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charts/chart34.xml" ContentType="application/vnd.openxmlformats-officedocument.drawingml.chart+xml"/>
  <Override PartName="/xl/charts/chart35.xml" ContentType="application/vnd.openxmlformats-officedocument.drawingml.chart+xml"/>
  <Override PartName="/xl/drawings/drawing2.xml" ContentType="application/vnd.openxmlformats-officedocument.drawing+xml"/>
  <Override PartName="/xl/charts/chart36.xml" ContentType="application/vnd.openxmlformats-officedocument.drawingml.chart+xml"/>
  <Override PartName="/xl/charts/chartEx1.xml" ContentType="application/vnd.ms-office.chartex+xml"/>
  <Override PartName="/xl/charts/style30.xml" ContentType="application/vnd.ms-office.chartstyle+xml"/>
  <Override PartName="/xl/charts/colors30.xml" ContentType="application/vnd.ms-office.chartcolorstyle+xml"/>
  <Override PartName="/xl/charts/chartEx2.xml" ContentType="application/vnd.ms-office.chartex+xml"/>
  <Override PartName="/xl/charts/style31.xml" ContentType="application/vnd.ms-office.chartstyle+xml"/>
  <Override PartName="/xl/charts/colors31.xml" ContentType="application/vnd.ms-office.chartcolorstyle+xml"/>
  <Override PartName="/xl/charts/chart37.xml" ContentType="application/vnd.openxmlformats-officedocument.drawingml.chart+xml"/>
  <Override PartName="/xl/charts/style32.xml" ContentType="application/vnd.ms-office.chartstyle+xml"/>
  <Override PartName="/xl/charts/colors32.xml" ContentType="application/vnd.ms-office.chartcolorstyle+xml"/>
  <Override PartName="/xl/charts/chart38.xml" ContentType="application/vnd.openxmlformats-officedocument.drawingml.chart+xml"/>
  <Override PartName="/xl/charts/style33.xml" ContentType="application/vnd.ms-office.chartstyle+xml"/>
  <Override PartName="/xl/charts/colors33.xml" ContentType="application/vnd.ms-office.chartcolorstyle+xml"/>
  <Override PartName="/xl/charts/chart39.xml" ContentType="application/vnd.openxmlformats-officedocument.drawingml.chart+xml"/>
  <Override PartName="/xl/charts/style34.xml" ContentType="application/vnd.ms-office.chartstyle+xml"/>
  <Override PartName="/xl/charts/colors34.xml" ContentType="application/vnd.ms-office.chartcolorstyle+xml"/>
  <Override PartName="/xl/charts/chart40.xml" ContentType="application/vnd.openxmlformats-officedocument.drawingml.chart+xml"/>
  <Override PartName="/xl/charts/style35.xml" ContentType="application/vnd.ms-office.chartstyle+xml"/>
  <Override PartName="/xl/charts/colors35.xml" ContentType="application/vnd.ms-office.chartcolorstyle+xml"/>
  <Override PartName="/xl/charts/chart41.xml" ContentType="application/vnd.openxmlformats-officedocument.drawingml.chart+xml"/>
  <Override PartName="/xl/charts/style36.xml" ContentType="application/vnd.ms-office.chartstyle+xml"/>
  <Override PartName="/xl/charts/colors36.xml" ContentType="application/vnd.ms-office.chartcolorstyle+xml"/>
  <Override PartName="/xl/charts/chart42.xml" ContentType="application/vnd.openxmlformats-officedocument.drawingml.chart+xml"/>
  <Override PartName="/xl/charts/style37.xml" ContentType="application/vnd.ms-office.chartstyle+xml"/>
  <Override PartName="/xl/charts/colors37.xml" ContentType="application/vnd.ms-office.chartcolorstyle+xml"/>
  <Override PartName="/xl/charts/chart43.xml" ContentType="application/vnd.openxmlformats-officedocument.drawingml.chart+xml"/>
  <Override PartName="/xl/charts/chart44.xml" ContentType="application/vnd.openxmlformats-officedocument.drawingml.chart+xml"/>
  <Override PartName="/xl/charts/style38.xml" ContentType="application/vnd.ms-office.chartstyle+xml"/>
  <Override PartName="/xl/charts/colors38.xml" ContentType="application/vnd.ms-office.chartcolorstyle+xml"/>
  <Override PartName="/xl/charts/chart45.xml" ContentType="application/vnd.openxmlformats-officedocument.drawingml.chart+xml"/>
  <Override PartName="/xl/charts/style39.xml" ContentType="application/vnd.ms-office.chartstyle+xml"/>
  <Override PartName="/xl/charts/colors39.xml" ContentType="application/vnd.ms-office.chartcolorstyle+xml"/>
  <Override PartName="/xl/charts/chart46.xml" ContentType="application/vnd.openxmlformats-officedocument.drawingml.chart+xml"/>
  <Override PartName="/xl/charts/style40.xml" ContentType="application/vnd.ms-office.chartstyle+xml"/>
  <Override PartName="/xl/charts/colors40.xml" ContentType="application/vnd.ms-office.chartcolorstyle+xml"/>
  <Override PartName="/xl/charts/chart47.xml" ContentType="application/vnd.openxmlformats-officedocument.drawingml.chart+xml"/>
  <Override PartName="/xl/charts/chart48.xml" ContentType="application/vnd.openxmlformats-officedocument.drawingml.chart+xml"/>
  <Override PartName="/xl/charts/style41.xml" ContentType="application/vnd.ms-office.chartstyle+xml"/>
  <Override PartName="/xl/charts/colors41.xml" ContentType="application/vnd.ms-office.chartcolorstyle+xml"/>
  <Override PartName="/xl/charts/chart49.xml" ContentType="application/vnd.openxmlformats-officedocument.drawingml.chart+xml"/>
  <Override PartName="/xl/charts/style42.xml" ContentType="application/vnd.ms-office.chartstyle+xml"/>
  <Override PartName="/xl/charts/colors42.xml" ContentType="application/vnd.ms-office.chartcolorstyle+xml"/>
  <Override PartName="/xl/charts/chart50.xml" ContentType="application/vnd.openxmlformats-officedocument.drawingml.chart+xml"/>
  <Override PartName="/xl/charts/style43.xml" ContentType="application/vnd.ms-office.chartstyle+xml"/>
  <Override PartName="/xl/charts/colors43.xml" ContentType="application/vnd.ms-office.chartcolorstyle+xml"/>
  <Override PartName="/xl/charts/chart51.xml" ContentType="application/vnd.openxmlformats-officedocument.drawingml.chart+xml"/>
  <Override PartName="/xl/charts/style44.xml" ContentType="application/vnd.ms-office.chartstyle+xml"/>
  <Override PartName="/xl/charts/colors44.xml" ContentType="application/vnd.ms-office.chartcolorstyle+xml"/>
  <Override PartName="/xl/charts/chart52.xml" ContentType="application/vnd.openxmlformats-officedocument.drawingml.chart+xml"/>
  <Override PartName="/xl/charts/style45.xml" ContentType="application/vnd.ms-office.chartstyle+xml"/>
  <Override PartName="/xl/charts/colors45.xml" ContentType="application/vnd.ms-office.chartcolorstyle+xml"/>
  <Override PartName="/xl/charts/chart53.xml" ContentType="application/vnd.openxmlformats-officedocument.drawingml.chart+xml"/>
  <Override PartName="/xl/charts/style46.xml" ContentType="application/vnd.ms-office.chartstyle+xml"/>
  <Override PartName="/xl/charts/colors46.xml" ContentType="application/vnd.ms-office.chartcolorstyle+xml"/>
  <Override PartName="/xl/charts/chart54.xml" ContentType="application/vnd.openxmlformats-officedocument.drawingml.chart+xml"/>
  <Override PartName="/xl/charts/style47.xml" ContentType="application/vnd.ms-office.chartstyle+xml"/>
  <Override PartName="/xl/charts/colors47.xml" ContentType="application/vnd.ms-office.chartcolorstyle+xml"/>
  <Override PartName="/xl/charts/chart55.xml" ContentType="application/vnd.openxmlformats-officedocument.drawingml.chart+xml"/>
  <Override PartName="/xl/charts/style48.xml" ContentType="application/vnd.ms-office.chartstyle+xml"/>
  <Override PartName="/xl/charts/colors48.xml" ContentType="application/vnd.ms-office.chartcolorstyle+xml"/>
  <Override PartName="/xl/charts/chartEx3.xml" ContentType="application/vnd.ms-office.chartex+xml"/>
  <Override PartName="/xl/charts/style49.xml" ContentType="application/vnd.ms-office.chartstyle+xml"/>
  <Override PartName="/xl/charts/colors49.xml" ContentType="application/vnd.ms-office.chartcolorstyle+xml"/>
  <Override PartName="/xl/charts/chartEx4.xml" ContentType="application/vnd.ms-office.chartex+xml"/>
  <Override PartName="/xl/charts/style50.xml" ContentType="application/vnd.ms-office.chartstyle+xml"/>
  <Override PartName="/xl/charts/colors50.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harts/chart56.xml" ContentType="application/vnd.openxmlformats-officedocument.drawingml.chart+xml"/>
  <Override PartName="/xl/charts/style51.xml" ContentType="application/vnd.ms-office.chartstyle+xml"/>
  <Override PartName="/xl/charts/colors51.xml" ContentType="application/vnd.ms-office.chartcolorstyle+xml"/>
  <Override PartName="/xl/charts/chart57.xml" ContentType="application/vnd.openxmlformats-officedocument.drawingml.chart+xml"/>
  <Override PartName="/xl/charts/style52.xml" ContentType="application/vnd.ms-office.chartstyle+xml"/>
  <Override PartName="/xl/charts/colors52.xml" ContentType="application/vnd.ms-office.chartcolorstyle+xml"/>
  <Override PartName="/xl/charts/chart58.xml" ContentType="application/vnd.openxmlformats-officedocument.drawingml.chart+xml"/>
  <Override PartName="/xl/charts/style53.xml" ContentType="application/vnd.ms-office.chartstyle+xml"/>
  <Override PartName="/xl/charts/colors53.xml" ContentType="application/vnd.ms-office.chartcolorstyle+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style54.xml" ContentType="application/vnd.ms-office.chartstyle+xml"/>
  <Override PartName="/xl/charts/colors54.xml" ContentType="application/vnd.ms-office.chartcolorstyle+xml"/>
  <Override PartName="/xl/charts/chart63.xml" ContentType="application/vnd.openxmlformats-officedocument.drawingml.chart+xml"/>
  <Override PartName="/xl/charts/chart64.xml" ContentType="application/vnd.openxmlformats-officedocument.drawingml.chart+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4.xml" ContentType="application/vnd.openxmlformats-officedocument.spreadsheetml.comments+xml"/>
  <Override PartName="/xl/drawings/drawing14.xml" ContentType="application/vnd.openxmlformats-officedocument.drawing+xml"/>
  <Override PartName="/xl/comments5.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6.xml" ContentType="application/vnd.openxmlformats-officedocument.spreadsheetml.comments+xml"/>
  <Override PartName="/xl/drawings/drawing18.xml" ContentType="application/vnd.openxmlformats-officedocument.drawing+xml"/>
  <Override PartName="/xl/comments7.xml" ContentType="application/vnd.openxmlformats-officedocument.spreadsheetml.comments+xml"/>
  <Override PartName="/xl/drawings/drawing19.xml" ContentType="application/vnd.openxmlformats-officedocument.drawing+xml"/>
  <Override PartName="/xl/comments8.xml" ContentType="application/vnd.openxmlformats-officedocument.spreadsheetml.comments+xml"/>
  <Override PartName="/xl/drawings/drawing20.xml" ContentType="application/vnd.openxmlformats-officedocument.drawing+xml"/>
  <Override PartName="/xl/comments9.xml" ContentType="application/vnd.openxmlformats-officedocument.spreadsheetml.comments+xml"/>
  <Override PartName="/xl/drawings/drawing21.xml" ContentType="application/vnd.openxmlformats-officedocument.drawing+xml"/>
  <Override PartName="/xl/comments10.xml" ContentType="application/vnd.openxmlformats-officedocument.spreadsheetml.comments+xml"/>
  <Override PartName="/xl/drawings/drawing22.xml" ContentType="application/vnd.openxmlformats-officedocument.drawing+xml"/>
  <Override PartName="/xl/comments11.xml" ContentType="application/vnd.openxmlformats-officedocument.spreadsheetml.comments+xml"/>
  <Override PartName="/xl/drawings/drawing23.xml" ContentType="application/vnd.openxmlformats-officedocument.drawing+xml"/>
  <Override PartName="/xl/comments12.xml" ContentType="application/vnd.openxmlformats-officedocument.spreadsheetml.comments+xml"/>
  <Override PartName="/xl/drawings/drawing24.xml" ContentType="application/vnd.openxmlformats-officedocument.drawing+xml"/>
  <Override PartName="/xl/comments1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5.xml" ContentType="application/vnd.openxmlformats-officedocument.drawing+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9.xml" ContentType="application/vnd.openxmlformats-officedocument.drawing+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30.xml" ContentType="application/vnd.openxmlformats-officedocument.drawing+xml"/>
  <Override PartName="/xl/drawings/drawing31.xml" ContentType="application/vnd.openxmlformats-officedocument.drawing+xml"/>
  <Override PartName="/xl/comments14.xml" ContentType="application/vnd.openxmlformats-officedocument.spreadsheetml.comments+xml"/>
  <Override PartName="/xl/drawings/drawing32.xml" ContentType="application/vnd.openxmlformats-officedocument.drawing+xml"/>
  <Override PartName="/xl/comments15.xml" ContentType="application/vnd.openxmlformats-officedocument.spreadsheetml.comment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tables/table1.xml" ContentType="application/vnd.openxmlformats-officedocument.spreadsheetml.table+xml"/>
  <Override PartName="/xl/comments16.xml" ContentType="application/vnd.openxmlformats-officedocument.spreadsheetml.comments+xml"/>
  <Override PartName="/xl/threadedComments/threadedComment1.xml" ContentType="application/vnd.ms-excel.threadedcomments+xml"/>
  <Override PartName="/xl/drawings/drawing58.xml" ContentType="application/vnd.openxmlformats-officedocument.drawing+xml"/>
  <Override PartName="/xl/tables/table2.xml" ContentType="application/vnd.openxmlformats-officedocument.spreadsheetml.table+xml"/>
  <Override PartName="/xl/comments17.xml" ContentType="application/vnd.openxmlformats-officedocument.spreadsheetml.comments+xml"/>
  <Override PartName="/xl/threadedComments/threadedComment2.xml" ContentType="application/vnd.ms-excel.threadedcomments+xml"/>
  <Override PartName="/xl/drawings/drawing59.xml" ContentType="application/vnd.openxmlformats-officedocument.drawing+xml"/>
  <Override PartName="/xl/tables/table3.xml" ContentType="application/vnd.openxmlformats-officedocument.spreadsheetml.table+xml"/>
  <Override PartName="/xl/comments18.xml" ContentType="application/vnd.openxmlformats-officedocument.spreadsheetml.comments+xml"/>
  <Override PartName="/xl/threadedComments/threadedComment3.xml" ContentType="application/vnd.ms-excel.threadedcomments+xml"/>
  <Override PartName="/xl/drawings/drawing60.xml" ContentType="application/vnd.openxmlformats-officedocument.drawing+xml"/>
  <Override PartName="/xl/tables/table4.xml" ContentType="application/vnd.openxmlformats-officedocument.spreadsheetml.table+xml"/>
  <Override PartName="/xl/comments19.xml" ContentType="application/vnd.openxmlformats-officedocument.spreadsheetml.comments+xml"/>
  <Override PartName="/xl/threadedComments/threadedComment4.xml" ContentType="application/vnd.ms-excel.threadedcomments+xml"/>
  <Override PartName="/xl/comments20.xml" ContentType="application/vnd.openxmlformats-officedocument.spreadsheetml.comments+xml"/>
  <Override PartName="/xl/threadedComments/threadedComment5.xml" ContentType="application/vnd.ms-excel.threadedcomments+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updateLinks="never" codeName="Denne_projektmappe" hidePivotFieldList="1"/>
  <mc:AlternateContent xmlns:mc="http://schemas.openxmlformats.org/markup-compatibility/2006">
    <mc:Choice Requires="x15">
      <x15ac:absPath xmlns:x15ac="http://schemas.microsoft.com/office/spreadsheetml/2010/11/ac" url="I:\Teknisk\AB Stine\DK2020\Energiregnskab Læsø\Scenarieberegner\Reduktionssti 13.04.2023\"/>
    </mc:Choice>
  </mc:AlternateContent>
  <xr:revisionPtr revIDLastSave="0" documentId="8_{DCD95A92-83D3-438B-B15E-086279F0BD2A}" xr6:coauthVersionLast="47" xr6:coauthVersionMax="47" xr10:uidLastSave="{00000000-0000-0000-0000-000000000000}"/>
  <bookViews>
    <workbookView xWindow="-120" yWindow="-120" windowWidth="38640" windowHeight="21240" tabRatio="802" firstSheet="1" activeTab="4" xr2:uid="{00E4B81A-EACB-46E8-9145-E5F5F37F6F0A}"/>
  </bookViews>
  <sheets>
    <sheet name="Index" sheetId="208" r:id="rId1"/>
    <sheet name="Grafer-energi" sheetId="35" r:id="rId2"/>
    <sheet name="Grafer-klima-&gt;VÆLG GWP og NIR&lt;-" sheetId="44" r:id="rId3"/>
    <sheet name="NIR faktorer" sheetId="63" r:id="rId4"/>
    <sheet name="Sammenfatning" sheetId="61" r:id="rId5"/>
    <sheet name="Reduktionsstiberegner" sheetId="60" r:id="rId6"/>
    <sheet name="K-tiltag" sheetId="253" r:id="rId7"/>
    <sheet name="E-Tiltag" sheetId="254" r:id="rId8"/>
    <sheet name="ESTI2050" sheetId="255" r:id="rId9"/>
    <sheet name="ESTI2030" sheetId="256" r:id="rId10"/>
    <sheet name="EBAU2050" sheetId="56" r:id="rId11"/>
    <sheet name="EBAU2030" sheetId="55" r:id="rId12"/>
    <sheet name="E1990" sheetId="27" r:id="rId13"/>
    <sheet name="E2018" sheetId="200" r:id="rId14"/>
    <sheet name="E2020" sheetId="41" r:id="rId15"/>
    <sheet name="Dyrehold 2018" sheetId="209" r:id="rId16"/>
    <sheet name="Dyrehold 2018G" sheetId="46" state="hidden" r:id="rId17"/>
    <sheet name="Planteavl 2018" sheetId="210" r:id="rId18"/>
    <sheet name="Planteavl 2018G" sheetId="47" state="hidden" r:id="rId19"/>
    <sheet name="Arealanvendelse 2018" sheetId="211" r:id="rId20"/>
    <sheet name="Arealanvendelse 2018G" sheetId="48" state="hidden" r:id="rId21"/>
    <sheet name="Affald og spildevand 2018" sheetId="212" r:id="rId22"/>
    <sheet name="Affald og spildevand 2018G" sheetId="50" state="hidden" r:id="rId23"/>
    <sheet name="Industrielle processer 2018" sheetId="213" r:id="rId24"/>
    <sheet name="Industrielle processer 2018G" sheetId="49" state="hidden" r:id="rId25"/>
    <sheet name="K1 2018" sheetId="214" r:id="rId26"/>
    <sheet name="K1 2018G" sheetId="133" r:id="rId27"/>
    <sheet name="K2 2018" sheetId="260" r:id="rId28"/>
    <sheet name="K2 2018G" sheetId="175" r:id="rId29"/>
    <sheet name="K2a 2018" sheetId="216" r:id="rId30"/>
    <sheet name="K2a 2018G" sheetId="183" r:id="rId31"/>
    <sheet name="K3 2018" sheetId="258" r:id="rId32"/>
    <sheet name="K3 2018G" sheetId="186" r:id="rId33"/>
    <sheet name="K4 2018" sheetId="219" r:id="rId34"/>
    <sheet name="K4 2018G" sheetId="135" r:id="rId35"/>
    <sheet name="K5 2018" sheetId="220" r:id="rId36"/>
    <sheet name="K5 2018G" sheetId="141" r:id="rId37"/>
    <sheet name="K5a 2018" sheetId="221" r:id="rId38"/>
    <sheet name="K5a 2018G" sheetId="144" r:id="rId39"/>
    <sheet name="K6 2018" sheetId="222" r:id="rId40"/>
    <sheet name="K6 2018G" sheetId="147" r:id="rId41"/>
    <sheet name="K7 2018" sheetId="223" r:id="rId42"/>
    <sheet name="K7 2018G" sheetId="149" r:id="rId43"/>
    <sheet name="K8 2018" sheetId="224" r:id="rId44"/>
    <sheet name="K8 2018G" sheetId="151" r:id="rId45"/>
    <sheet name="K9 2018" sheetId="225" r:id="rId46"/>
    <sheet name="K9 2018G" sheetId="156" r:id="rId47"/>
    <sheet name="K10 2018" sheetId="226" r:id="rId48"/>
    <sheet name="K10 2018G" sheetId="158" r:id="rId49"/>
    <sheet name="K11 2018" sheetId="227" r:id="rId50"/>
    <sheet name="K11 2018G" sheetId="160" r:id="rId51"/>
    <sheet name="K12 2018" sheetId="228" r:id="rId52"/>
    <sheet name="K12 2018G" sheetId="163" r:id="rId53"/>
    <sheet name="K13 2018" sheetId="229" r:id="rId54"/>
    <sheet name="K13 2018G" sheetId="164" r:id="rId55"/>
    <sheet name="K14 2018" sheetId="230" r:id="rId56"/>
    <sheet name="K14 2018G" sheetId="165" r:id="rId57"/>
    <sheet name="K15 2018" sheetId="231" r:id="rId58"/>
    <sheet name="K15 2018G" sheetId="168" r:id="rId59"/>
    <sheet name="Dataark til bilag 2_18" sheetId="233" r:id="rId60"/>
    <sheet name="Dataark til bilag 3_18" sheetId="232" r:id="rId61"/>
    <sheet name="biogas_18" sheetId="234" state="hidden" r:id="rId62"/>
    <sheet name="staldtype_total_18" sheetId="235" state="hidden" r:id="rId63"/>
    <sheet name="planteavl_18" sheetId="236" state="hidden" r:id="rId64"/>
    <sheet name="Planteavl_EA_18" sheetId="237" state="hidden" r:id="rId65"/>
    <sheet name="gødning_mv_18" sheetId="238" state="hidden" r:id="rId66"/>
    <sheet name="1990-2018 ha_18" sheetId="244" state="hidden" r:id="rId67"/>
    <sheet name="2005-2018 ha_18" sheetId="245" state="hidden" r:id="rId68"/>
    <sheet name="draeninfo_18" sheetId="246" state="hidden" r:id="rId69"/>
    <sheet name="rewetinfo_18" sheetId="247" state="hidden" r:id="rId70"/>
    <sheet name="ArealFordelingPaaKulstof_Ha 18" sheetId="248" state="hidden" r:id="rId71"/>
    <sheet name="Dataark til bilag 2_18G" sheetId="261" r:id="rId72"/>
    <sheet name="Dataark til bilag 3_18G" sheetId="187" r:id="rId73"/>
    <sheet name="biogas_18G" sheetId="185" state="hidden" r:id="rId74"/>
    <sheet name="staldtype_total_18G" sheetId="134" state="hidden" r:id="rId75"/>
    <sheet name="planteavl_18G" sheetId="142" state="hidden" r:id="rId76"/>
    <sheet name="Planteavl_EA_18G" sheetId="145" state="hidden" r:id="rId77"/>
    <sheet name="gødning_mv_18G" sheetId="138" state="hidden" r:id="rId78"/>
    <sheet name="1990-2018 ha_18G" sheetId="148" state="hidden" r:id="rId79"/>
    <sheet name="2005-2018 ha_18G" sheetId="150" state="hidden" r:id="rId80"/>
    <sheet name="draeninfo_18G" sheetId="152" state="hidden" r:id="rId81"/>
    <sheet name="rewetinfo_18G" sheetId="153" state="hidden" r:id="rId82"/>
    <sheet name="ArealFordelingPaaKulstof_Ha 18G" sheetId="136" state="hidden" r:id="rId83"/>
    <sheet name="BYGB34" sheetId="161" state="hidden" r:id="rId84"/>
    <sheet name="FOLK1A" sheetId="162" state="hidden" r:id="rId85"/>
    <sheet name="ARE207" sheetId="204" state="hidden" r:id="rId86"/>
    <sheet name="HST77" sheetId="140" state="hidden" r:id="rId87"/>
    <sheet name="Fodermiddeltabel" sheetId="193" state="hidden" r:id="rId88"/>
    <sheet name="BNP" sheetId="203" state="hidden" r:id="rId89"/>
    <sheet name="NST" sheetId="159" state="hidden" r:id="rId90"/>
    <sheet name="PUNKTKILDELISTE pr værk 18" sheetId="250" state="hidden" r:id="rId91"/>
    <sheet name="PUNKTKILDELISTE pr værk 20" sheetId="169" state="hidden" r:id="rId92"/>
    <sheet name="Table2(I)s2_2018" sheetId="267" state="hidden" r:id="rId93"/>
    <sheet name="Table2(I).A-Hs1_2018" sheetId="268" state="hidden" r:id="rId94"/>
    <sheet name="Table2(I).A-Hs2_2018" sheetId="269" state="hidden" r:id="rId95"/>
    <sheet name="Table2(II)_2018" sheetId="270" state="hidden" r:id="rId96"/>
    <sheet name="Table3.As1_2018" sheetId="271" state="hidden" r:id="rId97"/>
    <sheet name="Table3.D_2018" sheetId="272" state="hidden" r:id="rId98"/>
    <sheet name="Table3.G-I_2018" sheetId="273" state="hidden" r:id="rId99"/>
    <sheet name="Table4.A_2018" sheetId="274" state="hidden" r:id="rId100"/>
    <sheet name="Table4.B_2018" sheetId="275" state="hidden" r:id="rId101"/>
    <sheet name="Table4.C_2018" sheetId="276" state="hidden" r:id="rId102"/>
    <sheet name="Table4.D_2018" sheetId="277" state="hidden" r:id="rId103"/>
    <sheet name="Table4.E_2018" sheetId="278" state="hidden" r:id="rId104"/>
    <sheet name="Table4.F_2018" sheetId="279" state="hidden" r:id="rId105"/>
    <sheet name="Table4(II)_2018" sheetId="280" state="hidden" r:id="rId106"/>
    <sheet name="Table4(III)_2018" sheetId="281" state="hidden" r:id="rId107"/>
    <sheet name="Table4(V)_2018" sheetId="282" state="hidden" r:id="rId108"/>
    <sheet name="Table4.Gs2_2018" sheetId="283" state="hidden" r:id="rId109"/>
    <sheet name="Table5.A_2018" sheetId="284" state="hidden" r:id="rId110"/>
    <sheet name="Table5.B_2018" sheetId="285" state="hidden" r:id="rId111"/>
    <sheet name="Table5.C_2018" sheetId="286" state="hidden" r:id="rId112"/>
    <sheet name="Table5.D_2018" sheetId="287" state="hidden" r:id="rId113"/>
    <sheet name="Table2(I)s2_2019" sheetId="288" state="hidden" r:id="rId114"/>
    <sheet name="Table2(I).A-Hs1_2019" sheetId="289" state="hidden" r:id="rId115"/>
    <sheet name="Table2(I).A-Hs2_2019" sheetId="290" state="hidden" r:id="rId116"/>
    <sheet name="Table2(II)_2019" sheetId="291" state="hidden" r:id="rId117"/>
    <sheet name="Table3.As1_2019" sheetId="292" state="hidden" r:id="rId118"/>
    <sheet name="Table3.D_2019" sheetId="293" state="hidden" r:id="rId119"/>
    <sheet name="Table3.G-I_2019" sheetId="294" state="hidden" r:id="rId120"/>
    <sheet name="Table4.A_2019" sheetId="296" state="hidden" r:id="rId121"/>
    <sheet name="Table4.B_2019" sheetId="297" state="hidden" r:id="rId122"/>
    <sheet name="Table4.C_2019" sheetId="298" state="hidden" r:id="rId123"/>
    <sheet name="Table4.D_2019" sheetId="299" state="hidden" r:id="rId124"/>
    <sheet name="Table4.E_2019" sheetId="300" state="hidden" r:id="rId125"/>
    <sheet name="Table4.F_2019" sheetId="301" state="hidden" r:id="rId126"/>
    <sheet name="Table4(II)_2019" sheetId="302" state="hidden" r:id="rId127"/>
    <sheet name="Table4(III)_2019" sheetId="303" state="hidden" r:id="rId128"/>
    <sheet name="Table4(V)_2019" sheetId="304" state="hidden" r:id="rId129"/>
    <sheet name="Table4.Gs2_2019" sheetId="305" state="hidden" r:id="rId130"/>
    <sheet name="Table5.A_2019" sheetId="306" state="hidden" r:id="rId131"/>
    <sheet name="Table5.B_2019" sheetId="307" state="hidden" r:id="rId132"/>
    <sheet name="Table5.C_2019" sheetId="308" state="hidden" r:id="rId133"/>
    <sheet name="Table5.D_2019" sheetId="309" state="hidden" r:id="rId134"/>
    <sheet name="Table2(I)s2_2020" sheetId="311" state="hidden" r:id="rId135"/>
    <sheet name="Table2(I).A-Hs1_2020" sheetId="312" state="hidden" r:id="rId136"/>
    <sheet name="Table2(I).A-Hs2_2020" sheetId="313" state="hidden" r:id="rId137"/>
    <sheet name="Table2(II)_2020" sheetId="314" state="hidden" r:id="rId138"/>
    <sheet name="Table3.As1_2020" sheetId="315" state="hidden" r:id="rId139"/>
    <sheet name="Table3.D_2020" sheetId="316" state="hidden" r:id="rId140"/>
    <sheet name="Table3.G-I_2020" sheetId="317" state="hidden" r:id="rId141"/>
    <sheet name="Table4.A_2020" sheetId="318" state="hidden" r:id="rId142"/>
    <sheet name="Table4.B_2020" sheetId="319" state="hidden" r:id="rId143"/>
    <sheet name="Table4.C_2020" sheetId="320" state="hidden" r:id="rId144"/>
    <sheet name="Table4.D_2020" sheetId="321" state="hidden" r:id="rId145"/>
    <sheet name="Table4.E_2020" sheetId="322" state="hidden" r:id="rId146"/>
    <sheet name="Table4.F_2020" sheetId="323" state="hidden" r:id="rId147"/>
    <sheet name="Table4(II)_2020" sheetId="324" state="hidden" r:id="rId148"/>
    <sheet name="Table4(III)_2020" sheetId="325" state="hidden" r:id="rId149"/>
    <sheet name="Table4(V)_2020" sheetId="326" state="hidden" r:id="rId150"/>
    <sheet name="Table4.Gs2_2020" sheetId="327" state="hidden" r:id="rId151"/>
    <sheet name="Table5.A_2020" sheetId="328" state="hidden" r:id="rId152"/>
    <sheet name="Table5.B_2020" sheetId="329" state="hidden" r:id="rId153"/>
    <sheet name="Table5.C_2020" sheetId="330" state="hidden" r:id="rId154"/>
    <sheet name="Table5.D_2020" sheetId="331" state="hidden" r:id="rId155"/>
    <sheet name="Summary2_1990" sheetId="333" state="hidden" r:id="rId156"/>
    <sheet name="Summary2_2018" sheetId="334" state="hidden" r:id="rId157"/>
    <sheet name="Summary2_2020" sheetId="332" state="hidden" r:id="rId158"/>
    <sheet name="Annex 3F-6.2 20" sheetId="126" state="hidden" r:id="rId159"/>
    <sheet name="Annex 3F-6.1 20" sheetId="127" state="hidden" r:id="rId160"/>
    <sheet name="Annex 3D-9 20" sheetId="109" state="hidden" r:id="rId161"/>
    <sheet name="Annex 3D-11 20" sheetId="106" state="hidden" r:id="rId162"/>
    <sheet name="Annex 3D-20 20" sheetId="108" state="hidden" r:id="rId163"/>
    <sheet name="Table LULUCF_arealer" sheetId="262" state="hidden" r:id="rId164"/>
    <sheet name="Table 6 Gødningsmængder" sheetId="266" state="hidden" r:id="rId165"/>
    <sheet name="Table 7 Miljøteknologi" sheetId="264" state="hidden" r:id="rId166"/>
    <sheet name="Table 9 Gylle afsat til biogas" sheetId="265" state="hidden" r:id="rId167"/>
    <sheet name="Table 12 Handelsgødning" sheetId="263" state="hidden" r:id="rId168"/>
  </sheets>
  <externalReferences>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s>
  <definedNames>
    <definedName name="____W.O.R.K.B.O.O.K..C.O.N.T.E.N.T.S____" localSheetId="162">#REF!</definedName>
    <definedName name="____W.O.R.K.B.O.O.K..C.O.N.T.E.N.T.S____" localSheetId="160">#REF!</definedName>
    <definedName name="____W.O.R.K.B.O.O.K..C.O.N.T.E.N.T.S____" localSheetId="72">#REF!</definedName>
    <definedName name="____W.O.R.K.B.O.O.K..C.O.N.T.E.N.T.S____" localSheetId="51">#REF!</definedName>
    <definedName name="____W.O.R.K.B.O.O.K..C.O.N.T.E.N.T.S____" localSheetId="52">#REF!</definedName>
    <definedName name="____W.O.R.K.B.O.O.K..C.O.N.T.E.N.T.S____" localSheetId="53">#REF!</definedName>
    <definedName name="____W.O.R.K.B.O.O.K..C.O.N.T.E.N.T.S____" localSheetId="54">#REF!</definedName>
    <definedName name="____W.O.R.K.B.O.O.K..C.O.N.T.E.N.T.S____" localSheetId="55">#REF!</definedName>
    <definedName name="____W.O.R.K.B.O.O.K..C.O.N.T.E.N.T.S____" localSheetId="56">#REF!</definedName>
    <definedName name="____W.O.R.K.B.O.O.K..C.O.N.T.E.N.T.S____" localSheetId="57">#REF!</definedName>
    <definedName name="____W.O.R.K.B.O.O.K..C.O.N.T.E.N.T.S____" localSheetId="58">#REF!</definedName>
    <definedName name="____W.O.R.K.B.O.O.K..C.O.N.T.E.N.T.S____" localSheetId="31">#REF!</definedName>
    <definedName name="____W.O.R.K.B.O.O.K..C.O.N.T.E.N.T.S____" localSheetId="32">#REF!</definedName>
    <definedName name="____W.O.R.K.B.O.O.K..C.O.N.T.E.N.T.S____" localSheetId="90">#REF!</definedName>
    <definedName name="____W.O.R.K.B.O.O.K..C.O.N.T.E.N.T.S____" localSheetId="91">#REF!</definedName>
    <definedName name="____W.O.R.K.B.O.O.K..C.O.N.T.E.N.T.S____" localSheetId="155">#REF!</definedName>
    <definedName name="____W.O.R.K.B.O.O.K..C.O.N.T.E.N.T.S____" localSheetId="156">#REF!</definedName>
    <definedName name="____W.O.R.K.B.O.O.K..C.O.N.T.E.N.T.S____" localSheetId="157">#REF!</definedName>
    <definedName name="____W.O.R.K.B.O.O.K..C.O.N.T.E.N.T.S____" localSheetId="93">#REF!</definedName>
    <definedName name="____W.O.R.K.B.O.O.K..C.O.N.T.E.N.T.S____" localSheetId="94">#REF!</definedName>
    <definedName name="____W.O.R.K.B.O.O.K..C.O.N.T.E.N.T.S____" localSheetId="92">#REF!</definedName>
    <definedName name="____W.O.R.K.B.O.O.K..C.O.N.T.E.N.T.S____" localSheetId="95">#REF!</definedName>
    <definedName name="____W.O.R.K.B.O.O.K..C.O.N.T.E.N.T.S____" localSheetId="96">#REF!</definedName>
    <definedName name="____W.O.R.K.B.O.O.K..C.O.N.T.E.N.T.S____" localSheetId="97">#REF!</definedName>
    <definedName name="____W.O.R.K.B.O.O.K..C.O.N.T.E.N.T.S____" localSheetId="98">#REF!</definedName>
    <definedName name="____W.O.R.K.B.O.O.K..C.O.N.T.E.N.T.S____" localSheetId="99">#REF!</definedName>
    <definedName name="____W.O.R.K.B.O.O.K..C.O.N.T.E.N.T.S____">#REF!</definedName>
    <definedName name="_xlchart.v1.0" hidden="1">'Grafer-klima-&gt;VÆLG GWP og NIR&lt;-'!$M$40:$M$46</definedName>
    <definedName name="_xlchart.v1.1" hidden="1">'Grafer-klima-&gt;VÆLG GWP og NIR&lt;-'!$N$40:$N$46</definedName>
    <definedName name="_xlchart.v1.2" hidden="1">'Grafer-klima-&gt;VÆLG GWP og NIR&lt;-'!$B$40:$B$46</definedName>
    <definedName name="_xlchart.v1.3" hidden="1">'Grafer-klima-&gt;VÆLG GWP og NIR&lt;-'!$C$40:$C$46</definedName>
    <definedName name="_xlchart.v1.4" hidden="1">'Grafer-klima-&gt;VÆLG GWP og NIR&lt;-'!$B$40:$B$46</definedName>
    <definedName name="_xlchart.v1.5" hidden="1">'Grafer-klima-&gt;VÆLG GWP og NIR&lt;-'!$D$39</definedName>
    <definedName name="_xlchart.v1.6" hidden="1">'Grafer-klima-&gt;VÆLG GWP og NIR&lt;-'!$D$40:$D$46</definedName>
    <definedName name="_xlchart.v1.7" hidden="1">'Grafer-klima-&gt;VÆLG GWP og NIR&lt;-'!$M$40:$M$46</definedName>
    <definedName name="_xlchart.v1.8" hidden="1">'Grafer-klima-&gt;VÆLG GWP og NIR&lt;-'!$O$39</definedName>
    <definedName name="_xlchart.v1.9" hidden="1">'Grafer-klima-&gt;VÆLG GWP og NIR&lt;-'!$O$40:$O$46</definedName>
    <definedName name="CRF_4_KP__Doc">'[1]4(KP)'!$A$17:$E$18</definedName>
    <definedName name="CRF_4_KP__Main">'[1]4(KP)'!$A$5:$E$15</definedName>
    <definedName name="CRF_4_KP_I_A.1.1_Doc" localSheetId="162">#REF!</definedName>
    <definedName name="CRF_4_KP_I_A.1.1_Doc" localSheetId="160">#REF!</definedName>
    <definedName name="CRF_4_KP_I_A.1.1_Doc" localSheetId="72">#REF!</definedName>
    <definedName name="CRF_4_KP_I_A.1.1_Doc" localSheetId="31">#REF!</definedName>
    <definedName name="CRF_4_KP_I_A.1.1_Doc" localSheetId="32">#REF!</definedName>
    <definedName name="CRF_4_KP_I_A.1.1_Doc" localSheetId="155">#REF!</definedName>
    <definedName name="CRF_4_KP_I_A.1.1_Doc" localSheetId="156">#REF!</definedName>
    <definedName name="CRF_4_KP_I_A.1.1_Doc" localSheetId="157">#REF!</definedName>
    <definedName name="CRF_4_KP_I_A.1.1_Doc" localSheetId="93">#REF!</definedName>
    <definedName name="CRF_4_KP_I_A.1.1_Doc" localSheetId="94">#REF!</definedName>
    <definedName name="CRF_4_KP_I_A.1.1_Doc" localSheetId="92">#REF!</definedName>
    <definedName name="CRF_4_KP_I_A.1.1_Doc" localSheetId="95">#REF!</definedName>
    <definedName name="CRF_4_KP_I_A.1.1_Doc" localSheetId="96">#REF!</definedName>
    <definedName name="CRF_4_KP_I_A.1.1_Doc" localSheetId="97">#REF!</definedName>
    <definedName name="CRF_4_KP_I_A.1.1_Doc" localSheetId="98">#REF!</definedName>
    <definedName name="CRF_4_KP_I_A.1.1_Doc" localSheetId="99">#REF!</definedName>
    <definedName name="CRF_4_KP_I_A.1.1_Doc">#REF!</definedName>
    <definedName name="CRF_4_KP_I_A.1.1_Main">'[2]4(KP-I)A.1'!$A$6:$O$18</definedName>
    <definedName name="CRF_4_KP_I_A.1_Doc">'[3]4(KP-I)A'!$A$16:$AA$17</definedName>
    <definedName name="CRF_4_KP_I_A.1_Main">'[3]4(KP-I)A'!$A$6:$AA$14</definedName>
    <definedName name="CRF_4_KP_I_A.2.1_Doc" localSheetId="162">#REF!</definedName>
    <definedName name="CRF_4_KP_I_A.2.1_Doc" localSheetId="160">#REF!</definedName>
    <definedName name="CRF_4_KP_I_A.2.1_Doc" localSheetId="72">#REF!</definedName>
    <definedName name="CRF_4_KP_I_A.2.1_Doc" localSheetId="31">#REF!</definedName>
    <definedName name="CRF_4_KP_I_A.2.1_Doc" localSheetId="32">#REF!</definedName>
    <definedName name="CRF_4_KP_I_A.2.1_Doc" localSheetId="155">#REF!</definedName>
    <definedName name="CRF_4_KP_I_A.2.1_Doc" localSheetId="156">#REF!</definedName>
    <definedName name="CRF_4_KP_I_A.2.1_Doc" localSheetId="157">#REF!</definedName>
    <definedName name="CRF_4_KP_I_A.2.1_Doc" localSheetId="93">#REF!</definedName>
    <definedName name="CRF_4_KP_I_A.2.1_Doc" localSheetId="94">#REF!</definedName>
    <definedName name="CRF_4_KP_I_A.2.1_Doc" localSheetId="92">#REF!</definedName>
    <definedName name="CRF_4_KP_I_A.2.1_Doc" localSheetId="95">#REF!</definedName>
    <definedName name="CRF_4_KP_I_A.2.1_Doc" localSheetId="96">#REF!</definedName>
    <definedName name="CRF_4_KP_I_A.2.1_Doc" localSheetId="97">#REF!</definedName>
    <definedName name="CRF_4_KP_I_A.2.1_Doc" localSheetId="98">#REF!</definedName>
    <definedName name="CRF_4_KP_I_A.2.1_Doc" localSheetId="99">#REF!</definedName>
    <definedName name="CRF_4_KP_I_A.2.1_Doc">#REF!</definedName>
    <definedName name="CRF_4_KP_I_A.2.1_Main">'[4]4(KP-I)A.2'!$A$6:$B$9</definedName>
    <definedName name="CRF_4_KP_I_A.2_Doc" localSheetId="162">#REF!</definedName>
    <definedName name="CRF_4_KP_I_A.2_Doc" localSheetId="160">#REF!</definedName>
    <definedName name="CRF_4_KP_I_A.2_Doc" localSheetId="72">#REF!</definedName>
    <definedName name="CRF_4_KP_I_A.2_Doc" localSheetId="31">#REF!</definedName>
    <definedName name="CRF_4_KP_I_A.2_Doc" localSheetId="32">#REF!</definedName>
    <definedName name="CRF_4_KP_I_A.2_Doc" localSheetId="155">#REF!</definedName>
    <definedName name="CRF_4_KP_I_A.2_Doc" localSheetId="156">#REF!</definedName>
    <definedName name="CRF_4_KP_I_A.2_Doc" localSheetId="157">#REF!</definedName>
    <definedName name="CRF_4_KP_I_A.2_Doc" localSheetId="93">#REF!</definedName>
    <definedName name="CRF_4_KP_I_A.2_Doc" localSheetId="94">#REF!</definedName>
    <definedName name="CRF_4_KP_I_A.2_Doc" localSheetId="92">#REF!</definedName>
    <definedName name="CRF_4_KP_I_A.2_Doc" localSheetId="95">#REF!</definedName>
    <definedName name="CRF_4_KP_I_A.2_Doc" localSheetId="96">#REF!</definedName>
    <definedName name="CRF_4_KP_I_A.2_Doc" localSheetId="97">#REF!</definedName>
    <definedName name="CRF_4_KP_I_A.2_Doc" localSheetId="98">#REF!</definedName>
    <definedName name="CRF_4_KP_I_A.2_Doc" localSheetId="99">#REF!</definedName>
    <definedName name="CRF_4_KP_I_A.2_Doc">#REF!</definedName>
    <definedName name="CRF_4_KP_I_A.2_Main1">'[5]4(KP-I)A'!$A$6:$AA$14</definedName>
    <definedName name="CRF_4_KP_I_A.2_Main2">'[5]4(KP-I)A'!$A$18:$AA$24</definedName>
    <definedName name="CRF_4_KP_I_B.1.1_Doc" localSheetId="162">#REF!</definedName>
    <definedName name="CRF_4_KP_I_B.1.1_Doc" localSheetId="160">#REF!</definedName>
    <definedName name="CRF_4_KP_I_B.1.1_Doc" localSheetId="72">#REF!</definedName>
    <definedName name="CRF_4_KP_I_B.1.1_Doc" localSheetId="31">#REF!</definedName>
    <definedName name="CRF_4_KP_I_B.1.1_Doc" localSheetId="32">#REF!</definedName>
    <definedName name="CRF_4_KP_I_B.1.1_Doc" localSheetId="155">#REF!</definedName>
    <definedName name="CRF_4_KP_I_B.1.1_Doc" localSheetId="156">#REF!</definedName>
    <definedName name="CRF_4_KP_I_B.1.1_Doc" localSheetId="157">#REF!</definedName>
    <definedName name="CRF_4_KP_I_B.1.1_Doc" localSheetId="93">#REF!</definedName>
    <definedName name="CRF_4_KP_I_B.1.1_Doc" localSheetId="94">#REF!</definedName>
    <definedName name="CRF_4_KP_I_B.1.1_Doc" localSheetId="92">#REF!</definedName>
    <definedName name="CRF_4_KP_I_B.1.1_Doc" localSheetId="95">#REF!</definedName>
    <definedName name="CRF_4_KP_I_B.1.1_Doc" localSheetId="96">#REF!</definedName>
    <definedName name="CRF_4_KP_I_B.1.1_Doc" localSheetId="97">#REF!</definedName>
    <definedName name="CRF_4_KP_I_B.1.1_Doc" localSheetId="98">#REF!</definedName>
    <definedName name="CRF_4_KP_I_B.1.1_Doc" localSheetId="99">#REF!</definedName>
    <definedName name="CRF_4_KP_I_B.1.1_Doc">#REF!</definedName>
    <definedName name="CRF_4_KP_I_B.1.1_Main">'[6]4(KP-I)B.1'!$A$6:$C$10</definedName>
    <definedName name="CRF_4_KP_I_B.1.2_Doc">'[7]4(KP-I)B.1'!$A$13:$J$14</definedName>
    <definedName name="CRF_4_KP_I_B.1.2_Main">'[7]4(KP-I)B.1'!$A$7:$J$11</definedName>
    <definedName name="CRF_4_KP_I_B.1.3_Doc" localSheetId="162">#REF!</definedName>
    <definedName name="CRF_4_KP_I_B.1.3_Doc" localSheetId="160">#REF!</definedName>
    <definedName name="CRF_4_KP_I_B.1.3_Doc" localSheetId="72">#REF!</definedName>
    <definedName name="CRF_4_KP_I_B.1.3_Doc" localSheetId="31">#REF!</definedName>
    <definedName name="CRF_4_KP_I_B.1.3_Doc" localSheetId="32">#REF!</definedName>
    <definedName name="CRF_4_KP_I_B.1.3_Doc" localSheetId="155">#REF!</definedName>
    <definedName name="CRF_4_KP_I_B.1.3_Doc" localSheetId="156">#REF!</definedName>
    <definedName name="CRF_4_KP_I_B.1.3_Doc" localSheetId="157">#REF!</definedName>
    <definedName name="CRF_4_KP_I_B.1.3_Doc" localSheetId="93">#REF!</definedName>
    <definedName name="CRF_4_KP_I_B.1.3_Doc" localSheetId="94">#REF!</definedName>
    <definedName name="CRF_4_KP_I_B.1.3_Doc" localSheetId="92">#REF!</definedName>
    <definedName name="CRF_4_KP_I_B.1.3_Doc" localSheetId="95">#REF!</definedName>
    <definedName name="CRF_4_KP_I_B.1.3_Doc" localSheetId="96">#REF!</definedName>
    <definedName name="CRF_4_KP_I_B.1.3_Doc" localSheetId="97">#REF!</definedName>
    <definedName name="CRF_4_KP_I_B.1.3_Doc" localSheetId="98">#REF!</definedName>
    <definedName name="CRF_4_KP_I_B.1.3_Doc" localSheetId="99">#REF!</definedName>
    <definedName name="CRF_4_KP_I_B.1.3_Doc">#REF!</definedName>
    <definedName name="CRF_4_KP_I_B.1.3_Main">'[8]4(KP-I)B.1'!$A$6:$O$18</definedName>
    <definedName name="CRF_4_KP_I_B.1_Doc">'[9]4(KP-I)B'!$A$20:$AB$21</definedName>
    <definedName name="CRF_4_KP_I_B.1_Main">'[9]4(KP-I)B'!$A$6:$AB$18</definedName>
    <definedName name="CRF_4_KP_I_B.2_Doc">'[10]4(KP-I)B'!$A$13:$Z$14</definedName>
    <definedName name="CRF_4_KP_I_B.2_Main">'[10]4(KP-I)B'!$A$6:$Z$11</definedName>
    <definedName name="CRF_4_KP_I_B.3_Doc">'[11]4(KP-I)B'!$A$13:$Z$14</definedName>
    <definedName name="CRF_4_KP_I_B.3_Main">'[11]4(KP-I)B'!$A$6:$Z$11</definedName>
    <definedName name="CRF_4_KP_I_B.4_Doc">'[12]4(KP-I)B'!$A$13:$Z$14</definedName>
    <definedName name="CRF_4_KP_I_B.4_Main">'[12]4(KP-I)B'!$A$6:$Z$11</definedName>
    <definedName name="CRF_4_KP_I_B.5_Doc">'[13]4(KP-I)B'!$A$13:$Z$14</definedName>
    <definedName name="CRF_4_KP_I_B.5_Main">'[13]4(KP-I)B'!$A$6:$Z$11</definedName>
    <definedName name="CRF_4_KP_II_1_Doc">'[14]4(KP-II)1'!$A$15:$D$16</definedName>
    <definedName name="CRF_4_KP_II_1_Main">'[14]4(KP-II)1'!$A$6:$D$13</definedName>
    <definedName name="CRF_4_KP_II_2_Doc">'[15]4(KP-II)2'!$A$38:$F$39</definedName>
    <definedName name="CRF_4_KP_II_2_Main">'[15]4(KP-II)2'!$A$6:$F$36</definedName>
    <definedName name="CRF_4_KP_II_3_Doc">'[16]4(KP-II)3'!$A$22:$E$23</definedName>
    <definedName name="CRF_4_KP_II_3_Main">'[16]4(KP-II)3'!$A$6:$E$20</definedName>
    <definedName name="CRF_4_KP_II_4_Doc">'[17]4(KP-II)4'!$A$45:$J$46</definedName>
    <definedName name="CRF_4_KP_II_4_Main">'[17]4(KP-II)4'!$A$6:$J$43</definedName>
    <definedName name="CRF_4_KP_Recalculations_Doc">'[18]4(KP)Recalculations'!$A$74:$R$75</definedName>
    <definedName name="CRF_4_KP_Recalculations_Main1">'[18]4(KP)Recalculations'!$A$5:$R$60</definedName>
    <definedName name="CRF_4_KP_Recalculations_Main2">'[18]4(KP)Recalculations'!$A$62:$F$70</definedName>
    <definedName name="CRF_accounting_Main">[19]accounting!$A$7:$M$29</definedName>
    <definedName name="CRF_NIR_1_Add">'[20]NIR-1'!$A$33:$C$36</definedName>
    <definedName name="CRF_NIR_1_Main">'[20]NIR-1'!$A$5:$P$16</definedName>
    <definedName name="CRF_NIR_2.1_Main">'[21]NIR-2'!$A$5:$C$10</definedName>
    <definedName name="CRF_NIR_2_Main">'[22]NIR-2'!$A$5:$J$18</definedName>
    <definedName name="CRF_NIR_3_Main" localSheetId="72">'[23]NIR-3'!$A$5:$F$7</definedName>
    <definedName name="CRF_NIR_3_Main" localSheetId="31">'[23]NIR-3'!$A$5:$F$7</definedName>
    <definedName name="CRF_NIR_3_Main" localSheetId="32">'[23]NIR-3'!$A$5:$F$7</definedName>
    <definedName name="CRF_NIR_3_Main">#REF!</definedName>
    <definedName name="CRF_Summary2_Main1" localSheetId="155">Summary2_1990!$A$5:$J$54</definedName>
    <definedName name="CRF_Summary2_Main1" localSheetId="156">Summary2_2018!$A$5:$J$54</definedName>
    <definedName name="CRF_Summary2_Main1" localSheetId="157">Summary2_2020!$A$5:$J$54</definedName>
    <definedName name="CRF_Summary2_Main1">#REF!</definedName>
    <definedName name="CRF_Summary2_Main2" localSheetId="155">Summary2_1990!$A$56:$J$64</definedName>
    <definedName name="CRF_Summary2_Main2" localSheetId="156">Summary2_2018!$A$56:$J$64</definedName>
    <definedName name="CRF_Summary2_Main2" localSheetId="157">Summary2_2020!$A$56:$J$64</definedName>
    <definedName name="CRF_Summary2_Main2">#REF!</definedName>
    <definedName name="CRF_Summary2_Main3" localSheetId="155">Summary2_1990!$A$65:$J$65</definedName>
    <definedName name="CRF_Summary2_Main3" localSheetId="156">Summary2_2018!$A$65:$J$65</definedName>
    <definedName name="CRF_Summary2_Main3" localSheetId="157">Summary2_2020!$A$65:$J$65</definedName>
    <definedName name="CRF_Summary2_Main3">#REF!</definedName>
    <definedName name="CRF_Summary2_Main4" localSheetId="155">Summary2_1990!$A$66:$J$69</definedName>
    <definedName name="CRF_Summary2_Main4" localSheetId="156">Summary2_2018!$A$66:$J$69</definedName>
    <definedName name="CRF_Summary2_Main4" localSheetId="157">Summary2_2020!$A$66:$J$69</definedName>
    <definedName name="CRF_Summary2_Main4">#REF!</definedName>
    <definedName name="CRF_Table2_I_.A_Hs1_Main" localSheetId="157">'Table2(I).A-Hs1_2020'!$A$5:$L$40</definedName>
    <definedName name="CRF_Table2_I_.A_Hs1_Main" localSheetId="93">'Table2(I).A-Hs1_2018'!$A$5:$L$40</definedName>
    <definedName name="CRF_Table2_I_.A_Hs1_Main" localSheetId="94">'Table2(I).A-Hs1_2018'!$A$5:$L$40</definedName>
    <definedName name="CRF_Table2_I_.A_Hs1_Main" localSheetId="95">'Table2(I).A-Hs1_2018'!$A$5:$L$40</definedName>
    <definedName name="CRF_Table2_I_.A_Hs1_Main" localSheetId="96">'Table2(I).A-Hs1_2018'!$A$5:$L$40</definedName>
    <definedName name="CRF_Table2_I_.A_Hs1_Main" localSheetId="97">'Table2(I).A-Hs1_2018'!$A$5:$L$40</definedName>
    <definedName name="CRF_Table2_I_.A_Hs1_Main" localSheetId="98">'Table2(I).A-Hs1_2018'!$A$5:$L$40</definedName>
    <definedName name="CRF_Table2_I_.A_Hs1_Main" localSheetId="99">'Table2(I).A-Hs1_2018'!$A$5:$L$40</definedName>
    <definedName name="CRF_Table2_I_.A_Hs1_Main">#REF!</definedName>
    <definedName name="CRF_Table2_I_.A_Hs2_Doc" localSheetId="157">'Table2(I).A-Hs2_2020'!$A$53:$L$56</definedName>
    <definedName name="CRF_Table2_I_.A_Hs2_Doc" localSheetId="94">'Table2(I).A-Hs2_2018'!$A$53:$L$56</definedName>
    <definedName name="CRF_Table2_I_.A_Hs2_Doc" localSheetId="95">'Table2(I).A-Hs2_2018'!$A$53:$L$56</definedName>
    <definedName name="CRF_Table2_I_.A_Hs2_Doc" localSheetId="96">'Table2(I).A-Hs2_2018'!$A$53:$L$56</definedName>
    <definedName name="CRF_Table2_I_.A_Hs2_Doc" localSheetId="97">'Table2(I).A-Hs2_2018'!$A$53:$L$56</definedName>
    <definedName name="CRF_Table2_I_.A_Hs2_Doc" localSheetId="98">'Table2(I).A-Hs2_2018'!$A$53:$L$56</definedName>
    <definedName name="CRF_Table2_I_.A_Hs2_Doc" localSheetId="99">'Table2(I).A-Hs2_2018'!$A$53:$L$56</definedName>
    <definedName name="CRF_Table2_I_.A_Hs2_Doc">#REF!</definedName>
    <definedName name="CRF_Table2_I_.A_Hs2_Main" localSheetId="157">'Table2(I).A-Hs2_2020'!$A$5:$L$42</definedName>
    <definedName name="CRF_Table2_I_.A_Hs2_Main" localSheetId="94">'Table2(I).A-Hs2_2018'!$A$5:$L$42</definedName>
    <definedName name="CRF_Table2_I_.A_Hs2_Main" localSheetId="95">'Table2(I).A-Hs2_2018'!$A$5:$L$42</definedName>
    <definedName name="CRF_Table2_I_.A_Hs2_Main" localSheetId="96">'Table2(I).A-Hs2_2018'!$A$5:$L$42</definedName>
    <definedName name="CRF_Table2_I_.A_Hs2_Main" localSheetId="97">'Table2(I).A-Hs2_2018'!$A$5:$L$42</definedName>
    <definedName name="CRF_Table2_I_.A_Hs2_Main" localSheetId="98">'Table2(I).A-Hs2_2018'!$A$5:$L$42</definedName>
    <definedName name="CRF_Table2_I_.A_Hs2_Main" localSheetId="99">'Table2(I).A-Hs2_2018'!$A$5:$L$42</definedName>
    <definedName name="CRF_Table2_I_.A_Hs2_Main">#REF!</definedName>
    <definedName name="CRF_Table2_I_s2_Doc" localSheetId="157">'Table2(I)s2_2020'!$A$35:$M$36</definedName>
    <definedName name="CRF_Table2_I_s2_Doc" localSheetId="93">'Table2(I)s2_2018'!$A$35:$M$36</definedName>
    <definedName name="CRF_Table2_I_s2_Doc" localSheetId="94">'Table2(I)s2_2018'!$A$35:$M$36</definedName>
    <definedName name="CRF_Table2_I_s2_Doc" localSheetId="92">'Table2(I)s2_2018'!$A$35:$M$36</definedName>
    <definedName name="CRF_Table2_I_s2_Doc" localSheetId="95">'Table2(I)s2_2018'!$A$35:$M$36</definedName>
    <definedName name="CRF_Table2_I_s2_Doc" localSheetId="96">'Table2(I)s2_2018'!$A$35:$M$36</definedName>
    <definedName name="CRF_Table2_I_s2_Doc" localSheetId="97">'Table2(I)s2_2018'!$A$35:$M$36</definedName>
    <definedName name="CRF_Table2_I_s2_Doc" localSheetId="98">'Table2(I)s2_2018'!$A$35:$M$36</definedName>
    <definedName name="CRF_Table2_I_s2_Doc" localSheetId="99">'Table2(I)s2_2018'!$A$35:$M$36</definedName>
    <definedName name="CRF_Table2_I_s2_Doc">#REF!</definedName>
    <definedName name="CRF_Table2_I_s2_Main" localSheetId="157">'Table2(I)s2_2020'!$A$5:$M$29</definedName>
    <definedName name="CRF_Table2_I_s2_Main" localSheetId="93">'Table2(I)s2_2018'!$A$5:$M$29</definedName>
    <definedName name="CRF_Table2_I_s2_Main" localSheetId="94">'Table2(I)s2_2018'!$A$5:$M$29</definedName>
    <definedName name="CRF_Table2_I_s2_Main" localSheetId="92">'Table2(I)s2_2018'!$A$5:$M$29</definedName>
    <definedName name="CRF_Table2_I_s2_Main" localSheetId="95">'Table2(I)s2_2018'!$A$5:$M$29</definedName>
    <definedName name="CRF_Table2_I_s2_Main" localSheetId="96">'Table2(I)s2_2018'!$A$5:$M$29</definedName>
    <definedName name="CRF_Table2_I_s2_Main" localSheetId="97">'Table2(I)s2_2018'!$A$5:$M$29</definedName>
    <definedName name="CRF_Table2_I_s2_Main" localSheetId="98">'Table2(I)s2_2018'!$A$5:$M$29</definedName>
    <definedName name="CRF_Table2_I_s2_Main" localSheetId="99">'Table2(I)s2_2018'!$A$5:$M$29</definedName>
    <definedName name="CRF_Table2_I_s2_Main">#REF!</definedName>
    <definedName name="CRF_Table2_II__Doc" localSheetId="157">'Table2(II)_2020'!$A$52:$AI$54</definedName>
    <definedName name="CRF_Table2_II__Doc" localSheetId="95">'Table2(II)_2018'!$A$52:$AI$54</definedName>
    <definedName name="CRF_Table2_II__Doc" localSheetId="96">'Table2(II)_2018'!$A$52:$AI$54</definedName>
    <definedName name="CRF_Table2_II__Doc" localSheetId="97">'Table2(II)_2018'!$A$52:$AI$54</definedName>
    <definedName name="CRF_Table2_II__Doc" localSheetId="98">'Table2(II)_2018'!$A$52:$AI$54</definedName>
    <definedName name="CRF_Table2_II__Doc" localSheetId="99">'Table2(II)_2018'!$A$52:$AI$54</definedName>
    <definedName name="CRF_Table2_II__Doc">#REF!</definedName>
    <definedName name="CRF_Table2_II__Main" localSheetId="157">'Table2(II)_2020'!$A$5:$AJ$43</definedName>
    <definedName name="CRF_Table2_II__Main" localSheetId="95">'Table2(II)_2018'!$A$5:$AJ$43</definedName>
    <definedName name="CRF_Table2_II__Main" localSheetId="96">'Table2(II)_2018'!$A$5:$AJ$43</definedName>
    <definedName name="CRF_Table2_II__Main" localSheetId="97">'Table2(II)_2018'!$A$5:$AJ$43</definedName>
    <definedName name="CRF_Table2_II__Main" localSheetId="98">'Table2(II)_2018'!$A$5:$AJ$43</definedName>
    <definedName name="CRF_Table2_II__Main" localSheetId="99">'Table2(II)_2018'!$A$5:$AJ$43</definedName>
    <definedName name="CRF_Table2_II__Main">#REF!</definedName>
    <definedName name="CRF_Table2_II_B_Hs1_Main">#REF!</definedName>
    <definedName name="CRF_Table3.As1_Doc" localSheetId="157">Table3.As1_2020!$A$42:$E$46</definedName>
    <definedName name="CRF_Table3.As1_Doc" localSheetId="96">Table3.As1_2018!$A$41:$E$45</definedName>
    <definedName name="CRF_Table3.As1_Doc" localSheetId="97">Table3.As1_2018!$A$41:$E$45</definedName>
    <definedName name="CRF_Table3.As1_Doc" localSheetId="98">Table3.As1_2018!$A$41:$E$45</definedName>
    <definedName name="CRF_Table3.As1_Doc" localSheetId="99">Table3.As1_2018!$A$41:$E$45</definedName>
    <definedName name="CRF_Table3.As1_Doc">#REF!</definedName>
    <definedName name="CRF_Table3.As1_Main" localSheetId="157">Table3.As1_2020!$A$6:$F$26</definedName>
    <definedName name="CRF_Table3.As1_Main" localSheetId="96">Table3.As1_2018!$A$6:$F$26</definedName>
    <definedName name="CRF_Table3.As1_Main" localSheetId="97">Table3.As1_2018!$A$6:$F$26</definedName>
    <definedName name="CRF_Table3.As1_Main" localSheetId="98">Table3.As1_2018!$A$6:$F$26</definedName>
    <definedName name="CRF_Table3.As1_Main" localSheetId="99">Table3.As1_2018!$A$6:$F$26</definedName>
    <definedName name="CRF_Table3.As1_Main">#REF!</definedName>
    <definedName name="CRF_Table3.As2_Add">#REF!</definedName>
    <definedName name="CRF_Table3.B_a_s2_Add" localSheetId="162">#REF!</definedName>
    <definedName name="CRF_Table3.B_a_s2_Add" localSheetId="160">#REF!</definedName>
    <definedName name="CRF_Table3.B_a_s2_Add" localSheetId="72">#REF!</definedName>
    <definedName name="CRF_Table3.B_a_s2_Add" localSheetId="57">#REF!</definedName>
    <definedName name="CRF_Table3.B_a_s2_Add" localSheetId="58">#REF!</definedName>
    <definedName name="CRF_Table3.B_a_s2_Add" localSheetId="31">#REF!</definedName>
    <definedName name="CRF_Table3.B_a_s2_Add" localSheetId="32">#REF!</definedName>
    <definedName name="CRF_Table3.B_a_s2_Add" localSheetId="90">#REF!</definedName>
    <definedName name="CRF_Table3.B_a_s2_Add" localSheetId="91">#REF!</definedName>
    <definedName name="CRF_Table3.B_a_s2_Add" localSheetId="155">#REF!</definedName>
    <definedName name="CRF_Table3.B_a_s2_Add" localSheetId="156">#REF!</definedName>
    <definedName name="CRF_Table3.B_a_s2_Add" localSheetId="157">#REF!</definedName>
    <definedName name="CRF_Table3.B_a_s2_Add" localSheetId="93">#REF!</definedName>
    <definedName name="CRF_Table3.B_a_s2_Add" localSheetId="94">#REF!</definedName>
    <definedName name="CRF_Table3.B_a_s2_Add" localSheetId="92">#REF!</definedName>
    <definedName name="CRF_Table3.B_a_s2_Add" localSheetId="95">#REF!</definedName>
    <definedName name="CRF_Table3.B_a_s2_Add" localSheetId="96">#REF!</definedName>
    <definedName name="CRF_Table3.B_a_s2_Add" localSheetId="97">#REF!</definedName>
    <definedName name="CRF_Table3.B_a_s2_Add" localSheetId="98">#REF!</definedName>
    <definedName name="CRF_Table3.B_a_s2_Add" localSheetId="99">#REF!</definedName>
    <definedName name="CRF_Table3.B_a_s2_Add">#REF!</definedName>
    <definedName name="CRF_Table3.B_b__Doc">#REF!</definedName>
    <definedName name="CRF_Table3.B_b__Main">#REF!</definedName>
    <definedName name="CRF_Table3.D_Add" localSheetId="157">Table3.D_2020!$A$31:$C$35</definedName>
    <definedName name="CRF_Table3.D_Add" localSheetId="97">Table3.D_2018!$A$31:$C$35</definedName>
    <definedName name="CRF_Table3.D_Add" localSheetId="98">Table3.D_2018!$A$31:$C$35</definedName>
    <definedName name="CRF_Table3.D_Add" localSheetId="99">Table3.D_2018!$A$31:$C$35</definedName>
    <definedName name="CRF_Table3.D_Add">#REF!</definedName>
    <definedName name="CRF_Table3.D_Doc" localSheetId="157">Table3.D_2020!$A$38:$E$42</definedName>
    <definedName name="CRF_Table3.D_Doc" localSheetId="97">Table3.D_2018!$A$38:$E$42</definedName>
    <definedName name="CRF_Table3.D_Doc" localSheetId="98">Table3.D_2018!$A$38:$E$42</definedName>
    <definedName name="CRF_Table3.D_Doc" localSheetId="99">Table3.D_2018!$A$38:$E$42</definedName>
    <definedName name="CRF_Table3.D_Doc">#REF!</definedName>
    <definedName name="CRF_Table3.D_Main" localSheetId="157">Table3.D_2020!$A$5:$E$21</definedName>
    <definedName name="CRF_Table3.D_Main" localSheetId="97">Table3.D_2018!$A$5:$E$21</definedName>
    <definedName name="CRF_Table3.D_Main" localSheetId="98">Table3.D_2018!$A$5:$E$21</definedName>
    <definedName name="CRF_Table3.D_Main" localSheetId="99">Table3.D_2018!$A$5:$E$21</definedName>
    <definedName name="CRF_Table3.D_Main">#REF!</definedName>
    <definedName name="CRF_Table3.G_I_Doc" localSheetId="157">'Table3.G-I_2020'!$A$17:$D$18</definedName>
    <definedName name="CRF_Table3.G_I_Doc" localSheetId="98">'Table3.G-I_2018'!$A$17:$D$18</definedName>
    <definedName name="CRF_Table3.G_I_Doc" localSheetId="99">'Table3.G-I_2018'!$A$17:$D$18</definedName>
    <definedName name="CRF_Table3.G_I_Doc">#REF!</definedName>
    <definedName name="CRF_Table3.G_I_Main" localSheetId="157">'Table3.G-I_2020'!$A$5:$D$14</definedName>
    <definedName name="CRF_Table3.G_I_Main" localSheetId="98">'Table3.G-I_2018'!$A$5:$D$14</definedName>
    <definedName name="CRF_Table3.G_I_Main" localSheetId="99">'Table3.G-I_2018'!$A$5:$D$14</definedName>
    <definedName name="CRF_Table3.G_I_Main">#REF!</definedName>
    <definedName name="CRF_Table4.A_Doc" localSheetId="157">Table4.A_2020!$A$34:$T$35</definedName>
    <definedName name="CRF_Table4.A_Doc" localSheetId="99">Table4.A_2018!$A$34:$T$35</definedName>
    <definedName name="CRF_Table4.A_Doc">#REF!</definedName>
    <definedName name="CRF_Table4.A_Main" localSheetId="157">Table4.A_2020!$A$5:$T$23</definedName>
    <definedName name="CRF_Table4.A_Main" localSheetId="99">Table4.A_2018!$A$5:$T$23</definedName>
    <definedName name="CRF_Table4.A_Main">#REF!</definedName>
    <definedName name="CRF_Table4.B_Doc" localSheetId="157">Table4.B_2020!$A$36:$R$37</definedName>
    <definedName name="CRF_Table4.B_Doc">#REF!</definedName>
    <definedName name="CRF_Table4.B_Main" localSheetId="157">Table4.B_2020!$A$5:$R$23</definedName>
    <definedName name="CRF_Table4.B_Main">#REF!</definedName>
    <definedName name="CRF_Table4.C_Doc" localSheetId="157">Table4.C_2020!$A$35:$R$36</definedName>
    <definedName name="CRF_Table4.C_Doc">#REF!</definedName>
    <definedName name="CRF_Table4.C_Main" localSheetId="157">Table4.C_2020!$A$5:$R$23</definedName>
    <definedName name="CRF_Table4.C_Main">#REF!</definedName>
    <definedName name="CRF_Table4.D_Doc" localSheetId="157">Table4.D_2020!$A$45:$O$46</definedName>
    <definedName name="CRF_Table4.D_Doc">#REF!</definedName>
    <definedName name="CRF_Table4.D_Main" localSheetId="157">Table4.D_2020!$A$5:$R$29</definedName>
    <definedName name="CRF_Table4.D_Main">#REF!</definedName>
    <definedName name="CRF_Table4.E_Doc" localSheetId="157">Table4.E_2020!$A$31:$R$32</definedName>
    <definedName name="CRF_Table4.E_Doc">#REF!</definedName>
    <definedName name="CRF_Table4.E_Main" localSheetId="157">Table4.E_2020!$A$5:$R$23</definedName>
    <definedName name="CRF_Table4.E_Main">#REF!</definedName>
    <definedName name="CRF_Table4.F_Doc" localSheetId="157">Table4.F_2020!$A$32:$R$33</definedName>
    <definedName name="CRF_Table4.F_Doc">#REF!</definedName>
    <definedName name="CRF_Table4.F_Main" localSheetId="157">Table4.F_2020!$A$5:$R$22</definedName>
    <definedName name="CRF_Table4.F_Main">#REF!</definedName>
    <definedName name="CRF_Table4.Gs2_Add" localSheetId="157">Table4.Gs2_2020!$A$79:$B$83</definedName>
    <definedName name="CRF_Table4.Gs2_Add">#REF!</definedName>
    <definedName name="CRF_Table4.Gs2_Doc" localSheetId="157">Table4.Gs2_2020!$A$86:$J$86</definedName>
    <definedName name="CRF_Table4.Gs2_Doc">#REF!</definedName>
    <definedName name="CRF_Table4.Gs2_Main" localSheetId="157">Table4.Gs2_2020!$A$6:$J$9</definedName>
    <definedName name="CRF_Table4.Gs2_Main">#REF!</definedName>
    <definedName name="CRF_Table4_II__Doc" localSheetId="157">'Table4(II)_2020'!$A$75:$I$76</definedName>
    <definedName name="CRF_Table4_II__Doc">#REF!</definedName>
    <definedName name="CRF_Table4_II__Main" localSheetId="157">'Table4(II)_2020'!$A$5:$I$67</definedName>
    <definedName name="CRF_Table4_II__Main">#REF!</definedName>
    <definedName name="CRF_Table4_III__Doc" localSheetId="157">'Table4(III)_2020'!$A$43:$D$44</definedName>
    <definedName name="CRF_Table4_III__Doc">#REF!</definedName>
    <definedName name="CRF_Table4_III__Main" localSheetId="157">'Table4(III)_2020'!$A$6:$D$35</definedName>
    <definedName name="CRF_Table4_III__Main">#REF!</definedName>
    <definedName name="CRF_Table4_V__Doc" localSheetId="157">'Table4(V)_2020'!$A$68:$K$69</definedName>
    <definedName name="CRF_Table4_V__Doc">#REF!</definedName>
    <definedName name="CRF_Table4_V__Main" localSheetId="157">'Table4(V)_2020'!$A$5:$K$57</definedName>
    <definedName name="CRF_Table4_V__Main">#REF!</definedName>
    <definedName name="CRF_Table5.A_Doc" localSheetId="53">[24]Table5.A!$A$26:$I$32</definedName>
    <definedName name="CRF_Table5.A_Doc" localSheetId="54">[24]Table5.A!$A$26:$I$32</definedName>
    <definedName name="CRF_Table5.A_Doc" localSheetId="55">[24]Table5.A!$A$26:$I$32</definedName>
    <definedName name="CRF_Table5.A_Doc" localSheetId="56">[24]Table5.A!$A$26:$I$32</definedName>
    <definedName name="CRF_Table5.A_Doc" localSheetId="57">[25]Table5.A!$A$26:$I$32</definedName>
    <definedName name="CRF_Table5.A_Doc" localSheetId="58">[25]Table5.A!$A$26:$I$32</definedName>
    <definedName name="CRF_Table5.A_Doc" localSheetId="90">[25]Table5.A!$A$26:$I$32</definedName>
    <definedName name="CRF_Table5.A_Doc" localSheetId="91">[25]Table5.A!$A$26:$I$32</definedName>
    <definedName name="CRF_Table5.A_Doc" localSheetId="157">Table5.A_2020!$A$26:$I$32</definedName>
    <definedName name="CRF_Table5.A_Doc">#REF!</definedName>
    <definedName name="CRF_Table5.A_Main" localSheetId="53">[24]Table5.A!$A$6:$J$15</definedName>
    <definedName name="CRF_Table5.A_Main" localSheetId="54">[24]Table5.A!$A$6:$J$15</definedName>
    <definedName name="CRF_Table5.A_Main" localSheetId="55">[24]Table5.A!$A$6:$J$15</definedName>
    <definedName name="CRF_Table5.A_Main" localSheetId="56">[24]Table5.A!$A$6:$J$15</definedName>
    <definedName name="CRF_Table5.A_Main" localSheetId="57">[25]Table5.A!$A$6:$J$15</definedName>
    <definedName name="CRF_Table5.A_Main" localSheetId="58">[25]Table5.A!$A$6:$J$15</definedName>
    <definedName name="CRF_Table5.A_Main" localSheetId="90">[25]Table5.A!$A$6:$J$15</definedName>
    <definedName name="CRF_Table5.A_Main" localSheetId="91">[25]Table5.A!$A$6:$J$15</definedName>
    <definedName name="CRF_Table5.A_Main" localSheetId="157">Table5.A_2020!$A$6:$J$15</definedName>
    <definedName name="CRF_Table5.A_Main">#REF!</definedName>
    <definedName name="CRF_Table5.B_Doc" localSheetId="53">[24]Table5.B!$A$22:$H$24</definedName>
    <definedName name="CRF_Table5.B_Doc" localSheetId="54">[24]Table5.B!$A$22:$H$24</definedName>
    <definedName name="CRF_Table5.B_Doc" localSheetId="55">[24]Table5.B!$A$22:$H$24</definedName>
    <definedName name="CRF_Table5.B_Doc" localSheetId="56">[24]Table5.B!$A$22:$H$24</definedName>
    <definedName name="CRF_Table5.B_Doc" localSheetId="57">[25]Table5.B!$A$22:$H$24</definedName>
    <definedName name="CRF_Table5.B_Doc" localSheetId="58">[25]Table5.B!$A$22:$H$24</definedName>
    <definedName name="CRF_Table5.B_Doc" localSheetId="90">[25]Table5.B!$A$22:$H$24</definedName>
    <definedName name="CRF_Table5.B_Doc" localSheetId="91">[25]Table5.B!$A$22:$H$24</definedName>
    <definedName name="CRF_Table5.B_Doc" localSheetId="157">Table5.B_2020!$A$22:$H$24</definedName>
    <definedName name="CRF_Table5.B_Doc">#REF!</definedName>
    <definedName name="CRF_Table5.B_Main" localSheetId="53">[24]Table5.B!$A$5:$H$16</definedName>
    <definedName name="CRF_Table5.B_Main" localSheetId="54">[24]Table5.B!$A$5:$H$16</definedName>
    <definedName name="CRF_Table5.B_Main" localSheetId="55">[24]Table5.B!$A$5:$H$16</definedName>
    <definedName name="CRF_Table5.B_Main" localSheetId="56">[24]Table5.B!$A$5:$H$16</definedName>
    <definedName name="CRF_Table5.B_Main" localSheetId="57">[25]Table5.B!$A$5:$H$16</definedName>
    <definedName name="CRF_Table5.B_Main" localSheetId="58">[25]Table5.B!$A$5:$H$16</definedName>
    <definedName name="CRF_Table5.B_Main" localSheetId="90">[25]Table5.B!$A$5:$H$16</definedName>
    <definedName name="CRF_Table5.B_Main" localSheetId="91">[25]Table5.B!$A$5:$H$16</definedName>
    <definedName name="CRF_Table5.B_Main" localSheetId="157">Table5.B_2020!$A$5:$H$16</definedName>
    <definedName name="CRF_Table5.B_Main">#REF!</definedName>
    <definedName name="CRF_Table5.C_Doc" localSheetId="53">[24]Table5.C!$A$34:$H$37</definedName>
    <definedName name="CRF_Table5.C_Doc" localSheetId="54">[24]Table5.C!$A$34:$H$37</definedName>
    <definedName name="CRF_Table5.C_Doc" localSheetId="55">[24]Table5.C!$A$34:$H$37</definedName>
    <definedName name="CRF_Table5.C_Doc" localSheetId="56">[24]Table5.C!$A$34:$H$37</definedName>
    <definedName name="CRF_Table5.C_Doc" localSheetId="57">[25]Table5.C!$A$34:$H$37</definedName>
    <definedName name="CRF_Table5.C_Doc" localSheetId="58">[25]Table5.C!$A$34:$H$37</definedName>
    <definedName name="CRF_Table5.C_Doc" localSheetId="90">[25]Table5.C!$A$34:$H$37</definedName>
    <definedName name="CRF_Table5.C_Doc" localSheetId="91">[25]Table5.C!$A$34:$H$37</definedName>
    <definedName name="CRF_Table5.C_Doc" localSheetId="157">Table5.C_2020!$A$34:$H$37</definedName>
    <definedName name="CRF_Table5.C_Doc">#REF!</definedName>
    <definedName name="CRF_Table5.C_Main" localSheetId="53">[24]Table5.C!$A$5:$H$25</definedName>
    <definedName name="CRF_Table5.C_Main" localSheetId="54">[24]Table5.C!$A$5:$H$25</definedName>
    <definedName name="CRF_Table5.C_Main" localSheetId="55">[24]Table5.C!$A$5:$H$25</definedName>
    <definedName name="CRF_Table5.C_Main" localSheetId="56">[24]Table5.C!$A$5:$H$25</definedName>
    <definedName name="CRF_Table5.C_Main" localSheetId="57">[25]Table5.C!$A$5:$H$25</definedName>
    <definedName name="CRF_Table5.C_Main" localSheetId="58">[25]Table5.C!$A$5:$H$25</definedName>
    <definedName name="CRF_Table5.C_Main" localSheetId="90">[25]Table5.C!$A$5:$H$25</definedName>
    <definedName name="CRF_Table5.C_Main" localSheetId="91">[25]Table5.C!$A$5:$H$25</definedName>
    <definedName name="CRF_Table5.C_Main" localSheetId="157">Table5.C_2020!$A$5:$H$25</definedName>
    <definedName name="CRF_Table5.C_Main">#REF!</definedName>
    <definedName name="CRF_Table5.D_Add" localSheetId="55">[26]Table5.D!$A$22:$B$27</definedName>
    <definedName name="CRF_Table5.D_Add" localSheetId="56">[26]Table5.D!$A$22:$B$27</definedName>
    <definedName name="CRF_Table5.D_Add" localSheetId="57">[27]Table5.D!$A$22:$B$27</definedName>
    <definedName name="CRF_Table5.D_Add" localSheetId="58">[27]Table5.D!$A$22:$B$27</definedName>
    <definedName name="CRF_Table5.D_Add" localSheetId="90">[27]Table5.D!$A$22:$B$27</definedName>
    <definedName name="CRF_Table5.D_Add" localSheetId="91">[27]Table5.D!$A$22:$B$27</definedName>
    <definedName name="CRF_Table5.D_Add" localSheetId="157">Table5.D_2020!$A$22:$B$27</definedName>
    <definedName name="CRF_Table5.D_Add">#REF!</definedName>
    <definedName name="CRF_Table5.D_Doc" localSheetId="55">[26]Table5.D!$A$34:$J$36</definedName>
    <definedName name="CRF_Table5.D_Doc" localSheetId="56">[26]Table5.D!$A$34:$J$36</definedName>
    <definedName name="CRF_Table5.D_Doc" localSheetId="57">[27]Table5.D!$A$34:$J$36</definedName>
    <definedName name="CRF_Table5.D_Doc" localSheetId="58">[27]Table5.D!$A$34:$J$36</definedName>
    <definedName name="CRF_Table5.D_Doc" localSheetId="90">[27]Table5.D!$A$34:$J$36</definedName>
    <definedName name="CRF_Table5.D_Doc" localSheetId="91">[27]Table5.D!$A$34:$J$36</definedName>
    <definedName name="CRF_Table5.D_Doc" localSheetId="157">Table5.D_2020!$A$34:$J$36</definedName>
    <definedName name="CRF_Table5.D_Doc">#REF!</definedName>
    <definedName name="CRF_Table5.D_Main" localSheetId="55">[26]Table5.D!$A$5:$J$12</definedName>
    <definedName name="CRF_Table5.D_Main" localSheetId="56">[26]Table5.D!$A$5:$J$12</definedName>
    <definedName name="CRF_Table5.D_Main" localSheetId="57">[27]Table5.D!$A$5:$J$12</definedName>
    <definedName name="CRF_Table5.D_Main" localSheetId="58">[27]Table5.D!$A$5:$J$12</definedName>
    <definedName name="CRF_Table5.D_Main" localSheetId="90">[27]Table5.D!$A$5:$J$12</definedName>
    <definedName name="CRF_Table5.D_Main" localSheetId="91">[27]Table5.D!$A$5:$J$12</definedName>
    <definedName name="CRF_Table5.D_Main" localSheetId="157">Table5.D_2020!$A$5:$J$12</definedName>
    <definedName name="CRF_Table5.D_Main">#REF!</definedName>
    <definedName name="CRF_Table7_Main" localSheetId="162">#REF!</definedName>
    <definedName name="CRF_Table7_Main" localSheetId="160">#REF!</definedName>
    <definedName name="CRF_Table7_Main" localSheetId="72">#REF!</definedName>
    <definedName name="CRF_Table7_Main" localSheetId="51">#REF!</definedName>
    <definedName name="CRF_Table7_Main" localSheetId="52">#REF!</definedName>
    <definedName name="CRF_Table7_Main" localSheetId="53">#REF!</definedName>
    <definedName name="CRF_Table7_Main" localSheetId="54">#REF!</definedName>
    <definedName name="CRF_Table7_Main" localSheetId="55">#REF!</definedName>
    <definedName name="CRF_Table7_Main" localSheetId="56">#REF!</definedName>
    <definedName name="CRF_Table7_Main" localSheetId="57">#REF!</definedName>
    <definedName name="CRF_Table7_Main" localSheetId="58">#REF!</definedName>
    <definedName name="CRF_Table7_Main" localSheetId="31">#REF!</definedName>
    <definedName name="CRF_Table7_Main" localSheetId="32">#REF!</definedName>
    <definedName name="CRF_Table7_Main" localSheetId="90">#REF!</definedName>
    <definedName name="CRF_Table7_Main" localSheetId="91">#REF!</definedName>
    <definedName name="CRF_Table7_Main" localSheetId="155">#REF!</definedName>
    <definedName name="CRF_Table7_Main" localSheetId="156">#REF!</definedName>
    <definedName name="CRF_Table7_Main" localSheetId="157">#REF!</definedName>
    <definedName name="CRF_Table7_Main" localSheetId="93">#REF!</definedName>
    <definedName name="CRF_Table7_Main" localSheetId="94">#REF!</definedName>
    <definedName name="CRF_Table7_Main" localSheetId="92">#REF!</definedName>
    <definedName name="CRF_Table7_Main" localSheetId="95">#REF!</definedName>
    <definedName name="CRF_Table7_Main" localSheetId="96">#REF!</definedName>
    <definedName name="CRF_Table7_Main" localSheetId="97">#REF!</definedName>
    <definedName name="CRF_Table7_Main" localSheetId="98">#REF!</definedName>
    <definedName name="CRF_Table7_Main" localSheetId="99">#REF!</definedName>
    <definedName name="CRF_Table7_Main">#REF!</definedName>
    <definedName name="INFOSVIN">Fodermiddeltabel!$D$5:$CA$196</definedName>
    <definedName name="_xlnm.Criteria" localSheetId="6">'K-tiltag'!$B$8:$I$11</definedName>
    <definedName name="procesemission_pr_kommune_og_værk_2018" localSheetId="90">'PUNKTKILDELISTE pr værk 18'!$A$1:$E$36</definedName>
    <definedName name="procesemission_pr_kommune_og_værk_2018">'PUNKTKILDELISTE pr værk 20'!$A$1:$E$33</definedName>
    <definedName name="_xlnm.Print_Area" localSheetId="12">'E1990'!$A$1:$AT$90</definedName>
    <definedName name="_xlnm.Print_Area" localSheetId="13">'E2018'!$A$1:$AT$90</definedName>
    <definedName name="_xlnm.Print_Area" localSheetId="14">'E2020'!$A$1:$AT$91</definedName>
    <definedName name="_xlnm.Print_Area" localSheetId="11">EBAU2030!$A$1:$AT$90</definedName>
    <definedName name="_xlnm.Print_Area" localSheetId="10">EBAU2050!$A$1:$AT$90</definedName>
    <definedName name="_xlnm.Print_Area" localSheetId="9">ESTI2030!$A$1:$AT$91</definedName>
    <definedName name="_xlnm.Print_Area" localSheetId="8">ESTI2050!$A$1:$AT$91</definedName>
    <definedName name="_xlnm.Print_Area" localSheetId="1">'Grafer-energi'!$A:$P</definedName>
    <definedName name="_xlnm.Print_Titles" localSheetId="87">Fodermiddeltabel!$B:$D,Fodermiddeltabel!$4:$5</definedName>
  </definedNames>
  <calcPr calcId="191029"/>
  <pivotCaches>
    <pivotCache cacheId="0" r:id="rId196"/>
    <pivotCache cacheId="1" r:id="rId197"/>
    <pivotCache cacheId="2" r:id="rId198"/>
    <pivotCache cacheId="3" r:id="rId19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0" i="55" l="1"/>
  <c r="I63" i="55"/>
  <c r="AA28" i="55"/>
  <c r="S28" i="55" s="1"/>
  <c r="N26" i="55"/>
  <c r="AA26" i="55" s="1"/>
  <c r="AG26" i="55" s="1"/>
  <c r="V22" i="55"/>
  <c r="B13" i="55"/>
  <c r="AT8" i="55"/>
  <c r="AS8" i="55"/>
  <c r="AR8" i="55"/>
  <c r="AQ8" i="55"/>
  <c r="AO8" i="55"/>
  <c r="AN8" i="55"/>
  <c r="AM8" i="55"/>
  <c r="F80" i="56"/>
  <c r="I63" i="56"/>
  <c r="AA28" i="56"/>
  <c r="AG28" i="56" s="1"/>
  <c r="N26" i="56"/>
  <c r="AA26" i="56" s="1"/>
  <c r="AG26" i="56" s="1"/>
  <c r="V22" i="56"/>
  <c r="B13" i="56"/>
  <c r="AA13" i="56" s="1"/>
  <c r="AT8" i="56"/>
  <c r="AR8" i="56"/>
  <c r="AQ8" i="56"/>
  <c r="AO8" i="56"/>
  <c r="AN8" i="56"/>
  <c r="AM8" i="56"/>
  <c r="AI37" i="56"/>
  <c r="I37" i="56" s="1"/>
  <c r="AA37" i="56" s="1"/>
  <c r="AG37" i="56" s="1"/>
  <c r="AS8" i="56"/>
  <c r="AA78" i="56"/>
  <c r="AT76" i="56"/>
  <c r="AK76" i="56"/>
  <c r="S76" i="56"/>
  <c r="F76" i="56" s="1"/>
  <c r="AA74" i="56"/>
  <c r="AA70" i="56"/>
  <c r="AA66" i="56"/>
  <c r="AT66" i="56" s="1"/>
  <c r="AK66" i="56" s="1"/>
  <c r="AH65" i="56"/>
  <c r="S65" i="56"/>
  <c r="H65" i="56" s="1"/>
  <c r="AA64" i="56"/>
  <c r="AA63" i="56"/>
  <c r="AT63" i="56" s="1"/>
  <c r="AK63" i="56" s="1"/>
  <c r="AF60" i="56"/>
  <c r="AA60" i="56"/>
  <c r="AK59" i="56"/>
  <c r="AI59" i="56"/>
  <c r="AJ59" i="56" s="1"/>
  <c r="AA59" i="56"/>
  <c r="AK58" i="56"/>
  <c r="AK57" i="56"/>
  <c r="AI57" i="56"/>
  <c r="AJ57" i="56" s="1"/>
  <c r="AQ56" i="56"/>
  <c r="AK56" i="56"/>
  <c r="AA56" i="56"/>
  <c r="AQ55" i="56"/>
  <c r="AK55" i="56" s="1"/>
  <c r="AG55" i="56"/>
  <c r="AA55" i="56"/>
  <c r="AK54" i="56"/>
  <c r="AA54" i="56"/>
  <c r="AG54" i="56" s="1"/>
  <c r="AK53" i="56"/>
  <c r="AA53" i="56"/>
  <c r="AI53" i="56" s="1"/>
  <c r="AK52" i="56"/>
  <c r="AA52" i="56"/>
  <c r="AI52" i="56" s="1"/>
  <c r="AF51" i="56"/>
  <c r="AA51" i="56"/>
  <c r="AK50" i="56"/>
  <c r="AA50" i="56"/>
  <c r="AK49" i="56"/>
  <c r="AA49" i="56"/>
  <c r="AG49" i="56" s="1"/>
  <c r="AK48" i="56"/>
  <c r="AA48" i="56"/>
  <c r="AK47" i="56"/>
  <c r="AA47" i="56"/>
  <c r="AK46" i="56"/>
  <c r="AK45" i="56"/>
  <c r="AK44" i="56"/>
  <c r="AF43" i="56"/>
  <c r="AA43" i="56"/>
  <c r="AK42" i="56"/>
  <c r="AA42" i="56"/>
  <c r="AG42" i="56" s="1"/>
  <c r="AK41" i="56"/>
  <c r="AK40" i="56"/>
  <c r="AA40" i="56"/>
  <c r="AK39" i="56"/>
  <c r="AE39" i="56"/>
  <c r="AH39" i="56" s="1"/>
  <c r="AK38" i="56"/>
  <c r="AK37" i="56"/>
  <c r="AF36" i="56"/>
  <c r="AA36" i="56"/>
  <c r="AK35" i="56"/>
  <c r="AA35" i="56"/>
  <c r="AG35" i="56" s="1"/>
  <c r="AK34" i="56"/>
  <c r="AA34" i="56"/>
  <c r="AG34" i="56" s="1"/>
  <c r="AF33" i="56"/>
  <c r="AA33" i="56"/>
  <c r="AK32" i="56"/>
  <c r="AI32" i="56"/>
  <c r="AA32" i="56"/>
  <c r="AK31" i="56"/>
  <c r="AE31" i="56"/>
  <c r="AI31" i="56" s="1"/>
  <c r="Q31" i="56" s="1"/>
  <c r="AA31" i="56" s="1"/>
  <c r="AK30" i="56"/>
  <c r="AA30" i="56"/>
  <c r="AI30" i="56" s="1"/>
  <c r="AK29" i="56"/>
  <c r="AA29" i="56"/>
  <c r="AG29" i="56" s="1"/>
  <c r="AK28" i="56"/>
  <c r="R28" i="56"/>
  <c r="AK27" i="56"/>
  <c r="AK26" i="56"/>
  <c r="AK25" i="56"/>
  <c r="AK24" i="56"/>
  <c r="AK23" i="56"/>
  <c r="AK12" i="56"/>
  <c r="AA10" i="56"/>
  <c r="AA9" i="56"/>
  <c r="AA8" i="56"/>
  <c r="S76" i="55"/>
  <c r="S65" i="55"/>
  <c r="H65" i="55" s="1"/>
  <c r="AA63" i="55"/>
  <c r="AT63" i="55" s="1"/>
  <c r="AK63" i="55" s="1"/>
  <c r="AF60" i="55"/>
  <c r="AF51" i="55"/>
  <c r="AF43" i="55"/>
  <c r="AE39" i="55"/>
  <c r="AF36" i="55"/>
  <c r="AF33" i="55"/>
  <c r="AE31" i="55"/>
  <c r="AA13" i="55"/>
  <c r="AA78" i="55"/>
  <c r="AT76" i="55"/>
  <c r="AK76" i="55" s="1"/>
  <c r="F76" i="55"/>
  <c r="AA74" i="55"/>
  <c r="AA70" i="55"/>
  <c r="AA66" i="55"/>
  <c r="AT66" i="55" s="1"/>
  <c r="AK66" i="55" s="1"/>
  <c r="AH65" i="55"/>
  <c r="AA64" i="55"/>
  <c r="AA60" i="55"/>
  <c r="AK59" i="55"/>
  <c r="AI59" i="55"/>
  <c r="AJ59" i="55" s="1"/>
  <c r="AA59" i="55"/>
  <c r="AK58" i="55"/>
  <c r="AK57" i="55"/>
  <c r="AI57" i="55"/>
  <c r="AQ56" i="55"/>
  <c r="AK56" i="55" s="1"/>
  <c r="AA56" i="55"/>
  <c r="AQ55" i="55"/>
  <c r="AK55" i="55" s="1"/>
  <c r="AG55" i="55"/>
  <c r="AA55" i="55"/>
  <c r="AK54" i="55"/>
  <c r="AA54" i="55"/>
  <c r="AG54" i="55" s="1"/>
  <c r="AK53" i="55"/>
  <c r="AA53" i="55"/>
  <c r="AI53" i="55" s="1"/>
  <c r="AK52" i="55"/>
  <c r="AA52" i="55"/>
  <c r="AG52" i="55" s="1"/>
  <c r="AA51" i="55"/>
  <c r="AK50" i="55"/>
  <c r="AA50" i="55"/>
  <c r="AK49" i="55"/>
  <c r="AA49" i="55"/>
  <c r="AG49" i="55" s="1"/>
  <c r="AK48" i="55"/>
  <c r="AA48" i="55"/>
  <c r="AK47" i="55"/>
  <c r="AA47" i="55"/>
  <c r="AK46" i="55"/>
  <c r="AK45" i="55"/>
  <c r="AK44" i="55"/>
  <c r="AA43" i="55"/>
  <c r="AK42" i="55"/>
  <c r="AA42" i="55"/>
  <c r="AG42" i="55" s="1"/>
  <c r="AK41" i="55"/>
  <c r="AK40" i="55"/>
  <c r="AA40" i="55"/>
  <c r="AK39" i="55"/>
  <c r="AK38" i="55"/>
  <c r="AK37" i="55"/>
  <c r="AA36" i="55"/>
  <c r="AK35" i="55"/>
  <c r="AA35" i="55"/>
  <c r="AG35" i="55" s="1"/>
  <c r="AK34" i="55"/>
  <c r="AA34" i="55"/>
  <c r="AI34" i="55" s="1"/>
  <c r="AA33" i="55"/>
  <c r="AK32" i="55"/>
  <c r="AI32" i="55"/>
  <c r="AA32" i="55"/>
  <c r="AK31" i="55"/>
  <c r="AI31" i="55"/>
  <c r="Q31" i="55" s="1"/>
  <c r="AA31" i="55" s="1"/>
  <c r="AK30" i="55"/>
  <c r="AA30" i="55"/>
  <c r="AI30" i="55" s="1"/>
  <c r="AK29" i="55"/>
  <c r="AA29" i="55"/>
  <c r="AG29" i="55" s="1"/>
  <c r="AK28" i="55"/>
  <c r="AK27" i="55"/>
  <c r="AK26" i="55"/>
  <c r="AK25" i="55"/>
  <c r="AK24" i="55"/>
  <c r="AK23" i="55"/>
  <c r="AK12" i="55"/>
  <c r="AA10" i="55"/>
  <c r="AA9" i="55"/>
  <c r="AA8" i="55"/>
  <c r="E556" i="44"/>
  <c r="D556" i="44"/>
  <c r="C556" i="44"/>
  <c r="F555" i="44"/>
  <c r="E555" i="44"/>
  <c r="D555" i="44"/>
  <c r="C555" i="44"/>
  <c r="F554" i="44"/>
  <c r="F553" i="44"/>
  <c r="E553" i="44"/>
  <c r="D553" i="44"/>
  <c r="F552" i="44"/>
  <c r="E552" i="44"/>
  <c r="D552" i="44"/>
  <c r="F551" i="44"/>
  <c r="E551" i="44"/>
  <c r="D551" i="44"/>
  <c r="F264" i="44"/>
  <c r="D264" i="44"/>
  <c r="O46" i="44"/>
  <c r="N46" i="44"/>
  <c r="O45" i="44"/>
  <c r="N45" i="44"/>
  <c r="O44" i="44"/>
  <c r="N44" i="44"/>
  <c r="O43" i="44"/>
  <c r="N43" i="44"/>
  <c r="O42" i="44"/>
  <c r="N42" i="44"/>
  <c r="O41" i="44"/>
  <c r="N41" i="44"/>
  <c r="O40" i="44"/>
  <c r="N40" i="44"/>
  <c r="O36" i="44"/>
  <c r="D36" i="44"/>
  <c r="O35" i="44"/>
  <c r="D35" i="44"/>
  <c r="O34" i="44"/>
  <c r="D34" i="44"/>
  <c r="C34" i="44"/>
  <c r="C200" i="44"/>
  <c r="C234" i="44" s="1"/>
  <c r="R33" i="44"/>
  <c r="O33" i="44"/>
  <c r="N33" i="44"/>
  <c r="H33" i="44"/>
  <c r="D33" i="44"/>
  <c r="C33" i="44"/>
  <c r="F8" i="44"/>
  <c r="E8" i="44"/>
  <c r="AI28" i="56" l="1"/>
  <c r="T28" i="56"/>
  <c r="AI29" i="56"/>
  <c r="P43" i="44"/>
  <c r="AG53" i="56"/>
  <c r="AJ57" i="55"/>
  <c r="AI52" i="55"/>
  <c r="AI33" i="56"/>
  <c r="AJ33" i="56" s="1"/>
  <c r="AO33" i="56" s="1"/>
  <c r="AI35" i="55"/>
  <c r="AI36" i="55" s="1"/>
  <c r="AJ36" i="55" s="1"/>
  <c r="AI29" i="55"/>
  <c r="AI33" i="55" s="1"/>
  <c r="AJ33" i="55" s="1"/>
  <c r="AQ33" i="55" s="1"/>
  <c r="AI34" i="56"/>
  <c r="AG53" i="55"/>
  <c r="AI35" i="56"/>
  <c r="W28" i="56"/>
  <c r="S28" i="56"/>
  <c r="AT13" i="56"/>
  <c r="AQ13" i="56"/>
  <c r="AL13" i="56"/>
  <c r="AT65" i="56"/>
  <c r="AK65" i="56" s="1"/>
  <c r="AG52" i="56"/>
  <c r="T28" i="55"/>
  <c r="W28" i="55"/>
  <c r="AT13" i="55"/>
  <c r="AQ13" i="55"/>
  <c r="AL13" i="55"/>
  <c r="AG28" i="55"/>
  <c r="AG34" i="55"/>
  <c r="AI28" i="55"/>
  <c r="AT65" i="55"/>
  <c r="AK65" i="55" s="1"/>
  <c r="R28" i="55"/>
  <c r="P41" i="44"/>
  <c r="D37" i="44"/>
  <c r="O37" i="44"/>
  <c r="P44" i="44"/>
  <c r="P46" i="44"/>
  <c r="P45" i="44"/>
  <c r="P42" i="44"/>
  <c r="O47" i="44"/>
  <c r="R34" i="44" s="1"/>
  <c r="N47" i="44"/>
  <c r="AC40" i="44" s="1"/>
  <c r="AD40" i="44" s="1"/>
  <c r="C284" i="44"/>
  <c r="C261" i="44"/>
  <c r="C313" i="44"/>
  <c r="C372" i="44" s="1"/>
  <c r="P40" i="44"/>
  <c r="AQ33" i="56" l="1"/>
  <c r="AK13" i="55"/>
  <c r="AR33" i="56"/>
  <c r="AM33" i="55"/>
  <c r="AO33" i="55"/>
  <c r="AM33" i="56"/>
  <c r="AL33" i="55"/>
  <c r="AR33" i="55"/>
  <c r="AL33" i="56"/>
  <c r="AN33" i="56"/>
  <c r="AN33" i="55"/>
  <c r="AQ36" i="55"/>
  <c r="AM36" i="55"/>
  <c r="AO36" i="55"/>
  <c r="AL36" i="55"/>
  <c r="AR36" i="55"/>
  <c r="AN36" i="55"/>
  <c r="AI36" i="56"/>
  <c r="AJ36" i="56" s="1"/>
  <c r="AK13" i="56"/>
  <c r="R36" i="44"/>
  <c r="P47" i="44"/>
  <c r="R35" i="44"/>
  <c r="C444" i="44"/>
  <c r="C487" i="44"/>
  <c r="AK36" i="55" l="1"/>
  <c r="AK33" i="55"/>
  <c r="AK33" i="56"/>
  <c r="AO36" i="56"/>
  <c r="AN36" i="56"/>
  <c r="AM36" i="56"/>
  <c r="AR36" i="56"/>
  <c r="AL36" i="56"/>
  <c r="AQ36" i="56"/>
  <c r="C587" i="44"/>
  <c r="C549" i="44"/>
  <c r="AK36" i="56" l="1"/>
  <c r="AF109" i="254"/>
  <c r="AG109" i="254"/>
  <c r="AH109" i="254"/>
  <c r="AE109" i="254"/>
  <c r="AF108" i="254"/>
  <c r="AF110" i="254" s="1"/>
  <c r="AF112" i="254" s="1"/>
  <c r="AG108" i="254"/>
  <c r="AG110" i="254" s="1"/>
  <c r="AG112" i="254" s="1"/>
  <c r="AH108" i="254"/>
  <c r="AH110" i="254" s="1"/>
  <c r="AE108" i="254"/>
  <c r="AE110" i="254" s="1"/>
  <c r="AE112" i="254" s="1"/>
  <c r="J83" i="60"/>
  <c r="L83" i="60"/>
  <c r="N83" i="60"/>
  <c r="N79" i="60"/>
  <c r="L79" i="60"/>
  <c r="AG114" i="254" l="1"/>
  <c r="AG122" i="254" s="1"/>
  <c r="AH112" i="254"/>
  <c r="AH113" i="254" s="1"/>
  <c r="AH116" i="254" s="1"/>
  <c r="AH114" i="254"/>
  <c r="AH122" i="254" s="1"/>
  <c r="AG113" i="254"/>
  <c r="AG116" i="254" s="1"/>
  <c r="AE114" i="254"/>
  <c r="AE122" i="254" s="1"/>
  <c r="AE113" i="254"/>
  <c r="AE116" i="254" s="1"/>
  <c r="AF114" i="254"/>
  <c r="AF122" i="254" s="1"/>
  <c r="AF113" i="254"/>
  <c r="AF116" i="254" s="1"/>
  <c r="D199" i="253"/>
  <c r="D201" i="253"/>
  <c r="D202" i="253" s="1"/>
  <c r="H88" i="253" l="1"/>
  <c r="G88" i="253"/>
  <c r="J13" i="254" l="1"/>
  <c r="J11" i="254"/>
  <c r="J8" i="254"/>
  <c r="J9" i="254"/>
  <c r="F10" i="216" l="1"/>
  <c r="F9" i="216"/>
  <c r="F10" i="183"/>
  <c r="F9" i="183"/>
  <c r="N41" i="49"/>
  <c r="N41" i="213"/>
  <c r="F557" i="44" s="1"/>
  <c r="F8" i="216"/>
  <c r="F8" i="183"/>
  <c r="AL39" i="150" l="1"/>
  <c r="AK39" i="150"/>
  <c r="AJ39" i="150"/>
  <c r="AI39" i="150"/>
  <c r="AH39" i="150"/>
  <c r="AG39" i="150"/>
  <c r="AF39" i="150"/>
  <c r="AE39" i="150"/>
  <c r="AD39" i="150"/>
  <c r="AC39" i="150"/>
  <c r="AB39" i="150"/>
  <c r="AA39" i="150"/>
  <c r="Z39" i="150"/>
  <c r="Y39" i="150"/>
  <c r="X39" i="150"/>
  <c r="W39" i="150"/>
  <c r="V39" i="150"/>
  <c r="U39" i="150"/>
  <c r="T39" i="150"/>
  <c r="S39" i="150"/>
  <c r="R39" i="150"/>
  <c r="Q39" i="150"/>
  <c r="P39" i="150"/>
  <c r="O39" i="150"/>
  <c r="N39" i="150"/>
  <c r="M39" i="150"/>
  <c r="L39" i="150"/>
  <c r="K39" i="150"/>
  <c r="J39" i="150"/>
  <c r="I39" i="150"/>
  <c r="H39" i="150"/>
  <c r="G39" i="150"/>
  <c r="F39" i="150"/>
  <c r="E39" i="150"/>
  <c r="D39" i="150"/>
  <c r="C39" i="150"/>
  <c r="AM38" i="150"/>
  <c r="AM37" i="150"/>
  <c r="AM36" i="150"/>
  <c r="AM35" i="150"/>
  <c r="AM34" i="150"/>
  <c r="AM33" i="150"/>
  <c r="AM32" i="150"/>
  <c r="AM31" i="150"/>
  <c r="AM30" i="150"/>
  <c r="AM29" i="150"/>
  <c r="AM28" i="150"/>
  <c r="AM27" i="150"/>
  <c r="AM26" i="150"/>
  <c r="AM25" i="150"/>
  <c r="AM24" i="150"/>
  <c r="AM23" i="150"/>
  <c r="AM22" i="150"/>
  <c r="AM21" i="150"/>
  <c r="AM20" i="150"/>
  <c r="AM19" i="150"/>
  <c r="AM18" i="150"/>
  <c r="AM17" i="150"/>
  <c r="AM16" i="150"/>
  <c r="AM15" i="150"/>
  <c r="AM14" i="150"/>
  <c r="AM13" i="150"/>
  <c r="AM12" i="150"/>
  <c r="AM11" i="150"/>
  <c r="AM10" i="150"/>
  <c r="AM9" i="150"/>
  <c r="AM8" i="150"/>
  <c r="AM7" i="150"/>
  <c r="AM6" i="150"/>
  <c r="AM5" i="150"/>
  <c r="AM4" i="150"/>
  <c r="AM3" i="150"/>
  <c r="C34" i="138"/>
  <c r="B34" i="138"/>
  <c r="D33" i="138"/>
  <c r="D32" i="138"/>
  <c r="D31" i="138"/>
  <c r="C27" i="138"/>
  <c r="B27" i="138"/>
  <c r="D26" i="138"/>
  <c r="D25" i="138"/>
  <c r="D24" i="138"/>
  <c r="D23" i="138"/>
  <c r="D22" i="138"/>
  <c r="D21" i="138"/>
  <c r="D20" i="138"/>
  <c r="D19" i="138"/>
  <c r="D18" i="138"/>
  <c r="D17" i="138"/>
  <c r="D16" i="138"/>
  <c r="D15" i="138"/>
  <c r="D14" i="138"/>
  <c r="D13" i="138"/>
  <c r="D12" i="138"/>
  <c r="D11" i="138"/>
  <c r="D10" i="138"/>
  <c r="D9" i="138"/>
  <c r="D8" i="138"/>
  <c r="D7" i="138"/>
  <c r="D6" i="138"/>
  <c r="D5" i="138"/>
  <c r="D4" i="138"/>
  <c r="D3" i="138"/>
  <c r="F77" i="142"/>
  <c r="E77" i="142"/>
  <c r="D77" i="142"/>
  <c r="F76" i="142"/>
  <c r="E76" i="142"/>
  <c r="D76" i="142"/>
  <c r="F75" i="142"/>
  <c r="E75" i="142"/>
  <c r="D75" i="142"/>
  <c r="F74" i="142"/>
  <c r="E74" i="142"/>
  <c r="D74" i="142"/>
  <c r="F73" i="142"/>
  <c r="E73" i="142"/>
  <c r="D73" i="142"/>
  <c r="F72" i="142"/>
  <c r="E72" i="142"/>
  <c r="D72" i="142"/>
  <c r="F71" i="142"/>
  <c r="E71" i="142"/>
  <c r="D71" i="142"/>
  <c r="F70" i="142"/>
  <c r="E70" i="142"/>
  <c r="D70" i="142"/>
  <c r="F69" i="142"/>
  <c r="E69" i="142"/>
  <c r="D69" i="142"/>
  <c r="F68" i="142"/>
  <c r="E68" i="142"/>
  <c r="D68" i="142"/>
  <c r="F67" i="142"/>
  <c r="E67" i="142"/>
  <c r="D67" i="142"/>
  <c r="F66" i="142"/>
  <c r="E66" i="142"/>
  <c r="D66" i="142"/>
  <c r="F65" i="142"/>
  <c r="E65" i="142"/>
  <c r="D65" i="142"/>
  <c r="F64" i="142"/>
  <c r="E64" i="142"/>
  <c r="D64" i="142"/>
  <c r="F63" i="142"/>
  <c r="E63" i="142"/>
  <c r="D63" i="142"/>
  <c r="F62" i="142"/>
  <c r="E62" i="142"/>
  <c r="D62" i="142"/>
  <c r="F61" i="142"/>
  <c r="E61" i="142"/>
  <c r="D61" i="142"/>
  <c r="F60" i="142"/>
  <c r="E60" i="142"/>
  <c r="D60" i="142"/>
  <c r="F59" i="142"/>
  <c r="E59" i="142"/>
  <c r="D59" i="142"/>
  <c r="F58" i="142"/>
  <c r="E58" i="142"/>
  <c r="D58" i="142"/>
  <c r="F57" i="142"/>
  <c r="E57" i="142"/>
  <c r="D57" i="142"/>
  <c r="F56" i="142"/>
  <c r="E56" i="142"/>
  <c r="D56" i="142"/>
  <c r="F55" i="142"/>
  <c r="E55" i="142"/>
  <c r="D55" i="142"/>
  <c r="F54" i="142"/>
  <c r="E54" i="142"/>
  <c r="D54" i="142"/>
  <c r="F51" i="142"/>
  <c r="E51" i="142"/>
  <c r="D51" i="142"/>
  <c r="F50" i="142"/>
  <c r="E50" i="142"/>
  <c r="D50" i="142"/>
  <c r="G49" i="142"/>
  <c r="H49" i="142" s="1"/>
  <c r="G48" i="142"/>
  <c r="H48" i="142" s="1"/>
  <c r="G47" i="142"/>
  <c r="H47" i="142" s="1"/>
  <c r="G46" i="142"/>
  <c r="G45" i="142"/>
  <c r="H45" i="142" s="1"/>
  <c r="G44" i="142"/>
  <c r="G43" i="142"/>
  <c r="H43" i="142" s="1"/>
  <c r="G42" i="142"/>
  <c r="G41" i="142"/>
  <c r="H41" i="142" s="1"/>
  <c r="G40" i="142"/>
  <c r="H40" i="142" s="1"/>
  <c r="G39" i="142"/>
  <c r="H39" i="142" s="1"/>
  <c r="G38" i="142"/>
  <c r="H38" i="142" s="1"/>
  <c r="G37" i="142"/>
  <c r="H37" i="142" s="1"/>
  <c r="G36" i="142"/>
  <c r="G35" i="142"/>
  <c r="H35" i="142" s="1"/>
  <c r="G34" i="142"/>
  <c r="H34" i="142" s="1"/>
  <c r="G33" i="142"/>
  <c r="H33" i="142" s="1"/>
  <c r="G32" i="142"/>
  <c r="H32" i="142" s="1"/>
  <c r="G31" i="142"/>
  <c r="H31" i="142" s="1"/>
  <c r="G30" i="142"/>
  <c r="G29" i="142"/>
  <c r="H29" i="142" s="1"/>
  <c r="G28" i="142"/>
  <c r="G27" i="142"/>
  <c r="H27" i="142" s="1"/>
  <c r="G26" i="142"/>
  <c r="G24" i="142"/>
  <c r="H24" i="142" s="1"/>
  <c r="H65" i="142" s="1"/>
  <c r="G23" i="142"/>
  <c r="H23" i="142" s="1"/>
  <c r="G22" i="142"/>
  <c r="H22" i="142" s="1"/>
  <c r="G21" i="142"/>
  <c r="H21" i="142" s="1"/>
  <c r="G20" i="142"/>
  <c r="G19" i="142"/>
  <c r="G18" i="142"/>
  <c r="H18" i="142" s="1"/>
  <c r="G17" i="142"/>
  <c r="H17" i="142" s="1"/>
  <c r="G16" i="142"/>
  <c r="G15" i="142"/>
  <c r="H15" i="142" s="1"/>
  <c r="G14" i="142"/>
  <c r="G13" i="142"/>
  <c r="H13" i="142" s="1"/>
  <c r="G12" i="142"/>
  <c r="H12" i="142" s="1"/>
  <c r="G11" i="142"/>
  <c r="H11" i="142" s="1"/>
  <c r="G10" i="142"/>
  <c r="H10" i="142" s="1"/>
  <c r="G9" i="142"/>
  <c r="H9" i="142" s="1"/>
  <c r="G8" i="142"/>
  <c r="H8" i="142" s="1"/>
  <c r="G7" i="142"/>
  <c r="H7" i="142" s="1"/>
  <c r="G6" i="142"/>
  <c r="H6" i="142" s="1"/>
  <c r="G5" i="142"/>
  <c r="H5" i="142" s="1"/>
  <c r="G4" i="142"/>
  <c r="G3" i="142"/>
  <c r="G2" i="142"/>
  <c r="N211" i="134"/>
  <c r="M211" i="134"/>
  <c r="L211" i="134"/>
  <c r="K211" i="134"/>
  <c r="O210" i="134" s="1"/>
  <c r="J211" i="134"/>
  <c r="I211" i="134"/>
  <c r="H211" i="134"/>
  <c r="G211" i="134"/>
  <c r="F211" i="134"/>
  <c r="A211" i="134" s="1"/>
  <c r="A210" i="134"/>
  <c r="A209" i="134"/>
  <c r="A208" i="134"/>
  <c r="A207" i="134"/>
  <c r="A206" i="134"/>
  <c r="A205" i="134"/>
  <c r="A204" i="134"/>
  <c r="A203" i="134"/>
  <c r="A202" i="134"/>
  <c r="A201" i="134"/>
  <c r="A200" i="134"/>
  <c r="A199" i="134"/>
  <c r="A198" i="134"/>
  <c r="A197" i="134"/>
  <c r="A196" i="134"/>
  <c r="A195" i="134"/>
  <c r="A194" i="134"/>
  <c r="A193" i="134"/>
  <c r="A192" i="134"/>
  <c r="A191" i="134"/>
  <c r="A190" i="134"/>
  <c r="A189" i="134"/>
  <c r="A188" i="134"/>
  <c r="A187" i="134"/>
  <c r="A186" i="134"/>
  <c r="A185" i="134"/>
  <c r="A184" i="134"/>
  <c r="A183" i="134"/>
  <c r="A182" i="134"/>
  <c r="A181" i="134"/>
  <c r="A180" i="134"/>
  <c r="A179" i="134"/>
  <c r="A178" i="134"/>
  <c r="A177" i="134"/>
  <c r="A176" i="134"/>
  <c r="A175" i="134"/>
  <c r="A174" i="134"/>
  <c r="A173" i="134"/>
  <c r="A172" i="134"/>
  <c r="A171" i="134"/>
  <c r="A170" i="134"/>
  <c r="A169" i="134"/>
  <c r="A168" i="134"/>
  <c r="A167" i="134"/>
  <c r="A166" i="134"/>
  <c r="A165" i="134"/>
  <c r="A164" i="134"/>
  <c r="A163" i="134"/>
  <c r="A162" i="134"/>
  <c r="A161" i="134"/>
  <c r="A160" i="134"/>
  <c r="A159" i="134"/>
  <c r="A158" i="134"/>
  <c r="A157" i="134"/>
  <c r="A156" i="134"/>
  <c r="A155" i="134"/>
  <c r="A154" i="134"/>
  <c r="A153" i="134"/>
  <c r="A152" i="134"/>
  <c r="A151" i="134"/>
  <c r="A150" i="134"/>
  <c r="A149" i="134"/>
  <c r="A148" i="134"/>
  <c r="A147" i="134"/>
  <c r="A146" i="134"/>
  <c r="A145" i="134"/>
  <c r="A144" i="134"/>
  <c r="A143" i="134"/>
  <c r="A142" i="134"/>
  <c r="A141" i="134"/>
  <c r="A140" i="134"/>
  <c r="A139" i="134"/>
  <c r="A138" i="134"/>
  <c r="A137" i="134"/>
  <c r="A136" i="134"/>
  <c r="A135" i="134"/>
  <c r="A134" i="134"/>
  <c r="A133" i="134"/>
  <c r="A132" i="134"/>
  <c r="A131" i="134"/>
  <c r="A130" i="134"/>
  <c r="A129" i="134"/>
  <c r="A128" i="134"/>
  <c r="A127" i="134"/>
  <c r="A126" i="134"/>
  <c r="A125" i="134"/>
  <c r="A124" i="134"/>
  <c r="A123" i="134"/>
  <c r="A122" i="134"/>
  <c r="A121" i="134"/>
  <c r="A120" i="134"/>
  <c r="A119" i="134"/>
  <c r="A118" i="134"/>
  <c r="A117" i="134"/>
  <c r="A116" i="134"/>
  <c r="A115" i="134"/>
  <c r="A114" i="134"/>
  <c r="A113" i="134"/>
  <c r="A112" i="134"/>
  <c r="A111" i="134"/>
  <c r="A110" i="134"/>
  <c r="A109" i="134"/>
  <c r="A108" i="134"/>
  <c r="A107" i="134"/>
  <c r="A106" i="134"/>
  <c r="A105" i="134"/>
  <c r="A104" i="134"/>
  <c r="A103" i="134"/>
  <c r="A102" i="134"/>
  <c r="A101" i="134"/>
  <c r="A100" i="134"/>
  <c r="A99" i="134"/>
  <c r="A98" i="134"/>
  <c r="A97" i="134"/>
  <c r="A96" i="134"/>
  <c r="A95" i="134"/>
  <c r="A94" i="134"/>
  <c r="A93" i="134"/>
  <c r="A92" i="134"/>
  <c r="A91" i="134"/>
  <c r="A90" i="134"/>
  <c r="A89" i="134"/>
  <c r="A88" i="134"/>
  <c r="A87" i="134"/>
  <c r="A86" i="134"/>
  <c r="A85" i="134"/>
  <c r="A84" i="134"/>
  <c r="A83" i="134"/>
  <c r="A82" i="134"/>
  <c r="A81" i="134"/>
  <c r="A80" i="134"/>
  <c r="A79" i="134"/>
  <c r="A78" i="134"/>
  <c r="A77" i="134"/>
  <c r="A76" i="134"/>
  <c r="A75" i="134"/>
  <c r="A74" i="134"/>
  <c r="A73" i="134"/>
  <c r="A72" i="134"/>
  <c r="A71" i="134"/>
  <c r="A70" i="134"/>
  <c r="A69" i="134"/>
  <c r="A68" i="134"/>
  <c r="A67" i="134"/>
  <c r="A66" i="134"/>
  <c r="A65" i="134"/>
  <c r="A64" i="134"/>
  <c r="A63" i="134"/>
  <c r="A62" i="134"/>
  <c r="A61" i="134"/>
  <c r="A60" i="134"/>
  <c r="A59" i="134"/>
  <c r="A58" i="134"/>
  <c r="A57" i="134"/>
  <c r="A56" i="134"/>
  <c r="A55" i="134"/>
  <c r="A54" i="134"/>
  <c r="A53" i="134"/>
  <c r="A52" i="134"/>
  <c r="A51" i="134"/>
  <c r="A50" i="134"/>
  <c r="A49" i="134"/>
  <c r="A48" i="134"/>
  <c r="A47" i="134"/>
  <c r="A46" i="134"/>
  <c r="A45" i="134"/>
  <c r="A44" i="134"/>
  <c r="A43" i="134"/>
  <c r="A42" i="134"/>
  <c r="A41" i="134"/>
  <c r="A40" i="134"/>
  <c r="A39" i="134"/>
  <c r="A38" i="134"/>
  <c r="A37" i="134"/>
  <c r="A36" i="134"/>
  <c r="A35" i="134"/>
  <c r="A34" i="134"/>
  <c r="A33" i="134"/>
  <c r="A32" i="134"/>
  <c r="A31" i="134"/>
  <c r="A30" i="134"/>
  <c r="A29" i="134"/>
  <c r="A28" i="134"/>
  <c r="A27" i="134"/>
  <c r="A26" i="134"/>
  <c r="A25" i="134"/>
  <c r="A24" i="134"/>
  <c r="A23" i="134"/>
  <c r="A22" i="134"/>
  <c r="A21" i="134"/>
  <c r="A20" i="134"/>
  <c r="A19" i="134"/>
  <c r="A18" i="134"/>
  <c r="A17" i="134"/>
  <c r="A16" i="134"/>
  <c r="A15" i="134"/>
  <c r="A14" i="134"/>
  <c r="A13" i="134"/>
  <c r="A12" i="134"/>
  <c r="A11" i="134"/>
  <c r="A10" i="134"/>
  <c r="A9" i="134"/>
  <c r="A8" i="134"/>
  <c r="A7" i="134"/>
  <c r="A6" i="134"/>
  <c r="A5" i="134"/>
  <c r="A4" i="134"/>
  <c r="A3" i="134"/>
  <c r="O84" i="134" l="1"/>
  <c r="O56" i="134"/>
  <c r="O164" i="134"/>
  <c r="O208" i="134"/>
  <c r="O43" i="134"/>
  <c r="O29" i="134"/>
  <c r="O65" i="134"/>
  <c r="O52" i="134"/>
  <c r="O111" i="134"/>
  <c r="O97" i="134"/>
  <c r="O79" i="134"/>
  <c r="O11" i="134"/>
  <c r="O24" i="134"/>
  <c r="O125" i="134"/>
  <c r="O139" i="134"/>
  <c r="O159" i="134"/>
  <c r="O180" i="134"/>
  <c r="O153" i="134"/>
  <c r="O93" i="134"/>
  <c r="O107" i="134"/>
  <c r="O120" i="134"/>
  <c r="O175" i="134"/>
  <c r="O196" i="134"/>
  <c r="O20" i="134"/>
  <c r="O33" i="134"/>
  <c r="O47" i="134"/>
  <c r="O61" i="134"/>
  <c r="O75" i="134"/>
  <c r="O88" i="134"/>
  <c r="O191" i="134"/>
  <c r="O148" i="134"/>
  <c r="O15" i="134"/>
  <c r="O116" i="134"/>
  <c r="O129" i="134"/>
  <c r="O143" i="134"/>
  <c r="G55" i="142"/>
  <c r="G63" i="142"/>
  <c r="G67" i="142"/>
  <c r="G71" i="142"/>
  <c r="G75" i="142"/>
  <c r="O7" i="134"/>
  <c r="O16" i="134"/>
  <c r="O25" i="134"/>
  <c r="O39" i="134"/>
  <c r="O48" i="134"/>
  <c r="O57" i="134"/>
  <c r="O71" i="134"/>
  <c r="O80" i="134"/>
  <c r="O89" i="134"/>
  <c r="O103" i="134"/>
  <c r="O112" i="134"/>
  <c r="O121" i="134"/>
  <c r="O135" i="134"/>
  <c r="O144" i="134"/>
  <c r="O203" i="134"/>
  <c r="O21" i="134"/>
  <c r="O35" i="134"/>
  <c r="O53" i="134"/>
  <c r="O67" i="134"/>
  <c r="O76" i="134"/>
  <c r="O85" i="134"/>
  <c r="O99" i="134"/>
  <c r="O108" i="134"/>
  <c r="O117" i="134"/>
  <c r="O131" i="134"/>
  <c r="O140" i="134"/>
  <c r="O160" i="134"/>
  <c r="O171" i="134"/>
  <c r="O176" i="134"/>
  <c r="O187" i="134"/>
  <c r="O192" i="134"/>
  <c r="O8" i="134"/>
  <c r="O17" i="134"/>
  <c r="O31" i="134"/>
  <c r="O40" i="134"/>
  <c r="O49" i="134"/>
  <c r="O63" i="134"/>
  <c r="O72" i="134"/>
  <c r="O81" i="134"/>
  <c r="O95" i="134"/>
  <c r="O104" i="134"/>
  <c r="O113" i="134"/>
  <c r="O127" i="134"/>
  <c r="O136" i="134"/>
  <c r="O145" i="134"/>
  <c r="H58" i="142"/>
  <c r="O3" i="134"/>
  <c r="O44" i="134"/>
  <c r="O4" i="134"/>
  <c r="O13" i="134"/>
  <c r="O27" i="134"/>
  <c r="O36" i="134"/>
  <c r="O45" i="134"/>
  <c r="O59" i="134"/>
  <c r="O68" i="134"/>
  <c r="O77" i="134"/>
  <c r="O91" i="134"/>
  <c r="O100" i="134"/>
  <c r="O109" i="134"/>
  <c r="O123" i="134"/>
  <c r="O132" i="134"/>
  <c r="O141" i="134"/>
  <c r="O151" i="134"/>
  <c r="O167" i="134"/>
  <c r="O172" i="134"/>
  <c r="O183" i="134"/>
  <c r="O188" i="134"/>
  <c r="O199" i="134"/>
  <c r="O9" i="134"/>
  <c r="O23" i="134"/>
  <c r="O32" i="134"/>
  <c r="O41" i="134"/>
  <c r="O55" i="134"/>
  <c r="O64" i="134"/>
  <c r="O73" i="134"/>
  <c r="O87" i="134"/>
  <c r="O96" i="134"/>
  <c r="O105" i="134"/>
  <c r="O119" i="134"/>
  <c r="O128" i="134"/>
  <c r="O137" i="134"/>
  <c r="O157" i="134"/>
  <c r="O12" i="134"/>
  <c r="O5" i="134"/>
  <c r="O19" i="134"/>
  <c r="O28" i="134"/>
  <c r="O37" i="134"/>
  <c r="O51" i="134"/>
  <c r="O60" i="134"/>
  <c r="O69" i="134"/>
  <c r="O83" i="134"/>
  <c r="O92" i="134"/>
  <c r="O101" i="134"/>
  <c r="O115" i="134"/>
  <c r="O124" i="134"/>
  <c r="O133" i="134"/>
  <c r="O147" i="134"/>
  <c r="O152" i="134"/>
  <c r="O163" i="134"/>
  <c r="O168" i="134"/>
  <c r="O179" i="134"/>
  <c r="O184" i="134"/>
  <c r="O195" i="134"/>
  <c r="O156" i="134"/>
  <c r="O204" i="134"/>
  <c r="D34" i="138"/>
  <c r="O200" i="134"/>
  <c r="O149" i="134"/>
  <c r="O207" i="134"/>
  <c r="O155" i="134"/>
  <c r="O211" i="134"/>
  <c r="G66" i="142"/>
  <c r="G74" i="142"/>
  <c r="F79" i="142"/>
  <c r="G65" i="142"/>
  <c r="G68" i="142"/>
  <c r="H72" i="142"/>
  <c r="G76" i="142"/>
  <c r="H69" i="142"/>
  <c r="H73" i="142"/>
  <c r="H77" i="142"/>
  <c r="G50" i="142"/>
  <c r="O165" i="134"/>
  <c r="O173" i="134"/>
  <c r="O181" i="134"/>
  <c r="O189" i="134"/>
  <c r="O197" i="134"/>
  <c r="O205" i="134"/>
  <c r="AM39" i="150"/>
  <c r="H56" i="142"/>
  <c r="G60" i="142"/>
  <c r="AN39" i="150"/>
  <c r="O161" i="134"/>
  <c r="O169" i="134"/>
  <c r="O177" i="134"/>
  <c r="O185" i="134"/>
  <c r="O193" i="134"/>
  <c r="O201" i="134"/>
  <c r="O209" i="134"/>
  <c r="O6" i="134"/>
  <c r="O10" i="134"/>
  <c r="O14" i="134"/>
  <c r="O18" i="134"/>
  <c r="O22" i="134"/>
  <c r="O26" i="134"/>
  <c r="O30" i="134"/>
  <c r="O34" i="134"/>
  <c r="O38" i="134"/>
  <c r="O42" i="134"/>
  <c r="O46" i="134"/>
  <c r="O50" i="134"/>
  <c r="O54" i="134"/>
  <c r="O58" i="134"/>
  <c r="O62" i="134"/>
  <c r="O66" i="134"/>
  <c r="O70" i="134"/>
  <c r="O74" i="134"/>
  <c r="O78" i="134"/>
  <c r="O82" i="134"/>
  <c r="O86" i="134"/>
  <c r="O90" i="134"/>
  <c r="O94" i="134"/>
  <c r="O98" i="134"/>
  <c r="O102" i="134"/>
  <c r="O106" i="134"/>
  <c r="O110" i="134"/>
  <c r="O114" i="134"/>
  <c r="O118" i="134"/>
  <c r="O122" i="134"/>
  <c r="O126" i="134"/>
  <c r="O130" i="134"/>
  <c r="O134" i="134"/>
  <c r="O138" i="134"/>
  <c r="O142" i="134"/>
  <c r="O146" i="134"/>
  <c r="O150" i="134"/>
  <c r="O154" i="134"/>
  <c r="O158" i="134"/>
  <c r="O162" i="134"/>
  <c r="O166" i="134"/>
  <c r="O170" i="134"/>
  <c r="O174" i="134"/>
  <c r="O178" i="134"/>
  <c r="O182" i="134"/>
  <c r="O186" i="134"/>
  <c r="O190" i="134"/>
  <c r="O194" i="134"/>
  <c r="O198" i="134"/>
  <c r="O202" i="134"/>
  <c r="O206" i="134"/>
  <c r="D78" i="142"/>
  <c r="G54" i="142"/>
  <c r="G62" i="142"/>
  <c r="G57" i="142"/>
  <c r="D27" i="138"/>
  <c r="G70" i="142"/>
  <c r="H57" i="142"/>
  <c r="G61" i="142"/>
  <c r="E78" i="142"/>
  <c r="H59" i="142"/>
  <c r="H64" i="142"/>
  <c r="H70" i="142"/>
  <c r="G73" i="142"/>
  <c r="H28" i="142"/>
  <c r="H67" i="142" s="1"/>
  <c r="H44" i="142"/>
  <c r="H75" i="142" s="1"/>
  <c r="G59" i="142"/>
  <c r="H4" i="142"/>
  <c r="H55" i="142" s="1"/>
  <c r="H16" i="142"/>
  <c r="H61" i="142" s="1"/>
  <c r="H20" i="142"/>
  <c r="H63" i="142" s="1"/>
  <c r="G56" i="142"/>
  <c r="G64" i="142"/>
  <c r="G72" i="142"/>
  <c r="D79" i="142"/>
  <c r="G51" i="142"/>
  <c r="G69" i="142"/>
  <c r="G77" i="142"/>
  <c r="E79" i="142"/>
  <c r="F78" i="142"/>
  <c r="H3" i="142"/>
  <c r="H19" i="142"/>
  <c r="H62" i="142" s="1"/>
  <c r="H26" i="142"/>
  <c r="H66" i="142" s="1"/>
  <c r="H30" i="142"/>
  <c r="H68" i="142" s="1"/>
  <c r="H42" i="142"/>
  <c r="H74" i="142" s="1"/>
  <c r="H46" i="142"/>
  <c r="H76" i="142" s="1"/>
  <c r="G58" i="142"/>
  <c r="H36" i="142"/>
  <c r="H71" i="142" s="1"/>
  <c r="H2" i="142"/>
  <c r="H14" i="142"/>
  <c r="H60" i="142" s="1"/>
  <c r="G78" i="142" l="1"/>
  <c r="G79" i="142"/>
  <c r="H51" i="142"/>
  <c r="H50" i="142"/>
  <c r="H54" i="142"/>
  <c r="H79" i="142" l="1"/>
  <c r="H78" i="142"/>
  <c r="AL39" i="244" l="1"/>
  <c r="AE39" i="244"/>
  <c r="AD39" i="244"/>
  <c r="W39" i="244"/>
  <c r="V39" i="244"/>
  <c r="O39" i="244"/>
  <c r="N39" i="244"/>
  <c r="G39" i="244"/>
  <c r="F39" i="244"/>
  <c r="AK39" i="244"/>
  <c r="AJ39" i="244"/>
  <c r="AI39" i="244"/>
  <c r="AC39" i="244"/>
  <c r="AB39" i="244"/>
  <c r="AA39" i="244"/>
  <c r="U39" i="244"/>
  <c r="T39" i="244"/>
  <c r="S39" i="244"/>
  <c r="M39" i="244"/>
  <c r="L39" i="244"/>
  <c r="K39" i="244"/>
  <c r="E39" i="244"/>
  <c r="D39" i="244"/>
  <c r="C39" i="244"/>
  <c r="H39" i="244"/>
  <c r="I39" i="244"/>
  <c r="J39" i="244"/>
  <c r="P39" i="244"/>
  <c r="Q39" i="244"/>
  <c r="R39" i="244"/>
  <c r="X39" i="244"/>
  <c r="Y39" i="244"/>
  <c r="Z39" i="244"/>
  <c r="AF39" i="244"/>
  <c r="AG39" i="244"/>
  <c r="AH39" i="244"/>
  <c r="C34" i="238" l="1"/>
  <c r="B34" i="238"/>
  <c r="D33" i="238"/>
  <c r="D32" i="238"/>
  <c r="D31" i="238"/>
  <c r="C27" i="238"/>
  <c r="B27" i="238"/>
  <c r="D26" i="238"/>
  <c r="D25" i="238"/>
  <c r="D24" i="238"/>
  <c r="D23" i="238"/>
  <c r="D22" i="238"/>
  <c r="D21" i="238"/>
  <c r="D20" i="238"/>
  <c r="D19" i="238"/>
  <c r="D18" i="238"/>
  <c r="D17" i="238"/>
  <c r="D16" i="238"/>
  <c r="D15" i="238"/>
  <c r="D14" i="238"/>
  <c r="D13" i="238"/>
  <c r="D12" i="238"/>
  <c r="D11" i="238"/>
  <c r="D10" i="238"/>
  <c r="D9" i="238"/>
  <c r="D8" i="238"/>
  <c r="D7" i="238"/>
  <c r="D6" i="238"/>
  <c r="D5" i="238"/>
  <c r="D4" i="238"/>
  <c r="D3" i="238"/>
  <c r="F77" i="236"/>
  <c r="E77" i="236"/>
  <c r="D77" i="236"/>
  <c r="F76" i="236"/>
  <c r="E76" i="236"/>
  <c r="D76" i="236"/>
  <c r="F75" i="236"/>
  <c r="E75" i="236"/>
  <c r="D75" i="236"/>
  <c r="F74" i="236"/>
  <c r="E74" i="236"/>
  <c r="D74" i="236"/>
  <c r="F73" i="236"/>
  <c r="E73" i="236"/>
  <c r="D73" i="236"/>
  <c r="F72" i="236"/>
  <c r="E72" i="236"/>
  <c r="D72" i="236"/>
  <c r="F71" i="236"/>
  <c r="E71" i="236"/>
  <c r="D71" i="236"/>
  <c r="F70" i="236"/>
  <c r="E70" i="236"/>
  <c r="D70" i="236"/>
  <c r="F69" i="236"/>
  <c r="E69" i="236"/>
  <c r="D69" i="236"/>
  <c r="F68" i="236"/>
  <c r="E68" i="236"/>
  <c r="D68" i="236"/>
  <c r="F67" i="236"/>
  <c r="E67" i="236"/>
  <c r="D67" i="236"/>
  <c r="F66" i="236"/>
  <c r="E66" i="236"/>
  <c r="D66" i="236"/>
  <c r="F65" i="236"/>
  <c r="E65" i="236"/>
  <c r="D65" i="236"/>
  <c r="F64" i="236"/>
  <c r="E64" i="236"/>
  <c r="D64" i="236"/>
  <c r="F63" i="236"/>
  <c r="E63" i="236"/>
  <c r="D63" i="236"/>
  <c r="F62" i="236"/>
  <c r="E62" i="236"/>
  <c r="D62" i="236"/>
  <c r="F61" i="236"/>
  <c r="E61" i="236"/>
  <c r="D61" i="236"/>
  <c r="F60" i="236"/>
  <c r="E60" i="236"/>
  <c r="D60" i="236"/>
  <c r="F59" i="236"/>
  <c r="E59" i="236"/>
  <c r="D59" i="236"/>
  <c r="F58" i="236"/>
  <c r="E58" i="236"/>
  <c r="D58" i="236"/>
  <c r="F57" i="236"/>
  <c r="E57" i="236"/>
  <c r="D57" i="236"/>
  <c r="F56" i="236"/>
  <c r="E56" i="236"/>
  <c r="D56" i="236"/>
  <c r="F55" i="236"/>
  <c r="E55" i="236"/>
  <c r="D55" i="236"/>
  <c r="F54" i="236"/>
  <c r="E54" i="236"/>
  <c r="D54" i="236"/>
  <c r="F51" i="236"/>
  <c r="E51" i="236"/>
  <c r="D51" i="236"/>
  <c r="F50" i="236"/>
  <c r="E50" i="236"/>
  <c r="D50" i="236"/>
  <c r="G49" i="236"/>
  <c r="H49" i="236" s="1"/>
  <c r="G48" i="236"/>
  <c r="H48" i="236" s="1"/>
  <c r="G47" i="236"/>
  <c r="H47" i="236" s="1"/>
  <c r="G46" i="236"/>
  <c r="G45" i="236"/>
  <c r="H45" i="236" s="1"/>
  <c r="G44" i="236"/>
  <c r="H44" i="236" s="1"/>
  <c r="G43" i="236"/>
  <c r="H43" i="236" s="1"/>
  <c r="G42" i="236"/>
  <c r="G41" i="236"/>
  <c r="H41" i="236" s="1"/>
  <c r="G40" i="236"/>
  <c r="H40" i="236" s="1"/>
  <c r="G39" i="236"/>
  <c r="H39" i="236" s="1"/>
  <c r="G38" i="236"/>
  <c r="H38" i="236" s="1"/>
  <c r="G37" i="236"/>
  <c r="H37" i="236" s="1"/>
  <c r="G36" i="236"/>
  <c r="G35" i="236"/>
  <c r="H35" i="236" s="1"/>
  <c r="G34" i="236"/>
  <c r="H34" i="236" s="1"/>
  <c r="G33" i="236"/>
  <c r="H33" i="236" s="1"/>
  <c r="G32" i="236"/>
  <c r="H32" i="236" s="1"/>
  <c r="G31" i="236"/>
  <c r="H31" i="236" s="1"/>
  <c r="G30" i="236"/>
  <c r="G29" i="236"/>
  <c r="H29" i="236" s="1"/>
  <c r="G28" i="236"/>
  <c r="H28" i="236" s="1"/>
  <c r="G27" i="236"/>
  <c r="H27" i="236" s="1"/>
  <c r="G26" i="236"/>
  <c r="G24" i="236"/>
  <c r="H24" i="236" s="1"/>
  <c r="G23" i="236"/>
  <c r="H23" i="236" s="1"/>
  <c r="G22" i="236"/>
  <c r="H22" i="236" s="1"/>
  <c r="G21" i="236"/>
  <c r="H21" i="236" s="1"/>
  <c r="G20" i="236"/>
  <c r="G19" i="236"/>
  <c r="G18" i="236"/>
  <c r="H18" i="236" s="1"/>
  <c r="G17" i="236"/>
  <c r="H17" i="236" s="1"/>
  <c r="G16" i="236"/>
  <c r="G15" i="236"/>
  <c r="H15" i="236" s="1"/>
  <c r="G14" i="236"/>
  <c r="G13" i="236"/>
  <c r="H13" i="236" s="1"/>
  <c r="G12" i="236"/>
  <c r="H12" i="236" s="1"/>
  <c r="G11" i="236"/>
  <c r="H11" i="236" s="1"/>
  <c r="G10" i="236"/>
  <c r="H10" i="236" s="1"/>
  <c r="G9" i="236"/>
  <c r="H9" i="236" s="1"/>
  <c r="G8" i="236"/>
  <c r="H8" i="236" s="1"/>
  <c r="G7" i="236"/>
  <c r="H7" i="236" s="1"/>
  <c r="G6" i="236"/>
  <c r="H6" i="236" s="1"/>
  <c r="G5" i="236"/>
  <c r="H5" i="236" s="1"/>
  <c r="G4" i="236"/>
  <c r="G3" i="236"/>
  <c r="H3" i="236" s="1"/>
  <c r="G2" i="236"/>
  <c r="N211" i="235"/>
  <c r="M211" i="235"/>
  <c r="L211" i="235"/>
  <c r="K211" i="235"/>
  <c r="O211" i="235" s="1"/>
  <c r="J211" i="235"/>
  <c r="I211" i="235"/>
  <c r="H211" i="235"/>
  <c r="G211" i="235"/>
  <c r="F211" i="235"/>
  <c r="D34" i="238" l="1"/>
  <c r="O71" i="235"/>
  <c r="O94" i="235"/>
  <c r="O134" i="235"/>
  <c r="O16" i="235"/>
  <c r="H67" i="236"/>
  <c r="O175" i="235"/>
  <c r="O45" i="235"/>
  <c r="F24" i="60"/>
  <c r="G71" i="236"/>
  <c r="H75" i="236"/>
  <c r="O103" i="235"/>
  <c r="O190" i="235"/>
  <c r="O24" i="235"/>
  <c r="O48" i="235"/>
  <c r="O77" i="235"/>
  <c r="O109" i="235"/>
  <c r="O150" i="235"/>
  <c r="O191" i="235"/>
  <c r="H69" i="236"/>
  <c r="H73" i="236"/>
  <c r="H77" i="236"/>
  <c r="O23" i="235"/>
  <c r="O78" i="235"/>
  <c r="O7" i="235"/>
  <c r="O30" i="235"/>
  <c r="O56" i="235"/>
  <c r="O80" i="235"/>
  <c r="O111" i="235"/>
  <c r="O157" i="235"/>
  <c r="O55" i="235"/>
  <c r="O110" i="235"/>
  <c r="O197" i="235"/>
  <c r="O8" i="235"/>
  <c r="O32" i="235"/>
  <c r="O61" i="235"/>
  <c r="O87" i="235"/>
  <c r="O126" i="235"/>
  <c r="O167" i="235"/>
  <c r="O72" i="235"/>
  <c r="O149" i="235"/>
  <c r="O29" i="235"/>
  <c r="O151" i="235"/>
  <c r="O13" i="235"/>
  <c r="O39" i="235"/>
  <c r="O62" i="235"/>
  <c r="O88" i="235"/>
  <c r="O127" i="235"/>
  <c r="O173" i="235"/>
  <c r="O46" i="235"/>
  <c r="O14" i="235"/>
  <c r="O40" i="235"/>
  <c r="O64" i="235"/>
  <c r="O93" i="235"/>
  <c r="O133" i="235"/>
  <c r="O174" i="235"/>
  <c r="G55" i="236"/>
  <c r="G63" i="236"/>
  <c r="O198" i="235"/>
  <c r="G66" i="236"/>
  <c r="G74" i="236"/>
  <c r="G65" i="236"/>
  <c r="G60" i="236"/>
  <c r="G62" i="236"/>
  <c r="G70" i="236"/>
  <c r="O15" i="235"/>
  <c r="O31" i="235"/>
  <c r="O47" i="235"/>
  <c r="O63" i="235"/>
  <c r="O79" i="235"/>
  <c r="O95" i="235"/>
  <c r="O117" i="235"/>
  <c r="O135" i="235"/>
  <c r="O158" i="235"/>
  <c r="O181" i="235"/>
  <c r="O199" i="235"/>
  <c r="G68" i="236"/>
  <c r="H72" i="236"/>
  <c r="G76" i="236"/>
  <c r="G57" i="236"/>
  <c r="D27" i="238"/>
  <c r="O96" i="235"/>
  <c r="O118" i="235"/>
  <c r="O141" i="235"/>
  <c r="O159" i="235"/>
  <c r="O182" i="235"/>
  <c r="O205" i="235"/>
  <c r="O5" i="235"/>
  <c r="O21" i="235"/>
  <c r="O37" i="235"/>
  <c r="O53" i="235"/>
  <c r="O69" i="235"/>
  <c r="O85" i="235"/>
  <c r="O101" i="235"/>
  <c r="O119" i="235"/>
  <c r="O142" i="235"/>
  <c r="O165" i="235"/>
  <c r="O183" i="235"/>
  <c r="O206" i="235"/>
  <c r="O6" i="235"/>
  <c r="O22" i="235"/>
  <c r="O38" i="235"/>
  <c r="O54" i="235"/>
  <c r="O70" i="235"/>
  <c r="O86" i="235"/>
  <c r="O102" i="235"/>
  <c r="O125" i="235"/>
  <c r="O143" i="235"/>
  <c r="O166" i="235"/>
  <c r="O189" i="235"/>
  <c r="O207" i="235"/>
  <c r="G61" i="236"/>
  <c r="O104" i="235"/>
  <c r="O128" i="235"/>
  <c r="O152" i="235"/>
  <c r="O184" i="235"/>
  <c r="O137" i="235"/>
  <c r="O112" i="235"/>
  <c r="O136" i="235"/>
  <c r="O160" i="235"/>
  <c r="O176" i="235"/>
  <c r="O200" i="235"/>
  <c r="O17" i="235"/>
  <c r="O49" i="235"/>
  <c r="O105" i="235"/>
  <c r="D78" i="236"/>
  <c r="O10" i="235"/>
  <c r="O18" i="235"/>
  <c r="O26" i="235"/>
  <c r="O34" i="235"/>
  <c r="O42" i="235"/>
  <c r="O50" i="235"/>
  <c r="O58" i="235"/>
  <c r="O66" i="235"/>
  <c r="O74" i="235"/>
  <c r="O82" i="235"/>
  <c r="O90" i="235"/>
  <c r="O98" i="235"/>
  <c r="O106" i="235"/>
  <c r="O114" i="235"/>
  <c r="O122" i="235"/>
  <c r="O130" i="235"/>
  <c r="O138" i="235"/>
  <c r="O146" i="235"/>
  <c r="O154" i="235"/>
  <c r="O162" i="235"/>
  <c r="O170" i="235"/>
  <c r="O178" i="235"/>
  <c r="O186" i="235"/>
  <c r="O194" i="235"/>
  <c r="O202" i="235"/>
  <c r="O210" i="235"/>
  <c r="E78" i="236"/>
  <c r="O33" i="235"/>
  <c r="O57" i="235"/>
  <c r="O81" i="235"/>
  <c r="O97" i="235"/>
  <c r="O121" i="235"/>
  <c r="O145" i="235"/>
  <c r="O161" i="235"/>
  <c r="O177" i="235"/>
  <c r="O193" i="235"/>
  <c r="O209" i="235"/>
  <c r="O3" i="235"/>
  <c r="O11" i="235"/>
  <c r="O19" i="235"/>
  <c r="O27" i="235"/>
  <c r="O35" i="235"/>
  <c r="O43" i="235"/>
  <c r="O51" i="235"/>
  <c r="O59" i="235"/>
  <c r="O67" i="235"/>
  <c r="O75" i="235"/>
  <c r="O83" i="235"/>
  <c r="O91" i="235"/>
  <c r="O99" i="235"/>
  <c r="O107" i="235"/>
  <c r="O115" i="235"/>
  <c r="O123" i="235"/>
  <c r="O131" i="235"/>
  <c r="O139" i="235"/>
  <c r="O147" i="235"/>
  <c r="O155" i="235"/>
  <c r="O163" i="235"/>
  <c r="O171" i="235"/>
  <c r="O179" i="235"/>
  <c r="O187" i="235"/>
  <c r="O195" i="235"/>
  <c r="O203" i="235"/>
  <c r="F79" i="236"/>
  <c r="O120" i="235"/>
  <c r="O144" i="235"/>
  <c r="O168" i="235"/>
  <c r="O192" i="235"/>
  <c r="O208" i="235"/>
  <c r="O9" i="235"/>
  <c r="O25" i="235"/>
  <c r="O41" i="235"/>
  <c r="O65" i="235"/>
  <c r="O73" i="235"/>
  <c r="O89" i="235"/>
  <c r="O113" i="235"/>
  <c r="O129" i="235"/>
  <c r="O153" i="235"/>
  <c r="O169" i="235"/>
  <c r="O185" i="235"/>
  <c r="O201" i="235"/>
  <c r="O4" i="235"/>
  <c r="O12" i="235"/>
  <c r="O20" i="235"/>
  <c r="O28" i="235"/>
  <c r="O36" i="235"/>
  <c r="O44" i="235"/>
  <c r="O52" i="235"/>
  <c r="O60" i="235"/>
  <c r="O68" i="235"/>
  <c r="O76" i="235"/>
  <c r="O84" i="235"/>
  <c r="O92" i="235"/>
  <c r="O100" i="235"/>
  <c r="O108" i="235"/>
  <c r="O116" i="235"/>
  <c r="O124" i="235"/>
  <c r="O132" i="235"/>
  <c r="O140" i="235"/>
  <c r="O148" i="235"/>
  <c r="O156" i="235"/>
  <c r="O164" i="235"/>
  <c r="O172" i="235"/>
  <c r="O180" i="235"/>
  <c r="O188" i="235"/>
  <c r="O196" i="235"/>
  <c r="O204" i="235"/>
  <c r="G50" i="236"/>
  <c r="H59" i="236"/>
  <c r="H56" i="236"/>
  <c r="G59" i="236"/>
  <c r="G67" i="236"/>
  <c r="G75" i="236"/>
  <c r="G73" i="236"/>
  <c r="H36" i="236"/>
  <c r="H71" i="236" s="1"/>
  <c r="G54" i="236"/>
  <c r="H4" i="236"/>
  <c r="H55" i="236" s="1"/>
  <c r="H16" i="236"/>
  <c r="H61" i="236" s="1"/>
  <c r="H20" i="236"/>
  <c r="H58" i="236" s="1"/>
  <c r="G56" i="236"/>
  <c r="G64" i="236"/>
  <c r="G72" i="236"/>
  <c r="D79" i="236"/>
  <c r="G51" i="236"/>
  <c r="G69" i="236"/>
  <c r="G77" i="236"/>
  <c r="E79" i="236"/>
  <c r="F78" i="236"/>
  <c r="H19" i="236"/>
  <c r="H62" i="236" s="1"/>
  <c r="H26" i="236"/>
  <c r="H66" i="236" s="1"/>
  <c r="H30" i="236"/>
  <c r="H68" i="236" s="1"/>
  <c r="H42" i="236"/>
  <c r="H74" i="236" s="1"/>
  <c r="H46" i="236"/>
  <c r="H76" i="236" s="1"/>
  <c r="G58" i="236"/>
  <c r="H2" i="236"/>
  <c r="H14" i="236"/>
  <c r="H60" i="236" s="1"/>
  <c r="H70" i="236" l="1"/>
  <c r="H57" i="236"/>
  <c r="H64" i="236"/>
  <c r="H65" i="236"/>
  <c r="H63" i="236"/>
  <c r="H50" i="236"/>
  <c r="H51" i="236"/>
  <c r="H54" i="236"/>
  <c r="G78" i="236"/>
  <c r="G79" i="236"/>
  <c r="H79" i="236" l="1"/>
  <c r="H78" i="236"/>
  <c r="U4" i="209" l="1"/>
  <c r="F89" i="41"/>
  <c r="Z86" i="41"/>
  <c r="Y86" i="41"/>
  <c r="X86" i="41"/>
  <c r="W86" i="41"/>
  <c r="V86" i="41"/>
  <c r="U86" i="41"/>
  <c r="T86" i="41"/>
  <c r="S86" i="41"/>
  <c r="R86" i="41"/>
  <c r="Q86" i="41"/>
  <c r="P86" i="41"/>
  <c r="O86" i="41"/>
  <c r="N86" i="41"/>
  <c r="M86" i="41"/>
  <c r="I86" i="41"/>
  <c r="H86" i="41"/>
  <c r="G86" i="41"/>
  <c r="F86" i="41"/>
  <c r="E86" i="41"/>
  <c r="D86" i="41"/>
  <c r="C86" i="41"/>
  <c r="B86" i="41"/>
  <c r="Z84" i="41"/>
  <c r="Y84" i="41"/>
  <c r="X84" i="41"/>
  <c r="W84" i="41"/>
  <c r="V84" i="41"/>
  <c r="Q84" i="41"/>
  <c r="P84" i="41"/>
  <c r="O84" i="41"/>
  <c r="N84" i="41"/>
  <c r="M84" i="41"/>
  <c r="AA83" i="41"/>
  <c r="AP81" i="41"/>
  <c r="Z81" i="41"/>
  <c r="Z82" i="41" s="1"/>
  <c r="Y81" i="41"/>
  <c r="Y82" i="41" s="1"/>
  <c r="X81" i="41"/>
  <c r="X82" i="41" s="1"/>
  <c r="V81" i="41"/>
  <c r="V82" i="41" s="1"/>
  <c r="U81" i="41"/>
  <c r="U82" i="41" s="1"/>
  <c r="P81" i="41"/>
  <c r="P82" i="41" s="1"/>
  <c r="O81" i="41"/>
  <c r="O82" i="41" s="1"/>
  <c r="N81" i="41"/>
  <c r="N82" i="41" s="1"/>
  <c r="M81" i="41"/>
  <c r="M82" i="41" s="1"/>
  <c r="L81" i="41"/>
  <c r="K81" i="41"/>
  <c r="J81" i="41"/>
  <c r="I81" i="41"/>
  <c r="I82" i="41" s="1"/>
  <c r="G81" i="41"/>
  <c r="G82" i="41" s="1"/>
  <c r="E81" i="41"/>
  <c r="E82" i="41" s="1"/>
  <c r="D81" i="41"/>
  <c r="D82" i="41" s="1"/>
  <c r="C81" i="41"/>
  <c r="C82" i="41" s="1"/>
  <c r="B81" i="41"/>
  <c r="B82" i="41" s="1"/>
  <c r="AA80" i="41"/>
  <c r="AA79" i="41"/>
  <c r="AT79" i="41" s="1"/>
  <c r="AK79" i="41" s="1"/>
  <c r="AT78" i="41"/>
  <c r="AK78" i="41" s="1"/>
  <c r="AG78" i="41"/>
  <c r="AA78" i="41"/>
  <c r="AT77" i="41"/>
  <c r="AK77" i="41" s="1"/>
  <c r="S77" i="41"/>
  <c r="F77" i="41" s="1"/>
  <c r="AT76" i="41"/>
  <c r="AK76" i="41" s="1"/>
  <c r="S76" i="41"/>
  <c r="F76" i="41" s="1"/>
  <c r="AA75" i="41"/>
  <c r="AA75" i="55" s="1"/>
  <c r="AT74" i="41"/>
  <c r="AK74" i="41" s="1"/>
  <c r="AG74" i="41"/>
  <c r="AA74" i="41"/>
  <c r="AA73" i="41"/>
  <c r="AT73" i="41" s="1"/>
  <c r="AK73" i="41" s="1"/>
  <c r="AA72" i="41"/>
  <c r="AT72" i="41" s="1"/>
  <c r="AK72" i="41" s="1"/>
  <c r="AT71" i="41"/>
  <c r="AK71" i="41" s="1"/>
  <c r="S71" i="41"/>
  <c r="F71" i="41" s="1"/>
  <c r="AT70" i="41"/>
  <c r="AK70" i="41" s="1"/>
  <c r="AG70" i="41"/>
  <c r="AA70" i="41"/>
  <c r="AA69" i="41"/>
  <c r="AT69" i="41" s="1"/>
  <c r="AK69" i="41" s="1"/>
  <c r="AA68" i="41"/>
  <c r="AT68" i="41" s="1"/>
  <c r="AK68" i="41" s="1"/>
  <c r="AT67" i="41"/>
  <c r="AK67" i="41" s="1"/>
  <c r="AG67" i="41"/>
  <c r="S67" i="41"/>
  <c r="F67" i="41" s="1"/>
  <c r="AA66" i="41"/>
  <c r="AT66" i="41" s="1"/>
  <c r="AK66" i="41" s="1"/>
  <c r="AH65" i="41"/>
  <c r="AG65" i="41" s="1"/>
  <c r="S65" i="41"/>
  <c r="H65" i="41" s="1"/>
  <c r="AT64" i="41"/>
  <c r="AK64" i="41" s="1"/>
  <c r="AG64" i="41"/>
  <c r="AA64" i="41"/>
  <c r="AA63" i="41"/>
  <c r="AT63" i="41" s="1"/>
  <c r="AK63" i="41" s="1"/>
  <c r="AT62" i="41"/>
  <c r="AK62" i="41" s="1"/>
  <c r="S62" i="41"/>
  <c r="F62" i="41" s="1"/>
  <c r="AT61" i="41"/>
  <c r="AK61" i="41" s="1"/>
  <c r="S61" i="41"/>
  <c r="H61" i="41" s="1"/>
  <c r="AA60" i="41"/>
  <c r="AK59" i="41"/>
  <c r="AI59" i="41"/>
  <c r="AJ59" i="41" s="1"/>
  <c r="AG59" i="41"/>
  <c r="AA59" i="41"/>
  <c r="AK58" i="41"/>
  <c r="AI58" i="41"/>
  <c r="AJ58" i="41" s="1"/>
  <c r="AG58" i="41"/>
  <c r="AA58" i="41"/>
  <c r="AK57" i="41"/>
  <c r="AI57" i="41"/>
  <c r="AJ57" i="41" s="1"/>
  <c r="AG57" i="41"/>
  <c r="AA57" i="41"/>
  <c r="AQ56" i="41"/>
  <c r="AK56" i="41" s="1"/>
  <c r="AA56" i="41"/>
  <c r="AQ55" i="41"/>
  <c r="AK55" i="41" s="1"/>
  <c r="AG55" i="41"/>
  <c r="AA55" i="41"/>
  <c r="AK54" i="41"/>
  <c r="AA54" i="41"/>
  <c r="AG54" i="41" s="1"/>
  <c r="AK53" i="41"/>
  <c r="AA53" i="41"/>
  <c r="AI53" i="41" s="1"/>
  <c r="AK52" i="41"/>
  <c r="AA52" i="41"/>
  <c r="AI52" i="41" s="1"/>
  <c r="AA51" i="41"/>
  <c r="AK50" i="41"/>
  <c r="AA50" i="41"/>
  <c r="AK49" i="41"/>
  <c r="AA49" i="41"/>
  <c r="AG49" i="41" s="1"/>
  <c r="AK48" i="41"/>
  <c r="AA48" i="41"/>
  <c r="AI48" i="41" s="1"/>
  <c r="AK47" i="41"/>
  <c r="AI47" i="41"/>
  <c r="AG47" i="41"/>
  <c r="AA47" i="41"/>
  <c r="AK46" i="41"/>
  <c r="AI46" i="41"/>
  <c r="Q46" i="41" s="1"/>
  <c r="AA46" i="41" s="1"/>
  <c r="AG46" i="41"/>
  <c r="AK45" i="41"/>
  <c r="AG45" i="41"/>
  <c r="AA45" i="41"/>
  <c r="AI45" i="41" s="1"/>
  <c r="AK44" i="41"/>
  <c r="AA44" i="41"/>
  <c r="AG44" i="41" s="1"/>
  <c r="AA43" i="41"/>
  <c r="AK42" i="41"/>
  <c r="AA42" i="41"/>
  <c r="AI42" i="41" s="1"/>
  <c r="AK41" i="41"/>
  <c r="AA41" i="41"/>
  <c r="AI41" i="41" s="1"/>
  <c r="AK40" i="41"/>
  <c r="AI40" i="41"/>
  <c r="AG40" i="41"/>
  <c r="AA40" i="41"/>
  <c r="AK39" i="41"/>
  <c r="AI39" i="41"/>
  <c r="Q39" i="41" s="1"/>
  <c r="AA39" i="41" s="1"/>
  <c r="AG39" i="41"/>
  <c r="AK38" i="41"/>
  <c r="AA38" i="41"/>
  <c r="AI38" i="41" s="1"/>
  <c r="AK37" i="41"/>
  <c r="AA37" i="41"/>
  <c r="AI37" i="41" s="1"/>
  <c r="AA36" i="41"/>
  <c r="AK35" i="41"/>
  <c r="AA35" i="41"/>
  <c r="AG35" i="41" s="1"/>
  <c r="AK34" i="41"/>
  <c r="AA34" i="41"/>
  <c r="AG34" i="41" s="1"/>
  <c r="AA33" i="41"/>
  <c r="AK32" i="41"/>
  <c r="AI32" i="41"/>
  <c r="AG32" i="41"/>
  <c r="AA32" i="41"/>
  <c r="AK31" i="41"/>
  <c r="AI31" i="41"/>
  <c r="Q31" i="41" s="1"/>
  <c r="AA31" i="41" s="1"/>
  <c r="AG31" i="41"/>
  <c r="AK30" i="41"/>
  <c r="AA30" i="41"/>
  <c r="AI30" i="41" s="1"/>
  <c r="AK29" i="41"/>
  <c r="AA29" i="41"/>
  <c r="AI29" i="41" s="1"/>
  <c r="AK28" i="41"/>
  <c r="AI28" i="41"/>
  <c r="AG28" i="41"/>
  <c r="W28" i="41"/>
  <c r="T28" i="41"/>
  <c r="S28" i="41"/>
  <c r="R28" i="41"/>
  <c r="AK27" i="41"/>
  <c r="W27" i="41"/>
  <c r="T27" i="41"/>
  <c r="S27" i="41"/>
  <c r="R27" i="41"/>
  <c r="AK26" i="41"/>
  <c r="AA26" i="41"/>
  <c r="AG26" i="41" s="1"/>
  <c r="AK25" i="41"/>
  <c r="AA25" i="41"/>
  <c r="AG25" i="41" s="1"/>
  <c r="AK24" i="41"/>
  <c r="AA24" i="41"/>
  <c r="AG24" i="41" s="1"/>
  <c r="AK23" i="41"/>
  <c r="AA23" i="41"/>
  <c r="AG23" i="41" s="1"/>
  <c r="AA22" i="41"/>
  <c r="AQ22" i="41" s="1"/>
  <c r="AK22" i="41" s="1"/>
  <c r="AA21" i="41"/>
  <c r="AQ21" i="41" s="1"/>
  <c r="AK21" i="41" s="1"/>
  <c r="AA20" i="41"/>
  <c r="AQ20" i="41" s="1"/>
  <c r="AK20" i="41" s="1"/>
  <c r="AA19" i="41"/>
  <c r="AL19" i="41" s="1"/>
  <c r="AK19" i="41" s="1"/>
  <c r="AA18" i="41"/>
  <c r="AL18" i="41" s="1"/>
  <c r="AK18" i="41" s="1"/>
  <c r="AA17" i="41"/>
  <c r="AL17" i="41" s="1"/>
  <c r="AK17" i="41" s="1"/>
  <c r="AA16" i="41"/>
  <c r="AL16" i="41" s="1"/>
  <c r="AK16" i="41" s="1"/>
  <c r="AA15" i="41"/>
  <c r="AL15" i="41" s="1"/>
  <c r="AK15" i="41" s="1"/>
  <c r="AA14" i="41"/>
  <c r="AL14" i="41" s="1"/>
  <c r="AK14" i="41" s="1"/>
  <c r="AA13" i="41"/>
  <c r="AQ13" i="41" s="1"/>
  <c r="AK12" i="41"/>
  <c r="AL11" i="41"/>
  <c r="AK11" i="41" s="1"/>
  <c r="Q11" i="41" s="1"/>
  <c r="AG11" i="41"/>
  <c r="AL10" i="41"/>
  <c r="AG10" i="41"/>
  <c r="AA10" i="41"/>
  <c r="AL9" i="41"/>
  <c r="AL9" i="55" s="1"/>
  <c r="AK9" i="55" s="1"/>
  <c r="AH9" i="55" s="1"/>
  <c r="AG9" i="41"/>
  <c r="AA9" i="41"/>
  <c r="AK8" i="41"/>
  <c r="AA8" i="41"/>
  <c r="F89" i="200"/>
  <c r="Z86" i="200"/>
  <c r="Y86" i="200"/>
  <c r="X86" i="200"/>
  <c r="W86" i="200"/>
  <c r="V86" i="200"/>
  <c r="U86" i="200"/>
  <c r="T86" i="200"/>
  <c r="S86" i="200"/>
  <c r="R86" i="200"/>
  <c r="Q86" i="200"/>
  <c r="P86" i="200"/>
  <c r="O86" i="200"/>
  <c r="N86" i="200"/>
  <c r="M86" i="200"/>
  <c r="I86" i="200"/>
  <c r="H86" i="200"/>
  <c r="G86" i="200"/>
  <c r="F86" i="200"/>
  <c r="E86" i="200"/>
  <c r="D86" i="200"/>
  <c r="C86" i="200"/>
  <c r="B86" i="200"/>
  <c r="Z84" i="200"/>
  <c r="Y84" i="200"/>
  <c r="X84" i="200"/>
  <c r="W84" i="200"/>
  <c r="V84" i="200"/>
  <c r="Q84" i="200"/>
  <c r="P84" i="200"/>
  <c r="O84" i="200"/>
  <c r="N84" i="200"/>
  <c r="M84" i="200"/>
  <c r="AA83" i="200"/>
  <c r="Z81" i="200"/>
  <c r="Z82" i="200" s="1"/>
  <c r="Y81" i="200"/>
  <c r="Y82" i="200" s="1"/>
  <c r="X81" i="200"/>
  <c r="X82" i="200" s="1"/>
  <c r="V81" i="200"/>
  <c r="V82" i="200" s="1"/>
  <c r="U81" i="200"/>
  <c r="U82" i="200" s="1"/>
  <c r="P81" i="200"/>
  <c r="P82" i="200" s="1"/>
  <c r="O81" i="200"/>
  <c r="O82" i="200" s="1"/>
  <c r="N81" i="200"/>
  <c r="N82" i="200" s="1"/>
  <c r="M81" i="200"/>
  <c r="M82" i="200" s="1"/>
  <c r="L81" i="200"/>
  <c r="K81" i="200"/>
  <c r="J81" i="200"/>
  <c r="I81" i="200"/>
  <c r="I82" i="200" s="1"/>
  <c r="G81" i="200"/>
  <c r="G82" i="200" s="1"/>
  <c r="E81" i="200"/>
  <c r="E82" i="200" s="1"/>
  <c r="D81" i="200"/>
  <c r="D82" i="200" s="1"/>
  <c r="C81" i="200"/>
  <c r="C82" i="200" s="1"/>
  <c r="B81" i="200"/>
  <c r="B82" i="200" s="1"/>
  <c r="AA80" i="200"/>
  <c r="AA79" i="200"/>
  <c r="AT79" i="200" s="1"/>
  <c r="AK79" i="200" s="1"/>
  <c r="AT78" i="200"/>
  <c r="AK78" i="200" s="1"/>
  <c r="AG78" i="200"/>
  <c r="AA78" i="200"/>
  <c r="AT77" i="200"/>
  <c r="AK77" i="200" s="1"/>
  <c r="S77" i="200"/>
  <c r="F77" i="200" s="1"/>
  <c r="AT76" i="200"/>
  <c r="AK76" i="200" s="1"/>
  <c r="S76" i="200"/>
  <c r="F76" i="200" s="1"/>
  <c r="AA75" i="200"/>
  <c r="AG74" i="200"/>
  <c r="AC74" i="200"/>
  <c r="AT74" i="200" s="1"/>
  <c r="AK74" i="200" s="1"/>
  <c r="AA74" i="200"/>
  <c r="AA73" i="200"/>
  <c r="AT73" i="200" s="1"/>
  <c r="AK73" i="200" s="1"/>
  <c r="AA72" i="200"/>
  <c r="AT72" i="200" s="1"/>
  <c r="AK72" i="200" s="1"/>
  <c r="AT71" i="200"/>
  <c r="AK71" i="200" s="1"/>
  <c r="S71" i="200"/>
  <c r="F71" i="200" s="1"/>
  <c r="AT70" i="200"/>
  <c r="AK70" i="200" s="1"/>
  <c r="AG70" i="200"/>
  <c r="AA70" i="200"/>
  <c r="AA69" i="200"/>
  <c r="AT69" i="200" s="1"/>
  <c r="AK69" i="200" s="1"/>
  <c r="AA68" i="200"/>
  <c r="AT68" i="200" s="1"/>
  <c r="AK68" i="200" s="1"/>
  <c r="AT67" i="200"/>
  <c r="AK67" i="200" s="1"/>
  <c r="AG67" i="200"/>
  <c r="S67" i="200"/>
  <c r="F67" i="200" s="1"/>
  <c r="AA66" i="200"/>
  <c r="AT66" i="200" s="1"/>
  <c r="AK66" i="200" s="1"/>
  <c r="AC65" i="200"/>
  <c r="AH65" i="200" s="1"/>
  <c r="S65" i="200"/>
  <c r="H65" i="200" s="1"/>
  <c r="AT64" i="200"/>
  <c r="AK64" i="200" s="1"/>
  <c r="AG64" i="200"/>
  <c r="AA64" i="200"/>
  <c r="AA63" i="200"/>
  <c r="AT63" i="200" s="1"/>
  <c r="AK63" i="200" s="1"/>
  <c r="AT62" i="200"/>
  <c r="AK62" i="200" s="1"/>
  <c r="S62" i="200"/>
  <c r="F62" i="200" s="1"/>
  <c r="AT61" i="200"/>
  <c r="AK61" i="200" s="1"/>
  <c r="S61" i="200"/>
  <c r="H61" i="200" s="1"/>
  <c r="AA60" i="200"/>
  <c r="AK59" i="200"/>
  <c r="AI59" i="200"/>
  <c r="AJ59" i="200" s="1"/>
  <c r="AG59" i="200"/>
  <c r="AA59" i="200"/>
  <c r="AK58" i="200"/>
  <c r="AI58" i="200"/>
  <c r="AJ58" i="200" s="1"/>
  <c r="AG58" i="200"/>
  <c r="AA58" i="200"/>
  <c r="AK57" i="200"/>
  <c r="AI57" i="200"/>
  <c r="AJ57" i="200" s="1"/>
  <c r="AG57" i="200"/>
  <c r="AA57" i="200"/>
  <c r="AQ56" i="200"/>
  <c r="AK56" i="200" s="1"/>
  <c r="AA56" i="200"/>
  <c r="AQ55" i="200"/>
  <c r="AK55" i="200" s="1"/>
  <c r="AG55" i="200"/>
  <c r="AA55" i="200"/>
  <c r="AK54" i="200"/>
  <c r="AA54" i="200"/>
  <c r="AG54" i="200" s="1"/>
  <c r="AK53" i="200"/>
  <c r="AA53" i="200"/>
  <c r="AI53" i="200" s="1"/>
  <c r="AK52" i="200"/>
  <c r="AA52" i="200"/>
  <c r="AI52" i="200" s="1"/>
  <c r="AA51" i="200"/>
  <c r="AK50" i="200"/>
  <c r="AA50" i="200"/>
  <c r="AK49" i="200"/>
  <c r="AA49" i="200"/>
  <c r="AG49" i="200" s="1"/>
  <c r="AK48" i="200"/>
  <c r="AA48" i="200"/>
  <c r="AI48" i="200" s="1"/>
  <c r="AK47" i="200"/>
  <c r="AI47" i="200"/>
  <c r="AG47" i="200"/>
  <c r="AA47" i="200"/>
  <c r="AK46" i="200"/>
  <c r="AI46" i="200"/>
  <c r="Q46" i="200" s="1"/>
  <c r="AA46" i="200" s="1"/>
  <c r="AG46" i="200"/>
  <c r="AK45" i="200"/>
  <c r="AG45" i="200"/>
  <c r="AA45" i="200"/>
  <c r="AI45" i="200" s="1"/>
  <c r="AK44" i="200"/>
  <c r="AA44" i="200"/>
  <c r="AI44" i="200" s="1"/>
  <c r="AA43" i="200"/>
  <c r="AK42" i="200"/>
  <c r="AA42" i="200"/>
  <c r="AI42" i="200" s="1"/>
  <c r="AK41" i="200"/>
  <c r="AA41" i="200"/>
  <c r="AI41" i="200" s="1"/>
  <c r="AK40" i="200"/>
  <c r="AI40" i="200"/>
  <c r="AG40" i="200"/>
  <c r="AA40" i="200"/>
  <c r="AK39" i="200"/>
  <c r="AI39" i="200"/>
  <c r="Q39" i="200" s="1"/>
  <c r="AA39" i="200" s="1"/>
  <c r="AG39" i="200"/>
  <c r="AK38" i="200"/>
  <c r="AA38" i="200"/>
  <c r="AI38" i="200" s="1"/>
  <c r="AK37" i="200"/>
  <c r="AA37" i="200"/>
  <c r="AI37" i="200" s="1"/>
  <c r="AA36" i="200"/>
  <c r="AK35" i="200"/>
  <c r="AA35" i="200"/>
  <c r="AI35" i="200" s="1"/>
  <c r="AK34" i="200"/>
  <c r="AA34" i="200"/>
  <c r="AI34" i="200" s="1"/>
  <c r="AA33" i="200"/>
  <c r="AK32" i="200"/>
  <c r="AI32" i="200"/>
  <c r="AG32" i="200"/>
  <c r="AA32" i="200"/>
  <c r="AK31" i="200"/>
  <c r="AI31" i="200"/>
  <c r="Q31" i="200" s="1"/>
  <c r="AA31" i="200" s="1"/>
  <c r="AG31" i="200"/>
  <c r="AK30" i="200"/>
  <c r="AA30" i="200"/>
  <c r="AI30" i="200" s="1"/>
  <c r="AK29" i="200"/>
  <c r="AA29" i="200"/>
  <c r="AI29" i="200" s="1"/>
  <c r="AK28" i="200"/>
  <c r="AI28" i="200"/>
  <c r="AG28" i="200"/>
  <c r="W28" i="200"/>
  <c r="R28" i="200"/>
  <c r="AK27" i="200"/>
  <c r="W27" i="200"/>
  <c r="T27" i="200"/>
  <c r="T81" i="200" s="1"/>
  <c r="S27" i="200"/>
  <c r="R27" i="200"/>
  <c r="AK26" i="200"/>
  <c r="AA26" i="200"/>
  <c r="AG26" i="200" s="1"/>
  <c r="AK25" i="200"/>
  <c r="AA25" i="200"/>
  <c r="AG25" i="200" s="1"/>
  <c r="AK24" i="200"/>
  <c r="AA24" i="200"/>
  <c r="AG24" i="200" s="1"/>
  <c r="AK23" i="200"/>
  <c r="AA23" i="200"/>
  <c r="AG23" i="200" s="1"/>
  <c r="AA22" i="200"/>
  <c r="AQ22" i="200" s="1"/>
  <c r="AK22" i="200" s="1"/>
  <c r="AA21" i="200"/>
  <c r="AQ21" i="200" s="1"/>
  <c r="AK21" i="200" s="1"/>
  <c r="AA20" i="200"/>
  <c r="AQ20" i="200" s="1"/>
  <c r="AK20" i="200" s="1"/>
  <c r="AA19" i="200"/>
  <c r="AL19" i="200" s="1"/>
  <c r="AK19" i="200" s="1"/>
  <c r="AA18" i="200"/>
  <c r="AL18" i="200" s="1"/>
  <c r="AK18" i="200" s="1"/>
  <c r="AA17" i="200"/>
  <c r="AL17" i="200" s="1"/>
  <c r="AK17" i="200" s="1"/>
  <c r="AA16" i="200"/>
  <c r="AL16" i="200" s="1"/>
  <c r="AK16" i="200" s="1"/>
  <c r="AA15" i="200"/>
  <c r="AL15" i="200" s="1"/>
  <c r="AK15" i="200" s="1"/>
  <c r="AA14" i="200"/>
  <c r="AL14" i="200" s="1"/>
  <c r="AK14" i="200" s="1"/>
  <c r="AA13" i="200"/>
  <c r="AT13" i="200" s="1"/>
  <c r="AK12" i="200"/>
  <c r="AK11" i="200"/>
  <c r="AH11" i="200" s="1"/>
  <c r="AK10" i="200"/>
  <c r="AH10" i="200" s="1"/>
  <c r="AG10" i="200" s="1"/>
  <c r="AA10" i="200"/>
  <c r="AK9" i="200"/>
  <c r="AH9" i="200" s="1"/>
  <c r="AG9" i="200" s="1"/>
  <c r="AA9" i="200"/>
  <c r="AK8" i="200"/>
  <c r="AH8" i="200" s="1"/>
  <c r="AA8" i="200"/>
  <c r="F89" i="27"/>
  <c r="Z86" i="27"/>
  <c r="Y86" i="27"/>
  <c r="X86" i="27"/>
  <c r="W86" i="27"/>
  <c r="V86" i="27"/>
  <c r="U86" i="27"/>
  <c r="T86" i="27"/>
  <c r="S86" i="27"/>
  <c r="R86" i="27"/>
  <c r="Q86" i="27"/>
  <c r="P86" i="27"/>
  <c r="O86" i="27"/>
  <c r="N86" i="27"/>
  <c r="M86" i="27"/>
  <c r="I86" i="27"/>
  <c r="H86" i="27"/>
  <c r="G86" i="27"/>
  <c r="F86" i="27"/>
  <c r="E86" i="27"/>
  <c r="D86" i="27"/>
  <c r="C86" i="27"/>
  <c r="B86" i="27"/>
  <c r="Z84" i="27"/>
  <c r="Y84" i="27"/>
  <c r="X84" i="27"/>
  <c r="W84" i="27"/>
  <c r="V84" i="27"/>
  <c r="Q84" i="27"/>
  <c r="P84" i="27"/>
  <c r="O84" i="27"/>
  <c r="N84" i="27"/>
  <c r="M84" i="27"/>
  <c r="AA83" i="27"/>
  <c r="AP81" i="27"/>
  <c r="Z81" i="27"/>
  <c r="Z82" i="27" s="1"/>
  <c r="Y81" i="27"/>
  <c r="Y82" i="27" s="1"/>
  <c r="X81" i="27"/>
  <c r="X82" i="27" s="1"/>
  <c r="V81" i="27"/>
  <c r="V82" i="27" s="1"/>
  <c r="U81" i="27"/>
  <c r="U84" i="27" s="1"/>
  <c r="P81" i="27"/>
  <c r="P82" i="27" s="1"/>
  <c r="O81" i="27"/>
  <c r="O82" i="27" s="1"/>
  <c r="N81" i="27"/>
  <c r="N82" i="27" s="1"/>
  <c r="M81" i="27"/>
  <c r="M82" i="27" s="1"/>
  <c r="L81" i="27"/>
  <c r="K81" i="27"/>
  <c r="J81" i="27"/>
  <c r="I81" i="27"/>
  <c r="I82" i="27" s="1"/>
  <c r="G81" i="27"/>
  <c r="G82" i="27" s="1"/>
  <c r="E81" i="27"/>
  <c r="E82" i="27" s="1"/>
  <c r="D81" i="27"/>
  <c r="D82" i="27" s="1"/>
  <c r="C81" i="27"/>
  <c r="C82" i="27" s="1"/>
  <c r="B81" i="27"/>
  <c r="B82" i="27" s="1"/>
  <c r="AA80" i="27"/>
  <c r="AT80" i="27" s="1"/>
  <c r="AK80" i="27" s="1"/>
  <c r="AA79" i="27"/>
  <c r="AT79" i="27" s="1"/>
  <c r="AK79" i="27" s="1"/>
  <c r="AT78" i="27"/>
  <c r="AK78" i="27" s="1"/>
  <c r="AG78" i="27"/>
  <c r="AA78" i="27"/>
  <c r="AT77" i="27"/>
  <c r="AK77" i="27" s="1"/>
  <c r="S77" i="27"/>
  <c r="F77" i="27" s="1"/>
  <c r="AT76" i="27"/>
  <c r="AK76" i="27" s="1"/>
  <c r="S76" i="27"/>
  <c r="F76" i="27" s="1"/>
  <c r="AA75" i="27"/>
  <c r="AS75" i="27" s="1"/>
  <c r="AG74" i="27"/>
  <c r="AC74" i="27"/>
  <c r="AT74" i="27" s="1"/>
  <c r="AK74" i="27" s="1"/>
  <c r="AA74" i="27"/>
  <c r="AA73" i="27"/>
  <c r="AT73" i="27" s="1"/>
  <c r="AK73" i="27" s="1"/>
  <c r="AA72" i="27"/>
  <c r="AT72" i="27" s="1"/>
  <c r="AK72" i="27" s="1"/>
  <c r="AT71" i="27"/>
  <c r="AK71" i="27" s="1"/>
  <c r="S71" i="27"/>
  <c r="F71" i="27" s="1"/>
  <c r="AT70" i="27"/>
  <c r="AK70" i="27" s="1"/>
  <c r="AG70" i="27"/>
  <c r="AA70" i="27"/>
  <c r="AA69" i="27"/>
  <c r="AT69" i="27" s="1"/>
  <c r="AK69" i="27" s="1"/>
  <c r="AA68" i="27"/>
  <c r="AT68" i="27" s="1"/>
  <c r="AK68" i="27" s="1"/>
  <c r="AT67" i="27"/>
  <c r="AK67" i="27" s="1"/>
  <c r="AG67" i="27"/>
  <c r="S67" i="27"/>
  <c r="F67" i="27" s="1"/>
  <c r="AA66" i="27"/>
  <c r="AT66" i="27" s="1"/>
  <c r="AK66" i="27" s="1"/>
  <c r="AC65" i="27"/>
  <c r="AH65" i="27" s="1"/>
  <c r="S65" i="27"/>
  <c r="H65" i="27" s="1"/>
  <c r="AT64" i="27"/>
  <c r="AK64" i="27" s="1"/>
  <c r="AG64" i="27"/>
  <c r="AA64" i="27"/>
  <c r="AA63" i="27"/>
  <c r="AT63" i="27" s="1"/>
  <c r="AK63" i="27" s="1"/>
  <c r="AT62" i="27"/>
  <c r="AK62" i="27" s="1"/>
  <c r="S62" i="27"/>
  <c r="F62" i="27" s="1"/>
  <c r="AT61" i="27"/>
  <c r="AK61" i="27" s="1"/>
  <c r="S61" i="27"/>
  <c r="H61" i="27" s="1"/>
  <c r="AA60" i="27"/>
  <c r="AK59" i="27"/>
  <c r="AI59" i="27"/>
  <c r="AJ59" i="27" s="1"/>
  <c r="AG59" i="27"/>
  <c r="AA59" i="27"/>
  <c r="AK58" i="27"/>
  <c r="AI58" i="27"/>
  <c r="AJ58" i="27" s="1"/>
  <c r="AG58" i="27"/>
  <c r="AA58" i="27"/>
  <c r="AK57" i="27"/>
  <c r="AI57" i="27"/>
  <c r="AJ57" i="27" s="1"/>
  <c r="AG57" i="27"/>
  <c r="AA57" i="27"/>
  <c r="AQ56" i="27"/>
  <c r="AK56" i="27" s="1"/>
  <c r="AA56" i="27"/>
  <c r="AQ55" i="27"/>
  <c r="AK55" i="27" s="1"/>
  <c r="AG55" i="27"/>
  <c r="AA55" i="27"/>
  <c r="AK54" i="27"/>
  <c r="AA54" i="27"/>
  <c r="AG54" i="27" s="1"/>
  <c r="AK53" i="27"/>
  <c r="AA53" i="27"/>
  <c r="AI53" i="27" s="1"/>
  <c r="AK52" i="27"/>
  <c r="AA52" i="27"/>
  <c r="AI52" i="27" s="1"/>
  <c r="AA51" i="27"/>
  <c r="AK50" i="27"/>
  <c r="AA50" i="27"/>
  <c r="AK49" i="27"/>
  <c r="AA49" i="27"/>
  <c r="AG49" i="27" s="1"/>
  <c r="AK48" i="27"/>
  <c r="AA48" i="27"/>
  <c r="AI48" i="27" s="1"/>
  <c r="AK47" i="27"/>
  <c r="AI47" i="27"/>
  <c r="AG47" i="27"/>
  <c r="AA47" i="27"/>
  <c r="AK46" i="27"/>
  <c r="AI46" i="27"/>
  <c r="Q46" i="27" s="1"/>
  <c r="AA46" i="27" s="1"/>
  <c r="AG46" i="27"/>
  <c r="AK45" i="27"/>
  <c r="AG45" i="27"/>
  <c r="AA45" i="27"/>
  <c r="AI45" i="27" s="1"/>
  <c r="AK44" i="27"/>
  <c r="AA44" i="27"/>
  <c r="AG44" i="27" s="1"/>
  <c r="AA43" i="27"/>
  <c r="AK42" i="27"/>
  <c r="AA42" i="27"/>
  <c r="AG42" i="27" s="1"/>
  <c r="AK41" i="27"/>
  <c r="AA41" i="27"/>
  <c r="AI41" i="27" s="1"/>
  <c r="AK40" i="27"/>
  <c r="AI40" i="27"/>
  <c r="AG40" i="27"/>
  <c r="AA40" i="27"/>
  <c r="AK39" i="27"/>
  <c r="AI39" i="27"/>
  <c r="Q39" i="27" s="1"/>
  <c r="AA39" i="27" s="1"/>
  <c r="AG39" i="27"/>
  <c r="AK38" i="27"/>
  <c r="AA38" i="27"/>
  <c r="AG38" i="27" s="1"/>
  <c r="AK37" i="27"/>
  <c r="AA37" i="27"/>
  <c r="AI37" i="27" s="1"/>
  <c r="AA36" i="27"/>
  <c r="AK35" i="27"/>
  <c r="AA35" i="27"/>
  <c r="AI35" i="27" s="1"/>
  <c r="AK34" i="27"/>
  <c r="AA34" i="27"/>
  <c r="AI34" i="27" s="1"/>
  <c r="AA33" i="27"/>
  <c r="AK32" i="27"/>
  <c r="AI32" i="27"/>
  <c r="AG32" i="27"/>
  <c r="AA32" i="27"/>
  <c r="AK31" i="27"/>
  <c r="AI31" i="27"/>
  <c r="Q31" i="27" s="1"/>
  <c r="AA31" i="27" s="1"/>
  <c r="AG31" i="27"/>
  <c r="AK30" i="27"/>
  <c r="AA30" i="27"/>
  <c r="AI30" i="27" s="1"/>
  <c r="AK29" i="27"/>
  <c r="AA29" i="27"/>
  <c r="AG29" i="27" s="1"/>
  <c r="AK28" i="27"/>
  <c r="AI28" i="27"/>
  <c r="AG28" i="27"/>
  <c r="W28" i="27"/>
  <c r="R28" i="27"/>
  <c r="AK27" i="27"/>
  <c r="W27" i="27"/>
  <c r="T27" i="27"/>
  <c r="T81" i="27" s="1"/>
  <c r="S27" i="27"/>
  <c r="R27" i="27"/>
  <c r="AK26" i="27"/>
  <c r="AA26" i="27"/>
  <c r="AG26" i="27" s="1"/>
  <c r="AK25" i="27"/>
  <c r="AA25" i="27"/>
  <c r="AG25" i="27" s="1"/>
  <c r="AK24" i="27"/>
  <c r="AA24" i="27"/>
  <c r="AG24" i="27" s="1"/>
  <c r="AK23" i="27"/>
  <c r="AA23" i="27"/>
  <c r="AG23" i="27" s="1"/>
  <c r="AA22" i="27"/>
  <c r="AQ22" i="27" s="1"/>
  <c r="AK22" i="27" s="1"/>
  <c r="AA21" i="27"/>
  <c r="AQ21" i="27" s="1"/>
  <c r="AK21" i="27" s="1"/>
  <c r="AA20" i="27"/>
  <c r="AQ20" i="27" s="1"/>
  <c r="AK20" i="27" s="1"/>
  <c r="AA19" i="27"/>
  <c r="AL19" i="27" s="1"/>
  <c r="AK19" i="27" s="1"/>
  <c r="AA18" i="27"/>
  <c r="AL18" i="27" s="1"/>
  <c r="AK18" i="27" s="1"/>
  <c r="AA17" i="27"/>
  <c r="AL17" i="27" s="1"/>
  <c r="AK17" i="27" s="1"/>
  <c r="AA16" i="27"/>
  <c r="AL16" i="27" s="1"/>
  <c r="AK16" i="27" s="1"/>
  <c r="AA15" i="27"/>
  <c r="AL15" i="27" s="1"/>
  <c r="AK15" i="27" s="1"/>
  <c r="AA14" i="27"/>
  <c r="AL14" i="27" s="1"/>
  <c r="AK14" i="27" s="1"/>
  <c r="AA13" i="27"/>
  <c r="AT13" i="27" s="1"/>
  <c r="AK12" i="27"/>
  <c r="AK11" i="27"/>
  <c r="AH11" i="27" s="1"/>
  <c r="AG11" i="27" s="1"/>
  <c r="AK10" i="27"/>
  <c r="AH10" i="27" s="1"/>
  <c r="AG10" i="27" s="1"/>
  <c r="AA10" i="27"/>
  <c r="AK9" i="27"/>
  <c r="AH9" i="27" s="1"/>
  <c r="AG9" i="27" s="1"/>
  <c r="AA9" i="27"/>
  <c r="AK8" i="27"/>
  <c r="AA8" i="27"/>
  <c r="AH80" i="56" l="1"/>
  <c r="AH80" i="55"/>
  <c r="AL10" i="56"/>
  <c r="AK10" i="56" s="1"/>
  <c r="AH10" i="56" s="1"/>
  <c r="AL10" i="55"/>
  <c r="AK10" i="55" s="1"/>
  <c r="AH10" i="55" s="1"/>
  <c r="AS75" i="41"/>
  <c r="AS81" i="41" s="1"/>
  <c r="AA75" i="56"/>
  <c r="AS75" i="200"/>
  <c r="AS81" i="200" s="1"/>
  <c r="AT80" i="200"/>
  <c r="AK80" i="200" s="1"/>
  <c r="AK9" i="41"/>
  <c r="AL9" i="56"/>
  <c r="AK9" i="56" s="1"/>
  <c r="AH9" i="56" s="1"/>
  <c r="W81" i="41"/>
  <c r="W82" i="41" s="1"/>
  <c r="F86" i="60"/>
  <c r="AH80" i="255"/>
  <c r="AG80" i="255" s="1"/>
  <c r="AH80" i="256"/>
  <c r="AG80" i="256" s="1"/>
  <c r="AK10" i="41"/>
  <c r="AT80" i="41"/>
  <c r="AK80" i="41" s="1"/>
  <c r="AL13" i="27"/>
  <c r="AT13" i="41"/>
  <c r="AI49" i="200"/>
  <c r="AI51" i="200" s="1"/>
  <c r="AJ51" i="200" s="1"/>
  <c r="AI36" i="200"/>
  <c r="AJ36" i="200" s="1"/>
  <c r="AL36" i="200" s="1"/>
  <c r="S81" i="200"/>
  <c r="S84" i="200" s="1"/>
  <c r="AT65" i="27"/>
  <c r="AK65" i="27" s="1"/>
  <c r="AG65" i="27"/>
  <c r="AG52" i="41"/>
  <c r="AI29" i="27"/>
  <c r="AI33" i="27" s="1"/>
  <c r="AJ33" i="27" s="1"/>
  <c r="AG52" i="27"/>
  <c r="H81" i="200"/>
  <c r="H82" i="200" s="1"/>
  <c r="R81" i="41"/>
  <c r="R84" i="41" s="1"/>
  <c r="AI44" i="41"/>
  <c r="AI49" i="41"/>
  <c r="T81" i="41"/>
  <c r="T82" i="41" s="1"/>
  <c r="S81" i="41"/>
  <c r="S84" i="41" s="1"/>
  <c r="W81" i="27"/>
  <c r="W82" i="27" s="1"/>
  <c r="AI44" i="27"/>
  <c r="AG53" i="27"/>
  <c r="H81" i="41"/>
  <c r="H82" i="41" s="1"/>
  <c r="R81" i="27"/>
  <c r="R82" i="27" s="1"/>
  <c r="H81" i="27"/>
  <c r="H82" i="27" s="1"/>
  <c r="R81" i="200"/>
  <c r="R82" i="200" s="1"/>
  <c r="AL13" i="41"/>
  <c r="AI35" i="41"/>
  <c r="F81" i="41"/>
  <c r="F82" i="41" s="1"/>
  <c r="AI36" i="27"/>
  <c r="AJ36" i="27" s="1"/>
  <c r="AQ36" i="27" s="1"/>
  <c r="AG35" i="27"/>
  <c r="AI38" i="27"/>
  <c r="AG37" i="200"/>
  <c r="AI60" i="200"/>
  <c r="AJ60" i="200" s="1"/>
  <c r="AO60" i="200" s="1"/>
  <c r="AI60" i="41"/>
  <c r="AJ60" i="41" s="1"/>
  <c r="AR60" i="41" s="1"/>
  <c r="Q11" i="27"/>
  <c r="Q81" i="27" s="1"/>
  <c r="F81" i="27"/>
  <c r="F82" i="27" s="1"/>
  <c r="AI49" i="27"/>
  <c r="AG29" i="41"/>
  <c r="AI34" i="41"/>
  <c r="AG53" i="41"/>
  <c r="S81" i="27"/>
  <c r="S84" i="27" s="1"/>
  <c r="AI60" i="27"/>
  <c r="AJ60" i="27" s="1"/>
  <c r="AQ60" i="27" s="1"/>
  <c r="AG34" i="27"/>
  <c r="U82" i="27"/>
  <c r="AG35" i="200"/>
  <c r="F81" i="200"/>
  <c r="F82" i="200" s="1"/>
  <c r="AT65" i="41"/>
  <c r="AK65" i="41" s="1"/>
  <c r="AG42" i="41"/>
  <c r="AI42" i="27"/>
  <c r="AI33" i="200"/>
  <c r="AJ33" i="200" s="1"/>
  <c r="AN33" i="200" s="1"/>
  <c r="AG44" i="200"/>
  <c r="AG52" i="200"/>
  <c r="AQ13" i="27"/>
  <c r="W81" i="200"/>
  <c r="W82" i="200" s="1"/>
  <c r="AG38" i="41"/>
  <c r="Q81" i="41"/>
  <c r="AA11" i="41"/>
  <c r="AI33" i="41"/>
  <c r="AJ33" i="41" s="1"/>
  <c r="AI43" i="41"/>
  <c r="AJ43" i="41" s="1"/>
  <c r="U84" i="41"/>
  <c r="AH8" i="41"/>
  <c r="AG37" i="41"/>
  <c r="AA27" i="41"/>
  <c r="AN36" i="200"/>
  <c r="AG8" i="200"/>
  <c r="AH81" i="200"/>
  <c r="AT65" i="200"/>
  <c r="AK65" i="200" s="1"/>
  <c r="AG65" i="200"/>
  <c r="T82" i="200"/>
  <c r="T84" i="200"/>
  <c r="AG11" i="200"/>
  <c r="Q11" i="200"/>
  <c r="AI43" i="200"/>
  <c r="AJ43" i="200" s="1"/>
  <c r="AA27" i="200"/>
  <c r="AG29" i="200"/>
  <c r="U84" i="200"/>
  <c r="AL13" i="200"/>
  <c r="AG38" i="200"/>
  <c r="AG42" i="200"/>
  <c r="AG53" i="200"/>
  <c r="AQ13" i="200"/>
  <c r="AG34" i="200"/>
  <c r="T82" i="27"/>
  <c r="T84" i="27"/>
  <c r="AA84" i="27"/>
  <c r="AS81" i="27"/>
  <c r="AK75" i="27"/>
  <c r="AG37" i="27"/>
  <c r="AH8" i="27"/>
  <c r="AA27" i="27"/>
  <c r="R84" i="27" l="1"/>
  <c r="AK75" i="200"/>
  <c r="D43" i="44"/>
  <c r="AR60" i="27"/>
  <c r="AM60" i="27"/>
  <c r="AL60" i="27"/>
  <c r="AO60" i="41"/>
  <c r="AN60" i="27"/>
  <c r="AN60" i="41"/>
  <c r="AQ60" i="41"/>
  <c r="AK13" i="41"/>
  <c r="AO60" i="27"/>
  <c r="AL60" i="41"/>
  <c r="AM60" i="41"/>
  <c r="AI51" i="27"/>
  <c r="AJ51" i="27" s="1"/>
  <c r="AM51" i="27" s="1"/>
  <c r="AK75" i="41"/>
  <c r="S82" i="200"/>
  <c r="F75" i="55"/>
  <c r="AS75" i="55"/>
  <c r="AK75" i="55" s="1"/>
  <c r="AS75" i="56"/>
  <c r="AK75" i="56" s="1"/>
  <c r="F75" i="56"/>
  <c r="AO36" i="200"/>
  <c r="AK13" i="27"/>
  <c r="C43" i="44"/>
  <c r="AR60" i="200"/>
  <c r="AP33" i="200"/>
  <c r="AP36" i="200"/>
  <c r="AQ36" i="200"/>
  <c r="AM36" i="200"/>
  <c r="AR36" i="200"/>
  <c r="AI51" i="41"/>
  <c r="AJ51" i="41" s="1"/>
  <c r="AR51" i="41" s="1"/>
  <c r="R84" i="200"/>
  <c r="AA84" i="41"/>
  <c r="AT81" i="27"/>
  <c r="AA84" i="200"/>
  <c r="AO33" i="200"/>
  <c r="T84" i="41"/>
  <c r="AA11" i="27"/>
  <c r="S82" i="41"/>
  <c r="AQ51" i="27"/>
  <c r="AN51" i="27"/>
  <c r="AN36" i="27"/>
  <c r="AP60" i="200"/>
  <c r="AO36" i="27"/>
  <c r="AR33" i="200"/>
  <c r="R82" i="41"/>
  <c r="AR36" i="27"/>
  <c r="AL36" i="27"/>
  <c r="AM36" i="27"/>
  <c r="AL33" i="200"/>
  <c r="AI36" i="41"/>
  <c r="AJ36" i="41" s="1"/>
  <c r="AM36" i="41" s="1"/>
  <c r="AI43" i="27"/>
  <c r="AJ43" i="27" s="1"/>
  <c r="AO43" i="27" s="1"/>
  <c r="AQ33" i="200"/>
  <c r="AG12" i="200"/>
  <c r="AC83" i="200" s="1"/>
  <c r="AL60" i="200"/>
  <c r="AJ81" i="200"/>
  <c r="AM60" i="200"/>
  <c r="S82" i="27"/>
  <c r="AM33" i="200"/>
  <c r="AN60" i="200"/>
  <c r="AQ60" i="200"/>
  <c r="AT81" i="41"/>
  <c r="AL43" i="41"/>
  <c r="AM43" i="41"/>
  <c r="AR43" i="41"/>
  <c r="AO43" i="41"/>
  <c r="AQ43" i="41"/>
  <c r="AN43" i="41"/>
  <c r="AQ33" i="41"/>
  <c r="AO33" i="41"/>
  <c r="AN33" i="41"/>
  <c r="AM33" i="41"/>
  <c r="AR33" i="41"/>
  <c r="AL33" i="41"/>
  <c r="AG8" i="41"/>
  <c r="AH81" i="41"/>
  <c r="AL51" i="200"/>
  <c r="AO51" i="200"/>
  <c r="AR51" i="200"/>
  <c r="AQ51" i="200"/>
  <c r="AP51" i="200"/>
  <c r="AN51" i="200"/>
  <c r="AM51" i="200"/>
  <c r="AQ43" i="200"/>
  <c r="AR43" i="200"/>
  <c r="AP43" i="200"/>
  <c r="AO43" i="200"/>
  <c r="AL43" i="200"/>
  <c r="AN43" i="200"/>
  <c r="AM43" i="200"/>
  <c r="AI81" i="200"/>
  <c r="Q81" i="200"/>
  <c r="AA11" i="200"/>
  <c r="AT81" i="200"/>
  <c r="AK13" i="200"/>
  <c r="AO33" i="27"/>
  <c r="AR33" i="27"/>
  <c r="AQ33" i="27"/>
  <c r="AN33" i="27"/>
  <c r="AL33" i="27"/>
  <c r="AM33" i="27"/>
  <c r="AH81" i="27"/>
  <c r="AG8" i="27"/>
  <c r="AG12" i="27" s="1"/>
  <c r="AR51" i="27" l="1"/>
  <c r="AL51" i="27"/>
  <c r="AK60" i="41"/>
  <c r="AK60" i="27"/>
  <c r="AO51" i="27"/>
  <c r="AO81" i="27" s="1"/>
  <c r="AL51" i="41"/>
  <c r="AN51" i="41"/>
  <c r="AK36" i="200"/>
  <c r="AI81" i="27"/>
  <c r="AM43" i="27"/>
  <c r="AM81" i="27" s="1"/>
  <c r="AR43" i="27"/>
  <c r="AR81" i="27" s="1"/>
  <c r="AN43" i="27"/>
  <c r="AN81" i="27" s="1"/>
  <c r="AJ81" i="27"/>
  <c r="AM51" i="41"/>
  <c r="AM81" i="41" s="1"/>
  <c r="AO51" i="41"/>
  <c r="AQ51" i="41"/>
  <c r="AK60" i="200"/>
  <c r="AL43" i="27"/>
  <c r="AL81" i="27" s="1"/>
  <c r="AK36" i="27"/>
  <c r="AN81" i="200"/>
  <c r="A12" i="200"/>
  <c r="A81" i="200" s="1"/>
  <c r="A82" i="200" s="1"/>
  <c r="AA82" i="200" s="1"/>
  <c r="AC82" i="200" s="1"/>
  <c r="AQ43" i="27"/>
  <c r="AQ81" i="27" s="1"/>
  <c r="AK51" i="27"/>
  <c r="AR81" i="200"/>
  <c r="AP81" i="200"/>
  <c r="AG81" i="200"/>
  <c r="AQ81" i="200"/>
  <c r="AI81" i="41"/>
  <c r="AJ81" i="41"/>
  <c r="AL81" i="200"/>
  <c r="AN36" i="41"/>
  <c r="AN81" i="41" s="1"/>
  <c r="AR36" i="41"/>
  <c r="AR81" i="41" s="1"/>
  <c r="AQ36" i="41"/>
  <c r="AL36" i="41"/>
  <c r="AO81" i="200"/>
  <c r="AK33" i="200"/>
  <c r="AO36" i="41"/>
  <c r="AM81" i="200"/>
  <c r="AQ81" i="41"/>
  <c r="AK33" i="41"/>
  <c r="AG12" i="41"/>
  <c r="AK43" i="41"/>
  <c r="AK51" i="200"/>
  <c r="AK43" i="200"/>
  <c r="AK33" i="27"/>
  <c r="A12" i="27"/>
  <c r="AC83" i="27"/>
  <c r="AG81" i="27"/>
  <c r="AK51" i="41" l="1"/>
  <c r="AA12" i="200"/>
  <c r="AA81" i="200" s="1"/>
  <c r="AC84" i="200" s="1"/>
  <c r="AO81" i="41"/>
  <c r="AK43" i="27"/>
  <c r="AK81" i="27" s="1"/>
  <c r="AK36" i="41"/>
  <c r="AL81" i="41"/>
  <c r="AK81" i="200"/>
  <c r="AK81" i="41"/>
  <c r="A12" i="41"/>
  <c r="AC83" i="41"/>
  <c r="AG81" i="41"/>
  <c r="A81" i="27"/>
  <c r="A82" i="27" s="1"/>
  <c r="AA12" i="27"/>
  <c r="AA81" i="27" s="1"/>
  <c r="AC84" i="27" s="1"/>
  <c r="AA82" i="27" l="1"/>
  <c r="AC82" i="27" s="1"/>
  <c r="C44" i="44"/>
  <c r="A81" i="41"/>
  <c r="AA12" i="41"/>
  <c r="AA81" i="41" s="1"/>
  <c r="AC84" i="41" s="1"/>
  <c r="A82" i="41" l="1"/>
  <c r="AA82" i="41" s="1"/>
  <c r="AC82" i="41" s="1"/>
  <c r="AF119" i="254"/>
  <c r="AG119" i="254"/>
  <c r="AH119" i="254"/>
  <c r="AE119" i="254"/>
  <c r="P3" i="145"/>
  <c r="P4" i="145"/>
  <c r="P5" i="145"/>
  <c r="P6" i="145"/>
  <c r="P7" i="145"/>
  <c r="P8" i="145"/>
  <c r="P9" i="145"/>
  <c r="P10" i="145"/>
  <c r="P11" i="145"/>
  <c r="P13" i="145"/>
  <c r="P14" i="145"/>
  <c r="P15" i="145"/>
  <c r="P16" i="145"/>
  <c r="P17" i="145"/>
  <c r="P18" i="145"/>
  <c r="P19" i="145"/>
  <c r="P22" i="145"/>
  <c r="P23" i="145"/>
  <c r="P24" i="145"/>
  <c r="P25" i="145"/>
  <c r="C26" i="145"/>
  <c r="D26" i="145"/>
  <c r="E26" i="145"/>
  <c r="F26" i="145"/>
  <c r="G26" i="145"/>
  <c r="H26" i="145"/>
  <c r="I26" i="145"/>
  <c r="J26" i="145"/>
  <c r="K26" i="145"/>
  <c r="L26" i="145"/>
  <c r="M26" i="145"/>
  <c r="N26" i="145"/>
  <c r="O26" i="145"/>
  <c r="C51" i="145"/>
  <c r="C52" i="145"/>
  <c r="C53" i="145"/>
  <c r="C54" i="145"/>
  <c r="C55" i="145"/>
  <c r="C56" i="145"/>
  <c r="C57" i="145"/>
  <c r="A4" i="185"/>
  <c r="A5" i="185" s="1"/>
  <c r="A6" i="185" s="1"/>
  <c r="A7" i="185" s="1"/>
  <c r="A8" i="185" s="1"/>
  <c r="A9" i="185" s="1"/>
  <c r="A10" i="185" s="1"/>
  <c r="A11" i="185" s="1"/>
  <c r="A12" i="185" s="1"/>
  <c r="A13" i="185" s="1"/>
  <c r="A14" i="185" s="1"/>
  <c r="A15" i="185" s="1"/>
  <c r="A16" i="185" s="1"/>
  <c r="A17" i="185" s="1"/>
  <c r="A18" i="185" s="1"/>
  <c r="A19" i="185" s="1"/>
  <c r="A20" i="185" s="1"/>
  <c r="A21" i="185" s="1"/>
  <c r="A22" i="185" s="1"/>
  <c r="A23" i="185" s="1"/>
  <c r="A24" i="185" s="1"/>
  <c r="A25" i="185" s="1"/>
  <c r="A26" i="185" s="1"/>
  <c r="A27" i="185" s="1"/>
  <c r="A28" i="185" s="1"/>
  <c r="A29" i="185" s="1"/>
  <c r="A30" i="185" s="1"/>
  <c r="A31" i="185" s="1"/>
  <c r="A32" i="185" s="1"/>
  <c r="A33" i="185" s="1"/>
  <c r="A34" i="185" s="1"/>
  <c r="A35" i="185" s="1"/>
  <c r="A36" i="185" s="1"/>
  <c r="A37" i="185" s="1"/>
  <c r="A38" i="185" s="1"/>
  <c r="A39" i="185" s="1"/>
  <c r="A40" i="185" s="1"/>
  <c r="A41" i="185" s="1"/>
  <c r="A42" i="185" s="1"/>
  <c r="A43" i="185" s="1"/>
  <c r="A4" i="234"/>
  <c r="A5" i="234" s="1"/>
  <c r="A6" i="234" s="1"/>
  <c r="A7" i="234" s="1"/>
  <c r="A8" i="234" s="1"/>
  <c r="A9" i="234" s="1"/>
  <c r="A10" i="234" s="1"/>
  <c r="A11" i="234" s="1"/>
  <c r="A12" i="234" s="1"/>
  <c r="A13" i="234" s="1"/>
  <c r="A14" i="234" s="1"/>
  <c r="A15" i="234" s="1"/>
  <c r="A16" i="234" s="1"/>
  <c r="A17" i="234" s="1"/>
  <c r="A18" i="234" s="1"/>
  <c r="A19" i="234" s="1"/>
  <c r="A20" i="234" s="1"/>
  <c r="A21" i="234" s="1"/>
  <c r="A22" i="234" s="1"/>
  <c r="A23" i="234" s="1"/>
  <c r="A24" i="234" s="1"/>
  <c r="A25" i="234" s="1"/>
  <c r="A26" i="234" s="1"/>
  <c r="A27" i="234" s="1"/>
  <c r="A28" i="234" s="1"/>
  <c r="A29" i="234" s="1"/>
  <c r="A30" i="234" s="1"/>
  <c r="A31" i="234" s="1"/>
  <c r="A32" i="234" s="1"/>
  <c r="A33" i="234" s="1"/>
  <c r="A34" i="234" s="1"/>
  <c r="A35" i="234" s="1"/>
  <c r="A36" i="234" s="1"/>
  <c r="A37" i="234" s="1"/>
  <c r="A38" i="234" s="1"/>
  <c r="A39" i="234" s="1"/>
  <c r="A40" i="234" s="1"/>
  <c r="A41" i="234" s="1"/>
  <c r="A42" i="234" s="1"/>
  <c r="A1" i="185"/>
  <c r="D44" i="44" l="1"/>
  <c r="P26" i="145"/>
  <c r="A1" i="153"/>
  <c r="A1" i="247"/>
  <c r="A1" i="246"/>
  <c r="A1" i="152"/>
  <c r="C126" i="160"/>
  <c r="C125" i="160"/>
  <c r="C124" i="160"/>
  <c r="C123" i="160"/>
  <c r="C122" i="160"/>
  <c r="C121" i="160"/>
  <c r="C120" i="160"/>
  <c r="C119" i="160"/>
  <c r="C118" i="160"/>
  <c r="C117" i="160"/>
  <c r="C116" i="160"/>
  <c r="N115" i="160" a="1"/>
  <c r="N115" i="160" s="1"/>
  <c r="L115" i="160" a="1"/>
  <c r="L115" i="160" s="1"/>
  <c r="L97" i="160" s="1"/>
  <c r="C115" i="160"/>
  <c r="C114" i="160"/>
  <c r="C113" i="160"/>
  <c r="C112" i="160"/>
  <c r="C111" i="160"/>
  <c r="C110" i="160"/>
  <c r="C109" i="160"/>
  <c r="C108" i="160"/>
  <c r="C107" i="160"/>
  <c r="C106" i="160"/>
  <c r="C105" i="160"/>
  <c r="C104" i="160"/>
  <c r="C103" i="160"/>
  <c r="C102" i="160"/>
  <c r="C101" i="160"/>
  <c r="C100" i="160"/>
  <c r="C99" i="160"/>
  <c r="C98" i="160"/>
  <c r="C97" i="160"/>
  <c r="C85" i="160"/>
  <c r="C84" i="160"/>
  <c r="C83" i="160"/>
  <c r="C82" i="160"/>
  <c r="C81" i="160"/>
  <c r="C80" i="160"/>
  <c r="C79" i="160"/>
  <c r="C78" i="160"/>
  <c r="C77" i="160"/>
  <c r="C76" i="160"/>
  <c r="C75" i="160"/>
  <c r="C74" i="160"/>
  <c r="C73" i="160"/>
  <c r="C72" i="160"/>
  <c r="C71" i="160"/>
  <c r="C70" i="160"/>
  <c r="C69" i="160"/>
  <c r="C68" i="160"/>
  <c r="C67" i="160"/>
  <c r="C66" i="160"/>
  <c r="C65" i="160"/>
  <c r="C64" i="160"/>
  <c r="C63" i="160"/>
  <c r="C62" i="160"/>
  <c r="C61" i="160"/>
  <c r="C60" i="160"/>
  <c r="C59" i="160"/>
  <c r="C58" i="160"/>
  <c r="C57" i="160"/>
  <c r="C56" i="160"/>
  <c r="D49" i="160"/>
  <c r="D50" i="160" s="1"/>
  <c r="C44" i="160"/>
  <c r="C43" i="160"/>
  <c r="C42" i="160"/>
  <c r="C41" i="160"/>
  <c r="C40" i="160"/>
  <c r="C39" i="160"/>
  <c r="C38" i="160"/>
  <c r="C37" i="160"/>
  <c r="C36" i="160"/>
  <c r="C35" i="160"/>
  <c r="C34" i="160"/>
  <c r="C33" i="160"/>
  <c r="C32" i="160"/>
  <c r="C31" i="160"/>
  <c r="C30" i="160"/>
  <c r="C29" i="160"/>
  <c r="C28" i="160"/>
  <c r="C27" i="160"/>
  <c r="C26" i="160"/>
  <c r="C25" i="160"/>
  <c r="C24" i="160"/>
  <c r="C23" i="160"/>
  <c r="C22" i="160"/>
  <c r="C21" i="160"/>
  <c r="C20" i="160"/>
  <c r="C19" i="160"/>
  <c r="C18" i="160"/>
  <c r="C17" i="160"/>
  <c r="C16" i="160"/>
  <c r="C15" i="160"/>
  <c r="D7" i="160"/>
  <c r="Q6" i="165"/>
  <c r="Q5" i="165"/>
  <c r="Q4" i="165"/>
  <c r="Q7" i="164"/>
  <c r="Q5" i="164"/>
  <c r="Q6" i="164"/>
  <c r="O7" i="163"/>
  <c r="O5" i="163"/>
  <c r="O6" i="163"/>
  <c r="L6" i="168"/>
  <c r="L5" i="168"/>
  <c r="L4" i="168"/>
  <c r="N100" i="160" l="1"/>
  <c r="N110" i="160"/>
  <c r="N104" i="160"/>
  <c r="N114" i="160"/>
  <c r="N98" i="160"/>
  <c r="N108" i="160"/>
  <c r="N102" i="160"/>
  <c r="N112" i="160"/>
  <c r="N106" i="160"/>
  <c r="D51" i="160"/>
  <c r="D8" i="160"/>
  <c r="D9" i="160"/>
  <c r="N113" i="160"/>
  <c r="N111" i="160"/>
  <c r="N109" i="160"/>
  <c r="N107" i="160"/>
  <c r="N105" i="160"/>
  <c r="N103" i="160"/>
  <c r="N101" i="160"/>
  <c r="N99" i="160"/>
  <c r="N97" i="160"/>
  <c r="A1" i="234" l="1"/>
  <c r="G375" i="35" l="1"/>
  <c r="F375" i="35"/>
  <c r="G376" i="35"/>
  <c r="H375" i="35"/>
  <c r="F376" i="35"/>
  <c r="H376" i="35"/>
  <c r="F374" i="35"/>
  <c r="G374" i="35"/>
  <c r="H374" i="35" l="1"/>
  <c r="D30" i="211" l="1"/>
  <c r="AL39" i="245" l="1"/>
  <c r="AK39" i="245"/>
  <c r="AJ39" i="245"/>
  <c r="AI39" i="245"/>
  <c r="AH39" i="245"/>
  <c r="AG39" i="245"/>
  <c r="AF39" i="245"/>
  <c r="AE39" i="245"/>
  <c r="AD39" i="245"/>
  <c r="AC39" i="245"/>
  <c r="AB39" i="245"/>
  <c r="AA39" i="245"/>
  <c r="Z39" i="245"/>
  <c r="Y39" i="245"/>
  <c r="X39" i="245"/>
  <c r="W39" i="245"/>
  <c r="V39" i="245"/>
  <c r="U39" i="245"/>
  <c r="T39" i="245"/>
  <c r="S39" i="245"/>
  <c r="R39" i="245"/>
  <c r="Q39" i="245"/>
  <c r="P39" i="245"/>
  <c r="O39" i="245"/>
  <c r="N39" i="245"/>
  <c r="M39" i="245"/>
  <c r="L39" i="245"/>
  <c r="K39" i="245"/>
  <c r="J39" i="245"/>
  <c r="I39" i="245"/>
  <c r="H39" i="245"/>
  <c r="G39" i="245"/>
  <c r="F39" i="245"/>
  <c r="E39" i="245"/>
  <c r="D39" i="245"/>
  <c r="C39" i="245"/>
  <c r="AM38" i="245"/>
  <c r="AM37" i="245"/>
  <c r="AM36" i="245"/>
  <c r="AM35" i="245"/>
  <c r="AM34" i="245"/>
  <c r="AM33" i="245"/>
  <c r="AM32" i="245"/>
  <c r="AM31" i="245"/>
  <c r="AM30" i="245"/>
  <c r="AM29" i="245"/>
  <c r="AM28" i="245"/>
  <c r="AM27" i="245"/>
  <c r="AM26" i="245"/>
  <c r="AM25" i="245"/>
  <c r="AM24" i="245"/>
  <c r="AM23" i="245"/>
  <c r="AM22" i="245"/>
  <c r="AM21" i="245"/>
  <c r="AM20" i="245"/>
  <c r="AM19" i="245"/>
  <c r="AM18" i="245"/>
  <c r="AM17" i="245"/>
  <c r="AM16" i="245"/>
  <c r="AM15" i="245"/>
  <c r="AM14" i="245"/>
  <c r="AM13" i="245"/>
  <c r="AM12" i="245"/>
  <c r="AM11" i="245"/>
  <c r="AM10" i="245"/>
  <c r="AM9" i="245"/>
  <c r="AM8" i="245"/>
  <c r="AM7" i="245"/>
  <c r="AM6" i="245"/>
  <c r="AM5" i="245"/>
  <c r="AM4" i="245"/>
  <c r="AM3" i="245"/>
  <c r="AM38" i="244"/>
  <c r="AM37" i="244"/>
  <c r="AM36" i="244"/>
  <c r="AM35" i="244"/>
  <c r="AM34" i="244"/>
  <c r="AM33" i="244"/>
  <c r="AM32" i="244"/>
  <c r="AM31" i="244"/>
  <c r="AM30" i="244"/>
  <c r="AM29" i="244"/>
  <c r="AM28" i="244"/>
  <c r="AM27" i="244"/>
  <c r="AM26" i="244"/>
  <c r="AM25" i="244"/>
  <c r="AM24" i="244"/>
  <c r="AM23" i="244"/>
  <c r="AM22" i="244"/>
  <c r="AM21" i="244"/>
  <c r="AM20" i="244"/>
  <c r="AM19" i="244"/>
  <c r="AM18" i="244"/>
  <c r="AM17" i="244"/>
  <c r="AM16" i="244"/>
  <c r="AM15" i="244"/>
  <c r="AM14" i="244"/>
  <c r="AM13" i="244"/>
  <c r="AM12" i="244"/>
  <c r="AM11" i="244"/>
  <c r="AM10" i="244"/>
  <c r="AM9" i="244"/>
  <c r="AM8" i="244"/>
  <c r="AM7" i="244"/>
  <c r="AM6" i="244"/>
  <c r="AM5" i="244"/>
  <c r="AM4" i="244"/>
  <c r="AM3" i="244"/>
  <c r="A3" i="235"/>
  <c r="A4" i="235"/>
  <c r="A5" i="235"/>
  <c r="A6" i="235"/>
  <c r="A7" i="235"/>
  <c r="A8" i="235"/>
  <c r="A9" i="235"/>
  <c r="A10" i="235"/>
  <c r="A11" i="235"/>
  <c r="A12" i="235"/>
  <c r="A13" i="235"/>
  <c r="A14" i="235"/>
  <c r="A15" i="235"/>
  <c r="A16" i="235"/>
  <c r="A17" i="235"/>
  <c r="A18" i="235"/>
  <c r="A19" i="235"/>
  <c r="A20" i="235"/>
  <c r="A21" i="235"/>
  <c r="A22" i="235"/>
  <c r="A23" i="235"/>
  <c r="A24" i="235"/>
  <c r="A25" i="235"/>
  <c r="A26" i="235"/>
  <c r="A27" i="235"/>
  <c r="A28" i="235"/>
  <c r="A29" i="235"/>
  <c r="A30" i="235"/>
  <c r="A31" i="235"/>
  <c r="A32" i="235"/>
  <c r="A33" i="235"/>
  <c r="A34" i="235"/>
  <c r="A35" i="235"/>
  <c r="A36" i="235"/>
  <c r="A37" i="235"/>
  <c r="A38" i="235"/>
  <c r="A39" i="235"/>
  <c r="A40" i="235"/>
  <c r="A41" i="235"/>
  <c r="A42" i="235"/>
  <c r="A43" i="235"/>
  <c r="A44" i="235"/>
  <c r="A45" i="235"/>
  <c r="A46" i="235"/>
  <c r="A47" i="235"/>
  <c r="A48" i="235"/>
  <c r="A49" i="235"/>
  <c r="A50" i="235"/>
  <c r="A51" i="235"/>
  <c r="A52" i="235"/>
  <c r="A53" i="235"/>
  <c r="A54" i="235"/>
  <c r="A55" i="235"/>
  <c r="A56" i="235"/>
  <c r="A57" i="235"/>
  <c r="A58" i="235"/>
  <c r="A59" i="235"/>
  <c r="A60" i="235"/>
  <c r="A61" i="235"/>
  <c r="A62" i="235"/>
  <c r="A63" i="235"/>
  <c r="A64" i="235"/>
  <c r="A65" i="235"/>
  <c r="A66" i="235"/>
  <c r="A67" i="235"/>
  <c r="A68" i="235"/>
  <c r="A69" i="235"/>
  <c r="A70" i="235"/>
  <c r="A71" i="235"/>
  <c r="A72" i="235"/>
  <c r="A73" i="235"/>
  <c r="A74" i="235"/>
  <c r="A75" i="235"/>
  <c r="A76" i="235"/>
  <c r="A77" i="235"/>
  <c r="A78" i="235"/>
  <c r="A79" i="235"/>
  <c r="A80" i="235"/>
  <c r="A81" i="235"/>
  <c r="A82" i="235"/>
  <c r="A83" i="235"/>
  <c r="A84" i="235"/>
  <c r="A85" i="235"/>
  <c r="A86" i="235"/>
  <c r="A87" i="235"/>
  <c r="A88" i="235"/>
  <c r="A89" i="235"/>
  <c r="A90" i="235"/>
  <c r="A91" i="235"/>
  <c r="A92" i="235"/>
  <c r="A93" i="235"/>
  <c r="A94" i="235"/>
  <c r="A95" i="235"/>
  <c r="A96" i="235"/>
  <c r="A97" i="235"/>
  <c r="A98" i="235"/>
  <c r="A99" i="235"/>
  <c r="A100" i="235"/>
  <c r="A101" i="235"/>
  <c r="A102" i="235"/>
  <c r="A103" i="235"/>
  <c r="A104" i="235"/>
  <c r="A105" i="235"/>
  <c r="A106" i="235"/>
  <c r="A107" i="235"/>
  <c r="A108" i="235"/>
  <c r="A109" i="235"/>
  <c r="A110" i="235"/>
  <c r="A111" i="235"/>
  <c r="A112" i="235"/>
  <c r="A113" i="235"/>
  <c r="A114" i="235"/>
  <c r="A115" i="235"/>
  <c r="A116" i="235"/>
  <c r="A117" i="235"/>
  <c r="A118" i="235"/>
  <c r="A119" i="235"/>
  <c r="A120" i="235"/>
  <c r="A121" i="235"/>
  <c r="A122" i="235"/>
  <c r="A123" i="235"/>
  <c r="A124" i="235"/>
  <c r="A125" i="235"/>
  <c r="A126" i="235"/>
  <c r="A127" i="235"/>
  <c r="A128" i="235"/>
  <c r="A129" i="235"/>
  <c r="A130" i="235"/>
  <c r="A131" i="235"/>
  <c r="A132" i="235"/>
  <c r="A133" i="235"/>
  <c r="A134" i="235"/>
  <c r="A135" i="235"/>
  <c r="A136" i="235"/>
  <c r="A137" i="235"/>
  <c r="A138" i="235"/>
  <c r="A139" i="235"/>
  <c r="A140" i="235"/>
  <c r="A141" i="235"/>
  <c r="A142" i="235"/>
  <c r="A143" i="235"/>
  <c r="A144" i="235"/>
  <c r="A145" i="235"/>
  <c r="A146" i="235"/>
  <c r="A147" i="235"/>
  <c r="A148" i="235"/>
  <c r="A149" i="235"/>
  <c r="A150" i="235"/>
  <c r="A151" i="235"/>
  <c r="A152" i="235"/>
  <c r="A153" i="235"/>
  <c r="A154" i="235"/>
  <c r="A155" i="235"/>
  <c r="A156" i="235"/>
  <c r="A157" i="235"/>
  <c r="A158" i="235"/>
  <c r="A159" i="235"/>
  <c r="A160" i="235"/>
  <c r="A161" i="235"/>
  <c r="A162" i="235"/>
  <c r="A163" i="235"/>
  <c r="A164" i="235"/>
  <c r="A165" i="235"/>
  <c r="A166" i="235"/>
  <c r="A167" i="235"/>
  <c r="A168" i="235"/>
  <c r="A169" i="235"/>
  <c r="A170" i="235"/>
  <c r="A171" i="235"/>
  <c r="A172" i="235"/>
  <c r="A173" i="235"/>
  <c r="A174" i="235"/>
  <c r="A175" i="235"/>
  <c r="A176" i="235"/>
  <c r="A177" i="235"/>
  <c r="A178" i="235"/>
  <c r="A179" i="235"/>
  <c r="A180" i="235"/>
  <c r="A181" i="235"/>
  <c r="A182" i="235"/>
  <c r="A183" i="235"/>
  <c r="A184" i="235"/>
  <c r="A185" i="235"/>
  <c r="A186" i="235"/>
  <c r="A187" i="235"/>
  <c r="A188" i="235"/>
  <c r="A189" i="235"/>
  <c r="A190" i="235"/>
  <c r="A191" i="235"/>
  <c r="A192" i="235"/>
  <c r="A193" i="235"/>
  <c r="A194" i="235"/>
  <c r="A195" i="235"/>
  <c r="A196" i="235"/>
  <c r="A197" i="235"/>
  <c r="A198" i="235"/>
  <c r="A199" i="235"/>
  <c r="A200" i="235"/>
  <c r="A201" i="235"/>
  <c r="A202" i="235"/>
  <c r="A203" i="235"/>
  <c r="A204" i="235"/>
  <c r="A205" i="235"/>
  <c r="A206" i="235"/>
  <c r="A207" i="235"/>
  <c r="A208" i="235"/>
  <c r="A209" i="235"/>
  <c r="A210" i="235"/>
  <c r="D43" i="234"/>
  <c r="C43" i="234"/>
  <c r="AM39" i="245" l="1"/>
  <c r="AM39" i="244"/>
  <c r="AN39" i="244"/>
  <c r="AN39" i="245"/>
  <c r="S7" i="134" l="1"/>
  <c r="S10" i="134"/>
  <c r="D43" i="185"/>
  <c r="C43" i="185"/>
  <c r="E94" i="63" l="1"/>
  <c r="F94" i="63"/>
  <c r="E95" i="63"/>
  <c r="F95" i="63"/>
  <c r="E96" i="63"/>
  <c r="F96" i="63"/>
  <c r="E97" i="63"/>
  <c r="F97" i="63"/>
  <c r="E98" i="63"/>
  <c r="F98" i="63"/>
  <c r="E99" i="63"/>
  <c r="F99" i="63"/>
  <c r="E100" i="63"/>
  <c r="F100" i="63"/>
  <c r="E101" i="63"/>
  <c r="F101" i="63"/>
  <c r="E102" i="63"/>
  <c r="F102" i="63"/>
  <c r="E103" i="63"/>
  <c r="F103" i="63"/>
  <c r="E104" i="63"/>
  <c r="F104" i="63"/>
  <c r="E105" i="63"/>
  <c r="F105" i="63"/>
  <c r="E106" i="63"/>
  <c r="F106" i="63"/>
  <c r="E107" i="63"/>
  <c r="F107" i="63"/>
  <c r="E108" i="63"/>
  <c r="F108" i="63"/>
  <c r="E109" i="63"/>
  <c r="F109" i="63"/>
  <c r="E110" i="63"/>
  <c r="F110" i="63"/>
  <c r="G108" i="63"/>
  <c r="G109" i="63"/>
  <c r="G107" i="63"/>
  <c r="G110" i="63"/>
  <c r="G106" i="63"/>
  <c r="G105" i="63"/>
  <c r="G104" i="63"/>
  <c r="G103" i="63"/>
  <c r="G102" i="63"/>
  <c r="S7" i="235"/>
  <c r="D948" i="35" l="1"/>
  <c r="O15" i="222" l="1"/>
  <c r="O16" i="222"/>
  <c r="O17" i="222"/>
  <c r="O18" i="222"/>
  <c r="G168" i="63" l="1"/>
  <c r="F168" i="63"/>
  <c r="E168" i="63"/>
  <c r="J10" i="163" l="1"/>
  <c r="E26" i="63" l="1"/>
  <c r="E27" i="63"/>
  <c r="E28" i="63"/>
  <c r="E29" i="63"/>
  <c r="E30" i="63"/>
  <c r="E31" i="63"/>
  <c r="E32" i="63"/>
  <c r="E33" i="63"/>
  <c r="E34" i="63"/>
  <c r="E35" i="63"/>
  <c r="E36" i="63"/>
  <c r="E37" i="63"/>
  <c r="E38" i="63"/>
  <c r="E39" i="63"/>
  <c r="E40" i="63"/>
  <c r="E41" i="63"/>
  <c r="E43" i="63"/>
  <c r="E44" i="63"/>
  <c r="E45" i="63"/>
  <c r="E46" i="63"/>
  <c r="E47" i="63"/>
  <c r="E48" i="63"/>
  <c r="E54" i="63"/>
  <c r="E58" i="63"/>
  <c r="E59" i="63"/>
  <c r="E60" i="63"/>
  <c r="E61" i="63"/>
  <c r="E62" i="63"/>
  <c r="E63" i="63"/>
  <c r="E64" i="63"/>
  <c r="E65" i="63"/>
  <c r="E66" i="63"/>
  <c r="E67" i="63"/>
  <c r="E69" i="63"/>
  <c r="E115" i="63"/>
  <c r="E116" i="63"/>
  <c r="E117" i="63"/>
  <c r="E118" i="63"/>
  <c r="E119" i="63"/>
  <c r="E120" i="63"/>
  <c r="E121" i="63"/>
  <c r="E122" i="63"/>
  <c r="E123" i="63"/>
  <c r="E124" i="63"/>
  <c r="E125" i="63"/>
  <c r="E126" i="63"/>
  <c r="E127" i="63"/>
  <c r="E128" i="63"/>
  <c r="E129" i="63"/>
  <c r="E130" i="63"/>
  <c r="E131" i="63"/>
  <c r="E135" i="63"/>
  <c r="E136" i="63"/>
  <c r="E137" i="63"/>
  <c r="E138" i="63"/>
  <c r="E144" i="63"/>
  <c r="E149" i="63"/>
  <c r="E154" i="63"/>
  <c r="E155" i="63"/>
  <c r="E161" i="63"/>
  <c r="E169" i="63"/>
  <c r="E170" i="63"/>
  <c r="E175" i="63"/>
  <c r="E180" i="63"/>
  <c r="E181" i="63"/>
  <c r="E182" i="63"/>
  <c r="E194" i="63"/>
  <c r="E196" i="63"/>
  <c r="E197" i="63"/>
  <c r="E198" i="63"/>
  <c r="E199" i="63"/>
  <c r="E200" i="63"/>
  <c r="E201" i="63"/>
  <c r="E202" i="63"/>
  <c r="E204" i="63"/>
  <c r="E206" i="63"/>
  <c r="E207" i="63"/>
  <c r="E208" i="63"/>
  <c r="E209" i="63"/>
  <c r="E210" i="63"/>
  <c r="E214" i="63"/>
  <c r="E216" i="63"/>
  <c r="E217" i="63"/>
  <c r="E218" i="63"/>
  <c r="E219" i="63"/>
  <c r="E220" i="63"/>
  <c r="E224" i="63"/>
  <c r="E226" i="63"/>
  <c r="E227" i="63"/>
  <c r="E228" i="63"/>
  <c r="E229" i="63"/>
  <c r="E230" i="63"/>
  <c r="E234" i="63"/>
  <c r="E236" i="63"/>
  <c r="E237" i="63"/>
  <c r="E238" i="63"/>
  <c r="E239" i="63"/>
  <c r="E240" i="63"/>
  <c r="E244" i="63"/>
  <c r="E246" i="63"/>
  <c r="E247" i="63"/>
  <c r="E248" i="63"/>
  <c r="E249" i="63"/>
  <c r="E250" i="63"/>
  <c r="E254" i="63"/>
  <c r="E256" i="63"/>
  <c r="E257" i="63"/>
  <c r="E258" i="63"/>
  <c r="E259" i="63"/>
  <c r="E260" i="63"/>
  <c r="E270" i="63"/>
  <c r="E272" i="63"/>
  <c r="E273" i="63"/>
  <c r="E274" i="63"/>
  <c r="E275" i="63"/>
  <c r="E276" i="63"/>
  <c r="E280" i="63"/>
  <c r="E282" i="63"/>
  <c r="E283" i="63"/>
  <c r="E284" i="63"/>
  <c r="E285" i="63"/>
  <c r="E286" i="63"/>
  <c r="E290" i="63"/>
  <c r="E292" i="63"/>
  <c r="E293" i="63"/>
  <c r="E294" i="63"/>
  <c r="E295" i="63"/>
  <c r="E296" i="63"/>
  <c r="E300" i="63"/>
  <c r="E302" i="63"/>
  <c r="E303" i="63"/>
  <c r="E304" i="63"/>
  <c r="E305" i="63"/>
  <c r="E306" i="63"/>
  <c r="E310" i="63"/>
  <c r="E312" i="63"/>
  <c r="E313" i="63"/>
  <c r="E314" i="63"/>
  <c r="E315" i="63"/>
  <c r="E316" i="63"/>
  <c r="E320" i="63"/>
  <c r="E322" i="63"/>
  <c r="E323" i="63"/>
  <c r="E324" i="63"/>
  <c r="E325" i="63"/>
  <c r="E326" i="63"/>
  <c r="E334" i="63"/>
  <c r="E336" i="63"/>
  <c r="E337" i="63"/>
  <c r="E338" i="63"/>
  <c r="E339" i="63"/>
  <c r="E340" i="63"/>
  <c r="E344" i="63"/>
  <c r="E346" i="63"/>
  <c r="E347" i="63"/>
  <c r="E348" i="63"/>
  <c r="E349" i="63"/>
  <c r="E350" i="63"/>
  <c r="E354" i="63"/>
  <c r="E356" i="63"/>
  <c r="E357" i="63"/>
  <c r="E358" i="63"/>
  <c r="E359" i="63"/>
  <c r="E360" i="63"/>
  <c r="E364" i="63"/>
  <c r="E366" i="63"/>
  <c r="E367" i="63"/>
  <c r="E368" i="63"/>
  <c r="E369" i="63"/>
  <c r="E370" i="63"/>
  <c r="E374" i="63"/>
  <c r="E376" i="63"/>
  <c r="E377" i="63"/>
  <c r="E378" i="63"/>
  <c r="E379" i="63"/>
  <c r="E380" i="63"/>
  <c r="E384" i="63"/>
  <c r="E386" i="63"/>
  <c r="E387" i="63"/>
  <c r="E388" i="63"/>
  <c r="E389" i="63"/>
  <c r="E390" i="63"/>
  <c r="E398" i="63"/>
  <c r="E399" i="63"/>
  <c r="E400" i="63"/>
  <c r="E401" i="63"/>
  <c r="E403" i="63"/>
  <c r="E404" i="63"/>
  <c r="E405" i="63"/>
  <c r="E406" i="63"/>
  <c r="E407" i="63"/>
  <c r="E409" i="63"/>
  <c r="E410" i="63"/>
  <c r="E411" i="63"/>
  <c r="E412" i="63"/>
  <c r="E414" i="63"/>
  <c r="E415" i="63"/>
  <c r="E416" i="63"/>
  <c r="E417" i="63"/>
  <c r="E419" i="63"/>
  <c r="E420" i="63"/>
  <c r="E421" i="63"/>
  <c r="E422" i="63"/>
  <c r="E423" i="63"/>
  <c r="E425" i="63"/>
  <c r="E426" i="63"/>
  <c r="E427" i="63"/>
  <c r="E428" i="63"/>
  <c r="E430" i="63"/>
  <c r="E431" i="63"/>
  <c r="E432" i="63"/>
  <c r="E433" i="63"/>
  <c r="E435" i="63"/>
  <c r="E436" i="63"/>
  <c r="E437" i="63"/>
  <c r="E438" i="63"/>
  <c r="E439" i="63"/>
  <c r="E441" i="63"/>
  <c r="E442" i="63"/>
  <c r="E443" i="63"/>
  <c r="E444" i="63"/>
  <c r="E446" i="63"/>
  <c r="E447" i="63"/>
  <c r="E448" i="63"/>
  <c r="E449" i="63"/>
  <c r="E451" i="63"/>
  <c r="E452" i="63"/>
  <c r="E453" i="63"/>
  <c r="E454" i="63"/>
  <c r="E455" i="63"/>
  <c r="E457" i="63"/>
  <c r="E458" i="63"/>
  <c r="E459" i="63"/>
  <c r="E460" i="63"/>
  <c r="E462" i="63"/>
  <c r="E463" i="63"/>
  <c r="E464" i="63"/>
  <c r="E465" i="63"/>
  <c r="E467" i="63"/>
  <c r="E468" i="63"/>
  <c r="E469" i="63"/>
  <c r="E470" i="63"/>
  <c r="E471" i="63"/>
  <c r="E473" i="63"/>
  <c r="E474" i="63"/>
  <c r="E475" i="63"/>
  <c r="E476" i="63"/>
  <c r="E478" i="63"/>
  <c r="E479" i="63"/>
  <c r="E480" i="63"/>
  <c r="E481" i="63"/>
  <c r="E483" i="63"/>
  <c r="E484" i="63"/>
  <c r="E485" i="63"/>
  <c r="E486" i="63"/>
  <c r="E487" i="63"/>
  <c r="E489" i="63"/>
  <c r="E490" i="63"/>
  <c r="E491" i="63"/>
  <c r="E492" i="63"/>
  <c r="E498" i="63"/>
  <c r="E500" i="63"/>
  <c r="E501" i="63"/>
  <c r="E502" i="63"/>
  <c r="E503" i="63"/>
  <c r="E504" i="63"/>
  <c r="E508" i="63"/>
  <c r="E510" i="63"/>
  <c r="E511" i="63"/>
  <c r="E512" i="63"/>
  <c r="E513" i="63"/>
  <c r="E514" i="63"/>
  <c r="E518" i="63"/>
  <c r="E520" i="63"/>
  <c r="E521" i="63"/>
  <c r="E522" i="63"/>
  <c r="E523" i="63"/>
  <c r="E524" i="63"/>
  <c r="E528" i="63"/>
  <c r="E530" i="63"/>
  <c r="E531" i="63"/>
  <c r="E532" i="63"/>
  <c r="E533" i="63"/>
  <c r="E534" i="63"/>
  <c r="E538" i="63"/>
  <c r="E540" i="63"/>
  <c r="E541" i="63"/>
  <c r="E542" i="63"/>
  <c r="E543" i="63"/>
  <c r="E544" i="63"/>
  <c r="E548" i="63"/>
  <c r="E550" i="63"/>
  <c r="E551" i="63"/>
  <c r="E552" i="63"/>
  <c r="E553" i="63"/>
  <c r="E554" i="63"/>
  <c r="E561" i="63"/>
  <c r="E562" i="63"/>
  <c r="E564" i="63"/>
  <c r="E565" i="63"/>
  <c r="E566" i="63"/>
  <c r="E567" i="63"/>
  <c r="E568" i="63"/>
  <c r="E571" i="63"/>
  <c r="E572" i="63"/>
  <c r="E574" i="63"/>
  <c r="E575" i="63"/>
  <c r="E576" i="63"/>
  <c r="E577" i="63"/>
  <c r="E578" i="63"/>
  <c r="E581" i="63"/>
  <c r="E582" i="63"/>
  <c r="E584" i="63"/>
  <c r="E585" i="63"/>
  <c r="E586" i="63"/>
  <c r="E587" i="63"/>
  <c r="E588" i="63"/>
  <c r="E591" i="63"/>
  <c r="E592" i="63"/>
  <c r="E594" i="63"/>
  <c r="E595" i="63"/>
  <c r="E596" i="63"/>
  <c r="E597" i="63"/>
  <c r="E598" i="63"/>
  <c r="E601" i="63"/>
  <c r="E602" i="63"/>
  <c r="E604" i="63"/>
  <c r="E605" i="63"/>
  <c r="E606" i="63"/>
  <c r="E607" i="63"/>
  <c r="E608" i="63"/>
  <c r="E611" i="63"/>
  <c r="E612" i="63"/>
  <c r="E614" i="63"/>
  <c r="E615" i="63"/>
  <c r="E616" i="63"/>
  <c r="E617" i="63"/>
  <c r="E618" i="63"/>
  <c r="E628" i="63"/>
  <c r="E629" i="63"/>
  <c r="E630" i="63"/>
  <c r="E631" i="63"/>
  <c r="E633" i="63"/>
  <c r="E635" i="63"/>
  <c r="E636" i="63"/>
  <c r="E637" i="63"/>
  <c r="E638" i="63"/>
  <c r="E640" i="63"/>
  <c r="E643" i="63"/>
  <c r="E644" i="63"/>
  <c r="E645" i="63"/>
  <c r="E647" i="63"/>
  <c r="E653" i="63"/>
  <c r="E654" i="63"/>
  <c r="E655" i="63"/>
  <c r="E658" i="63"/>
  <c r="E659" i="63"/>
  <c r="E661" i="63"/>
  <c r="E662" i="63"/>
  <c r="E663" i="63"/>
  <c r="E666" i="63"/>
  <c r="E667" i="63"/>
  <c r="E669" i="63"/>
  <c r="E670" i="63"/>
  <c r="E671" i="63"/>
  <c r="E674" i="63"/>
  <c r="E675" i="63"/>
  <c r="E680" i="63"/>
  <c r="E681" i="63"/>
  <c r="E682" i="63"/>
  <c r="E683" i="63"/>
  <c r="E684" i="63"/>
  <c r="E685" i="63"/>
  <c r="E686" i="63"/>
  <c r="E687" i="63"/>
  <c r="E688" i="63"/>
  <c r="E689" i="63"/>
  <c r="E690" i="63"/>
  <c r="E691" i="63"/>
  <c r="E694" i="63"/>
  <c r="E695" i="63"/>
  <c r="E696" i="63"/>
  <c r="E697" i="63"/>
  <c r="E698" i="63"/>
  <c r="E699" i="63"/>
  <c r="E702" i="63"/>
  <c r="E703" i="63"/>
  <c r="E709" i="63"/>
  <c r="E710" i="63"/>
  <c r="E712" i="63"/>
  <c r="E713" i="63"/>
  <c r="E715" i="63"/>
  <c r="E716" i="63"/>
  <c r="E724" i="63"/>
  <c r="E725" i="63"/>
  <c r="E727" i="63"/>
  <c r="E728" i="63"/>
  <c r="E729" i="63"/>
  <c r="E730" i="63"/>
  <c r="E731" i="63"/>
  <c r="E732" i="63"/>
  <c r="E733" i="63"/>
  <c r="E734" i="63"/>
  <c r="E735" i="63"/>
  <c r="E742" i="63"/>
  <c r="E743" i="63"/>
  <c r="E744" i="63"/>
  <c r="E745" i="63"/>
  <c r="E746" i="63"/>
  <c r="E747" i="63"/>
  <c r="E748" i="63"/>
  <c r="E749" i="63"/>
  <c r="E750" i="63"/>
  <c r="E757" i="63"/>
  <c r="E758" i="63"/>
  <c r="E759" i="63"/>
  <c r="E760" i="63"/>
  <c r="E761" i="63"/>
  <c r="E762" i="63"/>
  <c r="E763" i="63"/>
  <c r="E764" i="63"/>
  <c r="E765" i="63"/>
  <c r="E766" i="63"/>
  <c r="E767" i="63"/>
  <c r="E768" i="63"/>
  <c r="E769" i="63"/>
  <c r="E770" i="63"/>
  <c r="E771" i="63"/>
  <c r="E772" i="63"/>
  <c r="E773" i="63"/>
  <c r="E774" i="63"/>
  <c r="E775" i="63"/>
  <c r="E776" i="63"/>
  <c r="E777" i="63"/>
  <c r="E778" i="63"/>
  <c r="E779" i="63"/>
  <c r="E780" i="63"/>
  <c r="E781" i="63"/>
  <c r="E782" i="63"/>
  <c r="E783" i="63"/>
  <c r="E784" i="63"/>
  <c r="E785" i="63"/>
  <c r="E789" i="63"/>
  <c r="E788" i="63" s="1"/>
  <c r="E790" i="63"/>
  <c r="E791" i="63"/>
  <c r="E792" i="63"/>
  <c r="E793" i="63"/>
  <c r="E794" i="63"/>
  <c r="E795" i="63"/>
  <c r="E796" i="63"/>
  <c r="E797" i="63"/>
  <c r="E798" i="63"/>
  <c r="E799" i="63"/>
  <c r="E800" i="63"/>
  <c r="E801" i="63"/>
  <c r="E802" i="63"/>
  <c r="E803" i="63"/>
  <c r="E804" i="63"/>
  <c r="E805" i="63"/>
  <c r="E806" i="63"/>
  <c r="E807" i="63"/>
  <c r="E808" i="63"/>
  <c r="E809" i="63"/>
  <c r="E810" i="63"/>
  <c r="E811" i="63"/>
  <c r="E812" i="63"/>
  <c r="E813" i="63"/>
  <c r="E814" i="63"/>
  <c r="E815" i="63"/>
  <c r="E816" i="63"/>
  <c r="E819" i="63"/>
  <c r="E820" i="63"/>
  <c r="E821" i="63"/>
  <c r="E822" i="63"/>
  <c r="E823" i="63"/>
  <c r="E824" i="63"/>
  <c r="E825" i="63"/>
  <c r="E826" i="63"/>
  <c r="E827" i="63"/>
  <c r="E828" i="63"/>
  <c r="E829" i="63"/>
  <c r="E830" i="63"/>
  <c r="E831" i="63"/>
  <c r="E832" i="63"/>
  <c r="E833" i="63"/>
  <c r="E834" i="63"/>
  <c r="E835" i="63"/>
  <c r="E836" i="63"/>
  <c r="E837" i="63"/>
  <c r="E838" i="63"/>
  <c r="E839" i="63"/>
  <c r="E840" i="63"/>
  <c r="E841" i="63"/>
  <c r="E842" i="63"/>
  <c r="E843" i="63"/>
  <c r="E844" i="63"/>
  <c r="E845" i="63"/>
  <c r="E846" i="63"/>
  <c r="E847" i="63"/>
  <c r="E854" i="63"/>
  <c r="E855" i="63"/>
  <c r="E856" i="63"/>
  <c r="E857" i="63"/>
  <c r="E858" i="63"/>
  <c r="E859" i="63"/>
  <c r="E860" i="63"/>
  <c r="E861" i="63"/>
  <c r="E862" i="63"/>
  <c r="E863" i="63"/>
  <c r="E864" i="63"/>
  <c r="E865" i="63"/>
  <c r="E866" i="63"/>
  <c r="E867" i="63"/>
  <c r="E868" i="63"/>
  <c r="E869" i="63"/>
  <c r="E870" i="63"/>
  <c r="E871" i="63"/>
  <c r="E872" i="63"/>
  <c r="E873" i="63"/>
  <c r="E874" i="63"/>
  <c r="E875" i="63"/>
  <c r="E876" i="63"/>
  <c r="E877" i="63"/>
  <c r="E878" i="63"/>
  <c r="E879" i="63"/>
  <c r="E880" i="63"/>
  <c r="E881" i="63"/>
  <c r="E882" i="63"/>
  <c r="E885" i="63"/>
  <c r="E886" i="63"/>
  <c r="E887" i="63"/>
  <c r="E888" i="63"/>
  <c r="E889" i="63"/>
  <c r="E890" i="63"/>
  <c r="E891" i="63"/>
  <c r="E892" i="63"/>
  <c r="E893" i="63"/>
  <c r="E894" i="63"/>
  <c r="E895" i="63"/>
  <c r="E896" i="63"/>
  <c r="E897" i="63"/>
  <c r="E898" i="63"/>
  <c r="E899" i="63"/>
  <c r="E900" i="63"/>
  <c r="E901" i="63"/>
  <c r="E902" i="63"/>
  <c r="E903" i="63"/>
  <c r="E904" i="63"/>
  <c r="E905" i="63"/>
  <c r="E906" i="63"/>
  <c r="E907" i="63"/>
  <c r="E908" i="63"/>
  <c r="E909" i="63"/>
  <c r="E910" i="63"/>
  <c r="E911" i="63"/>
  <c r="E912" i="63"/>
  <c r="E913" i="63"/>
  <c r="E916" i="63"/>
  <c r="E917" i="63"/>
  <c r="E918" i="63"/>
  <c r="E919" i="63"/>
  <c r="E920" i="63"/>
  <c r="E921" i="63"/>
  <c r="E922" i="63"/>
  <c r="E923" i="63"/>
  <c r="E924" i="63"/>
  <c r="E925" i="63"/>
  <c r="E926" i="63"/>
  <c r="E927" i="63"/>
  <c r="E928" i="63"/>
  <c r="E929" i="63"/>
  <c r="E930" i="63"/>
  <c r="E931" i="63"/>
  <c r="E932" i="63"/>
  <c r="E933" i="63"/>
  <c r="E934" i="63"/>
  <c r="E935" i="63"/>
  <c r="E936" i="63"/>
  <c r="E937" i="63"/>
  <c r="E938" i="63"/>
  <c r="E939" i="63"/>
  <c r="E940" i="63"/>
  <c r="E941" i="63"/>
  <c r="E942" i="63"/>
  <c r="E943" i="63"/>
  <c r="E944" i="63"/>
  <c r="E951" i="63"/>
  <c r="E952" i="63"/>
  <c r="E953" i="63"/>
  <c r="E954" i="63"/>
  <c r="E955" i="63"/>
  <c r="E956" i="63"/>
  <c r="E957" i="63"/>
  <c r="E958" i="63"/>
  <c r="E959" i="63"/>
  <c r="E960" i="63"/>
  <c r="E961" i="63"/>
  <c r="E962" i="63"/>
  <c r="E963" i="63"/>
  <c r="E964" i="63"/>
  <c r="E965" i="63"/>
  <c r="E966" i="63"/>
  <c r="E967" i="63"/>
  <c r="E968" i="63"/>
  <c r="E969" i="63"/>
  <c r="E970" i="63"/>
  <c r="E971" i="63"/>
  <c r="E972" i="63"/>
  <c r="E973" i="63"/>
  <c r="E974" i="63"/>
  <c r="E975" i="63"/>
  <c r="E976" i="63"/>
  <c r="E977" i="63"/>
  <c r="E978" i="63"/>
  <c r="E979" i="63"/>
  <c r="E982" i="63"/>
  <c r="E983" i="63"/>
  <c r="E984" i="63"/>
  <c r="E985" i="63"/>
  <c r="E986" i="63"/>
  <c r="E987" i="63"/>
  <c r="E988" i="63"/>
  <c r="E989" i="63"/>
  <c r="E990" i="63"/>
  <c r="E991" i="63"/>
  <c r="E992" i="63"/>
  <c r="E993" i="63"/>
  <c r="E994" i="63"/>
  <c r="E995" i="63"/>
  <c r="E996" i="63"/>
  <c r="E997" i="63"/>
  <c r="E998" i="63"/>
  <c r="E999" i="63"/>
  <c r="E1000" i="63"/>
  <c r="E1001" i="63"/>
  <c r="E1002" i="63"/>
  <c r="E1003" i="63"/>
  <c r="E1004" i="63"/>
  <c r="E1005" i="63"/>
  <c r="E1006" i="63"/>
  <c r="E1007" i="63"/>
  <c r="E1008" i="63"/>
  <c r="E1009" i="63"/>
  <c r="E1010" i="63"/>
  <c r="E1013" i="63"/>
  <c r="E1014" i="63"/>
  <c r="E1015" i="63"/>
  <c r="E1016" i="63"/>
  <c r="E1017" i="63"/>
  <c r="E1018" i="63"/>
  <c r="E1019" i="63"/>
  <c r="E1020" i="63"/>
  <c r="E1021" i="63"/>
  <c r="E1022" i="63"/>
  <c r="E1023" i="63"/>
  <c r="E1024" i="63"/>
  <c r="E1025" i="63"/>
  <c r="E1026" i="63"/>
  <c r="E1027" i="63"/>
  <c r="E1028" i="63"/>
  <c r="E1029" i="63"/>
  <c r="E1030" i="63"/>
  <c r="E1031" i="63"/>
  <c r="E1032" i="63"/>
  <c r="E1033" i="63"/>
  <c r="E1034" i="63"/>
  <c r="E1035" i="63"/>
  <c r="E1036" i="63"/>
  <c r="E1037" i="63"/>
  <c r="E1038" i="63"/>
  <c r="E1039" i="63"/>
  <c r="E1040" i="63"/>
  <c r="E1041" i="63"/>
  <c r="E1050" i="63"/>
  <c r="E1051" i="63"/>
  <c r="E1052" i="63"/>
  <c r="E1053" i="63"/>
  <c r="E1054" i="63"/>
  <c r="E1056" i="63"/>
  <c r="E1057" i="63"/>
  <c r="E1058" i="63"/>
  <c r="E1059" i="63"/>
  <c r="E1060" i="63"/>
  <c r="E1062" i="63"/>
  <c r="E1063" i="63"/>
  <c r="E1064" i="63"/>
  <c r="E1065" i="63"/>
  <c r="E1066" i="63"/>
  <c r="E1068" i="63"/>
  <c r="E1069" i="63"/>
  <c r="E1070" i="63"/>
  <c r="E1071" i="63"/>
  <c r="E1072" i="63"/>
  <c r="E1073" i="63"/>
  <c r="E1074" i="63"/>
  <c r="E1075" i="63"/>
  <c r="E1076" i="63"/>
  <c r="E1077" i="63"/>
  <c r="E1079" i="63"/>
  <c r="E1080" i="63"/>
  <c r="E1081" i="63"/>
  <c r="E1082" i="63"/>
  <c r="E1083" i="63"/>
  <c r="E1084" i="63"/>
  <c r="E1085" i="63"/>
  <c r="E1086" i="63"/>
  <c r="E1087" i="63"/>
  <c r="E1088" i="63"/>
  <c r="E1093" i="63"/>
  <c r="E1094" i="63"/>
  <c r="E1095" i="63"/>
  <c r="E1096" i="63"/>
  <c r="E1097" i="63"/>
  <c r="E1098" i="63"/>
  <c r="E1099" i="63"/>
  <c r="E1100" i="63"/>
  <c r="E1102" i="63"/>
  <c r="E1103" i="63"/>
  <c r="E1104" i="63"/>
  <c r="E1105" i="63"/>
  <c r="E1106" i="63"/>
  <c r="E1107" i="63"/>
  <c r="E1108" i="63"/>
  <c r="E1109" i="63"/>
  <c r="E1110" i="63"/>
  <c r="E1111" i="63"/>
  <c r="E1112" i="63"/>
  <c r="E1113" i="63"/>
  <c r="E1114" i="63"/>
  <c r="E1115" i="63"/>
  <c r="E1116" i="63"/>
  <c r="E1117" i="63"/>
  <c r="E1119" i="63"/>
  <c r="E1120" i="63"/>
  <c r="E1121" i="63"/>
  <c r="E1122" i="63"/>
  <c r="E1123" i="63"/>
  <c r="E1124" i="63"/>
  <c r="E1125" i="63"/>
  <c r="E1126" i="63"/>
  <c r="E1127" i="63"/>
  <c r="E1128" i="63"/>
  <c r="E1129" i="63"/>
  <c r="E1130" i="63"/>
  <c r="E1131" i="63"/>
  <c r="E1132" i="63"/>
  <c r="E1133" i="63"/>
  <c r="E1134" i="63"/>
  <c r="E1139" i="63"/>
  <c r="E1140" i="63"/>
  <c r="E1141" i="63"/>
  <c r="E1142" i="63"/>
  <c r="E1143" i="63"/>
  <c r="E1144" i="63"/>
  <c r="E1145" i="63"/>
  <c r="E1146" i="63"/>
  <c r="E1147" i="63"/>
  <c r="E1148" i="63"/>
  <c r="E1149" i="63"/>
  <c r="E1150" i="63"/>
  <c r="E1151" i="63"/>
  <c r="E1152" i="63"/>
  <c r="E1153" i="63"/>
  <c r="E1154" i="63"/>
  <c r="E1156" i="63"/>
  <c r="E1157" i="63"/>
  <c r="E1158" i="63"/>
  <c r="E1159" i="63"/>
  <c r="E1160" i="63"/>
  <c r="E1161" i="63"/>
  <c r="E1162" i="63"/>
  <c r="E1163" i="63"/>
  <c r="E1164" i="63"/>
  <c r="E1165" i="63"/>
  <c r="E1166" i="63"/>
  <c r="E1167" i="63"/>
  <c r="E1168" i="63"/>
  <c r="E1169" i="63"/>
  <c r="E1170" i="63"/>
  <c r="E1171" i="63"/>
  <c r="E1172" i="63"/>
  <c r="E1173" i="63"/>
  <c r="E1174" i="63"/>
  <c r="E1175" i="63"/>
  <c r="E1176" i="63"/>
  <c r="E1177" i="63"/>
  <c r="E1178" i="63"/>
  <c r="E1179" i="63"/>
  <c r="E1180" i="63"/>
  <c r="E1181" i="63"/>
  <c r="E1182" i="63"/>
  <c r="E1183" i="63"/>
  <c r="E1184" i="63"/>
  <c r="E1185" i="63"/>
  <c r="E1186" i="63"/>
  <c r="E1187" i="63"/>
  <c r="E1188" i="63"/>
  <c r="E1189" i="63"/>
  <c r="E1190" i="63"/>
  <c r="E1191" i="63"/>
  <c r="E1192" i="63"/>
  <c r="E1193" i="63"/>
  <c r="E1194" i="63"/>
  <c r="E1195" i="63"/>
  <c r="E1196" i="63"/>
  <c r="E1197" i="63"/>
  <c r="E1198" i="63"/>
  <c r="E1199" i="63"/>
  <c r="E1200" i="63"/>
  <c r="E1201" i="63"/>
  <c r="E1202" i="63"/>
  <c r="E1203" i="63"/>
  <c r="E1205" i="63"/>
  <c r="E1206" i="63"/>
  <c r="E1207" i="63"/>
  <c r="E1208" i="63"/>
  <c r="E1209" i="63"/>
  <c r="E1210" i="63"/>
  <c r="E1211" i="63"/>
  <c r="E1212" i="63"/>
  <c r="E1213" i="63"/>
  <c r="E1214" i="63"/>
  <c r="E1215" i="63"/>
  <c r="E1216" i="63"/>
  <c r="E1217" i="63"/>
  <c r="E1218" i="63"/>
  <c r="E1219" i="63"/>
  <c r="E1220" i="63"/>
  <c r="E1221" i="63"/>
  <c r="E1222" i="63"/>
  <c r="E1223" i="63"/>
  <c r="E1224" i="63"/>
  <c r="E1225" i="63"/>
  <c r="E1226" i="63"/>
  <c r="E1227" i="63"/>
  <c r="E1228" i="63"/>
  <c r="E1229" i="63"/>
  <c r="E1230" i="63"/>
  <c r="E1231" i="63"/>
  <c r="E1232" i="63"/>
  <c r="E1233" i="63"/>
  <c r="E1234" i="63"/>
  <c r="E1235" i="63"/>
  <c r="E1236" i="63"/>
  <c r="E1237" i="63"/>
  <c r="E1238" i="63"/>
  <c r="E1239" i="63"/>
  <c r="E1240" i="63"/>
  <c r="E1241" i="63"/>
  <c r="E1242" i="63"/>
  <c r="E1243" i="63"/>
  <c r="E1244" i="63"/>
  <c r="E1245" i="63"/>
  <c r="E1246" i="63"/>
  <c r="E1247" i="63"/>
  <c r="E1248" i="63"/>
  <c r="E1249" i="63"/>
  <c r="E1250" i="63"/>
  <c r="E1251" i="63"/>
  <c r="E1252" i="63"/>
  <c r="E1259" i="63"/>
  <c r="E1260" i="63"/>
  <c r="E1261" i="63"/>
  <c r="E1263" i="63"/>
  <c r="E1264" i="63"/>
  <c r="E1265" i="63"/>
  <c r="E1267" i="63"/>
  <c r="E1268" i="63"/>
  <c r="E1269" i="63"/>
  <c r="E1271" i="63"/>
  <c r="E1272" i="63"/>
  <c r="E1273" i="63"/>
  <c r="E1275" i="63"/>
  <c r="E1276" i="63"/>
  <c r="E1277" i="63"/>
  <c r="E1279" i="63"/>
  <c r="E1280" i="63"/>
  <c r="E1281" i="63"/>
  <c r="E1283" i="63"/>
  <c r="E1284" i="63"/>
  <c r="E1285" i="63"/>
  <c r="E1287" i="63"/>
  <c r="E1288" i="63"/>
  <c r="E1289" i="63"/>
  <c r="E1291" i="63"/>
  <c r="E1292" i="63"/>
  <c r="E1293" i="63"/>
  <c r="E1300" i="63"/>
  <c r="E1301" i="63"/>
  <c r="E1303" i="63"/>
  <c r="E1309" i="63"/>
  <c r="E1310" i="63"/>
  <c r="E1311" i="63"/>
  <c r="E1313" i="63"/>
  <c r="E1315" i="63"/>
  <c r="E1322" i="63"/>
  <c r="E1323" i="63"/>
  <c r="E1328" i="63"/>
  <c r="E1329" i="63"/>
  <c r="E1334" i="63"/>
  <c r="E1335" i="63"/>
  <c r="E1340" i="63"/>
  <c r="E1341" i="63"/>
  <c r="E1342" i="63"/>
  <c r="E1343" i="63"/>
  <c r="E1344" i="63"/>
  <c r="E1345" i="63"/>
  <c r="E1346" i="63"/>
  <c r="E1347" i="63"/>
  <c r="E1348" i="63"/>
  <c r="E1349" i="63"/>
  <c r="E1350" i="63"/>
  <c r="E1351" i="63"/>
  <c r="E1352" i="63"/>
  <c r="E1353" i="63"/>
  <c r="E1354" i="63"/>
  <c r="E1355" i="63"/>
  <c r="E1356" i="63"/>
  <c r="E1357" i="63"/>
  <c r="E1358" i="63"/>
  <c r="E1359" i="63"/>
  <c r="E1360" i="63"/>
  <c r="E1361" i="63"/>
  <c r="E1362" i="63"/>
  <c r="E1363" i="63"/>
  <c r="E1368" i="63"/>
  <c r="E1373" i="63"/>
  <c r="E1374" i="63"/>
  <c r="E1375" i="63"/>
  <c r="E1380" i="63"/>
  <c r="E1383" i="63"/>
  <c r="E1384" i="63"/>
  <c r="E1387" i="63"/>
  <c r="E1388" i="63"/>
  <c r="E1389" i="63"/>
  <c r="E1390" i="63"/>
  <c r="E1391" i="63"/>
  <c r="E1392" i="63"/>
  <c r="E1393" i="63"/>
  <c r="E1394" i="63"/>
  <c r="E1395" i="63"/>
  <c r="E1396" i="63"/>
  <c r="E1397" i="63"/>
  <c r="E1398" i="63"/>
  <c r="E1399" i="63"/>
  <c r="E1404" i="63"/>
  <c r="E1430" i="63"/>
  <c r="E1443" i="63"/>
  <c r="E1455" i="63"/>
  <c r="E1467" i="63"/>
  <c r="F26" i="63"/>
  <c r="F27" i="63"/>
  <c r="F28" i="63"/>
  <c r="F29" i="63"/>
  <c r="F30" i="63"/>
  <c r="F31" i="63"/>
  <c r="F32" i="63"/>
  <c r="F33" i="63"/>
  <c r="F34" i="63"/>
  <c r="F35" i="63"/>
  <c r="F36" i="63"/>
  <c r="F37" i="63"/>
  <c r="F38" i="63"/>
  <c r="F39" i="63"/>
  <c r="F40" i="63"/>
  <c r="F41" i="63"/>
  <c r="F43" i="63"/>
  <c r="F44" i="63"/>
  <c r="F45" i="63"/>
  <c r="F46" i="63"/>
  <c r="F47" i="63"/>
  <c r="F48" i="63"/>
  <c r="F54" i="63"/>
  <c r="F58" i="63"/>
  <c r="F59" i="63"/>
  <c r="F60" i="63"/>
  <c r="F61" i="63"/>
  <c r="F62" i="63"/>
  <c r="F63" i="63"/>
  <c r="F64" i="63"/>
  <c r="F65" i="63"/>
  <c r="F66" i="63"/>
  <c r="F67" i="63"/>
  <c r="F69" i="63"/>
  <c r="F115" i="63"/>
  <c r="F116" i="63"/>
  <c r="F117" i="63"/>
  <c r="F118" i="63"/>
  <c r="F119" i="63"/>
  <c r="F120" i="63"/>
  <c r="F121" i="63"/>
  <c r="F122" i="63"/>
  <c r="F123" i="63"/>
  <c r="F124" i="63"/>
  <c r="F125" i="63"/>
  <c r="F126" i="63"/>
  <c r="F127" i="63"/>
  <c r="F128" i="63"/>
  <c r="F129" i="63"/>
  <c r="F130" i="63"/>
  <c r="F131" i="63"/>
  <c r="F135" i="63"/>
  <c r="F136" i="63"/>
  <c r="F137" i="63"/>
  <c r="F138" i="63"/>
  <c r="F144" i="63"/>
  <c r="F149" i="63"/>
  <c r="F154" i="63"/>
  <c r="F155" i="63"/>
  <c r="F161" i="63"/>
  <c r="F169" i="63"/>
  <c r="F170" i="63"/>
  <c r="F175" i="63"/>
  <c r="F180" i="63"/>
  <c r="F181" i="63"/>
  <c r="F182" i="63"/>
  <c r="F194" i="63"/>
  <c r="F196" i="63"/>
  <c r="F197" i="63"/>
  <c r="F198" i="63"/>
  <c r="F199" i="63"/>
  <c r="F200" i="63"/>
  <c r="F201" i="63"/>
  <c r="F202" i="63"/>
  <c r="F204" i="63"/>
  <c r="F206" i="63"/>
  <c r="F207" i="63"/>
  <c r="F208" i="63"/>
  <c r="F209" i="63"/>
  <c r="F210" i="63"/>
  <c r="F214" i="63"/>
  <c r="F216" i="63"/>
  <c r="F217" i="63"/>
  <c r="F218" i="63"/>
  <c r="F219" i="63"/>
  <c r="F220" i="63"/>
  <c r="F224" i="63"/>
  <c r="F226" i="63"/>
  <c r="F227" i="63"/>
  <c r="F228" i="63"/>
  <c r="F229" i="63"/>
  <c r="F230" i="63"/>
  <c r="F234" i="63"/>
  <c r="F236" i="63"/>
  <c r="F237" i="63"/>
  <c r="F238" i="63"/>
  <c r="F239" i="63"/>
  <c r="F240" i="63"/>
  <c r="F244" i="63"/>
  <c r="F246" i="63"/>
  <c r="F247" i="63"/>
  <c r="F248" i="63"/>
  <c r="F249" i="63"/>
  <c r="F250" i="63"/>
  <c r="F254" i="63"/>
  <c r="F256" i="63"/>
  <c r="F257" i="63"/>
  <c r="F258" i="63"/>
  <c r="F259" i="63"/>
  <c r="F260" i="63"/>
  <c r="F270" i="63"/>
  <c r="F272" i="63"/>
  <c r="F273" i="63"/>
  <c r="F274" i="63"/>
  <c r="F275" i="63"/>
  <c r="F276" i="63"/>
  <c r="F280" i="63"/>
  <c r="F282" i="63"/>
  <c r="F283" i="63"/>
  <c r="F284" i="63"/>
  <c r="F285" i="63"/>
  <c r="F286" i="63"/>
  <c r="F290" i="63"/>
  <c r="F292" i="63"/>
  <c r="F293" i="63"/>
  <c r="F294" i="63"/>
  <c r="F295" i="63"/>
  <c r="F296" i="63"/>
  <c r="F300" i="63"/>
  <c r="F302" i="63"/>
  <c r="F303" i="63"/>
  <c r="F304" i="63"/>
  <c r="F305" i="63"/>
  <c r="F306" i="63"/>
  <c r="F310" i="63"/>
  <c r="F312" i="63"/>
  <c r="F313" i="63"/>
  <c r="F314" i="63"/>
  <c r="F315" i="63"/>
  <c r="F316" i="63"/>
  <c r="F320" i="63"/>
  <c r="F322" i="63"/>
  <c r="F323" i="63"/>
  <c r="F324" i="63"/>
  <c r="F325" i="63"/>
  <c r="F326" i="63"/>
  <c r="F334" i="63"/>
  <c r="F336" i="63"/>
  <c r="F337" i="63"/>
  <c r="F338" i="63"/>
  <c r="F339" i="63"/>
  <c r="F340" i="63"/>
  <c r="F344" i="63"/>
  <c r="F346" i="63"/>
  <c r="F347" i="63"/>
  <c r="F348" i="63"/>
  <c r="F349" i="63"/>
  <c r="F350" i="63"/>
  <c r="F354" i="63"/>
  <c r="F356" i="63"/>
  <c r="F357" i="63"/>
  <c r="F358" i="63"/>
  <c r="F359" i="63"/>
  <c r="F360" i="63"/>
  <c r="F364" i="63"/>
  <c r="F366" i="63"/>
  <c r="F367" i="63"/>
  <c r="F368" i="63"/>
  <c r="F369" i="63"/>
  <c r="F370" i="63"/>
  <c r="F374" i="63"/>
  <c r="F376" i="63"/>
  <c r="F377" i="63"/>
  <c r="F378" i="63"/>
  <c r="F379" i="63"/>
  <c r="F380" i="63"/>
  <c r="F384" i="63"/>
  <c r="F386" i="63"/>
  <c r="F387" i="63"/>
  <c r="F388" i="63"/>
  <c r="F389" i="63"/>
  <c r="F390" i="63"/>
  <c r="F398" i="63"/>
  <c r="F399" i="63"/>
  <c r="F400" i="63"/>
  <c r="F401" i="63"/>
  <c r="F403" i="63"/>
  <c r="F404" i="63"/>
  <c r="F405" i="63"/>
  <c r="F406" i="63"/>
  <c r="F407" i="63"/>
  <c r="F409" i="63"/>
  <c r="F410" i="63"/>
  <c r="F411" i="63"/>
  <c r="F412" i="63"/>
  <c r="F414" i="63"/>
  <c r="F415" i="63"/>
  <c r="F416" i="63"/>
  <c r="F417" i="63"/>
  <c r="F419" i="63"/>
  <c r="F420" i="63"/>
  <c r="F421" i="63"/>
  <c r="F422" i="63"/>
  <c r="F423" i="63"/>
  <c r="F425" i="63"/>
  <c r="F426" i="63"/>
  <c r="F427" i="63"/>
  <c r="F428" i="63"/>
  <c r="F430" i="63"/>
  <c r="F431" i="63"/>
  <c r="F432" i="63"/>
  <c r="F433" i="63"/>
  <c r="F435" i="63"/>
  <c r="F436" i="63"/>
  <c r="F437" i="63"/>
  <c r="F438" i="63"/>
  <c r="F439" i="63"/>
  <c r="F441" i="63"/>
  <c r="F442" i="63"/>
  <c r="F443" i="63"/>
  <c r="F444" i="63"/>
  <c r="F446" i="63"/>
  <c r="F447" i="63"/>
  <c r="F448" i="63"/>
  <c r="F449" i="63"/>
  <c r="F451" i="63"/>
  <c r="F452" i="63"/>
  <c r="F453" i="63"/>
  <c r="F454" i="63"/>
  <c r="F455" i="63"/>
  <c r="F457" i="63"/>
  <c r="F458" i="63"/>
  <c r="F459" i="63"/>
  <c r="F460" i="63"/>
  <c r="F462" i="63"/>
  <c r="F463" i="63"/>
  <c r="F464" i="63"/>
  <c r="F465" i="63"/>
  <c r="F467" i="63"/>
  <c r="F468" i="63"/>
  <c r="F469" i="63"/>
  <c r="F470" i="63"/>
  <c r="F471" i="63"/>
  <c r="F473" i="63"/>
  <c r="F474" i="63"/>
  <c r="F475" i="63"/>
  <c r="F476" i="63"/>
  <c r="F478" i="63"/>
  <c r="F479" i="63"/>
  <c r="F480" i="63"/>
  <c r="F481" i="63"/>
  <c r="F483" i="63"/>
  <c r="F484" i="63"/>
  <c r="F485" i="63"/>
  <c r="F486" i="63"/>
  <c r="F487" i="63"/>
  <c r="F489" i="63"/>
  <c r="F490" i="63"/>
  <c r="F491" i="63"/>
  <c r="F492" i="63"/>
  <c r="F498" i="63"/>
  <c r="F500" i="63"/>
  <c r="F501" i="63"/>
  <c r="F502" i="63"/>
  <c r="F503" i="63"/>
  <c r="F504" i="63"/>
  <c r="F508" i="63"/>
  <c r="F510" i="63"/>
  <c r="F511" i="63"/>
  <c r="F512" i="63"/>
  <c r="F513" i="63"/>
  <c r="F514" i="63"/>
  <c r="F518" i="63"/>
  <c r="F520" i="63"/>
  <c r="F521" i="63"/>
  <c r="F522" i="63"/>
  <c r="F523" i="63"/>
  <c r="F524" i="63"/>
  <c r="F528" i="63"/>
  <c r="F530" i="63"/>
  <c r="F531" i="63"/>
  <c r="F532" i="63"/>
  <c r="F533" i="63"/>
  <c r="F534" i="63"/>
  <c r="F538" i="63"/>
  <c r="F540" i="63"/>
  <c r="F541" i="63"/>
  <c r="F542" i="63"/>
  <c r="F543" i="63"/>
  <c r="F544" i="63"/>
  <c r="F548" i="63"/>
  <c r="F550" i="63"/>
  <c r="F551" i="63"/>
  <c r="F552" i="63"/>
  <c r="F553" i="63"/>
  <c r="F554" i="63"/>
  <c r="F561" i="63"/>
  <c r="F562" i="63"/>
  <c r="F564" i="63"/>
  <c r="F565" i="63"/>
  <c r="F566" i="63"/>
  <c r="F567" i="63"/>
  <c r="F568" i="63"/>
  <c r="F571" i="63"/>
  <c r="F572" i="63"/>
  <c r="F574" i="63"/>
  <c r="F575" i="63"/>
  <c r="F576" i="63"/>
  <c r="F577" i="63"/>
  <c r="F578" i="63"/>
  <c r="F581" i="63"/>
  <c r="F582" i="63"/>
  <c r="F584" i="63"/>
  <c r="F585" i="63"/>
  <c r="F586" i="63"/>
  <c r="F587" i="63"/>
  <c r="F588" i="63"/>
  <c r="F591" i="63"/>
  <c r="F592" i="63"/>
  <c r="F594" i="63"/>
  <c r="F595" i="63"/>
  <c r="F596" i="63"/>
  <c r="F597" i="63"/>
  <c r="F598" i="63"/>
  <c r="F601" i="63"/>
  <c r="F602" i="63"/>
  <c r="F604" i="63"/>
  <c r="F605" i="63"/>
  <c r="F606" i="63"/>
  <c r="F607" i="63"/>
  <c r="F608" i="63"/>
  <c r="F611" i="63"/>
  <c r="F612" i="63"/>
  <c r="F614" i="63"/>
  <c r="F615" i="63"/>
  <c r="F616" i="63"/>
  <c r="F617" i="63"/>
  <c r="F618" i="63"/>
  <c r="F628" i="63"/>
  <c r="F629" i="63"/>
  <c r="F630" i="63"/>
  <c r="F631" i="63"/>
  <c r="F633" i="63"/>
  <c r="F635" i="63"/>
  <c r="F636" i="63"/>
  <c r="F637" i="63"/>
  <c r="F638" i="63"/>
  <c r="F640" i="63"/>
  <c r="F643" i="63"/>
  <c r="F644" i="63"/>
  <c r="F645" i="63"/>
  <c r="F647" i="63"/>
  <c r="F653" i="63"/>
  <c r="F654" i="63"/>
  <c r="F655" i="63"/>
  <c r="F658" i="63"/>
  <c r="F659" i="63"/>
  <c r="F661" i="63"/>
  <c r="F662" i="63"/>
  <c r="F663" i="63"/>
  <c r="F666" i="63"/>
  <c r="F667" i="63"/>
  <c r="F669" i="63"/>
  <c r="F670" i="63"/>
  <c r="F671" i="63"/>
  <c r="F674" i="63"/>
  <c r="F675" i="63"/>
  <c r="F680" i="63"/>
  <c r="F681" i="63"/>
  <c r="F682" i="63"/>
  <c r="F683" i="63"/>
  <c r="F684" i="63"/>
  <c r="F685" i="63"/>
  <c r="F686" i="63"/>
  <c r="F687" i="63"/>
  <c r="F688" i="63"/>
  <c r="F689" i="63"/>
  <c r="F690" i="63"/>
  <c r="F691" i="63"/>
  <c r="F694" i="63"/>
  <c r="F695" i="63"/>
  <c r="F696" i="63"/>
  <c r="F697" i="63"/>
  <c r="F698" i="63"/>
  <c r="F699" i="63"/>
  <c r="F702" i="63"/>
  <c r="F703" i="63"/>
  <c r="F709" i="63"/>
  <c r="F710" i="63"/>
  <c r="F712" i="63"/>
  <c r="F713" i="63"/>
  <c r="F715" i="63"/>
  <c r="F716" i="63"/>
  <c r="F724" i="63"/>
  <c r="F725" i="63"/>
  <c r="F727" i="63"/>
  <c r="F728" i="63"/>
  <c r="F729" i="63"/>
  <c r="F730" i="63"/>
  <c r="F731" i="63"/>
  <c r="F732" i="63"/>
  <c r="F733" i="63"/>
  <c r="F734" i="63"/>
  <c r="F735" i="63"/>
  <c r="F742" i="63"/>
  <c r="F743" i="63"/>
  <c r="F744" i="63"/>
  <c r="F745" i="63"/>
  <c r="F746" i="63"/>
  <c r="F747" i="63"/>
  <c r="F748" i="63"/>
  <c r="F749" i="63"/>
  <c r="F750" i="63"/>
  <c r="F757" i="63"/>
  <c r="F758" i="63"/>
  <c r="F759" i="63"/>
  <c r="F760" i="63"/>
  <c r="F761" i="63"/>
  <c r="F762" i="63"/>
  <c r="F763" i="63"/>
  <c r="F764" i="63"/>
  <c r="F765" i="63"/>
  <c r="F766" i="63"/>
  <c r="F767" i="63"/>
  <c r="F768" i="63"/>
  <c r="F769" i="63"/>
  <c r="F770" i="63"/>
  <c r="F771" i="63"/>
  <c r="F772" i="63"/>
  <c r="F773" i="63"/>
  <c r="F774" i="63"/>
  <c r="F775" i="63"/>
  <c r="F776" i="63"/>
  <c r="F777" i="63"/>
  <c r="F778" i="63"/>
  <c r="F779" i="63"/>
  <c r="F780" i="63"/>
  <c r="F781" i="63"/>
  <c r="F782" i="63"/>
  <c r="F783" i="63"/>
  <c r="F784" i="63"/>
  <c r="F785" i="63"/>
  <c r="F786" i="63"/>
  <c r="F788" i="63"/>
  <c r="F789" i="63"/>
  <c r="F790" i="63"/>
  <c r="F791" i="63"/>
  <c r="F792" i="63"/>
  <c r="F793" i="63"/>
  <c r="F794" i="63"/>
  <c r="F795" i="63"/>
  <c r="F796" i="63"/>
  <c r="F797" i="63"/>
  <c r="F798" i="63"/>
  <c r="F799" i="63"/>
  <c r="F800" i="63"/>
  <c r="F801" i="63"/>
  <c r="F802" i="63"/>
  <c r="F803" i="63"/>
  <c r="F804" i="63"/>
  <c r="F805" i="63"/>
  <c r="F806" i="63"/>
  <c r="F807" i="63"/>
  <c r="F808" i="63"/>
  <c r="F809" i="63"/>
  <c r="F810" i="63"/>
  <c r="F811" i="63"/>
  <c r="F812" i="63"/>
  <c r="F813" i="63"/>
  <c r="F814" i="63"/>
  <c r="F815" i="63"/>
  <c r="F816" i="63"/>
  <c r="F817" i="63"/>
  <c r="E817" i="63" s="1"/>
  <c r="F819" i="63"/>
  <c r="F820" i="63"/>
  <c r="F821" i="63"/>
  <c r="F822" i="63"/>
  <c r="F823" i="63"/>
  <c r="F824" i="63"/>
  <c r="F825" i="63"/>
  <c r="F826" i="63"/>
  <c r="F827" i="63"/>
  <c r="F828" i="63"/>
  <c r="F829" i="63"/>
  <c r="F830" i="63"/>
  <c r="F831" i="63"/>
  <c r="F832" i="63"/>
  <c r="F833" i="63"/>
  <c r="F834" i="63"/>
  <c r="F835" i="63"/>
  <c r="F836" i="63"/>
  <c r="F837" i="63"/>
  <c r="F838" i="63"/>
  <c r="F839" i="63"/>
  <c r="F840" i="63"/>
  <c r="F841" i="63"/>
  <c r="F842" i="63"/>
  <c r="F843" i="63"/>
  <c r="F844" i="63"/>
  <c r="F845" i="63"/>
  <c r="F846" i="63"/>
  <c r="F847" i="63"/>
  <c r="F848" i="63"/>
  <c r="F854" i="63"/>
  <c r="F855" i="63"/>
  <c r="F856" i="63"/>
  <c r="F857" i="63"/>
  <c r="F858" i="63"/>
  <c r="F859" i="63"/>
  <c r="F860" i="63"/>
  <c r="F861" i="63"/>
  <c r="F862" i="63"/>
  <c r="F863" i="63"/>
  <c r="F864" i="63"/>
  <c r="F865" i="63"/>
  <c r="F866" i="63"/>
  <c r="F867" i="63"/>
  <c r="F868" i="63"/>
  <c r="F869" i="63"/>
  <c r="F870" i="63"/>
  <c r="F871" i="63"/>
  <c r="F872" i="63"/>
  <c r="F873" i="63"/>
  <c r="F874" i="63"/>
  <c r="F875" i="63"/>
  <c r="F876" i="63"/>
  <c r="F877" i="63"/>
  <c r="F878" i="63"/>
  <c r="F879" i="63"/>
  <c r="F880" i="63"/>
  <c r="F881" i="63"/>
  <c r="F882" i="63"/>
  <c r="F883" i="63"/>
  <c r="F885" i="63"/>
  <c r="F886" i="63"/>
  <c r="F887" i="63"/>
  <c r="F888" i="63"/>
  <c r="F889" i="63"/>
  <c r="F890" i="63"/>
  <c r="F891" i="63"/>
  <c r="F892" i="63"/>
  <c r="F893" i="63"/>
  <c r="F894" i="63"/>
  <c r="F895" i="63"/>
  <c r="F896" i="63"/>
  <c r="F897" i="63"/>
  <c r="F898" i="63"/>
  <c r="F899" i="63"/>
  <c r="F900" i="63"/>
  <c r="F901" i="63"/>
  <c r="F902" i="63"/>
  <c r="F903" i="63"/>
  <c r="F904" i="63"/>
  <c r="F905" i="63"/>
  <c r="F906" i="63"/>
  <c r="F907" i="63"/>
  <c r="F908" i="63"/>
  <c r="F909" i="63"/>
  <c r="F910" i="63"/>
  <c r="F911" i="63"/>
  <c r="F912" i="63"/>
  <c r="F913" i="63"/>
  <c r="F914" i="63"/>
  <c r="E914" i="63" s="1"/>
  <c r="F916" i="63"/>
  <c r="F917" i="63"/>
  <c r="F918" i="63"/>
  <c r="F919" i="63"/>
  <c r="F920" i="63"/>
  <c r="F921" i="63"/>
  <c r="F922" i="63"/>
  <c r="F923" i="63"/>
  <c r="F924" i="63"/>
  <c r="F925" i="63"/>
  <c r="F926" i="63"/>
  <c r="F927" i="63"/>
  <c r="F928" i="63"/>
  <c r="F929" i="63"/>
  <c r="F930" i="63"/>
  <c r="F931" i="63"/>
  <c r="F932" i="63"/>
  <c r="F933" i="63"/>
  <c r="F934" i="63"/>
  <c r="F935" i="63"/>
  <c r="F936" i="63"/>
  <c r="F937" i="63"/>
  <c r="F938" i="63"/>
  <c r="F939" i="63"/>
  <c r="F940" i="63"/>
  <c r="F941" i="63"/>
  <c r="F942" i="63"/>
  <c r="F943" i="63"/>
  <c r="F944" i="63"/>
  <c r="F945" i="63"/>
  <c r="E945" i="63" s="1"/>
  <c r="F951" i="63"/>
  <c r="F952" i="63"/>
  <c r="F953" i="63"/>
  <c r="F954" i="63"/>
  <c r="F955" i="63"/>
  <c r="F956" i="63"/>
  <c r="F957" i="63"/>
  <c r="F958" i="63"/>
  <c r="F959" i="63"/>
  <c r="F960" i="63"/>
  <c r="F961" i="63"/>
  <c r="F962" i="63"/>
  <c r="F963" i="63"/>
  <c r="F964" i="63"/>
  <c r="F965" i="63"/>
  <c r="F966" i="63"/>
  <c r="F967" i="63"/>
  <c r="F968" i="63"/>
  <c r="F969" i="63"/>
  <c r="F970" i="63"/>
  <c r="F971" i="63"/>
  <c r="F972" i="63"/>
  <c r="F973" i="63"/>
  <c r="F974" i="63"/>
  <c r="F975" i="63"/>
  <c r="F976" i="63"/>
  <c r="F977" i="63"/>
  <c r="F978" i="63"/>
  <c r="F979" i="63"/>
  <c r="F980" i="63"/>
  <c r="F982" i="63"/>
  <c r="F983" i="63"/>
  <c r="F984" i="63"/>
  <c r="F985" i="63"/>
  <c r="F986" i="63"/>
  <c r="F987" i="63"/>
  <c r="F988" i="63"/>
  <c r="F989" i="63"/>
  <c r="F990" i="63"/>
  <c r="F991" i="63"/>
  <c r="F992" i="63"/>
  <c r="F993" i="63"/>
  <c r="F994" i="63"/>
  <c r="F995" i="63"/>
  <c r="F996" i="63"/>
  <c r="F997" i="63"/>
  <c r="F998" i="63"/>
  <c r="F999" i="63"/>
  <c r="F1000" i="63"/>
  <c r="F1001" i="63"/>
  <c r="F1002" i="63"/>
  <c r="F1003" i="63"/>
  <c r="F1004" i="63"/>
  <c r="F1005" i="63"/>
  <c r="F1006" i="63"/>
  <c r="F1007" i="63"/>
  <c r="F1008" i="63"/>
  <c r="F1009" i="63"/>
  <c r="F1010" i="63"/>
  <c r="F1011" i="63"/>
  <c r="E1011" i="63" s="1"/>
  <c r="F1013" i="63"/>
  <c r="F1014" i="63"/>
  <c r="F1015" i="63"/>
  <c r="F1016" i="63"/>
  <c r="F1017" i="63"/>
  <c r="F1018" i="63"/>
  <c r="F1019" i="63"/>
  <c r="F1020" i="63"/>
  <c r="F1021" i="63"/>
  <c r="F1022" i="63"/>
  <c r="F1023" i="63"/>
  <c r="F1024" i="63"/>
  <c r="F1025" i="63"/>
  <c r="F1026" i="63"/>
  <c r="F1027" i="63"/>
  <c r="F1028" i="63"/>
  <c r="F1029" i="63"/>
  <c r="F1030" i="63"/>
  <c r="F1031" i="63"/>
  <c r="F1032" i="63"/>
  <c r="F1033" i="63"/>
  <c r="F1034" i="63"/>
  <c r="F1035" i="63"/>
  <c r="F1036" i="63"/>
  <c r="F1037" i="63"/>
  <c r="F1038" i="63"/>
  <c r="F1039" i="63"/>
  <c r="F1040" i="63"/>
  <c r="F1041" i="63"/>
  <c r="F1050" i="63"/>
  <c r="F1051" i="63"/>
  <c r="F1052" i="63"/>
  <c r="F1053" i="63"/>
  <c r="F1054" i="63"/>
  <c r="F1056" i="63"/>
  <c r="F1057" i="63"/>
  <c r="F1058" i="63"/>
  <c r="F1059" i="63"/>
  <c r="F1060" i="63"/>
  <c r="F1062" i="63"/>
  <c r="F1063" i="63"/>
  <c r="F1064" i="63"/>
  <c r="F1065" i="63"/>
  <c r="F1066" i="63"/>
  <c r="F1068" i="63"/>
  <c r="F1069" i="63"/>
  <c r="F1070" i="63"/>
  <c r="F1071" i="63"/>
  <c r="F1072" i="63"/>
  <c r="F1073" i="63"/>
  <c r="F1074" i="63"/>
  <c r="F1075" i="63"/>
  <c r="F1076" i="63"/>
  <c r="F1077" i="63"/>
  <c r="F1079" i="63"/>
  <c r="F1080" i="63"/>
  <c r="F1081" i="63"/>
  <c r="F1082" i="63"/>
  <c r="F1083" i="63"/>
  <c r="F1084" i="63"/>
  <c r="F1085" i="63"/>
  <c r="F1086" i="63"/>
  <c r="F1087" i="63"/>
  <c r="F1088" i="63"/>
  <c r="F1093" i="63"/>
  <c r="F1094" i="63"/>
  <c r="F1095" i="63"/>
  <c r="F1096" i="63"/>
  <c r="F1097" i="63"/>
  <c r="F1098" i="63"/>
  <c r="F1099" i="63"/>
  <c r="F1100" i="63"/>
  <c r="F1102" i="63"/>
  <c r="F1103" i="63"/>
  <c r="F1104" i="63"/>
  <c r="F1105" i="63"/>
  <c r="F1106" i="63"/>
  <c r="F1107" i="63"/>
  <c r="F1108" i="63"/>
  <c r="F1109" i="63"/>
  <c r="F1110" i="63"/>
  <c r="F1111" i="63"/>
  <c r="F1112" i="63"/>
  <c r="F1113" i="63"/>
  <c r="F1114" i="63"/>
  <c r="F1115" i="63"/>
  <c r="F1116" i="63"/>
  <c r="F1117" i="63"/>
  <c r="F1119" i="63"/>
  <c r="F1120" i="63"/>
  <c r="F1121" i="63"/>
  <c r="F1122" i="63"/>
  <c r="F1123" i="63"/>
  <c r="F1124" i="63"/>
  <c r="F1125" i="63"/>
  <c r="F1126" i="63"/>
  <c r="F1127" i="63"/>
  <c r="F1128" i="63"/>
  <c r="F1129" i="63"/>
  <c r="F1130" i="63"/>
  <c r="F1131" i="63"/>
  <c r="F1132" i="63"/>
  <c r="F1133" i="63"/>
  <c r="F1134" i="63"/>
  <c r="F1139" i="63"/>
  <c r="F1140" i="63"/>
  <c r="F1141" i="63"/>
  <c r="F1142" i="63"/>
  <c r="F1143" i="63"/>
  <c r="F1144" i="63"/>
  <c r="F1145" i="63"/>
  <c r="F1146" i="63"/>
  <c r="F1147" i="63"/>
  <c r="F1148" i="63"/>
  <c r="F1149" i="63"/>
  <c r="F1150" i="63"/>
  <c r="F1151" i="63"/>
  <c r="F1152" i="63"/>
  <c r="F1153" i="63"/>
  <c r="F1154" i="63"/>
  <c r="F1156" i="63"/>
  <c r="F1157" i="63"/>
  <c r="F1158" i="63"/>
  <c r="F1159" i="63"/>
  <c r="F1160" i="63"/>
  <c r="F1161" i="63"/>
  <c r="F1162" i="63"/>
  <c r="F1163" i="63"/>
  <c r="F1164" i="63"/>
  <c r="F1165" i="63"/>
  <c r="F1166" i="63"/>
  <c r="F1167" i="63"/>
  <c r="F1168" i="63"/>
  <c r="F1169" i="63"/>
  <c r="F1170" i="63"/>
  <c r="F1171" i="63"/>
  <c r="F1172" i="63"/>
  <c r="F1173" i="63"/>
  <c r="F1174" i="63"/>
  <c r="F1175" i="63"/>
  <c r="F1176" i="63"/>
  <c r="F1177" i="63"/>
  <c r="F1178" i="63"/>
  <c r="F1179" i="63"/>
  <c r="F1180" i="63"/>
  <c r="F1181" i="63"/>
  <c r="F1182" i="63"/>
  <c r="F1183" i="63"/>
  <c r="F1184" i="63"/>
  <c r="F1185" i="63"/>
  <c r="F1186" i="63"/>
  <c r="F1187" i="63"/>
  <c r="F1188" i="63"/>
  <c r="F1189" i="63"/>
  <c r="F1190" i="63"/>
  <c r="F1191" i="63"/>
  <c r="F1192" i="63"/>
  <c r="F1193" i="63"/>
  <c r="F1194" i="63"/>
  <c r="F1195" i="63"/>
  <c r="F1196" i="63"/>
  <c r="F1197" i="63"/>
  <c r="F1198" i="63"/>
  <c r="F1199" i="63"/>
  <c r="F1200" i="63"/>
  <c r="F1201" i="63"/>
  <c r="F1202" i="63"/>
  <c r="F1203" i="63"/>
  <c r="F1205" i="63"/>
  <c r="F1206" i="63"/>
  <c r="F1207" i="63"/>
  <c r="F1208" i="63"/>
  <c r="F1209" i="63"/>
  <c r="F1210" i="63"/>
  <c r="F1211" i="63"/>
  <c r="F1212" i="63"/>
  <c r="F1213" i="63"/>
  <c r="F1214" i="63"/>
  <c r="F1215" i="63"/>
  <c r="F1216" i="63"/>
  <c r="F1217" i="63"/>
  <c r="F1218" i="63"/>
  <c r="F1219" i="63"/>
  <c r="F1220" i="63"/>
  <c r="F1221" i="63"/>
  <c r="F1222" i="63"/>
  <c r="F1223" i="63"/>
  <c r="F1224" i="63"/>
  <c r="F1225" i="63"/>
  <c r="F1226" i="63"/>
  <c r="F1227" i="63"/>
  <c r="F1228" i="63"/>
  <c r="F1229" i="63"/>
  <c r="F1230" i="63"/>
  <c r="F1231" i="63"/>
  <c r="F1232" i="63"/>
  <c r="F1233" i="63"/>
  <c r="F1234" i="63"/>
  <c r="F1235" i="63"/>
  <c r="F1236" i="63"/>
  <c r="F1237" i="63"/>
  <c r="F1238" i="63"/>
  <c r="F1239" i="63"/>
  <c r="F1240" i="63"/>
  <c r="F1241" i="63"/>
  <c r="F1242" i="63"/>
  <c r="F1243" i="63"/>
  <c r="F1244" i="63"/>
  <c r="F1245" i="63"/>
  <c r="F1246" i="63"/>
  <c r="F1247" i="63"/>
  <c r="F1248" i="63"/>
  <c r="F1249" i="63"/>
  <c r="F1250" i="63"/>
  <c r="F1251" i="63"/>
  <c r="F1252" i="63"/>
  <c r="F1259" i="63"/>
  <c r="F1260" i="63"/>
  <c r="F1261" i="63"/>
  <c r="F1263" i="63"/>
  <c r="F1264" i="63"/>
  <c r="F1265" i="63"/>
  <c r="F1267" i="63"/>
  <c r="F1268" i="63"/>
  <c r="F1269" i="63"/>
  <c r="F1271" i="63"/>
  <c r="F1272" i="63"/>
  <c r="F1273" i="63"/>
  <c r="F1275" i="63"/>
  <c r="F1276" i="63"/>
  <c r="F1277" i="63"/>
  <c r="F1279" i="63"/>
  <c r="F1280" i="63"/>
  <c r="F1281" i="63"/>
  <c r="F1283" i="63"/>
  <c r="F1284" i="63"/>
  <c r="F1285" i="63"/>
  <c r="F1287" i="63"/>
  <c r="F1288" i="63"/>
  <c r="F1289" i="63"/>
  <c r="F1291" i="63"/>
  <c r="F1292" i="63"/>
  <c r="F1293" i="63"/>
  <c r="F1300" i="63"/>
  <c r="F1301" i="63"/>
  <c r="F1303" i="63"/>
  <c r="F1309" i="63"/>
  <c r="F1310" i="63"/>
  <c r="F1311" i="63"/>
  <c r="F1313" i="63"/>
  <c r="F1315" i="63"/>
  <c r="F1322" i="63"/>
  <c r="F1323" i="63"/>
  <c r="F1328" i="63"/>
  <c r="F1329" i="63"/>
  <c r="F1334" i="63"/>
  <c r="F1335" i="63"/>
  <c r="F1340" i="63"/>
  <c r="F1341" i="63"/>
  <c r="F1342" i="63"/>
  <c r="F1343" i="63"/>
  <c r="F1344" i="63"/>
  <c r="F1345" i="63"/>
  <c r="F1346" i="63"/>
  <c r="F1347" i="63"/>
  <c r="F1348" i="63"/>
  <c r="F1349" i="63"/>
  <c r="F1350" i="63"/>
  <c r="F1351" i="63"/>
  <c r="F1352" i="63"/>
  <c r="F1353" i="63"/>
  <c r="F1354" i="63"/>
  <c r="F1355" i="63"/>
  <c r="F1356" i="63"/>
  <c r="F1357" i="63"/>
  <c r="F1358" i="63"/>
  <c r="F1359" i="63"/>
  <c r="F1360" i="63"/>
  <c r="F1361" i="63"/>
  <c r="F1362" i="63"/>
  <c r="F1363" i="63"/>
  <c r="F1368" i="63"/>
  <c r="F1373" i="63"/>
  <c r="F1374" i="63"/>
  <c r="F1375" i="63"/>
  <c r="F1380" i="63"/>
  <c r="F1383" i="63"/>
  <c r="F1384" i="63"/>
  <c r="F1387" i="63"/>
  <c r="F1388" i="63"/>
  <c r="F1389" i="63"/>
  <c r="F1390" i="63"/>
  <c r="F1391" i="63"/>
  <c r="F1392" i="63"/>
  <c r="F1393" i="63"/>
  <c r="F1394" i="63"/>
  <c r="F1395" i="63"/>
  <c r="F1396" i="63"/>
  <c r="F1397" i="63"/>
  <c r="F1398" i="63"/>
  <c r="F1399" i="63"/>
  <c r="F1404" i="63"/>
  <c r="F1430" i="63"/>
  <c r="F1443" i="63"/>
  <c r="F1455" i="63"/>
  <c r="F1467" i="63"/>
  <c r="G26" i="63"/>
  <c r="G27" i="63"/>
  <c r="G28" i="63"/>
  <c r="G29" i="63"/>
  <c r="G30" i="63"/>
  <c r="G31" i="63"/>
  <c r="G32" i="63"/>
  <c r="G33" i="63"/>
  <c r="G34" i="63"/>
  <c r="G35" i="63"/>
  <c r="G36" i="63"/>
  <c r="G37" i="63"/>
  <c r="G38" i="63"/>
  <c r="G39" i="63"/>
  <c r="G40" i="63"/>
  <c r="G41" i="63"/>
  <c r="G43" i="63"/>
  <c r="G44" i="63"/>
  <c r="G45" i="63"/>
  <c r="G46" i="63"/>
  <c r="G47" i="63"/>
  <c r="G48" i="63"/>
  <c r="G54" i="63"/>
  <c r="G58" i="63"/>
  <c r="G59" i="63"/>
  <c r="G60" i="63"/>
  <c r="G61" i="63"/>
  <c r="G62" i="63"/>
  <c r="G63" i="63"/>
  <c r="G64" i="63"/>
  <c r="G65" i="63"/>
  <c r="G66" i="63"/>
  <c r="G67" i="63"/>
  <c r="G69" i="63"/>
  <c r="G94" i="63"/>
  <c r="G95" i="63"/>
  <c r="G96" i="63"/>
  <c r="G97" i="63"/>
  <c r="G98" i="63"/>
  <c r="G99" i="63"/>
  <c r="G100" i="63"/>
  <c r="G101" i="63"/>
  <c r="G115" i="63"/>
  <c r="G116" i="63"/>
  <c r="G117" i="63"/>
  <c r="G118" i="63"/>
  <c r="G119" i="63"/>
  <c r="G120" i="63"/>
  <c r="G121" i="63"/>
  <c r="G122" i="63"/>
  <c r="G123" i="63"/>
  <c r="G124" i="63"/>
  <c r="G125" i="63"/>
  <c r="G126" i="63"/>
  <c r="G127" i="63"/>
  <c r="G128" i="63"/>
  <c r="G129" i="63"/>
  <c r="G130" i="63"/>
  <c r="G131" i="63"/>
  <c r="G135" i="63"/>
  <c r="G136" i="63"/>
  <c r="G137" i="63"/>
  <c r="G138" i="63"/>
  <c r="G144" i="63"/>
  <c r="G149" i="63"/>
  <c r="G154" i="63"/>
  <c r="G155" i="63"/>
  <c r="G161" i="63"/>
  <c r="G169" i="63"/>
  <c r="G170" i="63"/>
  <c r="G175" i="63"/>
  <c r="G180" i="63"/>
  <c r="G181" i="63"/>
  <c r="G182" i="63"/>
  <c r="G194" i="63"/>
  <c r="G196" i="63"/>
  <c r="G197" i="63"/>
  <c r="G198" i="63"/>
  <c r="G199" i="63"/>
  <c r="G200" i="63"/>
  <c r="G201" i="63"/>
  <c r="G202" i="63"/>
  <c r="G204" i="63"/>
  <c r="G206" i="63"/>
  <c r="G207" i="63"/>
  <c r="G208" i="63"/>
  <c r="G209" i="63"/>
  <c r="G210" i="63"/>
  <c r="G214" i="63"/>
  <c r="G216" i="63"/>
  <c r="G217" i="63"/>
  <c r="G218" i="63"/>
  <c r="G219" i="63"/>
  <c r="G220" i="63"/>
  <c r="G224" i="63"/>
  <c r="G226" i="63"/>
  <c r="G227" i="63"/>
  <c r="G228" i="63"/>
  <c r="G229" i="63"/>
  <c r="G230" i="63"/>
  <c r="G234" i="63"/>
  <c r="G236" i="63"/>
  <c r="G237" i="63"/>
  <c r="G238" i="63"/>
  <c r="G239" i="63"/>
  <c r="G240" i="63"/>
  <c r="G244" i="63"/>
  <c r="G246" i="63"/>
  <c r="G247" i="63"/>
  <c r="G248" i="63"/>
  <c r="G249" i="63"/>
  <c r="G250" i="63"/>
  <c r="G254" i="63"/>
  <c r="G256" i="63"/>
  <c r="G257" i="63"/>
  <c r="G258" i="63"/>
  <c r="G259" i="63"/>
  <c r="G260" i="63"/>
  <c r="G270" i="63"/>
  <c r="G272" i="63"/>
  <c r="G273" i="63"/>
  <c r="G274" i="63"/>
  <c r="G275" i="63"/>
  <c r="G276" i="63"/>
  <c r="G280" i="63"/>
  <c r="G282" i="63"/>
  <c r="G283" i="63"/>
  <c r="G284" i="63"/>
  <c r="G285" i="63"/>
  <c r="G286" i="63"/>
  <c r="G290" i="63"/>
  <c r="G292" i="63"/>
  <c r="G293" i="63"/>
  <c r="G294" i="63"/>
  <c r="G295" i="63"/>
  <c r="G296" i="63"/>
  <c r="G300" i="63"/>
  <c r="G302" i="63"/>
  <c r="G303" i="63"/>
  <c r="G304" i="63"/>
  <c r="G305" i="63"/>
  <c r="G306" i="63"/>
  <c r="G310" i="63"/>
  <c r="G312" i="63"/>
  <c r="G313" i="63"/>
  <c r="G314" i="63"/>
  <c r="G315" i="63"/>
  <c r="G316" i="63"/>
  <c r="G320" i="63"/>
  <c r="G322" i="63"/>
  <c r="G323" i="63"/>
  <c r="G324" i="63"/>
  <c r="G325" i="63"/>
  <c r="G326" i="63"/>
  <c r="G334" i="63"/>
  <c r="G336" i="63"/>
  <c r="G337" i="63"/>
  <c r="G338" i="63"/>
  <c r="G339" i="63"/>
  <c r="G340" i="63"/>
  <c r="G344" i="63"/>
  <c r="G346" i="63"/>
  <c r="G347" i="63"/>
  <c r="G348" i="63"/>
  <c r="G349" i="63"/>
  <c r="G350" i="63"/>
  <c r="G354" i="63"/>
  <c r="G356" i="63"/>
  <c r="G357" i="63"/>
  <c r="G358" i="63"/>
  <c r="G359" i="63"/>
  <c r="G360" i="63"/>
  <c r="G364" i="63"/>
  <c r="G366" i="63"/>
  <c r="G367" i="63"/>
  <c r="G368" i="63"/>
  <c r="G369" i="63"/>
  <c r="G370" i="63"/>
  <c r="G374" i="63"/>
  <c r="G376" i="63"/>
  <c r="G377" i="63"/>
  <c r="G378" i="63"/>
  <c r="G379" i="63"/>
  <c r="G380" i="63"/>
  <c r="G384" i="63"/>
  <c r="G386" i="63"/>
  <c r="G387" i="63"/>
  <c r="G388" i="63"/>
  <c r="G389" i="63"/>
  <c r="G390" i="63"/>
  <c r="G398" i="63"/>
  <c r="G399" i="63"/>
  <c r="G400" i="63"/>
  <c r="G401" i="63"/>
  <c r="G403" i="63"/>
  <c r="G404" i="63"/>
  <c r="G405" i="63"/>
  <c r="G406" i="63"/>
  <c r="G407" i="63"/>
  <c r="G409" i="63"/>
  <c r="G410" i="63"/>
  <c r="G411" i="63"/>
  <c r="G412" i="63"/>
  <c r="G414" i="63"/>
  <c r="G415" i="63"/>
  <c r="G416" i="63"/>
  <c r="G417" i="63"/>
  <c r="G419" i="63"/>
  <c r="G420" i="63"/>
  <c r="G421" i="63"/>
  <c r="G422" i="63"/>
  <c r="G423" i="63"/>
  <c r="G425" i="63"/>
  <c r="G426" i="63"/>
  <c r="G427" i="63"/>
  <c r="G428" i="63"/>
  <c r="G430" i="63"/>
  <c r="G431" i="63"/>
  <c r="G432" i="63"/>
  <c r="G433" i="63"/>
  <c r="G435" i="63"/>
  <c r="G436" i="63"/>
  <c r="G437" i="63"/>
  <c r="G438" i="63"/>
  <c r="G439" i="63"/>
  <c r="G441" i="63"/>
  <c r="G442" i="63"/>
  <c r="G443" i="63"/>
  <c r="G444" i="63"/>
  <c r="G446" i="63"/>
  <c r="G447" i="63"/>
  <c r="G448" i="63"/>
  <c r="G449" i="63"/>
  <c r="G451" i="63"/>
  <c r="G452" i="63"/>
  <c r="G453" i="63"/>
  <c r="G454" i="63"/>
  <c r="G455" i="63"/>
  <c r="G457" i="63"/>
  <c r="G458" i="63"/>
  <c r="G459" i="63"/>
  <c r="G460" i="63"/>
  <c r="G462" i="63"/>
  <c r="G463" i="63"/>
  <c r="G464" i="63"/>
  <c r="G465" i="63"/>
  <c r="G467" i="63"/>
  <c r="G468" i="63"/>
  <c r="G469" i="63"/>
  <c r="G470" i="63"/>
  <c r="G471" i="63"/>
  <c r="G473" i="63"/>
  <c r="G474" i="63"/>
  <c r="G475" i="63"/>
  <c r="G476" i="63"/>
  <c r="G478" i="63"/>
  <c r="G479" i="63"/>
  <c r="G480" i="63"/>
  <c r="G481" i="63"/>
  <c r="G483" i="63"/>
  <c r="G484" i="63"/>
  <c r="G485" i="63"/>
  <c r="G486" i="63"/>
  <c r="G487" i="63"/>
  <c r="G489" i="63"/>
  <c r="G490" i="63"/>
  <c r="G491" i="63"/>
  <c r="G492" i="63"/>
  <c r="G498" i="63"/>
  <c r="G500" i="63"/>
  <c r="G501" i="63"/>
  <c r="G502" i="63"/>
  <c r="G503" i="63"/>
  <c r="G504" i="63"/>
  <c r="G508" i="63"/>
  <c r="G510" i="63"/>
  <c r="G511" i="63"/>
  <c r="G512" i="63"/>
  <c r="G513" i="63"/>
  <c r="G514" i="63"/>
  <c r="G518" i="63"/>
  <c r="G520" i="63"/>
  <c r="G521" i="63"/>
  <c r="G522" i="63"/>
  <c r="G523" i="63"/>
  <c r="G524" i="63"/>
  <c r="G528" i="63"/>
  <c r="G530" i="63"/>
  <c r="G531" i="63"/>
  <c r="G532" i="63"/>
  <c r="G533" i="63"/>
  <c r="G534" i="63"/>
  <c r="G538" i="63"/>
  <c r="G540" i="63"/>
  <c r="G541" i="63"/>
  <c r="G542" i="63"/>
  <c r="G543" i="63"/>
  <c r="G544" i="63"/>
  <c r="G548" i="63"/>
  <c r="G550" i="63"/>
  <c r="G551" i="63"/>
  <c r="G552" i="63"/>
  <c r="G553" i="63"/>
  <c r="G554" i="63"/>
  <c r="G561" i="63"/>
  <c r="G562" i="63"/>
  <c r="G564" i="63"/>
  <c r="G565" i="63"/>
  <c r="G566" i="63"/>
  <c r="G567" i="63"/>
  <c r="G568" i="63"/>
  <c r="G571" i="63"/>
  <c r="G572" i="63"/>
  <c r="G574" i="63"/>
  <c r="G575" i="63"/>
  <c r="G576" i="63"/>
  <c r="G577" i="63"/>
  <c r="G578" i="63"/>
  <c r="G581" i="63"/>
  <c r="G582" i="63"/>
  <c r="G584" i="63"/>
  <c r="G585" i="63"/>
  <c r="G586" i="63"/>
  <c r="G587" i="63"/>
  <c r="G588" i="63"/>
  <c r="G591" i="63"/>
  <c r="G592" i="63"/>
  <c r="G594" i="63"/>
  <c r="G595" i="63"/>
  <c r="G596" i="63"/>
  <c r="G597" i="63"/>
  <c r="G598" i="63"/>
  <c r="G601" i="63"/>
  <c r="G602" i="63"/>
  <c r="G604" i="63"/>
  <c r="G605" i="63"/>
  <c r="G606" i="63"/>
  <c r="G607" i="63"/>
  <c r="G608" i="63"/>
  <c r="G611" i="63"/>
  <c r="G612" i="63"/>
  <c r="G614" i="63"/>
  <c r="G615" i="63"/>
  <c r="G616" i="63"/>
  <c r="G617" i="63"/>
  <c r="G618" i="63"/>
  <c r="G628" i="63"/>
  <c r="G629" i="63"/>
  <c r="G630" i="63"/>
  <c r="G631" i="63"/>
  <c r="G633" i="63"/>
  <c r="G635" i="63"/>
  <c r="G636" i="63"/>
  <c r="G637" i="63"/>
  <c r="G638" i="63"/>
  <c r="G640" i="63"/>
  <c r="G643" i="63"/>
  <c r="G644" i="63"/>
  <c r="G645" i="63"/>
  <c r="G647" i="63"/>
  <c r="G653" i="63"/>
  <c r="G654" i="63"/>
  <c r="G655" i="63"/>
  <c r="G658" i="63"/>
  <c r="G659" i="63"/>
  <c r="G661" i="63"/>
  <c r="G662" i="63"/>
  <c r="G663" i="63"/>
  <c r="G666" i="63"/>
  <c r="G667" i="63"/>
  <c r="G669" i="63"/>
  <c r="G670" i="63"/>
  <c r="G671" i="63"/>
  <c r="G674" i="63"/>
  <c r="G675" i="63"/>
  <c r="G680" i="63"/>
  <c r="G681" i="63"/>
  <c r="G682" i="63"/>
  <c r="G683" i="63"/>
  <c r="G684" i="63"/>
  <c r="G685" i="63"/>
  <c r="G686" i="63"/>
  <c r="G687" i="63"/>
  <c r="G688" i="63"/>
  <c r="G689" i="63"/>
  <c r="G690" i="63"/>
  <c r="G691" i="63"/>
  <c r="G694" i="63"/>
  <c r="G695" i="63"/>
  <c r="G696" i="63"/>
  <c r="G697" i="63"/>
  <c r="G698" i="63"/>
  <c r="G699" i="63"/>
  <c r="G702" i="63"/>
  <c r="G703" i="63"/>
  <c r="G709" i="63"/>
  <c r="G710" i="63"/>
  <c r="G712" i="63"/>
  <c r="G713" i="63"/>
  <c r="G715" i="63"/>
  <c r="G716" i="63"/>
  <c r="G724" i="63"/>
  <c r="G725" i="63"/>
  <c r="G727" i="63"/>
  <c r="G728" i="63"/>
  <c r="G729" i="63"/>
  <c r="G730" i="63"/>
  <c r="G731" i="63"/>
  <c r="G732" i="63"/>
  <c r="G733" i="63"/>
  <c r="G734" i="63"/>
  <c r="G735" i="63"/>
  <c r="G742" i="63"/>
  <c r="G743" i="63"/>
  <c r="G744" i="63"/>
  <c r="G745" i="63"/>
  <c r="G746" i="63"/>
  <c r="G747" i="63"/>
  <c r="G748" i="63"/>
  <c r="G749" i="63"/>
  <c r="G750"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E786" i="63" s="1"/>
  <c r="G787" i="63"/>
  <c r="F787" i="63" s="1"/>
  <c r="E787" i="63" s="1"/>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F818" i="63" s="1"/>
  <c r="E818" i="63" s="1"/>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E848" i="63" s="1"/>
  <c r="G849" i="63"/>
  <c r="F849" i="63" s="1"/>
  <c r="E849" i="63" s="1"/>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E883" i="63" s="1"/>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F915" i="63" s="1"/>
  <c r="E915" i="63" s="1"/>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F946" i="63" s="1"/>
  <c r="E946" i="63" s="1"/>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E980" i="63" s="1"/>
  <c r="G981" i="63"/>
  <c r="F981" i="63" s="1"/>
  <c r="E981" i="63" s="1"/>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F1012" i="63" s="1"/>
  <c r="E1012" i="63" s="1"/>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F1042" i="63" s="1"/>
  <c r="E1042" i="63" s="1"/>
  <c r="G1043" i="63"/>
  <c r="G1050" i="63"/>
  <c r="G1051" i="63"/>
  <c r="G1052" i="63"/>
  <c r="G1053" i="63"/>
  <c r="G1054" i="63"/>
  <c r="G1056" i="63"/>
  <c r="G1057" i="63"/>
  <c r="G1058" i="63"/>
  <c r="G1059" i="63"/>
  <c r="G1060" i="63"/>
  <c r="G1062" i="63"/>
  <c r="G1063" i="63"/>
  <c r="G1064" i="63"/>
  <c r="G1065" i="63"/>
  <c r="G1066" i="63"/>
  <c r="G1068" i="63"/>
  <c r="G1069" i="63"/>
  <c r="G1070" i="63"/>
  <c r="G1071" i="63"/>
  <c r="G1072" i="63"/>
  <c r="G1073" i="63"/>
  <c r="G1074" i="63"/>
  <c r="G1075" i="63"/>
  <c r="G1076" i="63"/>
  <c r="G1077" i="63"/>
  <c r="G1079" i="63"/>
  <c r="G1080" i="63"/>
  <c r="G1081" i="63"/>
  <c r="G1082" i="63"/>
  <c r="G1083" i="63"/>
  <c r="G1084" i="63"/>
  <c r="G1085" i="63"/>
  <c r="G1086" i="63"/>
  <c r="G1087" i="63"/>
  <c r="G1088" i="63"/>
  <c r="G1093" i="63"/>
  <c r="G1094" i="63"/>
  <c r="G1095" i="63"/>
  <c r="G1096" i="63"/>
  <c r="G1097" i="63"/>
  <c r="G1098" i="63"/>
  <c r="G1099" i="63"/>
  <c r="G1100" i="63"/>
  <c r="G1102" i="63"/>
  <c r="G1103" i="63"/>
  <c r="G1104" i="63"/>
  <c r="G1105" i="63"/>
  <c r="G1106" i="63"/>
  <c r="G1107" i="63"/>
  <c r="G1108" i="63"/>
  <c r="G1109" i="63"/>
  <c r="G1110" i="63"/>
  <c r="G1111" i="63"/>
  <c r="G1112" i="63"/>
  <c r="G1113" i="63"/>
  <c r="G1114" i="63"/>
  <c r="G1115" i="63"/>
  <c r="G1116" i="63"/>
  <c r="G1117" i="63"/>
  <c r="G1119" i="63"/>
  <c r="G1120" i="63"/>
  <c r="G1121" i="63"/>
  <c r="G1122" i="63"/>
  <c r="G1123" i="63"/>
  <c r="G1124" i="63"/>
  <c r="G1125" i="63"/>
  <c r="G1126" i="63"/>
  <c r="G1127" i="63"/>
  <c r="G1128" i="63"/>
  <c r="G1129" i="63"/>
  <c r="G1130" i="63"/>
  <c r="G1131" i="63"/>
  <c r="G1132" i="63"/>
  <c r="G1133" i="63"/>
  <c r="G1134" i="63"/>
  <c r="G1139" i="63"/>
  <c r="G1140" i="63"/>
  <c r="G1141" i="63"/>
  <c r="G1142" i="63"/>
  <c r="G1143" i="63"/>
  <c r="G1144" i="63"/>
  <c r="G1145" i="63"/>
  <c r="G1146" i="63"/>
  <c r="G1147" i="63"/>
  <c r="G1148" i="63"/>
  <c r="G1149" i="63"/>
  <c r="G1150" i="63"/>
  <c r="G1151" i="63"/>
  <c r="G1152" i="63"/>
  <c r="G1153" i="63"/>
  <c r="G1154"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9" i="63"/>
  <c r="G1260" i="63"/>
  <c r="G1261" i="63"/>
  <c r="G1263" i="63"/>
  <c r="G1264" i="63"/>
  <c r="G1265" i="63"/>
  <c r="G1267" i="63"/>
  <c r="G1268" i="63"/>
  <c r="G1269" i="63"/>
  <c r="G1271" i="63"/>
  <c r="G1272" i="63"/>
  <c r="G1273" i="63"/>
  <c r="G1275" i="63"/>
  <c r="G1276" i="63"/>
  <c r="G1277" i="63"/>
  <c r="G1279" i="63"/>
  <c r="G1280" i="63"/>
  <c r="G1281" i="63"/>
  <c r="G1283" i="63"/>
  <c r="G1284" i="63"/>
  <c r="G1285" i="63"/>
  <c r="G1287" i="63"/>
  <c r="G1288" i="63"/>
  <c r="G1289" i="63"/>
  <c r="G1291" i="63"/>
  <c r="G1292" i="63"/>
  <c r="G1293" i="63"/>
  <c r="G1300" i="63"/>
  <c r="G1301" i="63"/>
  <c r="G1303" i="63"/>
  <c r="G1309" i="63"/>
  <c r="G1310" i="63"/>
  <c r="G1311" i="63"/>
  <c r="G1313" i="63"/>
  <c r="G1315" i="63"/>
  <c r="G1322" i="63"/>
  <c r="G1323" i="63"/>
  <c r="G1328" i="63"/>
  <c r="G1329" i="63"/>
  <c r="G1334" i="63"/>
  <c r="G1335"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8" i="63"/>
  <c r="G1373" i="63"/>
  <c r="G1374" i="63"/>
  <c r="G1375" i="63"/>
  <c r="G1380" i="63"/>
  <c r="G1383" i="63"/>
  <c r="G1384" i="63"/>
  <c r="G1387" i="63"/>
  <c r="G1388" i="63"/>
  <c r="G1389" i="63"/>
  <c r="G1390" i="63"/>
  <c r="G1391" i="63"/>
  <c r="G1392" i="63"/>
  <c r="G1393" i="63"/>
  <c r="G1394" i="63"/>
  <c r="G1395" i="63"/>
  <c r="G1396" i="63"/>
  <c r="G1397" i="63"/>
  <c r="G1398" i="63"/>
  <c r="G1399" i="63"/>
  <c r="G1404" i="63"/>
  <c r="G1430" i="63"/>
  <c r="G1443" i="63"/>
  <c r="G1455" i="63"/>
  <c r="G1467" i="63"/>
  <c r="E1043" i="63" l="1"/>
  <c r="F1043" i="63"/>
  <c r="E884" i="63"/>
  <c r="F884" i="63"/>
  <c r="G1308" i="63"/>
  <c r="G1312" i="63"/>
  <c r="F1312" i="63"/>
  <c r="E1308" i="63"/>
  <c r="F1308" i="63"/>
  <c r="E1312" i="63"/>
  <c r="C1270" i="35" l="1"/>
  <c r="C1269" i="35"/>
  <c r="C1268" i="35"/>
  <c r="C1265" i="35"/>
  <c r="C1264" i="35"/>
  <c r="C1263" i="35"/>
  <c r="C1262" i="35"/>
  <c r="C1261" i="35"/>
  <c r="C1260" i="35"/>
  <c r="E1258" i="35"/>
  <c r="F1255" i="35"/>
  <c r="D1255" i="35"/>
  <c r="E1255" i="35"/>
  <c r="C1255" i="35"/>
  <c r="F1258" i="35"/>
  <c r="D1270" i="35"/>
  <c r="D1269" i="35"/>
  <c r="D1268" i="35"/>
  <c r="D1265" i="35"/>
  <c r="D1264" i="35"/>
  <c r="D1263" i="35"/>
  <c r="D1262" i="35"/>
  <c r="D1261" i="35"/>
  <c r="D1260" i="35"/>
  <c r="E1210" i="35"/>
  <c r="E1213" i="35"/>
  <c r="C1210" i="35"/>
  <c r="C1220" i="35"/>
  <c r="F1210" i="35"/>
  <c r="D1210" i="35"/>
  <c r="F1213" i="35"/>
  <c r="D1220" i="35"/>
  <c r="E1160" i="35"/>
  <c r="C1162" i="35"/>
  <c r="C1163" i="35"/>
  <c r="C1164" i="35"/>
  <c r="C1165" i="35"/>
  <c r="C1166" i="35"/>
  <c r="C1167" i="35"/>
  <c r="C1169" i="35"/>
  <c r="C1170" i="35"/>
  <c r="C1171" i="35"/>
  <c r="F1157" i="35"/>
  <c r="E1157" i="35"/>
  <c r="D1157" i="35"/>
  <c r="C1157" i="35"/>
  <c r="F1160" i="35"/>
  <c r="D1171" i="35"/>
  <c r="D1170" i="35"/>
  <c r="D1169" i="35"/>
  <c r="D1167" i="35"/>
  <c r="D1166" i="35"/>
  <c r="D1165" i="35"/>
  <c r="D1164" i="35"/>
  <c r="D1163" i="35"/>
  <c r="D1162" i="35"/>
  <c r="E1116" i="35"/>
  <c r="F1113" i="35"/>
  <c r="D1113" i="35"/>
  <c r="E1113" i="35"/>
  <c r="C1113" i="35"/>
  <c r="F1116" i="35"/>
  <c r="D1016" i="35"/>
  <c r="D1009" i="35"/>
  <c r="E1009" i="35"/>
  <c r="C1009" i="35"/>
  <c r="S948" i="35"/>
  <c r="T948" i="35"/>
  <c r="Q948" i="35"/>
  <c r="R948" i="35"/>
  <c r="O948" i="35"/>
  <c r="P948" i="35"/>
  <c r="M948" i="35"/>
  <c r="N948" i="35"/>
  <c r="K948" i="35"/>
  <c r="L948" i="35"/>
  <c r="I948" i="35"/>
  <c r="J948" i="35"/>
  <c r="G948" i="35"/>
  <c r="H948" i="35"/>
  <c r="E948" i="35"/>
  <c r="F948" i="35"/>
  <c r="C948" i="35"/>
  <c r="E950" i="35"/>
  <c r="G950" i="35"/>
  <c r="I950" i="35"/>
  <c r="K950" i="35"/>
  <c r="M950" i="35"/>
  <c r="O950" i="35"/>
  <c r="Q950" i="35"/>
  <c r="S950" i="35"/>
  <c r="M951" i="35"/>
  <c r="E952" i="35"/>
  <c r="G952" i="35"/>
  <c r="I952" i="35"/>
  <c r="K952" i="35"/>
  <c r="O952" i="35"/>
  <c r="Q952" i="35"/>
  <c r="M953" i="35"/>
  <c r="S953" i="35"/>
  <c r="M954" i="35"/>
  <c r="M955" i="35"/>
  <c r="S956" i="35"/>
  <c r="M957" i="35"/>
  <c r="Q958" i="35"/>
  <c r="M959" i="35"/>
  <c r="Q960" i="35"/>
  <c r="M961" i="35"/>
  <c r="M962" i="35"/>
  <c r="F950" i="35"/>
  <c r="H950" i="35"/>
  <c r="J950" i="35"/>
  <c r="L950" i="35"/>
  <c r="N950" i="35"/>
  <c r="P950" i="35"/>
  <c r="R950" i="35"/>
  <c r="T950" i="35"/>
  <c r="N951" i="35"/>
  <c r="F952" i="35"/>
  <c r="H952" i="35"/>
  <c r="J952" i="35"/>
  <c r="L952" i="35"/>
  <c r="P952" i="35"/>
  <c r="R952" i="35"/>
  <c r="N953" i="35"/>
  <c r="T953" i="35"/>
  <c r="N954" i="35"/>
  <c r="N955" i="35"/>
  <c r="T956" i="35"/>
  <c r="N957" i="35"/>
  <c r="R958" i="35"/>
  <c r="N959" i="35"/>
  <c r="L960" i="35"/>
  <c r="R960" i="35"/>
  <c r="N961" i="35"/>
  <c r="N962" i="35"/>
  <c r="D871" i="35"/>
  <c r="D866" i="35"/>
  <c r="E866" i="35"/>
  <c r="C866" i="35"/>
  <c r="L964" i="35" l="1"/>
  <c r="D708" i="35"/>
  <c r="D728" i="35" s="1"/>
  <c r="D799" i="35" s="1"/>
  <c r="E708" i="35"/>
  <c r="C708" i="35"/>
  <c r="D593" i="35"/>
  <c r="D592" i="35"/>
  <c r="E592" i="35"/>
  <c r="C592" i="35"/>
  <c r="C373" i="35" l="1"/>
  <c r="F373" i="35" s="1"/>
  <c r="D373" i="35"/>
  <c r="J373" i="35" s="1"/>
  <c r="E373" i="35"/>
  <c r="H373" i="35" s="1"/>
  <c r="D97" i="35"/>
  <c r="D147" i="35" s="1"/>
  <c r="D186" i="35" s="1"/>
  <c r="E97" i="35"/>
  <c r="E147" i="35" s="1"/>
  <c r="B203" i="61"/>
  <c r="B204" i="61"/>
  <c r="B206" i="61"/>
  <c r="B208" i="61"/>
  <c r="AQ7" i="254"/>
  <c r="AQ8" i="254"/>
  <c r="AQ10" i="254"/>
  <c r="AQ12" i="254"/>
  <c r="AS12" i="254"/>
  <c r="AS10" i="254"/>
  <c r="AS8" i="254"/>
  <c r="AS7" i="254"/>
  <c r="AR10" i="254"/>
  <c r="AR8" i="254"/>
  <c r="AR7" i="254"/>
  <c r="AR12" i="254"/>
  <c r="C203" i="61"/>
  <c r="C204" i="61"/>
  <c r="C206" i="61"/>
  <c r="C208" i="61"/>
  <c r="D201" i="61"/>
  <c r="D125" i="61"/>
  <c r="D150" i="61" s="1"/>
  <c r="D175" i="61" s="1"/>
  <c r="E125" i="61"/>
  <c r="E150" i="61" s="1"/>
  <c r="E175" i="61" s="1"/>
  <c r="E177" i="61"/>
  <c r="E152" i="61"/>
  <c r="E127" i="61"/>
  <c r="E102" i="61"/>
  <c r="C477" i="35" l="1"/>
  <c r="C558" i="35"/>
  <c r="C475" i="35"/>
  <c r="C556" i="35"/>
  <c r="G373" i="35"/>
  <c r="I373" i="35"/>
  <c r="K373" i="35"/>
  <c r="L14" i="212" l="1"/>
  <c r="C476" i="35"/>
  <c r="C479" i="35" s="1"/>
  <c r="C482" i="35" s="1"/>
  <c r="C485" i="35" s="1"/>
  <c r="C488" i="35" s="1"/>
  <c r="C491" i="35" s="1"/>
  <c r="C557" i="35"/>
  <c r="D163" i="253"/>
  <c r="D190" i="253" s="1"/>
  <c r="D136" i="253"/>
  <c r="D119" i="253"/>
  <c r="D114" i="253"/>
  <c r="D118" i="253" s="1"/>
  <c r="D187" i="253"/>
  <c r="D185" i="253"/>
  <c r="D184" i="253"/>
  <c r="D181" i="253"/>
  <c r="D186" i="253" s="1"/>
  <c r="D178" i="253"/>
  <c r="D152" i="253"/>
  <c r="D127" i="253"/>
  <c r="D128" i="253" s="1"/>
  <c r="C88" i="253" l="1"/>
  <c r="D88" i="253" s="1"/>
  <c r="D189" i="253"/>
  <c r="D191" i="253" s="1"/>
  <c r="D95" i="253" l="1"/>
  <c r="C95" i="253" s="1"/>
  <c r="D94" i="253"/>
  <c r="D99" i="253" l="1"/>
  <c r="C99" i="253" s="1"/>
  <c r="C94" i="253"/>
  <c r="D100" i="253"/>
  <c r="C100" i="253" l="1"/>
  <c r="C74" i="253"/>
  <c r="D74" i="253"/>
  <c r="E74" i="253"/>
  <c r="F74" i="253"/>
  <c r="G74" i="253"/>
  <c r="H74" i="253"/>
  <c r="C73" i="253"/>
  <c r="D73" i="253"/>
  <c r="E73" i="253"/>
  <c r="F73" i="253"/>
  <c r="G73" i="253"/>
  <c r="H73" i="253"/>
  <c r="D71" i="253"/>
  <c r="E71" i="253"/>
  <c r="F71" i="253"/>
  <c r="G71" i="253"/>
  <c r="H71" i="253"/>
  <c r="D72" i="253"/>
  <c r="E72" i="253"/>
  <c r="F72" i="253"/>
  <c r="C71" i="253"/>
  <c r="C72" i="253"/>
  <c r="D64" i="253"/>
  <c r="E64" i="253"/>
  <c r="F64" i="253"/>
  <c r="G64" i="253"/>
  <c r="H64" i="253"/>
  <c r="I64" i="253" s="1"/>
  <c r="D65" i="253"/>
  <c r="E65" i="253"/>
  <c r="F65" i="253"/>
  <c r="G65" i="253"/>
  <c r="H65" i="253"/>
  <c r="I65" i="253" s="1"/>
  <c r="D66" i="253"/>
  <c r="E66" i="253"/>
  <c r="F66" i="253"/>
  <c r="G66" i="253"/>
  <c r="H66" i="253"/>
  <c r="I66" i="253" s="1"/>
  <c r="C66" i="253"/>
  <c r="C65" i="253"/>
  <c r="C64" i="253"/>
  <c r="D59" i="253"/>
  <c r="E59" i="253"/>
  <c r="F59" i="253"/>
  <c r="G59" i="253"/>
  <c r="H59" i="253"/>
  <c r="I59" i="253" s="1"/>
  <c r="D60" i="253"/>
  <c r="E60" i="253"/>
  <c r="F60" i="253"/>
  <c r="G60" i="253"/>
  <c r="H60" i="253"/>
  <c r="I60" i="253" s="1"/>
  <c r="C60" i="253"/>
  <c r="C59" i="253"/>
  <c r="D61" i="253" l="1"/>
  <c r="N75" i="253"/>
  <c r="D67" i="253"/>
  <c r="N74" i="253"/>
  <c r="F61" i="253"/>
  <c r="C67" i="253"/>
  <c r="C61" i="253"/>
  <c r="G61" i="253"/>
  <c r="G67" i="253"/>
  <c r="I67" i="253"/>
  <c r="F67" i="253"/>
  <c r="E67" i="253"/>
  <c r="E61" i="253"/>
  <c r="H61" i="253"/>
  <c r="H67" i="253"/>
  <c r="I61" i="253"/>
  <c r="B20" i="266" l="1"/>
  <c r="C20" i="266"/>
  <c r="D20" i="266"/>
  <c r="E20" i="266"/>
  <c r="F20" i="266"/>
  <c r="G20" i="266"/>
  <c r="H20" i="266"/>
  <c r="I20" i="266"/>
  <c r="J20" i="266"/>
  <c r="K20" i="266"/>
  <c r="L20" i="266"/>
  <c r="M20" i="266"/>
  <c r="N20" i="266"/>
  <c r="O20" i="266"/>
  <c r="P20" i="266"/>
  <c r="Q20" i="266"/>
  <c r="R20" i="266"/>
  <c r="S20" i="266"/>
  <c r="T20" i="266"/>
  <c r="U20" i="266"/>
  <c r="V20" i="266"/>
  <c r="W20" i="266"/>
  <c r="X20" i="266"/>
  <c r="Y20" i="266"/>
  <c r="Z20" i="266"/>
  <c r="AA20" i="266"/>
  <c r="AB20" i="266"/>
  <c r="AC20" i="266"/>
  <c r="AD20" i="266"/>
  <c r="AE20" i="266"/>
  <c r="AF20" i="266"/>
  <c r="AG20" i="266"/>
  <c r="AH20" i="266"/>
  <c r="AI20" i="266"/>
  <c r="AJ20" i="266"/>
  <c r="AK20" i="266"/>
  <c r="AL20" i="266"/>
  <c r="AM20" i="266"/>
  <c r="AN20" i="266"/>
  <c r="AO20" i="266"/>
  <c r="AP20" i="266"/>
  <c r="AQ20" i="266"/>
  <c r="AR20" i="266"/>
  <c r="AS20" i="266"/>
  <c r="AT20" i="266"/>
  <c r="AU20" i="266"/>
  <c r="B36" i="266"/>
  <c r="C36" i="266"/>
  <c r="D36" i="266"/>
  <c r="E36" i="266"/>
  <c r="F36" i="266"/>
  <c r="G36" i="266"/>
  <c r="H36" i="266"/>
  <c r="I36" i="266"/>
  <c r="J36" i="266"/>
  <c r="K36" i="266"/>
  <c r="L36" i="266"/>
  <c r="M36" i="266"/>
  <c r="N36" i="266"/>
  <c r="O36" i="266"/>
  <c r="P36" i="266"/>
  <c r="Q36" i="266"/>
  <c r="R36" i="266"/>
  <c r="S36" i="266"/>
  <c r="T36" i="266"/>
  <c r="U36" i="266"/>
  <c r="V36" i="266"/>
  <c r="W36" i="266"/>
  <c r="X36" i="266"/>
  <c r="Y36" i="266"/>
  <c r="Z36" i="266"/>
  <c r="AA36" i="266"/>
  <c r="AB36" i="266"/>
  <c r="AC36" i="266"/>
  <c r="AD36" i="266"/>
  <c r="AE36" i="266"/>
  <c r="AF36" i="266"/>
  <c r="AG36" i="266"/>
  <c r="AH36" i="266"/>
  <c r="AI36" i="266"/>
  <c r="AJ36" i="266"/>
  <c r="AK36" i="266"/>
  <c r="AL36" i="266"/>
  <c r="AM36" i="266"/>
  <c r="AN36" i="266"/>
  <c r="AO36" i="266"/>
  <c r="AP36" i="266"/>
  <c r="AQ36" i="266"/>
  <c r="AR36" i="266"/>
  <c r="AS36" i="266"/>
  <c r="AT36" i="266"/>
  <c r="AU36" i="266"/>
  <c r="C56" i="253"/>
  <c r="D56" i="253"/>
  <c r="E56" i="253"/>
  <c r="F56" i="253"/>
  <c r="G56" i="253"/>
  <c r="M56" i="253" s="1"/>
  <c r="H56" i="253"/>
  <c r="N56" i="253" s="1"/>
  <c r="D55" i="253"/>
  <c r="E55" i="253"/>
  <c r="F55" i="253"/>
  <c r="G55" i="253"/>
  <c r="M55" i="253" s="1"/>
  <c r="H55" i="253"/>
  <c r="C55" i="253"/>
  <c r="I56" i="253" l="1"/>
  <c r="I55" i="253"/>
  <c r="N55" i="253"/>
  <c r="D37" i="253"/>
  <c r="E37" i="253"/>
  <c r="F37" i="253"/>
  <c r="G37" i="253"/>
  <c r="H37" i="253"/>
  <c r="I37" i="253" s="1"/>
  <c r="D38" i="253"/>
  <c r="E38" i="253"/>
  <c r="F38" i="253"/>
  <c r="G38" i="253"/>
  <c r="H38" i="253"/>
  <c r="I38" i="253" s="1"/>
  <c r="D39" i="253"/>
  <c r="E39" i="253"/>
  <c r="F39" i="253"/>
  <c r="G39" i="253"/>
  <c r="H39" i="253"/>
  <c r="I39" i="253" s="1"/>
  <c r="C38" i="253"/>
  <c r="C39" i="253"/>
  <c r="C37" i="253"/>
  <c r="C9" i="253"/>
  <c r="D32" i="253" l="1"/>
  <c r="E32" i="253"/>
  <c r="F32" i="253"/>
  <c r="G32" i="253"/>
  <c r="H32" i="253"/>
  <c r="I32" i="253" s="1"/>
  <c r="C32" i="253"/>
  <c r="M32" i="253" l="1"/>
  <c r="K32" i="253"/>
  <c r="C22" i="253"/>
  <c r="D22" i="253"/>
  <c r="E22" i="253"/>
  <c r="F22" i="253"/>
  <c r="G22" i="253"/>
  <c r="H22" i="253"/>
  <c r="I22" i="253" s="1"/>
  <c r="D18" i="253"/>
  <c r="E18" i="253"/>
  <c r="F18" i="253"/>
  <c r="G18" i="253"/>
  <c r="H18" i="253"/>
  <c r="I18" i="253" s="1"/>
  <c r="C18" i="253"/>
  <c r="N32" i="253"/>
  <c r="L32" i="253"/>
  <c r="N22" i="253" l="1"/>
  <c r="M22" i="253"/>
  <c r="K22" i="253"/>
  <c r="L22" i="253"/>
  <c r="N18" i="253"/>
  <c r="M18" i="253"/>
  <c r="L18" i="253"/>
  <c r="K18" i="253"/>
  <c r="D13" i="253" l="1"/>
  <c r="E13" i="253"/>
  <c r="F13" i="253"/>
  <c r="G13" i="253"/>
  <c r="H13" i="253"/>
  <c r="I13" i="253" s="1"/>
  <c r="D14" i="253"/>
  <c r="E14" i="253"/>
  <c r="F14" i="253"/>
  <c r="G14" i="253"/>
  <c r="H14" i="253"/>
  <c r="I14" i="253" s="1"/>
  <c r="C14" i="253"/>
  <c r="C13" i="253"/>
  <c r="C76" i="253" s="1"/>
  <c r="C10" i="253"/>
  <c r="D10" i="253"/>
  <c r="E10" i="253"/>
  <c r="F10" i="253"/>
  <c r="G10" i="253"/>
  <c r="H10" i="253"/>
  <c r="C11" i="253"/>
  <c r="D11" i="253"/>
  <c r="E11" i="253"/>
  <c r="F11" i="253"/>
  <c r="G11" i="253"/>
  <c r="H11" i="253"/>
  <c r="I11" i="253" s="1"/>
  <c r="D9" i="253"/>
  <c r="E9" i="253"/>
  <c r="F9" i="253"/>
  <c r="G9" i="253"/>
  <c r="H9" i="253"/>
  <c r="E76" i="253" l="1"/>
  <c r="G77" i="253"/>
  <c r="E77" i="253"/>
  <c r="C77" i="253"/>
  <c r="F76" i="253"/>
  <c r="M9" i="253"/>
  <c r="N13" i="253"/>
  <c r="M13" i="253"/>
  <c r="L11" i="253"/>
  <c r="K11" i="253"/>
  <c r="K9" i="253"/>
  <c r="L13" i="253"/>
  <c r="K13" i="253"/>
  <c r="F77" i="253"/>
  <c r="M10" i="253"/>
  <c r="M14" i="253"/>
  <c r="N14" i="253"/>
  <c r="N11" i="253"/>
  <c r="M11" i="253"/>
  <c r="D77" i="253"/>
  <c r="K10" i="253"/>
  <c r="L14" i="253"/>
  <c r="K14" i="253"/>
  <c r="D76" i="253"/>
  <c r="I10" i="253"/>
  <c r="L10" i="253" s="1"/>
  <c r="H77" i="253"/>
  <c r="I9" i="253"/>
  <c r="L9" i="253" s="1"/>
  <c r="AG8" i="262"/>
  <c r="AH8" i="262"/>
  <c r="AI8" i="262"/>
  <c r="AJ8" i="262"/>
  <c r="AK8" i="262"/>
  <c r="AL8" i="262"/>
  <c r="AM8" i="262"/>
  <c r="AN8" i="262"/>
  <c r="AO8" i="262"/>
  <c r="AP8" i="262"/>
  <c r="G72" i="253" s="1"/>
  <c r="G76" i="253" s="1"/>
  <c r="N71" i="253" s="1"/>
  <c r="AQ8" i="262"/>
  <c r="AR8" i="262"/>
  <c r="AS8" i="262"/>
  <c r="AT8" i="262"/>
  <c r="AU8" i="262"/>
  <c r="H72" i="253" s="1"/>
  <c r="H76" i="253" s="1"/>
  <c r="AG23" i="262"/>
  <c r="N72" i="253" l="1"/>
  <c r="N73" i="253" s="1"/>
  <c r="N76" i="253" s="1"/>
  <c r="N77" i="253" s="1"/>
  <c r="N10" i="253"/>
  <c r="N9" i="253"/>
  <c r="J1466" i="63"/>
  <c r="I1466" i="63"/>
  <c r="J1465" i="63"/>
  <c r="I1465" i="63"/>
  <c r="J1464" i="63"/>
  <c r="I1464" i="63"/>
  <c r="J1463" i="63"/>
  <c r="I1463" i="63"/>
  <c r="J1462" i="63"/>
  <c r="I1462" i="63"/>
  <c r="J1461" i="63"/>
  <c r="I1461" i="63"/>
  <c r="J1460" i="63"/>
  <c r="I1460" i="63"/>
  <c r="J1459" i="63"/>
  <c r="I1459" i="63"/>
  <c r="J1454" i="63"/>
  <c r="I1454" i="63"/>
  <c r="J1453" i="63"/>
  <c r="I1453" i="63"/>
  <c r="J1452" i="63"/>
  <c r="I1452" i="63"/>
  <c r="J1451" i="63"/>
  <c r="I1451" i="63"/>
  <c r="J1450" i="63"/>
  <c r="I1450" i="63"/>
  <c r="J1449" i="63"/>
  <c r="I1449" i="63"/>
  <c r="J1448" i="63"/>
  <c r="I1448" i="63"/>
  <c r="J1447" i="63"/>
  <c r="I1447" i="63"/>
  <c r="A56" i="168"/>
  <c r="A56" i="231"/>
  <c r="U208" i="233"/>
  <c r="O208" i="233"/>
  <c r="T208" i="233" s="1"/>
  <c r="H208" i="233"/>
  <c r="U207" i="233"/>
  <c r="O207" i="233"/>
  <c r="T207" i="233" s="1"/>
  <c r="H207" i="233"/>
  <c r="U206" i="233"/>
  <c r="O206" i="233"/>
  <c r="T206" i="233" s="1"/>
  <c r="H206" i="233"/>
  <c r="U205" i="233"/>
  <c r="O205" i="233"/>
  <c r="T205" i="233" s="1"/>
  <c r="H205" i="233"/>
  <c r="U204" i="233"/>
  <c r="O204" i="233"/>
  <c r="T204" i="233" s="1"/>
  <c r="H204" i="233"/>
  <c r="L192" i="233"/>
  <c r="U192" i="233" s="1"/>
  <c r="H192" i="233"/>
  <c r="L189" i="233"/>
  <c r="U189" i="233" s="1"/>
  <c r="H189" i="233"/>
  <c r="L172" i="233"/>
  <c r="H172" i="233"/>
  <c r="H169" i="233"/>
  <c r="H168" i="233"/>
  <c r="H163" i="233"/>
  <c r="H162" i="233"/>
  <c r="H161" i="233"/>
  <c r="U204" i="261"/>
  <c r="O207" i="261"/>
  <c r="O206" i="261"/>
  <c r="O205" i="261"/>
  <c r="H34" i="169"/>
  <c r="H37" i="250"/>
  <c r="X11" i="209"/>
  <c r="X15" i="46"/>
  <c r="X14" i="209"/>
  <c r="W12" i="46"/>
  <c r="X12" i="209"/>
  <c r="X10" i="209"/>
  <c r="W13" i="209"/>
  <c r="W9" i="209"/>
  <c r="W11" i="46"/>
  <c r="F11" i="183"/>
  <c r="X12" i="46"/>
  <c r="W10" i="209"/>
  <c r="X14" i="46"/>
  <c r="X13" i="46"/>
  <c r="W15" i="46"/>
  <c r="W12" i="209"/>
  <c r="W9" i="46"/>
  <c r="W14" i="209"/>
  <c r="X9" i="209"/>
  <c r="X10" i="46"/>
  <c r="W14" i="46"/>
  <c r="F11" i="216"/>
  <c r="W15" i="209"/>
  <c r="X11" i="46"/>
  <c r="W13" i="46"/>
  <c r="W11" i="209"/>
  <c r="X13" i="209"/>
  <c r="W10" i="46"/>
  <c r="X9" i="46"/>
  <c r="X15" i="209"/>
  <c r="C343" i="44" l="1"/>
  <c r="C342" i="44"/>
  <c r="J1455" i="63"/>
  <c r="I1455" i="63"/>
  <c r="I1467" i="63"/>
  <c r="T189" i="233"/>
  <c r="J1467" i="63"/>
  <c r="T192" i="233"/>
  <c r="O204" i="261" l="1"/>
  <c r="T204" i="261" s="1"/>
  <c r="T243" i="261"/>
  <c r="H169" i="261"/>
  <c r="F13" i="216" l="1"/>
  <c r="F14" i="216"/>
  <c r="U296" i="261"/>
  <c r="O296" i="261"/>
  <c r="T296" i="261" s="1"/>
  <c r="U294" i="261"/>
  <c r="T294" i="261"/>
  <c r="U295" i="261"/>
  <c r="T295" i="261"/>
  <c r="U286" i="261"/>
  <c r="T286" i="261"/>
  <c r="H286" i="261"/>
  <c r="O293" i="261"/>
  <c r="T293" i="261" s="1"/>
  <c r="H293" i="261"/>
  <c r="O292" i="261"/>
  <c r="T292" i="261" s="1"/>
  <c r="H292" i="261"/>
  <c r="U291" i="261"/>
  <c r="O291" i="261"/>
  <c r="T291" i="261" s="1"/>
  <c r="H291" i="261"/>
  <c r="O289" i="261"/>
  <c r="H289" i="261"/>
  <c r="U290" i="261"/>
  <c r="O290" i="261"/>
  <c r="H290" i="261"/>
  <c r="O284" i="261"/>
  <c r="T284" i="261" s="1"/>
  <c r="H284" i="261"/>
  <c r="U244" i="261"/>
  <c r="T244" i="261"/>
  <c r="H244" i="261"/>
  <c r="U281" i="261"/>
  <c r="T281" i="261"/>
  <c r="H281" i="261"/>
  <c r="U243" i="261"/>
  <c r="H243" i="261"/>
  <c r="U280" i="261"/>
  <c r="T280" i="261"/>
  <c r="H280" i="261"/>
  <c r="U276" i="261"/>
  <c r="T276" i="261"/>
  <c r="H276" i="261"/>
  <c r="L279" i="261"/>
  <c r="T279" i="261" s="1"/>
  <c r="H279" i="261"/>
  <c r="O275" i="261"/>
  <c r="U275" i="261" s="1"/>
  <c r="H275" i="261"/>
  <c r="O283" i="261"/>
  <c r="U283" i="261" s="1"/>
  <c r="H283" i="261"/>
  <c r="U282" i="261"/>
  <c r="O282" i="261"/>
  <c r="T282" i="261" s="1"/>
  <c r="H282" i="261"/>
  <c r="U242" i="261"/>
  <c r="T242" i="261"/>
  <c r="H242" i="261"/>
  <c r="U288" i="261"/>
  <c r="T288" i="261"/>
  <c r="H288" i="261"/>
  <c r="U287" i="261"/>
  <c r="T287" i="261"/>
  <c r="H287" i="261"/>
  <c r="U285" i="261"/>
  <c r="T285" i="261"/>
  <c r="H285" i="261"/>
  <c r="U270" i="261"/>
  <c r="T270" i="261"/>
  <c r="H270" i="261"/>
  <c r="U261" i="261"/>
  <c r="T261" i="261"/>
  <c r="H261" i="261"/>
  <c r="U253" i="261"/>
  <c r="T253" i="261"/>
  <c r="H253" i="261"/>
  <c r="U241" i="261"/>
  <c r="T241" i="261"/>
  <c r="H241" i="261"/>
  <c r="U269" i="261"/>
  <c r="T269" i="261"/>
  <c r="H269" i="261"/>
  <c r="U260" i="261"/>
  <c r="T260" i="261"/>
  <c r="H260" i="261"/>
  <c r="U252" i="261"/>
  <c r="T252" i="261"/>
  <c r="H252" i="261"/>
  <c r="U240" i="261"/>
  <c r="T240" i="261"/>
  <c r="H240" i="261"/>
  <c r="U268" i="261"/>
  <c r="T268" i="261"/>
  <c r="H268" i="261"/>
  <c r="U259" i="261"/>
  <c r="T259" i="261"/>
  <c r="H259" i="261"/>
  <c r="U251" i="261"/>
  <c r="T251" i="261"/>
  <c r="H251" i="261"/>
  <c r="U239" i="261"/>
  <c r="T239" i="261"/>
  <c r="H239" i="261"/>
  <c r="U267" i="261"/>
  <c r="T267" i="261"/>
  <c r="H267" i="261"/>
  <c r="U258" i="261"/>
  <c r="T258" i="261"/>
  <c r="H258" i="261"/>
  <c r="U250" i="261"/>
  <c r="T250" i="261"/>
  <c r="H250" i="261"/>
  <c r="U238" i="261"/>
  <c r="T238" i="261"/>
  <c r="H238" i="261"/>
  <c r="U266" i="261"/>
  <c r="T266" i="261"/>
  <c r="H266" i="261"/>
  <c r="U257" i="261"/>
  <c r="T257" i="261"/>
  <c r="H257" i="261"/>
  <c r="U249" i="261"/>
  <c r="T249" i="261"/>
  <c r="H249" i="261"/>
  <c r="U237" i="261"/>
  <c r="T237" i="261"/>
  <c r="H237" i="261"/>
  <c r="U265" i="261"/>
  <c r="T265" i="261"/>
  <c r="H265" i="261"/>
  <c r="U256" i="261"/>
  <c r="T256" i="261"/>
  <c r="H256" i="261"/>
  <c r="U248" i="261"/>
  <c r="T248" i="261"/>
  <c r="H248" i="261"/>
  <c r="U236" i="261"/>
  <c r="T236" i="261"/>
  <c r="H236" i="261"/>
  <c r="U264" i="261"/>
  <c r="T264" i="261"/>
  <c r="H264" i="261"/>
  <c r="U255" i="261"/>
  <c r="T255" i="261"/>
  <c r="H255" i="261"/>
  <c r="U247" i="261"/>
  <c r="T247" i="261"/>
  <c r="H247" i="261"/>
  <c r="U235" i="261"/>
  <c r="T235" i="261"/>
  <c r="H235" i="261"/>
  <c r="U263" i="261"/>
  <c r="T263" i="261"/>
  <c r="H263" i="261"/>
  <c r="U254" i="261"/>
  <c r="T254" i="261"/>
  <c r="H254" i="261"/>
  <c r="U246" i="261"/>
  <c r="T246" i="261"/>
  <c r="H246" i="261"/>
  <c r="U234" i="261"/>
  <c r="T234" i="261"/>
  <c r="H234" i="261"/>
  <c r="U278" i="261"/>
  <c r="T278" i="261"/>
  <c r="H278" i="261"/>
  <c r="U273" i="261"/>
  <c r="T273" i="261"/>
  <c r="H273" i="261"/>
  <c r="U271" i="261"/>
  <c r="T271" i="261"/>
  <c r="H271" i="261"/>
  <c r="U233" i="261"/>
  <c r="T233" i="261"/>
  <c r="H233" i="261"/>
  <c r="U274" i="261"/>
  <c r="T274" i="261"/>
  <c r="H274" i="261"/>
  <c r="U262" i="261"/>
  <c r="Q262" i="261"/>
  <c r="T262" i="261" s="1"/>
  <c r="H262" i="261"/>
  <c r="U245" i="261"/>
  <c r="T245" i="261"/>
  <c r="H245" i="261"/>
  <c r="M232" i="261"/>
  <c r="H232" i="261"/>
  <c r="U277" i="261"/>
  <c r="T277" i="261"/>
  <c r="H277" i="261"/>
  <c r="U272" i="261"/>
  <c r="T272" i="261"/>
  <c r="H272" i="261"/>
  <c r="M231" i="261"/>
  <c r="U231" i="261" s="1"/>
  <c r="H231" i="261"/>
  <c r="H230" i="261"/>
  <c r="H229" i="261"/>
  <c r="H228" i="261"/>
  <c r="H227" i="261"/>
  <c r="H226" i="261"/>
  <c r="U225" i="261"/>
  <c r="T225" i="261"/>
  <c r="H225" i="261"/>
  <c r="H224" i="261"/>
  <c r="U223" i="261"/>
  <c r="T223" i="261"/>
  <c r="H223" i="261"/>
  <c r="U222" i="261"/>
  <c r="T222" i="261"/>
  <c r="H222" i="261"/>
  <c r="O221" i="261"/>
  <c r="U221" i="261" s="1"/>
  <c r="H221" i="261"/>
  <c r="O220" i="261"/>
  <c r="T220" i="261" s="1"/>
  <c r="H220" i="261"/>
  <c r="O219" i="261"/>
  <c r="U219" i="261" s="1"/>
  <c r="H219" i="261"/>
  <c r="O218" i="261"/>
  <c r="U218" i="261" s="1"/>
  <c r="H218" i="261"/>
  <c r="O217" i="261"/>
  <c r="U217" i="261" s="1"/>
  <c r="H217" i="261"/>
  <c r="O216" i="261"/>
  <c r="T216" i="261" s="1"/>
  <c r="H216" i="261"/>
  <c r="O215" i="261"/>
  <c r="U215" i="261" s="1"/>
  <c r="H215" i="261"/>
  <c r="O214" i="261"/>
  <c r="T214" i="261" s="1"/>
  <c r="H214" i="261"/>
  <c r="O213" i="261"/>
  <c r="U213" i="261" s="1"/>
  <c r="H213" i="261"/>
  <c r="O212" i="261"/>
  <c r="T212" i="261" s="1"/>
  <c r="H212" i="261"/>
  <c r="O211" i="261"/>
  <c r="T211" i="261" s="1"/>
  <c r="H211" i="261"/>
  <c r="O210" i="261"/>
  <c r="U210" i="261" s="1"/>
  <c r="H210" i="261"/>
  <c r="O209" i="261"/>
  <c r="T209" i="261" s="1"/>
  <c r="H209" i="261"/>
  <c r="U208" i="261"/>
  <c r="O208" i="261"/>
  <c r="T208" i="261" s="1"/>
  <c r="H208" i="261"/>
  <c r="U207" i="261"/>
  <c r="T207" i="261"/>
  <c r="H207" i="261"/>
  <c r="U206" i="261"/>
  <c r="T206" i="261"/>
  <c r="H206" i="261"/>
  <c r="U205" i="261"/>
  <c r="T205" i="261"/>
  <c r="H205" i="261"/>
  <c r="H204" i="261"/>
  <c r="O203" i="261"/>
  <c r="H203" i="261"/>
  <c r="O202" i="261"/>
  <c r="U202" i="261" s="1"/>
  <c r="H202" i="261"/>
  <c r="L201" i="261"/>
  <c r="U201" i="261" s="1"/>
  <c r="H201" i="261"/>
  <c r="L200" i="261"/>
  <c r="U200" i="261" s="1"/>
  <c r="H200" i="261"/>
  <c r="L199" i="261"/>
  <c r="T199" i="261" s="1"/>
  <c r="H199" i="261"/>
  <c r="O198" i="261"/>
  <c r="U198" i="261" s="1"/>
  <c r="H198" i="261"/>
  <c r="L197" i="261"/>
  <c r="T197" i="261" s="1"/>
  <c r="H197" i="261"/>
  <c r="L196" i="261"/>
  <c r="U196" i="261" s="1"/>
  <c r="H196" i="261"/>
  <c r="L195" i="261"/>
  <c r="T195" i="261" s="1"/>
  <c r="H195" i="261"/>
  <c r="L194" i="261"/>
  <c r="T194" i="261" s="1"/>
  <c r="H194" i="261"/>
  <c r="L193" i="261"/>
  <c r="T193" i="261" s="1"/>
  <c r="H193" i="261"/>
  <c r="L191" i="261"/>
  <c r="U191" i="261" s="1"/>
  <c r="H191" i="261"/>
  <c r="L190" i="261"/>
  <c r="T190" i="261" s="1"/>
  <c r="H190" i="261"/>
  <c r="L192" i="261"/>
  <c r="U192" i="261" s="1"/>
  <c r="H192" i="261"/>
  <c r="L189" i="261"/>
  <c r="H189" i="261"/>
  <c r="L188" i="261"/>
  <c r="H188" i="261"/>
  <c r="O187" i="261"/>
  <c r="H187" i="261"/>
  <c r="L186" i="261"/>
  <c r="U186" i="261" s="1"/>
  <c r="H186" i="261"/>
  <c r="U185" i="261"/>
  <c r="T185" i="261"/>
  <c r="H185" i="261"/>
  <c r="U184" i="261"/>
  <c r="T184" i="261"/>
  <c r="H184" i="261"/>
  <c r="U183" i="261"/>
  <c r="T183" i="261"/>
  <c r="H183" i="261"/>
  <c r="H182" i="261"/>
  <c r="H181" i="261"/>
  <c r="H180" i="261"/>
  <c r="H179" i="261"/>
  <c r="H178" i="261"/>
  <c r="H177" i="261"/>
  <c r="H176" i="261"/>
  <c r="H175" i="261"/>
  <c r="L174" i="261"/>
  <c r="H174" i="261"/>
  <c r="L173" i="261"/>
  <c r="H173" i="261"/>
  <c r="L172" i="261"/>
  <c r="H172" i="261"/>
  <c r="L171" i="261"/>
  <c r="H171" i="261"/>
  <c r="L170" i="261"/>
  <c r="H170" i="261"/>
  <c r="H168" i="261"/>
  <c r="H167" i="261"/>
  <c r="H166" i="261"/>
  <c r="H165" i="261"/>
  <c r="H164" i="261"/>
  <c r="H163" i="261"/>
  <c r="H162" i="261"/>
  <c r="H161" i="261"/>
  <c r="H160" i="261"/>
  <c r="H159" i="261"/>
  <c r="H158" i="261"/>
  <c r="H157" i="261"/>
  <c r="H156" i="261"/>
  <c r="H155" i="261"/>
  <c r="H154" i="261"/>
  <c r="H153" i="261"/>
  <c r="H152" i="261"/>
  <c r="H151" i="261"/>
  <c r="H150" i="261"/>
  <c r="H149" i="261"/>
  <c r="H148" i="261"/>
  <c r="H147" i="261"/>
  <c r="H146" i="261"/>
  <c r="H145" i="261"/>
  <c r="H144" i="261"/>
  <c r="H143" i="261"/>
  <c r="H142" i="261"/>
  <c r="H141" i="261"/>
  <c r="H140" i="261"/>
  <c r="H139" i="261"/>
  <c r="H138" i="261"/>
  <c r="H137" i="261"/>
  <c r="H136" i="261"/>
  <c r="H135" i="261"/>
  <c r="H134" i="261"/>
  <c r="H133" i="261"/>
  <c r="H132" i="261"/>
  <c r="H131" i="261"/>
  <c r="H130" i="261"/>
  <c r="H129" i="261"/>
  <c r="H128" i="261"/>
  <c r="H127" i="261"/>
  <c r="H126" i="261"/>
  <c r="H125" i="261"/>
  <c r="H124" i="261"/>
  <c r="H123" i="261"/>
  <c r="H122" i="261"/>
  <c r="H121" i="261"/>
  <c r="H120" i="261"/>
  <c r="H119" i="261"/>
  <c r="H118" i="261"/>
  <c r="H117" i="261"/>
  <c r="H116" i="261"/>
  <c r="H115" i="261"/>
  <c r="H114" i="261"/>
  <c r="H113" i="261"/>
  <c r="H112" i="261"/>
  <c r="H111" i="261"/>
  <c r="H110" i="261"/>
  <c r="M109" i="261"/>
  <c r="H109" i="261"/>
  <c r="M108" i="261"/>
  <c r="H108" i="261"/>
  <c r="M107" i="261"/>
  <c r="H107" i="261"/>
  <c r="M106" i="261"/>
  <c r="H106" i="261"/>
  <c r="M105" i="261"/>
  <c r="H105" i="261"/>
  <c r="H104" i="261"/>
  <c r="H103" i="261"/>
  <c r="M102" i="261"/>
  <c r="H102" i="261"/>
  <c r="M101" i="261"/>
  <c r="H101" i="261"/>
  <c r="H100" i="261"/>
  <c r="M99" i="261"/>
  <c r="H99" i="261"/>
  <c r="M98" i="261"/>
  <c r="H98" i="261"/>
  <c r="H97" i="261"/>
  <c r="H96" i="261"/>
  <c r="H95" i="261"/>
  <c r="H94" i="261"/>
  <c r="H93" i="261"/>
  <c r="H92" i="261"/>
  <c r="H91" i="261"/>
  <c r="H90" i="261"/>
  <c r="H89" i="261"/>
  <c r="H88" i="261"/>
  <c r="H87" i="261"/>
  <c r="M86" i="261"/>
  <c r="H86" i="261"/>
  <c r="H85" i="261"/>
  <c r="H84" i="261"/>
  <c r="H83" i="261"/>
  <c r="H82" i="261"/>
  <c r="H81" i="261"/>
  <c r="H80" i="261"/>
  <c r="H79" i="261"/>
  <c r="H78" i="261"/>
  <c r="H77" i="261"/>
  <c r="H76" i="261"/>
  <c r="H75" i="261"/>
  <c r="H74" i="261"/>
  <c r="H73" i="261"/>
  <c r="H72" i="261"/>
  <c r="H71" i="261"/>
  <c r="H70" i="261"/>
  <c r="H69" i="261"/>
  <c r="H68" i="261"/>
  <c r="H67" i="261"/>
  <c r="H66" i="261"/>
  <c r="H65" i="261"/>
  <c r="H64" i="261"/>
  <c r="H63" i="261"/>
  <c r="H62" i="261"/>
  <c r="H61" i="261"/>
  <c r="H60" i="261"/>
  <c r="M59" i="261"/>
  <c r="H59" i="261"/>
  <c r="M58" i="261"/>
  <c r="H58" i="261"/>
  <c r="M57" i="261"/>
  <c r="H57" i="261"/>
  <c r="M56" i="261"/>
  <c r="H56" i="261"/>
  <c r="M55" i="261"/>
  <c r="H55" i="261"/>
  <c r="M54" i="261"/>
  <c r="H54" i="261"/>
  <c r="M53" i="261"/>
  <c r="H53" i="261"/>
  <c r="M52" i="261"/>
  <c r="H52" i="261"/>
  <c r="Q51" i="261"/>
  <c r="H51" i="261"/>
  <c r="Q50" i="261"/>
  <c r="H50" i="261"/>
  <c r="M49" i="261"/>
  <c r="H49" i="261"/>
  <c r="M48" i="261"/>
  <c r="H48" i="261"/>
  <c r="H47" i="261"/>
  <c r="H46" i="261"/>
  <c r="H45" i="261"/>
  <c r="H44" i="261"/>
  <c r="H43" i="261"/>
  <c r="H42" i="261"/>
  <c r="H41" i="261"/>
  <c r="H40" i="261"/>
  <c r="H39" i="261"/>
  <c r="H38" i="261"/>
  <c r="H37" i="261"/>
  <c r="H36" i="261"/>
  <c r="H35" i="261"/>
  <c r="H34" i="261"/>
  <c r="H33" i="261"/>
  <c r="H32" i="261"/>
  <c r="H31" i="261"/>
  <c r="H30" i="261"/>
  <c r="H29" i="261"/>
  <c r="H28" i="261"/>
  <c r="H27" i="261"/>
  <c r="H26" i="261"/>
  <c r="H25" i="261"/>
  <c r="H24" i="261"/>
  <c r="H23" i="261"/>
  <c r="H22" i="261"/>
  <c r="H21" i="261"/>
  <c r="H20" i="261"/>
  <c r="H19" i="261"/>
  <c r="H18" i="261"/>
  <c r="H17" i="261"/>
  <c r="H16" i="261"/>
  <c r="H15" i="261"/>
  <c r="H14" i="261"/>
  <c r="H13" i="261"/>
  <c r="H12" i="261"/>
  <c r="H11" i="261"/>
  <c r="H10" i="261"/>
  <c r="H9" i="261"/>
  <c r="H8" i="261"/>
  <c r="H7" i="261"/>
  <c r="H6" i="261"/>
  <c r="H5" i="261"/>
  <c r="U194" i="261" l="1"/>
  <c r="U209" i="261"/>
  <c r="U216" i="261"/>
  <c r="U197" i="261"/>
  <c r="T275" i="261"/>
  <c r="T215" i="261"/>
  <c r="T218" i="261"/>
  <c r="T221" i="261"/>
  <c r="U190" i="261"/>
  <c r="T191" i="261"/>
  <c r="U220" i="261"/>
  <c r="U195" i="261"/>
  <c r="T198" i="261"/>
  <c r="U211" i="261"/>
  <c r="U284" i="261"/>
  <c r="T192" i="261"/>
  <c r="U193" i="261"/>
  <c r="T283" i="261"/>
  <c r="U279" i="261"/>
  <c r="U293" i="261"/>
  <c r="T200" i="261"/>
  <c r="T210" i="261"/>
  <c r="U212" i="261"/>
  <c r="T219" i="261"/>
  <c r="T186" i="261"/>
  <c r="U292" i="261"/>
  <c r="U187" i="261"/>
  <c r="T187" i="261"/>
  <c r="U189" i="261"/>
  <c r="T189" i="261"/>
  <c r="U203" i="261"/>
  <c r="T203" i="261"/>
  <c r="T290" i="261"/>
  <c r="U188" i="261"/>
  <c r="T188" i="261"/>
  <c r="T217" i="261"/>
  <c r="T289" i="261"/>
  <c r="U289" i="261"/>
  <c r="T196" i="261"/>
  <c r="T201" i="261"/>
  <c r="T202" i="261"/>
  <c r="U214" i="261"/>
  <c r="T232" i="261"/>
  <c r="U232" i="261"/>
  <c r="U199" i="261"/>
  <c r="T213" i="261"/>
  <c r="T231" i="261"/>
  <c r="F12" i="216"/>
  <c r="Q140" i="134" l="1"/>
  <c r="H18" i="168" l="1"/>
  <c r="O9" i="209"/>
  <c r="E12" i="46"/>
  <c r="R13" i="46"/>
  <c r="P15" i="209"/>
  <c r="G14" i="209"/>
  <c r="E9" i="209"/>
  <c r="N10" i="209"/>
  <c r="D13" i="46"/>
  <c r="L14" i="46"/>
  <c r="C14" i="209"/>
  <c r="J10" i="209"/>
  <c r="Q11" i="46"/>
  <c r="L10" i="46"/>
  <c r="F15" i="46"/>
  <c r="E13" i="46"/>
  <c r="F10" i="46"/>
  <c r="R14" i="209"/>
  <c r="M9" i="46"/>
  <c r="O10" i="46"/>
  <c r="P9" i="209"/>
  <c r="Q15" i="46"/>
  <c r="O10" i="209"/>
  <c r="P10" i="46"/>
  <c r="L11" i="46"/>
  <c r="F12" i="209"/>
  <c r="Q9" i="46"/>
  <c r="F13" i="46"/>
  <c r="G13" i="209"/>
  <c r="F15" i="209"/>
  <c r="E14" i="209"/>
  <c r="H13" i="46"/>
  <c r="P12" i="209"/>
  <c r="I13" i="46"/>
  <c r="J12" i="209"/>
  <c r="K15" i="209"/>
  <c r="N15" i="46"/>
  <c r="J11" i="209"/>
  <c r="G12" i="209"/>
  <c r="P10" i="209"/>
  <c r="C10" i="46"/>
  <c r="P15" i="46"/>
  <c r="D14" i="46"/>
  <c r="J13" i="46"/>
  <c r="R15" i="46"/>
  <c r="K13" i="209"/>
  <c r="Q10" i="209"/>
  <c r="L12" i="209"/>
  <c r="I15" i="209"/>
  <c r="F9" i="46"/>
  <c r="D12" i="46"/>
  <c r="K9" i="209"/>
  <c r="M10" i="46"/>
  <c r="O13" i="209"/>
  <c r="K10" i="209"/>
  <c r="D12" i="209"/>
  <c r="R10" i="46"/>
  <c r="R12" i="46"/>
  <c r="C13" i="209"/>
  <c r="K11" i="46"/>
  <c r="M11" i="46"/>
  <c r="C13" i="46"/>
  <c r="L9" i="46"/>
  <c r="I14" i="46"/>
  <c r="C11" i="209"/>
  <c r="J14" i="209"/>
  <c r="Q10" i="46"/>
  <c r="I15" i="46"/>
  <c r="J9" i="46"/>
  <c r="L15" i="209"/>
  <c r="E13" i="209"/>
  <c r="D9" i="209"/>
  <c r="J14" i="46"/>
  <c r="D14" i="209"/>
  <c r="Q14" i="209"/>
  <c r="Q15" i="209"/>
  <c r="N9" i="209"/>
  <c r="G11" i="46"/>
  <c r="C14" i="46"/>
  <c r="M12" i="209"/>
  <c r="H14" i="46"/>
  <c r="Q11" i="209"/>
  <c r="K12" i="46"/>
  <c r="N14" i="209"/>
  <c r="R12" i="209"/>
  <c r="L9" i="209"/>
  <c r="P11" i="209"/>
  <c r="L11" i="209"/>
  <c r="O11" i="46"/>
  <c r="D10" i="46"/>
  <c r="H12" i="209"/>
  <c r="L14" i="209"/>
  <c r="M13" i="46"/>
  <c r="N10" i="46"/>
  <c r="H11" i="46"/>
  <c r="P9" i="46"/>
  <c r="M14" i="46"/>
  <c r="G11" i="209"/>
  <c r="Q12" i="46"/>
  <c r="H12" i="46"/>
  <c r="K14" i="209"/>
  <c r="I12" i="46"/>
  <c r="P13" i="209"/>
  <c r="J11" i="46"/>
  <c r="H9" i="209"/>
  <c r="N11" i="209"/>
  <c r="I9" i="209"/>
  <c r="G13" i="46"/>
  <c r="M15" i="209"/>
  <c r="E11" i="46"/>
  <c r="R14" i="46"/>
  <c r="O12" i="209"/>
  <c r="H13" i="209"/>
  <c r="M12" i="46"/>
  <c r="K14" i="46"/>
  <c r="L12" i="46"/>
  <c r="O15" i="209"/>
  <c r="H10" i="209"/>
  <c r="F9" i="209"/>
  <c r="K15" i="46"/>
  <c r="O15" i="46"/>
  <c r="D11" i="209"/>
  <c r="C11" i="46"/>
  <c r="P13" i="46"/>
  <c r="J15" i="46"/>
  <c r="N15" i="209"/>
  <c r="P11" i="46"/>
  <c r="O9" i="46"/>
  <c r="D11" i="46"/>
  <c r="F14" i="46"/>
  <c r="N12" i="209"/>
  <c r="Q13" i="46"/>
  <c r="P14" i="209"/>
  <c r="G10" i="209"/>
  <c r="C12" i="209"/>
  <c r="R11" i="209"/>
  <c r="N14" i="46"/>
  <c r="I11" i="46"/>
  <c r="E10" i="209"/>
  <c r="J9" i="209"/>
  <c r="C9" i="46"/>
  <c r="G15" i="46"/>
  <c r="G12" i="46"/>
  <c r="O12" i="46"/>
  <c r="L13" i="46"/>
  <c r="O14" i="209"/>
  <c r="K13" i="46"/>
  <c r="R9" i="209"/>
  <c r="O13" i="46"/>
  <c r="P12" i="46"/>
  <c r="D9" i="46"/>
  <c r="E15" i="46"/>
  <c r="H15" i="46"/>
  <c r="O14" i="46"/>
  <c r="K11" i="209"/>
  <c r="I13" i="209"/>
  <c r="E11" i="209"/>
  <c r="O11" i="209"/>
  <c r="H10" i="46"/>
  <c r="N11" i="46"/>
  <c r="J10" i="46"/>
  <c r="J15" i="209"/>
  <c r="C9" i="209"/>
  <c r="E15" i="209"/>
  <c r="F13" i="209"/>
  <c r="Q14" i="46"/>
  <c r="K10" i="46"/>
  <c r="I10" i="46"/>
  <c r="E9" i="46"/>
  <c r="D15" i="209"/>
  <c r="I10" i="209"/>
  <c r="H11" i="209"/>
  <c r="R15" i="209"/>
  <c r="D10" i="209"/>
  <c r="F11" i="209"/>
  <c r="C15" i="209"/>
  <c r="C12" i="46"/>
  <c r="H15" i="209"/>
  <c r="N13" i="209"/>
  <c r="I11" i="209"/>
  <c r="E10" i="46"/>
  <c r="N13" i="46"/>
  <c r="H9" i="46"/>
  <c r="K12" i="209"/>
  <c r="I12" i="209"/>
  <c r="G14" i="46"/>
  <c r="F11" i="46"/>
  <c r="M13" i="209"/>
  <c r="R11" i="46"/>
  <c r="D15" i="46"/>
  <c r="R10" i="209"/>
  <c r="H14" i="209"/>
  <c r="M11" i="209"/>
  <c r="M10" i="209"/>
  <c r="Q13" i="209"/>
  <c r="Q9" i="209"/>
  <c r="G10" i="46"/>
  <c r="R9" i="46"/>
  <c r="F14" i="209"/>
  <c r="E12" i="209"/>
  <c r="J13" i="209"/>
  <c r="L13" i="209"/>
  <c r="G15" i="209"/>
  <c r="J12" i="46"/>
  <c r="F12" i="46"/>
  <c r="G9" i="209"/>
  <c r="F10" i="209"/>
  <c r="I9" i="46"/>
  <c r="D13" i="209"/>
  <c r="Q12" i="209"/>
  <c r="G9" i="46"/>
  <c r="R13" i="209"/>
  <c r="L15" i="46"/>
  <c r="M9" i="209"/>
  <c r="K9" i="46"/>
  <c r="L10" i="209"/>
  <c r="I14" i="209"/>
  <c r="N9" i="46"/>
  <c r="N12" i="46"/>
  <c r="M14" i="209"/>
  <c r="M15" i="46"/>
  <c r="P14" i="46"/>
  <c r="C15" i="46"/>
  <c r="E14" i="46"/>
  <c r="C10" i="209"/>
  <c r="F60" i="60" l="1"/>
  <c r="Q8" i="209"/>
  <c r="H18" i="231"/>
  <c r="H14" i="231"/>
  <c r="H9" i="231"/>
  <c r="H11" i="231" l="1"/>
  <c r="AL39" i="148"/>
  <c r="AK39" i="148"/>
  <c r="AJ39" i="148"/>
  <c r="AI39" i="148"/>
  <c r="AH39" i="148"/>
  <c r="AG39" i="148"/>
  <c r="AF39" i="148"/>
  <c r="AE39" i="148"/>
  <c r="AD39" i="148"/>
  <c r="AC39" i="148"/>
  <c r="AB39" i="148"/>
  <c r="AA39" i="148"/>
  <c r="Z39" i="148"/>
  <c r="Y39" i="148"/>
  <c r="X39" i="148"/>
  <c r="W39" i="148"/>
  <c r="V39" i="148"/>
  <c r="U39" i="148"/>
  <c r="T39" i="148"/>
  <c r="S39" i="148"/>
  <c r="R39" i="148"/>
  <c r="Q39" i="148"/>
  <c r="P39" i="148"/>
  <c r="O39" i="148"/>
  <c r="N39" i="148"/>
  <c r="M39" i="148"/>
  <c r="L39" i="148"/>
  <c r="K39" i="148"/>
  <c r="J39" i="148"/>
  <c r="I39" i="148"/>
  <c r="H39" i="148"/>
  <c r="G39" i="148"/>
  <c r="F39" i="148"/>
  <c r="E39" i="148"/>
  <c r="D39" i="148"/>
  <c r="C39" i="148"/>
  <c r="AM38" i="148"/>
  <c r="AM37" i="148"/>
  <c r="AM36" i="148"/>
  <c r="AM35" i="148"/>
  <c r="AM34" i="148"/>
  <c r="AM33" i="148"/>
  <c r="AM32" i="148"/>
  <c r="AM31" i="148"/>
  <c r="AM30" i="148"/>
  <c r="AM29" i="148"/>
  <c r="AM28" i="148"/>
  <c r="AM27" i="148"/>
  <c r="AM26" i="148"/>
  <c r="AM25" i="148"/>
  <c r="AM24" i="148"/>
  <c r="AM23" i="148"/>
  <c r="AM22" i="148"/>
  <c r="AM21" i="148"/>
  <c r="AM20" i="148"/>
  <c r="AM19" i="148"/>
  <c r="AM18" i="148"/>
  <c r="AM17" i="148"/>
  <c r="AM16" i="148"/>
  <c r="AM15" i="148"/>
  <c r="AM14" i="148"/>
  <c r="AM13" i="148"/>
  <c r="AM12" i="148"/>
  <c r="AM11" i="148"/>
  <c r="AM10" i="148"/>
  <c r="AM9" i="148"/>
  <c r="AM8" i="148"/>
  <c r="AM7" i="148"/>
  <c r="AM6" i="148"/>
  <c r="AM5" i="148"/>
  <c r="AM4" i="148"/>
  <c r="AM3" i="148"/>
  <c r="AN39" i="148" l="1"/>
  <c r="AM39" i="148"/>
  <c r="O26" i="237" l="1"/>
  <c r="N26" i="237"/>
  <c r="M26" i="237"/>
  <c r="L26" i="237"/>
  <c r="K26" i="237"/>
  <c r="J26" i="237"/>
  <c r="I26" i="237"/>
  <c r="H26" i="237"/>
  <c r="G26" i="237"/>
  <c r="F26" i="237"/>
  <c r="E26" i="237"/>
  <c r="D26" i="237"/>
  <c r="C26" i="237"/>
  <c r="P25" i="237"/>
  <c r="P24" i="237"/>
  <c r="P23" i="237"/>
  <c r="P22" i="237"/>
  <c r="P19" i="237"/>
  <c r="P18" i="237"/>
  <c r="P17" i="237"/>
  <c r="P16" i="237"/>
  <c r="P15" i="237"/>
  <c r="P14" i="237"/>
  <c r="P13" i="237"/>
  <c r="P11" i="237"/>
  <c r="P10" i="237"/>
  <c r="P9" i="237"/>
  <c r="P8" i="237"/>
  <c r="P7" i="237"/>
  <c r="P6" i="237"/>
  <c r="P5" i="237"/>
  <c r="P4" i="237"/>
  <c r="P3" i="237"/>
  <c r="S9" i="235"/>
  <c r="P26" i="237" l="1"/>
  <c r="R954" i="35" l="1"/>
  <c r="R964" i="35" s="1"/>
  <c r="D1120" i="35"/>
  <c r="T952" i="35"/>
  <c r="D601" i="35"/>
  <c r="C1120" i="35"/>
  <c r="AQ11" i="254"/>
  <c r="J5" i="213" l="1"/>
  <c r="H5" i="212"/>
  <c r="C1218" i="35"/>
  <c r="D1218" i="35"/>
  <c r="S954" i="35"/>
  <c r="AQ21" i="254"/>
  <c r="D1219" i="35"/>
  <c r="B205" i="61"/>
  <c r="AQ9" i="254"/>
  <c r="D1014" i="35"/>
  <c r="C1119" i="35"/>
  <c r="AR21" i="254"/>
  <c r="D594" i="35"/>
  <c r="D377" i="35"/>
  <c r="D598" i="35"/>
  <c r="D712" i="35"/>
  <c r="D101" i="35"/>
  <c r="D722" i="35"/>
  <c r="D950" i="35"/>
  <c r="AS9" i="254"/>
  <c r="D721" i="35"/>
  <c r="D110" i="35"/>
  <c r="D1266" i="35"/>
  <c r="D1168" i="35"/>
  <c r="C950" i="35"/>
  <c r="AR9" i="254"/>
  <c r="C205" i="61"/>
  <c r="D1018" i="35"/>
  <c r="C1216" i="35"/>
  <c r="D596" i="35"/>
  <c r="D714" i="35"/>
  <c r="D103" i="35"/>
  <c r="D1015" i="35"/>
  <c r="D869" i="35"/>
  <c r="D868" i="35"/>
  <c r="C1266" i="35"/>
  <c r="C1168" i="35"/>
  <c r="D597" i="35"/>
  <c r="D711" i="35"/>
  <c r="D723" i="35"/>
  <c r="D736" i="35"/>
  <c r="D100" i="35"/>
  <c r="F1114" i="35"/>
  <c r="F1158" i="35"/>
  <c r="D954" i="35"/>
  <c r="S952" i="35"/>
  <c r="D376" i="35"/>
  <c r="S955" i="35"/>
  <c r="Q954" i="35"/>
  <c r="D600" i="35"/>
  <c r="D602" i="35"/>
  <c r="D1121" i="35"/>
  <c r="AS22" i="254"/>
  <c r="T955" i="35"/>
  <c r="T958" i="35"/>
  <c r="D599" i="35"/>
  <c r="AQ22" i="254"/>
  <c r="E1158" i="35"/>
  <c r="E1114" i="35"/>
  <c r="D867" i="35"/>
  <c r="D375" i="35"/>
  <c r="C1267" i="35"/>
  <c r="C1217" i="35"/>
  <c r="D595" i="35"/>
  <c r="C207" i="61"/>
  <c r="B207" i="61"/>
  <c r="AR11" i="254"/>
  <c r="D603" i="35"/>
  <c r="D717" i="35"/>
  <c r="D733" i="35" s="1"/>
  <c r="D106" i="35"/>
  <c r="D959" i="35"/>
  <c r="D1267" i="35"/>
  <c r="D1217" i="35"/>
  <c r="D1011" i="35"/>
  <c r="D378" i="35"/>
  <c r="G378" i="35"/>
  <c r="D1119" i="35"/>
  <c r="AS21" i="254"/>
  <c r="T954" i="35"/>
  <c r="AS11" i="254"/>
  <c r="E736" i="35"/>
  <c r="C959" i="35"/>
  <c r="D1013" i="35"/>
  <c r="D710" i="35"/>
  <c r="D730" i="35" s="1"/>
  <c r="D99" i="35"/>
  <c r="D149" i="35" s="1"/>
  <c r="D719" i="35"/>
  <c r="D108" i="35"/>
  <c r="D716" i="35"/>
  <c r="D732" i="35" s="1"/>
  <c r="D105" i="35"/>
  <c r="D151" i="35" s="1"/>
  <c r="C1219" i="35"/>
  <c r="AQ23" i="254"/>
  <c r="D952" i="35"/>
  <c r="N952" i="35"/>
  <c r="D1216" i="35"/>
  <c r="C963" i="35"/>
  <c r="C952" i="35"/>
  <c r="M952" i="35"/>
  <c r="C210" i="61" l="1"/>
  <c r="B210" i="61"/>
  <c r="AR23" i="254"/>
  <c r="C1118" i="35"/>
  <c r="F1115" i="35"/>
  <c r="F1123" i="35" s="1"/>
  <c r="D715" i="35"/>
  <c r="D870" i="35"/>
  <c r="E1115" i="35"/>
  <c r="D1118" i="35"/>
  <c r="F1159" i="35"/>
  <c r="F1173" i="35" s="1"/>
  <c r="E1159" i="35"/>
  <c r="AS20" i="254"/>
  <c r="AQ20" i="254"/>
  <c r="AQ24" i="254" s="1"/>
  <c r="J378" i="35"/>
  <c r="T964" i="35"/>
  <c r="D1215" i="35"/>
  <c r="D1221" i="35" s="1"/>
  <c r="C1215" i="35"/>
  <c r="D963" i="35"/>
  <c r="D557" i="35"/>
  <c r="D102" i="35"/>
  <c r="D1017" i="35"/>
  <c r="AS6" i="254"/>
  <c r="AS13" i="254" s="1"/>
  <c r="AS23" i="254"/>
  <c r="D713" i="35"/>
  <c r="B202" i="61"/>
  <c r="B209" i="61" s="1"/>
  <c r="AQ6" i="254"/>
  <c r="AQ13" i="254" s="1"/>
  <c r="C1121" i="35"/>
  <c r="AR22" i="254"/>
  <c r="AR20" i="254"/>
  <c r="D1271" i="35"/>
  <c r="D604" i="35"/>
  <c r="C954" i="35"/>
  <c r="D1012" i="35"/>
  <c r="J376" i="35"/>
  <c r="AR6" i="254"/>
  <c r="AR13" i="254" s="1"/>
  <c r="C202" i="61"/>
  <c r="C209" i="61" s="1"/>
  <c r="D152" i="35"/>
  <c r="AQ25" i="254"/>
  <c r="B211" i="61" s="1"/>
  <c r="C374" i="35"/>
  <c r="D374" i="35"/>
  <c r="D111" i="35"/>
  <c r="G960" i="35" l="1"/>
  <c r="D104" i="35"/>
  <c r="D150" i="35" s="1"/>
  <c r="E1257" i="35"/>
  <c r="M960" i="35"/>
  <c r="AS24" i="254"/>
  <c r="E1212" i="35"/>
  <c r="D731" i="35"/>
  <c r="F1257" i="35"/>
  <c r="D960" i="35"/>
  <c r="D964" i="35" s="1"/>
  <c r="F1212" i="35"/>
  <c r="AR24" i="254"/>
  <c r="AS25" i="254"/>
  <c r="D1122" i="35"/>
  <c r="D1123" i="35" s="1"/>
  <c r="D1172" i="35"/>
  <c r="D1173" i="35" s="1"/>
  <c r="J374" i="35"/>
  <c r="C1172" i="35"/>
  <c r="C1122" i="35"/>
  <c r="C1123" i="35" s="1"/>
  <c r="E1211" i="35"/>
  <c r="E1256" i="35"/>
  <c r="F1256" i="35"/>
  <c r="F1211" i="35"/>
  <c r="J375" i="35"/>
  <c r="E557" i="35" s="1"/>
  <c r="G557" i="35" s="1"/>
  <c r="D57" i="35"/>
  <c r="AR25" i="254"/>
  <c r="C211" i="61" s="1"/>
  <c r="E960" i="35" l="1"/>
  <c r="F1271" i="35"/>
  <c r="E1271" i="35"/>
  <c r="AQ5" i="254"/>
  <c r="AR5" i="254"/>
  <c r="C960" i="35"/>
  <c r="F1221" i="35"/>
  <c r="O960" i="35"/>
  <c r="K960" i="35"/>
  <c r="F960" i="35"/>
  <c r="F964" i="35" s="1"/>
  <c r="I960" i="35"/>
  <c r="J960" i="35"/>
  <c r="J964" i="35" s="1"/>
  <c r="N960" i="35"/>
  <c r="N964" i="35" s="1"/>
  <c r="AS5" i="254"/>
  <c r="P960" i="35"/>
  <c r="P964" i="35" s="1"/>
  <c r="H960" i="35"/>
  <c r="H964" i="35" s="1"/>
  <c r="D98" i="35"/>
  <c r="F557" i="35"/>
  <c r="D1010" i="35"/>
  <c r="D1019" i="35" s="1"/>
  <c r="D94" i="60"/>
  <c r="O112" i="60"/>
  <c r="S112" i="60" s="1"/>
  <c r="M112" i="60"/>
  <c r="R112" i="60" s="1"/>
  <c r="J112" i="60"/>
  <c r="K112" i="60" s="1"/>
  <c r="Q112" i="60" s="1"/>
  <c r="I112" i="60"/>
  <c r="P112" i="60" s="1"/>
  <c r="O111" i="60"/>
  <c r="S111" i="60" s="1"/>
  <c r="M111" i="60"/>
  <c r="R111" i="60" s="1"/>
  <c r="K111" i="60"/>
  <c r="Q111" i="60" s="1"/>
  <c r="I111" i="60"/>
  <c r="P111" i="60" s="1"/>
  <c r="O110" i="60"/>
  <c r="S110" i="60" s="1"/>
  <c r="M110" i="60"/>
  <c r="R110" i="60" s="1"/>
  <c r="K110" i="60"/>
  <c r="Q110" i="60" s="1"/>
  <c r="I110" i="60"/>
  <c r="P110" i="60" s="1"/>
  <c r="O109" i="60"/>
  <c r="M109" i="60"/>
  <c r="K109" i="60"/>
  <c r="I109" i="60"/>
  <c r="O108" i="60"/>
  <c r="M108" i="60"/>
  <c r="K108" i="60"/>
  <c r="I108" i="60"/>
  <c r="S26" i="254" s="1"/>
  <c r="O107" i="60"/>
  <c r="M107" i="60"/>
  <c r="K107" i="60"/>
  <c r="I107" i="60"/>
  <c r="J106" i="60"/>
  <c r="L106" i="60" s="1"/>
  <c r="D106" i="60"/>
  <c r="O105" i="60"/>
  <c r="S105" i="60" s="1"/>
  <c r="M105" i="60"/>
  <c r="R105" i="60" s="1"/>
  <c r="K105" i="60"/>
  <c r="Q105" i="60" s="1"/>
  <c r="I105" i="60"/>
  <c r="P105" i="60" s="1"/>
  <c r="F104" i="60"/>
  <c r="M104" i="60" s="1"/>
  <c r="R104" i="60" s="1"/>
  <c r="O103" i="60"/>
  <c r="S103" i="60" s="1"/>
  <c r="M103" i="60"/>
  <c r="R103" i="60" s="1"/>
  <c r="K103" i="60"/>
  <c r="Q103" i="60" s="1"/>
  <c r="I103" i="60"/>
  <c r="P103" i="60" s="1"/>
  <c r="H102" i="60"/>
  <c r="F99" i="60"/>
  <c r="I99" i="60" s="1"/>
  <c r="F98" i="60"/>
  <c r="O98" i="60" s="1"/>
  <c r="D98" i="60"/>
  <c r="F97" i="60"/>
  <c r="M97" i="60" s="1"/>
  <c r="D97" i="60"/>
  <c r="F96" i="60"/>
  <c r="O96" i="60" s="1"/>
  <c r="D96" i="60"/>
  <c r="F95" i="60"/>
  <c r="K95" i="60" s="1"/>
  <c r="D95" i="60"/>
  <c r="F94" i="60"/>
  <c r="O94" i="60" s="1"/>
  <c r="O93" i="60"/>
  <c r="S93" i="60" s="1"/>
  <c r="M93" i="60"/>
  <c r="R93" i="60" s="1"/>
  <c r="K93" i="60"/>
  <c r="Q93" i="60" s="1"/>
  <c r="I93" i="60"/>
  <c r="P93" i="60" s="1"/>
  <c r="O88" i="60"/>
  <c r="S88" i="60" s="1"/>
  <c r="M88" i="60"/>
  <c r="R88" i="60" s="1"/>
  <c r="K88" i="60"/>
  <c r="Q88" i="60" s="1"/>
  <c r="I88" i="60"/>
  <c r="P88" i="60" s="1"/>
  <c r="O86" i="60"/>
  <c r="S86" i="60" s="1"/>
  <c r="M86" i="60"/>
  <c r="R86" i="60" s="1"/>
  <c r="K86" i="60"/>
  <c r="Q86" i="60" s="1"/>
  <c r="I86" i="60"/>
  <c r="P86" i="60" s="1"/>
  <c r="F84" i="60"/>
  <c r="M84" i="60" s="1"/>
  <c r="D84" i="60"/>
  <c r="H83" i="60"/>
  <c r="J79" i="60"/>
  <c r="H79" i="60"/>
  <c r="S68" i="60"/>
  <c r="R68" i="60"/>
  <c r="Q68" i="60"/>
  <c r="P68" i="60"/>
  <c r="J68" i="60"/>
  <c r="J67" i="60"/>
  <c r="J66" i="60"/>
  <c r="J65" i="60"/>
  <c r="O64" i="60"/>
  <c r="S64" i="60" s="1"/>
  <c r="M64" i="60"/>
  <c r="R64" i="60" s="1"/>
  <c r="J64" i="60"/>
  <c r="K64" i="60" s="1"/>
  <c r="Q64" i="60" s="1"/>
  <c r="I64" i="60"/>
  <c r="P64" i="60" s="1"/>
  <c r="J63" i="60"/>
  <c r="J62" i="60"/>
  <c r="J61" i="60"/>
  <c r="J60" i="60"/>
  <c r="I60" i="60"/>
  <c r="P60" i="60" s="1"/>
  <c r="J59" i="60"/>
  <c r="O54" i="60"/>
  <c r="M54" i="60"/>
  <c r="K54" i="60"/>
  <c r="I54" i="60"/>
  <c r="O53" i="60"/>
  <c r="M53" i="60"/>
  <c r="K53" i="60"/>
  <c r="I53" i="60"/>
  <c r="O52" i="60"/>
  <c r="S52" i="60" s="1"/>
  <c r="M52" i="60"/>
  <c r="R52" i="60" s="1"/>
  <c r="K52" i="60"/>
  <c r="Q52" i="60" s="1"/>
  <c r="I52" i="60"/>
  <c r="P52" i="60" s="1"/>
  <c r="J51" i="60"/>
  <c r="J50" i="60"/>
  <c r="J49" i="60"/>
  <c r="J48" i="60"/>
  <c r="J47" i="60"/>
  <c r="J46" i="60"/>
  <c r="O39" i="60"/>
  <c r="S39" i="60" s="1"/>
  <c r="M39" i="60"/>
  <c r="R39" i="60" s="1"/>
  <c r="J39" i="60"/>
  <c r="K39" i="60" s="1"/>
  <c r="Q39" i="60" s="1"/>
  <c r="I39" i="60"/>
  <c r="P39" i="60" s="1"/>
  <c r="O38" i="60"/>
  <c r="M38" i="60"/>
  <c r="J38" i="60"/>
  <c r="K38" i="60" s="1"/>
  <c r="I38" i="60"/>
  <c r="O37" i="60"/>
  <c r="M37" i="60"/>
  <c r="J37" i="60"/>
  <c r="K37" i="60" s="1"/>
  <c r="I37" i="60"/>
  <c r="J32" i="60"/>
  <c r="J31" i="60"/>
  <c r="O28" i="60"/>
  <c r="S28" i="60" s="1"/>
  <c r="M28" i="60"/>
  <c r="R28" i="60" s="1"/>
  <c r="J28" i="60"/>
  <c r="K28" i="60" s="1"/>
  <c r="Q28" i="60" s="1"/>
  <c r="I28" i="60"/>
  <c r="P28" i="60" s="1"/>
  <c r="O27" i="60"/>
  <c r="S27" i="60" s="1"/>
  <c r="M27" i="60"/>
  <c r="R27" i="60" s="1"/>
  <c r="J27" i="60"/>
  <c r="K27" i="60" s="1"/>
  <c r="Q27" i="60" s="1"/>
  <c r="I27" i="60"/>
  <c r="P27" i="60" s="1"/>
  <c r="I26" i="60"/>
  <c r="J24" i="60"/>
  <c r="O24" i="60"/>
  <c r="S24" i="60" s="1"/>
  <c r="J23" i="60"/>
  <c r="J22" i="60"/>
  <c r="J21" i="60"/>
  <c r="O18" i="60"/>
  <c r="S18" i="60" s="1"/>
  <c r="M18" i="60"/>
  <c r="R18" i="60" s="1"/>
  <c r="I18" i="60"/>
  <c r="P18" i="60" s="1"/>
  <c r="O17" i="60"/>
  <c r="S17" i="60" s="1"/>
  <c r="M17" i="60"/>
  <c r="R17" i="60" s="1"/>
  <c r="I17" i="60"/>
  <c r="P17" i="60" s="1"/>
  <c r="O16" i="60"/>
  <c r="S16" i="60" s="1"/>
  <c r="M16" i="60"/>
  <c r="R16" i="60" s="1"/>
  <c r="I16" i="60"/>
  <c r="P16" i="60" s="1"/>
  <c r="B8" i="60"/>
  <c r="B9" i="60" s="1"/>
  <c r="B10" i="60" s="1"/>
  <c r="B11" i="60" s="1"/>
  <c r="B12" i="60" s="1"/>
  <c r="B13" i="60" s="1"/>
  <c r="B14" i="60" s="1"/>
  <c r="B15" i="60" s="1"/>
  <c r="S3" i="254"/>
  <c r="T3" i="254"/>
  <c r="U3" i="254"/>
  <c r="V3" i="254"/>
  <c r="AE3" i="254"/>
  <c r="AF3" i="254"/>
  <c r="AG3" i="254"/>
  <c r="AH3" i="254"/>
  <c r="S4" i="254"/>
  <c r="S5" i="254" s="1"/>
  <c r="AP51" i="254" s="1"/>
  <c r="AT4" i="254"/>
  <c r="AP30" i="254" s="1"/>
  <c r="AU4" i="254"/>
  <c r="AQ30" i="254" s="1"/>
  <c r="AV4" i="254"/>
  <c r="AR30" i="254" s="1"/>
  <c r="AW4" i="254"/>
  <c r="AS30" i="254" s="1"/>
  <c r="AE8" i="254"/>
  <c r="AF8" i="254"/>
  <c r="AG8" i="254"/>
  <c r="AH8" i="254"/>
  <c r="S9" i="254"/>
  <c r="T9" i="254"/>
  <c r="U9" i="254"/>
  <c r="V9" i="254"/>
  <c r="AE9" i="254"/>
  <c r="AF9" i="254"/>
  <c r="AF10" i="254" s="1"/>
  <c r="AG9" i="254"/>
  <c r="AH9" i="254"/>
  <c r="AH10" i="254" s="1"/>
  <c r="S10" i="254"/>
  <c r="S12" i="254" s="1"/>
  <c r="T10" i="254"/>
  <c r="T12" i="254" s="1"/>
  <c r="U10" i="254"/>
  <c r="U12" i="254" s="1"/>
  <c r="V10" i="254"/>
  <c r="V12" i="254" s="1"/>
  <c r="AE11" i="254"/>
  <c r="AF11" i="254"/>
  <c r="AG11" i="254"/>
  <c r="AH11" i="254"/>
  <c r="AE12" i="254"/>
  <c r="AF12" i="254"/>
  <c r="AG12" i="254"/>
  <c r="AH12" i="254"/>
  <c r="Q15" i="254"/>
  <c r="Q16" i="254"/>
  <c r="AE16" i="254"/>
  <c r="AP44" i="254" s="1"/>
  <c r="AF16" i="254"/>
  <c r="AQ44" i="254" s="1"/>
  <c r="AG16" i="254"/>
  <c r="AR44" i="254" s="1"/>
  <c r="AH16" i="254"/>
  <c r="AS44" i="254" s="1"/>
  <c r="Q17" i="254"/>
  <c r="Q18" i="254"/>
  <c r="D107" i="60" s="1"/>
  <c r="AF18" i="254"/>
  <c r="AF19" i="254" s="1"/>
  <c r="AH18" i="254"/>
  <c r="AH19" i="254" s="1"/>
  <c r="Q19" i="254"/>
  <c r="AE19" i="254"/>
  <c r="AG19" i="254"/>
  <c r="AE21" i="254"/>
  <c r="AF21" i="254"/>
  <c r="AG21" i="254"/>
  <c r="AH21" i="254"/>
  <c r="Q24" i="254"/>
  <c r="AF24" i="254"/>
  <c r="AF26" i="254" s="1"/>
  <c r="AH24" i="254"/>
  <c r="AH26" i="254" s="1"/>
  <c r="Q25" i="254"/>
  <c r="AF25" i="254"/>
  <c r="AF27" i="254" s="1"/>
  <c r="AH25" i="254"/>
  <c r="AH27" i="254" s="1"/>
  <c r="G25" i="254"/>
  <c r="G26" i="254" s="1"/>
  <c r="AL8" i="55" s="1"/>
  <c r="H25" i="254"/>
  <c r="H33" i="254" s="1"/>
  <c r="H34" i="254" s="1"/>
  <c r="H35" i="254" s="1"/>
  <c r="I25" i="254"/>
  <c r="I33" i="254" s="1"/>
  <c r="I34" i="254" s="1"/>
  <c r="I35" i="254" s="1"/>
  <c r="AL8" i="256" s="1"/>
  <c r="J25" i="254"/>
  <c r="J33" i="254" s="1"/>
  <c r="J34" i="254" s="1"/>
  <c r="J35" i="254" s="1"/>
  <c r="Q26" i="254"/>
  <c r="D108" i="60" s="1"/>
  <c r="AE26" i="254"/>
  <c r="AG26" i="254"/>
  <c r="Q27" i="254"/>
  <c r="AE27" i="254"/>
  <c r="AG27" i="254"/>
  <c r="AE29" i="254"/>
  <c r="AF29" i="254" s="1"/>
  <c r="AG29" i="254"/>
  <c r="AH29" i="254" s="1"/>
  <c r="AE30" i="254"/>
  <c r="AF30" i="254" s="1"/>
  <c r="AG30" i="254"/>
  <c r="AH30" i="254" s="1"/>
  <c r="G30" i="254"/>
  <c r="H30" i="254"/>
  <c r="I30" i="254"/>
  <c r="J30" i="254"/>
  <c r="Q35" i="254"/>
  <c r="Q36" i="254"/>
  <c r="Q37" i="254"/>
  <c r="Y42" i="254"/>
  <c r="Q38" i="254"/>
  <c r="D109" i="60" s="1"/>
  <c r="R43" i="254"/>
  <c r="T43" i="254"/>
  <c r="V43" i="254"/>
  <c r="R44" i="254"/>
  <c r="T44" i="254"/>
  <c r="V44" i="254"/>
  <c r="AE49" i="254"/>
  <c r="AE58" i="254" s="1"/>
  <c r="F78" i="60" s="1"/>
  <c r="R45" i="254"/>
  <c r="T45" i="254"/>
  <c r="V45" i="254"/>
  <c r="AP45" i="254"/>
  <c r="AQ45" i="254"/>
  <c r="AR45" i="254"/>
  <c r="AS45" i="254"/>
  <c r="G46" i="254"/>
  <c r="H46" i="254"/>
  <c r="I46" i="254"/>
  <c r="J46" i="254"/>
  <c r="AP46" i="254"/>
  <c r="AQ46" i="254"/>
  <c r="AR46" i="254"/>
  <c r="AS46" i="254"/>
  <c r="G47" i="254"/>
  <c r="H47" i="254"/>
  <c r="I47" i="254"/>
  <c r="J47" i="254"/>
  <c r="AE52" i="254"/>
  <c r="AF52" i="254"/>
  <c r="AG52" i="254"/>
  <c r="AH52" i="254"/>
  <c r="AE53" i="254"/>
  <c r="AF53" i="254"/>
  <c r="AG53" i="254"/>
  <c r="AH53" i="254"/>
  <c r="G49" i="254"/>
  <c r="H49" i="254"/>
  <c r="I49" i="254"/>
  <c r="J49" i="254"/>
  <c r="M49" i="254"/>
  <c r="AE54" i="254"/>
  <c r="AF54" i="254"/>
  <c r="AG54" i="254"/>
  <c r="AH54" i="254"/>
  <c r="G50" i="254"/>
  <c r="AP35" i="254" s="1"/>
  <c r="H50" i="254"/>
  <c r="AQ35" i="254" s="1"/>
  <c r="I50" i="254"/>
  <c r="J50" i="254"/>
  <c r="AS35" i="254" s="1"/>
  <c r="D51" i="254"/>
  <c r="AE56" i="254"/>
  <c r="AE57" i="254" s="1"/>
  <c r="AF56" i="254"/>
  <c r="AF57" i="254" s="1"/>
  <c r="AG56" i="254"/>
  <c r="AG57" i="254" s="1"/>
  <c r="AH56" i="254"/>
  <c r="AH57" i="254" s="1"/>
  <c r="D53" i="254"/>
  <c r="AP55" i="254"/>
  <c r="AP73" i="254" s="1"/>
  <c r="AQ55" i="254"/>
  <c r="AQ73" i="254" s="1"/>
  <c r="AR55" i="254"/>
  <c r="AS55" i="254"/>
  <c r="Y63" i="254"/>
  <c r="S61" i="254"/>
  <c r="T61" i="254"/>
  <c r="U61" i="254"/>
  <c r="V61" i="254"/>
  <c r="G63" i="254"/>
  <c r="H63" i="254"/>
  <c r="I63" i="254"/>
  <c r="J63" i="254"/>
  <c r="G64" i="254"/>
  <c r="AP36" i="254" s="1"/>
  <c r="H64" i="254"/>
  <c r="AQ36" i="254" s="1"/>
  <c r="I64" i="254"/>
  <c r="J64" i="254"/>
  <c r="AS36" i="254" s="1"/>
  <c r="AK64" i="254"/>
  <c r="D65" i="254"/>
  <c r="M65" i="254"/>
  <c r="AE70" i="254"/>
  <c r="AE79" i="254" s="1"/>
  <c r="F80" i="60" s="1"/>
  <c r="AF70" i="254"/>
  <c r="AF79" i="254" s="1"/>
  <c r="AG70" i="254"/>
  <c r="AG79" i="254" s="1"/>
  <c r="AH70" i="254"/>
  <c r="AH79" i="254" s="1"/>
  <c r="D67" i="254"/>
  <c r="AE73" i="254"/>
  <c r="AF73" i="254"/>
  <c r="AG73" i="254"/>
  <c r="AH73" i="254"/>
  <c r="AE74" i="254"/>
  <c r="AF74" i="254"/>
  <c r="AG74" i="254"/>
  <c r="AH74" i="254"/>
  <c r="AE75" i="254"/>
  <c r="AF75" i="254"/>
  <c r="AG75" i="254"/>
  <c r="AH75" i="254"/>
  <c r="S71" i="254"/>
  <c r="T71" i="254"/>
  <c r="U71" i="254"/>
  <c r="V71" i="254"/>
  <c r="AE77" i="254"/>
  <c r="AE78" i="254" s="1"/>
  <c r="AF77" i="254"/>
  <c r="AF78" i="254" s="1"/>
  <c r="AG77" i="254"/>
  <c r="AG78" i="254" s="1"/>
  <c r="AH77" i="254"/>
  <c r="AH78" i="254" s="1"/>
  <c r="G75" i="254"/>
  <c r="H75" i="254"/>
  <c r="I75" i="254"/>
  <c r="J75" i="254"/>
  <c r="A78" i="254"/>
  <c r="Q78" i="254"/>
  <c r="Q79" i="254" s="1"/>
  <c r="A79" i="254"/>
  <c r="Y84" i="254"/>
  <c r="A80" i="254"/>
  <c r="A81" i="254"/>
  <c r="M81" i="254"/>
  <c r="A82" i="254"/>
  <c r="A83" i="254"/>
  <c r="G87" i="254"/>
  <c r="H87" i="254"/>
  <c r="AQ39" i="254" s="1"/>
  <c r="I87" i="254"/>
  <c r="AR39" i="254" s="1"/>
  <c r="J87" i="254"/>
  <c r="AS39" i="254" s="1"/>
  <c r="Q87" i="254"/>
  <c r="AE92" i="254"/>
  <c r="AE93" i="254" s="1"/>
  <c r="AF92" i="254"/>
  <c r="AF93" i="254" s="1"/>
  <c r="AG92" i="254"/>
  <c r="AG93" i="254" s="1"/>
  <c r="AH94" i="254" s="1"/>
  <c r="AH92" i="254"/>
  <c r="AH93" i="254" s="1"/>
  <c r="D88" i="254"/>
  <c r="S88" i="254"/>
  <c r="T88" i="254"/>
  <c r="U88" i="254"/>
  <c r="V88" i="254"/>
  <c r="D90" i="254"/>
  <c r="M92" i="254"/>
  <c r="G94" i="254"/>
  <c r="H94" i="254"/>
  <c r="I94" i="254"/>
  <c r="J94" i="254"/>
  <c r="G95" i="254"/>
  <c r="G99" i="254" s="1"/>
  <c r="H95" i="254"/>
  <c r="I95" i="254"/>
  <c r="J95" i="254"/>
  <c r="J99" i="254" s="1"/>
  <c r="AE101" i="254"/>
  <c r="H79" i="55" s="1"/>
  <c r="AF101" i="254"/>
  <c r="AG101" i="254"/>
  <c r="AH101" i="254"/>
  <c r="T99" i="254"/>
  <c r="U99" i="254"/>
  <c r="V99" i="254"/>
  <c r="A102" i="254"/>
  <c r="A103" i="254"/>
  <c r="A104" i="254"/>
  <c r="A105" i="254"/>
  <c r="Q105" i="254"/>
  <c r="Q106" i="254" s="1"/>
  <c r="A106" i="254"/>
  <c r="A107" i="254"/>
  <c r="M108" i="254"/>
  <c r="D110" i="254"/>
  <c r="E110" i="254"/>
  <c r="D111" i="254"/>
  <c r="E111" i="254"/>
  <c r="G112" i="254"/>
  <c r="E20" i="55" s="1"/>
  <c r="H112" i="254"/>
  <c r="AQ40" i="254" s="1"/>
  <c r="I112" i="254"/>
  <c r="AR40" i="254" s="1"/>
  <c r="J112" i="254"/>
  <c r="AS40" i="254" s="1"/>
  <c r="G113" i="254"/>
  <c r="H113" i="254"/>
  <c r="AQ41" i="254" s="1"/>
  <c r="I113" i="254"/>
  <c r="J113" i="254"/>
  <c r="Q114" i="254"/>
  <c r="S115" i="254"/>
  <c r="T115" i="254"/>
  <c r="U115" i="254"/>
  <c r="V115" i="254"/>
  <c r="G116" i="254"/>
  <c r="I116" i="254"/>
  <c r="J116" i="254"/>
  <c r="H119" i="254"/>
  <c r="H116" i="254" s="1"/>
  <c r="M119" i="254"/>
  <c r="S126" i="254"/>
  <c r="T126" i="254"/>
  <c r="U126" i="254"/>
  <c r="V126" i="254"/>
  <c r="Q127" i="254"/>
  <c r="V127" i="254" s="1"/>
  <c r="V53" i="254" s="1"/>
  <c r="G128" i="254"/>
  <c r="H128" i="254"/>
  <c r="I128" i="254"/>
  <c r="J128" i="254"/>
  <c r="Q128" i="254"/>
  <c r="T128" i="254" s="1"/>
  <c r="G135" i="254"/>
  <c r="H135" i="254"/>
  <c r="I135" i="254"/>
  <c r="J135" i="254"/>
  <c r="F136" i="254"/>
  <c r="F140" i="254"/>
  <c r="A145" i="254"/>
  <c r="O145" i="254"/>
  <c r="X145" i="254"/>
  <c r="A146" i="254"/>
  <c r="A147" i="254"/>
  <c r="A148" i="254"/>
  <c r="O148" i="254"/>
  <c r="A149" i="254"/>
  <c r="O149" i="254"/>
  <c r="A154" i="254"/>
  <c r="O154" i="254"/>
  <c r="X154" i="254"/>
  <c r="A155" i="254"/>
  <c r="A156" i="254"/>
  <c r="A157" i="254"/>
  <c r="O157" i="254"/>
  <c r="A158" i="254"/>
  <c r="O158" i="254"/>
  <c r="A163" i="254"/>
  <c r="O163" i="254"/>
  <c r="X163" i="254"/>
  <c r="A164" i="254"/>
  <c r="A165" i="254"/>
  <c r="A166" i="254"/>
  <c r="O166" i="254"/>
  <c r="A167" i="254"/>
  <c r="O167" i="254"/>
  <c r="A172" i="254"/>
  <c r="O172" i="254"/>
  <c r="X172" i="254"/>
  <c r="A173" i="254"/>
  <c r="A174" i="254"/>
  <c r="A175" i="254"/>
  <c r="O175" i="254"/>
  <c r="A176" i="254"/>
  <c r="O176" i="254"/>
  <c r="F22" i="55" l="1"/>
  <c r="C22" i="55"/>
  <c r="E22" i="55"/>
  <c r="D22" i="55"/>
  <c r="B22" i="55"/>
  <c r="H22" i="55"/>
  <c r="G22" i="55"/>
  <c r="U17" i="55"/>
  <c r="AA17" i="55" s="1"/>
  <c r="AL17" i="55" s="1"/>
  <c r="AK17" i="55" s="1"/>
  <c r="O19" i="55"/>
  <c r="T18" i="55"/>
  <c r="AP41" i="254"/>
  <c r="E22" i="56"/>
  <c r="D22" i="56"/>
  <c r="C22" i="56"/>
  <c r="H22" i="56"/>
  <c r="B22" i="56"/>
  <c r="G22" i="56"/>
  <c r="F22" i="56"/>
  <c r="G79" i="55"/>
  <c r="AP40" i="254"/>
  <c r="E20" i="56"/>
  <c r="AA20" i="56" s="1"/>
  <c r="AQ20" i="56" s="1"/>
  <c r="AK20" i="56" s="1"/>
  <c r="AA20" i="55"/>
  <c r="AQ20" i="55" s="1"/>
  <c r="AK20" i="55" s="1"/>
  <c r="AP31" i="254"/>
  <c r="O19" i="56"/>
  <c r="AA19" i="56" s="1"/>
  <c r="AL19" i="56" s="1"/>
  <c r="AK19" i="56" s="1"/>
  <c r="T18" i="56"/>
  <c r="AA18" i="56" s="1"/>
  <c r="AL18" i="56" s="1"/>
  <c r="AK18" i="56" s="1"/>
  <c r="U17" i="56"/>
  <c r="AA17" i="56" s="1"/>
  <c r="AL17" i="56" s="1"/>
  <c r="AK17" i="56" s="1"/>
  <c r="AA18" i="55"/>
  <c r="AL18" i="55" s="1"/>
  <c r="AK18" i="55" s="1"/>
  <c r="AA19" i="55"/>
  <c r="AL19" i="55" s="1"/>
  <c r="AK19" i="55" s="1"/>
  <c r="H79" i="56"/>
  <c r="G79" i="56"/>
  <c r="AA79" i="56" s="1"/>
  <c r="AT79" i="56" s="1"/>
  <c r="AK79" i="56" s="1"/>
  <c r="H40" i="254"/>
  <c r="AF38" i="254" s="1"/>
  <c r="J40" i="254"/>
  <c r="AH38" i="254" s="1"/>
  <c r="AE10" i="254"/>
  <c r="G39" i="254"/>
  <c r="B16" i="60"/>
  <c r="B20" i="60"/>
  <c r="B18" i="60"/>
  <c r="B17" i="60"/>
  <c r="U89" i="254"/>
  <c r="U91" i="254" s="1"/>
  <c r="V18" i="254"/>
  <c r="V21" i="254" s="1"/>
  <c r="U18" i="254"/>
  <c r="U20" i="254" s="1"/>
  <c r="U38" i="254"/>
  <c r="U40" i="254" s="1"/>
  <c r="V38" i="254"/>
  <c r="V40" i="254" s="1"/>
  <c r="T26" i="254"/>
  <c r="T28" i="254" s="1"/>
  <c r="U26" i="254"/>
  <c r="U28" i="254" s="1"/>
  <c r="V26" i="254"/>
  <c r="V28" i="254" s="1"/>
  <c r="S38" i="254"/>
  <c r="S40" i="254" s="1"/>
  <c r="T18" i="254"/>
  <c r="T20" i="254" s="1"/>
  <c r="T38" i="254"/>
  <c r="T40" i="254" s="1"/>
  <c r="O23" i="56" s="1"/>
  <c r="AA23" i="56" s="1"/>
  <c r="AG23" i="56" s="1"/>
  <c r="Q109" i="60"/>
  <c r="AQ49" i="254"/>
  <c r="D379" i="35"/>
  <c r="D380" i="35" s="1"/>
  <c r="D112" i="35"/>
  <c r="AP72" i="254"/>
  <c r="AR49" i="254"/>
  <c r="D114" i="35"/>
  <c r="AS34" i="254"/>
  <c r="AR34" i="254"/>
  <c r="AQ34" i="254"/>
  <c r="AP34" i="254"/>
  <c r="AH82" i="254"/>
  <c r="AH87" i="254" s="1"/>
  <c r="AS72" i="254"/>
  <c r="AR71" i="254"/>
  <c r="S127" i="254"/>
  <c r="S53" i="254" s="1"/>
  <c r="G33" i="254"/>
  <c r="G34" i="254" s="1"/>
  <c r="G35" i="254" s="1"/>
  <c r="AS49" i="254"/>
  <c r="G31" i="254"/>
  <c r="AP71" i="254"/>
  <c r="AS73" i="254"/>
  <c r="AS71" i="254"/>
  <c r="AR73" i="254"/>
  <c r="U127" i="254"/>
  <c r="U53" i="254" s="1"/>
  <c r="AQ71" i="254"/>
  <c r="AP70" i="254"/>
  <c r="U60" i="254"/>
  <c r="AK70" i="254"/>
  <c r="S28" i="254"/>
  <c r="F77" i="60"/>
  <c r="K77" i="60" s="1"/>
  <c r="R84" i="60"/>
  <c r="AS70" i="254"/>
  <c r="G115" i="254"/>
  <c r="AR70" i="254"/>
  <c r="AR72" i="254"/>
  <c r="K84" i="60"/>
  <c r="Q84" i="60" s="1"/>
  <c r="Q95" i="60"/>
  <c r="K104" i="60"/>
  <c r="Q104" i="60" s="1"/>
  <c r="G114" i="254"/>
  <c r="AQ70" i="254"/>
  <c r="AQ72" i="254"/>
  <c r="O84" i="60"/>
  <c r="S84" i="60" s="1"/>
  <c r="J31" i="254"/>
  <c r="I31" i="254"/>
  <c r="O97" i="60"/>
  <c r="S97" i="60" s="1"/>
  <c r="H31" i="254"/>
  <c r="S98" i="60"/>
  <c r="J26" i="254"/>
  <c r="AS31" i="254" s="1"/>
  <c r="M95" i="60"/>
  <c r="R95" i="60" s="1"/>
  <c r="I26" i="254"/>
  <c r="M98" i="60"/>
  <c r="R98" i="60" s="1"/>
  <c r="I115" i="254"/>
  <c r="J114" i="254"/>
  <c r="H26" i="254"/>
  <c r="K97" i="60"/>
  <c r="Q97" i="60" s="1"/>
  <c r="J115" i="254"/>
  <c r="AG94" i="254"/>
  <c r="R97" i="60"/>
  <c r="M78" i="60"/>
  <c r="K78" i="60"/>
  <c r="I78" i="60"/>
  <c r="O78" i="60"/>
  <c r="M80" i="60"/>
  <c r="O80" i="60"/>
  <c r="AF94" i="254"/>
  <c r="AE94" i="254"/>
  <c r="I114" i="254"/>
  <c r="AP49" i="254"/>
  <c r="S96" i="60"/>
  <c r="H114" i="254"/>
  <c r="AE13" i="254"/>
  <c r="F81" i="60"/>
  <c r="I94" i="60"/>
  <c r="P94" i="60" s="1"/>
  <c r="K99" i="60"/>
  <c r="Q99" i="60" s="1"/>
  <c r="K94" i="60"/>
  <c r="Q94" i="60" s="1"/>
  <c r="M96" i="60"/>
  <c r="R96" i="60" s="1"/>
  <c r="M99" i="60"/>
  <c r="R99" i="60" s="1"/>
  <c r="F76" i="60"/>
  <c r="M94" i="60"/>
  <c r="R94" i="60" s="1"/>
  <c r="I98" i="60"/>
  <c r="P98" i="60" s="1"/>
  <c r="O99" i="60"/>
  <c r="S99" i="60" s="1"/>
  <c r="H39" i="254"/>
  <c r="AF32" i="254" s="1"/>
  <c r="K98" i="60"/>
  <c r="Q98" i="60" s="1"/>
  <c r="I104" i="60"/>
  <c r="P104" i="60" s="1"/>
  <c r="Q129" i="254"/>
  <c r="S129" i="254" s="1"/>
  <c r="AS61" i="254"/>
  <c r="I39" i="254"/>
  <c r="F82" i="60"/>
  <c r="I82" i="60" s="1"/>
  <c r="S128" i="254"/>
  <c r="O104" i="60"/>
  <c r="S104" i="60" s="1"/>
  <c r="S94" i="60"/>
  <c r="B21" i="60"/>
  <c r="B22" i="60" s="1"/>
  <c r="B23" i="60" s="1"/>
  <c r="B24" i="60" s="1"/>
  <c r="B25" i="60" s="1"/>
  <c r="B30" i="60" s="1"/>
  <c r="B31" i="60" s="1"/>
  <c r="B32" i="60" s="1"/>
  <c r="I24" i="60"/>
  <c r="P24" i="60" s="1"/>
  <c r="N106" i="60"/>
  <c r="I66" i="254"/>
  <c r="I68" i="254" s="1"/>
  <c r="I69" i="254" s="1"/>
  <c r="I81" i="254" s="1"/>
  <c r="M24" i="60"/>
  <c r="R24" i="60" s="1"/>
  <c r="O60" i="60"/>
  <c r="S60" i="60" s="1"/>
  <c r="M60" i="60"/>
  <c r="R60" i="60" s="1"/>
  <c r="K60" i="60"/>
  <c r="Q60" i="60" s="1"/>
  <c r="K24" i="60"/>
  <c r="Q24" i="60" s="1"/>
  <c r="AE51" i="254"/>
  <c r="I84" i="60"/>
  <c r="P84" i="60" s="1"/>
  <c r="K96" i="60"/>
  <c r="Q96" i="60" s="1"/>
  <c r="I96" i="60"/>
  <c r="P96" i="60" s="1"/>
  <c r="I97" i="60"/>
  <c r="P97" i="60" s="1"/>
  <c r="P99" i="60"/>
  <c r="G89" i="254"/>
  <c r="K80" i="60"/>
  <c r="I80" i="60"/>
  <c r="O95" i="60"/>
  <c r="S95" i="60" s="1"/>
  <c r="I95" i="60"/>
  <c r="P95" i="60" s="1"/>
  <c r="U4" i="254"/>
  <c r="AF72" i="254"/>
  <c r="V87" i="254"/>
  <c r="AP50" i="254"/>
  <c r="T4" i="254"/>
  <c r="T5" i="254" s="1"/>
  <c r="AQ51" i="254" s="1"/>
  <c r="I52" i="254"/>
  <c r="I54" i="254" s="1"/>
  <c r="I55" i="254" s="1"/>
  <c r="U87" i="254"/>
  <c r="T87" i="254"/>
  <c r="AR35" i="254"/>
  <c r="S99" i="254"/>
  <c r="J89" i="254"/>
  <c r="J91" i="254" s="1"/>
  <c r="J92" i="254" s="1"/>
  <c r="J102" i="254" s="1"/>
  <c r="H66" i="254"/>
  <c r="H68" i="254" s="1"/>
  <c r="H69" i="254" s="1"/>
  <c r="H82" i="254" s="1"/>
  <c r="AP39" i="254"/>
  <c r="AE72" i="254"/>
  <c r="H115" i="254"/>
  <c r="AR60" i="254"/>
  <c r="G66" i="254"/>
  <c r="J66" i="254"/>
  <c r="J68" i="254" s="1"/>
  <c r="J69" i="254" s="1"/>
  <c r="J82" i="254" s="1"/>
  <c r="AR36" i="254"/>
  <c r="AE60" i="254"/>
  <c r="T60" i="254"/>
  <c r="AG72" i="254"/>
  <c r="AG51" i="254"/>
  <c r="S116" i="254"/>
  <c r="S117" i="254" s="1"/>
  <c r="AF51" i="254"/>
  <c r="AR61" i="254"/>
  <c r="H89" i="254"/>
  <c r="H91" i="254" s="1"/>
  <c r="H92" i="254" s="1"/>
  <c r="H105" i="254" s="1"/>
  <c r="AF83" i="254"/>
  <c r="AF88" i="254" s="1"/>
  <c r="AE62" i="254"/>
  <c r="AE67" i="254" s="1"/>
  <c r="I89" i="254"/>
  <c r="I91" i="254" s="1"/>
  <c r="I92" i="254" s="1"/>
  <c r="I107" i="254" s="1"/>
  <c r="AH51" i="254"/>
  <c r="S18" i="254"/>
  <c r="S20" i="254" s="1"/>
  <c r="AH72" i="254"/>
  <c r="AR41" i="254"/>
  <c r="V89" i="254"/>
  <c r="V91" i="254" s="1"/>
  <c r="J39" i="254"/>
  <c r="AH32" i="254" s="1"/>
  <c r="AF14" i="254"/>
  <c r="AE14" i="254"/>
  <c r="AG13" i="254"/>
  <c r="AG10" i="254"/>
  <c r="AG32" i="254" s="1"/>
  <c r="AH81" i="254"/>
  <c r="AH86" i="254" s="1"/>
  <c r="AH83" i="254"/>
  <c r="AH88" i="254" s="1"/>
  <c r="AG82" i="254"/>
  <c r="AG87" i="254" s="1"/>
  <c r="AG81" i="254"/>
  <c r="AG83" i="254"/>
  <c r="AG88" i="254" s="1"/>
  <c r="AF81" i="254"/>
  <c r="AF86" i="254" s="1"/>
  <c r="V116" i="254"/>
  <c r="AE61" i="254"/>
  <c r="AE66" i="254" s="1"/>
  <c r="I72" i="55" s="1"/>
  <c r="AF13" i="254"/>
  <c r="U116" i="254"/>
  <c r="T116" i="254"/>
  <c r="AG14" i="254"/>
  <c r="AF49" i="254"/>
  <c r="I99" i="254"/>
  <c r="T89" i="254"/>
  <c r="AQ61" i="254"/>
  <c r="D83" i="254"/>
  <c r="AQ60" i="254"/>
  <c r="H99" i="254"/>
  <c r="S89" i="254"/>
  <c r="AP61" i="254"/>
  <c r="S87" i="254"/>
  <c r="T127" i="254"/>
  <c r="T53" i="254" s="1"/>
  <c r="V60" i="254"/>
  <c r="AS60" i="254"/>
  <c r="U128" i="254"/>
  <c r="V128" i="254"/>
  <c r="AE83" i="254"/>
  <c r="AE88" i="254" s="1"/>
  <c r="AE81" i="254"/>
  <c r="AE86" i="254" s="1"/>
  <c r="AE82" i="254"/>
  <c r="AE87" i="254" s="1"/>
  <c r="AF82" i="254"/>
  <c r="AF87" i="254" s="1"/>
  <c r="AS41" i="254"/>
  <c r="J52" i="254"/>
  <c r="J54" i="254" s="1"/>
  <c r="J55" i="254" s="1"/>
  <c r="H52" i="254"/>
  <c r="G52" i="254"/>
  <c r="D1" i="256"/>
  <c r="AB3" i="256"/>
  <c r="AA8" i="256"/>
  <c r="AM8" i="256"/>
  <c r="AN8" i="256"/>
  <c r="AO8" i="256"/>
  <c r="AQ8" i="256"/>
  <c r="AR8" i="256"/>
  <c r="AS8" i="256"/>
  <c r="AT8" i="256"/>
  <c r="AA9" i="256"/>
  <c r="AL9" i="256"/>
  <c r="AK9" i="256" s="1"/>
  <c r="AH9" i="256" s="1"/>
  <c r="AG9" i="256" s="1"/>
  <c r="AA10" i="256"/>
  <c r="AL10" i="256"/>
  <c r="AK10" i="256" s="1"/>
  <c r="AH10" i="256" s="1"/>
  <c r="AG10" i="256" s="1"/>
  <c r="AK12" i="256"/>
  <c r="B13" i="256"/>
  <c r="AA13" i="256" s="1"/>
  <c r="V22" i="256"/>
  <c r="AK23" i="256"/>
  <c r="AK24" i="256"/>
  <c r="AK25" i="256"/>
  <c r="N26" i="256"/>
  <c r="N81" i="256" s="1"/>
  <c r="N82" i="256" s="1"/>
  <c r="AK26" i="256"/>
  <c r="AK27" i="256"/>
  <c r="AA28" i="256"/>
  <c r="R28" i="256" s="1"/>
  <c r="AK28" i="256"/>
  <c r="AA29" i="256"/>
  <c r="AI29" i="256" s="1"/>
  <c r="AK29" i="256"/>
  <c r="AA30" i="256"/>
  <c r="AI30" i="256" s="1"/>
  <c r="AK30" i="256"/>
  <c r="AE31" i="256"/>
  <c r="AI31" i="256" s="1"/>
  <c r="Q31" i="256" s="1"/>
  <c r="AA31" i="256" s="1"/>
  <c r="AG31" i="256"/>
  <c r="AK31" i="256"/>
  <c r="AA32" i="256"/>
  <c r="AG32" i="256"/>
  <c r="AI32" i="256"/>
  <c r="AK32" i="256"/>
  <c r="AA33" i="256"/>
  <c r="AF33" i="256"/>
  <c r="AA34" i="256"/>
  <c r="AG34" i="256" s="1"/>
  <c r="AK34" i="256"/>
  <c r="AA35" i="256"/>
  <c r="AI35" i="256" s="1"/>
  <c r="AK35" i="256"/>
  <c r="AA36" i="256"/>
  <c r="AF36" i="256"/>
  <c r="AK37" i="256"/>
  <c r="AK38" i="256"/>
  <c r="AE39" i="256"/>
  <c r="AK39" i="256"/>
  <c r="AA40" i="256"/>
  <c r="AK40" i="256"/>
  <c r="AK41" i="256"/>
  <c r="AA42" i="256"/>
  <c r="AG42" i="256" s="1"/>
  <c r="AK42" i="256"/>
  <c r="AA43" i="256"/>
  <c r="AF43" i="256"/>
  <c r="AA44" i="256"/>
  <c r="AG44" i="256" s="1"/>
  <c r="AK44" i="256"/>
  <c r="AA45" i="256"/>
  <c r="AG45" i="256"/>
  <c r="AK45" i="256"/>
  <c r="Q46" i="256"/>
  <c r="AA46" i="256" s="1"/>
  <c r="AG46" i="256"/>
  <c r="AK46" i="256"/>
  <c r="AA47" i="256"/>
  <c r="AG47" i="256"/>
  <c r="AK47" i="256"/>
  <c r="AA48" i="256"/>
  <c r="AK48" i="256"/>
  <c r="AA49" i="256"/>
  <c r="AG49" i="256" s="1"/>
  <c r="AK49" i="256"/>
  <c r="AA50" i="256"/>
  <c r="AI50" i="256" s="1"/>
  <c r="AK50" i="256"/>
  <c r="AA51" i="256"/>
  <c r="AI51" i="256" s="1"/>
  <c r="AF51" i="256"/>
  <c r="AA52" i="256"/>
  <c r="AI52" i="256" s="1"/>
  <c r="AK52" i="256"/>
  <c r="AA53" i="256"/>
  <c r="AI53" i="256" s="1"/>
  <c r="AK53" i="256"/>
  <c r="AA54" i="256"/>
  <c r="AG54" i="256" s="1"/>
  <c r="AK54" i="256"/>
  <c r="AA55" i="256"/>
  <c r="AG55" i="256"/>
  <c r="AQ55" i="256"/>
  <c r="AK55" i="256" s="1"/>
  <c r="AA56" i="256"/>
  <c r="AQ56" i="256"/>
  <c r="AK56" i="256" s="1"/>
  <c r="AG57" i="256"/>
  <c r="AI57" i="256"/>
  <c r="AK57" i="256"/>
  <c r="AA58" i="256"/>
  <c r="AK58" i="256"/>
  <c r="AA59" i="256"/>
  <c r="AG59" i="256"/>
  <c r="AI59" i="256"/>
  <c r="AJ59" i="256" s="1"/>
  <c r="AK59" i="256"/>
  <c r="AA60" i="256"/>
  <c r="AF60" i="256"/>
  <c r="I63" i="256"/>
  <c r="AA63" i="256" s="1"/>
  <c r="AT63" i="256" s="1"/>
  <c r="AK63" i="256" s="1"/>
  <c r="AA64" i="256"/>
  <c r="S65" i="256"/>
  <c r="H65" i="256" s="1"/>
  <c r="AH65" i="256"/>
  <c r="AT65" i="256" s="1"/>
  <c r="AK65" i="256" s="1"/>
  <c r="AA66" i="256"/>
  <c r="AT66" i="256" s="1"/>
  <c r="AK66" i="256" s="1"/>
  <c r="AG67" i="256"/>
  <c r="AA70" i="256"/>
  <c r="AA74" i="256"/>
  <c r="S76" i="256"/>
  <c r="F76" i="256" s="1"/>
  <c r="AT76" i="256"/>
  <c r="AK76" i="256" s="1"/>
  <c r="AA78" i="256"/>
  <c r="D80" i="256"/>
  <c r="F80" i="256"/>
  <c r="L81" i="256"/>
  <c r="P81" i="256"/>
  <c r="P82" i="256" s="1"/>
  <c r="Y81" i="256"/>
  <c r="Y82" i="256" s="1"/>
  <c r="R83" i="256"/>
  <c r="S83" i="256"/>
  <c r="T83" i="256"/>
  <c r="U83" i="256"/>
  <c r="M84" i="256"/>
  <c r="N84" i="256"/>
  <c r="O84" i="256"/>
  <c r="P84" i="256"/>
  <c r="Q84" i="256"/>
  <c r="V84" i="256"/>
  <c r="W84" i="256"/>
  <c r="X84" i="256"/>
  <c r="Y84" i="256"/>
  <c r="Z84" i="256"/>
  <c r="B86" i="256"/>
  <c r="C86" i="256"/>
  <c r="D86" i="256"/>
  <c r="E86" i="256"/>
  <c r="F86" i="256"/>
  <c r="G86" i="256"/>
  <c r="H86" i="256"/>
  <c r="I86" i="256"/>
  <c r="M86" i="256"/>
  <c r="N86" i="256"/>
  <c r="O86" i="256"/>
  <c r="P86" i="256"/>
  <c r="Q86" i="256"/>
  <c r="R86" i="256"/>
  <c r="S86" i="256"/>
  <c r="T86" i="256"/>
  <c r="U86" i="256"/>
  <c r="V86" i="256"/>
  <c r="W86" i="256"/>
  <c r="X86" i="256"/>
  <c r="Y86" i="256"/>
  <c r="Z86" i="256"/>
  <c r="D1" i="255"/>
  <c r="AB3" i="255"/>
  <c r="AA8" i="255"/>
  <c r="AM8" i="255"/>
  <c r="AN8" i="255"/>
  <c r="AO8" i="255"/>
  <c r="AQ8" i="255"/>
  <c r="AR8" i="255"/>
  <c r="AS8" i="255"/>
  <c r="AT8" i="255"/>
  <c r="AA9" i="255"/>
  <c r="AL9" i="255"/>
  <c r="AK9" i="255" s="1"/>
  <c r="AH9" i="255" s="1"/>
  <c r="AG9" i="255" s="1"/>
  <c r="AA10" i="255"/>
  <c r="AL10" i="255"/>
  <c r="AK10" i="255" s="1"/>
  <c r="AH10" i="255" s="1"/>
  <c r="AG10" i="255" s="1"/>
  <c r="AK12" i="255"/>
  <c r="B13" i="255"/>
  <c r="AA13" i="255" s="1"/>
  <c r="AT13" i="255" s="1"/>
  <c r="V22" i="255"/>
  <c r="AK23" i="255"/>
  <c r="AK24" i="255"/>
  <c r="AK25" i="255"/>
  <c r="N26" i="255"/>
  <c r="AA26" i="255" s="1"/>
  <c r="AG26" i="255" s="1"/>
  <c r="AK26" i="255"/>
  <c r="AK27" i="255"/>
  <c r="AA28" i="255"/>
  <c r="W28" i="255" s="1"/>
  <c r="AK28" i="255"/>
  <c r="AA29" i="255"/>
  <c r="AG29" i="255" s="1"/>
  <c r="AK29" i="255"/>
  <c r="AA30" i="255"/>
  <c r="AI30" i="255" s="1"/>
  <c r="AK30" i="255"/>
  <c r="AE31" i="255"/>
  <c r="AI31" i="255" s="1"/>
  <c r="Q31" i="255" s="1"/>
  <c r="AA31" i="255" s="1"/>
  <c r="AG31" i="255"/>
  <c r="AK31" i="255"/>
  <c r="AA32" i="255"/>
  <c r="AG32" i="255"/>
  <c r="AI32" i="255"/>
  <c r="AK32" i="255"/>
  <c r="AA33" i="255"/>
  <c r="AF33" i="255"/>
  <c r="AA34" i="255"/>
  <c r="AG34" i="255" s="1"/>
  <c r="AK34" i="255"/>
  <c r="AA35" i="255"/>
  <c r="AG35" i="255" s="1"/>
  <c r="AK35" i="255"/>
  <c r="AA36" i="255"/>
  <c r="AF36" i="255"/>
  <c r="AK37" i="255"/>
  <c r="AK38" i="255"/>
  <c r="AE39" i="255"/>
  <c r="AK39" i="255"/>
  <c r="AA40" i="255"/>
  <c r="AK40" i="255"/>
  <c r="AK41" i="255"/>
  <c r="AA42" i="255"/>
  <c r="AG42" i="255" s="1"/>
  <c r="AK42" i="255"/>
  <c r="AA43" i="255"/>
  <c r="AF43" i="255"/>
  <c r="AA44" i="255"/>
  <c r="AG44" i="255" s="1"/>
  <c r="AK44" i="255"/>
  <c r="AA45" i="255"/>
  <c r="AI45" i="255" s="1"/>
  <c r="AG45" i="255"/>
  <c r="AK45" i="255"/>
  <c r="AG46" i="255"/>
  <c r="AI46" i="255"/>
  <c r="Q46" i="255" s="1"/>
  <c r="AA46" i="255" s="1"/>
  <c r="AK46" i="255"/>
  <c r="AA47" i="255"/>
  <c r="AI47" i="255" s="1"/>
  <c r="AG47" i="255"/>
  <c r="AK47" i="255"/>
  <c r="AA48" i="255"/>
  <c r="AI48" i="255" s="1"/>
  <c r="AK48" i="255"/>
  <c r="AA49" i="255"/>
  <c r="AG49" i="255" s="1"/>
  <c r="AK49" i="255"/>
  <c r="AA50" i="255"/>
  <c r="AI50" i="255" s="1"/>
  <c r="AK50" i="255"/>
  <c r="AA51" i="255"/>
  <c r="AI51" i="255" s="1"/>
  <c r="AF51" i="255"/>
  <c r="AA52" i="255"/>
  <c r="AG52" i="255" s="1"/>
  <c r="AK52" i="255"/>
  <c r="AA53" i="255"/>
  <c r="AG53" i="255" s="1"/>
  <c r="AK53" i="255"/>
  <c r="AA54" i="255"/>
  <c r="AG54" i="255" s="1"/>
  <c r="AK54" i="255"/>
  <c r="AA55" i="255"/>
  <c r="AG55" i="255"/>
  <c r="AQ55" i="255"/>
  <c r="AK55" i="255" s="1"/>
  <c r="AA56" i="255"/>
  <c r="AQ56" i="255"/>
  <c r="AK56" i="255" s="1"/>
  <c r="AG57" i="255"/>
  <c r="AI57" i="255"/>
  <c r="AK57" i="255"/>
  <c r="AA58" i="255"/>
  <c r="AK58" i="255"/>
  <c r="AA59" i="255"/>
  <c r="AG59" i="255"/>
  <c r="AI59" i="255"/>
  <c r="AJ59" i="255" s="1"/>
  <c r="AK59" i="255"/>
  <c r="AA60" i="255"/>
  <c r="AF60" i="255"/>
  <c r="I63" i="255"/>
  <c r="AA63" i="255" s="1"/>
  <c r="AT63" i="255" s="1"/>
  <c r="AK63" i="255" s="1"/>
  <c r="AA64" i="255"/>
  <c r="S65" i="255"/>
  <c r="H65" i="255" s="1"/>
  <c r="AH65" i="255"/>
  <c r="AG65" i="255" s="1"/>
  <c r="AA66" i="255"/>
  <c r="AT66" i="255" s="1"/>
  <c r="AK66" i="255" s="1"/>
  <c r="AG67" i="255"/>
  <c r="AA70" i="255"/>
  <c r="AA74" i="255"/>
  <c r="S76" i="255"/>
  <c r="F76" i="255" s="1"/>
  <c r="AT76" i="255"/>
  <c r="AK76" i="255" s="1"/>
  <c r="AA78" i="255"/>
  <c r="D80" i="255"/>
  <c r="F80" i="255"/>
  <c r="L81" i="255"/>
  <c r="P81" i="255"/>
  <c r="P82" i="255" s="1"/>
  <c r="Y81" i="255"/>
  <c r="Y82" i="255" s="1"/>
  <c r="R83" i="255"/>
  <c r="S83" i="255"/>
  <c r="T83" i="255"/>
  <c r="U83" i="255"/>
  <c r="M84" i="255"/>
  <c r="N84" i="255"/>
  <c r="O84" i="255"/>
  <c r="P84" i="255"/>
  <c r="Q84" i="255"/>
  <c r="V84" i="255"/>
  <c r="W84" i="255"/>
  <c r="X84" i="255"/>
  <c r="Y84" i="255"/>
  <c r="Z84" i="255"/>
  <c r="B86" i="255"/>
  <c r="C86" i="255"/>
  <c r="D86" i="255"/>
  <c r="E86" i="255"/>
  <c r="F86" i="255"/>
  <c r="G86" i="255"/>
  <c r="H86" i="255"/>
  <c r="I86" i="255"/>
  <c r="M86" i="255"/>
  <c r="N86" i="255"/>
  <c r="O86" i="255"/>
  <c r="P86" i="255"/>
  <c r="Q86" i="255"/>
  <c r="R86" i="255"/>
  <c r="S86" i="255"/>
  <c r="T86" i="255"/>
  <c r="U86" i="255"/>
  <c r="V86" i="255"/>
  <c r="W86" i="255"/>
  <c r="X86" i="255"/>
  <c r="Y86" i="255"/>
  <c r="Z86" i="255"/>
  <c r="O23" i="55" l="1"/>
  <c r="AA23" i="55" s="1"/>
  <c r="AG23" i="55" s="1"/>
  <c r="J57" i="55"/>
  <c r="AA57" i="55" s="1"/>
  <c r="J57" i="56"/>
  <c r="AA57" i="56" s="1"/>
  <c r="I72" i="56"/>
  <c r="AA72" i="56" s="1"/>
  <c r="AT72" i="56" s="1"/>
  <c r="AK72" i="56" s="1"/>
  <c r="AA72" i="55"/>
  <c r="AT72" i="55" s="1"/>
  <c r="AK72" i="55" s="1"/>
  <c r="AQ31" i="254"/>
  <c r="AL8" i="56"/>
  <c r="I68" i="56"/>
  <c r="AA68" i="56" s="1"/>
  <c r="AT68" i="56" s="1"/>
  <c r="AK68" i="56" s="1"/>
  <c r="I68" i="55"/>
  <c r="AA68" i="55" s="1"/>
  <c r="AT68" i="55" s="1"/>
  <c r="AK68" i="55" s="1"/>
  <c r="M25" i="56"/>
  <c r="AA25" i="56" s="1"/>
  <c r="AG25" i="56" s="1"/>
  <c r="M25" i="55"/>
  <c r="AA25" i="55" s="1"/>
  <c r="AG25" i="55" s="1"/>
  <c r="AA79" i="55"/>
  <c r="AT79" i="55" s="1"/>
  <c r="AK79" i="55" s="1"/>
  <c r="J69" i="56"/>
  <c r="AA69" i="56" s="1"/>
  <c r="AT69" i="56" s="1"/>
  <c r="AK69" i="56" s="1"/>
  <c r="J69" i="55"/>
  <c r="AA69" i="55" s="1"/>
  <c r="AT69" i="55" s="1"/>
  <c r="AK69" i="55" s="1"/>
  <c r="G91" i="254"/>
  <c r="G92" i="254" s="1"/>
  <c r="G102" i="254" s="1"/>
  <c r="I21" i="55"/>
  <c r="AA21" i="55" s="1"/>
  <c r="AQ21" i="55" s="1"/>
  <c r="AK21" i="55" s="1"/>
  <c r="I21" i="56"/>
  <c r="AA21" i="56" s="1"/>
  <c r="AQ21" i="56" s="1"/>
  <c r="AK21" i="56" s="1"/>
  <c r="G68" i="254"/>
  <c r="G69" i="254" s="1"/>
  <c r="G83" i="254" s="1"/>
  <c r="I15" i="56"/>
  <c r="AA15" i="56" s="1"/>
  <c r="AL15" i="56" s="1"/>
  <c r="AK15" i="56" s="1"/>
  <c r="I15" i="55"/>
  <c r="AA15" i="55" s="1"/>
  <c r="AL15" i="55" s="1"/>
  <c r="AK15" i="55" s="1"/>
  <c r="J73" i="56"/>
  <c r="AA73" i="56" s="1"/>
  <c r="AT73" i="56" s="1"/>
  <c r="AK73" i="56" s="1"/>
  <c r="J73" i="55"/>
  <c r="AA73" i="55" s="1"/>
  <c r="AT73" i="55" s="1"/>
  <c r="AK73" i="55" s="1"/>
  <c r="G54" i="254"/>
  <c r="G55" i="254" s="1"/>
  <c r="G59" i="254" s="1"/>
  <c r="E14" i="55"/>
  <c r="AA14" i="55" s="1"/>
  <c r="AL14" i="55" s="1"/>
  <c r="AK14" i="55" s="1"/>
  <c r="AH70" i="56"/>
  <c r="AH70" i="55"/>
  <c r="H54" i="254"/>
  <c r="H55" i="254" s="1"/>
  <c r="H59" i="254" s="1"/>
  <c r="E14" i="56"/>
  <c r="AA14" i="56" s="1"/>
  <c r="AL14" i="56" s="1"/>
  <c r="AK14" i="56" s="1"/>
  <c r="AE32" i="254"/>
  <c r="AH40" i="254"/>
  <c r="AH39" i="254"/>
  <c r="AF40" i="254"/>
  <c r="AF39" i="254"/>
  <c r="AF34" i="254"/>
  <c r="G40" i="254"/>
  <c r="AE38" i="254" s="1"/>
  <c r="F87" i="60" s="1"/>
  <c r="I40" i="254"/>
  <c r="U90" i="254"/>
  <c r="D709" i="35"/>
  <c r="D729" i="35" s="1"/>
  <c r="T21" i="254"/>
  <c r="M24" i="56" s="1"/>
  <c r="AA24" i="56" s="1"/>
  <c r="AG24" i="56" s="1"/>
  <c r="U95" i="254"/>
  <c r="U93" i="254"/>
  <c r="U94" i="254"/>
  <c r="U21" i="254"/>
  <c r="D872" i="35"/>
  <c r="D873" i="35" s="1"/>
  <c r="H79" i="254"/>
  <c r="H78" i="254"/>
  <c r="V20" i="254"/>
  <c r="AR31" i="254"/>
  <c r="G122" i="254"/>
  <c r="U22" i="55" s="1"/>
  <c r="G121" i="254"/>
  <c r="D148" i="35"/>
  <c r="V129" i="254"/>
  <c r="U129" i="254"/>
  <c r="G123" i="254"/>
  <c r="I22" i="55" s="1"/>
  <c r="N81" i="255"/>
  <c r="N82" i="255" s="1"/>
  <c r="I123" i="254"/>
  <c r="J78" i="254"/>
  <c r="I121" i="254"/>
  <c r="AP8" i="256" s="1"/>
  <c r="I122" i="254"/>
  <c r="H121" i="254"/>
  <c r="AP8" i="56" s="1"/>
  <c r="O82" i="60"/>
  <c r="O77" i="60"/>
  <c r="M77" i="60"/>
  <c r="I77" i="60"/>
  <c r="T129" i="254"/>
  <c r="J121" i="254"/>
  <c r="AI44" i="255"/>
  <c r="K82" i="60"/>
  <c r="S60" i="254"/>
  <c r="AP60" i="254"/>
  <c r="AG29" i="256"/>
  <c r="AI49" i="255"/>
  <c r="AG35" i="256"/>
  <c r="AA26" i="256"/>
  <c r="AG26" i="256" s="1"/>
  <c r="J122" i="254"/>
  <c r="AA80" i="255"/>
  <c r="AT80" i="255" s="1"/>
  <c r="AK80" i="255" s="1"/>
  <c r="G105" i="254"/>
  <c r="AA83" i="255"/>
  <c r="H122" i="254"/>
  <c r="J123" i="254"/>
  <c r="I83" i="254"/>
  <c r="I133" i="254" s="1"/>
  <c r="D167" i="254" s="1"/>
  <c r="AH33" i="254"/>
  <c r="AH34" i="254"/>
  <c r="T28" i="255"/>
  <c r="AG52" i="256"/>
  <c r="H81" i="254"/>
  <c r="R28" i="255"/>
  <c r="H80" i="254"/>
  <c r="I82" i="254"/>
  <c r="I78" i="254"/>
  <c r="O81" i="60"/>
  <c r="M81" i="60"/>
  <c r="K81" i="60"/>
  <c r="I81" i="60"/>
  <c r="H104" i="254"/>
  <c r="I79" i="254"/>
  <c r="I80" i="254"/>
  <c r="O76" i="60"/>
  <c r="M76" i="60"/>
  <c r="K76" i="60"/>
  <c r="I76" i="60"/>
  <c r="T28" i="256"/>
  <c r="AG53" i="256"/>
  <c r="M82" i="60"/>
  <c r="J80" i="254"/>
  <c r="I103" i="254"/>
  <c r="H123" i="254"/>
  <c r="I106" i="254"/>
  <c r="J79" i="254"/>
  <c r="J83" i="254"/>
  <c r="AE59" i="254"/>
  <c r="AE64" i="254" s="1"/>
  <c r="AA71" i="55" s="1"/>
  <c r="B27" i="60"/>
  <c r="B28" i="60"/>
  <c r="B26" i="60"/>
  <c r="J104" i="254"/>
  <c r="H83" i="254"/>
  <c r="S21" i="254"/>
  <c r="M24" i="55" s="1"/>
  <c r="AA24" i="55" s="1"/>
  <c r="AG24" i="55" s="1"/>
  <c r="S118" i="254"/>
  <c r="AR50" i="254"/>
  <c r="U5" i="254"/>
  <c r="AR51" i="254" s="1"/>
  <c r="S120" i="254"/>
  <c r="G80" i="254"/>
  <c r="J81" i="254"/>
  <c r="AQ50" i="254"/>
  <c r="I105" i="254"/>
  <c r="I104" i="254"/>
  <c r="S122" i="254"/>
  <c r="V94" i="254"/>
  <c r="S121" i="254"/>
  <c r="G82" i="254"/>
  <c r="J103" i="254"/>
  <c r="G79" i="254"/>
  <c r="G78" i="254"/>
  <c r="I102" i="254"/>
  <c r="AE65" i="254"/>
  <c r="G81" i="254"/>
  <c r="J107" i="254"/>
  <c r="V4" i="254"/>
  <c r="AH80" i="254"/>
  <c r="AH85" i="254" s="1"/>
  <c r="H102" i="254"/>
  <c r="H103" i="254"/>
  <c r="H106" i="254"/>
  <c r="H132" i="254" s="1"/>
  <c r="H107" i="254"/>
  <c r="J106" i="254"/>
  <c r="J105" i="254"/>
  <c r="V95" i="254"/>
  <c r="V93" i="254"/>
  <c r="V90" i="254"/>
  <c r="AG80" i="254"/>
  <c r="AG85" i="254" s="1"/>
  <c r="AF33" i="254"/>
  <c r="AG86" i="254"/>
  <c r="AF58" i="254"/>
  <c r="AG49" i="254"/>
  <c r="U118" i="254"/>
  <c r="U120" i="254"/>
  <c r="U121" i="254"/>
  <c r="U117" i="254"/>
  <c r="U122" i="254"/>
  <c r="V122" i="254"/>
  <c r="V118" i="254"/>
  <c r="V120" i="254"/>
  <c r="V121" i="254"/>
  <c r="V117" i="254"/>
  <c r="T118" i="254"/>
  <c r="T121" i="254"/>
  <c r="T122" i="254"/>
  <c r="T120" i="254"/>
  <c r="T117" i="254"/>
  <c r="H60" i="254"/>
  <c r="V16" i="56" s="1"/>
  <c r="AA16" i="56" s="1"/>
  <c r="AL16" i="56" s="1"/>
  <c r="AK16" i="56" s="1"/>
  <c r="J59" i="254"/>
  <c r="AH120" i="254" s="1"/>
  <c r="J60" i="254"/>
  <c r="AF80" i="254"/>
  <c r="AF85" i="254" s="1"/>
  <c r="AA67" i="56" s="1"/>
  <c r="T93" i="254"/>
  <c r="T94" i="254"/>
  <c r="T95" i="254"/>
  <c r="T90" i="254"/>
  <c r="T91" i="254"/>
  <c r="I59" i="254"/>
  <c r="AG120" i="254" s="1"/>
  <c r="I60" i="254"/>
  <c r="S90" i="254"/>
  <c r="S95" i="254"/>
  <c r="S94" i="254"/>
  <c r="S93" i="254"/>
  <c r="S91" i="254"/>
  <c r="AJ51" i="255"/>
  <c r="AR51" i="255" s="1"/>
  <c r="AE80" i="254"/>
  <c r="AE85" i="254" s="1"/>
  <c r="AA67" i="55" s="1"/>
  <c r="AJ57" i="256"/>
  <c r="AJ51" i="256"/>
  <c r="AN51" i="256" s="1"/>
  <c r="AJ57" i="255"/>
  <c r="AI33" i="256"/>
  <c r="AJ33" i="256" s="1"/>
  <c r="AO33" i="256" s="1"/>
  <c r="AI35" i="255"/>
  <c r="AI29" i="255"/>
  <c r="AI33" i="255" s="1"/>
  <c r="AJ33" i="255" s="1"/>
  <c r="AI28" i="256"/>
  <c r="AG28" i="256"/>
  <c r="AI53" i="255"/>
  <c r="AA80" i="256"/>
  <c r="AT80" i="256" s="1"/>
  <c r="AK80" i="256" s="1"/>
  <c r="AI34" i="256"/>
  <c r="AI36" i="256" s="1"/>
  <c r="AJ36" i="256" s="1"/>
  <c r="AN36" i="256" s="1"/>
  <c r="W28" i="256"/>
  <c r="AT13" i="256"/>
  <c r="AQ13" i="256"/>
  <c r="AL13" i="256"/>
  <c r="AA83" i="256"/>
  <c r="AG65" i="256"/>
  <c r="S28" i="256"/>
  <c r="AI49" i="256"/>
  <c r="AQ13" i="255"/>
  <c r="AT65" i="255"/>
  <c r="AK65" i="255" s="1"/>
  <c r="S28" i="255"/>
  <c r="AL13" i="255"/>
  <c r="AI34" i="255"/>
  <c r="AI28" i="255"/>
  <c r="AG28" i="255"/>
  <c r="AI52" i="255"/>
  <c r="G103" i="254" l="1"/>
  <c r="G106" i="254"/>
  <c r="G107" i="254"/>
  <c r="G133" i="254" s="1"/>
  <c r="D149" i="254" s="1"/>
  <c r="AH46" i="55" s="1"/>
  <c r="G104" i="254"/>
  <c r="AH11" i="55"/>
  <c r="AL11" i="55" s="1"/>
  <c r="AK11" i="55" s="1"/>
  <c r="Q11" i="55" s="1"/>
  <c r="AA11" i="55" s="1"/>
  <c r="AP8" i="55"/>
  <c r="AK8" i="55" s="1"/>
  <c r="AH8" i="55" s="1"/>
  <c r="U45" i="56"/>
  <c r="AI46" i="56"/>
  <c r="I45" i="55"/>
  <c r="AI51" i="56"/>
  <c r="AJ51" i="56" s="1"/>
  <c r="AI51" i="55"/>
  <c r="AJ51" i="55" s="1"/>
  <c r="AI45" i="56"/>
  <c r="AI44" i="56"/>
  <c r="I44" i="56" s="1"/>
  <c r="AA44" i="56" s="1"/>
  <c r="AG44" i="56" s="1"/>
  <c r="X45" i="55"/>
  <c r="AI47" i="56"/>
  <c r="AH47" i="56" s="1"/>
  <c r="AI44" i="55"/>
  <c r="I44" i="55" s="1"/>
  <c r="AA44" i="55" s="1"/>
  <c r="AG44" i="55" s="1"/>
  <c r="AI48" i="55"/>
  <c r="X45" i="56"/>
  <c r="AI46" i="55"/>
  <c r="AH46" i="56"/>
  <c r="AK8" i="56"/>
  <c r="AH8" i="56" s="1"/>
  <c r="AH11" i="56"/>
  <c r="AH74" i="55"/>
  <c r="AH74" i="56"/>
  <c r="S71" i="55"/>
  <c r="F71" i="55" s="1"/>
  <c r="AT71" i="55"/>
  <c r="AK71" i="55" s="1"/>
  <c r="AT70" i="55"/>
  <c r="AK70" i="55" s="1"/>
  <c r="S67" i="56"/>
  <c r="F67" i="56" s="1"/>
  <c r="AT67" i="56"/>
  <c r="AK67" i="56" s="1"/>
  <c r="AT70" i="56"/>
  <c r="AK70" i="56" s="1"/>
  <c r="S67" i="55"/>
  <c r="F67" i="55" s="1"/>
  <c r="AT67" i="55"/>
  <c r="AK67" i="55" s="1"/>
  <c r="G60" i="254"/>
  <c r="I22" i="56"/>
  <c r="U22" i="56"/>
  <c r="AF120" i="254"/>
  <c r="O87" i="60"/>
  <c r="S87" i="60" s="1"/>
  <c r="M87" i="60"/>
  <c r="R87" i="60" s="1"/>
  <c r="K87" i="60"/>
  <c r="Q87" i="60" s="1"/>
  <c r="I87" i="60"/>
  <c r="P87" i="60" s="1"/>
  <c r="AE120" i="254"/>
  <c r="AG33" i="254"/>
  <c r="AG38" i="254"/>
  <c r="AF43" i="254"/>
  <c r="AE40" i="254"/>
  <c r="AE39" i="254"/>
  <c r="AH43" i="254"/>
  <c r="AE34" i="254"/>
  <c r="AE33" i="254"/>
  <c r="F73" i="60"/>
  <c r="O73" i="60" s="1"/>
  <c r="F74" i="60"/>
  <c r="K74" i="60" s="1"/>
  <c r="AH35" i="254"/>
  <c r="AH44" i="254" s="1"/>
  <c r="B33" i="60"/>
  <c r="B34" i="60" s="1"/>
  <c r="B35" i="60" s="1"/>
  <c r="B36" i="60" s="1"/>
  <c r="B37" i="60" s="1"/>
  <c r="G131" i="254"/>
  <c r="D147" i="254" s="1"/>
  <c r="I129" i="254"/>
  <c r="D163" i="254" s="1"/>
  <c r="I132" i="254"/>
  <c r="D166" i="254" s="1"/>
  <c r="H129" i="254"/>
  <c r="D154" i="254" s="1"/>
  <c r="G129" i="254"/>
  <c r="D145" i="254" s="1"/>
  <c r="J129" i="254"/>
  <c r="D172" i="254" s="1"/>
  <c r="J131" i="254"/>
  <c r="D174" i="254" s="1"/>
  <c r="G132" i="254"/>
  <c r="D148" i="254" s="1"/>
  <c r="H131" i="254"/>
  <c r="D156" i="254" s="1"/>
  <c r="J132" i="254"/>
  <c r="D175" i="254" s="1"/>
  <c r="D157" i="254"/>
  <c r="I131" i="254"/>
  <c r="D165" i="254" s="1"/>
  <c r="AK13" i="255"/>
  <c r="AH36" i="254"/>
  <c r="AH45" i="254" s="1"/>
  <c r="AG34" i="254"/>
  <c r="AI36" i="255"/>
  <c r="AJ36" i="255" s="1"/>
  <c r="AO36" i="255" s="1"/>
  <c r="J133" i="254"/>
  <c r="D176" i="254" s="1"/>
  <c r="I125" i="254"/>
  <c r="AF36" i="254"/>
  <c r="AF45" i="254" s="1"/>
  <c r="AA62" i="56" s="1"/>
  <c r="H125" i="254"/>
  <c r="H133" i="254"/>
  <c r="D158" i="254" s="1"/>
  <c r="AF35" i="254"/>
  <c r="AF44" i="254" s="1"/>
  <c r="AA61" i="56" s="1"/>
  <c r="J125" i="254"/>
  <c r="AS50" i="254"/>
  <c r="V5" i="254"/>
  <c r="AS51" i="254" s="1"/>
  <c r="G125" i="254"/>
  <c r="AO51" i="255"/>
  <c r="AM51" i="255"/>
  <c r="AQ51" i="255"/>
  <c r="AL51" i="255"/>
  <c r="AN51" i="255"/>
  <c r="AQ51" i="256"/>
  <c r="AM51" i="256"/>
  <c r="AH49" i="254"/>
  <c r="AH58" i="254" s="1"/>
  <c r="AG58" i="254"/>
  <c r="AF62" i="254"/>
  <c r="AF67" i="254" s="1"/>
  <c r="AF60" i="254"/>
  <c r="AF61" i="254"/>
  <c r="AF66" i="254" s="1"/>
  <c r="AL51" i="256"/>
  <c r="AO51" i="256"/>
  <c r="AN33" i="256"/>
  <c r="AR33" i="256"/>
  <c r="AM33" i="256"/>
  <c r="AR51" i="256"/>
  <c r="AM36" i="256"/>
  <c r="AL36" i="256"/>
  <c r="AQ36" i="256"/>
  <c r="AR36" i="256"/>
  <c r="AO36" i="256"/>
  <c r="AL33" i="256"/>
  <c r="AQ33" i="256"/>
  <c r="AK13" i="256"/>
  <c r="AR33" i="255"/>
  <c r="AM33" i="255"/>
  <c r="AL33" i="255"/>
  <c r="AN33" i="255"/>
  <c r="AQ33" i="255"/>
  <c r="AO33" i="255"/>
  <c r="AI50" i="56" l="1"/>
  <c r="AI45" i="55"/>
  <c r="AI50" i="55"/>
  <c r="I45" i="56"/>
  <c r="AI47" i="55"/>
  <c r="AH47" i="55" s="1"/>
  <c r="AI48" i="56"/>
  <c r="U45" i="55"/>
  <c r="AA45" i="55" s="1"/>
  <c r="Z45" i="56"/>
  <c r="AA45" i="56" s="1"/>
  <c r="Z45" i="55"/>
  <c r="Q46" i="55"/>
  <c r="AA46" i="55" s="1"/>
  <c r="V16" i="55"/>
  <c r="AA16" i="55" s="1"/>
  <c r="AL16" i="55" s="1"/>
  <c r="AK16" i="55" s="1"/>
  <c r="Q46" i="56"/>
  <c r="AA46" i="56" s="1"/>
  <c r="AA22" i="56"/>
  <c r="AQ22" i="56" s="1"/>
  <c r="AK22" i="56" s="1"/>
  <c r="AT74" i="55"/>
  <c r="AK74" i="55" s="1"/>
  <c r="S62" i="56"/>
  <c r="F62" i="56" s="1"/>
  <c r="AT62" i="56"/>
  <c r="AK62" i="56" s="1"/>
  <c r="AA22" i="55"/>
  <c r="AQ22" i="55" s="1"/>
  <c r="AK22" i="55" s="1"/>
  <c r="AL11" i="56"/>
  <c r="AK11" i="56" s="1"/>
  <c r="Q11" i="56" s="1"/>
  <c r="AA11" i="56" s="1"/>
  <c r="AN51" i="55"/>
  <c r="AM51" i="55"/>
  <c r="AL51" i="55"/>
  <c r="AR51" i="55"/>
  <c r="AQ51" i="55"/>
  <c r="AO51" i="55"/>
  <c r="AT61" i="56"/>
  <c r="AK61" i="56" s="1"/>
  <c r="S61" i="56"/>
  <c r="H61" i="56" s="1"/>
  <c r="AT74" i="56"/>
  <c r="AK74" i="56" s="1"/>
  <c r="AO51" i="56"/>
  <c r="AN51" i="56"/>
  <c r="AM51" i="56"/>
  <c r="AL51" i="56"/>
  <c r="AQ51" i="56"/>
  <c r="AR51" i="56"/>
  <c r="M73" i="60"/>
  <c r="M74" i="60"/>
  <c r="I74" i="60"/>
  <c r="AG36" i="254"/>
  <c r="AG45" i="254" s="1"/>
  <c r="O74" i="60"/>
  <c r="AE35" i="254"/>
  <c r="AE44" i="254" s="1"/>
  <c r="AA61" i="55" s="1"/>
  <c r="AE43" i="254"/>
  <c r="AG40" i="254"/>
  <c r="AG39" i="254"/>
  <c r="I73" i="60"/>
  <c r="K73" i="60"/>
  <c r="AE36" i="254"/>
  <c r="AE45" i="254" s="1"/>
  <c r="AA62" i="55" s="1"/>
  <c r="B45" i="60"/>
  <c r="B46" i="60" s="1"/>
  <c r="B47" i="60" s="1"/>
  <c r="B48" i="60" s="1"/>
  <c r="B49" i="60" s="1"/>
  <c r="B50" i="60" s="1"/>
  <c r="B51" i="60" s="1"/>
  <c r="B53" i="60" s="1"/>
  <c r="B39" i="60"/>
  <c r="B38" i="60"/>
  <c r="AN36" i="255"/>
  <c r="AL36" i="255"/>
  <c r="AM36" i="255"/>
  <c r="AR36" i="255"/>
  <c r="AQ36" i="255"/>
  <c r="AG35" i="254"/>
  <c r="AG44" i="254" s="1"/>
  <c r="AK51" i="255"/>
  <c r="AK51" i="256"/>
  <c r="AG61" i="254"/>
  <c r="AG66" i="254" s="1"/>
  <c r="AG62" i="254"/>
  <c r="AG67" i="254" s="1"/>
  <c r="AG60" i="254"/>
  <c r="AK33" i="256"/>
  <c r="AH60" i="254"/>
  <c r="AH65" i="254" s="1"/>
  <c r="AH61" i="254"/>
  <c r="AH66" i="254" s="1"/>
  <c r="AH62" i="254"/>
  <c r="AH67" i="254" s="1"/>
  <c r="AF65" i="254"/>
  <c r="AF121" i="254" s="1"/>
  <c r="AF123" i="254" s="1"/>
  <c r="AF59" i="254"/>
  <c r="AF64" i="254" s="1"/>
  <c r="AA71" i="56" s="1"/>
  <c r="AK36" i="256"/>
  <c r="AK33" i="255"/>
  <c r="AK51" i="55" l="1"/>
  <c r="AT61" i="55"/>
  <c r="AK61" i="55" s="1"/>
  <c r="S61" i="55"/>
  <c r="H61" i="55" s="1"/>
  <c r="S62" i="55"/>
  <c r="AT62" i="55"/>
  <c r="AK62" i="55" s="1"/>
  <c r="F62" i="55"/>
  <c r="AK51" i="56"/>
  <c r="F71" i="56"/>
  <c r="AT71" i="56"/>
  <c r="AK71" i="56" s="1"/>
  <c r="S71" i="56"/>
  <c r="B52" i="60"/>
  <c r="AH64" i="56"/>
  <c r="AH64" i="55"/>
  <c r="AG43" i="254"/>
  <c r="AH121" i="254"/>
  <c r="AH123" i="254" s="1"/>
  <c r="AH124" i="254" s="1"/>
  <c r="AE121" i="254"/>
  <c r="AE123" i="254" s="1"/>
  <c r="AE124" i="254" s="1"/>
  <c r="AF124" i="254"/>
  <c r="B59" i="60"/>
  <c r="B60" i="60" s="1"/>
  <c r="B61" i="60" s="1"/>
  <c r="B62" i="60" s="1"/>
  <c r="B63" i="60" s="1"/>
  <c r="B64" i="60" s="1"/>
  <c r="B65" i="60" s="1"/>
  <c r="B66" i="60" s="1"/>
  <c r="B54" i="60"/>
  <c r="AK36" i="255"/>
  <c r="AG65" i="254"/>
  <c r="AG59" i="254"/>
  <c r="AG64" i="254" s="1"/>
  <c r="AH59" i="254"/>
  <c r="AH64" i="254" s="1"/>
  <c r="A87" i="256"/>
  <c r="A89" i="256"/>
  <c r="M25" i="255"/>
  <c r="AA25" i="255" s="1"/>
  <c r="AG25" i="255" s="1"/>
  <c r="O23" i="255"/>
  <c r="AA23" i="255" s="1"/>
  <c r="AG23" i="255" s="1"/>
  <c r="C4" i="61"/>
  <c r="C100" i="61" s="1"/>
  <c r="C125" i="61" s="1"/>
  <c r="C150" i="61" s="1"/>
  <c r="C175" i="61" s="1"/>
  <c r="C201" i="61" s="1"/>
  <c r="B4" i="61"/>
  <c r="B100" i="61" s="1"/>
  <c r="B125" i="61" s="1"/>
  <c r="B150" i="61" s="1"/>
  <c r="B175" i="61" s="1"/>
  <c r="B201" i="61" s="1"/>
  <c r="E201" i="61"/>
  <c r="F201" i="61"/>
  <c r="G201" i="61"/>
  <c r="AT64" i="56" l="1"/>
  <c r="AK64" i="56" s="1"/>
  <c r="AT64" i="55"/>
  <c r="AK64" i="55" s="1"/>
  <c r="B68" i="60"/>
  <c r="B73" i="60"/>
  <c r="B74" i="60" s="1"/>
  <c r="B76" i="60" s="1"/>
  <c r="B77" i="60" s="1"/>
  <c r="B78" i="60" s="1"/>
  <c r="B80" i="60" s="1"/>
  <c r="B81" i="60" s="1"/>
  <c r="B82" i="60" s="1"/>
  <c r="B84" i="60" s="1"/>
  <c r="B85" i="60" s="1"/>
  <c r="B86" i="60" s="1"/>
  <c r="AG121" i="254"/>
  <c r="AG123" i="254" s="1"/>
  <c r="AG124" i="254" s="1"/>
  <c r="B67" i="60"/>
  <c r="AV7" i="254"/>
  <c r="F203" i="61"/>
  <c r="AW22" i="254"/>
  <c r="E20" i="255"/>
  <c r="AA20" i="255" s="1"/>
  <c r="AQ20" i="255" s="1"/>
  <c r="AK20" i="255" s="1"/>
  <c r="G79" i="255"/>
  <c r="H79" i="255"/>
  <c r="E20" i="256"/>
  <c r="AA20" i="256" s="1"/>
  <c r="AQ20" i="256" s="1"/>
  <c r="H79" i="256"/>
  <c r="G79" i="256"/>
  <c r="A87" i="255"/>
  <c r="D22" i="255"/>
  <c r="D81" i="255" s="1"/>
  <c r="D82" i="255" s="1"/>
  <c r="E22" i="255"/>
  <c r="F22" i="255"/>
  <c r="B22" i="255"/>
  <c r="C22" i="255"/>
  <c r="C81" i="255" s="1"/>
  <c r="C82" i="255" s="1"/>
  <c r="G22" i="255"/>
  <c r="H22" i="255"/>
  <c r="U17" i="255"/>
  <c r="T18" i="255"/>
  <c r="O19" i="255"/>
  <c r="B22" i="256"/>
  <c r="C22" i="256"/>
  <c r="C81" i="256" s="1"/>
  <c r="C82" i="256" s="1"/>
  <c r="D22" i="256"/>
  <c r="D81" i="256" s="1"/>
  <c r="D82" i="256" s="1"/>
  <c r="E22" i="256"/>
  <c r="F22" i="256"/>
  <c r="G22" i="256"/>
  <c r="H22" i="256"/>
  <c r="U17" i="256"/>
  <c r="AA17" i="256" s="1"/>
  <c r="AL17" i="256" s="1"/>
  <c r="AK17" i="256" s="1"/>
  <c r="T18" i="256"/>
  <c r="O19" i="256"/>
  <c r="U22" i="255"/>
  <c r="M24" i="255"/>
  <c r="E14" i="255"/>
  <c r="AA14" i="255" s="1"/>
  <c r="AL14" i="255" s="1"/>
  <c r="AK14" i="255" s="1"/>
  <c r="AH70" i="255"/>
  <c r="I68" i="255"/>
  <c r="AA68" i="255" s="1"/>
  <c r="AT68" i="255" s="1"/>
  <c r="AK68" i="255" s="1"/>
  <c r="J69" i="255"/>
  <c r="U22" i="256"/>
  <c r="I68" i="256"/>
  <c r="AA68" i="256" s="1"/>
  <c r="AT68" i="256" s="1"/>
  <c r="AK68" i="256" s="1"/>
  <c r="J69" i="256"/>
  <c r="AA69" i="256" s="1"/>
  <c r="AT69" i="256" s="1"/>
  <c r="AK69" i="256" s="1"/>
  <c r="J57" i="255"/>
  <c r="AA57" i="255" s="1"/>
  <c r="J57" i="256"/>
  <c r="AA67" i="256"/>
  <c r="M25" i="256"/>
  <c r="AA25" i="256" s="1"/>
  <c r="AG25" i="256" s="1"/>
  <c r="O23" i="256"/>
  <c r="AA23" i="256" s="1"/>
  <c r="AG23" i="256" s="1"/>
  <c r="M24" i="256"/>
  <c r="B93" i="60" l="1"/>
  <c r="B94" i="60" s="1"/>
  <c r="B95" i="60" s="1"/>
  <c r="B96" i="60" s="1"/>
  <c r="B97" i="60" s="1"/>
  <c r="B98" i="60" s="1"/>
  <c r="B99" i="60" s="1"/>
  <c r="B100" i="60" s="1"/>
  <c r="B101" i="60" s="1"/>
  <c r="B102" i="60" s="1"/>
  <c r="B103" i="60" s="1"/>
  <c r="B104" i="60" s="1"/>
  <c r="B105" i="60" s="1"/>
  <c r="B106" i="60" s="1"/>
  <c r="B107" i="60" s="1"/>
  <c r="B108" i="60" s="1"/>
  <c r="B109" i="60" s="1"/>
  <c r="B111" i="60" s="1"/>
  <c r="B87" i="60"/>
  <c r="B88" i="60"/>
  <c r="AV8" i="254"/>
  <c r="F204" i="61"/>
  <c r="G81" i="256"/>
  <c r="G82" i="256" s="1"/>
  <c r="AV22" i="254"/>
  <c r="E81" i="255"/>
  <c r="E82" i="255" s="1"/>
  <c r="AP81" i="256"/>
  <c r="AK8" i="256"/>
  <c r="AH8" i="256" s="1"/>
  <c r="AA79" i="256"/>
  <c r="AT79" i="256" s="1"/>
  <c r="AK79" i="256" s="1"/>
  <c r="AA24" i="255"/>
  <c r="AG24" i="255" s="1"/>
  <c r="M81" i="255"/>
  <c r="M82" i="255" s="1"/>
  <c r="M81" i="256"/>
  <c r="M82" i="256" s="1"/>
  <c r="AA24" i="256"/>
  <c r="AG24" i="256" s="1"/>
  <c r="AV21" i="254" s="1"/>
  <c r="E14" i="256"/>
  <c r="AA14" i="256" s="1"/>
  <c r="AL14" i="256" s="1"/>
  <c r="AK14" i="256" s="1"/>
  <c r="AG70" i="255"/>
  <c r="AT70" i="255"/>
  <c r="AK70" i="255" s="1"/>
  <c r="I15" i="255"/>
  <c r="B81" i="256"/>
  <c r="B82" i="256" s="1"/>
  <c r="I21" i="255"/>
  <c r="AA21" i="255" s="1"/>
  <c r="AQ21" i="255" s="1"/>
  <c r="AK21" i="255" s="1"/>
  <c r="AA19" i="255"/>
  <c r="AL19" i="255" s="1"/>
  <c r="AK19" i="255" s="1"/>
  <c r="G81" i="255"/>
  <c r="G82" i="255" s="1"/>
  <c r="AA79" i="255"/>
  <c r="AT79" i="255" s="1"/>
  <c r="AK79" i="255" s="1"/>
  <c r="AA18" i="255"/>
  <c r="AL18" i="255" s="1"/>
  <c r="AK18" i="255" s="1"/>
  <c r="AL8" i="255"/>
  <c r="AA19" i="256"/>
  <c r="AL19" i="256" s="1"/>
  <c r="AK19" i="256" s="1"/>
  <c r="AA17" i="255"/>
  <c r="AL17" i="255" s="1"/>
  <c r="AK17" i="255" s="1"/>
  <c r="AK20" i="256"/>
  <c r="AA69" i="255"/>
  <c r="AT69" i="255" s="1"/>
  <c r="AK69" i="255" s="1"/>
  <c r="I21" i="256"/>
  <c r="AA21" i="256" s="1"/>
  <c r="AQ21" i="256" s="1"/>
  <c r="AK21" i="256" s="1"/>
  <c r="AA18" i="256"/>
  <c r="AL18" i="256" s="1"/>
  <c r="AK18" i="256" s="1"/>
  <c r="A89" i="255"/>
  <c r="I15" i="256"/>
  <c r="AT67" i="256"/>
  <c r="AK67" i="256" s="1"/>
  <c r="S67" i="256"/>
  <c r="AA57" i="256"/>
  <c r="B81" i="255"/>
  <c r="B82" i="255" s="1"/>
  <c r="I22" i="256"/>
  <c r="AA22" i="256" s="1"/>
  <c r="AQ22" i="256" s="1"/>
  <c r="AK22" i="256" s="1"/>
  <c r="AA67" i="255"/>
  <c r="AH64" i="256"/>
  <c r="AP8" i="255"/>
  <c r="I22" i="255"/>
  <c r="AA22" i="255" s="1"/>
  <c r="AQ22" i="255" s="1"/>
  <c r="AK22" i="255" s="1"/>
  <c r="AH74" i="256"/>
  <c r="I72" i="256"/>
  <c r="AA72" i="256" s="1"/>
  <c r="AT72" i="256" s="1"/>
  <c r="AK72" i="256" s="1"/>
  <c r="J73" i="256"/>
  <c r="AA73" i="256" s="1"/>
  <c r="AT73" i="256" s="1"/>
  <c r="AK73" i="256" s="1"/>
  <c r="V16" i="255"/>
  <c r="AH70" i="256"/>
  <c r="AA62" i="256"/>
  <c r="V16" i="256"/>
  <c r="AA61" i="256"/>
  <c r="J73" i="255"/>
  <c r="AA73" i="255" s="1"/>
  <c r="AT73" i="255" s="1"/>
  <c r="AK73" i="255" s="1"/>
  <c r="AH74" i="255"/>
  <c r="I72" i="255"/>
  <c r="AA72" i="255" s="1"/>
  <c r="AT72" i="255" s="1"/>
  <c r="AK72" i="255" s="1"/>
  <c r="B112" i="60" l="1"/>
  <c r="B110" i="60"/>
  <c r="AW8" i="254"/>
  <c r="G204" i="61"/>
  <c r="AW7" i="254"/>
  <c r="G203" i="61"/>
  <c r="AW21" i="254"/>
  <c r="AP81" i="255"/>
  <c r="AH64" i="255"/>
  <c r="AT67" i="255"/>
  <c r="AK67" i="255" s="1"/>
  <c r="S67" i="255"/>
  <c r="AA16" i="255"/>
  <c r="AL16" i="255" s="1"/>
  <c r="AK16" i="255" s="1"/>
  <c r="V81" i="255"/>
  <c r="V82" i="255" s="1"/>
  <c r="J81" i="256"/>
  <c r="AG74" i="256"/>
  <c r="AT74" i="256"/>
  <c r="AK74" i="256" s="1"/>
  <c r="E81" i="256"/>
  <c r="E82" i="256" s="1"/>
  <c r="AG74" i="255"/>
  <c r="AT74" i="255"/>
  <c r="AK74" i="255" s="1"/>
  <c r="S61" i="256"/>
  <c r="H61" i="256" s="1"/>
  <c r="AT61" i="256"/>
  <c r="AA16" i="256"/>
  <c r="AL16" i="256" s="1"/>
  <c r="AK16" i="256" s="1"/>
  <c r="V81" i="256"/>
  <c r="V82" i="256" s="1"/>
  <c r="AG64" i="256"/>
  <c r="AT64" i="256"/>
  <c r="AK64" i="256" s="1"/>
  <c r="AA15" i="256"/>
  <c r="AL15" i="256" s="1"/>
  <c r="AK15" i="256" s="1"/>
  <c r="AK8" i="255"/>
  <c r="AH8" i="255" s="1"/>
  <c r="AG8" i="256"/>
  <c r="AA15" i="255"/>
  <c r="AL15" i="255" s="1"/>
  <c r="AK15" i="255" s="1"/>
  <c r="AG70" i="256"/>
  <c r="AT70" i="256"/>
  <c r="AK70" i="256" s="1"/>
  <c r="AT62" i="256"/>
  <c r="AK62" i="256" s="1"/>
  <c r="S62" i="256"/>
  <c r="J81" i="255"/>
  <c r="AA61" i="255"/>
  <c r="AA71" i="255"/>
  <c r="AA71" i="256"/>
  <c r="AA62" i="255"/>
  <c r="H81" i="256" l="1"/>
  <c r="H82" i="256" s="1"/>
  <c r="AG64" i="255"/>
  <c r="AT64" i="255"/>
  <c r="AK64" i="255" s="1"/>
  <c r="S62" i="255"/>
  <c r="AT62" i="255"/>
  <c r="AK62" i="255" s="1"/>
  <c r="AK61" i="256"/>
  <c r="S71" i="256"/>
  <c r="AT71" i="256"/>
  <c r="AK71" i="256" s="1"/>
  <c r="AG8" i="255"/>
  <c r="AT61" i="255"/>
  <c r="S61" i="255"/>
  <c r="H61" i="255" s="1"/>
  <c r="S71" i="255"/>
  <c r="AT71" i="255"/>
  <c r="AK71" i="255" s="1"/>
  <c r="H81" i="255" l="1"/>
  <c r="H82" i="255" s="1"/>
  <c r="AK61" i="255"/>
  <c r="S4" i="235" l="1"/>
  <c r="D32" i="219"/>
  <c r="D31" i="219"/>
  <c r="D33" i="219" l="1"/>
  <c r="D34" i="219"/>
  <c r="D35" i="219"/>
  <c r="D36" i="219"/>
  <c r="D37" i="219"/>
  <c r="D38" i="219"/>
  <c r="D39" i="219"/>
  <c r="D44" i="219"/>
  <c r="D47" i="219"/>
  <c r="F28" i="169"/>
  <c r="B20" i="168" s="1"/>
  <c r="C28" i="169"/>
  <c r="D28" i="169" s="1"/>
  <c r="L5" i="250"/>
  <c r="F20" i="250" s="1"/>
  <c r="K6" i="250"/>
  <c r="F2" i="250" s="1"/>
  <c r="C36" i="250"/>
  <c r="D36" i="250" s="1"/>
  <c r="C8" i="250"/>
  <c r="C35" i="250"/>
  <c r="D35" i="250" s="1"/>
  <c r="C34" i="250"/>
  <c r="D34" i="250" s="1"/>
  <c r="C3" i="169"/>
  <c r="D3" i="169" s="1"/>
  <c r="C4" i="169"/>
  <c r="D4" i="169" s="1"/>
  <c r="C5" i="169"/>
  <c r="D5" i="169" s="1"/>
  <c r="C6" i="169"/>
  <c r="D6" i="169" s="1"/>
  <c r="C7" i="169"/>
  <c r="D7" i="169" s="1"/>
  <c r="C8" i="169"/>
  <c r="D8" i="169" s="1"/>
  <c r="C9" i="169"/>
  <c r="D9" i="169" s="1"/>
  <c r="C10" i="169"/>
  <c r="D10" i="169" s="1"/>
  <c r="C11" i="169"/>
  <c r="D11" i="169" s="1"/>
  <c r="C12" i="169"/>
  <c r="D12" i="169" s="1"/>
  <c r="C13" i="169"/>
  <c r="D13" i="169" s="1"/>
  <c r="C14" i="169"/>
  <c r="D14" i="169" s="1"/>
  <c r="C15" i="169"/>
  <c r="D15" i="169" s="1"/>
  <c r="C16" i="169"/>
  <c r="D16" i="169" s="1"/>
  <c r="C17" i="169"/>
  <c r="D17" i="169" s="1"/>
  <c r="C18" i="169"/>
  <c r="D18" i="169" s="1"/>
  <c r="C19" i="169"/>
  <c r="D19" i="169" s="1"/>
  <c r="C20" i="169"/>
  <c r="D20" i="169" s="1"/>
  <c r="C21" i="169"/>
  <c r="D21" i="169" s="1"/>
  <c r="C22" i="169"/>
  <c r="D22" i="169" s="1"/>
  <c r="C23" i="169"/>
  <c r="D23" i="169" s="1"/>
  <c r="C24" i="169"/>
  <c r="D24" i="169" s="1"/>
  <c r="C25" i="169"/>
  <c r="D25" i="169" s="1"/>
  <c r="C26" i="169"/>
  <c r="D26" i="169" s="1"/>
  <c r="C27" i="169"/>
  <c r="D27" i="169" s="1"/>
  <c r="C29" i="169"/>
  <c r="D29" i="169" s="1"/>
  <c r="C30" i="169"/>
  <c r="D30" i="169" s="1"/>
  <c r="C31" i="169"/>
  <c r="D31" i="169" s="1"/>
  <c r="C32" i="169"/>
  <c r="D32" i="169" s="1"/>
  <c r="C33" i="169"/>
  <c r="D33" i="169" s="1"/>
  <c r="C2" i="169"/>
  <c r="D2" i="169" s="1"/>
  <c r="F2" i="169"/>
  <c r="F33" i="169"/>
  <c r="F35" i="250" l="1"/>
  <c r="F36" i="250"/>
  <c r="F34" i="250"/>
  <c r="B46" i="219"/>
  <c r="B45" i="219"/>
  <c r="B44" i="219"/>
  <c r="B43" i="219"/>
  <c r="B42" i="219"/>
  <c r="B41" i="219"/>
  <c r="B40" i="219"/>
  <c r="B39" i="219"/>
  <c r="B38" i="219"/>
  <c r="B37" i="219"/>
  <c r="B36" i="219"/>
  <c r="B35" i="219"/>
  <c r="B34" i="219"/>
  <c r="B33" i="219"/>
  <c r="B32" i="219"/>
  <c r="B31" i="219"/>
  <c r="L115" i="227" a="1"/>
  <c r="L115" i="227" s="1"/>
  <c r="N115" i="227" a="1"/>
  <c r="N115" i="227" s="1"/>
  <c r="O5" i="228"/>
  <c r="O6" i="228"/>
  <c r="O7" i="228"/>
  <c r="Q5" i="229"/>
  <c r="Q6" i="229"/>
  <c r="Q7" i="229"/>
  <c r="Q4" i="230"/>
  <c r="Q5" i="230"/>
  <c r="Q6" i="230"/>
  <c r="L4" i="231"/>
  <c r="L6" i="231"/>
  <c r="L5" i="231"/>
  <c r="L13" i="161"/>
  <c r="J12" i="161"/>
  <c r="J13" i="161"/>
  <c r="B11" i="161"/>
  <c r="C11" i="161"/>
  <c r="D11" i="161"/>
  <c r="E11" i="161"/>
  <c r="F11" i="161"/>
  <c r="G11" i="161"/>
  <c r="H11" i="161"/>
  <c r="I11" i="161"/>
  <c r="J11" i="161"/>
  <c r="K11" i="161"/>
  <c r="L11" i="161"/>
  <c r="M11" i="161"/>
  <c r="N11" i="161"/>
  <c r="B12" i="161"/>
  <c r="C12" i="161"/>
  <c r="D12" i="161"/>
  <c r="E12" i="161"/>
  <c r="F12" i="161"/>
  <c r="G12" i="161"/>
  <c r="H12" i="161"/>
  <c r="I12" i="161"/>
  <c r="K12" i="161"/>
  <c r="L12" i="161"/>
  <c r="M12" i="161"/>
  <c r="N12" i="161"/>
  <c r="B13" i="161"/>
  <c r="C13" i="161"/>
  <c r="D13" i="161"/>
  <c r="E13" i="161"/>
  <c r="F13" i="161"/>
  <c r="G13" i="161"/>
  <c r="H13" i="161"/>
  <c r="I13" i="161"/>
  <c r="K13" i="161"/>
  <c r="M13" i="161"/>
  <c r="N13" i="161"/>
  <c r="N36" i="160" l="1" a="1"/>
  <c r="L36" i="160" a="1"/>
  <c r="L36" i="227" a="1"/>
  <c r="L36" i="227" s="1"/>
  <c r="N36" i="227" a="1"/>
  <c r="N36" i="227" s="1"/>
  <c r="Q24" i="211"/>
  <c r="Q17" i="211"/>
  <c r="L78" i="160" l="1"/>
  <c r="L83" i="160"/>
  <c r="L79" i="160"/>
  <c r="L80" i="160"/>
  <c r="L85" i="160"/>
  <c r="L36" i="160"/>
  <c r="L82" i="160"/>
  <c r="L81" i="160"/>
  <c r="L84" i="160"/>
  <c r="N85" i="160"/>
  <c r="N83" i="160"/>
  <c r="N84" i="160"/>
  <c r="N81" i="160"/>
  <c r="N79" i="160"/>
  <c r="N82" i="160"/>
  <c r="N36" i="160"/>
  <c r="N80" i="160"/>
  <c r="N78" i="160"/>
  <c r="S10" i="235"/>
  <c r="N25" i="160" l="1"/>
  <c r="N66" i="160" s="1"/>
  <c r="N21" i="160"/>
  <c r="N62" i="160" s="1"/>
  <c r="N26" i="160"/>
  <c r="N67" i="160" s="1"/>
  <c r="N15" i="160"/>
  <c r="N56" i="160" s="1"/>
  <c r="N16" i="160"/>
  <c r="N57" i="160" s="1"/>
  <c r="N27" i="160"/>
  <c r="N68" i="160" s="1"/>
  <c r="N77" i="160"/>
  <c r="N30" i="160"/>
  <c r="N71" i="160" s="1"/>
  <c r="N23" i="160"/>
  <c r="N64" i="160" s="1"/>
  <c r="N19" i="160"/>
  <c r="N60" i="160" s="1"/>
  <c r="N34" i="160"/>
  <c r="N75" i="160" s="1"/>
  <c r="N17" i="160"/>
  <c r="N58" i="160" s="1"/>
  <c r="N35" i="160"/>
  <c r="N76" i="160" s="1"/>
  <c r="N24" i="160"/>
  <c r="N65" i="160" s="1"/>
  <c r="N20" i="160"/>
  <c r="N61" i="160" s="1"/>
  <c r="N29" i="160"/>
  <c r="N70" i="160" s="1"/>
  <c r="N22" i="160"/>
  <c r="N63" i="160" s="1"/>
  <c r="N18" i="160"/>
  <c r="N59" i="160" s="1"/>
  <c r="N33" i="160"/>
  <c r="N74" i="160" s="1"/>
  <c r="N32" i="160"/>
  <c r="N73" i="160" s="1"/>
  <c r="N31" i="160"/>
  <c r="N72" i="160" s="1"/>
  <c r="N28" i="160"/>
  <c r="N69" i="160" s="1"/>
  <c r="L25" i="160"/>
  <c r="L66" i="160" s="1"/>
  <c r="L20" i="160"/>
  <c r="L61" i="160" s="1"/>
  <c r="L17" i="160"/>
  <c r="L58" i="160" s="1"/>
  <c r="L31" i="160"/>
  <c r="L72" i="160" s="1"/>
  <c r="L77" i="160"/>
  <c r="L16" i="160"/>
  <c r="L57" i="160" s="1"/>
  <c r="L34" i="160"/>
  <c r="L75" i="160" s="1"/>
  <c r="L15" i="160"/>
  <c r="L56" i="160" s="1"/>
  <c r="L26" i="160"/>
  <c r="L67" i="160" s="1"/>
  <c r="L21" i="160"/>
  <c r="L62" i="160" s="1"/>
  <c r="L18" i="160"/>
  <c r="L59" i="160" s="1"/>
  <c r="L29" i="160"/>
  <c r="L70" i="160" s="1"/>
  <c r="L27" i="160"/>
  <c r="L68" i="160" s="1"/>
  <c r="L22" i="160"/>
  <c r="L63" i="160" s="1"/>
  <c r="L19" i="160"/>
  <c r="L60" i="160" s="1"/>
  <c r="L28" i="160"/>
  <c r="L69" i="160" s="1"/>
  <c r="L23" i="160"/>
  <c r="L64" i="160" s="1"/>
  <c r="L33" i="160"/>
  <c r="L74" i="160" s="1"/>
  <c r="L30" i="160"/>
  <c r="L71" i="160" s="1"/>
  <c r="L35" i="160"/>
  <c r="L76" i="160" s="1"/>
  <c r="L32" i="160"/>
  <c r="L73" i="160" s="1"/>
  <c r="L24" i="160"/>
  <c r="L65" i="160" s="1"/>
  <c r="F2" i="50"/>
  <c r="F2" i="212"/>
  <c r="G2" i="210"/>
  <c r="AH95" i="254" l="1"/>
  <c r="AE95" i="254"/>
  <c r="D80" i="55" s="1"/>
  <c r="AG95" i="254"/>
  <c r="AF95" i="254"/>
  <c r="AH96" i="254"/>
  <c r="AA77" i="255" s="1"/>
  <c r="AG96" i="254"/>
  <c r="AA77" i="256" s="1"/>
  <c r="AE96" i="254"/>
  <c r="AA77" i="55" s="1"/>
  <c r="AF96" i="254"/>
  <c r="AA77" i="56" s="1"/>
  <c r="AH11" i="256"/>
  <c r="AH11" i="255"/>
  <c r="AA75" i="256"/>
  <c r="AA75" i="255"/>
  <c r="J49" i="63"/>
  <c r="J50" i="63"/>
  <c r="J51" i="63"/>
  <c r="J52" i="63"/>
  <c r="J53" i="63"/>
  <c r="J55" i="63"/>
  <c r="J56" i="63"/>
  <c r="J57" i="63"/>
  <c r="J68" i="63"/>
  <c r="J70" i="63"/>
  <c r="J71" i="63"/>
  <c r="J72" i="63"/>
  <c r="J73" i="63"/>
  <c r="J74" i="63"/>
  <c r="J75" i="63"/>
  <c r="J76" i="63"/>
  <c r="J77" i="63"/>
  <c r="J78" i="63"/>
  <c r="J79" i="63"/>
  <c r="J80" i="63"/>
  <c r="J81" i="63"/>
  <c r="J82" i="63"/>
  <c r="J83" i="63"/>
  <c r="J84" i="63"/>
  <c r="J85" i="63"/>
  <c r="J86" i="63"/>
  <c r="J87" i="63"/>
  <c r="J88" i="63"/>
  <c r="J89" i="63"/>
  <c r="J90" i="63"/>
  <c r="J91" i="63"/>
  <c r="J92" i="63"/>
  <c r="J93" i="63"/>
  <c r="J102" i="63"/>
  <c r="J111" i="63"/>
  <c r="J112" i="63"/>
  <c r="J113" i="63"/>
  <c r="J114" i="63"/>
  <c r="J132" i="63"/>
  <c r="J133" i="63"/>
  <c r="J134" i="63"/>
  <c r="J139" i="63"/>
  <c r="J140" i="63"/>
  <c r="J141" i="63"/>
  <c r="J142" i="63"/>
  <c r="J143" i="63"/>
  <c r="J145" i="63"/>
  <c r="J146" i="63"/>
  <c r="J147" i="63"/>
  <c r="J148" i="63"/>
  <c r="J150" i="63"/>
  <c r="J151" i="63"/>
  <c r="J152" i="63"/>
  <c r="J153" i="63"/>
  <c r="J156" i="63"/>
  <c r="J157" i="63"/>
  <c r="J158" i="63"/>
  <c r="J159" i="63"/>
  <c r="J160" i="63"/>
  <c r="J162" i="63"/>
  <c r="J163" i="63"/>
  <c r="J164" i="63"/>
  <c r="J165" i="63"/>
  <c r="J166" i="63"/>
  <c r="J167" i="63"/>
  <c r="J171" i="63"/>
  <c r="J172" i="63"/>
  <c r="J173" i="63"/>
  <c r="J174" i="63"/>
  <c r="J176" i="63"/>
  <c r="J177" i="63"/>
  <c r="J178" i="63"/>
  <c r="J179" i="63"/>
  <c r="J183" i="63"/>
  <c r="J184" i="63"/>
  <c r="J185" i="63"/>
  <c r="J186" i="63"/>
  <c r="J187" i="63"/>
  <c r="J188" i="63"/>
  <c r="J189" i="63"/>
  <c r="J190" i="63"/>
  <c r="J191" i="63"/>
  <c r="J192" i="63"/>
  <c r="J193" i="63"/>
  <c r="J195" i="63"/>
  <c r="J201" i="63"/>
  <c r="J202" i="63"/>
  <c r="J203" i="63"/>
  <c r="J205" i="63"/>
  <c r="J211" i="63"/>
  <c r="J212" i="63"/>
  <c r="J213" i="63"/>
  <c r="J215" i="63"/>
  <c r="J221" i="63"/>
  <c r="J222" i="63"/>
  <c r="J223" i="63"/>
  <c r="J225" i="63"/>
  <c r="J231" i="63"/>
  <c r="J232" i="63"/>
  <c r="J233" i="63"/>
  <c r="J235" i="63"/>
  <c r="J241" i="63"/>
  <c r="J242" i="63"/>
  <c r="J243" i="63"/>
  <c r="J245" i="63"/>
  <c r="J251" i="63"/>
  <c r="J252" i="63"/>
  <c r="J253" i="63"/>
  <c r="J255" i="63"/>
  <c r="J261" i="63"/>
  <c r="J262" i="63"/>
  <c r="J263" i="63"/>
  <c r="J264" i="63"/>
  <c r="J265" i="63"/>
  <c r="J266" i="63"/>
  <c r="J267" i="63"/>
  <c r="J268" i="63"/>
  <c r="J269" i="63"/>
  <c r="J271" i="63"/>
  <c r="J277" i="63"/>
  <c r="J278" i="63"/>
  <c r="J279" i="63"/>
  <c r="J281" i="63"/>
  <c r="J287" i="63"/>
  <c r="J288" i="63"/>
  <c r="J289" i="63"/>
  <c r="J291" i="63"/>
  <c r="J297" i="63"/>
  <c r="J298" i="63"/>
  <c r="J299" i="63"/>
  <c r="J301" i="63"/>
  <c r="J307" i="63"/>
  <c r="J308" i="63"/>
  <c r="J309" i="63"/>
  <c r="J311" i="63"/>
  <c r="J317" i="63"/>
  <c r="J318" i="63"/>
  <c r="J319" i="63"/>
  <c r="J321" i="63"/>
  <c r="J327" i="63"/>
  <c r="J328" i="63"/>
  <c r="J329" i="63"/>
  <c r="J330" i="63"/>
  <c r="J331" i="63"/>
  <c r="J332" i="63"/>
  <c r="J333" i="63"/>
  <c r="J335" i="63"/>
  <c r="J341" i="63"/>
  <c r="J342" i="63"/>
  <c r="J343" i="63"/>
  <c r="J345" i="63"/>
  <c r="J351" i="63"/>
  <c r="J352" i="63"/>
  <c r="J353" i="63"/>
  <c r="J355" i="63"/>
  <c r="J361" i="63"/>
  <c r="J362" i="63"/>
  <c r="J363" i="63"/>
  <c r="J365" i="63"/>
  <c r="J371" i="63"/>
  <c r="J372" i="63"/>
  <c r="J373" i="63"/>
  <c r="J375" i="63"/>
  <c r="J381" i="63"/>
  <c r="J382" i="63"/>
  <c r="J383" i="63"/>
  <c r="J385" i="63"/>
  <c r="J391" i="63"/>
  <c r="J392" i="63"/>
  <c r="J393" i="63"/>
  <c r="J394" i="63"/>
  <c r="J395" i="63"/>
  <c r="J396" i="63"/>
  <c r="J397" i="63"/>
  <c r="J402" i="63"/>
  <c r="J408" i="63"/>
  <c r="J413" i="63"/>
  <c r="J418" i="63"/>
  <c r="J424" i="63"/>
  <c r="J429" i="63"/>
  <c r="J434" i="63"/>
  <c r="J440" i="63"/>
  <c r="J445" i="63"/>
  <c r="J450" i="63"/>
  <c r="J456" i="63"/>
  <c r="J461" i="63"/>
  <c r="J466" i="63"/>
  <c r="J472" i="63"/>
  <c r="J477" i="63"/>
  <c r="J482" i="63"/>
  <c r="J488" i="63"/>
  <c r="J493" i="63"/>
  <c r="J494" i="63"/>
  <c r="J495" i="63"/>
  <c r="J496" i="63"/>
  <c r="J497" i="63"/>
  <c r="J499" i="63"/>
  <c r="J505" i="63"/>
  <c r="J506" i="63"/>
  <c r="J507" i="63"/>
  <c r="J509" i="63"/>
  <c r="J515" i="63"/>
  <c r="J516" i="63"/>
  <c r="J517" i="63"/>
  <c r="J519" i="63"/>
  <c r="J525" i="63"/>
  <c r="J526" i="63"/>
  <c r="J527" i="63"/>
  <c r="J529" i="63"/>
  <c r="J535" i="63"/>
  <c r="J536" i="63"/>
  <c r="J537" i="63"/>
  <c r="J539" i="63"/>
  <c r="J545" i="63"/>
  <c r="J546" i="63"/>
  <c r="J547" i="63"/>
  <c r="J549" i="63"/>
  <c r="J555" i="63"/>
  <c r="J556" i="63"/>
  <c r="J557" i="63"/>
  <c r="J558" i="63"/>
  <c r="J559" i="63"/>
  <c r="J560" i="63"/>
  <c r="J563" i="63"/>
  <c r="J569" i="63"/>
  <c r="J570" i="63"/>
  <c r="J573" i="63"/>
  <c r="J579" i="63"/>
  <c r="J580" i="63"/>
  <c r="J583" i="63"/>
  <c r="J589" i="63"/>
  <c r="J590" i="63"/>
  <c r="J593" i="63"/>
  <c r="J599" i="63"/>
  <c r="J600" i="63"/>
  <c r="J603" i="63"/>
  <c r="J609" i="63"/>
  <c r="J610" i="63"/>
  <c r="J613" i="63"/>
  <c r="J619" i="63"/>
  <c r="J620" i="63"/>
  <c r="J621" i="63"/>
  <c r="J622" i="63"/>
  <c r="J623" i="63"/>
  <c r="J624" i="63"/>
  <c r="J625" i="63"/>
  <c r="J626" i="63"/>
  <c r="J627" i="63"/>
  <c r="J628" i="63"/>
  <c r="J632" i="63"/>
  <c r="J634" i="63"/>
  <c r="J635" i="63"/>
  <c r="J639" i="63"/>
  <c r="J641" i="63"/>
  <c r="J642" i="63"/>
  <c r="J646" i="63"/>
  <c r="J648" i="63"/>
  <c r="J649" i="63"/>
  <c r="J650" i="63"/>
  <c r="J651" i="63"/>
  <c r="J652" i="63"/>
  <c r="J656" i="63"/>
  <c r="J657" i="63"/>
  <c r="J660" i="63"/>
  <c r="J664" i="63"/>
  <c r="J665" i="63"/>
  <c r="J668" i="63"/>
  <c r="J672" i="63"/>
  <c r="J673" i="63"/>
  <c r="J676" i="63"/>
  <c r="J677" i="63"/>
  <c r="J678" i="63"/>
  <c r="J679" i="63"/>
  <c r="J680" i="63"/>
  <c r="J684" i="63"/>
  <c r="J685" i="63"/>
  <c r="J688" i="63"/>
  <c r="J692" i="63"/>
  <c r="J693" i="63"/>
  <c r="J696" i="63"/>
  <c r="J700" i="63"/>
  <c r="J701" i="63"/>
  <c r="J704" i="63"/>
  <c r="J705" i="63"/>
  <c r="J706" i="63"/>
  <c r="J707" i="63"/>
  <c r="J708" i="63"/>
  <c r="J711" i="63"/>
  <c r="J714" i="63"/>
  <c r="J717" i="63"/>
  <c r="J718" i="63"/>
  <c r="J719" i="63"/>
  <c r="J720" i="63"/>
  <c r="J721" i="63"/>
  <c r="J722" i="63"/>
  <c r="J723" i="63"/>
  <c r="J726" i="63"/>
  <c r="J736" i="63"/>
  <c r="J737" i="63"/>
  <c r="J738" i="63"/>
  <c r="J739" i="63"/>
  <c r="J740" i="63"/>
  <c r="J741" i="63"/>
  <c r="J751" i="63"/>
  <c r="J752" i="63"/>
  <c r="J753" i="63"/>
  <c r="J754" i="63"/>
  <c r="J755" i="63"/>
  <c r="J756" i="63"/>
  <c r="J850" i="63"/>
  <c r="J851" i="63"/>
  <c r="J852" i="63"/>
  <c r="J853" i="63"/>
  <c r="J947" i="63"/>
  <c r="J948" i="63"/>
  <c r="J949" i="63"/>
  <c r="J950" i="63"/>
  <c r="J1044" i="63"/>
  <c r="J1045" i="63"/>
  <c r="J1046" i="63"/>
  <c r="J1047" i="63"/>
  <c r="J1048" i="63"/>
  <c r="J1049" i="63"/>
  <c r="J1055" i="63"/>
  <c r="J1061" i="63"/>
  <c r="J1067" i="63"/>
  <c r="J1078" i="63"/>
  <c r="J1089" i="63"/>
  <c r="J1090" i="63"/>
  <c r="J1091" i="63"/>
  <c r="J1092" i="63"/>
  <c r="J1101" i="63"/>
  <c r="J1118" i="63"/>
  <c r="J1135" i="63"/>
  <c r="J1136" i="63"/>
  <c r="J1137" i="63"/>
  <c r="J1138" i="63"/>
  <c r="J1155" i="63"/>
  <c r="J1204" i="63"/>
  <c r="J1253" i="63"/>
  <c r="J1254" i="63"/>
  <c r="J1255" i="63"/>
  <c r="J1256" i="63"/>
  <c r="J1257" i="63"/>
  <c r="J1258" i="63"/>
  <c r="J1262" i="63"/>
  <c r="J1266" i="63"/>
  <c r="J1270" i="63"/>
  <c r="J1274" i="63"/>
  <c r="J1278" i="63"/>
  <c r="J1282" i="63"/>
  <c r="J1286" i="63"/>
  <c r="J1290" i="63"/>
  <c r="J1294" i="63"/>
  <c r="J1295" i="63"/>
  <c r="J1296" i="63"/>
  <c r="J1297" i="63"/>
  <c r="J1298" i="63"/>
  <c r="J1299" i="63"/>
  <c r="J1302" i="63"/>
  <c r="J1304" i="63"/>
  <c r="J1305" i="63"/>
  <c r="J1306" i="63"/>
  <c r="J1307" i="63"/>
  <c r="J1314" i="63"/>
  <c r="J1316" i="63"/>
  <c r="J1317" i="63"/>
  <c r="J1318" i="63"/>
  <c r="J1319" i="63"/>
  <c r="J1320" i="63"/>
  <c r="J1321" i="63"/>
  <c r="J1324" i="63"/>
  <c r="J1325" i="63"/>
  <c r="J1326" i="63"/>
  <c r="J1327" i="63"/>
  <c r="J1330" i="63"/>
  <c r="J1331" i="63"/>
  <c r="J1332" i="63"/>
  <c r="J1333" i="63"/>
  <c r="J1336" i="63"/>
  <c r="J1337" i="63"/>
  <c r="J1338" i="63"/>
  <c r="J1339" i="63"/>
  <c r="J1364" i="63"/>
  <c r="J1365" i="63"/>
  <c r="J1366" i="63"/>
  <c r="J1367" i="63"/>
  <c r="J1369" i="63"/>
  <c r="J1370" i="63"/>
  <c r="J1371" i="63"/>
  <c r="J1372" i="63"/>
  <c r="J1376" i="63"/>
  <c r="J1377" i="63"/>
  <c r="J1378" i="63"/>
  <c r="J1379" i="63"/>
  <c r="J1381" i="63"/>
  <c r="J1382" i="63"/>
  <c r="J1385" i="63"/>
  <c r="J1386" i="63"/>
  <c r="J1400" i="63"/>
  <c r="J1401" i="63"/>
  <c r="J1402" i="63"/>
  <c r="J1403" i="63"/>
  <c r="J1405" i="63"/>
  <c r="J1406" i="63"/>
  <c r="J1407" i="63"/>
  <c r="J1408" i="63"/>
  <c r="J1409" i="63"/>
  <c r="J1410" i="63"/>
  <c r="J1411" i="63"/>
  <c r="J1412" i="63"/>
  <c r="J1413" i="63"/>
  <c r="J1414" i="63"/>
  <c r="J1415" i="63"/>
  <c r="J1416" i="63"/>
  <c r="J1417" i="63"/>
  <c r="J1418" i="63"/>
  <c r="J1419" i="63"/>
  <c r="J1420" i="63"/>
  <c r="J1421" i="63"/>
  <c r="J1422" i="63"/>
  <c r="J1423" i="63"/>
  <c r="J1424" i="63"/>
  <c r="J1425" i="63"/>
  <c r="J1426" i="63"/>
  <c r="J1427" i="63"/>
  <c r="J1428" i="63"/>
  <c r="J1429" i="63"/>
  <c r="J1431" i="63"/>
  <c r="J1432" i="63"/>
  <c r="J1433" i="63"/>
  <c r="J1434" i="63"/>
  <c r="J1435" i="63"/>
  <c r="J1436" i="63"/>
  <c r="J1437" i="63"/>
  <c r="J1438" i="63"/>
  <c r="J1439" i="63"/>
  <c r="J1440" i="63"/>
  <c r="J1441" i="63"/>
  <c r="J1442" i="63"/>
  <c r="J42" i="63"/>
  <c r="I42" i="63"/>
  <c r="I49" i="63"/>
  <c r="I50" i="63"/>
  <c r="I51" i="63"/>
  <c r="I52" i="63"/>
  <c r="I53" i="63"/>
  <c r="I55" i="63"/>
  <c r="I56" i="63"/>
  <c r="I57" i="63"/>
  <c r="I68" i="63"/>
  <c r="I70" i="63"/>
  <c r="I71" i="63"/>
  <c r="I72" i="63"/>
  <c r="I73" i="63"/>
  <c r="I74" i="63"/>
  <c r="I75" i="63"/>
  <c r="I76" i="63"/>
  <c r="I77" i="63"/>
  <c r="I78" i="63"/>
  <c r="I79" i="63"/>
  <c r="I80" i="63"/>
  <c r="I81" i="63"/>
  <c r="I82" i="63"/>
  <c r="I83" i="63"/>
  <c r="I84" i="63"/>
  <c r="I85" i="63"/>
  <c r="I86" i="63"/>
  <c r="I87" i="63"/>
  <c r="I88" i="63"/>
  <c r="I89" i="63"/>
  <c r="I90" i="63"/>
  <c r="I91" i="63"/>
  <c r="I92" i="63"/>
  <c r="I93" i="63"/>
  <c r="I102" i="63"/>
  <c r="I111" i="63"/>
  <c r="I112" i="63"/>
  <c r="I113" i="63"/>
  <c r="I114" i="63"/>
  <c r="I132" i="63"/>
  <c r="I133" i="63"/>
  <c r="I134" i="63"/>
  <c r="I139" i="63"/>
  <c r="I140" i="63"/>
  <c r="I141" i="63"/>
  <c r="I142" i="63"/>
  <c r="I143" i="63"/>
  <c r="I145" i="63"/>
  <c r="I146" i="63"/>
  <c r="I147" i="63"/>
  <c r="I148" i="63"/>
  <c r="I150" i="63"/>
  <c r="I151" i="63"/>
  <c r="I152" i="63"/>
  <c r="I153" i="63"/>
  <c r="I156" i="63"/>
  <c r="I157" i="63"/>
  <c r="I158" i="63"/>
  <c r="I159" i="63"/>
  <c r="I160" i="63"/>
  <c r="I162" i="63"/>
  <c r="I163" i="63"/>
  <c r="I164" i="63"/>
  <c r="I165" i="63"/>
  <c r="I166" i="63"/>
  <c r="I167" i="63"/>
  <c r="I171" i="63"/>
  <c r="I172" i="63"/>
  <c r="I173" i="63"/>
  <c r="I174" i="63"/>
  <c r="I176" i="63"/>
  <c r="I177" i="63"/>
  <c r="I178" i="63"/>
  <c r="I179" i="63"/>
  <c r="I183" i="63"/>
  <c r="I184" i="63"/>
  <c r="I185" i="63"/>
  <c r="I186" i="63"/>
  <c r="I187" i="63"/>
  <c r="I188" i="63"/>
  <c r="I189" i="63"/>
  <c r="I190" i="63"/>
  <c r="I191" i="63"/>
  <c r="I192" i="63"/>
  <c r="I193" i="63"/>
  <c r="I195" i="63"/>
  <c r="I201" i="63"/>
  <c r="I202" i="63"/>
  <c r="I203" i="63"/>
  <c r="I205" i="63"/>
  <c r="I211" i="63"/>
  <c r="I212" i="63"/>
  <c r="I213" i="63"/>
  <c r="I215" i="63"/>
  <c r="I221" i="63"/>
  <c r="I222" i="63"/>
  <c r="I223" i="63"/>
  <c r="I225" i="63"/>
  <c r="I231" i="63"/>
  <c r="I232" i="63"/>
  <c r="I233" i="63"/>
  <c r="I235" i="63"/>
  <c r="I241" i="63"/>
  <c r="I242" i="63"/>
  <c r="I243" i="63"/>
  <c r="I245" i="63"/>
  <c r="I251" i="63"/>
  <c r="I252" i="63"/>
  <c r="I253" i="63"/>
  <c r="I255" i="63"/>
  <c r="I261" i="63"/>
  <c r="I262" i="63"/>
  <c r="I263" i="63"/>
  <c r="I264" i="63"/>
  <c r="I265" i="63"/>
  <c r="I266" i="63"/>
  <c r="I267" i="63"/>
  <c r="I268" i="63"/>
  <c r="I269" i="63"/>
  <c r="I271" i="63"/>
  <c r="I277" i="63"/>
  <c r="I278" i="63"/>
  <c r="I279" i="63"/>
  <c r="I281" i="63"/>
  <c r="I287" i="63"/>
  <c r="I288" i="63"/>
  <c r="I289" i="63"/>
  <c r="I291" i="63"/>
  <c r="I297" i="63"/>
  <c r="I298" i="63"/>
  <c r="I299" i="63"/>
  <c r="I301" i="63"/>
  <c r="I307" i="63"/>
  <c r="I308" i="63"/>
  <c r="I309" i="63"/>
  <c r="I311" i="63"/>
  <c r="I317" i="63"/>
  <c r="I318" i="63"/>
  <c r="I319" i="63"/>
  <c r="I321" i="63"/>
  <c r="I327" i="63"/>
  <c r="I328" i="63"/>
  <c r="I329" i="63"/>
  <c r="I330" i="63"/>
  <c r="I331" i="63"/>
  <c r="I332" i="63"/>
  <c r="I333" i="63"/>
  <c r="I335" i="63"/>
  <c r="I341" i="63"/>
  <c r="I342" i="63"/>
  <c r="I343" i="63"/>
  <c r="I345" i="63"/>
  <c r="I351" i="63"/>
  <c r="I352" i="63"/>
  <c r="I353" i="63"/>
  <c r="I355" i="63"/>
  <c r="I361" i="63"/>
  <c r="I362" i="63"/>
  <c r="I363" i="63"/>
  <c r="I365" i="63"/>
  <c r="I371" i="63"/>
  <c r="I372" i="63"/>
  <c r="I373" i="63"/>
  <c r="I375" i="63"/>
  <c r="I381" i="63"/>
  <c r="I382" i="63"/>
  <c r="I383" i="63"/>
  <c r="I385" i="63"/>
  <c r="I391" i="63"/>
  <c r="I392" i="63"/>
  <c r="I393" i="63"/>
  <c r="I394" i="63"/>
  <c r="I395" i="63"/>
  <c r="I396" i="63"/>
  <c r="I397" i="63"/>
  <c r="I402" i="63"/>
  <c r="I408" i="63"/>
  <c r="I413" i="63"/>
  <c r="I418" i="63"/>
  <c r="I424" i="63"/>
  <c r="I429" i="63"/>
  <c r="I434" i="63"/>
  <c r="I440" i="63"/>
  <c r="I445" i="63"/>
  <c r="I450" i="63"/>
  <c r="I456" i="63"/>
  <c r="I461" i="63"/>
  <c r="I466" i="63"/>
  <c r="I472" i="63"/>
  <c r="I477" i="63"/>
  <c r="I482" i="63"/>
  <c r="I488" i="63"/>
  <c r="I493" i="63"/>
  <c r="I494" i="63"/>
  <c r="I495" i="63"/>
  <c r="I496" i="63"/>
  <c r="I497" i="63"/>
  <c r="I499" i="63"/>
  <c r="I505" i="63"/>
  <c r="I506" i="63"/>
  <c r="I507" i="63"/>
  <c r="I509" i="63"/>
  <c r="I515" i="63"/>
  <c r="I516" i="63"/>
  <c r="I517" i="63"/>
  <c r="I519" i="63"/>
  <c r="I525" i="63"/>
  <c r="I526" i="63"/>
  <c r="I527" i="63"/>
  <c r="I529" i="63"/>
  <c r="I535" i="63"/>
  <c r="I536" i="63"/>
  <c r="I537" i="63"/>
  <c r="I539" i="63"/>
  <c r="I545" i="63"/>
  <c r="I546" i="63"/>
  <c r="I547" i="63"/>
  <c r="I549" i="63"/>
  <c r="I555" i="63"/>
  <c r="I556" i="63"/>
  <c r="I557" i="63"/>
  <c r="I558" i="63"/>
  <c r="I559" i="63"/>
  <c r="I560" i="63"/>
  <c r="I563" i="63"/>
  <c r="I569" i="63"/>
  <c r="I570" i="63"/>
  <c r="I573" i="63"/>
  <c r="I579" i="63"/>
  <c r="I580" i="63"/>
  <c r="I583" i="63"/>
  <c r="I589" i="63"/>
  <c r="I590" i="63"/>
  <c r="I593" i="63"/>
  <c r="I599" i="63"/>
  <c r="I600" i="63"/>
  <c r="I603" i="63"/>
  <c r="I609" i="63"/>
  <c r="I610" i="63"/>
  <c r="I613" i="63"/>
  <c r="I619" i="63"/>
  <c r="I620" i="63"/>
  <c r="I621" i="63"/>
  <c r="I622" i="63"/>
  <c r="I623" i="63"/>
  <c r="I624" i="63"/>
  <c r="I625" i="63"/>
  <c r="I626" i="63"/>
  <c r="I627" i="63"/>
  <c r="I628" i="63"/>
  <c r="I632" i="63"/>
  <c r="I634" i="63"/>
  <c r="I635" i="63"/>
  <c r="I639" i="63"/>
  <c r="I641" i="63"/>
  <c r="I642" i="63"/>
  <c r="I646" i="63"/>
  <c r="I648" i="63"/>
  <c r="I649" i="63"/>
  <c r="I650" i="63"/>
  <c r="I651" i="63"/>
  <c r="I652" i="63"/>
  <c r="I656" i="63"/>
  <c r="I657" i="63"/>
  <c r="I660" i="63"/>
  <c r="I664" i="63"/>
  <c r="I665" i="63"/>
  <c r="I668" i="63"/>
  <c r="I672" i="63"/>
  <c r="I673" i="63"/>
  <c r="I676" i="63"/>
  <c r="I677" i="63"/>
  <c r="I678" i="63"/>
  <c r="I679" i="63"/>
  <c r="I680" i="63"/>
  <c r="I684" i="63"/>
  <c r="I685" i="63"/>
  <c r="I688" i="63"/>
  <c r="I692" i="63"/>
  <c r="I693" i="63"/>
  <c r="I696" i="63"/>
  <c r="I700" i="63"/>
  <c r="I701" i="63"/>
  <c r="I704" i="63"/>
  <c r="I705" i="63"/>
  <c r="I706" i="63"/>
  <c r="I707" i="63"/>
  <c r="I708" i="63"/>
  <c r="I711" i="63"/>
  <c r="I714" i="63"/>
  <c r="I717" i="63"/>
  <c r="I718" i="63"/>
  <c r="I719" i="63"/>
  <c r="I720" i="63"/>
  <c r="I721" i="63"/>
  <c r="I722" i="63"/>
  <c r="I723" i="63"/>
  <c r="I726" i="63"/>
  <c r="I736" i="63"/>
  <c r="I737" i="63"/>
  <c r="I738" i="63"/>
  <c r="I739" i="63"/>
  <c r="I740" i="63"/>
  <c r="I741" i="63"/>
  <c r="I751" i="63"/>
  <c r="I752" i="63"/>
  <c r="I753" i="63"/>
  <c r="I754" i="63"/>
  <c r="I755" i="63"/>
  <c r="I756" i="63"/>
  <c r="I787" i="63"/>
  <c r="I818" i="63"/>
  <c r="I849" i="63"/>
  <c r="I850" i="63"/>
  <c r="I851" i="63"/>
  <c r="I852" i="63"/>
  <c r="I853" i="63"/>
  <c r="I884" i="63"/>
  <c r="I915" i="63"/>
  <c r="I946" i="63"/>
  <c r="I947" i="63"/>
  <c r="I948" i="63"/>
  <c r="I949" i="63"/>
  <c r="I950" i="63"/>
  <c r="I981" i="63"/>
  <c r="I1012" i="63"/>
  <c r="I1043" i="63"/>
  <c r="I1044" i="63"/>
  <c r="I1045" i="63"/>
  <c r="I1046" i="63"/>
  <c r="I1047" i="63"/>
  <c r="I1048" i="63"/>
  <c r="I1049" i="63"/>
  <c r="I1055" i="63"/>
  <c r="I1061" i="63"/>
  <c r="I1067" i="63"/>
  <c r="I1078" i="63"/>
  <c r="I1089" i="63"/>
  <c r="I1090" i="63"/>
  <c r="I1091" i="63"/>
  <c r="I1092" i="63"/>
  <c r="I1101" i="63"/>
  <c r="I1118" i="63"/>
  <c r="I1135" i="63"/>
  <c r="I1136" i="63"/>
  <c r="I1137" i="63"/>
  <c r="I1138" i="63"/>
  <c r="I1155" i="63"/>
  <c r="I1204" i="63"/>
  <c r="I1253" i="63"/>
  <c r="I1254" i="63"/>
  <c r="I1255" i="63"/>
  <c r="I1256" i="63"/>
  <c r="I1257" i="63"/>
  <c r="I1258" i="63"/>
  <c r="I1262" i="63"/>
  <c r="I1266" i="63"/>
  <c r="I1270" i="63"/>
  <c r="I1274" i="63"/>
  <c r="I1278" i="63"/>
  <c r="I1282" i="63"/>
  <c r="I1286" i="63"/>
  <c r="I1290" i="63"/>
  <c r="I1294" i="63"/>
  <c r="I1295" i="63"/>
  <c r="I1296" i="63"/>
  <c r="I1297" i="63"/>
  <c r="I1298" i="63"/>
  <c r="I1299" i="63"/>
  <c r="I1302" i="63"/>
  <c r="I1304" i="63"/>
  <c r="I1305" i="63"/>
  <c r="I1306" i="63"/>
  <c r="I1307" i="63"/>
  <c r="I1314" i="63"/>
  <c r="I1316" i="63"/>
  <c r="I1317" i="63"/>
  <c r="I1318" i="63"/>
  <c r="I1319" i="63"/>
  <c r="I1320" i="63"/>
  <c r="I1321" i="63"/>
  <c r="I1324" i="63"/>
  <c r="I1325" i="63"/>
  <c r="I1326" i="63"/>
  <c r="I1327" i="63"/>
  <c r="I1330" i="63"/>
  <c r="I1331" i="63"/>
  <c r="I1332" i="63"/>
  <c r="I1333" i="63"/>
  <c r="I1336" i="63"/>
  <c r="I1337" i="63"/>
  <c r="I1338" i="63"/>
  <c r="I1339" i="63"/>
  <c r="I1364" i="63"/>
  <c r="I1365" i="63"/>
  <c r="I1366" i="63"/>
  <c r="I1367" i="63"/>
  <c r="I1369" i="63"/>
  <c r="I1370" i="63"/>
  <c r="I1371" i="63"/>
  <c r="I1372" i="63"/>
  <c r="I1376" i="63"/>
  <c r="I1377" i="63"/>
  <c r="I1378" i="63"/>
  <c r="I1379" i="63"/>
  <c r="I1381" i="63"/>
  <c r="I1382" i="63"/>
  <c r="I1385" i="63"/>
  <c r="I1386" i="63"/>
  <c r="I1400" i="63"/>
  <c r="I1401" i="63"/>
  <c r="I1402" i="63"/>
  <c r="I1403" i="63"/>
  <c r="I1405" i="63"/>
  <c r="I1406" i="63"/>
  <c r="I1407" i="63"/>
  <c r="I1408" i="63"/>
  <c r="I1409" i="63"/>
  <c r="I1410" i="63"/>
  <c r="I1411" i="63"/>
  <c r="I1412" i="63"/>
  <c r="I1413" i="63"/>
  <c r="I1414" i="63"/>
  <c r="I1415" i="63"/>
  <c r="I1416" i="63"/>
  <c r="I1417" i="63"/>
  <c r="I1418" i="63"/>
  <c r="I1419" i="63"/>
  <c r="I1420" i="63"/>
  <c r="I1421" i="63"/>
  <c r="I1422" i="63"/>
  <c r="I1423" i="63"/>
  <c r="I1424" i="63"/>
  <c r="I1425" i="63"/>
  <c r="I1426" i="63"/>
  <c r="I1427" i="63"/>
  <c r="I1428" i="63"/>
  <c r="I1429" i="63"/>
  <c r="I1431" i="63"/>
  <c r="I1432" i="63"/>
  <c r="I1433" i="63"/>
  <c r="I1434" i="63"/>
  <c r="I1435" i="63"/>
  <c r="I1436" i="63"/>
  <c r="I1437" i="63"/>
  <c r="I1438" i="63"/>
  <c r="I1439" i="63"/>
  <c r="I1440" i="63"/>
  <c r="I1441" i="63"/>
  <c r="I1442" i="63"/>
  <c r="AT77" i="55" l="1"/>
  <c r="AK77" i="55" s="1"/>
  <c r="S77" i="55"/>
  <c r="F77" i="55" s="1"/>
  <c r="AT77" i="56"/>
  <c r="AK77" i="56" s="1"/>
  <c r="S77" i="56"/>
  <c r="F77" i="56" s="1"/>
  <c r="D80" i="56"/>
  <c r="AA80" i="56" s="1"/>
  <c r="AT80" i="56" s="1"/>
  <c r="AK80" i="56" s="1"/>
  <c r="AA80" i="55"/>
  <c r="AT80" i="55" s="1"/>
  <c r="AK80" i="55" s="1"/>
  <c r="AW9" i="254"/>
  <c r="G205" i="61"/>
  <c r="AV9" i="254"/>
  <c r="F205" i="61"/>
  <c r="AT77" i="256"/>
  <c r="S77" i="256"/>
  <c r="F77" i="256" s="1"/>
  <c r="AT77" i="255"/>
  <c r="S77" i="255"/>
  <c r="F77" i="255" s="1"/>
  <c r="F139" i="254"/>
  <c r="F130" i="254"/>
  <c r="F138" i="254"/>
  <c r="AG11" i="255"/>
  <c r="AL11" i="255"/>
  <c r="AS75" i="256"/>
  <c r="AL11" i="256"/>
  <c r="AG11" i="256"/>
  <c r="AS75" i="255"/>
  <c r="G130" i="254" l="1"/>
  <c r="D146" i="254" s="1"/>
  <c r="J130" i="254"/>
  <c r="D173" i="254" s="1"/>
  <c r="H130" i="254"/>
  <c r="D155" i="254" s="1"/>
  <c r="I130" i="254"/>
  <c r="D164" i="254" s="1"/>
  <c r="AK77" i="255"/>
  <c r="AK77" i="256"/>
  <c r="AS81" i="255"/>
  <c r="AK75" i="255"/>
  <c r="AK11" i="256"/>
  <c r="AS81" i="256"/>
  <c r="AK75" i="256"/>
  <c r="AK11" i="255"/>
  <c r="F106" i="60"/>
  <c r="AI39" i="56" l="1"/>
  <c r="Q39" i="56" s="1"/>
  <c r="AA39" i="56" s="1"/>
  <c r="AI40" i="56"/>
  <c r="AH40" i="56" s="1"/>
  <c r="AI42" i="56"/>
  <c r="AI42" i="55"/>
  <c r="AH39" i="55"/>
  <c r="AI39" i="55"/>
  <c r="AI40" i="55"/>
  <c r="AH40" i="55" s="1"/>
  <c r="AI37" i="55"/>
  <c r="I37" i="55" s="1"/>
  <c r="AA37" i="55" s="1"/>
  <c r="AG37" i="55" s="1"/>
  <c r="S166" i="254"/>
  <c r="R163" i="254"/>
  <c r="T163" i="254"/>
  <c r="Y171" i="254"/>
  <c r="U163" i="254"/>
  <c r="Z171" i="254"/>
  <c r="AA171" i="254"/>
  <c r="W163" i="254"/>
  <c r="AB171" i="254"/>
  <c r="V163" i="254"/>
  <c r="AI42" i="256"/>
  <c r="AI40" i="256"/>
  <c r="AH40" i="256" s="1"/>
  <c r="AG40" i="256" s="1"/>
  <c r="AI37" i="256"/>
  <c r="AA180" i="254"/>
  <c r="U172" i="254"/>
  <c r="V172" i="254"/>
  <c r="R172" i="254"/>
  <c r="Z180" i="254"/>
  <c r="W172" i="254"/>
  <c r="T172" i="254"/>
  <c r="S175" i="254"/>
  <c r="Y180" i="254"/>
  <c r="AB180" i="254"/>
  <c r="AI42" i="255"/>
  <c r="AI37" i="255"/>
  <c r="AI40" i="255"/>
  <c r="AH40" i="255" s="1"/>
  <c r="AG40" i="255" s="1"/>
  <c r="R145" i="254"/>
  <c r="J146" i="254" s="1"/>
  <c r="AI41" i="56" s="1"/>
  <c r="O41" i="56" s="1"/>
  <c r="AA41" i="56" s="1"/>
  <c r="Z153" i="254"/>
  <c r="U145" i="254"/>
  <c r="T145" i="254"/>
  <c r="V145" i="254"/>
  <c r="AB153" i="254"/>
  <c r="AA153" i="254"/>
  <c r="W145" i="254"/>
  <c r="S148" i="254"/>
  <c r="Y153" i="254"/>
  <c r="S157" i="254"/>
  <c r="U154" i="254"/>
  <c r="AB162" i="254"/>
  <c r="T154" i="254"/>
  <c r="Y162" i="254"/>
  <c r="W154" i="254"/>
  <c r="R154" i="254"/>
  <c r="J155" i="254" s="1"/>
  <c r="V154" i="254"/>
  <c r="Z162" i="254"/>
  <c r="AA162" i="254"/>
  <c r="I106" i="60"/>
  <c r="P106" i="60" s="1"/>
  <c r="M106" i="60"/>
  <c r="R106" i="60" s="1"/>
  <c r="K106" i="60"/>
  <c r="Q106" i="60" s="1"/>
  <c r="O106" i="60"/>
  <c r="S106" i="60" s="1"/>
  <c r="Q11" i="255"/>
  <c r="Q11" i="256"/>
  <c r="Q39" i="55" l="1"/>
  <c r="AA39" i="55" s="1"/>
  <c r="AI41" i="55"/>
  <c r="O41" i="55" s="1"/>
  <c r="AA41" i="55" s="1"/>
  <c r="O155" i="254"/>
  <c r="O156" i="254"/>
  <c r="O164" i="254"/>
  <c r="O165" i="254"/>
  <c r="O146" i="254"/>
  <c r="O147" i="254"/>
  <c r="O173" i="254"/>
  <c r="O174" i="254"/>
  <c r="AI41" i="256"/>
  <c r="O41" i="256" s="1"/>
  <c r="AA41" i="256" s="1"/>
  <c r="AI39" i="256"/>
  <c r="AH39" i="256"/>
  <c r="F206" i="61" s="1"/>
  <c r="S163" i="254"/>
  <c r="AF171" i="254" s="1"/>
  <c r="AF181" i="254"/>
  <c r="S145" i="254"/>
  <c r="AE153" i="254" s="1"/>
  <c r="AF172" i="254"/>
  <c r="S167" i="254"/>
  <c r="AE38" i="256" s="1"/>
  <c r="AI41" i="255"/>
  <c r="O41" i="255" s="1"/>
  <c r="S176" i="254"/>
  <c r="AE38" i="255" s="1"/>
  <c r="S154" i="254"/>
  <c r="AF162" i="254" s="1"/>
  <c r="AH39" i="255"/>
  <c r="G206" i="61" s="1"/>
  <c r="AI39" i="255"/>
  <c r="S172" i="254"/>
  <c r="AF180" i="254" s="1"/>
  <c r="AE154" i="254"/>
  <c r="S149" i="254"/>
  <c r="AF163" i="254"/>
  <c r="S158" i="254"/>
  <c r="I37" i="255"/>
  <c r="AA37" i="255" s="1"/>
  <c r="AG37" i="255" s="1"/>
  <c r="I37" i="256"/>
  <c r="AA11" i="256"/>
  <c r="AA11" i="255"/>
  <c r="AE38" i="55" l="1"/>
  <c r="AE38" i="56"/>
  <c r="U38" i="56" s="1"/>
  <c r="O81" i="256"/>
  <c r="O82" i="256" s="1"/>
  <c r="Q39" i="256"/>
  <c r="AA39" i="256" s="1"/>
  <c r="AG39" i="256"/>
  <c r="AV10" i="254"/>
  <c r="AA37" i="256"/>
  <c r="AG37" i="256" s="1"/>
  <c r="AW10" i="254"/>
  <c r="AG39" i="255"/>
  <c r="U38" i="255"/>
  <c r="U81" i="255" s="1"/>
  <c r="X38" i="255"/>
  <c r="X81" i="255" s="1"/>
  <c r="X82" i="255" s="1"/>
  <c r="I38" i="255"/>
  <c r="Z38" i="255"/>
  <c r="Z81" i="255" s="1"/>
  <c r="Z82" i="255" s="1"/>
  <c r="AW23" i="254"/>
  <c r="AW20" i="254"/>
  <c r="AA41" i="255"/>
  <c r="O81" i="255"/>
  <c r="O82" i="255" s="1"/>
  <c r="Q39" i="255"/>
  <c r="X38" i="256"/>
  <c r="X81" i="256" s="1"/>
  <c r="X82" i="256" s="1"/>
  <c r="U38" i="256"/>
  <c r="U81" i="256" s="1"/>
  <c r="I38" i="256"/>
  <c r="Z38" i="256"/>
  <c r="Z81" i="256" s="1"/>
  <c r="Z82" i="256" s="1"/>
  <c r="I38" i="56" l="1"/>
  <c r="Z38" i="56"/>
  <c r="X38" i="56"/>
  <c r="Z38" i="55"/>
  <c r="U38" i="55"/>
  <c r="X38" i="55"/>
  <c r="I38" i="55"/>
  <c r="Q81" i="256"/>
  <c r="AA38" i="256"/>
  <c r="AG38" i="256" s="1"/>
  <c r="AW24" i="254"/>
  <c r="AA38" i="255"/>
  <c r="U82" i="256"/>
  <c r="U84" i="256"/>
  <c r="U82" i="255"/>
  <c r="U84" i="255"/>
  <c r="AA39" i="255"/>
  <c r="Q81" i="255"/>
  <c r="AV20" i="254"/>
  <c r="AV23" i="254"/>
  <c r="AA38" i="55" l="1"/>
  <c r="AA38" i="56"/>
  <c r="AI38" i="256"/>
  <c r="AI43" i="256" s="1"/>
  <c r="AJ43" i="256" s="1"/>
  <c r="AV24" i="254"/>
  <c r="AI38" i="255"/>
  <c r="AG38" i="255"/>
  <c r="F14" i="183"/>
  <c r="F13" i="183"/>
  <c r="F12" i="183"/>
  <c r="AI38" i="56" l="1"/>
  <c r="AI43" i="56" s="1"/>
  <c r="AJ43" i="56" s="1"/>
  <c r="AG38" i="56"/>
  <c r="AI38" i="55"/>
  <c r="AI43" i="55" s="1"/>
  <c r="AJ43" i="55" s="1"/>
  <c r="AG38" i="55"/>
  <c r="AI43" i="255"/>
  <c r="AJ43" i="255" s="1"/>
  <c r="AR43" i="256"/>
  <c r="AQ43" i="256"/>
  <c r="AM43" i="256"/>
  <c r="AL43" i="256"/>
  <c r="AN43" i="256"/>
  <c r="AO43" i="256"/>
  <c r="AM43" i="55" l="1"/>
  <c r="AL43" i="55"/>
  <c r="AQ43" i="55"/>
  <c r="AO43" i="55"/>
  <c r="AN43" i="55"/>
  <c r="AR43" i="55"/>
  <c r="AQ43" i="56"/>
  <c r="AO43" i="56"/>
  <c r="AL43" i="56"/>
  <c r="AN43" i="56"/>
  <c r="AR43" i="56"/>
  <c r="AM43" i="56"/>
  <c r="AO43" i="255"/>
  <c r="AR43" i="255"/>
  <c r="AL43" i="255"/>
  <c r="AN43" i="255"/>
  <c r="AM43" i="255"/>
  <c r="AQ43" i="255"/>
  <c r="AK43" i="256"/>
  <c r="K11" i="213"/>
  <c r="E31" i="211"/>
  <c r="F33" i="211"/>
  <c r="E28" i="211"/>
  <c r="F10" i="60" s="1"/>
  <c r="D104" i="219"/>
  <c r="D103" i="219"/>
  <c r="D102" i="219"/>
  <c r="D99" i="219"/>
  <c r="C45" i="219"/>
  <c r="E45" i="219" s="1"/>
  <c r="C44" i="219"/>
  <c r="E44" i="219" s="1"/>
  <c r="C37" i="219"/>
  <c r="C36" i="219"/>
  <c r="E14" i="216"/>
  <c r="E22" i="214"/>
  <c r="E20" i="214"/>
  <c r="E19" i="214"/>
  <c r="E18" i="214"/>
  <c r="E17" i="214"/>
  <c r="J17" i="214" s="1"/>
  <c r="E16" i="214"/>
  <c r="J16" i="214" s="1"/>
  <c r="E15" i="214"/>
  <c r="J15" i="214" s="1"/>
  <c r="E14" i="214"/>
  <c r="R9" i="235"/>
  <c r="T9" i="235" s="1"/>
  <c r="R7" i="235"/>
  <c r="L227" i="232"/>
  <c r="H227" i="232"/>
  <c r="L226" i="232"/>
  <c r="H226" i="232"/>
  <c r="L225" i="232"/>
  <c r="H225" i="232"/>
  <c r="L224" i="232"/>
  <c r="H224" i="232"/>
  <c r="L223" i="232"/>
  <c r="H223" i="232"/>
  <c r="L222" i="232"/>
  <c r="H222" i="232"/>
  <c r="L221" i="232"/>
  <c r="H221" i="232"/>
  <c r="L220" i="232"/>
  <c r="H220" i="232"/>
  <c r="L219" i="232"/>
  <c r="H219" i="232"/>
  <c r="L218" i="232"/>
  <c r="H218" i="232"/>
  <c r="L217" i="232"/>
  <c r="H217" i="232"/>
  <c r="L216" i="232"/>
  <c r="H216" i="232"/>
  <c r="L215" i="232"/>
  <c r="H215" i="232"/>
  <c r="L214" i="232"/>
  <c r="H214" i="232"/>
  <c r="L213" i="232"/>
  <c r="H213" i="232"/>
  <c r="L212" i="232"/>
  <c r="H212" i="232"/>
  <c r="L211" i="232"/>
  <c r="H211" i="232"/>
  <c r="L210" i="232"/>
  <c r="H210" i="232"/>
  <c r="L209" i="232"/>
  <c r="H209" i="232"/>
  <c r="L208" i="232"/>
  <c r="H208" i="232"/>
  <c r="L207" i="232"/>
  <c r="H207" i="232"/>
  <c r="L206" i="232"/>
  <c r="H206" i="232"/>
  <c r="L205" i="232"/>
  <c r="H205" i="232"/>
  <c r="L204" i="232"/>
  <c r="H204" i="232"/>
  <c r="L203" i="232"/>
  <c r="H203" i="232"/>
  <c r="L202" i="232"/>
  <c r="H202" i="232"/>
  <c r="L201" i="232"/>
  <c r="H201" i="232"/>
  <c r="L200" i="232"/>
  <c r="H200" i="232"/>
  <c r="L199" i="232"/>
  <c r="H199" i="232"/>
  <c r="L198" i="232"/>
  <c r="H198" i="232"/>
  <c r="L197" i="232"/>
  <c r="H197" i="232"/>
  <c r="L196" i="232"/>
  <c r="H196" i="232"/>
  <c r="L195" i="232"/>
  <c r="H195" i="232"/>
  <c r="L194" i="232"/>
  <c r="H194" i="232"/>
  <c r="L193" i="232"/>
  <c r="H193" i="232"/>
  <c r="L192" i="232"/>
  <c r="H192" i="232"/>
  <c r="L191" i="232"/>
  <c r="H191" i="232"/>
  <c r="L190" i="232"/>
  <c r="H190" i="232"/>
  <c r="L189" i="232"/>
  <c r="H189" i="232"/>
  <c r="L188" i="232"/>
  <c r="H188" i="232"/>
  <c r="L187" i="232"/>
  <c r="H187" i="232"/>
  <c r="L186" i="232"/>
  <c r="H186" i="232"/>
  <c r="L185" i="232"/>
  <c r="H185" i="232"/>
  <c r="H184" i="232"/>
  <c r="H183" i="232"/>
  <c r="L182" i="232"/>
  <c r="H182" i="232"/>
  <c r="L181" i="232"/>
  <c r="H181" i="232"/>
  <c r="L180" i="232"/>
  <c r="H180" i="232"/>
  <c r="L179" i="232"/>
  <c r="H179" i="232"/>
  <c r="L178" i="232"/>
  <c r="H178" i="232"/>
  <c r="L177" i="232"/>
  <c r="H177" i="232"/>
  <c r="H176" i="232"/>
  <c r="H175" i="232"/>
  <c r="H174" i="232"/>
  <c r="H173" i="232"/>
  <c r="H172" i="232"/>
  <c r="H171" i="232"/>
  <c r="H170" i="232"/>
  <c r="H169" i="232"/>
  <c r="H168" i="232"/>
  <c r="H167" i="232"/>
  <c r="H166" i="232"/>
  <c r="H165" i="232"/>
  <c r="H164" i="232"/>
  <c r="H163" i="232"/>
  <c r="H162" i="232"/>
  <c r="H161" i="232"/>
  <c r="H160" i="232"/>
  <c r="H159" i="232"/>
  <c r="H158" i="232"/>
  <c r="H157" i="232"/>
  <c r="H156" i="232"/>
  <c r="H155" i="232"/>
  <c r="H154" i="232"/>
  <c r="H153" i="232"/>
  <c r="H152" i="232"/>
  <c r="H151" i="232"/>
  <c r="H150" i="232"/>
  <c r="H149" i="232"/>
  <c r="H148" i="232"/>
  <c r="H147" i="232"/>
  <c r="H146" i="232"/>
  <c r="H145" i="232"/>
  <c r="H144" i="232"/>
  <c r="H143" i="232"/>
  <c r="H142" i="232"/>
  <c r="H141" i="232"/>
  <c r="H140" i="232"/>
  <c r="H139" i="232"/>
  <c r="H138" i="232"/>
  <c r="H137" i="232"/>
  <c r="H136" i="232"/>
  <c r="H135" i="232"/>
  <c r="H134" i="232"/>
  <c r="H133" i="232"/>
  <c r="H132" i="232"/>
  <c r="H131" i="232"/>
  <c r="H130" i="232"/>
  <c r="H129" i="232"/>
  <c r="H128" i="232"/>
  <c r="H127" i="232"/>
  <c r="H126" i="232"/>
  <c r="H125" i="232"/>
  <c r="H124" i="232"/>
  <c r="H123" i="232"/>
  <c r="H122" i="232"/>
  <c r="H121" i="232"/>
  <c r="H120" i="232"/>
  <c r="H119" i="232"/>
  <c r="H118" i="232"/>
  <c r="H117" i="232"/>
  <c r="H116" i="232"/>
  <c r="H115" i="232"/>
  <c r="H114" i="232"/>
  <c r="H113" i="232"/>
  <c r="H112" i="232"/>
  <c r="H111" i="232"/>
  <c r="H110" i="232"/>
  <c r="H109" i="232"/>
  <c r="H108" i="232"/>
  <c r="H107" i="232"/>
  <c r="H106" i="232"/>
  <c r="H105" i="232"/>
  <c r="H104" i="232"/>
  <c r="H103" i="232"/>
  <c r="H102" i="232"/>
  <c r="H101" i="232"/>
  <c r="H100" i="232"/>
  <c r="H99" i="232"/>
  <c r="H98" i="232"/>
  <c r="H97" i="232"/>
  <c r="H96" i="232"/>
  <c r="H95" i="232"/>
  <c r="H94" i="232"/>
  <c r="H93" i="232"/>
  <c r="H92" i="232"/>
  <c r="H91" i="232"/>
  <c r="H90" i="232"/>
  <c r="H89" i="232"/>
  <c r="H88" i="232"/>
  <c r="H87" i="232"/>
  <c r="H86" i="232"/>
  <c r="H85" i="232"/>
  <c r="H84" i="232"/>
  <c r="H83" i="232"/>
  <c r="H82" i="232"/>
  <c r="H81" i="232"/>
  <c r="H80" i="232"/>
  <c r="H79" i="232"/>
  <c r="H78" i="232"/>
  <c r="H77" i="232"/>
  <c r="H76" i="232"/>
  <c r="H75" i="232"/>
  <c r="H74" i="232"/>
  <c r="H73" i="232"/>
  <c r="H72" i="232"/>
  <c r="H71" i="232"/>
  <c r="H70" i="232"/>
  <c r="H69" i="232"/>
  <c r="H68" i="232"/>
  <c r="H67" i="232"/>
  <c r="H66" i="232"/>
  <c r="H65" i="232"/>
  <c r="H64" i="232"/>
  <c r="H63" i="232"/>
  <c r="H62" i="232"/>
  <c r="H61" i="232"/>
  <c r="H60" i="232"/>
  <c r="H59" i="232"/>
  <c r="H58" i="232"/>
  <c r="H57" i="232"/>
  <c r="H56" i="232"/>
  <c r="H55" i="232"/>
  <c r="H54" i="232"/>
  <c r="H53" i="232"/>
  <c r="H52" i="232"/>
  <c r="H51" i="232"/>
  <c r="H50" i="232"/>
  <c r="H49" i="232"/>
  <c r="H48" i="232"/>
  <c r="H47" i="232"/>
  <c r="H46" i="232"/>
  <c r="H45" i="232"/>
  <c r="H44" i="232"/>
  <c r="H43" i="232"/>
  <c r="H42" i="232"/>
  <c r="H41" i="232"/>
  <c r="H40" i="232"/>
  <c r="H39" i="232"/>
  <c r="H38" i="232"/>
  <c r="H37" i="232"/>
  <c r="H36" i="232"/>
  <c r="H35" i="232"/>
  <c r="H34" i="232"/>
  <c r="H33" i="232"/>
  <c r="H32" i="232"/>
  <c r="H31" i="232"/>
  <c r="H30" i="232"/>
  <c r="H29" i="232"/>
  <c r="H28" i="232"/>
  <c r="H27" i="232"/>
  <c r="H26" i="232"/>
  <c r="H25" i="232"/>
  <c r="H24" i="232"/>
  <c r="H23" i="232"/>
  <c r="H22" i="232"/>
  <c r="H21" i="232"/>
  <c r="H20" i="232"/>
  <c r="H19" i="232"/>
  <c r="H18" i="232"/>
  <c r="H17" i="232"/>
  <c r="H16" i="232"/>
  <c r="H15" i="232"/>
  <c r="H14" i="232"/>
  <c r="H13" i="232"/>
  <c r="H12" i="232"/>
  <c r="H11" i="232"/>
  <c r="H10" i="232"/>
  <c r="H9" i="232"/>
  <c r="H8" i="232"/>
  <c r="H7" i="232"/>
  <c r="H6" i="232"/>
  <c r="H5" i="232"/>
  <c r="H181" i="233"/>
  <c r="O292" i="233"/>
  <c r="T292" i="233" s="1"/>
  <c r="H292" i="233"/>
  <c r="L191" i="233"/>
  <c r="U191" i="233" s="1"/>
  <c r="H191" i="233"/>
  <c r="O291" i="233"/>
  <c r="T291" i="233" s="1"/>
  <c r="H291" i="233"/>
  <c r="L190" i="233"/>
  <c r="H190" i="233"/>
  <c r="U290" i="233"/>
  <c r="O290" i="233"/>
  <c r="T290" i="233" s="1"/>
  <c r="H290" i="233"/>
  <c r="L200" i="233"/>
  <c r="T200" i="233" s="1"/>
  <c r="H200" i="233"/>
  <c r="O215" i="233"/>
  <c r="U215" i="233" s="1"/>
  <c r="H215" i="233"/>
  <c r="O221" i="233"/>
  <c r="H221" i="233"/>
  <c r="H179" i="233"/>
  <c r="H180" i="233"/>
  <c r="H228" i="233"/>
  <c r="H229" i="233"/>
  <c r="H227" i="233"/>
  <c r="H226" i="233"/>
  <c r="O289" i="233"/>
  <c r="H289" i="233"/>
  <c r="L194" i="233"/>
  <c r="U194" i="233" s="1"/>
  <c r="H194" i="233"/>
  <c r="U296" i="233"/>
  <c r="O296" i="233"/>
  <c r="T296" i="233" s="1"/>
  <c r="L195" i="233"/>
  <c r="T195" i="233" s="1"/>
  <c r="H195" i="233"/>
  <c r="O203" i="233"/>
  <c r="H203" i="233"/>
  <c r="O216" i="233"/>
  <c r="H216" i="233"/>
  <c r="O198" i="233"/>
  <c r="H198" i="233"/>
  <c r="O213" i="233"/>
  <c r="U213" i="233" s="1"/>
  <c r="H213" i="233"/>
  <c r="O212" i="233"/>
  <c r="H212" i="233"/>
  <c r="O211" i="233"/>
  <c r="H211" i="233"/>
  <c r="O210" i="233"/>
  <c r="U210" i="233" s="1"/>
  <c r="H210" i="233"/>
  <c r="O209" i="233"/>
  <c r="T209" i="233" s="1"/>
  <c r="H209" i="233"/>
  <c r="O214" i="233"/>
  <c r="H214" i="233"/>
  <c r="H230" i="233"/>
  <c r="H139" i="233"/>
  <c r="U293" i="233"/>
  <c r="T293" i="233"/>
  <c r="H293" i="233"/>
  <c r="U183" i="233"/>
  <c r="T183" i="233"/>
  <c r="H183" i="233"/>
  <c r="U184" i="233"/>
  <c r="T184" i="233"/>
  <c r="H184" i="233"/>
  <c r="H141" i="233"/>
  <c r="H140" i="233"/>
  <c r="O218" i="233"/>
  <c r="H218" i="233"/>
  <c r="O219" i="233"/>
  <c r="H219" i="233"/>
  <c r="U288" i="233"/>
  <c r="O288" i="233"/>
  <c r="T288" i="233" s="1"/>
  <c r="H288" i="233"/>
  <c r="L193" i="233"/>
  <c r="H193" i="233"/>
  <c r="O202" i="233"/>
  <c r="T202" i="233" s="1"/>
  <c r="H202" i="233"/>
  <c r="L201" i="233"/>
  <c r="H201" i="233"/>
  <c r="O217" i="233"/>
  <c r="T217" i="233" s="1"/>
  <c r="H217" i="233"/>
  <c r="H177" i="233"/>
  <c r="H178" i="233"/>
  <c r="H5" i="233"/>
  <c r="H8" i="233"/>
  <c r="H7" i="233"/>
  <c r="H6" i="233"/>
  <c r="O220" i="233"/>
  <c r="U220" i="233" s="1"/>
  <c r="H220" i="233"/>
  <c r="H138" i="233"/>
  <c r="O187" i="233"/>
  <c r="H187" i="233"/>
  <c r="O287" i="233"/>
  <c r="U287" i="233" s="1"/>
  <c r="H287" i="233"/>
  <c r="L186" i="233"/>
  <c r="T186" i="233" s="1"/>
  <c r="H186" i="233"/>
  <c r="O279" i="233"/>
  <c r="T279" i="233" s="1"/>
  <c r="H279" i="233"/>
  <c r="L188" i="233"/>
  <c r="U188" i="233" s="1"/>
  <c r="H188" i="233"/>
  <c r="U278" i="233"/>
  <c r="O278" i="233"/>
  <c r="T278" i="233" s="1"/>
  <c r="H278" i="233"/>
  <c r="L199" i="233"/>
  <c r="T199" i="233" s="1"/>
  <c r="H199" i="233"/>
  <c r="U223" i="233"/>
  <c r="T223" i="233"/>
  <c r="H223" i="233"/>
  <c r="U222" i="233"/>
  <c r="T222" i="233"/>
  <c r="H222" i="233"/>
  <c r="H182" i="233"/>
  <c r="U185" i="233"/>
  <c r="T185" i="233"/>
  <c r="H185" i="233"/>
  <c r="L197" i="233"/>
  <c r="T197" i="233" s="1"/>
  <c r="H197" i="233"/>
  <c r="L196" i="233"/>
  <c r="T196" i="233" s="1"/>
  <c r="H196" i="233"/>
  <c r="H165" i="233"/>
  <c r="H166" i="233"/>
  <c r="U286" i="233"/>
  <c r="T286" i="233"/>
  <c r="H286" i="233"/>
  <c r="H167" i="233"/>
  <c r="H151" i="233"/>
  <c r="U285" i="233"/>
  <c r="T285" i="233"/>
  <c r="H285" i="233"/>
  <c r="H153" i="233"/>
  <c r="H154" i="233"/>
  <c r="H152" i="233"/>
  <c r="U284" i="233"/>
  <c r="T284" i="233"/>
  <c r="H284" i="233"/>
  <c r="L170" i="233"/>
  <c r="H170" i="233"/>
  <c r="U283" i="233"/>
  <c r="T283" i="233"/>
  <c r="H283" i="233"/>
  <c r="H156" i="233"/>
  <c r="U282" i="233"/>
  <c r="T282" i="233"/>
  <c r="H282" i="233"/>
  <c r="H157" i="233"/>
  <c r="H158" i="233"/>
  <c r="H155" i="233"/>
  <c r="H159" i="233"/>
  <c r="H160" i="233"/>
  <c r="L281" i="233"/>
  <c r="U281" i="233" s="1"/>
  <c r="H281" i="233"/>
  <c r="L174" i="233"/>
  <c r="H174" i="233"/>
  <c r="O280" i="233"/>
  <c r="H280" i="233"/>
  <c r="H175" i="233"/>
  <c r="H176" i="233"/>
  <c r="L173" i="233"/>
  <c r="H173" i="233"/>
  <c r="L171" i="233"/>
  <c r="H171" i="233"/>
  <c r="U225" i="233"/>
  <c r="T225" i="233"/>
  <c r="H225" i="233"/>
  <c r="H224" i="233"/>
  <c r="U277" i="233"/>
  <c r="T277" i="233"/>
  <c r="H277" i="233"/>
  <c r="H164" i="233"/>
  <c r="U276" i="233"/>
  <c r="T276" i="233"/>
  <c r="H276" i="233"/>
  <c r="U275" i="233"/>
  <c r="T275" i="233"/>
  <c r="H275" i="233"/>
  <c r="H143" i="233"/>
  <c r="H144" i="233"/>
  <c r="H146" i="233"/>
  <c r="U274" i="233"/>
  <c r="T274" i="233"/>
  <c r="H274" i="233"/>
  <c r="H147" i="233"/>
  <c r="H142" i="233"/>
  <c r="H149" i="233"/>
  <c r="H148" i="233"/>
  <c r="H150" i="233"/>
  <c r="H145" i="233"/>
  <c r="H21" i="233"/>
  <c r="H20" i="233"/>
  <c r="H71" i="233"/>
  <c r="H70" i="233"/>
  <c r="H32" i="233"/>
  <c r="H33" i="233"/>
  <c r="H25" i="233"/>
  <c r="H26" i="233"/>
  <c r="H24" i="233"/>
  <c r="U273" i="233"/>
  <c r="T273" i="233"/>
  <c r="H273" i="233"/>
  <c r="H30" i="233"/>
  <c r="U272" i="233"/>
  <c r="T272" i="233"/>
  <c r="H272" i="233"/>
  <c r="H31" i="233"/>
  <c r="U271" i="233"/>
  <c r="T271" i="233"/>
  <c r="H271" i="233"/>
  <c r="H29" i="233"/>
  <c r="H27" i="233"/>
  <c r="H28" i="233"/>
  <c r="H23" i="233"/>
  <c r="U270" i="233"/>
  <c r="T270" i="233"/>
  <c r="H270" i="233"/>
  <c r="H22" i="233"/>
  <c r="H82" i="233"/>
  <c r="H83" i="233"/>
  <c r="H75" i="233"/>
  <c r="H76" i="233"/>
  <c r="H74" i="233"/>
  <c r="U269" i="233"/>
  <c r="T269" i="233"/>
  <c r="H269" i="233"/>
  <c r="H80" i="233"/>
  <c r="U268" i="233"/>
  <c r="T268" i="233"/>
  <c r="H268" i="233"/>
  <c r="H81" i="233"/>
  <c r="U267" i="233"/>
  <c r="T267" i="233"/>
  <c r="H267" i="233"/>
  <c r="H79" i="233"/>
  <c r="H77" i="233"/>
  <c r="H78" i="233"/>
  <c r="H73" i="233"/>
  <c r="U266" i="233"/>
  <c r="T266" i="233"/>
  <c r="H266" i="233"/>
  <c r="H72" i="233"/>
  <c r="H18" i="233"/>
  <c r="H12" i="233"/>
  <c r="H13" i="233"/>
  <c r="H11" i="233"/>
  <c r="U295" i="233"/>
  <c r="T295" i="233"/>
  <c r="H19" i="233"/>
  <c r="U265" i="233"/>
  <c r="T265" i="233"/>
  <c r="H265" i="233"/>
  <c r="H16" i="233"/>
  <c r="U264" i="233"/>
  <c r="T264" i="233"/>
  <c r="H264" i="233"/>
  <c r="H17" i="233"/>
  <c r="U263" i="233"/>
  <c r="T263" i="233"/>
  <c r="H263" i="233"/>
  <c r="H15" i="233"/>
  <c r="H14" i="233"/>
  <c r="H10" i="233"/>
  <c r="U262" i="233"/>
  <c r="T262" i="233"/>
  <c r="H262" i="233"/>
  <c r="H9" i="233"/>
  <c r="H69" i="233"/>
  <c r="H63" i="233"/>
  <c r="H64" i="233"/>
  <c r="H62" i="233"/>
  <c r="U261" i="233"/>
  <c r="T261" i="233"/>
  <c r="H261" i="233"/>
  <c r="H67" i="233"/>
  <c r="U260" i="233"/>
  <c r="T260" i="233"/>
  <c r="H260" i="233"/>
  <c r="H68" i="233"/>
  <c r="U259" i="233"/>
  <c r="T259" i="233"/>
  <c r="H259" i="233"/>
  <c r="H66" i="233"/>
  <c r="H65" i="233"/>
  <c r="H61" i="233"/>
  <c r="U258" i="233"/>
  <c r="T258" i="233"/>
  <c r="H258" i="233"/>
  <c r="H60" i="233"/>
  <c r="H117" i="233"/>
  <c r="U257" i="233"/>
  <c r="T257" i="233"/>
  <c r="H257" i="233"/>
  <c r="H115" i="233"/>
  <c r="U256" i="233"/>
  <c r="T256" i="233"/>
  <c r="H256" i="233"/>
  <c r="H116" i="233"/>
  <c r="U255" i="233"/>
  <c r="T255" i="233"/>
  <c r="H255" i="233"/>
  <c r="H114" i="233"/>
  <c r="H113" i="233"/>
  <c r="H112" i="233"/>
  <c r="H111" i="233"/>
  <c r="U254" i="233"/>
  <c r="T254" i="233"/>
  <c r="H254" i="233"/>
  <c r="H110" i="233"/>
  <c r="H137" i="233"/>
  <c r="H135" i="233"/>
  <c r="H136" i="233"/>
  <c r="U253" i="233"/>
  <c r="T253" i="233"/>
  <c r="H253" i="233"/>
  <c r="H133" i="233"/>
  <c r="U252" i="233"/>
  <c r="T252" i="233"/>
  <c r="H252" i="233"/>
  <c r="H134" i="233"/>
  <c r="U251" i="233"/>
  <c r="T251" i="233"/>
  <c r="H251" i="233"/>
  <c r="H132" i="233"/>
  <c r="H131" i="233"/>
  <c r="H130" i="233"/>
  <c r="H129" i="233"/>
  <c r="U250" i="233"/>
  <c r="T250" i="233"/>
  <c r="H250" i="233"/>
  <c r="H128" i="233"/>
  <c r="H127" i="233"/>
  <c r="H125" i="233"/>
  <c r="H126" i="233"/>
  <c r="U249" i="233"/>
  <c r="T249" i="233"/>
  <c r="H249" i="233"/>
  <c r="H123" i="233"/>
  <c r="U248" i="233"/>
  <c r="T248" i="233"/>
  <c r="H248" i="233"/>
  <c r="H124" i="233"/>
  <c r="U247" i="233"/>
  <c r="T247" i="233"/>
  <c r="H247" i="233"/>
  <c r="H122" i="233"/>
  <c r="H121" i="233"/>
  <c r="H120" i="233"/>
  <c r="H119" i="233"/>
  <c r="U246" i="233"/>
  <c r="T246" i="233"/>
  <c r="H246" i="233"/>
  <c r="H118" i="233"/>
  <c r="H43" i="233"/>
  <c r="H47" i="233"/>
  <c r="H45" i="233"/>
  <c r="H46" i="233"/>
  <c r="H44" i="233"/>
  <c r="U245" i="233"/>
  <c r="T245" i="233"/>
  <c r="H245" i="233"/>
  <c r="H41" i="233"/>
  <c r="U244" i="233"/>
  <c r="T244" i="233"/>
  <c r="H244" i="233"/>
  <c r="H42" i="233"/>
  <c r="U243" i="233"/>
  <c r="T243" i="233"/>
  <c r="H243" i="233"/>
  <c r="H40" i="233"/>
  <c r="H38" i="233"/>
  <c r="H39" i="233"/>
  <c r="H37" i="233"/>
  <c r="U242" i="233"/>
  <c r="T242" i="233"/>
  <c r="H242" i="233"/>
  <c r="H36" i="233"/>
  <c r="H93" i="233"/>
  <c r="H97" i="233"/>
  <c r="H95" i="233"/>
  <c r="H96" i="233"/>
  <c r="H94" i="233"/>
  <c r="U241" i="233"/>
  <c r="T241" i="233"/>
  <c r="H241" i="233"/>
  <c r="H92" i="233"/>
  <c r="U240" i="233"/>
  <c r="T240" i="233"/>
  <c r="H240" i="233"/>
  <c r="H90" i="233"/>
  <c r="U239" i="233"/>
  <c r="T239" i="233"/>
  <c r="H239" i="233"/>
  <c r="H91" i="233"/>
  <c r="H88" i="233"/>
  <c r="H89" i="233"/>
  <c r="H87" i="233"/>
  <c r="U238" i="233"/>
  <c r="T238" i="233"/>
  <c r="H238" i="233"/>
  <c r="M86" i="233"/>
  <c r="H86" i="233"/>
  <c r="H35" i="233"/>
  <c r="H34" i="233"/>
  <c r="H85" i="233"/>
  <c r="H84" i="233"/>
  <c r="M55" i="233"/>
  <c r="H55" i="233"/>
  <c r="M59" i="233"/>
  <c r="H59" i="233"/>
  <c r="M57" i="233"/>
  <c r="H57" i="233"/>
  <c r="M58" i="233"/>
  <c r="H58" i="233"/>
  <c r="M56" i="233"/>
  <c r="H56" i="233"/>
  <c r="U237" i="233"/>
  <c r="T237" i="233"/>
  <c r="H237" i="233"/>
  <c r="M53" i="233"/>
  <c r="H53" i="233"/>
  <c r="U236" i="233"/>
  <c r="Q236" i="233"/>
  <c r="T236" i="233" s="1"/>
  <c r="H236" i="233"/>
  <c r="M54" i="233"/>
  <c r="H54" i="233"/>
  <c r="U235" i="233"/>
  <c r="T235" i="233"/>
  <c r="H235" i="233"/>
  <c r="M52" i="233"/>
  <c r="H52" i="233"/>
  <c r="Q50" i="233"/>
  <c r="H50" i="233"/>
  <c r="Q51" i="233"/>
  <c r="H51" i="233"/>
  <c r="M49" i="233"/>
  <c r="H49" i="233"/>
  <c r="M234" i="233"/>
  <c r="H234" i="233"/>
  <c r="M48" i="233"/>
  <c r="H48" i="233"/>
  <c r="M105" i="233"/>
  <c r="H105" i="233"/>
  <c r="M109" i="233"/>
  <c r="H109" i="233"/>
  <c r="M107" i="233"/>
  <c r="H107" i="233"/>
  <c r="M108" i="233"/>
  <c r="H108" i="233"/>
  <c r="M106" i="233"/>
  <c r="H106" i="233"/>
  <c r="U233" i="233"/>
  <c r="T233" i="233"/>
  <c r="H233" i="233"/>
  <c r="H104" i="233"/>
  <c r="U232" i="233"/>
  <c r="T232" i="233"/>
  <c r="H232" i="233"/>
  <c r="M102" i="233"/>
  <c r="H102" i="233"/>
  <c r="U294" i="233"/>
  <c r="T294" i="233"/>
  <c r="H103" i="233"/>
  <c r="H100" i="233"/>
  <c r="M101" i="233"/>
  <c r="H101" i="233"/>
  <c r="M99" i="233"/>
  <c r="H99" i="233"/>
  <c r="M231" i="233"/>
  <c r="U231" i="233" s="1"/>
  <c r="H231" i="233"/>
  <c r="M98" i="233"/>
  <c r="H98" i="233"/>
  <c r="F33" i="250"/>
  <c r="C33" i="250"/>
  <c r="D33" i="250" s="1"/>
  <c r="F32" i="250"/>
  <c r="C32" i="250"/>
  <c r="D32" i="250" s="1"/>
  <c r="F31" i="250"/>
  <c r="C31" i="250"/>
  <c r="D31" i="250" s="1"/>
  <c r="F30" i="250"/>
  <c r="B20" i="231" s="1"/>
  <c r="C30" i="250"/>
  <c r="D30" i="250" s="1"/>
  <c r="F29" i="250"/>
  <c r="C29" i="250"/>
  <c r="D29" i="250" s="1"/>
  <c r="F28" i="250"/>
  <c r="C28" i="250"/>
  <c r="D28" i="250" s="1"/>
  <c r="F27" i="250"/>
  <c r="C27" i="250"/>
  <c r="D27" i="250" s="1"/>
  <c r="F26" i="250"/>
  <c r="C26" i="250"/>
  <c r="D26" i="250" s="1"/>
  <c r="F25" i="250"/>
  <c r="C25" i="250"/>
  <c r="D25" i="250" s="1"/>
  <c r="F24" i="250"/>
  <c r="C24" i="250"/>
  <c r="D24" i="250" s="1"/>
  <c r="F23" i="250"/>
  <c r="C23" i="250"/>
  <c r="D23" i="250" s="1"/>
  <c r="F22" i="250"/>
  <c r="C22" i="250"/>
  <c r="D22" i="250" s="1"/>
  <c r="F21" i="250"/>
  <c r="B15" i="231" s="1"/>
  <c r="C21" i="250"/>
  <c r="D21" i="250" s="1"/>
  <c r="C20" i="250"/>
  <c r="D20" i="250" s="1"/>
  <c r="F19" i="250"/>
  <c r="B13" i="231" s="1"/>
  <c r="C19" i="250"/>
  <c r="D19" i="250" s="1"/>
  <c r="F18" i="250"/>
  <c r="B12" i="231" s="1"/>
  <c r="C18" i="250"/>
  <c r="D18" i="250" s="1"/>
  <c r="F17" i="250"/>
  <c r="C17" i="250"/>
  <c r="D17" i="250" s="1"/>
  <c r="F16" i="250"/>
  <c r="B19" i="231" s="1"/>
  <c r="C16" i="250"/>
  <c r="D16" i="250" s="1"/>
  <c r="F15" i="250"/>
  <c r="C15" i="250"/>
  <c r="D15" i="250" s="1"/>
  <c r="F14" i="250"/>
  <c r="B10" i="231" s="1"/>
  <c r="C14" i="250"/>
  <c r="D14" i="250" s="1"/>
  <c r="F13" i="250"/>
  <c r="C13" i="250"/>
  <c r="D13" i="250" s="1"/>
  <c r="F12" i="250"/>
  <c r="C12" i="250"/>
  <c r="D12" i="250" s="1"/>
  <c r="F11" i="250"/>
  <c r="C11" i="250"/>
  <c r="D11" i="250" s="1"/>
  <c r="F10" i="250"/>
  <c r="C10" i="250"/>
  <c r="D10" i="250" s="1"/>
  <c r="F9" i="250"/>
  <c r="C9" i="250"/>
  <c r="D9" i="250" s="1"/>
  <c r="F8" i="250"/>
  <c r="D8" i="250"/>
  <c r="F7" i="250"/>
  <c r="C7" i="250"/>
  <c r="D7" i="250" s="1"/>
  <c r="F6" i="250"/>
  <c r="C6" i="250"/>
  <c r="D6" i="250" s="1"/>
  <c r="F5" i="250"/>
  <c r="C5" i="250"/>
  <c r="D5" i="250" s="1"/>
  <c r="F4" i="250"/>
  <c r="C4" i="250"/>
  <c r="D4" i="250" s="1"/>
  <c r="F3" i="250"/>
  <c r="C3" i="250"/>
  <c r="D3" i="250" s="1"/>
  <c r="C2" i="250"/>
  <c r="D2" i="250" s="1"/>
  <c r="C57" i="237"/>
  <c r="C56" i="237"/>
  <c r="C55" i="237"/>
  <c r="C54" i="237"/>
  <c r="C53" i="237"/>
  <c r="C51" i="237"/>
  <c r="S8" i="235"/>
  <c r="S6" i="235"/>
  <c r="S5" i="235"/>
  <c r="K24" i="212"/>
  <c r="I32" i="211"/>
  <c r="A65" i="231"/>
  <c r="A64" i="231"/>
  <c r="A63" i="231"/>
  <c r="A49" i="231"/>
  <c r="A48" i="231"/>
  <c r="A47" i="231"/>
  <c r="A46" i="231"/>
  <c r="A45" i="231"/>
  <c r="A44" i="231"/>
  <c r="L10" i="228"/>
  <c r="J10" i="228"/>
  <c r="C126" i="227"/>
  <c r="C125" i="227"/>
  <c r="C124" i="227"/>
  <c r="C123" i="227"/>
  <c r="C122" i="227"/>
  <c r="C121" i="227"/>
  <c r="C120" i="227"/>
  <c r="C119" i="227"/>
  <c r="C118" i="227"/>
  <c r="C117" i="227"/>
  <c r="C116" i="227"/>
  <c r="L97" i="227"/>
  <c r="C115" i="227"/>
  <c r="C114" i="227"/>
  <c r="C113" i="227"/>
  <c r="C112" i="227"/>
  <c r="C111" i="227"/>
  <c r="C110" i="227"/>
  <c r="C109" i="227"/>
  <c r="C108" i="227"/>
  <c r="C107" i="227"/>
  <c r="C106" i="227"/>
  <c r="C105" i="227"/>
  <c r="C104" i="227"/>
  <c r="C103" i="227"/>
  <c r="C102" i="227"/>
  <c r="C101" i="227"/>
  <c r="C100" i="227"/>
  <c r="C99" i="227"/>
  <c r="C98" i="227"/>
  <c r="C97" i="227"/>
  <c r="C85" i="227"/>
  <c r="C84" i="227"/>
  <c r="C83" i="227"/>
  <c r="C82" i="227"/>
  <c r="C81" i="227"/>
  <c r="C80" i="227"/>
  <c r="C79" i="227"/>
  <c r="C78" i="227"/>
  <c r="C77" i="227"/>
  <c r="C76" i="227"/>
  <c r="C75" i="227"/>
  <c r="C74" i="227"/>
  <c r="C73" i="227"/>
  <c r="C72" i="227"/>
  <c r="C71" i="227"/>
  <c r="C70" i="227"/>
  <c r="C69" i="227"/>
  <c r="C68" i="227"/>
  <c r="C67" i="227"/>
  <c r="C66" i="227"/>
  <c r="C65" i="227"/>
  <c r="C64" i="227"/>
  <c r="C63" i="227"/>
  <c r="C62" i="227"/>
  <c r="C61" i="227"/>
  <c r="C60" i="227"/>
  <c r="C59" i="227"/>
  <c r="C58" i="227"/>
  <c r="C57" i="227"/>
  <c r="C56" i="227"/>
  <c r="D49" i="227"/>
  <c r="D50" i="227" s="1"/>
  <c r="C44" i="227"/>
  <c r="C43" i="227"/>
  <c r="C42" i="227"/>
  <c r="C41" i="227"/>
  <c r="C40" i="227"/>
  <c r="C39" i="227"/>
  <c r="C38" i="227"/>
  <c r="C37" i="227"/>
  <c r="C36" i="227"/>
  <c r="C35" i="227"/>
  <c r="C34" i="227"/>
  <c r="C33" i="227"/>
  <c r="C32" i="227"/>
  <c r="C31" i="227"/>
  <c r="C30" i="227"/>
  <c r="C29" i="227"/>
  <c r="C28" i="227"/>
  <c r="C27" i="227"/>
  <c r="C26" i="227"/>
  <c r="C25" i="227"/>
  <c r="C24" i="227"/>
  <c r="C23" i="227"/>
  <c r="C22" i="227"/>
  <c r="C21" i="227"/>
  <c r="C20" i="227"/>
  <c r="C19" i="227"/>
  <c r="C18" i="227"/>
  <c r="C17" i="227"/>
  <c r="C16" i="227"/>
  <c r="C15" i="227"/>
  <c r="D7" i="227"/>
  <c r="E34" i="211"/>
  <c r="E29" i="211"/>
  <c r="F9" i="60" s="1"/>
  <c r="C28" i="211"/>
  <c r="E48" i="223"/>
  <c r="E43" i="223"/>
  <c r="B4" i="223"/>
  <c r="B3" i="223"/>
  <c r="B4" i="222"/>
  <c r="B3" i="222"/>
  <c r="E16" i="221"/>
  <c r="D16" i="221"/>
  <c r="E15" i="221"/>
  <c r="D15" i="221"/>
  <c r="B4" i="221"/>
  <c r="B3" i="221"/>
  <c r="B4" i="220"/>
  <c r="B3" i="220"/>
  <c r="D75" i="219"/>
  <c r="D74" i="219"/>
  <c r="C47" i="219"/>
  <c r="E47" i="219" s="1"/>
  <c r="G46" i="219"/>
  <c r="C46" i="219"/>
  <c r="E46" i="219" s="1"/>
  <c r="C43" i="219"/>
  <c r="E43" i="219" s="1"/>
  <c r="C42" i="219"/>
  <c r="E42" i="219" s="1"/>
  <c r="G41" i="219"/>
  <c r="C41" i="219"/>
  <c r="E41" i="219" s="1"/>
  <c r="C40" i="219"/>
  <c r="E40" i="219" s="1"/>
  <c r="C39" i="219"/>
  <c r="E39" i="219" s="1"/>
  <c r="C38" i="219"/>
  <c r="E38" i="219" s="1"/>
  <c r="C35" i="219"/>
  <c r="C34" i="219"/>
  <c r="C33" i="219"/>
  <c r="E33" i="219" s="1"/>
  <c r="C32" i="219"/>
  <c r="E32" i="219" s="1"/>
  <c r="C31" i="219"/>
  <c r="E31" i="219" s="1"/>
  <c r="B4" i="219"/>
  <c r="B3" i="219"/>
  <c r="D37" i="214"/>
  <c r="C37" i="214"/>
  <c r="D36" i="214"/>
  <c r="C36" i="214"/>
  <c r="D35" i="214"/>
  <c r="C35" i="214"/>
  <c r="D34" i="214"/>
  <c r="C34" i="214"/>
  <c r="D33" i="214"/>
  <c r="C33" i="214"/>
  <c r="E33" i="214" s="1"/>
  <c r="D32" i="214"/>
  <c r="C32" i="214"/>
  <c r="F2" i="213"/>
  <c r="H43" i="213"/>
  <c r="G43" i="213"/>
  <c r="F26" i="212"/>
  <c r="D26" i="212"/>
  <c r="F2" i="211"/>
  <c r="AD24" i="210"/>
  <c r="V18" i="209"/>
  <c r="D31" i="135"/>
  <c r="D32" i="135"/>
  <c r="D33" i="135"/>
  <c r="D34" i="135"/>
  <c r="D35" i="135"/>
  <c r="D36" i="135"/>
  <c r="D37" i="135"/>
  <c r="D38" i="135"/>
  <c r="D39" i="135"/>
  <c r="D44" i="135"/>
  <c r="D47" i="135"/>
  <c r="D3" i="63"/>
  <c r="D102" i="63" s="1"/>
  <c r="AK43" i="55" l="1"/>
  <c r="AK43" i="56"/>
  <c r="H39" i="219"/>
  <c r="I39" i="219" s="1"/>
  <c r="K39" i="219" s="1"/>
  <c r="H39" i="135"/>
  <c r="E37" i="214"/>
  <c r="D54" i="63"/>
  <c r="D635" i="63"/>
  <c r="E7" i="221"/>
  <c r="I7" i="221" s="1"/>
  <c r="AF11" i="210" s="1"/>
  <c r="AG11" i="210" s="1"/>
  <c r="E36" i="214"/>
  <c r="D726" i="63"/>
  <c r="D723" i="63"/>
  <c r="D653" i="63"/>
  <c r="T7" i="235"/>
  <c r="D1466" i="63"/>
  <c r="D1463" i="63"/>
  <c r="D1456" i="63"/>
  <c r="D1447" i="63"/>
  <c r="D1449" i="63"/>
  <c r="D1460" i="63"/>
  <c r="D1465" i="63"/>
  <c r="D1462" i="63"/>
  <c r="D1459" i="63"/>
  <c r="D1469" i="63"/>
  <c r="D1454" i="63"/>
  <c r="D1451" i="63"/>
  <c r="D1468" i="63"/>
  <c r="D1448" i="63"/>
  <c r="D1461" i="63"/>
  <c r="D1457" i="63"/>
  <c r="D1453" i="63"/>
  <c r="D1450" i="63"/>
  <c r="D1467" i="63"/>
  <c r="D1455" i="63"/>
  <c r="Y208" i="233"/>
  <c r="Y205" i="233"/>
  <c r="Y169" i="233"/>
  <c r="Y161" i="233"/>
  <c r="Y207" i="233"/>
  <c r="AV5" i="254"/>
  <c r="AK43" i="255"/>
  <c r="U196" i="233"/>
  <c r="R4" i="235"/>
  <c r="T4" i="235" s="1"/>
  <c r="E7" i="214"/>
  <c r="U197" i="233"/>
  <c r="T287" i="233"/>
  <c r="T220" i="233"/>
  <c r="U209" i="233"/>
  <c r="B105" i="219"/>
  <c r="D101" i="219"/>
  <c r="E9" i="214"/>
  <c r="J9" i="214" s="1"/>
  <c r="R6" i="235"/>
  <c r="T6" i="235" s="1"/>
  <c r="E10" i="214"/>
  <c r="E11" i="214"/>
  <c r="R8" i="235"/>
  <c r="T8" i="235" s="1"/>
  <c r="E12" i="214"/>
  <c r="E13" i="214"/>
  <c r="R10" i="235"/>
  <c r="T10" i="235" s="1"/>
  <c r="E8" i="214"/>
  <c r="J8" i="214" s="1"/>
  <c r="R5" i="235"/>
  <c r="T5" i="235" s="1"/>
  <c r="E34" i="214"/>
  <c r="E35" i="214"/>
  <c r="T231" i="233"/>
  <c r="T215" i="233"/>
  <c r="U200" i="233"/>
  <c r="U291" i="233"/>
  <c r="C38" i="214"/>
  <c r="T188" i="233"/>
  <c r="U292" i="233"/>
  <c r="M110" i="232"/>
  <c r="R110" i="232" s="1"/>
  <c r="T110" i="232" s="1"/>
  <c r="U110" i="232" s="1"/>
  <c r="U202" i="233"/>
  <c r="U217" i="233"/>
  <c r="T213" i="233"/>
  <c r="T191" i="233"/>
  <c r="M166" i="232"/>
  <c r="R166" i="232" s="1"/>
  <c r="T166" i="232" s="1"/>
  <c r="U166" i="232" s="1"/>
  <c r="U234" i="233"/>
  <c r="T234" i="233"/>
  <c r="T281" i="233"/>
  <c r="T193" i="233"/>
  <c r="U193" i="233"/>
  <c r="M12" i="232"/>
  <c r="O12" i="232" s="1"/>
  <c r="P12" i="232" s="1"/>
  <c r="M20" i="232"/>
  <c r="O20" i="232" s="1"/>
  <c r="P20" i="232" s="1"/>
  <c r="M28" i="232"/>
  <c r="R28" i="232" s="1"/>
  <c r="T28" i="232" s="1"/>
  <c r="U28" i="232" s="1"/>
  <c r="M36" i="232"/>
  <c r="R36" i="232" s="1"/>
  <c r="T36" i="232" s="1"/>
  <c r="U36" i="232" s="1"/>
  <c r="M52" i="232"/>
  <c r="R52" i="232" s="1"/>
  <c r="T52" i="232" s="1"/>
  <c r="U52" i="232" s="1"/>
  <c r="M60" i="232"/>
  <c r="R60" i="232" s="1"/>
  <c r="T60" i="232" s="1"/>
  <c r="U60" i="232" s="1"/>
  <c r="M68" i="232"/>
  <c r="O68" i="232" s="1"/>
  <c r="P68" i="232" s="1"/>
  <c r="M76" i="232"/>
  <c r="O76" i="232" s="1"/>
  <c r="P76" i="232" s="1"/>
  <c r="M84" i="232"/>
  <c r="O84" i="232" s="1"/>
  <c r="P84" i="232" s="1"/>
  <c r="M92" i="232"/>
  <c r="R92" i="232" s="1"/>
  <c r="T92" i="232" s="1"/>
  <c r="U92" i="232" s="1"/>
  <c r="M100" i="232"/>
  <c r="O100" i="232" s="1"/>
  <c r="P100" i="232" s="1"/>
  <c r="M108" i="232"/>
  <c r="O108" i="232" s="1"/>
  <c r="P108" i="232" s="1"/>
  <c r="M115" i="232"/>
  <c r="O115" i="232" s="1"/>
  <c r="P115" i="232" s="1"/>
  <c r="M123" i="232"/>
  <c r="O123" i="232" s="1"/>
  <c r="P123" i="232" s="1"/>
  <c r="M131" i="232"/>
  <c r="M139" i="232"/>
  <c r="O139" i="232" s="1"/>
  <c r="P139" i="232" s="1"/>
  <c r="M147" i="232"/>
  <c r="O147" i="232" s="1"/>
  <c r="P147" i="232" s="1"/>
  <c r="M155" i="232"/>
  <c r="O155" i="232" s="1"/>
  <c r="P155" i="232" s="1"/>
  <c r="M163" i="232"/>
  <c r="R163" i="232" s="1"/>
  <c r="T163" i="232" s="1"/>
  <c r="U163" i="232" s="1"/>
  <c r="M171" i="232"/>
  <c r="R171" i="232" s="1"/>
  <c r="T171" i="232" s="1"/>
  <c r="U171" i="232" s="1"/>
  <c r="M178" i="232"/>
  <c r="M182" i="232"/>
  <c r="M187" i="232"/>
  <c r="M198" i="232"/>
  <c r="M202" i="232"/>
  <c r="M210" i="232"/>
  <c r="M214" i="232"/>
  <c r="M218" i="232"/>
  <c r="M222" i="232"/>
  <c r="O222" i="232" s="1"/>
  <c r="P222" i="232" s="1"/>
  <c r="M226" i="232"/>
  <c r="R226" i="232" s="1"/>
  <c r="T226" i="232" s="1"/>
  <c r="U226" i="232" s="1"/>
  <c r="M188" i="232"/>
  <c r="U198" i="233"/>
  <c r="T198" i="233"/>
  <c r="M132" i="232"/>
  <c r="R132" i="232" s="1"/>
  <c r="T132" i="232" s="1"/>
  <c r="U132" i="232" s="1"/>
  <c r="U216" i="233"/>
  <c r="T216" i="233"/>
  <c r="M7" i="232"/>
  <c r="R7" i="232" s="1"/>
  <c r="T7" i="232" s="1"/>
  <c r="U7" i="232" s="1"/>
  <c r="M15" i="232"/>
  <c r="R15" i="232" s="1"/>
  <c r="T15" i="232" s="1"/>
  <c r="U15" i="232" s="1"/>
  <c r="M23" i="232"/>
  <c r="R23" i="232" s="1"/>
  <c r="T23" i="232" s="1"/>
  <c r="U23" i="232" s="1"/>
  <c r="M31" i="232"/>
  <c r="R31" i="232" s="1"/>
  <c r="T31" i="232" s="1"/>
  <c r="U31" i="232" s="1"/>
  <c r="M39" i="232"/>
  <c r="R39" i="232" s="1"/>
  <c r="T39" i="232" s="1"/>
  <c r="U39" i="232" s="1"/>
  <c r="M63" i="232"/>
  <c r="O63" i="232" s="1"/>
  <c r="P63" i="232" s="1"/>
  <c r="M71" i="232"/>
  <c r="R71" i="232" s="1"/>
  <c r="T71" i="232" s="1"/>
  <c r="U71" i="232" s="1"/>
  <c r="M79" i="232"/>
  <c r="R79" i="232" s="1"/>
  <c r="T79" i="232" s="1"/>
  <c r="U79" i="232" s="1"/>
  <c r="M87" i="232"/>
  <c r="R87" i="232" s="1"/>
  <c r="T87" i="232" s="1"/>
  <c r="U87" i="232" s="1"/>
  <c r="M95" i="232"/>
  <c r="R95" i="232" s="1"/>
  <c r="T95" i="232" s="1"/>
  <c r="U95" i="232" s="1"/>
  <c r="M103" i="232"/>
  <c r="R103" i="232" s="1"/>
  <c r="T103" i="232" s="1"/>
  <c r="U103" i="232" s="1"/>
  <c r="M111" i="232"/>
  <c r="R111" i="232" s="1"/>
  <c r="T111" i="232" s="1"/>
  <c r="U111" i="232" s="1"/>
  <c r="M118" i="232"/>
  <c r="O118" i="232" s="1"/>
  <c r="P118" i="232" s="1"/>
  <c r="M126" i="232"/>
  <c r="R126" i="232" s="1"/>
  <c r="T126" i="232" s="1"/>
  <c r="U126" i="232" s="1"/>
  <c r="M134" i="232"/>
  <c r="O134" i="232" s="1"/>
  <c r="P134" i="232" s="1"/>
  <c r="M142" i="232"/>
  <c r="O142" i="232" s="1"/>
  <c r="P142" i="232" s="1"/>
  <c r="M150" i="232"/>
  <c r="O150" i="232" s="1"/>
  <c r="P150" i="232" s="1"/>
  <c r="M158" i="232"/>
  <c r="R158" i="232" s="1"/>
  <c r="T158" i="232" s="1"/>
  <c r="U158" i="232" s="1"/>
  <c r="M174" i="232"/>
  <c r="O174" i="232" s="1"/>
  <c r="P174" i="232" s="1"/>
  <c r="M184" i="232"/>
  <c r="O184" i="232" s="1"/>
  <c r="P184" i="232" s="1"/>
  <c r="U211" i="233"/>
  <c r="T211" i="233"/>
  <c r="T194" i="233"/>
  <c r="M44" i="232"/>
  <c r="R44" i="232" s="1"/>
  <c r="T44" i="232" s="1"/>
  <c r="U44" i="232" s="1"/>
  <c r="U279" i="233"/>
  <c r="U214" i="233"/>
  <c r="T214" i="233"/>
  <c r="T190" i="233"/>
  <c r="U190" i="233"/>
  <c r="M91" i="232"/>
  <c r="O91" i="232" s="1"/>
  <c r="P91" i="232" s="1"/>
  <c r="T289" i="233"/>
  <c r="U289" i="233"/>
  <c r="M10" i="232"/>
  <c r="R10" i="232" s="1"/>
  <c r="T10" i="232" s="1"/>
  <c r="U10" i="232" s="1"/>
  <c r="M18" i="232"/>
  <c r="O18" i="232" s="1"/>
  <c r="P18" i="232" s="1"/>
  <c r="M26" i="232"/>
  <c r="R26" i="232" s="1"/>
  <c r="T26" i="232" s="1"/>
  <c r="U26" i="232" s="1"/>
  <c r="M34" i="232"/>
  <c r="O34" i="232" s="1"/>
  <c r="P34" i="232" s="1"/>
  <c r="M42" i="232"/>
  <c r="O42" i="232" s="1"/>
  <c r="P42" i="232" s="1"/>
  <c r="M50" i="232"/>
  <c r="O50" i="232" s="1"/>
  <c r="P50" i="232" s="1"/>
  <c r="M58" i="232"/>
  <c r="O58" i="232" s="1"/>
  <c r="P58" i="232" s="1"/>
  <c r="M66" i="232"/>
  <c r="O66" i="232" s="1"/>
  <c r="P66" i="232" s="1"/>
  <c r="M74" i="232"/>
  <c r="O74" i="232" s="1"/>
  <c r="P74" i="232" s="1"/>
  <c r="M121" i="232"/>
  <c r="R121" i="232" s="1"/>
  <c r="T121" i="232" s="1"/>
  <c r="U121" i="232" s="1"/>
  <c r="M169" i="232"/>
  <c r="R169" i="232" s="1"/>
  <c r="T169" i="232" s="1"/>
  <c r="U169" i="232" s="1"/>
  <c r="M177" i="232"/>
  <c r="M181" i="232"/>
  <c r="O181" i="232" s="1"/>
  <c r="P181" i="232" s="1"/>
  <c r="M186" i="232"/>
  <c r="M189" i="232"/>
  <c r="R189" i="232" s="1"/>
  <c r="T189" i="232" s="1"/>
  <c r="U189" i="232" s="1"/>
  <c r="M193" i="232"/>
  <c r="R193" i="232" s="1"/>
  <c r="T193" i="232" s="1"/>
  <c r="U193" i="232" s="1"/>
  <c r="M197" i="232"/>
  <c r="M201" i="232"/>
  <c r="M205" i="232"/>
  <c r="R205" i="232" s="1"/>
  <c r="T205" i="232" s="1"/>
  <c r="U205" i="232" s="1"/>
  <c r="M209" i="232"/>
  <c r="O209" i="232" s="1"/>
  <c r="P209" i="232" s="1"/>
  <c r="M213" i="232"/>
  <c r="R213" i="232" s="1"/>
  <c r="T213" i="232" s="1"/>
  <c r="U213" i="232" s="1"/>
  <c r="M217" i="232"/>
  <c r="R217" i="232" s="1"/>
  <c r="T217" i="232" s="1"/>
  <c r="U217" i="232" s="1"/>
  <c r="M221" i="232"/>
  <c r="R221" i="232" s="1"/>
  <c r="T221" i="232" s="1"/>
  <c r="U221" i="232" s="1"/>
  <c r="M225" i="232"/>
  <c r="R225" i="232" s="1"/>
  <c r="T225" i="232" s="1"/>
  <c r="U225" i="232" s="1"/>
  <c r="M11" i="232"/>
  <c r="O11" i="232" s="1"/>
  <c r="P11" i="232" s="1"/>
  <c r="M19" i="232"/>
  <c r="O19" i="232" s="1"/>
  <c r="P19" i="232" s="1"/>
  <c r="M27" i="232"/>
  <c r="O27" i="232" s="1"/>
  <c r="P27" i="232" s="1"/>
  <c r="M35" i="232"/>
  <c r="M43" i="232"/>
  <c r="M51" i="232"/>
  <c r="O51" i="232" s="1"/>
  <c r="P51" i="232" s="1"/>
  <c r="M59" i="232"/>
  <c r="R59" i="232" s="1"/>
  <c r="T59" i="232" s="1"/>
  <c r="U59" i="232" s="1"/>
  <c r="M67" i="232"/>
  <c r="O67" i="232" s="1"/>
  <c r="P67" i="232" s="1"/>
  <c r="M75" i="232"/>
  <c r="R75" i="232" s="1"/>
  <c r="T75" i="232" s="1"/>
  <c r="U75" i="232" s="1"/>
  <c r="M83" i="232"/>
  <c r="R83" i="232" s="1"/>
  <c r="T83" i="232" s="1"/>
  <c r="U83" i="232" s="1"/>
  <c r="M99" i="232"/>
  <c r="R99" i="232" s="1"/>
  <c r="T99" i="232" s="1"/>
  <c r="U99" i="232" s="1"/>
  <c r="M107" i="232"/>
  <c r="R107" i="232" s="1"/>
  <c r="T107" i="232" s="1"/>
  <c r="U107" i="232" s="1"/>
  <c r="M114" i="232"/>
  <c r="O114" i="232" s="1"/>
  <c r="P114" i="232" s="1"/>
  <c r="M122" i="232"/>
  <c r="R122" i="232" s="1"/>
  <c r="T122" i="232" s="1"/>
  <c r="U122" i="232" s="1"/>
  <c r="M130" i="232"/>
  <c r="R130" i="232" s="1"/>
  <c r="T130" i="232" s="1"/>
  <c r="U130" i="232" s="1"/>
  <c r="M138" i="232"/>
  <c r="R138" i="232" s="1"/>
  <c r="T138" i="232" s="1"/>
  <c r="U138" i="232" s="1"/>
  <c r="M146" i="232"/>
  <c r="O146" i="232" s="1"/>
  <c r="P146" i="232" s="1"/>
  <c r="M154" i="232"/>
  <c r="R154" i="232" s="1"/>
  <c r="T154" i="232" s="1"/>
  <c r="U154" i="232" s="1"/>
  <c r="M162" i="232"/>
  <c r="B10" i="219"/>
  <c r="M5" i="232"/>
  <c r="M13" i="232"/>
  <c r="M21" i="232"/>
  <c r="O21" i="232" s="1"/>
  <c r="P21" i="232" s="1"/>
  <c r="M29" i="232"/>
  <c r="R29" i="232" s="1"/>
  <c r="T29" i="232" s="1"/>
  <c r="U29" i="232" s="1"/>
  <c r="M37" i="232"/>
  <c r="R37" i="232" s="1"/>
  <c r="T37" i="232" s="1"/>
  <c r="U37" i="232" s="1"/>
  <c r="M45" i="232"/>
  <c r="R45" i="232" s="1"/>
  <c r="T45" i="232" s="1"/>
  <c r="U45" i="232" s="1"/>
  <c r="M53" i="232"/>
  <c r="R53" i="232" s="1"/>
  <c r="T53" i="232" s="1"/>
  <c r="U53" i="232" s="1"/>
  <c r="M61" i="232"/>
  <c r="R61" i="232" s="1"/>
  <c r="T61" i="232" s="1"/>
  <c r="U61" i="232" s="1"/>
  <c r="M69" i="232"/>
  <c r="R69" i="232" s="1"/>
  <c r="T69" i="232" s="1"/>
  <c r="U69" i="232" s="1"/>
  <c r="M77" i="232"/>
  <c r="R77" i="232" s="1"/>
  <c r="T77" i="232" s="1"/>
  <c r="U77" i="232" s="1"/>
  <c r="M85" i="232"/>
  <c r="R85" i="232" s="1"/>
  <c r="T85" i="232" s="1"/>
  <c r="U85" i="232" s="1"/>
  <c r="M93" i="232"/>
  <c r="R93" i="232" s="1"/>
  <c r="T93" i="232" s="1"/>
  <c r="U93" i="232" s="1"/>
  <c r="M101" i="232"/>
  <c r="O101" i="232" s="1"/>
  <c r="P101" i="232" s="1"/>
  <c r="M109" i="232"/>
  <c r="R109" i="232" s="1"/>
  <c r="T109" i="232" s="1"/>
  <c r="U109" i="232" s="1"/>
  <c r="M116" i="232"/>
  <c r="O116" i="232" s="1"/>
  <c r="P116" i="232" s="1"/>
  <c r="M124" i="232"/>
  <c r="R124" i="232" s="1"/>
  <c r="T124" i="232" s="1"/>
  <c r="U124" i="232" s="1"/>
  <c r="M140" i="232"/>
  <c r="R140" i="232" s="1"/>
  <c r="T140" i="232" s="1"/>
  <c r="U140" i="232" s="1"/>
  <c r="M148" i="232"/>
  <c r="O148" i="232" s="1"/>
  <c r="P148" i="232" s="1"/>
  <c r="M156" i="232"/>
  <c r="R156" i="232" s="1"/>
  <c r="T156" i="232" s="1"/>
  <c r="U156" i="232" s="1"/>
  <c r="M164" i="232"/>
  <c r="R164" i="232" s="1"/>
  <c r="T164" i="232" s="1"/>
  <c r="U164" i="232" s="1"/>
  <c r="M172" i="232"/>
  <c r="R172" i="232" s="1"/>
  <c r="T172" i="232" s="1"/>
  <c r="U172" i="232" s="1"/>
  <c r="T219" i="233"/>
  <c r="U219" i="233"/>
  <c r="M9" i="232"/>
  <c r="M33" i="232"/>
  <c r="R33" i="232" s="1"/>
  <c r="T33" i="232" s="1"/>
  <c r="U33" i="232" s="1"/>
  <c r="M41" i="232"/>
  <c r="O41" i="232" s="1"/>
  <c r="P41" i="232" s="1"/>
  <c r="M57" i="232"/>
  <c r="R57" i="232" s="1"/>
  <c r="T57" i="232" s="1"/>
  <c r="U57" i="232" s="1"/>
  <c r="M65" i="232"/>
  <c r="O65" i="232" s="1"/>
  <c r="P65" i="232" s="1"/>
  <c r="M73" i="232"/>
  <c r="O73" i="232" s="1"/>
  <c r="P73" i="232" s="1"/>
  <c r="M81" i="232"/>
  <c r="O81" i="232" s="1"/>
  <c r="P81" i="232" s="1"/>
  <c r="M89" i="232"/>
  <c r="O89" i="232" s="1"/>
  <c r="P89" i="232" s="1"/>
  <c r="M97" i="232"/>
  <c r="R97" i="232" s="1"/>
  <c r="T97" i="232" s="1"/>
  <c r="U97" i="232" s="1"/>
  <c r="M105" i="232"/>
  <c r="O105" i="232" s="1"/>
  <c r="P105" i="232" s="1"/>
  <c r="M113" i="232"/>
  <c r="M128" i="232"/>
  <c r="R128" i="232" s="1"/>
  <c r="T128" i="232" s="1"/>
  <c r="U128" i="232" s="1"/>
  <c r="M144" i="232"/>
  <c r="R144" i="232" s="1"/>
  <c r="T144" i="232" s="1"/>
  <c r="U144" i="232" s="1"/>
  <c r="M160" i="232"/>
  <c r="O160" i="232" s="1"/>
  <c r="P160" i="232" s="1"/>
  <c r="M168" i="232"/>
  <c r="O168" i="232" s="1"/>
  <c r="P168" i="232" s="1"/>
  <c r="M176" i="232"/>
  <c r="O176" i="232" s="1"/>
  <c r="P176" i="232" s="1"/>
  <c r="M6" i="232"/>
  <c r="R6" i="232" s="1"/>
  <c r="T6" i="232" s="1"/>
  <c r="U6" i="232" s="1"/>
  <c r="M14" i="232"/>
  <c r="R14" i="232" s="1"/>
  <c r="T14" i="232" s="1"/>
  <c r="U14" i="232" s="1"/>
  <c r="M22" i="232"/>
  <c r="R22" i="232" s="1"/>
  <c r="T22" i="232" s="1"/>
  <c r="U22" i="232" s="1"/>
  <c r="M30" i="232"/>
  <c r="O30" i="232" s="1"/>
  <c r="P30" i="232" s="1"/>
  <c r="M38" i="232"/>
  <c r="O38" i="232" s="1"/>
  <c r="P38" i="232" s="1"/>
  <c r="M46" i="232"/>
  <c r="O46" i="232" s="1"/>
  <c r="P46" i="232" s="1"/>
  <c r="M54" i="232"/>
  <c r="R54" i="232" s="1"/>
  <c r="T54" i="232" s="1"/>
  <c r="U54" i="232" s="1"/>
  <c r="M62" i="232"/>
  <c r="O62" i="232" s="1"/>
  <c r="P62" i="232" s="1"/>
  <c r="M70" i="232"/>
  <c r="O70" i="232" s="1"/>
  <c r="P70" i="232" s="1"/>
  <c r="M78" i="232"/>
  <c r="O78" i="232" s="1"/>
  <c r="P78" i="232" s="1"/>
  <c r="M86" i="232"/>
  <c r="O86" i="232" s="1"/>
  <c r="P86" i="232" s="1"/>
  <c r="M94" i="232"/>
  <c r="O94" i="232" s="1"/>
  <c r="P94" i="232" s="1"/>
  <c r="M102" i="232"/>
  <c r="O102" i="232" s="1"/>
  <c r="P102" i="232" s="1"/>
  <c r="M117" i="232"/>
  <c r="R117" i="232" s="1"/>
  <c r="T117" i="232" s="1"/>
  <c r="U117" i="232" s="1"/>
  <c r="M125" i="232"/>
  <c r="R125" i="232" s="1"/>
  <c r="T125" i="232" s="1"/>
  <c r="U125" i="232" s="1"/>
  <c r="M133" i="232"/>
  <c r="R133" i="232" s="1"/>
  <c r="T133" i="232" s="1"/>
  <c r="U133" i="232" s="1"/>
  <c r="M141" i="232"/>
  <c r="O141" i="232" s="1"/>
  <c r="P141" i="232" s="1"/>
  <c r="M149" i="232"/>
  <c r="M157" i="232"/>
  <c r="R157" i="232" s="1"/>
  <c r="T157" i="232" s="1"/>
  <c r="U157" i="232" s="1"/>
  <c r="M165" i="232"/>
  <c r="M173" i="232"/>
  <c r="M179" i="232"/>
  <c r="O179" i="232" s="1"/>
  <c r="P179" i="232" s="1"/>
  <c r="M183" i="232"/>
  <c r="R183" i="232" s="1"/>
  <c r="M191" i="232"/>
  <c r="M195" i="232"/>
  <c r="M203" i="232"/>
  <c r="M219" i="232"/>
  <c r="M227" i="232"/>
  <c r="M8" i="232"/>
  <c r="O8" i="232" s="1"/>
  <c r="P8" i="232" s="1"/>
  <c r="M16" i="232"/>
  <c r="O16" i="232" s="1"/>
  <c r="P16" i="232" s="1"/>
  <c r="M24" i="232"/>
  <c r="O24" i="232" s="1"/>
  <c r="P24" i="232" s="1"/>
  <c r="M32" i="232"/>
  <c r="M64" i="232"/>
  <c r="R64" i="232" s="1"/>
  <c r="T64" i="232" s="1"/>
  <c r="U64" i="232" s="1"/>
  <c r="M72" i="232"/>
  <c r="O72" i="232" s="1"/>
  <c r="P72" i="232" s="1"/>
  <c r="M88" i="232"/>
  <c r="O88" i="232" s="1"/>
  <c r="P88" i="232" s="1"/>
  <c r="M119" i="232"/>
  <c r="O119" i="232" s="1"/>
  <c r="P119" i="232" s="1"/>
  <c r="M127" i="232"/>
  <c r="M143" i="232"/>
  <c r="R143" i="232" s="1"/>
  <c r="T143" i="232" s="1"/>
  <c r="U143" i="232" s="1"/>
  <c r="M180" i="232"/>
  <c r="R180" i="232" s="1"/>
  <c r="T180" i="232" s="1"/>
  <c r="U180" i="232" s="1"/>
  <c r="M185" i="232"/>
  <c r="O185" i="232" s="1"/>
  <c r="P185" i="232" s="1"/>
  <c r="M192" i="232"/>
  <c r="R192" i="232" s="1"/>
  <c r="T192" i="232" s="1"/>
  <c r="U192" i="232" s="1"/>
  <c r="M196" i="232"/>
  <c r="R196" i="232" s="1"/>
  <c r="T196" i="232" s="1"/>
  <c r="U196" i="232" s="1"/>
  <c r="M200" i="232"/>
  <c r="M204" i="232"/>
  <c r="R204" i="232" s="1"/>
  <c r="T204" i="232" s="1"/>
  <c r="U204" i="232" s="1"/>
  <c r="M208" i="232"/>
  <c r="R208" i="232" s="1"/>
  <c r="T208" i="232" s="1"/>
  <c r="U208" i="232" s="1"/>
  <c r="M212" i="232"/>
  <c r="R212" i="232" s="1"/>
  <c r="T212" i="232" s="1"/>
  <c r="U212" i="232" s="1"/>
  <c r="M216" i="232"/>
  <c r="O216" i="232" s="1"/>
  <c r="P216" i="232" s="1"/>
  <c r="M220" i="232"/>
  <c r="O220" i="232" s="1"/>
  <c r="P220" i="232" s="1"/>
  <c r="M104" i="232"/>
  <c r="M47" i="232"/>
  <c r="M55" i="232"/>
  <c r="M135" i="232"/>
  <c r="M151" i="232"/>
  <c r="M159" i="232"/>
  <c r="M167" i="232"/>
  <c r="M175" i="232"/>
  <c r="M190" i="232"/>
  <c r="M206" i="232"/>
  <c r="O206" i="232" s="1"/>
  <c r="P206" i="232" s="1"/>
  <c r="M194" i="232"/>
  <c r="M211" i="232"/>
  <c r="M40" i="232"/>
  <c r="M48" i="232"/>
  <c r="R48" i="232" s="1"/>
  <c r="T48" i="232" s="1"/>
  <c r="U48" i="232" s="1"/>
  <c r="M56" i="232"/>
  <c r="R56" i="232" s="1"/>
  <c r="T56" i="232" s="1"/>
  <c r="U56" i="232" s="1"/>
  <c r="M96" i="232"/>
  <c r="M112" i="232"/>
  <c r="M120" i="232"/>
  <c r="M136" i="232"/>
  <c r="M152" i="232"/>
  <c r="M199" i="232"/>
  <c r="M207" i="232"/>
  <c r="M215" i="232"/>
  <c r="M223" i="232"/>
  <c r="M17" i="232"/>
  <c r="M25" i="232"/>
  <c r="M49" i="232"/>
  <c r="M129" i="232"/>
  <c r="M137" i="232"/>
  <c r="M145" i="232"/>
  <c r="M153" i="232"/>
  <c r="R153" i="232" s="1"/>
  <c r="T153" i="232" s="1"/>
  <c r="U153" i="232" s="1"/>
  <c r="M161" i="232"/>
  <c r="M224" i="232"/>
  <c r="M82" i="232"/>
  <c r="M90" i="232"/>
  <c r="M98" i="232"/>
  <c r="M106" i="232"/>
  <c r="M170" i="232"/>
  <c r="Y66" i="233"/>
  <c r="N113" i="227"/>
  <c r="N110" i="227"/>
  <c r="N105" i="227"/>
  <c r="N99" i="227"/>
  <c r="N112" i="227"/>
  <c r="N109" i="227"/>
  <c r="N102" i="227"/>
  <c r="E34" i="219"/>
  <c r="T212" i="233"/>
  <c r="U212" i="233"/>
  <c r="T187" i="233"/>
  <c r="U187" i="233"/>
  <c r="U280" i="233"/>
  <c r="T280" i="233"/>
  <c r="U218" i="233"/>
  <c r="T218" i="233"/>
  <c r="U203" i="233"/>
  <c r="T203" i="233"/>
  <c r="U199" i="233"/>
  <c r="U201" i="233"/>
  <c r="T201" i="233"/>
  <c r="U186" i="233"/>
  <c r="U195" i="233"/>
  <c r="U221" i="233"/>
  <c r="T221" i="233"/>
  <c r="T210" i="233"/>
  <c r="AB4" i="210"/>
  <c r="K4" i="211"/>
  <c r="C83" i="219"/>
  <c r="E36" i="219"/>
  <c r="E13" i="216"/>
  <c r="G13" i="216" s="1"/>
  <c r="I13" i="216" s="1" a="1"/>
  <c r="I13" i="216" s="1"/>
  <c r="E35" i="219"/>
  <c r="E37" i="219"/>
  <c r="E30" i="211"/>
  <c r="D8" i="227"/>
  <c r="D9" i="227"/>
  <c r="D31" i="211"/>
  <c r="D29" i="211"/>
  <c r="F7" i="60" s="1"/>
  <c r="N103" i="227"/>
  <c r="N100" i="227"/>
  <c r="N107" i="227"/>
  <c r="N97" i="227"/>
  <c r="N114" i="227"/>
  <c r="N111" i="227"/>
  <c r="N104" i="227"/>
  <c r="N108" i="227"/>
  <c r="N101" i="227"/>
  <c r="N98" i="227"/>
  <c r="D28" i="211"/>
  <c r="F8" i="60" s="1"/>
  <c r="N106" i="227"/>
  <c r="E35" i="211"/>
  <c r="N39" i="219"/>
  <c r="G14" i="216"/>
  <c r="I14" i="216" s="1" a="1"/>
  <c r="I14" i="216" s="1"/>
  <c r="E32" i="214"/>
  <c r="E12" i="216"/>
  <c r="G12" i="216" s="1"/>
  <c r="I12" i="216" s="1" a="1"/>
  <c r="I12" i="216" s="1"/>
  <c r="D100" i="219"/>
  <c r="D51" i="227"/>
  <c r="N18" i="209"/>
  <c r="N8" i="209"/>
  <c r="G18" i="209"/>
  <c r="G8" i="209"/>
  <c r="H8" i="209"/>
  <c r="H18" i="209"/>
  <c r="P8" i="209"/>
  <c r="P18" i="209"/>
  <c r="I8" i="209"/>
  <c r="I18" i="209"/>
  <c r="Q18" i="209"/>
  <c r="D18" i="209"/>
  <c r="D8" i="209"/>
  <c r="F18" i="209"/>
  <c r="F8" i="209"/>
  <c r="O18" i="209"/>
  <c r="O8" i="209"/>
  <c r="J8" i="209"/>
  <c r="J18" i="209"/>
  <c r="R8" i="209"/>
  <c r="R18" i="209"/>
  <c r="C18" i="209"/>
  <c r="C8" i="209"/>
  <c r="K18" i="209"/>
  <c r="F36" i="60" s="1"/>
  <c r="K8" i="209"/>
  <c r="L18" i="209"/>
  <c r="L8" i="209"/>
  <c r="E18" i="209"/>
  <c r="E8" i="209"/>
  <c r="M18" i="209"/>
  <c r="M8" i="209"/>
  <c r="F4" i="169"/>
  <c r="F3" i="169"/>
  <c r="F5" i="169"/>
  <c r="F6" i="169"/>
  <c r="F7" i="169"/>
  <c r="F8" i="169"/>
  <c r="F9" i="169"/>
  <c r="F10" i="169"/>
  <c r="F11" i="169"/>
  <c r="F12" i="169"/>
  <c r="F13" i="169"/>
  <c r="B10" i="168" s="1"/>
  <c r="F14" i="169"/>
  <c r="B19" i="168" s="1"/>
  <c r="F15" i="169"/>
  <c r="F16" i="169"/>
  <c r="B12" i="168" s="1"/>
  <c r="F17" i="169"/>
  <c r="B13" i="168" s="1"/>
  <c r="F18" i="169"/>
  <c r="F19" i="169"/>
  <c r="B15" i="168" s="1"/>
  <c r="F20" i="169"/>
  <c r="F21" i="169"/>
  <c r="F22" i="169"/>
  <c r="F23" i="169"/>
  <c r="F24" i="169"/>
  <c r="F25" i="169"/>
  <c r="F26" i="169"/>
  <c r="F27" i="169"/>
  <c r="F29" i="169"/>
  <c r="F30" i="169"/>
  <c r="F31" i="169"/>
  <c r="F32" i="169"/>
  <c r="Y34" i="233" l="1"/>
  <c r="D447" i="44"/>
  <c r="F23" i="60"/>
  <c r="D167" i="253" s="1"/>
  <c r="D169" i="253" s="1"/>
  <c r="J78" i="231"/>
  <c r="K78" i="231" s="1"/>
  <c r="L78" i="231" s="1"/>
  <c r="N42" i="213" s="1"/>
  <c r="J78" i="168"/>
  <c r="K78" i="168" s="1"/>
  <c r="L78" i="168" s="1"/>
  <c r="N42" i="49" s="1"/>
  <c r="I78" i="231"/>
  <c r="I78" i="168"/>
  <c r="F25" i="60"/>
  <c r="F21" i="60"/>
  <c r="M7" i="60"/>
  <c r="O7" i="60"/>
  <c r="S7" i="60" s="1"/>
  <c r="K7" i="60"/>
  <c r="Q7" i="60" s="1"/>
  <c r="I7" i="60"/>
  <c r="P7" i="60" s="1"/>
  <c r="Y204" i="233"/>
  <c r="Y172" i="233"/>
  <c r="O44" i="232"/>
  <c r="P44" i="232" s="1"/>
  <c r="V44" i="232" s="1"/>
  <c r="D9" i="223"/>
  <c r="C9" i="223"/>
  <c r="B9" i="223"/>
  <c r="E10" i="223"/>
  <c r="Y189" i="233"/>
  <c r="N10" i="233"/>
  <c r="N5" i="233"/>
  <c r="Y5" i="233"/>
  <c r="Y112" i="233"/>
  <c r="Y80" i="233"/>
  <c r="Y35" i="233"/>
  <c r="Y30" i="233"/>
  <c r="Y136" i="233"/>
  <c r="Y52" i="233"/>
  <c r="Y81" i="233"/>
  <c r="Y162" i="233"/>
  <c r="O166" i="232"/>
  <c r="P166" i="232" s="1"/>
  <c r="V166" i="232" s="1"/>
  <c r="B11" i="222"/>
  <c r="B9" i="222"/>
  <c r="Y206" i="233"/>
  <c r="Y192" i="233"/>
  <c r="R118" i="232"/>
  <c r="T118" i="232" s="1"/>
  <c r="Y168" i="233"/>
  <c r="Y163" i="233"/>
  <c r="C81" i="223"/>
  <c r="B41" i="223"/>
  <c r="N179" i="233"/>
  <c r="N280" i="233"/>
  <c r="N72" i="233"/>
  <c r="N120" i="233"/>
  <c r="N100" i="233"/>
  <c r="N288" i="233"/>
  <c r="N144" i="233"/>
  <c r="N244" i="233"/>
  <c r="N291" i="233"/>
  <c r="N69" i="233"/>
  <c r="N40" i="233"/>
  <c r="Y180" i="233"/>
  <c r="N180" i="233"/>
  <c r="N6" i="233"/>
  <c r="N32" i="233"/>
  <c r="N255" i="233"/>
  <c r="N87" i="233"/>
  <c r="N51" i="233"/>
  <c r="N235" i="233"/>
  <c r="N147" i="233"/>
  <c r="N96" i="233"/>
  <c r="N188" i="233"/>
  <c r="N262" i="233"/>
  <c r="N42" i="233"/>
  <c r="N219" i="233"/>
  <c r="N46" i="233"/>
  <c r="N141" i="233"/>
  <c r="N143" i="233"/>
  <c r="N258" i="233"/>
  <c r="N238" i="233"/>
  <c r="N21" i="233"/>
  <c r="N257" i="233"/>
  <c r="N239" i="233"/>
  <c r="N292" i="233"/>
  <c r="N173" i="233"/>
  <c r="N263" i="233"/>
  <c r="N44" i="233"/>
  <c r="N98" i="233"/>
  <c r="N217" i="233"/>
  <c r="N150" i="233"/>
  <c r="N67" i="233"/>
  <c r="N36" i="233"/>
  <c r="N274" i="233"/>
  <c r="N259" i="233"/>
  <c r="N95" i="233"/>
  <c r="N194" i="233"/>
  <c r="N187" i="233"/>
  <c r="N31" i="233"/>
  <c r="N135" i="233"/>
  <c r="N57" i="233"/>
  <c r="N103" i="233"/>
  <c r="N106" i="233"/>
  <c r="N71" i="233"/>
  <c r="N88" i="233"/>
  <c r="N223" i="233"/>
  <c r="N145" i="233"/>
  <c r="N260" i="233"/>
  <c r="N93" i="233"/>
  <c r="N30" i="233"/>
  <c r="N58" i="233"/>
  <c r="N220" i="233"/>
  <c r="N148" i="233"/>
  <c r="N114" i="233"/>
  <c r="N52" i="233"/>
  <c r="N166" i="233"/>
  <c r="N24" i="233"/>
  <c r="N111" i="233"/>
  <c r="N227" i="233"/>
  <c r="N183" i="233"/>
  <c r="N276" i="233"/>
  <c r="N64" i="233"/>
  <c r="N39" i="233"/>
  <c r="N200" i="233"/>
  <c r="N138" i="233"/>
  <c r="N25" i="233"/>
  <c r="N60" i="233"/>
  <c r="N240" i="233"/>
  <c r="N139" i="233"/>
  <c r="N20" i="233"/>
  <c r="N115" i="233"/>
  <c r="N91" i="233"/>
  <c r="N216" i="233"/>
  <c r="N185" i="233"/>
  <c r="N82" i="233"/>
  <c r="N131" i="233"/>
  <c r="N108" i="233"/>
  <c r="N296" i="233"/>
  <c r="N190" i="233"/>
  <c r="N17" i="233"/>
  <c r="N84" i="233"/>
  <c r="N26" i="233"/>
  <c r="N117" i="233"/>
  <c r="N90" i="233"/>
  <c r="N270" i="233"/>
  <c r="N231" i="233"/>
  <c r="N287" i="233"/>
  <c r="N33" i="233"/>
  <c r="N136" i="233"/>
  <c r="N49" i="233"/>
  <c r="N152" i="233"/>
  <c r="N28" i="233"/>
  <c r="N252" i="233"/>
  <c r="N34" i="233"/>
  <c r="N8" i="233"/>
  <c r="N7" i="233"/>
  <c r="N142" i="233"/>
  <c r="N65" i="233"/>
  <c r="N94" i="233"/>
  <c r="N289" i="233"/>
  <c r="N199" i="233"/>
  <c r="N29" i="233"/>
  <c r="N113" i="233"/>
  <c r="N86" i="233"/>
  <c r="N273" i="233"/>
  <c r="N254" i="233"/>
  <c r="N85" i="233"/>
  <c r="N151" i="233"/>
  <c r="N81" i="233"/>
  <c r="N249" i="233"/>
  <c r="N104" i="233"/>
  <c r="N295" i="233"/>
  <c r="Y228" i="233"/>
  <c r="N228" i="233"/>
  <c r="N66" i="233"/>
  <c r="N232" i="233"/>
  <c r="N165" i="233"/>
  <c r="N27" i="233"/>
  <c r="N112" i="233"/>
  <c r="N35" i="233"/>
  <c r="N80" i="233"/>
  <c r="N221" i="233"/>
  <c r="N197" i="233"/>
  <c r="N271" i="233"/>
  <c r="N130" i="233"/>
  <c r="N109" i="233"/>
  <c r="N170" i="233"/>
  <c r="N74" i="233"/>
  <c r="N128" i="233"/>
  <c r="N55" i="233"/>
  <c r="N230" i="233"/>
  <c r="N186" i="233"/>
  <c r="N70" i="233"/>
  <c r="N116" i="233"/>
  <c r="N89" i="233"/>
  <c r="N203" i="233"/>
  <c r="N196" i="233"/>
  <c r="N75" i="233"/>
  <c r="N253" i="233"/>
  <c r="N59" i="233"/>
  <c r="N279" i="233"/>
  <c r="N23" i="233"/>
  <c r="N134" i="233"/>
  <c r="N237" i="233"/>
  <c r="N213" i="233"/>
  <c r="N282" i="233"/>
  <c r="N18" i="233"/>
  <c r="N119" i="233"/>
  <c r="N290" i="233"/>
  <c r="N294" i="233"/>
  <c r="N202" i="233"/>
  <c r="N256" i="233"/>
  <c r="N209" i="233"/>
  <c r="N154" i="233"/>
  <c r="N76" i="233"/>
  <c r="N133" i="233"/>
  <c r="N53" i="233"/>
  <c r="N266" i="233"/>
  <c r="N229" i="233"/>
  <c r="N285" i="233"/>
  <c r="N83" i="233"/>
  <c r="N123" i="233"/>
  <c r="N159" i="233"/>
  <c r="N78" i="233"/>
  <c r="N247" i="233"/>
  <c r="N56" i="233"/>
  <c r="N201" i="233"/>
  <c r="N182" i="233"/>
  <c r="N272" i="233"/>
  <c r="N137" i="233"/>
  <c r="N234" i="233"/>
  <c r="N153" i="233"/>
  <c r="N79" i="233"/>
  <c r="N129" i="233"/>
  <c r="N54" i="233"/>
  <c r="N286" i="233"/>
  <c r="N269" i="233"/>
  <c r="N127" i="233"/>
  <c r="N48" i="233"/>
  <c r="N184" i="233"/>
  <c r="N175" i="233"/>
  <c r="N15" i="233"/>
  <c r="N245" i="233"/>
  <c r="N226" i="233"/>
  <c r="N110" i="233"/>
  <c r="N177" i="233"/>
  <c r="N155" i="233"/>
  <c r="N77" i="233"/>
  <c r="N250" i="233"/>
  <c r="N105" i="233"/>
  <c r="N63" i="233"/>
  <c r="N198" i="233"/>
  <c r="N157" i="233"/>
  <c r="N267" i="233"/>
  <c r="N41" i="233"/>
  <c r="N225" i="233"/>
  <c r="N16" i="233"/>
  <c r="N47" i="233"/>
  <c r="N236" i="233"/>
  <c r="N178" i="233"/>
  <c r="N167" i="233"/>
  <c r="N22" i="233"/>
  <c r="N132" i="233"/>
  <c r="N233" i="233"/>
  <c r="N210" i="233"/>
  <c r="N158" i="233"/>
  <c r="N13" i="233"/>
  <c r="N248" i="233"/>
  <c r="N50" i="233"/>
  <c r="N284" i="233"/>
  <c r="N73" i="233"/>
  <c r="N122" i="233"/>
  <c r="N101" i="233"/>
  <c r="N218" i="233"/>
  <c r="N275" i="233"/>
  <c r="N62" i="233"/>
  <c r="N37" i="233"/>
  <c r="N195" i="233"/>
  <c r="N283" i="233"/>
  <c r="N251" i="233"/>
  <c r="N281" i="233"/>
  <c r="N11" i="233"/>
  <c r="N124" i="233"/>
  <c r="N181" i="233"/>
  <c r="N125" i="233"/>
  <c r="N212" i="233"/>
  <c r="N174" i="233"/>
  <c r="N14" i="233"/>
  <c r="N242" i="233"/>
  <c r="N278" i="233"/>
  <c r="N277" i="233"/>
  <c r="N9" i="233"/>
  <c r="N243" i="233"/>
  <c r="N222" i="233"/>
  <c r="N191" i="233"/>
  <c r="N156" i="233"/>
  <c r="N268" i="233"/>
  <c r="N126" i="233"/>
  <c r="N102" i="233"/>
  <c r="N140" i="233"/>
  <c r="Y224" i="233"/>
  <c r="N224" i="233"/>
  <c r="N19" i="233"/>
  <c r="N118" i="233"/>
  <c r="N107" i="233"/>
  <c r="N160" i="233"/>
  <c r="N264" i="233"/>
  <c r="N45" i="233"/>
  <c r="N215" i="233"/>
  <c r="N193" i="233"/>
  <c r="N149" i="233"/>
  <c r="N61" i="233"/>
  <c r="N241" i="233"/>
  <c r="N211" i="233"/>
  <c r="N99" i="233"/>
  <c r="N164" i="233"/>
  <c r="N38" i="233"/>
  <c r="N171" i="233"/>
  <c r="N265" i="233"/>
  <c r="N43" i="233"/>
  <c r="N293" i="233"/>
  <c r="N121" i="233"/>
  <c r="N214" i="233"/>
  <c r="N176" i="233"/>
  <c r="N261" i="233"/>
  <c r="N92" i="233"/>
  <c r="N12" i="233"/>
  <c r="N146" i="233"/>
  <c r="N68" i="233"/>
  <c r="N97" i="233"/>
  <c r="N246" i="233"/>
  <c r="Y123" i="233"/>
  <c r="Y184" i="233"/>
  <c r="Y77" i="233"/>
  <c r="Y59" i="233"/>
  <c r="R209" i="232"/>
  <c r="T209" i="232" s="1"/>
  <c r="Y143" i="233"/>
  <c r="Y144" i="233"/>
  <c r="Y294" i="233"/>
  <c r="Y226" i="233"/>
  <c r="Y8" i="233"/>
  <c r="Y13" i="233"/>
  <c r="Y140" i="233"/>
  <c r="Y197" i="233"/>
  <c r="I297" i="233"/>
  <c r="R123" i="232"/>
  <c r="T123" i="232" s="1"/>
  <c r="Y223" i="233"/>
  <c r="R8" i="232"/>
  <c r="T8" i="232" s="1"/>
  <c r="O111" i="232"/>
  <c r="P111" i="232" s="1"/>
  <c r="V111" i="232" s="1"/>
  <c r="R16" i="232"/>
  <c r="T16" i="232" s="1"/>
  <c r="O225" i="232"/>
  <c r="P225" i="232" s="1"/>
  <c r="V225" i="232" s="1"/>
  <c r="O143" i="232"/>
  <c r="P143" i="232" s="1"/>
  <c r="V143" i="232" s="1"/>
  <c r="Y45" i="233"/>
  <c r="Y99" i="233"/>
  <c r="Y124" i="233"/>
  <c r="Y149" i="233"/>
  <c r="Y105" i="233"/>
  <c r="Y113" i="233"/>
  <c r="Y186" i="233"/>
  <c r="O33" i="232"/>
  <c r="P33" i="232" s="1"/>
  <c r="V33" i="232" s="1"/>
  <c r="Y100" i="233"/>
  <c r="Y29" i="233"/>
  <c r="Y142" i="233"/>
  <c r="Y278" i="233"/>
  <c r="O28" i="232"/>
  <c r="P28" i="232" s="1"/>
  <c r="V28" i="232" s="1"/>
  <c r="Y222" i="233"/>
  <c r="R100" i="232"/>
  <c r="T100" i="232" s="1"/>
  <c r="Y71" i="233"/>
  <c r="O26" i="232"/>
  <c r="P26" i="232" s="1"/>
  <c r="V26" i="232" s="1"/>
  <c r="E38" i="214"/>
  <c r="J23" i="214" s="1"/>
  <c r="R65" i="232"/>
  <c r="T65" i="232" s="1"/>
  <c r="O53" i="232"/>
  <c r="P53" i="232" s="1"/>
  <c r="V53" i="232" s="1"/>
  <c r="O144" i="232"/>
  <c r="P144" i="232" s="1"/>
  <c r="V144" i="232" s="1"/>
  <c r="R147" i="232"/>
  <c r="T147" i="232" s="1"/>
  <c r="O10" i="232"/>
  <c r="P10" i="232" s="1"/>
  <c r="V10" i="232" s="1"/>
  <c r="O75" i="232"/>
  <c r="P75" i="232" s="1"/>
  <c r="V75" i="232" s="1"/>
  <c r="R146" i="232"/>
  <c r="T146" i="232" s="1"/>
  <c r="R160" i="232"/>
  <c r="T160" i="232" s="1"/>
  <c r="O15" i="232"/>
  <c r="P15" i="232" s="1"/>
  <c r="V15" i="232" s="1"/>
  <c r="R18" i="232"/>
  <c r="T18" i="232" s="1"/>
  <c r="Y47" i="233"/>
  <c r="Y6" i="233"/>
  <c r="R73" i="232"/>
  <c r="T73" i="232" s="1"/>
  <c r="O121" i="232"/>
  <c r="P121" i="232" s="1"/>
  <c r="V121" i="232" s="1"/>
  <c r="O31" i="232"/>
  <c r="P31" i="232" s="1"/>
  <c r="V31" i="232" s="1"/>
  <c r="Y72" i="233"/>
  <c r="Y179" i="233"/>
  <c r="O183" i="232"/>
  <c r="P183" i="232" s="1"/>
  <c r="R72" i="232"/>
  <c r="T72" i="232" s="1"/>
  <c r="AW5" i="254"/>
  <c r="R62" i="232"/>
  <c r="T62" i="232" s="1"/>
  <c r="O54" i="232"/>
  <c r="P54" i="232" s="1"/>
  <c r="V54" i="232" s="1"/>
  <c r="O92" i="232"/>
  <c r="P92" i="232" s="1"/>
  <c r="V92" i="232" s="1"/>
  <c r="Y101" i="233"/>
  <c r="R184" i="232"/>
  <c r="T184" i="232" s="1"/>
  <c r="O69" i="232"/>
  <c r="P69" i="232" s="1"/>
  <c r="V69" i="232" s="1"/>
  <c r="O158" i="232"/>
  <c r="P158" i="232" s="1"/>
  <c r="V158" i="232" s="1"/>
  <c r="R84" i="232"/>
  <c r="T84" i="232" s="1"/>
  <c r="O61" i="232"/>
  <c r="P61" i="232" s="1"/>
  <c r="V61" i="232" s="1"/>
  <c r="Y289" i="233"/>
  <c r="O6" i="232"/>
  <c r="P6" i="232" s="1"/>
  <c r="V6" i="232" s="1"/>
  <c r="Y20" i="233"/>
  <c r="Y93" i="233"/>
  <c r="Y115" i="233"/>
  <c r="O95" i="232"/>
  <c r="P95" i="232" s="1"/>
  <c r="V95" i="232" s="1"/>
  <c r="Y97" i="233"/>
  <c r="R12" i="232"/>
  <c r="T12" i="232" s="1"/>
  <c r="Y82" i="233"/>
  <c r="O130" i="232"/>
  <c r="P130" i="232" s="1"/>
  <c r="V130" i="232" s="1"/>
  <c r="O205" i="232"/>
  <c r="P205" i="232" s="1"/>
  <c r="V205" i="232" s="1"/>
  <c r="O132" i="232"/>
  <c r="P132" i="232" s="1"/>
  <c r="V132" i="232" s="1"/>
  <c r="O169" i="232"/>
  <c r="P169" i="232" s="1"/>
  <c r="V169" i="232" s="1"/>
  <c r="O39" i="232"/>
  <c r="P39" i="232" s="1"/>
  <c r="V39" i="232" s="1"/>
  <c r="R38" i="232"/>
  <c r="T38" i="232" s="1"/>
  <c r="O156" i="232"/>
  <c r="P156" i="232" s="1"/>
  <c r="V156" i="232" s="1"/>
  <c r="Y234" i="233"/>
  <c r="Y219" i="233"/>
  <c r="Y216" i="233"/>
  <c r="Y174" i="233"/>
  <c r="Y109" i="233"/>
  <c r="Y173" i="233"/>
  <c r="D105" i="219"/>
  <c r="D18" i="219" s="1"/>
  <c r="E18" i="219" s="1"/>
  <c r="Y225" i="233"/>
  <c r="Y56" i="233"/>
  <c r="Y266" i="233"/>
  <c r="O163" i="232"/>
  <c r="P163" i="232" s="1"/>
  <c r="V163" i="232" s="1"/>
  <c r="Y55" i="233"/>
  <c r="Y235" i="233"/>
  <c r="Y286" i="233"/>
  <c r="Y265" i="233"/>
  <c r="R66" i="232"/>
  <c r="T66" i="232" s="1"/>
  <c r="Y264" i="233"/>
  <c r="O59" i="232"/>
  <c r="P59" i="232" s="1"/>
  <c r="V59" i="232" s="1"/>
  <c r="Y166" i="233"/>
  <c r="Y176" i="233"/>
  <c r="Y110" i="233"/>
  <c r="Y177" i="233"/>
  <c r="Y231" i="233"/>
  <c r="O71" i="232"/>
  <c r="P71" i="232" s="1"/>
  <c r="V71" i="232" s="1"/>
  <c r="Y209" i="233"/>
  <c r="Y44" i="233"/>
  <c r="Y262" i="233"/>
  <c r="Y275" i="233"/>
  <c r="Y117" i="233"/>
  <c r="R81" i="232"/>
  <c r="T81" i="232" s="1"/>
  <c r="Y158" i="233"/>
  <c r="Y156" i="233"/>
  <c r="Y160" i="233"/>
  <c r="R134" i="232"/>
  <c r="T134" i="232" s="1"/>
  <c r="R168" i="232"/>
  <c r="T168" i="232" s="1"/>
  <c r="R70" i="232"/>
  <c r="T70" i="232" s="1"/>
  <c r="Y12" i="233"/>
  <c r="Y85" i="233"/>
  <c r="O221" i="232"/>
  <c r="P221" i="232" s="1"/>
  <c r="V221" i="232" s="1"/>
  <c r="O208" i="232"/>
  <c r="P208" i="232" s="1"/>
  <c r="V208" i="232" s="1"/>
  <c r="O60" i="232"/>
  <c r="P60" i="232" s="1"/>
  <c r="V60" i="232" s="1"/>
  <c r="Y129" i="233"/>
  <c r="Y130" i="233"/>
  <c r="O109" i="232"/>
  <c r="P109" i="232" s="1"/>
  <c r="V109" i="232" s="1"/>
  <c r="Y138" i="233"/>
  <c r="O172" i="232"/>
  <c r="P172" i="232" s="1"/>
  <c r="V172" i="232" s="1"/>
  <c r="Y245" i="233"/>
  <c r="Y175" i="233"/>
  <c r="O193" i="232"/>
  <c r="P193" i="232" s="1"/>
  <c r="V193" i="232" s="1"/>
  <c r="O122" i="232"/>
  <c r="P122" i="232" s="1"/>
  <c r="V122" i="232" s="1"/>
  <c r="O37" i="232"/>
  <c r="P37" i="232" s="1"/>
  <c r="V37" i="232" s="1"/>
  <c r="Y164" i="233"/>
  <c r="Y41" i="233"/>
  <c r="Y230" i="233"/>
  <c r="Y14" i="233"/>
  <c r="Y255" i="233"/>
  <c r="Y87" i="233"/>
  <c r="Y53" i="233"/>
  <c r="Y253" i="233"/>
  <c r="Y61" i="233"/>
  <c r="Y202" i="233"/>
  <c r="Y48" i="233"/>
  <c r="Y200" i="233"/>
  <c r="Y243" i="233"/>
  <c r="Y241" i="233"/>
  <c r="O188" i="232"/>
  <c r="P188" i="232" s="1"/>
  <c r="R188" i="232"/>
  <c r="T188" i="232" s="1"/>
  <c r="U188" i="232" s="1"/>
  <c r="O218" i="232"/>
  <c r="P218" i="232" s="1"/>
  <c r="R218" i="232"/>
  <c r="T218" i="232" s="1"/>
  <c r="U218" i="232" s="1"/>
  <c r="O203" i="232"/>
  <c r="P203" i="232" s="1"/>
  <c r="R203" i="232"/>
  <c r="T203" i="232" s="1"/>
  <c r="U203" i="232" s="1"/>
  <c r="R127" i="232"/>
  <c r="T127" i="232" s="1"/>
  <c r="U127" i="232" s="1"/>
  <c r="O127" i="232"/>
  <c r="P127" i="232" s="1"/>
  <c r="R115" i="232"/>
  <c r="T115" i="232" s="1"/>
  <c r="Y227" i="233"/>
  <c r="Y141" i="233"/>
  <c r="O138" i="232"/>
  <c r="P138" i="232" s="1"/>
  <c r="V138" i="232" s="1"/>
  <c r="R89" i="232"/>
  <c r="T89" i="232" s="1"/>
  <c r="R67" i="232"/>
  <c r="T67" i="232" s="1"/>
  <c r="Y83" i="233"/>
  <c r="Y68" i="233"/>
  <c r="Y9" i="233"/>
  <c r="O192" i="232"/>
  <c r="P192" i="232" s="1"/>
  <c r="V192" i="232" s="1"/>
  <c r="R63" i="232"/>
  <c r="T63" i="232" s="1"/>
  <c r="R24" i="232"/>
  <c r="T24" i="232" s="1"/>
  <c r="R102" i="232"/>
  <c r="T102" i="232" s="1"/>
  <c r="Y73" i="233"/>
  <c r="Y111" i="233"/>
  <c r="Y132" i="233"/>
  <c r="Y210" i="233"/>
  <c r="Y178" i="233"/>
  <c r="Y220" i="233"/>
  <c r="Y103" i="233"/>
  <c r="O36" i="232"/>
  <c r="P36" i="232" s="1"/>
  <c r="V36" i="232" s="1"/>
  <c r="O212" i="232"/>
  <c r="P212" i="232" s="1"/>
  <c r="V212" i="232" s="1"/>
  <c r="Y7" i="233"/>
  <c r="Y153" i="233"/>
  <c r="R148" i="232"/>
  <c r="T148" i="232" s="1"/>
  <c r="R42" i="232"/>
  <c r="T42" i="232" s="1"/>
  <c r="Y126" i="233"/>
  <c r="Y214" i="233"/>
  <c r="Y150" i="233"/>
  <c r="Y195" i="233"/>
  <c r="Y199" i="233"/>
  <c r="Y285" i="233"/>
  <c r="Y22" i="233"/>
  <c r="Y114" i="233"/>
  <c r="O213" i="232"/>
  <c r="P213" i="232" s="1"/>
  <c r="V213" i="232" s="1"/>
  <c r="R116" i="232"/>
  <c r="T116" i="232" s="1"/>
  <c r="R34" i="232"/>
  <c r="T34" i="232" s="1"/>
  <c r="O52" i="232"/>
  <c r="P52" i="232" s="1"/>
  <c r="V52" i="232" s="1"/>
  <c r="Y64" i="233"/>
  <c r="Y50" i="233"/>
  <c r="Y159" i="233"/>
  <c r="O126" i="232"/>
  <c r="P126" i="232" s="1"/>
  <c r="V126" i="232" s="1"/>
  <c r="R176" i="232"/>
  <c r="T176" i="232" s="1"/>
  <c r="R108" i="232"/>
  <c r="T108" i="232" s="1"/>
  <c r="Y21" i="233"/>
  <c r="Y196" i="233"/>
  <c r="Y51" i="233"/>
  <c r="Y213" i="233"/>
  <c r="Y69" i="233"/>
  <c r="Y98" i="233"/>
  <c r="R78" i="232"/>
  <c r="T78" i="232" s="1"/>
  <c r="O14" i="232"/>
  <c r="P14" i="232" s="1"/>
  <c r="V14" i="232" s="1"/>
  <c r="O124" i="232"/>
  <c r="P124" i="232" s="1"/>
  <c r="V124" i="232" s="1"/>
  <c r="Y104" i="233"/>
  <c r="Y25" i="233"/>
  <c r="Y273" i="233"/>
  <c r="Y268" i="233"/>
  <c r="Y198" i="233"/>
  <c r="Y167" i="233"/>
  <c r="Y193" i="233"/>
  <c r="Y27" i="233"/>
  <c r="Y217" i="233"/>
  <c r="Y259" i="233"/>
  <c r="Y62" i="233"/>
  <c r="Y296" i="233"/>
  <c r="O97" i="232"/>
  <c r="P97" i="232" s="1"/>
  <c r="V97" i="232" s="1"/>
  <c r="R11" i="232"/>
  <c r="T11" i="232" s="1"/>
  <c r="R181" i="232"/>
  <c r="T181" i="232" s="1"/>
  <c r="Y233" i="233"/>
  <c r="Y106" i="233"/>
  <c r="Y58" i="233"/>
  <c r="Y108" i="233"/>
  <c r="O180" i="232"/>
  <c r="P180" i="232" s="1"/>
  <c r="V180" i="232" s="1"/>
  <c r="Y287" i="233"/>
  <c r="Y183" i="233"/>
  <c r="Y118" i="233"/>
  <c r="Y127" i="233"/>
  <c r="Y133" i="233"/>
  <c r="R106" i="232"/>
  <c r="T106" i="232" s="1"/>
  <c r="U106" i="232" s="1"/>
  <c r="O106" i="232"/>
  <c r="P106" i="232" s="1"/>
  <c r="O13" i="232"/>
  <c r="P13" i="232" s="1"/>
  <c r="R13" i="232"/>
  <c r="T13" i="232" s="1"/>
  <c r="U13" i="232" s="1"/>
  <c r="R9" i="232"/>
  <c r="T9" i="232" s="1"/>
  <c r="U9" i="232" s="1"/>
  <c r="O9" i="232"/>
  <c r="P9" i="232" s="1"/>
  <c r="O198" i="232"/>
  <c r="P198" i="232" s="1"/>
  <c r="R198" i="232"/>
  <c r="T198" i="232" s="1"/>
  <c r="U198" i="232" s="1"/>
  <c r="R162" i="232"/>
  <c r="T162" i="232" s="1"/>
  <c r="U162" i="232" s="1"/>
  <c r="O162" i="232"/>
  <c r="P162" i="232" s="1"/>
  <c r="O131" i="232"/>
  <c r="P131" i="232" s="1"/>
  <c r="R131" i="232"/>
  <c r="T131" i="232" s="1"/>
  <c r="U131" i="232" s="1"/>
  <c r="Y252" i="233"/>
  <c r="Y137" i="233"/>
  <c r="O217" i="232"/>
  <c r="P217" i="232" s="1"/>
  <c r="V217" i="232" s="1"/>
  <c r="O85" i="232"/>
  <c r="P85" i="232" s="1"/>
  <c r="V85" i="232" s="1"/>
  <c r="R91" i="232"/>
  <c r="T91" i="232" s="1"/>
  <c r="O64" i="232"/>
  <c r="P64" i="232" s="1"/>
  <c r="V64" i="232" s="1"/>
  <c r="O189" i="232"/>
  <c r="P189" i="232" s="1"/>
  <c r="V189" i="232" s="1"/>
  <c r="Y185" i="233"/>
  <c r="Y32" i="233"/>
  <c r="Y148" i="233"/>
  <c r="Y86" i="233"/>
  <c r="Y290" i="233"/>
  <c r="Y151" i="233"/>
  <c r="Y171" i="233"/>
  <c r="Y92" i="233"/>
  <c r="O154" i="232"/>
  <c r="P154" i="232" s="1"/>
  <c r="V154" i="232" s="1"/>
  <c r="R58" i="232"/>
  <c r="T58" i="232" s="1"/>
  <c r="O22" i="232"/>
  <c r="P22" i="232" s="1"/>
  <c r="V22" i="232" s="1"/>
  <c r="O83" i="232"/>
  <c r="P83" i="232" s="1"/>
  <c r="V83" i="232" s="1"/>
  <c r="R105" i="232"/>
  <c r="T105" i="232" s="1"/>
  <c r="Y215" i="233"/>
  <c r="Y78" i="233"/>
  <c r="Y31" i="233"/>
  <c r="Y40" i="233"/>
  <c r="Y33" i="233"/>
  <c r="Y15" i="233"/>
  <c r="R76" i="232"/>
  <c r="T76" i="232" s="1"/>
  <c r="Y281" i="233"/>
  <c r="Y170" i="233"/>
  <c r="Y254" i="233"/>
  <c r="O87" i="232"/>
  <c r="P87" i="232" s="1"/>
  <c r="V87" i="232" s="1"/>
  <c r="R139" i="232"/>
  <c r="T139" i="232" s="1"/>
  <c r="R27" i="232"/>
  <c r="T27" i="232" s="1"/>
  <c r="R50" i="232"/>
  <c r="T50" i="232" s="1"/>
  <c r="Y134" i="233"/>
  <c r="Y16" i="233"/>
  <c r="Y75" i="233"/>
  <c r="Y270" i="233"/>
  <c r="Y42" i="233"/>
  <c r="R86" i="232"/>
  <c r="T86" i="232" s="1"/>
  <c r="R142" i="232"/>
  <c r="T142" i="232" s="1"/>
  <c r="Y24" i="233"/>
  <c r="Y84" i="233"/>
  <c r="O140" i="232"/>
  <c r="P140" i="232" s="1"/>
  <c r="V140" i="232" s="1"/>
  <c r="R19" i="232"/>
  <c r="T19" i="232" s="1"/>
  <c r="O7" i="232"/>
  <c r="P7" i="232" s="1"/>
  <c r="V7" i="232" s="1"/>
  <c r="R150" i="232"/>
  <c r="T150" i="232" s="1"/>
  <c r="Y10" i="233"/>
  <c r="Y28" i="233"/>
  <c r="Y102" i="233"/>
  <c r="Y239" i="233"/>
  <c r="Y57" i="233"/>
  <c r="O79" i="232"/>
  <c r="P79" i="232" s="1"/>
  <c r="V79" i="232" s="1"/>
  <c r="O99" i="232"/>
  <c r="P99" i="232" s="1"/>
  <c r="V99" i="232" s="1"/>
  <c r="Y246" i="233"/>
  <c r="Y238" i="233"/>
  <c r="Y267" i="233"/>
  <c r="Y39" i="233"/>
  <c r="Y242" i="233"/>
  <c r="Y18" i="233"/>
  <c r="Y188" i="233"/>
  <c r="Y157" i="233"/>
  <c r="Y74" i="233"/>
  <c r="Y128" i="233"/>
  <c r="Y244" i="233"/>
  <c r="Y165" i="233"/>
  <c r="O77" i="232"/>
  <c r="P77" i="232" s="1"/>
  <c r="V77" i="232" s="1"/>
  <c r="R68" i="232"/>
  <c r="T68" i="232" s="1"/>
  <c r="Y26" i="233"/>
  <c r="Y79" i="233"/>
  <c r="Y120" i="233"/>
  <c r="R210" i="232"/>
  <c r="T210" i="232" s="1"/>
  <c r="U210" i="232" s="1"/>
  <c r="O210" i="232"/>
  <c r="P210" i="232" s="1"/>
  <c r="O112" i="232"/>
  <c r="P112" i="232" s="1"/>
  <c r="R112" i="232"/>
  <c r="T112" i="232" s="1"/>
  <c r="U112" i="232" s="1"/>
  <c r="Y250" i="233"/>
  <c r="Y237" i="233"/>
  <c r="Y295" i="233"/>
  <c r="Y194" i="233"/>
  <c r="O196" i="232"/>
  <c r="P196" i="232" s="1"/>
  <c r="V196" i="232" s="1"/>
  <c r="O164" i="232"/>
  <c r="P164" i="232" s="1"/>
  <c r="V164" i="232" s="1"/>
  <c r="R46" i="232"/>
  <c r="T46" i="232" s="1"/>
  <c r="Y284" i="233"/>
  <c r="O117" i="232"/>
  <c r="P117" i="232" s="1"/>
  <c r="V117" i="232" s="1"/>
  <c r="Y277" i="233"/>
  <c r="Y279" i="233"/>
  <c r="Y94" i="233"/>
  <c r="O39" i="219"/>
  <c r="P39" i="219" s="1"/>
  <c r="Y154" i="233"/>
  <c r="R155" i="232"/>
  <c r="T155" i="232" s="1"/>
  <c r="O23" i="232"/>
  <c r="P23" i="232" s="1"/>
  <c r="V23" i="232" s="1"/>
  <c r="Y19" i="233"/>
  <c r="Y95" i="233"/>
  <c r="Y36" i="233"/>
  <c r="Y229" i="233"/>
  <c r="Y182" i="233"/>
  <c r="Y271" i="233"/>
  <c r="Y258" i="233"/>
  <c r="O226" i="232"/>
  <c r="P226" i="232" s="1"/>
  <c r="V226" i="232" s="1"/>
  <c r="O171" i="232"/>
  <c r="P171" i="232" s="1"/>
  <c r="V171" i="232" s="1"/>
  <c r="O103" i="232"/>
  <c r="P103" i="232" s="1"/>
  <c r="V103" i="232" s="1"/>
  <c r="O128" i="232"/>
  <c r="P128" i="232" s="1"/>
  <c r="V128" i="232" s="1"/>
  <c r="R74" i="232"/>
  <c r="T74" i="232" s="1"/>
  <c r="Y67" i="233"/>
  <c r="R174" i="232"/>
  <c r="T174" i="232" s="1"/>
  <c r="O57" i="232"/>
  <c r="P57" i="232" s="1"/>
  <c r="V57" i="232" s="1"/>
  <c r="R20" i="232"/>
  <c r="T20" i="232" s="1"/>
  <c r="Y107" i="233"/>
  <c r="Y54" i="233"/>
  <c r="Y49" i="233"/>
  <c r="Y251" i="233"/>
  <c r="Y236" i="233"/>
  <c r="O43" i="232"/>
  <c r="P43" i="232" s="1"/>
  <c r="R43" i="232"/>
  <c r="T43" i="232" s="1"/>
  <c r="U43" i="232" s="1"/>
  <c r="Y263" i="233"/>
  <c r="R216" i="232"/>
  <c r="T216" i="232" s="1"/>
  <c r="R94" i="232"/>
  <c r="T94" i="232" s="1"/>
  <c r="R41" i="232"/>
  <c r="T41" i="232" s="1"/>
  <c r="O93" i="232"/>
  <c r="P93" i="232" s="1"/>
  <c r="V93" i="232" s="1"/>
  <c r="Y288" i="233"/>
  <c r="Y145" i="233"/>
  <c r="Y249" i="233"/>
  <c r="R220" i="232"/>
  <c r="T220" i="232" s="1"/>
  <c r="R141" i="232"/>
  <c r="T141" i="232" s="1"/>
  <c r="O45" i="232"/>
  <c r="P45" i="232" s="1"/>
  <c r="V45" i="232" s="1"/>
  <c r="Y147" i="233"/>
  <c r="Y17" i="233"/>
  <c r="R114" i="232"/>
  <c r="T114" i="232" s="1"/>
  <c r="Y152" i="233"/>
  <c r="R30" i="232"/>
  <c r="T30" i="232" s="1"/>
  <c r="O29" i="232"/>
  <c r="P29" i="232" s="1"/>
  <c r="V29" i="232" s="1"/>
  <c r="Y247" i="233"/>
  <c r="Y89" i="233"/>
  <c r="O49" i="219"/>
  <c r="R179" i="232"/>
  <c r="T179" i="232" s="1"/>
  <c r="Y272" i="233"/>
  <c r="Y11" i="233"/>
  <c r="Y211" i="233"/>
  <c r="Y269" i="233"/>
  <c r="O204" i="232"/>
  <c r="P204" i="232" s="1"/>
  <c r="V204" i="232" s="1"/>
  <c r="Y146" i="233"/>
  <c r="Y135" i="233"/>
  <c r="Y23" i="233"/>
  <c r="Y274" i="233"/>
  <c r="Y116" i="233"/>
  <c r="Y260" i="233"/>
  <c r="Y232" i="233"/>
  <c r="O113" i="232"/>
  <c r="P113" i="232" s="1"/>
  <c r="R113" i="232"/>
  <c r="T113" i="232" s="1"/>
  <c r="U113" i="232" s="1"/>
  <c r="O125" i="232"/>
  <c r="P125" i="232" s="1"/>
  <c r="V125" i="232" s="1"/>
  <c r="Y256" i="233"/>
  <c r="Y60" i="233"/>
  <c r="R136" i="232"/>
  <c r="T136" i="232" s="1"/>
  <c r="U136" i="232" s="1"/>
  <c r="O136" i="232"/>
  <c r="P136" i="232" s="1"/>
  <c r="R159" i="232"/>
  <c r="T159" i="232" s="1"/>
  <c r="U159" i="232" s="1"/>
  <c r="O159" i="232"/>
  <c r="P159" i="232" s="1"/>
  <c r="R170" i="232"/>
  <c r="T170" i="232" s="1"/>
  <c r="U170" i="232" s="1"/>
  <c r="O170" i="232"/>
  <c r="P170" i="232" s="1"/>
  <c r="R40" i="232"/>
  <c r="T40" i="232" s="1"/>
  <c r="U40" i="232" s="1"/>
  <c r="O40" i="232"/>
  <c r="P40" i="232" s="1"/>
  <c r="R49" i="232"/>
  <c r="T49" i="232" s="1"/>
  <c r="U49" i="232" s="1"/>
  <c r="O49" i="232"/>
  <c r="P49" i="232" s="1"/>
  <c r="R98" i="232"/>
  <c r="T98" i="232" s="1"/>
  <c r="U98" i="232" s="1"/>
  <c r="O98" i="232"/>
  <c r="P98" i="232" s="1"/>
  <c r="R90" i="232"/>
  <c r="T90" i="232" s="1"/>
  <c r="U90" i="232" s="1"/>
  <c r="O90" i="232"/>
  <c r="P90" i="232" s="1"/>
  <c r="O110" i="232"/>
  <c r="P110" i="232" s="1"/>
  <c r="V110" i="232" s="1"/>
  <c r="R88" i="232"/>
  <c r="T88" i="232" s="1"/>
  <c r="R119" i="232"/>
  <c r="T119" i="232" s="1"/>
  <c r="O157" i="232"/>
  <c r="P157" i="232" s="1"/>
  <c r="V157" i="232" s="1"/>
  <c r="O56" i="232"/>
  <c r="P56" i="232" s="1"/>
  <c r="V56" i="232" s="1"/>
  <c r="R185" i="232"/>
  <c r="T185" i="232" s="1"/>
  <c r="O211" i="232"/>
  <c r="P211" i="232" s="1"/>
  <c r="R211" i="232"/>
  <c r="T211" i="232" s="1"/>
  <c r="U211" i="232" s="1"/>
  <c r="R161" i="232"/>
  <c r="T161" i="232" s="1"/>
  <c r="U161" i="232" s="1"/>
  <c r="O161" i="232"/>
  <c r="P161" i="232" s="1"/>
  <c r="R120" i="232"/>
  <c r="T120" i="232" s="1"/>
  <c r="U120" i="232" s="1"/>
  <c r="O120" i="232"/>
  <c r="P120" i="232" s="1"/>
  <c r="R167" i="232"/>
  <c r="T167" i="232" s="1"/>
  <c r="U167" i="232" s="1"/>
  <c r="O167" i="232"/>
  <c r="P167" i="232" s="1"/>
  <c r="O104" i="232"/>
  <c r="P104" i="232" s="1"/>
  <c r="R104" i="232"/>
  <c r="T104" i="232" s="1"/>
  <c r="U104" i="232" s="1"/>
  <c r="R145" i="232"/>
  <c r="T145" i="232" s="1"/>
  <c r="U145" i="232" s="1"/>
  <c r="O145" i="232"/>
  <c r="P145" i="232" s="1"/>
  <c r="O223" i="232"/>
  <c r="P223" i="232" s="1"/>
  <c r="R223" i="232"/>
  <c r="T223" i="232" s="1"/>
  <c r="U223" i="232" s="1"/>
  <c r="O96" i="232"/>
  <c r="P96" i="232" s="1"/>
  <c r="R96" i="232"/>
  <c r="T96" i="232" s="1"/>
  <c r="U96" i="232" s="1"/>
  <c r="O151" i="232"/>
  <c r="P151" i="232" s="1"/>
  <c r="R151" i="232"/>
  <c r="R137" i="232"/>
  <c r="T137" i="232" s="1"/>
  <c r="U137" i="232" s="1"/>
  <c r="O137" i="232"/>
  <c r="P137" i="232" s="1"/>
  <c r="O215" i="232"/>
  <c r="P215" i="232" s="1"/>
  <c r="R215" i="232"/>
  <c r="T215" i="232" s="1"/>
  <c r="U215" i="232" s="1"/>
  <c r="O135" i="232"/>
  <c r="P135" i="232" s="1"/>
  <c r="R135" i="232"/>
  <c r="T135" i="232" s="1"/>
  <c r="U135" i="232" s="1"/>
  <c r="O82" i="232"/>
  <c r="P82" i="232" s="1"/>
  <c r="R82" i="232"/>
  <c r="T82" i="232" s="1"/>
  <c r="U82" i="232" s="1"/>
  <c r="O129" i="232"/>
  <c r="P129" i="232" s="1"/>
  <c r="R129" i="232"/>
  <c r="T129" i="232" s="1"/>
  <c r="U129" i="232" s="1"/>
  <c r="O194" i="232"/>
  <c r="P194" i="232" s="1"/>
  <c r="R194" i="232"/>
  <c r="T194" i="232" s="1"/>
  <c r="U194" i="232" s="1"/>
  <c r="R55" i="232"/>
  <c r="T55" i="232" s="1"/>
  <c r="U55" i="232" s="1"/>
  <c r="O55" i="232"/>
  <c r="P55" i="232" s="1"/>
  <c r="R199" i="232"/>
  <c r="T199" i="232" s="1"/>
  <c r="U199" i="232" s="1"/>
  <c r="O199" i="232"/>
  <c r="P199" i="232" s="1"/>
  <c r="R25" i="232"/>
  <c r="T25" i="232" s="1"/>
  <c r="U25" i="232" s="1"/>
  <c r="O25" i="232"/>
  <c r="P25" i="232" s="1"/>
  <c r="R152" i="232"/>
  <c r="T152" i="232" s="1"/>
  <c r="U152" i="232" s="1"/>
  <c r="O152" i="232"/>
  <c r="P152" i="232" s="1"/>
  <c r="R190" i="232"/>
  <c r="T190" i="232" s="1"/>
  <c r="U190" i="232" s="1"/>
  <c r="O190" i="232"/>
  <c r="P190" i="232" s="1"/>
  <c r="O47" i="232"/>
  <c r="P47" i="232" s="1"/>
  <c r="R47" i="232"/>
  <c r="T47" i="232" s="1"/>
  <c r="U47" i="232" s="1"/>
  <c r="R224" i="232"/>
  <c r="T224" i="232" s="1"/>
  <c r="U224" i="232" s="1"/>
  <c r="O224" i="232"/>
  <c r="P224" i="232" s="1"/>
  <c r="R17" i="232"/>
  <c r="T17" i="232" s="1"/>
  <c r="U17" i="232" s="1"/>
  <c r="O17" i="232"/>
  <c r="P17" i="232" s="1"/>
  <c r="R175" i="232"/>
  <c r="T175" i="232" s="1"/>
  <c r="U175" i="232" s="1"/>
  <c r="O175" i="232"/>
  <c r="P175" i="232" s="1"/>
  <c r="O48" i="232"/>
  <c r="P48" i="232" s="1"/>
  <c r="V48" i="232" s="1"/>
  <c r="R206" i="232"/>
  <c r="T206" i="232" s="1"/>
  <c r="R101" i="232"/>
  <c r="T101" i="232" s="1"/>
  <c r="R222" i="232"/>
  <c r="T222" i="232" s="1"/>
  <c r="O191" i="232"/>
  <c r="P191" i="232" s="1"/>
  <c r="R191" i="232"/>
  <c r="T191" i="232" s="1"/>
  <c r="U191" i="232" s="1"/>
  <c r="O219" i="232"/>
  <c r="P219" i="232" s="1"/>
  <c r="R219" i="232"/>
  <c r="T219" i="232" s="1"/>
  <c r="U219" i="232" s="1"/>
  <c r="R182" i="232"/>
  <c r="T182" i="232" s="1"/>
  <c r="U182" i="232" s="1"/>
  <c r="O182" i="232"/>
  <c r="P182" i="232" s="1"/>
  <c r="O200" i="232"/>
  <c r="P200" i="232" s="1"/>
  <c r="R200" i="232"/>
  <c r="T200" i="232" s="1"/>
  <c r="U200" i="232" s="1"/>
  <c r="M80" i="232"/>
  <c r="O227" i="232"/>
  <c r="P227" i="232" s="1"/>
  <c r="R227" i="232"/>
  <c r="T227" i="232" s="1"/>
  <c r="U227" i="232" s="1"/>
  <c r="O153" i="232"/>
  <c r="P153" i="232" s="1"/>
  <c r="V153" i="232" s="1"/>
  <c r="O133" i="232"/>
  <c r="P133" i="232" s="1"/>
  <c r="V133" i="232" s="1"/>
  <c r="R21" i="232"/>
  <c r="T21" i="232" s="1"/>
  <c r="O207" i="232"/>
  <c r="P207" i="232" s="1"/>
  <c r="R207" i="232"/>
  <c r="T207" i="232" s="1"/>
  <c r="U207" i="232" s="1"/>
  <c r="R32" i="232"/>
  <c r="T32" i="232" s="1"/>
  <c r="U32" i="232" s="1"/>
  <c r="O32" i="232"/>
  <c r="P32" i="232" s="1"/>
  <c r="O35" i="232"/>
  <c r="P35" i="232" s="1"/>
  <c r="R35" i="232"/>
  <c r="T35" i="232" s="1"/>
  <c r="U35" i="232" s="1"/>
  <c r="O107" i="232"/>
  <c r="P107" i="232" s="1"/>
  <c r="V107" i="232" s="1"/>
  <c r="O195" i="232"/>
  <c r="P195" i="232" s="1"/>
  <c r="R195" i="232"/>
  <c r="T195" i="232" s="1"/>
  <c r="U195" i="232" s="1"/>
  <c r="T183" i="232"/>
  <c r="U183" i="232" s="1"/>
  <c r="Y240" i="233"/>
  <c r="Y201" i="233"/>
  <c r="Y187" i="233"/>
  <c r="Y248" i="233"/>
  <c r="Y276" i="233"/>
  <c r="Y257" i="233"/>
  <c r="Y282" i="233"/>
  <c r="Y131" i="233"/>
  <c r="Y70" i="233"/>
  <c r="Y65" i="233"/>
  <c r="Y91" i="233"/>
  <c r="Y37" i="233"/>
  <c r="Y96" i="233"/>
  <c r="Y261" i="233"/>
  <c r="Y90" i="233"/>
  <c r="Y76" i="233"/>
  <c r="Y125" i="233"/>
  <c r="Y38" i="233"/>
  <c r="Y63" i="233"/>
  <c r="Y283" i="233"/>
  <c r="Y119" i="233"/>
  <c r="Y121" i="233"/>
  <c r="Y122" i="233"/>
  <c r="Y212" i="233"/>
  <c r="Y155" i="233"/>
  <c r="Y46" i="233"/>
  <c r="Y88" i="233"/>
  <c r="Y203" i="233"/>
  <c r="Y293" i="233"/>
  <c r="Y139" i="233"/>
  <c r="Y43" i="233"/>
  <c r="O173" i="232"/>
  <c r="P173" i="232" s="1"/>
  <c r="R173" i="232"/>
  <c r="T173" i="232" s="1"/>
  <c r="U173" i="232" s="1"/>
  <c r="O165" i="232"/>
  <c r="P165" i="232" s="1"/>
  <c r="R165" i="232"/>
  <c r="T165" i="232" s="1"/>
  <c r="U165" i="232" s="1"/>
  <c r="R149" i="232"/>
  <c r="T149" i="232" s="1"/>
  <c r="U149" i="232" s="1"/>
  <c r="O149" i="232"/>
  <c r="P149" i="232" s="1"/>
  <c r="R51" i="232"/>
  <c r="T51" i="232" s="1"/>
  <c r="R187" i="232"/>
  <c r="T187" i="232" s="1"/>
  <c r="U187" i="232" s="1"/>
  <c r="O187" i="232"/>
  <c r="P187" i="232" s="1"/>
  <c r="R5" i="232"/>
  <c r="O5" i="232"/>
  <c r="P5" i="232" s="1"/>
  <c r="R202" i="232"/>
  <c r="T202" i="232" s="1"/>
  <c r="U202" i="232" s="1"/>
  <c r="O202" i="232"/>
  <c r="P202" i="232" s="1"/>
  <c r="R186" i="232"/>
  <c r="O186" i="232"/>
  <c r="P186" i="232" s="1"/>
  <c r="R177" i="232"/>
  <c r="T177" i="232" s="1"/>
  <c r="U177" i="232" s="1"/>
  <c r="O177" i="232"/>
  <c r="P177" i="232" s="1"/>
  <c r="R178" i="232"/>
  <c r="T178" i="232" s="1"/>
  <c r="U178" i="232" s="1"/>
  <c r="O178" i="232"/>
  <c r="P178" i="232" s="1"/>
  <c r="R214" i="232"/>
  <c r="T214" i="232" s="1"/>
  <c r="U214" i="232" s="1"/>
  <c r="O214" i="232"/>
  <c r="P214" i="232" s="1"/>
  <c r="R201" i="232"/>
  <c r="T201" i="232" s="1"/>
  <c r="U201" i="232" s="1"/>
  <c r="O201" i="232"/>
  <c r="P201" i="232" s="1"/>
  <c r="R197" i="232"/>
  <c r="T197" i="232" s="1"/>
  <c r="U197" i="232" s="1"/>
  <c r="O197" i="232"/>
  <c r="P197" i="232" s="1"/>
  <c r="Y221" i="233"/>
  <c r="Y280" i="233"/>
  <c r="Y218" i="233"/>
  <c r="K24" i="50"/>
  <c r="I32" i="48"/>
  <c r="D30" i="48"/>
  <c r="Q17" i="48"/>
  <c r="B4" i="144"/>
  <c r="B3" i="144"/>
  <c r="U41" i="232" l="1"/>
  <c r="V41" i="232" s="1"/>
  <c r="U74" i="232"/>
  <c r="V74" i="232" s="1"/>
  <c r="U150" i="232"/>
  <c r="V150" i="232" s="1"/>
  <c r="U148" i="232"/>
  <c r="V148" i="232" s="1"/>
  <c r="U115" i="232"/>
  <c r="V115" i="232" s="1"/>
  <c r="U134" i="232"/>
  <c r="V134" i="232" s="1"/>
  <c r="U18" i="232"/>
  <c r="V18" i="232" s="1"/>
  <c r="U8" i="232"/>
  <c r="V8" i="232" s="1"/>
  <c r="U179" i="232"/>
  <c r="V179" i="232" s="1"/>
  <c r="U42" i="232"/>
  <c r="V42" i="232" s="1"/>
  <c r="U94" i="232"/>
  <c r="V94" i="232" s="1"/>
  <c r="U184" i="232"/>
  <c r="V184" i="232" s="1"/>
  <c r="U65" i="232"/>
  <c r="V65" i="232" s="1"/>
  <c r="U168" i="232"/>
  <c r="V168" i="232" s="1"/>
  <c r="U19" i="232"/>
  <c r="V19" i="232" s="1"/>
  <c r="U91" i="232"/>
  <c r="V91" i="232" s="1"/>
  <c r="U66" i="232"/>
  <c r="V66" i="232" s="1"/>
  <c r="U12" i="232"/>
  <c r="V12" i="232" s="1"/>
  <c r="U160" i="232"/>
  <c r="V160" i="232" s="1"/>
  <c r="U123" i="232"/>
  <c r="V123" i="232" s="1"/>
  <c r="U118" i="232"/>
  <c r="V118" i="232" s="1"/>
  <c r="U185" i="232"/>
  <c r="V185" i="232" s="1"/>
  <c r="U141" i="232"/>
  <c r="V141" i="232" s="1"/>
  <c r="U222" i="232"/>
  <c r="V222" i="232" s="1"/>
  <c r="U88" i="232"/>
  <c r="V88" i="232" s="1"/>
  <c r="U220" i="232"/>
  <c r="V220" i="232" s="1"/>
  <c r="U20" i="232"/>
  <c r="V20" i="232" s="1"/>
  <c r="U68" i="232"/>
  <c r="V68" i="232" s="1"/>
  <c r="U105" i="232"/>
  <c r="V105" i="232" s="1"/>
  <c r="U67" i="232"/>
  <c r="V67" i="232" s="1"/>
  <c r="U38" i="232"/>
  <c r="V38" i="232" s="1"/>
  <c r="U146" i="232"/>
  <c r="V146" i="232" s="1"/>
  <c r="U72" i="232"/>
  <c r="V72" i="232" s="1"/>
  <c r="U216" i="232"/>
  <c r="V216" i="232" s="1"/>
  <c r="U101" i="232"/>
  <c r="V101" i="232" s="1"/>
  <c r="U30" i="232"/>
  <c r="V30" i="232" s="1"/>
  <c r="U76" i="232"/>
  <c r="V76" i="232" s="1"/>
  <c r="U34" i="232"/>
  <c r="V34" i="232" s="1"/>
  <c r="U102" i="232"/>
  <c r="V102" i="232" s="1"/>
  <c r="U89" i="232"/>
  <c r="V89" i="232" s="1"/>
  <c r="U81" i="232"/>
  <c r="V81" i="232" s="1"/>
  <c r="U209" i="232"/>
  <c r="V209" i="232" s="1"/>
  <c r="U86" i="232"/>
  <c r="V86" i="232" s="1"/>
  <c r="U119" i="232"/>
  <c r="V119" i="232" s="1"/>
  <c r="U51" i="232"/>
  <c r="V51" i="232" s="1"/>
  <c r="U21" i="232"/>
  <c r="V21" i="232" s="1"/>
  <c r="U206" i="232"/>
  <c r="V206" i="232" s="1"/>
  <c r="U174" i="232"/>
  <c r="V174" i="232" s="1"/>
  <c r="U155" i="232"/>
  <c r="V155" i="232" s="1"/>
  <c r="U46" i="232"/>
  <c r="V46" i="232" s="1"/>
  <c r="U50" i="232"/>
  <c r="V50" i="232" s="1"/>
  <c r="U181" i="232"/>
  <c r="V181" i="232" s="1"/>
  <c r="U108" i="232"/>
  <c r="V108" i="232" s="1"/>
  <c r="U116" i="232"/>
  <c r="V116" i="232" s="1"/>
  <c r="U24" i="232"/>
  <c r="V24" i="232" s="1"/>
  <c r="U62" i="232"/>
  <c r="V62" i="232" s="1"/>
  <c r="U73" i="232"/>
  <c r="V73" i="232" s="1"/>
  <c r="U100" i="232"/>
  <c r="V100" i="232" s="1"/>
  <c r="U139" i="232"/>
  <c r="V139" i="232" s="1"/>
  <c r="U114" i="232"/>
  <c r="V114" i="232" s="1"/>
  <c r="U142" i="232"/>
  <c r="V142" i="232" s="1"/>
  <c r="U27" i="232"/>
  <c r="V27" i="232" s="1"/>
  <c r="U58" i="232"/>
  <c r="V58" i="232" s="1"/>
  <c r="U11" i="232"/>
  <c r="V11" i="232" s="1"/>
  <c r="U78" i="232"/>
  <c r="V78" i="232" s="1"/>
  <c r="U176" i="232"/>
  <c r="V176" i="232" s="1"/>
  <c r="U63" i="232"/>
  <c r="V63" i="232" s="1"/>
  <c r="U70" i="232"/>
  <c r="V70" i="232" s="1"/>
  <c r="U84" i="232"/>
  <c r="V84" i="232" s="1"/>
  <c r="U147" i="232"/>
  <c r="V147" i="232" s="1"/>
  <c r="U16" i="232"/>
  <c r="V16" i="232" s="1"/>
  <c r="R7" i="60"/>
  <c r="I23" i="60"/>
  <c r="P23" i="60" s="1"/>
  <c r="K23" i="60"/>
  <c r="Q23" i="60" s="1"/>
  <c r="O23" i="60"/>
  <c r="S23" i="60" s="1"/>
  <c r="M23" i="60"/>
  <c r="R23" i="60" s="1"/>
  <c r="E9" i="223"/>
  <c r="E8" i="216"/>
  <c r="G8" i="216" s="1"/>
  <c r="Z13" i="210"/>
  <c r="AE13" i="210" s="1"/>
  <c r="AG13" i="210" s="1"/>
  <c r="V162" i="232"/>
  <c r="I23" i="214"/>
  <c r="V183" i="232"/>
  <c r="E21" i="214"/>
  <c r="C24" i="214"/>
  <c r="V218" i="232"/>
  <c r="V159" i="232"/>
  <c r="V131" i="232"/>
  <c r="V13" i="232"/>
  <c r="V106" i="232"/>
  <c r="V43" i="232"/>
  <c r="V210" i="232"/>
  <c r="V127" i="232"/>
  <c r="V224" i="232"/>
  <c r="V25" i="232"/>
  <c r="V129" i="232"/>
  <c r="V137" i="232"/>
  <c r="V145" i="232"/>
  <c r="V161" i="232"/>
  <c r="V49" i="232"/>
  <c r="V198" i="232"/>
  <c r="V188" i="232"/>
  <c r="V203" i="232"/>
  <c r="V9" i="232"/>
  <c r="V40" i="232"/>
  <c r="V112" i="232"/>
  <c r="V90" i="232"/>
  <c r="V199" i="232"/>
  <c r="V136" i="232"/>
  <c r="V98" i="232"/>
  <c r="V113" i="232"/>
  <c r="V182" i="232"/>
  <c r="V55" i="232"/>
  <c r="V152" i="232"/>
  <c r="V170" i="232"/>
  <c r="V227" i="232"/>
  <c r="V194" i="232"/>
  <c r="V223" i="232"/>
  <c r="V120" i="232"/>
  <c r="V191" i="232"/>
  <c r="V35" i="232"/>
  <c r="V32" i="232"/>
  <c r="V214" i="232"/>
  <c r="V82" i="232"/>
  <c r="V104" i="232"/>
  <c r="V175" i="232"/>
  <c r="V190" i="232"/>
  <c r="V135" i="232"/>
  <c r="V167" i="232"/>
  <c r="V173" i="232"/>
  <c r="V200" i="232"/>
  <c r="V211" i="232"/>
  <c r="V195" i="232"/>
  <c r="V207" i="232"/>
  <c r="V219" i="232"/>
  <c r="T186" i="232"/>
  <c r="V96" i="232"/>
  <c r="V17" i="232"/>
  <c r="V215" i="232"/>
  <c r="V149" i="232"/>
  <c r="R80" i="232"/>
  <c r="T80" i="232" s="1"/>
  <c r="U80" i="232" s="1"/>
  <c r="O80" i="232"/>
  <c r="P80" i="232" s="1"/>
  <c r="T151" i="232"/>
  <c r="V47" i="232"/>
  <c r="V187" i="232"/>
  <c r="V202" i="232"/>
  <c r="V165" i="232"/>
  <c r="V197" i="232"/>
  <c r="V177" i="232"/>
  <c r="V178" i="232"/>
  <c r="V201" i="232"/>
  <c r="T5" i="232"/>
  <c r="V18" i="46"/>
  <c r="C448" i="44" l="1"/>
  <c r="C139" i="44"/>
  <c r="U151" i="232"/>
  <c r="V151" i="232" s="1"/>
  <c r="U186" i="232"/>
  <c r="V186" i="232" s="1"/>
  <c r="U5" i="232"/>
  <c r="V5" i="232" s="1"/>
  <c r="R228" i="232"/>
  <c r="V80" i="232"/>
  <c r="E8" i="46"/>
  <c r="K8" i="46"/>
  <c r="H8" i="46"/>
  <c r="N8" i="46"/>
  <c r="D8" i="46"/>
  <c r="M8" i="46"/>
  <c r="J8" i="46"/>
  <c r="Q18" i="46"/>
  <c r="Q8" i="46"/>
  <c r="D135" i="253" s="1"/>
  <c r="D137" i="253" s="1"/>
  <c r="I8" i="46"/>
  <c r="G8" i="46"/>
  <c r="F8" i="46"/>
  <c r="P8" i="46"/>
  <c r="O8" i="46"/>
  <c r="R8" i="46"/>
  <c r="R18" i="46"/>
  <c r="C8" i="46"/>
  <c r="L8" i="46"/>
  <c r="V228" i="232" l="1"/>
  <c r="O36" i="60"/>
  <c r="S36" i="60" s="1"/>
  <c r="I36" i="60"/>
  <c r="P36" i="60" s="1"/>
  <c r="M36" i="60"/>
  <c r="R36" i="60" s="1"/>
  <c r="K36" i="60"/>
  <c r="Q36" i="60" s="1"/>
  <c r="C8" i="61"/>
  <c r="C151" i="61" l="1"/>
  <c r="C152" i="61" s="1"/>
  <c r="C153" i="61" s="1"/>
  <c r="C9" i="61"/>
  <c r="E34" i="48"/>
  <c r="E35" i="48"/>
  <c r="C126" i="61" l="1"/>
  <c r="C127" i="61" s="1"/>
  <c r="C128" i="61" s="1"/>
  <c r="I204" i="63"/>
  <c r="D204" i="63"/>
  <c r="G10" i="222" s="1"/>
  <c r="N10" i="222" s="1"/>
  <c r="J204" i="63"/>
  <c r="D261" i="63"/>
  <c r="L17" i="222" s="1"/>
  <c r="S17" i="222" s="1"/>
  <c r="D262" i="63"/>
  <c r="L18" i="222" s="1"/>
  <c r="S18" i="222" s="1"/>
  <c r="D241" i="63"/>
  <c r="J17" i="222" s="1"/>
  <c r="Q17" i="222" s="1"/>
  <c r="D231" i="63"/>
  <c r="I17" i="222" s="1"/>
  <c r="P17" i="222" s="1"/>
  <c r="D232" i="63"/>
  <c r="I18" i="222" s="1"/>
  <c r="P18" i="222" s="1"/>
  <c r="D221" i="63"/>
  <c r="H17" i="222" s="1"/>
  <c r="D222" i="63"/>
  <c r="H18" i="222" s="1"/>
  <c r="IK1" i="193"/>
  <c r="IL1" i="193" s="1"/>
  <c r="IM1" i="193" s="1"/>
  <c r="IN1" i="193" s="1"/>
  <c r="IO1" i="193" s="1"/>
  <c r="IP3" i="193" s="1"/>
  <c r="IQ3" i="193" s="1"/>
  <c r="IR3" i="193" s="1"/>
  <c r="IS3" i="193" s="1"/>
  <c r="IT3" i="193" s="1"/>
  <c r="IU3" i="193" s="1"/>
  <c r="IV3" i="193" s="1"/>
  <c r="IW3" i="193" s="1"/>
  <c r="IX3" i="193" s="1"/>
  <c r="IY3" i="193" s="1"/>
  <c r="IZ3" i="193" s="1"/>
  <c r="JA3" i="193" s="1"/>
  <c r="JB3" i="193" s="1"/>
  <c r="JC3" i="193" s="1"/>
  <c r="JD3" i="193" s="1"/>
  <c r="JE3" i="193" s="1"/>
  <c r="JF3" i="193" s="1"/>
  <c r="JG3" i="193" s="1"/>
  <c r="JH3" i="193" s="1"/>
  <c r="JI3" i="193" s="1"/>
  <c r="JJ3" i="193" s="1"/>
  <c r="JK3" i="193" s="1"/>
  <c r="JL3" i="193" s="1"/>
  <c r="JM3" i="193" s="1"/>
  <c r="JN3" i="193" s="1"/>
  <c r="JO3" i="193" s="1"/>
  <c r="JP3" i="193" s="1"/>
  <c r="JQ3" i="193" s="1"/>
  <c r="JR3" i="193" s="1"/>
  <c r="JS3" i="193" s="1"/>
  <c r="JT3" i="193" s="1"/>
  <c r="CO3" i="193"/>
  <c r="CN3" i="193" s="1"/>
  <c r="CM3" i="193" s="1"/>
  <c r="CL3" i="193" s="1"/>
  <c r="CK3" i="193" s="1"/>
  <c r="CJ3" i="193" s="1"/>
  <c r="CI3" i="193" s="1"/>
  <c r="CH3" i="193" s="1"/>
  <c r="CG3" i="193" s="1"/>
  <c r="CF3" i="193" s="1"/>
  <c r="CE3" i="193" s="1"/>
  <c r="CD3" i="193" s="1"/>
  <c r="CC3" i="193" s="1"/>
  <c r="CB3" i="193" s="1"/>
  <c r="CA3" i="193" s="1"/>
  <c r="BZ3" i="193" s="1"/>
  <c r="BY3" i="193" s="1"/>
  <c r="BX3" i="193" s="1"/>
  <c r="BW3" i="193" s="1"/>
  <c r="BV3" i="193" s="1"/>
  <c r="BU3" i="193" s="1"/>
  <c r="BT3" i="193" s="1"/>
  <c r="BS3" i="193" s="1"/>
  <c r="BR3" i="193" s="1"/>
  <c r="BQ3" i="193" s="1"/>
  <c r="BP3" i="193" s="1"/>
  <c r="BO3" i="193" s="1"/>
  <c r="BN3" i="193" s="1"/>
  <c r="BM3" i="193" s="1"/>
  <c r="BL3" i="193" s="1"/>
  <c r="BK3" i="193" s="1"/>
  <c r="BJ3" i="193" s="1"/>
  <c r="BI3" i="193" s="1"/>
  <c r="BH3" i="193" s="1"/>
  <c r="BG3" i="193" s="1"/>
  <c r="BF3" i="193" s="1"/>
  <c r="BE3" i="193" s="1"/>
  <c r="BD3" i="193" s="1"/>
  <c r="BC3" i="193" s="1"/>
  <c r="BB3" i="193" s="1"/>
  <c r="BA3" i="193" s="1"/>
  <c r="AZ3" i="193" s="1"/>
  <c r="AY3" i="193" s="1"/>
  <c r="AX3" i="193" s="1"/>
  <c r="AW3" i="193" s="1"/>
  <c r="AV3" i="193" s="1"/>
  <c r="AU3" i="193" s="1"/>
  <c r="AT3" i="193" s="1"/>
  <c r="AS3" i="193" s="1"/>
  <c r="AR3" i="193" s="1"/>
  <c r="AQ3" i="193" s="1"/>
  <c r="AP3" i="193" s="1"/>
  <c r="AO3" i="193" s="1"/>
  <c r="AN3" i="193" s="1"/>
  <c r="AM3" i="193" s="1"/>
  <c r="AL3" i="193" s="1"/>
  <c r="AK3" i="193" s="1"/>
  <c r="AJ3" i="193" s="1"/>
  <c r="AI3" i="193" s="1"/>
  <c r="AH3" i="193" s="1"/>
  <c r="AG3" i="193" s="1"/>
  <c r="AF3" i="193" s="1"/>
  <c r="AE3" i="193" s="1"/>
  <c r="AD3" i="193" s="1"/>
  <c r="AC3" i="193" s="1"/>
  <c r="AB3" i="193" s="1"/>
  <c r="AA3" i="193" s="1"/>
  <c r="Z3" i="193" s="1"/>
  <c r="Y3" i="193" s="1"/>
  <c r="X3" i="193" s="1"/>
  <c r="W3" i="193" s="1"/>
  <c r="V3" i="193" s="1"/>
  <c r="U3" i="193" s="1"/>
  <c r="T3" i="193" s="1"/>
  <c r="S3" i="193" s="1"/>
  <c r="R3" i="193" s="1"/>
  <c r="Q3" i="193" s="1"/>
  <c r="P3" i="193" s="1"/>
  <c r="O3" i="193" s="1"/>
  <c r="N3" i="193" s="1"/>
  <c r="M3" i="193" s="1"/>
  <c r="L3" i="193" s="1"/>
  <c r="K3" i="193" s="1"/>
  <c r="J3" i="193" s="1"/>
  <c r="I3" i="193" s="1"/>
  <c r="H3" i="193" s="1"/>
  <c r="G3" i="193" s="1"/>
  <c r="F3" i="193" s="1"/>
  <c r="E3" i="193" s="1"/>
  <c r="D3" i="193" s="1"/>
  <c r="C3" i="193" s="1"/>
  <c r="B3" i="193" s="1"/>
  <c r="CQ3" i="193"/>
  <c r="CR3" i="193" s="1"/>
  <c r="CS3" i="193" s="1"/>
  <c r="CT3" i="193" s="1"/>
  <c r="CU3" i="193" s="1"/>
  <c r="CV3" i="193" s="1"/>
  <c r="CW3" i="193" s="1"/>
  <c r="CX3" i="193" s="1"/>
  <c r="CY3" i="193" s="1"/>
  <c r="CZ3" i="193" s="1"/>
  <c r="DA3" i="193" s="1"/>
  <c r="DB3" i="193" s="1"/>
  <c r="DC3" i="193" s="1"/>
  <c r="DD3" i="193" s="1"/>
  <c r="DE3" i="193" s="1"/>
  <c r="DF3" i="193" s="1"/>
  <c r="DG3" i="193" s="1"/>
  <c r="DH3" i="193" s="1"/>
  <c r="DI3" i="193" s="1"/>
  <c r="DJ3" i="193" s="1"/>
  <c r="DK3" i="193" s="1"/>
  <c r="DL3" i="193" s="1"/>
  <c r="DM3" i="193" s="1"/>
  <c r="DN3" i="193" s="1"/>
  <c r="DO3" i="193" s="1"/>
  <c r="DP3" i="193" s="1"/>
  <c r="DQ3" i="193" s="1"/>
  <c r="DR3" i="193" s="1"/>
  <c r="DS3" i="193" s="1"/>
  <c r="DT3" i="193" s="1"/>
  <c r="DU3" i="193" s="1"/>
  <c r="DV3" i="193" s="1"/>
  <c r="DW3" i="193" s="1"/>
  <c r="DX3" i="193" s="1"/>
  <c r="DY3" i="193" s="1"/>
  <c r="DZ3" i="193" s="1"/>
  <c r="EA3" i="193" s="1"/>
  <c r="EB3" i="193" s="1"/>
  <c r="EC3" i="193" s="1"/>
  <c r="ED3" i="193" s="1"/>
  <c r="EE3" i="193" s="1"/>
  <c r="EF3" i="193" s="1"/>
  <c r="EG3" i="193" s="1"/>
  <c r="EH3" i="193" s="1"/>
  <c r="EI3" i="193" s="1"/>
  <c r="EJ3" i="193" s="1"/>
  <c r="EK3" i="193" s="1"/>
  <c r="EL3" i="193" s="1"/>
  <c r="EM3" i="193" s="1"/>
  <c r="EN3" i="193" s="1"/>
  <c r="EO3" i="193" s="1"/>
  <c r="EP3" i="193" s="1"/>
  <c r="EQ3" i="193" s="1"/>
  <c r="ER3" i="193" s="1"/>
  <c r="ES3" i="193" s="1"/>
  <c r="ET3" i="193" s="1"/>
  <c r="EU3" i="193" s="1"/>
  <c r="EV3" i="193" s="1"/>
  <c r="EW3" i="193" s="1"/>
  <c r="EX3" i="193" s="1"/>
  <c r="EY3" i="193" s="1"/>
  <c r="EZ3" i="193" s="1"/>
  <c r="FA3" i="193" s="1"/>
  <c r="FB3" i="193" s="1"/>
  <c r="FC3" i="193" s="1"/>
  <c r="FD3" i="193" s="1"/>
  <c r="FE3" i="193" s="1"/>
  <c r="FF3" i="193" s="1"/>
  <c r="FG3" i="193" s="1"/>
  <c r="FH3" i="193" s="1"/>
  <c r="FI3" i="193" s="1"/>
  <c r="FJ3" i="193" s="1"/>
  <c r="FK3" i="193" s="1"/>
  <c r="FL3" i="193" s="1"/>
  <c r="FM3" i="193" s="1"/>
  <c r="FN3" i="193" s="1"/>
  <c r="FO3" i="193" s="1"/>
  <c r="FP3" i="193" s="1"/>
  <c r="FQ3" i="193" s="1"/>
  <c r="FR3" i="193" s="1"/>
  <c r="FS3" i="193" s="1"/>
  <c r="FT3" i="193" s="1"/>
  <c r="FU3" i="193" s="1"/>
  <c r="FV3" i="193" s="1"/>
  <c r="FW3" i="193" s="1"/>
  <c r="FX3" i="193" s="1"/>
  <c r="FY3" i="193" s="1"/>
  <c r="FZ3" i="193" s="1"/>
  <c r="GA3" i="193" s="1"/>
  <c r="GB3" i="193" s="1"/>
  <c r="GC3" i="193" s="1"/>
  <c r="GD3" i="193" s="1"/>
  <c r="GE3" i="193" s="1"/>
  <c r="GF3" i="193" s="1"/>
  <c r="GG3" i="193" s="1"/>
  <c r="GH3" i="193" s="1"/>
  <c r="GI3" i="193" s="1"/>
  <c r="GJ3" i="193" s="1"/>
  <c r="GK3" i="193" s="1"/>
  <c r="GL3" i="193" s="1"/>
  <c r="GM3" i="193" s="1"/>
  <c r="GN3" i="193" s="1"/>
  <c r="GO3" i="193" s="1"/>
  <c r="GP3" i="193" s="1"/>
  <c r="GQ3" i="193" s="1"/>
  <c r="GR3" i="193" s="1"/>
  <c r="GS3" i="193" s="1"/>
  <c r="GT3" i="193" s="1"/>
  <c r="GU3" i="193" s="1"/>
  <c r="GV3" i="193" s="1"/>
  <c r="GW3" i="193" s="1"/>
  <c r="GX3" i="193" s="1"/>
  <c r="GY3" i="193" s="1"/>
  <c r="GZ3" i="193" s="1"/>
  <c r="HA3" i="193" s="1"/>
  <c r="HB3" i="193" s="1"/>
  <c r="HC3" i="193" s="1"/>
  <c r="HD3" i="193" s="1"/>
  <c r="HE3" i="193" s="1"/>
  <c r="HF3" i="193" s="1"/>
  <c r="HG3" i="193" s="1"/>
  <c r="HH3" i="193" s="1"/>
  <c r="HI3" i="193" s="1"/>
  <c r="HJ3" i="193" s="1"/>
  <c r="HK3" i="193" s="1"/>
  <c r="HL3" i="193" s="1"/>
  <c r="HM3" i="193" s="1"/>
  <c r="HN3" i="193" s="1"/>
  <c r="HO3" i="193" s="1"/>
  <c r="HP3" i="193" s="1"/>
  <c r="HQ3" i="193" s="1"/>
  <c r="HR3" i="193" s="1"/>
  <c r="HS3" i="193" s="1"/>
  <c r="HT3" i="193" s="1"/>
  <c r="HU3" i="193" s="1"/>
  <c r="HV3" i="193" s="1"/>
  <c r="HW3" i="193" s="1"/>
  <c r="HX3" i="193" s="1"/>
  <c r="HY3" i="193" s="1"/>
  <c r="HZ3" i="193" s="1"/>
  <c r="IA3" i="193" s="1"/>
  <c r="IB3" i="193" s="1"/>
  <c r="IC3" i="193" s="1"/>
  <c r="ID3" i="193" s="1"/>
  <c r="IE3" i="193" s="1"/>
  <c r="IF3" i="193" s="1"/>
  <c r="IG3" i="193" s="1"/>
  <c r="IH3" i="193" s="1"/>
  <c r="II3" i="193" s="1"/>
  <c r="JK7" i="193"/>
  <c r="JK8" i="193"/>
  <c r="JK9" i="193"/>
  <c r="JK10" i="193"/>
  <c r="JK11" i="193"/>
  <c r="JK12" i="193"/>
  <c r="JK13" i="193"/>
  <c r="JK14" i="193"/>
  <c r="JK15" i="193"/>
  <c r="JK16" i="193"/>
  <c r="JK17" i="193"/>
  <c r="JK18" i="193"/>
  <c r="JK19" i="193"/>
  <c r="JK20" i="193"/>
  <c r="JK21" i="193"/>
  <c r="JK22" i="193"/>
  <c r="JK23" i="193"/>
  <c r="JK24" i="193"/>
  <c r="JK25" i="193"/>
  <c r="JK26" i="193"/>
  <c r="JK27" i="193"/>
  <c r="JK28" i="193"/>
  <c r="JK29" i="193"/>
  <c r="JK30" i="193"/>
  <c r="JK31" i="193"/>
  <c r="JK32" i="193"/>
  <c r="JK33" i="193"/>
  <c r="JK34" i="193"/>
  <c r="JK35" i="193"/>
  <c r="JK36" i="193"/>
  <c r="JK37" i="193"/>
  <c r="JK38" i="193"/>
  <c r="JK39" i="193"/>
  <c r="JK40" i="193"/>
  <c r="JK41" i="193"/>
  <c r="JK42" i="193"/>
  <c r="JK43" i="193"/>
  <c r="JK44" i="193"/>
  <c r="JK45" i="193"/>
  <c r="JK46" i="193"/>
  <c r="JK47" i="193"/>
  <c r="JK48" i="193"/>
  <c r="JK49" i="193"/>
  <c r="JK50" i="193"/>
  <c r="JK51" i="193"/>
  <c r="JK52" i="193"/>
  <c r="JK53" i="193"/>
  <c r="JK54" i="193"/>
  <c r="JK55" i="193"/>
  <c r="JK56" i="193"/>
  <c r="JK57" i="193"/>
  <c r="JK58" i="193"/>
  <c r="JK59" i="193"/>
  <c r="JK60" i="193"/>
  <c r="JK61" i="193"/>
  <c r="JK62" i="193"/>
  <c r="JK63" i="193"/>
  <c r="JK64" i="193"/>
  <c r="JK65" i="193"/>
  <c r="JK66" i="193"/>
  <c r="JK67" i="193"/>
  <c r="JK68" i="193"/>
  <c r="JK69" i="193"/>
  <c r="JK70" i="193"/>
  <c r="JK71" i="193"/>
  <c r="JK72" i="193"/>
  <c r="JK73" i="193"/>
  <c r="JK74" i="193"/>
  <c r="JK75" i="193"/>
  <c r="JK76" i="193"/>
  <c r="JK77" i="193"/>
  <c r="JK78" i="193"/>
  <c r="JK79" i="193"/>
  <c r="JK80" i="193"/>
  <c r="JK81" i="193"/>
  <c r="JK82" i="193"/>
  <c r="JK83" i="193"/>
  <c r="JK84" i="193"/>
  <c r="JK85" i="193"/>
  <c r="JK86" i="193"/>
  <c r="JK87" i="193"/>
  <c r="JK88" i="193"/>
  <c r="JK89" i="193"/>
  <c r="JK90" i="193"/>
  <c r="JK91" i="193"/>
  <c r="JK92" i="193"/>
  <c r="JK93" i="193"/>
  <c r="JK94" i="193"/>
  <c r="JK95" i="193"/>
  <c r="JK96" i="193"/>
  <c r="JK97" i="193"/>
  <c r="JK98" i="193"/>
  <c r="JK99" i="193"/>
  <c r="JK100" i="193"/>
  <c r="JK101" i="193"/>
  <c r="JK102" i="193"/>
  <c r="JK103" i="193"/>
  <c r="JK104" i="193"/>
  <c r="JK105" i="193"/>
  <c r="JK106" i="193"/>
  <c r="JK107" i="193"/>
  <c r="JK108" i="193"/>
  <c r="JK109" i="193"/>
  <c r="JK110" i="193"/>
  <c r="JK111" i="193"/>
  <c r="JK112" i="193"/>
  <c r="JK113" i="193"/>
  <c r="JK114" i="193"/>
  <c r="JK115" i="193"/>
  <c r="JK116" i="193"/>
  <c r="JK117" i="193"/>
  <c r="JK118" i="193"/>
  <c r="JK119" i="193"/>
  <c r="JK120" i="193"/>
  <c r="JK121" i="193"/>
  <c r="JK122" i="193"/>
  <c r="JK123" i="193"/>
  <c r="JK124" i="193"/>
  <c r="JK125" i="193"/>
  <c r="JK126" i="193"/>
  <c r="JK127" i="193"/>
  <c r="JK128" i="193"/>
  <c r="JK129" i="193"/>
  <c r="JK130" i="193"/>
  <c r="JK131" i="193"/>
  <c r="JK132" i="193"/>
  <c r="JK133" i="193"/>
  <c r="JK134" i="193"/>
  <c r="JK135" i="193"/>
  <c r="JK136" i="193"/>
  <c r="JK137" i="193"/>
  <c r="JK138" i="193"/>
  <c r="JK139" i="193"/>
  <c r="JK140" i="193"/>
  <c r="JK141" i="193"/>
  <c r="JK142" i="193"/>
  <c r="JK143" i="193"/>
  <c r="JK144" i="193"/>
  <c r="JK145" i="193"/>
  <c r="JK146" i="193"/>
  <c r="JK147" i="193"/>
  <c r="JK148" i="193"/>
  <c r="JK149" i="193"/>
  <c r="JK150" i="193"/>
  <c r="JK151" i="193"/>
  <c r="JK152" i="193"/>
  <c r="JK153" i="193"/>
  <c r="JK154" i="193"/>
  <c r="JK155" i="193"/>
  <c r="JK156" i="193"/>
  <c r="JK157" i="193"/>
  <c r="JK158" i="193"/>
  <c r="JK159" i="193"/>
  <c r="JK160" i="193"/>
  <c r="JK161" i="193"/>
  <c r="JK162" i="193"/>
  <c r="JK163" i="193"/>
  <c r="JK164" i="193"/>
  <c r="JK165" i="193"/>
  <c r="JK166" i="193"/>
  <c r="JK167" i="193"/>
  <c r="JK168" i="193"/>
  <c r="JK169" i="193"/>
  <c r="JK170" i="193"/>
  <c r="JK171" i="193"/>
  <c r="JK172" i="193"/>
  <c r="JK173" i="193"/>
  <c r="JK174" i="193"/>
  <c r="JK175" i="193"/>
  <c r="JK176" i="193"/>
  <c r="JK177" i="193"/>
  <c r="JK178" i="193"/>
  <c r="JK179" i="193"/>
  <c r="JK180" i="193"/>
  <c r="JK181" i="193"/>
  <c r="JK182" i="193"/>
  <c r="JK183" i="193"/>
  <c r="JK184" i="193"/>
  <c r="JK185" i="193"/>
  <c r="JK186" i="193"/>
  <c r="JK187" i="193"/>
  <c r="JK188" i="193"/>
  <c r="JK189" i="193"/>
  <c r="JK190" i="193"/>
  <c r="JK191" i="193"/>
  <c r="JK192" i="193"/>
  <c r="JK193" i="193"/>
  <c r="JK194" i="193"/>
  <c r="JK195" i="193"/>
  <c r="JK196" i="193"/>
  <c r="JK197" i="193"/>
  <c r="JK198" i="193"/>
  <c r="JK199" i="193"/>
  <c r="JK200" i="193"/>
  <c r="JK201" i="193"/>
  <c r="JK202" i="193"/>
  <c r="JK203" i="193"/>
  <c r="JK204" i="193"/>
  <c r="JK205" i="193"/>
  <c r="JK206" i="193"/>
  <c r="JK207" i="193"/>
  <c r="JK208" i="193"/>
  <c r="JK209" i="193"/>
  <c r="JK210" i="193"/>
  <c r="JK211" i="193"/>
  <c r="JK212" i="193"/>
  <c r="JK213" i="193"/>
  <c r="JK214" i="193"/>
  <c r="JK215" i="193"/>
  <c r="JK216" i="193"/>
  <c r="JK217" i="193"/>
  <c r="JK218" i="193"/>
  <c r="JK219" i="193"/>
  <c r="JK220" i="193"/>
  <c r="JK221" i="193"/>
  <c r="JK222" i="193"/>
  <c r="JK223" i="193"/>
  <c r="JK224" i="193"/>
  <c r="JK225" i="193"/>
  <c r="JK226" i="193"/>
  <c r="JK227" i="193"/>
  <c r="JK228" i="193"/>
  <c r="JK229" i="193"/>
  <c r="JK230" i="193"/>
  <c r="JK231" i="193"/>
  <c r="JK232" i="193"/>
  <c r="JK233" i="193"/>
  <c r="JK234" i="193"/>
  <c r="JK235" i="193"/>
  <c r="JK236" i="193"/>
  <c r="JK237" i="193"/>
  <c r="JK238" i="193"/>
  <c r="JK239" i="193"/>
  <c r="JK240" i="193"/>
  <c r="JK241" i="193"/>
  <c r="JK242" i="193"/>
  <c r="JK243" i="193"/>
  <c r="JK244" i="193"/>
  <c r="JK245" i="193"/>
  <c r="JK246" i="193"/>
  <c r="JK247" i="193"/>
  <c r="JK248" i="193"/>
  <c r="JK249" i="193"/>
  <c r="JK250" i="193"/>
  <c r="JK251" i="193"/>
  <c r="JK252" i="193"/>
  <c r="JK253" i="193"/>
  <c r="JK254" i="193"/>
  <c r="JK255" i="193"/>
  <c r="JK256" i="193"/>
  <c r="JK257" i="193"/>
  <c r="JK258" i="193"/>
  <c r="JK259" i="193"/>
  <c r="JK260" i="193"/>
  <c r="JK261" i="193"/>
  <c r="JK262" i="193"/>
  <c r="JK263" i="193"/>
  <c r="JK264" i="193"/>
  <c r="JK265" i="193"/>
  <c r="JK266" i="193"/>
  <c r="JK267" i="193"/>
  <c r="JK268" i="193"/>
  <c r="JK269" i="193"/>
  <c r="JK270" i="193"/>
  <c r="JK271" i="193"/>
  <c r="JK272" i="193"/>
  <c r="JK273" i="193"/>
  <c r="JK274" i="193"/>
  <c r="JK275" i="193"/>
  <c r="JK276" i="193"/>
  <c r="JK277" i="193"/>
  <c r="JK278" i="193"/>
  <c r="JK279" i="193"/>
  <c r="JK280" i="193"/>
  <c r="JK281" i="193"/>
  <c r="JK282" i="193"/>
  <c r="JK283" i="193"/>
  <c r="JK284" i="193"/>
  <c r="JK285" i="193"/>
  <c r="JK286" i="193"/>
  <c r="JK287" i="193"/>
  <c r="JK288" i="193"/>
  <c r="JK289" i="193"/>
  <c r="JK290" i="193"/>
  <c r="JK291" i="193"/>
  <c r="JK292" i="193"/>
  <c r="JK293" i="193"/>
  <c r="JK294" i="193"/>
  <c r="JK295" i="193"/>
  <c r="JK296" i="193"/>
  <c r="JK297" i="193"/>
  <c r="JK298" i="193"/>
  <c r="JK299" i="193"/>
  <c r="JK300" i="193"/>
  <c r="JK301" i="193"/>
  <c r="JK302" i="193"/>
  <c r="JK303" i="193"/>
  <c r="JK304" i="193"/>
  <c r="JK305" i="193"/>
  <c r="JK306" i="193"/>
  <c r="JK307" i="193"/>
  <c r="JK308" i="193"/>
  <c r="JK309" i="193"/>
  <c r="JK310" i="193"/>
  <c r="JK311" i="193"/>
  <c r="JK312" i="193"/>
  <c r="JK313" i="193"/>
  <c r="JK314" i="193"/>
  <c r="JK315" i="193"/>
  <c r="JK316" i="193"/>
  <c r="JK317" i="193"/>
  <c r="JK318" i="193"/>
  <c r="JK319" i="193"/>
  <c r="JK320" i="193"/>
  <c r="JK321" i="193"/>
  <c r="JK322" i="193"/>
  <c r="JK323" i="193"/>
  <c r="JK324" i="193"/>
  <c r="JK325" i="193"/>
  <c r="JK326" i="193"/>
  <c r="JK327" i="193"/>
  <c r="JK328" i="193"/>
  <c r="JK329" i="193"/>
  <c r="JK330" i="193"/>
  <c r="JK331" i="193"/>
  <c r="JK332" i="193"/>
  <c r="JK333" i="193"/>
  <c r="JK334" i="193"/>
  <c r="JK335" i="193"/>
  <c r="JK336" i="193"/>
  <c r="JK337" i="193"/>
  <c r="JK338" i="193"/>
  <c r="JK339" i="193"/>
  <c r="JK340" i="193"/>
  <c r="JK341" i="193"/>
  <c r="JK342" i="193"/>
  <c r="JK343" i="193"/>
  <c r="JK344" i="193"/>
  <c r="JK345" i="193"/>
  <c r="JK346" i="193"/>
  <c r="JK347" i="193"/>
  <c r="JK348" i="193"/>
  <c r="JK349" i="193"/>
  <c r="JK350" i="193"/>
  <c r="JK351" i="193"/>
  <c r="JK352" i="193"/>
  <c r="JK353" i="193"/>
  <c r="JK354" i="193"/>
  <c r="JK355" i="193"/>
  <c r="JK356" i="193"/>
  <c r="JK357" i="193"/>
  <c r="JK358" i="193"/>
  <c r="JK359" i="193"/>
  <c r="JK360" i="193"/>
  <c r="JK361" i="193"/>
  <c r="JK362" i="193"/>
  <c r="JK363" i="193"/>
  <c r="JK364" i="193"/>
  <c r="JK365" i="193"/>
  <c r="JK366" i="193"/>
  <c r="JK367" i="193"/>
  <c r="JK368" i="193"/>
  <c r="JK369" i="193"/>
  <c r="JK370" i="193"/>
  <c r="H14" i="168" l="1"/>
  <c r="H11" i="168"/>
  <c r="H9" i="168"/>
  <c r="K11" i="49" s="1"/>
  <c r="D12" i="219"/>
  <c r="E12" i="219" s="1"/>
  <c r="D11" i="219" l="1"/>
  <c r="D13" i="219"/>
  <c r="E13" i="219" s="1"/>
  <c r="E90" i="223"/>
  <c r="D10" i="219" l="1"/>
  <c r="E21" i="211"/>
  <c r="E25" i="211"/>
  <c r="E88" i="223"/>
  <c r="G23" i="211"/>
  <c r="E74" i="223"/>
  <c r="E18" i="222"/>
  <c r="D26" i="211"/>
  <c r="E11" i="219"/>
  <c r="E84" i="223"/>
  <c r="D23" i="211"/>
  <c r="E86" i="223"/>
  <c r="E17" i="223"/>
  <c r="E54" i="223"/>
  <c r="C53" i="223"/>
  <c r="D9" i="219"/>
  <c r="H15" i="48" l="1"/>
  <c r="F20" i="211"/>
  <c r="E30" i="223"/>
  <c r="D11" i="222"/>
  <c r="F19" i="211"/>
  <c r="E14" i="223"/>
  <c r="D81" i="223"/>
  <c r="I20" i="211"/>
  <c r="E32" i="223"/>
  <c r="E12" i="211"/>
  <c r="B25" i="223"/>
  <c r="E26" i="223"/>
  <c r="D11" i="223"/>
  <c r="F23" i="211"/>
  <c r="F13" i="211"/>
  <c r="E45" i="223"/>
  <c r="E69" i="223"/>
  <c r="H19" i="211"/>
  <c r="E15" i="223"/>
  <c r="E87" i="223"/>
  <c r="D25" i="223"/>
  <c r="C20" i="211"/>
  <c r="E28" i="223"/>
  <c r="G14" i="211"/>
  <c r="B42" i="223"/>
  <c r="E44" i="223"/>
  <c r="D9" i="222"/>
  <c r="C25" i="211"/>
  <c r="C27" i="223"/>
  <c r="E13" i="222"/>
  <c r="E56" i="223"/>
  <c r="D42" i="223"/>
  <c r="D41" i="223"/>
  <c r="F18" i="211"/>
  <c r="E14" i="222"/>
  <c r="E17" i="222"/>
  <c r="G18" i="211"/>
  <c r="E27" i="211"/>
  <c r="C23" i="211"/>
  <c r="E68" i="223"/>
  <c r="C47" i="223"/>
  <c r="C11" i="222"/>
  <c r="D11" i="211"/>
  <c r="C11" i="223"/>
  <c r="E89" i="223"/>
  <c r="E51" i="223"/>
  <c r="E22" i="211"/>
  <c r="C26" i="211"/>
  <c r="H18" i="211"/>
  <c r="E15" i="222"/>
  <c r="E23" i="211"/>
  <c r="E18" i="223"/>
  <c r="C27" i="211"/>
  <c r="E19" i="211"/>
  <c r="E13" i="223"/>
  <c r="C9" i="222"/>
  <c r="E34" i="223"/>
  <c r="B27" i="223"/>
  <c r="D20" i="211"/>
  <c r="E29" i="223"/>
  <c r="D47" i="223"/>
  <c r="H20" i="211"/>
  <c r="E31" i="223"/>
  <c r="E18" i="211"/>
  <c r="E70" i="223"/>
  <c r="E73" i="223"/>
  <c r="C41" i="223"/>
  <c r="C42" i="223"/>
  <c r="C21" i="211"/>
  <c r="B53" i="223"/>
  <c r="E9" i="219"/>
  <c r="Z16" i="210"/>
  <c r="AE16" i="210" s="1"/>
  <c r="AG16" i="210" s="1"/>
  <c r="D27" i="223"/>
  <c r="E16" i="223"/>
  <c r="H15" i="211"/>
  <c r="E66" i="223"/>
  <c r="E16" i="222"/>
  <c r="I18" i="211"/>
  <c r="D18" i="211"/>
  <c r="E12" i="222"/>
  <c r="I19" i="211"/>
  <c r="E55" i="223"/>
  <c r="D21" i="211"/>
  <c r="C25" i="223"/>
  <c r="D53" i="223"/>
  <c r="C22" i="211"/>
  <c r="E49" i="223"/>
  <c r="B47" i="223"/>
  <c r="E85" i="223"/>
  <c r="I23" i="211"/>
  <c r="E72" i="223"/>
  <c r="B81" i="223"/>
  <c r="I16" i="211"/>
  <c r="C207" i="44" s="1"/>
  <c r="E82" i="223"/>
  <c r="D27" i="211"/>
  <c r="E10" i="219"/>
  <c r="Z17" i="210"/>
  <c r="AE17" i="210" s="1"/>
  <c r="AG17" i="210" s="1"/>
  <c r="D22" i="211"/>
  <c r="E50" i="223"/>
  <c r="G20" i="211"/>
  <c r="E33" i="223"/>
  <c r="C10" i="211"/>
  <c r="E10" i="222"/>
  <c r="C19" i="211"/>
  <c r="B11" i="223"/>
  <c r="E12" i="223"/>
  <c r="E71" i="223"/>
  <c r="G19" i="211"/>
  <c r="S4" i="134"/>
  <c r="C205" i="44" l="1"/>
  <c r="C204" i="44"/>
  <c r="C201" i="44"/>
  <c r="C206" i="44"/>
  <c r="C202" i="44"/>
  <c r="C203" i="44"/>
  <c r="C451" i="44"/>
  <c r="C144" i="44"/>
  <c r="C452" i="44"/>
  <c r="C145" i="44"/>
  <c r="G40" i="211"/>
  <c r="F40" i="211"/>
  <c r="I40" i="211"/>
  <c r="D40" i="211"/>
  <c r="H40" i="211"/>
  <c r="E40" i="211"/>
  <c r="C40" i="211"/>
  <c r="E81" i="223"/>
  <c r="E9" i="222"/>
  <c r="E11" i="222"/>
  <c r="E41" i="223"/>
  <c r="E53" i="223"/>
  <c r="E47" i="223"/>
  <c r="E11" i="223"/>
  <c r="E42" i="223"/>
  <c r="E25" i="223"/>
  <c r="E27" i="223"/>
  <c r="C208" i="44" l="1"/>
  <c r="N47" i="219"/>
  <c r="AF24" i="210"/>
  <c r="N40" i="219"/>
  <c r="N41" i="219"/>
  <c r="C10" i="47" l="1" a="1"/>
  <c r="C10" i="47" s="1"/>
  <c r="N36" i="219"/>
  <c r="N35" i="219"/>
  <c r="N43" i="219"/>
  <c r="N37" i="219"/>
  <c r="N33" i="219"/>
  <c r="N44" i="219"/>
  <c r="O50" i="219"/>
  <c r="B16" i="219" s="1"/>
  <c r="C10" i="210" a="1"/>
  <c r="N31" i="219"/>
  <c r="N42" i="219"/>
  <c r="N34" i="219"/>
  <c r="N32" i="219"/>
  <c r="N46" i="219"/>
  <c r="N38" i="219"/>
  <c r="N45" i="219"/>
  <c r="C381" i="44" l="1"/>
  <c r="C382" i="44"/>
  <c r="C374" i="44"/>
  <c r="C388" i="44"/>
  <c r="C380" i="44"/>
  <c r="C387" i="44"/>
  <c r="C379" i="44"/>
  <c r="C386" i="44"/>
  <c r="C378" i="44"/>
  <c r="C385" i="44"/>
  <c r="C377" i="44"/>
  <c r="C375" i="44"/>
  <c r="C384" i="44"/>
  <c r="C376" i="44"/>
  <c r="C383" i="44"/>
  <c r="C10" i="210"/>
  <c r="C373" i="44" s="1"/>
  <c r="D16" i="219"/>
  <c r="E16" i="219" s="1"/>
  <c r="Y14" i="210"/>
  <c r="AE14" i="210" s="1"/>
  <c r="AG14" i="210" s="1"/>
  <c r="D449" i="44" s="1"/>
  <c r="C389" i="44" l="1"/>
  <c r="F13" i="60"/>
  <c r="M13" i="60" s="1"/>
  <c r="G89" i="253"/>
  <c r="R4" i="134"/>
  <c r="T4" i="134" s="1"/>
  <c r="H5" i="187"/>
  <c r="H6" i="187"/>
  <c r="H7" i="187"/>
  <c r="H8" i="187"/>
  <c r="H9" i="187"/>
  <c r="H10" i="187"/>
  <c r="H11" i="187"/>
  <c r="H12" i="187"/>
  <c r="H13" i="187"/>
  <c r="H14" i="187"/>
  <c r="H15" i="187"/>
  <c r="H16" i="187"/>
  <c r="H17" i="187"/>
  <c r="H18" i="187"/>
  <c r="H19" i="187"/>
  <c r="H20" i="187"/>
  <c r="H21" i="187"/>
  <c r="H22" i="187"/>
  <c r="H23" i="187"/>
  <c r="H24" i="187"/>
  <c r="H25" i="187"/>
  <c r="H26" i="187"/>
  <c r="H27" i="187"/>
  <c r="H28" i="187"/>
  <c r="H29" i="187"/>
  <c r="H30" i="187"/>
  <c r="H31" i="187"/>
  <c r="H32" i="187"/>
  <c r="H33" i="187"/>
  <c r="H34" i="187"/>
  <c r="H35" i="187"/>
  <c r="H36" i="187"/>
  <c r="H37" i="187"/>
  <c r="H38" i="187"/>
  <c r="H39" i="187"/>
  <c r="H40" i="187"/>
  <c r="H41" i="187"/>
  <c r="H42" i="187"/>
  <c r="H43" i="187"/>
  <c r="H44" i="187"/>
  <c r="H45" i="187"/>
  <c r="H46" i="187"/>
  <c r="H47" i="187"/>
  <c r="H48" i="187"/>
  <c r="H49" i="187"/>
  <c r="H50" i="187"/>
  <c r="H51" i="187"/>
  <c r="H52" i="187"/>
  <c r="H53" i="187"/>
  <c r="H54" i="187"/>
  <c r="H55" i="187"/>
  <c r="H56" i="187"/>
  <c r="H57" i="187"/>
  <c r="H58" i="187"/>
  <c r="H59" i="187"/>
  <c r="H60" i="187"/>
  <c r="H61" i="187"/>
  <c r="H62" i="187"/>
  <c r="H63" i="187"/>
  <c r="H64" i="187"/>
  <c r="H65" i="187"/>
  <c r="H66" i="187"/>
  <c r="H67" i="187"/>
  <c r="H68" i="187"/>
  <c r="H69" i="187"/>
  <c r="H70" i="187"/>
  <c r="H71" i="187"/>
  <c r="H72" i="187"/>
  <c r="H73" i="187"/>
  <c r="H74" i="187"/>
  <c r="H75" i="187"/>
  <c r="H76" i="187"/>
  <c r="H77" i="187"/>
  <c r="H78" i="187"/>
  <c r="H79" i="187"/>
  <c r="H80" i="187"/>
  <c r="H81" i="187"/>
  <c r="H82" i="187"/>
  <c r="H83" i="187"/>
  <c r="H84" i="187"/>
  <c r="H85" i="187"/>
  <c r="H86" i="187"/>
  <c r="H87" i="187"/>
  <c r="H88" i="187"/>
  <c r="H89" i="187"/>
  <c r="H90" i="187"/>
  <c r="H91" i="187"/>
  <c r="H92" i="187"/>
  <c r="H93" i="187"/>
  <c r="H94" i="187"/>
  <c r="H95" i="187"/>
  <c r="H96" i="187"/>
  <c r="H97" i="187"/>
  <c r="H98" i="187"/>
  <c r="H99" i="187"/>
  <c r="H100" i="187"/>
  <c r="H101" i="187"/>
  <c r="H102" i="187"/>
  <c r="H103" i="187"/>
  <c r="H104" i="187"/>
  <c r="H105" i="187"/>
  <c r="H106" i="187"/>
  <c r="H107" i="187"/>
  <c r="H108" i="187"/>
  <c r="H109" i="187"/>
  <c r="H110" i="187"/>
  <c r="H111" i="187"/>
  <c r="H112" i="187"/>
  <c r="H113" i="187"/>
  <c r="H114" i="187"/>
  <c r="H115" i="187"/>
  <c r="H116" i="187"/>
  <c r="H117" i="187"/>
  <c r="H118" i="187"/>
  <c r="H119" i="187"/>
  <c r="H120" i="187"/>
  <c r="H121" i="187"/>
  <c r="H122" i="187"/>
  <c r="H123" i="187"/>
  <c r="H124" i="187"/>
  <c r="H125" i="187"/>
  <c r="H126" i="187"/>
  <c r="H127" i="187"/>
  <c r="H128" i="187"/>
  <c r="H129" i="187"/>
  <c r="H130" i="187"/>
  <c r="H131" i="187"/>
  <c r="H132" i="187"/>
  <c r="H133" i="187"/>
  <c r="H134" i="187"/>
  <c r="H135" i="187"/>
  <c r="H136" i="187"/>
  <c r="H137" i="187"/>
  <c r="H138" i="187"/>
  <c r="H139" i="187"/>
  <c r="H140" i="187"/>
  <c r="H141" i="187"/>
  <c r="H142" i="187"/>
  <c r="H143" i="187"/>
  <c r="H144" i="187"/>
  <c r="H145" i="187"/>
  <c r="H146" i="187"/>
  <c r="H147" i="187"/>
  <c r="H148" i="187"/>
  <c r="H149" i="187"/>
  <c r="H150" i="187"/>
  <c r="H151" i="187"/>
  <c r="H152" i="187"/>
  <c r="H153" i="187"/>
  <c r="H154" i="187"/>
  <c r="H155" i="187"/>
  <c r="H156" i="187"/>
  <c r="H157" i="187"/>
  <c r="H158" i="187"/>
  <c r="H159" i="187"/>
  <c r="H160" i="187"/>
  <c r="H161" i="187"/>
  <c r="H162" i="187"/>
  <c r="H163" i="187"/>
  <c r="H164" i="187"/>
  <c r="H165" i="187"/>
  <c r="H166" i="187"/>
  <c r="H167" i="187"/>
  <c r="H168" i="187"/>
  <c r="H169" i="187"/>
  <c r="H170" i="187"/>
  <c r="H171" i="187"/>
  <c r="H172" i="187"/>
  <c r="H173" i="187"/>
  <c r="H174" i="187"/>
  <c r="H175" i="187"/>
  <c r="H176" i="187"/>
  <c r="H177" i="187"/>
  <c r="L177" i="187"/>
  <c r="H178" i="187"/>
  <c r="L178" i="187"/>
  <c r="H179" i="187"/>
  <c r="L179" i="187"/>
  <c r="H180" i="187"/>
  <c r="L180" i="187"/>
  <c r="H181" i="187"/>
  <c r="L181" i="187"/>
  <c r="H182" i="187"/>
  <c r="L182" i="187"/>
  <c r="H183" i="187"/>
  <c r="H184" i="187"/>
  <c r="H185" i="187"/>
  <c r="L185" i="187"/>
  <c r="H186" i="187"/>
  <c r="L186" i="187"/>
  <c r="H187" i="187"/>
  <c r="L187" i="187"/>
  <c r="H188" i="187"/>
  <c r="L188" i="187"/>
  <c r="H189" i="187"/>
  <c r="L189" i="187"/>
  <c r="H190" i="187"/>
  <c r="L190" i="187"/>
  <c r="H191" i="187"/>
  <c r="L191" i="187"/>
  <c r="H192" i="187"/>
  <c r="L192" i="187"/>
  <c r="H193" i="187"/>
  <c r="L193" i="187"/>
  <c r="H194" i="187"/>
  <c r="L194" i="187"/>
  <c r="H195" i="187"/>
  <c r="L195" i="187"/>
  <c r="H196" i="187"/>
  <c r="L196" i="187"/>
  <c r="H197" i="187"/>
  <c r="L197" i="187"/>
  <c r="H198" i="187"/>
  <c r="L198" i="187"/>
  <c r="H199" i="187"/>
  <c r="L199" i="187"/>
  <c r="H200" i="187"/>
  <c r="L200" i="187"/>
  <c r="H201" i="187"/>
  <c r="L201" i="187"/>
  <c r="H202" i="187"/>
  <c r="L202" i="187"/>
  <c r="H203" i="187"/>
  <c r="L203" i="187"/>
  <c r="H204" i="187"/>
  <c r="L204" i="187"/>
  <c r="H205" i="187"/>
  <c r="L205" i="187"/>
  <c r="H206" i="187"/>
  <c r="L206" i="187"/>
  <c r="H207" i="187"/>
  <c r="L207" i="187"/>
  <c r="H208" i="187"/>
  <c r="L208" i="187"/>
  <c r="H209" i="187"/>
  <c r="L209" i="187"/>
  <c r="H210" i="187"/>
  <c r="L210" i="187"/>
  <c r="H211" i="187"/>
  <c r="L211" i="187"/>
  <c r="H212" i="187"/>
  <c r="L212" i="187"/>
  <c r="H213" i="187"/>
  <c r="L213" i="187"/>
  <c r="H214" i="187"/>
  <c r="L214" i="187"/>
  <c r="H215" i="187"/>
  <c r="L215" i="187"/>
  <c r="H216" i="187"/>
  <c r="L216" i="187"/>
  <c r="H217" i="187"/>
  <c r="L217" i="187"/>
  <c r="H218" i="187"/>
  <c r="L218" i="187"/>
  <c r="H219" i="187"/>
  <c r="L219" i="187"/>
  <c r="H220" i="187"/>
  <c r="L220" i="187"/>
  <c r="H221" i="187"/>
  <c r="L221" i="187"/>
  <c r="H222" i="187"/>
  <c r="L222" i="187"/>
  <c r="H223" i="187"/>
  <c r="L223" i="187"/>
  <c r="H224" i="187"/>
  <c r="L224" i="187"/>
  <c r="H225" i="187"/>
  <c r="L225" i="187"/>
  <c r="H226" i="187"/>
  <c r="L226" i="187"/>
  <c r="H227" i="187"/>
  <c r="L227" i="187"/>
  <c r="H228" i="187"/>
  <c r="L228" i="187"/>
  <c r="F14" i="60" l="1"/>
  <c r="I14" i="60" s="1"/>
  <c r="I13" i="60"/>
  <c r="P13" i="60" s="1"/>
  <c r="O13" i="60"/>
  <c r="S13" i="60" s="1"/>
  <c r="K13" i="60"/>
  <c r="Q13" i="60" s="1"/>
  <c r="R13" i="60"/>
  <c r="S18" i="209"/>
  <c r="K14" i="60" l="1"/>
  <c r="Q14" i="60" s="1"/>
  <c r="M14" i="60"/>
  <c r="O14" i="60"/>
  <c r="S14" i="60" s="1"/>
  <c r="P14" i="60"/>
  <c r="S17" i="46"/>
  <c r="S16" i="46"/>
  <c r="F15" i="60" l="1"/>
  <c r="N169" i="233"/>
  <c r="R14" i="60"/>
  <c r="S18" i="46"/>
  <c r="M7" i="187"/>
  <c r="M15" i="187"/>
  <c r="M23" i="187"/>
  <c r="M31" i="187"/>
  <c r="M39" i="187"/>
  <c r="M47" i="187"/>
  <c r="M55" i="187"/>
  <c r="M63" i="187"/>
  <c r="M71" i="187"/>
  <c r="M79" i="187"/>
  <c r="M87" i="187"/>
  <c r="M95" i="187"/>
  <c r="M103" i="187"/>
  <c r="M111" i="187"/>
  <c r="M119" i="187"/>
  <c r="M127" i="187"/>
  <c r="M135" i="187"/>
  <c r="M143" i="187"/>
  <c r="M151" i="187"/>
  <c r="M159" i="187"/>
  <c r="M167" i="187"/>
  <c r="M175" i="187"/>
  <c r="M183" i="187"/>
  <c r="M191" i="187"/>
  <c r="M199" i="187"/>
  <c r="M207" i="187"/>
  <c r="M215" i="187"/>
  <c r="M223" i="187"/>
  <c r="M8" i="187"/>
  <c r="M16" i="187"/>
  <c r="M24" i="187"/>
  <c r="M32" i="187"/>
  <c r="M40" i="187"/>
  <c r="M48" i="187"/>
  <c r="M56" i="187"/>
  <c r="M64" i="187"/>
  <c r="M72" i="187"/>
  <c r="M80" i="187"/>
  <c r="M88" i="187"/>
  <c r="M96" i="187"/>
  <c r="M104" i="187"/>
  <c r="M112" i="187"/>
  <c r="M120" i="187"/>
  <c r="M128" i="187"/>
  <c r="M136" i="187"/>
  <c r="M144" i="187"/>
  <c r="M152" i="187"/>
  <c r="M160" i="187"/>
  <c r="M168" i="187"/>
  <c r="M176" i="187"/>
  <c r="M184" i="187"/>
  <c r="M192" i="187"/>
  <c r="M200" i="187"/>
  <c r="M208" i="187"/>
  <c r="M216" i="187"/>
  <c r="M224" i="187"/>
  <c r="M45" i="187"/>
  <c r="M85" i="187"/>
  <c r="M109" i="187"/>
  <c r="M157" i="187"/>
  <c r="M197" i="187"/>
  <c r="M9" i="187"/>
  <c r="M17" i="187"/>
  <c r="M25" i="187"/>
  <c r="M33" i="187"/>
  <c r="M41" i="187"/>
  <c r="M49" i="187"/>
  <c r="M57" i="187"/>
  <c r="M65" i="187"/>
  <c r="M73" i="187"/>
  <c r="M81" i="187"/>
  <c r="M89" i="187"/>
  <c r="M97" i="187"/>
  <c r="M105" i="187"/>
  <c r="M113" i="187"/>
  <c r="M121" i="187"/>
  <c r="M129" i="187"/>
  <c r="M137" i="187"/>
  <c r="M145" i="187"/>
  <c r="M153" i="187"/>
  <c r="M161" i="187"/>
  <c r="M169" i="187"/>
  <c r="M177" i="187"/>
  <c r="M185" i="187"/>
  <c r="M193" i="187"/>
  <c r="M201" i="187"/>
  <c r="M209" i="187"/>
  <c r="M217" i="187"/>
  <c r="M225" i="187"/>
  <c r="M29" i="187"/>
  <c r="M53" i="187"/>
  <c r="M101" i="187"/>
  <c r="M165" i="187"/>
  <c r="M205" i="187"/>
  <c r="M10" i="187"/>
  <c r="M18" i="187"/>
  <c r="M26" i="187"/>
  <c r="M34" i="187"/>
  <c r="M42" i="187"/>
  <c r="M50" i="187"/>
  <c r="M58" i="187"/>
  <c r="M66" i="187"/>
  <c r="M74" i="187"/>
  <c r="M82" i="187"/>
  <c r="M90" i="187"/>
  <c r="M98" i="187"/>
  <c r="M106" i="187"/>
  <c r="M114" i="187"/>
  <c r="M122" i="187"/>
  <c r="M130" i="187"/>
  <c r="M138" i="187"/>
  <c r="M146" i="187"/>
  <c r="M154" i="187"/>
  <c r="M162" i="187"/>
  <c r="M170" i="187"/>
  <c r="M178" i="187"/>
  <c r="M186" i="187"/>
  <c r="M194" i="187"/>
  <c r="M202" i="187"/>
  <c r="M210" i="187"/>
  <c r="M218" i="187"/>
  <c r="M226" i="187"/>
  <c r="M21" i="187"/>
  <c r="M77" i="187"/>
  <c r="M125" i="187"/>
  <c r="M149" i="187"/>
  <c r="M181" i="187"/>
  <c r="M221" i="187"/>
  <c r="M11" i="187"/>
  <c r="M19" i="187"/>
  <c r="M27" i="187"/>
  <c r="M35" i="187"/>
  <c r="M43" i="187"/>
  <c r="M51" i="187"/>
  <c r="M59" i="187"/>
  <c r="M67" i="187"/>
  <c r="M75" i="187"/>
  <c r="M83" i="187"/>
  <c r="M91" i="187"/>
  <c r="M99" i="187"/>
  <c r="M107" i="187"/>
  <c r="M115" i="187"/>
  <c r="M123" i="187"/>
  <c r="M131" i="187"/>
  <c r="M139" i="187"/>
  <c r="M147" i="187"/>
  <c r="M155" i="187"/>
  <c r="M163" i="187"/>
  <c r="M171" i="187"/>
  <c r="M179" i="187"/>
  <c r="M187" i="187"/>
  <c r="M195" i="187"/>
  <c r="M203" i="187"/>
  <c r="M211" i="187"/>
  <c r="M219" i="187"/>
  <c r="M227" i="187"/>
  <c r="M13" i="187"/>
  <c r="M69" i="187"/>
  <c r="M117" i="187"/>
  <c r="M133" i="187"/>
  <c r="M173" i="187"/>
  <c r="M213" i="187"/>
  <c r="M12" i="187"/>
  <c r="M20" i="187"/>
  <c r="M28" i="187"/>
  <c r="M36" i="187"/>
  <c r="M44" i="187"/>
  <c r="M52" i="187"/>
  <c r="M60" i="187"/>
  <c r="M68" i="187"/>
  <c r="M76" i="187"/>
  <c r="M84" i="187"/>
  <c r="M92" i="187"/>
  <c r="M100" i="187"/>
  <c r="M108" i="187"/>
  <c r="M116" i="187"/>
  <c r="M124" i="187"/>
  <c r="M132" i="187"/>
  <c r="M140" i="187"/>
  <c r="M148" i="187"/>
  <c r="M156" i="187"/>
  <c r="M164" i="187"/>
  <c r="M172" i="187"/>
  <c r="M180" i="187"/>
  <c r="M188" i="187"/>
  <c r="M196" i="187"/>
  <c r="M204" i="187"/>
  <c r="M212" i="187"/>
  <c r="M220" i="187"/>
  <c r="M228" i="187"/>
  <c r="M37" i="187"/>
  <c r="M61" i="187"/>
  <c r="M93" i="187"/>
  <c r="M141" i="187"/>
  <c r="M189" i="187"/>
  <c r="M6" i="187"/>
  <c r="M14" i="187"/>
  <c r="M22" i="187"/>
  <c r="M30" i="187"/>
  <c r="M38" i="187"/>
  <c r="M46" i="187"/>
  <c r="M54" i="187"/>
  <c r="M62" i="187"/>
  <c r="M70" i="187"/>
  <c r="M78" i="187"/>
  <c r="M86" i="187"/>
  <c r="M94" i="187"/>
  <c r="M102" i="187"/>
  <c r="M110" i="187"/>
  <c r="M118" i="187"/>
  <c r="M126" i="187"/>
  <c r="M134" i="187"/>
  <c r="M142" i="187"/>
  <c r="M150" i="187"/>
  <c r="M158" i="187"/>
  <c r="M166" i="187"/>
  <c r="M174" i="187"/>
  <c r="M182" i="187"/>
  <c r="M190" i="187"/>
  <c r="M198" i="187"/>
  <c r="M206" i="187"/>
  <c r="M214" i="187"/>
  <c r="M222" i="187"/>
  <c r="N169" i="261" l="1"/>
  <c r="Y169" i="261"/>
  <c r="N208" i="233"/>
  <c r="N205" i="233"/>
  <c r="N206" i="233"/>
  <c r="N207" i="233"/>
  <c r="N204" i="233"/>
  <c r="N192" i="233"/>
  <c r="N189" i="233"/>
  <c r="N172" i="233"/>
  <c r="N168" i="233"/>
  <c r="N163" i="233"/>
  <c r="N162" i="233"/>
  <c r="N161" i="233"/>
  <c r="N40" i="261"/>
  <c r="N153" i="261"/>
  <c r="N15" i="261"/>
  <c r="N258" i="261"/>
  <c r="N193" i="261"/>
  <c r="N100" i="261"/>
  <c r="N49" i="261"/>
  <c r="N237" i="261"/>
  <c r="N81" i="261"/>
  <c r="N36" i="261"/>
  <c r="N53" i="261"/>
  <c r="N262" i="261"/>
  <c r="N5" i="261"/>
  <c r="Y232" i="261"/>
  <c r="N232" i="261"/>
  <c r="N146" i="261"/>
  <c r="N261" i="261"/>
  <c r="N119" i="261"/>
  <c r="N246" i="261"/>
  <c r="N82" i="261"/>
  <c r="N175" i="261"/>
  <c r="N38" i="261"/>
  <c r="N210" i="261"/>
  <c r="N239" i="261"/>
  <c r="N129" i="261"/>
  <c r="N14" i="261"/>
  <c r="N130" i="261"/>
  <c r="N96" i="261"/>
  <c r="N127" i="261"/>
  <c r="N61" i="261"/>
  <c r="N125" i="261"/>
  <c r="N131" i="261"/>
  <c r="N278" i="261"/>
  <c r="N178" i="261"/>
  <c r="N238" i="261"/>
  <c r="N121" i="261"/>
  <c r="N157" i="261"/>
  <c r="N173" i="261"/>
  <c r="N296" i="261"/>
  <c r="N128" i="261"/>
  <c r="N162" i="261"/>
  <c r="N88" i="261"/>
  <c r="N120" i="261"/>
  <c r="N24" i="261"/>
  <c r="N287" i="261"/>
  <c r="N181" i="261"/>
  <c r="N35" i="261"/>
  <c r="N71" i="261"/>
  <c r="N212" i="261"/>
  <c r="N70" i="261"/>
  <c r="N183" i="261"/>
  <c r="N284" i="261"/>
  <c r="N27" i="261"/>
  <c r="N192" i="261"/>
  <c r="N124" i="261"/>
  <c r="Y168" i="261"/>
  <c r="N168" i="261"/>
  <c r="N172" i="261"/>
  <c r="N85" i="261"/>
  <c r="N279" i="261"/>
  <c r="N285" i="261"/>
  <c r="N39" i="261"/>
  <c r="N249" i="261"/>
  <c r="N241" i="261"/>
  <c r="N268" i="261"/>
  <c r="N236" i="261"/>
  <c r="N115" i="261"/>
  <c r="N30" i="261"/>
  <c r="N122" i="261"/>
  <c r="N140" i="261"/>
  <c r="N90" i="261"/>
  <c r="N288" i="261"/>
  <c r="N291" i="261"/>
  <c r="N242" i="261"/>
  <c r="N221" i="261"/>
  <c r="N141" i="261"/>
  <c r="N275" i="261"/>
  <c r="N248" i="261"/>
  <c r="N185" i="261"/>
  <c r="N68" i="261"/>
  <c r="N270" i="261"/>
  <c r="N222" i="261"/>
  <c r="N7" i="261"/>
  <c r="N235" i="261"/>
  <c r="N10" i="261"/>
  <c r="N182" i="261"/>
  <c r="N144" i="261"/>
  <c r="N203" i="261"/>
  <c r="N290" i="261"/>
  <c r="N74" i="261"/>
  <c r="N63" i="261"/>
  <c r="N107" i="261"/>
  <c r="N259" i="261"/>
  <c r="N205" i="261"/>
  <c r="N158" i="261"/>
  <c r="N156" i="261"/>
  <c r="N80" i="261"/>
  <c r="N199" i="261"/>
  <c r="N150" i="261"/>
  <c r="N198" i="261"/>
  <c r="N165" i="261"/>
  <c r="N231" i="261"/>
  <c r="N48" i="261"/>
  <c r="N86" i="261"/>
  <c r="N13" i="261"/>
  <c r="N263" i="261"/>
  <c r="N252" i="261"/>
  <c r="N256" i="261"/>
  <c r="N277" i="261"/>
  <c r="N200" i="261"/>
  <c r="N116" i="261"/>
  <c r="N16" i="261"/>
  <c r="N106" i="261"/>
  <c r="N223" i="261"/>
  <c r="N194" i="261"/>
  <c r="N142" i="261"/>
  <c r="N293" i="261"/>
  <c r="N154" i="261"/>
  <c r="N189" i="261"/>
  <c r="N216" i="261"/>
  <c r="N51" i="261"/>
  <c r="N202" i="261"/>
  <c r="N114" i="261"/>
  <c r="N108" i="261"/>
  <c r="N47" i="261"/>
  <c r="N148" i="261"/>
  <c r="N22" i="261"/>
  <c r="N276" i="261"/>
  <c r="N197" i="261"/>
  <c r="N266" i="261"/>
  <c r="N143" i="261"/>
  <c r="N103" i="261"/>
  <c r="N83" i="261"/>
  <c r="N176" i="261"/>
  <c r="N136" i="261"/>
  <c r="N101" i="261"/>
  <c r="N98" i="261"/>
  <c r="N37" i="261"/>
  <c r="N167" i="261"/>
  <c r="N43" i="261"/>
  <c r="N29" i="261"/>
  <c r="N65" i="261"/>
  <c r="N294" i="261"/>
  <c r="N219" i="261"/>
  <c r="N229" i="261"/>
  <c r="N160" i="261"/>
  <c r="N191" i="261"/>
  <c r="N247" i="261"/>
  <c r="N243" i="261"/>
  <c r="N60" i="261"/>
  <c r="N283" i="261"/>
  <c r="N46" i="261"/>
  <c r="N138" i="261"/>
  <c r="N76" i="261"/>
  <c r="N69" i="261"/>
  <c r="N75" i="261"/>
  <c r="N32" i="261"/>
  <c r="N152" i="261"/>
  <c r="N206" i="261"/>
  <c r="N134" i="261"/>
  <c r="N55" i="261"/>
  <c r="N149" i="261"/>
  <c r="N253" i="261"/>
  <c r="N79" i="261"/>
  <c r="N67" i="261"/>
  <c r="N135" i="261"/>
  <c r="N227" i="261"/>
  <c r="N184" i="261"/>
  <c r="N72" i="261"/>
  <c r="N50" i="261"/>
  <c r="N179" i="261"/>
  <c r="N118" i="261"/>
  <c r="N64" i="261"/>
  <c r="N42" i="261"/>
  <c r="N31" i="261"/>
  <c r="N92" i="261"/>
  <c r="N113" i="261"/>
  <c r="N201" i="261"/>
  <c r="N26" i="261"/>
  <c r="N21" i="261"/>
  <c r="N295" i="261"/>
  <c r="N233" i="261"/>
  <c r="N211" i="261"/>
  <c r="N33" i="261"/>
  <c r="N20" i="261"/>
  <c r="N234" i="261"/>
  <c r="N209" i="261"/>
  <c r="N281" i="261"/>
  <c r="N177" i="261"/>
  <c r="N230" i="261"/>
  <c r="N99" i="261"/>
  <c r="N41" i="261"/>
  <c r="N133" i="261"/>
  <c r="N25" i="261"/>
  <c r="N18" i="261"/>
  <c r="N111" i="261"/>
  <c r="N95" i="261"/>
  <c r="N292" i="261"/>
  <c r="N97" i="261"/>
  <c r="N195" i="261"/>
  <c r="N137" i="261"/>
  <c r="N17" i="261"/>
  <c r="N163" i="261"/>
  <c r="N105" i="261"/>
  <c r="N11" i="261"/>
  <c r="N56" i="261"/>
  <c r="N214" i="261"/>
  <c r="N12" i="261"/>
  <c r="N220" i="261"/>
  <c r="N54" i="261"/>
  <c r="N257" i="261"/>
  <c r="N245" i="261"/>
  <c r="N78" i="261"/>
  <c r="N244" i="261"/>
  <c r="N264" i="261"/>
  <c r="N145" i="261"/>
  <c r="N73" i="261"/>
  <c r="N28" i="261"/>
  <c r="N269" i="261"/>
  <c r="N213" i="261"/>
  <c r="N188" i="261"/>
  <c r="N102" i="261"/>
  <c r="N226" i="261"/>
  <c r="N19" i="261"/>
  <c r="N272" i="261"/>
  <c r="N267" i="261"/>
  <c r="N215" i="261"/>
  <c r="N126" i="261"/>
  <c r="N187" i="261"/>
  <c r="N289" i="261"/>
  <c r="N225" i="261"/>
  <c r="N255" i="261"/>
  <c r="N180" i="261"/>
  <c r="N240" i="261"/>
  <c r="N251" i="261"/>
  <c r="N109" i="261"/>
  <c r="N44" i="261"/>
  <c r="N196" i="261"/>
  <c r="N59" i="261"/>
  <c r="N166" i="261"/>
  <c r="N274" i="261"/>
  <c r="N117" i="261"/>
  <c r="N260" i="261"/>
  <c r="N207" i="261"/>
  <c r="N155" i="261"/>
  <c r="N132" i="261"/>
  <c r="N208" i="261"/>
  <c r="N159" i="261"/>
  <c r="N58" i="261"/>
  <c r="N271" i="261"/>
  <c r="N45" i="261"/>
  <c r="N254" i="261"/>
  <c r="N280" i="261"/>
  <c r="N147" i="261"/>
  <c r="N250" i="261"/>
  <c r="N151" i="261"/>
  <c r="N23" i="261"/>
  <c r="N6" i="261"/>
  <c r="N282" i="261"/>
  <c r="N218" i="261"/>
  <c r="N273" i="261"/>
  <c r="N104" i="261"/>
  <c r="N224" i="261"/>
  <c r="N8" i="261"/>
  <c r="N87" i="261"/>
  <c r="N286" i="261"/>
  <c r="N66" i="261"/>
  <c r="N89" i="261"/>
  <c r="N170" i="261"/>
  <c r="N84" i="261"/>
  <c r="N171" i="261"/>
  <c r="N228" i="261"/>
  <c r="N62" i="261"/>
  <c r="N217" i="261"/>
  <c r="N52" i="261"/>
  <c r="N123" i="261"/>
  <c r="N94" i="261"/>
  <c r="N174" i="261"/>
  <c r="N112" i="261"/>
  <c r="N139" i="261"/>
  <c r="N186" i="261"/>
  <c r="N164" i="261"/>
  <c r="N161" i="261"/>
  <c r="N34" i="261"/>
  <c r="N91" i="261"/>
  <c r="N57" i="261"/>
  <c r="N110" i="261"/>
  <c r="N9" i="261"/>
  <c r="N190" i="261"/>
  <c r="N77" i="261"/>
  <c r="N204" i="261"/>
  <c r="N265" i="261"/>
  <c r="N93" i="261"/>
  <c r="Y170" i="261"/>
  <c r="Y160" i="261"/>
  <c r="Y128" i="261"/>
  <c r="Y33" i="261"/>
  <c r="Y162" i="261"/>
  <c r="Y88" i="261"/>
  <c r="Y81" i="261"/>
  <c r="Y36" i="261"/>
  <c r="Y53" i="261"/>
  <c r="Y262" i="261"/>
  <c r="Y5" i="261"/>
  <c r="I297" i="261"/>
  <c r="Y146" i="261"/>
  <c r="Y261" i="261"/>
  <c r="Y119" i="261"/>
  <c r="Y246" i="261"/>
  <c r="Y82" i="261"/>
  <c r="Y175" i="261"/>
  <c r="Y38" i="261"/>
  <c r="Y210" i="261"/>
  <c r="Y239" i="261"/>
  <c r="Y129" i="261"/>
  <c r="Y14" i="261"/>
  <c r="Y130" i="261"/>
  <c r="Y96" i="261"/>
  <c r="Y127" i="261"/>
  <c r="Y61" i="261"/>
  <c r="Y125" i="261"/>
  <c r="Y131" i="261"/>
  <c r="Y278" i="261"/>
  <c r="Y178" i="261"/>
  <c r="Y238" i="261"/>
  <c r="Y121" i="261"/>
  <c r="Y157" i="261"/>
  <c r="Y173" i="261"/>
  <c r="Y296" i="261"/>
  <c r="Y277" i="261"/>
  <c r="Y221" i="261"/>
  <c r="Y191" i="261"/>
  <c r="Y141" i="261"/>
  <c r="Y275" i="261"/>
  <c r="Y120" i="261"/>
  <c r="Y24" i="261"/>
  <c r="Y287" i="261"/>
  <c r="Y181" i="261"/>
  <c r="Y35" i="261"/>
  <c r="Y71" i="261"/>
  <c r="Y212" i="261"/>
  <c r="Y70" i="261"/>
  <c r="Y183" i="261"/>
  <c r="Y284" i="261"/>
  <c r="Y27" i="261"/>
  <c r="Y192" i="261"/>
  <c r="Y124" i="261"/>
  <c r="Y172" i="261"/>
  <c r="Y85" i="261"/>
  <c r="Y279" i="261"/>
  <c r="Y285" i="261"/>
  <c r="Y39" i="261"/>
  <c r="Y249" i="261"/>
  <c r="Y241" i="261"/>
  <c r="Y268" i="261"/>
  <c r="Y236" i="261"/>
  <c r="Y115" i="261"/>
  <c r="Y30" i="261"/>
  <c r="Y122" i="261"/>
  <c r="Y140" i="261"/>
  <c r="Y90" i="261"/>
  <c r="Y288" i="261"/>
  <c r="Y291" i="261"/>
  <c r="Y242" i="261"/>
  <c r="Y116" i="261"/>
  <c r="Y16" i="261"/>
  <c r="Y106" i="261"/>
  <c r="Y223" i="261"/>
  <c r="Y248" i="261"/>
  <c r="Y185" i="261"/>
  <c r="Y68" i="261"/>
  <c r="Y270" i="261"/>
  <c r="Y222" i="261"/>
  <c r="Y7" i="261"/>
  <c r="Y235" i="261"/>
  <c r="Y10" i="261"/>
  <c r="Y182" i="261"/>
  <c r="Y144" i="261"/>
  <c r="Y203" i="261"/>
  <c r="Y290" i="261"/>
  <c r="Y74" i="261"/>
  <c r="Y63" i="261"/>
  <c r="Y107" i="261"/>
  <c r="Y259" i="261"/>
  <c r="Y205" i="261"/>
  <c r="Y158" i="261"/>
  <c r="Y156" i="261"/>
  <c r="Y80" i="261"/>
  <c r="Y200" i="261"/>
  <c r="Y199" i="261"/>
  <c r="Y150" i="261"/>
  <c r="Y198" i="261"/>
  <c r="Y165" i="261"/>
  <c r="Y231" i="261"/>
  <c r="Y48" i="261"/>
  <c r="Y86" i="261"/>
  <c r="Y13" i="261"/>
  <c r="Y263" i="261"/>
  <c r="Y252" i="261"/>
  <c r="Y256" i="261"/>
  <c r="Y247" i="261"/>
  <c r="Y243" i="261"/>
  <c r="Y60" i="261"/>
  <c r="Y283" i="261"/>
  <c r="Y46" i="261"/>
  <c r="Y194" i="261"/>
  <c r="Y142" i="261"/>
  <c r="Y293" i="261"/>
  <c r="Y154" i="261"/>
  <c r="Y189" i="261"/>
  <c r="Y216" i="261"/>
  <c r="Y51" i="261"/>
  <c r="Y202" i="261"/>
  <c r="Y114" i="261"/>
  <c r="Y108" i="261"/>
  <c r="Y47" i="261"/>
  <c r="Y148" i="261"/>
  <c r="Y22" i="261"/>
  <c r="Y276" i="261"/>
  <c r="Y197" i="261"/>
  <c r="Y266" i="261"/>
  <c r="Y143" i="261"/>
  <c r="Y103" i="261"/>
  <c r="Y83" i="261"/>
  <c r="Y176" i="261"/>
  <c r="Y136" i="261"/>
  <c r="Y101" i="261"/>
  <c r="Y98" i="261"/>
  <c r="Y37" i="261"/>
  <c r="Y167" i="261"/>
  <c r="Y43" i="261"/>
  <c r="Y29" i="261"/>
  <c r="Y65" i="261"/>
  <c r="Y294" i="261"/>
  <c r="Y219" i="261"/>
  <c r="Y229" i="261"/>
  <c r="Y20" i="261"/>
  <c r="Y234" i="261"/>
  <c r="Y209" i="261"/>
  <c r="Y281" i="261"/>
  <c r="Y177" i="261"/>
  <c r="Y230" i="261"/>
  <c r="Y138" i="261"/>
  <c r="Y76" i="261"/>
  <c r="Y69" i="261"/>
  <c r="Y75" i="261"/>
  <c r="Y32" i="261"/>
  <c r="Y152" i="261"/>
  <c r="Y206" i="261"/>
  <c r="Y134" i="261"/>
  <c r="Y55" i="261"/>
  <c r="Y149" i="261"/>
  <c r="Y253" i="261"/>
  <c r="Y79" i="261"/>
  <c r="Y67" i="261"/>
  <c r="Y135" i="261"/>
  <c r="Y227" i="261"/>
  <c r="Y184" i="261"/>
  <c r="Y72" i="261"/>
  <c r="Y50" i="261"/>
  <c r="Y179" i="261"/>
  <c r="Y118" i="261"/>
  <c r="Y64" i="261"/>
  <c r="Y42" i="261"/>
  <c r="Y31" i="261"/>
  <c r="Y92" i="261"/>
  <c r="Y113" i="261"/>
  <c r="Y201" i="261"/>
  <c r="Y26" i="261"/>
  <c r="Y21" i="261"/>
  <c r="Y295" i="261"/>
  <c r="Y233" i="261"/>
  <c r="Y211" i="261"/>
  <c r="Y40" i="261"/>
  <c r="Y102" i="261"/>
  <c r="Y250" i="261"/>
  <c r="Y153" i="261"/>
  <c r="Y226" i="261"/>
  <c r="Y151" i="261"/>
  <c r="Y99" i="261"/>
  <c r="Y41" i="261"/>
  <c r="Y133" i="261"/>
  <c r="Y25" i="261"/>
  <c r="Y18" i="261"/>
  <c r="Y111" i="261"/>
  <c r="Y95" i="261"/>
  <c r="Y292" i="261"/>
  <c r="Y97" i="261"/>
  <c r="Y195" i="261"/>
  <c r="Y137" i="261"/>
  <c r="Y17" i="261"/>
  <c r="Y163" i="261"/>
  <c r="Y105" i="261"/>
  <c r="Y11" i="261"/>
  <c r="Y56" i="261"/>
  <c r="Y214" i="261"/>
  <c r="Y12" i="261"/>
  <c r="Y220" i="261"/>
  <c r="Y54" i="261"/>
  <c r="Y257" i="261"/>
  <c r="Y245" i="261"/>
  <c r="Y78" i="261"/>
  <c r="Y244" i="261"/>
  <c r="Y264" i="261"/>
  <c r="Y145" i="261"/>
  <c r="Y73" i="261"/>
  <c r="Y28" i="261"/>
  <c r="Y269" i="261"/>
  <c r="Y213" i="261"/>
  <c r="Y188" i="261"/>
  <c r="Y23" i="261"/>
  <c r="Y6" i="261"/>
  <c r="Y282" i="261"/>
  <c r="Y218" i="261"/>
  <c r="Y273" i="261"/>
  <c r="Y104" i="261"/>
  <c r="Y19" i="261"/>
  <c r="Y272" i="261"/>
  <c r="Y267" i="261"/>
  <c r="Y215" i="261"/>
  <c r="Y126" i="261"/>
  <c r="Y187" i="261"/>
  <c r="Y289" i="261"/>
  <c r="Y225" i="261"/>
  <c r="Y255" i="261"/>
  <c r="Y180" i="261"/>
  <c r="Y240" i="261"/>
  <c r="Y251" i="261"/>
  <c r="Y109" i="261"/>
  <c r="Y44" i="261"/>
  <c r="Y196" i="261"/>
  <c r="Y59" i="261"/>
  <c r="Y166" i="261"/>
  <c r="Y274" i="261"/>
  <c r="Y117" i="261"/>
  <c r="Y260" i="261"/>
  <c r="Y207" i="261"/>
  <c r="Y155" i="261"/>
  <c r="Y132" i="261"/>
  <c r="Y208" i="261"/>
  <c r="Y159" i="261"/>
  <c r="Y58" i="261"/>
  <c r="Y271" i="261"/>
  <c r="Y45" i="261"/>
  <c r="Y254" i="261"/>
  <c r="Y280" i="261"/>
  <c r="Y147" i="261"/>
  <c r="Y15" i="261"/>
  <c r="Y258" i="261"/>
  <c r="Y193" i="261"/>
  <c r="Y100" i="261"/>
  <c r="Y49" i="261"/>
  <c r="Y237" i="261"/>
  <c r="Y224" i="261"/>
  <c r="Y8" i="261"/>
  <c r="Y87" i="261"/>
  <c r="Y286" i="261"/>
  <c r="Y66" i="261"/>
  <c r="Y89" i="261"/>
  <c r="Y84" i="261"/>
  <c r="Y171" i="261"/>
  <c r="Y228" i="261"/>
  <c r="Y62" i="261"/>
  <c r="Y217" i="261"/>
  <c r="Y52" i="261"/>
  <c r="Y123" i="261"/>
  <c r="Y94" i="261"/>
  <c r="Y174" i="261"/>
  <c r="Y112" i="261"/>
  <c r="Y139" i="261"/>
  <c r="Y186" i="261"/>
  <c r="Y164" i="261"/>
  <c r="Y161" i="261"/>
  <c r="Y34" i="261"/>
  <c r="Y91" i="261"/>
  <c r="Y57" i="261"/>
  <c r="Y110" i="261"/>
  <c r="Y9" i="261"/>
  <c r="Y190" i="261"/>
  <c r="Y77" i="261"/>
  <c r="Y204" i="261"/>
  <c r="Y265" i="261"/>
  <c r="Y93" i="261"/>
  <c r="Y291" i="233"/>
  <c r="Y191" i="233"/>
  <c r="Y292" i="233"/>
  <c r="Y190" i="233"/>
  <c r="Y181" i="233"/>
  <c r="M5" i="187"/>
  <c r="R5" i="187" s="1"/>
  <c r="I229" i="187"/>
  <c r="O166" i="187"/>
  <c r="P166" i="187" s="1"/>
  <c r="R166" i="187"/>
  <c r="T166" i="187" s="1"/>
  <c r="U166" i="187" s="1"/>
  <c r="R102" i="187"/>
  <c r="T102" i="187" s="1"/>
  <c r="U102" i="187" s="1"/>
  <c r="O102" i="187"/>
  <c r="P102" i="187" s="1"/>
  <c r="O38" i="187"/>
  <c r="P38" i="187" s="1"/>
  <c r="R38" i="187"/>
  <c r="T38" i="187" s="1"/>
  <c r="U38" i="187" s="1"/>
  <c r="R61" i="187"/>
  <c r="T61" i="187" s="1"/>
  <c r="U61" i="187" s="1"/>
  <c r="O61" i="187"/>
  <c r="P61" i="187" s="1"/>
  <c r="R180" i="187"/>
  <c r="T180" i="187" s="1"/>
  <c r="U180" i="187" s="1"/>
  <c r="O180" i="187"/>
  <c r="P180" i="187" s="1"/>
  <c r="R116" i="187"/>
  <c r="T116" i="187" s="1"/>
  <c r="U116" i="187" s="1"/>
  <c r="O116" i="187"/>
  <c r="P116" i="187" s="1"/>
  <c r="O52" i="187"/>
  <c r="P52" i="187" s="1"/>
  <c r="R52" i="187"/>
  <c r="T52" i="187" s="1"/>
  <c r="U52" i="187" s="1"/>
  <c r="R133" i="187"/>
  <c r="T133" i="187" s="1"/>
  <c r="U133" i="187" s="1"/>
  <c r="O133" i="187"/>
  <c r="P133" i="187" s="1"/>
  <c r="O195" i="187"/>
  <c r="P195" i="187" s="1"/>
  <c r="R195" i="187"/>
  <c r="T195" i="187" s="1"/>
  <c r="U195" i="187" s="1"/>
  <c r="O131" i="187"/>
  <c r="P131" i="187" s="1"/>
  <c r="R131" i="187"/>
  <c r="T131" i="187" s="1"/>
  <c r="U131" i="187" s="1"/>
  <c r="R67" i="187"/>
  <c r="T67" i="187" s="1"/>
  <c r="U67" i="187" s="1"/>
  <c r="O67" i="187"/>
  <c r="P67" i="187" s="1"/>
  <c r="R221" i="187"/>
  <c r="T221" i="187" s="1"/>
  <c r="U221" i="187" s="1"/>
  <c r="O221" i="187"/>
  <c r="P221" i="187" s="1"/>
  <c r="O210" i="187"/>
  <c r="P210" i="187" s="1"/>
  <c r="R210" i="187"/>
  <c r="T210" i="187" s="1"/>
  <c r="U210" i="187" s="1"/>
  <c r="O146" i="187"/>
  <c r="P146" i="187" s="1"/>
  <c r="R146" i="187"/>
  <c r="T146" i="187" s="1"/>
  <c r="U146" i="187" s="1"/>
  <c r="R82" i="187"/>
  <c r="T82" i="187" s="1"/>
  <c r="U82" i="187" s="1"/>
  <c r="O82" i="187"/>
  <c r="P82" i="187" s="1"/>
  <c r="R18" i="187"/>
  <c r="T18" i="187" s="1"/>
  <c r="U18" i="187" s="1"/>
  <c r="O18" i="187"/>
  <c r="P18" i="187" s="1"/>
  <c r="R217" i="187"/>
  <c r="T217" i="187" s="1"/>
  <c r="U217" i="187" s="1"/>
  <c r="O217" i="187"/>
  <c r="P217" i="187" s="1"/>
  <c r="O153" i="187"/>
  <c r="P153" i="187" s="1"/>
  <c r="R153" i="187"/>
  <c r="T153" i="187" s="1"/>
  <c r="U153" i="187" s="1"/>
  <c r="R89" i="187"/>
  <c r="T89" i="187" s="1"/>
  <c r="U89" i="187" s="1"/>
  <c r="O89" i="187"/>
  <c r="P89" i="187" s="1"/>
  <c r="R25" i="187"/>
  <c r="T25" i="187" s="1"/>
  <c r="U25" i="187" s="1"/>
  <c r="O25" i="187"/>
  <c r="P25" i="187" s="1"/>
  <c r="O224" i="187"/>
  <c r="P224" i="187" s="1"/>
  <c r="R224" i="187"/>
  <c r="T224" i="187" s="1"/>
  <c r="U224" i="187" s="1"/>
  <c r="R160" i="187"/>
  <c r="T160" i="187" s="1"/>
  <c r="U160" i="187" s="1"/>
  <c r="O160" i="187"/>
  <c r="P160" i="187" s="1"/>
  <c r="O96" i="187"/>
  <c r="P96" i="187" s="1"/>
  <c r="R96" i="187"/>
  <c r="T96" i="187" s="1"/>
  <c r="U96" i="187" s="1"/>
  <c r="O32" i="187"/>
  <c r="P32" i="187" s="1"/>
  <c r="R32" i="187"/>
  <c r="T32" i="187" s="1"/>
  <c r="U32" i="187" s="1"/>
  <c r="R191" i="187"/>
  <c r="T191" i="187" s="1"/>
  <c r="U191" i="187" s="1"/>
  <c r="O191" i="187"/>
  <c r="P191" i="187" s="1"/>
  <c r="O127" i="187"/>
  <c r="P127" i="187" s="1"/>
  <c r="R127" i="187"/>
  <c r="T127" i="187" s="1"/>
  <c r="U127" i="187" s="1"/>
  <c r="R63" i="187"/>
  <c r="T63" i="187" s="1"/>
  <c r="U63" i="187" s="1"/>
  <c r="O63" i="187"/>
  <c r="P63" i="187" s="1"/>
  <c r="O222" i="187"/>
  <c r="P222" i="187" s="1"/>
  <c r="R222" i="187"/>
  <c r="T222" i="187" s="1"/>
  <c r="U222" i="187" s="1"/>
  <c r="O158" i="187"/>
  <c r="P158" i="187" s="1"/>
  <c r="R158" i="187"/>
  <c r="T158" i="187" s="1"/>
  <c r="U158" i="187" s="1"/>
  <c r="R94" i="187"/>
  <c r="T94" i="187" s="1"/>
  <c r="U94" i="187" s="1"/>
  <c r="O94" i="187"/>
  <c r="P94" i="187" s="1"/>
  <c r="R30" i="187"/>
  <c r="T30" i="187" s="1"/>
  <c r="U30" i="187" s="1"/>
  <c r="O30" i="187"/>
  <c r="P30" i="187" s="1"/>
  <c r="O37" i="187"/>
  <c r="P37" i="187" s="1"/>
  <c r="R37" i="187"/>
  <c r="T37" i="187" s="1"/>
  <c r="U37" i="187" s="1"/>
  <c r="R172" i="187"/>
  <c r="T172" i="187" s="1"/>
  <c r="U172" i="187" s="1"/>
  <c r="O172" i="187"/>
  <c r="P172" i="187" s="1"/>
  <c r="R108" i="187"/>
  <c r="T108" i="187" s="1"/>
  <c r="U108" i="187" s="1"/>
  <c r="O108" i="187"/>
  <c r="P108" i="187" s="1"/>
  <c r="O44" i="187"/>
  <c r="P44" i="187" s="1"/>
  <c r="R44" i="187"/>
  <c r="T44" i="187" s="1"/>
  <c r="U44" i="187" s="1"/>
  <c r="R117" i="187"/>
  <c r="T117" i="187" s="1"/>
  <c r="U117" i="187" s="1"/>
  <c r="O117" i="187"/>
  <c r="P117" i="187" s="1"/>
  <c r="O187" i="187"/>
  <c r="P187" i="187" s="1"/>
  <c r="R187" i="187"/>
  <c r="T187" i="187" s="1"/>
  <c r="U187" i="187" s="1"/>
  <c r="O123" i="187"/>
  <c r="P123" i="187" s="1"/>
  <c r="R123" i="187"/>
  <c r="T123" i="187" s="1"/>
  <c r="U123" i="187" s="1"/>
  <c r="R59" i="187"/>
  <c r="T59" i="187" s="1"/>
  <c r="U59" i="187" s="1"/>
  <c r="O59" i="187"/>
  <c r="P59" i="187" s="1"/>
  <c r="O181" i="187"/>
  <c r="P181" i="187" s="1"/>
  <c r="R181" i="187"/>
  <c r="T181" i="187" s="1"/>
  <c r="U181" i="187" s="1"/>
  <c r="O202" i="187"/>
  <c r="P202" i="187" s="1"/>
  <c r="R202" i="187"/>
  <c r="T202" i="187" s="1"/>
  <c r="U202" i="187" s="1"/>
  <c r="R138" i="187"/>
  <c r="T138" i="187" s="1"/>
  <c r="U138" i="187" s="1"/>
  <c r="O138" i="187"/>
  <c r="P138" i="187" s="1"/>
  <c r="R74" i="187"/>
  <c r="T74" i="187" s="1"/>
  <c r="U74" i="187" s="1"/>
  <c r="O74" i="187"/>
  <c r="P74" i="187" s="1"/>
  <c r="R10" i="187"/>
  <c r="T10" i="187" s="1"/>
  <c r="U10" i="187" s="1"/>
  <c r="O10" i="187"/>
  <c r="P10" i="187" s="1"/>
  <c r="O209" i="187"/>
  <c r="P209" i="187" s="1"/>
  <c r="R209" i="187"/>
  <c r="T209" i="187" s="1"/>
  <c r="U209" i="187" s="1"/>
  <c r="O145" i="187"/>
  <c r="P145" i="187" s="1"/>
  <c r="R145" i="187"/>
  <c r="T145" i="187" s="1"/>
  <c r="U145" i="187" s="1"/>
  <c r="R81" i="187"/>
  <c r="T81" i="187" s="1"/>
  <c r="U81" i="187" s="1"/>
  <c r="O81" i="187"/>
  <c r="P81" i="187" s="1"/>
  <c r="R17" i="187"/>
  <c r="T17" i="187" s="1"/>
  <c r="U17" i="187" s="1"/>
  <c r="O17" i="187"/>
  <c r="P17" i="187" s="1"/>
  <c r="O216" i="187"/>
  <c r="P216" i="187" s="1"/>
  <c r="R216" i="187"/>
  <c r="T216" i="187" s="1"/>
  <c r="U216" i="187" s="1"/>
  <c r="R152" i="187"/>
  <c r="T152" i="187" s="1"/>
  <c r="U152" i="187" s="1"/>
  <c r="O152" i="187"/>
  <c r="P152" i="187" s="1"/>
  <c r="O88" i="187"/>
  <c r="P88" i="187" s="1"/>
  <c r="R88" i="187"/>
  <c r="T88" i="187" s="1"/>
  <c r="U88" i="187" s="1"/>
  <c r="O24" i="187"/>
  <c r="P24" i="187" s="1"/>
  <c r="R24" i="187"/>
  <c r="T24" i="187" s="1"/>
  <c r="U24" i="187" s="1"/>
  <c r="O183" i="187"/>
  <c r="P183" i="187" s="1"/>
  <c r="R183" i="187"/>
  <c r="R119" i="187"/>
  <c r="T119" i="187" s="1"/>
  <c r="U119" i="187" s="1"/>
  <c r="O119" i="187"/>
  <c r="P119" i="187" s="1"/>
  <c r="O55" i="187"/>
  <c r="P55" i="187" s="1"/>
  <c r="R55" i="187"/>
  <c r="T55" i="187" s="1"/>
  <c r="U55" i="187" s="1"/>
  <c r="O214" i="187"/>
  <c r="P214" i="187" s="1"/>
  <c r="R214" i="187"/>
  <c r="T214" i="187" s="1"/>
  <c r="U214" i="187" s="1"/>
  <c r="O150" i="187"/>
  <c r="P150" i="187" s="1"/>
  <c r="R150" i="187"/>
  <c r="T150" i="187" s="1"/>
  <c r="U150" i="187" s="1"/>
  <c r="O86" i="187"/>
  <c r="P86" i="187" s="1"/>
  <c r="R86" i="187"/>
  <c r="T86" i="187" s="1"/>
  <c r="U86" i="187" s="1"/>
  <c r="O22" i="187"/>
  <c r="P22" i="187" s="1"/>
  <c r="R22" i="187"/>
  <c r="T22" i="187" s="1"/>
  <c r="U22" i="187" s="1"/>
  <c r="O228" i="187"/>
  <c r="P228" i="187" s="1"/>
  <c r="R228" i="187"/>
  <c r="T228" i="187" s="1"/>
  <c r="U228" i="187" s="1"/>
  <c r="R164" i="187"/>
  <c r="T164" i="187" s="1"/>
  <c r="U164" i="187" s="1"/>
  <c r="O164" i="187"/>
  <c r="P164" i="187" s="1"/>
  <c r="O100" i="187"/>
  <c r="P100" i="187" s="1"/>
  <c r="R100" i="187"/>
  <c r="T100" i="187" s="1"/>
  <c r="U100" i="187" s="1"/>
  <c r="O36" i="187"/>
  <c r="P36" i="187" s="1"/>
  <c r="R36" i="187"/>
  <c r="T36" i="187" s="1"/>
  <c r="U36" i="187" s="1"/>
  <c r="O69" i="187"/>
  <c r="P69" i="187" s="1"/>
  <c r="R69" i="187"/>
  <c r="T69" i="187" s="1"/>
  <c r="U69" i="187" s="1"/>
  <c r="R179" i="187"/>
  <c r="T179" i="187" s="1"/>
  <c r="U179" i="187" s="1"/>
  <c r="O179" i="187"/>
  <c r="P179" i="187" s="1"/>
  <c r="O115" i="187"/>
  <c r="P115" i="187" s="1"/>
  <c r="R115" i="187"/>
  <c r="T115" i="187" s="1"/>
  <c r="U115" i="187" s="1"/>
  <c r="R51" i="187"/>
  <c r="T51" i="187" s="1"/>
  <c r="U51" i="187" s="1"/>
  <c r="O51" i="187"/>
  <c r="P51" i="187" s="1"/>
  <c r="R149" i="187"/>
  <c r="T149" i="187" s="1"/>
  <c r="U149" i="187" s="1"/>
  <c r="O149" i="187"/>
  <c r="P149" i="187" s="1"/>
  <c r="O194" i="187"/>
  <c r="P194" i="187" s="1"/>
  <c r="R194" i="187"/>
  <c r="T194" i="187" s="1"/>
  <c r="U194" i="187" s="1"/>
  <c r="R130" i="187"/>
  <c r="T130" i="187" s="1"/>
  <c r="U130" i="187" s="1"/>
  <c r="O130" i="187"/>
  <c r="P130" i="187" s="1"/>
  <c r="R66" i="187"/>
  <c r="T66" i="187" s="1"/>
  <c r="U66" i="187" s="1"/>
  <c r="O66" i="187"/>
  <c r="P66" i="187" s="1"/>
  <c r="R205" i="187"/>
  <c r="T205" i="187" s="1"/>
  <c r="U205" i="187" s="1"/>
  <c r="O205" i="187"/>
  <c r="P205" i="187" s="1"/>
  <c r="R201" i="187"/>
  <c r="T201" i="187" s="1"/>
  <c r="U201" i="187" s="1"/>
  <c r="O201" i="187"/>
  <c r="P201" i="187" s="1"/>
  <c r="R137" i="187"/>
  <c r="T137" i="187" s="1"/>
  <c r="U137" i="187" s="1"/>
  <c r="O137" i="187"/>
  <c r="P137" i="187" s="1"/>
  <c r="R73" i="187"/>
  <c r="T73" i="187" s="1"/>
  <c r="U73" i="187" s="1"/>
  <c r="O73" i="187"/>
  <c r="P73" i="187" s="1"/>
  <c r="R9" i="187"/>
  <c r="O9" i="187"/>
  <c r="P9" i="187" s="1"/>
  <c r="O208" i="187"/>
  <c r="P208" i="187" s="1"/>
  <c r="R208" i="187"/>
  <c r="T208" i="187" s="1"/>
  <c r="U208" i="187" s="1"/>
  <c r="O144" i="187"/>
  <c r="P144" i="187" s="1"/>
  <c r="R144" i="187"/>
  <c r="T144" i="187" s="1"/>
  <c r="U144" i="187" s="1"/>
  <c r="R80" i="187"/>
  <c r="T80" i="187" s="1"/>
  <c r="U80" i="187" s="1"/>
  <c r="O80" i="187"/>
  <c r="P80" i="187" s="1"/>
  <c r="O16" i="187"/>
  <c r="P16" i="187" s="1"/>
  <c r="R16" i="187"/>
  <c r="T16" i="187" s="1"/>
  <c r="U16" i="187" s="1"/>
  <c r="O175" i="187"/>
  <c r="P175" i="187" s="1"/>
  <c r="R175" i="187"/>
  <c r="T175" i="187" s="1"/>
  <c r="U175" i="187" s="1"/>
  <c r="O111" i="187"/>
  <c r="P111" i="187" s="1"/>
  <c r="R111" i="187"/>
  <c r="T111" i="187" s="1"/>
  <c r="U111" i="187" s="1"/>
  <c r="R47" i="187"/>
  <c r="T47" i="187" s="1"/>
  <c r="U47" i="187" s="1"/>
  <c r="O47" i="187"/>
  <c r="P47" i="187" s="1"/>
  <c r="O206" i="187"/>
  <c r="P206" i="187" s="1"/>
  <c r="R206" i="187"/>
  <c r="T206" i="187" s="1"/>
  <c r="U206" i="187" s="1"/>
  <c r="R142" i="187"/>
  <c r="O142" i="187"/>
  <c r="P142" i="187" s="1"/>
  <c r="O78" i="187"/>
  <c r="P78" i="187" s="1"/>
  <c r="R78" i="187"/>
  <c r="T78" i="187" s="1"/>
  <c r="U78" i="187" s="1"/>
  <c r="O14" i="187"/>
  <c r="P14" i="187" s="1"/>
  <c r="R14" i="187"/>
  <c r="T14" i="187" s="1"/>
  <c r="U14" i="187" s="1"/>
  <c r="R220" i="187"/>
  <c r="T220" i="187" s="1"/>
  <c r="U220" i="187" s="1"/>
  <c r="O220" i="187"/>
  <c r="P220" i="187" s="1"/>
  <c r="O156" i="187"/>
  <c r="P156" i="187" s="1"/>
  <c r="R156" i="187"/>
  <c r="T156" i="187" s="1"/>
  <c r="U156" i="187" s="1"/>
  <c r="O92" i="187"/>
  <c r="P92" i="187" s="1"/>
  <c r="R92" i="187"/>
  <c r="T92" i="187" s="1"/>
  <c r="U92" i="187" s="1"/>
  <c r="O28" i="187"/>
  <c r="P28" i="187" s="1"/>
  <c r="R28" i="187"/>
  <c r="T28" i="187" s="1"/>
  <c r="U28" i="187" s="1"/>
  <c r="O13" i="187"/>
  <c r="P13" i="187" s="1"/>
  <c r="R13" i="187"/>
  <c r="T13" i="187" s="1"/>
  <c r="U13" i="187" s="1"/>
  <c r="O171" i="187"/>
  <c r="P171" i="187" s="1"/>
  <c r="R171" i="187"/>
  <c r="T171" i="187" s="1"/>
  <c r="U171" i="187" s="1"/>
  <c r="O107" i="187"/>
  <c r="P107" i="187" s="1"/>
  <c r="R107" i="187"/>
  <c r="T107" i="187" s="1"/>
  <c r="U107" i="187" s="1"/>
  <c r="R43" i="187"/>
  <c r="T43" i="187" s="1"/>
  <c r="U43" i="187" s="1"/>
  <c r="O43" i="187"/>
  <c r="P43" i="187" s="1"/>
  <c r="R125" i="187"/>
  <c r="T125" i="187" s="1"/>
  <c r="U125" i="187" s="1"/>
  <c r="O125" i="187"/>
  <c r="P125" i="187" s="1"/>
  <c r="O186" i="187"/>
  <c r="P186" i="187" s="1"/>
  <c r="R186" i="187"/>
  <c r="R122" i="187"/>
  <c r="T122" i="187" s="1"/>
  <c r="U122" i="187" s="1"/>
  <c r="O122" i="187"/>
  <c r="P122" i="187" s="1"/>
  <c r="R58" i="187"/>
  <c r="T58" i="187" s="1"/>
  <c r="U58" i="187" s="1"/>
  <c r="O58" i="187"/>
  <c r="P58" i="187" s="1"/>
  <c r="O165" i="187"/>
  <c r="P165" i="187" s="1"/>
  <c r="R165" i="187"/>
  <c r="T165" i="187" s="1"/>
  <c r="U165" i="187" s="1"/>
  <c r="O193" i="187"/>
  <c r="P193" i="187" s="1"/>
  <c r="R193" i="187"/>
  <c r="T193" i="187" s="1"/>
  <c r="U193" i="187" s="1"/>
  <c r="R129" i="187"/>
  <c r="T129" i="187" s="1"/>
  <c r="U129" i="187" s="1"/>
  <c r="O129" i="187"/>
  <c r="P129" i="187" s="1"/>
  <c r="O65" i="187"/>
  <c r="P65" i="187" s="1"/>
  <c r="R65" i="187"/>
  <c r="T65" i="187" s="1"/>
  <c r="U65" i="187" s="1"/>
  <c r="R197" i="187"/>
  <c r="T197" i="187" s="1"/>
  <c r="U197" i="187" s="1"/>
  <c r="O197" i="187"/>
  <c r="P197" i="187" s="1"/>
  <c r="O200" i="187"/>
  <c r="P200" i="187" s="1"/>
  <c r="R200" i="187"/>
  <c r="T200" i="187" s="1"/>
  <c r="U200" i="187" s="1"/>
  <c r="O136" i="187"/>
  <c r="P136" i="187" s="1"/>
  <c r="R136" i="187"/>
  <c r="T136" i="187" s="1"/>
  <c r="U136" i="187" s="1"/>
  <c r="O72" i="187"/>
  <c r="P72" i="187" s="1"/>
  <c r="R72" i="187"/>
  <c r="T72" i="187" s="1"/>
  <c r="U72" i="187" s="1"/>
  <c r="O8" i="187"/>
  <c r="P8" i="187" s="1"/>
  <c r="R8" i="187"/>
  <c r="T8" i="187" s="1"/>
  <c r="U8" i="187" s="1"/>
  <c r="O167" i="187"/>
  <c r="P167" i="187" s="1"/>
  <c r="R167" i="187"/>
  <c r="T167" i="187" s="1"/>
  <c r="U167" i="187" s="1"/>
  <c r="O103" i="187"/>
  <c r="P103" i="187" s="1"/>
  <c r="R103" i="187"/>
  <c r="T103" i="187" s="1"/>
  <c r="U103" i="187" s="1"/>
  <c r="O39" i="187"/>
  <c r="P39" i="187" s="1"/>
  <c r="R39" i="187"/>
  <c r="T39" i="187" s="1"/>
  <c r="U39" i="187" s="1"/>
  <c r="O198" i="187"/>
  <c r="P198" i="187" s="1"/>
  <c r="R198" i="187"/>
  <c r="T198" i="187" s="1"/>
  <c r="U198" i="187" s="1"/>
  <c r="O134" i="187"/>
  <c r="P134" i="187" s="1"/>
  <c r="R134" i="187"/>
  <c r="T134" i="187" s="1"/>
  <c r="U134" i="187" s="1"/>
  <c r="R70" i="187"/>
  <c r="T70" i="187" s="1"/>
  <c r="U70" i="187" s="1"/>
  <c r="O70" i="187"/>
  <c r="P70" i="187" s="1"/>
  <c r="O6" i="187"/>
  <c r="P6" i="187" s="1"/>
  <c r="R6" i="187"/>
  <c r="T6" i="187" s="1"/>
  <c r="U6" i="187" s="1"/>
  <c r="O212" i="187"/>
  <c r="P212" i="187" s="1"/>
  <c r="R212" i="187"/>
  <c r="T212" i="187" s="1"/>
  <c r="U212" i="187" s="1"/>
  <c r="O148" i="187"/>
  <c r="P148" i="187" s="1"/>
  <c r="R148" i="187"/>
  <c r="T148" i="187" s="1"/>
  <c r="U148" i="187" s="1"/>
  <c r="O84" i="187"/>
  <c r="P84" i="187" s="1"/>
  <c r="R84" i="187"/>
  <c r="T84" i="187" s="1"/>
  <c r="U84" i="187" s="1"/>
  <c r="O20" i="187"/>
  <c r="P20" i="187" s="1"/>
  <c r="R20" i="187"/>
  <c r="T20" i="187" s="1"/>
  <c r="U20" i="187" s="1"/>
  <c r="R227" i="187"/>
  <c r="T227" i="187" s="1"/>
  <c r="U227" i="187" s="1"/>
  <c r="O227" i="187"/>
  <c r="P227" i="187" s="1"/>
  <c r="O163" i="187"/>
  <c r="P163" i="187" s="1"/>
  <c r="R163" i="187"/>
  <c r="T163" i="187" s="1"/>
  <c r="U163" i="187" s="1"/>
  <c r="O99" i="187"/>
  <c r="P99" i="187" s="1"/>
  <c r="R99" i="187"/>
  <c r="T99" i="187" s="1"/>
  <c r="U99" i="187" s="1"/>
  <c r="O35" i="187"/>
  <c r="P35" i="187" s="1"/>
  <c r="R35" i="187"/>
  <c r="T35" i="187" s="1"/>
  <c r="U35" i="187" s="1"/>
  <c r="R77" i="187"/>
  <c r="T77" i="187" s="1"/>
  <c r="U77" i="187" s="1"/>
  <c r="O77" i="187"/>
  <c r="P77" i="187" s="1"/>
  <c r="O178" i="187"/>
  <c r="P178" i="187" s="1"/>
  <c r="R178" i="187"/>
  <c r="T178" i="187" s="1"/>
  <c r="U178" i="187" s="1"/>
  <c r="O114" i="187"/>
  <c r="P114" i="187" s="1"/>
  <c r="R114" i="187"/>
  <c r="T114" i="187" s="1"/>
  <c r="U114" i="187" s="1"/>
  <c r="R50" i="187"/>
  <c r="T50" i="187" s="1"/>
  <c r="U50" i="187" s="1"/>
  <c r="O50" i="187"/>
  <c r="P50" i="187" s="1"/>
  <c r="O101" i="187"/>
  <c r="P101" i="187" s="1"/>
  <c r="R101" i="187"/>
  <c r="T101" i="187" s="1"/>
  <c r="U101" i="187" s="1"/>
  <c r="R185" i="187"/>
  <c r="T185" i="187" s="1"/>
  <c r="U185" i="187" s="1"/>
  <c r="O185" i="187"/>
  <c r="P185" i="187" s="1"/>
  <c r="O121" i="187"/>
  <c r="P121" i="187" s="1"/>
  <c r="R121" i="187"/>
  <c r="T121" i="187" s="1"/>
  <c r="U121" i="187" s="1"/>
  <c r="R57" i="187"/>
  <c r="T57" i="187" s="1"/>
  <c r="U57" i="187" s="1"/>
  <c r="O57" i="187"/>
  <c r="P57" i="187" s="1"/>
  <c r="R157" i="187"/>
  <c r="T157" i="187" s="1"/>
  <c r="U157" i="187" s="1"/>
  <c r="O157" i="187"/>
  <c r="P157" i="187" s="1"/>
  <c r="R192" i="187"/>
  <c r="T192" i="187" s="1"/>
  <c r="U192" i="187" s="1"/>
  <c r="O192" i="187"/>
  <c r="P192" i="187" s="1"/>
  <c r="O128" i="187"/>
  <c r="P128" i="187" s="1"/>
  <c r="R128" i="187"/>
  <c r="T128" i="187" s="1"/>
  <c r="U128" i="187" s="1"/>
  <c r="R64" i="187"/>
  <c r="T64" i="187" s="1"/>
  <c r="U64" i="187" s="1"/>
  <c r="O64" i="187"/>
  <c r="P64" i="187" s="1"/>
  <c r="O223" i="187"/>
  <c r="P223" i="187" s="1"/>
  <c r="R223" i="187"/>
  <c r="T223" i="187" s="1"/>
  <c r="U223" i="187" s="1"/>
  <c r="R159" i="187"/>
  <c r="T159" i="187" s="1"/>
  <c r="U159" i="187" s="1"/>
  <c r="O159" i="187"/>
  <c r="P159" i="187" s="1"/>
  <c r="R95" i="187"/>
  <c r="T95" i="187" s="1"/>
  <c r="U95" i="187" s="1"/>
  <c r="O95" i="187"/>
  <c r="P95" i="187" s="1"/>
  <c r="O31" i="187"/>
  <c r="P31" i="187" s="1"/>
  <c r="R31" i="187"/>
  <c r="T31" i="187" s="1"/>
  <c r="U31" i="187" s="1"/>
  <c r="O190" i="187"/>
  <c r="P190" i="187" s="1"/>
  <c r="R190" i="187"/>
  <c r="T190" i="187" s="1"/>
  <c r="U190" i="187" s="1"/>
  <c r="R126" i="187"/>
  <c r="T126" i="187" s="1"/>
  <c r="U126" i="187" s="1"/>
  <c r="O126" i="187"/>
  <c r="P126" i="187" s="1"/>
  <c r="O62" i="187"/>
  <c r="P62" i="187" s="1"/>
  <c r="R62" i="187"/>
  <c r="T62" i="187" s="1"/>
  <c r="U62" i="187" s="1"/>
  <c r="O189" i="187"/>
  <c r="P189" i="187" s="1"/>
  <c r="R189" i="187"/>
  <c r="T189" i="187" s="1"/>
  <c r="U189" i="187" s="1"/>
  <c r="O204" i="187"/>
  <c r="P204" i="187" s="1"/>
  <c r="R204" i="187"/>
  <c r="T204" i="187" s="1"/>
  <c r="U204" i="187" s="1"/>
  <c r="O140" i="187"/>
  <c r="P140" i="187" s="1"/>
  <c r="R140" i="187"/>
  <c r="T140" i="187" s="1"/>
  <c r="U140" i="187" s="1"/>
  <c r="O76" i="187"/>
  <c r="P76" i="187" s="1"/>
  <c r="R76" i="187"/>
  <c r="T76" i="187" s="1"/>
  <c r="U76" i="187" s="1"/>
  <c r="O12" i="187"/>
  <c r="P12" i="187" s="1"/>
  <c r="R12" i="187"/>
  <c r="T12" i="187" s="1"/>
  <c r="U12" i="187" s="1"/>
  <c r="R219" i="187"/>
  <c r="T219" i="187" s="1"/>
  <c r="U219" i="187" s="1"/>
  <c r="O219" i="187"/>
  <c r="P219" i="187" s="1"/>
  <c r="O155" i="187"/>
  <c r="P155" i="187" s="1"/>
  <c r="R155" i="187"/>
  <c r="O91" i="187"/>
  <c r="P91" i="187" s="1"/>
  <c r="R91" i="187"/>
  <c r="T91" i="187" s="1"/>
  <c r="U91" i="187" s="1"/>
  <c r="O27" i="187"/>
  <c r="P27" i="187" s="1"/>
  <c r="R27" i="187"/>
  <c r="T27" i="187" s="1"/>
  <c r="U27" i="187" s="1"/>
  <c r="O21" i="187"/>
  <c r="P21" i="187" s="1"/>
  <c r="R21" i="187"/>
  <c r="T21" i="187" s="1"/>
  <c r="U21" i="187" s="1"/>
  <c r="O170" i="187"/>
  <c r="P170" i="187" s="1"/>
  <c r="R170" i="187"/>
  <c r="T170" i="187" s="1"/>
  <c r="U170" i="187" s="1"/>
  <c r="O106" i="187"/>
  <c r="P106" i="187" s="1"/>
  <c r="R106" i="187"/>
  <c r="T106" i="187" s="1"/>
  <c r="U106" i="187" s="1"/>
  <c r="O42" i="187"/>
  <c r="P42" i="187" s="1"/>
  <c r="R42" i="187"/>
  <c r="T42" i="187" s="1"/>
  <c r="U42" i="187" s="1"/>
  <c r="R53" i="187"/>
  <c r="T53" i="187" s="1"/>
  <c r="U53" i="187" s="1"/>
  <c r="O53" i="187"/>
  <c r="P53" i="187" s="1"/>
  <c r="O177" i="187"/>
  <c r="P177" i="187" s="1"/>
  <c r="R177" i="187"/>
  <c r="T177" i="187" s="1"/>
  <c r="U177" i="187" s="1"/>
  <c r="R113" i="187"/>
  <c r="T113" i="187" s="1"/>
  <c r="U113" i="187" s="1"/>
  <c r="O113" i="187"/>
  <c r="P113" i="187" s="1"/>
  <c r="O49" i="187"/>
  <c r="P49" i="187" s="1"/>
  <c r="R49" i="187"/>
  <c r="T49" i="187" s="1"/>
  <c r="U49" i="187" s="1"/>
  <c r="R109" i="187"/>
  <c r="T109" i="187" s="1"/>
  <c r="U109" i="187" s="1"/>
  <c r="O109" i="187"/>
  <c r="P109" i="187" s="1"/>
  <c r="R184" i="187"/>
  <c r="T184" i="187" s="1"/>
  <c r="U184" i="187" s="1"/>
  <c r="O184" i="187"/>
  <c r="P184" i="187" s="1"/>
  <c r="O120" i="187"/>
  <c r="P120" i="187" s="1"/>
  <c r="R120" i="187"/>
  <c r="T120" i="187" s="1"/>
  <c r="U120" i="187" s="1"/>
  <c r="O56" i="187"/>
  <c r="P56" i="187" s="1"/>
  <c r="R56" i="187"/>
  <c r="T56" i="187" s="1"/>
  <c r="U56" i="187" s="1"/>
  <c r="R215" i="187"/>
  <c r="T215" i="187" s="1"/>
  <c r="U215" i="187" s="1"/>
  <c r="O215" i="187"/>
  <c r="P215" i="187" s="1"/>
  <c r="O151" i="187"/>
  <c r="P151" i="187" s="1"/>
  <c r="R151" i="187"/>
  <c r="O87" i="187"/>
  <c r="P87" i="187" s="1"/>
  <c r="R87" i="187"/>
  <c r="T87" i="187" s="1"/>
  <c r="U87" i="187" s="1"/>
  <c r="O23" i="187"/>
  <c r="P23" i="187" s="1"/>
  <c r="R23" i="187"/>
  <c r="T23" i="187" s="1"/>
  <c r="U23" i="187" s="1"/>
  <c r="O182" i="187"/>
  <c r="P182" i="187" s="1"/>
  <c r="R182" i="187"/>
  <c r="T182" i="187" s="1"/>
  <c r="U182" i="187" s="1"/>
  <c r="O118" i="187"/>
  <c r="P118" i="187" s="1"/>
  <c r="R118" i="187"/>
  <c r="T118" i="187" s="1"/>
  <c r="U118" i="187" s="1"/>
  <c r="O54" i="187"/>
  <c r="P54" i="187" s="1"/>
  <c r="R54" i="187"/>
  <c r="T54" i="187" s="1"/>
  <c r="U54" i="187" s="1"/>
  <c r="R141" i="187"/>
  <c r="T141" i="187" s="1"/>
  <c r="U141" i="187" s="1"/>
  <c r="O141" i="187"/>
  <c r="P141" i="187" s="1"/>
  <c r="O196" i="187"/>
  <c r="P196" i="187" s="1"/>
  <c r="R196" i="187"/>
  <c r="T196" i="187" s="1"/>
  <c r="U196" i="187" s="1"/>
  <c r="O132" i="187"/>
  <c r="P132" i="187" s="1"/>
  <c r="R132" i="187"/>
  <c r="T132" i="187" s="1"/>
  <c r="U132" i="187" s="1"/>
  <c r="O68" i="187"/>
  <c r="P68" i="187" s="1"/>
  <c r="R68" i="187"/>
  <c r="T68" i="187" s="1"/>
  <c r="U68" i="187" s="1"/>
  <c r="R213" i="187"/>
  <c r="T213" i="187" s="1"/>
  <c r="U213" i="187" s="1"/>
  <c r="O213" i="187"/>
  <c r="P213" i="187" s="1"/>
  <c r="O211" i="187"/>
  <c r="P211" i="187" s="1"/>
  <c r="R211" i="187"/>
  <c r="T211" i="187" s="1"/>
  <c r="U211" i="187" s="1"/>
  <c r="O147" i="187"/>
  <c r="P147" i="187" s="1"/>
  <c r="R147" i="187"/>
  <c r="T147" i="187" s="1"/>
  <c r="U147" i="187" s="1"/>
  <c r="R83" i="187"/>
  <c r="T83" i="187" s="1"/>
  <c r="U83" i="187" s="1"/>
  <c r="O83" i="187"/>
  <c r="P83" i="187" s="1"/>
  <c r="R19" i="187"/>
  <c r="T19" i="187" s="1"/>
  <c r="U19" i="187" s="1"/>
  <c r="O19" i="187"/>
  <c r="P19" i="187" s="1"/>
  <c r="O226" i="187"/>
  <c r="P226" i="187" s="1"/>
  <c r="R226" i="187"/>
  <c r="T226" i="187" s="1"/>
  <c r="U226" i="187" s="1"/>
  <c r="R162" i="187"/>
  <c r="T162" i="187" s="1"/>
  <c r="U162" i="187" s="1"/>
  <c r="O162" i="187"/>
  <c r="P162" i="187" s="1"/>
  <c r="O98" i="187"/>
  <c r="P98" i="187" s="1"/>
  <c r="R98" i="187"/>
  <c r="T98" i="187" s="1"/>
  <c r="U98" i="187" s="1"/>
  <c r="R34" i="187"/>
  <c r="T34" i="187" s="1"/>
  <c r="U34" i="187" s="1"/>
  <c r="O34" i="187"/>
  <c r="P34" i="187" s="1"/>
  <c r="R29" i="187"/>
  <c r="T29" i="187" s="1"/>
  <c r="U29" i="187" s="1"/>
  <c r="O29" i="187"/>
  <c r="P29" i="187" s="1"/>
  <c r="O169" i="187"/>
  <c r="P169" i="187" s="1"/>
  <c r="R169" i="187"/>
  <c r="T169" i="187" s="1"/>
  <c r="U169" i="187" s="1"/>
  <c r="O105" i="187"/>
  <c r="P105" i="187" s="1"/>
  <c r="R105" i="187"/>
  <c r="T105" i="187" s="1"/>
  <c r="U105" i="187" s="1"/>
  <c r="O41" i="187"/>
  <c r="P41" i="187" s="1"/>
  <c r="R41" i="187"/>
  <c r="T41" i="187" s="1"/>
  <c r="U41" i="187" s="1"/>
  <c r="R85" i="187"/>
  <c r="T85" i="187" s="1"/>
  <c r="U85" i="187" s="1"/>
  <c r="O85" i="187"/>
  <c r="P85" i="187" s="1"/>
  <c r="O176" i="187"/>
  <c r="P176" i="187" s="1"/>
  <c r="R176" i="187"/>
  <c r="T176" i="187" s="1"/>
  <c r="U176" i="187" s="1"/>
  <c r="O112" i="187"/>
  <c r="P112" i="187" s="1"/>
  <c r="R112" i="187"/>
  <c r="T112" i="187" s="1"/>
  <c r="U112" i="187" s="1"/>
  <c r="O48" i="187"/>
  <c r="P48" i="187" s="1"/>
  <c r="R48" i="187"/>
  <c r="T48" i="187" s="1"/>
  <c r="U48" i="187" s="1"/>
  <c r="R207" i="187"/>
  <c r="T207" i="187" s="1"/>
  <c r="U207" i="187" s="1"/>
  <c r="O207" i="187"/>
  <c r="P207" i="187" s="1"/>
  <c r="O143" i="187"/>
  <c r="P143" i="187" s="1"/>
  <c r="R143" i="187"/>
  <c r="T143" i="187" s="1"/>
  <c r="U143" i="187" s="1"/>
  <c r="R79" i="187"/>
  <c r="T79" i="187" s="1"/>
  <c r="U79" i="187" s="1"/>
  <c r="O79" i="187"/>
  <c r="P79" i="187" s="1"/>
  <c r="O15" i="187"/>
  <c r="P15" i="187" s="1"/>
  <c r="R15" i="187"/>
  <c r="T15" i="187" s="1"/>
  <c r="U15" i="187" s="1"/>
  <c r="R174" i="187"/>
  <c r="T174" i="187" s="1"/>
  <c r="U174" i="187" s="1"/>
  <c r="O174" i="187"/>
  <c r="P174" i="187" s="1"/>
  <c r="O110" i="187"/>
  <c r="P110" i="187" s="1"/>
  <c r="R110" i="187"/>
  <c r="T110" i="187" s="1"/>
  <c r="U110" i="187" s="1"/>
  <c r="O46" i="187"/>
  <c r="P46" i="187" s="1"/>
  <c r="R46" i="187"/>
  <c r="T46" i="187" s="1"/>
  <c r="U46" i="187" s="1"/>
  <c r="R93" i="187"/>
  <c r="T93" i="187" s="1"/>
  <c r="U93" i="187" s="1"/>
  <c r="O93" i="187"/>
  <c r="P93" i="187" s="1"/>
  <c r="O188" i="187"/>
  <c r="P188" i="187" s="1"/>
  <c r="R188" i="187"/>
  <c r="T188" i="187" s="1"/>
  <c r="U188" i="187" s="1"/>
  <c r="O124" i="187"/>
  <c r="P124" i="187" s="1"/>
  <c r="R124" i="187"/>
  <c r="T124" i="187" s="1"/>
  <c r="U124" i="187" s="1"/>
  <c r="O60" i="187"/>
  <c r="P60" i="187" s="1"/>
  <c r="R60" i="187"/>
  <c r="T60" i="187" s="1"/>
  <c r="U60" i="187" s="1"/>
  <c r="O173" i="187"/>
  <c r="P173" i="187" s="1"/>
  <c r="R173" i="187"/>
  <c r="T173" i="187" s="1"/>
  <c r="U173" i="187" s="1"/>
  <c r="R203" i="187"/>
  <c r="T203" i="187" s="1"/>
  <c r="U203" i="187" s="1"/>
  <c r="O203" i="187"/>
  <c r="P203" i="187" s="1"/>
  <c r="O139" i="187"/>
  <c r="P139" i="187" s="1"/>
  <c r="R139" i="187"/>
  <c r="T139" i="187" s="1"/>
  <c r="U139" i="187" s="1"/>
  <c r="R75" i="187"/>
  <c r="T75" i="187" s="1"/>
  <c r="U75" i="187" s="1"/>
  <c r="O75" i="187"/>
  <c r="P75" i="187" s="1"/>
  <c r="O11" i="187"/>
  <c r="P11" i="187" s="1"/>
  <c r="R11" i="187"/>
  <c r="T11" i="187" s="1"/>
  <c r="U11" i="187" s="1"/>
  <c r="R218" i="187"/>
  <c r="T218" i="187" s="1"/>
  <c r="U218" i="187" s="1"/>
  <c r="O218" i="187"/>
  <c r="P218" i="187" s="1"/>
  <c r="R154" i="187"/>
  <c r="T154" i="187" s="1"/>
  <c r="U154" i="187" s="1"/>
  <c r="O154" i="187"/>
  <c r="P154" i="187" s="1"/>
  <c r="R90" i="187"/>
  <c r="T90" i="187" s="1"/>
  <c r="U90" i="187" s="1"/>
  <c r="O90" i="187"/>
  <c r="P90" i="187" s="1"/>
  <c r="R26" i="187"/>
  <c r="T26" i="187" s="1"/>
  <c r="U26" i="187" s="1"/>
  <c r="O26" i="187"/>
  <c r="P26" i="187" s="1"/>
  <c r="R225" i="187"/>
  <c r="T225" i="187" s="1"/>
  <c r="U225" i="187" s="1"/>
  <c r="O225" i="187"/>
  <c r="P225" i="187" s="1"/>
  <c r="O161" i="187"/>
  <c r="P161" i="187" s="1"/>
  <c r="R161" i="187"/>
  <c r="T161" i="187" s="1"/>
  <c r="U161" i="187" s="1"/>
  <c r="R97" i="187"/>
  <c r="T97" i="187" s="1"/>
  <c r="U97" i="187" s="1"/>
  <c r="O97" i="187"/>
  <c r="P97" i="187" s="1"/>
  <c r="R33" i="187"/>
  <c r="T33" i="187" s="1"/>
  <c r="U33" i="187" s="1"/>
  <c r="O33" i="187"/>
  <c r="P33" i="187" s="1"/>
  <c r="R45" i="187"/>
  <c r="T45" i="187" s="1"/>
  <c r="U45" i="187" s="1"/>
  <c r="O45" i="187"/>
  <c r="P45" i="187" s="1"/>
  <c r="O168" i="187"/>
  <c r="P168" i="187" s="1"/>
  <c r="R168" i="187"/>
  <c r="T168" i="187" s="1"/>
  <c r="U168" i="187" s="1"/>
  <c r="R104" i="187"/>
  <c r="T104" i="187" s="1"/>
  <c r="U104" i="187" s="1"/>
  <c r="O104" i="187"/>
  <c r="P104" i="187" s="1"/>
  <c r="O40" i="187"/>
  <c r="P40" i="187" s="1"/>
  <c r="R40" i="187"/>
  <c r="T40" i="187" s="1"/>
  <c r="U40" i="187" s="1"/>
  <c r="R199" i="187"/>
  <c r="T199" i="187" s="1"/>
  <c r="U199" i="187" s="1"/>
  <c r="O199" i="187"/>
  <c r="P199" i="187" s="1"/>
  <c r="R135" i="187"/>
  <c r="T135" i="187" s="1"/>
  <c r="U135" i="187" s="1"/>
  <c r="O135" i="187"/>
  <c r="P135" i="187" s="1"/>
  <c r="O71" i="187"/>
  <c r="P71" i="187" s="1"/>
  <c r="R71" i="187"/>
  <c r="T71" i="187" s="1"/>
  <c r="U71" i="187" s="1"/>
  <c r="O7" i="187"/>
  <c r="P7" i="187" s="1"/>
  <c r="R7" i="187"/>
  <c r="T7" i="187" s="1"/>
  <c r="U7" i="187" s="1"/>
  <c r="D103" i="253" l="1"/>
  <c r="C45" i="253"/>
  <c r="P297" i="233"/>
  <c r="Y297" i="233"/>
  <c r="N297" i="233"/>
  <c r="N297" i="261"/>
  <c r="P297" i="261"/>
  <c r="Y297" i="261"/>
  <c r="V66" i="187"/>
  <c r="V47" i="187"/>
  <c r="V80" i="187"/>
  <c r="V73" i="187"/>
  <c r="V184" i="187"/>
  <c r="V177" i="187"/>
  <c r="V140" i="187"/>
  <c r="V126" i="187"/>
  <c r="V159" i="187"/>
  <c r="V192" i="187"/>
  <c r="V185" i="187"/>
  <c r="V178" i="187"/>
  <c r="V51" i="187"/>
  <c r="V15" i="187"/>
  <c r="V48" i="187"/>
  <c r="V41" i="187"/>
  <c r="V112" i="187"/>
  <c r="V105" i="187"/>
  <c r="V98" i="187"/>
  <c r="V68" i="187"/>
  <c r="V54" i="187"/>
  <c r="V121" i="187"/>
  <c r="V114" i="187"/>
  <c r="V99" i="187"/>
  <c r="V84" i="187"/>
  <c r="V111" i="187"/>
  <c r="V144" i="187"/>
  <c r="V115" i="187"/>
  <c r="V100" i="187"/>
  <c r="V86" i="187"/>
  <c r="V153" i="187"/>
  <c r="V146" i="187"/>
  <c r="V131" i="187"/>
  <c r="T142" i="187"/>
  <c r="T151" i="187"/>
  <c r="T155" i="187"/>
  <c r="T186" i="187"/>
  <c r="T183" i="187"/>
  <c r="V216" i="187"/>
  <c r="V37" i="187"/>
  <c r="V222" i="187"/>
  <c r="V21" i="187"/>
  <c r="V13" i="187"/>
  <c r="V56" i="187"/>
  <c r="V31" i="187"/>
  <c r="V64" i="187"/>
  <c r="V57" i="187"/>
  <c r="V50" i="187"/>
  <c r="V6" i="187"/>
  <c r="V181" i="187"/>
  <c r="V174" i="187"/>
  <c r="V204" i="187"/>
  <c r="V8" i="187"/>
  <c r="V206" i="187"/>
  <c r="V24" i="187"/>
  <c r="V168" i="187"/>
  <c r="V161" i="187"/>
  <c r="V139" i="187"/>
  <c r="V124" i="187"/>
  <c r="V110" i="187"/>
  <c r="V143" i="187"/>
  <c r="V169" i="187"/>
  <c r="V147" i="187"/>
  <c r="V132" i="187"/>
  <c r="V118" i="187"/>
  <c r="V163" i="187"/>
  <c r="V134" i="187"/>
  <c r="V194" i="187"/>
  <c r="V150" i="187"/>
  <c r="V158" i="187"/>
  <c r="V224" i="187"/>
  <c r="V210" i="187"/>
  <c r="V195" i="187"/>
  <c r="V207" i="187"/>
  <c r="V85" i="187"/>
  <c r="V29" i="187"/>
  <c r="V196" i="187"/>
  <c r="V157" i="187"/>
  <c r="V77" i="187"/>
  <c r="V227" i="187"/>
  <c r="V205" i="187"/>
  <c r="V149" i="187"/>
  <c r="V228" i="187"/>
  <c r="V214" i="187"/>
  <c r="V25" i="187"/>
  <c r="V18" i="187"/>
  <c r="V221" i="187"/>
  <c r="V133" i="187"/>
  <c r="V61" i="187"/>
  <c r="T9" i="187"/>
  <c r="V7" i="187"/>
  <c r="V40" i="187"/>
  <c r="V33" i="187"/>
  <c r="V26" i="187"/>
  <c r="V93" i="187"/>
  <c r="V49" i="187"/>
  <c r="V42" i="187"/>
  <c r="V27" i="187"/>
  <c r="V12" i="187"/>
  <c r="V39" i="187"/>
  <c r="V65" i="187"/>
  <c r="V28" i="187"/>
  <c r="V14" i="187"/>
  <c r="V44" i="187"/>
  <c r="V52" i="187"/>
  <c r="V38" i="187"/>
  <c r="V71" i="187"/>
  <c r="V104" i="187"/>
  <c r="V97" i="187"/>
  <c r="V90" i="187"/>
  <c r="V75" i="187"/>
  <c r="V113" i="187"/>
  <c r="V129" i="187"/>
  <c r="V122" i="187"/>
  <c r="V78" i="187"/>
  <c r="V119" i="187"/>
  <c r="V152" i="187"/>
  <c r="V138" i="187"/>
  <c r="V108" i="187"/>
  <c r="V94" i="187"/>
  <c r="V127" i="187"/>
  <c r="V199" i="187"/>
  <c r="V45" i="187"/>
  <c r="V225" i="187"/>
  <c r="V218" i="187"/>
  <c r="V203" i="187"/>
  <c r="V188" i="187"/>
  <c r="V226" i="187"/>
  <c r="V211" i="187"/>
  <c r="V182" i="187"/>
  <c r="V189" i="187"/>
  <c r="V148" i="187"/>
  <c r="V72" i="187"/>
  <c r="V58" i="187"/>
  <c r="V43" i="187"/>
  <c r="V175" i="187"/>
  <c r="V208" i="187"/>
  <c r="V201" i="187"/>
  <c r="V179" i="187"/>
  <c r="V164" i="187"/>
  <c r="V55" i="187"/>
  <c r="V88" i="187"/>
  <c r="V81" i="187"/>
  <c r="V74" i="187"/>
  <c r="V59" i="187"/>
  <c r="V30" i="187"/>
  <c r="V191" i="187"/>
  <c r="V217" i="187"/>
  <c r="V180" i="187"/>
  <c r="V166" i="187"/>
  <c r="V34" i="187"/>
  <c r="V19" i="187"/>
  <c r="V213" i="187"/>
  <c r="V141" i="187"/>
  <c r="V23" i="187"/>
  <c r="V11" i="187"/>
  <c r="V173" i="187"/>
  <c r="V79" i="187"/>
  <c r="V83" i="187"/>
  <c r="V87" i="187"/>
  <c r="V120" i="187"/>
  <c r="V106" i="187"/>
  <c r="V91" i="187"/>
  <c r="V76" i="187"/>
  <c r="V62" i="187"/>
  <c r="V223" i="187"/>
  <c r="V101" i="187"/>
  <c r="V212" i="187"/>
  <c r="V198" i="187"/>
  <c r="V103" i="187"/>
  <c r="V136" i="187"/>
  <c r="V107" i="187"/>
  <c r="V92" i="187"/>
  <c r="V16" i="187"/>
  <c r="V69" i="187"/>
  <c r="V145" i="187"/>
  <c r="V123" i="187"/>
  <c r="V32" i="187"/>
  <c r="O5" i="187"/>
  <c r="P5" i="187" s="1"/>
  <c r="V172" i="187"/>
  <c r="V63" i="187"/>
  <c r="V96" i="187"/>
  <c r="V89" i="187"/>
  <c r="V82" i="187"/>
  <c r="V67" i="187"/>
  <c r="V60" i="187"/>
  <c r="V46" i="187"/>
  <c r="V176" i="187"/>
  <c r="V162" i="187"/>
  <c r="V170" i="187"/>
  <c r="V35" i="187"/>
  <c r="V20" i="187"/>
  <c r="V167" i="187"/>
  <c r="V200" i="187"/>
  <c r="V193" i="187"/>
  <c r="V171" i="187"/>
  <c r="V156" i="187"/>
  <c r="V36" i="187"/>
  <c r="V22" i="187"/>
  <c r="V209" i="187"/>
  <c r="V202" i="187"/>
  <c r="V187" i="187"/>
  <c r="V135" i="187"/>
  <c r="V154" i="187"/>
  <c r="V215" i="187"/>
  <c r="V109" i="187"/>
  <c r="V53" i="187"/>
  <c r="V219" i="187"/>
  <c r="V190" i="187"/>
  <c r="V95" i="187"/>
  <c r="V128" i="187"/>
  <c r="V70" i="187"/>
  <c r="V197" i="187"/>
  <c r="V165" i="187"/>
  <c r="V125" i="187"/>
  <c r="V220" i="187"/>
  <c r="V137" i="187"/>
  <c r="V130" i="187"/>
  <c r="V17" i="187"/>
  <c r="V10" i="187"/>
  <c r="V117" i="187"/>
  <c r="V160" i="187"/>
  <c r="V116" i="187"/>
  <c r="V102" i="187"/>
  <c r="E14" i="183"/>
  <c r="G14" i="183" s="1"/>
  <c r="I14" i="183" s="1" a="1"/>
  <c r="I14" i="183" s="1"/>
  <c r="U151" i="187" l="1"/>
  <c r="V151" i="187" s="1"/>
  <c r="U9" i="187"/>
  <c r="V9" i="187" s="1"/>
  <c r="U142" i="187"/>
  <c r="V142" i="187" s="1"/>
  <c r="U186" i="187"/>
  <c r="V186" i="187" s="1"/>
  <c r="U183" i="187"/>
  <c r="V183" i="187" s="1"/>
  <c r="U155" i="187"/>
  <c r="V155" i="187" s="1"/>
  <c r="H89" i="253"/>
  <c r="K17" i="60"/>
  <c r="K18" i="60"/>
  <c r="K16" i="60"/>
  <c r="D104" i="253"/>
  <c r="E10" i="183"/>
  <c r="K15" i="60"/>
  <c r="Q15" i="60" s="1"/>
  <c r="O15" i="60"/>
  <c r="S15" i="60" s="1"/>
  <c r="M15" i="60"/>
  <c r="F20" i="60" s="1"/>
  <c r="I15" i="60"/>
  <c r="P15" i="60" s="1"/>
  <c r="E11" i="216"/>
  <c r="G11" i="216" s="1"/>
  <c r="I11" i="216" s="1" a="1"/>
  <c r="I11" i="216" s="1"/>
  <c r="I8" i="216" a="1"/>
  <c r="I8" i="216" s="1"/>
  <c r="W16" i="209" s="1"/>
  <c r="E9" i="216"/>
  <c r="G9" i="216" s="1"/>
  <c r="I9" i="216" s="1" a="1"/>
  <c r="I9" i="216" s="1"/>
  <c r="W17" i="209" s="1"/>
  <c r="E11" i="183"/>
  <c r="G11" i="183" s="1"/>
  <c r="I11" i="183" s="1" a="1"/>
  <c r="I11" i="183" s="1"/>
  <c r="E9" i="183"/>
  <c r="G9" i="183" s="1"/>
  <c r="I9" i="183" s="1" a="1"/>
  <c r="I9" i="183" s="1"/>
  <c r="E12" i="183"/>
  <c r="G12" i="183" s="1"/>
  <c r="I12" i="183" s="1" a="1"/>
  <c r="I12" i="183" s="1"/>
  <c r="E13" i="183"/>
  <c r="G13" i="183" s="1"/>
  <c r="I13" i="183" s="1" a="1"/>
  <c r="I13" i="183" s="1"/>
  <c r="T5" i="187"/>
  <c r="R229" i="187"/>
  <c r="D545" i="63"/>
  <c r="J73" i="223" s="1"/>
  <c r="P73" i="223" s="1"/>
  <c r="D546" i="63"/>
  <c r="J74" i="223" s="1"/>
  <c r="P74" i="223" s="1"/>
  <c r="D535" i="63"/>
  <c r="I73" i="223" s="1"/>
  <c r="O73" i="223" s="1"/>
  <c r="D536" i="63"/>
  <c r="I74" i="223" s="1"/>
  <c r="O74" i="223" s="1"/>
  <c r="D525" i="63"/>
  <c r="H73" i="223" s="1"/>
  <c r="N73" i="223" s="1"/>
  <c r="D526" i="63"/>
  <c r="H74" i="223" s="1"/>
  <c r="N74" i="223" s="1"/>
  <c r="D515" i="63"/>
  <c r="G73" i="223" s="1"/>
  <c r="M73" i="223" s="1"/>
  <c r="D516" i="63"/>
  <c r="G74" i="223" s="1"/>
  <c r="M74" i="223" s="1"/>
  <c r="D505" i="63"/>
  <c r="F73" i="223" s="1"/>
  <c r="L73" i="223" s="1"/>
  <c r="D506" i="63"/>
  <c r="F74" i="223" s="1"/>
  <c r="L74" i="223" s="1"/>
  <c r="D391" i="63"/>
  <c r="K33" i="223" s="1"/>
  <c r="Q33" i="223" s="1"/>
  <c r="D392" i="63"/>
  <c r="K34" i="223" s="1"/>
  <c r="Q34" i="223" s="1"/>
  <c r="D381" i="63"/>
  <c r="J33" i="223" s="1"/>
  <c r="P33" i="223" s="1"/>
  <c r="D382" i="63"/>
  <c r="J34" i="223" s="1"/>
  <c r="P34" i="223" s="1"/>
  <c r="D371" i="63"/>
  <c r="I33" i="223" s="1"/>
  <c r="O33" i="223" s="1"/>
  <c r="D372" i="63"/>
  <c r="I34" i="223" s="1"/>
  <c r="O34" i="223" s="1"/>
  <c r="D361" i="63"/>
  <c r="H33" i="223" s="1"/>
  <c r="N33" i="223" s="1"/>
  <c r="D362" i="63"/>
  <c r="H34" i="223" s="1"/>
  <c r="N34" i="223" s="1"/>
  <c r="D351" i="63"/>
  <c r="G33" i="223" s="1"/>
  <c r="M33" i="223" s="1"/>
  <c r="D352" i="63"/>
  <c r="G34" i="223" s="1"/>
  <c r="M34" i="223" s="1"/>
  <c r="D341" i="63"/>
  <c r="F33" i="223" s="1"/>
  <c r="L33" i="223" s="1"/>
  <c r="D342" i="63"/>
  <c r="F34" i="223" s="1"/>
  <c r="L34" i="223" s="1"/>
  <c r="D327" i="63"/>
  <c r="K17" i="223" s="1"/>
  <c r="Q17" i="223" s="1"/>
  <c r="D328" i="63"/>
  <c r="K18" i="223" s="1"/>
  <c r="Q18" i="223" s="1"/>
  <c r="D317" i="63"/>
  <c r="J17" i="223" s="1"/>
  <c r="P17" i="223" s="1"/>
  <c r="D318" i="63"/>
  <c r="J18" i="223" s="1"/>
  <c r="P18" i="223" s="1"/>
  <c r="D307" i="63"/>
  <c r="I17" i="223" s="1"/>
  <c r="O17" i="223" s="1"/>
  <c r="D308" i="63"/>
  <c r="I18" i="223" s="1"/>
  <c r="O18" i="223" s="1"/>
  <c r="D297" i="63"/>
  <c r="H17" i="223" s="1"/>
  <c r="N17" i="223" s="1"/>
  <c r="D298" i="63"/>
  <c r="H18" i="223" s="1"/>
  <c r="N18" i="223" s="1"/>
  <c r="D287" i="63"/>
  <c r="G17" i="223" s="1"/>
  <c r="M17" i="223" s="1"/>
  <c r="D288" i="63"/>
  <c r="G18" i="223" s="1"/>
  <c r="M18" i="223" s="1"/>
  <c r="D277" i="63"/>
  <c r="F17" i="223" s="1"/>
  <c r="L17" i="223" s="1"/>
  <c r="D278" i="63"/>
  <c r="F18" i="223" s="1"/>
  <c r="L18" i="223" s="1"/>
  <c r="B3" i="147"/>
  <c r="B4" i="147"/>
  <c r="B3" i="149"/>
  <c r="B4" i="149"/>
  <c r="D156" i="63"/>
  <c r="B4" i="141"/>
  <c r="B3" i="141"/>
  <c r="B4" i="135"/>
  <c r="B3" i="135"/>
  <c r="F22" i="60" l="1"/>
  <c r="U5" i="187"/>
  <c r="V5" i="187" s="1"/>
  <c r="V229" i="187" s="1"/>
  <c r="R33" i="223"/>
  <c r="S33" i="223" s="1"/>
  <c r="R34" i="223"/>
  <c r="S34" i="223" s="1"/>
  <c r="R18" i="223"/>
  <c r="S18" i="223" s="1"/>
  <c r="R17" i="223"/>
  <c r="S17" i="223" s="1"/>
  <c r="R15" i="60"/>
  <c r="C114" i="135"/>
  <c r="C114" i="219"/>
  <c r="E10" i="216"/>
  <c r="G10" i="216" s="1"/>
  <c r="I10" i="216" s="1" a="1"/>
  <c r="I10" i="216" s="1"/>
  <c r="W17" i="46"/>
  <c r="D9" i="135"/>
  <c r="G10" i="183"/>
  <c r="I10" i="183" s="1" a="1"/>
  <c r="I10" i="183" s="1"/>
  <c r="E8" i="183"/>
  <c r="G8" i="183" s="1"/>
  <c r="I8" i="183" s="1" a="1"/>
  <c r="I8" i="183" s="1"/>
  <c r="D42" i="63"/>
  <c r="D1442" i="63"/>
  <c r="D1436" i="63"/>
  <c r="D1435" i="63"/>
  <c r="D1445" i="63"/>
  <c r="D1444" i="63"/>
  <c r="D1441" i="63"/>
  <c r="D1439" i="63"/>
  <c r="D1438" i="63"/>
  <c r="D1437" i="63"/>
  <c r="D1433" i="63"/>
  <c r="D1432" i="63"/>
  <c r="D1431" i="63"/>
  <c r="D1429" i="63"/>
  <c r="D1427" i="63"/>
  <c r="D1426" i="63"/>
  <c r="D1425" i="63"/>
  <c r="D1424" i="63"/>
  <c r="D1422" i="63"/>
  <c r="D1409" i="63"/>
  <c r="D1410" i="63"/>
  <c r="D1411" i="63"/>
  <c r="D1412" i="63"/>
  <c r="D1413" i="63"/>
  <c r="D1414" i="63"/>
  <c r="D1415" i="63"/>
  <c r="D1416" i="63"/>
  <c r="D1417" i="63"/>
  <c r="D1418" i="63"/>
  <c r="D1419" i="63"/>
  <c r="D1420" i="63"/>
  <c r="D1421" i="63"/>
  <c r="D1434" i="63"/>
  <c r="D1405" i="63"/>
  <c r="D1401" i="63"/>
  <c r="D1400" i="63"/>
  <c r="A65" i="168"/>
  <c r="A64" i="168"/>
  <c r="A63" i="168"/>
  <c r="A49" i="168"/>
  <c r="A48" i="168"/>
  <c r="A47" i="168"/>
  <c r="A46" i="168"/>
  <c r="A45" i="168"/>
  <c r="A44" i="168"/>
  <c r="D1325" i="63"/>
  <c r="D1331" i="63"/>
  <c r="D1337" i="63"/>
  <c r="D1364" i="63"/>
  <c r="D1365" i="63"/>
  <c r="D1366" i="63"/>
  <c r="D1367" i="63"/>
  <c r="D1369" i="63"/>
  <c r="D1370" i="63"/>
  <c r="D1371" i="63"/>
  <c r="D1372" i="63"/>
  <c r="D1376" i="63"/>
  <c r="D1377" i="63"/>
  <c r="D1378" i="63"/>
  <c r="D1379" i="63"/>
  <c r="D1381" i="63"/>
  <c r="D1382" i="63"/>
  <c r="D1385" i="63"/>
  <c r="D1386" i="63"/>
  <c r="D1402" i="63"/>
  <c r="D1403" i="63"/>
  <c r="D1406" i="63"/>
  <c r="D1407" i="63"/>
  <c r="D1408" i="63"/>
  <c r="D78" i="168" l="1" a="1"/>
  <c r="D78" i="168" s="1"/>
  <c r="D78" i="231" a="1"/>
  <c r="D78" i="231" s="1"/>
  <c r="D77" i="168" a="1"/>
  <c r="D77" i="168" s="1"/>
  <c r="D77" i="231" a="1"/>
  <c r="D77" i="231" s="1"/>
  <c r="B78" i="168"/>
  <c r="B78" i="231"/>
  <c r="I42" i="213" s="1"/>
  <c r="B77" i="168"/>
  <c r="I41" i="49" s="1"/>
  <c r="B77" i="231"/>
  <c r="I41" i="213" s="1"/>
  <c r="I1443" i="63"/>
  <c r="J1430" i="63"/>
  <c r="O22" i="60"/>
  <c r="S22" i="60" s="1"/>
  <c r="I22" i="60"/>
  <c r="P22" i="60" s="1"/>
  <c r="M22" i="60"/>
  <c r="R22" i="60" s="1"/>
  <c r="K22" i="60"/>
  <c r="Q22" i="60" s="1"/>
  <c r="J1443" i="63"/>
  <c r="I1430" i="63"/>
  <c r="D1443" i="63"/>
  <c r="D1430" i="63"/>
  <c r="B58" i="168"/>
  <c r="B58" i="231"/>
  <c r="C22" i="168"/>
  <c r="D31" i="168" s="1"/>
  <c r="C22" i="231"/>
  <c r="D80" i="231"/>
  <c r="B80" i="231"/>
  <c r="G80" i="168"/>
  <c r="G80" i="231"/>
  <c r="B67" i="168"/>
  <c r="B67" i="231"/>
  <c r="B51" i="168"/>
  <c r="D51" i="168" s="1"/>
  <c r="B51" i="231"/>
  <c r="D51" i="231" s="1"/>
  <c r="I42" i="49"/>
  <c r="H80" i="168"/>
  <c r="H80" i="231"/>
  <c r="W16" i="46"/>
  <c r="E9" i="135"/>
  <c r="Z16" i="47"/>
  <c r="G77" i="168" l="1"/>
  <c r="G77" i="231"/>
  <c r="H78" i="231"/>
  <c r="H78" i="168"/>
  <c r="AE16" i="47"/>
  <c r="AG16" i="47" s="1"/>
  <c r="X18" i="209"/>
  <c r="B31" i="168"/>
  <c r="D38" i="168"/>
  <c r="E22" i="168"/>
  <c r="B38" i="168"/>
  <c r="B38" i="231"/>
  <c r="E22" i="231"/>
  <c r="D38" i="231"/>
  <c r="D31" i="231"/>
  <c r="B31" i="231"/>
  <c r="O25" i="60" l="1"/>
  <c r="S25" i="60" s="1"/>
  <c r="M25" i="60"/>
  <c r="R25" i="60" s="1"/>
  <c r="K25" i="60"/>
  <c r="Q25" i="60" s="1"/>
  <c r="I25" i="60"/>
  <c r="P25" i="60" s="1"/>
  <c r="X18" i="46"/>
  <c r="D1314" i="63" l="1"/>
  <c r="D1302" i="63"/>
  <c r="E9" i="165" l="1"/>
  <c r="M9" i="165" s="1"/>
  <c r="E9" i="230"/>
  <c r="M9" i="230" s="1"/>
  <c r="C9" i="165"/>
  <c r="K9" i="165" s="1"/>
  <c r="C9" i="230"/>
  <c r="K9" i="230" s="1"/>
  <c r="D1262" i="63" l="1"/>
  <c r="D1266" i="63"/>
  <c r="D1270" i="63"/>
  <c r="D1274" i="63"/>
  <c r="D1278" i="63"/>
  <c r="D1282" i="63"/>
  <c r="D1286" i="63"/>
  <c r="D1290" i="63"/>
  <c r="D1258" i="63"/>
  <c r="I1275" i="63" l="1"/>
  <c r="J1276" i="63"/>
  <c r="J1273" i="63"/>
  <c r="I1276" i="63"/>
  <c r="I1277" i="63"/>
  <c r="I1272" i="63"/>
  <c r="J1277" i="63"/>
  <c r="J1275" i="63"/>
  <c r="J1271" i="63"/>
  <c r="J1272" i="63"/>
  <c r="I1271" i="63"/>
  <c r="I1273" i="63"/>
  <c r="D1276" i="63"/>
  <c r="D1272" i="63"/>
  <c r="D1271" i="63"/>
  <c r="D1275" i="63"/>
  <c r="D1273" i="63"/>
  <c r="D1277" i="63"/>
  <c r="F9" i="164" l="1"/>
  <c r="F9" i="229"/>
  <c r="F10" i="164"/>
  <c r="F10" i="229"/>
  <c r="F11" i="164"/>
  <c r="F11" i="229"/>
  <c r="G9" i="164"/>
  <c r="G9" i="229"/>
  <c r="G11" i="164"/>
  <c r="G11" i="229"/>
  <c r="G10" i="164"/>
  <c r="G10" i="229"/>
  <c r="D1254" i="63"/>
  <c r="D1253" i="63"/>
  <c r="D1204" i="63"/>
  <c r="D1155" i="63"/>
  <c r="D1138" i="63"/>
  <c r="D1137" i="63"/>
  <c r="D1136" i="63"/>
  <c r="D1135" i="63"/>
  <c r="D1118" i="63"/>
  <c r="D1101" i="63"/>
  <c r="D1092" i="63"/>
  <c r="D1091" i="63"/>
  <c r="D1090" i="63"/>
  <c r="D1089" i="63"/>
  <c r="D1078" i="63"/>
  <c r="L10" i="163"/>
  <c r="B16" i="163" l="1"/>
  <c r="B16" i="228"/>
  <c r="B63" i="163"/>
  <c r="B63" i="228"/>
  <c r="B34" i="163"/>
  <c r="B34" i="228"/>
  <c r="D851" i="63"/>
  <c r="D46" i="160" s="1"/>
  <c r="D853" i="63"/>
  <c r="D948" i="63"/>
  <c r="D87" i="160" s="1"/>
  <c r="D950" i="63"/>
  <c r="D1045" i="63"/>
  <c r="D128" i="160" s="1"/>
  <c r="D46" i="227" l="1"/>
  <c r="D128" i="227"/>
  <c r="D87" i="227"/>
  <c r="N85" i="227" l="1"/>
  <c r="N82" i="227"/>
  <c r="N78" i="227"/>
  <c r="N79" i="227"/>
  <c r="N80" i="227"/>
  <c r="N83" i="227"/>
  <c r="N84" i="227"/>
  <c r="N81" i="227"/>
  <c r="L79" i="227"/>
  <c r="L80" i="227"/>
  <c r="L83" i="227"/>
  <c r="L78" i="227"/>
  <c r="L81" i="227"/>
  <c r="L84" i="227"/>
  <c r="L82" i="227"/>
  <c r="L85" i="227"/>
  <c r="N15" i="227" l="1"/>
  <c r="N56" i="227" s="1"/>
  <c r="N29" i="227"/>
  <c r="N70" i="227" s="1"/>
  <c r="N22" i="227"/>
  <c r="N63" i="227" s="1"/>
  <c r="N34" i="227"/>
  <c r="N75" i="227" s="1"/>
  <c r="N35" i="227"/>
  <c r="N76" i="227" s="1"/>
  <c r="N26" i="227"/>
  <c r="N67" i="227" s="1"/>
  <c r="N32" i="227"/>
  <c r="N73" i="227" s="1"/>
  <c r="N16" i="227"/>
  <c r="N57" i="227" s="1"/>
  <c r="N33" i="227"/>
  <c r="N74" i="227" s="1"/>
  <c r="N17" i="227"/>
  <c r="N58" i="227" s="1"/>
  <c r="N18" i="227"/>
  <c r="N59" i="227" s="1"/>
  <c r="N20" i="227"/>
  <c r="N61" i="227" s="1"/>
  <c r="N21" i="227"/>
  <c r="N62" i="227" s="1"/>
  <c r="N19" i="227"/>
  <c r="N60" i="227" s="1"/>
  <c r="N30" i="227"/>
  <c r="N71" i="227" s="1"/>
  <c r="N28" i="227"/>
  <c r="N69" i="227" s="1"/>
  <c r="N31" i="227"/>
  <c r="N72" i="227" s="1"/>
  <c r="N27" i="227"/>
  <c r="N68" i="227" s="1"/>
  <c r="N77" i="227"/>
  <c r="N24" i="227"/>
  <c r="N65" i="227" s="1"/>
  <c r="N25" i="227"/>
  <c r="N66" i="227" s="1"/>
  <c r="N23" i="227"/>
  <c r="N64" i="227" s="1"/>
  <c r="L22" i="227"/>
  <c r="L63" i="227" s="1"/>
  <c r="L24" i="227"/>
  <c r="L65" i="227" s="1"/>
  <c r="L19" i="227"/>
  <c r="L60" i="227" s="1"/>
  <c r="L29" i="227"/>
  <c r="L70" i="227" s="1"/>
  <c r="L77" i="227"/>
  <c r="L16" i="227"/>
  <c r="L57" i="227" s="1"/>
  <c r="L26" i="227"/>
  <c r="L67" i="227" s="1"/>
  <c r="L33" i="227"/>
  <c r="L74" i="227" s="1"/>
  <c r="L21" i="227"/>
  <c r="L62" i="227" s="1"/>
  <c r="L23" i="227"/>
  <c r="L64" i="227" s="1"/>
  <c r="L25" i="227"/>
  <c r="L66" i="227" s="1"/>
  <c r="L18" i="227"/>
  <c r="L59" i="227" s="1"/>
  <c r="L35" i="227"/>
  <c r="L76" i="227" s="1"/>
  <c r="L17" i="227"/>
  <c r="L58" i="227" s="1"/>
  <c r="L15" i="227"/>
  <c r="L56" i="227" s="1"/>
  <c r="L32" i="227"/>
  <c r="L73" i="227" s="1"/>
  <c r="L28" i="227"/>
  <c r="L69" i="227" s="1"/>
  <c r="L30" i="227"/>
  <c r="L71" i="227" s="1"/>
  <c r="L34" i="227"/>
  <c r="L75" i="227" s="1"/>
  <c r="L20" i="227"/>
  <c r="L61" i="227" s="1"/>
  <c r="L27" i="227"/>
  <c r="L68" i="227" s="1"/>
  <c r="L31" i="227"/>
  <c r="L72" i="227" s="1"/>
  <c r="D23" i="159"/>
  <c r="N6" i="159" s="1"/>
  <c r="E23" i="159"/>
  <c r="N7" i="159" s="1"/>
  <c r="F23" i="159"/>
  <c r="N10" i="159" s="1"/>
  <c r="G23" i="159"/>
  <c r="N8" i="159" s="1"/>
  <c r="H23" i="159"/>
  <c r="N9" i="159" s="1"/>
  <c r="I23" i="159"/>
  <c r="N11" i="159" s="1"/>
  <c r="C25" i="48" l="1"/>
  <c r="C26" i="48"/>
  <c r="E25" i="48"/>
  <c r="D26" i="48"/>
  <c r="D27" i="48"/>
  <c r="C27" i="48"/>
  <c r="E27" i="48"/>
  <c r="D29" i="48"/>
  <c r="E29" i="48"/>
  <c r="D28" i="48"/>
  <c r="E28" i="48"/>
  <c r="K10" i="60" l="1"/>
  <c r="Q10" i="60" s="1"/>
  <c r="M10" i="60"/>
  <c r="O10" i="60"/>
  <c r="S10" i="60" s="1"/>
  <c r="I10" i="60"/>
  <c r="P10" i="60" s="1"/>
  <c r="I9" i="60"/>
  <c r="P9" i="60" s="1"/>
  <c r="M9" i="60"/>
  <c r="R9" i="60" s="1"/>
  <c r="O9" i="60"/>
  <c r="S9" i="60" s="1"/>
  <c r="K9" i="60"/>
  <c r="Q9" i="60" s="1"/>
  <c r="E31" i="48"/>
  <c r="E30" i="48"/>
  <c r="D31" i="48"/>
  <c r="C28" i="48"/>
  <c r="F33" i="48"/>
  <c r="R10" i="60" l="1"/>
  <c r="E43" i="149"/>
  <c r="F13" i="48"/>
  <c r="E48" i="149"/>
  <c r="D22" i="48"/>
  <c r="E22" i="48"/>
  <c r="D21" i="48"/>
  <c r="E21" i="48"/>
  <c r="I16" i="48"/>
  <c r="E90" i="149"/>
  <c r="F23" i="48" l="1"/>
  <c r="G20" i="48"/>
  <c r="C23" i="48"/>
  <c r="F20" i="48"/>
  <c r="H20" i="48"/>
  <c r="G23" i="48"/>
  <c r="E12" i="48"/>
  <c r="D11" i="48"/>
  <c r="E23" i="48"/>
  <c r="D20" i="48"/>
  <c r="D23" i="48"/>
  <c r="K8" i="60"/>
  <c r="Q8" i="60" s="1"/>
  <c r="I8" i="60"/>
  <c r="P8" i="60" s="1"/>
  <c r="M8" i="60"/>
  <c r="O8" i="60"/>
  <c r="S8" i="60" s="1"/>
  <c r="I23" i="48"/>
  <c r="C42" i="149"/>
  <c r="C53" i="149"/>
  <c r="C21" i="48"/>
  <c r="B53" i="149"/>
  <c r="D27" i="149"/>
  <c r="E18" i="149"/>
  <c r="D11" i="149"/>
  <c r="D47" i="149"/>
  <c r="C27" i="149"/>
  <c r="H19" i="48"/>
  <c r="E15" i="149"/>
  <c r="C11" i="149"/>
  <c r="C47" i="149"/>
  <c r="D42" i="149"/>
  <c r="C20" i="48"/>
  <c r="B27" i="149"/>
  <c r="C19" i="48"/>
  <c r="E12" i="149"/>
  <c r="B11" i="149"/>
  <c r="C22" i="48"/>
  <c r="B47" i="149"/>
  <c r="G19" i="48"/>
  <c r="E17" i="149"/>
  <c r="G14" i="48"/>
  <c r="B42" i="149"/>
  <c r="F19" i="48"/>
  <c r="E14" i="149"/>
  <c r="E72" i="149"/>
  <c r="D53" i="149"/>
  <c r="I20" i="48"/>
  <c r="I19" i="48"/>
  <c r="E16" i="149"/>
  <c r="E19" i="48"/>
  <c r="E13" i="149"/>
  <c r="E71" i="149"/>
  <c r="E55" i="149"/>
  <c r="E85" i="149"/>
  <c r="E26" i="149"/>
  <c r="E70" i="149"/>
  <c r="E50" i="149"/>
  <c r="E29" i="149"/>
  <c r="E31" i="149"/>
  <c r="C25" i="149"/>
  <c r="E73" i="149"/>
  <c r="D81" i="149"/>
  <c r="E69" i="149"/>
  <c r="C9" i="149"/>
  <c r="E84" i="149"/>
  <c r="E66" i="149"/>
  <c r="E45" i="149"/>
  <c r="D25" i="149"/>
  <c r="E10" i="149"/>
  <c r="E88" i="149"/>
  <c r="E82" i="149"/>
  <c r="B81" i="149"/>
  <c r="E68" i="149"/>
  <c r="E56" i="149"/>
  <c r="E44" i="149"/>
  <c r="E86" i="149"/>
  <c r="D41" i="149"/>
  <c r="E51" i="149"/>
  <c r="E33" i="149"/>
  <c r="E89" i="149"/>
  <c r="E87" i="149"/>
  <c r="E74" i="149"/>
  <c r="E49" i="149"/>
  <c r="B9" i="149"/>
  <c r="B25" i="149"/>
  <c r="C41" i="149"/>
  <c r="E32" i="149"/>
  <c r="E28" i="149"/>
  <c r="B41" i="149"/>
  <c r="C81" i="149"/>
  <c r="E34" i="149"/>
  <c r="E54" i="149"/>
  <c r="E30" i="149"/>
  <c r="F11" i="60" l="1"/>
  <c r="D9" i="149"/>
  <c r="E9" i="149" s="1"/>
  <c r="Q18" i="60"/>
  <c r="Q16" i="60"/>
  <c r="Q17" i="60"/>
  <c r="R8" i="60"/>
  <c r="E42" i="149"/>
  <c r="E11" i="149"/>
  <c r="E81" i="149"/>
  <c r="E25" i="149"/>
  <c r="E47" i="149"/>
  <c r="E41" i="149"/>
  <c r="E53" i="149"/>
  <c r="E27" i="149"/>
  <c r="M11" i="60" l="1"/>
  <c r="K11" i="60"/>
  <c r="Q11" i="60" s="1"/>
  <c r="I11" i="60"/>
  <c r="P11" i="60" s="1"/>
  <c r="O11" i="60"/>
  <c r="S11" i="60" s="1"/>
  <c r="D49" i="63"/>
  <c r="D50" i="63"/>
  <c r="D51" i="63"/>
  <c r="F27" i="214" s="1"/>
  <c r="D52" i="63"/>
  <c r="D53" i="63"/>
  <c r="D55" i="63"/>
  <c r="G8" i="214" s="1"/>
  <c r="D56" i="63"/>
  <c r="G9" i="214" s="1"/>
  <c r="D57" i="63"/>
  <c r="G10" i="214" s="1"/>
  <c r="D68" i="63"/>
  <c r="G21" i="214" s="1"/>
  <c r="D70" i="63"/>
  <c r="D71" i="63"/>
  <c r="D72" i="63"/>
  <c r="D73" i="63"/>
  <c r="G27" i="214" s="1"/>
  <c r="D74" i="63"/>
  <c r="D75" i="63"/>
  <c r="D76" i="63"/>
  <c r="D77" i="63"/>
  <c r="D78" i="63"/>
  <c r="D79" i="63"/>
  <c r="D80" i="63"/>
  <c r="D81" i="63"/>
  <c r="D82" i="63"/>
  <c r="D83" i="63"/>
  <c r="D84" i="63"/>
  <c r="D85" i="63"/>
  <c r="D86" i="63"/>
  <c r="D87" i="63"/>
  <c r="D88" i="63"/>
  <c r="D90" i="63"/>
  <c r="D91" i="63"/>
  <c r="D92" i="63"/>
  <c r="D93" i="63"/>
  <c r="D111" i="63"/>
  <c r="D112" i="63"/>
  <c r="H54" i="219" s="1"/>
  <c r="D113" i="63"/>
  <c r="D114" i="63"/>
  <c r="D132" i="63"/>
  <c r="E76" i="219" s="1"/>
  <c r="F76" i="219" s="1"/>
  <c r="D133" i="63"/>
  <c r="E77" i="219" s="1"/>
  <c r="F77" i="219" s="1"/>
  <c r="D134" i="63"/>
  <c r="E78" i="219" s="1"/>
  <c r="F78" i="219" s="1"/>
  <c r="D139" i="63"/>
  <c r="D140" i="63"/>
  <c r="D141" i="63"/>
  <c r="D142" i="63"/>
  <c r="D143" i="63"/>
  <c r="D145" i="63"/>
  <c r="D146" i="63"/>
  <c r="D147" i="63"/>
  <c r="D148" i="63"/>
  <c r="D150" i="63"/>
  <c r="D151" i="63"/>
  <c r="D152" i="63"/>
  <c r="D153" i="63"/>
  <c r="D157" i="63"/>
  <c r="D158" i="63"/>
  <c r="D159" i="63"/>
  <c r="D160" i="63"/>
  <c r="D162" i="63"/>
  <c r="D163" i="63"/>
  <c r="D164" i="63"/>
  <c r="D165" i="63"/>
  <c r="D166" i="63"/>
  <c r="D167" i="63"/>
  <c r="D171" i="63"/>
  <c r="D172" i="63"/>
  <c r="D173" i="63"/>
  <c r="D174" i="63"/>
  <c r="D176" i="63"/>
  <c r="D177" i="63"/>
  <c r="D178" i="63"/>
  <c r="D179" i="63"/>
  <c r="D183" i="63"/>
  <c r="D184" i="63"/>
  <c r="D185" i="63"/>
  <c r="D186" i="63"/>
  <c r="D187" i="63"/>
  <c r="D189" i="63"/>
  <c r="D190" i="63"/>
  <c r="D191" i="63"/>
  <c r="D192" i="63"/>
  <c r="D193" i="63"/>
  <c r="D195" i="63"/>
  <c r="D201" i="63"/>
  <c r="D202" i="63"/>
  <c r="D203" i="63"/>
  <c r="G10" i="147"/>
  <c r="D205" i="63"/>
  <c r="D211" i="63"/>
  <c r="D212" i="63"/>
  <c r="D213" i="63"/>
  <c r="D215" i="63"/>
  <c r="H17" i="147"/>
  <c r="H18" i="147"/>
  <c r="D223" i="63"/>
  <c r="D225" i="63"/>
  <c r="I17" i="147"/>
  <c r="I18" i="147"/>
  <c r="D233" i="63"/>
  <c r="D235" i="63"/>
  <c r="J17" i="147"/>
  <c r="D242" i="63"/>
  <c r="D243" i="63"/>
  <c r="D245" i="63"/>
  <c r="D251" i="63"/>
  <c r="D252" i="63"/>
  <c r="D253" i="63"/>
  <c r="D255" i="63"/>
  <c r="L17" i="147"/>
  <c r="L18" i="147"/>
  <c r="D263" i="63"/>
  <c r="D264" i="63"/>
  <c r="D265" i="63"/>
  <c r="D266" i="63"/>
  <c r="D267" i="63"/>
  <c r="D268" i="63"/>
  <c r="D269" i="63"/>
  <c r="D271" i="63"/>
  <c r="F17" i="149"/>
  <c r="L17" i="149" s="1"/>
  <c r="F18" i="149"/>
  <c r="L18" i="149" s="1"/>
  <c r="D279" i="63"/>
  <c r="D281" i="63"/>
  <c r="G17" i="149"/>
  <c r="M17" i="149" s="1"/>
  <c r="G18" i="149"/>
  <c r="M18" i="149" s="1"/>
  <c r="D289" i="63"/>
  <c r="D291" i="63"/>
  <c r="H17" i="149"/>
  <c r="N17" i="149" s="1"/>
  <c r="H18" i="149"/>
  <c r="N18" i="149" s="1"/>
  <c r="D299" i="63"/>
  <c r="D301" i="63"/>
  <c r="I17" i="149"/>
  <c r="O17" i="149" s="1"/>
  <c r="I18" i="149"/>
  <c r="O18" i="149" s="1"/>
  <c r="D309" i="63"/>
  <c r="D311" i="63"/>
  <c r="J17" i="149"/>
  <c r="P17" i="149" s="1"/>
  <c r="J18" i="149"/>
  <c r="P18" i="149" s="1"/>
  <c r="D319" i="63"/>
  <c r="D321" i="63"/>
  <c r="K17" i="149"/>
  <c r="Q17" i="149" s="1"/>
  <c r="K18" i="149"/>
  <c r="Q18" i="149" s="1"/>
  <c r="D329" i="63"/>
  <c r="D330" i="63"/>
  <c r="D331" i="63"/>
  <c r="D332" i="63"/>
  <c r="D333" i="63"/>
  <c r="D335" i="63"/>
  <c r="F33" i="149"/>
  <c r="L33" i="149" s="1"/>
  <c r="F34" i="149"/>
  <c r="L34" i="149" s="1"/>
  <c r="D343" i="63"/>
  <c r="D345" i="63"/>
  <c r="G33" i="149"/>
  <c r="M33" i="149" s="1"/>
  <c r="G34" i="149"/>
  <c r="M34" i="149" s="1"/>
  <c r="D353" i="63"/>
  <c r="D355" i="63"/>
  <c r="H33" i="149"/>
  <c r="N33" i="149" s="1"/>
  <c r="H34" i="149"/>
  <c r="N34" i="149" s="1"/>
  <c r="D363" i="63"/>
  <c r="D365" i="63"/>
  <c r="I33" i="149"/>
  <c r="O33" i="149" s="1"/>
  <c r="I34" i="149"/>
  <c r="O34" i="149" s="1"/>
  <c r="D373" i="63"/>
  <c r="D375" i="63"/>
  <c r="J33" i="149"/>
  <c r="P33" i="149" s="1"/>
  <c r="J34" i="149"/>
  <c r="P34" i="149" s="1"/>
  <c r="D383" i="63"/>
  <c r="D385" i="63"/>
  <c r="K33" i="149"/>
  <c r="Q33" i="149" s="1"/>
  <c r="K34" i="149"/>
  <c r="Q34" i="149" s="1"/>
  <c r="D393" i="63"/>
  <c r="D394" i="63"/>
  <c r="D395" i="63"/>
  <c r="D396" i="63"/>
  <c r="D397" i="63"/>
  <c r="D402" i="63"/>
  <c r="D408" i="63"/>
  <c r="D413" i="63"/>
  <c r="D418" i="63"/>
  <c r="D424" i="63"/>
  <c r="D429" i="63"/>
  <c r="D434" i="63"/>
  <c r="D440" i="63"/>
  <c r="D445" i="63"/>
  <c r="D450" i="63"/>
  <c r="D456" i="63"/>
  <c r="D461" i="63"/>
  <c r="D466" i="63"/>
  <c r="D472" i="63"/>
  <c r="D477" i="63"/>
  <c r="D482" i="63"/>
  <c r="D488" i="63"/>
  <c r="D493" i="63"/>
  <c r="D494" i="63"/>
  <c r="D495" i="63"/>
  <c r="D496" i="63"/>
  <c r="D497" i="63"/>
  <c r="D499" i="63"/>
  <c r="F73" i="149"/>
  <c r="L73" i="149" s="1"/>
  <c r="F74" i="149"/>
  <c r="L74" i="149" s="1"/>
  <c r="D507" i="63"/>
  <c r="D509" i="63"/>
  <c r="G73" i="149"/>
  <c r="M73" i="149" s="1"/>
  <c r="G74" i="149"/>
  <c r="M74" i="149" s="1"/>
  <c r="D517" i="63"/>
  <c r="D519" i="63"/>
  <c r="H73" i="149"/>
  <c r="N73" i="149" s="1"/>
  <c r="H74" i="149"/>
  <c r="N74" i="149" s="1"/>
  <c r="D527" i="63"/>
  <c r="D529" i="63"/>
  <c r="I73" i="149"/>
  <c r="O73" i="149" s="1"/>
  <c r="I74" i="149"/>
  <c r="O74" i="149" s="1"/>
  <c r="D537" i="63"/>
  <c r="D539" i="63"/>
  <c r="J73" i="149"/>
  <c r="P73" i="149" s="1"/>
  <c r="J74" i="149"/>
  <c r="P74" i="149" s="1"/>
  <c r="D547" i="63"/>
  <c r="D549" i="63"/>
  <c r="D555" i="63"/>
  <c r="D556" i="63"/>
  <c r="D557" i="63"/>
  <c r="D558" i="63"/>
  <c r="D559" i="63"/>
  <c r="D560" i="63"/>
  <c r="D563" i="63"/>
  <c r="D569" i="63"/>
  <c r="D570" i="63"/>
  <c r="D573" i="63"/>
  <c r="D579" i="63"/>
  <c r="D580" i="63"/>
  <c r="D583" i="63"/>
  <c r="D589" i="63"/>
  <c r="D590" i="63"/>
  <c r="D593" i="63"/>
  <c r="D599" i="63"/>
  <c r="D600" i="63"/>
  <c r="D603" i="63"/>
  <c r="D609" i="63"/>
  <c r="D610" i="63"/>
  <c r="D613" i="63"/>
  <c r="D619" i="63"/>
  <c r="D620" i="63"/>
  <c r="D621" i="63"/>
  <c r="D622" i="63"/>
  <c r="D623" i="63"/>
  <c r="D624" i="63"/>
  <c r="D625" i="63"/>
  <c r="D626" i="63"/>
  <c r="D627" i="63"/>
  <c r="D628" i="63"/>
  <c r="D632" i="63"/>
  <c r="D634" i="63"/>
  <c r="D639" i="63"/>
  <c r="D641" i="63"/>
  <c r="D642" i="63"/>
  <c r="D646" i="63"/>
  <c r="D648" i="63"/>
  <c r="D649" i="63"/>
  <c r="D650" i="63"/>
  <c r="D651" i="63"/>
  <c r="D652" i="63"/>
  <c r="D656" i="63"/>
  <c r="D657" i="63"/>
  <c r="D660" i="63"/>
  <c r="D664" i="63"/>
  <c r="D665" i="63"/>
  <c r="D668" i="63"/>
  <c r="D672" i="63"/>
  <c r="D673" i="63"/>
  <c r="D676" i="63"/>
  <c r="D677" i="63"/>
  <c r="D678" i="63"/>
  <c r="D679" i="63"/>
  <c r="D680" i="63"/>
  <c r="D684" i="63"/>
  <c r="D685" i="63"/>
  <c r="D688" i="63"/>
  <c r="D692" i="63"/>
  <c r="D693" i="63"/>
  <c r="D696" i="63"/>
  <c r="D700" i="63"/>
  <c r="D701" i="63"/>
  <c r="D704" i="63"/>
  <c r="D705" i="63"/>
  <c r="D706" i="63"/>
  <c r="D707" i="63"/>
  <c r="D708" i="63"/>
  <c r="D711" i="63"/>
  <c r="D714" i="63"/>
  <c r="D717" i="63"/>
  <c r="D718" i="63"/>
  <c r="D719" i="63"/>
  <c r="D720" i="63"/>
  <c r="D721" i="63"/>
  <c r="D722" i="63"/>
  <c r="D736" i="63"/>
  <c r="D737" i="63"/>
  <c r="D738" i="63"/>
  <c r="D739" i="63"/>
  <c r="D740" i="63"/>
  <c r="D741" i="63"/>
  <c r="D751" i="63"/>
  <c r="D752" i="63"/>
  <c r="D753" i="63"/>
  <c r="D754" i="63"/>
  <c r="D755" i="63"/>
  <c r="D756" i="63"/>
  <c r="D1046" i="63"/>
  <c r="D1047" i="63"/>
  <c r="D1048" i="63"/>
  <c r="D1049" i="63"/>
  <c r="D1055" i="63"/>
  <c r="D1061" i="63"/>
  <c r="D1067" i="63"/>
  <c r="D1255" i="63"/>
  <c r="D1256" i="63"/>
  <c r="D1257" i="63"/>
  <c r="D1294" i="63"/>
  <c r="D1295" i="63"/>
  <c r="D1296" i="63"/>
  <c r="D1297" i="63"/>
  <c r="D1298" i="63"/>
  <c r="D1299" i="63"/>
  <c r="D1304" i="63"/>
  <c r="D1305" i="63"/>
  <c r="D1306" i="63"/>
  <c r="D1307" i="63"/>
  <c r="D1316" i="63"/>
  <c r="D1317" i="63"/>
  <c r="D1318" i="63"/>
  <c r="D1319" i="63"/>
  <c r="D1320" i="63"/>
  <c r="D1321" i="63"/>
  <c r="F35" i="60" l="1"/>
  <c r="F12" i="60"/>
  <c r="F34" i="60"/>
  <c r="D55" i="151"/>
  <c r="D69" i="224"/>
  <c r="D55" i="224"/>
  <c r="D69" i="151"/>
  <c r="R33" i="149"/>
  <c r="R17" i="149"/>
  <c r="S17" i="149" s="1"/>
  <c r="R34" i="149"/>
  <c r="R18" i="149"/>
  <c r="S18" i="149" s="1"/>
  <c r="K20" i="60"/>
  <c r="Q20" i="60" s="1"/>
  <c r="I20" i="60"/>
  <c r="P20" i="60" s="1"/>
  <c r="M20" i="60"/>
  <c r="R20" i="60" s="1"/>
  <c r="R11" i="60"/>
  <c r="F51" i="151"/>
  <c r="I51" i="151" s="1"/>
  <c r="F51" i="224"/>
  <c r="I51" i="224" s="1"/>
  <c r="D46" i="151"/>
  <c r="D46" i="224"/>
  <c r="E31" i="151"/>
  <c r="E31" i="224"/>
  <c r="D17" i="151"/>
  <c r="D17" i="224"/>
  <c r="D13" i="151"/>
  <c r="D13" i="224"/>
  <c r="I89" i="149"/>
  <c r="O89" i="149" s="1"/>
  <c r="I89" i="223"/>
  <c r="O89" i="223" s="1"/>
  <c r="F90" i="149"/>
  <c r="L90" i="149" s="1"/>
  <c r="F90" i="223"/>
  <c r="L90" i="223" s="1"/>
  <c r="K73" i="149"/>
  <c r="K73" i="223"/>
  <c r="J41" i="149"/>
  <c r="J41" i="223"/>
  <c r="J25" i="149"/>
  <c r="J25" i="223"/>
  <c r="H25" i="149"/>
  <c r="H25" i="223"/>
  <c r="F25" i="149"/>
  <c r="F25" i="223"/>
  <c r="K9" i="149"/>
  <c r="K9" i="223"/>
  <c r="I9" i="149"/>
  <c r="I9" i="223"/>
  <c r="G9" i="149"/>
  <c r="G9" i="223"/>
  <c r="K17" i="147"/>
  <c r="K17" i="222"/>
  <c r="R17" i="222" s="1"/>
  <c r="G17" i="147"/>
  <c r="G17" i="222"/>
  <c r="F50" i="151"/>
  <c r="I50" i="151" s="1"/>
  <c r="F50" i="224"/>
  <c r="I50" i="224" s="1"/>
  <c r="E30" i="151"/>
  <c r="E30" i="224"/>
  <c r="D9" i="151"/>
  <c r="D9" i="224"/>
  <c r="K90" i="149"/>
  <c r="Q90" i="149" s="1"/>
  <c r="K90" i="223"/>
  <c r="Q90" i="223" s="1"/>
  <c r="I83" i="149"/>
  <c r="O83" i="149" s="1"/>
  <c r="I83" i="223"/>
  <c r="O83" i="223" s="1"/>
  <c r="F89" i="149"/>
  <c r="L89" i="149" s="1"/>
  <c r="F89" i="223"/>
  <c r="L89" i="223" s="1"/>
  <c r="K67" i="149"/>
  <c r="K67" i="223"/>
  <c r="I67" i="149"/>
  <c r="I67" i="223"/>
  <c r="G67" i="149"/>
  <c r="G67" i="223"/>
  <c r="F58" i="149"/>
  <c r="F58" i="223"/>
  <c r="G41" i="149"/>
  <c r="G41" i="223"/>
  <c r="F20" i="147"/>
  <c r="F20" i="222"/>
  <c r="K11" i="147"/>
  <c r="K11" i="222"/>
  <c r="I11" i="147"/>
  <c r="I11" i="222"/>
  <c r="G11" i="147"/>
  <c r="G11" i="222"/>
  <c r="C118" i="135"/>
  <c r="C118" i="219"/>
  <c r="C94" i="135"/>
  <c r="C94" i="219"/>
  <c r="E65" i="151"/>
  <c r="E65" i="224"/>
  <c r="F46" i="151"/>
  <c r="F46" i="224"/>
  <c r="E26" i="151"/>
  <c r="E26" i="224"/>
  <c r="F13" i="151"/>
  <c r="F13" i="224"/>
  <c r="D8" i="151"/>
  <c r="D8" i="224"/>
  <c r="K89" i="149"/>
  <c r="Q89" i="149" s="1"/>
  <c r="K89" i="223"/>
  <c r="Q89" i="223" s="1"/>
  <c r="H90" i="149"/>
  <c r="N90" i="149" s="1"/>
  <c r="H90" i="223"/>
  <c r="N90" i="223" s="1"/>
  <c r="F83" i="149"/>
  <c r="L83" i="149" s="1"/>
  <c r="F83" i="223"/>
  <c r="L83" i="223" s="1"/>
  <c r="K65" i="149"/>
  <c r="K65" i="223"/>
  <c r="I65" i="149"/>
  <c r="I65" i="223"/>
  <c r="G65" i="149"/>
  <c r="G65" i="223"/>
  <c r="K9" i="147"/>
  <c r="K9" i="222"/>
  <c r="I9" i="147"/>
  <c r="I9" i="222"/>
  <c r="C13" i="164"/>
  <c r="C13" i="229"/>
  <c r="D65" i="151"/>
  <c r="D65" i="224"/>
  <c r="E51" i="151"/>
  <c r="E51" i="224"/>
  <c r="D36" i="151"/>
  <c r="D36" i="224"/>
  <c r="D31" i="151"/>
  <c r="D31" i="224"/>
  <c r="F9" i="151"/>
  <c r="F9" i="224"/>
  <c r="K83" i="149"/>
  <c r="Q83" i="149" s="1"/>
  <c r="K83" i="223"/>
  <c r="Q83" i="223" s="1"/>
  <c r="H89" i="149"/>
  <c r="N89" i="149" s="1"/>
  <c r="H89" i="223"/>
  <c r="N89" i="223" s="1"/>
  <c r="I41" i="149"/>
  <c r="I41" i="223"/>
  <c r="K27" i="149"/>
  <c r="Q27" i="149" s="1"/>
  <c r="K27" i="223"/>
  <c r="Q27" i="223" s="1"/>
  <c r="I27" i="149"/>
  <c r="O27" i="149" s="1"/>
  <c r="I27" i="223"/>
  <c r="O27" i="223" s="1"/>
  <c r="G27" i="149"/>
  <c r="M27" i="149" s="1"/>
  <c r="G27" i="223"/>
  <c r="M27" i="223" s="1"/>
  <c r="F20" i="149"/>
  <c r="F20" i="223"/>
  <c r="J11" i="149"/>
  <c r="P11" i="149" s="1"/>
  <c r="J11" i="223"/>
  <c r="P11" i="223" s="1"/>
  <c r="H11" i="149"/>
  <c r="N11" i="149" s="1"/>
  <c r="H11" i="223"/>
  <c r="N11" i="223" s="1"/>
  <c r="F11" i="149"/>
  <c r="L11" i="149" s="1"/>
  <c r="F11" i="223"/>
  <c r="L11" i="223" s="1"/>
  <c r="J18" i="147"/>
  <c r="J18" i="222"/>
  <c r="Q18" i="222" s="1"/>
  <c r="G9" i="147"/>
  <c r="G9" i="222"/>
  <c r="D11" i="220"/>
  <c r="D27" i="220"/>
  <c r="D19" i="220"/>
  <c r="C12" i="165"/>
  <c r="C12" i="230"/>
  <c r="E50" i="151"/>
  <c r="E50" i="224"/>
  <c r="D30" i="151"/>
  <c r="D30" i="224"/>
  <c r="F8" i="151"/>
  <c r="F8" i="224"/>
  <c r="J90" i="149"/>
  <c r="P90" i="149" s="1"/>
  <c r="J90" i="223"/>
  <c r="P90" i="223" s="1"/>
  <c r="H83" i="149"/>
  <c r="N83" i="149" s="1"/>
  <c r="H83" i="223"/>
  <c r="N83" i="223" s="1"/>
  <c r="F41" i="149"/>
  <c r="F41" i="223"/>
  <c r="K25" i="149"/>
  <c r="K25" i="223"/>
  <c r="I25" i="149"/>
  <c r="I25" i="223"/>
  <c r="G25" i="149"/>
  <c r="G25" i="223"/>
  <c r="J9" i="149"/>
  <c r="J9" i="223"/>
  <c r="H9" i="149"/>
  <c r="H9" i="223"/>
  <c r="F9" i="149"/>
  <c r="F9" i="223"/>
  <c r="F18" i="147"/>
  <c r="F18" i="222"/>
  <c r="C13" i="158"/>
  <c r="C13" i="226"/>
  <c r="E46" i="151"/>
  <c r="E46" i="224"/>
  <c r="F31" i="151"/>
  <c r="I31" i="151" s="1"/>
  <c r="F31" i="224"/>
  <c r="I31" i="224" s="1"/>
  <c r="D26" i="151"/>
  <c r="D26" i="224"/>
  <c r="E13" i="151"/>
  <c r="E13" i="224"/>
  <c r="J89" i="149"/>
  <c r="P89" i="149" s="1"/>
  <c r="J89" i="223"/>
  <c r="P89" i="223" s="1"/>
  <c r="G90" i="149"/>
  <c r="M90" i="149" s="1"/>
  <c r="G90" i="223"/>
  <c r="M90" i="223" s="1"/>
  <c r="F76" i="149"/>
  <c r="F76" i="223"/>
  <c r="J67" i="149"/>
  <c r="J67" i="223"/>
  <c r="H67" i="149"/>
  <c r="H67" i="223"/>
  <c r="F67" i="149"/>
  <c r="F67" i="223"/>
  <c r="K41" i="149"/>
  <c r="K41" i="223"/>
  <c r="L11" i="147"/>
  <c r="L11" i="222"/>
  <c r="J11" i="147"/>
  <c r="J11" i="222"/>
  <c r="H11" i="147"/>
  <c r="H11" i="222"/>
  <c r="F17" i="147"/>
  <c r="F17" i="222"/>
  <c r="C125" i="135"/>
  <c r="C125" i="219"/>
  <c r="D94" i="135"/>
  <c r="D94" i="219"/>
  <c r="F65" i="151"/>
  <c r="F65" i="224"/>
  <c r="D51" i="151"/>
  <c r="D51" i="224"/>
  <c r="F30" i="151"/>
  <c r="I30" i="151" s="1"/>
  <c r="F30" i="224"/>
  <c r="I30" i="224" s="1"/>
  <c r="E9" i="151"/>
  <c r="E9" i="224"/>
  <c r="J83" i="149"/>
  <c r="P83" i="149" s="1"/>
  <c r="J83" i="223"/>
  <c r="P83" i="223" s="1"/>
  <c r="G89" i="149"/>
  <c r="M89" i="149" s="1"/>
  <c r="G89" i="223"/>
  <c r="M89" i="223" s="1"/>
  <c r="J65" i="149"/>
  <c r="J65" i="223"/>
  <c r="H65" i="149"/>
  <c r="H65" i="223"/>
  <c r="F65" i="149"/>
  <c r="F65" i="223"/>
  <c r="H41" i="149"/>
  <c r="H41" i="223"/>
  <c r="L9" i="147"/>
  <c r="L9" i="222"/>
  <c r="J9" i="147"/>
  <c r="J9" i="222"/>
  <c r="H9" i="147"/>
  <c r="H9" i="222"/>
  <c r="F11" i="147"/>
  <c r="F11" i="222"/>
  <c r="D12" i="165"/>
  <c r="D12" i="230"/>
  <c r="D22" i="156"/>
  <c r="D22" i="225"/>
  <c r="D50" i="151"/>
  <c r="D50" i="224"/>
  <c r="F26" i="151"/>
  <c r="F26" i="224"/>
  <c r="E8" i="151"/>
  <c r="E8" i="224"/>
  <c r="F92" i="149"/>
  <c r="F92" i="223"/>
  <c r="I90" i="149"/>
  <c r="O90" i="149" s="1"/>
  <c r="I90" i="223"/>
  <c r="O90" i="223" s="1"/>
  <c r="G83" i="149"/>
  <c r="M83" i="149" s="1"/>
  <c r="G83" i="223"/>
  <c r="M83" i="223" s="1"/>
  <c r="K74" i="149"/>
  <c r="K74" i="223"/>
  <c r="F36" i="149"/>
  <c r="F36" i="223"/>
  <c r="J27" i="149"/>
  <c r="P27" i="149" s="1"/>
  <c r="J27" i="223"/>
  <c r="P27" i="223" s="1"/>
  <c r="H27" i="149"/>
  <c r="N27" i="149" s="1"/>
  <c r="H27" i="223"/>
  <c r="N27" i="223" s="1"/>
  <c r="F27" i="149"/>
  <c r="L27" i="149" s="1"/>
  <c r="F27" i="223"/>
  <c r="L27" i="223" s="1"/>
  <c r="K11" i="149"/>
  <c r="Q11" i="149" s="1"/>
  <c r="K11" i="223"/>
  <c r="Q11" i="223" s="1"/>
  <c r="I11" i="149"/>
  <c r="O11" i="149" s="1"/>
  <c r="I11" i="223"/>
  <c r="O11" i="223" s="1"/>
  <c r="G11" i="149"/>
  <c r="M11" i="149" s="1"/>
  <c r="G11" i="223"/>
  <c r="M11" i="223" s="1"/>
  <c r="K18" i="147"/>
  <c r="K18" i="222"/>
  <c r="R18" i="222" s="1"/>
  <c r="G18" i="147"/>
  <c r="G18" i="222"/>
  <c r="F9" i="147"/>
  <c r="F9" i="222"/>
  <c r="I11" i="220"/>
  <c r="I27" i="220"/>
  <c r="I19" i="220"/>
  <c r="B11" i="141"/>
  <c r="B19" i="141" s="1"/>
  <c r="B11" i="220"/>
  <c r="I27" i="141"/>
  <c r="I19" i="141"/>
  <c r="I11" i="141"/>
  <c r="D19" i="141"/>
  <c r="D27" i="141"/>
  <c r="D11" i="141"/>
  <c r="D80" i="168"/>
  <c r="B80" i="168"/>
  <c r="S17" i="147"/>
  <c r="S18" i="147"/>
  <c r="F30" i="60" l="1"/>
  <c r="F100" i="60" s="1"/>
  <c r="D142" i="253"/>
  <c r="I12" i="60"/>
  <c r="P12" i="60" s="1"/>
  <c r="P19" i="60" s="1"/>
  <c r="K12" i="60"/>
  <c r="Q12" i="60" s="1"/>
  <c r="Q19" i="60" s="1"/>
  <c r="O20" i="60"/>
  <c r="S20" i="60" s="1"/>
  <c r="O12" i="60"/>
  <c r="S12" i="60" s="1"/>
  <c r="S19" i="60" s="1"/>
  <c r="M12" i="60"/>
  <c r="R12" i="60" s="1"/>
  <c r="R19" i="60" s="1"/>
  <c r="F31" i="60"/>
  <c r="J14" i="254"/>
  <c r="T18" i="222"/>
  <c r="U18" i="222" s="1"/>
  <c r="V18" i="222" s="1"/>
  <c r="T17" i="222"/>
  <c r="U17" i="222" s="1"/>
  <c r="V17" i="222" s="1"/>
  <c r="R17" i="147"/>
  <c r="P17" i="147"/>
  <c r="Q17" i="147"/>
  <c r="N17" i="147"/>
  <c r="M17" i="147"/>
  <c r="R18" i="147"/>
  <c r="Q74" i="223"/>
  <c r="R74" i="223" s="1"/>
  <c r="S74" i="223" s="1"/>
  <c r="R89" i="223"/>
  <c r="S89" i="223" s="1"/>
  <c r="R90" i="223"/>
  <c r="S90" i="223" s="1"/>
  <c r="Q73" i="223"/>
  <c r="R73" i="223" s="1"/>
  <c r="S73" i="223" s="1"/>
  <c r="Q18" i="147"/>
  <c r="P18" i="147"/>
  <c r="M18" i="147"/>
  <c r="N18" i="147"/>
  <c r="N10" i="147"/>
  <c r="R83" i="223"/>
  <c r="R89" i="149"/>
  <c r="S89" i="149" s="1"/>
  <c r="Q74" i="149"/>
  <c r="R74" i="149" s="1"/>
  <c r="S74" i="149" s="1"/>
  <c r="R90" i="149"/>
  <c r="S90" i="149" s="1"/>
  <c r="Q73" i="149"/>
  <c r="R73" i="149" s="1"/>
  <c r="S73" i="149" s="1"/>
  <c r="R83" i="149"/>
  <c r="D18" i="48"/>
  <c r="D40" i="48" s="1"/>
  <c r="E18" i="48"/>
  <c r="E40" i="48" s="1"/>
  <c r="H18" i="48"/>
  <c r="H40" i="48" s="1"/>
  <c r="C89" i="253"/>
  <c r="D89" i="253" s="1"/>
  <c r="K35" i="60"/>
  <c r="Q35" i="60" s="1"/>
  <c r="I35" i="60"/>
  <c r="P35" i="60" s="1"/>
  <c r="M35" i="60"/>
  <c r="R35" i="60" s="1"/>
  <c r="O35" i="60"/>
  <c r="S35" i="60" s="1"/>
  <c r="M34" i="60"/>
  <c r="R34" i="60" s="1"/>
  <c r="K34" i="60"/>
  <c r="Q34" i="60" s="1"/>
  <c r="I34" i="60"/>
  <c r="P34" i="60" s="1"/>
  <c r="O34" i="60"/>
  <c r="S34" i="60" s="1"/>
  <c r="M31" i="48"/>
  <c r="B27" i="141"/>
  <c r="B19" i="220"/>
  <c r="B27" i="220"/>
  <c r="M30" i="48"/>
  <c r="M31" i="211"/>
  <c r="M30" i="211"/>
  <c r="E18" i="147"/>
  <c r="E14" i="147"/>
  <c r="F18" i="48"/>
  <c r="F40" i="48" s="1"/>
  <c r="C10" i="48"/>
  <c r="C40" i="48" s="1"/>
  <c r="I18" i="48"/>
  <c r="I40" i="48" s="1"/>
  <c r="E17" i="147"/>
  <c r="G18" i="48"/>
  <c r="G40" i="48" s="1"/>
  <c r="C11" i="147"/>
  <c r="E16" i="147"/>
  <c r="E13" i="147"/>
  <c r="E15" i="147"/>
  <c r="C9" i="147"/>
  <c r="B9" i="147"/>
  <c r="E12" i="147"/>
  <c r="D11" i="147"/>
  <c r="B11" i="147"/>
  <c r="E10" i="147"/>
  <c r="D9" i="147"/>
  <c r="E264" i="44" l="1"/>
  <c r="D149" i="253"/>
  <c r="D144" i="253"/>
  <c r="F33" i="60"/>
  <c r="M33" i="60" s="1"/>
  <c r="R33" i="60" s="1"/>
  <c r="O17" i="147"/>
  <c r="O18" i="147"/>
  <c r="Q70" i="254"/>
  <c r="Q98" i="254"/>
  <c r="Q60" i="254"/>
  <c r="M100" i="60"/>
  <c r="R100" i="60" s="1"/>
  <c r="O100" i="60"/>
  <c r="S100" i="60" s="1"/>
  <c r="K100" i="60"/>
  <c r="Q100" i="60" s="1"/>
  <c r="I100" i="60"/>
  <c r="P100" i="60" s="1"/>
  <c r="F101" i="60"/>
  <c r="O31" i="60"/>
  <c r="S31" i="60" s="1"/>
  <c r="M31" i="60"/>
  <c r="R31" i="60" s="1"/>
  <c r="K31" i="60"/>
  <c r="Q31" i="60" s="1"/>
  <c r="I31" i="60"/>
  <c r="P31" i="60" s="1"/>
  <c r="K30" i="60"/>
  <c r="Q30" i="60" s="1"/>
  <c r="O30" i="60"/>
  <c r="S30" i="60" s="1"/>
  <c r="M30" i="60"/>
  <c r="R30" i="60" s="1"/>
  <c r="I30" i="60"/>
  <c r="P30" i="60" s="1"/>
  <c r="E9" i="147"/>
  <c r="E11" i="147"/>
  <c r="D203" i="253" l="1"/>
  <c r="D204" i="253" s="1"/>
  <c r="D154" i="253"/>
  <c r="D193" i="253"/>
  <c r="F32" i="60"/>
  <c r="O32" i="60" s="1"/>
  <c r="S32" i="60" s="1"/>
  <c r="T18" i="147"/>
  <c r="U18" i="147" s="1"/>
  <c r="V18" i="147" s="1"/>
  <c r="T17" i="147"/>
  <c r="U17" i="147" s="1"/>
  <c r="V17" i="147" s="1"/>
  <c r="O33" i="60"/>
  <c r="S33" i="60" s="1"/>
  <c r="T62" i="254"/>
  <c r="V62" i="254"/>
  <c r="U62" i="254"/>
  <c r="S62" i="254"/>
  <c r="V100" i="254"/>
  <c r="S72" i="254"/>
  <c r="U72" i="254"/>
  <c r="U100" i="254"/>
  <c r="T72" i="254"/>
  <c r="V72" i="254"/>
  <c r="T100" i="254"/>
  <c r="S100" i="254"/>
  <c r="K33" i="60"/>
  <c r="Q33" i="60" s="1"/>
  <c r="I33" i="60"/>
  <c r="P33" i="60" s="1"/>
  <c r="O101" i="60"/>
  <c r="S101" i="60" s="1"/>
  <c r="I101" i="60"/>
  <c r="P101" i="60" s="1"/>
  <c r="K101" i="60"/>
  <c r="Q101" i="60" s="1"/>
  <c r="M101" i="60"/>
  <c r="R101" i="60" s="1"/>
  <c r="F102" i="60"/>
  <c r="D15" i="144"/>
  <c r="E15" i="144"/>
  <c r="D16" i="144"/>
  <c r="E16" i="144"/>
  <c r="D195" i="253" l="1"/>
  <c r="D194" i="253"/>
  <c r="S40" i="60"/>
  <c r="S76" i="254"/>
  <c r="S73" i="254"/>
  <c r="S78" i="254"/>
  <c r="S77" i="254"/>
  <c r="S82" i="254"/>
  <c r="S83" i="254"/>
  <c r="S52" i="254" s="1"/>
  <c r="S80" i="254"/>
  <c r="S75" i="254"/>
  <c r="S79" i="254"/>
  <c r="S84" i="254"/>
  <c r="V104" i="254"/>
  <c r="V110" i="254"/>
  <c r="V103" i="254"/>
  <c r="V105" i="254"/>
  <c r="V111" i="254"/>
  <c r="V109" i="254"/>
  <c r="V106" i="254"/>
  <c r="V101" i="254"/>
  <c r="V107" i="254"/>
  <c r="S110" i="254"/>
  <c r="S105" i="254"/>
  <c r="S101" i="254"/>
  <c r="S104" i="254"/>
  <c r="S109" i="254"/>
  <c r="S107" i="254"/>
  <c r="S106" i="254"/>
  <c r="S111" i="254"/>
  <c r="S103" i="254"/>
  <c r="S63" i="254"/>
  <c r="S67" i="254"/>
  <c r="S66" i="254"/>
  <c r="S64" i="254"/>
  <c r="U79" i="254"/>
  <c r="U80" i="254"/>
  <c r="U78" i="254"/>
  <c r="U83" i="254"/>
  <c r="U52" i="254" s="1"/>
  <c r="U73" i="254"/>
  <c r="U75" i="254"/>
  <c r="U82" i="254"/>
  <c r="U76" i="254"/>
  <c r="U84" i="254"/>
  <c r="U77" i="254"/>
  <c r="T107" i="254"/>
  <c r="T103" i="254"/>
  <c r="T105" i="254"/>
  <c r="T111" i="254"/>
  <c r="T104" i="254"/>
  <c r="T109" i="254"/>
  <c r="T101" i="254"/>
  <c r="T106" i="254"/>
  <c r="T110" i="254"/>
  <c r="U66" i="254"/>
  <c r="U64" i="254"/>
  <c r="U67" i="254"/>
  <c r="U63" i="254"/>
  <c r="V77" i="254"/>
  <c r="V83" i="254"/>
  <c r="V52" i="254" s="1"/>
  <c r="V84" i="254"/>
  <c r="V79" i="254"/>
  <c r="V78" i="254"/>
  <c r="V73" i="254"/>
  <c r="V80" i="254"/>
  <c r="V82" i="254"/>
  <c r="V75" i="254"/>
  <c r="V76" i="254"/>
  <c r="V64" i="254"/>
  <c r="V67" i="254"/>
  <c r="V63" i="254"/>
  <c r="V66" i="254"/>
  <c r="T84" i="254"/>
  <c r="T54" i="254" s="1"/>
  <c r="T82" i="254"/>
  <c r="T78" i="254"/>
  <c r="T79" i="254"/>
  <c r="T77" i="254"/>
  <c r="T75" i="254"/>
  <c r="T76" i="254"/>
  <c r="T80" i="254"/>
  <c r="T73" i="254"/>
  <c r="T83" i="254"/>
  <c r="T52" i="254" s="1"/>
  <c r="AQ58" i="254" s="1"/>
  <c r="T64" i="254"/>
  <c r="T66" i="254"/>
  <c r="T67" i="254"/>
  <c r="T63" i="254"/>
  <c r="U111" i="254"/>
  <c r="U101" i="254"/>
  <c r="U105" i="254"/>
  <c r="U107" i="254"/>
  <c r="U104" i="254"/>
  <c r="U110" i="254"/>
  <c r="U106" i="254"/>
  <c r="U103" i="254"/>
  <c r="U109" i="254"/>
  <c r="I32" i="60"/>
  <c r="P32" i="60" s="1"/>
  <c r="P40" i="60" s="1"/>
  <c r="M32" i="60"/>
  <c r="R32" i="60" s="1"/>
  <c r="R40" i="60" s="1"/>
  <c r="K32" i="60"/>
  <c r="Q32" i="60" s="1"/>
  <c r="Q40" i="60" s="1"/>
  <c r="K102" i="60"/>
  <c r="Q102" i="60" s="1"/>
  <c r="Q113" i="60" s="1"/>
  <c r="O102" i="60"/>
  <c r="S102" i="60" s="1"/>
  <c r="M102" i="60"/>
  <c r="R102" i="60" s="1"/>
  <c r="I102" i="60"/>
  <c r="P102" i="60" s="1"/>
  <c r="P113" i="60" s="1"/>
  <c r="E7" i="144"/>
  <c r="AP58" i="254" l="1"/>
  <c r="K58" i="55"/>
  <c r="AA58" i="55" s="1"/>
  <c r="K58" i="56"/>
  <c r="AA58" i="56" s="1"/>
  <c r="I7" i="144"/>
  <c r="AF11" i="47" s="1"/>
  <c r="V51" i="254"/>
  <c r="AS57" i="254" s="1"/>
  <c r="R113" i="60"/>
  <c r="F9" i="61" s="1"/>
  <c r="D128" i="61" s="1"/>
  <c r="S113" i="60"/>
  <c r="G9" i="61" s="1"/>
  <c r="E128" i="61" s="1"/>
  <c r="T51" i="254"/>
  <c r="AQ57" i="254" s="1"/>
  <c r="V55" i="254"/>
  <c r="AS54" i="254" s="1"/>
  <c r="AS67" i="254" s="1"/>
  <c r="U55" i="254"/>
  <c r="AR54" i="254" s="1"/>
  <c r="AR65" i="254" s="1"/>
  <c r="T55" i="254"/>
  <c r="AQ54" i="254" s="1"/>
  <c r="AQ67" i="254" s="1"/>
  <c r="V54" i="254"/>
  <c r="S50" i="254"/>
  <c r="V50" i="254"/>
  <c r="AH58" i="255" s="1"/>
  <c r="G208" i="61" s="1"/>
  <c r="U51" i="254"/>
  <c r="U50" i="254"/>
  <c r="AH58" i="256" s="1"/>
  <c r="F208" i="61" s="1"/>
  <c r="AR58" i="254"/>
  <c r="K67" i="256"/>
  <c r="F67" i="256" s="1"/>
  <c r="R83" i="60" s="1"/>
  <c r="K71" i="256"/>
  <c r="F71" i="256" s="1"/>
  <c r="R79" i="60" s="1"/>
  <c r="K62" i="256"/>
  <c r="K75" i="256"/>
  <c r="F75" i="256" s="1"/>
  <c r="S51" i="254"/>
  <c r="I27" i="55" s="1"/>
  <c r="T50" i="254"/>
  <c r="AS58" i="254"/>
  <c r="K62" i="255"/>
  <c r="K67" i="255"/>
  <c r="F67" i="255" s="1"/>
  <c r="S83" i="60" s="1"/>
  <c r="K75" i="255"/>
  <c r="F75" i="255" s="1"/>
  <c r="K71" i="255"/>
  <c r="F71" i="255" s="1"/>
  <c r="S79" i="60" s="1"/>
  <c r="S54" i="254"/>
  <c r="U54" i="254"/>
  <c r="S55" i="254"/>
  <c r="AP54" i="254" s="1"/>
  <c r="E9" i="61"/>
  <c r="E126" i="61" s="1"/>
  <c r="D9" i="61"/>
  <c r="D126" i="61" s="1"/>
  <c r="J175" i="63"/>
  <c r="I175" i="63"/>
  <c r="D175" i="63"/>
  <c r="D8" i="141" s="1"/>
  <c r="AH58" i="55" l="1"/>
  <c r="AH58" i="56"/>
  <c r="AP57" i="254"/>
  <c r="I27" i="56"/>
  <c r="AF24" i="47"/>
  <c r="AG11" i="47"/>
  <c r="I27" i="255"/>
  <c r="R27" i="255" s="1"/>
  <c r="R81" i="255" s="1"/>
  <c r="AS66" i="254"/>
  <c r="AS64" i="254"/>
  <c r="AS65" i="254"/>
  <c r="AQ64" i="254"/>
  <c r="AQ65" i="254"/>
  <c r="AR66" i="254"/>
  <c r="AR67" i="254"/>
  <c r="AQ66" i="254"/>
  <c r="AR64" i="254"/>
  <c r="AR57" i="254"/>
  <c r="I27" i="256"/>
  <c r="AV12" i="254"/>
  <c r="AG58" i="256"/>
  <c r="AI58" i="256"/>
  <c r="AW12" i="254"/>
  <c r="AI58" i="255"/>
  <c r="AG58" i="255"/>
  <c r="F62" i="255"/>
  <c r="K81" i="255"/>
  <c r="K81" i="256"/>
  <c r="F62" i="256"/>
  <c r="AP67" i="254"/>
  <c r="AP64" i="254"/>
  <c r="AP65" i="254"/>
  <c r="AP66" i="254"/>
  <c r="D16" i="141"/>
  <c r="D24" i="141"/>
  <c r="D8" i="220"/>
  <c r="D24" i="220"/>
  <c r="D16" i="220"/>
  <c r="R27" i="55" l="1"/>
  <c r="T27" i="55"/>
  <c r="S27" i="55"/>
  <c r="W27" i="55"/>
  <c r="R27" i="56"/>
  <c r="S27" i="56"/>
  <c r="W27" i="56"/>
  <c r="T27" i="56"/>
  <c r="AI58" i="56"/>
  <c r="AI58" i="55"/>
  <c r="I81" i="255"/>
  <c r="I82" i="255" s="1"/>
  <c r="S27" i="255"/>
  <c r="S81" i="255" s="1"/>
  <c r="S84" i="255" s="1"/>
  <c r="W27" i="255"/>
  <c r="W81" i="255" s="1"/>
  <c r="W82" i="255" s="1"/>
  <c r="T27" i="255"/>
  <c r="T81" i="255" s="1"/>
  <c r="T82" i="255" s="1"/>
  <c r="S75" i="60"/>
  <c r="F81" i="255"/>
  <c r="F82" i="255" s="1"/>
  <c r="AJ58" i="255"/>
  <c r="AI60" i="255"/>
  <c r="AJ60" i="255" s="1"/>
  <c r="AJ58" i="256"/>
  <c r="AI60" i="256"/>
  <c r="AJ60" i="256" s="1"/>
  <c r="R75" i="60"/>
  <c r="F81" i="256"/>
  <c r="F82" i="256" s="1"/>
  <c r="S27" i="256"/>
  <c r="S81" i="256" s="1"/>
  <c r="R27" i="256"/>
  <c r="R81" i="256" s="1"/>
  <c r="T27" i="256"/>
  <c r="T81" i="256" s="1"/>
  <c r="W27" i="256"/>
  <c r="W81" i="256" s="1"/>
  <c r="W82" i="256" s="1"/>
  <c r="I81" i="256"/>
  <c r="I82" i="256" s="1"/>
  <c r="R84" i="255"/>
  <c r="R82" i="255"/>
  <c r="AA27" i="56" l="1"/>
  <c r="AJ58" i="55"/>
  <c r="AI60" i="55"/>
  <c r="AJ60" i="55" s="1"/>
  <c r="AJ58" i="56"/>
  <c r="AI60" i="56"/>
  <c r="AJ60" i="56" s="1"/>
  <c r="AA27" i="55"/>
  <c r="AA84" i="255"/>
  <c r="S82" i="255"/>
  <c r="AA27" i="255"/>
  <c r="T84" i="255"/>
  <c r="AI81" i="255"/>
  <c r="R85" i="60"/>
  <c r="R89" i="60" s="1"/>
  <c r="S85" i="60"/>
  <c r="S89" i="60" s="1"/>
  <c r="I48" i="63"/>
  <c r="I44" i="63"/>
  <c r="I39" i="63"/>
  <c r="I35" i="63"/>
  <c r="I31" i="63"/>
  <c r="I27" i="63"/>
  <c r="I108" i="63"/>
  <c r="I104" i="63"/>
  <c r="I99" i="63"/>
  <c r="AR60" i="256"/>
  <c r="AR81" i="256" s="1"/>
  <c r="AM60" i="256"/>
  <c r="AM81" i="256" s="1"/>
  <c r="AO60" i="256"/>
  <c r="AO81" i="256" s="1"/>
  <c r="AQ60" i="256"/>
  <c r="AQ81" i="256" s="1"/>
  <c r="AN60" i="256"/>
  <c r="AN81" i="256" s="1"/>
  <c r="AL60" i="256"/>
  <c r="AJ81" i="256"/>
  <c r="S82" i="256"/>
  <c r="S84" i="256"/>
  <c r="I45" i="63"/>
  <c r="I40" i="63"/>
  <c r="I36" i="63"/>
  <c r="I32" i="63"/>
  <c r="I28" i="63"/>
  <c r="I109" i="63"/>
  <c r="AR60" i="255"/>
  <c r="AR81" i="255" s="1"/>
  <c r="AN60" i="255"/>
  <c r="AN81" i="255" s="1"/>
  <c r="AL60" i="255"/>
  <c r="AO60" i="255"/>
  <c r="AO81" i="255" s="1"/>
  <c r="AM60" i="255"/>
  <c r="AM81" i="255" s="1"/>
  <c r="AQ60" i="255"/>
  <c r="AQ81" i="255" s="1"/>
  <c r="AA27" i="256"/>
  <c r="AJ81" i="255"/>
  <c r="I47" i="63"/>
  <c r="I38" i="63"/>
  <c r="I34" i="63"/>
  <c r="I30" i="63"/>
  <c r="I26" i="63"/>
  <c r="I107" i="63"/>
  <c r="I103" i="63"/>
  <c r="I98" i="63"/>
  <c r="I94" i="63"/>
  <c r="T82" i="256"/>
  <c r="T84" i="256"/>
  <c r="R82" i="256"/>
  <c r="R84" i="256"/>
  <c r="AA84" i="256"/>
  <c r="AI81" i="256"/>
  <c r="I105" i="63"/>
  <c r="I43" i="63"/>
  <c r="I100" i="63"/>
  <c r="I96" i="63"/>
  <c r="I95" i="63"/>
  <c r="I46" i="63"/>
  <c r="I41" i="63"/>
  <c r="I37" i="63"/>
  <c r="I33" i="63"/>
  <c r="I29" i="63"/>
  <c r="I110" i="63"/>
  <c r="I106" i="63"/>
  <c r="I101" i="63"/>
  <c r="I97" i="63"/>
  <c r="C37" i="133"/>
  <c r="C36" i="133"/>
  <c r="C35" i="133"/>
  <c r="C34" i="133"/>
  <c r="E34" i="133" s="1"/>
  <c r="C33" i="133"/>
  <c r="E33" i="133" s="1"/>
  <c r="C32" i="133"/>
  <c r="D32" i="133"/>
  <c r="D33" i="133"/>
  <c r="D34" i="133"/>
  <c r="D35" i="133"/>
  <c r="D36" i="133"/>
  <c r="D37" i="133"/>
  <c r="AL60" i="56" l="1"/>
  <c r="AR60" i="56"/>
  <c r="AQ60" i="56"/>
  <c r="AO60" i="56"/>
  <c r="AN60" i="56"/>
  <c r="AM60" i="56"/>
  <c r="AM60" i="55"/>
  <c r="AO60" i="55"/>
  <c r="AN60" i="55"/>
  <c r="AQ60" i="55"/>
  <c r="AL60" i="55"/>
  <c r="AR60" i="55"/>
  <c r="E37" i="133"/>
  <c r="E32" i="133"/>
  <c r="E36" i="133"/>
  <c r="E35" i="133"/>
  <c r="G8" i="61"/>
  <c r="E153" i="61" s="1"/>
  <c r="F8" i="61"/>
  <c r="D153" i="61" s="1"/>
  <c r="AK60" i="256"/>
  <c r="AL81" i="256"/>
  <c r="AK60" i="255"/>
  <c r="AL81" i="255"/>
  <c r="C38" i="133"/>
  <c r="AK60" i="55" l="1"/>
  <c r="AK60" i="56"/>
  <c r="E38" i="133"/>
  <c r="J23" i="133" s="1"/>
  <c r="D12" i="135"/>
  <c r="E12" i="135" s="1"/>
  <c r="D13" i="135"/>
  <c r="E13" i="135" s="1"/>
  <c r="B31" i="135"/>
  <c r="C31" i="135" s="1"/>
  <c r="E31" i="135" s="1"/>
  <c r="B32" i="135"/>
  <c r="C32" i="135" s="1"/>
  <c r="E32" i="135" s="1"/>
  <c r="B33" i="135"/>
  <c r="C33" i="135" s="1"/>
  <c r="E33" i="135" s="1"/>
  <c r="B34" i="135"/>
  <c r="C34" i="135" s="1"/>
  <c r="B35" i="135"/>
  <c r="C35" i="135" s="1"/>
  <c r="E35" i="135" s="1"/>
  <c r="B36" i="135"/>
  <c r="C36" i="135" s="1"/>
  <c r="E36" i="135" s="1"/>
  <c r="B37" i="135"/>
  <c r="C37" i="135" s="1"/>
  <c r="E37" i="135" s="1"/>
  <c r="B38" i="135"/>
  <c r="C38" i="135" s="1"/>
  <c r="B39" i="135"/>
  <c r="C39" i="135" s="1"/>
  <c r="E39" i="135" s="1"/>
  <c r="I39" i="135" s="1"/>
  <c r="B40" i="135"/>
  <c r="C40" i="135" s="1"/>
  <c r="E40" i="135" s="1"/>
  <c r="B41" i="135"/>
  <c r="C41" i="135" s="1"/>
  <c r="E41" i="135" s="1"/>
  <c r="G41" i="135"/>
  <c r="B42" i="135"/>
  <c r="C42" i="135" s="1"/>
  <c r="E42" i="135" s="1"/>
  <c r="B43" i="135"/>
  <c r="C43" i="135" s="1"/>
  <c r="E43" i="135" s="1"/>
  <c r="B44" i="135"/>
  <c r="C44" i="135" s="1"/>
  <c r="E44" i="135" s="1"/>
  <c r="B45" i="135"/>
  <c r="C45" i="135" s="1"/>
  <c r="E45" i="135" s="1"/>
  <c r="B46" i="135"/>
  <c r="C46" i="135" s="1"/>
  <c r="E46" i="135" s="1"/>
  <c r="G46" i="135"/>
  <c r="C47" i="135"/>
  <c r="E47" i="135" s="1"/>
  <c r="D74" i="135"/>
  <c r="D75" i="135"/>
  <c r="D99" i="135"/>
  <c r="D100" i="135"/>
  <c r="D101" i="135"/>
  <c r="D102" i="135"/>
  <c r="D103" i="135"/>
  <c r="D104" i="135"/>
  <c r="E34" i="135" l="1"/>
  <c r="N34" i="135" s="1"/>
  <c r="E38" i="135"/>
  <c r="K39" i="135"/>
  <c r="N41" i="135"/>
  <c r="O49" i="135"/>
  <c r="O50" i="135" s="1"/>
  <c r="B16" i="135" s="1"/>
  <c r="N39" i="135"/>
  <c r="N43" i="135"/>
  <c r="N35" i="135"/>
  <c r="N31" i="135"/>
  <c r="N47" i="135"/>
  <c r="B10" i="135"/>
  <c r="D105" i="135"/>
  <c r="D18" i="135" s="1"/>
  <c r="B105" i="135"/>
  <c r="N46" i="135"/>
  <c r="N33" i="135"/>
  <c r="N37" i="135"/>
  <c r="N45" i="135"/>
  <c r="N32" i="135"/>
  <c r="N44" i="135"/>
  <c r="N42" i="135"/>
  <c r="N40" i="135"/>
  <c r="N36" i="135"/>
  <c r="D11" i="135"/>
  <c r="C83" i="135"/>
  <c r="N38" i="135" l="1"/>
  <c r="O39" i="135"/>
  <c r="P39" i="135" s="1"/>
  <c r="E18" i="135"/>
  <c r="Z13" i="47"/>
  <c r="AE13" i="47" s="1"/>
  <c r="AG13" i="47" s="1"/>
  <c r="D16" i="135"/>
  <c r="E16" i="135" s="1"/>
  <c r="Y14" i="47"/>
  <c r="AE14" i="47" s="1"/>
  <c r="AG14" i="47" s="1"/>
  <c r="D10" i="135"/>
  <c r="E11" i="135"/>
  <c r="E10" i="135" l="1"/>
  <c r="Z17" i="47"/>
  <c r="D182" i="253" s="1"/>
  <c r="S5" i="134"/>
  <c r="S6" i="134"/>
  <c r="S8" i="134"/>
  <c r="S9" i="134"/>
  <c r="E7" i="133"/>
  <c r="R10" i="134"/>
  <c r="E14" i="133"/>
  <c r="E15" i="133"/>
  <c r="E16" i="133"/>
  <c r="E17" i="133"/>
  <c r="E18" i="133"/>
  <c r="E19" i="133"/>
  <c r="E20" i="133"/>
  <c r="E21" i="133"/>
  <c r="E22" i="133"/>
  <c r="I23" i="133"/>
  <c r="J43" i="63"/>
  <c r="J44" i="63"/>
  <c r="J45" i="63"/>
  <c r="J46" i="63"/>
  <c r="J47" i="63"/>
  <c r="J48" i="63"/>
  <c r="M21" i="60" l="1"/>
  <c r="R21" i="60" s="1"/>
  <c r="O21" i="60"/>
  <c r="S21" i="60" s="1"/>
  <c r="K21" i="60"/>
  <c r="Q21" i="60" s="1"/>
  <c r="I21" i="60"/>
  <c r="P21" i="60" s="1"/>
  <c r="AE17" i="47"/>
  <c r="AG17" i="47" s="1"/>
  <c r="E13" i="133"/>
  <c r="E11" i="133"/>
  <c r="E10" i="133"/>
  <c r="E8" i="133"/>
  <c r="D48" i="63"/>
  <c r="D47" i="63"/>
  <c r="D46" i="63"/>
  <c r="D45" i="63"/>
  <c r="D44" i="63"/>
  <c r="D43" i="63"/>
  <c r="R9" i="134"/>
  <c r="T9" i="134" s="1"/>
  <c r="E12" i="133"/>
  <c r="R6" i="134"/>
  <c r="T6" i="134" s="1"/>
  <c r="E9" i="133"/>
  <c r="R7" i="134"/>
  <c r="T7" i="134" s="1"/>
  <c r="T10" i="134"/>
  <c r="R5" i="134"/>
  <c r="T5" i="134" s="1"/>
  <c r="R8" i="134"/>
  <c r="T8" i="134" s="1"/>
  <c r="C24" i="133"/>
  <c r="P29" i="60" l="1"/>
  <c r="P41" i="60" s="1"/>
  <c r="Q29" i="60"/>
  <c r="Q41" i="60" s="1"/>
  <c r="R29" i="60"/>
  <c r="R41" i="60" s="1"/>
  <c r="S29" i="60"/>
  <c r="S41" i="60" s="1"/>
  <c r="J30" i="63"/>
  <c r="F27" i="133"/>
  <c r="G8" i="133"/>
  <c r="G9" i="133"/>
  <c r="G10" i="133"/>
  <c r="G21" i="133"/>
  <c r="G27" i="133"/>
  <c r="H54" i="135"/>
  <c r="I115" i="63"/>
  <c r="J115" i="63"/>
  <c r="E76" i="135"/>
  <c r="F76" i="135" s="1"/>
  <c r="E77" i="135"/>
  <c r="F77" i="135" s="1"/>
  <c r="E78" i="135"/>
  <c r="F78" i="135" s="1"/>
  <c r="J136" i="63"/>
  <c r="I144" i="63"/>
  <c r="I180" i="63"/>
  <c r="I200" i="63"/>
  <c r="J210" i="63"/>
  <c r="I217" i="63"/>
  <c r="I229" i="63"/>
  <c r="I244" i="63"/>
  <c r="J250" i="63"/>
  <c r="I257" i="63"/>
  <c r="I275" i="63"/>
  <c r="I290" i="63"/>
  <c r="I303" i="63"/>
  <c r="I315" i="63"/>
  <c r="I334" i="63"/>
  <c r="I347" i="63"/>
  <c r="I786" i="63"/>
  <c r="I817" i="63"/>
  <c r="I883" i="63"/>
  <c r="I914" i="63"/>
  <c r="I945" i="63"/>
  <c r="I980" i="63"/>
  <c r="J981" i="63"/>
  <c r="I1011" i="63"/>
  <c r="J1012" i="63"/>
  <c r="I1042" i="63"/>
  <c r="J1043" i="63"/>
  <c r="J54" i="63" l="1"/>
  <c r="I67" i="63"/>
  <c r="I59" i="63"/>
  <c r="J1398" i="63"/>
  <c r="I1393" i="63"/>
  <c r="J1390" i="63"/>
  <c r="I1259" i="63"/>
  <c r="J1250" i="63"/>
  <c r="I1245" i="63"/>
  <c r="J1242" i="63"/>
  <c r="I1237" i="63"/>
  <c r="J1234" i="63"/>
  <c r="I1229" i="63"/>
  <c r="J1226" i="63"/>
  <c r="J1035" i="63"/>
  <c r="I1030" i="63"/>
  <c r="J1027" i="63"/>
  <c r="I1022" i="63"/>
  <c r="J1019" i="63"/>
  <c r="I1014" i="63"/>
  <c r="J1010" i="63"/>
  <c r="I1005" i="63"/>
  <c r="J1002" i="63"/>
  <c r="I997" i="63"/>
  <c r="J994" i="63"/>
  <c r="I989" i="63"/>
  <c r="J986" i="63"/>
  <c r="J980" i="63"/>
  <c r="J977" i="63"/>
  <c r="I972" i="63"/>
  <c r="J969" i="63"/>
  <c r="I964" i="63"/>
  <c r="J961" i="63"/>
  <c r="I956" i="63"/>
  <c r="J953" i="63"/>
  <c r="I943" i="63"/>
  <c r="J940" i="63"/>
  <c r="I935" i="63"/>
  <c r="J932" i="63"/>
  <c r="I927" i="63"/>
  <c r="J924" i="63"/>
  <c r="I919" i="63"/>
  <c r="J916" i="63"/>
  <c r="I910" i="63"/>
  <c r="J907" i="63"/>
  <c r="I902" i="63"/>
  <c r="J899" i="63"/>
  <c r="I894" i="63"/>
  <c r="J891" i="63"/>
  <c r="I886" i="63"/>
  <c r="J882" i="63"/>
  <c r="I877" i="63"/>
  <c r="J874" i="63"/>
  <c r="I869" i="63"/>
  <c r="J866" i="63"/>
  <c r="I861" i="63"/>
  <c r="J858" i="63"/>
  <c r="J848" i="63"/>
  <c r="I843" i="63"/>
  <c r="J840" i="63"/>
  <c r="I835" i="63"/>
  <c r="J832" i="63"/>
  <c r="I827" i="63"/>
  <c r="J824" i="63"/>
  <c r="I819" i="63"/>
  <c r="J815" i="63"/>
  <c r="I810" i="63"/>
  <c r="J807" i="63"/>
  <c r="I802" i="63"/>
  <c r="J799" i="63"/>
  <c r="I794" i="63"/>
  <c r="J791" i="63"/>
  <c r="I782" i="63"/>
  <c r="J779" i="63"/>
  <c r="I774" i="63"/>
  <c r="J771" i="63"/>
  <c r="I766" i="63"/>
  <c r="J763" i="63"/>
  <c r="I758" i="63"/>
  <c r="J749" i="63"/>
  <c r="I744" i="63"/>
  <c r="J735" i="63"/>
  <c r="I730" i="63"/>
  <c r="I713" i="63"/>
  <c r="J709" i="63"/>
  <c r="I697" i="63"/>
  <c r="J691" i="63"/>
  <c r="I683" i="63"/>
  <c r="J675" i="63"/>
  <c r="I667" i="63"/>
  <c r="J662" i="63"/>
  <c r="I654" i="63"/>
  <c r="J645" i="63"/>
  <c r="I637" i="63"/>
  <c r="J631" i="63"/>
  <c r="I616" i="63"/>
  <c r="J612" i="63"/>
  <c r="I605" i="63"/>
  <c r="I594" i="63"/>
  <c r="J588" i="63"/>
  <c r="I582" i="63"/>
  <c r="J577" i="63"/>
  <c r="I571" i="63"/>
  <c r="J566" i="63"/>
  <c r="I554" i="63"/>
  <c r="J551" i="63"/>
  <c r="I542" i="63"/>
  <c r="J538" i="63"/>
  <c r="I530" i="63"/>
  <c r="I514" i="63"/>
  <c r="I502" i="63"/>
  <c r="J498" i="63"/>
  <c r="I487" i="63"/>
  <c r="I238" i="63"/>
  <c r="I169" i="63"/>
  <c r="I137" i="63"/>
  <c r="I129" i="63"/>
  <c r="J126" i="63"/>
  <c r="I121" i="63"/>
  <c r="I1383" i="63"/>
  <c r="J1374" i="63"/>
  <c r="I1361" i="63"/>
  <c r="J1358" i="63"/>
  <c r="I1353" i="63"/>
  <c r="J1350" i="63"/>
  <c r="I1345" i="63"/>
  <c r="J1342" i="63"/>
  <c r="I1329" i="63"/>
  <c r="J1322" i="63"/>
  <c r="I1309" i="63"/>
  <c r="J1300" i="63"/>
  <c r="I1288" i="63"/>
  <c r="J1284" i="63"/>
  <c r="I1269" i="63"/>
  <c r="J1265" i="63"/>
  <c r="J484" i="63"/>
  <c r="I478" i="63"/>
  <c r="J65" i="63"/>
  <c r="I1221" i="63"/>
  <c r="J1218" i="63"/>
  <c r="I1213" i="63"/>
  <c r="J1210" i="63"/>
  <c r="I1205" i="63"/>
  <c r="J1201" i="63"/>
  <c r="I1196" i="63"/>
  <c r="J1193" i="63"/>
  <c r="I1188" i="63"/>
  <c r="J1185" i="63"/>
  <c r="I1180" i="63"/>
  <c r="J1177" i="63"/>
  <c r="I1172" i="63"/>
  <c r="J1169" i="63"/>
  <c r="I1164" i="63"/>
  <c r="J1161" i="63"/>
  <c r="I1156" i="63"/>
  <c r="J1152" i="63"/>
  <c r="I1147" i="63"/>
  <c r="J1144" i="63"/>
  <c r="I1139" i="63"/>
  <c r="J1132" i="63"/>
  <c r="I1127" i="63"/>
  <c r="J1124" i="63"/>
  <c r="I1119" i="63"/>
  <c r="J1115" i="63"/>
  <c r="I1110" i="63"/>
  <c r="J1107" i="63"/>
  <c r="I1102" i="63"/>
  <c r="J1098" i="63"/>
  <c r="I1093" i="63"/>
  <c r="J1086" i="63"/>
  <c r="I1081" i="63"/>
  <c r="J1077" i="63"/>
  <c r="I1072" i="63"/>
  <c r="J1069" i="63"/>
  <c r="I1063" i="63"/>
  <c r="J1059" i="63"/>
  <c r="I1053" i="63"/>
  <c r="J1050" i="63"/>
  <c r="I1038" i="63"/>
  <c r="J474" i="63"/>
  <c r="I468" i="63"/>
  <c r="J464" i="63"/>
  <c r="I458" i="63"/>
  <c r="J454" i="63"/>
  <c r="I448" i="63"/>
  <c r="I438" i="63"/>
  <c r="I428" i="63"/>
  <c r="I419" i="63"/>
  <c r="J415" i="63"/>
  <c r="I409" i="63"/>
  <c r="I399" i="63"/>
  <c r="I380" i="63"/>
  <c r="I368" i="63"/>
  <c r="I356" i="63"/>
  <c r="I340" i="63"/>
  <c r="I324" i="63"/>
  <c r="I312" i="63"/>
  <c r="I296" i="63"/>
  <c r="I284" i="63"/>
  <c r="I272" i="63"/>
  <c r="I250" i="63"/>
  <c r="J247" i="63"/>
  <c r="I1404" i="63"/>
  <c r="J1397" i="63"/>
  <c r="I1392" i="63"/>
  <c r="J1389" i="63"/>
  <c r="I1380" i="63"/>
  <c r="J1373" i="63"/>
  <c r="I1360" i="63"/>
  <c r="J1357" i="63"/>
  <c r="I1352" i="63"/>
  <c r="J1349" i="63"/>
  <c r="I1344" i="63"/>
  <c r="J1341" i="63"/>
  <c r="I1328" i="63"/>
  <c r="J1315" i="63"/>
  <c r="I1303" i="63"/>
  <c r="J1293" i="63"/>
  <c r="I1287" i="63"/>
  <c r="J1283" i="63"/>
  <c r="I1268" i="63"/>
  <c r="J1264" i="63"/>
  <c r="I1252" i="63"/>
  <c r="J1249" i="63"/>
  <c r="I1244" i="63"/>
  <c r="J1241" i="63"/>
  <c r="I1236" i="63"/>
  <c r="J1233" i="63"/>
  <c r="I1228" i="63"/>
  <c r="J1225" i="63"/>
  <c r="I1220" i="63"/>
  <c r="J1217" i="63"/>
  <c r="I1212" i="63"/>
  <c r="J1209" i="63"/>
  <c r="I1203" i="63"/>
  <c r="J1200" i="63"/>
  <c r="I1195" i="63"/>
  <c r="J1192" i="63"/>
  <c r="I1187" i="63"/>
  <c r="J1184" i="63"/>
  <c r="I1179" i="63"/>
  <c r="J1176" i="63"/>
  <c r="I1171" i="63"/>
  <c r="J1168" i="63"/>
  <c r="I1163" i="63"/>
  <c r="J1160" i="63"/>
  <c r="I1154" i="63"/>
  <c r="J1151" i="63"/>
  <c r="I1146" i="63"/>
  <c r="J1143" i="63"/>
  <c r="I1134" i="63"/>
  <c r="J1131" i="63"/>
  <c r="I1126" i="63"/>
  <c r="J1123" i="63"/>
  <c r="I1117" i="63"/>
  <c r="J1114" i="63"/>
  <c r="I1109" i="63"/>
  <c r="J1106" i="63"/>
  <c r="I1100" i="63"/>
  <c r="J1097" i="63"/>
  <c r="I1088" i="63"/>
  <c r="J1085" i="63"/>
  <c r="I1080" i="63"/>
  <c r="J1076" i="63"/>
  <c r="I1071" i="63"/>
  <c r="J1068" i="63"/>
  <c r="I1062" i="63"/>
  <c r="J1058" i="63"/>
  <c r="I1052" i="63"/>
  <c r="I1037" i="63"/>
  <c r="J1034" i="63"/>
  <c r="J1026" i="63"/>
  <c r="I1021" i="63"/>
  <c r="J1018" i="63"/>
  <c r="I1013" i="63"/>
  <c r="J1009" i="63"/>
  <c r="I1004" i="63"/>
  <c r="J1001" i="63"/>
  <c r="I996" i="63"/>
  <c r="J993" i="63"/>
  <c r="I988" i="63"/>
  <c r="J985" i="63"/>
  <c r="I979" i="63"/>
  <c r="J976" i="63"/>
  <c r="I971" i="63"/>
  <c r="J968" i="63"/>
  <c r="I963" i="63"/>
  <c r="J960" i="63"/>
  <c r="I955" i="63"/>
  <c r="J952" i="63"/>
  <c r="I942" i="63"/>
  <c r="J939" i="63"/>
  <c r="I934" i="63"/>
  <c r="J931" i="63"/>
  <c r="I926" i="63"/>
  <c r="J923" i="63"/>
  <c r="I918" i="63"/>
  <c r="I909" i="63"/>
  <c r="J906" i="63"/>
  <c r="I901" i="63"/>
  <c r="J898" i="63"/>
  <c r="I893" i="63"/>
  <c r="J890" i="63"/>
  <c r="I885" i="63"/>
  <c r="J881" i="63"/>
  <c r="I876" i="63"/>
  <c r="J873" i="63"/>
  <c r="I868" i="63"/>
  <c r="J865" i="63"/>
  <c r="I860" i="63"/>
  <c r="J857" i="63"/>
  <c r="J847" i="63"/>
  <c r="I842" i="63"/>
  <c r="J839" i="63"/>
  <c r="I834" i="63"/>
  <c r="J831" i="63"/>
  <c r="I826" i="63"/>
  <c r="J823" i="63"/>
  <c r="J817" i="63"/>
  <c r="J814" i="63"/>
  <c r="I809" i="63"/>
  <c r="J806" i="63"/>
  <c r="I801" i="63"/>
  <c r="J798" i="63"/>
  <c r="I793" i="63"/>
  <c r="J790" i="63"/>
  <c r="I781" i="63"/>
  <c r="J778" i="63"/>
  <c r="I773" i="63"/>
  <c r="J770" i="63"/>
  <c r="I765" i="63"/>
  <c r="J762" i="63"/>
  <c r="I757" i="63"/>
  <c r="J748" i="63"/>
  <c r="I743" i="63"/>
  <c r="I729" i="63"/>
  <c r="J725" i="63"/>
  <c r="I712" i="63"/>
  <c r="J703" i="63"/>
  <c r="I695" i="63"/>
  <c r="J690" i="63"/>
  <c r="I682" i="63"/>
  <c r="J674" i="63"/>
  <c r="I666" i="63"/>
  <c r="I653" i="63"/>
  <c r="J644" i="63"/>
  <c r="I636" i="63"/>
  <c r="J630" i="63"/>
  <c r="I615" i="63"/>
  <c r="J611" i="63"/>
  <c r="I604" i="63"/>
  <c r="J598" i="63"/>
  <c r="I592" i="63"/>
  <c r="J587" i="63"/>
  <c r="I581" i="63"/>
  <c r="J576" i="63"/>
  <c r="I568" i="63"/>
  <c r="J565" i="63"/>
  <c r="I553" i="63"/>
  <c r="J550" i="63"/>
  <c r="I541" i="63"/>
  <c r="I528" i="63"/>
  <c r="I513" i="63"/>
  <c r="I501" i="63"/>
  <c r="J492" i="63"/>
  <c r="I486" i="63"/>
  <c r="J483" i="63"/>
  <c r="I476" i="63"/>
  <c r="J473" i="63"/>
  <c r="I467" i="63"/>
  <c r="J463" i="63"/>
  <c r="I457" i="63"/>
  <c r="J453" i="63"/>
  <c r="I447" i="63"/>
  <c r="I437" i="63"/>
  <c r="J433" i="63"/>
  <c r="I427" i="63"/>
  <c r="I417" i="63"/>
  <c r="J414" i="63"/>
  <c r="I407" i="63"/>
  <c r="I398" i="63"/>
  <c r="I379" i="63"/>
  <c r="I367" i="63"/>
  <c r="I354" i="63"/>
  <c r="I339" i="63"/>
  <c r="I323" i="63"/>
  <c r="I310" i="63"/>
  <c r="I295" i="63"/>
  <c r="I283" i="63"/>
  <c r="I270" i="63"/>
  <c r="I249" i="63"/>
  <c r="I237" i="63"/>
  <c r="I224" i="63"/>
  <c r="I60" i="63"/>
  <c r="I412" i="63"/>
  <c r="I403" i="63"/>
  <c r="J399" i="63"/>
  <c r="I387" i="63"/>
  <c r="I374" i="63"/>
  <c r="I359" i="63"/>
  <c r="J437" i="63"/>
  <c r="I431" i="63"/>
  <c r="J427" i="63"/>
  <c r="I421" i="63"/>
  <c r="J417" i="63"/>
  <c r="I411" i="63"/>
  <c r="J407" i="63"/>
  <c r="I401" i="63"/>
  <c r="J398" i="63"/>
  <c r="I386" i="63"/>
  <c r="J379" i="63"/>
  <c r="I370" i="63"/>
  <c r="J367" i="63"/>
  <c r="I358" i="63"/>
  <c r="J354" i="63"/>
  <c r="I346" i="63"/>
  <c r="J339" i="63"/>
  <c r="I326" i="63"/>
  <c r="J323" i="63"/>
  <c r="I314" i="63"/>
  <c r="J310" i="63"/>
  <c r="I302" i="63"/>
  <c r="J295" i="63"/>
  <c r="I286" i="63"/>
  <c r="J283" i="63"/>
  <c r="I274" i="63"/>
  <c r="J270" i="63"/>
  <c r="I256" i="63"/>
  <c r="J249" i="63"/>
  <c r="I240" i="63"/>
  <c r="J237" i="63"/>
  <c r="I228" i="63"/>
  <c r="J224" i="63"/>
  <c r="I216" i="63"/>
  <c r="J209" i="63"/>
  <c r="I199" i="63"/>
  <c r="I170" i="63"/>
  <c r="I138" i="63"/>
  <c r="J135" i="63"/>
  <c r="J130" i="63"/>
  <c r="J127" i="63"/>
  <c r="I122" i="63"/>
  <c r="J119" i="63"/>
  <c r="J69" i="63"/>
  <c r="I66" i="63"/>
  <c r="J63" i="63"/>
  <c r="J1356" i="63"/>
  <c r="I1351" i="63"/>
  <c r="J1348" i="63"/>
  <c r="I1343" i="63"/>
  <c r="J1340" i="63"/>
  <c r="I1323" i="63"/>
  <c r="J1313" i="63"/>
  <c r="I1301" i="63"/>
  <c r="J1292" i="63"/>
  <c r="I1285" i="63"/>
  <c r="J1281" i="63"/>
  <c r="I1267" i="63"/>
  <c r="J1263" i="63"/>
  <c r="I1251" i="63"/>
  <c r="J1248" i="63"/>
  <c r="I1243" i="63"/>
  <c r="J1240" i="63"/>
  <c r="I1235" i="63"/>
  <c r="J1232" i="63"/>
  <c r="I1227" i="63"/>
  <c r="J1224" i="63"/>
  <c r="I1219" i="63"/>
  <c r="J1216" i="63"/>
  <c r="I1211" i="63"/>
  <c r="J1208" i="63"/>
  <c r="I1202" i="63"/>
  <c r="J1199" i="63"/>
  <c r="I1194" i="63"/>
  <c r="J1191" i="63"/>
  <c r="I1186" i="63"/>
  <c r="J1183" i="63"/>
  <c r="I1178" i="63"/>
  <c r="J1175" i="63"/>
  <c r="I1170" i="63"/>
  <c r="J1167" i="63"/>
  <c r="I1162" i="63"/>
  <c r="J1159" i="63"/>
  <c r="I1153" i="63"/>
  <c r="J1150" i="63"/>
  <c r="I1145" i="63"/>
  <c r="J1142" i="63"/>
  <c r="I1133" i="63"/>
  <c r="J1130" i="63"/>
  <c r="I1125" i="63"/>
  <c r="J1122" i="63"/>
  <c r="I1116" i="63"/>
  <c r="J1113" i="63"/>
  <c r="I1108" i="63"/>
  <c r="J1105" i="63"/>
  <c r="I1099" i="63"/>
  <c r="J1096" i="63"/>
  <c r="I1087" i="63"/>
  <c r="J1084" i="63"/>
  <c r="I1079" i="63"/>
  <c r="J1075" i="63"/>
  <c r="I1070" i="63"/>
  <c r="J1066" i="63"/>
  <c r="I1060" i="63"/>
  <c r="J1057" i="63"/>
  <c r="I1051" i="63"/>
  <c r="J1041" i="63"/>
  <c r="I1036" i="63"/>
  <c r="J1033" i="63"/>
  <c r="I1028" i="63"/>
  <c r="J1025" i="63"/>
  <c r="I1020" i="63"/>
  <c r="J1017" i="63"/>
  <c r="J1008" i="63"/>
  <c r="I1003" i="63"/>
  <c r="J1000" i="63"/>
  <c r="I995" i="63"/>
  <c r="J992" i="63"/>
  <c r="I987" i="63"/>
  <c r="J984" i="63"/>
  <c r="I978" i="63"/>
  <c r="J975" i="63"/>
  <c r="I970" i="63"/>
  <c r="J967" i="63"/>
  <c r="I962" i="63"/>
  <c r="J959" i="63"/>
  <c r="I954" i="63"/>
  <c r="J951" i="63"/>
  <c r="I941" i="63"/>
  <c r="J938" i="63"/>
  <c r="I933" i="63"/>
  <c r="J930" i="63"/>
  <c r="I925" i="63"/>
  <c r="J922" i="63"/>
  <c r="I917" i="63"/>
  <c r="J913" i="63"/>
  <c r="I908" i="63"/>
  <c r="J905" i="63"/>
  <c r="I900" i="63"/>
  <c r="J897" i="63"/>
  <c r="I892" i="63"/>
  <c r="J889" i="63"/>
  <c r="J883" i="63"/>
  <c r="J880" i="63"/>
  <c r="I875" i="63"/>
  <c r="J872" i="63"/>
  <c r="I867" i="63"/>
  <c r="J864" i="63"/>
  <c r="I859" i="63"/>
  <c r="J856" i="63"/>
  <c r="J846" i="63"/>
  <c r="I841" i="63"/>
  <c r="J838" i="63"/>
  <c r="I833" i="63"/>
  <c r="J830" i="63"/>
  <c r="I825" i="63"/>
  <c r="J822" i="63"/>
  <c r="I816" i="63"/>
  <c r="J813" i="63"/>
  <c r="I808" i="63"/>
  <c r="J805" i="63"/>
  <c r="I800" i="63"/>
  <c r="J797" i="63"/>
  <c r="I792" i="63"/>
  <c r="J789" i="63"/>
  <c r="J785" i="63"/>
  <c r="I780" i="63"/>
  <c r="J777" i="63"/>
  <c r="I772" i="63"/>
  <c r="J769" i="63"/>
  <c r="I764" i="63"/>
  <c r="J761" i="63"/>
  <c r="I750" i="63"/>
  <c r="J747" i="63"/>
  <c r="I742" i="63"/>
  <c r="J733" i="63"/>
  <c r="I728" i="63"/>
  <c r="I710" i="63"/>
  <c r="J702" i="63"/>
  <c r="I694" i="63"/>
  <c r="J689" i="63"/>
  <c r="I681" i="63"/>
  <c r="J671" i="63"/>
  <c r="I663" i="63"/>
  <c r="J659" i="63"/>
  <c r="I647" i="63"/>
  <c r="J643" i="63"/>
  <c r="I633" i="63"/>
  <c r="J629" i="63"/>
  <c r="I614" i="63"/>
  <c r="J608" i="63"/>
  <c r="I126" i="63"/>
  <c r="J123" i="63"/>
  <c r="I118" i="63"/>
  <c r="J67" i="63"/>
  <c r="I62" i="63"/>
  <c r="J59" i="63"/>
  <c r="J1404" i="63"/>
  <c r="I1395" i="63"/>
  <c r="J1392" i="63"/>
  <c r="I1387" i="63"/>
  <c r="J1380" i="63"/>
  <c r="I1363" i="63"/>
  <c r="J1360" i="63"/>
  <c r="I1355" i="63"/>
  <c r="J1352" i="63"/>
  <c r="I1347" i="63"/>
  <c r="J1344" i="63"/>
  <c r="I1335" i="63"/>
  <c r="I1397" i="63"/>
  <c r="J1394" i="63"/>
  <c r="I1389" i="63"/>
  <c r="J1384" i="63"/>
  <c r="I1373" i="63"/>
  <c r="J1362" i="63"/>
  <c r="I1357" i="63"/>
  <c r="J1354" i="63"/>
  <c r="I1349" i="63"/>
  <c r="J1346" i="63"/>
  <c r="I1341" i="63"/>
  <c r="J1334" i="63"/>
  <c r="I1399" i="63"/>
  <c r="J1396" i="63"/>
  <c r="I1391" i="63"/>
  <c r="J1388" i="63"/>
  <c r="I1375" i="63"/>
  <c r="J1368" i="63"/>
  <c r="I1359" i="63"/>
  <c r="J1328" i="63"/>
  <c r="I1311" i="63"/>
  <c r="J1303" i="63"/>
  <c r="I1291" i="63"/>
  <c r="J1287" i="63"/>
  <c r="I1280" i="63"/>
  <c r="J1268" i="63"/>
  <c r="I1261" i="63"/>
  <c r="J1252" i="63"/>
  <c r="I1247" i="63"/>
  <c r="J1244" i="63"/>
  <c r="I1239" i="63"/>
  <c r="J1236" i="63"/>
  <c r="I1231" i="63"/>
  <c r="J1228" i="63"/>
  <c r="I1223" i="63"/>
  <c r="J1220" i="63"/>
  <c r="I1215" i="63"/>
  <c r="J1212" i="63"/>
  <c r="I1207" i="63"/>
  <c r="J1203" i="63"/>
  <c r="I1198" i="63"/>
  <c r="J1195" i="63"/>
  <c r="I1190" i="63"/>
  <c r="J1187" i="63"/>
  <c r="I1182" i="63"/>
  <c r="J1179" i="63"/>
  <c r="I1174" i="63"/>
  <c r="J1171" i="63"/>
  <c r="I1166" i="63"/>
  <c r="J1163" i="63"/>
  <c r="I1158" i="63"/>
  <c r="J1154" i="63"/>
  <c r="I1149" i="63"/>
  <c r="J1146" i="63"/>
  <c r="I1141" i="63"/>
  <c r="J1134" i="63"/>
  <c r="I1129" i="63"/>
  <c r="J1126" i="63"/>
  <c r="I1121" i="63"/>
  <c r="J1117" i="63"/>
  <c r="I1112" i="63"/>
  <c r="J1109" i="63"/>
  <c r="I1104" i="63"/>
  <c r="J1100" i="63"/>
  <c r="I1095" i="63"/>
  <c r="J1088" i="63"/>
  <c r="I1083" i="63"/>
  <c r="J1080" i="63"/>
  <c r="I1074" i="63"/>
  <c r="J1071" i="63"/>
  <c r="I1065" i="63"/>
  <c r="J1062" i="63"/>
  <c r="I1056" i="63"/>
  <c r="J1052" i="63"/>
  <c r="I1040" i="63"/>
  <c r="J1037" i="63"/>
  <c r="I1032" i="63"/>
  <c r="J1029" i="63"/>
  <c r="I1024" i="63"/>
  <c r="J1021" i="63"/>
  <c r="I1016" i="63"/>
  <c r="J1013" i="63"/>
  <c r="I1007" i="63"/>
  <c r="J1004" i="63"/>
  <c r="I999" i="63"/>
  <c r="J996" i="63"/>
  <c r="I991" i="63"/>
  <c r="J988" i="63"/>
  <c r="I983" i="63"/>
  <c r="J979" i="63"/>
  <c r="I974" i="63"/>
  <c r="J971" i="63"/>
  <c r="I966" i="63"/>
  <c r="J963" i="63"/>
  <c r="I958" i="63"/>
  <c r="J955" i="63"/>
  <c r="J945" i="63"/>
  <c r="J942" i="63"/>
  <c r="I937" i="63"/>
  <c r="J934" i="63"/>
  <c r="I929" i="63"/>
  <c r="J926" i="63"/>
  <c r="I921" i="63"/>
  <c r="J918" i="63"/>
  <c r="I1315" i="63"/>
  <c r="J1310" i="63"/>
  <c r="I1293" i="63"/>
  <c r="J1289" i="63"/>
  <c r="I1283" i="63"/>
  <c r="J1279" i="63"/>
  <c r="I1264" i="63"/>
  <c r="J1260" i="63"/>
  <c r="I1249" i="63"/>
  <c r="J1246" i="63"/>
  <c r="I1241" i="63"/>
  <c r="J1238" i="63"/>
  <c r="I1233" i="63"/>
  <c r="J1230" i="63"/>
  <c r="I1225" i="63"/>
  <c r="J1222" i="63"/>
  <c r="I1217" i="63"/>
  <c r="J1214" i="63"/>
  <c r="I1209" i="63"/>
  <c r="J1206" i="63"/>
  <c r="I1200" i="63"/>
  <c r="J1197" i="63"/>
  <c r="I1192" i="63"/>
  <c r="J1189" i="63"/>
  <c r="I1184" i="63"/>
  <c r="J1181" i="63"/>
  <c r="I1176" i="63"/>
  <c r="J1173" i="63"/>
  <c r="I1168" i="63"/>
  <c r="J1165" i="63"/>
  <c r="I1160" i="63"/>
  <c r="J1157" i="63"/>
  <c r="I1151" i="63"/>
  <c r="J1148" i="63"/>
  <c r="I1143" i="63"/>
  <c r="J1140" i="63"/>
  <c r="I1131" i="63"/>
  <c r="J1128" i="63"/>
  <c r="I1123" i="63"/>
  <c r="J1120" i="63"/>
  <c r="I1114" i="63"/>
  <c r="J1111" i="63"/>
  <c r="I1106" i="63"/>
  <c r="J1103" i="63"/>
  <c r="I1097" i="63"/>
  <c r="J1094" i="63"/>
  <c r="I1085" i="63"/>
  <c r="J1082" i="63"/>
  <c r="I1076" i="63"/>
  <c r="J1073" i="63"/>
  <c r="I1068" i="63"/>
  <c r="J1064" i="63"/>
  <c r="I1058" i="63"/>
  <c r="J1054" i="63"/>
  <c r="J1042" i="63"/>
  <c r="J1039" i="63"/>
  <c r="I1034" i="63"/>
  <c r="J1031" i="63"/>
  <c r="I1026" i="63"/>
  <c r="J1023" i="63"/>
  <c r="I1018" i="63"/>
  <c r="J1015" i="63"/>
  <c r="I1009" i="63"/>
  <c r="J1006" i="63"/>
  <c r="I1001" i="63"/>
  <c r="J998" i="63"/>
  <c r="I993" i="63"/>
  <c r="J990" i="63"/>
  <c r="I985" i="63"/>
  <c r="J982" i="63"/>
  <c r="I976" i="63"/>
  <c r="J973" i="63"/>
  <c r="I968" i="63"/>
  <c r="J965" i="63"/>
  <c r="I960" i="63"/>
  <c r="J957" i="63"/>
  <c r="I952" i="63"/>
  <c r="J944" i="63"/>
  <c r="I939" i="63"/>
  <c r="I912" i="63"/>
  <c r="J909" i="63"/>
  <c r="I904" i="63"/>
  <c r="J901" i="63"/>
  <c r="I896" i="63"/>
  <c r="J893" i="63"/>
  <c r="I888" i="63"/>
  <c r="J885" i="63"/>
  <c r="I879" i="63"/>
  <c r="J876" i="63"/>
  <c r="I871" i="63"/>
  <c r="J868" i="63"/>
  <c r="I863" i="63"/>
  <c r="J860" i="63"/>
  <c r="I855" i="63"/>
  <c r="I845" i="63"/>
  <c r="J842" i="63"/>
  <c r="I837" i="63"/>
  <c r="J834" i="63"/>
  <c r="I829" i="63"/>
  <c r="J826" i="63"/>
  <c r="I821" i="63"/>
  <c r="I812" i="63"/>
  <c r="J809" i="63"/>
  <c r="I804" i="63"/>
  <c r="J801" i="63"/>
  <c r="I796" i="63"/>
  <c r="J793" i="63"/>
  <c r="I784" i="63"/>
  <c r="J781" i="63"/>
  <c r="I776" i="63"/>
  <c r="J773" i="63"/>
  <c r="I768" i="63"/>
  <c r="J765" i="63"/>
  <c r="I760" i="63"/>
  <c r="J757" i="63"/>
  <c r="I746" i="63"/>
  <c r="J743" i="63"/>
  <c r="I732" i="63"/>
  <c r="J729" i="63"/>
  <c r="I716" i="63"/>
  <c r="I699" i="63"/>
  <c r="J695" i="63"/>
  <c r="I687" i="63"/>
  <c r="J682" i="63"/>
  <c r="I670" i="63"/>
  <c r="J666" i="63"/>
  <c r="I658" i="63"/>
  <c r="J653" i="63"/>
  <c r="I640" i="63"/>
  <c r="J636" i="63"/>
  <c r="I618" i="63"/>
  <c r="J615" i="63"/>
  <c r="I607" i="63"/>
  <c r="J604" i="63"/>
  <c r="I596" i="63"/>
  <c r="J592" i="63"/>
  <c r="I585" i="63"/>
  <c r="J581" i="63"/>
  <c r="I574" i="63"/>
  <c r="J568" i="63"/>
  <c r="I562" i="63"/>
  <c r="J553" i="63"/>
  <c r="I544" i="63"/>
  <c r="J541" i="63"/>
  <c r="I532" i="63"/>
  <c r="J528" i="63"/>
  <c r="I520" i="63"/>
  <c r="J513" i="63"/>
  <c r="I504" i="63"/>
  <c r="J501" i="63"/>
  <c r="I490" i="63"/>
  <c r="J486" i="63"/>
  <c r="I480" i="63"/>
  <c r="J476" i="63"/>
  <c r="I470" i="63"/>
  <c r="J467" i="63"/>
  <c r="I460" i="63"/>
  <c r="J457" i="63"/>
  <c r="I451" i="63"/>
  <c r="J447" i="63"/>
  <c r="I441" i="63"/>
  <c r="I58" i="63"/>
  <c r="I209" i="63"/>
  <c r="J936" i="63"/>
  <c r="I931" i="63"/>
  <c r="J928" i="63"/>
  <c r="I923" i="63"/>
  <c r="J920" i="63"/>
  <c r="J914" i="63"/>
  <c r="J911" i="63"/>
  <c r="I906" i="63"/>
  <c r="J903" i="63"/>
  <c r="I898" i="63"/>
  <c r="J895" i="63"/>
  <c r="I890" i="63"/>
  <c r="J887" i="63"/>
  <c r="I881" i="63"/>
  <c r="J878" i="63"/>
  <c r="I873" i="63"/>
  <c r="J870" i="63"/>
  <c r="I865" i="63"/>
  <c r="J862" i="63"/>
  <c r="I857" i="63"/>
  <c r="J854" i="63"/>
  <c r="I847" i="63"/>
  <c r="J844" i="63"/>
  <c r="I839" i="63"/>
  <c r="J836" i="63"/>
  <c r="I831" i="63"/>
  <c r="J828" i="63"/>
  <c r="I823" i="63"/>
  <c r="J820" i="63"/>
  <c r="I814" i="63"/>
  <c r="J811" i="63"/>
  <c r="I806" i="63"/>
  <c r="J803" i="63"/>
  <c r="I798" i="63"/>
  <c r="J795" i="63"/>
  <c r="I790" i="63"/>
  <c r="J786" i="63"/>
  <c r="J783" i="63"/>
  <c r="I778" i="63"/>
  <c r="J775" i="63"/>
  <c r="I770" i="63"/>
  <c r="J767" i="63"/>
  <c r="I762" i="63"/>
  <c r="J759" i="63"/>
  <c r="I748" i="63"/>
  <c r="I734" i="63"/>
  <c r="I725" i="63"/>
  <c r="J715" i="63"/>
  <c r="I703" i="63"/>
  <c r="J698" i="63"/>
  <c r="I690" i="63"/>
  <c r="J686" i="63"/>
  <c r="I674" i="63"/>
  <c r="I661" i="63"/>
  <c r="I644" i="63"/>
  <c r="J638" i="63"/>
  <c r="I630" i="63"/>
  <c r="J617" i="63"/>
  <c r="I611" i="63"/>
  <c r="J606" i="63"/>
  <c r="I598" i="63"/>
  <c r="J595" i="63"/>
  <c r="I587" i="63"/>
  <c r="J584" i="63"/>
  <c r="I576" i="63"/>
  <c r="J572" i="63"/>
  <c r="I565" i="63"/>
  <c r="I550" i="63"/>
  <c r="I534" i="63"/>
  <c r="I522" i="63"/>
  <c r="J518" i="63"/>
  <c r="I510" i="63"/>
  <c r="I492" i="63"/>
  <c r="J489" i="63"/>
  <c r="I483" i="63"/>
  <c r="I473" i="63"/>
  <c r="J469" i="63"/>
  <c r="I463" i="63"/>
  <c r="J459" i="63"/>
  <c r="I453" i="63"/>
  <c r="J449" i="63"/>
  <c r="I443" i="63"/>
  <c r="I433" i="63"/>
  <c r="J430" i="63"/>
  <c r="I602" i="63"/>
  <c r="I1029" i="63"/>
  <c r="J597" i="63"/>
  <c r="I591" i="63"/>
  <c r="J586" i="63"/>
  <c r="I578" i="63"/>
  <c r="J575" i="63"/>
  <c r="I567" i="63"/>
  <c r="J564" i="63"/>
  <c r="I552" i="63"/>
  <c r="J548" i="63"/>
  <c r="I540" i="63"/>
  <c r="J533" i="63"/>
  <c r="I524" i="63"/>
  <c r="J521" i="63"/>
  <c r="I512" i="63"/>
  <c r="J508" i="63"/>
  <c r="I500" i="63"/>
  <c r="J491" i="63"/>
  <c r="I485" i="63"/>
  <c r="J481" i="63"/>
  <c r="I475" i="63"/>
  <c r="J471" i="63"/>
  <c r="I465" i="63"/>
  <c r="J462" i="63"/>
  <c r="I455" i="63"/>
  <c r="J452" i="63"/>
  <c r="I446" i="63"/>
  <c r="J442" i="63"/>
  <c r="I436" i="63"/>
  <c r="J432" i="63"/>
  <c r="I426" i="63"/>
  <c r="J422" i="63"/>
  <c r="I416" i="63"/>
  <c r="J412" i="63"/>
  <c r="I406" i="63"/>
  <c r="J403" i="63"/>
  <c r="I390" i="63"/>
  <c r="J387" i="63"/>
  <c r="I378" i="63"/>
  <c r="J374" i="63"/>
  <c r="I366" i="63"/>
  <c r="J359" i="63"/>
  <c r="I350" i="63"/>
  <c r="J347" i="63"/>
  <c r="I338" i="63"/>
  <c r="J334" i="63"/>
  <c r="I322" i="63"/>
  <c r="J315" i="63"/>
  <c r="I306" i="63"/>
  <c r="J303" i="63"/>
  <c r="I294" i="63"/>
  <c r="J290" i="63"/>
  <c r="I282" i="63"/>
  <c r="J275" i="63"/>
  <c r="I260" i="63"/>
  <c r="J257" i="63"/>
  <c r="I248" i="63"/>
  <c r="J244" i="63"/>
  <c r="I236" i="63"/>
  <c r="J229" i="63"/>
  <c r="I220" i="63"/>
  <c r="I208" i="63"/>
  <c r="J200" i="63"/>
  <c r="I194" i="63"/>
  <c r="J180" i="63"/>
  <c r="I155" i="63"/>
  <c r="I226" i="63"/>
  <c r="I197" i="63"/>
  <c r="I168" i="63"/>
  <c r="I136" i="63"/>
  <c r="J131" i="63"/>
  <c r="I128" i="63"/>
  <c r="J125" i="63"/>
  <c r="I120" i="63"/>
  <c r="I64" i="63"/>
  <c r="J61" i="63"/>
  <c r="I54" i="63"/>
  <c r="D915" i="63"/>
  <c r="J915" i="63"/>
  <c r="D787" i="63"/>
  <c r="J787" i="63"/>
  <c r="J1399" i="63"/>
  <c r="I1394" i="63"/>
  <c r="J1391" i="63"/>
  <c r="I1384" i="63"/>
  <c r="J1375" i="63"/>
  <c r="I1362" i="63"/>
  <c r="J1359" i="63"/>
  <c r="I1354" i="63"/>
  <c r="J1351" i="63"/>
  <c r="I1346" i="63"/>
  <c r="J1343" i="63"/>
  <c r="I1334" i="63"/>
  <c r="J1323" i="63"/>
  <c r="I1310" i="63"/>
  <c r="J1301" i="63"/>
  <c r="I1289" i="63"/>
  <c r="J1285" i="63"/>
  <c r="I1279" i="63"/>
  <c r="J1267" i="63"/>
  <c r="I1260" i="63"/>
  <c r="J1251" i="63"/>
  <c r="I1246" i="63"/>
  <c r="J1243" i="63"/>
  <c r="I1238" i="63"/>
  <c r="J1235" i="63"/>
  <c r="I1230" i="63"/>
  <c r="J1227" i="63"/>
  <c r="I1222" i="63"/>
  <c r="J1219" i="63"/>
  <c r="I1214" i="63"/>
  <c r="J1211" i="63"/>
  <c r="I1206" i="63"/>
  <c r="J1202" i="63"/>
  <c r="I1197" i="63"/>
  <c r="J1194" i="63"/>
  <c r="I1189" i="63"/>
  <c r="J1186" i="63"/>
  <c r="I1181" i="63"/>
  <c r="J1178" i="63"/>
  <c r="I1173" i="63"/>
  <c r="J1170" i="63"/>
  <c r="I1165" i="63"/>
  <c r="J1162" i="63"/>
  <c r="I1157" i="63"/>
  <c r="J1153" i="63"/>
  <c r="I1148" i="63"/>
  <c r="J1145" i="63"/>
  <c r="I1140" i="63"/>
  <c r="J1133" i="63"/>
  <c r="I1128" i="63"/>
  <c r="J1125" i="63"/>
  <c r="I1120" i="63"/>
  <c r="J1116" i="63"/>
  <c r="I1111" i="63"/>
  <c r="J1108" i="63"/>
  <c r="I1103" i="63"/>
  <c r="J1099" i="63"/>
  <c r="I1094" i="63"/>
  <c r="J1087" i="63"/>
  <c r="I1082" i="63"/>
  <c r="J1079" i="63"/>
  <c r="I1073" i="63"/>
  <c r="J1070" i="63"/>
  <c r="I1064" i="63"/>
  <c r="J1060" i="63"/>
  <c r="I1054" i="63"/>
  <c r="J1051" i="63"/>
  <c r="I1039" i="63"/>
  <c r="J1036" i="63"/>
  <c r="I1031" i="63"/>
  <c r="J1028" i="63"/>
  <c r="I1023" i="63"/>
  <c r="J1020" i="63"/>
  <c r="I1015" i="63"/>
  <c r="I1006" i="63"/>
  <c r="J1003" i="63"/>
  <c r="I998" i="63"/>
  <c r="J995" i="63"/>
  <c r="I990" i="63"/>
  <c r="J987" i="63"/>
  <c r="I982" i="63"/>
  <c r="J978" i="63"/>
  <c r="I973" i="63"/>
  <c r="J970" i="63"/>
  <c r="I965" i="63"/>
  <c r="J962" i="63"/>
  <c r="I957" i="63"/>
  <c r="J954" i="63"/>
  <c r="D1011" i="63"/>
  <c r="J1011" i="63"/>
  <c r="D724" i="63"/>
  <c r="D8" i="225" s="1"/>
  <c r="J724" i="63"/>
  <c r="I1396" i="63"/>
  <c r="J1393" i="63"/>
  <c r="I1388" i="63"/>
  <c r="J1383" i="63"/>
  <c r="I1368" i="63"/>
  <c r="J1361" i="63"/>
  <c r="I1356" i="63"/>
  <c r="J1353" i="63"/>
  <c r="I1348" i="63"/>
  <c r="J1345" i="63"/>
  <c r="I1340" i="63"/>
  <c r="J1329" i="63"/>
  <c r="I1313" i="63"/>
  <c r="J1309" i="63"/>
  <c r="I1292" i="63"/>
  <c r="J1288" i="63"/>
  <c r="I1281" i="63"/>
  <c r="J1269" i="63"/>
  <c r="I1263" i="63"/>
  <c r="J1259" i="63"/>
  <c r="I1248" i="63"/>
  <c r="J1245" i="63"/>
  <c r="I1240" i="63"/>
  <c r="J1237" i="63"/>
  <c r="I1232" i="63"/>
  <c r="J1229" i="63"/>
  <c r="I1224" i="63"/>
  <c r="J1221" i="63"/>
  <c r="I1216" i="63"/>
  <c r="J1213" i="63"/>
  <c r="I1208" i="63"/>
  <c r="J1205" i="63"/>
  <c r="I1199" i="63"/>
  <c r="J1196" i="63"/>
  <c r="I1191" i="63"/>
  <c r="J1188" i="63"/>
  <c r="I1183" i="63"/>
  <c r="J1180" i="63"/>
  <c r="I1175" i="63"/>
  <c r="J1172" i="63"/>
  <c r="I1167" i="63"/>
  <c r="J1164" i="63"/>
  <c r="I1159" i="63"/>
  <c r="J1156" i="63"/>
  <c r="I1150" i="63"/>
  <c r="J1147" i="63"/>
  <c r="I1142" i="63"/>
  <c r="J1139" i="63"/>
  <c r="I1130" i="63"/>
  <c r="J1127" i="63"/>
  <c r="I1122" i="63"/>
  <c r="J1119" i="63"/>
  <c r="I1113" i="63"/>
  <c r="J1110" i="63"/>
  <c r="I1105" i="63"/>
  <c r="J1102" i="63"/>
  <c r="I1096" i="63"/>
  <c r="J1093" i="63"/>
  <c r="I1084" i="63"/>
  <c r="J1081" i="63"/>
  <c r="I1075" i="63"/>
  <c r="J1072" i="63"/>
  <c r="I1066" i="63"/>
  <c r="J1063" i="63"/>
  <c r="I1057" i="63"/>
  <c r="J1053" i="63"/>
  <c r="I1041" i="63"/>
  <c r="J1038" i="63"/>
  <c r="I1033" i="63"/>
  <c r="J1030" i="63"/>
  <c r="I1025" i="63"/>
  <c r="J1022" i="63"/>
  <c r="I1017" i="63"/>
  <c r="J1014" i="63"/>
  <c r="I1008" i="63"/>
  <c r="J1005" i="63"/>
  <c r="I1000" i="63"/>
  <c r="J997" i="63"/>
  <c r="I992" i="63"/>
  <c r="J989" i="63"/>
  <c r="I984" i="63"/>
  <c r="I975" i="63"/>
  <c r="J972" i="63"/>
  <c r="I967" i="63"/>
  <c r="J964" i="63"/>
  <c r="I959" i="63"/>
  <c r="J956" i="63"/>
  <c r="I951" i="63"/>
  <c r="J943" i="63"/>
  <c r="I938" i="63"/>
  <c r="J935" i="63"/>
  <c r="I930" i="63"/>
  <c r="J927" i="63"/>
  <c r="I922" i="63"/>
  <c r="J919" i="63"/>
  <c r="I913" i="63"/>
  <c r="J910" i="63"/>
  <c r="I905" i="63"/>
  <c r="J902" i="63"/>
  <c r="I897" i="63"/>
  <c r="J894" i="63"/>
  <c r="I889" i="63"/>
  <c r="J886" i="63"/>
  <c r="I1398" i="63"/>
  <c r="J1395" i="63"/>
  <c r="I1390" i="63"/>
  <c r="J1387" i="63"/>
  <c r="I1374" i="63"/>
  <c r="J1363" i="63"/>
  <c r="I1358" i="63"/>
  <c r="J1355" i="63"/>
  <c r="I1350" i="63"/>
  <c r="J1347" i="63"/>
  <c r="I1342" i="63"/>
  <c r="J1335" i="63"/>
  <c r="I1322" i="63"/>
  <c r="J1311" i="63"/>
  <c r="I1300" i="63"/>
  <c r="J1291" i="63"/>
  <c r="I1284" i="63"/>
  <c r="J1280" i="63"/>
  <c r="I1265" i="63"/>
  <c r="J1261" i="63"/>
  <c r="I1250" i="63"/>
  <c r="J1247" i="63"/>
  <c r="I1242" i="63"/>
  <c r="J1239" i="63"/>
  <c r="I1234" i="63"/>
  <c r="J1231" i="63"/>
  <c r="I1226" i="63"/>
  <c r="J1223" i="63"/>
  <c r="I1218" i="63"/>
  <c r="J1215" i="63"/>
  <c r="I1210" i="63"/>
  <c r="J1207" i="63"/>
  <c r="I1201" i="63"/>
  <c r="J1198" i="63"/>
  <c r="I1193" i="63"/>
  <c r="J1190" i="63"/>
  <c r="I1185" i="63"/>
  <c r="J1182" i="63"/>
  <c r="I1177" i="63"/>
  <c r="J1174" i="63"/>
  <c r="I1169" i="63"/>
  <c r="J1166" i="63"/>
  <c r="I1161" i="63"/>
  <c r="J1158" i="63"/>
  <c r="I1152" i="63"/>
  <c r="J1149" i="63"/>
  <c r="I1144" i="63"/>
  <c r="J1141" i="63"/>
  <c r="I1132" i="63"/>
  <c r="J1129" i="63"/>
  <c r="I1124" i="63"/>
  <c r="J1121" i="63"/>
  <c r="I1115" i="63"/>
  <c r="J1112" i="63"/>
  <c r="I1107" i="63"/>
  <c r="J1104" i="63"/>
  <c r="I1098" i="63"/>
  <c r="J1095" i="63"/>
  <c r="I1086" i="63"/>
  <c r="J1083" i="63"/>
  <c r="I1077" i="63"/>
  <c r="J1074" i="63"/>
  <c r="I1069" i="63"/>
  <c r="J1065" i="63"/>
  <c r="I1059" i="63"/>
  <c r="J1056" i="63"/>
  <c r="I1050" i="63"/>
  <c r="J1040" i="63"/>
  <c r="I1035" i="63"/>
  <c r="J1032" i="63"/>
  <c r="I1027" i="63"/>
  <c r="J1024" i="63"/>
  <c r="I1019" i="63"/>
  <c r="J1016" i="63"/>
  <c r="I1010" i="63"/>
  <c r="J1007" i="63"/>
  <c r="I1002" i="63"/>
  <c r="J999" i="63"/>
  <c r="I994" i="63"/>
  <c r="J991" i="63"/>
  <c r="I986" i="63"/>
  <c r="J983" i="63"/>
  <c r="I977" i="63"/>
  <c r="J974" i="63"/>
  <c r="I969" i="63"/>
  <c r="J966" i="63"/>
  <c r="I961" i="63"/>
  <c r="D818" i="63"/>
  <c r="J818" i="63"/>
  <c r="I788" i="63"/>
  <c r="D712" i="63"/>
  <c r="E66" i="224" s="1"/>
  <c r="H66" i="224" s="1"/>
  <c r="N32" i="211" s="1"/>
  <c r="J712" i="63"/>
  <c r="D734" i="63"/>
  <c r="D18" i="225" s="1"/>
  <c r="E18" i="225" s="1"/>
  <c r="J734" i="63"/>
  <c r="D661" i="63"/>
  <c r="E27" i="224" s="1"/>
  <c r="J661" i="63"/>
  <c r="D534" i="63"/>
  <c r="I72" i="223" s="1"/>
  <c r="O72" i="223" s="1"/>
  <c r="J534" i="63"/>
  <c r="D522" i="63"/>
  <c r="H70" i="223" s="1"/>
  <c r="N70" i="223" s="1"/>
  <c r="J522" i="63"/>
  <c r="D510" i="63"/>
  <c r="G68" i="223" s="1"/>
  <c r="M68" i="223" s="1"/>
  <c r="J510" i="63"/>
  <c r="D443" i="63"/>
  <c r="H55" i="223" s="1"/>
  <c r="N55" i="223" s="1"/>
  <c r="J443" i="63"/>
  <c r="D423" i="63"/>
  <c r="G51" i="223" s="1"/>
  <c r="M51" i="223" s="1"/>
  <c r="J423" i="63"/>
  <c r="D404" i="63"/>
  <c r="F48" i="223" s="1"/>
  <c r="L48" i="223" s="1"/>
  <c r="J404" i="63"/>
  <c r="D388" i="63"/>
  <c r="K30" i="223" s="1"/>
  <c r="Q30" i="223" s="1"/>
  <c r="J388" i="63"/>
  <c r="D376" i="63"/>
  <c r="J28" i="223" s="1"/>
  <c r="P28" i="223" s="1"/>
  <c r="J376" i="63"/>
  <c r="D360" i="63"/>
  <c r="H32" i="223" s="1"/>
  <c r="N32" i="223" s="1"/>
  <c r="J360" i="63"/>
  <c r="D348" i="63"/>
  <c r="G30" i="223" s="1"/>
  <c r="M30" i="223" s="1"/>
  <c r="J348" i="63"/>
  <c r="D336" i="63"/>
  <c r="F28" i="223" s="1"/>
  <c r="L28" i="223" s="1"/>
  <c r="J336" i="63"/>
  <c r="D316" i="63"/>
  <c r="J16" i="223" s="1"/>
  <c r="P16" i="223" s="1"/>
  <c r="J316" i="63"/>
  <c r="D304" i="63"/>
  <c r="I14" i="223" s="1"/>
  <c r="O14" i="223" s="1"/>
  <c r="J304" i="63"/>
  <c r="D292" i="63"/>
  <c r="H12" i="223" s="1"/>
  <c r="N12" i="223" s="1"/>
  <c r="J292" i="63"/>
  <c r="D276" i="63"/>
  <c r="F16" i="223" s="1"/>
  <c r="L16" i="223" s="1"/>
  <c r="J276" i="63"/>
  <c r="D258" i="63"/>
  <c r="L14" i="222" s="1"/>
  <c r="S14" i="222" s="1"/>
  <c r="J258" i="63"/>
  <c r="D246" i="63"/>
  <c r="K12" i="222" s="1"/>
  <c r="R12" i="222" s="1"/>
  <c r="J246" i="63"/>
  <c r="D230" i="63"/>
  <c r="I16" i="222" s="1"/>
  <c r="P16" i="222" s="1"/>
  <c r="J230" i="63"/>
  <c r="D218" i="63"/>
  <c r="H14" i="222" s="1"/>
  <c r="J218" i="63"/>
  <c r="D206" i="63"/>
  <c r="G12" i="222" s="1"/>
  <c r="N12" i="222" s="1"/>
  <c r="J206" i="63"/>
  <c r="I196" i="63"/>
  <c r="J181" i="63"/>
  <c r="I161" i="63"/>
  <c r="D149" i="63"/>
  <c r="D91" i="135" s="1"/>
  <c r="J149" i="63"/>
  <c r="I135" i="63"/>
  <c r="I130" i="63"/>
  <c r="I127" i="63"/>
  <c r="J124" i="63"/>
  <c r="I119" i="63"/>
  <c r="J116" i="63"/>
  <c r="D108" i="63"/>
  <c r="H45" i="219" s="1"/>
  <c r="J108" i="63"/>
  <c r="D99" i="63"/>
  <c r="H36" i="219" s="1"/>
  <c r="J99" i="63"/>
  <c r="I69" i="63"/>
  <c r="I63" i="63"/>
  <c r="J60" i="63"/>
  <c r="D41" i="63"/>
  <c r="F22" i="214" s="1"/>
  <c r="J41" i="63"/>
  <c r="D33" i="63"/>
  <c r="F14" i="214" s="1"/>
  <c r="J33" i="63"/>
  <c r="D745" i="63"/>
  <c r="D9" i="226" s="1"/>
  <c r="J745" i="63"/>
  <c r="D731" i="63"/>
  <c r="J731" i="63"/>
  <c r="D669" i="63"/>
  <c r="F27" i="224" s="1"/>
  <c r="J669" i="63"/>
  <c r="D655" i="63"/>
  <c r="D29" i="224" s="1"/>
  <c r="G29" i="224" s="1"/>
  <c r="J655" i="63"/>
  <c r="D561" i="63"/>
  <c r="F81" i="223" s="1"/>
  <c r="L81" i="223" s="1"/>
  <c r="J561" i="63"/>
  <c r="D543" i="63"/>
  <c r="J71" i="223" s="1"/>
  <c r="P71" i="223" s="1"/>
  <c r="J543" i="63"/>
  <c r="D531" i="63"/>
  <c r="I69" i="223" s="1"/>
  <c r="O69" i="223" s="1"/>
  <c r="J531" i="63"/>
  <c r="D503" i="63"/>
  <c r="F71" i="223" s="1"/>
  <c r="L71" i="223" s="1"/>
  <c r="J503" i="63"/>
  <c r="D479" i="63"/>
  <c r="K43" i="223" s="1"/>
  <c r="Q43" i="223" s="1"/>
  <c r="Q42" i="223" s="1"/>
  <c r="J479" i="63"/>
  <c r="D439" i="63"/>
  <c r="H51" i="223" s="1"/>
  <c r="N51" i="223" s="1"/>
  <c r="J439" i="63"/>
  <c r="I423" i="63"/>
  <c r="D420" i="63"/>
  <c r="G48" i="223" s="1"/>
  <c r="M48" i="223" s="1"/>
  <c r="J420" i="63"/>
  <c r="I414" i="63"/>
  <c r="D410" i="63"/>
  <c r="F54" i="223" s="1"/>
  <c r="L54" i="223" s="1"/>
  <c r="J410" i="63"/>
  <c r="I404" i="63"/>
  <c r="J400" i="63"/>
  <c r="I388" i="63"/>
  <c r="D384" i="63"/>
  <c r="K26" i="223" s="1"/>
  <c r="Q26" i="223" s="1"/>
  <c r="J384" i="63"/>
  <c r="I376" i="63"/>
  <c r="D369" i="63"/>
  <c r="I31" i="223" s="1"/>
  <c r="O31" i="223" s="1"/>
  <c r="J369" i="63"/>
  <c r="I360" i="63"/>
  <c r="D357" i="63"/>
  <c r="H29" i="223" s="1"/>
  <c r="N29" i="223" s="1"/>
  <c r="J357" i="63"/>
  <c r="I348" i="63"/>
  <c r="D344" i="63"/>
  <c r="G26" i="223" s="1"/>
  <c r="M26" i="223" s="1"/>
  <c r="J344" i="63"/>
  <c r="I336" i="63"/>
  <c r="D325" i="63"/>
  <c r="K15" i="223" s="1"/>
  <c r="Q15" i="223" s="1"/>
  <c r="J325" i="63"/>
  <c r="I316" i="63"/>
  <c r="D313" i="63"/>
  <c r="J13" i="223" s="1"/>
  <c r="P13" i="223" s="1"/>
  <c r="J313" i="63"/>
  <c r="I304" i="63"/>
  <c r="D300" i="63"/>
  <c r="I10" i="223" s="1"/>
  <c r="O10" i="223" s="1"/>
  <c r="J300" i="63"/>
  <c r="I292" i="63"/>
  <c r="D285" i="63"/>
  <c r="G15" i="223" s="1"/>
  <c r="M15" i="223" s="1"/>
  <c r="J285" i="63"/>
  <c r="I276" i="63"/>
  <c r="D273" i="63"/>
  <c r="F13" i="223" s="1"/>
  <c r="L13" i="223" s="1"/>
  <c r="J273" i="63"/>
  <c r="I258" i="63"/>
  <c r="D254" i="63"/>
  <c r="L10" i="222" s="1"/>
  <c r="S10" i="222" s="1"/>
  <c r="J254" i="63"/>
  <c r="I246" i="63"/>
  <c r="D239" i="63"/>
  <c r="J15" i="222" s="1"/>
  <c r="Q15" i="222" s="1"/>
  <c r="J239" i="63"/>
  <c r="I230" i="63"/>
  <c r="D227" i="63"/>
  <c r="I13" i="222" s="1"/>
  <c r="P13" i="222" s="1"/>
  <c r="J227" i="63"/>
  <c r="I218" i="63"/>
  <c r="D214" i="63"/>
  <c r="H10" i="222" s="1"/>
  <c r="J214" i="63"/>
  <c r="I206" i="63"/>
  <c r="D198" i="63"/>
  <c r="F14" i="222" s="1"/>
  <c r="J198" i="63"/>
  <c r="I181" i="63"/>
  <c r="D169" i="63"/>
  <c r="B16" i="220" s="1"/>
  <c r="F16" i="220" s="1"/>
  <c r="H16" i="220" s="1"/>
  <c r="AA22" i="210" s="1"/>
  <c r="J169" i="63"/>
  <c r="I149" i="63"/>
  <c r="J137" i="63"/>
  <c r="J129" i="63"/>
  <c r="I124" i="63"/>
  <c r="J121" i="63"/>
  <c r="I116" i="63"/>
  <c r="D107" i="63"/>
  <c r="H44" i="219" s="1"/>
  <c r="J107" i="63"/>
  <c r="D98" i="63"/>
  <c r="H35" i="135" s="1"/>
  <c r="J98" i="63"/>
  <c r="D40" i="63"/>
  <c r="F21" i="214" s="1"/>
  <c r="J40" i="63"/>
  <c r="D32" i="63"/>
  <c r="F13" i="214" s="1"/>
  <c r="J32" i="63"/>
  <c r="I944" i="63"/>
  <c r="J941" i="63"/>
  <c r="I936" i="63"/>
  <c r="J933" i="63"/>
  <c r="I928" i="63"/>
  <c r="J925" i="63"/>
  <c r="I920" i="63"/>
  <c r="J917" i="63"/>
  <c r="I911" i="63"/>
  <c r="J908" i="63"/>
  <c r="I903" i="63"/>
  <c r="J900" i="63"/>
  <c r="I895" i="63"/>
  <c r="J892" i="63"/>
  <c r="I887" i="63"/>
  <c r="D884" i="63"/>
  <c r="J884" i="63"/>
  <c r="I878" i="63"/>
  <c r="J875" i="63"/>
  <c r="I870" i="63"/>
  <c r="J867" i="63"/>
  <c r="I862" i="63"/>
  <c r="J859" i="63"/>
  <c r="I854" i="63"/>
  <c r="I844" i="63"/>
  <c r="J841" i="63"/>
  <c r="I836" i="63"/>
  <c r="J833" i="63"/>
  <c r="I828" i="63"/>
  <c r="J825" i="63"/>
  <c r="I820" i="63"/>
  <c r="J816" i="63"/>
  <c r="I811" i="63"/>
  <c r="J808" i="63"/>
  <c r="I803" i="63"/>
  <c r="J800" i="63"/>
  <c r="I795" i="63"/>
  <c r="J792" i="63"/>
  <c r="I783" i="63"/>
  <c r="J780" i="63"/>
  <c r="I775" i="63"/>
  <c r="J772" i="63"/>
  <c r="I767" i="63"/>
  <c r="J764" i="63"/>
  <c r="I759" i="63"/>
  <c r="J750" i="63"/>
  <c r="I745" i="63"/>
  <c r="J742" i="63"/>
  <c r="I731" i="63"/>
  <c r="J728" i="63"/>
  <c r="I715" i="63"/>
  <c r="J710" i="63"/>
  <c r="I698" i="63"/>
  <c r="J694" i="63"/>
  <c r="I686" i="63"/>
  <c r="J681" i="63"/>
  <c r="I669" i="63"/>
  <c r="J663" i="63"/>
  <c r="I655" i="63"/>
  <c r="J647" i="63"/>
  <c r="I638" i="63"/>
  <c r="J633" i="63"/>
  <c r="I617" i="63"/>
  <c r="J614" i="63"/>
  <c r="I606" i="63"/>
  <c r="J602" i="63"/>
  <c r="I595" i="63"/>
  <c r="J591" i="63"/>
  <c r="I584" i="63"/>
  <c r="J578" i="63"/>
  <c r="I572" i="63"/>
  <c r="J567" i="63"/>
  <c r="I561" i="63"/>
  <c r="J552" i="63"/>
  <c r="I543" i="63"/>
  <c r="J540" i="63"/>
  <c r="I531" i="63"/>
  <c r="J524" i="63"/>
  <c r="I518" i="63"/>
  <c r="J512" i="63"/>
  <c r="I503" i="63"/>
  <c r="J500" i="63"/>
  <c r="I489" i="63"/>
  <c r="J485" i="63"/>
  <c r="I479" i="63"/>
  <c r="J475" i="63"/>
  <c r="I469" i="63"/>
  <c r="J465" i="63"/>
  <c r="I459" i="63"/>
  <c r="J455" i="63"/>
  <c r="I449" i="63"/>
  <c r="J446" i="63"/>
  <c r="I439" i="63"/>
  <c r="J436" i="63"/>
  <c r="I430" i="63"/>
  <c r="J426" i="63"/>
  <c r="I420" i="63"/>
  <c r="J416" i="63"/>
  <c r="I410" i="63"/>
  <c r="J406" i="63"/>
  <c r="I400" i="63"/>
  <c r="J390" i="63"/>
  <c r="I384" i="63"/>
  <c r="J378" i="63"/>
  <c r="I369" i="63"/>
  <c r="J366" i="63"/>
  <c r="I357" i="63"/>
  <c r="J350" i="63"/>
  <c r="I344" i="63"/>
  <c r="J338" i="63"/>
  <c r="I325" i="63"/>
  <c r="J322" i="63"/>
  <c r="I313" i="63"/>
  <c r="J306" i="63"/>
  <c r="I300" i="63"/>
  <c r="J294" i="63"/>
  <c r="I285" i="63"/>
  <c r="J282" i="63"/>
  <c r="I273" i="63"/>
  <c r="J260" i="63"/>
  <c r="I254" i="63"/>
  <c r="J248" i="63"/>
  <c r="I239" i="63"/>
  <c r="J236" i="63"/>
  <c r="I227" i="63"/>
  <c r="J220" i="63"/>
  <c r="I214" i="63"/>
  <c r="J208" i="63"/>
  <c r="I198" i="63"/>
  <c r="D194" i="63"/>
  <c r="F10" i="222" s="1"/>
  <c r="J194" i="63"/>
  <c r="D155" i="63"/>
  <c r="C113" i="219" s="1"/>
  <c r="J155" i="63"/>
  <c r="D118" i="63"/>
  <c r="E62" i="219" s="1"/>
  <c r="F62" i="219" s="1"/>
  <c r="J118" i="63"/>
  <c r="D106" i="63"/>
  <c r="H43" i="135" s="1"/>
  <c r="J106" i="63"/>
  <c r="D97" i="63"/>
  <c r="H34" i="219" s="1"/>
  <c r="J97" i="63"/>
  <c r="I65" i="63"/>
  <c r="J62" i="63"/>
  <c r="D39" i="63"/>
  <c r="F20" i="214" s="1"/>
  <c r="J39" i="63"/>
  <c r="D31" i="63"/>
  <c r="F12" i="214" s="1"/>
  <c r="J31" i="63"/>
  <c r="D217" i="63"/>
  <c r="H13" i="222" s="1"/>
  <c r="J217" i="63"/>
  <c r="D144" i="63"/>
  <c r="C91" i="135" s="1"/>
  <c r="J144" i="63"/>
  <c r="D105" i="63"/>
  <c r="H42" i="219" s="1"/>
  <c r="J105" i="63"/>
  <c r="D96" i="63"/>
  <c r="H33" i="219" s="1"/>
  <c r="J96" i="63"/>
  <c r="D38" i="63"/>
  <c r="F19" i="214" s="1"/>
  <c r="J38" i="63"/>
  <c r="I880" i="63"/>
  <c r="J877" i="63"/>
  <c r="I872" i="63"/>
  <c r="J869" i="63"/>
  <c r="I864" i="63"/>
  <c r="J861" i="63"/>
  <c r="I856" i="63"/>
  <c r="D849" i="63"/>
  <c r="J849" i="63"/>
  <c r="I846" i="63"/>
  <c r="J843" i="63"/>
  <c r="I838" i="63"/>
  <c r="J835" i="63"/>
  <c r="I830" i="63"/>
  <c r="J827" i="63"/>
  <c r="I822" i="63"/>
  <c r="J819" i="63"/>
  <c r="I813" i="63"/>
  <c r="J810" i="63"/>
  <c r="I805" i="63"/>
  <c r="J802" i="63"/>
  <c r="I797" i="63"/>
  <c r="J794" i="63"/>
  <c r="I789" i="63"/>
  <c r="I785" i="63"/>
  <c r="J782" i="63"/>
  <c r="I777" i="63"/>
  <c r="J774" i="63"/>
  <c r="I769" i="63"/>
  <c r="J766" i="63"/>
  <c r="I761" i="63"/>
  <c r="J758" i="63"/>
  <c r="I747" i="63"/>
  <c r="J744" i="63"/>
  <c r="I733" i="63"/>
  <c r="J730" i="63"/>
  <c r="I724" i="63"/>
  <c r="J713" i="63"/>
  <c r="I702" i="63"/>
  <c r="J697" i="63"/>
  <c r="I689" i="63"/>
  <c r="D683" i="63"/>
  <c r="D49" i="224" s="1"/>
  <c r="G49" i="224" s="1"/>
  <c r="J683" i="63"/>
  <c r="I671" i="63"/>
  <c r="J667" i="63"/>
  <c r="I659" i="63"/>
  <c r="D654" i="63"/>
  <c r="D28" i="224" s="1"/>
  <c r="G28" i="224" s="1"/>
  <c r="J654" i="63"/>
  <c r="I643" i="63"/>
  <c r="J637" i="63"/>
  <c r="I629" i="63"/>
  <c r="J616" i="63"/>
  <c r="I608" i="63"/>
  <c r="J605" i="63"/>
  <c r="I597" i="63"/>
  <c r="J594" i="63"/>
  <c r="I586" i="63"/>
  <c r="J582" i="63"/>
  <c r="I575" i="63"/>
  <c r="D571" i="63"/>
  <c r="G81" i="223" s="1"/>
  <c r="M81" i="223" s="1"/>
  <c r="J571" i="63"/>
  <c r="I564" i="63"/>
  <c r="J554" i="63"/>
  <c r="I548" i="63"/>
  <c r="D542" i="63"/>
  <c r="J70" i="223" s="1"/>
  <c r="P70" i="223" s="1"/>
  <c r="J542" i="63"/>
  <c r="I533" i="63"/>
  <c r="D530" i="63"/>
  <c r="I68" i="223" s="1"/>
  <c r="O68" i="223" s="1"/>
  <c r="J530" i="63"/>
  <c r="I521" i="63"/>
  <c r="D514" i="63"/>
  <c r="G72" i="223" s="1"/>
  <c r="M72" i="223" s="1"/>
  <c r="J514" i="63"/>
  <c r="I508" i="63"/>
  <c r="D502" i="63"/>
  <c r="F70" i="223" s="1"/>
  <c r="L70" i="223" s="1"/>
  <c r="J502" i="63"/>
  <c r="I491" i="63"/>
  <c r="J487" i="63"/>
  <c r="I481" i="63"/>
  <c r="D478" i="63"/>
  <c r="K42" i="223" s="1"/>
  <c r="J478" i="63"/>
  <c r="I471" i="63"/>
  <c r="J468" i="63"/>
  <c r="I462" i="63"/>
  <c r="J458" i="63"/>
  <c r="I452" i="63"/>
  <c r="J448" i="63"/>
  <c r="I442" i="63"/>
  <c r="D438" i="63"/>
  <c r="H50" i="223" s="1"/>
  <c r="N50" i="223" s="1"/>
  <c r="J438" i="63"/>
  <c r="I432" i="63"/>
  <c r="D428" i="63"/>
  <c r="G56" i="223" s="1"/>
  <c r="M56" i="223" s="1"/>
  <c r="J428" i="63"/>
  <c r="I422" i="63"/>
  <c r="D419" i="63"/>
  <c r="G47" i="223" s="1"/>
  <c r="M47" i="223" s="1"/>
  <c r="J419" i="63"/>
  <c r="D409" i="63"/>
  <c r="F53" i="223" s="1"/>
  <c r="L53" i="223" s="1"/>
  <c r="J409" i="63"/>
  <c r="D380" i="63"/>
  <c r="J32" i="223" s="1"/>
  <c r="P32" i="223" s="1"/>
  <c r="J380" i="63"/>
  <c r="D368" i="63"/>
  <c r="I30" i="223" s="1"/>
  <c r="O30" i="223" s="1"/>
  <c r="J368" i="63"/>
  <c r="D356" i="63"/>
  <c r="H28" i="223" s="1"/>
  <c r="N28" i="223" s="1"/>
  <c r="J356" i="63"/>
  <c r="D340" i="63"/>
  <c r="F32" i="223" s="1"/>
  <c r="L32" i="223" s="1"/>
  <c r="J340" i="63"/>
  <c r="D324" i="63"/>
  <c r="K14" i="223" s="1"/>
  <c r="Q14" i="223" s="1"/>
  <c r="J324" i="63"/>
  <c r="D312" i="63"/>
  <c r="J12" i="223" s="1"/>
  <c r="P12" i="223" s="1"/>
  <c r="J312" i="63"/>
  <c r="D296" i="63"/>
  <c r="H16" i="223" s="1"/>
  <c r="N16" i="223" s="1"/>
  <c r="J296" i="63"/>
  <c r="D284" i="63"/>
  <c r="G14" i="223" s="1"/>
  <c r="M14" i="223" s="1"/>
  <c r="J284" i="63"/>
  <c r="D272" i="63"/>
  <c r="F12" i="223" s="1"/>
  <c r="L12" i="223" s="1"/>
  <c r="J272" i="63"/>
  <c r="D238" i="63"/>
  <c r="J14" i="222" s="1"/>
  <c r="Q14" i="222" s="1"/>
  <c r="J238" i="63"/>
  <c r="D226" i="63"/>
  <c r="I12" i="222" s="1"/>
  <c r="P12" i="222" s="1"/>
  <c r="J226" i="63"/>
  <c r="D197" i="63"/>
  <c r="F13" i="222" s="1"/>
  <c r="M13" i="222" s="1"/>
  <c r="J197" i="63"/>
  <c r="D168" i="63"/>
  <c r="J168" i="63"/>
  <c r="J128" i="63"/>
  <c r="I123" i="63"/>
  <c r="J120" i="63"/>
  <c r="D104" i="63"/>
  <c r="H41" i="219" s="1"/>
  <c r="J104" i="63"/>
  <c r="D95" i="63"/>
  <c r="H32" i="135" s="1"/>
  <c r="J95" i="63"/>
  <c r="J64" i="63"/>
  <c r="D37" i="63"/>
  <c r="F18" i="214" s="1"/>
  <c r="J37" i="63"/>
  <c r="D29" i="63"/>
  <c r="F10" i="133" s="1"/>
  <c r="I10" i="133" s="1"/>
  <c r="J29" i="63"/>
  <c r="D727" i="63"/>
  <c r="D11" i="225" s="1"/>
  <c r="J727" i="63"/>
  <c r="D601" i="63"/>
  <c r="J81" i="223" s="1"/>
  <c r="P81" i="223" s="1"/>
  <c r="J601" i="63"/>
  <c r="D523" i="63"/>
  <c r="H71" i="223" s="1"/>
  <c r="N71" i="223" s="1"/>
  <c r="J523" i="63"/>
  <c r="D511" i="63"/>
  <c r="G69" i="223" s="1"/>
  <c r="M69" i="223" s="1"/>
  <c r="J511" i="63"/>
  <c r="D444" i="63"/>
  <c r="H56" i="223" s="1"/>
  <c r="N56" i="223" s="1"/>
  <c r="J444" i="63"/>
  <c r="D435" i="63"/>
  <c r="H47" i="223" s="1"/>
  <c r="N47" i="223" s="1"/>
  <c r="J435" i="63"/>
  <c r="D425" i="63"/>
  <c r="G53" i="223" s="1"/>
  <c r="M53" i="223" s="1"/>
  <c r="J425" i="63"/>
  <c r="D405" i="63"/>
  <c r="F49" i="223" s="1"/>
  <c r="L49" i="223" s="1"/>
  <c r="J405" i="63"/>
  <c r="D389" i="63"/>
  <c r="K31" i="223" s="1"/>
  <c r="Q31" i="223" s="1"/>
  <c r="J389" i="63"/>
  <c r="D377" i="63"/>
  <c r="J29" i="223" s="1"/>
  <c r="P29" i="223" s="1"/>
  <c r="J377" i="63"/>
  <c r="D364" i="63"/>
  <c r="I26" i="223" s="1"/>
  <c r="O26" i="223" s="1"/>
  <c r="J364" i="63"/>
  <c r="D349" i="63"/>
  <c r="G31" i="223" s="1"/>
  <c r="M31" i="223" s="1"/>
  <c r="J349" i="63"/>
  <c r="D337" i="63"/>
  <c r="F29" i="223" s="1"/>
  <c r="L29" i="223" s="1"/>
  <c r="J337" i="63"/>
  <c r="D320" i="63"/>
  <c r="K10" i="223" s="1"/>
  <c r="Q10" i="223" s="1"/>
  <c r="J320" i="63"/>
  <c r="D305" i="63"/>
  <c r="I15" i="223" s="1"/>
  <c r="O15" i="223" s="1"/>
  <c r="J305" i="63"/>
  <c r="D293" i="63"/>
  <c r="H13" i="223" s="1"/>
  <c r="N13" i="223" s="1"/>
  <c r="J293" i="63"/>
  <c r="D280" i="63"/>
  <c r="G10" i="223" s="1"/>
  <c r="M10" i="223" s="1"/>
  <c r="J280" i="63"/>
  <c r="D259" i="63"/>
  <c r="L15" i="222" s="1"/>
  <c r="S15" i="222" s="1"/>
  <c r="J259" i="63"/>
  <c r="D234" i="63"/>
  <c r="J10" i="222" s="1"/>
  <c r="Q10" i="222" s="1"/>
  <c r="J234" i="63"/>
  <c r="D219" i="63"/>
  <c r="H15" i="222" s="1"/>
  <c r="J219" i="63"/>
  <c r="I210" i="63"/>
  <c r="D207" i="63"/>
  <c r="G13" i="222" s="1"/>
  <c r="N13" i="222" s="1"/>
  <c r="J207" i="63"/>
  <c r="D182" i="63"/>
  <c r="I24" i="220" s="1"/>
  <c r="J182" i="63"/>
  <c r="D154" i="63"/>
  <c r="C112" i="135" s="1"/>
  <c r="D112" i="135" s="1"/>
  <c r="J154" i="63"/>
  <c r="D117" i="63"/>
  <c r="E61" i="219" s="1"/>
  <c r="F61" i="219" s="1"/>
  <c r="J117" i="63"/>
  <c r="D103" i="63"/>
  <c r="H40" i="219" s="1"/>
  <c r="J103" i="63"/>
  <c r="D94" i="63"/>
  <c r="H31" i="135" s="1"/>
  <c r="J94" i="63"/>
  <c r="D36" i="63"/>
  <c r="F17" i="133" s="1"/>
  <c r="J36" i="63"/>
  <c r="D28" i="63"/>
  <c r="F9" i="214" s="1"/>
  <c r="J28" i="63"/>
  <c r="J958" i="63"/>
  <c r="I953" i="63"/>
  <c r="D946" i="63"/>
  <c r="J946" i="63"/>
  <c r="I940" i="63"/>
  <c r="J937" i="63"/>
  <c r="I932" i="63"/>
  <c r="J929" i="63"/>
  <c r="I924" i="63"/>
  <c r="J921" i="63"/>
  <c r="I916" i="63"/>
  <c r="J912" i="63"/>
  <c r="I907" i="63"/>
  <c r="J904" i="63"/>
  <c r="I899" i="63"/>
  <c r="J896" i="63"/>
  <c r="I891" i="63"/>
  <c r="J888" i="63"/>
  <c r="I882" i="63"/>
  <c r="J879" i="63"/>
  <c r="I874" i="63"/>
  <c r="J871" i="63"/>
  <c r="I866" i="63"/>
  <c r="J863" i="63"/>
  <c r="I858" i="63"/>
  <c r="J855" i="63"/>
  <c r="I848" i="63"/>
  <c r="J845" i="63"/>
  <c r="I840" i="63"/>
  <c r="J837" i="63"/>
  <c r="I832" i="63"/>
  <c r="J829" i="63"/>
  <c r="I824" i="63"/>
  <c r="J821" i="63"/>
  <c r="I815" i="63"/>
  <c r="J812" i="63"/>
  <c r="I807" i="63"/>
  <c r="J804" i="63"/>
  <c r="I799" i="63"/>
  <c r="J796" i="63"/>
  <c r="I791" i="63"/>
  <c r="J788" i="63"/>
  <c r="J784" i="63"/>
  <c r="I779" i="63"/>
  <c r="J776" i="63"/>
  <c r="I771" i="63"/>
  <c r="J768" i="63"/>
  <c r="I763" i="63"/>
  <c r="J760" i="63"/>
  <c r="I749" i="63"/>
  <c r="J746" i="63"/>
  <c r="I735" i="63"/>
  <c r="J732" i="63"/>
  <c r="I727" i="63"/>
  <c r="D716" i="63"/>
  <c r="F67" i="224" s="1"/>
  <c r="J716" i="63"/>
  <c r="I709" i="63"/>
  <c r="D699" i="63"/>
  <c r="F49" i="224" s="1"/>
  <c r="I49" i="224" s="1"/>
  <c r="J699" i="63"/>
  <c r="I691" i="63"/>
  <c r="J687" i="63"/>
  <c r="I675" i="63"/>
  <c r="J670" i="63"/>
  <c r="I662" i="63"/>
  <c r="J658" i="63"/>
  <c r="I645" i="63"/>
  <c r="J640" i="63"/>
  <c r="I631" i="63"/>
  <c r="J618" i="63"/>
  <c r="I612" i="63"/>
  <c r="J607" i="63"/>
  <c r="I601" i="63"/>
  <c r="J596" i="63"/>
  <c r="I588" i="63"/>
  <c r="J585" i="63"/>
  <c r="I577" i="63"/>
  <c r="J574" i="63"/>
  <c r="I566" i="63"/>
  <c r="J562" i="63"/>
  <c r="I551" i="63"/>
  <c r="J544" i="63"/>
  <c r="I538" i="63"/>
  <c r="J532" i="63"/>
  <c r="I523" i="63"/>
  <c r="J520" i="63"/>
  <c r="I511" i="63"/>
  <c r="J504" i="63"/>
  <c r="I498" i="63"/>
  <c r="J490" i="63"/>
  <c r="I484" i="63"/>
  <c r="J480" i="63"/>
  <c r="I474" i="63"/>
  <c r="J470" i="63"/>
  <c r="I464" i="63"/>
  <c r="J460" i="63"/>
  <c r="I454" i="63"/>
  <c r="J451" i="63"/>
  <c r="I444" i="63"/>
  <c r="J441" i="63"/>
  <c r="I435" i="63"/>
  <c r="J431" i="63"/>
  <c r="I425" i="63"/>
  <c r="J421" i="63"/>
  <c r="I415" i="63"/>
  <c r="J411" i="63"/>
  <c r="I405" i="63"/>
  <c r="J401" i="63"/>
  <c r="I389" i="63"/>
  <c r="J386" i="63"/>
  <c r="I377" i="63"/>
  <c r="J370" i="63"/>
  <c r="I364" i="63"/>
  <c r="J358" i="63"/>
  <c r="I349" i="63"/>
  <c r="J346" i="63"/>
  <c r="I337" i="63"/>
  <c r="J326" i="63"/>
  <c r="I320" i="63"/>
  <c r="J314" i="63"/>
  <c r="I305" i="63"/>
  <c r="J302" i="63"/>
  <c r="I293" i="63"/>
  <c r="J286" i="63"/>
  <c r="I280" i="63"/>
  <c r="J274" i="63"/>
  <c r="I259" i="63"/>
  <c r="J256" i="63"/>
  <c r="I247" i="63"/>
  <c r="J240" i="63"/>
  <c r="I234" i="63"/>
  <c r="J228" i="63"/>
  <c r="I219" i="63"/>
  <c r="J216" i="63"/>
  <c r="I207" i="63"/>
  <c r="J199" i="63"/>
  <c r="I182" i="63"/>
  <c r="D170" i="63"/>
  <c r="B24" i="220" s="1"/>
  <c r="F24" i="220" s="1"/>
  <c r="H24" i="220" s="1"/>
  <c r="AA23" i="210" s="1"/>
  <c r="J170" i="63"/>
  <c r="I154" i="63"/>
  <c r="J138" i="63"/>
  <c r="I131" i="63"/>
  <c r="I125" i="63"/>
  <c r="J122" i="63"/>
  <c r="I117" i="63"/>
  <c r="D110" i="63"/>
  <c r="H47" i="219" s="1"/>
  <c r="J110" i="63"/>
  <c r="D101" i="63"/>
  <c r="H38" i="135" s="1"/>
  <c r="J101" i="63"/>
  <c r="J66" i="63"/>
  <c r="I61" i="63"/>
  <c r="J58" i="63"/>
  <c r="D35" i="63"/>
  <c r="F16" i="214" s="1"/>
  <c r="J35" i="63"/>
  <c r="D27" i="63"/>
  <c r="F8" i="214" s="1"/>
  <c r="J27" i="63"/>
  <c r="D196" i="63"/>
  <c r="F12" i="222" s="1"/>
  <c r="J196" i="63"/>
  <c r="D161" i="63"/>
  <c r="J161" i="63"/>
  <c r="D109" i="63"/>
  <c r="H46" i="219" s="1"/>
  <c r="J109" i="63"/>
  <c r="D100" i="63"/>
  <c r="H37" i="219" s="1"/>
  <c r="J100" i="63"/>
  <c r="D34" i="63"/>
  <c r="F15" i="133" s="1"/>
  <c r="J34" i="63"/>
  <c r="D26" i="63"/>
  <c r="F7" i="133" s="1"/>
  <c r="J26" i="63"/>
  <c r="D180" i="63"/>
  <c r="D115" i="63"/>
  <c r="E59" i="219" s="1"/>
  <c r="F59" i="219" s="1"/>
  <c r="D732" i="63"/>
  <c r="D16" i="225" s="1"/>
  <c r="E16" i="225" s="1"/>
  <c r="D681" i="63"/>
  <c r="D47" i="224" s="1"/>
  <c r="D670" i="63"/>
  <c r="F28" i="224" s="1"/>
  <c r="I28" i="224" s="1"/>
  <c r="D540" i="63"/>
  <c r="J68" i="223" s="1"/>
  <c r="P68" i="223" s="1"/>
  <c r="D532" i="63"/>
  <c r="I70" i="223" s="1"/>
  <c r="O70" i="223" s="1"/>
  <c r="D524" i="63"/>
  <c r="H72" i="223" s="1"/>
  <c r="N72" i="223" s="1"/>
  <c r="D500" i="63"/>
  <c r="F68" i="223" s="1"/>
  <c r="L68" i="223" s="1"/>
  <c r="D436" i="63"/>
  <c r="H48" i="223" s="1"/>
  <c r="N48" i="223" s="1"/>
  <c r="D426" i="63"/>
  <c r="G54" i="223" s="1"/>
  <c r="M54" i="223" s="1"/>
  <c r="D406" i="63"/>
  <c r="F50" i="223" s="1"/>
  <c r="L50" i="223" s="1"/>
  <c r="D386" i="63"/>
  <c r="K28" i="223" s="1"/>
  <c r="Q28" i="223" s="1"/>
  <c r="D378" i="63"/>
  <c r="J30" i="223" s="1"/>
  <c r="P30" i="223" s="1"/>
  <c r="D370" i="63"/>
  <c r="I32" i="223" s="1"/>
  <c r="O32" i="223" s="1"/>
  <c r="D346" i="63"/>
  <c r="G28" i="223" s="1"/>
  <c r="M28" i="223" s="1"/>
  <c r="D338" i="63"/>
  <c r="F30" i="223" s="1"/>
  <c r="L30" i="223" s="1"/>
  <c r="D326" i="63"/>
  <c r="K16" i="223" s="1"/>
  <c r="Q16" i="223" s="1"/>
  <c r="D302" i="63"/>
  <c r="I12" i="223" s="1"/>
  <c r="O12" i="223" s="1"/>
  <c r="D294" i="63"/>
  <c r="H14" i="223" s="1"/>
  <c r="N14" i="223" s="1"/>
  <c r="D286" i="63"/>
  <c r="G16" i="223" s="1"/>
  <c r="M16" i="223" s="1"/>
  <c r="D256" i="63"/>
  <c r="L12" i="222" s="1"/>
  <c r="S12" i="222" s="1"/>
  <c r="D240" i="63"/>
  <c r="J16" i="222" s="1"/>
  <c r="Q16" i="222" s="1"/>
  <c r="D216" i="63"/>
  <c r="H12" i="222" s="1"/>
  <c r="D698" i="63"/>
  <c r="F48" i="224" s="1"/>
  <c r="I48" i="224" s="1"/>
  <c r="D643" i="63"/>
  <c r="F10" i="224" s="1"/>
  <c r="I10" i="224" s="1"/>
  <c r="I9" i="224" s="1"/>
  <c r="I8" i="224" s="1"/>
  <c r="D521" i="63"/>
  <c r="H69" i="223" s="1"/>
  <c r="N69" i="223" s="1"/>
  <c r="D513" i="63"/>
  <c r="G71" i="223" s="1"/>
  <c r="M71" i="223" s="1"/>
  <c r="D481" i="63"/>
  <c r="K45" i="223" s="1"/>
  <c r="Q45" i="223" s="1"/>
  <c r="D442" i="63"/>
  <c r="H54" i="223" s="1"/>
  <c r="N54" i="223" s="1"/>
  <c r="D422" i="63"/>
  <c r="G50" i="223" s="1"/>
  <c r="M50" i="223" s="1"/>
  <c r="D412" i="63"/>
  <c r="F56" i="223" s="1"/>
  <c r="L56" i="223" s="1"/>
  <c r="D374" i="63"/>
  <c r="J26" i="223" s="1"/>
  <c r="P26" i="223" s="1"/>
  <c r="D367" i="63"/>
  <c r="I29" i="223" s="1"/>
  <c r="O29" i="223" s="1"/>
  <c r="D359" i="63"/>
  <c r="H31" i="223" s="1"/>
  <c r="N31" i="223" s="1"/>
  <c r="D334" i="63"/>
  <c r="F26" i="223" s="1"/>
  <c r="L26" i="223" s="1"/>
  <c r="D323" i="63"/>
  <c r="K13" i="223" s="1"/>
  <c r="Q13" i="223" s="1"/>
  <c r="D315" i="63"/>
  <c r="J15" i="223" s="1"/>
  <c r="P15" i="223" s="1"/>
  <c r="D290" i="63"/>
  <c r="H10" i="223" s="1"/>
  <c r="N10" i="223" s="1"/>
  <c r="D283" i="63"/>
  <c r="G13" i="223" s="1"/>
  <c r="M13" i="223" s="1"/>
  <c r="D275" i="63"/>
  <c r="F15" i="223" s="1"/>
  <c r="L15" i="223" s="1"/>
  <c r="D237" i="63"/>
  <c r="J13" i="222" s="1"/>
  <c r="Q13" i="222" s="1"/>
  <c r="D229" i="63"/>
  <c r="I15" i="222" s="1"/>
  <c r="P15" i="222" s="1"/>
  <c r="D697" i="63"/>
  <c r="F47" i="224" s="1"/>
  <c r="D591" i="63"/>
  <c r="I81" i="223" s="1"/>
  <c r="O81" i="223" s="1"/>
  <c r="D544" i="63"/>
  <c r="J72" i="223" s="1"/>
  <c r="P72" i="223" s="1"/>
  <c r="D520" i="63"/>
  <c r="H68" i="223" s="1"/>
  <c r="N68" i="223" s="1"/>
  <c r="D512" i="63"/>
  <c r="G70" i="223" s="1"/>
  <c r="M70" i="223" s="1"/>
  <c r="D504" i="63"/>
  <c r="F72" i="223" s="1"/>
  <c r="L72" i="223" s="1"/>
  <c r="D480" i="63"/>
  <c r="K44" i="223" s="1"/>
  <c r="Q44" i="223" s="1"/>
  <c r="D441" i="63"/>
  <c r="H53" i="223" s="1"/>
  <c r="N53" i="223" s="1"/>
  <c r="D421" i="63"/>
  <c r="G49" i="223" s="1"/>
  <c r="M49" i="223" s="1"/>
  <c r="D411" i="63"/>
  <c r="F55" i="223" s="1"/>
  <c r="L55" i="223" s="1"/>
  <c r="D390" i="63"/>
  <c r="K32" i="223" s="1"/>
  <c r="Q32" i="223" s="1"/>
  <c r="D366" i="63"/>
  <c r="I28" i="223" s="1"/>
  <c r="O28" i="223" s="1"/>
  <c r="D358" i="63"/>
  <c r="H30" i="223" s="1"/>
  <c r="N30" i="223" s="1"/>
  <c r="D350" i="63"/>
  <c r="G32" i="223" s="1"/>
  <c r="M32" i="223" s="1"/>
  <c r="D322" i="63"/>
  <c r="K12" i="223" s="1"/>
  <c r="Q12" i="223" s="1"/>
  <c r="D314" i="63"/>
  <c r="J14" i="223" s="1"/>
  <c r="P14" i="223" s="1"/>
  <c r="D306" i="63"/>
  <c r="I16" i="223" s="1"/>
  <c r="O16" i="223" s="1"/>
  <c r="D282" i="63"/>
  <c r="G12" i="223" s="1"/>
  <c r="M12" i="223" s="1"/>
  <c r="D274" i="63"/>
  <c r="F14" i="223" s="1"/>
  <c r="L14" i="223" s="1"/>
  <c r="D260" i="63"/>
  <c r="L16" i="222" s="1"/>
  <c r="S16" i="222" s="1"/>
  <c r="D236" i="63"/>
  <c r="J12" i="222" s="1"/>
  <c r="Q12" i="222" s="1"/>
  <c r="D228" i="63"/>
  <c r="I14" i="222" s="1"/>
  <c r="P14" i="222" s="1"/>
  <c r="D220" i="63"/>
  <c r="H16" i="222" s="1"/>
  <c r="D181" i="63"/>
  <c r="I16" i="220" s="1"/>
  <c r="D733" i="63"/>
  <c r="D17" i="225" s="1"/>
  <c r="E17" i="225" s="1"/>
  <c r="D715" i="63"/>
  <c r="F66" i="224" s="1"/>
  <c r="I66" i="224" s="1"/>
  <c r="M32" i="211" s="1"/>
  <c r="D682" i="63"/>
  <c r="D48" i="224" s="1"/>
  <c r="G48" i="224" s="1"/>
  <c r="D671" i="63"/>
  <c r="F29" i="224" s="1"/>
  <c r="I29" i="224" s="1"/>
  <c r="D636" i="63"/>
  <c r="E10" i="224" s="1"/>
  <c r="H10" i="224" s="1"/>
  <c r="N28" i="211" s="1"/>
  <c r="F263" i="44" s="1"/>
  <c r="D581" i="63"/>
  <c r="H81" i="223" s="1"/>
  <c r="N81" i="223" s="1"/>
  <c r="D541" i="63"/>
  <c r="J69" i="223" s="1"/>
  <c r="P69" i="223" s="1"/>
  <c r="D533" i="63"/>
  <c r="I71" i="223" s="1"/>
  <c r="O71" i="223" s="1"/>
  <c r="D501" i="63"/>
  <c r="F69" i="223" s="1"/>
  <c r="L69" i="223" s="1"/>
  <c r="D437" i="63"/>
  <c r="H49" i="223" s="1"/>
  <c r="N49" i="223" s="1"/>
  <c r="D427" i="63"/>
  <c r="G55" i="223" s="1"/>
  <c r="M55" i="223" s="1"/>
  <c r="D407" i="63"/>
  <c r="F51" i="223" s="1"/>
  <c r="L51" i="223" s="1"/>
  <c r="D387" i="63"/>
  <c r="K29" i="223" s="1"/>
  <c r="Q29" i="223" s="1"/>
  <c r="D379" i="63"/>
  <c r="J31" i="223" s="1"/>
  <c r="P31" i="223" s="1"/>
  <c r="D354" i="63"/>
  <c r="H26" i="223" s="1"/>
  <c r="N26" i="223" s="1"/>
  <c r="D347" i="63"/>
  <c r="G29" i="223" s="1"/>
  <c r="M29" i="223" s="1"/>
  <c r="D339" i="63"/>
  <c r="F31" i="223" s="1"/>
  <c r="L31" i="223" s="1"/>
  <c r="D310" i="63"/>
  <c r="J10" i="223" s="1"/>
  <c r="P10" i="223" s="1"/>
  <c r="D303" i="63"/>
  <c r="I13" i="223" s="1"/>
  <c r="O13" i="223" s="1"/>
  <c r="D295" i="63"/>
  <c r="H15" i="223" s="1"/>
  <c r="N15" i="223" s="1"/>
  <c r="D270" i="63"/>
  <c r="F10" i="223" s="1"/>
  <c r="L10" i="223" s="1"/>
  <c r="D257" i="63"/>
  <c r="L13" i="222" s="1"/>
  <c r="S13" i="222" s="1"/>
  <c r="D224" i="63"/>
  <c r="I10" i="222" s="1"/>
  <c r="P10" i="222" s="1"/>
  <c r="D485" i="63"/>
  <c r="D455" i="63"/>
  <c r="D465" i="63"/>
  <c r="D475" i="63"/>
  <c r="D446" i="63"/>
  <c r="D69" i="63"/>
  <c r="G22" i="214" s="1"/>
  <c r="D416" i="63"/>
  <c r="D1345" i="63"/>
  <c r="D1393" i="63"/>
  <c r="D1361" i="63"/>
  <c r="D1335" i="63"/>
  <c r="D1311" i="63"/>
  <c r="D1245" i="63"/>
  <c r="D1237" i="63"/>
  <c r="D1229" i="63"/>
  <c r="D1221" i="63"/>
  <c r="D1213" i="63"/>
  <c r="D1205" i="63"/>
  <c r="D1196" i="63"/>
  <c r="D1188" i="63"/>
  <c r="D1180" i="63"/>
  <c r="D1172" i="63"/>
  <c r="D1164" i="63"/>
  <c r="D1156" i="63"/>
  <c r="D1147" i="63"/>
  <c r="D1139" i="63"/>
  <c r="B46" i="228" s="1"/>
  <c r="I46" i="228" s="1"/>
  <c r="D1127" i="63"/>
  <c r="D1119" i="63"/>
  <c r="D1110" i="63"/>
  <c r="D1269" i="63"/>
  <c r="D1383" i="63"/>
  <c r="D1353" i="63"/>
  <c r="D1315" i="63"/>
  <c r="D1375" i="63"/>
  <c r="D1323" i="63"/>
  <c r="D1288" i="63"/>
  <c r="D1102" i="63"/>
  <c r="D1093" i="63"/>
  <c r="D1081" i="63"/>
  <c r="D1070" i="63"/>
  <c r="D1056" i="63"/>
  <c r="D1053" i="63"/>
  <c r="D1041" i="63"/>
  <c r="F125" i="160" s="1"/>
  <c r="D1033" i="63"/>
  <c r="F117" i="160" s="1"/>
  <c r="D1025" i="63"/>
  <c r="F109" i="160" s="1"/>
  <c r="D1017" i="63"/>
  <c r="F101" i="160" s="1"/>
  <c r="D1003" i="63"/>
  <c r="E118" i="160" s="1"/>
  <c r="D995" i="63"/>
  <c r="E110" i="160" s="1"/>
  <c r="D987" i="63"/>
  <c r="E102" i="160" s="1"/>
  <c r="D973" i="63"/>
  <c r="D119" i="160" s="1"/>
  <c r="D965" i="63"/>
  <c r="D111" i="160" s="1"/>
  <c r="D957" i="63"/>
  <c r="D103" i="160" s="1"/>
  <c r="D944" i="63"/>
  <c r="F84" i="160" s="1"/>
  <c r="D936" i="63"/>
  <c r="F76" i="160" s="1"/>
  <c r="D928" i="63"/>
  <c r="F68" i="160" s="1"/>
  <c r="D920" i="63"/>
  <c r="F60" i="160" s="1"/>
  <c r="D911" i="63"/>
  <c r="E82" i="160" s="1"/>
  <c r="D903" i="63"/>
  <c r="E74" i="160" s="1"/>
  <c r="D895" i="63"/>
  <c r="E66" i="160" s="1"/>
  <c r="D887" i="63"/>
  <c r="E58" i="160" s="1"/>
  <c r="D878" i="63"/>
  <c r="D80" i="160" s="1"/>
  <c r="D870" i="63"/>
  <c r="D72" i="160" s="1"/>
  <c r="D862" i="63"/>
  <c r="D64" i="160" s="1"/>
  <c r="D854" i="63"/>
  <c r="D56" i="160" s="1"/>
  <c r="D844" i="63"/>
  <c r="F40" i="160" s="1"/>
  <c r="D836" i="63"/>
  <c r="F32" i="160" s="1"/>
  <c r="D828" i="63"/>
  <c r="F24" i="160" s="1"/>
  <c r="D820" i="63"/>
  <c r="F16" i="160" s="1"/>
  <c r="D811" i="63"/>
  <c r="E38" i="160" s="1"/>
  <c r="D803" i="63"/>
  <c r="E30" i="160" s="1"/>
  <c r="D795" i="63"/>
  <c r="E22" i="160" s="1"/>
  <c r="D778" i="63"/>
  <c r="D36" i="160" s="1"/>
  <c r="D770" i="63"/>
  <c r="D28" i="160" s="1"/>
  <c r="D762" i="63"/>
  <c r="D20" i="160" s="1"/>
  <c r="D748" i="63"/>
  <c r="D690" i="63"/>
  <c r="D637" i="63"/>
  <c r="D611" i="63"/>
  <c r="D605" i="63"/>
  <c r="D598" i="63"/>
  <c r="D582" i="63"/>
  <c r="D576" i="63"/>
  <c r="D550" i="63"/>
  <c r="D487" i="63"/>
  <c r="D468" i="63"/>
  <c r="D458" i="63"/>
  <c r="D448" i="63"/>
  <c r="D399" i="63"/>
  <c r="D250" i="63"/>
  <c r="D210" i="63"/>
  <c r="D199" i="63"/>
  <c r="D136" i="63"/>
  <c r="E80" i="219" s="1"/>
  <c r="F80" i="219" s="1"/>
  <c r="D128" i="63"/>
  <c r="D60" i="63"/>
  <c r="G13" i="214" s="1"/>
  <c r="D248" i="63"/>
  <c r="D126" i="63"/>
  <c r="E70" i="219" s="1"/>
  <c r="D1384" i="63"/>
  <c r="D1354" i="63"/>
  <c r="D1313" i="63"/>
  <c r="D1246" i="63"/>
  <c r="D1230" i="63"/>
  <c r="D1214" i="63"/>
  <c r="D1197" i="63"/>
  <c r="D1181" i="63"/>
  <c r="D1148" i="63"/>
  <c r="D1103" i="63"/>
  <c r="D1082" i="63"/>
  <c r="D1057" i="63"/>
  <c r="D1018" i="63"/>
  <c r="F102" i="160" s="1"/>
  <c r="D1004" i="63"/>
  <c r="E119" i="160" s="1"/>
  <c r="D988" i="63"/>
  <c r="E103" i="160" s="1"/>
  <c r="D974" i="63"/>
  <c r="D120" i="160" s="1"/>
  <c r="D966" i="63"/>
  <c r="D112" i="160" s="1"/>
  <c r="D958" i="63"/>
  <c r="D104" i="160" s="1"/>
  <c r="D937" i="63"/>
  <c r="F77" i="160" s="1"/>
  <c r="D929" i="63"/>
  <c r="F69" i="160" s="1"/>
  <c r="D921" i="63"/>
  <c r="F61" i="160" s="1"/>
  <c r="D912" i="63"/>
  <c r="E83" i="160" s="1"/>
  <c r="D904" i="63"/>
  <c r="E75" i="160" s="1"/>
  <c r="D896" i="63"/>
  <c r="E67" i="160" s="1"/>
  <c r="D888" i="63"/>
  <c r="E59" i="160" s="1"/>
  <c r="D879" i="63"/>
  <c r="D81" i="160" s="1"/>
  <c r="D871" i="63"/>
  <c r="D73" i="160" s="1"/>
  <c r="D863" i="63"/>
  <c r="D65" i="160" s="1"/>
  <c r="D855" i="63"/>
  <c r="D57" i="160" s="1"/>
  <c r="D845" i="63"/>
  <c r="F41" i="160" s="1"/>
  <c r="D837" i="63"/>
  <c r="F33" i="160" s="1"/>
  <c r="D829" i="63"/>
  <c r="F25" i="160" s="1"/>
  <c r="D821" i="63"/>
  <c r="F17" i="160" s="1"/>
  <c r="D812" i="63"/>
  <c r="E39" i="160" s="1"/>
  <c r="D804" i="63"/>
  <c r="E31" i="160" s="1"/>
  <c r="D796" i="63"/>
  <c r="E23" i="160" s="1"/>
  <c r="D779" i="63"/>
  <c r="D37" i="160" s="1"/>
  <c r="D771" i="63"/>
  <c r="D29" i="160" s="1"/>
  <c r="D763" i="63"/>
  <c r="D21" i="160" s="1"/>
  <c r="D749" i="63"/>
  <c r="D735" i="63"/>
  <c r="D702" i="63"/>
  <c r="D691" i="63"/>
  <c r="D662" i="63"/>
  <c r="D638" i="63"/>
  <c r="D612" i="63"/>
  <c r="D606" i="63"/>
  <c r="D584" i="63"/>
  <c r="D577" i="63"/>
  <c r="D551" i="63"/>
  <c r="D1394" i="63"/>
  <c r="D1289" i="63"/>
  <c r="D1206" i="63"/>
  <c r="D1189" i="63"/>
  <c r="D1165" i="63"/>
  <c r="D1128" i="63"/>
  <c r="D1094" i="63"/>
  <c r="D1034" i="63"/>
  <c r="F118" i="160" s="1"/>
  <c r="D1362" i="63"/>
  <c r="D1346" i="63"/>
  <c r="D1260" i="63"/>
  <c r="D1238" i="63"/>
  <c r="D1222" i="63"/>
  <c r="D1173" i="63"/>
  <c r="D1157" i="63"/>
  <c r="D1140" i="63"/>
  <c r="D1120" i="63"/>
  <c r="D1111" i="63"/>
  <c r="D1071" i="63"/>
  <c r="D1054" i="63"/>
  <c r="D1026" i="63"/>
  <c r="F110" i="160" s="1"/>
  <c r="D996" i="63"/>
  <c r="E111" i="160" s="1"/>
  <c r="D518" i="63"/>
  <c r="D489" i="63"/>
  <c r="D469" i="63"/>
  <c r="D459" i="63"/>
  <c r="D449" i="63"/>
  <c r="D430" i="63"/>
  <c r="D400" i="63"/>
  <c r="D208" i="63"/>
  <c r="D1380" i="63"/>
  <c r="D1374" i="63"/>
  <c r="D1360" i="63"/>
  <c r="D1287" i="63"/>
  <c r="D1268" i="63"/>
  <c r="D1252" i="63"/>
  <c r="D1236" i="63"/>
  <c r="D1228" i="63"/>
  <c r="D1220" i="63"/>
  <c r="D1212" i="63"/>
  <c r="D1203" i="63"/>
  <c r="D1195" i="63"/>
  <c r="D1187" i="63"/>
  <c r="D1179" i="63"/>
  <c r="D1171" i="63"/>
  <c r="D1163" i="63"/>
  <c r="D1154" i="63"/>
  <c r="D1146" i="63"/>
  <c r="D1134" i="63"/>
  <c r="D1126" i="63"/>
  <c r="D1117" i="63"/>
  <c r="D1109" i="63"/>
  <c r="D1100" i="63"/>
  <c r="D1088" i="63"/>
  <c r="D1080" i="63"/>
  <c r="G11" i="163" s="1"/>
  <c r="K11" i="163" s="1"/>
  <c r="K10" i="163" s="1"/>
  <c r="D1392" i="63"/>
  <c r="D1352" i="63"/>
  <c r="D1344" i="63"/>
  <c r="D1334" i="63"/>
  <c r="D1322" i="63"/>
  <c r="D1310" i="63"/>
  <c r="D1244" i="63"/>
  <c r="D1391" i="63"/>
  <c r="D1343" i="63"/>
  <c r="D1309" i="63"/>
  <c r="D1285" i="63"/>
  <c r="D1235" i="63"/>
  <c r="D1227" i="63"/>
  <c r="D1202" i="63"/>
  <c r="D1194" i="63"/>
  <c r="D1178" i="63"/>
  <c r="D1170" i="63"/>
  <c r="D1162" i="63"/>
  <c r="D1153" i="63"/>
  <c r="D1145" i="63"/>
  <c r="D1133" i="63"/>
  <c r="D1125" i="63"/>
  <c r="D1116" i="63"/>
  <c r="D1108" i="63"/>
  <c r="D1099" i="63"/>
  <c r="D1087" i="63"/>
  <c r="D1079" i="63"/>
  <c r="D1076" i="63"/>
  <c r="D1068" i="63"/>
  <c r="D1065" i="63"/>
  <c r="D1051" i="63"/>
  <c r="D1039" i="63"/>
  <c r="F123" i="160" s="1"/>
  <c r="D1031" i="63"/>
  <c r="F115" i="160" s="1"/>
  <c r="D1023" i="63"/>
  <c r="F107" i="160" s="1"/>
  <c r="D1015" i="63"/>
  <c r="F99" i="160" s="1"/>
  <c r="D1009" i="63"/>
  <c r="E124" i="160" s="1"/>
  <c r="D1001" i="63"/>
  <c r="E116" i="160" s="1"/>
  <c r="D993" i="63"/>
  <c r="E108" i="160" s="1"/>
  <c r="D1399" i="63"/>
  <c r="D1373" i="63"/>
  <c r="D1359" i="63"/>
  <c r="D1351" i="63"/>
  <c r="D1301" i="63"/>
  <c r="D1251" i="63"/>
  <c r="D1243" i="63"/>
  <c r="D1219" i="63"/>
  <c r="D1211" i="63"/>
  <c r="D1186" i="63"/>
  <c r="D1077" i="63"/>
  <c r="D1069" i="63"/>
  <c r="D1066" i="63"/>
  <c r="D1052" i="63"/>
  <c r="D1040" i="63"/>
  <c r="F124" i="160" s="1"/>
  <c r="D1032" i="63"/>
  <c r="F116" i="160" s="1"/>
  <c r="D1024" i="63"/>
  <c r="F108" i="160" s="1"/>
  <c r="D1016" i="63"/>
  <c r="F100" i="160" s="1"/>
  <c r="D1010" i="63"/>
  <c r="E125" i="160" s="1"/>
  <c r="D1002" i="63"/>
  <c r="E117" i="160" s="1"/>
  <c r="D994" i="63"/>
  <c r="E109" i="160" s="1"/>
  <c r="D986" i="63"/>
  <c r="E101" i="160" s="1"/>
  <c r="D972" i="63"/>
  <c r="D118" i="160" s="1"/>
  <c r="D964" i="63"/>
  <c r="D110" i="160" s="1"/>
  <c r="D956" i="63"/>
  <c r="D102" i="160" s="1"/>
  <c r="D943" i="63"/>
  <c r="F83" i="160" s="1"/>
  <c r="D935" i="63"/>
  <c r="F75" i="160" s="1"/>
  <c r="D927" i="63"/>
  <c r="F67" i="160" s="1"/>
  <c r="D919" i="63"/>
  <c r="F59" i="160" s="1"/>
  <c r="D910" i="63"/>
  <c r="E81" i="160" s="1"/>
  <c r="D902" i="63"/>
  <c r="E73" i="160" s="1"/>
  <c r="D894" i="63"/>
  <c r="E65" i="160" s="1"/>
  <c r="D886" i="63"/>
  <c r="E57" i="160" s="1"/>
  <c r="D877" i="63"/>
  <c r="D79" i="160" s="1"/>
  <c r="D869" i="63"/>
  <c r="D71" i="160" s="1"/>
  <c r="D861" i="63"/>
  <c r="D63" i="160" s="1"/>
  <c r="D843" i="63"/>
  <c r="F39" i="160" s="1"/>
  <c r="D835" i="63"/>
  <c r="F31" i="160" s="1"/>
  <c r="D827" i="63"/>
  <c r="F23" i="160" s="1"/>
  <c r="D819" i="63"/>
  <c r="F15" i="160" s="1"/>
  <c r="D810" i="63"/>
  <c r="E37" i="160" s="1"/>
  <c r="D802" i="63"/>
  <c r="E29" i="160" s="1"/>
  <c r="D794" i="63"/>
  <c r="E21" i="160" s="1"/>
  <c r="D785" i="63"/>
  <c r="D43" i="160" s="1"/>
  <c r="D777" i="63"/>
  <c r="D35" i="160" s="1"/>
  <c r="D769" i="63"/>
  <c r="D27" i="160" s="1"/>
  <c r="D761" i="63"/>
  <c r="D19" i="160" s="1"/>
  <c r="D747" i="63"/>
  <c r="D689" i="63"/>
  <c r="D659" i="63"/>
  <c r="D604" i="63"/>
  <c r="D597" i="63"/>
  <c r="D575" i="63"/>
  <c r="D568" i="63"/>
  <c r="D548" i="63"/>
  <c r="D508" i="63"/>
  <c r="D486" i="63"/>
  <c r="D476" i="63"/>
  <c r="D467" i="63"/>
  <c r="D457" i="63"/>
  <c r="D447" i="63"/>
  <c r="D417" i="63"/>
  <c r="D398" i="63"/>
  <c r="D249" i="63"/>
  <c r="D209" i="63"/>
  <c r="D135" i="63"/>
  <c r="D127" i="63"/>
  <c r="D119" i="63"/>
  <c r="E63" i="219" s="1"/>
  <c r="F63" i="219" s="1"/>
  <c r="D200" i="63"/>
  <c r="D137" i="63"/>
  <c r="D985" i="63"/>
  <c r="E100" i="160" s="1"/>
  <c r="D979" i="63"/>
  <c r="D125" i="160" s="1"/>
  <c r="D971" i="63"/>
  <c r="D117" i="160" s="1"/>
  <c r="D963" i="63"/>
  <c r="D109" i="160" s="1"/>
  <c r="D955" i="63"/>
  <c r="D101" i="160" s="1"/>
  <c r="D942" i="63"/>
  <c r="F82" i="160" s="1"/>
  <c r="D934" i="63"/>
  <c r="F74" i="160" s="1"/>
  <c r="D926" i="63"/>
  <c r="F66" i="160" s="1"/>
  <c r="D918" i="63"/>
  <c r="F58" i="160" s="1"/>
  <c r="D909" i="63"/>
  <c r="E80" i="160" s="1"/>
  <c r="D901" i="63"/>
  <c r="E72" i="160" s="1"/>
  <c r="D893" i="63"/>
  <c r="E64" i="160" s="1"/>
  <c r="D885" i="63"/>
  <c r="E56" i="160" s="1"/>
  <c r="D876" i="63"/>
  <c r="D78" i="160" s="1"/>
  <c r="D868" i="63"/>
  <c r="D70" i="160" s="1"/>
  <c r="D860" i="63"/>
  <c r="D62" i="160" s="1"/>
  <c r="D842" i="63"/>
  <c r="F38" i="160" s="1"/>
  <c r="D834" i="63"/>
  <c r="F30" i="160" s="1"/>
  <c r="D826" i="63"/>
  <c r="F22" i="160" s="1"/>
  <c r="D809" i="63"/>
  <c r="E36" i="160" s="1"/>
  <c r="D801" i="63"/>
  <c r="E28" i="160" s="1"/>
  <c r="D793" i="63"/>
  <c r="E20" i="160" s="1"/>
  <c r="D784" i="63"/>
  <c r="D42" i="160" s="1"/>
  <c r="D776" i="63"/>
  <c r="D34" i="160" s="1"/>
  <c r="D768" i="63"/>
  <c r="D26" i="160" s="1"/>
  <c r="D760" i="63"/>
  <c r="D18" i="160" s="1"/>
  <c r="D746" i="63"/>
  <c r="D713" i="63"/>
  <c r="D687" i="63"/>
  <c r="D658" i="63"/>
  <c r="D647" i="63"/>
  <c r="D633" i="63"/>
  <c r="D618" i="63"/>
  <c r="D602" i="63"/>
  <c r="D596" i="63"/>
  <c r="D574" i="63"/>
  <c r="D567" i="63"/>
  <c r="D61" i="63"/>
  <c r="D120" i="63"/>
  <c r="D30" i="63"/>
  <c r="D1397" i="63"/>
  <c r="D1389" i="63"/>
  <c r="D1357" i="63"/>
  <c r="D1349" i="63"/>
  <c r="D1341" i="63"/>
  <c r="D1329" i="63"/>
  <c r="D1293" i="63"/>
  <c r="D1283" i="63"/>
  <c r="D1264" i="63"/>
  <c r="D1249" i="63"/>
  <c r="D1241" i="63"/>
  <c r="D1233" i="63"/>
  <c r="D1225" i="63"/>
  <c r="D1217" i="63"/>
  <c r="D1209" i="63"/>
  <c r="D1200" i="63"/>
  <c r="D1192" i="63"/>
  <c r="D1184" i="63"/>
  <c r="D1176" i="63"/>
  <c r="D1168" i="63"/>
  <c r="D1160" i="63"/>
  <c r="D1151" i="63"/>
  <c r="D1143" i="63"/>
  <c r="D1131" i="63"/>
  <c r="D1123" i="63"/>
  <c r="D1114" i="63"/>
  <c r="D1106" i="63"/>
  <c r="D1097" i="63"/>
  <c r="D67" i="63"/>
  <c r="D59" i="63"/>
  <c r="D1396" i="63"/>
  <c r="D1388" i="63"/>
  <c r="D1368" i="63"/>
  <c r="D1356" i="63"/>
  <c r="D1348" i="63"/>
  <c r="D1340" i="63"/>
  <c r="D1328" i="63"/>
  <c r="D1292" i="63"/>
  <c r="D1281" i="63"/>
  <c r="D1248" i="63"/>
  <c r="D1240" i="63"/>
  <c r="D1232" i="63"/>
  <c r="D1224" i="63"/>
  <c r="D1216" i="63"/>
  <c r="D1208" i="63"/>
  <c r="D1199" i="63"/>
  <c r="D1191" i="63"/>
  <c r="D1183" i="63"/>
  <c r="D1175" i="63"/>
  <c r="D1167" i="63"/>
  <c r="D1159" i="63"/>
  <c r="D1150" i="63"/>
  <c r="D1142" i="63"/>
  <c r="D1130" i="63"/>
  <c r="D1122" i="63"/>
  <c r="D1113" i="63"/>
  <c r="D1105" i="63"/>
  <c r="D1096" i="63"/>
  <c r="D1358" i="63"/>
  <c r="D1350" i="63"/>
  <c r="D1303" i="63"/>
  <c r="D1284" i="63"/>
  <c r="D1265" i="63"/>
  <c r="D1250" i="63"/>
  <c r="D1242" i="63"/>
  <c r="D1218" i="63"/>
  <c r="D1210" i="63"/>
  <c r="D1177" i="63"/>
  <c r="D1161" i="63"/>
  <c r="D1144" i="63"/>
  <c r="D1132" i="63"/>
  <c r="D1115" i="63"/>
  <c r="D1098" i="63"/>
  <c r="D1086" i="63"/>
  <c r="D1075" i="63"/>
  <c r="D1050" i="63"/>
  <c r="D1030" i="63"/>
  <c r="F114" i="160" s="1"/>
  <c r="D1014" i="63"/>
  <c r="F98" i="160" s="1"/>
  <c r="D1008" i="63"/>
  <c r="E123" i="160" s="1"/>
  <c r="D1000" i="63"/>
  <c r="E115" i="160" s="1"/>
  <c r="D978" i="63"/>
  <c r="D124" i="160" s="1"/>
  <c r="D962" i="63"/>
  <c r="D108" i="160" s="1"/>
  <c r="D954" i="63"/>
  <c r="D100" i="160" s="1"/>
  <c r="D925" i="63"/>
  <c r="F65" i="160" s="1"/>
  <c r="D908" i="63"/>
  <c r="E79" i="160" s="1"/>
  <c r="D892" i="63"/>
  <c r="E63" i="160" s="1"/>
  <c r="D875" i="63"/>
  <c r="D77" i="160" s="1"/>
  <c r="D859" i="63"/>
  <c r="D61" i="160" s="1"/>
  <c r="D825" i="63"/>
  <c r="F21" i="160" s="1"/>
  <c r="D808" i="63"/>
  <c r="E35" i="160" s="1"/>
  <c r="D783" i="63"/>
  <c r="D41" i="160" s="1"/>
  <c r="D759" i="63"/>
  <c r="D17" i="160" s="1"/>
  <c r="D686" i="63"/>
  <c r="D675" i="63"/>
  <c r="D645" i="63"/>
  <c r="D631" i="63"/>
  <c r="D617" i="63"/>
  <c r="D595" i="63"/>
  <c r="D588" i="63"/>
  <c r="D572" i="63"/>
  <c r="D566" i="63"/>
  <c r="D538" i="63"/>
  <c r="D498" i="63"/>
  <c r="D484" i="63"/>
  <c r="D474" i="63"/>
  <c r="D464" i="63"/>
  <c r="D454" i="63"/>
  <c r="D415" i="63"/>
  <c r="D247" i="63"/>
  <c r="D1404" i="63"/>
  <c r="D1398" i="63"/>
  <c r="D1390" i="63"/>
  <c r="D1342" i="63"/>
  <c r="D1300" i="63"/>
  <c r="D1234" i="63"/>
  <c r="D1226" i="63"/>
  <c r="D1201" i="63"/>
  <c r="D1193" i="63"/>
  <c r="D1185" i="63"/>
  <c r="D1169" i="63"/>
  <c r="D1152" i="63"/>
  <c r="D1124" i="63"/>
  <c r="D1107" i="63"/>
  <c r="D1064" i="63"/>
  <c r="D1038" i="63"/>
  <c r="F122" i="160" s="1"/>
  <c r="D1022" i="63"/>
  <c r="F106" i="160" s="1"/>
  <c r="D992" i="63"/>
  <c r="E107" i="160" s="1"/>
  <c r="D984" i="63"/>
  <c r="E99" i="160" s="1"/>
  <c r="D970" i="63"/>
  <c r="D116" i="160" s="1"/>
  <c r="D941" i="63"/>
  <c r="F81" i="160" s="1"/>
  <c r="D933" i="63"/>
  <c r="F73" i="160" s="1"/>
  <c r="D917" i="63"/>
  <c r="F57" i="160" s="1"/>
  <c r="D900" i="63"/>
  <c r="E71" i="160" s="1"/>
  <c r="D867" i="63"/>
  <c r="D69" i="160" s="1"/>
  <c r="D841" i="63"/>
  <c r="F37" i="160" s="1"/>
  <c r="D833" i="63"/>
  <c r="F29" i="160" s="1"/>
  <c r="D816" i="63"/>
  <c r="E43" i="160" s="1"/>
  <c r="D800" i="63"/>
  <c r="E27" i="160" s="1"/>
  <c r="D792" i="63"/>
  <c r="E19" i="160" s="1"/>
  <c r="D775" i="63"/>
  <c r="D33" i="160" s="1"/>
  <c r="D767" i="63"/>
  <c r="D25" i="160" s="1"/>
  <c r="D1395" i="63"/>
  <c r="D1387" i="63"/>
  <c r="D1363" i="63"/>
  <c r="D1355" i="63"/>
  <c r="D1347" i="63"/>
  <c r="D1291" i="63"/>
  <c r="D1280" i="63"/>
  <c r="D1261" i="63"/>
  <c r="D1247" i="63"/>
  <c r="D1239" i="63"/>
  <c r="D1231" i="63"/>
  <c r="D1223" i="63"/>
  <c r="D1215" i="63"/>
  <c r="D1207" i="63"/>
  <c r="D1198" i="63"/>
  <c r="D1190" i="63"/>
  <c r="D1182" i="63"/>
  <c r="D1174" i="63"/>
  <c r="D1166" i="63"/>
  <c r="D1158" i="63"/>
  <c r="D1149" i="63"/>
  <c r="D1141" i="63"/>
  <c r="D1129" i="63"/>
  <c r="D1121" i="63"/>
  <c r="D1112" i="63"/>
  <c r="D1104" i="63"/>
  <c r="D1095" i="63"/>
  <c r="D1083" i="63"/>
  <c r="D1072" i="63"/>
  <c r="D1058" i="63"/>
  <c r="D1035" i="63"/>
  <c r="F119" i="160" s="1"/>
  <c r="D1027" i="63"/>
  <c r="F111" i="160" s="1"/>
  <c r="D1019" i="63"/>
  <c r="F103" i="160" s="1"/>
  <c r="D1005" i="63"/>
  <c r="E120" i="160" s="1"/>
  <c r="D997" i="63"/>
  <c r="E112" i="160" s="1"/>
  <c r="D989" i="63"/>
  <c r="E104" i="160" s="1"/>
  <c r="D981" i="63"/>
  <c r="D975" i="63"/>
  <c r="D121" i="160" s="1"/>
  <c r="D967" i="63"/>
  <c r="D113" i="160" s="1"/>
  <c r="D959" i="63"/>
  <c r="D105" i="160" s="1"/>
  <c r="D951" i="63"/>
  <c r="D97" i="160" s="1"/>
  <c r="D938" i="63"/>
  <c r="F78" i="160" s="1"/>
  <c r="D930" i="63"/>
  <c r="F70" i="160" s="1"/>
  <c r="D922" i="63"/>
  <c r="F62" i="160" s="1"/>
  <c r="D913" i="63"/>
  <c r="E84" i="160" s="1"/>
  <c r="D905" i="63"/>
  <c r="E76" i="160" s="1"/>
  <c r="D897" i="63"/>
  <c r="E68" i="160" s="1"/>
  <c r="D889" i="63"/>
  <c r="E60" i="160" s="1"/>
  <c r="D883" i="63"/>
  <c r="D85" i="160" s="1"/>
  <c r="D880" i="63"/>
  <c r="D82" i="160" s="1"/>
  <c r="D872" i="63"/>
  <c r="D74" i="160" s="1"/>
  <c r="D864" i="63"/>
  <c r="D66" i="160" s="1"/>
  <c r="D856" i="63"/>
  <c r="D58" i="160" s="1"/>
  <c r="D846" i="63"/>
  <c r="F42" i="160" s="1"/>
  <c r="D838" i="63"/>
  <c r="F34" i="160" s="1"/>
  <c r="D830" i="63"/>
  <c r="F26" i="160" s="1"/>
  <c r="D822" i="63"/>
  <c r="F18" i="160" s="1"/>
  <c r="D813" i="63"/>
  <c r="E40" i="160" s="1"/>
  <c r="D805" i="63"/>
  <c r="E32" i="160" s="1"/>
  <c r="D797" i="63"/>
  <c r="E24" i="160" s="1"/>
  <c r="D789" i="63"/>
  <c r="E16" i="160" s="1"/>
  <c r="D780" i="63"/>
  <c r="D38" i="160" s="1"/>
  <c r="D772" i="63"/>
  <c r="D30" i="160" s="1"/>
  <c r="D764" i="63"/>
  <c r="D22" i="160" s="1"/>
  <c r="D750" i="63"/>
  <c r="D742" i="63"/>
  <c r="D728" i="63"/>
  <c r="D725" i="63"/>
  <c r="D703" i="63"/>
  <c r="D694" i="63"/>
  <c r="D663" i="63"/>
  <c r="D640" i="63"/>
  <c r="D614" i="63"/>
  <c r="D607" i="63"/>
  <c r="D585" i="63"/>
  <c r="D578" i="63"/>
  <c r="D562" i="63"/>
  <c r="D552" i="63"/>
  <c r="D490" i="63"/>
  <c r="D470" i="63"/>
  <c r="D460" i="63"/>
  <c r="D451" i="63"/>
  <c r="D431" i="63"/>
  <c r="D401" i="63"/>
  <c r="D130" i="63"/>
  <c r="D122" i="63"/>
  <c r="D64" i="63"/>
  <c r="G17" i="214" s="1"/>
  <c r="D1085" i="63"/>
  <c r="D1074" i="63"/>
  <c r="D1063" i="63"/>
  <c r="D1060" i="63"/>
  <c r="D1043" i="63"/>
  <c r="D1037" i="63"/>
  <c r="F121" i="160" s="1"/>
  <c r="D1029" i="63"/>
  <c r="F113" i="160" s="1"/>
  <c r="D1021" i="63"/>
  <c r="F105" i="160" s="1"/>
  <c r="D1013" i="63"/>
  <c r="F97" i="160" s="1"/>
  <c r="D1007" i="63"/>
  <c r="E122" i="160" s="1"/>
  <c r="D999" i="63"/>
  <c r="E114" i="160" s="1"/>
  <c r="D991" i="63"/>
  <c r="E106" i="160" s="1"/>
  <c r="D983" i="63"/>
  <c r="E98" i="160" s="1"/>
  <c r="D977" i="63"/>
  <c r="D123" i="160" s="1"/>
  <c r="D969" i="63"/>
  <c r="D115" i="160" s="1"/>
  <c r="D961" i="63"/>
  <c r="D107" i="160" s="1"/>
  <c r="D953" i="63"/>
  <c r="D99" i="160" s="1"/>
  <c r="D940" i="63"/>
  <c r="F80" i="160" s="1"/>
  <c r="D932" i="63"/>
  <c r="F72" i="160" s="1"/>
  <c r="D924" i="63"/>
  <c r="F64" i="160" s="1"/>
  <c r="D916" i="63"/>
  <c r="F56" i="160" s="1"/>
  <c r="D907" i="63"/>
  <c r="E78" i="160" s="1"/>
  <c r="D899" i="63"/>
  <c r="E70" i="160" s="1"/>
  <c r="D891" i="63"/>
  <c r="E62" i="160" s="1"/>
  <c r="D882" i="63"/>
  <c r="D84" i="160" s="1"/>
  <c r="D874" i="63"/>
  <c r="D76" i="160" s="1"/>
  <c r="D866" i="63"/>
  <c r="D68" i="160" s="1"/>
  <c r="D858" i="63"/>
  <c r="D60" i="160" s="1"/>
  <c r="D848" i="63"/>
  <c r="F44" i="160" s="1"/>
  <c r="D840" i="63"/>
  <c r="F36" i="160" s="1"/>
  <c r="D832" i="63"/>
  <c r="F28" i="160" s="1"/>
  <c r="D824" i="63"/>
  <c r="F20" i="160" s="1"/>
  <c r="D815" i="63"/>
  <c r="E42" i="160" s="1"/>
  <c r="D807" i="63"/>
  <c r="E34" i="160" s="1"/>
  <c r="D799" i="63"/>
  <c r="E26" i="160" s="1"/>
  <c r="D791" i="63"/>
  <c r="E18" i="160" s="1"/>
  <c r="D782" i="63"/>
  <c r="D40" i="160" s="1"/>
  <c r="D774" i="63"/>
  <c r="D32" i="160" s="1"/>
  <c r="D766" i="63"/>
  <c r="D24" i="160" s="1"/>
  <c r="D758" i="63"/>
  <c r="D16" i="160" s="1"/>
  <c r="D744" i="63"/>
  <c r="D730" i="63"/>
  <c r="D710" i="63"/>
  <c r="D674" i="63"/>
  <c r="D667" i="63"/>
  <c r="D644" i="63"/>
  <c r="D630" i="63"/>
  <c r="D616" i="63"/>
  <c r="D594" i="63"/>
  <c r="D587" i="63"/>
  <c r="D565" i="63"/>
  <c r="D554" i="63"/>
  <c r="D492" i="63"/>
  <c r="D483" i="63"/>
  <c r="D473" i="63"/>
  <c r="D463" i="63"/>
  <c r="D453" i="63"/>
  <c r="D433" i="63"/>
  <c r="D414" i="63"/>
  <c r="D124" i="63"/>
  <c r="D116" i="63"/>
  <c r="D66" i="63"/>
  <c r="G19" i="214" s="1"/>
  <c r="D58" i="63"/>
  <c r="G11" i="214" s="1"/>
  <c r="D129" i="63"/>
  <c r="D63" i="63"/>
  <c r="D1084" i="63"/>
  <c r="D1073" i="63"/>
  <c r="D1062" i="63"/>
  <c r="D1059" i="63"/>
  <c r="D1036" i="63"/>
  <c r="F120" i="160" s="1"/>
  <c r="D1028" i="63"/>
  <c r="F112" i="160" s="1"/>
  <c r="D1020" i="63"/>
  <c r="F104" i="160" s="1"/>
  <c r="D1012" i="63"/>
  <c r="D1006" i="63"/>
  <c r="E121" i="160" s="1"/>
  <c r="D998" i="63"/>
  <c r="E113" i="160" s="1"/>
  <c r="D990" i="63"/>
  <c r="E105" i="160" s="1"/>
  <c r="D982" i="63"/>
  <c r="E97" i="160" s="1"/>
  <c r="D976" i="63"/>
  <c r="D122" i="160" s="1"/>
  <c r="D968" i="63"/>
  <c r="D114" i="160" s="1"/>
  <c r="D960" i="63"/>
  <c r="D106" i="160" s="1"/>
  <c r="D952" i="63"/>
  <c r="D98" i="160" s="1"/>
  <c r="D939" i="63"/>
  <c r="F79" i="160" s="1"/>
  <c r="D931" i="63"/>
  <c r="F71" i="160" s="1"/>
  <c r="D923" i="63"/>
  <c r="F63" i="160" s="1"/>
  <c r="D906" i="63"/>
  <c r="E77" i="160" s="1"/>
  <c r="D898" i="63"/>
  <c r="E69" i="160" s="1"/>
  <c r="D890" i="63"/>
  <c r="E61" i="160" s="1"/>
  <c r="D881" i="63"/>
  <c r="D83" i="160" s="1"/>
  <c r="D873" i="63"/>
  <c r="D75" i="160" s="1"/>
  <c r="D865" i="63"/>
  <c r="D67" i="160" s="1"/>
  <c r="D857" i="63"/>
  <c r="D59" i="160" s="1"/>
  <c r="D847" i="63"/>
  <c r="F43" i="160" s="1"/>
  <c r="D839" i="63"/>
  <c r="F35" i="160" s="1"/>
  <c r="D831" i="63"/>
  <c r="F27" i="160" s="1"/>
  <c r="D823" i="63"/>
  <c r="F19" i="160" s="1"/>
  <c r="D814" i="63"/>
  <c r="E41" i="160" s="1"/>
  <c r="D806" i="63"/>
  <c r="E33" i="160" s="1"/>
  <c r="D798" i="63"/>
  <c r="E25" i="160" s="1"/>
  <c r="D790" i="63"/>
  <c r="E17" i="160" s="1"/>
  <c r="D781" i="63"/>
  <c r="D39" i="160" s="1"/>
  <c r="D773" i="63"/>
  <c r="D31" i="160" s="1"/>
  <c r="D765" i="63"/>
  <c r="D23" i="160" s="1"/>
  <c r="D757" i="63"/>
  <c r="D15" i="160" s="1"/>
  <c r="D743" i="63"/>
  <c r="D729" i="63"/>
  <c r="D709" i="63"/>
  <c r="D695" i="63"/>
  <c r="D666" i="63"/>
  <c r="D629" i="63"/>
  <c r="D615" i="63"/>
  <c r="D608" i="63"/>
  <c r="D592" i="63"/>
  <c r="D586" i="63"/>
  <c r="D564" i="63"/>
  <c r="D553" i="63"/>
  <c r="D528" i="63"/>
  <c r="D491" i="63"/>
  <c r="D471" i="63"/>
  <c r="D462" i="63"/>
  <c r="D452" i="63"/>
  <c r="D432" i="63"/>
  <c r="D403" i="63"/>
  <c r="D244" i="63"/>
  <c r="K10" i="222" s="1"/>
  <c r="R10" i="222" s="1"/>
  <c r="D123" i="63"/>
  <c r="D65" i="63"/>
  <c r="D1279" i="63"/>
  <c r="D1267" i="63"/>
  <c r="D1263" i="63"/>
  <c r="D1259" i="63"/>
  <c r="D817" i="63"/>
  <c r="E44" i="160" s="1"/>
  <c r="D786" i="63"/>
  <c r="D44" i="160" s="1"/>
  <c r="D125" i="63"/>
  <c r="D62" i="63"/>
  <c r="D1042" i="63"/>
  <c r="D138" i="63"/>
  <c r="D980" i="63"/>
  <c r="D945" i="63"/>
  <c r="F85" i="160" s="1"/>
  <c r="D121" i="63"/>
  <c r="D914" i="63"/>
  <c r="E85" i="160" s="1"/>
  <c r="B72" i="231" l="1"/>
  <c r="B72" i="168"/>
  <c r="B73" i="168"/>
  <c r="B73" i="231"/>
  <c r="D75" i="231" a="1"/>
  <c r="D75" i="231" s="1"/>
  <c r="D75" i="168" a="1"/>
  <c r="D75" i="168" s="1"/>
  <c r="D74" i="168" a="1"/>
  <c r="D74" i="168" s="1"/>
  <c r="D74" i="231" a="1"/>
  <c r="D74" i="231" s="1"/>
  <c r="D72" i="231" a="1"/>
  <c r="D72" i="231" s="1"/>
  <c r="D72" i="168" a="1"/>
  <c r="D72" i="168" s="1"/>
  <c r="D76" i="168" a="1"/>
  <c r="D76" i="168" s="1"/>
  <c r="D76" i="231" a="1"/>
  <c r="D76" i="231" s="1"/>
  <c r="B74" i="168"/>
  <c r="B74" i="231"/>
  <c r="D73" i="168" a="1"/>
  <c r="D73" i="168" s="1"/>
  <c r="D73" i="231" a="1"/>
  <c r="D73" i="231" s="1"/>
  <c r="B76" i="231"/>
  <c r="B76" i="168"/>
  <c r="B75" i="168"/>
  <c r="B75" i="231"/>
  <c r="G116" i="160"/>
  <c r="G16" i="160"/>
  <c r="G23" i="160"/>
  <c r="F10" i="147"/>
  <c r="M10" i="147" s="1"/>
  <c r="O10" i="147" s="1"/>
  <c r="R26" i="223"/>
  <c r="G107" i="160"/>
  <c r="G38" i="160"/>
  <c r="G102" i="160"/>
  <c r="G83" i="160"/>
  <c r="G82" i="160"/>
  <c r="G59" i="160"/>
  <c r="G106" i="160"/>
  <c r="G99" i="160"/>
  <c r="G105" i="160"/>
  <c r="G25" i="160"/>
  <c r="G122" i="160"/>
  <c r="G101" i="160"/>
  <c r="G20" i="160"/>
  <c r="G119" i="160"/>
  <c r="D49" i="168" a="1"/>
  <c r="D49" i="168" s="1"/>
  <c r="G31" i="160"/>
  <c r="G58" i="160"/>
  <c r="G108" i="160"/>
  <c r="G110" i="160"/>
  <c r="G66" i="160"/>
  <c r="G124" i="160"/>
  <c r="G67" i="160"/>
  <c r="G121" i="160"/>
  <c r="G98" i="160"/>
  <c r="G113" i="160"/>
  <c r="G33" i="160"/>
  <c r="G109" i="160"/>
  <c r="G79" i="160"/>
  <c r="G17" i="160"/>
  <c r="G112" i="160"/>
  <c r="G28" i="160"/>
  <c r="F126" i="227"/>
  <c r="F126" i="160"/>
  <c r="G24" i="160"/>
  <c r="G115" i="160"/>
  <c r="G41" i="160"/>
  <c r="G100" i="160"/>
  <c r="G37" i="160"/>
  <c r="G57" i="160"/>
  <c r="G120" i="160"/>
  <c r="G36" i="160"/>
  <c r="G56" i="160"/>
  <c r="G60" i="160"/>
  <c r="G104" i="160"/>
  <c r="G114" i="160"/>
  <c r="G77" i="160"/>
  <c r="G32" i="160"/>
  <c r="G123" i="160"/>
  <c r="G27" i="160"/>
  <c r="G35" i="160"/>
  <c r="G18" i="160"/>
  <c r="G30" i="160"/>
  <c r="G65" i="160"/>
  <c r="G21" i="160"/>
  <c r="G22" i="160"/>
  <c r="G64" i="160"/>
  <c r="G68" i="160"/>
  <c r="G39" i="160"/>
  <c r="G40" i="160"/>
  <c r="G26" i="160"/>
  <c r="G19" i="160"/>
  <c r="G73" i="160"/>
  <c r="G118" i="160"/>
  <c r="G29" i="160"/>
  <c r="G72" i="160"/>
  <c r="G76" i="160"/>
  <c r="G44" i="160"/>
  <c r="G74" i="160"/>
  <c r="G61" i="160"/>
  <c r="G34" i="160"/>
  <c r="G62" i="160"/>
  <c r="G81" i="160"/>
  <c r="G80" i="160"/>
  <c r="G84" i="160"/>
  <c r="E126" i="227"/>
  <c r="E126" i="160"/>
  <c r="D126" i="227"/>
  <c r="D126" i="160"/>
  <c r="G42" i="160"/>
  <c r="G70" i="160"/>
  <c r="G103" i="160"/>
  <c r="G71" i="160"/>
  <c r="G75" i="160"/>
  <c r="G85" i="160"/>
  <c r="G97" i="160"/>
  <c r="G69" i="160"/>
  <c r="G78" i="160"/>
  <c r="G43" i="160"/>
  <c r="G63" i="160"/>
  <c r="G117" i="160"/>
  <c r="G111" i="160"/>
  <c r="G125" i="160"/>
  <c r="I8" i="220"/>
  <c r="I8" i="141"/>
  <c r="R10" i="223"/>
  <c r="M14" i="222"/>
  <c r="O14" i="222" s="1"/>
  <c r="M10" i="222"/>
  <c r="O10" i="222" s="1"/>
  <c r="T10" i="222" s="1"/>
  <c r="M12" i="222"/>
  <c r="O12" i="222" s="1"/>
  <c r="T12" i="222" s="1"/>
  <c r="R31" i="223"/>
  <c r="S31" i="223" s="1"/>
  <c r="R32" i="223"/>
  <c r="S32" i="223" s="1"/>
  <c r="R14" i="223"/>
  <c r="S14" i="223" s="1"/>
  <c r="R12" i="223"/>
  <c r="R29" i="223"/>
  <c r="S29" i="223" s="1"/>
  <c r="E11" i="225"/>
  <c r="N26" i="211" s="1"/>
  <c r="O13" i="222"/>
  <c r="E8" i="225"/>
  <c r="N25" i="211" s="1"/>
  <c r="R30" i="223"/>
  <c r="S30" i="223" s="1"/>
  <c r="R15" i="223"/>
  <c r="S15" i="223" s="1"/>
  <c r="R13" i="223"/>
  <c r="R16" i="223"/>
  <c r="S16" i="223" s="1"/>
  <c r="R28" i="223"/>
  <c r="E27" i="151"/>
  <c r="B8" i="220"/>
  <c r="F8" i="220" s="1"/>
  <c r="H8" i="220" s="1"/>
  <c r="B16" i="141"/>
  <c r="F16" i="141" s="1"/>
  <c r="H16" i="141" s="1"/>
  <c r="AA22" i="47" s="1"/>
  <c r="H10" i="149"/>
  <c r="N10" i="149" s="1"/>
  <c r="H36" i="135"/>
  <c r="I36" i="135" s="1"/>
  <c r="K36" i="135" s="1"/>
  <c r="O36" i="135" s="1"/>
  <c r="P36" i="135" s="1"/>
  <c r="H44" i="135"/>
  <c r="I44" i="135" s="1"/>
  <c r="K44" i="135" s="1"/>
  <c r="O44" i="135" s="1"/>
  <c r="P44" i="135" s="1"/>
  <c r="I10" i="149"/>
  <c r="O10" i="149" s="1"/>
  <c r="D131" i="63"/>
  <c r="E75" i="135" s="1"/>
  <c r="F75" i="135" s="1"/>
  <c r="L10" i="147"/>
  <c r="S10" i="147" s="1"/>
  <c r="H30" i="149"/>
  <c r="N30" i="149" s="1"/>
  <c r="F54" i="149"/>
  <c r="L54" i="149" s="1"/>
  <c r="I19" i="214"/>
  <c r="J19" i="214" s="1"/>
  <c r="D47" i="151"/>
  <c r="H55" i="149"/>
  <c r="N55" i="149" s="1"/>
  <c r="K42" i="149"/>
  <c r="H34" i="135"/>
  <c r="I34" i="135" s="1"/>
  <c r="K34" i="135" s="1"/>
  <c r="O34" i="135" s="1"/>
  <c r="P34" i="135" s="1"/>
  <c r="G13" i="149"/>
  <c r="M13" i="149" s="1"/>
  <c r="I31" i="149"/>
  <c r="O31" i="149" s="1"/>
  <c r="F81" i="149"/>
  <c r="L81" i="149" s="1"/>
  <c r="D28" i="151"/>
  <c r="G28" i="151" s="1"/>
  <c r="G12" i="147"/>
  <c r="N12" i="147" s="1"/>
  <c r="L14" i="147"/>
  <c r="S14" i="147" s="1"/>
  <c r="J16" i="149"/>
  <c r="P16" i="149" s="1"/>
  <c r="D9" i="158"/>
  <c r="L28" i="211"/>
  <c r="H41" i="135"/>
  <c r="I41" i="135" s="1"/>
  <c r="K41" i="135" s="1"/>
  <c r="O41" i="135" s="1"/>
  <c r="P41" i="135" s="1"/>
  <c r="E61" i="135"/>
  <c r="F61" i="135" s="1"/>
  <c r="J28" i="149"/>
  <c r="P28" i="149" s="1"/>
  <c r="G72" i="149"/>
  <c r="M72" i="149" s="1"/>
  <c r="J12" i="147"/>
  <c r="Q12" i="147" s="1"/>
  <c r="H13" i="147"/>
  <c r="K43" i="149"/>
  <c r="Q43" i="149" s="1"/>
  <c r="Q42" i="149" s="1"/>
  <c r="F13" i="147"/>
  <c r="M13" i="147" s="1"/>
  <c r="I14" i="147"/>
  <c r="P14" i="147" s="1"/>
  <c r="F72" i="149"/>
  <c r="L72" i="149" s="1"/>
  <c r="H35" i="219"/>
  <c r="I35" i="219" s="1"/>
  <c r="K35" i="219" s="1"/>
  <c r="O35" i="219" s="1"/>
  <c r="P35" i="219" s="1"/>
  <c r="K16" i="220"/>
  <c r="M16" i="220" s="1"/>
  <c r="AC22" i="210" s="1"/>
  <c r="AG22" i="210" s="1"/>
  <c r="C457" i="44" s="1"/>
  <c r="H28" i="149"/>
  <c r="N28" i="149" s="1"/>
  <c r="I12" i="147"/>
  <c r="P12" i="147" s="1"/>
  <c r="F10" i="151"/>
  <c r="I10" i="151" s="1"/>
  <c r="I9" i="151" s="1"/>
  <c r="I8" i="151" s="1"/>
  <c r="H51" i="149"/>
  <c r="N51" i="149" s="1"/>
  <c r="J13" i="147"/>
  <c r="Q13" i="147" s="1"/>
  <c r="G47" i="149"/>
  <c r="M47" i="149" s="1"/>
  <c r="F10" i="214"/>
  <c r="I10" i="214" s="1"/>
  <c r="J10" i="214" s="1"/>
  <c r="D788" i="63"/>
  <c r="E15" i="160" s="1"/>
  <c r="G15" i="160" s="1"/>
  <c r="J15" i="147"/>
  <c r="Q15" i="147" s="1"/>
  <c r="F49" i="151"/>
  <c r="I49" i="151" s="1"/>
  <c r="K10" i="149"/>
  <c r="Q10" i="149" s="1"/>
  <c r="L16" i="147"/>
  <c r="S16" i="147" s="1"/>
  <c r="I28" i="149"/>
  <c r="O28" i="149" s="1"/>
  <c r="H15" i="147"/>
  <c r="G50" i="149"/>
  <c r="M50" i="149" s="1"/>
  <c r="H68" i="149"/>
  <c r="N68" i="149" s="1"/>
  <c r="I32" i="149"/>
  <c r="O32" i="149" s="1"/>
  <c r="F49" i="149"/>
  <c r="L49" i="149" s="1"/>
  <c r="H13" i="149"/>
  <c r="N13" i="149" s="1"/>
  <c r="G49" i="149"/>
  <c r="M49" i="149" s="1"/>
  <c r="G22" i="133"/>
  <c r="H31" i="149"/>
  <c r="N31" i="149" s="1"/>
  <c r="H47" i="149"/>
  <c r="N47" i="149" s="1"/>
  <c r="B8" i="141"/>
  <c r="F8" i="141" s="1"/>
  <c r="H8" i="141" s="1"/>
  <c r="D49" i="151"/>
  <c r="G49" i="151" s="1"/>
  <c r="F21" i="133"/>
  <c r="J81" i="149"/>
  <c r="P81" i="149" s="1"/>
  <c r="L15" i="147"/>
  <c r="S15" i="147" s="1"/>
  <c r="H29" i="149"/>
  <c r="N29" i="149" s="1"/>
  <c r="J29" i="149"/>
  <c r="P29" i="149" s="1"/>
  <c r="F12" i="149"/>
  <c r="L12" i="149" s="1"/>
  <c r="K14" i="149"/>
  <c r="Q14" i="149" s="1"/>
  <c r="F28" i="149"/>
  <c r="L28" i="149" s="1"/>
  <c r="J32" i="149"/>
  <c r="P32" i="149" s="1"/>
  <c r="F70" i="149"/>
  <c r="L70" i="149" s="1"/>
  <c r="G26" i="149"/>
  <c r="M26" i="149" s="1"/>
  <c r="K30" i="149"/>
  <c r="Q30" i="149" s="1"/>
  <c r="D48" i="151"/>
  <c r="G48" i="151" s="1"/>
  <c r="J72" i="149"/>
  <c r="P72" i="149" s="1"/>
  <c r="H14" i="147"/>
  <c r="G68" i="149"/>
  <c r="M68" i="149" s="1"/>
  <c r="H54" i="149"/>
  <c r="N54" i="149" s="1"/>
  <c r="I13" i="147"/>
  <c r="P13" i="147" s="1"/>
  <c r="F16" i="149"/>
  <c r="L16" i="149" s="1"/>
  <c r="I47" i="224"/>
  <c r="I46" i="224" s="1"/>
  <c r="F14" i="149"/>
  <c r="L14" i="149" s="1"/>
  <c r="F71" i="149"/>
  <c r="L71" i="149" s="1"/>
  <c r="D29" i="151"/>
  <c r="G29" i="151" s="1"/>
  <c r="F17" i="214"/>
  <c r="I67" i="224"/>
  <c r="K32" i="149"/>
  <c r="Q32" i="149" s="1"/>
  <c r="H33" i="135"/>
  <c r="I33" i="135" s="1"/>
  <c r="K33" i="135" s="1"/>
  <c r="O33" i="135" s="1"/>
  <c r="P33" i="135" s="1"/>
  <c r="J15" i="149"/>
  <c r="P15" i="149" s="1"/>
  <c r="D18" i="156"/>
  <c r="E18" i="156" s="1"/>
  <c r="M29" i="211"/>
  <c r="C122" i="135"/>
  <c r="D122" i="135" s="1"/>
  <c r="B23" i="135" s="1"/>
  <c r="D23" i="135" s="1"/>
  <c r="E23" i="135" s="1"/>
  <c r="C122" i="219"/>
  <c r="D122" i="219" s="1"/>
  <c r="B23" i="219" s="1"/>
  <c r="D23" i="219" s="1"/>
  <c r="H12" i="147"/>
  <c r="E63" i="135"/>
  <c r="F63" i="135" s="1"/>
  <c r="F67" i="151"/>
  <c r="I67" i="151" s="1"/>
  <c r="M33" i="48" s="1"/>
  <c r="H71" i="149"/>
  <c r="N71" i="149" s="1"/>
  <c r="G53" i="149"/>
  <c r="M53" i="149" s="1"/>
  <c r="G15" i="149"/>
  <c r="M15" i="149" s="1"/>
  <c r="F15" i="149"/>
  <c r="L15" i="149" s="1"/>
  <c r="J71" i="149"/>
  <c r="P71" i="149" s="1"/>
  <c r="F30" i="149"/>
  <c r="L30" i="149" s="1"/>
  <c r="H40" i="135"/>
  <c r="I40" i="135" s="1"/>
  <c r="K40" i="135" s="1"/>
  <c r="O40" i="135" s="1"/>
  <c r="P40" i="135" s="1"/>
  <c r="F48" i="151"/>
  <c r="I48" i="151" s="1"/>
  <c r="H32" i="149"/>
  <c r="N32" i="149" s="1"/>
  <c r="L13" i="147"/>
  <c r="S13" i="147" s="1"/>
  <c r="G13" i="147"/>
  <c r="N13" i="147" s="1"/>
  <c r="G10" i="149"/>
  <c r="M10" i="149" s="1"/>
  <c r="L29" i="211"/>
  <c r="K12" i="149"/>
  <c r="Q12" i="149" s="1"/>
  <c r="K12" i="147"/>
  <c r="R12" i="147" s="1"/>
  <c r="G32" i="149"/>
  <c r="M32" i="149" s="1"/>
  <c r="H10" i="147"/>
  <c r="F29" i="149"/>
  <c r="L29" i="149" s="1"/>
  <c r="H56" i="149"/>
  <c r="N56" i="149" s="1"/>
  <c r="H50" i="149"/>
  <c r="N50" i="149" s="1"/>
  <c r="I72" i="149"/>
  <c r="O72" i="149" s="1"/>
  <c r="E59" i="135"/>
  <c r="F59" i="135" s="1"/>
  <c r="G51" i="149"/>
  <c r="M51" i="149" s="1"/>
  <c r="D8" i="156"/>
  <c r="H46" i="135"/>
  <c r="I46" i="135" s="1"/>
  <c r="K46" i="135" s="1"/>
  <c r="O46" i="135" s="1"/>
  <c r="P46" i="135" s="1"/>
  <c r="K15" i="149"/>
  <c r="Q15" i="149" s="1"/>
  <c r="I29" i="149"/>
  <c r="O29" i="149" s="1"/>
  <c r="G14" i="149"/>
  <c r="M14" i="149" s="1"/>
  <c r="H16" i="147"/>
  <c r="K44" i="149"/>
  <c r="Q44" i="149" s="1"/>
  <c r="D11" i="156"/>
  <c r="I14" i="149"/>
  <c r="O14" i="149" s="1"/>
  <c r="H42" i="135"/>
  <c r="I42" i="135" s="1"/>
  <c r="K42" i="135" s="1"/>
  <c r="O42" i="135" s="1"/>
  <c r="P42" i="135" s="1"/>
  <c r="F26" i="149"/>
  <c r="L26" i="149" s="1"/>
  <c r="J30" i="149"/>
  <c r="P30" i="149" s="1"/>
  <c r="I16" i="149"/>
  <c r="O16" i="149" s="1"/>
  <c r="H81" i="149"/>
  <c r="N81" i="149" s="1"/>
  <c r="F53" i="149"/>
  <c r="L53" i="149" s="1"/>
  <c r="J26" i="149"/>
  <c r="P26" i="149" s="1"/>
  <c r="K31" i="149"/>
  <c r="Q31" i="149" s="1"/>
  <c r="F47" i="151"/>
  <c r="G71" i="149"/>
  <c r="M71" i="149" s="1"/>
  <c r="H12" i="149"/>
  <c r="N12" i="149" s="1"/>
  <c r="F31" i="149"/>
  <c r="L31" i="149" s="1"/>
  <c r="F32" i="149"/>
  <c r="L32" i="149" s="1"/>
  <c r="F68" i="149"/>
  <c r="L68" i="149" s="1"/>
  <c r="J31" i="149"/>
  <c r="P31" i="149" s="1"/>
  <c r="I81" i="149"/>
  <c r="O81" i="149" s="1"/>
  <c r="F51" i="149"/>
  <c r="L51" i="149" s="1"/>
  <c r="G31" i="149"/>
  <c r="M31" i="149" s="1"/>
  <c r="G69" i="149"/>
  <c r="M69" i="149" s="1"/>
  <c r="K16" i="149"/>
  <c r="Q16" i="149" s="1"/>
  <c r="K13" i="149"/>
  <c r="Q13" i="149" s="1"/>
  <c r="G12" i="149"/>
  <c r="M12" i="149" s="1"/>
  <c r="F55" i="149"/>
  <c r="L55" i="149" s="1"/>
  <c r="J10" i="147"/>
  <c r="Q10" i="147" s="1"/>
  <c r="F29" i="151"/>
  <c r="I29" i="151" s="1"/>
  <c r="B24" i="141"/>
  <c r="F24" i="141" s="1"/>
  <c r="H24" i="141" s="1"/>
  <c r="AA23" i="47" s="1"/>
  <c r="H16" i="149"/>
  <c r="N16" i="149" s="1"/>
  <c r="K28" i="149"/>
  <c r="Q28" i="149" s="1"/>
  <c r="D91" i="219"/>
  <c r="I26" i="149"/>
  <c r="O26" i="149" s="1"/>
  <c r="I68" i="149"/>
  <c r="O68" i="149" s="1"/>
  <c r="H49" i="149"/>
  <c r="N49" i="149" s="1"/>
  <c r="F13" i="133"/>
  <c r="H15" i="149"/>
  <c r="N15" i="149" s="1"/>
  <c r="J16" i="147"/>
  <c r="Q16" i="147" s="1"/>
  <c r="J12" i="149"/>
  <c r="P12" i="149" s="1"/>
  <c r="F7" i="214"/>
  <c r="H45" i="135"/>
  <c r="I45" i="135" s="1"/>
  <c r="K45" i="135" s="1"/>
  <c r="O45" i="135" s="1"/>
  <c r="P45" i="135" s="1"/>
  <c r="K26" i="149"/>
  <c r="Q26" i="149" s="1"/>
  <c r="J10" i="149"/>
  <c r="P10" i="149" s="1"/>
  <c r="F66" i="151"/>
  <c r="I66" i="151" s="1"/>
  <c r="M32" i="48" s="1"/>
  <c r="F13" i="149"/>
  <c r="L13" i="149" s="1"/>
  <c r="H47" i="135"/>
  <c r="I47" i="135" s="1"/>
  <c r="K47" i="135" s="1"/>
  <c r="O47" i="135" s="1"/>
  <c r="P47" i="135" s="1"/>
  <c r="F28" i="151"/>
  <c r="I28" i="151" s="1"/>
  <c r="G16" i="149"/>
  <c r="M16" i="149" s="1"/>
  <c r="F15" i="214"/>
  <c r="K45" i="149"/>
  <c r="Q45" i="149" s="1"/>
  <c r="J14" i="147"/>
  <c r="Q14" i="147" s="1"/>
  <c r="G81" i="149"/>
  <c r="M81" i="149" s="1"/>
  <c r="G48" i="149"/>
  <c r="M48" i="149" s="1"/>
  <c r="I30" i="149"/>
  <c r="O30" i="149" s="1"/>
  <c r="F12" i="147"/>
  <c r="M12" i="147" s="1"/>
  <c r="I15" i="149"/>
  <c r="O15" i="149" s="1"/>
  <c r="I13" i="214"/>
  <c r="J13" i="214" s="1"/>
  <c r="I70" i="149"/>
  <c r="O70" i="149" s="1"/>
  <c r="C113" i="135"/>
  <c r="C112" i="219"/>
  <c r="D112" i="219" s="1"/>
  <c r="G27" i="224"/>
  <c r="G26" i="224" s="1"/>
  <c r="C91" i="219"/>
  <c r="I13" i="149"/>
  <c r="O13" i="149" s="1"/>
  <c r="G55" i="149"/>
  <c r="M55" i="149" s="1"/>
  <c r="J69" i="149"/>
  <c r="P69" i="149" s="1"/>
  <c r="G47" i="224"/>
  <c r="G46" i="224" s="1"/>
  <c r="K24" i="220"/>
  <c r="M24" i="220" s="1"/>
  <c r="AC23" i="210" s="1"/>
  <c r="AG23" i="210" s="1"/>
  <c r="C458" i="44" s="1"/>
  <c r="H26" i="149"/>
  <c r="N26" i="149" s="1"/>
  <c r="J68" i="149"/>
  <c r="P68" i="149" s="1"/>
  <c r="H43" i="219"/>
  <c r="I43" i="219" s="1"/>
  <c r="K43" i="219" s="1"/>
  <c r="O43" i="219" s="1"/>
  <c r="P43" i="219" s="1"/>
  <c r="I10" i="147"/>
  <c r="P10" i="147" s="1"/>
  <c r="H48" i="149"/>
  <c r="N48" i="149" s="1"/>
  <c r="H32" i="219"/>
  <c r="I32" i="219" s="1"/>
  <c r="K32" i="219" s="1"/>
  <c r="O32" i="219" s="1"/>
  <c r="P32" i="219" s="1"/>
  <c r="L12" i="147"/>
  <c r="S12" i="147" s="1"/>
  <c r="J70" i="149"/>
  <c r="P70" i="149" s="1"/>
  <c r="I31" i="135"/>
  <c r="K31" i="135" s="1"/>
  <c r="O31" i="135" s="1"/>
  <c r="P31" i="135" s="1"/>
  <c r="I15" i="147"/>
  <c r="P15" i="147" s="1"/>
  <c r="F48" i="149"/>
  <c r="L48" i="149" s="1"/>
  <c r="H53" i="149"/>
  <c r="N53" i="149" s="1"/>
  <c r="N27" i="211"/>
  <c r="I38" i="135"/>
  <c r="K38" i="135" s="1"/>
  <c r="O38" i="135" s="1"/>
  <c r="P38" i="135" s="1"/>
  <c r="I45" i="219"/>
  <c r="K45" i="219" s="1"/>
  <c r="O45" i="219" s="1"/>
  <c r="P45" i="219" s="1"/>
  <c r="I37" i="219"/>
  <c r="K37" i="219" s="1"/>
  <c r="O37" i="219" s="1"/>
  <c r="P37" i="219" s="1"/>
  <c r="E62" i="135"/>
  <c r="F62" i="135" s="1"/>
  <c r="E66" i="151"/>
  <c r="H66" i="151" s="1"/>
  <c r="N32" i="48" s="1"/>
  <c r="I47" i="219"/>
  <c r="K47" i="219" s="1"/>
  <c r="O47" i="219" s="1"/>
  <c r="P47" i="219" s="1"/>
  <c r="I42" i="219"/>
  <c r="K42" i="219" s="1"/>
  <c r="O42" i="219" s="1"/>
  <c r="P42" i="219" s="1"/>
  <c r="H70" i="149"/>
  <c r="N70" i="149" s="1"/>
  <c r="F14" i="147"/>
  <c r="M14" i="147" s="1"/>
  <c r="I71" i="149"/>
  <c r="O71" i="149" s="1"/>
  <c r="J13" i="149"/>
  <c r="P13" i="149" s="1"/>
  <c r="G56" i="149"/>
  <c r="M56" i="149" s="1"/>
  <c r="I46" i="219"/>
  <c r="K46" i="219" s="1"/>
  <c r="O46" i="219" s="1"/>
  <c r="P46" i="219" s="1"/>
  <c r="I40" i="219"/>
  <c r="K40" i="219" s="1"/>
  <c r="O40" i="219" s="1"/>
  <c r="P40" i="219" s="1"/>
  <c r="H37" i="135"/>
  <c r="I16" i="147"/>
  <c r="P16" i="147" s="1"/>
  <c r="D16" i="156"/>
  <c r="E16" i="156" s="1"/>
  <c r="I12" i="149"/>
  <c r="O12" i="149" s="1"/>
  <c r="G30" i="149"/>
  <c r="M30" i="149" s="1"/>
  <c r="G54" i="149"/>
  <c r="M54" i="149" s="1"/>
  <c r="H31" i="219"/>
  <c r="I32" i="135"/>
  <c r="K32" i="135" s="1"/>
  <c r="O32" i="135" s="1"/>
  <c r="P32" i="135" s="1"/>
  <c r="I43" i="135"/>
  <c r="K43" i="135" s="1"/>
  <c r="O43" i="135" s="1"/>
  <c r="P43" i="135" s="1"/>
  <c r="I69" i="149"/>
  <c r="O69" i="149" s="1"/>
  <c r="G29" i="149"/>
  <c r="M29" i="149" s="1"/>
  <c r="I35" i="135"/>
  <c r="K35" i="135" s="1"/>
  <c r="O35" i="135" s="1"/>
  <c r="P35" i="135" s="1"/>
  <c r="I33" i="219"/>
  <c r="K33" i="219" s="1"/>
  <c r="O33" i="219" s="1"/>
  <c r="P33" i="219" s="1"/>
  <c r="I41" i="219"/>
  <c r="K41" i="219" s="1"/>
  <c r="O41" i="219" s="1"/>
  <c r="I34" i="219"/>
  <c r="K34" i="219" s="1"/>
  <c r="O34" i="219" s="1"/>
  <c r="P34" i="219" s="1"/>
  <c r="I1308" i="63"/>
  <c r="H69" i="149"/>
  <c r="N69" i="149" s="1"/>
  <c r="I16" i="141"/>
  <c r="J14" i="149"/>
  <c r="P14" i="149" s="1"/>
  <c r="I44" i="219"/>
  <c r="K44" i="219" s="1"/>
  <c r="O44" i="219" s="1"/>
  <c r="P44" i="219" s="1"/>
  <c r="I36" i="219"/>
  <c r="K36" i="219" s="1"/>
  <c r="O36" i="219" s="1"/>
  <c r="P36" i="219" s="1"/>
  <c r="I24" i="141"/>
  <c r="F27" i="151"/>
  <c r="I22" i="214"/>
  <c r="J22" i="214" s="1"/>
  <c r="I26" i="224"/>
  <c r="I27" i="224"/>
  <c r="M28" i="211"/>
  <c r="E263" i="44" s="1"/>
  <c r="H14" i="149"/>
  <c r="N14" i="149" s="1"/>
  <c r="J1312" i="63"/>
  <c r="F50" i="149"/>
  <c r="L50" i="149" s="1"/>
  <c r="H38" i="219"/>
  <c r="J1308" i="63"/>
  <c r="F69" i="149"/>
  <c r="L69" i="149" s="1"/>
  <c r="D17" i="156"/>
  <c r="E17" i="156" s="1"/>
  <c r="I1312" i="63"/>
  <c r="F56" i="149"/>
  <c r="L56" i="149" s="1"/>
  <c r="E10" i="151"/>
  <c r="H10" i="151" s="1"/>
  <c r="N28" i="48" s="1"/>
  <c r="H72" i="149"/>
  <c r="N72" i="149" s="1"/>
  <c r="F10" i="149"/>
  <c r="L10" i="149" s="1"/>
  <c r="K29" i="149"/>
  <c r="Q29" i="149" s="1"/>
  <c r="H9" i="224"/>
  <c r="H8" i="224" s="1"/>
  <c r="G70" i="149"/>
  <c r="M70" i="149" s="1"/>
  <c r="G28" i="149"/>
  <c r="M28" i="149" s="1"/>
  <c r="E70" i="135"/>
  <c r="E80" i="135"/>
  <c r="F80" i="135" s="1"/>
  <c r="E91" i="135"/>
  <c r="F91" i="135" s="1"/>
  <c r="B17" i="135" s="1"/>
  <c r="D17" i="135" s="1"/>
  <c r="G13" i="133"/>
  <c r="D48" i="231" a="1"/>
  <c r="D48" i="231" s="1"/>
  <c r="G19" i="133"/>
  <c r="H44" i="149"/>
  <c r="N44" i="149" s="1"/>
  <c r="H44" i="223"/>
  <c r="N44" i="223" s="1"/>
  <c r="D10" i="151"/>
  <c r="D10" i="224"/>
  <c r="D15" i="227"/>
  <c r="F19" i="227"/>
  <c r="E61" i="227"/>
  <c r="D114" i="227"/>
  <c r="F104" i="227"/>
  <c r="E73" i="135"/>
  <c r="F73" i="135" s="1"/>
  <c r="E73" i="219"/>
  <c r="F73" i="219" s="1"/>
  <c r="I49" i="149"/>
  <c r="O49" i="149" s="1"/>
  <c r="I49" i="223"/>
  <c r="O49" i="223" s="1"/>
  <c r="K72" i="149"/>
  <c r="Q72" i="149" s="1"/>
  <c r="K72" i="223"/>
  <c r="E33" i="151"/>
  <c r="E33" i="224"/>
  <c r="D32" i="227"/>
  <c r="F36" i="227"/>
  <c r="E78" i="227"/>
  <c r="D123" i="227"/>
  <c r="F121" i="227"/>
  <c r="J50" i="149"/>
  <c r="P50" i="149" s="1"/>
  <c r="J50" i="223"/>
  <c r="P50" i="223" s="1"/>
  <c r="F82" i="149"/>
  <c r="L82" i="149" s="1"/>
  <c r="F82" i="223"/>
  <c r="L82" i="223" s="1"/>
  <c r="E52" i="151"/>
  <c r="E52" i="224"/>
  <c r="D30" i="227"/>
  <c r="F34" i="227"/>
  <c r="E68" i="227"/>
  <c r="D113" i="227"/>
  <c r="F111" i="227"/>
  <c r="E27" i="163"/>
  <c r="I27" i="163" s="1"/>
  <c r="I25" i="163" s="1"/>
  <c r="J15" i="50" s="1"/>
  <c r="E27" i="228"/>
  <c r="I27" i="228" s="1"/>
  <c r="I25" i="228" s="1"/>
  <c r="J15" i="212" s="1"/>
  <c r="E48" i="163"/>
  <c r="E48" i="228"/>
  <c r="C11" i="164"/>
  <c r="C11" i="229"/>
  <c r="D69" i="227"/>
  <c r="D59" i="163"/>
  <c r="D59" i="228"/>
  <c r="J54" i="149"/>
  <c r="P54" i="149" s="1"/>
  <c r="J54" i="223"/>
  <c r="P54" i="223" s="1"/>
  <c r="H88" i="149"/>
  <c r="N88" i="149" s="1"/>
  <c r="H88" i="223"/>
  <c r="N88" i="223" s="1"/>
  <c r="D52" i="151"/>
  <c r="D52" i="224"/>
  <c r="D77" i="227"/>
  <c r="E123" i="227"/>
  <c r="F30" i="163"/>
  <c r="F30" i="228"/>
  <c r="D11" i="164"/>
  <c r="D11" i="229"/>
  <c r="B57" i="163"/>
  <c r="I57" i="163" s="1"/>
  <c r="B57" i="228"/>
  <c r="I57" i="228" s="1"/>
  <c r="F57" i="163"/>
  <c r="J57" i="163" s="1"/>
  <c r="F57" i="228"/>
  <c r="J57" i="228" s="1"/>
  <c r="B44" i="168"/>
  <c r="C44" i="168" s="1"/>
  <c r="F25" i="49" s="1"/>
  <c r="B44" i="231"/>
  <c r="B29" i="163"/>
  <c r="B29" i="228"/>
  <c r="C58" i="163"/>
  <c r="C58" i="228"/>
  <c r="G58" i="163"/>
  <c r="K58" i="163" s="1"/>
  <c r="G58" i="228"/>
  <c r="K58" i="228" s="1"/>
  <c r="D44" i="231" a="1"/>
  <c r="D44" i="231" s="1"/>
  <c r="G14" i="133"/>
  <c r="G14" i="214"/>
  <c r="I14" i="214" s="1"/>
  <c r="J14" i="214" s="1"/>
  <c r="D14" i="151"/>
  <c r="D14" i="224"/>
  <c r="D10" i="158"/>
  <c r="G10" i="158" s="1"/>
  <c r="M35" i="48" s="1"/>
  <c r="D10" i="226"/>
  <c r="G10" i="226" s="1"/>
  <c r="F22" i="227"/>
  <c r="E72" i="227"/>
  <c r="D117" i="227"/>
  <c r="G66" i="149"/>
  <c r="M66" i="149" s="1"/>
  <c r="G66" i="223"/>
  <c r="M66" i="223" s="1"/>
  <c r="J84" i="149"/>
  <c r="P84" i="149" s="1"/>
  <c r="J84" i="223"/>
  <c r="P84" i="223" s="1"/>
  <c r="E37" i="227"/>
  <c r="E57" i="227"/>
  <c r="D102" i="227"/>
  <c r="F108" i="227"/>
  <c r="F52" i="163"/>
  <c r="J52" i="163" s="1"/>
  <c r="F52" i="228"/>
  <c r="J52" i="228" s="1"/>
  <c r="B11" i="163"/>
  <c r="I11" i="163" s="1"/>
  <c r="B11" i="228"/>
  <c r="I11" i="228" s="1"/>
  <c r="D31" i="163"/>
  <c r="D31" i="228"/>
  <c r="E52" i="163"/>
  <c r="E52" i="228"/>
  <c r="H53" i="163"/>
  <c r="L53" i="163" s="1"/>
  <c r="H53" i="228"/>
  <c r="L53" i="228" s="1"/>
  <c r="H14" i="163"/>
  <c r="H14" i="228"/>
  <c r="C53" i="163"/>
  <c r="C53" i="228"/>
  <c r="G53" i="163"/>
  <c r="K53" i="163" s="1"/>
  <c r="G53" i="228"/>
  <c r="K53" i="228" s="1"/>
  <c r="I55" i="149"/>
  <c r="O55" i="149" s="1"/>
  <c r="I55" i="223"/>
  <c r="O55" i="223" s="1"/>
  <c r="E111" i="227"/>
  <c r="D47" i="163"/>
  <c r="D47" i="228"/>
  <c r="F26" i="163"/>
  <c r="F26" i="228"/>
  <c r="E49" i="151"/>
  <c r="E49" i="224"/>
  <c r="D37" i="227"/>
  <c r="F41" i="227"/>
  <c r="E83" i="227"/>
  <c r="E119" i="227"/>
  <c r="F55" i="163"/>
  <c r="F55" i="228"/>
  <c r="J48" i="149"/>
  <c r="P48" i="149" s="1"/>
  <c r="J48" i="223"/>
  <c r="P48" i="223" s="1"/>
  <c r="G86" i="149"/>
  <c r="M86" i="149" s="1"/>
  <c r="G86" i="223"/>
  <c r="M86" i="223" s="1"/>
  <c r="E22" i="227"/>
  <c r="D64" i="227"/>
  <c r="F68" i="227"/>
  <c r="E118" i="227"/>
  <c r="G12" i="163"/>
  <c r="G12" i="228"/>
  <c r="B65" i="168"/>
  <c r="C65" i="168" s="1"/>
  <c r="N35" i="49" s="1"/>
  <c r="B65" i="231"/>
  <c r="C65" i="231" s="1"/>
  <c r="N35" i="213" s="1"/>
  <c r="B46" i="163"/>
  <c r="E17" i="212"/>
  <c r="F46" i="163"/>
  <c r="F46" i="228"/>
  <c r="D49" i="231" a="1"/>
  <c r="J45" i="149"/>
  <c r="P45" i="149" s="1"/>
  <c r="J45" i="223"/>
  <c r="P45" i="223" s="1"/>
  <c r="E69" i="135"/>
  <c r="E69" i="219"/>
  <c r="E9" i="164"/>
  <c r="E9" i="229"/>
  <c r="I66" i="149"/>
  <c r="O66" i="149" s="1"/>
  <c r="I66" i="223"/>
  <c r="O66" i="223" s="1"/>
  <c r="D23" i="227"/>
  <c r="F27" i="227"/>
  <c r="E69" i="227"/>
  <c r="D122" i="227"/>
  <c r="F112" i="227"/>
  <c r="J43" i="149"/>
  <c r="P43" i="149" s="1"/>
  <c r="J43" i="223"/>
  <c r="P43" i="223" s="1"/>
  <c r="F85" i="149"/>
  <c r="L85" i="149" s="1"/>
  <c r="F85" i="223"/>
  <c r="L85" i="223" s="1"/>
  <c r="F32" i="151"/>
  <c r="F32" i="224"/>
  <c r="D40" i="227"/>
  <c r="F44" i="227"/>
  <c r="F56" i="227"/>
  <c r="E98" i="227"/>
  <c r="E66" i="135"/>
  <c r="F66" i="135" s="1"/>
  <c r="E66" i="219"/>
  <c r="F66" i="219" s="1"/>
  <c r="F45" i="149"/>
  <c r="L45" i="149" s="1"/>
  <c r="F45" i="223"/>
  <c r="L45" i="223" s="1"/>
  <c r="G88" i="149"/>
  <c r="M88" i="149" s="1"/>
  <c r="G88" i="223"/>
  <c r="M88" i="223" s="1"/>
  <c r="D38" i="227"/>
  <c r="F42" i="227"/>
  <c r="E76" i="227"/>
  <c r="D121" i="227"/>
  <c r="F119" i="227"/>
  <c r="F27" i="163"/>
  <c r="F27" i="228"/>
  <c r="E56" i="163"/>
  <c r="E56" i="228"/>
  <c r="H10" i="164"/>
  <c r="H10" i="229"/>
  <c r="D25" i="227"/>
  <c r="E71" i="227"/>
  <c r="F106" i="227"/>
  <c r="E51" i="163"/>
  <c r="E51" i="228"/>
  <c r="K48" i="149"/>
  <c r="Q48" i="149" s="1"/>
  <c r="K48" i="223"/>
  <c r="Q48" i="223" s="1"/>
  <c r="I85" i="149"/>
  <c r="O85" i="149" s="1"/>
  <c r="I85" i="223"/>
  <c r="O85" i="223" s="1"/>
  <c r="E63" i="227"/>
  <c r="F98" i="227"/>
  <c r="B51" i="163"/>
  <c r="I51" i="163" s="1"/>
  <c r="B51" i="228"/>
  <c r="I51" i="228" s="1"/>
  <c r="I10" i="164"/>
  <c r="I10" i="229"/>
  <c r="C49" i="163"/>
  <c r="C49" i="228"/>
  <c r="G49" i="163"/>
  <c r="K49" i="163" s="1"/>
  <c r="G49" i="228"/>
  <c r="K49" i="228" s="1"/>
  <c r="B46" i="168"/>
  <c r="C46" i="168" s="1"/>
  <c r="F27" i="49" s="1"/>
  <c r="B46" i="231"/>
  <c r="C29" i="163"/>
  <c r="C29" i="228"/>
  <c r="D50" i="163"/>
  <c r="D50" i="228"/>
  <c r="H50" i="163"/>
  <c r="L50" i="163" s="1"/>
  <c r="H50" i="228"/>
  <c r="L50" i="228" s="1"/>
  <c r="D46" i="231" a="1"/>
  <c r="D46" i="231" s="1"/>
  <c r="F14" i="151"/>
  <c r="F14" i="224"/>
  <c r="D18" i="227"/>
  <c r="F30" i="227"/>
  <c r="E80" i="227"/>
  <c r="D125" i="227"/>
  <c r="D11" i="158"/>
  <c r="G11" i="158" s="1"/>
  <c r="M34" i="48" s="1"/>
  <c r="D11" i="226"/>
  <c r="G11" i="226" s="1"/>
  <c r="F15" i="227"/>
  <c r="E65" i="227"/>
  <c r="D110" i="227"/>
  <c r="F116" i="227"/>
  <c r="F60" i="163"/>
  <c r="J60" i="163" s="1"/>
  <c r="F60" i="228"/>
  <c r="J60" i="228" s="1"/>
  <c r="E108" i="227"/>
  <c r="D13" i="163"/>
  <c r="D13" i="228"/>
  <c r="E31" i="163"/>
  <c r="I31" i="163" s="1"/>
  <c r="I29" i="163" s="1"/>
  <c r="J16" i="50" s="1"/>
  <c r="E31" i="228"/>
  <c r="I31" i="228" s="1"/>
  <c r="I29" i="228" s="1"/>
  <c r="J16" i="212" s="1"/>
  <c r="L16" i="212" s="1"/>
  <c r="E60" i="163"/>
  <c r="E60" i="228"/>
  <c r="D9" i="165"/>
  <c r="L9" i="165" s="1"/>
  <c r="D9" i="230"/>
  <c r="L9" i="230" s="1"/>
  <c r="B32" i="163"/>
  <c r="B32" i="228"/>
  <c r="C61" i="163"/>
  <c r="C61" i="228"/>
  <c r="G61" i="163"/>
  <c r="K61" i="163" s="1"/>
  <c r="G61" i="228"/>
  <c r="K61" i="228" s="1"/>
  <c r="J49" i="149"/>
  <c r="P49" i="149" s="1"/>
  <c r="J49" i="223"/>
  <c r="P49" i="223" s="1"/>
  <c r="F110" i="227"/>
  <c r="G47" i="163"/>
  <c r="K47" i="163" s="1"/>
  <c r="G47" i="228"/>
  <c r="K47" i="228" s="1"/>
  <c r="C55" i="163"/>
  <c r="C55" i="228"/>
  <c r="G87" i="149"/>
  <c r="M87" i="149" s="1"/>
  <c r="G87" i="223"/>
  <c r="M87" i="223" s="1"/>
  <c r="F52" i="151"/>
  <c r="F52" i="224"/>
  <c r="D57" i="227"/>
  <c r="F61" i="227"/>
  <c r="F102" i="227"/>
  <c r="G55" i="163"/>
  <c r="G55" i="228"/>
  <c r="K14" i="147"/>
  <c r="R14" i="147" s="1"/>
  <c r="K14" i="222"/>
  <c r="R14" i="222" s="1"/>
  <c r="F43" i="149"/>
  <c r="L43" i="149" s="1"/>
  <c r="F43" i="223"/>
  <c r="L43" i="223" s="1"/>
  <c r="H82" i="149"/>
  <c r="N82" i="149" s="1"/>
  <c r="H82" i="223"/>
  <c r="N82" i="223" s="1"/>
  <c r="E48" i="151"/>
  <c r="E48" i="224"/>
  <c r="E30" i="227"/>
  <c r="D72" i="227"/>
  <c r="F76" i="227"/>
  <c r="F101" i="227"/>
  <c r="B25" i="163"/>
  <c r="B25" i="228"/>
  <c r="E10" i="165"/>
  <c r="M10" i="165" s="1"/>
  <c r="J25" i="50" s="1"/>
  <c r="E10" i="230"/>
  <c r="M10" i="230" s="1"/>
  <c r="J25" i="212" s="1"/>
  <c r="B54" i="163"/>
  <c r="I54" i="163" s="1"/>
  <c r="B54" i="228"/>
  <c r="I54" i="228" s="1"/>
  <c r="F54" i="163"/>
  <c r="J54" i="163" s="1"/>
  <c r="F54" i="228"/>
  <c r="J54" i="228" s="1"/>
  <c r="G44" i="149"/>
  <c r="M44" i="149" s="1"/>
  <c r="G44" i="223"/>
  <c r="M44" i="223" s="1"/>
  <c r="I51" i="149"/>
  <c r="O51" i="149" s="1"/>
  <c r="I51" i="223"/>
  <c r="O51" i="223" s="1"/>
  <c r="D44" i="227"/>
  <c r="I48" i="149"/>
  <c r="O48" i="149" s="1"/>
  <c r="I48" i="223"/>
  <c r="O48" i="223" s="1"/>
  <c r="K71" i="149"/>
  <c r="Q71" i="149" s="1"/>
  <c r="K71" i="223"/>
  <c r="E32" i="151"/>
  <c r="E32" i="224"/>
  <c r="D31" i="227"/>
  <c r="F35" i="227"/>
  <c r="E77" i="227"/>
  <c r="E97" i="227"/>
  <c r="F120" i="227"/>
  <c r="J53" i="149"/>
  <c r="P53" i="149" s="1"/>
  <c r="J53" i="223"/>
  <c r="P53" i="223" s="1"/>
  <c r="E18" i="227"/>
  <c r="D60" i="227"/>
  <c r="F64" i="227"/>
  <c r="E106" i="227"/>
  <c r="E74" i="135"/>
  <c r="F74" i="135" s="1"/>
  <c r="E74" i="219"/>
  <c r="F74" i="219" s="1"/>
  <c r="K54" i="149"/>
  <c r="Q54" i="149" s="1"/>
  <c r="K54" i="223"/>
  <c r="Q54" i="223" s="1"/>
  <c r="H85" i="149"/>
  <c r="N85" i="149" s="1"/>
  <c r="H85" i="223"/>
  <c r="N85" i="223" s="1"/>
  <c r="F53" i="151"/>
  <c r="F53" i="224"/>
  <c r="E16" i="227"/>
  <c r="D58" i="227"/>
  <c r="E84" i="227"/>
  <c r="C12" i="163"/>
  <c r="C12" i="228"/>
  <c r="B48" i="163"/>
  <c r="I48" i="163" s="1"/>
  <c r="B48" i="228"/>
  <c r="I48" i="228" s="1"/>
  <c r="F48" i="163"/>
  <c r="J48" i="163" s="1"/>
  <c r="F48" i="228"/>
  <c r="J48" i="228" s="1"/>
  <c r="K9" i="164"/>
  <c r="N9" i="164" s="1"/>
  <c r="K20" i="50" s="1"/>
  <c r="K9" i="229"/>
  <c r="D33" i="227"/>
  <c r="F57" i="227"/>
  <c r="F122" i="227"/>
  <c r="E59" i="163"/>
  <c r="E59" i="228"/>
  <c r="G43" i="149"/>
  <c r="M43" i="149" s="1"/>
  <c r="G43" i="223"/>
  <c r="M43" i="223" s="1"/>
  <c r="F66" i="149"/>
  <c r="L66" i="149" s="1"/>
  <c r="F66" i="223"/>
  <c r="L66" i="223" s="1"/>
  <c r="E79" i="227"/>
  <c r="F114" i="227"/>
  <c r="C51" i="163"/>
  <c r="C51" i="228"/>
  <c r="C10" i="165"/>
  <c r="K10" i="165" s="1"/>
  <c r="C25" i="50" s="1"/>
  <c r="C10" i="230"/>
  <c r="K10" i="230" s="1"/>
  <c r="C25" i="212" s="1"/>
  <c r="B28" i="163"/>
  <c r="B28" i="228"/>
  <c r="C57" i="163"/>
  <c r="C57" i="228"/>
  <c r="G57" i="163"/>
  <c r="K57" i="163" s="1"/>
  <c r="G57" i="228"/>
  <c r="K57" i="228" s="1"/>
  <c r="B48" i="168"/>
  <c r="C48" i="168" s="1"/>
  <c r="F29" i="49" s="1"/>
  <c r="B48" i="231"/>
  <c r="C48" i="231" s="1"/>
  <c r="D29" i="163"/>
  <c r="D29" i="228"/>
  <c r="D58" i="163"/>
  <c r="D58" i="228"/>
  <c r="H58" i="163"/>
  <c r="L58" i="163" s="1"/>
  <c r="H58" i="228"/>
  <c r="L58" i="228" s="1"/>
  <c r="D32" i="151"/>
  <c r="D32" i="224"/>
  <c r="D26" i="227"/>
  <c r="F38" i="227"/>
  <c r="F58" i="227"/>
  <c r="E100" i="227"/>
  <c r="K15" i="147"/>
  <c r="R15" i="147" s="1"/>
  <c r="K15" i="222"/>
  <c r="R15" i="222" s="1"/>
  <c r="I43" i="149"/>
  <c r="O43" i="149" s="1"/>
  <c r="I43" i="223"/>
  <c r="O43" i="223" s="1"/>
  <c r="D27" i="151"/>
  <c r="D27" i="224"/>
  <c r="D19" i="227"/>
  <c r="F23" i="227"/>
  <c r="E73" i="227"/>
  <c r="D118" i="227"/>
  <c r="F124" i="227"/>
  <c r="H52" i="163"/>
  <c r="L52" i="163" s="1"/>
  <c r="H52" i="228"/>
  <c r="L52" i="228" s="1"/>
  <c r="E116" i="227"/>
  <c r="E10" i="163"/>
  <c r="E10" i="228"/>
  <c r="F31" i="163"/>
  <c r="F31" i="228"/>
  <c r="G52" i="163"/>
  <c r="K52" i="163" s="1"/>
  <c r="G52" i="228"/>
  <c r="K52" i="228" s="1"/>
  <c r="C16" i="168"/>
  <c r="D16" i="168" s="1"/>
  <c r="C16" i="231"/>
  <c r="D16" i="231" s="1"/>
  <c r="C32" i="163"/>
  <c r="C32" i="228"/>
  <c r="D53" i="163"/>
  <c r="D53" i="228"/>
  <c r="H61" i="163"/>
  <c r="L61" i="163" s="1"/>
  <c r="H61" i="228"/>
  <c r="L61" i="228" s="1"/>
  <c r="B14" i="163"/>
  <c r="I14" i="163" s="1"/>
  <c r="B14" i="228"/>
  <c r="I14" i="228" s="1"/>
  <c r="H47" i="163"/>
  <c r="L47" i="163" s="1"/>
  <c r="H47" i="228"/>
  <c r="L47" i="228" s="1"/>
  <c r="E47" i="163"/>
  <c r="E47" i="228"/>
  <c r="H84" i="149"/>
  <c r="N84" i="149" s="1"/>
  <c r="H84" i="223"/>
  <c r="N84" i="223" s="1"/>
  <c r="E23" i="227"/>
  <c r="D65" i="227"/>
  <c r="F69" i="227"/>
  <c r="C11" i="163"/>
  <c r="C11" i="228"/>
  <c r="H55" i="163"/>
  <c r="L55" i="163" s="1"/>
  <c r="H55" i="228"/>
  <c r="L55" i="228" s="1"/>
  <c r="F15" i="147"/>
  <c r="M15" i="147" s="1"/>
  <c r="F15" i="222"/>
  <c r="K51" i="149"/>
  <c r="Q51" i="149" s="1"/>
  <c r="K51" i="223"/>
  <c r="Q51" i="223" s="1"/>
  <c r="I88" i="149"/>
  <c r="O88" i="149" s="1"/>
  <c r="I88" i="223"/>
  <c r="O88" i="223" s="1"/>
  <c r="E38" i="227"/>
  <c r="D80" i="227"/>
  <c r="F84" i="227"/>
  <c r="F109" i="227"/>
  <c r="C25" i="163"/>
  <c r="C25" i="228"/>
  <c r="D47" i="231" a="1"/>
  <c r="D47" i="231" s="1"/>
  <c r="C46" i="163"/>
  <c r="C46" i="228"/>
  <c r="G46" i="163"/>
  <c r="K46" i="163" s="1"/>
  <c r="J17" i="50" s="1"/>
  <c r="G46" i="228"/>
  <c r="D45" i="231" a="1"/>
  <c r="K49" i="149"/>
  <c r="Q49" i="149" s="1"/>
  <c r="K49" i="223"/>
  <c r="Q49" i="223" s="1"/>
  <c r="H9" i="164"/>
  <c r="M9" i="164" s="1"/>
  <c r="J20" i="50" s="1"/>
  <c r="H9" i="229"/>
  <c r="K10" i="147"/>
  <c r="R10" i="147" s="1"/>
  <c r="J42" i="149"/>
  <c r="P42" i="149" s="1"/>
  <c r="J42" i="223"/>
  <c r="P42" i="223" s="1"/>
  <c r="F84" i="149"/>
  <c r="L84" i="149" s="1"/>
  <c r="F84" i="223"/>
  <c r="L84" i="223" s="1"/>
  <c r="E53" i="151"/>
  <c r="E53" i="224"/>
  <c r="D39" i="227"/>
  <c r="F43" i="227"/>
  <c r="F63" i="227"/>
  <c r="E105" i="227"/>
  <c r="C13" i="163"/>
  <c r="C13" i="228"/>
  <c r="E60" i="135"/>
  <c r="F60" i="135" s="1"/>
  <c r="E60" i="219"/>
  <c r="F60" i="219" s="1"/>
  <c r="K47" i="149"/>
  <c r="Q47" i="149" s="1"/>
  <c r="K47" i="223"/>
  <c r="Q47" i="223" s="1"/>
  <c r="H87" i="149"/>
  <c r="N87" i="149" s="1"/>
  <c r="H87" i="223"/>
  <c r="N87" i="223" s="1"/>
  <c r="D67" i="151"/>
  <c r="D67" i="224"/>
  <c r="E26" i="227"/>
  <c r="D68" i="227"/>
  <c r="F72" i="227"/>
  <c r="E114" i="227"/>
  <c r="C14" i="163"/>
  <c r="C14" i="228"/>
  <c r="D9" i="156"/>
  <c r="E9" i="156" s="1"/>
  <c r="D9" i="225"/>
  <c r="E9" i="225" s="1"/>
  <c r="E24" i="227"/>
  <c r="D66" i="227"/>
  <c r="F62" i="227"/>
  <c r="E14" i="163"/>
  <c r="E14" i="228"/>
  <c r="B56" i="163"/>
  <c r="I56" i="163" s="1"/>
  <c r="B56" i="228"/>
  <c r="I56" i="228" s="1"/>
  <c r="F56" i="163"/>
  <c r="J56" i="163" s="1"/>
  <c r="F56" i="228"/>
  <c r="J56" i="228" s="1"/>
  <c r="E19" i="227"/>
  <c r="F73" i="227"/>
  <c r="D12" i="163"/>
  <c r="D12" i="228"/>
  <c r="G51" i="163"/>
  <c r="K51" i="163" s="1"/>
  <c r="G51" i="228"/>
  <c r="K51" i="228" s="1"/>
  <c r="K87" i="149"/>
  <c r="Q87" i="149" s="1"/>
  <c r="K87" i="223"/>
  <c r="Q87" i="223" s="1"/>
  <c r="D17" i="227"/>
  <c r="F65" i="227"/>
  <c r="B10" i="163"/>
  <c r="B10" i="228"/>
  <c r="D51" i="163"/>
  <c r="D51" i="228"/>
  <c r="C28" i="163"/>
  <c r="C28" i="228"/>
  <c r="D49" i="163"/>
  <c r="D49" i="228"/>
  <c r="H49" i="163"/>
  <c r="L49" i="163" s="1"/>
  <c r="H49" i="228"/>
  <c r="L49" i="228" s="1"/>
  <c r="B56" i="168"/>
  <c r="C56" i="168" s="1"/>
  <c r="B56" i="231"/>
  <c r="C56" i="231" s="1"/>
  <c r="E29" i="163"/>
  <c r="E29" i="228"/>
  <c r="E50" i="163"/>
  <c r="E50" i="228"/>
  <c r="D10" i="164"/>
  <c r="D10" i="229"/>
  <c r="F87" i="149"/>
  <c r="L87" i="149" s="1"/>
  <c r="F87" i="223"/>
  <c r="L87" i="223" s="1"/>
  <c r="D34" i="227"/>
  <c r="D62" i="227"/>
  <c r="F66" i="227"/>
  <c r="E81" i="135"/>
  <c r="F81" i="135" s="1"/>
  <c r="E81" i="219"/>
  <c r="F81" i="219" s="1"/>
  <c r="E71" i="135"/>
  <c r="F71" i="135" s="1"/>
  <c r="E71" i="219"/>
  <c r="F71" i="219" s="1"/>
  <c r="I53" i="149"/>
  <c r="O53" i="149" s="1"/>
  <c r="I53" i="223"/>
  <c r="O53" i="223" s="1"/>
  <c r="K66" i="149"/>
  <c r="Q66" i="149" s="1"/>
  <c r="K66" i="223"/>
  <c r="Q66" i="223" s="1"/>
  <c r="D33" i="151"/>
  <c r="D33" i="224"/>
  <c r="D27" i="227"/>
  <c r="F31" i="227"/>
  <c r="E81" i="227"/>
  <c r="E101" i="227"/>
  <c r="B12" i="163"/>
  <c r="I12" i="163" s="1"/>
  <c r="B12" i="228"/>
  <c r="I12" i="228" s="1"/>
  <c r="H60" i="163"/>
  <c r="L60" i="163" s="1"/>
  <c r="H60" i="228"/>
  <c r="L60" i="228" s="1"/>
  <c r="E124" i="227"/>
  <c r="F13" i="163"/>
  <c r="F13" i="228"/>
  <c r="B52" i="163"/>
  <c r="I52" i="163" s="1"/>
  <c r="B52" i="228"/>
  <c r="I52" i="228" s="1"/>
  <c r="G60" i="163"/>
  <c r="K60" i="163" s="1"/>
  <c r="G60" i="228"/>
  <c r="K60" i="228" s="1"/>
  <c r="B36" i="168"/>
  <c r="C36" i="168" s="1"/>
  <c r="E24" i="49" s="1"/>
  <c r="F62" i="60" s="1"/>
  <c r="B36" i="231"/>
  <c r="D32" i="163"/>
  <c r="D32" i="228"/>
  <c r="D61" i="163"/>
  <c r="D61" i="228"/>
  <c r="E10" i="164"/>
  <c r="E10" i="229"/>
  <c r="K53" i="149"/>
  <c r="Q53" i="149" s="1"/>
  <c r="K53" i="223"/>
  <c r="Q53" i="223" s="1"/>
  <c r="E13" i="163"/>
  <c r="E13" i="228"/>
  <c r="C10" i="164"/>
  <c r="C10" i="229"/>
  <c r="F47" i="163"/>
  <c r="J47" i="163" s="1"/>
  <c r="F47" i="228"/>
  <c r="J47" i="228" s="1"/>
  <c r="J86" i="149"/>
  <c r="P86" i="149" s="1"/>
  <c r="J86" i="223"/>
  <c r="P86" i="223" s="1"/>
  <c r="E31" i="227"/>
  <c r="D73" i="227"/>
  <c r="F77" i="227"/>
  <c r="G13" i="163"/>
  <c r="G13" i="228"/>
  <c r="E8" i="165"/>
  <c r="M8" i="165" s="1"/>
  <c r="J24" i="50" s="1"/>
  <c r="E8" i="230"/>
  <c r="M8" i="230" s="1"/>
  <c r="G16" i="147"/>
  <c r="N16" i="147" s="1"/>
  <c r="G16" i="222"/>
  <c r="J85" i="149"/>
  <c r="P85" i="149" s="1"/>
  <c r="J85" i="223"/>
  <c r="P85" i="223" s="1"/>
  <c r="F16" i="227"/>
  <c r="E58" i="227"/>
  <c r="D103" i="227"/>
  <c r="F117" i="227"/>
  <c r="C54" i="163"/>
  <c r="C54" i="228"/>
  <c r="G54" i="163"/>
  <c r="K54" i="163" s="1"/>
  <c r="G54" i="228"/>
  <c r="K54" i="228" s="1"/>
  <c r="I42" i="149"/>
  <c r="O42" i="149" s="1"/>
  <c r="I42" i="223"/>
  <c r="O42" i="223" s="1"/>
  <c r="E85" i="227"/>
  <c r="E82" i="135"/>
  <c r="F82" i="135" s="1"/>
  <c r="E82" i="219"/>
  <c r="F82" i="219" s="1"/>
  <c r="E44" i="227"/>
  <c r="J51" i="149"/>
  <c r="P51" i="149" s="1"/>
  <c r="J51" i="223"/>
  <c r="P51" i="223" s="1"/>
  <c r="H86" i="149"/>
  <c r="N86" i="149" s="1"/>
  <c r="H86" i="223"/>
  <c r="N86" i="223" s="1"/>
  <c r="E17" i="227"/>
  <c r="D59" i="227"/>
  <c r="F71" i="227"/>
  <c r="E113" i="227"/>
  <c r="D10" i="163"/>
  <c r="D10" i="228"/>
  <c r="E68" i="135"/>
  <c r="F68" i="135" s="1"/>
  <c r="E68" i="219"/>
  <c r="F68" i="219" s="1"/>
  <c r="G42" i="149"/>
  <c r="M42" i="149" s="1"/>
  <c r="G42" i="223"/>
  <c r="M42" i="223" s="1"/>
  <c r="K56" i="149"/>
  <c r="Q56" i="149" s="1"/>
  <c r="K56" i="223"/>
  <c r="Q56" i="223" s="1"/>
  <c r="I84" i="149"/>
  <c r="O84" i="149" s="1"/>
  <c r="I84" i="223"/>
  <c r="O84" i="223" s="1"/>
  <c r="D14" i="156"/>
  <c r="E14" i="156" s="1"/>
  <c r="D14" i="225"/>
  <c r="E14" i="225" s="1"/>
  <c r="E34" i="227"/>
  <c r="D76" i="227"/>
  <c r="F80" i="227"/>
  <c r="E122" i="227"/>
  <c r="D11" i="163"/>
  <c r="D11" i="228"/>
  <c r="H43" i="149"/>
  <c r="N43" i="149" s="1"/>
  <c r="H43" i="223"/>
  <c r="N43" i="223" s="1"/>
  <c r="J87" i="149"/>
  <c r="P87" i="149" s="1"/>
  <c r="J87" i="223"/>
  <c r="P87" i="223" s="1"/>
  <c r="D12" i="156"/>
  <c r="E12" i="156" s="1"/>
  <c r="D12" i="225"/>
  <c r="E12" i="225" s="1"/>
  <c r="E32" i="227"/>
  <c r="D74" i="227"/>
  <c r="F70" i="227"/>
  <c r="E104" i="227"/>
  <c r="G14" i="163"/>
  <c r="G14" i="228"/>
  <c r="C48" i="163"/>
  <c r="C48" i="228"/>
  <c r="G48" i="163"/>
  <c r="K48" i="163" s="1"/>
  <c r="G48" i="228"/>
  <c r="K48" i="228" s="1"/>
  <c r="E27" i="227"/>
  <c r="F81" i="227"/>
  <c r="C30" i="163"/>
  <c r="C30" i="228"/>
  <c r="G59" i="163"/>
  <c r="K59" i="163" s="1"/>
  <c r="G59" i="228"/>
  <c r="K59" i="228" s="1"/>
  <c r="D12" i="151"/>
  <c r="D12" i="224"/>
  <c r="D41" i="227"/>
  <c r="D100" i="227"/>
  <c r="F12" i="163"/>
  <c r="F12" i="228"/>
  <c r="F51" i="163"/>
  <c r="J51" i="163" s="1"/>
  <c r="F51" i="228"/>
  <c r="J51" i="228" s="1"/>
  <c r="D28" i="163"/>
  <c r="D28" i="228"/>
  <c r="D57" i="163"/>
  <c r="D57" i="228"/>
  <c r="H57" i="163"/>
  <c r="L57" i="163" s="1"/>
  <c r="H57" i="228"/>
  <c r="L57" i="228" s="1"/>
  <c r="F29" i="163"/>
  <c r="F29" i="228"/>
  <c r="E58" i="163"/>
  <c r="E58" i="228"/>
  <c r="G84" i="149"/>
  <c r="M84" i="149" s="1"/>
  <c r="G84" i="223"/>
  <c r="M84" i="223" s="1"/>
  <c r="D42" i="227"/>
  <c r="D70" i="227"/>
  <c r="F74" i="227"/>
  <c r="E79" i="135"/>
  <c r="F79" i="135" s="1"/>
  <c r="E79" i="219"/>
  <c r="F79" i="219" s="1"/>
  <c r="J47" i="149"/>
  <c r="P47" i="149" s="1"/>
  <c r="J47" i="223"/>
  <c r="P47" i="223" s="1"/>
  <c r="F88" i="149"/>
  <c r="L88" i="149" s="1"/>
  <c r="F88" i="223"/>
  <c r="L88" i="223" s="1"/>
  <c r="D35" i="227"/>
  <c r="F39" i="227"/>
  <c r="F59" i="227"/>
  <c r="E109" i="227"/>
  <c r="D14" i="163"/>
  <c r="D14" i="228"/>
  <c r="C8" i="165"/>
  <c r="K8" i="165" s="1"/>
  <c r="C24" i="50" s="1"/>
  <c r="C8" i="230"/>
  <c r="K8" i="230" s="1"/>
  <c r="C24" i="212" s="1"/>
  <c r="F99" i="227"/>
  <c r="G10" i="163"/>
  <c r="G10" i="228"/>
  <c r="B60" i="163"/>
  <c r="I60" i="163" s="1"/>
  <c r="B60" i="228"/>
  <c r="I60" i="228" s="1"/>
  <c r="I11" i="164"/>
  <c r="I11" i="229"/>
  <c r="B45" i="168"/>
  <c r="C45" i="168" s="1"/>
  <c r="F26" i="49" s="1"/>
  <c r="M26" i="49" s="1"/>
  <c r="B45" i="231"/>
  <c r="E32" i="163"/>
  <c r="I32" i="163" s="1"/>
  <c r="E32" i="228"/>
  <c r="I32" i="228" s="1"/>
  <c r="E53" i="163"/>
  <c r="E53" i="228"/>
  <c r="J9" i="164"/>
  <c r="J9" i="229"/>
  <c r="G14" i="147"/>
  <c r="N14" i="147" s="1"/>
  <c r="G14" i="222"/>
  <c r="D26" i="163"/>
  <c r="D26" i="228"/>
  <c r="J11" i="164"/>
  <c r="J11" i="229"/>
  <c r="K82" i="149"/>
  <c r="Q82" i="149" s="1"/>
  <c r="K82" i="223"/>
  <c r="Q82" i="223" s="1"/>
  <c r="E39" i="227"/>
  <c r="D81" i="227"/>
  <c r="D104" i="227"/>
  <c r="C26" i="163"/>
  <c r="C26" i="228"/>
  <c r="K81" i="149"/>
  <c r="Q81" i="149" s="1"/>
  <c r="K81" i="223"/>
  <c r="E9" i="158"/>
  <c r="E9" i="226"/>
  <c r="F24" i="227"/>
  <c r="E66" i="227"/>
  <c r="D111" i="227"/>
  <c r="F125" i="227"/>
  <c r="E11" i="164"/>
  <c r="E11" i="229"/>
  <c r="D46" i="163"/>
  <c r="D46" i="228"/>
  <c r="H46" i="163"/>
  <c r="H46" i="228"/>
  <c r="J55" i="149"/>
  <c r="P55" i="149" s="1"/>
  <c r="J55" i="223"/>
  <c r="P55" i="223" s="1"/>
  <c r="G18" i="133"/>
  <c r="G18" i="214"/>
  <c r="I18" i="214" s="1"/>
  <c r="J18" i="214" s="1"/>
  <c r="F47" i="149"/>
  <c r="L47" i="149" s="1"/>
  <c r="F47" i="223"/>
  <c r="L47" i="223" s="1"/>
  <c r="I82" i="149"/>
  <c r="O82" i="149" s="1"/>
  <c r="I82" i="223"/>
  <c r="O82" i="223" s="1"/>
  <c r="D66" i="151"/>
  <c r="D66" i="224"/>
  <c r="E25" i="227"/>
  <c r="D67" i="227"/>
  <c r="F79" i="227"/>
  <c r="E121" i="227"/>
  <c r="F10" i="163"/>
  <c r="F10" i="228"/>
  <c r="K86" i="149"/>
  <c r="Q86" i="149" s="1"/>
  <c r="K86" i="223"/>
  <c r="Q86" i="223" s="1"/>
  <c r="C11" i="158"/>
  <c r="C11" i="226"/>
  <c r="E42" i="227"/>
  <c r="D84" i="227"/>
  <c r="D99" i="227"/>
  <c r="F97" i="227"/>
  <c r="F11" i="163"/>
  <c r="F11" i="228"/>
  <c r="K84" i="149"/>
  <c r="Q84" i="149" s="1"/>
  <c r="K84" i="223"/>
  <c r="Q84" i="223" s="1"/>
  <c r="C9" i="158"/>
  <c r="C9" i="226"/>
  <c r="E40" i="227"/>
  <c r="D82" i="227"/>
  <c r="F78" i="227"/>
  <c r="E112" i="227"/>
  <c r="B27" i="163"/>
  <c r="B27" i="228"/>
  <c r="C56" i="163"/>
  <c r="C56" i="228"/>
  <c r="G56" i="163"/>
  <c r="K56" i="163" s="1"/>
  <c r="G56" i="228"/>
  <c r="K56" i="228" s="1"/>
  <c r="E43" i="227"/>
  <c r="D116" i="227"/>
  <c r="E30" i="163"/>
  <c r="E30" i="228"/>
  <c r="C7" i="165"/>
  <c r="K7" i="165" s="1"/>
  <c r="C7" i="230"/>
  <c r="K7" i="230" s="1"/>
  <c r="J66" i="149"/>
  <c r="P66" i="149" s="1"/>
  <c r="J66" i="223"/>
  <c r="P66" i="223" s="1"/>
  <c r="F12" i="151"/>
  <c r="F12" i="224"/>
  <c r="E35" i="227"/>
  <c r="D108" i="227"/>
  <c r="H12" i="163"/>
  <c r="H12" i="228"/>
  <c r="F59" i="163"/>
  <c r="J59" i="163" s="1"/>
  <c r="F59" i="228"/>
  <c r="J59" i="228" s="1"/>
  <c r="E28" i="163"/>
  <c r="I28" i="163" s="1"/>
  <c r="E28" i="228"/>
  <c r="I28" i="228" s="1"/>
  <c r="E49" i="163"/>
  <c r="E49" i="228"/>
  <c r="H11" i="164"/>
  <c r="H11" i="229"/>
  <c r="B50" i="163"/>
  <c r="I50" i="163" s="1"/>
  <c r="B50" i="228"/>
  <c r="I50" i="228" s="1"/>
  <c r="F50" i="163"/>
  <c r="J50" i="163" s="1"/>
  <c r="F50" i="228"/>
  <c r="J50" i="228" s="1"/>
  <c r="I9" i="164"/>
  <c r="I9" i="229"/>
  <c r="F11" i="133"/>
  <c r="F11" i="214"/>
  <c r="I11" i="214" s="1"/>
  <c r="J11" i="214" s="1"/>
  <c r="I86" i="149"/>
  <c r="O86" i="149" s="1"/>
  <c r="I86" i="223"/>
  <c r="O86" i="223" s="1"/>
  <c r="D53" i="151"/>
  <c r="D53" i="224"/>
  <c r="E20" i="227"/>
  <c r="D78" i="227"/>
  <c r="F82" i="227"/>
  <c r="F16" i="147"/>
  <c r="M16" i="147" s="1"/>
  <c r="F16" i="222"/>
  <c r="F42" i="149"/>
  <c r="L42" i="149" s="1"/>
  <c r="F42" i="223"/>
  <c r="L42" i="223" s="1"/>
  <c r="J56" i="149"/>
  <c r="P56" i="149" s="1"/>
  <c r="J56" i="223"/>
  <c r="P56" i="223" s="1"/>
  <c r="G85" i="149"/>
  <c r="M85" i="149" s="1"/>
  <c r="G85" i="223"/>
  <c r="M85" i="223" s="1"/>
  <c r="D43" i="227"/>
  <c r="D63" i="227"/>
  <c r="F67" i="227"/>
  <c r="E117" i="227"/>
  <c r="E11" i="163"/>
  <c r="E11" i="228"/>
  <c r="F107" i="227"/>
  <c r="H13" i="163"/>
  <c r="H13" i="228"/>
  <c r="C52" i="163"/>
  <c r="C52" i="228"/>
  <c r="D8" i="165"/>
  <c r="L8" i="165" s="1"/>
  <c r="I24" i="50" s="1"/>
  <c r="D8" i="230"/>
  <c r="L8" i="230" s="1"/>
  <c r="I24" i="212" s="1"/>
  <c r="B47" i="168"/>
  <c r="C47" i="168" s="1"/>
  <c r="F28" i="49" s="1"/>
  <c r="L28" i="49" s="1"/>
  <c r="B47" i="231"/>
  <c r="C47" i="231" s="1"/>
  <c r="F32" i="163"/>
  <c r="F32" i="228"/>
  <c r="E61" i="163"/>
  <c r="E61" i="228"/>
  <c r="B49" i="168"/>
  <c r="C49" i="168" s="1"/>
  <c r="F30" i="49" s="1"/>
  <c r="B49" i="231"/>
  <c r="F44" i="149"/>
  <c r="L44" i="149" s="1"/>
  <c r="F44" i="223"/>
  <c r="L44" i="223" s="1"/>
  <c r="E26" i="163"/>
  <c r="E26" i="228"/>
  <c r="E12" i="151"/>
  <c r="E12" i="224"/>
  <c r="E10" i="158"/>
  <c r="H10" i="158" s="1"/>
  <c r="N35" i="48" s="1"/>
  <c r="E10" i="226"/>
  <c r="H10" i="226" s="1"/>
  <c r="F17" i="227"/>
  <c r="E59" i="227"/>
  <c r="D112" i="227"/>
  <c r="B55" i="163"/>
  <c r="B55" i="228"/>
  <c r="I55" i="228" s="1"/>
  <c r="E11" i="151"/>
  <c r="E11" i="224"/>
  <c r="D20" i="227"/>
  <c r="F32" i="227"/>
  <c r="E74" i="227"/>
  <c r="D119" i="227"/>
  <c r="B13" i="163"/>
  <c r="B13" i="228"/>
  <c r="D25" i="163"/>
  <c r="D25" i="228"/>
  <c r="D54" i="163"/>
  <c r="D54" i="228"/>
  <c r="H54" i="163"/>
  <c r="L54" i="163" s="1"/>
  <c r="H54" i="228"/>
  <c r="L54" i="228" s="1"/>
  <c r="E65" i="135"/>
  <c r="F65" i="135" s="1"/>
  <c r="E65" i="219"/>
  <c r="F65" i="219" s="1"/>
  <c r="C9" i="164"/>
  <c r="C9" i="229"/>
  <c r="E67" i="135"/>
  <c r="F67" i="135" s="1"/>
  <c r="E67" i="219"/>
  <c r="F67" i="219" s="1"/>
  <c r="K55" i="149"/>
  <c r="Q55" i="149" s="1"/>
  <c r="K55" i="223"/>
  <c r="Q55" i="223" s="1"/>
  <c r="J88" i="149"/>
  <c r="P88" i="149" s="1"/>
  <c r="J88" i="223"/>
  <c r="P88" i="223" s="1"/>
  <c r="E33" i="227"/>
  <c r="D75" i="227"/>
  <c r="D98" i="227"/>
  <c r="H10" i="163"/>
  <c r="H10" i="228"/>
  <c r="H45" i="149"/>
  <c r="N45" i="149" s="1"/>
  <c r="H45" i="223"/>
  <c r="N45" i="223" s="1"/>
  <c r="D11" i="151"/>
  <c r="D11" i="224"/>
  <c r="D16" i="227"/>
  <c r="F20" i="227"/>
  <c r="E62" i="227"/>
  <c r="D107" i="227"/>
  <c r="F105" i="227"/>
  <c r="H11" i="163"/>
  <c r="H11" i="228"/>
  <c r="I47" i="149"/>
  <c r="O47" i="149" s="1"/>
  <c r="I47" i="223"/>
  <c r="O47" i="223" s="1"/>
  <c r="E14" i="151"/>
  <c r="E14" i="224"/>
  <c r="E11" i="158"/>
  <c r="H11" i="158" s="1"/>
  <c r="N34" i="48" s="1"/>
  <c r="E11" i="226"/>
  <c r="F18" i="227"/>
  <c r="D85" i="227"/>
  <c r="D97" i="227"/>
  <c r="E120" i="227"/>
  <c r="C27" i="163"/>
  <c r="C27" i="228"/>
  <c r="D48" i="163"/>
  <c r="D48" i="228"/>
  <c r="H48" i="163"/>
  <c r="L48" i="163" s="1"/>
  <c r="H48" i="228"/>
  <c r="L48" i="228" s="1"/>
  <c r="F29" i="227"/>
  <c r="E99" i="227"/>
  <c r="B59" i="163"/>
  <c r="I59" i="163" s="1"/>
  <c r="B59" i="228"/>
  <c r="I59" i="228" s="1"/>
  <c r="K13" i="147"/>
  <c r="R13" i="147" s="1"/>
  <c r="K13" i="222"/>
  <c r="R13" i="222" s="1"/>
  <c r="I50" i="149"/>
  <c r="O50" i="149" s="1"/>
  <c r="I50" i="223"/>
  <c r="O50" i="223" s="1"/>
  <c r="F86" i="149"/>
  <c r="L86" i="149" s="1"/>
  <c r="F86" i="223"/>
  <c r="L86" i="223" s="1"/>
  <c r="F21" i="227"/>
  <c r="D124" i="227"/>
  <c r="B30" i="163"/>
  <c r="B30" i="228"/>
  <c r="H51" i="163"/>
  <c r="L51" i="163" s="1"/>
  <c r="H51" i="228"/>
  <c r="L51" i="228" s="1"/>
  <c r="F28" i="163"/>
  <c r="J28" i="163" s="1"/>
  <c r="J27" i="163" s="1"/>
  <c r="J25" i="163" s="1"/>
  <c r="K15" i="50" s="1"/>
  <c r="F28" i="228"/>
  <c r="J28" i="228" s="1"/>
  <c r="J27" i="228" s="1"/>
  <c r="J25" i="228" s="1"/>
  <c r="K15" i="212" s="1"/>
  <c r="E57" i="163"/>
  <c r="E57" i="228"/>
  <c r="K10" i="164"/>
  <c r="N10" i="164" s="1"/>
  <c r="K21" i="50" s="1"/>
  <c r="L21" i="50" s="1"/>
  <c r="K10" i="229"/>
  <c r="N10" i="229" s="1"/>
  <c r="K21" i="212" s="1"/>
  <c r="G12" i="133"/>
  <c r="G12" i="214"/>
  <c r="I12" i="214" s="1"/>
  <c r="J12" i="214" s="1"/>
  <c r="B58" i="163"/>
  <c r="I58" i="163" s="1"/>
  <c r="B58" i="228"/>
  <c r="I58" i="228" s="1"/>
  <c r="F58" i="163"/>
  <c r="J58" i="163" s="1"/>
  <c r="F58" i="228"/>
  <c r="J58" i="228" s="1"/>
  <c r="K11" i="164"/>
  <c r="K11" i="229"/>
  <c r="J82" i="149"/>
  <c r="P82" i="149" s="1"/>
  <c r="J82" i="223"/>
  <c r="P82" i="223" s="1"/>
  <c r="E67" i="151"/>
  <c r="E67" i="224"/>
  <c r="E28" i="227"/>
  <c r="E56" i="227"/>
  <c r="D101" i="227"/>
  <c r="K50" i="149"/>
  <c r="Q50" i="149" s="1"/>
  <c r="K50" i="223"/>
  <c r="Q50" i="223" s="1"/>
  <c r="E47" i="151"/>
  <c r="E47" i="224"/>
  <c r="E21" i="227"/>
  <c r="D71" i="227"/>
  <c r="F75" i="227"/>
  <c r="E125" i="227"/>
  <c r="F14" i="163"/>
  <c r="F14" i="228"/>
  <c r="F115" i="227"/>
  <c r="B31" i="163"/>
  <c r="B31" i="228"/>
  <c r="C60" i="163"/>
  <c r="C60" i="228"/>
  <c r="B53" i="163"/>
  <c r="I53" i="163" s="1"/>
  <c r="B53" i="228"/>
  <c r="I53" i="228" s="1"/>
  <c r="F53" i="163"/>
  <c r="J53" i="163" s="1"/>
  <c r="F53" i="228"/>
  <c r="J53" i="228" s="1"/>
  <c r="B64" i="168"/>
  <c r="C64" i="168" s="1"/>
  <c r="N34" i="49" s="1"/>
  <c r="B64" i="231"/>
  <c r="C64" i="231" s="1"/>
  <c r="N34" i="213" s="1"/>
  <c r="H42" i="149"/>
  <c r="N42" i="149" s="1"/>
  <c r="H42" i="223"/>
  <c r="N42" i="223" s="1"/>
  <c r="H66" i="149"/>
  <c r="N66" i="149" s="1"/>
  <c r="H66" i="223"/>
  <c r="N66" i="223" s="1"/>
  <c r="B47" i="163"/>
  <c r="I47" i="163" s="1"/>
  <c r="B47" i="228"/>
  <c r="I47" i="228" s="1"/>
  <c r="F118" i="227"/>
  <c r="D21" i="227"/>
  <c r="F25" i="227"/>
  <c r="E67" i="227"/>
  <c r="D120" i="227"/>
  <c r="D55" i="163"/>
  <c r="D55" i="228"/>
  <c r="K16" i="147"/>
  <c r="R16" i="147" s="1"/>
  <c r="K16" i="222"/>
  <c r="R16" i="222" s="1"/>
  <c r="I44" i="149"/>
  <c r="O44" i="149" s="1"/>
  <c r="I44" i="223"/>
  <c r="O44" i="223" s="1"/>
  <c r="D28" i="227"/>
  <c r="F40" i="227"/>
  <c r="E82" i="227"/>
  <c r="E102" i="227"/>
  <c r="C10" i="163"/>
  <c r="C10" i="228"/>
  <c r="J10" i="164"/>
  <c r="J10" i="229"/>
  <c r="E25" i="163"/>
  <c r="E25" i="228"/>
  <c r="E46" i="163"/>
  <c r="E46" i="228"/>
  <c r="D10" i="165"/>
  <c r="L10" i="165" s="1"/>
  <c r="I25" i="50" s="1"/>
  <c r="D10" i="230"/>
  <c r="L10" i="230" s="1"/>
  <c r="F85" i="227"/>
  <c r="G15" i="133"/>
  <c r="G15" i="214"/>
  <c r="D9" i="164"/>
  <c r="D9" i="229"/>
  <c r="K85" i="149"/>
  <c r="Q85" i="149" s="1"/>
  <c r="K85" i="223"/>
  <c r="Q85" i="223" s="1"/>
  <c r="C10" i="158"/>
  <c r="C10" i="226"/>
  <c r="E41" i="227"/>
  <c r="D83" i="227"/>
  <c r="D106" i="227"/>
  <c r="G16" i="133"/>
  <c r="G16" i="214"/>
  <c r="F11" i="151"/>
  <c r="F11" i="224"/>
  <c r="D24" i="227"/>
  <c r="F28" i="227"/>
  <c r="E70" i="227"/>
  <c r="D115" i="227"/>
  <c r="F113" i="227"/>
  <c r="I56" i="149"/>
  <c r="O56" i="149" s="1"/>
  <c r="I56" i="223"/>
  <c r="O56" i="223" s="1"/>
  <c r="K70" i="149"/>
  <c r="Q70" i="149" s="1"/>
  <c r="K70" i="223"/>
  <c r="E29" i="151"/>
  <c r="E29" i="224"/>
  <c r="D22" i="227"/>
  <c r="F26" i="227"/>
  <c r="E60" i="227"/>
  <c r="D105" i="227"/>
  <c r="F103" i="227"/>
  <c r="D27" i="163"/>
  <c r="D27" i="228"/>
  <c r="D56" i="163"/>
  <c r="D56" i="228"/>
  <c r="H56" i="163"/>
  <c r="L56" i="163" s="1"/>
  <c r="H56" i="228"/>
  <c r="L56" i="228" s="1"/>
  <c r="F37" i="227"/>
  <c r="E107" i="227"/>
  <c r="C59" i="163"/>
  <c r="C59" i="228"/>
  <c r="J44" i="149"/>
  <c r="P44" i="149" s="1"/>
  <c r="J44" i="223"/>
  <c r="P44" i="223" s="1"/>
  <c r="G82" i="149"/>
  <c r="M82" i="149" s="1"/>
  <c r="G82" i="223"/>
  <c r="M82" i="223" s="1"/>
  <c r="F33" i="151"/>
  <c r="F33" i="224"/>
  <c r="D61" i="227"/>
  <c r="E115" i="227"/>
  <c r="D30" i="163"/>
  <c r="D30" i="228"/>
  <c r="H59" i="163"/>
  <c r="L59" i="163" s="1"/>
  <c r="H59" i="228"/>
  <c r="L59" i="228" s="1"/>
  <c r="B49" i="163"/>
  <c r="I49" i="163" s="1"/>
  <c r="B49" i="228"/>
  <c r="I49" i="228" s="1"/>
  <c r="F49" i="163"/>
  <c r="J49" i="163" s="1"/>
  <c r="F49" i="228"/>
  <c r="J49" i="228" s="1"/>
  <c r="B29" i="168"/>
  <c r="C29" i="168" s="1"/>
  <c r="D20" i="49" s="1"/>
  <c r="F61" i="60" s="1"/>
  <c r="B29" i="231"/>
  <c r="C29" i="231" s="1"/>
  <c r="G20" i="133"/>
  <c r="G20" i="214"/>
  <c r="I20" i="214" s="1"/>
  <c r="J20" i="214" s="1"/>
  <c r="C50" i="163"/>
  <c r="C50" i="228"/>
  <c r="G50" i="163"/>
  <c r="K50" i="163" s="1"/>
  <c r="G50" i="228"/>
  <c r="K50" i="228" s="1"/>
  <c r="D29" i="168"/>
  <c r="D29" i="231"/>
  <c r="E64" i="135"/>
  <c r="F64" i="135" s="1"/>
  <c r="E64" i="219"/>
  <c r="F64" i="219" s="1"/>
  <c r="K88" i="149"/>
  <c r="Q88" i="149" s="1"/>
  <c r="K88" i="223"/>
  <c r="Q88" i="223" s="1"/>
  <c r="E36" i="227"/>
  <c r="E64" i="227"/>
  <c r="D109" i="227"/>
  <c r="G15" i="147"/>
  <c r="N15" i="147" s="1"/>
  <c r="G15" i="222"/>
  <c r="G45" i="149"/>
  <c r="M45" i="149" s="1"/>
  <c r="G45" i="223"/>
  <c r="M45" i="223" s="1"/>
  <c r="I87" i="149"/>
  <c r="O87" i="149" s="1"/>
  <c r="I87" i="223"/>
  <c r="O87" i="223" s="1"/>
  <c r="E29" i="227"/>
  <c r="D79" i="227"/>
  <c r="F83" i="227"/>
  <c r="F100" i="227"/>
  <c r="D60" i="163"/>
  <c r="D60" i="228"/>
  <c r="B63" i="168"/>
  <c r="C63" i="168" s="1"/>
  <c r="N33" i="49" s="1"/>
  <c r="B63" i="231"/>
  <c r="C63" i="231" s="1"/>
  <c r="N33" i="213" s="1"/>
  <c r="F556" i="44" s="1"/>
  <c r="F558" i="44" s="1"/>
  <c r="F123" i="227"/>
  <c r="C31" i="163"/>
  <c r="C31" i="228"/>
  <c r="D52" i="163"/>
  <c r="D52" i="228"/>
  <c r="J12" i="50"/>
  <c r="G11" i="228"/>
  <c r="B61" i="163"/>
  <c r="I61" i="163" s="1"/>
  <c r="B61" i="228"/>
  <c r="I61" i="228" s="1"/>
  <c r="F61" i="163"/>
  <c r="J61" i="163" s="1"/>
  <c r="F61" i="228"/>
  <c r="J61" i="228" s="1"/>
  <c r="I45" i="149"/>
  <c r="O45" i="149" s="1"/>
  <c r="I45" i="223"/>
  <c r="O45" i="223" s="1"/>
  <c r="G7" i="133"/>
  <c r="I7" i="133" s="1"/>
  <c r="G7" i="214"/>
  <c r="C47" i="163"/>
  <c r="C47" i="228"/>
  <c r="B26" i="163"/>
  <c r="B26" i="228"/>
  <c r="K69" i="149"/>
  <c r="Q69" i="149" s="1"/>
  <c r="K69" i="223"/>
  <c r="E28" i="151"/>
  <c r="E28" i="224"/>
  <c r="D29" i="227"/>
  <c r="F33" i="227"/>
  <c r="E75" i="227"/>
  <c r="E103" i="227"/>
  <c r="E55" i="163"/>
  <c r="E55" i="228"/>
  <c r="E72" i="135"/>
  <c r="F72" i="135" s="1"/>
  <c r="E72" i="219"/>
  <c r="F72" i="219" s="1"/>
  <c r="I54" i="149"/>
  <c r="O54" i="149" s="1"/>
  <c r="I54" i="223"/>
  <c r="O54" i="223" s="1"/>
  <c r="K68" i="149"/>
  <c r="Q68" i="149" s="1"/>
  <c r="K68" i="223"/>
  <c r="Q68" i="223" s="1"/>
  <c r="R68" i="223" s="1"/>
  <c r="D36" i="227"/>
  <c r="D56" i="227"/>
  <c r="F60" i="227"/>
  <c r="E110" i="227"/>
  <c r="E12" i="163"/>
  <c r="E12" i="228"/>
  <c r="E16" i="168"/>
  <c r="E16" i="231"/>
  <c r="F25" i="163"/>
  <c r="F25" i="228"/>
  <c r="E54" i="163"/>
  <c r="E54" i="228"/>
  <c r="D36" i="168"/>
  <c r="D36" i="231"/>
  <c r="D45" i="168" a="1"/>
  <c r="D45" i="168" s="1"/>
  <c r="D47" i="168" a="1"/>
  <c r="D47" i="168" s="1"/>
  <c r="D1308" i="63"/>
  <c r="D48" i="168" a="1"/>
  <c r="D48" i="168" s="1"/>
  <c r="D46" i="168" a="1"/>
  <c r="D44" i="168" a="1"/>
  <c r="D44" i="168" s="1"/>
  <c r="D1312" i="63"/>
  <c r="F19" i="133"/>
  <c r="F14" i="133"/>
  <c r="F16" i="133"/>
  <c r="F22" i="133"/>
  <c r="F9" i="133"/>
  <c r="G17" i="133"/>
  <c r="G11" i="133"/>
  <c r="F18" i="133"/>
  <c r="F12" i="133"/>
  <c r="F20" i="133"/>
  <c r="F8" i="133"/>
  <c r="G43" i="49"/>
  <c r="H43" i="49"/>
  <c r="E871" i="35"/>
  <c r="C871" i="35"/>
  <c r="E868" i="35"/>
  <c r="D263" i="44" l="1"/>
  <c r="H74" i="168"/>
  <c r="H74" i="231"/>
  <c r="J74" i="231"/>
  <c r="K74" i="231" s="1"/>
  <c r="L74" i="231" s="1"/>
  <c r="C74" i="231"/>
  <c r="I38" i="213" s="1"/>
  <c r="I74" i="231"/>
  <c r="C74" i="168"/>
  <c r="I38" i="49" s="1"/>
  <c r="I74" i="168"/>
  <c r="J74" i="168"/>
  <c r="K74" i="168" s="1"/>
  <c r="L74" i="168" s="1"/>
  <c r="J75" i="231"/>
  <c r="K75" i="231" s="1"/>
  <c r="L75" i="231" s="1"/>
  <c r="C75" i="231"/>
  <c r="I39" i="213" s="1"/>
  <c r="I75" i="231"/>
  <c r="C73" i="231"/>
  <c r="I37" i="213" s="1"/>
  <c r="M37" i="213" s="1"/>
  <c r="J73" i="231"/>
  <c r="K73" i="231" s="1"/>
  <c r="L73" i="231" s="1"/>
  <c r="I75" i="168"/>
  <c r="C75" i="168"/>
  <c r="I39" i="49" s="1"/>
  <c r="J75" i="168"/>
  <c r="K75" i="168" s="1"/>
  <c r="L75" i="168" s="1"/>
  <c r="J73" i="168"/>
  <c r="K73" i="168" s="1"/>
  <c r="L73" i="168" s="1"/>
  <c r="C73" i="168"/>
  <c r="I37" i="49" s="1"/>
  <c r="M37" i="49" s="1"/>
  <c r="I76" i="168"/>
  <c r="C76" i="168"/>
  <c r="I40" i="49" s="1"/>
  <c r="J76" i="168"/>
  <c r="K76" i="168" s="1"/>
  <c r="L76" i="168" s="1"/>
  <c r="J72" i="168"/>
  <c r="K72" i="168" s="1"/>
  <c r="L72" i="168" s="1"/>
  <c r="C72" i="168"/>
  <c r="I36" i="49" s="1"/>
  <c r="M36" i="49" s="1"/>
  <c r="C76" i="231"/>
  <c r="I40" i="213" s="1"/>
  <c r="J76" i="231"/>
  <c r="K76" i="231" s="1"/>
  <c r="L76" i="231" s="1"/>
  <c r="I76" i="231"/>
  <c r="C72" i="231"/>
  <c r="I36" i="213" s="1"/>
  <c r="M36" i="213" s="1"/>
  <c r="J72" i="231"/>
  <c r="K72" i="231" s="1"/>
  <c r="L72" i="231" s="1"/>
  <c r="H97" i="160"/>
  <c r="H98" i="160" s="1"/>
  <c r="I97" i="160" s="1"/>
  <c r="K97" i="160" s="1"/>
  <c r="M97" i="160" s="1"/>
  <c r="O97" i="160" s="1"/>
  <c r="P97" i="160" s="1"/>
  <c r="H15" i="160"/>
  <c r="H16" i="160" s="1"/>
  <c r="I15" i="160" s="1"/>
  <c r="K15" i="160" s="1"/>
  <c r="M15" i="160" s="1"/>
  <c r="O15" i="160" s="1"/>
  <c r="P15" i="160" s="1"/>
  <c r="G126" i="227"/>
  <c r="G126" i="160"/>
  <c r="H56" i="160"/>
  <c r="H57" i="160" s="1"/>
  <c r="E17" i="135"/>
  <c r="Z15" i="47"/>
  <c r="AE15" i="47" s="1"/>
  <c r="AG15" i="47" s="1"/>
  <c r="AA21" i="47"/>
  <c r="K8" i="141"/>
  <c r="M8" i="141" s="1"/>
  <c r="AC21" i="47" s="1"/>
  <c r="AG21" i="47" s="1"/>
  <c r="P41" i="219"/>
  <c r="T10" i="147"/>
  <c r="U10" i="147" s="1"/>
  <c r="V10" i="147" s="1"/>
  <c r="T14" i="222"/>
  <c r="U14" i="222" s="1"/>
  <c r="V14" i="222" s="1"/>
  <c r="T16" i="222"/>
  <c r="U16" i="222" s="1"/>
  <c r="V16" i="222" s="1"/>
  <c r="T13" i="222"/>
  <c r="U13" i="222" s="1"/>
  <c r="V13" i="222" s="1"/>
  <c r="T15" i="222"/>
  <c r="U15" i="222" s="1"/>
  <c r="V15" i="222" s="1"/>
  <c r="S12" i="223"/>
  <c r="R11" i="223"/>
  <c r="R9" i="223" s="1"/>
  <c r="R10" i="149"/>
  <c r="S10" i="149" s="1"/>
  <c r="R26" i="149"/>
  <c r="S26" i="149"/>
  <c r="S28" i="223"/>
  <c r="S27" i="223" s="1"/>
  <c r="R27" i="223"/>
  <c r="R25" i="223" s="1"/>
  <c r="R81" i="149"/>
  <c r="S81" i="149" s="1"/>
  <c r="G85" i="227"/>
  <c r="R54" i="223"/>
  <c r="R56" i="223"/>
  <c r="S56" i="223" s="1"/>
  <c r="O16" i="147"/>
  <c r="R66" i="223"/>
  <c r="O15" i="211" s="1"/>
  <c r="R48" i="223"/>
  <c r="R50" i="223"/>
  <c r="S50" i="223" s="1"/>
  <c r="O12" i="211"/>
  <c r="Q12" i="211" s="1"/>
  <c r="C237" i="44" s="1"/>
  <c r="R49" i="223"/>
  <c r="S49" i="223" s="1"/>
  <c r="O12" i="147"/>
  <c r="S26" i="223"/>
  <c r="R28" i="149"/>
  <c r="R55" i="223"/>
  <c r="S55" i="223" s="1"/>
  <c r="R51" i="223"/>
  <c r="S51" i="223" s="1"/>
  <c r="O14" i="147"/>
  <c r="U10" i="222"/>
  <c r="Q72" i="223"/>
  <c r="R72" i="223" s="1"/>
  <c r="S72" i="223" s="1"/>
  <c r="I49" i="231"/>
  <c r="J49" i="231"/>
  <c r="R84" i="223"/>
  <c r="J44" i="231"/>
  <c r="I44" i="231"/>
  <c r="R88" i="223"/>
  <c r="S88" i="223" s="1"/>
  <c r="O13" i="147"/>
  <c r="Q70" i="223"/>
  <c r="R70" i="223" s="1"/>
  <c r="S70" i="223" s="1"/>
  <c r="I48" i="231"/>
  <c r="J48" i="231"/>
  <c r="R66" i="149"/>
  <c r="O15" i="48" s="1"/>
  <c r="R86" i="223"/>
  <c r="S86" i="223" s="1"/>
  <c r="R12" i="149"/>
  <c r="R43" i="223"/>
  <c r="S43" i="223" s="1"/>
  <c r="R56" i="149"/>
  <c r="S56" i="149" s="1"/>
  <c r="Q71" i="223"/>
  <c r="R71" i="223" s="1"/>
  <c r="S71" i="223" s="1"/>
  <c r="Q81" i="223"/>
  <c r="I45" i="231"/>
  <c r="J45" i="231"/>
  <c r="R87" i="223"/>
  <c r="S87" i="223" s="1"/>
  <c r="M9" i="229"/>
  <c r="J20" i="212" s="1"/>
  <c r="R44" i="223"/>
  <c r="S44" i="223" s="1"/>
  <c r="R49" i="149"/>
  <c r="S49" i="149" s="1"/>
  <c r="R68" i="149"/>
  <c r="O15" i="147"/>
  <c r="U12" i="222"/>
  <c r="V12" i="222" s="1"/>
  <c r="I47" i="231"/>
  <c r="J47" i="231"/>
  <c r="N9" i="229"/>
  <c r="K20" i="212" s="1"/>
  <c r="I46" i="231"/>
  <c r="J46" i="231"/>
  <c r="E8" i="156"/>
  <c r="N25" i="48" s="1"/>
  <c r="Q69" i="223"/>
  <c r="R69" i="223" s="1"/>
  <c r="R45" i="223"/>
  <c r="S45" i="223" s="1"/>
  <c r="R85" i="223"/>
  <c r="S85" i="223" s="1"/>
  <c r="R82" i="223"/>
  <c r="S82" i="223" s="1"/>
  <c r="S13" i="223"/>
  <c r="E11" i="156"/>
  <c r="N26" i="48" s="1"/>
  <c r="R87" i="149"/>
  <c r="S87" i="149" s="1"/>
  <c r="R44" i="149"/>
  <c r="S44" i="149" s="1"/>
  <c r="R32" i="149"/>
  <c r="R71" i="149"/>
  <c r="S71" i="149" s="1"/>
  <c r="R72" i="149"/>
  <c r="S72" i="149" s="1"/>
  <c r="R48" i="149"/>
  <c r="R31" i="149"/>
  <c r="R14" i="149"/>
  <c r="S14" i="149" s="1"/>
  <c r="R70" i="149"/>
  <c r="S70" i="149" s="1"/>
  <c r="R15" i="149"/>
  <c r="S15" i="149" s="1"/>
  <c r="R29" i="149"/>
  <c r="R45" i="149"/>
  <c r="S45" i="149" s="1"/>
  <c r="R85" i="149"/>
  <c r="S85" i="149" s="1"/>
  <c r="R82" i="149"/>
  <c r="S82" i="149" s="1"/>
  <c r="R55" i="149"/>
  <c r="S55" i="149" s="1"/>
  <c r="R13" i="149"/>
  <c r="S13" i="149" s="1"/>
  <c r="R51" i="149"/>
  <c r="S51" i="149" s="1"/>
  <c r="R30" i="149"/>
  <c r="R84" i="149"/>
  <c r="S84" i="149" s="1"/>
  <c r="R88" i="149"/>
  <c r="S88" i="149" s="1"/>
  <c r="R69" i="149"/>
  <c r="S69" i="149" s="1"/>
  <c r="R16" i="149"/>
  <c r="S16" i="149" s="1"/>
  <c r="R43" i="149"/>
  <c r="R86" i="149"/>
  <c r="S86" i="149" s="1"/>
  <c r="R50" i="149"/>
  <c r="S50" i="149" s="1"/>
  <c r="R54" i="149"/>
  <c r="AA21" i="210"/>
  <c r="K8" i="220"/>
  <c r="M8" i="220" s="1"/>
  <c r="AC21" i="210" s="1"/>
  <c r="L46" i="228"/>
  <c r="K17" i="212" s="1"/>
  <c r="K13" i="163"/>
  <c r="J13" i="50" s="1"/>
  <c r="I10" i="228"/>
  <c r="G12" i="212" s="1"/>
  <c r="J46" i="163"/>
  <c r="I17" i="50" s="1"/>
  <c r="L46" i="163"/>
  <c r="K17" i="50" s="1"/>
  <c r="L17" i="50" s="1"/>
  <c r="I10" i="163"/>
  <c r="G12" i="50" s="1"/>
  <c r="F45" i="60" s="1"/>
  <c r="I46" i="163"/>
  <c r="E17" i="50" s="1"/>
  <c r="F48" i="60" s="1"/>
  <c r="L15" i="212"/>
  <c r="C590" i="44" s="1"/>
  <c r="D620" i="44" s="1"/>
  <c r="K55" i="228"/>
  <c r="K18" i="212" s="1"/>
  <c r="J55" i="228"/>
  <c r="J18" i="212" s="1"/>
  <c r="K11" i="228"/>
  <c r="K10" i="228" s="1"/>
  <c r="J12" i="212" s="1"/>
  <c r="L12" i="212" s="1"/>
  <c r="K55" i="163"/>
  <c r="K18" i="50" s="1"/>
  <c r="J55" i="163"/>
  <c r="J18" i="50" s="1"/>
  <c r="I55" i="163"/>
  <c r="I18" i="50" s="1"/>
  <c r="I13" i="228"/>
  <c r="G13" i="212" s="1"/>
  <c r="I13" i="163"/>
  <c r="G13" i="50" s="1"/>
  <c r="K13" i="228"/>
  <c r="J13" i="212" s="1"/>
  <c r="K46" i="228"/>
  <c r="J17" i="212" s="1"/>
  <c r="J46" i="228"/>
  <c r="I17" i="212" s="1"/>
  <c r="E15" i="227"/>
  <c r="G15" i="227" s="1"/>
  <c r="E75" i="219"/>
  <c r="F75" i="219" s="1"/>
  <c r="F83" i="219" s="1"/>
  <c r="B14" i="219" s="1"/>
  <c r="D14" i="219" s="1"/>
  <c r="K16" i="141"/>
  <c r="M16" i="141" s="1"/>
  <c r="AC22" i="47" s="1"/>
  <c r="AG22" i="47" s="1"/>
  <c r="M29" i="48"/>
  <c r="L28" i="48"/>
  <c r="G27" i="151"/>
  <c r="G26" i="151" s="1"/>
  <c r="O10" i="211"/>
  <c r="Q10" i="211" s="1"/>
  <c r="C235" i="44" s="1"/>
  <c r="I7" i="214"/>
  <c r="J7" i="214" s="1"/>
  <c r="J24" i="214" s="1"/>
  <c r="W8" i="209" s="1"/>
  <c r="G47" i="151"/>
  <c r="G46" i="151" s="1"/>
  <c r="L20" i="50"/>
  <c r="L29" i="48"/>
  <c r="H9" i="151"/>
  <c r="H8" i="151" s="1"/>
  <c r="N27" i="48"/>
  <c r="I47" i="151"/>
  <c r="I46" i="151" s="1"/>
  <c r="I22" i="133"/>
  <c r="F51" i="60"/>
  <c r="K51" i="60" s="1"/>
  <c r="K61" i="60"/>
  <c r="I61" i="60"/>
  <c r="O61" i="60"/>
  <c r="M61" i="60"/>
  <c r="C15" i="49"/>
  <c r="F59" i="60" s="1"/>
  <c r="H16" i="168"/>
  <c r="K15" i="49" s="1"/>
  <c r="O62" i="60"/>
  <c r="M62" i="60"/>
  <c r="K62" i="60"/>
  <c r="I62" i="60"/>
  <c r="F63" i="60"/>
  <c r="E23" i="219"/>
  <c r="X20" i="210"/>
  <c r="AE20" i="210" s="1"/>
  <c r="AG20" i="210" s="1"/>
  <c r="M33" i="211"/>
  <c r="X20" i="47"/>
  <c r="I13" i="133"/>
  <c r="O11" i="211"/>
  <c r="Q11" i="211" s="1"/>
  <c r="C236" i="44" s="1"/>
  <c r="S10" i="223"/>
  <c r="E91" i="219"/>
  <c r="F91" i="219" s="1"/>
  <c r="B17" i="219" s="1"/>
  <c r="D17" i="219" s="1"/>
  <c r="G9" i="226"/>
  <c r="F16" i="231"/>
  <c r="H11" i="226"/>
  <c r="K24" i="141"/>
  <c r="M24" i="141" s="1"/>
  <c r="AC23" i="47" s="1"/>
  <c r="AG23" i="47" s="1"/>
  <c r="I18" i="133"/>
  <c r="J49" i="168"/>
  <c r="I49" i="168"/>
  <c r="H9" i="158"/>
  <c r="I26" i="151"/>
  <c r="I46" i="168"/>
  <c r="E43" i="49"/>
  <c r="D43" i="49"/>
  <c r="I27" i="151"/>
  <c r="M28" i="48"/>
  <c r="I31" i="219"/>
  <c r="K31" i="219" s="1"/>
  <c r="O31" i="219" s="1"/>
  <c r="I37" i="135"/>
  <c r="K37" i="135" s="1"/>
  <c r="O37" i="135" s="1"/>
  <c r="P37" i="135" s="1"/>
  <c r="I38" i="219"/>
  <c r="K38" i="219" s="1"/>
  <c r="O38" i="219" s="1"/>
  <c r="P38" i="219" s="1"/>
  <c r="G65" i="227"/>
  <c r="G72" i="227"/>
  <c r="G109" i="227"/>
  <c r="G71" i="227"/>
  <c r="G106" i="227"/>
  <c r="G111" i="227"/>
  <c r="G63" i="227"/>
  <c r="G9" i="158"/>
  <c r="I11" i="133"/>
  <c r="G98" i="227"/>
  <c r="I20" i="133"/>
  <c r="F16" i="168"/>
  <c r="L7" i="165"/>
  <c r="L26" i="49"/>
  <c r="G73" i="227"/>
  <c r="G104" i="227"/>
  <c r="C26" i="212"/>
  <c r="H36" i="168"/>
  <c r="K36" i="168" s="1"/>
  <c r="L36" i="168" s="1"/>
  <c r="K24" i="49" s="1"/>
  <c r="H44" i="168"/>
  <c r="K44" i="168" s="1"/>
  <c r="L44" i="168" s="1"/>
  <c r="K25" i="49" s="1"/>
  <c r="I14" i="133"/>
  <c r="G124" i="227"/>
  <c r="G76" i="227"/>
  <c r="I12" i="133"/>
  <c r="G84" i="227"/>
  <c r="H48" i="168"/>
  <c r="K48" i="168" s="1"/>
  <c r="L48" i="168" s="1"/>
  <c r="K29" i="49" s="1"/>
  <c r="H45" i="168"/>
  <c r="G81" i="227"/>
  <c r="I19" i="133"/>
  <c r="G121" i="227"/>
  <c r="G69" i="227"/>
  <c r="G116" i="227"/>
  <c r="N43" i="49"/>
  <c r="G79" i="227"/>
  <c r="G120" i="227"/>
  <c r="G118" i="227"/>
  <c r="G16" i="227"/>
  <c r="G68" i="227"/>
  <c r="G108" i="227"/>
  <c r="G62" i="227"/>
  <c r="G33" i="227"/>
  <c r="M7" i="165"/>
  <c r="G99" i="227"/>
  <c r="G34" i="227"/>
  <c r="G115" i="227"/>
  <c r="D113" i="135"/>
  <c r="G42" i="227"/>
  <c r="F43" i="49"/>
  <c r="G38" i="227"/>
  <c r="G75" i="227"/>
  <c r="G107" i="227"/>
  <c r="G43" i="227"/>
  <c r="S68" i="223"/>
  <c r="G105" i="227"/>
  <c r="I18" i="212"/>
  <c r="E18" i="212"/>
  <c r="E26" i="212" s="1"/>
  <c r="N35" i="211"/>
  <c r="C49" i="231"/>
  <c r="F30" i="213" s="1"/>
  <c r="H49" i="168"/>
  <c r="K49" i="168" s="1"/>
  <c r="L49" i="168" s="1"/>
  <c r="K30" i="49" s="1"/>
  <c r="G35" i="227"/>
  <c r="G103" i="227"/>
  <c r="G80" i="227"/>
  <c r="D49" i="231"/>
  <c r="C44" i="231"/>
  <c r="F25" i="213" s="1"/>
  <c r="H44" i="231"/>
  <c r="K44" i="231" s="1"/>
  <c r="G123" i="227"/>
  <c r="G25" i="227"/>
  <c r="G100" i="227"/>
  <c r="G74" i="227"/>
  <c r="G113" i="227"/>
  <c r="G17" i="227"/>
  <c r="G122" i="227"/>
  <c r="G22" i="227"/>
  <c r="H47" i="168"/>
  <c r="G70" i="227"/>
  <c r="G112" i="227"/>
  <c r="M7" i="230"/>
  <c r="J24" i="212"/>
  <c r="G101" i="227"/>
  <c r="G57" i="227"/>
  <c r="G30" i="227"/>
  <c r="G78" i="227"/>
  <c r="G114" i="227"/>
  <c r="H29" i="168"/>
  <c r="K29" i="168" s="1"/>
  <c r="L29" i="168" s="1"/>
  <c r="K20" i="49" s="1"/>
  <c r="G21" i="227"/>
  <c r="G56" i="227"/>
  <c r="G82" i="227"/>
  <c r="G41" i="227"/>
  <c r="G102" i="227"/>
  <c r="M35" i="211"/>
  <c r="F83" i="135"/>
  <c r="B14" i="135" s="1"/>
  <c r="D14" i="135" s="1"/>
  <c r="X18" i="47" s="1"/>
  <c r="AE18" i="47" s="1"/>
  <c r="AG18" i="47" s="1"/>
  <c r="G119" i="227"/>
  <c r="C45" i="231"/>
  <c r="F26" i="213" s="1"/>
  <c r="H36" i="231"/>
  <c r="K36" i="231" s="1"/>
  <c r="C36" i="231"/>
  <c r="E24" i="213" s="1"/>
  <c r="E43" i="213" s="1"/>
  <c r="D45" i="231"/>
  <c r="H45" i="231" s="1"/>
  <c r="G23" i="227"/>
  <c r="G26" i="227"/>
  <c r="G44" i="227"/>
  <c r="M34" i="211"/>
  <c r="G18" i="227"/>
  <c r="G77" i="227"/>
  <c r="G61" i="227"/>
  <c r="C46" i="231"/>
  <c r="F27" i="213" s="1"/>
  <c r="H46" i="231"/>
  <c r="K46" i="231" s="1"/>
  <c r="L46" i="231" s="1"/>
  <c r="K27" i="213" s="1"/>
  <c r="L7" i="230"/>
  <c r="I25" i="212"/>
  <c r="G28" i="227"/>
  <c r="G40" i="227"/>
  <c r="G97" i="227"/>
  <c r="G59" i="227"/>
  <c r="G66" i="227"/>
  <c r="G39" i="227"/>
  <c r="G27" i="227"/>
  <c r="N43" i="213"/>
  <c r="G64" i="227"/>
  <c r="G37" i="227"/>
  <c r="G117" i="227"/>
  <c r="E7" i="165"/>
  <c r="E7" i="230"/>
  <c r="G67" i="227"/>
  <c r="D7" i="165"/>
  <c r="D7" i="230"/>
  <c r="G36" i="227"/>
  <c r="G29" i="227"/>
  <c r="H29" i="231"/>
  <c r="K29" i="231" s="1"/>
  <c r="L29" i="231" s="1"/>
  <c r="K20" i="213" s="1"/>
  <c r="C552" i="44" s="1"/>
  <c r="D20" i="213"/>
  <c r="D43" i="213" s="1"/>
  <c r="G24" i="227"/>
  <c r="G83" i="227"/>
  <c r="F28" i="213"/>
  <c r="L28" i="213" s="1"/>
  <c r="H47" i="231"/>
  <c r="G20" i="227"/>
  <c r="G31" i="227"/>
  <c r="F29" i="213"/>
  <c r="H48" i="231"/>
  <c r="K48" i="231" s="1"/>
  <c r="L48" i="231" s="1"/>
  <c r="K29" i="213" s="1"/>
  <c r="G58" i="227"/>
  <c r="G60" i="227"/>
  <c r="G110" i="227"/>
  <c r="G125" i="227"/>
  <c r="G32" i="227"/>
  <c r="G19" i="227"/>
  <c r="J47" i="168"/>
  <c r="I47" i="168"/>
  <c r="J45" i="168"/>
  <c r="I45" i="168"/>
  <c r="J44" i="168"/>
  <c r="I44" i="168"/>
  <c r="I48" i="168"/>
  <c r="J48" i="168"/>
  <c r="J46" i="168"/>
  <c r="D46" i="168"/>
  <c r="H46" i="168" s="1"/>
  <c r="K46" i="168" s="1"/>
  <c r="L46" i="168" s="1"/>
  <c r="K27" i="49" s="1"/>
  <c r="C455" i="44" l="1"/>
  <c r="C141" i="44"/>
  <c r="C591" i="44"/>
  <c r="E620" i="44" s="1"/>
  <c r="F49" i="60"/>
  <c r="O49" i="60" s="1"/>
  <c r="S49" i="60" s="1"/>
  <c r="P12" i="211"/>
  <c r="P11" i="211"/>
  <c r="P10" i="211"/>
  <c r="K45" i="231"/>
  <c r="L45" i="231" s="1"/>
  <c r="K26" i="213" s="1"/>
  <c r="I43" i="49"/>
  <c r="M39" i="49"/>
  <c r="L39" i="49"/>
  <c r="M38" i="49"/>
  <c r="K38" i="49"/>
  <c r="L38" i="49"/>
  <c r="L40" i="213"/>
  <c r="M40" i="213"/>
  <c r="L40" i="49"/>
  <c r="M40" i="49"/>
  <c r="K38" i="213"/>
  <c r="C557" i="44" s="1"/>
  <c r="M38" i="213"/>
  <c r="L38" i="213"/>
  <c r="M39" i="213"/>
  <c r="L39" i="213"/>
  <c r="H99" i="160"/>
  <c r="H100" i="160" s="1"/>
  <c r="H17" i="160"/>
  <c r="I16" i="160" s="1"/>
  <c r="K16" i="160" s="1"/>
  <c r="M16" i="160" s="1"/>
  <c r="O16" i="160" s="1"/>
  <c r="P16" i="160" s="1"/>
  <c r="H58" i="160"/>
  <c r="I56" i="160"/>
  <c r="K56" i="160" s="1"/>
  <c r="M56" i="160" s="1"/>
  <c r="O56" i="160" s="1"/>
  <c r="P56" i="160" s="1"/>
  <c r="H49" i="231"/>
  <c r="K49" i="231" s="1"/>
  <c r="L49" i="231" s="1"/>
  <c r="K30" i="213" s="1"/>
  <c r="AC24" i="210"/>
  <c r="AG21" i="210"/>
  <c r="T15" i="147"/>
  <c r="U15" i="147" s="1"/>
  <c r="V15" i="147" s="1"/>
  <c r="T12" i="147"/>
  <c r="U12" i="147" s="1"/>
  <c r="V12" i="147" s="1"/>
  <c r="T16" i="147"/>
  <c r="U16" i="147" s="1"/>
  <c r="V16" i="147" s="1"/>
  <c r="T13" i="147"/>
  <c r="U13" i="147" s="1"/>
  <c r="V13" i="147" s="1"/>
  <c r="T14" i="147"/>
  <c r="U14" i="147" s="1"/>
  <c r="V14" i="147" s="1"/>
  <c r="R67" i="223"/>
  <c r="R65" i="223" s="1"/>
  <c r="S43" i="149"/>
  <c r="R42" i="149"/>
  <c r="S42" i="149" s="1"/>
  <c r="S68" i="149"/>
  <c r="S67" i="149" s="1"/>
  <c r="S65" i="149" s="1"/>
  <c r="R67" i="149"/>
  <c r="R65" i="149" s="1"/>
  <c r="R27" i="149"/>
  <c r="R25" i="149" s="1"/>
  <c r="S48" i="223"/>
  <c r="R47" i="223"/>
  <c r="S47" i="223" s="1"/>
  <c r="R42" i="223"/>
  <c r="S42" i="223" s="1"/>
  <c r="S48" i="149"/>
  <c r="R47" i="149"/>
  <c r="S47" i="149" s="1"/>
  <c r="S54" i="223"/>
  <c r="R53" i="223"/>
  <c r="S53" i="223" s="1"/>
  <c r="S12" i="149"/>
  <c r="S11" i="149" s="1"/>
  <c r="S9" i="149" s="1"/>
  <c r="R11" i="149"/>
  <c r="R9" i="149" s="1"/>
  <c r="S54" i="149"/>
  <c r="R53" i="149"/>
  <c r="S53" i="149" s="1"/>
  <c r="R81" i="223"/>
  <c r="S81" i="223" s="1"/>
  <c r="S11" i="223"/>
  <c r="S9" i="223" s="1"/>
  <c r="V10" i="222"/>
  <c r="T11" i="222"/>
  <c r="T9" i="222" s="1"/>
  <c r="O19" i="211"/>
  <c r="Q19" i="211" s="1"/>
  <c r="C287" i="44" s="1"/>
  <c r="S25" i="223"/>
  <c r="S69" i="223"/>
  <c r="S67" i="223" s="1"/>
  <c r="S65" i="223" s="1"/>
  <c r="E18" i="50"/>
  <c r="L17" i="212"/>
  <c r="C589" i="44" s="1"/>
  <c r="C620" i="44" s="1"/>
  <c r="G26" i="212"/>
  <c r="K26" i="212"/>
  <c r="M45" i="60"/>
  <c r="D113" i="219"/>
  <c r="O11" i="48"/>
  <c r="O48" i="60"/>
  <c r="K49" i="60"/>
  <c r="Q49" i="60" s="1"/>
  <c r="I49" i="60"/>
  <c r="P49" i="60" s="1"/>
  <c r="M49" i="60"/>
  <c r="R49" i="60" s="1"/>
  <c r="I51" i="60"/>
  <c r="M51" i="60"/>
  <c r="O51" i="60"/>
  <c r="C43" i="49"/>
  <c r="AC24" i="47"/>
  <c r="O10" i="48"/>
  <c r="Q10" i="48" s="1"/>
  <c r="I59" i="60"/>
  <c r="M59" i="60"/>
  <c r="K59" i="60"/>
  <c r="O59" i="60"/>
  <c r="I63" i="60"/>
  <c r="O63" i="60"/>
  <c r="K63" i="60"/>
  <c r="M63" i="60"/>
  <c r="O15" i="49"/>
  <c r="H9" i="226"/>
  <c r="K45" i="60"/>
  <c r="Z15" i="210"/>
  <c r="AE15" i="210" s="1"/>
  <c r="AG15" i="210" s="1"/>
  <c r="E17" i="219"/>
  <c r="L44" i="231"/>
  <c r="K25" i="213" s="1"/>
  <c r="L36" i="231"/>
  <c r="K24" i="213" s="1"/>
  <c r="C553" i="44" s="1"/>
  <c r="N34" i="211"/>
  <c r="N40" i="211" s="1"/>
  <c r="O20" i="211"/>
  <c r="Q20" i="211" s="1"/>
  <c r="C288" i="44" s="1"/>
  <c r="AE10" i="47"/>
  <c r="AG10" i="47" s="1"/>
  <c r="O48" i="135"/>
  <c r="O51" i="135" s="1"/>
  <c r="B15" i="135"/>
  <c r="D15" i="135" s="1"/>
  <c r="E15" i="135" s="1"/>
  <c r="D114" i="135"/>
  <c r="D115" i="135" s="1"/>
  <c r="B22" i="135" s="1"/>
  <c r="D22" i="135" s="1"/>
  <c r="E22" i="135" s="1"/>
  <c r="P31" i="219"/>
  <c r="AE10" i="210" s="1"/>
  <c r="AG10" i="210" s="1"/>
  <c r="D114" i="219"/>
  <c r="B15" i="219"/>
  <c r="D15" i="219" s="1"/>
  <c r="E15" i="219" s="1"/>
  <c r="O48" i="219"/>
  <c r="O51" i="219" s="1"/>
  <c r="E14" i="135"/>
  <c r="H15" i="227"/>
  <c r="H16" i="227" s="1"/>
  <c r="H17" i="227" s="1"/>
  <c r="O16" i="48"/>
  <c r="O16" i="211"/>
  <c r="H97" i="227"/>
  <c r="H98" i="227" s="1"/>
  <c r="H99" i="227" s="1"/>
  <c r="I26" i="212"/>
  <c r="L26" i="213"/>
  <c r="D554" i="44" s="1"/>
  <c r="M26" i="213"/>
  <c r="E554" i="44" s="1"/>
  <c r="I43" i="213"/>
  <c r="H56" i="227"/>
  <c r="H57" i="227" s="1"/>
  <c r="M40" i="211"/>
  <c r="H16" i="231"/>
  <c r="K15" i="213" s="1"/>
  <c r="C551" i="44" s="1"/>
  <c r="C15" i="213"/>
  <c r="C43" i="213" s="1"/>
  <c r="J26" i="212"/>
  <c r="S84" i="223"/>
  <c r="K47" i="168"/>
  <c r="L47" i="168" s="1"/>
  <c r="K28" i="49" s="1"/>
  <c r="K47" i="231"/>
  <c r="L47" i="231" s="1"/>
  <c r="K28" i="213" s="1"/>
  <c r="E14" i="219"/>
  <c r="X18" i="210"/>
  <c r="AE18" i="210" s="1"/>
  <c r="AG18" i="210" s="1"/>
  <c r="F43" i="213"/>
  <c r="M43" i="49"/>
  <c r="K45" i="168"/>
  <c r="L45" i="168" s="1"/>
  <c r="K26" i="49" s="1"/>
  <c r="D557" i="44" l="1"/>
  <c r="D558" i="44" s="1"/>
  <c r="E557" i="44"/>
  <c r="E558" i="44" s="1"/>
  <c r="C147" i="44"/>
  <c r="C456" i="44"/>
  <c r="C588" i="44"/>
  <c r="C446" i="44"/>
  <c r="C143" i="44"/>
  <c r="C554" i="44"/>
  <c r="C558" i="44" s="1"/>
  <c r="C453" i="44"/>
  <c r="C146" i="44"/>
  <c r="C142" i="44"/>
  <c r="C450" i="44"/>
  <c r="P20" i="211"/>
  <c r="P19" i="211"/>
  <c r="L43" i="49"/>
  <c r="I98" i="160"/>
  <c r="K98" i="160" s="1"/>
  <c r="M98" i="160" s="1"/>
  <c r="O98" i="160" s="1"/>
  <c r="P98" i="160" s="1"/>
  <c r="H18" i="160"/>
  <c r="I17" i="160" s="1"/>
  <c r="K17" i="160" s="1"/>
  <c r="M17" i="160" s="1"/>
  <c r="O17" i="160" s="1"/>
  <c r="P17" i="160" s="1"/>
  <c r="I99" i="160"/>
  <c r="K99" i="160" s="1"/>
  <c r="M99" i="160" s="1"/>
  <c r="O99" i="160" s="1"/>
  <c r="P99" i="160" s="1"/>
  <c r="H101" i="160"/>
  <c r="H59" i="160"/>
  <c r="I57" i="160"/>
  <c r="K57" i="160" s="1"/>
  <c r="M57" i="160" s="1"/>
  <c r="O57" i="160" s="1"/>
  <c r="P57" i="160" s="1"/>
  <c r="S41" i="149"/>
  <c r="O13" i="48"/>
  <c r="Q13" i="48" s="1"/>
  <c r="T11" i="147"/>
  <c r="T9" i="147" s="1"/>
  <c r="O22" i="48"/>
  <c r="Q22" i="48" s="1"/>
  <c r="O21" i="211"/>
  <c r="Q21" i="211" s="1"/>
  <c r="C289" i="44" s="1"/>
  <c r="E289" i="44" s="1"/>
  <c r="O21" i="48"/>
  <c r="Q21" i="48" s="1"/>
  <c r="O13" i="211"/>
  <c r="Q13" i="211" s="1"/>
  <c r="C238" i="44" s="1"/>
  <c r="O22" i="211"/>
  <c r="Q22" i="211" s="1"/>
  <c r="R41" i="223"/>
  <c r="R41" i="149"/>
  <c r="O23" i="211"/>
  <c r="Q23" i="211" s="1"/>
  <c r="C290" i="44" s="1"/>
  <c r="O18" i="211"/>
  <c r="Q18" i="211" s="1"/>
  <c r="C286" i="44" s="1"/>
  <c r="E286" i="44" s="1"/>
  <c r="U11" i="222"/>
  <c r="O19" i="48"/>
  <c r="M48" i="60"/>
  <c r="K48" i="60"/>
  <c r="I48" i="60"/>
  <c r="I45" i="60"/>
  <c r="O45" i="60"/>
  <c r="O23" i="48"/>
  <c r="B115" i="219"/>
  <c r="D115" i="219"/>
  <c r="B115" i="135"/>
  <c r="E25" i="135"/>
  <c r="X19" i="47"/>
  <c r="AE19" i="47" s="1"/>
  <c r="AG19" i="47" s="1"/>
  <c r="I15" i="227"/>
  <c r="K15" i="227" s="1"/>
  <c r="K43" i="49"/>
  <c r="I97" i="227"/>
  <c r="M43" i="213"/>
  <c r="S41" i="223"/>
  <c r="I56" i="227"/>
  <c r="K56" i="227" s="1"/>
  <c r="H58" i="227"/>
  <c r="L43" i="213"/>
  <c r="H18" i="227"/>
  <c r="I16" i="227"/>
  <c r="K16" i="227" s="1"/>
  <c r="M16" i="227" s="1"/>
  <c r="O16" i="227" s="1"/>
  <c r="P16" i="227" s="1"/>
  <c r="K43" i="213"/>
  <c r="H100" i="227"/>
  <c r="I98" i="227"/>
  <c r="K98" i="227" s="1"/>
  <c r="M98" i="227" s="1"/>
  <c r="O98" i="227" s="1"/>
  <c r="P98" i="227" s="1"/>
  <c r="P23" i="211" l="1"/>
  <c r="H19" i="160"/>
  <c r="H20" i="160" s="1"/>
  <c r="O18" i="48"/>
  <c r="Q18" i="48" s="1"/>
  <c r="H60" i="160"/>
  <c r="I58" i="160"/>
  <c r="K58" i="160" s="1"/>
  <c r="M58" i="160" s="1"/>
  <c r="O58" i="160" s="1"/>
  <c r="P58" i="160" s="1"/>
  <c r="H102" i="160"/>
  <c r="I100" i="160"/>
  <c r="K100" i="160" s="1"/>
  <c r="M100" i="160" s="1"/>
  <c r="O100" i="160" s="1"/>
  <c r="P100" i="160" s="1"/>
  <c r="U11" i="147"/>
  <c r="V11" i="147" s="1"/>
  <c r="V11" i="222"/>
  <c r="U9" i="222"/>
  <c r="V9" i="222" s="1"/>
  <c r="P18" i="211"/>
  <c r="O40" i="211"/>
  <c r="B22" i="219"/>
  <c r="D22" i="219" s="1"/>
  <c r="M56" i="227"/>
  <c r="O56" i="227" s="1"/>
  <c r="P56" i="227" s="1"/>
  <c r="M15" i="227"/>
  <c r="O15" i="227" s="1"/>
  <c r="P15" i="227" s="1"/>
  <c r="K97" i="227"/>
  <c r="M97" i="227" s="1"/>
  <c r="O97" i="227" s="1"/>
  <c r="P97" i="227" s="1"/>
  <c r="I17" i="227"/>
  <c r="K17" i="227" s="1"/>
  <c r="M17" i="227" s="1"/>
  <c r="O17" i="227" s="1"/>
  <c r="P17" i="227" s="1"/>
  <c r="H19" i="227"/>
  <c r="H101" i="227"/>
  <c r="I99" i="227"/>
  <c r="K99" i="227" s="1"/>
  <c r="M99" i="227" s="1"/>
  <c r="O99" i="227" s="1"/>
  <c r="P99" i="227" s="1"/>
  <c r="I57" i="227"/>
  <c r="K57" i="227" s="1"/>
  <c r="M57" i="227" s="1"/>
  <c r="O57" i="227" s="1"/>
  <c r="P57" i="227" s="1"/>
  <c r="H59" i="227"/>
  <c r="I18" i="160" l="1"/>
  <c r="K18" i="160" s="1"/>
  <c r="M18" i="160" s="1"/>
  <c r="O18" i="160" s="1"/>
  <c r="P18" i="160" s="1"/>
  <c r="P18" i="48"/>
  <c r="I19" i="160"/>
  <c r="K19" i="160" s="1"/>
  <c r="M19" i="160" s="1"/>
  <c r="O19" i="160" s="1"/>
  <c r="P19" i="160" s="1"/>
  <c r="H21" i="160"/>
  <c r="H103" i="160"/>
  <c r="I101" i="160"/>
  <c r="K101" i="160" s="1"/>
  <c r="M101" i="160" s="1"/>
  <c r="O101" i="160" s="1"/>
  <c r="P101" i="160" s="1"/>
  <c r="U9" i="147"/>
  <c r="V9" i="147" s="1"/>
  <c r="H61" i="160"/>
  <c r="I59" i="160"/>
  <c r="K59" i="160" s="1"/>
  <c r="M59" i="160" s="1"/>
  <c r="O59" i="160" s="1"/>
  <c r="P59" i="160" s="1"/>
  <c r="E22" i="219"/>
  <c r="E25" i="219" s="1"/>
  <c r="X19" i="210"/>
  <c r="AE19" i="210" s="1"/>
  <c r="I18" i="227"/>
  <c r="K18" i="227" s="1"/>
  <c r="M18" i="227" s="1"/>
  <c r="O18" i="227" s="1"/>
  <c r="P18" i="227" s="1"/>
  <c r="H20" i="227"/>
  <c r="H60" i="227"/>
  <c r="I58" i="227"/>
  <c r="K58" i="227" s="1"/>
  <c r="M58" i="227" s="1"/>
  <c r="O58" i="227" s="1"/>
  <c r="P58" i="227" s="1"/>
  <c r="H102" i="227"/>
  <c r="I100" i="227"/>
  <c r="K100" i="227" s="1"/>
  <c r="M100" i="227" s="1"/>
  <c r="O100" i="227" s="1"/>
  <c r="P100" i="227" s="1"/>
  <c r="H104" i="160" l="1"/>
  <c r="I102" i="160"/>
  <c r="K102" i="160" s="1"/>
  <c r="M102" i="160" s="1"/>
  <c r="O102" i="160" s="1"/>
  <c r="P102" i="160" s="1"/>
  <c r="I20" i="160"/>
  <c r="K20" i="160" s="1"/>
  <c r="M20" i="160" s="1"/>
  <c r="O20" i="160" s="1"/>
  <c r="P20" i="160" s="1"/>
  <c r="H22" i="160"/>
  <c r="I60" i="160"/>
  <c r="K60" i="160" s="1"/>
  <c r="M60" i="160" s="1"/>
  <c r="O60" i="160" s="1"/>
  <c r="P60" i="160" s="1"/>
  <c r="H62" i="160"/>
  <c r="AE24" i="210"/>
  <c r="AG19" i="210"/>
  <c r="I101" i="227"/>
  <c r="K101" i="227" s="1"/>
  <c r="M101" i="227" s="1"/>
  <c r="O101" i="227" s="1"/>
  <c r="P101" i="227" s="1"/>
  <c r="H103" i="227"/>
  <c r="I59" i="227"/>
  <c r="K59" i="227" s="1"/>
  <c r="M59" i="227" s="1"/>
  <c r="O59" i="227" s="1"/>
  <c r="P59" i="227" s="1"/>
  <c r="H61" i="227"/>
  <c r="H21" i="227"/>
  <c r="I19" i="227"/>
  <c r="K19" i="227" s="1"/>
  <c r="M19" i="227" s="1"/>
  <c r="O19" i="227" s="1"/>
  <c r="P19" i="227" s="1"/>
  <c r="C454" i="44" l="1"/>
  <c r="C140" i="44"/>
  <c r="AG24" i="210"/>
  <c r="D40" i="44" s="1"/>
  <c r="I61" i="160"/>
  <c r="K61" i="160" s="1"/>
  <c r="M61" i="160" s="1"/>
  <c r="O61" i="160" s="1"/>
  <c r="P61" i="160" s="1"/>
  <c r="H63" i="160"/>
  <c r="I21" i="160"/>
  <c r="K21" i="160" s="1"/>
  <c r="M21" i="160" s="1"/>
  <c r="O21" i="160" s="1"/>
  <c r="P21" i="160" s="1"/>
  <c r="H23" i="160"/>
  <c r="I103" i="160"/>
  <c r="K103" i="160" s="1"/>
  <c r="M103" i="160" s="1"/>
  <c r="O103" i="160" s="1"/>
  <c r="P103" i="160" s="1"/>
  <c r="H105" i="160"/>
  <c r="I20" i="227"/>
  <c r="K20" i="227" s="1"/>
  <c r="M20" i="227" s="1"/>
  <c r="O20" i="227" s="1"/>
  <c r="P20" i="227" s="1"/>
  <c r="H22" i="227"/>
  <c r="I60" i="227"/>
  <c r="K60" i="227" s="1"/>
  <c r="M60" i="227" s="1"/>
  <c r="O60" i="227" s="1"/>
  <c r="P60" i="227" s="1"/>
  <c r="H62" i="227"/>
  <c r="H104" i="227"/>
  <c r="I102" i="227"/>
  <c r="K102" i="227" s="1"/>
  <c r="M102" i="227" s="1"/>
  <c r="O102" i="227" s="1"/>
  <c r="P102" i="227" s="1"/>
  <c r="E870" i="35"/>
  <c r="C40" i="44" l="1"/>
  <c r="H64" i="160"/>
  <c r="I62" i="160"/>
  <c r="K62" i="160" s="1"/>
  <c r="M62" i="160" s="1"/>
  <c r="O62" i="160" s="1"/>
  <c r="P62" i="160" s="1"/>
  <c r="I104" i="160"/>
  <c r="K104" i="160" s="1"/>
  <c r="M104" i="160" s="1"/>
  <c r="O104" i="160" s="1"/>
  <c r="P104" i="160" s="1"/>
  <c r="H106" i="160"/>
  <c r="I22" i="160"/>
  <c r="K22" i="160" s="1"/>
  <c r="M22" i="160" s="1"/>
  <c r="O22" i="160" s="1"/>
  <c r="P22" i="160" s="1"/>
  <c r="H24" i="160"/>
  <c r="H23" i="227"/>
  <c r="I21" i="227"/>
  <c r="K21" i="227" s="1"/>
  <c r="M21" i="227" s="1"/>
  <c r="O21" i="227" s="1"/>
  <c r="P21" i="227" s="1"/>
  <c r="I103" i="227"/>
  <c r="K103" i="227" s="1"/>
  <c r="M103" i="227" s="1"/>
  <c r="O103" i="227" s="1"/>
  <c r="P103" i="227" s="1"/>
  <c r="H105" i="227"/>
  <c r="H63" i="227"/>
  <c r="I61" i="227"/>
  <c r="K61" i="227" s="1"/>
  <c r="M61" i="227" s="1"/>
  <c r="O61" i="227" s="1"/>
  <c r="P61" i="227" s="1"/>
  <c r="I105" i="160" l="1"/>
  <c r="K105" i="160" s="1"/>
  <c r="M105" i="160" s="1"/>
  <c r="O105" i="160" s="1"/>
  <c r="P105" i="160" s="1"/>
  <c r="H107" i="160"/>
  <c r="I23" i="160"/>
  <c r="K23" i="160" s="1"/>
  <c r="M23" i="160" s="1"/>
  <c r="O23" i="160" s="1"/>
  <c r="P23" i="160" s="1"/>
  <c r="H25" i="160"/>
  <c r="H65" i="160"/>
  <c r="I63" i="160"/>
  <c r="K63" i="160" s="1"/>
  <c r="M63" i="160" s="1"/>
  <c r="O63" i="160" s="1"/>
  <c r="P63" i="160" s="1"/>
  <c r="I22" i="227"/>
  <c r="K22" i="227" s="1"/>
  <c r="M22" i="227" s="1"/>
  <c r="O22" i="227" s="1"/>
  <c r="P22" i="227" s="1"/>
  <c r="H24" i="227"/>
  <c r="I62" i="227"/>
  <c r="K62" i="227" s="1"/>
  <c r="M62" i="227" s="1"/>
  <c r="O62" i="227" s="1"/>
  <c r="P62" i="227" s="1"/>
  <c r="H64" i="227"/>
  <c r="H106" i="227"/>
  <c r="I104" i="227"/>
  <c r="K104" i="227" s="1"/>
  <c r="M104" i="227" s="1"/>
  <c r="O104" i="227" s="1"/>
  <c r="P104" i="227" s="1"/>
  <c r="AE20" i="47"/>
  <c r="AG20" i="47" s="1"/>
  <c r="P18" i="46"/>
  <c r="O18" i="46"/>
  <c r="N18" i="46"/>
  <c r="M18" i="46"/>
  <c r="L18" i="46"/>
  <c r="K18" i="46"/>
  <c r="J18" i="46"/>
  <c r="I18" i="46"/>
  <c r="H18" i="46"/>
  <c r="G18" i="46"/>
  <c r="F18" i="46"/>
  <c r="E18" i="46"/>
  <c r="D18" i="46"/>
  <c r="H66" i="160" l="1"/>
  <c r="I64" i="160"/>
  <c r="K64" i="160" s="1"/>
  <c r="M64" i="160" s="1"/>
  <c r="O64" i="160" s="1"/>
  <c r="P64" i="160" s="1"/>
  <c r="I24" i="160"/>
  <c r="K24" i="160" s="1"/>
  <c r="M24" i="160" s="1"/>
  <c r="O24" i="160" s="1"/>
  <c r="P24" i="160" s="1"/>
  <c r="H26" i="160"/>
  <c r="I106" i="160"/>
  <c r="K106" i="160" s="1"/>
  <c r="M106" i="160" s="1"/>
  <c r="O106" i="160" s="1"/>
  <c r="P106" i="160" s="1"/>
  <c r="H108" i="160"/>
  <c r="I63" i="227"/>
  <c r="K63" i="227" s="1"/>
  <c r="M63" i="227" s="1"/>
  <c r="O63" i="227" s="1"/>
  <c r="P63" i="227" s="1"/>
  <c r="H65" i="227"/>
  <c r="I105" i="227"/>
  <c r="K105" i="227" s="1"/>
  <c r="M105" i="227" s="1"/>
  <c r="O105" i="227" s="1"/>
  <c r="P105" i="227" s="1"/>
  <c r="H107" i="227"/>
  <c r="I23" i="227"/>
  <c r="K23" i="227" s="1"/>
  <c r="M23" i="227" s="1"/>
  <c r="O23" i="227" s="1"/>
  <c r="P23" i="227" s="1"/>
  <c r="H25" i="227"/>
  <c r="I107" i="160" l="1"/>
  <c r="K107" i="160" s="1"/>
  <c r="M107" i="160" s="1"/>
  <c r="O107" i="160" s="1"/>
  <c r="P107" i="160" s="1"/>
  <c r="H109" i="160"/>
  <c r="I25" i="160"/>
  <c r="K25" i="160" s="1"/>
  <c r="M25" i="160" s="1"/>
  <c r="O25" i="160" s="1"/>
  <c r="P25" i="160" s="1"/>
  <c r="H27" i="160"/>
  <c r="I65" i="160"/>
  <c r="K65" i="160" s="1"/>
  <c r="M65" i="160" s="1"/>
  <c r="O65" i="160" s="1"/>
  <c r="P65" i="160" s="1"/>
  <c r="H67" i="160"/>
  <c r="I24" i="227"/>
  <c r="K24" i="227" s="1"/>
  <c r="M24" i="227" s="1"/>
  <c r="O24" i="227" s="1"/>
  <c r="P24" i="227" s="1"/>
  <c r="H26" i="227"/>
  <c r="I106" i="227"/>
  <c r="K106" i="227" s="1"/>
  <c r="M106" i="227" s="1"/>
  <c r="O106" i="227" s="1"/>
  <c r="P106" i="227" s="1"/>
  <c r="H108" i="227"/>
  <c r="I64" i="227"/>
  <c r="K64" i="227" s="1"/>
  <c r="M64" i="227" s="1"/>
  <c r="O64" i="227" s="1"/>
  <c r="P64" i="227" s="1"/>
  <c r="H66" i="227"/>
  <c r="I66" i="160" l="1"/>
  <c r="K66" i="160" s="1"/>
  <c r="M66" i="160" s="1"/>
  <c r="O66" i="160" s="1"/>
  <c r="P66" i="160" s="1"/>
  <c r="H68" i="160"/>
  <c r="I26" i="160"/>
  <c r="K26" i="160" s="1"/>
  <c r="M26" i="160" s="1"/>
  <c r="O26" i="160" s="1"/>
  <c r="P26" i="160" s="1"/>
  <c r="H28" i="160"/>
  <c r="H110" i="160"/>
  <c r="I108" i="160"/>
  <c r="K108" i="160" s="1"/>
  <c r="M108" i="160" s="1"/>
  <c r="O108" i="160" s="1"/>
  <c r="P108" i="160" s="1"/>
  <c r="I65" i="227"/>
  <c r="K65" i="227" s="1"/>
  <c r="M65" i="227" s="1"/>
  <c r="O65" i="227" s="1"/>
  <c r="P65" i="227" s="1"/>
  <c r="H67" i="227"/>
  <c r="H109" i="227"/>
  <c r="I107" i="227"/>
  <c r="K107" i="227" s="1"/>
  <c r="M107" i="227" s="1"/>
  <c r="O107" i="227" s="1"/>
  <c r="P107" i="227" s="1"/>
  <c r="I25" i="227"/>
  <c r="K25" i="227" s="1"/>
  <c r="M25" i="227" s="1"/>
  <c r="O25" i="227" s="1"/>
  <c r="P25" i="227" s="1"/>
  <c r="H27" i="227"/>
  <c r="I109" i="160" l="1"/>
  <c r="K109" i="160" s="1"/>
  <c r="M109" i="160" s="1"/>
  <c r="O109" i="160" s="1"/>
  <c r="P109" i="160" s="1"/>
  <c r="H111" i="160"/>
  <c r="H29" i="160"/>
  <c r="I27" i="160"/>
  <c r="K27" i="160" s="1"/>
  <c r="M27" i="160" s="1"/>
  <c r="O27" i="160" s="1"/>
  <c r="P27" i="160" s="1"/>
  <c r="I67" i="160"/>
  <c r="K67" i="160" s="1"/>
  <c r="M67" i="160" s="1"/>
  <c r="O67" i="160" s="1"/>
  <c r="P67" i="160" s="1"/>
  <c r="H69" i="160"/>
  <c r="I108" i="227"/>
  <c r="K108" i="227" s="1"/>
  <c r="M108" i="227" s="1"/>
  <c r="O108" i="227" s="1"/>
  <c r="P108" i="227" s="1"/>
  <c r="H110" i="227"/>
  <c r="I26" i="227"/>
  <c r="K26" i="227" s="1"/>
  <c r="M26" i="227" s="1"/>
  <c r="O26" i="227" s="1"/>
  <c r="P26" i="227" s="1"/>
  <c r="H28" i="227"/>
  <c r="I66" i="227"/>
  <c r="K66" i="227" s="1"/>
  <c r="M66" i="227" s="1"/>
  <c r="O66" i="227" s="1"/>
  <c r="P66" i="227" s="1"/>
  <c r="H68" i="227"/>
  <c r="C867" i="35"/>
  <c r="I28" i="160" l="1"/>
  <c r="K28" i="160" s="1"/>
  <c r="M28" i="160" s="1"/>
  <c r="O28" i="160" s="1"/>
  <c r="P28" i="160" s="1"/>
  <c r="H30" i="160"/>
  <c r="I110" i="160"/>
  <c r="K110" i="160" s="1"/>
  <c r="M110" i="160" s="1"/>
  <c r="O110" i="160" s="1"/>
  <c r="P110" i="160" s="1"/>
  <c r="H112" i="160"/>
  <c r="I68" i="160"/>
  <c r="K68" i="160" s="1"/>
  <c r="M68" i="160" s="1"/>
  <c r="O68" i="160" s="1"/>
  <c r="P68" i="160" s="1"/>
  <c r="H70" i="160"/>
  <c r="I67" i="227"/>
  <c r="K67" i="227" s="1"/>
  <c r="M67" i="227" s="1"/>
  <c r="O67" i="227" s="1"/>
  <c r="P67" i="227" s="1"/>
  <c r="H69" i="227"/>
  <c r="I27" i="227"/>
  <c r="K27" i="227" s="1"/>
  <c r="M27" i="227" s="1"/>
  <c r="O27" i="227" s="1"/>
  <c r="P27" i="227" s="1"/>
  <c r="H29" i="227"/>
  <c r="I109" i="227"/>
  <c r="K109" i="227" s="1"/>
  <c r="M109" i="227" s="1"/>
  <c r="O109" i="227" s="1"/>
  <c r="P109" i="227" s="1"/>
  <c r="H111" i="227"/>
  <c r="I111" i="160" l="1"/>
  <c r="K111" i="160" s="1"/>
  <c r="M111" i="160" s="1"/>
  <c r="O111" i="160" s="1"/>
  <c r="P111" i="160" s="1"/>
  <c r="H113" i="160"/>
  <c r="I69" i="160"/>
  <c r="K69" i="160" s="1"/>
  <c r="M69" i="160" s="1"/>
  <c r="O69" i="160" s="1"/>
  <c r="P69" i="160" s="1"/>
  <c r="H71" i="160"/>
  <c r="I29" i="160"/>
  <c r="K29" i="160" s="1"/>
  <c r="M29" i="160" s="1"/>
  <c r="O29" i="160" s="1"/>
  <c r="P29" i="160" s="1"/>
  <c r="H31" i="160"/>
  <c r="I28" i="227"/>
  <c r="K28" i="227" s="1"/>
  <c r="M28" i="227" s="1"/>
  <c r="O28" i="227" s="1"/>
  <c r="P28" i="227" s="1"/>
  <c r="H30" i="227"/>
  <c r="I110" i="227"/>
  <c r="K110" i="227" s="1"/>
  <c r="M110" i="227" s="1"/>
  <c r="O110" i="227" s="1"/>
  <c r="P110" i="227" s="1"/>
  <c r="H112" i="227"/>
  <c r="I68" i="227"/>
  <c r="K68" i="227" s="1"/>
  <c r="M68" i="227" s="1"/>
  <c r="O68" i="227" s="1"/>
  <c r="P68" i="227" s="1"/>
  <c r="H70" i="227"/>
  <c r="H114" i="160" l="1"/>
  <c r="I112" i="160"/>
  <c r="K112" i="160" s="1"/>
  <c r="M112" i="160" s="1"/>
  <c r="O112" i="160" s="1"/>
  <c r="P112" i="160" s="1"/>
  <c r="I30" i="160"/>
  <c r="K30" i="160" s="1"/>
  <c r="M30" i="160" s="1"/>
  <c r="O30" i="160" s="1"/>
  <c r="P30" i="160" s="1"/>
  <c r="H32" i="160"/>
  <c r="I70" i="160"/>
  <c r="K70" i="160" s="1"/>
  <c r="M70" i="160" s="1"/>
  <c r="O70" i="160" s="1"/>
  <c r="P70" i="160" s="1"/>
  <c r="H72" i="160"/>
  <c r="I69" i="227"/>
  <c r="K69" i="227" s="1"/>
  <c r="M69" i="227" s="1"/>
  <c r="O69" i="227" s="1"/>
  <c r="P69" i="227" s="1"/>
  <c r="H71" i="227"/>
  <c r="H113" i="227"/>
  <c r="I111" i="227"/>
  <c r="K111" i="227" s="1"/>
  <c r="M111" i="227" s="1"/>
  <c r="O111" i="227" s="1"/>
  <c r="P111" i="227" s="1"/>
  <c r="I29" i="227"/>
  <c r="K29" i="227" s="1"/>
  <c r="M29" i="227" s="1"/>
  <c r="O29" i="227" s="1"/>
  <c r="P29" i="227" s="1"/>
  <c r="H31" i="227"/>
  <c r="I31" i="160" l="1"/>
  <c r="K31" i="160" s="1"/>
  <c r="M31" i="160" s="1"/>
  <c r="O31" i="160" s="1"/>
  <c r="P31" i="160" s="1"/>
  <c r="H33" i="160"/>
  <c r="I71" i="160"/>
  <c r="K71" i="160" s="1"/>
  <c r="M71" i="160" s="1"/>
  <c r="O71" i="160" s="1"/>
  <c r="P71" i="160" s="1"/>
  <c r="H73" i="160"/>
  <c r="I113" i="160"/>
  <c r="K113" i="160" s="1"/>
  <c r="M113" i="160" s="1"/>
  <c r="O113" i="160" s="1"/>
  <c r="P113" i="160" s="1"/>
  <c r="H115" i="160"/>
  <c r="I112" i="227"/>
  <c r="K112" i="227" s="1"/>
  <c r="M112" i="227" s="1"/>
  <c r="O112" i="227" s="1"/>
  <c r="P112" i="227" s="1"/>
  <c r="H114" i="227"/>
  <c r="H32" i="227"/>
  <c r="I30" i="227"/>
  <c r="K30" i="227" s="1"/>
  <c r="M30" i="227" s="1"/>
  <c r="O30" i="227" s="1"/>
  <c r="P30" i="227" s="1"/>
  <c r="H72" i="227"/>
  <c r="I70" i="227"/>
  <c r="K70" i="227" s="1"/>
  <c r="M70" i="227" s="1"/>
  <c r="O70" i="227" s="1"/>
  <c r="P70" i="227" s="1"/>
  <c r="C872" i="35"/>
  <c r="I72" i="160" l="1"/>
  <c r="K72" i="160" s="1"/>
  <c r="M72" i="160" s="1"/>
  <c r="O72" i="160" s="1"/>
  <c r="P72" i="160" s="1"/>
  <c r="H74" i="160"/>
  <c r="I32" i="160"/>
  <c r="K32" i="160" s="1"/>
  <c r="M32" i="160" s="1"/>
  <c r="O32" i="160" s="1"/>
  <c r="P32" i="160" s="1"/>
  <c r="H34" i="160"/>
  <c r="H116" i="160"/>
  <c r="I114" i="160"/>
  <c r="K114" i="160" s="1"/>
  <c r="M114" i="160" s="1"/>
  <c r="O114" i="160" s="1"/>
  <c r="P114" i="160" s="1"/>
  <c r="I71" i="227"/>
  <c r="K71" i="227" s="1"/>
  <c r="M71" i="227" s="1"/>
  <c r="O71" i="227" s="1"/>
  <c r="P71" i="227" s="1"/>
  <c r="H73" i="227"/>
  <c r="I31" i="227"/>
  <c r="K31" i="227" s="1"/>
  <c r="M31" i="227" s="1"/>
  <c r="O31" i="227" s="1"/>
  <c r="P31" i="227" s="1"/>
  <c r="H33" i="227"/>
  <c r="H115" i="227"/>
  <c r="I113" i="227"/>
  <c r="K113" i="227" s="1"/>
  <c r="M113" i="227" s="1"/>
  <c r="O113" i="227" s="1"/>
  <c r="P113" i="227" s="1"/>
  <c r="Z3" i="56"/>
  <c r="Z3" i="55"/>
  <c r="E1012" i="35"/>
  <c r="E1011" i="35"/>
  <c r="I115" i="160" l="1"/>
  <c r="K115" i="160" s="1"/>
  <c r="M115" i="160" s="1"/>
  <c r="O115" i="160" s="1"/>
  <c r="P115" i="160" s="1"/>
  <c r="H117" i="160"/>
  <c r="I33" i="160"/>
  <c r="K33" i="160" s="1"/>
  <c r="M33" i="160" s="1"/>
  <c r="O33" i="160" s="1"/>
  <c r="P33" i="160" s="1"/>
  <c r="H35" i="160"/>
  <c r="I73" i="160"/>
  <c r="K73" i="160" s="1"/>
  <c r="M73" i="160" s="1"/>
  <c r="O73" i="160" s="1"/>
  <c r="P73" i="160" s="1"/>
  <c r="H75" i="160"/>
  <c r="H116" i="227"/>
  <c r="I114" i="227"/>
  <c r="K114" i="227" s="1"/>
  <c r="M114" i="227" s="1"/>
  <c r="O114" i="227" s="1"/>
  <c r="P114" i="227" s="1"/>
  <c r="I32" i="227"/>
  <c r="K32" i="227" s="1"/>
  <c r="M32" i="227" s="1"/>
  <c r="O32" i="227" s="1"/>
  <c r="P32" i="227" s="1"/>
  <c r="H34" i="227"/>
  <c r="I72" i="227"/>
  <c r="K72" i="227" s="1"/>
  <c r="M72" i="227" s="1"/>
  <c r="O72" i="227" s="1"/>
  <c r="P72" i="227" s="1"/>
  <c r="H74" i="227"/>
  <c r="F378" i="35"/>
  <c r="F377" i="35"/>
  <c r="F2" i="49"/>
  <c r="K26" i="50"/>
  <c r="J26" i="50"/>
  <c r="I26" i="50"/>
  <c r="G26" i="50"/>
  <c r="F26" i="50"/>
  <c r="E26" i="50"/>
  <c r="D26" i="50"/>
  <c r="C26" i="50"/>
  <c r="AB4" i="47"/>
  <c r="G2" i="47"/>
  <c r="P10" i="48"/>
  <c r="F2" i="48"/>
  <c r="N40" i="48"/>
  <c r="M40" i="48"/>
  <c r="AD24" i="47"/>
  <c r="I34" i="160" l="1"/>
  <c r="K34" i="160" s="1"/>
  <c r="M34" i="160" s="1"/>
  <c r="O34" i="160" s="1"/>
  <c r="P34" i="160" s="1"/>
  <c r="H36" i="160"/>
  <c r="H118" i="160"/>
  <c r="I116" i="160"/>
  <c r="K116" i="160" s="1"/>
  <c r="M116" i="160" s="1"/>
  <c r="O116" i="160" s="1"/>
  <c r="P116" i="160" s="1"/>
  <c r="I74" i="160"/>
  <c r="K74" i="160" s="1"/>
  <c r="M74" i="160" s="1"/>
  <c r="O74" i="160" s="1"/>
  <c r="P74" i="160" s="1"/>
  <c r="H76" i="160"/>
  <c r="D556" i="35"/>
  <c r="H75" i="227"/>
  <c r="I73" i="227"/>
  <c r="K73" i="227" s="1"/>
  <c r="M73" i="227" s="1"/>
  <c r="O73" i="227" s="1"/>
  <c r="P73" i="227" s="1"/>
  <c r="I33" i="227"/>
  <c r="K33" i="227" s="1"/>
  <c r="M33" i="227" s="1"/>
  <c r="O33" i="227" s="1"/>
  <c r="P33" i="227" s="1"/>
  <c r="H35" i="227"/>
  <c r="I115" i="227"/>
  <c r="K115" i="227" s="1"/>
  <c r="M115" i="227" s="1"/>
  <c r="O115" i="227" s="1"/>
  <c r="P115" i="227" s="1"/>
  <c r="H117" i="227"/>
  <c r="AE24" i="47"/>
  <c r="K4" i="48"/>
  <c r="J5" i="49"/>
  <c r="H5" i="50"/>
  <c r="Z86" i="56"/>
  <c r="Y86" i="56"/>
  <c r="X86" i="56"/>
  <c r="W86" i="56"/>
  <c r="V86" i="56"/>
  <c r="U86" i="56"/>
  <c r="T86" i="56"/>
  <c r="S86" i="56"/>
  <c r="R86" i="56"/>
  <c r="Q86" i="56"/>
  <c r="P86" i="56"/>
  <c r="O86" i="56"/>
  <c r="N86" i="56"/>
  <c r="M86" i="56"/>
  <c r="I86" i="56"/>
  <c r="H86" i="56"/>
  <c r="G86" i="56"/>
  <c r="F86" i="56"/>
  <c r="E86" i="56"/>
  <c r="D86" i="56"/>
  <c r="C86" i="56"/>
  <c r="B86" i="56"/>
  <c r="Z84" i="56"/>
  <c r="Y84" i="56"/>
  <c r="X84" i="56"/>
  <c r="W84" i="56"/>
  <c r="V84" i="56"/>
  <c r="Q84" i="56"/>
  <c r="P84" i="56"/>
  <c r="O84" i="56"/>
  <c r="N84" i="56"/>
  <c r="M84" i="56"/>
  <c r="U83" i="56"/>
  <c r="T83" i="56"/>
  <c r="S83" i="56"/>
  <c r="R83" i="56"/>
  <c r="D2" i="56"/>
  <c r="D1" i="56"/>
  <c r="K6" i="61" s="1"/>
  <c r="AG57" i="56" l="1"/>
  <c r="AG45" i="56"/>
  <c r="AG32" i="56"/>
  <c r="AG67" i="56"/>
  <c r="AG59" i="56"/>
  <c r="AG31" i="56"/>
  <c r="AG39" i="56"/>
  <c r="AG65" i="56"/>
  <c r="AG10" i="56"/>
  <c r="AG80" i="56"/>
  <c r="AG9" i="56"/>
  <c r="AG70" i="56"/>
  <c r="AG11" i="56"/>
  <c r="AG46" i="56"/>
  <c r="AG8" i="56"/>
  <c r="AG47" i="56"/>
  <c r="AG74" i="56"/>
  <c r="AG64" i="56"/>
  <c r="AG40" i="56"/>
  <c r="AG58" i="56"/>
  <c r="I75" i="160"/>
  <c r="K75" i="160" s="1"/>
  <c r="M75" i="160" s="1"/>
  <c r="O75" i="160" s="1"/>
  <c r="P75" i="160" s="1"/>
  <c r="H77" i="160"/>
  <c r="H119" i="160"/>
  <c r="I117" i="160"/>
  <c r="K117" i="160" s="1"/>
  <c r="M117" i="160" s="1"/>
  <c r="O117" i="160" s="1"/>
  <c r="P117" i="160" s="1"/>
  <c r="I35" i="160"/>
  <c r="K35" i="160" s="1"/>
  <c r="M35" i="160" s="1"/>
  <c r="O35" i="160" s="1"/>
  <c r="P35" i="160" s="1"/>
  <c r="H37" i="160"/>
  <c r="E203" i="61"/>
  <c r="AU7" i="254"/>
  <c r="E208" i="61"/>
  <c r="AU12" i="254"/>
  <c r="AU8" i="254"/>
  <c r="E204" i="61"/>
  <c r="I116" i="227"/>
  <c r="K116" i="227" s="1"/>
  <c r="M116" i="227" s="1"/>
  <c r="O116" i="227" s="1"/>
  <c r="P116" i="227" s="1"/>
  <c r="H118" i="227"/>
  <c r="I34" i="227"/>
  <c r="K34" i="227" s="1"/>
  <c r="M34" i="227" s="1"/>
  <c r="O34" i="227" s="1"/>
  <c r="P34" i="227" s="1"/>
  <c r="H36" i="227"/>
  <c r="I74" i="227"/>
  <c r="K74" i="227" s="1"/>
  <c r="M74" i="227" s="1"/>
  <c r="O74" i="227" s="1"/>
  <c r="P74" i="227" s="1"/>
  <c r="H76" i="227"/>
  <c r="P81" i="56"/>
  <c r="P82" i="56" s="1"/>
  <c r="J81" i="56"/>
  <c r="C81" i="56"/>
  <c r="K81" i="56"/>
  <c r="L81" i="56"/>
  <c r="O81" i="56"/>
  <c r="Y81" i="56"/>
  <c r="Y82" i="56" s="1"/>
  <c r="U81" i="56"/>
  <c r="U82" i="56" s="1"/>
  <c r="D81" i="56"/>
  <c r="B81" i="56"/>
  <c r="B82" i="56" s="1"/>
  <c r="AA83" i="56"/>
  <c r="E597" i="35"/>
  <c r="E599" i="35"/>
  <c r="I36" i="160" l="1"/>
  <c r="K36" i="160" s="1"/>
  <c r="M36" i="160" s="1"/>
  <c r="O36" i="160" s="1"/>
  <c r="P36" i="160" s="1"/>
  <c r="H38" i="160"/>
  <c r="I118" i="160"/>
  <c r="K118" i="160" s="1"/>
  <c r="M118" i="160" s="1"/>
  <c r="O118" i="160" s="1"/>
  <c r="P118" i="160" s="1"/>
  <c r="H120" i="160"/>
  <c r="I76" i="160"/>
  <c r="K76" i="160" s="1"/>
  <c r="M76" i="160" s="1"/>
  <c r="O76" i="160" s="1"/>
  <c r="P76" i="160" s="1"/>
  <c r="H78" i="160"/>
  <c r="AU22" i="254"/>
  <c r="I75" i="227"/>
  <c r="K75" i="227" s="1"/>
  <c r="M75" i="227" s="1"/>
  <c r="O75" i="227" s="1"/>
  <c r="P75" i="227" s="1"/>
  <c r="H77" i="227"/>
  <c r="I35" i="227"/>
  <c r="K35" i="227" s="1"/>
  <c r="M35" i="227" s="1"/>
  <c r="O35" i="227" s="1"/>
  <c r="P35" i="227" s="1"/>
  <c r="H37" i="227"/>
  <c r="H119" i="227"/>
  <c r="I117" i="227"/>
  <c r="K117" i="227" s="1"/>
  <c r="M117" i="227" s="1"/>
  <c r="O117" i="227" s="1"/>
  <c r="P117" i="227" s="1"/>
  <c r="C82" i="56"/>
  <c r="AS81" i="56"/>
  <c r="D82" i="56"/>
  <c r="O82" i="56"/>
  <c r="U84" i="56"/>
  <c r="H121" i="160" l="1"/>
  <c r="I119" i="160"/>
  <c r="K119" i="160" s="1"/>
  <c r="M119" i="160" s="1"/>
  <c r="O119" i="160" s="1"/>
  <c r="P119" i="160" s="1"/>
  <c r="I77" i="160"/>
  <c r="K77" i="160" s="1"/>
  <c r="M77" i="160" s="1"/>
  <c r="O77" i="160" s="1"/>
  <c r="P77" i="160" s="1"/>
  <c r="H79" i="160"/>
  <c r="I37" i="160"/>
  <c r="K37" i="160" s="1"/>
  <c r="M37" i="160" s="1"/>
  <c r="O37" i="160" s="1"/>
  <c r="P37" i="160" s="1"/>
  <c r="H39" i="160"/>
  <c r="I118" i="227"/>
  <c r="K118" i="227" s="1"/>
  <c r="M118" i="227" s="1"/>
  <c r="O118" i="227" s="1"/>
  <c r="P118" i="227" s="1"/>
  <c r="H120" i="227"/>
  <c r="I36" i="227"/>
  <c r="K36" i="227" s="1"/>
  <c r="M36" i="227" s="1"/>
  <c r="O36" i="227" s="1"/>
  <c r="P36" i="227" s="1"/>
  <c r="H38" i="227"/>
  <c r="I76" i="227"/>
  <c r="K76" i="227" s="1"/>
  <c r="M76" i="227" s="1"/>
  <c r="O76" i="227" s="1"/>
  <c r="P76" i="227" s="1"/>
  <c r="H78" i="227"/>
  <c r="H80" i="160" l="1"/>
  <c r="I78" i="160"/>
  <c r="K78" i="160" s="1"/>
  <c r="M78" i="160" s="1"/>
  <c r="O78" i="160" s="1"/>
  <c r="P78" i="160" s="1"/>
  <c r="I38" i="160"/>
  <c r="K38" i="160" s="1"/>
  <c r="M38" i="160" s="1"/>
  <c r="O38" i="160" s="1"/>
  <c r="P38" i="160" s="1"/>
  <c r="H40" i="160"/>
  <c r="I120" i="160"/>
  <c r="K120" i="160" s="1"/>
  <c r="M120" i="160" s="1"/>
  <c r="O120" i="160" s="1"/>
  <c r="P120" i="160" s="1"/>
  <c r="H122" i="160"/>
  <c r="I37" i="227"/>
  <c r="K37" i="227" s="1"/>
  <c r="M37" i="227" s="1"/>
  <c r="O37" i="227" s="1"/>
  <c r="P37" i="227" s="1"/>
  <c r="H39" i="227"/>
  <c r="I77" i="227"/>
  <c r="K77" i="227" s="1"/>
  <c r="M77" i="227" s="1"/>
  <c r="O77" i="227" s="1"/>
  <c r="P77" i="227" s="1"/>
  <c r="H79" i="227"/>
  <c r="I119" i="227"/>
  <c r="K119" i="227" s="1"/>
  <c r="M119" i="227" s="1"/>
  <c r="O119" i="227" s="1"/>
  <c r="P119" i="227" s="1"/>
  <c r="H121" i="227"/>
  <c r="M81" i="56"/>
  <c r="G81" i="56"/>
  <c r="I39" i="160" l="1"/>
  <c r="K39" i="160" s="1"/>
  <c r="M39" i="160" s="1"/>
  <c r="O39" i="160" s="1"/>
  <c r="P39" i="160" s="1"/>
  <c r="H41" i="160"/>
  <c r="H123" i="160"/>
  <c r="I121" i="160"/>
  <c r="K121" i="160" s="1"/>
  <c r="M121" i="160" s="1"/>
  <c r="O121" i="160" s="1"/>
  <c r="P121" i="160" s="1"/>
  <c r="I79" i="160"/>
  <c r="K79" i="160" s="1"/>
  <c r="M79" i="160" s="1"/>
  <c r="O79" i="160" s="1"/>
  <c r="P79" i="160" s="1"/>
  <c r="H81" i="160"/>
  <c r="H122" i="227"/>
  <c r="I120" i="227"/>
  <c r="K120" i="227" s="1"/>
  <c r="M120" i="227" s="1"/>
  <c r="O120" i="227" s="1"/>
  <c r="P120" i="227" s="1"/>
  <c r="I78" i="227"/>
  <c r="K78" i="227" s="1"/>
  <c r="M78" i="227" s="1"/>
  <c r="O78" i="227" s="1"/>
  <c r="P78" i="227" s="1"/>
  <c r="H80" i="227"/>
  <c r="H40" i="227"/>
  <c r="I38" i="227"/>
  <c r="K38" i="227" s="1"/>
  <c r="M38" i="227" s="1"/>
  <c r="O38" i="227" s="1"/>
  <c r="P38" i="227" s="1"/>
  <c r="M82" i="56"/>
  <c r="G82" i="56"/>
  <c r="I80" i="160" l="1"/>
  <c r="K80" i="160" s="1"/>
  <c r="M80" i="160" s="1"/>
  <c r="O80" i="160" s="1"/>
  <c r="P80" i="160" s="1"/>
  <c r="H82" i="160"/>
  <c r="I122" i="160"/>
  <c r="K122" i="160" s="1"/>
  <c r="M122" i="160" s="1"/>
  <c r="O122" i="160" s="1"/>
  <c r="P122" i="160" s="1"/>
  <c r="H124" i="160"/>
  <c r="I40" i="160"/>
  <c r="K40" i="160" s="1"/>
  <c r="M40" i="160" s="1"/>
  <c r="O40" i="160" s="1"/>
  <c r="P40" i="160" s="1"/>
  <c r="H42" i="160"/>
  <c r="AU21" i="254"/>
  <c r="H41" i="227"/>
  <c r="I39" i="227"/>
  <c r="K39" i="227" s="1"/>
  <c r="M39" i="227" s="1"/>
  <c r="O39" i="227" s="1"/>
  <c r="P39" i="227" s="1"/>
  <c r="I79" i="227"/>
  <c r="K79" i="227" s="1"/>
  <c r="M79" i="227" s="1"/>
  <c r="O79" i="227" s="1"/>
  <c r="P79" i="227" s="1"/>
  <c r="H81" i="227"/>
  <c r="I121" i="227"/>
  <c r="K121" i="227" s="1"/>
  <c r="M121" i="227" s="1"/>
  <c r="O121" i="227" s="1"/>
  <c r="P121" i="227" s="1"/>
  <c r="H123" i="227"/>
  <c r="I123" i="160" l="1"/>
  <c r="K123" i="160" s="1"/>
  <c r="M123" i="160" s="1"/>
  <c r="O123" i="160" s="1"/>
  <c r="P123" i="160" s="1"/>
  <c r="H125" i="160"/>
  <c r="I41" i="160"/>
  <c r="K41" i="160" s="1"/>
  <c r="M41" i="160" s="1"/>
  <c r="O41" i="160" s="1"/>
  <c r="P41" i="160" s="1"/>
  <c r="H43" i="160"/>
  <c r="I81" i="160"/>
  <c r="K81" i="160" s="1"/>
  <c r="M81" i="160" s="1"/>
  <c r="O81" i="160" s="1"/>
  <c r="P81" i="160" s="1"/>
  <c r="H83" i="160"/>
  <c r="H124" i="227"/>
  <c r="I122" i="227"/>
  <c r="K122" i="227" s="1"/>
  <c r="M122" i="227" s="1"/>
  <c r="O122" i="227" s="1"/>
  <c r="P122" i="227" s="1"/>
  <c r="I80" i="227"/>
  <c r="K80" i="227" s="1"/>
  <c r="M80" i="227" s="1"/>
  <c r="O80" i="227" s="1"/>
  <c r="P80" i="227" s="1"/>
  <c r="H82" i="227"/>
  <c r="I40" i="227"/>
  <c r="K40" i="227" s="1"/>
  <c r="M40" i="227" s="1"/>
  <c r="O40" i="227" s="1"/>
  <c r="P40" i="227" s="1"/>
  <c r="H42" i="227"/>
  <c r="H84" i="160" l="1"/>
  <c r="I82" i="160"/>
  <c r="K82" i="160" s="1"/>
  <c r="M82" i="160" s="1"/>
  <c r="O82" i="160" s="1"/>
  <c r="P82" i="160" s="1"/>
  <c r="I42" i="160"/>
  <c r="K42" i="160" s="1"/>
  <c r="M42" i="160" s="1"/>
  <c r="O42" i="160" s="1"/>
  <c r="P42" i="160" s="1"/>
  <c r="H44" i="160"/>
  <c r="I43" i="160" s="1"/>
  <c r="K43" i="160" s="1"/>
  <c r="M43" i="160" s="1"/>
  <c r="O43" i="160" s="1"/>
  <c r="P43" i="160" s="1"/>
  <c r="H126" i="160"/>
  <c r="I125" i="160" s="1"/>
  <c r="K125" i="160" s="1"/>
  <c r="M125" i="160" s="1"/>
  <c r="O125" i="160" s="1"/>
  <c r="P125" i="160" s="1"/>
  <c r="L39" i="48" s="1"/>
  <c r="I124" i="160"/>
  <c r="K124" i="160" s="1"/>
  <c r="M124" i="160" s="1"/>
  <c r="O124" i="160" s="1"/>
  <c r="P124" i="160" s="1"/>
  <c r="I41" i="227"/>
  <c r="K41" i="227" s="1"/>
  <c r="M41" i="227" s="1"/>
  <c r="O41" i="227" s="1"/>
  <c r="P41" i="227" s="1"/>
  <c r="H43" i="227"/>
  <c r="I81" i="227"/>
  <c r="K81" i="227" s="1"/>
  <c r="M81" i="227" s="1"/>
  <c r="O81" i="227" s="1"/>
  <c r="P81" i="227" s="1"/>
  <c r="H83" i="227"/>
  <c r="H125" i="227"/>
  <c r="I123" i="227"/>
  <c r="K123" i="227" s="1"/>
  <c r="M123" i="227" s="1"/>
  <c r="O123" i="227" s="1"/>
  <c r="P123" i="227" s="1"/>
  <c r="E81" i="56"/>
  <c r="I81" i="56"/>
  <c r="I83" i="160" l="1"/>
  <c r="K83" i="160" s="1"/>
  <c r="M83" i="160" s="1"/>
  <c r="O83" i="160" s="1"/>
  <c r="P83" i="160" s="1"/>
  <c r="H85" i="160"/>
  <c r="I84" i="160" s="1"/>
  <c r="K84" i="160" s="1"/>
  <c r="M84" i="160" s="1"/>
  <c r="O84" i="160" s="1"/>
  <c r="P84" i="160" s="1"/>
  <c r="L38" i="48" s="1"/>
  <c r="Q38" i="48" s="1"/>
  <c r="E206" i="61"/>
  <c r="AU10" i="254"/>
  <c r="I124" i="227"/>
  <c r="K124" i="227" s="1"/>
  <c r="M124" i="227" s="1"/>
  <c r="O124" i="227" s="1"/>
  <c r="P124" i="227" s="1"/>
  <c r="H126" i="227"/>
  <c r="H84" i="227"/>
  <c r="H85" i="227" s="1"/>
  <c r="I82" i="227"/>
  <c r="K82" i="227" s="1"/>
  <c r="M82" i="227" s="1"/>
  <c r="O82" i="227" s="1"/>
  <c r="P82" i="227" s="1"/>
  <c r="H44" i="227"/>
  <c r="I42" i="227"/>
  <c r="K42" i="227" s="1"/>
  <c r="M42" i="227" s="1"/>
  <c r="O42" i="227" s="1"/>
  <c r="P42" i="227" s="1"/>
  <c r="V81" i="56"/>
  <c r="V82" i="56" s="1"/>
  <c r="E82" i="56"/>
  <c r="I82" i="56"/>
  <c r="N81" i="56"/>
  <c r="N82" i="56" s="1"/>
  <c r="J39" i="48" l="1"/>
  <c r="J38" i="48"/>
  <c r="I43" i="227"/>
  <c r="J37" i="211" s="1"/>
  <c r="I83" i="227"/>
  <c r="K83" i="227" s="1"/>
  <c r="M83" i="227" s="1"/>
  <c r="O83" i="227" s="1"/>
  <c r="P83" i="227" s="1"/>
  <c r="I125" i="227"/>
  <c r="K43" i="227" l="1"/>
  <c r="M43" i="227" s="1"/>
  <c r="O43" i="227" s="1"/>
  <c r="P43" i="227" s="1"/>
  <c r="L37" i="211" s="1"/>
  <c r="K125" i="227"/>
  <c r="M125" i="227" s="1"/>
  <c r="O125" i="227" s="1"/>
  <c r="P125" i="227" s="1"/>
  <c r="L39" i="211" s="1"/>
  <c r="J39" i="211"/>
  <c r="I84" i="227"/>
  <c r="L37" i="48" l="1"/>
  <c r="L40" i="48" s="1"/>
  <c r="J37" i="48"/>
  <c r="K84" i="227"/>
  <c r="M84" i="227" s="1"/>
  <c r="O84" i="227" s="1"/>
  <c r="P84" i="227" s="1"/>
  <c r="J38" i="211"/>
  <c r="L38" i="211" l="1"/>
  <c r="L40" i="211" s="1"/>
  <c r="U83" i="55"/>
  <c r="T83" i="55"/>
  <c r="S83" i="55"/>
  <c r="R83" i="55"/>
  <c r="AB97" i="254"/>
  <c r="D2" i="55"/>
  <c r="D1" i="55"/>
  <c r="E722" i="35"/>
  <c r="E108" i="35"/>
  <c r="E104" i="35"/>
  <c r="E99" i="35"/>
  <c r="E601" i="35"/>
  <c r="E867" i="35"/>
  <c r="AG67" i="55" l="1"/>
  <c r="AG59" i="55"/>
  <c r="AG32" i="55"/>
  <c r="AG45" i="55"/>
  <c r="AG57" i="55"/>
  <c r="AG31" i="55"/>
  <c r="AG9" i="55"/>
  <c r="AG10" i="55"/>
  <c r="AG65" i="55"/>
  <c r="AG80" i="55"/>
  <c r="AG11" i="55"/>
  <c r="AG8" i="55"/>
  <c r="AG70" i="55"/>
  <c r="AG74" i="55"/>
  <c r="AG46" i="55"/>
  <c r="AG47" i="55"/>
  <c r="AG64" i="55"/>
  <c r="AG39" i="55"/>
  <c r="AG40" i="55"/>
  <c r="AG58" i="55"/>
  <c r="D203" i="61"/>
  <c r="AT7" i="254"/>
  <c r="D206" i="61"/>
  <c r="AT10" i="254"/>
  <c r="AE97" i="254"/>
  <c r="AF97" i="254"/>
  <c r="AG97" i="254"/>
  <c r="AH78" i="256" s="1"/>
  <c r="F207" i="61" s="1"/>
  <c r="AH97" i="254"/>
  <c r="AH78" i="255" s="1"/>
  <c r="G207" i="61" s="1"/>
  <c r="AT8" i="254"/>
  <c r="D208" i="61"/>
  <c r="AT12" i="254"/>
  <c r="D204" i="61"/>
  <c r="E1014" i="35"/>
  <c r="E716" i="35"/>
  <c r="E105" i="35"/>
  <c r="E111" i="35"/>
  <c r="E1013" i="35"/>
  <c r="D481" i="35" a="1"/>
  <c r="D478" i="35" a="1"/>
  <c r="E603" i="35"/>
  <c r="E711" i="35"/>
  <c r="E723" i="35"/>
  <c r="E100" i="35"/>
  <c r="E1016" i="35"/>
  <c r="E378" i="35"/>
  <c r="H378" i="35"/>
  <c r="D487" i="35" s="1" a="1"/>
  <c r="H377" i="35"/>
  <c r="E712" i="35"/>
  <c r="E101" i="35"/>
  <c r="E1015" i="35"/>
  <c r="E595" i="35"/>
  <c r="E600" i="35"/>
  <c r="E102" i="35"/>
  <c r="E710" i="35"/>
  <c r="E1018" i="35"/>
  <c r="E594" i="35"/>
  <c r="E596" i="35"/>
  <c r="E598" i="35"/>
  <c r="E714" i="35"/>
  <c r="E103" i="35"/>
  <c r="E721" i="35"/>
  <c r="E110" i="35"/>
  <c r="E715" i="35"/>
  <c r="E869" i="35"/>
  <c r="E602" i="35"/>
  <c r="E719" i="35"/>
  <c r="E109" i="35"/>
  <c r="E107" i="35"/>
  <c r="AH78" i="56" l="1"/>
  <c r="AH78" i="55"/>
  <c r="D478" i="35"/>
  <c r="D481" i="35"/>
  <c r="D487" i="35"/>
  <c r="T81" i="56"/>
  <c r="T84" i="56" s="1"/>
  <c r="AT78" i="256"/>
  <c r="AG78" i="256"/>
  <c r="AV11" i="254"/>
  <c r="AH81" i="256"/>
  <c r="AT78" i="255"/>
  <c r="AG78" i="255"/>
  <c r="AW11" i="254"/>
  <c r="AH81" i="255"/>
  <c r="Z81" i="56"/>
  <c r="Q79" i="60"/>
  <c r="E1017" i="35"/>
  <c r="D475" i="35" a="1"/>
  <c r="E375" i="35"/>
  <c r="E374" i="35"/>
  <c r="P79" i="60"/>
  <c r="X81" i="56"/>
  <c r="E593" i="35"/>
  <c r="E604" i="35" s="1"/>
  <c r="E377" i="35"/>
  <c r="S81" i="56"/>
  <c r="Q83" i="60"/>
  <c r="E376" i="35"/>
  <c r="E717" i="35"/>
  <c r="E106" i="35"/>
  <c r="P83" i="60"/>
  <c r="E713" i="35"/>
  <c r="E720" i="35"/>
  <c r="E718" i="35"/>
  <c r="AT78" i="55" l="1"/>
  <c r="AK78" i="55" s="1"/>
  <c r="AG78" i="55"/>
  <c r="AG12" i="55" s="1"/>
  <c r="A12" i="55" s="1"/>
  <c r="AA12" i="55" s="1"/>
  <c r="AG78" i="56"/>
  <c r="AG12" i="56" s="1"/>
  <c r="A12" i="56" s="1"/>
  <c r="AA12" i="56" s="1"/>
  <c r="AT78" i="56"/>
  <c r="AK78" i="56" s="1"/>
  <c r="AG12" i="256"/>
  <c r="A12" i="256" s="1"/>
  <c r="F210" i="61"/>
  <c r="AG12" i="255"/>
  <c r="AG81" i="255" s="1"/>
  <c r="G210" i="61"/>
  <c r="T82" i="56"/>
  <c r="AW6" i="254"/>
  <c r="AW15" i="254" s="1"/>
  <c r="AW16" i="254" s="1"/>
  <c r="AW17" i="254" s="1"/>
  <c r="G202" i="61"/>
  <c r="G209" i="61" s="1"/>
  <c r="AV6" i="254"/>
  <c r="AV15" i="254" s="1"/>
  <c r="AV16" i="254" s="1"/>
  <c r="AV17" i="254" s="1"/>
  <c r="F202" i="61"/>
  <c r="F209" i="61" s="1"/>
  <c r="K374" i="35"/>
  <c r="D475" i="35"/>
  <c r="AK78" i="255"/>
  <c r="AK81" i="255" s="1"/>
  <c r="AT81" i="255"/>
  <c r="AK78" i="256"/>
  <c r="AK81" i="256" s="1"/>
  <c r="AT81" i="256"/>
  <c r="E207" i="61"/>
  <c r="AU11" i="254"/>
  <c r="P75" i="60"/>
  <c r="Z82" i="56"/>
  <c r="Q75" i="60"/>
  <c r="S82" i="56"/>
  <c r="S84" i="56"/>
  <c r="W81" i="56"/>
  <c r="W82" i="56" s="1"/>
  <c r="X82" i="56"/>
  <c r="F81" i="56"/>
  <c r="E57" i="35"/>
  <c r="AC83" i="255" l="1"/>
  <c r="A12" i="255"/>
  <c r="AA12" i="255" s="1"/>
  <c r="AA81" i="255" s="1"/>
  <c r="AC84" i="255" s="1"/>
  <c r="AC83" i="256"/>
  <c r="AG81" i="256"/>
  <c r="AW13" i="254"/>
  <c r="AV13" i="254"/>
  <c r="Q85" i="60"/>
  <c r="Q89" i="60" s="1"/>
  <c r="AU23" i="254"/>
  <c r="AU20" i="254"/>
  <c r="AV25" i="254"/>
  <c r="F211" i="61" s="1"/>
  <c r="AA12" i="256"/>
  <c r="AA81" i="256" s="1"/>
  <c r="AC84" i="256" s="1"/>
  <c r="A81" i="256"/>
  <c r="A82" i="256" s="1"/>
  <c r="AA82" i="256" s="1"/>
  <c r="AC82" i="256" s="1"/>
  <c r="H81" i="56"/>
  <c r="H82" i="56" s="1"/>
  <c r="AT81" i="56"/>
  <c r="F82" i="56"/>
  <c r="E1010" i="35"/>
  <c r="R81" i="56"/>
  <c r="AW25" i="254" l="1"/>
  <c r="G211" i="61" s="1"/>
  <c r="A81" i="255"/>
  <c r="A82" i="255" s="1"/>
  <c r="AA82" i="255" s="1"/>
  <c r="AC82" i="255" s="1"/>
  <c r="AI81" i="56"/>
  <c r="AU24" i="254"/>
  <c r="E8" i="61"/>
  <c r="E151" i="61" s="1"/>
  <c r="AO81" i="56"/>
  <c r="AQ81" i="56"/>
  <c r="AM81" i="56"/>
  <c r="AR81" i="56"/>
  <c r="AP81" i="56"/>
  <c r="AN81" i="56"/>
  <c r="AJ81" i="56"/>
  <c r="R82" i="56"/>
  <c r="R84" i="56"/>
  <c r="AA84" i="56"/>
  <c r="E58" i="35"/>
  <c r="E379" i="35"/>
  <c r="G379" i="35" s="1"/>
  <c r="E872" i="35"/>
  <c r="E112" i="35"/>
  <c r="E115" i="35" s="1"/>
  <c r="E98" i="35"/>
  <c r="J379" i="35" l="1"/>
  <c r="E113" i="35"/>
  <c r="E114" i="35"/>
  <c r="E709" i="35"/>
  <c r="E724" i="35" s="1"/>
  <c r="E873" i="35"/>
  <c r="H379" i="35"/>
  <c r="E380" i="35"/>
  <c r="H380" i="35" l="1"/>
  <c r="AA83" i="55" l="1"/>
  <c r="D81" i="55"/>
  <c r="P85" i="60"/>
  <c r="P89" i="60" s="1"/>
  <c r="M84" i="55"/>
  <c r="N84" i="55"/>
  <c r="O84" i="55"/>
  <c r="P84" i="55"/>
  <c r="Q84" i="55"/>
  <c r="V84" i="55"/>
  <c r="W84" i="55"/>
  <c r="X84" i="55"/>
  <c r="Y84" i="55"/>
  <c r="Z84" i="55"/>
  <c r="Z86" i="55"/>
  <c r="Y86" i="55"/>
  <c r="X86" i="55"/>
  <c r="W86" i="55"/>
  <c r="V86" i="55"/>
  <c r="U86" i="55"/>
  <c r="T86" i="55"/>
  <c r="S86" i="55"/>
  <c r="R86" i="55"/>
  <c r="Q86" i="55"/>
  <c r="P86" i="55"/>
  <c r="O86" i="55"/>
  <c r="N86" i="55"/>
  <c r="M86" i="55"/>
  <c r="I86" i="55"/>
  <c r="H86" i="55"/>
  <c r="G86" i="55"/>
  <c r="F86" i="55"/>
  <c r="E86" i="55"/>
  <c r="D86" i="55"/>
  <c r="C86" i="55"/>
  <c r="B86" i="55"/>
  <c r="D207" i="61" l="1"/>
  <c r="AT11" i="254"/>
  <c r="D82" i="55"/>
  <c r="H81" i="55"/>
  <c r="I81" i="55"/>
  <c r="R81" i="55"/>
  <c r="K81" i="55"/>
  <c r="O81" i="55"/>
  <c r="Z81" i="55"/>
  <c r="U81" i="55"/>
  <c r="U84" i="55" s="1"/>
  <c r="Y81" i="55"/>
  <c r="Y82" i="55" s="1"/>
  <c r="M81" i="55"/>
  <c r="G81" i="55"/>
  <c r="T81" i="55"/>
  <c r="T82" i="55" s="1"/>
  <c r="L81" i="55"/>
  <c r="C81" i="55"/>
  <c r="X81" i="55"/>
  <c r="P81" i="55"/>
  <c r="P82" i="55" s="1"/>
  <c r="J81" i="55"/>
  <c r="B81" i="55"/>
  <c r="B82" i="55" s="1"/>
  <c r="AT22" i="254" l="1"/>
  <c r="D8" i="61"/>
  <c r="D151" i="61" s="1"/>
  <c r="AS81" i="55"/>
  <c r="C82" i="55"/>
  <c r="Z82" i="55"/>
  <c r="X82" i="55"/>
  <c r="G82" i="55"/>
  <c r="O82" i="55"/>
  <c r="H82" i="55"/>
  <c r="M82" i="55"/>
  <c r="AT21" i="254"/>
  <c r="I82" i="55"/>
  <c r="E81" i="55"/>
  <c r="W81" i="55"/>
  <c r="W82" i="55" s="1"/>
  <c r="R84" i="55"/>
  <c r="U82" i="55"/>
  <c r="T84" i="55"/>
  <c r="R82" i="55"/>
  <c r="AT23" i="254" l="1"/>
  <c r="AT20" i="254"/>
  <c r="E82" i="55"/>
  <c r="AT81" i="55"/>
  <c r="V81" i="55"/>
  <c r="V82" i="55" s="1"/>
  <c r="F81" i="55"/>
  <c r="F82" i="55" s="1"/>
  <c r="S81" i="55"/>
  <c r="AT9" i="254"/>
  <c r="N81" i="55"/>
  <c r="N82" i="55" s="1"/>
  <c r="AT24" i="254" l="1"/>
  <c r="D205" i="61"/>
  <c r="AJ81" i="55"/>
  <c r="Q81" i="55"/>
  <c r="AA84" i="55"/>
  <c r="S82" i="55"/>
  <c r="S84" i="55"/>
  <c r="AH81" i="55"/>
  <c r="D210" i="61" l="1"/>
  <c r="D202" i="61"/>
  <c r="D209" i="61" s="1"/>
  <c r="AT6" i="254"/>
  <c r="AM81" i="55"/>
  <c r="AI81" i="55"/>
  <c r="AP81" i="55"/>
  <c r="AN81" i="55"/>
  <c r="AO81" i="55"/>
  <c r="AR81" i="55"/>
  <c r="AQ81" i="55"/>
  <c r="AT25" i="254" l="1"/>
  <c r="D211" i="61" s="1"/>
  <c r="AA81" i="55"/>
  <c r="AC84" i="55" s="1"/>
  <c r="AG81" i="55"/>
  <c r="AC83" i="55"/>
  <c r="A81" i="55"/>
  <c r="A82" i="55" s="1"/>
  <c r="AT15" i="254"/>
  <c r="AT16" i="254" s="1"/>
  <c r="AT17" i="254" s="1"/>
  <c r="AT13" i="254"/>
  <c r="AL81" i="55"/>
  <c r="AA82" i="55" l="1"/>
  <c r="AC82" i="55" s="1"/>
  <c r="AK81" i="55"/>
  <c r="AT5" i="254"/>
  <c r="C595" i="35" l="1"/>
  <c r="C868" i="35" l="1"/>
  <c r="C869" i="35"/>
  <c r="C870" i="35"/>
  <c r="C736" i="35"/>
  <c r="C723" i="35"/>
  <c r="C599" i="35" l="1"/>
  <c r="C598" i="35"/>
  <c r="C597" i="35"/>
  <c r="C596" i="35"/>
  <c r="E728" i="35" l="1"/>
  <c r="E799" i="35" s="1"/>
  <c r="C728" i="35"/>
  <c r="C799" i="35" s="1"/>
  <c r="E186" i="35" l="1"/>
  <c r="C147" i="35"/>
  <c r="C186" i="35" s="1"/>
  <c r="Q24" i="48" l="1"/>
  <c r="Q23" i="48"/>
  <c r="Q19" i="48"/>
  <c r="Q11" i="48"/>
  <c r="Q25" i="211"/>
  <c r="D287" i="44" s="1"/>
  <c r="E287" i="44" s="1"/>
  <c r="Q35" i="211" l="1"/>
  <c r="Q34" i="211"/>
  <c r="Z10" i="46"/>
  <c r="Z11" i="46"/>
  <c r="Y11" i="46" s="1"/>
  <c r="Z11" i="209"/>
  <c r="Y11" i="209" s="1"/>
  <c r="Z10" i="209"/>
  <c r="Y10" i="209" s="1"/>
  <c r="Z9" i="209"/>
  <c r="Z14" i="209"/>
  <c r="Y14" i="209" s="1"/>
  <c r="Z13" i="209"/>
  <c r="Y13" i="209" s="1"/>
  <c r="Z15" i="209"/>
  <c r="Y15" i="209" s="1"/>
  <c r="Z12" i="209"/>
  <c r="Y12" i="209" s="1"/>
  <c r="Z14" i="46"/>
  <c r="Y14" i="46" s="1"/>
  <c r="Z15" i="46"/>
  <c r="Y15" i="46" s="1"/>
  <c r="Z12" i="46"/>
  <c r="Z9" i="46"/>
  <c r="Z13" i="46"/>
  <c r="Y13" i="46" s="1"/>
  <c r="Z17" i="209"/>
  <c r="D345" i="44" s="1"/>
  <c r="Z16" i="209"/>
  <c r="D344" i="44" s="1"/>
  <c r="Z17" i="46"/>
  <c r="Z16" i="46"/>
  <c r="Z8" i="209"/>
  <c r="P23" i="48"/>
  <c r="P19" i="48"/>
  <c r="P11" i="48"/>
  <c r="O33" i="213"/>
  <c r="O18" i="213"/>
  <c r="O11" i="213"/>
  <c r="O32" i="213"/>
  <c r="O17" i="213"/>
  <c r="O42" i="213"/>
  <c r="O31" i="213"/>
  <c r="O23" i="213"/>
  <c r="O16" i="213"/>
  <c r="Q27" i="211"/>
  <c r="D290" i="44" s="1"/>
  <c r="E290" i="44" s="1"/>
  <c r="O19" i="213"/>
  <c r="Q26" i="211"/>
  <c r="D288" i="44" s="1"/>
  <c r="E288" i="44" s="1"/>
  <c r="O41" i="213"/>
  <c r="L22" i="212"/>
  <c r="O34" i="213"/>
  <c r="O37" i="213"/>
  <c r="O14" i="213"/>
  <c r="O22" i="213"/>
  <c r="O13" i="213"/>
  <c r="O35" i="213"/>
  <c r="O21" i="213"/>
  <c r="O12" i="213"/>
  <c r="Q30" i="211"/>
  <c r="Q31" i="211"/>
  <c r="Q29" i="211"/>
  <c r="P29" i="211" s="1"/>
  <c r="Q33" i="211"/>
  <c r="C314" i="44" s="1"/>
  <c r="Q28" i="211"/>
  <c r="Q32" i="211"/>
  <c r="L20" i="212"/>
  <c r="L21" i="212"/>
  <c r="L24" i="212"/>
  <c r="L25" i="212"/>
  <c r="O27" i="213"/>
  <c r="O26" i="213"/>
  <c r="O25" i="213"/>
  <c r="O28" i="213"/>
  <c r="O20" i="213"/>
  <c r="O29" i="213"/>
  <c r="O30" i="213"/>
  <c r="O24" i="213"/>
  <c r="C490" i="44" s="1"/>
  <c r="O40" i="213"/>
  <c r="O39" i="213"/>
  <c r="O36" i="213"/>
  <c r="O15" i="213"/>
  <c r="O38" i="213"/>
  <c r="Q39" i="211"/>
  <c r="Q37" i="211"/>
  <c r="Q38" i="211"/>
  <c r="O14" i="49"/>
  <c r="O19" i="49"/>
  <c r="O11" i="49"/>
  <c r="D59" i="60"/>
  <c r="Q28" i="48"/>
  <c r="Q34" i="48"/>
  <c r="L14" i="50"/>
  <c r="Q35" i="48"/>
  <c r="Q32" i="48"/>
  <c r="L15" i="50"/>
  <c r="Q39" i="48"/>
  <c r="O42" i="49"/>
  <c r="O41" i="49"/>
  <c r="Q37" i="48"/>
  <c r="Q29" i="48"/>
  <c r="P29" i="48" s="1"/>
  <c r="Q26" i="48"/>
  <c r="Q30" i="48"/>
  <c r="Q27" i="48"/>
  <c r="Q31" i="48"/>
  <c r="Q25" i="48"/>
  <c r="O33" i="49"/>
  <c r="Q33" i="48"/>
  <c r="O26" i="49"/>
  <c r="O40" i="49"/>
  <c r="O32" i="49"/>
  <c r="O24" i="49"/>
  <c r="O16" i="49"/>
  <c r="O39" i="49"/>
  <c r="O31" i="49"/>
  <c r="O23" i="49"/>
  <c r="O38" i="49"/>
  <c r="O37" i="49"/>
  <c r="O29" i="49"/>
  <c r="O21" i="49"/>
  <c r="O13" i="49"/>
  <c r="L12" i="50"/>
  <c r="L16" i="50"/>
  <c r="F47" i="60" s="1"/>
  <c r="O22" i="49"/>
  <c r="O36" i="49"/>
  <c r="O28" i="49"/>
  <c r="O20" i="49"/>
  <c r="O12" i="49"/>
  <c r="L25" i="50"/>
  <c r="O30" i="49"/>
  <c r="O35" i="49"/>
  <c r="O27" i="49"/>
  <c r="L24" i="50"/>
  <c r="O34" i="49"/>
  <c r="O18" i="49"/>
  <c r="L22" i="50"/>
  <c r="O25" i="49"/>
  <c r="O17" i="49"/>
  <c r="F50" i="60"/>
  <c r="C1016" i="35"/>
  <c r="F111" i="35"/>
  <c r="F110" i="35"/>
  <c r="F109" i="35"/>
  <c r="F108" i="35"/>
  <c r="F107" i="35"/>
  <c r="F106" i="35"/>
  <c r="C592" i="44" l="1"/>
  <c r="C492" i="44"/>
  <c r="C263" i="44"/>
  <c r="C138" i="44"/>
  <c r="C264" i="44"/>
  <c r="C489" i="44"/>
  <c r="F621" i="44"/>
  <c r="C341" i="44"/>
  <c r="C137" i="44"/>
  <c r="G622" i="44"/>
  <c r="C593" i="44"/>
  <c r="C594" i="44" s="1"/>
  <c r="C494" i="44"/>
  <c r="C491" i="44"/>
  <c r="C488" i="44"/>
  <c r="C493" i="44"/>
  <c r="C315" i="44"/>
  <c r="F46" i="60"/>
  <c r="M46" i="60" s="1"/>
  <c r="R46" i="60" s="1"/>
  <c r="P33" i="211"/>
  <c r="D61" i="60"/>
  <c r="R61" i="60" s="1"/>
  <c r="Y9" i="46"/>
  <c r="L26" i="212"/>
  <c r="D46" i="44" s="1"/>
  <c r="C46" i="44" s="1"/>
  <c r="F65" i="60"/>
  <c r="M65" i="60" s="1"/>
  <c r="R65" i="60" s="1"/>
  <c r="M50" i="60"/>
  <c r="R50" i="60" s="1"/>
  <c r="I50" i="60"/>
  <c r="P50" i="60" s="1"/>
  <c r="O50" i="60"/>
  <c r="S50" i="60" s="1"/>
  <c r="K50" i="60"/>
  <c r="Q50" i="60" s="1"/>
  <c r="I47" i="60"/>
  <c r="P47" i="60" s="1"/>
  <c r="O47" i="60"/>
  <c r="S47" i="60" s="1"/>
  <c r="K47" i="60"/>
  <c r="Q47" i="60" s="1"/>
  <c r="M47" i="60"/>
  <c r="R47" i="60" s="1"/>
  <c r="D45" i="60"/>
  <c r="D48" i="60"/>
  <c r="R48" i="60" s="1"/>
  <c r="D63" i="60"/>
  <c r="Q63" i="60" s="1"/>
  <c r="R59" i="60"/>
  <c r="P59" i="60"/>
  <c r="Q59" i="60"/>
  <c r="S59" i="60"/>
  <c r="D51" i="60"/>
  <c r="D62" i="60"/>
  <c r="P33" i="48"/>
  <c r="P28" i="48"/>
  <c r="P28" i="211"/>
  <c r="Y9" i="209"/>
  <c r="Q40" i="211"/>
  <c r="D45" i="44" s="1"/>
  <c r="C45" i="44" s="1"/>
  <c r="O43" i="213"/>
  <c r="D42" i="44" s="1"/>
  <c r="C42" i="44" s="1"/>
  <c r="C5" i="61"/>
  <c r="O43" i="49"/>
  <c r="AG24" i="47"/>
  <c r="L26" i="50"/>
  <c r="C148" i="44" l="1"/>
  <c r="O46" i="60"/>
  <c r="S46" i="60" s="1"/>
  <c r="K46" i="60"/>
  <c r="Q46" i="60" s="1"/>
  <c r="P61" i="60"/>
  <c r="S61" i="60"/>
  <c r="C495" i="44"/>
  <c r="Q61" i="60"/>
  <c r="I46" i="60"/>
  <c r="P46" i="60" s="1"/>
  <c r="C7" i="61"/>
  <c r="C11" i="61"/>
  <c r="C10" i="61"/>
  <c r="F10" i="61" s="1"/>
  <c r="I65" i="60"/>
  <c r="P65" i="60" s="1"/>
  <c r="K65" i="60"/>
  <c r="Q65" i="60" s="1"/>
  <c r="O65" i="60"/>
  <c r="S65" i="60" s="1"/>
  <c r="E5" i="61"/>
  <c r="D5" i="61"/>
  <c r="S63" i="60"/>
  <c r="R63" i="60"/>
  <c r="P63" i="60"/>
  <c r="S48" i="60"/>
  <c r="Q48" i="60"/>
  <c r="P48" i="60"/>
  <c r="Q45" i="60"/>
  <c r="P45" i="60"/>
  <c r="S45" i="60"/>
  <c r="R45" i="60"/>
  <c r="Q62" i="60"/>
  <c r="S62" i="60"/>
  <c r="R62" i="60"/>
  <c r="P62" i="60"/>
  <c r="P51" i="60"/>
  <c r="S51" i="60"/>
  <c r="R51" i="60"/>
  <c r="Q51" i="60"/>
  <c r="G5" i="61"/>
  <c r="F5" i="61"/>
  <c r="B7" i="61"/>
  <c r="E10" i="61" l="1"/>
  <c r="D10" i="61"/>
  <c r="G10" i="61"/>
  <c r="Q69" i="60"/>
  <c r="E7" i="61" s="1"/>
  <c r="Q55" i="60"/>
  <c r="E11" i="61" s="1"/>
  <c r="P69" i="60"/>
  <c r="D7" i="61" s="1"/>
  <c r="R69" i="60"/>
  <c r="F7" i="61" s="1"/>
  <c r="S69" i="60"/>
  <c r="G7" i="61" s="1"/>
  <c r="R55" i="60"/>
  <c r="S55" i="60"/>
  <c r="P55" i="60"/>
  <c r="D11" i="61" s="1"/>
  <c r="B5" i="61"/>
  <c r="B11" i="61"/>
  <c r="C593" i="35"/>
  <c r="C478" i="35"/>
  <c r="C481" i="35" s="1"/>
  <c r="C484" i="35" s="1"/>
  <c r="C487" i="35" s="1"/>
  <c r="C490" i="35" s="1"/>
  <c r="C480" i="35"/>
  <c r="C483" i="35" s="1"/>
  <c r="C486" i="35" s="1"/>
  <c r="C489" i="35" s="1"/>
  <c r="C492" i="35" s="1"/>
  <c r="R115" i="60" l="1"/>
  <c r="P115" i="60"/>
  <c r="Q115" i="60"/>
  <c r="F11" i="61"/>
  <c r="S115" i="60"/>
  <c r="G11" i="61"/>
  <c r="D558" i="35"/>
  <c r="C601" i="35"/>
  <c r="C376" i="35" l="1"/>
  <c r="C1011" i="35"/>
  <c r="C378" i="35"/>
  <c r="C1013" i="35"/>
  <c r="C1014" i="35"/>
  <c r="C1015" i="35"/>
  <c r="C1018" i="35"/>
  <c r="C600" i="35"/>
  <c r="C594" i="35"/>
  <c r="C603" i="35"/>
  <c r="C602" i="35"/>
  <c r="C377" i="35"/>
  <c r="C375" i="35"/>
  <c r="C1012" i="35" l="1"/>
  <c r="C1017" i="35" l="1"/>
  <c r="C1010" i="35" l="1"/>
  <c r="C1173" i="35" l="1"/>
  <c r="C712" i="35" l="1"/>
  <c r="C714" i="35"/>
  <c r="C721" i="35"/>
  <c r="E730" i="35"/>
  <c r="C710" i="35"/>
  <c r="C730" i="35" s="1"/>
  <c r="C801" i="35" s="1"/>
  <c r="E801" i="35" l="1"/>
  <c r="D801" i="35"/>
  <c r="C722" i="35"/>
  <c r="C713" i="35"/>
  <c r="C715" i="35"/>
  <c r="C718" i="35"/>
  <c r="C734" i="35" s="1"/>
  <c r="C805" i="35" s="1"/>
  <c r="C717" i="35"/>
  <c r="C733" i="35" s="1"/>
  <c r="C804" i="35" s="1"/>
  <c r="C719" i="35"/>
  <c r="C711" i="35"/>
  <c r="E732" i="35"/>
  <c r="E733" i="35"/>
  <c r="C716" i="35"/>
  <c r="C732" i="35" s="1"/>
  <c r="C803" i="35" s="1"/>
  <c r="C720" i="35"/>
  <c r="E804" i="35" l="1"/>
  <c r="D804" i="35"/>
  <c r="E803" i="35"/>
  <c r="D803" i="35"/>
  <c r="C731" i="35"/>
  <c r="C802" i="35" s="1"/>
  <c r="B8" i="61"/>
  <c r="C735" i="35"/>
  <c r="C806" i="35" s="1"/>
  <c r="E731" i="35"/>
  <c r="E735" i="35"/>
  <c r="E734" i="35"/>
  <c r="E805" i="35" l="1"/>
  <c r="D805" i="35"/>
  <c r="E806" i="35"/>
  <c r="D806" i="35"/>
  <c r="E802" i="35"/>
  <c r="D802" i="35"/>
  <c r="B152" i="61"/>
  <c r="D152" i="61" s="1"/>
  <c r="B151" i="61"/>
  <c r="B153" i="61"/>
  <c r="C1221" i="35" l="1"/>
  <c r="C1271" i="35"/>
  <c r="E1173" i="35"/>
  <c r="E1123" i="35"/>
  <c r="E1221" i="35" l="1"/>
  <c r="I377" i="35" l="1"/>
  <c r="I375" i="35" l="1"/>
  <c r="I378" i="35"/>
  <c r="I376" i="35"/>
  <c r="K375" i="35"/>
  <c r="I374" i="35"/>
  <c r="E475" i="35" s="1" a="1"/>
  <c r="E478" i="35" l="1" a="1"/>
  <c r="E478" i="35" s="1"/>
  <c r="E475" i="35"/>
  <c r="F475" i="35" s="1"/>
  <c r="G475" i="35" s="1"/>
  <c r="F477" i="35"/>
  <c r="G477" i="35" s="1"/>
  <c r="F476" i="35"/>
  <c r="G476" i="35" s="1"/>
  <c r="E558" i="35"/>
  <c r="G558" i="35" s="1"/>
  <c r="E556" i="35"/>
  <c r="F478" i="35" l="1"/>
  <c r="G478" i="35" s="1"/>
  <c r="G556" i="35"/>
  <c r="F556" i="35"/>
  <c r="F480" i="35"/>
  <c r="G480" i="35" s="1"/>
  <c r="F479" i="35"/>
  <c r="G479" i="35" s="1"/>
  <c r="H477" i="35"/>
  <c r="H476" i="35"/>
  <c r="F558" i="35"/>
  <c r="H475" i="35"/>
  <c r="E729" i="35"/>
  <c r="H478" i="35" l="1"/>
  <c r="H480" i="35"/>
  <c r="E800" i="35"/>
  <c r="E807" i="35" s="1"/>
  <c r="D800" i="35"/>
  <c r="D807" i="35" s="1"/>
  <c r="E737" i="35"/>
  <c r="H479" i="35"/>
  <c r="F113" i="35" l="1"/>
  <c r="Q964" i="35" l="1"/>
  <c r="K964" i="35" l="1"/>
  <c r="I964" i="35"/>
  <c r="G964" i="35"/>
  <c r="M964" i="35"/>
  <c r="E964" i="35"/>
  <c r="O964" i="35"/>
  <c r="C964" i="35"/>
  <c r="C110" i="35" l="1"/>
  <c r="C108" i="35"/>
  <c r="C103" i="35"/>
  <c r="C101" i="35"/>
  <c r="C99" i="35"/>
  <c r="C149" i="35" s="1"/>
  <c r="C188" i="35" s="1"/>
  <c r="C104" i="35"/>
  <c r="C100" i="35" l="1"/>
  <c r="C102" i="35"/>
  <c r="C107" i="35"/>
  <c r="C154" i="35" s="1"/>
  <c r="C193" i="35" s="1"/>
  <c r="C105" i="35"/>
  <c r="C151" i="35" s="1"/>
  <c r="C190" i="35" s="1"/>
  <c r="C106" i="35"/>
  <c r="C152" i="35" s="1"/>
  <c r="C191" i="35" s="1"/>
  <c r="C150" i="35" l="1"/>
  <c r="C189" i="35" s="1"/>
  <c r="C109" i="35"/>
  <c r="C111" i="35"/>
  <c r="C604" i="35"/>
  <c r="C153" i="35" l="1"/>
  <c r="C192" i="35" s="1"/>
  <c r="C1019" i="35" l="1"/>
  <c r="E151" i="35" l="1"/>
  <c r="E149" i="35"/>
  <c r="E152" i="35"/>
  <c r="E191" i="35" l="1"/>
  <c r="D191" i="35"/>
  <c r="E188" i="35"/>
  <c r="D188" i="35"/>
  <c r="E190" i="35"/>
  <c r="D190" i="35"/>
  <c r="E150" i="35"/>
  <c r="E154" i="35"/>
  <c r="K376" i="35"/>
  <c r="E481" i="35" s="1" a="1"/>
  <c r="K377" i="35"/>
  <c r="E481" i="35" l="1"/>
  <c r="F481" i="35" s="1"/>
  <c r="F482" i="35"/>
  <c r="F483" i="35"/>
  <c r="G483" i="35" s="1"/>
  <c r="E193" i="35"/>
  <c r="D193" i="35"/>
  <c r="E189" i="35"/>
  <c r="D189" i="35"/>
  <c r="K378" i="35"/>
  <c r="E487" i="35" s="1" a="1"/>
  <c r="E153" i="35"/>
  <c r="E487" i="35" l="1"/>
  <c r="F487" i="35" s="1"/>
  <c r="F488" i="35"/>
  <c r="G488" i="35" s="1"/>
  <c r="F489" i="35"/>
  <c r="G489" i="35" s="1"/>
  <c r="H483" i="35"/>
  <c r="H482" i="35"/>
  <c r="G482" i="35"/>
  <c r="H481" i="35"/>
  <c r="G481" i="35"/>
  <c r="E192" i="35"/>
  <c r="D192" i="35"/>
  <c r="E1019" i="35"/>
  <c r="H489" i="35" l="1"/>
  <c r="H488" i="35"/>
  <c r="H487" i="35"/>
  <c r="G487" i="35"/>
  <c r="K379" i="35"/>
  <c r="K380" i="35" l="1"/>
  <c r="E148" i="35"/>
  <c r="E187" i="35" l="1"/>
  <c r="E194" i="35" s="1"/>
  <c r="D187" i="35"/>
  <c r="D194" i="35" s="1"/>
  <c r="E155" i="35"/>
  <c r="C57" i="35" l="1"/>
  <c r="C98" i="35" l="1"/>
  <c r="C112" i="35"/>
  <c r="C115" i="35" s="1"/>
  <c r="C379" i="35"/>
  <c r="F379" i="35" s="1"/>
  <c r="C58" i="35"/>
  <c r="F380" i="35" l="1"/>
  <c r="D490" i="35" a="1"/>
  <c r="C380" i="35"/>
  <c r="I379" i="35"/>
  <c r="E490" i="35" s="1" a="1"/>
  <c r="C873" i="35"/>
  <c r="C709" i="35"/>
  <c r="B9" i="61"/>
  <c r="C113" i="35"/>
  <c r="C114" i="35"/>
  <c r="C148" i="35"/>
  <c r="D490" i="35" l="1"/>
  <c r="F492" i="35"/>
  <c r="H492" i="35" s="1"/>
  <c r="F491" i="35"/>
  <c r="G491" i="35" s="1"/>
  <c r="E490" i="35"/>
  <c r="B127" i="61"/>
  <c r="D127" i="61" s="1"/>
  <c r="B128" i="61"/>
  <c r="B126" i="61"/>
  <c r="I380" i="35"/>
  <c r="C724" i="35"/>
  <c r="C729" i="35"/>
  <c r="C187" i="35"/>
  <c r="C194" i="35" s="1"/>
  <c r="C155" i="35"/>
  <c r="H491" i="35" l="1"/>
  <c r="G492" i="35"/>
  <c r="F490" i="35"/>
  <c r="H490" i="35" s="1"/>
  <c r="C800" i="35"/>
  <c r="C807" i="35" s="1"/>
  <c r="C737" i="35"/>
  <c r="G490" i="35" l="1"/>
  <c r="J7" i="133"/>
  <c r="J22" i="133"/>
  <c r="J14" i="133"/>
  <c r="J13" i="133"/>
  <c r="J12" i="133"/>
  <c r="J19" i="133"/>
  <c r="J11" i="133"/>
  <c r="J20" i="133"/>
  <c r="J18" i="133"/>
  <c r="J10" i="133"/>
  <c r="J17" i="133"/>
  <c r="J9" i="133"/>
  <c r="J16" i="133"/>
  <c r="J8" i="133"/>
  <c r="J15" i="133"/>
  <c r="J24" i="133" l="1"/>
  <c r="W8" i="46" s="1"/>
  <c r="Y12" i="46"/>
  <c r="Y10" i="46"/>
  <c r="C18" i="46"/>
  <c r="W18" i="46" l="1"/>
  <c r="Z8" i="46"/>
  <c r="W18" i="209"/>
  <c r="Z18" i="209" l="1"/>
  <c r="D41" i="44" s="1"/>
  <c r="Z18" i="46"/>
  <c r="Y8" i="46"/>
  <c r="Y8" i="209"/>
  <c r="C41" i="44" l="1"/>
  <c r="C47" i="44" s="1"/>
  <c r="H40" i="44" s="1"/>
  <c r="D47" i="44"/>
  <c r="C6" i="61"/>
  <c r="H35" i="44" l="1"/>
  <c r="H34" i="44"/>
  <c r="H36" i="44" s="1"/>
  <c r="H41" i="44"/>
  <c r="H42" i="44" s="1"/>
  <c r="AC37" i="44"/>
  <c r="AD37" i="44"/>
  <c r="AE37" i="44"/>
  <c r="C12" i="61"/>
  <c r="C15" i="61" s="1"/>
  <c r="C176" i="61"/>
  <c r="C177" i="61" s="1"/>
  <c r="C178" i="61" s="1"/>
  <c r="F6" i="61"/>
  <c r="G6" i="61"/>
  <c r="E178" i="61" s="1"/>
  <c r="E6" i="61"/>
  <c r="D6" i="61"/>
  <c r="B6" i="61"/>
  <c r="D176" i="61" l="1"/>
  <c r="D12" i="61"/>
  <c r="E176" i="61"/>
  <c r="E12" i="61"/>
  <c r="E101" i="61" s="1"/>
  <c r="G12" i="61"/>
  <c r="F12" i="61"/>
  <c r="F15" i="61" s="1"/>
  <c r="D178" i="61"/>
  <c r="C101" i="61"/>
  <c r="C13" i="61"/>
  <c r="C103" i="61"/>
  <c r="C102" i="61"/>
  <c r="G13" i="61" l="1"/>
  <c r="E103" i="61"/>
  <c r="D15" i="61"/>
  <c r="D101" i="61"/>
  <c r="E15" i="61"/>
  <c r="E13" i="61"/>
  <c r="K15" i="61"/>
  <c r="K10" i="61"/>
  <c r="D13" i="61"/>
  <c r="D103" i="61"/>
  <c r="F13" i="61"/>
  <c r="G15" i="61"/>
  <c r="O20" i="48" l="1"/>
  <c r="Q20" i="48" s="1"/>
  <c r="O12" i="48"/>
  <c r="S28" i="149"/>
  <c r="S29" i="149"/>
  <c r="S31" i="149"/>
  <c r="S32" i="149"/>
  <c r="S30" i="149"/>
  <c r="S33" i="149"/>
  <c r="S34" i="149"/>
  <c r="P20" i="48" l="1"/>
  <c r="S27" i="149"/>
  <c r="S25" i="149" s="1"/>
  <c r="O40" i="48"/>
  <c r="Q12" i="48"/>
  <c r="P12" i="48" l="1"/>
  <c r="Q40" i="48"/>
  <c r="B10" i="61" l="1"/>
  <c r="B12" i="61" l="1"/>
  <c r="B176" i="61"/>
  <c r="B177" i="61" s="1"/>
  <c r="D177" i="61" l="1"/>
  <c r="B178" i="61"/>
  <c r="B15" i="61"/>
  <c r="E14" i="61"/>
  <c r="B103" i="61"/>
  <c r="G14" i="61"/>
  <c r="B102" i="61"/>
  <c r="D102" i="61" s="1"/>
  <c r="F14" i="61"/>
  <c r="B101" i="61"/>
  <c r="N13" i="61"/>
  <c r="O8" i="61"/>
  <c r="D14" i="61"/>
  <c r="J5" i="61"/>
  <c r="C14" i="61"/>
  <c r="B14" i="61"/>
  <c r="B13" i="61"/>
  <c r="O13" i="61"/>
  <c r="N8" i="61"/>
  <c r="J15" i="61" l="1"/>
  <c r="J6" i="61"/>
  <c r="J10" i="61"/>
  <c r="G377" i="35"/>
  <c r="D484" i="35" s="1" a="1"/>
  <c r="S958" i="35"/>
  <c r="S964" i="35" s="1"/>
  <c r="D107" i="35" l="1"/>
  <c r="D154" i="35" s="1"/>
  <c r="D484" i="35"/>
  <c r="D720" i="35"/>
  <c r="D735" i="35" s="1"/>
  <c r="D718" i="35"/>
  <c r="D58" i="35"/>
  <c r="D109" i="35"/>
  <c r="D153" i="35" s="1"/>
  <c r="J377" i="35"/>
  <c r="G380" i="35"/>
  <c r="D155" i="35" l="1"/>
  <c r="E484" i="35" a="1"/>
  <c r="J380" i="35"/>
  <c r="D724" i="35"/>
  <c r="D734" i="35"/>
  <c r="D737" i="35" s="1"/>
  <c r="D113" i="35"/>
  <c r="D115" i="35"/>
  <c r="E484" i="35" l="1"/>
  <c r="F486" i="35"/>
  <c r="G486" i="35" s="1"/>
  <c r="F485" i="35"/>
  <c r="G485" i="35" s="1"/>
  <c r="F484" i="35" l="1"/>
  <c r="G484" i="35" s="1"/>
  <c r="H486" i="35"/>
  <c r="H485" i="35"/>
  <c r="H484" i="35" l="1"/>
  <c r="AU5" i="254"/>
  <c r="AL81" i="56"/>
  <c r="AH81" i="56" l="1"/>
  <c r="E205" i="61"/>
  <c r="AU9" i="254"/>
  <c r="AK81" i="56"/>
  <c r="E210" i="61" l="1"/>
  <c r="Q81" i="56"/>
  <c r="E202" i="61"/>
  <c r="E209" i="61" s="1"/>
  <c r="AU6" i="254"/>
  <c r="AU15" i="254" l="1"/>
  <c r="AU16" i="254" s="1"/>
  <c r="AU17" i="254" s="1"/>
  <c r="AU13" i="254"/>
  <c r="AC83" i="56"/>
  <c r="AA81" i="56"/>
  <c r="AC84" i="56" s="1"/>
  <c r="AU25" i="254"/>
  <c r="E211" i="61" s="1"/>
  <c r="A81" i="56"/>
  <c r="A82" i="56" s="1"/>
  <c r="AA82" i="56" s="1"/>
  <c r="AC82" i="56" s="1"/>
  <c r="AG81" i="5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Anders Michael Odgaard</author>
  </authors>
  <commentList>
    <comment ref="M961" authorId="0" shapeId="0" xr:uid="{00000000-0006-0000-0A00-000003000000}">
      <text>
        <r>
          <rPr>
            <b/>
            <sz val="9"/>
            <color indexed="81"/>
            <rFont val="Tahoma"/>
            <family val="2"/>
          </rPr>
          <t>Egetforbrug af varme (celle AF67) hos industrielle KV-værker.</t>
        </r>
        <r>
          <rPr>
            <sz val="9"/>
            <color indexed="81"/>
            <rFont val="Tahoma"/>
            <family val="2"/>
          </rPr>
          <t xml:space="preserve">
</t>
        </r>
      </text>
    </comment>
    <comment ref="N961" authorId="0" shapeId="0" xr:uid="{0AF6EA85-95F1-4303-9182-5522F1CC9DCF}">
      <text>
        <r>
          <rPr>
            <b/>
            <sz val="9"/>
            <color indexed="81"/>
            <rFont val="Tahoma"/>
            <family val="2"/>
          </rPr>
          <t>Egetforbrug af varme (celle AF67) hos industrielle KV-værker.</t>
        </r>
        <r>
          <rPr>
            <sz val="9"/>
            <color indexed="81"/>
            <rFont val="Tahoma"/>
            <family val="2"/>
          </rPr>
          <t xml:space="preserve">
</t>
        </r>
      </text>
    </comment>
    <comment ref="E1213" authorId="0" shapeId="0" xr:uid="{A1A84FF9-C89F-4461-BC47-A55B3D2758A4}">
      <text>
        <r>
          <rPr>
            <b/>
            <sz val="9"/>
            <color indexed="81"/>
            <rFont val="Tahoma"/>
            <family val="2"/>
          </rPr>
          <t>Egetforbrug af varme (celle AI56) hos industrielle KV-værker.</t>
        </r>
      </text>
    </comment>
    <comment ref="F1213" authorId="0" shapeId="0" xr:uid="{20160439-C753-4012-AD48-B1C82A59DB0D}">
      <text>
        <r>
          <rPr>
            <b/>
            <sz val="9"/>
            <color indexed="81"/>
            <rFont val="Tahoma"/>
            <family val="2"/>
          </rPr>
          <t>Egetforbrug af varme (celle AI56) hos industrielle KV-værker.</t>
        </r>
      </text>
    </comment>
    <comment ref="E1258" authorId="0" shapeId="0" xr:uid="{33A5DAB3-467C-4782-A5F9-B927C3DDE8D4}">
      <text>
        <r>
          <rPr>
            <b/>
            <sz val="9"/>
            <color indexed="81"/>
            <rFont val="Tahoma"/>
            <family val="2"/>
          </rPr>
          <t>Egetforbrug af varme (celle AI56) hos industrielle KV-værker.</t>
        </r>
      </text>
    </comment>
    <comment ref="F1258" authorId="0" shapeId="0" xr:uid="{5B4C4CEB-151A-4443-B458-E9DF6270F8B1}">
      <text>
        <r>
          <rPr>
            <b/>
            <sz val="9"/>
            <color indexed="81"/>
            <rFont val="Tahoma"/>
            <family val="2"/>
          </rPr>
          <t>Egetforbrug af varme (celle AI56) hos industrielle KV-værker.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Forfatter</author>
  </authors>
  <commentList>
    <comment ref="J203" authorId="0" shapeId="0" xr:uid="{6003F47A-3F95-4FF9-A092-DD8BBDC6D8CB}">
      <text>
        <r>
          <rPr>
            <b/>
            <sz val="9"/>
            <color indexed="81"/>
            <rFont val="Tahoma"/>
            <family val="2"/>
          </rPr>
          <t>Forfatter:</t>
        </r>
        <r>
          <rPr>
            <sz val="9"/>
            <color indexed="81"/>
            <rFont val="Tahoma"/>
            <family val="2"/>
          </rPr>
          <t xml:space="preserve">
Bilag 2 indeholder CH4 emissioner fra vomgasser </t>
        </r>
      </text>
    </comment>
    <comment ref="J204" authorId="0" shapeId="0" xr:uid="{947F9184-4884-4E3B-8807-67127E542731}">
      <text>
        <r>
          <rPr>
            <b/>
            <sz val="9"/>
            <color indexed="81"/>
            <rFont val="Tahoma"/>
            <family val="2"/>
          </rPr>
          <t>Forfatter:</t>
        </r>
        <r>
          <rPr>
            <sz val="9"/>
            <color indexed="81"/>
            <rFont val="Tahoma"/>
            <family val="2"/>
          </rPr>
          <t xml:space="preserve">
Bilag 3 skal indholde både direkte emissioner fra CH4 og lattergas og indirekte emission fra NH3 og Nox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Forfatter</author>
  </authors>
  <commentList>
    <comment ref="J203" authorId="0" shapeId="0" xr:uid="{B9CE72CC-505B-4201-AC3E-B3E11D164366}">
      <text>
        <r>
          <rPr>
            <b/>
            <sz val="9"/>
            <color indexed="81"/>
            <rFont val="Tahoma"/>
            <family val="2"/>
          </rPr>
          <t>Forfatter:</t>
        </r>
        <r>
          <rPr>
            <sz val="9"/>
            <color indexed="81"/>
            <rFont val="Tahoma"/>
            <family val="2"/>
          </rPr>
          <t xml:space="preserve">
Bilag 2 indeholder CH4 emissioner fra vomgasser </t>
        </r>
      </text>
    </comment>
    <comment ref="J204" authorId="0" shapeId="0" xr:uid="{935681C3-C7B0-448F-BC25-C60A6501B995}">
      <text>
        <r>
          <rPr>
            <b/>
            <sz val="9"/>
            <color indexed="81"/>
            <rFont val="Tahoma"/>
            <family val="2"/>
          </rPr>
          <t>Forfatter:</t>
        </r>
        <r>
          <rPr>
            <sz val="9"/>
            <color indexed="81"/>
            <rFont val="Tahoma"/>
            <family val="2"/>
          </rPr>
          <t xml:space="preserve">
Bilag 3 skal indholde både direkte emissioner fra CH4 og lattergas og indirekte emission fra NH3 og Nox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Kristina Espersen</author>
  </authors>
  <commentList>
    <comment ref="D11" authorId="0" shapeId="0" xr:uid="{EBC01816-B580-49F4-8B52-66B5FA26D1ED}">
      <text>
        <r>
          <rPr>
            <sz val="9"/>
            <color indexed="81"/>
            <rFont val="Tahoma"/>
            <family val="2"/>
          </rPr>
          <t>Det antages at småkalve bliver kvier ved 0,5 år.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Kristina Espersen</author>
  </authors>
  <commentList>
    <comment ref="D11" authorId="0" shapeId="0" xr:uid="{CCF6AA47-9BC3-43E1-8190-7BCE8018295C}">
      <text>
        <r>
          <rPr>
            <sz val="9"/>
            <color indexed="81"/>
            <rFont val="Tahoma"/>
            <family val="2"/>
          </rPr>
          <t>Det antages at småkalve bliver kvier ved 0,5 år.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Kristina Espersen</author>
  </authors>
  <commentList>
    <comment ref="D40" authorId="0" shapeId="0" xr:uid="{53AC5528-DC00-42E9-9678-55B39DBCAD14}">
      <text>
        <r>
          <rPr>
            <sz val="9"/>
            <color indexed="81"/>
            <rFont val="Tahoma"/>
            <family val="2"/>
          </rPr>
          <t>Fra Fodermiddeltabel 2005 Rapport nr. 112 (DANSK KVÆG og Danmarks JordbrugsForskning)
https://docplayer.dk/104824139-Rapport-112-fodermiddel-tabel-sammensaetning-og-fodervaerdi-af-fodermidler-til-kvaeg-dansk-kvaeg-dansk-kvaeg.html</t>
        </r>
      </text>
    </comment>
    <comment ref="D41" authorId="0" shapeId="0" xr:uid="{0020B974-B609-427D-A1F8-6D0950C6471F}">
      <text>
        <r>
          <rPr>
            <sz val="9"/>
            <color indexed="81"/>
            <rFont val="Tahoma"/>
            <family val="2"/>
          </rPr>
          <t>Fra Fodermiddeltabel 2005 Rapport nr. 112 (DANSK KVÆG og Danmarks JordbrugsForskning)
https://docplayer.dk/104824139-Rapport-112-fodermiddel-tabel-sammensaetning-og-fodervaerdi-af-fodermidler-til-kvaeg-dansk-kvaeg-dansk-kvaeg.html</t>
        </r>
      </text>
    </comment>
    <comment ref="D42" authorId="0" shapeId="0" xr:uid="{91335529-77B9-4E85-8AB6-3856C30CC7BF}">
      <text>
        <r>
          <rPr>
            <sz val="9"/>
            <color indexed="81"/>
            <rFont val="Tahoma"/>
            <family val="2"/>
          </rPr>
          <t>Fra Fodermiddeltabel 2005 Rapport nr. 112 (DANSK KVÆG og Danmarks JordbrugsForskning)
https://docplayer.dk/104824139-Rapport-112-fodermiddel-tabel-sammensaetning-og-fodervaerdi-af-fodermidler-til-kvaeg-dansk-kvaeg-dansk-kvaeg.html</t>
        </r>
      </text>
    </comment>
    <comment ref="D43" authorId="0" shapeId="0" xr:uid="{7FF1A21B-E50B-445D-918A-CD2E490C699C}">
      <text>
        <r>
          <rPr>
            <sz val="9"/>
            <color indexed="81"/>
            <rFont val="Tahoma"/>
            <family val="2"/>
          </rPr>
          <t>Fra Fodermiddeltabel 2005 Rapport nr. 112 (DANSK KVÆG og Danmarks JordbrugsForskning)
https://docplayer.dk/104824139-Rapport-112-fodermiddel-tabel-sammensaetning-og-fodervaerdi-af-fodermidler-til-kvaeg-dansk-kvaeg-dansk-kvaeg.html</t>
        </r>
      </text>
    </comment>
    <comment ref="D45" authorId="0" shapeId="0" xr:uid="{44BAC338-6EC1-4DBE-ACBF-D19C8E14372D}">
      <text>
        <r>
          <rPr>
            <sz val="9"/>
            <color indexed="81"/>
            <rFont val="Tahoma"/>
            <family val="2"/>
          </rPr>
          <t xml:space="preserve">Fra Fodermiddeltabel 2005 Rapport nr. 112 (DANSK KVÆG og Danmarks JordbrugsForskning)
https://docplayer.dk/104824139-Rapport-112-fodermiddel-tabel-sammensaetning-og-fodervaerdi-af-fodermidler-til-kvaeg-dansk-kvaeg-dansk-kvaeg.html
</t>
        </r>
      </text>
    </comment>
    <comment ref="D46" authorId="0" shapeId="0" xr:uid="{DE397EAF-6C95-440D-9194-443F4BA5953A}">
      <text>
        <r>
          <rPr>
            <sz val="9"/>
            <color indexed="81"/>
            <rFont val="Tahoma"/>
            <family val="2"/>
          </rPr>
          <t xml:space="preserve">Fra Fodermiddeltabel 2005 Rapport nr. 112 (DANSK KVÆG og Danmarks JordbrugsForskning)
https://docplayer.dk/104824139-Rapport-112-fodermiddel-tabel-sammensaetning-og-fodervaerdi-af-fodermidler-til-kvaeg-dansk-kvaeg-dansk-kvaeg.html
</t>
        </r>
      </text>
    </comment>
    <comment ref="B91" authorId="0" shapeId="0" xr:uid="{0100AAE7-C5E9-4F55-9202-3D3BC0305DDC}">
      <text>
        <r>
          <rPr>
            <sz val="9"/>
            <color indexed="81"/>
            <rFont val="Tahoma"/>
            <family val="2"/>
          </rPr>
          <t xml:space="preserve">Inklusiv græs uden for omdrift. Det er dog beregnet eksklusive frugttræer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Kristina Espersen</author>
  </authors>
  <commentList>
    <comment ref="D40" authorId="0" shapeId="0" xr:uid="{EE271B89-7F08-4A73-AC34-D56871BEDC65}">
      <text>
        <r>
          <rPr>
            <sz val="9"/>
            <color indexed="81"/>
            <rFont val="Tahoma"/>
            <family val="2"/>
          </rPr>
          <t>Fra Fodermiddeltabel 2005 Rapport nr. 112 (DANSK KVÆG og Danmarks JordbrugsForskning)
https://docplayer.dk/104824139-Rapport-112-fodermiddel-tabel-sammensaetning-og-fodervaerdi-af-fodermidler-til-kvaeg-dansk-kvaeg-dansk-kvaeg.html</t>
        </r>
      </text>
    </comment>
    <comment ref="D41" authorId="0" shapeId="0" xr:uid="{2C029377-3E7D-4B55-BB99-63C5CA522DB1}">
      <text>
        <r>
          <rPr>
            <sz val="9"/>
            <color indexed="81"/>
            <rFont val="Tahoma"/>
            <family val="2"/>
          </rPr>
          <t>Fra Fodermiddeltabel 2005 Rapport nr. 112 (DANSK KVÆG og Danmarks JordbrugsForskning)
https://docplayer.dk/104824139-Rapport-112-fodermiddel-tabel-sammensaetning-og-fodervaerdi-af-fodermidler-til-kvaeg-dansk-kvaeg-dansk-kvaeg.html</t>
        </r>
      </text>
    </comment>
    <comment ref="D42" authorId="0" shapeId="0" xr:uid="{03C720B8-F4B9-4F79-85EE-D35B329558CC}">
      <text>
        <r>
          <rPr>
            <sz val="9"/>
            <color indexed="81"/>
            <rFont val="Tahoma"/>
            <family val="2"/>
          </rPr>
          <t>Fra Fodermiddeltabel 2005 Rapport nr. 112 (DANSK KVÆG og Danmarks JordbrugsForskning)
https://docplayer.dk/104824139-Rapport-112-fodermiddel-tabel-sammensaetning-og-fodervaerdi-af-fodermidler-til-kvaeg-dansk-kvaeg-dansk-kvaeg.html</t>
        </r>
      </text>
    </comment>
    <comment ref="D43" authorId="0" shapeId="0" xr:uid="{32405116-5636-440E-BB46-D22CE645494C}">
      <text>
        <r>
          <rPr>
            <sz val="9"/>
            <color indexed="81"/>
            <rFont val="Tahoma"/>
            <family val="2"/>
          </rPr>
          <t>Fra Fodermiddeltabel 2005 Rapport nr. 112 (DANSK KVÆG og Danmarks JordbrugsForskning)
https://docplayer.dk/104824139-Rapport-112-fodermiddel-tabel-sammensaetning-og-fodervaerdi-af-fodermidler-til-kvaeg-dansk-kvaeg-dansk-kvaeg.html</t>
        </r>
      </text>
    </comment>
    <comment ref="D45" authorId="0" shapeId="0" xr:uid="{5CC104A0-45AC-4264-8C1B-24FEB1CD716E}">
      <text>
        <r>
          <rPr>
            <sz val="9"/>
            <color indexed="81"/>
            <rFont val="Tahoma"/>
            <family val="2"/>
          </rPr>
          <t xml:space="preserve">Fra Fodermiddeltabel 2005 Rapport nr. 112 (DANSK KVÆG og Danmarks JordbrugsForskning)
https://docplayer.dk/104824139-Rapport-112-fodermiddel-tabel-sammensaetning-og-fodervaerdi-af-fodermidler-til-kvaeg-dansk-kvaeg-dansk-kvaeg.html
</t>
        </r>
      </text>
    </comment>
    <comment ref="D46" authorId="0" shapeId="0" xr:uid="{B632A4E7-81C9-4BAC-AF91-C1014D9066F4}">
      <text>
        <r>
          <rPr>
            <sz val="9"/>
            <color indexed="81"/>
            <rFont val="Tahoma"/>
            <family val="2"/>
          </rPr>
          <t xml:space="preserve">Fra Fodermiddeltabel 2005 Rapport nr. 112 (DANSK KVÆG og Danmarks JordbrugsForskning)
https://docplayer.dk/104824139-Rapport-112-fodermiddel-tabel-sammensaetning-og-fodervaerdi-af-fodermidler-til-kvaeg-dansk-kvaeg-dansk-kvaeg.html
</t>
        </r>
      </text>
    </comment>
    <comment ref="B91" authorId="0" shapeId="0" xr:uid="{58B15D46-A531-464D-AD55-45A02FB64B93}">
      <text>
        <r>
          <rPr>
            <sz val="9"/>
            <color indexed="81"/>
            <rFont val="Tahoma"/>
            <family val="2"/>
          </rPr>
          <t>Inklusiv græs uden for omdrift. Det er dog beregnet eksklusive frugttræer</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tc={B1F1B61B-9D11-4517-956C-DA4769CDA202}</author>
    <author>tc={43A627A0-CA43-438C-8FBC-C17D6E40A30A}</author>
    <author>tc={D280D1A5-68FD-4F72-918B-FFFED130DF10}</author>
    <author>tc={2884C529-B04E-4926-8AD3-426942245A21}</author>
    <author>tc={BBEBCC38-5B6D-4385-9262-031CBF60DE4E}</author>
    <author>tc={3650E4E9-B966-48D2-A20C-2CF37A983868}</author>
    <author>tc={B45E29D8-075D-49CE-A00E-C3E6378D970D}</author>
    <author>tc={2B31D114-0D0A-4321-8CD9-E0ECB6FC938A}</author>
    <author>tc={F2303E37-FB1A-4B80-841B-3F8B62EB8141}</author>
  </authors>
  <commentList>
    <comment ref="C171" authorId="0" shapeId="0" xr:uid="{B1F1B61B-9D11-4517-956C-DA4769CDA202}">
      <text>
        <t>[Trådet kommentar]
Din version af Excel lader dig læse denne trådede kommentar. Eventuelle ændringer vil dog blive fjernet, hvis filen åbnes i en nyere version af Excel. Få mere at vide: https://go.microsoft.com/fwlink/?linkid=870924
Kommentar:
    Har fået tons gødning og tørstofprocent som slagtesvin</t>
      </text>
    </comment>
    <comment ref="D171" authorId="1" shapeId="0" xr:uid="{43A627A0-CA43-438C-8FBC-C17D6E40A30A}">
      <text>
        <t>[Trådet kommentar]
Din version af Excel lader dig læse denne trådede kommentar. Eventuelle ændringer vil dog blive fjernet, hvis filen åbnes i en nyere version af Excel. Få mere at vide: https://go.microsoft.com/fwlink/?linkid=870924
Kommentar:
    Sum af slagtesvin og smågrise i samme staldsystem</t>
      </text>
    </comment>
    <comment ref="C172" authorId="2" shapeId="0" xr:uid="{D280D1A5-68FD-4F72-918B-FFFED130DF10}">
      <text>
        <t>[Trådet kommentar]
Din version af Excel lader dig læse denne trådede kommentar. Eventuelle ændringer vil dog blive fjernet, hvis filen åbnes i en nyere version af Excel. Få mere at vide: https://go.microsoft.com/fwlink/?linkid=870924
Kommentar:
    Har fået tons gødning og tørstofprocent som slagtesvin</t>
      </text>
    </comment>
    <comment ref="C173" authorId="3" shapeId="0" xr:uid="{2884C529-B04E-4926-8AD3-426942245A21}">
      <text>
        <t>[Trådet kommentar]
Din version af Excel lader dig læse denne trådede kommentar. Eventuelle ændringer vil dog blive fjernet, hvis filen åbnes i en nyere version af Excel. Få mere at vide: https://go.microsoft.com/fwlink/?linkid=870924
Kommentar:
    Har fået tons gødning og tørstofprocent som slagtesvin</t>
      </text>
    </comment>
    <comment ref="C174" authorId="4" shapeId="0" xr:uid="{BBEBCC38-5B6D-4385-9262-031CBF60DE4E}">
      <text>
        <t>[Trådet kommentar]
Din version af Excel lader dig læse denne trådede kommentar. Eventuelle ændringer vil dog blive fjernet, hvis filen åbnes i en nyere version af Excel. Få mere at vide: https://go.microsoft.com/fwlink/?linkid=870924
Kommentar:
    Har fået tons gødning og tørstofprocent som slagtesvin</t>
      </text>
    </comment>
    <comment ref="C175" authorId="5" shapeId="0" xr:uid="{3650E4E9-B966-48D2-A20C-2CF37A983868}">
      <text>
        <t>[Trådet kommentar]
Din version af Excel lader dig læse denne trådede kommentar. Eventuelle ændringer vil dog blive fjernet, hvis filen åbnes i en nyere version af Excel. Få mere at vide: https://go.microsoft.com/fwlink/?linkid=870924
Kommentar:
    Har fået tons gødning og tørstofprocent som slagtesvin</t>
      </text>
    </comment>
    <comment ref="C176" authorId="6" shapeId="0" xr:uid="{B45E29D8-075D-49CE-A00E-C3E6378D970D}">
      <text>
        <t>[Trådet kommentar]
Din version af Excel lader dig læse denne trådede kommentar. Eventuelle ændringer vil dog blive fjernet, hvis filen åbnes i en nyere version af Excel. Få mere at vide: https://go.microsoft.com/fwlink/?linkid=870924
Kommentar:
    Har fået tons gødning og tørstofprocent som slagtesvin</t>
      </text>
    </comment>
    <comment ref="C280" authorId="7" shapeId="0" xr:uid="{2B31D114-0D0A-4321-8CD9-E0ECB6FC938A}">
      <text>
        <t>[Trådet kommentar]
Din version af Excel lader dig læse denne trådede kommentar. Eventuelle ændringer vil dog blive fjernet, hvis filen åbnes i en nyere version af Excel. Få mere at vide: https://go.microsoft.com/fwlink/?linkid=870924
Kommentar:
    Har fået tons gødning og tørstofprocent som slagtesvin</t>
      </text>
    </comment>
    <comment ref="C281" authorId="8" shapeId="0" xr:uid="{F2303E37-FB1A-4B80-841B-3F8B62EB8141}">
      <text>
        <t>[Trådet kommentar]
Din version af Excel lader dig læse denne trådede kommentar. Eventuelle ændringer vil dog blive fjernet, hvis filen åbnes i en nyere version af Excel. Få mere at vide: https://go.microsoft.com/fwlink/?linkid=870924
Kommentar:
    Har fået tons gødning og tørstofprocent som slagtesvin</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tc={88848B06-9CFC-443E-9700-2AC6A0B7C72D}</author>
    <author>tc={1DC4A861-7E63-458C-921B-0FAAAE2CBBB6}</author>
    <author>tc={9FEB092F-1B63-4F82-89F2-F7E1F4D69363}</author>
    <author>tc={A11520D4-9EC3-4640-A167-59F0CCBCD11A}</author>
    <author>tc={3157206B-5A75-43B6-BBC5-BE1D8CB7C51B}</author>
    <author>tc={BECF831E-AEC9-4283-8992-3B0C93C62EAF}</author>
    <author>tc={43656ACD-F61A-46B2-9528-14193289977D}</author>
    <author>tc={08D99B87-4034-4D83-833B-119771A533BB}</author>
    <author>tc={564EC7DE-AB74-400D-859F-B118335E5332}</author>
    <author>tc={E88A83D6-4CD5-40CB-945D-1531DE30D8D7}</author>
    <author>tc={A8D8B436-FD4F-45D3-880E-A405EE4515B3}</author>
    <author>tc={B8DF45DD-6E5B-4720-9D4B-EBFEBD968F63}</author>
    <author>tc={8BA8172B-EA50-4E71-87B6-03BA06653488}</author>
    <author>tc={A45AA1B8-7A0D-4D75-AFD5-6E88125DF04C}</author>
    <author>tc={93953FB8-AB1A-414B-BFDC-D0684631C4FF}</author>
    <author>tc={57E0C694-DD8F-479A-B9AF-3BD24013FDB2}</author>
    <author>tc={BD94EF0F-BF79-4180-AC86-CEBF4A88A97C}</author>
    <author>tc={14FDFB9C-9AA2-48B9-86DA-6ECDF79F8077}</author>
    <author>tc={34CF2D31-4A39-4DC4-BD96-B86CF9E36EFA}</author>
    <author>tc={920BF6BE-F9A2-4860-A834-37D16722A78F}</author>
    <author>tc={C324DA4E-88CC-440B-8B54-440025835F12}</author>
    <author>tc={BE193EA2-B76C-431A-8DC8-BF13ECF8B0CC}</author>
    <author>tc={491149F6-FF50-4C8E-945F-7DBCBAD0979E}</author>
    <author>tc={990C6693-9E74-45B8-8639-D7141576DE65}</author>
    <author>tc={21E44746-C2E9-418E-B9F8-39228DBFAEB8}</author>
    <author>tc={57B24CC7-DE9D-4A0F-8FF2-36E79099FB7B}</author>
    <author>tc={5DEA6F22-3E19-4B12-AF4D-FCFD7AC91B05}</author>
    <author>tc={B9317D5D-E0BE-4679-A6BD-7E8BC8325571}</author>
    <author>tc={19CF7167-05A6-4137-AB9B-1424B5DB044A}</author>
    <author>tc={F95EC6E1-E78D-41ED-A87A-500F4257D3C7}</author>
    <author>tc={08D8C4B8-ED50-4E47-9C51-5250540E692E}</author>
    <author>tc={4AA82914-A3A4-4742-86F0-5BE66A86C9D9}</author>
    <author>tc={B39B074F-8B4B-4898-9D71-78E2A398A8A4}</author>
    <author>tc={FC30EF7B-BB9E-456E-970D-6B38413A8AD2}</author>
    <author>tc={BAF0D6B8-EB92-4E43-A795-2BB072CDA835}</author>
    <author>tc={EECE2985-1DB7-48B6-839B-9759F9D08995}</author>
    <author>tc={AD42F18F-8FAC-4B3E-9D24-165A116A3ACE}</author>
    <author>tc={31821712-EF91-496D-B3A6-B20736EB0343}</author>
    <author>tc={CE70F2C4-4885-4D44-8D31-D6D5D35992F5}</author>
  </authors>
  <commentList>
    <comment ref="L48" authorId="0" shapeId="0" xr:uid="{88848B06-9CFC-443E-9700-2AC6A0B7C72D}">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49" authorId="1" shapeId="0" xr:uid="{1DC4A861-7E63-458C-921B-0FAAAE2CBBB6}">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50" authorId="2" shapeId="0" xr:uid="{9FEB092F-1B63-4F82-89F2-F7E1F4D69363}">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51" authorId="3" shapeId="0" xr:uid="{A11520D4-9EC3-4640-A167-59F0CCBCD11A}">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52" authorId="4" shapeId="0" xr:uid="{3157206B-5A75-43B6-BBC5-BE1D8CB7C51B}">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53" authorId="5" shapeId="0" xr:uid="{BECF831E-AEC9-4283-8992-3B0C93C62EAF}">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54" authorId="6" shapeId="0" xr:uid="{43656ACD-F61A-46B2-9528-14193289977D}">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55" authorId="7" shapeId="0" xr:uid="{08D99B87-4034-4D83-833B-119771A533BB}">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56" authorId="8" shapeId="0" xr:uid="{564EC7DE-AB74-400D-859F-B118335E5332}">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57" authorId="9" shapeId="0" xr:uid="{E88A83D6-4CD5-40CB-945D-1531DE30D8D7}">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58" authorId="10" shapeId="0" xr:uid="{A8D8B436-FD4F-45D3-880E-A405EE4515B3}">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59" authorId="11" shapeId="0" xr:uid="{B8DF45DD-6E5B-4720-9D4B-EBFEBD968F63}">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98" authorId="12" shapeId="0" xr:uid="{8BA8172B-EA50-4E71-87B6-03BA06653488}">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99" authorId="13" shapeId="0" xr:uid="{A45AA1B8-7A0D-4D75-AFD5-6E88125DF04C}">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100" authorId="14" shapeId="0" xr:uid="{93953FB8-AB1A-414B-BFDC-D0684631C4FF}">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101" authorId="15" shapeId="0" xr:uid="{57E0C694-DD8F-479A-B9AF-3BD24013FDB2}">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102" authorId="16" shapeId="0" xr:uid="{BD94EF0F-BF79-4180-AC86-CEBF4A88A97C}">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103" authorId="17" shapeId="0" xr:uid="{14FDFB9C-9AA2-48B9-86DA-6ECDF79F8077}">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104" authorId="18" shapeId="0" xr:uid="{34CF2D31-4A39-4DC4-BD96-B86CF9E36EFA}">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105" authorId="19" shapeId="0" xr:uid="{920BF6BE-F9A2-4860-A834-37D16722A78F}">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106" authorId="20" shapeId="0" xr:uid="{C324DA4E-88CC-440B-8B54-440025835F12}">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107" authorId="21" shapeId="0" xr:uid="{BE193EA2-B76C-431A-8DC8-BF13ECF8B0CC}">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108" authorId="22" shapeId="0" xr:uid="{491149F6-FF50-4C8E-945F-7DBCBAD0979E}">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109" authorId="23" shapeId="0" xr:uid="{990C6693-9E74-45B8-8639-D7141576DE65}">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148" authorId="24" shapeId="0" xr:uid="{21E44746-C2E9-418E-B9F8-39228DBFAEB8}">
      <text>
        <t>[Trådet kommentar]
Din version af Excel lader dig læse denne trådede kommentar. Eventuelle ændringer vil dog blive fjernet, hvis filen åbnes i en nyere version af Excel. Få mere at vide: https://go.microsoft.com/fwlink/?linkid=870924
Kommentar:
    Integreret i andel fra løbe og drægtighedsstald</t>
      </text>
    </comment>
    <comment ref="L149" authorId="25" shapeId="0" xr:uid="{57B24CC7-DE9D-4A0F-8FF2-36E79099FB7B}">
      <text>
        <t>[Trådet kommentar]
Din version af Excel lader dig læse denne trådede kommentar. Eventuelle ændringer vil dog blive fjernet, hvis filen åbnes i en nyere version af Excel. Få mere at vide: https://go.microsoft.com/fwlink/?linkid=870924
Kommentar:
    Integreret i andel fra løbe og drægtighedsstald</t>
      </text>
    </comment>
    <comment ref="L150" authorId="26" shapeId="0" xr:uid="{5DEA6F22-3E19-4B12-AF4D-FCFD7AC91B05}">
      <text>
        <t>[Trådet kommentar]
Din version af Excel lader dig læse denne trådede kommentar. Eventuelle ændringer vil dog blive fjernet, hvis filen åbnes i en nyere version af Excel. Få mere at vide: https://go.microsoft.com/fwlink/?linkid=870924
Kommentar:
    Integreret i andel fra løbe og drægtighedsstald</t>
      </text>
    </comment>
    <comment ref="Q205" authorId="27" shapeId="0" xr:uid="{B9317D5D-E0BE-4679-A6BD-7E8BC8325571}">
      <text>
        <t>[Trådet kommentar]
Din version af Excel lader dig læse denne trådede kommentar. Eventuelle ændringer vil dog blive fjernet, hvis filen åbnes i en nyere version af Excel. Få mere at vide: https://go.microsoft.com/fwlink/?linkid=870924
Kommentar:
    Tal fra klimarådet</t>
      </text>
    </comment>
    <comment ref="Q206" authorId="28" shapeId="0" xr:uid="{19CF7167-05A6-4137-AB9B-1424B5DB044A}">
      <text>
        <t>[Trådet kommentar]
Din version af Excel lader dig læse denne trådede kommentar. Eventuelle ændringer vil dog blive fjernet, hvis filen åbnes i en nyere version af Excel. Få mere at vide: https://go.microsoft.com/fwlink/?linkid=870924
Kommentar:
    Tal fra klimarådet</t>
      </text>
    </comment>
    <comment ref="Q207" authorId="29" shapeId="0" xr:uid="{F95EC6E1-E78D-41ED-A87A-500F4257D3C7}">
      <text>
        <t>[Trådet kommentar]
Din version af Excel lader dig læse denne trådede kommentar. Eventuelle ændringer vil dog blive fjernet, hvis filen åbnes i en nyere version af Excel. Få mere at vide: https://go.microsoft.com/fwlink/?linkid=870924
Kommentar:
    Tal fra klimarådet</t>
      </text>
    </comment>
    <comment ref="Q208" authorId="30" shapeId="0" xr:uid="{08D8C4B8-ED50-4E47-9C51-5250540E692E}">
      <text>
        <t>[Trådet kommentar]
Din version af Excel lader dig læse denne trådede kommentar. Eventuelle ændringer vil dog blive fjernet, hvis filen åbnes i en nyere version af Excel. Få mere at vide: https://go.microsoft.com/fwlink/?linkid=870924
Kommentar:
    Tal fra klimarådet</t>
      </text>
    </comment>
    <comment ref="Q210" authorId="31" shapeId="0" xr:uid="{4AA82914-A3A4-4742-86F0-5BE66A86C9D9}">
      <text>
        <t>[Trådet kommentar]
Din version af Excel lader dig læse denne trådede kommentar. Eventuelle ændringer vil dog blive fjernet, hvis filen åbnes i en nyere version af Excel. Få mere at vide: https://go.microsoft.com/fwlink/?linkid=870924
Kommentar:
    Tal fra klimarådet</t>
      </text>
    </comment>
    <comment ref="Q211" authorId="32" shapeId="0" xr:uid="{B39B074F-8B4B-4898-9D71-78E2A398A8A4}">
      <text>
        <t>[Trådet kommentar]
Din version af Excel lader dig læse denne trådede kommentar. Eventuelle ændringer vil dog blive fjernet, hvis filen åbnes i en nyere version af Excel. Få mere at vide: https://go.microsoft.com/fwlink/?linkid=870924
Kommentar:
    Tal fra klimarådet</t>
      </text>
    </comment>
    <comment ref="Q212" authorId="33" shapeId="0" xr:uid="{FC30EF7B-BB9E-456E-970D-6B38413A8AD2}">
      <text>
        <t>[Trådet kommentar]
Din version af Excel lader dig læse denne trådede kommentar. Eventuelle ændringer vil dog blive fjernet, hvis filen åbnes i en nyere version af Excel. Få mere at vide: https://go.microsoft.com/fwlink/?linkid=870924
Kommentar:
    Tal fra klimarådet</t>
      </text>
    </comment>
    <comment ref="Q214" authorId="34" shapeId="0" xr:uid="{BAF0D6B8-EB92-4E43-A795-2BB072CDA835}">
      <text>
        <t>[Trådet kommentar]
Din version af Excel lader dig læse denne trådede kommentar. Eventuelle ændringer vil dog blive fjernet, hvis filen åbnes i en nyere version af Excel. Få mere at vide: https://go.microsoft.com/fwlink/?linkid=870924
Kommentar:
    Tal fra klimarådet</t>
      </text>
    </comment>
    <comment ref="Q215" authorId="35" shapeId="0" xr:uid="{EECE2985-1DB7-48B6-839B-9759F9D08995}">
      <text>
        <t>[Trådet kommentar]
Din version af Excel lader dig læse denne trådede kommentar. Eventuelle ændringer vil dog blive fjernet, hvis filen åbnes i en nyere version af Excel. Få mere at vide: https://go.microsoft.com/fwlink/?linkid=870924
Kommentar:
    Tal fra klimarådet</t>
      </text>
    </comment>
    <comment ref="Q216" authorId="36" shapeId="0" xr:uid="{AD42F18F-8FAC-4B3E-9D24-165A116A3ACE}">
      <text>
        <t>[Trådet kommentar]
Din version af Excel lader dig læse denne trådede kommentar. Eventuelle ændringer vil dog blive fjernet, hvis filen åbnes i en nyere version af Excel. Få mere at vide: https://go.microsoft.com/fwlink/?linkid=870924
Kommentar:
    Tal fra klimarådet</t>
      </text>
    </comment>
    <comment ref="Q217" authorId="37" shapeId="0" xr:uid="{31821712-EF91-496D-B3A6-B20736EB0343}">
      <text>
        <t>[Trådet kommentar]
Din version af Excel lader dig læse denne trådede kommentar. Eventuelle ændringer vil dog blive fjernet, hvis filen åbnes i en nyere version af Excel. Få mere at vide: https://go.microsoft.com/fwlink/?linkid=870924
Kommentar:
    Tal fra klimarådet</t>
      </text>
    </comment>
    <comment ref="Q218" authorId="38" shapeId="0" xr:uid="{CE70F2C4-4885-4D44-8D31-D6D5D35992F5}">
      <text>
        <t>[Trådet kommentar]
Din version af Excel lader dig læse denne trådede kommentar. Eventuelle ændringer vil dog blive fjernet, hvis filen åbnes i en nyere version af Excel. Få mere at vide: https://go.microsoft.com/fwlink/?linkid=870924
Kommentar:
    Tal fra klimarådet</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tc={C74F2DE4-BB58-4AE3-B3CD-88D27C61251E}</author>
    <author>tc={E19BF7D4-7A63-46EE-8AAE-93C26310BE3D}</author>
    <author>tc={47D56DB4-3CEC-405C-A7E7-90A8669C9AE0}</author>
    <author>tc={E9B09CD9-6339-44A6-AEA9-392440073D71}</author>
    <author>tc={57A9198F-792F-423E-97E8-A945663F29A8}</author>
    <author>tc={E93245F1-CC92-4CFB-9EAB-AC256C2630BE}</author>
    <author>tc={75274D77-544D-4239-8308-B1F9A58E8B28}</author>
    <author>tc={DDF33D29-202A-477D-A8D6-F8127CB1CED9}</author>
    <author>tc={C339ACBD-19FB-46FC-9298-9627292E8E8E}</author>
  </authors>
  <commentList>
    <comment ref="C171" authorId="0" shapeId="0" xr:uid="{C74F2DE4-BB58-4AE3-B3CD-88D27C61251E}">
      <text>
        <t>[Trådet kommentar]
Din version af Excel lader dig læse denne trådede kommentar. Eventuelle ændringer vil dog blive fjernet, hvis filen åbnes i en nyere version af Excel. Få mere at vide: https://go.microsoft.com/fwlink/?linkid=870924
Kommentar:
    Har fået tons gødning og tørstofprocent som slagtesvin</t>
      </text>
    </comment>
    <comment ref="D171" authorId="1" shapeId="0" xr:uid="{E19BF7D4-7A63-46EE-8AAE-93C26310BE3D}">
      <text>
        <t>[Trådet kommentar]
Din version af Excel lader dig læse denne trådede kommentar. Eventuelle ændringer vil dog blive fjernet, hvis filen åbnes i en nyere version af Excel. Få mere at vide: https://go.microsoft.com/fwlink/?linkid=870924
Kommentar:
    Sum af slagtesvin og smågrise i samme staldsystem</t>
      </text>
    </comment>
    <comment ref="C172" authorId="2" shapeId="0" xr:uid="{47D56DB4-3CEC-405C-A7E7-90A8669C9AE0}">
      <text>
        <t>[Trådet kommentar]
Din version af Excel lader dig læse denne trådede kommentar. Eventuelle ændringer vil dog blive fjernet, hvis filen åbnes i en nyere version af Excel. Få mere at vide: https://go.microsoft.com/fwlink/?linkid=870924
Kommentar:
    Har fået tons gødning og tørstofprocent som slagtesvin</t>
      </text>
    </comment>
    <comment ref="C173" authorId="3" shapeId="0" xr:uid="{E9B09CD9-6339-44A6-AEA9-392440073D71}">
      <text>
        <t>[Trådet kommentar]
Din version af Excel lader dig læse denne trådede kommentar. Eventuelle ændringer vil dog blive fjernet, hvis filen åbnes i en nyere version af Excel. Få mere at vide: https://go.microsoft.com/fwlink/?linkid=870924
Kommentar:
    Har fået tons gødning og tørstofprocent som slagtesvin</t>
      </text>
    </comment>
    <comment ref="C174" authorId="4" shapeId="0" xr:uid="{57A9198F-792F-423E-97E8-A945663F29A8}">
      <text>
        <t>[Trådet kommentar]
Din version af Excel lader dig læse denne trådede kommentar. Eventuelle ændringer vil dog blive fjernet, hvis filen åbnes i en nyere version af Excel. Få mere at vide: https://go.microsoft.com/fwlink/?linkid=870924
Kommentar:
    Har fået tons gødning og tørstofprocent som slagtesvin</t>
      </text>
    </comment>
    <comment ref="C175" authorId="5" shapeId="0" xr:uid="{E93245F1-CC92-4CFB-9EAB-AC256C2630BE}">
      <text>
        <t>[Trådet kommentar]
Din version af Excel lader dig læse denne trådede kommentar. Eventuelle ændringer vil dog blive fjernet, hvis filen åbnes i en nyere version af Excel. Få mere at vide: https://go.microsoft.com/fwlink/?linkid=870924
Kommentar:
    Har fået tons gødning og tørstofprocent som slagtesvin</t>
      </text>
    </comment>
    <comment ref="C176" authorId="6" shapeId="0" xr:uid="{75274D77-544D-4239-8308-B1F9A58E8B28}">
      <text>
        <t>[Trådet kommentar]
Din version af Excel lader dig læse denne trådede kommentar. Eventuelle ændringer vil dog blive fjernet, hvis filen åbnes i en nyere version af Excel. Få mere at vide: https://go.microsoft.com/fwlink/?linkid=870924
Kommentar:
    Har fået tons gødning og tørstofprocent som slagtesvin</t>
      </text>
    </comment>
    <comment ref="C275" authorId="7" shapeId="0" xr:uid="{DDF33D29-202A-477D-A8D6-F8127CB1CED9}">
      <text>
        <t>[Trådet kommentar]
Din version af Excel lader dig læse denne trådede kommentar. Eventuelle ændringer vil dog blive fjernet, hvis filen åbnes i en nyere version af Excel. Få mere at vide: https://go.microsoft.com/fwlink/?linkid=870924
Kommentar:
    Har fået tons gødning og tørstofprocent som slagtesvin</t>
      </text>
    </comment>
    <comment ref="C279" authorId="8" shapeId="0" xr:uid="{C339ACBD-19FB-46FC-9298-9627292E8E8E}">
      <text>
        <t>[Trådet kommentar]
Din version af Excel lader dig læse denne trådede kommentar. Eventuelle ændringer vil dog blive fjernet, hvis filen åbnes i en nyere version af Excel. Få mere at vide: https://go.microsoft.com/fwlink/?linkid=870924
Kommentar:
    Har fået tons gødning og tørstofprocent som slagtesvin</t>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tc={F121EDC1-2A97-4951-B622-0DCD1058C6C0}</author>
    <author>tc={5015968A-45A2-4A77-9063-B7E59C0BF6F6}</author>
    <author>tc={140E2BA8-C4FE-403C-9FFF-1C7916D36BF9}</author>
    <author>tc={00806996-8BDC-4281-87D6-6642A5BDAF8A}</author>
    <author>tc={7F634339-9142-4ECD-8212-39D80BA8F040}</author>
    <author>tc={873021C8-8D32-456D-B4AC-C768574AD192}</author>
    <author>tc={35CA3EA5-E412-4D76-99B6-A276FD6CCB4A}</author>
    <author>tc={AA07ECC0-8E27-417F-8538-81F198390CBA}</author>
    <author>tc={512794F7-8A3E-4EEC-9719-6BA5E6AC20AA}</author>
    <author>tc={4762065E-464B-4F5F-86AB-75282B87C136}</author>
    <author>tc={C733E4C2-DF8A-48C3-A7A2-99A0B555C00A}</author>
    <author>tc={033F0629-18A5-4C68-B16C-A119937CA5B9}</author>
    <author>tc={AD618575-D821-437B-A0D2-1F24130D2B9A}</author>
    <author>tc={EA24A20A-0FE1-45A4-AB3A-63912F372408}</author>
    <author>tc={E9D79B21-CE22-48CC-AE45-68497CADFDD6}</author>
    <author>tc={3A39BA28-419A-4C08-A4D3-8DAFE670013E}</author>
    <author>tc={278CAB49-C3B0-4752-A713-52DF66B9A070}</author>
    <author>tc={37588C50-7E42-4727-9986-F8D31C8672AA}</author>
    <author>tc={88BAFF7E-8FFE-4ECA-8DE4-5160F4AE3D5C}</author>
    <author>tc={32F65A35-9CE0-4757-8214-F39190C03FBD}</author>
    <author>tc={10B879A4-0A33-43C1-9548-7215B28797F5}</author>
    <author>tc={11728BEF-829C-479F-A524-17A847A02C58}</author>
    <author>tc={E02D88FB-600D-4051-9A54-AD40F5CFCAE2}</author>
    <author>tc={67892720-4462-48D2-9452-BE73DB452CB2}</author>
    <author>tc={0F1CEB67-41C1-418B-A995-E4B25EF3ABDD}</author>
    <author>tc={DFADCAA1-B71B-4C10-AD04-2CFD94D10E7C}</author>
    <author>tc={42C95997-5D60-428A-BF6E-F9DA8B7319D3}</author>
    <author>tc={56FA6D6F-6228-4FAD-A4EF-3068C6874984}</author>
    <author>tc={01EF67C4-D132-4960-A138-4AB7FE230E05}</author>
    <author>tc={5D592BBD-5DBB-4F7C-B35D-0A6DE939E57A}</author>
    <author>tc={A2C44AF2-CED7-4E7F-A4B3-3BE05447C1F7}</author>
    <author>tc={45AD8C3E-74D1-4E19-8A6C-FC0608D93ECC}</author>
    <author>tc={DDB726D3-BF90-470C-990B-30AE34A5ABE5}</author>
    <author>tc={3CCBBA2F-D3E4-4F3A-9FBD-77E360EAD75D}</author>
    <author>tc={E619ECAD-E660-4854-8DAF-96DDBE698E23}</author>
    <author>tc={E3F87795-705D-486B-90CD-664C5AAC95DC}</author>
    <author>tc={94035431-8B9D-4B19-ACD4-793B31BF1551}</author>
    <author>tc={2340E5BA-D042-48E7-968D-80AA21B55AA3}</author>
    <author>tc={59229A57-7C1C-430D-893B-2FE6ADEA98F0}</author>
  </authors>
  <commentList>
    <comment ref="L48" authorId="0" shapeId="0" xr:uid="{F121EDC1-2A97-4951-B622-0DCD1058C6C0}">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49" authorId="1" shapeId="0" xr:uid="{5015968A-45A2-4A77-9063-B7E59C0BF6F6}">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50" authorId="2" shapeId="0" xr:uid="{140E2BA8-C4FE-403C-9FFF-1C7916D36BF9}">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51" authorId="3" shapeId="0" xr:uid="{00806996-8BDC-4281-87D6-6642A5BDAF8A}">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52" authorId="4" shapeId="0" xr:uid="{7F634339-9142-4ECD-8212-39D80BA8F040}">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53" authorId="5" shapeId="0" xr:uid="{873021C8-8D32-456D-B4AC-C768574AD192}">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54" authorId="6" shapeId="0" xr:uid="{35CA3EA5-E412-4D76-99B6-A276FD6CCB4A}">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55" authorId="7" shapeId="0" xr:uid="{AA07ECC0-8E27-417F-8538-81F198390CBA}">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56" authorId="8" shapeId="0" xr:uid="{512794F7-8A3E-4EEC-9719-6BA5E6AC20AA}">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57" authorId="9" shapeId="0" xr:uid="{4762065E-464B-4F5F-86AB-75282B87C136}">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58" authorId="10" shapeId="0" xr:uid="{C733E4C2-DF8A-48C3-A7A2-99A0B555C00A}">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59" authorId="11" shapeId="0" xr:uid="{033F0629-18A5-4C68-B16C-A119937CA5B9}">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98" authorId="12" shapeId="0" xr:uid="{AD618575-D821-437B-A0D2-1F24130D2B9A}">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99" authorId="13" shapeId="0" xr:uid="{EA24A20A-0FE1-45A4-AB3A-63912F372408}">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100" authorId="14" shapeId="0" xr:uid="{E9D79B21-CE22-48CC-AE45-68497CADFDD6}">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101" authorId="15" shapeId="0" xr:uid="{3A39BA28-419A-4C08-A4D3-8DAFE670013E}">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102" authorId="16" shapeId="0" xr:uid="{278CAB49-C3B0-4752-A713-52DF66B9A070}">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103" authorId="17" shapeId="0" xr:uid="{37588C50-7E42-4727-9986-F8D31C8672AA}">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104" authorId="18" shapeId="0" xr:uid="{88BAFF7E-8FFE-4ECA-8DE4-5160F4AE3D5C}">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105" authorId="19" shapeId="0" xr:uid="{32F65A35-9CE0-4757-8214-F39190C03FBD}">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106" authorId="20" shapeId="0" xr:uid="{10B879A4-0A33-43C1-9548-7215B28797F5}">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107" authorId="21" shapeId="0" xr:uid="{11728BEF-829C-479F-A524-17A847A02C58}">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108" authorId="22" shapeId="0" xr:uid="{E02D88FB-600D-4051-9A54-AD40F5CFCAE2}">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109" authorId="23" shapeId="0" xr:uid="{67892720-4462-48D2-9452-BE73DB452CB2}">
      <text>
        <t>[Trådet kommentar]
Din version af Excel lader dig læse denne trådede kommentar. Eventuelle ændringer vil dog blive fjernet, hvis filen åbnes i en nyere version af Excel. Få mere at vide: https://go.microsoft.com/fwlink/?linkid=870924
Kommentar:
    Kg N ab dyr for avlstyre er sat som stude, da der ikke findes N-normer for avlsyre i normtabel</t>
      </text>
    </comment>
    <comment ref="L148" authorId="24" shapeId="0" xr:uid="{0F1CEB67-41C1-418B-A995-E4B25EF3ABDD}">
      <text>
        <t>[Trådet kommentar]
Din version af Excel lader dig læse denne trådede kommentar. Eventuelle ændringer vil dog blive fjernet, hvis filen åbnes i en nyere version af Excel. Få mere at vide: https://go.microsoft.com/fwlink/?linkid=870924
Kommentar:
    Integreret i andel fra løbe og drægtighedsstald</t>
      </text>
    </comment>
    <comment ref="L149" authorId="25" shapeId="0" xr:uid="{DFADCAA1-B71B-4C10-AD04-2CFD94D10E7C}">
      <text>
        <t>[Trådet kommentar]
Din version af Excel lader dig læse denne trådede kommentar. Eventuelle ændringer vil dog blive fjernet, hvis filen åbnes i en nyere version af Excel. Få mere at vide: https://go.microsoft.com/fwlink/?linkid=870924
Kommentar:
    Integreret i andel fra løbe og drægtighedsstald</t>
      </text>
    </comment>
    <comment ref="L150" authorId="26" shapeId="0" xr:uid="{42C95997-5D60-428A-BF6E-F9DA8B7319D3}">
      <text>
        <t>[Trådet kommentar]
Din version af Excel lader dig læse denne trådede kommentar. Eventuelle ændringer vil dog blive fjernet, hvis filen åbnes i en nyere version af Excel. Få mere at vide: https://go.microsoft.com/fwlink/?linkid=870924
Kommentar:
    Integreret i andel fra løbe og drægtighedsstald</t>
      </text>
    </comment>
    <comment ref="Q206" authorId="27" shapeId="0" xr:uid="{56FA6D6F-6228-4FAD-A4EF-3068C6874984}">
      <text>
        <t>[Trådet kommentar]
Din version af Excel lader dig læse denne trådede kommentar. Eventuelle ændringer vil dog blive fjernet, hvis filen åbnes i en nyere version af Excel. Få mere at vide: https://go.microsoft.com/fwlink/?linkid=870924
Kommentar:
    Tal fra klimarådet</t>
      </text>
    </comment>
    <comment ref="Q207" authorId="28" shapeId="0" xr:uid="{01EF67C4-D132-4960-A138-4AB7FE230E05}">
      <text>
        <t>[Trådet kommentar]
Din version af Excel lader dig læse denne trådede kommentar. Eventuelle ændringer vil dog blive fjernet, hvis filen åbnes i en nyere version af Excel. Få mere at vide: https://go.microsoft.com/fwlink/?linkid=870924
Kommentar:
    Tal fra klimarådet</t>
      </text>
    </comment>
    <comment ref="Q208" authorId="29" shapeId="0" xr:uid="{5D592BBD-5DBB-4F7C-B35D-0A6DE939E57A}">
      <text>
        <t>[Trådet kommentar]
Din version af Excel lader dig læse denne trådede kommentar. Eventuelle ændringer vil dog blive fjernet, hvis filen åbnes i en nyere version af Excel. Få mere at vide: https://go.microsoft.com/fwlink/?linkid=870924
Kommentar:
    Tal fra klimarådet</t>
      </text>
    </comment>
    <comment ref="Q209" authorId="30" shapeId="0" xr:uid="{A2C44AF2-CED7-4E7F-A4B3-3BE05447C1F7}">
      <text>
        <t>[Trådet kommentar]
Din version af Excel lader dig læse denne trådede kommentar. Eventuelle ændringer vil dog blive fjernet, hvis filen åbnes i en nyere version af Excel. Få mere at vide: https://go.microsoft.com/fwlink/?linkid=870924
Kommentar:
    Tal fra klimarådet</t>
      </text>
    </comment>
    <comment ref="Q211" authorId="31" shapeId="0" xr:uid="{45AD8C3E-74D1-4E19-8A6C-FC0608D93ECC}">
      <text>
        <t>[Trådet kommentar]
Din version af Excel lader dig læse denne trådede kommentar. Eventuelle ændringer vil dog blive fjernet, hvis filen åbnes i en nyere version af Excel. Få mere at vide: https://go.microsoft.com/fwlink/?linkid=870924
Kommentar:
    Tal fra klimarådet</t>
      </text>
    </comment>
    <comment ref="Q212" authorId="32" shapeId="0" xr:uid="{DDB726D3-BF90-470C-990B-30AE34A5ABE5}">
      <text>
        <t>[Trådet kommentar]
Din version af Excel lader dig læse denne trådede kommentar. Eventuelle ændringer vil dog blive fjernet, hvis filen åbnes i en nyere version af Excel. Få mere at vide: https://go.microsoft.com/fwlink/?linkid=870924
Kommentar:
    Tal fra klimarådet</t>
      </text>
    </comment>
    <comment ref="Q213" authorId="33" shapeId="0" xr:uid="{3CCBBA2F-D3E4-4F3A-9FBD-77E360EAD75D}">
      <text>
        <t>[Trådet kommentar]
Din version af Excel lader dig læse denne trådede kommentar. Eventuelle ændringer vil dog blive fjernet, hvis filen åbnes i en nyere version af Excel. Få mere at vide: https://go.microsoft.com/fwlink/?linkid=870924
Kommentar:
    Tal fra klimarådet</t>
      </text>
    </comment>
    <comment ref="Q215" authorId="34" shapeId="0" xr:uid="{E619ECAD-E660-4854-8DAF-96DDBE698E23}">
      <text>
        <t>[Trådet kommentar]
Din version af Excel lader dig læse denne trådede kommentar. Eventuelle ændringer vil dog blive fjernet, hvis filen åbnes i en nyere version af Excel. Få mere at vide: https://go.microsoft.com/fwlink/?linkid=870924
Kommentar:
    Tal fra klimarådet</t>
      </text>
    </comment>
    <comment ref="Q216" authorId="35" shapeId="0" xr:uid="{E3F87795-705D-486B-90CD-664C5AAC95DC}">
      <text>
        <t>[Trådet kommentar]
Din version af Excel lader dig læse denne trådede kommentar. Eventuelle ændringer vil dog blive fjernet, hvis filen åbnes i en nyere version af Excel. Få mere at vide: https://go.microsoft.com/fwlink/?linkid=870924
Kommentar:
    Tal fra klimarådet</t>
      </text>
    </comment>
    <comment ref="Q217" authorId="36" shapeId="0" xr:uid="{94035431-8B9D-4B19-ACD4-793B31BF1551}">
      <text>
        <t>[Trådet kommentar]
Din version af Excel lader dig læse denne trådede kommentar. Eventuelle ændringer vil dog blive fjernet, hvis filen åbnes i en nyere version af Excel. Få mere at vide: https://go.microsoft.com/fwlink/?linkid=870924
Kommentar:
    Tal fra klimarådet</t>
      </text>
    </comment>
    <comment ref="Q218" authorId="37" shapeId="0" xr:uid="{2340E5BA-D042-48E7-968D-80AA21B55AA3}">
      <text>
        <t>[Trådet kommentar]
Din version af Excel lader dig læse denne trådede kommentar. Eventuelle ændringer vil dog blive fjernet, hvis filen åbnes i en nyere version af Excel. Få mere at vide: https://go.microsoft.com/fwlink/?linkid=870924
Kommentar:
    Tal fra klimarådet</t>
      </text>
    </comment>
    <comment ref="Q219" authorId="38" shapeId="0" xr:uid="{59229A57-7C1C-430D-893B-2FE6ADEA98F0}">
      <text>
        <t>[Trådet kommentar]
Din version af Excel lader dig læse denne trådede kommentar. Eventuelle ændringer vil dog blive fjernet, hvis filen åbnes i en nyere version af Excel. Få mere at vide: https://go.microsoft.com/fwlink/?linkid=870924
Kommentar:
    Tal fra klimarådet</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Pia Strunge Folkmann</author>
    <author>Kristina Espersen</author>
  </authors>
  <commentList>
    <comment ref="E35" authorId="0" shapeId="0" xr:uid="{1D6234EF-0E18-481F-AD7F-1952C6DDF245}">
      <text>
        <r>
          <rPr>
            <b/>
            <sz val="9"/>
            <color indexed="81"/>
            <rFont val="Tahoma"/>
            <family val="2"/>
          </rPr>
          <t>Pia Strunge Folkmann:</t>
        </r>
        <r>
          <rPr>
            <sz val="9"/>
            <color indexed="81"/>
            <rFont val="Tahoma"/>
            <family val="2"/>
          </rPr>
          <t xml:space="preserve">
Beregnet som et vægtet gennemsnit af smågrise og slagtesvin med samlet levetid på 29 uger, heraf 7 uger som smågris (Kilde: L&amp;F https://lf.dk/viden-om/landbrugsproduktion/husdyr/svin</t>
        </r>
      </text>
    </comment>
    <comment ref="F35" authorId="0" shapeId="0" xr:uid="{9D8FB3CA-EA71-4970-B210-BEC57069E53B}">
      <text>
        <r>
          <rPr>
            <b/>
            <sz val="9"/>
            <color indexed="81"/>
            <rFont val="Tahoma"/>
            <family val="2"/>
          </rPr>
          <t>Pia Strunge Folkmann:</t>
        </r>
        <r>
          <rPr>
            <sz val="9"/>
            <color indexed="81"/>
            <rFont val="Tahoma"/>
            <family val="2"/>
          </rPr>
          <t xml:space="preserve">
Beregnet som et vægtet gennemsnit af smågrise og slagtesvin med samlet levetid på 29 uger, heraf 7 uger som smågris (Kilde: L&amp;F https://lf.dk/viden-om/landbrugsproduktion/husdyr/svin</t>
        </r>
      </text>
    </comment>
    <comment ref="G35" authorId="0" shapeId="0" xr:uid="{4FF74FBA-FD54-4533-9ABC-7B6030300D0D}">
      <text>
        <r>
          <rPr>
            <b/>
            <sz val="9"/>
            <color indexed="81"/>
            <rFont val="Tahoma"/>
            <family val="2"/>
          </rPr>
          <t>Pia Strunge Folkmann:</t>
        </r>
        <r>
          <rPr>
            <sz val="9"/>
            <color indexed="81"/>
            <rFont val="Tahoma"/>
            <family val="2"/>
          </rPr>
          <t xml:space="preserve">
Beregnet som et vægtet gennemsnit af smågrise og slagtesvin med samlet levetid på 29 uger, heraf 7 uger som smågris (Kilde: L&amp;F https://lf.dk/viden-om/landbrugsproduktion/husdyr/svin</t>
        </r>
      </text>
    </comment>
    <comment ref="F46" authorId="0" shapeId="0" xr:uid="{CD7B750A-793D-4168-BEA0-36288ACBD312}">
      <text>
        <r>
          <rPr>
            <b/>
            <sz val="9"/>
            <color indexed="81"/>
            <rFont val="Tahoma"/>
            <family val="2"/>
          </rPr>
          <t>Pia Strunge Folkmann:</t>
        </r>
        <r>
          <rPr>
            <sz val="9"/>
            <color indexed="81"/>
            <rFont val="Tahoma"/>
            <family val="2"/>
          </rPr>
          <t xml:space="preserve">
Antaget samme foderforbrug som en årskylling</t>
        </r>
      </text>
    </comment>
    <comment ref="E55" authorId="1" shapeId="0" xr:uid="{B2CB4372-A8F5-46F3-ACF0-552783D375D4}">
      <text>
        <r>
          <rPr>
            <sz val="9"/>
            <color indexed="81"/>
            <rFont val="Tahoma"/>
            <family val="2"/>
          </rPr>
          <t>Jf. PDF NIR 2020 (2018) tabel 5.8, side 383</t>
        </r>
      </text>
    </comment>
    <comment ref="F55" authorId="1" shapeId="0" xr:uid="{385D95CF-4371-4AF8-BBBE-3EE6BA53170D}">
      <text>
        <r>
          <rPr>
            <sz val="9"/>
            <color indexed="81"/>
            <rFont val="Tahoma"/>
            <family val="2"/>
          </rPr>
          <t>Jf. PDF NIR 2021 (2019) tabel 5.8, side 402</t>
        </r>
      </text>
    </comment>
    <comment ref="G55" authorId="1" shapeId="0" xr:uid="{58D8A6A4-CCDF-4F71-B80E-A5E6BB985964}">
      <text>
        <r>
          <rPr>
            <sz val="9"/>
            <color indexed="81"/>
            <rFont val="Tahoma"/>
            <family val="2"/>
          </rPr>
          <t>Jf. PDF NIR 2022 (2020) tabel 5.8, side 409</t>
        </r>
      </text>
    </comment>
    <comment ref="E56" authorId="1" shapeId="0" xr:uid="{52329B8A-71F5-42F5-911B-7A2599CE8B6E}">
      <text>
        <r>
          <rPr>
            <sz val="9"/>
            <color indexed="81"/>
            <rFont val="Tahoma"/>
            <family val="2"/>
          </rPr>
          <t xml:space="preserve">Jf. PDF NIR 2020 (2018) tabel 5.8, side 383
</t>
        </r>
      </text>
    </comment>
    <comment ref="F56" authorId="1" shapeId="0" xr:uid="{46AF8847-8732-4B93-8274-848FD819C028}">
      <text>
        <r>
          <rPr>
            <sz val="9"/>
            <color indexed="81"/>
            <rFont val="Tahoma"/>
            <family val="2"/>
          </rPr>
          <t>Jf. PDF NIR 2021 (2019) tabel 5.8, side 402</t>
        </r>
      </text>
    </comment>
    <comment ref="G56" authorId="1" shapeId="0" xr:uid="{9E0DE744-19D3-4175-8CCC-5EC94381CB96}">
      <text>
        <r>
          <rPr>
            <sz val="9"/>
            <color indexed="81"/>
            <rFont val="Tahoma"/>
            <family val="2"/>
          </rPr>
          <t>Jf. PDF NIR 2022 (2020) tabel 5.8, side 409</t>
        </r>
      </text>
    </comment>
    <comment ref="E57" authorId="1" shapeId="0" xr:uid="{B32546B8-CC79-4315-9CB5-D484973E045F}">
      <text>
        <r>
          <rPr>
            <sz val="9"/>
            <color indexed="81"/>
            <rFont val="Tahoma"/>
            <family val="2"/>
          </rPr>
          <t>Jf. PDF NIR 2020 (2018) tabel 5.8, side 383</t>
        </r>
      </text>
    </comment>
    <comment ref="F57" authorId="1" shapeId="0" xr:uid="{E7E4BBF3-BCA9-4DDE-A022-C709C1FE3721}">
      <text>
        <r>
          <rPr>
            <sz val="9"/>
            <color indexed="81"/>
            <rFont val="Tahoma"/>
            <family val="2"/>
          </rPr>
          <t>Jf. PDF NIR 2021 (2019) tabel 5.8, side 402</t>
        </r>
      </text>
    </comment>
    <comment ref="G57" authorId="1" shapeId="0" xr:uid="{C57CFD3E-CC84-40C5-B765-AEA80E3F04C8}">
      <text>
        <r>
          <rPr>
            <sz val="9"/>
            <color indexed="81"/>
            <rFont val="Tahoma"/>
            <family val="2"/>
          </rPr>
          <t>Jf. PDF NIR 2022 (2020) tabel 5.8, side 409</t>
        </r>
      </text>
    </comment>
    <comment ref="E70" authorId="1" shapeId="0" xr:uid="{879ED5E7-56DB-451B-A048-5052EDA83380}">
      <text>
        <r>
          <rPr>
            <b/>
            <sz val="9"/>
            <color indexed="81"/>
            <rFont val="Tahoma"/>
            <family val="2"/>
          </rPr>
          <t>Kristina Espersen:</t>
        </r>
        <r>
          <rPr>
            <sz val="9"/>
            <color indexed="81"/>
            <rFont val="Tahoma"/>
            <family val="2"/>
          </rPr>
          <t xml:space="preserve">
Ingen data
</t>
        </r>
      </text>
    </comment>
    <comment ref="F70" authorId="1" shapeId="0" xr:uid="{C9F82085-BBAB-407F-B424-66F5AC31138A}">
      <text>
        <r>
          <rPr>
            <b/>
            <sz val="9"/>
            <color indexed="81"/>
            <rFont val="Tahoma"/>
            <family val="2"/>
          </rPr>
          <t>Kristina Espersen:</t>
        </r>
        <r>
          <rPr>
            <sz val="9"/>
            <color indexed="81"/>
            <rFont val="Tahoma"/>
            <family val="2"/>
          </rPr>
          <t xml:space="preserve">
Ingen data
</t>
        </r>
      </text>
    </comment>
    <comment ref="G70" authorId="1" shapeId="0" xr:uid="{2AE5E73A-89FC-4156-9C7F-A37CD55C6843}">
      <text>
        <r>
          <rPr>
            <b/>
            <sz val="9"/>
            <color indexed="81"/>
            <rFont val="Tahoma"/>
            <family val="2"/>
          </rPr>
          <t>Kristina Espersen:</t>
        </r>
        <r>
          <rPr>
            <sz val="9"/>
            <color indexed="81"/>
            <rFont val="Tahoma"/>
            <family val="2"/>
          </rPr>
          <t xml:space="preserve">
Ingen data
</t>
        </r>
      </text>
    </comment>
    <comment ref="E130" authorId="1" shapeId="0" xr:uid="{34679736-B059-409F-8B0E-2D07F905841D}">
      <text>
        <r>
          <rPr>
            <sz val="9"/>
            <color indexed="81"/>
            <rFont val="Tahoma"/>
            <family val="2"/>
          </rPr>
          <t>Findes ikke for 2018</t>
        </r>
      </text>
    </comment>
    <comment ref="E131" authorId="1" shapeId="0" xr:uid="{22209095-C617-4A2A-B652-5402BC2C0A15}">
      <text>
        <r>
          <rPr>
            <sz val="9"/>
            <color indexed="81"/>
            <rFont val="Tahoma"/>
            <family val="2"/>
          </rPr>
          <t>Findes ikke for 2018</t>
        </r>
      </text>
    </comment>
    <comment ref="E156" authorId="1" shapeId="0" xr:uid="{E7164A7A-B27F-4252-8352-D5C5C79C479B}">
      <text>
        <r>
          <rPr>
            <sz val="9"/>
            <color indexed="81"/>
            <rFont val="Tahoma"/>
            <family val="2"/>
          </rPr>
          <t xml:space="preserve">Kommer fra NIR PDF format
</t>
        </r>
      </text>
    </comment>
    <comment ref="F156" authorId="1" shapeId="0" xr:uid="{8FF334B1-EC0C-423A-B4B1-DF5D0F5DA0AD}">
      <text>
        <r>
          <rPr>
            <sz val="9"/>
            <color indexed="81"/>
            <rFont val="Tahoma"/>
            <family val="2"/>
          </rPr>
          <t>Kommer fra NIR PDF format</t>
        </r>
      </text>
    </comment>
    <comment ref="G156" authorId="1" shapeId="0" xr:uid="{E174FB84-BC19-43B3-8362-0A3191B0DE73}">
      <text>
        <r>
          <rPr>
            <sz val="9"/>
            <color indexed="81"/>
            <rFont val="Tahoma"/>
            <family val="2"/>
          </rPr>
          <t>Kommer fra NIR PDF format</t>
        </r>
      </text>
    </comment>
    <comment ref="D672" authorId="1" shapeId="0" xr:uid="{3D847253-12D8-4930-AAE4-92BF8443CB36}">
      <text>
        <r>
          <rPr>
            <b/>
            <sz val="9"/>
            <color indexed="81"/>
            <rFont val="Tahoma"/>
            <family val="2"/>
          </rPr>
          <t xml:space="preserve">Fra NIR (PDF) afsnit 6.9.4
</t>
        </r>
      </text>
    </comment>
    <comment ref="E672" authorId="1" shapeId="0" xr:uid="{16341C4B-6CFF-49D8-A2F4-32D3A24150CB}">
      <text>
        <r>
          <rPr>
            <b/>
            <sz val="9"/>
            <color indexed="81"/>
            <rFont val="Tahoma"/>
            <family val="2"/>
          </rPr>
          <t xml:space="preserve">Fra NIR (PDF) afsnit 6.9.4
</t>
        </r>
      </text>
    </comment>
    <comment ref="F672" authorId="1" shapeId="0" xr:uid="{30452F53-BAEC-4766-9280-10F47A6F1EE7}">
      <text>
        <r>
          <rPr>
            <b/>
            <sz val="9"/>
            <color indexed="81"/>
            <rFont val="Tahoma"/>
            <family val="2"/>
          </rPr>
          <t>Fra NIR (PDF) afsnit 6.9.4</t>
        </r>
      </text>
    </comment>
    <comment ref="G672" authorId="1" shapeId="0" xr:uid="{3D34E4ED-53B4-4BF5-9153-C4A8992405C2}">
      <text>
        <r>
          <rPr>
            <b/>
            <sz val="9"/>
            <color indexed="81"/>
            <rFont val="Tahoma"/>
            <family val="2"/>
          </rPr>
          <t>Fra NIR (PDF) afsnit 6.9.4</t>
        </r>
      </text>
    </comment>
    <comment ref="D673" authorId="1" shapeId="0" xr:uid="{C2FE675E-D49B-4798-9E54-2C24193A5760}">
      <text>
        <r>
          <rPr>
            <b/>
            <sz val="9"/>
            <color indexed="81"/>
            <rFont val="Tahoma"/>
            <family val="2"/>
          </rPr>
          <t xml:space="preserve">Fra NIR (PDF) afsnit 6.9.4
</t>
        </r>
      </text>
    </comment>
    <comment ref="E673" authorId="1" shapeId="0" xr:uid="{D428C3B6-0347-49CB-A788-9B60C631273E}">
      <text>
        <r>
          <rPr>
            <b/>
            <sz val="9"/>
            <color indexed="81"/>
            <rFont val="Tahoma"/>
            <family val="2"/>
          </rPr>
          <t xml:space="preserve">Fra NIR (PDF) afsnit 6.9.4
</t>
        </r>
      </text>
    </comment>
    <comment ref="F673" authorId="1" shapeId="0" xr:uid="{3CB217B8-F3F2-4468-B833-773CD65D8C1A}">
      <text>
        <r>
          <rPr>
            <b/>
            <sz val="9"/>
            <color indexed="81"/>
            <rFont val="Tahoma"/>
            <family val="2"/>
          </rPr>
          <t>Fra NIR (PDF) afsnit 6.9.4</t>
        </r>
      </text>
    </comment>
    <comment ref="G673" authorId="1" shapeId="0" xr:uid="{D4E0A1E6-BEE4-4C0A-9365-C4BC360FB7BA}">
      <text>
        <r>
          <rPr>
            <b/>
            <sz val="9"/>
            <color indexed="81"/>
            <rFont val="Tahoma"/>
            <family val="2"/>
          </rPr>
          <t>Fra NIR (PDF) afsnit 6.9.4</t>
        </r>
      </text>
    </comment>
    <comment ref="E700" authorId="1" shapeId="0" xr:uid="{5689D5C3-E9F5-455C-9E66-EDCCA3DC95F2}">
      <text>
        <r>
          <rPr>
            <b/>
            <sz val="9"/>
            <color indexed="81"/>
            <rFont val="Tahoma"/>
            <family val="2"/>
          </rPr>
          <t xml:space="preserve">Fra NIR (PDF) afsnit 6.9.4
</t>
        </r>
      </text>
    </comment>
    <comment ref="F700" authorId="1" shapeId="0" xr:uid="{72B0A6FD-54CB-414C-B92D-444423AA374C}">
      <text>
        <r>
          <rPr>
            <b/>
            <sz val="9"/>
            <color indexed="81"/>
            <rFont val="Tahoma"/>
            <family val="2"/>
          </rPr>
          <t>Fra NIR (PDF) afsnit 6.9.4</t>
        </r>
      </text>
    </comment>
    <comment ref="G700" authorId="1" shapeId="0" xr:uid="{3C943922-8C8C-4C8A-B774-7807B0CE096E}">
      <text>
        <r>
          <rPr>
            <b/>
            <sz val="9"/>
            <color indexed="81"/>
            <rFont val="Tahoma"/>
            <family val="2"/>
          </rPr>
          <t>Fra NIR (PDF) afsnit 6.9.4</t>
        </r>
      </text>
    </comment>
    <comment ref="E701" authorId="1" shapeId="0" xr:uid="{4B9B927A-F5CA-4F5C-B6CC-65F27DA87272}">
      <text>
        <r>
          <rPr>
            <b/>
            <sz val="9"/>
            <color indexed="81"/>
            <rFont val="Tahoma"/>
            <family val="2"/>
          </rPr>
          <t xml:space="preserve">Fra NIR (PDF) afsnit 6.9.4
</t>
        </r>
      </text>
    </comment>
    <comment ref="F701" authorId="1" shapeId="0" xr:uid="{80581824-D4C5-47A9-9FF4-409D2659E43F}">
      <text>
        <r>
          <rPr>
            <b/>
            <sz val="9"/>
            <color indexed="81"/>
            <rFont val="Tahoma"/>
            <family val="2"/>
          </rPr>
          <t>Fra NIR (PDF) afsnit 6.9.4</t>
        </r>
      </text>
    </comment>
    <comment ref="G701" authorId="1" shapeId="0" xr:uid="{334333CE-DAD4-4405-BE68-D596BFB94206}">
      <text>
        <r>
          <rPr>
            <b/>
            <sz val="9"/>
            <color indexed="81"/>
            <rFont val="Tahoma"/>
            <family val="2"/>
          </rPr>
          <t>Fra NIR (PDF) afsnit 6.9.4</t>
        </r>
      </text>
    </comment>
    <comment ref="E788" authorId="1" shapeId="0" xr:uid="{D35FF179-D7C4-4C95-AF82-CBA56ADAC94C}">
      <text>
        <r>
          <rPr>
            <sz val="9"/>
            <color indexed="81"/>
            <rFont val="Tahoma"/>
            <family val="2"/>
          </rPr>
          <t xml:space="preserve">Findes ikke i NIR 2018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tc={C7E3A197-F6CE-4E46-AD41-1A36F3AD428F}</author>
    <author>Niels Morten Sloth</author>
    <author>tc={8559D340-3410-48AD-8A7A-559D4C73636B}</author>
    <author>tc={5D0452E4-BCB4-43D5-8106-DE0A84FB30DE}</author>
    <author>tc={47EEF6ED-3D89-4B4B-A6C2-B095C9373616}</author>
    <author>tc={24BAAEA2-DB8B-4669-B3BF-BBD50CA5F177}</author>
  </authors>
  <commentList>
    <comment ref="IS4" authorId="0" shapeId="0" xr:uid="{C7E3A197-F6CE-4E46-AD41-1A36F3AD428F}">
      <text>
        <t>[Trådet kommentar]
Din version af Excel lader dig læse denne trådede kommentar. Eventuelle ændringer vil dog blive fjernet, hvis filen åbnes i en nyere version af Excel. Få mere at vide: https://go.microsoft.com/fwlink/?linkid=870924
Kommentar:
    GFLI-databasen er genereret af Global Feed Lifecycle Institute. Global Feed LCA Institute er et uafhængigt foderindustriinitiativ, der udvikler og formidler Feed Life Cycle Analysis (LCA) database og værktøjer. Formålet med GFLI er at støtte meningsfuld miljøvurdering af husdyrprodukter og at stimulere kontinuerlig forbedring af bæredygtighed i foderstofindustrien. Databasen er udviklet i forbindelse med Agri-footprint-databasen og i henhold til GFLI-metoden.</t>
      </text>
    </comment>
    <comment ref="CQ5" authorId="1" shapeId="0" xr:uid="{00000000-0006-0000-0900-000001000000}">
      <text>
        <r>
          <rPr>
            <sz val="9"/>
            <color indexed="81"/>
            <rFont val="Tahoma"/>
            <family val="2"/>
          </rPr>
          <t xml:space="preserve">Med forkortelsen </t>
        </r>
        <r>
          <rPr>
            <b/>
            <sz val="9"/>
            <color indexed="81"/>
            <rFont val="Tahoma"/>
            <family val="2"/>
          </rPr>
          <t>SIF</t>
        </r>
        <r>
          <rPr>
            <sz val="9"/>
            <color indexed="81"/>
            <rFont val="Tahoma"/>
            <family val="2"/>
          </rPr>
          <t xml:space="preserve"> menes </t>
        </r>
        <r>
          <rPr>
            <b/>
            <sz val="9"/>
            <color indexed="81"/>
            <rFont val="Tahoma"/>
            <family val="2"/>
          </rPr>
          <t>S</t>
        </r>
        <r>
          <rPr>
            <sz val="9"/>
            <color indexed="81"/>
            <rFont val="Tahoma"/>
            <family val="2"/>
          </rPr>
          <t xml:space="preserve">tandardiseret </t>
        </r>
        <r>
          <rPr>
            <b/>
            <sz val="9"/>
            <color indexed="81"/>
            <rFont val="Tahoma"/>
            <family val="2"/>
          </rPr>
          <t>I</t>
        </r>
        <r>
          <rPr>
            <sz val="9"/>
            <color indexed="81"/>
            <rFont val="Tahoma"/>
            <family val="2"/>
          </rPr>
          <t xml:space="preserve">lealt </t>
        </r>
        <r>
          <rPr>
            <b/>
            <sz val="9"/>
            <color indexed="81"/>
            <rFont val="Tahoma"/>
            <family val="2"/>
          </rPr>
          <t>F</t>
        </r>
        <r>
          <rPr>
            <sz val="9"/>
            <color indexed="81"/>
            <rFont val="Tahoma"/>
            <family val="2"/>
          </rPr>
          <t>ordøjeligt aminosyre eller råprotein
Fx: SIF råprotein eller SIF Lys (lysin)</t>
        </r>
      </text>
    </comment>
    <comment ref="CR5" authorId="1" shapeId="0" xr:uid="{00000000-0006-0000-0900-000002000000}">
      <text>
        <r>
          <rPr>
            <sz val="9"/>
            <color indexed="81"/>
            <rFont val="Tahoma"/>
            <family val="2"/>
          </rPr>
          <t xml:space="preserve">Med forkortelsen </t>
        </r>
        <r>
          <rPr>
            <b/>
            <sz val="9"/>
            <color indexed="81"/>
            <rFont val="Tahoma"/>
            <family val="2"/>
          </rPr>
          <t>SIF</t>
        </r>
        <r>
          <rPr>
            <sz val="9"/>
            <color indexed="81"/>
            <rFont val="Tahoma"/>
            <family val="2"/>
          </rPr>
          <t xml:space="preserve"> menes </t>
        </r>
        <r>
          <rPr>
            <b/>
            <sz val="9"/>
            <color indexed="81"/>
            <rFont val="Tahoma"/>
            <family val="2"/>
          </rPr>
          <t>S</t>
        </r>
        <r>
          <rPr>
            <sz val="9"/>
            <color indexed="81"/>
            <rFont val="Tahoma"/>
            <family val="2"/>
          </rPr>
          <t>tandardiseret</t>
        </r>
        <r>
          <rPr>
            <b/>
            <sz val="9"/>
            <color indexed="81"/>
            <rFont val="Tahoma"/>
            <family val="2"/>
          </rPr>
          <t xml:space="preserve"> I</t>
        </r>
        <r>
          <rPr>
            <sz val="9"/>
            <color indexed="81"/>
            <rFont val="Tahoma"/>
            <family val="2"/>
          </rPr>
          <t xml:space="preserve">lealt </t>
        </r>
        <r>
          <rPr>
            <b/>
            <sz val="9"/>
            <color indexed="81"/>
            <rFont val="Tahoma"/>
            <family val="2"/>
          </rPr>
          <t>F</t>
        </r>
        <r>
          <rPr>
            <sz val="9"/>
            <color indexed="81"/>
            <rFont val="Tahoma"/>
            <family val="2"/>
          </rPr>
          <t xml:space="preserve">ordøjeligt aminosyre eller råprotein
Fx: SIF råprotein eller SIF Lys (lysin)
</t>
        </r>
      </text>
    </comment>
    <comment ref="CS5" authorId="1" shapeId="0" xr:uid="{00000000-0006-0000-0900-000003000000}">
      <text>
        <r>
          <rPr>
            <sz val="9"/>
            <color indexed="81"/>
            <rFont val="Tahoma"/>
            <family val="2"/>
          </rPr>
          <t xml:space="preserve">Med forkortelsen </t>
        </r>
        <r>
          <rPr>
            <b/>
            <sz val="9"/>
            <color indexed="81"/>
            <rFont val="Tahoma"/>
            <family val="2"/>
          </rPr>
          <t>SIF</t>
        </r>
        <r>
          <rPr>
            <sz val="9"/>
            <color indexed="81"/>
            <rFont val="Tahoma"/>
            <family val="2"/>
          </rPr>
          <t xml:space="preserve"> menes </t>
        </r>
        <r>
          <rPr>
            <b/>
            <sz val="9"/>
            <color indexed="81"/>
            <rFont val="Tahoma"/>
            <family val="2"/>
          </rPr>
          <t>S</t>
        </r>
        <r>
          <rPr>
            <sz val="9"/>
            <color indexed="81"/>
            <rFont val="Tahoma"/>
            <family val="2"/>
          </rPr>
          <t>tandardiseret</t>
        </r>
        <r>
          <rPr>
            <b/>
            <sz val="9"/>
            <color indexed="81"/>
            <rFont val="Tahoma"/>
            <family val="2"/>
          </rPr>
          <t xml:space="preserve"> I</t>
        </r>
        <r>
          <rPr>
            <sz val="9"/>
            <color indexed="81"/>
            <rFont val="Tahoma"/>
            <family val="2"/>
          </rPr>
          <t xml:space="preserve">lealt </t>
        </r>
        <r>
          <rPr>
            <b/>
            <sz val="9"/>
            <color indexed="81"/>
            <rFont val="Tahoma"/>
            <family val="2"/>
          </rPr>
          <t>F</t>
        </r>
        <r>
          <rPr>
            <sz val="9"/>
            <color indexed="81"/>
            <rFont val="Tahoma"/>
            <family val="2"/>
          </rPr>
          <t>ordøjeligt aminosyre eller råprotein
Fx: SIF råprotein eller SIF Lys (lysin)</t>
        </r>
      </text>
    </comment>
    <comment ref="CV5" authorId="1" shapeId="0" xr:uid="{00000000-0006-0000-0900-000004000000}">
      <text>
        <r>
          <rPr>
            <sz val="9"/>
            <color indexed="81"/>
            <rFont val="Tahoma"/>
            <family val="2"/>
          </rPr>
          <t xml:space="preserve">= SIF Cystin + Methionin
Med forkortelsen </t>
        </r>
        <r>
          <rPr>
            <b/>
            <sz val="9"/>
            <color indexed="81"/>
            <rFont val="Tahoma"/>
            <family val="2"/>
          </rPr>
          <t>SIF</t>
        </r>
        <r>
          <rPr>
            <sz val="9"/>
            <color indexed="81"/>
            <rFont val="Tahoma"/>
            <family val="2"/>
          </rPr>
          <t xml:space="preserve"> menes </t>
        </r>
        <r>
          <rPr>
            <b/>
            <sz val="9"/>
            <color indexed="81"/>
            <rFont val="Tahoma"/>
            <family val="2"/>
          </rPr>
          <t>S</t>
        </r>
        <r>
          <rPr>
            <sz val="9"/>
            <color indexed="81"/>
            <rFont val="Tahoma"/>
            <family val="2"/>
          </rPr>
          <t xml:space="preserve">tandardiseret </t>
        </r>
        <r>
          <rPr>
            <b/>
            <sz val="9"/>
            <color indexed="81"/>
            <rFont val="Tahoma"/>
            <family val="2"/>
          </rPr>
          <t>Il</t>
        </r>
        <r>
          <rPr>
            <sz val="9"/>
            <color indexed="81"/>
            <rFont val="Tahoma"/>
            <family val="2"/>
          </rPr>
          <t xml:space="preserve">ealt </t>
        </r>
        <r>
          <rPr>
            <b/>
            <sz val="9"/>
            <color indexed="81"/>
            <rFont val="Tahoma"/>
            <family val="2"/>
          </rPr>
          <t>F</t>
        </r>
        <r>
          <rPr>
            <sz val="9"/>
            <color indexed="81"/>
            <rFont val="Tahoma"/>
            <family val="2"/>
          </rPr>
          <t>ordøjeligt aminosyre eller råprotein</t>
        </r>
      </text>
    </comment>
    <comment ref="DD5" authorId="1" shapeId="0" xr:uid="{00000000-0006-0000-0900-000005000000}">
      <text>
        <r>
          <rPr>
            <sz val="9"/>
            <color indexed="81"/>
            <rFont val="Tahoma"/>
            <family val="2"/>
          </rPr>
          <t xml:space="preserve">= SIF Fenylalanin + Tyrosin
Med forkortelsen SIF menes Standardiseret Ilealt Fordøjeligt aminosyre eller råprotein
</t>
        </r>
      </text>
    </comment>
    <comment ref="IJ5" authorId="2" shapeId="0" xr:uid="{8559D340-3410-48AD-8A7A-559D4C73636B}">
      <text>
        <t>[Trådet kommentar]
Din version af Excel lader dig læse denne trådede kommentar. Eventuelle ændringer vil dog blive fjernet, hvis filen åbnes i en nyere version af Excel. Få mere at vide: https://go.microsoft.com/fwlink/?linkid=870924
Kommentar:
    LUC = Land Use Change (tilnærmet forklaring: (Ny)opdyrkning af regnskov og tilsvarende tidligere udyrket landområde)</t>
      </text>
    </comment>
    <comment ref="IK5" authorId="3" shapeId="0" xr:uid="{5D0452E4-BCB4-43D5-8106-DE0A84FB30DE}">
      <text>
        <t>[Trådet kommentar]
Din version af Excel lader dig læse denne trådede kommentar. Eventuelle ændringer vil dog blive fjernet, hvis filen åbnes i en nyere version af Excel. Få mere at vide: https://go.microsoft.com/fwlink/?linkid=870924
Kommentar:
    LUC = Land Use Change (tilnærmet forklaring: (Ny)opdyrkning af regnskov og tilsvarende tidligere udyrket landområde)</t>
      </text>
    </comment>
    <comment ref="IS5" authorId="4" shapeId="0" xr:uid="{47EEF6ED-3D89-4B4B-A6C2-B095C9373616}">
      <text>
        <t>[Trådet kommentar]
Din version af Excel lader dig læse denne trådede kommentar. Eventuelle ændringer vil dog blive fjernet, hvis filen åbnes i en nyere version af Excel. Få mere at vide: https://go.microsoft.com/fwlink/?linkid=870924
Kommentar:
    LUC = Land Use Change (tilnærmet forklaring: (Ny)opdyrkning af regnskov og tilsvarende tidligere udyrket landområde)</t>
      </text>
    </comment>
    <comment ref="JO5" authorId="5" shapeId="0" xr:uid="{24BAAEA2-DB8B-4669-B3BF-BBD50CA5F177}">
      <text>
        <t>[Trådet kommentar]
Din version af Excel lader dig læse denne trådede kommentar. Eventuelle ændringer vil dog blive fjernet, hvis filen åbnes i en nyere version af Excel. Få mere at vide: https://go.microsoft.com/fwlink/?linkid=870924
Kommentar:
    (lægges til FEFAC, hvorved de er sammenlignelige med NorFors klimaaftryksværdier)</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Kristina Espersen</author>
    <author>Max Gunnar Ansas Guddat</author>
    <author>Pia Strunge Folkmann</author>
  </authors>
  <commentList>
    <comment ref="J5" authorId="0" shapeId="0" xr:uid="{D1E769D7-A46F-40E3-A1ED-4864B7A3C2A2}">
      <text>
        <r>
          <rPr>
            <b/>
            <sz val="9"/>
            <color indexed="81"/>
            <rFont val="Tahoma"/>
            <family val="2"/>
          </rPr>
          <t>Fane: Forbrug transport, 2020
Eksempel:
=SUM(D33:O33)</t>
        </r>
      </text>
    </comment>
    <comment ref="J6" authorId="0" shapeId="0" xr:uid="{8236855B-73A1-4E28-B1BC-D25F54E37B30}">
      <text>
        <r>
          <rPr>
            <b/>
            <sz val="9"/>
            <color indexed="81"/>
            <rFont val="Tahoma"/>
            <family val="2"/>
          </rPr>
          <t>Fane: Forbrug transport, 2020
Eksempel:
=SUM(D33;I33;J33;O33)
(inkl. PHEV)</t>
        </r>
      </text>
    </comment>
    <comment ref="J7" authorId="0" shapeId="0" xr:uid="{AC8FFF16-1BCF-4568-A93D-23EEBB8F8100}">
      <text>
        <r>
          <rPr>
            <b/>
            <sz val="9"/>
            <color indexed="81"/>
            <rFont val="Tahoma"/>
            <family val="2"/>
          </rPr>
          <t>Fane: Forbrug transport, 2020
Eksempel:
=SUM(E33;K33)</t>
        </r>
      </text>
    </comment>
    <comment ref="J8" authorId="0" shapeId="0" xr:uid="{BD0C9EC6-C135-41AB-91D3-5248F4A281D8}">
      <text>
        <r>
          <rPr>
            <b/>
            <sz val="9"/>
            <color indexed="81"/>
            <rFont val="Tahoma"/>
            <family val="2"/>
          </rPr>
          <t>Fane: Forbrug transport, 2020
Eksempel:
=SUM(B88;F88)*1000/((SUM(D33;J33)+I33+O33))</t>
        </r>
      </text>
    </comment>
    <comment ref="J9" authorId="0" shapeId="0" xr:uid="{CE94A40F-1DFE-45B2-BF28-05DEC7548BF6}">
      <text>
        <r>
          <rPr>
            <b/>
            <sz val="9"/>
            <color indexed="81"/>
            <rFont val="Tahoma"/>
            <family val="2"/>
          </rPr>
          <t xml:space="preserve">Fane: Forbrug transport, 2020
Eksempel:
=SUM(C88)*1000/((SUM(E33;K33)))
</t>
        </r>
      </text>
    </comment>
    <comment ref="J10" authorId="0" shapeId="0" xr:uid="{E5DCD2CB-C4A8-43ED-8796-E2B93E09762C}">
      <text>
        <r>
          <rPr>
            <b/>
            <sz val="9"/>
            <color indexed="81"/>
            <rFont val="Tahoma"/>
            <family val="2"/>
          </rPr>
          <t xml:space="preserve">Fane: Forbrug transport, 2020
Eksempel:
=SUM(U33:X33)
</t>
        </r>
      </text>
    </comment>
    <comment ref="J11" authorId="0" shapeId="0" xr:uid="{61B46A87-72FC-4C5D-9829-20306ABC8222}">
      <text>
        <r>
          <rPr>
            <b/>
            <sz val="9"/>
            <color indexed="81"/>
            <rFont val="Tahoma"/>
            <family val="2"/>
          </rPr>
          <t>Fane: Forbrug transport, 2020
Eksempel:
=SUM(L88:M88)*1000/SUM(U33:X33)</t>
        </r>
      </text>
    </comment>
    <comment ref="J12" authorId="0" shapeId="0" xr:uid="{53D9251E-3F07-42DD-9523-3A44423D650D}">
      <text>
        <r>
          <rPr>
            <b/>
            <sz val="9"/>
            <color indexed="81"/>
            <rFont val="Tahoma"/>
            <family val="2"/>
          </rPr>
          <t>Fane: Forbrug transport, 2020
Eksempel:
=SUM(P33:T33)
Oplyst alle busser på el.</t>
        </r>
      </text>
    </comment>
    <comment ref="J13" authorId="0" shapeId="0" xr:uid="{9DED3709-6BA3-4F57-9CFF-E23B4068509A}">
      <text>
        <r>
          <rPr>
            <b/>
            <sz val="9"/>
            <color indexed="81"/>
            <rFont val="Tahoma"/>
            <family val="2"/>
          </rPr>
          <t>Fane: Forbrug transport, 2020
Eksempel:
=SUM(H88:I88)*1000/SUM(P33:T33)</t>
        </r>
      </text>
    </comment>
    <comment ref="AC19" authorId="1" shapeId="0" xr:uid="{46B29AB7-A2D9-411B-A6D6-390E31A596E2}">
      <text>
        <r>
          <rPr>
            <sz val="9"/>
            <color indexed="81"/>
            <rFont val="Tahoma"/>
            <family val="2"/>
          </rPr>
          <t>8,2 GJ/år jf. PlanEnergis behandling af KF22, svarende til: 
1) 13.619km/år ved 6,0 km/kWh (PlanEnergis bedste bud).
ELLER 
2) 16.800 km/år (KF-forudsætning for 13,5 første leveår af personbiler), svarende til 7,4 km/kWh.</t>
        </r>
      </text>
    </comment>
    <comment ref="AC26" authorId="1" shapeId="0" xr:uid="{EC1C562C-DC44-4F9C-AD8F-FBE815E5BF3B}">
      <text>
        <r>
          <rPr>
            <sz val="9"/>
            <color indexed="81"/>
            <rFont val="Tahoma"/>
            <family val="2"/>
          </rPr>
          <t>Beregnet af PlanEnergi på baggrund af transportdata til KF22. Forudsætninger:
1) Kørselsbehov: 16.800 km/år
2) El-andel: 50%
3) Effektivitet, el: 5 km/kWh
4) Effektivitet, forbr.: 18 km/l</t>
        </r>
      </text>
    </comment>
    <comment ref="AC27" authorId="1" shapeId="0" xr:uid="{AEFECFDF-8F25-4D8E-8D44-DA81D95C4732}">
      <text>
        <r>
          <rPr>
            <sz val="9"/>
            <color indexed="81"/>
            <rFont val="Tahoma"/>
            <family val="2"/>
          </rPr>
          <t>Beregnet af PlanEnergi på baggrund af transportdata til KF22. Forudsætninger:
1) Kørselsbehov: 16.800 km/år
2) El-andel: 50%
3) Effektivitet, el: 5 km/kWh
4) Effektivitet, forbr.: 18 km/l</t>
        </r>
      </text>
    </comment>
    <comment ref="AC29" authorId="1" shapeId="0" xr:uid="{66B3D076-3CD0-4099-B123-6D67D18A2009}">
      <text>
        <r>
          <rPr>
            <sz val="9"/>
            <color indexed="81"/>
            <rFont val="Tahoma"/>
            <family val="2"/>
          </rPr>
          <t>Enhedsforbrug jf. Bilag 12 til KE20. Indekseret med reduktion pr. køretøj jf. PlanEnergi, på baggrund af KF22.</t>
        </r>
      </text>
    </comment>
    <comment ref="AC30" authorId="1" shapeId="0" xr:uid="{9DF3755A-0E4F-45AF-A70C-26F4388E2694}">
      <text>
        <r>
          <rPr>
            <sz val="9"/>
            <color indexed="81"/>
            <rFont val="Tahoma"/>
            <family val="2"/>
          </rPr>
          <t>Enhedsforbrug jf. Bilag 12 til KE20. Indekseret med reduktion pr. køretøj jf. PlanEnergi, på baggrund af KF22.</t>
        </r>
      </text>
    </comment>
    <comment ref="A47" authorId="1" shapeId="0" xr:uid="{82F512A2-DBB1-438F-9657-9EA847BE340A}">
      <text>
        <r>
          <rPr>
            <b/>
            <sz val="9"/>
            <color indexed="81"/>
            <rFont val="Tahoma"/>
            <family val="2"/>
          </rPr>
          <t>Max Gunnar Ansas Guddat:</t>
        </r>
        <r>
          <rPr>
            <sz val="9"/>
            <color indexed="81"/>
            <rFont val="Tahoma"/>
            <family val="2"/>
          </rPr>
          <t xml:space="preserve">
IDA's Energistrategi 2045 anslår at ca. 36% besparelser vil være rentable på landsplan.</t>
        </r>
      </text>
    </comment>
    <comment ref="AC56" authorId="1" shapeId="0" xr:uid="{8B099986-0F09-408A-93CB-CDAE1D86DBD0}">
      <text>
        <r>
          <rPr>
            <sz val="9"/>
            <color indexed="81"/>
            <rFont val="Tahoma"/>
            <family val="2"/>
          </rPr>
          <t>Enhedsforbrug jf. Bilag 12 til KE20. Indekseret med reduktion pr. køretøj jf. PlanEnergi, på baggrund af KF22.</t>
        </r>
      </text>
    </comment>
    <comment ref="P67" authorId="1" shapeId="0" xr:uid="{41F1B995-9F99-45B6-A2C1-B80A6805C82C}">
      <text>
        <r>
          <rPr>
            <b/>
            <sz val="9"/>
            <color indexed="81"/>
            <rFont val="Tahoma"/>
            <family val="2"/>
          </rPr>
          <t>Max Gunnar Ansas Guddat:</t>
        </r>
        <r>
          <rPr>
            <sz val="9"/>
            <color indexed="81"/>
            <rFont val="Tahoma"/>
            <family val="2"/>
          </rPr>
          <t xml:space="preserve">
570.000 ton gylle = 5000 Nm</t>
        </r>
        <r>
          <rPr>
            <vertAlign val="superscript"/>
            <sz val="9"/>
            <color indexed="81"/>
            <rFont val="Tahoma"/>
            <family val="2"/>
          </rPr>
          <t>3</t>
        </r>
        <r>
          <rPr>
            <sz val="9"/>
            <color indexed="81"/>
            <rFont val="Tahoma"/>
            <family val="2"/>
          </rPr>
          <t xml:space="preserve">/time = 895 TJ/år
</t>
        </r>
      </text>
    </comment>
    <comment ref="P76" authorId="1" shapeId="0" xr:uid="{02B45B7C-BA61-436E-8D07-8C70A852E460}">
      <text>
        <r>
          <rPr>
            <sz val="9"/>
            <color indexed="81"/>
            <rFont val="Tahoma"/>
            <family val="2"/>
          </rPr>
          <t>Det samlede el-optag. Jf. Haldor Topsøe ca. 50% til SOEC elektrolyse og 50% til eSMR.</t>
        </r>
      </text>
    </comment>
    <comment ref="AC77" authorId="1" shapeId="0" xr:uid="{82CB5D2E-2D40-42AC-9BFC-FF5D52D0AF2B}">
      <text>
        <r>
          <rPr>
            <sz val="9"/>
            <color indexed="81"/>
            <rFont val="Tahoma"/>
            <family val="2"/>
          </rPr>
          <t>Enhedsforbrug jf. Bilag 12 til KE20. Indekseret med reduktion pr. køretøj jf. PlanEnergi, på baggrund af KF22.</t>
        </r>
      </text>
    </comment>
    <comment ref="AE108" authorId="2" shapeId="0" xr:uid="{FAB17BAA-48AE-4EFF-B2E5-8A5A53BB45B2}">
      <text>
        <r>
          <rPr>
            <b/>
            <sz val="9"/>
            <color indexed="81"/>
            <rFont val="Tahoma"/>
            <family val="2"/>
          </rPr>
          <t>Energiscreeening Læsøfærgen 2021</t>
        </r>
      </text>
    </comment>
    <comment ref="AB114" authorId="2" shapeId="0" xr:uid="{AEE26898-FDBC-487F-8D60-21A2A936ED71}">
      <text>
        <r>
          <rPr>
            <b/>
            <sz val="9"/>
            <color indexed="81"/>
            <rFont val="Tahoma"/>
            <family val="2"/>
          </rPr>
          <t>henrik_hagbarth_mikkelsen_m.fl._elfaergedrift_med_nyt_konceptdesign_resume_af_feasibilitystudiet_green_ferry_vision_efteraaret_2014</t>
        </r>
      </text>
    </comment>
    <comment ref="AB124" authorId="2" shapeId="0" xr:uid="{EC3ED278-9DE9-4D27-B084-BA0AF3BC79B1}">
      <text>
        <r>
          <rPr>
            <b/>
            <sz val="9"/>
            <color indexed="81"/>
            <rFont val="Tahoma"/>
            <family val="2"/>
          </rPr>
          <t xml:space="preserve">Iflg. Lokalplan Læsø: 16 ha anlæg yder 10.500 Mwh/år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Forfatter</author>
  </authors>
  <commentList>
    <comment ref="U179" authorId="0" shapeId="0" xr:uid="{CD5302BC-1FB2-4FEE-9567-3A2C6C29A41B}">
      <text>
        <r>
          <rPr>
            <b/>
            <sz val="9"/>
            <color indexed="81"/>
            <rFont val="Tahoma"/>
            <family val="2"/>
          </rPr>
          <t>Forfatter:</t>
        </r>
        <r>
          <rPr>
            <sz val="9"/>
            <color indexed="81"/>
            <rFont val="Tahoma"/>
            <family val="2"/>
          </rPr>
          <t xml:space="preserve">
Bilag 2 indeholder CH4 emissioner fra vomgasser </t>
        </r>
      </text>
    </comment>
    <comment ref="U180" authorId="0" shapeId="0" xr:uid="{C183F6D0-B7E8-4F6D-B2AD-5AB032A9F5EE}">
      <text>
        <r>
          <rPr>
            <b/>
            <sz val="9"/>
            <color indexed="81"/>
            <rFont val="Tahoma"/>
            <family val="2"/>
          </rPr>
          <t>Forfatter:</t>
        </r>
        <r>
          <rPr>
            <sz val="9"/>
            <color indexed="81"/>
            <rFont val="Tahoma"/>
            <family val="2"/>
          </rPr>
          <t xml:space="preserve">
Bilag 3 skal indholde både direkte emissioner fra CH4 og lattergas og indirekte emission fra NH3 og Nox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Forfatter</author>
  </authors>
  <commentList>
    <comment ref="U179" authorId="0" shapeId="0" xr:uid="{B625834B-3CCE-4120-BA08-BD0FA9C0D29F}">
      <text>
        <r>
          <rPr>
            <b/>
            <sz val="9"/>
            <color indexed="81"/>
            <rFont val="Tahoma"/>
            <family val="2"/>
          </rPr>
          <t>Forfatter:</t>
        </r>
        <r>
          <rPr>
            <sz val="9"/>
            <color indexed="81"/>
            <rFont val="Tahoma"/>
            <family val="2"/>
          </rPr>
          <t xml:space="preserve">
Bilag 2 indeholder CH4 emissioner fra vomgasser </t>
        </r>
      </text>
    </comment>
    <comment ref="U180" authorId="0" shapeId="0" xr:uid="{64F2E000-4029-4C02-8ECC-C8AAE80E6D4C}">
      <text>
        <r>
          <rPr>
            <b/>
            <sz val="9"/>
            <color indexed="81"/>
            <rFont val="Tahoma"/>
            <family val="2"/>
          </rPr>
          <t>Forfatter:</t>
        </r>
        <r>
          <rPr>
            <sz val="9"/>
            <color indexed="81"/>
            <rFont val="Tahoma"/>
            <family val="2"/>
          </rPr>
          <t xml:space="preserve">
Bilag 3 skal indholde både direkte emissioner fra CH4 og lattergas og indirekte emission fra NH3 og Nox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Kristina Espersen</author>
  </authors>
  <commentList>
    <comment ref="Q14" authorId="0" shapeId="0" xr:uid="{D2C88A0F-CD2A-4188-B4C1-C476F9370EA1}">
      <text>
        <r>
          <rPr>
            <sz val="9"/>
            <color indexed="81"/>
            <rFont val="Tahoma"/>
            <family val="2"/>
          </rPr>
          <t>Talt med ovenfor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Kristina Espersen</author>
  </authors>
  <commentList>
    <comment ref="Q14" authorId="0" shapeId="0" xr:uid="{9B1AD06F-9510-4CC9-B15C-AC81C1F5A762}">
      <text>
        <r>
          <rPr>
            <sz val="9"/>
            <color indexed="81"/>
            <rFont val="Tahoma"/>
            <family val="2"/>
          </rPr>
          <t>Talt med ovenfor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Forfatter</author>
  </authors>
  <commentList>
    <comment ref="H187" authorId="0" shapeId="0" xr:uid="{0F576AF6-2504-458D-9EFA-AE23087AD516}">
      <text>
        <r>
          <rPr>
            <b/>
            <sz val="9"/>
            <color indexed="81"/>
            <rFont val="Tahoma"/>
            <family val="2"/>
          </rPr>
          <t>Forfatter:</t>
        </r>
        <r>
          <rPr>
            <sz val="9"/>
            <color indexed="81"/>
            <rFont val="Tahoma"/>
            <family val="2"/>
          </rPr>
          <t xml:space="preserve">
Bilag 2 indeholder CH4 emissioner fra vomgasser </t>
        </r>
      </text>
    </comment>
    <comment ref="H188" authorId="0" shapeId="0" xr:uid="{1A45DDB7-B6A9-4460-9189-9C25B3CF76FF}">
      <text>
        <r>
          <rPr>
            <b/>
            <sz val="9"/>
            <color indexed="81"/>
            <rFont val="Tahoma"/>
            <family val="2"/>
          </rPr>
          <t>Forfatter:</t>
        </r>
        <r>
          <rPr>
            <sz val="9"/>
            <color indexed="81"/>
            <rFont val="Tahoma"/>
            <family val="2"/>
          </rPr>
          <t xml:space="preserve">
Bilag 3 skal indholde både direkte emissioner fra CH4 og lattergas og indirekte emission fra NH3 og Nox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Forfatter</author>
  </authors>
  <commentList>
    <comment ref="H187" authorId="0" shapeId="0" xr:uid="{F050BB2D-A6E7-453D-9857-2877BFFFF3A4}">
      <text>
        <r>
          <rPr>
            <b/>
            <sz val="9"/>
            <color indexed="81"/>
            <rFont val="Tahoma"/>
            <family val="2"/>
          </rPr>
          <t>Forfatter:</t>
        </r>
        <r>
          <rPr>
            <sz val="9"/>
            <color indexed="81"/>
            <rFont val="Tahoma"/>
            <family val="2"/>
          </rPr>
          <t xml:space="preserve">
Bilag 2 indeholder CH4 emissioner fra vomgasser </t>
        </r>
      </text>
    </comment>
    <comment ref="H188" authorId="0" shapeId="0" xr:uid="{F3DBE832-0085-4DA8-A26D-14626AA50C6F}">
      <text>
        <r>
          <rPr>
            <b/>
            <sz val="9"/>
            <color indexed="81"/>
            <rFont val="Tahoma"/>
            <family val="2"/>
          </rPr>
          <t>Forfatter:</t>
        </r>
        <r>
          <rPr>
            <sz val="9"/>
            <color indexed="81"/>
            <rFont val="Tahoma"/>
            <family val="2"/>
          </rPr>
          <t xml:space="preserve">
Bilag 3 skal indholde både direkte emissioner fra CH4 og lattergas og indirekte emission fra NH3 og Nox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<sst xmlns="http://schemas.openxmlformats.org/spreadsheetml/2006/main" count="86115" uniqueCount="5452">
  <si>
    <t>Brændsel</t>
  </si>
  <si>
    <t>Samlet</t>
  </si>
  <si>
    <t>Elvandvarmer</t>
  </si>
  <si>
    <t>Elradiator</t>
  </si>
  <si>
    <t>Traktorer</t>
  </si>
  <si>
    <t>Skibe</t>
  </si>
  <si>
    <t>tons/indbygger</t>
  </si>
  <si>
    <t>Affaldsforbrændingsanlæg, kedel</t>
  </si>
  <si>
    <t>Tog</t>
  </si>
  <si>
    <t>Fly</t>
  </si>
  <si>
    <t>Elimport</t>
  </si>
  <si>
    <t>Lokalt biomassepotentiale</t>
  </si>
  <si>
    <t>Udnyttelsesprocent af lokalt biomassepotentiale</t>
  </si>
  <si>
    <t>Centrale kraftværker, kedel</t>
  </si>
  <si>
    <t xml:space="preserve">Solcelleanlæg </t>
  </si>
  <si>
    <t>Enheder:</t>
  </si>
  <si>
    <t>TJ, tons</t>
  </si>
  <si>
    <t>Antal indbyggere:</t>
  </si>
  <si>
    <t>%</t>
  </si>
  <si>
    <t>Elnetvirkningsgrad:</t>
  </si>
  <si>
    <t>Anlægstype</t>
  </si>
  <si>
    <t>Fjernvarmenet</t>
  </si>
  <si>
    <t>Elnet</t>
  </si>
  <si>
    <t>Varmepumper, individuel</t>
  </si>
  <si>
    <t xml:space="preserve">Gasoliekedel, erhverv </t>
  </si>
  <si>
    <t xml:space="preserve">Naturgaskedel, erhverv </t>
  </si>
  <si>
    <t>Vindkraftanlæg, land</t>
  </si>
  <si>
    <t>Centrale kraftværker, fjernvarmeproduktion</t>
  </si>
  <si>
    <t>Affaldsforbrændingsanlæg, fjernvarmeproduktion</t>
  </si>
  <si>
    <t>Gaskomfur, proces, m.m.</t>
  </si>
  <si>
    <t xml:space="preserve">Geografisk energibalance for </t>
  </si>
  <si>
    <t xml:space="preserve">  Elimport</t>
  </si>
  <si>
    <t xml:space="preserve">  LPG og petroleum</t>
  </si>
  <si>
    <t xml:space="preserve">  Kul</t>
  </si>
  <si>
    <t xml:space="preserve">  Fuelolie</t>
  </si>
  <si>
    <t xml:space="preserve">  Brændselsolie</t>
  </si>
  <si>
    <t xml:space="preserve">  Dieselolie</t>
  </si>
  <si>
    <t xml:space="preserve">  JP1</t>
  </si>
  <si>
    <t xml:space="preserve">  Benzin</t>
  </si>
  <si>
    <t xml:space="preserve">  Naturgas</t>
  </si>
  <si>
    <t xml:space="preserve">  Vindenergi</t>
  </si>
  <si>
    <t xml:space="preserve">  Vandenergi</t>
  </si>
  <si>
    <t xml:space="preserve">  Solenergi</t>
  </si>
  <si>
    <t xml:space="preserve">  Geotermi</t>
  </si>
  <si>
    <t xml:space="preserve">  Varmekilder til varmepumper</t>
  </si>
  <si>
    <t xml:space="preserve">  Husdyrsgødning</t>
  </si>
  <si>
    <t xml:space="preserve">  Biobrændstof og energiafgrøder</t>
  </si>
  <si>
    <t xml:space="preserve">  Halm</t>
  </si>
  <si>
    <t xml:space="preserve">  Brænde og træflis</t>
  </si>
  <si>
    <t xml:space="preserve">  Træpiller og træaffald</t>
  </si>
  <si>
    <t xml:space="preserve">  Organisk affald, industri</t>
  </si>
  <si>
    <t xml:space="preserve">  Organisk affald, husholdninger</t>
  </si>
  <si>
    <t xml:space="preserve">  Deponi, slam, renseanlæg</t>
  </si>
  <si>
    <t xml:space="preserve">  Affald, ikke bionedbrydeligt</t>
  </si>
  <si>
    <t xml:space="preserve">  Faktisk energiforbrug</t>
  </si>
  <si>
    <t xml:space="preserve">  El</t>
  </si>
  <si>
    <t xml:space="preserve">  Proces</t>
  </si>
  <si>
    <t xml:space="preserve">  Varme</t>
  </si>
  <si>
    <t xml:space="preserve">  Fjernvarmenet</t>
  </si>
  <si>
    <t xml:space="preserve">  Ab værk</t>
  </si>
  <si>
    <t xml:space="preserve">  An forbruger</t>
  </si>
  <si>
    <t>Virkningsgrad</t>
  </si>
  <si>
    <t xml:space="preserve">  Samlet</t>
  </si>
  <si>
    <t xml:space="preserve">  Boliger og fritidshuse</t>
  </si>
  <si>
    <t xml:space="preserve">  Offentlig service</t>
  </si>
  <si>
    <t xml:space="preserve">  Privat service</t>
  </si>
  <si>
    <t xml:space="preserve">  Detail- og engroshandel</t>
  </si>
  <si>
    <t xml:space="preserve">  Bygge- og anlægsvirksomhed</t>
  </si>
  <si>
    <t xml:space="preserve">  Fremstillingsvirksomhed</t>
  </si>
  <si>
    <t xml:space="preserve">  Gartneri</t>
  </si>
  <si>
    <t xml:space="preserve">  Landbrug</t>
  </si>
  <si>
    <t xml:space="preserve">  Transport</t>
  </si>
  <si>
    <t>%)</t>
  </si>
  <si>
    <t xml:space="preserve">  Elimport   (heraf VE-andel:</t>
  </si>
  <si>
    <t>Vindkraftanlæg, kystnære (50 %)</t>
  </si>
  <si>
    <t>Klik for at komme til den ønskede graf:</t>
  </si>
  <si>
    <t>Andel vedvarende energi</t>
  </si>
  <si>
    <t>Bruttoenergiforbrug</t>
  </si>
  <si>
    <t>Bruttoenergiforbrug fordelt på brændsler</t>
  </si>
  <si>
    <t>TJ/år</t>
  </si>
  <si>
    <t>Fossil</t>
  </si>
  <si>
    <t>Elimport (fossilbaseret)</t>
  </si>
  <si>
    <t>Kul</t>
  </si>
  <si>
    <t>Naturgas og LPG</t>
  </si>
  <si>
    <t>Fuelolie</t>
  </si>
  <si>
    <t>Brændselsolie/diesel</t>
  </si>
  <si>
    <t>JP1</t>
  </si>
  <si>
    <t>Benzin</t>
  </si>
  <si>
    <t>Affald, ikke bionedbrydeligt</t>
  </si>
  <si>
    <t>VE</t>
  </si>
  <si>
    <t>Affald, bionedbrydeligt</t>
  </si>
  <si>
    <t>Biomasse</t>
  </si>
  <si>
    <t>Vindenergi</t>
  </si>
  <si>
    <t>Biogas</t>
  </si>
  <si>
    <t>Solenergi</t>
  </si>
  <si>
    <t>Jordvarme, geotermi, vandkraft mm.</t>
  </si>
  <si>
    <t>Elimport (VE-baseret)</t>
  </si>
  <si>
    <t>I alt</t>
  </si>
  <si>
    <t>I alt fossil</t>
  </si>
  <si>
    <t>I alt VE</t>
  </si>
  <si>
    <t>Bruttoenergiforbrug opdelt på brændsler for basisår</t>
  </si>
  <si>
    <t>Bruttoenergiforbrug opdelt på vedvarende energi og fossile brændsler for basisår</t>
  </si>
  <si>
    <t>Bruttoenergiforbrug opdelt på vedvarende energi og fossile brændsler</t>
  </si>
  <si>
    <t xml:space="preserve">Vedvarende energi fordelt på ressourcetyper </t>
  </si>
  <si>
    <t>Vedvarende energi opdelt på ressourcetyper for basisår</t>
  </si>
  <si>
    <t>Bruttoenergiforbrug fordelt på omsætningsenheder</t>
  </si>
  <si>
    <t>Individuel opvarmning</t>
  </si>
  <si>
    <t>Kollektiv el- og varmeforsyning</t>
  </si>
  <si>
    <t>Industri</t>
  </si>
  <si>
    <t>Transport</t>
  </si>
  <si>
    <t>El-import</t>
  </si>
  <si>
    <t xml:space="preserve">Brændselsforbrug fordelt på omsætningsenheder </t>
  </si>
  <si>
    <t>Brændselsforbrug opdelt på omsætningsenheder for basisår</t>
  </si>
  <si>
    <t>Bruttoenergiforbrug fordelt på omsætningsenheder for vedvarende energi og fossile brændsler</t>
  </si>
  <si>
    <t xml:space="preserve">Brug af vedvarende energi opdelt på omsætningsenheder </t>
  </si>
  <si>
    <t>Brug af vedvarende energi opdelt på omsætningsenheder for basisår</t>
  </si>
  <si>
    <t>Bruttoenenergiforbrug til transport</t>
  </si>
  <si>
    <t>Bruttoenenergiforbrug til transport fordelt på transportform</t>
  </si>
  <si>
    <t>Bruttoenenergiforbrug til transport opdelt på transportform for basisår</t>
  </si>
  <si>
    <r>
      <t>CO</t>
    </r>
    <r>
      <rPr>
        <b/>
        <vertAlign val="subscript"/>
        <sz val="18"/>
        <rFont val="Arial"/>
        <family val="2"/>
      </rPr>
      <t>2</t>
    </r>
    <r>
      <rPr>
        <b/>
        <sz val="18"/>
        <rFont val="Arial"/>
        <family val="2"/>
      </rPr>
      <t>-udledning</t>
    </r>
  </si>
  <si>
    <r>
      <t>CO</t>
    </r>
    <r>
      <rPr>
        <b/>
        <vertAlign val="subscript"/>
        <sz val="10"/>
        <rFont val="Arial"/>
        <family val="2"/>
      </rPr>
      <t>2</t>
    </r>
    <r>
      <rPr>
        <b/>
        <sz val="10"/>
        <rFont val="Arial"/>
        <family val="2"/>
      </rPr>
      <t>-udledning fordelt på brændsler</t>
    </r>
  </si>
  <si>
    <t>FOSSIL</t>
  </si>
  <si>
    <r>
      <t>CO</t>
    </r>
    <r>
      <rPr>
        <b/>
        <vertAlign val="subscript"/>
        <sz val="10"/>
        <rFont val="Arial"/>
        <family val="2"/>
      </rPr>
      <t>2</t>
    </r>
    <r>
      <rPr>
        <b/>
        <sz val="10"/>
        <rFont val="Arial"/>
        <family val="2"/>
      </rPr>
      <t>-udledning opdelt på brændsler for basisår</t>
    </r>
  </si>
  <si>
    <r>
      <t>CO</t>
    </r>
    <r>
      <rPr>
        <b/>
        <vertAlign val="subscript"/>
        <sz val="10"/>
        <rFont val="Arial"/>
        <family val="2"/>
      </rPr>
      <t>2</t>
    </r>
    <r>
      <rPr>
        <b/>
        <sz val="10"/>
        <rFont val="Arial"/>
        <family val="2"/>
      </rPr>
      <t xml:space="preserve">-udledning fordelt på omsætningsenheder </t>
    </r>
  </si>
  <si>
    <r>
      <t>CO</t>
    </r>
    <r>
      <rPr>
        <b/>
        <vertAlign val="subscript"/>
        <sz val="10"/>
        <rFont val="Arial"/>
        <family val="2"/>
      </rPr>
      <t>2</t>
    </r>
    <r>
      <rPr>
        <b/>
        <sz val="10"/>
        <rFont val="Arial"/>
        <family val="2"/>
      </rPr>
      <t>-udledning fordelt på omsætningsenheder for basisår</t>
    </r>
  </si>
  <si>
    <t>Boliger og fritidshuse</t>
  </si>
  <si>
    <t>Offentlig service</t>
  </si>
  <si>
    <t>Privat service</t>
  </si>
  <si>
    <t>Detail- og engroshandel</t>
  </si>
  <si>
    <t>Bygge- og anlægsvirksomhed</t>
  </si>
  <si>
    <t>Fremstillingsvirksomhed</t>
  </si>
  <si>
    <t>Gartneri</t>
  </si>
  <si>
    <t>Landbrug</t>
  </si>
  <si>
    <t>El</t>
  </si>
  <si>
    <t>Biobrændstof</t>
  </si>
  <si>
    <t>Fjernvarme</t>
  </si>
  <si>
    <t>Solenergi og jordvarme</t>
  </si>
  <si>
    <t>Naturgasfyr</t>
  </si>
  <si>
    <t>Oliefyr</t>
  </si>
  <si>
    <t>Træpille- og stokerfyr</t>
  </si>
  <si>
    <t>Brændekedel og -ovn</t>
  </si>
  <si>
    <t>Halmfyr</t>
  </si>
  <si>
    <t>Elvarme</t>
  </si>
  <si>
    <t>Individuelle varmepumper</t>
  </si>
  <si>
    <t>Individuel solvarme</t>
  </si>
  <si>
    <t>Elbalance</t>
  </si>
  <si>
    <t>Produktion</t>
  </si>
  <si>
    <t>Forbrug</t>
  </si>
  <si>
    <t>Elforbrug</t>
  </si>
  <si>
    <t>Nettab</t>
  </si>
  <si>
    <t>Elforbrug til fjernvarmeprod.</t>
  </si>
  <si>
    <t>Kraftvarme</t>
  </si>
  <si>
    <t>Vindkraft, land</t>
  </si>
  <si>
    <t>Solcelleanlæg, vandkraft mv.</t>
  </si>
  <si>
    <t>Naturgas</t>
  </si>
  <si>
    <t>Vandenergi mv.</t>
  </si>
  <si>
    <t>Fjernvarmebalance</t>
  </si>
  <si>
    <t>TJ</t>
  </si>
  <si>
    <t>Kedel</t>
  </si>
  <si>
    <t>Varmepumper og elpatroner</t>
  </si>
  <si>
    <t>Solvarme</t>
  </si>
  <si>
    <t>El (varmepumper, elpatroner)</t>
  </si>
  <si>
    <t>Vindkraft mm.</t>
  </si>
  <si>
    <t>% VE (Global)</t>
  </si>
  <si>
    <t>% VE (Lokal)</t>
  </si>
  <si>
    <t>Procesvarme fra KV-produktion</t>
  </si>
  <si>
    <t>Egetforbrug af varme, industri</t>
  </si>
  <si>
    <t>Centrale kraftværker, varmepumpe</t>
  </si>
  <si>
    <t>Centrale kraftværker, elpatron</t>
  </si>
  <si>
    <t>Biogasanlæg, motor</t>
  </si>
  <si>
    <t>Biogasanlæg, opgradering</t>
  </si>
  <si>
    <t>Overskudsvarme</t>
  </si>
  <si>
    <t>Geotermi</t>
  </si>
  <si>
    <t>Vindkraft, kystnære</t>
  </si>
  <si>
    <t>CO2-emission (tons/TJ)</t>
  </si>
  <si>
    <t xml:space="preserve">  Brint</t>
  </si>
  <si>
    <t xml:space="preserve">  Metanol</t>
  </si>
  <si>
    <t xml:space="preserve">  Ammoniak</t>
  </si>
  <si>
    <t>Klassisk el-forbrug (belysning, apparater mv.)</t>
  </si>
  <si>
    <t>Centrale kraftværker, kraftvarme</t>
  </si>
  <si>
    <t>Affaldsforbrændingsanlæg, kraftvarme</t>
  </si>
  <si>
    <t>Fjernvarme- og KV-værker, kraftvarme</t>
  </si>
  <si>
    <t>Tværkommunal fjernvarme, kraftvarme</t>
  </si>
  <si>
    <t>Tværkommunal fjernvarme, kedel</t>
  </si>
  <si>
    <t>Tværkommunal fjernvarme, varmepumpe</t>
  </si>
  <si>
    <t>Tværkommunal fjernvarme, elpatron</t>
  </si>
  <si>
    <t>Tværkommunal fjernvarme, solvarme</t>
  </si>
  <si>
    <t>Tværkommunal fjernvarme, geotermi</t>
  </si>
  <si>
    <t>Tværkommunal fjernvarme, overskudsvarme</t>
  </si>
  <si>
    <t>Tværkommunal fjernvarme, fjernvarmeproduktion</t>
  </si>
  <si>
    <t>Industrielle anlæg, kraftvarme</t>
  </si>
  <si>
    <t>Industrielle anlæg, kedel</t>
  </si>
  <si>
    <t>Industrielle anlæg, overskudsvarme</t>
  </si>
  <si>
    <t>Industrielle anlæg, eget forbrug af el ved kraftvarme</t>
  </si>
  <si>
    <t>Industrielle anlæg, PtX - elektrolyse (brint)</t>
  </si>
  <si>
    <t>Industrielle anlæg, PtX - metanol</t>
  </si>
  <si>
    <t>Industrielle anlæg, PtX - ammoniak</t>
  </si>
  <si>
    <t>Industrielle anlæg, fjernvarmeproduktion</t>
  </si>
  <si>
    <t>Person-/varebiler, mm., benzin</t>
  </si>
  <si>
    <t>Person-/varebiler, mm., diesel</t>
  </si>
  <si>
    <t>Busser, diesel</t>
  </si>
  <si>
    <t>Lastbiler, diesel</t>
  </si>
  <si>
    <t>Traktorer/entreprenørmaskiner, diesel</t>
  </si>
  <si>
    <t>Fjernvarme- og KV-værker, kedel</t>
  </si>
  <si>
    <t>Fjernvarme- og KV-værker, varmepumpe</t>
  </si>
  <si>
    <t>Fjernvarme- og KV-værker, elpatron</t>
  </si>
  <si>
    <t>Fjernvarme- og KV-værker, solvarme</t>
  </si>
  <si>
    <t>Fjernvarme- og KV-værker, geotermi</t>
  </si>
  <si>
    <t>Fjernvarme- og KV-værker, fjernvarmeproduktion</t>
  </si>
  <si>
    <t>Individuel opvarmning: Gasoliekedel</t>
  </si>
  <si>
    <t>Individuel opvarmning: Naturgaskedel</t>
  </si>
  <si>
    <t>Individuel opvarmning: Træpillekedel</t>
  </si>
  <si>
    <t>Individuel opvarmning: Brændekedel og -ovn</t>
  </si>
  <si>
    <t>Individuel opvarmning: Halmfyr</t>
  </si>
  <si>
    <t>Individuel opvarmning: Solvarmeanlæg</t>
  </si>
  <si>
    <t>Person- og varebiler, 
diesel, gas</t>
  </si>
  <si>
    <t>Anden VE</t>
  </si>
  <si>
    <t>Biomasse og biogas</t>
  </si>
  <si>
    <t>kr.</t>
  </si>
  <si>
    <t>Planteavl</t>
  </si>
  <si>
    <t xml:space="preserve">Planteavl </t>
  </si>
  <si>
    <t>Dyrehold</t>
  </si>
  <si>
    <t>Industrielle processer</t>
  </si>
  <si>
    <t>Arealanvendelse</t>
  </si>
  <si>
    <t xml:space="preserve">Reduktionsbehov i 2030 for at opnå 70 % reduktion af emissioner </t>
  </si>
  <si>
    <t>Affald, spildevand og tilfældige brande</t>
  </si>
  <si>
    <t>ton</t>
  </si>
  <si>
    <t>Affald og spildevand</t>
  </si>
  <si>
    <t>Total</t>
  </si>
  <si>
    <t>Reduktion pr. indbygger for at nå 70 %</t>
  </si>
  <si>
    <t>Vomgasser fra dyr</t>
  </si>
  <si>
    <t>Husdyrgødning i stald**</t>
  </si>
  <si>
    <t xml:space="preserve">Organiske jorde (humus jord) </t>
  </si>
  <si>
    <t>Fordampning</t>
  </si>
  <si>
    <t>Nitrogen udvaskning</t>
  </si>
  <si>
    <t>Mineralisering</t>
  </si>
  <si>
    <t>Afgrøderester*</t>
  </si>
  <si>
    <t>Handelsgødning</t>
  </si>
  <si>
    <t>Organsikgødning</t>
  </si>
  <si>
    <t>Gødning fra græssende dyr</t>
  </si>
  <si>
    <t>Kalk forbrug (inkl. Urea og Calcium)</t>
  </si>
  <si>
    <t>* Inklusiv fjernet halm</t>
  </si>
  <si>
    <t xml:space="preserve">** Reduceret med gylle til biogas og ammoniakreducerende staldteknologi </t>
  </si>
  <si>
    <t>Skov</t>
  </si>
  <si>
    <t>Landbrugsjord</t>
  </si>
  <si>
    <t>Permanentgræs</t>
  </si>
  <si>
    <t xml:space="preserve">Vådområde (periodisk oversvømmet) </t>
  </si>
  <si>
    <t xml:space="preserve">Vådområde  (sø, å, mv.) </t>
  </si>
  <si>
    <t xml:space="preserve">Bebyggelse </t>
  </si>
  <si>
    <t>Øvrigt areal</t>
  </si>
  <si>
    <r>
      <t>CO</t>
    </r>
    <r>
      <rPr>
        <b/>
        <vertAlign val="subscript"/>
        <sz val="11"/>
        <color theme="1"/>
        <rFont val="Arial"/>
        <family val="2"/>
      </rPr>
      <t>2</t>
    </r>
  </si>
  <si>
    <r>
      <t>CH</t>
    </r>
    <r>
      <rPr>
        <b/>
        <vertAlign val="subscript"/>
        <sz val="11"/>
        <color theme="1"/>
        <rFont val="Arial"/>
        <family val="2"/>
      </rPr>
      <t>4</t>
    </r>
  </si>
  <si>
    <r>
      <t>N</t>
    </r>
    <r>
      <rPr>
        <b/>
        <vertAlign val="subscript"/>
        <sz val="11"/>
        <color theme="1"/>
        <rFont val="Arial"/>
        <family val="2"/>
      </rPr>
      <t>2</t>
    </r>
    <r>
      <rPr>
        <b/>
        <sz val="11"/>
        <color theme="1"/>
        <rFont val="Arial"/>
        <family val="2"/>
      </rPr>
      <t>O</t>
    </r>
  </si>
  <si>
    <t xml:space="preserve">Drænet organisk jord (skov, landbrug, vedvarende græs) </t>
  </si>
  <si>
    <t>Permanent græs</t>
  </si>
  <si>
    <t xml:space="preserve">Genoversvømmet areal (landbrug, vedvarende græs) </t>
  </si>
  <si>
    <t>Periodisk oversvømmet vådområder</t>
  </si>
  <si>
    <t>Delvisoversvømmet areal</t>
  </si>
  <si>
    <t>Omlægning til Skov (Skovrejsning)</t>
  </si>
  <si>
    <t>NO</t>
  </si>
  <si>
    <t>Afbrænding af hedeareal</t>
  </si>
  <si>
    <t xml:space="preserve">Omlægning til landbrugsjord </t>
  </si>
  <si>
    <t>Omlægning til permanent græs</t>
  </si>
  <si>
    <t>Omlægning til periodisk oversvømmet områder</t>
  </si>
  <si>
    <t>Omlægning til bebyggelse</t>
  </si>
  <si>
    <t>Vomgasser</t>
  </si>
  <si>
    <t xml:space="preserve">Lattergas fra staldsystemer </t>
  </si>
  <si>
    <t>Metan fra staldsystemer</t>
  </si>
  <si>
    <t>Kvæggylle til biogas (reduktion)</t>
  </si>
  <si>
    <t xml:space="preserve">Svinegylle til biogas (reduktion) </t>
  </si>
  <si>
    <t xml:space="preserve"> </t>
  </si>
  <si>
    <t xml:space="preserve">Bemærk: at metanreduktion ved staldteknologier som hurtig udslusning og gyllekøling ikke figurerer her. </t>
  </si>
  <si>
    <t>Vinterhvede</t>
  </si>
  <si>
    <t>Rug</t>
  </si>
  <si>
    <t>Vinterbyg</t>
  </si>
  <si>
    <t>Vårbyg</t>
  </si>
  <si>
    <t>Havre</t>
  </si>
  <si>
    <t>Triticale oa korn til modenhed</t>
  </si>
  <si>
    <t>Majs til opfodring</t>
  </si>
  <si>
    <t>Kartofler</t>
  </si>
  <si>
    <t>Lucerne</t>
  </si>
  <si>
    <t>Bælgsæd til modenhed</t>
  </si>
  <si>
    <t>Sukkerroer, foderroer oa rodfrugt</t>
  </si>
  <si>
    <t>Korn og bælgsæd til ensilering (helsæd)</t>
  </si>
  <si>
    <t>Græs- og kløvermark i omdriften + Frø til udsæd</t>
  </si>
  <si>
    <t>Græs uden for omdrift</t>
  </si>
  <si>
    <t>Raps, hør, hamp oa industrifrø</t>
  </si>
  <si>
    <t>Total uden græs</t>
  </si>
  <si>
    <t xml:space="preserve">Planteavl emission </t>
  </si>
  <si>
    <t>Afgrøderester</t>
  </si>
  <si>
    <t>Efter- og mellemafgrøder</t>
  </si>
  <si>
    <t>Organisk jorde (humus, jord)</t>
  </si>
  <si>
    <t xml:space="preserve">Halm fjernet fra mark </t>
  </si>
  <si>
    <t>Jord, Mineralisering</t>
  </si>
  <si>
    <t>Gødningstildeling, handelsgødning</t>
  </si>
  <si>
    <t>Gødningstildeling, organsik gødning</t>
  </si>
  <si>
    <t>Gødningstildeling, dyr på græs</t>
  </si>
  <si>
    <t>Udvaskning</t>
  </si>
  <si>
    <t xml:space="preserve">Urea (CH₄N₂O) </t>
  </si>
  <si>
    <t>Mineralsk industri</t>
  </si>
  <si>
    <t xml:space="preserve">Kemisk industri </t>
  </si>
  <si>
    <t>Metalindustri</t>
  </si>
  <si>
    <t xml:space="preserve">Brug af brændstof og opløsningsmiddel (ej energirelateret) </t>
  </si>
  <si>
    <t xml:space="preserve">Elektronikindustri </t>
  </si>
  <si>
    <t xml:space="preserve">Ozon-erstattende produkter </t>
  </si>
  <si>
    <t xml:space="preserve">Anden produktfremstilling og anvendelse </t>
  </si>
  <si>
    <t>Total fra industrielle processer</t>
  </si>
  <si>
    <t>F-gasser</t>
  </si>
  <si>
    <t>Forbrænding af affald</t>
  </si>
  <si>
    <t>Biologisk behandling af fast affald</t>
  </si>
  <si>
    <t>Bortskaffelse af fast affald</t>
  </si>
  <si>
    <t>Spildevand</t>
  </si>
  <si>
    <t>Brande</t>
  </si>
  <si>
    <t>Affald</t>
  </si>
  <si>
    <t>Tilfældige brande</t>
  </si>
  <si>
    <t>AR5</t>
  </si>
  <si>
    <t xml:space="preserve">Dinitrogenoxid </t>
  </si>
  <si>
    <t>AR4</t>
  </si>
  <si>
    <t xml:space="preserve">Vælg IPCC-vurderingsrapport: </t>
  </si>
  <si>
    <t>Metan</t>
  </si>
  <si>
    <t xml:space="preserve">År </t>
  </si>
  <si>
    <t xml:space="preserve">Enhed: </t>
  </si>
  <si>
    <t>Årsdyr</t>
  </si>
  <si>
    <t>Gylle</t>
  </si>
  <si>
    <r>
      <t>NH</t>
    </r>
    <r>
      <rPr>
        <vertAlign val="subscript"/>
        <sz val="10"/>
        <rFont val="Arial"/>
        <family val="2"/>
      </rPr>
      <t>3</t>
    </r>
    <r>
      <rPr>
        <sz val="10"/>
        <rFont val="Arial"/>
        <family val="2"/>
      </rPr>
      <t>-N</t>
    </r>
  </si>
  <si>
    <t xml:space="preserve">Geografisk klimaregnskab for landbrug og anden arealanvendelse </t>
  </si>
  <si>
    <t>(ton gylle)</t>
  </si>
  <si>
    <t>Aktivitet</t>
  </si>
  <si>
    <t>Emissioner (ton)</t>
  </si>
  <si>
    <t>Ammekøer</t>
  </si>
  <si>
    <t>Avlstyr</t>
  </si>
  <si>
    <t>Fjerkræ</t>
  </si>
  <si>
    <t>FRATS-Svin</t>
  </si>
  <si>
    <t>Geder / får</t>
  </si>
  <si>
    <t>Heste</t>
  </si>
  <si>
    <t>Hjortdyr</t>
  </si>
  <si>
    <t>Kvier</t>
  </si>
  <si>
    <t>Pelsdyr</t>
  </si>
  <si>
    <t>Sl. Svin</t>
  </si>
  <si>
    <t>Smågrise</t>
  </si>
  <si>
    <t>Småkalve</t>
  </si>
  <si>
    <t>Årsko, Malkekvæg</t>
  </si>
  <si>
    <t>Årsso</t>
  </si>
  <si>
    <t>Mængde til biogas</t>
  </si>
  <si>
    <t>Lattergasreducerende teknologi</t>
  </si>
  <si>
    <r>
      <t>CO</t>
    </r>
    <r>
      <rPr>
        <vertAlign val="subscript"/>
        <sz val="10"/>
        <rFont val="Arial"/>
        <family val="2"/>
      </rPr>
      <t>2</t>
    </r>
  </si>
  <si>
    <r>
      <t>CH</t>
    </r>
    <r>
      <rPr>
        <vertAlign val="subscript"/>
        <sz val="10"/>
        <rFont val="Arial"/>
        <family val="2"/>
      </rPr>
      <t>4</t>
    </r>
    <r>
      <rPr>
        <sz val="10"/>
        <rFont val="Arial"/>
        <family val="2"/>
      </rPr>
      <t xml:space="preserve"> (emission)</t>
    </r>
  </si>
  <si>
    <r>
      <t>N</t>
    </r>
    <r>
      <rPr>
        <vertAlign val="subscript"/>
        <sz val="10"/>
        <rFont val="Arial"/>
        <family val="2"/>
      </rPr>
      <t>2</t>
    </r>
    <r>
      <rPr>
        <sz val="10"/>
        <rFont val="Arial"/>
        <family val="2"/>
      </rPr>
      <t>O (emission)</t>
    </r>
  </si>
  <si>
    <r>
      <t>CO</t>
    </r>
    <r>
      <rPr>
        <vertAlign val="subscript"/>
        <sz val="10"/>
        <rFont val="Arial"/>
        <family val="2"/>
      </rPr>
      <t>2</t>
    </r>
    <r>
      <rPr>
        <sz val="10"/>
        <rFont val="Arial"/>
        <family val="2"/>
      </rPr>
      <t xml:space="preserve"> -ækv. pr. dyr </t>
    </r>
  </si>
  <si>
    <r>
      <t>CO</t>
    </r>
    <r>
      <rPr>
        <vertAlign val="subscript"/>
        <sz val="10"/>
        <rFont val="Arial"/>
        <family val="2"/>
      </rPr>
      <t>2</t>
    </r>
    <r>
      <rPr>
        <sz val="10"/>
        <rFont val="Arial"/>
        <family val="2"/>
      </rPr>
      <t xml:space="preserve">-ækv. total </t>
    </r>
  </si>
  <si>
    <t>Dybstrøelse</t>
  </si>
  <si>
    <t>Friland</t>
  </si>
  <si>
    <t>Løsdrift / boks</t>
  </si>
  <si>
    <t>Løsdrift / spalter</t>
  </si>
  <si>
    <t>Sengestald</t>
  </si>
  <si>
    <t xml:space="preserve">Økologisk </t>
  </si>
  <si>
    <t xml:space="preserve">Økologisk dyrehold </t>
  </si>
  <si>
    <t xml:space="preserve">Fordøjelse </t>
  </si>
  <si>
    <t xml:space="preserve">Gødningstype ajle </t>
  </si>
  <si>
    <t xml:space="preserve">Gødningstype gylle </t>
  </si>
  <si>
    <t xml:space="preserve">Gødningstype dybstrøelse </t>
  </si>
  <si>
    <t xml:space="preserve">Gødningsleverance til biogasanlæg  </t>
  </si>
  <si>
    <t>År</t>
  </si>
  <si>
    <t xml:space="preserve">Enhed : </t>
  </si>
  <si>
    <t>Ha</t>
  </si>
  <si>
    <t>(ha)</t>
  </si>
  <si>
    <t>(ton C)</t>
  </si>
  <si>
    <t>Sukkerroer, foderroer o.a. rodfrugt</t>
  </si>
  <si>
    <t>Græs- og kløvermark i omdriften &amp; frø til udsæd</t>
  </si>
  <si>
    <t xml:space="preserve">Trækulturer  </t>
  </si>
  <si>
    <t xml:space="preserve">Energiskov (inkluderes i skovdefinition undtagen energipil) </t>
  </si>
  <si>
    <t xml:space="preserve">Vådområder inkl. Minivådområder </t>
  </si>
  <si>
    <t>Frugt og bær,grøntsager friland</t>
  </si>
  <si>
    <t>Øvrige</t>
  </si>
  <si>
    <t>Bjerget halm</t>
  </si>
  <si>
    <t>Total mængde N gødning</t>
  </si>
  <si>
    <t>Total mængde kulstofholdig gødning</t>
  </si>
  <si>
    <r>
      <t>CO</t>
    </r>
    <r>
      <rPr>
        <vertAlign val="subscript"/>
        <sz val="10"/>
        <rFont val="Arial"/>
        <family val="2"/>
      </rPr>
      <t xml:space="preserve">2 </t>
    </r>
    <r>
      <rPr>
        <sz val="10"/>
        <rFont val="Arial"/>
        <family val="2"/>
      </rPr>
      <t>(emission)</t>
    </r>
  </si>
  <si>
    <t>Planteavl (arealer)</t>
  </si>
  <si>
    <t xml:space="preserve">Organisk jorde (humus, jord) (N) </t>
  </si>
  <si>
    <t>Halm fjernet fra mark (ton)</t>
  </si>
  <si>
    <t>Jord, Mineralisering (N)</t>
  </si>
  <si>
    <t>Gødningstildeling, handelsgødning (N)</t>
  </si>
  <si>
    <t>Gødningstildeling, organisk gødning (N)</t>
  </si>
  <si>
    <t>Gødningstildeling, dyr på græs (N)</t>
  </si>
  <si>
    <t>Fordampning (N)</t>
  </si>
  <si>
    <t>Udvaskning (N)</t>
  </si>
  <si>
    <r>
      <t>Kalkning  (CaCO</t>
    </r>
    <r>
      <rPr>
        <vertAlign val="subscript"/>
        <sz val="10"/>
        <rFont val="Arial"/>
        <family val="2"/>
      </rPr>
      <t>3</t>
    </r>
    <r>
      <rPr>
        <sz val="10"/>
        <rFont val="Arial"/>
        <family val="2"/>
      </rPr>
      <t>)</t>
    </r>
  </si>
  <si>
    <r>
      <t>Calcium ammonium nitrat Ca(NO</t>
    </r>
    <r>
      <rPr>
        <vertAlign val="subscript"/>
        <sz val="10"/>
        <rFont val="Arial"/>
        <family val="2"/>
      </rPr>
      <t>3</t>
    </r>
    <r>
      <rPr>
        <sz val="10"/>
        <rFont val="Arial"/>
        <family val="2"/>
      </rPr>
      <t>)</t>
    </r>
    <r>
      <rPr>
        <vertAlign val="subscript"/>
        <sz val="10"/>
        <rFont val="Arial"/>
        <family val="2"/>
      </rPr>
      <t>2</t>
    </r>
    <r>
      <rPr>
        <sz val="10"/>
        <rFont val="Arial"/>
        <family val="2"/>
      </rPr>
      <t xml:space="preserve"> </t>
    </r>
  </si>
  <si>
    <r>
      <t>Note 1: Beregning af ændret CO</t>
    </r>
    <r>
      <rPr>
        <i/>
        <vertAlign val="subscript"/>
        <sz val="11"/>
        <color theme="1"/>
        <rFont val="Arial"/>
        <family val="2"/>
      </rPr>
      <t>2</t>
    </r>
    <r>
      <rPr>
        <i/>
        <sz val="11"/>
        <color theme="1"/>
        <rFont val="Arial"/>
        <family val="2"/>
      </rPr>
      <t xml:space="preserve">-ækv. emission ved ændret drift af planteavl kan foretages direkte i regnskabet  </t>
    </r>
  </si>
  <si>
    <t>Ændringer i areal samt høstet træ</t>
  </si>
  <si>
    <t>Enhed :</t>
  </si>
  <si>
    <t>ha</t>
  </si>
  <si>
    <r>
      <t>m</t>
    </r>
    <r>
      <rPr>
        <vertAlign val="superscript"/>
        <sz val="11"/>
        <rFont val="Arial"/>
        <family val="2"/>
      </rPr>
      <t>3</t>
    </r>
  </si>
  <si>
    <r>
      <t>(m</t>
    </r>
    <r>
      <rPr>
        <i/>
        <vertAlign val="superscript"/>
        <sz val="11"/>
        <color theme="1"/>
        <rFont val="Arial"/>
        <family val="2"/>
      </rPr>
      <t>3</t>
    </r>
    <r>
      <rPr>
        <i/>
        <sz val="11"/>
        <color theme="1"/>
        <rFont val="Arial"/>
        <family val="2"/>
      </rPr>
      <t>)</t>
    </r>
  </si>
  <si>
    <t xml:space="preserve">Landbrugsjord </t>
  </si>
  <si>
    <t>C (lager/-emission)</t>
  </si>
  <si>
    <r>
      <t>CO</t>
    </r>
    <r>
      <rPr>
        <vertAlign val="subscript"/>
        <sz val="10"/>
        <rFont val="Arial"/>
        <family val="2"/>
      </rPr>
      <t>2</t>
    </r>
    <r>
      <rPr>
        <sz val="10"/>
        <rFont val="Arial"/>
        <family val="2"/>
      </rPr>
      <t>-ækv. total</t>
    </r>
  </si>
  <si>
    <t xml:space="preserve">Blivende skov &gt;30 år (&gt;28 år) </t>
  </si>
  <si>
    <t xml:space="preserve">Blivende landbrugsjord  &gt;20 år (&gt;13 år) </t>
  </si>
  <si>
    <t xml:space="preserve">Blivende 'permanent' græs  &gt;20 år (&gt;13 år) </t>
  </si>
  <si>
    <t xml:space="preserve">Blivende vådområde (tørvegravning)  &gt;20 år (&gt;13 år) </t>
  </si>
  <si>
    <t xml:space="preserve">Blivende sø, å, mv.  &gt;20 år (&gt;13 år) </t>
  </si>
  <si>
    <t xml:space="preserve">Blivende bebyggelse   &gt;20 år (&gt;13 år) </t>
  </si>
  <si>
    <t xml:space="preserve">Blivende 'øvrigt' areal  &gt;20 år (&gt;13 år) </t>
  </si>
  <si>
    <t xml:space="preserve">Mineralisering ved blivende areal </t>
  </si>
  <si>
    <t xml:space="preserve">Skovrejsning &lt; 30 år (&lt; 28år) </t>
  </si>
  <si>
    <t>Omlægning til landbrugsjord &lt; 20år (&lt;13år)</t>
  </si>
  <si>
    <t>Omlægning til 'permanent' græs &lt; 20år (&lt;13år)</t>
  </si>
  <si>
    <t>Omlægning til vådområde (periodisk oversvømmet) &lt; 20år (&lt;13år)</t>
  </si>
  <si>
    <t>Omlægning til sø , genslyngning å, mv &lt; 20år (&lt;13år)</t>
  </si>
  <si>
    <t>Omlægning til bebyggelse &lt; 20år (&lt;13år)</t>
  </si>
  <si>
    <t>Omlægning til 'øvrigt' areal &lt; 20år (&lt;13år)</t>
  </si>
  <si>
    <t>Mineralisering ved omlægning til landbrugsjord</t>
  </si>
  <si>
    <t>Mineralisering ved omlægning til permanent græs</t>
  </si>
  <si>
    <t>Mineralisering ved omlægning til bebyggelse</t>
  </si>
  <si>
    <t>Dræning af organisk jord 6-12% OC</t>
  </si>
  <si>
    <t>Dræning af organisk jord 12-100% OC</t>
  </si>
  <si>
    <t>Genoversvømning 6 - 12% OC</t>
  </si>
  <si>
    <t xml:space="preserve">Tørvegravning </t>
  </si>
  <si>
    <t xml:space="preserve">Periodisk oversvømmet vådområde </t>
  </si>
  <si>
    <t xml:space="preserve">Naturbrand </t>
  </si>
  <si>
    <t xml:space="preserve">Kontrolleret afbrænding af hede areal </t>
  </si>
  <si>
    <t>Brug af høstede træprodukter</t>
  </si>
  <si>
    <t>Savtræ i brug</t>
  </si>
  <si>
    <t>træpaneler i brug</t>
  </si>
  <si>
    <t>papir og pap i brug</t>
  </si>
  <si>
    <t>Samlet emission udledning/lager</t>
  </si>
  <si>
    <t xml:space="preserve">Enhed </t>
  </si>
  <si>
    <t xml:space="preserve">Geografisk klimaregnskab for industrielle processer og produktanvendelse </t>
  </si>
  <si>
    <t>Industriproduktion (ton)</t>
  </si>
  <si>
    <t xml:space="preserve">Mineralsk industri </t>
  </si>
  <si>
    <r>
      <t>CH</t>
    </r>
    <r>
      <rPr>
        <vertAlign val="subscript"/>
        <sz val="10"/>
        <rFont val="Arial"/>
        <family val="2"/>
      </rPr>
      <t>4</t>
    </r>
    <r>
      <rPr>
        <sz val="10"/>
        <rFont val="Arial"/>
        <family val="2"/>
      </rPr>
      <t xml:space="preserve"> </t>
    </r>
  </si>
  <si>
    <r>
      <t>N</t>
    </r>
    <r>
      <rPr>
        <vertAlign val="subscript"/>
        <sz val="10"/>
        <rFont val="Arial"/>
        <family val="2"/>
      </rPr>
      <t>2</t>
    </r>
    <r>
      <rPr>
        <sz val="10"/>
        <rFont val="Arial"/>
        <family val="2"/>
      </rPr>
      <t xml:space="preserve">O </t>
    </r>
  </si>
  <si>
    <r>
      <t>F-gasser (HFC, PFC) - 
CO</t>
    </r>
    <r>
      <rPr>
        <vertAlign val="subscript"/>
        <sz val="10"/>
        <rFont val="Arial"/>
        <family val="2"/>
      </rPr>
      <t>2</t>
    </r>
    <r>
      <rPr>
        <sz val="10"/>
        <rFont val="Arial"/>
        <family val="2"/>
      </rPr>
      <t>-ækv.</t>
    </r>
  </si>
  <si>
    <t xml:space="preserve">Kalkproduktion </t>
  </si>
  <si>
    <t xml:space="preserve">Glasproduktion </t>
  </si>
  <si>
    <t xml:space="preserve">Anden anvendelse af sodaaske  </t>
  </si>
  <si>
    <t xml:space="preserve">Våd røggasrensning </t>
  </si>
  <si>
    <t xml:space="preserve">Stenuldsproduktion </t>
  </si>
  <si>
    <t>Fremstillilng af ikke meltalholdige produkter</t>
  </si>
  <si>
    <t>Anden råstofindvending</t>
  </si>
  <si>
    <t xml:space="preserve">Produktion af katalysatorer og nitrat gødning </t>
  </si>
  <si>
    <t>Produktion af kemiske ingredienser</t>
  </si>
  <si>
    <t xml:space="preserve">Pesticid produktion </t>
  </si>
  <si>
    <t xml:space="preserve">Produktion af tjæreprodukter </t>
  </si>
  <si>
    <t xml:space="preserve">Sekundær produktion af bly </t>
  </si>
  <si>
    <t xml:space="preserve">Forbrug af smøremiddel </t>
  </si>
  <si>
    <t xml:space="preserve">Forbrug af paraffinvoks </t>
  </si>
  <si>
    <t xml:space="preserve">Forbrug af opløsningsmidler </t>
  </si>
  <si>
    <t xml:space="preserve">Asfaltering af vej </t>
  </si>
  <si>
    <t>Produktion af tagpap</t>
  </si>
  <si>
    <t xml:space="preserve">Urea anvendt i katalysatorer </t>
  </si>
  <si>
    <t xml:space="preserve">Optiske fibre </t>
  </si>
  <si>
    <t xml:space="preserve">Køling ved ekstremt lav temperatur </t>
  </si>
  <si>
    <t>IE</t>
  </si>
  <si>
    <t xml:space="preserve">Køling og airconditionering </t>
  </si>
  <si>
    <t xml:space="preserve">Skumblæsemidler </t>
  </si>
  <si>
    <t xml:space="preserve">Aerosoler </t>
  </si>
  <si>
    <t>Medicinsk forbrug</t>
  </si>
  <si>
    <t xml:space="preserve">Drivmiddel til tryk - og aerosolprodukter </t>
  </si>
  <si>
    <t>Fyrværkeri</t>
  </si>
  <si>
    <t>Tobak</t>
  </si>
  <si>
    <t>Trækul (grillkul)</t>
  </si>
  <si>
    <t xml:space="preserve">Brug af elektronisk udstyr </t>
  </si>
  <si>
    <t>Antal</t>
  </si>
  <si>
    <t>Geografisk klimaregnskab for affald &amp; spildevand</t>
  </si>
  <si>
    <t>(stk.)</t>
  </si>
  <si>
    <t>(ton)</t>
  </si>
  <si>
    <t>Spildevnad</t>
  </si>
  <si>
    <t>Affald:</t>
  </si>
  <si>
    <t>Håndterede bortskaffelsessteder</t>
  </si>
  <si>
    <t>Uhåndterede bortskaffelsessteder</t>
  </si>
  <si>
    <t>Ukategoriserede bortskaffelsessteder</t>
  </si>
  <si>
    <r>
      <t>NO</t>
    </r>
    <r>
      <rPr>
        <vertAlign val="superscript"/>
        <sz val="11"/>
        <rFont val="Arial"/>
        <family val="2"/>
      </rPr>
      <t>1)</t>
    </r>
  </si>
  <si>
    <t>Kompostering</t>
  </si>
  <si>
    <r>
      <t>NO</t>
    </r>
    <r>
      <rPr>
        <vertAlign val="superscript"/>
        <sz val="11"/>
        <color theme="1"/>
        <rFont val="Arial"/>
        <family val="2"/>
      </rPr>
      <t>1)</t>
    </r>
  </si>
  <si>
    <t xml:space="preserve">Anaerob omsætning på biogasanlæg </t>
  </si>
  <si>
    <t>Affaldsforbrænding</t>
  </si>
  <si>
    <t>Åben forbrænding af affald</t>
  </si>
  <si>
    <t>Spildevand:</t>
  </si>
  <si>
    <t>Husholdningsspildevand</t>
  </si>
  <si>
    <t>Industrielt spildevand</t>
  </si>
  <si>
    <t xml:space="preserve">Andet </t>
  </si>
  <si>
    <t>Tilfældige brande:</t>
  </si>
  <si>
    <t xml:space="preserve"> Utilsigtede bygningsbrande</t>
  </si>
  <si>
    <t xml:space="preserve"> Utilsigtede bilbrande</t>
  </si>
  <si>
    <t>1) Mængder er ikke tilgængelige</t>
  </si>
  <si>
    <t>Emissions-reducerende teknologi</t>
  </si>
  <si>
    <t>Emissions-reducerende tiltag</t>
  </si>
  <si>
    <t>Totalt areal</t>
  </si>
  <si>
    <t>Vårhvede</t>
  </si>
  <si>
    <r>
      <t>Kalkning  (CaCO</t>
    </r>
    <r>
      <rPr>
        <vertAlign val="subscript"/>
        <sz val="11"/>
        <color theme="1"/>
        <rFont val="Arial"/>
        <family val="2"/>
      </rPr>
      <t>3</t>
    </r>
    <r>
      <rPr>
        <sz val="11"/>
        <color theme="1"/>
        <rFont val="Arial"/>
        <family val="2"/>
      </rPr>
      <t>)</t>
    </r>
  </si>
  <si>
    <t>2030 Emissionsmål</t>
  </si>
  <si>
    <t>Olie- og gasprodukter</t>
  </si>
  <si>
    <t>VE-kilder (Sol, vind, biogas, jordvarme)</t>
  </si>
  <si>
    <t>Bruttoenergiforbrug fordelt på brændsler pr. indbygger</t>
  </si>
  <si>
    <t>GJ/år pr. indb.</t>
  </si>
  <si>
    <t>Bruttoenergiforbrug fordelt på brændsler (forsimplet)</t>
  </si>
  <si>
    <t>Andel</t>
  </si>
  <si>
    <t>VE-andele efter omsætningsenheder</t>
  </si>
  <si>
    <t>Bruttoenergiforbrug på kollektiv el- og varmeforsyning opdelt på vedvarende energi og fossil energi</t>
  </si>
  <si>
    <r>
      <t>CO</t>
    </r>
    <r>
      <rPr>
        <b/>
        <vertAlign val="subscript"/>
        <sz val="10"/>
        <rFont val="Arial"/>
        <family val="2"/>
      </rPr>
      <t>2</t>
    </r>
    <r>
      <rPr>
        <b/>
        <sz val="10"/>
        <rFont val="Arial"/>
        <family val="2"/>
      </rPr>
      <t>-udledning fordelt på brændsler pr. indbygger - Simplificeret</t>
    </r>
  </si>
  <si>
    <r>
      <t>CO</t>
    </r>
    <r>
      <rPr>
        <b/>
        <vertAlign val="subscript"/>
        <sz val="10"/>
        <rFont val="Arial"/>
        <family val="2"/>
      </rPr>
      <t>2</t>
    </r>
    <r>
      <rPr>
        <b/>
        <sz val="10"/>
        <rFont val="Arial"/>
        <family val="2"/>
      </rPr>
      <t>-udledning fordelt på brændsler - simplificeret</t>
    </r>
  </si>
  <si>
    <r>
      <t>CO</t>
    </r>
    <r>
      <rPr>
        <b/>
        <vertAlign val="subscript"/>
        <sz val="10"/>
        <rFont val="Arial"/>
        <family val="2"/>
      </rPr>
      <t>2</t>
    </r>
    <r>
      <rPr>
        <b/>
        <sz val="10"/>
        <rFont val="Arial"/>
        <family val="2"/>
      </rPr>
      <t>-udledning fordelt på brændsler - Simplificeret</t>
    </r>
  </si>
  <si>
    <t>Bruttoenergiforbrug fordelt på brændsler (simplificeret)</t>
  </si>
  <si>
    <t>Bruttoenergiforbrug fordelt på brændsler (simplificeret), opgjort pr. indbygger</t>
  </si>
  <si>
    <t>Nettoenergiforbrug</t>
  </si>
  <si>
    <t>Person- og varebiler, 
benzin (inkl. mild hybrid)</t>
  </si>
  <si>
    <t>Person- og varebiler, 
el, plug-in hybrid, brint</t>
  </si>
  <si>
    <t>Nettoenergiforbrug af varme fordelt på anlægstype</t>
  </si>
  <si>
    <t>Nettoenergiforbrug af varme opdelt på anlægstype for basisår</t>
  </si>
  <si>
    <t xml:space="preserve">Industrikedel, erhverv </t>
  </si>
  <si>
    <t>Vandkraft</t>
  </si>
  <si>
    <t>Eksport af VE-brændsler</t>
  </si>
  <si>
    <t>Busser, gas (CNG, LNG)</t>
  </si>
  <si>
    <t>Busser, brint (FCEV)</t>
  </si>
  <si>
    <t>Lastbiler, gas (CNG, LNG)</t>
  </si>
  <si>
    <t>Lastbiler, brint (FCEV)</t>
  </si>
  <si>
    <t>Person-/varebiler, mm., brint (FCEV)</t>
  </si>
  <si>
    <t>Person-/varebiler, mm., plug-in hybrid (PHEV)</t>
  </si>
  <si>
    <t>Busser, diesel, gas</t>
  </si>
  <si>
    <t>Busser, el, brint</t>
  </si>
  <si>
    <t>Lastbiler m.m., el, brint</t>
  </si>
  <si>
    <t>Person-/varebiler, mm., gas (CNG)</t>
  </si>
  <si>
    <t>Person-/varebiler, mm., el (BEV)</t>
  </si>
  <si>
    <t>Busser, el (BEV)</t>
  </si>
  <si>
    <t>Lastbiler, el (BEV)</t>
  </si>
  <si>
    <t>Lokalt biomassepotentiale (2012-data)</t>
  </si>
  <si>
    <r>
      <t>km</t>
    </r>
    <r>
      <rPr>
        <vertAlign val="superscript"/>
        <sz val="11"/>
        <color theme="1"/>
        <rFont val="Arial"/>
        <family val="2"/>
      </rPr>
      <t>2</t>
    </r>
  </si>
  <si>
    <t>Industrielle anlæg, eget forbrug af varme</t>
  </si>
  <si>
    <t>Lastbiler m.m., diesel, gas</t>
  </si>
  <si>
    <t>Nr.</t>
  </si>
  <si>
    <t>ton CO2-ækv./ha</t>
  </si>
  <si>
    <t xml:space="preserve">ton CO2-ækv./ton gylle </t>
  </si>
  <si>
    <t>Kommentarer til scenarieforslag</t>
  </si>
  <si>
    <t>Kategori</t>
  </si>
  <si>
    <t>Tiltag</t>
  </si>
  <si>
    <t>Faktor</t>
  </si>
  <si>
    <t>Enhed</t>
  </si>
  <si>
    <t>2030 andel i %</t>
  </si>
  <si>
    <t>Antal 2030</t>
  </si>
  <si>
    <t>Kommentarer</t>
  </si>
  <si>
    <t>Udtage kulstofrig jord i omdrift til periodisk våd eng (&gt;12% OC)</t>
  </si>
  <si>
    <t xml:space="preserve">ha </t>
  </si>
  <si>
    <t>Udtage kulstofrig jord i omdrift til periodisk våd eng (6-12% OC)</t>
  </si>
  <si>
    <t>Udtage kulstofrigt permanent græs til periodisk våd eng (OC&gt;12%)</t>
  </si>
  <si>
    <t>Udtage kulstofrigt permanent græs til periodisk våd eng (OC6&lt;12%)</t>
  </si>
  <si>
    <t xml:space="preserve">Udtage kulstofrig jord i omdrift til tør natur (fortsat drænet OC&gt;6%) </t>
  </si>
  <si>
    <t>Lægge biokul i jorden</t>
  </si>
  <si>
    <t>Præcisionsgødskning og skånsom jordbehandling på jord med 1-årige afgrøder og græs</t>
  </si>
  <si>
    <t>Tilsætte nitrifikationshæmmer til gødning</t>
  </si>
  <si>
    <t>ton CO2 ækv./ton N</t>
  </si>
  <si>
    <t>ton N</t>
  </si>
  <si>
    <t>Dyrke mellemafgrøder</t>
  </si>
  <si>
    <t>Bioforgasse kvæggylle (afgasningspotentiale)</t>
  </si>
  <si>
    <t>Hyppig udslusning af gylle i kvægstalde</t>
  </si>
  <si>
    <t>Gylleforsuring af kvæggylle (ikke til bioforgasning)</t>
  </si>
  <si>
    <t>ton CO2-ækv./årsko</t>
  </si>
  <si>
    <t>Malkekøer</t>
  </si>
  <si>
    <t>Reducere antal malkekøer</t>
  </si>
  <si>
    <t>Reducere antal kvier eller ammekøer</t>
  </si>
  <si>
    <t>ton CO2-ækv./årsdyr</t>
  </si>
  <si>
    <t>Kvier/ammekøer</t>
  </si>
  <si>
    <t>.</t>
  </si>
  <si>
    <t>Sum total</t>
  </si>
  <si>
    <t>Emissionsmål (70%/100%-målsætning)</t>
  </si>
  <si>
    <t>ton/indb.</t>
  </si>
  <si>
    <t>MANKO</t>
  </si>
  <si>
    <t>Landbrug % andel af samlet udledning</t>
  </si>
  <si>
    <t>Udledningsstier relativt til mål</t>
  </si>
  <si>
    <t>National målsætning</t>
  </si>
  <si>
    <t>Reduktionssti (mål scenarie)</t>
  </si>
  <si>
    <t>Energisektor</t>
  </si>
  <si>
    <t>Transportsektor</t>
  </si>
  <si>
    <t>Landbrugssektorer</t>
  </si>
  <si>
    <t>BAU 2030</t>
  </si>
  <si>
    <t>BAU 2050</t>
  </si>
  <si>
    <t>Søfart</t>
  </si>
  <si>
    <t>*Se beskrivelse i baggrundsnotatet.</t>
  </si>
  <si>
    <t>Diesel</t>
  </si>
  <si>
    <t>stk.</t>
  </si>
  <si>
    <t>GJ/køretøj</t>
  </si>
  <si>
    <t>Banetransport</t>
  </si>
  <si>
    <t>Heraf diesel</t>
  </si>
  <si>
    <t>Heraf el</t>
  </si>
  <si>
    <t>70% mål</t>
  </si>
  <si>
    <t>Tog, lokaltog (diesel/gas)</t>
  </si>
  <si>
    <t>Tog, dieselelektrisk</t>
  </si>
  <si>
    <t>Tog, el</t>
  </si>
  <si>
    <t>Reduktionsstiberegner</t>
  </si>
  <si>
    <t xml:space="preserve">Landbrug (Planteavl, Dyrehold og Arealanvendelse) </t>
  </si>
  <si>
    <t>Reduktionsfaktor</t>
  </si>
  <si>
    <t>Potentiale Baseline</t>
  </si>
  <si>
    <t>Reduktioner i ton CO2-ækv. ift. baseline</t>
  </si>
  <si>
    <t>Kategori/sektorregnskab</t>
  </si>
  <si>
    <t xml:space="preserve">BAU2030 andel i % </t>
  </si>
  <si>
    <t>Antal BAU2030</t>
  </si>
  <si>
    <t xml:space="preserve">BAU2050 andel i % </t>
  </si>
  <si>
    <t>Antal BAU2050</t>
  </si>
  <si>
    <t>2050 andel i %</t>
  </si>
  <si>
    <t>Antal 2050</t>
  </si>
  <si>
    <t>BAU2030</t>
  </si>
  <si>
    <t>BAU2050</t>
  </si>
  <si>
    <t xml:space="preserve">Delsum - Arealanvendelse </t>
  </si>
  <si>
    <t>Delsum - Planteavl</t>
  </si>
  <si>
    <t>Delsum - Dyrehold</t>
  </si>
  <si>
    <t>Potentiale Baseline (100%)</t>
  </si>
  <si>
    <t>Reduktion af emission fra bortskaffelse af affald</t>
  </si>
  <si>
    <t>Reduktion af emission fra kompostering af affald</t>
  </si>
  <si>
    <t>Reduktion af emission fra Anaerob omsætning på biogasanlæg</t>
  </si>
  <si>
    <t xml:space="preserve">Reduktion af emission fra afbrænding af affald </t>
  </si>
  <si>
    <t xml:space="preserve">Reduktion af emission fra Husholdningsspildevand </t>
  </si>
  <si>
    <t xml:space="preserve">Reduktion af emission fra Industrieltspildevand </t>
  </si>
  <si>
    <t xml:space="preserve">Tilfældige brande </t>
  </si>
  <si>
    <t>Reduktion af emission fra tilfældige brande</t>
  </si>
  <si>
    <t xml:space="preserve">Affald og spildevand - yderligere tiltag </t>
  </si>
  <si>
    <t>Reduktion af emission fra Mineralsk industri</t>
  </si>
  <si>
    <t xml:space="preserve">Reduktion af emission fra Kemisk industri </t>
  </si>
  <si>
    <t>Reduktion af emission fra Metal industri</t>
  </si>
  <si>
    <t>Reduktion af emission fra ikke energirelaterede produkter</t>
  </si>
  <si>
    <t>Reduktion af emission fra Elektronik industri</t>
  </si>
  <si>
    <t>Reduktion af emission fra brug af produkter som erstatter ozon-forringende produkter</t>
  </si>
  <si>
    <t xml:space="preserve">Industrielle processer - yderligere tiltag </t>
  </si>
  <si>
    <t xml:space="preserve">Udtage alle mink, grundet COVID-19 </t>
  </si>
  <si>
    <t>Mink</t>
  </si>
  <si>
    <t>Elproduktion fra vindmøller 2030</t>
  </si>
  <si>
    <t>Vårevede</t>
  </si>
  <si>
    <r>
      <t>CH</t>
    </r>
    <r>
      <rPr>
        <vertAlign val="subscript"/>
        <sz val="10"/>
        <color theme="1"/>
        <rFont val="Arial"/>
        <family val="2"/>
      </rPr>
      <t>4</t>
    </r>
    <r>
      <rPr>
        <sz val="10"/>
        <color theme="1"/>
        <rFont val="Arial"/>
        <family val="2"/>
      </rPr>
      <t xml:space="preserve"> (emission)</t>
    </r>
  </si>
  <si>
    <r>
      <t>Planteavl (N</t>
    </r>
    <r>
      <rPr>
        <vertAlign val="subscript"/>
        <sz val="10"/>
        <color theme="1"/>
        <rFont val="Arial"/>
        <family val="2"/>
      </rPr>
      <t>2</t>
    </r>
    <r>
      <rPr>
        <sz val="10"/>
        <color theme="1"/>
        <rFont val="Arial"/>
        <family val="2"/>
      </rPr>
      <t>O-N &amp; C)</t>
    </r>
  </si>
  <si>
    <t>årlig ændring i puljen af høstede træprodukter nationalt</t>
  </si>
  <si>
    <t>Genoversvømning 12 - 100% OC</t>
  </si>
  <si>
    <t xml:space="preserve">Anden brug af produkter (fx løbesko, dobbeltrudede vinduer,  laboratorie) </t>
  </si>
  <si>
    <t>TJ naturgas</t>
  </si>
  <si>
    <t>TJ olie</t>
  </si>
  <si>
    <t>Energi</t>
  </si>
  <si>
    <t>ton CO2-ækv.</t>
  </si>
  <si>
    <t>ton CO2-ækv./indbygger</t>
  </si>
  <si>
    <t xml:space="preserve">Årsdyr eller producerede dyr (stk.) </t>
  </si>
  <si>
    <t>Bindestald</t>
  </si>
  <si>
    <t>Løsdrift / boks/ bur</t>
  </si>
  <si>
    <r>
      <t>Note 1: Beregning af ændret CO</t>
    </r>
    <r>
      <rPr>
        <i/>
        <vertAlign val="subscript"/>
        <sz val="11"/>
        <color theme="1"/>
        <rFont val="Arial"/>
        <family val="2"/>
      </rPr>
      <t>2</t>
    </r>
    <r>
      <rPr>
        <i/>
        <sz val="11"/>
        <color theme="1"/>
        <rFont val="Arial"/>
        <family val="2"/>
      </rPr>
      <t xml:space="preserve">-ækv. emission ved ændret drift af dyrehold foretages i bilag </t>
    </r>
  </si>
  <si>
    <t>CO2-ækv./ton</t>
  </si>
  <si>
    <t>Energi - yderligere tiltag</t>
  </si>
  <si>
    <t>Luftfart</t>
  </si>
  <si>
    <t>TJ el</t>
  </si>
  <si>
    <t>Gas individuel</t>
  </si>
  <si>
    <t>Olie individuel</t>
  </si>
  <si>
    <t>Sammenfatning</t>
  </si>
  <si>
    <t>Reduktioner i % BAU</t>
  </si>
  <si>
    <t>BAU</t>
  </si>
  <si>
    <t xml:space="preserve">Kilde: </t>
  </si>
  <si>
    <t>Udledningsfaktor N2O</t>
  </si>
  <si>
    <t>Udledningsfaktor CH4</t>
  </si>
  <si>
    <t>Udledningsfaktor CO2</t>
  </si>
  <si>
    <t xml:space="preserve"> Forbrug i DK (kton)</t>
  </si>
  <si>
    <t>Udledningsfaktor F-gasser</t>
  </si>
  <si>
    <t>Brug af elektronisk udstyr</t>
  </si>
  <si>
    <t xml:space="preserve">Trækul </t>
  </si>
  <si>
    <t xml:space="preserve">Fyrværkeri </t>
  </si>
  <si>
    <t>Tryk og aerosolprodukter - flødeskum på dåse</t>
  </si>
  <si>
    <t xml:space="preserve">Medicinsk forbrug - N2O anæstesi </t>
  </si>
  <si>
    <t>Andet</t>
  </si>
  <si>
    <t>CO2-ækv. i DK (kiloton)</t>
  </si>
  <si>
    <t xml:space="preserve">Køling og airconditioning </t>
  </si>
  <si>
    <t>kton</t>
  </si>
  <si>
    <t xml:space="preserve">Brug af produkter som erstatter ozon-forringende produkter </t>
  </si>
  <si>
    <t>CF4</t>
  </si>
  <si>
    <t>Elektronikindustri</t>
  </si>
  <si>
    <t xml:space="preserve">Brug af opløsningsmidler </t>
  </si>
  <si>
    <t>Paraffinvoks - afbrænding af lys</t>
  </si>
  <si>
    <t>Brug af smøremidler - motorolie, industriel olie eller fedt</t>
  </si>
  <si>
    <t xml:space="preserve">Ikke energirelaterede produkter fra brændstofbrug og brug af opløsningsmidler </t>
  </si>
  <si>
    <t xml:space="preserve"> Forbrug i DK (ton)</t>
  </si>
  <si>
    <t>Sekundær blyproduktion 1</t>
  </si>
  <si>
    <t xml:space="preserve"> Produktion i DK (ton)</t>
  </si>
  <si>
    <t xml:space="preserve">Produktion af katalysatorer </t>
  </si>
  <si>
    <t>Kemisk industri</t>
  </si>
  <si>
    <t xml:space="preserve">Anden brug af soda aske </t>
  </si>
  <si>
    <t>Bilag 15</t>
  </si>
  <si>
    <t xml:space="preserve"> 2. Utilsigtede bilbrande</t>
  </si>
  <si>
    <t xml:space="preserve">  - heraf ikke-biogen</t>
  </si>
  <si>
    <t xml:space="preserve"> 1. Utilsigtede bygningsbrande</t>
  </si>
  <si>
    <t>CH4</t>
  </si>
  <si>
    <t>CO2</t>
  </si>
  <si>
    <t>Antal af brænde</t>
  </si>
  <si>
    <t>Drivhusgas kilder og katagorier (DK)</t>
  </si>
  <si>
    <t>Bilag 14</t>
  </si>
  <si>
    <t xml:space="preserve">3. Andet </t>
  </si>
  <si>
    <t>2. Industrielt spildevand</t>
  </si>
  <si>
    <t>N2O</t>
  </si>
  <si>
    <t>1. Husholdningsspildevand</t>
  </si>
  <si>
    <t>Drivhusgaskilder og kategorier</t>
  </si>
  <si>
    <t>CH4 energiformål</t>
  </si>
  <si>
    <t xml:space="preserve">kton </t>
  </si>
  <si>
    <t>CH4 flared</t>
  </si>
  <si>
    <t>CH4 emission</t>
  </si>
  <si>
    <t>N i spildevand</t>
  </si>
  <si>
    <t>kton N/år</t>
  </si>
  <si>
    <t>Slam fjernet</t>
  </si>
  <si>
    <t xml:space="preserve">Total organisk produkt </t>
  </si>
  <si>
    <t>kton DC/år</t>
  </si>
  <si>
    <t>Bilag 13</t>
  </si>
  <si>
    <t>- Andet</t>
  </si>
  <si>
    <t>- Kommunalt fast affald</t>
  </si>
  <si>
    <t>Ikke-biogene</t>
  </si>
  <si>
    <t xml:space="preserve">- Andet </t>
  </si>
  <si>
    <t>Biogen</t>
  </si>
  <si>
    <t>2. Åben forbrænding af affald</t>
  </si>
  <si>
    <t>Kommunalt fast affald</t>
  </si>
  <si>
    <t>- Kremering af mennesker</t>
  </si>
  <si>
    <t>- Kremering af dyr</t>
  </si>
  <si>
    <r>
      <t xml:space="preserve">Biogen </t>
    </r>
    <r>
      <rPr>
        <b/>
        <vertAlign val="superscript"/>
        <sz val="11"/>
        <color theme="1"/>
        <rFont val="Calibri"/>
        <family val="2"/>
        <scheme val="minor"/>
      </rPr>
      <t>(1)</t>
    </r>
  </si>
  <si>
    <t>N2O emission</t>
  </si>
  <si>
    <t>1. Affaldsforbrænding</t>
  </si>
  <si>
    <t>CO2 emission</t>
  </si>
  <si>
    <t>N2O faktor</t>
  </si>
  <si>
    <t>CH4 faktor</t>
  </si>
  <si>
    <t>CO2 faktor</t>
  </si>
  <si>
    <t>kg/ton affald</t>
  </si>
  <si>
    <t>kton/år (våd vægt)</t>
  </si>
  <si>
    <t xml:space="preserve">Forbrænding af affald </t>
  </si>
  <si>
    <t>Husdyrgødning og andet organisk affald</t>
  </si>
  <si>
    <t>2.b Andet</t>
  </si>
  <si>
    <t>2.a Kommunalt fast affald</t>
  </si>
  <si>
    <r>
      <t>2. Anaerob omsætning på biogasanlæg</t>
    </r>
    <r>
      <rPr>
        <b/>
        <vertAlign val="superscript"/>
        <sz val="11"/>
        <color theme="1"/>
        <rFont val="Calibri"/>
        <family val="2"/>
        <scheme val="minor"/>
      </rPr>
      <t xml:space="preserve"> </t>
    </r>
  </si>
  <si>
    <t>Mad og haveaffald</t>
  </si>
  <si>
    <t>1.b Andet</t>
  </si>
  <si>
    <t>1.a Kommunalt fast affald</t>
  </si>
  <si>
    <t xml:space="preserve">N2O emission i DK </t>
  </si>
  <si>
    <t>1. Kompostering</t>
  </si>
  <si>
    <t xml:space="preserve">CH4 emission i DK </t>
  </si>
  <si>
    <t>kton/år</t>
  </si>
  <si>
    <t xml:space="preserve">N2O faktor </t>
  </si>
  <si>
    <t xml:space="preserve">CH4 faktor </t>
  </si>
  <si>
    <t>ton/ton affald</t>
  </si>
  <si>
    <t>3. Ukategoriserede bortskaffelsessteder</t>
  </si>
  <si>
    <t>2. Uhåndterede bortskaffelsessteder</t>
  </si>
  <si>
    <t>b. Semi-aerob</t>
  </si>
  <si>
    <t>a. Anaerob</t>
  </si>
  <si>
    <t xml:space="preserve">CO2 emission i DK </t>
  </si>
  <si>
    <t>1. Håndterede bortskaffelsessteder</t>
  </si>
  <si>
    <t xml:space="preserve">CO2 faktor </t>
  </si>
  <si>
    <t>DOCf</t>
  </si>
  <si>
    <t xml:space="preserve">MCF
</t>
  </si>
  <si>
    <t>Bilag 12</t>
  </si>
  <si>
    <t>Eksporteret DK (tons)</t>
  </si>
  <si>
    <t>Importeret DK (tons)</t>
  </si>
  <si>
    <r>
      <t>Produceret  DK (m</t>
    </r>
    <r>
      <rPr>
        <b/>
        <vertAlign val="superscript"/>
        <sz val="11"/>
        <color theme="1"/>
        <rFont val="Calibri"/>
        <family val="2"/>
        <scheme val="minor"/>
      </rPr>
      <t>3</t>
    </r>
    <r>
      <rPr>
        <b/>
        <sz val="11"/>
        <color theme="1"/>
        <rFont val="Calibri"/>
        <family val="2"/>
        <scheme val="minor"/>
      </rPr>
      <t>)</t>
    </r>
  </si>
  <si>
    <t>m3</t>
  </si>
  <si>
    <r>
      <t>Træpaneler (m</t>
    </r>
    <r>
      <rPr>
        <b/>
        <vertAlign val="superscript"/>
        <sz val="11"/>
        <color theme="1"/>
        <rFont val="Calibri"/>
        <family val="2"/>
        <scheme val="minor"/>
      </rPr>
      <t>3</t>
    </r>
    <r>
      <rPr>
        <b/>
        <sz val="11"/>
        <color theme="1"/>
        <rFont val="Calibri"/>
        <family val="2"/>
        <scheme val="minor"/>
      </rPr>
      <t xml:space="preserve">) </t>
    </r>
  </si>
  <si>
    <r>
      <t>Savtræ (m</t>
    </r>
    <r>
      <rPr>
        <b/>
        <vertAlign val="superscript"/>
        <sz val="11"/>
        <color theme="1"/>
        <rFont val="Calibri"/>
        <family val="2"/>
        <scheme val="minor"/>
      </rPr>
      <t>3</t>
    </r>
    <r>
      <rPr>
        <b/>
        <sz val="11"/>
        <color theme="1"/>
        <rFont val="Calibri"/>
        <family val="2"/>
        <scheme val="minor"/>
      </rPr>
      <t xml:space="preserve">) </t>
    </r>
  </si>
  <si>
    <t>Bilag 11</t>
  </si>
  <si>
    <r>
      <t>Ukontrolleret afbrændign af hedeareal</t>
    </r>
    <r>
      <rPr>
        <i/>
        <vertAlign val="superscript"/>
        <sz val="9"/>
        <color theme="1"/>
        <rFont val="Calibri"/>
        <family val="2"/>
        <scheme val="minor"/>
      </rPr>
      <t xml:space="preserve"> 2</t>
    </r>
  </si>
  <si>
    <r>
      <t xml:space="preserve">Kontrolleret afbrænding af hedeareal </t>
    </r>
    <r>
      <rPr>
        <i/>
        <vertAlign val="superscript"/>
        <sz val="9"/>
        <rFont val="Calibri"/>
        <family val="2"/>
        <scheme val="minor"/>
      </rPr>
      <t>1</t>
    </r>
  </si>
  <si>
    <t xml:space="preserve">Vedvarende græs </t>
  </si>
  <si>
    <t xml:space="preserve">Arealanvendelse </t>
  </si>
  <si>
    <t>Bilag 10</t>
  </si>
  <si>
    <t xml:space="preserve">Øvrigt areal </t>
  </si>
  <si>
    <t xml:space="preserve">Permanent græs som omlægges til bebyggelse </t>
  </si>
  <si>
    <t xml:space="preserve">Landbrugsjord som omlægges til bebyggelse </t>
  </si>
  <si>
    <t xml:space="preserve">Skov som omlægges til bebyggelse </t>
  </si>
  <si>
    <t>Areal som omlægges til vådområde</t>
  </si>
  <si>
    <t xml:space="preserve">Vådområder </t>
  </si>
  <si>
    <t xml:space="preserve">Landbrugsjord som omlægges til permanent græs </t>
  </si>
  <si>
    <t xml:space="preserve">Skov, som omlægges til permanent græs </t>
  </si>
  <si>
    <t xml:space="preserve">Permanent' græs som omlægges til landbrugsjord </t>
  </si>
  <si>
    <t xml:space="preserve">Skov som omlægges til landbrugsjord </t>
  </si>
  <si>
    <r>
      <t>kg N</t>
    </r>
    <r>
      <rPr>
        <b/>
        <vertAlign val="subscript"/>
        <sz val="11"/>
        <rFont val="Calibri"/>
        <family val="2"/>
        <scheme val="minor"/>
      </rPr>
      <t>2</t>
    </r>
    <r>
      <rPr>
        <b/>
        <sz val="11"/>
        <rFont val="Calibri"/>
        <family val="2"/>
        <scheme val="minor"/>
      </rPr>
      <t xml:space="preserve">O–N/ha </t>
    </r>
  </si>
  <si>
    <t>Kg pr ha</t>
  </si>
  <si>
    <t>Bilag 9</t>
  </si>
  <si>
    <r>
      <t xml:space="preserve"> Tørvegravningsjord</t>
    </r>
    <r>
      <rPr>
        <vertAlign val="superscript"/>
        <sz val="11"/>
        <rFont val="Calibri"/>
        <family val="2"/>
        <scheme val="minor"/>
      </rPr>
      <t xml:space="preserve"> 1</t>
    </r>
    <r>
      <rPr>
        <sz val="11"/>
        <rFont val="Calibri"/>
        <family val="2"/>
        <scheme val="minor"/>
      </rPr>
      <t xml:space="preserve"> </t>
    </r>
  </si>
  <si>
    <t>Kg CH4 pr ha</t>
  </si>
  <si>
    <t xml:space="preserve">kg N2O–N pr ha </t>
  </si>
  <si>
    <t xml:space="preserve">Kg CO2 pr ha </t>
  </si>
  <si>
    <t xml:space="preserve">Emission fra drænet og genoversvømmet vådområde  </t>
  </si>
  <si>
    <t xml:space="preserve">Genoversvømmet mineralsk jord </t>
  </si>
  <si>
    <r>
      <t xml:space="preserve">Total mineralsk jord </t>
    </r>
    <r>
      <rPr>
        <b/>
        <vertAlign val="superscript"/>
        <sz val="11"/>
        <rFont val="Calibri"/>
        <family val="2"/>
        <scheme val="minor"/>
      </rPr>
      <t xml:space="preserve"> 4</t>
    </r>
  </si>
  <si>
    <t>Genoversvømmet organisk jord 12-100% OC</t>
  </si>
  <si>
    <t>Genoversvømmet organisk jord  6-12 % OC</t>
  </si>
  <si>
    <t>Drænet organisk jord 12-100% OC</t>
  </si>
  <si>
    <t>Drænet organisk jord 6-12% OC</t>
  </si>
  <si>
    <r>
      <t xml:space="preserve">Total organisk jord </t>
    </r>
    <r>
      <rPr>
        <b/>
        <vertAlign val="superscript"/>
        <sz val="11"/>
        <rFont val="Calibri"/>
        <family val="2"/>
        <scheme val="minor"/>
      </rPr>
      <t>3</t>
    </r>
  </si>
  <si>
    <r>
      <t xml:space="preserve">Permanent græs </t>
    </r>
    <r>
      <rPr>
        <b/>
        <vertAlign val="superscript"/>
        <sz val="11"/>
        <rFont val="Calibri"/>
        <family val="2"/>
        <scheme val="minor"/>
      </rPr>
      <t>2</t>
    </r>
  </si>
  <si>
    <t>Emission fra drænet og genoversvømmet 'permanent' græs 1</t>
  </si>
  <si>
    <r>
      <t xml:space="preserve">Total mineralsk jord  </t>
    </r>
    <r>
      <rPr>
        <b/>
        <vertAlign val="superscript"/>
        <sz val="11"/>
        <rFont val="Calibri"/>
        <family val="2"/>
        <scheme val="minor"/>
      </rPr>
      <t>4</t>
    </r>
  </si>
  <si>
    <t>Genoversvømmet organisk jord 6-12% OC</t>
  </si>
  <si>
    <t>Drænet organisk jord 12-100 % OC</t>
  </si>
  <si>
    <r>
      <t xml:space="preserve">Landdbrugsjord </t>
    </r>
    <r>
      <rPr>
        <b/>
        <vertAlign val="superscript"/>
        <sz val="11"/>
        <rFont val="Calibri"/>
        <family val="2"/>
        <scheme val="minor"/>
      </rPr>
      <t>2</t>
    </r>
  </si>
  <si>
    <t>Emission fra drænet og genoversvømmet landbrugsjord  1</t>
  </si>
  <si>
    <t xml:space="preserve">Genoversvømmet mineralsk jord 0-6% OC </t>
  </si>
  <si>
    <t>Total mineralsk jord</t>
  </si>
  <si>
    <t xml:space="preserve">Genoversvømmet organisk jord 12-100% OC </t>
  </si>
  <si>
    <t xml:space="preserve">Genoversvømmet organisk jord 6-12% OC </t>
  </si>
  <si>
    <r>
      <t xml:space="preserve">Estimeret Drænet organisk jord 6-12% &amp; 12-100 % OC  </t>
    </r>
    <r>
      <rPr>
        <vertAlign val="superscript"/>
        <sz val="11"/>
        <rFont val="Calibri"/>
        <family val="2"/>
        <scheme val="minor"/>
      </rPr>
      <t>3</t>
    </r>
  </si>
  <si>
    <r>
      <t>Total organisk jord</t>
    </r>
    <r>
      <rPr>
        <b/>
        <vertAlign val="superscript"/>
        <sz val="11"/>
        <rFont val="Calibri"/>
        <family val="2"/>
        <scheme val="minor"/>
      </rPr>
      <t xml:space="preserve"> 2</t>
    </r>
  </si>
  <si>
    <r>
      <t xml:space="preserve">Skov </t>
    </r>
    <r>
      <rPr>
        <b/>
        <vertAlign val="superscript"/>
        <sz val="11"/>
        <rFont val="Calibri"/>
        <family val="2"/>
        <scheme val="minor"/>
      </rPr>
      <t>1</t>
    </r>
  </si>
  <si>
    <t xml:space="preserve">Emission fra drænet og genoversvømmet skov </t>
  </si>
  <si>
    <t>Bilag 8</t>
  </si>
  <si>
    <t>NA</t>
  </si>
  <si>
    <t xml:space="preserve">Uklassificeret areal ændret til øvrig land </t>
  </si>
  <si>
    <t xml:space="preserve">Permanent vådområde ændret til øvrig land </t>
  </si>
  <si>
    <t xml:space="preserve">Bebyggelse ændret til øvrig land </t>
  </si>
  <si>
    <t>Periodisk vådområde ændret til øvrig land</t>
  </si>
  <si>
    <t xml:space="preserve">Permanent græs ændret til øvrig land </t>
  </si>
  <si>
    <t>Landbrugsjord ændret til øvrig land</t>
  </si>
  <si>
    <t xml:space="preserve">Skov ændret til øvrig land </t>
  </si>
  <si>
    <t>Omlægning til øvrig land (2005-2020)</t>
  </si>
  <si>
    <t>Blivende øvrig land (2005-2020)</t>
  </si>
  <si>
    <t xml:space="preserve">Total 'øvrig' land </t>
  </si>
  <si>
    <t>Nettoændring af kulstoflager i organisk jord (ton C/ha)</t>
  </si>
  <si>
    <t>Nettoændring af kulstoflager i mineralsk jord (ton C/ha)</t>
  </si>
  <si>
    <t>Nettoændring af kulstoflager i død organisk materiale (ton C/ha)</t>
  </si>
  <si>
    <t>Ændring kulstoflager
(ton C/ha)</t>
  </si>
  <si>
    <t>Tab kulstoflager
(ton C/ha)</t>
  </si>
  <si>
    <t>Opbygning kulstoflager
(ton C/ha)</t>
  </si>
  <si>
    <t>Øvrig land</t>
  </si>
  <si>
    <t>uklassificeret areal ændret til bebyggelse</t>
  </si>
  <si>
    <t>Permanent vådområde ændret til bebyggelse</t>
  </si>
  <si>
    <t xml:space="preserve">øvrig land ændret til bebyggelse </t>
  </si>
  <si>
    <t xml:space="preserve">Periodisk vådområde ændret til bebyggelse  </t>
  </si>
  <si>
    <t xml:space="preserve">Permanent græs ændret til bebyggelse </t>
  </si>
  <si>
    <t>Landbrugsjord ændret til bebyggelse</t>
  </si>
  <si>
    <t>skov ændret til bebyggelse</t>
  </si>
  <si>
    <t>Omlægning til bebyggelse (2005-2020)</t>
  </si>
  <si>
    <t>Blivende bebyggelse (2005-2020)</t>
  </si>
  <si>
    <t xml:space="preserve">Total bebyggelse </t>
  </si>
  <si>
    <t>Bebyggelse</t>
  </si>
  <si>
    <t xml:space="preserve">Permanent græs som ændres til periodisk vådområde </t>
  </si>
  <si>
    <t xml:space="preserve">Landbrugsjord som ændres til periodiske vådområde </t>
  </si>
  <si>
    <t>Skov som ændres til periodisk vådområder</t>
  </si>
  <si>
    <r>
      <t xml:space="preserve">Omlægning til andre vådområder </t>
    </r>
    <r>
      <rPr>
        <b/>
        <vertAlign val="superscript"/>
        <sz val="11"/>
        <color theme="1"/>
        <rFont val="Calibri"/>
        <family val="2"/>
        <scheme val="minor"/>
      </rPr>
      <t>3</t>
    </r>
    <r>
      <rPr>
        <b/>
        <sz val="11"/>
        <color theme="1"/>
        <rFont val="Calibri"/>
        <family val="2"/>
        <scheme val="minor"/>
      </rPr>
      <t xml:space="preserve"> (2005-2020)</t>
    </r>
  </si>
  <si>
    <t xml:space="preserve">Permanent græs som ændres til permanent vådområde  </t>
  </si>
  <si>
    <t xml:space="preserve">Landbrugsjord ændret til permanent vådområde </t>
  </si>
  <si>
    <t xml:space="preserve">Skov ændret til permanent vådområde   </t>
  </si>
  <si>
    <t xml:space="preserve">Land som konverteres til tørvegravning </t>
  </si>
  <si>
    <t>Omlægning til permanent vådområde (2005-2020)</t>
  </si>
  <si>
    <t xml:space="preserve">Periodisk vådområde som vedbliver at være periodisk vådområde </t>
  </si>
  <si>
    <t xml:space="preserve">Permanent vådområde som vedbliver at være permanent vådområde </t>
  </si>
  <si>
    <t>Tørvegravning som vedbliver tørvegravning</t>
  </si>
  <si>
    <t>Blivende vådområde (2005-2020)</t>
  </si>
  <si>
    <t xml:space="preserve">Total vådområde </t>
  </si>
  <si>
    <t>Ændring af kulstoflager
(ton C/ha)</t>
  </si>
  <si>
    <t>Tab af kulstoflager (ton C/ha)</t>
  </si>
  <si>
    <t>´</t>
  </si>
  <si>
    <t>Vådområde</t>
  </si>
  <si>
    <t xml:space="preserve">Uklassificeret areal ændret til permanent græs </t>
  </si>
  <si>
    <t>Søer, åer mv. ændret til permanent græs</t>
  </si>
  <si>
    <t xml:space="preserve">Øvrig land ændret til permanent græs </t>
  </si>
  <si>
    <t xml:space="preserve">Bebygget område ændret til permanent græs </t>
  </si>
  <si>
    <t xml:space="preserve">Vådområde ændret til permanent græs </t>
  </si>
  <si>
    <t xml:space="preserve">Landbrugsjord ændret til permanent græs </t>
  </si>
  <si>
    <t>Skov ændret til permanent græs</t>
  </si>
  <si>
    <t>Omlægning til permanent græs (2005-2020)</t>
  </si>
  <si>
    <t>Blivende permanent græs (2005-2020)</t>
  </si>
  <si>
    <t>Total permanent græs</t>
  </si>
  <si>
    <t xml:space="preserve">Uklassificeret areal ændret til landbrugsjord </t>
  </si>
  <si>
    <t xml:space="preserve">Søer, åer mv. </t>
  </si>
  <si>
    <t xml:space="preserve">Øvrig land ændret til landbrugsjord </t>
  </si>
  <si>
    <t>Bebygget område ændret til landbrugsjord</t>
  </si>
  <si>
    <t>Vådområde ændret til landbrugsjord</t>
  </si>
  <si>
    <t>Permanent græs ændret til landbrugsjord</t>
  </si>
  <si>
    <t xml:space="preserve">Skov ændret til landbrugsjord </t>
  </si>
  <si>
    <t>Omlægning til landbrugsjord (2005-2020)</t>
  </si>
  <si>
    <t>Blivende landbrugsjord (2005-2020)</t>
  </si>
  <si>
    <t xml:space="preserve">Total landbrugsjord </t>
  </si>
  <si>
    <t>Bilag 7</t>
  </si>
  <si>
    <t>Uklassificeret areal ændret til skov</t>
  </si>
  <si>
    <t xml:space="preserve">Øvrig land ændret til skov </t>
  </si>
  <si>
    <t>Bebygget område ændret til skov</t>
  </si>
  <si>
    <t>Vådområde ændret til skov</t>
  </si>
  <si>
    <t>Permanent græs ændret til skov</t>
  </si>
  <si>
    <t>Landbrugsjord ændret til skov</t>
  </si>
  <si>
    <t>Skovrejsning (1990-2020)</t>
  </si>
  <si>
    <t xml:space="preserve">Blivende skov (1990-2020) </t>
  </si>
  <si>
    <t>Total skovjord (2020)</t>
  </si>
  <si>
    <t>Netto ændring af kulstoflager i organisk jord (ton C/ha)</t>
  </si>
  <si>
    <t>Netto ændring af kulstoflager i mineralsk jord (ton C/ha)</t>
  </si>
  <si>
    <t>Ændring kulstoflager i skovbund (ton C/ha)</t>
  </si>
  <si>
    <t>Ændring kulstoflager i dødt træ (ton C/ha)</t>
  </si>
  <si>
    <t xml:space="preserve">Skov </t>
  </si>
  <si>
    <t>Bilag 6</t>
  </si>
  <si>
    <t>Bilag 5a</t>
  </si>
  <si>
    <t xml:space="preserve">CO2 udledning Calcium ammonium nitrat (CAN) </t>
  </si>
  <si>
    <t>CO2 udledning fra urea</t>
  </si>
  <si>
    <t>CO2 udledning fra kalkning CaCO3</t>
  </si>
  <si>
    <t>CAN i dansk landbrug i året (kg) CAN</t>
  </si>
  <si>
    <t>Urea i dansk landbrug i året (kg) urea</t>
  </si>
  <si>
    <t>Kalk i dansk landbrug i året (kg) CaCO3</t>
  </si>
  <si>
    <t>Kg</t>
  </si>
  <si>
    <t>Bilag 5</t>
  </si>
  <si>
    <t>Alle jordbundstyper</t>
  </si>
  <si>
    <t>Frac Leach - andel af N input som udvaskes (%)</t>
  </si>
  <si>
    <t>Afgrøderester N kg pr år</t>
  </si>
  <si>
    <t>Organisk gødning + Gødning fra græssende dyr N kg pr år</t>
  </si>
  <si>
    <t>Uorganisk gødning N Kg pr år</t>
  </si>
  <si>
    <t>Fordampet andel (%)</t>
  </si>
  <si>
    <t>Gødningstype</t>
  </si>
  <si>
    <t>Dyrkede afgrøder samt permanent græs</t>
  </si>
  <si>
    <t>Total mineraliseret N i Dk (kg)</t>
  </si>
  <si>
    <t>Dykningsform</t>
  </si>
  <si>
    <t xml:space="preserve"> Total areal i DK mineralsk jord, dyrket  (ha)</t>
  </si>
  <si>
    <t xml:space="preserve">Heste &gt; 700 kg </t>
  </si>
  <si>
    <t xml:space="preserve">Heste 5-700 kg </t>
  </si>
  <si>
    <t xml:space="preserve">Heste 3-500 kg </t>
  </si>
  <si>
    <t xml:space="preserve">Heste &lt;300 kg </t>
  </si>
  <si>
    <t xml:space="preserve">Smågrise </t>
  </si>
  <si>
    <t>Svin</t>
  </si>
  <si>
    <t>Slagtesvin inkl. FRATS</t>
  </si>
  <si>
    <t xml:space="preserve">Geder </t>
  </si>
  <si>
    <t xml:space="preserve">Får </t>
  </si>
  <si>
    <t>Ammeko &gt; 600 kg</t>
  </si>
  <si>
    <t xml:space="preserve">Andet kvæg </t>
  </si>
  <si>
    <t>Ammeko 4-600 kg</t>
  </si>
  <si>
    <t>Ammeko &lt;400 kg</t>
  </si>
  <si>
    <t xml:space="preserve">Avlstyr Jersey </t>
  </si>
  <si>
    <t xml:space="preserve">Avlstyr Tung race </t>
  </si>
  <si>
    <t xml:space="preserve">Slagtekalv &gt; 6mdr tung race </t>
  </si>
  <si>
    <t>Slagtekalv &gt; 6mdr Jersey</t>
  </si>
  <si>
    <t>Slagtekalv 0-6 mdr. Jersey</t>
  </si>
  <si>
    <t xml:space="preserve">Slagtekalv 0-6 mdr. Tung race </t>
  </si>
  <si>
    <t xml:space="preserve">Jersey </t>
  </si>
  <si>
    <t xml:space="preserve">Diekalve/småkalve  </t>
  </si>
  <si>
    <t xml:space="preserve">Tung race </t>
  </si>
  <si>
    <t xml:space="preserve">Kvier &gt; 1/2 år  </t>
  </si>
  <si>
    <t xml:space="preserve">Malkekvæg  </t>
  </si>
  <si>
    <t>Dage på græs</t>
  </si>
  <si>
    <t>Dyretype</t>
  </si>
  <si>
    <t xml:space="preserve">Dyrekategori </t>
  </si>
  <si>
    <t xml:space="preserve">Raps i alt + Hør + Anden industrifrø </t>
  </si>
  <si>
    <t xml:space="preserve">Græsarealer uden for omdriften </t>
  </si>
  <si>
    <t xml:space="preserve">Græs- og kløvermark i omdriften + Frø til udsæd </t>
  </si>
  <si>
    <t xml:space="preserve">Korn og bælgsæd til ensilering (helsæd) </t>
  </si>
  <si>
    <t xml:space="preserve">Sukkerroer til fabrik + Foderroer </t>
  </si>
  <si>
    <t xml:space="preserve">Bælgsæd til modenhed </t>
  </si>
  <si>
    <t xml:space="preserve">Lucerne </t>
  </si>
  <si>
    <t xml:space="preserve">Kartofler </t>
  </si>
  <si>
    <t xml:space="preserve">Majs til opfodring </t>
  </si>
  <si>
    <t xml:space="preserve">Triticale og andet korn til modenhed </t>
  </si>
  <si>
    <t xml:space="preserve">Havre </t>
  </si>
  <si>
    <t xml:space="preserve">Vårbyg </t>
  </si>
  <si>
    <t xml:space="preserve">Vinterbyg </t>
  </si>
  <si>
    <t xml:space="preserve">Rug </t>
  </si>
  <si>
    <t xml:space="preserve">Vårhvede </t>
  </si>
  <si>
    <t xml:space="preserve">Vinterhvede </t>
  </si>
  <si>
    <t>Afgrødertype</t>
  </si>
  <si>
    <t>Bilag 4</t>
  </si>
  <si>
    <t>Søer</t>
  </si>
  <si>
    <t>Slagtesvin</t>
  </si>
  <si>
    <t>Bilag 3a</t>
  </si>
  <si>
    <r>
      <t>N</t>
    </r>
    <r>
      <rPr>
        <b/>
        <vertAlign val="subscript"/>
        <sz val="11"/>
        <rFont val="Calibri"/>
        <family val="2"/>
        <scheme val="minor"/>
      </rPr>
      <t>2</t>
    </r>
    <r>
      <rPr>
        <b/>
        <sz val="11"/>
        <rFont val="Calibri"/>
        <family val="2"/>
        <scheme val="minor"/>
      </rPr>
      <t>O-N pr. Kg Nex (Kg)</t>
    </r>
  </si>
  <si>
    <t>Kg N pr dyr (ab dyr) pr år (Nex)</t>
  </si>
  <si>
    <t>Bilag 3</t>
  </si>
  <si>
    <t>Bilag 2a</t>
  </si>
  <si>
    <t>Tørstof 2 (%)</t>
  </si>
  <si>
    <t>Gødning (s)(ton)</t>
  </si>
  <si>
    <t>Gødning (s) pr. dyr (ton)</t>
  </si>
  <si>
    <t>Gødning (g) total (ton)</t>
  </si>
  <si>
    <t>Tørstof (%)</t>
  </si>
  <si>
    <t>Bilag 2 (dataark)</t>
  </si>
  <si>
    <t xml:space="preserve">NIR Tier II  2022 (2020) Tabel  5.7 og 5.8 og CRF Tabel 3.As1 2022 (2020) </t>
  </si>
  <si>
    <t>Geder</t>
  </si>
  <si>
    <t>Hjortedyr</t>
  </si>
  <si>
    <t>Får</t>
  </si>
  <si>
    <t>Slagtekalve 6 mdr.</t>
  </si>
  <si>
    <t>Slagtekalve 0-6 mdr.</t>
  </si>
  <si>
    <t>Årsko, Malkekvæg (gns)</t>
  </si>
  <si>
    <t>CH4 konveteringsrate</t>
  </si>
  <si>
    <r>
      <t>CH</t>
    </r>
    <r>
      <rPr>
        <b/>
        <vertAlign val="subscript"/>
        <sz val="11"/>
        <color theme="1"/>
        <rFont val="Calibri"/>
        <family val="2"/>
        <scheme val="minor"/>
      </rPr>
      <t>4</t>
    </r>
    <r>
      <rPr>
        <b/>
        <sz val="11"/>
        <color theme="1"/>
        <rFont val="Calibri"/>
        <family val="2"/>
        <scheme val="minor"/>
      </rPr>
      <t xml:space="preserve"> konveteringsrate</t>
    </r>
  </si>
  <si>
    <t>Dyrtype</t>
  </si>
  <si>
    <t>NIR Tier II Annex 3D-11 NIR, 2022 (2020)</t>
  </si>
  <si>
    <t>Bilag 2</t>
  </si>
  <si>
    <t>Bilag 1</t>
  </si>
  <si>
    <t>Forskel 2019/2020</t>
  </si>
  <si>
    <t>Forskel 2018/2019</t>
  </si>
  <si>
    <t>Bruttoenergiindtag  pr. dag [MJ]</t>
  </si>
  <si>
    <t xml:space="preserve">Bilag 1 </t>
  </si>
  <si>
    <t>Årstal</t>
  </si>
  <si>
    <t>VALGT ÅR</t>
  </si>
  <si>
    <t>NIR FAKTORER</t>
  </si>
  <si>
    <t>Documentation box</t>
  </si>
  <si>
    <t xml:space="preserve">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 </t>
  </si>
  <si>
    <t>Documentation box:</t>
  </si>
  <si>
    <r>
      <t xml:space="preserve">(3)  </t>
    </r>
    <r>
      <rPr>
        <sz val="9"/>
        <rFont val="Times New Roman"/>
        <family val="1"/>
      </rPr>
      <t>Carbon dioxide (CO</t>
    </r>
    <r>
      <rPr>
        <vertAlign val="subscript"/>
        <sz val="9"/>
        <rFont val="Times New Roman"/>
        <family val="1"/>
      </rPr>
      <t>2</t>
    </r>
    <r>
      <rPr>
        <sz val="9"/>
        <rFont val="Times New Roman"/>
        <family val="1"/>
      </rPr>
      <t>) from food and drink production (e.g. gasification of water) can be of biogenic or non-biogenic origin. Only information on CO</t>
    </r>
    <r>
      <rPr>
        <vertAlign val="subscript"/>
        <sz val="9"/>
        <rFont val="Times New Roman"/>
        <family val="1"/>
      </rPr>
      <t>2</t>
    </r>
    <r>
      <rPr>
        <sz val="9"/>
        <rFont val="Times New Roman"/>
        <family val="1"/>
      </rPr>
      <t xml:space="preserve"> emissions of non-biogenic origin should be reported. </t>
    </r>
  </si>
  <si>
    <r>
      <t xml:space="preserve">(2)   </t>
    </r>
    <r>
      <rPr>
        <sz val="9"/>
        <rFont val="Times New Roman"/>
        <family val="1"/>
      </rPr>
      <t>ODS ozone-depleting substances.</t>
    </r>
  </si>
  <si>
    <r>
      <t xml:space="preserve">(1)   </t>
    </r>
    <r>
      <rPr>
        <sz val="9"/>
        <rFont val="Times New Roman"/>
        <family val="1"/>
      </rPr>
      <t>The emissions of hydrofluorocarbons (HFCs), perfluorocarbons (PFCs), unspecified mix of HFCs and PFCs, and other fluorinated gases are to be expressed as carbon dioxide equivalent emissions. Data on disaggregated emissions of HFCs and PFCs are to be provided in table 2(II).</t>
    </r>
  </si>
  <si>
    <t/>
  </si>
  <si>
    <r>
      <t>H.  Other (as specified in tables 2(I).A-H and 2(II))</t>
    </r>
    <r>
      <rPr>
        <b/>
        <vertAlign val="superscript"/>
        <sz val="9"/>
        <rFont val="Times New Roman"/>
        <family val="1"/>
      </rPr>
      <t>(3)</t>
    </r>
  </si>
  <si>
    <t xml:space="preserve">4.  Other </t>
  </si>
  <si>
    <r>
      <t>3.  N</t>
    </r>
    <r>
      <rPr>
        <vertAlign val="subscript"/>
        <sz val="9"/>
        <rFont val="Times New Roman"/>
        <family val="1"/>
      </rPr>
      <t>2</t>
    </r>
    <r>
      <rPr>
        <sz val="9"/>
        <rFont val="Times New Roman"/>
        <family val="1"/>
      </rPr>
      <t>O from product uses</t>
    </r>
  </si>
  <si>
    <r>
      <t>2.  SF</t>
    </r>
    <r>
      <rPr>
        <vertAlign val="subscript"/>
        <sz val="9"/>
        <rFont val="Times New Roman"/>
        <family val="1"/>
      </rPr>
      <t>6</t>
    </r>
    <r>
      <rPr>
        <sz val="9"/>
        <rFont val="Times New Roman"/>
        <family val="1"/>
      </rPr>
      <t xml:space="preserve"> and PFCs from other product use</t>
    </r>
  </si>
  <si>
    <t>1.  Electrical equipment</t>
  </si>
  <si>
    <t>G.  Other product manufacture and use</t>
  </si>
  <si>
    <t>6.  Other applications</t>
  </si>
  <si>
    <t>5.  Solvents</t>
  </si>
  <si>
    <t>4.  Aerosols</t>
  </si>
  <si>
    <t>3.  Fire protection</t>
  </si>
  <si>
    <t>2.  Foam blowing agents</t>
  </si>
  <si>
    <t>1.  Refrigeration and air conditioning</t>
  </si>
  <si>
    <r>
      <t>F.  Product uses as substitutes for ODS</t>
    </r>
    <r>
      <rPr>
        <b/>
        <vertAlign val="superscript"/>
        <sz val="9"/>
        <rFont val="Times New Roman"/>
        <family val="1"/>
      </rPr>
      <t>(2)</t>
    </r>
  </si>
  <si>
    <r>
      <t xml:space="preserve">5.  Other </t>
    </r>
    <r>
      <rPr>
        <i/>
        <sz val="9"/>
        <rFont val="Times New Roman"/>
        <family val="1"/>
      </rPr>
      <t>(as specified in table 2(II))</t>
    </r>
  </si>
  <si>
    <t>4.  Heat transfer fluid</t>
  </si>
  <si>
    <t>3.  Photovoltaics</t>
  </si>
  <si>
    <t>2.  TFT flat panel display</t>
  </si>
  <si>
    <t>1.  Integrated circuit or semiconductor</t>
  </si>
  <si>
    <t>E.  Electronics industry</t>
  </si>
  <si>
    <t>NO,NA</t>
  </si>
  <si>
    <t xml:space="preserve">3.  Other </t>
  </si>
  <si>
    <t>2.  Paraffin wax use</t>
  </si>
  <si>
    <t>1.  Lubricant use</t>
  </si>
  <si>
    <t>D.  Non-energy products from fuels and solvent use</t>
  </si>
  <si>
    <t>(kt)</t>
  </si>
  <si>
    <r>
      <t>CO</t>
    </r>
    <r>
      <rPr>
        <b/>
        <vertAlign val="subscript"/>
        <sz val="9"/>
        <rFont val="Times New Roman"/>
        <family val="1"/>
      </rPr>
      <t>2</t>
    </r>
    <r>
      <rPr>
        <b/>
        <sz val="9"/>
        <rFont val="Times New Roman"/>
        <family val="1"/>
      </rPr>
      <t xml:space="preserve"> equivalent (kt)</t>
    </r>
  </si>
  <si>
    <r>
      <t>SO</t>
    </r>
    <r>
      <rPr>
        <b/>
        <vertAlign val="subscript"/>
        <sz val="9"/>
        <rFont val="Times New Roman"/>
        <family val="1"/>
      </rPr>
      <t>2</t>
    </r>
  </si>
  <si>
    <t>NMVOC</t>
  </si>
  <si>
    <t>CO</t>
  </si>
  <si>
    <r>
      <t>NO</t>
    </r>
    <r>
      <rPr>
        <b/>
        <vertAlign val="subscript"/>
        <sz val="9"/>
        <rFont val="Times New Roman"/>
        <family val="1"/>
      </rPr>
      <t>x</t>
    </r>
  </si>
  <si>
    <r>
      <t>NF</t>
    </r>
    <r>
      <rPr>
        <b/>
        <vertAlign val="subscript"/>
        <sz val="9"/>
        <rFont val="Times New Roman"/>
        <family val="1"/>
      </rPr>
      <t>3</t>
    </r>
    <r>
      <rPr>
        <b/>
        <sz val="9"/>
        <rFont val="Times New Roman"/>
        <family val="1"/>
      </rPr>
      <t xml:space="preserve"> </t>
    </r>
  </si>
  <si>
    <r>
      <t>SF</t>
    </r>
    <r>
      <rPr>
        <b/>
        <vertAlign val="subscript"/>
        <sz val="9"/>
        <rFont val="Times New Roman"/>
        <family val="1"/>
      </rPr>
      <t>6</t>
    </r>
  </si>
  <si>
    <r>
      <t>Unspecified mix of HFCs and PFCs</t>
    </r>
    <r>
      <rPr>
        <b/>
        <vertAlign val="superscript"/>
        <sz val="9"/>
        <rFont val="Times New Roman"/>
        <family val="1"/>
      </rPr>
      <t>(1)</t>
    </r>
  </si>
  <si>
    <r>
      <t>PFCs</t>
    </r>
    <r>
      <rPr>
        <b/>
        <vertAlign val="superscript"/>
        <sz val="9"/>
        <rFont val="Times New Roman"/>
        <family val="1"/>
      </rPr>
      <t>(1)</t>
    </r>
  </si>
  <si>
    <r>
      <t>HFCs</t>
    </r>
    <r>
      <rPr>
        <b/>
        <vertAlign val="superscript"/>
        <sz val="9"/>
        <rFont val="Times New Roman"/>
        <family val="1"/>
      </rPr>
      <t>(1)</t>
    </r>
  </si>
  <si>
    <r>
      <t>N</t>
    </r>
    <r>
      <rPr>
        <b/>
        <vertAlign val="subscript"/>
        <sz val="9"/>
        <rFont val="Times New Roman"/>
        <family val="1"/>
      </rPr>
      <t>2</t>
    </r>
    <r>
      <rPr>
        <b/>
        <sz val="9"/>
        <rFont val="Times New Roman"/>
        <family val="1"/>
      </rPr>
      <t>O</t>
    </r>
  </si>
  <si>
    <r>
      <t>CH</t>
    </r>
    <r>
      <rPr>
        <b/>
        <vertAlign val="subscript"/>
        <sz val="9"/>
        <rFont val="Times New Roman"/>
        <family val="1"/>
      </rPr>
      <t>4</t>
    </r>
  </si>
  <si>
    <r>
      <t>CO</t>
    </r>
    <r>
      <rPr>
        <b/>
        <vertAlign val="subscript"/>
        <sz val="9"/>
        <rFont val="Times New Roman"/>
        <family val="1"/>
      </rPr>
      <t>2</t>
    </r>
  </si>
  <si>
    <t>GREENHOUSE GAS SOURCE AND SINK CATEGORIES</t>
  </si>
  <si>
    <t xml:space="preserve">      </t>
  </si>
  <si>
    <t>(Sheet 2 of 2)</t>
  </si>
  <si>
    <t>Inventory 2018</t>
  </si>
  <si>
    <t>TABLE 2(I) SECTORAL REPORT FOR INDUSTRIAL PROCESSES AND PRODUCT USE</t>
  </si>
  <si>
    <r>
      <t xml:space="preserve">(6)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petrochemical and carbon black production not included in subcategories 2.B.8.a-2.B.8.f here.</t>
    </r>
  </si>
  <si>
    <r>
      <t xml:space="preserve">(5)   </t>
    </r>
    <r>
      <rPr>
        <sz val="9"/>
        <rFont val="Times New Roman"/>
        <family val="1"/>
      </rPr>
      <t xml:space="preserve"> To ensure that double counting does not occur, fuel consumption (e.g. natural gas) in ammonia production should not be included in the energy sector.  Should CO2 from ammonia production be recovered for downstream use and be excluded from the reporting in category 2.B.1, the products and the purposes for which the CO2 is used should be clearly explained in the NIR for the most recent inventory year. The related CO2 emissions from these products and significant uses shall be reported in the relevant source categories in the inventory if these emissions occur within the borders of the Party concerned. Parties shall provide an overview in the NIR in which other source categories of the GHG inventory CO2 emissions from significant uses of urea are reported.</t>
    </r>
  </si>
  <si>
    <r>
      <t xml:space="preserve">(4)   </t>
    </r>
    <r>
      <rPr>
        <sz val="9"/>
        <rFont val="Times New Roman"/>
        <family val="1"/>
      </rPr>
      <t>Amounts of emission recovery, oxidation, destruction or transformation.</t>
    </r>
  </si>
  <si>
    <r>
      <t xml:space="preserve">(3)   </t>
    </r>
    <r>
      <rPr>
        <sz val="9"/>
        <rFont val="Times New Roman"/>
        <family val="1"/>
      </rPr>
      <t xml:space="preserve">Final emissions are to be reported (after subtracting the amounts of emission recovery, oxidation, destruction or transformation). </t>
    </r>
  </si>
  <si>
    <r>
      <t xml:space="preserve">(2)   </t>
    </r>
    <r>
      <rPr>
        <sz val="9"/>
        <rFont val="Times New Roman"/>
        <family val="1"/>
      </rPr>
      <t xml:space="preserve">The IEFs are estimated on the basis of gross emissions as follows: IEF = (emissions plus amounts recovered, oxidized, destroyed or transformed) / AD. </t>
    </r>
  </si>
  <si>
    <r>
      <t xml:space="preserve">(1) </t>
    </r>
    <r>
      <rPr>
        <sz val="9"/>
        <rFont val="Times New Roman"/>
        <family val="1"/>
      </rPr>
      <t xml:space="preserve">  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</si>
  <si>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t>Production amount</t>
  </si>
  <si>
    <t>Production of catalysts</t>
  </si>
  <si>
    <r>
      <t>10.  Other</t>
    </r>
    <r>
      <rPr>
        <i/>
        <sz val="9"/>
        <rFont val="Times New Roman"/>
        <family val="1"/>
      </rPr>
      <t xml:space="preserve"> (please specify)</t>
    </r>
  </si>
  <si>
    <r>
      <t>g. Other</t>
    </r>
    <r>
      <rPr>
        <vertAlign val="superscript"/>
        <sz val="9"/>
        <rFont val="Times New Roman"/>
        <family val="1"/>
      </rPr>
      <t>(6)</t>
    </r>
  </si>
  <si>
    <t>f. Carbon black</t>
  </si>
  <si>
    <t>e. Acrylonitrile</t>
  </si>
  <si>
    <t>d. Ethylene oxide</t>
  </si>
  <si>
    <t>c. Ethylene dichloride and vinyl chloride monomer</t>
  </si>
  <si>
    <t>b. Ethylene</t>
  </si>
  <si>
    <t>a. Methanol</t>
  </si>
  <si>
    <t>8. Petrochemical and carbon black production</t>
  </si>
  <si>
    <t>Production</t>
  </si>
  <si>
    <t>7. Soda ash production</t>
  </si>
  <si>
    <t>6. Titanium dioxide production</t>
  </si>
  <si>
    <t>b. Calcium carbide</t>
  </si>
  <si>
    <t>a. Silicon carbide</t>
  </si>
  <si>
    <t>5.  Carbide production</t>
  </si>
  <si>
    <t>c. Glyoxylic acid</t>
  </si>
  <si>
    <t>b. Glyoxal</t>
  </si>
  <si>
    <t>a. Caprolactam</t>
  </si>
  <si>
    <t>4. Caprolactam, glyoxal and glyoxylic acid production</t>
  </si>
  <si>
    <t>3.  Adipic acid production</t>
  </si>
  <si>
    <t xml:space="preserve">2.  Nitric acid production </t>
  </si>
  <si>
    <r>
      <t>1.  Ammonia production</t>
    </r>
    <r>
      <rPr>
        <vertAlign val="superscript"/>
        <sz val="9"/>
        <rFont val="Times New Roman"/>
        <family val="1"/>
      </rPr>
      <t>(5)</t>
    </r>
  </si>
  <si>
    <t xml:space="preserve">B.  Chemical industry </t>
  </si>
  <si>
    <t>Carbonate consumption as CaCO3 eq.</t>
  </si>
  <si>
    <t>d. Other</t>
  </si>
  <si>
    <t>c. Non-metallurgical magnesium production</t>
  </si>
  <si>
    <t>Apparent consumption of soda ash</t>
  </si>
  <si>
    <t>b. Other uses of soda ash</t>
  </si>
  <si>
    <t>a. Ceramics</t>
  </si>
  <si>
    <t>4. Other process uses of carbonates</t>
  </si>
  <si>
    <t>Glass and glass wool</t>
  </si>
  <si>
    <t>3. Glass production</t>
  </si>
  <si>
    <t>Production of Lime</t>
  </si>
  <si>
    <t>2.  Lime production</t>
  </si>
  <si>
    <t>Production of Clinker</t>
  </si>
  <si>
    <t xml:space="preserve">1.  Cement production </t>
  </si>
  <si>
    <t>A.  Mineral industry</t>
  </si>
  <si>
    <t>(t/t)</t>
  </si>
  <si>
    <r>
      <t>Description</t>
    </r>
    <r>
      <rPr>
        <b/>
        <vertAlign val="superscript"/>
        <sz val="9"/>
        <rFont val="Times New Roman"/>
        <family val="1"/>
      </rPr>
      <t>(1)</t>
    </r>
  </si>
  <si>
    <r>
      <t>Recovery</t>
    </r>
    <r>
      <rPr>
        <b/>
        <vertAlign val="superscript"/>
        <sz val="9"/>
        <rFont val="Times New Roman"/>
        <family val="1"/>
      </rPr>
      <t>(4)</t>
    </r>
  </si>
  <si>
    <r>
      <t>Emissions</t>
    </r>
    <r>
      <rPr>
        <b/>
        <vertAlign val="superscript"/>
        <sz val="9"/>
        <rFont val="Times New Roman"/>
        <family val="1"/>
      </rPr>
      <t>(3)</t>
    </r>
  </si>
  <si>
    <t>Production/Consumption quantity</t>
  </si>
  <si>
    <t>SINK CATEGORIES</t>
  </si>
  <si>
    <t>EMISSIONS</t>
  </si>
  <si>
    <r>
      <t>IMPLIED EMISSION FACTORS</t>
    </r>
    <r>
      <rPr>
        <b/>
        <vertAlign val="superscript"/>
        <sz val="9"/>
        <rFont val="Times New Roman"/>
        <family val="1"/>
      </rPr>
      <t>(2)</t>
    </r>
  </si>
  <si>
    <t>ACTIVITY DATA</t>
  </si>
  <si>
    <t xml:space="preserve">GREENHOUSE GAS SOURCE AND </t>
  </si>
  <si>
    <t>(Sheet 1 of 2)</t>
  </si>
  <si>
    <r>
      <t>Emissions of CO</t>
    </r>
    <r>
      <rPr>
        <b/>
        <vertAlign val="subscript"/>
        <sz val="12"/>
        <rFont val="Times New Roman"/>
        <family val="1"/>
      </rPr>
      <t>2</t>
    </r>
    <r>
      <rPr>
        <b/>
        <sz val="12"/>
        <rFont val="Times New Roman"/>
        <family val="1"/>
      </rPr>
      <t>, CH</t>
    </r>
    <r>
      <rPr>
        <b/>
        <vertAlign val="subscript"/>
        <sz val="12"/>
        <rFont val="Times New Roman"/>
        <family val="1"/>
      </rPr>
      <t>4</t>
    </r>
    <r>
      <rPr>
        <b/>
        <sz val="12"/>
        <rFont val="Times New Roman"/>
        <family val="1"/>
      </rPr>
      <t xml:space="preserve"> and N</t>
    </r>
    <r>
      <rPr>
        <b/>
        <vertAlign val="subscript"/>
        <sz val="12"/>
        <rFont val="Times New Roman"/>
        <family val="1"/>
      </rPr>
      <t>2</t>
    </r>
    <r>
      <rPr>
        <b/>
        <sz val="12"/>
        <rFont val="Times New Roman"/>
        <family val="1"/>
      </rPr>
      <t>O</t>
    </r>
  </si>
  <si>
    <t>TABLE 2(I).A-H   SECTORAL BACKGROUND DATA FOR  INDUSTRIAL PROCESSES AND PRODUCT USE</t>
  </si>
  <si>
    <t xml:space="preserve">• Confidentiality: Where only aggregate figures for activity data are provided, e.g. due to reasons of confidentiality, a note indicating this should be provided in this documentation box. </t>
  </si>
  <si>
    <t>• In relation to metal production, more specific information (e.g. data on virgin and recycled steel production) could be provided in this documentation box, or in the NIR, together with a reference to the relevant section of the NIR.</t>
  </si>
  <si>
    <t>• 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t>
  </si>
  <si>
    <t>Documentation Box:</t>
  </si>
  <si>
    <r>
      <t xml:space="preserve">(8)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industrial processes not included in subcategories 2.A-2.G here.</t>
    </r>
  </si>
  <si>
    <r>
      <t xml:space="preserve">(7)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N2O from product uses not included in subcategory G.3.a here.</t>
    </r>
  </si>
  <si>
    <r>
      <t xml:space="preserve">(6) </t>
    </r>
    <r>
      <rPr>
        <sz val="9"/>
        <rFont val="Times New Roman"/>
        <family val="1"/>
      </rPr>
      <t>Emissions from urea used as a catalyst should be reported here.</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</si>
  <si>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non-energy products from fuels  and solvent use not included in subcategories 2.D.1-2.D.2 here.</t>
    </r>
  </si>
  <si>
    <r>
      <t xml:space="preserve">(2)   </t>
    </r>
    <r>
      <rPr>
        <sz val="9"/>
        <rFont val="Times New Roman"/>
        <family val="1"/>
      </rPr>
      <t xml:space="preserve">The IEFs are estimated on the basis of gross emissions as follows: IEF = (emissions + amounts recovered, oxidized, destroyed or transformed) / AD. </t>
    </r>
  </si>
  <si>
    <r>
      <t xml:space="preserve">(1)   </t>
    </r>
    <r>
      <rPr>
        <sz val="9"/>
        <rFont val="Times New Roman"/>
        <family val="1"/>
      </rPr>
      <t xml:space="preserve">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</si>
  <si>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t>2.H.2  Food and beverages industry</t>
  </si>
  <si>
    <r>
      <t xml:space="preserve">H.  Other </t>
    </r>
    <r>
      <rPr>
        <i/>
        <sz val="9"/>
        <rFont val="Times New Roman"/>
        <family val="1"/>
      </rPr>
      <t>(please specify)</t>
    </r>
    <r>
      <rPr>
        <vertAlign val="superscript"/>
        <sz val="9"/>
        <rFont val="Times New Roman"/>
        <family val="1"/>
      </rPr>
      <t>(8)</t>
    </r>
  </si>
  <si>
    <t>Import + production - Export</t>
  </si>
  <si>
    <t>Fireworks</t>
  </si>
  <si>
    <t>Import - Export</t>
  </si>
  <si>
    <t>Charcoal</t>
  </si>
  <si>
    <t>Tobacco</t>
  </si>
  <si>
    <t>Propellant for canned whipped cream</t>
  </si>
  <si>
    <t>Propellant for pressure and aerosol products</t>
  </si>
  <si>
    <r>
      <t>b. Other</t>
    </r>
    <r>
      <rPr>
        <vertAlign val="superscript"/>
        <sz val="9"/>
        <rFont val="Times New Roman"/>
        <family val="1"/>
      </rPr>
      <t>(7)</t>
    </r>
  </si>
  <si>
    <t>Used amount</t>
  </si>
  <si>
    <t>a. Medical applications</t>
  </si>
  <si>
    <t>Urea used in catalysts</t>
  </si>
  <si>
    <t>Other (please specify)</t>
  </si>
  <si>
    <t>Asphalt roofing</t>
  </si>
  <si>
    <t>Road paving with asphalt</t>
  </si>
  <si>
    <t>Solvent use</t>
  </si>
  <si>
    <r>
      <t>3.  Other</t>
    </r>
    <r>
      <rPr>
        <i/>
        <sz val="9"/>
        <rFont val="Times New Roman"/>
        <family val="1"/>
      </rPr>
      <t xml:space="preserve"> (please specify)</t>
    </r>
    <r>
      <rPr>
        <vertAlign val="superscript"/>
        <sz val="9"/>
        <rFont val="Times New Roman"/>
        <family val="1"/>
      </rPr>
      <t>(5)(6)</t>
    </r>
  </si>
  <si>
    <t>Consumption of paraffin wax candles</t>
  </si>
  <si>
    <t>Use of lubricants</t>
  </si>
  <si>
    <t>D.  Non-energy products from fuels
 and solvent use</t>
  </si>
  <si>
    <r>
      <t xml:space="preserve">7.  Other </t>
    </r>
    <r>
      <rPr>
        <i/>
        <sz val="9"/>
        <rFont val="Times New Roman"/>
        <family val="1"/>
      </rPr>
      <t>(please specify)</t>
    </r>
  </si>
  <si>
    <t>6. Zinc production</t>
  </si>
  <si>
    <t>Production of secondary lead</t>
  </si>
  <si>
    <t>5. Lead production</t>
  </si>
  <si>
    <t>4.  Magnesium  production</t>
  </si>
  <si>
    <t>3.  Aluminium production</t>
  </si>
  <si>
    <t>2.  Ferroalloys production</t>
  </si>
  <si>
    <r>
      <t>f. Other</t>
    </r>
    <r>
      <rPr>
        <i/>
        <sz val="9"/>
        <rFont val="Times New Roman"/>
        <family val="1"/>
      </rPr>
      <t xml:space="preserve"> (please specify)</t>
    </r>
  </si>
  <si>
    <t xml:space="preserve">e. Pellet </t>
  </si>
  <si>
    <t>d. Sinter</t>
  </si>
  <si>
    <t>c. Direct reduced iron</t>
  </si>
  <si>
    <t xml:space="preserve">b. Pig iron </t>
  </si>
  <si>
    <t>a. Steel</t>
  </si>
  <si>
    <t>1.  Iron and steel production</t>
  </si>
  <si>
    <t>C.  Metal industry</t>
  </si>
  <si>
    <r>
      <t>Description</t>
    </r>
    <r>
      <rPr>
        <b/>
        <vertAlign val="superscript"/>
        <sz val="9"/>
        <rFont val="Times New Roman"/>
        <family val="1"/>
      </rPr>
      <t xml:space="preserve"> (1)</t>
    </r>
  </si>
  <si>
    <r>
      <t xml:space="preserve">IMPLIED EMISSION FACTORS </t>
    </r>
    <r>
      <rPr>
        <b/>
        <vertAlign val="superscript"/>
        <sz val="9"/>
        <rFont val="Times New Roman"/>
        <family val="1"/>
      </rPr>
      <t>(2)</t>
    </r>
  </si>
  <si>
    <t xml:space="preserve">TABLE 2(I).A-H   SECTORAL BACKGROUND DATA FOR  INDUSTRIAL PROCESSES AND PRODUCT USE                                                                                                      </t>
  </si>
  <si>
    <t>Documenation box</t>
  </si>
  <si>
    <t xml:space="preserve">• If estimates are reported under 2.H  Other, use this documentation box to provide information regarding activities covered under this category and to provide a reference to the section of the NIR where background information can be found. </t>
  </si>
  <si>
    <t>• Parties should provide detailed explanations on the industrial processes sector in chapter 4: industrial processes (CRF sector 2) of the NIR.  Use this documentation box to provide references to relevant sections of the NIR if any additional information and/or further details are needed to understand the content of this table.</t>
  </si>
  <si>
    <r>
      <t xml:space="preserve">Note: </t>
    </r>
    <r>
      <rPr>
        <sz val="9"/>
        <rFont val="Times New Roman"/>
        <family val="1"/>
      </rPr>
      <t>As stated in the UNFCCC reporting guidelines, Parties should report actual emissions of HFCs, PFCs and SF</t>
    </r>
    <r>
      <rPr>
        <vertAlign val="subscript"/>
        <sz val="9"/>
        <rFont val="Times New Roman"/>
        <family val="1"/>
      </rPr>
      <t>6</t>
    </r>
    <r>
      <rPr>
        <sz val="9"/>
        <rFont val="Times New Roman"/>
        <family val="1"/>
      </rPr>
      <t>, where data are available, providing disaggregated data by chemical and source category in units of mass and in CO</t>
    </r>
    <r>
      <rPr>
        <vertAlign val="subscript"/>
        <sz val="9"/>
        <rFont val="Times New Roman"/>
        <family val="1"/>
      </rPr>
      <t>2</t>
    </r>
    <r>
      <rPr>
        <sz val="9"/>
        <rFont val="Times New Roman"/>
        <family val="1"/>
      </rPr>
      <t xml:space="preserve"> eq. Parties reporting actual emissions should also report potential emissions for the sources where the concept of potential emissions applies, for reasons of transparency and comparability.</t>
    </r>
  </si>
  <si>
    <r>
      <t xml:space="preserve">(3)   </t>
    </r>
    <r>
      <rPr>
        <sz val="9"/>
        <rFont val="Times New Roman"/>
        <family val="1"/>
      </rPr>
      <t>Total actual emissions equal the sum of the actual emissions of each halocarbon, sulphur hexafluoride (SF</t>
    </r>
    <r>
      <rPr>
        <vertAlign val="subscript"/>
        <sz val="9"/>
        <rFont val="Times New Roman"/>
        <family val="1"/>
      </rPr>
      <t>6</t>
    </r>
    <r>
      <rPr>
        <sz val="9"/>
        <rFont val="Times New Roman"/>
        <family val="1"/>
      </rPr>
      <t>) and nitrogen trifluoride (NF</t>
    </r>
    <r>
      <rPr>
        <vertAlign val="subscript"/>
        <sz val="9"/>
        <rFont val="Times New Roman"/>
        <family val="1"/>
      </rPr>
      <t>3</t>
    </r>
    <r>
      <rPr>
        <sz val="9"/>
        <rFont val="Times New Roman"/>
        <family val="1"/>
      </rPr>
      <t>) from the categories 2.C, 2.E, 2.F, 2.G and 2.H in this table multiplied by the corresponding global warming potential values.</t>
    </r>
  </si>
  <si>
    <r>
      <t xml:space="preserve">(2)   </t>
    </r>
    <r>
      <rPr>
        <sz val="9"/>
        <rFont val="Times New Roman"/>
        <family val="1"/>
      </rPr>
      <t>ODS ozone-depleting substances</t>
    </r>
  </si>
  <si>
    <r>
      <t xml:space="preserve">(1)   </t>
    </r>
    <r>
      <rPr>
        <sz val="9"/>
        <rFont val="Times New Roman"/>
        <family val="1"/>
      </rPr>
      <t>In accordance with the UNFCCC reporting guidelines, emissions of hydrofluorocarbons (HFCs) and perfluorocarbons (PFCs), unspecified mix of HFCs and PFCs and other fluorinated gases should be reported for each relevant chemical.  However, if it is not possible to report values for each chemical (i.e. owing to mixtures, confidential data, lack of disaggregation), these columns could be used for reporting aggregate figures for HFCs and PFCs, unspecified mix of HFCs and PFCs and fluorinated gases, respectively. Parties should provide information on global warming potential values used in the national inventory review report.  Note that the unit used in these columns is kt of carbon dioxide equivalent (CO</t>
    </r>
    <r>
      <rPr>
        <vertAlign val="subscript"/>
        <sz val="9"/>
        <rFont val="Times New Roman"/>
        <family val="1"/>
      </rPr>
      <t>2</t>
    </r>
    <r>
      <rPr>
        <sz val="9"/>
        <rFont val="Times New Roman"/>
        <family val="1"/>
      </rPr>
      <t xml:space="preserve"> eq). </t>
    </r>
  </si>
  <si>
    <t xml:space="preserve">H.    Other </t>
  </si>
  <si>
    <t>G.    Other product manufacture and use</t>
  </si>
  <si>
    <r>
      <t>F.     Product uses as substitutes for ODS</t>
    </r>
    <r>
      <rPr>
        <b/>
        <sz val="9"/>
        <rFont val="Times New Roman"/>
        <family val="1"/>
      </rPr>
      <t/>
    </r>
  </si>
  <si>
    <t>E.     Electronics industry</t>
  </si>
  <si>
    <t>C.     Metal production</t>
  </si>
  <si>
    <t>B.     Chemical industry</t>
  </si>
  <si>
    <r>
      <t xml:space="preserve">Total emissions </t>
    </r>
    <r>
      <rPr>
        <b/>
        <vertAlign val="superscript"/>
        <sz val="9"/>
        <rFont val="Times New Roman"/>
        <family val="1"/>
      </rPr>
      <t>(3)</t>
    </r>
    <r>
      <rPr>
        <b/>
        <strike/>
        <vertAlign val="superscript"/>
        <sz val="9"/>
        <color indexed="8"/>
        <rFont val="Times New Roman"/>
        <family val="1"/>
      </rPr>
      <t/>
    </r>
  </si>
  <si>
    <r>
      <t>CO</t>
    </r>
    <r>
      <rPr>
        <b/>
        <vertAlign val="subscript"/>
        <sz val="9"/>
        <rFont val="Times New Roman"/>
        <family val="1"/>
      </rPr>
      <t xml:space="preserve">2 </t>
    </r>
    <r>
      <rPr>
        <b/>
        <sz val="9"/>
        <rFont val="Times New Roman"/>
        <family val="1"/>
      </rPr>
      <t>equivalent (kt)</t>
    </r>
  </si>
  <si>
    <r>
      <t xml:space="preserve">H.   Other </t>
    </r>
    <r>
      <rPr>
        <b/>
        <i/>
        <sz val="9"/>
        <rFont val="Times New Roman"/>
        <family val="1"/>
      </rPr>
      <t>(please specify)</t>
    </r>
  </si>
  <si>
    <t>7. Other</t>
  </si>
  <si>
    <t>4. Magnesium production</t>
  </si>
  <si>
    <t>3. Aluminium production</t>
  </si>
  <si>
    <t>C.   Metal industry</t>
  </si>
  <si>
    <t>10. Other</t>
  </si>
  <si>
    <t>Fugitive emissions</t>
  </si>
  <si>
    <t>By-product emissions</t>
  </si>
  <si>
    <t>9. Flurochemical production</t>
  </si>
  <si>
    <t>B.   Chemical industry</t>
  </si>
  <si>
    <r>
      <t>Total actual emissions of halocarbons (by chemical) and SF</t>
    </r>
    <r>
      <rPr>
        <b/>
        <vertAlign val="subscript"/>
        <sz val="9"/>
        <rFont val="Times New Roman"/>
        <family val="1"/>
      </rPr>
      <t>6</t>
    </r>
  </si>
  <si>
    <t>(t)</t>
  </si>
  <si>
    <r>
      <t>NF</t>
    </r>
    <r>
      <rPr>
        <b/>
        <vertAlign val="subscript"/>
        <sz val="9"/>
        <rFont val="Times New Roman"/>
        <family val="1"/>
      </rPr>
      <t>3</t>
    </r>
  </si>
  <si>
    <t>Total PFCs</t>
  </si>
  <si>
    <r>
      <t xml:space="preserve">Unspecified mix of PFCs </t>
    </r>
    <r>
      <rPr>
        <b/>
        <vertAlign val="superscript"/>
        <sz val="9"/>
        <rFont val="Times New Roman"/>
        <family val="1"/>
      </rPr>
      <t>(1)</t>
    </r>
  </si>
  <si>
    <r>
      <t>c-C</t>
    </r>
    <r>
      <rPr>
        <b/>
        <vertAlign val="subscript"/>
        <sz val="9"/>
        <rFont val="Times New Roman"/>
        <family val="1"/>
      </rPr>
      <t>3</t>
    </r>
    <r>
      <rPr>
        <b/>
        <sz val="9"/>
        <rFont val="Times New Roman"/>
        <family val="1"/>
      </rPr>
      <t>F</t>
    </r>
    <r>
      <rPr>
        <b/>
        <vertAlign val="subscript"/>
        <sz val="9"/>
        <rFont val="Times New Roman"/>
        <family val="1"/>
      </rPr>
      <t>6</t>
    </r>
  </si>
  <si>
    <r>
      <t>C</t>
    </r>
    <r>
      <rPr>
        <b/>
        <vertAlign val="subscript"/>
        <sz val="9"/>
        <rFont val="Times New Roman"/>
        <family val="1"/>
      </rPr>
      <t>10</t>
    </r>
    <r>
      <rPr>
        <b/>
        <sz val="9"/>
        <rFont val="Times New Roman"/>
        <family val="1"/>
      </rPr>
      <t>F</t>
    </r>
    <r>
      <rPr>
        <b/>
        <vertAlign val="subscript"/>
        <sz val="9"/>
        <rFont val="Times New Roman"/>
        <family val="1"/>
      </rPr>
      <t>18</t>
    </r>
  </si>
  <si>
    <r>
      <t>C</t>
    </r>
    <r>
      <rPr>
        <b/>
        <vertAlign val="subscript"/>
        <sz val="9"/>
        <rFont val="Times New Roman"/>
        <family val="1"/>
      </rPr>
      <t>6</t>
    </r>
    <r>
      <rPr>
        <b/>
        <sz val="9"/>
        <rFont val="Times New Roman"/>
        <family val="1"/>
      </rPr>
      <t>F</t>
    </r>
    <r>
      <rPr>
        <b/>
        <vertAlign val="subscript"/>
        <sz val="9"/>
        <rFont val="Times New Roman"/>
        <family val="1"/>
      </rPr>
      <t>14</t>
    </r>
  </si>
  <si>
    <r>
      <t>C</t>
    </r>
    <r>
      <rPr>
        <b/>
        <vertAlign val="subscript"/>
        <sz val="9"/>
        <rFont val="Times New Roman"/>
        <family val="1"/>
      </rPr>
      <t>5</t>
    </r>
    <r>
      <rPr>
        <b/>
        <sz val="9"/>
        <rFont val="Times New Roman"/>
        <family val="1"/>
      </rPr>
      <t>F</t>
    </r>
    <r>
      <rPr>
        <b/>
        <vertAlign val="subscript"/>
        <sz val="9"/>
        <rFont val="Times New Roman"/>
        <family val="1"/>
      </rPr>
      <t>12</t>
    </r>
  </si>
  <si>
    <r>
      <t>c-C</t>
    </r>
    <r>
      <rPr>
        <b/>
        <vertAlign val="subscript"/>
        <sz val="9"/>
        <rFont val="Times New Roman"/>
        <family val="1"/>
      </rPr>
      <t>4</t>
    </r>
    <r>
      <rPr>
        <b/>
        <sz val="9"/>
        <rFont val="Times New Roman"/>
        <family val="1"/>
      </rPr>
      <t>F</t>
    </r>
    <r>
      <rPr>
        <b/>
        <vertAlign val="subscript"/>
        <sz val="9"/>
        <rFont val="Times New Roman"/>
        <family val="1"/>
      </rPr>
      <t>8</t>
    </r>
  </si>
  <si>
    <r>
      <t>C</t>
    </r>
    <r>
      <rPr>
        <b/>
        <vertAlign val="subscript"/>
        <sz val="9"/>
        <rFont val="Times New Roman"/>
        <family val="1"/>
      </rPr>
      <t>4</t>
    </r>
    <r>
      <rPr>
        <b/>
        <sz val="9"/>
        <rFont val="Times New Roman"/>
        <family val="1"/>
      </rPr>
      <t>F</t>
    </r>
    <r>
      <rPr>
        <b/>
        <vertAlign val="subscript"/>
        <sz val="9"/>
        <rFont val="Times New Roman"/>
        <family val="1"/>
      </rPr>
      <t>10</t>
    </r>
  </si>
  <si>
    <r>
      <t xml:space="preserve">C </t>
    </r>
    <r>
      <rPr>
        <b/>
        <vertAlign val="subscript"/>
        <sz val="9"/>
        <rFont val="Times New Roman"/>
        <family val="1"/>
      </rPr>
      <t>3</t>
    </r>
    <r>
      <rPr>
        <b/>
        <sz val="9"/>
        <rFont val="Times New Roman"/>
        <family val="1"/>
      </rPr>
      <t>F</t>
    </r>
    <r>
      <rPr>
        <b/>
        <vertAlign val="subscript"/>
        <sz val="9"/>
        <rFont val="Times New Roman"/>
        <family val="1"/>
      </rPr>
      <t>8</t>
    </r>
  </si>
  <si>
    <r>
      <t>C</t>
    </r>
    <r>
      <rPr>
        <b/>
        <vertAlign val="subscript"/>
        <sz val="9"/>
        <rFont val="Times New Roman"/>
        <family val="1"/>
      </rPr>
      <t>2</t>
    </r>
    <r>
      <rPr>
        <b/>
        <sz val="9"/>
        <rFont val="Times New Roman"/>
        <family val="1"/>
      </rPr>
      <t>F</t>
    </r>
    <r>
      <rPr>
        <b/>
        <vertAlign val="subscript"/>
        <sz val="9"/>
        <rFont val="Times New Roman"/>
        <family val="1"/>
      </rPr>
      <t>6</t>
    </r>
  </si>
  <si>
    <r>
      <t>CF</t>
    </r>
    <r>
      <rPr>
        <b/>
        <vertAlign val="subscript"/>
        <sz val="9"/>
        <rFont val="Times New Roman"/>
        <family val="1"/>
      </rPr>
      <t>4</t>
    </r>
  </si>
  <si>
    <t>Total HFCs</t>
  </si>
  <si>
    <r>
      <t>Unspecified mix of HFCs</t>
    </r>
    <r>
      <rPr>
        <b/>
        <vertAlign val="superscript"/>
        <sz val="9"/>
        <rFont val="Times New Roman"/>
        <family val="1"/>
      </rPr>
      <t xml:space="preserve"> (1)</t>
    </r>
  </si>
  <si>
    <t>HFC-365mfc</t>
  </si>
  <si>
    <t>HFC-245fa</t>
  </si>
  <si>
    <t>HFC-245ca</t>
  </si>
  <si>
    <t>HFC-236fa</t>
  </si>
  <si>
    <t>HFC-236ea</t>
  </si>
  <si>
    <t>HFC-236cb</t>
  </si>
  <si>
    <t>HFC-227ea</t>
  </si>
  <si>
    <t>HFC-161</t>
  </si>
  <si>
    <t>HFC-152a</t>
  </si>
  <si>
    <t>HFC-152</t>
  </si>
  <si>
    <t>HFC-143a</t>
  </si>
  <si>
    <t>HFC-143</t>
  </si>
  <si>
    <t>HFC-134a</t>
  </si>
  <si>
    <t>HFC-134</t>
  </si>
  <si>
    <t>HFC-125</t>
  </si>
  <si>
    <t>HFC-43-10mee</t>
  </si>
  <si>
    <t>HFC-41</t>
  </si>
  <si>
    <t>HFC-32</t>
  </si>
  <si>
    <t>HFC-23</t>
  </si>
  <si>
    <t>(Sheet 1 of 1)</t>
  </si>
  <si>
    <r>
      <t>TABLE 2(II) SECTORAL REPORT FOR INDUSTRIAL PROCESSES AND PRODUCT USE - EMISSIONS OF HFCs, PFCs, SF</t>
    </r>
    <r>
      <rPr>
        <b/>
        <vertAlign val="subscript"/>
        <sz val="12"/>
        <rFont val="Times New Roman"/>
        <family val="1"/>
      </rPr>
      <t>6</t>
    </r>
    <r>
      <rPr>
        <b/>
        <sz val="12"/>
        <rFont val="Times New Roman"/>
        <family val="1"/>
      </rPr>
      <t xml:space="preserve"> AND NF3</t>
    </r>
  </si>
  <si>
    <t>(b) Parameters relevant to the application of the 2006 IPCC Guidelines.</t>
  </si>
  <si>
    <t>(a) Disaggregation of livestock population (e.g. according to the classification recommended in the 2006 IPCC guidelines;</t>
  </si>
  <si>
    <t xml:space="preserve">• Provide a reference to the relevant section in the NIR, in particular with regard to: </t>
  </si>
  <si>
    <t>• Parties should provide detailed explanations on the agriculture sector, including information from the additional information box, in chapter 5: Agriculture (CRF sector 3) of the NIR.  Use this documentation box to provide references to relevant sections of the NIR if any additional information and/or further details are needed to understand the content of this table.</t>
  </si>
  <si>
    <r>
      <t xml:space="preserve">(6)   </t>
    </r>
    <r>
      <rPr>
        <sz val="9"/>
        <rFont val="Times New Roman"/>
        <family val="1"/>
      </rPr>
      <t>This could include fox and raccoon and mink and polecat.</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</si>
  <si>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3.A.1-3.A.3 under other (please specify).</t>
    </r>
  </si>
  <si>
    <r>
      <t xml:space="preserve">(4)   </t>
    </r>
    <r>
      <rPr>
        <sz val="9"/>
        <rFont val="Times New Roman"/>
        <family val="1"/>
      </rPr>
      <t xml:space="preserve">Option C should be used when Parties want to report a more disaggregate livestock categorization compared with option A and option B. </t>
    </r>
  </si>
  <si>
    <r>
      <t xml:space="preserve">(3)   </t>
    </r>
    <r>
      <rPr>
        <sz val="9"/>
        <rFont val="Times New Roman"/>
        <family val="1"/>
      </rPr>
      <t>Including data on dairy heifers, if available.</t>
    </r>
  </si>
  <si>
    <r>
      <t xml:space="preserve">(2)    </t>
    </r>
    <r>
      <rPr>
        <sz val="9"/>
        <rFont val="Times New Roman"/>
        <family val="1"/>
      </rPr>
      <t>Y</t>
    </r>
    <r>
      <rPr>
        <vertAlign val="subscript"/>
        <sz val="9"/>
        <rFont val="Times New Roman"/>
        <family val="1"/>
      </rPr>
      <t>m</t>
    </r>
    <r>
      <rPr>
        <sz val="9"/>
        <rFont val="Times New Roman"/>
        <family val="1"/>
      </rPr>
      <t xml:space="preserve"> refers to the fraction of gross energy in feed converted to CH</t>
    </r>
    <r>
      <rPr>
        <vertAlign val="subscript"/>
        <sz val="9"/>
        <rFont val="Times New Roman"/>
        <family val="1"/>
      </rPr>
      <t>4</t>
    </r>
    <r>
      <rPr>
        <sz val="9"/>
        <rFont val="Times New Roman"/>
        <family val="1"/>
      </rPr>
      <t xml:space="preserve"> and should be given in per cent in this table.</t>
    </r>
  </si>
  <si>
    <r>
      <t>(1)</t>
    </r>
    <r>
      <rPr>
        <sz val="9"/>
        <rFont val="Times New Roman"/>
        <family val="1"/>
      </rPr>
      <t xml:space="preserve">   Parties are encouraged to provide detailed livestock population data by animal type and region, if available, in the national inventory report (NIR), and provide in the documentation box below a reference to the relevant section. Parties should use the same animal population statistics to estimate methane (CH</t>
    </r>
    <r>
      <rPr>
        <vertAlign val="subscript"/>
        <sz val="9"/>
        <rFont val="Times New Roman"/>
        <family val="1"/>
      </rPr>
      <t>4</t>
    </r>
    <r>
      <rPr>
        <sz val="9"/>
        <rFont val="Times New Roman"/>
        <family val="1"/>
      </rPr>
      <t>) emissions from enteric fermentation, CH</t>
    </r>
    <r>
      <rPr>
        <vertAlign val="subscript"/>
        <sz val="9"/>
        <rFont val="Times New Roman"/>
        <family val="1"/>
      </rPr>
      <t>4</t>
    </r>
    <r>
      <rPr>
        <sz val="9"/>
        <rFont val="Times New Roman"/>
        <family val="1"/>
      </rPr>
      <t xml:space="preserve"> and nitrous oxide (N</t>
    </r>
    <r>
      <rPr>
        <vertAlign val="subscript"/>
        <sz val="9"/>
        <rFont val="Times New Roman"/>
        <family val="1"/>
      </rPr>
      <t>2</t>
    </r>
    <r>
      <rPr>
        <sz val="9"/>
        <rFont val="Times New Roman"/>
        <family val="1"/>
      </rPr>
      <t>O) from manure management, N</t>
    </r>
    <r>
      <rPr>
        <vertAlign val="subscript"/>
        <sz val="9"/>
        <rFont val="Times New Roman"/>
        <family val="1"/>
      </rPr>
      <t>2</t>
    </r>
    <r>
      <rPr>
        <sz val="9"/>
        <rFont val="Times New Roman"/>
        <family val="1"/>
      </rPr>
      <t>O direct emissions from soil and N</t>
    </r>
    <r>
      <rPr>
        <vertAlign val="subscript"/>
        <sz val="9"/>
        <rFont val="Times New Roman"/>
        <family val="1"/>
      </rPr>
      <t>2</t>
    </r>
    <r>
      <rPr>
        <sz val="9"/>
        <rFont val="Times New Roman"/>
        <family val="1"/>
      </rPr>
      <t xml:space="preserve">O emissions associated with manure production, as well as emissions from the use of manure as fuel, and sewage-related emissions reported in the waste sector. </t>
    </r>
  </si>
  <si>
    <t>NE</t>
  </si>
  <si>
    <t>Other</t>
  </si>
  <si>
    <t>Ostrich</t>
  </si>
  <si>
    <t>Poultry</t>
  </si>
  <si>
    <t>Horses</t>
  </si>
  <si>
    <t>Goats</t>
  </si>
  <si>
    <t>Deer</t>
  </si>
  <si>
    <r>
      <t>4.    Other livestock</t>
    </r>
    <r>
      <rPr>
        <vertAlign val="superscript"/>
        <sz val="9"/>
        <rFont val="Times New Roman"/>
        <family val="1"/>
      </rPr>
      <t>(5)</t>
    </r>
  </si>
  <si>
    <t>Swine</t>
  </si>
  <si>
    <r>
      <t xml:space="preserve">Other </t>
    </r>
    <r>
      <rPr>
        <i/>
        <sz val="9"/>
        <rFont val="Times New Roman"/>
        <family val="1"/>
      </rPr>
      <t>(please specify)</t>
    </r>
  </si>
  <si>
    <t>3.    Swine</t>
  </si>
  <si>
    <t>Sheep</t>
  </si>
  <si>
    <t>2.    Sheep</t>
  </si>
  <si>
    <r>
      <t>Option C (country-specific</t>
    </r>
    <r>
      <rPr>
        <b/>
        <i/>
        <vertAlign val="superscript"/>
        <sz val="9"/>
        <rFont val="Times New Roman"/>
        <family val="1"/>
      </rPr>
      <t>(4)</t>
    </r>
    <r>
      <rPr>
        <i/>
        <sz val="9"/>
        <rFont val="Times New Roman"/>
        <family val="1"/>
      </rPr>
      <t>:</t>
    </r>
  </si>
  <si>
    <t>Growing cattle</t>
  </si>
  <si>
    <t>Other mature cattle</t>
  </si>
  <si>
    <t>Mature dairy cattle</t>
  </si>
  <si>
    <t>Option B:</t>
  </si>
  <si>
    <t>Non-dairy cattle</t>
  </si>
  <si>
    <r>
      <t>Dairy cattle</t>
    </r>
    <r>
      <rPr>
        <vertAlign val="superscript"/>
        <sz val="9"/>
        <rFont val="Times New Roman"/>
        <family val="1"/>
      </rPr>
      <t>(3)</t>
    </r>
  </si>
  <si>
    <t>Option A:</t>
  </si>
  <si>
    <t>1.    Cattle</t>
  </si>
  <si>
    <r>
      <t>(kg CH</t>
    </r>
    <r>
      <rPr>
        <b/>
        <vertAlign val="subscript"/>
        <sz val="9"/>
        <rFont val="Times New Roman"/>
        <family val="1"/>
      </rPr>
      <t>4</t>
    </r>
    <r>
      <rPr>
        <b/>
        <sz val="9"/>
        <rFont val="Times New Roman"/>
        <family val="1"/>
      </rPr>
      <t>/head/yr)</t>
    </r>
  </si>
  <si>
    <t>(%)</t>
  </si>
  <si>
    <t>(MJ/head/day)</t>
  </si>
  <si>
    <t xml:space="preserve"> (1000s)</t>
  </si>
  <si>
    <r>
      <t>Average CH</t>
    </r>
    <r>
      <rPr>
        <b/>
        <vertAlign val="subscript"/>
        <sz val="9"/>
        <rFont val="Times New Roman"/>
        <family val="1"/>
      </rPr>
      <t>4</t>
    </r>
    <r>
      <rPr>
        <b/>
        <sz val="9"/>
        <rFont val="Times New Roman"/>
        <family val="1"/>
      </rPr>
      <t xml:space="preserve"> conversion rate (Y</t>
    </r>
    <r>
      <rPr>
        <b/>
        <vertAlign val="subscript"/>
        <sz val="9"/>
        <rFont val="Times New Roman"/>
        <family val="1"/>
      </rPr>
      <t>m</t>
    </r>
    <r>
      <rPr>
        <b/>
        <sz val="9"/>
        <rFont val="Times New Roman"/>
        <family val="1"/>
      </rPr>
      <t>)</t>
    </r>
    <r>
      <rPr>
        <b/>
        <vertAlign val="superscript"/>
        <sz val="9"/>
        <rFont val="Times New Roman"/>
        <family val="1"/>
      </rPr>
      <t>(2)</t>
    </r>
  </si>
  <si>
    <t>Average gross energy intake (GE)</t>
  </si>
  <si>
    <r>
      <t>Population  size</t>
    </r>
    <r>
      <rPr>
        <b/>
        <vertAlign val="superscript"/>
        <sz val="9"/>
        <rFont val="Times New Roman"/>
        <family val="1"/>
      </rPr>
      <t>(1)</t>
    </r>
  </si>
  <si>
    <t>IMPLIED EMISSION FACTORS</t>
  </si>
  <si>
    <t>ACTIVITY  DATA  AND  OTHER  RELATED  INFORMATION</t>
  </si>
  <si>
    <t xml:space="preserve">Enteric Fermentation </t>
  </si>
  <si>
    <t>TABLE 3.A SECTORAL BACKGROUND DATA FOR AGRICULTURE</t>
  </si>
  <si>
    <t xml:space="preserve">    (b) Full list of assumptions and fractions used.</t>
  </si>
  <si>
    <r>
      <t xml:space="preserve">    (a) Background information on methane (CH</t>
    </r>
    <r>
      <rPr>
        <vertAlign val="subscript"/>
        <sz val="9"/>
        <rFont val="Times New Roman"/>
        <family val="1"/>
      </rPr>
      <t>4</t>
    </r>
    <r>
      <rPr>
        <sz val="9"/>
        <rFont val="Times New Roman"/>
        <family val="1"/>
      </rPr>
      <t>) emissions from agricultural soils, if accounted for under the agriculture sector;</t>
    </r>
  </si>
  <si>
    <t>• 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</si>
  <si>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r>
      <t>(a)</t>
    </r>
    <r>
      <rPr>
        <sz val="9"/>
        <rFont val="Times New Roman"/>
        <family val="1"/>
      </rPr>
      <t xml:space="preserve"> Use the definitions for fractions as specified in the 2006 IPCC Guidelines (pp. 11.13-11.22 of chapter 11 of volume 4) </t>
    </r>
  </si>
  <si>
    <r>
      <t xml:space="preserve">Other fractions </t>
    </r>
    <r>
      <rPr>
        <i/>
        <sz val="9"/>
        <rFont val="Times New Roman"/>
        <family val="1"/>
      </rPr>
      <t>(please specify)</t>
    </r>
  </si>
  <si>
    <t>Fraction of N input to managed soils that is lost through leaching and run-off</t>
  </si>
  <si>
    <r>
      <t>Frac</t>
    </r>
    <r>
      <rPr>
        <vertAlign val="subscript"/>
        <sz val="9"/>
        <rFont val="Times New Roman"/>
        <family val="1"/>
      </rPr>
      <t>LEACH-(H)</t>
    </r>
  </si>
  <si>
    <r>
      <t>Fraction of livestock N excretion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</si>
  <si>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r>
      <t>Frac</t>
    </r>
    <r>
      <rPr>
        <vertAlign val="subscript"/>
        <sz val="9"/>
        <rFont val="Times New Roman"/>
        <family val="1"/>
      </rPr>
      <t>GASM</t>
    </r>
  </si>
  <si>
    <r>
      <t>Fraction of synthetic fertilizer N applied to soils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</si>
  <si>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r>
      <t>Frac</t>
    </r>
    <r>
      <rPr>
        <vertAlign val="subscript"/>
        <sz val="9"/>
        <rFont val="Times New Roman"/>
        <family val="1"/>
      </rPr>
      <t>GASF</t>
    </r>
  </si>
  <si>
    <t>Value</t>
  </si>
  <si>
    <t>Description</t>
  </si>
  <si>
    <r>
      <t xml:space="preserve">Fraction </t>
    </r>
    <r>
      <rPr>
        <b/>
        <vertAlign val="superscript"/>
        <sz val="9"/>
        <rFont val="Times New Roman"/>
        <family val="1"/>
      </rPr>
      <t>(a)</t>
    </r>
  </si>
  <si>
    <t>Additional information</t>
  </si>
  <si>
    <r>
      <t>(6)</t>
    </r>
    <r>
      <rPr>
        <sz val="9"/>
        <rFont val="Times New Roman"/>
        <family val="1"/>
      </rPr>
      <t xml:space="preserve">   Only atmospheric deposition of nitrogen (N) volatilised from agricultural inputs of N are to be reported here, not including NOx associated with the burning of savannahs and crop residues.</t>
    </r>
  </si>
  <si>
    <r>
      <t xml:space="preserve">(5)  </t>
    </r>
    <r>
      <rPr>
        <sz val="9"/>
        <rFont val="Times New Roman"/>
        <family val="1"/>
      </rPr>
      <t>Methodologies for N</t>
    </r>
    <r>
      <rPr>
        <vertAlign val="subscript"/>
        <sz val="9"/>
        <rFont val="Times New Roman"/>
        <family val="1"/>
      </rPr>
      <t>2</t>
    </r>
    <r>
      <rPr>
        <sz val="9"/>
        <rFont val="Times New Roman"/>
        <family val="1"/>
      </rPr>
      <t>O emissions from N mineralization/immobilization associated with loss/gain of soil organic matter resulting management of mineral soils are based on equations 11.1, 11.2 and 11.8 of the 2006 IPCC Guidelines. N</t>
    </r>
    <r>
      <rPr>
        <vertAlign val="subscript"/>
        <sz val="9"/>
        <rFont val="Times New Roman"/>
        <family val="1"/>
      </rPr>
      <t>2</t>
    </r>
    <r>
      <rPr>
        <sz val="9"/>
        <rFont val="Times New Roman"/>
        <family val="1"/>
      </rPr>
      <t>O immobilization associated with gain of organic matter resulting from management of mineral soils can be reported only when a Party applies a tier 3 approach in the relevant calculation.</t>
    </r>
  </si>
  <si>
    <r>
      <t>(4)</t>
    </r>
    <r>
      <rPr>
        <sz val="9"/>
        <rFont val="Times New Roman"/>
        <family val="1"/>
      </rPr>
      <t xml:space="preserve">   Emissions from management changes in cropland remaining cropland would be reported in this table. </t>
    </r>
  </si>
  <si>
    <r>
      <t>(3)</t>
    </r>
    <r>
      <rPr>
        <sz val="9"/>
        <rFont val="Times New Roman"/>
        <family val="1"/>
      </rPr>
      <t xml:space="preserve">    Include the application of fertilizers on cropland and grassland. If the application of fertilizers to other land categories cannot be separately identified, this application should be included here.</t>
    </r>
  </si>
  <si>
    <r>
      <t>(2)</t>
    </r>
    <r>
      <rPr>
        <sz val="9"/>
        <rFont val="Times New Roman"/>
        <family val="1"/>
      </rPr>
      <t xml:space="preserve">   For cultivation of histosols the unit of the IEF is kg N</t>
    </r>
    <r>
      <rPr>
        <vertAlign val="subscript"/>
        <sz val="9"/>
        <rFont val="Times New Roman"/>
        <family val="1"/>
      </rPr>
      <t>2</t>
    </r>
    <r>
      <rPr>
        <sz val="9"/>
        <rFont val="Times New Roman"/>
        <family val="1"/>
      </rPr>
      <t>O–N/ha. The emissions from cultivation/management of croplands and grasslands are to be included. For a definition of organic soils, see footnote 4, page 11.6 of chapter 11 of volume 4 of the 2006 IPCC Guidelines.</t>
    </r>
  </si>
  <si>
    <r>
      <t xml:space="preserve">(1)   </t>
    </r>
    <r>
      <rPr>
        <sz val="9"/>
        <rFont val="Times New Roman"/>
        <family val="1"/>
      </rPr>
      <t>To convert from N</t>
    </r>
    <r>
      <rPr>
        <vertAlign val="subscript"/>
        <sz val="9"/>
        <rFont val="Times New Roman"/>
        <family val="1"/>
      </rPr>
      <t>2</t>
    </r>
    <r>
      <rPr>
        <sz val="9"/>
        <rFont val="Times New Roman"/>
        <family val="1"/>
      </rPr>
      <t>O-N to N</t>
    </r>
    <r>
      <rPr>
        <vertAlign val="subscript"/>
        <sz val="9"/>
        <rFont val="Times New Roman"/>
        <family val="1"/>
      </rPr>
      <t>2</t>
    </r>
    <r>
      <rPr>
        <sz val="9"/>
        <rFont val="Times New Roman"/>
        <family val="1"/>
      </rPr>
      <t xml:space="preserve">O emissions, multiply by 44/28. </t>
    </r>
  </si>
  <si>
    <t>N from fertilizers and other agricultural inputs that is lost through leaching and run-off</t>
  </si>
  <si>
    <t>2.   Nitrogen leaching and run-off</t>
  </si>
  <si>
    <t>Volatilized N from agricultural inputs of N</t>
  </si>
  <si>
    <r>
      <t>1.   Atmospheric deposition</t>
    </r>
    <r>
      <rPr>
        <vertAlign val="superscript"/>
        <sz val="9"/>
        <rFont val="Times New Roman"/>
        <family val="1"/>
      </rPr>
      <t>(6)</t>
    </r>
  </si>
  <si>
    <r>
      <t>b. Indirect N</t>
    </r>
    <r>
      <rPr>
        <b/>
        <vertAlign val="subscript"/>
        <sz val="9"/>
        <rFont val="Times New Roman"/>
        <family val="1"/>
      </rPr>
      <t>2</t>
    </r>
    <r>
      <rPr>
        <b/>
        <sz val="9"/>
        <rFont val="Times New Roman"/>
        <family val="1"/>
      </rPr>
      <t xml:space="preserve">O Emissions from managed soils </t>
    </r>
  </si>
  <si>
    <t>Amount</t>
  </si>
  <si>
    <t>7.   Other</t>
  </si>
  <si>
    <t>Area of cultivated organic soils</t>
  </si>
  <si>
    <r>
      <t>6.   Cultivation of organic soils (i.e. histosols)</t>
    </r>
    <r>
      <rPr>
        <vertAlign val="superscript"/>
        <sz val="9"/>
        <rFont val="Times New Roman"/>
        <family val="1"/>
      </rPr>
      <t>(2)</t>
    </r>
  </si>
  <si>
    <t>N in mineral soils that is mineralized in association with loss of soil C</t>
  </si>
  <si>
    <r>
      <t xml:space="preserve">5.  Mineralization/immobilization associated with loss/gain of soil organic matter </t>
    </r>
    <r>
      <rPr>
        <vertAlign val="superscript"/>
        <sz val="9"/>
        <rFont val="Times New Roman"/>
        <family val="1"/>
      </rPr>
      <t>(4)(5)</t>
    </r>
  </si>
  <si>
    <t>N in crop residues returned to soils</t>
  </si>
  <si>
    <t>4.   Crop residues</t>
  </si>
  <si>
    <t>N excretion on pasture, range and paddock</t>
  </si>
  <si>
    <t>3.   Urine and dung deposited by grazing animals</t>
  </si>
  <si>
    <t>N input from application of other organic fertilizers</t>
  </si>
  <si>
    <t xml:space="preserve">      c. Other organic fertilizers applied to soils</t>
  </si>
  <si>
    <t>N input from sewage sludge applied to soils</t>
  </si>
  <si>
    <t xml:space="preserve">      b. Sewage sludge applied to soils</t>
  </si>
  <si>
    <t>N input from manure applied to soils</t>
  </si>
  <si>
    <t xml:space="preserve">      a. Animal manure applied to soils</t>
  </si>
  <si>
    <t>N input from organic N fertilizers to cropland and grassland</t>
  </si>
  <si>
    <r>
      <t>2.   Organic N fertilizers</t>
    </r>
    <r>
      <rPr>
        <vertAlign val="superscript"/>
        <sz val="9"/>
        <rFont val="Times New Roman"/>
        <family val="1"/>
      </rPr>
      <t>(3)</t>
    </r>
  </si>
  <si>
    <t>N input from application of inorganic fertilizers to cropland and grassland</t>
  </si>
  <si>
    <r>
      <t>1.   Inorganic N fertilizers</t>
    </r>
    <r>
      <rPr>
        <vertAlign val="superscript"/>
        <sz val="9"/>
        <rFont val="Times New Roman"/>
        <family val="1"/>
      </rPr>
      <t>(3)</t>
    </r>
  </si>
  <si>
    <r>
      <t>a. Direct N</t>
    </r>
    <r>
      <rPr>
        <b/>
        <vertAlign val="subscript"/>
        <sz val="9"/>
        <rFont val="Times New Roman"/>
        <family val="1"/>
      </rPr>
      <t>2</t>
    </r>
    <r>
      <rPr>
        <b/>
        <sz val="9"/>
        <rFont val="Times New Roman"/>
        <family val="1"/>
      </rPr>
      <t xml:space="preserve">O emissions from managed soils </t>
    </r>
  </si>
  <si>
    <r>
      <t>kg N</t>
    </r>
    <r>
      <rPr>
        <b/>
        <vertAlign val="subscript"/>
        <sz val="9"/>
        <rFont val="Times New Roman"/>
        <family val="1"/>
      </rPr>
      <t>2</t>
    </r>
    <r>
      <rPr>
        <b/>
        <sz val="9"/>
        <rFont val="Times New Roman"/>
        <family val="1"/>
      </rPr>
      <t>O-N/kg N</t>
    </r>
    <r>
      <rPr>
        <b/>
        <vertAlign val="superscript"/>
        <sz val="9"/>
        <rFont val="Times New Roman"/>
        <family val="1"/>
      </rPr>
      <t>(1)(2)</t>
    </r>
  </si>
  <si>
    <t>kg N/yr</t>
  </si>
  <si>
    <t>ACTIVITY  DATA   AND  OTHER  RELATED  INFORMATION</t>
  </si>
  <si>
    <r>
      <t>Direct and indirect N</t>
    </r>
    <r>
      <rPr>
        <b/>
        <vertAlign val="subscript"/>
        <sz val="12"/>
        <rFont val="Times New Roman"/>
        <family val="1"/>
      </rPr>
      <t>2</t>
    </r>
    <r>
      <rPr>
        <b/>
        <sz val="12"/>
        <rFont val="Times New Roman"/>
        <family val="1"/>
      </rPr>
      <t>O emissions from agricultural soils</t>
    </r>
  </si>
  <si>
    <t xml:space="preserve">TABLE 3.D  SECTORAL BACKGROUND DATA FOR AGRICULTURE </t>
  </si>
  <si>
    <t>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</si>
  <si>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r>
      <t>(1)</t>
    </r>
    <r>
      <rPr>
        <sz val="9"/>
        <rFont val="Times New Roman"/>
        <family val="1"/>
      </rPr>
      <t xml:space="preserve"> Emissions should include all national liming regardless of land use. A Party should report total estimates for total lime application.</t>
    </r>
  </si>
  <si>
    <t>NOx from 3B</t>
  </si>
  <si>
    <t>J.  Other (please specify)</t>
  </si>
  <si>
    <t>I.  Other carbon-containing fertlizers</t>
  </si>
  <si>
    <t>H.  Urea application</t>
  </si>
  <si>
    <r>
      <t xml:space="preserve">             Dolomite CaMg(CO</t>
    </r>
    <r>
      <rPr>
        <vertAlign val="subscript"/>
        <sz val="9"/>
        <rFont val="Times New Roman"/>
        <family val="1"/>
      </rPr>
      <t>3</t>
    </r>
    <r>
      <rPr>
        <sz val="9"/>
        <rFont val="Times New Roman"/>
        <family val="1"/>
      </rPr>
      <t>)</t>
    </r>
    <r>
      <rPr>
        <vertAlign val="subscript"/>
        <sz val="9"/>
        <rFont val="Times New Roman"/>
        <family val="1"/>
      </rPr>
      <t>2</t>
    </r>
  </si>
  <si>
    <r>
      <t xml:space="preserve">             Limestone CaCO</t>
    </r>
    <r>
      <rPr>
        <vertAlign val="subscript"/>
        <sz val="9"/>
        <rFont val="Times New Roman"/>
        <family val="1"/>
      </rPr>
      <t>3</t>
    </r>
  </si>
  <si>
    <r>
      <t>G.  Liming</t>
    </r>
    <r>
      <rPr>
        <b/>
        <vertAlign val="superscript"/>
        <sz val="9"/>
        <rFont val="Times New Roman"/>
        <family val="1"/>
      </rPr>
      <t>(1)</t>
    </r>
  </si>
  <si>
    <r>
      <t>(t CO</t>
    </r>
    <r>
      <rPr>
        <b/>
        <vertAlign val="subscript"/>
        <sz val="9"/>
        <rFont val="Times New Roman"/>
        <family val="1"/>
      </rPr>
      <t>2</t>
    </r>
    <r>
      <rPr>
        <b/>
        <sz val="9"/>
        <rFont val="Times New Roman"/>
        <family val="1"/>
      </rPr>
      <t>–C /t)</t>
    </r>
  </si>
  <si>
    <t>(t/yr)</t>
  </si>
  <si>
    <r>
      <t>CO</t>
    </r>
    <r>
      <rPr>
        <b/>
        <vertAlign val="subscript"/>
        <sz val="9"/>
        <rFont val="Times New Roman"/>
        <family val="1"/>
      </rPr>
      <t>2</t>
    </r>
    <r>
      <rPr>
        <b/>
        <sz val="9"/>
        <rFont val="Times New Roman"/>
        <family val="1"/>
      </rPr>
      <t xml:space="preserve">-C per unit </t>
    </r>
  </si>
  <si>
    <t>Amount applied</t>
  </si>
  <si>
    <r>
      <t>EMISSIONS</t>
    </r>
    <r>
      <rPr>
        <b/>
        <vertAlign val="superscript"/>
        <sz val="9"/>
        <rFont val="Times New Roman"/>
        <family val="1"/>
      </rPr>
      <t xml:space="preserve"> </t>
    </r>
  </si>
  <si>
    <r>
      <t>CO</t>
    </r>
    <r>
      <rPr>
        <b/>
        <vertAlign val="subscript"/>
        <sz val="12"/>
        <rFont val="Times New Roman"/>
        <family val="1"/>
      </rPr>
      <t>2</t>
    </r>
    <r>
      <rPr>
        <b/>
        <sz val="12"/>
        <rFont val="Times New Roman"/>
        <family val="1"/>
      </rPr>
      <t xml:space="preserve"> emissions from liming, urea application and other carbon-containing fertilizers</t>
    </r>
  </si>
  <si>
    <t>TABLE 3.G-I SECTORAL BACKGROUND DATA FOR AGRICULTURE</t>
  </si>
  <si>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</si>
  <si>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r>
      <t>(8)</t>
    </r>
    <r>
      <rPr>
        <sz val="9"/>
        <rFont val="Times New Roman"/>
        <family val="1"/>
      </rPr>
      <t xml:space="preserve"> A Party may report aggregated estimates for all conversions of land to forest land when data are not available to report them separately. A Party should specify in the documentation box which types of land conversion are included.</t>
    </r>
  </si>
  <si>
    <r>
      <t>(7)</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</si>
  <si>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(6)</t>
    </r>
    <r>
      <rPr>
        <sz val="9"/>
        <rFont val="Times New Roman"/>
        <family val="1"/>
      </rPr>
      <t xml:space="preserve"> Parties who wish to do so may report annual on-site CO2-C emissions/removals and off-site CO2-C emissions from drained and rewetted organic soils here.</t>
    </r>
  </si>
  <si>
    <r>
      <t xml:space="preserve">(5) </t>
    </r>
    <r>
      <rPr>
        <sz val="9"/>
        <rFont val="Times New Roman"/>
        <family val="1"/>
      </rPr>
      <t>When Parties cannot estimate carbon stock changes for organic and mineral soil separately, these should be reported under mineral soils.</t>
    </r>
  </si>
  <si>
    <r>
      <t xml:space="preserve">(4) </t>
    </r>
    <r>
      <rPr>
        <sz val="9"/>
        <rFont val="Times New Roman"/>
        <family val="1"/>
      </rPr>
      <t xml:space="preserve">The signs for estimates of gains in carbon stocks are positive (+) and of losses in carbon stocks are negative (–).  </t>
    </r>
  </si>
  <si>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</si>
  <si>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(2)</t>
    </r>
    <r>
      <rPr>
        <sz val="9"/>
        <rFont val="Times New Roman"/>
        <family val="1"/>
      </rPr>
      <t xml:space="preserve"> The total area of the subcategories, in accordance with the subdivision used, should be entered here. For lands converted to forest land report the cumulative area remaining in the category in the reporting year. The total area should equal the area of mineral soil plus the area of organic soil by subcategory. </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</si>
  <si>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</si>
  <si>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t>Denmark</t>
  </si>
  <si>
    <t>2.5 Other land converted to forest land</t>
  </si>
  <si>
    <t>2.4 Settlements converted to forest land</t>
  </si>
  <si>
    <t>2.3 Wetlands converted to forest land</t>
  </si>
  <si>
    <t>2.2 Grassland converted to forest land</t>
  </si>
  <si>
    <t>2.1 Cropland converted to forest land</t>
  </si>
  <si>
    <r>
      <t>2. Land converted to forest land</t>
    </r>
    <r>
      <rPr>
        <vertAlign val="superscript"/>
        <sz val="9"/>
        <rFont val="Times New Roman"/>
        <family val="1"/>
      </rPr>
      <t>(8)</t>
    </r>
  </si>
  <si>
    <t>1. Forest land remaining forest land</t>
  </si>
  <si>
    <t xml:space="preserve">A. Total forest land </t>
  </si>
  <si>
    <t>(kt C)</t>
  </si>
  <si>
    <t>(t C/ha)</t>
  </si>
  <si>
    <t>Organic soils</t>
  </si>
  <si>
    <t>Mineral soils</t>
  </si>
  <si>
    <t>Net change</t>
  </si>
  <si>
    <t>Losses</t>
  </si>
  <si>
    <t>Gains</t>
  </si>
  <si>
    <r>
      <t>Mineral soils</t>
    </r>
    <r>
      <rPr>
        <b/>
        <vertAlign val="superscript"/>
        <sz val="9"/>
        <rFont val="Times New Roman"/>
        <family val="1"/>
      </rPr>
      <t>(5)</t>
    </r>
  </si>
  <si>
    <r>
      <t>Net carbon stock change in soils</t>
    </r>
    <r>
      <rPr>
        <b/>
        <vertAlign val="superscript"/>
        <sz val="9"/>
        <rFont val="Times New Roman"/>
        <family val="1"/>
      </rPr>
      <t xml:space="preserve"> (4) (5) (6) </t>
    </r>
  </si>
  <si>
    <r>
      <t>Net carbon stock change in litter</t>
    </r>
    <r>
      <rPr>
        <b/>
        <vertAlign val="superscript"/>
        <sz val="9"/>
        <rFont val="Times New Roman"/>
        <family val="1"/>
      </rPr>
      <t>(4)</t>
    </r>
  </si>
  <si>
    <r>
      <t>Net carbon stock change in dead wood</t>
    </r>
    <r>
      <rPr>
        <b/>
        <vertAlign val="superscript"/>
        <sz val="9"/>
        <rFont val="Times New Roman"/>
        <family val="1"/>
      </rPr>
      <t>(4)</t>
    </r>
  </si>
  <si>
    <r>
      <t>Carbon stock change in living biomass</t>
    </r>
    <r>
      <rPr>
        <b/>
        <vertAlign val="superscript"/>
        <sz val="9"/>
        <rFont val="Times New Roman"/>
        <family val="1"/>
      </rPr>
      <t>(3) (4)</t>
    </r>
  </si>
  <si>
    <r>
      <t>Net carbon stock change in soils per area</t>
    </r>
    <r>
      <rPr>
        <b/>
        <vertAlign val="superscript"/>
        <sz val="9"/>
        <rFont val="Times New Roman"/>
        <family val="1"/>
      </rPr>
      <t>(4)</t>
    </r>
  </si>
  <si>
    <r>
      <t>Net carbon stock change in litter per area</t>
    </r>
    <r>
      <rPr>
        <b/>
        <vertAlign val="superscript"/>
        <sz val="9"/>
        <rFont val="Times New Roman"/>
        <family val="1"/>
      </rPr>
      <t>(4)</t>
    </r>
  </si>
  <si>
    <r>
      <t>Net carbon stock change in dead wood per area</t>
    </r>
    <r>
      <rPr>
        <b/>
        <vertAlign val="superscript"/>
        <sz val="9"/>
        <rFont val="Times New Roman"/>
        <family val="1"/>
      </rPr>
      <t>(4)</t>
    </r>
  </si>
  <si>
    <r>
      <t>Carbon stock change in living biomass per area</t>
    </r>
    <r>
      <rPr>
        <b/>
        <vertAlign val="superscript"/>
        <sz val="9"/>
        <rFont val="Times New Roman"/>
        <family val="1"/>
      </rPr>
      <t>(3) (4)</t>
    </r>
  </si>
  <si>
    <r>
      <t>Area of organic soil</t>
    </r>
    <r>
      <rPr>
        <b/>
        <vertAlign val="superscript"/>
        <sz val="9"/>
        <rFont val="Times New Roman"/>
        <family val="1"/>
      </rPr>
      <t xml:space="preserve">
</t>
    </r>
    <r>
      <rPr>
        <b/>
        <sz val="9"/>
        <rFont val="Times New Roman"/>
        <family val="1"/>
      </rPr>
      <t>(kha)</t>
    </r>
  </si>
  <si>
    <r>
      <t>Area of mineral soil</t>
    </r>
    <r>
      <rPr>
        <b/>
        <vertAlign val="superscript"/>
        <sz val="9"/>
        <rFont val="Times New Roman"/>
        <family val="1"/>
      </rPr>
      <t xml:space="preserve">
</t>
    </r>
    <r>
      <rPr>
        <b/>
        <sz val="9"/>
        <rFont val="Times New Roman"/>
        <family val="1"/>
      </rPr>
      <t>(kha)</t>
    </r>
  </si>
  <si>
    <r>
      <t>Total area</t>
    </r>
    <r>
      <rPr>
        <b/>
        <vertAlign val="superscript"/>
        <sz val="9"/>
        <rFont val="Times New Roman"/>
        <family val="1"/>
      </rPr>
      <t>(2)</t>
    </r>
    <r>
      <rPr>
        <b/>
        <sz val="9"/>
        <rFont val="Times New Roman"/>
        <family val="1"/>
      </rPr>
      <t xml:space="preserve">
(kha)</t>
    </r>
  </si>
  <si>
    <r>
      <t>Subdivision</t>
    </r>
    <r>
      <rPr>
        <b/>
        <vertAlign val="superscript"/>
        <sz val="9"/>
        <rFont val="Times New Roman"/>
        <family val="1"/>
      </rPr>
      <t>(1)</t>
    </r>
  </si>
  <si>
    <t>Land-use category</t>
  </si>
  <si>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 xml:space="preserve"> (4) (7)</t>
    </r>
  </si>
  <si>
    <r>
      <t>CHANGES IN CARBON STOCK AND NET CO</t>
    </r>
    <r>
      <rPr>
        <b/>
        <vertAlign val="subscript"/>
        <sz val="9"/>
        <rFont val="Times New Roman"/>
        <family val="1"/>
      </rPr>
      <t>2</t>
    </r>
    <r>
      <rPr>
        <b/>
        <sz val="9"/>
        <rFont val="Times New Roman"/>
        <family val="1"/>
      </rPr>
      <t xml:space="preserve"> EMISSIONS/REMOVALS FROM SOILS</t>
    </r>
  </si>
  <si>
    <t>IMPLIED CARBON-STOCK-CHANGE FACTORS</t>
  </si>
  <si>
    <t>Forest land</t>
  </si>
  <si>
    <t>TABLE 4.A   SECTORAL BACKGROUND DATA FOR LAND USE, LAND-USE CHANGE AND FORESTRY</t>
  </si>
  <si>
    <r>
      <t>(10)</t>
    </r>
    <r>
      <rPr>
        <sz val="9"/>
        <rFont val="Times New Roman"/>
        <family val="1"/>
      </rPr>
      <t xml:space="preserve"> A Party may report aggregated estimates for all land conversions to cropland, when data are not available to report them separately. A Party should specify in the documentation box which types of land conversion are included.</t>
    </r>
  </si>
  <si>
    <r>
      <t>(9)</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</si>
  <si>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(8)</t>
    </r>
    <r>
      <rPr>
        <sz val="9"/>
        <rFont val="Times New Roman"/>
        <family val="1"/>
      </rPr>
      <t xml:space="preserve"> When Parties cannot estimate carbon stock changes for organic and mineral soil separately, these should be reported under mineral soils.</t>
    </r>
  </si>
  <si>
    <r>
      <t xml:space="preserve">(7)  </t>
    </r>
    <r>
      <rPr>
        <sz val="9"/>
        <rFont val="Times New Roman"/>
        <family val="1"/>
      </rPr>
      <t xml:space="preserve">No reporting on dead organic matter pools is required  for category 4.B.1. Cropland remaining cropland. </t>
    </r>
  </si>
  <si>
    <r>
      <t xml:space="preserve">(6)  </t>
    </r>
    <r>
      <rPr>
        <sz val="9"/>
        <rFont val="Times New Roman"/>
        <family val="1"/>
      </rPr>
      <t>For category 4.B.1 Cropland remaining cropland this column only includes changes in perennial woody biomass.</t>
    </r>
  </si>
  <si>
    <r>
      <t xml:space="preserve">(5) </t>
    </r>
    <r>
      <rPr>
        <sz val="9"/>
        <rFont val="Times New Roman"/>
        <family val="1"/>
      </rPr>
      <t xml:space="preserve"> Parties who wish to do so may report annual on-site CO2-C emissions/removals and off-site CO2-C emissions from drained and rewetted organic soils here.</t>
    </r>
  </si>
  <si>
    <r>
      <t xml:space="preserve">(4) </t>
    </r>
    <r>
      <rPr>
        <sz val="9"/>
        <rFont val="Times New Roman"/>
        <family val="1"/>
      </rPr>
      <t xml:space="preserve">The signs for estimates of gains in carbon stocks are positive (+) and for losses in carbon stocks are negative (–).  </t>
    </r>
  </si>
  <si>
    <r>
      <t>(2)</t>
    </r>
    <r>
      <rPr>
        <sz val="9"/>
        <rFont val="Times New Roman"/>
        <family val="1"/>
      </rPr>
      <t xml:space="preserve"> The total area of the subcategories, in accordance with the subdivision used, should be entered here. For lands converted to cropland report the cumulative area remaining in the category in the reporting year. The total area should equal the area of mineral soil plus the area of organic soil by subcategory. </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</si>
  <si>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</si>
  <si>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t>2.5 Other land converted to cropland</t>
  </si>
  <si>
    <t>2.4 Settlements converted to cropland</t>
  </si>
  <si>
    <t>2.3 Wetlands converted to cropland</t>
  </si>
  <si>
    <t>NO,IE</t>
  </si>
  <si>
    <t xml:space="preserve">2.2 Grassland converted to cropland </t>
  </si>
  <si>
    <t xml:space="preserve">2.1 Forest land converted to cropland . </t>
  </si>
  <si>
    <r>
      <t>2. Land converted to cropland</t>
    </r>
    <r>
      <rPr>
        <vertAlign val="superscript"/>
        <sz val="9"/>
        <rFont val="Times New Roman"/>
        <family val="1"/>
      </rPr>
      <t>(10)</t>
    </r>
  </si>
  <si>
    <t>1. Cropland remaining cropland</t>
  </si>
  <si>
    <t>B. Total Cropland</t>
  </si>
  <si>
    <r>
      <t>Net carbon stock change in soils</t>
    </r>
    <r>
      <rPr>
        <b/>
        <vertAlign val="superscript"/>
        <sz val="9"/>
        <rFont val="Times New Roman"/>
        <family val="1"/>
      </rPr>
      <t xml:space="preserve">(4) (5) (8) </t>
    </r>
  </si>
  <si>
    <r>
      <t>Net carbon stock change in dead organic matter</t>
    </r>
    <r>
      <rPr>
        <b/>
        <vertAlign val="superscript"/>
        <sz val="9"/>
        <rFont val="Times New Roman"/>
        <family val="1"/>
      </rPr>
      <t>(4) (7)</t>
    </r>
  </si>
  <si>
    <r>
      <t>Carbon stock change in living biomass</t>
    </r>
    <r>
      <rPr>
        <b/>
        <vertAlign val="superscript"/>
        <sz val="9"/>
        <rFont val="Times New Roman"/>
        <family val="1"/>
      </rPr>
      <t>(3), (4), (6)</t>
    </r>
  </si>
  <si>
    <r>
      <t>Net carbon stock change in dead organic matter per area</t>
    </r>
    <r>
      <rPr>
        <b/>
        <vertAlign val="superscript"/>
        <sz val="9"/>
        <rFont val="Times New Roman"/>
        <family val="1"/>
      </rPr>
      <t>(4)</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</si>
  <si>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(9)</t>
    </r>
  </si>
  <si>
    <t>Cropland</t>
  </si>
  <si>
    <t>TABLE 4.B  SECTORAL BACKGROUND DATA FOR LAND USE, LAND-USE CHANGE AND FORESTRY</t>
  </si>
  <si>
    <r>
      <t>(9)</t>
    </r>
    <r>
      <rPr>
        <sz val="9"/>
        <rFont val="Times New Roman"/>
        <family val="1"/>
      </rPr>
      <t xml:space="preserve"> A Party may report aggregated estimates for all land conversions to grassland, when data are not available to report them separately. A Party should specify in the documentation box which types of land conversion are included.</t>
    </r>
  </si>
  <si>
    <r>
      <t>(8)</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</si>
  <si>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(7)</t>
    </r>
    <r>
      <rPr>
        <sz val="9"/>
        <rFont val="Times New Roman"/>
        <family val="1"/>
      </rPr>
      <t xml:space="preserve"> When Parties cannot estimate carbon stock changes for organic and mineral soil separately, these should be reported under mineral soils.</t>
    </r>
  </si>
  <si>
    <r>
      <t xml:space="preserve">(6) </t>
    </r>
    <r>
      <rPr>
        <sz val="9"/>
        <rFont val="Times New Roman"/>
        <family val="1"/>
      </rPr>
      <t xml:space="preserve"> No reporting on dead organic matter pools is required for category 4.C.1 Grassland remaining grassland. </t>
    </r>
  </si>
  <si>
    <r>
      <t>(5)</t>
    </r>
    <r>
      <rPr>
        <sz val="9"/>
        <rFont val="Times New Roman"/>
        <family val="1"/>
      </rPr>
      <t xml:space="preserve"> Parties who wish to do so may report annual on-site CO2-C emissions/removals and off-site CO2-C emissions from drained and rewetted organic soils here.</t>
    </r>
  </si>
  <si>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</si>
  <si>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(2)</t>
    </r>
    <r>
      <rPr>
        <sz val="9"/>
        <rFont val="Times New Roman"/>
        <family val="1"/>
      </rPr>
      <t xml:space="preserve">  The total area of the subcategories, in accordance with the sub-division used, should be entered here. For lands converted to grassland report the cumulative area remaining in the category in the reporting year. The total area should equal the area of mineral soil plus the area of organic soil by subcategory.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</si>
  <si>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</si>
  <si>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t>2.5 Other Land converted to grassland</t>
  </si>
  <si>
    <t>2.4 Settlements converted to grassland</t>
  </si>
  <si>
    <t>2.3 Wetlands converted to grassland</t>
  </si>
  <si>
    <t>2.2 Cropland converted to grassland</t>
  </si>
  <si>
    <t>2.1 Forest land converted to grassland</t>
  </si>
  <si>
    <r>
      <t>2. Land converted to grassland</t>
    </r>
    <r>
      <rPr>
        <vertAlign val="superscript"/>
        <sz val="9"/>
        <rFont val="Times New Roman"/>
        <family val="1"/>
      </rPr>
      <t xml:space="preserve">(9) </t>
    </r>
  </si>
  <si>
    <t>1. Grassland remaining grassland</t>
  </si>
  <si>
    <t>C. Total grassland</t>
  </si>
  <si>
    <r>
      <t>Net carbon stock change in soils</t>
    </r>
    <r>
      <rPr>
        <b/>
        <vertAlign val="superscript"/>
        <sz val="9"/>
        <rFont val="Times New Roman"/>
        <family val="1"/>
      </rPr>
      <t xml:space="preserve">(4) (5) (7) </t>
    </r>
  </si>
  <si>
    <r>
      <t>Net carbon stock change in dead organic matter</t>
    </r>
    <r>
      <rPr>
        <b/>
        <vertAlign val="superscript"/>
        <sz val="9"/>
        <rFont val="Times New Roman"/>
        <family val="1"/>
      </rPr>
      <t>(4) (6)</t>
    </r>
  </si>
  <si>
    <r>
      <t>Carbon stock change in living biomass</t>
    </r>
    <r>
      <rPr>
        <b/>
        <vertAlign val="superscript"/>
        <sz val="9"/>
        <rFont val="Times New Roman"/>
        <family val="1"/>
      </rPr>
      <t>(3), (4)</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</si>
  <si>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(8)</t>
    </r>
  </si>
  <si>
    <t>Grassland</t>
  </si>
  <si>
    <t>TABLE 4.C   SECTORAL BACKGROUND DATA FOR LAND USE, LAND-USE CHANGE AND FORESTRY</t>
  </si>
  <si>
    <r>
      <t xml:space="preserve">(8) </t>
    </r>
    <r>
      <rPr>
        <sz val="9"/>
        <rFont val="Times New Roman"/>
        <family val="1"/>
      </rPr>
      <t>A Party may report aggregated estimates for all land conversions to wetlands, when data are not available to report them separately. A Party should specify in the documentation box which types of land conversion are included.</t>
    </r>
  </si>
  <si>
    <r>
      <t xml:space="preserve">(7) </t>
    </r>
    <r>
      <rPr>
        <sz val="9"/>
        <rFont val="Times New Roman"/>
        <family val="1"/>
      </rPr>
      <t>Detailed information on Other wetlands should be included in the NIR.</t>
    </r>
  </si>
  <si>
    <r>
      <t>(6)</t>
    </r>
    <r>
      <rPr>
        <sz val="9"/>
        <rFont val="Times New Roman"/>
        <family val="1"/>
      </rPr>
      <t xml:space="preserve"> There is no default methodology for estimating CO2 emissions from flooded land remaining flooded land. </t>
    </r>
  </si>
  <si>
    <r>
      <rPr>
        <vertAlign val="superscript"/>
        <sz val="9"/>
        <rFont val="Times New Roman"/>
        <family val="1"/>
      </rP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</si>
  <si>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(4)</t>
    </r>
    <r>
      <rPr>
        <sz val="9"/>
        <rFont val="Times New Roman"/>
        <family val="1"/>
      </rPr>
      <t xml:space="preserve"> The signs for estimates of gains in carbon stocks are positive (+) and of losses in carbon stocks are negative (–).  </t>
    </r>
  </si>
  <si>
    <r>
      <t xml:space="preserve">(2) </t>
    </r>
    <r>
      <rPr>
        <sz val="9"/>
        <rFont val="Times New Roman"/>
        <family val="1"/>
      </rPr>
      <t xml:space="preserve">The total area of the subcategories, in accordance with the subdivision used, should be entered here.  For lands converted to wetlands report the cumulative area remaining in the category in the reporting year. The total area should equal the area of mineral soil plus the area of organic soil by subcategory. </t>
    </r>
  </si>
  <si>
    <r>
      <t>(1)</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</si>
  <si>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t>4.D.2.3.3  Grassland converted to other wetlands</t>
  </si>
  <si>
    <t>4.D.2.3.2  Cropland converted to other wetlands</t>
  </si>
  <si>
    <t>4.D.2.3.1  Forest land converted to other wetlands</t>
  </si>
  <si>
    <t>2.3 Land converted to other wetlands</t>
  </si>
  <si>
    <t>4.D.2.2.3  Grassland converted to flooded land</t>
  </si>
  <si>
    <t>4.D.2.2.2  Cropland converted to flooded land</t>
  </si>
  <si>
    <t>4.D.2.2.1  Forest land converted to flooded land</t>
  </si>
  <si>
    <t>2.2 Land converted to flooded land</t>
  </si>
  <si>
    <t>2.1 Land converted to peat extraction</t>
  </si>
  <si>
    <r>
      <t>2. Land converted to wetlands</t>
    </r>
    <r>
      <rPr>
        <vertAlign val="superscript"/>
        <sz val="9"/>
        <rFont val="Times New Roman"/>
        <family val="1"/>
      </rPr>
      <t>(8)</t>
    </r>
  </si>
  <si>
    <r>
      <t>1.3 Other wetlands remaining other wetlands</t>
    </r>
    <r>
      <rPr>
        <vertAlign val="superscript"/>
        <sz val="9"/>
        <rFont val="Times New Roman"/>
        <family val="1"/>
      </rPr>
      <t xml:space="preserve"> (7) </t>
    </r>
  </si>
  <si>
    <t>NO,NE</t>
  </si>
  <si>
    <t>1.2 Flooded land remaining flooded land</t>
  </si>
  <si>
    <t>1.1  Peat extraction remaining peat extraction</t>
  </si>
  <si>
    <t>1. Wetlands remaining wetlands</t>
  </si>
  <si>
    <t>D. Total wetlands</t>
  </si>
  <si>
    <r>
      <t>Net carbon stock change in soils</t>
    </r>
    <r>
      <rPr>
        <b/>
        <vertAlign val="superscript"/>
        <sz val="9"/>
        <rFont val="Times New Roman"/>
        <family val="1"/>
      </rPr>
      <t>(4)</t>
    </r>
  </si>
  <si>
    <r>
      <t>Net carbon stock change in dead organic matter</t>
    </r>
    <r>
      <rPr>
        <b/>
        <vertAlign val="superscript"/>
        <sz val="9"/>
        <rFont val="Times New Roman"/>
        <family val="1"/>
      </rPr>
      <t>(4)</t>
    </r>
  </si>
  <si>
    <t>Area of organic soil
(kha)</t>
  </si>
  <si>
    <t>Area of mineral soil
(kha)</t>
  </si>
  <si>
    <r>
      <t>Total area</t>
    </r>
    <r>
      <rPr>
        <b/>
        <vertAlign val="superscript"/>
        <sz val="9"/>
        <rFont val="Times New Roman"/>
        <family val="1"/>
      </rPr>
      <t xml:space="preserve">(2)
</t>
    </r>
    <r>
      <rPr>
        <b/>
        <sz val="9"/>
        <rFont val="Times New Roman"/>
        <family val="1"/>
      </rPr>
      <t>(kha)</t>
    </r>
  </si>
  <si>
    <r>
      <t xml:space="preserve"> Subdivision</t>
    </r>
    <r>
      <rPr>
        <b/>
        <vertAlign val="superscript"/>
        <sz val="9"/>
        <rFont val="Times New Roman"/>
        <family val="1"/>
      </rPr>
      <t>(1)</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</si>
  <si>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 (6)</t>
    </r>
  </si>
  <si>
    <t>Wetlands</t>
  </si>
  <si>
    <t>TABLE 4.D   SECTORAL BACKGROUND DATA FOR LAND USE, LAND-USE CHANGE AND FORESTRY</t>
  </si>
  <si>
    <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</si>
  <si>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(4)</t>
    </r>
    <r>
      <rPr>
        <sz val="9"/>
        <rFont val="Times New Roman"/>
        <family val="1"/>
      </rPr>
      <t xml:space="preserve">  The signs for estimates of gains in carbon stocks are positive (+) and of losses in carbon stocks are negative (–).  </t>
    </r>
  </si>
  <si>
    <r>
      <t>(2)</t>
    </r>
    <r>
      <rPr>
        <sz val="9"/>
        <rFont val="Times New Roman"/>
        <family val="1"/>
      </rPr>
      <t xml:space="preserve"> The total area of the subcategories, in accordance with the subdivision used, should be entered here.  For lands converted to settlements report the cumulative area remaining in the category in the reporting year. The total area should equal the area of mineral soil plus the area of organic soil by subcategory.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</si>
  <si>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</si>
  <si>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t>2.5 Other Land converted to settlements</t>
  </si>
  <si>
    <t>2.4 Wetlands converted to settlements</t>
  </si>
  <si>
    <t>2.3 Grassland converted to settlements</t>
  </si>
  <si>
    <t>2.2 Cropland converted to settlements</t>
  </si>
  <si>
    <t>2.1 Forest land converted to settlements</t>
  </si>
  <si>
    <r>
      <t>2. Land converted to settlements</t>
    </r>
    <r>
      <rPr>
        <strike/>
        <vertAlign val="superscript"/>
        <sz val="9"/>
        <color indexed="10"/>
        <rFont val="Times New Roman"/>
        <family val="1"/>
      </rPr>
      <t/>
    </r>
  </si>
  <si>
    <t>1. Settlements remaining settlements</t>
  </si>
  <si>
    <t>E.  Total settlements</t>
  </si>
  <si>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t>
    </r>
  </si>
  <si>
    <t>Settlements</t>
  </si>
  <si>
    <t>TABLE  4.E  SECTORAL BACKGROUND DATA FOR LAND USE, LAND-USE CHANGE AND FORESTRY</t>
  </si>
  <si>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</si>
  <si>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r>
      <rPr>
        <vertAlign val="superscript"/>
        <sz val="9"/>
        <rFont val="Times New Roman"/>
        <family val="1"/>
      </rPr>
      <t xml:space="preserve">(7) </t>
    </r>
    <r>
      <rPr>
        <sz val="9"/>
        <rFont val="Times New Roman"/>
        <family val="1"/>
      </rPr>
      <t>A Party may report aggregated estimates for all land conversions to other land, when data are not available to report them separately. A Party should specify in the documentation box which types of land conversion are included.</t>
    </r>
  </si>
  <si>
    <r>
      <t>(6)</t>
    </r>
    <r>
      <rPr>
        <sz val="9"/>
        <rFont val="Times New Roman"/>
        <family val="1"/>
      </rPr>
      <t xml:space="preserve">  This land-use category is to allow the total of identified land area to match the national area.  It includes bare soil, rock, ice and all land areas that do not fall into any other of the other five land-use categories.</t>
    </r>
  </si>
  <si>
    <r>
      <t>(2)</t>
    </r>
    <r>
      <rPr>
        <sz val="9"/>
        <rFont val="Times New Roman"/>
        <family val="1"/>
      </rPr>
      <t xml:space="preserve"> The total area of the subcategories, in accordance with the subdivision used, should be entered here. For lands converted to Other land report the cumulative area remaining in the category in the reporting year. The total area should equal the area of mineral soil plus the area of organic soil by subcategory.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</si>
  <si>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t>
    </r>
  </si>
  <si>
    <t>2.5 Settlements converted to other land</t>
  </si>
  <si>
    <t>2.4 Wetlands converted to other land</t>
  </si>
  <si>
    <t>2.3 Grassland converted  to other land</t>
  </si>
  <si>
    <t>2.2 Cropland converted to other land</t>
  </si>
  <si>
    <t>2.1 Forest land converted to other land</t>
  </si>
  <si>
    <r>
      <t>2. Land converted to other land</t>
    </r>
    <r>
      <rPr>
        <vertAlign val="superscript"/>
        <sz val="9"/>
        <rFont val="Times New Roman"/>
        <family val="1"/>
      </rPr>
      <t>(7)</t>
    </r>
  </si>
  <si>
    <r>
      <t>1. Other land remaining other land</t>
    </r>
    <r>
      <rPr>
        <vertAlign val="superscript"/>
        <sz val="9"/>
        <rFont val="Times New Roman"/>
        <family val="1"/>
      </rPr>
      <t>(6)</t>
    </r>
  </si>
  <si>
    <t>F. Total other land</t>
  </si>
  <si>
    <t>Other land</t>
  </si>
  <si>
    <t>TABLE 4.F  SECTORAL BACKGROUND DATA FOR LAND USE, LAND-USE CHANGE AND FORESTRY</t>
  </si>
  <si>
    <r>
      <rPr>
        <vertAlign val="superscript"/>
        <sz val="9"/>
        <rFont val="Times New Roman"/>
        <family val="1"/>
      </rPr>
      <t xml:space="preserve">(6) </t>
    </r>
    <r>
      <rPr>
        <sz val="9"/>
        <rFont val="Times New Roman"/>
        <family val="1"/>
      </rPr>
      <t>On-site CH</t>
    </r>
    <r>
      <rPr>
        <vertAlign val="subscript"/>
        <sz val="9"/>
        <rFont val="Times New Roman"/>
        <family val="1"/>
      </rPr>
      <t>4</t>
    </r>
    <r>
      <rPr>
        <sz val="9"/>
        <rFont val="Times New Roman"/>
        <family val="1"/>
      </rPr>
      <t xml:space="preserve"> emissions /removals from rice cultivation are included in the agriculture sector.</t>
    </r>
  </si>
  <si>
    <r>
      <t>(5)</t>
    </r>
    <r>
      <rPr>
        <sz val="9"/>
        <rFont val="Times New Roman"/>
        <family val="1"/>
      </rPr>
      <t xml:space="preserve"> In table 4, these emissions will be added to the respective land-use category. </t>
    </r>
  </si>
  <si>
    <r>
      <t>(4)</t>
    </r>
    <r>
      <rPr>
        <sz val="9"/>
        <rFont val="Times New Roman"/>
        <family val="1"/>
      </rPr>
      <t xml:space="preserve"> If CO</t>
    </r>
    <r>
      <rPr>
        <vertAlign val="subscript"/>
        <sz val="9"/>
        <rFont val="Times New Roman"/>
        <family val="1"/>
      </rPr>
      <t>2</t>
    </r>
    <r>
      <rPr>
        <sz val="9"/>
        <rFont val="Times New Roman"/>
        <family val="1"/>
      </rPr>
      <t xml:space="preserve"> emissions or removals from drainage of wetland soils are not already included in tables 4.A to 4.F, they are to be reported here. Parties may also choose to report CO</t>
    </r>
    <r>
      <rPr>
        <vertAlign val="subscript"/>
        <sz val="9"/>
        <rFont val="Times New Roman"/>
        <family val="1"/>
      </rPr>
      <t>2</t>
    </r>
    <r>
      <rPr>
        <sz val="9"/>
        <rFont val="Times New Roman"/>
        <family val="1"/>
      </rPr>
      <t xml:space="preserve"> emissions or removals from rewetting and other management activities here unless they are included elsewhere.  They should be clearly documented in the documentation box and in the NIR. Double counting should be avoided. Parties that include all carbon stock changes in the carbon stock tables (4.A-4.F), should report IE (included elsewhere) in this column.</t>
    </r>
  </si>
  <si>
    <r>
      <t xml:space="preserve">(3)  </t>
    </r>
    <r>
      <rPr>
        <sz val="9"/>
        <rFont val="Times New Roman"/>
        <family val="1"/>
      </rPr>
      <t>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 xml:space="preserve">O-N by multiplying by 28/44.  </t>
    </r>
  </si>
  <si>
    <r>
      <t>(2)</t>
    </r>
    <r>
      <rPr>
        <sz val="9"/>
        <rFont val="Times New Roman"/>
        <family val="1"/>
      </rPr>
      <t xml:space="preserve"> A Party should report further disaggregations of drained soils corresponding to the methods used. Tier 1 disaggregates soils into "nutrient rich" and "nutrient poor" areas, whereas higher-tier methods can further disaggregate soils into different peatland types, soil fertility or tree species.</t>
    </r>
  </si>
  <si>
    <r>
      <t xml:space="preserve">(1) </t>
    </r>
    <r>
      <rPr>
        <sz val="9"/>
        <rFont val="Times New Roman"/>
        <family val="1"/>
      </rPr>
      <t xml:space="preserve"> Nitrous oxide (N</t>
    </r>
    <r>
      <rPr>
        <vertAlign val="subscript"/>
        <sz val="9"/>
        <rFont val="Times New Roman"/>
        <family val="1"/>
      </rPr>
      <t>2</t>
    </r>
    <r>
      <rPr>
        <sz val="9"/>
        <rFont val="Times New Roman"/>
        <family val="1"/>
      </rPr>
      <t>O) emissions from drained cropland and grassland soils are covered in the agriculture tables of the CRF under cultivation of organic soils.</t>
    </r>
  </si>
  <si>
    <r>
      <t xml:space="preserve">H. Other </t>
    </r>
    <r>
      <rPr>
        <b/>
        <i/>
        <sz val="9"/>
        <rFont val="Times New Roman"/>
        <family val="1"/>
      </rPr>
      <t>(please specify)</t>
    </r>
    <r>
      <rPr>
        <b/>
        <sz val="9"/>
        <rFont val="Times New Roman"/>
        <family val="1"/>
      </rPr>
      <t xml:space="preserve"> </t>
    </r>
    <r>
      <rPr>
        <b/>
        <vertAlign val="superscript"/>
        <sz val="9"/>
        <rFont val="Times New Roman"/>
        <family val="1"/>
      </rPr>
      <t>(5)</t>
    </r>
  </si>
  <si>
    <t>Denmark Partly water covered</t>
  </si>
  <si>
    <r>
      <t xml:space="preserve">D.3 Other wetlands </t>
    </r>
    <r>
      <rPr>
        <i/>
        <sz val="9"/>
        <rFont val="Times New Roman"/>
        <family val="1"/>
      </rPr>
      <t>(please specify)</t>
    </r>
  </si>
  <si>
    <t>Rewetted mineral soils</t>
  </si>
  <si>
    <t xml:space="preserve">Total mineral soils </t>
  </si>
  <si>
    <t>Rewetted organic soils</t>
  </si>
  <si>
    <t>Drained organic soils</t>
  </si>
  <si>
    <t>Total organic soils</t>
  </si>
  <si>
    <t>D.2 Flooded lands</t>
  </si>
  <si>
    <t>D.1 Peat extraction lands</t>
  </si>
  <si>
    <r>
      <t>D. Wetlands</t>
    </r>
    <r>
      <rPr>
        <b/>
        <vertAlign val="superscript"/>
        <sz val="9"/>
        <rFont val="Times New Roman"/>
        <family val="1"/>
      </rPr>
      <t xml:space="preserve"> (5)</t>
    </r>
  </si>
  <si>
    <r>
      <t xml:space="preserve">C.  Grassland </t>
    </r>
    <r>
      <rPr>
        <b/>
        <vertAlign val="superscript"/>
        <sz val="9"/>
        <rFont val="Times New Roman"/>
        <family val="1"/>
      </rPr>
      <t>(5)</t>
    </r>
  </si>
  <si>
    <r>
      <t xml:space="preserve">B. Cropland </t>
    </r>
    <r>
      <rPr>
        <b/>
        <vertAlign val="superscript"/>
        <sz val="9"/>
        <rFont val="Times New Roman"/>
        <family val="1"/>
      </rPr>
      <t>(5), (6)</t>
    </r>
  </si>
  <si>
    <r>
      <t>A. Forest land</t>
    </r>
    <r>
      <rPr>
        <b/>
        <vertAlign val="superscript"/>
        <sz val="9"/>
        <rFont val="Times New Roman"/>
        <family val="1"/>
      </rPr>
      <t>(5)</t>
    </r>
  </si>
  <si>
    <t>Total for all land use categories</t>
  </si>
  <si>
    <r>
      <t>(kg CH</t>
    </r>
    <r>
      <rPr>
        <b/>
        <vertAlign val="subscript"/>
        <sz val="9"/>
        <rFont val="Times New Roman"/>
        <family val="1"/>
      </rPr>
      <t>4</t>
    </r>
    <r>
      <rPr>
        <b/>
        <sz val="9"/>
        <rFont val="Times New Roman"/>
        <family val="1"/>
      </rPr>
      <t>/ha)</t>
    </r>
  </si>
  <si>
    <r>
      <t>(kg N</t>
    </r>
    <r>
      <rPr>
        <b/>
        <vertAlign val="subscript"/>
        <sz val="9"/>
        <rFont val="Times New Roman"/>
        <family val="1"/>
      </rPr>
      <t>2</t>
    </r>
    <r>
      <rPr>
        <b/>
        <sz val="9"/>
        <rFont val="Times New Roman"/>
        <family val="1"/>
      </rPr>
      <t>O–N/ha)</t>
    </r>
  </si>
  <si>
    <r>
      <t>(kg CO</t>
    </r>
    <r>
      <rPr>
        <b/>
        <vertAlign val="subscript"/>
        <sz val="9"/>
        <rFont val="Times New Roman"/>
        <family val="1"/>
      </rPr>
      <t>2</t>
    </r>
    <r>
      <rPr>
        <b/>
        <sz val="9"/>
        <rFont val="Times New Roman"/>
        <family val="1"/>
      </rPr>
      <t>/ha)</t>
    </r>
  </si>
  <si>
    <t>(kha)</t>
  </si>
  <si>
    <r>
      <t>CO</t>
    </r>
    <r>
      <rPr>
        <b/>
        <vertAlign val="subscript"/>
        <sz val="9"/>
        <rFont val="Times New Roman"/>
        <family val="1"/>
      </rPr>
      <t>2</t>
    </r>
    <r>
      <rPr>
        <b/>
        <vertAlign val="superscript"/>
        <sz val="9"/>
        <rFont val="Times New Roman"/>
        <family val="1"/>
      </rPr>
      <t>(4)</t>
    </r>
  </si>
  <si>
    <r>
      <t>CH</t>
    </r>
    <r>
      <rPr>
        <b/>
        <vertAlign val="subscript"/>
        <sz val="9"/>
        <rFont val="Times New Roman"/>
        <family val="1"/>
      </rPr>
      <t xml:space="preserve">4 </t>
    </r>
    <r>
      <rPr>
        <b/>
        <sz val="9"/>
        <rFont val="Times New Roman"/>
        <family val="1"/>
      </rPr>
      <t>per</t>
    </r>
    <r>
      <rPr>
        <b/>
        <vertAlign val="subscript"/>
        <sz val="9"/>
        <rFont val="Times New Roman"/>
        <family val="1"/>
      </rPr>
      <t xml:space="preserve"> </t>
    </r>
    <r>
      <rPr>
        <b/>
        <sz val="9"/>
        <rFont val="Times New Roman"/>
        <family val="1"/>
      </rPr>
      <t>area</t>
    </r>
  </si>
  <si>
    <r>
      <t>N</t>
    </r>
    <r>
      <rPr>
        <b/>
        <vertAlign val="subscript"/>
        <sz val="9"/>
        <rFont val="Times New Roman"/>
        <family val="1"/>
      </rPr>
      <t>2</t>
    </r>
    <r>
      <rPr>
        <b/>
        <sz val="9"/>
        <rFont val="Times New Roman"/>
        <family val="1"/>
      </rPr>
      <t>O–N per area</t>
    </r>
    <r>
      <rPr>
        <b/>
        <vertAlign val="superscript"/>
        <sz val="9"/>
        <rFont val="Times New Roman"/>
        <family val="1"/>
      </rPr>
      <t>(3)</t>
    </r>
  </si>
  <si>
    <r>
      <t>CO</t>
    </r>
    <r>
      <rPr>
        <b/>
        <vertAlign val="subscript"/>
        <sz val="9"/>
        <rFont val="Times New Roman"/>
        <family val="1"/>
      </rPr>
      <t>2</t>
    </r>
    <r>
      <rPr>
        <b/>
        <sz val="9"/>
        <rFont val="Times New Roman"/>
        <family val="1"/>
      </rPr>
      <t xml:space="preserve"> per area </t>
    </r>
  </si>
  <si>
    <t>Area</t>
  </si>
  <si>
    <r>
      <t>Land-use category</t>
    </r>
    <r>
      <rPr>
        <b/>
        <vertAlign val="superscript"/>
        <sz val="9"/>
        <rFont val="Times New Roman"/>
        <family val="1"/>
      </rPr>
      <t>(1)</t>
    </r>
  </si>
  <si>
    <t xml:space="preserve">IMPLIED EMISSION FACTORS </t>
  </si>
  <si>
    <r>
      <t>Subdivision</t>
    </r>
    <r>
      <rPr>
        <b/>
        <vertAlign val="superscript"/>
        <sz val="9"/>
        <rFont val="Times New Roman"/>
        <family val="1"/>
      </rPr>
      <t>(2)</t>
    </r>
  </si>
  <si>
    <t xml:space="preserve">Emissions and removals from drainage and rewetting and other management of organic and mineral soils </t>
  </si>
  <si>
    <t>TABLE 4(II)   SECTORAL BACKGROUND DATA FOR LAND USE, LAND-USE CHANGE AND FORESTRY</t>
  </si>
  <si>
    <r>
      <t xml:space="preserve">(5)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land conversion here. </t>
    </r>
  </si>
  <si>
    <r>
      <t xml:space="preserve">(4)  </t>
    </r>
    <r>
      <rPr>
        <sz val="9"/>
        <rFont val="Times New Roman"/>
        <family val="1"/>
      </rPr>
      <t>In the calculation of the implied emission factor, N2O emissions are converted to N2O–N by multiplying by 28/44.</t>
    </r>
  </si>
  <si>
    <r>
      <t xml:space="preserve"> (3)</t>
    </r>
    <r>
      <rPr>
        <sz val="9"/>
        <rFont val="Times New Roman"/>
        <family val="1"/>
      </rPr>
      <t xml:space="preserve"> 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t>
    </r>
  </si>
  <si>
    <r>
      <rPr>
        <vertAlign val="superscript"/>
        <sz val="9"/>
        <rFont val="Times New Roman"/>
        <family val="1"/>
      </rPr>
      <t xml:space="preserve">(2) </t>
    </r>
    <r>
      <rPr>
        <sz val="9"/>
        <rFont val="Times New Roman"/>
        <family val="1"/>
      </rPr>
      <t>N</t>
    </r>
    <r>
      <rPr>
        <vertAlign val="subscript"/>
        <sz val="9"/>
        <rFont val="Times New Roman"/>
        <family val="1"/>
      </rPr>
      <t>2</t>
    </r>
    <r>
      <rPr>
        <sz val="9"/>
        <rFont val="Times New Roman"/>
        <family val="1"/>
      </rPr>
      <t xml:space="preserve">O emissions from Cropland remaining cropland are included in the agriculture sector </t>
    </r>
  </si>
  <si>
    <r>
      <t xml:space="preserve">  (1)</t>
    </r>
    <r>
      <rPr>
        <sz val="9"/>
        <rFont val="Times New Roman"/>
        <family val="1"/>
      </rPr>
      <t xml:space="preserve"> Methodologies for N2O emissions from N mineralization associated with loss of soil organic matter resulting from change of land use or management of mineral soils are based on equations 11.1, 11.2 and 11.8 of the 2006 IPCC Guidelines. N2O immobilization associated with gain of organic matter resulting from change of land use or management of mineral soils can be reported only when a Party applies a tier 3 approach in the relevant calculation. </t>
    </r>
  </si>
  <si>
    <t>F. Other land</t>
  </si>
  <si>
    <t>4.E.2.3  Grassland converted to settlements</t>
  </si>
  <si>
    <t>4.E.2.2  Cropland converted to settlements</t>
  </si>
  <si>
    <t>4.E.2.1  Forest land converted to settlements</t>
  </si>
  <si>
    <r>
      <t>2. Lands converted to settlements</t>
    </r>
    <r>
      <rPr>
        <vertAlign val="superscript"/>
        <sz val="9"/>
        <rFont val="Times New Roman"/>
        <family val="1"/>
      </rPr>
      <t>(5)</t>
    </r>
  </si>
  <si>
    <r>
      <t>E. Settlements</t>
    </r>
    <r>
      <rPr>
        <i/>
        <sz val="9"/>
        <rFont val="Times New Roman"/>
        <family val="1"/>
      </rPr>
      <t xml:space="preserve"> </t>
    </r>
  </si>
  <si>
    <r>
      <t>2. Lands converted to wetlands</t>
    </r>
    <r>
      <rPr>
        <vertAlign val="superscript"/>
        <sz val="9"/>
        <rFont val="Times New Roman"/>
        <family val="1"/>
      </rPr>
      <t>(5)</t>
    </r>
  </si>
  <si>
    <t>D. Wetlands</t>
  </si>
  <si>
    <t>4.C.2.2  Cropland converted to grasslands</t>
  </si>
  <si>
    <t>4.C.2.1  Forest land converted to grasslands</t>
  </si>
  <si>
    <r>
      <t>2. Lands converted to grasslands</t>
    </r>
    <r>
      <rPr>
        <vertAlign val="superscript"/>
        <sz val="9"/>
        <rFont val="Times New Roman"/>
        <family val="1"/>
      </rPr>
      <t>(5)</t>
    </r>
  </si>
  <si>
    <t>1. Grasslands remaining grasslands</t>
  </si>
  <si>
    <t>C. Grasslands</t>
  </si>
  <si>
    <t>4.B.2.2  Grassland converted to cropland</t>
  </si>
  <si>
    <t>4.B.2.1  Forest land converted to cropland</t>
  </si>
  <si>
    <r>
      <t>2. Lands converted to cropland</t>
    </r>
    <r>
      <rPr>
        <vertAlign val="superscript"/>
        <sz val="9"/>
        <rFont val="Times New Roman"/>
        <family val="1"/>
      </rPr>
      <t>(5)</t>
    </r>
  </si>
  <si>
    <r>
      <t>B. Cropland</t>
    </r>
    <r>
      <rPr>
        <b/>
        <vertAlign val="superscript"/>
        <sz val="9"/>
        <rFont val="Times New Roman"/>
        <family val="1"/>
      </rPr>
      <t xml:space="preserve">(2) </t>
    </r>
  </si>
  <si>
    <t>4.A.2.1  Cropland converted to forest land</t>
  </si>
  <si>
    <r>
      <t>2. Lands converted to forest land</t>
    </r>
    <r>
      <rPr>
        <vertAlign val="superscript"/>
        <sz val="9"/>
        <rFont val="Times New Roman"/>
        <family val="1"/>
      </rPr>
      <t>(5)</t>
    </r>
  </si>
  <si>
    <t>A. Forest land</t>
  </si>
  <si>
    <t xml:space="preserve">Total all land-use categories </t>
  </si>
  <si>
    <t xml:space="preserve">(kha) </t>
  </si>
  <si>
    <r>
      <t>N</t>
    </r>
    <r>
      <rPr>
        <b/>
        <vertAlign val="subscript"/>
        <sz val="9"/>
        <rFont val="Times New Roman"/>
        <family val="1"/>
      </rPr>
      <t>2</t>
    </r>
    <r>
      <rPr>
        <b/>
        <sz val="9"/>
        <rFont val="Times New Roman"/>
        <family val="1"/>
      </rPr>
      <t>O–N emissions per area</t>
    </r>
    <r>
      <rPr>
        <b/>
        <vertAlign val="superscript"/>
        <sz val="9"/>
        <rFont val="Times New Roman"/>
        <family val="1"/>
      </rPr>
      <t>(4)</t>
    </r>
    <r>
      <rPr>
        <b/>
        <sz val="9"/>
        <rFont val="Times New Roman"/>
        <family val="1"/>
      </rPr>
      <t xml:space="preserve"> </t>
    </r>
  </si>
  <si>
    <r>
      <t xml:space="preserve">Area </t>
    </r>
    <r>
      <rPr>
        <b/>
        <vertAlign val="superscript"/>
        <sz val="9"/>
        <rFont val="Times New Roman"/>
        <family val="1"/>
      </rPr>
      <t>(3)</t>
    </r>
  </si>
  <si>
    <r>
      <t>Land-use category</t>
    </r>
    <r>
      <rPr>
        <b/>
        <vertAlign val="superscript"/>
        <sz val="9"/>
        <rFont val="Times New Roman"/>
        <family val="1"/>
      </rPr>
      <t>(2)</t>
    </r>
  </si>
  <si>
    <r>
      <t>resulting from change of land use or management of mineral soils</t>
    </r>
    <r>
      <rPr>
        <b/>
        <vertAlign val="superscript"/>
        <sz val="12"/>
        <rFont val="Times New Roman"/>
        <family val="1"/>
      </rPr>
      <t>(1)</t>
    </r>
  </si>
  <si>
    <r>
      <t>Direct nitrous oxide (N</t>
    </r>
    <r>
      <rPr>
        <b/>
        <vertAlign val="subscript"/>
        <sz val="12"/>
        <rFont val="Times New Roman"/>
        <family val="1"/>
      </rPr>
      <t>2</t>
    </r>
    <r>
      <rPr>
        <b/>
        <sz val="12"/>
        <rFont val="Times New Roman"/>
        <family val="1"/>
      </rPr>
      <t xml:space="preserve">O) emissions from nitrogen (N) mineralization/immobilization associated with loss/gain of soil organic matter
</t>
    </r>
  </si>
  <si>
    <t>TABLE 4(III)   SECTORAL BACKGROUND DATA FOR LAND USE, LAND-USE CHANGE AND FORESTRY</t>
  </si>
  <si>
    <t>Parties should provide detailed explanations on the land use, land-use change and forestry sector in Chapter 6: Land Use, Land-Use Change and Forestry (CRF sector 4) of the NIR. Use this documentation box to provide references to relevant sections of the NIR if any additional information and/or further details are needed to understand the content of this table.</t>
  </si>
  <si>
    <r>
      <t xml:space="preserve">(8) </t>
    </r>
    <r>
      <rPr>
        <sz val="9"/>
        <rFont val="Times New Roman"/>
        <family val="1"/>
      </rPr>
      <t xml:space="preserve"> In situ above-ground woody biomass burning is reported here. Agricultural residue burning is reported in the agriculture sector.</t>
    </r>
  </si>
  <si>
    <r>
      <t xml:space="preserve">(7) </t>
    </r>
    <r>
      <rPr>
        <sz val="9"/>
        <rFont val="Times New Roman"/>
        <family val="1"/>
      </rPr>
      <t>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associated with the burning of forest land and grassland defined as savannah should be reported under the agriculture sector. CO2 emissions/removals associated with burning of savannahs should be included here, taking into account footnote 5.</t>
    </r>
  </si>
  <si>
    <r>
      <t xml:space="preserve">(6) </t>
    </r>
    <r>
      <rPr>
        <sz val="9"/>
        <rFont val="Times New Roman"/>
        <family val="1"/>
      </rPr>
      <t xml:space="preserve">Parties who wish to do so may report CO2 emissions from burning of organic soils here.  </t>
    </r>
  </si>
  <si>
    <r>
      <t>(5)</t>
    </r>
    <r>
      <rPr>
        <sz val="9"/>
        <rFont val="Times New Roman"/>
        <family val="1"/>
      </rPr>
      <t xml:space="preserve">  If  carbon dioxide (CO2) emissions from biomass burning are not already included in tables 4.A – 4.F, they should be reported here. This should be clearly documented in the documentation box and in the  national inventory report (NIR).  Double counting should be avoided. Parties that include all carbon stock changes in the carbon stock tables (4.A–F), should report "IE" (included elsewhere) in this column. </t>
    </r>
  </si>
  <si>
    <r>
      <t>(4)</t>
    </r>
    <r>
      <rPr>
        <sz val="9"/>
        <rFont val="Times New Roman"/>
        <family val="1"/>
      </rPr>
      <t xml:space="preserve"> For each category, activity data should be selected between area burned or biomass burned. The units for area will be ha and for biomass burned will be kg dm. The implied emission factor will refer to the selected activity data with an automatic change in the units.</t>
    </r>
  </si>
  <si>
    <r>
      <t>(3)</t>
    </r>
    <r>
      <rPr>
        <sz val="9"/>
        <rFont val="Times New Roman"/>
        <family val="1"/>
      </rPr>
      <t xml:space="preserve"> When Parties estimate emissions from biomass burning on mineral and organic soils separately they are encouraged to use this column to provide this disaggregation.</t>
    </r>
  </si>
  <si>
    <r>
      <t>(2)</t>
    </r>
    <r>
      <rPr>
        <sz val="9"/>
        <rFont val="Times New Roman"/>
        <family val="1"/>
      </rPr>
      <t xml:space="preserve"> Parties should report both controlled/prescribed burning and wildfires emissions, where appropriate, in a separate manner.</t>
    </r>
  </si>
  <si>
    <r>
      <t>(1)</t>
    </r>
    <r>
      <rPr>
        <sz val="9"/>
        <rFont val="Times New Roman"/>
        <family val="1"/>
      </rPr>
      <t xml:space="preserve"> The methodology for estimating non-CO</t>
    </r>
    <r>
      <rPr>
        <vertAlign val="subscript"/>
        <sz val="9"/>
        <rFont val="Times New Roman"/>
        <family val="1"/>
      </rPr>
      <t>2</t>
    </r>
    <r>
      <rPr>
        <sz val="9"/>
        <rFont val="Times New Roman"/>
        <family val="1"/>
      </rPr>
      <t xml:space="preserve"> emissions from biomass burning is described in section 2.4 of chapter 2 of volume 4 of the 2066 IPCC Guidelines.</t>
    </r>
  </si>
  <si>
    <t>H. Other (please specify)</t>
  </si>
  <si>
    <t>area burned</t>
  </si>
  <si>
    <t>no unit</t>
  </si>
  <si>
    <t>E.  Settlements</t>
  </si>
  <si>
    <t>Wildfires</t>
  </si>
  <si>
    <t xml:space="preserve">Controlled burning </t>
  </si>
  <si>
    <t>2. Land converted to wetlands</t>
  </si>
  <si>
    <t>2. Land converted to grassland</t>
  </si>
  <si>
    <r>
      <t>1. Grassland remaining grassland</t>
    </r>
    <r>
      <rPr>
        <vertAlign val="superscript"/>
        <sz val="9"/>
        <rFont val="Times New Roman"/>
        <family val="1"/>
      </rPr>
      <t>(6)</t>
    </r>
  </si>
  <si>
    <t>C. Grassland</t>
  </si>
  <si>
    <t>2. Land converted to cropland</t>
  </si>
  <si>
    <r>
      <t>1.  Cropland remaining cropland</t>
    </r>
    <r>
      <rPr>
        <vertAlign val="superscript"/>
        <sz val="9"/>
        <rFont val="Times New Roman"/>
        <family val="1"/>
      </rPr>
      <t>(8)</t>
    </r>
  </si>
  <si>
    <t>B. Cropland</t>
  </si>
  <si>
    <t>2. Land converted to forest land</t>
  </si>
  <si>
    <r>
      <t>1. Forest land remaining forest land</t>
    </r>
    <r>
      <rPr>
        <vertAlign val="superscript"/>
        <sz val="9"/>
        <rFont val="Times New Roman"/>
        <family val="1"/>
      </rPr>
      <t>(7)</t>
    </r>
  </si>
  <si>
    <t>Total for land-use categories</t>
  </si>
  <si>
    <t>(t/activity data unit)</t>
  </si>
  <si>
    <t>(ha or kg dm)</t>
  </si>
  <si>
    <r>
      <t xml:space="preserve">Subdivision </t>
    </r>
    <r>
      <rPr>
        <b/>
        <vertAlign val="superscript"/>
        <sz val="9"/>
        <rFont val="Times New Roman"/>
        <family val="1"/>
      </rPr>
      <t>(3)</t>
    </r>
  </si>
  <si>
    <r>
      <t>CO</t>
    </r>
    <r>
      <rPr>
        <b/>
        <vertAlign val="subscript"/>
        <sz val="9"/>
        <rFont val="Times New Roman"/>
        <family val="1"/>
      </rPr>
      <t>2</t>
    </r>
    <r>
      <rPr>
        <b/>
        <vertAlign val="superscript"/>
        <sz val="9"/>
        <rFont val="Times New Roman"/>
        <family val="1"/>
      </rPr>
      <t>(5)(6)</t>
    </r>
  </si>
  <si>
    <t>Values</t>
  </si>
  <si>
    <t>Unit</t>
  </si>
  <si>
    <r>
      <t>Description</t>
    </r>
    <r>
      <rPr>
        <b/>
        <vertAlign val="superscript"/>
        <sz val="9"/>
        <rFont val="Times New Roman"/>
        <family val="1"/>
      </rPr>
      <t>(4)</t>
    </r>
  </si>
  <si>
    <t>IMPLIED EMISSION FACTOR</t>
  </si>
  <si>
    <r>
      <t>Biomass Burning</t>
    </r>
    <r>
      <rPr>
        <b/>
        <vertAlign val="superscript"/>
        <sz val="12"/>
        <rFont val="Times New Roman"/>
        <family val="1"/>
      </rPr>
      <t>(1)</t>
    </r>
  </si>
  <si>
    <t>TABLE 4(V)   SECTORAL BACKGROUND DATA FOR LAND USE, LAND-USE CHANGE AND FORESTRY</t>
  </si>
  <si>
    <r>
      <t>(a)</t>
    </r>
    <r>
      <rPr>
        <sz val="9"/>
        <rFont val="Times New Roman"/>
        <family val="1"/>
      </rPr>
      <t xml:space="preserve"> A Party may apply different categories in case tier 3 methods are available. </t>
    </r>
  </si>
  <si>
    <r>
      <t xml:space="preserve">3. Other </t>
    </r>
    <r>
      <rPr>
        <i/>
        <sz val="9"/>
        <rFont val="Times New Roman"/>
        <family val="1"/>
      </rPr>
      <t>(please specify)</t>
    </r>
  </si>
  <si>
    <r>
      <t>2. Paper and paperboard</t>
    </r>
    <r>
      <rPr>
        <vertAlign val="superscript"/>
        <sz val="9"/>
        <rFont val="Times New Roman"/>
        <family val="1"/>
      </rPr>
      <t>(a)</t>
    </r>
  </si>
  <si>
    <t>Wood panels</t>
  </si>
  <si>
    <t>Sawnwood</t>
  </si>
  <si>
    <r>
      <t>1. Solid wood</t>
    </r>
    <r>
      <rPr>
        <vertAlign val="superscript"/>
        <sz val="9"/>
        <rFont val="Times New Roman"/>
        <family val="1"/>
      </rPr>
      <t>(a)</t>
    </r>
  </si>
  <si>
    <t>Factors used to convert from product units to carbon</t>
  </si>
  <si>
    <t>Note:  Information as outlined in the table above should be provided where tier 1 or tier 2 methods have been used (volume 4 of the 2006 IPCC Guidelines). Further information shall be provided in the relevant sections of the NIR.</t>
  </si>
  <si>
    <r>
      <t xml:space="preserve">  (3) </t>
    </r>
    <r>
      <rPr>
        <sz val="9"/>
        <rFont val="Times New Roman"/>
        <family val="1"/>
      </rPr>
      <t>Provide activity data from the first year for which they are available.</t>
    </r>
  </si>
  <si>
    <r>
      <t xml:space="preserve">  (2)</t>
    </r>
    <r>
      <rPr>
        <sz val="9"/>
        <rFont val="Times New Roman"/>
        <family val="1"/>
      </rPr>
      <t xml:space="preserve"> Information should be provided on how activity data from the period from 1900 to the first year of the tabulated time series has been computed (equations 12.1 and 12.6 of volume 4 of the 2006 IPCC Guidelines). </t>
    </r>
  </si>
  <si>
    <r>
      <t xml:space="preserve">  (1)</t>
    </r>
    <r>
      <rPr>
        <sz val="9"/>
        <rFont val="Times New Roman"/>
        <family val="1"/>
      </rPr>
      <t xml:space="preserve"> This table is only included for the latest reported inventory year in the CRF.</t>
    </r>
  </si>
  <si>
    <t xml:space="preserve">.            </t>
  </si>
  <si>
    <t>2018</t>
  </si>
  <si>
    <t>2017</t>
  </si>
  <si>
    <t>2016</t>
  </si>
  <si>
    <t>2015</t>
  </si>
  <si>
    <t>2014</t>
  </si>
  <si>
    <t>2013</t>
  </si>
  <si>
    <t>2012</t>
  </si>
  <si>
    <t>2011</t>
  </si>
  <si>
    <t>2010</t>
  </si>
  <si>
    <t>2009</t>
  </si>
  <si>
    <t>2008</t>
  </si>
  <si>
    <t>2007</t>
  </si>
  <si>
    <t>2006</t>
  </si>
  <si>
    <t>2005</t>
  </si>
  <si>
    <t>2004</t>
  </si>
  <si>
    <t>2003</t>
  </si>
  <si>
    <t>2002</t>
  </si>
  <si>
    <t>2001</t>
  </si>
  <si>
    <t>2000</t>
  </si>
  <si>
    <t>1999</t>
  </si>
  <si>
    <t>1998</t>
  </si>
  <si>
    <t>1997</t>
  </si>
  <si>
    <t>1996</t>
  </si>
  <si>
    <t>1995</t>
  </si>
  <si>
    <t>1994</t>
  </si>
  <si>
    <t>1993</t>
  </si>
  <si>
    <t>1992</t>
  </si>
  <si>
    <t>1991</t>
  </si>
  <si>
    <t>1990</t>
  </si>
  <si>
    <t>1989</t>
  </si>
  <si>
    <t>1988</t>
  </si>
  <si>
    <t>1987</t>
  </si>
  <si>
    <t>1986</t>
  </si>
  <si>
    <t>1985</t>
  </si>
  <si>
    <t>1984</t>
  </si>
  <si>
    <t>1983</t>
  </si>
  <si>
    <t>1982</t>
  </si>
  <si>
    <t>1981</t>
  </si>
  <si>
    <t>1980</t>
  </si>
  <si>
    <t>1979</t>
  </si>
  <si>
    <t>1978</t>
  </si>
  <si>
    <t>1977</t>
  </si>
  <si>
    <t>1976</t>
  </si>
  <si>
    <t>1975</t>
  </si>
  <si>
    <t>1974</t>
  </si>
  <si>
    <t>1973</t>
  </si>
  <si>
    <t>1972</t>
  </si>
  <si>
    <t>1971</t>
  </si>
  <si>
    <t>1970</t>
  </si>
  <si>
    <t>1969</t>
  </si>
  <si>
    <t>1968</t>
  </si>
  <si>
    <t>1967</t>
  </si>
  <si>
    <t>1966</t>
  </si>
  <si>
    <t>1965</t>
  </si>
  <si>
    <t>1964</t>
  </si>
  <si>
    <t>1963</t>
  </si>
  <si>
    <t>1962</t>
  </si>
  <si>
    <t>1961</t>
  </si>
  <si>
    <t>1960</t>
  </si>
  <si>
    <r>
      <t>….</t>
    </r>
    <r>
      <rPr>
        <vertAlign val="superscript"/>
        <sz val="9"/>
        <rFont val="Times New Roman"/>
        <family val="1"/>
      </rPr>
      <t>(3)</t>
    </r>
  </si>
  <si>
    <t>metric t</t>
  </si>
  <si>
    <r>
      <t>m</t>
    </r>
    <r>
      <rPr>
        <b/>
        <vertAlign val="superscript"/>
        <sz val="9"/>
        <rFont val="Times New Roman"/>
        <family val="1"/>
      </rPr>
      <t>3</t>
    </r>
  </si>
  <si>
    <t>Exports</t>
  </si>
  <si>
    <t>Imports</t>
  </si>
  <si>
    <t>Paper and paperboard</t>
  </si>
  <si>
    <t xml:space="preserve">Sawnwood </t>
  </si>
  <si>
    <r>
      <t>HWP activity data</t>
    </r>
    <r>
      <rPr>
        <b/>
        <vertAlign val="superscript"/>
        <sz val="9"/>
        <rFont val="Times New Roman"/>
        <family val="1"/>
      </rPr>
      <t>(2)</t>
    </r>
  </si>
  <si>
    <r>
      <t>Harvested wood products (HWP)</t>
    </r>
    <r>
      <rPr>
        <b/>
        <vertAlign val="superscript"/>
        <sz val="12"/>
        <rFont val="Times New Roman"/>
        <family val="1"/>
      </rPr>
      <t>(1)</t>
    </r>
  </si>
  <si>
    <t>TABLE 4.G  SECTORAL BACKGROUND DATA FOR LAND USE, LAND-USE CHANGE AND FORESTRY</t>
  </si>
  <si>
    <t xml:space="preserve">• Parties should specify the category in the energy sector under which the emissions from energy recovery are reported. </t>
  </si>
  <si>
    <t xml:space="preserve">           (b) The composition of landfilled waste. </t>
  </si>
  <si>
    <t xml:space="preserve">           (a) The population size (total or urban population) used in the calculations and the rationale for doing so;</t>
  </si>
  <si>
    <t>• Parties that use country-specific models should provide a reference in the documentation box to the relevant section in the NIR where these models are described, and fill in only the relevant cells of table 5.A.</t>
  </si>
  <si>
    <t>• Parties should provide detailed explanations on the waste sector in chapter 7: waste (CRF sector 5) of the national invnetory report (NIR).  Use this documentation box to provide references to relevant sections of the NIR if any additional information and/or further details are needed to understand the content of this table.</t>
  </si>
  <si>
    <t xml:space="preserve">Documentation box: </t>
  </si>
  <si>
    <r>
      <t>(4)</t>
    </r>
    <r>
      <rPr>
        <sz val="9"/>
        <color indexed="8"/>
        <rFont val="Times New Roman"/>
        <family val="1"/>
      </rPr>
      <t xml:space="preserve"> Under solid waste disposal, CO</t>
    </r>
    <r>
      <rPr>
        <vertAlign val="subscript"/>
        <sz val="9"/>
        <color indexed="8"/>
        <rFont val="Times New Roman"/>
        <family val="1"/>
      </rPr>
      <t>2</t>
    </r>
    <r>
      <rPr>
        <sz val="9"/>
        <color indexed="8"/>
        <rFont val="Times New Roman"/>
        <family val="1"/>
      </rPr>
      <t xml:space="preserve"> emissions should be reported only when the disposed waste is combusted at the disposal site as a management practice. CO</t>
    </r>
    <r>
      <rPr>
        <vertAlign val="subscript"/>
        <sz val="9"/>
        <color indexed="8"/>
        <rFont val="Times New Roman"/>
        <family val="1"/>
      </rPr>
      <t>2</t>
    </r>
    <r>
      <rPr>
        <sz val="9"/>
        <color indexed="8"/>
        <rFont val="Times New Roman"/>
        <family val="1"/>
      </rPr>
      <t xml:space="preserve"> emissions from non-biogenic waste are included in the total emissions, whereas the CO</t>
    </r>
    <r>
      <rPr>
        <vertAlign val="subscript"/>
        <sz val="9"/>
        <color indexed="8"/>
        <rFont val="Times New Roman"/>
        <family val="1"/>
      </rPr>
      <t>2</t>
    </r>
    <r>
      <rPr>
        <sz val="9"/>
        <color indexed="8"/>
        <rFont val="Times New Roman"/>
        <family val="1"/>
      </rPr>
      <t xml:space="preserve"> emissions from biogenic waste are not included in the total emissions.  </t>
    </r>
  </si>
  <si>
    <r>
      <t>(3)</t>
    </r>
    <r>
      <rPr>
        <sz val="9"/>
        <color indexed="8"/>
        <rFont val="Times New Roman"/>
        <family val="1"/>
      </rPr>
      <t xml:space="preserve"> When recovered CH</t>
    </r>
    <r>
      <rPr>
        <vertAlign val="subscript"/>
        <sz val="9"/>
        <color indexed="8"/>
        <rFont val="Times New Roman"/>
        <family val="1"/>
      </rPr>
      <t>4</t>
    </r>
    <r>
      <rPr>
        <sz val="9"/>
        <color indexed="8"/>
        <rFont val="Times New Roman"/>
        <family val="1"/>
      </rPr>
      <t xml:space="preserve"> emissions are used for energy, the emissions from the combustion should be reported under category 1.A and are provided here for information only.</t>
    </r>
  </si>
  <si>
    <r>
      <t>(2)</t>
    </r>
    <r>
      <rPr>
        <sz val="9"/>
        <color indexed="8"/>
        <rFont val="Times New Roman"/>
        <family val="1"/>
      </rPr>
      <t xml:space="preserve"> Actual emissions (after flaring and recovery).</t>
    </r>
  </si>
  <si>
    <r>
      <t>(1)</t>
    </r>
    <r>
      <rPr>
        <sz val="9"/>
        <color indexed="8"/>
        <rFont val="Times New Roman"/>
        <family val="1"/>
      </rPr>
      <t xml:space="preserve"> The CH</t>
    </r>
    <r>
      <rPr>
        <vertAlign val="subscript"/>
        <sz val="9"/>
        <color indexed="8"/>
        <rFont val="Times New Roman"/>
        <family val="1"/>
      </rPr>
      <t>4</t>
    </r>
    <r>
      <rPr>
        <sz val="9"/>
        <color indexed="8"/>
        <rFont val="Times New Roman"/>
        <family val="1"/>
      </rPr>
      <t xml:space="preserve"> implied emission factor (IEF) is calculated on the basis of gross CH</t>
    </r>
    <r>
      <rPr>
        <vertAlign val="subscript"/>
        <sz val="9"/>
        <color indexed="8"/>
        <rFont val="Times New Roman"/>
        <family val="1"/>
      </rPr>
      <t>4</t>
    </r>
    <r>
      <rPr>
        <sz val="9"/>
        <color indexed="8"/>
        <rFont val="Times New Roman"/>
        <family val="1"/>
      </rPr>
      <t xml:space="preserve"> emissions as follows: IEF = (CH</t>
    </r>
    <r>
      <rPr>
        <vertAlign val="subscript"/>
        <sz val="9"/>
        <color indexed="8"/>
        <rFont val="Times New Roman"/>
        <family val="1"/>
      </rPr>
      <t>4</t>
    </r>
    <r>
      <rPr>
        <sz val="9"/>
        <color indexed="8"/>
        <rFont val="Times New Roman"/>
        <family val="1"/>
      </rPr>
      <t xml:space="preserve"> emissions + CH</t>
    </r>
    <r>
      <rPr>
        <vertAlign val="subscript"/>
        <sz val="9"/>
        <color indexed="8"/>
        <rFont val="Times New Roman"/>
        <family val="1"/>
      </rPr>
      <t>4</t>
    </r>
    <r>
      <rPr>
        <sz val="9"/>
        <color indexed="8"/>
        <rFont val="Times New Roman"/>
        <family val="1"/>
      </rPr>
      <t xml:space="preserve"> recovered)/annual waste at the SWDS. </t>
    </r>
  </si>
  <si>
    <r>
      <t>Note:</t>
    </r>
    <r>
      <rPr>
        <sz val="9"/>
        <color indexed="8"/>
        <rFont val="Times New Roman"/>
        <family val="1"/>
      </rPr>
      <t xml:space="preserve"> The is no methodology in the 2006 IPCC Guidelines to estimate emissions from flaring based on recovered biogas from solid waste disposal sites and wastewater handling. If data are available, Parties are encouraged to report emissions of methane (CH</t>
    </r>
    <r>
      <rPr>
        <vertAlign val="subscript"/>
        <sz val="9"/>
        <color indexed="8"/>
        <rFont val="Times New Roman"/>
        <family val="1"/>
      </rPr>
      <t>4</t>
    </r>
    <r>
      <rPr>
        <sz val="9"/>
        <color indexed="8"/>
        <rFont val="Times New Roman"/>
        <family val="1"/>
      </rPr>
      <t>) and nitrous oxide (N</t>
    </r>
    <r>
      <rPr>
        <vertAlign val="subscript"/>
        <sz val="9"/>
        <color indexed="8"/>
        <rFont val="Times New Roman"/>
        <family val="1"/>
      </rPr>
      <t>2</t>
    </r>
    <r>
      <rPr>
        <sz val="9"/>
        <color indexed="8"/>
        <rFont val="Times New Roman"/>
        <family val="1"/>
      </rPr>
      <t>O) under category 5.E.</t>
    </r>
  </si>
  <si>
    <r>
      <t>Note:</t>
    </r>
    <r>
      <rPr>
        <sz val="9"/>
        <rFont val="Times New Roman"/>
        <family val="1"/>
      </rPr>
      <t xml:space="preserve"> Annual waste includes household waste, yard/garden waste, commercial/institutional waste, sludge, industrial and other waste.</t>
    </r>
  </si>
  <si>
    <r>
      <t xml:space="preserve">Note: </t>
    </r>
    <r>
      <rPr>
        <sz val="9"/>
        <color indexed="8"/>
        <rFont val="Times New Roman"/>
        <family val="1"/>
      </rPr>
      <t>SWDS = solid waste disposal site, MCF = methane correction factor, DOC</t>
    </r>
    <r>
      <rPr>
        <vertAlign val="subscript"/>
        <sz val="9"/>
        <color indexed="8"/>
        <rFont val="Times New Roman"/>
        <family val="1"/>
      </rPr>
      <t>f</t>
    </r>
    <r>
      <rPr>
        <sz val="9"/>
        <color indexed="8"/>
        <rFont val="Times New Roman"/>
        <family val="1"/>
      </rPr>
      <t xml:space="preserve"> = fraction of degradable organic carbon that decomposes, DOC = degradable organic carbon (IPCC Guidelines (Volume 5, section 3.2.3)). </t>
    </r>
  </si>
  <si>
    <t>3.  Uncategorized waste disposal sites</t>
  </si>
  <si>
    <t>2.  Unmanaged waste disposal sites</t>
  </si>
  <si>
    <t>b. Semi-aerobic</t>
  </si>
  <si>
    <t>a. Anaerobic</t>
  </si>
  <si>
    <t>1.  Managed waste disposal sites</t>
  </si>
  <si>
    <t>(t/t waste)</t>
  </si>
  <si>
    <t xml:space="preserve">     (kt)</t>
  </si>
  <si>
    <r>
      <t>Amount of CH</t>
    </r>
    <r>
      <rPr>
        <b/>
        <vertAlign val="subscript"/>
        <sz val="9"/>
        <color indexed="8"/>
        <rFont val="Times New Roman"/>
        <family val="1"/>
      </rPr>
      <t>4</t>
    </r>
    <r>
      <rPr>
        <b/>
        <sz val="9"/>
        <color indexed="8"/>
        <rFont val="Times New Roman"/>
        <family val="1"/>
      </rPr>
      <t xml:space="preserve"> for energy recovery</t>
    </r>
    <r>
      <rPr>
        <b/>
        <vertAlign val="superscript"/>
        <sz val="9"/>
        <color indexed="8"/>
        <rFont val="Times New Roman"/>
        <family val="1"/>
      </rPr>
      <t>(3)</t>
    </r>
  </si>
  <si>
    <r>
      <t>Amount of CH</t>
    </r>
    <r>
      <rPr>
        <b/>
        <vertAlign val="subscript"/>
        <sz val="9"/>
        <color indexed="8"/>
        <rFont val="Times New Roman"/>
        <family val="1"/>
      </rPr>
      <t>4</t>
    </r>
    <r>
      <rPr>
        <b/>
        <sz val="9"/>
        <color indexed="8"/>
        <rFont val="Times New Roman"/>
        <family val="1"/>
      </rPr>
      <t xml:space="preserve"> flared</t>
    </r>
  </si>
  <si>
    <r>
      <t>Emissions</t>
    </r>
    <r>
      <rPr>
        <b/>
        <vertAlign val="superscript"/>
        <sz val="9"/>
        <color indexed="8"/>
        <rFont val="Times New Roman"/>
        <family val="1"/>
      </rPr>
      <t>(2)</t>
    </r>
  </si>
  <si>
    <r>
      <t>CO</t>
    </r>
    <r>
      <rPr>
        <b/>
        <vertAlign val="subscript"/>
        <sz val="9"/>
        <color indexed="8"/>
        <rFont val="Times New Roman"/>
        <family val="1"/>
      </rPr>
      <t>2</t>
    </r>
    <r>
      <rPr>
        <b/>
        <vertAlign val="superscript"/>
        <sz val="9"/>
        <color indexed="8"/>
        <rFont val="Times New Roman"/>
        <family val="1"/>
      </rPr>
      <t>(4)</t>
    </r>
    <r>
      <rPr>
        <b/>
        <sz val="9"/>
        <color indexed="8"/>
        <rFont val="Times New Roman"/>
        <family val="1"/>
      </rPr>
      <t xml:space="preserve">        </t>
    </r>
  </si>
  <si>
    <r>
      <t>CH</t>
    </r>
    <r>
      <rPr>
        <b/>
        <vertAlign val="subscript"/>
        <sz val="9"/>
        <color indexed="8"/>
        <rFont val="Times New Roman"/>
        <family val="1"/>
      </rPr>
      <t>4</t>
    </r>
    <r>
      <rPr>
        <b/>
        <sz val="9"/>
        <color indexed="8"/>
        <rFont val="Times New Roman"/>
        <family val="1"/>
      </rPr>
      <t xml:space="preserve">        </t>
    </r>
  </si>
  <si>
    <r>
      <t>CO</t>
    </r>
    <r>
      <rPr>
        <b/>
        <vertAlign val="subscript"/>
        <sz val="9"/>
        <color indexed="8"/>
        <rFont val="Times New Roman"/>
        <family val="1"/>
      </rPr>
      <t>2</t>
    </r>
    <r>
      <rPr>
        <b/>
        <sz val="9"/>
        <color indexed="8"/>
        <rFont val="Times New Roman"/>
        <family val="1"/>
      </rPr>
      <t xml:space="preserve">        </t>
    </r>
  </si>
  <si>
    <r>
      <t>CH</t>
    </r>
    <r>
      <rPr>
        <b/>
        <vertAlign val="subscript"/>
        <sz val="9"/>
        <color indexed="8"/>
        <rFont val="Times New Roman"/>
        <family val="1"/>
      </rPr>
      <t>4</t>
    </r>
    <r>
      <rPr>
        <b/>
        <vertAlign val="superscript"/>
        <sz val="9"/>
        <color indexed="8"/>
        <rFont val="Times New Roman"/>
        <family val="1"/>
      </rPr>
      <t>(1)</t>
    </r>
  </si>
  <si>
    <r>
      <t>DOC</t>
    </r>
    <r>
      <rPr>
        <b/>
        <vertAlign val="subscript"/>
        <sz val="9"/>
        <color indexed="8"/>
        <rFont val="Times New Roman"/>
        <family val="1"/>
      </rPr>
      <t>f</t>
    </r>
  </si>
  <si>
    <t>MCF</t>
  </si>
  <si>
    <t xml:space="preserve">Annual waste at the SWDS   </t>
  </si>
  <si>
    <t>GREENHOUSE GAS SOURCE AND</t>
  </si>
  <si>
    <t xml:space="preserve">Solid waste disposal </t>
  </si>
  <si>
    <t>TABLE 5.A  SECTORAL BACKGROUND DATA  FOR WASTE</t>
  </si>
  <si>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</si>
  <si>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r>
      <t>(4)</t>
    </r>
    <r>
      <rPr>
        <sz val="9"/>
        <rFont val="Times New Roman"/>
        <family val="1"/>
      </rPr>
      <t xml:space="preserve"> This category should include all organic waste from sources not covered by municipal solid waste.</t>
    </r>
  </si>
  <si>
    <r>
      <t>(3)</t>
    </r>
    <r>
      <rPr>
        <sz val="9"/>
        <rFont val="Times New Roman"/>
        <family val="1"/>
      </rPr>
      <t xml:space="preserve"> When CH</t>
    </r>
    <r>
      <rPr>
        <vertAlign val="subscript"/>
        <sz val="9"/>
        <rFont val="Times New Roman"/>
        <family val="1"/>
      </rPr>
      <t>4</t>
    </r>
    <r>
      <rPr>
        <sz val="9"/>
        <rFont val="Times New Roman"/>
        <family val="1"/>
      </rPr>
      <t xml:space="preserve"> emissions recovered are used for energy, the emissions from the combustion should be reported under category 1.A.</t>
    </r>
  </si>
  <si>
    <r>
      <t>(2)</t>
    </r>
    <r>
      <rPr>
        <sz val="9"/>
        <rFont val="Times New Roman"/>
        <family val="1"/>
      </rPr>
      <t xml:space="preserve"> Actual emissions (after recovery and flaring).</t>
    </r>
  </si>
  <si>
    <r>
      <t>(1)</t>
    </r>
    <r>
      <rPr>
        <sz val="9"/>
        <rFont val="Times New Roman"/>
        <family val="1"/>
      </rPr>
      <t xml:space="preserve"> The CH</t>
    </r>
    <r>
      <rPr>
        <vertAlign val="subscript"/>
        <sz val="9"/>
        <rFont val="Times New Roman"/>
        <family val="1"/>
      </rPr>
      <t>4</t>
    </r>
    <r>
      <rPr>
        <sz val="9"/>
        <rFont val="Times New Roman"/>
        <family val="1"/>
      </rPr>
      <t xml:space="preserve"> implied emission factor (IEF) is calculated on the basis of gross methane (CH</t>
    </r>
    <r>
      <rPr>
        <vertAlign val="subscript"/>
        <sz val="9"/>
        <rFont val="Times New Roman"/>
        <family val="1"/>
      </rPr>
      <t>4</t>
    </r>
    <r>
      <rPr>
        <sz val="9"/>
        <rFont val="Times New Roman"/>
        <family val="1"/>
      </rPr>
      <t>)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recovered/flared)/annual waste at the solid waste disposal sites. </t>
    </r>
  </si>
  <si>
    <t>Animal manure and other organic waste</t>
  </si>
  <si>
    <r>
      <t>Other (please specify)</t>
    </r>
    <r>
      <rPr>
        <vertAlign val="superscript"/>
        <sz val="9"/>
        <rFont val="Times New Roman"/>
        <family val="1"/>
      </rPr>
      <t>(4)</t>
    </r>
  </si>
  <si>
    <t>Municipal solid waste</t>
  </si>
  <si>
    <r>
      <t>2. Anaerobic digestion at biogas facilities</t>
    </r>
    <r>
      <rPr>
        <vertAlign val="superscript"/>
        <sz val="9"/>
        <rFont val="Times New Roman"/>
        <family val="1"/>
      </rPr>
      <t>(3)</t>
    </r>
  </si>
  <si>
    <t>Food and garden waste</t>
  </si>
  <si>
    <t>1. Composting</t>
  </si>
  <si>
    <t>(g/kg waste)</t>
  </si>
  <si>
    <t xml:space="preserve">     (kt dm )</t>
  </si>
  <si>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(3)</t>
    </r>
  </si>
  <si>
    <r>
      <t>Amount of CH</t>
    </r>
    <r>
      <rPr>
        <b/>
        <vertAlign val="subscript"/>
        <sz val="9"/>
        <rFont val="Times New Roman"/>
        <family val="1"/>
      </rPr>
      <t>4</t>
    </r>
    <r>
      <rPr>
        <b/>
        <sz val="9"/>
        <rFont val="Times New Roman"/>
        <family val="1"/>
      </rPr>
      <t xml:space="preserve"> flared</t>
    </r>
  </si>
  <si>
    <r>
      <t>Emissions</t>
    </r>
    <r>
      <rPr>
        <b/>
        <vertAlign val="superscript"/>
        <sz val="9"/>
        <rFont val="Times New Roman"/>
        <family val="1"/>
      </rPr>
      <t>(2)</t>
    </r>
  </si>
  <si>
    <r>
      <t>CH</t>
    </r>
    <r>
      <rPr>
        <b/>
        <vertAlign val="subscript"/>
        <sz val="9"/>
        <rFont val="Times New Roman"/>
        <family val="1"/>
      </rPr>
      <t>4</t>
    </r>
    <r>
      <rPr>
        <b/>
        <sz val="9"/>
        <rFont val="Times New Roman"/>
        <family val="1"/>
      </rPr>
      <t xml:space="preserve">        </t>
    </r>
  </si>
  <si>
    <r>
      <t>CH</t>
    </r>
    <r>
      <rPr>
        <b/>
        <vertAlign val="subscript"/>
        <sz val="9"/>
        <rFont val="Times New Roman"/>
        <family val="1"/>
      </rPr>
      <t>4</t>
    </r>
    <r>
      <rPr>
        <b/>
        <vertAlign val="superscript"/>
        <sz val="9"/>
        <rFont val="Times New Roman"/>
        <family val="1"/>
      </rPr>
      <t>(1)</t>
    </r>
  </si>
  <si>
    <t xml:space="preserve">Annual waste amount treated </t>
  </si>
  <si>
    <t>Biological Treatment of Solid Waste</t>
  </si>
  <si>
    <t>TABLE 5.B  SECTORAL BACKGROUND DATA  FOR WASTE</t>
  </si>
  <si>
    <t>• Provide a reference to the relevant section of the NIR, in particular with regard to the amount of incinerated waste (specify whether the reported data relate to wet or dry matter).</t>
  </si>
  <si>
    <t>• Parties that use country-specific models should provide a reference in the documentation box to the relevant section in the NIR where these models are described, and fill in only the relevant cells of table 5.C.</t>
  </si>
  <si>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</si>
  <si>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r>
      <t xml:space="preserve">(4)  </t>
    </r>
    <r>
      <rPr>
        <sz val="9"/>
        <rFont val="Times New Roman"/>
        <family val="1"/>
      </rPr>
      <t>This category includes lubricants, solvents and waste oil. Unless fossil liquid waste is included in other types of waste (e.g. industrial or hazardous waste), the emissions need to be calculated separately.</t>
    </r>
  </si>
  <si>
    <r>
      <t xml:space="preserve">(3)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non-biogenic waste not included in municipal solid waste here.</t>
    </r>
  </si>
  <si>
    <r>
      <t xml:space="preserve">(2)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biogenic waste not included in municipal solid waste here.</t>
    </r>
  </si>
  <si>
    <r>
      <t xml:space="preserve">(1)  </t>
    </r>
    <r>
      <rPr>
        <sz val="9"/>
        <rFont val="Times New Roman"/>
        <family val="1"/>
      </rPr>
      <t>The CO</t>
    </r>
    <r>
      <rPr>
        <vertAlign val="subscript"/>
        <sz val="9"/>
        <rFont val="Times New Roman"/>
        <family val="1"/>
      </rPr>
      <t>2</t>
    </r>
    <r>
      <rPr>
        <sz val="9"/>
        <rFont val="Times New Roman"/>
        <family val="1"/>
      </rPr>
      <t xml:space="preserve"> emissions from combustion of biomass materials (e.g. paper, food and wood waste) contained in the waste are biogenic emissions and should not be included in the national totals. If incineration of waste is used for energy purposes, fossil CO</t>
    </r>
    <r>
      <rPr>
        <vertAlign val="subscript"/>
        <sz val="9"/>
        <rFont val="Times New Roman"/>
        <family val="1"/>
      </rPr>
      <t>2</t>
    </r>
    <r>
      <rPr>
        <sz val="9"/>
        <rFont val="Times New Roman"/>
        <family val="1"/>
      </rPr>
      <t xml:space="preserve"> emissions should be estimated and reported under category 1.A. The cells here are only for information purposes.</t>
    </r>
  </si>
  <si>
    <r>
      <t xml:space="preserve">Note: </t>
    </r>
    <r>
      <rPr>
        <sz val="9"/>
        <rFont val="Times New Roman"/>
        <family val="1"/>
      </rPr>
      <t xml:space="preserve">Only emissions from waste incineration without energy recovery are to be reported under the waste sector. Emissions from incineration with energy recovery are to be reported under the energy sector, as other fossil fuels (see the 2006 IPCC Guidelines, Volume 2, page 1.15). </t>
    </r>
  </si>
  <si>
    <t>Non-biogenic</t>
  </si>
  <si>
    <r>
      <t xml:space="preserve">Biogenic </t>
    </r>
    <r>
      <rPr>
        <b/>
        <vertAlign val="superscript"/>
        <sz val="9"/>
        <rFont val="Times New Roman"/>
        <family val="1"/>
      </rPr>
      <t>(1)</t>
    </r>
  </si>
  <si>
    <t>2. Open burning of waste</t>
  </si>
  <si>
    <r>
      <t xml:space="preserve">Other </t>
    </r>
    <r>
      <rPr>
        <i/>
        <sz val="9"/>
        <rFont val="Times New Roman"/>
        <family val="1"/>
      </rPr>
      <t>(please specify)</t>
    </r>
    <r>
      <rPr>
        <vertAlign val="superscript"/>
        <sz val="9"/>
        <rFont val="Times New Roman"/>
        <family val="1"/>
      </rPr>
      <t>(3)</t>
    </r>
  </si>
  <si>
    <t>Human cremations</t>
  </si>
  <si>
    <t>Animal cremations</t>
  </si>
  <si>
    <r>
      <t xml:space="preserve">Other </t>
    </r>
    <r>
      <rPr>
        <i/>
        <sz val="9"/>
        <rFont val="Times New Roman"/>
        <family val="1"/>
      </rPr>
      <t>(please specify)</t>
    </r>
    <r>
      <rPr>
        <vertAlign val="superscript"/>
        <sz val="9"/>
        <rFont val="Times New Roman"/>
        <family val="1"/>
      </rPr>
      <t>(2)</t>
    </r>
  </si>
  <si>
    <t>1. Waste Incineration</t>
  </si>
  <si>
    <t>(kg/t waste)</t>
  </si>
  <si>
    <t>(kt wet weight)</t>
  </si>
  <si>
    <r>
      <t>CO</t>
    </r>
    <r>
      <rPr>
        <b/>
        <vertAlign val="subscript"/>
        <sz val="9"/>
        <rFont val="Times New Roman"/>
        <family val="1"/>
      </rPr>
      <t>2</t>
    </r>
    <r>
      <rPr>
        <b/>
        <vertAlign val="superscript"/>
        <sz val="9"/>
        <rFont val="Times New Roman"/>
        <family val="1"/>
      </rPr>
      <t xml:space="preserve">         </t>
    </r>
  </si>
  <si>
    <t>Amount of wastes (incinerated/open burned)</t>
  </si>
  <si>
    <t>Incineration and open burning of waste</t>
  </si>
  <si>
    <t>TABLE 5.C  SECTORAL BACKGROUND DATA  FOR WASTE</t>
  </si>
  <si>
    <r>
      <t>• Parties using methods other than those from the IPCC for estimating N</t>
    </r>
    <r>
      <rPr>
        <vertAlign val="subscript"/>
        <sz val="9"/>
        <rFont val="Times New Roman"/>
        <family val="1"/>
      </rPr>
      <t>2</t>
    </r>
    <r>
      <rPr>
        <sz val="9"/>
        <rFont val="Times New Roman"/>
        <family val="1"/>
      </rPr>
      <t xml:space="preserve">O emissions from wastewater treatment should provide, in the national inventory report (NIR), corresponding information on methods, activity data and emission factors used, and should provide a reference to the relevant section  of the NIR in this documentation box. </t>
    </r>
  </si>
  <si>
    <r>
      <t>• Regarding the estimates for N</t>
    </r>
    <r>
      <rPr>
        <vertAlign val="subscript"/>
        <sz val="9"/>
        <rFont val="Times New Roman"/>
        <family val="1"/>
      </rPr>
      <t>2</t>
    </r>
    <r>
      <rPr>
        <sz val="9"/>
        <rFont val="Times New Roman"/>
        <family val="1"/>
      </rPr>
      <t>O from human sewage, specify whether total or urban population is used in the calculations and the rationale for doing so. Provide an explanation in the documentation box.</t>
    </r>
  </si>
  <si>
    <r>
      <t>T</t>
    </r>
    <r>
      <rPr>
        <vertAlign val="subscript"/>
        <sz val="9"/>
        <rFont val="Times New Roman"/>
        <family val="1"/>
      </rPr>
      <t>PLANT</t>
    </r>
    <r>
      <rPr>
        <sz val="9"/>
        <rFont val="Times New Roman"/>
        <family val="1"/>
      </rPr>
      <t xml:space="preserve"> = Degree of utilization of modern, centralized WWT plants</t>
    </r>
  </si>
  <si>
    <r>
      <t>F</t>
    </r>
    <r>
      <rPr>
        <vertAlign val="subscript"/>
        <sz val="9"/>
        <rFont val="Times New Roman"/>
        <family val="1"/>
      </rPr>
      <t>IND-COM</t>
    </r>
    <r>
      <rPr>
        <sz val="9"/>
        <rFont val="Times New Roman"/>
        <family val="1"/>
      </rPr>
      <t xml:space="preserve"> = Fraction of industrial and commercial co-discharged protein into the sewer system</t>
    </r>
  </si>
  <si>
    <r>
      <t>F</t>
    </r>
    <r>
      <rPr>
        <vertAlign val="subscript"/>
        <sz val="9"/>
        <rFont val="Times New Roman"/>
        <family val="1"/>
      </rPr>
      <t>NON-CON</t>
    </r>
    <r>
      <rPr>
        <sz val="9"/>
        <rFont val="Times New Roman"/>
        <family val="1"/>
      </rPr>
      <t xml:space="preserve"> = Fraction of non-consumed protein added to the wastewater</t>
    </r>
  </si>
  <si>
    <t>Note: Parties are encouraged to supply the additional information regardless of the methodology applied</t>
  </si>
  <si>
    <r>
      <t>T</t>
    </r>
    <r>
      <rPr>
        <vertAlign val="subscript"/>
        <sz val="9"/>
        <rFont val="Times New Roman"/>
        <family val="1"/>
      </rPr>
      <t xml:space="preserve">PLANT </t>
    </r>
  </si>
  <si>
    <r>
      <t>F</t>
    </r>
    <r>
      <rPr>
        <vertAlign val="subscript"/>
        <sz val="9"/>
        <rFont val="Times New Roman"/>
        <family val="1"/>
      </rPr>
      <t>IND-COM</t>
    </r>
  </si>
  <si>
    <r>
      <t>F</t>
    </r>
    <r>
      <rPr>
        <vertAlign val="subscript"/>
        <sz val="9"/>
        <rFont val="Times New Roman"/>
        <family val="1"/>
      </rPr>
      <t>NON-CON</t>
    </r>
  </si>
  <si>
    <t>Fraction of nitrogen in protein</t>
  </si>
  <si>
    <t>Protein consumption (kg/person/yr)</t>
  </si>
  <si>
    <t>Population (1000s)</t>
  </si>
  <si>
    <r>
      <t xml:space="preserve">(6)   </t>
    </r>
    <r>
      <rPr>
        <sz val="9"/>
        <rFont val="Times New Roman"/>
        <family val="1"/>
      </rPr>
      <t>DC = degradable organic component. DC indicators are COD (chemical oxygen demand) for industrial waste water and BOD  (biochemical oxygen demand) for domestic/commercial wastewater/sludge (2006 IPCC Guidelines (Volume 5. Section 6.1, pp. 6.7))</t>
    </r>
  </si>
  <si>
    <r>
      <t xml:space="preserve">(5) </t>
    </r>
    <r>
      <rPr>
        <sz val="9"/>
        <rFont val="Times New Roman"/>
        <family val="1"/>
      </rPr>
      <t>When CH</t>
    </r>
    <r>
      <rPr>
        <vertAlign val="subscript"/>
        <sz val="9"/>
        <rFont val="Times New Roman"/>
        <family val="1"/>
      </rPr>
      <t>4</t>
    </r>
    <r>
      <rPr>
        <sz val="9"/>
        <rFont val="Times New Roman"/>
        <family val="1"/>
      </rPr>
      <t xml:space="preserve"> recovered is used for energy production, the emissions should be reported under category 1.A.</t>
    </r>
  </si>
  <si>
    <r>
      <t xml:space="preserve">(4)   </t>
    </r>
    <r>
      <rPr>
        <sz val="9"/>
        <rFont val="Times New Roman"/>
        <family val="1"/>
      </rPr>
      <t>Actual emissions (after flaring and recovery).</t>
    </r>
  </si>
  <si>
    <r>
      <t xml:space="preserve">(3)   </t>
    </r>
    <r>
      <rPr>
        <sz val="9"/>
        <rFont val="Times New Roman"/>
        <family val="1"/>
      </rPr>
      <t>Parties using methods other than those from the IPCC for estimating nitrous oxide (N</t>
    </r>
    <r>
      <rPr>
        <vertAlign val="subscript"/>
        <sz val="9"/>
        <rFont val="Times New Roman"/>
        <family val="1"/>
      </rPr>
      <t>2</t>
    </r>
    <r>
      <rPr>
        <sz val="9"/>
        <rFont val="Times New Roman"/>
        <family val="1"/>
      </rPr>
      <t>O) emissions from human sewage or wastewater treatment should provide aggregate data in this table.</t>
    </r>
  </si>
  <si>
    <r>
      <t xml:space="preserve">(2)    </t>
    </r>
    <r>
      <rPr>
        <sz val="9"/>
        <rFont val="Times New Roman"/>
        <family val="1"/>
      </rPr>
      <t>The methane (CH</t>
    </r>
    <r>
      <rPr>
        <vertAlign val="subscript"/>
        <sz val="9"/>
        <rFont val="Times New Roman"/>
        <family val="1"/>
      </rPr>
      <t>4</t>
    </r>
    <r>
      <rPr>
        <sz val="9"/>
        <rFont val="Times New Roman"/>
        <family val="1"/>
      </rPr>
      <t>) implied emission factor (IEF) is calculated on the basis of gross CH</t>
    </r>
    <r>
      <rPr>
        <vertAlign val="subscript"/>
        <sz val="9"/>
        <rFont val="Times New Roman"/>
        <family val="1"/>
      </rPr>
      <t>4</t>
    </r>
    <r>
      <rPr>
        <sz val="9"/>
        <rFont val="Times New Roman"/>
        <family val="1"/>
      </rPr>
      <t xml:space="preserve">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 or flared) / total organic product.</t>
    </r>
  </si>
  <si>
    <r>
      <t>(1)</t>
    </r>
    <r>
      <rPr>
        <sz val="9"/>
        <rFont val="Times New Roman"/>
        <family val="1"/>
      </rPr>
      <t xml:space="preserve"> If sludge removal is reported in the wastewater inventory, it should be consistent with the estimates for sludge applied to agricultural soils, sludge incinerated and sludge deposited in solid waste disposal sites.</t>
    </r>
  </si>
  <si>
    <t>IE,NA</t>
  </si>
  <si>
    <t>2. Industrial wastewater</t>
  </si>
  <si>
    <t>1. Domestic wastewater</t>
  </si>
  <si>
    <t xml:space="preserve"> (kt)</t>
  </si>
  <si>
    <t>kg N2O-N/kg N</t>
  </si>
  <si>
    <t xml:space="preserve"> (kg/kg DC)</t>
  </si>
  <si>
    <t>(kt N/yr)</t>
  </si>
  <si>
    <r>
      <t xml:space="preserve"> (kt DC</t>
    </r>
    <r>
      <rPr>
        <b/>
        <vertAlign val="superscript"/>
        <sz val="9"/>
        <rFont val="Times New Roman"/>
        <family val="1"/>
      </rPr>
      <t>(6)</t>
    </r>
    <r>
      <rPr>
        <b/>
        <sz val="9"/>
        <rFont val="Times New Roman"/>
        <family val="1"/>
      </rPr>
      <t>/yr)</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</si>
  <si>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(5)</t>
    </r>
  </si>
  <si>
    <r>
      <t>Emissions</t>
    </r>
    <r>
      <rPr>
        <b/>
        <vertAlign val="superscript"/>
        <sz val="9"/>
        <rFont val="Times New Roman"/>
        <family val="1"/>
      </rPr>
      <t>(4)</t>
    </r>
  </si>
  <si>
    <t>N in effluent</t>
  </si>
  <si>
    <r>
      <t>N</t>
    </r>
    <r>
      <rPr>
        <b/>
        <vertAlign val="subscript"/>
        <sz val="9"/>
        <rFont val="Times New Roman"/>
        <family val="1"/>
      </rPr>
      <t>2</t>
    </r>
    <r>
      <rPr>
        <b/>
        <sz val="9"/>
        <rFont val="Times New Roman"/>
        <family val="1"/>
      </rPr>
      <t>O</t>
    </r>
    <r>
      <rPr>
        <b/>
        <vertAlign val="superscript"/>
        <sz val="9"/>
        <rFont val="Times New Roman"/>
        <family val="1"/>
      </rPr>
      <t>(3)</t>
    </r>
  </si>
  <si>
    <r>
      <t>CH</t>
    </r>
    <r>
      <rPr>
        <b/>
        <vertAlign val="subscript"/>
        <sz val="9"/>
        <rFont val="Times New Roman"/>
        <family val="1"/>
      </rPr>
      <t>4</t>
    </r>
    <r>
      <rPr>
        <b/>
        <vertAlign val="superscript"/>
        <sz val="9"/>
        <rFont val="Times New Roman"/>
        <family val="1"/>
      </rPr>
      <t>(2)</t>
    </r>
  </si>
  <si>
    <r>
      <t>Sludge removed</t>
    </r>
    <r>
      <rPr>
        <b/>
        <vertAlign val="superscript"/>
        <sz val="9"/>
        <rFont val="Times New Roman"/>
        <family val="1"/>
      </rPr>
      <t>(1)</t>
    </r>
  </si>
  <si>
    <t>Total organic product</t>
  </si>
  <si>
    <t xml:space="preserve">IMPLIED EMISSION  FACTOR </t>
  </si>
  <si>
    <t>ACTIVITY  DATA AND RELATED INFORMATION</t>
  </si>
  <si>
    <t>GREENHOUSE GAS SOURCE                         AND SINK CATEGORIES</t>
  </si>
  <si>
    <t>Wastewater treatment and discharge</t>
  </si>
  <si>
    <t>TABLE 5.D SECTORAL BACKGROUND DATA  FOR WASTE</t>
  </si>
  <si>
    <t>Submission 2022 v1</t>
  </si>
  <si>
    <t>Inventory 2020</t>
  </si>
  <si>
    <t>2020</t>
  </si>
  <si>
    <t>2019</t>
  </si>
  <si>
    <t>Fur-bearing Animals</t>
  </si>
  <si>
    <t>Pheasant</t>
  </si>
  <si>
    <t>Fur farming</t>
  </si>
  <si>
    <t>Turkeys, geeses and ducks</t>
  </si>
  <si>
    <t>Broilers</t>
  </si>
  <si>
    <t>Pullet</t>
  </si>
  <si>
    <t>Hens</t>
  </si>
  <si>
    <t>Goats (mother goats incl. kids)</t>
  </si>
  <si>
    <t>Fattening pigs (32 – 110 kg)</t>
  </si>
  <si>
    <t>Weaners (7.4 – 32 kg)</t>
  </si>
  <si>
    <t>Sows (incl. pigs &lt; 7.4 kg)</t>
  </si>
  <si>
    <t>Sheep (mother sheep incl. lambs)</t>
  </si>
  <si>
    <t>Suckling cattle</t>
  </si>
  <si>
    <t xml:space="preserve">Heifer &gt; ½ year </t>
  </si>
  <si>
    <t>Bulls &gt; ½ year</t>
  </si>
  <si>
    <t>Calves, heifer</t>
  </si>
  <si>
    <t>Calves, bull</t>
  </si>
  <si>
    <t>Dairy cattle, average</t>
  </si>
  <si>
    <t>Dairy, Jersey</t>
  </si>
  <si>
    <t>Dairy, large breed</t>
  </si>
  <si>
    <t>Cattle</t>
  </si>
  <si>
    <t>Livestock category</t>
  </si>
  <si>
    <t>Table 3D-11 Average gross energy intake (GE) 1990 – 2020, MJ per head per day</t>
  </si>
  <si>
    <t>Annex 3D - Agriculture</t>
  </si>
  <si>
    <t>DENMARK</t>
  </si>
  <si>
    <t>Submission 2021 v1</t>
  </si>
  <si>
    <t>Inventory 2019</t>
  </si>
  <si>
    <t>Rapes</t>
  </si>
  <si>
    <t>Grass-clover mixttures, out side rotation</t>
  </si>
  <si>
    <t>Grass-clover mixttures, in rotation</t>
  </si>
  <si>
    <t>Perennial grasses</t>
  </si>
  <si>
    <t>N-fixing forages</t>
  </si>
  <si>
    <t>Non N-fixing forages</t>
  </si>
  <si>
    <t>Tubers</t>
  </si>
  <si>
    <t>Beans and pulses</t>
  </si>
  <si>
    <t>Alfalfa</t>
  </si>
  <si>
    <t>Potato</t>
  </si>
  <si>
    <t>Maize (animal feed)</t>
  </si>
  <si>
    <t>Maize</t>
  </si>
  <si>
    <t>Triticale and other grains</t>
  </si>
  <si>
    <t>Oats</t>
  </si>
  <si>
    <t>Spring barley</t>
  </si>
  <si>
    <t>Winter barley</t>
  </si>
  <si>
    <t>Rye</t>
  </si>
  <si>
    <t>Spring wheat</t>
  </si>
  <si>
    <t>Winter wheat</t>
  </si>
  <si>
    <t>kg DM per ha</t>
  </si>
  <si>
    <t>Table 3D-20 Above-ground residue dry matter AGDM(T) 1990-2020, kg DM per ha</t>
  </si>
  <si>
    <r>
      <t>a</t>
    </r>
    <r>
      <rPr>
        <sz val="8.5"/>
        <color theme="1"/>
        <rFont val="Arial"/>
        <family val="2"/>
      </rPr>
      <t xml:space="preserve"> feeding days on grass</t>
    </r>
  </si>
  <si>
    <t>Deer and phasants</t>
  </si>
  <si>
    <t>Sheep and goats</t>
  </si>
  <si>
    <t>Organic sows</t>
  </si>
  <si>
    <r>
      <t>Heifer &gt; ½ year</t>
    </r>
    <r>
      <rPr>
        <vertAlign val="superscript"/>
        <sz val="8.5"/>
        <color theme="1"/>
        <rFont val="Arial"/>
        <family val="2"/>
      </rPr>
      <t>a</t>
    </r>
  </si>
  <si>
    <t>Dairy cattle</t>
  </si>
  <si>
    <t>Table 3D-9 Grazing animals 1990-2020, number of on grass per year</t>
  </si>
  <si>
    <t>Other fires</t>
  </si>
  <si>
    <t>Vehicle fires</t>
  </si>
  <si>
    <t>Building fires</t>
  </si>
  <si>
    <t>All fires</t>
  </si>
  <si>
    <t>Table 3F-6.2   Occurrence of accidental fires, 1990-2020.</t>
  </si>
  <si>
    <t>kt</t>
  </si>
  <si>
    <r>
      <t>CO</t>
    </r>
    <r>
      <rPr>
        <vertAlign val="subscript"/>
        <sz val="8.5"/>
        <color theme="1"/>
        <rFont val="Arial"/>
        <family val="2"/>
      </rPr>
      <t>2</t>
    </r>
    <r>
      <rPr>
        <sz val="8.5"/>
        <color theme="1"/>
        <rFont val="Arial"/>
        <family val="2"/>
      </rPr>
      <t>-eqvivalents</t>
    </r>
  </si>
  <si>
    <t>5E. Other</t>
  </si>
  <si>
    <t>t</t>
  </si>
  <si>
    <t>Accidental vehicle fires</t>
  </si>
  <si>
    <t>Accidental building fires</t>
  </si>
  <si>
    <r>
      <t>CH</t>
    </r>
    <r>
      <rPr>
        <vertAlign val="subscript"/>
        <sz val="8.5"/>
        <color theme="1"/>
        <rFont val="Arial"/>
        <family val="2"/>
      </rPr>
      <t>4</t>
    </r>
    <r>
      <rPr>
        <sz val="8.5"/>
        <color theme="1"/>
        <rFont val="Arial"/>
        <family val="2"/>
      </rPr>
      <t xml:space="preserve"> emission from</t>
    </r>
  </si>
  <si>
    <t>Total. non-biogenic</t>
  </si>
  <si>
    <t xml:space="preserve"> - of which non-biogenic</t>
  </si>
  <si>
    <r>
      <t>CO</t>
    </r>
    <r>
      <rPr>
        <vertAlign val="subscript"/>
        <sz val="8.5"/>
        <color theme="1"/>
        <rFont val="Arial"/>
        <family val="2"/>
      </rPr>
      <t>2</t>
    </r>
    <r>
      <rPr>
        <sz val="8.5"/>
        <color theme="1"/>
        <rFont val="Arial"/>
        <family val="2"/>
      </rPr>
      <t xml:space="preserve"> emission from</t>
    </r>
  </si>
  <si>
    <t>Year</t>
  </si>
  <si>
    <r>
      <t>Table 3F-6.1</t>
    </r>
    <r>
      <rPr>
        <sz val="8.5"/>
        <color theme="1"/>
        <rFont val="Book Antiqua"/>
        <family val="1"/>
      </rPr>
      <t xml:space="preserve">   </t>
    </r>
    <r>
      <rPr>
        <sz val="8.5"/>
        <color theme="1"/>
        <rFont val="Arial"/>
        <family val="2"/>
      </rPr>
      <t>Overall emission of greenhouse gasses from accidental fires, 1990-2020.</t>
    </r>
  </si>
  <si>
    <t>Ænder</t>
  </si>
  <si>
    <t>Gæs</t>
  </si>
  <si>
    <t>Fasaner</t>
  </si>
  <si>
    <t>Hønniker</t>
  </si>
  <si>
    <t>Høns</t>
  </si>
  <si>
    <t>Slagtekyllinger</t>
  </si>
  <si>
    <t>Producerede dyr</t>
  </si>
  <si>
    <t>IPCC (2006) side 10.31</t>
  </si>
  <si>
    <t>Registerdata</t>
  </si>
  <si>
    <r>
      <t>Brændværdi
[MJ/kg CH</t>
    </r>
    <r>
      <rPr>
        <b/>
        <vertAlign val="subscript"/>
        <sz val="11"/>
        <color theme="1"/>
        <rFont val="Calibri"/>
        <family val="2"/>
        <scheme val="minor"/>
      </rPr>
      <t>4</t>
    </r>
    <r>
      <rPr>
        <b/>
        <sz val="11"/>
        <color theme="1"/>
        <rFont val="Calibri"/>
        <family val="2"/>
        <scheme val="minor"/>
      </rPr>
      <t>]</t>
    </r>
  </si>
  <si>
    <t>Omregnede årsdyr</t>
  </si>
  <si>
    <t>Omregningsfaktor mellem producerede dyr og årsdyr</t>
  </si>
  <si>
    <t>Tal fra register</t>
  </si>
  <si>
    <t>Bilag K1:  Metan fra husdyrenes fordøjelse</t>
  </si>
  <si>
    <t>Slagtekyllinger årsdyr</t>
  </si>
  <si>
    <t>Høns årsdyr</t>
  </si>
  <si>
    <t>Hønniker årsdyr</t>
  </si>
  <si>
    <t>Fasaner årsdyr</t>
  </si>
  <si>
    <t>Gæs årsdyr</t>
  </si>
  <si>
    <t>Ænder årsdyr</t>
  </si>
  <si>
    <t>Andre ræve eller ræve, andre staldsystemer</t>
  </si>
  <si>
    <t>Ræve</t>
  </si>
  <si>
    <t>Struds, voksen, han, 10 årsdyr</t>
  </si>
  <si>
    <t>Struds, voksen, han</t>
  </si>
  <si>
    <t>Struds, voksen, hun, 10 årsdyr</t>
  </si>
  <si>
    <t>Struds, voksen, hun</t>
  </si>
  <si>
    <t>Struds, kylling, 3-14 mdr,, 10 producerede dyr</t>
  </si>
  <si>
    <t>Struds, kylling, 3-14 mdr,</t>
  </si>
  <si>
    <t>Struds, kylling, 0-3 mdr,, 100 producerede dyr</t>
  </si>
  <si>
    <t>Struds, kylling, 0-3 mdr,</t>
  </si>
  <si>
    <t>Agerhøns, opdræt</t>
  </si>
  <si>
    <t>Agerhøns, avlsdyr, 100 stk,</t>
  </si>
  <si>
    <t>Agerhøns, avlsdyr</t>
  </si>
  <si>
    <t>Fasan, høner, 100 stk, avlsdyr</t>
  </si>
  <si>
    <t>Ænder, produktionstid 52 dage</t>
  </si>
  <si>
    <t>Gæs, produktionstid 91 dage</t>
  </si>
  <si>
    <t>Kalkuner, tunge hanner, produktionstid 147 dage</t>
  </si>
  <si>
    <t>Kalkuner</t>
  </si>
  <si>
    <t>Kalkuner, tunge hunner, produktionstid 112 dage</t>
  </si>
  <si>
    <t>Rugeæg (hønniker, Hpr), gulvdrift, prod 119 dage</t>
  </si>
  <si>
    <t>Hønniker, HPR (rugeæg)</t>
  </si>
  <si>
    <t>Høns af slagtetype</t>
  </si>
  <si>
    <t>Rugeæg (hpr-høner), gulvdrift + gødningskummer</t>
  </si>
  <si>
    <t>Rugeæg (HPR-høner)</t>
  </si>
  <si>
    <t>Økologiske slagtekyllinger, 63 dage</t>
  </si>
  <si>
    <t>Skrabekyllinger, 44 dage</t>
  </si>
  <si>
    <t>Produktionstid 45 dage</t>
  </si>
  <si>
    <t>producerede slagtekyllinger, 45 dage</t>
  </si>
  <si>
    <t>Produktionstid 40 dage</t>
  </si>
  <si>
    <t>producerede slagtekyllinger, 40 dage</t>
  </si>
  <si>
    <t>Produktionstid 35 dage</t>
  </si>
  <si>
    <t>producerede slagtekyllinger, 35 dage</t>
  </si>
  <si>
    <t>Produktionstid 32 dage</t>
  </si>
  <si>
    <t>producerede slagtekyllinger, 32 dage</t>
  </si>
  <si>
    <t>Produktionstid 30 dage</t>
  </si>
  <si>
    <t>producerede slagtekyllinger, 30 dage</t>
  </si>
  <si>
    <t>producerede slagtekyllinger, levende vægt ved slagtning, 3,07 kg</t>
  </si>
  <si>
    <t>Levende vægt ved slagtning 2,69 kg</t>
  </si>
  <si>
    <t>producerede slagtekyllinger, levende vægt ved slagtning 2,60 kg</t>
  </si>
  <si>
    <t>producerede slagtekyllinger, levende vægt ved slagtning 2,13 kg</t>
  </si>
  <si>
    <t>producerede slagtekyllinger, levende vægt ved slagtning 1,93 kg</t>
  </si>
  <si>
    <t>Rugeæg (hpr), gulvdrift, produktionstid 119 dage</t>
  </si>
  <si>
    <t>Hønniker, Hpr</t>
  </si>
  <si>
    <t>Høns af æglægningstype</t>
  </si>
  <si>
    <t>Konsum, Gulvdrift, produktionstid 118 dage</t>
  </si>
  <si>
    <t>Hønniker, konsum</t>
  </si>
  <si>
    <t>Fast gødning</t>
  </si>
  <si>
    <t>Konsum, Bure, Produktionstid 118 dage</t>
  </si>
  <si>
    <t>Rugeæg (hpr-høner),</t>
  </si>
  <si>
    <t>Fjerkrægylle</t>
  </si>
  <si>
    <t>Burhøns, konsumæg, bånd, gylle</t>
  </si>
  <si>
    <t>Burhøns, konsumæg</t>
  </si>
  <si>
    <t>Burhøns, konsumæg, bånd, fast gødning</t>
  </si>
  <si>
    <t>Skrabehøner, konsumæg, gulv + fler-etager med gødn</t>
  </si>
  <si>
    <t>Skrabehøner, konsumæg</t>
  </si>
  <si>
    <t>Skrabehøner, konsumæg, fler-etagesystem med gødnin</t>
  </si>
  <si>
    <t>Skrabehøner, konsumæg, gulvdrift + gødningskummer</t>
  </si>
  <si>
    <t>Økologiske, konsumæg, gulv+fler-etage m bånd</t>
  </si>
  <si>
    <t>Økologiske, konsumæg,</t>
  </si>
  <si>
    <t>Økologiske, konsumæg, gulvdrift + gødningskumme</t>
  </si>
  <si>
    <t>Økologiske, konsumæg, gulvdrift + fler-etage bånd</t>
  </si>
  <si>
    <t>Friland, konsumæg, gulv+fler etage m bånd</t>
  </si>
  <si>
    <t>Friland, konsumæg</t>
  </si>
  <si>
    <t>Friland, konsumæg, gulvdrift fler-etagesystem</t>
  </si>
  <si>
    <t>Chinchilla, 100 stk,</t>
  </si>
  <si>
    <t>Chinchilla</t>
  </si>
  <si>
    <t>Chincilla</t>
  </si>
  <si>
    <t>Anden husdyrgødning</t>
  </si>
  <si>
    <t>Kødædende pelsdyr, bure, fast gødning i gødn,rende</t>
  </si>
  <si>
    <t>Minkgylle</t>
  </si>
  <si>
    <t>Kødædende pelsdyr, bure, gødn,rende, ugentlig tømn</t>
  </si>
  <si>
    <t>Dådyr, 1 stk,</t>
  </si>
  <si>
    <t>Dådyr</t>
  </si>
  <si>
    <t>Årshind, 1 stk,</t>
  </si>
  <si>
    <t>Årshind</t>
  </si>
  <si>
    <t>Unge hinder 3-15 mdr,, 10 stk,</t>
  </si>
  <si>
    <t>Unge hinder 3-15 mdr,</t>
  </si>
  <si>
    <t>Unge hjorte 3-15 mdr,, 10 stk,</t>
  </si>
  <si>
    <t>Unge hjorte 3-15 mdr,</t>
  </si>
  <si>
    <t>Hinder &gt; 15 mdr,, 10 stk,</t>
  </si>
  <si>
    <t>Hinder &gt; 15 mdr,</t>
  </si>
  <si>
    <t>Hjorte &gt; 15 mdr,, 10 stk,</t>
  </si>
  <si>
    <t>Hjorte &gt; 15 mdr,</t>
  </si>
  <si>
    <t>Antal producerede FRATS-svin</t>
  </si>
  <si>
    <t>Svinegylle</t>
  </si>
  <si>
    <t>Dybstrøelse, opdelt lejeareal</t>
  </si>
  <si>
    <t>Ajle</t>
  </si>
  <si>
    <t>Fast gulv</t>
  </si>
  <si>
    <t>Drænet gulv + spalter (33/67)</t>
  </si>
  <si>
    <t>Delvis spaltegulv med 50-75% fast gulv</t>
  </si>
  <si>
    <t>Dybstr, (hele arealet) inde, Løbegård (50/50) ude</t>
  </si>
  <si>
    <t>Antal producerede slagtesvin, økologiske 31-113 kg</t>
  </si>
  <si>
    <t>Delvis spaltegulv inde, Løbegård (50/50) ude</t>
  </si>
  <si>
    <t>Udendørs</t>
  </si>
  <si>
    <t>Antal producerede smågrise, økologiske fra 15 - 31 kg</t>
  </si>
  <si>
    <t>Faremark</t>
  </si>
  <si>
    <t>1 årsso, øko m, 23,4 grise til 15 kg, andel fra faremarken</t>
  </si>
  <si>
    <t>1 årsso, øko m, 23,4 grise til 15 kg, andel fra løbe- og drægtighedsperioden</t>
  </si>
  <si>
    <t>Løbe/drægtighed, udendørs</t>
  </si>
  <si>
    <t>Dyb, hele areal inde, Løbegård (50/50) ude</t>
  </si>
  <si>
    <t>Delvis spaltegulv, 25-49% fast gulv</t>
  </si>
  <si>
    <t>Delvis spaltegulv, 50-75% fast gulv</t>
  </si>
  <si>
    <t>Drænet gulv + spalter (50/50)</t>
  </si>
  <si>
    <t>Toklimastald, delvis spaltegulv</t>
  </si>
  <si>
    <t>Kassestier, fuldspaltegulv</t>
  </si>
  <si>
    <t>Kassestier, delvis spaltegulv</t>
  </si>
  <si>
    <t>Individuel opstaldning, fast gulv</t>
  </si>
  <si>
    <t>1 årsso m, 33,3 grise til 6,6 kg, andel fra løbe- og drægtighedsstald</t>
  </si>
  <si>
    <t>Løsgående, delvis spaltegulv</t>
  </si>
  <si>
    <t>Løsgående, dybstrøelse</t>
  </si>
  <si>
    <t>Løsgående, dybstrøelse + fast gulv</t>
  </si>
  <si>
    <t>Løsgående, dybstrøelse + spaltegulv</t>
  </si>
  <si>
    <t>Individuel opstaldning, delvis spaltegulv</t>
  </si>
  <si>
    <t>Malkegeder</t>
  </si>
  <si>
    <t>Malkegeder, 1 moderdyr med afkom</t>
  </si>
  <si>
    <t>Kødgeder</t>
  </si>
  <si>
    <t>Kødgeder, 1 moderdyr med afkom</t>
  </si>
  <si>
    <t>Mohairgeder</t>
  </si>
  <si>
    <t>Mohairged, 1 moderdyr med afkom</t>
  </si>
  <si>
    <t>Får, 1 moderdyr med afkom</t>
  </si>
  <si>
    <t>Kvæggylle</t>
  </si>
  <si>
    <t>Sengestald, fast drænet gulv med skaber og ajleafl</t>
  </si>
  <si>
    <t>1 årsammeko uden opdræt (over 600 kg)</t>
  </si>
  <si>
    <t>Kvæg</t>
  </si>
  <si>
    <t>Sengestald med spaltegulv (kanal, bagskyl el, ring</t>
  </si>
  <si>
    <t>Sengestald med spaltegulv (kanal, linespil)</t>
  </si>
  <si>
    <t>Dybstrøelse, lang ædeplads med spalter (kanal, bag</t>
  </si>
  <si>
    <t>Dybstrøelse, lang ædeplads med spalter (kanal, lin</t>
  </si>
  <si>
    <t>Dybstrøelse, lang ædeplads med fast gulv</t>
  </si>
  <si>
    <t>Dybstrøelse, kort ædeplads med fast gulv</t>
  </si>
  <si>
    <t>Dybstrøelse, hele arealet</t>
  </si>
  <si>
    <t>Bindestald med riste</t>
  </si>
  <si>
    <t>Bindestald med grebning</t>
  </si>
  <si>
    <t>Sengestald, fast drænet gulv med skraber og ajleaf</t>
  </si>
  <si>
    <t>1 årsammeko uden opdræt (400-600 kg)</t>
  </si>
  <si>
    <t>1 årsammeko uden opdræt (under 400 kg)</t>
  </si>
  <si>
    <t>1 avlstyr (1 årsdyr), Jersey, over 328 kg</t>
  </si>
  <si>
    <t>Sengestald med spaltegulv (kanal, bagskyl eller ri</t>
  </si>
  <si>
    <t>Sengestald med fast gulv</t>
  </si>
  <si>
    <t>Spaltegulvbokse</t>
  </si>
  <si>
    <t>Dybstrøelse,lang ædeplads,spalter(kanal,bagskyl/ringkanal)</t>
  </si>
  <si>
    <t>Dybstrøelse, lang ædeplads, spalter(kanal, linespil)</t>
  </si>
  <si>
    <t>Dybstrøelse, lang ædeplads,fast gulv</t>
  </si>
  <si>
    <t>Dybstrøelse hele arealet+kort ædeplads,fast gulv</t>
  </si>
  <si>
    <t>1 stk, slagtekalve 6 mdr, - slagtning (328 kg), Jersey,</t>
  </si>
  <si>
    <t>Sengestald med spalter (kanal, bagskyl eller ringk</t>
  </si>
  <si>
    <t>Sengestald med spalter (kanal, linespil)</t>
  </si>
  <si>
    <t>Dybstrøelse + kort ædeplads med fast gulv</t>
  </si>
  <si>
    <t>1 stk, slagtekalv, 0-6 mdr,, Jersey,</t>
  </si>
  <si>
    <t>Dybstrøelse (hele arealet)</t>
  </si>
  <si>
    <t>1 årsopdræt (kvier/stude 6 mdr, - kælvning (25 mdr)/slagtning, Jersey)</t>
  </si>
  <si>
    <t>Dybstrøelse, + kort ædeplads med fast gulv</t>
  </si>
  <si>
    <t>1 årsopdræt (småkalv 0-6 mdr,, Jersey)</t>
  </si>
  <si>
    <t>1 årsko uden opdræt, malkekvæg, Jersey</t>
  </si>
  <si>
    <t>1 avlstyr (1 årsdyr), tung race, over 440 kg</t>
  </si>
  <si>
    <t>1 stk, slagtekalve, 6 mdr, - slagtning (440 kg), tung race,</t>
  </si>
  <si>
    <t>1 stk, slagtekalv, 0-6 mdr,, tung race,</t>
  </si>
  <si>
    <t>1 årsopdræt (kvier/stude 6 mdr, - kælvning (27 mdr)/slagtning, tung race)</t>
  </si>
  <si>
    <t>1 årsopdræt (småkalv 0-6 mdr,, tung race)</t>
  </si>
  <si>
    <t>Dybstrøelse, lang ædeplads, fast drænet gulv med s</t>
  </si>
  <si>
    <t>1 årsko uden opdræt, malkekvæg, tung race</t>
  </si>
  <si>
    <t>1 voksen årshest, 700 kg og derover</t>
  </si>
  <si>
    <t>Heste, 1 årsdyr, vægt 700 kg og derover</t>
  </si>
  <si>
    <t>1 voksen årshest, 500 kg - mindre end 700 kg</t>
  </si>
  <si>
    <t>Heste, 1 årsdyr, vægt 500 kg - under 700 kg</t>
  </si>
  <si>
    <t>1 voksen årshest, 300 kg - mindre end 500 kg</t>
  </si>
  <si>
    <t>Heste, 1 årsdyr, vægt 300 kg - under 500 kg</t>
  </si>
  <si>
    <t>1 voksen årshest, under 300 kg</t>
  </si>
  <si>
    <t>Heste, 1 årsdyr, vægt under 300 kg</t>
  </si>
  <si>
    <t>Andel DE</t>
  </si>
  <si>
    <t>KgP</t>
  </si>
  <si>
    <t>Type2KgN</t>
  </si>
  <si>
    <t>Type1KgN</t>
  </si>
  <si>
    <t>DE</t>
  </si>
  <si>
    <t>Aarsdyr</t>
  </si>
  <si>
    <t>antcvr</t>
  </si>
  <si>
    <t>Goedtype2</t>
  </si>
  <si>
    <t>Goedtype1</t>
  </si>
  <si>
    <t>Kod_stald_type</t>
  </si>
  <si>
    <t>Tekst_Staldtype</t>
  </si>
  <si>
    <t>Kod_Dyretype</t>
  </si>
  <si>
    <t>Tekst_Dyretype</t>
  </si>
  <si>
    <t>Dyreart</t>
  </si>
  <si>
    <t>Beregnet</t>
  </si>
  <si>
    <t xml:space="preserve">Kg N fra Nitrogenudvaskning: </t>
  </si>
  <si>
    <t>Kilde:</t>
  </si>
  <si>
    <t xml:space="preserve">Total </t>
  </si>
  <si>
    <t>Fordampning:</t>
  </si>
  <si>
    <t>Tier I samt NIR skøn jf. NIR tabel 5.27</t>
  </si>
  <si>
    <t xml:space="preserve">Græsområder overfladisk drænet 6-12% OC </t>
  </si>
  <si>
    <t>Græsområder overfladisk drænet 12-100%OC</t>
  </si>
  <si>
    <t xml:space="preserve">Græsområder organiske jorde 6-12% OC dybt drænet </t>
  </si>
  <si>
    <t xml:space="preserve">Græsområder organiske jorde 12-100 % OC dybt drænet </t>
  </si>
  <si>
    <t>Afgrøder på organiske jorde 6-12 % OC</t>
  </si>
  <si>
    <t>Afgrøder på organiske jorde 12-100 % OC</t>
  </si>
  <si>
    <t>Græs/afgrøder</t>
  </si>
  <si>
    <t>Kg N2O-N fra organiske jorde:</t>
  </si>
  <si>
    <t xml:space="preserve">Beregnet </t>
  </si>
  <si>
    <t>Kg N fra Mineralisering:</t>
  </si>
  <si>
    <t>NIR Annex 3D-9 &amp; Foulum</t>
  </si>
  <si>
    <t xml:space="preserve">Normtal Lund 2020 </t>
  </si>
  <si>
    <t>Kg N fra græssende dyr:</t>
  </si>
  <si>
    <t xml:space="preserve">Tier II HST77, SEGES  Fodermiddeltabel , klimarådet (2016. s. 18) jf. med HALM1 dst 2020 samlet halmudbytte delt med samlet areal med korn </t>
  </si>
  <si>
    <t>Tier I IPCC tabel 11.2</t>
  </si>
  <si>
    <t>Tier II HST77 DST</t>
  </si>
  <si>
    <t xml:space="preserve">Kilder: </t>
  </si>
  <si>
    <t>Netto N indhold i afgrøderester</t>
  </si>
  <si>
    <t>N-indhold i høstet strå</t>
  </si>
  <si>
    <t xml:space="preserve">Total N i afgrøderester </t>
  </si>
  <si>
    <t>Majs til modenhed</t>
  </si>
  <si>
    <r>
      <t>N</t>
    </r>
    <r>
      <rPr>
        <b/>
        <vertAlign val="subscript"/>
        <sz val="11"/>
        <color theme="1"/>
        <rFont val="Calibri"/>
        <family val="2"/>
        <scheme val="minor"/>
      </rPr>
      <t>BG</t>
    </r>
  </si>
  <si>
    <r>
      <t>R</t>
    </r>
    <r>
      <rPr>
        <b/>
        <vertAlign val="subscript"/>
        <sz val="11"/>
        <color theme="1"/>
        <rFont val="Calibri"/>
        <family val="2"/>
        <scheme val="minor"/>
      </rPr>
      <t>BG BIO</t>
    </r>
  </si>
  <si>
    <r>
      <t>N</t>
    </r>
    <r>
      <rPr>
        <b/>
        <vertAlign val="subscript"/>
        <sz val="11"/>
        <color theme="1"/>
        <rFont val="Calibri"/>
        <family val="2"/>
        <scheme val="minor"/>
      </rPr>
      <t>AG</t>
    </r>
  </si>
  <si>
    <r>
      <t>R</t>
    </r>
    <r>
      <rPr>
        <b/>
        <vertAlign val="subscript"/>
        <sz val="11"/>
        <color theme="1"/>
        <rFont val="Calibri"/>
        <family val="2"/>
        <scheme val="minor"/>
      </rPr>
      <t>AG</t>
    </r>
  </si>
  <si>
    <t>Kg N fra afgrøderrester:</t>
  </si>
  <si>
    <t>Total udledning (ton)</t>
  </si>
  <si>
    <t>2. Nitrogenudvaskning</t>
  </si>
  <si>
    <t>1. Fordampning</t>
  </si>
  <si>
    <r>
      <t>Indirekte N</t>
    </r>
    <r>
      <rPr>
        <b/>
        <vertAlign val="subscript"/>
        <sz val="11"/>
        <color theme="1"/>
        <rFont val="Calibri"/>
        <family val="2"/>
        <scheme val="minor"/>
      </rPr>
      <t>2</t>
    </r>
    <r>
      <rPr>
        <b/>
        <sz val="11"/>
        <color theme="1"/>
        <rFont val="Calibri"/>
        <family val="2"/>
        <scheme val="minor"/>
      </rPr>
      <t>O emissioner</t>
    </r>
  </si>
  <si>
    <t>N/a</t>
  </si>
  <si>
    <t>5. Mineralisering</t>
  </si>
  <si>
    <t>4b. Bjerget halm</t>
  </si>
  <si>
    <t>4. Afgrøderester</t>
  </si>
  <si>
    <t>3. Gødning fra græssende dyr</t>
  </si>
  <si>
    <t>c) Andet organisk gødskning</t>
  </si>
  <si>
    <t>b) Slam</t>
  </si>
  <si>
    <t>a) Husdyrgødning</t>
  </si>
  <si>
    <t>2. Organisk gødning</t>
  </si>
  <si>
    <t>1. Handelsgødning</t>
  </si>
  <si>
    <r>
      <t>Direkte N</t>
    </r>
    <r>
      <rPr>
        <b/>
        <vertAlign val="subscript"/>
        <sz val="11"/>
        <color theme="1"/>
        <rFont val="Calibri"/>
        <family val="2"/>
        <scheme val="minor"/>
      </rPr>
      <t>2</t>
    </r>
    <r>
      <rPr>
        <b/>
        <sz val="11"/>
        <color theme="1"/>
        <rFont val="Calibri"/>
        <family val="2"/>
        <scheme val="minor"/>
      </rPr>
      <t>O emissioner</t>
    </r>
  </si>
  <si>
    <t>Overføres til tildelingstabel</t>
  </si>
  <si>
    <t>Overført til regnskab</t>
  </si>
  <si>
    <t>Bilag K4 - Lattergas fra dyrkning af jorden</t>
  </si>
  <si>
    <t>SN Grassland</t>
  </si>
  <si>
    <t>Andet (Forest, Wetland osv)</t>
  </si>
  <si>
    <t>NoValue</t>
  </si>
  <si>
    <t>[12-100]</t>
  </si>
  <si>
    <t>[6-12%[</t>
  </si>
  <si>
    <t>[0-6[</t>
  </si>
  <si>
    <t>Type</t>
  </si>
  <si>
    <t>Kulstof (%)</t>
  </si>
  <si>
    <t>INDSÆT VALGT KOMMUNE</t>
  </si>
  <si>
    <t>I alt gødning KgN</t>
  </si>
  <si>
    <t>KgN Anden organisk gødning</t>
  </si>
  <si>
    <t>KgN Husdyrgødning</t>
  </si>
  <si>
    <t>KgN Handelsgødning + 5%</t>
  </si>
  <si>
    <t>Øko</t>
  </si>
  <si>
    <t>Konv</t>
  </si>
  <si>
    <t>Samlet gødningsforbrug</t>
  </si>
  <si>
    <t>KOMMUNENR</t>
  </si>
  <si>
    <t>KgN_HU_Ukendt_Ialt</t>
  </si>
  <si>
    <t>KgN_HU_Svinegylle</t>
  </si>
  <si>
    <t>KgN_HU_Minkgylle</t>
  </si>
  <si>
    <t>KgN_HU_Kvaeggylle</t>
  </si>
  <si>
    <t>KgN_HU_ForarbejdetHusdyrgoedning</t>
  </si>
  <si>
    <t>KgN_HU_FastGoedning</t>
  </si>
  <si>
    <t>KgN_HU_DybStr</t>
  </si>
  <si>
    <t>KgN_HU_BlandetGylleSvin</t>
  </si>
  <si>
    <t>KgN_HU_BlandetGylleKvaeg</t>
  </si>
  <si>
    <t>KgN_HU_BlandetGylleIngenDyr</t>
  </si>
  <si>
    <t>KgN_HU_BlandetGylleAndreDyr</t>
  </si>
  <si>
    <t>KgN_HU_AndenHusdyrSvin</t>
  </si>
  <si>
    <t>KgN_HU_AndenHusdyrKvæg</t>
  </si>
  <si>
    <t>KgN_HU_AndenHusdyrIngen</t>
  </si>
  <si>
    <t>KgN_HU_AndenHusdyrFjerkraePelsdyr</t>
  </si>
  <si>
    <t>KgN_HU_AndenHusdyrAndre</t>
  </si>
  <si>
    <t>KgN_HU_Ajle</t>
  </si>
  <si>
    <t>KgN_HU_AfgBiomasse</t>
  </si>
  <si>
    <t>KgN_HA_HandelsG</t>
  </si>
  <si>
    <t>KgN_AO_SlamRensingsanlaeg</t>
  </si>
  <si>
    <t>KgN_AO_PressesaftGroentpille</t>
  </si>
  <si>
    <t>KgN_AO_kompostHush</t>
  </si>
  <si>
    <t>KgN_AO_FrugtSaftKartoffel</t>
  </si>
  <si>
    <t>KgN_AO_AndenOrganisk</t>
  </si>
  <si>
    <t>Heraf -afgrøder samt græs udenfor og i omdrift</t>
  </si>
  <si>
    <t xml:space="preserve">vådområde </t>
  </si>
  <si>
    <t>ØK</t>
  </si>
  <si>
    <t xml:space="preserve">øvrige </t>
  </si>
  <si>
    <t>Energiskov</t>
  </si>
  <si>
    <t>grøntsager friland</t>
  </si>
  <si>
    <t>frugt og bær</t>
  </si>
  <si>
    <t>skov/trækulturer</t>
  </si>
  <si>
    <t>Juletræer</t>
  </si>
  <si>
    <t>Græsarealer</t>
  </si>
  <si>
    <t>raps, hør, hamp og industrifrø</t>
  </si>
  <si>
    <t xml:space="preserve">græs uden for omdrift </t>
  </si>
  <si>
    <t>græs og kløvermark i omdrift, frø til udsæd</t>
  </si>
  <si>
    <t>korn og bælgsæd til ensilering</t>
  </si>
  <si>
    <t>sukkerroer til fabrik, foderroer og andre rodfrugter</t>
  </si>
  <si>
    <t>bælgplanter</t>
  </si>
  <si>
    <t>lucerne</t>
  </si>
  <si>
    <t>kartofler</t>
  </si>
  <si>
    <t>majs</t>
  </si>
  <si>
    <t>triticale og anden korn til modenhed</t>
  </si>
  <si>
    <t>havre</t>
  </si>
  <si>
    <t>vårbyg</t>
  </si>
  <si>
    <t>vinterbyg</t>
  </si>
  <si>
    <t>rug</t>
  </si>
  <si>
    <t>vårhvede</t>
  </si>
  <si>
    <t>vinterhvede</t>
  </si>
  <si>
    <t>Heraf på mineralsk jord</t>
  </si>
  <si>
    <t>S</t>
  </si>
  <si>
    <t>L</t>
  </si>
  <si>
    <t>H</t>
  </si>
  <si>
    <t>Navn i regnskab</t>
  </si>
  <si>
    <t>Ø_K</t>
  </si>
  <si>
    <t>F1</t>
  </si>
  <si>
    <t>Ø</t>
  </si>
  <si>
    <t>K</t>
  </si>
  <si>
    <t xml:space="preserve">Tal for det seneste år er foreløbige indtil april det følgende år. Majs til modenhed, markærter og triticale har nogen stikprøveusikkerhed. Vinter- og vårraps opgøres ikke længere særskilt, da vårraps udgør under 1% af det samlede rapsareal.  Arealet for Græs, grøntfoder og efterslæt i alt er ekskl. efterslæt i 2006-2013. Høsten 1990-2015 er dækket i tabellen HST6, men uden regional opdeling. 1920-1981 er dækket i tabellen HST1920 for udvalgte afgrøder. Øvrige år i Statistisk Årbog. </t>
  </si>
  <si>
    <t>Efterslæt efter korn og helsæd</t>
  </si>
  <si>
    <t>Græs uden for omdriften</t>
  </si>
  <si>
    <t>Græs og kløver i omdriften</t>
  </si>
  <si>
    <t>Korn til ensilering</t>
  </si>
  <si>
    <t>Majs til ensilering</t>
  </si>
  <si>
    <t>GRÆS, GRØNTFODER OG EFTERSLÆT I ALT</t>
  </si>
  <si>
    <t>Fodersukkerroer og anden rodfrugt til foder</t>
  </si>
  <si>
    <t>Sukkerroer til fabrik</t>
  </si>
  <si>
    <t>Spisekartofler</t>
  </si>
  <si>
    <t>Kartofler til melproduktion</t>
  </si>
  <si>
    <t>Læggekartofler under kontrol</t>
  </si>
  <si>
    <t>RODFRUGTER (ROD) I ALT</t>
  </si>
  <si>
    <t>Halm af korn, der er bjærget</t>
  </si>
  <si>
    <t>HALM I ALT, DER ER BJÆRGET</t>
  </si>
  <si>
    <t>..</t>
  </si>
  <si>
    <t>Hestebønner</t>
  </si>
  <si>
    <t>Markærter</t>
  </si>
  <si>
    <t>BÆLGSÆD I ALT</t>
  </si>
  <si>
    <t>Vårraps</t>
  </si>
  <si>
    <t>Vinterraps</t>
  </si>
  <si>
    <t>RAPS I ALT</t>
  </si>
  <si>
    <t>Triticale</t>
  </si>
  <si>
    <t>KORN (KERNE) I ALT</t>
  </si>
  <si>
    <t>Region Sjælland</t>
  </si>
  <si>
    <t>Gennemsnitsudbytte, hkg pr. hektar</t>
  </si>
  <si>
    <t>Areal (1000 hektar)</t>
  </si>
  <si>
    <t>Enhed: -</t>
  </si>
  <si>
    <t>IPCC 2006</t>
  </si>
  <si>
    <t>NIR Annex 3D-9 2022 (2020)</t>
  </si>
  <si>
    <t>NIR Annex 3D-20 2022 (2020)</t>
  </si>
  <si>
    <t>NIR CRF tabel 4B 2022 (2020)</t>
  </si>
  <si>
    <t>NIR CRF tabel 3D 2022 (2020)</t>
  </si>
  <si>
    <t>NIR CRF tabel 3G-I 2022 (2020)</t>
  </si>
  <si>
    <t xml:space="preserve"> NIR 2022(2020) CRF tabel 4II</t>
  </si>
  <si>
    <t xml:space="preserve"> NIR 2022(2020) CRF tabel 4V</t>
  </si>
  <si>
    <t xml:space="preserve"> NIR 2022(2020) CRF tabel 4.Gs2</t>
  </si>
  <si>
    <t xml:space="preserve"> NIR 2022(2018) Annex 3F-6.2</t>
  </si>
  <si>
    <t xml:space="preserve"> NIR 2022(2020) Annex 3F-6.1</t>
  </si>
  <si>
    <t>Index</t>
  </si>
  <si>
    <t>CH4/dyr</t>
  </si>
  <si>
    <t>DANISH EMISSION INVENTORIES FOR AGRICULTURE Inventories 1985 – 2018. Scientific Report from DCE – Danish Centre for Environment and Energy, No. 443, 2021.</t>
  </si>
  <si>
    <t>Kg CH4/ dyrekategori</t>
  </si>
  <si>
    <t>Beregnet eller fra DANISH EMISSION INVENTORIES FOR AGRICULTURE Inventories 1985 – 2018. Scientific Report from DCE – Danish Centre for Environment and Energy, No. 443, 2021.</t>
  </si>
  <si>
    <t>Beregning af emission fra fjekræ</t>
  </si>
  <si>
    <t xml:space="preserve">Landbrugsjord og gartneri i Danmark (ha) </t>
  </si>
  <si>
    <r>
      <t>CO</t>
    </r>
    <r>
      <rPr>
        <vertAlign val="subscript"/>
        <sz val="11"/>
        <color theme="1"/>
        <rFont val="Calibri"/>
        <family val="2"/>
        <scheme val="minor"/>
      </rPr>
      <t>2</t>
    </r>
    <r>
      <rPr>
        <sz val="10"/>
        <rFont val="Arial"/>
        <family val="2"/>
      </rPr>
      <t xml:space="preserve"> udledning Calcium ammonium nitrat (CAN) </t>
    </r>
  </si>
  <si>
    <r>
      <t>CO</t>
    </r>
    <r>
      <rPr>
        <vertAlign val="subscript"/>
        <sz val="11"/>
        <color theme="1"/>
        <rFont val="Calibri"/>
        <family val="2"/>
        <scheme val="minor"/>
      </rPr>
      <t>2</t>
    </r>
    <r>
      <rPr>
        <sz val="10"/>
        <rFont val="Arial"/>
        <family val="2"/>
      </rPr>
      <t xml:space="preserve"> udledning fra urea </t>
    </r>
  </si>
  <si>
    <r>
      <t>CO</t>
    </r>
    <r>
      <rPr>
        <vertAlign val="subscript"/>
        <sz val="11"/>
        <color theme="1"/>
        <rFont val="Calibri"/>
        <family val="2"/>
        <scheme val="minor"/>
      </rPr>
      <t>2</t>
    </r>
    <r>
      <rPr>
        <sz val="10"/>
        <rFont val="Arial"/>
        <family val="2"/>
      </rPr>
      <t xml:space="preserve"> udledning fra kalkning</t>
    </r>
  </si>
  <si>
    <r>
      <t>Bilag K5 - Kuldioxid (CO</t>
    </r>
    <r>
      <rPr>
        <b/>
        <vertAlign val="subscript"/>
        <sz val="16"/>
        <color theme="1"/>
        <rFont val="Calibri"/>
        <family val="2"/>
        <scheme val="minor"/>
      </rPr>
      <t>2</t>
    </r>
    <r>
      <rPr>
        <b/>
        <sz val="16"/>
        <color theme="1"/>
        <rFont val="Calibri"/>
        <family val="2"/>
        <scheme val="minor"/>
      </rPr>
      <t>) fra kalkning og kulstoflager fra Efter- og mellemafgrøder</t>
    </r>
  </si>
  <si>
    <t>Hele landet</t>
  </si>
  <si>
    <t>2021</t>
  </si>
  <si>
    <t>Klimarådets landbrugsværktøj 2016. Dokumentationsnotat s. 24</t>
  </si>
  <si>
    <t>Mellemafgrøder</t>
  </si>
  <si>
    <t>Efterafgrøder</t>
  </si>
  <si>
    <t>Lerjord</t>
  </si>
  <si>
    <t>Sandjord</t>
  </si>
  <si>
    <t>Emissionsfaktorer for efter- og mellemafgrøder</t>
  </si>
  <si>
    <t>Efterafgrøder/mellem-afgrøder</t>
  </si>
  <si>
    <r>
      <t>Bilag K5a - Kuldioxid (CO</t>
    </r>
    <r>
      <rPr>
        <b/>
        <vertAlign val="subscript"/>
        <sz val="16"/>
        <color theme="1"/>
        <rFont val="Calibri"/>
        <family val="2"/>
        <scheme val="minor"/>
      </rPr>
      <t>2</t>
    </r>
    <r>
      <rPr>
        <b/>
        <sz val="16"/>
        <color theme="1"/>
        <rFont val="Calibri"/>
        <family val="2"/>
        <scheme val="minor"/>
      </rPr>
      <t>) fra fra Efter- og mellemafgrøder</t>
    </r>
  </si>
  <si>
    <t>Samlet kvote KgN</t>
  </si>
  <si>
    <t>Anvendte EA</t>
  </si>
  <si>
    <t>Overskud</t>
  </si>
  <si>
    <t>Resultat</t>
  </si>
  <si>
    <t>Krav til pligtige og husdyr EA ialt</t>
  </si>
  <si>
    <t>Krav til husdyr EA</t>
  </si>
  <si>
    <t>Krav til pligtige EA</t>
  </si>
  <si>
    <t>Efterafgrødegrundareal</t>
  </si>
  <si>
    <t>Tekst i regnskab</t>
  </si>
  <si>
    <t>Ekstra EA data 2020-korrigeret</t>
  </si>
  <si>
    <t>Ekstra EA data 2020</t>
  </si>
  <si>
    <t>PH-Mellemafgrøder</t>
  </si>
  <si>
    <t>PH-Efterafgrøder</t>
  </si>
  <si>
    <t>EA_type</t>
  </si>
  <si>
    <t>Faktisk etablerede arealer</t>
  </si>
  <si>
    <t>972</t>
  </si>
  <si>
    <t>970</t>
  </si>
  <si>
    <t>968</t>
  </si>
  <si>
    <t>966</t>
  </si>
  <si>
    <t>965</t>
  </si>
  <si>
    <t>964</t>
  </si>
  <si>
    <t>963</t>
  </si>
  <si>
    <t>962</t>
  </si>
  <si>
    <t>961</t>
  </si>
  <si>
    <t>960</t>
  </si>
  <si>
    <t>945</t>
  </si>
  <si>
    <t>944</t>
  </si>
  <si>
    <t>943</t>
  </si>
  <si>
    <t>Ansøgte arealer</t>
  </si>
  <si>
    <t>Note 1</t>
  </si>
  <si>
    <t xml:space="preserve">Negative tal udtrykker lager og positive tal emission </t>
  </si>
  <si>
    <t>Kilde :</t>
  </si>
  <si>
    <t>Ændring i jord pr. ha</t>
  </si>
  <si>
    <t>Ændring i levende biomasse pr. ha</t>
  </si>
  <si>
    <t>Bilag K6 -  Kulstoflager i skov  (CRF tabel 4A)</t>
  </si>
  <si>
    <t>Other_landNoSoil</t>
  </si>
  <si>
    <t>Other_landOrg2</t>
  </si>
  <si>
    <t>Other_landOrg1</t>
  </si>
  <si>
    <t>Other_landMin</t>
  </si>
  <si>
    <t>18_unclassifiedNoSoil</t>
  </si>
  <si>
    <t>18_unclassifiedOrg2</t>
  </si>
  <si>
    <t>18_unclassifiedOrg1</t>
  </si>
  <si>
    <t>18_unclassifiedMin</t>
  </si>
  <si>
    <t>Wetland_periodicalNoSoil</t>
  </si>
  <si>
    <t>Wetland_periodicalOrg2</t>
  </si>
  <si>
    <t>Wetland_periodicalOrg1</t>
  </si>
  <si>
    <t>Wetland_periodicalMin</t>
  </si>
  <si>
    <t>GrasslandNoSoil</t>
  </si>
  <si>
    <t>GrasslandOrg2</t>
  </si>
  <si>
    <t>GrasslandOrg1</t>
  </si>
  <si>
    <t>GrasslandMin</t>
  </si>
  <si>
    <t>CroplandNoSoil</t>
  </si>
  <si>
    <t>CroplandOrg3</t>
  </si>
  <si>
    <t>CroplandOrg1</t>
  </si>
  <si>
    <t>CroplandMin</t>
  </si>
  <si>
    <t>Christmas_treesNoSoil</t>
  </si>
  <si>
    <t>Christmas_treesOrg2</t>
  </si>
  <si>
    <t>Christmas_treesOrg1</t>
  </si>
  <si>
    <t>Christmas_treesMin</t>
  </si>
  <si>
    <t>ForestNoSoil</t>
  </si>
  <si>
    <t>ForestOrg2</t>
  </si>
  <si>
    <t>ForestOrg1</t>
  </si>
  <si>
    <t>ForestMin</t>
  </si>
  <si>
    <t>Wetland_permanentNoSoil</t>
  </si>
  <si>
    <t>Wetland_permanentOrg2</t>
  </si>
  <si>
    <t>Wetland_permanentOrg1</t>
  </si>
  <si>
    <t>Wetland_permanentMin</t>
  </si>
  <si>
    <t>SettlementNoSoil</t>
  </si>
  <si>
    <t>SettlementOrg2</t>
  </si>
  <si>
    <t>SettlementOrg1</t>
  </si>
  <si>
    <t>SettlementMin</t>
  </si>
  <si>
    <t>Nam</t>
  </si>
  <si>
    <t>VALUE</t>
  </si>
  <si>
    <t>Kalundborg</t>
  </si>
  <si>
    <t xml:space="preserve">Total uklassificeret land </t>
  </si>
  <si>
    <t xml:space="preserve">Kategori </t>
  </si>
  <si>
    <t>Blivende uklassificeret land (ikke-kategoriseret arealtype ≠ jordtype!)</t>
  </si>
  <si>
    <t xml:space="preserve">Note 1: Bemærk at total ha ikke nødvendigvis er summen af mineralsk og organisk jord. Det skyldes at der for et antal ha ikke er information om jordbundstype. Faktorer for ændring i levende og død biomasse skal dog inkluderes uanset information om jordtype    </t>
  </si>
  <si>
    <t>Negative tal udtrykker lager og positive tal emission</t>
  </si>
  <si>
    <t>Ændring i levende biomasse</t>
  </si>
  <si>
    <t xml:space="preserve">Kulstoflager i øvrig land </t>
  </si>
  <si>
    <t xml:space="preserve">Note 1: Bemærk at total ha ikke nødvendigvis er summen af mineralsk og organisk jord. Det skyldes at der for et antal ha ikke er information om jordbundstype.Faktorer for ændring i levende og død biomasse skal dog inkluderes uanset information om jordtype   </t>
  </si>
  <si>
    <t xml:space="preserve">Kulstoflager i bebyggelse </t>
  </si>
  <si>
    <t xml:space="preserve">Note 3: kategorien beskriver "periodically flooded" (Levin 2018) svarende til "partly water covered" (IPCC 2006). Det er arealer, hvor vandstanden kan variere, f.eks. Våd eng.   </t>
  </si>
  <si>
    <t xml:space="preserve">Note 2: kategorien beskriver "permanently flooded" (Levin ,2018) svarende "fully water covered" (IPCC 2006). Det er søer, mv som er fuldt vanddkækket. </t>
  </si>
  <si>
    <t xml:space="preserve">Note 1: Bemærk at total ha ikke nødvendigvis er summen af mineralsk og organisk jord. Det skyldes at der for et antal ha ikke er information om jordbundstype. Faktorer for ændring i levende og død biomasse skal dog inkluderes uanset information om jordtype  </t>
  </si>
  <si>
    <t xml:space="preserve">Vådområde </t>
  </si>
  <si>
    <t xml:space="preserve">Kulstoflager i vådområde </t>
  </si>
  <si>
    <t xml:space="preserve">Note 1: Bemærk at total ha ikke nødvendigvis er summen af mineralsk og organisk jord. Det skyldes at der for et antal ha ikke er information om jordbundstype </t>
  </si>
  <si>
    <t>Blivende 'permanent' græs</t>
  </si>
  <si>
    <t xml:space="preserve">Kulstoflager i permanent græs </t>
  </si>
  <si>
    <t xml:space="preserve">Note 1: Bemærk at total ha ikke nødvendigvis er summen af mineralsk og organisk jord. Det skyldes at der for et antal ha ikke er information om jordbundstype Faktorer for ændring i levende og død biomasse skal dog inkluderes uanset information om jordtype  </t>
  </si>
  <si>
    <t xml:space="preserve">Kulstoflager i landbrugsjord </t>
  </si>
  <si>
    <t>IE (Included elsewhere), NA (Not Applicable), NE (Not Estimated), NO (Not Occuring), NR (Not Reported). Se baggrundsnotatets begrebsliste for en uddybning af de enkelte begreber.</t>
  </si>
  <si>
    <t>Forkortelser (fra CRF):</t>
  </si>
  <si>
    <t xml:space="preserve">Bilag K7 - Kulstoflager i landbrugsjord, permanent græs, vådområder og bebygget områder </t>
  </si>
  <si>
    <r>
      <t>Tørvegravningsjord</t>
    </r>
    <r>
      <rPr>
        <b/>
        <vertAlign val="superscript"/>
        <sz val="11"/>
        <rFont val="Calibri"/>
        <family val="2"/>
        <scheme val="minor"/>
      </rPr>
      <t xml:space="preserve"> 1</t>
    </r>
    <r>
      <rPr>
        <b/>
        <sz val="11"/>
        <rFont val="Calibri"/>
        <family val="2"/>
        <scheme val="minor"/>
      </rPr>
      <t xml:space="preserve"> </t>
    </r>
  </si>
  <si>
    <r>
      <t>Note 4: N</t>
    </r>
    <r>
      <rPr>
        <i/>
        <vertAlign val="subscript"/>
        <sz val="9"/>
        <color theme="1"/>
        <rFont val="Calibri"/>
        <family val="2"/>
        <scheme val="minor"/>
      </rPr>
      <t>2</t>
    </r>
    <r>
      <rPr>
        <i/>
        <sz val="9"/>
        <color theme="1"/>
        <rFont val="Calibri"/>
        <family val="2"/>
        <scheme val="minor"/>
      </rPr>
      <t xml:space="preserve">O emission afrapporteres under planteavl </t>
    </r>
  </si>
  <si>
    <t>Note 3: Total mineralsk jord er drænet mineralsk jord, mineralsk jord hvor der ikke er lagt dræn, samt mineralsk jord hvor der ikke findes information om  information om dræn</t>
  </si>
  <si>
    <t xml:space="preserve">Note 2:  Total organisk jord er drænet organisk jord organisk jord hvor der ikke er lagt dræn og organisk jord  hvor der ikke findes information om dræn </t>
  </si>
  <si>
    <t xml:space="preserve">Note 2: Totalarelet er ha permanent organisk og mineralsk jord, samt jord uden information om jordtype. Manglende information skyldes kanteffekter ved opgørelsesmetoden.  </t>
  </si>
  <si>
    <t xml:space="preserve">Note 1: Information om dræn på permanent græsareal er hentet for spearat drænkort over landbrugsjord.  For 287,13 ha er der ikke information om dræn. Det forudsættes at arealer uden dræninfo primært er arealer uden for landbrugsjorden (naturarealer ) som ikke er drænet. </t>
  </si>
  <si>
    <r>
      <t xml:space="preserve">Emission fra drænet og genoversvømmet 'permanent' græs </t>
    </r>
    <r>
      <rPr>
        <i/>
        <vertAlign val="superscript"/>
        <sz val="11"/>
        <color theme="1"/>
        <rFont val="Calibri"/>
        <family val="2"/>
        <scheme val="minor"/>
      </rPr>
      <t>1</t>
    </r>
  </si>
  <si>
    <r>
      <t>Note 5: N</t>
    </r>
    <r>
      <rPr>
        <i/>
        <vertAlign val="subscript"/>
        <sz val="9"/>
        <color theme="1"/>
        <rFont val="Calibri"/>
        <family val="2"/>
        <scheme val="minor"/>
      </rPr>
      <t>2</t>
    </r>
    <r>
      <rPr>
        <i/>
        <sz val="9"/>
        <color theme="1"/>
        <rFont val="Calibri"/>
        <family val="2"/>
        <scheme val="minor"/>
      </rPr>
      <t xml:space="preserve">O emission afrapporteres under planteavl </t>
    </r>
  </si>
  <si>
    <t xml:space="preserve">Note 4: Total mineralsk jord er summen af drænet mineralsk jord , mineralsk jord som ikke er drænet samt mineralsk jord hvor der ikke eksisterer information om dræn </t>
  </si>
  <si>
    <t xml:space="preserve">Note 3: Total organisk jord er summen af drænet organisk jord samt organisk jord som ikke er drænet og organisk jord  hvor der ikke eksisterer information om dræn. </t>
  </si>
  <si>
    <t xml:space="preserve">Note 2: Totalarealet er summen af  drænet og udrænet organisk og mineralsk jord, samt landbrugsjord hvorder ikke eksisterer information om dræn og/eller jordtype.  Det skyldes kanteffekter i opgørelsesmetoden. </t>
  </si>
  <si>
    <t xml:space="preserve">Note 1: Information om dræn på landbrugsjord er hentet fra separat drænkort over landbrugsjord </t>
  </si>
  <si>
    <r>
      <t xml:space="preserve">Emission fra drænet og genoversvømmet landbrugsjord </t>
    </r>
    <r>
      <rPr>
        <i/>
        <vertAlign val="superscript"/>
        <sz val="11"/>
        <color theme="1"/>
        <rFont val="Calibri"/>
        <family val="2"/>
        <scheme val="minor"/>
      </rPr>
      <t>1</t>
    </r>
  </si>
  <si>
    <t xml:space="preserve">Note 3: Som i det nationale klimaregnskab estimeres drænet organisk skovjord som 50% af den organiske skovjord </t>
  </si>
  <si>
    <t xml:space="preserve">Note 2: Total organisk jord er jord med 6-12% OC og jord med 12-100 % OC </t>
  </si>
  <si>
    <t xml:space="preserve">Note 1: Total mineralsk og organisk jord summer ikke nødvendigvis op til total ha skov. Det skyldes at der kan være arealer uden information om jordtype. Manglende information skyldes kanteffekter ved opgørelsesmetoden.  Skov inkluderer arealer med juletræer ejet af landmænd </t>
  </si>
  <si>
    <t>Bilag K8 - Emissioner fra drænet og genoversvømmet areal</t>
  </si>
  <si>
    <t>UnclassOtherSea</t>
  </si>
  <si>
    <t>WetPeriodical_NoSoilInfo</t>
  </si>
  <si>
    <t>WetPeriodical_Org2</t>
  </si>
  <si>
    <t>WetPeriodical_Org1</t>
  </si>
  <si>
    <t xml:space="preserve">WetPeriodical_Min </t>
  </si>
  <si>
    <t>Grass_NoDrainInfo_NoSoilInfo</t>
  </si>
  <si>
    <t>Grass_NoDrainInfo_Org2</t>
  </si>
  <si>
    <t>Grass_NoDrainInfo_Org1</t>
  </si>
  <si>
    <t>Grass_NoDrainInfo_Min</t>
  </si>
  <si>
    <t>Grass_NoDrain_Org2</t>
  </si>
  <si>
    <t>Grass_NoDrain_Org1</t>
  </si>
  <si>
    <t xml:space="preserve">Grass_NoDrain_Min </t>
  </si>
  <si>
    <t xml:space="preserve">Grass_Drain_Org2 </t>
  </si>
  <si>
    <t>Grass_Drain_Org1</t>
  </si>
  <si>
    <t xml:space="preserve">Grass_Drain_Min </t>
  </si>
  <si>
    <t>Crop_NoDrainInfo_NoSoilInfo</t>
  </si>
  <si>
    <t>Crop_NoDrainInfo_Org2</t>
  </si>
  <si>
    <t>Crop_NoDrainInfo_Org1</t>
  </si>
  <si>
    <t>Crop_NoDrainInfo_Min</t>
  </si>
  <si>
    <t>Crop_NoDrain_Org2</t>
  </si>
  <si>
    <t>Crop_NoDrain_Org1</t>
  </si>
  <si>
    <t xml:space="preserve">Crop_NoDrain_Min </t>
  </si>
  <si>
    <t xml:space="preserve">Crop_Drain_Org2 </t>
  </si>
  <si>
    <t>Crop_Drain_Org1</t>
  </si>
  <si>
    <t xml:space="preserve">Crop_Drain_Min </t>
  </si>
  <si>
    <t>ChristmasTrees_NoSoilInfo</t>
  </si>
  <si>
    <t>ChristmasTrees_Org2</t>
  </si>
  <si>
    <t>ChristmasTrees_Org1</t>
  </si>
  <si>
    <t xml:space="preserve">ChristmasTrees_Min </t>
  </si>
  <si>
    <t>Forest_NoSoilInfo</t>
  </si>
  <si>
    <t>Forest_Org2</t>
  </si>
  <si>
    <t>Forest_Org1</t>
  </si>
  <si>
    <t xml:space="preserve">Forest_Min </t>
  </si>
  <si>
    <t>WetPerm_NoSoilInfo</t>
  </si>
  <si>
    <t>WetPerm_Org2</t>
  </si>
  <si>
    <t>WetPerm_Org1</t>
  </si>
  <si>
    <t xml:space="preserve">WetPerm_Min </t>
  </si>
  <si>
    <t>Settlements_NoSoilInfo</t>
  </si>
  <si>
    <t>Settlements_Org2</t>
  </si>
  <si>
    <t>Settlements_Org1</t>
  </si>
  <si>
    <t xml:space="preserve">Settlements_Min </t>
  </si>
  <si>
    <t>Name</t>
  </si>
  <si>
    <t>IDValue</t>
  </si>
  <si>
    <t>GrassToWetPeriodical_NoSoil</t>
  </si>
  <si>
    <t>GrassToWetPeriodical_Org2</t>
  </si>
  <si>
    <t>GrassToWetPeriodical_Org1</t>
  </si>
  <si>
    <t>GrassToWetPeriodical_Min</t>
  </si>
  <si>
    <t>GrassToWetPerm_NoSoil</t>
  </si>
  <si>
    <t>GrassToWetPerm_Org2</t>
  </si>
  <si>
    <t>GrassToWetPerm_Org1</t>
  </si>
  <si>
    <t>GrassToWetPerm_Min</t>
  </si>
  <si>
    <t>CropToWetPeriodical_NoSoil</t>
  </si>
  <si>
    <t>CropToWetPeriodical_Org2</t>
  </si>
  <si>
    <t>CropToWetPeriodical_Org1</t>
  </si>
  <si>
    <t>CropToWetPeriodical_Min</t>
  </si>
  <si>
    <t>CropToWetPerm_NoSoil</t>
  </si>
  <si>
    <t>CropToWetPerm_Org2</t>
  </si>
  <si>
    <t>CropToWetPerm_Org1</t>
  </si>
  <si>
    <t>CropToWetPerm_Min</t>
  </si>
  <si>
    <t>ChristmansTreesToWetPeriodical_NoSoil</t>
  </si>
  <si>
    <t>ChristmansTreesToWetPeriodical_Org2</t>
  </si>
  <si>
    <t>ChristmansTreesToWetPeriodical_Org1</t>
  </si>
  <si>
    <t>ChristmansTreesToWetPeriodical_Min</t>
  </si>
  <si>
    <t>ChristmansTreesToWetPerm_NoSoil</t>
  </si>
  <si>
    <t>ChristmansTreesToWetPerm_Org2</t>
  </si>
  <si>
    <t>ChristmansTreesToWetPerm_Org1</t>
  </si>
  <si>
    <t>ChristmansTreesToWetPerm_Min</t>
  </si>
  <si>
    <t>ForestToWetPeriodical_NoSoil</t>
  </si>
  <si>
    <t>ForestToWetPeriodical_Org2</t>
  </si>
  <si>
    <t>ForestToWetPeriodical_Org1</t>
  </si>
  <si>
    <t>ForestToWetPeriodical_Min</t>
  </si>
  <si>
    <t>ForestToWetPerm_NoSoil</t>
  </si>
  <si>
    <t>ForestToWetPerm_Org2</t>
  </si>
  <si>
    <t>ForestToWetPerm_Org1</t>
  </si>
  <si>
    <t>ForestToWetPerm_Min</t>
  </si>
  <si>
    <t>NoData</t>
  </si>
  <si>
    <t>ID_REWET</t>
  </si>
  <si>
    <t>Se baggrundsnotatets begrebsliste for en uddybning af de enkelte begreber.</t>
  </si>
  <si>
    <t>IE (Included elsewhere), NA (Not Applicable), NE (Not Estimated), NO (Not Occuring), NR (Not Reported).</t>
  </si>
  <si>
    <t xml:space="preserve">Beregnet - Negative tal udtrykker lager og positive tal emission </t>
  </si>
  <si>
    <r>
      <t>Bilag K9 - Direkte emission af N</t>
    </r>
    <r>
      <rPr>
        <b/>
        <vertAlign val="subscript"/>
        <sz val="16"/>
        <rFont val="Calibri"/>
        <family val="2"/>
        <scheme val="minor"/>
      </rPr>
      <t>2</t>
    </r>
    <r>
      <rPr>
        <b/>
        <sz val="16"/>
        <rFont val="Calibri"/>
        <family val="2"/>
        <scheme val="minor"/>
      </rPr>
      <t xml:space="preserve">O som følge af mineralisering og opbygning eller tab af organisk materiale </t>
    </r>
  </si>
  <si>
    <t>Forkortelser (fra CRF): IE (Included elsewhere), NA (Not Applicable), NE (Not Estimated), NO (Not Occuring), NR (Not Reported). Se baggrundsnotatets begrebsliste for en uddybning af de enkelte begreber.</t>
  </si>
  <si>
    <t xml:space="preserve">Note 1: Her beregnes, som i det nationale klimaregnskab kun afbrænding af hedearealer som er ejet af staten (statsskovsdistrikter). </t>
  </si>
  <si>
    <t xml:space="preserve">Beregning </t>
  </si>
  <si>
    <t>Emissioner</t>
  </si>
  <si>
    <t>Emissionsfaktorer</t>
  </si>
  <si>
    <t>Bilag K10: Emission fra afbrændning af biomasse</t>
  </si>
  <si>
    <t>Klithede</t>
  </si>
  <si>
    <t>Jammerbugt</t>
  </si>
  <si>
    <t>Vendsyssel</t>
  </si>
  <si>
    <t>incl lidt blåtop og bævreasp</t>
  </si>
  <si>
    <t>Hede</t>
  </si>
  <si>
    <t>Frederikshavn</t>
  </si>
  <si>
    <t>Nærmest ingen afbrænding i 2019, da det var et meget! Vådt forår.</t>
  </si>
  <si>
    <t>Klit/klithede</t>
  </si>
  <si>
    <t>Fanø</t>
  </si>
  <si>
    <t>Blåvandshuk</t>
  </si>
  <si>
    <t>Varde</t>
  </si>
  <si>
    <t>Ingen afbrænding i 2020 pga. corona hjemsendelse og krav til arbejsplanlægning.</t>
  </si>
  <si>
    <t>Thy</t>
  </si>
  <si>
    <t>Branden i Tordenvandsbakker nu konverteret til KLI.</t>
  </si>
  <si>
    <t>Thisted</t>
  </si>
  <si>
    <t>Vejr og corona skyld i de lave tal</t>
  </si>
  <si>
    <t>Planlagte afbrændinger i 2020, blev udskudt grunedt vejr og corona</t>
  </si>
  <si>
    <t>Vejle kommune</t>
  </si>
  <si>
    <t>Trekantsområdet</t>
  </si>
  <si>
    <t>Planlagte afbrændinger i 2020, blev udskudt grundet vejr og corona</t>
  </si>
  <si>
    <t>Billund Kommune</t>
  </si>
  <si>
    <t>Hovedsaligt bjergrørhvene</t>
  </si>
  <si>
    <t>Græsslette</t>
  </si>
  <si>
    <t>Gribskov kommune</t>
  </si>
  <si>
    <t>Nordsjælland</t>
  </si>
  <si>
    <t>Overdrev /græs</t>
  </si>
  <si>
    <t>Hillerød kommune</t>
  </si>
  <si>
    <t>Melby Overdrev</t>
  </si>
  <si>
    <t>Halsnæs kommune</t>
  </si>
  <si>
    <t>2020 - Planlagt</t>
  </si>
  <si>
    <t>Mose</t>
  </si>
  <si>
    <t>Egedal</t>
  </si>
  <si>
    <t xml:space="preserve">Hovedstaden </t>
  </si>
  <si>
    <t>2020 - Vild</t>
  </si>
  <si>
    <t>Furesø</t>
  </si>
  <si>
    <t>2019 - Planlagt</t>
  </si>
  <si>
    <t>gråklit og klitlavninger, VK har været projektleder</t>
  </si>
  <si>
    <t xml:space="preserve">Vordingborg </t>
  </si>
  <si>
    <t xml:space="preserve">Storstrøm </t>
  </si>
  <si>
    <t>2019 - Vild</t>
  </si>
  <si>
    <t>tagrør</t>
  </si>
  <si>
    <t>Holstebro</t>
  </si>
  <si>
    <t>Vestjylland</t>
  </si>
  <si>
    <t>I alt/ha</t>
  </si>
  <si>
    <t>År/Type</t>
  </si>
  <si>
    <t>2020 var for fugtig i marts måned</t>
  </si>
  <si>
    <t>Bruttoareal - 2/3 af vegetationen på arealerne er afbrændt i mosaik</t>
  </si>
  <si>
    <t>Bornholms Regionskommune</t>
  </si>
  <si>
    <t>Bornholm</t>
  </si>
  <si>
    <t>f.2019 Kompedal i alt 5 arealer</t>
  </si>
  <si>
    <t>Silkeborg</t>
  </si>
  <si>
    <t>Søhøjlandet</t>
  </si>
  <si>
    <t>Kommentar</t>
  </si>
  <si>
    <t>Areal i alt 2020 (ha)</t>
  </si>
  <si>
    <t>2020 planlagt brand (ha)</t>
  </si>
  <si>
    <t>2020 vild brand (ha)</t>
  </si>
  <si>
    <t>Areal i alt 2019 (ha)</t>
  </si>
  <si>
    <t>2019 planlagt brand (ha)</t>
  </si>
  <si>
    <t>2019 vild brand  (ha)</t>
  </si>
  <si>
    <t>Naturtype</t>
  </si>
  <si>
    <t xml:space="preserve">Kommune </t>
  </si>
  <si>
    <t>DST: FOLK1A</t>
  </si>
  <si>
    <t>IPCC 2019, Table 12.1</t>
  </si>
  <si>
    <t xml:space="preserve">*Indbyggertal er kun tilgængeligt siden 2008 </t>
  </si>
  <si>
    <t xml:space="preserve">Papir og pap (tons) </t>
  </si>
  <si>
    <t>I henhold til formel 12.2 (s. 12.17) i IPCC 2019 (2019 Refinement to the 2006 IPCC Guidelines for National Greenhouse Gas Inventories, Chapter 12 Harveted Wood Products, Rüter et. al). Se hertil også Box 12.1, s. 12.19 i samme dokument.</t>
  </si>
  <si>
    <r>
      <t>Term"[(1-e</t>
    </r>
    <r>
      <rPr>
        <vertAlign val="superscript"/>
        <sz val="11"/>
        <color theme="1"/>
        <rFont val="Calibri"/>
        <family val="2"/>
        <scheme val="minor"/>
      </rPr>
      <t>-k</t>
    </r>
    <r>
      <rPr>
        <sz val="10"/>
        <rFont val="Arial"/>
        <family val="2"/>
      </rPr>
      <t>)/k]"</t>
    </r>
  </si>
  <si>
    <t>Term"e"</t>
  </si>
  <si>
    <t xml:space="preserve">Konstant henfald </t>
  </si>
  <si>
    <t xml:space="preserve">Halveringstid </t>
  </si>
  <si>
    <t>DST: BYGB34</t>
  </si>
  <si>
    <t>*Bygningsareal er kun tilgængeligt siden 2011</t>
  </si>
  <si>
    <r>
      <t>Træpaneler (m</t>
    </r>
    <r>
      <rPr>
        <i/>
        <vertAlign val="superscript"/>
        <sz val="11"/>
        <color theme="1"/>
        <rFont val="Calibri"/>
        <family val="2"/>
        <scheme val="minor"/>
      </rPr>
      <t>3)</t>
    </r>
  </si>
  <si>
    <r>
      <t>Savtræ (m</t>
    </r>
    <r>
      <rPr>
        <i/>
        <vertAlign val="superscript"/>
        <sz val="11"/>
        <color theme="1"/>
        <rFont val="Calibri"/>
        <family val="2"/>
        <scheme val="minor"/>
      </rPr>
      <t>3</t>
    </r>
    <r>
      <rPr>
        <i/>
        <sz val="11"/>
        <color theme="1"/>
        <rFont val="Calibri"/>
        <family val="2"/>
        <scheme val="minor"/>
      </rPr>
      <t xml:space="preserve">) </t>
    </r>
  </si>
  <si>
    <t>Konstant henfald</t>
  </si>
  <si>
    <t>Halveringstid</t>
  </si>
  <si>
    <t>Bilag K11 - Kulstoflager/emission fra brug af træprodukter</t>
  </si>
  <si>
    <t>Kælderareal</t>
  </si>
  <si>
    <t>Samlet etageareal</t>
  </si>
  <si>
    <t>Enhed: 1.000 m2</t>
  </si>
  <si>
    <t>Bygningsbestandens areal efter arealtype, område og tid</t>
  </si>
  <si>
    <t>2021K1</t>
  </si>
  <si>
    <t>2020K1</t>
  </si>
  <si>
    <t>2019K1</t>
  </si>
  <si>
    <t>2018K1</t>
  </si>
  <si>
    <t>2017K1</t>
  </si>
  <si>
    <t>2016K1</t>
  </si>
  <si>
    <t>2015K1</t>
  </si>
  <si>
    <t>2014K1</t>
  </si>
  <si>
    <t>2013K1</t>
  </si>
  <si>
    <t>2012K1</t>
  </si>
  <si>
    <t>2011K1</t>
  </si>
  <si>
    <t>2010K1</t>
  </si>
  <si>
    <t>2009K1</t>
  </si>
  <si>
    <t>2008K1</t>
  </si>
  <si>
    <t>Enhed: Antal</t>
  </si>
  <si>
    <t>Folketal den 1. i kvartalet efter område og tid</t>
  </si>
  <si>
    <r>
      <t>Note 1: CO</t>
    </r>
    <r>
      <rPr>
        <i/>
        <vertAlign val="subscript"/>
        <sz val="9"/>
        <rFont val="Calibri"/>
        <family val="2"/>
        <scheme val="minor"/>
      </rPr>
      <t>2</t>
    </r>
    <r>
      <rPr>
        <i/>
        <sz val="9"/>
        <rFont val="Calibri"/>
        <family val="2"/>
        <scheme val="minor"/>
      </rPr>
      <t xml:space="preserve"> emissioner fra afbrænding af biomasse (f.eks. Papir, fødevarer og affald) som er indeholdt i affaldet er biogene. Biogene emissioner inkluderes ikke i regnskabet. </t>
    </r>
  </si>
  <si>
    <t>Beregning</t>
  </si>
  <si>
    <t>kton (våd vægt)</t>
  </si>
  <si>
    <r>
      <t>N</t>
    </r>
    <r>
      <rPr>
        <b/>
        <vertAlign val="subscript"/>
        <sz val="11"/>
        <color theme="1"/>
        <rFont val="Calibri"/>
        <family val="2"/>
        <scheme val="minor"/>
      </rPr>
      <t>2</t>
    </r>
    <r>
      <rPr>
        <b/>
        <sz val="11"/>
        <color theme="1"/>
        <rFont val="Calibri"/>
        <family val="2"/>
        <scheme val="minor"/>
      </rPr>
      <t>O</t>
    </r>
  </si>
  <si>
    <r>
      <t>CH</t>
    </r>
    <r>
      <rPr>
        <b/>
        <vertAlign val="subscript"/>
        <sz val="11"/>
        <color theme="1"/>
        <rFont val="Calibri"/>
        <family val="2"/>
        <scheme val="minor"/>
      </rPr>
      <t>4</t>
    </r>
  </si>
  <si>
    <r>
      <t>CO</t>
    </r>
    <r>
      <rPr>
        <b/>
        <vertAlign val="subscript"/>
        <sz val="11"/>
        <color theme="1"/>
        <rFont val="Calibri"/>
        <family val="2"/>
        <scheme val="minor"/>
      </rPr>
      <t>2</t>
    </r>
  </si>
  <si>
    <t>Impliceret  emissionsfaktor</t>
  </si>
  <si>
    <t>Aktivitetsdata og anden relateret information</t>
  </si>
  <si>
    <t xml:space="preserve">Note 3: Mængder og emissionsfaktorer ikke oplyst, kun emissioner </t>
  </si>
  <si>
    <t>Note 2: Emissionsfaktorer for flere fraktioner</t>
  </si>
  <si>
    <t>Note 1: Mængder for flere fraktioner</t>
  </si>
  <si>
    <t>g/kg affald</t>
  </si>
  <si>
    <r>
      <rPr>
        <b/>
        <sz val="11"/>
        <color theme="1"/>
        <rFont val="Calibri"/>
        <family val="2"/>
        <scheme val="minor"/>
      </rPr>
      <t>N</t>
    </r>
    <r>
      <rPr>
        <b/>
        <vertAlign val="subscript"/>
        <sz val="11"/>
        <color theme="1"/>
        <rFont val="Calibri"/>
        <family val="2"/>
        <scheme val="minor"/>
      </rPr>
      <t>2</t>
    </r>
    <r>
      <rPr>
        <b/>
        <sz val="11"/>
        <color theme="1"/>
        <rFont val="Calibri"/>
        <family val="2"/>
        <scheme val="minor"/>
      </rPr>
      <t>O</t>
    </r>
  </si>
  <si>
    <t>Emissionsfaktor</t>
  </si>
  <si>
    <t>NO, NE</t>
  </si>
  <si>
    <t>NA,NE</t>
  </si>
  <si>
    <r>
      <t>DOC</t>
    </r>
    <r>
      <rPr>
        <b/>
        <vertAlign val="subscript"/>
        <sz val="11"/>
        <color theme="1"/>
        <rFont val="Calibri"/>
        <family val="2"/>
        <scheme val="minor"/>
      </rPr>
      <t>f</t>
    </r>
  </si>
  <si>
    <t>Metan konverteringsfaktor</t>
  </si>
  <si>
    <t>Emissioner i DK</t>
  </si>
  <si>
    <t>FOLK1A</t>
  </si>
  <si>
    <t>Overføres til regnskab</t>
  </si>
  <si>
    <t>IE, NA, NE</t>
  </si>
  <si>
    <r>
      <t>kg N</t>
    </r>
    <r>
      <rPr>
        <b/>
        <vertAlign val="subscript"/>
        <sz val="11"/>
        <color theme="1"/>
        <rFont val="Calibri"/>
        <family val="2"/>
        <scheme val="minor"/>
      </rPr>
      <t>2</t>
    </r>
    <r>
      <rPr>
        <b/>
        <sz val="11"/>
        <color theme="1"/>
        <rFont val="Calibri"/>
        <family val="2"/>
        <scheme val="minor"/>
      </rPr>
      <t>O-N/kg N</t>
    </r>
  </si>
  <si>
    <t>kg/kg DC</t>
  </si>
  <si>
    <t>Energiformål</t>
  </si>
  <si>
    <t>Flared</t>
  </si>
  <si>
    <t>Implicit  emissionsfaktor</t>
  </si>
  <si>
    <t>Bilag K13 - Behandling og udledning af spildevand</t>
  </si>
  <si>
    <t>(kton)</t>
  </si>
  <si>
    <r>
      <t>CH</t>
    </r>
    <r>
      <rPr>
        <b/>
        <vertAlign val="subscript"/>
        <sz val="11"/>
        <rFont val="Calibri"/>
        <family val="2"/>
        <scheme val="minor"/>
      </rPr>
      <t>4</t>
    </r>
  </si>
  <si>
    <r>
      <t>CO</t>
    </r>
    <r>
      <rPr>
        <b/>
        <vertAlign val="subscript"/>
        <sz val="11"/>
        <rFont val="Calibri"/>
        <family val="2"/>
        <scheme val="minor"/>
      </rPr>
      <t>2</t>
    </r>
  </si>
  <si>
    <r>
      <t>SO</t>
    </r>
    <r>
      <rPr>
        <b/>
        <vertAlign val="subscript"/>
        <sz val="11"/>
        <rFont val="Calibri"/>
        <family val="2"/>
        <scheme val="minor"/>
      </rPr>
      <t>2</t>
    </r>
  </si>
  <si>
    <r>
      <t>NO</t>
    </r>
    <r>
      <rPr>
        <b/>
        <vertAlign val="subscript"/>
        <sz val="11"/>
        <rFont val="Calibri"/>
        <family val="2"/>
        <scheme val="minor"/>
      </rPr>
      <t>x</t>
    </r>
  </si>
  <si>
    <r>
      <t>N</t>
    </r>
    <r>
      <rPr>
        <b/>
        <vertAlign val="subscript"/>
        <sz val="11"/>
        <rFont val="Calibri"/>
        <family val="2"/>
        <scheme val="minor"/>
      </rPr>
      <t>2</t>
    </r>
    <r>
      <rPr>
        <b/>
        <sz val="11"/>
        <rFont val="Calibri"/>
        <family val="2"/>
        <scheme val="minor"/>
      </rPr>
      <t>O</t>
    </r>
  </si>
  <si>
    <t>Emissioner nationalt</t>
  </si>
  <si>
    <t>Bilag K14 - Tilfældige brande</t>
  </si>
  <si>
    <t>NIR CRF tabel 2 (II)</t>
  </si>
  <si>
    <t>DST Folk1A</t>
  </si>
  <si>
    <t>Kilder :</t>
  </si>
  <si>
    <r>
      <t xml:space="preserve">Kategori </t>
    </r>
    <r>
      <rPr>
        <b/>
        <vertAlign val="superscript"/>
        <sz val="11"/>
        <color theme="1"/>
        <rFont val="Calibri"/>
        <family val="2"/>
        <scheme val="minor"/>
      </rPr>
      <t>1</t>
    </r>
  </si>
  <si>
    <t xml:space="preserve">Andet
</t>
  </si>
  <si>
    <t>Kilder:</t>
  </si>
  <si>
    <t xml:space="preserve">Brug af produkter som erstatter ozon-forringende produkter 
</t>
  </si>
  <si>
    <t xml:space="preserve">Elektronik-industri 
</t>
  </si>
  <si>
    <r>
      <t xml:space="preserve">Sekundær blyproduktion </t>
    </r>
    <r>
      <rPr>
        <i/>
        <vertAlign val="superscript"/>
        <sz val="11"/>
        <color theme="1"/>
        <rFont val="Calibri"/>
        <family val="2"/>
        <scheme val="minor"/>
      </rPr>
      <t>1</t>
    </r>
  </si>
  <si>
    <t xml:space="preserve">Metalindustri 
</t>
  </si>
  <si>
    <t>Indberetning til EU-ETS, Energistyrelsen</t>
  </si>
  <si>
    <r>
      <t xml:space="preserve">Våd røggasrensning </t>
    </r>
    <r>
      <rPr>
        <vertAlign val="superscript"/>
        <sz val="11"/>
        <color theme="1"/>
        <rFont val="Calibri"/>
        <family val="2"/>
        <scheme val="minor"/>
      </rPr>
      <t>1</t>
    </r>
  </si>
  <si>
    <r>
      <t xml:space="preserve">Anden brug af soda aske </t>
    </r>
    <r>
      <rPr>
        <vertAlign val="superscript"/>
        <sz val="11"/>
        <color theme="1"/>
        <rFont val="Calibri"/>
        <family val="2"/>
        <scheme val="minor"/>
      </rPr>
      <t>2</t>
    </r>
  </si>
  <si>
    <r>
      <t>Fremstilling af andre ikke metalholdige produkter</t>
    </r>
    <r>
      <rPr>
        <vertAlign val="superscript"/>
        <sz val="11"/>
        <color theme="1"/>
        <rFont val="Calibri"/>
        <family val="2"/>
        <scheme val="minor"/>
      </rPr>
      <t xml:space="preserve"> 1</t>
    </r>
  </si>
  <si>
    <r>
      <t xml:space="preserve">Anden råstofindvinding </t>
    </r>
    <r>
      <rPr>
        <vertAlign val="superscript"/>
        <sz val="11"/>
        <color theme="1"/>
        <rFont val="Calibri"/>
        <family val="2"/>
        <scheme val="minor"/>
      </rPr>
      <t>1</t>
    </r>
  </si>
  <si>
    <r>
      <t xml:space="preserve">Fremstilling af mursten og tegl </t>
    </r>
    <r>
      <rPr>
        <vertAlign val="superscript"/>
        <sz val="11"/>
        <color theme="1"/>
        <rFont val="Calibri"/>
        <family val="2"/>
        <scheme val="minor"/>
      </rPr>
      <t>1</t>
    </r>
  </si>
  <si>
    <t>Branchebeskrivelse</t>
  </si>
  <si>
    <t xml:space="preserve">Overført til regnskab </t>
  </si>
  <si>
    <t>Input fra tabel eller register</t>
  </si>
  <si>
    <t>Bilag K15 - Emission fra forskellige typer af industriprocesser og industriel produktanvendelse</t>
  </si>
  <si>
    <t>Imerys Fur</t>
  </si>
  <si>
    <t>Anden råstofindvinding</t>
  </si>
  <si>
    <t>Region Midt</t>
  </si>
  <si>
    <t>Skive</t>
  </si>
  <si>
    <t>Imerys Mors</t>
  </si>
  <si>
    <t>Ikast-Brande</t>
  </si>
  <si>
    <t>I/S Reno Syd</t>
  </si>
  <si>
    <t xml:space="preserve">Bortskaffelse af affald med energiproduktion  </t>
  </si>
  <si>
    <t>Skanderborg</t>
  </si>
  <si>
    <t>Bortskaffelse af affald</t>
  </si>
  <si>
    <t>Region Hovedstaden</t>
  </si>
  <si>
    <t>Hørsholm</t>
  </si>
  <si>
    <t>I/S Vestforbrænding</t>
  </si>
  <si>
    <t>Glostrup</t>
  </si>
  <si>
    <t>Nordjyllandsværket</t>
  </si>
  <si>
    <t xml:space="preserve">Produktion af elektricitet </t>
  </si>
  <si>
    <t>Aalborg</t>
  </si>
  <si>
    <t>Studstrupværket</t>
  </si>
  <si>
    <t>Aarhus</t>
  </si>
  <si>
    <t>Esbjergværket</t>
  </si>
  <si>
    <t>Region Syd</t>
  </si>
  <si>
    <t>Esbjerg</t>
  </si>
  <si>
    <t>Sønderborg</t>
  </si>
  <si>
    <t>Fjernvarme Fyn Produktion A/S</t>
  </si>
  <si>
    <t>Odense</t>
  </si>
  <si>
    <t>Avedøreværket</t>
  </si>
  <si>
    <t>Hvidovre</t>
  </si>
  <si>
    <t>Amagerværket</t>
  </si>
  <si>
    <t>København</t>
  </si>
  <si>
    <t>Rockwool A/S Doense</t>
  </si>
  <si>
    <t>Fremstilling af andre ikke metalholdige produkter</t>
  </si>
  <si>
    <t>Mariagerfjord</t>
  </si>
  <si>
    <t>Leca Danmark</t>
  </si>
  <si>
    <t>Favrskov</t>
  </si>
  <si>
    <t>Rockwool A/S, Vamdrup</t>
  </si>
  <si>
    <t>Kolding</t>
  </si>
  <si>
    <t>Faxe Kalk Ovnanlægget Stubberup</t>
  </si>
  <si>
    <t>Fremstilling af kalk og gips</t>
  </si>
  <si>
    <t>Faxe</t>
  </si>
  <si>
    <t>Aalborg Portland A/S</t>
  </si>
  <si>
    <t>Fremstilling af cement</t>
  </si>
  <si>
    <t>Gandrup Teglværk</t>
  </si>
  <si>
    <t>Fremstilling af mursten</t>
  </si>
  <si>
    <t>Vindø Teglværk</t>
  </si>
  <si>
    <t>Monier A/S Volstrup Teglværk</t>
  </si>
  <si>
    <t>Fredrikshavn</t>
  </si>
  <si>
    <t>Hammershøj Teglværk</t>
  </si>
  <si>
    <t>Viborg</t>
  </si>
  <si>
    <t>Højslev Tegl A/S</t>
  </si>
  <si>
    <t>Vesterled Teglværk A/S</t>
  </si>
  <si>
    <t>PETERSEN TEGL A/S</t>
  </si>
  <si>
    <t>Gråsten Teglværk</t>
  </si>
  <si>
    <t>Carl Matzens Teglværk A/S</t>
  </si>
  <si>
    <t>Wienerberger A/S - Petersminde Teglværk</t>
  </si>
  <si>
    <t>Svendborg</t>
  </si>
  <si>
    <t>Assens</t>
  </si>
  <si>
    <t>Pedershvile Teglværk</t>
  </si>
  <si>
    <t>Gribskov</t>
  </si>
  <si>
    <t>Isover</t>
  </si>
  <si>
    <t>Fremstilling af glasfiber</t>
  </si>
  <si>
    <t>Ardagh Glass Holmegaard A/S</t>
  </si>
  <si>
    <t>Fremstilling af flasker og glas</t>
  </si>
  <si>
    <t>Næstved</t>
  </si>
  <si>
    <t>Fremstilling af raffinerede mineralolieprodukter</t>
  </si>
  <si>
    <t>Fredericia</t>
  </si>
  <si>
    <t>Nordic Sugar, Nakskov Sukkerfabrik</t>
  </si>
  <si>
    <t>Fremstilling af sukker</t>
  </si>
  <si>
    <t>Lolland</t>
  </si>
  <si>
    <t>Kolonne1</t>
  </si>
  <si>
    <t>Værk_Navn</t>
  </si>
  <si>
    <t>Branchekode (DB07)</t>
  </si>
  <si>
    <t>Region</t>
  </si>
  <si>
    <t>Kommunenavn</t>
  </si>
  <si>
    <t>Kommunenummer</t>
  </si>
  <si>
    <t>Aar</t>
  </si>
  <si>
    <t>Udledning opgivet i CO2 ækvivalenter (kiloton)</t>
  </si>
  <si>
    <t xml:space="preserve">Asfaltering på vej </t>
  </si>
  <si>
    <t xml:space="preserve">Fremstilling af tagpap </t>
  </si>
  <si>
    <t xml:space="preserve">Urea anvendt i katalysatorer check rapport </t>
  </si>
  <si>
    <t xml:space="preserve">Frea anvendt i katalysatorer check rapport </t>
  </si>
  <si>
    <t>Faktisk udledning</t>
  </si>
  <si>
    <t>Grafer-energi</t>
  </si>
  <si>
    <t>EBAU2050</t>
  </si>
  <si>
    <t>EBAU2030</t>
  </si>
  <si>
    <t>E1990</t>
  </si>
  <si>
    <t>NST</t>
  </si>
  <si>
    <t>Table2(I)s2_2018</t>
  </si>
  <si>
    <t>Table2(I).A-Hs1_2018</t>
  </si>
  <si>
    <t>Table2(I).A-Hs2_2018</t>
  </si>
  <si>
    <t>Table2(II)_2018</t>
  </si>
  <si>
    <t>Table3.As1_2018</t>
  </si>
  <si>
    <t>Table3.D_2018</t>
  </si>
  <si>
    <t>Table3.G-I_2018</t>
  </si>
  <si>
    <t>Table4.A_2018</t>
  </si>
  <si>
    <t>Table4.B_2018</t>
  </si>
  <si>
    <t>Table4.C_2018</t>
  </si>
  <si>
    <t>Table4.D_2018</t>
  </si>
  <si>
    <t>Table4.E_2018</t>
  </si>
  <si>
    <t>Table4.F_2018</t>
  </si>
  <si>
    <t>Table4(II)_2018</t>
  </si>
  <si>
    <t>Table4(III)_2018</t>
  </si>
  <si>
    <t>Table4(V)_2018</t>
  </si>
  <si>
    <t>Table4.Gs2_2018</t>
  </si>
  <si>
    <t>Table5.A_2018</t>
  </si>
  <si>
    <t>Table5.B_2018</t>
  </si>
  <si>
    <t>Table5.C_2018</t>
  </si>
  <si>
    <t>Table5.D_2018</t>
  </si>
  <si>
    <t>Table2(I)s2_2019</t>
  </si>
  <si>
    <t>Table2(I).A-Hs1_2019</t>
  </si>
  <si>
    <t>Table2(I).A-Hs2_2019</t>
  </si>
  <si>
    <t>Table2(II)_2019</t>
  </si>
  <si>
    <t>Table3.As1_2019</t>
  </si>
  <si>
    <t>Table3.D_2019</t>
  </si>
  <si>
    <t>Table3.G-I_2019</t>
  </si>
  <si>
    <t>Table4.A_2019</t>
  </si>
  <si>
    <t>Table4.B_2019</t>
  </si>
  <si>
    <t>Table4.C_2019</t>
  </si>
  <si>
    <t>Table4.D_2019</t>
  </si>
  <si>
    <t>Table4.E_2019</t>
  </si>
  <si>
    <t>Table4.F_2019</t>
  </si>
  <si>
    <t>Table4(II)_2019</t>
  </si>
  <si>
    <t>Table4(III)_2019</t>
  </si>
  <si>
    <t>Table4(V)_2019</t>
  </si>
  <si>
    <t>Table4.Gs2_2019</t>
  </si>
  <si>
    <t>Table5.A_2019</t>
  </si>
  <si>
    <t>Table5.B_2019</t>
  </si>
  <si>
    <t>Table5.C_2019</t>
  </si>
  <si>
    <t>Table5.D_2019</t>
  </si>
  <si>
    <t>Table2(I)s2_2020</t>
  </si>
  <si>
    <t>Table2(I).A-Hs1_2020</t>
  </si>
  <si>
    <t>Table2(I).A-Hs2_2020</t>
  </si>
  <si>
    <t>Table2(II)_2020</t>
  </si>
  <si>
    <t>Table3.As1_2020</t>
  </si>
  <si>
    <t>Table3.D_2020</t>
  </si>
  <si>
    <t>Table3.G-I_2020</t>
  </si>
  <si>
    <t>Table4.A_2020</t>
  </si>
  <si>
    <t>Table4.B_2020</t>
  </si>
  <si>
    <t>Table4.C_2020</t>
  </si>
  <si>
    <t>Table4.D_2020</t>
  </si>
  <si>
    <t>Table4.E_2020</t>
  </si>
  <si>
    <t>Table4.F_2020</t>
  </si>
  <si>
    <t>Table4(II)_2020</t>
  </si>
  <si>
    <t>Table4(III)_2020</t>
  </si>
  <si>
    <t>Table4(V)_2020</t>
  </si>
  <si>
    <t>Table4.Gs2_2020</t>
  </si>
  <si>
    <t>Table5.A_2020</t>
  </si>
  <si>
    <t>Table5.B_2020</t>
  </si>
  <si>
    <t>Table5.C_2020</t>
  </si>
  <si>
    <t>Table5.D_2020</t>
  </si>
  <si>
    <t>Annex 3F-6.2 20</t>
  </si>
  <si>
    <t>Annex 3F-6.1 20</t>
  </si>
  <si>
    <t>Annex 3D-9 20</t>
  </si>
  <si>
    <t>Annex 3D-11 20</t>
  </si>
  <si>
    <t>Annex 3D-20 20</t>
  </si>
  <si>
    <t>Energiregnskaber</t>
  </si>
  <si>
    <t xml:space="preserve">NIR faktorer samlet </t>
  </si>
  <si>
    <t>Grafer</t>
  </si>
  <si>
    <t>NIR tabeller</t>
  </si>
  <si>
    <t xml:space="preserve">NIR annexer </t>
  </si>
  <si>
    <t>NIR tabel 4B 2022 (2020)</t>
  </si>
  <si>
    <t>IPCC 2006, Tabel 10A4-10A9</t>
  </si>
  <si>
    <t>Annex 3D 15. IPCC 2006 Tabel 10.17</t>
  </si>
  <si>
    <t>Tier II Lund et al. 2020 Normtal (http://anis.au.dk/normtal)</t>
  </si>
  <si>
    <t xml:space="preserve">*Gul markerer at staldtypen er dubleret så der er en kolonne for hhv. gødning og strøelse </t>
  </si>
  <si>
    <t>Løsdrift / boks/ Bur</t>
  </si>
  <si>
    <t xml:space="preserve">Økologiske, konsumæg, </t>
  </si>
  <si>
    <t xml:space="preserve">Høns af æglægningstype </t>
  </si>
  <si>
    <t xml:space="preserve">Fritgående, konsumæg, </t>
  </si>
  <si>
    <t>Sl. svin</t>
  </si>
  <si>
    <t>Delvis spaltegulv inde. Løbegård (50/50) ude</t>
  </si>
  <si>
    <t>Kødædende pelsdyr, bure, gødn.rende, ugentlig tømn</t>
  </si>
  <si>
    <t>Mink, 1 årstæve</t>
  </si>
  <si>
    <t xml:space="preserve">Svin </t>
  </si>
  <si>
    <t>Antal producerede smågrise, fra 6,8 til 31 kg</t>
  </si>
  <si>
    <t>Antal producerede slagtesvin, 31-110 kg</t>
  </si>
  <si>
    <t>FRATS-svin</t>
  </si>
  <si>
    <t>Delvis splategulv med 33-49% fast gulv</t>
  </si>
  <si>
    <t>1 årsso m. 33,3 grise til 6,6 kg,andel fra løbe- og drægtighedsstald</t>
  </si>
  <si>
    <t>1 årsso m. 33,3 grise til 6,6 kg, andel fra løbe- og drægtighedsstald</t>
  </si>
  <si>
    <t>1 årsso m. 33,3 grise til 6,6 kg, andel fra farestald.</t>
  </si>
  <si>
    <t>Friland, fareperiode</t>
  </si>
  <si>
    <t xml:space="preserve">Dybstrøelse </t>
  </si>
  <si>
    <t>1 årsopdræt (kvier/stude 6 mdr. - kælvning (27 mdr)/slagtning, tung race)</t>
  </si>
  <si>
    <t xml:space="preserve">Skrabehøner, konsumæg </t>
  </si>
  <si>
    <t>Fritgående, konsumæg, gulvdrift + gødningskummer</t>
  </si>
  <si>
    <t>Pelsdyr, andre staldsystemer (antal DE)</t>
  </si>
  <si>
    <t>Agerhøns, opdræt, 1000 stk.</t>
  </si>
  <si>
    <t>Fasan, opdræt, 1000 stk.</t>
  </si>
  <si>
    <t>Fasaner, opdræt</t>
  </si>
  <si>
    <t>Fasaner, høner</t>
  </si>
  <si>
    <r>
      <t>Ænder, produktionstid 52 dage</t>
    </r>
    <r>
      <rPr>
        <sz val="11"/>
        <color rgb="FFFF0000"/>
        <rFont val="Calibri"/>
        <family val="2"/>
        <scheme val="minor"/>
      </rPr>
      <t xml:space="preserve"> </t>
    </r>
  </si>
  <si>
    <t>Gæs, produktionstid 91 dage (100 stk)</t>
  </si>
  <si>
    <t xml:space="preserve">Kalkuner, tunge hunner, produktionstid 112 dage </t>
  </si>
  <si>
    <t xml:space="preserve">Hønniker, Hpr </t>
  </si>
  <si>
    <t xml:space="preserve">Rugeæg (hpr-høner), </t>
  </si>
  <si>
    <t xml:space="preserve">Økologiske slagtekyllinger, 63 dage </t>
  </si>
  <si>
    <t xml:space="preserve">producerede skrabekyllinger, 56 dage </t>
  </si>
  <si>
    <t xml:space="preserve">producerede slagtekyllinger, 30 dage </t>
  </si>
  <si>
    <t>Levende vægt ved slagtning, 3,07 kg</t>
  </si>
  <si>
    <t>producerede slagtekyllinger, levende vægt ved slagtning 2.60 kg</t>
  </si>
  <si>
    <t>Levende vægt ved slagtning</t>
  </si>
  <si>
    <t>Rugeæg (hønniker, Hpr), gulvdrift, prod. 119 dage</t>
  </si>
  <si>
    <t>Rugeæg (hønniker, HPR)</t>
  </si>
  <si>
    <r>
      <t>Hønniker, konsum</t>
    </r>
    <r>
      <rPr>
        <sz val="11"/>
        <color rgb="FFFF0000"/>
        <rFont val="Calibri"/>
        <family val="2"/>
        <scheme val="minor"/>
      </rPr>
      <t xml:space="preserve"> </t>
    </r>
  </si>
  <si>
    <t xml:space="preserve">Hønniker, konsum </t>
  </si>
  <si>
    <t>Rugeæg (hpr-høner), gulvdrift og gødningskummer</t>
  </si>
  <si>
    <t xml:space="preserve">Burhøns, konsumæg </t>
  </si>
  <si>
    <t>Fritgående, konsumæg, gulvdrift uden gødningskumme</t>
  </si>
  <si>
    <t>Chinchilla, 100 stk.</t>
  </si>
  <si>
    <t xml:space="preserve">Chincilla </t>
  </si>
  <si>
    <t>Kødædende pelsdyr, bure, fast gødning i gødn.rende</t>
  </si>
  <si>
    <t xml:space="preserve">Unge hinder3-15 mdr, </t>
  </si>
  <si>
    <t>1 årsopdræt (kvier/stude 6 mdr. - kælvning (25 mdr)/slagtning, Jersey)</t>
  </si>
  <si>
    <t xml:space="preserve">Kvæg </t>
  </si>
  <si>
    <t>Sengestald med spaltegulv (kanal, bagskyl el. ring</t>
  </si>
  <si>
    <t xml:space="preserve">Slagtekalve 0-6 mdr. </t>
  </si>
  <si>
    <t>1 stk. slagtekalv, 0-6 mdr., Jersey.</t>
  </si>
  <si>
    <t xml:space="preserve">Slagtekalve 6 mdr. </t>
  </si>
  <si>
    <t>1 stk. slagtekalve, 6 mdr. - slagtning (440 kg), tung race.</t>
  </si>
  <si>
    <t>1 årsopdræt (småkalv 0-6 mdr., Jersey)</t>
  </si>
  <si>
    <t>1 stk. slagtekalve 6 mdr. - slagtning (328 kg), Jersey.</t>
  </si>
  <si>
    <t>1 avlstyr (1årsdyr), tung race, over 440 kg</t>
  </si>
  <si>
    <t>Dybstrøelse, lang ædepladsmedspalter (kanal, bag</t>
  </si>
  <si>
    <t>1 stk. slagtekalv, 0-6 mdr., tung race.</t>
  </si>
  <si>
    <t>1 årsopdræt (småkalv 0-6 mdr., tung race)</t>
  </si>
  <si>
    <t>Alje</t>
  </si>
  <si>
    <t>Total udledning af metan (ton)</t>
  </si>
  <si>
    <t>Metan pr. dyr (kg)</t>
  </si>
  <si>
    <r>
      <t>B</t>
    </r>
    <r>
      <rPr>
        <b/>
        <vertAlign val="subscript"/>
        <sz val="11"/>
        <rFont val="Calibri"/>
        <family val="2"/>
        <scheme val="minor"/>
      </rPr>
      <t>0</t>
    </r>
  </si>
  <si>
    <t>Metan konverteringsfaktor (%)</t>
  </si>
  <si>
    <t>Tørstof på mark</t>
  </si>
  <si>
    <t>Tørstof i stald</t>
  </si>
  <si>
    <t>Dage på græs, Økologisk</t>
  </si>
  <si>
    <t>Dage på græs, Konventionel</t>
  </si>
  <si>
    <t>Gødning (g) pr. dyr (ton)</t>
  </si>
  <si>
    <t>Strøelsestype</t>
  </si>
  <si>
    <t>Kode_stald+dyr</t>
  </si>
  <si>
    <t>Stald_kode</t>
  </si>
  <si>
    <t>Staldtype fordeling</t>
  </si>
  <si>
    <t>Staldtype</t>
  </si>
  <si>
    <t>Fordeling af dyretyper</t>
  </si>
  <si>
    <t>Dyretyper</t>
  </si>
  <si>
    <t>Dyr_Kode</t>
  </si>
  <si>
    <t>Dyrekategori</t>
  </si>
  <si>
    <t>Bilag K2 - Metan fra stald og lager</t>
  </si>
  <si>
    <r>
      <t>Bilag K2 - Metan (CH</t>
    </r>
    <r>
      <rPr>
        <b/>
        <vertAlign val="subscript"/>
        <sz val="16"/>
        <color theme="1"/>
        <rFont val="Calibri"/>
        <family val="2"/>
        <scheme val="minor"/>
      </rPr>
      <t>4</t>
    </r>
    <r>
      <rPr>
        <b/>
        <sz val="16"/>
        <color theme="1"/>
        <rFont val="Calibri"/>
        <family val="2"/>
        <scheme val="minor"/>
      </rPr>
      <t>) fra staldsystemer</t>
    </r>
  </si>
  <si>
    <t>Hovedtotal</t>
  </si>
  <si>
    <t>Sum af Total udledning af metan (ton)</t>
  </si>
  <si>
    <t>Rækkemærkater</t>
  </si>
  <si>
    <t>kode stald+dyr</t>
  </si>
  <si>
    <t xml:space="preserve">Klimarådets værktøj til opgørelse af drivhusgasser på enkeltbedrifter </t>
  </si>
  <si>
    <t xml:space="preserve">                </t>
  </si>
  <si>
    <t>Dybstrøelse, kvæg</t>
  </si>
  <si>
    <t>Dybstrøelse, fjerkræ</t>
  </si>
  <si>
    <t>Dybstrøelse, andre typer</t>
  </si>
  <si>
    <t xml:space="preserve">Fjerkrægylle </t>
  </si>
  <si>
    <t>Blandet gylle</t>
  </si>
  <si>
    <t xml:space="preserve">Gylletype </t>
  </si>
  <si>
    <t>Tal til regnskab</t>
  </si>
  <si>
    <t>Bilag K2a - Biogasreduktion</t>
  </si>
  <si>
    <t>Fordeling af dyrtyper</t>
  </si>
  <si>
    <t>Dyrekatagori</t>
  </si>
  <si>
    <t>Øvrige typer af anden organisk gødning</t>
  </si>
  <si>
    <t>Økologisk kløvergræs</t>
  </si>
  <si>
    <t>Vinasse (3,5 pct. kvælstof)</t>
  </si>
  <si>
    <t>Spildevandsslam</t>
  </si>
  <si>
    <t>Slam og spildevand samt uforurenede produktrester</t>
  </si>
  <si>
    <t>Slam fra forarbejdning af animalske råvarer</t>
  </si>
  <si>
    <t>Slam fra dambrug</t>
  </si>
  <si>
    <t>Roer (energiafgrøder)</t>
  </si>
  <si>
    <t>Organisk affald fra erhverv</t>
  </si>
  <si>
    <t>Naturpleje biomasse</t>
  </si>
  <si>
    <t>Mink gylle og gylle fra øvrige kødædende pelsdyr</t>
  </si>
  <si>
    <t>Majs (energiafgrøder)</t>
  </si>
  <si>
    <t>Kød- og benmel, børstemel, blodmel og fiskemel/fiskeaffald</t>
  </si>
  <si>
    <t>Kvælstofgødning 33</t>
  </si>
  <si>
    <t>Korn (energiafgrøder)</t>
  </si>
  <si>
    <t>Kildesorteret organisk dagrenovation og dagrenovationslignende affald</t>
  </si>
  <si>
    <t>Kasserede afgrøder</t>
  </si>
  <si>
    <t>Kartoffelfrugtsaft</t>
  </si>
  <si>
    <t>Inaktiveret og kalkstabiliseret biomasse</t>
  </si>
  <si>
    <t>Have- og parkaffald</t>
  </si>
  <si>
    <t>Halm</t>
  </si>
  <si>
    <t>Græs (energiafgrøder)</t>
  </si>
  <si>
    <t>Glycerin i perioden</t>
  </si>
  <si>
    <t>Frøgræshalm</t>
  </si>
  <si>
    <t>Fiberfraktion fra separeret husdyrgødning</t>
  </si>
  <si>
    <t>Fiberfraktion efter forarbejdning og anden husdyrgødning</t>
  </si>
  <si>
    <t>Dybstrøelse, Kvæg</t>
  </si>
  <si>
    <t>Dybstrøelse, Fjerkræ</t>
  </si>
  <si>
    <t>Dybstrøelse, Andre typer</t>
  </si>
  <si>
    <t>Dybstrøelse fra ikke fjerkræ</t>
  </si>
  <si>
    <t>Animalske biprodukter</t>
  </si>
  <si>
    <t>Andre typer af anden organisk gødning</t>
  </si>
  <si>
    <t>Andre restprodukter fra produktion af primærafgrøder</t>
  </si>
  <si>
    <t>Andre afgrøder</t>
  </si>
  <si>
    <t>Afgasset biomasse</t>
  </si>
  <si>
    <t>KgN</t>
  </si>
  <si>
    <t>type</t>
  </si>
  <si>
    <t>kommunenr</t>
  </si>
  <si>
    <t>Løsdrift / boks / bur</t>
  </si>
  <si>
    <t>Kolonnemærkater</t>
  </si>
  <si>
    <t>Bilag K3 - Lattergas fra staldsystem</t>
  </si>
  <si>
    <t>Beregning  baseret på metode fra Klimarådets værktøj til beregning  på bedriftsniveau</t>
  </si>
  <si>
    <t>Struds, kylling, 3-14 mdr, 10 producerede dyr</t>
  </si>
  <si>
    <t>Struds, kylling, 0-3 mdr, 100 producerede dyr</t>
  </si>
  <si>
    <t>Agerhøns, opdræt, 100 stk.</t>
  </si>
  <si>
    <t>Kalkun</t>
  </si>
  <si>
    <t>producerede slagtekyllinger, levende vægt ved slagtning 1,85 kg</t>
  </si>
  <si>
    <t>Økologiske, konsumæg</t>
  </si>
  <si>
    <t xml:space="preserve">svinegylle </t>
  </si>
  <si>
    <t>Delvis spaltegulv, 33-49% fast gulv</t>
  </si>
  <si>
    <t>1 årsso m, 31,4 grise til 6,8 kg, andel fra farestald,</t>
  </si>
  <si>
    <t>1 årsso m, 31,4 grise til 6,8 kg, andel fra løbe- og drægtighedsstald</t>
  </si>
  <si>
    <t xml:space="preserve">Kvæggylle </t>
  </si>
  <si>
    <t>1 stk. slagtekalv, 0-6 mdr., tung race</t>
  </si>
  <si>
    <t xml:space="preserve">1 stk. slagtekalv, 0-6 mdr., tung race </t>
  </si>
  <si>
    <r>
      <t>Total N</t>
    </r>
    <r>
      <rPr>
        <b/>
        <vertAlign val="subscript"/>
        <sz val="11"/>
        <rFont val="Calibri"/>
        <family val="2"/>
        <scheme val="minor"/>
      </rPr>
      <t>2</t>
    </r>
    <r>
      <rPr>
        <b/>
        <sz val="11"/>
        <rFont val="Calibri"/>
        <family val="2"/>
        <scheme val="minor"/>
      </rPr>
      <t>O af indirekte udledning (Kg)</t>
    </r>
  </si>
  <si>
    <r>
      <t>Total N</t>
    </r>
    <r>
      <rPr>
        <b/>
        <vertAlign val="subscript"/>
        <sz val="11"/>
        <rFont val="Calibri"/>
        <family val="2"/>
        <scheme val="minor"/>
      </rPr>
      <t>2</t>
    </r>
    <r>
      <rPr>
        <b/>
        <sz val="11"/>
        <rFont val="Calibri"/>
        <family val="2"/>
        <scheme val="minor"/>
      </rPr>
      <t>O-N (Kg)2</t>
    </r>
  </si>
  <si>
    <t>Total N fra fordampning</t>
  </si>
  <si>
    <t>FracGasMS (fordampning)</t>
  </si>
  <si>
    <r>
      <t>Total af direkte udledning N</t>
    </r>
    <r>
      <rPr>
        <b/>
        <vertAlign val="subscript"/>
        <sz val="11"/>
        <rFont val="Calibri"/>
        <family val="2"/>
        <scheme val="minor"/>
      </rPr>
      <t>2</t>
    </r>
    <r>
      <rPr>
        <b/>
        <sz val="11"/>
        <rFont val="Calibri"/>
        <family val="2"/>
        <scheme val="minor"/>
      </rPr>
      <t>O (Kg)</t>
    </r>
  </si>
  <si>
    <r>
      <t>Total N</t>
    </r>
    <r>
      <rPr>
        <b/>
        <vertAlign val="subscript"/>
        <sz val="11"/>
        <rFont val="Calibri"/>
        <family val="2"/>
        <scheme val="minor"/>
      </rPr>
      <t>2</t>
    </r>
    <r>
      <rPr>
        <b/>
        <sz val="11"/>
        <rFont val="Calibri"/>
        <family val="2"/>
        <scheme val="minor"/>
      </rPr>
      <t>O-N (Kg)</t>
    </r>
  </si>
  <si>
    <t>Total N i gødning  (Kg)</t>
  </si>
  <si>
    <t>Kode stald + dyr</t>
  </si>
  <si>
    <t>Fordeling af staldtyper</t>
  </si>
  <si>
    <t>Staldkode</t>
  </si>
  <si>
    <t>Dyrekode</t>
  </si>
  <si>
    <t>Indirekte udledning</t>
  </si>
  <si>
    <t>Direkte udledning</t>
  </si>
  <si>
    <t>Bilag 3 - Lattergasudslip (N2O) fra stald og lager</t>
  </si>
  <si>
    <t>-</t>
  </si>
  <si>
    <t>Sukkerroer til fabrik, Foderroer og andre rodfrugter</t>
  </si>
  <si>
    <t>MR-Brak langs vandløb og søer</t>
  </si>
  <si>
    <t>MR-Braklagte arealer</t>
  </si>
  <si>
    <t>MR-Etablering af flerårige energiafgrøder</t>
  </si>
  <si>
    <t>MR-Målrettede efterafgrøder</t>
  </si>
  <si>
    <t>MR-Tidlig såning af visse vinterafgrøder</t>
  </si>
  <si>
    <t>MR-Udlægning af mellemafgrøder</t>
  </si>
  <si>
    <t>Region Nordjylland</t>
  </si>
  <si>
    <t>2022</t>
  </si>
  <si>
    <t>2022K1</t>
  </si>
  <si>
    <t>Havre, blandsæd og andet korn</t>
  </si>
  <si>
    <t>Værk XX</t>
  </si>
  <si>
    <t>DCA rapport nr. 116, marts 2018. Tabel A1.1</t>
  </si>
  <si>
    <t>GFLI</t>
  </si>
  <si>
    <t>Pea, at farm/SE Economic S</t>
  </si>
  <si>
    <t>Ærter bør opbevares tørt, og er lagerfast ved 86 pct. tørstof. 
Ved transport af ærter med elevatorer bør ifyldningsmængden reguleres, for at undgå overbelastning som følge af ærters høje volumenvægt. Transport af fugtige ærter bør foretages med kæderedler og elevator fremfor med sneglerende, kornsnegl og flexsnegl.
Valsning og rivning af ærter kræver forknuser på udstyret.</t>
  </si>
  <si>
    <t>Store mængder ærter i foder til grise i vækst betyder ofte en lind gødning (tjæreagtig diarré) hos grisene, med øget svineri i stierne til følge. Flere forsøg har vist, at grise ikke havde ringere tilvækst, selvom de havde lind gødning. Der er ikke problemer med at bruge ærter i foder til søer. 
Der er ingen entydig forklaring på, hvorfor grise får en lind gødning og evt. tjæreagtig diarré med efterfølgende svineri i stien. Hvis der er store problemer med svineri, skal indholdet af ærter i foderet reduceres.
Brug kun hvidblomstrende sorter i foder til svin, idet de har lavt indhold af tanniner og glukosider. Brug af ærter i foder med højt indhold af tanniner eller glukosider betyder en lavere daglig foderoptagelse og et højere foderforbrug.
Ærter og rapsskrå og -kage supplerer hinanden godt med hensyn til indhold af aminosyrer.</t>
  </si>
  <si>
    <t xml:space="preserve"> Ærter er frø af bælgplanten ært (Pisum sativum) og dyrkes i såval Danmark som udlandet.
Der kan være stor forskel mellem sorterne i næringsindhold. Ærter har generelt lavt indhold af aminosyren methionin. Brug kun hvidblomstrende sorter (kogeærter) i foder til svin, idet disse har lavt indhold af tanniner, glukosider og andre væksthæmmende stoffer.
Ud fra forsøg og generel erfaring vurderes, at ærter kan bruges i henhold til følgende kilder: [59], [69], [70], [71], [72], [73], [74], [75], [76], [77], [78], [79], [80], [81]. 
Indholdet af opløselige og uopløselige fibre er beregnet, se versionsbeskrivelsen for 3. juni 2016</t>
  </si>
  <si>
    <t>3.11.1</t>
  </si>
  <si>
    <t>ÆRTER</t>
  </si>
  <si>
    <t>DCA rapport nr. 116, marts 2018. Tabel 17a</t>
  </si>
  <si>
    <t>Total minerals, additives, vitamins, at plant/RER Economic S</t>
  </si>
  <si>
    <t>ZINKOXID 1%-opløsning</t>
  </si>
  <si>
    <t xml:space="preserve">Deklareret indhold: 5.000 FXU pr. gram. Firmaets anbefalede dosering til smågrise og slagtesvin: 100 - 400 FXU pr. kg foder.
</t>
  </si>
  <si>
    <t>XYLANASE Ronozyme WX (CT)</t>
  </si>
  <si>
    <t xml:space="preserve">Deklareret indhold: 8.000 U (enheder) pr. gram. Firmaets anbefalede dosering til smågrise: Minimum 4.000 U pr. kg foder og slagtesvin: Minimum 1.000 U pr. kg foder.
</t>
  </si>
  <si>
    <t>XYLANASE Porzyme 9302</t>
  </si>
  <si>
    <t xml:space="preserve">Deklareret indhold:  160.000 BXU pr. gram. Firmaets anbefalede dosering til smågrise og slagtesvin: Minimum 24.000 BXU pr. kg foder.
</t>
  </si>
  <si>
    <t>XYLANASE Econase XT 25</t>
  </si>
  <si>
    <t xml:space="preserve">Deklareret indhold: 8.000 U (enheder) pr. gram. Firmaets anbefalede dosering til smågrise og slagtesvin: Minimum 2.000 U pr. kg foder.
</t>
  </si>
  <si>
    <t>XYLANASE Danisco 8000 G</t>
  </si>
  <si>
    <t>VitaLys Dry i vådfoder FK=75 %</t>
  </si>
  <si>
    <t>VitaLys Dry i vådfoder FK=50 %</t>
  </si>
  <si>
    <t>VitaLys Dry (65%)</t>
  </si>
  <si>
    <t>Default</t>
  </si>
  <si>
    <t>Ja</t>
  </si>
  <si>
    <t>Frø af Vicia sativa L. og andre arter</t>
  </si>
  <si>
    <t>3.12.1</t>
  </si>
  <si>
    <t>VIKKER (Obs.: Gamle data)</t>
  </si>
  <si>
    <t>Guesstimat:Samme som Sojaskrå-udefor EU</t>
  </si>
  <si>
    <t>Crude soybean oil, from crushing (solvent), at plant/AR75%,BR25%</t>
  </si>
  <si>
    <t xml:space="preserve">Læs udførlig beskrivelse vedr. foderfedt og fedtkvalitet her:
http://vsp.lf.dk/Viden/Foder/Raavarer/Foder_raavareliste/Foderfedt_fedtkvalitet.aspx?full=1 
(Klik på referencenr. 172 i fanen [Liste over referencer] )
</t>
  </si>
  <si>
    <t>2.20.1</t>
  </si>
  <si>
    <t>VEGETABILSK OLIE OG FEDTSTOF, Soja</t>
  </si>
  <si>
    <t>Tildelt gns. af alle transporttillæg</t>
  </si>
  <si>
    <t>Crude rapeseed oil, from crushing (solvent), at plant/DK Economic S</t>
  </si>
  <si>
    <t>VEGETABILSK OLIE OG FEDTSTOF, Raps</t>
  </si>
  <si>
    <t>DCA rapport nr. 116, marts 2018. Tabel A1.4</t>
  </si>
  <si>
    <t>Fatty acid distillates (palm oil production)/RER Economic S</t>
  </si>
  <si>
    <t>VEGETABILSK OLIE OG FEDTSTOF, Palme</t>
  </si>
  <si>
    <t>Guesstimat:Samme som palmeolie</t>
  </si>
  <si>
    <t>Crude coconut oil, from crushing, at plant/GLO Economic S</t>
  </si>
  <si>
    <t xml:space="preserve">   </t>
  </si>
  <si>
    <t>VEGETABILSK OLIE OG FEDTSTOF, Kokos</t>
  </si>
  <si>
    <t xml:space="preserve">Anbefales opbevaret i lukket isoleret tank med så lille overflade som mulig. Kontakt med ilt kan medføre forringelse af varen. 
Tank bør være udstyret med opvarmning, så en opbevaringstemperatur på 50 - 60 grader celsius kan opnås og bevares.
</t>
  </si>
  <si>
    <t>Dette foderstof anvendes fortrinsvis som koncentreret energikilde i hjemmeblandet foder til husdyr, herunder f.eks. svin og indgår som en del af det daglige foder til husdyr. Det kan ikke anbefales alene at fodre husdyr med dette foderstof.
Læs udførlig beskrivelse vedr. foderfedt og fedtkvalitet her:
http://vsp.lf.dk/Viden/Foder/Raavarer/Foder_raavareliste/Foderfedt_fedtkvalitet.aspx?full=1 
(Klik på referencenr. 172 i fanen [Liste over referencer] )</t>
  </si>
  <si>
    <t>(Reference: Kommissionens Forordning (EU) Nr. 767/2009 og Kommissionens Forordning (EU) Nr. 68/2013):
Tilskudsfoderblanding til husdyr bestående af vegetabilsk olie og fedtstof palme (nr. 2.20.1) og fedtsyredestillater fra fysisk raffinering palme (13.6.5) som er underkastet fuld sporbarhed og overvågning jfr. Kommissionens Forordning (EU) nr. 225/2012.
Læs udførlig beskrivelse vedr. foderfedt og fedtkvalitet her:
http://vsp.lf.dk/Viden/Foder/Raavarer/Foder_raavareliste/Foderfedt_fedtkvalitet.aspx?full=1 
(Klik på referencenr. 172 i fanen [Liste over referencer] )</t>
  </si>
  <si>
    <t>VEG.FEDT. 65 % palmeolie og 35 % PFAD (Foderblanding)</t>
  </si>
  <si>
    <t>VEG.FEDT. 50 % palmeolie og 50 % PFAD (Foderblanding)</t>
  </si>
  <si>
    <t>VAND</t>
  </si>
  <si>
    <t>Whey powder, from drying, at plant/RER Economic S</t>
  </si>
  <si>
    <t>Vallepulver suger let fugt, og skal derfor opbevares tørt. Produktet er holdbart i 12 måneder i rene og tørre omgivelser.
Der er ingen problemer ved håndtering og transport af vallepulver, hvilket dog ofte sker i form af sækkevare</t>
  </si>
  <si>
    <t>Vallepulver har en høj fordøjelighed og er derfor velegnet i somælkserstatninger og i foder til tidligt fravænnede grise. 
En kendt og god kvalitet vallepulver giver ingen problemer.</t>
  </si>
  <si>
    <t>Vallepulver (vallegranulat) fremstilles ud fra valle, der er et biprodukt fra fremstilling af ost, kvark, kasein eller lignende. Produktionen af vallepulver er baseret på inddampning og tørring.
Der opnås forskellige valletyper afhængig af, hvorfra biproduktet stammer samt de anvendte metoder i fremstillingen. 
Sød vallepulver opnås, såfremt valle koaguleres med proteolytiske enzymer, såsom chymosin og pepsin. Sød vallepulver består af ca. 95 procent tørstof og indeholder 70-72 procent lactose. Produktet har desuden et højt indhold af protein og mineralstoffer.
I vallepulver af højere kvalitet indgår en krystallisation af laktose. Krystallisationen giver et lavere vandindhold i det færdige produkt og modvirker på den måde, at produktet klumper sammen.
Vallepulver fremstilles primært med henblik på tilsætning i mælkeerstatninger, men produceres også med henblik på tilsætning i svinefoderblandinger.
Det maksimale indhold af vallepulver i foder kan ses i oversigten Maksimalt indhold af råvarer i foder.</t>
  </si>
  <si>
    <t>8.17.1</t>
  </si>
  <si>
    <t>VALLEPULVER, SØD</t>
  </si>
  <si>
    <t>Vallepulver (vallegranulat) fremstilles ud fra valle, der er et biprodukt fra fremstilling af ost, kvark, kasein eller lignende. Produktionen af vallepulver er baseret på inddampning og tørring.
Der opnås forskellige valletyper afhængig af, hvorfra biproduktet stammer samt de anvendte metoder i fremstillingen. 
Sød vallepulver opnås, såfremt valle koaguleres med proteolytiske enzymer, såsom chymosin og pepsin. Sød vallepulver består af ca. 95 procent tørstof og indeholder 70-72 procent lactose. Produktet har desuden et højt indhold af protein og mineralstoffer.
I vallepulver af højere kvalitet indgår en krystallisation af laktose. Krystallisationen giver et lavere vandindhold i det færdige produkt og modvirker på den måde, at produktet klumper sammen.
Vallepulver fremstilles primært med henblik på tilsætning i mælkeerstatninger, men produceres også med henblik på tilsætning i svinefoderblandinger.
Det maksimale indhold af vallepulver i foder kan ses i oversigten Maksimalt indhold af råvarer i foder.</t>
  </si>
  <si>
    <t>VALLEPULVER, SUR</t>
  </si>
  <si>
    <t>Valle</t>
  </si>
  <si>
    <t>008-0025</t>
  </si>
  <si>
    <t>Liquid whey, from cheese production, at plant/RER Economic S</t>
  </si>
  <si>
    <t xml:space="preserve">Valle og beriget permeat er flydende og bør opbevares i tanke af rustfrit stål eller glasfiber. Murede eller støbte tanke skal overfladebehandles med epoxy eller lignende. 
Hvis pH-værdien i valle ligger i intervallet 4,0-4,5 ved levering, kan valle holde sig i op til 3 døgn. Er pH-værdien i valle under 4,0, er der risiko for nedsat ædelyst hos grisene. Er pH-værdien i valle over 5,0, reduceres holdbarheden. 
Det anbefales at justere pH-værdien ved tilsætning af fx 2 l myresyre pr. 1.000 l valle (doseringen skal tilpasses valles pH-værdi), da denne syre er mere konserverende ved samme pH-værdi end fx saltsyre. De fleste mejerier tilsætter myresyre inden levering til landmanden.
Vær opmærksom på leveringsmønstret for valle. Hvis der fx leveres valle 3 gange om ugen betyder det, at vallen skal bruges over henholdsvis 2, 2 og 3 dage. Det medfører typisk risiko for, at vallen er brugt op på 3. dagen og det gør, at foderets smag ændres, hvilket kan reducere foderoptagelsen. Det anbefales at tilstræbe et fast antal dage mellem leveringerne eller at forbruge vallen, så foderet indeholder samme mængde valle hver dag.
Tanke til valle og beriget permeat bør skylles én gang om ugen.
 Eventuel grundigere rengøring kan foretages med varmt vand (min. 50 °C) og rengøringsmiddel, fx natriumhydroxid. Rengøring lettes, hvis der er 2 tanke, som tømmes på skift.
</t>
  </si>
  <si>
    <t xml:space="preserve">I nogle typer valle er variationen i indholdet af mineraler (specielt natrium, fosfor og calcium) stor, og det kan derfor være nødvendigt at hæve indholdet af disse mineraler i optimeringen med fx 0,5 gram pr. foderenhed. For at undgå underforsyning med aminosyrer anbefales det at hæve normen for fordøjelige aminosyrer med 2 procent, når valle udgør mere end 10 procent af foderenhederne og 4 procent, når valle udgør mere end 20 procent af foderenhederne i en blanding. Dermed tages der højde for den variation, der trods alt er i valle leveret fra samme mejeri.
Perlac 7 fra kaseinproduktion har specielt et højt indhold af klorid. Det er vigtigt at vide, om man modtager en sådan type valle, så det øvrige foder kan optimeres i forhold hertil, så der ikke bliver et skævt indhold af elektrolytter. Det er vigtigt, at grisene altid har fri adgang til vand, så et eventuelt overskud af mineraler kan udskilles. Samtidig brug af store mængder valle og melasse bør undgås af hensyn til indhold af elektrolytter - jf afsnit om elektrolytbalance: http://vsp.lf.dk under Viden, Foder, Naeringsstoffer, Mineraler, Elektrolytter/elektrolytbalance
</t>
  </si>
  <si>
    <t>Som biprodukt fra produktion af ost, kvark, kasein eller lignende hos Arla fås Perlac 5,5 (tidligere valle, kategori A) eller Perlac 7 (tidligere valle, kategori B, beriget permeat). Fra andre producenter hedder dette biprodukt dog stadig valle og beriget permeat.
Perlac 7 er restproduktet fra forarbejdning af Perlac 5,5. Ved denne videre forarbejdning udvindes valleproteinkoncentrat ved hjælp af ultrafiltrering, og proteinindholdet i Perlac 7 er derfor lavere end i Perlac 5,5. Udover det lavere indhold af protein, er proteinets sammensætning og fordøjelighed også ændret, da det kun er visse proteiner, der fjernes. Indholdet af tørstof i Perlac 7 er opkoncentreret til 7 procent (± 5 pct.). Tørstoffet består af ca. 81 procent laktose, protein samt mineraler.
Da indholdet af protein og mineraler som nævnt varierer meget mellem de forskellige typer valle og mejerier, er det vigtigt at vide, hvorfra vallen leveres og også at anvende de korrekte og aktuelle analysetal ved optimering af foderet. Det anbefales at anvende nærværende tabelværdier ved optimering af foderet. Nærværende tabelværdier for tørstof, protein, fedt, calcium, fosfor, natrium, klorid, kalium og magnesium ajourføres ca. en gang årligt ud fra analyseresultater fra Arla, men værdierne for de øvrige mineraler er baseret på et sparsomt grundlag og stammer fra 1992 [118] samt fra Norfor [180]. Aminosyreværdierne (i procent af råprotein) stammer fra 2002 [108] og er baseret på kun én analyse for A-valle og én for B-valle.
Vi har fra december 2017 valgt at opdele valle fra de forskellige mejerier efter gennemsnitligt proteinindhold i tre grupper i denne fodermiddeltabel: Høj- Middel- og Lavproteinvalle. Typisk hører de hidtidige kategori A-valletyper til i enten Høj- eller Middelprotein-grupperne. Hoco Perlac 14 skiller sig  ved kun at have halv fosforkoncentration i forhold til de øvrige.
Valle produceres på ostemejerier i Danmark. Ud fra forsøg og praktisk erfaring vurderes det, at valle kan bruges i henhold til følgende kilder: [1], [114], [115], [116], [117], [118], [119], [120].</t>
  </si>
  <si>
    <t>VALLE, 4. LAVT PROTEIN- OG FOSFORINDHOLD, Perlac 14, Hoco, aug. 2021</t>
  </si>
  <si>
    <t>VALLE, 3. Tistrup, aug. 2021, Lavt proteinindhold</t>
  </si>
  <si>
    <t>VALLE, 3. Slagelse, aug. 2021, Lavt proteinindhold</t>
  </si>
  <si>
    <t>VALLE, 3. Korsvej, aug. 2021, Lavt proteinindhold</t>
  </si>
  <si>
    <t>VALLE, 3. Hobro, aug. 2021, Lavt proteinindhold</t>
  </si>
  <si>
    <t>VALLE, 3. Gjesing,aug. 2021, Lavt proteinindhold</t>
  </si>
  <si>
    <t>VALLE, 3. Bislev, aug. 2021, Lavt proteinindhold</t>
  </si>
  <si>
    <t>VALLE, 3.  LAVT PROTEININDHOLD, gns.</t>
  </si>
  <si>
    <t>VALLE, 2. Troldhede, aug. 2021, Middel proteinindhold</t>
  </si>
  <si>
    <t>VALLE, 2. Taulov, aug. 2021, Middel proteinindhold</t>
  </si>
  <si>
    <t>VALLE, 2. Hoco Perlac 7, aug. 2021, Middel proteinindhold</t>
  </si>
  <si>
    <t>VALLE, 2. Branderup, aug. 2021, Middel proteinindhold</t>
  </si>
  <si>
    <t>VALLE, 2.  MIDDEL PROTEININDHOLD, gns.</t>
  </si>
  <si>
    <t>VALLE, 1. Rødkærsbro, aug. 2021, Højproteinvalle</t>
  </si>
  <si>
    <t>VALLE, 1. Kruså, aug. 2021, Højproteinvalle</t>
  </si>
  <si>
    <t>VALLE, 1. Høgelund, aug. 2021, Højproteinvalle</t>
  </si>
  <si>
    <t>VALLE, 1.  HØJT PROTEININDHOLD, gns.</t>
  </si>
  <si>
    <t>VALIN, L 96,5 %</t>
  </si>
  <si>
    <t>Tørgær opbevares tørt. 
Tørgær leveres ofte som sækkevare.</t>
  </si>
  <si>
    <t xml:space="preserve">Afhængig af oprindelse varierer indholdet af næringsstoffer og mineraler i tørgær. Ved brug af tørgær i foder til grise, er det vigtigt at kende produktets kemiske indhold af næringsstoffer. 
Brug af tørgær i foder til smågrise kan betyde øget frekvens af diarré [2]. Afhjælp dette ved at reducere indholdet af tørgær i foderet. </t>
  </si>
  <si>
    <t xml:space="preserve">Tørgær har et højt indhold af protein, men heraf udgør de ikke-livsnødvendige aminosyrer en stor andel af proteinet. Der er ofte stor variation i indhold af næringsstoffer, hvor især indholdet af mineraler varierer.
</t>
  </si>
  <si>
    <t>12.1.5</t>
  </si>
  <si>
    <t>TØRGÆR</t>
  </si>
  <si>
    <t>TYROSIN,L98,5</t>
  </si>
  <si>
    <t>TRYPTOFAN,L 98%</t>
  </si>
  <si>
    <t>TRYPTOFAN 40% (60%hv strømel)</t>
  </si>
  <si>
    <t>Triticale 2019</t>
  </si>
  <si>
    <t>001-0131</t>
  </si>
  <si>
    <t>Triticale, dried, at farm/SE Economic S</t>
  </si>
  <si>
    <t>Triticale opbevares tørt - triticale er lagerfast ved 86 procent tørstof.  Der er ingen problemer ved transport af triticale som løsvare.</t>
  </si>
  <si>
    <t>I forsøg med brug af triticale i foder til grise, ses der ikke de samme problemer som med brug af rug. Derfor tyder det på, at de sorter af triticale, der i næringsstofindhold ligger tæt på hvede, kan erstatte op til 100 procent af korndelen til alle kategorier af svin.
Triticale kan have indhold af meldrøje.
Der er ingen specielle problemer omkring triticale, der bør tages hensyn til.</t>
  </si>
  <si>
    <t>Tabelværdierne er dannet ved kopi af VSPs fodermiddelkode 56011 (gennemsnit af de seneste år i udgaven svarende til varmebehandlet foder tilsat xylanase), hvor eneste ændring er råproteinkoncentration med de afledte beregnede konsekvenser.
Triticale er frø fra dyrkede sorter af triticaleplanter, som er en krydsning mellem hvede og rug (Triticum × Secale hybrid). Triticale dyrkes i mindre omfang i Danmark.
Triticale har højere proteinværdi end hvede, men knap så høj som rug.
Der skelnes mellem varmebehandlet og ikke-varmebehandlet korn. Det skyldes, at der ved varmebehandling af korn (pelleteret foder) sker en nedbrydning af kornets naturlige indhold af fytase, og derfor skal der i korn, der indgår i pelleteret foder, regnes med en lavere fordøjelighed af fosfor end i ikke-varmebehandlet korn (hjemmeblandet foder).
Der er endvidere angivet kemisk indhold for korn tilsat det kulhydratspaltende enzym ”xylanase”. Det skyldes, at tilsætning af xylanase øger EFOSi-værdien og dermed kornets energiværdi. Læs mere om dette i afsnittet: Enzymer: kulhydratspaltende (xylanase).
Ud fra forsøg og generel erfaring vurderes, at triticale kan bruges i henhold til følgende kilder: [23], [24], [25], [20], [43].
Indholdet af opløselige og uopløselige fibre er beregnet, se versionsbeskrivelsen for 3. juni 2016</t>
  </si>
  <si>
    <t>1.10.1</t>
  </si>
  <si>
    <t>TRITICALE, 11,5 % råprotein, varmebehandlet + xylanase</t>
  </si>
  <si>
    <t>TRITICALE, 10,0 % råprotein, varmebehandlet + xylanase</t>
  </si>
  <si>
    <t>Triticale er frø fra dyrkede sorter af triticaleplanter, som er en krydsning mellem hvede og rug (Triticum × Secale hybrid). Triticale dyrkes i mindre omfang i Danmark.
Triticale har højere proteinværdi end hvede, men knap så høj som rug. 
Der skelnes mellem varmebehandlet og ikke-varmebehandlet korn. Det skyldes, at der ved varmebehandling af korn (pelleteret foder) sker en nedbrydning af kornets naturlige indhold af fytase, og derfor skal der i korn, der indgår i pelleteret foder, regnes med en lavere fordøjelighed af fosfor end i ikke-varmebehandlet korn (hjemmeblandet foder).
Der er endvidere angivet kemisk indhold for korn tilsat det kulhydratspaltende enzym ”xylanase”. Det skyldes, at tilsætning af xylanase øger EFOSi-værdien og dermed kornets energiværdi. Læs mere om dette i afsnittet: Enzymer: kulhydratspaltende (xylanase).
Ud fra forsøg og generel erfaring vurderes, at triticale kan bruges i henhold til følgende kilder: [23], [24], [25], [20], [43].
Indholdet af opløselige og uopløselige fibre er beregnet, se versionsbeskrivelsen for 3. juni 2016
"d.gr.": Tabelværdien for natrium er lig med detektionsgrænsen i det anvendte laboratorium. Det reele indhold  kan være lavere.</t>
  </si>
  <si>
    <t>TRITICALE,  2021, varmebehandlet +xylanase</t>
  </si>
  <si>
    <t>TRITICALE,  2021, varmebehandlet</t>
  </si>
  <si>
    <t>TRITICALE,  2021 +xylanase</t>
  </si>
  <si>
    <t>TRITICALE,  2021</t>
  </si>
  <si>
    <t>Triticale er frø fra dyrkede sorter af triticaleplanter, som er en krydsning mellem hvede og rug (Triticum × Secale hybrid). Triticale dyrkes i mindre omfang i Danmark.
Triticale har højere proteinværdi end hvede, men knap så høj som rug. 
Der skelnes mellem varmebehandlet og ikke-varmebehandlet korn. Det skyldes, at der ved varmebehandling af korn (pelleteret foder) sker en nedbrydning af kornets naturlige indhold af fytase, og derfor skal der i korn, der indgår i pelleteret foder, regnes med en lavere fordøjelighed af fosfor end i ikke-varmebehandlet korn (hjemmeblandet foder).
Der er endvidere angivet kemisk indhold for korn tilsat det kulhydratspaltende enzym ”xylanase”. Det skyldes, at tilsætning af xylanase øger EFOSi-værdien og dermed kornets energiværdi. Læs mere om dette i afsnittet: Enzymer: kulhydratspaltende (xylanase).
Ud fra forsøg og generel erfaring vurderes, at triticale kan bruges i henhold til følgende kilder: [23], [24], [25], [20], [43].
Indholdet af opløselige og uopløselige fibre er beregnet, se versionsbeskrivelsen for 3. juni 2016</t>
  </si>
  <si>
    <t>'18-'20</t>
  </si>
  <si>
    <t>'19-'21</t>
  </si>
  <si>
    <t>TRITICALE,   flerårigt gns, varmebehandlet + xylanase</t>
  </si>
  <si>
    <t>Triticale er frø fra dyrkede sorter af triticaleplanter, som er en krydsning mellem hvede og rug (Triticum × Secale hybrid). Triticale dyrkes i mindre omfang i Danmark.
Triticale har højere proteinværdi end hvede, men knap så høj som rug. 
Der skelnes mellem varmebehandlet og ikke-varmebehandlet korn. Det skyldes, at der ved varmebehandling af korn (pelleteret foder) sker en nedbrydning af kornets naturlige indhold af fytase, og derfor skal der i korn, der indgår i pelleteret foder, regnes med en lavere fordøjelighed af fosfor end i ikke-varmebehandlet korn (hjemmeblandet foder). 
Der er endvidere angivet kemisk indhold for korn tilsat det kulhydratspaltende enzym ”xylanase”. Det skyldes, at tilsætning af xylanase øger EFOSi-værdien og dermed kornets energiværdi. Læs mere om dette i afsnittet: Enzymer: kulhydratspaltende (xylanase).
Ud fra forsøg og generel erfaring vurderes, at triticale kan bruges i henhold til følgende kilder: [23], [24], [25], [20], [43].
Indholdet af opløselige og uopløselige fibre er beregnet, se versionsbeskrivelsen for 3. juni 2016</t>
  </si>
  <si>
    <t>TRITICALE,   flerårigt gns, varmebehandlet</t>
  </si>
  <si>
    <t>TRITICALE,   flerårigt gns + xylanase</t>
  </si>
  <si>
    <t>TRITICALE,   flerårigt gns</t>
  </si>
  <si>
    <t>TREONIN,L 98,5%</t>
  </si>
  <si>
    <t>TREONIN,L  Vådfoder FK=75%</t>
  </si>
  <si>
    <t>TREONIN 50%  (50%hv strømel)</t>
  </si>
  <si>
    <t>TREONIN 30% (70%hv strømel)</t>
  </si>
  <si>
    <t>Tørret tapioka er hårde knolde/flager, og råvaren er årsag til hård slid af transport- og formalingsudstyr. Under håndtering kan der forventes væsentlige støvgener. Tapioka er generelt vanskelig at håndtere.</t>
  </si>
  <si>
    <t>Tapioka kan indeholde glykosider, som ved hydrolyse frigør blåsyre, der er et uønsket stof med en maksimumgrænse på 50 ppm (se Lovgivning vedrørende foder). Det er dog sjældent et problem, idet det blåsyredannende enzym ødelægges, som følge af soltørring af tapioka. Der er derudover ikke eksempler på problemer omkring brug eller opbevaring af tapioka.</t>
  </si>
  <si>
    <t xml:space="preserve">Tapioka er vaskede, formalede og tørrede rodknolde af cassavaplanten (Manihot esculenta), og benævnes også ofte som cassava eller maniok. Tapioka dyrkes hovedsagelig i Thailand, Indonesien, Afrika og Brasilien.
Det varierende indhold af næringsstoffer er ofte den mest begrænsende faktor for brug af tapiokamel. 
Tapioka kan være forurenet med sand.
</t>
  </si>
  <si>
    <t>4.6.1</t>
  </si>
  <si>
    <t>TAPIOKA (Obs.: Gamle data)</t>
  </si>
  <si>
    <t>8.10.1</t>
  </si>
  <si>
    <t>SØDMÆLKSPULVER</t>
  </si>
  <si>
    <t>Sødmælk, stor race</t>
  </si>
  <si>
    <t>008-0021</t>
  </si>
  <si>
    <t>SØDMÆLK</t>
  </si>
  <si>
    <t>Std. 0,2 % Vitamin- og mineralforblanding, SØER</t>
  </si>
  <si>
    <t>Std. 0,2 % Vitamin- og mineralforblanding, DRÆGT. SØER</t>
  </si>
  <si>
    <t>Std. 0,2 % Vitamin- og mineralforblanding,  SL.SVIN</t>
  </si>
  <si>
    <t>Std. 0,2 % Vitamin- og mineralforblanding,   SMÅGRISE</t>
  </si>
  <si>
    <t>Std. 0,2 % Vitamin- og mineralforblanding,   FRAV. GRISE</t>
  </si>
  <si>
    <t>Beregnet ud fra GFLI-værdier</t>
  </si>
  <si>
    <t>Std.  Tilskudsfoderblanding, Drægtige søer</t>
  </si>
  <si>
    <t>Std.  Tilskudsfoderblanding, Diegivende søer</t>
  </si>
  <si>
    <t>Std.  Tilskudsfoderblanding,  Slagtesvin, 30-110 kg</t>
  </si>
  <si>
    <t>Std.  Tilskudsfoderblanding,   Smågrise, 9-30 kg</t>
  </si>
  <si>
    <t>Std.  Tilskudsfoderblanding,   Smågrise, 9-15 kg</t>
  </si>
  <si>
    <t>Std.  Tilskudsfoderblanding,   Smågrise, 6-9 kg</t>
  </si>
  <si>
    <t>Std.  Mineralsk foderblanding, Vådfoder, Drægtige søer</t>
  </si>
  <si>
    <t>Std.  Mineralsk foderblanding, Vådfoder, Diegivende søer</t>
  </si>
  <si>
    <t>Std.  Mineralsk foderblanding, Vådfoder,  Slagtesvin, 30-110 kg</t>
  </si>
  <si>
    <t>Std.  Mineralsk foderblanding, Drægtige søer</t>
  </si>
  <si>
    <t>Std.  Mineralsk foderblanding, Diegivende søer</t>
  </si>
  <si>
    <t>Std.  Mineralsk foderblanding,  Slagtesvin, 30-110 kg</t>
  </si>
  <si>
    <t>Std.  Mineralsk foderblanding,   Smågrise, 9-30 kg</t>
  </si>
  <si>
    <t>Std.  Mineralsk foderblanding,   Smågrise, 9-15 kg</t>
  </si>
  <si>
    <t>Std.  Koncentrat, Fravænnede grise, 6-9 kg</t>
  </si>
  <si>
    <t>Std.  Færdig foderblanding, SØER, DRÆGTIGE</t>
  </si>
  <si>
    <t>Std.  Færdig foderblanding, SØER, DIEGIVENDE</t>
  </si>
  <si>
    <t>Std.  Færdig foderblanding, 30-45 kg, UNGSVIN, 9,0 g F lysin/FEsv</t>
  </si>
  <si>
    <t>Std.  Færdig foderblanding, 30-115 kg, SLAGTESVIN, 8,4 g F lysin/FEsv</t>
  </si>
  <si>
    <t>Std.  Færdig foderblanding, 30-115 kg, SLAGTESVIN, 8,0 g F lysin/FEsv</t>
  </si>
  <si>
    <t>Std.  Færdig foderblanding, 30-115 kg, SLAGTESVIN, 7,7 g F lysin/FEsv</t>
  </si>
  <si>
    <t>Std.  Færdig foderblanding,  9-30 kg, SMÅGRISE</t>
  </si>
  <si>
    <t>Std.  Færdig foderblanding,  9-15 kg, SMÅGRISE</t>
  </si>
  <si>
    <t>Std.  Færdig foderblanding,  6-9 kg, FRAVÆNNEDE GRISE</t>
  </si>
  <si>
    <t>DCA rapport nr. 116, marts 2018. Tabel A1.2</t>
  </si>
  <si>
    <t>Rørmelasse</t>
  </si>
  <si>
    <t>007-0003</t>
  </si>
  <si>
    <t>Sugar cane molasses, from sugar production, at plant/GLO Economic S</t>
  </si>
  <si>
    <t>Melasse kan opbevares i uisoleret opbevaringstank 
Melasse skal pumpes og bør kun bruges i tørfoder i meget begrænset omfang. I tørblandeanlæg bør der maksimalt anvendes 3 procent, i diagonalblandere dog maksimalt 8 procent.
Melasse er flydende og transporteres i tankvogn. Læs mere i afsnittet Opbevaring og håndtering af flydende råvarer.</t>
  </si>
  <si>
    <t>Det høje indhold af kalium og natrium i melasse kan give problemer, hvis melasse udgør en stor andel af foderet til grise. Når foder har højt indhold af kalium og natrium øges grisenes vandbehov, idet grisene skal bruge vand for igen at udskille disse mineraler gennem nyrerne. Hvis grisene ikke har fri adgang til vand, således at de selv kan regulere vandoptagelsen, kan der opstå akut dødsfald [102]. Der skal derfor altid være fri adgang til vand. 
Melasse er et godt bindemiddel, og der bruges ofte 2-3 procent melasse i pelleteret foder for at styrke pillen og dermed reducere smuld i pelleteret foder.
Årsagen til akut dødsfald, som ofte er tegn på problemer, skyldes vandmangel som følge af, at grisene ikke kan udskille de høje koncentrationer af kalium og natrium i foderet. Det skal derfor altid sikres, at grisene har fri adgang til vand.
Melasse er en tung flydende masse, og der kræves derfor opbevaring i en tank, hvorfra det skal pumpes. Indholdet af vand i roemelasse skal være mindre end 30 procent, ellers er råvaren ikke lagerfast som følge af risiko for forgæring</t>
  </si>
  <si>
    <t>Sukkerrørsmelasse er et biprodukt bestående af det sirupsagtige restprodukt, der fremkommer ved fremstilling eller raffinering af sukker fra sukkerrør (Saccharum officinarum L.)
Ud fra forsøg og generel erfaring vurderes det, at melasse kan bruges i henhold til følgende kilder: [99], [100], [101], [102].</t>
  </si>
  <si>
    <t>7.6.1</t>
  </si>
  <si>
    <t>SUKKERRØRSMELASSE</t>
  </si>
  <si>
    <t>Sugar beet pulp, wet, from sugar production, at plant/RER Economic S</t>
  </si>
  <si>
    <t>Sukkerroeaffald opbevares i plansilo eller ensileringssække.
Sukkerroeaffald skal håndteres med en frontskovl. Sukkerroeaffald kan indgå med små mængder i vådfoder, men anbefales udfodret med blandevogn eller hængebanevogn.</t>
  </si>
  <si>
    <t>Sukkerroeaffald er et godt strukturfoder til løsgående drægtige søer. Fra nogle besætninger er der erfaring med, at brug af store mængder sukkerroeaffald i foder kan være årsag til øgede problemer med diarré. Årsagen til diarré er formentlig en skæv sammensætning af fiber i foderet, idet sukkerroeaffald har et højt indhold af de opløselige fibre. Reducer iblandingen af sukkerroeaffald i foderet eller brug andre foderstoffer i blandingen med et højt indhold af uopløselige fibre.</t>
  </si>
  <si>
    <t xml:space="preserve">Våde sukkerroesnitter er et biprodukt fra fremstilling af sukker ud fra ekstraheret sukkerroe (Beta vulgaris). Der dyrkes store arealer med sukkerroer i Danmark.
Våde sukkerroesnitter leveres i perioden oktober-december. Almindeligt med et tørstofindhold på ca. 12 procent.
Våde sukkerroesnitter må maksimalt indeholde 1 procent sukker. Våde sukkerroesnitter kan udfodres friskt eller det kan ensileres.
</t>
  </si>
  <si>
    <t>4.1.7</t>
  </si>
  <si>
    <t>SUKKERROESNITTER, våde, (sukkerroeaffald)</t>
  </si>
  <si>
    <t>Roepiller, melasseret</t>
  </si>
  <si>
    <t>004-0022</t>
  </si>
  <si>
    <t>Sugar beet pulp, dried, from pulp drying, at plant/RER Economic S</t>
  </si>
  <si>
    <t>Tørrede sukkerroesnitter er et tørret biprodukt fra fremstilling af sukker ud fra ekstraheret sukkerroe (Beta vulgaris).
Pulpetter er det danske handelsnavn for tørrede sukkerroesnitter, hvortil der ikke er tilsat melasse. Kosetter er det danske handelsnavn for tørrede sukkerrosnitter, hvortil der er tilsat ca. 35 procent melasse.
Der dyrkes store arealer med sukkerroer i Danmark. Roepiller fremstilles af Danisco Sugar. Der importeres dog betydelige mængder af roepiller fra bl.a. Kina, Tyskland og Ægypten. Tørrede sukkeroesnitter (umelasserede), må maksimalt indeholde 10 procent sukker. 
Indholdet af sukker i melasserede, tørrede sukkerroesnitter er typisk ca. 20 procent, og det er noget højere end i tørrede sukkerroesnitter uden melasse som følge af den iblandede melasse. 
I Danmark sælges der også importerede tørrede sukkerroesntter, som ofte har en stor variation i indhold af aske og sukker sammenlignet med danske varer. Der ses ofte et indhold af 10-15 procent melasse i varer, som sælges som umelasserede.
Indholdet af opløselige og uopløselige fibre er beregnet, se versionsbeskrivelsen for 3. juni 2016</t>
  </si>
  <si>
    <t>4.1.11</t>
  </si>
  <si>
    <t>SUKKERROESNITTER, tørrede, tilsalt melasse (Kosetter)</t>
  </si>
  <si>
    <t>Roepiller, letmelasseret</t>
  </si>
  <si>
    <t>004-0021</t>
  </si>
  <si>
    <t>SUKKERROESNITTER, tørrede, letmelasserede</t>
  </si>
  <si>
    <t>Roepiller, umelasseret</t>
  </si>
  <si>
    <t>004-0020</t>
  </si>
  <si>
    <t>16-'19</t>
  </si>
  <si>
    <t>4.1.10</t>
  </si>
  <si>
    <t>SUKKERROESNITTER, tørrede, (Roepiller) pulpetter</t>
  </si>
  <si>
    <t>Roemelasse</t>
  </si>
  <si>
    <t>004-0023</t>
  </si>
  <si>
    <t>Sugar beet molasses, from sugar production, at plant/DE Economic S</t>
  </si>
  <si>
    <t>Roemelasse kan opbevares i uisoleret opbevaringstank.
Melasse skal pumpes og bør kun bruges i tørfoder i meget begrænset omfang. I tørblandeanlæg bør der maksimalt anvendes 3 procent, i diagonalblandere dog maksimalt 8 procent.
Roemelasse er flydende og transporteres i tankvogn. Læs mere i afsnittet Opbevaring og håndtering af flydende råvarer.</t>
  </si>
  <si>
    <t xml:space="preserve">Det høje indhold af kalium og natrium i roemelasse kan give problemer, hvis roemelasse udgør en stor andel af foderet til grise. Når foder har højt indhold af kalium og natrium øges grisenes vandbehov, idet grisene skal bruge vand for igen at udskille disse mineraler gennem nyrerne. Hvis grisene ikke har fri adgang til vand, således at de selv kan regulere vandoptagelsen, kan der opstå akut dødsfald [102]. Der skal derfor altid være fri adgang til vand. 
Roemelasse er et godt bindemiddel, og der bruges ofte 2-3 procent melasse i pelleteret foder for at styrke pillen og dermed reducere smuld i pelleteret foder.
Årsagen til akut dødsfald, som ofte er tegn på problemer, skyldes vandmangel som følge af, at grisene ikke kan udskille de høje koncentrationer af kalium og natrium i foderet. Det skal derfor altid sikres, at grisene har fri adgang til vand.
Roemelasse er en tung flydende masse, og der kræves derfor opbevaring i en tank, hvorfra det skal pumpes. Indholdet af vand i roemelasse skal være mindre end 30 procent, ellers er råvaren ikke lagerfast som følge af risiko for forgæring. </t>
  </si>
  <si>
    <t>Roemelasse er et sirupsagtig biprodukt fra fremstilling af sukker ud fra sukkerroe (Beta vulgaris).
Roemelasse har et meget højt indhold af kalium og natrium.
Der dyrkes store arealer med sukkerroer i Danmark. Roemelasse fremstilles af Danisco Sugar. Der importeres dog betydelige mængder af roemelasse fra Tyskland, Polen, de baltiske lande og Rusland.
Ud fra forsøg og generel erfaring vurderes det, at melasse kan bruges i henhold til følgende kilder: [99], [100], [101], [102].
Indholdet af opløselige og uopløselige fibre er beregnet, se versionsbeskrivelsen for 3. juni 2016</t>
  </si>
  <si>
    <t>4.1.4</t>
  </si>
  <si>
    <t>SUKKERROEMELASSE</t>
  </si>
  <si>
    <t>DCA rapport nr. 116, marts 2018. Tabel A1.3</t>
  </si>
  <si>
    <t>Solsikkeskråfoder delv. afskallet 30 % NDF</t>
  </si>
  <si>
    <t>002-0069</t>
  </si>
  <si>
    <t>Sunflower seed meal, from crushing (solvent), at plant/UA Economic S</t>
  </si>
  <si>
    <t>Solsikkeskråfoder bør ikke transporteres med flexsnegle. Ved transport med almindelige kornsnegle bør sneglevindingerne ved indløbet fræses ned. Formaling sker bedst i valser med ens periferihastighed. Ved formaling i hammermølle må stor slitage påregnes. Ved ifyldning i vådfoderblandekar opsuger solsikkeskrå en del vand og fylder dermed mere.</t>
  </si>
  <si>
    <t xml:space="preserve">Produkter af solsikke har ofte et forholdsvis højt indhold af cadmium, dog sjældent højere end den tilladte størsteværdi. Ifølge bekendtgørelsen [1], må der maksimalt være 1 mg cadmium pr. kg råvare og maksimalt 0,5 mg cadmium pr. kg fuldfoderblanding. 
Der er ikke problemer med brug af solsikkeskråfoder, afskallet, i foder til slagtesvin og søer, når der tages højde for det varierende indhold af næringsstoffer i skråen.
Der er stor risiko for indhold af Salmonella i solsikkeskråfoder. Derudover har solsikkeskråfoder ikke givet årsag til problemer.
Solsikkeskråfoder opbevares tørt.
</t>
  </si>
  <si>
    <t xml:space="preserve">Solsikkeskrå, delvis afskallet, er et biprodukt fra olieudvinding ved ekstraktion af olien fra solsikkefrø fra solsikkeplanten (Helianthus annuus). Solsikkeplanten dyrkes hovedsagelig i USA, Argentina og i de europæiske lande.
Solsikkeskråfoder,  afskallet, har nr. 2.19.7 i  Forordning om fortegnelsen over fodermidler. EU kommissionens Forordning nr. 68/2013
Solsikkeskråfoder til svinefoder skal være helt eller delvist afskallet. 
Indholdet af opløselige og uopløselige fibre er beregnet, se versionsbeskrivelsen for 3. juni 2016
</t>
  </si>
  <si>
    <t>2.19.7</t>
  </si>
  <si>
    <t>SOLSIKKESKRÅFODER, afskallet 22 % træstof (Gl. data)</t>
  </si>
  <si>
    <t>Solsikkeskråfoder delv. afskallet 25% NDF</t>
  </si>
  <si>
    <t>002-0070</t>
  </si>
  <si>
    <t>Solsikkeskrå, delvis afskallet, er et biprodukt fra olieudvinding ved ekstraktion af olien fra solsikkefrø fra solsikkeplanten (Helianthus annuus). Solsikkeplanten dyrkes hovedsagelig i USA, Argentina og i de europæiske lande.
Solsikkeskråfoder til svinefoder skal være helt eller delvist afskallet. 
Ud fra forsøg og generel erfaring vurderes, at solsikkeskråfoder, afskallet, kan bruges i henhold til følgende kilder: [67], [68].
Indholdet af opløselige og uopløselige fibre er beregnet, se versionsbeskrivelsen for 3. juni 2016</t>
  </si>
  <si>
    <t>SOLSIKKESKRÅFODER, afskallet 14 % træstof (Gl. data)</t>
  </si>
  <si>
    <t>SOLSIKKESKRÅFODER,  afskallet</t>
  </si>
  <si>
    <t>Sunflower seed expelled dehulled, from crushing (pressing), at plant/UA Economic S</t>
  </si>
  <si>
    <t>Solsikke kage er et biprodukt fra olieudvinding fra solsikkefrø, men i modsætning til skrå er olien presset og ikke ekstraheret.
Indholdet af opløselige og uopløselige fibre er beregnet, se versionsbeskrivelsen for 3. juni 2016</t>
  </si>
  <si>
    <t>2.19.2</t>
  </si>
  <si>
    <t>SOLSIKKEKAGE, 15 % træstof (Obs.: Gamle data)</t>
  </si>
  <si>
    <t>SOLSIKKEKAGE,  19 % træstof</t>
  </si>
  <si>
    <t>Soybean meal, from crushing (solvent), at plant/AR75%,BR25%</t>
  </si>
  <si>
    <t>Sojaskråfoder opbevares tørt.
Sojaskråfoder bør renses for urenheder inden formaling. Nogle kvaliteter (argentinsk) kan være kraftigt slidende på formalingsudstyret.
Der er ingen problemer ved transport af sojaskråfoder som løsvare.</t>
  </si>
  <si>
    <t>Sojabønner indeholder stoffer, der hæmmer virkningen af trypsin, hvilket er et af de enzymer, der nedbryder protein. Disse væksthæmmende stoffer ødelægges dog ved toastning.
Der er risiko for indhold af Salmonella i sojaskrå. 
En årsag til problemer med sojaskråfoder kan være, at protein i sojaskråfoder ikke udnyttes som forventet. Synlige tegn på problemer i stalden er, at slagtesvin i en periode har lav tilvækst samtidig med et højt foderforbrug og faldende kødprocent. Som afhjælpning kan sojaskrå evt. varmebehandles</t>
  </si>
  <si>
    <t>Sojaskråfoder, toasted, er et biprodukt fra olieudvinding ved ekstraktion af olien fra valsede sojabønner fra sojaplanten (Glycine max.). Bønnen dyrkes hovedsagelig i USA, Brasilien og Kina.
Danmark importerer sojaskrå, som fortrinsvis forarbejdes i Tyskland, Norge og Argentina.
Sojaskråfoder har god proteinkvalitet, men indholdet af råprotein varierer fra parti til parti. 
Ud fra forsøg og generel erfaring vurderes, at sojaskrå, toasted, kan bruges i henhold til følgende kilder: [47], [48], [4], [64], [65], [26], [58], [66].
Indholdet af opløselige og uopløselige fibre er beregnet, se versionsbeskrivelsen for 3. juni 2016</t>
  </si>
  <si>
    <t>2.18.13</t>
  </si>
  <si>
    <t>SOJASKRÅFODER, toastet</t>
  </si>
  <si>
    <t>Soybean protein concentrate, from crushing (solvent, for protein concentrate), at plant/BR</t>
  </si>
  <si>
    <t>Produktet bør opbevares tørt.
Der er ingen problemer ved håndtering og transport af produktet, hvilket dog ofte sker i form af sækkevarer.</t>
  </si>
  <si>
    <t xml:space="preserve">Sojabønner indeholder stoffer, der hæmmer virkningen af trypsin, hvilket er et af de enzymer, der nedbryder protein. Disse væksthæmmende stoffer ødelægges dog ved toastning.
</t>
  </si>
  <si>
    <t>Produkt af sojabønne. Produktet er opvarmet under tryk (og fugt), og derefter
tørret. Der kan være tilsat forskellige enzymer efter ekstrudering.
Sojabønnen dyrkes hovedsagelig i USA, Brasilien og Kina.
Denne produkttype har i forhold til afskallet sojaskråfoder et højere proteinindhold og et lavere indhold af anti-nutritionelle forbindelser (ANF’er), fx trypsininhibitorer, og kan derfor være egnet i foder til fravænnede grise. Generelt er der meget divergerende resultater i forsøg, hvor effekterne af ANF’er vurderes. Der kan således ikke uddrages generelle konklusioner på effekten af ANF’er i sojaproteinprodukter [174].
Et fordøjelighedsforsøg med smågrise har dannet baggrund for opdatering af fodermiddeltabellen med protein- og aminosyrefordøjeligheder [175]. Som følge af ændringen af proteinfordøjeligheden i "Sojaskråfoder, afskallet, toastet" i november 2016 fra 88 til 89,5 procent har proteinfodermidler til smågrise, der fik ændret proteinfordøjelighed med baggrund i førnævnte forsøg [175], fået et tillæg på 1,5 procentenheder proteinfordøjelighed for at bevare balancen mellem disse og "Sojaskråfoder, afskallet, toastet".
Indholdet af opløselige og uopløselige fibre er beregnet, se versionsbeskrivelsen for 3. juni 2016</t>
  </si>
  <si>
    <t>2.18.14</t>
  </si>
  <si>
    <t>SOJASKRÅFODER, afskallet toastet ekstruderet, ProviSoy</t>
  </si>
  <si>
    <t>11 &amp; 13</t>
  </si>
  <si>
    <t>SOJASKRÅFODER, afskallet toastet ekstruderet, AlphaSoy® 530</t>
  </si>
  <si>
    <t>SOJASKRÅFODER, afskallet toastet ekstruderet, AGB-Soya</t>
  </si>
  <si>
    <t>Sojaskråfoder opbevares tørt. Der er ingen problemer ved transport af sojaskråfoder som løsvare.</t>
  </si>
  <si>
    <t>Afskallet sojaskråfodere et biprodukt fra olieudvinding ved ekstraktion af afskallede sojabønner og efterfølgende passende varmebehandling. Bønnen dyrkes hovedsagelig i USA, Brasilien og Kina.
Der gælder følgende for afskallet sojaskråfoder (toasted): Der må maksimalt være et indhold af træstof på 8 procent i tørstof og maksimalt en ureaseaktivitet på 0,5 mg N/g × min [1].
Danmark importerer sojaskråfoder, som fortrinsvis forarbejdes i Tyskland, Norge og Argentina.
Afskallet sojaskråfoder vurderes at være en god proteinkilde til svin. Indholdet af næringsstoffer kan variere afhængig af, hvor meget sojabønner er afskallet. Værdierne for aminosyreindholdet i procent af råprotein er en sammenvejning af kvægfodermiddeltabellen fra 2005 [107], et fordøjelighedsforsøg i 2011 [173] og 36 analyser fra DLA-gruppen 2015-2017. Resultaterne fra et fordøjelighedsforsøg ved ungsvin med argentinsk og brassiliansk afskallet sojaskråfoder, sammenvejet med et fordøjelighedsforsøg med smågrise [175] og hidtidige tabelværdier [176], har dannet baggrund for opdatering af fodermiddeltabellen med protein- og aminosyrefordøjeligheder i november 2016.
Indholdet af opløselige og uopløselige fibre er beregnet, se versionsbeskrivelsen for 3. juni 2016</t>
  </si>
  <si>
    <t>'15-'17</t>
  </si>
  <si>
    <t>SOJASKRÅFODER,  afskallet toastet</t>
  </si>
  <si>
    <t>Sojaskaller</t>
  </si>
  <si>
    <t>002-0057</t>
  </si>
  <si>
    <t>Soybean hulls, from crushing (solvent), at plant/AR75%,BR25%</t>
  </si>
  <si>
    <t xml:space="preserve">
Indholdet af opløselige og uopløselige fibre er beregnet, se versionsbeskrivelsen for 3. juni 2016</t>
  </si>
  <si>
    <t>2.18.5</t>
  </si>
  <si>
    <t>SOJASKALLER</t>
  </si>
  <si>
    <t>Produktet bør opbevares tørt.
Der er ingen problemer ved håndtering og transport af sojaproteinkoncentrat, hvilket dog ofte sker i form af sækkevarer.</t>
  </si>
  <si>
    <t>Sojabønner indeholder stoffer, der hæmmer virkningen af trypsin, hvilket er et af de enzymer, der nedbryder protein. Disse væksthæmmende stoffer ødelægges dog ved toastning. Under fremstilling af sojaproteinkoncentratet ødelægges disse væksthæmmende stoffer, samtidig med at en del af antigenerne fjernes.
Derudover er der ikke eksempler på, at sojaproteinkoncentrat har været årsag til problemer.</t>
  </si>
  <si>
    <t xml:space="preserve">Sojaproteinkoncentrat er ekstraherede afskallede sojabønner fra sojaplanten (Glycine max.), som er fermenteret eller er ekstraheret anden gang for at reducere indholdet af kvælstoffri ekstrakt. Sojabønnen dyrkes hovedsagelig i USA, Brasilien og Kina.
Sojaproteinkoncentrat har god proteinkvalitet.
Denne produkttype har i forhold til afskallet sojaskråfoder et højere proteinindhold og et lavere indhold af anti-nutritionelle forbindelser (ANF’er), fx trypsininhibitorer, raffinose, stachyose, glycinin og betaconglycinin, og kan derfor være egnet i foder til fravænnede grise. Generelt er der meget divergerende resultater i forsøg, hvor effekterne af ANF’er vurderes. Der kan således ikke uddrages generelle konklusioner på effekten af ANF’er i sojaproteinprodukter [174].
Et fordøjelighedsforsøg med smågrise har dannet baggrund for opdatering af fodermiddeltabellen med protein- og aminosyrefordøjeligheder [175]. Som følge af ændringen af proteinfordøjeligheden i "Sojaskråfoder, afskallet, toastet" i november 2016 fra 88 til 89,5 procent har proteinfodermidler til smågrise, der fik ændret proteinfordøjelighed med baggrund i førnævnte forsøg [175], fået et tillæg på 1,5 procentenheder proteinfordøjelighed for at bevare balancen mellem disse og "Sojaskråfoder, afskallet, toastet".
Indholdet af opløselige og uopløselige fibre er beregnet, se versionsbeskrivelsen for 3. juni 2016
</t>
  </si>
  <si>
    <t>2.18.7</t>
  </si>
  <si>
    <t>SOJAPROTEINKONCENTRAT, fermenteret tørret, Vilosoy</t>
  </si>
  <si>
    <t xml:space="preserve">Sojaproteinkoncentrat er ekstraherede afskallede sojabønner fra sojaplanten (Glycine max.), som er fermenteret eller er ekstraheret anden gang for at reducere indholdet af kvælstoffri ekstrakt. Sojabønnen dyrkes hovedsagelig i USA, Brasilien og Kina.
Sojaproteinkoncentrat har god proteinkvalitet. 
Denne produkttype har i forhold til afskallet sojaskråfoder et højere proteinindhold og et lavere indhold af anti-nutritionelle forbindelser (ANF’er), fx trypsininhibitorer, raffinose, stachyose, glycinin og betaconglycinin, og kan derfor være egnet i foder til fravænnede grise. Generelt er der meget divergerende resultater i forsøg, hvor effekterne af ANF’er vurderes. Der kan således ikke uddrages generelle konklusioner på effekten af ANF’er i sojaproteinprodukter [174].
Et fordøjelighedsforsøg med smågrise har dannet baggrund for opdatering af fodermiddeltabellen med protein- og aminosyrefordøjeligheder [175]. Som følge af ændringen af proteinfordøjeligheden i "Sojaskråfoder, afskallet, toastet" i november 2016 fra 88 til 89,5 procent har proteinfodermidler til smågrise, der fik ændret proteinfordøjelighed med baggrund i førnævnte forsøg [175], fået et tillæg på 1,5 procentenheder proteinfordøjelighed for at bevare balancen mellem disse og "Sojaskråfoder, afskallet, toastet".
Indholdet af opløselige og uopløselige fibre er beregnet, se versionsbeskrivelsen for 3. juni 2016
</t>
  </si>
  <si>
    <t>SOJAPROTEINKONCENTRAT, fermenteret tørret, HP 300</t>
  </si>
  <si>
    <t>SOJAPROTEINKONCENTRAT, fermenteret tørret, HP 200</t>
  </si>
  <si>
    <t>SOJAPROTEINKONCENTRAT, ekstraheret, Imcosoy</t>
  </si>
  <si>
    <t xml:space="preserve">Sojaproteinkoncentrat er ekstraherede afskallede sojabønner fra sojaplanten (Glycine max.), som er fermenteret eller er ekstraheret anden gang for at reducere indholdet af kvælstoffri ekstrakt. Sojabønnen dyrkes hovedsagelig i USA, Brasilien og Kina.
Sojaproteinkoncentrat har god proteinkvalitet.
Denne produkttype har i forhold til afskallet sojaskråfoder et højere proteinindhold og et lavere indhold af anti-nutritionelle forbindelser (ANF’er), fx trypsininhibitorer, raffinose, stachyose, glycinin og betaconglycinin, og kan derfor være egnet i foder til fravænnede grise. Generelt er der meget divergerende resultater i forsøg, hvor effekterne af ANF’er vurderes. Der kan således ikke uddrages generelle konklusioner på effekten af ANF’er i sojaproteinprodukter [174].
Et fordøjelighedsforsøg med smågrise har dannet baggrund for opdatering af fodermiddeltabellen med protein- og aminosyrefordøjeligheder [175]. Som følge af ændringen af proteinfordøjeligheden i "Sojaskråfoder, afskallet, toastet" i november 2016 fra 88 til 89,5 procent har proteinfodermidler til smågrise, der fik ændret proteinfordøjelighed med baggrund i førnævnte forsøg [175], fået et tillæg på 1,5 procentenheder proteinfordøjelighed for at bevare balancen mellem disse og "Sojaskråfoder, afskallet, toastet".
Indholdet af opløselige og uopløselige fibre er beregnet, se versionsbeskrivelsen for 3. juni 2016
</t>
  </si>
  <si>
    <t>SOJAPROTEINKONCENTRAT, ekstraheret, AlphaSoy® 600 (udgået i 2017)</t>
  </si>
  <si>
    <t>Soybean expeller, from crushing (pressing), at plant/AR75%,BR25%</t>
  </si>
  <si>
    <t>2.18.2</t>
  </si>
  <si>
    <t>SOJAKAGE 8,1% fedt</t>
  </si>
  <si>
    <t>Soybean, at farm/CA Economic S</t>
  </si>
  <si>
    <t>SOJABØNNER, toastet, Kina, øko</t>
  </si>
  <si>
    <t>Soybean, at farm/AR75%,BR25%</t>
  </si>
  <si>
    <t>Sojabønner opbevares tørt, og bønnerne er lagerfaste ved 89-90 procent tørstof. 
Der er ingen problemer ved håndtering og transport af sojabønner som løsvare.</t>
  </si>
  <si>
    <t>Sojabønner indeholder stoffer, som hæmmer virkningen af trypsin, som er et af de enzymer, der nedbryder protein. Disse væksthæmmende stoffer kan ødelægges ved toastning, men toastning inaktiverer ikke altid trypsininhibotorerne fuldt ud
Årsagen til problemer kan være, at protein i sojabønner udnyttes ikke som forventet. Synlige tegn på dette i stalden er, at slagtesvin i en periode har lav tilvækst samtidig med et højt foderforbrug og faldende kødprocent. Dette kan afhjælpes ved eksempelvis at varmebehandle sojabønner.</t>
  </si>
  <si>
    <t>Sojabønner er fra sojaplanten (Glycine max.), som er en bælgplante. Sojabønner dyrkes hovedsagelig i USA, Brasilien og Kina.
Toasted sojabønner har god proteinkvalitet og et højt indhold af energi. Det høje jodtalsprodukt i sojabønner forringer spækkets kvalitet, og derfor kan sojabønner ikke bruges i større mængder i foder til slagtesvin. Hvis der bruges sojabønner i foder til slagtesvin, begrænser det samtidig brugen af foderfedt. 
Det høje indhold af energi betyder, at sojabønner kan erstatte en del af sojaskråen i foder til smågrise. Rå sojabønner bør ikke bruges i foder til svin, idet rå sojabønner indeholder nogle stoffer, som hæmmer virkningen af trypsin. Disse hæmmende stoffer ødelægges dog ved toastning.
Ud fra forsøg og generel erfaring vurderes, at sojabønner, toasted, kan bruges i henhold til følgende kilder: [47], [48].
Indholdet af opløselige og uopløselige fibre er beregnet, se versionsbeskrivelsen for 3. juni 2016</t>
  </si>
  <si>
    <t>2.18.1</t>
  </si>
  <si>
    <t>SOJABØNNER, toastet</t>
  </si>
  <si>
    <t>Skummetmælkspulver suger let fugt, og skal derfor opbevares tørt. Produktet har lang holdbarhed i ubrudt plastik emballage.
Ingen problemer ved håndtering og transport af skummetmælkspulver, hvilket dog ofte sker i form af sækkevare.</t>
  </si>
  <si>
    <t>Skummetmælkspulver har en høj fordøjelighed og er derfor velegnet i somælkserstatninger og i foder til tidligt fravænnede grise.
Et brunligt eller mørkfarvet pulver med kogt smag (svovlsmag) er tegn på en for kraftig opvarmning, og dermed reduceret proteinværdi.
En kendt og god kvalitet skummetmælkspulver giver ingen problemer.</t>
  </si>
  <si>
    <t>Skummetmælkspulver fremstilles ved tørring af mælk, hvorfra det meste af fedtet er udskilt. Tørringen sker enten ved forstøvning i varm luft (spray) eller ved tørring i cylindre.
Skummetmælkspulver har et højt indhold af råprotein og med en god proteinkvalitet. Der er desuden et højt indhold af laktose og mineralstoffer.
I denatureret skummetmælkspulver ændres den procentvise andel af næringsstoffer lidt som følge af opblandingen med andre produkter.
Generelt er indholdet af råprotein lavere i denatureret skummetmælkspulver, formel A, i forhold til denatureret skummetmælkspulver, formel B, mens indholdet af hhv. laktose og træstof er højere i formel A sammenlignet med formel B.
Produktion
Skummetmælkspulver fremstilles primært med henblik på produktion af børnemælk, men sælges også med tilskud fra EU til fremstilling af fx ko- og somælkserstatning. Skummetmælkspulver fremstilles i de fleste væsentlige mælkeproducerende lande.</t>
  </si>
  <si>
    <t>8.11.1</t>
  </si>
  <si>
    <t>SKUMMETMÆLKSPULVER, DENAT  Formel A</t>
  </si>
  <si>
    <t>Skummetmælkspulver</t>
  </si>
  <si>
    <t>008-0020</t>
  </si>
  <si>
    <t>SKUMMETMÆLKSPULVER</t>
  </si>
  <si>
    <t xml:space="preserve">Skummetmælkspulver fremstilles ved tørring af mælk, hvorfra det meste af fedtet er udskilt. Tørringen sker enten ved forstøvning i varm luft (spray) eller ved tørring i cylindre.
Skummetmælkspulver har et højt indhold af råprotein og med en god proteinkvalitet. Der er desuden et højt indhold af laktose og mineralstoffer.
I denatureret skummetmælkspulver ændres den procentvise andel af næringsstoffer lidt som følge af opblandingen med andre produkter.
Generelt er indholdet af råprotein lavere i denatureret skummetmælkspulver, formel A, i forhold til denatureret skummetmælkspulver, formel B, mens indholdet af hhv. laktose og træstof er højere i formel A sammenlignet med formel B.
Produktion
Skummetmælkspulver fremstilles primært med henblik på produktion af børnemælk, men sælges også med tilskud fra EU til fremstilling af fx ko- og somælkserstatning. Skummetmælkspulver fremstilles i de fleste væsentlige mælkeproducerende lande.
</t>
  </si>
  <si>
    <t>SKUMMETMÆLK</t>
  </si>
  <si>
    <t>Gns. af landetillæg</t>
  </si>
  <si>
    <t xml:space="preserve">BeneoCarb S er en flydende sirup og transporteres i tankvogn eller leveres i palletanke.
Produktet skal ikke opvarmes/eller opbevares i opvarmet silotank. Nem at pumpe selv ved lave temperaturer, da det har en betydelig lavere viskositet i forhold til melasse.
</t>
  </si>
  <si>
    <t>BeneoCarb S kan anvendes som alternativ til roesukkermelasse og rørsukkermelasse, da det ikke indeholder kalium, natrium og NPN. (De viste mineralværdier svarer til nedre detektionsgrænse på det anvendte foderlaboratorium). Bruges både som bindemiddel for at styrke pillerne og kan bruges til at binde støv i forbindelse med produktion af foder, mineraler, vitaminer. Produktet kan fx også anvendes direkte ved anvendelse i malkerobotter som energitilskud.</t>
  </si>
  <si>
    <t xml:space="preserve">BenoeCarb S er en sirup der består af 99,5% kulhydrat beregnet på tørstofbasis. Produktet stammer fra sucrose til human ernæring. Sucrose gennemgår en enzymatisk reaktion og fjernelse af produktet Isomaltulose gennem en krystallisering. Isomaltulose bruges i human ernæring. Tilbage er der en sirup der betegnes BeneoCarb S, Isomaltulose sirup.
Produktet opfylder alle krav for at kunne anvendes som produkt til foder. Produktet følger regulering (EC) No 178/2002. Desuden opfylder produktet kravene til fødevarer og food reguleringen No 852/2004 og nr 183/2005. Produktet sælges som Isomaltulose melasse indenfor "DLG Positive list" (Tyskland) for produkter der anvendes i foder.
Produktet er non GMO produkt, og sucrosen leveres af Südzucker AG
Rester fra andre produktioner indgår ikke i BeneoCarb S, hvilket det ubetydelige indhold af fedt, fibre og protein viser. Der er ikke indhold af NPN i produktet.
</t>
  </si>
  <si>
    <t>SIRUP: BeneoCarb S</t>
  </si>
  <si>
    <t>Ronozyme P tør, Std. dosis: 750 FYT</t>
  </si>
  <si>
    <t>Ronozyme P flydende, Std. dosis: 750 FYT</t>
  </si>
  <si>
    <t>Ronozyme NP tør, Std. dosis: 1250 FYT (mindste lovlige: 1500 FYT/kg)</t>
  </si>
  <si>
    <t>Ronozyme NP flydende, Std. dosis: 1250 FYT (mindste lovlige: 1500 FYT/kg)</t>
  </si>
  <si>
    <t>Fytaseaktiviteten er ifølge EFSA-dokumentationen (http://www.efsa.europa.eu/en/efsajournal/pub/2527.htm): 50.000 FYT pr. gram</t>
  </si>
  <si>
    <t>Ronozyme HiPhos M tør, Std. dosis: 500 FYT,  dog min. 1000 FYT til søer</t>
  </si>
  <si>
    <t>Fytaseaktiviteten er ifølge EFSA-dokumentationen (http://www.efsa.europa.eu/en/efsajournal/pub/2527.htm): 20.000 FYT pr. gram</t>
  </si>
  <si>
    <t>Ronozyme HiPhos L flydende, Std. dosis: 500 FYT,  dog min. 1000 FYT til søer</t>
  </si>
  <si>
    <t>Fytaseaktiviteten er deklareret til: 10.000 FYT pr. gram</t>
  </si>
  <si>
    <t>Ronozyme HiPhos GT tør, Std. dosis: 500 FYT,  dog min. 1000 FYT til søer</t>
  </si>
  <si>
    <t>SEGES-beslutning</t>
  </si>
  <si>
    <t>Rye grain, dried, at farm/DK Economic S</t>
  </si>
  <si>
    <t>Rug opbevares tørt  og er lagerfast ved 86 pct. tørstof.
Transport af rug med et vandindhold på 20 pct. eller derover fra korngrav bør ske med kæderedler frem for sidesnegl eller sneglerende.
Valsning bør ske med mindst mulige valseafstand. Ved et vandindhold på over 18 pct. klistrer materialet fast på valserne.
Der er ingen problemer ved transport af rug som løsvare.</t>
  </si>
  <si>
    <t>Rug er frø fra dyrkede sorter af rugplanter (Secale cereale) og dyrkes i Danmark.
Rug har generelt altid haft et dårligt ry i fodersammenhæng, hvilket hovedsageligt skyldtes problemer med svampen meldrøjer, som giver dårligere produktionsresultater hos grise i vækst og ikke må forekomme i foder til søer. Moderne rugsorter er dog mere resistente overfor meldrøjer end tidligere sorter, og meldrøjer er i mindre grad et problem i de hybridsorter, der findes i dag, end det var tidligere. Derudover indeholder rug stoffet alkylresorcinol, hvilket tidligere var under mistanke for at kunne reducere foderoptagelsen og tilvæksten hos grise, men det er dog aldrig blevet påvist, at det har en negativ effekt på grise. Andre kornarter, som eksempelvis hvede, har typisk et lige så højt indhold af alkylresorcinol som rug.
En tidligere afprøvning har vist, at fodring med rug til slagtesvin gav en lavere foderoptagelse og dermed lavere tilvækst ved stigende indhold af rug i foderet [27]. Senest har forsøg med smågrise ligeledes vist lavere produktionsværdi, hvilket skyldes både en lav foderoptagelse og en lav daglig tilvækst ved højt indhold af rug i foderet. Ved 20 pct. rug i foder var tilvækst og foderoptagelse var statistisk sikkert forringet [28].
"d.gr.": Tabelværdien for natrium er lig med detektionsgrænsen i det anvendte laboratorium. Det reele indhold  kan være lavere.
Ud fra forsøg og generel erfaring vurderes, at rug kan bruges i henhold til følgende kilder: [1], [22], [23], [24], [25], [13], [19], [26], [14], [27], [28].</t>
  </si>
  <si>
    <t>1.7.1</t>
  </si>
  <si>
    <t>RUG, 2020, varmebehandlet, økologisk</t>
  </si>
  <si>
    <t>RUG, 2020,  økologisk</t>
  </si>
  <si>
    <t>Rug 2019</t>
  </si>
  <si>
    <t>001-0129</t>
  </si>
  <si>
    <t>Tabelværdierne er dannet ved kopi af VSPs fodermiddelkode 52011 (gennemsnit af de seneste år i udgaven svarende til varmebehandlet foder tilsat xylanase), hvor eneste ændring er råproteinkoncentration med de afledte beregnede konsekvenser.
Rug er frø fra dyrkede sorter af rugplanter (Secale cereale) og dyrkes i Danmark.
Rug har generelt altid haft et dårligt ry i fodersammenhæng, hvilket hovedsageligt skyldtes problemer med svampen meldrøjer, som giver dårligere produktionsresultater hos grise i vækst og ikke må forekomme i foder til søer. Moderne rugsorter er dog mere resistente overfor meldrøjer end tidligere sorter, og meldrøjer er i mindre grad et problem i de hybridsorter, der findes i dag, end det var tidligere. Derudover indeholder rug stoffet alkylresorcinol, hvilket tidligere var under mistanke for at kunne reducere foderoptagelsen og tilvæksten hos grise, men det er dog aldrig blevet påvist, at det har en negativ effekt på grise. Andre kornarter, som eksempelvis hvede, har typisk et lige så højt indhold af alkylresorcinol som rug.
En tidligere afprøvning har vist, at fodring med rug til slagtesvin gav en lavere foderoptagelse og dermed lavere tilvækst ved stigende indhold af rug i foderet [27]. Senest har forsøg med smågrise ligeledes vist lavere produktionsværdi, hvilket skyldes både en lav foderoptagelse og en lav daglig tilvækst ved højt indhold af rug i foderet. Ved 20 pct. rug i foder var tilvækst og foderoptagelse var statistisk sikkert forringet [28].
Ud fra forsøg og generel erfaring vurderes, at rug kan bruges i henhold til følgende kilder: [1], [22], [23], [24], [25], [13], [19], [26], [14], [27], [28].</t>
  </si>
  <si>
    <t>RUG, 11,5 % råprotein, varmebehandlet + xylanase</t>
  </si>
  <si>
    <t>RUG, 10,0 % råprotein, varmebehandlet + xylanase</t>
  </si>
  <si>
    <t>RUG,  2021,  varmebehandlet + xylanase</t>
  </si>
  <si>
    <t>RUG,  2021,  varmebehandlet</t>
  </si>
  <si>
    <t>RUG,  2021  + xylanase</t>
  </si>
  <si>
    <t>RUG,  2021</t>
  </si>
  <si>
    <t>Rug er frø fra dyrkede sorter af rugplanter (Secale cereale) og dyrkes i Danmark.
Rug har generelt altid haft et dårligt ry i fodersammenhæng, hvilket hovedsageligt skyldtes problemer med svampen meldrøjer, som giver dårligere produktionsresultater hos grise i vækst og ikke må forekomme i foder til søer. Moderne rugsorter er dog mere resistente overfor meldrøjer end tidligere sorter, og meldrøjer er i mindre grad et problem i de hybridsorter, der findes i dag, end det var tidligere. Derudover indeholder rug stoffet alkylresorcinol, hvilket tidligere var under mistanke for at kunne reducere foderoptagelsen og tilvæksten hos grise, men det er dog aldrig blevet påvist, at det har en negativ effekt på grise. Andre kornarter, som eksempelvis hvede, har typisk et lige så højt indhold af alkylresorcinol som rug.
En tidligere afprøvning har vist, at fodring med rug til slagtesvin gav en lavere foderoptagelse og dermed lavere tilvækst ved stigende indhold af rug i foderet [27]. Senest har forsøg med smågrise ligeledes vist lavere produktionsværdi, hvilket skyldes både en lav foderoptagelse og en lav daglig tilvækst ved højt indhold af rug i foderet. Ved 20 pct. rug i foder var tilvækst og foderoptagelse var statistisk sikkert forringet [28].
Ud fra forsøg og generel erfaring vurderes, at rug kan bruges i henhold til følgende kilder: [1], [22], [23], [24], [25], [13], [19], [26], [14], [27], [28].</t>
  </si>
  <si>
    <t>RUG,   flerårigt gns, varmebehandlet  + xylanase</t>
  </si>
  <si>
    <t>RUG,   flerårigt gns, varmebehandlet</t>
  </si>
  <si>
    <t>RUG,   flerårigt gns + xylanase</t>
  </si>
  <si>
    <t>RUG,   flerårigt gns</t>
  </si>
  <si>
    <t>Der er ingen specielle forhold, man skal være opmærksom på i forbindelse med brug, opbevaring og håndtering af risfodermel.
Risfodermel er lagerfast ved 86 procent tørstof.</t>
  </si>
  <si>
    <t xml:space="preserve">Der kan være variation i næringsindholdet mellem forskellige partier. Indholdet af træstof er lavere i den ”hvide risfodermel” end i den ”gule kvalitet”. </t>
  </si>
  <si>
    <t xml:space="preserve">Der skelnes mellem to typer risfodermel:
•”Risfodermel, gult”, der er et biprodukt fra første polering af afskallede ris. Varen består hovedsagelig af sølvhinder samt dele af aleuronlaget, endospermen og kimen. 
•”Risfodermel, hvidt”, der er et biprodukt fra anden polering af afskallede ris. Varen består hovedsagelig af dele af aleuronlaget, endospermen og kimen.
</t>
  </si>
  <si>
    <t>1.6.10</t>
  </si>
  <si>
    <t>RISFODERMEL,HVIDT (Obs.: Gamle data)</t>
  </si>
  <si>
    <t>Analyseresultater på tørstof, protein, fedt, calcium, fosfor, natrium, kalium, magnesium og klorid er leveret af Arla
De øvrige tabelværdier er fremkommet ved simpelt gennemsnit af værdier fra skummetmælkspulver (kode 756-00) og valle, kategori A</t>
  </si>
  <si>
    <t>RESTMÆLK, Brabrand, maj 2013. (Produktion ophørt)</t>
  </si>
  <si>
    <t>Rapsskråfoder, 4% fedt</t>
  </si>
  <si>
    <t>002-0042</t>
  </si>
  <si>
    <t>Rapeseed meal, from crushing (solvent), at plant/DK Economic S</t>
  </si>
  <si>
    <t>Rapsskråfoder opbevares tørt. Der er ingen problemer ved transport af rapsskrå som løsvare.</t>
  </si>
  <si>
    <t>Rapsfrø er dobbeltlave, når indholdet af glukosinolater er mindre end 30 mikromol pr. g rapsfrø (9 pct. vand). Samtidig skal indholdet af erucasyre være mindre end 1 pct. af fedtsyrerne. Glukosinolater og/eller dets nedbrydningsprodukter er væksthæmmende, idet disse stoffer hæmmer skjoldbruskkirtlens optagelse af jod og dermed også produktion af hormonet thyroxin. 
Rapsskrå og ærter supplerer hinanden godt med hensyn til indhold af aminosyrer.
For højt indhold af glukosinolat i foder betyder reduceret produktion af hormonet thyroxin. Problemet kan konstateres ved at foretage en analyse (HPLC) for indhold af glukosinolater. Afhjælp problemet ved at bruge rapsskrå med lavt indhold af glukosinolater.</t>
  </si>
  <si>
    <t xml:space="preserve">Biprodukt ved ekstraktion af olie fra fedtrige oliefrø af rapsplanter (Brassica napus), som dyrkes hovedsageligt i Canada, Kina og Europa. Dobbeltlav betyder, at det er sorter med lavt indhold af både erucasyre og glukosinolater.
Indhold af råfedt i tørstof skal være mindre end 3 pct. i rapsskrå. 
Ud fra forsøg og generel erfaring vurderes, at rapsskrå, dobbeltlav, kan bruges i henhold til følgende kilder: [47], [48], [49], [50], [51], [52], [53]. Brug af rapsskrå af dårlig kvalitet forringer produktionsresultaterne [54].
Indholdet af opløselige og uopløselige fibre er beregnet, se versionsbeskrivelsen for 3. juni 2016
</t>
  </si>
  <si>
    <t>2.14.7</t>
  </si>
  <si>
    <t>RAPSSKRÅFODER,  lavt glukosinolatindhold</t>
  </si>
  <si>
    <t>Rapskagefoder, 13% fedt</t>
  </si>
  <si>
    <t>002-0048</t>
  </si>
  <si>
    <t>Rapeseed expeller, from crushing (pressing), at plant/RER Economic S</t>
  </si>
  <si>
    <t>Rapskage opbevares tørt. Der er ingen problemer ved transport af rapskage som løsvare.</t>
  </si>
  <si>
    <t>Rapsfrø er dobbeltlave, når indholdet af glukosinolater er mindre end 30 mikromol pr. g rapsfrø (9 pct. vand). Samtidig skal indholdet af erucasyre være mindre end 1 procent af fedtsyrerne. Glukosinolater og/eller dets nedbrydningsprodukter er væksthæmmende, idet disse stoffer hæmmer skjoldbruskkirtlens optagelse af jod og dermed også produktion af hormonet thyroxin. 
Rapskagefoder og ærter supplerer hinanden godt med hensyn til indhold af aminosyrer.
For højt indhold af glukosinolat i foder medfører en lav produktion af hormonet thyroxin. Problemet kan konstateres ved at foretage en analyse (HPLC) for indhold af glukosinolater. Dette afhjælpes ved at bruge rapskagefoder med lavt indhold af glukosinolater.
Hvis der er problemer med blødt spæk, er årsagen det høje jodtalsprodukt i rapskage.</t>
  </si>
  <si>
    <t xml:space="preserve">Biprodukt ved presning/ekstraktion af olie fra fedtrige oliefrø af rapsplanter (Brassica napus), som dyrkes hovedsageligt i Canada, Kina og Europa. Dobbeltlav betyder, at det er sorter med lavt indhold af både erucasyre og glukosinolater.
Rapskagefoder kan forringe kvaliteten af spæk på grund af højt jodtalsprodukt.
Indhold af råfedt i tørstof skal være mere end 3 procent i rapskagefoder. Indhold af energi i rapskagefoder, afhænger af indhold af råfedt i rapskagefoder.
Ud fra forsøg og generel erfaring vurderes, at rapskagefoder, lavt glukosinolatindhold , kan bruges i henhold til følgende kilder: [26],  [55], [56], [57], [58], [59].
Indholdet af opløselige og uopløselige fibre er beregnet, se versionsbeskrivelsen for 3. juni 2016
</t>
  </si>
  <si>
    <t>2.14.6</t>
  </si>
  <si>
    <t>RAPSKAGEFODER, 9 % fedt, lavt glukosinolatindhold (Obs.: Gamle data)</t>
  </si>
  <si>
    <t>Rapskagefoder, 10,5% fedt, DK alm</t>
  </si>
  <si>
    <t>002-0044</t>
  </si>
  <si>
    <t>RAPSKAGEFODER, 5 % fedt, lavt glukosinolatindhold (Obs.: Gamle data)</t>
  </si>
  <si>
    <t>Danrapskagefoder 11,5% fedt</t>
  </si>
  <si>
    <t>018-0021</t>
  </si>
  <si>
    <t>RAPSKAGEFODER,  lavt glukosinolatindhold</t>
  </si>
  <si>
    <t>Rapsfrø, 00</t>
  </si>
  <si>
    <t>002-0007</t>
  </si>
  <si>
    <t>Rapeseed, at farm/DK Economic S</t>
  </si>
  <si>
    <t>Rapsfrø opbevares tørt - rapsfrø er lagerfast ved 91-92 procent tørstof. 
Der er ingen problemer ved transport af rapsfrø som løsvare.
Rapsfrø kan formales sammen med korn i en hammermølle med 3-5 mm sold, hvis det efterfølges af et kornprodukt til rensning. Desuden kan rapsfrø formales på en valse med 1 mm afstand, dog fungerer dobbeltdrevne valser bedst. Valsning af rapsfrø fungerer bedst, hvis der samtidig jævnligt valses korn.</t>
  </si>
  <si>
    <t>Rapsfrø med et højt indhold af glukosinolater i foder til smågrise forringer produktionsresultaterne [4].
Rapsfrø er dobbeltlave, når indholdet af glukosinolater er mindre end 30 mikromol pr. g rapsfrø (9 pct. vand). Samtidig skal indholdet af erucasyre være mindre end 1 procent af fedtsyrerne. Glukosinolater og/eller dets nedbrydningsprodukter er væksthæmmende, idet disse stoffer hæmmer skjoldbruskkirtlens optagelse af jod og dermed også produktion af hormonet thyroxin.
Rapsfrø og ærter supplerer hinanden godt med hensyn til indhold af aminosyrer.
Et for højt indhold af glukosinolater i foder betyder reduceret produktion af hormonet thyroxin. Dette kan konstateres ved at lave en analyse (HPLC) for indhold af glukosinolater. Afhjælp problemet ved at bruge rapsfrø med lavt indhold af glukosinolater.</t>
  </si>
  <si>
    <t>Rapsfrø er fedtrige oliefrø af rapsplanter (Brassica napus). De dyrkes hovedsageligt i Canada, Kina og Europa. Dobbeltlav betyder, at det er sorter med lavt indhold af både erucasyre og glukosinolater.
Rapsfrø indeholder ca. 42 procent råfedt, og når rapsfrø samtidig har et højt jodtal, er der begrænset mulighed for at blande rapsfrø i et foder til specielt slagtesvin, når grænsen for jodtalsprodukt skal overholdes. Grisenes spækkvalitet bliver forringet, hvis foderets jodtalsprodukt er for højt. 
Indholdet af opløselige og uopløselige fibre er beregnet, se versionsbeskrivelsen for 3. juni 2016</t>
  </si>
  <si>
    <t>2.14.1</t>
  </si>
  <si>
    <t>RAPSFRØ DL (=(Dobbelt) Lavt glukosinolatindhold)</t>
  </si>
  <si>
    <t>Phyzyme XP tør,  Std. dosis: 500 FTU</t>
  </si>
  <si>
    <t>Phyzyme XP flydende, Std. dosis: 500 FTU</t>
  </si>
  <si>
    <t>5.27.1</t>
  </si>
  <si>
    <t>PEKTINFODER</t>
  </si>
  <si>
    <t>Palm kernel expeller, from crushing, at plant/ID Economic S</t>
  </si>
  <si>
    <t>Palmekage opbevares tørt. 
Palmekager danner let bro i silo. Kræver stort sugehoved under silo ved sugetransport med hammermølle. Der er ingen problemer ved håndtering og transport af palmekage som løsvare.</t>
  </si>
  <si>
    <t>Palmekage kan indeholde aflatoksin B1. Ifølge lovgivningen (læs mere under afsnittet: lovgivning vedrørende foder) må der maksimalt være 0,02 mg aflatoksin B1 pr. kg ublandet foderstof. Dårlig opbevaring af palmekage efter olieudvinding af palmefedt samt lang transport fra leverandør til modtager kan give problemer med harskning og vækst af skimmelsvampe med efterfølgende dannelse af toksin, primært aflatoksin. Palmekage har samtidig høj risiko for indhold af foderbåren Salmonella. 
Der er ikke set problemer med brug af 15 procent palmekage i foder til søer [62]. Brug af palmekage i foder til slagtesvin gav mere lind gødning [63].
Svineri og tjæreagtig diarré i stien kan skyldes, at foderets totale indhold af protein er højt, som følge af en lav fordøjelighed af proteinet i palmekager. Hvis det vurderes, at svineri er et problem, kan man reducere indholdet af palmekage i foderet.</t>
  </si>
  <si>
    <t>Palmekage er et biprodukt fra olieudvinding ved presning af frø fra oliepalme (fx Elaeis guineensis). Frøene er så vidt muligt befriet fra deres hårde skaller.
Oliepalme dyrkes primært i Indonesien, Malaysia og i mindre grad i de afrikanske lande omkring ækvator.
Kvaliteten af palmekage varierer en del og fordøjeligheden af protein er lav sammenlignet med andre proteinråvarer. Palmefedt har et lavt jodtal, hvilket giver bedre kvalitet og konsistens af spæk i den slagtede gris.
Ud fra forsøg og generel erfaring vurderes, at palmekage kan bruges i henhold til følgende kilder: [62], [63].</t>
  </si>
  <si>
    <t>2.12.1</t>
  </si>
  <si>
    <t>PALMEKAGE</t>
  </si>
  <si>
    <t>Natuphos tør, Std. dosis: 500 FTU</t>
  </si>
  <si>
    <t>Natuphos flydende, Std. dosis: 500 FTU</t>
  </si>
  <si>
    <t>NATRIUMSELENIT 1%-opløsning</t>
  </si>
  <si>
    <t>Fodersalt</t>
  </si>
  <si>
    <t>011-0009</t>
  </si>
  <si>
    <t>Tabelværdier på tørstof, aske, calcium, fosfor, natrium og klorid er fastsat efter analyser foretaget i forbindelse med doktorafhandlingen "DIGESTIBILITY OF CALCIUM AND DIGESTIBLE CALCIUM REQUIREMENTS IN PIGS", af Jolie Caroline Conzález Vega, University of Illinois, USA, 2016</t>
  </si>
  <si>
    <t>11.4.1</t>
  </si>
  <si>
    <t>NATRIUMCLORID</t>
  </si>
  <si>
    <t>Natriumbikarbonat</t>
  </si>
  <si>
    <t>011-0010</t>
  </si>
  <si>
    <t>11.4.2</t>
  </si>
  <si>
    <t>NATRIUMBICARBON</t>
  </si>
  <si>
    <t>MÆLKESYRE (20% vand)</t>
  </si>
  <si>
    <t>Produkt fremkommet ved tørring af proteinforbindelser udskilt fra mælk.
Der er pt. ingen analyseværdier til rådighed i denne database</t>
  </si>
  <si>
    <t>8.13.1</t>
  </si>
  <si>
    <t>MÆLKEPROTEINPULVER</t>
  </si>
  <si>
    <t>Meth analog Alimet 72%</t>
  </si>
  <si>
    <t>MYRESYRE (25% vand)</t>
  </si>
  <si>
    <t>11.3.10</t>
  </si>
  <si>
    <t>MONONATRIUMFOS</t>
  </si>
  <si>
    <t>11.3.2</t>
  </si>
  <si>
    <t>MONODICALC FOSF</t>
  </si>
  <si>
    <t>Monocalciumfosfat</t>
  </si>
  <si>
    <t>011-0003</t>
  </si>
  <si>
    <t>11.3.3</t>
  </si>
  <si>
    <t>MONOCALCIUMFOS  (16/22,7)</t>
  </si>
  <si>
    <t>Sorghum, production mix, at farm/GLO Economic S</t>
  </si>
  <si>
    <t>Milokorn er lagerfast ved 86 pct. tørstof.
Som med andet korn er fordøjeligheden i praksis afhængig af formalingsgraden. Det anbefales hjemmeblandere at følge anbefalingerne for partikelfordeling i formalet hvede. Meget fin formalet milokorn vil kunne danne bro i silo og foderautomater.</t>
  </si>
  <si>
    <t xml:space="preserve">Milokorn kan indeholde produktionshæmmende stoffer fra gruppen tanniner. Tanniner kan danne komplekser med protein (foderprotein og enzymer) og kulhydrater, hvilket medfører reduceret udnyttelse af foderets indhold af protein og kulhydrat. Tanniner smager dårligt og kan medføre lavere foderoptagelse mv. 
</t>
  </si>
  <si>
    <t>Milokorn er korn af Sorghum bicolor (L.) Moench s.l.
Milokorn er en hirseart og kan dyrkes i mere tørre egne end f.eks. majs. Milokorn dyrkes bl.a. i USA(90 pct. Af markedet [42)], Mexico, Sydamerika, Afrika, Indien, Kina og Australien. På verdensplan er milokorn den femtevigtigste kornart. Milokorn anvendes som føde- og fodermiddel samt til ethanolproduktion. 
I USA opererer de med fire handelsklasser: Sorghum, Tannin Sorghum, Hvid Sorghum og Mixed Sorghum. 
Tannin Sorghum vurderes af USA's korninspektion på mængden af mørk pigment i frøskallen, en metode, der ikke er særlig præcis. Sorghum med højt tanninindhold kaldes også bird-resistant, fordi det smager bittert, så fuglene ikke tager frøene. Importeret milokorn vil typisk være fra klassen Sorghum, som også er den mest dyrkede i USA. Kravene til klassen "Sorghum" er, at den er lav i tanninindhold og indeholder mindre end 98 pct. Hvid Sorghum og højst 3 pct. Tannin Sorghum. Farven vil typisk være hvid, gul, pink, orange, rød eller bronze. 
I en hollandsk fodertabel [42] skelnes mellem milo (Sorghum) med mindre end 0,4 pct. tannin og milo med over 1 pct. tannin.
Energiværdierne ligger på niveau med hvede og majs for de bedste sorter og ned til lidt under byg for sorter med højt tanninindhold.
En amerikansk oversigtsartikel [42] angiver energiværdien af lav-tannin milokorn til 95 pct. af majs og høj-tannin milokorn til ca. 83 pct. af majs.
De lavere protein- og fedtfordøjeligheder kunne tyde på enzymhæmning og dermed et stort endogent tab.</t>
  </si>
  <si>
    <t>1.8.1</t>
  </si>
  <si>
    <t>MILOKORN, lavt tanninindhold</t>
  </si>
  <si>
    <t>METHIONIN,DL 99</t>
  </si>
  <si>
    <t>METHIONIN 40% (60%hv strømel)</t>
  </si>
  <si>
    <t>METHIONIN 30% (70%hv strømel)</t>
  </si>
  <si>
    <t>Total co-products, at plant/RER Economic S</t>
  </si>
  <si>
    <t>1.12.14</t>
  </si>
  <si>
    <t>MASK, tørret</t>
  </si>
  <si>
    <t>MASK, frisk</t>
  </si>
  <si>
    <t>11.2.3</t>
  </si>
  <si>
    <t>MANGANSULF,TETR 1%-opløsning</t>
  </si>
  <si>
    <t>MANGANSULF,MONO 1%-opløsning</t>
  </si>
  <si>
    <t>MANGANOXID 1%-opløsning</t>
  </si>
  <si>
    <t>MANGANDIOXID 1%-opløsning</t>
  </si>
  <si>
    <t>Majskim</t>
  </si>
  <si>
    <t>001-0055</t>
  </si>
  <si>
    <t xml:space="preserve">Majskim er et biprodukt efter fremstilling af mølleriprodukter eller efter udvinding af majsstivelse.
Der kan være variation i næringsindholdet mellem forskellige partier og afhængig af, hvilken proces, biproduktet stammer fra. 
</t>
  </si>
  <si>
    <t>1.2.10</t>
  </si>
  <si>
    <t>MAJSKIM  (Obs.: Gamle data)</t>
  </si>
  <si>
    <t>Ingen problemer ved håndtering af majsglutenfoder som løsvare. Under transport med fx skib kan der ske vækst af skimmelsvampe, hvis vandprocenten i råvaren er høj.</t>
  </si>
  <si>
    <t>Brug af majsglutenfoder i foder til grise begrænses først og fremmest på grund af det svingende indhold af næringsstoffer.
Majsglutenfoder har ikke vist at være årsag til problemer.
Majsglutenfoder opbevares tørt - majsglutenfoder er lagerfast ved 86 procent tørstof.  Ved brug af majsglutenfoder skal man være opmærksom på, at råvaren opbevares tørt, således at der ikke sker vækst af skimmelsvampe.</t>
  </si>
  <si>
    <t xml:space="preserve">Majsglutenfoder er et tørret biprodukt fra produktion af majsstivelse ud fra majs (Zea mays). Råvaren består hovedsagelig af klid og gluten. Majs dyrkes hovedsageligt i USA, Kina og Rumænien.
Kvalitet
Fra parti til parti kan indholdet af næringsstoffer variere i majsglutenfoder, men råvaren er generelt mindre ensartet i kvalitet end majsfodermel.
Majsglutenfoder har et relativt højt indhold af råfedt samt et jodtalsprodukt på 50 mod 34 i byg. Hvis der bruges meget majsglutenfoder i foder til slagtesvin, øger det risikoen for blødt spæk.
Det maksimale indhold af majsglutenfoder i foder kan ses i oversigten Maksimalt indhold af råvarer i foder. </t>
  </si>
  <si>
    <t>1.2.9</t>
  </si>
  <si>
    <t>MAJSGLUTENFODER</t>
  </si>
  <si>
    <t>1.2.8</t>
  </si>
  <si>
    <t>MAJSGLUTEN 60% råprotein</t>
  </si>
  <si>
    <t>Majsfodermel opbevares tørt - majsfodermel er lagerfast ved 86 procent tørstof. Ellers ingen specielle forhold.
Ingen problemer ved håndtering af majsfodermel som løsvare. Under transport med fx skib kan der ske vækst af skimmelsvampe, hvis vandprocenten i råvaren er høj.</t>
  </si>
  <si>
    <t>Brug af majsfodermel i foder til grise begrænses først og fremmest på grund af det svingende indhold af næringsstoffer.
Der er ingen eksempler på, at majsfodermel har været årsag til problemer.
Ved brug af majsfodermel skal man være opmærksom på, at råvaren opbevares tørt, således at der ikke sker vækst af skimmelsvampe.</t>
  </si>
  <si>
    <t xml:space="preserve">Majsfodermel er et biprodukt fra produktion af mel og gryn af majs (Zea mays), og består primært af skaldele og dele af korn, men der er fjernet en mindre del af endosperm end gældende for majsklid. Majs dyrkes hovedsageligt i USA, Kina og Rumænien.
Kvalitet
Fra parti til parti kan indholdet af næringsstoffer variere i majsfodermel, men råvaren er generelt mere ensartet i kvalitet end majsglutenfoder.
Majsfodermel har et relativt højt indhold af råfedt samt et jodtalsprodukt på 79 mod 34 i byg. Hvis der bruges meget majsfodermel i foder til slagtesvin, øger det risikoen for blødt spæk.
Det maksimale indhold af majsfodermel i foder kan ses i oversigten Maksimalt indhold af råvarer i foder. </t>
  </si>
  <si>
    <t>1.2.3</t>
  </si>
  <si>
    <t>MAJSFODERMEL</t>
  </si>
  <si>
    <t>NorFor</t>
  </si>
  <si>
    <t>Majsensilage, lav FK</t>
  </si>
  <si>
    <t>006-0309</t>
  </si>
  <si>
    <t>Ensilage kan opbevares i markstak, plansilo, silowarp eller ensileringssække.
Håndtering og transport af ensilage 
Der skal fjernes 20 cm af stakken dagligt. Der skal bruges en siloklo ved udtagning af majsensilage fra stakken. Majsensilage skal blandes med tilskudsfoder i en blandevogn før udfodring.</t>
  </si>
  <si>
    <t>Søer kan i drægtighedsperioden komme i dårligt huld, hvis energiindholdet i ensilagen er for lavt. Dette kan løse ved at sætte en højere stub ved høst af helsæd eller reducere mængden af helsædsensilage i blandingen.</t>
  </si>
  <si>
    <t>Majsensilage består af finsnittet fodermajs, som høstes i sidste halvdel af oktober eller i november. Kvaliteten af majsensilage er afhængig af antallet af kolber på majsplanterne. Antal og størrelse af kolber er stærkt temperaturafhængig, idet en varm sommer og efterår er lig med en god majshøst.
Kvaliteten og dermed energiindholdet og fordøjeligheden af majsensilage afhænger af antallet af kolber på majsplanterne (jo færre kolber, jo tungere fordøjeligt). Antal og størrelse af kolber er stærkt temperaturafhængig, idet en varm sommer og efterår er lig med en god majshøst. Desuden afhænger majskvaliteten af hvor høj stub, der sættes ved høstning. Grænsen mellem en letfordøjelig, en gennemsnitlig og en tungt fordøjelig majsensilage er flydende, men i tabellen er angivet et typisk energiindhold og FK for protein for hver kvalitet majsensilage 
Generelt gælder det, at indholdet af næringsstoffer i ensilage varierer en del. Indgår ensilage som en væsentlig del af foderrationen bør ensilagen derfor analyseres for indhold af næringsstoffer. Derfor der i denne foderstoftabel præsenteret en gennemsnitlig kvalitet samt en letfordøjelig og en tungt fordøjelig kvalitet.
Ensilage er et godt strukturfoder til løsgående drægtige søer. Ensilage bør ikke bruges i stier med spaltegulv.
Fosforfordøjelighederne er vurderet til at være svarende til helsædens ophav; henholdsvis byg, hvede, ærter eller majs</t>
  </si>
  <si>
    <t>6.11.1</t>
  </si>
  <si>
    <t>MAJSENSILAGE, Tungt fordøjelig</t>
  </si>
  <si>
    <t>Majsensilage, høj FK</t>
  </si>
  <si>
    <t>006-0307</t>
  </si>
  <si>
    <t>MAJSENSILAGE, Let fordøjelig</t>
  </si>
  <si>
    <t>Majsensilage, middel FK</t>
  </si>
  <si>
    <t>006-0308</t>
  </si>
  <si>
    <t>MAJSENSILAGE, Gns.  2003-2007</t>
  </si>
  <si>
    <t>Maize, at farm/US Economic S</t>
  </si>
  <si>
    <t>Majs bør opbevares tørt - majs er lagerfast ved 86 pct. tørstof. Ellers ingen specielle forhold.
Ved transport af majs i elevatorer bør ifyldningsmængden reduceres, for at undgå overbelastning på grund af den høje volumenvægt. Der er ingen problemer ved transport af majs som løsvare.</t>
  </si>
  <si>
    <t xml:space="preserve">Brug af store mængder majs påvirker spækvaliteten negativt (mere blødt spæk), men påvirker ikke spækfarven [39]. 
Der er risiko for indhold af Fusarium-toksiner i majs. 
</t>
  </si>
  <si>
    <t xml:space="preserve">Majs er frø fra dyrkede sorter af majsplanter (Zea mays), og dyrkes hovedsagelig i USA, Kina og Rumænien.
Majs er specielt et godt foderstof til smågrise. Erfaringer fra praksis har vist, at foder til diegivende søer med et indhold af majs på 20-30 pct. majs stimulerer søernes foderoptagelse. Dette har ikke kunnet eftervises i en kontrolleret afprøvning [10]. Konklusionen af denne afprøvning var, at det alene bør være prisrelationerne mellem hvede og majs, der skal være bestemmende for anvendelsen af majs i diegivningsfoder. Der kan ikke påregnes en produktivitetsmæssig gevinst.
Kvalitet
Majs har et relativt lavt indhold af fibre. Som kornart har majs et relativt højt indhold af råfedt samt et forholdsvist højt jodtal. Hvis der bruges meget majs i foder til slagtesvin, øges risikoen for blødt spæk. En afprøvning viste, at tilsætning af 40 pct. majs til slagtesvinefoder resulterede i et jodtalsprodukt i spæk på omkring maks. grænsen på 73 (tidligere 70) [39].
Aminosyrer i procent af råprotein falder lidt med stigende råproteinkoncentration i tørstof. Det er samme beregningsprincip som ved byg og hvede.
Ud fra forsøg og generel erfaring vurderes, at majs kan bruges i henhold til følgende kilder: [31], [32], [33], [34], [35], [3], [36], [37], [38], [39].
</t>
  </si>
  <si>
    <t>1.2.1</t>
  </si>
  <si>
    <t>MAJS, Vådkonserveret</t>
  </si>
  <si>
    <t>Majs, fint formalet</t>
  </si>
  <si>
    <t>001-0014</t>
  </si>
  <si>
    <t xml:space="preserve">Majs er frø fra dyrkede sorter af majsplanter (Zea mays), og dyrkes hovedsagelig i USA, Kina, Rumænien og Ukraine.
Majs er specielt et godt foderstof til smågrise. Erfaringer fra praksis har vist, at foder til diegivende søer med et indhold af majs på 20-30 pct. majs stimulerer søernes foderoptagelse. Dette har ikke kunnet eftervises i en kontrolleret afprøvning [10]. Konklusionen af denne afprøvning var, at det alene bør være prisrelationerne mellem hvede og majs, der skal være bestemmende for anvendelsen af majs i diegivningsfoder. Der kan ikke påregnes en produktivitetsmæssig gevinst.
Kvalitet
Majs har et relativt lavt indhold af fibre. Som kornart har majs et relativt højt indhold af råfedt samt et forholdsvist højt jodtal. Hvis der bruges meget majs i foder til slagtesvin, øges risikoen for blødt spæk. En afprøvning viste, at tilsætning af 40 pct. majs til slagtesvinefoder resulterede i et jodtalsprodukt i spæk på omkring maks. grænsen på 73 (tidligere 70) [39].
Aminosyrer i procent af råprotein falder lidt med stigende råproteinkoncentration i tørstof. Det er samme beregningsprincip som ved byg og hvede.
"d.gr.": Tabelværdien for calcium og natrium er lig med detektionsgrænsen i det anvendte laboratorium. Det reele indhold  kan være lavere.
Ud fra forsøg og generel erfaring vurderes, at majs kan bruges i henhold til følgende kilder: [31], [32], [33], [34], [35], [3], [36], [37], [38], [39].
</t>
  </si>
  <si>
    <t>MAJS,   flerårigt gns.</t>
  </si>
  <si>
    <t>MAJS,   2018</t>
  </si>
  <si>
    <t>Magnesiumoxyd</t>
  </si>
  <si>
    <t>011-0007</t>
  </si>
  <si>
    <t>11.2.1</t>
  </si>
  <si>
    <t>MAGNESIUMOXID</t>
  </si>
  <si>
    <t>11.2.7</t>
  </si>
  <si>
    <t>MAGNESIUMKARBON</t>
  </si>
  <si>
    <t>Leci E (Lecitin med E-vit )</t>
  </si>
  <si>
    <t>8.9.1</t>
  </si>
  <si>
    <t>Laktoseprodukt, VarioLac 960</t>
  </si>
  <si>
    <t>LYSIN,LLB50 i vådfoder FK=75%</t>
  </si>
  <si>
    <t>LYSIN,LLB50 i vådfoder FK=50%</t>
  </si>
  <si>
    <t>LYSIN,LLB50 flydende</t>
  </si>
  <si>
    <t>LYSIN,L(sulfat)70%</t>
  </si>
  <si>
    <t>LYSIN,L(sulfat) Vådfod  FK=75%</t>
  </si>
  <si>
    <t>LYSIN,L(sulfat) Vådfod  FK=50%</t>
  </si>
  <si>
    <t>LYSIN,L(HCl)98,5%</t>
  </si>
  <si>
    <t>LYSIN,L Vådfoder FK=75%</t>
  </si>
  <si>
    <t>LYSIN,L Vådfoder FK=50%</t>
  </si>
  <si>
    <t>LYSIN 40% (60%kridt)</t>
  </si>
  <si>
    <t>LYSIN 40% (60%hv klid)</t>
  </si>
  <si>
    <t>LYSIN 30% (70%hv strømel)</t>
  </si>
  <si>
    <t xml:space="preserve">Lupin opbevares tørt - lupin er lagerfast ved 89-90 procent tørstof. Ellers ingen specielle forhold.
Der er ingen problemer forbundet med håndtering og transport af lupin som løsvare. ” 
</t>
  </si>
  <si>
    <t xml:space="preserve">Fra naturens side har frø af lupin et højt indhold af alkaloider. Der er fremavlet sorter af gul, hvid og blå lupin, som har et lavt indhold af alkaloider. Sorter med under 0,03 procent alkaloider giver sandsynligvis ikke fodringsmæssige problemer. Et højere indhold af alkaloider betyder en bitter smag i foderet samt en lavere foderoptagelse. 
En lav foderoptagelse eller evt. æde vægring skyldes et for højt indhold af alkaloider i foderet. Afhjælp problemet ved kun at bruge de fremavlede sorter af gul, hvid og blå lupin, som har et lavt indhold af alkaloider. Reducer indholdet af lupin i foderet.
</t>
  </si>
  <si>
    <t>Der findes tre arter af lupin, og deres dyrkningsegenskaber og foderværdi er noget forskellige:
•Smalbladet blå lupin (L. angustifolius) 
•Gul lupin (L. luteus) 
•Hvid lupin (L. albus).
I Europa dyrkes alle tre arter, men under danske forhold er der størst interesse for dyrkning af smalbladet blå lupin på grund af den tidlige modning. Gul lupin dyrkes hovedsagligt i Australien, og hvid lupin i Chile, Ægypten, Sydafrika og Østeuropa.
Ud fra forsøg og generel erfaring vurderes, at lupin kan bruges i henhold til følgende kilder: [170].
Indholdet af opløselige og uopløselige fibre er beregnet, se versionsbeskrivelsen for 3. juni 2016</t>
  </si>
  <si>
    <t>3.9.1</t>
  </si>
  <si>
    <t>LUPIN, gul (Obs.: Gamle data)</t>
  </si>
  <si>
    <t>LUPIN, blå,</t>
  </si>
  <si>
    <t>Lucernepiller, Ekstra</t>
  </si>
  <si>
    <t>006-0428</t>
  </si>
  <si>
    <t>Total dried forages, at plant/RER Economic S</t>
  </si>
  <si>
    <t>Lucernegrønmel kan være svære at få ud af siloen, og kan indeholde en del sand, hvorfor pillerne bør formales med hammermølle, der har forstærket sold, af hensyn til slitage.</t>
  </si>
  <si>
    <t>På grund af det lave indhold af energi er lucernegrønmel kun egnet i foder til søer. Et forsøg har vist, at brug af 12 procent lucernegrønmel i foder til søer betød, at unge søer under 4. læg fik 0,6 færre levendefødte grise pr. kuld end den tilsvarende gruppe i kontrolgruppen [96]. Modsat fik de ældre søer over 3. læg 0,5 flere levendefødte grise pr. kuld, end den tilsvarende gruppe søer i kontrolgruppen.
Brug af lucernegrønmel i foder til diegivende søer betyder, at foderets indhold af energi falder. Dette kan betyde både en lavere foderoptagelse og en lavere mælkeydelse. Reducer iblandingen af lucernegrønmel i foderet til de diegivende søer.</t>
  </si>
  <si>
    <t xml:space="preserve">Lucernegrønmel er fintsnittet lucerne (Medicago sativa L. og Medicago varia M.), og der skal være mindst 80 procent botanisk renhed. Produktet kunsttørres i en tromletørre med efterfølgende pelletering.
Der produceres en del lucernepiller i Danmark.
Ud fra forsøg og generel erfaring vurderes, at lucernepiller kan bruges i henhold til følgende kilder: [96], [97], [98].
Indholdet af opløselige og uopløselige fibre er beregnet, se versionsbeskrivelsen for 3. juni 2016
</t>
  </si>
  <si>
    <t>6.10.5</t>
  </si>
  <si>
    <t>LUCERNEGRØNMEL (lucernepiller)</t>
  </si>
  <si>
    <t>LEUCIN,L98,5</t>
  </si>
  <si>
    <t>Fremkommer ved at kærne smør af fløde eller lignende processer. Kan være koncentreret og/eller tørret.</t>
  </si>
  <si>
    <t>8.2.1</t>
  </si>
  <si>
    <t>KÆRNEMÆLKSPULVER, Type B</t>
  </si>
  <si>
    <t>KÆRNEMÆLKSPULVER</t>
  </si>
  <si>
    <t>Ærtehelsæd, ensilage</t>
  </si>
  <si>
    <t>006-0315</t>
  </si>
  <si>
    <t>Helsæd er betegnelsen for en afgrøde af byg, hvede eller ærter høstet før modenhed. Byg og hvede ensileres i renbestand, mens ærter ofte blandes med byg eller hvede. Afgrøder til ensilage dyrkes efter samme retningslinier som afgrøderne ved alm.brug.
Helsæd høstes når kerneindholdet er dejagtigt - ca. 5-6 uger efter begyndende skridning. Helsæd skal snittes i 2-4 cm længde.
Generelt gælder det, at indholdet af næringsstoffer i ensilage varierer en del. Indgår ensilage som en væsentlig del af foderrationen bør ensilagen derfor analyseres for indhold af næringsstoffer.
Ensilage er et godt strukturfoder til løsgående drægtige søer. Ensilage bør ikke bruges i stier med spaltegulv. Ærtehelsæd øger søernes ædelyst.
Ud fra generel erfaring vurderes det, at ensilage kan bruges i henhold til følgende kilder: [103], [104], [105].
Fosforfordøjelighederne er vurderet til at være svarende til helsædens ophav; henholdsvis byg, hvede, ærter eller majs</t>
  </si>
  <si>
    <t>6.2.1</t>
  </si>
  <si>
    <t>KORNPLANTER, Helsæd af Ært, gns.</t>
  </si>
  <si>
    <t>Hvedeært, ensilage</t>
  </si>
  <si>
    <t>006-0297</t>
  </si>
  <si>
    <t>KORNPLANTER, Helsæd af Hvede-Ært, gns.</t>
  </si>
  <si>
    <t>Hvedehelsæd, ensilage, middel FK</t>
  </si>
  <si>
    <t>006-0299</t>
  </si>
  <si>
    <t>KORNPLANTER, Helsæd af Hvede, gns.</t>
  </si>
  <si>
    <t>Bygært, ensilage, 40% ærter</t>
  </si>
  <si>
    <t>006-0302</t>
  </si>
  <si>
    <t>Helsæd er betegnelsen for en afgrøde af byg, hvede eller ærter høstet før modenhed. Byg og hvede ensileres i renbestand, mens ærter ofte blandes med byg eller hvede. 
Afgrøder til ensilage dyrkes efter samme retningslinier som afgrøderne ved alm.brug.
Helsæd høstes når kerneindholdet er dejagtigt - ca. 5-6 uger efter begyndende skridning. Helsæd skal snittes i 2-4 cm længde.
Generelt gælder det, at indholdet af næringsstoffer i ensilage varierer en del. Indgår ensilage som en væsentlig del af foderrationen bør ensilagen derfor analyseres for indhold af næringsstoffer.
Ensilage er et godt strukturfoder til løsgående drægtige søer. Ensilage bør ikke bruges i stier med spaltegulv. Ærtehelsæd øger søernes ædelyst.
Ud fra generel erfaring vurderes det, at ensilage kan bruges i henhold til følgende kilder: [103], [104], [105].
Fosforfordøjelighederne er vurderet til at være svarende til helsædens ophav; henholdsvis byg, hvede, ærter eller majs</t>
  </si>
  <si>
    <t>KORNPLANTER, Helsæd af Byg-Ært, gns.</t>
  </si>
  <si>
    <t>Byghelsæd, ensilage, middel FK</t>
  </si>
  <si>
    <t>006-0293</t>
  </si>
  <si>
    <t>KORNPLANTER, Helsæd af Byg, gns.</t>
  </si>
  <si>
    <t>Hvedehalm</t>
  </si>
  <si>
    <t>006-0413</t>
  </si>
  <si>
    <t>Halm bør opbevares tørt og er lagerfast fra omkring 85 % tørstof. Der er ingen speciele forhold, der gør sig gældende omkring håndtering og transport af halm.</t>
  </si>
  <si>
    <t xml:space="preserve">Søer, gylte, polte og slagtesvin, der fodres med fint formalet eller pelleteret foder, har øget risiko for at udvikle maveforandringer (forhorninger, sår og ar i den hvide del af maven, forsnævret spiserørsåbning), hvilket kan give reduceret vækst og utrivelighed. Maveforandringer kan bl.a. forebygges ved at tildele strukturfoder som fx frisk halm [109], [110]. Undersøgelser har dog også vist, at halm ikke har nogen indflydelse på maveindholdets konsistens og dermed maveforandringer [111], [112].
Halm kan indeholde betydelige mængder skimmelsvampe af Fusarium-familien. Disse skimmelsvampe kan danne en lang række forskellige toksiner, som kan give forskellige symptomer på forgiftning [113]. 
Halm, som indeholder svampetoksiner, kan ikke afgiftes og bør derfor kasseres eller fortyndes med halm uden svampetoksiner.
</t>
  </si>
  <si>
    <t xml:space="preserve">Halm er tørrede stængler, blade og avner af korn. Hvede og byg dyrkes i stor udstrækning i Danmark, hvoraf restproduktet af begge kornarter laves til halm.
Halm består næsten udelukkende af tungtopløselige cellevægsstoffer. Indholdet af næringsstoffer, vitaminer og mineraler er med undtagelse af kalcium generelt lavt.
Foderdata stammer fra følgende kilder [106], [107], [108].
</t>
  </si>
  <si>
    <t>6.3.1</t>
  </si>
  <si>
    <t>KORNHALM, Hvede</t>
  </si>
  <si>
    <t>Vinterbyghalm</t>
  </si>
  <si>
    <t>006-0411</t>
  </si>
  <si>
    <t>KORNHALM, Byg</t>
  </si>
  <si>
    <t>Hvede-/kornbærme, tørret</t>
  </si>
  <si>
    <t>001-0037</t>
  </si>
  <si>
    <t>Wheat distillers grains, dried, from ethanol production, at plant/RER Economic S</t>
  </si>
  <si>
    <t>Der er MEGET STOR VARIATION i næringsindholdet mellem partier af kornbærme! Eksempel: Standardafvigelsen i forhold til middelværdien (CV) på aminosyrer går fra ca. 10 pct. for lysin til 30 pct. for tryptofan og valin.
Indholdet i bærme varierer meget alt efter, hvilken kornart og hvilken fabrik det kommer fra: Da der er forskellige behandlingsprocessor i forbindelse med fremstilling af  bioethanol, er der også forskel på restproduktet. På længere sigt er det intentionen at få fastlagt en analyseprofil pr. oprindelse/leverandør, da der givetvis vil forekomme spredning herpå mellem de forskellige procesanlæg, også som naturlig konsekvens af hvilken/hvilke kornarter, der danner basis for ethanolproduktionen på anlægget hen over tid.</t>
  </si>
  <si>
    <t>Restprodukt fra bioethanolproduktionen.
Indholdet af opløselige og uopløselige fibre er beregnet, se versionsbeskrivelsen for 3. juni 2016
Fosfor-fordøjeligheden er sat ud fra et skøn baseret på ikke-varmebehandlet vårbyg.</t>
  </si>
  <si>
    <t>1.12.10</t>
  </si>
  <si>
    <t>KORNBÆRME, tørret (DDGS)</t>
  </si>
  <si>
    <t>Kolbemajs, frisk</t>
  </si>
  <si>
    <t>006-0518</t>
  </si>
  <si>
    <t>1.2.5</t>
  </si>
  <si>
    <t>KOLBEMAJS</t>
  </si>
  <si>
    <t xml:space="preserve">Kokoskage skal opbevares tørt 
Hos hjemmeblandere af svinefoder kræves en stenfælde eller forknuser før formaling/valsning af kokoskage. 
Kokoskage danner let bro under udtagning fra silo, og dermed kan der opstå problemer med at få råvaren ud af en silo. Der kræves derfor et stort sugehoved under silo ved sugetransport fra hammermølle.
Der er ingen problemer ved håndtering og transport af kokoskage som løsvare.
</t>
  </si>
  <si>
    <t xml:space="preserve">Kokoskage kan indeholde aflatoksin B1. Ifølge bekendtgørelsen [1], må der maksimalt være 0,02 mg aflatoksin B1 pr. kg ublandet foderstof. Dårlig opbevaring af kokoskage efter olieudvinding af kokosfedt samt lang transport fra leverandør til modtager kan give problemer med harskning og vækst af skimmelsvampe med efterfølgende dannelse af toksin, primært aflatoksin. Kokoskage har samtidig høj risiko for indhold af foderbåren Salmonella.
Et forsøg viser, at søer, der fik et foder med 20 procent kokoskage fik 0,3 flere levendefødte grise pr. kuld end i kontrolgruppen, og søernes sundhed var ikke påvirket af kokoskagerne [60].
Svineri og tjæreagtig diarré kan skyldes, at foderets totale indhold af protein er højt, som følge af en lav fordøjelighed af proteinet i kokoskager. Reducer eller undgå brug af kokoskager i svinefoder.
</t>
  </si>
  <si>
    <t xml:space="preserve">Kvaliteten af kokoskage varierer, og kagerne kan være forurenede med sand og andre urenheder. Kokosfedt har et lavt jodtal, hvilket giver god kvalitet og konsistens af spæk i den slagtede gris. Proteinet i kokoskager har en lav fordøjelighed, hvorfor det ikke er en specielt velegnet råvare i svinefoder.
Kokoskage dyrkes hovedsagelig i Indonesien, Filippinerne, Fiji, Mexico og Afrika. Danmark importerer kokoskage fortrinsvis fra Indonesien.
Ud fra forsøg og generel erfaring vurderes det, at kokoskage, fedtrig kan bruges i henhold til følgende kilder: [53], [60], [61].
Indholdet af opløselige og uopløselige fibre er beregnet, se versionsbeskrivelsen for 3. juni 2016
</t>
  </si>
  <si>
    <t>2.4.1</t>
  </si>
  <si>
    <t>KOKOSKAGE, FEDTRIG</t>
  </si>
  <si>
    <t>KOBBERSULFAT 100%-opløsning</t>
  </si>
  <si>
    <t>KOBBEROXID 100%-opløsning</t>
  </si>
  <si>
    <t>Guesstm: Samme som "Roepiller", DCA rap. 116</t>
  </si>
  <si>
    <t>Potato protein, from wet milling, at plant/RER Economic S</t>
  </si>
  <si>
    <t>Kartoffelprotein opbevares tørt
Varen bør ikke transporteres på bånd i ren form af hensyn til belægninger på returbåndet. kartoffelprotein kan være vanskeligt at få ud af silo.</t>
  </si>
  <si>
    <t xml:space="preserve">Kartoffelprotein kan indeholde det bitre og giftige stof solanin, hvilket giver lavere foderoptagelse og dermed også lavere daglig tilvækst. 
Indholdet af solanin i dette produkt er undersøgt i 2020-2021, hvor det varierede fra 797 til 1.520 ppm i varen. Gennemsnittet var 1.144 ppm i varen. Der blev foretaget reanalyser af prøver "længst fra gennemsnittet" og herefter var variationsområdet fra 800 til 1400 med et gennemsnit på 1.096 ppm i varen for alle 15 prøver. Se notat nr. 2112 [181].
Forsøg har vist, at hvis en fuldfoderblanding til smågrise har et indhold på mindre end 200 ppm solanin, er der ingen påvirkning af dødelighed og frekvens af diarré. Ved kartoffelprotein med 1.520 ppm svarer det til maks. iblandingsprocent på 13; ved 1.400 ppm svarer det til maks. 14 % iblanding.
Solanin har en bitter smag, og det irriterer slimhinden i tarmkanalen. Solanin kan være årsag til mavepine og diarré. Et synligt tegn er ædevægring, reduceret tilvækst og evt. begyndende diarré. Der kan kun gennemføres analyse for indhold af solanin i en renvare af kartoffelprotein, fordi analysen ikke er følsom nok til at måle den lave koncentration, der er i et fuldfoder.
</t>
  </si>
  <si>
    <t>Kartoffelprotein er et tørret biprodukt fra fremstilling af kartoffelstivelse ud fra knolde af kartoffelplanten (Solanum tuberosum). Kartoffelprotein fremstilles hovedsageligt i Danmark, Tyskland, Frankrig, Holland og Polen.
Produktet er ved teknisk behandling koncentreret med hensyn til indhold af protein, og der skal være et indhold af råprotein i tørstof på mindst 76 pct.
Det skal bemærkes, at produktet kan indeholde det bitre og giftige stof "solanin". 
Indholdet af solanin i dette produkt er undersøgt i 2020-2021 med 15 prøver. Det gennemsnitlige solaninindhol var 1.096 ppm i varen.
Der sælges en kvalitet kartoffelprotein (Protastar), som er kartoffelprotein, der har været igennem en proces, hvor bitterstoffet solanin fjernes ved hjælp af en syrebehandling med efterfølgende ekstraktion og dekantering. Indholdet af solanin er herefter under 40 ppm. Under processen fjernes også en stor del af kaliumindholdet, men til gengæld stiger indholdet af klorid.
Kvalitet
Kartoffelprotein kan ernæringsmæssigt erstatte en del af skummetmælkspulver og/eller fiskemel i blandinger til smågrise. 
Ud fra forsøg og generel erfaring vurderes, at kartoffelprotein kan bruges i henhold til følgende kilder: [95], [181].</t>
  </si>
  <si>
    <t>4.8.10</t>
  </si>
  <si>
    <t>KARTOFFELPROTEIN,  PotaPro 1500 (KMC)</t>
  </si>
  <si>
    <t>Guesstm: Samme som "Default for imp. prot.fod.middel</t>
  </si>
  <si>
    <t>Potato protein, from wet milling, at plant/NL Economic S</t>
  </si>
  <si>
    <t>Kartoffelprotein kan indeholde det bitre og giftige stof solanin, hvilket giver lavere foderoptagelse og dermed også lavere daglig tilvækst. Indholdet af solanin kan variere. I dette produkt deklareres solaninindholdet til under 40 ppm i varen.
Forsøg har vist, at hvis en fuldfoderblanding til smågrise har et indhold på mindre end 200 ppm solanin, er der ingen påvirkning af dødelighed og frekvens af diarré.
Solanin har en bitter smag og det irriterer slimhinden i tarmkanalen. Solanin kan være årsag til mavepine og diarré. Et synligt tegn er ædevægring, reduceret tilvækst og evt. begyndende diarré. Der kan kun gennemføres analyse for indhold af solanin i en renvare af kartoffelprotein, fordi analysen ikke er følsom nok til at måle den lave koncentration, der er i et fuldfoder.</t>
  </si>
  <si>
    <t>Kartoffelprotein er et tørret biprodukt fra fremstilling af kartoffelstivelse ud fra knolde af kartoffelplanten (Solanum tuberosum). Kartoffelprotein fremstilles hovedsageligt i Danmark, Tyskland, Frankrig, Holland og Polen.
Produktet er ved teknisk behandling koncentreret med hensyn til indhold af protein, og der skal være et indhold af råprotein i tørstof på mindst 76 pct.
Det skal bemærkes, at produktet kan indeholde det bitre og giftige stof "solanin". 
Der sælges en kvalitet kartoffelprotein (Protastar), som er kartoffelprotein, der har været igennem en proces, hvor bitterstoffet solanin fjernes ved hjælp af en syrebehandling med efterfølgende ekstraktion og dekantering. Indholdet af solanin er herefter under 40 ppm. Under processen fjernes også en stor del af kaliumindholdet, men til gengæld stiger indholdet af klorid.
Kvalitet
Kartoffelprotein kan ernæringsmæssigt erstatte en del af skummetmælkspulver og/eller fiskemel i blandinger til smågrise. 
Ud fra forsøg og generel erfaring vurderes, at kartoffelprotein kan bruges i henhold til følgende kilder: [95].</t>
  </si>
  <si>
    <t>KARTOFFELPROTEIN,  PROTASTAR</t>
  </si>
  <si>
    <t>Potato protein, from wet milling, at plant/DE Economic S</t>
  </si>
  <si>
    <t>Kartoffelprotein kan indeholde det bitre og giftige stof solanin, hvilket giver lavere foderoptagelse og dermed også lavere daglig tilvækst.Kartoffelprotein uden oprindelseskilde kan variere mellem 800 - 4.000 ppm solanin i varen.
Forsøg har vist, at hvis en fuldfoderblanding til smågrise har et indhold på mindre end 200 ppm solanin, er der ingen påvirkning af dødelighed og frekvens af diarré.
Solanin har en bitter smag og det irriterer slimhinden i tarmkanalen. Solanin kan være årsag til mavepine og diarré. Et synligt tegn er ædevægring, reduceret tilvækst og evt. begyndende diarré. Der kan kun gennemføres analyse for indhold af solanin i en renvare af kartoffelprotein, fordi analysen ikke er følsom nok til at måle den lave koncentration, der er i et fuldfoder. Handlingsforslag i så tilfælde: Reducer indholdet af kartoffelprotein i blandingen. Alternativt kan en prøve af partiet med kartoffelprotein analyseres for indhold af solanin.</t>
  </si>
  <si>
    <t>KARTOFFELPROTEIN</t>
  </si>
  <si>
    <t>11.5.1</t>
  </si>
  <si>
    <t>KALIUMKLORID</t>
  </si>
  <si>
    <t>KALIUMJODID 1%-opløsning</t>
  </si>
  <si>
    <t>Wheat grain, dried, at farm/DK Economic S</t>
  </si>
  <si>
    <t xml:space="preserve">Nærværende tabelværdi skal blot betragtes som et eksempel.
"Kagemix" kan formodentlig variere meget i indhold - alt efter hvilken kageproduktion, produktet er restprodukt fra. </t>
  </si>
  <si>
    <t xml:space="preserve">"Kagemix" kan formodentlig variere meget i indhold - alt efter hvilken kageproduktion, produktet er restprodukt fra, fx: 
Vanillekranse, fedtindhold ca.: 28 %
Citronmåne, fedtindhold ca.: 17 %
Derfor anbefales det at foretage jævnlige analyser af FEsv/FEso (dvs.: Vand, råprotein, råfedt, råaske, EFOS og EFOSi), hvis produktet indgår i betydende mængder i foderrationen. Nærværende tabelværdi skal blot betragtes som et eksempel og værdierne stammer fra et mindre pilotforsøg på et foderlaboratorium med to prøver af produktet Energex. Her blev det vist, at et produkt med dette råfedtindhold (12,5 %) kan måles direkte uden problemer med EFOS- og EFOSi-metoderne uden at forudgående fedtekstraktion af prøven er nødvendig.
I foderoptimeringsprogrammer anbefales det at oprette produktet i tabellen som en kopi af hvede og derefter indtaste ovennævnte analyser. Dermed fås et godt estimat for aminosyreindhold samt fordøjelighed af råprotein og aminosyrer
</t>
  </si>
  <si>
    <t>KAGEMIX (hvede, fedt, sukker)</t>
  </si>
  <si>
    <t>JERNSULFAT,HEPT 1%-opløsning</t>
  </si>
  <si>
    <t>ISOLEUCIN,L98,5</t>
  </si>
  <si>
    <t>Linseed, at farm/DE Economic S</t>
  </si>
  <si>
    <t>Hørfrø er lagerfaste ved 91-92 procent tørstof.
Vi har ikke erfaringer med håndtering af hørfrø, men da det er meget olieholdige frø kan der tages udgangspunkt i opbevaring/håndtering af rapsfrø.</t>
  </si>
  <si>
    <t>Et højt indhold af blåsyre forhindrer ilttransport i blodet og kan medføre kvælning. Kontroller derfor indholdet af blåsyre.</t>
  </si>
  <si>
    <t>Frø af hør ( Linum usitatissimum L.). Hørfrø importeres fra bl.a. Canada, Argentina, Indien, Kina og europæiske lande.
Hørfrø kan indeholde det uønskede stof Linamarin, der kan medføre indhold af blåsyre.</t>
  </si>
  <si>
    <t>2.8.1</t>
  </si>
  <si>
    <t>HØRFRØ (Obs.: Gamle data)</t>
  </si>
  <si>
    <t>Hvedestrømel</t>
  </si>
  <si>
    <t>001-0049</t>
  </si>
  <si>
    <t>Wheat bran, from dry milling, at plant/NL Economic S</t>
  </si>
  <si>
    <t>Hvedestrømel opbevares tørt.
Hvedestrømel er et meget findelt foder, som støver meget, hvilket man skal være opmærksom på under transport og forarbejdning.</t>
  </si>
  <si>
    <t>Hvedestrømel er et meget findelt foder, som støver meget. På grund af den høje grad af findeling opfattes råvaren som strukturfattig.
Der er ingen eksempler på, at hvedestrømel har forårsaget problemer.</t>
  </si>
  <si>
    <t xml:space="preserve">Hvedestrømel er et biprodukt fra fremstilling af mel ud fra renset hvede. Hvedestrømel består hovedsagelig af dele af endosperm, fine skaldele og enkelte andre kornbestanddele.
Kvalitet
Hvedestrømel har et lavere indhold af træstof end hvedeklid. Hvedestrømel har en kemisk sammensætning, der minder meget om hvedeklid. Sammensætning og kvalitet kan variere. Hvedestrømel anvendes ofte som bærestof i forblandinger.
</t>
  </si>
  <si>
    <t>1.11.4</t>
  </si>
  <si>
    <t>HVEDESTRØMEL</t>
  </si>
  <si>
    <t>Hvedeklid</t>
  </si>
  <si>
    <t>001-0050</t>
  </si>
  <si>
    <t xml:space="preserve">Hvedeklid opbevares tørt.
Hvedeklid danner let bro, og kan være vanskelig at få ud af siloen. Det kan afhjælpes ved trykluft eller vibrator i silosiden. Der er ingen problemer ved transport af hvedeklid som løsvare.
</t>
  </si>
  <si>
    <t>Der er ingen specielle forhold at være opmærksom på omkring hvedeklid, og der er ingen eksempler på problemer forårsaget af produktet.</t>
  </si>
  <si>
    <t xml:space="preserve">Hvedeklid er et biprodukt fra fremstilling af mel ud fra renset hvede. Hvedeklid består hovedsagelig af skaldele eller dele af korn, hvorfra størstedelen af endosperm er fjernet.
Kvalitet
Hvedeklid har, i sammenligning med hvede, et højt indhold af træstof og opfattes som et godt strukturfoder. Hvedeklid har et lavt indhold af energi.
Et forsøg har vist, at iblanding af 15 procent hvedeklid af korndelen i foder til slagtesvin forringede produktiviteten statistisk sikkert sammenlignet med en ren hvedebaseret blanding [15]. Derimod påvirkede iblanding af 15 procent hvedeklid ikke mave-tarm-sundhed eller forekomst af Salmonella.
En anden undersøgelse antydede også, at produktiviteten forringes ved brug af hvedeklid i slagtesvinefoder [21], men at faldet kan modvirkes ved tilsætning af kulhydratspaltende enzyme (xylanase). Effekt af xylanase på EFOSi-analysen af hvedeklid regnes til 0,3 %-enheder [179]
Indholdet af opløselige og uopløselige fibre er beregnet, se versionsbeskrivelsen for 3. juni 2016
</t>
  </si>
  <si>
    <t>1.11.7</t>
  </si>
  <si>
    <t>HVEDEKLID +xylanase</t>
  </si>
  <si>
    <t>Hvedeklid opbevares tørt.
Hvedeklid danner let bro, og kan være vanskelig at få ud af siloen. Det kan afhjælpes ved trykluft eller vibrator i silosiden. Der er ingen problemer ved transport af hvedeklid som løsvare.</t>
  </si>
  <si>
    <t xml:space="preserve">Hvedeklid er et biprodukt fra fremstilling af mel ud fra renset hvede. Hvedeklid består hovedsagelig af skaldele eller dele af korn, hvorfra størstedelen af endosperm er fjernet.
Kvalitet
Hvedeklid har, i sammenligning med hvede, et højt indhold af træstof og opfattes som et godt strukturfoder. Hvedeklid har et lavt indhold af energi.
Et forsøg har vist, at iblanding af 15 procent hvedeklid af korndelen i foder til slagtesvin forringede produktiviteten statistisk sikkert sammenlignet med en ren hvedebaseret blanding [15]. Derimod påvirkede iblanding af 15 procent hvedeklid ikke mave-tarm-sundhed eller forekomst af Salmonella.
En anden undersøgelse antydede også, at produktiviteten forringes ved brug af hvedeklid i slagtesvinefoder [21], men at faldet kan modvirkes ved tilsætning af kulhydratspaltende enzymer.
Indholdet af opløselige og uopløselige fibre er beregnet, se versionsbeskrivelsen for 3. juni 2016
</t>
  </si>
  <si>
    <t>HVEDEKLID</t>
  </si>
  <si>
    <t>Wheat gluten feed, from wet milling, at plant/RER Economic S</t>
  </si>
  <si>
    <t>Hvedeglutenfoder opbevares tørt.
Hvedeglutenfoder er et meget findelt foder, som støver meget, hvilket man skal være opmærksom på under transport og forarbejdning.</t>
  </si>
  <si>
    <t>Råvaren hvedeglutenfoder kan være mere eller mindre renset for små stykker hvede eller hvedemel hvorved proteinindholdet kan variere.
Hvedeglutenfoder består af klid, hvorfra kimen kan være delvis fjernet, og af gluten, hvortil meget små mængder af brudhvede, der stammer fra sigtningen af hveden, og meget små restmængder fra hydrolysen af stivelsen kan være tilsat.
Indholdet af opløselige og uopløselige fibre er beregnet, se versionsbeskrivelsen for 3. juni 2016</t>
  </si>
  <si>
    <t>1.11.16</t>
  </si>
  <si>
    <t>HVEDEGLUTENFODER</t>
  </si>
  <si>
    <t>Wheat gluten meal, from wet milling, at plant/RER Economic S</t>
  </si>
  <si>
    <t xml:space="preserve">Hvedegluten opbevares tørt.
</t>
  </si>
  <si>
    <t xml:space="preserve">Gluten udgør hovedparten af proteinindholdet i en del kornarter, især hvede, rug og byg. 
Sammen med stivelse udgør gluten det meste af det indre af kornet, hviden.  
Hvedegluten dannes ved ekstraktion fra hvedemel hvorved stivelsen vaskes ud og bruges til andet formål.   
Indholdet af opløselige og uopløselige fibre er beregnet, se versionsbeskrivelsen for 3. juni 2016
Mineralindholdet er - i mangel af aktuelle analyser - hentet fra National Research Council Canada her: https://www.nrc-cnrc.gc.ca/eng/solutions/advisory/crm/certificates/glut_1.html 
</t>
  </si>
  <si>
    <t>1.11.18</t>
  </si>
  <si>
    <t>HVEDEGLUTEN 80% protein (Obs.: Gamle data)</t>
  </si>
  <si>
    <t xml:space="preserve">Hvede opbevares tørt og er lagerfast ved 86 pct. tørstof. Ellers ingen specielle forhold.
Ved transport af fugtige partier med et vandindhold på 20 pct. eller derover, bør transport fra korngrav foretages med kæderedler frem for med sidesnegl eller sneglerende.
</t>
  </si>
  <si>
    <t xml:space="preserve">En høj andel af hvede eller hvede som eneste kornart øger risikoen for mave-tarm-problemer, som fx Salmonella og mavesår. Det anbefales i sådanne tilfælde at anvende en grovere formaling. Man bør dog være opmærksom på, at grovere formaling forringer foderudnyttelsen, og ændringen bør derfor altid ske udfra en ordentlig diagnose. Læs mere i afsnittet Formaling og foderstruktur.
Hvede kan være inficeret med hvede stinkbrand og kan indeholde Fusarium-toksiner.
Årsagen til problemer med mave- og fordøjelsesforstyrrelser samt svineri i stierne kan skyldes manglende struktur i foderet som følge af det lave indhold af fibre i hvede. Manglende struktur i foderet giver risiko for dannelse af maveforandringer og -sår i den hvide del af maven. En grov formaling eller valsning af hvede afhjælper i mange tilfælde problemet med manglende struktur i foderet og dermed risiko for mavesår, men øger samtidig risikoen for en væsentlig forringelse af foderudnyttelsen.
</t>
  </si>
  <si>
    <t xml:space="preserve">Hvede, som dyrkes i stor udstrækning i Danmark, er frø fra dyrkede sorter af hvedeplanter (Triticum aestivum og Triticum durum).
Hvede kan indgå i et foder til grise som eneste kornart. Er der før høst brugt stråforkortningsmidler, bør hvede i foder til søer maksimalt udgøre 30 pct. af FEso.
En igangværende undersøgelse tyder på, at der er forskel i foderværdien (indhold af FEsv) mellem forskellige sorter. Der er ud fra de foreløbige tal et potentiale på 3,5 FEsv pr. 100 kg i vinterhvede, men flere analyser skal vise, om der i fremtiden skal vælges sort efter FEsv pr. ha.
Hvede har et lavt indhold af fibre.
"d.gr.": Tabelværdien for natrium er lig med detektionsgrænsen i det anvendte laboratorium. Det reele indhold  kan være lavere. Mange analyser af refereprøven (hvor resultaterne overlevede laboratoriets deteksgrænse) viste 0,06 g/kg vare :-)
Ud fra forsøg og generel erfaring vurderes, at hvede kan bruges i henhold til følgende kilder: [1], [3], [5], [6], [9], [11], [12], [14], [15]. [17], [18], [19], [20], 
</t>
  </si>
  <si>
    <t>1.11.1</t>
  </si>
  <si>
    <t>HVEDE, 2020, varmebehandlet, økologisk</t>
  </si>
  <si>
    <t>HVEDE, 2020,  økologisk</t>
  </si>
  <si>
    <t>Hvede</t>
  </si>
  <si>
    <t>001-0013</t>
  </si>
  <si>
    <t xml:space="preserve">Hvede, som dyrkes i stor udstrækning i Danmark, er frø fra dyrkede sorter af hvedeplanter (Triticum aestivum og Triticum durum).
En igangværende undersøgelse tyder på, at der er forskel i foderværdien (indhold af FEsv) mellem forskellige sorter. Der er ud fra de foreløbige tal et potentiale på 3,5 FEsv pr. 100 kg i vinterhvede, men flere analyser skal vise, om der i fremtiden skal vælges sort efter FEsv pr. ha.
Hvede har et lavt indhold af fibre.
Ud fra forsøg og generel erfaring vurderes, at hvede kan bruges i henhold til følgende kilder: [1], [3], [5], [6], [9], [11], [12], [14], [15]. [17], [18], [19], [20], 
</t>
  </si>
  <si>
    <t>HVEDE, 2020,  varmebehandlet  + xylanase</t>
  </si>
  <si>
    <t>HVEDE, 2020,  varmebehandlet</t>
  </si>
  <si>
    <t>HVEDE, 2020 + xylanase</t>
  </si>
  <si>
    <t>HVEDE, 2020</t>
  </si>
  <si>
    <t xml:space="preserve">Tabelværdierne er dannet ved kopi af VSPs fodermiddelkode 51211 (gennemsnit af hvede de seneste tre år i udgaven svarende til varmebehandlet foder tilsat xylanase), hvor eneste ændring er råproteinkoncentration med de afledte konsekvenser for råproteinfordøjeligheden og aminosyreandelen i procent af råprotein.
Formålet med denne tabelværdi er at give et eksempel på værdien af korn med højt proteinindhold, som fx tysk korn, hvor gødningsreglerne er anderledes end de danske.
Hvede, som dyrkes i stor udstrækning i Danmark, er frø fra dyrkede sorter af hvedeplanter (Triticum aestivum og Triticum durum).
En igangværende undersøgelse tyder på, at der er forskel i foderværdien (indhold af FEsv) mellem forskellige sorter. Der er ud fra de foreløbige tal et potentiale på 3,5 FEsv pr. 100 kg i vinterhvede, men flere analyser skal vise, om der i fremtiden skal vælges sort efter FEsv pr. ha.
Hvede har et lavt indhold af fibre.
Ud fra forsøg og generel erfaring vurderes, at hvede kan bruges i henhold til følgende kilder: [1], [3], [5], [6], [9], [11], [12], [14], [15]. [17], [18], [19], [20], 
</t>
  </si>
  <si>
    <t>HVEDE, 11,5 % råprotein, varmebehandlet + xylanase</t>
  </si>
  <si>
    <t>HVEDE, 10,0 % råprotein, varmebehandlet + xylanase</t>
  </si>
  <si>
    <t>HVEDE, 10% råprotein</t>
  </si>
  <si>
    <t>HVEDE,  gns. 2019-2021, varmebehandlet  + xylanase</t>
  </si>
  <si>
    <t>HVEDE,  gns. 2019-2021, varmebehandlet</t>
  </si>
  <si>
    <t>HVEDE,  gns. 2019-2021 + xylanase</t>
  </si>
  <si>
    <t>HVEDE,  gns. 2019-2021</t>
  </si>
  <si>
    <t>Hvede 2019</t>
  </si>
  <si>
    <t>001-0130</t>
  </si>
  <si>
    <t>HVEDE,  2021,  varmebehandlet  + xylanase</t>
  </si>
  <si>
    <t>HVEDE,  2021,  varmebehandlet</t>
  </si>
  <si>
    <t>HVEDE,  2021  + xylanase</t>
  </si>
  <si>
    <t>HVEDE,  2021</t>
  </si>
  <si>
    <t>HISTIDIN,L98,5</t>
  </si>
  <si>
    <t>003-0007</t>
  </si>
  <si>
    <t>Broad bean, market mix, at regional storage/RER Economic S</t>
  </si>
  <si>
    <t>Hestebønner skal opbevares tørt og er lagerfast ved 88-89 pct. tørstof. 
Hestebønner bør ikke transporteres med flexsnegle. Sneglevindinger på kornsnegle fræses ned ved indløb.
Der er ingen problemer ved transport af hestebønner som løsvare.</t>
  </si>
  <si>
    <t>Hestebønner kan ikke anbefales til søer.
Hestebønner har et varierende indhold af stoffer, som kan hæmme væksten hos grise.
Brug hvidblomstrende sorter eller sorterne Fuego eller Espresso i foder til svin, idet de har lavt indhold af tanniner og glykosider. Brug af hestebønner i foder med højt indhold af tanniner eller glykosider kan betyde en lavere daglig foderoptagelse og en dårligere foderudnyttelse</t>
  </si>
  <si>
    <t>Bønner af bælgplanten hestebønne (Vicia fabe). Hestebønner dyrkes kun i begrænset omfang i Danmark.
Kvalitet
Mellem sorterne kan der være stor forskel i næringsindhold og indhold af anti-nutritionelle forbindelser. Brug derfor hvidblomstrende sorter eller sorter med et lavt indhold af tanniner, som f.eks. Fuego og Espresso i foder til svin.
Ud fra forsøg og generel erfaring vurderes, at hestebønne kan bruges i henhold til følgende kilder: [82].
Hovedparten af analyseværdierne stammer fra en igangværende afprøvning af hestebønnesorterne Columbo, Fuego og Espresso i foder til smågrise (høst 2012).
Der er observeret store forskelle mellem høstår mht. analyseret koncentration af råprotein og energi. Derfor anbefales det at anvende aktuelle analyser for det enkelte parti hestebønner.
Indholdet af opløselige og uopløselige fibre er beregnet, se versionsbeskrivelsen for 3. juni 2016</t>
  </si>
  <si>
    <t>3.7.1</t>
  </si>
  <si>
    <t>HESTEBØNNER, høst 2012, Fuego</t>
  </si>
  <si>
    <t>HESTEBØNNER, høst 2012, Espresso</t>
  </si>
  <si>
    <t>HESTEBØNNER, høst 2012, Columbo</t>
  </si>
  <si>
    <t>Bønner af bælgplanten hestebønne (Vicia fabe). Hestebønner dyrkes kun i begrænset omfang i Danmark.
Kvalitet
Mellem sorterne kan der være stor forskel i næringsindhold og indhold af anti-nutritionelle forbindelser. Brug derfor hvidblomstrende sorter eller sorter med et lavt indhold af tanniner, som f.eks. Fuego og Espresso i foder til svin.
Ud fra forsøg og generel erfaring vurderes, at hestebønne kan bruges i henhold til følgende kilder: [82].
Analyseværdierne stammer dels fra en afprøvning af hestebønnesorterne Columbo, Fuego og Espresso i foder til smågrise (høst 2012), dels fra en afprøvning af Fuego hestebønner til slagtesvin (høst 2014).
Der er observeret store forskelle mellem høstår mht. analyseret koncentration af råprotein og energi. Derfor anbefales det at anvende aktuelle analyser for det enkelte parti hestebønner.
Indholdet af opløselige og uopløselige fibre er beregnet, se versionsbeskrivelsen for 3. juni 2016</t>
  </si>
  <si>
    <t>HESTEBØNNER, gennemsnit af høst 2016</t>
  </si>
  <si>
    <t>2012&amp;'14</t>
  </si>
  <si>
    <t>HESTEBØNNER, gennemsnit af høst 2015</t>
  </si>
  <si>
    <t>HESTEBØNNER, gennemsnit af høst 2014</t>
  </si>
  <si>
    <t>HESTEBØNNER, gennemsnit af høst 2012</t>
  </si>
  <si>
    <t>dec-15</t>
  </si>
  <si>
    <t>HESTEBØNNER,  gennemsnit af høst 2012, 2014, 2015 og 2016</t>
  </si>
  <si>
    <t>Havreskalmel (klid)</t>
  </si>
  <si>
    <t>001-0046</t>
  </si>
  <si>
    <t>Havreskalmel skal opbevares tørt.
Havreskalmel danner meget let bro i siloer og kan være vanskeligt at få ud af siloen. Trykluft og vibrator i silosiderne kan afhjælpe problemet. Ved udtagning med sug fra hammermølle bør der sættes stort sugehoved på siloens bund.
Hvis havreandelen i en blanding er over ca. 10 procent, opstår der ofte problemer med "hængning" i siloer og foderautomater. Dette forværres ved høj fugtighed og ved grov formaling.</t>
  </si>
  <si>
    <t>Havreskalmel er godt i foder til søer, på grund af råvarens høje indhold af træstof. 
Havreskalmels egenskab som strukturfoder er dog reduceret væsentlig, som følge af en meget fin formaling. Havreskalmel er ikke velegnet i foder til smågrise og slagtesvin på grund af det lave energiindhold.
Der er ikke eksempler på, at havreskalmel har været årsag til problemer.</t>
  </si>
  <si>
    <t>Havreskalmel er et biprodukt fra fremstilling af havregryn ud fra renset havre, og består hovedsagelig af havreskaller og havreklid.
Havreskalmel er et biprodukt fra fremstilling af havregryn ud fra renset havre. Havreskalmel består hovedsagelig af havreskaller og havreklid.
Kvalitet
Havreskalmel har et meget højt indhold af fibre og et lavt indhold af energi.
Det vurderes, at havreskalmel kun bør anvendes i foder til søer. Det maksimale indhold af havreskalmel i foder kan ses i oversigten Maksimalt indhold af råvarer i foder.</t>
  </si>
  <si>
    <t>1.4.11</t>
  </si>
  <si>
    <t>HAVRESKALMEL</t>
  </si>
  <si>
    <t>Oat grain, dried, at farm/DK Economic S</t>
  </si>
  <si>
    <t>Havre bør ikke blandes med andre kornarter i siloen, da det er tilbøjelig til at "stå stille" under tømning af siloen, hvilket samtidig betyder svingende blandingsnøjagtighed. Hvis havreandelen i en blanding er over 10 procent, opstår der ofte problemer med "hængning" i siloer og foderautomater. Dette forværres ved høj fugtighed og ved grov formaling.
Ved transport af fugtige partier med et vandindhold på 20 procent eller derover, bør der bruges kæderedler frem for sidesnegl eller sneglerende.</t>
  </si>
  <si>
    <t xml:space="preserve">Havre er et godt strukturfoder især til sofoder, og erfaringer viser, at brug af havre kan afhjælpe problemer med diarré hos smågrise. Dette har forsøg dog ikke kunnet bekræfte [4].
Der er ikke eksempler på, at havre skulle have forårsaget problemer.
</t>
  </si>
  <si>
    <t>Denne tabelværdi dækker nøgen havre. Da analysegrundlaget er meget sparsomt, anbefales det at anlysere  tre til fire repræsentativt udtagne prøver med hensyn til råprotein, råfedt, råaske, EFOS og EFOSi, hvis partiet skal udgøre en væsentlig del af foderrationen.
Havre er frø fra dyrkede sorter af havreplanter (Avena sativa), og dyrkes i Danmark
Som kornart har havre et relativt højt indhold af råfedt samt et jodtalsprodukt på 53 mod 34 for byg. Hvis der bruges meget havre i foder til slagtesvin, øger det risikoen for blødt spæk.
Nøgen havre adskiller sig fra almindelig havre ved, at indholdet af skaller - og dermed svært fordøjelige fibre - er lavt. Morfologisk set har nøgen havre løse inder-avner, som falder af under tærskningen. Dette øger den samlede andel af fedt og protein i afgrøden. Afskallet havre er et produkt af den almindelige havresort, som har været igennem et afskalningsanlæg. Både nøgen havre og afskallet havre er gunstigt for husdyr/grise grundet et højt indhold af linolsyre, fibersammensætningen og proteinkvaliteten. Havre har i forhold til hvede et højt indhold af uopløselige fibre i form af beta-glucaner. Indholdet af beta-glucaner er et par procentpoint højere i nøgen havre end i almindelig havre. Nøgen havre har en god aminosyresammensætning og generelt en høj fordøjelighed, og anses derfor for en god råvare til smågrise. 
Havre og nøgen havre giver et lavere udbytte i marken sammenlignet med hvede. Dog betyder havre i sædskiftet, at udbyttet i hvede året efter øges. 
Tilsætning af det kulhydratspaltende enzymxylanase påvirker ikke foderværdien i havre – modsat de øvrige kornarter. En undersøgelse har vist, at EFOSi-værdien ikke blev påvirket i havre ved tilsætning af xylanase. 
Ud fra forsøg og generel erfaring vurderes, at havre kan bruges i henhold til følgende kilder: [3], [29], [30],</t>
  </si>
  <si>
    <t>1.4.1</t>
  </si>
  <si>
    <t>HAVRE, Nøgen</t>
  </si>
  <si>
    <t>Havre, afskallet</t>
  </si>
  <si>
    <t>001-0043</t>
  </si>
  <si>
    <t xml:space="preserve">Havre er et godt strukturfoder især til sofoder, og erfaringer viser, at brug af havre kan afhjælpe problemer med diarré hos smågrise. Dette har forsøg dog ikke kunnet bekræfte [4].
Der er ikke eksempler på, at havre skulle have forårsaget problemer. Afskalningsgraden er justerbar, og derfor vil resultatet af afskalningen afhænge af afskalningsgraden. Jo større en afskalningsgrad som benyttes, jo højere et energiindhold vil man få. 
</t>
  </si>
  <si>
    <t>Havre er frø fra dyrkede sorter af havreplanter (Avena sativa), og dyrkes i Danmark
Som kornart har havre et relativt højt indhold af råfedt samt et jodtalsprodukt på 53 mod 34 for byg. Hvis der bruges meget havre i foder til slagtesvin, øger det risikoen for blødt spæk.
Havre har et højt indhold af fibre, hvilket betyder et noget lavere energiindhold end i de øvrige kornarter. Havre anvendes i dag kun i begrænsede mængder i foder til smågrise, primært begrundet i det lave energiindhold. Havre anvendes i nogle besætninger som ”problemløser”, da erfaringen er, at det er godt til at stabilisere mave-tarm-kanalen og dermed til at reducere problemer med diarré hos smågrise samt til at forbedre mavesundheden hos søer. 
Afskallet havre adskiller sig fra almindelig havre ved, at indholdet af skaller - og dermed svært fordøjelige fibre - er lavere. Havre har i forhold til hvede et højt indhold af uopløselige fibre i form af beta-glucaner. Indholdet af beta-glucaner er et par procentpoint højere i nøgen havre end i almindelig havre. Havre har en god aminosyresammensætning og generelt en høj fordøjelighed, og anses derfor for en god råvare til smågrise. 
Havre giver et lavere udbytte i marken sammenlignet med hvede. Dog betyder havre i sædskiftet, at udbyttet i hvede året efter øges. 
Tilsætning af det kulhydratspaltende enzymxylanase påvirker ikke foderværdien i havre – modsat de øvrige kornarter. En undersøgelse har vist, at EFOSi-værdien ikke blev påvirket i havre ved tilsætning af xylanase. 
Ud fra forsøg og generel erfaring vurderes, at havre kan bruges i henhold til følgende kilder: [3], [29], [30]. Morfologisk set har nøgen havre løse inder-avner, som falder af under tærskningen. Dette øger den samlede andel af fedt og protein i afgrøden. Afskallet havre er et produkt af den almindelige havresort, som har været igennem et afskalningsanlæg. Både nøgen havre og afskallet havre er gunstigt for husdyr/grise grundet et højt indhold af linolsyre, fibersammensætningen og proteinkvaliteten.</t>
  </si>
  <si>
    <t>HAVRE, Afskallet</t>
  </si>
  <si>
    <t>Havre er frø fra dyrkede sorter af havreplanter (Avena sativa), og dyrkes i Danmark
Som kornart har havre et relativt højt indhold af råfedt samt et jodtalsprodukt på 53 mod 34 for byg. Hvis der bruges meget havre i foder til slagtesvin, øger det risikoen for blødt spæk.
Havre har et højt indhold af fibre, hvilket betyder et noget lavere energiindhold end i de øvrige kornarter. Havre anvendes i dag kun i begrænsede mængder i foder til smågrise, primært begrundet i det lave energiindhold. Havre anvendes i nogle besætninger som ”problemløser”, da erfaringen er, at det er godt til at stabilisere mave-tarm-kanalen og dermed til at reducere problemer med diarré hos smågrise samt til at forbedre mavesundheden hos søer. 
Nøgen havre eller afskallet havre adskiller sig fra almindelig havre ved, at indholdet af skaller - og dermed svært fordøjelige fibre - er lavt. Havre har i forhold til hvede et højt indhold af uopløselige fibre i form af beta-glucaner. Indholdet af beta-glucaner er et par procentpoint højere i nøgen havre end i almindelig havre. Nøgen havre har en god aminosyresammensætning og generelt en høj fordøjelighed, og anses derfor for en god råvare til smågrise. 
Havre og nøgen havre giver et lavere udbytte i marken sammenlignet med hvede. Dog betyder havre i sædskiftet, at udbyttet i hvede året efter øges. 
Tilsætning af det kulhydratspaltende enzymxylanase påvirker ikke foderværdien i havre – modsat de øvrige kornarter. En undersøgelse har vist, at EFOSi-værdien ikke blev påvirket i havre ved tilsætning af xylanase. 
"d.gr.": Tabelværdien for natrium er lig med detektionsgrænsen i det anvendte laboratorium. Det reele indhold  kan være lavere.
Ud fra forsøg og generel erfaring vurderes, at havre kan bruges i henhold til følgende kilder: [3], [29], [30],</t>
  </si>
  <si>
    <t>HAVRE, 2020,  økologisk</t>
  </si>
  <si>
    <t>Tabelværdierne er dannet ved kopi af VSPs fodermiddelkode 53010 (gennemsnit af de seneste år i udgaven svarende til varmebehandlet foder), hvor eneste ændring er råproteinkoncentration med de afledte beregnede konsekvenser.
Havre er frø fra dyrkede sorter af havreplanter (Avena sativa), og dyrkes i Danmark
Som kornart har havre et relativt højt indhold af råfedt samt et jodtalsprodukt på 53 mod 34 for byg. Hvis der bruges meget havre i foder til slagtesvin, øger det risikoen for blødt spæk.
Havre har et højt indhold af fibre, hvilket betyder et noget lavere energiindhold end i de øvrige kornarter. Havre anvendes i dag kun i begrænsede mængder i foder til smågrise, primært begrundet i det lave energiindhold. Havre anvendes i nogle besætninger som ”problemløser”, da erfaringen er, at det er godt til at stabilisere mave-tarm-kanalen og dermed til at reducere problemer med diarré hos smågrise samt til at forbedre mavesundheden hos søer. 
Nøgen havre eller afskallet havre adskiller sig fra almindelig havre ved, at indholdet af skaller - og dermed svært fordøjelige fibre - er lavt. Havre har i forhold til hvede et højt indhold af uopløselige fibre i form af beta-glucaner. Indholdet af beta-glucaner er et par procentpoint højere i nøgen havre end i almindelig havre. Nøgen havre har en god aminosyresammensætning og generelt en høj fordøjelighed, og anses derfor for en god råvare til smågrise. 
Havre og nøgen havre giver et lavere udbytte i marken sammenlignet med hvede. Dog betyder havre i sædskiftet, at udbyttet i hvede året efter øges. 
Tilsætning af det kulhydratspaltende enzymxylanase påvirker ikke foderværdien i havre – modsat de øvrige kornarter. En undersøgelse har vist, at EFOSi-værdien ikke blev påvirket i havre ved tilsætning af xylanase. 
Ud fra forsøg og generel erfaring vurderes, at havre kan bruges i henhold til følgende kilder: [3], [29], [30],</t>
  </si>
  <si>
    <t>HAVRE, 11,5 % råprotein</t>
  </si>
  <si>
    <t>001-0010</t>
  </si>
  <si>
    <t>HAVRE, 10,0 % råprotein</t>
  </si>
  <si>
    <t>Havre 2019</t>
  </si>
  <si>
    <t>001-0128</t>
  </si>
  <si>
    <t>HAVRE,  2021</t>
  </si>
  <si>
    <t>Havre er frø fra dyrkede sorter af havreplanter (Avena sativa), og dyrkes i Danmark
Som kornart har havre et relativt højt indhold af råfedt samt et jodtalsprodukt på 53 mod 34 for byg. Hvis der bruges meget havre i foder til slagtesvin, øger det risikoen for blødt spæk.
Havre har et højt indhold af fibre, hvilket betyder et noget lavere energiindhold end i de øvrige kornarter. Havre anvendes i dag kun i begrænsede mængder i foder til smågrise, primært begrundet i det lave energiindhold. Havre anvendes i nogle besætninger som ”problemløser”, da erfaringen er, at det er godt til at stabilisere mave-tarm-kanalen og dermed til at reducere problemer med diarré hos smågrise samt til at forbedre mavesundheden hos søer. 
Nøgen havre eller afskallet havre adskiller sig fra almindelig havre ved, at indholdet af skaller - og dermed svært fordøjelige fibre - er lavt. Havre har i forhold til hvede et højt indhold af uopløselige fibre i form af beta-glucaner. Indholdet af beta-glucaner er et par procentpoint højere i nøgen havre end i almindelig havre. Nøgen havre har en god aminosyresammensætning og generelt en høj fordøjelighed, og anses derfor for en god råvare til smågrise. 
Havre og nøgen havre giver et lavere udbytte i marken sammenlignet med hvede. Dog betyder havre i sædskiftet, at udbyttet i hvede året efter øges. 
Tilsætning af det kulhydratspaltende enzymxylanase påvirker ikke foderværdien i havre – modsat de øvrige kornarter. En undersøgelse har vist, at EFOSi-værdien ikke blev påvirket i havre ved tilsætning af xylanase. 
Ud fra forsøg og generel erfaring vurderes, at havre kan bruges i henhold til følgende kilder: [3], [29], [30],</t>
  </si>
  <si>
    <t>HAVRE,   flerårigt gns.</t>
  </si>
  <si>
    <t>Der sker tab af tørstof, som følge af forgæring i gærfløden, hvis gærfløde opbevares over en længere periode. Holdbarheden på gærfløde er 8-14 dage fra levering. Holdbarheden afhænger dog meget af temperaturen. I vintermånederne har nogle producenter leverancer hver 3. uge. Opbevares gærfløden i åben tank kan det reducere holdbarheden og det er vigtigt at holde en god hygiejne (luk tanken, så der ikke kommer urenheder i). pH-værdien kan bruges som mål for, at gærflødens kvalitet er ok. Er pH over 4,8 bør gærfløden kasseres.
Produktet leveres flydende og kræver derfor opbevaringstank på ejendommen. Læs mere om opbevaring af gærfløde i afsnittet: opbevaring og håndtering af flydende råvarer.</t>
  </si>
  <si>
    <t>Øl-gærfløde kan medføre forhøjet skatol i spækket og må derfor ikke bruges i foder til hangrise [4]. Dette er sandsynligvis ikke gældende for Novo-gærfløde fra produktion af insulin. Ved produktion af hangrise er der måling af skatoltal på slagteriet. Ved for højt skatoltal er der fradrag i afregning for det enkelte slagtesvin.
Indholdet af næringsstoffer og mineraler varierer afhængig af gærflødens oprindelse. Ved brug af gærfløde i foder til grise er det vigtigt at kende produktets oprindelse samt det kemiske indhold af næringsstoffer.
Det er sandsynligvis visse næringsstoffer i øl-gærfløde, der er årsag til, at de skatolproducerende tarmbakterier får specielt gode vækstbetingelser, og dermed også stor produktion af skatol i tarmen.</t>
  </si>
  <si>
    <t xml:space="preserve">Gærfløde er et biprodukt fra fremstillingen af henholdsvis øl, spiritus og insulin, og produktionen foregår i Danmark.
Beskrivelse
Der er stor variation i indhold af tørstof og råprotein i gærfløde.
Der er tre typer gærfløde på det danske marked: 
Øl-gærfløde er et biprodukt fra ølfremstillingen. Brug af øl-gærfløde i foder til hangrise kan medføre forhøjet skatol i spækket hos hangrise, og må derfor ikke bruges i foder til hangrise [4].
Novo-gærfløde er et biprodukt fra fremstilling af insulin på basis af gensplejsede gær. Gæren opvarmes til 80 °C, således at gærcellerne dræbes, hvorefter gæren køles og der tilsættes mælkesyrebakterier for at konservere gærfløden. Novo-gærfløde medfører formentlig ikke samme skatolproblemer som ved øl-gærfløde.
Sprit-gærfløde er et biprodukt fra fremstilling af sprit. Under fremstilling gennemblæses gærfløden med damp og varmes op til kogepunktet, hvorved spritten damper af og gærcellerne dræbes. Sprit-gærfløde tilsættes ca. 0,7 pct. mælkesyre for at konservere gærfløden.
</t>
  </si>
  <si>
    <t>GÆRFLØDE, ØL</t>
  </si>
  <si>
    <t>GÆRFLØDE, SPRIT</t>
  </si>
  <si>
    <t xml:space="preserve">Generel beskrivelse:
Jensen, S.K. (22. november 2017): Græsbaseret proteinkoncentrat, fodereffektivitet, gyllekvalitet og dyre-sundhed. DCA-notat. Aarhus Universitet. </t>
  </si>
  <si>
    <t>GRØNPROTEIN, middel proteinindhold</t>
  </si>
  <si>
    <t xml:space="preserve">Generel beskrivelse:
Jensen, S.K. (22. november 2017): Græsbaseret proteinkoncentrat, fodereffektivitet, gyllekvalitet og dyre-sundhed. DCA-notat. Aarhus Universitet. 
Analyser af det parti grønprotein, der blev anvendt i en afprøvning hos slagtesvin (Meddelelse nr. 1214)
</t>
  </si>
  <si>
    <t>GRØNPROTEIN, højt proteinindhold (Meddelelse nr. 1214)</t>
  </si>
  <si>
    <t>Grønpiller, Standard</t>
  </si>
  <si>
    <t>006-0427</t>
  </si>
  <si>
    <t>Græsgrønmel opbevares tørt; ellers ingen specielle forhold.
Græsgrøntmel bør ikke transporteres med flexsnegle. Sneglevindinger ved almindelige kornsnegle fræses ned ved indløb. Der kan forventes 6-7 gange større slitage ved formaling på hammermølle eller kornrive. Slitagen kan begrænses, men er stadig stor ved valsning på valser med ens periferihastighed.</t>
  </si>
  <si>
    <t>På grund af det lave indhold af energi er græsgrønmel  primært egnet i foder til søer. Brug af græsgrønmel  i foder til diegivende søer betyder, at foderets indhold af energi falder. Dette kan betyde både en lavere foderoptagelse og en lavere mælkeydelse, men kan afhjælpes ved at reducere iblandingen af græsgrønmel i foderet til de diegivende søer.</t>
  </si>
  <si>
    <t>Græsgrønmel er fintsnittet græs og kløver, som kunsttørres i en tromletørrer og derefter pelleteres. Der produceres en del grønpiller i Danmark.
Græsgrønmel har et lavt indhold af energi, som følge af et højt indhold af træstof. Græsgrønmel har stor variation i indhold af træstof afhængig af, i hvilket udviklingstrin græsset høstes. Der kan være stor variation i indhold af næringsstoffer fra parti til parti.
Ud fra forsøg og generel erfaring vurderes, at græsgrønmel kan bruges i henhold til følgende kilder: [96], [97], [98].
Indholdet af opløselige og uopløselige fibre er beregnet, se versionsbeskrivelsen for 3. juni 2016</t>
  </si>
  <si>
    <t>6.5.1</t>
  </si>
  <si>
    <t>GRÆSGRØNMEL (grønpiller)</t>
  </si>
  <si>
    <t>2. slæt kløvergræsensilage</t>
  </si>
  <si>
    <t>006-0521</t>
  </si>
  <si>
    <t>Græsensilage består af finsnittet græs, ofte rajgræsser eller kløvergræs.
Kvaliteten af græsensilage er afhængig af næringsindholdet og sammensætningen af den friske råvare. 
Generelt gælder det, at indholdet af næringsstoffer i ensilage varierer en del. Indgår ensilage som en væsentlig del af foderrationen bør ensilagen derfor analyseres for indhold af næringsstoffer. Oftest aftager fordøjeligheden med stigende slætnummer.
Ensilage er et godt strukturfoder til løsgående drægtige søer. Ensilage bør ikke bruges i stier med spaltegulv</t>
  </si>
  <si>
    <t>6.6.3</t>
  </si>
  <si>
    <t>GRÆSENSILAGE  2. SLÆT</t>
  </si>
  <si>
    <t>1. slæt kløvergræsensilage</t>
  </si>
  <si>
    <t>006-0520</t>
  </si>
  <si>
    <t>GRÆSENSILAGE  1. SLÆT</t>
  </si>
  <si>
    <t>13.8.1</t>
  </si>
  <si>
    <t>GLYCEROL, CONCERINE CD80 FEED</t>
  </si>
  <si>
    <t>Forsæbet fedt (PFAD)</t>
  </si>
  <si>
    <t>012-0004</t>
  </si>
  <si>
    <t>13.6.5</t>
  </si>
  <si>
    <t>Fedtsyredestillater fra fysisk raffinering, palme (PFAD)</t>
  </si>
  <si>
    <t>FOSFORSYRE 75%</t>
  </si>
  <si>
    <t>FORBL  301 E-25 (kun E-vit )</t>
  </si>
  <si>
    <t>FORBL  300 E-10 (kun E-vit )</t>
  </si>
  <si>
    <t>Sugar, from sugar beet, from sugar production, at plant/DE Economic S</t>
  </si>
  <si>
    <t>Fodersukker er ekstraheret fra sukkerroer, og kan også benævnes saccharose.
Fodersukker kan tilsættes foder til nyfravænnede grise for at øge grisenes foderoptagelse. Der er dog ikke forsøgsmæssigt grundlag til at vurdere effekten af tilsætning af fodersukker</t>
  </si>
  <si>
    <t>4.1.3</t>
  </si>
  <si>
    <t>FODERSUKKER  (Obs.: Gamle data)</t>
  </si>
  <si>
    <t>Ris er lagerfast ved 86 procent tørstof.</t>
  </si>
  <si>
    <t>Der er ingen specielle forhold omkring brug, opbevaring og håndtering af ris, man bør være opmærksom på.</t>
  </si>
  <si>
    <t>Ris er de uafskallede korn fra risplanten (Oryza sativa), og importeres fra bl.a. Kina, Indien og Thailand.
Ris kan indeholde de produktionshæmmende stoffer trypsin- og pepsininhibitorer.</t>
  </si>
  <si>
    <t>1.6.7</t>
  </si>
  <si>
    <t>FODERRIS (formalet)</t>
  </si>
  <si>
    <t>Kridt</t>
  </si>
  <si>
    <t>011-0002</t>
  </si>
  <si>
    <t>11.1.1</t>
  </si>
  <si>
    <t>FODERKRIDT, 36 % calcium</t>
  </si>
  <si>
    <t>Brug af store andele af fiskeensilage i foder til slagtesvin giver afsmag i kødet. Denne afsmag skyldes indhold af fiskeolie i råvaren. Fiskeprotein, hydrolyseret  må derfor kun bruges i mindre omfang i foder til slagtesvin [136] og de olieholdige produkter må ikke anvendes til slagtesvin over ca. 35-40 kg.
Der er ikke dokumenterede eksempler på, at fiskeprotein, hydrolyseret har været årsag til problemer.</t>
  </si>
  <si>
    <t>Fremstilles ud fra fraskær i produktionen af lakseprodukter i Norge. Råvaren er farmlaks. Eksempler er produkterne H-pro og H-35 fra firmaet Hordafor A/S. Der tilsættes organisk syre som konserveringsmiddel.  
Ud fra forsøg og generel erfaring vurderes det, at fiskeprotein, hydrolyseret kan bruges i henhold til følgende kilder: [136], [137].</t>
  </si>
  <si>
    <t>10.4.4</t>
  </si>
  <si>
    <t>FISKEPROTEIN, hydrolyseret, H-PRO Lakseproteinkoncentrat</t>
  </si>
  <si>
    <t>FISKEPROTEIN, hydrolyseret, H-35 Lakseproteinkoncentrat</t>
  </si>
  <si>
    <t>Fish meal, from fish meal and oil production, at plant/DK Economic S</t>
  </si>
  <si>
    <t>Fiskemel opbevares tørt; derudover er der ingen specielle forhold.
Fiskemel leveres som melvare eller som 4 mm piller. Fiskemel LT leveres som melvare. Melvare af fiskemel danner let bro i silo, og kræver derfor 60° kegle, vibrator og trykluftspjæld i siloen. Alternativt kan fiskemel lagres i mineralpåslag med omrører.</t>
  </si>
  <si>
    <t>Brug af fiskemel i foder til slagtesvin giver afsmag i kødet. Denne afsmag skyldes indhold af fiskeolie i fiskemel. Fiskemel må derfor kun bruges i foder til grise indtil en vægt af ca. 35-40 kg [135], samt i foder til søer. 
Forsøg har ikke kunnet bekræfte en positiv effekt af brug af fiskemel i foder til søer i goldperioden [132].
Hvis fisk før formaling og varmebehandling er i en begyndende forrådnelse forringes kvaliteten af fiskemel. Dette kan være årsag til lavere daglig foderoptagelse og eventuelt ædevægring. Desuden, hvis fiskemel udsættes for opvarmning ved en for høj temperatur, vil dele af proteinet være ufordøjeligt, og dermed årsag til fx lavere daglig tilvækst.    
Problemer omkring fiskemel ses ved, at grisene mister pludselig deres ædelyst eller reducerer deres daglige foderoptagelse. Undersøg oprindelse og kvalitetstype af den brugte fiskemel. Hvis det vurderes nødvendigt, kan der gennemføres en analyse af fiskemelspartiet, men kemisk analyse vil ikke altid afdække en kvalitetsmæssig forringelse.</t>
  </si>
  <si>
    <t>Islandsk fiskemel bruges stort set ikke i Danmark 
Fiskemel fremstilles ved tørring og formaling af hele eller dele af fisk, hvoraf en del af olien kan være fjernet. Der skal være et indhold af råprotein i tørstof på mindst 61 pct. i fiskemel. 
Hvis fiskemel har et indhold af råprotein i tørstof på mere end 75 pct., kan det betegnes som proteinrigt.
Anvendelse af fiskemel i ren form kræver en godkendelse hos Plantedirektoratet. For bedrifter, der både har svin og drøvtyggere, stilles der, udover krav til godkendelse, yderligere krav. Læs mere på Plantedirektoratets hjemmeside [124].
Kvalitet 
På de danske fiskemelsfabrikker fremstilles 2 fiskemelskvaliteter der anvendes i foder til svin – Standard Fiskemel og LT fiskemel. Der fremstilles desuden andre kvaliteter af fiskemel – og produkter, der bruges i aquaindustrien. For fiskemel af Standardkvalitet er der ingen krav til hverken friskhed, procestemperatur eller proteinfordøjelighed. Fisk, der ikke er helt frisk, er kendetegnet ved, at en proces hvorved proteinet gradvist omdannes til andre kvælstofforbindelser er begyndt. Ved processen dannes aminer eksempelvis cadevarin og histamin og i sidste ende ammoniak. Læs mere herom på http://svineproduktion.dk/Viden/I-stalden/Foder/Raavarer_normer_naeringsstoffer/Fodermiddeltabel_FOER_beskrivelse_af_raavarer [173]
Ved afprøvning i to besætninger blev der ikke fundet nogen effekt på produktionsresultaterne ved at anvende LT-fiskemel frem for Standard fiskemel [125].
Fiskemel har et indhold af råfedt på ca. 9 pct., som hovedsageligt består af umættede fedtsyrer.Ud fra forsøg og generel erfaring vurderes det, at fiskemel kan bruges i henhold til følgende kilder: [126], [127], [128], [129], [130], [131], [132], [133], [134].</t>
  </si>
  <si>
    <t>10.4.2</t>
  </si>
  <si>
    <t>FISKEMEL, ISLAND (Obs.: Gamle data)</t>
  </si>
  <si>
    <t>Brug af fiskemel i foder til slagtesvin giver afsmag i kødet. Denne afsmag skyldes indhold af fiskeolie i fiskemel. Fiskemel må derfor kun bruges i foder til grise indtil en vægt af ca. 35-40 kg [135], samt i foder til søer. 
Forsøg har ikke kunnet bekræfte en positiv effekt af brug af fiskemel i foder til søer i goldperioden [132].
Hvis fisk før formaling og varmebehandling er i en begyndende forrådnelse forringes kvaliteten af fiskemel. Dette kan være årsag til lavere daglig foderoptagelse og eventuelt ædevægring. Desuden, hvis fiskemel udsættes for opvarmning ved en for høj temperatur, vil dele af proteinet være ufordøjeligt, og dermed årsag til fx lavere daglig tilvækst.    
Problemer omkring fiskemel ses ved, at grisene mister pludselig deres ædelyst eller reducerer deres daglige foderoptagelse. Undersøg oprindelse og kvalitetstype af den brugte fiskemel. Hvis det vurderes nødvendigt, kan der gennemføres en analyse af fiskemelspartiet, men kemisk analyse vil ikke altid afdække en kvalitetsmæssig forringelse.
Tabelværdien er fremkommet ved et gennemsnit mellem hidtidig tabelværdi og den ene analyse, der var til rådighed fra 2017, hvor værdierne i øvrigt var meget tætte på de hidtidige tabelværdier.</t>
  </si>
  <si>
    <t>Fiskemel fremstilles ved tørring og formaling af hele eller dele af fisk, hvoraf en del af olien kan være fjernet. Der skal være et indhold af råprotein i tørstof på mindst 61 pct. i fiskemel. 
Hvis fiskemel har et indhold af råprotein i tørstof på mere end 75 pct., kan det betegnes som proteinrigt.
Anvendelse af fiskemel i ren form kræver en godkendelse hos Plantedirektoratet. For bedrifter, der både har svin og drøvtyggere, stilles der, udover krav til godkendelse, yderligere krav. Læs mere på Plantedirektoratets hjemmeside [124].
Kvalitet 
På de danske fiskemelsfabrikker fremstilles 2 fiskemelskvaliteter der anvendes i foder til svin – Standard Fiskemel og LT fiskemel. Der fremstilles desuden andre kvaliteter af fiskemel – og produkter, der bruges i aquaindustrien. Disse produkter ses der bort fra her. Ved produktion af LT Fiskemel stilles der krav til friskheden af de fisk der anvendes ved fremstillingen.
Der stilles desuden krav til temperaturen under fremstillingen (LT = Low temperature). Begge forhold giver en højere fordøjelighed af råprotein og for, at et parti fiskemel er af LT kvalitet, skal det derfor også opfylde et minimumskrav til proteinfordøjeligheden. For fiskemel af Standardkvalitet er der ingen krav til hverken friskhed, procestemperatur eller proteinfordøjelighed. Fisk, der ikke er helt frisk, er kendetegnet ved, at en proces hvorved proteinet gradvist omdannes til andre kvælstofforbindelser er begyndt. Ved processen dannes aminer eksempelvis cadevarin og histamin og i sidste ende ammoniak. Læs mere herom på http://svineproduktion.dk/Viden/I-stalden/Foder/Raavarer_normer_naeringsstoffer/Fodermiddeltabel_FOER_beskrivelse_af_raavarer [173]
Ved afprøvning i to besætninger blev der ikke fundet nogen effekt på produktionsresultaterne ved at anvende LT-fiskemel frem for Standard fiskemel [125].
Fiskemel har et indhold af råfedt på ca. 9 pct., som hovedsageligt består af umættede fedtsyrer.Ud fra forsøg og generel erfaring vurderes det, at fiskemel kan bruges i henhold til følgende kilder: [126], [127], [128], [129], [130], [131], [132], [133], [134].</t>
  </si>
  <si>
    <t>FISKEMEL,  LT</t>
  </si>
  <si>
    <t>FISKEMEL</t>
  </si>
  <si>
    <t>FENYLALANIN,L98,5</t>
  </si>
  <si>
    <t>Fatty acid blend, at plant/RER Economic S</t>
  </si>
  <si>
    <t xml:space="preserve">SPECIELLE PRODUKTER:
Det er ikke tilladt at bruge friturefedt, hvori der har været tilberedt animalsk protein, da det hører til kategorien ”madaffald”, som er forbudt at anvende i svinefoder. Vær opmærksom på, at fedt/olierester fra fødevareindustrien kan indeholde store mængder af fx salte, der skal tages højde for ved optimering af foderet – bed altid om en indholdsdeklaration for ”øvrige fedtkilder”.
Læs udførlig beskrivelse vedr. foderfedt og fedtkvalitet her:
http://vsp.lf.dk/Viden/Foder/Raavarer/Foder_raavareliste/Foderfedt_fedtkvalitet.aspx?full=1 
(Klik på referencenr. 172 i fanen [Liste over referencer] )
</t>
  </si>
  <si>
    <t>Kvaliteten af blandingsfedt afhænger meget af, hvad der er blandet i den pågældende leverance; normalt består det af planteolie og et eller flere industrirestprodukter.
Læs udførlig beskrivelse vedr. foderfedt og fedtkvalitet her:
http://vsp.lf.dk/Viden/Foder/Raavarer/Foder_raavareliste/Foderfedt_fedtkvalitet.aspx?full=1 
(Klik på referencenr. 172 i fanen [Liste over referencer] )</t>
  </si>
  <si>
    <t>FEDT, Blandingsfedt (Foderblanding af olie og fedtstoffer) (Obs.: Gl. data)</t>
  </si>
  <si>
    <t>Fat from animals, pig, from dry rendering, at plant/RER Economic S</t>
  </si>
  <si>
    <t>9.2.1</t>
  </si>
  <si>
    <t>FEDT,  teknisk SF92/15 (Svinefedt)</t>
  </si>
  <si>
    <t>Enzy Phostar kan ikke tåle pelletering, og kan kun bruges i melfoder.</t>
  </si>
  <si>
    <t>Producenten deklarerer en aktivitet på 40.000 FTU 6-Phytase (EC 3.1.3.26) pr. gram. 
Denne værdi er lagt på begge fytaseenhedsparametre: FTU og FYT, fordi: 
Det er ligegyldigt, om fytaseenhederne/fytaseaktiviteten angives som FTU eller FYT. Målemetoden for fytaseenheder er den samme og resultatet derfra angives i FTU.
Det er antallet af FTU- eller FYT-enheder, der kræves til ”100% fytasedosering”, der er det centrale. 
Der kræves 750 FTU pr. kg færdigfoder til ”100% fytasedosering” af dette produkt.</t>
  </si>
  <si>
    <t>Enzy Phostar 40000 P tør, Std. dosis: 750 FTU (kun til melfoder)</t>
  </si>
  <si>
    <t>Producenten deklarerer en aktivitet på 10.000 FTU 6-Phytase (EC 3.1.3.26) pr. gram. 
Denne værdi er lagt på begge fytaseenhedsparametre: FTU og FYT, fordi: 
Det er ligegyldigt, om fytaseenhederne/fytaseaktiviteten angives som FTU eller FYT. Målemetoden for fytaseenheder er den samme og resultatet derfra angives i FTU.
Det er antallet af FTU- eller FYT-enheder, der kræves til ”100% fytasedosering”, der er det centrale. 
Der kræves 750 FTU pr. kg færdigfoder til ”100% fytasedosering” af dette produkt.</t>
  </si>
  <si>
    <t>Enzy Phostar 10000 P tør, Std. dosis: 750 FTU (kun til melfoder)</t>
  </si>
  <si>
    <t>Linseed, market mix, at regional storage/RER Economic S</t>
  </si>
  <si>
    <t xml:space="preserve">Easylin bruges som energi koncentrat til svin. Når en foderblanding suppleres med Easylin er det normalt muligt at reducere brugen af andre fedtkilder og proteinkilder på grund af sammensætningen af Easylin. </t>
  </si>
  <si>
    <t xml:space="preserve">Easylin Power Protect er et ekstruderet hørfrøprodukt består af hørfrø, hvedeklid og antioxidanter. Raffineringen af hørfrøet opnås ved hjælp af en patenteret termo-mekanisk proces, hvor udvalgte hørfrø formales og behandles for at opnå et homogent produkt som til slut ekstruderes. Under ekstruderingen udsættes hørfrøene for et ekstremt tryk, som ændrer produktets struktur og egenskaber. 
Easylin er GMO-fri og GMP + FSA sikret. </t>
  </si>
  <si>
    <t>Easylin (en ekstruderet blanding af hørfrø og hvedeklid)</t>
  </si>
  <si>
    <t>E- vitaminer, pulver</t>
  </si>
  <si>
    <t>014-0033</t>
  </si>
  <si>
    <t>E-25 VIT TILSKUD (kun E-vit )</t>
  </si>
  <si>
    <t>E-10 VIT TILSKUD (kun E-vit )</t>
  </si>
  <si>
    <t>11.3.1</t>
  </si>
  <si>
    <t>DICALCIUMFOSFAT</t>
  </si>
  <si>
    <t>DCP dihydrat</t>
  </si>
  <si>
    <t>Ca-Na-FOSFAT+ P-syre, Nagel</t>
  </si>
  <si>
    <t>Ca-Na-FOSFAT+ P-syre</t>
  </si>
  <si>
    <t>Ca-Na-FOSFAT Nagel</t>
  </si>
  <si>
    <t>11.3.16</t>
  </si>
  <si>
    <t>Ca-Na-FOSFAT</t>
  </si>
  <si>
    <t>CYSTIN,L98,5</t>
  </si>
  <si>
    <t>Citruskvas</t>
  </si>
  <si>
    <t>005-0002</t>
  </si>
  <si>
    <t>Citrus pulp dried, from drying, at plant/GLO Economic S</t>
  </si>
  <si>
    <t>Citruskvas er et biprodukt, der fremkommer ved presning af citrusfrugter (Citrus ssp.) ved fremstilling af citrussaft og som består af citrusskaller samt rester og cellevægge af selve frugten, der tørres, findeles og sælges som citruskvas.
Der er ikke forsøgsmæssig eller erfaringsmæssig baggrund for brug af citruskvas i foder til svin. Det vurderes, at citruskvas kun er relevant at overveje i foder til drægtige søer.</t>
  </si>
  <si>
    <t>5.13.2</t>
  </si>
  <si>
    <t>CITRUSKVAS TØR (Obs.: Gamle data)</t>
  </si>
  <si>
    <t>CITRONSYRE (1% vand)</t>
  </si>
  <si>
    <t xml:space="preserve">
Indholdet af opløselige og uopløselige fibre er beregnet, se versionsbeskrivelsen for 3. juni 2016</t>
  </si>
  <si>
    <t>21013</t>
  </si>
  <si>
    <t>4.4.6</t>
  </si>
  <si>
    <t>CIKORIE: PULVER AF CIKORIERØDDER</t>
  </si>
  <si>
    <t>CALCIUMJODAT 1%-opløsning</t>
  </si>
  <si>
    <t>Calciumformiat: Ca(HCO2)2</t>
  </si>
  <si>
    <t>CALCIUMFORMIAT</t>
  </si>
  <si>
    <t>001-0008</t>
  </si>
  <si>
    <t>Barley grain, dried, at farm/DK Economic S</t>
  </si>
  <si>
    <t>BYG, vår 10% råprotein</t>
  </si>
  <si>
    <t xml:space="preserve">Byg giver generelt ikke anledning til problemer, og kan uden problemer transporteres som løsvare.
Byg bør opbevares tørt og er lagerfast ved 86 procent tørstof.
</t>
  </si>
  <si>
    <t>Forsøg har vist, at stigende indhold af byg reducerer problemer med Salmonella og maveforandringer i den hvide del af maven sammenlignet med en hvedebaseret blanding [15].</t>
  </si>
  <si>
    <t>Tabelværdierne er dannet ved kopi af VSPs fodermiddelkode 50211 (gennemsnit af vårbyg de seneste tre år i udgaven svarende til varmebehandlet foder tilsat xylanase), hvor eneste ændring er råproteinkoncentration med de afledte konsekvenser for råproteinfordøjeligheden og aminosyreandelen i procent af råprotein.
Formålet med denne tabelværdi er at give et eksempel på værdien af korn med højt proteinindhold, som fx tysk korn, hvor gødningsreglerne er anderledes end de danske.
Byg er frø fra dyrkede sorter af toradet og seksradet bygplanter (Hordeum vulgare), og dyrkes i stor udstrækning i Danmark.
For vinterbyg er der fundet en statistisk sikker forskel i indholdet af foderenheder mellem sorterne. Indholdet af foderenheder varierede fra 98 til 105 FEsv pr. 100 kg. Det målte energiindhold er forholdsvis stabilt uanset lokalitet og dyrkningsår, så mht. foderværdien skal der ikke vælges sorter ud fra, hvor i Danmark kornet dyrkes. Desuden kan det forventes, at forskellen på foderværdien mellem to sorter det ene år også vil være der et andet år [16].
Der skelnes mellem varmebehandlet og ikke-varmebehandlet korn. Det skyldes, at der ved varmebehandling af korn (pelleteret foder) sker en nedbrydning af kornets naturlige indhold af fytase, og derfor skal der i korn, der indgår i pelleteret foder, regnes med en lavere fordøjelighed af fosfor end i ikke-varmebehandlet korn (hjemmeblandet foder).
Der er endvidere angivet kemisk indhold for korn tilsat det kulhydratspaltende enzym ”xylanase”. Det skyldes, at tilsætning af xylanase øger EFOSi-værdien og dermed kornets energiværdi
Ud fra forsøg og generel erfaring vurderes, at byg kan bruges i henhold til følgende kilder: [2], [3], [4], [5], [6], [7], [8], [9], [10], [11], [12], [13], [14], [15].</t>
  </si>
  <si>
    <t>1.1.1</t>
  </si>
  <si>
    <t>BYG, 11,5 % råprotein, varmebehandlet + xylanase</t>
  </si>
  <si>
    <t>BYG, 10,0 % råprotein, varmebehandlet + xylanase</t>
  </si>
  <si>
    <t>Byg er frø fra dyrkede sorter af toradet og seksradet bygplanter (Hordeum vulgare), og dyrkes i stor udstrækning i Danmark.
En undersøgelse foretaget fra 2003 til 2005 viste, at de forskellige sorter varierer med hensyn til antal af foderenheder pr. 100 kg.
Indholdet af foderenheder i forskellige sorter af vårbyg varierede fra 102 til 109 FEsv pr. 100 kg. Desuden var der effekt af sort på EFOS, EFOSi, råfedt og råaske, men ingen statistisk sikker forskel i indhold af råprotein mellem sorterne.
Der skelnes mellem varmebehandlet og ikke-varmebehandlet korn. Det skyldes, at der ved varmebehandling af korn (pelleteret foder) sker en nedbrydning af kornets naturlige indhold af fytase, og derfor skal der i korn, der indgår i pelleteret foder, regnes med en lavere fordøjelighed af fosfor end i ikke-varmebehandlet korn (hjemmeblandet foder).
Der er endvidere angivet kemisk indhold for korn tilsat det kulhydratspaltende enzym ”xylanase”. Det skyldes, at tilsætning af xylanase øger EFOSi-værdien og dermed kornets energiværdi
"d.gr.": Tabelværdien for natrium er tæt på detektionsgrænsen i det anvendte laboratorium. Det reele indhold  kan være lavere.
Byg kan bruges i henhold til følgende kilder: [2], [3], [4], [5], [6], [7], [8], [9], [10], [11], [12], [13], [14], [15]. [16]</t>
  </si>
  <si>
    <t>BYG,  vår, 2020, varmebehandlet, økologisk</t>
  </si>
  <si>
    <t>BYG,  vår, 2020,  økologisk</t>
  </si>
  <si>
    <t>Byg er frø fra dyrkede sorter af toradet og seksradet bygplanter (Hordeum vulgare), og dyrkes i stor udstrækning i Danmark.
En undersøgelse foretaget fra 2003 til 2005 viste, at de forskellige sorter varierer med hensyn til antal af foderenheder pr. 100 kg.
Indholdet af foderenheder i forskellige sorter af vårbyg varierede fra 102 til 109 FEsv pr. 100 kg. Desuden var der effekt af sort på EFOS, EFOSi, råfedt og råaske, men ingen statistisk sikker forskel i indhold af råprotein mellem sorterne.
Der skelnes mellem varmebehandlet og ikke-varmebehandlet korn. Det skyldes, at der ved varmebehandling af korn (pelleteret foder) sker en nedbrydning af kornets naturlige indhold af fytase, og derfor skal der i korn, der indgår i pelleteret foder, regnes med en lavere fordøjelighed af fosfor end i ikke-varmebehandlet korn (hjemmeblandet foder).
Der er endvidere angivet kemisk indhold for korn tilsat det kulhydratspaltende enzym ”xylanase”. Det skyldes, at tilsætning af xylanase øger EFOSi-værdien og dermed kornets energiværdi
Byg kan bruges i henhold til følgende kilder: [2], [3], [4], [5], [6], [7], [8], [9], [10], [11], [12], [13], [14], [15]. [16]</t>
  </si>
  <si>
    <t>BYG,  vår, 2020,  varmebehandlet  + xylanase</t>
  </si>
  <si>
    <t>BYG,  vår, 2020,  varmebehandlet</t>
  </si>
  <si>
    <t>BYG,  vår, 2020 + xylanase</t>
  </si>
  <si>
    <t>BYG,  vår, 2020</t>
  </si>
  <si>
    <t>BYG,  vår,  gns. 2019-2021, varmebehandlet  + xylanase</t>
  </si>
  <si>
    <t>BYG,  vår,  gns. 2019-2021, varmebehandlet</t>
  </si>
  <si>
    <t>BYG,  vår,  gns. 2019-2021 + xylanase</t>
  </si>
  <si>
    <t>BYG,  vår,  gns. 2019-2021</t>
  </si>
  <si>
    <t>Vårbyg 2019</t>
  </si>
  <si>
    <t>001-0126</t>
  </si>
  <si>
    <t>BYG,  vår,  2021,  varmebehandlet  + xylanase</t>
  </si>
  <si>
    <t>BYG,  vår,  2021,  varmebehandlet</t>
  </si>
  <si>
    <t>BYG,  vår,  2021  + xylanase</t>
  </si>
  <si>
    <t>BYG,  vår,  2021</t>
  </si>
  <si>
    <t>BYG,  vinter, 2020, varmebehandlet, økologisk</t>
  </si>
  <si>
    <t>BYG,  vinter, 2020,  økologisk</t>
  </si>
  <si>
    <t>001-0009</t>
  </si>
  <si>
    <t>BYG,  vinter, 2020,  varmebehandlet  + xylanase</t>
  </si>
  <si>
    <t>BYG,  vinter, 2020,  varmebehandlet</t>
  </si>
  <si>
    <t>BYG,  vinter, 2020 + xylanase</t>
  </si>
  <si>
    <t>BYG,  vinter, 2020</t>
  </si>
  <si>
    <t>BYG,  vinter,  gns. 2019-2021, varmebehandlet + xylanas</t>
  </si>
  <si>
    <t>BYG,  vinter,  gns. 2019-2021, varmebehandlet</t>
  </si>
  <si>
    <t>BYG,  vinter,  gns. 2019-2021 + xylanase</t>
  </si>
  <si>
    <t>BYG,  vinter,  gns. 2019-2021</t>
  </si>
  <si>
    <t>Vinterbyg 2019</t>
  </si>
  <si>
    <t>001-0127</t>
  </si>
  <si>
    <t>BYG,  vinter,  2021,  varmebehandlet  + xylanase</t>
  </si>
  <si>
    <t>BYG,  vinter,  2021,  varmebehandlet</t>
  </si>
  <si>
    <t>BYG,  vinter,  2021  + xylanase</t>
  </si>
  <si>
    <t>BYG,  vinter,  2021</t>
  </si>
  <si>
    <t>BOLIFOR MCP-F (16/22,7)</t>
  </si>
  <si>
    <t>BOLIFOR 18   (MCP 21/18)</t>
  </si>
  <si>
    <t>Blood meal, spray dried, from blood processing, at plant/RER Economic S</t>
  </si>
  <si>
    <t>Der forekommer hæmoglobinmel af udenlandsk oprindelse, der ikke er spraytørret, men tromletørret.
Den høje varmepåvirkning giver en markant dårligere proteinfordøjelighed og dermed en råvare af markant ringere kvalitet.</t>
  </si>
  <si>
    <t>Hæmoglobinmel indeholder blodcellefraktionen af friskt svineblod, der er levnedsmiddelgodkendt.    
Fremstilles ved spraytørring 
Råvaren er proteinrig med en høj fordøjelighed og især relativt rig på aminosyren valin.</t>
  </si>
  <si>
    <t>9.8.1</t>
  </si>
  <si>
    <t>BLODPRODUKT (HÆMOGLOBINMEL, Daka)</t>
  </si>
  <si>
    <t>Blod består af to fraktioner : en væskefraktion indeholdende blandt andet næringsstoffer kaldet blodplama, samt blodlegemer også kaldet blodceller.
Blodplasma fremstilles fra rent og friskt svineblod, der er levnedsmiddelgodkendt.
Ved fremstilling af blodplasma anvendes ultrafiltrerings – og spraytørringsteknologi.
Blodplasma har nr. 9.8.1 (Blodprodukter)  i Forordning om fortegnelsen over fodermidler. EU kommissionens Forordning nr. 68/2013 [1].</t>
  </si>
  <si>
    <t>BLODPLASMA, Daka Sprayt  2500</t>
  </si>
  <si>
    <t>BIOLYS 70% Vådfoder,FK=75%</t>
  </si>
  <si>
    <t>BIOLYS 70% Vådfoder,FK=50%</t>
  </si>
  <si>
    <t>BIOLYS 70 %</t>
  </si>
  <si>
    <t>BENZOESYRE (1% vand)</t>
  </si>
  <si>
    <t>Linjenr. i GFLI-tabel-værk 202103</t>
  </si>
  <si>
    <t>Linjenr. i GFLI-tabel-værk 201907</t>
  </si>
  <si>
    <t>Linjenr. i GFLI-tabel-værk 201901</t>
  </si>
  <si>
    <t>Version af GFLI-værdier, (år og måned)</t>
  </si>
  <si>
    <r>
      <t>Defaultværdi (fra std.blandinger)- ekskl. Arealforbrug  (kg CO</t>
    </r>
    <r>
      <rPr>
        <vertAlign val="subscript"/>
        <sz val="8"/>
        <rFont val="Arial"/>
        <family val="2"/>
      </rPr>
      <t>2</t>
    </r>
    <r>
      <rPr>
        <sz val="8"/>
        <rFont val="Arial"/>
        <family val="2"/>
      </rPr>
      <t xml:space="preserve"> ekv./kg tørstof)</t>
    </r>
  </si>
  <si>
    <t>Kilde til Transport- og Håndteringstillægget. Dette tillæg er lagt til GFLIs -, hvorved de er sammenlignelige med NorFors - klimaaftryksværdier)</t>
  </si>
  <si>
    <t>Forskel: LUC eller ej</t>
  </si>
  <si>
    <t>Kilde til fodermidlets 
Klimaaftrykstal</t>
  </si>
  <si>
    <t>Er der tilføjet en "default"-værdi?</t>
  </si>
  <si>
    <t>Transport-tillæg til GFLI-værdier, CO2-ekv./kg tørstof</t>
  </si>
  <si>
    <t>Water consump-tion
(m3)</t>
  </si>
  <si>
    <t>Fossil resource scarcity
(kg oil eq)</t>
  </si>
  <si>
    <t>Mineral resource scarcity
(kg Cu eq)</t>
  </si>
  <si>
    <t>Human non-carcinogenic toxicity
(kg 1,4-DCB)</t>
  </si>
  <si>
    <t>Human carcinogenic toxicity
(kg 1,4-DCB)</t>
  </si>
  <si>
    <t>Marine ecotoxicity
(kg 1,4-DCB)</t>
  </si>
  <si>
    <t>Freshwater ecotoxicity
(kg 1,4-DCB)</t>
  </si>
  <si>
    <t>Terrestrial ecotoxicity
(kg 1,4-DCB)</t>
  </si>
  <si>
    <t>Marine eutrophication
(kg N eq)</t>
  </si>
  <si>
    <t>Freshwater eutrophication
(kg P eq)</t>
  </si>
  <si>
    <t>Terrestrial acidification
(kg SO2 eq)</t>
  </si>
  <si>
    <t>Ozone formation, Terrestrial ecosystems
(kg NOx eq)</t>
  </si>
  <si>
    <t>Fine particulate matter formation
(kg PM2.5 eq)</t>
  </si>
  <si>
    <t>Ozone formation, Human health
(kg NOx eq)</t>
  </si>
  <si>
    <t>Ionizing radiation
(kBq Co-60 eq)</t>
  </si>
  <si>
    <t>Stratospheric ozone depletion
(kg CFC 11 eq)</t>
  </si>
  <si>
    <r>
      <t>Global warming - excl LUC
(kg CO</t>
    </r>
    <r>
      <rPr>
        <vertAlign val="subscript"/>
        <sz val="8"/>
        <rFont val="Arial"/>
        <family val="2"/>
      </rPr>
      <t>2</t>
    </r>
    <r>
      <rPr>
        <sz val="8"/>
        <rFont val="Arial"/>
        <family val="2"/>
      </rPr>
      <t xml:space="preserve"> eq)</t>
    </r>
  </si>
  <si>
    <t>Global warming - incl LUC 
(kg CO2 eq)</t>
  </si>
  <si>
    <t>NorFor "CO2eq, soil" pr. kg tørstof</t>
  </si>
  <si>
    <t>NorFor Areal-forbrug, m2 (pr. kg tørstof)</t>
  </si>
  <si>
    <t>GFLI
Areal-forbrug
(m2a crop eq)</t>
  </si>
  <si>
    <t>Forskelle: Norfor minus GFLI
(kg CO2 eq/kg tørstof)</t>
  </si>
  <si>
    <t>NorFor kg CO2-ekvialenter /kg tørstof</t>
  </si>
  <si>
    <t>GFLI + transport-tillæg: Global warming - excl LUC
(kg CO2 eq/kg tørstof)</t>
  </si>
  <si>
    <t>GFLI + transport-tillæg: Global warming - incl LUC 
(kg CO2 eq/kg tørstof)</t>
  </si>
  <si>
    <t>GFLI inkl. transport men ekskl. LUC ("regnskovstab") - Ellers: NorFor
(kg CO2 eq/kg tørstof)</t>
  </si>
  <si>
    <t>GFLI inkl. transport og inkl. LUC ("regnskovstab") - Ellers: NorFor
(kg CO2 eq /kg tørstof)</t>
  </si>
  <si>
    <t>NorFor navn</t>
  </si>
  <si>
    <t>NorFor ID</t>
  </si>
  <si>
    <t>GFLI navn</t>
  </si>
  <si>
    <t>Fosfor, 400% std.dosis fytase tilsat</t>
  </si>
  <si>
    <t>Fosfor, 350% std.dosis fytase tilsat</t>
  </si>
  <si>
    <t>Fosfor, 300% std.dosis fytase tilsat</t>
  </si>
  <si>
    <t>Fosfor, 250% std.dosis fytase tilsat</t>
  </si>
  <si>
    <t>Håndtering og transport</t>
  </si>
  <si>
    <t>Vær opmærksom på</t>
  </si>
  <si>
    <t>Generelt</t>
  </si>
  <si>
    <t>d28Se</t>
  </si>
  <si>
    <t>d27I</t>
  </si>
  <si>
    <t>d26Zd</t>
  </si>
  <si>
    <t>d39Mn</t>
  </si>
  <si>
    <t>d38Cu</t>
  </si>
  <si>
    <t>d37Fe</t>
  </si>
  <si>
    <t>d36S</t>
  </si>
  <si>
    <t>d35Mg</t>
  </si>
  <si>
    <t>d34K</t>
  </si>
  <si>
    <t>d33Cl</t>
  </si>
  <si>
    <t>d32da</t>
  </si>
  <si>
    <t>d31P</t>
  </si>
  <si>
    <t>d30Ca</t>
  </si>
  <si>
    <t>d50Val</t>
  </si>
  <si>
    <t>d53Tyr</t>
  </si>
  <si>
    <t>d54Fed</t>
  </si>
  <si>
    <t>d55His</t>
  </si>
  <si>
    <t>d52Leu</t>
  </si>
  <si>
    <t>d51Ile</t>
  </si>
  <si>
    <t>d59Trp</t>
  </si>
  <si>
    <t>d42Thr</t>
  </si>
  <si>
    <t>d40Cys</t>
  </si>
  <si>
    <t>d41Met</t>
  </si>
  <si>
    <t>d43Lys</t>
  </si>
  <si>
    <t>d23FEso</t>
  </si>
  <si>
    <t>d22FEsv</t>
  </si>
  <si>
    <t>d71Ifaktor</t>
  </si>
  <si>
    <t>d73EFOSi</t>
  </si>
  <si>
    <t>d20EFOS</t>
  </si>
  <si>
    <t>d15Traestf</t>
  </si>
  <si>
    <t>d13Aske</t>
  </si>
  <si>
    <t>d12Fedt</t>
  </si>
  <si>
    <t>d11Prot</t>
  </si>
  <si>
    <t>d10TS</t>
  </si>
  <si>
    <t>s28Se</t>
  </si>
  <si>
    <t>s27I</t>
  </si>
  <si>
    <t>s26Zs</t>
  </si>
  <si>
    <t>s39Ms</t>
  </si>
  <si>
    <t>s38Cu</t>
  </si>
  <si>
    <t>s37Fe</t>
  </si>
  <si>
    <t>s36S</t>
  </si>
  <si>
    <t>s35Mg</t>
  </si>
  <si>
    <t>s34K</t>
  </si>
  <si>
    <t>s33Cl</t>
  </si>
  <si>
    <t>s32sa</t>
  </si>
  <si>
    <t>s31P</t>
  </si>
  <si>
    <t>s30Ca</t>
  </si>
  <si>
    <t>s50Val</t>
  </si>
  <si>
    <t>s53Tyr</t>
  </si>
  <si>
    <t>s54Fes</t>
  </si>
  <si>
    <t>s55His</t>
  </si>
  <si>
    <t>s52Leu</t>
  </si>
  <si>
    <t>s51Ile</t>
  </si>
  <si>
    <t>s59Trp</t>
  </si>
  <si>
    <t>s42Thr</t>
  </si>
  <si>
    <t>s40Cys</t>
  </si>
  <si>
    <t>s41Met</t>
  </si>
  <si>
    <t>s43Lys</t>
  </si>
  <si>
    <t>s23FEso</t>
  </si>
  <si>
    <t>s22FEsv</t>
  </si>
  <si>
    <t>s71Ifaktor</t>
  </si>
  <si>
    <t>s73EFOSi</t>
  </si>
  <si>
    <t>s20EFOS</t>
  </si>
  <si>
    <t>s15Traestf</t>
  </si>
  <si>
    <t>s13Aske</t>
  </si>
  <si>
    <t>s12Fedt</t>
  </si>
  <si>
    <t>s11Prot</t>
  </si>
  <si>
    <t>s10TS</t>
  </si>
  <si>
    <t>n28Se</t>
  </si>
  <si>
    <t>n27I</t>
  </si>
  <si>
    <t>n26Zn</t>
  </si>
  <si>
    <t>n39Mn</t>
  </si>
  <si>
    <t>n38Cu</t>
  </si>
  <si>
    <t>n37Fe</t>
  </si>
  <si>
    <t>n36S</t>
  </si>
  <si>
    <t>n35Mg</t>
  </si>
  <si>
    <t>n34K</t>
  </si>
  <si>
    <t>n33Cl</t>
  </si>
  <si>
    <t>n32Na</t>
  </si>
  <si>
    <t>n31P</t>
  </si>
  <si>
    <t>n30Ca</t>
  </si>
  <si>
    <t>n50Val</t>
  </si>
  <si>
    <t>n53Tyr</t>
  </si>
  <si>
    <t>n54Fen</t>
  </si>
  <si>
    <t>n55His</t>
  </si>
  <si>
    <t>n52Leu</t>
  </si>
  <si>
    <t>n51Ile</t>
  </si>
  <si>
    <t>n59Trp</t>
  </si>
  <si>
    <t>n42Thr</t>
  </si>
  <si>
    <t>n40Cys</t>
  </si>
  <si>
    <t>n41Met</t>
  </si>
  <si>
    <t>n43Lys</t>
  </si>
  <si>
    <t>n23FEso</t>
  </si>
  <si>
    <t>n22FEsv</t>
  </si>
  <si>
    <t>n71Ifaktor</t>
  </si>
  <si>
    <t>n73EFOSi</t>
  </si>
  <si>
    <t>n20EFOS</t>
  </si>
  <si>
    <t>n15Traestf</t>
  </si>
  <si>
    <t>n13Aske</t>
  </si>
  <si>
    <t>n12Fedt</t>
  </si>
  <si>
    <t>n11Prot</t>
  </si>
  <si>
    <t>n10TS</t>
  </si>
  <si>
    <t>EU-nummer</t>
  </si>
  <si>
    <t>Biotin, mg</t>
  </si>
  <si>
    <t>Folin-syre, mg</t>
  </si>
  <si>
    <t>Cholin, mg</t>
  </si>
  <si>
    <t>D-panto-thensyre, mg</t>
  </si>
  <si>
    <t>Vit. B3,Niacin, mg</t>
  </si>
  <si>
    <t>Vit. B12, mg</t>
  </si>
  <si>
    <t>Vit. B6, mg</t>
  </si>
  <si>
    <t>Vit. B2, mg</t>
  </si>
  <si>
    <t>Vit. B1, mg</t>
  </si>
  <si>
    <t>Vit. C, mg</t>
  </si>
  <si>
    <t>Vit. K3, mg</t>
  </si>
  <si>
    <t>Vit. E, mg</t>
  </si>
  <si>
    <t xml:space="preserve">Vit. D, 1000 I.E. </t>
  </si>
  <si>
    <t>Vit. A, 1000 I.E.</t>
  </si>
  <si>
    <t>Xylanase-aktivitet pr. kg</t>
  </si>
  <si>
    <t>Fytase-aktivitet, FTU/kg</t>
  </si>
  <si>
    <t>Fytase-aktivitet, FYT/kg</t>
  </si>
  <si>
    <t>SIF Val</t>
  </si>
  <si>
    <t>SIF FeT</t>
  </si>
  <si>
    <t>SIF Tyr</t>
  </si>
  <si>
    <t>SIF Fen</t>
  </si>
  <si>
    <t>SIF His</t>
  </si>
  <si>
    <t>SIF Leu</t>
  </si>
  <si>
    <t>SIF Iso</t>
  </si>
  <si>
    <t>SIF Try</t>
  </si>
  <si>
    <t>SIF Tre</t>
  </si>
  <si>
    <t>SIF CyM</t>
  </si>
  <si>
    <t>SIF Cys</t>
  </si>
  <si>
    <t>SIF Met</t>
  </si>
  <si>
    <t>SIF Lys</t>
  </si>
  <si>
    <t>SIF Råprotein</t>
  </si>
  <si>
    <t>SIF Råprotein pr. kg vare</t>
  </si>
  <si>
    <t>Selen</t>
  </si>
  <si>
    <t>Jod</t>
  </si>
  <si>
    <t>Zink</t>
  </si>
  <si>
    <t>Mangan</t>
  </si>
  <si>
    <t>Kobber</t>
  </si>
  <si>
    <t>Jern</t>
  </si>
  <si>
    <t>Svovl</t>
  </si>
  <si>
    <t>Magne-sium</t>
  </si>
  <si>
    <t>Kalium</t>
  </si>
  <si>
    <t>Klorid</t>
  </si>
  <si>
    <t>Natrium</t>
  </si>
  <si>
    <t>Fosfor</t>
  </si>
  <si>
    <t>Calcium</t>
  </si>
  <si>
    <t>Uopløse-lige fibre</t>
  </si>
  <si>
    <t>Opløse-lige fibre</t>
  </si>
  <si>
    <t>Suk-ker</t>
  </si>
  <si>
    <t>Sti-velse</t>
  </si>
  <si>
    <t>Fermenterbare kulhydrater</t>
  </si>
  <si>
    <t>Let-fordøjelige kulhydrater</t>
  </si>
  <si>
    <t>Orga-nisk stof</t>
  </si>
  <si>
    <t>FEso</t>
  </si>
  <si>
    <t>FEsv</t>
  </si>
  <si>
    <t>Jodtals-produkt</t>
  </si>
  <si>
    <t>Jodtal</t>
  </si>
  <si>
    <t>Træstof</t>
  </si>
  <si>
    <t>Råaske</t>
  </si>
  <si>
    <t>Råfedt</t>
  </si>
  <si>
    <t>Råprotein</t>
  </si>
  <si>
    <t>Valin</t>
  </si>
  <si>
    <t>Tyro-sin</t>
  </si>
  <si>
    <t>Fenyl-alanin</t>
  </si>
  <si>
    <t>Histi-din</t>
  </si>
  <si>
    <t>Leu-cin</t>
  </si>
  <si>
    <t>Iso-leucin</t>
  </si>
  <si>
    <t>Tryp-tofan</t>
  </si>
  <si>
    <t>Treo-nin</t>
  </si>
  <si>
    <t>Cystin</t>
  </si>
  <si>
    <t>Methi-onin</t>
  </si>
  <si>
    <t>Lysin</t>
  </si>
  <si>
    <t>Tyrosin</t>
  </si>
  <si>
    <t>Histidin</t>
  </si>
  <si>
    <t>Tre-onin</t>
  </si>
  <si>
    <t>Magnesium</t>
  </si>
  <si>
    <t>Fosfor, 200% std.dosis fytase tilsat</t>
  </si>
  <si>
    <t>Fosfor, 150% std.dosis fytase tilsat</t>
  </si>
  <si>
    <t>Fosfor, 100% std.dosis fytase tilsat</t>
  </si>
  <si>
    <t>Fosfor, 60% std.dosis fytase tilsat</t>
  </si>
  <si>
    <t>Fosfor, ingen fytase tilsat</t>
  </si>
  <si>
    <t>Rå-protein (standar-diseret)</t>
  </si>
  <si>
    <t>Træ-stof</t>
  </si>
  <si>
    <t>Rå-aske</t>
  </si>
  <si>
    <t>Rå-fedt</t>
  </si>
  <si>
    <t>Rå-protein</t>
  </si>
  <si>
    <t>Tør-stof</t>
  </si>
  <si>
    <t>FE-korr. Faktor</t>
  </si>
  <si>
    <t>EFNi</t>
  </si>
  <si>
    <t>EFOSi</t>
  </si>
  <si>
    <t>EFOS</t>
  </si>
  <si>
    <t>Redige-rings-dato</t>
  </si>
  <si>
    <t>Fodermiddel</t>
  </si>
  <si>
    <t>Parti</t>
  </si>
  <si>
    <t>Kode</t>
  </si>
  <si>
    <t>Fodermid-delkode</t>
  </si>
  <si>
    <r>
      <rPr>
        <sz val="8"/>
        <color rgb="FFFF0000"/>
        <rFont val="Arial"/>
        <family val="2"/>
      </rPr>
      <t>G</t>
    </r>
    <r>
      <rPr>
        <sz val="8"/>
        <rFont val="Arial"/>
        <family val="2"/>
      </rPr>
      <t xml:space="preserve">lobal </t>
    </r>
    <r>
      <rPr>
        <sz val="8"/>
        <color rgb="FFFF0000"/>
        <rFont val="Arial"/>
        <family val="2"/>
      </rPr>
      <t>F</t>
    </r>
    <r>
      <rPr>
        <sz val="8"/>
        <rFont val="Arial"/>
        <family val="2"/>
      </rPr>
      <t>eed</t>
    </r>
    <r>
      <rPr>
        <sz val="8"/>
        <color rgb="FFFF0000"/>
        <rFont val="Arial"/>
        <family val="2"/>
      </rPr>
      <t xml:space="preserve"> L</t>
    </r>
    <r>
      <rPr>
        <sz val="8"/>
        <rFont val="Arial"/>
        <family val="2"/>
      </rPr>
      <t xml:space="preserve">CA </t>
    </r>
    <r>
      <rPr>
        <sz val="8"/>
        <color rgb="FFFF0000"/>
        <rFont val="Arial"/>
        <family val="2"/>
      </rPr>
      <t>I</t>
    </r>
    <r>
      <rPr>
        <sz val="8"/>
        <rFont val="Arial"/>
        <family val="2"/>
      </rPr>
      <t>nstitute (</t>
    </r>
    <r>
      <rPr>
        <sz val="8"/>
        <color rgb="FFFF0000"/>
        <rFont val="Arial"/>
        <family val="2"/>
      </rPr>
      <t>GFLI</t>
    </r>
    <r>
      <rPr>
        <sz val="8"/>
        <rFont val="Arial"/>
        <family val="2"/>
      </rPr>
      <t>) klimaftryksværdier pr. kg tørstof (fra den europæiske sammenslutning af foderstofvirksomheder, FEFAC). LCA betyder: Life Cycle Analysis</t>
    </r>
  </si>
  <si>
    <t xml:space="preserve">NorFor </t>
  </si>
  <si>
    <t xml:space="preserve">GFLI </t>
  </si>
  <si>
    <t>Fordøjeligheder (fortsat), pct.</t>
  </si>
  <si>
    <t>pr. kg vare</t>
  </si>
  <si>
    <t>gram pr. FEsv</t>
  </si>
  <si>
    <t>milligram pr. kg vare</t>
  </si>
  <si>
    <t>gram pr. kg vare</t>
  </si>
  <si>
    <t>gram pr. kg tørstof</t>
  </si>
  <si>
    <t>pr. kg tørstof</t>
  </si>
  <si>
    <t>Kemisk indhold, pct. af tørstof</t>
  </si>
  <si>
    <t>Aminosyrefordøjelighed i forhold til råproteinfordøjelighed, faktor</t>
  </si>
  <si>
    <t>Aminosyreindhold i procent af råprotein</t>
  </si>
  <si>
    <t>milligram pr. kg tørstof</t>
  </si>
  <si>
    <r>
      <t xml:space="preserve">Fordøjeligheder, pct. </t>
    </r>
    <r>
      <rPr>
        <sz val="8"/>
        <rFont val="Arial"/>
        <family val="2"/>
      </rPr>
      <t>(fortsættes søjle IC-IF)</t>
    </r>
  </si>
  <si>
    <t>Kemisk indhold, pct. af varen</t>
  </si>
  <si>
    <t>Pr. kg vare</t>
  </si>
  <si>
    <t>Genvej til faneblad 3: "Et fodermiddel pr. side"</t>
  </si>
  <si>
    <t>DLBR SvineIT</t>
  </si>
  <si>
    <t>Kolonnenr.</t>
  </si>
  <si>
    <t xml:space="preserve">Forskelle </t>
  </si>
  <si>
    <t>NorFor klimaftryks-værdier</t>
  </si>
  <si>
    <t>GFLI klimaftryksværdier inkl. transport</t>
  </si>
  <si>
    <t>Udgangspunkt: GFLI klimaftryksværdier inkl. transport. Ellers NorFor-værdier</t>
  </si>
  <si>
    <t>Hop tilbage til FK-fosfor op til og med 200 % fytase</t>
  </si>
  <si>
    <t>hop til søjle IC-IF (FK-fosfor fra 250-400 % fytase)</t>
  </si>
  <si>
    <t>(Genvej: Retur til Indholdsfortegnelsen)</t>
  </si>
  <si>
    <t>Bilag K12 - Bortskaffelse af fast affald</t>
  </si>
  <si>
    <t>Soda aske</t>
  </si>
  <si>
    <t xml:space="preserve">Anden brug af produkter (fx løbesko, dobbeltrudede vinduer, laboratorie) </t>
  </si>
  <si>
    <t>Industrielle anlæg, eget forbrug af varme ved kraftvarme</t>
  </si>
  <si>
    <t>Grand Total</t>
  </si>
  <si>
    <t>100.Uden for kommunerne</t>
  </si>
  <si>
    <t>099.Aalborg</t>
  </si>
  <si>
    <t>098.Vesthimmerlands</t>
  </si>
  <si>
    <t>097.Thisted</t>
  </si>
  <si>
    <t>096.Rebild</t>
  </si>
  <si>
    <t>095.Morsø</t>
  </si>
  <si>
    <t>094.Mariagerfjord</t>
  </si>
  <si>
    <t>093.Læsø</t>
  </si>
  <si>
    <t>092.Jammerbugt</t>
  </si>
  <si>
    <t>091.Hjørring</t>
  </si>
  <si>
    <t>090.Frederikshavn</t>
  </si>
  <si>
    <t>089.Brønderslev</t>
  </si>
  <si>
    <t>088.Aarhus</t>
  </si>
  <si>
    <t>087.Viborg</t>
  </si>
  <si>
    <t>086.Syddjurs</t>
  </si>
  <si>
    <t>085.Struer</t>
  </si>
  <si>
    <t>084.Skive</t>
  </si>
  <si>
    <t>083.Skanderborg</t>
  </si>
  <si>
    <t>082.Silkeborg</t>
  </si>
  <si>
    <t>081.Samsø</t>
  </si>
  <si>
    <t>080.Ringkøbing-Skjern</t>
  </si>
  <si>
    <t>079.Randers</t>
  </si>
  <si>
    <t>078.Odder</t>
  </si>
  <si>
    <t>077.Norddjurs</t>
  </si>
  <si>
    <t>076.Lemvig</t>
  </si>
  <si>
    <t>075.Ikast-Brande</t>
  </si>
  <si>
    <t>074.Horsens</t>
  </si>
  <si>
    <t>073.Holstebro</t>
  </si>
  <si>
    <t>072.Herning</t>
  </si>
  <si>
    <t>071.Hedensted</t>
  </si>
  <si>
    <t>070.Favrskov</t>
  </si>
  <si>
    <t>069.Aabenraa</t>
  </si>
  <si>
    <t>068.Ærø</t>
  </si>
  <si>
    <t>067.Vejle</t>
  </si>
  <si>
    <t>066.Vejen</t>
  </si>
  <si>
    <t>065.Varde</t>
  </si>
  <si>
    <t>064.Tønder</t>
  </si>
  <si>
    <t>063.Sønderborg</t>
  </si>
  <si>
    <t>062.Svendborg</t>
  </si>
  <si>
    <t>061.Odense</t>
  </si>
  <si>
    <t>060.Nyborg</t>
  </si>
  <si>
    <t>059.Nordfyns</t>
  </si>
  <si>
    <t>058.Middelfart</t>
  </si>
  <si>
    <t>057.Langeland</t>
  </si>
  <si>
    <t>056.Kolding</t>
  </si>
  <si>
    <t>055.Kerteminde</t>
  </si>
  <si>
    <t>054.Haderslev</t>
  </si>
  <si>
    <t>053.Faaborg-Midtfyn</t>
  </si>
  <si>
    <t>052.Fredericia</t>
  </si>
  <si>
    <t>051.Fanø</t>
  </si>
  <si>
    <t>050.Esbjerg</t>
  </si>
  <si>
    <t>049.Billund</t>
  </si>
  <si>
    <t>048.Assens</t>
  </si>
  <si>
    <t>047.Vordingborg</t>
  </si>
  <si>
    <t>046.Stevns</t>
  </si>
  <si>
    <t>045.Sorø</t>
  </si>
  <si>
    <t>044.Solrød</t>
  </si>
  <si>
    <t>043.Slagelse</t>
  </si>
  <si>
    <t>042.Roskilde</t>
  </si>
  <si>
    <t>041.Ringsted</t>
  </si>
  <si>
    <t>040.Odsherred</t>
  </si>
  <si>
    <t>039.Næstved</t>
  </si>
  <si>
    <t>038.Lolland</t>
  </si>
  <si>
    <t>037.Lejre</t>
  </si>
  <si>
    <t>036.Køge</t>
  </si>
  <si>
    <t>035.Kalundborg</t>
  </si>
  <si>
    <t>034.Holbæk</t>
  </si>
  <si>
    <t>033.Guldborgsund</t>
  </si>
  <si>
    <t>032.Greve</t>
  </si>
  <si>
    <t>031.Faxe</t>
  </si>
  <si>
    <t>030.Vallensbæk</t>
  </si>
  <si>
    <t>029.Tårnby</t>
  </si>
  <si>
    <t>028.Rødovre</t>
  </si>
  <si>
    <t>027.Rudersdal</t>
  </si>
  <si>
    <t>026.Lyngby-Taarbæk</t>
  </si>
  <si>
    <t>025.Ishøj</t>
  </si>
  <si>
    <t>024.Hørsholm</t>
  </si>
  <si>
    <t>023.Høje-Taastrup</t>
  </si>
  <si>
    <t>022.Hvidovre</t>
  </si>
  <si>
    <t>021.Hillerød</t>
  </si>
  <si>
    <t>020.Herlev</t>
  </si>
  <si>
    <t>019.Helsingør</t>
  </si>
  <si>
    <t>018.Halsnæs</t>
  </si>
  <si>
    <t>017.Gribskov</t>
  </si>
  <si>
    <t>016.Glostrup</t>
  </si>
  <si>
    <t>015.Gladsaxe</t>
  </si>
  <si>
    <t>014.Gentofte</t>
  </si>
  <si>
    <t>013.Furesø</t>
  </si>
  <si>
    <t>012.Frederikssund</t>
  </si>
  <si>
    <t>011.Fredensborg</t>
  </si>
  <si>
    <t>010.Egedal</t>
  </si>
  <si>
    <t>009.Dragør</t>
  </si>
  <si>
    <t>007.Brøndby</t>
  </si>
  <si>
    <t>006.Bornholm</t>
  </si>
  <si>
    <t>005.Ballerup</t>
  </si>
  <si>
    <t>004.Allerød</t>
  </si>
  <si>
    <t>003.Albertslund</t>
  </si>
  <si>
    <t>002.Frederiksberg</t>
  </si>
  <si>
    <t>001.København</t>
  </si>
  <si>
    <t>Row Labels</t>
  </si>
  <si>
    <t>Uden for regioner</t>
  </si>
  <si>
    <t>X. Uoplyst</t>
  </si>
  <si>
    <t>5. Region Nordjylland</t>
  </si>
  <si>
    <t>Region Midtjylland</t>
  </si>
  <si>
    <t>4. Region Midtjylland</t>
  </si>
  <si>
    <t>Region Syddanmark</t>
  </si>
  <si>
    <t>3. Region Syddanmark</t>
  </si>
  <si>
    <t>2. Region Sjælland</t>
  </si>
  <si>
    <t>1. Region Hovedstaden</t>
  </si>
  <si>
    <t>Kilde: DST, statistikbanken.dk</t>
  </si>
  <si>
    <t>Enhed: Mio. Kilder: KRNR indtil 2017, foreløbige 2018-2019, fremskrivning fra 2020.</t>
  </si>
  <si>
    <t>Tabel 1.3. BNP i løbende priser</t>
  </si>
  <si>
    <r>
      <t>Kilde: SAM-K/LINE</t>
    </r>
    <r>
      <rPr>
        <sz val="20"/>
        <color theme="1"/>
        <rFont val="Calibri"/>
        <family val="2"/>
      </rPr>
      <t>®</t>
    </r>
    <r>
      <rPr>
        <sz val="20"/>
        <color theme="1"/>
        <rFont val="Calibri"/>
        <family val="2"/>
        <scheme val="minor"/>
      </rPr>
      <t xml:space="preserve"> REA_OKT21</t>
    </r>
  </si>
  <si>
    <t>BRANCHE</t>
  </si>
  <si>
    <t>Helligsø Teglværk</t>
  </si>
  <si>
    <t>Strøjer Tegl A/S</t>
  </si>
  <si>
    <t>Sønderborg Kraftvarme A/S</t>
  </si>
  <si>
    <t>Obs</t>
  </si>
  <si>
    <t>KOMMUNE/REGION</t>
  </si>
  <si>
    <t xml:space="preserve">Fra 1. januar 2011 baseres opgørelsen af arealerne på data fra Geodatastyrelsens matrikelregister. Kun matrikulerede områder er medtaget ved opmålingen, hvilket medfører, at mange søer ikke er medtaget. For kommuner med umatrikulerede søer vil arealet derfor være faldet sammenlignet med tidligere. Pr. 1. januar 2011-2013 gælder yderligere for København og Frederiksberg, at vejene ikke er matrikuleret og derfor ikke indgår i det opmålte areal. </t>
  </si>
  <si>
    <t>Enhed: Km2</t>
  </si>
  <si>
    <t>Areal 1. januar efter område og tid</t>
  </si>
  <si>
    <r>
      <t xml:space="preserve">(3)    </t>
    </r>
    <r>
      <rPr>
        <sz val="9"/>
        <rFont val="Times New Roman"/>
        <family val="1"/>
      </rPr>
      <t>In accordance with the UNFCCC Annex I inventory reporting guidelines, for Parties that decide to report indirect CO</t>
    </r>
    <r>
      <rPr>
        <vertAlign val="subscript"/>
        <sz val="9"/>
        <rFont val="Times New Roman"/>
        <family val="1"/>
      </rPr>
      <t>2,</t>
    </r>
    <r>
      <rPr>
        <sz val="9"/>
        <rFont val="Times New Roman"/>
        <family val="1"/>
      </rPr>
      <t xml:space="preserve"> the national totals shall be provided with and  without indirect CO</t>
    </r>
    <r>
      <rPr>
        <vertAlign val="subscript"/>
        <sz val="9"/>
        <rFont val="Times New Roman"/>
        <family val="1"/>
      </rPr>
      <t>2</t>
    </r>
    <r>
      <rPr>
        <sz val="9"/>
        <rFont val="Times New Roman"/>
        <family val="1"/>
      </rPr>
      <t>.</t>
    </r>
  </si>
  <si>
    <r>
      <t xml:space="preserve">(2)     </t>
    </r>
    <r>
      <rPr>
        <sz val="9"/>
        <rFont val="Times New Roman"/>
        <family val="1"/>
      </rPr>
      <t>See footnote 7 to table Summary 1.A.</t>
    </r>
  </si>
  <si>
    <r>
      <t xml:space="preserve">(1)     </t>
    </r>
    <r>
      <rPr>
        <sz val="9"/>
        <rFont val="Times New Roman"/>
        <family val="1"/>
      </rPr>
      <t>For carbon dioxide (CO</t>
    </r>
    <r>
      <rPr>
        <vertAlign val="subscript"/>
        <sz val="9"/>
        <rFont val="Times New Roman"/>
        <family val="1"/>
      </rPr>
      <t>2</t>
    </r>
    <r>
      <rPr>
        <sz val="9"/>
        <rFont val="Times New Roman"/>
        <family val="1"/>
      </rPr>
      <t xml:space="preserve">) from land use, land-use change and forestry the net emissions/removals are to be reported.  For the purposes of reporting, the signs for removals are always negative (-) and for emissions positive (+). </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</si>
  <si>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 land use, land-use change and forestry</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</si>
  <si>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without land use, land-use change and forestry</t>
    </r>
  </si>
  <si>
    <r>
      <t>Total CO</t>
    </r>
    <r>
      <rPr>
        <b/>
        <vertAlign val="subscript"/>
        <sz val="9"/>
        <rFont val="Times New Roman"/>
        <family val="1"/>
      </rPr>
      <t>2</t>
    </r>
    <r>
      <rPr>
        <b/>
        <sz val="9"/>
        <rFont val="Times New Roman"/>
        <family val="1"/>
      </rPr>
      <t xml:space="preserve"> equivalent emissions with land use, land-use change and forestry</t>
    </r>
  </si>
  <si>
    <r>
      <t>Total CO</t>
    </r>
    <r>
      <rPr>
        <b/>
        <vertAlign val="subscript"/>
        <sz val="9"/>
        <rFont val="Times New Roman"/>
        <family val="1"/>
      </rPr>
      <t>2</t>
    </r>
    <r>
      <rPr>
        <b/>
        <sz val="9"/>
        <rFont val="Times New Roman"/>
        <family val="1"/>
      </rPr>
      <t xml:space="preserve"> equivalent emissions without land use, land-use change and forestry</t>
    </r>
  </si>
  <si>
    <r>
      <t>Indirect CO</t>
    </r>
    <r>
      <rPr>
        <b/>
        <vertAlign val="subscript"/>
        <sz val="9"/>
        <rFont val="Times New Roman"/>
        <family val="1"/>
      </rPr>
      <t xml:space="preserve">2 </t>
    </r>
    <r>
      <rPr>
        <b/>
        <vertAlign val="superscript"/>
        <sz val="9"/>
        <rFont val="Times New Roman"/>
        <family val="1"/>
      </rPr>
      <t>(3)</t>
    </r>
  </si>
  <si>
    <r>
      <t>Indirect N</t>
    </r>
    <r>
      <rPr>
        <b/>
        <vertAlign val="subscript"/>
        <sz val="9"/>
        <rFont val="Times New Roman"/>
        <family val="1"/>
      </rPr>
      <t>2</t>
    </r>
    <r>
      <rPr>
        <b/>
        <sz val="9"/>
        <rFont val="Times New Roman"/>
        <family val="1"/>
      </rPr>
      <t>O</t>
    </r>
  </si>
  <si>
    <t>Long-term storage of C in waste disposal sites</t>
  </si>
  <si>
    <r>
      <t>CO</t>
    </r>
    <r>
      <rPr>
        <b/>
        <vertAlign val="subscript"/>
        <sz val="9"/>
        <rFont val="Times New Roman"/>
        <family val="1"/>
      </rPr>
      <t>2</t>
    </r>
    <r>
      <rPr>
        <b/>
        <sz val="9"/>
        <rFont val="Times New Roman"/>
        <family val="1"/>
      </rPr>
      <t xml:space="preserve"> captured</t>
    </r>
  </si>
  <si>
    <r>
      <t>CO</t>
    </r>
    <r>
      <rPr>
        <b/>
        <vertAlign val="subscript"/>
        <sz val="9"/>
        <rFont val="Times New Roman"/>
        <family val="1"/>
      </rPr>
      <t>2</t>
    </r>
    <r>
      <rPr>
        <b/>
        <sz val="9"/>
        <rFont val="Times New Roman"/>
        <family val="1"/>
      </rPr>
      <t xml:space="preserve"> emissions from biomass</t>
    </r>
  </si>
  <si>
    <t>Multilateral operations</t>
  </si>
  <si>
    <t>Navigation</t>
  </si>
  <si>
    <t>Aviation</t>
  </si>
  <si>
    <t>International bunkers</t>
  </si>
  <si>
    <r>
      <t>Memo items:</t>
    </r>
    <r>
      <rPr>
        <b/>
        <vertAlign val="superscript"/>
        <sz val="9"/>
        <rFont val="Times New Roman"/>
        <family val="1"/>
      </rPr>
      <t>(2)</t>
    </r>
  </si>
  <si>
    <r>
      <t xml:space="preserve">6.  Other </t>
    </r>
    <r>
      <rPr>
        <b/>
        <i/>
        <sz val="9"/>
        <rFont val="Times New Roman"/>
        <family val="1"/>
      </rPr>
      <t>(as specified in summary 1.A)</t>
    </r>
  </si>
  <si>
    <r>
      <t>E.  Other</t>
    </r>
    <r>
      <rPr>
        <b/>
        <i/>
        <sz val="9"/>
        <rFont val="Times New Roman"/>
        <family val="1"/>
      </rPr>
      <t xml:space="preserve"> </t>
    </r>
  </si>
  <si>
    <t>D.  Waste water treatment and discharge</t>
  </si>
  <si>
    <t>C.  Incineration and open burning of waste</t>
  </si>
  <si>
    <t>B.  Biological treatment of solid waste</t>
  </si>
  <si>
    <r>
      <t>A.  Solid waste disposal</t>
    </r>
    <r>
      <rPr>
        <b/>
        <sz val="9"/>
        <rFont val="Times New Roman"/>
        <family val="1"/>
      </rPr>
      <t xml:space="preserve"> </t>
    </r>
  </si>
  <si>
    <t>5.  Waste</t>
  </si>
  <si>
    <r>
      <t>H. Other</t>
    </r>
    <r>
      <rPr>
        <i/>
        <sz val="9"/>
        <rFont val="Times New Roman"/>
        <family val="1"/>
      </rPr>
      <t xml:space="preserve">       </t>
    </r>
  </si>
  <si>
    <t>G. Harvested wood products</t>
  </si>
  <si>
    <t xml:space="preserve">E. Settlements </t>
  </si>
  <si>
    <r>
      <t>4. Land use, land-use change and forestry</t>
    </r>
    <r>
      <rPr>
        <b/>
        <vertAlign val="superscript"/>
        <sz val="9"/>
        <rFont val="Times New Roman"/>
        <family val="1"/>
      </rPr>
      <t>(1)</t>
    </r>
  </si>
  <si>
    <t xml:space="preserve">J.  Other </t>
  </si>
  <si>
    <t>I.  Other carbon-containing fertilizers</t>
  </si>
  <si>
    <t>H. Urea application</t>
  </si>
  <si>
    <t>G. Liming</t>
  </si>
  <si>
    <t>F.  Field burning of agricultural residues</t>
  </si>
  <si>
    <t>E.  Prescribed burning of savannas</t>
  </si>
  <si>
    <r>
      <t>D.  Agricultural soils</t>
    </r>
    <r>
      <rPr>
        <vertAlign val="superscript"/>
        <sz val="9"/>
        <color indexed="8"/>
        <rFont val="Times New Roman"/>
        <family val="1"/>
      </rPr>
      <t/>
    </r>
  </si>
  <si>
    <t>C.  Rice cultivation</t>
  </si>
  <si>
    <t>B.  Manure management</t>
  </si>
  <si>
    <t>A.  Enteric fermentation</t>
  </si>
  <si>
    <t>3.  Agriculture</t>
  </si>
  <si>
    <t xml:space="preserve">H.  Other </t>
  </si>
  <si>
    <r>
      <t xml:space="preserve">F.  Product uses as ODS substitutes </t>
    </r>
    <r>
      <rPr>
        <strike/>
        <sz val="9"/>
        <color indexed="8"/>
        <rFont val="Times New Roman"/>
        <family val="1"/>
      </rPr>
      <t/>
    </r>
  </si>
  <si>
    <r>
      <t xml:space="preserve">E.  Electronic Industry </t>
    </r>
    <r>
      <rPr>
        <strike/>
        <sz val="9"/>
        <color indexed="8"/>
        <rFont val="Times New Roman"/>
        <family val="1"/>
      </rPr>
      <t/>
    </r>
  </si>
  <si>
    <r>
      <t>D.  Non-energy products from fuels and solvent use</t>
    </r>
    <r>
      <rPr>
        <strike/>
        <sz val="9"/>
        <rFont val="Times New Roman"/>
        <family val="1"/>
      </rPr>
      <t/>
    </r>
  </si>
  <si>
    <t>B.  Chemical industry</t>
  </si>
  <si>
    <t>2.  Industrial processes and product use</t>
  </si>
  <si>
    <r>
      <t>C. CO</t>
    </r>
    <r>
      <rPr>
        <vertAlign val="subscript"/>
        <sz val="9"/>
        <rFont val="Times New Roman"/>
        <family val="1"/>
      </rPr>
      <t>2</t>
    </r>
    <r>
      <rPr>
        <sz val="9"/>
        <rFont val="Times New Roman"/>
        <family val="1"/>
      </rPr>
      <t xml:space="preserve"> transport and storage</t>
    </r>
  </si>
  <si>
    <t>2.  Oil and natural gas</t>
  </si>
  <si>
    <t>1.  Solid fuels</t>
  </si>
  <si>
    <t>B. Fugitive emissions from fuels</t>
  </si>
  <si>
    <t>5.  Other</t>
  </si>
  <si>
    <t>4.  Other sectors</t>
  </si>
  <si>
    <t>3.  Transport</t>
  </si>
  <si>
    <t>2.  Manufacturing industries and construction</t>
  </si>
  <si>
    <t>1.  Energy industries</t>
  </si>
  <si>
    <t>A. Fuel combustion (sectoral approach)</t>
  </si>
  <si>
    <t>1. Energy</t>
  </si>
  <si>
    <r>
      <t>Total (net emissions)</t>
    </r>
    <r>
      <rPr>
        <b/>
        <vertAlign val="superscript"/>
        <sz val="9"/>
        <rFont val="Times New Roman"/>
        <family val="1"/>
      </rPr>
      <t>(1)</t>
    </r>
  </si>
  <si>
    <r>
      <t>CO</t>
    </r>
    <r>
      <rPr>
        <b/>
        <vertAlign val="subscript"/>
        <sz val="9"/>
        <rFont val="Times New Roman"/>
        <family val="1"/>
      </rPr>
      <t>2</t>
    </r>
    <r>
      <rPr>
        <b/>
        <sz val="9"/>
        <rFont val="Times New Roman"/>
        <family val="1"/>
      </rPr>
      <t xml:space="preserve"> equivalent (kt )</t>
    </r>
  </si>
  <si>
    <t>Unspecified mix of HFCs and PFCs</t>
  </si>
  <si>
    <t>PFCs</t>
  </si>
  <si>
    <t xml:space="preserve">HFCs </t>
  </si>
  <si>
    <r>
      <t>CO</t>
    </r>
    <r>
      <rPr>
        <b/>
        <vertAlign val="subscript"/>
        <sz val="9"/>
        <rFont val="Times New Roman"/>
        <family val="1"/>
      </rPr>
      <t>2</t>
    </r>
    <r>
      <rPr>
        <b/>
        <vertAlign val="superscript"/>
        <sz val="9"/>
        <rFont val="Times New Roman"/>
        <family val="1"/>
      </rPr>
      <t>(1)</t>
    </r>
  </si>
  <si>
    <r>
      <t>SUMMARY 2   SUMMARY REPORT FOR CO</t>
    </r>
    <r>
      <rPr>
        <b/>
        <vertAlign val="subscript"/>
        <sz val="12"/>
        <rFont val="Times New Roman"/>
        <family val="1"/>
      </rPr>
      <t>2</t>
    </r>
    <r>
      <rPr>
        <b/>
        <sz val="12"/>
        <rFont val="Times New Roman"/>
        <family val="1"/>
      </rPr>
      <t xml:space="preserve"> EQUIVALENT EMISSIONS</t>
    </r>
  </si>
  <si>
    <t>Inventory 1990</t>
  </si>
  <si>
    <t>E2018</t>
  </si>
  <si>
    <t>BNP</t>
  </si>
  <si>
    <t>Summary2_2020</t>
  </si>
  <si>
    <t>Summary2_1990</t>
  </si>
  <si>
    <t>Til index</t>
  </si>
  <si>
    <t xml:space="preserve">Affald og spildevand </t>
  </si>
  <si>
    <t>E2020</t>
  </si>
  <si>
    <t>Keramik</t>
  </si>
  <si>
    <t xml:space="preserve">Cement- og teglproduktion </t>
  </si>
  <si>
    <t>Tier II NIR Annex 3D-9</t>
  </si>
  <si>
    <t>Formler NIR s 387</t>
  </si>
  <si>
    <t>NIR 2022 tabel 5.15  (PDF)</t>
  </si>
  <si>
    <t>NIR IPCC default</t>
  </si>
  <si>
    <t>Ingen NIR tabel faktorer</t>
  </si>
  <si>
    <t xml:space="preserve">Vælg NIR faktorer: </t>
  </si>
  <si>
    <t>Detaljer om NIR faktorer findes i fanen:</t>
  </si>
  <si>
    <t>NIR faktorer</t>
  </si>
  <si>
    <t>Tier II SEGES fodermiddeltabel 2020 &amp; Fodermiddeltabel 2005 fra Danmarks JorsbrugsForskning (PDF)</t>
  </si>
  <si>
    <t>Grafer-klima -&gt;VÆLG GWP og NIR&lt;-</t>
  </si>
  <si>
    <t>Region Nord</t>
  </si>
  <si>
    <t>K1 2018</t>
  </si>
  <si>
    <t>K2 2018</t>
  </si>
  <si>
    <t>K2a 2018</t>
  </si>
  <si>
    <t>K3 2018</t>
  </si>
  <si>
    <t>K4 2018</t>
  </si>
  <si>
    <t>K5 2018</t>
  </si>
  <si>
    <t>K5a 2018</t>
  </si>
  <si>
    <t>K6 2018</t>
  </si>
  <si>
    <t>K7 2018</t>
  </si>
  <si>
    <t>K8 2018</t>
  </si>
  <si>
    <t>K9 2018</t>
  </si>
  <si>
    <t>K10 2018</t>
  </si>
  <si>
    <t>K11 2018</t>
  </si>
  <si>
    <t>K12 2018</t>
  </si>
  <si>
    <t>K13 2018</t>
  </si>
  <si>
    <t>K14 2018</t>
  </si>
  <si>
    <t>K15 2018</t>
  </si>
  <si>
    <t>Dyrehold 2018</t>
  </si>
  <si>
    <t>Planteavl 2018</t>
  </si>
  <si>
    <t>Arealanvendelse 2018</t>
  </si>
  <si>
    <t>Industrielle processer 2018</t>
  </si>
  <si>
    <t>Affald og spildevand 2018</t>
  </si>
  <si>
    <t>Samlede klimaregnskaber 
2018</t>
  </si>
  <si>
    <t>Klimabilag 2018</t>
  </si>
  <si>
    <t>Sum af Total udledning af N2O  (ton)</t>
  </si>
  <si>
    <t>biogas_18</t>
  </si>
  <si>
    <t>staldtype_total_18</t>
  </si>
  <si>
    <t>planteavl_18</t>
  </si>
  <si>
    <t>Planteavl_EA_18</t>
  </si>
  <si>
    <t>gødning_mv_18</t>
  </si>
  <si>
    <t>draeninfo_18</t>
  </si>
  <si>
    <t>rewetinfo_18</t>
  </si>
  <si>
    <t>ArealFordelingPaaKulstof_Ha 18</t>
  </si>
  <si>
    <r>
      <t>CO</t>
    </r>
    <r>
      <rPr>
        <vertAlign val="subscript"/>
        <sz val="11"/>
        <color theme="1"/>
        <rFont val="Calibri"/>
        <family val="2"/>
        <scheme val="minor"/>
      </rPr>
      <t>2</t>
    </r>
    <r>
      <rPr>
        <sz val="10"/>
        <rFont val="Calibri"/>
        <family val="2"/>
        <scheme val="minor"/>
      </rPr>
      <t xml:space="preserve"> udledning fra kalkning</t>
    </r>
  </si>
  <si>
    <r>
      <t>CO</t>
    </r>
    <r>
      <rPr>
        <vertAlign val="subscript"/>
        <sz val="11"/>
        <color theme="1"/>
        <rFont val="Calibri"/>
        <family val="2"/>
        <scheme val="minor"/>
      </rPr>
      <t>2</t>
    </r>
    <r>
      <rPr>
        <sz val="10"/>
        <rFont val="Calibri"/>
        <family val="2"/>
        <scheme val="minor"/>
      </rPr>
      <t xml:space="preserve"> udledning fra urea </t>
    </r>
  </si>
  <si>
    <r>
      <t>CO</t>
    </r>
    <r>
      <rPr>
        <vertAlign val="subscript"/>
        <sz val="11"/>
        <color theme="1"/>
        <rFont val="Calibri"/>
        <family val="2"/>
        <scheme val="minor"/>
      </rPr>
      <t>2</t>
    </r>
    <r>
      <rPr>
        <sz val="10"/>
        <rFont val="Calibri"/>
        <family val="2"/>
        <scheme val="minor"/>
      </rPr>
      <t xml:space="preserve"> udledning Calcium ammonium nitrat (CAN) </t>
    </r>
  </si>
  <si>
    <t>PUNKTKILDELISTE pr værk 18</t>
  </si>
  <si>
    <t>Tog, lokaltog, diesel/gas</t>
  </si>
  <si>
    <t>Tog, fjerntog, diesel</t>
  </si>
  <si>
    <t>Tog, fjerntog, el</t>
  </si>
  <si>
    <t>Dataark til bilag 2_18</t>
  </si>
  <si>
    <t>Dataark til bilag 3_18</t>
  </si>
  <si>
    <t>producerede slagtekyllinger, levende vægt ved slagtning 1,67 kg</t>
  </si>
  <si>
    <t>producerede skrabekyllinger, 56 dage</t>
  </si>
  <si>
    <t>i alt</t>
  </si>
  <si>
    <t>græs uden for omdrift</t>
  </si>
  <si>
    <t>Ha_2018</t>
  </si>
  <si>
    <t>Ha 2018</t>
  </si>
  <si>
    <t>Høstresultat efter område, enhed, afgrøde og tid</t>
  </si>
  <si>
    <t>TEST</t>
  </si>
  <si>
    <t>SUM</t>
  </si>
  <si>
    <t>Asnæsværket</t>
  </si>
  <si>
    <t>Helligsø Teglværk A/S</t>
  </si>
  <si>
    <t>I/S Norfors</t>
  </si>
  <si>
    <t>Shell Raffinaderiet Fredericia</t>
  </si>
  <si>
    <t>Sønderborg Kraftvarme I/S</t>
  </si>
  <si>
    <t>Vedstaarup Teglværk A/S</t>
  </si>
  <si>
    <t>obs!</t>
  </si>
  <si>
    <t>1990-2018 ha_18</t>
  </si>
  <si>
    <t>2005-2018 ha_18</t>
  </si>
  <si>
    <t>BYGB34</t>
  </si>
  <si>
    <t>HST77</t>
  </si>
  <si>
    <t>ARE207</t>
  </si>
  <si>
    <t>Fodermiddeltabel</t>
  </si>
  <si>
    <t>PUNKTKILDELISTE pr værk 20</t>
  </si>
  <si>
    <t>STI2030</t>
  </si>
  <si>
    <t>STI2050</t>
  </si>
  <si>
    <t>Konsekvenser for el-balancen</t>
  </si>
  <si>
    <t>El-forbrug an forbruger, heraf:</t>
  </si>
  <si>
    <t xml:space="preserve"> - Klassisk el-forbrug, private</t>
  </si>
  <si>
    <t xml:space="preserve"> - Klassisk el-forbrug, erhverv</t>
  </si>
  <si>
    <t xml:space="preserve"> - El til varmepumper</t>
  </si>
  <si>
    <t xml:space="preserve"> - El til fjernvarmen</t>
  </si>
  <si>
    <t xml:space="preserve"> - El til transport</t>
  </si>
  <si>
    <t xml:space="preserve"> - El til PtX</t>
  </si>
  <si>
    <t xml:space="preserve"> - Øvrigt elforbrug</t>
  </si>
  <si>
    <t>Omlægge mineralsk jord i omdrift til græs (solceller og permanent brak)</t>
  </si>
  <si>
    <t>Omlægge landbrugsjord til skov (nationalt mål om 25% før 2090)</t>
  </si>
  <si>
    <t>Arealanvendelse - yderligere tiltag</t>
  </si>
  <si>
    <t>ton CO2-ækv./</t>
  </si>
  <si>
    <t>Dyrke efterafgrøder (ud over nuværende efterafgrøder)</t>
  </si>
  <si>
    <t>Omlægning til økologisk landbrugsjord</t>
  </si>
  <si>
    <t>Reduceret tilførsel af handelsgødning</t>
  </si>
  <si>
    <t>ton CO2-ækv./ton  N</t>
  </si>
  <si>
    <t>Planteavl - yderligere tiltag</t>
  </si>
  <si>
    <t xml:space="preserve">Dyrehold </t>
  </si>
  <si>
    <t>Fodre med metanreducerende fodertilsætning (foderfedt)</t>
  </si>
  <si>
    <t>Dyrehold - yderligere tiltag</t>
  </si>
  <si>
    <t>Dyrehold - yderligere tiltaag</t>
  </si>
  <si>
    <t>Sum af reduktion i CO2-ækv. Landbrug</t>
  </si>
  <si>
    <t>ton CO2-ækv./ton</t>
  </si>
  <si>
    <t>ton CO2-ækv./stk.</t>
  </si>
  <si>
    <t>Antal brande</t>
  </si>
  <si>
    <t>Affald og spildevand - yderligere tiltag</t>
  </si>
  <si>
    <t>Sum af reduktion i CO2-ækv. Affald og spildevand</t>
  </si>
  <si>
    <t xml:space="preserve">Punktkilde emission </t>
  </si>
  <si>
    <t>Sum af reduktion i CO2-ækv. Industrielle processer</t>
  </si>
  <si>
    <t>Alternative drivmidler i person- og varebiler: Andel rene elbiler (BEV)</t>
  </si>
  <si>
    <t>Person- og varebiler</t>
  </si>
  <si>
    <t>Alternative drivmidler i person- og varebiler: Andel plugin-hybridbiler (PHEV)</t>
  </si>
  <si>
    <t>Person- og varebiler: CO2-besparelser af valgt vognpark:</t>
  </si>
  <si>
    <t>Alternative drivmidler i lastbiler: Andel eldrevne (BEV)</t>
  </si>
  <si>
    <t>Lastbiler</t>
  </si>
  <si>
    <t>Alternative drivmidler i lastbiler: Andel gasdrevne</t>
  </si>
  <si>
    <t>Alternative drivmidler i lastbiler: Andel brintdrevne</t>
  </si>
  <si>
    <t>Lastbiler: CO2-besparelser af valgt vognpark:</t>
  </si>
  <si>
    <t>Alternative drivmidler i busser: Andel eldrevne (BEV)</t>
  </si>
  <si>
    <t>Busser</t>
  </si>
  <si>
    <t>Alternative drivmidler i busser: Andel gasdrevne</t>
  </si>
  <si>
    <t>Alternative drivmidler i busser: Andel brintdrevne</t>
  </si>
  <si>
    <t>Busser: CO2-besparelser af valgt vognpark:</t>
  </si>
  <si>
    <t>Luftfart: Stigning i transport- og brændstofbehov</t>
  </si>
  <si>
    <t>ton CO2/TJ JP1</t>
  </si>
  <si>
    <t>TJ JP1</t>
  </si>
  <si>
    <t>Øvrige tiltag transport: Effektiviseringer, elektrificering af jernbaner og færger mv.</t>
  </si>
  <si>
    <t>Sum af reduktion i CO2-ækv. Transport</t>
  </si>
  <si>
    <t>Energibesparelser/efterisolering i eksisterende rumvarmebehov</t>
  </si>
  <si>
    <t>Reduktion af fossile brændsler i fjernvarmen</t>
  </si>
  <si>
    <t>ton CO2/TJ brændsel</t>
  </si>
  <si>
    <t>Omstilling fra opvarmning med individuel naturgas til andre vedvarende energikilder</t>
  </si>
  <si>
    <t>ton CO2/TJ naturgas</t>
  </si>
  <si>
    <t>Omstilling fra opvarmning med individuel olie til andre vedvarende energikilder</t>
  </si>
  <si>
    <t>ton CO2/TJ olie</t>
  </si>
  <si>
    <t>Omstilling fra ledningsgas i industrien og ervhervet til andre vedvarende energikilder</t>
  </si>
  <si>
    <t xml:space="preserve">Omstilling fra olie i industrien og erhvervet til vedvarende energikilder </t>
  </si>
  <si>
    <t xml:space="preserve">Omstilling fra øvrige fossile brændsler i industrien til vedvarende energikilder </t>
  </si>
  <si>
    <t xml:space="preserve">ton CO2/TJ </t>
  </si>
  <si>
    <t>Biogas &amp; PtX: Biogasopgradering</t>
  </si>
  <si>
    <t>ton CO2/ton husdyrgødning</t>
  </si>
  <si>
    <t>ton husdyrgødning rest</t>
  </si>
  <si>
    <t>Biogas &amp; PtX: Metanol (eSMR på ny biogas)</t>
  </si>
  <si>
    <t>Biogas &amp; PtX: Metanisering (på ny biogas)</t>
  </si>
  <si>
    <t>CCU &amp; PtX: Metanol (Power2Met på overskuds-CO2)</t>
  </si>
  <si>
    <t>ton CO2/ton CO2-nyttiggjort</t>
  </si>
  <si>
    <t>ton opsamlet CO2</t>
  </si>
  <si>
    <t>CCU &amp; PtX: Metanisering (Biometanisering på overskuds-CO2)</t>
  </si>
  <si>
    <t>CCS: Carbon Capture/CO2-lagring i undergrunden</t>
  </si>
  <si>
    <t>ton CO2/ton CO2</t>
  </si>
  <si>
    <t>ton CO2</t>
  </si>
  <si>
    <t>Reduktion af emissionsfaktor for el-import</t>
  </si>
  <si>
    <t>ton CO2/TJ el</t>
  </si>
  <si>
    <t>Opsætning af nye vindmøller (150 m, 4,2 MW, 3.000 fuldlasttimer/år)</t>
  </si>
  <si>
    <t>TJ el / vindmølle</t>
  </si>
  <si>
    <t>stk. vindmøller</t>
  </si>
  <si>
    <t>Opsætning af kystnære vindmøller (180m, 4,6 MW, 3.800 fuldlasttimer/år)</t>
  </si>
  <si>
    <t>Opsætning af solceller (markbaseret eller på industritage mv.)</t>
  </si>
  <si>
    <t>TJ el / ha solceller</t>
  </si>
  <si>
    <t>ha solceller</t>
  </si>
  <si>
    <t>Sum af reduktion i CO2-ækv. Energi</t>
  </si>
  <si>
    <t> </t>
  </si>
  <si>
    <t>Forventet areal til opfyldelse af mål</t>
  </si>
  <si>
    <t>Maksimalt årligt potentiale for opfyldte ha</t>
  </si>
  <si>
    <t>Halm fra antal ha til opfyldning af 1 ha</t>
  </si>
  <si>
    <t>Faktor pr. ha halmpotentiale</t>
  </si>
  <si>
    <t>Estimeret effekt ved maks. tildeling pr. ha (20ton)</t>
  </si>
  <si>
    <t>Forventet faktor - alt dyrkningsareal</t>
  </si>
  <si>
    <t>Biokul</t>
  </si>
  <si>
    <t>Forventet effekt pr. ha omlagt (national)</t>
  </si>
  <si>
    <t>Nuværende økologisk areal</t>
  </si>
  <si>
    <t>Forventet effekt af fordoblet økologisk areal</t>
  </si>
  <si>
    <t>Fordobling af økologisk areal</t>
  </si>
  <si>
    <t>Skovrejsning</t>
  </si>
  <si>
    <t>Andel mineralsk jord vådlagt</t>
  </si>
  <si>
    <t>Mineralsk jord vådlagt</t>
  </si>
  <si>
    <t>Sum</t>
  </si>
  <si>
    <t>Ændring græsareal</t>
  </si>
  <si>
    <t>Dyrket mark</t>
  </si>
  <si>
    <t>Ændret dyrket mark</t>
  </si>
  <si>
    <t>1000 ha</t>
  </si>
  <si>
    <t>Vådlagt mineralsk jord (hektar)</t>
  </si>
  <si>
    <t>Mineralsk jord vådlagt som følge af vådlægning af tilstødende kulstofrig jord</t>
  </si>
  <si>
    <t>9.</t>
  </si>
  <si>
    <t>Malkekvæg</t>
  </si>
  <si>
    <t>Forgasningsprocent svinegylle</t>
  </si>
  <si>
    <t>Forgasningsprocent kvæggylle</t>
  </si>
  <si>
    <t>Mængde gylle afsat til biogas fordelt på kvæg og svingylle, kt</t>
  </si>
  <si>
    <t>Gylle til biogas</t>
  </si>
  <si>
    <t>8.</t>
  </si>
  <si>
    <t>*Se beskrivelse i notat om scenarieværktøjets opbygning eller KF22: https://ens.dk/service/fremskrivninger-analyser-modeller/klimastatus-og-fremskrivning-2022</t>
  </si>
  <si>
    <t>95% af slagtesvinegylle*</t>
  </si>
  <si>
    <t>Hyppig udslusning</t>
  </si>
  <si>
    <t>7.</t>
  </si>
  <si>
    <t>Vægtet %</t>
  </si>
  <si>
    <t>1990-2007</t>
  </si>
  <si>
    <t>Gyllekøling % af dyr/gødning</t>
  </si>
  <si>
    <t>6.</t>
  </si>
  <si>
    <t>N i handelsgødning</t>
  </si>
  <si>
    <t>Reduktion tilført N (basisår 2020)</t>
  </si>
  <si>
    <t>Reduktion tilført N (basisår 2018)</t>
  </si>
  <si>
    <t>Mængde N fra handelsgødning, kt N</t>
  </si>
  <si>
    <t>5.</t>
  </si>
  <si>
    <t>Tildeling af foderfedt</t>
  </si>
  <si>
    <t>4.</t>
  </si>
  <si>
    <t>Areal af efterafgrøder,</t>
  </si>
  <si>
    <t>Til C-tool-beregningen for mineral landbrugsjord (1000 ha)</t>
  </si>
  <si>
    <t>3.</t>
  </si>
  <si>
    <t>2.</t>
  </si>
  <si>
    <t>Græsareal, fuldt drænet</t>
  </si>
  <si>
    <t xml:space="preserve">Dyrket mark, fuldt drænet </t>
  </si>
  <si>
    <t>Arealer (ha) med 6-12 % SOC</t>
  </si>
  <si>
    <t>Udenfor Internet Markkort</t>
  </si>
  <si>
    <t>Arealer (ha) med &gt;12 % SOC</t>
  </si>
  <si>
    <t>Kulstofrig landbrugsjord fordelt på jord- og dræningstype.</t>
  </si>
  <si>
    <t>1.</t>
  </si>
  <si>
    <t>Se endvidere notat om reduktionsstiværktøjet, der beskriver de dele af KF22, som er politisk vedtagne tiltag og som indgår i BAU</t>
  </si>
  <si>
    <t>https://ens.dk/service/fremskrivninger-analyser-modeller/klimastatus-og-fremskrivning-2022</t>
  </si>
  <si>
    <t>BAU og Scenarieberegninger 2030 - Forudsætninger og mellemregninger (Klima)</t>
  </si>
  <si>
    <t>VV-vægtet</t>
  </si>
  <si>
    <t>Brændsler</t>
  </si>
  <si>
    <t>Kedler</t>
  </si>
  <si>
    <t>VP</t>
  </si>
  <si>
    <t>Andet I (OBS IKKE integreret i regnskabet)</t>
  </si>
  <si>
    <t>Ledningsgas-kedler</t>
  </si>
  <si>
    <t>Ledningsgas-KV</t>
  </si>
  <si>
    <t>Affaldskedler (husholdningsaffald mv.)</t>
  </si>
  <si>
    <t>Biomassekedler (inkl. HPA)</t>
  </si>
  <si>
    <t>Elkedler</t>
  </si>
  <si>
    <t>Varmepumper, overskudsvarme</t>
  </si>
  <si>
    <t>Varmepumper</t>
  </si>
  <si>
    <t>Varmeproduktion ab værk</t>
  </si>
  <si>
    <t>Sammensætning Fjernvarme 2040</t>
  </si>
  <si>
    <t>Sammensætning Fjernvarme 2030</t>
  </si>
  <si>
    <t>Affald: Ikke-bionedbrydelig fraktion</t>
  </si>
  <si>
    <t>Virkningsgrad: Gaskedler</t>
  </si>
  <si>
    <t>Virkningsgrad: Biomasse- &amp; affaldskedler</t>
  </si>
  <si>
    <t>Virkningsgrad: Varmepumper, overskudsvarme</t>
  </si>
  <si>
    <t>Virkninsgrad: Varmepumper</t>
  </si>
  <si>
    <t>Øvrige forudsætninger fjernvarme</t>
  </si>
  <si>
    <t>Sammenhængende fjernvarmenet</t>
  </si>
  <si>
    <t>Ny fjernvarme</t>
  </si>
  <si>
    <t>Mellemstore fjernvarmenet (150-500 TJ), 15 stk.</t>
  </si>
  <si>
    <t>Overskudsvarme fra elektrolyse</t>
  </si>
  <si>
    <t>El-forbrug til alkalisk elektrolyse</t>
  </si>
  <si>
    <t>2020 (EPT)</t>
  </si>
  <si>
    <t>Årlig produktion</t>
  </si>
  <si>
    <t>Varmeproduktion ab værk (TJ)</t>
  </si>
  <si>
    <t>FLH</t>
  </si>
  <si>
    <t>Fuldlasttimer</t>
  </si>
  <si>
    <t>MW</t>
  </si>
  <si>
    <t>Elektrolyse-kapacitet</t>
  </si>
  <si>
    <t>Samlet udvidelse fjernvarme, an forbruger (TJ)</t>
  </si>
  <si>
    <t>Skala</t>
  </si>
  <si>
    <t>PtX - Brint til øvrige formål</t>
  </si>
  <si>
    <t>Stigning i gas-forbrug</t>
  </si>
  <si>
    <t>Stigning i flis-forbrug</t>
  </si>
  <si>
    <t>Biometan</t>
  </si>
  <si>
    <t>Stigning i el-forbrug</t>
  </si>
  <si>
    <t>El-forbrug til elektrolyse mv.</t>
  </si>
  <si>
    <t>SCOP, HT varmepumper industri</t>
  </si>
  <si>
    <t>Til gas</t>
  </si>
  <si>
    <t>Til biomasse</t>
  </si>
  <si>
    <t>ton/år</t>
  </si>
  <si>
    <t>Brint-forbrug</t>
  </si>
  <si>
    <t>Til el/varmepumper</t>
  </si>
  <si>
    <t>Konverteres (%)</t>
  </si>
  <si>
    <t>Konvertering af øvrige fossile brændsler (TJ)</t>
  </si>
  <si>
    <t>Konvertering af brændelsolie (TJ)</t>
  </si>
  <si>
    <t>Konvertering af øvrige fossile brændsler (%)</t>
  </si>
  <si>
    <t>Konvertering af brændelsolie (%)</t>
  </si>
  <si>
    <t>Øvrige fossile</t>
  </si>
  <si>
    <t>Brændselsolie</t>
  </si>
  <si>
    <t>TJ, 2020</t>
  </si>
  <si>
    <t>Øvrige brændsler, erhverv</t>
  </si>
  <si>
    <t>Solceller</t>
  </si>
  <si>
    <t>150 m-vindmøller på land</t>
  </si>
  <si>
    <t>Behov for installeret el, total</t>
  </si>
  <si>
    <t>El-optag (elektrolyse)</t>
  </si>
  <si>
    <t>Anlægsparametre mv.</t>
  </si>
  <si>
    <t>Øvrige produkter</t>
  </si>
  <si>
    <t>Konverteres (TJ NVB)</t>
  </si>
  <si>
    <t>Husdyrgødning, anvendt</t>
  </si>
  <si>
    <t>Til sammenhængende fjernvarmenet</t>
  </si>
  <si>
    <t>Stigning el-forbrug jf. KF22 (som % af brændstofforbrug 2020)</t>
  </si>
  <si>
    <t>Til ny fjernvarme</t>
  </si>
  <si>
    <t>Husdyrgødning, restpotentiale</t>
  </si>
  <si>
    <t>Til mindre fjernvarmevarmenet</t>
  </si>
  <si>
    <t>PtX - Metanisering (på biogas)</t>
  </si>
  <si>
    <t>Til mellemstore fjernvarmenet</t>
  </si>
  <si>
    <t>Til store fjernvarmenet</t>
  </si>
  <si>
    <t>Til indviduelle varmepumper</t>
  </si>
  <si>
    <t>Udvikling af brændstofforbrug</t>
  </si>
  <si>
    <t>Metanol</t>
  </si>
  <si>
    <t>NVB, konverteret, efter energibesparelser</t>
  </si>
  <si>
    <t>NVB, konverteret</t>
  </si>
  <si>
    <t>Udvikling 2020-30</t>
  </si>
  <si>
    <t>Dieselforbrug 2020</t>
  </si>
  <si>
    <t>Reduktion i periode</t>
  </si>
  <si>
    <t>Gas erhverv</t>
  </si>
  <si>
    <t>Øvrig transport</t>
  </si>
  <si>
    <t>Procesbehov / Industrien</t>
  </si>
  <si>
    <t>Brintforbrug, busser 2030</t>
  </si>
  <si>
    <t>Gasforbrug, busser 2030</t>
  </si>
  <si>
    <t>Elforbrug, busser 2030</t>
  </si>
  <si>
    <t>Dieselforbrug, busser 2030</t>
  </si>
  <si>
    <t>Heraf: Brint</t>
  </si>
  <si>
    <t>Heraf: Gas</t>
  </si>
  <si>
    <t>Metanolproduktion, eSMR out</t>
  </si>
  <si>
    <t>Heraf: BEV</t>
  </si>
  <si>
    <t>El-optag (SOEC+eSMR)</t>
  </si>
  <si>
    <t>Heraf: Diesel</t>
  </si>
  <si>
    <t>Busser 2030, samt fordeling.</t>
  </si>
  <si>
    <t>Andel af 12,9 GW i Vesterhavet</t>
  </si>
  <si>
    <t>Enhedsforbrug - dieselbus, 2030, netto</t>
  </si>
  <si>
    <t>8 MW vindmøller (havvind)</t>
  </si>
  <si>
    <t>Enhedsforbrug - dieselbus, 2030</t>
  </si>
  <si>
    <t>4,2 MW-vindmøller (landvind)</t>
  </si>
  <si>
    <t>Enhedsforbrug &amp; antal</t>
  </si>
  <si>
    <t>El-forbrug (TJ) til PtX svarende til:</t>
  </si>
  <si>
    <t>PtX - Metanol (eSMR på biogas)</t>
  </si>
  <si>
    <t>Andel af 12,9 GW havvind</t>
  </si>
  <si>
    <t>Biometanproduktion</t>
  </si>
  <si>
    <t>Virkningsgrad, 2020 (%)</t>
  </si>
  <si>
    <t>Havvindmøller (8 MW/vindmølle)</t>
  </si>
  <si>
    <t>Fordeling Busser, 2030</t>
  </si>
  <si>
    <t>El-forbrug, opgraderingsanlæg</t>
  </si>
  <si>
    <t>150m-vindmøller (landvind, 4,2 MW/vindmølle)</t>
  </si>
  <si>
    <t>Busser 2020, eksisterende</t>
  </si>
  <si>
    <t>El-optag (MW) til PtX svarende til:</t>
  </si>
  <si>
    <t>Brintforbrug, lastbiler 2030</t>
  </si>
  <si>
    <t>Gasforbrug, lastbiler 2030</t>
  </si>
  <si>
    <t>Restpotentiale af gylle anvendt</t>
  </si>
  <si>
    <t>Elforbrug, lastbiler 2030</t>
  </si>
  <si>
    <t>Til træpiller, NVB (TJ)</t>
  </si>
  <si>
    <t>Dieselforbrug, lastbiler 2030</t>
  </si>
  <si>
    <t>Til varmepumper, NVB (TJ)</t>
  </si>
  <si>
    <t>Produktion af metanol</t>
  </si>
  <si>
    <t>Indtastes</t>
  </si>
  <si>
    <t>Øvrige planlagte</t>
  </si>
  <si>
    <t>Til træpiller (%)</t>
  </si>
  <si>
    <t>Produktion af opgraderet biogas</t>
  </si>
  <si>
    <t>Opgraderet biogas</t>
  </si>
  <si>
    <t>Til indviduelle varmepumper (%)</t>
  </si>
  <si>
    <t>Konverteres</t>
  </si>
  <si>
    <t>Elforbrug, PtX, samlet</t>
  </si>
  <si>
    <t>El-optag samlet (ekskl. aminskrubbere)</t>
  </si>
  <si>
    <t>El-optag, PtX, samlet</t>
  </si>
  <si>
    <t>PtX og biogas</t>
  </si>
  <si>
    <t>Lastbiler 2030, samt fordeling.</t>
  </si>
  <si>
    <t>Brint til øvrige formål</t>
  </si>
  <si>
    <t>Enhedsforbrug - diesellastbil, 2030, netto</t>
  </si>
  <si>
    <t>ton/TJ</t>
  </si>
  <si>
    <t>Enhedsforbrug - diesellastbil, 2030</t>
  </si>
  <si>
    <t>Opgraderet biogas / biometan</t>
  </si>
  <si>
    <t>VE-andel, 2030</t>
  </si>
  <si>
    <t>Residual-el i 2030</t>
  </si>
  <si>
    <t>Desuden lastbiler, busser, tog, fly og skibstrafik jf. Energistyrelsen.</t>
  </si>
  <si>
    <t>Power-To-X og biogas</t>
  </si>
  <si>
    <t>Energibesparelser (varme), eksisterende byggeri</t>
  </si>
  <si>
    <t>VE-andel, diesel, jf. Energistyrelsen</t>
  </si>
  <si>
    <t>Varmeforsyningen - Rumvarmebehov</t>
  </si>
  <si>
    <t>VE-andel, benzin, jf. Energistyrelsen</t>
  </si>
  <si>
    <t>Fordeling lastbiler, 2030</t>
  </si>
  <si>
    <t>Andel af elbiler</t>
  </si>
  <si>
    <t>Lastbiler 2020, eksisterende</t>
  </si>
  <si>
    <t>Vind på land</t>
  </si>
  <si>
    <t>Havvind</t>
  </si>
  <si>
    <t>Udvikling antal busser (fast årskørsel!)</t>
  </si>
  <si>
    <t>Tung transport</t>
  </si>
  <si>
    <t>Indeks</t>
  </si>
  <si>
    <t>KF22-forudsætninger (DK1, MW)</t>
  </si>
  <si>
    <t>Udvikling antal lastbiler (fast årskørsel!)</t>
  </si>
  <si>
    <t>Konvertering af øvrige fossile brændsler</t>
  </si>
  <si>
    <t>Konvertering af brændselsolie</t>
  </si>
  <si>
    <t>Dieselforbrug person og varebiler 2030</t>
  </si>
  <si>
    <t>Nye solceller, produktion</t>
  </si>
  <si>
    <t>Personbiler, nye indbyggere</t>
  </si>
  <si>
    <t>Konvertering af gasforbrug</t>
  </si>
  <si>
    <t>Benzinforbrug person og varebiler 2030</t>
  </si>
  <si>
    <t>Oplyst i ansøgninger (indtastes)</t>
  </si>
  <si>
    <t>Nye personbiler, nye indbyggere, sammenlignet med eksisterende</t>
  </si>
  <si>
    <t>Erhvervets energiforbrug</t>
  </si>
  <si>
    <t>Markbaserede anlæg</t>
  </si>
  <si>
    <t>Stigning antal personbiler (fast årskørsel!), nuværende indbyggere</t>
  </si>
  <si>
    <t>Erhvervstage</t>
  </si>
  <si>
    <t>Let transport</t>
  </si>
  <si>
    <t>Reduktion af gasfyr</t>
  </si>
  <si>
    <t>Til regnskab: Klassisk elforbrug, nye indbyggere</t>
  </si>
  <si>
    <t>Reduktion af oliefyr</t>
  </si>
  <si>
    <t>Heraf: Benzin</t>
  </si>
  <si>
    <t>kWh/indbygger/år</t>
  </si>
  <si>
    <t>Klassisk el-forbrug pr. ny indbygger</t>
  </si>
  <si>
    <t>Energibesparelser (varme)</t>
  </si>
  <si>
    <t>Heraf: Benzin-Plugin (PHEV)</t>
  </si>
  <si>
    <t>pr. enhed (TJ)</t>
  </si>
  <si>
    <t>Solceller - Udbygning</t>
  </si>
  <si>
    <t>Klassisk el-forbrug pr. 2020-indbygger</t>
  </si>
  <si>
    <t>Varmeforsyning</t>
  </si>
  <si>
    <t>Heraf: El (BEV)</t>
  </si>
  <si>
    <t>Klassisk el-forbrug</t>
  </si>
  <si>
    <t>Person og varebiler 2030, kommune</t>
  </si>
  <si>
    <t>Anslået produktion på årsbasis</t>
  </si>
  <si>
    <t>Til regnskab: Varmebehov, nye boliger (lægges til ny fjernvarme eller trækkes fra mellemstore net)</t>
  </si>
  <si>
    <t>Tilflytning (til ca. 105.000 indbyggere)</t>
  </si>
  <si>
    <t>2030 Fordeling af køretøjer, let transport</t>
  </si>
  <si>
    <t>Arealbehov</t>
  </si>
  <si>
    <t>MWh/år</t>
  </si>
  <si>
    <t>Enhedsvarmebehov (netto) pr. ny bolig</t>
  </si>
  <si>
    <t>Emissioner fra energisektoren</t>
  </si>
  <si>
    <t>Enhedsforbrug - diesellbil, 2030</t>
  </si>
  <si>
    <t>Solceller - Forudsætninger (jf. minianalyse Silkeborg)</t>
  </si>
  <si>
    <t>indb./bolig</t>
  </si>
  <si>
    <t>Bebore pr. ny bolig</t>
  </si>
  <si>
    <t>Oversigt - Forudsætninger</t>
  </si>
  <si>
    <t>Enhedsforbrug - benzinlbil, 2030</t>
  </si>
  <si>
    <t>Varme</t>
  </si>
  <si>
    <t>Forbrændingsmotorer</t>
  </si>
  <si>
    <t>Nye kystnære vindmøller, produktion</t>
  </si>
  <si>
    <t>Indbyggere, målår</t>
  </si>
  <si>
    <t>Enhedsforbrug, benzin, PHEV, 2030</t>
  </si>
  <si>
    <t>190 m mølle (8,4 MW, 3.800 FLH)</t>
  </si>
  <si>
    <t>Befolkningstilvækst 2020-målår</t>
  </si>
  <si>
    <t>Enhedsforbrug, el, PHEV, 2030</t>
  </si>
  <si>
    <t>180 m mølle (4,6 MW, 3.800 FLH)</t>
  </si>
  <si>
    <t>Indbyggere, 2020</t>
  </si>
  <si>
    <t>km/l</t>
  </si>
  <si>
    <t>Specifik effektivitet, forbrænding</t>
  </si>
  <si>
    <t>180 m mølle (3,7 MW, 3.800 FLH)</t>
  </si>
  <si>
    <t>Udviklinger, herunder befolkning</t>
  </si>
  <si>
    <t xml:space="preserve"> - Øvrige</t>
  </si>
  <si>
    <t>km/kWh</t>
  </si>
  <si>
    <t>Specifik effektivitet, el</t>
  </si>
  <si>
    <t>150 m mølle (3,5 MW, 3.800 FLH)</t>
  </si>
  <si>
    <t xml:space="preserve"> - Kraftvarme</t>
  </si>
  <si>
    <t>Andel af årskørsel, el</t>
  </si>
  <si>
    <t>pr. mølle (TJ/stk.)</t>
  </si>
  <si>
    <t>Kystnære vindmøller - Udbygning</t>
  </si>
  <si>
    <t xml:space="preserve"> - Solceller</t>
  </si>
  <si>
    <t>km/år</t>
  </si>
  <si>
    <t>Årskørsel</t>
  </si>
  <si>
    <t xml:space="preserve"> - Vindmøller</t>
  </si>
  <si>
    <t>Andel PHEV (benzin) person- og varebiler, 2030 Kommunalt:</t>
  </si>
  <si>
    <t>Nye landvindmøller, produktion</t>
  </si>
  <si>
    <t>Lokal el-produktion, heraf:</t>
  </si>
  <si>
    <t>PHEV</t>
  </si>
  <si>
    <t>Total, nye landvindmøller</t>
  </si>
  <si>
    <t>Estimeres på baggrund af eksisterende biogas o.lign.</t>
  </si>
  <si>
    <t>Estimat</t>
  </si>
  <si>
    <t>Forsyning</t>
  </si>
  <si>
    <t>Enhedsforbrug - BEV, 2030</t>
  </si>
  <si>
    <t>180 m mølle (4,2 MW, 3.700 FLH)</t>
  </si>
  <si>
    <t>Kommunenavn, pågældende fane</t>
  </si>
  <si>
    <t>E-Bilag 6</t>
  </si>
  <si>
    <t>Nettab, fjernvarmenet</t>
  </si>
  <si>
    <t>Specifik effektivitet</t>
  </si>
  <si>
    <t>150 m mølle (4,2 MW, 3.000 FLH)</t>
  </si>
  <si>
    <t>Tilpasset Pivot med ændret år for nettilslutning</t>
  </si>
  <si>
    <t>E-Bilag 2</t>
  </si>
  <si>
    <t>Forventet produktion fra møller i 2050</t>
  </si>
  <si>
    <t>husstande</t>
  </si>
  <si>
    <t>Stigning i elforbruget</t>
  </si>
  <si>
    <t>150 m mølle (3,5 MW, 3.400 FLH)</t>
  </si>
  <si>
    <t>Forventet produktion fra møller i 2030</t>
  </si>
  <si>
    <t>GWh/år</t>
  </si>
  <si>
    <t>Andel BEV person- og varebiler, 2030 Kommunalt:</t>
  </si>
  <si>
    <t>138 m mølle (3,5 MW, 3.000 FLH)</t>
  </si>
  <si>
    <t>Kommunenavn, tabel for år</t>
  </si>
  <si>
    <t>E-Bilag 7</t>
  </si>
  <si>
    <t>Antal oliefyr, individuel</t>
  </si>
  <si>
    <t>BEV</t>
  </si>
  <si>
    <t>125 m mølle (2,3 MW, 2.800 FLH)</t>
  </si>
  <si>
    <t>2020, Tabel for kommuner</t>
  </si>
  <si>
    <t>E-Bilag 9</t>
  </si>
  <si>
    <t>Antal gasfyr, individuel</t>
  </si>
  <si>
    <t>Andel diesel af forbrænding, 2030:</t>
  </si>
  <si>
    <t>Landvindmøller - Udbygning</t>
  </si>
  <si>
    <t>-, Sum af total, fratrukket allerede sendt til biogas</t>
  </si>
  <si>
    <t>K-Bilag, 2a</t>
  </si>
  <si>
    <t xml:space="preserve"> - Øvrigt</t>
  </si>
  <si>
    <t>Andel benzin af forbrænding, 2030:</t>
  </si>
  <si>
    <t>E-Bilag 12</t>
  </si>
  <si>
    <t xml:space="preserve"> - PtX</t>
  </si>
  <si>
    <t>Dieselbiler, 2020</t>
  </si>
  <si>
    <t>Motorstyrelsen &amp; DST 2019</t>
  </si>
  <si>
    <t>Busser, 2019</t>
  </si>
  <si>
    <t>Benzinbiler, 2020</t>
  </si>
  <si>
    <t>Nej</t>
  </si>
  <si>
    <t>Vind - Repowering 1:1?</t>
  </si>
  <si>
    <t>Person og varebiler 2030, eksisterende indbyggere</t>
  </si>
  <si>
    <t>El produktion fra vindmøller &lt;30 år 2030</t>
  </si>
  <si>
    <t>Person og varebiler 2020, eksisterende indbyggere</t>
  </si>
  <si>
    <t>El produktion fra vindmøller 2020</t>
  </si>
  <si>
    <t>Fordelinger</t>
  </si>
  <si>
    <t>Vindmøller - eksisterende i 2020</t>
  </si>
  <si>
    <t>Enhedsforbrug, benzinbil, 2019</t>
  </si>
  <si>
    <t>VE på land</t>
  </si>
  <si>
    <t>Motorstyrelsen &amp; DST 2020</t>
  </si>
  <si>
    <t>Person- og varebiler, diesel, 2020</t>
  </si>
  <si>
    <t>Person- og varebiler, benzin, 2020</t>
  </si>
  <si>
    <t>Nettovarmebehov</t>
  </si>
  <si>
    <t>Person- og varebiler, 2020</t>
  </si>
  <si>
    <t>Behov</t>
  </si>
  <si>
    <t>Værdi</t>
  </si>
  <si>
    <t>Fane, Celle (KE2020)</t>
  </si>
  <si>
    <t>Kilde</t>
  </si>
  <si>
    <t>Data</t>
  </si>
  <si>
    <t>Resultater - KPI</t>
  </si>
  <si>
    <t>Transport - bio-andele, 2030</t>
  </si>
  <si>
    <t>Residual-el</t>
  </si>
  <si>
    <t>Indtastning af data fra KE/Bilag</t>
  </si>
  <si>
    <t>Scenarieberegninger 2030 - Forudsætninger og mellemregninger</t>
  </si>
  <si>
    <t>Fjernvarme- og KV-værker, overskudsvarme &amp; geotermi</t>
  </si>
  <si>
    <t>CO2-emissioner (1.000 tons)</t>
  </si>
  <si>
    <t>K-tiltag</t>
  </si>
  <si>
    <t>ESTI2050</t>
  </si>
  <si>
    <t>ESTI2030</t>
  </si>
  <si>
    <t>E-Tiltag</t>
  </si>
  <si>
    <t>Data fra andre kilder for flere år</t>
  </si>
  <si>
    <t>CO2-intensitet, 2030</t>
  </si>
  <si>
    <t>Overskuds-CO2</t>
  </si>
  <si>
    <t>MWp/ha</t>
  </si>
  <si>
    <t>kWh/kWp</t>
  </si>
  <si>
    <t>Villatage (4,5 kWp-anlæg)</t>
  </si>
  <si>
    <t>Etageejendomme (25 kWp-anlæg)</t>
  </si>
  <si>
    <t>Restpotentiale af overskuds-CO2 anvendt</t>
  </si>
  <si>
    <t>Nm3/time</t>
  </si>
  <si>
    <t>PtX - Metanol (syntese, på overskuds-CO2)</t>
  </si>
  <si>
    <t>Nyttiggjort overskuds-CO2</t>
  </si>
  <si>
    <t>PtX - Metanisering (på overskuds-CO2)</t>
  </si>
  <si>
    <t>REGION_NR</t>
  </si>
  <si>
    <t>INDSÆT VALGT KOMMUNE/REGION</t>
  </si>
  <si>
    <t>Nøgletal - lokalt (kommune eller region)</t>
  </si>
  <si>
    <t>Nøgletal - nationalt (DK)</t>
  </si>
  <si>
    <t>Fordeling af emissioner fra landbrug og arealanvendelse lokalt (kommune eller region)</t>
  </si>
  <si>
    <t>Industrielle processer fordelt lokalt (kommune eller region)</t>
  </si>
  <si>
    <t>Affald og spildevand fordelt lokalt (kommune eller region)</t>
  </si>
  <si>
    <t>NR</t>
  </si>
  <si>
    <t>Sum af Antal dyr</t>
  </si>
  <si>
    <t>Antal dyr</t>
  </si>
  <si>
    <t>Kommune/region</t>
  </si>
  <si>
    <t>hedder 3101+310104 i 2020</t>
  </si>
  <si>
    <t>hedder 3101+310203 i 2021</t>
  </si>
  <si>
    <t>Delvis spaltegulv med 25-49% fast gulv</t>
  </si>
  <si>
    <t>Levende vægt ved slagtning 2,21</t>
  </si>
  <si>
    <t>Periodisk vådområde</t>
  </si>
  <si>
    <t>Ændring i jord</t>
  </si>
  <si>
    <t>Bygningsareal (1.000 m2)</t>
  </si>
  <si>
    <t xml:space="preserve">Emissioner nationalt </t>
  </si>
  <si>
    <t>Emissioner lokalt</t>
  </si>
  <si>
    <t>Bortskaffelse af fast affald nationalt</t>
  </si>
  <si>
    <t>Indbyggertal lokalt</t>
  </si>
  <si>
    <t>Indbyggertal nationalt</t>
  </si>
  <si>
    <t>Biologisk behandling af affald lokalt</t>
  </si>
  <si>
    <t>Bortskaffelse af affald lokalt</t>
  </si>
  <si>
    <t>Forbrænding af affald lokalt</t>
  </si>
  <si>
    <t>Antal tilfældige brande lokalt</t>
  </si>
  <si>
    <t>Antal af brænde nationalt</t>
  </si>
  <si>
    <t>Årsdyr eller producerede dyr lokalt
[stk.]</t>
  </si>
  <si>
    <t>Antal årsdyr på græs lokalt</t>
  </si>
  <si>
    <r>
      <t>CH</t>
    </r>
    <r>
      <rPr>
        <b/>
        <vertAlign val="subscript"/>
        <sz val="11"/>
        <color theme="1"/>
        <rFont val="Calibri"/>
        <family val="2"/>
        <scheme val="minor"/>
      </rPr>
      <t>4</t>
    </r>
    <r>
      <rPr>
        <b/>
        <sz val="11"/>
        <color theme="1"/>
        <rFont val="Calibri"/>
        <family val="2"/>
        <scheme val="minor"/>
      </rPr>
      <t xml:space="preserve"> udledning 
[kg/dyr/år]</t>
    </r>
  </si>
  <si>
    <t>Total mængde gylle for året lokalt 
[ton]</t>
  </si>
  <si>
    <t>Mængde til biogas lokalt 
[ton]</t>
  </si>
  <si>
    <t>Udnyttet biomasse 
[%]</t>
  </si>
  <si>
    <t>Reduktions faktor biogasbehandling 
[%]</t>
  </si>
  <si>
    <r>
      <t xml:space="preserve"> N</t>
    </r>
    <r>
      <rPr>
        <b/>
        <vertAlign val="subscript"/>
        <sz val="11"/>
        <color theme="1"/>
        <rFont val="Calibri"/>
        <family val="2"/>
        <scheme val="minor"/>
      </rPr>
      <t>2</t>
    </r>
    <r>
      <rPr>
        <b/>
        <sz val="11"/>
        <color theme="1"/>
        <rFont val="Calibri"/>
        <family val="2"/>
        <scheme val="minor"/>
      </rPr>
      <t>O-N
 [%]</t>
    </r>
  </si>
  <si>
    <t>ton C / ha</t>
  </si>
  <si>
    <t>ton pr ha</t>
  </si>
  <si>
    <t>tons</t>
  </si>
  <si>
    <t>CO2 udledning i DK (kiloton)</t>
  </si>
  <si>
    <t>tons pr. indb.</t>
  </si>
  <si>
    <t>ton gylle</t>
  </si>
  <si>
    <t>ton affald</t>
  </si>
  <si>
    <t xml:space="preserve">ton CO2-ækv. </t>
  </si>
  <si>
    <t>ton (industri produktion)</t>
  </si>
  <si>
    <t>ton i kommune</t>
  </si>
  <si>
    <t>(ton NH3-N)</t>
  </si>
  <si>
    <t>N2O-N/ton</t>
  </si>
  <si>
    <t>CO2-C/ton</t>
  </si>
  <si>
    <t>(ton N2O-N)</t>
  </si>
  <si>
    <t>N pr. år lokalt 
[ton]</t>
  </si>
  <si>
    <t>N2O udledning i DK (kiloton)</t>
  </si>
  <si>
    <t>Total udledning af N2O  (ton)</t>
  </si>
  <si>
    <t>tonCO2Process</t>
  </si>
  <si>
    <r>
      <t>Lokal metan udledning, iflg. Bilag 2 
[ton CH</t>
    </r>
    <r>
      <rPr>
        <b/>
        <vertAlign val="subscript"/>
        <sz val="11"/>
        <color theme="1"/>
        <rFont val="Calibri"/>
        <family val="2"/>
        <scheme val="minor"/>
      </rPr>
      <t>4</t>
    </r>
    <r>
      <rPr>
        <b/>
        <sz val="11"/>
        <color theme="1"/>
        <rFont val="Calibri"/>
        <family val="2"/>
        <scheme val="minor"/>
      </rPr>
      <t>]</t>
    </r>
  </si>
  <si>
    <r>
      <t>Mængde af metan, som kan reduceres lokalt 
[ton CH</t>
    </r>
    <r>
      <rPr>
        <b/>
        <vertAlign val="subscript"/>
        <sz val="11"/>
        <color theme="1"/>
        <rFont val="Calibri"/>
        <family val="2"/>
        <scheme val="minor"/>
      </rPr>
      <t>4</t>
    </r>
    <r>
      <rPr>
        <b/>
        <sz val="11"/>
        <color theme="1"/>
        <rFont val="Calibri"/>
        <family val="2"/>
        <scheme val="minor"/>
      </rPr>
      <t>]</t>
    </r>
  </si>
  <si>
    <t>Høst resultat 
[kg/ha]</t>
  </si>
  <si>
    <t>Høst resultat RN
[100kg/ha]</t>
  </si>
  <si>
    <t>Tørstofindhold
[%]</t>
  </si>
  <si>
    <t>Tørstof høstet
[kg/ha]</t>
  </si>
  <si>
    <t>Dyrket areal lokalt
[ha]</t>
  </si>
  <si>
    <t>Ompløjningsrate [dec. af arealer høstet pr. år]</t>
  </si>
  <si>
    <r>
      <t xml:space="preserve"> Tørstofindhold i afgrøderester over jord  [AG</t>
    </r>
    <r>
      <rPr>
        <b/>
        <vertAlign val="subscript"/>
        <sz val="11"/>
        <color theme="1"/>
        <rFont val="Calibri"/>
        <family val="2"/>
        <scheme val="minor"/>
      </rPr>
      <t>DM(T)</t>
    </r>
    <r>
      <rPr>
        <b/>
        <sz val="11"/>
        <color theme="1"/>
        <rFont val="Calibri"/>
        <family val="2"/>
        <scheme val="minor"/>
      </rPr>
      <t>]</t>
    </r>
  </si>
  <si>
    <t>Total kvælstof under jorden afgrøderester
[kg N]</t>
  </si>
  <si>
    <t xml:space="preserve">Total kvælstof i afgrøderester
[kg N] </t>
  </si>
  <si>
    <t>Total kvælstof i afgrøderester 
[kg N/ha]</t>
  </si>
  <si>
    <t>Total kvælstof i over-jorden afgrøderester
[kg N]</t>
  </si>
  <si>
    <t>Bjerget halm [kg]</t>
  </si>
  <si>
    <t>6. Organiske jorde [kg N2O-N]</t>
  </si>
  <si>
    <t>Kvælstof 
[kg N/dyr/år]</t>
  </si>
  <si>
    <t>Kvælstof 
[kg N]</t>
  </si>
  <si>
    <t>Areal i mineralsk jord, dyrket lokalt 
[ha]</t>
  </si>
  <si>
    <t xml:space="preserve"> Total nationalt areal mineralsk jord, dyrket 
[ha]</t>
  </si>
  <si>
    <t>Total mineraliseret N nationalt 
[kg]</t>
  </si>
  <si>
    <t>Total kvælstof fordelt lokalt 
[kg N]</t>
  </si>
  <si>
    <t>Kvælstof
[kg N/ha]</t>
  </si>
  <si>
    <t>Areal lokalt 
[ha]</t>
  </si>
  <si>
    <r>
      <t>Total lattergas fordelt lokalt 
[kg N</t>
    </r>
    <r>
      <rPr>
        <b/>
        <vertAlign val="subscript"/>
        <sz val="11"/>
        <color theme="1"/>
        <rFont val="Calibri"/>
        <family val="2"/>
        <scheme val="minor"/>
      </rPr>
      <t>2</t>
    </r>
    <r>
      <rPr>
        <b/>
        <sz val="11"/>
        <color theme="1"/>
        <rFont val="Calibri"/>
        <family val="2"/>
        <scheme val="minor"/>
      </rPr>
      <t>O-N]</t>
    </r>
  </si>
  <si>
    <r>
      <t>Lattergas nationalt
[kg N</t>
    </r>
    <r>
      <rPr>
        <b/>
        <vertAlign val="subscript"/>
        <sz val="11"/>
        <color theme="1"/>
        <rFont val="Calibri"/>
        <family val="2"/>
        <scheme val="minor"/>
      </rPr>
      <t>2</t>
    </r>
    <r>
      <rPr>
        <b/>
        <sz val="11"/>
        <color theme="1"/>
        <rFont val="Calibri"/>
        <family val="2"/>
        <scheme val="minor"/>
      </rPr>
      <t>O-N/ha]</t>
    </r>
  </si>
  <si>
    <t>Fordampet andel
[%]</t>
  </si>
  <si>
    <t>Tildeling af kvælstof til jorden pr. år lokalt 
[kg N]</t>
  </si>
  <si>
    <t>Total mængde af fordampet kvælstof lokalt 
[kg N]</t>
  </si>
  <si>
    <t>Total kvælstof til jorden lokalt 
[kg N]</t>
  </si>
  <si>
    <r>
      <t xml:space="preserve">Frac </t>
    </r>
    <r>
      <rPr>
        <b/>
        <vertAlign val="subscript"/>
        <sz val="11"/>
        <color theme="1"/>
        <rFont val="Calibri"/>
        <family val="2"/>
        <scheme val="minor"/>
      </rPr>
      <t>Leach</t>
    </r>
    <r>
      <rPr>
        <b/>
        <sz val="11"/>
        <color theme="1"/>
        <rFont val="Calibri"/>
        <family val="2"/>
        <scheme val="minor"/>
      </rPr>
      <t xml:space="preserve"> - andel af N input som udvaskes 
[%]</t>
    </r>
  </si>
  <si>
    <t>Kvælstof udvasket lokalt 
[kg N]</t>
  </si>
  <si>
    <t>Kalk i dansk landbrug i året 
[kg]</t>
  </si>
  <si>
    <t>Urea i dansk landbrug i året [kg]</t>
  </si>
  <si>
    <t>CAN i dansk landbrug i året [kg]</t>
  </si>
  <si>
    <t xml:space="preserve">Landbrugsjord og gartneri nationalt 
[ha] </t>
  </si>
  <si>
    <t xml:space="preserve">Total areal af landbrugsjord lokalt 
[ha] </t>
  </si>
  <si>
    <t xml:space="preserve">Landbrugsjord og gartneri nationalt 
[ha]  </t>
  </si>
  <si>
    <t xml:space="preserve">Total areal af landbrugsjord lokalt
[ha] </t>
  </si>
  <si>
    <t>Kalk pr. ha nationalt [kg/ha]</t>
  </si>
  <si>
    <t>Urea pr. ha nationalt [kg/ha]</t>
  </si>
  <si>
    <t>CAN pr. ha nationalt [kg/ha]</t>
  </si>
  <si>
    <t>Total kalkforbrug lokalt 
[ton]</t>
  </si>
  <si>
    <t>Total ureaforbrug lokalt  
[ton]</t>
  </si>
  <si>
    <t>Total CAN-forbrug lokalt 
[ton]</t>
  </si>
  <si>
    <r>
      <t>Emissionfaktor 
[kg CO</t>
    </r>
    <r>
      <rPr>
        <b/>
        <vertAlign val="subscript"/>
        <sz val="11"/>
        <color theme="1"/>
        <rFont val="Calibri"/>
        <family val="2"/>
        <scheme val="minor"/>
      </rPr>
      <t>2</t>
    </r>
    <r>
      <rPr>
        <b/>
        <sz val="11"/>
        <color theme="1"/>
        <rFont val="Calibri"/>
        <family val="2"/>
        <scheme val="minor"/>
      </rPr>
      <t xml:space="preserve"> -ækv./ha]</t>
    </r>
  </si>
  <si>
    <r>
      <t>Lager 
[kg CO</t>
    </r>
    <r>
      <rPr>
        <b/>
        <vertAlign val="subscript"/>
        <sz val="11"/>
        <color theme="1"/>
        <rFont val="Calibri"/>
        <family val="2"/>
        <scheme val="minor"/>
      </rPr>
      <t>2</t>
    </r>
    <r>
      <rPr>
        <b/>
        <sz val="11"/>
        <color theme="1"/>
        <rFont val="Calibri"/>
        <family val="2"/>
        <scheme val="minor"/>
      </rPr>
      <t>-ækv./ha]</t>
    </r>
  </si>
  <si>
    <t>Heraf:
Organisk jord 
[ha]</t>
  </si>
  <si>
    <t>Heraf:
Mineralsk jord
[ha]</t>
  </si>
  <si>
    <t>Heraf:
Ikke kat. jordtype
[ha]</t>
  </si>
  <si>
    <t>Opbygning kulstoflager
[ton C/ha]</t>
  </si>
  <si>
    <t>Tab kulstoflager
[ton C/ha]</t>
  </si>
  <si>
    <t>Ændring kulstoflager
[ton C/ha]</t>
  </si>
  <si>
    <t>Ændring kulstoflager i dødt træ 
[ton C/ha]</t>
  </si>
  <si>
    <t>Ændring kulstoflager i skovbund
[ton C/ha]</t>
  </si>
  <si>
    <t>Netto ændring af kulstoflager i mineralsk jord 
[ton C/ha]</t>
  </si>
  <si>
    <t>Netto ændring af kulstoflager i organisk jord 
[ton C/ha]</t>
  </si>
  <si>
    <t>Opbygning af kulstoflager
[ton C]</t>
  </si>
  <si>
    <t>Tab i kulstoflager
[ton C]</t>
  </si>
  <si>
    <t>Nettoændring 
[ton C]</t>
  </si>
  <si>
    <t>Nettoændring, kulstoflager dødt træ 
[ton C]</t>
  </si>
  <si>
    <t>Nettoændring i skovbund
[ton C]</t>
  </si>
  <si>
    <t>Nettoændring af kulstoflager i organisk jord 
[ton C]</t>
  </si>
  <si>
    <t>Ændring i skov
[ton C]</t>
  </si>
  <si>
    <t>Nettoændring af kulstoflager i mineralsk jord 
[ton C]</t>
  </si>
  <si>
    <r>
      <t xml:space="preserve">Skovareal </t>
    </r>
    <r>
      <rPr>
        <b/>
        <vertAlign val="superscript"/>
        <sz val="11"/>
        <color theme="1"/>
        <rFont val="Calibri"/>
        <family val="2"/>
        <scheme val="minor"/>
      </rPr>
      <t xml:space="preserve">1
</t>
    </r>
    <r>
      <rPr>
        <b/>
        <sz val="11"/>
        <color theme="1"/>
        <rFont val="Calibri"/>
        <family val="2"/>
        <scheme val="minor"/>
      </rPr>
      <t>[ha]</t>
    </r>
  </si>
  <si>
    <t>Heraf: Organisk jord
[ha]</t>
  </si>
  <si>
    <t>Heraf: Mineralsk jord
[ha]</t>
  </si>
  <si>
    <t>Heraf: Ikke kat. jordtype
[ha]</t>
  </si>
  <si>
    <t>Opbygning af kulstoflager 
[ton C/ha]</t>
  </si>
  <si>
    <t>Tab af kulstoflager  
[ton C/ha]</t>
  </si>
  <si>
    <t>Ændring af kulstoflager
[ton C/ha]</t>
  </si>
  <si>
    <t>Ændring af kulstoflager
[ton C/ha]</t>
  </si>
  <si>
    <t>Nettoændring af kulstoflager i død organisk materiale  
[ton C/ha]</t>
  </si>
  <si>
    <t>Nettoændring af kulstoflager i mineralsk jord  
[ton C/ha]</t>
  </si>
  <si>
    <t>Nettoændring af kulstoflager i organisk jord  
[ton C/ha]</t>
  </si>
  <si>
    <t>Opbygning af kulstoflager  
[ton C/ha]</t>
  </si>
  <si>
    <t>Nettoændring af kulstoflager i mineralsk jord 
[ton C/ha]</t>
  </si>
  <si>
    <t>Ændring af kulstoflager 
[ton C/ha]</t>
  </si>
  <si>
    <t>Opbygning af kulstoflager 
[ton C]</t>
  </si>
  <si>
    <t>Nettoændring i død organisk materiale  
[ton C]</t>
  </si>
  <si>
    <t>Nettoændring i mineralsk jord
[ton C]</t>
  </si>
  <si>
    <t>Nettoændring i organisk jord 
[ton C]</t>
  </si>
  <si>
    <t>Total ændring i kulstof fra landbrugsjord  
[ton C]</t>
  </si>
  <si>
    <t>Total ændring i kulstof fra permanent græs  
[ton C]</t>
  </si>
  <si>
    <t>Tab i kulstoflager
[ton C]</t>
  </si>
  <si>
    <t>Opbygning af kulstoflager  
[ton C]</t>
  </si>
  <si>
    <t>Tab i kulstoflager 
[ton C]</t>
  </si>
  <si>
    <t>Nettoændring i mineralsk jord 
[ton C]</t>
  </si>
  <si>
    <t>Nettoændring i organisk jord
[ton C]</t>
  </si>
  <si>
    <t>Total ændring i kulstof fra vådområder 
[ton C]</t>
  </si>
  <si>
    <t>Total ændring i kulstof fra bebyggelse  
[ton C]</t>
  </si>
  <si>
    <t>Total ændring i kulstof fra øvrig land 
[ton C]</t>
  </si>
  <si>
    <t>Nettoændring  
[ton C]</t>
  </si>
  <si>
    <t>Nettoændring
[ton C]</t>
  </si>
  <si>
    <t>Uklassificeret land</t>
  </si>
  <si>
    <t>Registerdata: Arealdata G. Levin</t>
  </si>
  <si>
    <t>Levende vægt ved slagtning, 3,17 kg</t>
  </si>
  <si>
    <t>Levende vægt ved slagtning 1,93</t>
  </si>
  <si>
    <t>Areal
[ha]</t>
  </si>
  <si>
    <r>
      <t>Kg CH</t>
    </r>
    <r>
      <rPr>
        <b/>
        <vertAlign val="subscript"/>
        <sz val="11"/>
        <rFont val="Calibri"/>
        <family val="2"/>
        <scheme val="minor"/>
      </rPr>
      <t xml:space="preserve">4 </t>
    </r>
    <r>
      <rPr>
        <b/>
        <sz val="11"/>
        <rFont val="Calibri"/>
        <family val="2"/>
        <scheme val="minor"/>
      </rPr>
      <t>pr. ha</t>
    </r>
  </si>
  <si>
    <r>
      <t>Kg N</t>
    </r>
    <r>
      <rPr>
        <b/>
        <vertAlign val="subscript"/>
        <sz val="11"/>
        <rFont val="Calibri"/>
        <family val="2"/>
        <scheme val="minor"/>
      </rPr>
      <t>2</t>
    </r>
    <r>
      <rPr>
        <b/>
        <sz val="11"/>
        <rFont val="Calibri"/>
        <family val="2"/>
        <scheme val="minor"/>
      </rPr>
      <t xml:space="preserve">O–N pr. ha </t>
    </r>
  </si>
  <si>
    <r>
      <t>Kg CO</t>
    </r>
    <r>
      <rPr>
        <b/>
        <vertAlign val="subscript"/>
        <sz val="11"/>
        <rFont val="Calibri"/>
        <family val="2"/>
        <scheme val="minor"/>
      </rPr>
      <t>2</t>
    </r>
    <r>
      <rPr>
        <b/>
        <sz val="11"/>
        <rFont val="Calibri"/>
        <family val="2"/>
        <scheme val="minor"/>
      </rPr>
      <t xml:space="preserve"> pr. ha </t>
    </r>
  </si>
  <si>
    <r>
      <t>Kg N</t>
    </r>
    <r>
      <rPr>
        <b/>
        <vertAlign val="subscript"/>
        <sz val="11"/>
        <rFont val="Calibri"/>
        <family val="2"/>
        <scheme val="minor"/>
      </rPr>
      <t>2</t>
    </r>
    <r>
      <rPr>
        <b/>
        <sz val="11"/>
        <rFont val="Calibri"/>
        <family val="2"/>
        <scheme val="minor"/>
      </rPr>
      <t xml:space="preserve">O–N pr. ha </t>
    </r>
    <r>
      <rPr>
        <b/>
        <vertAlign val="superscript"/>
        <sz val="11"/>
        <rFont val="Calibri"/>
        <family val="2"/>
        <scheme val="minor"/>
      </rPr>
      <t>5</t>
    </r>
  </si>
  <si>
    <r>
      <t>Kg N</t>
    </r>
    <r>
      <rPr>
        <b/>
        <vertAlign val="subscript"/>
        <sz val="11"/>
        <rFont val="Calibri"/>
        <family val="2"/>
        <scheme val="minor"/>
      </rPr>
      <t>2</t>
    </r>
    <r>
      <rPr>
        <b/>
        <sz val="11"/>
        <rFont val="Calibri"/>
        <family val="2"/>
        <scheme val="minor"/>
      </rPr>
      <t xml:space="preserve">O–N pr. ha </t>
    </r>
    <r>
      <rPr>
        <b/>
        <vertAlign val="superscript"/>
        <sz val="11"/>
        <rFont val="Calibri"/>
        <family val="2"/>
        <scheme val="minor"/>
      </rPr>
      <t>4</t>
    </r>
  </si>
  <si>
    <r>
      <t>kg N</t>
    </r>
    <r>
      <rPr>
        <b/>
        <vertAlign val="subscript"/>
        <sz val="11"/>
        <rFont val="Calibri"/>
        <family val="2"/>
        <scheme val="minor"/>
      </rPr>
      <t>2</t>
    </r>
    <r>
      <rPr>
        <b/>
        <sz val="11"/>
        <rFont val="Calibri"/>
        <family val="2"/>
        <scheme val="minor"/>
      </rPr>
      <t xml:space="preserve">O–N pr. ha </t>
    </r>
  </si>
  <si>
    <t>ton/ha</t>
  </si>
  <si>
    <r>
      <t xml:space="preserve">Kontrolleret afbrænding af hedeareal </t>
    </r>
    <r>
      <rPr>
        <vertAlign val="superscript"/>
        <sz val="11"/>
        <rFont val="Calibri"/>
        <family val="2"/>
        <scheme val="minor"/>
      </rPr>
      <t>1</t>
    </r>
  </si>
  <si>
    <r>
      <t>Ukontrolleret afbrænding af hedeareal</t>
    </r>
    <r>
      <rPr>
        <vertAlign val="superscript"/>
        <sz val="11"/>
        <color theme="1"/>
        <rFont val="Calibri"/>
        <family val="2"/>
        <scheme val="minor"/>
      </rPr>
      <t xml:space="preserve"> 2</t>
    </r>
  </si>
  <si>
    <r>
      <t>Produceret nationalt [m</t>
    </r>
    <r>
      <rPr>
        <b/>
        <vertAlign val="superscript"/>
        <sz val="11"/>
        <color theme="1"/>
        <rFont val="Calibri"/>
        <family val="2"/>
        <scheme val="minor"/>
      </rPr>
      <t>3</t>
    </r>
    <r>
      <rPr>
        <b/>
        <sz val="11"/>
        <color theme="1"/>
        <rFont val="Calibri"/>
        <family val="2"/>
        <scheme val="minor"/>
      </rPr>
      <t>]</t>
    </r>
  </si>
  <si>
    <r>
      <t>Importeret nationalt [m</t>
    </r>
    <r>
      <rPr>
        <b/>
        <vertAlign val="superscript"/>
        <sz val="11"/>
        <color theme="1"/>
        <rFont val="Calibri"/>
        <family val="2"/>
        <scheme val="minor"/>
      </rPr>
      <t>3</t>
    </r>
    <r>
      <rPr>
        <b/>
        <sz val="11"/>
        <color theme="1"/>
        <rFont val="Calibri"/>
        <family val="2"/>
        <scheme val="minor"/>
      </rPr>
      <t>]</t>
    </r>
  </si>
  <si>
    <r>
      <t>Eksporteret nationalt [m</t>
    </r>
    <r>
      <rPr>
        <b/>
        <vertAlign val="superscript"/>
        <sz val="11"/>
        <color theme="1"/>
        <rFont val="Calibri"/>
        <family val="2"/>
        <scheme val="minor"/>
      </rPr>
      <t>3</t>
    </r>
    <r>
      <rPr>
        <b/>
        <sz val="11"/>
        <color theme="1"/>
        <rFont val="Calibri"/>
        <family val="2"/>
        <scheme val="minor"/>
      </rPr>
      <t>]</t>
    </r>
  </si>
  <si>
    <r>
      <t>Kulstofkonverteringsfaktor 
[mg/m</t>
    </r>
    <r>
      <rPr>
        <b/>
        <vertAlign val="superscript"/>
        <sz val="11"/>
        <color theme="1"/>
        <rFont val="Calibri"/>
        <family val="2"/>
        <scheme val="minor"/>
      </rPr>
      <t>3</t>
    </r>
    <r>
      <rPr>
        <b/>
        <sz val="11"/>
        <color theme="1"/>
        <rFont val="Calibri"/>
        <family val="2"/>
        <scheme val="minor"/>
      </rPr>
      <t xml:space="preserve"> lufttør volumen]</t>
    </r>
  </si>
  <si>
    <t>Kulstofindhold i pulje 
[mg]</t>
  </si>
  <si>
    <r>
      <t>Bygningsareal nationalt 
[1.000 m</t>
    </r>
    <r>
      <rPr>
        <b/>
        <vertAlign val="superscript"/>
        <sz val="11"/>
        <color theme="1"/>
        <rFont val="Calibri"/>
        <family val="2"/>
        <scheme val="minor"/>
      </rPr>
      <t>2</t>
    </r>
    <r>
      <rPr>
        <b/>
        <sz val="11"/>
        <color theme="1"/>
        <rFont val="Calibri"/>
        <family val="2"/>
        <scheme val="minor"/>
      </rPr>
      <t>]</t>
    </r>
  </si>
  <si>
    <r>
      <t>Bygningsareal 
[1.000 m</t>
    </r>
    <r>
      <rPr>
        <b/>
        <vertAlign val="superscript"/>
        <sz val="11"/>
        <color theme="1"/>
        <rFont val="Calibri"/>
        <family val="2"/>
        <scheme val="minor"/>
      </rPr>
      <t>2</t>
    </r>
    <r>
      <rPr>
        <b/>
        <sz val="11"/>
        <color theme="1"/>
        <rFont val="Calibri"/>
        <family val="2"/>
        <scheme val="minor"/>
      </rPr>
      <t>]</t>
    </r>
  </si>
  <si>
    <r>
      <t>Ændring kulstof pr. areal 
[ton C / 1.000 m</t>
    </r>
    <r>
      <rPr>
        <b/>
        <vertAlign val="superscript"/>
        <sz val="11"/>
        <color theme="1"/>
        <rFont val="Calibri"/>
        <family val="2"/>
        <scheme val="minor"/>
      </rPr>
      <t>2</t>
    </r>
    <r>
      <rPr>
        <b/>
        <sz val="11"/>
        <color theme="1"/>
        <rFont val="Calibri"/>
        <family val="2"/>
        <scheme val="minor"/>
      </rPr>
      <t xml:space="preserve"> bygningsareal]</t>
    </r>
  </si>
  <si>
    <t>Ændring i kulstofpulje [ton C]</t>
  </si>
  <si>
    <r>
      <t>Emissioner 
[ton CO</t>
    </r>
    <r>
      <rPr>
        <b/>
        <vertAlign val="subscript"/>
        <sz val="11"/>
        <color theme="1"/>
        <rFont val="Calibri"/>
        <family val="2"/>
        <scheme val="minor"/>
      </rPr>
      <t>2</t>
    </r>
    <r>
      <rPr>
        <b/>
        <sz val="11"/>
        <color theme="1"/>
        <rFont val="Calibri"/>
        <family val="2"/>
        <scheme val="minor"/>
      </rPr>
      <t>-ækv.]</t>
    </r>
  </si>
  <si>
    <t>Ændring kulstof pr. indbygger 
[ton C / indbygger]</t>
  </si>
  <si>
    <r>
      <t>Emission eller lager fra  puljen af høstede træpaneler pr. 1.000 m</t>
    </r>
    <r>
      <rPr>
        <i/>
        <vertAlign val="superscript"/>
        <sz val="11"/>
        <color theme="1"/>
        <rFont val="Calibri"/>
        <family val="2"/>
        <scheme val="minor"/>
      </rPr>
      <t>2</t>
    </r>
    <r>
      <rPr>
        <i/>
        <sz val="11"/>
        <color theme="1"/>
        <rFont val="Calibri"/>
        <family val="2"/>
        <scheme val="minor"/>
      </rPr>
      <t xml:space="preserve"> bygningsareal nationalt fordelt pr. kommune eller region</t>
    </r>
  </si>
  <si>
    <r>
      <t>Emission eller lager fra puljen af savtræ pr. 1.000 m</t>
    </r>
    <r>
      <rPr>
        <i/>
        <vertAlign val="superscript"/>
        <sz val="11"/>
        <color theme="1"/>
        <rFont val="Calibri"/>
        <family val="2"/>
        <scheme val="minor"/>
      </rPr>
      <t>2</t>
    </r>
    <r>
      <rPr>
        <i/>
        <sz val="11"/>
        <color theme="1"/>
        <rFont val="Calibri"/>
        <family val="2"/>
        <scheme val="minor"/>
      </rPr>
      <t xml:space="preserve"> bygningsareal nationalt fordelt pr. kommune eller region</t>
    </r>
  </si>
  <si>
    <t>Emission eller lager fra  puljen af papir og pap pr. indbygger nationalt fordelt pr. kommune eller region</t>
  </si>
  <si>
    <r>
      <t>Total inflow naitonalt 
[m</t>
    </r>
    <r>
      <rPr>
        <b/>
        <vertAlign val="superscript"/>
        <sz val="11"/>
        <color theme="1"/>
        <rFont val="Calibri"/>
        <family val="2"/>
        <scheme val="minor"/>
      </rPr>
      <t>3</t>
    </r>
    <r>
      <rPr>
        <b/>
        <sz val="11"/>
        <color theme="1"/>
        <rFont val="Calibri"/>
        <family val="2"/>
        <scheme val="minor"/>
      </rPr>
      <t>]</t>
    </r>
  </si>
  <si>
    <r>
      <t>Pulje af høstede træprodukter nationalt 
[m</t>
    </r>
    <r>
      <rPr>
        <b/>
        <vertAlign val="superscript"/>
        <sz val="11"/>
        <color theme="1"/>
        <rFont val="Calibri"/>
        <family val="2"/>
        <scheme val="minor"/>
      </rPr>
      <t>3</t>
    </r>
    <r>
      <rPr>
        <b/>
        <sz val="11"/>
        <color theme="1"/>
        <rFont val="Calibri"/>
        <family val="2"/>
        <scheme val="minor"/>
      </rPr>
      <t>]</t>
    </r>
  </si>
  <si>
    <r>
      <t>Årlig ændring i puljen af høstede træprodukter nationalt
 [m</t>
    </r>
    <r>
      <rPr>
        <b/>
        <vertAlign val="superscript"/>
        <sz val="11"/>
        <color theme="1"/>
        <rFont val="Calibri"/>
        <family val="2"/>
        <scheme val="minor"/>
      </rPr>
      <t>3</t>
    </r>
    <r>
      <rPr>
        <b/>
        <sz val="11"/>
        <color theme="1"/>
        <rFont val="Calibri"/>
        <family val="2"/>
        <scheme val="minor"/>
      </rPr>
      <t>]</t>
    </r>
  </si>
  <si>
    <r>
      <t>Pulje af høstede træprodukter nationalt
 [m</t>
    </r>
    <r>
      <rPr>
        <b/>
        <vertAlign val="superscript"/>
        <sz val="11"/>
        <color theme="1"/>
        <rFont val="Calibri"/>
        <family val="2"/>
        <scheme val="minor"/>
      </rPr>
      <t>3</t>
    </r>
    <r>
      <rPr>
        <b/>
        <sz val="11"/>
        <color theme="1"/>
        <rFont val="Calibri"/>
        <family val="2"/>
        <scheme val="minor"/>
      </rPr>
      <t>]</t>
    </r>
  </si>
  <si>
    <t>Drivhusgas kilder og katagorier</t>
  </si>
  <si>
    <t xml:space="preserve"> Forbrug nationalt
[ton]</t>
  </si>
  <si>
    <t>Forbrug fordelt lokalt
[ton]</t>
  </si>
  <si>
    <t>Produktion nationalt
[ton]</t>
  </si>
  <si>
    <t>Produktion lokalt
[ton]</t>
  </si>
  <si>
    <t xml:space="preserve">Note 1: Punktkilde-emissionen er angivet af virksomhederne i indberetning til EU's kvotehandelssystem EU-ETS. Ingen emission betyder, at punktkilder ikke er til stede lokalt i den pågældende kommune eller region.  </t>
  </si>
  <si>
    <t xml:space="preserve">Faktisk emission </t>
  </si>
  <si>
    <r>
      <t>Emissionsfaktor CO</t>
    </r>
    <r>
      <rPr>
        <b/>
        <vertAlign val="subscript"/>
        <sz val="11"/>
        <color theme="1"/>
        <rFont val="Calibri"/>
        <family val="2"/>
        <scheme val="minor"/>
      </rPr>
      <t>2</t>
    </r>
  </si>
  <si>
    <r>
      <t>CO</t>
    </r>
    <r>
      <rPr>
        <b/>
        <vertAlign val="subscript"/>
        <sz val="11"/>
        <color theme="1"/>
        <rFont val="Calibri"/>
        <family val="2"/>
        <scheme val="minor"/>
      </rPr>
      <t>2</t>
    </r>
    <r>
      <rPr>
        <b/>
        <sz val="11"/>
        <color theme="1"/>
        <rFont val="Calibri"/>
        <family val="2"/>
        <scheme val="minor"/>
      </rPr>
      <t xml:space="preserve"> emission nationalt 
[ton]</t>
    </r>
  </si>
  <si>
    <t xml:space="preserve">Emissionsfaktor </t>
  </si>
  <si>
    <r>
      <t>Emission opgivet i CO</t>
    </r>
    <r>
      <rPr>
        <i/>
        <vertAlign val="subscript"/>
        <sz val="11"/>
        <color theme="1"/>
        <rFont val="Calibri"/>
        <family val="2"/>
        <scheme val="minor"/>
      </rPr>
      <t>2</t>
    </r>
    <r>
      <rPr>
        <i/>
        <sz val="11"/>
        <color theme="1"/>
        <rFont val="Calibri"/>
        <family val="2"/>
        <scheme val="minor"/>
      </rPr>
      <t xml:space="preserve"> -ækvivalenter [kt]</t>
    </r>
  </si>
  <si>
    <r>
      <t>CO</t>
    </r>
    <r>
      <rPr>
        <b/>
        <vertAlign val="subscript"/>
        <sz val="11"/>
        <color theme="1"/>
        <rFont val="Calibri"/>
        <family val="2"/>
        <scheme val="minor"/>
      </rPr>
      <t>2</t>
    </r>
    <r>
      <rPr>
        <b/>
        <sz val="11"/>
        <color theme="1"/>
        <rFont val="Calibri"/>
        <family val="2"/>
        <scheme val="minor"/>
      </rPr>
      <t xml:space="preserve"> emission nationalt
[ton]</t>
    </r>
  </si>
  <si>
    <r>
      <t>CH</t>
    </r>
    <r>
      <rPr>
        <b/>
        <vertAlign val="subscript"/>
        <sz val="11"/>
        <color theme="1"/>
        <rFont val="Calibri"/>
        <family val="2"/>
        <scheme val="minor"/>
      </rPr>
      <t>4</t>
    </r>
    <r>
      <rPr>
        <b/>
        <sz val="11"/>
        <color theme="1"/>
        <rFont val="Calibri"/>
        <family val="2"/>
        <scheme val="minor"/>
      </rPr>
      <t xml:space="preserve"> emission nationalt 
[kton]</t>
    </r>
  </si>
  <si>
    <r>
      <t>N</t>
    </r>
    <r>
      <rPr>
        <b/>
        <vertAlign val="subscript"/>
        <sz val="11"/>
        <color theme="1"/>
        <rFont val="Calibri"/>
        <family val="2"/>
        <scheme val="minor"/>
      </rPr>
      <t>2</t>
    </r>
    <r>
      <rPr>
        <b/>
        <sz val="11"/>
        <color theme="1"/>
        <rFont val="Calibri"/>
        <family val="2"/>
        <scheme val="minor"/>
      </rPr>
      <t>O emission nationalt
[kton]</t>
    </r>
  </si>
  <si>
    <t xml:space="preserve">Note 2: Emissionen er estimeret pba. indbyggertal, da det nationale klimaregnskab ikke beregner punktkilder   </t>
  </si>
  <si>
    <t>Estimeret pba. af tal fra naturstyrelsen NST og DST arealdk1 jf. dataark</t>
  </si>
  <si>
    <t xml:space="preserve">Note 1: Emission er estimeret pba. indbyggertal, da det nationale klimaregnskab ikke beregner punktkilder   </t>
  </si>
  <si>
    <t xml:space="preserve">Note 1: Emission er estimeret pba. indbyggertal, da det nationale klimaregnskab ikke beregner punktkilder. Emissionen dækker over forskellige typer industrigasser (HFC, PFC, SF6, NF3 )   </t>
  </si>
  <si>
    <t xml:space="preserve">Note 1: Emissionen er estimeret pba. indbyggertal, da det nationale klimaregnskab ikke beregner punktkilder   </t>
  </si>
  <si>
    <r>
      <t>Gødningstildeling: Direkte og indirekte N</t>
    </r>
    <r>
      <rPr>
        <i/>
        <vertAlign val="subscript"/>
        <sz val="11"/>
        <color theme="1"/>
        <rFont val="Calibri"/>
        <family val="2"/>
        <scheme val="minor"/>
      </rPr>
      <t>2</t>
    </r>
    <r>
      <rPr>
        <i/>
        <sz val="11"/>
        <color theme="1"/>
        <rFont val="Calibri"/>
        <family val="2"/>
        <scheme val="minor"/>
      </rPr>
      <t>O emisioner fra jorden</t>
    </r>
  </si>
  <si>
    <r>
      <t>Emissionsfaktor 
[kg CO</t>
    </r>
    <r>
      <rPr>
        <b/>
        <vertAlign val="subscript"/>
        <sz val="11"/>
        <color theme="1"/>
        <rFont val="Calibri"/>
        <family val="2"/>
        <scheme val="minor"/>
      </rPr>
      <t xml:space="preserve">2 </t>
    </r>
    <r>
      <rPr>
        <b/>
        <sz val="11"/>
        <color theme="1"/>
        <rFont val="Calibri"/>
        <family val="2"/>
        <scheme val="minor"/>
      </rPr>
      <t>-C/ kg urea]</t>
    </r>
  </si>
  <si>
    <r>
      <t>Emissionsfaktor 
[kg CO</t>
    </r>
    <r>
      <rPr>
        <b/>
        <vertAlign val="subscript"/>
        <sz val="11"/>
        <color theme="1"/>
        <rFont val="Calibri"/>
        <family val="2"/>
        <scheme val="minor"/>
      </rPr>
      <t xml:space="preserve">2 </t>
    </r>
    <r>
      <rPr>
        <b/>
        <sz val="11"/>
        <color theme="1"/>
        <rFont val="Calibri"/>
        <family val="2"/>
        <scheme val="minor"/>
      </rPr>
      <t>-C/ kg CaCO</t>
    </r>
    <r>
      <rPr>
        <b/>
        <vertAlign val="subscript"/>
        <sz val="11"/>
        <color theme="1"/>
        <rFont val="Calibri"/>
        <family val="2"/>
        <scheme val="minor"/>
      </rPr>
      <t>3</t>
    </r>
    <r>
      <rPr>
        <b/>
        <sz val="11"/>
        <color theme="1"/>
        <rFont val="Calibri"/>
        <family val="2"/>
        <scheme val="minor"/>
      </rPr>
      <t>]</t>
    </r>
  </si>
  <si>
    <r>
      <t>Emissionsfaktor 
[kg CO</t>
    </r>
    <r>
      <rPr>
        <b/>
        <vertAlign val="subscript"/>
        <sz val="11"/>
        <color theme="1"/>
        <rFont val="Calibri"/>
        <family val="2"/>
        <scheme val="minor"/>
      </rPr>
      <t xml:space="preserve">2 </t>
    </r>
    <r>
      <rPr>
        <b/>
        <sz val="11"/>
        <color theme="1"/>
        <rFont val="Calibri"/>
        <family val="2"/>
        <scheme val="minor"/>
      </rPr>
      <t>-C/ kg CAN]</t>
    </r>
  </si>
  <si>
    <r>
      <t>Gødningstildeling: Direkte og indirekte N</t>
    </r>
    <r>
      <rPr>
        <i/>
        <vertAlign val="subscript"/>
        <sz val="11"/>
        <color theme="1"/>
        <rFont val="Calibri"/>
        <family val="2"/>
        <scheme val="minor"/>
      </rPr>
      <t>2</t>
    </r>
    <r>
      <rPr>
        <i/>
        <sz val="11"/>
        <color theme="1"/>
        <rFont val="Calibri"/>
        <family val="2"/>
        <scheme val="minor"/>
      </rPr>
      <t>O emissioner fra jorden</t>
    </r>
  </si>
  <si>
    <t>EF4 (Emissionsfaktor)</t>
  </si>
  <si>
    <t>Emissionsfaktor (kg CO2 -C/ kg)</t>
  </si>
  <si>
    <t xml:space="preserve">Bemærk at det totale antal ha blivende skov ikke er summen af ha mineralsk skovjord og organisk skovjord. Forkellen skyldes, at der ikke er information om jordtype for alle ha. </t>
  </si>
  <si>
    <t>Ændring i jord lokalt</t>
  </si>
  <si>
    <t>Ændring i levende biomasse lokalt</t>
  </si>
  <si>
    <t>Ændring i levende biomasse nationalt</t>
  </si>
  <si>
    <t>Ændring i kulstofindhold i jord nationalt</t>
  </si>
  <si>
    <r>
      <t xml:space="preserve">Total landbrugsjord lokalt </t>
    </r>
    <r>
      <rPr>
        <b/>
        <vertAlign val="superscript"/>
        <sz val="11"/>
        <color theme="1"/>
        <rFont val="Calibri"/>
        <family val="2"/>
        <scheme val="minor"/>
      </rPr>
      <t xml:space="preserve">1
</t>
    </r>
    <r>
      <rPr>
        <b/>
        <sz val="11"/>
        <color theme="1"/>
        <rFont val="Calibri"/>
        <family val="2"/>
        <scheme val="minor"/>
      </rPr>
      <t>[ha]</t>
    </r>
  </si>
  <si>
    <r>
      <t xml:space="preserve">Total permanent græs lokalt </t>
    </r>
    <r>
      <rPr>
        <b/>
        <vertAlign val="superscript"/>
        <sz val="11"/>
        <color theme="1"/>
        <rFont val="Calibri"/>
        <family val="2"/>
        <scheme val="minor"/>
      </rPr>
      <t xml:space="preserve"> 1
</t>
    </r>
    <r>
      <rPr>
        <b/>
        <sz val="11"/>
        <color theme="1"/>
        <rFont val="Calibri"/>
        <family val="2"/>
        <scheme val="minor"/>
      </rPr>
      <t>[ha]</t>
    </r>
  </si>
  <si>
    <r>
      <t>Total vådområder lokalt</t>
    </r>
    <r>
      <rPr>
        <b/>
        <vertAlign val="superscript"/>
        <sz val="11"/>
        <color theme="1"/>
        <rFont val="Calibri"/>
        <family val="2"/>
        <scheme val="minor"/>
      </rPr>
      <t xml:space="preserve"> 1
</t>
    </r>
    <r>
      <rPr>
        <b/>
        <sz val="11"/>
        <color theme="1"/>
        <rFont val="Calibri"/>
        <family val="2"/>
        <scheme val="minor"/>
      </rPr>
      <t>[ha]</t>
    </r>
  </si>
  <si>
    <r>
      <t>Total bebygget lokalt</t>
    </r>
    <r>
      <rPr>
        <b/>
        <vertAlign val="superscript"/>
        <sz val="11"/>
        <color theme="1"/>
        <rFont val="Calibri"/>
        <family val="2"/>
        <scheme val="minor"/>
      </rPr>
      <t xml:space="preserve">  1
</t>
    </r>
    <r>
      <rPr>
        <b/>
        <sz val="11"/>
        <color theme="1"/>
        <rFont val="Calibri"/>
        <family val="2"/>
        <scheme val="minor"/>
      </rPr>
      <t>[ha]</t>
    </r>
  </si>
  <si>
    <r>
      <t xml:space="preserve">Total øvrige arealer lokalt </t>
    </r>
    <r>
      <rPr>
        <b/>
        <vertAlign val="superscript"/>
        <sz val="11"/>
        <color theme="1"/>
        <rFont val="Calibri"/>
        <family val="2"/>
        <scheme val="minor"/>
      </rPr>
      <t xml:space="preserve"> 1
</t>
    </r>
    <r>
      <rPr>
        <b/>
        <sz val="11"/>
        <color theme="1"/>
        <rFont val="Calibri"/>
        <family val="2"/>
        <scheme val="minor"/>
      </rPr>
      <t>[ha]</t>
    </r>
  </si>
  <si>
    <t>Total ukat. areal lokalt
[ha]</t>
  </si>
  <si>
    <r>
      <t>Total bebygget i lokalt</t>
    </r>
    <r>
      <rPr>
        <b/>
        <vertAlign val="superscript"/>
        <sz val="11"/>
        <color theme="1"/>
        <rFont val="Calibri"/>
        <family val="2"/>
        <scheme val="minor"/>
      </rPr>
      <t xml:space="preserve">  1
</t>
    </r>
    <r>
      <rPr>
        <b/>
        <sz val="11"/>
        <color theme="1"/>
        <rFont val="Calibri"/>
        <family val="2"/>
        <scheme val="minor"/>
      </rPr>
      <t>[ha]</t>
    </r>
  </si>
  <si>
    <r>
      <t xml:space="preserve">Total vådområder lokalt </t>
    </r>
    <r>
      <rPr>
        <b/>
        <vertAlign val="superscript"/>
        <sz val="11"/>
        <color theme="1"/>
        <rFont val="Calibri"/>
        <family val="2"/>
        <scheme val="minor"/>
      </rPr>
      <t xml:space="preserve"> 1
</t>
    </r>
    <r>
      <rPr>
        <b/>
        <sz val="11"/>
        <color theme="1"/>
        <rFont val="Calibri"/>
        <family val="2"/>
        <scheme val="minor"/>
      </rPr>
      <t>[ha]</t>
    </r>
  </si>
  <si>
    <t>CH4 udledning i DK (kiloton)</t>
  </si>
  <si>
    <r>
      <t>Emissioner for året lokalt [ton CH</t>
    </r>
    <r>
      <rPr>
        <vertAlign val="subscript"/>
        <sz val="11"/>
        <rFont val="Calibri"/>
        <family val="2"/>
        <scheme val="minor"/>
      </rPr>
      <t>4</t>
    </r>
    <r>
      <rPr>
        <sz val="11"/>
        <rFont val="Calibri"/>
        <family val="2"/>
        <scheme val="minor"/>
      </rPr>
      <t>]</t>
    </r>
  </si>
  <si>
    <r>
      <t>Emissioner 
[ton CH</t>
    </r>
    <r>
      <rPr>
        <b/>
        <vertAlign val="subscript"/>
        <sz val="11"/>
        <color theme="1"/>
        <rFont val="Calibri"/>
        <family val="2"/>
        <scheme val="minor"/>
      </rPr>
      <t>4</t>
    </r>
    <r>
      <rPr>
        <b/>
        <sz val="11"/>
        <color theme="1"/>
        <rFont val="Calibri"/>
        <family val="2"/>
        <scheme val="minor"/>
      </rPr>
      <t>]</t>
    </r>
  </si>
  <si>
    <r>
      <t>Emissioner [ton N</t>
    </r>
    <r>
      <rPr>
        <vertAlign val="subscript"/>
        <sz val="11"/>
        <color theme="1"/>
        <rFont val="Calibri"/>
        <family val="2"/>
        <scheme val="minor"/>
      </rPr>
      <t>2</t>
    </r>
    <r>
      <rPr>
        <sz val="11"/>
        <color theme="1"/>
        <rFont val="Calibri"/>
        <family val="2"/>
        <scheme val="minor"/>
      </rPr>
      <t>O]</t>
    </r>
  </si>
  <si>
    <r>
      <t>N</t>
    </r>
    <r>
      <rPr>
        <b/>
        <vertAlign val="subscript"/>
        <sz val="11"/>
        <color theme="1"/>
        <rFont val="Calibri"/>
        <family val="2"/>
        <scheme val="minor"/>
      </rPr>
      <t>2</t>
    </r>
    <r>
      <rPr>
        <b/>
        <sz val="11"/>
        <color theme="1"/>
        <rFont val="Calibri"/>
        <family val="2"/>
        <scheme val="minor"/>
      </rPr>
      <t>O-N 
[ton]</t>
    </r>
  </si>
  <si>
    <r>
      <t>Emissioner 
[ton N</t>
    </r>
    <r>
      <rPr>
        <b/>
        <vertAlign val="subscript"/>
        <sz val="11"/>
        <color theme="1"/>
        <rFont val="Calibri"/>
        <family val="2"/>
        <scheme val="minor"/>
      </rPr>
      <t>2</t>
    </r>
    <r>
      <rPr>
        <b/>
        <sz val="11"/>
        <color theme="1"/>
        <rFont val="Calibri"/>
        <family val="2"/>
        <scheme val="minor"/>
      </rPr>
      <t>O]</t>
    </r>
  </si>
  <si>
    <r>
      <t>Emissioner 
[ton CO</t>
    </r>
    <r>
      <rPr>
        <b/>
        <vertAlign val="subscript"/>
        <sz val="11"/>
        <color theme="1"/>
        <rFont val="Calibri"/>
        <family val="2"/>
        <scheme val="minor"/>
      </rPr>
      <t>2</t>
    </r>
    <r>
      <rPr>
        <b/>
        <sz val="11"/>
        <color theme="1"/>
        <rFont val="Calibri"/>
        <family val="2"/>
        <scheme val="minor"/>
      </rPr>
      <t>]</t>
    </r>
  </si>
  <si>
    <r>
      <t>Emission af CO</t>
    </r>
    <r>
      <rPr>
        <b/>
        <vertAlign val="subscript"/>
        <sz val="11"/>
        <color theme="1"/>
        <rFont val="Calibri"/>
        <family val="2"/>
        <scheme val="minor"/>
      </rPr>
      <t>2</t>
    </r>
    <r>
      <rPr>
        <b/>
        <sz val="11"/>
        <color theme="1"/>
        <rFont val="Calibri"/>
        <family val="2"/>
        <scheme val="minor"/>
      </rPr>
      <t>-C lokalt  
[ton]</t>
    </r>
  </si>
  <si>
    <r>
      <t>Emissioner
[ton CO</t>
    </r>
    <r>
      <rPr>
        <b/>
        <vertAlign val="subscript"/>
        <sz val="11"/>
        <color theme="1"/>
        <rFont val="Calibri"/>
        <family val="2"/>
        <scheme val="minor"/>
      </rPr>
      <t>2</t>
    </r>
    <r>
      <rPr>
        <b/>
        <sz val="11"/>
        <color theme="1"/>
        <rFont val="Calibri"/>
        <family val="2"/>
        <scheme val="minor"/>
      </rPr>
      <t>-ækv.]</t>
    </r>
  </si>
  <si>
    <r>
      <t>Emissioner 
[ton N</t>
    </r>
    <r>
      <rPr>
        <b/>
        <vertAlign val="subscript"/>
        <sz val="11"/>
        <rFont val="Calibri"/>
        <family val="2"/>
        <scheme val="minor"/>
      </rPr>
      <t>2</t>
    </r>
    <r>
      <rPr>
        <b/>
        <sz val="11"/>
        <rFont val="Calibri"/>
        <family val="2"/>
        <scheme val="minor"/>
      </rPr>
      <t>O]</t>
    </r>
  </si>
  <si>
    <r>
      <t>Emissioner 
[ton CO</t>
    </r>
    <r>
      <rPr>
        <b/>
        <vertAlign val="subscript"/>
        <sz val="11"/>
        <rFont val="Calibri"/>
        <family val="2"/>
        <scheme val="minor"/>
      </rPr>
      <t>2</t>
    </r>
    <r>
      <rPr>
        <b/>
        <sz val="11"/>
        <rFont val="Calibri"/>
        <family val="2"/>
        <scheme val="minor"/>
      </rPr>
      <t>]</t>
    </r>
  </si>
  <si>
    <r>
      <t>Emissioner 
[ton CH</t>
    </r>
    <r>
      <rPr>
        <b/>
        <vertAlign val="subscript"/>
        <sz val="11"/>
        <rFont val="Calibri"/>
        <family val="2"/>
        <scheme val="minor"/>
      </rPr>
      <t>4</t>
    </r>
    <r>
      <rPr>
        <b/>
        <sz val="11"/>
        <rFont val="Calibri"/>
        <family val="2"/>
        <scheme val="minor"/>
      </rPr>
      <t>]</t>
    </r>
  </si>
  <si>
    <r>
      <t>Emissioner fordelt lokalt 
[ton CO</t>
    </r>
    <r>
      <rPr>
        <b/>
        <vertAlign val="subscript"/>
        <sz val="11"/>
        <color theme="1"/>
        <rFont val="Calibri"/>
        <family val="2"/>
        <scheme val="minor"/>
      </rPr>
      <t>2</t>
    </r>
    <r>
      <rPr>
        <b/>
        <sz val="11"/>
        <color theme="1"/>
        <rFont val="Calibri"/>
        <family val="2"/>
        <scheme val="minor"/>
      </rPr>
      <t xml:space="preserve"> ækv.]</t>
    </r>
  </si>
  <si>
    <r>
      <t>Emissioner pr. værk 
[ton CO</t>
    </r>
    <r>
      <rPr>
        <b/>
        <vertAlign val="subscript"/>
        <sz val="11"/>
        <color theme="1"/>
        <rFont val="Calibri"/>
        <family val="2"/>
        <scheme val="minor"/>
      </rPr>
      <t>2</t>
    </r>
    <r>
      <rPr>
        <b/>
        <sz val="11"/>
        <color theme="1"/>
        <rFont val="Calibri"/>
        <family val="2"/>
        <scheme val="minor"/>
      </rPr>
      <t>]</t>
    </r>
  </si>
  <si>
    <r>
      <t>Emissioner nationalt 
[ton CO</t>
    </r>
    <r>
      <rPr>
        <b/>
        <vertAlign val="subscript"/>
        <sz val="11"/>
        <color theme="1"/>
        <rFont val="Calibri"/>
        <family val="2"/>
        <scheme val="minor"/>
      </rPr>
      <t>2</t>
    </r>
    <r>
      <rPr>
        <b/>
        <sz val="11"/>
        <color theme="1"/>
        <rFont val="Calibri"/>
        <family val="2"/>
        <scheme val="minor"/>
      </rPr>
      <t>-ækv.]</t>
    </r>
  </si>
  <si>
    <r>
      <t>Emissioner nationalt 
[kton CO</t>
    </r>
    <r>
      <rPr>
        <b/>
        <vertAlign val="subscript"/>
        <sz val="11"/>
        <color theme="1"/>
        <rFont val="Calibri"/>
        <family val="2"/>
        <scheme val="minor"/>
      </rPr>
      <t>2</t>
    </r>
    <r>
      <rPr>
        <b/>
        <sz val="11"/>
        <color theme="1"/>
        <rFont val="Calibri"/>
        <family val="2"/>
        <scheme val="minor"/>
      </rPr>
      <t>-ækv.]</t>
    </r>
  </si>
  <si>
    <r>
      <t>Total emission 
[ton CO</t>
    </r>
    <r>
      <rPr>
        <b/>
        <vertAlign val="subscript"/>
        <sz val="11"/>
        <color theme="1"/>
        <rFont val="Arial"/>
        <family val="2"/>
      </rPr>
      <t>2</t>
    </r>
    <r>
      <rPr>
        <b/>
        <sz val="11"/>
        <color theme="1"/>
        <rFont val="Arial"/>
        <family val="2"/>
      </rPr>
      <t>-ækv.]</t>
    </r>
  </si>
  <si>
    <r>
      <t>Total emission nationalt 
[kton CO</t>
    </r>
    <r>
      <rPr>
        <b/>
        <vertAlign val="subscript"/>
        <sz val="11"/>
        <color theme="1"/>
        <rFont val="Arial"/>
        <family val="2"/>
      </rPr>
      <t>2</t>
    </r>
    <r>
      <rPr>
        <b/>
        <sz val="11"/>
        <color theme="1"/>
        <rFont val="Arial"/>
        <family val="2"/>
      </rPr>
      <t>-ækv.]</t>
    </r>
  </si>
  <si>
    <r>
      <t>Specifikke emissioner
[ton CO</t>
    </r>
    <r>
      <rPr>
        <b/>
        <vertAlign val="subscript"/>
        <sz val="11"/>
        <color theme="1"/>
        <rFont val="Arial"/>
        <family val="2"/>
      </rPr>
      <t>2</t>
    </r>
    <r>
      <rPr>
        <b/>
        <sz val="11"/>
        <color theme="1"/>
        <rFont val="Arial"/>
        <family val="2"/>
      </rPr>
      <t>-ækv.]</t>
    </r>
  </si>
  <si>
    <t>pr. indbygger</t>
  </si>
  <si>
    <t>pr. km2</t>
  </si>
  <si>
    <t>pr. BNP/indbygger</t>
  </si>
  <si>
    <t>Arealanvendelse
[ha]</t>
  </si>
  <si>
    <r>
      <t>Kulstofemissioner og -lager fra blivende arealanvendelse 
[ton CO</t>
    </r>
    <r>
      <rPr>
        <b/>
        <vertAlign val="subscript"/>
        <sz val="10"/>
        <color theme="1"/>
        <rFont val="Arial"/>
        <family val="2"/>
      </rPr>
      <t>2</t>
    </r>
    <r>
      <rPr>
        <b/>
        <sz val="10"/>
        <color theme="1"/>
        <rFont val="Arial"/>
        <family val="2"/>
      </rPr>
      <t>-ækv.]</t>
    </r>
  </si>
  <si>
    <r>
      <t>Emissioner fra dræning og genoversvømmelse 
[ton CO</t>
    </r>
    <r>
      <rPr>
        <b/>
        <vertAlign val="subscript"/>
        <sz val="10"/>
        <color theme="1"/>
        <rFont val="Arial"/>
        <family val="2"/>
      </rPr>
      <t>2</t>
    </r>
    <r>
      <rPr>
        <b/>
        <sz val="10"/>
        <color theme="1"/>
        <rFont val="Arial"/>
        <family val="2"/>
      </rPr>
      <t>-ækv.]</t>
    </r>
  </si>
  <si>
    <t>Emissioner og lager fra ændret arealanvendelse 
[ton CO2-ækv.]</t>
  </si>
  <si>
    <r>
      <t xml:space="preserve"> CO</t>
    </r>
    <r>
      <rPr>
        <b/>
        <vertAlign val="subscript"/>
        <sz val="11"/>
        <color theme="1"/>
        <rFont val="Arial"/>
        <family val="2"/>
      </rPr>
      <t>2</t>
    </r>
    <r>
      <rPr>
        <b/>
        <sz val="11"/>
        <color theme="1"/>
        <rFont val="Arial"/>
        <family val="2"/>
      </rPr>
      <t>-ækv.</t>
    </r>
  </si>
  <si>
    <t>Omlægning</t>
  </si>
  <si>
    <t>Emissioner fra vådområder (periodisk oversvømmet) og naturpleje/vild brand
[ton CO2-ækv.]</t>
  </si>
  <si>
    <t>Afgrødefordeling 
[ha]</t>
  </si>
  <si>
    <r>
      <t>Emissioner fra industrisektorer 
[ton CO</t>
    </r>
    <r>
      <rPr>
        <b/>
        <vertAlign val="subscript"/>
        <sz val="11"/>
        <color theme="1"/>
        <rFont val="Arial"/>
        <family val="2"/>
      </rPr>
      <t>2</t>
    </r>
    <r>
      <rPr>
        <b/>
        <sz val="11"/>
        <color theme="1"/>
        <rFont val="Arial"/>
        <family val="2"/>
      </rPr>
      <t>-ækv.]</t>
    </r>
  </si>
  <si>
    <r>
      <t>N</t>
    </r>
    <r>
      <rPr>
        <b/>
        <vertAlign val="subscript"/>
        <sz val="11"/>
        <color theme="1"/>
        <rFont val="Arial"/>
        <family val="2"/>
      </rPr>
      <t>2</t>
    </r>
    <r>
      <rPr>
        <b/>
        <sz val="11"/>
        <rFont val="Arial"/>
        <family val="2"/>
      </rPr>
      <t>O</t>
    </r>
  </si>
  <si>
    <r>
      <t>Emissioner fra affald og spildevand 
[ton CO</t>
    </r>
    <r>
      <rPr>
        <b/>
        <vertAlign val="subscript"/>
        <sz val="11"/>
        <color theme="1"/>
        <rFont val="Arial"/>
        <family val="2"/>
      </rPr>
      <t>2</t>
    </r>
    <r>
      <rPr>
        <b/>
        <sz val="11"/>
        <color theme="1"/>
        <rFont val="Arial"/>
        <family val="2"/>
      </rPr>
      <t>-ækv.]</t>
    </r>
  </si>
  <si>
    <r>
      <t>Emissioner fra affald, spildevand og tilfældige brænde  
[ton CO</t>
    </r>
    <r>
      <rPr>
        <b/>
        <vertAlign val="subscript"/>
        <sz val="11"/>
        <color theme="1"/>
        <rFont val="Arial"/>
        <family val="2"/>
      </rPr>
      <t>2</t>
    </r>
    <r>
      <rPr>
        <b/>
        <sz val="11"/>
        <color theme="1"/>
        <rFont val="Arial"/>
        <family val="2"/>
      </rPr>
      <t>-ækv.]</t>
    </r>
  </si>
  <si>
    <r>
      <t>GWP-værdier i forhold til CO</t>
    </r>
    <r>
      <rPr>
        <b/>
        <vertAlign val="subscript"/>
        <sz val="11"/>
        <color theme="1"/>
        <rFont val="Arial"/>
        <family val="2"/>
      </rPr>
      <t>2</t>
    </r>
    <r>
      <rPr>
        <b/>
        <sz val="11"/>
        <rFont val="Arial"/>
        <family val="2"/>
      </rPr>
      <t xml:space="preserve"> i 100-årig tidshorisont: </t>
    </r>
  </si>
  <si>
    <t>Antal dyr lokalt [årsdyr eller producerede dyr]</t>
  </si>
  <si>
    <r>
      <t>Emissioner pr. ha
[ton CO</t>
    </r>
    <r>
      <rPr>
        <b/>
        <vertAlign val="subscript"/>
        <sz val="11"/>
        <color theme="1"/>
        <rFont val="Calibri"/>
        <family val="2"/>
        <scheme val="minor"/>
      </rPr>
      <t>2</t>
    </r>
    <r>
      <rPr>
        <b/>
        <sz val="11"/>
        <color theme="1"/>
        <rFont val="Calibri"/>
        <family val="2"/>
        <scheme val="minor"/>
      </rPr>
      <t>-ækv./ha]</t>
    </r>
  </si>
  <si>
    <t>Emissioner fra husdyrhold 
[ton CO2-ækv.]</t>
  </si>
  <si>
    <r>
      <t>Emissioner fra planteavl 
[ton CO</t>
    </r>
    <r>
      <rPr>
        <b/>
        <vertAlign val="subscript"/>
        <sz val="11"/>
        <color theme="1"/>
        <rFont val="Arial"/>
        <family val="2"/>
      </rPr>
      <t>2</t>
    </r>
    <r>
      <rPr>
        <b/>
        <sz val="11"/>
        <color theme="1"/>
        <rFont val="Arial"/>
        <family val="2"/>
      </rPr>
      <t>-ækv.]</t>
    </r>
  </si>
  <si>
    <r>
      <t>Fordeling af emissionstyper pr. industri 
[ton CO</t>
    </r>
    <r>
      <rPr>
        <b/>
        <vertAlign val="subscript"/>
        <sz val="11"/>
        <color theme="1"/>
        <rFont val="Arial"/>
        <family val="2"/>
      </rPr>
      <t>2</t>
    </r>
    <r>
      <rPr>
        <b/>
        <sz val="11"/>
        <color theme="1"/>
        <rFont val="Arial"/>
        <family val="2"/>
      </rPr>
      <t>-ækv.]</t>
    </r>
  </si>
  <si>
    <r>
      <t>Fordeling af emissioner fra landbrug 
[ton CO</t>
    </r>
    <r>
      <rPr>
        <b/>
        <vertAlign val="subscript"/>
        <sz val="11"/>
        <color theme="1"/>
        <rFont val="Arial"/>
        <family val="2"/>
      </rPr>
      <t>2</t>
    </r>
    <r>
      <rPr>
        <b/>
        <sz val="11"/>
        <color theme="1"/>
        <rFont val="Arial"/>
        <family val="2"/>
      </rPr>
      <t>-ækv.]</t>
    </r>
  </si>
  <si>
    <r>
      <t>Bemærk at emissioner fra delvis oversvømmet areal langt opvejes af den reduktion i CO</t>
    </r>
    <r>
      <rPr>
        <vertAlign val="subscript"/>
        <sz val="11"/>
        <color theme="1"/>
        <rFont val="Arial"/>
        <family val="2"/>
      </rPr>
      <t>2</t>
    </r>
    <r>
      <rPr>
        <sz val="11"/>
        <color theme="1"/>
        <rFont val="Arial"/>
        <family val="2"/>
      </rPr>
      <t>-ækv</t>
    </r>
    <r>
      <rPr>
        <vertAlign val="subscript"/>
        <sz val="11"/>
        <color theme="1"/>
        <rFont val="Arial"/>
        <family val="2"/>
      </rPr>
      <t>.</t>
    </r>
    <r>
      <rPr>
        <sz val="11"/>
        <color theme="1"/>
        <rFont val="Arial"/>
        <family val="2"/>
      </rPr>
      <t xml:space="preserve"> som kommer fra omlægning af f.eks. landbrugsjord </t>
    </r>
  </si>
  <si>
    <r>
      <t>CO</t>
    </r>
    <r>
      <rPr>
        <b/>
        <vertAlign val="subscript"/>
        <sz val="10"/>
        <rFont val="Arial"/>
        <family val="2"/>
      </rPr>
      <t>2</t>
    </r>
    <r>
      <rPr>
        <b/>
        <sz val="10"/>
        <rFont val="Arial"/>
        <family val="2"/>
      </rPr>
      <t>-udledning fordelt på sektorer</t>
    </r>
  </si>
  <si>
    <r>
      <t xml:space="preserve"> tons CO</t>
    </r>
    <r>
      <rPr>
        <b/>
        <vertAlign val="subscript"/>
        <sz val="10"/>
        <rFont val="Arial"/>
        <family val="2"/>
      </rPr>
      <t>2</t>
    </r>
  </si>
  <si>
    <r>
      <t>ton CO</t>
    </r>
    <r>
      <rPr>
        <vertAlign val="subscript"/>
        <sz val="10"/>
        <rFont val="Arial"/>
        <family val="2"/>
      </rPr>
      <t>2</t>
    </r>
    <r>
      <rPr>
        <sz val="10"/>
        <rFont val="Arial"/>
        <family val="2"/>
      </rPr>
      <t>-ækv.</t>
    </r>
  </si>
  <si>
    <t>Arealet er et anslået påvirket areal. Arealet med tørvegravning er ca. 300 ha I 2020.</t>
  </si>
  <si>
    <t>Arealer med tørvegravning</t>
  </si>
  <si>
    <t>Under vådområder (1000 ha)</t>
  </si>
  <si>
    <t>Tabel 6 Tørvegravning</t>
  </si>
  <si>
    <t>Tabel 5 Efterafgrøder</t>
  </si>
  <si>
    <t xml:space="preserve">*Indfasningsprofilen afviger i nogle år fra den endelige fastlagte indfasningsprofil i landbrugsaftalen. Det har kun minimal betydning for udledningstallene i 2025 og 2030. </t>
  </si>
  <si>
    <t>Akkumuleret 2021 vådområder fra landbrugsareal*</t>
  </si>
  <si>
    <t>Akkumuleret fra 1990 vådområder fra landbrugsareal</t>
  </si>
  <si>
    <t>Fra opdyrket mineral jord, per år</t>
  </si>
  <si>
    <t>Fra opdyrket kulstofrig jord, per år</t>
  </si>
  <si>
    <t>Til vådområder (1000 ha)</t>
  </si>
  <si>
    <t>Fra græsareal, per år</t>
  </si>
  <si>
    <t>Fra dyrket mark, per år</t>
  </si>
  <si>
    <t>Til skovrejsning (1000 ha)</t>
  </si>
  <si>
    <t>Tabel 4 Udtag af landbrugsjord</t>
  </si>
  <si>
    <t>IE: included elsewhere; inkluderet under &gt; 12 %SOC</t>
  </si>
  <si>
    <t>Tabel 3 Kulstofrig landbrugsjord fordelt på jord- og dræningstype.</t>
  </si>
  <si>
    <t>* gammel skov defineres som værende ældre end 30 år.</t>
  </si>
  <si>
    <t>Mineraljord med skovrejsning</t>
  </si>
  <si>
    <t>Mineraljord med gammel skov</t>
  </si>
  <si>
    <t>Vådlagt kulstofrig jord</t>
  </si>
  <si>
    <t>Drænet kulstofrig jord</t>
  </si>
  <si>
    <t>Kulstofrig jord med skovrejsning</t>
  </si>
  <si>
    <t>Kulstofrig jord med gammel* skov</t>
  </si>
  <si>
    <t>1000 hektar</t>
  </si>
  <si>
    <t>Tabel 2 Skovarealer fordelt på jord- og skovtype</t>
  </si>
  <si>
    <t>Vådområder</t>
  </si>
  <si>
    <t>Tabel 1. Arealer fordelt på arealklasser</t>
  </si>
  <si>
    <t>Dyrket mark = cropland, Græsareal = grassland</t>
  </si>
  <si>
    <t>Alle arealer er angivet akummuleret ift. 1990 jf. IPCC regneregn´ler til indrapportering af klimagasser under konventionen UNFCCC , ikke KyotoProtokollen.</t>
  </si>
  <si>
    <t>LULUCF (Arealer)</t>
  </si>
  <si>
    <t>N I handelsgødning</t>
  </si>
  <si>
    <t>Tabel 12 Mængde N fra handelsgødning, kt N</t>
  </si>
  <si>
    <t>Historiske opgørelser 1990-2020 og fremskrevet 2021-2040</t>
  </si>
  <si>
    <t>Fremskrivning for gyllekøling, forsuring i stald og ved udbringning, samt luftrensning: Referenceliste (13)</t>
  </si>
  <si>
    <t>***Forsuring i tank og under udbringning</t>
  </si>
  <si>
    <t>**Reduktion fra luftrensning er ikke inkluderet i den historiske opgørelse.</t>
  </si>
  <si>
    <t xml:space="preserve">*Procentdelene for 2010-2020 er baseret på information fra Miljøgodkendelser for husdyrbrug og leverandør for forsuringsanlæg og den reducerende emission er inkluderet i den historiske opgørelse. </t>
  </si>
  <si>
    <t>Noter:</t>
  </si>
  <si>
    <t>Forsuring ved udbringning***</t>
  </si>
  <si>
    <t>Sl. Kyllinger</t>
  </si>
  <si>
    <t>Varmevekslere</t>
  </si>
  <si>
    <t>Hyppig udmugning</t>
  </si>
  <si>
    <t>Luftrensning**</t>
  </si>
  <si>
    <t>Forsuring I stald*</t>
  </si>
  <si>
    <t>Gyllekøling*</t>
  </si>
  <si>
    <t>Miljøteknologi</t>
  </si>
  <si>
    <t>Table 7 Andel af dyr i dyregruppen med den givne teknologi</t>
  </si>
  <si>
    <t>Gyllekøling</t>
  </si>
  <si>
    <t>Table 9 Mængde gylle afsat til biogas fordelt på kvæg og svingylle, kt</t>
  </si>
  <si>
    <t>Mængde gylle afsat til biogas</t>
  </si>
  <si>
    <t>Øvrige dyr</t>
  </si>
  <si>
    <t>Øvrige fjerkræ</t>
  </si>
  <si>
    <t>Høns og hønniker</t>
  </si>
  <si>
    <t>Øvrige kvæg</t>
  </si>
  <si>
    <t>Tons</t>
  </si>
  <si>
    <t>Fast gødning og dybstrøelse</t>
  </si>
  <si>
    <t>Flydende gødning (gylle og ajle)</t>
  </si>
  <si>
    <t>Table 6 Mængder af flydende og fast gødning (inkl. Dybstrøelse) per dyregruppe, tons gødning</t>
  </si>
  <si>
    <t>Gødningsmængder</t>
  </si>
  <si>
    <t>- heraf dyrket mineralsk jord</t>
  </si>
  <si>
    <t>- heraf græsareal på mineralsk jord</t>
  </si>
  <si>
    <t>-heraf ændring til skov</t>
  </si>
  <si>
    <t>- heraf ændring til bebyggelse</t>
  </si>
  <si>
    <t>fra 2018 til 2050</t>
  </si>
  <si>
    <t>Forventningerne til reduktion af CO2-ækv. fra ”Aftale om grøn omstilling af dansk landbrug” (fra 4. oktober 2021)</t>
  </si>
  <si>
    <t>Udtagning af lavbundsjord</t>
  </si>
  <si>
    <t>Forventet vådlægning nationalt</t>
  </si>
  <si>
    <t>Omlægning til natur (forberedelse til udtagning)</t>
  </si>
  <si>
    <t>Andel udtaget i alt:</t>
  </si>
  <si>
    <t>Heraf til natur frem til 2030</t>
  </si>
  <si>
    <t>Hyppig udslusning, national forventning</t>
  </si>
  <si>
    <t>mio ton (2019)</t>
  </si>
  <si>
    <r>
      <t>ton CO</t>
    </r>
    <r>
      <rPr>
        <vertAlign val="subscript"/>
        <sz val="10"/>
        <rFont val="Arial"/>
        <family val="2"/>
      </rPr>
      <t>2</t>
    </r>
    <r>
      <rPr>
        <sz val="10"/>
        <rFont val="Arial"/>
        <family val="2"/>
      </rPr>
      <t>-ækv./ton gylle</t>
    </r>
  </si>
  <si>
    <t>Samlet reduktionspotentiale</t>
  </si>
  <si>
    <t>Andel der skal udsluses hurtigt</t>
  </si>
  <si>
    <t>Husdyrs fordøjelse, national forventning</t>
  </si>
  <si>
    <t>ton i 2025</t>
  </si>
  <si>
    <t>Husdyrs fordøjelse</t>
  </si>
  <si>
    <t>ton i 2030</t>
  </si>
  <si>
    <t>Antal køer 2018*(approksimerede årskøer)</t>
  </si>
  <si>
    <t>stk</t>
  </si>
  <si>
    <t>Reduktionspotentiale ved ændret fodring</t>
  </si>
  <si>
    <r>
      <t>ton CO</t>
    </r>
    <r>
      <rPr>
        <vertAlign val="subscript"/>
        <sz val="10"/>
        <rFont val="Arial"/>
        <family val="2"/>
      </rPr>
      <t>2</t>
    </r>
    <r>
      <rPr>
        <sz val="10"/>
        <rFont val="Arial"/>
        <family val="2"/>
      </rPr>
      <t>-ækv./årsko</t>
    </r>
  </si>
  <si>
    <t>*Kilde Danmarks Statistik</t>
  </si>
  <si>
    <t>Forventet effekt af skovrejsning nationalt</t>
  </si>
  <si>
    <t>Ecoschemes</t>
  </si>
  <si>
    <t>Reduktion pr. ha i gennemsnit</t>
  </si>
  <si>
    <t>**kan fordeles på brak, nitrifikationshæmmere, omlægning til græs inkl. solceller samt reduceret jordbearbejdning</t>
  </si>
  <si>
    <t>Kvælstofindsats (efterafgrøder, bræmmer etc.)</t>
  </si>
  <si>
    <t>Muligt skønnet efterafgrødeareal på landsplan</t>
  </si>
  <si>
    <t>Beregnet skønnet CO2-effekt i gnst.</t>
  </si>
  <si>
    <r>
      <t>ton CO</t>
    </r>
    <r>
      <rPr>
        <vertAlign val="subscript"/>
        <sz val="10"/>
        <rFont val="Arial"/>
        <family val="2"/>
      </rPr>
      <t>2</t>
    </r>
    <r>
      <rPr>
        <sz val="10"/>
        <rFont val="Arial"/>
        <family val="2"/>
      </rPr>
      <t>-ækv./ha</t>
    </r>
  </si>
  <si>
    <t>CO2-ækv. faktor efterafgrøder</t>
  </si>
  <si>
    <t>Nødvendig udnyttelse af efterafgrødepotentiale</t>
  </si>
  <si>
    <t>Gnst. Forbrug af handelsgødning pr. ha</t>
  </si>
  <si>
    <t>kg</t>
  </si>
  <si>
    <t>Gnst. Udvasket heraf</t>
  </si>
  <si>
    <t>Reduceret kvælstof - direkte emission af N2O</t>
  </si>
  <si>
    <t>Reduceret kvælstof - indirekte emission af N2O</t>
  </si>
  <si>
    <t>Effekt af omlægning til græs v. 20% græs i økosædskifte</t>
  </si>
  <si>
    <t>Direkte effekt af omlægning med 20% græs i økosædskifte</t>
  </si>
  <si>
    <t>Ved samtidig yderligere brug af efterafgrøder</t>
  </si>
  <si>
    <t>Samlet effekt af omlægning, beregnet</t>
  </si>
  <si>
    <t>Ny økologi i kommunen</t>
  </si>
  <si>
    <t>Ha omlagt til proteingræs (kløvergræs)</t>
  </si>
  <si>
    <t>Klimaeffekt***</t>
  </si>
  <si>
    <t>***Baggrundsdata hentet i klimaregnskabets bilag 4.</t>
  </si>
  <si>
    <t>Ændring i skovareal (basisår 2018)</t>
  </si>
  <si>
    <t>Ændring i skovareal (basisår 2020)</t>
  </si>
  <si>
    <t>Ændring i efterafgrødeareal (basisår 2018)</t>
  </si>
  <si>
    <t>Ændring i efterafgrødeareal (basisår 2020)</t>
  </si>
  <si>
    <t>Ændring i landbrugsjord (basisår 2018)</t>
  </si>
  <si>
    <t>Ændring i landbrugsjord (basisår 2020)</t>
  </si>
  <si>
    <r>
      <t>Forventningerne til reduktion af CO</t>
    </r>
    <r>
      <rPr>
        <b/>
        <vertAlign val="subscript"/>
        <sz val="16"/>
        <rFont val="Arial"/>
        <family val="2"/>
      </rPr>
      <t>2</t>
    </r>
    <r>
      <rPr>
        <b/>
        <sz val="16"/>
        <rFont val="Arial"/>
        <family val="2"/>
      </rPr>
      <t>-ækv. fra KF22</t>
    </r>
  </si>
  <si>
    <r>
      <t>Forventningerne til reduktion af CO</t>
    </r>
    <r>
      <rPr>
        <b/>
        <vertAlign val="subscript"/>
        <sz val="16"/>
        <rFont val="Arial"/>
        <family val="2"/>
      </rPr>
      <t>2</t>
    </r>
    <r>
      <rPr>
        <b/>
        <sz val="16"/>
        <rFont val="Arial"/>
        <family val="2"/>
      </rPr>
      <t>-ækv. fra input fra kommunen (dvs. andet end KF22)</t>
    </r>
  </si>
  <si>
    <t>Antal årskøer lokalt</t>
  </si>
  <si>
    <t>Lokal andel af areal</t>
  </si>
  <si>
    <t>Omdriftsareal lokalt</t>
  </si>
  <si>
    <t>Omdriftsareal nationalt</t>
  </si>
  <si>
    <t>Samlet lavbundsareal nationalt</t>
  </si>
  <si>
    <t>Samlet gyllemængde nationalt</t>
  </si>
  <si>
    <t>Reduktion lokalt**</t>
  </si>
  <si>
    <t>Reduktionspotentiale lokalt</t>
  </si>
  <si>
    <t>Muligt skønnet efterafgrødeareal lokalt</t>
  </si>
  <si>
    <t>Gødning lokalt</t>
  </si>
  <si>
    <t xml:space="preserve">% </t>
  </si>
  <si>
    <t>Lokale arealer</t>
  </si>
  <si>
    <t>Totalt areal lokalt</t>
  </si>
  <si>
    <t>Areal af landbrugjord lokalt</t>
  </si>
  <si>
    <t>Input (total skovdække lokalt)</t>
  </si>
  <si>
    <t>2020*</t>
  </si>
  <si>
    <t>Stigning i areal der skal udtages til skov</t>
  </si>
  <si>
    <t>Totalt areal nødvendigt dækket med skov for at nå mål</t>
  </si>
  <si>
    <t>fra 2018 til 2030</t>
  </si>
  <si>
    <t>Valgt GWP-værdi</t>
  </si>
  <si>
    <t>Forbrug transport, 2020, beregnet</t>
  </si>
  <si>
    <t>Enhedsforbrug, dieselbil, 2020</t>
  </si>
  <si>
    <t>Lastbiler, 2020</t>
  </si>
  <si>
    <t>Motorstyrelsen &amp; DST 2020, beregnet</t>
  </si>
  <si>
    <t>Enhedsforbrug, lastbil, 2020</t>
  </si>
  <si>
    <t>Enhedsforbrug, bus, 2020</t>
  </si>
  <si>
    <t>Dataark til reduktionssti</t>
  </si>
  <si>
    <t>STI 2030</t>
  </si>
  <si>
    <t>STI 2050</t>
  </si>
  <si>
    <r>
      <t>1.000 tons CO</t>
    </r>
    <r>
      <rPr>
        <b/>
        <vertAlign val="subscript"/>
        <sz val="10"/>
        <rFont val="Arial"/>
        <family val="2"/>
      </rPr>
      <t>2</t>
    </r>
  </si>
  <si>
    <r>
      <t>tons CO</t>
    </r>
    <r>
      <rPr>
        <b/>
        <vertAlign val="subscript"/>
        <sz val="10"/>
        <rFont val="Arial"/>
        <family val="2"/>
      </rPr>
      <t>2</t>
    </r>
  </si>
  <si>
    <t>Nettoenergiforbrug fordelt på kategorier</t>
  </si>
  <si>
    <t>Elbalance (produktion fordelt på anlægstype)</t>
  </si>
  <si>
    <t>Elbalance (produktion fordelt på brændsel)</t>
  </si>
  <si>
    <t>Fjernvarmebalance (produktion fordelt på anlægstype)</t>
  </si>
  <si>
    <t>Fjernvarmebalance (produktion fordelt på brændsel)</t>
  </si>
  <si>
    <r>
      <t xml:space="preserve">VE% </t>
    </r>
    <r>
      <rPr>
        <vertAlign val="subscript"/>
        <sz val="11"/>
        <rFont val="Arial"/>
        <family val="2"/>
      </rPr>
      <t>Global</t>
    </r>
  </si>
  <si>
    <r>
      <t xml:space="preserve">VE% </t>
    </r>
    <r>
      <rPr>
        <vertAlign val="subscript"/>
        <sz val="11"/>
        <rFont val="Arial"/>
        <family val="2"/>
      </rPr>
      <t>Lokal</t>
    </r>
  </si>
  <si>
    <t xml:space="preserve">Indbyggere nationalt: </t>
  </si>
  <si>
    <t>Areal nationalt</t>
  </si>
  <si>
    <t>BNP nationalt:</t>
  </si>
  <si>
    <t>BNP pr. indbygger nationalt:</t>
  </si>
  <si>
    <t>Indbyggertal lokalt:</t>
  </si>
  <si>
    <t>Areal lokalt:</t>
  </si>
  <si>
    <t>BNP lokalt:</t>
  </si>
  <si>
    <t>BNP pr. indbygger lokalt:</t>
  </si>
  <si>
    <t>Reduktionsmål lokalt 2030</t>
  </si>
  <si>
    <t>Reduktionmål nationalt 2030</t>
  </si>
  <si>
    <t>Emissioner nationalt opdelt på sektorer</t>
  </si>
  <si>
    <t>Emissioner lokalt opdelt efter sektorer</t>
  </si>
  <si>
    <t>Emissioner opdelt på sektorer</t>
  </si>
  <si>
    <t xml:space="preserve">Fordeling af emissioner fra landbrug </t>
  </si>
  <si>
    <t>Fordeling af emissioner fra arealanvendelse</t>
  </si>
  <si>
    <t xml:space="preserve">Kulstofemissioner og -lager fra blivende arealanvendelse </t>
  </si>
  <si>
    <t xml:space="preserve">Emissioner fra dræning og genoversvømmelse </t>
  </si>
  <si>
    <t xml:space="preserve">Emissioner og lager fra ændret arealanvendelse </t>
  </si>
  <si>
    <t>Emissioner fra vådområder (periodisk oversvømmet) og naturpleje/vild brand</t>
  </si>
  <si>
    <t>Emissioner fra husdyrhold</t>
  </si>
  <si>
    <t>Emissioner fra planteavl</t>
  </si>
  <si>
    <t>Emissioner fra forskellige industrisektorer</t>
  </si>
  <si>
    <t>Fordeling af emissionstyper pr. industri</t>
  </si>
  <si>
    <t>Fordeling af emissioner fra affald og spildevand</t>
  </si>
  <si>
    <t xml:space="preserve">2./2018: 2.A.4.d: Flue gas desulphurisation and stone wool production _x000D_
</t>
  </si>
  <si>
    <t>Submission 2020 v5</t>
  </si>
  <si>
    <t xml:space="preserve">2.A.4/2018: 2.A.4.d: Flue gas desulphurisation and stone wool production _x000D_
</t>
  </si>
  <si>
    <t xml:space="preserve">3.D/2018: FracGASP, FracGASM, FracLEACH are values for Denmark only _x000D_
</t>
  </si>
  <si>
    <t xml:space="preserve">4.E Direct N2O Emissions/2018: Include only mineralization of SOM _x000D_
</t>
  </si>
  <si>
    <t xml:space="preserve">4.C.2 Direct N2O Emissions/2018: Included in 3D.a.6 _x000D_
4.C.2 Direct N2O Emissions/2018: Include only forest conversions _x000D_
</t>
  </si>
  <si>
    <t xml:space="preserve">4.A.2 Mineralization/2018: The C stock in Forest land are higher than in other land use categories and therefore no N release is assumed _x000D_
</t>
  </si>
  <si>
    <t xml:space="preserve">4.C.1 Direct N2O Emissions/2018: Included in 3D.a.5 _x000D_
</t>
  </si>
  <si>
    <t xml:space="preserve">4.B.2 Direct N2O Emissions/2018: Included in 3D.a.6 _x000D_
4.B.2 Direct N2O Emissions/2018: Include both loss of litter and mineralization of Soil Organic Matter _x000D_
</t>
  </si>
  <si>
    <t xml:space="preserve">4.A.1 Mineralization/2018: Mineral soils _x000D_
</t>
  </si>
  <si>
    <t>4.D.2.3  Grassland converted to wetlands</t>
  </si>
  <si>
    <t>4.D.2.2  Cropland converted to wetlands</t>
  </si>
  <si>
    <t>4.D.2.1  Forest land converted to wetlands</t>
  </si>
  <si>
    <t xml:space="preserve">4.C.1 Biomass Burning/2018: Most burning are controlled. evt. wild fires are included controlled burning _x000D_
</t>
  </si>
  <si>
    <t xml:space="preserve">4.A.1 Biomass Burning/2018: Wildfires are very seldom in Denmark due to the wet climate. _x000D_
</t>
  </si>
  <si>
    <t xml:space="preserve">2./2019: 2.A.4.d: Flue gas desulphurisation and stone wool production _x000D_
</t>
  </si>
  <si>
    <t xml:space="preserve">2.A.4/2019: 2.A.4.d: Flue gas desulphurisation and stone wool production _x000D_
</t>
  </si>
  <si>
    <t xml:space="preserve">3.D/2019: FracGASP, FracGASM, FracLEACH are values for Denmark only _x000D_
</t>
  </si>
  <si>
    <t xml:space="preserve">4.E Direct N2O Emissions/2019: Include only mineralization of SOM _x000D_
</t>
  </si>
  <si>
    <t xml:space="preserve">4.C.2 Direct N2O Emissions/2019: Included in 3D.a.6 _x000D_
4.C.2 Direct N2O Emissions/2019: Include only forest conversions _x000D_
</t>
  </si>
  <si>
    <t xml:space="preserve">4.A.2 Mineralization/2019: The C stock in Forest land are higher than in other land use categories and therefore no N release is assumed _x000D_
</t>
  </si>
  <si>
    <t xml:space="preserve">4.C.1 Direct N2O Emissions/2019: Included in 3D.a.5 _x000D_
</t>
  </si>
  <si>
    <t xml:space="preserve">4.B.2 Direct N2O Emissions/2019: Included in 3D.a.6 _x000D_
4.B.2 Direct N2O Emissions/2019: Include both loss of litter and mineralization of Soil Organic Matter _x000D_
</t>
  </si>
  <si>
    <t xml:space="preserve">4.A.1 Mineralization/2019: Mineral soils _x000D_
</t>
  </si>
  <si>
    <t xml:space="preserve">4.C.1 Biomass Burning/2019: Most burning are controlled. evt. wild fires are included controlled burning _x000D_
</t>
  </si>
  <si>
    <t xml:space="preserve">4.A.1 Biomass Burning/2019: Wildfires are very seldom in Denmark due to the wet climate. _x000D_
</t>
  </si>
  <si>
    <t xml:space="preserve">2./2020: 2.A.4.d: Flue gas desulphurisation and stone wool production _x000D_
</t>
  </si>
  <si>
    <t xml:space="preserve">2.A.4/2020: 2.A.4.d: Flue gas desulphurisation and stone wool production _x000D_
</t>
  </si>
  <si>
    <t xml:space="preserve">3.D/2020: FracGASP, FracGASM, FracLEACH are values for Denmark only _x000D_
</t>
  </si>
  <si>
    <t xml:space="preserve">4.D.2 Carbon stock change/2020: 0.39381985266 _x000D_
</t>
  </si>
  <si>
    <t xml:space="preserve">4.E Direct N2O Emissions/2020: Include only mineralization of SOM _x000D_
</t>
  </si>
  <si>
    <t xml:space="preserve">4.C.2 Direct N2O Emissions/2020: Included in 3D.a.6 _x000D_
4.C.2 Direct N2O Emissions/2020: Include only forest conversions _x000D_
</t>
  </si>
  <si>
    <t xml:space="preserve">4.A.2 Mineralization/2020: The C stock in Forest land are higher than in other land use categories and therefore no N release is assumed _x000D_
</t>
  </si>
  <si>
    <t xml:space="preserve">4.C.1 Direct N2O Emissions/2020: Included in 3D.a.5 _x000D_
</t>
  </si>
  <si>
    <t xml:space="preserve">4.B.2 Direct N2O Emissions/2020: Included in 3D.a.6 _x000D_
4.B.2 Direct N2O Emissions/2020: Include both loss of litter and mineralization of Soil Organic Matter _x000D_
</t>
  </si>
  <si>
    <t xml:space="preserve">4.A.1 Mineralization/2020: Mineral soils _x000D_
</t>
  </si>
  <si>
    <t xml:space="preserve">4.C.1 Biomass Burning/2020: Most burning are controlled. evt. wild fires are included controlled burning _x000D_
</t>
  </si>
  <si>
    <t xml:space="preserve">4.A.1 Biomass Burning/2020: Wildfires are very seldom in Denmark due to the wet climate. _x000D_
</t>
  </si>
  <si>
    <r>
      <t xml:space="preserve">G.  Other product manufacture and use </t>
    </r>
    <r>
      <rPr>
        <sz val="10"/>
        <rFont val="Arial"/>
        <family val="2"/>
      </rPr>
      <t/>
    </r>
  </si>
  <si>
    <t xml:space="preserve">AGDM(T) Tørstofindhold i afgrøderester over jord </t>
  </si>
  <si>
    <t xml:space="preserve"> Nettab</t>
  </si>
  <si>
    <t>Procent i reduktionssti, hvis landbrugsjord skal dække behovet</t>
  </si>
  <si>
    <t>Summary2_2018</t>
  </si>
  <si>
    <t>Table 6 Gødningsmængder</t>
  </si>
  <si>
    <t>Table 7 Miljøteknologi</t>
  </si>
  <si>
    <t>Table 9 Gylle afsat til biogas</t>
  </si>
  <si>
    <t>Table 12 Handelsgødning</t>
  </si>
  <si>
    <t>Hentet fra Dataark til bilag 2</t>
  </si>
  <si>
    <t xml:space="preserve">Registerdata  </t>
  </si>
  <si>
    <t>Registerdata fra AU
2018</t>
  </si>
  <si>
    <t>Tier II Lund 2020 Normtal - ton gødning for både (m)anure og  (s)traw samt tørstofprocenter for begge</t>
  </si>
  <si>
    <t>Beregning  baseret på metode fra Klimarådets værktøj til beregning på bedriftsniveau</t>
  </si>
  <si>
    <t>Opbygning af kulstoflager _x000D_
[ton C]</t>
  </si>
  <si>
    <t>Tab i kulstoflager_x000D_
[ton C]</t>
  </si>
  <si>
    <t>Nettoændring  _x000D_
[ton C]</t>
  </si>
  <si>
    <t>Nettoændring i død organisk materiale  _x000D_
[ton C]</t>
  </si>
  <si>
    <t>Nettoændring i mineralsk jord_x000D_
[ton C]</t>
  </si>
  <si>
    <t>Nettoændring i organisk jord _x000D_
[ton C]</t>
  </si>
  <si>
    <t>Total ændring i kulstof fra landbrugsjord  _x000D_
[ton C]</t>
  </si>
  <si>
    <t>Emissioner _x000D_
[ton CO2-ækv.]</t>
  </si>
  <si>
    <t>Tab i kulstoflager_x000D_
 _x000D_
[ton C]</t>
  </si>
  <si>
    <t>Total ændring i kulstof fra permanent græs  _x000D_
[ton C]</t>
  </si>
  <si>
    <t>Opbygning af kulstoflager  _x000D_
[ton C]</t>
  </si>
  <si>
    <t>Tab i kulstoflager _x000D_
[ton C]</t>
  </si>
  <si>
    <t>Nettoændring_x000D_
[ton C]</t>
  </si>
  <si>
    <t>Nettoændring i mineralsk jord _x000D_
[ton C]</t>
  </si>
  <si>
    <t>Nettoændring i organisk jord_x000D_
[ton C]</t>
  </si>
  <si>
    <t>Total ændring i kulstof fra vådområder _x000D_
[ton C]</t>
  </si>
  <si>
    <t>Total ændring i kulstof fra bebyggelse  _x000D_
[ton C]</t>
  </si>
  <si>
    <t>Total ændring i kulstof fra øvrig land _x000D_
[ton C]</t>
  </si>
  <si>
    <t>Nærværende fane (intet link)</t>
  </si>
  <si>
    <t>Table LULUCF_arealer</t>
  </si>
  <si>
    <t>Produceret DK (tons)</t>
  </si>
  <si>
    <r>
      <t>Importeret DK (m</t>
    </r>
    <r>
      <rPr>
        <b/>
        <vertAlign val="superscript"/>
        <sz val="11"/>
        <color theme="1"/>
        <rFont val="Calibri"/>
        <family val="2"/>
        <scheme val="minor"/>
      </rPr>
      <t>3</t>
    </r>
    <r>
      <rPr>
        <b/>
        <sz val="11"/>
        <color theme="1"/>
        <rFont val="Calibri"/>
        <family val="2"/>
        <scheme val="minor"/>
      </rPr>
      <t>)</t>
    </r>
  </si>
  <si>
    <r>
      <t>Eksporteret DK (m</t>
    </r>
    <r>
      <rPr>
        <b/>
        <vertAlign val="superscript"/>
        <sz val="11"/>
        <color theme="1"/>
        <rFont val="Calibri"/>
        <family val="2"/>
        <scheme val="minor"/>
      </rPr>
      <t>3</t>
    </r>
    <r>
      <rPr>
        <b/>
        <sz val="11"/>
        <color theme="1"/>
        <rFont val="Calibri"/>
        <family val="2"/>
        <scheme val="minor"/>
      </rPr>
      <t>)</t>
    </r>
  </si>
  <si>
    <t>NIR Annex 3D-20 2022 (2019)</t>
  </si>
  <si>
    <t>NIR Annex 3D-20 2022 (2018)</t>
  </si>
  <si>
    <t>NIR CRF tabel 4B 2021 (2019)</t>
  </si>
  <si>
    <t>NIR CRF tabel 4B 2020 (2018)</t>
  </si>
  <si>
    <t>NIR CRF tabel 3D 2020 (2018)</t>
  </si>
  <si>
    <t>NIR CRF tabel 3D 2021 (2019)</t>
  </si>
  <si>
    <t>NIR CRF tabel 3G-I 2020 (2018)</t>
  </si>
  <si>
    <t>NIR CRF tabel 3G-I 2021 (2019)</t>
  </si>
  <si>
    <t>NIR tabel 4B 2020 (2018)</t>
  </si>
  <si>
    <t>NIR tabel 4B 2021 (2019)</t>
  </si>
  <si>
    <t xml:space="preserve"> NIR 2021 (2019) CRF tabel 4A</t>
  </si>
  <si>
    <t xml:space="preserve"> NIR 2020 (2018) CRF tabel 4A</t>
  </si>
  <si>
    <t xml:space="preserve"> NIR 2022 (2020) CRF tabel 4A</t>
  </si>
  <si>
    <t xml:space="preserve"> NIR 2020 (2018) CRF tabel 4B</t>
  </si>
  <si>
    <t xml:space="preserve"> NIR 2021 (2019) CRF tabel 4B</t>
  </si>
  <si>
    <t xml:space="preserve"> NIR 2020 (2018) CRF tabel 4D</t>
  </si>
  <si>
    <t xml:space="preserve"> NIR 2021 (2019) CRF tabel 4D</t>
  </si>
  <si>
    <t xml:space="preserve"> NIR 2022 (2020) CRF tabel 4D</t>
  </si>
  <si>
    <t xml:space="preserve"> NIR 2022 (2020) CRF tabel 4B</t>
  </si>
  <si>
    <t xml:space="preserve"> NIR 2020 (2018) CRF tabel 4E</t>
  </si>
  <si>
    <t xml:space="preserve"> NIR 2021 (2019) CRF tabel 4E</t>
  </si>
  <si>
    <t xml:space="preserve"> NIR 2022 (2020) CRF tabel 4E</t>
  </si>
  <si>
    <t xml:space="preserve"> NIR 2020 (2018) CRF tabel 4F</t>
  </si>
  <si>
    <t xml:space="preserve"> NIR 2021 (2019) CRF tabel 4F</t>
  </si>
  <si>
    <t xml:space="preserve"> NIR 2022 (2020) CRF tabel 4F</t>
  </si>
  <si>
    <t xml:space="preserve"> NIR 2020 (2018) CRF tabel 4II</t>
  </si>
  <si>
    <t xml:space="preserve"> NIR 2021 (2019) CRF tabel 4II</t>
  </si>
  <si>
    <t xml:space="preserve"> NIR 2020 (2018) CRF tabel 4III</t>
  </si>
  <si>
    <t xml:space="preserve"> NIR 2021 (2019) CRF tabel 4III</t>
  </si>
  <si>
    <t xml:space="preserve"> NIR 2022 (2020) CRF tabel 4III</t>
  </si>
  <si>
    <t xml:space="preserve"> NIR 2020 (2018) CRF tabel 4V</t>
  </si>
  <si>
    <t xml:space="preserve"> NIR 2021 (2019) CRF tabel 4V</t>
  </si>
  <si>
    <t xml:space="preserve"> NIR 2020 (2018) CRF tabel 4.Gs2</t>
  </si>
  <si>
    <t xml:space="preserve"> NIR 2021 (2019) CRF tabel 4.Gs2</t>
  </si>
  <si>
    <t xml:space="preserve"> NIR 2022 (2020) CRF tabel 4.Gs2</t>
  </si>
  <si>
    <t xml:space="preserve"> NIR 2020 (2018) CRF tabel 5.A</t>
  </si>
  <si>
    <t xml:space="preserve"> NIR 2021 (2019) CRF tabel 5.A</t>
  </si>
  <si>
    <t xml:space="preserve"> NIR 2022 (2020) CRF tabel 5.A</t>
  </si>
  <si>
    <t xml:space="preserve"> NIR 2020(2018) CRF tabel 5.B</t>
  </si>
  <si>
    <t xml:space="preserve"> NIR 2021 (2019) CRF tabel 5.B</t>
  </si>
  <si>
    <t xml:space="preserve"> NIR 2022 (2020) CRF tabel 5.B</t>
  </si>
  <si>
    <t xml:space="preserve"> NIR 2020 (2018) CRF tabel 5.C</t>
  </si>
  <si>
    <t xml:space="preserve"> NIR 2021(2019) CRF tabel 5.C</t>
  </si>
  <si>
    <t xml:space="preserve"> NIR 2022 (2020) CRF tabel 5.C</t>
  </si>
  <si>
    <t xml:space="preserve"> NIR 2020 (2018) CRF tabel 5.D</t>
  </si>
  <si>
    <t xml:space="preserve"> NIR 2021 (2019) CRF tabel 5.D</t>
  </si>
  <si>
    <t xml:space="preserve"> NIR 2022 (2020) CRF tabel 5.D</t>
  </si>
  <si>
    <t xml:space="preserve"> NIR 2022 (2020) CRF tabel 2(I).A-Hs1</t>
  </si>
  <si>
    <t xml:space="preserve"> NIR 2021 (2019) CRF tabel 2(I).A-Hs1</t>
  </si>
  <si>
    <t xml:space="preserve"> NIR 2020 (2018) CRF tabel 2(I).A-Hs1</t>
  </si>
  <si>
    <t>NIR 2020 (2018) CRF tabel 2(I)s2</t>
  </si>
  <si>
    <t>NIR 2021 (2019) CRF tabel 2(I)s2</t>
  </si>
  <si>
    <t>NIR 2022 (2020) CRF tabel 2(I)s2</t>
  </si>
  <si>
    <t>NIR Tier II 2020 (2018) Tabel  5.7 og 5.8 og CRF Tabel 3.As1 2020 (2018)</t>
  </si>
  <si>
    <t xml:space="preserve">NIR Tier II  2021 (2019) Tabel  5.7 og 5.8 og CRF Tabel 3.As1 2021 (2019) </t>
  </si>
  <si>
    <t xml:space="preserve"> NIR 2020 (2018) CRF tabel 4II samt afsnit 6.9.4 i PDF NIR</t>
  </si>
  <si>
    <t xml:space="preserve"> NIR 2021 (2019) CRF tabel 4II samt afsnit 6.9.4 i PDF NIR</t>
  </si>
  <si>
    <t xml:space="preserve"> NIR 2022 (2020) CRF tabel 4II samt afsnit 6.9.4 i PDF NIR</t>
  </si>
  <si>
    <r>
      <t>Total N</t>
    </r>
    <r>
      <rPr>
        <b/>
        <vertAlign val="subscript"/>
        <sz val="11"/>
        <color theme="1"/>
        <rFont val="Calibri"/>
        <family val="2"/>
        <scheme val="minor"/>
      </rPr>
      <t>2</t>
    </r>
    <r>
      <rPr>
        <b/>
        <sz val="11"/>
        <color theme="1"/>
        <rFont val="Calibri"/>
        <family val="2"/>
        <scheme val="minor"/>
      </rPr>
      <t xml:space="preserve">O-N </t>
    </r>
  </si>
  <si>
    <r>
      <t>Kulstoflager (ton CO</t>
    </r>
    <r>
      <rPr>
        <vertAlign val="subscript"/>
        <sz val="10"/>
        <color theme="1"/>
        <rFont val="Arial"/>
        <family val="2"/>
      </rPr>
      <t>2</t>
    </r>
    <r>
      <rPr>
        <sz val="10"/>
        <color theme="1"/>
        <rFont val="Arial"/>
        <family val="2"/>
      </rPr>
      <t>-ækv.)</t>
    </r>
  </si>
  <si>
    <t>1990\2018 (Ha)</t>
  </si>
  <si>
    <t>2005\2018 (Ha)</t>
  </si>
  <si>
    <t>mængde Tons</t>
  </si>
  <si>
    <t>Biomasse_kg</t>
  </si>
  <si>
    <t>Ekstra EA data 2018-korrigeret</t>
  </si>
  <si>
    <t>Ekstra EA data 2018</t>
  </si>
  <si>
    <r>
      <t>CO</t>
    </r>
    <r>
      <rPr>
        <b/>
        <vertAlign val="subscript"/>
        <sz val="10"/>
        <rFont val="Arial"/>
        <family val="2"/>
      </rPr>
      <t>2</t>
    </r>
    <r>
      <rPr>
        <b/>
        <sz val="10"/>
        <rFont val="Arial"/>
        <family val="2"/>
      </rPr>
      <t>-emissioner (1.000 tons)</t>
    </r>
  </si>
  <si>
    <t>K1 2018G</t>
  </si>
  <si>
    <t>K2 2018G</t>
  </si>
  <si>
    <t>K2a 2018G</t>
  </si>
  <si>
    <t>K3 2018G</t>
  </si>
  <si>
    <t>K4 2018G</t>
  </si>
  <si>
    <t>K5 2018G</t>
  </si>
  <si>
    <t>K5a 2018G</t>
  </si>
  <si>
    <t>K6 2018G</t>
  </si>
  <si>
    <t>K7 2018G</t>
  </si>
  <si>
    <t>K8 2018G</t>
  </si>
  <si>
    <t>K9 2018G</t>
  </si>
  <si>
    <t>K10 2018G</t>
  </si>
  <si>
    <t>K11 2018G</t>
  </si>
  <si>
    <t>K12 2018G</t>
  </si>
  <si>
    <t>K13 2018G</t>
  </si>
  <si>
    <t>K14 2018G</t>
  </si>
  <si>
    <t>K15 2018G</t>
  </si>
  <si>
    <t>Dataark til bilag 2_18G</t>
  </si>
  <si>
    <t>Dataark til bilag 3_18G</t>
  </si>
  <si>
    <t>biogas_18G</t>
  </si>
  <si>
    <t>staldtype_total_18G</t>
  </si>
  <si>
    <t>planteavl_18G</t>
  </si>
  <si>
    <t>Planteavl_EA_18G</t>
  </si>
  <si>
    <t>gødning_mv_18G</t>
  </si>
  <si>
    <t>draeninfo_18G</t>
  </si>
  <si>
    <t>rewetinfo_18G</t>
  </si>
  <si>
    <t>ArealFordelingPaaKulstof_Ha 18G</t>
  </si>
  <si>
    <t>Dyrehold 2018G</t>
  </si>
  <si>
    <t>Planteavl 2018G</t>
  </si>
  <si>
    <t>Arealanvendelse 2018G</t>
  </si>
  <si>
    <t>Affald og spildevand 2018G</t>
  </si>
  <si>
    <t>Industrielle processer 2018G</t>
  </si>
  <si>
    <t>2018G</t>
  </si>
  <si>
    <t>Klimabilag 2018 Gamle data</t>
  </si>
  <si>
    <t xml:space="preserve">Registerdata fra AU
2018 gamle data </t>
  </si>
  <si>
    <t>Manglende reduktion 2018G</t>
  </si>
  <si>
    <t>Samlede klimaregnskaber
Gamle 2018</t>
  </si>
  <si>
    <r>
      <t>CO</t>
    </r>
    <r>
      <rPr>
        <vertAlign val="subscript"/>
        <sz val="10"/>
        <rFont val="Arial"/>
        <family val="2"/>
      </rPr>
      <t>2</t>
    </r>
    <r>
      <rPr>
        <sz val="10"/>
        <rFont val="Arial"/>
        <family val="2"/>
      </rPr>
      <t>-emission (tons/TJ)</t>
    </r>
  </si>
  <si>
    <t>1 årsso m. 31,4 grise til 6,8 kg, andel fra løbe- og drægtighedsstald</t>
  </si>
  <si>
    <t>1 årsso m. 31,4 grise til 6,8 kg, andel fra farestald.</t>
  </si>
  <si>
    <t>Hjorte &gt; 15 mdr.</t>
  </si>
  <si>
    <t>Hjorte &gt; 15 mdr., 10 stk.</t>
  </si>
  <si>
    <t>Hinder &gt; 15 mdr.</t>
  </si>
  <si>
    <t>Hinder &gt; 15 mdr., 10 stk.</t>
  </si>
  <si>
    <t>Unge hjorte 3-15 mdr.</t>
  </si>
  <si>
    <t>Unge hjorte 3-15 mdr., 10 stk.</t>
  </si>
  <si>
    <t>Unge hinder 3-15 mdr.</t>
  </si>
  <si>
    <t>Unge hinder 3-15 mdr., 10 stk.</t>
  </si>
  <si>
    <t>Årshind, 1 stk.</t>
  </si>
  <si>
    <t>Dådyr, 1 stk.</t>
  </si>
  <si>
    <t>producerede slagtekyllinger, levende vægt ved slagtning 2.13 kg</t>
  </si>
  <si>
    <t>Agerhøns, avlsdyr, 100 stk.</t>
  </si>
  <si>
    <t>Struds, kylling, 0-3 mdr.</t>
  </si>
  <si>
    <t>Struds, kylling, 0-3 mdr., 100 producerede dyr</t>
  </si>
  <si>
    <t>Struds, kylling, 3-14 mdr.</t>
  </si>
  <si>
    <t>Struds, kylling, 3-14 mdr., 10 producerede dyr</t>
  </si>
  <si>
    <t>Læsø Kommune 1990</t>
  </si>
  <si>
    <t>Læsø Kommune 2018</t>
  </si>
  <si>
    <t>Læsø Kommune 2020</t>
  </si>
  <si>
    <t>Læsø 2018G</t>
  </si>
  <si>
    <t>825 Læsø</t>
  </si>
  <si>
    <t>Læsø</t>
  </si>
  <si>
    <t>Kommune: Læsø</t>
  </si>
  <si>
    <t>Stald og dyrkode</t>
  </si>
  <si>
    <t xml:space="preserve">Bilag K7 - Kulstoflager i landbrugsjord, permanent græs, vådområder og bebyggede områder </t>
  </si>
  <si>
    <t>Omlægge til natur (4% krav fra EU)</t>
  </si>
  <si>
    <t>Ålegræs</t>
  </si>
  <si>
    <t>Elektrificering af færge - ny færge</t>
  </si>
  <si>
    <t>TJ Diesel</t>
  </si>
  <si>
    <t xml:space="preserve"> Forbrug nationalt
[kton]</t>
  </si>
  <si>
    <t>Turisters elforbrug til biler</t>
  </si>
  <si>
    <t>Er ikke relevant grundet for lille produktionsomfang.</t>
  </si>
  <si>
    <t>Kommentarer til regnskabets beregningsmetode</t>
  </si>
  <si>
    <t>I regnskabet indregnes befolkningens forholdsmæssige andel af den nationale flytrafik. Idet Læsø's borgere må antages at flyve i samme omfang som andre danskere, må det antages at være en rimelig betragtning. Der kunne principielt laves en beregning af det konkrete forbrug til flytrafik til Læsø. Korrektion af regnskabet efter en sådan opgørelse vil dog bryde med gængs regnskabspraksis, og samtidig være med risiko for, at forbruget vil være større end på baggrund af beregningen i regnskabet. Samtidig er det på nuværende tidspunkt vanskeligt at pege på alternativer til fossile brændstoffer i flytrafikken, og resultatet af en konkret beregning kan være at illustrere højere udledninger fra Læsø samt mere begrænset mulighed for at gennemføre reduktioner.</t>
  </si>
  <si>
    <t>Der forventes en stigning i den nationale flytrafik. Reduktionsstien følger klimafremskrivningen, da muligheden for lokal påvirkning er begrænset.</t>
  </si>
  <si>
    <t>Der er enkelt vognmand på Læsø. Kommunen er i direkte dialog med vognmanden om omlægning til elektrificeret kørsel. Omlægningen forventes at være på linje med omlægningen i person- og varebiler</t>
  </si>
  <si>
    <t>Der er ikke registreret lavbundsjord/organisk jord i regnskabet. Derfor kan der ikke beregnes effekt af udtagning. Af samme grund er udtagning også sat til 0 i BAU.</t>
  </si>
  <si>
    <t>Biokul laves af landbrugets restprodukter eller træ. Ligesom med andre anlæg skal der et visat volumen til at drive et anlæg rentabelt. Dert vurderes, at Læsø er for lille til et biokulanlæg, og af den grund et tiltaget ikke relevant. Samtidig kan tildeling af biokul muligvis være i konflikt med Læsøs kulturarv og optagelse på Unescos verdensarvsliste.</t>
  </si>
  <si>
    <t>EU-krav om 4% udtagning til natur indgår ikke i Klimafremskrivningen for 2022, men forventes gennemført på Læsø i mindst samme grad som andre steder i landet.</t>
  </si>
  <si>
    <t>Læsø har spredt skov på meget store arealer i forhold til øens størrelse. I regnskabet er indregnet arealer svarende til 26% af øens samlede areal. Der er ikke tale om regulær skov, som den er kendt fra andre dele af landet, men høje bevoksninger som er tætte nok til at blive omfattet af den regnskabsmæssige definition på sov. En stor del af arealet findes mellem bebyggede områder (sommerhusområder) og som dele af arealer, der ier naturarealer og i andre sammenhænge defineret som eng eller salteng.</t>
  </si>
  <si>
    <t>Kommentarer til regnskabsmæssig opgørelse</t>
  </si>
  <si>
    <t>Der er ikke registreret lavbundsjord/organisk jord i regnskabet.</t>
  </si>
  <si>
    <r>
      <t>Læsø har en lang kystlinje. For 80 – 100 år siden voksede der tætte ålegræsenge langt ud i vandet rundt om det meste af Danmark - herunder Læsø. Der knytter sig en særlig kulturhistorie til ålæegræsset på læsø, hvor man historisk har brugt græsset til tagdækning. Grundet forurening med næringsstoffer og sygdom i græsset er det meste forsvundet gennem 1900-tallet, men der er mulighed for bevidst arbejde med at øge udbredelsen igen og derigennem samtidig opnå klimamæssige, kulturhistoriske og vandmiljømæssige/økosystemmæssige positive effekter. Ålegræs er den eneste græsart, der vokser i vand. En sund ålegræseng opsamler kulstof som den lagrer i havbunden under sig, svarende til ca. 2,2 ton kulstof/ha/år. hertil kommer en klimaeffekt fra opsamlet kvælstof i havet. Omregnet til CO</t>
    </r>
    <r>
      <rPr>
        <vertAlign val="subscript"/>
        <sz val="10"/>
        <rFont val="Arial"/>
        <family val="2"/>
      </rPr>
      <t>2</t>
    </r>
    <r>
      <rPr>
        <sz val="10"/>
        <rFont val="Arial"/>
        <family val="2"/>
      </rPr>
      <t>-ækvivalenter er der en forventet lagereffekt i ålegræs på 8,9 ton/ha. Samtidig fungerer den som yngleplads for fiskeyngel og smådyr, og er vigtig for et sundt hav-økosystem. Der er lavet forsøg med genetablering af ålegræs i indre danske farvande som er lovende.</t>
    </r>
  </si>
  <si>
    <t>I reduktionsstien er der indregnet etablering af ålegræs på 3% af det estimerede bruttopotentiale for ålegræs i 2030 stigende til 10% i 2050. Potentialevurderingen kan findes på følgende adresse: https://kglakademi.dk/project/rum-ved-vandet-1</t>
  </si>
  <si>
    <t>Læsøs kommercielle landbrug har gennem en årrække praktiseret skånsom jordbehandling og præcisionsgøskning på ca. 700 Ha. Effekten af dette er ikke indregnet i klimaregnskabet for Læsø. Effekten kan til gengæld indregens i reduktionsstien.</t>
  </si>
  <si>
    <t xml:space="preserve">Læsøs landbrug oplyser, at de praktiserer reduceret jordbehandling og præcosionsgøskning på ca. 700 ha. </t>
  </si>
  <si>
    <t>Potentialet for etablering af efterafgrøder er ansat svarende til de arealer, der er registreret med vårkorn i 2018. En del af dette areal vil der i forvejen være udlagt græs i, og derfor skønnes det, at der maksimalt kan etableres efterafgrøder svarende til 50% af arealet. Dertil skal der tages højde for et øget areal med solceller, som må forventes taget ud af det dyrkede areal.</t>
  </si>
  <si>
    <t>Der er opgjort et areal med økologisk produktion på 15% af det samlede dyrkede areal på Læsø.</t>
  </si>
  <si>
    <t xml:space="preserve">EU har en målsætning om, at 25% af Europas landbrug skal være økologisk inden 2030. På Læsø kan turisterhvervet have en positiv indvirkning på et ønske om at producere økologisk. Der er indlagt en målsætning om at nå op på 25% økologi inden 2030. Reduktionsfaktoren er en beregnet effekt ved omlægning af arealer til ren planteproduktion (overvejende effekt af reduceret brug af gødning), men med et øget areal med kvælstoffikserende planter. Det giver et potentiale for at fstholde en mindre kvægproduktion også efter omlægning. </t>
  </si>
  <si>
    <t>Mængden af husdyrgødning er for lav til rentabel produktion af biogas. Derfor er det ikke muligt, at aktivere biogas som reduktionstiltag i hveren BAU eller sti.</t>
  </si>
  <si>
    <t>Alle mink blev aflivet i 2020 og udgår derfor af fremtidige regnskaber. Aflivningen har karakter af et reduktionstiltag.</t>
  </si>
  <si>
    <t>Forsuring af gylle er et af flere tiltag, der indgår i Landbrugsaftalen fra oktober 2021. Landbrugsaftalen er dlvis indregnet i KF22, som normalt vil lægges til grund for udvikling af et BAU. Læsø adskiller sig fra andre kommuner ved at have et meget lille antal landbrugere, men med et ret stort areal. Aftaler med landbruget bliver derfor meget mere konkret end de generelle politiske vedtasgelser, der ligger til grund for et aftalepapir. Samtidig har landbruget en særlig funktion på Læsø som en del af opretholdelsen af et særligt kulturlandskab. Læsø Kommune mener derfor, at et BAU, der følger politiske vedtagelser, som bygger på udviklingen af et gennemsnitligt landbrug er af begrænset relevans for øen. Landbrugstiltag er derfor kun medtaget i BAU, hvor det allerede nu vides, at de er/vil blive gennemført konkret. Til gengæld er kommunen i vedvaredne dialog med de lokale landmænd om fremtidig udvikling af landbrugsproduktionen. Reduktionsstien vil derfor blive tilpasset løbende i takt med at konreteudviklingspunkter for bedrifterne bliver kendt.</t>
  </si>
  <si>
    <t>Se kommentar under forsuring af gylle.</t>
  </si>
  <si>
    <t>Personbiler, turister</t>
  </si>
  <si>
    <t>2030 El-forsyning til turisters elbiler</t>
  </si>
  <si>
    <t>Elforbrug BEV &amp; PHEV, 2030 inkl. turisters BEV og PHEV</t>
  </si>
  <si>
    <t>Omlægning af færger til el og optimeret drift</t>
  </si>
  <si>
    <t>Effektivisering af Margrethe</t>
  </si>
  <si>
    <t>Energiforbrug til elfærge</t>
  </si>
  <si>
    <t>Dieselforbrug 2020, Margrethe</t>
  </si>
  <si>
    <t>Dieselforbrug 2020, Ane</t>
  </si>
  <si>
    <t>Energiforbrug til Margrethe fra 2028</t>
  </si>
  <si>
    <t>Besparelse diesel</t>
  </si>
  <si>
    <r>
      <t>Ton CO</t>
    </r>
    <r>
      <rPr>
        <vertAlign val="subscript"/>
        <sz val="10"/>
        <rFont val="Arial"/>
        <family val="2"/>
      </rPr>
      <t>2</t>
    </r>
  </si>
  <si>
    <r>
      <t>CO</t>
    </r>
    <r>
      <rPr>
        <vertAlign val="subscript"/>
        <sz val="10"/>
        <rFont val="Arial"/>
        <family val="2"/>
      </rPr>
      <t>2</t>
    </r>
    <r>
      <rPr>
        <sz val="10"/>
        <rFont val="Arial"/>
        <family val="2"/>
      </rPr>
      <t>-reduktion i færgedrift</t>
    </r>
  </si>
  <si>
    <t>Sejlads med Margrethe fra 2028, andel af overfarter</t>
  </si>
  <si>
    <t>Elkøretøjer</t>
  </si>
  <si>
    <t>Færge</t>
  </si>
  <si>
    <t>Omregning i hektar kapacitet</t>
  </si>
  <si>
    <t>TJ/ha</t>
  </si>
  <si>
    <t>2018/2020</t>
  </si>
  <si>
    <t>Forskel i %, fra 1990 til 2018</t>
  </si>
  <si>
    <t>Store fjernvarmenet (&gt;500TJ)</t>
  </si>
  <si>
    <t>Mindre fjernvarmenet</t>
  </si>
  <si>
    <t>Behov for udbygning af elproduktion til fuld selvforsyning</t>
  </si>
  <si>
    <t>Elimport 2020</t>
  </si>
  <si>
    <t>Fra beregning i E-tiltag. Både nuværende elimport og stigning i elforbrug fra varmepumper, elbiler og færge skal dækkes ind.</t>
  </si>
  <si>
    <t>I stien reduceres der med den samlede nuværende indregnede udledning fra færgedrift. Se beregning i E-tiltag for konkret reduktion i udledninger fra færgedriften ved overgang til elfærge.</t>
  </si>
  <si>
    <t>biler</t>
  </si>
  <si>
    <t>Effekten i reduktionsstien er 0, da el regnes for 100% grøn fra 2030. Se beregning i E-tiltag for behov for udbygget elproduktion, hvis Læsø skal have en netto-0 import.</t>
  </si>
  <si>
    <t>Øvrige tiltag</t>
  </si>
  <si>
    <t>100% overgang til varmepumper</t>
  </si>
  <si>
    <t>Overgang til lokal biomasse</t>
  </si>
  <si>
    <t>Skyldes national forventning om 100% grøn el i DK fra 2030.</t>
  </si>
  <si>
    <t>Reduktioner i % Sti</t>
  </si>
  <si>
    <t>2005-2018 ha_18G</t>
  </si>
  <si>
    <t>1990-2018 ha_18G</t>
  </si>
  <si>
    <t>31.962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</si>
</sst>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43" formatCode="_ * #,##0.00_ ;_ * \-#,##0.00_ ;_ * &quot;-&quot;??_ ;_ @_ "/>
    <numFmt numFmtId="164" formatCode="_-* #,##0.00_-;\-* #,##0.00_-;_-* &quot;-&quot;??_-;_-@_-"/>
    <numFmt numFmtId="165" formatCode="_-* #,##0.00\ _k_r_._-;\-* #,##0.00\ _k_r_._-;_-* &quot;-&quot;??\ _k_r_._-;_-@_-"/>
    <numFmt numFmtId="166" formatCode="0.0"/>
    <numFmt numFmtId="167" formatCode="#,##0.0"/>
    <numFmt numFmtId="168" formatCode="_-* #,##0.00\ _k_r_-;\-* #,##0.00\ _k_r_-;_-* &quot;-&quot;??\ _k_r_-;_-@_-"/>
    <numFmt numFmtId="169" formatCode="###,\ ###,##0;[Red]\-###,##0;&quot;-&quot;"/>
    <numFmt numFmtId="170" formatCode="_(* #,##0.0_);_(* \(#,##0.0\);_(* &quot;-&quot;??_);_(@_)"/>
    <numFmt numFmtId="171" formatCode="#,##0.000"/>
    <numFmt numFmtId="172" formatCode="_(* #,##0.00_);_(* \(#,##0.00\);_(* &quot;-&quot;??_);_(@_)"/>
    <numFmt numFmtId="173" formatCode="_(* #,##0_);_(* \(#,##0\);_(* &quot;-&quot;??_);_(@_)"/>
    <numFmt numFmtId="174" formatCode="_(* #,##0.000_);_(* \(#,##0.000\);_(* &quot;-&quot;??_);_(@_)"/>
    <numFmt numFmtId="175" formatCode="_ * #,##0.0_ ;_ * \-#,##0.0_ ;_ * &quot;-&quot;??_ ;_ @_ "/>
    <numFmt numFmtId="176" formatCode="_ * #,##0_ ;_ * \-#,##0_ ;_ * &quot;-&quot;??_ ;_ @_ "/>
    <numFmt numFmtId="177" formatCode="_ * #,##0.0000_ ;_ * \-#,##0.0000_ ;_ * &quot;-&quot;??_ ;_ @_ "/>
    <numFmt numFmtId="178" formatCode="0.00000"/>
    <numFmt numFmtId="179" formatCode="#,##0.0000000000"/>
    <numFmt numFmtId="180" formatCode="0.000"/>
    <numFmt numFmtId="181" formatCode="0.0%"/>
    <numFmt numFmtId="182" formatCode="0.0000"/>
    <numFmt numFmtId="183" formatCode="0.000000000"/>
    <numFmt numFmtId="184" formatCode="_-* #,##0_-;\-* #,##0_-;_-* &quot;-&quot;??_-;_-@_-"/>
    <numFmt numFmtId="185" formatCode="0.000000"/>
    <numFmt numFmtId="186" formatCode="0.00000000000"/>
    <numFmt numFmtId="187" formatCode="#,##0.00_ ;\-#,##0.00\ "/>
    <numFmt numFmtId="188" formatCode="0.00000000"/>
    <numFmt numFmtId="189" formatCode="_-* #,##0\ _k_r_._-;\-* #,##0\ _k_r_._-;_-* &quot;-&quot;??\ _k_r_._-;_-@_-"/>
    <numFmt numFmtId="190" formatCode="#,##0.00_ ;[Red]\-#,##0.00\ "/>
    <numFmt numFmtId="191" formatCode="#,##0.000000"/>
    <numFmt numFmtId="192" formatCode="#,##0_ ;\-#,##0\ "/>
  </numFmts>
  <fonts count="27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6"/>
      <name val="Arial"/>
      <family val="2"/>
    </font>
    <font>
      <b/>
      <sz val="10"/>
      <name val="Arial"/>
      <family val="2"/>
    </font>
    <font>
      <sz val="10"/>
      <name val="Arial"/>
      <family val="2"/>
    </font>
    <font>
      <b/>
      <sz val="18"/>
      <name val="Arial"/>
      <family val="2"/>
    </font>
    <font>
      <b/>
      <vertAlign val="subscript"/>
      <sz val="10"/>
      <name val="Arial"/>
      <family val="2"/>
    </font>
    <font>
      <vertAlign val="subscript"/>
      <sz val="10"/>
      <name val="Arial"/>
      <family val="2"/>
    </font>
    <font>
      <sz val="14"/>
      <name val="Arial"/>
      <family val="2"/>
    </font>
    <font>
      <b/>
      <sz val="20"/>
      <name val="Arial"/>
      <family val="2"/>
    </font>
    <font>
      <b/>
      <sz val="12"/>
      <name val="Arial"/>
      <family val="2"/>
    </font>
    <font>
      <b/>
      <vertAlign val="subscript"/>
      <sz val="18"/>
      <name val="Arial"/>
      <family val="2"/>
    </font>
    <font>
      <sz val="9"/>
      <color indexed="81"/>
      <name val="Tahoma"/>
      <family val="2"/>
    </font>
    <font>
      <sz val="10"/>
      <name val="Arial"/>
      <family val="2"/>
    </font>
    <font>
      <b/>
      <sz val="36"/>
      <color rgb="FFFF0000"/>
      <name val="Arial"/>
      <family val="2"/>
    </font>
    <font>
      <b/>
      <sz val="9"/>
      <color indexed="81"/>
      <name val="Tahoma"/>
      <family val="2"/>
    </font>
    <font>
      <sz val="10"/>
      <name val="Courier"/>
      <family val="3"/>
    </font>
    <font>
      <sz val="10"/>
      <color rgb="FFFF0000"/>
      <name val="Arial"/>
      <family val="2"/>
    </font>
    <font>
      <sz val="11"/>
      <color rgb="FF006100"/>
      <name val="Calibri"/>
      <family val="2"/>
      <scheme val="minor"/>
    </font>
    <font>
      <sz val="11"/>
      <color rgb="FF9C0006"/>
      <name val="Calibri"/>
      <family val="2"/>
      <scheme val="minor"/>
    </font>
    <font>
      <sz val="8"/>
      <name val="Arial"/>
      <family val="2"/>
    </font>
    <font>
      <b/>
      <sz val="11"/>
      <color theme="1"/>
      <name val="Calibri"/>
      <family val="2"/>
      <scheme val="minor"/>
    </font>
    <font>
      <sz val="10"/>
      <color theme="1"/>
      <name val="Arial"/>
      <family val="2"/>
    </font>
    <font>
      <b/>
      <u/>
      <sz val="24"/>
      <color theme="1"/>
      <name val="Arial"/>
      <family val="2"/>
    </font>
    <font>
      <sz val="11"/>
      <color theme="1"/>
      <name val="Arial"/>
      <family val="2"/>
    </font>
    <font>
      <sz val="11"/>
      <color rgb="FFFF0000"/>
      <name val="Arial"/>
      <family val="2"/>
    </font>
    <font>
      <sz val="18"/>
      <color theme="1"/>
      <name val="Arial"/>
      <family val="2"/>
    </font>
    <font>
      <u/>
      <sz val="11"/>
      <color theme="1"/>
      <name val="Arial"/>
      <family val="2"/>
    </font>
    <font>
      <vertAlign val="superscript"/>
      <sz val="11"/>
      <color theme="1"/>
      <name val="Arial"/>
      <family val="2"/>
    </font>
    <font>
      <b/>
      <sz val="11"/>
      <color theme="1"/>
      <name val="Arial"/>
      <family val="2"/>
    </font>
    <font>
      <b/>
      <vertAlign val="subscript"/>
      <sz val="11"/>
      <color theme="1"/>
      <name val="Arial"/>
      <family val="2"/>
    </font>
    <font>
      <i/>
      <sz val="11"/>
      <color theme="1"/>
      <name val="Arial"/>
      <family val="2"/>
    </font>
    <font>
      <b/>
      <sz val="10"/>
      <color theme="1"/>
      <name val="Arial"/>
      <family val="2"/>
    </font>
    <font>
      <vertAlign val="subscript"/>
      <sz val="11"/>
      <color theme="1"/>
      <name val="Arial"/>
      <family val="2"/>
    </font>
    <font>
      <b/>
      <vertAlign val="subscript"/>
      <sz val="11"/>
      <color theme="1"/>
      <name val="Calibri"/>
      <family val="2"/>
      <scheme val="minor"/>
    </font>
    <font>
      <vertAlign val="subscript"/>
      <sz val="11"/>
      <color theme="1"/>
      <name val="Calibri"/>
      <family val="2"/>
      <scheme val="minor"/>
    </font>
    <font>
      <i/>
      <sz val="11"/>
      <color theme="1"/>
      <name val="Calibri"/>
      <family val="2"/>
      <scheme val="minor"/>
    </font>
    <font>
      <sz val="9"/>
      <color theme="1"/>
      <name val="Calibri"/>
      <family val="2"/>
      <scheme val="minor"/>
    </font>
    <font>
      <b/>
      <sz val="22"/>
      <color theme="1"/>
      <name val="Arial"/>
      <family val="2"/>
    </font>
    <font>
      <i/>
      <vertAlign val="subscript"/>
      <sz val="11"/>
      <color theme="1"/>
      <name val="Arial"/>
      <family val="2"/>
    </font>
    <font>
      <sz val="11"/>
      <name val="Arial"/>
      <family val="2"/>
    </font>
    <font>
      <b/>
      <sz val="11"/>
      <color rgb="FFFF0000"/>
      <name val="Arial"/>
      <family val="2"/>
    </font>
    <font>
      <sz val="11"/>
      <color indexed="8"/>
      <name val="Arial"/>
      <family val="2"/>
    </font>
    <font>
      <sz val="12"/>
      <name val="Arial"/>
      <family val="2"/>
    </font>
    <font>
      <b/>
      <sz val="16"/>
      <color theme="1"/>
      <name val="Arial"/>
      <family val="2"/>
    </font>
    <font>
      <vertAlign val="superscript"/>
      <sz val="11"/>
      <name val="Arial"/>
      <family val="2"/>
    </font>
    <font>
      <i/>
      <vertAlign val="superscript"/>
      <sz val="11"/>
      <color theme="1"/>
      <name val="Arial"/>
      <family val="2"/>
    </font>
    <font>
      <sz val="11"/>
      <color theme="4" tint="-0.249977111117893"/>
      <name val="Arial"/>
      <family val="2"/>
    </font>
    <font>
      <i/>
      <sz val="9"/>
      <name val="Arial"/>
      <family val="2"/>
    </font>
    <font>
      <sz val="11"/>
      <color rgb="FFFF0000"/>
      <name val="Calibri"/>
      <family val="2"/>
      <scheme val="minor"/>
    </font>
    <font>
      <sz val="11"/>
      <name val="Calibri"/>
      <family val="2"/>
      <scheme val="minor"/>
    </font>
    <font>
      <b/>
      <sz val="18"/>
      <color theme="1"/>
      <name val="Calibri"/>
      <family val="2"/>
      <scheme val="minor"/>
    </font>
    <font>
      <i/>
      <sz val="10"/>
      <name val="Arial"/>
      <family val="2"/>
    </font>
    <font>
      <b/>
      <sz val="16"/>
      <color theme="1"/>
      <name val="Calibri"/>
      <family val="2"/>
      <scheme val="minor"/>
    </font>
    <font>
      <b/>
      <sz val="10"/>
      <color rgb="FFFF0000"/>
      <name val="Arial"/>
      <family val="2"/>
    </font>
    <font>
      <sz val="10"/>
      <color theme="5" tint="-0.249977111117893"/>
      <name val="Arial"/>
      <family val="2"/>
    </font>
    <font>
      <b/>
      <u/>
      <sz val="22"/>
      <name val="Arial"/>
      <family val="2"/>
    </font>
    <font>
      <b/>
      <u/>
      <sz val="12"/>
      <name val="Arial"/>
      <family val="2"/>
    </font>
    <font>
      <b/>
      <i/>
      <sz val="10"/>
      <name val="Arial"/>
      <family val="2"/>
    </font>
    <font>
      <sz val="10"/>
      <color theme="1"/>
      <name val="Calibri"/>
      <family val="2"/>
      <scheme val="minor"/>
    </font>
    <font>
      <u/>
      <sz val="24"/>
      <color theme="1"/>
      <name val="Calibri"/>
      <family val="2"/>
      <scheme val="minor"/>
    </font>
    <font>
      <sz val="10"/>
      <name val="Calibri"/>
      <family val="2"/>
      <scheme val="minor"/>
    </font>
    <font>
      <sz val="10"/>
      <color rgb="FFFF0000"/>
      <name val="Calibri"/>
      <family val="2"/>
      <scheme val="minor"/>
    </font>
    <font>
      <b/>
      <sz val="11"/>
      <color rgb="FFFF0000"/>
      <name val="Calibri"/>
      <family val="2"/>
      <scheme val="minor"/>
    </font>
    <font>
      <b/>
      <sz val="10"/>
      <name val="Calibri"/>
      <family val="2"/>
      <scheme val="minor"/>
    </font>
    <font>
      <b/>
      <sz val="11"/>
      <name val="Calibri"/>
      <family val="2"/>
      <scheme val="minor"/>
    </font>
    <font>
      <b/>
      <i/>
      <sz val="10"/>
      <name val="Calibri"/>
      <family val="2"/>
      <scheme val="minor"/>
    </font>
    <font>
      <vertAlign val="subscript"/>
      <sz val="10"/>
      <color theme="1"/>
      <name val="Arial"/>
      <family val="2"/>
    </font>
    <font>
      <i/>
      <sz val="11"/>
      <name val="Arial"/>
      <family val="2"/>
    </font>
    <font>
      <i/>
      <sz val="10"/>
      <color theme="1"/>
      <name val="Arial"/>
      <family val="2"/>
    </font>
    <font>
      <sz val="10"/>
      <name val="Arial"/>
      <family val="2"/>
    </font>
    <font>
      <sz val="10"/>
      <color theme="0"/>
      <name val="Calibri"/>
      <family val="2"/>
      <scheme val="minor"/>
    </font>
    <font>
      <i/>
      <sz val="9"/>
      <color theme="1"/>
      <name val="Calibri"/>
      <family val="2"/>
      <scheme val="minor"/>
    </font>
    <font>
      <b/>
      <sz val="14"/>
      <name val="Calibri"/>
      <family val="2"/>
      <scheme val="minor"/>
    </font>
    <font>
      <sz val="9"/>
      <name val="Times New Roman"/>
      <family val="1"/>
    </font>
    <font>
      <b/>
      <vertAlign val="superscript"/>
      <sz val="11"/>
      <color theme="1"/>
      <name val="Calibri"/>
      <family val="2"/>
      <scheme val="minor"/>
    </font>
    <font>
      <i/>
      <vertAlign val="superscript"/>
      <sz val="9"/>
      <color theme="1"/>
      <name val="Calibri"/>
      <family val="2"/>
      <scheme val="minor"/>
    </font>
    <font>
      <sz val="9"/>
      <color indexed="8"/>
      <name val="Times New Roman"/>
      <family val="1"/>
    </font>
    <font>
      <i/>
      <sz val="9"/>
      <name val="Calibri"/>
      <family val="2"/>
      <scheme val="minor"/>
    </font>
    <font>
      <i/>
      <vertAlign val="superscript"/>
      <sz val="9"/>
      <name val="Calibri"/>
      <family val="2"/>
      <scheme val="minor"/>
    </font>
    <font>
      <b/>
      <sz val="9"/>
      <name val="Calibri"/>
      <family val="2"/>
      <scheme val="minor"/>
    </font>
    <font>
      <sz val="10"/>
      <name val="Times New Roman"/>
      <family val="1"/>
    </font>
    <font>
      <b/>
      <sz val="9"/>
      <color indexed="8"/>
      <name val="Times New Roman"/>
      <family val="1"/>
    </font>
    <font>
      <b/>
      <vertAlign val="subscript"/>
      <sz val="11"/>
      <name val="Calibri"/>
      <family val="2"/>
      <scheme val="minor"/>
    </font>
    <font>
      <vertAlign val="superscript"/>
      <sz val="11"/>
      <name val="Calibri"/>
      <family val="2"/>
      <scheme val="minor"/>
    </font>
    <font>
      <b/>
      <vertAlign val="superscript"/>
      <sz val="11"/>
      <name val="Calibri"/>
      <family val="2"/>
      <scheme val="minor"/>
    </font>
    <font>
      <sz val="11"/>
      <color rgb="FF000000"/>
      <name val="Calibri"/>
      <family val="2"/>
      <scheme val="minor"/>
    </font>
    <font>
      <b/>
      <sz val="14"/>
      <color rgb="FFFF0000"/>
      <name val="Calibri"/>
      <family val="2"/>
      <scheme val="minor"/>
    </font>
    <font>
      <u/>
      <sz val="11"/>
      <color theme="10"/>
      <name val="Calibri"/>
      <family val="2"/>
      <scheme val="minor"/>
    </font>
    <font>
      <b/>
      <sz val="14"/>
      <color theme="1"/>
      <name val="Calibri"/>
      <family val="2"/>
      <scheme val="minor"/>
    </font>
    <font>
      <b/>
      <sz val="9"/>
      <name val="Times New Roman"/>
      <family val="1"/>
    </font>
    <font>
      <vertAlign val="superscript"/>
      <sz val="9"/>
      <name val="Times New Roman"/>
      <family val="1"/>
    </font>
    <font>
      <vertAlign val="subscript"/>
      <sz val="9"/>
      <name val="Times New Roman"/>
      <family val="1"/>
    </font>
    <font>
      <b/>
      <vertAlign val="superscript"/>
      <sz val="9"/>
      <name val="Times New Roman"/>
      <family val="1"/>
    </font>
    <font>
      <i/>
      <sz val="9"/>
      <name val="Times New Roman"/>
      <family val="1"/>
    </font>
    <font>
      <b/>
      <vertAlign val="subscript"/>
      <sz val="9"/>
      <name val="Times New Roman"/>
      <family val="1"/>
    </font>
    <font>
      <sz val="12"/>
      <name val="Times New Roman"/>
      <family val="1"/>
    </font>
    <font>
      <b/>
      <sz val="12"/>
      <name val="Times New Roman"/>
      <family val="1"/>
    </font>
    <font>
      <b/>
      <vertAlign val="subscript"/>
      <sz val="12"/>
      <name val="Times New Roman"/>
      <family val="1"/>
    </font>
    <font>
      <sz val="9"/>
      <color theme="0"/>
      <name val="Times New Roman"/>
      <family val="1"/>
    </font>
    <font>
      <b/>
      <strike/>
      <vertAlign val="superscript"/>
      <sz val="9"/>
      <color indexed="8"/>
      <name val="Times New Roman"/>
      <family val="1"/>
    </font>
    <font>
      <b/>
      <i/>
      <sz val="9"/>
      <name val="Times New Roman"/>
      <family val="1"/>
    </font>
    <font>
      <b/>
      <i/>
      <vertAlign val="superscript"/>
      <sz val="9"/>
      <name val="Times New Roman"/>
      <family val="1"/>
    </font>
    <font>
      <b/>
      <sz val="9"/>
      <color theme="0"/>
      <name val="Times New Roman"/>
      <family val="1"/>
    </font>
    <font>
      <sz val="11"/>
      <color indexed="8"/>
      <name val="Calibri"/>
      <family val="2"/>
    </font>
    <font>
      <strike/>
      <vertAlign val="superscript"/>
      <sz val="9"/>
      <color indexed="10"/>
      <name val="Times New Roman"/>
      <family val="1"/>
    </font>
    <font>
      <sz val="9"/>
      <name val="Times New Roman"/>
      <family val="1"/>
      <charset val="204"/>
    </font>
    <font>
      <b/>
      <vertAlign val="superscript"/>
      <sz val="12"/>
      <name val="Times New Roman"/>
      <family val="1"/>
    </font>
    <font>
      <b/>
      <sz val="10"/>
      <name val="Times New Roman"/>
      <family val="1"/>
    </font>
    <font>
      <vertAlign val="superscript"/>
      <sz val="9"/>
      <color indexed="8"/>
      <name val="Times New Roman"/>
      <family val="1"/>
    </font>
    <font>
      <vertAlign val="subscript"/>
      <sz val="9"/>
      <color indexed="8"/>
      <name val="Times New Roman"/>
      <family val="1"/>
    </font>
    <font>
      <b/>
      <vertAlign val="subscript"/>
      <sz val="9"/>
      <color indexed="8"/>
      <name val="Times New Roman"/>
      <family val="1"/>
    </font>
    <font>
      <b/>
      <vertAlign val="superscript"/>
      <sz val="9"/>
      <color indexed="8"/>
      <name val="Times New Roman"/>
      <family val="1"/>
    </font>
    <font>
      <sz val="12"/>
      <color indexed="8"/>
      <name val="Times New Roman"/>
      <family val="1"/>
    </font>
    <font>
      <b/>
      <sz val="12"/>
      <color indexed="8"/>
      <name val="Times New Roman"/>
      <family val="1"/>
    </font>
    <font>
      <vertAlign val="superscript"/>
      <sz val="9"/>
      <color theme="0"/>
      <name val="Times New Roman"/>
      <family val="1"/>
    </font>
    <font>
      <sz val="8.5"/>
      <color theme="1"/>
      <name val="Arial"/>
      <family val="2"/>
    </font>
    <font>
      <u/>
      <sz val="8.5"/>
      <color rgb="FF000000"/>
      <name val="Arial"/>
      <family val="2"/>
    </font>
    <font>
      <sz val="8.5"/>
      <name val="Arial"/>
      <family val="2"/>
    </font>
    <font>
      <u/>
      <sz val="8.5"/>
      <color theme="1"/>
      <name val="Arial"/>
      <family val="2"/>
    </font>
    <font>
      <sz val="11"/>
      <color theme="1"/>
      <name val="Book Antiqua"/>
      <family val="1"/>
    </font>
    <font>
      <sz val="14"/>
      <color theme="1"/>
      <name val="Book Antiqua"/>
      <family val="1"/>
    </font>
    <font>
      <vertAlign val="superscript"/>
      <sz val="8.5"/>
      <color theme="1"/>
      <name val="Arial"/>
      <family val="2"/>
    </font>
    <font>
      <sz val="8.5"/>
      <color rgb="FF000000"/>
      <name val="Arial"/>
      <family val="2"/>
    </font>
    <font>
      <sz val="10"/>
      <color theme="1"/>
      <name val="Times New Roman"/>
      <family val="1"/>
    </font>
    <font>
      <vertAlign val="subscript"/>
      <sz val="8.5"/>
      <color theme="1"/>
      <name val="Arial"/>
      <family val="2"/>
    </font>
    <font>
      <b/>
      <sz val="8.5"/>
      <color theme="1"/>
      <name val="Arial"/>
      <family val="2"/>
    </font>
    <font>
      <sz val="8.5"/>
      <color theme="1"/>
      <name val="Book Antiqua"/>
      <family val="1"/>
    </font>
    <font>
      <sz val="10"/>
      <color indexed="8"/>
      <name val="Arial"/>
      <family val="2"/>
    </font>
    <font>
      <sz val="14"/>
      <color rgb="FF002E2E"/>
      <name val="Arial"/>
      <family val="2"/>
    </font>
    <font>
      <i/>
      <vertAlign val="subscript"/>
      <sz val="11"/>
      <color theme="1"/>
      <name val="Calibri"/>
      <family val="2"/>
      <scheme val="minor"/>
    </font>
    <font>
      <sz val="11"/>
      <color rgb="FF000000"/>
      <name val="Calibri"/>
      <family val="2"/>
    </font>
    <font>
      <i/>
      <sz val="11"/>
      <color rgb="FF000000"/>
      <name val="Calibri"/>
      <family val="2"/>
    </font>
    <font>
      <b/>
      <sz val="11"/>
      <color rgb="FF000000"/>
      <name val="Calibri"/>
      <family val="2"/>
    </font>
    <font>
      <b/>
      <sz val="13"/>
      <color rgb="FF000000"/>
      <name val="Calibri"/>
      <family val="2"/>
    </font>
    <font>
      <b/>
      <vertAlign val="subscript"/>
      <sz val="16"/>
      <color theme="1"/>
      <name val="Calibri"/>
      <family val="2"/>
      <scheme val="minor"/>
    </font>
    <font>
      <sz val="11"/>
      <color theme="0"/>
      <name val="Calibri"/>
      <family val="2"/>
      <scheme val="minor"/>
    </font>
    <font>
      <i/>
      <sz val="12"/>
      <color theme="1"/>
      <name val="Calibri"/>
      <family val="2"/>
      <scheme val="minor"/>
    </font>
    <font>
      <sz val="9"/>
      <name val="Calibri"/>
      <family val="2"/>
      <scheme val="minor"/>
    </font>
    <font>
      <i/>
      <vertAlign val="subscript"/>
      <sz val="9"/>
      <color theme="1"/>
      <name val="Calibri"/>
      <family val="2"/>
      <scheme val="minor"/>
    </font>
    <font>
      <sz val="9"/>
      <name val="Arial"/>
      <family val="2"/>
    </font>
    <font>
      <i/>
      <vertAlign val="superscript"/>
      <sz val="11"/>
      <color theme="1"/>
      <name val="Calibri"/>
      <family val="2"/>
      <scheme val="minor"/>
    </font>
    <font>
      <i/>
      <sz val="11"/>
      <name val="Calibri"/>
      <family val="2"/>
      <scheme val="minor"/>
    </font>
    <font>
      <b/>
      <sz val="16"/>
      <name val="Calibri"/>
      <family val="2"/>
      <scheme val="minor"/>
    </font>
    <font>
      <b/>
      <vertAlign val="subscript"/>
      <sz val="16"/>
      <name val="Calibri"/>
      <family val="2"/>
      <scheme val="minor"/>
    </font>
    <font>
      <i/>
      <vertAlign val="superscript"/>
      <sz val="12"/>
      <name val="Calibri"/>
      <family val="2"/>
      <scheme val="minor"/>
    </font>
    <font>
      <i/>
      <sz val="8"/>
      <name val="Calibri"/>
      <family val="2"/>
      <scheme val="minor"/>
    </font>
    <font>
      <sz val="12"/>
      <color theme="1"/>
      <name val="Calibri"/>
      <family val="2"/>
      <scheme val="minor"/>
    </font>
    <font>
      <vertAlign val="superscript"/>
      <sz val="12"/>
      <name val="Calibri"/>
      <family val="2"/>
      <scheme val="minor"/>
    </font>
    <font>
      <vertAlign val="subscript"/>
      <sz val="11"/>
      <name val="Calibri"/>
      <family val="2"/>
      <scheme val="minor"/>
    </font>
    <font>
      <sz val="12"/>
      <color rgb="FFFFFFFF"/>
      <name val="Calibri"/>
      <family val="2"/>
    </font>
    <font>
      <sz val="11"/>
      <color rgb="FFFFFFFF"/>
      <name val="Calibri"/>
      <family val="2"/>
    </font>
    <font>
      <sz val="12"/>
      <color theme="0"/>
      <name val="Calibri"/>
      <family val="2"/>
      <scheme val="minor"/>
    </font>
    <font>
      <vertAlign val="superscript"/>
      <sz val="11"/>
      <color theme="1"/>
      <name val="Calibri"/>
      <family val="2"/>
      <scheme val="minor"/>
    </font>
    <font>
      <sz val="22"/>
      <color theme="1"/>
      <name val="Calibri"/>
      <family val="2"/>
      <scheme val="minor"/>
    </font>
    <font>
      <i/>
      <vertAlign val="subscript"/>
      <sz val="9"/>
      <name val="Calibri"/>
      <family val="2"/>
      <scheme val="minor"/>
    </font>
    <font>
      <i/>
      <sz val="8"/>
      <color theme="1"/>
      <name val="Calibri"/>
      <family val="2"/>
      <scheme val="minor"/>
    </font>
    <font>
      <b/>
      <sz val="16"/>
      <color rgb="FFFF0000"/>
      <name val="Calibri"/>
      <family val="2"/>
      <scheme val="minor"/>
    </font>
    <font>
      <sz val="18"/>
      <color rgb="FFFF0000"/>
      <name val="Calibri"/>
      <family val="2"/>
      <scheme val="minor"/>
    </font>
    <font>
      <b/>
      <i/>
      <sz val="9"/>
      <color theme="1"/>
      <name val="Calibri"/>
      <family val="2"/>
      <scheme val="minor"/>
    </font>
    <font>
      <b/>
      <sz val="12"/>
      <color theme="1"/>
      <name val="Calibri"/>
      <family val="2"/>
      <scheme val="minor"/>
    </font>
    <font>
      <u/>
      <sz val="11"/>
      <color rgb="FFFFC000"/>
      <name val="Calibri"/>
      <family val="2"/>
      <scheme val="minor"/>
    </font>
    <font>
      <u/>
      <sz val="11"/>
      <color rgb="FF7030A0"/>
      <name val="Calibri"/>
      <family val="2"/>
      <scheme val="minor"/>
    </font>
    <font>
      <u/>
      <sz val="11"/>
      <color rgb="FFFF0000"/>
      <name val="Calibri"/>
      <family val="2"/>
      <scheme val="minor"/>
    </font>
    <font>
      <u/>
      <sz val="11"/>
      <color theme="4" tint="0.59999389629810485"/>
      <name val="Calibri"/>
      <family val="2"/>
      <scheme val="minor"/>
    </font>
    <font>
      <u/>
      <sz val="11"/>
      <color theme="0" tint="-0.34998626667073579"/>
      <name val="Calibri"/>
      <family val="2"/>
      <scheme val="minor"/>
    </font>
    <font>
      <u/>
      <sz val="11"/>
      <color theme="0" tint="-0.14999847407452621"/>
      <name val="Calibri"/>
      <family val="2"/>
      <scheme val="minor"/>
    </font>
    <font>
      <u/>
      <sz val="11"/>
      <color theme="0" tint="-0.499984740745262"/>
      <name val="Calibri"/>
      <family val="2"/>
      <scheme val="minor"/>
    </font>
    <font>
      <u/>
      <sz val="11"/>
      <name val="Calibri"/>
      <family val="2"/>
      <scheme val="minor"/>
    </font>
    <font>
      <u/>
      <sz val="18"/>
      <color theme="3" tint="-0.249977111117893"/>
      <name val="Calibri"/>
      <family val="2"/>
      <scheme val="minor"/>
    </font>
    <font>
      <sz val="10"/>
      <color theme="0" tint="-0.14999847407452621"/>
      <name val="Calibri"/>
      <family val="2"/>
      <scheme val="minor"/>
    </font>
    <font>
      <sz val="10"/>
      <color theme="0" tint="-0.34998626667073579"/>
      <name val="Calibri"/>
      <family val="2"/>
      <scheme val="minor"/>
    </font>
    <font>
      <sz val="10"/>
      <color theme="0" tint="-0.499984740745262"/>
      <name val="Calibri"/>
      <family val="2"/>
      <scheme val="minor"/>
    </font>
    <font>
      <sz val="11"/>
      <color rgb="FFFFE9A3"/>
      <name val="Calibri"/>
      <family val="2"/>
      <scheme val="minor"/>
    </font>
    <font>
      <sz val="11"/>
      <color rgb="FF1F497D"/>
      <name val="Calibri"/>
      <family val="2"/>
      <scheme val="minor"/>
    </font>
    <font>
      <b/>
      <sz val="11"/>
      <color rgb="FF1F497D"/>
      <name val="Calibri"/>
      <family val="2"/>
      <scheme val="minor"/>
    </font>
    <font>
      <sz val="11"/>
      <color theme="4"/>
      <name val="Calibri"/>
      <family val="2"/>
      <scheme val="minor"/>
    </font>
    <font>
      <sz val="11"/>
      <color rgb="FFC00000"/>
      <name val="Calibri"/>
      <family val="2"/>
      <scheme val="minor"/>
    </font>
    <font>
      <sz val="10"/>
      <name val="MS Sans Serif"/>
    </font>
    <font>
      <sz val="10"/>
      <name val="MS Sans Serif"/>
      <family val="2"/>
    </font>
    <font>
      <vertAlign val="subscript"/>
      <sz val="8"/>
      <name val="Arial"/>
      <family val="2"/>
    </font>
    <font>
      <b/>
      <sz val="8"/>
      <name val="Arial"/>
      <family val="2"/>
    </font>
    <font>
      <sz val="8"/>
      <color rgb="FFFF0000"/>
      <name val="Arial"/>
      <family val="2"/>
    </font>
    <font>
      <sz val="7"/>
      <name val="Arial"/>
      <family val="2"/>
    </font>
    <font>
      <u/>
      <sz val="10"/>
      <color indexed="12"/>
      <name val="MS Sans Serif"/>
      <family val="2"/>
    </font>
    <font>
      <u/>
      <sz val="8"/>
      <color indexed="12"/>
      <name val="Arial"/>
      <family val="2"/>
    </font>
    <font>
      <sz val="8"/>
      <color theme="0"/>
      <name val="Arial"/>
      <family val="2"/>
    </font>
    <font>
      <b/>
      <sz val="11"/>
      <color theme="0"/>
      <name val="Calibri"/>
      <family val="2"/>
      <scheme val="minor"/>
    </font>
    <font>
      <sz val="20"/>
      <color theme="1"/>
      <name val="Calibri"/>
      <family val="2"/>
      <scheme val="minor"/>
    </font>
    <font>
      <sz val="20"/>
      <color theme="1"/>
      <name val="Calibri"/>
      <family val="2"/>
    </font>
    <font>
      <strike/>
      <sz val="9"/>
      <color indexed="8"/>
      <name val="Times New Roman"/>
      <family val="1"/>
    </font>
    <font>
      <strike/>
      <sz val="9"/>
      <name val="Times New Roman"/>
      <family val="1"/>
    </font>
    <font>
      <i/>
      <u/>
      <sz val="16"/>
      <color theme="0" tint="-0.499984740745262"/>
      <name val="Calibri"/>
      <family val="2"/>
      <scheme val="minor"/>
    </font>
    <font>
      <u/>
      <sz val="11"/>
      <color theme="5" tint="0.59999389629810485"/>
      <name val="Calibri"/>
      <family val="2"/>
      <scheme val="minor"/>
    </font>
    <font>
      <sz val="10"/>
      <color theme="7" tint="-0.249977111117893"/>
      <name val="Calibri"/>
      <family val="2"/>
      <scheme val="minor"/>
    </font>
    <font>
      <b/>
      <sz val="14"/>
      <name val="Arial"/>
      <family val="2"/>
    </font>
    <font>
      <u/>
      <sz val="11"/>
      <color theme="7" tint="0.39997558519241921"/>
      <name val="Calibri"/>
      <family val="2"/>
      <scheme val="minor"/>
    </font>
    <font>
      <b/>
      <sz val="11"/>
      <name val="Arial"/>
      <family val="2"/>
    </font>
    <font>
      <b/>
      <u/>
      <sz val="16"/>
      <color rgb="FFFF0000"/>
      <name val="Calibri"/>
      <family val="2"/>
      <scheme val="minor"/>
    </font>
    <font>
      <sz val="14"/>
      <color rgb="FF002E2E"/>
      <name val="Calibri"/>
      <family val="2"/>
      <scheme val="minor"/>
    </font>
    <font>
      <b/>
      <sz val="8"/>
      <color rgb="FF202124"/>
      <name val="Calibri"/>
      <family val="2"/>
      <scheme val="minor"/>
    </font>
    <font>
      <b/>
      <sz val="12"/>
      <name val="Calibri"/>
      <family val="2"/>
      <scheme val="minor"/>
    </font>
    <font>
      <sz val="12"/>
      <name val="Calibri"/>
      <family val="2"/>
      <scheme val="minor"/>
    </font>
    <font>
      <sz val="10"/>
      <color theme="7" tint="0.39997558519241921"/>
      <name val="Calibri"/>
      <family val="2"/>
      <scheme val="minor"/>
    </font>
    <font>
      <sz val="10"/>
      <color theme="4" tint="0.59999389629810485"/>
      <name val="Calibri"/>
      <family val="2"/>
      <scheme val="minor"/>
    </font>
    <font>
      <sz val="10"/>
      <color theme="4" tint="-0.249977111117893"/>
      <name val="Calibri"/>
      <family val="2"/>
      <scheme val="minor"/>
    </font>
    <font>
      <u/>
      <sz val="11"/>
      <color theme="3" tint="0.59999389629810485"/>
      <name val="Calibri"/>
      <family val="2"/>
      <scheme val="minor"/>
    </font>
    <font>
      <sz val="10"/>
      <color theme="3" tint="0.59999389629810485"/>
      <name val="Calibri"/>
      <family val="2"/>
      <scheme val="minor"/>
    </font>
    <font>
      <sz val="10"/>
      <color theme="3" tint="0.39997558519241921"/>
      <name val="Calibri"/>
      <family val="2"/>
      <scheme val="minor"/>
    </font>
    <font>
      <u/>
      <sz val="11"/>
      <color theme="3" tint="-0.249977111117893"/>
      <name val="Calibri"/>
      <family val="2"/>
      <scheme val="minor"/>
    </font>
    <font>
      <u/>
      <sz val="11"/>
      <color theme="3" tint="0.79998168889431442"/>
      <name val="Calibri"/>
      <family val="2"/>
      <scheme val="minor"/>
    </font>
    <font>
      <b/>
      <sz val="10"/>
      <color rgb="FFFF0000"/>
      <name val="Calibri"/>
      <family val="2"/>
      <scheme val="minor"/>
    </font>
    <font>
      <b/>
      <sz val="9"/>
      <name val="Arial"/>
      <family val="2"/>
    </font>
    <font>
      <u/>
      <sz val="10"/>
      <color theme="10"/>
      <name val="Arial"/>
      <family val="2"/>
    </font>
    <font>
      <u/>
      <sz val="10"/>
      <name val="Arial"/>
      <family val="2"/>
    </font>
    <font>
      <vertAlign val="superscript"/>
      <sz val="9"/>
      <color indexed="81"/>
      <name val="Tahoma"/>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rgb="FF9C6500"/>
      <name val="Calibri"/>
      <family val="2"/>
      <scheme val="minor"/>
    </font>
    <font>
      <sz val="8"/>
      <name val="Arial"/>
      <family val="2"/>
    </font>
    <font>
      <b/>
      <vertAlign val="subscript"/>
      <sz val="10"/>
      <color theme="1"/>
      <name val="Arial"/>
      <family val="2"/>
    </font>
    <font>
      <sz val="11"/>
      <color rgb="FF0070C0"/>
      <name val="Calibri"/>
      <family val="2"/>
      <scheme val="minor"/>
    </font>
    <font>
      <u/>
      <sz val="11"/>
      <color theme="1"/>
      <name val="Calibri"/>
      <family val="2"/>
      <scheme val="minor"/>
    </font>
    <font>
      <b/>
      <sz val="18"/>
      <color theme="1"/>
      <name val="Arial"/>
      <family val="2"/>
    </font>
    <font>
      <sz val="10"/>
      <color rgb="FF444444"/>
      <name val="Arial"/>
      <family val="2"/>
    </font>
    <font>
      <b/>
      <i/>
      <sz val="11"/>
      <name val="Arial"/>
      <family val="2"/>
    </font>
    <font>
      <b/>
      <vertAlign val="subscript"/>
      <sz val="16"/>
      <name val="Arial"/>
      <family val="2"/>
    </font>
    <font>
      <u/>
      <sz val="11"/>
      <color rgb="FFDD0BC9"/>
      <name val="Calibri"/>
      <family val="2"/>
      <scheme val="minor"/>
    </font>
    <font>
      <b/>
      <sz val="14"/>
      <color theme="0"/>
      <name val="Arial"/>
      <family val="2"/>
    </font>
    <font>
      <u/>
      <sz val="11"/>
      <color rgb="FFFF0000"/>
      <name val="Arial"/>
      <family val="2"/>
    </font>
    <font>
      <b/>
      <i/>
      <sz val="14"/>
      <color rgb="FF000000"/>
      <name val="Arial"/>
      <family val="2"/>
    </font>
    <font>
      <vertAlign val="subscript"/>
      <sz val="11"/>
      <name val="Arial"/>
      <family val="2"/>
    </font>
    <font>
      <sz val="11"/>
      <color theme="0" tint="-0.14999847407452621"/>
      <name val="Arial"/>
      <family val="2"/>
    </font>
    <font>
      <sz val="9"/>
      <name val="Times New Roman"/>
      <family val="1"/>
    </font>
    <font>
      <u/>
      <sz val="11"/>
      <color theme="0" tint="-0.249977111117893"/>
      <name val="Calibri"/>
      <family val="2"/>
      <scheme val="minor"/>
    </font>
    <font>
      <sz val="11"/>
      <name val="Calibri"/>
      <family val="2"/>
    </font>
    <font>
      <sz val="11"/>
      <name val="Arial"/>
    </font>
    <font>
      <b/>
      <sz val="11"/>
      <name val="Arial"/>
    </font>
  </fonts>
  <fills count="89">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4CCC4"/>
        <bgColor indexed="64"/>
      </patternFill>
    </fill>
    <fill>
      <patternFill patternType="solid">
        <fgColor rgb="FFC6EFCE"/>
      </patternFill>
    </fill>
    <fill>
      <patternFill patternType="solid">
        <fgColor rgb="FFFFC7CE"/>
      </patternFill>
    </fill>
    <fill>
      <patternFill patternType="solid">
        <fgColor theme="9" tint="0.59999389629810485"/>
        <bgColor indexed="65"/>
      </patternFill>
    </fill>
    <fill>
      <patternFill patternType="solid">
        <fgColor theme="0" tint="-0.14999847407452621"/>
        <bgColor indexed="64"/>
      </patternFill>
    </fill>
    <fill>
      <patternFill patternType="solid">
        <fgColor theme="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5" tint="0.39997558519241921"/>
        <bgColor indexed="64"/>
      </patternFill>
    </fill>
    <fill>
      <patternFill patternType="solid">
        <fgColor rgb="FFFFCC99"/>
      </patternFill>
    </fill>
    <fill>
      <patternFill patternType="solid">
        <fgColor indexed="47"/>
        <bgColor indexed="64"/>
      </patternFill>
    </fill>
    <fill>
      <patternFill patternType="solid">
        <fgColor rgb="FFFFFFFF"/>
      </patternFill>
    </fill>
    <fill>
      <patternFill patternType="solid">
        <fgColor rgb="FFFFFFFF"/>
        <bgColor indexed="64"/>
      </patternFill>
    </fill>
    <fill>
      <patternFill patternType="solid">
        <fgColor rgb="FFD9D9D9"/>
        <bgColor indexed="64"/>
      </patternFill>
    </fill>
    <fill>
      <patternFill patternType="solid">
        <fgColor rgb="FFFF0000"/>
        <bgColor indexed="64"/>
      </patternFill>
    </fill>
    <fill>
      <patternFill patternType="solid">
        <fgColor indexed="9"/>
        <bgColor indexed="64"/>
      </patternFill>
    </fill>
    <fill>
      <patternFill patternType="solid">
        <fgColor indexed="42"/>
        <bgColor indexed="64"/>
      </patternFill>
    </fill>
    <fill>
      <patternFill patternType="solid">
        <fgColor rgb="FFCCFFCC"/>
      </patternFill>
    </fill>
    <fill>
      <patternFill patternType="solid">
        <fgColor rgb="FF969696"/>
      </patternFill>
    </fill>
    <fill>
      <patternFill patternType="solid">
        <fgColor indexed="55"/>
        <bgColor indexed="64"/>
      </patternFill>
    </fill>
    <fill>
      <patternFill patternType="solid">
        <fgColor theme="7" tint="0.79998168889431442"/>
        <bgColor indexed="64"/>
      </patternFill>
    </fill>
    <fill>
      <patternFill patternType="solid">
        <fgColor theme="7" tint="0.79998168889431442"/>
        <bgColor indexed="0"/>
      </patternFill>
    </fill>
    <fill>
      <patternFill patternType="solid">
        <fgColor theme="4" tint="0.59999389629810485"/>
        <bgColor indexed="64"/>
      </patternFill>
    </fill>
    <fill>
      <patternFill patternType="solid">
        <fgColor rgb="FFFFFF00"/>
        <bgColor indexed="64"/>
      </patternFill>
    </fill>
    <fill>
      <patternFill patternType="solid">
        <fgColor theme="2" tint="-9.9978637043366805E-2"/>
        <bgColor indexed="0"/>
      </patternFill>
    </fill>
    <fill>
      <patternFill patternType="solid">
        <fgColor indexed="22"/>
        <bgColor indexed="0"/>
      </patternFill>
    </fill>
    <fill>
      <patternFill patternType="solid">
        <fgColor rgb="FFFFA07A"/>
        <bgColor rgb="FFFFA07A"/>
      </patternFill>
    </fill>
    <fill>
      <patternFill patternType="solid">
        <fgColor theme="4" tint="0.39997558519241921"/>
        <bgColor indexed="64"/>
      </patternFill>
    </fill>
    <fill>
      <patternFill patternType="solid">
        <fgColor rgb="FF4F81BD"/>
        <bgColor indexed="64"/>
      </patternFill>
    </fill>
    <fill>
      <patternFill patternType="solid">
        <fgColor theme="4"/>
        <bgColor indexed="64"/>
      </patternFill>
    </fill>
    <fill>
      <patternFill patternType="solid">
        <fgColor rgb="FFF5F5F5"/>
        <bgColor indexed="64"/>
      </patternFill>
    </fill>
    <fill>
      <patternFill patternType="solid">
        <fgColor theme="4" tint="0.39997558519241921"/>
        <bgColor theme="4" tint="0.59999389629810485"/>
      </patternFill>
    </fill>
    <fill>
      <patternFill patternType="solid">
        <fgColor theme="4" tint="0.39997558519241921"/>
        <bgColor theme="4" tint="0.79998168889431442"/>
      </patternFill>
    </fill>
    <fill>
      <patternFill patternType="solid">
        <fgColor theme="4" tint="0.39997558519241921"/>
        <bgColor indexed="0"/>
      </patternFill>
    </fill>
    <fill>
      <patternFill patternType="solid">
        <fgColor rgb="FFFFE9A3"/>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FF66CC"/>
        <bgColor indexed="64"/>
      </patternFill>
    </fill>
    <fill>
      <patternFill patternType="solid">
        <fgColor rgb="FFFF33CC"/>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499984740745262"/>
        <bgColor theme="9" tint="-0.499984740745262"/>
      </patternFill>
    </fill>
    <fill>
      <patternFill patternType="solid">
        <fgColor theme="9" tint="0.59999389629810485"/>
        <bgColor theme="9" tint="0.59999389629810485"/>
      </patternFill>
    </fill>
    <fill>
      <patternFill patternType="solid">
        <fgColor rgb="FFCCFFFF"/>
      </patternFill>
    </fill>
    <fill>
      <patternFill patternType="solid">
        <fgColor indexed="27"/>
        <bgColor indexed="64"/>
      </patternFill>
    </fill>
    <fill>
      <patternFill patternType="solid">
        <fgColor theme="8" tint="0.39997558519241921"/>
        <bgColor indexed="64"/>
      </patternFill>
    </fill>
    <fill>
      <patternFill patternType="solid">
        <fgColor rgb="FFFDE9D9"/>
        <bgColor indexed="64"/>
      </patternFill>
    </fill>
    <fill>
      <patternFill patternType="solid">
        <fgColor rgb="FFF2F2F2"/>
        <bgColor rgb="FF000000"/>
      </patternFill>
    </fill>
    <fill>
      <patternFill patternType="solid">
        <fgColor rgb="FFE7E6E6"/>
        <bgColor rgb="FF000000"/>
      </patternFill>
    </fill>
    <fill>
      <patternFill patternType="solid">
        <fgColor rgb="FFFFFFFF"/>
        <bgColor rgb="FF000000"/>
      </patternFill>
    </fill>
    <fill>
      <patternFill patternType="solid">
        <fgColor rgb="FFFDE9D9"/>
        <bgColor rgb="FF000000"/>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39997558519241921"/>
        <bgColor indexed="65"/>
      </patternFill>
    </fill>
    <fill>
      <patternFill patternType="solid">
        <fgColor theme="7"/>
        <bgColor indexed="64"/>
      </patternFill>
    </fill>
    <fill>
      <patternFill patternType="solid">
        <fgColor theme="8" tint="-0.249977111117893"/>
        <bgColor indexed="64"/>
      </patternFill>
    </fill>
    <fill>
      <patternFill patternType="solid">
        <fgColor rgb="FFDD0BC9"/>
        <bgColor indexed="64"/>
      </patternFill>
    </fill>
  </fills>
  <borders count="263">
    <border>
      <left/>
      <right/>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diagonal/>
    </border>
    <border>
      <left style="thin">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diagonal/>
    </border>
    <border>
      <left/>
      <right style="medium">
        <color indexed="64"/>
      </right>
      <top/>
      <bottom style="thin">
        <color indexed="64"/>
      </bottom>
      <diagonal/>
    </border>
    <border>
      <left style="thick">
        <color indexed="64"/>
      </left>
      <right/>
      <top/>
      <bottom/>
      <diagonal/>
    </border>
    <border>
      <left/>
      <right style="thin">
        <color indexed="64"/>
      </right>
      <top/>
      <bottom/>
      <diagonal/>
    </border>
    <border>
      <left style="medium">
        <color indexed="64"/>
      </left>
      <right/>
      <top/>
      <bottom style="thin">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double">
        <color indexed="64"/>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indexed="64"/>
      </left>
      <right style="thin">
        <color indexed="64"/>
      </right>
      <top style="double">
        <color indexed="64"/>
      </top>
      <bottom/>
      <diagonal/>
    </border>
    <border>
      <left/>
      <right style="thin">
        <color indexed="64"/>
      </right>
      <top/>
      <bottom style="double">
        <color indexed="64"/>
      </bottom>
      <diagonal/>
    </border>
    <border>
      <left style="thin">
        <color indexed="64"/>
      </left>
      <right/>
      <top style="double">
        <color indexed="64"/>
      </top>
      <bottom/>
      <diagonal/>
    </border>
    <border>
      <left/>
      <right/>
      <top/>
      <bottom style="double">
        <color indexed="64"/>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medium">
        <color auto="1"/>
      </left>
      <right/>
      <top style="thin">
        <color auto="1"/>
      </top>
      <bottom style="thin">
        <color auto="1"/>
      </bottom>
      <diagonal/>
    </border>
    <border>
      <left/>
      <right style="thin">
        <color auto="1"/>
      </right>
      <top style="thin">
        <color auto="1"/>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diagonal/>
    </border>
    <border>
      <left style="medium">
        <color indexed="64"/>
      </left>
      <right style="thin">
        <color auto="1"/>
      </right>
      <top style="thin">
        <color auto="1"/>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auto="1"/>
      </top>
      <bottom style="medium">
        <color indexed="64"/>
      </bottom>
      <diagonal/>
    </border>
    <border>
      <left style="thin">
        <color indexed="64"/>
      </left>
      <right style="thin">
        <color indexed="64"/>
      </right>
      <top style="thin">
        <color theme="0"/>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style="thin">
        <color theme="9" tint="0.79998168889431442"/>
      </top>
      <bottom/>
      <diagonal/>
    </border>
    <border>
      <left/>
      <right/>
      <top style="thin">
        <color theme="9" tint="0.79998168889431442"/>
      </top>
      <bottom style="thin">
        <color theme="9" tint="0.79998168889431442"/>
      </bottom>
      <diagonal/>
    </border>
    <border>
      <left/>
      <right/>
      <top style="thin">
        <color theme="9" tint="-0.499984740745262"/>
      </top>
      <bottom style="thin">
        <color theme="9"/>
      </bottom>
      <diagonal/>
    </border>
    <border>
      <left style="medium">
        <color indexed="64"/>
      </left>
      <right style="thin">
        <color indexed="64"/>
      </right>
      <top style="thin">
        <color theme="0"/>
      </top>
      <bottom style="thin">
        <color indexed="64"/>
      </bottom>
      <diagonal/>
    </border>
    <border>
      <left style="thin">
        <color indexed="64"/>
      </left>
      <right style="medium">
        <color indexed="64"/>
      </right>
      <top style="thin">
        <color theme="0"/>
      </top>
      <bottom style="thin">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diagonal/>
    </border>
    <border>
      <left style="thin">
        <color indexed="22"/>
      </left>
      <right/>
      <top style="thin">
        <color indexed="22"/>
      </top>
      <bottom style="thin">
        <color indexed="22"/>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indexed="64"/>
      </left>
      <right style="thin">
        <color indexed="64"/>
      </right>
      <top style="thin">
        <color indexed="64"/>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rgb="FF000000"/>
      </left>
      <right style="thin">
        <color indexed="64"/>
      </right>
      <top style="thin">
        <color indexed="64"/>
      </top>
      <bottom/>
      <diagonal/>
    </border>
    <border>
      <left style="medium">
        <color rgb="FF000000"/>
      </left>
      <right style="thin">
        <color rgb="FF000000"/>
      </right>
      <top style="thin">
        <color rgb="FF000000"/>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indexed="64"/>
      </left>
      <right/>
      <top style="medium">
        <color rgb="FF000000"/>
      </top>
      <bottom style="thin">
        <color indexed="64"/>
      </bottom>
      <diagonal/>
    </border>
    <border>
      <left style="medium">
        <color rgb="FF000000"/>
      </left>
      <right style="thin">
        <color indexed="64"/>
      </right>
      <top style="medium">
        <color indexed="64"/>
      </top>
      <bottom style="thin">
        <color indexed="64"/>
      </bottom>
      <diagonal/>
    </border>
    <border>
      <left style="thin">
        <color indexed="64"/>
      </left>
      <right style="medium">
        <color rgb="FF000000"/>
      </right>
      <top style="medium">
        <color indexed="64"/>
      </top>
      <bottom style="thin">
        <color indexed="64"/>
      </bottom>
      <diagonal/>
    </border>
    <border>
      <left style="medium">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medium">
        <color rgb="FF000000"/>
      </right>
      <top style="thin">
        <color indexed="64"/>
      </top>
      <bottom/>
      <diagonal/>
    </border>
    <border>
      <left/>
      <right style="medium">
        <color indexed="64"/>
      </right>
      <top style="thin">
        <color indexed="64"/>
      </top>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indexed="64"/>
      </right>
      <top style="thin">
        <color rgb="FF000000"/>
      </top>
      <bottom style="medium">
        <color indexed="64"/>
      </bottom>
      <diagonal/>
    </border>
    <border>
      <left/>
      <right style="thin">
        <color indexed="64"/>
      </right>
      <top style="thin">
        <color rgb="FF000000"/>
      </top>
      <bottom style="medium">
        <color indexed="64"/>
      </bottom>
      <diagonal/>
    </border>
    <border>
      <left style="thin">
        <color indexed="64"/>
      </left>
      <right style="thin">
        <color indexed="64"/>
      </right>
      <top style="thin">
        <color rgb="FF000000"/>
      </top>
      <bottom style="medium">
        <color indexed="64"/>
      </bottom>
      <diagonal/>
    </border>
    <border>
      <left style="thin">
        <color indexed="64"/>
      </left>
      <right/>
      <top style="thin">
        <color rgb="FF000000"/>
      </top>
      <bottom style="medium">
        <color indexed="64"/>
      </bottom>
      <diagonal/>
    </border>
    <border>
      <left style="medium">
        <color rgb="FF000000"/>
      </left>
      <right style="thin">
        <color indexed="64"/>
      </right>
      <top style="thin">
        <color rgb="FF000000"/>
      </top>
      <bottom style="medium">
        <color indexed="64"/>
      </bottom>
      <diagonal/>
    </border>
    <border>
      <left style="thin">
        <color indexed="64"/>
      </left>
      <right style="medium">
        <color rgb="FF000000"/>
      </right>
      <top style="thin">
        <color rgb="FF000000"/>
      </top>
      <bottom style="medium">
        <color indexed="64"/>
      </bottom>
      <diagonal/>
    </border>
    <border>
      <left/>
      <right style="medium">
        <color indexed="64"/>
      </right>
      <top style="thin">
        <color rgb="FF000000"/>
      </top>
      <bottom style="medium">
        <color indexed="64"/>
      </bottom>
      <diagonal/>
    </border>
    <border>
      <left/>
      <right style="medium">
        <color indexed="64"/>
      </right>
      <top style="medium">
        <color indexed="64"/>
      </top>
      <bottom style="thin">
        <color rgb="FF000000"/>
      </bottom>
      <diagonal/>
    </border>
    <border>
      <left style="medium">
        <color indexed="64"/>
      </left>
      <right style="thin">
        <color indexed="64"/>
      </right>
      <top style="thin">
        <color rgb="FF000000"/>
      </top>
      <bottom/>
      <diagonal/>
    </border>
    <border>
      <left style="thin">
        <color indexed="64"/>
      </left>
      <right style="thin">
        <color indexed="64"/>
      </right>
      <top style="thin">
        <color rgb="FF000000"/>
      </top>
      <bottom/>
      <diagonal/>
    </border>
    <border>
      <left style="thin">
        <color indexed="64"/>
      </left>
      <right style="medium">
        <color rgb="FF000000"/>
      </right>
      <top style="thin">
        <color rgb="FF000000"/>
      </top>
      <bottom/>
      <diagonal/>
    </border>
    <border>
      <left/>
      <right style="thin">
        <color indexed="64"/>
      </right>
      <top style="thin">
        <color rgb="FF000000"/>
      </top>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style="medium">
        <color rgb="FF000000"/>
      </bottom>
      <diagonal/>
    </border>
    <border>
      <left/>
      <right/>
      <top style="thin">
        <color rgb="FF000000"/>
      </top>
      <bottom style="thin">
        <color rgb="FF000000"/>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right/>
      <top/>
      <bottom style="thin">
        <color rgb="FF000000"/>
      </bottom>
      <diagonal/>
    </border>
    <border>
      <left/>
      <right/>
      <top style="thin">
        <color rgb="FF000000"/>
      </top>
      <bottom/>
      <diagonal/>
    </border>
    <border>
      <left style="thin">
        <color rgb="FF000000"/>
      </left>
      <right style="thin">
        <color rgb="FF000000"/>
      </right>
      <top style="thin">
        <color indexed="64"/>
      </top>
      <bottom style="medium">
        <color indexed="64"/>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thin">
        <color indexed="65"/>
      </left>
      <right/>
      <top style="thin">
        <color rgb="FFABABAB"/>
      </top>
      <bottom/>
      <diagonal/>
    </border>
    <border>
      <left style="medium">
        <color indexed="64"/>
      </left>
      <right/>
      <top style="thin">
        <color rgb="FFABABAB"/>
      </top>
      <bottom/>
      <diagonal/>
    </border>
    <border>
      <left style="thin">
        <color indexed="65"/>
      </left>
      <right style="medium">
        <color indexed="64"/>
      </right>
      <top style="thin">
        <color rgb="FFABABAB"/>
      </top>
      <bottom/>
      <diagonal/>
    </border>
    <border>
      <left style="medium">
        <color indexed="64"/>
      </left>
      <right style="medium">
        <color indexed="64"/>
      </right>
      <top style="thin">
        <color rgb="FFABABAB"/>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diagonal/>
    </border>
  </borders>
  <cellStyleXfs count="158">
    <xf numFmtId="0" fontId="0" fillId="0" borderId="0"/>
    <xf numFmtId="0" fontId="35" fillId="0" borderId="0"/>
    <xf numFmtId="168" fontId="32" fillId="0" borderId="0" applyFont="0" applyFill="0" applyBorder="0" applyAlignment="0" applyProtection="0"/>
    <xf numFmtId="0" fontId="32" fillId="0" borderId="0"/>
    <xf numFmtId="9" fontId="32" fillId="0" borderId="0" applyFont="0" applyFill="0" applyBorder="0" applyAlignment="0" applyProtection="0"/>
    <xf numFmtId="172" fontId="32" fillId="0" borderId="0" applyFont="0" applyFill="0" applyBorder="0" applyAlignment="0" applyProtection="0"/>
    <xf numFmtId="0" fontId="32" fillId="0" borderId="0"/>
    <xf numFmtId="43" fontId="44" fillId="0" borderId="0" applyFont="0" applyFill="0" applyBorder="0" applyAlignment="0" applyProtection="0"/>
    <xf numFmtId="172"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1" fillId="0" borderId="0"/>
    <xf numFmtId="0" fontId="31" fillId="0" borderId="0"/>
    <xf numFmtId="0" fontId="31" fillId="0" borderId="0"/>
    <xf numFmtId="0" fontId="32" fillId="0" borderId="0"/>
    <xf numFmtId="0" fontId="32" fillId="0" borderId="0"/>
    <xf numFmtId="0" fontId="32" fillId="0" borderId="0"/>
    <xf numFmtId="0" fontId="32" fillId="0" borderId="0"/>
    <xf numFmtId="0" fontId="31" fillId="0" borderId="0"/>
    <xf numFmtId="0" fontId="31" fillId="0" borderId="0"/>
    <xf numFmtId="9" fontId="32" fillId="0" borderId="0" applyFont="0" applyFill="0" applyBorder="0" applyAlignment="0" applyProtection="0"/>
    <xf numFmtId="0" fontId="30" fillId="0" borderId="0"/>
    <xf numFmtId="43" fontId="30" fillId="0" borderId="0" applyFont="0" applyFill="0" applyBorder="0" applyAlignment="0" applyProtection="0"/>
    <xf numFmtId="165" fontId="32" fillId="0" borderId="0" applyFont="0" applyFill="0" applyBorder="0" applyAlignment="0" applyProtection="0"/>
    <xf numFmtId="9" fontId="30" fillId="0" borderId="0" applyFont="0" applyFill="0" applyBorder="0" applyAlignment="0" applyProtection="0"/>
    <xf numFmtId="43" fontId="29" fillId="0" borderId="0" applyFont="0" applyFill="0" applyBorder="0" applyAlignment="0" applyProtection="0"/>
    <xf numFmtId="0" fontId="47" fillId="0" borderId="0">
      <alignment vertical="top"/>
    </xf>
    <xf numFmtId="0" fontId="49" fillId="6" borderId="0" applyNumberFormat="0" applyBorder="0" applyAlignment="0" applyProtection="0"/>
    <xf numFmtId="0" fontId="50" fillId="7" borderId="0" applyNumberFormat="0" applyBorder="0" applyAlignment="0" applyProtection="0"/>
    <xf numFmtId="0" fontId="28" fillId="8" borderId="0" applyNumberFormat="0" applyBorder="0" applyAlignment="0" applyProtection="0"/>
    <xf numFmtId="0" fontId="28" fillId="0" borderId="0"/>
    <xf numFmtId="9" fontId="28" fillId="0" borderId="0" applyFont="0" applyFill="0" applyBorder="0" applyAlignment="0" applyProtection="0"/>
    <xf numFmtId="0" fontId="74" fillId="0" borderId="0"/>
    <xf numFmtId="0" fontId="27" fillId="0" borderId="0"/>
    <xf numFmtId="0" fontId="27" fillId="8" borderId="0" applyNumberFormat="0" applyBorder="0" applyAlignment="0" applyProtection="0"/>
    <xf numFmtId="9" fontId="101" fillId="0" borderId="0" applyFont="0" applyFill="0" applyBorder="0" applyAlignment="0" applyProtection="0"/>
    <xf numFmtId="0" fontId="26" fillId="0" borderId="0"/>
    <xf numFmtId="9" fontId="26" fillId="0" borderId="0" applyFont="0" applyFill="0" applyBorder="0" applyAlignment="0" applyProtection="0"/>
    <xf numFmtId="0" fontId="105" fillId="0" borderId="0"/>
    <xf numFmtId="0" fontId="108" fillId="17" borderId="24">
      <alignment horizontal="left" vertical="center"/>
    </xf>
    <xf numFmtId="0" fontId="112" fillId="0" borderId="0"/>
    <xf numFmtId="0" fontId="113" fillId="17" borderId="20">
      <alignment horizontal="right" vertical="center"/>
    </xf>
    <xf numFmtId="164" fontId="26" fillId="0" borderId="0" applyFont="0" applyFill="0" applyBorder="0" applyAlignment="0" applyProtection="0"/>
    <xf numFmtId="0" fontId="119" fillId="0" borderId="0" applyNumberFormat="0" applyFill="0" applyBorder="0" applyAlignment="0" applyProtection="0"/>
    <xf numFmtId="0" fontId="32" fillId="0" borderId="3"/>
    <xf numFmtId="0" fontId="121" fillId="0" borderId="0" applyNumberFormat="0" applyFill="0" applyBorder="0" applyProtection="0">
      <alignment horizontal="left" vertical="center"/>
    </xf>
    <xf numFmtId="0" fontId="32" fillId="0" borderId="0" applyNumberFormat="0" applyFont="0" applyFill="0" applyBorder="0" applyProtection="0">
      <alignment horizontal="left" vertical="center" indent="2"/>
    </xf>
    <xf numFmtId="0" fontId="32" fillId="26" borderId="0" applyNumberFormat="0" applyFont="0" applyBorder="0" applyAlignment="0" applyProtection="0"/>
    <xf numFmtId="0" fontId="32" fillId="0" borderId="7"/>
    <xf numFmtId="0" fontId="108" fillId="0" borderId="0" applyNumberFormat="0">
      <alignment horizontal="right"/>
    </xf>
    <xf numFmtId="0" fontId="128" fillId="0" borderId="0" applyNumberFormat="0" applyFill="0" applyBorder="0" applyAlignment="0" applyProtection="0"/>
    <xf numFmtId="0" fontId="32" fillId="0" borderId="0" applyNumberFormat="0" applyFont="0" applyFill="0" applyBorder="0" applyProtection="0">
      <alignment horizontal="left" vertical="center" indent="5"/>
    </xf>
    <xf numFmtId="0" fontId="32" fillId="0" borderId="4"/>
    <xf numFmtId="0" fontId="105" fillId="0" borderId="87">
      <alignment horizontal="right" vertical="center"/>
    </xf>
    <xf numFmtId="4" fontId="105" fillId="0" borderId="0"/>
    <xf numFmtId="0" fontId="108" fillId="17" borderId="24">
      <alignment horizontal="left" vertical="center"/>
    </xf>
    <xf numFmtId="0" fontId="135" fillId="0" borderId="0"/>
    <xf numFmtId="0" fontId="108" fillId="17" borderId="32">
      <alignment horizontal="right" vertical="center"/>
    </xf>
    <xf numFmtId="0" fontId="32" fillId="0" borderId="0"/>
    <xf numFmtId="0" fontId="108" fillId="17" borderId="87">
      <alignment horizontal="right" vertical="center"/>
    </xf>
    <xf numFmtId="0" fontId="108" fillId="17" borderId="24">
      <alignment horizontal="right" vertical="center"/>
    </xf>
    <xf numFmtId="0" fontId="108" fillId="17" borderId="87">
      <alignment horizontal="right" vertical="center"/>
    </xf>
    <xf numFmtId="0" fontId="32" fillId="0" borderId="0"/>
    <xf numFmtId="0" fontId="105" fillId="0" borderId="56">
      <alignment horizontal="left" vertical="center" wrapText="1" indent="2"/>
    </xf>
    <xf numFmtId="0" fontId="105" fillId="26" borderId="87"/>
    <xf numFmtId="0" fontId="105" fillId="0" borderId="56">
      <alignment horizontal="left" vertical="center" wrapText="1" indent="2"/>
    </xf>
    <xf numFmtId="0" fontId="108" fillId="17" borderId="101">
      <alignment horizontal="right" vertical="center"/>
    </xf>
    <xf numFmtId="0" fontId="108" fillId="17" borderId="87">
      <alignment horizontal="right" vertical="center"/>
    </xf>
    <xf numFmtId="0" fontId="105" fillId="0" borderId="102">
      <alignment horizontal="left" vertical="center" wrapText="1" indent="2"/>
    </xf>
    <xf numFmtId="0" fontId="108" fillId="17" borderId="87">
      <alignment horizontal="right" vertical="center"/>
    </xf>
    <xf numFmtId="0" fontId="105" fillId="26" borderId="87"/>
    <xf numFmtId="164" fontId="26" fillId="0" borderId="0" applyFont="0" applyFill="0" applyBorder="0" applyAlignment="0" applyProtection="0"/>
    <xf numFmtId="0" fontId="159" fillId="0" borderId="0"/>
    <xf numFmtId="0" fontId="159" fillId="0" borderId="0"/>
    <xf numFmtId="0" fontId="162" fillId="0" borderId="0" applyNumberFormat="0" applyBorder="0" applyAlignment="0"/>
    <xf numFmtId="0" fontId="24" fillId="0" borderId="0"/>
    <xf numFmtId="164" fontId="24" fillId="0" borderId="0" applyFont="0" applyFill="0" applyBorder="0" applyAlignment="0" applyProtection="0"/>
    <xf numFmtId="164" fontId="24" fillId="0" borderId="0" applyFont="0" applyFill="0" applyBorder="0" applyAlignment="0" applyProtection="0"/>
    <xf numFmtId="0" fontId="23" fillId="0" borderId="0"/>
    <xf numFmtId="164" fontId="23" fillId="0" borderId="0" applyFont="0" applyFill="0" applyBorder="0" applyAlignment="0" applyProtection="0"/>
    <xf numFmtId="0" fontId="159" fillId="0" borderId="0"/>
    <xf numFmtId="164" fontId="23" fillId="0" borderId="0" applyFont="0" applyFill="0" applyBorder="0" applyAlignment="0" applyProtection="0"/>
    <xf numFmtId="0" fontId="23" fillId="8" borderId="0" applyNumberFormat="0" applyBorder="0" applyAlignment="0" applyProtection="0"/>
    <xf numFmtId="0" fontId="159" fillId="0" borderId="0"/>
    <xf numFmtId="9" fontId="23" fillId="0" borderId="0" applyFont="0" applyFill="0" applyBorder="0" applyAlignment="0" applyProtection="0"/>
    <xf numFmtId="0" fontId="209" fillId="0" borderId="0"/>
    <xf numFmtId="43" fontId="210" fillId="0" borderId="0" applyFont="0" applyFill="0" applyBorder="0" applyAlignment="0" applyProtection="0"/>
    <xf numFmtId="0" fontId="215" fillId="0" borderId="0" applyNumberFormat="0" applyFill="0" applyBorder="0" applyAlignment="0" applyProtection="0"/>
    <xf numFmtId="0" fontId="22" fillId="0" borderId="0"/>
    <xf numFmtId="0" fontId="105" fillId="0" borderId="0"/>
    <xf numFmtId="0" fontId="17" fillId="0" borderId="0"/>
    <xf numFmtId="0" fontId="244" fillId="0" borderId="0" applyNumberFormat="0" applyFill="0" applyBorder="0" applyAlignment="0" applyProtection="0"/>
    <xf numFmtId="0" fontId="247" fillId="0" borderId="0" applyNumberFormat="0" applyFill="0" applyBorder="0" applyAlignment="0" applyProtection="0"/>
    <xf numFmtId="0" fontId="248" fillId="0" borderId="203" applyNumberFormat="0" applyFill="0" applyAlignment="0" applyProtection="0"/>
    <xf numFmtId="0" fontId="249" fillId="0" borderId="204" applyNumberFormat="0" applyFill="0" applyAlignment="0" applyProtection="0"/>
    <xf numFmtId="0" fontId="250" fillId="0" borderId="205" applyNumberFormat="0" applyFill="0" applyAlignment="0" applyProtection="0"/>
    <xf numFmtId="0" fontId="250" fillId="0" borderId="0" applyNumberFormat="0" applyFill="0" applyBorder="0" applyAlignment="0" applyProtection="0"/>
    <xf numFmtId="0" fontId="251" fillId="16" borderId="206" applyNumberFormat="0" applyAlignment="0" applyProtection="0"/>
    <xf numFmtId="0" fontId="252" fillId="60" borderId="207" applyNumberFormat="0" applyAlignment="0" applyProtection="0"/>
    <xf numFmtId="0" fontId="253" fillId="60" borderId="206" applyNumberFormat="0" applyAlignment="0" applyProtection="0"/>
    <xf numFmtId="0" fontId="254" fillId="0" borderId="208" applyNumberFormat="0" applyFill="0" applyAlignment="0" applyProtection="0"/>
    <xf numFmtId="0" fontId="218" fillId="61" borderId="209" applyNumberFormat="0" applyAlignment="0" applyProtection="0"/>
    <xf numFmtId="0" fontId="80" fillId="0" borderId="0" applyNumberFormat="0" applyFill="0" applyBorder="0" applyAlignment="0" applyProtection="0"/>
    <xf numFmtId="0" fontId="255" fillId="0" borderId="0" applyNumberFormat="0" applyFill="0" applyBorder="0" applyAlignment="0" applyProtection="0"/>
    <xf numFmtId="0" fontId="52" fillId="0" borderId="211" applyNumberFormat="0" applyFill="0" applyAlignment="0" applyProtection="0"/>
    <xf numFmtId="0" fontId="167" fillId="63" borderId="0" applyNumberFormat="0" applyBorder="0" applyAlignment="0" applyProtection="0"/>
    <xf numFmtId="0" fontId="16" fillId="64" borderId="0" applyNumberFormat="0" applyBorder="0" applyAlignment="0" applyProtection="0"/>
    <xf numFmtId="0" fontId="16" fillId="65" borderId="0" applyNumberFormat="0" applyBorder="0" applyAlignment="0" applyProtection="0"/>
    <xf numFmtId="0" fontId="167" fillId="67" borderId="0" applyNumberFormat="0" applyBorder="0" applyAlignment="0" applyProtection="0"/>
    <xf numFmtId="0" fontId="16" fillId="68" borderId="0" applyNumberFormat="0" applyBorder="0" applyAlignment="0" applyProtection="0"/>
    <xf numFmtId="0" fontId="16" fillId="69" borderId="0" applyNumberFormat="0" applyBorder="0" applyAlignment="0" applyProtection="0"/>
    <xf numFmtId="0" fontId="167" fillId="71" borderId="0" applyNumberFormat="0" applyBorder="0" applyAlignment="0" applyProtection="0"/>
    <xf numFmtId="0" fontId="16" fillId="72" borderId="0" applyNumberFormat="0" applyBorder="0" applyAlignment="0" applyProtection="0"/>
    <xf numFmtId="0" fontId="16" fillId="73" borderId="0" applyNumberFormat="0" applyBorder="0" applyAlignment="0" applyProtection="0"/>
    <xf numFmtId="0" fontId="167" fillId="75" borderId="0" applyNumberFormat="0" applyBorder="0" applyAlignment="0" applyProtection="0"/>
    <xf numFmtId="0" fontId="16" fillId="76" borderId="0" applyNumberFormat="0" applyBorder="0" applyAlignment="0" applyProtection="0"/>
    <xf numFmtId="0" fontId="16" fillId="77" borderId="0" applyNumberFormat="0" applyBorder="0" applyAlignment="0" applyProtection="0"/>
    <xf numFmtId="0" fontId="167" fillId="79" borderId="0" applyNumberFormat="0" applyBorder="0" applyAlignment="0" applyProtection="0"/>
    <xf numFmtId="0" fontId="16" fillId="80" borderId="0" applyNumberFormat="0" applyBorder="0" applyAlignment="0" applyProtection="0"/>
    <xf numFmtId="0" fontId="16" fillId="81" borderId="0" applyNumberFormat="0" applyBorder="0" applyAlignment="0" applyProtection="0"/>
    <xf numFmtId="0" fontId="167" fillId="83" borderId="0" applyNumberFormat="0" applyBorder="0" applyAlignment="0" applyProtection="0"/>
    <xf numFmtId="0" fontId="16" fillId="84" borderId="0" applyNumberFormat="0" applyBorder="0" applyAlignment="0" applyProtection="0"/>
    <xf numFmtId="0" fontId="16" fillId="0" borderId="0"/>
    <xf numFmtId="0" fontId="256" fillId="59" borderId="0" applyNumberFormat="0" applyBorder="0" applyAlignment="0" applyProtection="0"/>
    <xf numFmtId="0" fontId="16" fillId="62" borderId="210" applyNumberFormat="0" applyFont="0" applyAlignment="0" applyProtection="0"/>
    <xf numFmtId="0" fontId="167" fillId="66" borderId="0" applyNumberFormat="0" applyBorder="0" applyAlignment="0" applyProtection="0"/>
    <xf numFmtId="0" fontId="167" fillId="70" borderId="0" applyNumberFormat="0" applyBorder="0" applyAlignment="0" applyProtection="0"/>
    <xf numFmtId="0" fontId="167" fillId="74" borderId="0" applyNumberFormat="0" applyBorder="0" applyAlignment="0" applyProtection="0"/>
    <xf numFmtId="0" fontId="167" fillId="78" borderId="0" applyNumberFormat="0" applyBorder="0" applyAlignment="0" applyProtection="0"/>
    <xf numFmtId="0" fontId="167" fillId="82" borderId="0" applyNumberFormat="0" applyBorder="0" applyAlignment="0" applyProtection="0"/>
    <xf numFmtId="0" fontId="16" fillId="8" borderId="0" applyNumberFormat="0" applyBorder="0" applyAlignment="0" applyProtection="0"/>
    <xf numFmtId="0" fontId="167" fillId="85" borderId="0" applyNumberFormat="0" applyBorder="0" applyAlignment="0" applyProtection="0"/>
    <xf numFmtId="0" fontId="13" fillId="0" borderId="0"/>
    <xf numFmtId="0" fontId="12" fillId="0" borderId="0"/>
    <xf numFmtId="0" fontId="105" fillId="0" borderId="218">
      <alignment horizontal="right" vertical="center"/>
    </xf>
    <xf numFmtId="0" fontId="108" fillId="17" borderId="200">
      <alignment horizontal="left" vertical="center"/>
    </xf>
    <xf numFmtId="0" fontId="108" fillId="17" borderId="218">
      <alignment horizontal="right" vertical="center"/>
    </xf>
    <xf numFmtId="0" fontId="108" fillId="17" borderId="200">
      <alignment horizontal="right" vertical="center"/>
    </xf>
    <xf numFmtId="0" fontId="108" fillId="17" borderId="119">
      <alignment horizontal="right" vertical="center"/>
    </xf>
    <xf numFmtId="0" fontId="108" fillId="17" borderId="218">
      <alignment horizontal="right" vertical="center"/>
    </xf>
    <xf numFmtId="0" fontId="105" fillId="0" borderId="143">
      <alignment horizontal="left" vertical="center" wrapText="1" indent="2"/>
    </xf>
    <xf numFmtId="0" fontId="105" fillId="26" borderId="218"/>
    <xf numFmtId="0" fontId="105" fillId="0" borderId="226">
      <alignment horizontal="right" vertical="center"/>
    </xf>
    <xf numFmtId="0" fontId="108" fillId="17" borderId="226">
      <alignment horizontal="right" vertical="center"/>
    </xf>
    <xf numFmtId="0" fontId="108" fillId="17" borderId="226">
      <alignment horizontal="right" vertical="center"/>
    </xf>
    <xf numFmtId="0" fontId="105" fillId="26" borderId="226"/>
    <xf numFmtId="0" fontId="12" fillId="0" borderId="0"/>
    <xf numFmtId="0" fontId="11" fillId="0" borderId="0"/>
    <xf numFmtId="3" fontId="9" fillId="11" borderId="87"/>
    <xf numFmtId="3" fontId="9" fillId="88" borderId="87"/>
    <xf numFmtId="0" fontId="8" fillId="0" borderId="0"/>
    <xf numFmtId="164" fontId="8" fillId="0" borderId="0" applyFont="0" applyFill="0" applyBorder="0" applyAlignment="0" applyProtection="0"/>
    <xf numFmtId="9" fontId="8" fillId="0" borderId="0" applyFont="0" applyFill="0" applyBorder="0" applyAlignment="0" applyProtection="0"/>
    <xf numFmtId="0" fontId="6"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4" fillId="0" borderId="0"/>
  </cellStyleXfs>
  <cellXfs count="5806">
    <xf numFmtId="0" fontId="0" fillId="0" borderId="0" xfId="0"/>
    <xf numFmtId="3" fontId="0" fillId="0" borderId="22" xfId="0" applyNumberFormat="1" applyBorder="1"/>
    <xf numFmtId="3" fontId="32" fillId="0" borderId="22" xfId="0" applyNumberFormat="1" applyFont="1" applyBorder="1"/>
    <xf numFmtId="0" fontId="0" fillId="2" borderId="0" xfId="0" applyFill="1"/>
    <xf numFmtId="3" fontId="0" fillId="2" borderId="23" xfId="0" applyNumberFormat="1" applyFill="1" applyBorder="1"/>
    <xf numFmtId="3" fontId="32" fillId="2" borderId="36" xfId="0" applyNumberFormat="1" applyFont="1" applyFill="1" applyBorder="1"/>
    <xf numFmtId="3" fontId="32" fillId="2" borderId="21" xfId="0" applyNumberFormat="1" applyFont="1" applyFill="1" applyBorder="1"/>
    <xf numFmtId="3" fontId="32" fillId="2" borderId="23" xfId="0" applyNumberFormat="1" applyFont="1" applyFill="1" applyBorder="1"/>
    <xf numFmtId="3" fontId="32" fillId="0" borderId="23" xfId="0" applyNumberFormat="1" applyFont="1" applyBorder="1"/>
    <xf numFmtId="1" fontId="32" fillId="2" borderId="3" xfId="3" applyNumberFormat="1" applyFill="1" applyBorder="1"/>
    <xf numFmtId="1" fontId="32" fillId="2" borderId="0" xfId="3" applyNumberFormat="1" applyFill="1"/>
    <xf numFmtId="1" fontId="36" fillId="2" borderId="0" xfId="3" applyNumberFormat="1" applyFont="1" applyFill="1" applyAlignment="1">
      <alignment vertical="center"/>
    </xf>
    <xf numFmtId="0" fontId="32" fillId="2" borderId="0" xfId="3" applyFill="1"/>
    <xf numFmtId="1" fontId="32" fillId="2" borderId="7" xfId="3" applyNumberFormat="1" applyFill="1" applyBorder="1"/>
    <xf numFmtId="1" fontId="32" fillId="2" borderId="8" xfId="3" applyNumberFormat="1" applyFill="1" applyBorder="1"/>
    <xf numFmtId="49" fontId="32" fillId="2" borderId="40" xfId="3" applyNumberFormat="1" applyFill="1" applyBorder="1" applyAlignment="1">
      <alignment horizontal="center" textRotation="90" wrapText="1"/>
    </xf>
    <xf numFmtId="49" fontId="32" fillId="2" borderId="41" xfId="3" applyNumberFormat="1" applyFill="1" applyBorder="1" applyAlignment="1">
      <alignment horizontal="center" textRotation="90" wrapText="1"/>
    </xf>
    <xf numFmtId="49" fontId="34" fillId="2" borderId="44" xfId="3" applyNumberFormat="1" applyFont="1" applyFill="1" applyBorder="1" applyAlignment="1">
      <alignment horizontal="center" textRotation="90" wrapText="1"/>
    </xf>
    <xf numFmtId="0" fontId="32" fillId="2" borderId="0" xfId="3" applyFill="1" applyAlignment="1">
      <alignment textRotation="90" wrapText="1"/>
    </xf>
    <xf numFmtId="3" fontId="32" fillId="2" borderId="21" xfId="3" applyNumberFormat="1" applyFill="1" applyBorder="1"/>
    <xf numFmtId="3" fontId="32" fillId="2" borderId="22" xfId="3" applyNumberFormat="1" applyFill="1" applyBorder="1"/>
    <xf numFmtId="3" fontId="32" fillId="2" borderId="23" xfId="3" applyNumberFormat="1" applyFill="1" applyBorder="1"/>
    <xf numFmtId="3" fontId="34" fillId="2" borderId="24" xfId="3" applyNumberFormat="1" applyFont="1" applyFill="1" applyBorder="1"/>
    <xf numFmtId="169" fontId="32" fillId="2" borderId="0" xfId="3" quotePrefix="1" applyNumberFormat="1" applyFill="1"/>
    <xf numFmtId="3" fontId="32" fillId="0" borderId="22" xfId="3" applyNumberFormat="1" applyBorder="1"/>
    <xf numFmtId="3" fontId="32" fillId="0" borderId="23" xfId="3" applyNumberFormat="1" applyBorder="1"/>
    <xf numFmtId="3" fontId="32" fillId="0" borderId="18" xfId="3" applyNumberFormat="1" applyBorder="1"/>
    <xf numFmtId="3" fontId="32" fillId="2" borderId="19" xfId="3" applyNumberFormat="1" applyFill="1" applyBorder="1"/>
    <xf numFmtId="0" fontId="32" fillId="0" borderId="22" xfId="3" applyBorder="1"/>
    <xf numFmtId="166" fontId="32" fillId="2" borderId="0" xfId="3" applyNumberFormat="1" applyFill="1"/>
    <xf numFmtId="3" fontId="32" fillId="0" borderId="21" xfId="3" applyNumberFormat="1" applyBorder="1"/>
    <xf numFmtId="1" fontId="32" fillId="0" borderId="0" xfId="3" applyNumberFormat="1"/>
    <xf numFmtId="0" fontId="32" fillId="0" borderId="0" xfId="3"/>
    <xf numFmtId="3" fontId="32" fillId="2" borderId="0" xfId="3" applyNumberFormat="1" applyFill="1"/>
    <xf numFmtId="3" fontId="32" fillId="2" borderId="26" xfId="3" applyNumberFormat="1" applyFill="1" applyBorder="1"/>
    <xf numFmtId="3" fontId="32" fillId="2" borderId="27" xfId="3" applyNumberFormat="1" applyFill="1" applyBorder="1"/>
    <xf numFmtId="3" fontId="32" fillId="0" borderId="27" xfId="3" applyNumberFormat="1" applyBorder="1"/>
    <xf numFmtId="3" fontId="32" fillId="2" borderId="29" xfId="3" applyNumberFormat="1" applyFill="1" applyBorder="1"/>
    <xf numFmtId="3" fontId="32" fillId="2" borderId="31" xfId="3" applyNumberFormat="1" applyFill="1" applyBorder="1"/>
    <xf numFmtId="3" fontId="32" fillId="2" borderId="32" xfId="3" applyNumberFormat="1" applyFill="1" applyBorder="1"/>
    <xf numFmtId="3" fontId="34" fillId="2" borderId="30" xfId="3" applyNumberFormat="1" applyFont="1" applyFill="1" applyBorder="1"/>
    <xf numFmtId="3" fontId="32" fillId="2" borderId="14" xfId="3" applyNumberFormat="1" applyFill="1" applyBorder="1"/>
    <xf numFmtId="3" fontId="34" fillId="2" borderId="11" xfId="3" applyNumberFormat="1" applyFont="1" applyFill="1" applyBorder="1"/>
    <xf numFmtId="3" fontId="32" fillId="2" borderId="10" xfId="3" applyNumberFormat="1" applyFill="1" applyBorder="1"/>
    <xf numFmtId="3" fontId="34" fillId="2" borderId="20" xfId="3" applyNumberFormat="1" applyFont="1" applyFill="1" applyBorder="1"/>
    <xf numFmtId="167" fontId="32" fillId="2" borderId="34" xfId="3" applyNumberFormat="1" applyFill="1" applyBorder="1"/>
    <xf numFmtId="3" fontId="32" fillId="2" borderId="34" xfId="3" applyNumberFormat="1" applyFill="1" applyBorder="1"/>
    <xf numFmtId="3" fontId="32" fillId="2" borderId="35" xfId="3" applyNumberFormat="1" applyFill="1" applyBorder="1"/>
    <xf numFmtId="0" fontId="33" fillId="2" borderId="0" xfId="3" applyFont="1" applyFill="1"/>
    <xf numFmtId="1" fontId="32" fillId="0" borderId="13" xfId="3" applyNumberFormat="1" applyBorder="1" applyAlignment="1">
      <alignment vertical="center"/>
    </xf>
    <xf numFmtId="1" fontId="32" fillId="2" borderId="12" xfId="3" applyNumberFormat="1" applyFill="1" applyBorder="1" applyAlignment="1">
      <alignment horizontal="left" vertical="center"/>
    </xf>
    <xf numFmtId="1" fontId="32" fillId="2" borderId="0" xfId="3" applyNumberFormat="1" applyFill="1" applyAlignment="1">
      <alignment vertical="center"/>
    </xf>
    <xf numFmtId="0" fontId="32" fillId="2" borderId="0" xfId="3" applyFill="1" applyAlignment="1">
      <alignment vertical="center"/>
    </xf>
    <xf numFmtId="1" fontId="32" fillId="2" borderId="13" xfId="3" applyNumberFormat="1" applyFill="1" applyBorder="1" applyAlignment="1">
      <alignment vertical="center"/>
    </xf>
    <xf numFmtId="1" fontId="32" fillId="2" borderId="16" xfId="3" applyNumberFormat="1" applyFill="1" applyBorder="1" applyAlignment="1">
      <alignment vertical="center"/>
    </xf>
    <xf numFmtId="0" fontId="32" fillId="3" borderId="0" xfId="3" applyFill="1"/>
    <xf numFmtId="0" fontId="36" fillId="0" borderId="0" xfId="3" applyFont="1" applyAlignment="1">
      <alignment horizontal="left"/>
    </xf>
    <xf numFmtId="0" fontId="36" fillId="3" borderId="0" xfId="3" applyFont="1" applyFill="1" applyAlignment="1">
      <alignment vertical="center"/>
    </xf>
    <xf numFmtId="0" fontId="34" fillId="0" borderId="22" xfId="3" applyFont="1" applyBorder="1"/>
    <xf numFmtId="0" fontId="34" fillId="0" borderId="0" xfId="3" applyFont="1"/>
    <xf numFmtId="1" fontId="34" fillId="0" borderId="22" xfId="3" applyNumberFormat="1" applyFont="1" applyBorder="1"/>
    <xf numFmtId="0" fontId="34" fillId="0" borderId="22" xfId="3" applyFont="1" applyBorder="1" applyAlignment="1">
      <alignment horizontal="center"/>
    </xf>
    <xf numFmtId="1" fontId="32" fillId="3" borderId="0" xfId="3" applyNumberFormat="1" applyFill="1"/>
    <xf numFmtId="171" fontId="32" fillId="0" borderId="0" xfId="3" applyNumberFormat="1"/>
    <xf numFmtId="3" fontId="32" fillId="0" borderId="0" xfId="3" applyNumberFormat="1"/>
    <xf numFmtId="173" fontId="32" fillId="0" borderId="0" xfId="5" applyNumberFormat="1" applyFont="1" applyFill="1" applyBorder="1"/>
    <xf numFmtId="173" fontId="32" fillId="0" borderId="0" xfId="5" applyNumberFormat="1" applyFont="1" applyFill="1"/>
    <xf numFmtId="174" fontId="34" fillId="0" borderId="0" xfId="5" applyNumberFormat="1" applyFont="1" applyFill="1" applyBorder="1"/>
    <xf numFmtId="3" fontId="34" fillId="0" borderId="0" xfId="3" applyNumberFormat="1" applyFont="1"/>
    <xf numFmtId="0" fontId="32" fillId="0" borderId="55" xfId="3" applyBorder="1"/>
    <xf numFmtId="0" fontId="34" fillId="4" borderId="22" xfId="3" applyFont="1" applyFill="1" applyBorder="1"/>
    <xf numFmtId="3" fontId="34" fillId="4" borderId="22" xfId="3" applyNumberFormat="1" applyFont="1" applyFill="1" applyBorder="1"/>
    <xf numFmtId="173" fontId="32" fillId="0" borderId="0" xfId="3" applyNumberFormat="1"/>
    <xf numFmtId="166" fontId="32" fillId="0" borderId="0" xfId="3" applyNumberFormat="1"/>
    <xf numFmtId="0" fontId="32" fillId="0" borderId="0" xfId="3" applyAlignment="1">
      <alignment vertical="center"/>
    </xf>
    <xf numFmtId="0" fontId="32" fillId="0" borderId="0" xfId="3" applyAlignment="1">
      <alignment horizontal="right"/>
    </xf>
    <xf numFmtId="49" fontId="36" fillId="3" borderId="0" xfId="3" applyNumberFormat="1" applyFont="1" applyFill="1" applyAlignment="1">
      <alignment horizontal="left" vertical="center"/>
    </xf>
    <xf numFmtId="3" fontId="34" fillId="3" borderId="0" xfId="3" applyNumberFormat="1" applyFont="1" applyFill="1"/>
    <xf numFmtId="3" fontId="0" fillId="0" borderId="22" xfId="5" applyNumberFormat="1" applyFont="1" applyFill="1" applyBorder="1"/>
    <xf numFmtId="0" fontId="34" fillId="4" borderId="55" xfId="3" applyFont="1" applyFill="1" applyBorder="1"/>
    <xf numFmtId="3" fontId="32" fillId="0" borderId="55" xfId="3" applyNumberFormat="1" applyBorder="1"/>
    <xf numFmtId="3" fontId="34" fillId="4" borderId="55" xfId="3" applyNumberFormat="1" applyFont="1" applyFill="1" applyBorder="1"/>
    <xf numFmtId="0" fontId="34" fillId="3" borderId="0" xfId="3" applyFont="1" applyFill="1"/>
    <xf numFmtId="0" fontId="34" fillId="0" borderId="22" xfId="3" applyFont="1" applyBorder="1" applyAlignment="1">
      <alignment horizontal="left"/>
    </xf>
    <xf numFmtId="1" fontId="34" fillId="0" borderId="22" xfId="3" applyNumberFormat="1" applyFont="1" applyBorder="1" applyAlignment="1">
      <alignment horizontal="left"/>
    </xf>
    <xf numFmtId="3" fontId="32" fillId="3" borderId="0" xfId="3" applyNumberFormat="1" applyFill="1"/>
    <xf numFmtId="1" fontId="32" fillId="0" borderId="22" xfId="3" applyNumberFormat="1" applyBorder="1"/>
    <xf numFmtId="173" fontId="0" fillId="3" borderId="0" xfId="5" applyNumberFormat="1" applyFont="1" applyFill="1" applyBorder="1"/>
    <xf numFmtId="176" fontId="32" fillId="0" borderId="0" xfId="7" applyNumberFormat="1" applyFont="1" applyFill="1"/>
    <xf numFmtId="176" fontId="32" fillId="0" borderId="0" xfId="7" applyNumberFormat="1" applyFont="1" applyFill="1" applyBorder="1"/>
    <xf numFmtId="3" fontId="32" fillId="2" borderId="37" xfId="0" applyNumberFormat="1" applyFont="1" applyFill="1" applyBorder="1"/>
    <xf numFmtId="1" fontId="32" fillId="0" borderId="55" xfId="3" applyNumberFormat="1" applyBorder="1"/>
    <xf numFmtId="1" fontId="32" fillId="2" borderId="40" xfId="3" applyNumberFormat="1" applyFill="1" applyBorder="1" applyAlignment="1">
      <alignment horizontal="center" textRotation="90"/>
    </xf>
    <xf numFmtId="3" fontId="32" fillId="5" borderId="24" xfId="3" applyNumberFormat="1" applyFill="1" applyBorder="1" applyAlignment="1">
      <alignment horizontal="left" indent="1"/>
    </xf>
    <xf numFmtId="3" fontId="32" fillId="5" borderId="28" xfId="3" applyNumberFormat="1" applyFill="1" applyBorder="1" applyAlignment="1">
      <alignment horizontal="left" indent="1"/>
    </xf>
    <xf numFmtId="3" fontId="32" fillId="5" borderId="30" xfId="3" applyNumberFormat="1" applyFill="1" applyBorder="1" applyAlignment="1">
      <alignment horizontal="left" indent="1"/>
    </xf>
    <xf numFmtId="175" fontId="32" fillId="0" borderId="0" xfId="7" applyNumberFormat="1" applyFont="1" applyFill="1"/>
    <xf numFmtId="43" fontId="32" fillId="0" borderId="0" xfId="7" applyFont="1" applyFill="1"/>
    <xf numFmtId="175" fontId="32" fillId="0" borderId="0" xfId="7" applyNumberFormat="1" applyFont="1" applyFill="1" applyBorder="1"/>
    <xf numFmtId="0" fontId="48" fillId="0" borderId="0" xfId="3" applyFont="1"/>
    <xf numFmtId="3" fontId="32" fillId="0" borderId="21" xfId="0" applyNumberFormat="1" applyFont="1" applyBorder="1"/>
    <xf numFmtId="175" fontId="32" fillId="0" borderId="0" xfId="3" applyNumberFormat="1"/>
    <xf numFmtId="177" fontId="32" fillId="0" borderId="0" xfId="7" applyNumberFormat="1" applyFont="1" applyFill="1"/>
    <xf numFmtId="49" fontId="45" fillId="0" borderId="44" xfId="3" applyNumberFormat="1" applyFont="1" applyBorder="1" applyAlignment="1">
      <alignment horizontal="center" wrapText="1"/>
    </xf>
    <xf numFmtId="3" fontId="32" fillId="2" borderId="22" xfId="0" applyNumberFormat="1" applyFont="1" applyFill="1" applyBorder="1"/>
    <xf numFmtId="3" fontId="32" fillId="2" borderId="25" xfId="0" applyNumberFormat="1" applyFont="1" applyFill="1" applyBorder="1"/>
    <xf numFmtId="3" fontId="32" fillId="2" borderId="38" xfId="0" applyNumberFormat="1" applyFont="1" applyFill="1" applyBorder="1"/>
    <xf numFmtId="3" fontId="32" fillId="0" borderId="22" xfId="27" applyNumberFormat="1" applyFont="1" applyFill="1" applyBorder="1"/>
    <xf numFmtId="3" fontId="32" fillId="0" borderId="21" xfId="27" applyNumberFormat="1" applyFont="1" applyFill="1" applyBorder="1"/>
    <xf numFmtId="3" fontId="32" fillId="0" borderId="23" xfId="27" applyNumberFormat="1" applyFont="1" applyFill="1" applyBorder="1"/>
    <xf numFmtId="3" fontId="32" fillId="0" borderId="47" xfId="27" applyNumberFormat="1" applyFont="1" applyFill="1" applyBorder="1"/>
    <xf numFmtId="3" fontId="34" fillId="0" borderId="24" xfId="3" applyNumberFormat="1" applyFont="1" applyBorder="1"/>
    <xf numFmtId="1" fontId="32" fillId="2" borderId="2" xfId="3" applyNumberFormat="1" applyFill="1" applyBorder="1"/>
    <xf numFmtId="1" fontId="32" fillId="2" borderId="4" xfId="3" applyNumberFormat="1" applyFill="1" applyBorder="1"/>
    <xf numFmtId="1" fontId="32" fillId="2" borderId="5" xfId="3" applyNumberFormat="1" applyFill="1" applyBorder="1"/>
    <xf numFmtId="1" fontId="50" fillId="0" borderId="0" xfId="28" applyNumberFormat="1" applyFill="1"/>
    <xf numFmtId="1" fontId="32" fillId="2" borderId="6" xfId="3" applyNumberFormat="1" applyFill="1" applyBorder="1"/>
    <xf numFmtId="1" fontId="41" fillId="2" borderId="43" xfId="3" applyNumberFormat="1" applyFont="1" applyFill="1" applyBorder="1"/>
    <xf numFmtId="49" fontId="32" fillId="2" borderId="42" xfId="3" applyNumberFormat="1" applyFill="1" applyBorder="1" applyAlignment="1">
      <alignment horizontal="center" textRotation="90" wrapText="1"/>
    </xf>
    <xf numFmtId="49" fontId="32" fillId="2" borderId="40" xfId="3" applyNumberFormat="1" applyFill="1" applyBorder="1" applyAlignment="1">
      <alignment horizontal="center" textRotation="90" wrapText="1" readingOrder="1"/>
    </xf>
    <xf numFmtId="49" fontId="32" fillId="2" borderId="45" xfId="3" applyNumberFormat="1" applyFill="1" applyBorder="1" applyAlignment="1">
      <alignment horizontal="center" textRotation="90" wrapText="1"/>
    </xf>
    <xf numFmtId="49" fontId="32" fillId="2" borderId="46" xfId="3" applyNumberFormat="1" applyFill="1" applyBorder="1" applyAlignment="1">
      <alignment horizontal="center" textRotation="90" wrapText="1"/>
    </xf>
    <xf numFmtId="3" fontId="32" fillId="0" borderId="17" xfId="3" applyNumberFormat="1" applyBorder="1"/>
    <xf numFmtId="3" fontId="32" fillId="5" borderId="51" xfId="3" applyNumberFormat="1" applyFill="1" applyBorder="1" applyAlignment="1">
      <alignment horizontal="left" indent="1"/>
    </xf>
    <xf numFmtId="1" fontId="32" fillId="2" borderId="52" xfId="4" applyNumberFormat="1" applyFill="1" applyBorder="1" applyAlignment="1">
      <alignment horizontal="center" textRotation="90"/>
    </xf>
    <xf numFmtId="1" fontId="32" fillId="2" borderId="9" xfId="3" applyNumberFormat="1" applyFill="1" applyBorder="1" applyAlignment="1">
      <alignment horizontal="left" vertical="center"/>
    </xf>
    <xf numFmtId="3" fontId="32" fillId="0" borderId="22" xfId="3" applyNumberFormat="1" applyBorder="1" applyAlignment="1">
      <alignment wrapText="1"/>
    </xf>
    <xf numFmtId="3" fontId="32" fillId="0" borderId="22" xfId="3" quotePrefix="1" applyNumberFormat="1" applyBorder="1"/>
    <xf numFmtId="0" fontId="55" fillId="3" borderId="0" xfId="30" applyFont="1" applyFill="1"/>
    <xf numFmtId="0" fontId="55" fillId="2" borderId="0" xfId="30" applyFont="1" applyFill="1"/>
    <xf numFmtId="0" fontId="56" fillId="2" borderId="0" xfId="30" applyFont="1" applyFill="1"/>
    <xf numFmtId="0" fontId="57" fillId="2" borderId="0" xfId="30" applyFont="1" applyFill="1"/>
    <xf numFmtId="0" fontId="55" fillId="0" borderId="0" xfId="30" applyFont="1"/>
    <xf numFmtId="0" fontId="55" fillId="0" borderId="0" xfId="30" applyFont="1" applyAlignment="1">
      <alignment horizontal="right"/>
    </xf>
    <xf numFmtId="3" fontId="55" fillId="0" borderId="0" xfId="30" applyNumberFormat="1" applyFont="1"/>
    <xf numFmtId="0" fontId="55" fillId="0" borderId="0" xfId="30" applyFont="1" applyAlignment="1">
      <alignment wrapText="1"/>
    </xf>
    <xf numFmtId="3" fontId="55" fillId="2" borderId="23" xfId="30" applyNumberFormat="1" applyFont="1" applyFill="1" applyBorder="1"/>
    <xf numFmtId="3" fontId="55" fillId="3" borderId="0" xfId="30" applyNumberFormat="1" applyFont="1" applyFill="1"/>
    <xf numFmtId="0" fontId="62" fillId="0" borderId="0" xfId="30" quotePrefix="1" applyFont="1"/>
    <xf numFmtId="1" fontId="55" fillId="0" borderId="0" xfId="30" applyNumberFormat="1" applyFont="1"/>
    <xf numFmtId="4" fontId="55" fillId="0" borderId="0" xfId="30" applyNumberFormat="1" applyFont="1"/>
    <xf numFmtId="0" fontId="62" fillId="0" borderId="0" xfId="30" applyFont="1"/>
    <xf numFmtId="0" fontId="52" fillId="0" borderId="0" xfId="30" applyFont="1"/>
    <xf numFmtId="0" fontId="28" fillId="0" borderId="0" xfId="30"/>
    <xf numFmtId="0" fontId="53" fillId="0" borderId="0" xfId="30" applyFont="1"/>
    <xf numFmtId="0" fontId="57" fillId="0" borderId="0" xfId="30" applyFont="1"/>
    <xf numFmtId="0" fontId="57" fillId="3" borderId="0" xfId="30" applyFont="1" applyFill="1" applyAlignment="1">
      <alignment vertical="center"/>
    </xf>
    <xf numFmtId="0" fontId="0" fillId="0" borderId="22" xfId="0" applyBorder="1"/>
    <xf numFmtId="1" fontId="32" fillId="2" borderId="63" xfId="3" applyNumberFormat="1" applyFill="1" applyBorder="1"/>
    <xf numFmtId="1" fontId="32" fillId="2" borderId="32" xfId="3" applyNumberFormat="1" applyFill="1" applyBorder="1"/>
    <xf numFmtId="3" fontId="32" fillId="2" borderId="33" xfId="3" applyNumberFormat="1" applyFill="1" applyBorder="1" applyAlignment="1" applyProtection="1">
      <alignment horizontal="left"/>
      <protection locked="0"/>
    </xf>
    <xf numFmtId="3" fontId="32" fillId="2" borderId="0" xfId="3" applyNumberFormat="1" applyFill="1" applyAlignment="1" applyProtection="1">
      <alignment horizontal="left"/>
      <protection locked="0"/>
    </xf>
    <xf numFmtId="0" fontId="69" fillId="2" borderId="0" xfId="30" applyFont="1" applyFill="1" applyAlignment="1">
      <alignment horizontal="center" vertical="center"/>
    </xf>
    <xf numFmtId="0" fontId="62" fillId="2" borderId="0" xfId="30" applyFont="1" applyFill="1"/>
    <xf numFmtId="0" fontId="62" fillId="2" borderId="27" xfId="30" applyFont="1" applyFill="1" applyBorder="1" applyAlignment="1">
      <alignment horizontal="center"/>
    </xf>
    <xf numFmtId="0" fontId="62" fillId="0" borderId="27" xfId="30" applyFont="1" applyBorder="1" applyAlignment="1">
      <alignment horizontal="center"/>
    </xf>
    <xf numFmtId="49" fontId="32" fillId="2" borderId="1" xfId="3" applyNumberFormat="1" applyFill="1" applyBorder="1" applyAlignment="1">
      <alignment horizontal="center" textRotation="90" wrapText="1"/>
    </xf>
    <xf numFmtId="49" fontId="32" fillId="2" borderId="13" xfId="3" applyNumberFormat="1" applyFill="1" applyBorder="1" applyAlignment="1">
      <alignment horizontal="center" textRotation="90" wrapText="1"/>
    </xf>
    <xf numFmtId="49" fontId="32" fillId="2" borderId="16" xfId="3" applyNumberFormat="1" applyFill="1" applyBorder="1" applyAlignment="1">
      <alignment horizontal="center" textRotation="90" wrapText="1"/>
    </xf>
    <xf numFmtId="49" fontId="32" fillId="2" borderId="11" xfId="3" applyNumberFormat="1" applyFill="1" applyBorder="1" applyAlignment="1">
      <alignment horizontal="center" textRotation="90" wrapText="1"/>
    </xf>
    <xf numFmtId="49" fontId="32" fillId="2" borderId="11" xfId="3" applyNumberFormat="1" applyFill="1" applyBorder="1" applyAlignment="1">
      <alignment horizontal="center" vertical="center" textRotation="90" wrapText="1"/>
    </xf>
    <xf numFmtId="49" fontId="48" fillId="0" borderId="10" xfId="3" applyNumberFormat="1" applyFont="1" applyBorder="1" applyAlignment="1">
      <alignment horizontal="center" wrapText="1"/>
    </xf>
    <xf numFmtId="49" fontId="32" fillId="2" borderId="1" xfId="3" applyNumberFormat="1" applyFill="1" applyBorder="1" applyAlignment="1">
      <alignment horizontal="center" textRotation="90" wrapText="1" readingOrder="1"/>
    </xf>
    <xf numFmtId="49" fontId="32" fillId="2" borderId="14" xfId="3" applyNumberFormat="1" applyFill="1" applyBorder="1" applyAlignment="1">
      <alignment horizontal="center" textRotation="90" wrapText="1"/>
    </xf>
    <xf numFmtId="3" fontId="32" fillId="5" borderId="34" xfId="3" applyNumberFormat="1" applyFill="1" applyBorder="1" applyAlignment="1">
      <alignment horizontal="left" indent="1"/>
    </xf>
    <xf numFmtId="3" fontId="32" fillId="5" borderId="36" xfId="3" applyNumberFormat="1" applyFill="1" applyBorder="1" applyAlignment="1">
      <alignment horizontal="left" indent="1"/>
    </xf>
    <xf numFmtId="3" fontId="71" fillId="0" borderId="22" xfId="3" applyNumberFormat="1" applyFont="1" applyBorder="1"/>
    <xf numFmtId="3" fontId="71" fillId="2" borderId="24" xfId="3" applyNumberFormat="1" applyFont="1" applyFill="1" applyBorder="1" applyAlignment="1">
      <alignment vertical="center"/>
    </xf>
    <xf numFmtId="3" fontId="32" fillId="5" borderId="0" xfId="3" applyNumberFormat="1" applyFill="1" applyAlignment="1">
      <alignment horizontal="left" indent="1"/>
    </xf>
    <xf numFmtId="3" fontId="32" fillId="5" borderId="71" xfId="3" applyNumberFormat="1" applyFill="1" applyBorder="1" applyAlignment="1">
      <alignment horizontal="left" indent="1"/>
    </xf>
    <xf numFmtId="3" fontId="55" fillId="2" borderId="0" xfId="30" applyNumberFormat="1" applyFont="1" applyFill="1"/>
    <xf numFmtId="3" fontId="48" fillId="2" borderId="75" xfId="3" applyNumberFormat="1" applyFont="1" applyFill="1" applyBorder="1" applyAlignment="1">
      <alignment horizontal="center" vertical="center"/>
    </xf>
    <xf numFmtId="3" fontId="48" fillId="2" borderId="27" xfId="3" applyNumberFormat="1" applyFont="1" applyFill="1" applyBorder="1" applyAlignment="1">
      <alignment horizontal="center" vertical="center"/>
    </xf>
    <xf numFmtId="3" fontId="48" fillId="2" borderId="48" xfId="3" applyNumberFormat="1" applyFont="1" applyFill="1" applyBorder="1" applyAlignment="1">
      <alignment horizontal="center" vertical="center"/>
    </xf>
    <xf numFmtId="3" fontId="48" fillId="2" borderId="29" xfId="3" applyNumberFormat="1" applyFont="1" applyFill="1" applyBorder="1" applyAlignment="1">
      <alignment horizontal="center" vertical="center"/>
    </xf>
    <xf numFmtId="3" fontId="48" fillId="2" borderId="76" xfId="3" applyNumberFormat="1" applyFont="1" applyFill="1" applyBorder="1" applyAlignment="1">
      <alignment horizontal="center" vertical="center"/>
    </xf>
    <xf numFmtId="3" fontId="55" fillId="8" borderId="28" xfId="29" applyNumberFormat="1" applyFont="1" applyBorder="1" applyAlignment="1">
      <alignment horizontal="left" indent="2"/>
    </xf>
    <xf numFmtId="3" fontId="32" fillId="2" borderId="68" xfId="3" applyNumberFormat="1" applyFill="1" applyBorder="1"/>
    <xf numFmtId="0" fontId="55" fillId="2" borderId="28" xfId="30" applyFont="1" applyFill="1" applyBorder="1"/>
    <xf numFmtId="0" fontId="55" fillId="2" borderId="76" xfId="30" applyFont="1" applyFill="1" applyBorder="1"/>
    <xf numFmtId="0" fontId="55" fillId="2" borderId="69" xfId="30" applyFont="1" applyFill="1" applyBorder="1"/>
    <xf numFmtId="3" fontId="32" fillId="2" borderId="64" xfId="3" applyNumberFormat="1" applyFill="1" applyBorder="1" applyAlignment="1">
      <alignment vertical="center"/>
    </xf>
    <xf numFmtId="3" fontId="32" fillId="2" borderId="70" xfId="3" applyNumberFormat="1" applyFill="1" applyBorder="1" applyAlignment="1">
      <alignment vertical="center"/>
    </xf>
    <xf numFmtId="3" fontId="32" fillId="2" borderId="63" xfId="3" applyNumberFormat="1" applyFill="1" applyBorder="1" applyAlignment="1">
      <alignment vertical="center"/>
    </xf>
    <xf numFmtId="3" fontId="32" fillId="2" borderId="35" xfId="3" applyNumberFormat="1" applyFill="1" applyBorder="1" applyAlignment="1">
      <alignment vertical="center"/>
    </xf>
    <xf numFmtId="3" fontId="55" fillId="8" borderId="20" xfId="29" applyNumberFormat="1" applyFont="1" applyBorder="1" applyAlignment="1">
      <alignment horizontal="left" indent="2"/>
    </xf>
    <xf numFmtId="3" fontId="32" fillId="2" borderId="62" xfId="3" applyNumberFormat="1" applyFill="1" applyBorder="1"/>
    <xf numFmtId="3" fontId="32" fillId="2" borderId="64" xfId="3" applyNumberFormat="1" applyFill="1" applyBorder="1"/>
    <xf numFmtId="3" fontId="32" fillId="2" borderId="72" xfId="3" applyNumberFormat="1" applyFill="1" applyBorder="1"/>
    <xf numFmtId="0" fontId="55" fillId="2" borderId="20" xfId="30" applyFont="1" applyFill="1" applyBorder="1"/>
    <xf numFmtId="0" fontId="55" fillId="2" borderId="39" xfId="30" applyFont="1" applyFill="1" applyBorder="1"/>
    <xf numFmtId="3" fontId="32" fillId="2" borderId="21" xfId="3" applyNumberFormat="1" applyFill="1" applyBorder="1" applyAlignment="1">
      <alignment vertical="center"/>
    </xf>
    <xf numFmtId="3" fontId="32" fillId="2" borderId="22" xfId="3" applyNumberFormat="1" applyFill="1" applyBorder="1" applyAlignment="1">
      <alignment vertical="center"/>
    </xf>
    <xf numFmtId="3" fontId="32" fillId="2" borderId="47" xfId="3" applyNumberFormat="1" applyFill="1" applyBorder="1" applyAlignment="1">
      <alignment vertical="center"/>
    </xf>
    <xf numFmtId="3" fontId="32" fillId="2" borderId="23" xfId="3" applyNumberFormat="1" applyFill="1" applyBorder="1" applyAlignment="1">
      <alignment vertical="center"/>
    </xf>
    <xf numFmtId="3" fontId="32" fillId="2" borderId="25" xfId="3" applyNumberFormat="1" applyFill="1" applyBorder="1" applyAlignment="1">
      <alignment vertical="center"/>
    </xf>
    <xf numFmtId="3" fontId="55" fillId="8" borderId="24" xfId="29" applyNumberFormat="1" applyFont="1" applyBorder="1" applyAlignment="1">
      <alignment horizontal="left" vertical="center" indent="2"/>
    </xf>
    <xf numFmtId="3" fontId="32" fillId="2" borderId="55" xfId="3" applyNumberFormat="1" applyFill="1" applyBorder="1"/>
    <xf numFmtId="0" fontId="55" fillId="2" borderId="24" xfId="30" applyFont="1" applyFill="1" applyBorder="1"/>
    <xf numFmtId="3" fontId="32" fillId="2" borderId="31" xfId="3" applyNumberFormat="1" applyFill="1" applyBorder="1" applyAlignment="1">
      <alignment vertical="center"/>
    </xf>
    <xf numFmtId="3" fontId="32" fillId="2" borderId="32" xfId="3" applyNumberFormat="1" applyFill="1" applyBorder="1" applyAlignment="1">
      <alignment vertical="center"/>
    </xf>
    <xf numFmtId="3" fontId="32" fillId="2" borderId="49" xfId="3" applyNumberFormat="1" applyFill="1" applyBorder="1" applyAlignment="1">
      <alignment vertical="center"/>
    </xf>
    <xf numFmtId="3" fontId="32" fillId="2" borderId="33" xfId="3" applyNumberFormat="1" applyFill="1" applyBorder="1" applyAlignment="1">
      <alignment vertical="center"/>
    </xf>
    <xf numFmtId="3" fontId="32" fillId="2" borderId="38" xfId="3" applyNumberFormat="1" applyFill="1" applyBorder="1" applyAlignment="1">
      <alignment vertical="center"/>
    </xf>
    <xf numFmtId="3" fontId="55" fillId="8" borderId="30" xfId="29" applyNumberFormat="1" applyFont="1" applyBorder="1" applyAlignment="1">
      <alignment horizontal="left" vertical="center" indent="2"/>
    </xf>
    <xf numFmtId="3" fontId="32" fillId="2" borderId="66" xfId="3" applyNumberFormat="1" applyFill="1" applyBorder="1"/>
    <xf numFmtId="0" fontId="55" fillId="2" borderId="30" xfId="30" applyFont="1" applyFill="1" applyBorder="1"/>
    <xf numFmtId="0" fontId="55" fillId="2" borderId="38" xfId="30" applyFont="1" applyFill="1" applyBorder="1"/>
    <xf numFmtId="3" fontId="32" fillId="2" borderId="40" xfId="3" applyNumberFormat="1" applyFill="1" applyBorder="1" applyAlignment="1">
      <alignment vertical="center"/>
    </xf>
    <xf numFmtId="3" fontId="32" fillId="2" borderId="41" xfId="3" applyNumberFormat="1" applyFill="1" applyBorder="1" applyAlignment="1">
      <alignment vertical="center"/>
    </xf>
    <xf numFmtId="3" fontId="32" fillId="2" borderId="45" xfId="3" applyNumberFormat="1" applyFill="1" applyBorder="1" applyAlignment="1">
      <alignment vertical="center"/>
    </xf>
    <xf numFmtId="3" fontId="32" fillId="2" borderId="42" xfId="3" applyNumberFormat="1" applyFill="1" applyBorder="1" applyAlignment="1">
      <alignment vertical="center"/>
    </xf>
    <xf numFmtId="3" fontId="32" fillId="2" borderId="8" xfId="3" applyNumberFormat="1" applyFill="1" applyBorder="1" applyAlignment="1">
      <alignment vertical="center"/>
    </xf>
    <xf numFmtId="3" fontId="55" fillId="8" borderId="44" xfId="29" applyNumberFormat="1" applyFont="1" applyBorder="1" applyAlignment="1">
      <alignment horizontal="left" vertical="center" indent="2"/>
    </xf>
    <xf numFmtId="3" fontId="32" fillId="2" borderId="40" xfId="3" applyNumberFormat="1" applyFill="1" applyBorder="1"/>
    <xf numFmtId="3" fontId="32" fillId="2" borderId="41" xfId="3" applyNumberFormat="1" applyFill="1" applyBorder="1"/>
    <xf numFmtId="3" fontId="32" fillId="2" borderId="46" xfId="3" applyNumberFormat="1" applyFill="1" applyBorder="1"/>
    <xf numFmtId="0" fontId="55" fillId="2" borderId="44" xfId="30" applyFont="1" applyFill="1" applyBorder="1"/>
    <xf numFmtId="0" fontId="55" fillId="2" borderId="8" xfId="30" applyFont="1" applyFill="1" applyBorder="1"/>
    <xf numFmtId="4" fontId="55" fillId="2" borderId="0" xfId="30" applyNumberFormat="1" applyFont="1" applyFill="1"/>
    <xf numFmtId="1" fontId="32" fillId="2" borderId="32" xfId="3" applyNumberFormat="1" applyFill="1" applyBorder="1" applyAlignment="1">
      <alignment horizontal="right"/>
    </xf>
    <xf numFmtId="1" fontId="32" fillId="2" borderId="33" xfId="3" applyNumberFormat="1" applyFill="1" applyBorder="1"/>
    <xf numFmtId="0" fontId="72" fillId="2" borderId="0" xfId="30" applyFont="1" applyFill="1"/>
    <xf numFmtId="1" fontId="32" fillId="2" borderId="0" xfId="3" applyNumberFormat="1" applyFill="1" applyAlignment="1">
      <alignment horizontal="right"/>
    </xf>
    <xf numFmtId="0" fontId="69" fillId="2" borderId="0" xfId="30" applyFont="1" applyFill="1"/>
    <xf numFmtId="0" fontId="53" fillId="2" borderId="0" xfId="30" applyFont="1" applyFill="1" applyAlignment="1">
      <alignment vertical="center"/>
    </xf>
    <xf numFmtId="0" fontId="55" fillId="2" borderId="27" xfId="30" applyFont="1" applyFill="1" applyBorder="1" applyAlignment="1">
      <alignment horizontal="center" textRotation="90"/>
    </xf>
    <xf numFmtId="0" fontId="73" fillId="2" borderId="27" xfId="30" applyFont="1" applyFill="1" applyBorder="1" applyAlignment="1">
      <alignment horizontal="center" textRotation="90"/>
    </xf>
    <xf numFmtId="0" fontId="55" fillId="2" borderId="27" xfId="30" applyFont="1" applyFill="1" applyBorder="1" applyAlignment="1">
      <alignment horizontal="center" vertical="center"/>
    </xf>
    <xf numFmtId="49" fontId="32" fillId="2" borderId="77" xfId="3" applyNumberFormat="1" applyFill="1" applyBorder="1" applyAlignment="1">
      <alignment horizontal="center" textRotation="90" wrapText="1"/>
    </xf>
    <xf numFmtId="4" fontId="32" fillId="2" borderId="58" xfId="3" applyNumberFormat="1" applyFill="1" applyBorder="1" applyAlignment="1">
      <alignment horizontal="center" textRotation="90" wrapText="1"/>
    </xf>
    <xf numFmtId="3" fontId="32" fillId="2" borderId="39" xfId="3" applyNumberFormat="1" applyFill="1" applyBorder="1" applyAlignment="1">
      <alignment horizontal="center" textRotation="90" wrapText="1"/>
    </xf>
    <xf numFmtId="0" fontId="75" fillId="2" borderId="0" xfId="30" applyFont="1" applyFill="1" applyAlignment="1">
      <alignment vertical="center"/>
    </xf>
    <xf numFmtId="0" fontId="55" fillId="11" borderId="63" xfId="30" applyFont="1" applyFill="1" applyBorder="1"/>
    <xf numFmtId="3" fontId="60" fillId="2" borderId="14" xfId="30" applyNumberFormat="1" applyFont="1" applyFill="1" applyBorder="1"/>
    <xf numFmtId="0" fontId="55" fillId="2" borderId="0" xfId="30" applyFont="1" applyFill="1" applyAlignment="1">
      <alignment vertical="center"/>
    </xf>
    <xf numFmtId="3" fontId="32" fillId="2" borderId="0" xfId="3" applyNumberFormat="1" applyFill="1" applyAlignment="1">
      <alignment horizontal="left" indent="1"/>
    </xf>
    <xf numFmtId="1" fontId="71" fillId="2" borderId="62" xfId="3" applyNumberFormat="1" applyFont="1" applyFill="1" applyBorder="1"/>
    <xf numFmtId="1" fontId="71" fillId="2" borderId="64" xfId="3" applyNumberFormat="1" applyFont="1" applyFill="1" applyBorder="1"/>
    <xf numFmtId="1" fontId="71" fillId="2" borderId="63" xfId="3" applyNumberFormat="1" applyFont="1" applyFill="1" applyBorder="1"/>
    <xf numFmtId="1" fontId="71" fillId="2" borderId="31" xfId="3" applyNumberFormat="1" applyFont="1" applyFill="1" applyBorder="1" applyAlignment="1">
      <alignment wrapText="1"/>
    </xf>
    <xf numFmtId="1" fontId="71" fillId="2" borderId="32" xfId="3" applyNumberFormat="1" applyFont="1" applyFill="1" applyBorder="1"/>
    <xf numFmtId="1" fontId="71" fillId="2" borderId="32" xfId="3" applyNumberFormat="1" applyFont="1" applyFill="1" applyBorder="1" applyAlignment="1">
      <alignment horizontal="left"/>
    </xf>
    <xf numFmtId="1" fontId="71" fillId="2" borderId="33" xfId="3" applyNumberFormat="1" applyFont="1" applyFill="1" applyBorder="1"/>
    <xf numFmtId="0" fontId="62" fillId="2" borderId="27" xfId="30" applyFont="1" applyFill="1" applyBorder="1" applyAlignment="1">
      <alignment horizontal="center" vertical="center"/>
    </xf>
    <xf numFmtId="0" fontId="55" fillId="11" borderId="29" xfId="30" applyFont="1" applyFill="1" applyBorder="1"/>
    <xf numFmtId="0" fontId="55" fillId="2" borderId="0" xfId="30" applyFont="1" applyFill="1" applyAlignment="1">
      <alignment horizontal="center"/>
    </xf>
    <xf numFmtId="0" fontId="71" fillId="2" borderId="0" xfId="30" applyFont="1" applyFill="1"/>
    <xf numFmtId="0" fontId="78" fillId="2" borderId="0" xfId="30" applyFont="1" applyFill="1"/>
    <xf numFmtId="3" fontId="56" fillId="2" borderId="0" xfId="30" applyNumberFormat="1" applyFont="1" applyFill="1"/>
    <xf numFmtId="0" fontId="59" fillId="2" borderId="0" xfId="30" applyFont="1" applyFill="1"/>
    <xf numFmtId="1" fontId="32" fillId="2" borderId="69" xfId="3" applyNumberFormat="1" applyFill="1" applyBorder="1" applyAlignment="1">
      <alignment horizontal="left"/>
    </xf>
    <xf numFmtId="1" fontId="32" fillId="2" borderId="34" xfId="3" applyNumberFormat="1" applyFill="1" applyBorder="1" applyAlignment="1">
      <alignment horizontal="left"/>
    </xf>
    <xf numFmtId="1" fontId="32" fillId="2" borderId="70" xfId="3" applyNumberFormat="1" applyFill="1" applyBorder="1" applyAlignment="1">
      <alignment horizontal="left"/>
    </xf>
    <xf numFmtId="1" fontId="32" fillId="2" borderId="31" xfId="3" applyNumberFormat="1" applyFill="1" applyBorder="1"/>
    <xf numFmtId="49" fontId="48" fillId="0" borderId="11" xfId="3" applyNumberFormat="1" applyFont="1" applyBorder="1" applyAlignment="1">
      <alignment horizontal="center" vertical="center" wrapText="1"/>
    </xf>
    <xf numFmtId="3" fontId="71" fillId="2" borderId="22" xfId="3" applyNumberFormat="1" applyFont="1" applyFill="1" applyBorder="1" applyAlignment="1">
      <alignment vertical="center"/>
    </xf>
    <xf numFmtId="3" fontId="71" fillId="2" borderId="55" xfId="3" applyNumberFormat="1" applyFont="1" applyFill="1" applyBorder="1" applyAlignment="1">
      <alignment vertical="center"/>
    </xf>
    <xf numFmtId="3" fontId="71" fillId="2" borderId="22" xfId="3" applyNumberFormat="1" applyFont="1" applyFill="1" applyBorder="1"/>
    <xf numFmtId="3" fontId="71" fillId="2" borderId="47" xfId="3" applyNumberFormat="1" applyFont="1" applyFill="1" applyBorder="1"/>
    <xf numFmtId="0" fontId="62" fillId="2" borderId="27" xfId="30" applyFont="1" applyFill="1" applyBorder="1" applyAlignment="1">
      <alignment horizontal="center" vertical="center" wrapText="1"/>
    </xf>
    <xf numFmtId="0" fontId="62" fillId="0" borderId="27" xfId="30" applyFont="1" applyBorder="1" applyAlignment="1">
      <alignment horizontal="center" vertical="center"/>
    </xf>
    <xf numFmtId="49" fontId="32" fillId="2" borderId="15" xfId="3" applyNumberFormat="1" applyFill="1" applyBorder="1" applyAlignment="1">
      <alignment horizontal="center" textRotation="90" wrapText="1"/>
    </xf>
    <xf numFmtId="49" fontId="32" fillId="2" borderId="15" xfId="3" applyNumberFormat="1" applyFill="1" applyBorder="1" applyAlignment="1">
      <alignment horizontal="center" textRotation="90" wrapText="1" readingOrder="1"/>
    </xf>
    <xf numFmtId="3" fontId="79" fillId="11" borderId="78" xfId="3" applyNumberFormat="1" applyFont="1" applyFill="1" applyBorder="1"/>
    <xf numFmtId="3" fontId="71" fillId="2" borderId="47" xfId="3" applyNumberFormat="1" applyFont="1" applyFill="1" applyBorder="1" applyAlignment="1">
      <alignment vertical="center"/>
    </xf>
    <xf numFmtId="4" fontId="28" fillId="2" borderId="0" xfId="30" applyNumberFormat="1" applyFill="1" applyAlignment="1">
      <alignment horizontal="right" vertical="center"/>
    </xf>
    <xf numFmtId="3" fontId="79" fillId="11" borderId="24" xfId="3" applyNumberFormat="1" applyFont="1" applyFill="1" applyBorder="1"/>
    <xf numFmtId="3" fontId="79" fillId="11" borderId="36" xfId="3" applyNumberFormat="1" applyFont="1" applyFill="1" applyBorder="1"/>
    <xf numFmtId="3" fontId="79" fillId="11" borderId="47" xfId="3" applyNumberFormat="1" applyFont="1" applyFill="1" applyBorder="1"/>
    <xf numFmtId="0" fontId="60" fillId="3" borderId="0" xfId="30" quotePrefix="1" applyFont="1" applyFill="1"/>
    <xf numFmtId="0" fontId="60" fillId="3" borderId="0" xfId="30" applyFont="1" applyFill="1"/>
    <xf numFmtId="0" fontId="56" fillId="0" borderId="0" xfId="30" applyFont="1"/>
    <xf numFmtId="0" fontId="54" fillId="0" borderId="0" xfId="30" applyFont="1"/>
    <xf numFmtId="0" fontId="57" fillId="3" borderId="0" xfId="30" applyFont="1" applyFill="1" applyAlignment="1">
      <alignment horizontal="left" vertical="center"/>
    </xf>
    <xf numFmtId="0" fontId="55" fillId="2" borderId="79" xfId="30" applyFont="1" applyFill="1" applyBorder="1"/>
    <xf numFmtId="0" fontId="55" fillId="0" borderId="79" xfId="30" applyFont="1" applyBorder="1"/>
    <xf numFmtId="0" fontId="34" fillId="0" borderId="22" xfId="0" applyFont="1" applyBorder="1"/>
    <xf numFmtId="3" fontId="34" fillId="0" borderId="22" xfId="0" applyNumberFormat="1" applyFont="1" applyBorder="1"/>
    <xf numFmtId="0" fontId="34" fillId="0" borderId="0" xfId="0" applyFont="1"/>
    <xf numFmtId="3" fontId="34" fillId="0" borderId="0" xfId="0" applyNumberFormat="1" applyFont="1"/>
    <xf numFmtId="9" fontId="32" fillId="0" borderId="22" xfId="4" applyFont="1" applyFill="1" applyBorder="1"/>
    <xf numFmtId="0" fontId="34" fillId="0" borderId="55" xfId="3" applyFont="1" applyBorder="1"/>
    <xf numFmtId="0" fontId="0" fillId="0" borderId="47" xfId="0" applyBorder="1"/>
    <xf numFmtId="0" fontId="34" fillId="0" borderId="27" xfId="3" applyFont="1" applyBorder="1"/>
    <xf numFmtId="167" fontId="0" fillId="0" borderId="22" xfId="0" applyNumberFormat="1" applyBorder="1"/>
    <xf numFmtId="167" fontId="34" fillId="0" borderId="22" xfId="0" applyNumberFormat="1" applyFont="1" applyBorder="1"/>
    <xf numFmtId="49" fontId="32" fillId="0" borderId="41" xfId="3" applyNumberFormat="1" applyBorder="1" applyAlignment="1">
      <alignment horizontal="center" textRotation="90" wrapText="1"/>
    </xf>
    <xf numFmtId="3" fontId="32" fillId="0" borderId="32" xfId="3" applyNumberFormat="1" applyBorder="1"/>
    <xf numFmtId="1" fontId="32" fillId="0" borderId="58" xfId="3" applyNumberFormat="1" applyBorder="1" applyAlignment="1">
      <alignment horizontal="center" textRotation="90" wrapText="1"/>
    </xf>
    <xf numFmtId="1" fontId="32" fillId="0" borderId="54" xfId="3" applyNumberFormat="1" applyBorder="1" applyAlignment="1">
      <alignment horizontal="center" textRotation="90" wrapText="1"/>
    </xf>
    <xf numFmtId="167" fontId="32" fillId="0" borderId="56" xfId="3" applyNumberFormat="1" applyBorder="1"/>
    <xf numFmtId="3" fontId="34" fillId="0" borderId="22" xfId="3" applyNumberFormat="1" applyFont="1" applyBorder="1"/>
    <xf numFmtId="3" fontId="32" fillId="0" borderId="26" xfId="3" applyNumberFormat="1" applyBorder="1"/>
    <xf numFmtId="3" fontId="32" fillId="0" borderId="31" xfId="3" applyNumberFormat="1" applyBorder="1"/>
    <xf numFmtId="1" fontId="32" fillId="0" borderId="16" xfId="3" applyNumberFormat="1" applyBorder="1" applyAlignment="1">
      <alignment vertical="center"/>
    </xf>
    <xf numFmtId="1" fontId="32" fillId="0" borderId="0" xfId="27" applyNumberFormat="1" applyFont="1" applyFill="1" applyAlignment="1">
      <alignment horizontal="right"/>
    </xf>
    <xf numFmtId="3" fontId="32" fillId="0" borderId="62" xfId="27" applyNumberFormat="1" applyFont="1" applyFill="1" applyBorder="1"/>
    <xf numFmtId="3" fontId="32" fillId="0" borderId="64" xfId="27" applyNumberFormat="1" applyFont="1" applyFill="1" applyBorder="1"/>
    <xf numFmtId="3" fontId="32" fillId="0" borderId="63" xfId="27" applyNumberFormat="1" applyFont="1" applyFill="1" applyBorder="1"/>
    <xf numFmtId="3" fontId="32" fillId="0" borderId="19" xfId="3" applyNumberFormat="1" applyBorder="1"/>
    <xf numFmtId="166" fontId="32" fillId="0" borderId="53" xfId="4" applyNumberFormat="1" applyFill="1" applyBorder="1" applyAlignment="1">
      <alignment horizontal="center" textRotation="90"/>
    </xf>
    <xf numFmtId="3" fontId="32" fillId="0" borderId="47" xfId="3" applyNumberFormat="1" applyBorder="1"/>
    <xf numFmtId="3" fontId="32" fillId="0" borderId="29" xfId="3" applyNumberFormat="1" applyBorder="1"/>
    <xf numFmtId="1" fontId="41" fillId="2" borderId="43" xfId="3" applyNumberFormat="1" applyFont="1" applyFill="1" applyBorder="1" applyAlignment="1">
      <alignment horizontal="center"/>
    </xf>
    <xf numFmtId="0" fontId="32" fillId="2" borderId="18" xfId="3" applyFill="1" applyBorder="1"/>
    <xf numFmtId="0" fontId="48" fillId="2" borderId="0" xfId="3" applyFont="1" applyFill="1"/>
    <xf numFmtId="0" fontId="34" fillId="2" borderId="0" xfId="3" applyFont="1" applyFill="1"/>
    <xf numFmtId="0" fontId="34" fillId="2" borderId="0" xfId="3" applyFont="1" applyFill="1" applyAlignment="1">
      <alignment horizontal="center"/>
    </xf>
    <xf numFmtId="3" fontId="0" fillId="2" borderId="0" xfId="5" applyNumberFormat="1" applyFont="1" applyFill="1" applyBorder="1"/>
    <xf numFmtId="3" fontId="34" fillId="2" borderId="0" xfId="3" applyNumberFormat="1" applyFont="1" applyFill="1"/>
    <xf numFmtId="166" fontId="34" fillId="2" borderId="0" xfId="3" applyNumberFormat="1" applyFont="1" applyFill="1"/>
    <xf numFmtId="171" fontId="32" fillId="2" borderId="0" xfId="3" applyNumberFormat="1" applyFill="1"/>
    <xf numFmtId="166" fontId="85" fillId="2" borderId="0" xfId="3" applyNumberFormat="1" applyFont="1" applyFill="1"/>
    <xf numFmtId="0" fontId="34" fillId="2" borderId="0" xfId="3" applyFont="1" applyFill="1" applyAlignment="1">
      <alignment horizontal="center" wrapText="1"/>
    </xf>
    <xf numFmtId="3" fontId="32" fillId="2" borderId="0" xfId="3" applyNumberFormat="1" applyFill="1" applyAlignment="1">
      <alignment horizontal="center"/>
    </xf>
    <xf numFmtId="9" fontId="0" fillId="2" borderId="0" xfId="4" applyFont="1" applyFill="1" applyBorder="1"/>
    <xf numFmtId="0" fontId="0" fillId="2" borderId="0" xfId="4" applyNumberFormat="1" applyFont="1" applyFill="1"/>
    <xf numFmtId="9" fontId="0" fillId="2" borderId="18" xfId="4" applyFont="1" applyFill="1" applyBorder="1" applyAlignment="1">
      <alignment horizontal="center" vertical="center"/>
    </xf>
    <xf numFmtId="9" fontId="34" fillId="2" borderId="0" xfId="4" applyFont="1" applyFill="1" applyBorder="1"/>
    <xf numFmtId="3" fontId="34" fillId="2" borderId="0" xfId="4" applyNumberFormat="1" applyFont="1" applyFill="1"/>
    <xf numFmtId="9" fontId="32" fillId="2" borderId="18" xfId="4" applyFont="1" applyFill="1" applyBorder="1" applyAlignment="1">
      <alignment horizontal="center"/>
    </xf>
    <xf numFmtId="9" fontId="0" fillId="2" borderId="18" xfId="4" applyFont="1" applyFill="1" applyBorder="1" applyAlignment="1">
      <alignment horizontal="center"/>
    </xf>
    <xf numFmtId="9" fontId="0" fillId="2" borderId="0" xfId="4" applyFont="1" applyFill="1"/>
    <xf numFmtId="0" fontId="32" fillId="2" borderId="0" xfId="4" applyNumberFormat="1" applyFont="1" applyFill="1" applyBorder="1" applyAlignment="1">
      <alignment horizontal="center"/>
    </xf>
    <xf numFmtId="1" fontId="32" fillId="2" borderId="0" xfId="3" applyNumberFormat="1" applyFill="1" applyAlignment="1">
      <alignment horizontal="center"/>
    </xf>
    <xf numFmtId="1" fontId="0" fillId="2" borderId="0" xfId="4" applyNumberFormat="1" applyFont="1" applyFill="1" applyBorder="1" applyAlignment="1">
      <alignment horizontal="center"/>
    </xf>
    <xf numFmtId="0" fontId="86" fillId="2" borderId="0" xfId="3" applyFont="1" applyFill="1"/>
    <xf numFmtId="0" fontId="32" fillId="2" borderId="0" xfId="0" applyFont="1" applyFill="1"/>
    <xf numFmtId="0" fontId="34" fillId="2" borderId="0" xfId="0" applyFont="1" applyFill="1"/>
    <xf numFmtId="3" fontId="0" fillId="2" borderId="0" xfId="0" applyNumberFormat="1" applyFill="1"/>
    <xf numFmtId="166" fontId="0" fillId="2" borderId="0" xfId="0" applyNumberFormat="1" applyFill="1"/>
    <xf numFmtId="166" fontId="88" fillId="2" borderId="0" xfId="0" applyNumberFormat="1" applyFont="1" applyFill="1"/>
    <xf numFmtId="4" fontId="0" fillId="2" borderId="22" xfId="0" applyNumberFormat="1" applyFill="1" applyBorder="1"/>
    <xf numFmtId="182" fontId="0" fillId="2" borderId="0" xfId="0" applyNumberFormat="1" applyFill="1"/>
    <xf numFmtId="4" fontId="0" fillId="2" borderId="0" xfId="0" applyNumberFormat="1" applyFill="1"/>
    <xf numFmtId="167" fontId="0" fillId="2" borderId="0" xfId="0" applyNumberFormat="1" applyFill="1"/>
    <xf numFmtId="167" fontId="0" fillId="0" borderId="0" xfId="0" applyNumberFormat="1"/>
    <xf numFmtId="4" fontId="32" fillId="2" borderId="0" xfId="0" applyNumberFormat="1" applyFont="1" applyFill="1"/>
    <xf numFmtId="167" fontId="83" fillId="2" borderId="0" xfId="0" applyNumberFormat="1" applyFont="1" applyFill="1"/>
    <xf numFmtId="1" fontId="32" fillId="14" borderId="1" xfId="3" applyNumberFormat="1" applyFill="1" applyBorder="1" applyAlignment="1">
      <alignment vertical="center"/>
    </xf>
    <xf numFmtId="166" fontId="32" fillId="14" borderId="53" xfId="4" applyNumberFormat="1" applyFill="1" applyBorder="1" applyAlignment="1">
      <alignment horizontal="center" textRotation="90"/>
    </xf>
    <xf numFmtId="3" fontId="32" fillId="14" borderId="22" xfId="3" applyNumberFormat="1" applyFill="1" applyBorder="1"/>
    <xf numFmtId="3" fontId="32" fillId="14" borderId="29" xfId="3" applyNumberFormat="1" applyFill="1" applyBorder="1"/>
    <xf numFmtId="3" fontId="32" fillId="14" borderId="22" xfId="27" applyNumberFormat="1" applyFont="1" applyFill="1" applyBorder="1"/>
    <xf numFmtId="3" fontId="32" fillId="14" borderId="27" xfId="3" applyNumberFormat="1" applyFill="1" applyBorder="1"/>
    <xf numFmtId="3" fontId="32" fillId="2" borderId="22" xfId="27" applyNumberFormat="1" applyFont="1" applyFill="1" applyBorder="1"/>
    <xf numFmtId="0" fontId="0" fillId="0" borderId="0" xfId="0" applyAlignment="1">
      <alignment horizontal="right"/>
    </xf>
    <xf numFmtId="166" fontId="0" fillId="0" borderId="0" xfId="0" applyNumberFormat="1" applyAlignment="1">
      <alignment horizontal="right"/>
    </xf>
    <xf numFmtId="0" fontId="34" fillId="0" borderId="0" xfId="0" applyFont="1" applyAlignment="1">
      <alignment horizontal="right"/>
    </xf>
    <xf numFmtId="3" fontId="32" fillId="0" borderId="1" xfId="3" applyNumberFormat="1" applyBorder="1"/>
    <xf numFmtId="3" fontId="32" fillId="0" borderId="13" xfId="3" applyNumberFormat="1" applyBorder="1"/>
    <xf numFmtId="3" fontId="32" fillId="0" borderId="14" xfId="3" applyNumberFormat="1" applyBorder="1"/>
    <xf numFmtId="3" fontId="32" fillId="0" borderId="33" xfId="3" applyNumberFormat="1" applyBorder="1"/>
    <xf numFmtId="167" fontId="32" fillId="0" borderId="34" xfId="3" applyNumberFormat="1" applyBorder="1"/>
    <xf numFmtId="167" fontId="32" fillId="0" borderId="57" xfId="0" applyNumberFormat="1" applyFont="1" applyBorder="1"/>
    <xf numFmtId="3" fontId="32" fillId="0" borderId="62" xfId="3" applyNumberFormat="1" applyBorder="1"/>
    <xf numFmtId="3" fontId="32" fillId="0" borderId="63" xfId="3" applyNumberFormat="1" applyBorder="1"/>
    <xf numFmtId="167" fontId="32" fillId="0" borderId="21" xfId="3" applyNumberFormat="1" applyBorder="1"/>
    <xf numFmtId="3" fontId="32" fillId="0" borderId="48" xfId="3" applyNumberFormat="1" applyBorder="1"/>
    <xf numFmtId="3" fontId="34" fillId="0" borderId="30" xfId="3" applyNumberFormat="1" applyFont="1" applyBorder="1"/>
    <xf numFmtId="3" fontId="32" fillId="0" borderId="49" xfId="3" applyNumberFormat="1" applyBorder="1"/>
    <xf numFmtId="3" fontId="34" fillId="0" borderId="11" xfId="3" applyNumberFormat="1" applyFont="1" applyBorder="1"/>
    <xf numFmtId="3" fontId="32" fillId="0" borderId="15" xfId="3" applyNumberFormat="1" applyBorder="1"/>
    <xf numFmtId="3" fontId="32" fillId="0" borderId="50" xfId="0" applyNumberFormat="1" applyFont="1" applyBorder="1"/>
    <xf numFmtId="3" fontId="32" fillId="0" borderId="18" xfId="0" applyNumberFormat="1" applyFont="1" applyBorder="1"/>
    <xf numFmtId="3" fontId="32" fillId="0" borderId="19" xfId="0" applyNumberFormat="1" applyFont="1" applyBorder="1"/>
    <xf numFmtId="3" fontId="32" fillId="0" borderId="47" xfId="0" applyNumberFormat="1" applyFont="1" applyBorder="1"/>
    <xf numFmtId="3" fontId="32" fillId="5" borderId="25" xfId="3" applyNumberFormat="1" applyFill="1" applyBorder="1" applyAlignment="1">
      <alignment horizontal="left" indent="1"/>
    </xf>
    <xf numFmtId="1" fontId="32" fillId="0" borderId="1" xfId="3" applyNumberFormat="1" applyBorder="1" applyAlignment="1">
      <alignment vertical="center"/>
    </xf>
    <xf numFmtId="0" fontId="91" fillId="3" borderId="0" xfId="3" applyFont="1" applyFill="1"/>
    <xf numFmtId="0" fontId="92" fillId="3" borderId="0" xfId="3" applyFont="1" applyFill="1"/>
    <xf numFmtId="0" fontId="84" fillId="2" borderId="0" xfId="3" applyFont="1" applyFill="1"/>
    <xf numFmtId="0" fontId="92" fillId="2" borderId="0" xfId="3" applyFont="1" applyFill="1"/>
    <xf numFmtId="1" fontId="92" fillId="2" borderId="0" xfId="3" applyNumberFormat="1" applyFont="1" applyFill="1"/>
    <xf numFmtId="0" fontId="92" fillId="0" borderId="0" xfId="3" applyFont="1"/>
    <xf numFmtId="3" fontId="92" fillId="2" borderId="0" xfId="3" applyNumberFormat="1" applyFont="1" applyFill="1"/>
    <xf numFmtId="0" fontId="82" fillId="3" borderId="0" xfId="3" applyFont="1" applyFill="1"/>
    <xf numFmtId="0" fontId="52" fillId="3" borderId="12" xfId="3" applyFont="1" applyFill="1" applyBorder="1" applyAlignment="1">
      <alignment vertical="center"/>
    </xf>
    <xf numFmtId="0" fontId="52" fillId="0" borderId="62" xfId="3" applyFont="1" applyBorder="1" applyAlignment="1">
      <alignment horizontal="left"/>
    </xf>
    <xf numFmtId="0" fontId="52" fillId="0" borderId="64" xfId="3" applyFont="1" applyBorder="1" applyAlignment="1">
      <alignment horizontal="left"/>
    </xf>
    <xf numFmtId="0" fontId="52" fillId="0" borderId="72" xfId="3" applyFont="1" applyBorder="1" applyAlignment="1">
      <alignment horizontal="left"/>
    </xf>
    <xf numFmtId="0" fontId="52" fillId="0" borderId="64" xfId="3" applyFont="1" applyBorder="1" applyAlignment="1">
      <alignment horizontal="left" wrapText="1"/>
    </xf>
    <xf numFmtId="0" fontId="52" fillId="0" borderId="63" xfId="3" applyFont="1" applyBorder="1" applyAlignment="1">
      <alignment horizontal="left"/>
    </xf>
    <xf numFmtId="0" fontId="52" fillId="0" borderId="63" xfId="3" applyFont="1" applyBorder="1" applyAlignment="1">
      <alignment horizontal="left" wrapText="1"/>
    </xf>
    <xf numFmtId="0" fontId="52" fillId="0" borderId="35" xfId="3" applyFont="1" applyBorder="1" applyAlignment="1">
      <alignment horizontal="left" wrapText="1"/>
    </xf>
    <xf numFmtId="0" fontId="92" fillId="2" borderId="9" xfId="3" applyFont="1" applyFill="1" applyBorder="1"/>
    <xf numFmtId="0" fontId="92" fillId="2" borderId="10" xfId="3" applyFont="1" applyFill="1" applyBorder="1"/>
    <xf numFmtId="3" fontId="92" fillId="2" borderId="10" xfId="3" applyNumberFormat="1" applyFont="1" applyFill="1" applyBorder="1"/>
    <xf numFmtId="9" fontId="92" fillId="2" borderId="10" xfId="4" applyFont="1" applyFill="1" applyBorder="1"/>
    <xf numFmtId="3" fontId="95" fillId="2" borderId="10" xfId="3" applyNumberFormat="1" applyFont="1" applyFill="1" applyBorder="1"/>
    <xf numFmtId="3" fontId="95" fillId="2" borderId="9" xfId="3" applyNumberFormat="1" applyFont="1" applyFill="1" applyBorder="1"/>
    <xf numFmtId="3" fontId="95" fillId="2" borderId="12" xfId="3" applyNumberFormat="1" applyFont="1" applyFill="1" applyBorder="1"/>
    <xf numFmtId="167" fontId="92" fillId="2" borderId="0" xfId="3" applyNumberFormat="1" applyFont="1" applyFill="1"/>
    <xf numFmtId="0" fontId="95" fillId="2" borderId="9" xfId="3" applyFont="1" applyFill="1" applyBorder="1"/>
    <xf numFmtId="0" fontId="95" fillId="2" borderId="10" xfId="3" applyFont="1" applyFill="1" applyBorder="1"/>
    <xf numFmtId="0" fontId="97" fillId="2" borderId="10" xfId="3" applyFont="1" applyFill="1" applyBorder="1"/>
    <xf numFmtId="167" fontId="95" fillId="2" borderId="10" xfId="3" applyNumberFormat="1" applyFont="1" applyFill="1" applyBorder="1"/>
    <xf numFmtId="9" fontId="95" fillId="2" borderId="10" xfId="4" applyFont="1" applyFill="1" applyBorder="1"/>
    <xf numFmtId="0" fontId="95" fillId="2" borderId="8" xfId="3" applyFont="1" applyFill="1" applyBorder="1"/>
    <xf numFmtId="0" fontId="95" fillId="2" borderId="12" xfId="3" applyFont="1" applyFill="1" applyBorder="1"/>
    <xf numFmtId="0" fontId="52" fillId="0" borderId="62" xfId="3" applyFont="1" applyBorder="1"/>
    <xf numFmtId="167" fontId="95" fillId="2" borderId="10" xfId="3" applyNumberFormat="1" applyFont="1" applyFill="1" applyBorder="1" applyAlignment="1">
      <alignment horizontal="right"/>
    </xf>
    <xf numFmtId="2" fontId="92" fillId="2" borderId="0" xfId="3" applyNumberFormat="1" applyFont="1" applyFill="1"/>
    <xf numFmtId="0" fontId="84" fillId="3" borderId="0" xfId="3" applyFont="1" applyFill="1"/>
    <xf numFmtId="2" fontId="92" fillId="2" borderId="10" xfId="3" applyNumberFormat="1" applyFont="1" applyFill="1" applyBorder="1" applyAlignment="1">
      <alignment horizontal="right"/>
    </xf>
    <xf numFmtId="3" fontId="92" fillId="2" borderId="12" xfId="3" applyNumberFormat="1" applyFont="1" applyFill="1" applyBorder="1"/>
    <xf numFmtId="0" fontId="92" fillId="2" borderId="8" xfId="3" applyFont="1" applyFill="1" applyBorder="1"/>
    <xf numFmtId="0" fontId="95" fillId="11" borderId="0" xfId="3" applyFont="1" applyFill="1"/>
    <xf numFmtId="3" fontId="95" fillId="11" borderId="0" xfId="3" applyNumberFormat="1" applyFont="1" applyFill="1"/>
    <xf numFmtId="166" fontId="87" fillId="2" borderId="0" xfId="0" applyNumberFormat="1" applyFont="1" applyFill="1"/>
    <xf numFmtId="10" fontId="83" fillId="2" borderId="0" xfId="0" quotePrefix="1" applyNumberFormat="1" applyFont="1" applyFill="1" applyAlignment="1">
      <alignment horizontal="right"/>
    </xf>
    <xf numFmtId="4" fontId="83" fillId="2" borderId="0" xfId="0" applyNumberFormat="1" applyFont="1" applyFill="1"/>
    <xf numFmtId="181" fontId="32" fillId="2" borderId="0" xfId="4" applyNumberFormat="1" applyFont="1" applyFill="1" applyBorder="1"/>
    <xf numFmtId="181" fontId="0" fillId="2" borderId="0" xfId="0" applyNumberFormat="1" applyFill="1"/>
    <xf numFmtId="166" fontId="32" fillId="2" borderId="0" xfId="0" applyNumberFormat="1" applyFont="1" applyFill="1"/>
    <xf numFmtId="181" fontId="32" fillId="2" borderId="0" xfId="4" applyNumberFormat="1" applyFont="1" applyFill="1" applyBorder="1" applyAlignment="1">
      <alignment horizontal="right"/>
    </xf>
    <xf numFmtId="167" fontId="89" fillId="2" borderId="0" xfId="0" applyNumberFormat="1" applyFont="1" applyFill="1"/>
    <xf numFmtId="181" fontId="0" fillId="2" borderId="0" xfId="4" applyNumberFormat="1" applyFont="1" applyFill="1" applyBorder="1"/>
    <xf numFmtId="10" fontId="32" fillId="2" borderId="0" xfId="0" quotePrefix="1" applyNumberFormat="1" applyFont="1" applyFill="1"/>
    <xf numFmtId="167" fontId="83" fillId="2" borderId="0" xfId="0" quotePrefix="1" applyNumberFormat="1" applyFont="1" applyFill="1" applyAlignment="1">
      <alignment horizontal="right"/>
    </xf>
    <xf numFmtId="0" fontId="0" fillId="2" borderId="0" xfId="0" applyFill="1" applyAlignment="1">
      <alignment horizontal="right"/>
    </xf>
    <xf numFmtId="10" fontId="34" fillId="2" borderId="0" xfId="4" applyNumberFormat="1" applyFont="1" applyFill="1" applyBorder="1" applyAlignment="1">
      <alignment horizontal="right"/>
    </xf>
    <xf numFmtId="0" fontId="34" fillId="2" borderId="0" xfId="0" applyFont="1" applyFill="1" applyAlignment="1">
      <alignment horizontal="right"/>
    </xf>
    <xf numFmtId="0" fontId="32" fillId="2" borderId="0" xfId="0" applyFont="1" applyFill="1" applyAlignment="1">
      <alignment horizontal="left" indent="1"/>
    </xf>
    <xf numFmtId="181" fontId="32" fillId="2" borderId="0" xfId="4" applyNumberFormat="1" applyFont="1" applyFill="1" applyBorder="1" applyAlignment="1">
      <alignment horizontal="left"/>
    </xf>
    <xf numFmtId="167" fontId="34" fillId="2" borderId="0" xfId="0" applyNumberFormat="1" applyFont="1" applyFill="1"/>
    <xf numFmtId="3" fontId="0" fillId="0" borderId="0" xfId="0" applyNumberFormat="1"/>
    <xf numFmtId="166" fontId="32" fillId="15" borderId="53" xfId="4" applyNumberFormat="1" applyFill="1" applyBorder="1" applyAlignment="1">
      <alignment horizontal="center" textRotation="90"/>
    </xf>
    <xf numFmtId="1" fontId="32" fillId="15" borderId="1" xfId="3" applyNumberFormat="1" applyFill="1" applyBorder="1" applyAlignment="1">
      <alignment vertical="center"/>
    </xf>
    <xf numFmtId="3" fontId="32" fillId="15" borderId="22" xfId="27" applyNumberFormat="1" applyFont="1" applyFill="1" applyBorder="1"/>
    <xf numFmtId="3" fontId="32" fillId="15" borderId="22" xfId="3" applyNumberFormat="1" applyFill="1" applyBorder="1"/>
    <xf numFmtId="3" fontId="32" fillId="15" borderId="27" xfId="3" applyNumberFormat="1" applyFill="1" applyBorder="1"/>
    <xf numFmtId="3" fontId="32" fillId="15" borderId="29" xfId="3" applyNumberFormat="1" applyFill="1" applyBorder="1"/>
    <xf numFmtId="3" fontId="55" fillId="0" borderId="22" xfId="0" applyNumberFormat="1" applyFont="1" applyBorder="1"/>
    <xf numFmtId="3" fontId="55" fillId="2" borderId="22" xfId="0" applyNumberFormat="1" applyFont="1" applyFill="1" applyBorder="1"/>
    <xf numFmtId="0" fontId="62" fillId="2" borderId="27" xfId="0" applyFont="1" applyFill="1" applyBorder="1" applyAlignment="1">
      <alignment horizontal="center"/>
    </xf>
    <xf numFmtId="49" fontId="32" fillId="2" borderId="52" xfId="3" applyNumberFormat="1" applyFill="1" applyBorder="1" applyAlignment="1">
      <alignment horizontal="center" textRotation="90" wrapText="1"/>
    </xf>
    <xf numFmtId="49" fontId="32" fillId="2" borderId="58" xfId="3" applyNumberFormat="1" applyFill="1" applyBorder="1" applyAlignment="1">
      <alignment horizontal="center" textRotation="90" wrapText="1"/>
    </xf>
    <xf numFmtId="49" fontId="32" fillId="2" borderId="67" xfId="3" applyNumberFormat="1" applyFill="1" applyBorder="1" applyAlignment="1">
      <alignment horizontal="center" textRotation="90" wrapText="1"/>
    </xf>
    <xf numFmtId="3" fontId="55" fillId="2" borderId="16" xfId="0" applyNumberFormat="1" applyFont="1" applyFill="1" applyBorder="1"/>
    <xf numFmtId="3" fontId="55" fillId="2" borderId="11" xfId="0" applyNumberFormat="1" applyFont="1" applyFill="1" applyBorder="1"/>
    <xf numFmtId="0" fontId="55" fillId="2" borderId="64" xfId="0" applyFont="1" applyFill="1" applyBorder="1"/>
    <xf numFmtId="0" fontId="55" fillId="2" borderId="7" xfId="0" applyFont="1" applyFill="1" applyBorder="1"/>
    <xf numFmtId="0" fontId="53" fillId="2" borderId="1" xfId="0" applyFont="1" applyFill="1" applyBorder="1" applyAlignment="1">
      <alignment horizontal="center" textRotation="90"/>
    </xf>
    <xf numFmtId="0" fontId="53" fillId="2" borderId="13" xfId="0" applyFont="1" applyFill="1" applyBorder="1" applyAlignment="1">
      <alignment horizontal="center" textRotation="90"/>
    </xf>
    <xf numFmtId="0" fontId="32" fillId="2" borderId="13" xfId="32" applyFont="1" applyFill="1" applyBorder="1" applyAlignment="1" applyProtection="1">
      <alignment horizontal="center" textRotation="90"/>
      <protection locked="0"/>
    </xf>
    <xf numFmtId="0" fontId="32" fillId="2" borderId="14" xfId="0" applyFont="1" applyFill="1" applyBorder="1" applyAlignment="1">
      <alignment horizontal="center" textRotation="90"/>
    </xf>
    <xf numFmtId="0" fontId="53" fillId="2" borderId="74" xfId="0" applyFont="1" applyFill="1" applyBorder="1" applyAlignment="1">
      <alignment horizontal="center" textRotation="90"/>
    </xf>
    <xf numFmtId="0" fontId="53" fillId="2" borderId="3" xfId="0" applyFont="1" applyFill="1" applyBorder="1" applyAlignment="1">
      <alignment horizontal="center" textRotation="90"/>
    </xf>
    <xf numFmtId="0" fontId="53" fillId="0" borderId="74" xfId="0" applyFont="1" applyBorder="1"/>
    <xf numFmtId="0" fontId="53" fillId="2" borderId="58" xfId="0" applyFont="1" applyFill="1" applyBorder="1" applyAlignment="1">
      <alignment horizontal="center" textRotation="90"/>
    </xf>
    <xf numFmtId="0" fontId="55" fillId="11" borderId="52" xfId="0" applyFont="1" applyFill="1" applyBorder="1"/>
    <xf numFmtId="0" fontId="55" fillId="11" borderId="58" xfId="0" applyFont="1" applyFill="1" applyBorder="1"/>
    <xf numFmtId="0" fontId="55" fillId="11" borderId="67" xfId="0" applyFont="1" applyFill="1" applyBorder="1"/>
    <xf numFmtId="0" fontId="55" fillId="11" borderId="20" xfId="0" applyFont="1" applyFill="1" applyBorder="1"/>
    <xf numFmtId="0" fontId="55" fillId="11" borderId="34" xfId="0" applyFont="1" applyFill="1" applyBorder="1"/>
    <xf numFmtId="0" fontId="53" fillId="11" borderId="20" xfId="0" applyFont="1" applyFill="1" applyBorder="1" applyAlignment="1">
      <alignment horizontal="center"/>
    </xf>
    <xf numFmtId="0" fontId="55" fillId="11" borderId="70" xfId="0" applyFont="1" applyFill="1" applyBorder="1"/>
    <xf numFmtId="0" fontId="55" fillId="11" borderId="64" xfId="0" applyFont="1" applyFill="1" applyBorder="1"/>
    <xf numFmtId="3" fontId="55" fillId="2" borderId="24" xfId="0" applyNumberFormat="1" applyFont="1" applyFill="1" applyBorder="1"/>
    <xf numFmtId="3" fontId="55" fillId="2" borderId="47" xfId="0" applyNumberFormat="1" applyFont="1" applyFill="1" applyBorder="1"/>
    <xf numFmtId="3" fontId="53" fillId="11" borderId="20" xfId="0" applyNumberFormat="1" applyFont="1" applyFill="1" applyBorder="1" applyAlignment="1">
      <alignment horizontal="center"/>
    </xf>
    <xf numFmtId="3" fontId="55" fillId="2" borderId="55" xfId="0" applyNumberFormat="1" applyFont="1" applyFill="1" applyBorder="1"/>
    <xf numFmtId="3" fontId="55" fillId="0" borderId="24" xfId="0" applyNumberFormat="1" applyFont="1" applyBorder="1"/>
    <xf numFmtId="3" fontId="53" fillId="2" borderId="1" xfId="0" applyNumberFormat="1" applyFont="1" applyFill="1" applyBorder="1"/>
    <xf numFmtId="3" fontId="53" fillId="2" borderId="13" xfId="0" applyNumberFormat="1" applyFont="1" applyFill="1" applyBorder="1"/>
    <xf numFmtId="3" fontId="53" fillId="2" borderId="16" xfId="0" applyNumberFormat="1" applyFont="1" applyFill="1" applyBorder="1"/>
    <xf numFmtId="3" fontId="53" fillId="2" borderId="11" xfId="0" applyNumberFormat="1" applyFont="1" applyFill="1" applyBorder="1"/>
    <xf numFmtId="3" fontId="53" fillId="2" borderId="10" xfId="0" applyNumberFormat="1" applyFont="1" applyFill="1" applyBorder="1"/>
    <xf numFmtId="3" fontId="63" fillId="0" borderId="11" xfId="0" applyNumberFormat="1" applyFont="1" applyBorder="1"/>
    <xf numFmtId="3" fontId="60" fillId="2" borderId="15" xfId="0" applyNumberFormat="1" applyFont="1" applyFill="1" applyBorder="1"/>
    <xf numFmtId="3" fontId="60" fillId="2" borderId="13" xfId="0" applyNumberFormat="1" applyFont="1" applyFill="1" applyBorder="1"/>
    <xf numFmtId="0" fontId="53" fillId="2" borderId="52" xfId="0" applyFont="1" applyFill="1" applyBorder="1" applyAlignment="1">
      <alignment horizontal="center" textRotation="90"/>
    </xf>
    <xf numFmtId="0" fontId="53" fillId="2" borderId="67" xfId="0" applyFont="1" applyFill="1" applyBorder="1" applyAlignment="1">
      <alignment horizontal="center" textRotation="90"/>
    </xf>
    <xf numFmtId="0" fontId="53" fillId="11" borderId="26" xfId="0" applyFont="1" applyFill="1" applyBorder="1"/>
    <xf numFmtId="0" fontId="53" fillId="11" borderId="27" xfId="0" applyFont="1" applyFill="1" applyBorder="1"/>
    <xf numFmtId="0" fontId="53" fillId="11" borderId="68" xfId="0" applyFont="1" applyFill="1" applyBorder="1"/>
    <xf numFmtId="0" fontId="53" fillId="11" borderId="28" xfId="0" applyFont="1" applyFill="1" applyBorder="1"/>
    <xf numFmtId="0" fontId="53" fillId="11" borderId="28" xfId="0" applyFont="1" applyFill="1" applyBorder="1" applyAlignment="1">
      <alignment horizontal="center"/>
    </xf>
    <xf numFmtId="0" fontId="53" fillId="11" borderId="48" xfId="0" applyFont="1" applyFill="1" applyBorder="1"/>
    <xf numFmtId="3" fontId="55" fillId="0" borderId="47" xfId="0" applyNumberFormat="1" applyFont="1" applyBorder="1"/>
    <xf numFmtId="3" fontId="55" fillId="0" borderId="48" xfId="0" applyNumberFormat="1" applyFont="1" applyBorder="1"/>
    <xf numFmtId="3" fontId="55" fillId="2" borderId="27" xfId="0" applyNumberFormat="1" applyFont="1" applyFill="1" applyBorder="1"/>
    <xf numFmtId="0" fontId="53" fillId="2" borderId="44" xfId="0" applyFont="1" applyFill="1" applyBorder="1"/>
    <xf numFmtId="3" fontId="71" fillId="0" borderId="55" xfId="3" applyNumberFormat="1" applyFont="1" applyBorder="1" applyAlignment="1">
      <alignment vertical="center"/>
    </xf>
    <xf numFmtId="3" fontId="99" fillId="11" borderId="51" xfId="3" applyNumberFormat="1" applyFont="1" applyFill="1" applyBorder="1"/>
    <xf numFmtId="3" fontId="99" fillId="11" borderId="43" xfId="3" applyNumberFormat="1" applyFont="1" applyFill="1" applyBorder="1"/>
    <xf numFmtId="3" fontId="83" fillId="11" borderId="51" xfId="3" applyNumberFormat="1" applyFont="1" applyFill="1" applyBorder="1" applyAlignment="1">
      <alignment horizontal="center"/>
    </xf>
    <xf numFmtId="3" fontId="83" fillId="11" borderId="24" xfId="3" applyNumberFormat="1" applyFont="1" applyFill="1" applyBorder="1" applyAlignment="1">
      <alignment horizontal="center"/>
    </xf>
    <xf numFmtId="3" fontId="55" fillId="2" borderId="48" xfId="0" applyNumberFormat="1" applyFont="1" applyFill="1" applyBorder="1"/>
    <xf numFmtId="3" fontId="55" fillId="2" borderId="68" xfId="0" applyNumberFormat="1" applyFont="1" applyFill="1" applyBorder="1"/>
    <xf numFmtId="3" fontId="55" fillId="2" borderId="10" xfId="0" applyNumberFormat="1" applyFont="1" applyFill="1" applyBorder="1"/>
    <xf numFmtId="0" fontId="63" fillId="0" borderId="11" xfId="0" applyFont="1" applyBorder="1"/>
    <xf numFmtId="0" fontId="34" fillId="0" borderId="0" xfId="3" applyFont="1" applyAlignment="1">
      <alignment horizontal="center"/>
    </xf>
    <xf numFmtId="0" fontId="85" fillId="0" borderId="0" xfId="3" applyFont="1"/>
    <xf numFmtId="167" fontId="34" fillId="0" borderId="0" xfId="0" applyNumberFormat="1" applyFont="1"/>
    <xf numFmtId="170" fontId="32" fillId="0" borderId="0" xfId="3" applyNumberFormat="1"/>
    <xf numFmtId="1" fontId="0" fillId="2" borderId="0" xfId="0" applyNumberFormat="1" applyFill="1"/>
    <xf numFmtId="3" fontId="32" fillId="2" borderId="56" xfId="0" applyNumberFormat="1" applyFont="1" applyFill="1" applyBorder="1"/>
    <xf numFmtId="3" fontId="32" fillId="2" borderId="62" xfId="3" applyNumberFormat="1" applyFill="1" applyBorder="1" applyAlignment="1">
      <alignment horizontal="right" vertical="center"/>
    </xf>
    <xf numFmtId="3" fontId="32" fillId="2" borderId="64" xfId="3" applyNumberFormat="1" applyFill="1" applyBorder="1" applyAlignment="1">
      <alignment horizontal="right" vertical="center"/>
    </xf>
    <xf numFmtId="3" fontId="32" fillId="2" borderId="63" xfId="3" applyNumberFormat="1" applyFill="1" applyBorder="1" applyAlignment="1">
      <alignment horizontal="right" vertical="center"/>
    </xf>
    <xf numFmtId="3" fontId="32" fillId="2" borderId="20" xfId="3" applyNumberFormat="1" applyFill="1" applyBorder="1" applyAlignment="1">
      <alignment horizontal="right" vertical="center"/>
    </xf>
    <xf numFmtId="3" fontId="32" fillId="2" borderId="24" xfId="3" applyNumberFormat="1" applyFill="1" applyBorder="1" applyAlignment="1">
      <alignment horizontal="right" vertical="center"/>
    </xf>
    <xf numFmtId="3" fontId="32" fillId="2" borderId="24" xfId="3" applyNumberFormat="1" applyFill="1" applyBorder="1" applyAlignment="1">
      <alignment vertical="center"/>
    </xf>
    <xf numFmtId="3" fontId="32" fillId="2" borderId="24" xfId="0" applyNumberFormat="1" applyFont="1" applyFill="1" applyBorder="1"/>
    <xf numFmtId="3" fontId="32" fillId="2" borderId="73" xfId="0" applyNumberFormat="1" applyFont="1" applyFill="1" applyBorder="1"/>
    <xf numFmtId="3" fontId="32" fillId="2" borderId="31" xfId="0" applyNumberFormat="1" applyFont="1" applyFill="1" applyBorder="1"/>
    <xf numFmtId="3" fontId="32" fillId="2" borderId="32" xfId="0" applyNumberFormat="1" applyFont="1" applyFill="1" applyBorder="1"/>
    <xf numFmtId="3" fontId="32" fillId="2" borderId="33" xfId="0" applyNumberFormat="1" applyFont="1" applyFill="1" applyBorder="1"/>
    <xf numFmtId="3" fontId="32" fillId="2" borderId="30" xfId="0" applyNumberFormat="1" applyFont="1" applyFill="1" applyBorder="1"/>
    <xf numFmtId="0" fontId="53" fillId="2" borderId="0" xfId="30" applyFont="1" applyFill="1"/>
    <xf numFmtId="3" fontId="32" fillId="2" borderId="17" xfId="3" applyNumberFormat="1" applyFill="1" applyBorder="1"/>
    <xf numFmtId="3" fontId="53" fillId="2" borderId="19" xfId="30" applyNumberFormat="1" applyFont="1" applyFill="1" applyBorder="1"/>
    <xf numFmtId="3" fontId="53" fillId="2" borderId="21" xfId="0" applyNumberFormat="1" applyFont="1" applyFill="1" applyBorder="1"/>
    <xf numFmtId="3" fontId="53" fillId="0" borderId="22" xfId="0" applyNumberFormat="1" applyFont="1" applyBorder="1"/>
    <xf numFmtId="3" fontId="53" fillId="2" borderId="22" xfId="0" applyNumberFormat="1" applyFont="1" applyFill="1" applyBorder="1"/>
    <xf numFmtId="3" fontId="53" fillId="2" borderId="31" xfId="0" applyNumberFormat="1" applyFont="1" applyFill="1" applyBorder="1"/>
    <xf numFmtId="3" fontId="53" fillId="2" borderId="32" xfId="0" applyNumberFormat="1" applyFont="1" applyFill="1" applyBorder="1"/>
    <xf numFmtId="3" fontId="53" fillId="2" borderId="33" xfId="30" applyNumberFormat="1" applyFont="1" applyFill="1" applyBorder="1"/>
    <xf numFmtId="3" fontId="53" fillId="2" borderId="64" xfId="0" applyNumberFormat="1" applyFont="1" applyFill="1" applyBorder="1"/>
    <xf numFmtId="3" fontId="53" fillId="0" borderId="64" xfId="0" applyNumberFormat="1" applyFont="1" applyBorder="1"/>
    <xf numFmtId="3" fontId="53" fillId="0" borderId="41" xfId="0" applyNumberFormat="1" applyFont="1" applyBorder="1"/>
    <xf numFmtId="3" fontId="63" fillId="2" borderId="41" xfId="0" applyNumberFormat="1" applyFont="1" applyFill="1" applyBorder="1"/>
    <xf numFmtId="0" fontId="63" fillId="2" borderId="41" xfId="0" applyFont="1" applyFill="1" applyBorder="1"/>
    <xf numFmtId="3" fontId="63" fillId="2" borderId="10" xfId="29" applyNumberFormat="1" applyFont="1" applyFill="1" applyBorder="1" applyAlignment="1">
      <alignment horizontal="left" indent="2"/>
    </xf>
    <xf numFmtId="3" fontId="63" fillId="2" borderId="42" xfId="30" applyNumberFormat="1" applyFont="1" applyFill="1" applyBorder="1"/>
    <xf numFmtId="3" fontId="53" fillId="2" borderId="23" xfId="30" applyNumberFormat="1" applyFont="1" applyFill="1" applyBorder="1"/>
    <xf numFmtId="3" fontId="53" fillId="2" borderId="60" xfId="30" applyNumberFormat="1" applyFont="1" applyFill="1" applyBorder="1"/>
    <xf numFmtId="3" fontId="53" fillId="2" borderId="63" xfId="30" applyNumberFormat="1" applyFont="1" applyFill="1" applyBorder="1"/>
    <xf numFmtId="3" fontId="53" fillId="11" borderId="19" xfId="30" applyNumberFormat="1" applyFont="1" applyFill="1" applyBorder="1" applyAlignment="1">
      <alignment vertical="center"/>
    </xf>
    <xf numFmtId="0" fontId="63" fillId="0" borderId="44" xfId="0" applyFont="1" applyBorder="1"/>
    <xf numFmtId="3" fontId="63" fillId="2" borderId="1" xfId="0" applyNumberFormat="1" applyFont="1" applyFill="1" applyBorder="1"/>
    <xf numFmtId="3" fontId="63" fillId="2" borderId="13" xfId="0" applyNumberFormat="1" applyFont="1" applyFill="1" applyBorder="1"/>
    <xf numFmtId="0" fontId="63" fillId="2" borderId="0" xfId="30" applyFont="1" applyFill="1" applyAlignment="1">
      <alignment vertical="center"/>
    </xf>
    <xf numFmtId="3" fontId="32" fillId="2" borderId="52" xfId="0" applyNumberFormat="1" applyFont="1" applyFill="1" applyBorder="1" applyAlignment="1">
      <alignment horizontal="center"/>
    </xf>
    <xf numFmtId="3" fontId="32" fillId="2" borderId="64" xfId="0" applyNumberFormat="1" applyFont="1" applyFill="1" applyBorder="1" applyAlignment="1">
      <alignment horizontal="center"/>
    </xf>
    <xf numFmtId="3" fontId="53" fillId="2" borderId="63" xfId="0" applyNumberFormat="1" applyFont="1" applyFill="1" applyBorder="1"/>
    <xf numFmtId="3" fontId="53" fillId="2" borderId="24" xfId="0" applyNumberFormat="1" applyFont="1" applyFill="1" applyBorder="1"/>
    <xf numFmtId="3" fontId="53" fillId="2" borderId="36" xfId="0" applyNumberFormat="1" applyFont="1" applyFill="1" applyBorder="1"/>
    <xf numFmtId="3" fontId="53" fillId="2" borderId="47" xfId="0" applyNumberFormat="1" applyFont="1" applyFill="1" applyBorder="1"/>
    <xf numFmtId="3" fontId="53" fillId="2" borderId="33" xfId="0" applyNumberFormat="1" applyFont="1" applyFill="1" applyBorder="1"/>
    <xf numFmtId="3" fontId="53" fillId="2" borderId="44" xfId="0" applyNumberFormat="1" applyFont="1" applyFill="1" applyBorder="1"/>
    <xf numFmtId="3" fontId="53" fillId="2" borderId="30" xfId="0" applyNumberFormat="1" applyFont="1" applyFill="1" applyBorder="1"/>
    <xf numFmtId="3" fontId="53" fillId="2" borderId="37" xfId="0" applyNumberFormat="1" applyFont="1" applyFill="1" applyBorder="1"/>
    <xf numFmtId="3" fontId="53" fillId="2" borderId="49" xfId="0" applyNumberFormat="1" applyFont="1" applyFill="1" applyBorder="1"/>
    <xf numFmtId="3" fontId="53" fillId="11" borderId="69" xfId="0" applyNumberFormat="1" applyFont="1" applyFill="1" applyBorder="1"/>
    <xf numFmtId="3" fontId="53" fillId="11" borderId="34" xfId="0" applyNumberFormat="1" applyFont="1" applyFill="1" applyBorder="1"/>
    <xf numFmtId="3" fontId="53" fillId="11" borderId="20" xfId="0" applyNumberFormat="1" applyFont="1" applyFill="1" applyBorder="1"/>
    <xf numFmtId="3" fontId="53" fillId="11" borderId="35" xfId="30" applyNumberFormat="1" applyFont="1" applyFill="1" applyBorder="1"/>
    <xf numFmtId="0" fontId="53" fillId="2" borderId="21" xfId="0" applyFont="1" applyFill="1" applyBorder="1"/>
    <xf numFmtId="0" fontId="53" fillId="2" borderId="22" xfId="0" applyFont="1" applyFill="1" applyBorder="1"/>
    <xf numFmtId="3" fontId="53" fillId="2" borderId="55" xfId="0" applyNumberFormat="1" applyFont="1" applyFill="1" applyBorder="1"/>
    <xf numFmtId="3" fontId="53" fillId="0" borderId="24" xfId="0" applyNumberFormat="1" applyFont="1" applyBorder="1"/>
    <xf numFmtId="3" fontId="53" fillId="2" borderId="73" xfId="0" applyNumberFormat="1" applyFont="1" applyFill="1" applyBorder="1"/>
    <xf numFmtId="0" fontId="53" fillId="2" borderId="73" xfId="0" applyFont="1" applyFill="1" applyBorder="1"/>
    <xf numFmtId="3" fontId="53" fillId="0" borderId="36" xfId="0" applyNumberFormat="1" applyFont="1" applyBorder="1"/>
    <xf numFmtId="3" fontId="53" fillId="2" borderId="66" xfId="0" applyNumberFormat="1" applyFont="1" applyFill="1" applyBorder="1"/>
    <xf numFmtId="3" fontId="53" fillId="0" borderId="37" xfId="0" applyNumberFormat="1" applyFont="1" applyBorder="1"/>
    <xf numFmtId="3" fontId="63" fillId="2" borderId="15" xfId="0" applyNumberFormat="1" applyFont="1" applyFill="1" applyBorder="1"/>
    <xf numFmtId="3" fontId="63" fillId="2" borderId="14" xfId="30" applyNumberFormat="1" applyFont="1" applyFill="1" applyBorder="1"/>
    <xf numFmtId="0" fontId="100" fillId="2" borderId="0" xfId="30" applyFont="1" applyFill="1"/>
    <xf numFmtId="3" fontId="53" fillId="2" borderId="0" xfId="30" applyNumberFormat="1" applyFont="1" applyFill="1"/>
    <xf numFmtId="4" fontId="53" fillId="2" borderId="0" xfId="30" applyNumberFormat="1" applyFont="1" applyFill="1"/>
    <xf numFmtId="3" fontId="53" fillId="0" borderId="21" xfId="0" applyNumberFormat="1" applyFont="1" applyBorder="1"/>
    <xf numFmtId="3" fontId="53" fillId="0" borderId="55" xfId="0" applyNumberFormat="1" applyFont="1" applyBorder="1"/>
    <xf numFmtId="3" fontId="48" fillId="2" borderId="22" xfId="0" applyNumberFormat="1" applyFont="1" applyFill="1" applyBorder="1"/>
    <xf numFmtId="3" fontId="32" fillId="0" borderId="56" xfId="0" applyNumberFormat="1" applyFont="1" applyBorder="1"/>
    <xf numFmtId="3" fontId="48" fillId="2" borderId="55" xfId="0" applyNumberFormat="1" applyFont="1" applyFill="1" applyBorder="1"/>
    <xf numFmtId="3" fontId="48" fillId="2" borderId="24" xfId="0" applyNumberFormat="1" applyFont="1" applyFill="1" applyBorder="1"/>
    <xf numFmtId="3" fontId="53" fillId="0" borderId="47" xfId="0" applyNumberFormat="1" applyFont="1" applyBorder="1"/>
    <xf numFmtId="3" fontId="48" fillId="0" borderId="27" xfId="0" applyNumberFormat="1" applyFont="1" applyBorder="1"/>
    <xf numFmtId="3" fontId="48" fillId="0" borderId="68" xfId="0" applyNumberFormat="1" applyFont="1" applyBorder="1"/>
    <xf numFmtId="3" fontId="48" fillId="0" borderId="28" xfId="0" applyNumberFormat="1" applyFont="1" applyBorder="1"/>
    <xf numFmtId="3" fontId="53" fillId="0" borderId="48" xfId="0" applyNumberFormat="1" applyFont="1" applyBorder="1"/>
    <xf numFmtId="3" fontId="53" fillId="0" borderId="27" xfId="0" applyNumberFormat="1" applyFont="1" applyBorder="1"/>
    <xf numFmtId="3" fontId="53" fillId="2" borderId="27" xfId="0" applyNumberFormat="1" applyFont="1" applyFill="1" applyBorder="1"/>
    <xf numFmtId="3" fontId="32" fillId="0" borderId="26" xfId="0" applyNumberFormat="1" applyFont="1" applyBorder="1"/>
    <xf numFmtId="3" fontId="32" fillId="0" borderId="27" xfId="0" applyNumberFormat="1" applyFont="1" applyBorder="1"/>
    <xf numFmtId="3" fontId="53" fillId="0" borderId="62" xfId="0" applyNumberFormat="1" applyFont="1" applyBorder="1"/>
    <xf numFmtId="3" fontId="53" fillId="0" borderId="72" xfId="0" applyNumberFormat="1" applyFont="1" applyBorder="1"/>
    <xf numFmtId="3" fontId="53" fillId="0" borderId="20" xfId="0" applyNumberFormat="1" applyFont="1" applyBorder="1"/>
    <xf numFmtId="3" fontId="32" fillId="5" borderId="20" xfId="3" applyNumberFormat="1" applyFill="1" applyBorder="1" applyAlignment="1">
      <alignment horizontal="left" indent="1"/>
    </xf>
    <xf numFmtId="3" fontId="53" fillId="0" borderId="70" xfId="0" applyNumberFormat="1" applyFont="1" applyBorder="1"/>
    <xf numFmtId="0" fontId="53" fillId="2" borderId="55" xfId="0" applyFont="1" applyFill="1" applyBorder="1"/>
    <xf numFmtId="3" fontId="53" fillId="11" borderId="17" xfId="0" applyNumberFormat="1" applyFont="1" applyFill="1" applyBorder="1" applyAlignment="1">
      <alignment vertical="center"/>
    </xf>
    <xf numFmtId="3" fontId="53" fillId="11" borderId="18" xfId="0" applyNumberFormat="1" applyFont="1" applyFill="1" applyBorder="1" applyAlignment="1">
      <alignment vertical="center"/>
    </xf>
    <xf numFmtId="3" fontId="53" fillId="11" borderId="65" xfId="0" applyNumberFormat="1" applyFont="1" applyFill="1" applyBorder="1" applyAlignment="1">
      <alignment vertical="center"/>
    </xf>
    <xf numFmtId="3" fontId="53" fillId="11" borderId="51" xfId="0" applyNumberFormat="1" applyFont="1" applyFill="1" applyBorder="1" applyAlignment="1">
      <alignment vertical="center"/>
    </xf>
    <xf numFmtId="3" fontId="53" fillId="11" borderId="51" xfId="0" applyNumberFormat="1" applyFont="1" applyFill="1" applyBorder="1" applyAlignment="1">
      <alignment horizontal="center" vertical="center"/>
    </xf>
    <xf numFmtId="3" fontId="53" fillId="0" borderId="30" xfId="0" applyNumberFormat="1" applyFont="1" applyBorder="1"/>
    <xf numFmtId="3" fontId="53" fillId="0" borderId="49" xfId="0" applyNumberFormat="1" applyFont="1" applyBorder="1"/>
    <xf numFmtId="3" fontId="48" fillId="0" borderId="62" xfId="3" applyNumberFormat="1" applyFont="1" applyBorder="1" applyAlignment="1">
      <alignment horizontal="center" vertical="center"/>
    </xf>
    <xf numFmtId="3" fontId="48" fillId="0" borderId="64" xfId="3" applyNumberFormat="1" applyFont="1" applyBorder="1" applyAlignment="1">
      <alignment horizontal="center" vertical="center"/>
    </xf>
    <xf numFmtId="3" fontId="48" fillId="0" borderId="72" xfId="3" applyNumberFormat="1" applyFont="1" applyBorder="1" applyAlignment="1">
      <alignment horizontal="center" vertical="center"/>
    </xf>
    <xf numFmtId="3" fontId="48" fillId="0" borderId="18" xfId="0" applyNumberFormat="1" applyFont="1" applyBorder="1"/>
    <xf numFmtId="3" fontId="32" fillId="0" borderId="22" xfId="3" applyNumberFormat="1" applyBorder="1" applyAlignment="1">
      <alignment vertical="center"/>
    </xf>
    <xf numFmtId="3" fontId="32" fillId="0" borderId="55" xfId="3" applyNumberFormat="1" applyBorder="1" applyAlignment="1">
      <alignment vertical="center"/>
    </xf>
    <xf numFmtId="3" fontId="32" fillId="0" borderId="21" xfId="3" applyNumberFormat="1" applyBorder="1" applyAlignment="1">
      <alignment vertical="center"/>
    </xf>
    <xf numFmtId="3" fontId="53" fillId="0" borderId="26" xfId="0" applyNumberFormat="1" applyFont="1" applyBorder="1"/>
    <xf numFmtId="3" fontId="53" fillId="0" borderId="68" xfId="0" applyNumberFormat="1" applyFont="1" applyBorder="1"/>
    <xf numFmtId="3" fontId="53" fillId="0" borderId="54" xfId="0" applyNumberFormat="1" applyFont="1" applyBorder="1"/>
    <xf numFmtId="3" fontId="53" fillId="0" borderId="61" xfId="0" applyNumberFormat="1" applyFont="1" applyBorder="1"/>
    <xf numFmtId="3" fontId="32" fillId="5" borderId="73" xfId="3" applyNumberFormat="1" applyFill="1" applyBorder="1" applyAlignment="1">
      <alignment horizontal="left" indent="1"/>
    </xf>
    <xf numFmtId="3" fontId="53" fillId="0" borderId="31" xfId="0" applyNumberFormat="1" applyFont="1" applyBorder="1"/>
    <xf numFmtId="3" fontId="53" fillId="0" borderId="32" xfId="0" applyNumberFormat="1" applyFont="1" applyBorder="1"/>
    <xf numFmtId="3" fontId="53" fillId="0" borderId="66" xfId="0" applyNumberFormat="1" applyFont="1" applyBorder="1"/>
    <xf numFmtId="3" fontId="53" fillId="0" borderId="1" xfId="0" applyNumberFormat="1" applyFont="1" applyBorder="1"/>
    <xf numFmtId="3" fontId="53" fillId="0" borderId="13" xfId="0" applyNumberFormat="1" applyFont="1" applyBorder="1"/>
    <xf numFmtId="3" fontId="53" fillId="0" borderId="16" xfId="0" applyNumberFormat="1" applyFont="1" applyBorder="1"/>
    <xf numFmtId="3" fontId="32" fillId="5" borderId="11" xfId="3" applyNumberFormat="1" applyFill="1" applyBorder="1" applyAlignment="1">
      <alignment horizontal="left" indent="1"/>
    </xf>
    <xf numFmtId="3" fontId="53" fillId="0" borderId="15" xfId="0" applyNumberFormat="1" applyFont="1" applyBorder="1"/>
    <xf numFmtId="3" fontId="53" fillId="2" borderId="42" xfId="30" applyNumberFormat="1" applyFont="1" applyFill="1" applyBorder="1"/>
    <xf numFmtId="3" fontId="32" fillId="5" borderId="69" xfId="3" applyNumberFormat="1" applyFill="1" applyBorder="1" applyAlignment="1">
      <alignment horizontal="left" indent="1"/>
    </xf>
    <xf numFmtId="3" fontId="32" fillId="5" borderId="56" xfId="3" applyNumberFormat="1" applyFill="1" applyBorder="1" applyAlignment="1">
      <alignment horizontal="left" indent="1"/>
    </xf>
    <xf numFmtId="3" fontId="53" fillId="2" borderId="29" xfId="30" applyNumberFormat="1" applyFont="1" applyFill="1" applyBorder="1"/>
    <xf numFmtId="3" fontId="53" fillId="0" borderId="40" xfId="0" applyNumberFormat="1" applyFont="1" applyBorder="1"/>
    <xf numFmtId="3" fontId="53" fillId="0" borderId="9" xfId="0" applyNumberFormat="1" applyFont="1" applyBorder="1"/>
    <xf numFmtId="3" fontId="63" fillId="2" borderId="11" xfId="29" applyNumberFormat="1" applyFont="1" applyFill="1" applyBorder="1" applyAlignment="1">
      <alignment horizontal="left" indent="2"/>
    </xf>
    <xf numFmtId="3" fontId="63" fillId="0" borderId="1" xfId="0" applyNumberFormat="1" applyFont="1" applyBorder="1"/>
    <xf numFmtId="3" fontId="63" fillId="0" borderId="13" xfId="0" applyNumberFormat="1" applyFont="1" applyBorder="1"/>
    <xf numFmtId="3" fontId="63" fillId="0" borderId="14" xfId="0" applyNumberFormat="1" applyFont="1" applyBorder="1"/>
    <xf numFmtId="0" fontId="77" fillId="2" borderId="0" xfId="30" applyFont="1" applyFill="1"/>
    <xf numFmtId="0" fontId="32" fillId="2" borderId="0" xfId="3" applyFill="1" applyAlignment="1">
      <alignment horizontal="center"/>
    </xf>
    <xf numFmtId="9" fontId="102" fillId="2" borderId="0" xfId="3" applyNumberFormat="1" applyFont="1" applyFill="1" applyProtection="1">
      <protection hidden="1"/>
    </xf>
    <xf numFmtId="9" fontId="102" fillId="2" borderId="0" xfId="4" applyFont="1" applyFill="1" applyBorder="1" applyProtection="1">
      <protection hidden="1"/>
    </xf>
    <xf numFmtId="9" fontId="88" fillId="2" borderId="0" xfId="35" applyFont="1" applyFill="1" applyBorder="1"/>
    <xf numFmtId="3" fontId="32" fillId="2" borderId="18" xfId="3" applyNumberFormat="1" applyFill="1" applyBorder="1" applyAlignment="1">
      <alignment horizontal="center"/>
    </xf>
    <xf numFmtId="3" fontId="0" fillId="2" borderId="18" xfId="4" applyNumberFormat="1" applyFont="1" applyFill="1" applyBorder="1" applyAlignment="1">
      <alignment horizontal="center"/>
    </xf>
    <xf numFmtId="0" fontId="34" fillId="0" borderId="0" xfId="0" applyFont="1" applyAlignment="1">
      <alignment vertical="center"/>
    </xf>
    <xf numFmtId="9" fontId="32" fillId="0" borderId="0" xfId="4" applyFont="1" applyFill="1" applyBorder="1"/>
    <xf numFmtId="0" fontId="26" fillId="0" borderId="0" xfId="36"/>
    <xf numFmtId="181" fontId="0" fillId="0" borderId="0" xfId="37" applyNumberFormat="1" applyFont="1"/>
    <xf numFmtId="2" fontId="26" fillId="0" borderId="32" xfId="36" applyNumberFormat="1" applyBorder="1"/>
    <xf numFmtId="2" fontId="26" fillId="0" borderId="66" xfId="36" applyNumberFormat="1" applyBorder="1"/>
    <xf numFmtId="2" fontId="26" fillId="0" borderId="64" xfId="36" applyNumberFormat="1" applyBorder="1"/>
    <xf numFmtId="0" fontId="26" fillId="0" borderId="69" xfId="36" applyBorder="1"/>
    <xf numFmtId="0" fontId="26" fillId="0" borderId="81" xfId="36" applyBorder="1"/>
    <xf numFmtId="0" fontId="26" fillId="0" borderId="6" xfId="36" applyBorder="1"/>
    <xf numFmtId="0" fontId="26" fillId="13" borderId="36" xfId="36" applyFill="1" applyBorder="1"/>
    <xf numFmtId="0" fontId="52" fillId="9" borderId="9" xfId="36" applyFont="1" applyFill="1" applyBorder="1" applyAlignment="1">
      <alignment horizontal="center" vertical="center"/>
    </xf>
    <xf numFmtId="0" fontId="96" fillId="9" borderId="9" xfId="40" applyFont="1" applyFill="1" applyBorder="1" applyAlignment="1">
      <alignment horizontal="left" vertical="center" wrapText="1"/>
    </xf>
    <xf numFmtId="0" fontId="81" fillId="2" borderId="57" xfId="41" applyFont="1" applyFill="1" applyBorder="1" applyAlignment="1">
      <alignment horizontal="left" vertical="center" indent="2"/>
    </xf>
    <xf numFmtId="0" fontId="26" fillId="0" borderId="31" xfId="36" applyBorder="1"/>
    <xf numFmtId="0" fontId="26" fillId="0" borderId="62" xfId="36" applyBorder="1"/>
    <xf numFmtId="0" fontId="52" fillId="9" borderId="67" xfId="36" applyFont="1" applyFill="1" applyBorder="1" applyAlignment="1">
      <alignment horizontal="center" vertical="center" wrapText="1"/>
    </xf>
    <xf numFmtId="0" fontId="52" fillId="9" borderId="2" xfId="36" applyFont="1" applyFill="1" applyBorder="1" applyAlignment="1">
      <alignment horizontal="center" vertical="center" wrapText="1"/>
    </xf>
    <xf numFmtId="0" fontId="52" fillId="9" borderId="14" xfId="36" applyFont="1" applyFill="1" applyBorder="1" applyAlignment="1">
      <alignment horizontal="center" vertical="center" wrapText="1"/>
    </xf>
    <xf numFmtId="0" fontId="52" fillId="9" borderId="16" xfId="36" applyFont="1" applyFill="1" applyBorder="1" applyAlignment="1">
      <alignment horizontal="center" vertical="center" wrapText="1"/>
    </xf>
    <xf numFmtId="0" fontId="52" fillId="9" borderId="9" xfId="36" applyFont="1" applyFill="1" applyBorder="1" applyAlignment="1">
      <alignment horizontal="center" vertical="center" wrapText="1"/>
    </xf>
    <xf numFmtId="3" fontId="26" fillId="0" borderId="10" xfId="36" applyNumberFormat="1" applyBorder="1"/>
    <xf numFmtId="3" fontId="26" fillId="0" borderId="33" xfId="36" applyNumberFormat="1" applyBorder="1"/>
    <xf numFmtId="0" fontId="52" fillId="9" borderId="58" xfId="36" applyFont="1" applyFill="1" applyBorder="1" applyAlignment="1">
      <alignment horizontal="center" vertical="center" wrapText="1"/>
    </xf>
    <xf numFmtId="0" fontId="26" fillId="0" borderId="32" xfId="36" applyBorder="1"/>
    <xf numFmtId="0" fontId="26" fillId="0" borderId="64" xfId="36" applyBorder="1"/>
    <xf numFmtId="0" fontId="26" fillId="13" borderId="36" xfId="36" applyFill="1" applyBorder="1" applyProtection="1">
      <protection locked="0"/>
    </xf>
    <xf numFmtId="0" fontId="26" fillId="9" borderId="0" xfId="36" applyFill="1"/>
    <xf numFmtId="0" fontId="84" fillId="9" borderId="0" xfId="36" applyFont="1" applyFill="1"/>
    <xf numFmtId="0" fontId="105" fillId="0" borderId="0" xfId="3" applyFont="1"/>
    <xf numFmtId="0" fontId="105" fillId="22" borderId="0" xfId="3" applyFont="1" applyFill="1"/>
    <xf numFmtId="0" fontId="105" fillId="22" borderId="0" xfId="38" applyFill="1" applyAlignment="1">
      <alignment vertical="center"/>
    </xf>
    <xf numFmtId="0" fontId="122" fillId="22" borderId="0" xfId="38" applyFont="1" applyFill="1" applyAlignment="1">
      <alignment vertical="center"/>
    </xf>
    <xf numFmtId="0" fontId="105" fillId="22" borderId="0" xfId="44" applyFont="1" applyFill="1" applyBorder="1"/>
    <xf numFmtId="0" fontId="121" fillId="23" borderId="18" xfId="45" applyFill="1" applyBorder="1" applyProtection="1">
      <alignment horizontal="left" vertical="center"/>
    </xf>
    <xf numFmtId="0" fontId="121" fillId="23" borderId="18" xfId="45" applyFill="1" applyBorder="1" applyAlignment="1" applyProtection="1">
      <alignment horizontal="left" vertical="center" wrapText="1"/>
    </xf>
    <xf numFmtId="0" fontId="121" fillId="23" borderId="85" xfId="38" applyFont="1" applyFill="1" applyBorder="1" applyAlignment="1">
      <alignment horizontal="left" vertical="center"/>
    </xf>
    <xf numFmtId="0" fontId="105" fillId="22" borderId="0" xfId="48" applyFont="1" applyFill="1" applyBorder="1"/>
    <xf numFmtId="0" fontId="105" fillId="22" borderId="0" xfId="49" applyFont="1" applyFill="1">
      <alignment horizontal="right"/>
    </xf>
    <xf numFmtId="0" fontId="105" fillId="22" borderId="0" xfId="38" applyFill="1"/>
    <xf numFmtId="0" fontId="127" fillId="22" borderId="0" xfId="3" applyFont="1" applyFill="1"/>
    <xf numFmtId="0" fontId="128" fillId="22" borderId="0" xfId="50" applyFill="1" applyAlignment="1"/>
    <xf numFmtId="0" fontId="121" fillId="17" borderId="65" xfId="38" applyFont="1" applyFill="1" applyBorder="1" applyAlignment="1">
      <alignment vertical="center"/>
    </xf>
    <xf numFmtId="0" fontId="121" fillId="17" borderId="85" xfId="38" applyFont="1" applyFill="1" applyBorder="1" applyAlignment="1">
      <alignment horizontal="center" vertical="center"/>
    </xf>
    <xf numFmtId="0" fontId="121" fillId="17" borderId="86" xfId="38" applyFont="1" applyFill="1" applyBorder="1" applyAlignment="1">
      <alignment horizontal="center" vertical="center" wrapText="1"/>
    </xf>
    <xf numFmtId="0" fontId="121" fillId="17" borderId="85" xfId="38" applyFont="1" applyFill="1" applyBorder="1" applyAlignment="1">
      <alignment horizontal="left" vertical="center"/>
    </xf>
    <xf numFmtId="0" fontId="121" fillId="17" borderId="54" xfId="38" applyFont="1" applyFill="1" applyBorder="1" applyAlignment="1">
      <alignment horizontal="left" vertical="center"/>
    </xf>
    <xf numFmtId="0" fontId="121" fillId="22" borderId="0" xfId="38" applyFont="1" applyFill="1" applyAlignment="1">
      <alignment vertical="center"/>
    </xf>
    <xf numFmtId="0" fontId="130" fillId="22" borderId="0" xfId="44" applyFont="1" applyFill="1" applyBorder="1"/>
    <xf numFmtId="0" fontId="105" fillId="22" borderId="0" xfId="52" applyFont="1" applyFill="1" applyBorder="1"/>
    <xf numFmtId="0" fontId="121" fillId="17" borderId="18" xfId="38" applyFont="1" applyFill="1" applyBorder="1" applyAlignment="1">
      <alignment vertical="center"/>
    </xf>
    <xf numFmtId="0" fontId="105" fillId="17" borderId="18" xfId="46" applyFont="1" applyFill="1" applyBorder="1" applyAlignment="1">
      <alignment horizontal="left" vertical="center" indent="1"/>
    </xf>
    <xf numFmtId="0" fontId="121" fillId="17" borderId="18" xfId="45" applyFill="1" applyBorder="1" applyProtection="1">
      <alignment horizontal="left" vertical="center"/>
    </xf>
    <xf numFmtId="0" fontId="121" fillId="17" borderId="18" xfId="45" applyFill="1" applyBorder="1" applyAlignment="1" applyProtection="1">
      <alignment horizontal="left" vertical="center" wrapText="1"/>
    </xf>
    <xf numFmtId="3" fontId="105" fillId="22" borderId="0" xfId="38" applyNumberFormat="1" applyFill="1" applyAlignment="1">
      <alignment horizontal="right" vertical="center"/>
    </xf>
    <xf numFmtId="4" fontId="105" fillId="22" borderId="0" xfId="38" applyNumberFormat="1" applyFill="1" applyAlignment="1">
      <alignment horizontal="right" vertical="center"/>
    </xf>
    <xf numFmtId="0" fontId="105" fillId="22" borderId="0" xfId="38" applyFill="1" applyAlignment="1">
      <alignment horizontal="left" vertical="center"/>
    </xf>
    <xf numFmtId="0" fontId="128" fillId="22" borderId="0" xfId="50" applyFill="1" applyAlignment="1">
      <alignment vertical="center"/>
    </xf>
    <xf numFmtId="0" fontId="105" fillId="0" borderId="0" xfId="3" applyFont="1" applyAlignment="1">
      <alignment horizontal="left"/>
    </xf>
    <xf numFmtId="0" fontId="105" fillId="22" borderId="0" xfId="38" applyFill="1" applyAlignment="1">
      <alignment vertical="center" wrapText="1"/>
    </xf>
    <xf numFmtId="0" fontId="121" fillId="23" borderId="18" xfId="38" applyFont="1" applyFill="1" applyBorder="1" applyAlignment="1">
      <alignment horizontal="left" vertical="center" wrapText="1"/>
    </xf>
    <xf numFmtId="0" fontId="121" fillId="23" borderId="92" xfId="38" applyFont="1" applyFill="1" applyBorder="1" applyAlignment="1">
      <alignment horizontal="left" vertical="center"/>
    </xf>
    <xf numFmtId="0" fontId="121" fillId="23" borderId="18" xfId="38" applyFont="1" applyFill="1" applyBorder="1" applyAlignment="1">
      <alignment horizontal="left" vertical="center"/>
    </xf>
    <xf numFmtId="0" fontId="121" fillId="23" borderId="92" xfId="38" applyFont="1" applyFill="1" applyBorder="1" applyAlignment="1">
      <alignment horizontal="center" vertical="center"/>
    </xf>
    <xf numFmtId="0" fontId="121" fillId="23" borderId="83" xfId="38" applyFont="1" applyFill="1" applyBorder="1" applyAlignment="1">
      <alignment horizontal="center" vertical="center" wrapText="1"/>
    </xf>
    <xf numFmtId="0" fontId="105" fillId="22" borderId="0" xfId="38" applyFill="1" applyAlignment="1">
      <alignment horizontal="right" vertical="center"/>
    </xf>
    <xf numFmtId="0" fontId="121" fillId="22" borderId="0" xfId="50" applyFont="1" applyFill="1" applyAlignment="1">
      <alignment vertical="center"/>
    </xf>
    <xf numFmtId="0" fontId="127" fillId="22" borderId="0" xfId="38" applyFont="1" applyFill="1" applyAlignment="1">
      <alignment vertical="center"/>
    </xf>
    <xf numFmtId="0" fontId="105" fillId="22" borderId="0" xfId="46" applyFont="1" applyFill="1" applyBorder="1" applyAlignment="1" applyProtection="1">
      <alignment horizontal="left" vertical="center"/>
      <protection locked="0"/>
    </xf>
    <xf numFmtId="0" fontId="105" fillId="17" borderId="50" xfId="46" applyFont="1" applyFill="1" applyBorder="1" applyAlignment="1" applyProtection="1">
      <alignment horizontal="left" vertical="center"/>
      <protection locked="0"/>
    </xf>
    <xf numFmtId="0" fontId="105" fillId="17" borderId="43" xfId="46" applyFont="1" applyFill="1" applyBorder="1" applyAlignment="1" applyProtection="1">
      <alignment horizontal="left" vertical="center"/>
      <protection locked="0"/>
    </xf>
    <xf numFmtId="0" fontId="105" fillId="17" borderId="65" xfId="46" applyFont="1" applyFill="1" applyBorder="1" applyProtection="1">
      <alignment horizontal="left" vertical="center" indent="2"/>
      <protection locked="0"/>
    </xf>
    <xf numFmtId="0" fontId="105" fillId="22" borderId="0" xfId="46" applyFont="1" applyFill="1" applyBorder="1" applyAlignment="1">
      <alignment horizontal="left" vertical="center" wrapText="1"/>
    </xf>
    <xf numFmtId="0" fontId="105" fillId="22" borderId="0" xfId="3" applyFont="1" applyFill="1" applyAlignment="1">
      <alignment vertical="center"/>
    </xf>
    <xf numFmtId="0" fontId="105" fillId="17" borderId="80" xfId="3" applyFont="1" applyFill="1" applyBorder="1" applyAlignment="1">
      <alignment vertical="center"/>
    </xf>
    <xf numFmtId="0" fontId="105" fillId="17" borderId="0" xfId="3" applyFont="1" applyFill="1" applyAlignment="1">
      <alignment vertical="center"/>
    </xf>
    <xf numFmtId="0" fontId="105" fillId="17" borderId="61" xfId="3" applyFont="1" applyFill="1" applyBorder="1" applyAlignment="1">
      <alignment vertical="center"/>
    </xf>
    <xf numFmtId="0" fontId="105" fillId="22" borderId="0" xfId="38" applyFill="1" applyAlignment="1">
      <alignment horizontal="left" vertical="center" wrapText="1"/>
    </xf>
    <xf numFmtId="0" fontId="105" fillId="17" borderId="18" xfId="38" applyFill="1" applyBorder="1" applyAlignment="1">
      <alignment horizontal="left" vertical="center"/>
    </xf>
    <xf numFmtId="0" fontId="121" fillId="17" borderId="86" xfId="38" applyFont="1" applyFill="1" applyBorder="1" applyAlignment="1">
      <alignment horizontal="center" vertical="center"/>
    </xf>
    <xf numFmtId="0" fontId="125" fillId="17" borderId="86" xfId="38" applyFont="1" applyFill="1" applyBorder="1" applyAlignment="1">
      <alignment horizontal="center" vertical="center" wrapText="1"/>
    </xf>
    <xf numFmtId="0" fontId="121" fillId="17" borderId="61" xfId="38" applyFont="1" applyFill="1" applyBorder="1" applyAlignment="1">
      <alignment horizontal="center" vertical="center"/>
    </xf>
    <xf numFmtId="0" fontId="121" fillId="17" borderId="61" xfId="38" applyFont="1" applyFill="1" applyBorder="1" applyAlignment="1">
      <alignment horizontal="center" vertical="center" wrapText="1"/>
    </xf>
    <xf numFmtId="0" fontId="105" fillId="17" borderId="50" xfId="3" applyFont="1" applyFill="1" applyBorder="1"/>
    <xf numFmtId="0" fontId="105" fillId="17" borderId="43" xfId="3" applyFont="1" applyFill="1" applyBorder="1"/>
    <xf numFmtId="0" fontId="105" fillId="17" borderId="65" xfId="3" applyFont="1" applyFill="1" applyBorder="1"/>
    <xf numFmtId="0" fontId="105" fillId="17" borderId="80" xfId="3" applyFont="1" applyFill="1" applyBorder="1"/>
    <xf numFmtId="0" fontId="105" fillId="17" borderId="0" xfId="3" applyFont="1" applyFill="1"/>
    <xf numFmtId="0" fontId="105" fillId="17" borderId="61" xfId="3" applyFont="1" applyFill="1" applyBorder="1"/>
    <xf numFmtId="0" fontId="105" fillId="26" borderId="50" xfId="38" applyFill="1" applyBorder="1" applyAlignment="1" applyProtection="1">
      <alignment horizontal="right" vertical="center" wrapText="1"/>
      <protection locked="0"/>
    </xf>
    <xf numFmtId="4" fontId="121" fillId="22" borderId="0" xfId="54" applyFont="1" applyFill="1" applyAlignment="1">
      <alignment vertical="center"/>
    </xf>
    <xf numFmtId="0" fontId="121" fillId="17" borderId="54" xfId="38" applyFont="1" applyFill="1" applyBorder="1" applyAlignment="1">
      <alignment horizontal="left" vertical="center" wrapText="1"/>
    </xf>
    <xf numFmtId="0" fontId="105" fillId="17" borderId="18" xfId="38" applyFill="1" applyBorder="1" applyAlignment="1">
      <alignment horizontal="left" vertical="center" wrapText="1"/>
    </xf>
    <xf numFmtId="0" fontId="121" fillId="17" borderId="95" xfId="38" applyFont="1" applyFill="1" applyBorder="1" applyAlignment="1">
      <alignment horizontal="left" vertical="center" wrapText="1"/>
    </xf>
    <xf numFmtId="0" fontId="121" fillId="17" borderId="96" xfId="38" applyFont="1" applyFill="1" applyBorder="1" applyAlignment="1">
      <alignment horizontal="center" vertical="center"/>
    </xf>
    <xf numFmtId="0" fontId="121" fillId="17" borderId="85" xfId="38" applyFont="1" applyFill="1" applyBorder="1" applyAlignment="1">
      <alignment horizontal="center" vertical="center" wrapText="1"/>
    </xf>
    <xf numFmtId="0" fontId="121" fillId="17" borderId="80" xfId="38" applyFont="1" applyFill="1" applyBorder="1" applyAlignment="1">
      <alignment horizontal="center" vertical="center"/>
    </xf>
    <xf numFmtId="0" fontId="122" fillId="22" borderId="0" xfId="44" applyFont="1" applyFill="1" applyBorder="1"/>
    <xf numFmtId="0" fontId="121" fillId="22" borderId="0" xfId="40" applyFont="1" applyFill="1" applyAlignment="1">
      <alignment horizontal="center" vertical="center" wrapText="1"/>
    </xf>
    <xf numFmtId="0" fontId="134" fillId="22" borderId="0" xfId="40" applyFont="1" applyFill="1" applyAlignment="1">
      <alignment horizontal="left" vertical="center" wrapText="1"/>
    </xf>
    <xf numFmtId="0" fontId="121" fillId="17" borderId="18" xfId="40" applyFont="1" applyFill="1" applyBorder="1" applyAlignment="1">
      <alignment horizontal="left" vertical="center" wrapText="1"/>
    </xf>
    <xf numFmtId="0" fontId="105" fillId="22" borderId="0" xfId="40" applyFont="1" applyFill="1" applyAlignment="1">
      <alignment horizontal="center" vertical="center" wrapText="1"/>
    </xf>
    <xf numFmtId="0" fontId="130" fillId="22" borderId="0" xfId="40" applyFont="1" applyFill="1" applyAlignment="1">
      <alignment horizontal="center" vertical="center" wrapText="1"/>
    </xf>
    <xf numFmtId="0" fontId="121" fillId="17" borderId="97" xfId="40" applyFont="1" applyFill="1" applyBorder="1" applyAlignment="1">
      <alignment horizontal="left" vertical="center"/>
    </xf>
    <xf numFmtId="0" fontId="121" fillId="17" borderId="92" xfId="56" applyFont="1" applyFill="1" applyBorder="1" applyAlignment="1">
      <alignment horizontal="center" vertical="center"/>
    </xf>
    <xf numFmtId="0" fontId="105" fillId="22" borderId="0" xfId="3" applyFont="1" applyFill="1" applyAlignment="1">
      <alignment wrapText="1"/>
    </xf>
    <xf numFmtId="0" fontId="105" fillId="22" borderId="0" xfId="40" applyFont="1" applyFill="1" applyAlignment="1">
      <alignment horizontal="center" vertical="center"/>
    </xf>
    <xf numFmtId="0" fontId="105" fillId="22" borderId="0" xfId="40" applyFont="1" applyFill="1" applyAlignment="1">
      <alignment horizontal="left" vertical="center"/>
    </xf>
    <xf numFmtId="49" fontId="122" fillId="22" borderId="0" xfId="40" applyNumberFormat="1" applyFont="1" applyFill="1"/>
    <xf numFmtId="49" fontId="122" fillId="22" borderId="0" xfId="3" applyNumberFormat="1" applyFont="1" applyFill="1"/>
    <xf numFmtId="0" fontId="122" fillId="22" borderId="0" xfId="40" applyFont="1" applyFill="1"/>
    <xf numFmtId="0" fontId="130" fillId="22" borderId="0" xfId="3" applyFont="1" applyFill="1"/>
    <xf numFmtId="0" fontId="121" fillId="17" borderId="54" xfId="40" applyFont="1" applyFill="1" applyBorder="1" applyAlignment="1">
      <alignment horizontal="left" vertical="center"/>
    </xf>
    <xf numFmtId="0" fontId="121" fillId="17" borderId="85" xfId="57" applyFont="1" applyBorder="1" applyAlignment="1">
      <alignment horizontal="center" vertical="center"/>
    </xf>
    <xf numFmtId="0" fontId="121" fillId="17" borderId="18" xfId="40" applyFont="1" applyFill="1" applyBorder="1" applyAlignment="1">
      <alignment vertical="center" wrapText="1"/>
    </xf>
    <xf numFmtId="49" fontId="105" fillId="22" borderId="0" xfId="40" applyNumberFormat="1" applyFont="1" applyFill="1" applyAlignment="1">
      <alignment horizontal="left"/>
    </xf>
    <xf numFmtId="0" fontId="105" fillId="22" borderId="0" xfId="40" applyFont="1" applyFill="1" applyAlignment="1">
      <alignment vertical="center" wrapText="1"/>
    </xf>
    <xf numFmtId="0" fontId="130" fillId="22" borderId="0" xfId="40" applyFont="1" applyFill="1" applyAlignment="1">
      <alignment horizontal="left" vertical="center" wrapText="1"/>
    </xf>
    <xf numFmtId="0" fontId="105" fillId="17" borderId="61" xfId="40" applyFont="1" applyFill="1" applyBorder="1" applyAlignment="1">
      <alignment horizontal="left" vertical="top" wrapText="1"/>
    </xf>
    <xf numFmtId="0" fontId="105" fillId="22" borderId="0" xfId="40" applyFont="1" applyFill="1"/>
    <xf numFmtId="0" fontId="121" fillId="17" borderId="86" xfId="40" applyFont="1" applyFill="1" applyBorder="1" applyAlignment="1">
      <alignment horizontal="center" wrapText="1"/>
    </xf>
    <xf numFmtId="0" fontId="121" fillId="17" borderId="98" xfId="40" applyFont="1" applyFill="1" applyBorder="1" applyAlignment="1">
      <alignment horizontal="center" wrapText="1"/>
    </xf>
    <xf numFmtId="0" fontId="121" fillId="17" borderId="85" xfId="3" applyFont="1" applyFill="1" applyBorder="1" applyAlignment="1">
      <alignment horizontal="center"/>
    </xf>
    <xf numFmtId="0" fontId="121" fillId="22" borderId="0" xfId="50" applyFont="1" applyFill="1" applyAlignment="1">
      <alignment horizontal="left"/>
    </xf>
    <xf numFmtId="0" fontId="105" fillId="22" borderId="0" xfId="40" applyFont="1" applyFill="1" applyAlignment="1">
      <alignment horizontal="left"/>
    </xf>
    <xf numFmtId="0" fontId="130" fillId="22" borderId="0" xfId="40" applyFont="1" applyFill="1" applyAlignment="1">
      <alignment horizontal="left" vertical="top" wrapText="1"/>
    </xf>
    <xf numFmtId="0" fontId="121" fillId="17" borderId="18" xfId="41" applyFont="1" applyBorder="1" applyAlignment="1">
      <alignment horizontal="left" vertical="center"/>
    </xf>
    <xf numFmtId="0" fontId="121" fillId="17" borderId="96" xfId="56" applyFont="1" applyFill="1" applyBorder="1" applyAlignment="1">
      <alignment horizontal="center" vertical="center"/>
    </xf>
    <xf numFmtId="0" fontId="128" fillId="22" borderId="0" xfId="50" applyFill="1" applyBorder="1" applyAlignment="1"/>
    <xf numFmtId="0" fontId="105" fillId="22" borderId="0" xfId="49" applyFont="1" applyFill="1" applyAlignment="1">
      <alignment horizontal="right" vertical="top"/>
    </xf>
    <xf numFmtId="0" fontId="128" fillId="22" borderId="0" xfId="50" applyFill="1" applyAlignment="1">
      <alignment vertical="center" wrapText="1"/>
    </xf>
    <xf numFmtId="0" fontId="128" fillId="22" borderId="0" xfId="50" applyFill="1" applyAlignment="1">
      <alignment vertical="top"/>
    </xf>
    <xf numFmtId="0" fontId="121" fillId="17" borderId="92" xfId="38" applyFont="1" applyFill="1" applyBorder="1" applyAlignment="1">
      <alignment horizontal="center" vertical="top"/>
    </xf>
    <xf numFmtId="0" fontId="121" fillId="22" borderId="0" xfId="50" applyFont="1" applyFill="1" applyAlignment="1"/>
    <xf numFmtId="0" fontId="121" fillId="22" borderId="0" xfId="38" applyFont="1" applyFill="1"/>
    <xf numFmtId="0" fontId="139" fillId="22" borderId="0" xfId="38" applyFont="1" applyFill="1"/>
    <xf numFmtId="0" fontId="130" fillId="2" borderId="0" xfId="3" applyFont="1" applyFill="1"/>
    <xf numFmtId="0" fontId="105" fillId="17" borderId="18" xfId="3" applyFont="1" applyFill="1" applyBorder="1" applyAlignment="1">
      <alignment horizontal="right"/>
    </xf>
    <xf numFmtId="0" fontId="121" fillId="17" borderId="92" xfId="58" applyFont="1" applyFill="1" applyBorder="1" applyAlignment="1">
      <alignment horizontal="center" vertical="center" wrapText="1"/>
    </xf>
    <xf numFmtId="0" fontId="108" fillId="0" borderId="0" xfId="3" applyFont="1"/>
    <xf numFmtId="0" fontId="108" fillId="22" borderId="0" xfId="44" applyFont="1" applyFill="1" applyBorder="1"/>
    <xf numFmtId="0" fontId="108" fillId="22" borderId="0" xfId="3" applyFont="1" applyFill="1"/>
    <xf numFmtId="0" fontId="108" fillId="22" borderId="0" xfId="38" applyFont="1" applyFill="1" applyAlignment="1">
      <alignment vertical="center"/>
    </xf>
    <xf numFmtId="0" fontId="113" fillId="17" borderId="85" xfId="38" applyFont="1" applyFill="1" applyBorder="1" applyAlignment="1">
      <alignment horizontal="left" vertical="top"/>
    </xf>
    <xf numFmtId="0" fontId="113" fillId="17" borderId="50" xfId="38" applyFont="1" applyFill="1" applyBorder="1" applyAlignment="1">
      <alignment horizontal="center" vertical="center"/>
    </xf>
    <xf numFmtId="0" fontId="113" fillId="17" borderId="18" xfId="38" applyFont="1" applyFill="1" applyBorder="1" applyAlignment="1">
      <alignment horizontal="center" vertical="center" wrapText="1"/>
    </xf>
    <xf numFmtId="0" fontId="113" fillId="17" borderId="54" xfId="38" applyFont="1" applyFill="1" applyBorder="1" applyAlignment="1">
      <alignment horizontal="left" vertical="top"/>
    </xf>
    <xf numFmtId="0" fontId="113" fillId="17" borderId="50" xfId="38" applyFont="1" applyFill="1" applyBorder="1" applyAlignment="1">
      <alignment horizontal="center" vertical="center" wrapText="1"/>
    </xf>
    <xf numFmtId="0" fontId="113" fillId="17" borderId="43" xfId="38" applyFont="1" applyFill="1" applyBorder="1" applyAlignment="1">
      <alignment horizontal="center" vertical="center" wrapText="1"/>
    </xf>
    <xf numFmtId="0" fontId="113" fillId="17" borderId="65" xfId="38" applyFont="1" applyFill="1" applyBorder="1" applyAlignment="1">
      <alignment horizontal="center" vertical="center" wrapText="1"/>
    </xf>
    <xf numFmtId="0" fontId="113" fillId="17" borderId="18" xfId="38" applyFont="1" applyFill="1" applyBorder="1" applyAlignment="1">
      <alignment horizontal="left" vertical="top"/>
    </xf>
    <xf numFmtId="0" fontId="108" fillId="22" borderId="0" xfId="38" applyFont="1" applyFill="1" applyAlignment="1">
      <alignment horizontal="right" vertical="center"/>
    </xf>
    <xf numFmtId="0" fontId="108" fillId="22" borderId="0" xfId="49" applyFill="1">
      <alignment horizontal="right"/>
    </xf>
    <xf numFmtId="0" fontId="144" fillId="22" borderId="0" xfId="3" applyFont="1" applyFill="1"/>
    <xf numFmtId="0" fontId="145" fillId="22" borderId="0" xfId="50" applyFont="1" applyFill="1" applyAlignment="1">
      <alignment vertical="center"/>
    </xf>
    <xf numFmtId="0" fontId="105" fillId="0" borderId="0" xfId="3" applyFont="1" applyAlignment="1">
      <alignment wrapText="1"/>
    </xf>
    <xf numFmtId="0" fontId="130" fillId="22" borderId="0" xfId="3" applyFont="1" applyFill="1" applyAlignment="1">
      <alignment wrapText="1"/>
    </xf>
    <xf numFmtId="4" fontId="105" fillId="17" borderId="18" xfId="38" applyNumberFormat="1" applyFill="1" applyBorder="1" applyAlignment="1">
      <alignment horizontal="left" vertical="center" wrapText="1"/>
    </xf>
    <xf numFmtId="4" fontId="121" fillId="17" borderId="92" xfId="38" applyNumberFormat="1" applyFont="1" applyFill="1" applyBorder="1" applyAlignment="1">
      <alignment horizontal="center" vertical="center" wrapText="1"/>
    </xf>
    <xf numFmtId="4" fontId="121" fillId="17" borderId="85" xfId="38" applyNumberFormat="1" applyFont="1" applyFill="1" applyBorder="1" applyAlignment="1">
      <alignment horizontal="center" vertical="top" wrapText="1"/>
    </xf>
    <xf numFmtId="4" fontId="121" fillId="17" borderId="54" xfId="38" applyNumberFormat="1" applyFont="1" applyFill="1" applyBorder="1" applyAlignment="1">
      <alignment horizontal="center" vertical="top" wrapText="1"/>
    </xf>
    <xf numFmtId="0" fontId="105" fillId="0" borderId="0" xfId="3" applyFont="1" applyAlignment="1">
      <alignment horizontal="left" vertical="center"/>
    </xf>
    <xf numFmtId="0" fontId="130" fillId="22" borderId="0" xfId="44" applyFont="1" applyFill="1" applyBorder="1" applyAlignment="1">
      <alignment wrapText="1"/>
    </xf>
    <xf numFmtId="4" fontId="121" fillId="17" borderId="61" xfId="38" applyNumberFormat="1" applyFont="1" applyFill="1" applyBorder="1" applyAlignment="1">
      <alignment horizontal="left" vertical="top" wrapText="1"/>
    </xf>
    <xf numFmtId="4" fontId="121" fillId="17" borderId="85" xfId="38" applyNumberFormat="1" applyFont="1" applyFill="1" applyBorder="1" applyAlignment="1">
      <alignment horizontal="center" vertical="center"/>
    </xf>
    <xf numFmtId="4" fontId="121" fillId="17" borderId="85" xfId="38" applyNumberFormat="1" applyFont="1" applyFill="1" applyBorder="1" applyAlignment="1">
      <alignment horizontal="left" vertical="top" wrapText="1"/>
    </xf>
    <xf numFmtId="4" fontId="121" fillId="17" borderId="54" xfId="38" applyNumberFormat="1" applyFont="1" applyFill="1" applyBorder="1" applyAlignment="1">
      <alignment horizontal="left" vertical="top" wrapText="1"/>
    </xf>
    <xf numFmtId="4" fontId="121" fillId="17" borderId="50" xfId="38" applyNumberFormat="1" applyFont="1" applyFill="1" applyBorder="1" applyAlignment="1">
      <alignment horizontal="center" vertical="center" wrapText="1"/>
    </xf>
    <xf numFmtId="4" fontId="121" fillId="17" borderId="43" xfId="38" applyNumberFormat="1" applyFont="1" applyFill="1" applyBorder="1" applyAlignment="1">
      <alignment horizontal="center" vertical="center" wrapText="1"/>
    </xf>
    <xf numFmtId="4" fontId="121" fillId="17" borderId="65" xfId="38" applyNumberFormat="1" applyFont="1" applyFill="1" applyBorder="1" applyAlignment="1">
      <alignment horizontal="center" vertical="center" wrapText="1"/>
    </xf>
    <xf numFmtId="0" fontId="105" fillId="2" borderId="0" xfId="49" applyFont="1" applyFill="1">
      <alignment horizontal="right"/>
    </xf>
    <xf numFmtId="0" fontId="105" fillId="2" borderId="0" xfId="3" applyFont="1" applyFill="1"/>
    <xf numFmtId="0" fontId="121" fillId="2" borderId="0" xfId="50" applyFont="1" applyFill="1" applyBorder="1" applyAlignment="1">
      <alignment vertical="center" wrapText="1"/>
    </xf>
    <xf numFmtId="0" fontId="127" fillId="2" borderId="0" xfId="3" applyFont="1" applyFill="1"/>
    <xf numFmtId="0" fontId="128" fillId="2" borderId="0" xfId="50" applyFill="1" applyBorder="1" applyAlignment="1">
      <alignment vertical="center" wrapText="1"/>
    </xf>
    <xf numFmtId="0" fontId="121" fillId="22" borderId="0" xfId="38" applyFont="1" applyFill="1" applyAlignment="1">
      <alignment vertical="center" wrapText="1"/>
    </xf>
    <xf numFmtId="0" fontId="105" fillId="22" borderId="0" xfId="38" applyFill="1" applyAlignment="1">
      <alignment horizontal="right" vertical="center" wrapText="1"/>
    </xf>
    <xf numFmtId="4" fontId="105" fillId="17" borderId="99" xfId="38" applyNumberFormat="1" applyFill="1" applyBorder="1" applyAlignment="1">
      <alignment horizontal="left" vertical="center"/>
    </xf>
    <xf numFmtId="0" fontId="121" fillId="17" borderId="92" xfId="38" applyFont="1" applyFill="1" applyBorder="1" applyAlignment="1">
      <alignment horizontal="center" vertical="center" wrapText="1"/>
    </xf>
    <xf numFmtId="4" fontId="121" fillId="17" borderId="61" xfId="38" applyNumberFormat="1" applyFont="1" applyFill="1" applyBorder="1" applyAlignment="1">
      <alignment horizontal="center" vertical="center" wrapText="1"/>
    </xf>
    <xf numFmtId="0" fontId="147" fillId="0" borderId="7" xfId="36" applyFont="1" applyBorder="1" applyAlignment="1">
      <alignment horizontal="right" vertical="center" wrapText="1"/>
    </xf>
    <xf numFmtId="0" fontId="148" fillId="0" borderId="7" xfId="36" applyFont="1" applyBorder="1" applyAlignment="1">
      <alignment vertical="center"/>
    </xf>
    <xf numFmtId="0" fontId="147" fillId="0" borderId="0" xfId="36" applyFont="1" applyAlignment="1">
      <alignment horizontal="right" vertical="center" wrapText="1"/>
    </xf>
    <xf numFmtId="0" fontId="148" fillId="0" borderId="0" xfId="36" applyFont="1" applyAlignment="1">
      <alignment vertical="center"/>
    </xf>
    <xf numFmtId="166" fontId="147" fillId="0" borderId="0" xfId="36" applyNumberFormat="1" applyFont="1" applyAlignment="1">
      <alignment horizontal="right" vertical="center" wrapText="1"/>
    </xf>
    <xf numFmtId="166" fontId="147" fillId="0" borderId="0" xfId="36" applyNumberFormat="1" applyFont="1"/>
    <xf numFmtId="0" fontId="149" fillId="0" borderId="0" xfId="36" applyFont="1" applyAlignment="1">
      <alignment wrapText="1"/>
    </xf>
    <xf numFmtId="0" fontId="147" fillId="0" borderId="0" xfId="36" applyFont="1" applyAlignment="1">
      <alignment vertical="center"/>
    </xf>
    <xf numFmtId="0" fontId="150" fillId="0" borderId="0" xfId="36" applyFont="1" applyAlignment="1">
      <alignment vertical="center"/>
    </xf>
    <xf numFmtId="0" fontId="147" fillId="0" borderId="10" xfId="36" applyFont="1" applyBorder="1" applyAlignment="1">
      <alignment horizontal="right" vertical="center" wrapText="1"/>
    </xf>
    <xf numFmtId="0" fontId="147" fillId="0" borderId="10" xfId="36" applyFont="1" applyBorder="1" applyAlignment="1">
      <alignment vertical="center"/>
    </xf>
    <xf numFmtId="0" fontId="151" fillId="0" borderId="0" xfId="36" applyFont="1"/>
    <xf numFmtId="0" fontId="152" fillId="0" borderId="0" xfId="36" applyFont="1"/>
    <xf numFmtId="1" fontId="147" fillId="0" borderId="7" xfId="36" applyNumberFormat="1" applyFont="1" applyBorder="1"/>
    <xf numFmtId="0" fontId="149" fillId="0" borderId="7" xfId="32" applyFont="1" applyBorder="1" applyAlignment="1" applyProtection="1">
      <alignment horizontal="left"/>
      <protection locked="0"/>
    </xf>
    <xf numFmtId="1" fontId="147" fillId="0" borderId="0" xfId="36" applyNumberFormat="1" applyFont="1"/>
    <xf numFmtId="0" fontId="149" fillId="0" borderId="0" xfId="32" applyFont="1" applyAlignment="1" applyProtection="1">
      <alignment horizontal="left"/>
      <protection locked="0"/>
    </xf>
    <xf numFmtId="0" fontId="147" fillId="0" borderId="7" xfId="36" applyFont="1" applyBorder="1"/>
    <xf numFmtId="0" fontId="149" fillId="0" borderId="7" xfId="36" applyFont="1" applyBorder="1"/>
    <xf numFmtId="0" fontId="26" fillId="0" borderId="7" xfId="36" applyBorder="1"/>
    <xf numFmtId="0" fontId="153" fillId="0" borderId="0" xfId="36" applyFont="1" applyAlignment="1">
      <alignment horizontal="justify" vertical="center"/>
    </xf>
    <xf numFmtId="0" fontId="147" fillId="0" borderId="7" xfId="36" applyFont="1" applyBorder="1" applyAlignment="1">
      <alignment vertical="center"/>
    </xf>
    <xf numFmtId="1" fontId="147" fillId="0" borderId="0" xfId="36" applyNumberFormat="1" applyFont="1" applyAlignment="1">
      <alignment horizontal="right" vertical="center" wrapText="1"/>
    </xf>
    <xf numFmtId="3" fontId="26" fillId="0" borderId="0" xfId="36" applyNumberFormat="1"/>
    <xf numFmtId="3" fontId="154" fillId="0" borderId="7" xfId="36" applyNumberFormat="1" applyFont="1" applyBorder="1" applyAlignment="1">
      <alignment horizontal="right" vertical="center"/>
    </xf>
    <xf numFmtId="3" fontId="154" fillId="0" borderId="7" xfId="36" applyNumberFormat="1" applyFont="1" applyBorder="1" applyAlignment="1">
      <alignment horizontal="left" vertical="center"/>
    </xf>
    <xf numFmtId="3" fontId="154" fillId="0" borderId="0" xfId="36" applyNumberFormat="1" applyFont="1" applyAlignment="1">
      <alignment horizontal="right" vertical="center"/>
    </xf>
    <xf numFmtId="3" fontId="154" fillId="0" borderId="0" xfId="36" applyNumberFormat="1" applyFont="1" applyAlignment="1">
      <alignment horizontal="left" vertical="center"/>
    </xf>
    <xf numFmtId="0" fontId="154" fillId="0" borderId="10" xfId="36" applyFont="1" applyBorder="1" applyAlignment="1">
      <alignment horizontal="right" vertical="center"/>
    </xf>
    <xf numFmtId="0" fontId="155" fillId="0" borderId="0" xfId="36" applyFont="1" applyAlignment="1">
      <alignment vertical="center" wrapText="1"/>
    </xf>
    <xf numFmtId="166" fontId="147" fillId="0" borderId="7" xfId="36" applyNumberFormat="1" applyFont="1" applyBorder="1" applyAlignment="1">
      <alignment horizontal="right" vertical="center"/>
    </xf>
    <xf numFmtId="166" fontId="147" fillId="0" borderId="0" xfId="36" applyNumberFormat="1" applyFont="1" applyAlignment="1">
      <alignment horizontal="right" vertical="center"/>
    </xf>
    <xf numFmtId="0" fontId="155" fillId="0" borderId="0" xfId="36" applyFont="1"/>
    <xf numFmtId="166" fontId="147" fillId="0" borderId="10" xfId="36" applyNumberFormat="1" applyFont="1" applyBorder="1" applyAlignment="1">
      <alignment horizontal="right" vertical="center"/>
    </xf>
    <xf numFmtId="0" fontId="155" fillId="0" borderId="3" xfId="36" applyFont="1" applyBorder="1"/>
    <xf numFmtId="0" fontId="157" fillId="0" borderId="10" xfId="36" applyFont="1" applyBorder="1" applyAlignment="1">
      <alignment horizontal="right" vertical="center"/>
    </xf>
    <xf numFmtId="0" fontId="157" fillId="0" borderId="10" xfId="36" applyFont="1" applyBorder="1" applyAlignment="1">
      <alignment vertical="center"/>
    </xf>
    <xf numFmtId="0" fontId="26" fillId="2" borderId="0" xfId="36" applyFill="1"/>
    <xf numFmtId="0" fontId="103" fillId="2" borderId="87" xfId="36" applyFont="1" applyFill="1" applyBorder="1" applyAlignment="1">
      <alignment horizontal="center" vertical="center"/>
    </xf>
    <xf numFmtId="0" fontId="103" fillId="2" borderId="0" xfId="36" applyFont="1" applyFill="1" applyAlignment="1">
      <alignment horizontal="center" vertical="center"/>
    </xf>
    <xf numFmtId="0" fontId="103" fillId="2" borderId="87" xfId="36" applyFont="1" applyFill="1" applyBorder="1" applyAlignment="1">
      <alignment horizontal="center" vertical="center" wrapText="1"/>
    </xf>
    <xf numFmtId="0" fontId="103" fillId="2" borderId="0" xfId="36" applyFont="1" applyFill="1" applyAlignment="1">
      <alignment horizontal="center" vertical="center" wrapText="1"/>
    </xf>
    <xf numFmtId="0" fontId="26" fillId="0" borderId="87" xfId="36" applyBorder="1"/>
    <xf numFmtId="180" fontId="81" fillId="0" borderId="87" xfId="36" applyNumberFormat="1" applyFont="1" applyBorder="1"/>
    <xf numFmtId="166" fontId="81" fillId="0" borderId="87" xfId="36" applyNumberFormat="1" applyFont="1" applyBorder="1"/>
    <xf numFmtId="3" fontId="26" fillId="0" borderId="87" xfId="36" applyNumberFormat="1" applyBorder="1"/>
    <xf numFmtId="2" fontId="26" fillId="0" borderId="87" xfId="36" applyNumberFormat="1" applyBorder="1"/>
    <xf numFmtId="166" fontId="81" fillId="0" borderId="18" xfId="36" applyNumberFormat="1" applyFont="1" applyBorder="1"/>
    <xf numFmtId="0" fontId="52" fillId="2" borderId="0" xfId="36" applyFont="1" applyFill="1" applyAlignment="1">
      <alignment wrapText="1"/>
    </xf>
    <xf numFmtId="184" fontId="0" fillId="0" borderId="0" xfId="42" applyNumberFormat="1" applyFont="1"/>
    <xf numFmtId="184" fontId="26" fillId="0" borderId="0" xfId="36" applyNumberFormat="1"/>
    <xf numFmtId="2" fontId="81" fillId="0" borderId="18" xfId="36" applyNumberFormat="1" applyFont="1" applyBorder="1"/>
    <xf numFmtId="0" fontId="26" fillId="0" borderId="102" xfId="36" applyBorder="1"/>
    <xf numFmtId="0" fontId="67" fillId="2" borderId="0" xfId="36" applyFont="1" applyFill="1"/>
    <xf numFmtId="0" fontId="103" fillId="2" borderId="94" xfId="36" applyFont="1" applyFill="1" applyBorder="1" applyAlignment="1">
      <alignment horizontal="center" vertical="center"/>
    </xf>
    <xf numFmtId="0" fontId="26" fillId="2" borderId="0" xfId="36" applyFill="1" applyAlignment="1">
      <alignment horizontal="center"/>
    </xf>
    <xf numFmtId="0" fontId="26" fillId="2" borderId="0" xfId="36" applyFill="1" applyAlignment="1">
      <alignment horizontal="left"/>
    </xf>
    <xf numFmtId="3" fontId="26" fillId="2" borderId="0" xfId="36" applyNumberFormat="1" applyFill="1"/>
    <xf numFmtId="2" fontId="26" fillId="2" borderId="0" xfId="36" applyNumberFormat="1" applyFill="1"/>
    <xf numFmtId="0" fontId="52" fillId="2" borderId="0" xfId="36" applyFont="1" applyFill="1" applyAlignment="1">
      <alignment vertical="center" wrapText="1"/>
    </xf>
    <xf numFmtId="0" fontId="26" fillId="9" borderId="9" xfId="36" applyFill="1" applyBorder="1"/>
    <xf numFmtId="0" fontId="67" fillId="9" borderId="93" xfId="36" applyFont="1" applyFill="1" applyBorder="1"/>
    <xf numFmtId="0" fontId="103" fillId="2" borderId="94" xfId="36" applyFont="1" applyFill="1" applyBorder="1" applyAlignment="1">
      <alignment horizontal="center" vertical="center" wrapText="1"/>
    </xf>
    <xf numFmtId="4" fontId="26" fillId="2" borderId="0" xfId="36" applyNumberFormat="1" applyFill="1"/>
    <xf numFmtId="4" fontId="26" fillId="0" borderId="16" xfId="36" applyNumberFormat="1" applyBorder="1"/>
    <xf numFmtId="3" fontId="26" fillId="0" borderId="16" xfId="36" applyNumberFormat="1" applyBorder="1"/>
    <xf numFmtId="0" fontId="52" fillId="0" borderId="9" xfId="36" applyFont="1" applyBorder="1"/>
    <xf numFmtId="0" fontId="80" fillId="2" borderId="0" xfId="36" applyFont="1" applyFill="1"/>
    <xf numFmtId="185" fontId="26" fillId="2" borderId="0" xfId="36" applyNumberFormat="1" applyFill="1"/>
    <xf numFmtId="0" fontId="26" fillId="0" borderId="57" xfId="36" applyBorder="1" applyAlignment="1">
      <alignment horizontal="left" vertical="center" wrapText="1"/>
    </xf>
    <xf numFmtId="3" fontId="26" fillId="0" borderId="104" xfId="36" applyNumberFormat="1" applyBorder="1"/>
    <xf numFmtId="0" fontId="26" fillId="0" borderId="102" xfId="36" applyBorder="1" applyAlignment="1">
      <alignment horizontal="left" vertical="center" wrapText="1"/>
    </xf>
    <xf numFmtId="3" fontId="26" fillId="0" borderId="19" xfId="36" applyNumberFormat="1" applyBorder="1"/>
    <xf numFmtId="0" fontId="26" fillId="0" borderId="81" xfId="36" applyBorder="1" applyAlignment="1">
      <alignment horizontal="left" vertical="center" wrapText="1"/>
    </xf>
    <xf numFmtId="2" fontId="52" fillId="2" borderId="0" xfId="36" applyNumberFormat="1" applyFont="1" applyFill="1" applyAlignment="1">
      <alignment vertical="center"/>
    </xf>
    <xf numFmtId="2" fontId="52" fillId="9" borderId="16" xfId="36" applyNumberFormat="1" applyFont="1" applyFill="1" applyBorder="1" applyAlignment="1">
      <alignment horizontal="center" vertical="center" wrapText="1"/>
    </xf>
    <xf numFmtId="0" fontId="67" fillId="2" borderId="0" xfId="36" applyFont="1" applyFill="1" applyAlignment="1">
      <alignment horizontal="center"/>
    </xf>
    <xf numFmtId="0" fontId="26" fillId="2" borderId="0" xfId="36" applyFill="1" applyAlignment="1">
      <alignment wrapText="1"/>
    </xf>
    <xf numFmtId="3" fontId="26" fillId="0" borderId="46" xfId="36" applyNumberFormat="1" applyBorder="1"/>
    <xf numFmtId="0" fontId="26" fillId="0" borderId="6" xfId="36" applyBorder="1" applyAlignment="1">
      <alignment horizontal="left" vertical="center" wrapText="1"/>
    </xf>
    <xf numFmtId="0" fontId="26" fillId="0" borderId="106" xfId="36" applyBorder="1" applyAlignment="1">
      <alignment horizontal="left" vertical="center" wrapText="1"/>
    </xf>
    <xf numFmtId="3" fontId="26" fillId="0" borderId="65" xfId="36" applyNumberFormat="1" applyBorder="1"/>
    <xf numFmtId="0" fontId="52" fillId="2" borderId="0" xfId="36" applyFont="1" applyFill="1"/>
    <xf numFmtId="3" fontId="26" fillId="2" borderId="0" xfId="36" applyNumberFormat="1" applyFill="1" applyAlignment="1">
      <alignment vertical="center"/>
    </xf>
    <xf numFmtId="4" fontId="26" fillId="0" borderId="46" xfId="36" applyNumberFormat="1" applyBorder="1"/>
    <xf numFmtId="0" fontId="103" fillId="2" borderId="0" xfId="36" applyFont="1" applyFill="1"/>
    <xf numFmtId="0" fontId="67" fillId="2" borderId="0" xfId="36" applyFont="1" applyFill="1" applyAlignment="1">
      <alignment vertical="center" wrapText="1"/>
    </xf>
    <xf numFmtId="0" fontId="68" fillId="2" borderId="0" xfId="36" applyFont="1" applyFill="1"/>
    <xf numFmtId="167" fontId="26" fillId="2" borderId="0" xfId="36" applyNumberFormat="1" applyFill="1"/>
    <xf numFmtId="3" fontId="26" fillId="0" borderId="10" xfId="36" applyNumberFormat="1" applyBorder="1" applyAlignment="1">
      <alignment horizontal="left"/>
    </xf>
    <xf numFmtId="3" fontId="52" fillId="0" borderId="9" xfId="36" applyNumberFormat="1" applyFont="1" applyBorder="1"/>
    <xf numFmtId="3" fontId="26" fillId="0" borderId="66" xfId="36" applyNumberFormat="1" applyBorder="1"/>
    <xf numFmtId="3" fontId="26" fillId="0" borderId="107" xfId="36" applyNumberFormat="1" applyBorder="1"/>
    <xf numFmtId="3" fontId="26" fillId="0" borderId="94" xfId="36" applyNumberFormat="1" applyBorder="1"/>
    <xf numFmtId="3" fontId="26" fillId="0" borderId="102" xfId="36" applyNumberFormat="1" applyBorder="1"/>
    <xf numFmtId="3" fontId="26" fillId="0" borderId="81" xfId="36" applyNumberFormat="1" applyBorder="1"/>
    <xf numFmtId="0" fontId="103" fillId="2" borderId="0" xfId="36" applyFont="1" applyFill="1" applyAlignment="1">
      <alignment vertical="center" wrapText="1"/>
    </xf>
    <xf numFmtId="0" fontId="52" fillId="2" borderId="0" xfId="36" applyFont="1" applyFill="1" applyAlignment="1">
      <alignment horizontal="center" vertical="center"/>
    </xf>
    <xf numFmtId="4" fontId="26" fillId="9" borderId="8" xfId="36" applyNumberFormat="1" applyFill="1" applyBorder="1"/>
    <xf numFmtId="3" fontId="26" fillId="0" borderId="44" xfId="36" applyNumberFormat="1" applyBorder="1"/>
    <xf numFmtId="0" fontId="26" fillId="9" borderId="7" xfId="36" applyFill="1" applyBorder="1"/>
    <xf numFmtId="0" fontId="26" fillId="9" borderId="6" xfId="36" applyFill="1" applyBorder="1"/>
    <xf numFmtId="4" fontId="26" fillId="9" borderId="5" xfId="36" applyNumberFormat="1" applyFill="1" applyBorder="1"/>
    <xf numFmtId="0" fontId="26" fillId="9" borderId="4" xfId="36" applyFill="1" applyBorder="1"/>
    <xf numFmtId="0" fontId="160" fillId="2" borderId="0" xfId="36" applyFont="1" applyFill="1"/>
    <xf numFmtId="4" fontId="26" fillId="9" borderId="39" xfId="36" applyNumberFormat="1" applyFill="1" applyBorder="1"/>
    <xf numFmtId="3" fontId="26" fillId="0" borderId="74" xfId="36" applyNumberFormat="1" applyBorder="1"/>
    <xf numFmtId="4" fontId="26" fillId="0" borderId="108" xfId="36" applyNumberFormat="1" applyBorder="1"/>
    <xf numFmtId="4" fontId="26" fillId="0" borderId="32" xfId="36" applyNumberFormat="1" applyBorder="1"/>
    <xf numFmtId="0" fontId="26" fillId="0" borderId="32" xfId="36" applyBorder="1" applyAlignment="1">
      <alignment horizontal="center"/>
    </xf>
    <xf numFmtId="3" fontId="26" fillId="0" borderId="32" xfId="36" applyNumberFormat="1" applyBorder="1"/>
    <xf numFmtId="4" fontId="26" fillId="0" borderId="87" xfId="36" applyNumberFormat="1" applyBorder="1"/>
    <xf numFmtId="0" fontId="26" fillId="0" borderId="87" xfId="36" applyBorder="1" applyAlignment="1">
      <alignment horizontal="center"/>
    </xf>
    <xf numFmtId="0" fontId="26" fillId="0" borderId="106" xfId="36" applyBorder="1"/>
    <xf numFmtId="166" fontId="26" fillId="0" borderId="106" xfId="36" applyNumberFormat="1" applyBorder="1"/>
    <xf numFmtId="4" fontId="26" fillId="0" borderId="108" xfId="36" applyNumberFormat="1" applyBorder="1" applyAlignment="1">
      <alignment horizontal="right"/>
    </xf>
    <xf numFmtId="3" fontId="26" fillId="0" borderId="94" xfId="36" applyNumberFormat="1" applyBorder="1" applyAlignment="1">
      <alignment horizontal="right"/>
    </xf>
    <xf numFmtId="4" fontId="26" fillId="0" borderId="87" xfId="36" applyNumberFormat="1" applyBorder="1" applyAlignment="1">
      <alignment horizontal="right"/>
    </xf>
    <xf numFmtId="4" fontId="26" fillId="0" borderId="39" xfId="36" applyNumberFormat="1" applyBorder="1"/>
    <xf numFmtId="3" fontId="26" fillId="0" borderId="72" xfId="36" applyNumberFormat="1" applyBorder="1"/>
    <xf numFmtId="4" fontId="26" fillId="0" borderId="18" xfId="36" applyNumberFormat="1" applyBorder="1"/>
    <xf numFmtId="0" fontId="26" fillId="0" borderId="64" xfId="36" applyBorder="1" applyAlignment="1">
      <alignment horizontal="center"/>
    </xf>
    <xf numFmtId="4" fontId="26" fillId="0" borderId="64" xfId="36" applyNumberFormat="1" applyBorder="1"/>
    <xf numFmtId="3" fontId="26" fillId="0" borderId="64" xfId="36" applyNumberFormat="1" applyBorder="1"/>
    <xf numFmtId="0" fontId="52" fillId="9" borderId="11" xfId="36" applyFont="1" applyFill="1" applyBorder="1" applyAlignment="1">
      <alignment horizontal="center" vertical="center" wrapText="1"/>
    </xf>
    <xf numFmtId="0" fontId="67" fillId="2" borderId="7" xfId="36" applyFont="1" applyFill="1" applyBorder="1"/>
    <xf numFmtId="3" fontId="26" fillId="2" borderId="14" xfId="36" applyNumberFormat="1" applyFill="1" applyBorder="1" applyAlignment="1">
      <alignment horizontal="center" vertical="center"/>
    </xf>
    <xf numFmtId="2" fontId="26" fillId="2" borderId="0" xfId="36" applyNumberFormat="1" applyFill="1" applyAlignment="1">
      <alignment horizontal="center"/>
    </xf>
    <xf numFmtId="2" fontId="26" fillId="0" borderId="65" xfId="36" applyNumberFormat="1" applyBorder="1"/>
    <xf numFmtId="4" fontId="52" fillId="2" borderId="0" xfId="36" applyNumberFormat="1" applyFont="1" applyFill="1" applyAlignment="1">
      <alignment vertical="center"/>
    </xf>
    <xf numFmtId="0" fontId="52" fillId="2" borderId="0" xfId="36" applyFont="1" applyFill="1" applyAlignment="1">
      <alignment vertical="center"/>
    </xf>
    <xf numFmtId="0" fontId="52" fillId="9" borderId="9" xfId="36" applyFont="1" applyFill="1" applyBorder="1" applyAlignment="1">
      <alignment vertical="center"/>
    </xf>
    <xf numFmtId="0" fontId="26" fillId="9" borderId="66" xfId="36" applyFill="1" applyBorder="1"/>
    <xf numFmtId="3" fontId="26" fillId="9" borderId="66" xfId="36" applyNumberFormat="1" applyFill="1" applyBorder="1"/>
    <xf numFmtId="2" fontId="26" fillId="0" borderId="94" xfId="36" applyNumberFormat="1" applyBorder="1"/>
    <xf numFmtId="4" fontId="26" fillId="0" borderId="104" xfId="36" applyNumberFormat="1" applyBorder="1"/>
    <xf numFmtId="0" fontId="67" fillId="2" borderId="0" xfId="36" applyFont="1" applyFill="1" applyAlignment="1">
      <alignment wrapText="1"/>
    </xf>
    <xf numFmtId="0" fontId="67" fillId="2" borderId="7" xfId="36" applyFont="1" applyFill="1" applyBorder="1" applyAlignment="1">
      <alignment wrapText="1"/>
    </xf>
    <xf numFmtId="0" fontId="67" fillId="9" borderId="93" xfId="36" applyFont="1" applyFill="1" applyBorder="1" applyAlignment="1">
      <alignment wrapText="1"/>
    </xf>
    <xf numFmtId="1" fontId="26" fillId="0" borderId="0" xfId="36" applyNumberFormat="1"/>
    <xf numFmtId="0" fontId="52" fillId="30" borderId="0" xfId="36" applyFont="1" applyFill="1"/>
    <xf numFmtId="0" fontId="162" fillId="0" borderId="0" xfId="74"/>
    <xf numFmtId="0" fontId="162" fillId="0" borderId="0" xfId="74" applyAlignment="1">
      <alignment horizontal="right"/>
    </xf>
    <xf numFmtId="0" fontId="164" fillId="0" borderId="0" xfId="74" applyFont="1" applyAlignment="1">
      <alignment horizontal="left"/>
    </xf>
    <xf numFmtId="0" fontId="163" fillId="0" borderId="0" xfId="74" applyFont="1"/>
    <xf numFmtId="0" fontId="165" fillId="0" borderId="0" xfId="74" applyFont="1"/>
    <xf numFmtId="0" fontId="26" fillId="13" borderId="0" xfId="36" applyFill="1" applyProtection="1">
      <protection locked="0"/>
    </xf>
    <xf numFmtId="0" fontId="26" fillId="13" borderId="90" xfId="36" applyFill="1" applyBorder="1" applyProtection="1">
      <protection locked="0"/>
    </xf>
    <xf numFmtId="0" fontId="26" fillId="13" borderId="43" xfId="36" applyFill="1" applyBorder="1" applyProtection="1">
      <protection locked="0"/>
    </xf>
    <xf numFmtId="0" fontId="103" fillId="2" borderId="61" xfId="36" applyFont="1" applyFill="1" applyBorder="1" applyAlignment="1">
      <alignment horizontal="center" vertical="center" wrapText="1"/>
    </xf>
    <xf numFmtId="0" fontId="103" fillId="2" borderId="0" xfId="0" applyFont="1" applyFill="1" applyAlignment="1">
      <alignment horizontal="center" vertical="center" wrapText="1"/>
    </xf>
    <xf numFmtId="0" fontId="103" fillId="2" borderId="0" xfId="0" applyFont="1" applyFill="1" applyAlignment="1">
      <alignment horizontal="center" vertical="center"/>
    </xf>
    <xf numFmtId="0" fontId="103" fillId="2" borderId="87" xfId="0" applyFont="1" applyFill="1" applyBorder="1" applyAlignment="1">
      <alignment horizontal="center" vertical="center" wrapText="1"/>
    </xf>
    <xf numFmtId="0" fontId="25" fillId="9" borderId="0" xfId="36" applyFont="1" applyFill="1"/>
    <xf numFmtId="0" fontId="25" fillId="11" borderId="87" xfId="36" applyFont="1" applyFill="1" applyBorder="1"/>
    <xf numFmtId="0" fontId="25" fillId="2" borderId="0" xfId="36" applyFont="1" applyFill="1"/>
    <xf numFmtId="0" fontId="25" fillId="2" borderId="0" xfId="36" applyFont="1" applyFill="1" applyAlignment="1">
      <alignment horizontal="right"/>
    </xf>
    <xf numFmtId="0" fontId="92" fillId="9" borderId="13" xfId="0" applyFont="1" applyFill="1" applyBorder="1" applyAlignment="1">
      <alignment horizontal="center" wrapText="1"/>
    </xf>
    <xf numFmtId="0" fontId="92" fillId="9" borderId="14" xfId="0" applyFont="1" applyFill="1" applyBorder="1" applyAlignment="1">
      <alignment horizontal="center"/>
    </xf>
    <xf numFmtId="0" fontId="92" fillId="0" borderId="18" xfId="0" applyFont="1" applyBorder="1"/>
    <xf numFmtId="0" fontId="92" fillId="0" borderId="19" xfId="0" applyFont="1" applyBorder="1"/>
    <xf numFmtId="0" fontId="92" fillId="0" borderId="87" xfId="0" applyFont="1" applyBorder="1"/>
    <xf numFmtId="0" fontId="92" fillId="0" borderId="93" xfId="0" applyFont="1" applyBorder="1"/>
    <xf numFmtId="180" fontId="92" fillId="0" borderId="0" xfId="0" applyNumberFormat="1" applyFont="1"/>
    <xf numFmtId="0" fontId="92" fillId="0" borderId="13" xfId="0" applyFont="1" applyBorder="1"/>
    <xf numFmtId="0" fontId="92" fillId="0" borderId="14" xfId="0" applyFont="1" applyBorder="1"/>
    <xf numFmtId="0" fontId="92" fillId="2" borderId="0" xfId="0" applyFont="1" applyFill="1"/>
    <xf numFmtId="0" fontId="24" fillId="2" borderId="0" xfId="75" applyFill="1"/>
    <xf numFmtId="0" fontId="67" fillId="2" borderId="0" xfId="75" applyFont="1" applyFill="1" applyAlignment="1">
      <alignment horizontal="center" vertical="center"/>
    </xf>
    <xf numFmtId="3" fontId="67" fillId="2" borderId="0" xfId="75" applyNumberFormat="1" applyFont="1" applyFill="1" applyAlignment="1">
      <alignment horizontal="center" vertical="center"/>
    </xf>
    <xf numFmtId="0" fontId="67" fillId="2" borderId="0" xfId="75" applyFont="1" applyFill="1" applyAlignment="1">
      <alignment horizontal="center" vertical="center" wrapText="1"/>
    </xf>
    <xf numFmtId="0" fontId="103" fillId="2" borderId="0" xfId="75" applyFont="1" applyFill="1" applyAlignment="1">
      <alignment horizontal="center" vertical="center"/>
    </xf>
    <xf numFmtId="3" fontId="103" fillId="2" borderId="0" xfId="75" applyNumberFormat="1" applyFont="1" applyFill="1" applyAlignment="1">
      <alignment horizontal="center" vertical="center"/>
    </xf>
    <xf numFmtId="0" fontId="52" fillId="9" borderId="12" xfId="75" applyFont="1" applyFill="1" applyBorder="1" applyAlignment="1">
      <alignment horizontal="center" vertical="center" wrapText="1"/>
    </xf>
    <xf numFmtId="0" fontId="24" fillId="9" borderId="93" xfId="75" applyFill="1" applyBorder="1"/>
    <xf numFmtId="0" fontId="24" fillId="9" borderId="87" xfId="75" applyFill="1" applyBorder="1" applyAlignment="1">
      <alignment vertical="center"/>
    </xf>
    <xf numFmtId="0" fontId="103" fillId="0" borderId="0" xfId="75" applyFont="1" applyAlignment="1">
      <alignment horizontal="center" vertical="center"/>
    </xf>
    <xf numFmtId="0" fontId="80" fillId="2" borderId="0" xfId="75" applyFont="1" applyFill="1"/>
    <xf numFmtId="0" fontId="52" fillId="2" borderId="0" xfId="75" applyFont="1" applyFill="1" applyAlignment="1">
      <alignment vertical="center" wrapText="1"/>
    </xf>
    <xf numFmtId="0" fontId="24" fillId="0" borderId="0" xfId="75"/>
    <xf numFmtId="0" fontId="24" fillId="9" borderId="0" xfId="75" applyFill="1"/>
    <xf numFmtId="0" fontId="84" fillId="9" borderId="0" xfId="75" applyFont="1" applyFill="1"/>
    <xf numFmtId="0" fontId="23" fillId="2" borderId="0" xfId="78" applyFill="1"/>
    <xf numFmtId="0" fontId="103" fillId="2" borderId="0" xfId="78" applyFont="1" applyFill="1" applyAlignment="1">
      <alignment horizontal="center" vertical="center" wrapText="1"/>
    </xf>
    <xf numFmtId="0" fontId="23" fillId="2" borderId="33" xfId="78" applyFill="1" applyBorder="1"/>
    <xf numFmtId="0" fontId="23" fillId="2" borderId="31" xfId="78" applyFill="1" applyBorder="1"/>
    <xf numFmtId="0" fontId="23" fillId="2" borderId="19" xfId="78" applyFill="1" applyBorder="1"/>
    <xf numFmtId="0" fontId="23" fillId="2" borderId="17" xfId="78" applyFill="1" applyBorder="1"/>
    <xf numFmtId="0" fontId="23" fillId="2" borderId="14" xfId="78" applyFill="1" applyBorder="1"/>
    <xf numFmtId="0" fontId="23" fillId="2" borderId="1" xfId="78" applyFill="1" applyBorder="1"/>
    <xf numFmtId="0" fontId="67" fillId="2" borderId="0" xfId="78" applyFont="1" applyFill="1"/>
    <xf numFmtId="0" fontId="23" fillId="2" borderId="0" xfId="78" applyFill="1" applyAlignment="1">
      <alignment horizontal="center" vertical="center" wrapText="1"/>
    </xf>
    <xf numFmtId="0" fontId="103" fillId="2" borderId="87" xfId="78" applyFont="1" applyFill="1" applyBorder="1" applyAlignment="1">
      <alignment horizontal="center" vertical="center" wrapText="1"/>
    </xf>
    <xf numFmtId="0" fontId="68" fillId="2" borderId="0" xfId="78" applyFont="1" applyFill="1" applyAlignment="1">
      <alignment horizontal="center" vertical="center" wrapText="1"/>
    </xf>
    <xf numFmtId="3" fontId="80" fillId="2" borderId="0" xfId="78" applyNumberFormat="1" applyFont="1" applyFill="1"/>
    <xf numFmtId="0" fontId="80" fillId="2" borderId="0" xfId="78" applyFont="1" applyFill="1"/>
    <xf numFmtId="0" fontId="23" fillId="9" borderId="0" xfId="78" applyFill="1"/>
    <xf numFmtId="0" fontId="84" fillId="9" borderId="0" xfId="78" applyFont="1" applyFill="1"/>
    <xf numFmtId="0" fontId="23" fillId="0" borderId="0" xfId="78"/>
    <xf numFmtId="184" fontId="23" fillId="0" borderId="0" xfId="78" applyNumberFormat="1"/>
    <xf numFmtId="0" fontId="103" fillId="0" borderId="0" xfId="78" applyFont="1"/>
    <xf numFmtId="0" fontId="103" fillId="0" borderId="0" xfId="78" applyFont="1" applyAlignment="1">
      <alignment horizontal="right" indent="2"/>
    </xf>
    <xf numFmtId="0" fontId="103" fillId="0" borderId="0" xfId="78" applyFont="1" applyAlignment="1">
      <alignment horizontal="center" vertical="center"/>
    </xf>
    <xf numFmtId="4" fontId="23" fillId="0" borderId="0" xfId="78" applyNumberFormat="1"/>
    <xf numFmtId="0" fontId="23" fillId="0" borderId="0" xfId="78" applyAlignment="1">
      <alignment horizontal="center"/>
    </xf>
    <xf numFmtId="0" fontId="52" fillId="9" borderId="1" xfId="78" applyFont="1" applyFill="1" applyBorder="1" applyAlignment="1">
      <alignment horizontal="center" vertical="center" wrapText="1"/>
    </xf>
    <xf numFmtId="0" fontId="52" fillId="9" borderId="16" xfId="78" applyFont="1" applyFill="1" applyBorder="1" applyAlignment="1">
      <alignment horizontal="center" vertical="center" wrapText="1"/>
    </xf>
    <xf numFmtId="0" fontId="52" fillId="9" borderId="15" xfId="78" applyFont="1" applyFill="1" applyBorder="1" applyAlignment="1">
      <alignment horizontal="center" vertical="center" wrapText="1"/>
    </xf>
    <xf numFmtId="0" fontId="52" fillId="9" borderId="9" xfId="78" applyFont="1" applyFill="1" applyBorder="1" applyAlignment="1">
      <alignment horizontal="center" vertical="center"/>
    </xf>
    <xf numFmtId="0" fontId="168" fillId="0" borderId="0" xfId="78" applyFont="1"/>
    <xf numFmtId="167" fontId="81" fillId="2" borderId="21" xfId="78" applyNumberFormat="1" applyFont="1" applyFill="1" applyBorder="1" applyAlignment="1">
      <alignment horizontal="right"/>
    </xf>
    <xf numFmtId="3" fontId="81" fillId="2" borderId="21" xfId="78" applyNumberFormat="1" applyFont="1" applyFill="1" applyBorder="1" applyAlignment="1">
      <alignment horizontal="right"/>
    </xf>
    <xf numFmtId="3" fontId="23" fillId="0" borderId="22" xfId="78" applyNumberFormat="1" applyBorder="1" applyAlignment="1">
      <alignment horizontal="right"/>
    </xf>
    <xf numFmtId="3" fontId="23" fillId="0" borderId="47" xfId="78" applyNumberFormat="1" applyBorder="1" applyAlignment="1">
      <alignment horizontal="right"/>
    </xf>
    <xf numFmtId="3" fontId="81" fillId="2" borderId="22" xfId="78" applyNumberFormat="1" applyFont="1" applyFill="1" applyBorder="1" applyAlignment="1">
      <alignment horizontal="right"/>
    </xf>
    <xf numFmtId="3" fontId="81" fillId="2" borderId="55" xfId="78" applyNumberFormat="1" applyFont="1" applyFill="1" applyBorder="1" applyAlignment="1">
      <alignment horizontal="right"/>
    </xf>
    <xf numFmtId="3" fontId="81" fillId="2" borderId="23" xfId="78" applyNumberFormat="1" applyFont="1" applyFill="1" applyBorder="1" applyAlignment="1">
      <alignment horizontal="right"/>
    </xf>
    <xf numFmtId="3" fontId="81" fillId="2" borderId="47" xfId="78" applyNumberFormat="1" applyFont="1" applyFill="1" applyBorder="1" applyAlignment="1">
      <alignment horizontal="right"/>
    </xf>
    <xf numFmtId="3" fontId="23" fillId="0" borderId="32" xfId="78" applyNumberFormat="1" applyBorder="1" applyAlignment="1">
      <alignment horizontal="right"/>
    </xf>
    <xf numFmtId="171" fontId="23" fillId="0" borderId="22" xfId="78" applyNumberFormat="1" applyBorder="1" applyAlignment="1">
      <alignment horizontal="right"/>
    </xf>
    <xf numFmtId="164" fontId="0" fillId="0" borderId="0" xfId="81" applyFont="1"/>
    <xf numFmtId="164" fontId="80" fillId="0" borderId="0" xfId="81" applyFont="1"/>
    <xf numFmtId="164" fontId="103" fillId="0" borderId="0" xfId="81" applyFont="1" applyAlignment="1">
      <alignment horizontal="center" vertical="center"/>
    </xf>
    <xf numFmtId="164" fontId="52" fillId="0" borderId="1" xfId="81" applyFont="1" applyBorder="1"/>
    <xf numFmtId="164" fontId="67" fillId="9" borderId="0" xfId="81" applyFont="1" applyFill="1"/>
    <xf numFmtId="164" fontId="68" fillId="0" borderId="0" xfId="81" applyFont="1"/>
    <xf numFmtId="0" fontId="103" fillId="0" borderId="0" xfId="81" applyNumberFormat="1" applyFont="1" applyFill="1" applyBorder="1" applyAlignment="1">
      <alignment horizontal="left" indent="2"/>
    </xf>
    <xf numFmtId="164" fontId="68" fillId="0" borderId="0" xfId="81" applyFont="1" applyAlignment="1">
      <alignment vertical="center"/>
    </xf>
    <xf numFmtId="164" fontId="103" fillId="0" borderId="0" xfId="81" applyFont="1" applyAlignment="1">
      <alignment vertical="center"/>
    </xf>
    <xf numFmtId="164" fontId="103" fillId="0" borderId="22" xfId="81" applyFont="1" applyBorder="1" applyAlignment="1">
      <alignment horizontal="center" vertical="center" wrapText="1"/>
    </xf>
    <xf numFmtId="164" fontId="67" fillId="0" borderId="66" xfId="81" applyFont="1" applyBorder="1" applyAlignment="1">
      <alignment horizontal="left" indent="2"/>
    </xf>
    <xf numFmtId="164" fontId="67" fillId="0" borderId="55" xfId="81" applyFont="1" applyBorder="1" applyAlignment="1">
      <alignment horizontal="left" indent="2"/>
    </xf>
    <xf numFmtId="164" fontId="52" fillId="0" borderId="81" xfId="81" applyFont="1" applyBorder="1"/>
    <xf numFmtId="164" fontId="52" fillId="0" borderId="9" xfId="81" applyFont="1" applyBorder="1"/>
    <xf numFmtId="164" fontId="52" fillId="9" borderId="74" xfId="81" applyFont="1" applyFill="1" applyBorder="1" applyAlignment="1">
      <alignment horizontal="center" vertical="center" wrapText="1"/>
    </xf>
    <xf numFmtId="164" fontId="52" fillId="9" borderId="14" xfId="81" applyFont="1" applyFill="1" applyBorder="1" applyAlignment="1">
      <alignment horizontal="center" vertical="center" wrapText="1"/>
    </xf>
    <xf numFmtId="164" fontId="52" fillId="9" borderId="1" xfId="81" applyFont="1" applyFill="1" applyBorder="1" applyAlignment="1">
      <alignment horizontal="center" vertical="center" wrapText="1"/>
    </xf>
    <xf numFmtId="164" fontId="52" fillId="9" borderId="15" xfId="81" applyFont="1" applyFill="1" applyBorder="1" applyAlignment="1">
      <alignment horizontal="center" vertical="center" wrapText="1"/>
    </xf>
    <xf numFmtId="164" fontId="52" fillId="9" borderId="13" xfId="81" applyFont="1" applyFill="1" applyBorder="1" applyAlignment="1">
      <alignment horizontal="center" vertical="center" wrapText="1"/>
    </xf>
    <xf numFmtId="164" fontId="52" fillId="9" borderId="16" xfId="81" applyFont="1" applyFill="1" applyBorder="1" applyAlignment="1">
      <alignment horizontal="center" vertical="center" wrapText="1"/>
    </xf>
    <xf numFmtId="164" fontId="52" fillId="9" borderId="11" xfId="81" applyFont="1" applyFill="1" applyBorder="1" applyAlignment="1">
      <alignment horizontal="center" vertical="center" wrapText="1"/>
    </xf>
    <xf numFmtId="164" fontId="67" fillId="0" borderId="0" xfId="81" applyFont="1"/>
    <xf numFmtId="164" fontId="67" fillId="0" borderId="0" xfId="81" applyFont="1" applyAlignment="1">
      <alignment vertical="center"/>
    </xf>
    <xf numFmtId="164" fontId="103" fillId="0" borderId="0" xfId="81" applyFont="1" applyAlignment="1">
      <alignment horizontal="center" vertical="center" wrapText="1"/>
    </xf>
    <xf numFmtId="164" fontId="103" fillId="0" borderId="0" xfId="81" applyFont="1" applyBorder="1" applyAlignment="1">
      <alignment horizontal="center" vertical="center"/>
    </xf>
    <xf numFmtId="164" fontId="67" fillId="0" borderId="31" xfId="81" applyFont="1" applyBorder="1" applyAlignment="1">
      <alignment horizontal="left" indent="2"/>
    </xf>
    <xf numFmtId="164" fontId="67" fillId="0" borderId="21" xfId="81" applyFont="1" applyBorder="1" applyAlignment="1">
      <alignment horizontal="left" indent="2"/>
    </xf>
    <xf numFmtId="164" fontId="81" fillId="2" borderId="23" xfId="81" applyFont="1" applyFill="1" applyBorder="1" applyAlignment="1">
      <alignment horizontal="right"/>
    </xf>
    <xf numFmtId="164" fontId="81" fillId="2" borderId="21" xfId="81" applyFont="1" applyFill="1" applyBorder="1" applyAlignment="1">
      <alignment horizontal="right"/>
    </xf>
    <xf numFmtId="164" fontId="81" fillId="2" borderId="24" xfId="81" applyFont="1" applyFill="1" applyBorder="1" applyAlignment="1">
      <alignment horizontal="right"/>
    </xf>
    <xf numFmtId="164" fontId="81" fillId="2" borderId="22" xfId="81" applyFont="1" applyFill="1" applyBorder="1" applyAlignment="1">
      <alignment horizontal="right"/>
    </xf>
    <xf numFmtId="164" fontId="52" fillId="0" borderId="17" xfId="81" applyFont="1" applyBorder="1"/>
    <xf numFmtId="164" fontId="52" fillId="0" borderId="2" xfId="81" applyFont="1" applyBorder="1"/>
    <xf numFmtId="164" fontId="52" fillId="9" borderId="12" xfId="81" applyFont="1" applyFill="1" applyBorder="1" applyAlignment="1">
      <alignment horizontal="center" vertical="center" wrapText="1"/>
    </xf>
    <xf numFmtId="0" fontId="67" fillId="0" borderId="0" xfId="81" applyNumberFormat="1" applyFont="1" applyFill="1" applyBorder="1" applyAlignment="1">
      <alignment horizontal="left" indent="2"/>
    </xf>
    <xf numFmtId="164" fontId="169" fillId="2" borderId="0" xfId="81" applyFont="1" applyFill="1" applyAlignment="1"/>
    <xf numFmtId="164" fontId="68" fillId="2" borderId="0" xfId="81" applyFont="1" applyFill="1"/>
    <xf numFmtId="164" fontId="67" fillId="0" borderId="57" xfId="81" applyFont="1" applyBorder="1" applyAlignment="1">
      <alignment horizontal="left" indent="2"/>
    </xf>
    <xf numFmtId="164" fontId="67" fillId="0" borderId="56" xfId="81" applyFont="1" applyBorder="1" applyAlignment="1">
      <alignment horizontal="left" indent="2"/>
    </xf>
    <xf numFmtId="164" fontId="52" fillId="0" borderId="69" xfId="81" applyFont="1" applyBorder="1"/>
    <xf numFmtId="164" fontId="52" fillId="9" borderId="59" xfId="81" applyFont="1" applyFill="1" applyBorder="1" applyAlignment="1">
      <alignment horizontal="center" vertical="center" wrapText="1"/>
    </xf>
    <xf numFmtId="164" fontId="52" fillId="9" borderId="52" xfId="81" applyFont="1" applyFill="1" applyBorder="1" applyAlignment="1">
      <alignment horizontal="center" vertical="center" wrapText="1"/>
    </xf>
    <xf numFmtId="164" fontId="52" fillId="9" borderId="77" xfId="81" applyFont="1" applyFill="1" applyBorder="1" applyAlignment="1">
      <alignment horizontal="center" vertical="center" wrapText="1"/>
    </xf>
    <xf numFmtId="164" fontId="52" fillId="9" borderId="58" xfId="81" applyFont="1" applyFill="1" applyBorder="1" applyAlignment="1">
      <alignment horizontal="center" vertical="center" wrapText="1"/>
    </xf>
    <xf numFmtId="164" fontId="52" fillId="9" borderId="67" xfId="81" applyFont="1" applyFill="1" applyBorder="1" applyAlignment="1">
      <alignment horizontal="center" vertical="center" wrapText="1"/>
    </xf>
    <xf numFmtId="164" fontId="103" fillId="0" borderId="0" xfId="81" applyFont="1" applyBorder="1" applyAlignment="1">
      <alignment vertical="center"/>
    </xf>
    <xf numFmtId="164" fontId="81" fillId="2" borderId="55" xfId="81" applyFont="1" applyFill="1" applyBorder="1" applyAlignment="1">
      <alignment horizontal="right"/>
    </xf>
    <xf numFmtId="164" fontId="81" fillId="2" borderId="47" xfId="81" applyFont="1" applyFill="1" applyBorder="1" applyAlignment="1">
      <alignment horizontal="right"/>
    </xf>
    <xf numFmtId="164" fontId="81" fillId="2" borderId="65" xfId="81" applyFont="1" applyFill="1" applyBorder="1" applyAlignment="1">
      <alignment horizontal="right"/>
    </xf>
    <xf numFmtId="164" fontId="81" fillId="2" borderId="18" xfId="81" applyFont="1" applyFill="1" applyBorder="1" applyAlignment="1">
      <alignment horizontal="right"/>
    </xf>
    <xf numFmtId="164" fontId="81" fillId="2" borderId="50" xfId="81" applyFont="1" applyFill="1" applyBorder="1" applyAlignment="1">
      <alignment horizontal="right"/>
    </xf>
    <xf numFmtId="164" fontId="81" fillId="2" borderId="19" xfId="81" applyFont="1" applyFill="1" applyBorder="1" applyAlignment="1">
      <alignment horizontal="right"/>
    </xf>
    <xf numFmtId="164" fontId="81" fillId="2" borderId="17" xfId="81" applyFont="1" applyFill="1" applyBorder="1" applyAlignment="1">
      <alignment horizontal="right"/>
    </xf>
    <xf numFmtId="164" fontId="52" fillId="0" borderId="52" xfId="81" applyFont="1" applyBorder="1"/>
    <xf numFmtId="164" fontId="52" fillId="9" borderId="10" xfId="81" applyFont="1" applyFill="1" applyBorder="1" applyAlignment="1">
      <alignment horizontal="center" vertical="center" wrapText="1"/>
    </xf>
    <xf numFmtId="164" fontId="68" fillId="0" borderId="0" xfId="81" applyFont="1" applyFill="1"/>
    <xf numFmtId="164" fontId="103" fillId="0" borderId="0" xfId="81" applyFont="1" applyFill="1" applyAlignment="1">
      <alignment vertical="center"/>
    </xf>
    <xf numFmtId="164" fontId="52" fillId="0" borderId="11" xfId="81" applyFont="1" applyBorder="1"/>
    <xf numFmtId="164" fontId="0" fillId="0" borderId="0" xfId="81" applyFont="1" applyAlignment="1">
      <alignment horizontal="center" vertical="center"/>
    </xf>
    <xf numFmtId="0" fontId="103" fillId="0" borderId="0" xfId="78" applyFont="1" applyAlignment="1">
      <alignment horizontal="center"/>
    </xf>
    <xf numFmtId="0" fontId="103" fillId="0" borderId="0" xfId="78" applyFont="1" applyAlignment="1">
      <alignment horizontal="left"/>
    </xf>
    <xf numFmtId="3" fontId="23" fillId="2" borderId="0" xfId="78" applyNumberFormat="1" applyFill="1"/>
    <xf numFmtId="0" fontId="68" fillId="2" borderId="0" xfId="78" applyFont="1" applyFill="1"/>
    <xf numFmtId="3" fontId="103" fillId="2" borderId="22" xfId="78" applyNumberFormat="1" applyFont="1" applyFill="1" applyBorder="1" applyAlignment="1">
      <alignment horizontal="center" vertical="center" wrapText="1"/>
    </xf>
    <xf numFmtId="3" fontId="81" fillId="2" borderId="13" xfId="78" applyNumberFormat="1" applyFont="1" applyFill="1" applyBorder="1" applyAlignment="1">
      <alignment horizontal="right"/>
    </xf>
    <xf numFmtId="3" fontId="81" fillId="2" borderId="15" xfId="78" applyNumberFormat="1" applyFont="1" applyFill="1" applyBorder="1" applyAlignment="1">
      <alignment horizontal="right"/>
    </xf>
    <xf numFmtId="2" fontId="81" fillId="2" borderId="14" xfId="78" applyNumberFormat="1" applyFont="1" applyFill="1" applyBorder="1" applyAlignment="1">
      <alignment horizontal="right"/>
    </xf>
    <xf numFmtId="2" fontId="81" fillId="2" borderId="13" xfId="78" applyNumberFormat="1" applyFont="1" applyFill="1" applyBorder="1" applyAlignment="1">
      <alignment horizontal="right"/>
    </xf>
    <xf numFmtId="2" fontId="81" fillId="2" borderId="1" xfId="78" applyNumberFormat="1" applyFont="1" applyFill="1" applyBorder="1" applyAlignment="1">
      <alignment horizontal="right"/>
    </xf>
    <xf numFmtId="0" fontId="96" fillId="9" borderId="9" xfId="78" applyFont="1" applyFill="1" applyBorder="1" applyAlignment="1">
      <alignment horizontal="left" indent="2"/>
    </xf>
    <xf numFmtId="0" fontId="96" fillId="9" borderId="9" xfId="41" applyFont="1" applyFill="1" applyBorder="1" applyAlignment="1">
      <alignment horizontal="left" vertical="center" indent="2"/>
    </xf>
    <xf numFmtId="3" fontId="96" fillId="2" borderId="13" xfId="40" applyNumberFormat="1" applyFont="1" applyFill="1" applyBorder="1" applyAlignment="1">
      <alignment horizontal="center" wrapText="1"/>
    </xf>
    <xf numFmtId="3" fontId="96" fillId="2" borderId="15" xfId="40" applyNumberFormat="1" applyFont="1" applyFill="1" applyBorder="1" applyAlignment="1">
      <alignment horizontal="left" vertical="center" wrapText="1"/>
    </xf>
    <xf numFmtId="3" fontId="81" fillId="2" borderId="11" xfId="40" applyNumberFormat="1" applyFont="1" applyFill="1" applyBorder="1" applyAlignment="1">
      <alignment horizontal="right" vertical="center" wrapText="1"/>
    </xf>
    <xf numFmtId="0" fontId="96" fillId="2" borderId="9" xfId="41" applyFont="1" applyFill="1" applyBorder="1" applyAlignment="1">
      <alignment horizontal="left" vertical="center" indent="1"/>
    </xf>
    <xf numFmtId="0" fontId="67" fillId="9" borderId="27" xfId="78" applyFont="1" applyFill="1" applyBorder="1"/>
    <xf numFmtId="3" fontId="67" fillId="2" borderId="0" xfId="78" applyNumberFormat="1" applyFont="1" applyFill="1" applyAlignment="1">
      <alignment horizontal="center"/>
    </xf>
    <xf numFmtId="0" fontId="67" fillId="2" borderId="0" xfId="78" applyFont="1" applyFill="1" applyAlignment="1">
      <alignment horizontal="center"/>
    </xf>
    <xf numFmtId="3" fontId="67" fillId="2" borderId="0" xfId="78" applyNumberFormat="1" applyFont="1" applyFill="1"/>
    <xf numFmtId="0" fontId="81" fillId="2" borderId="0" xfId="78" applyFont="1" applyFill="1" applyAlignment="1">
      <alignment horizontal="left"/>
    </xf>
    <xf numFmtId="0" fontId="103" fillId="2" borderId="0" xfId="78" applyFont="1" applyFill="1"/>
    <xf numFmtId="0" fontId="109" fillId="2" borderId="0" xfId="78" applyFont="1" applyFill="1" applyAlignment="1">
      <alignment horizontal="left"/>
    </xf>
    <xf numFmtId="0" fontId="171" fillId="2" borderId="0" xfId="3" applyFont="1" applyFill="1"/>
    <xf numFmtId="2" fontId="81" fillId="2" borderId="31" xfId="78" applyNumberFormat="1" applyFont="1" applyFill="1" applyBorder="1" applyAlignment="1">
      <alignment horizontal="right"/>
    </xf>
    <xf numFmtId="0" fontId="81" fillId="2" borderId="30" xfId="78" applyFont="1" applyFill="1" applyBorder="1" applyAlignment="1">
      <alignment horizontal="left" indent="3"/>
    </xf>
    <xf numFmtId="3" fontId="81" fillId="2" borderId="58" xfId="78" applyNumberFormat="1" applyFont="1" applyFill="1" applyBorder="1" applyAlignment="1">
      <alignment horizontal="right"/>
    </xf>
    <xf numFmtId="3" fontId="81" fillId="2" borderId="77" xfId="78" applyNumberFormat="1" applyFont="1" applyFill="1" applyBorder="1" applyAlignment="1">
      <alignment horizontal="right"/>
    </xf>
    <xf numFmtId="2" fontId="81" fillId="2" borderId="59" xfId="78" applyNumberFormat="1" applyFont="1" applyFill="1" applyBorder="1" applyAlignment="1">
      <alignment horizontal="right"/>
    </xf>
    <xf numFmtId="2" fontId="81" fillId="2" borderId="58" xfId="78" applyNumberFormat="1" applyFont="1" applyFill="1" applyBorder="1" applyAlignment="1">
      <alignment horizontal="right"/>
    </xf>
    <xf numFmtId="2" fontId="81" fillId="2" borderId="52" xfId="78" applyNumberFormat="1" applyFont="1" applyFill="1" applyBorder="1" applyAlignment="1">
      <alignment horizontal="right"/>
    </xf>
    <xf numFmtId="0" fontId="96" fillId="9" borderId="74" xfId="41" applyFont="1" applyFill="1" applyBorder="1" applyAlignment="1">
      <alignment horizontal="left" vertical="center" indent="2"/>
    </xf>
    <xf numFmtId="0" fontId="96" fillId="2" borderId="74" xfId="41" applyFont="1" applyFill="1" applyBorder="1" applyAlignment="1">
      <alignment horizontal="left" vertical="center" indent="1"/>
    </xf>
    <xf numFmtId="3" fontId="81" fillId="2" borderId="0" xfId="78" applyNumberFormat="1" applyFont="1" applyFill="1" applyAlignment="1">
      <alignment horizontal="right"/>
    </xf>
    <xf numFmtId="2" fontId="81" fillId="2" borderId="0" xfId="78" applyNumberFormat="1" applyFont="1" applyFill="1" applyAlignment="1">
      <alignment horizontal="right"/>
    </xf>
    <xf numFmtId="0" fontId="81" fillId="2" borderId="0" xfId="78" applyFont="1" applyFill="1" applyAlignment="1">
      <alignment horizontal="left" indent="8"/>
    </xf>
    <xf numFmtId="0" fontId="96" fillId="9" borderId="2" xfId="41" applyFont="1" applyFill="1" applyBorder="1" applyAlignment="1">
      <alignment horizontal="left" vertical="center" indent="2"/>
    </xf>
    <xf numFmtId="3" fontId="81" fillId="2" borderId="41" xfId="40" applyNumberFormat="1" applyFont="1" applyFill="1" applyBorder="1" applyAlignment="1">
      <alignment horizontal="right" vertical="center" wrapText="1"/>
    </xf>
    <xf numFmtId="3" fontId="81" fillId="2" borderId="45" xfId="40" applyNumberFormat="1" applyFont="1" applyFill="1" applyBorder="1" applyAlignment="1">
      <alignment horizontal="right" vertical="center" wrapText="1"/>
    </xf>
    <xf numFmtId="0" fontId="96" fillId="2" borderId="11" xfId="40" applyFont="1" applyFill="1" applyBorder="1" applyAlignment="1">
      <alignment horizontal="left" vertical="center" wrapText="1"/>
    </xf>
    <xf numFmtId="3" fontId="173" fillId="2" borderId="0" xfId="78" applyNumberFormat="1" applyFont="1" applyFill="1" applyAlignment="1">
      <alignment horizontal="right" wrapText="1"/>
    </xf>
    <xf numFmtId="3" fontId="81" fillId="2" borderId="64" xfId="78" applyNumberFormat="1" applyFont="1" applyFill="1" applyBorder="1" applyAlignment="1">
      <alignment horizontal="right"/>
    </xf>
    <xf numFmtId="3" fontId="81" fillId="2" borderId="70" xfId="78" applyNumberFormat="1" applyFont="1" applyFill="1" applyBorder="1" applyAlignment="1">
      <alignment horizontal="right"/>
    </xf>
    <xf numFmtId="2" fontId="81" fillId="2" borderId="63" xfId="78" applyNumberFormat="1" applyFont="1" applyFill="1" applyBorder="1" applyAlignment="1">
      <alignment horizontal="right"/>
    </xf>
    <xf numFmtId="2" fontId="81" fillId="2" borderId="64" xfId="78" applyNumberFormat="1" applyFont="1" applyFill="1" applyBorder="1" applyAlignment="1">
      <alignment horizontal="right"/>
    </xf>
    <xf numFmtId="2" fontId="81" fillId="2" borderId="62" xfId="78" applyNumberFormat="1" applyFont="1" applyFill="1" applyBorder="1" applyAlignment="1">
      <alignment horizontal="right"/>
    </xf>
    <xf numFmtId="0" fontId="96" fillId="9" borderId="69" xfId="41" applyFont="1" applyFill="1" applyBorder="1" applyAlignment="1">
      <alignment horizontal="left" vertical="center" indent="2"/>
    </xf>
    <xf numFmtId="0" fontId="23" fillId="2" borderId="0" xfId="78" applyFill="1" applyAlignment="1">
      <alignment vertical="center"/>
    </xf>
    <xf numFmtId="0" fontId="52" fillId="2" borderId="0" xfId="78" applyFont="1" applyFill="1" applyAlignment="1">
      <alignment vertical="center"/>
    </xf>
    <xf numFmtId="0" fontId="96" fillId="2" borderId="2" xfId="41" applyFont="1" applyFill="1" applyBorder="1" applyAlignment="1">
      <alignment horizontal="left" vertical="center" indent="1"/>
    </xf>
    <xf numFmtId="0" fontId="120" fillId="2" borderId="0" xfId="78" applyFont="1" applyFill="1"/>
    <xf numFmtId="3" fontId="120" fillId="2" borderId="0" xfId="78" applyNumberFormat="1" applyFont="1" applyFill="1"/>
    <xf numFmtId="0" fontId="120" fillId="9" borderId="0" xfId="78" applyFont="1" applyFill="1"/>
    <xf numFmtId="3" fontId="120" fillId="9" borderId="0" xfId="78" applyNumberFormat="1" applyFont="1" applyFill="1"/>
    <xf numFmtId="1" fontId="23" fillId="2" borderId="0" xfId="78" applyNumberFormat="1" applyFill="1"/>
    <xf numFmtId="0" fontId="52" fillId="2" borderId="0" xfId="78" applyFont="1" applyFill="1"/>
    <xf numFmtId="3" fontId="81" fillId="2" borderId="40" xfId="40" applyNumberFormat="1" applyFont="1" applyFill="1" applyBorder="1" applyAlignment="1">
      <alignment horizontal="right" vertical="center" wrapText="1"/>
    </xf>
    <xf numFmtId="3" fontId="81" fillId="2" borderId="42" xfId="40" applyNumberFormat="1" applyFont="1" applyFill="1" applyBorder="1" applyAlignment="1">
      <alignment horizontal="right" vertical="center" wrapText="1"/>
    </xf>
    <xf numFmtId="3" fontId="96" fillId="2" borderId="1" xfId="40" applyNumberFormat="1" applyFont="1" applyFill="1" applyBorder="1" applyAlignment="1">
      <alignment horizontal="left" vertical="center" wrapText="1"/>
    </xf>
    <xf numFmtId="3" fontId="96" fillId="2" borderId="13" xfId="40" applyNumberFormat="1" applyFont="1" applyFill="1" applyBorder="1" applyAlignment="1">
      <alignment horizontal="left" vertical="center" wrapText="1"/>
    </xf>
    <xf numFmtId="3" fontId="96" fillId="2" borderId="14" xfId="40" applyNumberFormat="1" applyFont="1" applyFill="1" applyBorder="1" applyAlignment="1">
      <alignment horizontal="left" vertical="center" wrapText="1"/>
    </xf>
    <xf numFmtId="0" fontId="103" fillId="0" borderId="0" xfId="78" applyFont="1" applyAlignment="1">
      <alignment vertical="center"/>
    </xf>
    <xf numFmtId="2" fontId="81" fillId="9" borderId="11" xfId="78" applyNumberFormat="1" applyFont="1" applyFill="1" applyBorder="1" applyAlignment="1">
      <alignment horizontal="right"/>
    </xf>
    <xf numFmtId="2" fontId="81" fillId="9" borderId="10" xfId="78" applyNumberFormat="1" applyFont="1" applyFill="1" applyBorder="1" applyAlignment="1">
      <alignment horizontal="right"/>
    </xf>
    <xf numFmtId="1" fontId="81" fillId="9" borderId="11" xfId="78" applyNumberFormat="1" applyFont="1" applyFill="1" applyBorder="1" applyAlignment="1">
      <alignment horizontal="right"/>
    </xf>
    <xf numFmtId="0" fontId="96" fillId="9" borderId="9" xfId="40" applyFont="1" applyFill="1" applyBorder="1" applyAlignment="1">
      <alignment horizontal="left" vertical="top" wrapText="1" indent="1"/>
    </xf>
    <xf numFmtId="2" fontId="81" fillId="2" borderId="37" xfId="78" applyNumberFormat="1" applyFont="1" applyFill="1" applyBorder="1" applyAlignment="1">
      <alignment horizontal="right"/>
    </xf>
    <xf numFmtId="2" fontId="81" fillId="2" borderId="36" xfId="78" applyNumberFormat="1" applyFont="1" applyFill="1" applyBorder="1" applyAlignment="1">
      <alignment horizontal="right"/>
    </xf>
    <xf numFmtId="2" fontId="81" fillId="9" borderId="20" xfId="78" applyNumberFormat="1" applyFont="1" applyFill="1" applyBorder="1" applyAlignment="1">
      <alignment horizontal="right"/>
    </xf>
    <xf numFmtId="2" fontId="81" fillId="9" borderId="34" xfId="78" applyNumberFormat="1" applyFont="1" applyFill="1" applyBorder="1" applyAlignment="1">
      <alignment horizontal="right"/>
    </xf>
    <xf numFmtId="1" fontId="81" fillId="9" borderId="20" xfId="78" applyNumberFormat="1" applyFont="1" applyFill="1" applyBorder="1" applyAlignment="1">
      <alignment horizontal="right"/>
    </xf>
    <xf numFmtId="0" fontId="96" fillId="9" borderId="69" xfId="40" applyFont="1" applyFill="1" applyBorder="1" applyAlignment="1">
      <alignment horizontal="left" vertical="top" wrapText="1" indent="1"/>
    </xf>
    <xf numFmtId="0" fontId="96" fillId="9" borderId="69" xfId="41" applyFont="1" applyFill="1" applyBorder="1" applyAlignment="1">
      <alignment horizontal="left" vertical="center" indent="1"/>
    </xf>
    <xf numFmtId="0" fontId="81" fillId="0" borderId="0" xfId="78" applyFont="1"/>
    <xf numFmtId="0" fontId="96" fillId="9" borderId="69" xfId="78" quotePrefix="1" applyFont="1" applyFill="1" applyBorder="1" applyAlignment="1">
      <alignment horizontal="left" indent="1"/>
    </xf>
    <xf numFmtId="2" fontId="81" fillId="2" borderId="90" xfId="78" applyNumberFormat="1" applyFont="1" applyFill="1" applyBorder="1" applyAlignment="1">
      <alignment horizontal="right"/>
    </xf>
    <xf numFmtId="0" fontId="23" fillId="0" borderId="0" xfId="78" quotePrefix="1"/>
    <xf numFmtId="0" fontId="96" fillId="0" borderId="0" xfId="40" applyFont="1" applyAlignment="1">
      <alignment horizontal="center" vertical="center" wrapText="1"/>
    </xf>
    <xf numFmtId="0" fontId="80" fillId="0" borderId="0" xfId="78" applyFont="1"/>
    <xf numFmtId="0" fontId="96" fillId="9" borderId="20" xfId="40" applyFont="1" applyFill="1" applyBorder="1" applyAlignment="1">
      <alignment horizontal="center" vertical="center" wrapText="1"/>
    </xf>
    <xf numFmtId="0" fontId="96" fillId="9" borderId="69" xfId="40" applyFont="1" applyFill="1" applyBorder="1" applyAlignment="1">
      <alignment horizontal="left" vertical="center" wrapText="1"/>
    </xf>
    <xf numFmtId="0" fontId="96" fillId="9" borderId="74" xfId="40" applyFont="1" applyFill="1" applyBorder="1" applyAlignment="1">
      <alignment horizontal="center" vertical="center" wrapText="1"/>
    </xf>
    <xf numFmtId="0" fontId="96" fillId="9" borderId="3" xfId="40" applyFont="1" applyFill="1" applyBorder="1" applyAlignment="1">
      <alignment horizontal="center" vertical="center" wrapText="1"/>
    </xf>
    <xf numFmtId="0" fontId="96" fillId="9" borderId="2" xfId="40" applyFont="1" applyFill="1" applyBorder="1" applyAlignment="1">
      <alignment horizontal="left" vertical="center" wrapText="1"/>
    </xf>
    <xf numFmtId="0" fontId="127" fillId="9" borderId="0" xfId="3" applyFont="1" applyFill="1" applyAlignment="1">
      <alignment vertical="top"/>
    </xf>
    <xf numFmtId="0" fontId="128" fillId="9" borderId="0" xfId="50" applyFill="1" applyAlignment="1">
      <alignment vertical="top"/>
    </xf>
    <xf numFmtId="0" fontId="174" fillId="9" borderId="0" xfId="50" applyFont="1" applyFill="1" applyAlignment="1">
      <alignment vertical="top"/>
    </xf>
    <xf numFmtId="0" fontId="174" fillId="9" borderId="0" xfId="50" applyFont="1" applyFill="1" applyAlignment="1">
      <alignment horizontal="left"/>
    </xf>
    <xf numFmtId="0" fontId="52" fillId="0" borderId="0" xfId="78" applyFont="1"/>
    <xf numFmtId="3" fontId="96" fillId="9" borderId="34" xfId="40" applyNumberFormat="1" applyFont="1" applyFill="1" applyBorder="1" applyAlignment="1">
      <alignment horizontal="center" vertical="center" wrapText="1"/>
    </xf>
    <xf numFmtId="0" fontId="176" fillId="2" borderId="0" xfId="58" applyFont="1" applyFill="1" applyAlignment="1">
      <alignment vertical="center" wrapText="1"/>
    </xf>
    <xf numFmtId="0" fontId="177" fillId="2" borderId="0" xfId="58" applyFont="1" applyFill="1" applyAlignment="1">
      <alignment horizontal="center" vertical="center" wrapText="1"/>
    </xf>
    <xf numFmtId="0" fontId="176" fillId="2" borderId="0" xfId="58" applyFont="1" applyFill="1" applyAlignment="1">
      <alignment horizontal="left" vertical="center" wrapText="1"/>
    </xf>
    <xf numFmtId="0" fontId="110" fillId="2" borderId="0" xfId="58" applyFont="1" applyFill="1" applyAlignment="1">
      <alignment horizontal="center" vertical="center" wrapText="1"/>
    </xf>
    <xf numFmtId="0" fontId="103" fillId="0" borderId="0" xfId="78" applyFont="1" applyAlignment="1">
      <alignment horizontal="center" vertical="center" wrapText="1"/>
    </xf>
    <xf numFmtId="0" fontId="178" fillId="2" borderId="0" xfId="78" applyFont="1" applyFill="1"/>
    <xf numFmtId="0" fontId="179" fillId="2" borderId="0" xfId="58" applyFont="1" applyFill="1" applyAlignment="1">
      <alignment horizontal="left" wrapText="1"/>
    </xf>
    <xf numFmtId="0" fontId="103" fillId="2" borderId="0" xfId="78" applyFont="1" applyFill="1" applyAlignment="1">
      <alignment horizontal="left" indent="2"/>
    </xf>
    <xf numFmtId="2" fontId="23" fillId="2" borderId="31" xfId="78" applyNumberFormat="1" applyFill="1" applyBorder="1" applyAlignment="1">
      <alignment horizontal="right"/>
    </xf>
    <xf numFmtId="2" fontId="81" fillId="2" borderId="65" xfId="78" applyNumberFormat="1" applyFont="1" applyFill="1" applyBorder="1" applyAlignment="1">
      <alignment horizontal="right"/>
    </xf>
    <xf numFmtId="2" fontId="81" fillId="2" borderId="18" xfId="78" applyNumberFormat="1" applyFont="1" applyFill="1" applyBorder="1" applyAlignment="1">
      <alignment horizontal="right"/>
    </xf>
    <xf numFmtId="2" fontId="81" fillId="2" borderId="17" xfId="78" applyNumberFormat="1" applyFont="1" applyFill="1" applyBorder="1" applyAlignment="1">
      <alignment horizontal="right"/>
    </xf>
    <xf numFmtId="2" fontId="81" fillId="2" borderId="4" xfId="78" applyNumberFormat="1" applyFont="1" applyFill="1" applyBorder="1" applyAlignment="1">
      <alignment horizontal="right"/>
    </xf>
    <xf numFmtId="0" fontId="96" fillId="2" borderId="75" xfId="55" applyFont="1" applyFill="1" applyBorder="1">
      <alignment horizontal="left" vertical="center"/>
    </xf>
    <xf numFmtId="0" fontId="96" fillId="2" borderId="11" xfId="60" applyFont="1" applyFill="1" applyBorder="1" applyAlignment="1">
      <alignment horizontal="left" vertical="center"/>
    </xf>
    <xf numFmtId="0" fontId="96" fillId="2" borderId="9" xfId="58" applyFont="1" applyFill="1" applyBorder="1" applyAlignment="1">
      <alignment horizontal="center" vertical="center" wrapText="1"/>
    </xf>
    <xf numFmtId="0" fontId="96" fillId="2" borderId="0" xfId="58" applyFont="1" applyFill="1" applyAlignment="1">
      <alignment horizontal="left" vertical="center" wrapText="1"/>
    </xf>
    <xf numFmtId="0" fontId="84" fillId="2" borderId="0" xfId="78" applyFont="1" applyFill="1"/>
    <xf numFmtId="0" fontId="23" fillId="0" borderId="0" xfId="78" applyAlignment="1">
      <alignment horizontal="left"/>
    </xf>
    <xf numFmtId="0" fontId="23" fillId="0" borderId="22" xfId="78" applyBorder="1"/>
    <xf numFmtId="0" fontId="23" fillId="0" borderId="22" xfId="78" applyBorder="1" applyAlignment="1">
      <alignment horizontal="left"/>
    </xf>
    <xf numFmtId="0" fontId="67" fillId="0" borderId="22" xfId="78" applyFont="1" applyBorder="1"/>
    <xf numFmtId="0" fontId="162" fillId="0" borderId="44" xfId="78" applyFont="1" applyBorder="1" applyAlignment="1">
      <alignment horizontal="right" vertical="center"/>
    </xf>
    <xf numFmtId="0" fontId="162" fillId="0" borderId="6" xfId="78" applyFont="1" applyBorder="1" applyAlignment="1">
      <alignment vertical="center"/>
    </xf>
    <xf numFmtId="0" fontId="162" fillId="0" borderId="73" xfId="78" applyFont="1" applyBorder="1" applyAlignment="1">
      <alignment horizontal="right" vertical="center"/>
    </xf>
    <xf numFmtId="0" fontId="162" fillId="0" borderId="4" xfId="78" applyFont="1" applyBorder="1" applyAlignment="1">
      <alignment vertical="center"/>
    </xf>
    <xf numFmtId="0" fontId="162" fillId="0" borderId="74" xfId="78" applyFont="1" applyBorder="1" applyAlignment="1">
      <alignment horizontal="right" vertical="center"/>
    </xf>
    <xf numFmtId="0" fontId="162" fillId="0" borderId="2" xfId="78" applyFont="1" applyBorder="1" applyAlignment="1">
      <alignment vertical="center"/>
    </xf>
    <xf numFmtId="0" fontId="181" fillId="35" borderId="74" xfId="78" applyFont="1" applyFill="1" applyBorder="1" applyAlignment="1">
      <alignment vertical="center"/>
    </xf>
    <xf numFmtId="0" fontId="182" fillId="35" borderId="2" xfId="78" applyFont="1" applyFill="1" applyBorder="1" applyAlignment="1">
      <alignment vertical="center"/>
    </xf>
    <xf numFmtId="0" fontId="23" fillId="0" borderId="0" xfId="78" applyAlignment="1">
      <alignment vertical="center" wrapText="1"/>
    </xf>
    <xf numFmtId="0" fontId="183" fillId="36" borderId="58" xfId="78" applyFont="1" applyFill="1" applyBorder="1" applyAlignment="1">
      <alignment horizontal="center" vertical="center" wrapText="1"/>
    </xf>
    <xf numFmtId="0" fontId="183" fillId="36" borderId="77" xfId="78" applyFont="1" applyFill="1" applyBorder="1" applyAlignment="1">
      <alignment horizontal="center" vertical="center" wrapText="1"/>
    </xf>
    <xf numFmtId="0" fontId="183" fillId="36" borderId="52" xfId="78" applyFont="1" applyFill="1" applyBorder="1" applyAlignment="1">
      <alignment horizontal="left" vertical="center" wrapText="1"/>
    </xf>
    <xf numFmtId="0" fontId="23" fillId="2" borderId="0" xfId="78" applyFill="1" applyAlignment="1">
      <alignment horizontal="right"/>
    </xf>
    <xf numFmtId="0" fontId="103" fillId="2" borderId="22" xfId="78" applyFont="1" applyFill="1" applyBorder="1" applyAlignment="1">
      <alignment horizontal="center" vertical="center" wrapText="1"/>
    </xf>
    <xf numFmtId="0" fontId="103" fillId="2" borderId="22" xfId="78" applyFont="1" applyFill="1" applyBorder="1" applyAlignment="1">
      <alignment horizontal="center" vertical="center"/>
    </xf>
    <xf numFmtId="3" fontId="23" fillId="3" borderId="32" xfId="78" applyNumberFormat="1" applyFill="1" applyBorder="1"/>
    <xf numFmtId="171" fontId="23" fillId="3" borderId="32" xfId="78" applyNumberFormat="1" applyFill="1" applyBorder="1" applyAlignment="1">
      <alignment horizontal="right"/>
    </xf>
    <xf numFmtId="3" fontId="81" fillId="3" borderId="32" xfId="78" applyNumberFormat="1" applyFont="1" applyFill="1" applyBorder="1"/>
    <xf numFmtId="171" fontId="81" fillId="3" borderId="32" xfId="78" applyNumberFormat="1" applyFont="1" applyFill="1" applyBorder="1"/>
    <xf numFmtId="3" fontId="23" fillId="0" borderId="32" xfId="78" applyNumberFormat="1" applyBorder="1"/>
    <xf numFmtId="2" fontId="23" fillId="3" borderId="32" xfId="78" applyNumberFormat="1" applyFill="1" applyBorder="1"/>
    <xf numFmtId="3" fontId="23" fillId="0" borderId="22" xfId="78" applyNumberFormat="1" applyBorder="1"/>
    <xf numFmtId="184" fontId="0" fillId="0" borderId="22" xfId="81" applyNumberFormat="1" applyFont="1" applyFill="1" applyBorder="1"/>
    <xf numFmtId="3" fontId="81" fillId="0" borderId="22" xfId="78" applyNumberFormat="1" applyFont="1" applyBorder="1"/>
    <xf numFmtId="171" fontId="81" fillId="0" borderId="22" xfId="78" applyNumberFormat="1" applyFont="1" applyBorder="1"/>
    <xf numFmtId="0" fontId="81" fillId="0" borderId="17" xfId="78" applyFont="1" applyBorder="1"/>
    <xf numFmtId="3" fontId="23" fillId="0" borderId="23" xfId="78" applyNumberFormat="1" applyBorder="1"/>
    <xf numFmtId="184" fontId="0" fillId="0" borderId="22" xfId="81" applyNumberFormat="1" applyFont="1" applyBorder="1"/>
    <xf numFmtId="3" fontId="23" fillId="0" borderId="19" xfId="78" applyNumberFormat="1" applyBorder="1"/>
    <xf numFmtId="3" fontId="23" fillId="0" borderId="18" xfId="78" applyNumberFormat="1" applyBorder="1"/>
    <xf numFmtId="171" fontId="23" fillId="0" borderId="18" xfId="78" applyNumberFormat="1" applyBorder="1" applyAlignment="1">
      <alignment horizontal="right"/>
    </xf>
    <xf numFmtId="3" fontId="81" fillId="0" borderId="18" xfId="78" applyNumberFormat="1" applyFont="1" applyBorder="1"/>
    <xf numFmtId="0" fontId="23" fillId="2" borderId="0" xfId="78" applyFill="1" applyAlignment="1">
      <alignment horizontal="center" vertical="center"/>
    </xf>
    <xf numFmtId="0" fontId="23" fillId="2" borderId="0" xfId="78" applyFill="1" applyAlignment="1">
      <alignment horizontal="left"/>
    </xf>
    <xf numFmtId="0" fontId="67" fillId="2" borderId="0" xfId="78" applyFont="1" applyFill="1" applyAlignment="1">
      <alignment horizontal="left"/>
    </xf>
    <xf numFmtId="0" fontId="23" fillId="2" borderId="31" xfId="78" applyFill="1" applyBorder="1" applyAlignment="1">
      <alignment horizontal="left"/>
    </xf>
    <xf numFmtId="0" fontId="23" fillId="2" borderId="23" xfId="78" applyFill="1" applyBorder="1"/>
    <xf numFmtId="0" fontId="23" fillId="2" borderId="21" xfId="78" applyFill="1" applyBorder="1" applyAlignment="1">
      <alignment horizontal="left"/>
    </xf>
    <xf numFmtId="1" fontId="23" fillId="2" borderId="0" xfId="78" applyNumberFormat="1" applyFill="1" applyAlignment="1">
      <alignment horizontal="center"/>
    </xf>
    <xf numFmtId="180" fontId="23" fillId="2" borderId="0" xfId="78" applyNumberFormat="1" applyFill="1" applyAlignment="1">
      <alignment horizontal="right"/>
    </xf>
    <xf numFmtId="1" fontId="23" fillId="2" borderId="0" xfId="78" applyNumberFormat="1" applyFill="1" applyAlignment="1">
      <alignment horizontal="right"/>
    </xf>
    <xf numFmtId="171" fontId="23" fillId="2" borderId="0" xfId="78" applyNumberFormat="1" applyFill="1" applyAlignment="1">
      <alignment horizontal="right"/>
    </xf>
    <xf numFmtId="0" fontId="81" fillId="2" borderId="0" xfId="78" applyFont="1" applyFill="1" applyAlignment="1">
      <alignment horizontal="center"/>
    </xf>
    <xf numFmtId="3" fontId="23" fillId="2" borderId="23" xfId="78" applyNumberFormat="1" applyFill="1" applyBorder="1" applyAlignment="1">
      <alignment horizontal="right"/>
    </xf>
    <xf numFmtId="3" fontId="23" fillId="2" borderId="63" xfId="78" applyNumberFormat="1" applyFill="1" applyBorder="1" applyAlignment="1">
      <alignment horizontal="right"/>
    </xf>
    <xf numFmtId="0" fontId="23" fillId="2" borderId="62" xfId="78" applyFill="1" applyBorder="1"/>
    <xf numFmtId="3" fontId="23" fillId="2" borderId="0" xfId="78" applyNumberFormat="1" applyFill="1" applyAlignment="1">
      <alignment horizontal="right"/>
    </xf>
    <xf numFmtId="1" fontId="103" fillId="2" borderId="0" xfId="78" applyNumberFormat="1" applyFont="1" applyFill="1" applyAlignment="1">
      <alignment horizontal="center" vertical="center"/>
    </xf>
    <xf numFmtId="180" fontId="103" fillId="2" borderId="0" xfId="78" applyNumberFormat="1" applyFont="1" applyFill="1" applyAlignment="1">
      <alignment horizontal="center" vertical="center"/>
    </xf>
    <xf numFmtId="3" fontId="103" fillId="2" borderId="0" xfId="78" applyNumberFormat="1" applyFont="1" applyFill="1" applyAlignment="1">
      <alignment horizontal="center" vertical="center"/>
    </xf>
    <xf numFmtId="0" fontId="109" fillId="2" borderId="0" xfId="78" applyFont="1" applyFill="1" applyAlignment="1">
      <alignment horizontal="center" vertical="center"/>
    </xf>
    <xf numFmtId="3" fontId="81" fillId="3" borderId="33" xfId="78" applyNumberFormat="1" applyFont="1" applyFill="1" applyBorder="1"/>
    <xf numFmtId="3" fontId="81" fillId="0" borderId="32" xfId="78" applyNumberFormat="1" applyFont="1" applyBorder="1"/>
    <xf numFmtId="0" fontId="52" fillId="2" borderId="0" xfId="78" applyFont="1" applyFill="1" applyAlignment="1">
      <alignment horizontal="center" vertical="center" wrapText="1"/>
    </xf>
    <xf numFmtId="2" fontId="23" fillId="2" borderId="0" xfId="78" applyNumberFormat="1" applyFill="1" applyAlignment="1">
      <alignment horizontal="left"/>
    </xf>
    <xf numFmtId="2" fontId="23" fillId="2" borderId="33" xfId="78" applyNumberFormat="1" applyFill="1" applyBorder="1" applyAlignment="1">
      <alignment horizontal="left"/>
    </xf>
    <xf numFmtId="2" fontId="23" fillId="2" borderId="23" xfId="78" applyNumberFormat="1" applyFill="1" applyBorder="1" applyAlignment="1">
      <alignment horizontal="left"/>
    </xf>
    <xf numFmtId="0" fontId="23" fillId="2" borderId="63" xfId="78" applyFill="1" applyBorder="1" applyAlignment="1">
      <alignment horizontal="left"/>
    </xf>
    <xf numFmtId="0" fontId="52" fillId="2" borderId="0" xfId="78" applyFont="1" applyFill="1" applyAlignment="1">
      <alignment horizontal="center" vertical="center"/>
    </xf>
    <xf numFmtId="0" fontId="23" fillId="2" borderId="0" xfId="78" applyFill="1" applyAlignment="1">
      <alignment horizontal="center"/>
    </xf>
    <xf numFmtId="0" fontId="23" fillId="2" borderId="62" xfId="78" applyFill="1" applyBorder="1" applyAlignment="1">
      <alignment horizontal="left"/>
    </xf>
    <xf numFmtId="0" fontId="185" fillId="9" borderId="0" xfId="78" applyFont="1" applyFill="1"/>
    <xf numFmtId="0" fontId="164" fillId="0" borderId="0" xfId="74" applyFont="1"/>
    <xf numFmtId="0" fontId="162" fillId="0" borderId="0" xfId="74" applyProtection="1">
      <protection locked="0"/>
    </xf>
    <xf numFmtId="0" fontId="81" fillId="0" borderId="62" xfId="78" applyFont="1" applyBorder="1"/>
    <xf numFmtId="3" fontId="81" fillId="0" borderId="64" xfId="78" applyNumberFormat="1" applyFont="1" applyBorder="1"/>
    <xf numFmtId="3" fontId="23" fillId="0" borderId="64" xfId="78" applyNumberFormat="1" applyBorder="1"/>
    <xf numFmtId="171" fontId="23" fillId="0" borderId="64" xfId="78" applyNumberFormat="1" applyBorder="1" applyAlignment="1">
      <alignment horizontal="right"/>
    </xf>
    <xf numFmtId="3" fontId="23" fillId="0" borderId="63" xfId="78" applyNumberFormat="1" applyBorder="1"/>
    <xf numFmtId="176" fontId="81" fillId="0" borderId="18" xfId="7" applyNumberFormat="1" applyFont="1" applyBorder="1" applyAlignment="1">
      <alignment horizontal="right"/>
    </xf>
    <xf numFmtId="176" fontId="81" fillId="0" borderId="64" xfId="7" applyNumberFormat="1" applyFont="1" applyBorder="1" applyAlignment="1">
      <alignment horizontal="right"/>
    </xf>
    <xf numFmtId="176" fontId="81" fillId="0" borderId="22" xfId="7" applyNumberFormat="1" applyFont="1" applyBorder="1" applyAlignment="1">
      <alignment horizontal="right"/>
    </xf>
    <xf numFmtId="176" fontId="81" fillId="37" borderId="18" xfId="7" applyNumberFormat="1" applyFont="1" applyFill="1" applyBorder="1" applyAlignment="1">
      <alignment horizontal="right" vertical="top" wrapText="1"/>
    </xf>
    <xf numFmtId="3" fontId="23" fillId="0" borderId="18" xfId="78" applyNumberFormat="1" applyBorder="1" applyAlignment="1">
      <alignment horizontal="right"/>
    </xf>
    <xf numFmtId="0" fontId="105" fillId="0" borderId="0" xfId="62" applyFont="1" applyAlignment="1">
      <alignment vertical="center"/>
    </xf>
    <xf numFmtId="0" fontId="125" fillId="0" borderId="0" xfId="62" applyFont="1" applyAlignment="1">
      <alignment vertical="center"/>
    </xf>
    <xf numFmtId="0" fontId="109" fillId="0" borderId="0" xfId="62" applyFont="1" applyAlignment="1">
      <alignment vertical="center"/>
    </xf>
    <xf numFmtId="180" fontId="23" fillId="0" borderId="33" xfId="78" applyNumberFormat="1" applyBorder="1"/>
    <xf numFmtId="180" fontId="23" fillId="0" borderId="32" xfId="78" applyNumberFormat="1" applyBorder="1"/>
    <xf numFmtId="180" fontId="23" fillId="0" borderId="49" xfId="78" applyNumberFormat="1" applyBorder="1"/>
    <xf numFmtId="4" fontId="23" fillId="0" borderId="33" xfId="78" applyNumberFormat="1" applyBorder="1" applyAlignment="1">
      <alignment horizontal="right" vertical="center"/>
    </xf>
    <xf numFmtId="4" fontId="23" fillId="0" borderId="32" xfId="78" applyNumberFormat="1" applyBorder="1" applyAlignment="1">
      <alignment horizontal="right" vertical="center"/>
    </xf>
    <xf numFmtId="4" fontId="23" fillId="0" borderId="31" xfId="78" applyNumberFormat="1" applyBorder="1" applyAlignment="1">
      <alignment horizontal="right" vertical="center"/>
    </xf>
    <xf numFmtId="4" fontId="23" fillId="0" borderId="37" xfId="78" applyNumberFormat="1" applyBorder="1" applyAlignment="1">
      <alignment horizontal="right" vertical="center"/>
    </xf>
    <xf numFmtId="0" fontId="67" fillId="9" borderId="30" xfId="78" quotePrefix="1" applyFont="1" applyFill="1" applyBorder="1"/>
    <xf numFmtId="2" fontId="23" fillId="0" borderId="23" xfId="78" applyNumberFormat="1" applyBorder="1"/>
    <xf numFmtId="2" fontId="23" fillId="0" borderId="22" xfId="78" applyNumberFormat="1" applyBorder="1"/>
    <xf numFmtId="2" fontId="23" fillId="0" borderId="47" xfId="78" applyNumberFormat="1" applyBorder="1"/>
    <xf numFmtId="4" fontId="23" fillId="0" borderId="23" xfId="78" applyNumberFormat="1" applyBorder="1" applyAlignment="1">
      <alignment horizontal="right" vertical="center"/>
    </xf>
    <xf numFmtId="4" fontId="23" fillId="0" borderId="22" xfId="78" applyNumberFormat="1" applyBorder="1" applyAlignment="1">
      <alignment horizontal="right" vertical="center"/>
    </xf>
    <xf numFmtId="4" fontId="23" fillId="0" borderId="21" xfId="78" applyNumberFormat="1" applyBorder="1" applyAlignment="1">
      <alignment horizontal="right" vertical="center"/>
    </xf>
    <xf numFmtId="4" fontId="23" fillId="0" borderId="36" xfId="78" applyNumberFormat="1" applyBorder="1" applyAlignment="1">
      <alignment horizontal="right" vertical="center"/>
    </xf>
    <xf numFmtId="0" fontId="67" fillId="9" borderId="24" xfId="78" quotePrefix="1" applyFont="1" applyFill="1" applyBorder="1"/>
    <xf numFmtId="180" fontId="23" fillId="0" borderId="23" xfId="78" applyNumberFormat="1" applyBorder="1"/>
    <xf numFmtId="180" fontId="23" fillId="0" borderId="22" xfId="78" applyNumberFormat="1" applyBorder="1"/>
    <xf numFmtId="180" fontId="23" fillId="0" borderId="47" xfId="78" applyNumberFormat="1" applyBorder="1"/>
    <xf numFmtId="4" fontId="23" fillId="0" borderId="63" xfId="78" applyNumberFormat="1" applyBorder="1" applyAlignment="1">
      <alignment horizontal="right" vertical="center"/>
    </xf>
    <xf numFmtId="4" fontId="23" fillId="0" borderId="64" xfId="78" applyNumberFormat="1" applyBorder="1" applyAlignment="1">
      <alignment horizontal="right" vertical="center"/>
    </xf>
    <xf numFmtId="4" fontId="23" fillId="0" borderId="62" xfId="78" applyNumberFormat="1" applyBorder="1" applyAlignment="1">
      <alignment horizontal="right" vertical="center"/>
    </xf>
    <xf numFmtId="4" fontId="23" fillId="0" borderId="34" xfId="78" applyNumberFormat="1" applyBorder="1" applyAlignment="1">
      <alignment horizontal="right" vertical="center"/>
    </xf>
    <xf numFmtId="0" fontId="52" fillId="9" borderId="20" xfId="78" applyFont="1" applyFill="1" applyBorder="1"/>
    <xf numFmtId="0" fontId="67" fillId="9" borderId="30" xfId="78" applyFont="1" applyFill="1" applyBorder="1"/>
    <xf numFmtId="0" fontId="67" fillId="9" borderId="24" xfId="78" applyFont="1" applyFill="1" applyBorder="1"/>
    <xf numFmtId="0" fontId="23" fillId="9" borderId="24" xfId="78" quotePrefix="1" applyFill="1" applyBorder="1"/>
    <xf numFmtId="0" fontId="23" fillId="9" borderId="24" xfId="78" applyFill="1" applyBorder="1"/>
    <xf numFmtId="0" fontId="52" fillId="9" borderId="49" xfId="78" applyFont="1" applyFill="1" applyBorder="1" applyAlignment="1">
      <alignment horizontal="center" vertical="center" wrapText="1"/>
    </xf>
    <xf numFmtId="0" fontId="52" fillId="9" borderId="37" xfId="78" applyFont="1" applyFill="1" applyBorder="1" applyAlignment="1">
      <alignment horizontal="center" vertical="center"/>
    </xf>
    <xf numFmtId="0" fontId="52" fillId="9" borderId="34" xfId="78" applyFont="1" applyFill="1" applyBorder="1" applyAlignment="1">
      <alignment horizontal="center" vertical="center" wrapText="1"/>
    </xf>
    <xf numFmtId="0" fontId="52" fillId="9" borderId="20" xfId="78" applyFont="1" applyFill="1" applyBorder="1" applyAlignment="1">
      <alignment vertical="center"/>
    </xf>
    <xf numFmtId="0" fontId="52" fillId="9" borderId="27" xfId="78" applyFont="1" applyFill="1" applyBorder="1" applyAlignment="1">
      <alignment wrapText="1"/>
    </xf>
    <xf numFmtId="0" fontId="67" fillId="0" borderId="0" xfId="78" applyFont="1"/>
    <xf numFmtId="0" fontId="67" fillId="0" borderId="0" xfId="78" applyFont="1" applyAlignment="1">
      <alignment horizontal="center"/>
    </xf>
    <xf numFmtId="0" fontId="23" fillId="0" borderId="33" xfId="78" applyBorder="1"/>
    <xf numFmtId="2" fontId="23" fillId="0" borderId="32" xfId="78" applyNumberFormat="1" applyBorder="1"/>
    <xf numFmtId="0" fontId="23" fillId="0" borderId="32" xfId="78" applyBorder="1"/>
    <xf numFmtId="0" fontId="23" fillId="0" borderId="49" xfId="78" applyBorder="1"/>
    <xf numFmtId="2" fontId="23" fillId="0" borderId="33" xfId="78" applyNumberFormat="1" applyBorder="1"/>
    <xf numFmtId="2" fontId="23" fillId="0" borderId="31" xfId="78" applyNumberFormat="1" applyBorder="1"/>
    <xf numFmtId="2" fontId="23" fillId="0" borderId="37" xfId="78" applyNumberFormat="1" applyBorder="1"/>
    <xf numFmtId="0" fontId="23" fillId="9" borderId="30" xfId="78" applyFill="1" applyBorder="1"/>
    <xf numFmtId="0" fontId="23" fillId="0" borderId="23" xfId="78" applyBorder="1"/>
    <xf numFmtId="0" fontId="23" fillId="0" borderId="47" xfId="78" applyBorder="1"/>
    <xf numFmtId="2" fontId="23" fillId="0" borderId="21" xfId="78" applyNumberFormat="1" applyBorder="1"/>
    <xf numFmtId="2" fontId="23" fillId="0" borderId="36" xfId="78" applyNumberFormat="1" applyBorder="1"/>
    <xf numFmtId="2" fontId="23" fillId="0" borderId="19" xfId="78" applyNumberFormat="1" applyBorder="1"/>
    <xf numFmtId="2" fontId="23" fillId="0" borderId="17" xfId="78" applyNumberFormat="1" applyBorder="1"/>
    <xf numFmtId="2" fontId="23" fillId="0" borderId="43" xfId="78" applyNumberFormat="1" applyBorder="1"/>
    <xf numFmtId="0" fontId="52" fillId="9" borderId="51" xfId="78" applyFont="1" applyFill="1" applyBorder="1"/>
    <xf numFmtId="2" fontId="23" fillId="0" borderId="63" xfId="78" applyNumberFormat="1" applyBorder="1"/>
    <xf numFmtId="2" fontId="23" fillId="0" borderId="62" xfId="78" applyNumberFormat="1" applyBorder="1"/>
    <xf numFmtId="2" fontId="23" fillId="0" borderId="34" xfId="78" applyNumberFormat="1" applyBorder="1"/>
    <xf numFmtId="0" fontId="52" fillId="9" borderId="89" xfId="78" applyFont="1" applyFill="1" applyBorder="1" applyAlignment="1">
      <alignment horizontal="center" vertical="center" wrapText="1"/>
    </xf>
    <xf numFmtId="0" fontId="52" fillId="9" borderId="90" xfId="78" applyFont="1" applyFill="1" applyBorder="1" applyAlignment="1">
      <alignment horizontal="center" vertical="center"/>
    </xf>
    <xf numFmtId="0" fontId="52" fillId="9" borderId="34" xfId="78" applyFont="1" applyFill="1" applyBorder="1" applyAlignment="1">
      <alignment horizontal="center"/>
    </xf>
    <xf numFmtId="0" fontId="187" fillId="0" borderId="0" xfId="78" applyFont="1"/>
    <xf numFmtId="2" fontId="23" fillId="0" borderId="14" xfId="78" applyNumberFormat="1" applyBorder="1" applyAlignment="1">
      <alignment horizontal="right" vertical="center"/>
    </xf>
    <xf numFmtId="2" fontId="23" fillId="0" borderId="1" xfId="78" applyNumberFormat="1" applyBorder="1" applyAlignment="1">
      <alignment horizontal="right" vertical="center"/>
    </xf>
    <xf numFmtId="4" fontId="23" fillId="0" borderId="16" xfId="78" applyNumberFormat="1" applyBorder="1" applyAlignment="1">
      <alignment horizontal="right" vertical="center"/>
    </xf>
    <xf numFmtId="4" fontId="23" fillId="0" borderId="15" xfId="78" applyNumberFormat="1" applyBorder="1" applyAlignment="1">
      <alignment horizontal="right" vertical="center"/>
    </xf>
    <xf numFmtId="4" fontId="23" fillId="0" borderId="14" xfId="78" applyNumberFormat="1" applyBorder="1" applyAlignment="1">
      <alignment horizontal="right" vertical="center"/>
    </xf>
    <xf numFmtId="4" fontId="23" fillId="0" borderId="13" xfId="78" applyNumberFormat="1" applyBorder="1" applyAlignment="1">
      <alignment horizontal="right" vertical="center"/>
    </xf>
    <xf numFmtId="0" fontId="52" fillId="9" borderId="11" xfId="78" applyFont="1" applyFill="1" applyBorder="1"/>
    <xf numFmtId="2" fontId="23" fillId="0" borderId="33" xfId="78" applyNumberFormat="1" applyBorder="1" applyAlignment="1">
      <alignment horizontal="right" vertical="center"/>
    </xf>
    <xf numFmtId="2" fontId="23" fillId="0" borderId="31" xfId="78" applyNumberFormat="1" applyBorder="1" applyAlignment="1">
      <alignment horizontal="right" vertical="center"/>
    </xf>
    <xf numFmtId="4" fontId="23" fillId="0" borderId="66" xfId="78" applyNumberFormat="1" applyBorder="1" applyAlignment="1">
      <alignment horizontal="right" vertical="center"/>
    </xf>
    <xf numFmtId="4" fontId="23" fillId="0" borderId="49" xfId="78" applyNumberFormat="1" applyBorder="1" applyAlignment="1">
      <alignment horizontal="right" vertical="center"/>
    </xf>
    <xf numFmtId="3" fontId="23" fillId="0" borderId="47" xfId="78" applyNumberFormat="1" applyBorder="1"/>
    <xf numFmtId="2" fontId="23" fillId="0" borderId="23" xfId="78" applyNumberFormat="1" applyBorder="1" applyAlignment="1">
      <alignment horizontal="right" vertical="center"/>
    </xf>
    <xf numFmtId="2" fontId="23" fillId="0" borderId="21" xfId="78" applyNumberFormat="1" applyBorder="1" applyAlignment="1">
      <alignment vertical="center"/>
    </xf>
    <xf numFmtId="4" fontId="23" fillId="0" borderId="55" xfId="78" applyNumberFormat="1" applyBorder="1" applyAlignment="1">
      <alignment horizontal="right" vertical="center"/>
    </xf>
    <xf numFmtId="4" fontId="23" fillId="0" borderId="47" xfId="78" applyNumberFormat="1" applyBorder="1" applyAlignment="1">
      <alignment horizontal="right" vertical="center"/>
    </xf>
    <xf numFmtId="2" fontId="23" fillId="0" borderId="63" xfId="78" applyNumberFormat="1" applyBorder="1" applyAlignment="1">
      <alignment horizontal="right" vertical="center"/>
    </xf>
    <xf numFmtId="2" fontId="23" fillId="0" borderId="62" xfId="78" applyNumberFormat="1" applyBorder="1" applyAlignment="1">
      <alignment vertical="center"/>
    </xf>
    <xf numFmtId="4" fontId="23" fillId="0" borderId="72" xfId="78" applyNumberFormat="1" applyBorder="1" applyAlignment="1">
      <alignment horizontal="right" vertical="center"/>
    </xf>
    <xf numFmtId="4" fontId="23" fillId="0" borderId="70" xfId="78" applyNumberFormat="1" applyBorder="1" applyAlignment="1">
      <alignment horizontal="right" vertical="center"/>
    </xf>
    <xf numFmtId="3" fontId="23" fillId="0" borderId="33" xfId="78" applyNumberFormat="1" applyBorder="1"/>
    <xf numFmtId="0" fontId="23" fillId="9" borderId="63" xfId="78" applyFill="1" applyBorder="1"/>
    <xf numFmtId="0" fontId="67" fillId="0" borderId="2" xfId="78" applyFont="1" applyBorder="1"/>
    <xf numFmtId="0" fontId="188" fillId="0" borderId="0" xfId="78" applyFont="1"/>
    <xf numFmtId="3" fontId="23" fillId="0" borderId="70" xfId="78" applyNumberFormat="1" applyBorder="1" applyAlignment="1">
      <alignment horizontal="right" vertical="center"/>
    </xf>
    <xf numFmtId="3" fontId="23" fillId="0" borderId="47" xfId="78" applyNumberFormat="1" applyBorder="1" applyAlignment="1">
      <alignment horizontal="right" vertical="center"/>
    </xf>
    <xf numFmtId="0" fontId="23" fillId="10" borderId="63" xfId="78" applyFill="1" applyBorder="1"/>
    <xf numFmtId="0" fontId="189" fillId="0" borderId="0" xfId="78" applyFont="1"/>
    <xf numFmtId="0" fontId="68" fillId="0" borderId="0" xfId="78" applyFont="1"/>
    <xf numFmtId="4" fontId="68" fillId="0" borderId="0" xfId="78" applyNumberFormat="1" applyFont="1"/>
    <xf numFmtId="2" fontId="23" fillId="0" borderId="0" xfId="78" applyNumberFormat="1"/>
    <xf numFmtId="1" fontId="23" fillId="0" borderId="40" xfId="78" applyNumberFormat="1" applyBorder="1" applyAlignment="1">
      <alignment vertical="center" wrapText="1"/>
    </xf>
    <xf numFmtId="2" fontId="81" fillId="3" borderId="66" xfId="78" applyNumberFormat="1" applyFont="1" applyFill="1" applyBorder="1" applyAlignment="1">
      <alignment horizontal="right"/>
    </xf>
    <xf numFmtId="2" fontId="81" fillId="3" borderId="32" xfId="78" applyNumberFormat="1" applyFont="1" applyFill="1" applyBorder="1" applyAlignment="1">
      <alignment horizontal="right"/>
    </xf>
    <xf numFmtId="2" fontId="81" fillId="0" borderId="32" xfId="78" applyNumberFormat="1" applyFont="1" applyBorder="1" applyAlignment="1">
      <alignment horizontal="right"/>
    </xf>
    <xf numFmtId="3" fontId="23" fillId="0" borderId="49" xfId="78" applyNumberFormat="1" applyBorder="1"/>
    <xf numFmtId="1" fontId="23" fillId="0" borderId="17" xfId="78" applyNumberFormat="1" applyBorder="1" applyAlignment="1">
      <alignment vertical="center" wrapText="1"/>
    </xf>
    <xf numFmtId="2" fontId="81" fillId="3" borderId="55" xfId="78" applyNumberFormat="1" applyFont="1" applyFill="1" applyBorder="1" applyAlignment="1">
      <alignment horizontal="right"/>
    </xf>
    <xf numFmtId="2" fontId="81" fillId="3" borderId="22" xfId="78" applyNumberFormat="1" applyFont="1" applyFill="1" applyBorder="1" applyAlignment="1">
      <alignment horizontal="right"/>
    </xf>
    <xf numFmtId="2" fontId="81" fillId="0" borderId="22" xfId="78" applyNumberFormat="1" applyFont="1" applyBorder="1" applyAlignment="1">
      <alignment horizontal="right"/>
    </xf>
    <xf numFmtId="2" fontId="81" fillId="3" borderId="65" xfId="78" applyNumberFormat="1" applyFont="1" applyFill="1" applyBorder="1" applyAlignment="1">
      <alignment horizontal="right"/>
    </xf>
    <xf numFmtId="2" fontId="81" fillId="3" borderId="18" xfId="78" applyNumberFormat="1" applyFont="1" applyFill="1" applyBorder="1" applyAlignment="1">
      <alignment horizontal="right"/>
    </xf>
    <xf numFmtId="2" fontId="81" fillId="0" borderId="18" xfId="78" applyNumberFormat="1" applyFont="1" applyBorder="1" applyAlignment="1">
      <alignment horizontal="right"/>
    </xf>
    <xf numFmtId="4" fontId="96" fillId="9" borderId="64" xfId="38" quotePrefix="1" applyNumberFormat="1" applyFont="1" applyFill="1" applyBorder="1" applyAlignment="1">
      <alignment horizontal="center" vertical="center"/>
    </xf>
    <xf numFmtId="4" fontId="96" fillId="9" borderId="72" xfId="38" applyNumberFormat="1" applyFont="1" applyFill="1" applyBorder="1" applyAlignment="1">
      <alignment horizontal="center" vertical="center"/>
    </xf>
    <xf numFmtId="4" fontId="96" fillId="9" borderId="64" xfId="38" applyNumberFormat="1" applyFont="1" applyFill="1" applyBorder="1" applyAlignment="1">
      <alignment horizontal="center" vertical="center"/>
    </xf>
    <xf numFmtId="0" fontId="94" fillId="0" borderId="0" xfId="78" applyFont="1"/>
    <xf numFmtId="43" fontId="23" fillId="0" borderId="50" xfId="7" applyFont="1" applyBorder="1"/>
    <xf numFmtId="2" fontId="103" fillId="0" borderId="0" xfId="78" applyNumberFormat="1" applyFont="1" applyAlignment="1">
      <alignment horizontal="center" vertical="center"/>
    </xf>
    <xf numFmtId="0" fontId="103" fillId="0" borderId="0" xfId="78" applyFont="1" applyAlignment="1">
      <alignment horizontal="left" vertical="center"/>
    </xf>
    <xf numFmtId="2" fontId="103" fillId="0" borderId="22" xfId="78" applyNumberFormat="1" applyFont="1" applyBorder="1" applyAlignment="1">
      <alignment horizontal="center" vertical="center" wrapText="1"/>
    </xf>
    <xf numFmtId="2" fontId="103" fillId="0" borderId="22" xfId="78" applyNumberFormat="1" applyFont="1" applyBorder="1" applyAlignment="1">
      <alignment horizontal="center" vertical="center"/>
    </xf>
    <xf numFmtId="2" fontId="23" fillId="2" borderId="41" xfId="78" applyNumberFormat="1" applyFill="1" applyBorder="1"/>
    <xf numFmtId="2" fontId="23" fillId="3" borderId="22" xfId="78" applyNumberFormat="1" applyFill="1" applyBorder="1"/>
    <xf numFmtId="0" fontId="23" fillId="0" borderId="21" xfId="78" applyBorder="1"/>
    <xf numFmtId="2" fontId="23" fillId="0" borderId="18" xfId="78" applyNumberFormat="1" applyBorder="1"/>
    <xf numFmtId="2" fontId="23" fillId="0" borderId="80" xfId="78" applyNumberFormat="1" applyBorder="1"/>
    <xf numFmtId="2" fontId="23" fillId="3" borderId="18" xfId="78" applyNumberFormat="1" applyFill="1" applyBorder="1" applyAlignment="1">
      <alignment horizontal="center"/>
    </xf>
    <xf numFmtId="0" fontId="23" fillId="0" borderId="17" xfId="78" applyBorder="1" applyAlignment="1">
      <alignment horizontal="left" wrapText="1"/>
    </xf>
    <xf numFmtId="2" fontId="52" fillId="9" borderId="13" xfId="78" applyNumberFormat="1" applyFont="1" applyFill="1" applyBorder="1" applyAlignment="1">
      <alignment horizontal="center" vertical="center" wrapText="1"/>
    </xf>
    <xf numFmtId="2" fontId="67" fillId="0" borderId="0" xfId="78" applyNumberFormat="1" applyFont="1" applyAlignment="1">
      <alignment horizontal="center" vertical="center" wrapText="1"/>
    </xf>
    <xf numFmtId="2" fontId="67" fillId="0" borderId="0" xfId="78" applyNumberFormat="1" applyFont="1"/>
    <xf numFmtId="2" fontId="52" fillId="0" borderId="0" xfId="78" applyNumberFormat="1" applyFont="1" applyAlignment="1">
      <alignment wrapText="1"/>
    </xf>
    <xf numFmtId="2" fontId="190" fillId="0" borderId="0" xfId="78" applyNumberFormat="1" applyFont="1" applyAlignment="1">
      <alignment horizontal="center" vertical="center" wrapText="1"/>
    </xf>
    <xf numFmtId="2" fontId="103" fillId="0" borderId="0" xfId="78" applyNumberFormat="1" applyFont="1" applyAlignment="1">
      <alignment horizontal="center" vertical="center" wrapText="1"/>
    </xf>
    <xf numFmtId="2" fontId="23" fillId="0" borderId="0" xfId="78" applyNumberFormat="1" applyAlignment="1">
      <alignment horizontal="left"/>
    </xf>
    <xf numFmtId="0" fontId="23" fillId="0" borderId="6" xfId="78" applyBorder="1"/>
    <xf numFmtId="0" fontId="23" fillId="0" borderId="4" xfId="78" applyBorder="1"/>
    <xf numFmtId="0" fontId="23" fillId="0" borderId="4" xfId="78" applyBorder="1" applyAlignment="1">
      <alignment horizontal="left" wrapText="1"/>
    </xf>
    <xf numFmtId="0" fontId="23" fillId="0" borderId="0" xfId="78" applyAlignment="1">
      <alignment horizontal="center" vertical="center"/>
    </xf>
    <xf numFmtId="0" fontId="52" fillId="9" borderId="69" xfId="78" applyFont="1" applyFill="1" applyBorder="1" applyAlignment="1">
      <alignment horizontal="center" vertical="center" wrapText="1"/>
    </xf>
    <xf numFmtId="0" fontId="52" fillId="9" borderId="9" xfId="78" applyFont="1" applyFill="1" applyBorder="1" applyAlignment="1">
      <alignment horizontal="center" vertical="center" wrapText="1"/>
    </xf>
    <xf numFmtId="2" fontId="67" fillId="0" borderId="0" xfId="78" applyNumberFormat="1" applyFont="1" applyAlignment="1">
      <alignment wrapText="1"/>
    </xf>
    <xf numFmtId="2" fontId="23" fillId="0" borderId="0" xfId="78" applyNumberFormat="1" applyAlignment="1">
      <alignment horizontal="center"/>
    </xf>
    <xf numFmtId="2" fontId="23" fillId="0" borderId="0" xfId="78" applyNumberFormat="1" applyAlignment="1">
      <alignment horizontal="right"/>
    </xf>
    <xf numFmtId="2" fontId="52" fillId="9" borderId="16" xfId="78" applyNumberFormat="1" applyFont="1" applyFill="1" applyBorder="1" applyAlignment="1">
      <alignment horizontal="center" vertical="center" wrapText="1"/>
    </xf>
    <xf numFmtId="2" fontId="67" fillId="0" borderId="27" xfId="78" applyNumberFormat="1" applyFont="1" applyBorder="1" applyAlignment="1">
      <alignment horizontal="center" vertical="center" wrapText="1"/>
    </xf>
    <xf numFmtId="1" fontId="23" fillId="0" borderId="41" xfId="78" applyNumberFormat="1" applyBorder="1"/>
    <xf numFmtId="2" fontId="23" fillId="3" borderId="41" xfId="78" applyNumberFormat="1" applyFill="1" applyBorder="1"/>
    <xf numFmtId="1" fontId="23" fillId="0" borderId="41" xfId="78" applyNumberFormat="1" applyBorder="1" applyAlignment="1">
      <alignment horizontal="right"/>
    </xf>
    <xf numFmtId="2" fontId="23" fillId="0" borderId="41" xfId="78" applyNumberFormat="1" applyBorder="1" applyAlignment="1">
      <alignment horizontal="center"/>
    </xf>
    <xf numFmtId="2" fontId="23" fillId="3" borderId="41" xfId="78" applyNumberFormat="1" applyFill="1" applyBorder="1" applyAlignment="1">
      <alignment horizontal="center"/>
    </xf>
    <xf numFmtId="2" fontId="23" fillId="0" borderId="41" xfId="78" applyNumberFormat="1" applyBorder="1"/>
    <xf numFmtId="0" fontId="67" fillId="0" borderId="40" xfId="78" applyFont="1" applyBorder="1" applyAlignment="1">
      <alignment horizontal="left" wrapText="1"/>
    </xf>
    <xf numFmtId="2" fontId="190" fillId="0" borderId="0" xfId="78" applyNumberFormat="1" applyFont="1" applyAlignment="1">
      <alignment horizontal="center" vertical="center"/>
    </xf>
    <xf numFmtId="3" fontId="23" fillId="0" borderId="41" xfId="78" applyNumberFormat="1" applyBorder="1"/>
    <xf numFmtId="3" fontId="23" fillId="0" borderId="41" xfId="78" applyNumberFormat="1" applyBorder="1" applyAlignment="1">
      <alignment horizontal="right"/>
    </xf>
    <xf numFmtId="0" fontId="23" fillId="0" borderId="40" xfId="78" applyBorder="1"/>
    <xf numFmtId="2" fontId="52" fillId="0" borderId="0" xfId="78" applyNumberFormat="1" applyFont="1"/>
    <xf numFmtId="0" fontId="191" fillId="0" borderId="0" xfId="78" applyFont="1"/>
    <xf numFmtId="2" fontId="103" fillId="0" borderId="0" xfId="78" applyNumberFormat="1" applyFont="1" applyAlignment="1">
      <alignment horizontal="right" vertical="center"/>
    </xf>
    <xf numFmtId="2" fontId="103" fillId="0" borderId="61" xfId="78" applyNumberFormat="1" applyFont="1" applyBorder="1" applyAlignment="1">
      <alignment horizontal="center" vertical="center" wrapText="1"/>
    </xf>
    <xf numFmtId="2" fontId="90" fillId="0" borderId="0" xfId="78" applyNumberFormat="1" applyFont="1"/>
    <xf numFmtId="2" fontId="90" fillId="0" borderId="0" xfId="78" applyNumberFormat="1" applyFont="1" applyAlignment="1">
      <alignment wrapText="1"/>
    </xf>
    <xf numFmtId="2" fontId="52" fillId="3" borderId="64" xfId="78" applyNumberFormat="1" applyFont="1" applyFill="1" applyBorder="1" applyAlignment="1">
      <alignment horizontal="center" vertical="center" wrapText="1"/>
    </xf>
    <xf numFmtId="2" fontId="23" fillId="3" borderId="64" xfId="78" applyNumberFormat="1" applyFill="1" applyBorder="1" applyAlignment="1">
      <alignment horizontal="center" vertical="center" wrapText="1"/>
    </xf>
    <xf numFmtId="2" fontId="23" fillId="3" borderId="64" xfId="78" applyNumberFormat="1" applyFill="1" applyBorder="1" applyAlignment="1">
      <alignment vertical="center" wrapText="1"/>
    </xf>
    <xf numFmtId="2" fontId="23" fillId="0" borderId="64" xfId="78" applyNumberFormat="1" applyBorder="1" applyAlignment="1">
      <alignment vertical="center" wrapText="1"/>
    </xf>
    <xf numFmtId="0" fontId="23" fillId="0" borderId="62" xfId="78" applyBorder="1" applyAlignment="1">
      <alignment horizontal="left" vertical="center" wrapText="1"/>
    </xf>
    <xf numFmtId="190" fontId="52" fillId="9" borderId="59" xfId="78" applyNumberFormat="1" applyFont="1" applyFill="1" applyBorder="1" applyAlignment="1">
      <alignment horizontal="center" vertical="center" wrapText="1"/>
    </xf>
    <xf numFmtId="190" fontId="52" fillId="9" borderId="58" xfId="78" applyNumberFormat="1" applyFont="1" applyFill="1" applyBorder="1" applyAlignment="1">
      <alignment horizontal="center" vertical="center" wrapText="1"/>
    </xf>
    <xf numFmtId="190" fontId="52" fillId="9" borderId="52" xfId="78" applyNumberFormat="1" applyFont="1" applyFill="1" applyBorder="1" applyAlignment="1">
      <alignment horizontal="center" vertical="center" wrapText="1"/>
    </xf>
    <xf numFmtId="190" fontId="67" fillId="0" borderId="0" xfId="78" applyNumberFormat="1" applyFont="1" applyAlignment="1">
      <alignment vertical="center" wrapText="1"/>
    </xf>
    <xf numFmtId="190" fontId="23" fillId="0" borderId="0" xfId="78" applyNumberFormat="1"/>
    <xf numFmtId="190" fontId="67" fillId="0" borderId="0" xfId="78" applyNumberFormat="1" applyFont="1" applyAlignment="1">
      <alignment horizontal="center" vertical="center" wrapText="1"/>
    </xf>
    <xf numFmtId="190" fontId="67" fillId="9" borderId="27" xfId="78" applyNumberFormat="1" applyFont="1" applyFill="1" applyBorder="1" applyAlignment="1">
      <alignment horizontal="left" vertical="top" wrapText="1"/>
    </xf>
    <xf numFmtId="0" fontId="135" fillId="34" borderId="18" xfId="83" applyFont="1" applyFill="1" applyBorder="1" applyAlignment="1">
      <alignment horizontal="right" wrapText="1"/>
    </xf>
    <xf numFmtId="0" fontId="135" fillId="40" borderId="41" xfId="83" applyFont="1" applyFill="1" applyBorder="1" applyAlignment="1">
      <alignment horizontal="center"/>
    </xf>
    <xf numFmtId="0" fontId="135" fillId="40" borderId="40" xfId="83" applyFont="1" applyFill="1" applyBorder="1" applyAlignment="1">
      <alignment horizontal="center"/>
    </xf>
    <xf numFmtId="2" fontId="23" fillId="0" borderId="18" xfId="78" applyNumberFormat="1" applyBorder="1" applyAlignment="1">
      <alignment wrapText="1"/>
    </xf>
    <xf numFmtId="2" fontId="23" fillId="0" borderId="64" xfId="78" applyNumberFormat="1" applyBorder="1"/>
    <xf numFmtId="2" fontId="23" fillId="0" borderId="64" xfId="78" applyNumberFormat="1" applyBorder="1" applyAlignment="1">
      <alignment wrapText="1"/>
    </xf>
    <xf numFmtId="2" fontId="23" fillId="3" borderId="64" xfId="78" applyNumberFormat="1" applyFill="1" applyBorder="1"/>
    <xf numFmtId="0" fontId="23" fillId="0" borderId="40" xfId="78" applyBorder="1" applyAlignment="1">
      <alignment horizontal="left" wrapText="1"/>
    </xf>
    <xf numFmtId="2" fontId="23" fillId="0" borderId="18" xfId="78" applyNumberFormat="1" applyBorder="1" applyAlignment="1">
      <alignment horizontal="center"/>
    </xf>
    <xf numFmtId="2" fontId="23" fillId="3" borderId="64" xfId="78" applyNumberFormat="1" applyFill="1" applyBorder="1" applyAlignment="1">
      <alignment horizontal="center"/>
    </xf>
    <xf numFmtId="2" fontId="23" fillId="0" borderId="70" xfId="78" applyNumberFormat="1" applyBorder="1" applyAlignment="1">
      <alignment horizontal="center"/>
    </xf>
    <xf numFmtId="0" fontId="23" fillId="0" borderId="51" xfId="78" applyBorder="1" applyAlignment="1">
      <alignment horizontal="left" wrapText="1"/>
    </xf>
    <xf numFmtId="0" fontId="23" fillId="2" borderId="30" xfId="78" applyFill="1" applyBorder="1"/>
    <xf numFmtId="0" fontId="81" fillId="0" borderId="40" xfId="78" applyFont="1" applyBorder="1" applyAlignment="1">
      <alignment horizontal="right"/>
    </xf>
    <xf numFmtId="0" fontId="25" fillId="41" borderId="87" xfId="36" applyFont="1" applyFill="1" applyBorder="1"/>
    <xf numFmtId="3" fontId="81" fillId="0" borderId="18" xfId="0" applyNumberFormat="1" applyFont="1" applyBorder="1"/>
    <xf numFmtId="3" fontId="23" fillId="0" borderId="18" xfId="36" applyNumberFormat="1" applyFont="1" applyBorder="1"/>
    <xf numFmtId="2" fontId="23" fillId="0" borderId="18" xfId="36" applyNumberFormat="1" applyFont="1" applyBorder="1"/>
    <xf numFmtId="4" fontId="23" fillId="41" borderId="19" xfId="36" applyNumberFormat="1" applyFont="1" applyFill="1" applyBorder="1"/>
    <xf numFmtId="3" fontId="81" fillId="0" borderId="87" xfId="0" applyNumberFormat="1" applyFont="1" applyBorder="1"/>
    <xf numFmtId="3" fontId="23" fillId="0" borderId="87" xfId="36" applyNumberFormat="1" applyFont="1" applyBorder="1"/>
    <xf numFmtId="2" fontId="23" fillId="0" borderId="87" xfId="36" applyNumberFormat="1" applyFont="1" applyBorder="1"/>
    <xf numFmtId="167" fontId="81" fillId="0" borderId="87" xfId="0" applyNumberFormat="1" applyFont="1" applyBorder="1"/>
    <xf numFmtId="2" fontId="23" fillId="0" borderId="87" xfId="36" applyNumberFormat="1" applyFont="1" applyBorder="1" applyAlignment="1">
      <alignment horizontal="right"/>
    </xf>
    <xf numFmtId="4" fontId="23" fillId="41" borderId="19" xfId="36" applyNumberFormat="1" applyFont="1" applyFill="1" applyBorder="1" applyAlignment="1">
      <alignment horizontal="right"/>
    </xf>
    <xf numFmtId="3" fontId="23" fillId="0" borderId="13" xfId="36" applyNumberFormat="1" applyFont="1" applyBorder="1"/>
    <xf numFmtId="0" fontId="23" fillId="0" borderId="13" xfId="36" applyFont="1" applyBorder="1"/>
    <xf numFmtId="2" fontId="23" fillId="0" borderId="13" xfId="36" applyNumberFormat="1" applyFont="1" applyBorder="1"/>
    <xf numFmtId="4" fontId="23" fillId="41" borderId="14" xfId="36" applyNumberFormat="1" applyFont="1" applyFill="1" applyBorder="1"/>
    <xf numFmtId="0" fontId="26" fillId="41" borderId="87" xfId="36" applyFill="1" applyBorder="1"/>
    <xf numFmtId="4" fontId="26" fillId="41" borderId="19" xfId="36" applyNumberFormat="1" applyFill="1" applyBorder="1"/>
    <xf numFmtId="4" fontId="26" fillId="41" borderId="104" xfId="36" applyNumberFormat="1" applyFill="1" applyBorder="1"/>
    <xf numFmtId="4" fontId="26" fillId="41" borderId="33" xfId="36" applyNumberFormat="1" applyFill="1" applyBorder="1"/>
    <xf numFmtId="0" fontId="23" fillId="2" borderId="0" xfId="36" applyFont="1" applyFill="1"/>
    <xf numFmtId="0" fontId="81" fillId="42" borderId="87" xfId="36" applyFont="1" applyFill="1" applyBorder="1"/>
    <xf numFmtId="3" fontId="26" fillId="42" borderId="20" xfId="36" applyNumberFormat="1" applyFill="1" applyBorder="1"/>
    <xf numFmtId="3" fontId="26" fillId="42" borderId="100" xfId="36" applyNumberFormat="1" applyFill="1" applyBorder="1"/>
    <xf numFmtId="3" fontId="26" fillId="42" borderId="100" xfId="36" applyNumberFormat="1" applyFill="1" applyBorder="1" applyAlignment="1">
      <alignment horizontal="right"/>
    </xf>
    <xf numFmtId="3" fontId="26" fillId="42" borderId="30" xfId="36" applyNumberFormat="1" applyFill="1" applyBorder="1"/>
    <xf numFmtId="3" fontId="26" fillId="42" borderId="14" xfId="36" applyNumberFormat="1" applyFill="1" applyBorder="1"/>
    <xf numFmtId="3" fontId="26" fillId="42" borderId="42" xfId="36" applyNumberFormat="1" applyFill="1" applyBorder="1"/>
    <xf numFmtId="0" fontId="24" fillId="41" borderId="87" xfId="75" applyFill="1" applyBorder="1"/>
    <xf numFmtId="0" fontId="204" fillId="41" borderId="22" xfId="78" applyFont="1" applyFill="1" applyBorder="1" applyAlignment="1">
      <alignment horizontal="right"/>
    </xf>
    <xf numFmtId="0" fontId="174" fillId="2" borderId="0" xfId="50" applyFont="1" applyFill="1" applyAlignment="1">
      <alignment horizontal="left"/>
    </xf>
    <xf numFmtId="0" fontId="174" fillId="2" borderId="0" xfId="50" applyFont="1" applyFill="1" applyAlignment="1">
      <alignment vertical="top"/>
    </xf>
    <xf numFmtId="0" fontId="128" fillId="2" borderId="0" xfId="50" applyFill="1" applyAlignment="1">
      <alignment vertical="top"/>
    </xf>
    <xf numFmtId="0" fontId="127" fillId="2" borderId="0" xfId="3" applyFont="1" applyFill="1" applyAlignment="1">
      <alignment vertical="top"/>
    </xf>
    <xf numFmtId="2" fontId="81" fillId="41" borderId="24" xfId="78" applyNumberFormat="1" applyFont="1" applyFill="1" applyBorder="1" applyAlignment="1">
      <alignment horizontal="right"/>
    </xf>
    <xf numFmtId="2" fontId="81" fillId="41" borderId="28" xfId="78" applyNumberFormat="1" applyFont="1" applyFill="1" applyBorder="1" applyAlignment="1">
      <alignment horizontal="right"/>
    </xf>
    <xf numFmtId="2" fontId="81" fillId="41" borderId="30" xfId="78" applyNumberFormat="1" applyFont="1" applyFill="1" applyBorder="1" applyAlignment="1">
      <alignment horizontal="right"/>
    </xf>
    <xf numFmtId="3" fontId="23" fillId="41" borderId="23" xfId="78" applyNumberFormat="1" applyFill="1" applyBorder="1"/>
    <xf numFmtId="3" fontId="23" fillId="41" borderId="22" xfId="78" applyNumberFormat="1" applyFill="1" applyBorder="1"/>
    <xf numFmtId="3" fontId="81" fillId="2" borderId="32" xfId="78" applyNumberFormat="1" applyFont="1" applyFill="1" applyBorder="1"/>
    <xf numFmtId="3" fontId="23" fillId="2" borderId="32" xfId="78" applyNumberFormat="1" applyFill="1" applyBorder="1"/>
    <xf numFmtId="0" fontId="82" fillId="41" borderId="22" xfId="78" applyFont="1" applyFill="1" applyBorder="1"/>
    <xf numFmtId="0" fontId="23" fillId="41" borderId="64" xfId="78" applyFill="1" applyBorder="1" applyAlignment="1">
      <alignment vertical="center"/>
    </xf>
    <xf numFmtId="2" fontId="23" fillId="41" borderId="64" xfId="78" applyNumberFormat="1" applyFill="1" applyBorder="1" applyAlignment="1">
      <alignment vertical="center"/>
    </xf>
    <xf numFmtId="0" fontId="23" fillId="41" borderId="63" xfId="78" applyFill="1" applyBorder="1" applyAlignment="1">
      <alignment vertical="center"/>
    </xf>
    <xf numFmtId="0" fontId="23" fillId="41" borderId="13" xfId="78" applyFill="1" applyBorder="1"/>
    <xf numFmtId="4" fontId="23" fillId="41" borderId="13" xfId="78" applyNumberFormat="1" applyFill="1" applyBorder="1"/>
    <xf numFmtId="0" fontId="23" fillId="41" borderId="14" xfId="78" applyFill="1" applyBorder="1"/>
    <xf numFmtId="0" fontId="23" fillId="41" borderId="70" xfId="78" applyFill="1" applyBorder="1"/>
    <xf numFmtId="0" fontId="23" fillId="41" borderId="64" xfId="78" applyFill="1" applyBorder="1"/>
    <xf numFmtId="2" fontId="23" fillId="41" borderId="64" xfId="78" applyNumberFormat="1" applyFill="1" applyBorder="1"/>
    <xf numFmtId="2" fontId="23" fillId="41" borderId="63" xfId="78" applyNumberFormat="1" applyFill="1" applyBorder="1"/>
    <xf numFmtId="0" fontId="23" fillId="41" borderId="50" xfId="78" applyFill="1" applyBorder="1"/>
    <xf numFmtId="0" fontId="23" fillId="41" borderId="18" xfId="78" applyFill="1" applyBorder="1"/>
    <xf numFmtId="2" fontId="23" fillId="41" borderId="18" xfId="78" applyNumberFormat="1" applyFill="1" applyBorder="1"/>
    <xf numFmtId="0" fontId="23" fillId="41" borderId="19" xfId="78" applyFill="1" applyBorder="1"/>
    <xf numFmtId="2" fontId="23" fillId="41" borderId="70" xfId="78" applyNumberFormat="1" applyFill="1" applyBorder="1"/>
    <xf numFmtId="0" fontId="23" fillId="41" borderId="22" xfId="78" applyFill="1" applyBorder="1"/>
    <xf numFmtId="1" fontId="23" fillId="41" borderId="22" xfId="78" applyNumberFormat="1" applyFill="1" applyBorder="1" applyAlignment="1">
      <alignment vertical="center"/>
    </xf>
    <xf numFmtId="0" fontId="23" fillId="41" borderId="23" xfId="78" applyFill="1" applyBorder="1"/>
    <xf numFmtId="1" fontId="23" fillId="41" borderId="32" xfId="78" applyNumberFormat="1" applyFill="1" applyBorder="1" applyAlignment="1">
      <alignment vertical="center"/>
    </xf>
    <xf numFmtId="0" fontId="23" fillId="41" borderId="33" xfId="78" applyFill="1" applyBorder="1"/>
    <xf numFmtId="1" fontId="23" fillId="41" borderId="18" xfId="78" applyNumberFormat="1" applyFill="1" applyBorder="1" applyAlignment="1">
      <alignment vertical="center"/>
    </xf>
    <xf numFmtId="2" fontId="23" fillId="41" borderId="18" xfId="78" applyNumberFormat="1" applyFill="1" applyBorder="1" applyAlignment="1">
      <alignment vertical="center"/>
    </xf>
    <xf numFmtId="2" fontId="23" fillId="41" borderId="22" xfId="78" applyNumberFormat="1" applyFill="1" applyBorder="1"/>
    <xf numFmtId="3" fontId="23" fillId="2" borderId="41" xfId="78" applyNumberFormat="1" applyFill="1" applyBorder="1"/>
    <xf numFmtId="1" fontId="23" fillId="2" borderId="41" xfId="78" applyNumberFormat="1" applyFill="1" applyBorder="1" applyAlignment="1">
      <alignment wrapText="1"/>
    </xf>
    <xf numFmtId="3" fontId="23" fillId="2" borderId="64" xfId="78" applyNumberFormat="1" applyFill="1" applyBorder="1" applyAlignment="1">
      <alignment wrapText="1"/>
    </xf>
    <xf numFmtId="3" fontId="23" fillId="2" borderId="18" xfId="78" applyNumberFormat="1" applyFill="1" applyBorder="1" applyAlignment="1">
      <alignment wrapText="1"/>
    </xf>
    <xf numFmtId="3" fontId="23" fillId="2" borderId="22" xfId="78" applyNumberFormat="1" applyFill="1" applyBorder="1"/>
    <xf numFmtId="2" fontId="23" fillId="2" borderId="40" xfId="78" applyNumberFormat="1" applyFill="1" applyBorder="1" applyAlignment="1">
      <alignment wrapText="1"/>
    </xf>
    <xf numFmtId="1" fontId="23" fillId="2" borderId="17" xfId="78" applyNumberFormat="1" applyFill="1" applyBorder="1" applyAlignment="1">
      <alignment wrapText="1"/>
    </xf>
    <xf numFmtId="1" fontId="23" fillId="2" borderId="40" xfId="78" applyNumberFormat="1" applyFill="1" applyBorder="1" applyAlignment="1">
      <alignment wrapText="1"/>
    </xf>
    <xf numFmtId="2" fontId="23" fillId="2" borderId="70" xfId="78" applyNumberFormat="1" applyFill="1" applyBorder="1" applyAlignment="1">
      <alignment wrapText="1"/>
    </xf>
    <xf numFmtId="3" fontId="23" fillId="41" borderId="63" xfId="78" applyNumberFormat="1" applyFill="1" applyBorder="1"/>
    <xf numFmtId="3" fontId="23" fillId="41" borderId="33" xfId="78" applyNumberFormat="1" applyFill="1" applyBorder="1"/>
    <xf numFmtId="1" fontId="23" fillId="41" borderId="19" xfId="78" applyNumberFormat="1" applyFill="1" applyBorder="1"/>
    <xf numFmtId="1" fontId="23" fillId="41" borderId="42" xfId="78" applyNumberFormat="1" applyFill="1" applyBorder="1"/>
    <xf numFmtId="2" fontId="23" fillId="41" borderId="42" xfId="78" applyNumberFormat="1" applyFill="1" applyBorder="1"/>
    <xf numFmtId="3" fontId="23" fillId="41" borderId="42" xfId="78" applyNumberFormat="1" applyFill="1" applyBorder="1"/>
    <xf numFmtId="3" fontId="23" fillId="0" borderId="0" xfId="78" applyNumberFormat="1"/>
    <xf numFmtId="0" fontId="23" fillId="12" borderId="0" xfId="78" applyFill="1"/>
    <xf numFmtId="0" fontId="23" fillId="0" borderId="0" xfId="78" applyAlignment="1">
      <alignment vertical="center"/>
    </xf>
    <xf numFmtId="0" fontId="23" fillId="0" borderId="27" xfId="78" applyBorder="1"/>
    <xf numFmtId="4" fontId="23" fillId="0" borderId="22" xfId="78" applyNumberFormat="1" applyBorder="1"/>
    <xf numFmtId="4" fontId="81" fillId="0" borderId="22" xfId="78" applyNumberFormat="1" applyFont="1" applyBorder="1"/>
    <xf numFmtId="4" fontId="81" fillId="12" borderId="22" xfId="78" applyNumberFormat="1" applyFont="1" applyFill="1" applyBorder="1"/>
    <xf numFmtId="0" fontId="23" fillId="12" borderId="22" xfId="78" applyFill="1" applyBorder="1"/>
    <xf numFmtId="0" fontId="23" fillId="12" borderId="47" xfId="78" applyFill="1" applyBorder="1"/>
    <xf numFmtId="4" fontId="23" fillId="43" borderId="22" xfId="78" applyNumberFormat="1" applyFill="1" applyBorder="1"/>
    <xf numFmtId="0" fontId="23" fillId="43" borderId="22" xfId="78" applyFill="1" applyBorder="1"/>
    <xf numFmtId="0" fontId="84" fillId="9" borderId="0" xfId="0" applyFont="1" applyFill="1"/>
    <xf numFmtId="0" fontId="92" fillId="9" borderId="0" xfId="0" applyFont="1" applyFill="1"/>
    <xf numFmtId="0" fontId="92" fillId="2" borderId="0" xfId="0" applyFont="1" applyFill="1" applyAlignment="1">
      <alignment horizontal="center" vertical="center"/>
    </xf>
    <xf numFmtId="0" fontId="103" fillId="0" borderId="55" xfId="78" applyFont="1" applyBorder="1" applyAlignment="1">
      <alignment horizontal="center" vertical="center" wrapText="1"/>
    </xf>
    <xf numFmtId="0" fontId="52" fillId="9" borderId="58" xfId="78" applyFont="1" applyFill="1" applyBorder="1" applyAlignment="1">
      <alignment horizontal="center" vertical="center" wrapText="1"/>
    </xf>
    <xf numFmtId="0" fontId="52" fillId="9" borderId="52" xfId="78" applyFont="1" applyFill="1" applyBorder="1" applyAlignment="1">
      <alignment horizontal="center" vertical="center"/>
    </xf>
    <xf numFmtId="4" fontId="23" fillId="9" borderId="0" xfId="78" applyNumberFormat="1" applyFill="1"/>
    <xf numFmtId="3" fontId="23" fillId="9" borderId="0" xfId="78" applyNumberFormat="1" applyFill="1"/>
    <xf numFmtId="10" fontId="23" fillId="0" borderId="0" xfId="78" applyNumberFormat="1"/>
    <xf numFmtId="4" fontId="207" fillId="0" borderId="0" xfId="78" applyNumberFormat="1" applyFont="1" applyAlignment="1">
      <alignment vertical="top"/>
    </xf>
    <xf numFmtId="0" fontId="207" fillId="0" borderId="0" xfId="78" applyFont="1" applyAlignment="1">
      <alignment vertical="top" wrapText="1"/>
    </xf>
    <xf numFmtId="10" fontId="208" fillId="0" borderId="0" xfId="78" applyNumberFormat="1" applyFont="1" applyAlignment="1">
      <alignment wrapText="1"/>
    </xf>
    <xf numFmtId="0" fontId="207" fillId="0" borderId="0" xfId="78" applyFont="1" applyAlignment="1">
      <alignment vertical="top"/>
    </xf>
    <xf numFmtId="4" fontId="207" fillId="0" borderId="0" xfId="78" applyNumberFormat="1" applyFont="1" applyAlignment="1">
      <alignment vertical="top" wrapText="1"/>
    </xf>
    <xf numFmtId="3" fontId="23" fillId="0" borderId="0" xfId="78" quotePrefix="1" applyNumberFormat="1"/>
    <xf numFmtId="4" fontId="207" fillId="0" borderId="0" xfId="78" applyNumberFormat="1" applyFont="1" applyAlignment="1">
      <alignment vertical="center"/>
    </xf>
    <xf numFmtId="0" fontId="81" fillId="0" borderId="22" xfId="78" applyFont="1" applyBorder="1" applyAlignment="1">
      <alignment vertical="center" wrapText="1"/>
    </xf>
    <xf numFmtId="10" fontId="81" fillId="0" borderId="22" xfId="78" applyNumberFormat="1" applyFont="1" applyBorder="1" applyAlignment="1">
      <alignment vertical="center" wrapText="1"/>
    </xf>
    <xf numFmtId="0" fontId="207" fillId="0" borderId="0" xfId="78" applyFont="1" applyAlignment="1">
      <alignment vertical="center"/>
    </xf>
    <xf numFmtId="4" fontId="81" fillId="0" borderId="22" xfId="78" applyNumberFormat="1" applyFont="1" applyBorder="1" applyAlignment="1">
      <alignment vertical="center" wrapText="1"/>
    </xf>
    <xf numFmtId="3" fontId="23" fillId="0" borderId="18" xfId="78" applyNumberFormat="1" applyBorder="1" applyAlignment="1">
      <alignment vertical="center"/>
    </xf>
    <xf numFmtId="0" fontId="23" fillId="0" borderId="18" xfId="78" applyBorder="1" applyAlignment="1">
      <alignment vertical="center"/>
    </xf>
    <xf numFmtId="0" fontId="67" fillId="0" borderId="0" xfId="78" applyFont="1" applyAlignment="1">
      <alignment vertical="center"/>
    </xf>
    <xf numFmtId="10" fontId="23" fillId="43" borderId="22" xfId="78" applyNumberFormat="1" applyFill="1" applyBorder="1" applyAlignment="1">
      <alignment horizontal="right"/>
    </xf>
    <xf numFmtId="4" fontId="23" fillId="27" borderId="22" xfId="78" applyNumberFormat="1" applyFill="1" applyBorder="1"/>
    <xf numFmtId="10" fontId="23" fillId="0" borderId="22" xfId="78" applyNumberFormat="1" applyBorder="1"/>
    <xf numFmtId="0" fontId="23" fillId="44" borderId="0" xfId="78" applyFill="1"/>
    <xf numFmtId="10" fontId="23" fillId="43" borderId="22" xfId="78" applyNumberFormat="1" applyFill="1" applyBorder="1"/>
    <xf numFmtId="0" fontId="23" fillId="45" borderId="0" xfId="78" applyFill="1"/>
    <xf numFmtId="0" fontId="23" fillId="12" borderId="21" xfId="78" applyFill="1" applyBorder="1"/>
    <xf numFmtId="10" fontId="23" fillId="0" borderId="22" xfId="78" applyNumberFormat="1" applyBorder="1" applyAlignment="1">
      <alignment horizontal="right"/>
    </xf>
    <xf numFmtId="4" fontId="81" fillId="0" borderId="22" xfId="78" applyNumberFormat="1" applyFont="1" applyBorder="1" applyAlignment="1">
      <alignment horizontal="right"/>
    </xf>
    <xf numFmtId="4" fontId="96" fillId="13" borderId="61" xfId="78" applyNumberFormat="1" applyFont="1" applyFill="1" applyBorder="1" applyAlignment="1">
      <alignment horizontal="center" vertical="center" wrapText="1"/>
    </xf>
    <xf numFmtId="4" fontId="96" fillId="13" borderId="54" xfId="78" applyNumberFormat="1" applyFont="1" applyFill="1" applyBorder="1" applyAlignment="1">
      <alignment horizontal="center" vertical="center" wrapText="1"/>
    </xf>
    <xf numFmtId="0" fontId="96" fillId="13" borderId="54" xfId="78" applyFont="1" applyFill="1" applyBorder="1" applyAlignment="1">
      <alignment horizontal="center" vertical="center" wrapText="1"/>
    </xf>
    <xf numFmtId="10" fontId="96" fillId="13" borderId="54" xfId="78" applyNumberFormat="1" applyFont="1" applyFill="1" applyBorder="1" applyAlignment="1">
      <alignment horizontal="center" vertical="center" wrapText="1"/>
    </xf>
    <xf numFmtId="0" fontId="96" fillId="9" borderId="54" xfId="78" applyFont="1" applyFill="1" applyBorder="1" applyAlignment="1">
      <alignment horizontal="center" vertical="center" wrapText="1"/>
    </xf>
    <xf numFmtId="3" fontId="96" fillId="9" borderId="54" xfId="78" applyNumberFormat="1" applyFont="1" applyFill="1" applyBorder="1" applyAlignment="1">
      <alignment horizontal="center" vertical="center" wrapText="1"/>
    </xf>
    <xf numFmtId="0" fontId="96" fillId="9" borderId="80" xfId="78" applyFont="1" applyFill="1" applyBorder="1" applyAlignment="1">
      <alignment horizontal="center" vertical="center" wrapText="1"/>
    </xf>
    <xf numFmtId="0" fontId="84" fillId="0" borderId="0" xfId="78" applyFont="1"/>
    <xf numFmtId="0" fontId="207" fillId="0" borderId="0" xfId="0" applyFont="1"/>
    <xf numFmtId="4" fontId="207" fillId="0" borderId="0" xfId="0" applyNumberFormat="1" applyFont="1"/>
    <xf numFmtId="0" fontId="84" fillId="2" borderId="0" xfId="0" applyFont="1" applyFill="1"/>
    <xf numFmtId="2" fontId="23" fillId="2" borderId="0" xfId="78" applyNumberFormat="1" applyFill="1"/>
    <xf numFmtId="1" fontId="23" fillId="2" borderId="41" xfId="78" applyNumberFormat="1" applyFill="1" applyBorder="1"/>
    <xf numFmtId="0" fontId="120" fillId="0" borderId="0" xfId="0" applyFont="1"/>
    <xf numFmtId="49" fontId="135" fillId="32" borderId="22" xfId="80" applyNumberFormat="1" applyFont="1" applyFill="1" applyBorder="1" applyAlignment="1">
      <alignment horizontal="center"/>
    </xf>
    <xf numFmtId="184" fontId="0" fillId="0" borderId="22" xfId="0" applyNumberFormat="1" applyBorder="1"/>
    <xf numFmtId="184" fontId="0" fillId="0" borderId="0" xfId="0" applyNumberFormat="1"/>
    <xf numFmtId="0" fontId="163" fillId="0" borderId="0" xfId="74" applyFont="1" applyAlignment="1">
      <alignment wrapText="1"/>
    </xf>
    <xf numFmtId="2" fontId="23" fillId="3" borderId="18" xfId="78" applyNumberFormat="1" applyFill="1" applyBorder="1" applyAlignment="1">
      <alignment vertical="center" wrapText="1"/>
    </xf>
    <xf numFmtId="2" fontId="23" fillId="3" borderId="18" xfId="78" applyNumberFormat="1" applyFill="1" applyBorder="1" applyAlignment="1">
      <alignment horizontal="center" vertical="center" wrapText="1"/>
    </xf>
    <xf numFmtId="2" fontId="52" fillId="3" borderId="18" xfId="78" applyNumberFormat="1" applyFont="1" applyFill="1" applyBorder="1" applyAlignment="1">
      <alignment horizontal="center" vertical="center" wrapText="1"/>
    </xf>
    <xf numFmtId="4" fontId="23" fillId="41" borderId="63" xfId="78" applyNumberFormat="1" applyFill="1" applyBorder="1" applyAlignment="1">
      <alignment horizontal="right" vertical="center" wrapText="1"/>
    </xf>
    <xf numFmtId="0" fontId="51" fillId="0" borderId="0" xfId="85" applyFont="1"/>
    <xf numFmtId="0" fontId="51" fillId="0" borderId="0" xfId="85" applyFont="1" applyAlignment="1">
      <alignment horizontal="center"/>
    </xf>
    <xf numFmtId="0" fontId="51" fillId="0" borderId="0" xfId="85" applyFont="1" applyAlignment="1">
      <alignment horizontal="left"/>
    </xf>
    <xf numFmtId="2" fontId="51" fillId="0" borderId="0" xfId="85" applyNumberFormat="1" applyFont="1"/>
    <xf numFmtId="0" fontId="51" fillId="0" borderId="0" xfId="85" applyFont="1" applyAlignment="1">
      <alignment horizontal="right"/>
    </xf>
    <xf numFmtId="2" fontId="51" fillId="0" borderId="0" xfId="85" applyNumberFormat="1" applyFont="1" applyAlignment="1">
      <alignment horizontal="right" wrapText="1"/>
    </xf>
    <xf numFmtId="0" fontId="51" fillId="46" borderId="0" xfId="85" applyFont="1" applyFill="1"/>
    <xf numFmtId="180" fontId="51" fillId="46" borderId="0" xfId="85" applyNumberFormat="1" applyFont="1" applyFill="1"/>
    <xf numFmtId="2" fontId="51" fillId="27" borderId="0" xfId="85" applyNumberFormat="1" applyFont="1" applyFill="1" applyAlignment="1">
      <alignment horizontal="center"/>
    </xf>
    <xf numFmtId="2" fontId="51" fillId="27" borderId="0" xfId="85" applyNumberFormat="1" applyFont="1" applyFill="1"/>
    <xf numFmtId="2" fontId="51" fillId="27" borderId="0" xfId="85" applyNumberFormat="1" applyFont="1" applyFill="1" applyAlignment="1">
      <alignment horizontal="left"/>
    </xf>
    <xf numFmtId="2" fontId="51" fillId="46" borderId="0" xfId="85" applyNumberFormat="1" applyFont="1" applyFill="1"/>
    <xf numFmtId="180" fontId="51" fillId="47" borderId="0" xfId="85" applyNumberFormat="1" applyFont="1" applyFill="1"/>
    <xf numFmtId="180" fontId="51" fillId="27" borderId="0" xfId="85" applyNumberFormat="1" applyFont="1" applyFill="1"/>
    <xf numFmtId="180" fontId="51" fillId="48" borderId="0" xfId="85" applyNumberFormat="1" applyFont="1" applyFill="1"/>
    <xf numFmtId="2" fontId="51" fillId="47" borderId="0" xfId="85" applyNumberFormat="1" applyFont="1" applyFill="1"/>
    <xf numFmtId="2" fontId="51" fillId="47" borderId="0" xfId="85" applyNumberFormat="1" applyFont="1" applyFill="1" applyAlignment="1">
      <alignment horizontal="left"/>
    </xf>
    <xf numFmtId="2" fontId="51" fillId="0" borderId="0" xfId="85" applyNumberFormat="1" applyFont="1" applyAlignment="1">
      <alignment wrapText="1"/>
    </xf>
    <xf numFmtId="2" fontId="51" fillId="0" borderId="0" xfId="85" applyNumberFormat="1" applyFont="1" applyAlignment="1">
      <alignment horizontal="center" wrapText="1"/>
    </xf>
    <xf numFmtId="43" fontId="51" fillId="0" borderId="0" xfId="86" applyFont="1"/>
    <xf numFmtId="2" fontId="51" fillId="0" borderId="0" xfId="85" quotePrefix="1" applyNumberFormat="1" applyFont="1" applyAlignment="1">
      <alignment horizontal="center"/>
    </xf>
    <xf numFmtId="166" fontId="51" fillId="0" borderId="0" xfId="85" quotePrefix="1" applyNumberFormat="1" applyFont="1" applyAlignment="1">
      <alignment horizontal="center"/>
    </xf>
    <xf numFmtId="14" fontId="51" fillId="0" borderId="0" xfId="85" applyNumberFormat="1" applyFont="1" applyAlignment="1">
      <alignment horizontal="center"/>
    </xf>
    <xf numFmtId="0" fontId="51" fillId="0" borderId="0" xfId="85" quotePrefix="1" applyFont="1"/>
    <xf numFmtId="1" fontId="51" fillId="0" borderId="0" xfId="85" quotePrefix="1" applyNumberFormat="1" applyFont="1" applyAlignment="1">
      <alignment horizontal="right"/>
    </xf>
    <xf numFmtId="1" fontId="51" fillId="0" borderId="0" xfId="85" quotePrefix="1" applyNumberFormat="1" applyFont="1" applyAlignment="1">
      <alignment horizontal="center"/>
    </xf>
    <xf numFmtId="0" fontId="51" fillId="0" borderId="0" xfId="85" quotePrefix="1" applyFont="1" applyAlignment="1">
      <alignment horizontal="center"/>
    </xf>
    <xf numFmtId="182" fontId="51" fillId="0" borderId="0" xfId="85" quotePrefix="1" applyNumberFormat="1" applyFont="1" applyAlignment="1">
      <alignment horizontal="center"/>
    </xf>
    <xf numFmtId="3" fontId="51" fillId="0" borderId="0" xfId="85" applyNumberFormat="1" applyFont="1"/>
    <xf numFmtId="188" fontId="51" fillId="0" borderId="0" xfId="85" quotePrefix="1" applyNumberFormat="1" applyFont="1" applyAlignment="1">
      <alignment horizontal="center"/>
    </xf>
    <xf numFmtId="0" fontId="51" fillId="46" borderId="7" xfId="85" applyFont="1" applyFill="1" applyBorder="1" applyAlignment="1">
      <alignment horizontal="center" wrapText="1"/>
    </xf>
    <xf numFmtId="0" fontId="51" fillId="27" borderId="7" xfId="85" applyFont="1" applyFill="1" applyBorder="1" applyAlignment="1">
      <alignment horizontal="center" wrapText="1"/>
    </xf>
    <xf numFmtId="0" fontId="51" fillId="27" borderId="7" xfId="85" applyFont="1" applyFill="1" applyBorder="1" applyAlignment="1">
      <alignment horizontal="left" wrapText="1"/>
    </xf>
    <xf numFmtId="0" fontId="51" fillId="47" borderId="7" xfId="85" applyFont="1" applyFill="1" applyBorder="1" applyAlignment="1">
      <alignment horizontal="center" wrapText="1"/>
    </xf>
    <xf numFmtId="0" fontId="51" fillId="48" borderId="7" xfId="85" applyFont="1" applyFill="1" applyBorder="1" applyAlignment="1">
      <alignment horizontal="center" wrapText="1"/>
    </xf>
    <xf numFmtId="0" fontId="51" fillId="47" borderId="7" xfId="85" applyFont="1" applyFill="1" applyBorder="1" applyAlignment="1">
      <alignment horizontal="left"/>
    </xf>
    <xf numFmtId="0" fontId="51" fillId="47" borderId="7" xfId="85" applyFont="1" applyFill="1" applyBorder="1" applyAlignment="1">
      <alignment horizontal="left" wrapText="1"/>
    </xf>
    <xf numFmtId="0" fontId="51" fillId="46" borderId="7" xfId="85" applyFont="1" applyFill="1" applyBorder="1" applyAlignment="1">
      <alignment horizontal="left"/>
    </xf>
    <xf numFmtId="0" fontId="51" fillId="0" borderId="7" xfId="85" applyFont="1" applyBorder="1" applyAlignment="1">
      <alignment horizontal="center" wrapText="1"/>
    </xf>
    <xf numFmtId="1" fontId="51" fillId="0" borderId="0" xfId="85" applyNumberFormat="1" applyFont="1" applyAlignment="1">
      <alignment wrapText="1"/>
    </xf>
    <xf numFmtId="2" fontId="51" fillId="0" borderId="7" xfId="85" applyNumberFormat="1" applyFont="1" applyBorder="1" applyAlignment="1">
      <alignment wrapText="1"/>
    </xf>
    <xf numFmtId="0" fontId="51" fillId="0" borderId="7" xfId="85" applyFont="1" applyBorder="1"/>
    <xf numFmtId="0" fontId="51" fillId="0" borderId="7" xfId="85" quotePrefix="1" applyFont="1" applyBorder="1" applyAlignment="1">
      <alignment horizontal="center" wrapText="1"/>
    </xf>
    <xf numFmtId="2" fontId="51" fillId="0" borderId="7" xfId="85" applyNumberFormat="1" applyFont="1" applyBorder="1" applyAlignment="1">
      <alignment horizontal="center" wrapText="1"/>
    </xf>
    <xf numFmtId="0" fontId="212" fillId="0" borderId="7" xfId="85" quotePrefix="1" applyFont="1" applyBorder="1" applyAlignment="1">
      <alignment horizontal="center" wrapText="1"/>
    </xf>
    <xf numFmtId="0" fontId="212" fillId="0" borderId="7" xfId="85" applyFont="1" applyBorder="1" applyAlignment="1">
      <alignment horizontal="center" wrapText="1"/>
    </xf>
    <xf numFmtId="2" fontId="212" fillId="0" borderId="7" xfId="85" applyNumberFormat="1" applyFont="1" applyBorder="1" applyAlignment="1">
      <alignment horizontal="center" wrapText="1"/>
    </xf>
    <xf numFmtId="0" fontId="212" fillId="0" borderId="7" xfId="85" quotePrefix="1" applyFont="1" applyBorder="1" applyAlignment="1">
      <alignment wrapText="1"/>
    </xf>
    <xf numFmtId="0" fontId="51" fillId="46" borderId="43" xfId="85" applyFont="1" applyFill="1" applyBorder="1" applyAlignment="1">
      <alignment wrapText="1"/>
    </xf>
    <xf numFmtId="0" fontId="51" fillId="27" borderId="43" xfId="85" applyFont="1" applyFill="1" applyBorder="1" applyAlignment="1">
      <alignment horizontal="center" wrapText="1"/>
    </xf>
    <xf numFmtId="0" fontId="51" fillId="27" borderId="43" xfId="85" applyFont="1" applyFill="1" applyBorder="1" applyAlignment="1">
      <alignment wrapText="1"/>
    </xf>
    <xf numFmtId="0" fontId="51" fillId="27" borderId="43" xfId="85" applyFont="1" applyFill="1" applyBorder="1" applyAlignment="1">
      <alignment horizontal="left" wrapText="1"/>
    </xf>
    <xf numFmtId="0" fontId="51" fillId="46" borderId="43" xfId="85" applyFont="1" applyFill="1" applyBorder="1"/>
    <xf numFmtId="0" fontId="51" fillId="47" borderId="43" xfId="85" applyFont="1" applyFill="1" applyBorder="1"/>
    <xf numFmtId="0" fontId="212" fillId="47" borderId="43" xfId="85" applyFont="1" applyFill="1" applyBorder="1"/>
    <xf numFmtId="0" fontId="212" fillId="46" borderId="43" xfId="85" applyFont="1" applyFill="1" applyBorder="1" applyAlignment="1">
      <alignment horizontal="center" wrapText="1"/>
    </xf>
    <xf numFmtId="0" fontId="51" fillId="0" borderId="0" xfId="85" applyFont="1" applyAlignment="1">
      <alignment wrapText="1"/>
    </xf>
    <xf numFmtId="0" fontId="51" fillId="0" borderId="43" xfId="85" applyFont="1" applyBorder="1"/>
    <xf numFmtId="0" fontId="212" fillId="0" borderId="43" xfId="85" applyFont="1" applyBorder="1"/>
    <xf numFmtId="0" fontId="212" fillId="0" borderId="0" xfId="85" applyFont="1"/>
    <xf numFmtId="2" fontId="51" fillId="0" borderId="43" xfId="85" applyNumberFormat="1" applyFont="1" applyBorder="1"/>
    <xf numFmtId="2" fontId="212" fillId="0" borderId="43" xfId="85" applyNumberFormat="1" applyFont="1" applyBorder="1"/>
    <xf numFmtId="0" fontId="216" fillId="0" borderId="0" xfId="87" applyFont="1"/>
    <xf numFmtId="0" fontId="217" fillId="0" borderId="0" xfId="85" applyFont="1"/>
    <xf numFmtId="0" fontId="217" fillId="0" borderId="0" xfId="85" applyFont="1" applyAlignment="1">
      <alignment horizontal="center"/>
    </xf>
    <xf numFmtId="0" fontId="217" fillId="0" borderId="0" xfId="85" applyFont="1" applyAlignment="1">
      <alignment horizontal="left"/>
    </xf>
    <xf numFmtId="0" fontId="216" fillId="0" borderId="0" xfId="87" applyFont="1" applyAlignment="1">
      <alignment vertical="center"/>
    </xf>
    <xf numFmtId="2" fontId="217" fillId="0" borderId="0" xfId="85" applyNumberFormat="1" applyFont="1"/>
    <xf numFmtId="0" fontId="217" fillId="0" borderId="0" xfId="85" applyFont="1" applyAlignment="1">
      <alignment horizontal="right"/>
    </xf>
    <xf numFmtId="0" fontId="103" fillId="2" borderId="22" xfId="36" applyFont="1" applyFill="1" applyBorder="1" applyAlignment="1">
      <alignment horizontal="center" vertical="center"/>
    </xf>
    <xf numFmtId="2" fontId="81" fillId="0" borderId="58" xfId="84" applyNumberFormat="1" applyFont="1" applyBorder="1"/>
    <xf numFmtId="2" fontId="81" fillId="0" borderId="22" xfId="84" applyNumberFormat="1" applyFont="1" applyBorder="1"/>
    <xf numFmtId="2" fontId="81" fillId="2" borderId="22" xfId="84" applyNumberFormat="1" applyFont="1" applyFill="1" applyBorder="1"/>
    <xf numFmtId="2" fontId="81" fillId="2" borderId="41" xfId="84" applyNumberFormat="1" applyFont="1" applyFill="1" applyBorder="1"/>
    <xf numFmtId="3" fontId="32" fillId="0" borderId="0" xfId="0" applyNumberFormat="1" applyFont="1"/>
    <xf numFmtId="3" fontId="0" fillId="5" borderId="30" xfId="0" applyNumberFormat="1" applyFill="1" applyBorder="1" applyAlignment="1">
      <alignment horizontal="left" indent="1"/>
    </xf>
    <xf numFmtId="3" fontId="32" fillId="2" borderId="1" xfId="3" applyNumberFormat="1" applyFill="1" applyBorder="1"/>
    <xf numFmtId="3" fontId="32" fillId="2" borderId="15" xfId="3" applyNumberFormat="1" applyFill="1" applyBorder="1"/>
    <xf numFmtId="3" fontId="32" fillId="2" borderId="13" xfId="3" applyNumberFormat="1" applyFill="1" applyBorder="1"/>
    <xf numFmtId="3" fontId="32" fillId="2" borderId="18" xfId="3" applyNumberFormat="1" applyFill="1" applyBorder="1"/>
    <xf numFmtId="3" fontId="32" fillId="2" borderId="55" xfId="0" applyNumberFormat="1" applyFont="1" applyFill="1" applyBorder="1"/>
    <xf numFmtId="3" fontId="32" fillId="0" borderId="24" xfId="0" applyNumberFormat="1" applyFont="1" applyBorder="1"/>
    <xf numFmtId="3" fontId="32" fillId="0" borderId="30" xfId="0" applyNumberFormat="1" applyFont="1" applyBorder="1"/>
    <xf numFmtId="4" fontId="32" fillId="0" borderId="18" xfId="3" applyNumberFormat="1" applyBorder="1"/>
    <xf numFmtId="4" fontId="32" fillId="2" borderId="18" xfId="3" applyNumberFormat="1" applyFill="1" applyBorder="1"/>
    <xf numFmtId="4" fontId="53" fillId="2" borderId="18" xfId="0" applyNumberFormat="1" applyFont="1" applyFill="1" applyBorder="1"/>
    <xf numFmtId="4" fontId="32" fillId="0" borderId="22" xfId="3" applyNumberFormat="1" applyBorder="1"/>
    <xf numFmtId="4" fontId="53" fillId="2" borderId="47" xfId="0" applyNumberFormat="1" applyFont="1" applyFill="1" applyBorder="1"/>
    <xf numFmtId="4" fontId="53" fillId="2" borderId="22" xfId="0" applyNumberFormat="1" applyFont="1" applyFill="1" applyBorder="1"/>
    <xf numFmtId="4" fontId="53" fillId="0" borderId="22" xfId="0" applyNumberFormat="1" applyFont="1" applyBorder="1"/>
    <xf numFmtId="4" fontId="53" fillId="2" borderId="32" xfId="0" applyNumberFormat="1" applyFont="1" applyFill="1" applyBorder="1"/>
    <xf numFmtId="10" fontId="26" fillId="0" borderId="65" xfId="36" applyNumberFormat="1" applyBorder="1"/>
    <xf numFmtId="10" fontId="26" fillId="0" borderId="94" xfId="36" applyNumberFormat="1" applyBorder="1"/>
    <xf numFmtId="10" fontId="26" fillId="0" borderId="46" xfId="36" applyNumberFormat="1" applyBorder="1"/>
    <xf numFmtId="3" fontId="26" fillId="41" borderId="94" xfId="36" applyNumberFormat="1" applyFill="1" applyBorder="1"/>
    <xf numFmtId="4" fontId="26" fillId="41" borderId="65" xfId="36" applyNumberFormat="1" applyFill="1" applyBorder="1"/>
    <xf numFmtId="4" fontId="26" fillId="41" borderId="66" xfId="36" applyNumberFormat="1" applyFill="1" applyBorder="1"/>
    <xf numFmtId="3" fontId="26" fillId="41" borderId="65" xfId="36" applyNumberFormat="1" applyFill="1" applyBorder="1"/>
    <xf numFmtId="3" fontId="26" fillId="41" borderId="66" xfId="36" applyNumberFormat="1" applyFill="1" applyBorder="1"/>
    <xf numFmtId="3" fontId="26" fillId="2" borderId="94" xfId="36" applyNumberFormat="1" applyFill="1" applyBorder="1"/>
    <xf numFmtId="4" fontId="53" fillId="0" borderId="27" xfId="0" applyNumberFormat="1" applyFont="1" applyBorder="1"/>
    <xf numFmtId="3" fontId="81" fillId="41" borderId="13" xfId="78" applyNumberFormat="1" applyFont="1" applyFill="1" applyBorder="1" applyAlignment="1">
      <alignment horizontal="right"/>
    </xf>
    <xf numFmtId="2" fontId="67" fillId="0" borderId="18" xfId="78" applyNumberFormat="1" applyFont="1" applyBorder="1" applyAlignment="1">
      <alignment vertical="center" wrapText="1"/>
    </xf>
    <xf numFmtId="3" fontId="53" fillId="0" borderId="53" xfId="0" applyNumberFormat="1" applyFont="1" applyBorder="1"/>
    <xf numFmtId="3" fontId="53" fillId="0" borderId="56" xfId="0" applyNumberFormat="1" applyFont="1" applyBorder="1"/>
    <xf numFmtId="167" fontId="81" fillId="2" borderId="55" xfId="78" applyNumberFormat="1" applyFont="1" applyFill="1" applyBorder="1" applyAlignment="1">
      <alignment horizontal="right"/>
    </xf>
    <xf numFmtId="0" fontId="22" fillId="0" borderId="0" xfId="88"/>
    <xf numFmtId="192" fontId="218" fillId="49" borderId="114" xfId="88" applyNumberFormat="1" applyFont="1" applyFill="1" applyBorder="1"/>
    <xf numFmtId="0" fontId="218" fillId="49" borderId="114" xfId="88" applyFont="1" applyFill="1" applyBorder="1" applyAlignment="1">
      <alignment horizontal="left"/>
    </xf>
    <xf numFmtId="192" fontId="22" fillId="50" borderId="115" xfId="88" applyNumberFormat="1" applyFill="1" applyBorder="1"/>
    <xf numFmtId="0" fontId="22" fillId="50" borderId="115" xfId="88" applyFill="1" applyBorder="1" applyAlignment="1">
      <alignment horizontal="left"/>
    </xf>
    <xf numFmtId="0" fontId="218" fillId="49" borderId="116" xfId="88" applyFont="1" applyFill="1" applyBorder="1"/>
    <xf numFmtId="3" fontId="22" fillId="0" borderId="0" xfId="88" applyNumberFormat="1" applyAlignment="1">
      <alignment horizontal="right"/>
    </xf>
    <xf numFmtId="0" fontId="162" fillId="0" borderId="0" xfId="88" applyFont="1" applyAlignment="1">
      <alignment horizontal="left"/>
    </xf>
    <xf numFmtId="0" fontId="164" fillId="0" borderId="0" xfId="88" applyFont="1" applyAlignment="1">
      <alignment horizontal="left"/>
    </xf>
    <xf numFmtId="0" fontId="219" fillId="0" borderId="0" xfId="88" applyFont="1"/>
    <xf numFmtId="0" fontId="135" fillId="34" borderId="111" xfId="83" applyFont="1" applyFill="1" applyBorder="1" applyAlignment="1">
      <alignment horizontal="right" wrapText="1"/>
    </xf>
    <xf numFmtId="0" fontId="135" fillId="34" borderId="113" xfId="83" applyFont="1" applyFill="1" applyBorder="1" applyAlignment="1">
      <alignment horizontal="right" wrapText="1"/>
    </xf>
    <xf numFmtId="0" fontId="135" fillId="0" borderId="112" xfId="83" applyFont="1" applyBorder="1" applyAlignment="1">
      <alignment horizontal="right" wrapText="1"/>
    </xf>
    <xf numFmtId="1" fontId="135" fillId="0" borderId="112" xfId="83" applyNumberFormat="1" applyFont="1" applyBorder="1" applyAlignment="1">
      <alignment wrapText="1"/>
    </xf>
    <xf numFmtId="0" fontId="22" fillId="0" borderId="2" xfId="78" applyFont="1" applyBorder="1"/>
    <xf numFmtId="0" fontId="23" fillId="0" borderId="39" xfId="78" applyBorder="1"/>
    <xf numFmtId="0" fontId="23" fillId="38" borderId="118" xfId="78" applyFill="1" applyBorder="1"/>
    <xf numFmtId="0" fontId="23" fillId="0" borderId="3" xfId="78" applyBorder="1"/>
    <xf numFmtId="0" fontId="135" fillId="34" borderId="117" xfId="83" applyFont="1" applyFill="1" applyBorder="1" applyAlignment="1">
      <alignment horizontal="right" wrapText="1"/>
    </xf>
    <xf numFmtId="0" fontId="135" fillId="34" borderId="106" xfId="83" applyFont="1" applyFill="1" applyBorder="1" applyAlignment="1">
      <alignment horizontal="right" wrapText="1"/>
    </xf>
    <xf numFmtId="0" fontId="135" fillId="34" borderId="31" xfId="83" applyFont="1" applyFill="1" applyBorder="1" applyAlignment="1">
      <alignment horizontal="right" wrapText="1"/>
    </xf>
    <xf numFmtId="0" fontId="135" fillId="34" borderId="101" xfId="83" applyFont="1" applyFill="1" applyBorder="1" applyAlignment="1">
      <alignment horizontal="right" wrapText="1"/>
    </xf>
    <xf numFmtId="3" fontId="26" fillId="0" borderId="101" xfId="36" applyNumberFormat="1" applyBorder="1"/>
    <xf numFmtId="43" fontId="22" fillId="0" borderId="0" xfId="7" applyFont="1"/>
    <xf numFmtId="176" fontId="22" fillId="0" borderId="0" xfId="7" applyNumberFormat="1" applyFont="1"/>
    <xf numFmtId="0" fontId="105" fillId="22" borderId="0" xfId="3" applyFont="1" applyFill="1" applyAlignment="1">
      <alignment vertical="top"/>
    </xf>
    <xf numFmtId="0" fontId="122" fillId="22" borderId="0" xfId="89" applyFont="1" applyFill="1" applyAlignment="1">
      <alignment horizontal="left" vertical="top"/>
    </xf>
    <xf numFmtId="0" fontId="105" fillId="22" borderId="0" xfId="89" applyFill="1" applyAlignment="1">
      <alignment horizontal="right" vertical="center"/>
    </xf>
    <xf numFmtId="2" fontId="121" fillId="22" borderId="0" xfId="89" applyNumberFormat="1" applyFont="1" applyFill="1" applyAlignment="1">
      <alignment horizontal="right" vertical="center"/>
    </xf>
    <xf numFmtId="0" fontId="137" fillId="22" borderId="0" xfId="3" applyFont="1" applyFill="1" applyAlignment="1">
      <alignment horizontal="right"/>
    </xf>
    <xf numFmtId="2" fontId="121" fillId="52" borderId="95" xfId="89" applyNumberFormat="1" applyFont="1" applyFill="1" applyBorder="1" applyAlignment="1">
      <alignment vertical="center"/>
    </xf>
    <xf numFmtId="2" fontId="121" fillId="52" borderId="85" xfId="89" applyNumberFormat="1" applyFont="1" applyFill="1" applyBorder="1" applyAlignment="1">
      <alignment horizontal="left" vertical="center"/>
    </xf>
    <xf numFmtId="0" fontId="105" fillId="22" borderId="0" xfId="89" applyFill="1" applyAlignment="1">
      <alignment vertical="center"/>
    </xf>
    <xf numFmtId="0" fontId="92" fillId="0" borderId="43" xfId="3" applyFont="1" applyBorder="1"/>
    <xf numFmtId="0" fontId="223" fillId="0" borderId="0" xfId="43" applyFont="1" applyFill="1"/>
    <xf numFmtId="0" fontId="60" fillId="2" borderId="5" xfId="30" applyFont="1" applyFill="1" applyBorder="1" applyAlignment="1">
      <alignment horizontal="center" vertical="center"/>
    </xf>
    <xf numFmtId="0" fontId="60" fillId="2" borderId="2" xfId="30" applyFont="1" applyFill="1" applyBorder="1" applyAlignment="1">
      <alignment horizontal="center" vertical="center"/>
    </xf>
    <xf numFmtId="0" fontId="60" fillId="2" borderId="4" xfId="30" applyFont="1" applyFill="1" applyBorder="1" applyAlignment="1">
      <alignment horizontal="center" vertical="center"/>
    </xf>
    <xf numFmtId="0" fontId="60" fillId="2" borderId="6" xfId="30" applyFont="1" applyFill="1" applyBorder="1" applyAlignment="1">
      <alignment horizontal="center" vertical="center"/>
    </xf>
    <xf numFmtId="1" fontId="99" fillId="0" borderId="0" xfId="30" applyNumberFormat="1" applyFont="1" applyAlignment="1">
      <alignment horizontal="center" vertical="center"/>
    </xf>
    <xf numFmtId="0" fontId="99" fillId="2" borderId="0" xfId="30" applyFont="1" applyFill="1" applyAlignment="1">
      <alignment horizontal="center" vertical="center"/>
    </xf>
    <xf numFmtId="0" fontId="99" fillId="0" borderId="0" xfId="30" applyFont="1" applyAlignment="1">
      <alignment horizontal="center" vertical="center"/>
    </xf>
    <xf numFmtId="3" fontId="53" fillId="2" borderId="80" xfId="0" applyNumberFormat="1" applyFont="1" applyFill="1" applyBorder="1"/>
    <xf numFmtId="3" fontId="53" fillId="2" borderId="119" xfId="30" applyNumberFormat="1" applyFont="1" applyFill="1" applyBorder="1"/>
    <xf numFmtId="0" fontId="26" fillId="21" borderId="0" xfId="36" applyFill="1"/>
    <xf numFmtId="2" fontId="26" fillId="0" borderId="120" xfId="36" applyNumberFormat="1" applyBorder="1"/>
    <xf numFmtId="0" fontId="26" fillId="0" borderId="120" xfId="36" applyBorder="1"/>
    <xf numFmtId="0" fontId="103" fillId="2" borderId="120" xfId="36" applyFont="1" applyFill="1" applyBorder="1" applyAlignment="1">
      <alignment horizontal="center" vertical="center" wrapText="1"/>
    </xf>
    <xf numFmtId="0" fontId="20" fillId="38" borderId="118" xfId="78" applyFont="1" applyFill="1" applyBorder="1"/>
    <xf numFmtId="0" fontId="20" fillId="39" borderId="23" xfId="78" applyFont="1" applyFill="1" applyBorder="1"/>
    <xf numFmtId="0" fontId="20" fillId="38" borderId="23" xfId="78" applyFont="1" applyFill="1" applyBorder="1"/>
    <xf numFmtId="0" fontId="26" fillId="0" borderId="57" xfId="36" applyBorder="1"/>
    <xf numFmtId="0" fontId="52" fillId="9" borderId="13" xfId="36" applyFont="1" applyFill="1" applyBorder="1" applyAlignment="1">
      <alignment horizontal="center" vertical="center" wrapText="1"/>
    </xf>
    <xf numFmtId="0" fontId="103" fillId="2" borderId="87" xfId="75" applyFont="1" applyFill="1" applyBorder="1" applyAlignment="1">
      <alignment horizontal="center" vertical="center"/>
    </xf>
    <xf numFmtId="0" fontId="52" fillId="9" borderId="13" xfId="75" applyFont="1" applyFill="1" applyBorder="1" applyAlignment="1">
      <alignment horizontal="center" vertical="center" wrapText="1"/>
    </xf>
    <xf numFmtId="0" fontId="103" fillId="0" borderId="87" xfId="75" applyFont="1" applyBorder="1" applyAlignment="1">
      <alignment horizontal="center" vertical="center"/>
    </xf>
    <xf numFmtId="0" fontId="52" fillId="9" borderId="13" xfId="78" applyFont="1" applyFill="1" applyBorder="1" applyAlignment="1">
      <alignment horizontal="center" vertical="center" wrapText="1"/>
    </xf>
    <xf numFmtId="0" fontId="52" fillId="9" borderId="14" xfId="78" applyFont="1" applyFill="1" applyBorder="1" applyAlignment="1">
      <alignment horizontal="center" vertical="center" wrapText="1"/>
    </xf>
    <xf numFmtId="0" fontId="23" fillId="0" borderId="62" xfId="78" applyBorder="1" applyAlignment="1">
      <alignment horizontal="left" wrapText="1"/>
    </xf>
    <xf numFmtId="0" fontId="103" fillId="0" borderId="22" xfId="78" applyFont="1" applyBorder="1" applyAlignment="1">
      <alignment horizontal="center" vertical="center" wrapText="1"/>
    </xf>
    <xf numFmtId="0" fontId="103" fillId="2" borderId="0" xfId="78" applyFont="1" applyFill="1" applyAlignment="1">
      <alignment horizontal="center" vertical="center"/>
    </xf>
    <xf numFmtId="0" fontId="52" fillId="9" borderId="32" xfId="78" applyFont="1" applyFill="1" applyBorder="1" applyAlignment="1">
      <alignment horizontal="center" vertical="center"/>
    </xf>
    <xf numFmtId="0" fontId="52" fillId="9" borderId="33" xfId="78" applyFont="1" applyFill="1" applyBorder="1" applyAlignment="1">
      <alignment horizontal="center" vertical="center"/>
    </xf>
    <xf numFmtId="0" fontId="52" fillId="9" borderId="24" xfId="78" applyFont="1" applyFill="1" applyBorder="1"/>
    <xf numFmtId="0" fontId="52" fillId="9" borderId="49" xfId="78" applyFont="1" applyFill="1" applyBorder="1" applyAlignment="1">
      <alignment horizontal="center" vertical="center"/>
    </xf>
    <xf numFmtId="0" fontId="103" fillId="0" borderId="22" xfId="78" applyFont="1" applyBorder="1" applyAlignment="1">
      <alignment horizontal="center" vertical="center"/>
    </xf>
    <xf numFmtId="0" fontId="67" fillId="9" borderId="27" xfId="78" applyFont="1" applyFill="1" applyBorder="1" applyAlignment="1">
      <alignment horizontal="left" vertical="top" wrapText="1"/>
    </xf>
    <xf numFmtId="0" fontId="60" fillId="2" borderId="0" xfId="30" applyFont="1" applyFill="1"/>
    <xf numFmtId="0" fontId="19" fillId="0" borderId="22" xfId="78" applyFont="1" applyBorder="1"/>
    <xf numFmtId="0" fontId="72" fillId="0" borderId="0" xfId="30" applyFont="1"/>
    <xf numFmtId="0" fontId="52" fillId="9" borderId="63" xfId="78" applyFont="1" applyFill="1" applyBorder="1" applyAlignment="1">
      <alignment horizontal="center" vertical="center"/>
    </xf>
    <xf numFmtId="0" fontId="18" fillId="2" borderId="0" xfId="78" applyFont="1" applyFill="1"/>
    <xf numFmtId="0" fontId="18" fillId="41" borderId="22" xfId="78" applyFont="1" applyFill="1" applyBorder="1"/>
    <xf numFmtId="0" fontId="18" fillId="0" borderId="0" xfId="78" applyFont="1"/>
    <xf numFmtId="2" fontId="18" fillId="0" borderId="17" xfId="78" applyNumberFormat="1" applyFont="1" applyBorder="1"/>
    <xf numFmtId="2" fontId="18" fillId="0" borderId="21" xfId="78" applyNumberFormat="1" applyFont="1" applyBorder="1"/>
    <xf numFmtId="3" fontId="18" fillId="2" borderId="22" xfId="78" applyNumberFormat="1" applyFont="1" applyFill="1" applyBorder="1"/>
    <xf numFmtId="2" fontId="18" fillId="0" borderId="22" xfId="78" applyNumberFormat="1" applyFont="1" applyBorder="1"/>
    <xf numFmtId="2" fontId="18" fillId="0" borderId="31" xfId="78" applyNumberFormat="1" applyFont="1" applyBorder="1"/>
    <xf numFmtId="3" fontId="18" fillId="0" borderId="49" xfId="78" applyNumberFormat="1" applyFont="1" applyBorder="1"/>
    <xf numFmtId="2" fontId="18" fillId="0" borderId="19" xfId="78" applyNumberFormat="1" applyFont="1" applyBorder="1"/>
    <xf numFmtId="1" fontId="18" fillId="0" borderId="41" xfId="78" applyNumberFormat="1" applyFont="1" applyBorder="1"/>
    <xf numFmtId="2" fontId="18" fillId="41" borderId="42" xfId="78" applyNumberFormat="1" applyFont="1" applyFill="1" applyBorder="1"/>
    <xf numFmtId="1" fontId="18" fillId="2" borderId="41" xfId="78" applyNumberFormat="1" applyFont="1" applyFill="1" applyBorder="1"/>
    <xf numFmtId="0" fontId="18" fillId="9" borderId="0" xfId="36" applyFont="1" applyFill="1"/>
    <xf numFmtId="0" fontId="18" fillId="2" borderId="0" xfId="36" applyFont="1" applyFill="1"/>
    <xf numFmtId="0" fontId="18" fillId="41" borderId="87" xfId="36" applyFont="1" applyFill="1" applyBorder="1"/>
    <xf numFmtId="0" fontId="18" fillId="0" borderId="0" xfId="36" applyFont="1"/>
    <xf numFmtId="3" fontId="18" fillId="2" borderId="0" xfId="36" applyNumberFormat="1" applyFont="1" applyFill="1"/>
    <xf numFmtId="0" fontId="18" fillId="0" borderId="81" xfId="36" applyFont="1" applyBorder="1"/>
    <xf numFmtId="2" fontId="18" fillId="0" borderId="65" xfId="36" applyNumberFormat="1" applyFont="1" applyBorder="1"/>
    <xf numFmtId="4" fontId="18" fillId="41" borderId="19" xfId="36" applyNumberFormat="1" applyFont="1" applyFill="1" applyBorder="1"/>
    <xf numFmtId="4" fontId="18" fillId="2" borderId="0" xfId="36" applyNumberFormat="1" applyFont="1" applyFill="1"/>
    <xf numFmtId="0" fontId="18" fillId="0" borderId="102" xfId="36" applyFont="1" applyBorder="1"/>
    <xf numFmtId="3" fontId="18" fillId="0" borderId="94" xfId="36" applyNumberFormat="1" applyFont="1" applyBorder="1"/>
    <xf numFmtId="2" fontId="18" fillId="2" borderId="0" xfId="36" applyNumberFormat="1" applyFont="1" applyFill="1"/>
    <xf numFmtId="0" fontId="18" fillId="0" borderId="57" xfId="36" applyFont="1" applyBorder="1"/>
    <xf numFmtId="4" fontId="18" fillId="41" borderId="33" xfId="36" applyNumberFormat="1" applyFont="1" applyFill="1" applyBorder="1"/>
    <xf numFmtId="3" fontId="18" fillId="0" borderId="65" xfId="36" applyNumberFormat="1" applyFont="1" applyBorder="1"/>
    <xf numFmtId="4" fontId="18" fillId="41" borderId="65" xfId="36" applyNumberFormat="1" applyFont="1" applyFill="1" applyBorder="1"/>
    <xf numFmtId="3" fontId="18" fillId="0" borderId="66" xfId="36" applyNumberFormat="1" applyFont="1" applyBorder="1"/>
    <xf numFmtId="2" fontId="18" fillId="0" borderId="66" xfId="36" applyNumberFormat="1" applyFont="1" applyBorder="1"/>
    <xf numFmtId="4" fontId="18" fillId="41" borderId="66" xfId="36" applyNumberFormat="1" applyFont="1" applyFill="1" applyBorder="1"/>
    <xf numFmtId="0" fontId="18" fillId="2" borderId="0" xfId="36" applyFont="1" applyFill="1" applyAlignment="1">
      <alignment horizontal="left"/>
    </xf>
    <xf numFmtId="0" fontId="18" fillId="2" borderId="0" xfId="36" applyFont="1" applyFill="1" applyAlignment="1">
      <alignment horizontal="center"/>
    </xf>
    <xf numFmtId="2" fontId="18" fillId="2" borderId="0" xfId="36" applyNumberFormat="1" applyFont="1" applyFill="1" applyAlignment="1">
      <alignment horizontal="center"/>
    </xf>
    <xf numFmtId="3" fontId="18" fillId="2" borderId="14" xfId="36" applyNumberFormat="1" applyFont="1" applyFill="1" applyBorder="1" applyAlignment="1">
      <alignment horizontal="center" vertical="center"/>
    </xf>
    <xf numFmtId="0" fontId="18" fillId="0" borderId="69" xfId="36" applyFont="1" applyBorder="1"/>
    <xf numFmtId="0" fontId="18" fillId="0" borderId="62" xfId="36" applyFont="1" applyBorder="1"/>
    <xf numFmtId="4" fontId="18" fillId="0" borderId="64" xfId="36" applyNumberFormat="1" applyFont="1" applyBorder="1"/>
    <xf numFmtId="2" fontId="18" fillId="0" borderId="64" xfId="36" applyNumberFormat="1" applyFont="1" applyBorder="1"/>
    <xf numFmtId="3" fontId="18" fillId="0" borderId="64" xfId="36" applyNumberFormat="1" applyFont="1" applyBorder="1"/>
    <xf numFmtId="0" fontId="18" fillId="0" borderId="64" xfId="36" applyFont="1" applyBorder="1" applyAlignment="1">
      <alignment horizontal="center"/>
    </xf>
    <xf numFmtId="0" fontId="18" fillId="0" borderId="64" xfId="36" applyFont="1" applyBorder="1"/>
    <xf numFmtId="3" fontId="18" fillId="42" borderId="20" xfId="36" applyNumberFormat="1" applyFont="1" applyFill="1" applyBorder="1"/>
    <xf numFmtId="4" fontId="18" fillId="0" borderId="39" xfId="36" applyNumberFormat="1" applyFont="1" applyBorder="1"/>
    <xf numFmtId="3" fontId="18" fillId="0" borderId="87" xfId="36" applyNumberFormat="1" applyFont="1" applyBorder="1"/>
    <xf numFmtId="3" fontId="18" fillId="42" borderId="100" xfId="36" applyNumberFormat="1" applyFont="1" applyFill="1" applyBorder="1"/>
    <xf numFmtId="4" fontId="18" fillId="0" borderId="108" xfId="36" applyNumberFormat="1" applyFont="1" applyBorder="1"/>
    <xf numFmtId="3" fontId="18" fillId="42" borderId="100" xfId="36" applyNumberFormat="1" applyFont="1" applyFill="1" applyBorder="1" applyAlignment="1">
      <alignment horizontal="right"/>
    </xf>
    <xf numFmtId="4" fontId="18" fillId="0" borderId="108" xfId="36" applyNumberFormat="1" applyFont="1" applyBorder="1" applyAlignment="1">
      <alignment horizontal="right"/>
    </xf>
    <xf numFmtId="0" fontId="18" fillId="0" borderId="31" xfId="36" applyFont="1" applyBorder="1"/>
    <xf numFmtId="3" fontId="18" fillId="42" borderId="30" xfId="36" applyNumberFormat="1" applyFont="1" applyFill="1" applyBorder="1"/>
    <xf numFmtId="0" fontId="18" fillId="9" borderId="4" xfId="36" applyFont="1" applyFill="1" applyBorder="1"/>
    <xf numFmtId="3" fontId="18" fillId="0" borderId="74" xfId="36" applyNumberFormat="1" applyFont="1" applyBorder="1"/>
    <xf numFmtId="4" fontId="18" fillId="9" borderId="39" xfId="36" applyNumberFormat="1" applyFont="1" applyFill="1" applyBorder="1"/>
    <xf numFmtId="4" fontId="18" fillId="9" borderId="5" xfId="36" applyNumberFormat="1" applyFont="1" applyFill="1" applyBorder="1"/>
    <xf numFmtId="0" fontId="230" fillId="2" borderId="0" xfId="36" applyFont="1" applyFill="1"/>
    <xf numFmtId="0" fontId="18" fillId="9" borderId="6" xfId="36" applyFont="1" applyFill="1" applyBorder="1"/>
    <xf numFmtId="0" fontId="18" fillId="9" borderId="7" xfId="36" applyFont="1" applyFill="1" applyBorder="1"/>
    <xf numFmtId="3" fontId="18" fillId="0" borderId="44" xfId="36" applyNumberFormat="1" applyFont="1" applyBorder="1"/>
    <xf numFmtId="4" fontId="18" fillId="9" borderId="8" xfId="36" applyNumberFormat="1" applyFont="1" applyFill="1" applyBorder="1"/>
    <xf numFmtId="3" fontId="18" fillId="0" borderId="81" xfId="36" applyNumberFormat="1" applyFont="1" applyBorder="1"/>
    <xf numFmtId="3" fontId="18" fillId="0" borderId="19" xfId="36" applyNumberFormat="1" applyFont="1" applyBorder="1"/>
    <xf numFmtId="3" fontId="18" fillId="0" borderId="102" xfId="36" applyNumberFormat="1" applyFont="1" applyBorder="1"/>
    <xf numFmtId="3" fontId="18" fillId="0" borderId="104" xfId="36" applyNumberFormat="1" applyFont="1" applyBorder="1"/>
    <xf numFmtId="3" fontId="18" fillId="0" borderId="107" xfId="36" applyNumberFormat="1" applyFont="1" applyBorder="1"/>
    <xf numFmtId="3" fontId="18" fillId="0" borderId="10" xfId="36" applyNumberFormat="1" applyFont="1" applyBorder="1" applyAlignment="1">
      <alignment horizontal="left"/>
    </xf>
    <xf numFmtId="3" fontId="18" fillId="0" borderId="16" xfId="36" applyNumberFormat="1" applyFont="1" applyBorder="1"/>
    <xf numFmtId="3" fontId="18" fillId="0" borderId="10" xfId="36" applyNumberFormat="1" applyFont="1" applyBorder="1"/>
    <xf numFmtId="3" fontId="18" fillId="42" borderId="14" xfId="36" applyNumberFormat="1" applyFont="1" applyFill="1" applyBorder="1"/>
    <xf numFmtId="167" fontId="18" fillId="2" borderId="0" xfId="36" applyNumberFormat="1" applyFont="1" applyFill="1"/>
    <xf numFmtId="0" fontId="18" fillId="0" borderId="6" xfId="36" applyFont="1" applyBorder="1" applyAlignment="1">
      <alignment horizontal="left" vertical="center" wrapText="1"/>
    </xf>
    <xf numFmtId="3" fontId="18" fillId="0" borderId="46" xfId="36" applyNumberFormat="1" applyFont="1" applyBorder="1"/>
    <xf numFmtId="3" fontId="18" fillId="2" borderId="0" xfId="36" applyNumberFormat="1" applyFont="1" applyFill="1" applyAlignment="1">
      <alignment vertical="center"/>
    </xf>
    <xf numFmtId="0" fontId="18" fillId="0" borderId="81" xfId="36" applyFont="1" applyBorder="1" applyAlignment="1">
      <alignment horizontal="left" vertical="center" wrapText="1"/>
    </xf>
    <xf numFmtId="0" fontId="18" fillId="0" borderId="106" xfId="36" applyFont="1" applyBorder="1" applyAlignment="1">
      <alignment horizontal="left" vertical="center" wrapText="1"/>
    </xf>
    <xf numFmtId="0" fontId="18" fillId="2" borderId="0" xfId="36" applyFont="1" applyFill="1" applyAlignment="1">
      <alignment wrapText="1"/>
    </xf>
    <xf numFmtId="10" fontId="18" fillId="0" borderId="65" xfId="36" applyNumberFormat="1" applyFont="1" applyBorder="1"/>
    <xf numFmtId="0" fontId="18" fillId="0" borderId="102" xfId="36" applyFont="1" applyBorder="1" applyAlignment="1">
      <alignment horizontal="left" vertical="center" wrapText="1"/>
    </xf>
    <xf numFmtId="10" fontId="18" fillId="0" borderId="94" xfId="36" applyNumberFormat="1" applyFont="1" applyBorder="1"/>
    <xf numFmtId="0" fontId="18" fillId="0" borderId="57" xfId="36" applyFont="1" applyBorder="1" applyAlignment="1">
      <alignment horizontal="left" vertical="center" wrapText="1"/>
    </xf>
    <xf numFmtId="3" fontId="18" fillId="0" borderId="33" xfId="36" applyNumberFormat="1" applyFont="1" applyBorder="1"/>
    <xf numFmtId="185" fontId="18" fillId="2" borderId="0" xfId="36" applyNumberFormat="1" applyFont="1" applyFill="1"/>
    <xf numFmtId="4" fontId="18" fillId="0" borderId="16" xfId="36" applyNumberFormat="1" applyFont="1" applyBorder="1"/>
    <xf numFmtId="0" fontId="18" fillId="9" borderId="0" xfId="75" applyFont="1" applyFill="1"/>
    <xf numFmtId="0" fontId="18" fillId="2" borderId="0" xfId="75" applyFont="1" applyFill="1"/>
    <xf numFmtId="0" fontId="18" fillId="41" borderId="87" xfId="75" applyFont="1" applyFill="1" applyBorder="1"/>
    <xf numFmtId="0" fontId="18" fillId="9" borderId="87" xfId="75" applyFont="1" applyFill="1" applyBorder="1" applyAlignment="1">
      <alignment vertical="center"/>
    </xf>
    <xf numFmtId="0" fontId="18" fillId="9" borderId="93" xfId="75" applyFont="1" applyFill="1" applyBorder="1"/>
    <xf numFmtId="0" fontId="18" fillId="9" borderId="0" xfId="78" applyFont="1" applyFill="1"/>
    <xf numFmtId="0" fontId="18" fillId="2" borderId="0" xfId="78" applyFont="1" applyFill="1" applyAlignment="1">
      <alignment horizontal="center" vertical="center" wrapText="1"/>
    </xf>
    <xf numFmtId="0" fontId="18" fillId="2" borderId="1" xfId="78" applyFont="1" applyFill="1" applyBorder="1"/>
    <xf numFmtId="0" fontId="18" fillId="2" borderId="14" xfId="78" applyFont="1" applyFill="1" applyBorder="1"/>
    <xf numFmtId="0" fontId="18" fillId="2" borderId="17" xfId="78" applyFont="1" applyFill="1" applyBorder="1"/>
    <xf numFmtId="0" fontId="18" fillId="2" borderId="19" xfId="78" applyFont="1" applyFill="1" applyBorder="1"/>
    <xf numFmtId="0" fontId="18" fillId="2" borderId="31" xfId="78" applyFont="1" applyFill="1" applyBorder="1"/>
    <xf numFmtId="0" fontId="18" fillId="2" borderId="33" xfId="78" applyFont="1" applyFill="1" applyBorder="1"/>
    <xf numFmtId="0" fontId="18" fillId="0" borderId="0" xfId="78" applyFont="1" applyAlignment="1">
      <alignment horizontal="center"/>
    </xf>
    <xf numFmtId="4" fontId="18" fillId="0" borderId="81" xfId="78" applyNumberFormat="1" applyFont="1" applyBorder="1"/>
    <xf numFmtId="4" fontId="18" fillId="0" borderId="17" xfId="78" applyNumberFormat="1" applyFont="1" applyBorder="1" applyAlignment="1">
      <alignment horizontal="right"/>
    </xf>
    <xf numFmtId="4" fontId="18" fillId="0" borderId="18" xfId="78" applyNumberFormat="1" applyFont="1" applyBorder="1" applyAlignment="1">
      <alignment horizontal="right"/>
    </xf>
    <xf numFmtId="4" fontId="18" fillId="0" borderId="19" xfId="78" applyNumberFormat="1" applyFont="1" applyBorder="1" applyAlignment="1">
      <alignment horizontal="right"/>
    </xf>
    <xf numFmtId="4" fontId="18" fillId="9" borderId="62" xfId="78" applyNumberFormat="1" applyFont="1" applyFill="1" applyBorder="1" applyAlignment="1">
      <alignment horizontal="right"/>
    </xf>
    <xf numFmtId="4" fontId="18" fillId="9" borderId="64" xfId="78" applyNumberFormat="1" applyFont="1" applyFill="1" applyBorder="1" applyAlignment="1">
      <alignment horizontal="right"/>
    </xf>
    <xf numFmtId="4" fontId="18" fillId="9" borderId="72" xfId="78" applyNumberFormat="1" applyFont="1" applyFill="1" applyBorder="1" applyAlignment="1">
      <alignment horizontal="right"/>
    </xf>
    <xf numFmtId="4" fontId="18" fillId="9" borderId="63" xfId="78" applyNumberFormat="1" applyFont="1" applyFill="1" applyBorder="1" applyAlignment="1">
      <alignment horizontal="right"/>
    </xf>
    <xf numFmtId="4" fontId="18" fillId="9" borderId="70" xfId="78" applyNumberFormat="1" applyFont="1" applyFill="1" applyBorder="1" applyAlignment="1">
      <alignment horizontal="right"/>
    </xf>
    <xf numFmtId="4" fontId="18" fillId="0" borderId="0" xfId="78" applyNumberFormat="1" applyFont="1"/>
    <xf numFmtId="4" fontId="18" fillId="0" borderId="56" xfId="78" applyNumberFormat="1" applyFont="1" applyBorder="1"/>
    <xf numFmtId="4" fontId="18" fillId="0" borderId="22" xfId="78" applyNumberFormat="1" applyFont="1" applyBorder="1" applyAlignment="1">
      <alignment horizontal="right"/>
    </xf>
    <xf numFmtId="4" fontId="18" fillId="0" borderId="23" xfId="78" applyNumberFormat="1" applyFont="1" applyBorder="1" applyAlignment="1">
      <alignment horizontal="right"/>
    </xf>
    <xf numFmtId="3" fontId="18" fillId="0" borderId="22" xfId="78" applyNumberFormat="1" applyFont="1" applyBorder="1" applyAlignment="1">
      <alignment horizontal="right"/>
    </xf>
    <xf numFmtId="167" fontId="18" fillId="0" borderId="55" xfId="78" applyNumberFormat="1" applyFont="1" applyBorder="1" applyAlignment="1">
      <alignment horizontal="right"/>
    </xf>
    <xf numFmtId="167" fontId="18" fillId="0" borderId="21" xfId="78" applyNumberFormat="1" applyFont="1" applyBorder="1" applyAlignment="1">
      <alignment horizontal="right"/>
    </xf>
    <xf numFmtId="167" fontId="18" fillId="0" borderId="23" xfId="78" applyNumberFormat="1" applyFont="1" applyBorder="1" applyAlignment="1">
      <alignment horizontal="right"/>
    </xf>
    <xf numFmtId="3" fontId="18" fillId="0" borderId="47" xfId="78" applyNumberFormat="1" applyFont="1" applyBorder="1" applyAlignment="1">
      <alignment horizontal="right"/>
    </xf>
    <xf numFmtId="4" fontId="18" fillId="0" borderId="21" xfId="78" applyNumberFormat="1" applyFont="1" applyBorder="1" applyAlignment="1">
      <alignment horizontal="right"/>
    </xf>
    <xf numFmtId="4" fontId="18" fillId="41" borderId="21" xfId="78" applyNumberFormat="1" applyFont="1" applyFill="1" applyBorder="1" applyAlignment="1">
      <alignment horizontal="right"/>
    </xf>
    <xf numFmtId="4" fontId="18" fillId="41" borderId="22" xfId="78" applyNumberFormat="1" applyFont="1" applyFill="1" applyBorder="1" applyAlignment="1">
      <alignment horizontal="right"/>
    </xf>
    <xf numFmtId="4" fontId="18" fillId="41" borderId="23" xfId="78" applyNumberFormat="1" applyFont="1" applyFill="1" applyBorder="1" applyAlignment="1">
      <alignment horizontal="right"/>
    </xf>
    <xf numFmtId="3" fontId="18" fillId="9" borderId="21" xfId="78" applyNumberFormat="1" applyFont="1" applyFill="1" applyBorder="1" applyAlignment="1">
      <alignment horizontal="right"/>
    </xf>
    <xf numFmtId="3" fontId="18" fillId="9" borderId="22" xfId="78" applyNumberFormat="1" applyFont="1" applyFill="1" applyBorder="1" applyAlignment="1">
      <alignment horizontal="right"/>
    </xf>
    <xf numFmtId="3" fontId="18" fillId="9" borderId="55" xfId="78" applyNumberFormat="1" applyFont="1" applyFill="1" applyBorder="1" applyAlignment="1">
      <alignment horizontal="right"/>
    </xf>
    <xf numFmtId="3" fontId="18" fillId="9" borderId="23" xfId="78" applyNumberFormat="1" applyFont="1" applyFill="1" applyBorder="1" applyAlignment="1">
      <alignment horizontal="right"/>
    </xf>
    <xf numFmtId="3" fontId="18" fillId="9" borderId="47" xfId="78" applyNumberFormat="1" applyFont="1" applyFill="1" applyBorder="1" applyAlignment="1">
      <alignment horizontal="right"/>
    </xf>
    <xf numFmtId="4" fontId="18" fillId="0" borderId="56" xfId="78" applyNumberFormat="1" applyFont="1" applyBorder="1" applyAlignment="1">
      <alignment horizontal="left" indent="2"/>
    </xf>
    <xf numFmtId="3" fontId="18" fillId="0" borderId="21" xfId="78" applyNumberFormat="1" applyFont="1" applyBorder="1" applyAlignment="1">
      <alignment horizontal="right"/>
    </xf>
    <xf numFmtId="3" fontId="18" fillId="0" borderId="55" xfId="78" applyNumberFormat="1" applyFont="1" applyBorder="1" applyAlignment="1">
      <alignment horizontal="right"/>
    </xf>
    <xf numFmtId="3" fontId="18" fillId="0" borderId="23" xfId="78" applyNumberFormat="1" applyFont="1" applyBorder="1" applyAlignment="1">
      <alignment horizontal="right"/>
    </xf>
    <xf numFmtId="4" fontId="18" fillId="0" borderId="57" xfId="78" applyNumberFormat="1" applyFont="1" applyBorder="1" applyAlignment="1">
      <alignment horizontal="left" indent="2"/>
    </xf>
    <xf numFmtId="4" fontId="18" fillId="0" borderId="32" xfId="78" applyNumberFormat="1" applyFont="1" applyBorder="1" applyAlignment="1">
      <alignment horizontal="right"/>
    </xf>
    <xf numFmtId="4" fontId="18" fillId="0" borderId="33" xfId="78" applyNumberFormat="1" applyFont="1" applyBorder="1" applyAlignment="1">
      <alignment horizontal="right"/>
    </xf>
    <xf numFmtId="3" fontId="18" fillId="0" borderId="31" xfId="78" applyNumberFormat="1" applyFont="1" applyBorder="1" applyAlignment="1">
      <alignment horizontal="right"/>
    </xf>
    <xf numFmtId="3" fontId="18" fillId="0" borderId="32" xfId="78" applyNumberFormat="1" applyFont="1" applyBorder="1" applyAlignment="1">
      <alignment horizontal="right"/>
    </xf>
    <xf numFmtId="3" fontId="18" fillId="0" borderId="66" xfId="78" applyNumberFormat="1" applyFont="1" applyBorder="1" applyAlignment="1">
      <alignment horizontal="right"/>
    </xf>
    <xf numFmtId="3" fontId="18" fillId="0" borderId="33" xfId="78" applyNumberFormat="1" applyFont="1" applyBorder="1" applyAlignment="1">
      <alignment horizontal="right"/>
    </xf>
    <xf numFmtId="3" fontId="18" fillId="0" borderId="49" xfId="78" applyNumberFormat="1" applyFont="1" applyBorder="1" applyAlignment="1">
      <alignment horizontal="right"/>
    </xf>
    <xf numFmtId="4" fontId="18" fillId="0" borderId="31" xfId="78" applyNumberFormat="1" applyFont="1" applyBorder="1" applyAlignment="1">
      <alignment horizontal="right"/>
    </xf>
    <xf numFmtId="0" fontId="18" fillId="0" borderId="0" xfId="78" applyFont="1" applyAlignment="1">
      <alignment horizontal="left" indent="2"/>
    </xf>
    <xf numFmtId="0" fontId="18" fillId="2" borderId="43" xfId="78" applyFont="1" applyFill="1" applyBorder="1"/>
    <xf numFmtId="164" fontId="92" fillId="0" borderId="0" xfId="81" applyFont="1"/>
    <xf numFmtId="164" fontId="92" fillId="41" borderId="22" xfId="81" applyFont="1" applyFill="1" applyBorder="1"/>
    <xf numFmtId="164" fontId="92" fillId="13" borderId="52" xfId="81" applyFont="1" applyFill="1" applyBorder="1" applyAlignment="1">
      <alignment horizontal="right"/>
    </xf>
    <xf numFmtId="164" fontId="92" fillId="13" borderId="58" xfId="81" applyFont="1" applyFill="1" applyBorder="1" applyAlignment="1">
      <alignment horizontal="right"/>
    </xf>
    <xf numFmtId="164" fontId="92" fillId="13" borderId="59" xfId="81" applyFont="1" applyFill="1" applyBorder="1" applyAlignment="1">
      <alignment horizontal="right"/>
    </xf>
    <xf numFmtId="164" fontId="92" fillId="13" borderId="3" xfId="81" applyFont="1" applyFill="1" applyBorder="1" applyAlignment="1">
      <alignment horizontal="right"/>
    </xf>
    <xf numFmtId="164" fontId="92" fillId="13" borderId="53" xfId="81" applyFont="1" applyFill="1" applyBorder="1" applyAlignment="1">
      <alignment horizontal="right"/>
    </xf>
    <xf numFmtId="164" fontId="92" fillId="13" borderId="54" xfId="81" applyFont="1" applyFill="1" applyBorder="1" applyAlignment="1">
      <alignment horizontal="right"/>
    </xf>
    <xf numFmtId="164" fontId="92" fillId="13" borderId="60" xfId="81" applyFont="1" applyFill="1" applyBorder="1" applyAlignment="1">
      <alignment horizontal="right"/>
    </xf>
    <xf numFmtId="164" fontId="92" fillId="0" borderId="74" xfId="81" applyFont="1" applyBorder="1" applyAlignment="1">
      <alignment horizontal="right"/>
    </xf>
    <xf numFmtId="164" fontId="92" fillId="0" borderId="74" xfId="81" applyFont="1" applyBorder="1"/>
    <xf numFmtId="164" fontId="81" fillId="2" borderId="1" xfId="81" applyFont="1" applyFill="1" applyBorder="1" applyAlignment="1">
      <alignment horizontal="right"/>
    </xf>
    <xf numFmtId="164" fontId="81" fillId="2" borderId="15" xfId="81" applyFont="1" applyFill="1" applyBorder="1" applyAlignment="1">
      <alignment horizontal="right"/>
    </xf>
    <xf numFmtId="164" fontId="81" fillId="2" borderId="12" xfId="81" applyFont="1" applyFill="1" applyBorder="1" applyAlignment="1">
      <alignment horizontal="right"/>
    </xf>
    <xf numFmtId="164" fontId="81" fillId="2" borderId="10" xfId="81" applyFont="1" applyFill="1" applyBorder="1" applyAlignment="1">
      <alignment horizontal="right"/>
    </xf>
    <xf numFmtId="164" fontId="92" fillId="0" borderId="1" xfId="81" applyFont="1" applyBorder="1" applyAlignment="1">
      <alignment horizontal="right"/>
    </xf>
    <xf numFmtId="164" fontId="92" fillId="0" borderId="13" xfId="81" applyFont="1" applyBorder="1" applyAlignment="1">
      <alignment horizontal="right"/>
    </xf>
    <xf numFmtId="164" fontId="92" fillId="0" borderId="14" xfId="81" applyFont="1" applyBorder="1" applyAlignment="1">
      <alignment horizontal="right"/>
    </xf>
    <xf numFmtId="164" fontId="92" fillId="0" borderId="10" xfId="81" applyFont="1" applyBorder="1" applyAlignment="1">
      <alignment horizontal="right"/>
    </xf>
    <xf numFmtId="164" fontId="92" fillId="41" borderId="11" xfId="81" applyFont="1" applyFill="1" applyBorder="1" applyAlignment="1">
      <alignment horizontal="right"/>
    </xf>
    <xf numFmtId="164" fontId="92" fillId="41" borderId="11" xfId="81" applyFont="1" applyFill="1" applyBorder="1"/>
    <xf numFmtId="164" fontId="92" fillId="0" borderId="18" xfId="81" applyFont="1" applyFill="1" applyBorder="1" applyAlignment="1">
      <alignment horizontal="right"/>
    </xf>
    <xf numFmtId="164" fontId="18" fillId="13" borderId="17" xfId="81" applyFont="1" applyFill="1" applyBorder="1" applyAlignment="1">
      <alignment horizontal="right"/>
    </xf>
    <xf numFmtId="164" fontId="18" fillId="13" borderId="50" xfId="81" applyFont="1" applyFill="1" applyBorder="1" applyAlignment="1">
      <alignment horizontal="right"/>
    </xf>
    <xf numFmtId="164" fontId="18" fillId="13" borderId="78" xfId="81" applyFont="1" applyFill="1" applyBorder="1" applyAlignment="1">
      <alignment horizontal="right"/>
    </xf>
    <xf numFmtId="164" fontId="18" fillId="13" borderId="43" xfId="81" applyFont="1" applyFill="1" applyBorder="1" applyAlignment="1">
      <alignment horizontal="right"/>
    </xf>
    <xf numFmtId="164" fontId="92" fillId="13" borderId="17" xfId="81" applyFont="1" applyFill="1" applyBorder="1" applyAlignment="1">
      <alignment horizontal="right"/>
    </xf>
    <xf numFmtId="164" fontId="92" fillId="13" borderId="18" xfId="81" applyFont="1" applyFill="1" applyBorder="1" applyAlignment="1">
      <alignment horizontal="right"/>
    </xf>
    <xf numFmtId="164" fontId="92" fillId="13" borderId="19" xfId="81" applyFont="1" applyFill="1" applyBorder="1" applyAlignment="1">
      <alignment horizontal="right"/>
    </xf>
    <xf numFmtId="164" fontId="92" fillId="13" borderId="43" xfId="81" applyFont="1" applyFill="1" applyBorder="1" applyAlignment="1">
      <alignment horizontal="right"/>
    </xf>
    <xf numFmtId="164" fontId="92" fillId="41" borderId="51" xfId="81" applyFont="1" applyFill="1" applyBorder="1" applyAlignment="1">
      <alignment horizontal="right"/>
    </xf>
    <xf numFmtId="164" fontId="92" fillId="0" borderId="23" xfId="81" applyFont="1" applyFill="1" applyBorder="1" applyAlignment="1">
      <alignment horizontal="right"/>
    </xf>
    <xf numFmtId="164" fontId="81" fillId="2" borderId="25" xfId="81" applyFont="1" applyFill="1" applyBorder="1" applyAlignment="1">
      <alignment horizontal="right"/>
    </xf>
    <xf numFmtId="164" fontId="81" fillId="2" borderId="36" xfId="81" applyFont="1" applyFill="1" applyBorder="1" applyAlignment="1">
      <alignment horizontal="right"/>
    </xf>
    <xf numFmtId="164" fontId="92" fillId="0" borderId="21" xfId="81" applyFont="1" applyBorder="1" applyAlignment="1">
      <alignment horizontal="right"/>
    </xf>
    <xf numFmtId="164" fontId="92" fillId="0" borderId="22" xfId="81" applyFont="1" applyBorder="1" applyAlignment="1">
      <alignment horizontal="right"/>
    </xf>
    <xf numFmtId="164" fontId="92" fillId="0" borderId="23" xfId="81" applyFont="1" applyBorder="1" applyAlignment="1">
      <alignment horizontal="right"/>
    </xf>
    <xf numFmtId="164" fontId="92" fillId="0" borderId="36" xfId="81" applyFont="1" applyBorder="1" applyAlignment="1">
      <alignment horizontal="right"/>
    </xf>
    <xf numFmtId="164" fontId="92" fillId="0" borderId="24" xfId="81" applyFont="1" applyBorder="1" applyAlignment="1">
      <alignment horizontal="right"/>
    </xf>
    <xf numFmtId="164" fontId="92" fillId="0" borderId="24" xfId="81" applyFont="1" applyBorder="1"/>
    <xf numFmtId="164" fontId="231" fillId="0" borderId="0" xfId="81" applyFont="1"/>
    <xf numFmtId="164" fontId="92" fillId="0" borderId="0" xfId="81" applyFont="1" applyFill="1"/>
    <xf numFmtId="164" fontId="18" fillId="0" borderId="21" xfId="81" applyFont="1" applyBorder="1" applyAlignment="1">
      <alignment horizontal="right"/>
    </xf>
    <xf numFmtId="164" fontId="18" fillId="0" borderId="47" xfId="81" applyFont="1" applyBorder="1" applyAlignment="1">
      <alignment horizontal="right"/>
    </xf>
    <xf numFmtId="164" fontId="18" fillId="0" borderId="25" xfId="81" applyFont="1" applyBorder="1" applyAlignment="1">
      <alignment horizontal="right"/>
    </xf>
    <xf numFmtId="164" fontId="18" fillId="0" borderId="36" xfId="81" applyFont="1" applyBorder="1" applyAlignment="1">
      <alignment horizontal="right"/>
    </xf>
    <xf numFmtId="164" fontId="18" fillId="0" borderId="22" xfId="81" applyFont="1" applyBorder="1" applyAlignment="1">
      <alignment horizontal="right"/>
    </xf>
    <xf numFmtId="164" fontId="18" fillId="0" borderId="23" xfId="81" applyFont="1" applyBorder="1" applyAlignment="1">
      <alignment horizontal="right"/>
    </xf>
    <xf numFmtId="164" fontId="92" fillId="0" borderId="33" xfId="81" applyFont="1" applyFill="1" applyBorder="1" applyAlignment="1">
      <alignment horizontal="right"/>
    </xf>
    <xf numFmtId="164" fontId="18" fillId="0" borderId="31" xfId="81" applyFont="1" applyBorder="1" applyAlignment="1">
      <alignment horizontal="right"/>
    </xf>
    <xf numFmtId="164" fontId="18" fillId="0" borderId="32" xfId="81" applyFont="1" applyBorder="1" applyAlignment="1">
      <alignment horizontal="right"/>
    </xf>
    <xf numFmtId="164" fontId="18" fillId="0" borderId="33" xfId="81" applyFont="1" applyBorder="1" applyAlignment="1">
      <alignment horizontal="right"/>
    </xf>
    <xf numFmtId="164" fontId="18" fillId="0" borderId="37" xfId="81" applyFont="1" applyBorder="1" applyAlignment="1">
      <alignment horizontal="right"/>
    </xf>
    <xf numFmtId="164" fontId="92" fillId="0" borderId="31" xfId="81" applyFont="1" applyBorder="1" applyAlignment="1">
      <alignment horizontal="right"/>
    </xf>
    <xf numFmtId="164" fontId="92" fillId="0" borderId="33" xfId="81" applyFont="1" applyBorder="1" applyAlignment="1">
      <alignment horizontal="right"/>
    </xf>
    <xf numFmtId="164" fontId="92" fillId="0" borderId="32" xfId="81" applyFont="1" applyBorder="1" applyAlignment="1">
      <alignment horizontal="right"/>
    </xf>
    <xf numFmtId="164" fontId="92" fillId="0" borderId="37" xfId="81" applyFont="1" applyBorder="1" applyAlignment="1">
      <alignment horizontal="right"/>
    </xf>
    <xf numFmtId="164" fontId="92" fillId="0" borderId="30" xfId="81" applyFont="1" applyBorder="1" applyAlignment="1">
      <alignment horizontal="right"/>
    </xf>
    <xf numFmtId="164" fontId="92" fillId="0" borderId="30" xfId="81" applyFont="1" applyBorder="1"/>
    <xf numFmtId="164" fontId="92" fillId="0" borderId="0" xfId="81" applyFont="1" applyBorder="1" applyAlignment="1">
      <alignment horizontal="left" indent="2"/>
    </xf>
    <xf numFmtId="164" fontId="92" fillId="2" borderId="0" xfId="81" applyFont="1" applyFill="1" applyBorder="1"/>
    <xf numFmtId="164" fontId="92" fillId="0" borderId="0" xfId="81" applyFont="1" applyFill="1" applyBorder="1"/>
    <xf numFmtId="164" fontId="92" fillId="13" borderId="1" xfId="81" applyFont="1" applyFill="1" applyBorder="1" applyAlignment="1">
      <alignment horizontal="right"/>
    </xf>
    <xf numFmtId="164" fontId="92" fillId="13" borderId="13" xfId="81" applyFont="1" applyFill="1" applyBorder="1" applyAlignment="1">
      <alignment horizontal="right"/>
    </xf>
    <xf numFmtId="164" fontId="92" fillId="13" borderId="14" xfId="81" applyFont="1" applyFill="1" applyBorder="1" applyAlignment="1">
      <alignment horizontal="right"/>
    </xf>
    <xf numFmtId="164" fontId="92" fillId="13" borderId="15" xfId="81" applyFont="1" applyFill="1" applyBorder="1" applyAlignment="1">
      <alignment horizontal="right"/>
    </xf>
    <xf numFmtId="164" fontId="92" fillId="13" borderId="16" xfId="81" applyFont="1" applyFill="1" applyBorder="1" applyAlignment="1">
      <alignment horizontal="right"/>
    </xf>
    <xf numFmtId="164" fontId="92" fillId="13" borderId="10" xfId="81" applyFont="1" applyFill="1" applyBorder="1" applyAlignment="1">
      <alignment horizontal="right"/>
    </xf>
    <xf numFmtId="164" fontId="92" fillId="0" borderId="11" xfId="81" applyFont="1" applyBorder="1" applyAlignment="1">
      <alignment horizontal="right"/>
    </xf>
    <xf numFmtId="164" fontId="92" fillId="0" borderId="11" xfId="81" applyFont="1" applyBorder="1"/>
    <xf numFmtId="164" fontId="92" fillId="0" borderId="40" xfId="81" applyFont="1" applyBorder="1" applyAlignment="1">
      <alignment horizontal="right"/>
    </xf>
    <xf numFmtId="164" fontId="92" fillId="0" borderId="41" xfId="81" applyFont="1" applyBorder="1" applyAlignment="1">
      <alignment horizontal="right"/>
    </xf>
    <xf numFmtId="164" fontId="92" fillId="0" borderId="42" xfId="81" applyFont="1" applyBorder="1" applyAlignment="1">
      <alignment horizontal="right"/>
    </xf>
    <xf numFmtId="164" fontId="92" fillId="0" borderId="7" xfId="81" applyFont="1" applyBorder="1" applyAlignment="1">
      <alignment horizontal="right"/>
    </xf>
    <xf numFmtId="164" fontId="92" fillId="41" borderId="44" xfId="81" applyFont="1" applyFill="1" applyBorder="1" applyAlignment="1">
      <alignment horizontal="right"/>
    </xf>
    <xf numFmtId="164" fontId="92" fillId="41" borderId="73" xfId="81" applyFont="1" applyFill="1" applyBorder="1"/>
    <xf numFmtId="164" fontId="92" fillId="13" borderId="62" xfId="81" applyFont="1" applyFill="1" applyBorder="1" applyAlignment="1">
      <alignment horizontal="right"/>
    </xf>
    <xf numFmtId="164" fontId="92" fillId="13" borderId="64" xfId="81" applyFont="1" applyFill="1" applyBorder="1" applyAlignment="1">
      <alignment horizontal="right"/>
    </xf>
    <xf numFmtId="164" fontId="92" fillId="13" borderId="63" xfId="81" applyFont="1" applyFill="1" applyBorder="1" applyAlignment="1">
      <alignment horizontal="right"/>
    </xf>
    <xf numFmtId="164" fontId="92" fillId="13" borderId="70" xfId="81" applyFont="1" applyFill="1" applyBorder="1" applyAlignment="1">
      <alignment horizontal="right"/>
    </xf>
    <xf numFmtId="164" fontId="92" fillId="13" borderId="72" xfId="81" applyFont="1" applyFill="1" applyBorder="1" applyAlignment="1">
      <alignment horizontal="right"/>
    </xf>
    <xf numFmtId="164" fontId="92" fillId="13" borderId="34" xfId="81" applyFont="1" applyFill="1" applyBorder="1" applyAlignment="1">
      <alignment horizontal="right"/>
    </xf>
    <xf numFmtId="164" fontId="92" fillId="41" borderId="20" xfId="81" applyFont="1" applyFill="1" applyBorder="1" applyAlignment="1">
      <alignment horizontal="right"/>
    </xf>
    <xf numFmtId="164" fontId="92" fillId="0" borderId="36" xfId="81" applyFont="1" applyFill="1" applyBorder="1" applyAlignment="1">
      <alignment horizontal="right"/>
    </xf>
    <xf numFmtId="164" fontId="92" fillId="0" borderId="24" xfId="81" applyFont="1" applyFill="1" applyBorder="1" applyAlignment="1">
      <alignment horizontal="right"/>
    </xf>
    <xf numFmtId="164" fontId="92" fillId="0" borderId="47" xfId="81" applyFont="1" applyBorder="1" applyAlignment="1">
      <alignment horizontal="right"/>
    </xf>
    <xf numFmtId="164" fontId="92" fillId="0" borderId="55" xfId="81" applyFont="1" applyBorder="1" applyAlignment="1">
      <alignment horizontal="right"/>
    </xf>
    <xf numFmtId="164" fontId="92" fillId="0" borderId="49" xfId="81" applyFont="1" applyBorder="1" applyAlignment="1">
      <alignment horizontal="right"/>
    </xf>
    <xf numFmtId="164" fontId="92" fillId="0" borderId="66" xfId="81" applyFont="1" applyBorder="1" applyAlignment="1">
      <alignment horizontal="right"/>
    </xf>
    <xf numFmtId="164" fontId="92" fillId="0" borderId="37" xfId="81" applyFont="1" applyFill="1" applyBorder="1" applyAlignment="1">
      <alignment horizontal="right"/>
    </xf>
    <xf numFmtId="164" fontId="92" fillId="0" borderId="30" xfId="81" applyFont="1" applyFill="1" applyBorder="1" applyAlignment="1">
      <alignment horizontal="right"/>
    </xf>
    <xf numFmtId="164" fontId="92" fillId="0" borderId="0" xfId="81" applyFont="1" applyBorder="1"/>
    <xf numFmtId="164" fontId="92" fillId="13" borderId="77" xfId="81" applyFont="1" applyFill="1" applyBorder="1" applyAlignment="1">
      <alignment horizontal="right"/>
    </xf>
    <xf numFmtId="164" fontId="92" fillId="0" borderId="74" xfId="81" applyFont="1" applyFill="1" applyBorder="1" applyAlignment="1">
      <alignment horizontal="right"/>
    </xf>
    <xf numFmtId="164" fontId="92" fillId="0" borderId="63" xfId="81" applyFont="1" applyFill="1" applyBorder="1" applyAlignment="1">
      <alignment horizontal="right"/>
    </xf>
    <xf numFmtId="164" fontId="92" fillId="0" borderId="70" xfId="81" applyFont="1" applyBorder="1" applyAlignment="1">
      <alignment horizontal="right"/>
    </xf>
    <xf numFmtId="164" fontId="92" fillId="0" borderId="64" xfId="81" applyFont="1" applyBorder="1" applyAlignment="1">
      <alignment horizontal="right"/>
    </xf>
    <xf numFmtId="164" fontId="92" fillId="0" borderId="72" xfId="81" applyFont="1" applyBorder="1" applyAlignment="1">
      <alignment horizontal="right"/>
    </xf>
    <xf numFmtId="164" fontId="92" fillId="0" borderId="20" xfId="81" applyFont="1" applyBorder="1" applyAlignment="1">
      <alignment horizontal="right"/>
    </xf>
    <xf numFmtId="164" fontId="92" fillId="0" borderId="63" xfId="81" applyFont="1" applyBorder="1" applyAlignment="1">
      <alignment horizontal="right"/>
    </xf>
    <xf numFmtId="164" fontId="92" fillId="0" borderId="70" xfId="81" applyFont="1" applyFill="1" applyBorder="1" applyAlignment="1">
      <alignment horizontal="right"/>
    </xf>
    <xf numFmtId="164" fontId="92" fillId="0" borderId="64" xfId="81" applyFont="1" applyFill="1" applyBorder="1" applyAlignment="1">
      <alignment horizontal="right"/>
    </xf>
    <xf numFmtId="164" fontId="92" fillId="9" borderId="70" xfId="81" applyFont="1" applyFill="1" applyBorder="1" applyAlignment="1">
      <alignment horizontal="right"/>
    </xf>
    <xf numFmtId="164" fontId="92" fillId="9" borderId="64" xfId="81" applyFont="1" applyFill="1" applyBorder="1" applyAlignment="1">
      <alignment horizontal="right"/>
    </xf>
    <xf numFmtId="164" fontId="92" fillId="2" borderId="63" xfId="81" applyFont="1" applyFill="1" applyBorder="1" applyAlignment="1">
      <alignment horizontal="right"/>
    </xf>
    <xf numFmtId="164" fontId="92" fillId="41" borderId="24" xfId="81" applyFont="1" applyFill="1" applyBorder="1" applyAlignment="1">
      <alignment horizontal="right"/>
    </xf>
    <xf numFmtId="164" fontId="92" fillId="41" borderId="24" xfId="81" applyFont="1" applyFill="1" applyBorder="1"/>
    <xf numFmtId="164" fontId="92" fillId="0" borderId="21" xfId="81" applyFont="1" applyFill="1" applyBorder="1" applyAlignment="1">
      <alignment horizontal="right"/>
    </xf>
    <xf numFmtId="164" fontId="92" fillId="0" borderId="22" xfId="81" applyFont="1" applyFill="1" applyBorder="1" applyAlignment="1">
      <alignment horizontal="right"/>
    </xf>
    <xf numFmtId="164" fontId="92" fillId="0" borderId="47" xfId="81" applyFont="1" applyFill="1" applyBorder="1" applyAlignment="1">
      <alignment horizontal="right"/>
    </xf>
    <xf numFmtId="164" fontId="92" fillId="9" borderId="47" xfId="81" applyFont="1" applyFill="1" applyBorder="1" applyAlignment="1">
      <alignment horizontal="right"/>
    </xf>
    <xf numFmtId="164" fontId="92" fillId="9" borderId="22" xfId="81" applyFont="1" applyFill="1" applyBorder="1" applyAlignment="1">
      <alignment horizontal="right"/>
    </xf>
    <xf numFmtId="164" fontId="92" fillId="2" borderId="23" xfId="81" applyFont="1" applyFill="1" applyBorder="1" applyAlignment="1">
      <alignment horizontal="right"/>
    </xf>
    <xf numFmtId="164" fontId="92" fillId="0" borderId="0" xfId="81" applyFont="1" applyFill="1" applyBorder="1" applyAlignment="1">
      <alignment horizontal="right"/>
    </xf>
    <xf numFmtId="164" fontId="92" fillId="0" borderId="49" xfId="81" applyFont="1" applyFill="1" applyBorder="1" applyAlignment="1">
      <alignment horizontal="right"/>
    </xf>
    <xf numFmtId="164" fontId="92" fillId="0" borderId="32" xfId="81" applyFont="1" applyFill="1" applyBorder="1" applyAlignment="1">
      <alignment horizontal="right"/>
    </xf>
    <xf numFmtId="164" fontId="92" fillId="9" borderId="49" xfId="81" applyFont="1" applyFill="1" applyBorder="1" applyAlignment="1">
      <alignment horizontal="right"/>
    </xf>
    <xf numFmtId="164" fontId="92" fillId="9" borderId="32" xfId="81" applyFont="1" applyFill="1" applyBorder="1" applyAlignment="1">
      <alignment horizontal="right"/>
    </xf>
    <xf numFmtId="164" fontId="92" fillId="2" borderId="33" xfId="81" applyFont="1" applyFill="1" applyBorder="1" applyAlignment="1">
      <alignment horizontal="right"/>
    </xf>
    <xf numFmtId="164" fontId="92" fillId="0" borderId="53" xfId="81" applyFont="1" applyBorder="1"/>
    <xf numFmtId="164" fontId="92" fillId="0" borderId="54" xfId="81" applyFont="1" applyFill="1" applyBorder="1" applyAlignment="1">
      <alignment horizontal="right"/>
    </xf>
    <xf numFmtId="164" fontId="92" fillId="0" borderId="60" xfId="81" applyFont="1" applyFill="1" applyBorder="1" applyAlignment="1">
      <alignment horizontal="right"/>
    </xf>
    <xf numFmtId="164" fontId="92" fillId="0" borderId="53" xfId="81" applyFont="1" applyBorder="1" applyAlignment="1">
      <alignment horizontal="right"/>
    </xf>
    <xf numFmtId="164" fontId="92" fillId="0" borderId="54" xfId="81" applyFont="1" applyBorder="1" applyAlignment="1">
      <alignment horizontal="right"/>
    </xf>
    <xf numFmtId="164" fontId="92" fillId="0" borderId="61" xfId="81" applyFont="1" applyBorder="1" applyAlignment="1">
      <alignment horizontal="right"/>
    </xf>
    <xf numFmtId="164" fontId="92" fillId="0" borderId="73" xfId="81" applyFont="1" applyBorder="1" applyAlignment="1">
      <alignment horizontal="right"/>
    </xf>
    <xf numFmtId="164" fontId="92" fillId="0" borderId="80" xfId="81" applyFont="1" applyBorder="1" applyAlignment="1">
      <alignment horizontal="right"/>
    </xf>
    <xf numFmtId="164" fontId="92" fillId="0" borderId="60" xfId="81" applyFont="1" applyBorder="1" applyAlignment="1">
      <alignment horizontal="right"/>
    </xf>
    <xf numFmtId="164" fontId="92" fillId="0" borderId="80" xfId="81" applyFont="1" applyFill="1" applyBorder="1" applyAlignment="1">
      <alignment horizontal="right"/>
    </xf>
    <xf numFmtId="164" fontId="92" fillId="0" borderId="13" xfId="81" applyFont="1" applyFill="1" applyBorder="1" applyAlignment="1">
      <alignment horizontal="right"/>
    </xf>
    <xf numFmtId="164" fontId="92" fillId="9" borderId="80" xfId="81" applyFont="1" applyFill="1" applyBorder="1" applyAlignment="1">
      <alignment horizontal="right"/>
    </xf>
    <xf numFmtId="164" fontId="92" fillId="9" borderId="54" xfId="81" applyFont="1" applyFill="1" applyBorder="1" applyAlignment="1">
      <alignment horizontal="right"/>
    </xf>
    <xf numFmtId="164" fontId="92" fillId="2" borderId="60" xfId="81" applyFont="1" applyFill="1" applyBorder="1" applyAlignment="1">
      <alignment horizontal="right"/>
    </xf>
    <xf numFmtId="164" fontId="92" fillId="0" borderId="73" xfId="81" applyFont="1" applyFill="1" applyBorder="1" applyAlignment="1">
      <alignment horizontal="right"/>
    </xf>
    <xf numFmtId="164" fontId="92" fillId="0" borderId="73" xfId="81" applyFont="1" applyBorder="1"/>
    <xf numFmtId="164" fontId="92" fillId="0" borderId="62" xfId="81" applyFont="1" applyBorder="1" applyAlignment="1">
      <alignment horizontal="right"/>
    </xf>
    <xf numFmtId="164" fontId="92" fillId="0" borderId="34" xfId="81" applyFont="1" applyFill="1" applyBorder="1" applyAlignment="1">
      <alignment horizontal="right"/>
    </xf>
    <xf numFmtId="164" fontId="92" fillId="0" borderId="35" xfId="81" applyFont="1" applyFill="1" applyBorder="1" applyAlignment="1">
      <alignment horizontal="right"/>
    </xf>
    <xf numFmtId="164" fontId="92" fillId="0" borderId="25" xfId="81" applyFont="1" applyBorder="1" applyAlignment="1">
      <alignment horizontal="right"/>
    </xf>
    <xf numFmtId="164" fontId="92" fillId="0" borderId="25" xfId="81" applyFont="1" applyFill="1" applyBorder="1" applyAlignment="1">
      <alignment horizontal="right"/>
    </xf>
    <xf numFmtId="0" fontId="92" fillId="9" borderId="47" xfId="81" applyNumberFormat="1" applyFont="1" applyFill="1" applyBorder="1" applyAlignment="1">
      <alignment horizontal="right"/>
    </xf>
    <xf numFmtId="0" fontId="92" fillId="9" borderId="22" xfId="81" applyNumberFormat="1" applyFont="1" applyFill="1" applyBorder="1" applyAlignment="1">
      <alignment horizontal="right"/>
    </xf>
    <xf numFmtId="0" fontId="92" fillId="2" borderId="23" xfId="81" applyNumberFormat="1" applyFont="1" applyFill="1" applyBorder="1" applyAlignment="1">
      <alignment horizontal="right"/>
    </xf>
    <xf numFmtId="164" fontId="92" fillId="0" borderId="38" xfId="81" applyFont="1" applyBorder="1" applyAlignment="1">
      <alignment horizontal="right"/>
    </xf>
    <xf numFmtId="164" fontId="92" fillId="0" borderId="38" xfId="81" applyFont="1" applyFill="1" applyBorder="1" applyAlignment="1">
      <alignment horizontal="right"/>
    </xf>
    <xf numFmtId="164" fontId="92" fillId="0" borderId="62" xfId="81" applyFont="1" applyFill="1" applyBorder="1" applyAlignment="1">
      <alignment horizontal="right"/>
    </xf>
    <xf numFmtId="164" fontId="92" fillId="0" borderId="31" xfId="81" applyFont="1" applyFill="1" applyBorder="1" applyAlignment="1">
      <alignment horizontal="right"/>
    </xf>
    <xf numFmtId="164" fontId="92" fillId="0" borderId="44" xfId="81" applyFont="1" applyFill="1" applyBorder="1" applyAlignment="1">
      <alignment horizontal="right"/>
    </xf>
    <xf numFmtId="164" fontId="92" fillId="0" borderId="44" xfId="81" applyFont="1" applyBorder="1"/>
    <xf numFmtId="164" fontId="92" fillId="13" borderId="11" xfId="81" applyFont="1" applyFill="1" applyBorder="1" applyAlignment="1">
      <alignment horizontal="right"/>
    </xf>
    <xf numFmtId="164" fontId="92" fillId="0" borderId="52" xfId="81" applyFont="1" applyBorder="1" applyAlignment="1">
      <alignment horizontal="right"/>
    </xf>
    <xf numFmtId="164" fontId="92" fillId="0" borderId="58" xfId="81" applyFont="1" applyBorder="1" applyAlignment="1">
      <alignment horizontal="right"/>
    </xf>
    <xf numFmtId="164" fontId="92" fillId="0" borderId="59" xfId="81" applyFont="1" applyBorder="1" applyAlignment="1">
      <alignment horizontal="right"/>
    </xf>
    <xf numFmtId="164" fontId="92" fillId="0" borderId="74" xfId="81" applyFont="1" applyFill="1" applyBorder="1"/>
    <xf numFmtId="164" fontId="92" fillId="13" borderId="20" xfId="81" applyFont="1" applyFill="1" applyBorder="1" applyAlignment="1">
      <alignment horizontal="right"/>
    </xf>
    <xf numFmtId="164" fontId="92" fillId="41" borderId="39" xfId="81" applyFont="1" applyFill="1" applyBorder="1" applyAlignment="1">
      <alignment horizontal="right"/>
    </xf>
    <xf numFmtId="164" fontId="92" fillId="0" borderId="9" xfId="81" applyFont="1" applyBorder="1" applyAlignment="1">
      <alignment horizontal="right"/>
    </xf>
    <xf numFmtId="164" fontId="92" fillId="0" borderId="16" xfId="81" applyFont="1" applyBorder="1" applyAlignment="1">
      <alignment horizontal="right"/>
    </xf>
    <xf numFmtId="164" fontId="92" fillId="0" borderId="12" xfId="81" applyFont="1" applyFill="1" applyBorder="1" applyAlignment="1">
      <alignment horizontal="right"/>
    </xf>
    <xf numFmtId="164" fontId="92" fillId="0" borderId="11" xfId="81" applyFont="1" applyFill="1" applyBorder="1"/>
    <xf numFmtId="164" fontId="92" fillId="0" borderId="17" xfId="81" applyFont="1" applyBorder="1" applyAlignment="1">
      <alignment horizontal="right"/>
    </xf>
    <xf numFmtId="164" fontId="92" fillId="0" borderId="81" xfId="81" applyFont="1" applyBorder="1" applyAlignment="1">
      <alignment horizontal="right"/>
    </xf>
    <xf numFmtId="164" fontId="92" fillId="0" borderId="18" xfId="81" applyFont="1" applyBorder="1" applyAlignment="1">
      <alignment horizontal="right"/>
    </xf>
    <xf numFmtId="164" fontId="92" fillId="0" borderId="65" xfId="81" applyFont="1" applyBorder="1" applyAlignment="1">
      <alignment horizontal="right"/>
    </xf>
    <xf numFmtId="164" fontId="92" fillId="0" borderId="19" xfId="81" applyFont="1" applyBorder="1" applyAlignment="1">
      <alignment horizontal="right"/>
    </xf>
    <xf numFmtId="164" fontId="92" fillId="0" borderId="20" xfId="81" applyFont="1" applyFill="1" applyBorder="1" applyAlignment="1">
      <alignment horizontal="right"/>
    </xf>
    <xf numFmtId="164" fontId="92" fillId="0" borderId="35" xfId="81" applyFont="1" applyFill="1" applyBorder="1"/>
    <xf numFmtId="164" fontId="92" fillId="0" borderId="56" xfId="81" applyFont="1" applyBorder="1" applyAlignment="1">
      <alignment horizontal="right"/>
    </xf>
    <xf numFmtId="164" fontId="92" fillId="0" borderId="25" xfId="81" applyFont="1" applyBorder="1"/>
    <xf numFmtId="164" fontId="92" fillId="0" borderId="57" xfId="81" applyFont="1" applyBorder="1" applyAlignment="1">
      <alignment horizontal="right"/>
    </xf>
    <xf numFmtId="164" fontId="92" fillId="0" borderId="38" xfId="81" applyFont="1" applyBorder="1"/>
    <xf numFmtId="0" fontId="18" fillId="11" borderId="87" xfId="36" applyFont="1" applyFill="1" applyBorder="1"/>
    <xf numFmtId="3" fontId="18" fillId="2" borderId="0" xfId="78" applyNumberFormat="1" applyFont="1" applyFill="1"/>
    <xf numFmtId="0" fontId="18" fillId="2" borderId="0" xfId="78" applyFont="1" applyFill="1" applyAlignment="1">
      <alignment vertical="center"/>
    </xf>
    <xf numFmtId="0" fontId="169" fillId="2" borderId="0" xfId="3" applyFont="1" applyFill="1"/>
    <xf numFmtId="0" fontId="232" fillId="9" borderId="0" xfId="50" applyFont="1" applyFill="1" applyAlignment="1">
      <alignment vertical="top"/>
    </xf>
    <xf numFmtId="0" fontId="233" fillId="9" borderId="0" xfId="3" applyFont="1" applyFill="1" applyAlignment="1">
      <alignment vertical="top"/>
    </xf>
    <xf numFmtId="0" fontId="232" fillId="2" borderId="0" xfId="50" applyFont="1" applyFill="1" applyAlignment="1">
      <alignment vertical="top"/>
    </xf>
    <xf numFmtId="0" fontId="233" fillId="2" borderId="0" xfId="3" applyFont="1" applyFill="1" applyAlignment="1">
      <alignment vertical="top"/>
    </xf>
    <xf numFmtId="0" fontId="18" fillId="0" borderId="0" xfId="78" quotePrefix="1" applyFont="1"/>
    <xf numFmtId="2" fontId="18" fillId="2" borderId="31" xfId="78" applyNumberFormat="1" applyFont="1" applyFill="1" applyBorder="1" applyAlignment="1">
      <alignment horizontal="right"/>
    </xf>
    <xf numFmtId="3" fontId="18" fillId="0" borderId="23" xfId="78" applyNumberFormat="1" applyFont="1" applyBorder="1"/>
    <xf numFmtId="3" fontId="18" fillId="41" borderId="23" xfId="78" applyNumberFormat="1" applyFont="1" applyFill="1" applyBorder="1"/>
    <xf numFmtId="3" fontId="18" fillId="0" borderId="64" xfId="78" applyNumberFormat="1" applyFont="1" applyBorder="1"/>
    <xf numFmtId="3" fontId="18" fillId="2" borderId="32" xfId="78" applyNumberFormat="1" applyFont="1" applyFill="1" applyBorder="1"/>
    <xf numFmtId="2" fontId="18" fillId="3" borderId="32" xfId="78" applyNumberFormat="1" applyFont="1" applyFill="1" applyBorder="1"/>
    <xf numFmtId="0" fontId="18" fillId="9" borderId="63" xfId="78" applyFont="1" applyFill="1" applyBorder="1"/>
    <xf numFmtId="3" fontId="18" fillId="0" borderId="33" xfId="78" applyNumberFormat="1" applyFont="1" applyBorder="1"/>
    <xf numFmtId="3" fontId="18" fillId="0" borderId="70" xfId="78" applyNumberFormat="1" applyFont="1" applyBorder="1" applyAlignment="1">
      <alignment horizontal="right" vertical="center"/>
    </xf>
    <xf numFmtId="4" fontId="18" fillId="0" borderId="64" xfId="78" applyNumberFormat="1" applyFont="1" applyBorder="1" applyAlignment="1">
      <alignment horizontal="right" vertical="center"/>
    </xf>
    <xf numFmtId="4" fontId="18" fillId="0" borderId="63" xfId="78" applyNumberFormat="1" applyFont="1" applyBorder="1" applyAlignment="1">
      <alignment horizontal="right" vertical="center"/>
    </xf>
    <xf numFmtId="4" fontId="18" fillId="0" borderId="70" xfId="78" applyNumberFormat="1" applyFont="1" applyBorder="1" applyAlignment="1">
      <alignment horizontal="right" vertical="center"/>
    </xf>
    <xf numFmtId="4" fontId="18" fillId="0" borderId="72" xfId="78" applyNumberFormat="1" applyFont="1" applyBorder="1" applyAlignment="1">
      <alignment horizontal="right" vertical="center"/>
    </xf>
    <xf numFmtId="2" fontId="18" fillId="0" borderId="62" xfId="78" applyNumberFormat="1" applyFont="1" applyBorder="1" applyAlignment="1">
      <alignment vertical="center"/>
    </xf>
    <xf numFmtId="2" fontId="18" fillId="0" borderId="63" xfId="78" applyNumberFormat="1" applyFont="1" applyBorder="1" applyAlignment="1">
      <alignment horizontal="right" vertical="center"/>
    </xf>
    <xf numFmtId="3" fontId="18" fillId="41" borderId="70" xfId="78" applyNumberFormat="1" applyFont="1" applyFill="1" applyBorder="1"/>
    <xf numFmtId="0" fontId="18" fillId="41" borderId="64" xfId="78" applyFont="1" applyFill="1" applyBorder="1" applyAlignment="1">
      <alignment vertical="center"/>
    </xf>
    <xf numFmtId="2" fontId="18" fillId="41" borderId="64" xfId="78" applyNumberFormat="1" applyFont="1" applyFill="1" applyBorder="1" applyAlignment="1">
      <alignment vertical="center"/>
    </xf>
    <xf numFmtId="0" fontId="18" fillId="41" borderId="63" xfId="78" applyFont="1" applyFill="1" applyBorder="1" applyAlignment="1">
      <alignment vertical="center"/>
    </xf>
    <xf numFmtId="0" fontId="18" fillId="9" borderId="24" xfId="78" applyFont="1" applyFill="1" applyBorder="1"/>
    <xf numFmtId="3" fontId="18" fillId="0" borderId="47" xfId="78" applyNumberFormat="1" applyFont="1" applyBorder="1" applyAlignment="1">
      <alignment horizontal="right" vertical="center"/>
    </xf>
    <xf numFmtId="4" fontId="18" fillId="0" borderId="22" xfId="78" applyNumberFormat="1" applyFont="1" applyBorder="1" applyAlignment="1">
      <alignment horizontal="right" vertical="center"/>
    </xf>
    <xf numFmtId="4" fontId="18" fillId="0" borderId="23" xfId="78" applyNumberFormat="1" applyFont="1" applyBorder="1" applyAlignment="1">
      <alignment horizontal="right" vertical="center"/>
    </xf>
    <xf numFmtId="4" fontId="18" fillId="0" borderId="47" xfId="78" applyNumberFormat="1" applyFont="1" applyBorder="1" applyAlignment="1">
      <alignment horizontal="right" vertical="center"/>
    </xf>
    <xf numFmtId="4" fontId="18" fillId="0" borderId="55" xfId="78" applyNumberFormat="1" applyFont="1" applyBorder="1" applyAlignment="1">
      <alignment horizontal="right" vertical="center"/>
    </xf>
    <xf numFmtId="2" fontId="18" fillId="0" borderId="21" xfId="78" applyNumberFormat="1" applyFont="1" applyBorder="1" applyAlignment="1">
      <alignment vertical="center"/>
    </xf>
    <xf numFmtId="2" fontId="18" fillId="0" borderId="23" xfId="78" applyNumberFormat="1" applyFont="1" applyBorder="1" applyAlignment="1">
      <alignment horizontal="right" vertical="center"/>
    </xf>
    <xf numFmtId="3" fontId="18" fillId="0" borderId="47" xfId="78" applyNumberFormat="1" applyFont="1" applyBorder="1"/>
    <xf numFmtId="0" fontId="18" fillId="0" borderId="22" xfId="78" applyFont="1" applyBorder="1"/>
    <xf numFmtId="0" fontId="18" fillId="0" borderId="23" xfId="78" applyFont="1" applyBorder="1"/>
    <xf numFmtId="0" fontId="18" fillId="9" borderId="30" xfId="78" applyFont="1" applyFill="1" applyBorder="1"/>
    <xf numFmtId="4" fontId="18" fillId="0" borderId="49" xfId="78" applyNumberFormat="1" applyFont="1" applyBorder="1" applyAlignment="1">
      <alignment horizontal="right" vertical="center"/>
    </xf>
    <xf numFmtId="4" fontId="18" fillId="0" borderId="32" xfId="78" applyNumberFormat="1" applyFont="1" applyBorder="1" applyAlignment="1">
      <alignment horizontal="right" vertical="center"/>
    </xf>
    <xf numFmtId="4" fontId="18" fillId="0" borderId="33" xfId="78" applyNumberFormat="1" applyFont="1" applyBorder="1" applyAlignment="1">
      <alignment horizontal="right" vertical="center"/>
    </xf>
    <xf numFmtId="4" fontId="18" fillId="0" borderId="66" xfId="78" applyNumberFormat="1" applyFont="1" applyBorder="1" applyAlignment="1">
      <alignment horizontal="right" vertical="center"/>
    </xf>
    <xf numFmtId="2" fontId="18" fillId="0" borderId="31" xfId="78" applyNumberFormat="1" applyFont="1" applyBorder="1" applyAlignment="1">
      <alignment horizontal="right" vertical="center"/>
    </xf>
    <xf numFmtId="2" fontId="18" fillId="0" borderId="33" xfId="78" applyNumberFormat="1" applyFont="1" applyBorder="1" applyAlignment="1">
      <alignment horizontal="right" vertical="center"/>
    </xf>
    <xf numFmtId="0" fontId="18" fillId="0" borderId="49" xfId="78" applyFont="1" applyBorder="1"/>
    <xf numFmtId="0" fontId="18" fillId="0" borderId="32" xfId="78" applyFont="1" applyBorder="1"/>
    <xf numFmtId="0" fontId="18" fillId="0" borderId="33" xfId="78" applyFont="1" applyBorder="1"/>
    <xf numFmtId="4" fontId="18" fillId="0" borderId="15" xfId="78" applyNumberFormat="1" applyFont="1" applyBorder="1" applyAlignment="1">
      <alignment horizontal="right" vertical="center"/>
    </xf>
    <xf numFmtId="4" fontId="18" fillId="0" borderId="13" xfId="78" applyNumberFormat="1" applyFont="1" applyBorder="1" applyAlignment="1">
      <alignment horizontal="right" vertical="center"/>
    </xf>
    <xf numFmtId="4" fontId="18" fillId="0" borderId="14" xfId="78" applyNumberFormat="1" applyFont="1" applyBorder="1" applyAlignment="1">
      <alignment horizontal="right" vertical="center"/>
    </xf>
    <xf numFmtId="4" fontId="18" fillId="0" borderId="16" xfId="78" applyNumberFormat="1" applyFont="1" applyBorder="1" applyAlignment="1">
      <alignment horizontal="right" vertical="center"/>
    </xf>
    <xf numFmtId="2" fontId="18" fillId="0" borderId="1" xfId="78" applyNumberFormat="1" applyFont="1" applyBorder="1" applyAlignment="1">
      <alignment horizontal="right" vertical="center"/>
    </xf>
    <xf numFmtId="2" fontId="18" fillId="0" borderId="14" xfId="78" applyNumberFormat="1" applyFont="1" applyBorder="1" applyAlignment="1">
      <alignment horizontal="right" vertical="center"/>
    </xf>
    <xf numFmtId="2" fontId="18" fillId="41" borderId="15" xfId="78" applyNumberFormat="1" applyFont="1" applyFill="1" applyBorder="1"/>
    <xf numFmtId="0" fontId="18" fillId="41" borderId="13" xfId="78" applyFont="1" applyFill="1" applyBorder="1"/>
    <xf numFmtId="4" fontId="18" fillId="41" borderId="13" xfId="78" applyNumberFormat="1" applyFont="1" applyFill="1" applyBorder="1"/>
    <xf numFmtId="0" fontId="18" fillId="41" borderId="14" xfId="78" applyFont="1" applyFill="1" applyBorder="1"/>
    <xf numFmtId="0" fontId="18" fillId="41" borderId="15" xfId="78" applyFont="1" applyFill="1" applyBorder="1"/>
    <xf numFmtId="2" fontId="18" fillId="0" borderId="34" xfId="78" applyNumberFormat="1" applyFont="1" applyBorder="1"/>
    <xf numFmtId="2" fontId="18" fillId="0" borderId="62" xfId="78" applyNumberFormat="1" applyFont="1" applyBorder="1"/>
    <xf numFmtId="2" fontId="18" fillId="0" borderId="63" xfId="78" applyNumberFormat="1" applyFont="1" applyBorder="1"/>
    <xf numFmtId="0" fontId="18" fillId="41" borderId="70" xfId="78" applyFont="1" applyFill="1" applyBorder="1"/>
    <xf numFmtId="0" fontId="18" fillId="41" borderId="64" xfId="78" applyFont="1" applyFill="1" applyBorder="1"/>
    <xf numFmtId="2" fontId="18" fillId="41" borderId="64" xfId="78" applyNumberFormat="1" applyFont="1" applyFill="1" applyBorder="1"/>
    <xf numFmtId="2" fontId="18" fillId="41" borderId="63" xfId="78" applyNumberFormat="1" applyFont="1" applyFill="1" applyBorder="1"/>
    <xf numFmtId="2" fontId="18" fillId="0" borderId="36" xfId="78" applyNumberFormat="1" applyFont="1" applyBorder="1"/>
    <xf numFmtId="2" fontId="18" fillId="0" borderId="23" xfId="78" applyNumberFormat="1" applyFont="1" applyBorder="1"/>
    <xf numFmtId="0" fontId="18" fillId="0" borderId="47" xfId="78" applyFont="1" applyBorder="1"/>
    <xf numFmtId="2" fontId="18" fillId="0" borderId="37" xfId="78" applyNumberFormat="1" applyFont="1" applyBorder="1"/>
    <xf numFmtId="2" fontId="18" fillId="0" borderId="33" xfId="78" applyNumberFormat="1" applyFont="1" applyBorder="1"/>
    <xf numFmtId="2" fontId="18" fillId="0" borderId="32" xfId="78" applyNumberFormat="1" applyFont="1" applyBorder="1"/>
    <xf numFmtId="2" fontId="18" fillId="0" borderId="43" xfId="78" applyNumberFormat="1" applyFont="1" applyBorder="1"/>
    <xf numFmtId="0" fontId="18" fillId="41" borderId="50" xfId="78" applyFont="1" applyFill="1" applyBorder="1"/>
    <xf numFmtId="0" fontId="18" fillId="41" borderId="18" xfId="78" applyFont="1" applyFill="1" applyBorder="1"/>
    <xf numFmtId="2" fontId="18" fillId="41" borderId="18" xfId="78" applyNumberFormat="1" applyFont="1" applyFill="1" applyBorder="1"/>
    <xf numFmtId="0" fontId="18" fillId="41" borderId="19" xfId="78" applyFont="1" applyFill="1" applyBorder="1"/>
    <xf numFmtId="4" fontId="18" fillId="0" borderId="34" xfId="78" applyNumberFormat="1" applyFont="1" applyBorder="1" applyAlignment="1">
      <alignment horizontal="right" vertical="center"/>
    </xf>
    <xf numFmtId="4" fontId="18" fillId="0" borderId="62" xfId="78" applyNumberFormat="1" applyFont="1" applyBorder="1" applyAlignment="1">
      <alignment horizontal="right" vertical="center"/>
    </xf>
    <xf numFmtId="2" fontId="18" fillId="41" borderId="70" xfId="78" applyNumberFormat="1" applyFont="1" applyFill="1" applyBorder="1"/>
    <xf numFmtId="4" fontId="18" fillId="0" borderId="36" xfId="78" applyNumberFormat="1" applyFont="1" applyBorder="1" applyAlignment="1">
      <alignment horizontal="right" vertical="center"/>
    </xf>
    <xf numFmtId="4" fontId="18" fillId="0" borderId="21" xfId="78" applyNumberFormat="1" applyFont="1" applyBorder="1" applyAlignment="1">
      <alignment horizontal="right" vertical="center"/>
    </xf>
    <xf numFmtId="2" fontId="18" fillId="0" borderId="47" xfId="78" applyNumberFormat="1" applyFont="1" applyBorder="1"/>
    <xf numFmtId="0" fontId="18" fillId="9" borderId="24" xfId="78" quotePrefix="1" applyFont="1" applyFill="1" applyBorder="1"/>
    <xf numFmtId="180" fontId="18" fillId="0" borderId="47" xfId="78" applyNumberFormat="1" applyFont="1" applyBorder="1"/>
    <xf numFmtId="4" fontId="18" fillId="0" borderId="37" xfId="78" applyNumberFormat="1" applyFont="1" applyBorder="1" applyAlignment="1">
      <alignment horizontal="right" vertical="center"/>
    </xf>
    <xf numFmtId="4" fontId="18" fillId="0" borderId="31" xfId="78" applyNumberFormat="1" applyFont="1" applyBorder="1" applyAlignment="1">
      <alignment horizontal="right" vertical="center"/>
    </xf>
    <xf numFmtId="180" fontId="18" fillId="0" borderId="49" xfId="78" applyNumberFormat="1" applyFont="1" applyBorder="1"/>
    <xf numFmtId="180" fontId="18" fillId="0" borderId="32" xfId="78" applyNumberFormat="1" applyFont="1" applyBorder="1"/>
    <xf numFmtId="180" fontId="18" fillId="0" borderId="33" xfId="78" applyNumberFormat="1" applyFont="1" applyBorder="1"/>
    <xf numFmtId="180" fontId="18" fillId="0" borderId="22" xfId="78" applyNumberFormat="1" applyFont="1" applyBorder="1"/>
    <xf numFmtId="180" fontId="18" fillId="0" borderId="23" xfId="78" applyNumberFormat="1" applyFont="1" applyBorder="1"/>
    <xf numFmtId="0" fontId="169" fillId="0" borderId="0" xfId="62" applyFont="1" applyAlignment="1">
      <alignment vertical="center"/>
    </xf>
    <xf numFmtId="0" fontId="18" fillId="10" borderId="63" xfId="78" applyFont="1" applyFill="1" applyBorder="1"/>
    <xf numFmtId="4" fontId="18" fillId="0" borderId="17" xfId="78" applyNumberFormat="1" applyFont="1" applyBorder="1" applyAlignment="1">
      <alignment vertical="center"/>
    </xf>
    <xf numFmtId="4" fontId="18" fillId="0" borderId="18" xfId="78" applyNumberFormat="1" applyFont="1" applyBorder="1" applyAlignment="1">
      <alignment vertical="center"/>
    </xf>
    <xf numFmtId="4" fontId="18" fillId="0" borderId="19" xfId="78" applyNumberFormat="1" applyFont="1" applyBorder="1" applyAlignment="1">
      <alignment vertical="center"/>
    </xf>
    <xf numFmtId="4" fontId="18" fillId="0" borderId="50" xfId="78" applyNumberFormat="1" applyFont="1" applyBorder="1" applyAlignment="1">
      <alignment vertical="center"/>
    </xf>
    <xf numFmtId="4" fontId="18" fillId="0" borderId="65" xfId="78" applyNumberFormat="1" applyFont="1" applyBorder="1" applyAlignment="1">
      <alignment vertical="center"/>
    </xf>
    <xf numFmtId="3" fontId="18" fillId="41" borderId="17" xfId="78" applyNumberFormat="1" applyFont="1" applyFill="1" applyBorder="1" applyAlignment="1">
      <alignment vertical="center"/>
    </xf>
    <xf numFmtId="3" fontId="18" fillId="41" borderId="18" xfId="78" applyNumberFormat="1" applyFont="1" applyFill="1" applyBorder="1" applyAlignment="1">
      <alignment vertical="center"/>
    </xf>
    <xf numFmtId="3" fontId="18" fillId="41" borderId="19" xfId="78" applyNumberFormat="1" applyFont="1" applyFill="1" applyBorder="1" applyAlignment="1">
      <alignment vertical="center"/>
    </xf>
    <xf numFmtId="4" fontId="18" fillId="0" borderId="21" xfId="78" applyNumberFormat="1" applyFont="1" applyBorder="1" applyAlignment="1">
      <alignment vertical="center"/>
    </xf>
    <xf numFmtId="4" fontId="18" fillId="0" borderId="22" xfId="78" applyNumberFormat="1" applyFont="1" applyBorder="1" applyAlignment="1">
      <alignment vertical="center"/>
    </xf>
    <xf numFmtId="4" fontId="18" fillId="0" borderId="23" xfId="78" applyNumberFormat="1" applyFont="1" applyBorder="1" applyAlignment="1">
      <alignment vertical="center"/>
    </xf>
    <xf numFmtId="4" fontId="18" fillId="0" borderId="47" xfId="78" applyNumberFormat="1" applyFont="1" applyBorder="1" applyAlignment="1">
      <alignment vertical="center"/>
    </xf>
    <xf numFmtId="4" fontId="18" fillId="0" borderId="55" xfId="78" applyNumberFormat="1" applyFont="1" applyBorder="1" applyAlignment="1">
      <alignment vertical="center"/>
    </xf>
    <xf numFmtId="3" fontId="18" fillId="41" borderId="21" xfId="78" applyNumberFormat="1" applyFont="1" applyFill="1" applyBorder="1"/>
    <xf numFmtId="3" fontId="18" fillId="41" borderId="22" xfId="78" applyNumberFormat="1" applyFont="1" applyFill="1" applyBorder="1" applyAlignment="1">
      <alignment horizontal="left"/>
    </xf>
    <xf numFmtId="4" fontId="18" fillId="41" borderId="23" xfId="78" applyNumberFormat="1" applyFont="1" applyFill="1" applyBorder="1" applyAlignment="1">
      <alignment vertical="center"/>
    </xf>
    <xf numFmtId="4" fontId="18" fillId="0" borderId="31" xfId="78" applyNumberFormat="1" applyFont="1" applyBorder="1" applyAlignment="1">
      <alignment vertical="center"/>
    </xf>
    <xf numFmtId="4" fontId="18" fillId="0" borderId="32" xfId="78" applyNumberFormat="1" applyFont="1" applyBorder="1" applyAlignment="1">
      <alignment vertical="center"/>
    </xf>
    <xf numFmtId="4" fontId="18" fillId="0" borderId="33" xfId="78" applyNumberFormat="1" applyFont="1" applyBorder="1" applyAlignment="1">
      <alignment vertical="center"/>
    </xf>
    <xf numFmtId="4" fontId="18" fillId="0" borderId="49" xfId="78" applyNumberFormat="1" applyFont="1" applyBorder="1" applyAlignment="1">
      <alignment vertical="center"/>
    </xf>
    <xf numFmtId="4" fontId="18" fillId="0" borderId="66" xfId="78" applyNumberFormat="1" applyFont="1" applyBorder="1" applyAlignment="1">
      <alignment vertical="center"/>
    </xf>
    <xf numFmtId="180" fontId="18" fillId="41" borderId="31" xfId="78" applyNumberFormat="1" applyFont="1" applyFill="1" applyBorder="1" applyAlignment="1">
      <alignment horizontal="left" vertical="center"/>
    </xf>
    <xf numFmtId="180" fontId="18" fillId="41" borderId="32" xfId="78" applyNumberFormat="1" applyFont="1" applyFill="1" applyBorder="1" applyAlignment="1">
      <alignment horizontal="left" vertical="center"/>
    </xf>
    <xf numFmtId="180" fontId="18" fillId="41" borderId="33" xfId="78" applyNumberFormat="1" applyFont="1" applyFill="1" applyBorder="1" applyAlignment="1">
      <alignment horizontal="left" vertical="center"/>
    </xf>
    <xf numFmtId="43" fontId="18" fillId="0" borderId="50" xfId="7" applyFont="1" applyBorder="1"/>
    <xf numFmtId="1" fontId="18" fillId="0" borderId="17" xfId="78" applyNumberFormat="1" applyFont="1" applyBorder="1" applyAlignment="1">
      <alignment vertical="center" wrapText="1"/>
    </xf>
    <xf numFmtId="1" fontId="18" fillId="41" borderId="18" xfId="78" applyNumberFormat="1" applyFont="1" applyFill="1" applyBorder="1" applyAlignment="1">
      <alignment vertical="center"/>
    </xf>
    <xf numFmtId="2" fontId="18" fillId="41" borderId="18" xfId="78" applyNumberFormat="1" applyFont="1" applyFill="1" applyBorder="1" applyAlignment="1">
      <alignment vertical="center"/>
    </xf>
    <xf numFmtId="1" fontId="18" fillId="41" borderId="22" xfId="78" applyNumberFormat="1" applyFont="1" applyFill="1" applyBorder="1" applyAlignment="1">
      <alignment vertical="center"/>
    </xf>
    <xf numFmtId="0" fontId="18" fillId="41" borderId="23" xfId="78" applyFont="1" applyFill="1" applyBorder="1"/>
    <xf numFmtId="1" fontId="18" fillId="0" borderId="40" xfId="78" applyNumberFormat="1" applyFont="1" applyBorder="1" applyAlignment="1">
      <alignment vertical="center" wrapText="1"/>
    </xf>
    <xf numFmtId="1" fontId="18" fillId="41" borderId="32" xfId="78" applyNumberFormat="1" applyFont="1" applyFill="1" applyBorder="1" applyAlignment="1">
      <alignment vertical="center"/>
    </xf>
    <xf numFmtId="0" fontId="18" fillId="41" borderId="33" xfId="78" applyFont="1" applyFill="1" applyBorder="1"/>
    <xf numFmtId="2" fontId="18" fillId="0" borderId="0" xfId="78" applyNumberFormat="1" applyFont="1"/>
    <xf numFmtId="2" fontId="18" fillId="41" borderId="22" xfId="78" applyNumberFormat="1" applyFont="1" applyFill="1" applyBorder="1"/>
    <xf numFmtId="190" fontId="18" fillId="0" borderId="0" xfId="78" applyNumberFormat="1" applyFont="1"/>
    <xf numFmtId="0" fontId="18" fillId="0" borderId="62" xfId="78" applyFont="1" applyBorder="1" applyAlignment="1">
      <alignment horizontal="left" vertical="center" wrapText="1"/>
    </xf>
    <xf numFmtId="2" fontId="18" fillId="0" borderId="64" xfId="78" applyNumberFormat="1" applyFont="1" applyBorder="1" applyAlignment="1">
      <alignment vertical="center" wrapText="1"/>
    </xf>
    <xf numFmtId="2" fontId="18" fillId="3" borderId="64" xfId="78" applyNumberFormat="1" applyFont="1" applyFill="1" applyBorder="1" applyAlignment="1">
      <alignment vertical="center" wrapText="1"/>
    </xf>
    <xf numFmtId="2" fontId="18" fillId="3" borderId="64" xfId="78" applyNumberFormat="1" applyFont="1" applyFill="1" applyBorder="1" applyAlignment="1">
      <alignment horizontal="center" vertical="center" wrapText="1"/>
    </xf>
    <xf numFmtId="4" fontId="18" fillId="41" borderId="63" xfId="78" applyNumberFormat="1" applyFont="1" applyFill="1" applyBorder="1" applyAlignment="1">
      <alignment horizontal="right" vertical="center" wrapText="1"/>
    </xf>
    <xf numFmtId="2" fontId="18" fillId="3" borderId="18" xfId="78" applyNumberFormat="1" applyFont="1" applyFill="1" applyBorder="1" applyAlignment="1">
      <alignment vertical="center" wrapText="1"/>
    </xf>
    <xf numFmtId="2" fontId="18" fillId="3" borderId="18" xfId="78" applyNumberFormat="1" applyFont="1" applyFill="1" applyBorder="1" applyAlignment="1">
      <alignment horizontal="center" vertical="center" wrapText="1"/>
    </xf>
    <xf numFmtId="2" fontId="18" fillId="3" borderId="22" xfId="78" applyNumberFormat="1" applyFont="1" applyFill="1" applyBorder="1"/>
    <xf numFmtId="2" fontId="18" fillId="0" borderId="0" xfId="78" applyNumberFormat="1" applyFont="1" applyAlignment="1">
      <alignment horizontal="center"/>
    </xf>
    <xf numFmtId="2" fontId="18" fillId="0" borderId="0" xfId="78" applyNumberFormat="1" applyFont="1" applyAlignment="1">
      <alignment horizontal="right"/>
    </xf>
    <xf numFmtId="2" fontId="18" fillId="3" borderId="32" xfId="78" applyNumberFormat="1" applyFont="1" applyFill="1" applyBorder="1" applyAlignment="1">
      <alignment horizontal="right"/>
    </xf>
    <xf numFmtId="2" fontId="18" fillId="3" borderId="32" xfId="78" applyNumberFormat="1" applyFont="1" applyFill="1" applyBorder="1" applyAlignment="1">
      <alignment horizontal="center"/>
    </xf>
    <xf numFmtId="0" fontId="18" fillId="0" borderId="40" xfId="78" applyFont="1" applyBorder="1"/>
    <xf numFmtId="3" fontId="18" fillId="2" borderId="41" xfId="78" applyNumberFormat="1" applyFont="1" applyFill="1" applyBorder="1"/>
    <xf numFmtId="2" fontId="18" fillId="0" borderId="41" xfId="78" applyNumberFormat="1" applyFont="1" applyBorder="1"/>
    <xf numFmtId="2" fontId="18" fillId="3" borderId="41" xfId="78" applyNumberFormat="1" applyFont="1" applyFill="1" applyBorder="1" applyAlignment="1">
      <alignment horizontal="center"/>
    </xf>
    <xf numFmtId="3" fontId="18" fillId="0" borderId="41" xfId="78" applyNumberFormat="1" applyFont="1" applyBorder="1" applyAlignment="1">
      <alignment horizontal="right"/>
    </xf>
    <xf numFmtId="2" fontId="18" fillId="3" borderId="41" xfId="78" applyNumberFormat="1" applyFont="1" applyFill="1" applyBorder="1"/>
    <xf numFmtId="3" fontId="18" fillId="0" borderId="41" xfId="78" applyNumberFormat="1" applyFont="1" applyBorder="1"/>
    <xf numFmtId="3" fontId="18" fillId="41" borderId="42" xfId="78" applyNumberFormat="1" applyFont="1" applyFill="1" applyBorder="1"/>
    <xf numFmtId="2" fontId="18" fillId="0" borderId="0" xfId="78" applyNumberFormat="1" applyFont="1" applyAlignment="1">
      <alignment horizontal="left"/>
    </xf>
    <xf numFmtId="1" fontId="18" fillId="2" borderId="41" xfId="78" applyNumberFormat="1" applyFont="1" applyFill="1" applyBorder="1" applyAlignment="1">
      <alignment wrapText="1"/>
    </xf>
    <xf numFmtId="2" fontId="18" fillId="0" borderId="41" xfId="78" applyNumberFormat="1" applyFont="1" applyBorder="1" applyAlignment="1">
      <alignment horizontal="center"/>
    </xf>
    <xf numFmtId="1" fontId="18" fillId="0" borderId="41" xfId="78" applyNumberFormat="1" applyFont="1" applyBorder="1" applyAlignment="1">
      <alignment horizontal="right"/>
    </xf>
    <xf numFmtId="0" fontId="18" fillId="0" borderId="62" xfId="78" applyFont="1" applyBorder="1" applyAlignment="1">
      <alignment horizontal="left" wrapText="1"/>
    </xf>
    <xf numFmtId="3" fontId="18" fillId="2" borderId="64" xfId="78" applyNumberFormat="1" applyFont="1" applyFill="1" applyBorder="1" applyAlignment="1">
      <alignment wrapText="1"/>
    </xf>
    <xf numFmtId="2" fontId="18" fillId="0" borderId="64" xfId="78" applyNumberFormat="1" applyFont="1" applyBorder="1"/>
    <xf numFmtId="2" fontId="18" fillId="0" borderId="64" xfId="78" applyNumberFormat="1" applyFont="1" applyBorder="1" applyAlignment="1">
      <alignment wrapText="1"/>
    </xf>
    <xf numFmtId="2" fontId="18" fillId="3" borderId="64" xfId="78" applyNumberFormat="1" applyFont="1" applyFill="1" applyBorder="1"/>
    <xf numFmtId="3" fontId="18" fillId="41" borderId="63" xfId="78" applyNumberFormat="1" applyFont="1" applyFill="1" applyBorder="1"/>
    <xf numFmtId="0" fontId="18" fillId="0" borderId="17" xfId="78" applyFont="1" applyBorder="1" applyAlignment="1">
      <alignment horizontal="left" wrapText="1"/>
    </xf>
    <xf numFmtId="3" fontId="18" fillId="2" borderId="18" xfId="78" applyNumberFormat="1" applyFont="1" applyFill="1" applyBorder="1" applyAlignment="1">
      <alignment wrapText="1"/>
    </xf>
    <xf numFmtId="2" fontId="18" fillId="0" borderId="18" xfId="78" applyNumberFormat="1" applyFont="1" applyBorder="1" applyAlignment="1">
      <alignment wrapText="1"/>
    </xf>
    <xf numFmtId="0" fontId="18" fillId="0" borderId="40" xfId="78" applyFont="1" applyBorder="1" applyAlignment="1">
      <alignment horizontal="left" wrapText="1"/>
    </xf>
    <xf numFmtId="3" fontId="18" fillId="41" borderId="33" xfId="78" applyNumberFormat="1" applyFont="1" applyFill="1" applyBorder="1"/>
    <xf numFmtId="3" fontId="92" fillId="0" borderId="6" xfId="82" applyNumberFormat="1" applyFont="1" applyFill="1" applyBorder="1" applyAlignment="1">
      <alignment horizontal="left" indent="2"/>
    </xf>
    <xf numFmtId="2" fontId="18" fillId="2" borderId="40" xfId="78" applyNumberFormat="1" applyFont="1" applyFill="1" applyBorder="1" applyAlignment="1">
      <alignment wrapText="1"/>
    </xf>
    <xf numFmtId="0" fontId="18" fillId="0" borderId="4" xfId="78" applyFont="1" applyBorder="1" applyAlignment="1">
      <alignment horizontal="left" wrapText="1"/>
    </xf>
    <xf numFmtId="1" fontId="18" fillId="2" borderId="62" xfId="78" applyNumberFormat="1" applyFont="1" applyFill="1" applyBorder="1" applyAlignment="1">
      <alignment wrapText="1"/>
    </xf>
    <xf numFmtId="1" fontId="18" fillId="41" borderId="63" xfId="78" applyNumberFormat="1" applyFont="1" applyFill="1" applyBorder="1"/>
    <xf numFmtId="0" fontId="18" fillId="0" borderId="4" xfId="78" applyFont="1" applyBorder="1"/>
    <xf numFmtId="1" fontId="18" fillId="2" borderId="17" xfId="78" applyNumberFormat="1" applyFont="1" applyFill="1" applyBorder="1" applyAlignment="1">
      <alignment wrapText="1"/>
    </xf>
    <xf numFmtId="1" fontId="18" fillId="41" borderId="19" xfId="78" applyNumberFormat="1" applyFont="1" applyFill="1" applyBorder="1"/>
    <xf numFmtId="0" fontId="18" fillId="0" borderId="6" xfId="78" applyFont="1" applyBorder="1"/>
    <xf numFmtId="1" fontId="18" fillId="2" borderId="40" xfId="78" applyNumberFormat="1" applyFont="1" applyFill="1" applyBorder="1" applyAlignment="1">
      <alignment wrapText="1"/>
    </xf>
    <xf numFmtId="1" fontId="18" fillId="41" borderId="42" xfId="78" applyNumberFormat="1" applyFont="1" applyFill="1" applyBorder="1"/>
    <xf numFmtId="0" fontId="52" fillId="3" borderId="0" xfId="30" applyFont="1" applyFill="1"/>
    <xf numFmtId="0" fontId="28" fillId="3" borderId="0" xfId="30" applyFill="1" applyAlignment="1">
      <alignment horizontal="left" indent="1"/>
    </xf>
    <xf numFmtId="0" fontId="55" fillId="3" borderId="0" xfId="30" applyFont="1" applyFill="1" applyAlignment="1">
      <alignment wrapText="1"/>
    </xf>
    <xf numFmtId="0" fontId="28" fillId="3" borderId="0" xfId="30" applyFill="1" applyAlignment="1">
      <alignment horizontal="left" indent="2"/>
    </xf>
    <xf numFmtId="0" fontId="28" fillId="3" borderId="0" xfId="30" applyFill="1"/>
    <xf numFmtId="0" fontId="52" fillId="3" borderId="0" xfId="30" applyFont="1" applyFill="1" applyAlignment="1">
      <alignment horizontal="left" indent="1"/>
    </xf>
    <xf numFmtId="0" fontId="52" fillId="3" borderId="0" xfId="30" applyFont="1" applyFill="1" applyAlignment="1">
      <alignment horizontal="left"/>
    </xf>
    <xf numFmtId="0" fontId="0" fillId="0" borderId="121" xfId="0" applyBorder="1"/>
    <xf numFmtId="3" fontId="32" fillId="2" borderId="119" xfId="3" applyNumberFormat="1" applyFill="1" applyBorder="1"/>
    <xf numFmtId="184" fontId="205" fillId="0" borderId="121" xfId="7" applyNumberFormat="1" applyFont="1" applyBorder="1" applyAlignment="1">
      <alignment vertical="center"/>
    </xf>
    <xf numFmtId="184" fontId="0" fillId="0" borderId="0" xfId="7" applyNumberFormat="1" applyFont="1"/>
    <xf numFmtId="1" fontId="39" fillId="2" borderId="0" xfId="3" applyNumberFormat="1" applyFont="1" applyFill="1" applyAlignment="1">
      <alignment horizontal="center"/>
    </xf>
    <xf numFmtId="1" fontId="32" fillId="2" borderId="58" xfId="3" applyNumberFormat="1" applyFill="1" applyBorder="1" applyAlignment="1">
      <alignment horizontal="center" textRotation="90" wrapText="1"/>
    </xf>
    <xf numFmtId="1" fontId="32" fillId="2" borderId="54" xfId="3" applyNumberFormat="1" applyFill="1" applyBorder="1" applyAlignment="1">
      <alignment horizontal="center" textRotation="90" wrapText="1"/>
    </xf>
    <xf numFmtId="1" fontId="32" fillId="2" borderId="41" xfId="3" applyNumberFormat="1" applyFill="1" applyBorder="1" applyAlignment="1">
      <alignment horizontal="center" textRotation="90" wrapText="1"/>
    </xf>
    <xf numFmtId="1" fontId="32" fillId="2" borderId="59" xfId="3" applyNumberFormat="1" applyFill="1" applyBorder="1" applyAlignment="1">
      <alignment horizontal="center" textRotation="90" wrapText="1"/>
    </xf>
    <xf numFmtId="1" fontId="32" fillId="2" borderId="60" xfId="3" applyNumberFormat="1" applyFill="1" applyBorder="1" applyAlignment="1">
      <alignment horizontal="center" textRotation="90" wrapText="1"/>
    </xf>
    <xf numFmtId="1" fontId="32" fillId="2" borderId="42" xfId="3" applyNumberFormat="1" applyFill="1" applyBorder="1" applyAlignment="1">
      <alignment horizontal="center" textRotation="90" wrapText="1"/>
    </xf>
    <xf numFmtId="0" fontId="81" fillId="0" borderId="31" xfId="78" applyFont="1" applyBorder="1"/>
    <xf numFmtId="0" fontId="164" fillId="0" borderId="0" xfId="0" applyFont="1" applyAlignment="1">
      <alignment horizontal="left"/>
    </xf>
    <xf numFmtId="0" fontId="165" fillId="0" borderId="0" xfId="0" applyFont="1"/>
    <xf numFmtId="0" fontId="163" fillId="0" borderId="0" xfId="0" applyFont="1"/>
    <xf numFmtId="0" fontId="163" fillId="0" borderId="0" xfId="0" applyFont="1" applyAlignment="1">
      <alignment wrapText="1"/>
    </xf>
    <xf numFmtId="1" fontId="135" fillId="34" borderId="117" xfId="83" applyNumberFormat="1" applyFont="1" applyFill="1" applyBorder="1" applyAlignment="1">
      <alignment wrapText="1"/>
    </xf>
    <xf numFmtId="1" fontId="135" fillId="34" borderId="117" xfId="83" applyNumberFormat="1" applyFont="1" applyFill="1" applyBorder="1" applyAlignment="1">
      <alignment horizontal="left" wrapText="1" indent="6"/>
    </xf>
    <xf numFmtId="0" fontId="135" fillId="0" borderId="112" xfId="83" applyFont="1" applyBorder="1" applyAlignment="1">
      <alignment horizontal="left" wrapText="1"/>
    </xf>
    <xf numFmtId="49" fontId="135" fillId="0" borderId="112" xfId="83" applyNumberFormat="1" applyFont="1" applyBorder="1" applyAlignment="1">
      <alignment horizontal="left" wrapText="1"/>
    </xf>
    <xf numFmtId="40" fontId="0" fillId="0" borderId="0" xfId="0" applyNumberFormat="1"/>
    <xf numFmtId="49" fontId="135" fillId="0" borderId="124" xfId="83" applyNumberFormat="1" applyFont="1" applyBorder="1" applyAlignment="1">
      <alignment horizontal="left" wrapText="1"/>
    </xf>
    <xf numFmtId="0" fontId="135" fillId="34" borderId="128" xfId="0" applyFont="1" applyFill="1" applyBorder="1" applyAlignment="1">
      <alignment horizontal="right" wrapText="1"/>
    </xf>
    <xf numFmtId="1" fontId="135" fillId="34" borderId="126" xfId="0" applyNumberFormat="1" applyFont="1" applyFill="1" applyBorder="1" applyAlignment="1">
      <alignment wrapText="1"/>
    </xf>
    <xf numFmtId="0" fontId="17" fillId="39" borderId="129" xfId="0" applyFont="1" applyFill="1" applyBorder="1"/>
    <xf numFmtId="49" fontId="135" fillId="34" borderId="126" xfId="0" applyNumberFormat="1" applyFont="1" applyFill="1" applyBorder="1" applyAlignment="1">
      <alignment wrapText="1"/>
    </xf>
    <xf numFmtId="0" fontId="17" fillId="39" borderId="130" xfId="0" applyFont="1" applyFill="1" applyBorder="1"/>
    <xf numFmtId="0" fontId="135" fillId="34" borderId="126" xfId="0" applyFont="1" applyFill="1" applyBorder="1" applyAlignment="1">
      <alignment wrapText="1"/>
    </xf>
    <xf numFmtId="0" fontId="17" fillId="34" borderId="128" xfId="0" applyFont="1" applyFill="1" applyBorder="1"/>
    <xf numFmtId="0" fontId="135" fillId="34" borderId="126" xfId="0" applyFont="1" applyFill="1" applyBorder="1" applyAlignment="1">
      <alignment horizontal="right" wrapText="1"/>
    </xf>
    <xf numFmtId="0" fontId="17" fillId="39" borderId="126" xfId="0" applyFont="1" applyFill="1" applyBorder="1"/>
    <xf numFmtId="0" fontId="17" fillId="34" borderId="126" xfId="0" applyFont="1" applyFill="1" applyBorder="1"/>
    <xf numFmtId="0" fontId="135" fillId="34" borderId="125" xfId="83" applyFont="1" applyFill="1" applyBorder="1" applyAlignment="1">
      <alignment wrapText="1"/>
    </xf>
    <xf numFmtId="0" fontId="23" fillId="39" borderId="127" xfId="78" applyFill="1" applyBorder="1"/>
    <xf numFmtId="0" fontId="23" fillId="38" borderId="127" xfId="78" applyFill="1" applyBorder="1"/>
    <xf numFmtId="0" fontId="135" fillId="34" borderId="31" xfId="83" applyFont="1" applyFill="1" applyBorder="1" applyAlignment="1">
      <alignment wrapText="1"/>
    </xf>
    <xf numFmtId="0" fontId="23" fillId="38" borderId="119" xfId="78" applyFill="1" applyBorder="1"/>
    <xf numFmtId="0" fontId="17" fillId="39" borderId="127" xfId="78" applyFont="1" applyFill="1" applyBorder="1"/>
    <xf numFmtId="0" fontId="135" fillId="34" borderId="131" xfId="83" applyFont="1" applyFill="1" applyBorder="1" applyAlignment="1">
      <alignment horizontal="right" wrapText="1"/>
    </xf>
    <xf numFmtId="0" fontId="135" fillId="39" borderId="126" xfId="83" applyFont="1" applyFill="1" applyBorder="1" applyAlignment="1">
      <alignment horizontal="right" wrapText="1"/>
    </xf>
    <xf numFmtId="0" fontId="23" fillId="39" borderId="126" xfId="78" applyFill="1" applyBorder="1"/>
    <xf numFmtId="0" fontId="135" fillId="40" borderId="61" xfId="83" applyFont="1" applyFill="1" applyBorder="1" applyAlignment="1">
      <alignment horizontal="center"/>
    </xf>
    <xf numFmtId="0" fontId="23" fillId="38" borderId="126" xfId="78" applyFill="1" applyBorder="1"/>
    <xf numFmtId="43" fontId="135" fillId="34" borderId="126" xfId="7" applyFont="1" applyFill="1" applyBorder="1" applyAlignment="1" applyProtection="1">
      <alignment horizontal="right" wrapText="1"/>
    </xf>
    <xf numFmtId="0" fontId="67" fillId="0" borderId="125" xfId="78" applyFont="1" applyBorder="1" applyAlignment="1">
      <alignment horizontal="left" vertical="center" wrapText="1" indent="1"/>
    </xf>
    <xf numFmtId="0" fontId="18" fillId="0" borderId="125" xfId="78" applyFont="1" applyBorder="1" applyAlignment="1">
      <alignment horizontal="left" vertical="center" wrapText="1"/>
    </xf>
    <xf numFmtId="2" fontId="18" fillId="0" borderId="126" xfId="78" applyNumberFormat="1" applyFont="1" applyBorder="1" applyAlignment="1">
      <alignment vertical="center" wrapText="1"/>
    </xf>
    <xf numFmtId="2" fontId="18" fillId="3" borderId="126" xfId="78" applyNumberFormat="1" applyFont="1" applyFill="1" applyBorder="1" applyAlignment="1">
      <alignment vertical="center" wrapText="1"/>
    </xf>
    <xf numFmtId="0" fontId="18" fillId="3" borderId="126" xfId="78" applyFont="1" applyFill="1" applyBorder="1"/>
    <xf numFmtId="4" fontId="18" fillId="41" borderId="127" xfId="78" applyNumberFormat="1" applyFont="1" applyFill="1" applyBorder="1" applyAlignment="1">
      <alignment horizontal="right"/>
    </xf>
    <xf numFmtId="0" fontId="18" fillId="0" borderId="125" xfId="78" applyFont="1" applyBorder="1"/>
    <xf numFmtId="2" fontId="18" fillId="0" borderId="126" xfId="78" applyNumberFormat="1" applyFont="1" applyBorder="1"/>
    <xf numFmtId="184" fontId="81" fillId="2" borderId="126" xfId="81" applyNumberFormat="1" applyFont="1" applyFill="1" applyBorder="1"/>
    <xf numFmtId="2" fontId="18" fillId="41" borderId="126" xfId="78" applyNumberFormat="1" applyFont="1" applyFill="1" applyBorder="1"/>
    <xf numFmtId="189" fontId="18" fillId="0" borderId="126" xfId="78" applyNumberFormat="1" applyFont="1" applyBorder="1"/>
    <xf numFmtId="2" fontId="18" fillId="3" borderId="126" xfId="78" applyNumberFormat="1" applyFont="1" applyFill="1" applyBorder="1"/>
    <xf numFmtId="184" fontId="92" fillId="3" borderId="126" xfId="81" applyNumberFormat="1" applyFont="1" applyFill="1" applyBorder="1"/>
    <xf numFmtId="189" fontId="18" fillId="3" borderId="126" xfId="78" applyNumberFormat="1" applyFont="1" applyFill="1" applyBorder="1"/>
    <xf numFmtId="0" fontId="18" fillId="0" borderId="125" xfId="78" applyFont="1" applyBorder="1" applyAlignment="1">
      <alignment horizontal="left"/>
    </xf>
    <xf numFmtId="2" fontId="18" fillId="3" borderId="126" xfId="78" applyNumberFormat="1" applyFont="1" applyFill="1" applyBorder="1" applyAlignment="1">
      <alignment horizontal="right"/>
    </xf>
    <xf numFmtId="2" fontId="18" fillId="3" borderId="126" xfId="78" applyNumberFormat="1" applyFont="1" applyFill="1" applyBorder="1" applyAlignment="1">
      <alignment horizontal="center"/>
    </xf>
    <xf numFmtId="0" fontId="205" fillId="0" borderId="126" xfId="0" applyFont="1" applyBorder="1" applyAlignment="1">
      <alignment vertical="center"/>
    </xf>
    <xf numFmtId="184" fontId="205" fillId="0" borderId="126" xfId="81" applyNumberFormat="1" applyFont="1" applyBorder="1" applyAlignment="1">
      <alignment vertical="center"/>
    </xf>
    <xf numFmtId="0" fontId="92" fillId="0" borderId="140" xfId="3" applyFont="1" applyBorder="1"/>
    <xf numFmtId="0" fontId="34" fillId="2" borderId="135" xfId="3" applyFont="1" applyFill="1" applyBorder="1"/>
    <xf numFmtId="0" fontId="32" fillId="2" borderId="135" xfId="3" applyFill="1" applyBorder="1"/>
    <xf numFmtId="0" fontId="32" fillId="2" borderId="134" xfId="3" applyFill="1" applyBorder="1"/>
    <xf numFmtId="3" fontId="32" fillId="2" borderId="135" xfId="3" applyNumberFormat="1" applyFill="1" applyBorder="1"/>
    <xf numFmtId="0" fontId="32" fillId="2" borderId="135" xfId="3" applyFill="1" applyBorder="1" applyAlignment="1">
      <alignment horizontal="center"/>
    </xf>
    <xf numFmtId="167" fontId="32" fillId="2" borderId="135" xfId="3" applyNumberFormat="1" applyFill="1" applyBorder="1" applyAlignment="1">
      <alignment horizontal="center"/>
    </xf>
    <xf numFmtId="3" fontId="32" fillId="2" borderId="135" xfId="3" applyNumberFormat="1" applyFill="1" applyBorder="1" applyAlignment="1">
      <alignment horizontal="center"/>
    </xf>
    <xf numFmtId="167" fontId="34" fillId="2" borderId="135" xfId="3" applyNumberFormat="1" applyFont="1" applyFill="1" applyBorder="1"/>
    <xf numFmtId="0" fontId="32" fillId="2" borderId="141" xfId="3" applyFill="1" applyBorder="1"/>
    <xf numFmtId="3" fontId="32" fillId="2" borderId="137" xfId="3" applyNumberFormat="1" applyFill="1" applyBorder="1"/>
    <xf numFmtId="3" fontId="32" fillId="2" borderId="142" xfId="3" applyNumberFormat="1" applyFill="1" applyBorder="1"/>
    <xf numFmtId="166" fontId="32" fillId="2" borderId="135" xfId="3" applyNumberFormat="1" applyFill="1" applyBorder="1"/>
    <xf numFmtId="3" fontId="32" fillId="2" borderId="144" xfId="3" applyNumberFormat="1" applyFill="1" applyBorder="1"/>
    <xf numFmtId="3" fontId="32" fillId="2" borderId="134" xfId="3" applyNumberFormat="1" applyFill="1" applyBorder="1"/>
    <xf numFmtId="3" fontId="32" fillId="2" borderId="145" xfId="3" applyNumberFormat="1" applyFill="1" applyBorder="1"/>
    <xf numFmtId="4" fontId="92" fillId="2" borderId="0" xfId="3" applyNumberFormat="1" applyFont="1" applyFill="1"/>
    <xf numFmtId="0" fontId="52" fillId="0" borderId="70" xfId="3" applyFont="1" applyBorder="1" applyAlignment="1">
      <alignment horizontal="left"/>
    </xf>
    <xf numFmtId="0" fontId="92" fillId="0" borderId="135" xfId="3" applyFont="1" applyBorder="1" applyAlignment="1">
      <alignment horizontal="center" vertical="center" wrapText="1"/>
    </xf>
    <xf numFmtId="167" fontId="92" fillId="0" borderId="135" xfId="3" applyNumberFormat="1" applyFont="1" applyBorder="1"/>
    <xf numFmtId="3" fontId="92" fillId="2" borderId="135" xfId="3" applyNumberFormat="1" applyFont="1" applyFill="1" applyBorder="1"/>
    <xf numFmtId="0" fontId="92" fillId="0" borderId="135" xfId="3" applyFont="1" applyBorder="1"/>
    <xf numFmtId="9" fontId="92" fillId="47" borderId="135" xfId="4" applyFont="1" applyFill="1" applyBorder="1" applyAlignment="1">
      <alignment vertical="center"/>
    </xf>
    <xf numFmtId="3" fontId="92" fillId="0" borderId="135" xfId="3" applyNumberFormat="1" applyFont="1" applyBorder="1"/>
    <xf numFmtId="9" fontId="92" fillId="53" borderId="135" xfId="4" applyFont="1" applyFill="1" applyBorder="1" applyAlignment="1">
      <alignment vertical="center"/>
    </xf>
    <xf numFmtId="9" fontId="92" fillId="42" borderId="135" xfId="4" applyFont="1" applyFill="1" applyBorder="1" applyAlignment="1">
      <alignment vertical="center"/>
    </xf>
    <xf numFmtId="9" fontId="92" fillId="15" borderId="135" xfId="4" applyFont="1" applyFill="1" applyBorder="1" applyAlignment="1">
      <alignment vertical="center"/>
    </xf>
    <xf numFmtId="3" fontId="92" fillId="0" borderId="144" xfId="3" applyNumberFormat="1" applyFont="1" applyBorder="1"/>
    <xf numFmtId="3" fontId="92" fillId="0" borderId="149" xfId="3" applyNumberFormat="1" applyFont="1" applyBorder="1"/>
    <xf numFmtId="0" fontId="92" fillId="2" borderId="152" xfId="3" applyFont="1" applyFill="1" applyBorder="1"/>
    <xf numFmtId="0" fontId="92" fillId="2" borderId="135" xfId="3" applyFont="1" applyFill="1" applyBorder="1" applyAlignment="1">
      <alignment horizontal="center" vertical="center"/>
    </xf>
    <xf numFmtId="167" fontId="92" fillId="0" borderId="134" xfId="3" applyNumberFormat="1" applyFont="1" applyBorder="1"/>
    <xf numFmtId="0" fontId="92" fillId="2" borderId="141" xfId="3" applyFont="1" applyFill="1" applyBorder="1"/>
    <xf numFmtId="3" fontId="92" fillId="0" borderId="141" xfId="3" applyNumberFormat="1" applyFont="1" applyBorder="1"/>
    <xf numFmtId="3" fontId="92" fillId="0" borderId="151" xfId="3" applyNumberFormat="1" applyFont="1" applyBorder="1"/>
    <xf numFmtId="0" fontId="92" fillId="0" borderId="141" xfId="3" applyFont="1" applyBorder="1"/>
    <xf numFmtId="171" fontId="92" fillId="2" borderId="149" xfId="3" applyNumberFormat="1" applyFont="1" applyFill="1" applyBorder="1" applyAlignment="1">
      <alignment horizontal="right"/>
    </xf>
    <xf numFmtId="171" fontId="92" fillId="2" borderId="163" xfId="3" applyNumberFormat="1" applyFont="1" applyFill="1" applyBorder="1" applyAlignment="1">
      <alignment horizontal="right"/>
    </xf>
    <xf numFmtId="3" fontId="92" fillId="0" borderId="136" xfId="3" applyNumberFormat="1" applyFont="1" applyBorder="1"/>
    <xf numFmtId="0" fontId="92" fillId="0" borderId="136" xfId="3" applyFont="1" applyBorder="1"/>
    <xf numFmtId="9" fontId="92" fillId="53" borderId="136" xfId="4" applyFont="1" applyFill="1" applyBorder="1" applyAlignment="1">
      <alignment vertical="center"/>
    </xf>
    <xf numFmtId="3" fontId="92" fillId="0" borderId="168" xfId="3" applyNumberFormat="1" applyFont="1" applyBorder="1"/>
    <xf numFmtId="3" fontId="92" fillId="2" borderId="164" xfId="3" applyNumberFormat="1" applyFont="1" applyFill="1" applyBorder="1"/>
    <xf numFmtId="0" fontId="92" fillId="0" borderId="164" xfId="3" applyFont="1" applyBorder="1"/>
    <xf numFmtId="171" fontId="92" fillId="2" borderId="170" xfId="3" applyNumberFormat="1" applyFont="1" applyFill="1" applyBorder="1" applyAlignment="1">
      <alignment horizontal="right"/>
    </xf>
    <xf numFmtId="171" fontId="92" fillId="2" borderId="174" xfId="3" applyNumberFormat="1" applyFont="1" applyFill="1" applyBorder="1" applyAlignment="1">
      <alignment horizontal="right"/>
    </xf>
    <xf numFmtId="3" fontId="92" fillId="2" borderId="175" xfId="3" applyNumberFormat="1" applyFont="1" applyFill="1" applyBorder="1"/>
    <xf numFmtId="3" fontId="92" fillId="0" borderId="178" xfId="3" applyNumberFormat="1" applyFont="1" applyBorder="1"/>
    <xf numFmtId="3" fontId="92" fillId="0" borderId="181" xfId="3" applyNumberFormat="1" applyFont="1" applyBorder="1"/>
    <xf numFmtId="0" fontId="92" fillId="0" borderId="149" xfId="3" applyFont="1" applyBorder="1" applyAlignment="1">
      <alignment horizontal="center" vertical="center" wrapText="1"/>
    </xf>
    <xf numFmtId="171" fontId="92" fillId="0" borderId="149" xfId="3" applyNumberFormat="1" applyFont="1" applyBorder="1" applyAlignment="1">
      <alignment horizontal="right"/>
    </xf>
    <xf numFmtId="3" fontId="92" fillId="2" borderId="136" xfId="3" applyNumberFormat="1" applyFont="1" applyFill="1" applyBorder="1"/>
    <xf numFmtId="0" fontId="92" fillId="0" borderId="163" xfId="3" applyFont="1" applyBorder="1" applyAlignment="1">
      <alignment horizontal="center" vertical="center" wrapText="1"/>
    </xf>
    <xf numFmtId="0" fontId="92" fillId="54" borderId="140" xfId="3" applyFont="1" applyFill="1" applyBorder="1"/>
    <xf numFmtId="0" fontId="92" fillId="54" borderId="153" xfId="3" applyFont="1" applyFill="1" applyBorder="1"/>
    <xf numFmtId="0" fontId="92" fillId="0" borderId="134" xfId="3" applyFont="1" applyBorder="1"/>
    <xf numFmtId="0" fontId="52" fillId="3" borderId="39" xfId="3" applyFont="1" applyFill="1" applyBorder="1" applyAlignment="1">
      <alignment vertical="center"/>
    </xf>
    <xf numFmtId="0" fontId="52" fillId="0" borderId="162" xfId="3" applyFont="1" applyBorder="1" applyAlignment="1">
      <alignment horizontal="left"/>
    </xf>
    <xf numFmtId="0" fontId="52" fillId="0" borderId="162" xfId="3" applyFont="1" applyBorder="1" applyAlignment="1">
      <alignment horizontal="left" wrapText="1"/>
    </xf>
    <xf numFmtId="0" fontId="52" fillId="0" borderId="183" xfId="3" applyFont="1" applyBorder="1" applyAlignment="1">
      <alignment horizontal="left" wrapText="1"/>
    </xf>
    <xf numFmtId="0" fontId="92" fillId="0" borderId="149" xfId="3" applyFont="1" applyBorder="1" applyAlignment="1">
      <alignment horizontal="center" vertical="center"/>
    </xf>
    <xf numFmtId="3" fontId="92" fillId="0" borderId="142" xfId="3" applyNumberFormat="1" applyFont="1" applyBorder="1"/>
    <xf numFmtId="0" fontId="92" fillId="2" borderId="171" xfId="3" applyFont="1" applyFill="1" applyBorder="1"/>
    <xf numFmtId="0" fontId="92" fillId="2" borderId="149" xfId="3" applyFont="1" applyFill="1" applyBorder="1" applyAlignment="1">
      <alignment horizontal="center" vertical="center"/>
    </xf>
    <xf numFmtId="9" fontId="92" fillId="47" borderId="136" xfId="4" applyFont="1" applyFill="1" applyBorder="1" applyAlignment="1">
      <alignment vertical="center"/>
    </xf>
    <xf numFmtId="3" fontId="92" fillId="0" borderId="139" xfId="3" applyNumberFormat="1" applyFont="1" applyBorder="1"/>
    <xf numFmtId="0" fontId="92" fillId="54" borderId="141" xfId="3" applyFont="1" applyFill="1" applyBorder="1"/>
    <xf numFmtId="171" fontId="92" fillId="2" borderId="184" xfId="3" applyNumberFormat="1" applyFont="1" applyFill="1" applyBorder="1" applyAlignment="1">
      <alignment horizontal="right"/>
    </xf>
    <xf numFmtId="3" fontId="92" fillId="2" borderId="185" xfId="3" applyNumberFormat="1" applyFont="1" applyFill="1" applyBorder="1"/>
    <xf numFmtId="0" fontId="92" fillId="0" borderId="185" xfId="3" applyFont="1" applyBorder="1"/>
    <xf numFmtId="9" fontId="92" fillId="47" borderId="185" xfId="4" applyFont="1" applyFill="1" applyBorder="1" applyAlignment="1">
      <alignment vertical="center"/>
    </xf>
    <xf numFmtId="9" fontId="92" fillId="53" borderId="185" xfId="4" applyFont="1" applyFill="1" applyBorder="1" applyAlignment="1">
      <alignment vertical="center"/>
    </xf>
    <xf numFmtId="3" fontId="92" fillId="0" borderId="185" xfId="3" applyNumberFormat="1" applyFont="1" applyBorder="1"/>
    <xf numFmtId="3" fontId="92" fillId="0" borderId="186" xfId="3" applyNumberFormat="1" applyFont="1" applyBorder="1"/>
    <xf numFmtId="3" fontId="92" fillId="0" borderId="187" xfId="3" applyNumberFormat="1" applyFont="1" applyBorder="1"/>
    <xf numFmtId="9" fontId="92" fillId="47" borderId="164" xfId="4" applyFont="1" applyFill="1" applyBorder="1" applyAlignment="1">
      <alignment vertical="center"/>
    </xf>
    <xf numFmtId="9" fontId="92" fillId="53" borderId="164" xfId="4" applyFont="1" applyFill="1" applyBorder="1" applyAlignment="1">
      <alignment vertical="center"/>
    </xf>
    <xf numFmtId="3" fontId="92" fillId="0" borderId="188" xfId="3" applyNumberFormat="1" applyFont="1" applyBorder="1"/>
    <xf numFmtId="3" fontId="92" fillId="0" borderId="164" xfId="3" applyNumberFormat="1" applyFont="1" applyBorder="1"/>
    <xf numFmtId="3" fontId="92" fillId="0" borderId="189" xfId="3" applyNumberFormat="1" applyFont="1" applyBorder="1"/>
    <xf numFmtId="0" fontId="92" fillId="0" borderId="175" xfId="3" applyFont="1" applyBorder="1"/>
    <xf numFmtId="9" fontId="92" fillId="47" borderId="190" xfId="4" applyFont="1" applyFill="1" applyBorder="1" applyAlignment="1">
      <alignment vertical="center"/>
    </xf>
    <xf numFmtId="9" fontId="92" fillId="53" borderId="191" xfId="4" applyFont="1" applyFill="1" applyBorder="1" applyAlignment="1">
      <alignment vertical="center"/>
    </xf>
    <xf numFmtId="9" fontId="92" fillId="42" borderId="191" xfId="4" applyFont="1" applyFill="1" applyBorder="1" applyAlignment="1">
      <alignment vertical="center"/>
    </xf>
    <xf numFmtId="9" fontId="92" fillId="15" borderId="175" xfId="4" applyFont="1" applyFill="1" applyBorder="1" applyAlignment="1">
      <alignment vertical="center"/>
    </xf>
    <xf numFmtId="3" fontId="92" fillId="0" borderId="192" xfId="3" applyNumberFormat="1" applyFont="1" applyBorder="1"/>
    <xf numFmtId="3" fontId="92" fillId="0" borderId="175" xfId="3" applyNumberFormat="1" applyFont="1" applyBorder="1"/>
    <xf numFmtId="3" fontId="92" fillId="0" borderId="193" xfId="3" applyNumberFormat="1" applyFont="1" applyBorder="1"/>
    <xf numFmtId="0" fontId="92" fillId="2" borderId="182" xfId="3" applyFont="1" applyFill="1" applyBorder="1"/>
    <xf numFmtId="167" fontId="95" fillId="2" borderId="194" xfId="3" applyNumberFormat="1" applyFont="1" applyFill="1" applyBorder="1"/>
    <xf numFmtId="167" fontId="95" fillId="2" borderId="195" xfId="3" applyNumberFormat="1" applyFont="1" applyFill="1" applyBorder="1"/>
    <xf numFmtId="3" fontId="95" fillId="2" borderId="195" xfId="3" applyNumberFormat="1" applyFont="1" applyFill="1" applyBorder="1"/>
    <xf numFmtId="9" fontId="92" fillId="47" borderId="195" xfId="4" applyFont="1" applyFill="1" applyBorder="1" applyAlignment="1">
      <alignment vertical="center"/>
    </xf>
    <xf numFmtId="9" fontId="92" fillId="53" borderId="195" xfId="4" applyFont="1" applyFill="1" applyBorder="1" applyAlignment="1">
      <alignment vertical="center"/>
    </xf>
    <xf numFmtId="9" fontId="92" fillId="42" borderId="195" xfId="4" applyFont="1" applyFill="1" applyBorder="1" applyAlignment="1">
      <alignment vertical="center"/>
    </xf>
    <xf numFmtId="9" fontId="92" fillId="15" borderId="195" xfId="4" applyFont="1" applyFill="1" applyBorder="1" applyAlignment="1">
      <alignment vertical="center"/>
    </xf>
    <xf numFmtId="3" fontId="95" fillId="2" borderId="196" xfId="3" applyNumberFormat="1" applyFont="1" applyFill="1" applyBorder="1"/>
    <xf numFmtId="3" fontId="95" fillId="2" borderId="197" xfId="3" applyNumberFormat="1" applyFont="1" applyFill="1" applyBorder="1"/>
    <xf numFmtId="0" fontId="95" fillId="2" borderId="159" xfId="3" applyFont="1" applyFill="1" applyBorder="1"/>
    <xf numFmtId="0" fontId="52" fillId="0" borderId="152" xfId="3" applyFont="1" applyBorder="1" applyAlignment="1">
      <alignment horizontal="left" wrapText="1"/>
    </xf>
    <xf numFmtId="0" fontId="92" fillId="2" borderId="169" xfId="3" applyFont="1" applyFill="1" applyBorder="1"/>
    <xf numFmtId="0" fontId="92" fillId="2" borderId="163" xfId="3" applyFont="1" applyFill="1" applyBorder="1" applyAlignment="1">
      <alignment horizontal="center" vertical="center"/>
    </xf>
    <xf numFmtId="3" fontId="92" fillId="2" borderId="134" xfId="3" applyNumberFormat="1" applyFont="1" applyFill="1" applyBorder="1"/>
    <xf numFmtId="0" fontId="52" fillId="0" borderId="77" xfId="3" applyFont="1" applyBorder="1" applyAlignment="1">
      <alignment horizontal="left"/>
    </xf>
    <xf numFmtId="0" fontId="52" fillId="0" borderId="58" xfId="3" applyFont="1" applyBorder="1" applyAlignment="1">
      <alignment horizontal="left" wrapText="1"/>
    </xf>
    <xf numFmtId="0" fontId="52" fillId="0" borderId="59" xfId="3" applyFont="1" applyBorder="1" applyAlignment="1">
      <alignment horizontal="left" wrapText="1"/>
    </xf>
    <xf numFmtId="3" fontId="92" fillId="0" borderId="135" xfId="3" applyNumberFormat="1" applyFont="1" applyBorder="1" applyAlignment="1">
      <alignment horizontal="right"/>
    </xf>
    <xf numFmtId="3" fontId="92" fillId="0" borderId="2" xfId="3" applyNumberFormat="1" applyFont="1" applyBorder="1"/>
    <xf numFmtId="3" fontId="92" fillId="0" borderId="3" xfId="3" applyNumberFormat="1" applyFont="1" applyBorder="1"/>
    <xf numFmtId="3" fontId="92" fillId="0" borderId="39" xfId="3" applyNumberFormat="1" applyFont="1" applyBorder="1"/>
    <xf numFmtId="0" fontId="92" fillId="2" borderId="152" xfId="3" applyFont="1" applyFill="1" applyBorder="1" applyAlignment="1">
      <alignment wrapText="1"/>
    </xf>
    <xf numFmtId="3" fontId="92" fillId="0" borderId="81" xfId="3" applyNumberFormat="1" applyFont="1" applyBorder="1"/>
    <xf numFmtId="3" fontId="92" fillId="0" borderId="43" xfId="3" applyNumberFormat="1" applyFont="1" applyBorder="1"/>
    <xf numFmtId="3" fontId="92" fillId="0" borderId="78" xfId="3" applyNumberFormat="1" applyFont="1" applyBorder="1"/>
    <xf numFmtId="0" fontId="95" fillId="0" borderId="141" xfId="3" applyFont="1" applyBorder="1"/>
    <xf numFmtId="171" fontId="92" fillId="0" borderId="143" xfId="3" applyNumberFormat="1" applyFont="1" applyBorder="1" applyAlignment="1">
      <alignment horizontal="right"/>
    </xf>
    <xf numFmtId="167" fontId="92" fillId="0" borderId="137" xfId="3" applyNumberFormat="1" applyFont="1" applyBorder="1"/>
    <xf numFmtId="3" fontId="92" fillId="0" borderId="137" xfId="3" applyNumberFormat="1" applyFont="1" applyBorder="1" applyAlignment="1">
      <alignment horizontal="right"/>
    </xf>
    <xf numFmtId="0" fontId="92" fillId="0" borderId="137" xfId="3" applyFont="1" applyBorder="1"/>
    <xf numFmtId="0" fontId="242" fillId="0" borderId="137" xfId="3" applyFont="1" applyBorder="1" applyAlignment="1">
      <alignment horizontal="center"/>
    </xf>
    <xf numFmtId="3" fontId="92" fillId="0" borderId="137" xfId="3" applyNumberFormat="1" applyFont="1" applyBorder="1"/>
    <xf numFmtId="9" fontId="92" fillId="2" borderId="152" xfId="3" applyNumberFormat="1" applyFont="1" applyFill="1" applyBorder="1"/>
    <xf numFmtId="3" fontId="92" fillId="0" borderId="18" xfId="3" applyNumberFormat="1" applyFont="1" applyBorder="1" applyAlignment="1">
      <alignment horizontal="right"/>
    </xf>
    <xf numFmtId="0" fontId="92" fillId="0" borderId="18" xfId="3" applyFont="1" applyBorder="1"/>
    <xf numFmtId="3" fontId="92" fillId="0" borderId="4" xfId="3" applyNumberFormat="1" applyFont="1" applyBorder="1"/>
    <xf numFmtId="3" fontId="92" fillId="0" borderId="0" xfId="3" applyNumberFormat="1" applyFont="1"/>
    <xf numFmtId="3" fontId="92" fillId="0" borderId="5" xfId="3" applyNumberFormat="1" applyFont="1" applyBorder="1"/>
    <xf numFmtId="0" fontId="92" fillId="2" borderId="152" xfId="3" applyFont="1" applyFill="1" applyBorder="1" applyProtection="1">
      <protection locked="0"/>
    </xf>
    <xf numFmtId="3" fontId="92" fillId="0" borderId="53" xfId="3" quotePrefix="1" applyNumberFormat="1" applyFont="1" applyBorder="1"/>
    <xf numFmtId="3" fontId="92" fillId="0" borderId="54" xfId="3" applyNumberFormat="1" applyFont="1" applyBorder="1"/>
    <xf numFmtId="3" fontId="92" fillId="0" borderId="60" xfId="3" applyNumberFormat="1" applyFont="1" applyBorder="1"/>
    <xf numFmtId="9" fontId="92" fillId="0" borderId="137" xfId="4" applyFont="1" applyFill="1" applyBorder="1" applyAlignment="1">
      <alignment vertical="center"/>
    </xf>
    <xf numFmtId="3" fontId="92" fillId="0" borderId="134" xfId="3" applyNumberFormat="1" applyFont="1" applyBorder="1" applyAlignment="1">
      <alignment horizontal="right"/>
    </xf>
    <xf numFmtId="9" fontId="92" fillId="47" borderId="134" xfId="4" applyFont="1" applyFill="1" applyBorder="1" applyAlignment="1">
      <alignment vertical="center"/>
    </xf>
    <xf numFmtId="3" fontId="92" fillId="0" borderId="134" xfId="3" applyNumberFormat="1" applyFont="1" applyBorder="1"/>
    <xf numFmtId="9" fontId="92" fillId="53" borderId="134" xfId="4" applyFont="1" applyFill="1" applyBorder="1" applyAlignment="1">
      <alignment vertical="center"/>
    </xf>
    <xf numFmtId="9" fontId="92" fillId="42" borderId="134" xfId="4" applyFont="1" applyFill="1" applyBorder="1" applyAlignment="1">
      <alignment vertical="center"/>
    </xf>
    <xf numFmtId="9" fontId="92" fillId="15" borderId="134" xfId="4" applyFont="1" applyFill="1" applyBorder="1" applyAlignment="1">
      <alignment vertical="center"/>
    </xf>
    <xf numFmtId="3" fontId="92" fillId="0" borderId="153" xfId="3" applyNumberFormat="1" applyFont="1" applyBorder="1"/>
    <xf numFmtId="3" fontId="92" fillId="0" borderId="145" xfId="3" applyNumberFormat="1" applyFont="1" applyBorder="1"/>
    <xf numFmtId="0" fontId="92" fillId="2" borderId="154" xfId="3" applyFont="1" applyFill="1" applyBorder="1"/>
    <xf numFmtId="3" fontId="95" fillId="2" borderId="6" xfId="3" applyNumberFormat="1" applyFont="1" applyFill="1" applyBorder="1"/>
    <xf numFmtId="3" fontId="95" fillId="2" borderId="7" xfId="3" applyNumberFormat="1" applyFont="1" applyFill="1" applyBorder="1"/>
    <xf numFmtId="3" fontId="95" fillId="2" borderId="8" xfId="3" applyNumberFormat="1" applyFont="1" applyFill="1" applyBorder="1"/>
    <xf numFmtId="3" fontId="92" fillId="0" borderId="149" xfId="3" applyNumberFormat="1" applyFont="1" applyBorder="1" applyAlignment="1">
      <alignment horizontal="right"/>
    </xf>
    <xf numFmtId="0" fontId="92" fillId="0" borderId="135" xfId="3" applyFont="1" applyBorder="1" applyAlignment="1">
      <alignment vertical="center" wrapText="1"/>
    </xf>
    <xf numFmtId="3" fontId="92" fillId="54" borderId="135" xfId="3" applyNumberFormat="1" applyFont="1" applyFill="1" applyBorder="1" applyAlignment="1">
      <alignment horizontal="right"/>
    </xf>
    <xf numFmtId="167" fontId="92" fillId="0" borderId="149" xfId="3" applyNumberFormat="1" applyFont="1" applyBorder="1" applyAlignment="1">
      <alignment horizontal="right"/>
    </xf>
    <xf numFmtId="4" fontId="92" fillId="0" borderId="149" xfId="3" applyNumberFormat="1" applyFont="1" applyBorder="1" applyAlignment="1">
      <alignment horizontal="right"/>
    </xf>
    <xf numFmtId="9" fontId="92" fillId="2" borderId="0" xfId="4" applyFont="1" applyFill="1"/>
    <xf numFmtId="178" fontId="92" fillId="2" borderId="0" xfId="3" applyNumberFormat="1" applyFont="1" applyFill="1"/>
    <xf numFmtId="0" fontId="32" fillId="0" borderId="142" xfId="3" applyBorder="1"/>
    <xf numFmtId="0" fontId="226" fillId="0" borderId="0" xfId="3" applyFont="1"/>
    <xf numFmtId="3" fontId="34" fillId="57" borderId="0" xfId="3" applyNumberFormat="1" applyFont="1" applyFill="1"/>
    <xf numFmtId="0" fontId="243" fillId="0" borderId="0" xfId="3" applyFont="1"/>
    <xf numFmtId="0" fontId="245" fillId="0" borderId="0" xfId="91" applyFont="1"/>
    <xf numFmtId="166" fontId="87" fillId="9" borderId="0" xfId="3" applyNumberFormat="1" applyFont="1" applyFill="1" applyAlignment="1">
      <alignment horizontal="left"/>
    </xf>
    <xf numFmtId="2" fontId="32" fillId="2" borderId="0" xfId="3" applyNumberFormat="1" applyFill="1"/>
    <xf numFmtId="9" fontId="32" fillId="2" borderId="142" xfId="4" applyFont="1" applyFill="1" applyBorder="1"/>
    <xf numFmtId="9" fontId="32" fillId="15" borderId="135" xfId="4" applyFont="1" applyFill="1" applyBorder="1"/>
    <xf numFmtId="167" fontId="32" fillId="2" borderId="141" xfId="3" applyNumberFormat="1" applyFill="1" applyBorder="1"/>
    <xf numFmtId="0" fontId="32" fillId="2" borderId="137" xfId="3" applyFill="1" applyBorder="1"/>
    <xf numFmtId="9" fontId="32" fillId="2" borderId="141" xfId="3" applyNumberFormat="1" applyFill="1" applyBorder="1"/>
    <xf numFmtId="167" fontId="32" fillId="2" borderId="135" xfId="3" applyNumberFormat="1" applyFill="1" applyBorder="1"/>
    <xf numFmtId="167" fontId="32" fillId="2" borderId="0" xfId="3" applyNumberFormat="1" applyFill="1"/>
    <xf numFmtId="167" fontId="32" fillId="0" borderId="142" xfId="4" applyNumberFormat="1" applyFont="1" applyFill="1" applyBorder="1"/>
    <xf numFmtId="167" fontId="32" fillId="0" borderId="14" xfId="4" applyNumberFormat="1" applyFont="1" applyFill="1" applyBorder="1"/>
    <xf numFmtId="167" fontId="32" fillId="0" borderId="13" xfId="4" applyNumberFormat="1" applyFont="1" applyFill="1" applyBorder="1"/>
    <xf numFmtId="167" fontId="32" fillId="0" borderId="1" xfId="4" applyNumberFormat="1" applyFont="1" applyFill="1" applyBorder="1"/>
    <xf numFmtId="167" fontId="32" fillId="0" borderId="135" xfId="4" applyNumberFormat="1" applyFont="1" applyFill="1" applyBorder="1"/>
    <xf numFmtId="0" fontId="32" fillId="2" borderId="139" xfId="3" applyFill="1" applyBorder="1"/>
    <xf numFmtId="0" fontId="32" fillId="2" borderId="140" xfId="3" applyFill="1" applyBorder="1" applyAlignment="1">
      <alignment textRotation="19"/>
    </xf>
    <xf numFmtId="9" fontId="32" fillId="42" borderId="135" xfId="4" applyFont="1" applyFill="1" applyBorder="1"/>
    <xf numFmtId="0" fontId="32" fillId="2" borderId="0" xfId="3" applyFill="1" applyAlignment="1">
      <alignment horizontal="left" indent="1"/>
    </xf>
    <xf numFmtId="9" fontId="32" fillId="53" borderId="135" xfId="4" applyFont="1" applyFill="1" applyBorder="1"/>
    <xf numFmtId="9" fontId="32" fillId="47" borderId="135" xfId="4" applyFont="1" applyFill="1" applyBorder="1"/>
    <xf numFmtId="167" fontId="32" fillId="0" borderId="15" xfId="4" applyNumberFormat="1" applyFont="1" applyFill="1" applyBorder="1"/>
    <xf numFmtId="9" fontId="32" fillId="2" borderId="135" xfId="4" applyFont="1" applyFill="1" applyBorder="1"/>
    <xf numFmtId="0" fontId="32" fillId="2" borderId="137" xfId="3" applyFill="1" applyBorder="1" applyAlignment="1">
      <alignment horizontal="left" indent="1"/>
    </xf>
    <xf numFmtId="0" fontId="32" fillId="2" borderId="141" xfId="3" applyFill="1" applyBorder="1" applyAlignment="1">
      <alignment horizontal="left" indent="1"/>
    </xf>
    <xf numFmtId="167" fontId="32" fillId="15" borderId="135" xfId="4" applyNumberFormat="1" applyFont="1" applyFill="1" applyBorder="1"/>
    <xf numFmtId="167" fontId="32" fillId="42" borderId="135" xfId="4" applyNumberFormat="1" applyFont="1" applyFill="1" applyBorder="1"/>
    <xf numFmtId="167" fontId="32" fillId="53" borderId="135" xfId="4" applyNumberFormat="1" applyFont="1" applyFill="1" applyBorder="1"/>
    <xf numFmtId="167" fontId="32" fillId="47" borderId="135" xfId="4" applyNumberFormat="1" applyFont="1" applyFill="1" applyBorder="1"/>
    <xf numFmtId="0" fontId="32" fillId="2" borderId="142" xfId="3" applyFill="1" applyBorder="1"/>
    <xf numFmtId="0" fontId="34" fillId="2" borderId="137" xfId="3" applyFont="1" applyFill="1" applyBorder="1"/>
    <xf numFmtId="0" fontId="34" fillId="2" borderId="141" xfId="3" applyFont="1" applyFill="1" applyBorder="1"/>
    <xf numFmtId="167" fontId="32" fillId="0" borderId="135" xfId="3" applyNumberFormat="1" applyBorder="1"/>
    <xf numFmtId="3" fontId="34" fillId="2" borderId="135" xfId="3" applyNumberFormat="1" applyFont="1" applyFill="1" applyBorder="1"/>
    <xf numFmtId="0" fontId="32" fillId="2" borderId="142" xfId="3" applyFill="1" applyBorder="1" applyAlignment="1">
      <alignment horizontal="left"/>
    </xf>
    <xf numFmtId="0" fontId="32" fillId="2" borderId="141" xfId="3" applyFill="1" applyBorder="1" applyAlignment="1">
      <alignment horizontal="right"/>
    </xf>
    <xf numFmtId="3" fontId="32" fillId="54" borderId="135" xfId="3" applyNumberFormat="1" applyFill="1" applyBorder="1"/>
    <xf numFmtId="3" fontId="32" fillId="15" borderId="135" xfId="4" applyNumberFormat="1" applyFont="1" applyFill="1" applyBorder="1"/>
    <xf numFmtId="3" fontId="32" fillId="42" borderId="135" xfId="4" applyNumberFormat="1" applyFont="1" applyFill="1" applyBorder="1"/>
    <xf numFmtId="3" fontId="32" fillId="53" borderId="135" xfId="4" applyNumberFormat="1" applyFont="1" applyFill="1" applyBorder="1"/>
    <xf numFmtId="3" fontId="32" fillId="47" borderId="135" xfId="4" applyNumberFormat="1" applyFont="1" applyFill="1" applyBorder="1"/>
    <xf numFmtId="3" fontId="32" fillId="0" borderId="135" xfId="3" applyNumberFormat="1" applyBorder="1"/>
    <xf numFmtId="4" fontId="32" fillId="2" borderId="137" xfId="3" applyNumberFormat="1" applyFill="1" applyBorder="1"/>
    <xf numFmtId="1" fontId="34" fillId="2" borderId="142" xfId="3" applyNumberFormat="1" applyFont="1" applyFill="1" applyBorder="1"/>
    <xf numFmtId="9" fontId="32" fillId="2" borderId="137" xfId="4" applyFont="1" applyFill="1" applyBorder="1"/>
    <xf numFmtId="0" fontId="32" fillId="2" borderId="0" xfId="3" applyFill="1" applyAlignment="1">
      <alignment horizontal="right"/>
    </xf>
    <xf numFmtId="4" fontId="32" fillId="15" borderId="135" xfId="4" applyNumberFormat="1" applyFont="1" applyFill="1" applyBorder="1"/>
    <xf numFmtId="4" fontId="32" fillId="42" borderId="135" xfId="4" applyNumberFormat="1" applyFont="1" applyFill="1" applyBorder="1"/>
    <xf numFmtId="4" fontId="32" fillId="53" borderId="135" xfId="4" applyNumberFormat="1" applyFont="1" applyFill="1" applyBorder="1"/>
    <xf numFmtId="4" fontId="32" fillId="47" borderId="135" xfId="4" applyNumberFormat="1" applyFont="1" applyFill="1" applyBorder="1"/>
    <xf numFmtId="10" fontId="32" fillId="15" borderId="135" xfId="4" applyNumberFormat="1" applyFont="1" applyFill="1" applyBorder="1"/>
    <xf numFmtId="10" fontId="32" fillId="42" borderId="135" xfId="4" applyNumberFormat="1" applyFont="1" applyFill="1" applyBorder="1"/>
    <xf numFmtId="10" fontId="32" fillId="53" borderId="135" xfId="4" applyNumberFormat="1" applyFont="1" applyFill="1" applyBorder="1"/>
    <xf numFmtId="10" fontId="32" fillId="47" borderId="135" xfId="4" applyNumberFormat="1" applyFont="1" applyFill="1" applyBorder="1"/>
    <xf numFmtId="0" fontId="32" fillId="0" borderId="137" xfId="3" applyBorder="1"/>
    <xf numFmtId="0" fontId="32" fillId="0" borderId="141" xfId="3" applyBorder="1"/>
    <xf numFmtId="9" fontId="32" fillId="2" borderId="136" xfId="4" applyFont="1" applyFill="1" applyBorder="1"/>
    <xf numFmtId="0" fontId="32" fillId="2" borderId="138" xfId="3" applyFill="1" applyBorder="1"/>
    <xf numFmtId="0" fontId="32" fillId="2" borderId="136" xfId="3" applyFill="1" applyBorder="1"/>
    <xf numFmtId="0" fontId="32" fillId="2" borderId="137" xfId="3" applyFill="1" applyBorder="1" applyAlignment="1">
      <alignment horizontal="right"/>
    </xf>
    <xf numFmtId="181" fontId="32" fillId="15" borderId="135" xfId="4" applyNumberFormat="1" applyFont="1" applyFill="1" applyBorder="1"/>
    <xf numFmtId="181" fontId="32" fillId="42" borderId="135" xfId="4" applyNumberFormat="1" applyFont="1" applyFill="1" applyBorder="1"/>
    <xf numFmtId="181" fontId="32" fillId="53" borderId="135" xfId="4" applyNumberFormat="1" applyFont="1" applyFill="1" applyBorder="1"/>
    <xf numFmtId="181" fontId="32" fillId="47" borderId="135" xfId="4" applyNumberFormat="1" applyFont="1" applyFill="1" applyBorder="1"/>
    <xf numFmtId="181" fontId="32" fillId="2" borderId="137" xfId="4" applyNumberFormat="1" applyFont="1" applyFill="1" applyBorder="1" applyAlignment="1">
      <alignment horizontal="left"/>
    </xf>
    <xf numFmtId="167" fontId="83" fillId="2" borderId="135" xfId="3" applyNumberFormat="1" applyFont="1" applyFill="1" applyBorder="1"/>
    <xf numFmtId="166" fontId="34" fillId="2" borderId="135" xfId="3" applyNumberFormat="1" applyFont="1" applyFill="1" applyBorder="1"/>
    <xf numFmtId="166" fontId="32" fillId="0" borderId="135" xfId="3" applyNumberFormat="1" applyBorder="1"/>
    <xf numFmtId="0" fontId="32" fillId="2" borderId="43" xfId="3" applyFill="1" applyBorder="1"/>
    <xf numFmtId="0" fontId="32" fillId="2" borderId="43" xfId="3" applyFill="1" applyBorder="1" applyAlignment="1">
      <alignment horizontal="left" indent="1"/>
    </xf>
    <xf numFmtId="0" fontId="32" fillId="2" borderId="65" xfId="3" applyFill="1" applyBorder="1" applyAlignment="1">
      <alignment horizontal="left" indent="1"/>
    </xf>
    <xf numFmtId="0" fontId="32" fillId="2" borderId="80" xfId="3" applyFill="1" applyBorder="1"/>
    <xf numFmtId="9" fontId="32" fillId="2" borderId="137" xfId="4" applyFont="1" applyFill="1" applyBorder="1" applyAlignment="1">
      <alignment horizontal="right"/>
    </xf>
    <xf numFmtId="166" fontId="32" fillId="2" borderId="141" xfId="3" applyNumberFormat="1" applyFill="1" applyBorder="1"/>
    <xf numFmtId="4" fontId="32" fillId="2" borderId="138" xfId="3" applyNumberFormat="1" applyFill="1" applyBorder="1"/>
    <xf numFmtId="0" fontId="32" fillId="2" borderId="138" xfId="3" applyFill="1" applyBorder="1" applyAlignment="1">
      <alignment horizontal="left" indent="1"/>
    </xf>
    <xf numFmtId="0" fontId="32" fillId="2" borderId="140" xfId="3" applyFill="1" applyBorder="1" applyAlignment="1">
      <alignment horizontal="left" indent="1"/>
    </xf>
    <xf numFmtId="0" fontId="32" fillId="2" borderId="140" xfId="3" applyFill="1" applyBorder="1"/>
    <xf numFmtId="166" fontId="88" fillId="2" borderId="0" xfId="3" applyNumberFormat="1" applyFont="1" applyFill="1"/>
    <xf numFmtId="166" fontId="88" fillId="0" borderId="0" xfId="3" applyNumberFormat="1" applyFont="1"/>
    <xf numFmtId="3" fontId="34" fillId="0" borderId="135" xfId="3" applyNumberFormat="1" applyFont="1" applyBorder="1" applyAlignment="1">
      <alignment horizontal="right"/>
    </xf>
    <xf numFmtId="0" fontId="32" fillId="2" borderId="138" xfId="3" applyFill="1" applyBorder="1" applyAlignment="1">
      <alignment horizontal="right"/>
    </xf>
    <xf numFmtId="3" fontId="32" fillId="0" borderId="142" xfId="3" applyNumberFormat="1" applyBorder="1" applyAlignment="1">
      <alignment horizontal="right"/>
    </xf>
    <xf numFmtId="3" fontId="32" fillId="0" borderId="135" xfId="3" applyNumberFormat="1" applyBorder="1" applyAlignment="1">
      <alignment horizontal="right"/>
    </xf>
    <xf numFmtId="181" fontId="32" fillId="2" borderId="135" xfId="4" applyNumberFormat="1" applyFont="1" applyFill="1" applyBorder="1"/>
    <xf numFmtId="4" fontId="32" fillId="0" borderId="137" xfId="3" applyNumberFormat="1" applyBorder="1"/>
    <xf numFmtId="0" fontId="32" fillId="0" borderId="43" xfId="3" applyBorder="1"/>
    <xf numFmtId="0" fontId="32" fillId="0" borderId="43" xfId="3" applyBorder="1" applyAlignment="1">
      <alignment horizontal="left" indent="1"/>
    </xf>
    <xf numFmtId="0" fontId="32" fillId="0" borderId="65" xfId="3" applyBorder="1" applyAlignment="1">
      <alignment horizontal="left" indent="1"/>
    </xf>
    <xf numFmtId="166" fontId="32" fillId="2" borderId="18" xfId="3" applyNumberFormat="1" applyFill="1" applyBorder="1"/>
    <xf numFmtId="166" fontId="32" fillId="2" borderId="65" xfId="3" applyNumberFormat="1" applyFill="1" applyBorder="1"/>
    <xf numFmtId="4" fontId="32" fillId="2" borderId="0" xfId="3" applyNumberFormat="1" applyFill="1"/>
    <xf numFmtId="0" fontId="32" fillId="2" borderId="61" xfId="3" applyFill="1" applyBorder="1" applyAlignment="1">
      <alignment horizontal="left" indent="1"/>
    </xf>
    <xf numFmtId="166" fontId="32" fillId="2" borderId="142" xfId="3" applyNumberFormat="1" applyFill="1" applyBorder="1"/>
    <xf numFmtId="166" fontId="32" fillId="2" borderId="137" xfId="3" applyNumberFormat="1" applyFill="1" applyBorder="1"/>
    <xf numFmtId="9" fontId="32" fillId="2" borderId="135" xfId="3" applyNumberFormat="1" applyFill="1" applyBorder="1"/>
    <xf numFmtId="167" fontId="89" fillId="2" borderId="135" xfId="3" applyNumberFormat="1" applyFont="1" applyFill="1" applyBorder="1"/>
    <xf numFmtId="0" fontId="34" fillId="2" borderId="142" xfId="3" applyFont="1" applyFill="1" applyBorder="1"/>
    <xf numFmtId="0" fontId="34" fillId="2" borderId="142" xfId="3" applyFont="1" applyFill="1" applyBorder="1" applyAlignment="1">
      <alignment horizontal="left"/>
    </xf>
    <xf numFmtId="181" fontId="32" fillId="2" borderId="135" xfId="3" applyNumberFormat="1" applyFill="1" applyBorder="1"/>
    <xf numFmtId="3" fontId="34" fillId="2" borderId="142" xfId="3" applyNumberFormat="1" applyFont="1" applyFill="1" applyBorder="1"/>
    <xf numFmtId="0" fontId="34" fillId="2" borderId="137" xfId="3" applyFont="1" applyFill="1" applyBorder="1" applyAlignment="1">
      <alignment horizontal="left"/>
    </xf>
    <xf numFmtId="0" fontId="32" fillId="2" borderId="138" xfId="3" applyFill="1" applyBorder="1" applyAlignment="1">
      <alignment horizontal="left"/>
    </xf>
    <xf numFmtId="3" fontId="32" fillId="2" borderId="138" xfId="3" applyNumberFormat="1" applyFill="1" applyBorder="1"/>
    <xf numFmtId="167" fontId="32" fillId="2" borderId="140" xfId="3" applyNumberFormat="1" applyFill="1" applyBorder="1"/>
    <xf numFmtId="167" fontId="32" fillId="2" borderId="136" xfId="3" applyNumberFormat="1" applyFill="1" applyBorder="1"/>
    <xf numFmtId="167" fontId="32" fillId="0" borderId="142" xfId="3" applyNumberFormat="1" applyBorder="1" applyAlignment="1">
      <alignment horizontal="right"/>
    </xf>
    <xf numFmtId="181" fontId="32" fillId="2" borderId="0" xfId="4" applyNumberFormat="1" applyFont="1" applyFill="1"/>
    <xf numFmtId="181" fontId="32" fillId="2" borderId="142" xfId="4" applyNumberFormat="1" applyFont="1" applyFill="1" applyBorder="1"/>
    <xf numFmtId="171" fontId="32" fillId="0" borderId="135" xfId="3" applyNumberFormat="1" applyBorder="1"/>
    <xf numFmtId="0" fontId="32" fillId="2" borderId="142" xfId="3" applyFill="1" applyBorder="1" applyAlignment="1">
      <alignment horizontal="right"/>
    </xf>
    <xf numFmtId="3" fontId="32" fillId="58" borderId="135" xfId="3" applyNumberFormat="1" applyFill="1" applyBorder="1"/>
    <xf numFmtId="9" fontId="32" fillId="0" borderId="135" xfId="3" applyNumberFormat="1" applyBorder="1"/>
    <xf numFmtId="3" fontId="32" fillId="57" borderId="135" xfId="3" applyNumberFormat="1" applyFill="1" applyBorder="1"/>
    <xf numFmtId="0" fontId="32" fillId="58" borderId="0" xfId="3" applyFill="1"/>
    <xf numFmtId="0" fontId="32" fillId="2" borderId="141" xfId="3" quotePrefix="1" applyFill="1" applyBorder="1" applyAlignment="1">
      <alignment horizontal="left" indent="1"/>
    </xf>
    <xf numFmtId="0" fontId="83" fillId="2" borderId="0" xfId="3" applyFont="1" applyFill="1"/>
    <xf numFmtId="0" fontId="32" fillId="2" borderId="141" xfId="3" applyFill="1" applyBorder="1" applyAlignment="1">
      <alignment horizontal="left"/>
    </xf>
    <xf numFmtId="3" fontId="32" fillId="54" borderId="18" xfId="3" applyNumberFormat="1" applyFill="1" applyBorder="1"/>
    <xf numFmtId="167" fontId="32" fillId="0" borderId="135" xfId="3" applyNumberFormat="1" applyBorder="1" applyAlignment="1">
      <alignment horizontal="right"/>
    </xf>
    <xf numFmtId="0" fontId="32" fillId="2" borderId="141" xfId="3" quotePrefix="1" applyFill="1" applyBorder="1" applyAlignment="1">
      <alignment horizontal="left"/>
    </xf>
    <xf numFmtId="9" fontId="32" fillId="0" borderId="142" xfId="4" applyFont="1" applyFill="1" applyBorder="1" applyAlignment="1">
      <alignment horizontal="right"/>
    </xf>
    <xf numFmtId="0" fontId="32" fillId="0" borderId="137" xfId="3" applyBorder="1" applyAlignment="1">
      <alignment horizontal="right"/>
    </xf>
    <xf numFmtId="0" fontId="32" fillId="0" borderId="138" xfId="3" applyBorder="1" applyAlignment="1">
      <alignment horizontal="right"/>
    </xf>
    <xf numFmtId="0" fontId="32" fillId="0" borderId="138" xfId="3" applyBorder="1"/>
    <xf numFmtId="0" fontId="32" fillId="0" borderId="140" xfId="3" applyBorder="1"/>
    <xf numFmtId="4" fontId="32" fillId="54" borderId="18" xfId="3" applyNumberFormat="1" applyFill="1" applyBorder="1"/>
    <xf numFmtId="0" fontId="32" fillId="2" borderId="137" xfId="3" applyFill="1" applyBorder="1" applyAlignment="1">
      <alignment horizontal="left"/>
    </xf>
    <xf numFmtId="0" fontId="32" fillId="9" borderId="0" xfId="3" applyFill="1"/>
    <xf numFmtId="166" fontId="32" fillId="9" borderId="0" xfId="3" applyNumberFormat="1" applyFill="1"/>
    <xf numFmtId="166" fontId="87" fillId="9" borderId="0" xfId="3" applyNumberFormat="1" applyFont="1" applyFill="1"/>
    <xf numFmtId="1" fontId="32" fillId="15" borderId="40" xfId="3" applyNumberFormat="1" applyFill="1" applyBorder="1" applyAlignment="1">
      <alignment horizontal="center" textRotation="90"/>
    </xf>
    <xf numFmtId="1" fontId="32" fillId="15" borderId="52" xfId="4" applyNumberFormat="1" applyFill="1" applyBorder="1" applyAlignment="1">
      <alignment horizontal="center" textRotation="90"/>
    </xf>
    <xf numFmtId="3" fontId="32" fillId="2" borderId="154" xfId="3" applyNumberFormat="1" applyFill="1" applyBorder="1"/>
    <xf numFmtId="3" fontId="32" fillId="2" borderId="199" xfId="3" applyNumberFormat="1" applyFill="1" applyBorder="1"/>
    <xf numFmtId="167" fontId="32" fillId="2" borderId="110" xfId="3" applyNumberFormat="1" applyFill="1" applyBorder="1"/>
    <xf numFmtId="3" fontId="34" fillId="2" borderId="132" xfId="3" applyNumberFormat="1" applyFont="1" applyFill="1" applyBorder="1"/>
    <xf numFmtId="3" fontId="32" fillId="0" borderId="134" xfId="3" applyNumberFormat="1" applyBorder="1"/>
    <xf numFmtId="3" fontId="32" fillId="2" borderId="133" xfId="3" applyNumberFormat="1" applyFill="1" applyBorder="1"/>
    <xf numFmtId="3" fontId="32" fillId="2" borderId="152" xfId="3" applyNumberFormat="1" applyFill="1" applyBorder="1"/>
    <xf numFmtId="167" fontId="32" fillId="0" borderId="143" xfId="3" applyNumberFormat="1" applyBorder="1"/>
    <xf numFmtId="3" fontId="34" fillId="2" borderId="200" xfId="3" applyNumberFormat="1" applyFont="1" applyFill="1" applyBorder="1"/>
    <xf numFmtId="3" fontId="32" fillId="0" borderId="135" xfId="27" applyNumberFormat="1" applyFont="1" applyFill="1" applyBorder="1"/>
    <xf numFmtId="3" fontId="32" fillId="2" borderId="149" xfId="3" applyNumberFormat="1" applyFill="1" applyBorder="1"/>
    <xf numFmtId="3" fontId="32" fillId="2" borderId="103" xfId="3" applyNumberFormat="1" applyFill="1" applyBorder="1"/>
    <xf numFmtId="3" fontId="32" fillId="15" borderId="135" xfId="27" applyNumberFormat="1" applyFont="1" applyFill="1" applyBorder="1"/>
    <xf numFmtId="3" fontId="32" fillId="0" borderId="133" xfId="3" applyNumberFormat="1" applyBorder="1"/>
    <xf numFmtId="3" fontId="32" fillId="5" borderId="132" xfId="3" applyNumberFormat="1" applyFill="1" applyBorder="1" applyAlignment="1">
      <alignment horizontal="left" indent="1"/>
    </xf>
    <xf numFmtId="3" fontId="32" fillId="2" borderId="201" xfId="3" applyNumberFormat="1" applyFill="1" applyBorder="1"/>
    <xf numFmtId="3" fontId="32" fillId="2" borderId="136" xfId="3" applyNumberFormat="1" applyFill="1" applyBorder="1"/>
    <xf numFmtId="3" fontId="32" fillId="0" borderId="136" xfId="3" applyNumberFormat="1" applyBorder="1"/>
    <xf numFmtId="3" fontId="32" fillId="2" borderId="163" xfId="3" applyNumberFormat="1" applyFill="1" applyBorder="1"/>
    <xf numFmtId="3" fontId="32" fillId="2" borderId="139" xfId="3" applyNumberFormat="1" applyFill="1" applyBorder="1"/>
    <xf numFmtId="3" fontId="32" fillId="0" borderId="163" xfId="3" applyNumberFormat="1" applyBorder="1"/>
    <xf numFmtId="3" fontId="32" fillId="5" borderId="202" xfId="3" applyNumberFormat="1" applyFill="1" applyBorder="1" applyAlignment="1">
      <alignment horizontal="left" indent="1"/>
    </xf>
    <xf numFmtId="3" fontId="32" fillId="0" borderId="135" xfId="27" applyNumberFormat="1" applyFont="1" applyFill="1" applyBorder="1" applyAlignment="1">
      <alignment horizontal="right"/>
    </xf>
    <xf numFmtId="3" fontId="32" fillId="0" borderId="149" xfId="3" applyNumberFormat="1" applyBorder="1"/>
    <xf numFmtId="3" fontId="32" fillId="15" borderId="144" xfId="3" applyNumberFormat="1" applyFill="1" applyBorder="1"/>
    <xf numFmtId="3" fontId="32" fillId="0" borderId="144" xfId="3" applyNumberFormat="1" applyBorder="1"/>
    <xf numFmtId="3" fontId="32" fillId="15" borderId="19" xfId="3" applyNumberFormat="1" applyFill="1" applyBorder="1"/>
    <xf numFmtId="3" fontId="32" fillId="15" borderId="135" xfId="3" quotePrefix="1" applyNumberFormat="1" applyFill="1" applyBorder="1"/>
    <xf numFmtId="3" fontId="32" fillId="15" borderId="135" xfId="3" applyNumberFormat="1" applyFill="1" applyBorder="1"/>
    <xf numFmtId="3" fontId="32" fillId="15" borderId="18" xfId="3" applyNumberFormat="1" applyFill="1" applyBorder="1"/>
    <xf numFmtId="3" fontId="32" fillId="5" borderId="200" xfId="3" applyNumberFormat="1" applyFill="1" applyBorder="1" applyAlignment="1">
      <alignment horizontal="left" indent="1"/>
    </xf>
    <xf numFmtId="3" fontId="32" fillId="0" borderId="142" xfId="27" applyNumberFormat="1" applyFont="1" applyFill="1" applyBorder="1"/>
    <xf numFmtId="3" fontId="32" fillId="0" borderId="142" xfId="3" applyNumberFormat="1" applyBorder="1"/>
    <xf numFmtId="3" fontId="32" fillId="5" borderId="152" xfId="3" applyNumberFormat="1" applyFill="1" applyBorder="1" applyAlignment="1">
      <alignment horizontal="left" indent="1"/>
    </xf>
    <xf numFmtId="3" fontId="32" fillId="0" borderId="144" xfId="27" applyNumberFormat="1" applyFont="1" applyFill="1" applyBorder="1"/>
    <xf numFmtId="0" fontId="32" fillId="0" borderId="135" xfId="3" applyBorder="1"/>
    <xf numFmtId="167" fontId="32" fillId="0" borderId="149" xfId="3" applyNumberFormat="1" applyBorder="1"/>
    <xf numFmtId="3" fontId="32" fillId="15" borderId="149" xfId="3" applyNumberFormat="1" applyFill="1" applyBorder="1"/>
    <xf numFmtId="3" fontId="32" fillId="15" borderId="200" xfId="3" applyNumberFormat="1" applyFill="1" applyBorder="1" applyAlignment="1">
      <alignment horizontal="left" indent="1"/>
    </xf>
    <xf numFmtId="179" fontId="32" fillId="0" borderId="135" xfId="3" applyNumberFormat="1" applyBorder="1"/>
    <xf numFmtId="3" fontId="32" fillId="0" borderId="50" xfId="3" applyNumberFormat="1" applyBorder="1"/>
    <xf numFmtId="3" fontId="34" fillId="0" borderId="200" xfId="3" applyNumberFormat="1" applyFont="1" applyBorder="1"/>
    <xf numFmtId="3" fontId="32" fillId="0" borderId="149" xfId="27" applyNumberFormat="1" applyFont="1" applyFill="1" applyBorder="1"/>
    <xf numFmtId="3" fontId="32" fillId="15" borderId="149" xfId="27" applyNumberFormat="1" applyFont="1" applyFill="1" applyBorder="1"/>
    <xf numFmtId="3" fontId="32" fillId="15" borderId="64" xfId="27" applyNumberFormat="1" applyFont="1" applyFill="1" applyBorder="1"/>
    <xf numFmtId="3" fontId="32" fillId="15" borderId="62" xfId="27" applyNumberFormat="1" applyFont="1" applyFill="1" applyBorder="1"/>
    <xf numFmtId="1" fontId="40" fillId="0" borderId="0" xfId="3" applyNumberFormat="1" applyFont="1" applyAlignment="1">
      <alignment vertical="top"/>
    </xf>
    <xf numFmtId="1" fontId="40" fillId="0" borderId="0" xfId="3" applyNumberFormat="1" applyFont="1" applyAlignment="1">
      <alignment horizontal="center" vertical="top"/>
    </xf>
    <xf numFmtId="1" fontId="32" fillId="42" borderId="1" xfId="3" applyNumberFormat="1" applyFill="1" applyBorder="1" applyAlignment="1">
      <alignment vertical="center"/>
    </xf>
    <xf numFmtId="1" fontId="32" fillId="42" borderId="40" xfId="3" applyNumberFormat="1" applyFill="1" applyBorder="1" applyAlignment="1">
      <alignment horizontal="center" textRotation="90"/>
    </xf>
    <xf numFmtId="166" fontId="32" fillId="42" borderId="53" xfId="4" applyNumberFormat="1" applyFill="1" applyBorder="1" applyAlignment="1">
      <alignment horizontal="center" textRotation="90"/>
    </xf>
    <xf numFmtId="1" fontId="32" fillId="42" borderId="52" xfId="4" applyNumberFormat="1" applyFill="1" applyBorder="1" applyAlignment="1">
      <alignment horizontal="center" textRotation="90"/>
    </xf>
    <xf numFmtId="3" fontId="32" fillId="42" borderId="135" xfId="27" applyNumberFormat="1" applyFont="1" applyFill="1" applyBorder="1"/>
    <xf numFmtId="3" fontId="32" fillId="42" borderId="144" xfId="3" applyNumberFormat="1" applyFill="1" applyBorder="1"/>
    <xf numFmtId="3" fontId="32" fillId="42" borderId="19" xfId="3" applyNumberFormat="1" applyFill="1" applyBorder="1"/>
    <xf numFmtId="3" fontId="32" fillId="42" borderId="135" xfId="3" quotePrefix="1" applyNumberFormat="1" applyFill="1" applyBorder="1"/>
    <xf numFmtId="3" fontId="32" fillId="42" borderId="135" xfId="3" applyNumberFormat="1" applyFill="1" applyBorder="1"/>
    <xf numFmtId="3" fontId="32" fillId="42" borderId="18" xfId="3" applyNumberFormat="1" applyFill="1" applyBorder="1"/>
    <xf numFmtId="3" fontId="32" fillId="42" borderId="149" xfId="3" applyNumberFormat="1" applyFill="1" applyBorder="1"/>
    <xf numFmtId="3" fontId="32" fillId="42" borderId="200" xfId="3" applyNumberFormat="1" applyFill="1" applyBorder="1" applyAlignment="1">
      <alignment horizontal="left" indent="1"/>
    </xf>
    <xf numFmtId="3" fontId="32" fillId="42" borderId="149" xfId="27" applyNumberFormat="1" applyFont="1" applyFill="1" applyBorder="1"/>
    <xf numFmtId="3" fontId="32" fillId="42" borderId="64" xfId="27" applyNumberFormat="1" applyFont="1" applyFill="1" applyBorder="1"/>
    <xf numFmtId="3" fontId="32" fillId="42" borderId="62" xfId="27" applyNumberFormat="1" applyFont="1" applyFill="1" applyBorder="1"/>
    <xf numFmtId="3" fontId="32" fillId="15" borderId="3" xfId="27" applyNumberFormat="1" applyFont="1" applyFill="1" applyBorder="1" applyAlignment="1" applyProtection="1">
      <alignment horizontal="left"/>
      <protection locked="0"/>
    </xf>
    <xf numFmtId="3" fontId="32" fillId="15" borderId="39" xfId="27" applyNumberFormat="1" applyFont="1" applyFill="1" applyBorder="1" applyAlignment="1" applyProtection="1">
      <alignment horizontal="left"/>
      <protection locked="0"/>
    </xf>
    <xf numFmtId="3" fontId="32" fillId="42" borderId="3" xfId="27" applyNumberFormat="1" applyFont="1" applyFill="1" applyBorder="1" applyAlignment="1" applyProtection="1">
      <alignment horizontal="left"/>
      <protection locked="0"/>
    </xf>
    <xf numFmtId="3" fontId="32" fillId="42" borderId="39" xfId="27" applyNumberFormat="1" applyFont="1" applyFill="1" applyBorder="1" applyAlignment="1" applyProtection="1">
      <alignment horizontal="left"/>
      <protection locked="0"/>
    </xf>
    <xf numFmtId="171" fontId="92" fillId="2" borderId="31" xfId="3" applyNumberFormat="1" applyFont="1" applyFill="1" applyBorder="1" applyAlignment="1">
      <alignment horizontal="right"/>
    </xf>
    <xf numFmtId="171" fontId="92" fillId="0" borderId="31" xfId="3" applyNumberFormat="1" applyFont="1" applyBorder="1" applyAlignment="1">
      <alignment horizontal="right"/>
    </xf>
    <xf numFmtId="3" fontId="92" fillId="0" borderId="31" xfId="3" applyNumberFormat="1" applyFont="1" applyBorder="1"/>
    <xf numFmtId="3" fontId="32" fillId="2" borderId="137" xfId="0" applyNumberFormat="1" applyFont="1" applyFill="1" applyBorder="1"/>
    <xf numFmtId="0" fontId="205" fillId="30" borderId="126" xfId="0" applyFont="1" applyFill="1" applyBorder="1" applyAlignment="1">
      <alignment vertical="center"/>
    </xf>
    <xf numFmtId="0" fontId="0" fillId="27" borderId="135" xfId="0" applyFill="1" applyBorder="1"/>
    <xf numFmtId="184" fontId="0" fillId="27" borderId="135" xfId="7" applyNumberFormat="1" applyFont="1" applyFill="1" applyBorder="1"/>
    <xf numFmtId="181" fontId="0" fillId="27" borderId="135" xfId="35" applyNumberFormat="1" applyFont="1" applyFill="1" applyBorder="1"/>
    <xf numFmtId="184" fontId="0" fillId="0" borderId="135" xfId="7" applyNumberFormat="1" applyFont="1" applyBorder="1"/>
    <xf numFmtId="0" fontId="0" fillId="0" borderId="135" xfId="0" applyBorder="1"/>
    <xf numFmtId="49" fontId="135" fillId="32" borderId="135" xfId="80" applyNumberFormat="1" applyFont="1" applyFill="1" applyBorder="1" applyAlignment="1">
      <alignment horizontal="center"/>
    </xf>
    <xf numFmtId="49" fontId="0" fillId="0" borderId="135" xfId="0" applyNumberFormat="1" applyBorder="1"/>
    <xf numFmtId="0" fontId="135" fillId="0" borderId="135" xfId="80" applyFont="1" applyBorder="1" applyAlignment="1">
      <alignment horizontal="right" wrapText="1"/>
    </xf>
    <xf numFmtId="0" fontId="135" fillId="0" borderId="135" xfId="80" applyFont="1" applyBorder="1" applyAlignment="1">
      <alignment wrapText="1"/>
    </xf>
    <xf numFmtId="184" fontId="0" fillId="0" borderId="135" xfId="0" applyNumberFormat="1" applyBorder="1"/>
    <xf numFmtId="184" fontId="0" fillId="30" borderId="135" xfId="7" applyNumberFormat="1" applyFont="1" applyFill="1" applyBorder="1"/>
    <xf numFmtId="0" fontId="16" fillId="0" borderId="0" xfId="122"/>
    <xf numFmtId="1" fontId="16" fillId="0" borderId="0" xfId="122" applyNumberFormat="1"/>
    <xf numFmtId="0" fontId="90" fillId="0" borderId="0" xfId="122" applyFont="1"/>
    <xf numFmtId="2" fontId="81" fillId="2" borderId="149" xfId="78" applyNumberFormat="1" applyFont="1" applyFill="1" applyBorder="1" applyAlignment="1">
      <alignment horizontal="right"/>
    </xf>
    <xf numFmtId="2" fontId="81" fillId="2" borderId="144" xfId="78" applyNumberFormat="1" applyFont="1" applyFill="1" applyBorder="1" applyAlignment="1">
      <alignment horizontal="right"/>
    </xf>
    <xf numFmtId="2" fontId="81" fillId="2" borderId="134" xfId="78" applyNumberFormat="1" applyFont="1" applyFill="1" applyBorder="1" applyAlignment="1">
      <alignment horizontal="right"/>
    </xf>
    <xf numFmtId="2" fontId="81" fillId="2" borderId="145" xfId="78" applyNumberFormat="1" applyFont="1" applyFill="1" applyBorder="1" applyAlignment="1">
      <alignment horizontal="right"/>
    </xf>
    <xf numFmtId="0" fontId="67" fillId="0" borderId="143" xfId="78" applyFont="1" applyBorder="1" applyAlignment="1">
      <alignment horizontal="left" vertical="center" wrapText="1" indent="1"/>
    </xf>
    <xf numFmtId="0" fontId="67" fillId="0" borderId="135" xfId="78" applyFont="1" applyBorder="1" applyAlignment="1">
      <alignment horizontal="left" vertical="center" wrapText="1"/>
    </xf>
    <xf numFmtId="2" fontId="23" fillId="3" borderId="135" xfId="78" applyNumberFormat="1" applyFill="1" applyBorder="1" applyAlignment="1">
      <alignment vertical="center" wrapText="1"/>
    </xf>
    <xf numFmtId="0" fontId="23" fillId="3" borderId="135" xfId="78" applyFill="1" applyBorder="1"/>
    <xf numFmtId="0" fontId="23" fillId="0" borderId="149" xfId="78" applyBorder="1" applyAlignment="1">
      <alignment horizontal="left"/>
    </xf>
    <xf numFmtId="2" fontId="23" fillId="0" borderId="135" xfId="78" applyNumberFormat="1" applyBorder="1"/>
    <xf numFmtId="4" fontId="23" fillId="41" borderId="144" xfId="78" applyNumberFormat="1" applyFill="1" applyBorder="1" applyAlignment="1">
      <alignment horizontal="right"/>
    </xf>
    <xf numFmtId="0" fontId="67" fillId="0" borderId="149" xfId="78" applyFont="1" applyBorder="1" applyAlignment="1">
      <alignment horizontal="left" vertical="center" wrapText="1" indent="1"/>
    </xf>
    <xf numFmtId="0" fontId="23" fillId="0" borderId="149" xfId="78" applyBorder="1" applyAlignment="1">
      <alignment horizontal="left" vertical="center" wrapText="1"/>
    </xf>
    <xf numFmtId="2" fontId="23" fillId="0" borderId="135" xfId="78" applyNumberFormat="1" applyBorder="1" applyAlignment="1">
      <alignment vertical="center" wrapText="1"/>
    </xf>
    <xf numFmtId="0" fontId="23" fillId="0" borderId="149" xfId="78" applyBorder="1"/>
    <xf numFmtId="184" fontId="81" fillId="2" borderId="135" xfId="81" applyNumberFormat="1" applyFont="1" applyFill="1" applyBorder="1"/>
    <xf numFmtId="2" fontId="23" fillId="41" borderId="135" xfId="78" applyNumberFormat="1" applyFill="1" applyBorder="1"/>
    <xf numFmtId="189" fontId="23" fillId="0" borderId="135" xfId="78" applyNumberFormat="1" applyBorder="1"/>
    <xf numFmtId="2" fontId="23" fillId="3" borderId="135" xfId="78" applyNumberFormat="1" applyFill="1" applyBorder="1"/>
    <xf numFmtId="184" fontId="0" fillId="3" borderId="135" xfId="81" applyNumberFormat="1" applyFont="1" applyFill="1" applyBorder="1"/>
    <xf numFmtId="189" fontId="23" fillId="3" borderId="135" xfId="78" applyNumberFormat="1" applyFill="1" applyBorder="1"/>
    <xf numFmtId="2" fontId="23" fillId="3" borderId="135" xfId="78" applyNumberFormat="1" applyFill="1" applyBorder="1" applyAlignment="1">
      <alignment horizontal="right"/>
    </xf>
    <xf numFmtId="2" fontId="23" fillId="3" borderId="135" xfId="78" applyNumberFormat="1" applyFill="1" applyBorder="1" applyAlignment="1">
      <alignment horizontal="center"/>
    </xf>
    <xf numFmtId="0" fontId="67" fillId="0" borderId="134" xfId="78" applyFont="1" applyBorder="1" applyAlignment="1">
      <alignment horizontal="left" vertical="center" wrapText="1"/>
    </xf>
    <xf numFmtId="2" fontId="23" fillId="3" borderId="134" xfId="78" applyNumberFormat="1" applyFill="1" applyBorder="1"/>
    <xf numFmtId="2" fontId="23" fillId="3" borderId="134" xfId="78" applyNumberFormat="1" applyFill="1" applyBorder="1" applyAlignment="1">
      <alignment horizontal="right"/>
    </xf>
    <xf numFmtId="2" fontId="23" fillId="3" borderId="134" xfId="78" applyNumberFormat="1" applyFill="1" applyBorder="1" applyAlignment="1">
      <alignment horizontal="center"/>
    </xf>
    <xf numFmtId="2" fontId="67" fillId="0" borderId="126" xfId="78" applyNumberFormat="1" applyFont="1" applyBorder="1" applyAlignment="1">
      <alignment vertical="center" wrapText="1"/>
    </xf>
    <xf numFmtId="2" fontId="18" fillId="3" borderId="212" xfId="78" applyNumberFormat="1" applyFont="1" applyFill="1" applyBorder="1"/>
    <xf numFmtId="2" fontId="18" fillId="3" borderId="212" xfId="78" applyNumberFormat="1" applyFont="1" applyFill="1" applyBorder="1" applyAlignment="1">
      <alignment horizontal="right"/>
    </xf>
    <xf numFmtId="2" fontId="18" fillId="3" borderId="212" xfId="78" applyNumberFormat="1" applyFont="1" applyFill="1" applyBorder="1" applyAlignment="1">
      <alignment horizontal="center"/>
    </xf>
    <xf numFmtId="2" fontId="67" fillId="0" borderId="212" xfId="78" applyNumberFormat="1" applyFont="1" applyBorder="1"/>
    <xf numFmtId="2" fontId="67" fillId="0" borderId="32" xfId="78" applyNumberFormat="1" applyFont="1" applyBorder="1"/>
    <xf numFmtId="0" fontId="0" fillId="0" borderId="0" xfId="0" applyProtection="1">
      <protection locked="0"/>
    </xf>
    <xf numFmtId="0" fontId="23" fillId="9" borderId="0" xfId="78" applyFill="1" applyProtection="1">
      <protection locked="0"/>
    </xf>
    <xf numFmtId="0" fontId="84" fillId="9" borderId="0" xfId="78" applyFont="1" applyFill="1" applyProtection="1">
      <protection locked="0"/>
    </xf>
    <xf numFmtId="0" fontId="223" fillId="0" borderId="0" xfId="43" applyFont="1" applyFill="1" applyProtection="1">
      <protection locked="0"/>
    </xf>
    <xf numFmtId="0" fontId="23" fillId="0" borderId="0" xfId="78" applyProtection="1">
      <protection locked="0"/>
    </xf>
    <xf numFmtId="3" fontId="23" fillId="0" borderId="0" xfId="78" applyNumberFormat="1" applyProtection="1">
      <protection locked="0"/>
    </xf>
    <xf numFmtId="4" fontId="23" fillId="0" borderId="0" xfId="78" applyNumberFormat="1" applyProtection="1">
      <protection locked="0"/>
    </xf>
    <xf numFmtId="0" fontId="96" fillId="9" borderId="1" xfId="78" applyFont="1" applyFill="1" applyBorder="1" applyAlignment="1" applyProtection="1">
      <alignment horizontal="center" vertical="center" wrapText="1"/>
      <protection locked="0"/>
    </xf>
    <xf numFmtId="0" fontId="96" fillId="9" borderId="13" xfId="78" applyFont="1" applyFill="1" applyBorder="1" applyAlignment="1" applyProtection="1">
      <alignment horizontal="center" vertical="center" wrapText="1"/>
      <protection locked="0"/>
    </xf>
    <xf numFmtId="3" fontId="96" fillId="9" borderId="13" xfId="78" applyNumberFormat="1" applyFont="1" applyFill="1" applyBorder="1" applyAlignment="1" applyProtection="1">
      <alignment vertical="center" wrapText="1"/>
      <protection locked="0"/>
    </xf>
    <xf numFmtId="0" fontId="96" fillId="9" borderId="13" xfId="78" applyFont="1" applyFill="1" applyBorder="1" applyAlignment="1" applyProtection="1">
      <alignment vertical="center" wrapText="1"/>
      <protection locked="0"/>
    </xf>
    <xf numFmtId="4" fontId="96" fillId="9" borderId="13" xfId="78" applyNumberFormat="1" applyFont="1" applyFill="1" applyBorder="1" applyAlignment="1" applyProtection="1">
      <alignment vertical="center" wrapText="1"/>
      <protection locked="0"/>
    </xf>
    <xf numFmtId="4" fontId="96" fillId="9" borderId="13" xfId="78" applyNumberFormat="1" applyFont="1" applyFill="1" applyBorder="1" applyAlignment="1" applyProtection="1">
      <alignment horizontal="center" vertical="center" wrapText="1"/>
      <protection locked="0"/>
    </xf>
    <xf numFmtId="4" fontId="96" fillId="9" borderId="14" xfId="78" applyNumberFormat="1" applyFont="1" applyFill="1" applyBorder="1" applyAlignment="1" applyProtection="1">
      <alignment vertical="center" wrapText="1"/>
      <protection locked="0"/>
    </xf>
    <xf numFmtId="0" fontId="81" fillId="0" borderId="0" xfId="78" applyFont="1" applyAlignment="1" applyProtection="1">
      <alignment vertical="center"/>
      <protection locked="0"/>
    </xf>
    <xf numFmtId="0" fontId="23" fillId="0" borderId="50" xfId="78" applyBorder="1" applyProtection="1">
      <protection locked="0"/>
    </xf>
    <xf numFmtId="0" fontId="23" fillId="0" borderId="18" xfId="78" applyBorder="1" applyProtection="1">
      <protection locked="0"/>
    </xf>
    <xf numFmtId="4" fontId="81" fillId="0" borderId="18" xfId="78" applyNumberFormat="1" applyFont="1" applyBorder="1" applyProtection="1">
      <protection locked="0"/>
    </xf>
    <xf numFmtId="4" fontId="23" fillId="12" borderId="18" xfId="78" applyNumberFormat="1" applyFill="1" applyBorder="1" applyProtection="1">
      <protection locked="0"/>
    </xf>
    <xf numFmtId="4" fontId="23" fillId="0" borderId="18" xfId="78" applyNumberFormat="1" applyBorder="1" applyProtection="1">
      <protection locked="0"/>
    </xf>
    <xf numFmtId="4" fontId="23" fillId="27" borderId="65" xfId="78" applyNumberFormat="1" applyFill="1" applyBorder="1" applyAlignment="1" applyProtection="1">
      <alignment vertical="center"/>
      <protection locked="0"/>
    </xf>
    <xf numFmtId="0" fontId="23" fillId="0" borderId="0" xfId="78" applyAlignment="1" applyProtection="1">
      <alignment vertical="center"/>
      <protection locked="0"/>
    </xf>
    <xf numFmtId="0" fontId="23" fillId="30" borderId="47" xfId="78" applyFill="1" applyBorder="1" applyProtection="1">
      <protection locked="0"/>
    </xf>
    <xf numFmtId="0" fontId="23" fillId="30" borderId="22" xfId="78" applyFill="1" applyBorder="1" applyProtection="1">
      <protection locked="0"/>
    </xf>
    <xf numFmtId="0" fontId="23" fillId="0" borderId="22" xfId="78" applyBorder="1" applyProtection="1">
      <protection locked="0"/>
    </xf>
    <xf numFmtId="4" fontId="81" fillId="0" borderId="22" xfId="78" applyNumberFormat="1" applyFont="1" applyBorder="1" applyProtection="1">
      <protection locked="0"/>
    </xf>
    <xf numFmtId="0" fontId="81" fillId="0" borderId="22" xfId="78" applyFont="1" applyBorder="1" applyProtection="1">
      <protection locked="0"/>
    </xf>
    <xf numFmtId="4" fontId="23" fillId="0" borderId="22" xfId="78" applyNumberFormat="1" applyBorder="1" applyProtection="1">
      <protection locked="0"/>
    </xf>
    <xf numFmtId="0" fontId="23" fillId="0" borderId="47" xfId="78" applyBorder="1" applyProtection="1">
      <protection locked="0"/>
    </xf>
    <xf numFmtId="0" fontId="23" fillId="12" borderId="47" xfId="78" applyFill="1" applyBorder="1" applyProtection="1">
      <protection locked="0"/>
    </xf>
    <xf numFmtId="0" fontId="23" fillId="12" borderId="22" xfId="78" applyFill="1" applyBorder="1" applyProtection="1">
      <protection locked="0"/>
    </xf>
    <xf numFmtId="4" fontId="81" fillId="12" borderId="22" xfId="78" applyNumberFormat="1" applyFont="1" applyFill="1" applyBorder="1" applyProtection="1">
      <protection locked="0"/>
    </xf>
    <xf numFmtId="4" fontId="23" fillId="12" borderId="22" xfId="78" applyNumberFormat="1" applyFill="1" applyBorder="1" applyProtection="1">
      <protection locked="0"/>
    </xf>
    <xf numFmtId="0" fontId="23" fillId="12" borderId="0" xfId="78" applyFill="1" applyProtection="1">
      <protection locked="0"/>
    </xf>
    <xf numFmtId="0" fontId="19" fillId="0" borderId="22" xfId="78" applyFont="1" applyBorder="1" applyProtection="1">
      <protection locked="0"/>
    </xf>
    <xf numFmtId="184" fontId="0" fillId="0" borderId="22" xfId="81" applyNumberFormat="1" applyFont="1" applyFill="1" applyBorder="1" applyAlignment="1" applyProtection="1">
      <protection locked="0"/>
    </xf>
    <xf numFmtId="0" fontId="81" fillId="0" borderId="47" xfId="78" applyFont="1" applyBorder="1" applyProtection="1">
      <protection locked="0"/>
    </xf>
    <xf numFmtId="0" fontId="52" fillId="0" borderId="22" xfId="78" applyFont="1" applyBorder="1" applyProtection="1">
      <protection locked="0"/>
    </xf>
    <xf numFmtId="184" fontId="0" fillId="0" borderId="22" xfId="81" applyNumberFormat="1" applyFont="1" applyFill="1" applyBorder="1" applyProtection="1">
      <protection locked="0"/>
    </xf>
    <xf numFmtId="0" fontId="81" fillId="12" borderId="22" xfId="78" applyFont="1" applyFill="1" applyBorder="1" applyProtection="1">
      <protection locked="0"/>
    </xf>
    <xf numFmtId="4" fontId="81" fillId="43" borderId="22" xfId="78" applyNumberFormat="1" applyFont="1" applyFill="1" applyBorder="1" applyAlignment="1" applyProtection="1">
      <alignment horizontal="right"/>
      <protection locked="0"/>
    </xf>
    <xf numFmtId="4" fontId="23" fillId="43" borderId="22" xfId="78" applyNumberFormat="1" applyFill="1" applyBorder="1" applyProtection="1">
      <protection locked="0"/>
    </xf>
    <xf numFmtId="4" fontId="23" fillId="43" borderId="22" xfId="78" applyNumberFormat="1" applyFill="1" applyBorder="1" applyAlignment="1" applyProtection="1">
      <alignment horizontal="right"/>
      <protection locked="0"/>
    </xf>
    <xf numFmtId="0" fontId="19" fillId="12" borderId="22" xfId="78" applyFont="1" applyFill="1" applyBorder="1" applyProtection="1">
      <protection locked="0"/>
    </xf>
    <xf numFmtId="4" fontId="23" fillId="43" borderId="22" xfId="78" applyNumberFormat="1" applyFill="1" applyBorder="1" applyAlignment="1" applyProtection="1">
      <alignment horizontal="center" vertical="center"/>
      <protection locked="0"/>
    </xf>
    <xf numFmtId="0" fontId="23" fillId="2" borderId="22" xfId="78" applyFill="1" applyBorder="1" applyProtection="1">
      <protection locked="0"/>
    </xf>
    <xf numFmtId="0" fontId="23" fillId="43" borderId="22" xfId="78" applyFill="1" applyBorder="1" applyProtection="1">
      <protection locked="0"/>
    </xf>
    <xf numFmtId="4" fontId="81" fillId="43" borderId="22" xfId="78" applyNumberFormat="1" applyFont="1" applyFill="1" applyBorder="1" applyProtection="1">
      <protection locked="0"/>
    </xf>
    <xf numFmtId="0" fontId="81" fillId="0" borderId="0" xfId="78" applyFont="1" applyProtection="1">
      <protection locked="0"/>
    </xf>
    <xf numFmtId="0" fontId="23" fillId="0" borderId="27" xfId="78" applyBorder="1" applyProtection="1">
      <protection locked="0"/>
    </xf>
    <xf numFmtId="49" fontId="67" fillId="0" borderId="0" xfId="78" applyNumberFormat="1" applyFont="1" applyAlignment="1" applyProtection="1">
      <alignment horizontal="left"/>
      <protection locked="0"/>
    </xf>
    <xf numFmtId="4" fontId="23" fillId="0" borderId="44" xfId="78" applyNumberFormat="1" applyBorder="1" applyProtection="1">
      <protection locked="0"/>
    </xf>
    <xf numFmtId="49" fontId="67" fillId="0" borderId="0" xfId="78" applyNumberFormat="1" applyFont="1" applyAlignment="1" applyProtection="1">
      <alignment horizontal="center" vertical="center" wrapText="1"/>
      <protection locked="0"/>
    </xf>
    <xf numFmtId="4" fontId="23" fillId="0" borderId="47" xfId="78" applyNumberFormat="1" applyBorder="1" applyAlignment="1" applyProtection="1">
      <alignment horizontal="center" vertical="center" wrapText="1"/>
      <protection locked="0"/>
    </xf>
    <xf numFmtId="4" fontId="23" fillId="0" borderId="0" xfId="78" applyNumberFormat="1" applyAlignment="1" applyProtection="1">
      <alignment horizontal="center" vertical="center" wrapText="1"/>
      <protection locked="0"/>
    </xf>
    <xf numFmtId="0" fontId="23" fillId="0" borderId="0" xfId="78" applyAlignment="1" applyProtection="1">
      <alignment horizontal="center" vertical="center" wrapText="1"/>
      <protection locked="0"/>
    </xf>
    <xf numFmtId="0" fontId="84" fillId="0" borderId="0" xfId="78" applyFont="1" applyProtection="1">
      <protection locked="0"/>
    </xf>
    <xf numFmtId="10" fontId="23" fillId="0" borderId="0" xfId="78" applyNumberFormat="1" applyProtection="1">
      <protection locked="0"/>
    </xf>
    <xf numFmtId="0" fontId="23" fillId="0" borderId="0" xfId="78" applyAlignment="1" applyProtection="1">
      <alignment horizontal="center"/>
      <protection locked="0"/>
    </xf>
    <xf numFmtId="0" fontId="96" fillId="9" borderId="80" xfId="78" applyFont="1" applyFill="1" applyBorder="1" applyAlignment="1" applyProtection="1">
      <alignment horizontal="center" vertical="center" wrapText="1"/>
      <protection locked="0"/>
    </xf>
    <xf numFmtId="0" fontId="96" fillId="9" borderId="54" xfId="78" applyFont="1" applyFill="1" applyBorder="1" applyAlignment="1" applyProtection="1">
      <alignment horizontal="center" vertical="center" wrapText="1"/>
      <protection locked="0"/>
    </xf>
    <xf numFmtId="3" fontId="96" fillId="9" borderId="54" xfId="78" applyNumberFormat="1" applyFont="1" applyFill="1" applyBorder="1" applyAlignment="1" applyProtection="1">
      <alignment horizontal="center" vertical="center" wrapText="1"/>
      <protection locked="0"/>
    </xf>
    <xf numFmtId="4" fontId="96" fillId="13" borderId="54" xfId="78" applyNumberFormat="1" applyFont="1" applyFill="1" applyBorder="1" applyAlignment="1" applyProtection="1">
      <alignment horizontal="center" vertical="center" wrapText="1"/>
      <protection locked="0"/>
    </xf>
    <xf numFmtId="0" fontId="96" fillId="13" borderId="54" xfId="78" applyFont="1" applyFill="1" applyBorder="1" applyAlignment="1" applyProtection="1">
      <alignment horizontal="center" vertical="center" wrapText="1"/>
      <protection locked="0"/>
    </xf>
    <xf numFmtId="10" fontId="96" fillId="13" borderId="54" xfId="78" applyNumberFormat="1" applyFont="1" applyFill="1" applyBorder="1" applyAlignment="1" applyProtection="1">
      <alignment horizontal="center" vertical="center" wrapText="1"/>
      <protection locked="0"/>
    </xf>
    <xf numFmtId="4" fontId="96" fillId="13" borderId="61" xfId="78" applyNumberFormat="1" applyFont="1" applyFill="1" applyBorder="1" applyAlignment="1" applyProtection="1">
      <alignment horizontal="center" vertical="center" wrapText="1"/>
      <protection locked="0"/>
    </xf>
    <xf numFmtId="0" fontId="23" fillId="0" borderId="21" xfId="78" applyBorder="1" applyProtection="1">
      <protection locked="0"/>
    </xf>
    <xf numFmtId="10" fontId="23" fillId="0" borderId="22" xfId="78" applyNumberFormat="1" applyBorder="1" applyProtection="1">
      <protection locked="0"/>
    </xf>
    <xf numFmtId="4" fontId="23" fillId="27" borderId="22" xfId="78" applyNumberFormat="1" applyFill="1" applyBorder="1" applyProtection="1">
      <protection locked="0"/>
    </xf>
    <xf numFmtId="0" fontId="23" fillId="12" borderId="21" xfId="78" applyFill="1" applyBorder="1" applyProtection="1">
      <protection locked="0"/>
    </xf>
    <xf numFmtId="10" fontId="23" fillId="0" borderId="22" xfId="78" applyNumberFormat="1" applyBorder="1" applyAlignment="1" applyProtection="1">
      <alignment horizontal="right"/>
      <protection locked="0"/>
    </xf>
    <xf numFmtId="4" fontId="81" fillId="0" borderId="22" xfId="78" applyNumberFormat="1" applyFont="1" applyBorder="1" applyAlignment="1" applyProtection="1">
      <alignment horizontal="right"/>
      <protection locked="0"/>
    </xf>
    <xf numFmtId="10" fontId="23" fillId="43" borderId="22" xfId="78" applyNumberFormat="1" applyFill="1" applyBorder="1" applyAlignment="1" applyProtection="1">
      <alignment horizontal="right"/>
      <protection locked="0"/>
    </xf>
    <xf numFmtId="10" fontId="23" fillId="43" borderId="22" xfId="78" applyNumberFormat="1" applyFill="1" applyBorder="1" applyProtection="1">
      <protection locked="0"/>
    </xf>
    <xf numFmtId="0" fontId="207" fillId="0" borderId="0" xfId="0" applyFont="1" applyProtection="1">
      <protection locked="0"/>
    </xf>
    <xf numFmtId="4" fontId="207" fillId="0" borderId="0" xfId="0" applyNumberFormat="1" applyFont="1" applyProtection="1">
      <protection locked="0"/>
    </xf>
    <xf numFmtId="0" fontId="67" fillId="0" borderId="0" xfId="78" applyFont="1" applyAlignment="1" applyProtection="1">
      <alignment vertical="center"/>
      <protection locked="0"/>
    </xf>
    <xf numFmtId="0" fontId="23" fillId="0" borderId="18" xfId="78" applyBorder="1" applyAlignment="1" applyProtection="1">
      <alignment vertical="center"/>
      <protection locked="0"/>
    </xf>
    <xf numFmtId="3" fontId="23" fillId="0" borderId="18" xfId="78" applyNumberFormat="1" applyBorder="1" applyAlignment="1" applyProtection="1">
      <alignment vertical="center"/>
      <protection locked="0"/>
    </xf>
    <xf numFmtId="4" fontId="81" fillId="0" borderId="22" xfId="78" applyNumberFormat="1" applyFont="1" applyBorder="1" applyAlignment="1" applyProtection="1">
      <alignment vertical="center" wrapText="1"/>
      <protection locked="0"/>
    </xf>
    <xf numFmtId="0" fontId="207" fillId="0" borderId="0" xfId="78" applyFont="1" applyAlignment="1" applyProtection="1">
      <alignment vertical="center"/>
      <protection locked="0"/>
    </xf>
    <xf numFmtId="0" fontId="81" fillId="0" borderId="22" xfId="78" applyFont="1" applyBorder="1" applyAlignment="1" applyProtection="1">
      <alignment vertical="center" wrapText="1"/>
      <protection locked="0"/>
    </xf>
    <xf numFmtId="4" fontId="207" fillId="0" borderId="0" xfId="78" applyNumberFormat="1" applyFont="1" applyAlignment="1" applyProtection="1">
      <alignment vertical="center"/>
      <protection locked="0"/>
    </xf>
    <xf numFmtId="10" fontId="81" fillId="0" borderId="22" xfId="78" applyNumberFormat="1" applyFont="1" applyBorder="1" applyAlignment="1" applyProtection="1">
      <alignment vertical="center" wrapText="1"/>
      <protection locked="0"/>
    </xf>
    <xf numFmtId="3" fontId="23" fillId="0" borderId="0" xfId="78" quotePrefix="1" applyNumberFormat="1" applyProtection="1">
      <protection locked="0"/>
    </xf>
    <xf numFmtId="4" fontId="207" fillId="0" borderId="0" xfId="78" applyNumberFormat="1" applyFont="1" applyAlignment="1" applyProtection="1">
      <alignment vertical="top" wrapText="1"/>
      <protection locked="0"/>
    </xf>
    <xf numFmtId="0" fontId="207" fillId="0" borderId="0" xfId="78" applyFont="1" applyAlignment="1" applyProtection="1">
      <alignment vertical="top"/>
      <protection locked="0"/>
    </xf>
    <xf numFmtId="0" fontId="207" fillId="0" borderId="0" xfId="78" applyFont="1" applyAlignment="1" applyProtection="1">
      <alignment vertical="top" wrapText="1"/>
      <protection locked="0"/>
    </xf>
    <xf numFmtId="4" fontId="207" fillId="0" borderId="0" xfId="78" applyNumberFormat="1" applyFont="1" applyAlignment="1" applyProtection="1">
      <alignment vertical="top"/>
      <protection locked="0"/>
    </xf>
    <xf numFmtId="10" fontId="208" fillId="0" borderId="0" xfId="78" applyNumberFormat="1" applyFont="1" applyAlignment="1" applyProtection="1">
      <alignment wrapText="1"/>
      <protection locked="0"/>
    </xf>
    <xf numFmtId="0" fontId="52" fillId="9" borderId="59" xfId="78" applyFont="1" applyFill="1" applyBorder="1" applyAlignment="1">
      <alignment horizontal="center" vertical="center" wrapText="1"/>
    </xf>
    <xf numFmtId="0" fontId="52" fillId="9" borderId="22" xfId="78" applyFont="1" applyFill="1" applyBorder="1" applyAlignment="1">
      <alignment horizontal="center" vertical="center"/>
    </xf>
    <xf numFmtId="0" fontId="52" fillId="9" borderId="23" xfId="78" applyFont="1" applyFill="1" applyBorder="1" applyAlignment="1">
      <alignment horizontal="center" vertical="center"/>
    </xf>
    <xf numFmtId="0" fontId="52" fillId="9" borderId="31" xfId="78" applyFont="1" applyFill="1" applyBorder="1" applyAlignment="1">
      <alignment horizontal="center" vertical="center"/>
    </xf>
    <xf numFmtId="0" fontId="52" fillId="9" borderId="32" xfId="78" applyFont="1" applyFill="1" applyBorder="1" applyAlignment="1">
      <alignment horizontal="center"/>
    </xf>
    <xf numFmtId="0" fontId="52" fillId="9" borderId="33" xfId="78" applyFont="1" applyFill="1" applyBorder="1" applyAlignment="1">
      <alignment horizontal="center"/>
    </xf>
    <xf numFmtId="0" fontId="52" fillId="9" borderId="21" xfId="78" applyFont="1" applyFill="1" applyBorder="1" applyAlignment="1">
      <alignment horizontal="center" vertical="center"/>
    </xf>
    <xf numFmtId="0" fontId="52" fillId="9" borderId="66" xfId="78" applyFont="1" applyFill="1" applyBorder="1" applyAlignment="1">
      <alignment horizontal="center" vertical="center"/>
    </xf>
    <xf numFmtId="0" fontId="23" fillId="30" borderId="89" xfId="78" applyFill="1" applyBorder="1" applyProtection="1">
      <protection locked="0"/>
    </xf>
    <xf numFmtId="0" fontId="23" fillId="30" borderId="27" xfId="78" applyFill="1" applyBorder="1" applyProtection="1">
      <protection locked="0"/>
    </xf>
    <xf numFmtId="4" fontId="81" fillId="0" borderId="27" xfId="78" applyNumberFormat="1" applyFont="1" applyBorder="1" applyProtection="1">
      <protection locked="0"/>
    </xf>
    <xf numFmtId="0" fontId="81" fillId="0" borderId="27" xfId="78" applyFont="1" applyBorder="1" applyProtection="1">
      <protection locked="0"/>
    </xf>
    <xf numFmtId="4" fontId="23" fillId="0" borderId="27" xfId="78" applyNumberFormat="1" applyBorder="1" applyProtection="1">
      <protection locked="0"/>
    </xf>
    <xf numFmtId="0" fontId="15" fillId="0" borderId="0" xfId="0" applyFont="1" applyProtection="1">
      <protection locked="0"/>
    </xf>
    <xf numFmtId="4" fontId="15" fillId="0" borderId="0" xfId="0" applyNumberFormat="1" applyFont="1" applyProtection="1">
      <protection locked="0"/>
    </xf>
    <xf numFmtId="10" fontId="15" fillId="0" borderId="0" xfId="0" applyNumberFormat="1" applyFont="1" applyProtection="1">
      <protection locked="0"/>
    </xf>
    <xf numFmtId="184" fontId="23" fillId="21" borderId="0" xfId="78" applyNumberFormat="1" applyFill="1"/>
    <xf numFmtId="0" fontId="15" fillId="21" borderId="0" xfId="36" applyFont="1" applyFill="1"/>
    <xf numFmtId="0" fontId="23" fillId="86" borderId="0" xfId="78" applyFill="1" applyProtection="1">
      <protection locked="0"/>
    </xf>
    <xf numFmtId="4" fontId="23" fillId="0" borderId="121" xfId="78" applyNumberFormat="1" applyBorder="1" applyAlignment="1" applyProtection="1">
      <alignment horizontal="center" vertical="center" wrapText="1"/>
      <protection locked="0"/>
    </xf>
    <xf numFmtId="0" fontId="15" fillId="0" borderId="0" xfId="0" applyFont="1"/>
    <xf numFmtId="3" fontId="15" fillId="0" borderId="0" xfId="0" applyNumberFormat="1" applyFont="1"/>
    <xf numFmtId="4" fontId="15" fillId="0" borderId="0" xfId="0" applyNumberFormat="1" applyFont="1"/>
    <xf numFmtId="10" fontId="15" fillId="0" borderId="0" xfId="0" applyNumberFormat="1" applyFont="1"/>
    <xf numFmtId="0" fontId="14" fillId="9" borderId="56" xfId="78" applyFont="1" applyFill="1" applyBorder="1"/>
    <xf numFmtId="0" fontId="14" fillId="9" borderId="57" xfId="78" applyFont="1" applyFill="1" applyBorder="1"/>
    <xf numFmtId="0" fontId="14" fillId="10" borderId="21" xfId="78" applyFont="1" applyFill="1" applyBorder="1"/>
    <xf numFmtId="0" fontId="14" fillId="10" borderId="31" xfId="78" applyFont="1" applyFill="1" applyBorder="1"/>
    <xf numFmtId="0" fontId="14" fillId="0" borderId="62" xfId="78" applyFont="1" applyBorder="1"/>
    <xf numFmtId="3" fontId="14" fillId="0" borderId="58" xfId="78" applyNumberFormat="1" applyFont="1" applyBorder="1"/>
    <xf numFmtId="3" fontId="14" fillId="41" borderId="59" xfId="78" applyNumberFormat="1" applyFont="1" applyFill="1" applyBorder="1"/>
    <xf numFmtId="0" fontId="14" fillId="0" borderId="21" xfId="78" applyFont="1" applyBorder="1"/>
    <xf numFmtId="3" fontId="14" fillId="2" borderId="22" xfId="78" applyNumberFormat="1" applyFont="1" applyFill="1" applyBorder="1"/>
    <xf numFmtId="3" fontId="14" fillId="0" borderId="22" xfId="78" applyNumberFormat="1" applyFont="1" applyBorder="1"/>
    <xf numFmtId="3" fontId="14" fillId="41" borderId="23" xfId="78" applyNumberFormat="1" applyFont="1" applyFill="1" applyBorder="1"/>
    <xf numFmtId="0" fontId="14" fillId="0" borderId="31" xfId="78" applyFont="1" applyBorder="1"/>
    <xf numFmtId="3" fontId="14" fillId="0" borderId="41" xfId="78" applyNumberFormat="1" applyFont="1" applyBorder="1"/>
    <xf numFmtId="3" fontId="14" fillId="2" borderId="41" xfId="78" applyNumberFormat="1" applyFont="1" applyFill="1" applyBorder="1"/>
    <xf numFmtId="3" fontId="14" fillId="41" borderId="42" xfId="78" applyNumberFormat="1" applyFont="1" applyFill="1" applyBorder="1"/>
    <xf numFmtId="9" fontId="81" fillId="0" borderId="64" xfId="84" applyFont="1" applyBorder="1"/>
    <xf numFmtId="9" fontId="81" fillId="0" borderId="22" xfId="84" applyFont="1" applyBorder="1"/>
    <xf numFmtId="9" fontId="81" fillId="0" borderId="32" xfId="84" applyFont="1" applyBorder="1"/>
    <xf numFmtId="0" fontId="81" fillId="2" borderId="11" xfId="0" applyFont="1" applyFill="1" applyBorder="1"/>
    <xf numFmtId="0" fontId="81" fillId="2" borderId="3" xfId="0" applyFont="1" applyFill="1" applyBorder="1"/>
    <xf numFmtId="0" fontId="81" fillId="2" borderId="9" xfId="0" applyFont="1" applyFill="1" applyBorder="1"/>
    <xf numFmtId="0" fontId="81" fillId="2" borderId="10" xfId="0" applyFont="1" applyFill="1" applyBorder="1"/>
    <xf numFmtId="0" fontId="81" fillId="2" borderId="12" xfId="0" applyFont="1" applyFill="1" applyBorder="1"/>
    <xf numFmtId="0" fontId="81" fillId="2" borderId="4" xfId="0" applyFont="1" applyFill="1" applyBorder="1"/>
    <xf numFmtId="3" fontId="81" fillId="2" borderId="30" xfId="0" applyNumberFormat="1" applyFont="1" applyFill="1" applyBorder="1" applyAlignment="1">
      <alignment horizontal="left"/>
    </xf>
    <xf numFmtId="3" fontId="81" fillId="2" borderId="30" xfId="0" applyNumberFormat="1" applyFont="1" applyFill="1" applyBorder="1"/>
    <xf numFmtId="0" fontId="71" fillId="2" borderId="0" xfId="0" applyFont="1" applyFill="1"/>
    <xf numFmtId="3" fontId="71" fillId="2" borderId="0" xfId="0" applyNumberFormat="1" applyFont="1" applyFill="1"/>
    <xf numFmtId="0" fontId="81" fillId="2" borderId="0" xfId="0" applyFont="1" applyFill="1"/>
    <xf numFmtId="3" fontId="81" fillId="2" borderId="11" xfId="0" applyNumberFormat="1" applyFont="1" applyFill="1" applyBorder="1"/>
    <xf numFmtId="3" fontId="81" fillId="2" borderId="3" xfId="0" applyNumberFormat="1" applyFont="1" applyFill="1" applyBorder="1"/>
    <xf numFmtId="3" fontId="81" fillId="2" borderId="9" xfId="0" applyNumberFormat="1" applyFont="1" applyFill="1" applyBorder="1"/>
    <xf numFmtId="3" fontId="81" fillId="2" borderId="10" xfId="0" applyNumberFormat="1" applyFont="1" applyFill="1" applyBorder="1"/>
    <xf numFmtId="3" fontId="81" fillId="2" borderId="12" xfId="0" applyNumberFormat="1" applyFont="1" applyFill="1" applyBorder="1"/>
    <xf numFmtId="3" fontId="81" fillId="2" borderId="74" xfId="0" applyNumberFormat="1" applyFont="1" applyFill="1" applyBorder="1" applyAlignment="1">
      <alignment horizontal="left"/>
    </xf>
    <xf numFmtId="3" fontId="81" fillId="2" borderId="62" xfId="0" applyNumberFormat="1" applyFont="1" applyFill="1" applyBorder="1"/>
    <xf numFmtId="3" fontId="81" fillId="2" borderId="64" xfId="0" applyNumberFormat="1" applyFont="1" applyFill="1" applyBorder="1"/>
    <xf numFmtId="3" fontId="81" fillId="41" borderId="20" xfId="0" applyNumberFormat="1" applyFont="1" applyFill="1" applyBorder="1"/>
    <xf numFmtId="3" fontId="81" fillId="2" borderId="73" xfId="0" applyNumberFormat="1" applyFont="1" applyFill="1" applyBorder="1" applyAlignment="1">
      <alignment horizontal="left"/>
    </xf>
    <xf numFmtId="3" fontId="81" fillId="2" borderId="44" xfId="0" applyNumberFormat="1" applyFont="1" applyFill="1" applyBorder="1" applyAlignment="1">
      <alignment horizontal="left"/>
    </xf>
    <xf numFmtId="3" fontId="81" fillId="2" borderId="11" xfId="0" applyNumberFormat="1" applyFont="1" applyFill="1" applyBorder="1" applyAlignment="1">
      <alignment horizontal="left"/>
    </xf>
    <xf numFmtId="1" fontId="14" fillId="2" borderId="0" xfId="78" applyNumberFormat="1" applyFont="1" applyFill="1"/>
    <xf numFmtId="0" fontId="52" fillId="9" borderId="10" xfId="36" applyFont="1" applyFill="1" applyBorder="1" applyAlignment="1">
      <alignment horizontal="center" vertical="center" wrapText="1"/>
    </xf>
    <xf numFmtId="4" fontId="52" fillId="9" borderId="16" xfId="36" applyNumberFormat="1" applyFont="1" applyFill="1" applyBorder="1" applyAlignment="1">
      <alignment horizontal="center" vertical="center" wrapText="1"/>
    </xf>
    <xf numFmtId="0" fontId="52" fillId="9" borderId="11" xfId="36" applyFont="1" applyFill="1" applyBorder="1" applyAlignment="1">
      <alignment horizontal="center" vertical="center"/>
    </xf>
    <xf numFmtId="0" fontId="14" fillId="0" borderId="57" xfId="36" applyFont="1" applyBorder="1"/>
    <xf numFmtId="164" fontId="52" fillId="9" borderId="2" xfId="81" applyFont="1" applyFill="1" applyBorder="1" applyAlignment="1">
      <alignment horizontal="center" vertical="center"/>
    </xf>
    <xf numFmtId="164" fontId="52" fillId="9" borderId="74" xfId="81" applyFont="1" applyFill="1" applyBorder="1" applyAlignment="1">
      <alignment horizontal="center" vertical="center"/>
    </xf>
    <xf numFmtId="164" fontId="52" fillId="9" borderId="52" xfId="81" applyFont="1" applyFill="1" applyBorder="1" applyAlignment="1">
      <alignment horizontal="center" vertical="center"/>
    </xf>
    <xf numFmtId="164" fontId="52" fillId="9" borderId="9" xfId="81" applyFont="1" applyFill="1" applyBorder="1" applyAlignment="1">
      <alignment horizontal="center" vertical="center"/>
    </xf>
    <xf numFmtId="3" fontId="96" fillId="9" borderId="11" xfId="40" applyNumberFormat="1" applyFont="1" applyFill="1" applyBorder="1" applyAlignment="1">
      <alignment horizontal="center" vertical="center" wrapText="1"/>
    </xf>
    <xf numFmtId="0" fontId="96" fillId="9" borderId="1" xfId="40" applyFont="1" applyFill="1" applyBorder="1" applyAlignment="1">
      <alignment horizontal="center" vertical="center" wrapText="1"/>
    </xf>
    <xf numFmtId="0" fontId="96" fillId="9" borderId="13" xfId="40" applyFont="1" applyFill="1" applyBorder="1" applyAlignment="1">
      <alignment horizontal="center" vertical="center" wrapText="1"/>
    </xf>
    <xf numFmtId="0" fontId="96" fillId="9" borderId="14" xfId="40" applyFont="1" applyFill="1" applyBorder="1" applyAlignment="1">
      <alignment horizontal="center" vertical="center" wrapText="1"/>
    </xf>
    <xf numFmtId="3" fontId="96" fillId="9" borderId="15" xfId="40" applyNumberFormat="1" applyFont="1" applyFill="1" applyBorder="1" applyAlignment="1">
      <alignment horizontal="center" vertical="center" wrapText="1"/>
    </xf>
    <xf numFmtId="0" fontId="96" fillId="9" borderId="74" xfId="40" applyFont="1" applyFill="1" applyBorder="1" applyAlignment="1">
      <alignment horizontal="left" vertical="center" wrapText="1"/>
    </xf>
    <xf numFmtId="0" fontId="96" fillId="9" borderId="52" xfId="40" applyFont="1" applyFill="1" applyBorder="1" applyAlignment="1">
      <alignment horizontal="center" vertical="center" wrapText="1"/>
    </xf>
    <xf numFmtId="0" fontId="96" fillId="9" borderId="58" xfId="40" applyFont="1" applyFill="1" applyBorder="1" applyAlignment="1">
      <alignment horizontal="center" vertical="center" wrapText="1"/>
    </xf>
    <xf numFmtId="0" fontId="96" fillId="9" borderId="59" xfId="40" applyFont="1" applyFill="1" applyBorder="1" applyAlignment="1">
      <alignment horizontal="center" vertical="center" wrapText="1"/>
    </xf>
    <xf numFmtId="0" fontId="81" fillId="2" borderId="56" xfId="78" applyFont="1" applyFill="1" applyBorder="1" applyAlignment="1">
      <alignment horizontal="left" indent="2"/>
    </xf>
    <xf numFmtId="0" fontId="81" fillId="2" borderId="75" xfId="78" quotePrefix="1" applyFont="1" applyFill="1" applyBorder="1" applyAlignment="1">
      <alignment horizontal="left" indent="2"/>
    </xf>
    <xf numFmtId="0" fontId="81" fillId="2" borderId="57" xfId="78" applyFont="1" applyFill="1" applyBorder="1" applyAlignment="1">
      <alignment horizontal="left" indent="2"/>
    </xf>
    <xf numFmtId="0" fontId="81" fillId="2" borderId="9" xfId="57" applyFont="1" applyFill="1" applyBorder="1" applyAlignment="1">
      <alignment horizontal="center" vertical="center"/>
    </xf>
    <xf numFmtId="0" fontId="81" fillId="2" borderId="20" xfId="55" applyFont="1" applyFill="1" applyBorder="1" applyAlignment="1">
      <alignment horizontal="left" vertical="center" indent="2"/>
    </xf>
    <xf numFmtId="0" fontId="14" fillId="2" borderId="30" xfId="78" applyFont="1" applyFill="1" applyBorder="1" applyAlignment="1">
      <alignment horizontal="left" indent="2"/>
    </xf>
    <xf numFmtId="190" fontId="52" fillId="9" borderId="13" xfId="78" applyNumberFormat="1" applyFont="1" applyFill="1" applyBorder="1" applyAlignment="1">
      <alignment horizontal="center" vertical="center" wrapText="1"/>
    </xf>
    <xf numFmtId="164" fontId="103" fillId="0" borderId="135" xfId="81" applyFont="1" applyBorder="1" applyAlignment="1">
      <alignment horizontal="center" vertical="center" wrapText="1"/>
    </xf>
    <xf numFmtId="4" fontId="26" fillId="2" borderId="104" xfId="36" applyNumberFormat="1" applyFill="1" applyBorder="1"/>
    <xf numFmtId="0" fontId="52" fillId="0" borderId="9" xfId="78" applyFont="1" applyBorder="1"/>
    <xf numFmtId="0" fontId="52" fillId="9" borderId="69" xfId="78" applyFont="1" applyFill="1" applyBorder="1"/>
    <xf numFmtId="0" fontId="52" fillId="9" borderId="81" xfId="78" applyFont="1" applyFill="1" applyBorder="1"/>
    <xf numFmtId="0" fontId="52" fillId="9" borderId="56" xfId="78" applyFont="1" applyFill="1" applyBorder="1"/>
    <xf numFmtId="0" fontId="52" fillId="9" borderId="57" xfId="78" applyFont="1" applyFill="1" applyBorder="1"/>
    <xf numFmtId="0" fontId="52" fillId="9" borderId="23" xfId="78" applyFont="1" applyFill="1" applyBorder="1"/>
    <xf numFmtId="0" fontId="52" fillId="9" borderId="49" xfId="78" applyFont="1" applyFill="1" applyBorder="1" applyAlignment="1">
      <alignment horizontal="center"/>
    </xf>
    <xf numFmtId="0" fontId="14" fillId="9" borderId="21" xfId="78" applyFont="1" applyFill="1" applyBorder="1"/>
    <xf numFmtId="0" fontId="14" fillId="9" borderId="31" xfId="78" applyFont="1" applyFill="1" applyBorder="1"/>
    <xf numFmtId="190" fontId="52" fillId="9" borderId="14" xfId="78" applyNumberFormat="1" applyFont="1" applyFill="1" applyBorder="1" applyAlignment="1">
      <alignment horizontal="center" vertical="center" wrapText="1"/>
    </xf>
    <xf numFmtId="0" fontId="32" fillId="0" borderId="0" xfId="0" applyFont="1"/>
    <xf numFmtId="0" fontId="60" fillId="0" borderId="0" xfId="30" applyFont="1"/>
    <xf numFmtId="0" fontId="228" fillId="0" borderId="0" xfId="0" applyFont="1"/>
    <xf numFmtId="0" fontId="52" fillId="9" borderId="74" xfId="81" applyNumberFormat="1" applyFont="1" applyFill="1" applyBorder="1" applyAlignment="1">
      <alignment horizontal="center" vertical="center" wrapText="1"/>
    </xf>
    <xf numFmtId="0" fontId="96" fillId="9" borderId="1" xfId="58" applyFont="1" applyFill="1" applyBorder="1" applyAlignment="1">
      <alignment horizontal="center" vertical="center" wrapText="1"/>
    </xf>
    <xf numFmtId="0" fontId="96" fillId="9" borderId="13" xfId="58" applyFont="1" applyFill="1" applyBorder="1" applyAlignment="1">
      <alignment horizontal="center" vertical="center" wrapText="1"/>
    </xf>
    <xf numFmtId="0" fontId="96" fillId="9" borderId="16" xfId="58" applyFont="1" applyFill="1" applyBorder="1" applyAlignment="1">
      <alignment horizontal="center" vertical="center" wrapText="1"/>
    </xf>
    <xf numFmtId="3" fontId="96" fillId="9" borderId="13" xfId="78" applyNumberFormat="1" applyFont="1" applyFill="1" applyBorder="1" applyAlignment="1" applyProtection="1">
      <alignment horizontal="center" vertical="center" wrapText="1"/>
      <protection locked="0"/>
    </xf>
    <xf numFmtId="4" fontId="96" fillId="9" borderId="14" xfId="78" applyNumberFormat="1" applyFont="1" applyFill="1" applyBorder="1" applyAlignment="1" applyProtection="1">
      <alignment horizontal="center" vertical="center" wrapText="1"/>
      <protection locked="0"/>
    </xf>
    <xf numFmtId="0" fontId="34" fillId="2" borderId="134" xfId="3" applyFont="1" applyFill="1" applyBorder="1" applyAlignment="1">
      <alignment horizontal="center"/>
    </xf>
    <xf numFmtId="0" fontId="34" fillId="2" borderId="134" xfId="4" applyNumberFormat="1" applyFont="1" applyFill="1" applyBorder="1" applyAlignment="1">
      <alignment horizontal="center"/>
    </xf>
    <xf numFmtId="0" fontId="0" fillId="0" borderId="43" xfId="0" applyBorder="1"/>
    <xf numFmtId="0" fontId="13" fillId="0" borderId="0" xfId="132"/>
    <xf numFmtId="166" fontId="13" fillId="0" borderId="0" xfId="132" applyNumberFormat="1"/>
    <xf numFmtId="166" fontId="13" fillId="0" borderId="43" xfId="132" applyNumberFormat="1" applyBorder="1"/>
    <xf numFmtId="0" fontId="13" fillId="0" borderId="43" xfId="132" applyBorder="1"/>
    <xf numFmtId="0" fontId="52" fillId="4" borderId="137" xfId="132" applyFont="1" applyFill="1" applyBorder="1"/>
    <xf numFmtId="1" fontId="13" fillId="0" borderId="0" xfId="132" applyNumberFormat="1" applyAlignment="1">
      <alignment horizontal="center"/>
    </xf>
    <xf numFmtId="0" fontId="191" fillId="0" borderId="0" xfId="132" applyFont="1"/>
    <xf numFmtId="166" fontId="13" fillId="0" borderId="43" xfId="132" applyNumberFormat="1" applyBorder="1" applyAlignment="1">
      <alignment horizontal="right"/>
    </xf>
    <xf numFmtId="166" fontId="13" fillId="0" borderId="137" xfId="132" applyNumberFormat="1" applyBorder="1" applyAlignment="1">
      <alignment horizontal="right"/>
    </xf>
    <xf numFmtId="0" fontId="13" fillId="0" borderId="137" xfId="132" applyBorder="1"/>
    <xf numFmtId="2" fontId="13" fillId="0" borderId="0" xfId="132" applyNumberFormat="1"/>
    <xf numFmtId="0" fontId="13" fillId="0" borderId="0" xfId="132" applyAlignment="1">
      <alignment horizontal="left"/>
    </xf>
    <xf numFmtId="0" fontId="13" fillId="0" borderId="0" xfId="132" applyAlignment="1">
      <alignment vertical="center"/>
    </xf>
    <xf numFmtId="0" fontId="13" fillId="0" borderId="43" xfId="132" applyBorder="1" applyAlignment="1">
      <alignment horizontal="center"/>
    </xf>
    <xf numFmtId="0" fontId="13" fillId="0" borderId="43" xfId="132" applyBorder="1" applyAlignment="1">
      <alignment vertical="center"/>
    </xf>
    <xf numFmtId="1" fontId="13" fillId="0" borderId="0" xfId="132" applyNumberFormat="1"/>
    <xf numFmtId="0" fontId="81" fillId="0" borderId="0" xfId="132" applyFont="1"/>
    <xf numFmtId="0" fontId="52" fillId="0" borderId="0" xfId="132" applyFont="1"/>
    <xf numFmtId="0" fontId="84" fillId="0" borderId="0" xfId="132" applyFont="1"/>
    <xf numFmtId="1" fontId="13" fillId="0" borderId="137" xfId="132" applyNumberFormat="1" applyBorder="1"/>
    <xf numFmtId="1" fontId="13" fillId="10" borderId="137" xfId="132" applyNumberFormat="1" applyFill="1" applyBorder="1"/>
    <xf numFmtId="0" fontId="151" fillId="0" borderId="137" xfId="132" applyFont="1" applyBorder="1"/>
    <xf numFmtId="0" fontId="52" fillId="0" borderId="43" xfId="132" applyFont="1" applyBorder="1"/>
    <xf numFmtId="0" fontId="52" fillId="10" borderId="43" xfId="132" applyFont="1" applyFill="1" applyBorder="1"/>
    <xf numFmtId="0" fontId="151" fillId="0" borderId="0" xfId="132" applyFont="1"/>
    <xf numFmtId="0" fontId="152" fillId="0" borderId="0" xfId="132" applyFont="1"/>
    <xf numFmtId="2" fontId="13" fillId="0" borderId="43" xfId="132" applyNumberFormat="1" applyBorder="1"/>
    <xf numFmtId="2" fontId="13" fillId="10" borderId="43" xfId="132" applyNumberFormat="1" applyFill="1" applyBorder="1"/>
    <xf numFmtId="0" fontId="13" fillId="10" borderId="43" xfId="132" applyFill="1" applyBorder="1"/>
    <xf numFmtId="2" fontId="13" fillId="0" borderId="138" xfId="132" applyNumberFormat="1" applyBorder="1"/>
    <xf numFmtId="2" fontId="13" fillId="10" borderId="138" xfId="132" applyNumberFormat="1" applyFill="1" applyBorder="1"/>
    <xf numFmtId="0" fontId="13" fillId="10" borderId="0" xfId="132" applyFill="1"/>
    <xf numFmtId="1" fontId="13" fillId="10" borderId="0" xfId="132" applyNumberFormat="1" applyFill="1"/>
    <xf numFmtId="0" fontId="81" fillId="10" borderId="0" xfId="132" applyFont="1" applyFill="1" applyAlignment="1">
      <alignment horizontal="center"/>
    </xf>
    <xf numFmtId="166" fontId="81" fillId="0" borderId="137" xfId="132" applyNumberFormat="1" applyFont="1" applyBorder="1" applyAlignment="1">
      <alignment horizontal="right"/>
    </xf>
    <xf numFmtId="166" fontId="81" fillId="10" borderId="137" xfId="132" applyNumberFormat="1" applyFont="1" applyFill="1" applyBorder="1"/>
    <xf numFmtId="0" fontId="81" fillId="10" borderId="137" xfId="132" applyFont="1" applyFill="1" applyBorder="1"/>
    <xf numFmtId="0" fontId="81" fillId="0" borderId="137" xfId="132" applyFont="1" applyBorder="1"/>
    <xf numFmtId="0" fontId="96" fillId="0" borderId="43" xfId="132" applyFont="1" applyBorder="1"/>
    <xf numFmtId="1" fontId="81" fillId="0" borderId="0" xfId="132" applyNumberFormat="1" applyFont="1" applyAlignment="1">
      <alignment horizontal="right"/>
    </xf>
    <xf numFmtId="166" fontId="81" fillId="10" borderId="0" xfId="132" applyNumberFormat="1" applyFont="1" applyFill="1"/>
    <xf numFmtId="0" fontId="81" fillId="10" borderId="0" xfId="132" applyFont="1" applyFill="1"/>
    <xf numFmtId="166" fontId="13" fillId="10" borderId="0" xfId="132" applyNumberFormat="1" applyFill="1"/>
    <xf numFmtId="166" fontId="81" fillId="0" borderId="0" xfId="132" applyNumberFormat="1" applyFont="1"/>
    <xf numFmtId="0" fontId="259" fillId="0" borderId="0" xfId="132" applyFont="1"/>
    <xf numFmtId="0" fontId="80" fillId="0" borderId="0" xfId="132" applyFont="1"/>
    <xf numFmtId="3" fontId="13" fillId="0" borderId="43" xfId="132" applyNumberFormat="1" applyBorder="1"/>
    <xf numFmtId="3" fontId="13" fillId="10" borderId="43" xfId="132" applyNumberFormat="1" applyFill="1" applyBorder="1"/>
    <xf numFmtId="3" fontId="13" fillId="0" borderId="138" xfId="132" applyNumberFormat="1" applyBorder="1"/>
    <xf numFmtId="3" fontId="13" fillId="10" borderId="138" xfId="132" applyNumberFormat="1" applyFill="1" applyBorder="1"/>
    <xf numFmtId="3" fontId="13" fillId="0" borderId="137" xfId="132" applyNumberFormat="1" applyBorder="1"/>
    <xf numFmtId="3" fontId="13" fillId="10" borderId="137" xfId="132" applyNumberFormat="1" applyFill="1" applyBorder="1"/>
    <xf numFmtId="3" fontId="13" fillId="0" borderId="0" xfId="132" applyNumberFormat="1"/>
    <xf numFmtId="3" fontId="13" fillId="10" borderId="0" xfId="132" applyNumberFormat="1" applyFill="1"/>
    <xf numFmtId="0" fontId="260" fillId="0" borderId="0" xfId="132" applyFont="1"/>
    <xf numFmtId="166" fontId="32" fillId="0" borderId="0" xfId="0" applyNumberFormat="1" applyFont="1"/>
    <xf numFmtId="0" fontId="34" fillId="0" borderId="137" xfId="0" applyFont="1" applyBorder="1"/>
    <xf numFmtId="0" fontId="0" fillId="0" borderId="137" xfId="0" applyBorder="1"/>
    <xf numFmtId="2" fontId="0" fillId="0" borderId="137" xfId="0" applyNumberFormat="1" applyBorder="1"/>
    <xf numFmtId="0" fontId="41" fillId="0" borderId="0" xfId="3" applyFont="1"/>
    <xf numFmtId="0" fontId="71" fillId="0" borderId="0" xfId="3" applyFont="1"/>
    <xf numFmtId="0" fontId="228" fillId="55" borderId="137" xfId="3" applyFont="1" applyFill="1" applyBorder="1"/>
    <xf numFmtId="1" fontId="71" fillId="0" borderId="0" xfId="3" applyNumberFormat="1" applyFont="1"/>
    <xf numFmtId="9" fontId="71" fillId="0" borderId="0" xfId="3" applyNumberFormat="1" applyFont="1"/>
    <xf numFmtId="9" fontId="71" fillId="0" borderId="7" xfId="3" applyNumberFormat="1" applyFont="1" applyBorder="1"/>
    <xf numFmtId="0" fontId="71" fillId="0" borderId="43" xfId="3" applyFont="1" applyBorder="1"/>
    <xf numFmtId="166" fontId="71" fillId="0" borderId="43" xfId="3" applyNumberFormat="1" applyFont="1" applyBorder="1"/>
    <xf numFmtId="9" fontId="71" fillId="0" borderId="43" xfId="35" applyFont="1" applyBorder="1"/>
    <xf numFmtId="0" fontId="228" fillId="56" borderId="214" xfId="3" applyFont="1" applyFill="1" applyBorder="1"/>
    <xf numFmtId="166" fontId="71" fillId="0" borderId="137" xfId="3" applyNumberFormat="1" applyFont="1" applyBorder="1"/>
    <xf numFmtId="166" fontId="71" fillId="0" borderId="37" xfId="3" applyNumberFormat="1" applyFont="1" applyBorder="1"/>
    <xf numFmtId="166" fontId="71" fillId="0" borderId="7" xfId="3" applyNumberFormat="1" applyFont="1" applyBorder="1"/>
    <xf numFmtId="0" fontId="71" fillId="0" borderId="213" xfId="3" applyFont="1" applyBorder="1"/>
    <xf numFmtId="9" fontId="71" fillId="0" borderId="213" xfId="3" applyNumberFormat="1" applyFont="1" applyBorder="1"/>
    <xf numFmtId="3" fontId="32" fillId="57" borderId="0" xfId="3" applyNumberFormat="1" applyFill="1"/>
    <xf numFmtId="0" fontId="32" fillId="0" borderId="0" xfId="3" quotePrefix="1"/>
    <xf numFmtId="0" fontId="39" fillId="0" borderId="0" xfId="3" applyFont="1"/>
    <xf numFmtId="0" fontId="228" fillId="0" borderId="0" xfId="3" applyFont="1"/>
    <xf numFmtId="0" fontId="228" fillId="56" borderId="198" xfId="3" applyFont="1" applyFill="1" applyBorder="1"/>
    <xf numFmtId="0" fontId="71" fillId="0" borderId="7" xfId="3" applyFont="1" applyBorder="1"/>
    <xf numFmtId="0" fontId="228" fillId="56" borderId="137" xfId="3" applyFont="1" applyFill="1" applyBorder="1"/>
    <xf numFmtId="0" fontId="71" fillId="0" borderId="138" xfId="3" applyFont="1" applyBorder="1"/>
    <xf numFmtId="189" fontId="71" fillId="0" borderId="43" xfId="3" applyNumberFormat="1" applyFont="1" applyBorder="1" applyAlignment="1">
      <alignment horizontal="right" indent="2"/>
    </xf>
    <xf numFmtId="189" fontId="71" fillId="0" borderId="43" xfId="3" applyNumberFormat="1" applyFont="1" applyBorder="1" applyAlignment="1">
      <alignment horizontal="right" indent="1"/>
    </xf>
    <xf numFmtId="189" fontId="71" fillId="0" borderId="0" xfId="3" applyNumberFormat="1" applyFont="1"/>
    <xf numFmtId="189" fontId="71" fillId="0" borderId="43" xfId="3" applyNumberFormat="1" applyFont="1" applyBorder="1"/>
    <xf numFmtId="0" fontId="71" fillId="55" borderId="137" xfId="3" applyFont="1" applyFill="1" applyBorder="1"/>
    <xf numFmtId="0" fontId="228" fillId="55" borderId="137" xfId="3" applyFont="1" applyFill="1" applyBorder="1" applyAlignment="1">
      <alignment horizontal="right"/>
    </xf>
    <xf numFmtId="0" fontId="71" fillId="0" borderId="0" xfId="3" applyFont="1" applyAlignment="1">
      <alignment horizontal="left"/>
    </xf>
    <xf numFmtId="0" fontId="32" fillId="0" borderId="43" xfId="0" applyFont="1" applyBorder="1"/>
    <xf numFmtId="0" fontId="60" fillId="2" borderId="0" xfId="3" applyFont="1" applyFill="1"/>
    <xf numFmtId="3" fontId="48" fillId="2" borderId="0" xfId="3" applyNumberFormat="1" applyFont="1" applyFill="1"/>
    <xf numFmtId="0" fontId="261" fillId="3" borderId="0" xfId="3" applyFont="1" applyFill="1"/>
    <xf numFmtId="0" fontId="32" fillId="3" borderId="0" xfId="3" applyFill="1" applyAlignment="1">
      <alignment wrapText="1"/>
    </xf>
    <xf numFmtId="0" fontId="60" fillId="3" borderId="12" xfId="3" applyFont="1" applyFill="1" applyBorder="1" applyAlignment="1">
      <alignment vertical="center"/>
    </xf>
    <xf numFmtId="0" fontId="60" fillId="0" borderId="146" xfId="3" applyFont="1" applyBorder="1" applyAlignment="1">
      <alignment horizontal="left"/>
    </xf>
    <xf numFmtId="0" fontId="60" fillId="0" borderId="147" xfId="3" applyFont="1" applyBorder="1" applyAlignment="1">
      <alignment horizontal="left"/>
    </xf>
    <xf numFmtId="0" fontId="60" fillId="0" borderId="148" xfId="3" applyFont="1" applyBorder="1" applyAlignment="1">
      <alignment horizontal="left"/>
    </xf>
    <xf numFmtId="0" fontId="60" fillId="0" borderId="70" xfId="3" applyFont="1" applyBorder="1" applyAlignment="1">
      <alignment horizontal="left"/>
    </xf>
    <xf numFmtId="0" fontId="60" fillId="0" borderId="64" xfId="3" applyFont="1" applyBorder="1" applyAlignment="1">
      <alignment horizontal="left"/>
    </xf>
    <xf numFmtId="0" fontId="60" fillId="0" borderId="64" xfId="3" applyFont="1" applyBorder="1" applyAlignment="1">
      <alignment horizontal="left" wrapText="1"/>
    </xf>
    <xf numFmtId="0" fontId="60" fillId="0" borderId="63" xfId="3" applyFont="1" applyBorder="1" applyAlignment="1">
      <alignment horizontal="left"/>
    </xf>
    <xf numFmtId="0" fontId="60" fillId="0" borderId="62" xfId="3" applyFont="1" applyBorder="1" applyAlignment="1">
      <alignment horizontal="left"/>
    </xf>
    <xf numFmtId="0" fontId="60" fillId="0" borderId="63" xfId="3" applyFont="1" applyBorder="1" applyAlignment="1">
      <alignment horizontal="left" wrapText="1"/>
    </xf>
    <xf numFmtId="0" fontId="60" fillId="0" borderId="35" xfId="3" applyFont="1" applyBorder="1" applyAlignment="1">
      <alignment horizontal="left" wrapText="1"/>
    </xf>
    <xf numFmtId="0" fontId="32" fillId="0" borderId="150" xfId="3" applyBorder="1" applyAlignment="1">
      <alignment horizontal="center" vertical="center" wrapText="1"/>
    </xf>
    <xf numFmtId="0" fontId="32" fillId="0" borderId="135" xfId="3" applyBorder="1" applyAlignment="1">
      <alignment horizontal="center" vertical="center" wrapText="1"/>
    </xf>
    <xf numFmtId="0" fontId="32" fillId="0" borderId="151" xfId="3" applyBorder="1"/>
    <xf numFmtId="171" fontId="32" fillId="2" borderId="142" xfId="3" applyNumberFormat="1" applyFill="1" applyBorder="1" applyAlignment="1">
      <alignment horizontal="right"/>
    </xf>
    <xf numFmtId="9" fontId="32" fillId="47" borderId="135" xfId="4" applyFont="1" applyFill="1" applyBorder="1" applyAlignment="1">
      <alignment vertical="center"/>
    </xf>
    <xf numFmtId="9" fontId="32" fillId="53" borderId="135" xfId="4" applyFont="1" applyFill="1" applyBorder="1" applyAlignment="1">
      <alignment vertical="center"/>
    </xf>
    <xf numFmtId="9" fontId="32" fillId="42" borderId="135" xfId="4" applyFont="1" applyFill="1" applyBorder="1" applyAlignment="1">
      <alignment vertical="center"/>
    </xf>
    <xf numFmtId="9" fontId="32" fillId="15" borderId="135" xfId="4" applyFont="1" applyFill="1" applyBorder="1" applyAlignment="1">
      <alignment vertical="center"/>
    </xf>
    <xf numFmtId="0" fontId="32" fillId="0" borderId="152" xfId="3" applyBorder="1" applyAlignment="1">
      <alignment wrapText="1"/>
    </xf>
    <xf numFmtId="0" fontId="32" fillId="0" borderId="152" xfId="3" applyBorder="1"/>
    <xf numFmtId="0" fontId="32" fillId="2" borderId="152" xfId="3" applyFill="1" applyBorder="1"/>
    <xf numFmtId="0" fontId="32" fillId="2" borderId="151" xfId="3" applyFill="1" applyBorder="1" applyAlignment="1">
      <alignment wrapText="1"/>
    </xf>
    <xf numFmtId="0" fontId="32" fillId="2" borderId="151" xfId="3" applyFill="1" applyBorder="1"/>
    <xf numFmtId="0" fontId="32" fillId="0" borderId="155" xfId="3" applyBorder="1" applyAlignment="1">
      <alignment horizontal="center" vertical="center" wrapText="1"/>
    </xf>
    <xf numFmtId="0" fontId="262" fillId="0" borderId="156" xfId="0" applyFont="1" applyBorder="1" applyAlignment="1">
      <alignment horizontal="center"/>
    </xf>
    <xf numFmtId="0" fontId="32" fillId="2" borderId="135" xfId="3" applyFill="1" applyBorder="1" applyAlignment="1">
      <alignment horizontal="center" vertical="center"/>
    </xf>
    <xf numFmtId="0" fontId="32" fillId="54" borderId="151" xfId="3" applyFill="1" applyBorder="1"/>
    <xf numFmtId="0" fontId="32" fillId="54" borderId="157" xfId="0" applyFont="1" applyFill="1" applyBorder="1"/>
    <xf numFmtId="0" fontId="262" fillId="0" borderId="158" xfId="0" applyFont="1" applyBorder="1" applyAlignment="1">
      <alignment horizontal="center"/>
    </xf>
    <xf numFmtId="0" fontId="32" fillId="54" borderId="159" xfId="0" applyFont="1" applyFill="1" applyBorder="1"/>
    <xf numFmtId="167" fontId="32" fillId="0" borderId="134" xfId="3" applyNumberFormat="1" applyBorder="1"/>
    <xf numFmtId="0" fontId="32" fillId="12" borderId="4" xfId="3" applyFill="1" applyBorder="1" applyAlignment="1">
      <alignment horizontal="center" vertical="center" wrapText="1"/>
    </xf>
    <xf numFmtId="0" fontId="32" fillId="12" borderId="0" xfId="3" applyFill="1" applyAlignment="1">
      <alignment horizontal="center" vertical="center" wrapText="1"/>
    </xf>
    <xf numFmtId="0" fontId="263" fillId="12" borderId="0" xfId="3" applyFont="1" applyFill="1"/>
    <xf numFmtId="167" fontId="72" fillId="12" borderId="3" xfId="3" applyNumberFormat="1" applyFont="1" applyFill="1" applyBorder="1" applyAlignment="1">
      <alignment horizontal="right"/>
    </xf>
    <xf numFmtId="167" fontId="85" fillId="12" borderId="3" xfId="3" applyNumberFormat="1" applyFont="1" applyFill="1" applyBorder="1"/>
    <xf numFmtId="3" fontId="72" fillId="12" borderId="3" xfId="3" applyNumberFormat="1" applyFont="1" applyFill="1" applyBorder="1"/>
    <xf numFmtId="0" fontId="34" fillId="12" borderId="3" xfId="3" applyFont="1" applyFill="1" applyBorder="1"/>
    <xf numFmtId="9" fontId="60" fillId="12" borderId="3" xfId="4" applyFont="1" applyFill="1" applyBorder="1" applyAlignment="1">
      <alignment vertical="center"/>
    </xf>
    <xf numFmtId="3" fontId="34" fillId="12" borderId="3" xfId="3" applyNumberFormat="1" applyFont="1" applyFill="1" applyBorder="1"/>
    <xf numFmtId="0" fontId="32" fillId="12" borderId="39" xfId="3" applyFill="1" applyBorder="1"/>
    <xf numFmtId="0" fontId="32" fillId="0" borderId="146" xfId="3" applyBorder="1" applyAlignment="1">
      <alignment horizontal="center" vertical="center" wrapText="1"/>
    </xf>
    <xf numFmtId="0" fontId="32" fillId="0" borderId="147" xfId="3" applyBorder="1" applyAlignment="1">
      <alignment horizontal="center" vertical="center" wrapText="1"/>
    </xf>
    <xf numFmtId="0" fontId="32" fillId="0" borderId="160" xfId="3" applyBorder="1"/>
    <xf numFmtId="171" fontId="32" fillId="2" borderId="62" xfId="3" applyNumberFormat="1" applyFill="1" applyBorder="1" applyAlignment="1">
      <alignment horizontal="right"/>
    </xf>
    <xf numFmtId="167" fontId="32" fillId="0" borderId="64" xfId="3" applyNumberFormat="1" applyBorder="1"/>
    <xf numFmtId="3" fontId="32" fillId="0" borderId="64" xfId="3" applyNumberFormat="1" applyBorder="1"/>
    <xf numFmtId="0" fontId="32" fillId="0" borderId="64" xfId="3" applyBorder="1"/>
    <xf numFmtId="9" fontId="32" fillId="47" borderId="64" xfId="4" applyFont="1" applyFill="1" applyBorder="1" applyAlignment="1">
      <alignment vertical="center"/>
    </xf>
    <xf numFmtId="9" fontId="32" fillId="53" borderId="64" xfId="4" applyFont="1" applyFill="1" applyBorder="1" applyAlignment="1">
      <alignment vertical="center"/>
    </xf>
    <xf numFmtId="9" fontId="32" fillId="42" borderId="64" xfId="4" applyFont="1" applyFill="1" applyBorder="1" applyAlignment="1">
      <alignment vertical="center"/>
    </xf>
    <xf numFmtId="9" fontId="32" fillId="15" borderId="64" xfId="4" applyFont="1" applyFill="1" applyBorder="1" applyAlignment="1">
      <alignment vertical="center"/>
    </xf>
    <xf numFmtId="3" fontId="32" fillId="0" borderId="72" xfId="3" applyNumberFormat="1" applyBorder="1"/>
    <xf numFmtId="3" fontId="32" fillId="0" borderId="161" xfId="3" applyNumberFormat="1" applyBorder="1"/>
    <xf numFmtId="3" fontId="32" fillId="0" borderId="162" xfId="3" applyNumberFormat="1" applyBorder="1"/>
    <xf numFmtId="0" fontId="32" fillId="0" borderId="35" xfId="3" applyBorder="1"/>
    <xf numFmtId="171" fontId="32" fillId="2" borderId="149" xfId="3" applyNumberFormat="1" applyFill="1" applyBorder="1"/>
    <xf numFmtId="3" fontId="32" fillId="0" borderId="141" xfId="3" applyNumberFormat="1" applyBorder="1"/>
    <xf numFmtId="3" fontId="32" fillId="0" borderId="150" xfId="3" applyNumberFormat="1" applyBorder="1"/>
    <xf numFmtId="3" fontId="32" fillId="0" borderId="151" xfId="3" applyNumberFormat="1" applyBorder="1"/>
    <xf numFmtId="171" fontId="32" fillId="2" borderId="149" xfId="3" applyNumberFormat="1" applyFill="1" applyBorder="1" applyAlignment="1">
      <alignment horizontal="right"/>
    </xf>
    <xf numFmtId="0" fontId="32" fillId="0" borderId="136" xfId="3" applyBorder="1" applyAlignment="1">
      <alignment horizontal="center" vertical="center" wrapText="1"/>
    </xf>
    <xf numFmtId="171" fontId="32" fillId="2" borderId="163" xfId="3" applyNumberFormat="1" applyFill="1" applyBorder="1" applyAlignment="1">
      <alignment horizontal="right"/>
    </xf>
    <xf numFmtId="0" fontId="32" fillId="0" borderId="136" xfId="3" applyBorder="1"/>
    <xf numFmtId="0" fontId="32" fillId="0" borderId="156" xfId="3" applyBorder="1" applyAlignment="1">
      <alignment horizontal="center" vertical="center" wrapText="1"/>
    </xf>
    <xf numFmtId="0" fontId="32" fillId="0" borderId="164" xfId="3" applyBorder="1" applyAlignment="1">
      <alignment horizontal="center" vertical="center" wrapText="1"/>
    </xf>
    <xf numFmtId="0" fontId="32" fillId="0" borderId="165" xfId="3" applyBorder="1"/>
    <xf numFmtId="171" fontId="32" fillId="2" borderId="166" xfId="3" applyNumberFormat="1" applyFill="1" applyBorder="1" applyAlignment="1">
      <alignment horizontal="right"/>
    </xf>
    <xf numFmtId="3" fontId="32" fillId="2" borderId="167" xfId="3" applyNumberFormat="1" applyFill="1" applyBorder="1"/>
    <xf numFmtId="0" fontId="32" fillId="0" borderId="167" xfId="3" applyBorder="1"/>
    <xf numFmtId="9" fontId="32" fillId="47" borderId="139" xfId="4" applyFont="1" applyFill="1" applyBorder="1" applyAlignment="1">
      <alignment vertical="center"/>
    </xf>
    <xf numFmtId="9" fontId="32" fillId="53" borderId="136" xfId="4" applyFont="1" applyFill="1" applyBorder="1" applyAlignment="1">
      <alignment vertical="center"/>
    </xf>
    <xf numFmtId="3" fontId="32" fillId="0" borderId="140" xfId="3" applyNumberFormat="1" applyBorder="1"/>
    <xf numFmtId="3" fontId="32" fillId="0" borderId="155" xfId="3" applyNumberFormat="1" applyBorder="1"/>
    <xf numFmtId="3" fontId="32" fillId="0" borderId="168" xfId="3" applyNumberFormat="1" applyBorder="1"/>
    <xf numFmtId="3" fontId="32" fillId="0" borderId="169" xfId="3" applyNumberFormat="1" applyBorder="1"/>
    <xf numFmtId="171" fontId="32" fillId="0" borderId="170" xfId="3" applyNumberFormat="1" applyBorder="1" applyAlignment="1">
      <alignment horizontal="right"/>
    </xf>
    <xf numFmtId="3" fontId="32" fillId="2" borderId="164" xfId="3" applyNumberFormat="1" applyFill="1" applyBorder="1"/>
    <xf numFmtId="0" fontId="32" fillId="0" borderId="164" xfId="3" applyBorder="1"/>
    <xf numFmtId="3" fontId="32" fillId="0" borderId="171" xfId="3" applyNumberFormat="1" applyBorder="1"/>
    <xf numFmtId="0" fontId="32" fillId="54" borderId="165" xfId="3" applyFill="1" applyBorder="1"/>
    <xf numFmtId="171" fontId="32" fillId="2" borderId="170" xfId="3" applyNumberFormat="1" applyFill="1" applyBorder="1" applyAlignment="1">
      <alignment horizontal="right"/>
    </xf>
    <xf numFmtId="0" fontId="32" fillId="0" borderId="172" xfId="3" applyBorder="1" applyAlignment="1">
      <alignment horizontal="center" vertical="center" wrapText="1"/>
    </xf>
    <xf numFmtId="0" fontId="32" fillId="54" borderId="173" xfId="3" applyFill="1" applyBorder="1"/>
    <xf numFmtId="171" fontId="32" fillId="2" borderId="174" xfId="3" applyNumberFormat="1" applyFill="1" applyBorder="1" applyAlignment="1">
      <alignment horizontal="right"/>
    </xf>
    <xf numFmtId="3" fontId="32" fillId="2" borderId="175" xfId="3" applyNumberFormat="1" applyFill="1" applyBorder="1"/>
    <xf numFmtId="0" fontId="32" fillId="0" borderId="176" xfId="3" applyBorder="1"/>
    <xf numFmtId="9" fontId="32" fillId="47" borderId="177" xfId="4" applyFont="1" applyFill="1" applyBorder="1" applyAlignment="1">
      <alignment vertical="center"/>
    </xf>
    <xf numFmtId="3" fontId="32" fillId="0" borderId="178" xfId="3" applyNumberFormat="1" applyBorder="1"/>
    <xf numFmtId="9" fontId="32" fillId="53" borderId="178" xfId="4" applyFont="1" applyFill="1" applyBorder="1" applyAlignment="1">
      <alignment vertical="center"/>
    </xf>
    <xf numFmtId="9" fontId="32" fillId="42" borderId="178" xfId="4" applyFont="1" applyFill="1" applyBorder="1" applyAlignment="1">
      <alignment vertical="center"/>
    </xf>
    <xf numFmtId="9" fontId="32" fillId="15" borderId="178" xfId="4" applyFont="1" applyFill="1" applyBorder="1" applyAlignment="1">
      <alignment vertical="center"/>
    </xf>
    <xf numFmtId="3" fontId="32" fillId="0" borderId="179" xfId="3" applyNumberFormat="1" applyBorder="1"/>
    <xf numFmtId="3" fontId="32" fillId="0" borderId="180" xfId="3" applyNumberFormat="1" applyBorder="1"/>
    <xf numFmtId="3" fontId="32" fillId="0" borderId="181" xfId="3" applyNumberFormat="1" applyBorder="1"/>
    <xf numFmtId="3" fontId="32" fillId="0" borderId="182" xfId="3" applyNumberFormat="1" applyBorder="1"/>
    <xf numFmtId="0" fontId="228" fillId="12" borderId="6" xfId="3" applyFont="1" applyFill="1" applyBorder="1"/>
    <xf numFmtId="0" fontId="228" fillId="12" borderId="7" xfId="3" applyFont="1" applyFill="1" applyBorder="1"/>
    <xf numFmtId="0" fontId="263" fillId="12" borderId="7" xfId="3" applyFont="1" applyFill="1" applyBorder="1"/>
    <xf numFmtId="167" fontId="34" fillId="12" borderId="7" xfId="3" applyNumberFormat="1" applyFont="1" applyFill="1" applyBorder="1" applyAlignment="1">
      <alignment horizontal="right"/>
    </xf>
    <xf numFmtId="167" fontId="34" fillId="12" borderId="7" xfId="3" applyNumberFormat="1" applyFont="1" applyFill="1" applyBorder="1"/>
    <xf numFmtId="3" fontId="228" fillId="12" borderId="7" xfId="3" applyNumberFormat="1" applyFont="1" applyFill="1" applyBorder="1"/>
    <xf numFmtId="0" fontId="34" fillId="12" borderId="7" xfId="3" applyFont="1" applyFill="1" applyBorder="1"/>
    <xf numFmtId="9" fontId="60" fillId="12" borderId="7" xfId="4" applyFont="1" applyFill="1" applyBorder="1" applyAlignment="1">
      <alignment vertical="center"/>
    </xf>
    <xf numFmtId="3" fontId="34" fillId="12" borderId="7" xfId="3" applyNumberFormat="1" applyFont="1" applyFill="1" applyBorder="1"/>
    <xf numFmtId="0" fontId="32" fillId="12" borderId="8" xfId="3" applyFill="1" applyBorder="1"/>
    <xf numFmtId="0" fontId="32" fillId="0" borderId="149" xfId="3" applyBorder="1" applyAlignment="1">
      <alignment horizontal="center" vertical="center" wrapText="1"/>
    </xf>
    <xf numFmtId="171" fontId="32" fillId="0" borderId="149" xfId="3" applyNumberFormat="1" applyBorder="1" applyAlignment="1">
      <alignment horizontal="right"/>
    </xf>
    <xf numFmtId="0" fontId="32" fillId="0" borderId="135" xfId="3" applyBorder="1" applyAlignment="1">
      <alignment horizontal="left" wrapText="1"/>
    </xf>
    <xf numFmtId="0" fontId="171" fillId="0" borderId="135" xfId="3" applyFont="1" applyBorder="1" applyAlignment="1">
      <alignment horizontal="left" vertical="center" wrapText="1"/>
    </xf>
    <xf numFmtId="0" fontId="32" fillId="0" borderId="136" xfId="3" applyBorder="1" applyAlignment="1">
      <alignment horizontal="left" wrapText="1"/>
    </xf>
    <xf numFmtId="0" fontId="32" fillId="0" borderId="169" xfId="3" applyBorder="1"/>
    <xf numFmtId="0" fontId="32" fillId="0" borderId="163" xfId="3" applyBorder="1" applyAlignment="1">
      <alignment horizontal="center" vertical="center" wrapText="1"/>
    </xf>
    <xf numFmtId="0" fontId="32" fillId="54" borderId="140" xfId="3" applyFill="1" applyBorder="1"/>
    <xf numFmtId="0" fontId="32" fillId="54" borderId="153" xfId="3" applyFill="1" applyBorder="1"/>
    <xf numFmtId="171" fontId="32" fillId="2" borderId="31" xfId="3" applyNumberFormat="1" applyFill="1" applyBorder="1" applyAlignment="1">
      <alignment horizontal="right"/>
    </xf>
    <xf numFmtId="0" fontId="32" fillId="0" borderId="134" xfId="3" applyBorder="1"/>
    <xf numFmtId="0" fontId="32" fillId="0" borderId="154" xfId="3" applyBorder="1"/>
    <xf numFmtId="0" fontId="71" fillId="12" borderId="9" xfId="3" applyFont="1" applyFill="1" applyBorder="1"/>
    <xf numFmtId="0" fontId="228" fillId="12" borderId="10" xfId="3" applyFont="1" applyFill="1" applyBorder="1"/>
    <xf numFmtId="0" fontId="263" fillId="12" borderId="10" xfId="3" applyFont="1" applyFill="1" applyBorder="1"/>
    <xf numFmtId="167" fontId="34" fillId="12" borderId="10" xfId="3" applyNumberFormat="1" applyFont="1" applyFill="1" applyBorder="1" applyAlignment="1">
      <alignment horizontal="right"/>
    </xf>
    <xf numFmtId="167" fontId="34" fillId="12" borderId="10" xfId="3" applyNumberFormat="1" applyFont="1" applyFill="1" applyBorder="1"/>
    <xf numFmtId="3" fontId="72" fillId="12" borderId="10" xfId="3" applyNumberFormat="1" applyFont="1" applyFill="1" applyBorder="1"/>
    <xf numFmtId="0" fontId="34" fillId="12" borderId="10" xfId="3" applyFont="1" applyFill="1" applyBorder="1"/>
    <xf numFmtId="9" fontId="60" fillId="12" borderId="10" xfId="3" applyNumberFormat="1" applyFont="1" applyFill="1" applyBorder="1" applyAlignment="1">
      <alignment horizontal="center" vertical="center"/>
    </xf>
    <xf numFmtId="3" fontId="34" fillId="12" borderId="10" xfId="3" applyNumberFormat="1" applyFont="1" applyFill="1" applyBorder="1"/>
    <xf numFmtId="9" fontId="60" fillId="12" borderId="10" xfId="3" applyNumberFormat="1" applyFont="1" applyFill="1" applyBorder="1" applyAlignment="1">
      <alignment vertical="center"/>
    </xf>
    <xf numFmtId="0" fontId="34" fillId="12" borderId="12" xfId="3" applyFont="1" applyFill="1" applyBorder="1"/>
    <xf numFmtId="0" fontId="34" fillId="2" borderId="9" xfId="3" applyFont="1" applyFill="1" applyBorder="1"/>
    <xf numFmtId="0" fontId="34" fillId="2" borderId="10" xfId="3" applyFont="1" applyFill="1" applyBorder="1"/>
    <xf numFmtId="0" fontId="89" fillId="2" borderId="10" xfId="3" applyFont="1" applyFill="1" applyBorder="1"/>
    <xf numFmtId="167" fontId="32" fillId="2" borderId="10" xfId="3" applyNumberFormat="1" applyFill="1" applyBorder="1"/>
    <xf numFmtId="9" fontId="32" fillId="2" borderId="10" xfId="4" applyFont="1" applyFill="1" applyBorder="1" applyAlignment="1">
      <alignment horizontal="center" vertical="center"/>
    </xf>
    <xf numFmtId="9" fontId="32" fillId="2" borderId="10" xfId="4" applyFont="1" applyFill="1" applyBorder="1"/>
    <xf numFmtId="3" fontId="34" fillId="2" borderId="10" xfId="3" applyNumberFormat="1" applyFont="1" applyFill="1" applyBorder="1"/>
    <xf numFmtId="3" fontId="34" fillId="2" borderId="9" xfId="3" applyNumberFormat="1" applyFont="1" applyFill="1" applyBorder="1"/>
    <xf numFmtId="3" fontId="34" fillId="2" borderId="12" xfId="3" applyNumberFormat="1" applyFont="1" applyFill="1" applyBorder="1"/>
    <xf numFmtId="0" fontId="32" fillId="2" borderId="12" xfId="3" applyFill="1" applyBorder="1"/>
    <xf numFmtId="0" fontId="228" fillId="55" borderId="43" xfId="3" applyFont="1" applyFill="1" applyBorder="1"/>
    <xf numFmtId="0" fontId="228" fillId="0" borderId="0" xfId="3" applyFont="1" applyAlignment="1">
      <alignment horizontal="center" wrapText="1"/>
    </xf>
    <xf numFmtId="0" fontId="228" fillId="0" borderId="43" xfId="3" applyFont="1" applyBorder="1" applyAlignment="1">
      <alignment horizontal="center" wrapText="1"/>
    </xf>
    <xf numFmtId="166" fontId="71" fillId="0" borderId="0" xfId="3" applyNumberFormat="1" applyFont="1"/>
    <xf numFmtId="166" fontId="71" fillId="55" borderId="137" xfId="3" applyNumberFormat="1" applyFont="1" applyFill="1" applyBorder="1"/>
    <xf numFmtId="49" fontId="71" fillId="0" borderId="0" xfId="3" quotePrefix="1" applyNumberFormat="1" applyFont="1"/>
    <xf numFmtId="0" fontId="71" fillId="55" borderId="43" xfId="3" applyFont="1" applyFill="1" applyBorder="1"/>
    <xf numFmtId="0" fontId="228" fillId="0" borderId="43" xfId="3" applyFont="1" applyBorder="1"/>
    <xf numFmtId="0" fontId="71" fillId="0" borderId="137" xfId="3" applyFont="1" applyBorder="1"/>
    <xf numFmtId="10" fontId="71" fillId="0" borderId="137" xfId="3" applyNumberFormat="1" applyFont="1" applyBorder="1"/>
    <xf numFmtId="9" fontId="71" fillId="0" borderId="137" xfId="3" applyNumberFormat="1" applyFont="1" applyBorder="1"/>
    <xf numFmtId="9" fontId="71" fillId="0" borderId="43" xfId="3" applyNumberFormat="1" applyFont="1" applyBorder="1"/>
    <xf numFmtId="0" fontId="33" fillId="0" borderId="0" xfId="3" applyFont="1"/>
    <xf numFmtId="0" fontId="41" fillId="0" borderId="0" xfId="0" applyFont="1"/>
    <xf numFmtId="0" fontId="71" fillId="0" borderId="0" xfId="0" applyFont="1"/>
    <xf numFmtId="0" fontId="71" fillId="0" borderId="0" xfId="0" applyFont="1" applyAlignment="1">
      <alignment wrapText="1"/>
    </xf>
    <xf numFmtId="3" fontId="71" fillId="0" borderId="0" xfId="0" applyNumberFormat="1" applyFont="1"/>
    <xf numFmtId="0" fontId="228" fillId="0" borderId="0" xfId="0" applyFont="1" applyAlignment="1">
      <alignment horizontal="right"/>
    </xf>
    <xf numFmtId="0" fontId="71" fillId="0" borderId="43" xfId="0" applyFont="1" applyBorder="1"/>
    <xf numFmtId="0" fontId="226" fillId="0" borderId="0" xfId="0" applyFont="1"/>
    <xf numFmtId="0" fontId="41" fillId="0" borderId="43" xfId="0" applyFont="1" applyBorder="1"/>
    <xf numFmtId="0" fontId="32" fillId="0" borderId="137" xfId="0" applyFont="1" applyBorder="1"/>
    <xf numFmtId="0" fontId="51" fillId="0" borderId="0" xfId="0" quotePrefix="1" applyFont="1"/>
    <xf numFmtId="0" fontId="32" fillId="0" borderId="0" xfId="0" quotePrefix="1" applyFont="1"/>
    <xf numFmtId="1" fontId="0" fillId="0" borderId="137" xfId="0" applyNumberFormat="1" applyBorder="1"/>
    <xf numFmtId="3" fontId="0" fillId="11" borderId="137" xfId="0" applyNumberFormat="1" applyFill="1" applyBorder="1"/>
    <xf numFmtId="1" fontId="34" fillId="0" borderId="137" xfId="0" applyNumberFormat="1" applyFont="1" applyBorder="1"/>
    <xf numFmtId="2" fontId="0" fillId="0" borderId="0" xfId="0" applyNumberFormat="1"/>
    <xf numFmtId="3" fontId="32" fillId="11" borderId="137" xfId="0" applyNumberFormat="1" applyFont="1" applyFill="1" applyBorder="1"/>
    <xf numFmtId="3" fontId="81" fillId="11" borderId="137" xfId="0" applyNumberFormat="1" applyFont="1" applyFill="1" applyBorder="1"/>
    <xf numFmtId="166" fontId="0" fillId="0" borderId="137" xfId="0" applyNumberFormat="1" applyBorder="1"/>
    <xf numFmtId="185" fontId="0" fillId="0" borderId="137" xfId="0" applyNumberFormat="1" applyBorder="1"/>
    <xf numFmtId="0" fontId="0" fillId="0" borderId="138" xfId="0" applyBorder="1"/>
    <xf numFmtId="0" fontId="32" fillId="0" borderId="138" xfId="0" applyFont="1" applyBorder="1"/>
    <xf numFmtId="1" fontId="34" fillId="0" borderId="43" xfId="0" applyNumberFormat="1" applyFont="1" applyBorder="1"/>
    <xf numFmtId="3" fontId="34" fillId="2" borderId="43" xfId="0" applyNumberFormat="1" applyFont="1" applyFill="1" applyBorder="1"/>
    <xf numFmtId="1" fontId="34" fillId="2" borderId="43" xfId="0" applyNumberFormat="1" applyFont="1" applyFill="1" applyBorder="1"/>
    <xf numFmtId="0" fontId="32" fillId="55" borderId="137" xfId="3" applyFill="1" applyBorder="1"/>
    <xf numFmtId="4" fontId="71" fillId="11" borderId="0" xfId="0" applyNumberFormat="1" applyFont="1" applyFill="1"/>
    <xf numFmtId="0" fontId="99" fillId="0" borderId="0" xfId="0" applyFont="1"/>
    <xf numFmtId="9" fontId="71" fillId="0" borderId="137" xfId="35" applyFont="1" applyBorder="1"/>
    <xf numFmtId="176" fontId="71" fillId="0" borderId="43" xfId="7" applyNumberFormat="1" applyFont="1" applyBorder="1"/>
    <xf numFmtId="9" fontId="71" fillId="2" borderId="43" xfId="3" applyNumberFormat="1" applyFont="1" applyFill="1" applyBorder="1"/>
    <xf numFmtId="9" fontId="71" fillId="2" borderId="43" xfId="35" applyFont="1" applyFill="1" applyBorder="1"/>
    <xf numFmtId="49" fontId="0" fillId="0" borderId="0" xfId="0" applyNumberFormat="1"/>
    <xf numFmtId="0" fontId="60" fillId="0" borderId="1" xfId="0" applyFont="1" applyBorder="1"/>
    <xf numFmtId="0" fontId="60" fillId="0" borderId="13" xfId="0" applyFont="1" applyBorder="1"/>
    <xf numFmtId="0" fontId="60" fillId="0" borderId="14" xfId="0" applyFont="1" applyBorder="1"/>
    <xf numFmtId="0" fontId="60" fillId="0" borderId="17" xfId="0" applyFont="1" applyBorder="1"/>
    <xf numFmtId="0" fontId="60" fillId="0" borderId="18" xfId="0" applyFont="1" applyBorder="1"/>
    <xf numFmtId="0" fontId="60" fillId="0" borderId="19" xfId="0" applyFont="1" applyBorder="1"/>
    <xf numFmtId="176" fontId="71" fillId="0" borderId="137" xfId="7" applyNumberFormat="1" applyFont="1" applyBorder="1"/>
    <xf numFmtId="176" fontId="32" fillId="54" borderId="18" xfId="7" applyNumberFormat="1" applyFont="1" applyFill="1" applyBorder="1" applyAlignment="1">
      <alignment horizontal="right"/>
    </xf>
    <xf numFmtId="9" fontId="32" fillId="54" borderId="18" xfId="35" applyFont="1" applyFill="1" applyBorder="1"/>
    <xf numFmtId="0" fontId="32" fillId="2" borderId="7" xfId="3" applyFill="1" applyBorder="1"/>
    <xf numFmtId="3" fontId="32" fillId="0" borderId="137" xfId="3" applyNumberFormat="1" applyBorder="1"/>
    <xf numFmtId="176" fontId="32" fillId="2" borderId="135" xfId="7" applyNumberFormat="1" applyFont="1" applyFill="1" applyBorder="1"/>
    <xf numFmtId="3" fontId="32" fillId="2" borderId="63" xfId="3" applyNumberFormat="1" applyFill="1" applyBorder="1"/>
    <xf numFmtId="0" fontId="34" fillId="0" borderId="0" xfId="3" applyFont="1" applyAlignment="1">
      <alignment horizontal="left"/>
    </xf>
    <xf numFmtId="0" fontId="34" fillId="0" borderId="141" xfId="3" applyFont="1" applyBorder="1" applyAlignment="1">
      <alignment horizontal="center"/>
    </xf>
    <xf numFmtId="0" fontId="34" fillId="0" borderId="141" xfId="3" applyFont="1" applyBorder="1"/>
    <xf numFmtId="1" fontId="34" fillId="0" borderId="141" xfId="3" applyNumberFormat="1" applyFont="1" applyBorder="1"/>
    <xf numFmtId="0" fontId="34" fillId="0" borderId="135" xfId="3" applyFont="1" applyBorder="1" applyAlignment="1">
      <alignment horizontal="center"/>
    </xf>
    <xf numFmtId="0" fontId="267" fillId="0" borderId="0" xfId="43" quotePrefix="1" applyFont="1"/>
    <xf numFmtId="0" fontId="266" fillId="87" borderId="11" xfId="0" applyFont="1" applyFill="1" applyBorder="1" applyAlignment="1">
      <alignment horizontal="left"/>
    </xf>
    <xf numFmtId="0" fontId="268" fillId="0" borderId="0" xfId="0" applyFont="1" applyAlignment="1">
      <alignment horizontal="left"/>
    </xf>
    <xf numFmtId="0" fontId="71" fillId="0" borderId="11" xfId="3" applyFont="1" applyBorder="1"/>
    <xf numFmtId="170" fontId="71" fillId="0" borderId="18" xfId="3" applyNumberFormat="1" applyFont="1" applyBorder="1"/>
    <xf numFmtId="170" fontId="71" fillId="0" borderId="19" xfId="3" applyNumberFormat="1" applyFont="1" applyBorder="1"/>
    <xf numFmtId="0" fontId="58" fillId="0" borderId="0" xfId="30" applyFont="1"/>
    <xf numFmtId="176" fontId="32" fillId="3" borderId="0" xfId="7" applyNumberFormat="1" applyFont="1" applyFill="1"/>
    <xf numFmtId="3" fontId="34" fillId="3" borderId="0" xfId="0" applyNumberFormat="1" applyFont="1" applyFill="1"/>
    <xf numFmtId="174" fontId="34" fillId="3" borderId="0" xfId="5" applyNumberFormat="1" applyFont="1" applyFill="1" applyBorder="1"/>
    <xf numFmtId="173" fontId="32" fillId="3" borderId="0" xfId="5" applyNumberFormat="1" applyFont="1" applyFill="1" applyBorder="1"/>
    <xf numFmtId="173" fontId="32" fillId="3" borderId="0" xfId="5" applyNumberFormat="1" applyFont="1" applyFill="1"/>
    <xf numFmtId="175" fontId="32" fillId="3" borderId="0" xfId="3" applyNumberFormat="1" applyFill="1"/>
    <xf numFmtId="0" fontId="32" fillId="3" borderId="0" xfId="3" applyFill="1" applyAlignment="1">
      <alignment horizontal="right"/>
    </xf>
    <xf numFmtId="0" fontId="228" fillId="4" borderId="13" xfId="3" applyFont="1" applyFill="1" applyBorder="1"/>
    <xf numFmtId="0" fontId="228" fillId="4" borderId="14" xfId="3" applyFont="1" applyFill="1" applyBorder="1"/>
    <xf numFmtId="0" fontId="71" fillId="4" borderId="51" xfId="3" applyFont="1" applyFill="1" applyBorder="1"/>
    <xf numFmtId="0" fontId="71" fillId="4" borderId="30" xfId="3" applyFont="1" applyFill="1" applyBorder="1"/>
    <xf numFmtId="0" fontId="32" fillId="4" borderId="47" xfId="3" applyFill="1" applyBorder="1"/>
    <xf numFmtId="0" fontId="32" fillId="4" borderId="18" xfId="3" applyFill="1" applyBorder="1"/>
    <xf numFmtId="0" fontId="32" fillId="4" borderId="22" xfId="3" applyFill="1" applyBorder="1"/>
    <xf numFmtId="0" fontId="34" fillId="4" borderId="22" xfId="3" applyFont="1" applyFill="1" applyBorder="1" applyAlignment="1">
      <alignment horizontal="center"/>
    </xf>
    <xf numFmtId="1" fontId="34" fillId="4" borderId="22" xfId="3" applyNumberFormat="1" applyFont="1" applyFill="1" applyBorder="1"/>
    <xf numFmtId="0" fontId="34" fillId="9" borderId="32" xfId="3" applyFont="1" applyFill="1" applyBorder="1"/>
    <xf numFmtId="3" fontId="34" fillId="9" borderId="32" xfId="3" applyNumberFormat="1" applyFont="1" applyFill="1" applyBorder="1"/>
    <xf numFmtId="0" fontId="0" fillId="4" borderId="22" xfId="0" applyFill="1" applyBorder="1"/>
    <xf numFmtId="0" fontId="34" fillId="9" borderId="22" xfId="0" applyFont="1" applyFill="1" applyBorder="1"/>
    <xf numFmtId="3" fontId="34" fillId="9" borderId="22" xfId="0" applyNumberFormat="1" applyFont="1" applyFill="1" applyBorder="1"/>
    <xf numFmtId="0" fontId="32" fillId="4" borderId="55" xfId="3" applyFill="1" applyBorder="1"/>
    <xf numFmtId="0" fontId="34" fillId="9" borderId="22" xfId="3" applyFont="1" applyFill="1" applyBorder="1"/>
    <xf numFmtId="3" fontId="34" fillId="9" borderId="22" xfId="3" applyNumberFormat="1" applyFont="1" applyFill="1" applyBorder="1"/>
    <xf numFmtId="0" fontId="34" fillId="4" borderId="22" xfId="3" applyFont="1" applyFill="1" applyBorder="1" applyAlignment="1">
      <alignment horizontal="right"/>
    </xf>
    <xf numFmtId="0" fontId="34" fillId="4" borderId="135" xfId="3" applyFont="1" applyFill="1" applyBorder="1" applyAlignment="1">
      <alignment horizontal="right"/>
    </xf>
    <xf numFmtId="0" fontId="34" fillId="4" borderId="135" xfId="3" applyFont="1" applyFill="1" applyBorder="1"/>
    <xf numFmtId="3" fontId="32" fillId="0" borderId="18" xfId="3" applyNumberFormat="1" applyBorder="1" applyAlignment="1">
      <alignment horizontal="right"/>
    </xf>
    <xf numFmtId="3" fontId="32" fillId="0" borderId="22" xfId="3" applyNumberFormat="1" applyBorder="1" applyAlignment="1">
      <alignment horizontal="right"/>
    </xf>
    <xf numFmtId="3" fontId="270" fillId="3" borderId="0" xfId="30" applyNumberFormat="1" applyFont="1" applyFill="1"/>
    <xf numFmtId="0" fontId="34" fillId="4" borderId="135" xfId="3" applyFont="1" applyFill="1" applyBorder="1" applyAlignment="1">
      <alignment horizontal="center" vertical="center"/>
    </xf>
    <xf numFmtId="0" fontId="32" fillId="4" borderId="135" xfId="3" applyFill="1" applyBorder="1"/>
    <xf numFmtId="3" fontId="34" fillId="4" borderId="135" xfId="3" applyNumberFormat="1" applyFont="1" applyFill="1" applyBorder="1" applyAlignment="1">
      <alignment horizontal="right"/>
    </xf>
    <xf numFmtId="0" fontId="34" fillId="2" borderId="18" xfId="3" applyFont="1" applyFill="1" applyBorder="1"/>
    <xf numFmtId="167" fontId="34" fillId="2" borderId="18" xfId="3" applyNumberFormat="1" applyFont="1" applyFill="1" applyBorder="1"/>
    <xf numFmtId="167" fontId="34" fillId="0" borderId="18" xfId="3" applyNumberFormat="1" applyFont="1" applyBorder="1"/>
    <xf numFmtId="0" fontId="34" fillId="9" borderId="141" xfId="3" applyFont="1" applyFill="1" applyBorder="1" applyAlignment="1">
      <alignment horizontal="left"/>
    </xf>
    <xf numFmtId="0" fontId="34" fillId="9" borderId="137" xfId="3" applyFont="1" applyFill="1" applyBorder="1" applyAlignment="1">
      <alignment horizontal="center"/>
    </xf>
    <xf numFmtId="0" fontId="34" fillId="9" borderId="142" xfId="3" applyFont="1" applyFill="1" applyBorder="1" applyAlignment="1">
      <alignment horizontal="center"/>
    </xf>
    <xf numFmtId="0" fontId="34" fillId="9" borderId="141" xfId="3" applyFont="1" applyFill="1" applyBorder="1" applyAlignment="1">
      <alignment horizontal="center"/>
    </xf>
    <xf numFmtId="0" fontId="32" fillId="4" borderId="69" xfId="3" applyFill="1" applyBorder="1"/>
    <xf numFmtId="0" fontId="32" fillId="4" borderId="143" xfId="3" applyFill="1" applyBorder="1"/>
    <xf numFmtId="0" fontId="32" fillId="4" borderId="110" xfId="3" applyFill="1" applyBorder="1"/>
    <xf numFmtId="0" fontId="34" fillId="9" borderId="9" xfId="3" quotePrefix="1" applyFont="1" applyFill="1" applyBorder="1" applyAlignment="1">
      <alignment horizontal="left"/>
    </xf>
    <xf numFmtId="3" fontId="34" fillId="9" borderId="13" xfId="3" applyNumberFormat="1" applyFont="1" applyFill="1" applyBorder="1"/>
    <xf numFmtId="0" fontId="32" fillId="2" borderId="215" xfId="3" applyFill="1" applyBorder="1" applyAlignment="1">
      <alignment horizontal="center" vertical="center"/>
    </xf>
    <xf numFmtId="0" fontId="121" fillId="23" borderId="84" xfId="38" applyFont="1" applyFill="1" applyBorder="1" applyAlignment="1">
      <alignment horizontal="center" vertical="center"/>
    </xf>
    <xf numFmtId="0" fontId="121" fillId="23" borderId="83" xfId="38" applyFont="1" applyFill="1" applyBorder="1" applyAlignment="1">
      <alignment horizontal="center" vertical="center"/>
    </xf>
    <xf numFmtId="0" fontId="105" fillId="22" borderId="0" xfId="3" applyFont="1" applyFill="1" applyAlignment="1">
      <alignment vertical="center" wrapText="1"/>
    </xf>
    <xf numFmtId="0" fontId="105" fillId="22" borderId="0" xfId="3" applyFont="1" applyFill="1" applyAlignment="1">
      <alignment horizontal="left" vertical="center" wrapText="1"/>
    </xf>
    <xf numFmtId="0" fontId="122" fillId="22" borderId="0" xfId="38" applyFont="1" applyFill="1" applyAlignment="1">
      <alignment horizontal="left" vertical="center"/>
    </xf>
    <xf numFmtId="0" fontId="121" fillId="17" borderId="82" xfId="38" applyFont="1" applyFill="1" applyBorder="1" applyAlignment="1">
      <alignment horizontal="center" vertical="center" wrapText="1"/>
    </xf>
    <xf numFmtId="0" fontId="122" fillId="22" borderId="0" xfId="38" applyFont="1" applyFill="1" applyAlignment="1">
      <alignment horizontal="left" vertical="top"/>
    </xf>
    <xf numFmtId="0" fontId="122" fillId="22" borderId="0" xfId="3" applyFont="1" applyFill="1" applyAlignment="1">
      <alignment horizontal="left" wrapText="1"/>
    </xf>
    <xf numFmtId="0" fontId="105" fillId="22" borderId="0" xfId="3" applyFont="1" applyFill="1" applyAlignment="1">
      <alignment horizontal="left" wrapText="1"/>
    </xf>
    <xf numFmtId="0" fontId="105" fillId="22" borderId="0" xfId="3" applyFont="1" applyFill="1" applyAlignment="1">
      <alignment horizontal="left"/>
    </xf>
    <xf numFmtId="0" fontId="121" fillId="17" borderId="54" xfId="40" applyFont="1" applyFill="1" applyBorder="1" applyAlignment="1">
      <alignment horizontal="left" vertical="center" wrapText="1"/>
    </xf>
    <xf numFmtId="0" fontId="122" fillId="22" borderId="0" xfId="40" applyFont="1" applyFill="1" applyAlignment="1">
      <alignment horizontal="left" vertical="top"/>
    </xf>
    <xf numFmtId="0" fontId="121" fillId="17" borderId="85" xfId="40" applyFont="1" applyFill="1" applyBorder="1" applyAlignment="1">
      <alignment horizontal="center" vertical="center" wrapText="1"/>
    </xf>
    <xf numFmtId="0" fontId="121" fillId="17" borderId="65" xfId="40" applyFont="1" applyFill="1" applyBorder="1" applyAlignment="1">
      <alignment horizontal="center" vertical="center" wrapText="1"/>
    </xf>
    <xf numFmtId="0" fontId="121" fillId="17" borderId="50" xfId="40" applyFont="1" applyFill="1" applyBorder="1" applyAlignment="1">
      <alignment horizontal="center" vertical="center" wrapText="1"/>
    </xf>
    <xf numFmtId="0" fontId="121" fillId="17" borderId="18" xfId="40" applyFont="1" applyFill="1" applyBorder="1" applyAlignment="1">
      <alignment horizontal="center" vertical="center" wrapText="1"/>
    </xf>
    <xf numFmtId="0" fontId="122" fillId="22" borderId="0" xfId="40" applyFont="1" applyFill="1" applyAlignment="1">
      <alignment horizontal="left" vertical="center"/>
    </xf>
    <xf numFmtId="0" fontId="122" fillId="22" borderId="0" xfId="40" applyFont="1" applyFill="1" applyAlignment="1">
      <alignment horizontal="left"/>
    </xf>
    <xf numFmtId="0" fontId="122" fillId="22" borderId="0" xfId="3" applyFont="1" applyFill="1" applyAlignment="1">
      <alignment horizontal="left" vertical="center"/>
    </xf>
    <xf numFmtId="0" fontId="105" fillId="22" borderId="0" xfId="40" applyFont="1" applyFill="1" applyAlignment="1">
      <alignment horizontal="left" vertical="center" wrapText="1"/>
    </xf>
    <xf numFmtId="0" fontId="122" fillId="22" borderId="0" xfId="58" applyFont="1" applyFill="1" applyAlignment="1">
      <alignment horizontal="left" wrapText="1"/>
    </xf>
    <xf numFmtId="0" fontId="121" fillId="17" borderId="92" xfId="57" applyFont="1" applyBorder="1" applyAlignment="1">
      <alignment horizontal="center" vertical="center"/>
    </xf>
    <xf numFmtId="0" fontId="122" fillId="22" borderId="0" xfId="58" applyFont="1" applyFill="1" applyAlignment="1">
      <alignment horizontal="left"/>
    </xf>
    <xf numFmtId="0" fontId="105" fillId="22" borderId="0" xfId="50" applyFont="1" applyFill="1" applyAlignment="1">
      <alignment horizontal="left" vertical="top" wrapText="1"/>
    </xf>
    <xf numFmtId="0" fontId="113" fillId="17" borderId="85" xfId="38" applyFont="1" applyFill="1" applyBorder="1" applyAlignment="1">
      <alignment horizontal="center" vertical="center" wrapText="1"/>
    </xf>
    <xf numFmtId="0" fontId="122" fillId="22" borderId="0" xfId="3" applyFont="1" applyFill="1" applyAlignment="1">
      <alignment horizontal="left" vertical="center" wrapText="1"/>
    </xf>
    <xf numFmtId="0" fontId="121" fillId="22" borderId="0" xfId="3" applyFont="1" applyFill="1" applyAlignment="1">
      <alignment horizontal="left" vertical="top" wrapText="1"/>
    </xf>
    <xf numFmtId="4" fontId="105" fillId="22" borderId="0" xfId="38" applyNumberFormat="1" applyFill="1" applyAlignment="1">
      <alignment horizontal="left" vertical="center"/>
    </xf>
    <xf numFmtId="0" fontId="121" fillId="17" borderId="18" xfId="38" applyFont="1" applyFill="1" applyBorder="1" applyAlignment="1">
      <alignment horizontal="center" vertical="center" wrapText="1"/>
    </xf>
    <xf numFmtId="0" fontId="121" fillId="17" borderId="54" xfId="38" applyFont="1" applyFill="1" applyBorder="1" applyAlignment="1">
      <alignment horizontal="center" vertical="center"/>
    </xf>
    <xf numFmtId="0" fontId="121" fillId="17" borderId="54" xfId="38" applyFont="1" applyFill="1" applyBorder="1" applyAlignment="1">
      <alignment horizontal="center" vertical="center" wrapText="1"/>
    </xf>
    <xf numFmtId="0" fontId="105" fillId="22" borderId="135" xfId="44" applyFont="1" applyFill="1" applyBorder="1" applyAlignment="1">
      <alignment horizontal="left" vertical="center"/>
    </xf>
    <xf numFmtId="2" fontId="271" fillId="24" borderId="135" xfId="133" applyNumberFormat="1" applyFont="1" applyFill="1" applyBorder="1" applyAlignment="1">
      <alignment horizontal="right"/>
    </xf>
    <xf numFmtId="0" fontId="105" fillId="23" borderId="135" xfId="46" applyFont="1" applyFill="1" applyBorder="1" applyAlignment="1">
      <alignment horizontal="left" vertical="center"/>
    </xf>
    <xf numFmtId="2" fontId="271" fillId="25" borderId="135" xfId="133" applyNumberFormat="1" applyFont="1" applyFill="1" applyBorder="1" applyAlignment="1">
      <alignment horizontal="right"/>
    </xf>
    <xf numFmtId="0" fontId="121" fillId="23" borderId="135" xfId="45" applyFill="1" applyBorder="1" applyProtection="1">
      <alignment horizontal="left" vertical="center"/>
    </xf>
    <xf numFmtId="0" fontId="105" fillId="23" borderId="212" xfId="46" applyFont="1" applyFill="1" applyBorder="1" applyAlignment="1">
      <alignment horizontal="left" vertical="center"/>
    </xf>
    <xf numFmtId="2" fontId="271" fillId="18" borderId="135" xfId="133" applyNumberFormat="1" applyFont="1" applyFill="1" applyBorder="1" applyAlignment="1">
      <alignment horizontal="right"/>
    </xf>
    <xf numFmtId="0" fontId="121" fillId="23" borderId="135" xfId="38" quotePrefix="1" applyFont="1" applyFill="1" applyBorder="1" applyAlignment="1">
      <alignment horizontal="center" vertical="center"/>
    </xf>
    <xf numFmtId="0" fontId="121" fillId="23" borderId="141" xfId="38" applyFont="1" applyFill="1" applyBorder="1" applyAlignment="1">
      <alignment horizontal="center" vertical="center"/>
    </xf>
    <xf numFmtId="0" fontId="121" fillId="23" borderId="141" xfId="38" quotePrefix="1" applyFont="1" applyFill="1" applyBorder="1" applyAlignment="1">
      <alignment horizontal="center" vertical="center"/>
    </xf>
    <xf numFmtId="4" fontId="121" fillId="23" borderId="135" xfId="47" applyNumberFormat="1" applyFont="1" applyFill="1" applyBorder="1" applyAlignment="1">
      <alignment horizontal="center" vertical="center"/>
    </xf>
    <xf numFmtId="0" fontId="121" fillId="23" borderId="141" xfId="38" applyFont="1" applyFill="1" applyBorder="1" applyAlignment="1">
      <alignment horizontal="center" vertical="center" wrapText="1"/>
    </xf>
    <xf numFmtId="0" fontId="121" fillId="23" borderId="212" xfId="38" applyFont="1" applyFill="1" applyBorder="1" applyAlignment="1">
      <alignment horizontal="left" vertical="center"/>
    </xf>
    <xf numFmtId="2" fontId="271" fillId="16" borderId="135" xfId="133" applyNumberFormat="1" applyFont="1" applyFill="1" applyBorder="1" applyAlignment="1">
      <alignment horizontal="right"/>
    </xf>
    <xf numFmtId="0" fontId="271" fillId="18" borderId="135" xfId="133" applyFont="1" applyFill="1" applyBorder="1" applyAlignment="1">
      <alignment horizontal="left" indent="4"/>
    </xf>
    <xf numFmtId="0" fontId="105" fillId="17" borderId="141" xfId="46" applyFont="1" applyFill="1" applyBorder="1">
      <alignment horizontal="left" vertical="center" indent="2"/>
    </xf>
    <xf numFmtId="0" fontId="105" fillId="17" borderId="141" xfId="51" applyFont="1" applyFill="1" applyBorder="1">
      <alignment horizontal="left" vertical="center" indent="5"/>
    </xf>
    <xf numFmtId="0" fontId="105" fillId="17" borderId="141" xfId="51" applyFont="1" applyFill="1" applyBorder="1" applyAlignment="1">
      <alignment horizontal="left" vertical="center" wrapText="1" indent="5"/>
    </xf>
    <xf numFmtId="0" fontId="105" fillId="17" borderId="141" xfId="46" applyFont="1" applyFill="1" applyBorder="1" applyAlignment="1">
      <alignment horizontal="left" vertical="center" wrapText="1" indent="2"/>
    </xf>
    <xf numFmtId="0" fontId="121" fillId="17" borderId="141" xfId="38" applyFont="1" applyFill="1" applyBorder="1" applyAlignment="1">
      <alignment vertical="center"/>
    </xf>
    <xf numFmtId="0" fontId="105" fillId="17" borderId="140" xfId="51" applyFont="1" applyFill="1" applyBorder="1">
      <alignment horizontal="left" vertical="center" indent="5"/>
    </xf>
    <xf numFmtId="49" fontId="121" fillId="17" borderId="135" xfId="38" applyNumberFormat="1" applyFont="1" applyFill="1" applyBorder="1" applyAlignment="1">
      <alignment horizontal="center" vertical="center"/>
    </xf>
    <xf numFmtId="0" fontId="121" fillId="17" borderId="135" xfId="38" applyFont="1" applyFill="1" applyBorder="1" applyAlignment="1">
      <alignment horizontal="center" vertical="center" wrapText="1"/>
    </xf>
    <xf numFmtId="49" fontId="121" fillId="17" borderId="141" xfId="38" applyNumberFormat="1" applyFont="1" applyFill="1" applyBorder="1" applyAlignment="1">
      <alignment horizontal="center" vertical="center"/>
    </xf>
    <xf numFmtId="0" fontId="121" fillId="17" borderId="212" xfId="38" applyFont="1" applyFill="1" applyBorder="1" applyAlignment="1">
      <alignment horizontal="left" vertical="center"/>
    </xf>
    <xf numFmtId="0" fontId="271" fillId="16" borderId="135" xfId="133" applyFont="1" applyFill="1" applyBorder="1" applyAlignment="1">
      <alignment horizontal="left" indent="2"/>
    </xf>
    <xf numFmtId="0" fontId="271" fillId="16" borderId="135" xfId="133" applyFont="1" applyFill="1" applyBorder="1" applyAlignment="1">
      <alignment horizontal="left" indent="4"/>
    </xf>
    <xf numFmtId="0" fontId="105" fillId="17" borderId="135" xfId="46" applyFont="1" applyFill="1" applyBorder="1" applyAlignment="1">
      <alignment horizontal="left" vertical="center" indent="1"/>
    </xf>
    <xf numFmtId="0" fontId="271" fillId="16" borderId="135" xfId="133" applyFont="1" applyFill="1" applyBorder="1" applyAlignment="1">
      <alignment horizontal="left" indent="6"/>
    </xf>
    <xf numFmtId="0" fontId="105" fillId="17" borderId="135" xfId="46" applyFont="1" applyFill="1" applyBorder="1">
      <alignment horizontal="left" vertical="center" indent="2"/>
    </xf>
    <xf numFmtId="0" fontId="105" fillId="17" borderId="212" xfId="46" applyFont="1" applyFill="1" applyBorder="1" applyAlignment="1">
      <alignment horizontal="left" vertical="center" wrapText="1" indent="1"/>
    </xf>
    <xf numFmtId="0" fontId="105" fillId="17" borderId="212" xfId="46" applyFont="1" applyFill="1" applyBorder="1" applyAlignment="1">
      <alignment horizontal="left" vertical="center" indent="1"/>
    </xf>
    <xf numFmtId="0" fontId="105" fillId="17" borderId="135" xfId="51" applyFont="1" applyFill="1" applyBorder="1" applyAlignment="1">
      <alignment horizontal="left" vertical="center" indent="2"/>
    </xf>
    <xf numFmtId="0" fontId="271" fillId="18" borderId="218" xfId="133" applyFont="1" applyFill="1" applyBorder="1" applyAlignment="1">
      <alignment horizontal="left"/>
    </xf>
    <xf numFmtId="0" fontId="105" fillId="22" borderId="218" xfId="44" applyFont="1" applyFill="1" applyBorder="1" applyAlignment="1">
      <alignment horizontal="left" vertical="center"/>
    </xf>
    <xf numFmtId="2" fontId="271" fillId="24" borderId="218" xfId="133" applyNumberFormat="1" applyFont="1" applyFill="1" applyBorder="1" applyAlignment="1">
      <alignment horizontal="right"/>
    </xf>
    <xf numFmtId="2" fontId="271" fillId="25" borderId="218" xfId="133" applyNumberFormat="1" applyFont="1" applyFill="1" applyBorder="1" applyAlignment="1">
      <alignment horizontal="right"/>
    </xf>
    <xf numFmtId="0" fontId="105" fillId="23" borderId="218" xfId="38" applyFill="1" applyBorder="1" applyAlignment="1">
      <alignment vertical="center"/>
    </xf>
    <xf numFmtId="0" fontId="105" fillId="23" borderId="218" xfId="45" applyFont="1" applyFill="1" applyBorder="1" applyProtection="1">
      <alignment horizontal="left" vertical="center"/>
    </xf>
    <xf numFmtId="0" fontId="105" fillId="23" borderId="218" xfId="45" applyFont="1" applyFill="1" applyBorder="1" applyAlignment="1" applyProtection="1">
      <alignment horizontal="left" vertical="center" wrapText="1"/>
    </xf>
    <xf numFmtId="0" fontId="105" fillId="23" borderId="218" xfId="38" applyFill="1" applyBorder="1" applyAlignment="1">
      <alignment vertical="center" wrapText="1"/>
    </xf>
    <xf numFmtId="0" fontId="105" fillId="23" borderId="218" xfId="38" applyFill="1" applyBorder="1" applyAlignment="1">
      <alignment horizontal="left" vertical="center" wrapText="1"/>
    </xf>
    <xf numFmtId="0" fontId="271" fillId="24" borderId="218" xfId="133" applyFont="1" applyFill="1" applyBorder="1" applyAlignment="1">
      <alignment horizontal="left" indent="2"/>
    </xf>
    <xf numFmtId="0" fontId="105" fillId="23" borderId="218" xfId="46" applyFont="1" applyFill="1" applyBorder="1" applyAlignment="1">
      <alignment horizontal="left" vertical="center"/>
    </xf>
    <xf numFmtId="0" fontId="121" fillId="23" borderId="218" xfId="45" applyFill="1" applyBorder="1" applyProtection="1">
      <alignment horizontal="left" vertical="center"/>
    </xf>
    <xf numFmtId="0" fontId="105" fillId="23" borderId="224" xfId="46" applyFont="1" applyFill="1" applyBorder="1" applyAlignment="1">
      <alignment horizontal="left" vertical="center"/>
    </xf>
    <xf numFmtId="0" fontId="121" fillId="23" borderId="218" xfId="38" applyFont="1" applyFill="1" applyBorder="1" applyAlignment="1">
      <alignment horizontal="left" vertical="center" wrapText="1"/>
    </xf>
    <xf numFmtId="0" fontId="105" fillId="23" borderId="218" xfId="51" applyFont="1" applyFill="1" applyBorder="1" applyAlignment="1">
      <alignment horizontal="left" vertical="center"/>
    </xf>
    <xf numFmtId="4" fontId="121" fillId="23" borderId="218" xfId="47" applyNumberFormat="1" applyFont="1" applyFill="1" applyBorder="1" applyAlignment="1">
      <alignment horizontal="center" vertical="center" textRotation="90"/>
    </xf>
    <xf numFmtId="0" fontId="121" fillId="23" borderId="225" xfId="38" applyFont="1" applyFill="1" applyBorder="1" applyAlignment="1">
      <alignment horizontal="center" vertical="center" textRotation="90"/>
    </xf>
    <xf numFmtId="0" fontId="121" fillId="23" borderId="225" xfId="38" applyFont="1" applyFill="1" applyBorder="1" applyAlignment="1">
      <alignment horizontal="center" vertical="center" textRotation="90" wrapText="1"/>
    </xf>
    <xf numFmtId="0" fontId="121" fillId="23" borderId="218" xfId="38" applyFont="1" applyFill="1" applyBorder="1" applyAlignment="1">
      <alignment horizontal="center" vertical="center" textRotation="90"/>
    </xf>
    <xf numFmtId="0" fontId="121" fillId="23" borderId="225" xfId="38" quotePrefix="1" applyFont="1" applyFill="1" applyBorder="1" applyAlignment="1">
      <alignment horizontal="center" vertical="center" textRotation="90"/>
    </xf>
    <xf numFmtId="0" fontId="121" fillId="23" borderId="218" xfId="38" quotePrefix="1" applyFont="1" applyFill="1" applyBorder="1" applyAlignment="1">
      <alignment horizontal="center" vertical="center" textRotation="90"/>
    </xf>
    <xf numFmtId="0" fontId="121" fillId="23" borderId="219" xfId="38" applyFont="1" applyFill="1" applyBorder="1" applyAlignment="1">
      <alignment horizontal="center" vertical="center" textRotation="90"/>
    </xf>
    <xf numFmtId="0" fontId="105" fillId="22" borderId="0" xfId="134" applyFill="1" applyBorder="1">
      <alignment horizontal="right" vertical="center"/>
    </xf>
    <xf numFmtId="0" fontId="105" fillId="22" borderId="218" xfId="46" applyFont="1" applyFill="1" applyBorder="1" applyAlignment="1">
      <alignment horizontal="left" vertical="center"/>
    </xf>
    <xf numFmtId="0" fontId="105" fillId="17" borderId="221" xfId="38" applyFill="1" applyBorder="1" applyAlignment="1">
      <alignment vertical="center"/>
    </xf>
    <xf numFmtId="0" fontId="105" fillId="17" borderId="222" xfId="38" applyFill="1" applyBorder="1" applyAlignment="1">
      <alignment vertical="center"/>
    </xf>
    <xf numFmtId="0" fontId="121" fillId="17" borderId="223" xfId="38" applyFont="1" applyFill="1" applyBorder="1" applyAlignment="1">
      <alignment vertical="center"/>
    </xf>
    <xf numFmtId="2" fontId="271" fillId="18" borderId="218" xfId="133" applyNumberFormat="1" applyFont="1" applyFill="1" applyBorder="1" applyAlignment="1">
      <alignment horizontal="right"/>
    </xf>
    <xf numFmtId="2" fontId="271" fillId="16" borderId="218" xfId="133" applyNumberFormat="1" applyFont="1" applyFill="1" applyBorder="1" applyAlignment="1">
      <alignment horizontal="right"/>
    </xf>
    <xf numFmtId="0" fontId="271" fillId="16" borderId="218" xfId="133" applyFont="1" applyFill="1" applyBorder="1" applyAlignment="1">
      <alignment horizontal="left" indent="4"/>
    </xf>
    <xf numFmtId="0" fontId="271" fillId="18" borderId="218" xfId="133" applyFont="1" applyFill="1" applyBorder="1" applyAlignment="1">
      <alignment horizontal="left" indent="2"/>
    </xf>
    <xf numFmtId="0" fontId="271" fillId="16" borderId="218" xfId="133" applyFont="1" applyFill="1" applyBorder="1" applyAlignment="1">
      <alignment horizontal="left" indent="2"/>
    </xf>
    <xf numFmtId="0" fontId="105" fillId="17" borderId="218" xfId="46" applyFont="1" applyFill="1" applyBorder="1" applyAlignment="1">
      <alignment horizontal="left" vertical="center"/>
    </xf>
    <xf numFmtId="0" fontId="105" fillId="17" borderId="218" xfId="51" applyFont="1" applyFill="1" applyBorder="1" applyAlignment="1">
      <alignment horizontal="left" vertical="center"/>
    </xf>
    <xf numFmtId="0" fontId="132" fillId="17" borderId="218" xfId="46" applyFont="1" applyFill="1" applyBorder="1" applyAlignment="1">
      <alignment horizontal="left" vertical="center"/>
    </xf>
    <xf numFmtId="0" fontId="121" fillId="17" borderId="218" xfId="38" applyFont="1" applyFill="1" applyBorder="1" applyAlignment="1">
      <alignment horizontal="center" vertical="center" wrapText="1"/>
    </xf>
    <xf numFmtId="0" fontId="121" fillId="17" borderId="225" xfId="38" applyFont="1" applyFill="1" applyBorder="1" applyAlignment="1">
      <alignment horizontal="center" vertical="center" wrapText="1"/>
    </xf>
    <xf numFmtId="0" fontId="121" fillId="17" borderId="224" xfId="38" applyFont="1" applyFill="1" applyBorder="1" applyAlignment="1">
      <alignment horizontal="left" vertical="center" wrapText="1"/>
    </xf>
    <xf numFmtId="0" fontId="105" fillId="22" borderId="218" xfId="3" applyFont="1" applyFill="1" applyBorder="1" applyAlignment="1">
      <alignment horizontal="left" vertical="center"/>
    </xf>
    <xf numFmtId="4" fontId="105" fillId="17" borderId="218" xfId="54" applyFill="1" applyBorder="1" applyAlignment="1">
      <alignment vertical="center" wrapText="1"/>
    </xf>
    <xf numFmtId="4" fontId="105" fillId="17" borderId="218" xfId="54" applyFill="1" applyBorder="1" applyAlignment="1">
      <alignment horizontal="left" vertical="center" wrapText="1"/>
    </xf>
    <xf numFmtId="4" fontId="121" fillId="17" borderId="218" xfId="54" applyFont="1" applyFill="1" applyBorder="1" applyAlignment="1">
      <alignment horizontal="center" vertical="center"/>
    </xf>
    <xf numFmtId="4" fontId="121" fillId="17" borderId="218" xfId="54" applyFont="1" applyFill="1" applyBorder="1" applyAlignment="1">
      <alignment horizontal="center" vertical="center" wrapText="1"/>
    </xf>
    <xf numFmtId="0" fontId="105" fillId="17" borderId="218" xfId="38" applyFill="1" applyBorder="1" applyAlignment="1">
      <alignment horizontal="left" vertical="center"/>
    </xf>
    <xf numFmtId="0" fontId="105" fillId="17" borderId="218" xfId="38" applyFill="1" applyBorder="1" applyAlignment="1">
      <alignment horizontal="left" vertical="center" wrapText="1"/>
    </xf>
    <xf numFmtId="0" fontId="121" fillId="17" borderId="224" xfId="38" applyFont="1" applyFill="1" applyBorder="1" applyAlignment="1">
      <alignment horizontal="center" vertical="center" wrapText="1"/>
    </xf>
    <xf numFmtId="0" fontId="121" fillId="17" borderId="221" xfId="38" applyFont="1" applyFill="1" applyBorder="1" applyAlignment="1">
      <alignment horizontal="center" vertical="center"/>
    </xf>
    <xf numFmtId="0" fontId="105" fillId="22" borderId="218" xfId="40" applyFont="1" applyFill="1" applyBorder="1" applyAlignment="1">
      <alignment vertical="center" wrapText="1"/>
    </xf>
    <xf numFmtId="0" fontId="105" fillId="22" borderId="0" xfId="135" applyFont="1" applyFill="1" applyBorder="1">
      <alignment horizontal="left" vertical="center"/>
    </xf>
    <xf numFmtId="0" fontId="121" fillId="17" borderId="218" xfId="40" applyFont="1" applyFill="1" applyBorder="1" applyAlignment="1">
      <alignment horizontal="left" vertical="center" wrapText="1"/>
    </xf>
    <xf numFmtId="0" fontId="105" fillId="17" borderId="218" xfId="40" applyFont="1" applyFill="1" applyBorder="1" applyAlignment="1">
      <alignment horizontal="left" vertical="center" wrapText="1"/>
    </xf>
    <xf numFmtId="0" fontId="121" fillId="17" borderId="218" xfId="40" applyFont="1" applyFill="1" applyBorder="1" applyAlignment="1">
      <alignment horizontal="center" vertical="center" wrapText="1"/>
    </xf>
    <xf numFmtId="0" fontId="105" fillId="22" borderId="218" xfId="40" applyFont="1" applyFill="1" applyBorder="1" applyAlignment="1">
      <alignment horizontal="left" vertical="center" wrapText="1"/>
    </xf>
    <xf numFmtId="0" fontId="105" fillId="17" borderId="221" xfId="40" applyFont="1" applyFill="1" applyBorder="1" applyAlignment="1">
      <alignment horizontal="center" vertical="center" wrapText="1"/>
    </xf>
    <xf numFmtId="0" fontId="105" fillId="17" borderId="222" xfId="40" applyFont="1" applyFill="1" applyBorder="1" applyAlignment="1">
      <alignment horizontal="center" vertical="center" wrapText="1"/>
    </xf>
    <xf numFmtId="0" fontId="121" fillId="17" borderId="222" xfId="40" applyFont="1" applyFill="1" applyBorder="1" applyAlignment="1">
      <alignment horizontal="left" vertical="center" wrapText="1"/>
    </xf>
    <xf numFmtId="0" fontId="121" fillId="17" borderId="223" xfId="40" applyFont="1" applyFill="1" applyBorder="1" applyAlignment="1">
      <alignment horizontal="left" vertical="center" wrapText="1"/>
    </xf>
    <xf numFmtId="0" fontId="105" fillId="17" borderId="225" xfId="40" applyFont="1" applyFill="1" applyBorder="1" applyAlignment="1">
      <alignment horizontal="left" vertical="top" wrapText="1"/>
    </xf>
    <xf numFmtId="0" fontId="105" fillId="17" borderId="218" xfId="40" applyFont="1" applyFill="1" applyBorder="1" applyAlignment="1">
      <alignment horizontal="left" vertical="top" wrapText="1"/>
    </xf>
    <xf numFmtId="0" fontId="105" fillId="17" borderId="225" xfId="40" applyFont="1" applyFill="1" applyBorder="1" applyAlignment="1">
      <alignment horizontal="left" vertical="top"/>
    </xf>
    <xf numFmtId="0" fontId="105" fillId="17" borderId="223" xfId="40" applyFont="1" applyFill="1" applyBorder="1" applyAlignment="1">
      <alignment horizontal="left" vertical="top" wrapText="1"/>
    </xf>
    <xf numFmtId="0" fontId="105" fillId="17" borderId="224" xfId="40" applyFont="1" applyFill="1" applyBorder="1" applyAlignment="1">
      <alignment horizontal="left" vertical="top" wrapText="1"/>
    </xf>
    <xf numFmtId="0" fontId="105" fillId="17" borderId="218" xfId="40" applyFont="1" applyFill="1" applyBorder="1" applyAlignment="1">
      <alignment horizontal="left" vertical="top"/>
    </xf>
    <xf numFmtId="0" fontId="271" fillId="18" borderId="218" xfId="133" applyFont="1" applyFill="1" applyBorder="1" applyAlignment="1">
      <alignment horizontal="left" indent="6"/>
    </xf>
    <xf numFmtId="0" fontId="105" fillId="17" borderId="218" xfId="40" applyFont="1" applyFill="1" applyBorder="1" applyAlignment="1">
      <alignment horizontal="left" vertical="top" wrapText="1" indent="1"/>
    </xf>
    <xf numFmtId="0" fontId="271" fillId="18" borderId="218" xfId="133" applyFont="1" applyFill="1" applyBorder="1" applyAlignment="1">
      <alignment horizontal="left" indent="4"/>
    </xf>
    <xf numFmtId="0" fontId="105" fillId="0" borderId="0" xfId="133" applyFont="1"/>
    <xf numFmtId="0" fontId="105" fillId="17" borderId="221" xfId="40" applyFont="1" applyFill="1" applyBorder="1" applyAlignment="1">
      <alignment horizontal="left" vertical="center" wrapText="1"/>
    </xf>
    <xf numFmtId="0" fontId="105" fillId="17" borderId="222" xfId="40" applyFont="1" applyFill="1" applyBorder="1" applyAlignment="1">
      <alignment horizontal="left" vertical="center" wrapText="1"/>
    </xf>
    <xf numFmtId="0" fontId="105" fillId="22" borderId="0" xfId="133" applyFont="1" applyFill="1"/>
    <xf numFmtId="0" fontId="121" fillId="17" borderId="218" xfId="41" applyFont="1" applyBorder="1" applyAlignment="1">
      <alignment horizontal="left" vertical="center" indent="1"/>
    </xf>
    <xf numFmtId="0" fontId="271" fillId="16" borderId="218" xfId="133" applyFont="1" applyFill="1" applyBorder="1" applyAlignment="1">
      <alignment horizontal="left" indent="6"/>
    </xf>
    <xf numFmtId="0" fontId="105" fillId="17" borderId="218" xfId="41" applyFont="1" applyBorder="1" applyAlignment="1">
      <alignment horizontal="left" vertical="center" indent="2"/>
    </xf>
    <xf numFmtId="0" fontId="105" fillId="17" borderId="218" xfId="41" applyFont="1" applyBorder="1" applyAlignment="1">
      <alignment horizontal="left" vertical="center" indent="4"/>
    </xf>
    <xf numFmtId="0" fontId="271" fillId="18" borderId="218" xfId="133" applyFont="1" applyFill="1" applyBorder="1" applyAlignment="1">
      <alignment horizontal="left" indent="10"/>
    </xf>
    <xf numFmtId="0" fontId="121" fillId="17" borderId="218" xfId="41" applyFont="1" applyBorder="1" applyAlignment="1">
      <alignment horizontal="left" vertical="center" indent="3"/>
    </xf>
    <xf numFmtId="0" fontId="137" fillId="17" borderId="218" xfId="41" applyFont="1" applyBorder="1" applyAlignment="1">
      <alignment horizontal="left" vertical="center" indent="4"/>
    </xf>
    <xf numFmtId="0" fontId="105" fillId="17" borderId="218" xfId="41" applyFont="1" applyBorder="1" applyAlignment="1">
      <alignment horizontal="left" vertical="center" indent="3"/>
    </xf>
    <xf numFmtId="0" fontId="271" fillId="18" borderId="218" xfId="133" applyFont="1" applyFill="1" applyBorder="1" applyAlignment="1">
      <alignment horizontal="left" indent="8"/>
    </xf>
    <xf numFmtId="0" fontId="121" fillId="17" borderId="218" xfId="41" applyFont="1" applyBorder="1" applyAlignment="1">
      <alignment horizontal="left" vertical="center" indent="2"/>
    </xf>
    <xf numFmtId="0" fontId="137" fillId="17" borderId="218" xfId="41" applyFont="1" applyBorder="1" applyAlignment="1">
      <alignment horizontal="left" vertical="center" indent="3"/>
    </xf>
    <xf numFmtId="0" fontId="121" fillId="17" borderId="218" xfId="40" applyFont="1" applyFill="1" applyBorder="1" applyAlignment="1">
      <alignment horizontal="center" wrapText="1"/>
    </xf>
    <xf numFmtId="0" fontId="121" fillId="17" borderId="223" xfId="40" applyFont="1" applyFill="1" applyBorder="1" applyAlignment="1">
      <alignment horizontal="center" wrapText="1"/>
    </xf>
    <xf numFmtId="0" fontId="121" fillId="17" borderId="224" xfId="40" applyFont="1" applyFill="1" applyBorder="1" applyAlignment="1">
      <alignment horizontal="center" wrapText="1"/>
    </xf>
    <xf numFmtId="0" fontId="121" fillId="17" borderId="224" xfId="40" applyFont="1" applyFill="1" applyBorder="1" applyAlignment="1">
      <alignment horizontal="center" vertical="center" wrapText="1"/>
    </xf>
    <xf numFmtId="0" fontId="121" fillId="17" borderId="218" xfId="40" applyFont="1" applyFill="1" applyBorder="1" applyAlignment="1">
      <alignment horizontal="left" vertical="center"/>
    </xf>
    <xf numFmtId="0" fontId="105" fillId="17" borderId="221" xfId="40" applyFont="1" applyFill="1" applyBorder="1" applyAlignment="1">
      <alignment horizontal="left" vertical="top"/>
    </xf>
    <xf numFmtId="0" fontId="105" fillId="17" borderId="222" xfId="40" applyFont="1" applyFill="1" applyBorder="1" applyAlignment="1">
      <alignment horizontal="left" vertical="top"/>
    </xf>
    <xf numFmtId="0" fontId="121" fillId="17" borderId="223" xfId="40" applyFont="1" applyFill="1" applyBorder="1" applyAlignment="1">
      <alignment horizontal="left" vertical="top"/>
    </xf>
    <xf numFmtId="0" fontId="105" fillId="22" borderId="0" xfId="137" applyFont="1" applyFill="1" applyBorder="1">
      <alignment horizontal="right" vertical="center"/>
    </xf>
    <xf numFmtId="0" fontId="121" fillId="17" borderId="218" xfId="40" applyFont="1" applyFill="1" applyBorder="1" applyAlignment="1">
      <alignment horizontal="left" vertical="top" wrapText="1" indent="1"/>
    </xf>
    <xf numFmtId="0" fontId="121" fillId="17" borderId="221" xfId="40" applyFont="1" applyFill="1" applyBorder="1" applyAlignment="1">
      <alignment horizontal="center" vertical="center" wrapText="1"/>
    </xf>
    <xf numFmtId="0" fontId="105" fillId="17" borderId="221" xfId="58" applyFont="1" applyFill="1" applyBorder="1"/>
    <xf numFmtId="0" fontId="105" fillId="17" borderId="222" xfId="58" applyFont="1" applyFill="1" applyBorder="1"/>
    <xf numFmtId="0" fontId="105" fillId="17" borderId="222" xfId="58" applyFont="1" applyFill="1" applyBorder="1" applyAlignment="1">
      <alignment horizontal="center"/>
    </xf>
    <xf numFmtId="0" fontId="121" fillId="17" borderId="222" xfId="58" applyFont="1" applyFill="1" applyBorder="1"/>
    <xf numFmtId="0" fontId="121" fillId="17" borderId="223" xfId="58" applyFont="1" applyFill="1" applyBorder="1"/>
    <xf numFmtId="0" fontId="121" fillId="17" borderId="218" xfId="41" applyFont="1" applyBorder="1" applyAlignment="1">
      <alignment horizontal="left" vertical="center"/>
    </xf>
    <xf numFmtId="0" fontId="125" fillId="17" borderId="218" xfId="135" applyFont="1" applyBorder="1" applyAlignment="1">
      <alignment horizontal="left" vertical="center" indent="2"/>
    </xf>
    <xf numFmtId="0" fontId="105" fillId="17" borderId="218" xfId="135" applyFont="1" applyBorder="1" applyAlignment="1">
      <alignment horizontal="left" vertical="center" indent="1"/>
    </xf>
    <xf numFmtId="0" fontId="121" fillId="17" borderId="218" xfId="135" applyFont="1" applyBorder="1">
      <alignment horizontal="left" vertical="center"/>
    </xf>
    <xf numFmtId="0" fontId="105" fillId="17" borderId="92" xfId="138" applyFont="1" applyBorder="1">
      <alignment horizontal="right" vertical="center"/>
    </xf>
    <xf numFmtId="0" fontId="121" fillId="17" borderId="92" xfId="137" applyFont="1" applyBorder="1" applyAlignment="1">
      <alignment horizontal="left" vertical="center"/>
    </xf>
    <xf numFmtId="0" fontId="121" fillId="17" borderId="218" xfId="58" applyFont="1" applyFill="1" applyBorder="1" applyAlignment="1">
      <alignment horizontal="center" vertical="center" wrapText="1"/>
    </xf>
    <xf numFmtId="0" fontId="105" fillId="17" borderId="218" xfId="135" applyFont="1" applyBorder="1">
      <alignment horizontal="left" vertical="center"/>
    </xf>
    <xf numFmtId="0" fontId="271" fillId="16" borderId="218" xfId="133" applyFont="1" applyFill="1" applyBorder="1" applyAlignment="1">
      <alignment horizontal="left"/>
    </xf>
    <xf numFmtId="0" fontId="105" fillId="26" borderId="18" xfId="139" applyFont="1" applyFill="1" applyBorder="1">
      <alignment horizontal="right" vertical="center"/>
    </xf>
    <xf numFmtId="0" fontId="108" fillId="22" borderId="218" xfId="44" applyFont="1" applyFill="1" applyBorder="1" applyAlignment="1">
      <alignment horizontal="left" vertical="center"/>
    </xf>
    <xf numFmtId="4" fontId="108" fillId="17" borderId="218" xfId="38" applyNumberFormat="1" applyFont="1" applyFill="1" applyBorder="1" applyAlignment="1">
      <alignment horizontal="left" vertical="center"/>
    </xf>
    <xf numFmtId="0" fontId="113" fillId="17" borderId="224" xfId="38" applyFont="1" applyFill="1" applyBorder="1" applyAlignment="1">
      <alignment horizontal="center" vertical="center"/>
    </xf>
    <xf numFmtId="0" fontId="113" fillId="17" borderId="224" xfId="38" applyFont="1" applyFill="1" applyBorder="1" applyAlignment="1">
      <alignment horizontal="center" vertical="center" wrapText="1"/>
    </xf>
    <xf numFmtId="0" fontId="113" fillId="17" borderId="224" xfId="38" applyFont="1" applyFill="1" applyBorder="1" applyAlignment="1">
      <alignment horizontal="left" vertical="top"/>
    </xf>
    <xf numFmtId="0" fontId="105" fillId="22" borderId="218" xfId="3" applyFont="1" applyFill="1" applyBorder="1" applyAlignment="1">
      <alignment horizontal="left" vertical="center" wrapText="1"/>
    </xf>
    <xf numFmtId="4" fontId="105" fillId="17" borderId="218" xfId="38" applyNumberFormat="1" applyFill="1" applyBorder="1" applyAlignment="1">
      <alignment horizontal="left" vertical="center" wrapText="1"/>
    </xf>
    <xf numFmtId="4" fontId="121" fillId="17" borderId="218" xfId="38" applyNumberFormat="1" applyFont="1" applyFill="1" applyBorder="1" applyAlignment="1">
      <alignment horizontal="center" vertical="center" wrapText="1"/>
    </xf>
    <xf numFmtId="4" fontId="121" fillId="17" borderId="224" xfId="38" applyNumberFormat="1" applyFont="1" applyFill="1" applyBorder="1" applyAlignment="1">
      <alignment horizontal="center" vertical="top" wrapText="1"/>
    </xf>
    <xf numFmtId="4" fontId="121" fillId="17" borderId="219" xfId="38" applyNumberFormat="1" applyFont="1" applyFill="1" applyBorder="1" applyAlignment="1">
      <alignment horizontal="center" vertical="center" wrapText="1"/>
    </xf>
    <xf numFmtId="4" fontId="121" fillId="17" borderId="218" xfId="38" applyNumberFormat="1" applyFont="1" applyFill="1" applyBorder="1" applyAlignment="1">
      <alignment horizontal="left" vertical="top" wrapText="1"/>
    </xf>
    <xf numFmtId="0" fontId="105" fillId="22" borderId="218" xfId="44" applyFont="1" applyFill="1" applyBorder="1" applyAlignment="1">
      <alignment horizontal="left" vertical="center" wrapText="1"/>
    </xf>
    <xf numFmtId="4" fontId="105" fillId="17" borderId="225" xfId="38" applyNumberFormat="1" applyFill="1" applyBorder="1" applyAlignment="1">
      <alignment horizontal="left" vertical="center" wrapText="1"/>
    </xf>
    <xf numFmtId="4" fontId="121" fillId="17" borderId="225" xfId="38" applyNumberFormat="1" applyFont="1" applyFill="1" applyBorder="1" applyAlignment="1">
      <alignment vertical="center" wrapText="1"/>
    </xf>
    <xf numFmtId="4" fontId="121" fillId="17" borderId="218" xfId="38" applyNumberFormat="1" applyFont="1" applyFill="1" applyBorder="1" applyAlignment="1">
      <alignment horizontal="center" vertical="center"/>
    </xf>
    <xf numFmtId="4" fontId="121" fillId="17" borderId="225" xfId="38" applyNumberFormat="1" applyFont="1" applyFill="1" applyBorder="1" applyAlignment="1">
      <alignment horizontal="center" vertical="center" wrapText="1"/>
    </xf>
    <xf numFmtId="4" fontId="121" fillId="17" borderId="225" xfId="38" applyNumberFormat="1" applyFont="1" applyFill="1" applyBorder="1" applyAlignment="1">
      <alignment horizontal="center" vertical="center"/>
    </xf>
    <xf numFmtId="4" fontId="121" fillId="17" borderId="222" xfId="38" applyNumberFormat="1" applyFont="1" applyFill="1" applyBorder="1" applyAlignment="1">
      <alignment horizontal="center" vertical="center"/>
    </xf>
    <xf numFmtId="4" fontId="121" fillId="17" borderId="224" xfId="38" applyNumberFormat="1" applyFont="1" applyFill="1" applyBorder="1" applyAlignment="1">
      <alignment horizontal="left" vertical="top" wrapText="1"/>
    </xf>
    <xf numFmtId="49" fontId="105" fillId="22" borderId="218" xfId="140" applyNumberFormat="1" applyFill="1" applyBorder="1" applyAlignment="1">
      <alignment horizontal="left" vertical="center" wrapText="1"/>
    </xf>
    <xf numFmtId="0" fontId="105" fillId="17" borderId="218" xfId="38" applyFill="1" applyBorder="1" applyAlignment="1">
      <alignment vertical="center" wrapText="1"/>
    </xf>
    <xf numFmtId="49" fontId="122" fillId="22" borderId="0" xfId="140" applyNumberFormat="1" applyFont="1" applyFill="1" applyBorder="1" applyAlignment="1">
      <alignment horizontal="left" vertical="center" wrapText="1"/>
    </xf>
    <xf numFmtId="0" fontId="105" fillId="22" borderId="0" xfId="136" applyFont="1" applyFill="1" applyBorder="1">
      <alignment horizontal="right" vertical="center"/>
    </xf>
    <xf numFmtId="0" fontId="105" fillId="22" borderId="0" xfId="141" applyFill="1" applyBorder="1"/>
    <xf numFmtId="49" fontId="146" fillId="22" borderId="0" xfId="140" applyNumberFormat="1" applyFont="1" applyFill="1" applyBorder="1" applyAlignment="1">
      <alignment horizontal="left" vertical="center" wrapText="1"/>
    </xf>
    <xf numFmtId="4" fontId="105" fillId="17" borderId="218" xfId="38" applyNumberFormat="1" applyFill="1" applyBorder="1" applyAlignment="1">
      <alignment horizontal="left" vertical="center"/>
    </xf>
    <xf numFmtId="4" fontId="121" fillId="17" borderId="223" xfId="38" applyNumberFormat="1" applyFont="1" applyFill="1" applyBorder="1" applyAlignment="1">
      <alignment horizontal="center" vertical="center" wrapText="1"/>
    </xf>
    <xf numFmtId="0" fontId="105" fillId="22" borderId="226" xfId="44" applyFont="1" applyFill="1" applyBorder="1" applyAlignment="1">
      <alignment horizontal="left" vertical="center"/>
    </xf>
    <xf numFmtId="2" fontId="271" fillId="24" borderId="226" xfId="133" applyNumberFormat="1" applyFont="1" applyFill="1" applyBorder="1" applyAlignment="1">
      <alignment horizontal="right"/>
    </xf>
    <xf numFmtId="0" fontId="105" fillId="23" borderId="226" xfId="46" applyFont="1" applyFill="1" applyBorder="1" applyAlignment="1">
      <alignment horizontal="left" vertical="center"/>
    </xf>
    <xf numFmtId="2" fontId="271" fillId="25" borderId="226" xfId="133" applyNumberFormat="1" applyFont="1" applyFill="1" applyBorder="1" applyAlignment="1">
      <alignment horizontal="right"/>
    </xf>
    <xf numFmtId="0" fontId="121" fillId="23" borderId="226" xfId="45" applyFill="1" applyBorder="1" applyProtection="1">
      <alignment horizontal="left" vertical="center"/>
    </xf>
    <xf numFmtId="0" fontId="105" fillId="23" borderId="230" xfId="46" applyFont="1" applyFill="1" applyBorder="1" applyAlignment="1">
      <alignment horizontal="left" vertical="center"/>
    </xf>
    <xf numFmtId="2" fontId="271" fillId="18" borderId="226" xfId="133" applyNumberFormat="1" applyFont="1" applyFill="1" applyBorder="1" applyAlignment="1">
      <alignment horizontal="right"/>
    </xf>
    <xf numFmtId="0" fontId="121" fillId="23" borderId="226" xfId="38" quotePrefix="1" applyFont="1" applyFill="1" applyBorder="1" applyAlignment="1">
      <alignment horizontal="center" vertical="center"/>
    </xf>
    <xf numFmtId="0" fontId="121" fillId="23" borderId="231" xfId="38" applyFont="1" applyFill="1" applyBorder="1" applyAlignment="1">
      <alignment horizontal="center" vertical="center"/>
    </xf>
    <xf numFmtId="0" fontId="121" fillId="23" borderId="231" xfId="38" quotePrefix="1" applyFont="1" applyFill="1" applyBorder="1" applyAlignment="1">
      <alignment horizontal="center" vertical="center"/>
    </xf>
    <xf numFmtId="4" fontId="121" fillId="23" borderId="226" xfId="47" applyNumberFormat="1" applyFont="1" applyFill="1" applyBorder="1" applyAlignment="1">
      <alignment horizontal="center" vertical="center"/>
    </xf>
    <xf numFmtId="0" fontId="121" fillId="23" borderId="231" xfId="38" applyFont="1" applyFill="1" applyBorder="1" applyAlignment="1">
      <alignment horizontal="center" vertical="center" wrapText="1"/>
    </xf>
    <xf numFmtId="0" fontId="121" fillId="23" borderId="230" xfId="38" applyFont="1" applyFill="1" applyBorder="1" applyAlignment="1">
      <alignment horizontal="left" vertical="center"/>
    </xf>
    <xf numFmtId="2" fontId="271" fillId="16" borderId="226" xfId="133" applyNumberFormat="1" applyFont="1" applyFill="1" applyBorder="1" applyAlignment="1">
      <alignment horizontal="right"/>
    </xf>
    <xf numFmtId="0" fontId="271" fillId="18" borderId="226" xfId="133" applyFont="1" applyFill="1" applyBorder="1" applyAlignment="1">
      <alignment horizontal="left" indent="4"/>
    </xf>
    <xf numFmtId="0" fontId="105" fillId="17" borderId="231" xfId="46" applyFont="1" applyFill="1" applyBorder="1">
      <alignment horizontal="left" vertical="center" indent="2"/>
    </xf>
    <xf numFmtId="0" fontId="105" fillId="17" borderId="231" xfId="51" applyFont="1" applyFill="1" applyBorder="1">
      <alignment horizontal="left" vertical="center" indent="5"/>
    </xf>
    <xf numFmtId="0" fontId="105" fillId="17" borderId="231" xfId="51" applyFont="1" applyFill="1" applyBorder="1" applyAlignment="1">
      <alignment horizontal="left" vertical="center" wrapText="1" indent="5"/>
    </xf>
    <xf numFmtId="0" fontId="105" fillId="17" borderId="231" xfId="46" applyFont="1" applyFill="1" applyBorder="1" applyAlignment="1">
      <alignment horizontal="left" vertical="center" wrapText="1" indent="2"/>
    </xf>
    <xf numFmtId="0" fontId="121" fillId="17" borderId="231" xfId="38" applyFont="1" applyFill="1" applyBorder="1" applyAlignment="1">
      <alignment vertical="center"/>
    </xf>
    <xf numFmtId="0" fontId="105" fillId="17" borderId="229" xfId="51" applyFont="1" applyFill="1" applyBorder="1">
      <alignment horizontal="left" vertical="center" indent="5"/>
    </xf>
    <xf numFmtId="49" fontId="121" fillId="17" borderId="226" xfId="38" applyNumberFormat="1" applyFont="1" applyFill="1" applyBorder="1" applyAlignment="1">
      <alignment horizontal="center" vertical="center"/>
    </xf>
    <xf numFmtId="0" fontId="121" fillId="17" borderId="226" xfId="38" applyFont="1" applyFill="1" applyBorder="1" applyAlignment="1">
      <alignment horizontal="center" vertical="center" wrapText="1"/>
    </xf>
    <xf numFmtId="49" fontId="121" fillId="17" borderId="231" xfId="38" applyNumberFormat="1" applyFont="1" applyFill="1" applyBorder="1" applyAlignment="1">
      <alignment horizontal="center" vertical="center"/>
    </xf>
    <xf numFmtId="0" fontId="121" fillId="17" borderId="230" xfId="38" applyFont="1" applyFill="1" applyBorder="1" applyAlignment="1">
      <alignment horizontal="left" vertical="center"/>
    </xf>
    <xf numFmtId="0" fontId="271" fillId="16" borderId="226" xfId="133" applyFont="1" applyFill="1" applyBorder="1" applyAlignment="1">
      <alignment horizontal="left" indent="2"/>
    </xf>
    <xf numFmtId="0" fontId="271" fillId="16" borderId="226" xfId="133" applyFont="1" applyFill="1" applyBorder="1" applyAlignment="1">
      <alignment horizontal="left" indent="4"/>
    </xf>
    <xf numFmtId="0" fontId="105" fillId="17" borderId="226" xfId="46" applyFont="1" applyFill="1" applyBorder="1" applyAlignment="1">
      <alignment horizontal="left" vertical="center" indent="1"/>
    </xf>
    <xf numFmtId="0" fontId="271" fillId="16" borderId="226" xfId="133" applyFont="1" applyFill="1" applyBorder="1" applyAlignment="1">
      <alignment horizontal="left" indent="6"/>
    </xf>
    <xf numFmtId="0" fontId="105" fillId="17" borderId="226" xfId="46" applyFont="1" applyFill="1" applyBorder="1">
      <alignment horizontal="left" vertical="center" indent="2"/>
    </xf>
    <xf numFmtId="0" fontId="105" fillId="17" borderId="230" xfId="46" applyFont="1" applyFill="1" applyBorder="1" applyAlignment="1">
      <alignment horizontal="left" vertical="center" wrapText="1" indent="1"/>
    </xf>
    <xf numFmtId="0" fontId="105" fillId="17" borderId="230" xfId="46" applyFont="1" applyFill="1" applyBorder="1" applyAlignment="1">
      <alignment horizontal="left" vertical="center" indent="1"/>
    </xf>
    <xf numFmtId="0" fontId="105" fillId="17" borderId="226" xfId="51" applyFont="1" applyFill="1" applyBorder="1" applyAlignment="1">
      <alignment horizontal="left" vertical="center" indent="2"/>
    </xf>
    <xf numFmtId="0" fontId="271" fillId="18" borderId="226" xfId="133" applyFont="1" applyFill="1" applyBorder="1" applyAlignment="1">
      <alignment horizontal="left"/>
    </xf>
    <xf numFmtId="0" fontId="105" fillId="23" borderId="226" xfId="38" applyFill="1" applyBorder="1" applyAlignment="1">
      <alignment vertical="center"/>
    </xf>
    <xf numFmtId="0" fontId="105" fillId="23" borderId="226" xfId="45" applyFont="1" applyFill="1" applyBorder="1" applyProtection="1">
      <alignment horizontal="left" vertical="center"/>
    </xf>
    <xf numFmtId="0" fontId="105" fillId="23" borderId="226" xfId="45" applyFont="1" applyFill="1" applyBorder="1" applyAlignment="1" applyProtection="1">
      <alignment horizontal="left" vertical="center" wrapText="1"/>
    </xf>
    <xf numFmtId="0" fontId="105" fillId="23" borderId="226" xfId="38" applyFill="1" applyBorder="1" applyAlignment="1">
      <alignment vertical="center" wrapText="1"/>
    </xf>
    <xf numFmtId="0" fontId="105" fillId="23" borderId="226" xfId="38" applyFill="1" applyBorder="1" applyAlignment="1">
      <alignment horizontal="left" vertical="center" wrapText="1"/>
    </xf>
    <xf numFmtId="0" fontId="271" fillId="24" borderId="226" xfId="133" applyFont="1" applyFill="1" applyBorder="1" applyAlignment="1">
      <alignment horizontal="left" indent="2"/>
    </xf>
    <xf numFmtId="0" fontId="121" fillId="23" borderId="226" xfId="38" applyFont="1" applyFill="1" applyBorder="1" applyAlignment="1">
      <alignment horizontal="left" vertical="center" wrapText="1"/>
    </xf>
    <xf numFmtId="0" fontId="105" fillId="23" borderId="226" xfId="51" applyFont="1" applyFill="1" applyBorder="1" applyAlignment="1">
      <alignment horizontal="left" vertical="center"/>
    </xf>
    <xf numFmtId="4" fontId="121" fillId="23" borderId="226" xfId="47" applyNumberFormat="1" applyFont="1" applyFill="1" applyBorder="1" applyAlignment="1">
      <alignment horizontal="center" vertical="center" textRotation="90"/>
    </xf>
    <xf numFmtId="0" fontId="121" fillId="23" borderId="231" xfId="38" applyFont="1" applyFill="1" applyBorder="1" applyAlignment="1">
      <alignment horizontal="center" vertical="center" textRotation="90"/>
    </xf>
    <xf numFmtId="0" fontId="121" fillId="23" borderId="231" xfId="38" applyFont="1" applyFill="1" applyBorder="1" applyAlignment="1">
      <alignment horizontal="center" vertical="center" textRotation="90" wrapText="1"/>
    </xf>
    <xf numFmtId="0" fontId="121" fillId="23" borderId="226" xfId="38" applyFont="1" applyFill="1" applyBorder="1" applyAlignment="1">
      <alignment horizontal="center" vertical="center" textRotation="90"/>
    </xf>
    <xf numFmtId="0" fontId="121" fillId="23" borderId="231" xfId="38" quotePrefix="1" applyFont="1" applyFill="1" applyBorder="1" applyAlignment="1">
      <alignment horizontal="center" vertical="center" textRotation="90"/>
    </xf>
    <xf numFmtId="0" fontId="121" fillId="23" borderId="226" xfId="38" quotePrefix="1" applyFont="1" applyFill="1" applyBorder="1" applyAlignment="1">
      <alignment horizontal="center" vertical="center" textRotation="90"/>
    </xf>
    <xf numFmtId="0" fontId="121" fillId="23" borderId="232" xfId="38" applyFont="1" applyFill="1" applyBorder="1" applyAlignment="1">
      <alignment horizontal="center" vertical="center" textRotation="90"/>
    </xf>
    <xf numFmtId="0" fontId="105" fillId="22" borderId="0" xfId="142" applyFill="1" applyBorder="1">
      <alignment horizontal="right" vertical="center"/>
    </xf>
    <xf numFmtId="0" fontId="105" fillId="22" borderId="226" xfId="46" applyFont="1" applyFill="1" applyBorder="1" applyAlignment="1">
      <alignment horizontal="left" vertical="center"/>
    </xf>
    <xf numFmtId="0" fontId="105" fillId="17" borderId="227" xfId="38" applyFill="1" applyBorder="1" applyAlignment="1">
      <alignment vertical="center"/>
    </xf>
    <xf numFmtId="0" fontId="105" fillId="17" borderId="228" xfId="38" applyFill="1" applyBorder="1" applyAlignment="1">
      <alignment vertical="center"/>
    </xf>
    <xf numFmtId="0" fontId="121" fillId="17" borderId="229" xfId="38" applyFont="1" applyFill="1" applyBorder="1" applyAlignment="1">
      <alignment vertical="center"/>
    </xf>
    <xf numFmtId="0" fontId="271" fillId="18" borderId="226" xfId="133" applyFont="1" applyFill="1" applyBorder="1" applyAlignment="1">
      <alignment horizontal="left" indent="2"/>
    </xf>
    <xf numFmtId="0" fontId="105" fillId="17" borderId="226" xfId="46" applyFont="1" applyFill="1" applyBorder="1" applyAlignment="1">
      <alignment horizontal="left" vertical="center"/>
    </xf>
    <xf numFmtId="0" fontId="105" fillId="17" borderId="226" xfId="51" applyFont="1" applyFill="1" applyBorder="1" applyAlignment="1">
      <alignment horizontal="left" vertical="center"/>
    </xf>
    <xf numFmtId="0" fontId="132" fillId="17" borderId="226" xfId="46" applyFont="1" applyFill="1" applyBorder="1" applyAlignment="1">
      <alignment horizontal="left" vertical="center"/>
    </xf>
    <xf numFmtId="0" fontId="121" fillId="17" borderId="231" xfId="38" applyFont="1" applyFill="1" applyBorder="1" applyAlignment="1">
      <alignment horizontal="center" vertical="center" wrapText="1"/>
    </xf>
    <xf numFmtId="0" fontId="121" fillId="17" borderId="230" xfId="38" applyFont="1" applyFill="1" applyBorder="1" applyAlignment="1">
      <alignment horizontal="left" vertical="center" wrapText="1"/>
    </xf>
    <xf numFmtId="0" fontId="105" fillId="22" borderId="226" xfId="3" applyFont="1" applyFill="1" applyBorder="1" applyAlignment="1">
      <alignment horizontal="left" vertical="center"/>
    </xf>
    <xf numFmtId="4" fontId="105" fillId="17" borderId="226" xfId="54" applyFill="1" applyBorder="1" applyAlignment="1">
      <alignment vertical="center" wrapText="1"/>
    </xf>
    <xf numFmtId="4" fontId="105" fillId="17" borderId="226" xfId="54" applyFill="1" applyBorder="1" applyAlignment="1">
      <alignment horizontal="left" vertical="center" wrapText="1"/>
    </xf>
    <xf numFmtId="4" fontId="121" fillId="17" borderId="226" xfId="54" applyFont="1" applyFill="1" applyBorder="1" applyAlignment="1">
      <alignment horizontal="center" vertical="center"/>
    </xf>
    <xf numFmtId="4" fontId="121" fillId="17" borderId="226" xfId="54" applyFont="1" applyFill="1" applyBorder="1" applyAlignment="1">
      <alignment horizontal="center" vertical="center" wrapText="1"/>
    </xf>
    <xf numFmtId="0" fontId="105" fillId="17" borderId="226" xfId="38" applyFill="1" applyBorder="1" applyAlignment="1">
      <alignment horizontal="left" vertical="center"/>
    </xf>
    <xf numFmtId="0" fontId="105" fillId="17" borderId="226" xfId="38" applyFill="1" applyBorder="1" applyAlignment="1">
      <alignment horizontal="left" vertical="center" wrapText="1"/>
    </xf>
    <xf numFmtId="0" fontId="121" fillId="17" borderId="230" xfId="38" applyFont="1" applyFill="1" applyBorder="1" applyAlignment="1">
      <alignment horizontal="center" vertical="center" wrapText="1"/>
    </xf>
    <xf numFmtId="0" fontId="121" fillId="17" borderId="227" xfId="38" applyFont="1" applyFill="1" applyBorder="1" applyAlignment="1">
      <alignment horizontal="center" vertical="center"/>
    </xf>
    <xf numFmtId="0" fontId="105" fillId="22" borderId="226" xfId="40" applyFont="1" applyFill="1" applyBorder="1" applyAlignment="1">
      <alignment vertical="center" wrapText="1"/>
    </xf>
    <xf numFmtId="0" fontId="121" fillId="17" borderId="226" xfId="40" applyFont="1" applyFill="1" applyBorder="1" applyAlignment="1">
      <alignment horizontal="left" vertical="center" wrapText="1"/>
    </xf>
    <xf numFmtId="0" fontId="105" fillId="17" borderId="226" xfId="40" applyFont="1" applyFill="1" applyBorder="1" applyAlignment="1">
      <alignment horizontal="left" vertical="center" wrapText="1"/>
    </xf>
    <xf numFmtId="0" fontId="121" fillId="17" borderId="226" xfId="40" applyFont="1" applyFill="1" applyBorder="1" applyAlignment="1">
      <alignment horizontal="center" vertical="center" wrapText="1"/>
    </xf>
    <xf numFmtId="0" fontId="271" fillId="18" borderId="226" xfId="133" applyFont="1" applyFill="1" applyBorder="1" applyAlignment="1">
      <alignment horizontal="left" indent="6"/>
    </xf>
    <xf numFmtId="0" fontId="105" fillId="22" borderId="226" xfId="40" applyFont="1" applyFill="1" applyBorder="1" applyAlignment="1">
      <alignment horizontal="left" vertical="center" wrapText="1"/>
    </xf>
    <xf numFmtId="0" fontId="105" fillId="17" borderId="227" xfId="40" applyFont="1" applyFill="1" applyBorder="1" applyAlignment="1">
      <alignment horizontal="center" vertical="center" wrapText="1"/>
    </xf>
    <xf numFmtId="0" fontId="105" fillId="17" borderId="228" xfId="40" applyFont="1" applyFill="1" applyBorder="1" applyAlignment="1">
      <alignment horizontal="center" vertical="center" wrapText="1"/>
    </xf>
    <xf numFmtId="0" fontId="121" fillId="17" borderId="228" xfId="40" applyFont="1" applyFill="1" applyBorder="1" applyAlignment="1">
      <alignment horizontal="left" vertical="center" wrapText="1"/>
    </xf>
    <xf numFmtId="0" fontId="121" fillId="17" borderId="229" xfId="40" applyFont="1" applyFill="1" applyBorder="1" applyAlignment="1">
      <alignment horizontal="left" vertical="center" wrapText="1"/>
    </xf>
    <xf numFmtId="0" fontId="105" fillId="17" borderId="231" xfId="40" applyFont="1" applyFill="1" applyBorder="1" applyAlignment="1">
      <alignment horizontal="left" vertical="top" wrapText="1"/>
    </xf>
    <xf numFmtId="0" fontId="105" fillId="17" borderId="226" xfId="40" applyFont="1" applyFill="1" applyBorder="1" applyAlignment="1">
      <alignment horizontal="left" vertical="top" wrapText="1"/>
    </xf>
    <xf numFmtId="0" fontId="105" fillId="17" borderId="231" xfId="40" applyFont="1" applyFill="1" applyBorder="1" applyAlignment="1">
      <alignment horizontal="left" vertical="top"/>
    </xf>
    <xf numFmtId="0" fontId="105" fillId="17" borderId="229" xfId="40" applyFont="1" applyFill="1" applyBorder="1" applyAlignment="1">
      <alignment horizontal="left" vertical="top" wrapText="1"/>
    </xf>
    <xf numFmtId="0" fontId="105" fillId="17" borderId="230" xfId="40" applyFont="1" applyFill="1" applyBorder="1" applyAlignment="1">
      <alignment horizontal="left" vertical="top" wrapText="1"/>
    </xf>
    <xf numFmtId="0" fontId="105" fillId="17" borderId="226" xfId="40" applyFont="1" applyFill="1" applyBorder="1" applyAlignment="1">
      <alignment horizontal="left" vertical="top"/>
    </xf>
    <xf numFmtId="0" fontId="105" fillId="17" borderId="226" xfId="40" applyFont="1" applyFill="1" applyBorder="1" applyAlignment="1">
      <alignment horizontal="left" vertical="top" wrapText="1" indent="1"/>
    </xf>
    <xf numFmtId="0" fontId="105" fillId="17" borderId="227" xfId="40" applyFont="1" applyFill="1" applyBorder="1" applyAlignment="1">
      <alignment horizontal="left" vertical="center" wrapText="1"/>
    </xf>
    <xf numFmtId="0" fontId="105" fillId="17" borderId="228" xfId="40" applyFont="1" applyFill="1" applyBorder="1" applyAlignment="1">
      <alignment horizontal="left" vertical="center" wrapText="1"/>
    </xf>
    <xf numFmtId="0" fontId="121" fillId="17" borderId="226" xfId="41" applyFont="1" applyBorder="1" applyAlignment="1">
      <alignment horizontal="left" vertical="center" indent="1"/>
    </xf>
    <xf numFmtId="0" fontId="105" fillId="17" borderId="226" xfId="41" applyFont="1" applyBorder="1" applyAlignment="1">
      <alignment horizontal="left" vertical="center" indent="2"/>
    </xf>
    <xf numFmtId="0" fontId="105" fillId="17" borderId="226" xfId="41" applyFont="1" applyBorder="1" applyAlignment="1">
      <alignment horizontal="left" vertical="center" indent="4"/>
    </xf>
    <xf numFmtId="0" fontId="271" fillId="18" borderId="226" xfId="133" applyFont="1" applyFill="1" applyBorder="1" applyAlignment="1">
      <alignment horizontal="left" indent="10"/>
    </xf>
    <xf numFmtId="0" fontId="121" fillId="17" borderId="226" xfId="41" applyFont="1" applyBorder="1" applyAlignment="1">
      <alignment horizontal="left" vertical="center" indent="3"/>
    </xf>
    <xf numFmtId="0" fontId="137" fillId="17" borderId="226" xfId="41" applyFont="1" applyBorder="1" applyAlignment="1">
      <alignment horizontal="left" vertical="center" indent="4"/>
    </xf>
    <xf numFmtId="0" fontId="105" fillId="17" borderId="226" xfId="41" applyFont="1" applyBorder="1" applyAlignment="1">
      <alignment horizontal="left" vertical="center" indent="3"/>
    </xf>
    <xf numFmtId="0" fontId="271" fillId="18" borderId="226" xfId="133" applyFont="1" applyFill="1" applyBorder="1" applyAlignment="1">
      <alignment horizontal="left" indent="8"/>
    </xf>
    <xf numFmtId="0" fontId="121" fillId="17" borderId="226" xfId="41" applyFont="1" applyBorder="1" applyAlignment="1">
      <alignment horizontal="left" vertical="center" indent="2"/>
    </xf>
    <xf numFmtId="0" fontId="137" fillId="17" borderId="226" xfId="41" applyFont="1" applyBorder="1" applyAlignment="1">
      <alignment horizontal="left" vertical="center" indent="3"/>
    </xf>
    <xf numFmtId="0" fontId="121" fillId="17" borderId="226" xfId="40" applyFont="1" applyFill="1" applyBorder="1" applyAlignment="1">
      <alignment horizontal="center" wrapText="1"/>
    </xf>
    <xf numFmtId="0" fontId="121" fillId="17" borderId="229" xfId="40" applyFont="1" applyFill="1" applyBorder="1" applyAlignment="1">
      <alignment horizontal="center" wrapText="1"/>
    </xf>
    <xf numFmtId="0" fontId="121" fillId="17" borderId="230" xfId="40" applyFont="1" applyFill="1" applyBorder="1" applyAlignment="1">
      <alignment horizontal="center" wrapText="1"/>
    </xf>
    <xf numFmtId="0" fontId="121" fillId="17" borderId="230" xfId="40" applyFont="1" applyFill="1" applyBorder="1" applyAlignment="1">
      <alignment horizontal="center" vertical="center" wrapText="1"/>
    </xf>
    <xf numFmtId="0" fontId="121" fillId="17" borderId="226" xfId="40" applyFont="1" applyFill="1" applyBorder="1" applyAlignment="1">
      <alignment horizontal="left" vertical="center"/>
    </xf>
    <xf numFmtId="0" fontId="105" fillId="17" borderId="227" xfId="40" applyFont="1" applyFill="1" applyBorder="1" applyAlignment="1">
      <alignment horizontal="left" vertical="top"/>
    </xf>
    <xf numFmtId="0" fontId="105" fillId="17" borderId="228" xfId="40" applyFont="1" applyFill="1" applyBorder="1" applyAlignment="1">
      <alignment horizontal="left" vertical="top"/>
    </xf>
    <xf numFmtId="0" fontId="121" fillId="17" borderId="229" xfId="40" applyFont="1" applyFill="1" applyBorder="1" applyAlignment="1">
      <alignment horizontal="left" vertical="top"/>
    </xf>
    <xf numFmtId="0" fontId="121" fillId="17" borderId="226" xfId="40" applyFont="1" applyFill="1" applyBorder="1" applyAlignment="1">
      <alignment horizontal="left" vertical="top" wrapText="1" indent="1"/>
    </xf>
    <xf numFmtId="0" fontId="121" fillId="17" borderId="227" xfId="40" applyFont="1" applyFill="1" applyBorder="1" applyAlignment="1">
      <alignment horizontal="center" vertical="center" wrapText="1"/>
    </xf>
    <xf numFmtId="0" fontId="105" fillId="17" borderId="227" xfId="58" applyFont="1" applyFill="1" applyBorder="1"/>
    <xf numFmtId="0" fontId="105" fillId="17" borderId="228" xfId="58" applyFont="1" applyFill="1" applyBorder="1"/>
    <xf numFmtId="0" fontId="105" fillId="17" borderId="228" xfId="58" applyFont="1" applyFill="1" applyBorder="1" applyAlignment="1">
      <alignment horizontal="center"/>
    </xf>
    <xf numFmtId="0" fontId="121" fillId="17" borderId="228" xfId="58" applyFont="1" applyFill="1" applyBorder="1"/>
    <xf numFmtId="0" fontId="121" fillId="17" borderId="229" xfId="58" applyFont="1" applyFill="1" applyBorder="1"/>
    <xf numFmtId="0" fontId="121" fillId="17" borderId="226" xfId="41" applyFont="1" applyBorder="1" applyAlignment="1">
      <alignment horizontal="left" vertical="center"/>
    </xf>
    <xf numFmtId="0" fontId="125" fillId="17" borderId="226" xfId="135" applyFont="1" applyBorder="1" applyAlignment="1">
      <alignment horizontal="left" vertical="center" indent="2"/>
    </xf>
    <xf numFmtId="0" fontId="105" fillId="17" borderId="226" xfId="135" applyFont="1" applyBorder="1" applyAlignment="1">
      <alignment horizontal="left" vertical="center" indent="1"/>
    </xf>
    <xf numFmtId="0" fontId="121" fillId="17" borderId="226" xfId="135" applyFont="1" applyBorder="1">
      <alignment horizontal="left" vertical="center"/>
    </xf>
    <xf numFmtId="0" fontId="121" fillId="17" borderId="226" xfId="58" applyFont="1" applyFill="1" applyBorder="1" applyAlignment="1">
      <alignment horizontal="center" vertical="center" wrapText="1"/>
    </xf>
    <xf numFmtId="0" fontId="105" fillId="17" borderId="226" xfId="135" applyFont="1" applyBorder="1">
      <alignment horizontal="left" vertical="center"/>
    </xf>
    <xf numFmtId="0" fontId="271" fillId="16" borderId="226" xfId="133" applyFont="1" applyFill="1" applyBorder="1" applyAlignment="1">
      <alignment horizontal="left"/>
    </xf>
    <xf numFmtId="0" fontId="105" fillId="26" borderId="18" xfId="144" applyFont="1" applyFill="1" applyBorder="1">
      <alignment horizontal="right" vertical="center"/>
    </xf>
    <xf numFmtId="0" fontId="108" fillId="22" borderId="226" xfId="44" applyFont="1" applyFill="1" applyBorder="1" applyAlignment="1">
      <alignment horizontal="left" vertical="center"/>
    </xf>
    <xf numFmtId="4" fontId="108" fillId="17" borderId="226" xfId="38" applyNumberFormat="1" applyFont="1" applyFill="1" applyBorder="1" applyAlignment="1">
      <alignment horizontal="left" vertical="center"/>
    </xf>
    <xf numFmtId="0" fontId="113" fillId="17" borderId="230" xfId="38" applyFont="1" applyFill="1" applyBorder="1" applyAlignment="1">
      <alignment horizontal="center" vertical="center"/>
    </xf>
    <xf numFmtId="0" fontId="113" fillId="17" borderId="230" xfId="38" applyFont="1" applyFill="1" applyBorder="1" applyAlignment="1">
      <alignment horizontal="center" vertical="center" wrapText="1"/>
    </xf>
    <xf numFmtId="0" fontId="113" fillId="17" borderId="230" xfId="38" applyFont="1" applyFill="1" applyBorder="1" applyAlignment="1">
      <alignment horizontal="left" vertical="top"/>
    </xf>
    <xf numFmtId="0" fontId="105" fillId="22" borderId="226" xfId="3" applyFont="1" applyFill="1" applyBorder="1" applyAlignment="1">
      <alignment horizontal="left" vertical="center" wrapText="1"/>
    </xf>
    <xf numFmtId="4" fontId="105" fillId="17" borderId="226" xfId="38" applyNumberFormat="1" applyFill="1" applyBorder="1" applyAlignment="1">
      <alignment horizontal="left" vertical="center" wrapText="1"/>
    </xf>
    <xf numFmtId="4" fontId="121" fillId="17" borderId="226" xfId="38" applyNumberFormat="1" applyFont="1" applyFill="1" applyBorder="1" applyAlignment="1">
      <alignment horizontal="center" vertical="center" wrapText="1"/>
    </xf>
    <xf numFmtId="4" fontId="121" fillId="17" borderId="230" xfId="38" applyNumberFormat="1" applyFont="1" applyFill="1" applyBorder="1" applyAlignment="1">
      <alignment horizontal="center" vertical="top" wrapText="1"/>
    </xf>
    <xf numFmtId="4" fontId="121" fillId="17" borderId="232" xfId="38" applyNumberFormat="1" applyFont="1" applyFill="1" applyBorder="1" applyAlignment="1">
      <alignment horizontal="center" vertical="center" wrapText="1"/>
    </xf>
    <xf numFmtId="4" fontId="121" fillId="17" borderId="226" xfId="38" applyNumberFormat="1" applyFont="1" applyFill="1" applyBorder="1" applyAlignment="1">
      <alignment horizontal="left" vertical="top" wrapText="1"/>
    </xf>
    <xf numFmtId="0" fontId="105" fillId="22" borderId="226" xfId="44" applyFont="1" applyFill="1" applyBorder="1" applyAlignment="1">
      <alignment horizontal="left" vertical="center" wrapText="1"/>
    </xf>
    <xf numFmtId="4" fontId="105" fillId="17" borderId="231" xfId="38" applyNumberFormat="1" applyFill="1" applyBorder="1" applyAlignment="1">
      <alignment horizontal="left" vertical="center" wrapText="1"/>
    </xf>
    <xf numFmtId="4" fontId="121" fillId="17" borderId="231" xfId="38" applyNumberFormat="1" applyFont="1" applyFill="1" applyBorder="1" applyAlignment="1">
      <alignment vertical="center" wrapText="1"/>
    </xf>
    <xf numFmtId="4" fontId="121" fillId="17" borderId="226" xfId="38" applyNumberFormat="1" applyFont="1" applyFill="1" applyBorder="1" applyAlignment="1">
      <alignment horizontal="center" vertical="center"/>
    </xf>
    <xf numFmtId="4" fontId="121" fillId="17" borderId="231" xfId="38" applyNumberFormat="1" applyFont="1" applyFill="1" applyBorder="1" applyAlignment="1">
      <alignment horizontal="center" vertical="center" wrapText="1"/>
    </xf>
    <xf numFmtId="4" fontId="121" fillId="17" borderId="231" xfId="38" applyNumberFormat="1" applyFont="1" applyFill="1" applyBorder="1" applyAlignment="1">
      <alignment horizontal="center" vertical="center"/>
    </xf>
    <xf numFmtId="4" fontId="121" fillId="17" borderId="228" xfId="38" applyNumberFormat="1" applyFont="1" applyFill="1" applyBorder="1" applyAlignment="1">
      <alignment horizontal="center" vertical="center"/>
    </xf>
    <xf numFmtId="4" fontId="121" fillId="17" borderId="230" xfId="38" applyNumberFormat="1" applyFont="1" applyFill="1" applyBorder="1" applyAlignment="1">
      <alignment horizontal="left" vertical="top" wrapText="1"/>
    </xf>
    <xf numFmtId="49" fontId="105" fillId="22" borderId="226" xfId="140" applyNumberFormat="1" applyFill="1" applyBorder="1" applyAlignment="1">
      <alignment horizontal="left" vertical="center" wrapText="1"/>
    </xf>
    <xf numFmtId="0" fontId="105" fillId="17" borderId="226" xfId="38" applyFill="1" applyBorder="1" applyAlignment="1">
      <alignment vertical="center" wrapText="1"/>
    </xf>
    <xf numFmtId="0" fontId="105" fillId="22" borderId="0" xfId="143" applyFont="1" applyFill="1" applyBorder="1">
      <alignment horizontal="right" vertical="center"/>
    </xf>
    <xf numFmtId="0" fontId="105" fillId="22" borderId="0" xfId="145" applyFill="1" applyBorder="1"/>
    <xf numFmtId="4" fontId="105" fillId="17" borderId="226" xfId="38" applyNumberFormat="1" applyFill="1" applyBorder="1" applyAlignment="1">
      <alignment horizontal="left" vertical="center"/>
    </xf>
    <xf numFmtId="4" fontId="121" fillId="17" borderId="229" xfId="38" applyNumberFormat="1" applyFont="1" applyFill="1" applyBorder="1" applyAlignment="1">
      <alignment horizontal="center" vertical="center" wrapText="1"/>
    </xf>
    <xf numFmtId="2" fontId="271" fillId="51" borderId="226" xfId="133" applyNumberFormat="1" applyFont="1" applyFill="1" applyBorder="1" applyAlignment="1">
      <alignment horizontal="right"/>
    </xf>
    <xf numFmtId="2" fontId="121" fillId="52" borderId="226" xfId="89" applyNumberFormat="1" applyFont="1" applyFill="1" applyBorder="1" applyAlignment="1">
      <alignment horizontal="left" vertical="center"/>
    </xf>
    <xf numFmtId="0" fontId="121" fillId="52" borderId="226" xfId="3" applyFont="1" applyFill="1" applyBorder="1"/>
    <xf numFmtId="2" fontId="121" fillId="52" borderId="230" xfId="89" applyNumberFormat="1" applyFont="1" applyFill="1" applyBorder="1" applyAlignment="1">
      <alignment horizontal="left" vertical="center"/>
    </xf>
    <xf numFmtId="2" fontId="121" fillId="52" borderId="226" xfId="89" quotePrefix="1" applyNumberFormat="1" applyFont="1" applyFill="1" applyBorder="1" applyAlignment="1">
      <alignment horizontal="left" vertical="center"/>
    </xf>
    <xf numFmtId="0" fontId="105" fillId="52" borderId="226" xfId="89" applyFill="1" applyBorder="1" applyAlignment="1">
      <alignment vertical="center"/>
    </xf>
    <xf numFmtId="2" fontId="121" fillId="52" borderId="226" xfId="89" applyNumberFormat="1" applyFont="1" applyFill="1" applyBorder="1" applyAlignment="1">
      <alignment vertical="center"/>
    </xf>
    <xf numFmtId="2" fontId="105" fillId="52" borderId="226" xfId="89" applyNumberFormat="1" applyFill="1" applyBorder="1" applyAlignment="1">
      <alignment horizontal="left" vertical="center" indent="2"/>
    </xf>
    <xf numFmtId="2" fontId="105" fillId="52" borderId="226" xfId="89" applyNumberFormat="1" applyFill="1" applyBorder="1" applyAlignment="1">
      <alignment horizontal="left" vertical="center" wrapText="1" indent="2"/>
    </xf>
    <xf numFmtId="0" fontId="105" fillId="52" borderId="226" xfId="46" applyFont="1" applyFill="1" applyBorder="1">
      <alignment horizontal="left" vertical="center" indent="2"/>
    </xf>
    <xf numFmtId="0" fontId="105" fillId="52" borderId="226" xfId="46" applyFont="1" applyFill="1" applyBorder="1" applyAlignment="1">
      <alignment horizontal="left" vertical="center" wrapText="1" indent="2"/>
    </xf>
    <xf numFmtId="0" fontId="105" fillId="52" borderId="226" xfId="51" applyFont="1" applyFill="1" applyBorder="1">
      <alignment horizontal="left" vertical="center" indent="5"/>
    </xf>
    <xf numFmtId="2" fontId="121" fillId="52" borderId="226" xfId="89" applyNumberFormat="1" applyFont="1" applyFill="1" applyBorder="1" applyAlignment="1">
      <alignment horizontal="center" vertical="center"/>
    </xf>
    <xf numFmtId="2" fontId="121" fillId="52" borderId="226" xfId="89" applyNumberFormat="1" applyFont="1" applyFill="1" applyBorder="1" applyAlignment="1">
      <alignment horizontal="center" vertical="center" wrapText="1"/>
    </xf>
    <xf numFmtId="2" fontId="121" fillId="52" borderId="230" xfId="89" applyNumberFormat="1" applyFont="1" applyFill="1" applyBorder="1" applyAlignment="1">
      <alignment vertical="center"/>
    </xf>
    <xf numFmtId="2" fontId="271" fillId="51" borderId="226" xfId="146" applyNumberFormat="1" applyFont="1" applyFill="1" applyBorder="1" applyAlignment="1">
      <alignment horizontal="right"/>
    </xf>
    <xf numFmtId="2" fontId="271" fillId="25" borderId="226" xfId="146" applyNumberFormat="1" applyFont="1" applyFill="1" applyBorder="1" applyAlignment="1">
      <alignment horizontal="right"/>
    </xf>
    <xf numFmtId="3" fontId="23" fillId="41" borderId="70" xfId="78" applyNumberFormat="1" applyFill="1" applyBorder="1" applyAlignment="1">
      <alignment horizontal="right"/>
    </xf>
    <xf numFmtId="0" fontId="23" fillId="0" borderId="49" xfId="78" applyBorder="1" applyAlignment="1">
      <alignment horizontal="left"/>
    </xf>
    <xf numFmtId="2" fontId="23" fillId="41" borderId="15" xfId="78" applyNumberFormat="1" applyFill="1" applyBorder="1" applyAlignment="1">
      <alignment horizontal="left"/>
    </xf>
    <xf numFmtId="0" fontId="23" fillId="41" borderId="15" xfId="78" applyFill="1" applyBorder="1" applyAlignment="1">
      <alignment horizontal="left"/>
    </xf>
    <xf numFmtId="9" fontId="55" fillId="2" borderId="0" xfId="30" applyNumberFormat="1" applyFont="1" applyFill="1"/>
    <xf numFmtId="2" fontId="55" fillId="2" borderId="0" xfId="30" applyNumberFormat="1" applyFont="1" applyFill="1"/>
    <xf numFmtId="9" fontId="71" fillId="0" borderId="137" xfId="0" applyNumberFormat="1" applyFont="1" applyBorder="1"/>
    <xf numFmtId="2" fontId="105" fillId="51" borderId="226" xfId="147" applyNumberFormat="1" applyFont="1" applyFill="1" applyBorder="1" applyAlignment="1">
      <alignment horizontal="right"/>
    </xf>
    <xf numFmtId="2" fontId="105" fillId="25" borderId="226" xfId="147" applyNumberFormat="1" applyFont="1" applyFill="1" applyBorder="1" applyAlignment="1">
      <alignment horizontal="right"/>
    </xf>
    <xf numFmtId="0" fontId="10" fillId="29" borderId="9" xfId="36" applyFont="1" applyFill="1" applyBorder="1" applyAlignment="1">
      <alignment horizontal="center" vertical="center" wrapText="1"/>
    </xf>
    <xf numFmtId="3" fontId="26" fillId="2" borderId="0" xfId="36" applyNumberFormat="1" applyFill="1" applyAlignment="1">
      <alignment horizontal="center" vertical="center"/>
    </xf>
    <xf numFmtId="0" fontId="103" fillId="0" borderId="135" xfId="36" applyFont="1" applyBorder="1" applyAlignment="1">
      <alignment horizontal="center" vertical="center"/>
    </xf>
    <xf numFmtId="3" fontId="18" fillId="2" borderId="0" xfId="36" applyNumberFormat="1" applyFont="1" applyFill="1" applyAlignment="1">
      <alignment horizontal="center" vertical="center"/>
    </xf>
    <xf numFmtId="0" fontId="18" fillId="29" borderId="9" xfId="36" applyFont="1" applyFill="1" applyBorder="1" applyAlignment="1">
      <alignment horizontal="center" vertical="center" wrapText="1"/>
    </xf>
    <xf numFmtId="0" fontId="103" fillId="0" borderId="87" xfId="36" applyFont="1" applyBorder="1" applyAlignment="1">
      <alignment horizontal="center" vertical="center"/>
    </xf>
    <xf numFmtId="184" fontId="117" fillId="11" borderId="64" xfId="78" applyNumberFormat="1" applyFont="1" applyFill="1" applyBorder="1" applyAlignment="1">
      <alignment horizontal="right" vertical="center"/>
    </xf>
    <xf numFmtId="184" fontId="117" fillId="11" borderId="22" xfId="78" applyNumberFormat="1" applyFont="1" applyFill="1" applyBorder="1" applyAlignment="1">
      <alignment horizontal="right" vertical="center"/>
    </xf>
    <xf numFmtId="184" fontId="117" fillId="11" borderId="32" xfId="78" applyNumberFormat="1" applyFont="1" applyFill="1" applyBorder="1" applyAlignment="1">
      <alignment horizontal="right" vertical="center"/>
    </xf>
    <xf numFmtId="3" fontId="23" fillId="11" borderId="22" xfId="78" applyNumberFormat="1" applyFill="1" applyBorder="1"/>
    <xf numFmtId="0" fontId="26" fillId="11" borderId="87" xfId="36" applyFill="1" applyBorder="1"/>
    <xf numFmtId="3" fontId="26" fillId="11" borderId="46" xfId="36" applyNumberFormat="1" applyFill="1" applyBorder="1"/>
    <xf numFmtId="0" fontId="24" fillId="11" borderId="87" xfId="75" applyFill="1" applyBorder="1"/>
    <xf numFmtId="0" fontId="18" fillId="11" borderId="87" xfId="75" applyFont="1" applyFill="1" applyBorder="1"/>
    <xf numFmtId="2" fontId="18" fillId="11" borderId="22" xfId="78" applyNumberFormat="1" applyFont="1" applyFill="1" applyBorder="1"/>
    <xf numFmtId="0" fontId="10" fillId="9" borderId="0" xfId="78" applyFont="1" applyFill="1"/>
    <xf numFmtId="164" fontId="92" fillId="11" borderId="22" xfId="81" applyFont="1" applyFill="1" applyBorder="1"/>
    <xf numFmtId="164" fontId="92" fillId="0" borderId="0" xfId="81" applyFont="1" applyAlignment="1">
      <alignment horizontal="center" vertical="center"/>
    </xf>
    <xf numFmtId="164" fontId="10" fillId="13" borderId="17" xfId="81" applyFont="1" applyFill="1" applyBorder="1" applyAlignment="1">
      <alignment horizontal="right"/>
    </xf>
    <xf numFmtId="164" fontId="10" fillId="13" borderId="50" xfId="81" applyFont="1" applyFill="1" applyBorder="1" applyAlignment="1">
      <alignment horizontal="right"/>
    </xf>
    <xf numFmtId="164" fontId="10" fillId="13" borderId="78" xfId="81" applyFont="1" applyFill="1" applyBorder="1" applyAlignment="1">
      <alignment horizontal="right"/>
    </xf>
    <xf numFmtId="164" fontId="10" fillId="13" borderId="43" xfId="81" applyFont="1" applyFill="1" applyBorder="1" applyAlignment="1">
      <alignment horizontal="right"/>
    </xf>
    <xf numFmtId="164" fontId="10" fillId="0" borderId="21" xfId="81" applyFont="1" applyBorder="1" applyAlignment="1">
      <alignment horizontal="right"/>
    </xf>
    <xf numFmtId="164" fontId="10" fillId="0" borderId="47" xfId="81" applyFont="1" applyBorder="1" applyAlignment="1">
      <alignment horizontal="right"/>
    </xf>
    <xf numFmtId="164" fontId="10" fillId="0" borderId="25" xfId="81" applyFont="1" applyBorder="1" applyAlignment="1">
      <alignment horizontal="right"/>
    </xf>
    <xf numFmtId="164" fontId="10" fillId="0" borderId="36" xfId="81" applyFont="1" applyBorder="1" applyAlignment="1">
      <alignment horizontal="right"/>
    </xf>
    <xf numFmtId="164" fontId="10" fillId="0" borderId="22" xfId="81" applyFont="1" applyBorder="1" applyAlignment="1">
      <alignment horizontal="right"/>
    </xf>
    <xf numFmtId="164" fontId="10" fillId="0" borderId="23" xfId="81" applyFont="1" applyBorder="1" applyAlignment="1">
      <alignment horizontal="right"/>
    </xf>
    <xf numFmtId="164" fontId="10" fillId="0" borderId="31" xfId="81" applyFont="1" applyBorder="1" applyAlignment="1">
      <alignment horizontal="right"/>
    </xf>
    <xf numFmtId="164" fontId="10" fillId="0" borderId="32" xfId="81" applyFont="1" applyBorder="1" applyAlignment="1">
      <alignment horizontal="right"/>
    </xf>
    <xf numFmtId="164" fontId="10" fillId="0" borderId="33" xfId="81" applyFont="1" applyBorder="1" applyAlignment="1">
      <alignment horizontal="right"/>
    </xf>
    <xf numFmtId="164" fontId="10" fillId="0" borderId="37" xfId="81" applyFont="1" applyBorder="1" applyAlignment="1">
      <alignment horizontal="right"/>
    </xf>
    <xf numFmtId="164" fontId="81" fillId="0" borderId="0" xfId="81" applyFont="1"/>
    <xf numFmtId="164" fontId="81" fillId="0" borderId="52" xfId="81" applyFont="1" applyFill="1" applyBorder="1" applyAlignment="1">
      <alignment horizontal="right"/>
    </xf>
    <xf numFmtId="164" fontId="81" fillId="0" borderId="58" xfId="81" applyFont="1" applyFill="1" applyBorder="1" applyAlignment="1">
      <alignment horizontal="right"/>
    </xf>
    <xf numFmtId="164" fontId="81" fillId="0" borderId="59" xfId="81" applyFont="1" applyFill="1" applyBorder="1" applyAlignment="1">
      <alignment horizontal="right"/>
    </xf>
    <xf numFmtId="164" fontId="81" fillId="13" borderId="52" xfId="81" applyFont="1" applyFill="1" applyBorder="1" applyAlignment="1">
      <alignment horizontal="right"/>
    </xf>
    <xf numFmtId="164" fontId="81" fillId="13" borderId="58" xfId="81" applyFont="1" applyFill="1" applyBorder="1" applyAlignment="1">
      <alignment horizontal="right"/>
    </xf>
    <xf numFmtId="164" fontId="81" fillId="13" borderId="59" xfId="81" applyFont="1" applyFill="1" applyBorder="1" applyAlignment="1">
      <alignment horizontal="right"/>
    </xf>
    <xf numFmtId="164" fontId="81" fillId="13" borderId="3" xfId="81" applyFont="1" applyFill="1" applyBorder="1" applyAlignment="1">
      <alignment horizontal="right"/>
    </xf>
    <xf numFmtId="164" fontId="81" fillId="13" borderId="53" xfId="81" applyFont="1" applyFill="1" applyBorder="1" applyAlignment="1">
      <alignment horizontal="right"/>
    </xf>
    <xf numFmtId="164" fontId="81" fillId="13" borderId="54" xfId="81" applyFont="1" applyFill="1" applyBorder="1" applyAlignment="1">
      <alignment horizontal="right"/>
    </xf>
    <xf numFmtId="164" fontId="81" fillId="13" borderId="60" xfId="81" applyFont="1" applyFill="1" applyBorder="1" applyAlignment="1">
      <alignment horizontal="right"/>
    </xf>
    <xf numFmtId="164" fontId="81" fillId="0" borderId="74" xfId="81" applyFont="1" applyBorder="1" applyAlignment="1">
      <alignment horizontal="right"/>
    </xf>
    <xf numFmtId="164" fontId="81" fillId="0" borderId="74" xfId="81" applyFont="1" applyBorder="1"/>
    <xf numFmtId="164" fontId="81" fillId="0" borderId="14" xfId="81" applyFont="1" applyFill="1" applyBorder="1" applyAlignment="1">
      <alignment horizontal="right"/>
    </xf>
    <xf numFmtId="164" fontId="81" fillId="0" borderId="1" xfId="81" applyFont="1" applyBorder="1" applyAlignment="1">
      <alignment horizontal="right"/>
    </xf>
    <xf numFmtId="164" fontId="81" fillId="0" borderId="13" xfId="81" applyFont="1" applyBorder="1" applyAlignment="1">
      <alignment horizontal="right"/>
    </xf>
    <xf numFmtId="164" fontId="81" fillId="0" borderId="14" xfId="81" applyFont="1" applyBorder="1" applyAlignment="1">
      <alignment horizontal="right"/>
    </xf>
    <xf numFmtId="164" fontId="81" fillId="0" borderId="10" xfId="81" applyFont="1" applyBorder="1" applyAlignment="1">
      <alignment horizontal="right"/>
    </xf>
    <xf numFmtId="164" fontId="81" fillId="41" borderId="11" xfId="81" applyFont="1" applyFill="1" applyBorder="1" applyAlignment="1">
      <alignment horizontal="right"/>
    </xf>
    <xf numFmtId="164" fontId="81" fillId="41" borderId="11" xfId="81" applyFont="1" applyFill="1" applyBorder="1"/>
    <xf numFmtId="164" fontId="81" fillId="0" borderId="18" xfId="81" applyFont="1" applyFill="1" applyBorder="1" applyAlignment="1">
      <alignment horizontal="right"/>
    </xf>
    <xf numFmtId="164" fontId="81" fillId="0" borderId="19" xfId="81" applyFont="1" applyFill="1" applyBorder="1" applyAlignment="1">
      <alignment horizontal="right"/>
    </xf>
    <xf numFmtId="164" fontId="81" fillId="13" borderId="17" xfId="81" applyFont="1" applyFill="1" applyBorder="1" applyAlignment="1">
      <alignment horizontal="right"/>
    </xf>
    <xf numFmtId="164" fontId="81" fillId="13" borderId="18" xfId="81" applyFont="1" applyFill="1" applyBorder="1" applyAlignment="1">
      <alignment horizontal="right"/>
    </xf>
    <xf numFmtId="164" fontId="81" fillId="13" borderId="19" xfId="81" applyFont="1" applyFill="1" applyBorder="1" applyAlignment="1">
      <alignment horizontal="right"/>
    </xf>
    <xf numFmtId="164" fontId="81" fillId="13" borderId="43" xfId="81" applyFont="1" applyFill="1" applyBorder="1" applyAlignment="1">
      <alignment horizontal="right"/>
    </xf>
    <xf numFmtId="164" fontId="81" fillId="41" borderId="51" xfId="81" applyFont="1" applyFill="1" applyBorder="1" applyAlignment="1">
      <alignment horizontal="right"/>
    </xf>
    <xf numFmtId="164" fontId="81" fillId="0" borderId="23" xfId="81" applyFont="1" applyFill="1" applyBorder="1" applyAlignment="1">
      <alignment horizontal="right"/>
    </xf>
    <xf numFmtId="164" fontId="81" fillId="0" borderId="21" xfId="81" applyFont="1" applyBorder="1" applyAlignment="1">
      <alignment horizontal="right"/>
    </xf>
    <xf numFmtId="164" fontId="81" fillId="0" borderId="22" xfId="81" applyFont="1" applyBorder="1" applyAlignment="1">
      <alignment horizontal="right"/>
    </xf>
    <xf numFmtId="164" fontId="81" fillId="0" borderId="23" xfId="81" applyFont="1" applyBorder="1" applyAlignment="1">
      <alignment horizontal="right"/>
    </xf>
    <xf numFmtId="164" fontId="81" fillId="0" borderId="36" xfId="81" applyFont="1" applyBorder="1" applyAlignment="1">
      <alignment horizontal="right"/>
    </xf>
    <xf numFmtId="164" fontId="81" fillId="0" borderId="24" xfId="81" applyFont="1" applyBorder="1" applyAlignment="1">
      <alignment horizontal="right"/>
    </xf>
    <xf numFmtId="164" fontId="81" fillId="0" borderId="24" xfId="81" applyFont="1" applyBorder="1"/>
    <xf numFmtId="164" fontId="81" fillId="0" borderId="33" xfId="81" applyFont="1" applyFill="1" applyBorder="1" applyAlignment="1">
      <alignment horizontal="right"/>
    </xf>
    <xf numFmtId="164" fontId="81" fillId="0" borderId="31" xfId="81" applyFont="1" applyBorder="1" applyAlignment="1">
      <alignment horizontal="right"/>
    </xf>
    <xf numFmtId="164" fontId="81" fillId="0" borderId="33" xfId="81" applyFont="1" applyBorder="1" applyAlignment="1">
      <alignment horizontal="right"/>
    </xf>
    <xf numFmtId="164" fontId="81" fillId="0" borderId="32" xfId="81" applyFont="1" applyBorder="1" applyAlignment="1">
      <alignment horizontal="right"/>
    </xf>
    <xf numFmtId="164" fontId="81" fillId="0" borderId="37" xfId="81" applyFont="1" applyBorder="1" applyAlignment="1">
      <alignment horizontal="right"/>
    </xf>
    <xf numFmtId="164" fontId="81" fillId="0" borderId="30" xfId="81" applyFont="1" applyBorder="1" applyAlignment="1">
      <alignment horizontal="right"/>
    </xf>
    <xf numFmtId="164" fontId="81" fillId="0" borderId="30" xfId="81" applyFont="1" applyBorder="1"/>
    <xf numFmtId="164" fontId="81" fillId="0" borderId="0" xfId="81" applyFont="1" applyFill="1"/>
    <xf numFmtId="164" fontId="81" fillId="13" borderId="1" xfId="81" applyFont="1" applyFill="1" applyBorder="1" applyAlignment="1">
      <alignment horizontal="right"/>
    </xf>
    <xf numFmtId="164" fontId="81" fillId="13" borderId="13" xfId="81" applyFont="1" applyFill="1" applyBorder="1" applyAlignment="1">
      <alignment horizontal="right"/>
    </xf>
    <xf numFmtId="164" fontId="81" fillId="13" borderId="14" xfId="81" applyFont="1" applyFill="1" applyBorder="1" applyAlignment="1">
      <alignment horizontal="right"/>
    </xf>
    <xf numFmtId="164" fontId="81" fillId="13" borderId="15" xfId="81" applyFont="1" applyFill="1" applyBorder="1" applyAlignment="1">
      <alignment horizontal="right"/>
    </xf>
    <xf numFmtId="164" fontId="81" fillId="13" borderId="16" xfId="81" applyFont="1" applyFill="1" applyBorder="1" applyAlignment="1">
      <alignment horizontal="right"/>
    </xf>
    <xf numFmtId="164" fontId="81" fillId="13" borderId="10" xfId="81" applyFont="1" applyFill="1" applyBorder="1" applyAlignment="1">
      <alignment horizontal="right"/>
    </xf>
    <xf numFmtId="164" fontId="81" fillId="0" borderId="11" xfId="81" applyFont="1" applyBorder="1" applyAlignment="1">
      <alignment horizontal="right"/>
    </xf>
    <xf numFmtId="164" fontId="81" fillId="0" borderId="11" xfId="81" applyFont="1" applyBorder="1"/>
    <xf numFmtId="164" fontId="81" fillId="0" borderId="40" xfId="81" applyFont="1" applyBorder="1" applyAlignment="1">
      <alignment horizontal="right"/>
    </xf>
    <xf numFmtId="164" fontId="81" fillId="0" borderId="41" xfId="81" applyFont="1" applyBorder="1" applyAlignment="1">
      <alignment horizontal="right"/>
    </xf>
    <xf numFmtId="164" fontId="81" fillId="0" borderId="42" xfId="81" applyFont="1" applyBorder="1" applyAlignment="1">
      <alignment horizontal="right"/>
    </xf>
    <xf numFmtId="164" fontId="81" fillId="0" borderId="7" xfId="81" applyFont="1" applyBorder="1" applyAlignment="1">
      <alignment horizontal="right"/>
    </xf>
    <xf numFmtId="164" fontId="81" fillId="41" borderId="44" xfId="81" applyFont="1" applyFill="1" applyBorder="1" applyAlignment="1">
      <alignment horizontal="right"/>
    </xf>
    <xf numFmtId="164" fontId="81" fillId="41" borderId="73" xfId="81" applyFont="1" applyFill="1" applyBorder="1"/>
    <xf numFmtId="164" fontId="81" fillId="13" borderId="62" xfId="81" applyFont="1" applyFill="1" applyBorder="1" applyAlignment="1">
      <alignment horizontal="right"/>
    </xf>
    <xf numFmtId="164" fontId="81" fillId="13" borderId="64" xfId="81" applyFont="1" applyFill="1" applyBorder="1" applyAlignment="1">
      <alignment horizontal="right"/>
    </xf>
    <xf numFmtId="164" fontId="81" fillId="13" borderId="63" xfId="81" applyFont="1" applyFill="1" applyBorder="1" applyAlignment="1">
      <alignment horizontal="right"/>
    </xf>
    <xf numFmtId="164" fontId="81" fillId="13" borderId="70" xfId="81" applyFont="1" applyFill="1" applyBorder="1" applyAlignment="1">
      <alignment horizontal="right"/>
    </xf>
    <xf numFmtId="164" fontId="81" fillId="13" borderId="72" xfId="81" applyFont="1" applyFill="1" applyBorder="1" applyAlignment="1">
      <alignment horizontal="right"/>
    </xf>
    <xf numFmtId="164" fontId="81" fillId="13" borderId="34" xfId="81" applyFont="1" applyFill="1" applyBorder="1" applyAlignment="1">
      <alignment horizontal="right"/>
    </xf>
    <xf numFmtId="164" fontId="81" fillId="41" borderId="20" xfId="81" applyFont="1" applyFill="1" applyBorder="1" applyAlignment="1">
      <alignment horizontal="right"/>
    </xf>
    <xf numFmtId="164" fontId="81" fillId="0" borderId="36" xfId="81" applyFont="1" applyFill="1" applyBorder="1" applyAlignment="1">
      <alignment horizontal="right"/>
    </xf>
    <xf numFmtId="164" fontId="81" fillId="0" borderId="24" xfId="81" applyFont="1" applyFill="1" applyBorder="1" applyAlignment="1">
      <alignment horizontal="right"/>
    </xf>
    <xf numFmtId="164" fontId="81" fillId="0" borderId="47" xfId="81" applyFont="1" applyBorder="1" applyAlignment="1">
      <alignment horizontal="right"/>
    </xf>
    <xf numFmtId="164" fontId="81" fillId="0" borderId="55" xfId="81" applyFont="1" applyBorder="1" applyAlignment="1">
      <alignment horizontal="right"/>
    </xf>
    <xf numFmtId="164" fontId="81" fillId="0" borderId="49" xfId="81" applyFont="1" applyBorder="1" applyAlignment="1">
      <alignment horizontal="right"/>
    </xf>
    <xf numFmtId="164" fontId="81" fillId="0" borderId="66" xfId="81" applyFont="1" applyBorder="1" applyAlignment="1">
      <alignment horizontal="right"/>
    </xf>
    <xf numFmtId="164" fontId="81" fillId="0" borderId="37" xfId="81" applyFont="1" applyFill="1" applyBorder="1" applyAlignment="1">
      <alignment horizontal="right"/>
    </xf>
    <xf numFmtId="164" fontId="81" fillId="0" borderId="30" xfId="81" applyFont="1" applyFill="1" applyBorder="1" applyAlignment="1">
      <alignment horizontal="right"/>
    </xf>
    <xf numFmtId="0" fontId="81" fillId="0" borderId="58" xfId="81" applyNumberFormat="1" applyFont="1" applyFill="1" applyBorder="1" applyAlignment="1">
      <alignment horizontal="right"/>
    </xf>
    <xf numFmtId="164" fontId="81" fillId="13" borderId="77" xfId="81" applyFont="1" applyFill="1" applyBorder="1" applyAlignment="1">
      <alignment horizontal="right"/>
    </xf>
    <xf numFmtId="164" fontId="81" fillId="0" borderId="74" xfId="81" applyFont="1" applyFill="1" applyBorder="1" applyAlignment="1">
      <alignment horizontal="right"/>
    </xf>
    <xf numFmtId="164" fontId="81" fillId="0" borderId="63" xfId="81" applyFont="1" applyFill="1" applyBorder="1" applyAlignment="1">
      <alignment horizontal="right"/>
    </xf>
    <xf numFmtId="164" fontId="81" fillId="0" borderId="70" xfId="81" applyFont="1" applyBorder="1" applyAlignment="1">
      <alignment horizontal="right"/>
    </xf>
    <xf numFmtId="164" fontId="81" fillId="0" borderId="64" xfId="81" applyFont="1" applyBorder="1" applyAlignment="1">
      <alignment horizontal="right"/>
    </xf>
    <xf numFmtId="164" fontId="81" fillId="0" borderId="72" xfId="81" applyFont="1" applyBorder="1" applyAlignment="1">
      <alignment horizontal="right"/>
    </xf>
    <xf numFmtId="164" fontId="81" fillId="0" borderId="20" xfId="81" applyFont="1" applyBorder="1" applyAlignment="1">
      <alignment horizontal="right"/>
    </xf>
    <xf numFmtId="164" fontId="81" fillId="0" borderId="63" xfId="81" applyFont="1" applyBorder="1" applyAlignment="1">
      <alignment horizontal="right"/>
    </xf>
    <xf numFmtId="164" fontId="81" fillId="0" borderId="70" xfId="81" applyFont="1" applyFill="1" applyBorder="1" applyAlignment="1">
      <alignment horizontal="right"/>
    </xf>
    <xf numFmtId="164" fontId="81" fillId="0" borderId="64" xfId="81" applyFont="1" applyFill="1" applyBorder="1" applyAlignment="1">
      <alignment horizontal="right"/>
    </xf>
    <xf numFmtId="164" fontId="81" fillId="9" borderId="70" xfId="81" applyFont="1" applyFill="1" applyBorder="1" applyAlignment="1">
      <alignment horizontal="right"/>
    </xf>
    <xf numFmtId="164" fontId="81" fillId="9" borderId="64" xfId="81" applyFont="1" applyFill="1" applyBorder="1" applyAlignment="1">
      <alignment horizontal="right"/>
    </xf>
    <xf numFmtId="164" fontId="81" fillId="2" borderId="63" xfId="81" applyFont="1" applyFill="1" applyBorder="1" applyAlignment="1">
      <alignment horizontal="right"/>
    </xf>
    <xf numFmtId="164" fontId="81" fillId="41" borderId="24" xfId="81" applyFont="1" applyFill="1" applyBorder="1" applyAlignment="1">
      <alignment horizontal="right"/>
    </xf>
    <xf numFmtId="164" fontId="81" fillId="41" borderId="24" xfId="81" applyFont="1" applyFill="1" applyBorder="1"/>
    <xf numFmtId="164" fontId="81" fillId="0" borderId="21" xfId="81" applyFont="1" applyFill="1" applyBorder="1" applyAlignment="1">
      <alignment horizontal="right"/>
    </xf>
    <xf numFmtId="164" fontId="81" fillId="0" borderId="22" xfId="81" applyFont="1" applyFill="1" applyBorder="1" applyAlignment="1">
      <alignment horizontal="right"/>
    </xf>
    <xf numFmtId="164" fontId="81" fillId="0" borderId="47" xfId="81" applyFont="1" applyFill="1" applyBorder="1" applyAlignment="1">
      <alignment horizontal="right"/>
    </xf>
    <xf numFmtId="164" fontId="81" fillId="9" borderId="47" xfId="81" applyFont="1" applyFill="1" applyBorder="1" applyAlignment="1">
      <alignment horizontal="right"/>
    </xf>
    <xf numFmtId="164" fontId="81" fillId="9" borderId="22" xfId="81" applyFont="1" applyFill="1" applyBorder="1" applyAlignment="1">
      <alignment horizontal="right"/>
    </xf>
    <xf numFmtId="164" fontId="81" fillId="0" borderId="0" xfId="81" applyFont="1" applyFill="1" applyBorder="1" applyAlignment="1">
      <alignment horizontal="right"/>
    </xf>
    <xf numFmtId="164" fontId="81" fillId="0" borderId="49" xfId="81" applyFont="1" applyFill="1" applyBorder="1" applyAlignment="1">
      <alignment horizontal="right"/>
    </xf>
    <xf numFmtId="164" fontId="81" fillId="0" borderId="32" xfId="81" applyFont="1" applyFill="1" applyBorder="1" applyAlignment="1">
      <alignment horizontal="right"/>
    </xf>
    <xf numFmtId="164" fontId="81" fillId="9" borderId="49" xfId="81" applyFont="1" applyFill="1" applyBorder="1" applyAlignment="1">
      <alignment horizontal="right"/>
    </xf>
    <xf numFmtId="164" fontId="81" fillId="9" borderId="32" xfId="81" applyFont="1" applyFill="1" applyBorder="1" applyAlignment="1">
      <alignment horizontal="right"/>
    </xf>
    <xf numFmtId="164" fontId="81" fillId="2" borderId="33" xfId="81" applyFont="1" applyFill="1" applyBorder="1" applyAlignment="1">
      <alignment horizontal="right"/>
    </xf>
    <xf numFmtId="164" fontId="81" fillId="0" borderId="53" xfId="81" applyFont="1" applyBorder="1"/>
    <xf numFmtId="164" fontId="81" fillId="0" borderId="53" xfId="81" applyFont="1" applyFill="1" applyBorder="1" applyAlignment="1">
      <alignment horizontal="right"/>
    </xf>
    <xf numFmtId="164" fontId="81" fillId="0" borderId="54" xfId="81" applyFont="1" applyFill="1" applyBorder="1" applyAlignment="1">
      <alignment horizontal="right"/>
    </xf>
    <xf numFmtId="164" fontId="81" fillId="0" borderId="60" xfId="81" applyFont="1" applyFill="1" applyBorder="1" applyAlignment="1">
      <alignment horizontal="right"/>
    </xf>
    <xf numFmtId="164" fontId="81" fillId="0" borderId="53" xfId="81" applyFont="1" applyBorder="1" applyAlignment="1">
      <alignment horizontal="right"/>
    </xf>
    <xf numFmtId="164" fontId="81" fillId="0" borderId="54" xfId="81" applyFont="1" applyBorder="1" applyAlignment="1">
      <alignment horizontal="right"/>
    </xf>
    <xf numFmtId="164" fontId="81" fillId="0" borderId="61" xfId="81" applyFont="1" applyBorder="1" applyAlignment="1">
      <alignment horizontal="right"/>
    </xf>
    <xf numFmtId="164" fontId="81" fillId="0" borderId="73" xfId="81" applyFont="1" applyBorder="1" applyAlignment="1">
      <alignment horizontal="right"/>
    </xf>
    <xf numFmtId="164" fontId="81" fillId="0" borderId="80" xfId="81" applyFont="1" applyBorder="1" applyAlignment="1">
      <alignment horizontal="right"/>
    </xf>
    <xf numFmtId="164" fontId="81" fillId="0" borderId="60" xfId="81" applyFont="1" applyBorder="1" applyAlignment="1">
      <alignment horizontal="right"/>
    </xf>
    <xf numFmtId="164" fontId="81" fillId="0" borderId="80" xfId="81" applyFont="1" applyFill="1" applyBorder="1" applyAlignment="1">
      <alignment horizontal="right"/>
    </xf>
    <xf numFmtId="164" fontId="81" fillId="0" borderId="13" xfId="81" applyFont="1" applyFill="1" applyBorder="1" applyAlignment="1">
      <alignment horizontal="right"/>
    </xf>
    <xf numFmtId="164" fontId="81" fillId="9" borderId="80" xfId="81" applyFont="1" applyFill="1" applyBorder="1" applyAlignment="1">
      <alignment horizontal="right"/>
    </xf>
    <xf numFmtId="164" fontId="81" fillId="9" borderId="54" xfId="81" applyFont="1" applyFill="1" applyBorder="1" applyAlignment="1">
      <alignment horizontal="right"/>
    </xf>
    <xf numFmtId="164" fontId="81" fillId="2" borderId="60" xfId="81" applyFont="1" applyFill="1" applyBorder="1" applyAlignment="1">
      <alignment horizontal="right"/>
    </xf>
    <xf numFmtId="164" fontId="81" fillId="0" borderId="73" xfId="81" applyFont="1" applyFill="1" applyBorder="1" applyAlignment="1">
      <alignment horizontal="right"/>
    </xf>
    <xf numFmtId="164" fontId="81" fillId="0" borderId="73" xfId="81" applyFont="1" applyBorder="1"/>
    <xf numFmtId="164" fontId="81" fillId="0" borderId="62" xfId="81" applyFont="1" applyBorder="1" applyAlignment="1">
      <alignment horizontal="right"/>
    </xf>
    <xf numFmtId="164" fontId="81" fillId="0" borderId="34" xfId="81" applyFont="1" applyFill="1" applyBorder="1" applyAlignment="1">
      <alignment horizontal="right"/>
    </xf>
    <xf numFmtId="164" fontId="81" fillId="0" borderId="35" xfId="81" applyFont="1" applyFill="1" applyBorder="1" applyAlignment="1">
      <alignment horizontal="right"/>
    </xf>
    <xf numFmtId="164" fontId="81" fillId="0" borderId="25" xfId="81" applyFont="1" applyBorder="1" applyAlignment="1">
      <alignment horizontal="right"/>
    </xf>
    <xf numFmtId="164" fontId="81" fillId="0" borderId="25" xfId="81" applyFont="1" applyFill="1" applyBorder="1" applyAlignment="1">
      <alignment horizontal="right"/>
    </xf>
    <xf numFmtId="0" fontId="81" fillId="9" borderId="47" xfId="81" applyNumberFormat="1" applyFont="1" applyFill="1" applyBorder="1" applyAlignment="1">
      <alignment horizontal="right"/>
    </xf>
    <xf numFmtId="0" fontId="81" fillId="9" borderId="22" xfId="81" applyNumberFormat="1" applyFont="1" applyFill="1" applyBorder="1" applyAlignment="1">
      <alignment horizontal="right"/>
    </xf>
    <xf numFmtId="0" fontId="81" fillId="2" borderId="23" xfId="81" applyNumberFormat="1" applyFont="1" applyFill="1" applyBorder="1" applyAlignment="1">
      <alignment horizontal="right"/>
    </xf>
    <xf numFmtId="164" fontId="81" fillId="0" borderId="38" xfId="81" applyFont="1" applyBorder="1" applyAlignment="1">
      <alignment horizontal="right"/>
    </xf>
    <xf numFmtId="164" fontId="81" fillId="0" borderId="38" xfId="81" applyFont="1" applyFill="1" applyBorder="1" applyAlignment="1">
      <alignment horizontal="right"/>
    </xf>
    <xf numFmtId="164" fontId="81" fillId="0" borderId="54" xfId="81" applyFont="1" applyFill="1" applyBorder="1"/>
    <xf numFmtId="164" fontId="81" fillId="0" borderId="62" xfId="81" applyFont="1" applyFill="1" applyBorder="1" applyAlignment="1">
      <alignment horizontal="right"/>
    </xf>
    <xf numFmtId="164" fontId="81" fillId="0" borderId="31" xfId="81" applyFont="1" applyFill="1" applyBorder="1" applyAlignment="1">
      <alignment horizontal="right"/>
    </xf>
    <xf numFmtId="164" fontId="81" fillId="0" borderId="44" xfId="81" applyFont="1" applyFill="1" applyBorder="1" applyAlignment="1">
      <alignment horizontal="right"/>
    </xf>
    <xf numFmtId="164" fontId="81" fillId="0" borderId="44" xfId="81" applyFont="1" applyBorder="1"/>
    <xf numFmtId="164" fontId="81" fillId="13" borderId="11" xfId="81" applyFont="1" applyFill="1" applyBorder="1" applyAlignment="1">
      <alignment horizontal="right"/>
    </xf>
    <xf numFmtId="164" fontId="81" fillId="0" borderId="52" xfId="81" applyFont="1" applyBorder="1" applyAlignment="1">
      <alignment horizontal="right"/>
    </xf>
    <xf numFmtId="164" fontId="81" fillId="0" borderId="59" xfId="81" applyFont="1" applyBorder="1" applyAlignment="1">
      <alignment horizontal="right"/>
    </xf>
    <xf numFmtId="164" fontId="81" fillId="0" borderId="74" xfId="81" applyFont="1" applyFill="1" applyBorder="1"/>
    <xf numFmtId="164" fontId="81" fillId="13" borderId="20" xfId="81" applyFont="1" applyFill="1" applyBorder="1" applyAlignment="1">
      <alignment horizontal="right"/>
    </xf>
    <xf numFmtId="164" fontId="81" fillId="41" borderId="20" xfId="81" applyFont="1" applyFill="1" applyBorder="1"/>
    <xf numFmtId="164" fontId="81" fillId="0" borderId="9" xfId="81" applyFont="1" applyBorder="1" applyAlignment="1">
      <alignment horizontal="right"/>
    </xf>
    <xf numFmtId="164" fontId="81" fillId="0" borderId="16" xfId="81" applyFont="1" applyBorder="1" applyAlignment="1">
      <alignment horizontal="right"/>
    </xf>
    <xf numFmtId="164" fontId="81" fillId="0" borderId="17" xfId="81" applyFont="1" applyBorder="1" applyAlignment="1">
      <alignment horizontal="right"/>
    </xf>
    <xf numFmtId="164" fontId="81" fillId="0" borderId="81" xfId="81" applyFont="1" applyBorder="1" applyAlignment="1">
      <alignment horizontal="right"/>
    </xf>
    <xf numFmtId="164" fontId="81" fillId="0" borderId="18" xfId="81" applyFont="1" applyBorder="1" applyAlignment="1">
      <alignment horizontal="right"/>
    </xf>
    <xf numFmtId="164" fontId="81" fillId="0" borderId="65" xfId="81" applyFont="1" applyBorder="1" applyAlignment="1">
      <alignment horizontal="right"/>
    </xf>
    <xf numFmtId="164" fontId="81" fillId="0" borderId="19" xfId="81" applyFont="1" applyBorder="1" applyAlignment="1">
      <alignment horizontal="right"/>
    </xf>
    <xf numFmtId="164" fontId="81" fillId="0" borderId="20" xfId="81" applyFont="1" applyFill="1" applyBorder="1" applyAlignment="1">
      <alignment horizontal="right"/>
    </xf>
    <xf numFmtId="164" fontId="81" fillId="0" borderId="35" xfId="81" applyFont="1" applyFill="1" applyBorder="1"/>
    <xf numFmtId="164" fontId="81" fillId="0" borderId="56" xfId="81" applyFont="1" applyBorder="1" applyAlignment="1">
      <alignment horizontal="right"/>
    </xf>
    <xf numFmtId="164" fontId="81" fillId="0" borderId="25" xfId="81" applyFont="1" applyBorder="1"/>
    <xf numFmtId="164" fontId="81" fillId="0" borderId="57" xfId="81" applyFont="1" applyBorder="1" applyAlignment="1">
      <alignment horizontal="right"/>
    </xf>
    <xf numFmtId="164" fontId="81" fillId="0" borderId="38" xfId="81" applyFont="1" applyBorder="1"/>
    <xf numFmtId="164" fontId="81" fillId="0" borderId="0" xfId="81" applyFont="1" applyBorder="1" applyAlignment="1">
      <alignment horizontal="left" indent="2"/>
    </xf>
    <xf numFmtId="164" fontId="81" fillId="0" borderId="0" xfId="81" applyFont="1" applyBorder="1"/>
    <xf numFmtId="4" fontId="18" fillId="0" borderId="149" xfId="78" applyNumberFormat="1" applyFont="1" applyBorder="1" applyAlignment="1">
      <alignment horizontal="right"/>
    </xf>
    <xf numFmtId="4" fontId="18" fillId="0" borderId="135" xfId="78" applyNumberFormat="1" applyFont="1" applyBorder="1" applyAlignment="1">
      <alignment horizontal="right"/>
    </xf>
    <xf numFmtId="4" fontId="18" fillId="0" borderId="144" xfId="78" applyNumberFormat="1" applyFont="1" applyBorder="1" applyAlignment="1">
      <alignment horizontal="right"/>
    </xf>
    <xf numFmtId="4" fontId="18" fillId="9" borderId="149" xfId="78" applyNumberFormat="1" applyFont="1" applyFill="1" applyBorder="1" applyAlignment="1">
      <alignment horizontal="right"/>
    </xf>
    <xf numFmtId="4" fontId="18" fillId="9" borderId="135" xfId="78" applyNumberFormat="1" applyFont="1" applyFill="1" applyBorder="1" applyAlignment="1">
      <alignment horizontal="right"/>
    </xf>
    <xf numFmtId="4" fontId="18" fillId="9" borderId="144" xfId="78" applyNumberFormat="1" applyFont="1" applyFill="1" applyBorder="1" applyAlignment="1">
      <alignment horizontal="right"/>
    </xf>
    <xf numFmtId="4" fontId="18" fillId="0" borderId="134" xfId="78" applyNumberFormat="1" applyFont="1" applyBorder="1" applyAlignment="1">
      <alignment horizontal="right"/>
    </xf>
    <xf numFmtId="4" fontId="18" fillId="0" borderId="145" xfId="78" applyNumberFormat="1" applyFont="1" applyBorder="1" applyAlignment="1">
      <alignment horizontal="right"/>
    </xf>
    <xf numFmtId="4" fontId="18" fillId="0" borderId="143" xfId="78" applyNumberFormat="1" applyFont="1" applyBorder="1" applyAlignment="1">
      <alignment horizontal="right"/>
    </xf>
    <xf numFmtId="0" fontId="52" fillId="9" borderId="12" xfId="81" applyNumberFormat="1" applyFont="1" applyFill="1" applyBorder="1" applyAlignment="1">
      <alignment horizontal="center" vertical="center" wrapText="1"/>
    </xf>
    <xf numFmtId="0" fontId="52" fillId="9" borderId="13" xfId="81" applyNumberFormat="1" applyFont="1" applyFill="1" applyBorder="1" applyAlignment="1">
      <alignment horizontal="center" vertical="center" wrapText="1"/>
    </xf>
    <xf numFmtId="4" fontId="18" fillId="0" borderId="62" xfId="78" applyNumberFormat="1" applyFont="1" applyBorder="1" applyAlignment="1">
      <alignment horizontal="right"/>
    </xf>
    <xf numFmtId="4" fontId="18" fillId="0" borderId="64" xfId="78" applyNumberFormat="1" applyFont="1" applyBorder="1" applyAlignment="1">
      <alignment horizontal="right"/>
    </xf>
    <xf numFmtId="4" fontId="18" fillId="0" borderId="63" xfId="78" applyNumberFormat="1" applyFont="1" applyBorder="1" applyAlignment="1">
      <alignment horizontal="right"/>
    </xf>
    <xf numFmtId="4" fontId="18" fillId="41" borderId="149" xfId="78" applyNumberFormat="1" applyFont="1" applyFill="1" applyBorder="1" applyAlignment="1">
      <alignment horizontal="right"/>
    </xf>
    <xf numFmtId="4" fontId="18" fillId="41" borderId="135" xfId="78" applyNumberFormat="1" applyFont="1" applyFill="1" applyBorder="1" applyAlignment="1">
      <alignment horizontal="right"/>
    </xf>
    <xf numFmtId="4" fontId="18" fillId="41" borderId="144" xfId="78" applyNumberFormat="1" applyFont="1" applyFill="1" applyBorder="1" applyAlignment="1">
      <alignment horizontal="right"/>
    </xf>
    <xf numFmtId="164" fontId="81" fillId="0" borderId="8" xfId="81" applyFont="1" applyFill="1" applyBorder="1" applyAlignment="1">
      <alignment horizontal="right"/>
    </xf>
    <xf numFmtId="164" fontId="81" fillId="0" borderId="44" xfId="81" applyFont="1" applyFill="1" applyBorder="1"/>
    <xf numFmtId="3" fontId="81" fillId="11" borderId="24" xfId="78" applyNumberFormat="1" applyFont="1" applyFill="1" applyBorder="1" applyAlignment="1">
      <alignment horizontal="right"/>
    </xf>
    <xf numFmtId="3" fontId="81" fillId="11" borderId="28" xfId="78" applyNumberFormat="1" applyFont="1" applyFill="1" applyBorder="1" applyAlignment="1">
      <alignment horizontal="right"/>
    </xf>
    <xf numFmtId="3" fontId="81" fillId="11" borderId="30" xfId="78" applyNumberFormat="1" applyFont="1" applyFill="1" applyBorder="1" applyAlignment="1">
      <alignment horizontal="right"/>
    </xf>
    <xf numFmtId="185" fontId="81" fillId="2" borderId="58" xfId="78" applyNumberFormat="1" applyFont="1" applyFill="1" applyBorder="1" applyAlignment="1">
      <alignment horizontal="right"/>
    </xf>
    <xf numFmtId="182" fontId="81" fillId="2" borderId="59" xfId="78" applyNumberFormat="1" applyFont="1" applyFill="1" applyBorder="1" applyAlignment="1">
      <alignment horizontal="right"/>
    </xf>
    <xf numFmtId="2" fontId="16" fillId="11" borderId="34" xfId="78" applyNumberFormat="1" applyFont="1" applyFill="1" applyBorder="1"/>
    <xf numFmtId="2" fontId="16" fillId="11" borderId="37" xfId="78" applyNumberFormat="1" applyFont="1" applyFill="1" applyBorder="1"/>
    <xf numFmtId="2" fontId="18" fillId="11" borderId="34" xfId="78" applyNumberFormat="1" applyFont="1" applyFill="1" applyBorder="1"/>
    <xf numFmtId="2" fontId="18" fillId="11" borderId="37" xfId="78" applyNumberFormat="1" applyFont="1" applyFill="1" applyBorder="1"/>
    <xf numFmtId="3" fontId="10" fillId="41" borderId="17" xfId="78" applyNumberFormat="1" applyFont="1" applyFill="1" applyBorder="1" applyAlignment="1">
      <alignment vertical="center"/>
    </xf>
    <xf numFmtId="0" fontId="23" fillId="11" borderId="22" xfId="78" applyFill="1" applyBorder="1"/>
    <xf numFmtId="3" fontId="23" fillId="2" borderId="64" xfId="78" applyNumberFormat="1" applyFill="1" applyBorder="1"/>
    <xf numFmtId="3" fontId="18" fillId="2" borderId="64" xfId="78" applyNumberFormat="1" applyFont="1" applyFill="1" applyBorder="1"/>
    <xf numFmtId="0" fontId="18" fillId="11" borderId="22" xfId="78" applyFont="1" applyFill="1" applyBorder="1"/>
    <xf numFmtId="4" fontId="18" fillId="11" borderId="127" xfId="78" applyNumberFormat="1" applyFont="1" applyFill="1" applyBorder="1" applyAlignment="1">
      <alignment horizontal="right"/>
    </xf>
    <xf numFmtId="3" fontId="9" fillId="11" borderId="226" xfId="148" applyBorder="1"/>
    <xf numFmtId="0" fontId="92" fillId="0" borderId="10" xfId="3" applyFont="1" applyBorder="1"/>
    <xf numFmtId="0" fontId="92" fillId="0" borderId="12" xfId="3" applyFont="1" applyBorder="1"/>
    <xf numFmtId="0" fontId="195" fillId="0" borderId="72" xfId="43" applyFont="1" applyBorder="1"/>
    <xf numFmtId="0" fontId="235" fillId="0" borderId="34" xfId="3" applyFont="1" applyBorder="1"/>
    <xf numFmtId="0" fontId="225" fillId="0" borderId="34" xfId="3" applyFont="1" applyBorder="1"/>
    <xf numFmtId="0" fontId="92" fillId="0" borderId="34" xfId="3" applyFont="1" applyBorder="1"/>
    <xf numFmtId="0" fontId="92" fillId="0" borderId="4" xfId="3" applyFont="1" applyBorder="1" applyAlignment="1">
      <alignment vertical="center"/>
    </xf>
    <xf numFmtId="0" fontId="92" fillId="0" borderId="6" xfId="3" applyFont="1" applyBorder="1" applyAlignment="1">
      <alignment vertical="center"/>
    </xf>
    <xf numFmtId="0" fontId="195" fillId="0" borderId="153" xfId="43" applyFont="1" applyBorder="1"/>
    <xf numFmtId="0" fontId="235" fillId="0" borderId="199" xfId="3" applyFont="1" applyBorder="1"/>
    <xf numFmtId="0" fontId="225" fillId="0" borderId="199" xfId="3" applyFont="1" applyBorder="1"/>
    <xf numFmtId="0" fontId="92" fillId="0" borderId="199" xfId="3" applyFont="1" applyBorder="1"/>
    <xf numFmtId="0" fontId="92" fillId="0" borderId="237" xfId="3" applyFont="1" applyBorder="1"/>
    <xf numFmtId="0" fontId="225" fillId="0" borderId="137" xfId="3" applyFont="1" applyBorder="1"/>
    <xf numFmtId="0" fontId="227" fillId="0" borderId="72" xfId="43" applyFont="1" applyBorder="1"/>
    <xf numFmtId="0" fontId="234" fillId="0" borderId="34" xfId="3" applyFont="1" applyBorder="1"/>
    <xf numFmtId="0" fontId="227" fillId="0" borderId="141" xfId="43" applyFont="1" applyBorder="1"/>
    <xf numFmtId="0" fontId="234" fillId="0" borderId="137" xfId="3" applyFont="1" applyBorder="1"/>
    <xf numFmtId="0" fontId="93" fillId="0" borderId="137" xfId="3" applyFont="1" applyBorder="1"/>
    <xf numFmtId="0" fontId="227" fillId="0" borderId="153" xfId="43" applyFont="1" applyBorder="1"/>
    <xf numFmtId="0" fontId="234" fillId="0" borderId="199" xfId="3" applyFont="1" applyBorder="1"/>
    <xf numFmtId="0" fontId="92" fillId="0" borderId="2" xfId="3" applyFont="1" applyBorder="1"/>
    <xf numFmtId="0" fontId="224" fillId="0" borderId="72" xfId="43" applyFont="1" applyBorder="1"/>
    <xf numFmtId="0" fontId="224" fillId="0" borderId="141" xfId="43" applyFont="1" applyBorder="1"/>
    <xf numFmtId="0" fontId="224" fillId="0" borderId="153" xfId="43" applyFont="1" applyBorder="1"/>
    <xf numFmtId="0" fontId="92" fillId="0" borderId="4" xfId="3" applyFont="1" applyBorder="1"/>
    <xf numFmtId="0" fontId="265" fillId="0" borderId="141" xfId="43" applyFont="1" applyBorder="1"/>
    <xf numFmtId="0" fontId="193" fillId="0" borderId="141" xfId="43" applyFont="1" applyBorder="1"/>
    <xf numFmtId="0" fontId="92" fillId="0" borderId="6" xfId="3" applyFont="1" applyBorder="1"/>
    <xf numFmtId="0" fontId="193" fillId="0" borderId="153" xfId="43" applyFont="1" applyBorder="1"/>
    <xf numFmtId="0" fontId="92" fillId="0" borderId="9" xfId="3" applyFont="1" applyBorder="1" applyAlignment="1">
      <alignment vertical="center"/>
    </xf>
    <xf numFmtId="0" fontId="92" fillId="0" borderId="9" xfId="3" applyFont="1" applyBorder="1"/>
    <xf numFmtId="0" fontId="192" fillId="0" borderId="72" xfId="43" applyFont="1" applyBorder="1"/>
    <xf numFmtId="0" fontId="192" fillId="0" borderId="236" xfId="43" applyFont="1" applyBorder="1"/>
    <xf numFmtId="0" fontId="193" fillId="0" borderId="65" xfId="43" applyFont="1" applyBorder="1"/>
    <xf numFmtId="0" fontId="194" fillId="0" borderId="16" xfId="43" applyFont="1" applyBorder="1"/>
    <xf numFmtId="0" fontId="193" fillId="0" borderId="16" xfId="43" applyFont="1" applyBorder="1"/>
    <xf numFmtId="0" fontId="236" fillId="0" borderId="34" xfId="3" applyFont="1" applyBorder="1"/>
    <xf numFmtId="0" fontId="236" fillId="0" borderId="137" xfId="3" applyFont="1" applyBorder="1"/>
    <xf numFmtId="0" fontId="236" fillId="0" borderId="199" xfId="3" applyFont="1" applyBorder="1"/>
    <xf numFmtId="0" fontId="237" fillId="0" borderId="72" xfId="43" applyFont="1" applyBorder="1"/>
    <xf numFmtId="0" fontId="238" fillId="0" borderId="34" xfId="3" applyFont="1" applyBorder="1"/>
    <xf numFmtId="0" fontId="237" fillId="0" borderId="141" xfId="43" applyFont="1" applyBorder="1"/>
    <xf numFmtId="0" fontId="238" fillId="0" borderId="137" xfId="3" applyFont="1" applyBorder="1"/>
    <xf numFmtId="0" fontId="237" fillId="0" borderId="153" xfId="43" applyFont="1" applyBorder="1"/>
    <xf numFmtId="0" fontId="238" fillId="0" borderId="199" xfId="3" applyFont="1" applyBorder="1"/>
    <xf numFmtId="0" fontId="239" fillId="0" borderId="34" xfId="3" applyFont="1" applyBorder="1"/>
    <xf numFmtId="0" fontId="239" fillId="0" borderId="137" xfId="3" applyFont="1" applyBorder="1"/>
    <xf numFmtId="0" fontId="240" fillId="0" borderId="153" xfId="43" applyFont="1" applyBorder="1"/>
    <xf numFmtId="0" fontId="239" fillId="0" borderId="199" xfId="3" applyFont="1" applyBorder="1"/>
    <xf numFmtId="0" fontId="241" fillId="0" borderId="72" xfId="43" applyFont="1" applyBorder="1"/>
    <xf numFmtId="0" fontId="241" fillId="0" borderId="141" xfId="43" applyFont="1" applyBorder="1"/>
    <xf numFmtId="0" fontId="197" fillId="0" borderId="72" xfId="43" applyFont="1" applyBorder="1"/>
    <xf numFmtId="0" fontId="197" fillId="0" borderId="141" xfId="43" applyFont="1" applyBorder="1"/>
    <xf numFmtId="0" fontId="201" fillId="0" borderId="137" xfId="3" applyFont="1" applyBorder="1"/>
    <xf numFmtId="0" fontId="272" fillId="0" borderId="141" xfId="43" applyFont="1" applyBorder="1"/>
    <xf numFmtId="0" fontId="202" fillId="0" borderId="137" xfId="3" applyFont="1" applyBorder="1"/>
    <xf numFmtId="0" fontId="196" fillId="0" borderId="141" xfId="43" applyFont="1" applyBorder="1"/>
    <xf numFmtId="0" fontId="203" fillId="0" borderId="137" xfId="3" applyFont="1" applyBorder="1"/>
    <xf numFmtId="0" fontId="198" fillId="0" borderId="141" xfId="43" applyFont="1" applyBorder="1"/>
    <xf numFmtId="0" fontId="198" fillId="0" borderId="153" xfId="43" applyFont="1" applyBorder="1"/>
    <xf numFmtId="0" fontId="203" fillId="0" borderId="199" xfId="3" applyFont="1" applyBorder="1"/>
    <xf numFmtId="0" fontId="199" fillId="0" borderId="72" xfId="43" applyFont="1" applyBorder="1"/>
    <xf numFmtId="0" fontId="199" fillId="0" borderId="141" xfId="43" applyFont="1" applyBorder="1"/>
    <xf numFmtId="0" fontId="199" fillId="0" borderId="153" xfId="43" applyFont="1" applyBorder="1"/>
    <xf numFmtId="0" fontId="199" fillId="0" borderId="16" xfId="43" applyFont="1" applyBorder="1"/>
    <xf numFmtId="0" fontId="92" fillId="0" borderId="35" xfId="3" applyFont="1" applyBorder="1"/>
    <xf numFmtId="0" fontId="92" fillId="0" borderId="238" xfId="3" applyFont="1" applyBorder="1"/>
    <xf numFmtId="0" fontId="92" fillId="0" borderId="78" xfId="3" applyFont="1" applyBorder="1"/>
    <xf numFmtId="0" fontId="92" fillId="0" borderId="152" xfId="3" applyFont="1" applyBorder="1"/>
    <xf numFmtId="0" fontId="92" fillId="0" borderId="154" xfId="3" applyFont="1" applyBorder="1"/>
    <xf numFmtId="0" fontId="93" fillId="0" borderId="152" xfId="3" applyFont="1" applyBorder="1"/>
    <xf numFmtId="0" fontId="195" fillId="0" borderId="141" xfId="43" applyFont="1" applyBorder="1"/>
    <xf numFmtId="0" fontId="235" fillId="0" borderId="137" xfId="3" applyFont="1" applyBorder="1"/>
    <xf numFmtId="0" fontId="203" fillId="0" borderId="152" xfId="3" applyFont="1" applyBorder="1"/>
    <xf numFmtId="0" fontId="203" fillId="0" borderId="154" xfId="3" applyFont="1" applyBorder="1"/>
    <xf numFmtId="3" fontId="9" fillId="11" borderId="135" xfId="148" applyBorder="1"/>
    <xf numFmtId="3" fontId="9" fillId="11" borderId="64" xfId="148" applyBorder="1"/>
    <xf numFmtId="3" fontId="18" fillId="0" borderId="63" xfId="36" applyNumberFormat="1" applyFont="1" applyBorder="1"/>
    <xf numFmtId="0" fontId="18" fillId="0" borderId="149" xfId="36" applyFont="1" applyBorder="1"/>
    <xf numFmtId="4" fontId="18" fillId="0" borderId="135" xfId="36" applyNumberFormat="1" applyFont="1" applyBorder="1"/>
    <xf numFmtId="2" fontId="18" fillId="0" borderId="135" xfId="36" applyNumberFormat="1" applyFont="1" applyBorder="1"/>
    <xf numFmtId="3" fontId="18" fillId="0" borderId="135" xfId="36" applyNumberFormat="1" applyFont="1" applyBorder="1"/>
    <xf numFmtId="0" fontId="18" fillId="0" borderId="135" xfId="36" applyFont="1" applyBorder="1" applyAlignment="1">
      <alignment horizontal="center"/>
    </xf>
    <xf numFmtId="0" fontId="18" fillId="0" borderId="135" xfId="36" applyFont="1" applyBorder="1"/>
    <xf numFmtId="3" fontId="18" fillId="0" borderId="144" xfId="36" applyNumberFormat="1" applyFont="1" applyBorder="1"/>
    <xf numFmtId="4" fontId="18" fillId="0" borderId="135" xfId="36" applyNumberFormat="1" applyFont="1" applyBorder="1" applyAlignment="1">
      <alignment horizontal="right"/>
    </xf>
    <xf numFmtId="3" fontId="18" fillId="0" borderId="144" xfId="36" applyNumberFormat="1" applyFont="1" applyBorder="1" applyAlignment="1">
      <alignment horizontal="right"/>
    </xf>
    <xf numFmtId="166" fontId="18" fillId="0" borderId="149" xfId="36" applyNumberFormat="1" applyFont="1" applyBorder="1"/>
    <xf numFmtId="4" fontId="18" fillId="0" borderId="134" xfId="36" applyNumberFormat="1" applyFont="1" applyBorder="1"/>
    <xf numFmtId="2" fontId="18" fillId="0" borderId="134" xfId="36" applyNumberFormat="1" applyFont="1" applyBorder="1"/>
    <xf numFmtId="3" fontId="18" fillId="0" borderId="134" xfId="36" applyNumberFormat="1" applyFont="1" applyBorder="1"/>
    <xf numFmtId="3" fontId="9" fillId="11" borderId="134" xfId="148" applyBorder="1"/>
    <xf numFmtId="0" fontId="18" fillId="0" borderId="134" xfId="36" applyFont="1" applyBorder="1" applyAlignment="1">
      <alignment horizontal="center"/>
    </xf>
    <xf numFmtId="0" fontId="18" fillId="0" borderId="134" xfId="36" applyFont="1" applyBorder="1"/>
    <xf numFmtId="3" fontId="18" fillId="0" borderId="145" xfId="36" applyNumberFormat="1" applyFont="1" applyBorder="1"/>
    <xf numFmtId="0" fontId="18" fillId="0" borderId="9" xfId="36" applyFont="1" applyBorder="1" applyAlignment="1">
      <alignment horizontal="left" vertical="center" wrapText="1"/>
    </xf>
    <xf numFmtId="3" fontId="9" fillId="11" borderId="13" xfId="148" applyBorder="1"/>
    <xf numFmtId="0" fontId="18" fillId="0" borderId="9" xfId="36" applyFont="1" applyBorder="1"/>
    <xf numFmtId="10" fontId="18" fillId="0" borderId="16" xfId="36" applyNumberFormat="1" applyFont="1" applyBorder="1"/>
    <xf numFmtId="4" fontId="24" fillId="0" borderId="13" xfId="75" applyNumberFormat="1" applyBorder="1" applyAlignment="1">
      <alignment horizontal="right"/>
    </xf>
    <xf numFmtId="3" fontId="24" fillId="41" borderId="13" xfId="75" applyNumberFormat="1" applyFill="1" applyBorder="1"/>
    <xf numFmtId="3" fontId="24" fillId="41" borderId="12" xfId="75" applyNumberFormat="1" applyFill="1" applyBorder="1" applyAlignment="1">
      <alignment horizontal="right"/>
    </xf>
    <xf numFmtId="3" fontId="24" fillId="41" borderId="14" xfId="75" applyNumberFormat="1" applyFill="1" applyBorder="1" applyAlignment="1">
      <alignment horizontal="right"/>
    </xf>
    <xf numFmtId="4" fontId="18" fillId="0" borderId="13" xfId="75" applyNumberFormat="1" applyFont="1" applyBorder="1" applyAlignment="1">
      <alignment horizontal="right"/>
    </xf>
    <xf numFmtId="3" fontId="18" fillId="41" borderId="13" xfId="75" applyNumberFormat="1" applyFont="1" applyFill="1" applyBorder="1"/>
    <xf numFmtId="3" fontId="18" fillId="41" borderId="12" xfId="75" applyNumberFormat="1" applyFont="1" applyFill="1" applyBorder="1" applyAlignment="1">
      <alignment horizontal="right"/>
    </xf>
    <xf numFmtId="3" fontId="18" fillId="41" borderId="14" xfId="75" applyNumberFormat="1" applyFont="1" applyFill="1" applyBorder="1" applyAlignment="1">
      <alignment horizontal="right"/>
    </xf>
    <xf numFmtId="4" fontId="18" fillId="0" borderId="72" xfId="78" applyNumberFormat="1" applyFont="1" applyBorder="1" applyAlignment="1">
      <alignment horizontal="right"/>
    </xf>
    <xf numFmtId="4" fontId="18" fillId="0" borderId="70" xfId="78" applyNumberFormat="1" applyFont="1" applyBorder="1" applyAlignment="1">
      <alignment horizontal="right"/>
    </xf>
    <xf numFmtId="3" fontId="9" fillId="11" borderId="142" xfId="148" applyBorder="1"/>
    <xf numFmtId="4" fontId="18" fillId="0" borderId="142" xfId="78" applyNumberFormat="1" applyFont="1" applyBorder="1" applyAlignment="1">
      <alignment horizontal="right"/>
    </xf>
    <xf numFmtId="3" fontId="9" fillId="11" borderId="103" xfId="148" applyBorder="1"/>
    <xf numFmtId="4" fontId="18" fillId="0" borderId="20" xfId="78" applyNumberFormat="1" applyFont="1" applyBorder="1"/>
    <xf numFmtId="4" fontId="18" fillId="0" borderId="200" xfId="78" applyNumberFormat="1" applyFont="1" applyBorder="1"/>
    <xf numFmtId="4" fontId="18" fillId="0" borderId="200" xfId="78" applyNumberFormat="1" applyFont="1" applyBorder="1" applyAlignment="1">
      <alignment horizontal="left" indent="2"/>
    </xf>
    <xf numFmtId="4" fontId="18" fillId="0" borderId="30" xfId="78" applyNumberFormat="1" applyFont="1" applyBorder="1" applyAlignment="1">
      <alignment horizontal="left" indent="2"/>
    </xf>
    <xf numFmtId="3" fontId="9" fillId="11" borderId="149" xfId="148" applyBorder="1"/>
    <xf numFmtId="3" fontId="9" fillId="11" borderId="31" xfId="148" applyBorder="1"/>
    <xf numFmtId="3" fontId="9" fillId="11" borderId="1" xfId="148" applyBorder="1"/>
    <xf numFmtId="3" fontId="9" fillId="11" borderId="62" xfId="148" applyBorder="1"/>
    <xf numFmtId="164" fontId="81" fillId="0" borderId="144" xfId="81" applyFont="1" applyFill="1" applyBorder="1" applyAlignment="1">
      <alignment horizontal="right"/>
    </xf>
    <xf numFmtId="3" fontId="9" fillId="11" borderId="134" xfId="148" quotePrefix="1" applyBorder="1"/>
    <xf numFmtId="164" fontId="81" fillId="0" borderId="145" xfId="81" applyFont="1" applyFill="1" applyBorder="1" applyAlignment="1">
      <alignment horizontal="right"/>
    </xf>
    <xf numFmtId="164" fontId="81" fillId="0" borderId="149" xfId="81" applyFont="1" applyFill="1" applyBorder="1" applyAlignment="1">
      <alignment horizontal="right"/>
    </xf>
    <xf numFmtId="164" fontId="81" fillId="0" borderId="135" xfId="81" applyFont="1" applyFill="1" applyBorder="1"/>
    <xf numFmtId="164" fontId="81" fillId="0" borderId="135" xfId="81" applyFont="1" applyFill="1" applyBorder="1" applyAlignment="1">
      <alignment horizontal="right"/>
    </xf>
    <xf numFmtId="3" fontId="9" fillId="11" borderId="14" xfId="148" applyBorder="1"/>
    <xf numFmtId="3" fontId="9" fillId="11" borderId="20" xfId="148" applyBorder="1"/>
    <xf numFmtId="3" fontId="9" fillId="11" borderId="200" xfId="148" applyBorder="1"/>
    <xf numFmtId="3" fontId="9" fillId="11" borderId="30" xfId="148" applyBorder="1"/>
    <xf numFmtId="3" fontId="9" fillId="11" borderId="74" xfId="148" applyBorder="1"/>
    <xf numFmtId="0" fontId="96" fillId="9" borderId="81" xfId="41" applyFont="1" applyFill="1" applyBorder="1" applyAlignment="1">
      <alignment horizontal="left" vertical="center" indent="2"/>
    </xf>
    <xf numFmtId="3" fontId="9" fillId="11" borderId="51" xfId="148" applyBorder="1"/>
    <xf numFmtId="2" fontId="81" fillId="2" borderId="19" xfId="78" applyNumberFormat="1" applyFont="1" applyFill="1" applyBorder="1" applyAlignment="1">
      <alignment horizontal="right"/>
    </xf>
    <xf numFmtId="3" fontId="81" fillId="2" borderId="50" xfId="78" applyNumberFormat="1" applyFont="1" applyFill="1" applyBorder="1" applyAlignment="1">
      <alignment horizontal="right"/>
    </xf>
    <xf numFmtId="3" fontId="81" fillId="2" borderId="18" xfId="78" applyNumberFormat="1" applyFont="1" applyFill="1" applyBorder="1" applyAlignment="1">
      <alignment horizontal="right"/>
    </xf>
    <xf numFmtId="0" fontId="81" fillId="2" borderId="143" xfId="41" applyFont="1" applyFill="1" applyBorder="1" applyAlignment="1">
      <alignment horizontal="left" vertical="center" indent="3"/>
    </xf>
    <xf numFmtId="0" fontId="81" fillId="2" borderId="239" xfId="41" applyFont="1" applyFill="1" applyBorder="1" applyAlignment="1">
      <alignment horizontal="left" vertical="center" indent="3"/>
    </xf>
    <xf numFmtId="3" fontId="81" fillId="2" borderId="103" xfId="78" applyNumberFormat="1" applyFont="1" applyFill="1" applyBorder="1" applyAlignment="1">
      <alignment horizontal="right"/>
    </xf>
    <xf numFmtId="3" fontId="81" fillId="2" borderId="134" xfId="78" applyNumberFormat="1" applyFont="1" applyFill="1" applyBorder="1" applyAlignment="1">
      <alignment horizontal="right"/>
    </xf>
    <xf numFmtId="3" fontId="9" fillId="11" borderId="11" xfId="148" applyBorder="1"/>
    <xf numFmtId="0" fontId="14" fillId="0" borderId="149" xfId="78" applyFont="1" applyBorder="1"/>
    <xf numFmtId="9" fontId="81" fillId="0" borderId="135" xfId="84" applyFont="1" applyBorder="1"/>
    <xf numFmtId="3" fontId="14" fillId="0" borderId="135" xfId="78" applyNumberFormat="1" applyFont="1" applyBorder="1"/>
    <xf numFmtId="2" fontId="81" fillId="0" borderId="135" xfId="84" applyNumberFormat="1" applyFont="1" applyBorder="1"/>
    <xf numFmtId="3" fontId="14" fillId="41" borderId="144" xfId="78" applyNumberFormat="1" applyFont="1" applyFill="1" applyBorder="1"/>
    <xf numFmtId="3" fontId="14" fillId="2" borderId="135" xfId="78" applyNumberFormat="1" applyFont="1" applyFill="1" applyBorder="1"/>
    <xf numFmtId="2" fontId="81" fillId="2" borderId="135" xfId="84" applyNumberFormat="1" applyFont="1" applyFill="1" applyBorder="1"/>
    <xf numFmtId="9" fontId="81" fillId="0" borderId="134" xfId="84" applyFont="1" applyBorder="1"/>
    <xf numFmtId="3" fontId="9" fillId="11" borderId="144" xfId="148" applyBorder="1"/>
    <xf numFmtId="184" fontId="205" fillId="0" borderId="135" xfId="151" applyNumberFormat="1" applyFont="1" applyBorder="1" applyAlignment="1">
      <alignment vertical="center"/>
    </xf>
    <xf numFmtId="0" fontId="198" fillId="0" borderId="72" xfId="43" applyFont="1" applyBorder="1"/>
    <xf numFmtId="0" fontId="135" fillId="0" borderId="226" xfId="80" applyFont="1" applyBorder="1" applyAlignment="1">
      <alignment horizontal="right" wrapText="1"/>
    </xf>
    <xf numFmtId="0" fontId="135" fillId="0" borderId="226" xfId="80" applyFont="1" applyBorder="1" applyAlignment="1">
      <alignment wrapText="1"/>
    </xf>
    <xf numFmtId="184" fontId="0" fillId="0" borderId="226" xfId="7" applyNumberFormat="1" applyFont="1" applyBorder="1"/>
    <xf numFmtId="0" fontId="34" fillId="0" borderId="226" xfId="3" applyFont="1" applyBorder="1"/>
    <xf numFmtId="0" fontId="34" fillId="0" borderId="226" xfId="3" applyFont="1" applyBorder="1" applyAlignment="1">
      <alignment horizontal="center"/>
    </xf>
    <xf numFmtId="0" fontId="34" fillId="4" borderId="226" xfId="3" applyFont="1" applyFill="1" applyBorder="1" applyAlignment="1">
      <alignment horizontal="center"/>
    </xf>
    <xf numFmtId="0" fontId="228" fillId="4" borderId="1" xfId="3" applyFont="1" applyFill="1" applyBorder="1"/>
    <xf numFmtId="170" fontId="71" fillId="0" borderId="17" xfId="3" applyNumberFormat="1" applyFont="1" applyBorder="1"/>
    <xf numFmtId="170" fontId="71" fillId="0" borderId="31" xfId="3" applyNumberFormat="1" applyFont="1" applyBorder="1"/>
    <xf numFmtId="170" fontId="71" fillId="0" borderId="134" xfId="3" applyNumberFormat="1" applyFont="1" applyBorder="1"/>
    <xf numFmtId="170" fontId="71" fillId="0" borderId="145" xfId="3" applyNumberFormat="1" applyFont="1" applyBorder="1"/>
    <xf numFmtId="3" fontId="81" fillId="2" borderId="31" xfId="0" applyNumberFormat="1" applyFont="1" applyFill="1" applyBorder="1"/>
    <xf numFmtId="176" fontId="81" fillId="3" borderId="41" xfId="7" applyNumberFormat="1" applyFont="1" applyFill="1" applyBorder="1" applyAlignment="1">
      <alignment horizontal="right"/>
    </xf>
    <xf numFmtId="176" fontId="81" fillId="3" borderId="32" xfId="7" applyNumberFormat="1" applyFont="1" applyFill="1" applyBorder="1" applyAlignment="1">
      <alignment horizontal="right"/>
    </xf>
    <xf numFmtId="176" fontId="23" fillId="3" borderId="32" xfId="7" applyNumberFormat="1" applyFont="1" applyFill="1" applyBorder="1"/>
    <xf numFmtId="176" fontId="53" fillId="2" borderId="40" xfId="7" applyNumberFormat="1" applyFont="1" applyFill="1" applyBorder="1"/>
    <xf numFmtId="176" fontId="53" fillId="2" borderId="41" xfId="7" applyNumberFormat="1" applyFont="1" applyFill="1" applyBorder="1"/>
    <xf numFmtId="176" fontId="53" fillId="2" borderId="46" xfId="7" applyNumberFormat="1" applyFont="1" applyFill="1" applyBorder="1"/>
    <xf numFmtId="3" fontId="67" fillId="11" borderId="144" xfId="148" applyFont="1" applyBorder="1"/>
    <xf numFmtId="3" fontId="96" fillId="9" borderId="12" xfId="40" applyNumberFormat="1" applyFont="1" applyFill="1" applyBorder="1" applyAlignment="1">
      <alignment horizontal="center" vertical="center" wrapText="1"/>
    </xf>
    <xf numFmtId="3" fontId="81" fillId="2" borderId="59" xfId="78" applyNumberFormat="1" applyFont="1" applyFill="1" applyBorder="1" applyAlignment="1">
      <alignment horizontal="right"/>
    </xf>
    <xf numFmtId="3" fontId="81" fillId="2" borderId="63" xfId="78" applyNumberFormat="1" applyFont="1" applyFill="1" applyBorder="1" applyAlignment="1">
      <alignment horizontal="right"/>
    </xf>
    <xf numFmtId="2" fontId="81" fillId="2" borderId="226" xfId="78" applyNumberFormat="1" applyFont="1" applyFill="1" applyBorder="1" applyAlignment="1">
      <alignment horizontal="right"/>
    </xf>
    <xf numFmtId="3" fontId="81" fillId="2" borderId="232" xfId="78" applyNumberFormat="1" applyFont="1" applyFill="1" applyBorder="1" applyAlignment="1">
      <alignment horizontal="right"/>
    </xf>
    <xf numFmtId="3" fontId="81" fillId="41" borderId="226" xfId="78" applyNumberFormat="1" applyFont="1" applyFill="1" applyBorder="1" applyAlignment="1">
      <alignment horizontal="right"/>
    </xf>
    <xf numFmtId="3" fontId="81" fillId="41" borderId="144" xfId="78" applyNumberFormat="1" applyFont="1" applyFill="1" applyBorder="1" applyAlignment="1">
      <alignment horizontal="right"/>
    </xf>
    <xf numFmtId="3" fontId="81" fillId="2" borderId="226" xfId="78" applyNumberFormat="1" applyFont="1" applyFill="1" applyBorder="1" applyAlignment="1">
      <alignment horizontal="right"/>
    </xf>
    <xf numFmtId="3" fontId="81" fillId="2" borderId="144" xfId="78" applyNumberFormat="1" applyFont="1" applyFill="1" applyBorder="1" applyAlignment="1">
      <alignment horizontal="right"/>
    </xf>
    <xf numFmtId="0" fontId="81" fillId="2" borderId="240" xfId="41" applyFont="1" applyFill="1" applyBorder="1" applyAlignment="1">
      <alignment horizontal="left" vertical="center" indent="3"/>
    </xf>
    <xf numFmtId="2" fontId="81" fillId="2" borderId="241" xfId="78" applyNumberFormat="1" applyFont="1" applyFill="1" applyBorder="1" applyAlignment="1">
      <alignment horizontal="right"/>
    </xf>
    <xf numFmtId="2" fontId="81" fillId="2" borderId="230" xfId="78" applyNumberFormat="1" applyFont="1" applyFill="1" applyBorder="1" applyAlignment="1">
      <alignment horizontal="right"/>
    </xf>
    <xf numFmtId="2" fontId="81" fillId="2" borderId="242" xfId="78" applyNumberFormat="1" applyFont="1" applyFill="1" applyBorder="1" applyAlignment="1">
      <alignment horizontal="right"/>
    </xf>
    <xf numFmtId="3" fontId="81" fillId="2" borderId="243" xfId="78" applyNumberFormat="1" applyFont="1" applyFill="1" applyBorder="1" applyAlignment="1">
      <alignment horizontal="right"/>
    </xf>
    <xf numFmtId="3" fontId="81" fillId="2" borderId="230" xfId="78" applyNumberFormat="1" applyFont="1" applyFill="1" applyBorder="1" applyAlignment="1">
      <alignment horizontal="right"/>
    </xf>
    <xf numFmtId="3" fontId="81" fillId="2" borderId="242" xfId="78" applyNumberFormat="1" applyFont="1" applyFill="1" applyBorder="1" applyAlignment="1">
      <alignment horizontal="right"/>
    </xf>
    <xf numFmtId="0" fontId="81" fillId="2" borderId="239" xfId="78" applyFont="1" applyFill="1" applyBorder="1" applyAlignment="1">
      <alignment horizontal="left" indent="3"/>
    </xf>
    <xf numFmtId="3" fontId="81" fillId="2" borderId="145" xfId="78" applyNumberFormat="1" applyFont="1" applyFill="1" applyBorder="1" applyAlignment="1">
      <alignment horizontal="right"/>
    </xf>
    <xf numFmtId="3" fontId="81" fillId="41" borderId="232" xfId="78" applyNumberFormat="1" applyFont="1" applyFill="1" applyBorder="1" applyAlignment="1">
      <alignment horizontal="right"/>
    </xf>
    <xf numFmtId="3" fontId="81" fillId="0" borderId="226" xfId="78" applyNumberFormat="1" applyFont="1" applyBorder="1" applyAlignment="1">
      <alignment horizontal="right"/>
    </xf>
    <xf numFmtId="3" fontId="81" fillId="41" borderId="145" xfId="78" applyNumberFormat="1" applyFont="1" applyFill="1" applyBorder="1" applyAlignment="1">
      <alignment horizontal="right"/>
    </xf>
    <xf numFmtId="0" fontId="81" fillId="2" borderId="200" xfId="41" applyFont="1" applyFill="1" applyBorder="1" applyAlignment="1">
      <alignment horizontal="left" vertical="center" indent="3"/>
    </xf>
    <xf numFmtId="0" fontId="81" fillId="2" borderId="244" xfId="41" applyFont="1" applyFill="1" applyBorder="1" applyAlignment="1">
      <alignment horizontal="left" vertical="center" indent="3"/>
    </xf>
    <xf numFmtId="3" fontId="81" fillId="41" borderId="242" xfId="78" applyNumberFormat="1" applyFont="1" applyFill="1" applyBorder="1" applyAlignment="1">
      <alignment horizontal="right"/>
    </xf>
    <xf numFmtId="3" fontId="81" fillId="2" borderId="19" xfId="78" applyNumberFormat="1" applyFont="1" applyFill="1" applyBorder="1" applyAlignment="1">
      <alignment horizontal="right"/>
    </xf>
    <xf numFmtId="3" fontId="96" fillId="2" borderId="14" xfId="40" applyNumberFormat="1" applyFont="1" applyFill="1" applyBorder="1" applyAlignment="1">
      <alignment horizontal="center" wrapText="1"/>
    </xf>
    <xf numFmtId="3" fontId="81" fillId="41" borderId="14" xfId="78" applyNumberFormat="1" applyFont="1" applyFill="1" applyBorder="1" applyAlignment="1">
      <alignment horizontal="right"/>
    </xf>
    <xf numFmtId="0" fontId="96" fillId="9" borderId="14" xfId="58" applyFont="1" applyFill="1" applyBorder="1" applyAlignment="1">
      <alignment horizontal="center" vertical="center" wrapText="1"/>
    </xf>
    <xf numFmtId="2" fontId="81" fillId="2" borderId="231" xfId="78" applyNumberFormat="1" applyFont="1" applyFill="1" applyBorder="1" applyAlignment="1">
      <alignment horizontal="right"/>
    </xf>
    <xf numFmtId="2" fontId="23" fillId="2" borderId="134" xfId="78" applyNumberFormat="1" applyFill="1" applyBorder="1" applyAlignment="1">
      <alignment horizontal="right"/>
    </xf>
    <xf numFmtId="2" fontId="23" fillId="2" borderId="153" xfId="78" applyNumberFormat="1" applyFill="1" applyBorder="1" applyAlignment="1">
      <alignment horizontal="right"/>
    </xf>
    <xf numFmtId="2" fontId="18" fillId="2" borderId="134" xfId="78" applyNumberFormat="1" applyFont="1" applyFill="1" applyBorder="1" applyAlignment="1">
      <alignment horizontal="right"/>
    </xf>
    <xf numFmtId="2" fontId="18" fillId="2" borderId="153" xfId="78" applyNumberFormat="1" applyFont="1" applyFill="1" applyBorder="1" applyAlignment="1">
      <alignment horizontal="right"/>
    </xf>
    <xf numFmtId="0" fontId="55" fillId="11" borderId="64" xfId="0" quotePrefix="1" applyFont="1" applyFill="1" applyBorder="1"/>
    <xf numFmtId="0" fontId="205" fillId="0" borderId="135" xfId="0" applyFont="1" applyBorder="1" applyAlignment="1">
      <alignment vertical="center"/>
    </xf>
    <xf numFmtId="184" fontId="205" fillId="0" borderId="135" xfId="7" applyNumberFormat="1" applyFont="1" applyBorder="1" applyAlignment="1">
      <alignment vertical="center"/>
    </xf>
    <xf numFmtId="0" fontId="6" fillId="0" borderId="0" xfId="153"/>
    <xf numFmtId="1" fontId="6" fillId="0" borderId="0" xfId="153" applyNumberFormat="1"/>
    <xf numFmtId="1" fontId="52" fillId="0" borderId="0" xfId="153" applyNumberFormat="1" applyFont="1"/>
    <xf numFmtId="1" fontId="6" fillId="9" borderId="0" xfId="153" applyNumberFormat="1" applyFill="1"/>
    <xf numFmtId="0" fontId="6" fillId="9" borderId="0" xfId="153" applyFill="1"/>
    <xf numFmtId="1" fontId="6" fillId="0" borderId="0" xfId="122" applyNumberFormat="1" applyFont="1"/>
    <xf numFmtId="49" fontId="135" fillId="0" borderId="112" xfId="83" applyNumberFormat="1" applyFont="1" applyBorder="1" applyAlignment="1">
      <alignment horizontal="right" wrapText="1"/>
    </xf>
    <xf numFmtId="49" fontId="135" fillId="34" borderId="126" xfId="0" applyNumberFormat="1" applyFont="1" applyFill="1" applyBorder="1" applyAlignment="1">
      <alignment horizontal="right" wrapText="1"/>
    </xf>
    <xf numFmtId="3" fontId="9" fillId="11" borderId="135" xfId="148" applyBorder="1" applyAlignment="1">
      <alignment horizontal="right"/>
    </xf>
    <xf numFmtId="3" fontId="32" fillId="0" borderId="232" xfId="27" applyNumberFormat="1" applyFont="1" applyFill="1" applyBorder="1"/>
    <xf numFmtId="3" fontId="32" fillId="0" borderId="232" xfId="3" applyNumberFormat="1" applyBorder="1"/>
    <xf numFmtId="3" fontId="32" fillId="2" borderId="232" xfId="3" applyNumberFormat="1" applyFill="1" applyBorder="1"/>
    <xf numFmtId="3" fontId="32" fillId="2" borderId="232" xfId="0" applyNumberFormat="1" applyFont="1" applyFill="1" applyBorder="1"/>
    <xf numFmtId="3" fontId="32" fillId="0" borderId="232" xfId="0" applyNumberFormat="1" applyFont="1" applyBorder="1"/>
    <xf numFmtId="3" fontId="32" fillId="5" borderId="249" xfId="0" applyNumberFormat="1" applyFont="1" applyFill="1" applyBorder="1" applyAlignment="1">
      <alignment horizontal="left" indent="1"/>
    </xf>
    <xf numFmtId="3" fontId="0" fillId="5" borderId="244" xfId="0" applyNumberFormat="1" applyFill="1" applyBorder="1" applyAlignment="1">
      <alignment horizontal="left" indent="1"/>
    </xf>
    <xf numFmtId="3" fontId="32" fillId="5" borderId="244" xfId="0" applyNumberFormat="1" applyFont="1" applyFill="1" applyBorder="1" applyAlignment="1">
      <alignment horizontal="left" indent="1"/>
    </xf>
    <xf numFmtId="3" fontId="32" fillId="2" borderId="250" xfId="3" applyNumberFormat="1" applyFill="1" applyBorder="1"/>
    <xf numFmtId="3" fontId="32" fillId="2" borderId="251" xfId="3" applyNumberFormat="1" applyFill="1" applyBorder="1"/>
    <xf numFmtId="3" fontId="32" fillId="2" borderId="252" xfId="3" applyNumberFormat="1" applyFill="1" applyBorder="1"/>
    <xf numFmtId="3" fontId="32" fillId="2" borderId="253" xfId="3" applyNumberFormat="1" applyFill="1" applyBorder="1"/>
    <xf numFmtId="3" fontId="34" fillId="2" borderId="254" xfId="3" applyNumberFormat="1" applyFont="1" applyFill="1" applyBorder="1"/>
    <xf numFmtId="167" fontId="32" fillId="0" borderId="255" xfId="3" applyNumberFormat="1" applyBorder="1"/>
    <xf numFmtId="3" fontId="32" fillId="2" borderId="233" xfId="0" applyNumberFormat="1" applyFont="1" applyFill="1" applyBorder="1"/>
    <xf numFmtId="3" fontId="32" fillId="2" borderId="249" xfId="0" applyNumberFormat="1" applyFont="1" applyFill="1" applyBorder="1"/>
    <xf numFmtId="3" fontId="32" fillId="0" borderId="250" xfId="3" applyNumberFormat="1" applyBorder="1"/>
    <xf numFmtId="167" fontId="32" fillId="2" borderId="239" xfId="0" applyNumberFormat="1" applyFont="1" applyFill="1" applyBorder="1"/>
    <xf numFmtId="3" fontId="32" fillId="2" borderId="256" xfId="0" applyNumberFormat="1" applyFont="1" applyFill="1" applyBorder="1"/>
    <xf numFmtId="3" fontId="32" fillId="2" borderId="257" xfId="0" applyNumberFormat="1" applyFont="1" applyFill="1" applyBorder="1"/>
    <xf numFmtId="3" fontId="32" fillId="5" borderId="254" xfId="3" applyNumberFormat="1" applyFill="1" applyBorder="1" applyAlignment="1">
      <alignment horizontal="left" indent="1"/>
    </xf>
    <xf numFmtId="3" fontId="32" fillId="0" borderId="252" xfId="3" applyNumberFormat="1" applyBorder="1"/>
    <xf numFmtId="3" fontId="32" fillId="0" borderId="253" xfId="3" applyNumberFormat="1" applyBorder="1"/>
    <xf numFmtId="3" fontId="34" fillId="0" borderId="254" xfId="3" applyNumberFormat="1" applyFont="1" applyBorder="1"/>
    <xf numFmtId="3" fontId="32" fillId="0" borderId="253" xfId="27" applyNumberFormat="1" applyFont="1" applyFill="1" applyBorder="1"/>
    <xf numFmtId="3" fontId="32" fillId="0" borderId="252" xfId="0" applyNumberFormat="1" applyFont="1" applyBorder="1"/>
    <xf numFmtId="3" fontId="32" fillId="0" borderId="252" xfId="27" applyNumberFormat="1" applyFont="1" applyFill="1" applyBorder="1"/>
    <xf numFmtId="3" fontId="0" fillId="5" borderId="254" xfId="0" applyNumberFormat="1" applyFill="1" applyBorder="1" applyAlignment="1">
      <alignment horizontal="left" indent="1"/>
    </xf>
    <xf numFmtId="3" fontId="32" fillId="0" borderId="253" xfId="0" applyNumberFormat="1" applyFont="1" applyBorder="1"/>
    <xf numFmtId="3" fontId="32" fillId="2" borderId="253" xfId="0" applyNumberFormat="1" applyFont="1" applyFill="1" applyBorder="1"/>
    <xf numFmtId="3" fontId="32" fillId="2" borderId="252" xfId="0" applyNumberFormat="1" applyFont="1" applyFill="1" applyBorder="1"/>
    <xf numFmtId="167" fontId="32" fillId="0" borderId="253" xfId="3" applyNumberFormat="1" applyBorder="1"/>
    <xf numFmtId="3" fontId="32" fillId="5" borderId="254" xfId="0" applyNumberFormat="1" applyFont="1" applyFill="1" applyBorder="1" applyAlignment="1">
      <alignment horizontal="left" indent="1"/>
    </xf>
    <xf numFmtId="3" fontId="0" fillId="2" borderId="252" xfId="0" applyNumberFormat="1" applyFill="1" applyBorder="1"/>
    <xf numFmtId="167" fontId="32" fillId="0" borderId="252" xfId="3" applyNumberFormat="1" applyBorder="1"/>
    <xf numFmtId="3" fontId="81" fillId="2" borderId="253" xfId="0" applyNumberFormat="1" applyFont="1" applyFill="1" applyBorder="1"/>
    <xf numFmtId="3" fontId="81" fillId="2" borderId="254" xfId="0" applyNumberFormat="1" applyFont="1" applyFill="1" applyBorder="1"/>
    <xf numFmtId="3" fontId="81" fillId="41" borderId="254" xfId="0" applyNumberFormat="1" applyFont="1" applyFill="1" applyBorder="1"/>
    <xf numFmtId="3" fontId="81" fillId="2" borderId="254" xfId="0" applyNumberFormat="1" applyFont="1" applyFill="1" applyBorder="1" applyAlignment="1">
      <alignment horizontal="left"/>
    </xf>
    <xf numFmtId="3" fontId="81" fillId="2" borderId="250" xfId="0" applyNumberFormat="1" applyFont="1" applyFill="1" applyBorder="1"/>
    <xf numFmtId="3" fontId="81" fillId="2" borderId="258" xfId="0" applyNumberFormat="1" applyFont="1" applyFill="1" applyBorder="1"/>
    <xf numFmtId="0" fontId="119" fillId="0" borderId="72" xfId="43" applyBorder="1"/>
    <xf numFmtId="0" fontId="119" fillId="0" borderId="141" xfId="43" applyBorder="1"/>
    <xf numFmtId="0" fontId="119" fillId="0" borderId="153" xfId="43" applyBorder="1"/>
    <xf numFmtId="186" fontId="6" fillId="0" borderId="0" xfId="122" applyNumberFormat="1" applyFont="1"/>
    <xf numFmtId="1" fontId="206" fillId="0" borderId="0" xfId="150" applyNumberFormat="1" applyFont="1" applyAlignment="1">
      <alignment vertical="center"/>
    </xf>
    <xf numFmtId="1" fontId="206" fillId="0" borderId="0" xfId="0" applyNumberFormat="1" applyFont="1" applyAlignment="1">
      <alignment vertical="center"/>
    </xf>
    <xf numFmtId="49" fontId="273" fillId="0" borderId="0" xfId="80" applyNumberFormat="1" applyFont="1" applyAlignment="1">
      <alignment horizontal="center"/>
    </xf>
    <xf numFmtId="184" fontId="0" fillId="0" borderId="121" xfId="7" applyNumberFormat="1" applyFont="1" applyBorder="1"/>
    <xf numFmtId="3" fontId="32" fillId="2" borderId="121" xfId="3" applyNumberFormat="1" applyFill="1" applyBorder="1"/>
    <xf numFmtId="3" fontId="32" fillId="0" borderId="121" xfId="3" applyNumberFormat="1" applyBorder="1"/>
    <xf numFmtId="3" fontId="32" fillId="0" borderId="121" xfId="3" quotePrefix="1" applyNumberFormat="1" applyBorder="1"/>
    <xf numFmtId="3" fontId="32" fillId="0" borderId="121" xfId="27" applyNumberFormat="1" applyFont="1" applyFill="1" applyBorder="1"/>
    <xf numFmtId="3" fontId="32" fillId="0" borderId="121" xfId="0" applyNumberFormat="1" applyFont="1" applyBorder="1"/>
    <xf numFmtId="3" fontId="0" fillId="0" borderId="121" xfId="0" applyNumberFormat="1" applyBorder="1"/>
    <xf numFmtId="0" fontId="32" fillId="0" borderId="121" xfId="3" applyBorder="1"/>
    <xf numFmtId="3" fontId="32" fillId="2" borderId="121" xfId="0" applyNumberFormat="1" applyFont="1" applyFill="1" applyBorder="1"/>
    <xf numFmtId="179" fontId="32" fillId="0" borderId="121" xfId="0" applyNumberFormat="1" applyFont="1" applyBorder="1"/>
    <xf numFmtId="3" fontId="0" fillId="0" borderId="252" xfId="0" applyNumberFormat="1" applyBorder="1"/>
    <xf numFmtId="3" fontId="32" fillId="2" borderId="258" xfId="3" applyNumberFormat="1" applyFill="1" applyBorder="1"/>
    <xf numFmtId="3" fontId="32" fillId="0" borderId="121" xfId="27" applyNumberFormat="1" applyFont="1" applyFill="1" applyBorder="1" applyAlignment="1">
      <alignment horizontal="right"/>
    </xf>
    <xf numFmtId="3" fontId="32" fillId="2" borderId="259" xfId="3" applyNumberFormat="1" applyFill="1" applyBorder="1"/>
    <xf numFmtId="3" fontId="32" fillId="0" borderId="258" xfId="3" applyNumberFormat="1" applyBorder="1"/>
    <xf numFmtId="3" fontId="32" fillId="0" borderId="14" xfId="27" applyNumberFormat="1" applyFont="1" applyFill="1" applyBorder="1"/>
    <xf numFmtId="3" fontId="32" fillId="0" borderId="17" xfId="0" applyNumberFormat="1" applyFont="1" applyBorder="1"/>
    <xf numFmtId="3" fontId="32" fillId="2" borderId="121" xfId="27" applyNumberFormat="1" applyFont="1" applyFill="1" applyBorder="1"/>
    <xf numFmtId="3" fontId="32" fillId="0" borderId="119" xfId="3" applyNumberFormat="1" applyBorder="1"/>
    <xf numFmtId="1" fontId="32" fillId="0" borderId="52" xfId="4" applyNumberFormat="1" applyFill="1" applyBorder="1" applyAlignment="1">
      <alignment horizontal="center" textRotation="90"/>
    </xf>
    <xf numFmtId="1" fontId="32" fillId="0" borderId="40" xfId="3" applyNumberFormat="1" applyBorder="1" applyAlignment="1">
      <alignment horizontal="center" textRotation="90"/>
    </xf>
    <xf numFmtId="3" fontId="32" fillId="0" borderId="1" xfId="27" applyNumberFormat="1" applyFont="1" applyFill="1" applyBorder="1"/>
    <xf numFmtId="3" fontId="32" fillId="0" borderId="13" xfId="27" applyNumberFormat="1" applyFont="1" applyFill="1" applyBorder="1"/>
    <xf numFmtId="1" fontId="32" fillId="0" borderId="9" xfId="3" applyNumberFormat="1" applyBorder="1" applyAlignment="1">
      <alignment horizontal="left" vertical="center"/>
    </xf>
    <xf numFmtId="184" fontId="0" fillId="27" borderId="121" xfId="7" applyNumberFormat="1" applyFont="1" applyFill="1" applyBorder="1"/>
    <xf numFmtId="0" fontId="0" fillId="27" borderId="121" xfId="0" applyFill="1" applyBorder="1"/>
    <xf numFmtId="184" fontId="205" fillId="0" borderId="121" xfId="155" applyNumberFormat="1" applyFont="1" applyBorder="1" applyAlignment="1">
      <alignment vertical="center"/>
    </xf>
    <xf numFmtId="184" fontId="135" fillId="31" borderId="121" xfId="7" applyNumberFormat="1" applyFont="1" applyFill="1" applyBorder="1" applyAlignment="1">
      <alignment horizontal="center"/>
    </xf>
    <xf numFmtId="184" fontId="0" fillId="13" borderId="121" xfId="7" applyNumberFormat="1" applyFont="1" applyFill="1" applyBorder="1"/>
    <xf numFmtId="184" fontId="135" fillId="0" borderId="121" xfId="7" applyNumberFormat="1" applyFont="1" applyFill="1" applyBorder="1" applyAlignment="1">
      <alignment horizontal="right" wrapText="1"/>
    </xf>
    <xf numFmtId="184" fontId="159" fillId="0" borderId="121" xfId="7" applyNumberFormat="1" applyFont="1" applyBorder="1"/>
    <xf numFmtId="0" fontId="135" fillId="28" borderId="121" xfId="72" applyFont="1" applyFill="1" applyBorder="1" applyAlignment="1">
      <alignment horizontal="center"/>
    </xf>
    <xf numFmtId="0" fontId="135" fillId="32" borderId="121" xfId="73" applyFont="1" applyFill="1" applyBorder="1" applyAlignment="1">
      <alignment horizontal="center"/>
    </xf>
    <xf numFmtId="0" fontId="135" fillId="0" borderId="121" xfId="73" applyFont="1" applyBorder="1" applyAlignment="1">
      <alignment horizontal="right" wrapText="1"/>
    </xf>
    <xf numFmtId="0" fontId="135" fillId="0" borderId="121" xfId="73" applyFont="1" applyBorder="1" applyAlignment="1">
      <alignment wrapText="1"/>
    </xf>
    <xf numFmtId="184" fontId="159" fillId="0" borderId="121" xfId="7" applyNumberFormat="1" applyFont="1" applyFill="1" applyBorder="1"/>
    <xf numFmtId="184" fontId="0" fillId="0" borderId="121" xfId="7" applyNumberFormat="1" applyFont="1" applyFill="1" applyBorder="1"/>
    <xf numFmtId="184" fontId="0" fillId="13" borderId="121" xfId="7" applyNumberFormat="1" applyFont="1" applyFill="1" applyBorder="1" applyAlignment="1">
      <alignment horizontal="right"/>
    </xf>
    <xf numFmtId="184" fontId="0" fillId="29" borderId="121" xfId="7" applyNumberFormat="1" applyFont="1" applyFill="1" applyBorder="1"/>
    <xf numFmtId="184" fontId="0" fillId="14" borderId="121" xfId="7" applyNumberFormat="1" applyFont="1" applyFill="1" applyBorder="1"/>
    <xf numFmtId="0" fontId="0" fillId="13" borderId="121" xfId="0" applyFill="1" applyBorder="1" applyAlignment="1">
      <alignment horizontal="right"/>
    </xf>
    <xf numFmtId="0" fontId="0" fillId="2" borderId="121" xfId="0" applyFill="1" applyBorder="1"/>
    <xf numFmtId="184" fontId="0" fillId="2" borderId="121" xfId="0" applyNumberFormat="1" applyFill="1" applyBorder="1"/>
    <xf numFmtId="0" fontId="0" fillId="14" borderId="121" xfId="0" applyFill="1" applyBorder="1"/>
    <xf numFmtId="184" fontId="0" fillId="14" borderId="121" xfId="0" applyNumberFormat="1" applyFill="1" applyBorder="1"/>
    <xf numFmtId="0" fontId="0" fillId="29" borderId="121" xfId="0" applyFill="1" applyBorder="1"/>
    <xf numFmtId="184" fontId="0" fillId="29" borderId="121" xfId="0" applyNumberFormat="1" applyFill="1" applyBorder="1"/>
    <xf numFmtId="0" fontId="52" fillId="0" borderId="0" xfId="0" applyFont="1"/>
    <xf numFmtId="0" fontId="165" fillId="0" borderId="0" xfId="1" applyFont="1"/>
    <xf numFmtId="0" fontId="35" fillId="0" borderId="0" xfId="1"/>
    <xf numFmtId="0" fontId="163" fillId="0" borderId="0" xfId="1" applyFont="1"/>
    <xf numFmtId="0" fontId="164" fillId="0" borderId="0" xfId="1" applyFont="1" applyAlignment="1">
      <alignment horizontal="left"/>
    </xf>
    <xf numFmtId="0" fontId="35" fillId="0" borderId="0" xfId="1" applyAlignment="1">
      <alignment horizontal="right"/>
    </xf>
    <xf numFmtId="0" fontId="35" fillId="33" borderId="0" xfId="1" applyFill="1" applyAlignment="1">
      <alignment horizontal="right"/>
    </xf>
    <xf numFmtId="3" fontId="81" fillId="2" borderId="121" xfId="0" applyNumberFormat="1" applyFont="1" applyFill="1" applyBorder="1"/>
    <xf numFmtId="3" fontId="81" fillId="41" borderId="244" xfId="0" applyNumberFormat="1" applyFont="1" applyFill="1" applyBorder="1"/>
    <xf numFmtId="3" fontId="32" fillId="2" borderId="260" xfId="3" applyNumberFormat="1" applyFill="1" applyBorder="1"/>
    <xf numFmtId="3" fontId="32" fillId="0" borderId="260" xfId="3" applyNumberFormat="1" applyBorder="1"/>
    <xf numFmtId="3" fontId="32" fillId="2" borderId="242" xfId="3" applyNumberFormat="1" applyFill="1" applyBorder="1"/>
    <xf numFmtId="3" fontId="32" fillId="0" borderId="242" xfId="3" applyNumberFormat="1" applyBorder="1"/>
    <xf numFmtId="184" fontId="135" fillId="28" borderId="121" xfId="7" applyNumberFormat="1" applyFont="1" applyFill="1" applyBorder="1" applyAlignment="1">
      <alignment horizontal="center"/>
    </xf>
    <xf numFmtId="181" fontId="0" fillId="27" borderId="121" xfId="35" applyNumberFormat="1" applyFont="1" applyFill="1" applyBorder="1"/>
    <xf numFmtId="1" fontId="0" fillId="0" borderId="0" xfId="0" applyNumberFormat="1"/>
    <xf numFmtId="1" fontId="52" fillId="0" borderId="0" xfId="0" applyNumberFormat="1" applyFont="1"/>
    <xf numFmtId="1" fontId="0" fillId="9" borderId="0" xfId="0" applyNumberFormat="1" applyFill="1"/>
    <xf numFmtId="0" fontId="0" fillId="9" borderId="0" xfId="0" applyFill="1"/>
    <xf numFmtId="0" fontId="4" fillId="0" borderId="0" xfId="157"/>
    <xf numFmtId="0" fontId="52" fillId="0" borderId="0" xfId="157" applyFont="1"/>
    <xf numFmtId="4" fontId="53" fillId="2" borderId="22" xfId="0" applyNumberFormat="1" applyFont="1" applyFill="1" applyBorder="1" applyAlignment="1">
      <alignment horizontal="right"/>
    </xf>
    <xf numFmtId="9" fontId="32" fillId="0" borderId="22" xfId="4" applyFont="1" applyFill="1" applyBorder="1" applyAlignment="1">
      <alignment horizontal="right"/>
    </xf>
    <xf numFmtId="10" fontId="32" fillId="0" borderId="22" xfId="4" applyNumberFormat="1" applyFont="1" applyFill="1" applyBorder="1" applyAlignment="1">
      <alignment horizontal="right"/>
    </xf>
    <xf numFmtId="0" fontId="67" fillId="9" borderId="260" xfId="78" applyFont="1" applyFill="1" applyBorder="1" applyAlignment="1">
      <alignment horizontal="left" vertical="top" wrapText="1"/>
    </xf>
    <xf numFmtId="2" fontId="67" fillId="0" borderId="229" xfId="78" applyNumberFormat="1" applyFont="1" applyBorder="1" applyAlignment="1">
      <alignment vertical="center" wrapText="1"/>
    </xf>
    <xf numFmtId="0" fontId="23" fillId="0" borderId="254" xfId="78" applyBorder="1"/>
    <xf numFmtId="1" fontId="23" fillId="2" borderId="232" xfId="78" applyNumberFormat="1" applyFill="1" applyBorder="1"/>
    <xf numFmtId="1" fontId="23" fillId="2" borderId="231" xfId="78" applyNumberFormat="1" applyFill="1" applyBorder="1"/>
    <xf numFmtId="2" fontId="23" fillId="3" borderId="121" xfId="78" applyNumberFormat="1" applyFill="1" applyBorder="1" applyAlignment="1">
      <alignment horizontal="center"/>
    </xf>
    <xf numFmtId="2" fontId="23" fillId="0" borderId="232" xfId="78" applyNumberFormat="1" applyBorder="1"/>
    <xf numFmtId="3" fontId="23" fillId="41" borderId="252" xfId="78" applyNumberFormat="1" applyFill="1" applyBorder="1"/>
    <xf numFmtId="2" fontId="23" fillId="3" borderId="121" xfId="78" applyNumberFormat="1" applyFill="1" applyBorder="1"/>
    <xf numFmtId="2" fontId="23" fillId="0" borderId="121" xfId="78" applyNumberFormat="1" applyBorder="1"/>
    <xf numFmtId="2" fontId="23" fillId="0" borderId="259" xfId="78" applyNumberFormat="1" applyBorder="1"/>
    <xf numFmtId="2" fontId="23" fillId="0" borderId="260" xfId="78" applyNumberFormat="1" applyBorder="1"/>
    <xf numFmtId="1" fontId="23" fillId="2" borderId="251" xfId="78" applyNumberFormat="1" applyFill="1" applyBorder="1"/>
    <xf numFmtId="1" fontId="23" fillId="2" borderId="261" xfId="78" applyNumberFormat="1" applyFill="1" applyBorder="1"/>
    <xf numFmtId="2" fontId="23" fillId="3" borderId="251" xfId="78" applyNumberFormat="1" applyFill="1" applyBorder="1"/>
    <xf numFmtId="3" fontId="23" fillId="41" borderId="119" xfId="78" applyNumberFormat="1" applyFill="1" applyBorder="1"/>
    <xf numFmtId="3" fontId="53" fillId="0" borderId="121" xfId="0" applyNumberFormat="1" applyFont="1" applyBorder="1"/>
    <xf numFmtId="167" fontId="32" fillId="2" borderId="232" xfId="3" applyNumberFormat="1" applyFill="1" applyBorder="1" applyAlignment="1">
      <alignment horizontal="right"/>
    </xf>
    <xf numFmtId="3" fontId="56" fillId="2" borderId="250" xfId="3" applyNumberFormat="1" applyFont="1" applyFill="1" applyBorder="1"/>
    <xf numFmtId="3" fontId="3" fillId="0" borderId="58" xfId="78" applyNumberFormat="1" applyFont="1" applyBorder="1"/>
    <xf numFmtId="3" fontId="3" fillId="0" borderId="121" xfId="78" applyNumberFormat="1" applyFont="1" applyBorder="1"/>
    <xf numFmtId="3" fontId="3" fillId="2" borderId="121" xfId="78" applyNumberFormat="1" applyFont="1" applyFill="1" applyBorder="1"/>
    <xf numFmtId="167" fontId="32" fillId="2" borderId="142" xfId="3" applyNumberFormat="1" applyFill="1" applyBorder="1" applyAlignment="1">
      <alignment horizontal="right"/>
    </xf>
    <xf numFmtId="3" fontId="32" fillId="30" borderId="121" xfId="27" applyNumberFormat="1" applyFont="1" applyFill="1" applyBorder="1"/>
    <xf numFmtId="4" fontId="92" fillId="0" borderId="137" xfId="3" applyNumberFormat="1" applyFont="1" applyBorder="1" applyAlignment="1">
      <alignment horizontal="right"/>
    </xf>
    <xf numFmtId="3" fontId="92" fillId="30" borderId="135" xfId="3" applyNumberFormat="1" applyFont="1" applyFill="1" applyBorder="1" applyAlignment="1">
      <alignment horizontal="right"/>
    </xf>
    <xf numFmtId="0" fontId="52" fillId="3" borderId="0" xfId="3" applyFont="1" applyFill="1" applyAlignment="1">
      <alignment vertical="center"/>
    </xf>
    <xf numFmtId="0" fontId="52" fillId="0" borderId="0" xfId="3" applyFont="1" applyAlignment="1">
      <alignment horizontal="left" wrapText="1"/>
    </xf>
    <xf numFmtId="0" fontId="92" fillId="2" borderId="0" xfId="3" applyFont="1" applyFill="1" applyAlignment="1">
      <alignment wrapText="1"/>
    </xf>
    <xf numFmtId="0" fontId="32" fillId="0" borderId="152" xfId="3" quotePrefix="1" applyBorder="1"/>
    <xf numFmtId="3" fontId="32" fillId="0" borderId="0" xfId="3" applyNumberFormat="1" applyAlignment="1">
      <alignment horizontal="right"/>
    </xf>
    <xf numFmtId="0" fontId="32" fillId="2" borderId="237" xfId="3" applyFill="1" applyBorder="1"/>
    <xf numFmtId="0" fontId="32" fillId="2" borderId="262" xfId="3" applyFill="1" applyBorder="1"/>
    <xf numFmtId="0" fontId="32" fillId="2" borderId="137" xfId="4" applyNumberFormat="1" applyFont="1" applyFill="1" applyBorder="1" applyAlignment="1">
      <alignment horizontal="left"/>
    </xf>
    <xf numFmtId="0" fontId="2" fillId="9" borderId="0" xfId="36" applyFont="1" applyFill="1"/>
    <xf numFmtId="0" fontId="60" fillId="0" borderId="258" xfId="0" applyFont="1" applyBorder="1"/>
    <xf numFmtId="0" fontId="60" fillId="0" borderId="260" xfId="0" applyFont="1" applyBorder="1"/>
    <xf numFmtId="0" fontId="60" fillId="0" borderId="242" xfId="0" applyFont="1" applyBorder="1"/>
    <xf numFmtId="0" fontId="57" fillId="2" borderId="121" xfId="30" applyFont="1" applyFill="1" applyBorder="1"/>
    <xf numFmtId="0" fontId="60" fillId="4" borderId="121" xfId="30" applyFont="1" applyFill="1" applyBorder="1"/>
    <xf numFmtId="1" fontId="60" fillId="4" borderId="121" xfId="30" applyNumberFormat="1" applyFont="1" applyFill="1" applyBorder="1" applyAlignment="1">
      <alignment horizontal="right"/>
    </xf>
    <xf numFmtId="0" fontId="60" fillId="0" borderId="121" xfId="30" applyFont="1" applyBorder="1" applyAlignment="1">
      <alignment horizontal="center" vertical="center" wrapText="1"/>
    </xf>
    <xf numFmtId="1" fontId="60" fillId="4" borderId="121" xfId="30" applyNumberFormat="1" applyFont="1" applyFill="1" applyBorder="1" applyAlignment="1">
      <alignment horizontal="center"/>
    </xf>
    <xf numFmtId="0" fontId="58" fillId="4" borderId="121" xfId="30" applyFont="1" applyFill="1" applyBorder="1" applyAlignment="1">
      <alignment horizontal="right"/>
    </xf>
    <xf numFmtId="3" fontId="55" fillId="2" borderId="121" xfId="30" applyNumberFormat="1" applyFont="1" applyFill="1" applyBorder="1" applyAlignment="1">
      <alignment horizontal="right"/>
    </xf>
    <xf numFmtId="0" fontId="55" fillId="4" borderId="121" xfId="30" applyFont="1" applyFill="1" applyBorder="1" applyAlignment="1">
      <alignment vertical="center" wrapText="1"/>
    </xf>
    <xf numFmtId="3" fontId="55" fillId="0" borderId="121" xfId="30" applyNumberFormat="1" applyFont="1" applyBorder="1" applyAlignment="1">
      <alignment vertical="center"/>
    </xf>
    <xf numFmtId="0" fontId="55" fillId="2" borderId="121" xfId="30" applyFont="1" applyFill="1" applyBorder="1" applyAlignment="1">
      <alignment horizontal="right"/>
    </xf>
    <xf numFmtId="3" fontId="55" fillId="2" borderId="121" xfId="30" applyNumberFormat="1" applyFont="1" applyFill="1" applyBorder="1" applyAlignment="1">
      <alignment vertical="center"/>
    </xf>
    <xf numFmtId="0" fontId="55" fillId="0" borderId="121" xfId="30" applyFont="1" applyBorder="1" applyAlignment="1">
      <alignment horizontal="right"/>
    </xf>
    <xf numFmtId="3" fontId="55" fillId="0" borderId="121" xfId="30" applyNumberFormat="1" applyFont="1" applyBorder="1"/>
    <xf numFmtId="191" fontId="55" fillId="0" borderId="121" xfId="30" applyNumberFormat="1" applyFont="1" applyBorder="1" applyAlignment="1">
      <alignment vertical="center"/>
    </xf>
    <xf numFmtId="191" fontId="55" fillId="2" borderId="121" xfId="30" applyNumberFormat="1" applyFont="1" applyFill="1" applyBorder="1" applyAlignment="1">
      <alignment vertical="center"/>
    </xf>
    <xf numFmtId="0" fontId="60" fillId="4" borderId="121" xfId="30" applyFont="1" applyFill="1" applyBorder="1" applyAlignment="1">
      <alignment vertical="center"/>
    </xf>
    <xf numFmtId="1" fontId="60" fillId="4" borderId="121" xfId="30" quotePrefix="1" applyNumberFormat="1" applyFont="1" applyFill="1" applyBorder="1" applyAlignment="1">
      <alignment horizontal="right" vertical="center"/>
    </xf>
    <xf numFmtId="0" fontId="60" fillId="4" borderId="121" xfId="30" applyFont="1" applyFill="1" applyBorder="1" applyAlignment="1">
      <alignment wrapText="1"/>
    </xf>
    <xf numFmtId="0" fontId="55" fillId="4" borderId="121" xfId="30" applyFont="1" applyFill="1" applyBorder="1" applyAlignment="1">
      <alignment vertical="center"/>
    </xf>
    <xf numFmtId="0" fontId="55" fillId="0" borderId="121" xfId="30" applyFont="1" applyBorder="1" applyAlignment="1">
      <alignment vertical="center"/>
    </xf>
    <xf numFmtId="0" fontId="55" fillId="4" borderId="121" xfId="30" applyFont="1" applyFill="1" applyBorder="1"/>
    <xf numFmtId="3" fontId="55" fillId="2" borderId="121" xfId="30" applyNumberFormat="1" applyFont="1" applyFill="1" applyBorder="1"/>
    <xf numFmtId="9" fontId="55" fillId="0" borderId="121" xfId="31" applyFont="1" applyBorder="1"/>
    <xf numFmtId="167" fontId="55" fillId="0" borderId="121" xfId="30" applyNumberFormat="1" applyFont="1" applyBorder="1" applyAlignment="1">
      <alignment vertical="center"/>
    </xf>
    <xf numFmtId="0" fontId="55" fillId="9" borderId="121" xfId="30" applyFont="1" applyFill="1" applyBorder="1" applyAlignment="1">
      <alignment vertical="center"/>
    </xf>
    <xf numFmtId="3" fontId="55" fillId="9" borderId="121" xfId="30" applyNumberFormat="1" applyFont="1" applyFill="1" applyBorder="1" applyAlignment="1">
      <alignment vertical="center"/>
    </xf>
    <xf numFmtId="0" fontId="60" fillId="9" borderId="121" xfId="30" applyFont="1" applyFill="1" applyBorder="1"/>
    <xf numFmtId="3" fontId="60" fillId="9" borderId="121" xfId="30" applyNumberFormat="1" applyFont="1" applyFill="1" applyBorder="1"/>
    <xf numFmtId="9" fontId="60" fillId="9" borderId="121" xfId="31" applyFont="1" applyFill="1" applyBorder="1"/>
    <xf numFmtId="1" fontId="60" fillId="4" borderId="121" xfId="30" applyNumberFormat="1" applyFont="1" applyFill="1" applyBorder="1" applyAlignment="1">
      <alignment horizontal="right" vertical="center"/>
    </xf>
    <xf numFmtId="0" fontId="60" fillId="9" borderId="121" xfId="30" applyFont="1" applyFill="1" applyBorder="1" applyAlignment="1">
      <alignment vertical="center"/>
    </xf>
    <xf numFmtId="3" fontId="60" fillId="9" borderId="121" xfId="30" applyNumberFormat="1" applyFont="1" applyFill="1" applyBorder="1" applyAlignment="1">
      <alignment vertical="center"/>
    </xf>
    <xf numFmtId="0" fontId="60" fillId="0" borderId="121" xfId="30" applyFont="1" applyBorder="1" applyAlignment="1">
      <alignment horizontal="center" wrapText="1"/>
    </xf>
    <xf numFmtId="0" fontId="63" fillId="0" borderId="121" xfId="30" applyFont="1" applyBorder="1" applyAlignment="1">
      <alignment horizontal="center" wrapText="1"/>
    </xf>
    <xf numFmtId="0" fontId="60" fillId="4" borderId="121" xfId="30" applyFont="1" applyFill="1" applyBorder="1" applyAlignment="1">
      <alignment horizontal="center" vertical="center" wrapText="1"/>
    </xf>
    <xf numFmtId="0" fontId="60" fillId="4" borderId="121" xfId="30" applyFont="1" applyFill="1" applyBorder="1" applyAlignment="1">
      <alignment horizontal="center" vertical="center"/>
    </xf>
    <xf numFmtId="0" fontId="55" fillId="4" borderId="121" xfId="30" applyFont="1" applyFill="1" applyBorder="1" applyAlignment="1">
      <alignment wrapText="1"/>
    </xf>
    <xf numFmtId="1" fontId="60" fillId="4" borderId="121" xfId="30" applyNumberFormat="1" applyFont="1" applyFill="1" applyBorder="1" applyAlignment="1">
      <alignment horizontal="center" vertical="center"/>
    </xf>
    <xf numFmtId="0" fontId="55" fillId="0" borderId="121" xfId="30" applyFont="1" applyBorder="1" applyAlignment="1">
      <alignment horizontal="right" vertical="center" wrapText="1"/>
    </xf>
    <xf numFmtId="3" fontId="55" fillId="0" borderId="121" xfId="30" applyNumberFormat="1" applyFont="1" applyBorder="1" applyAlignment="1">
      <alignment horizontal="right" vertical="center" wrapText="1"/>
    </xf>
    <xf numFmtId="0" fontId="55" fillId="4" borderId="121" xfId="30" applyFont="1" applyFill="1" applyBorder="1" applyAlignment="1">
      <alignment horizontal="left" wrapText="1"/>
    </xf>
    <xf numFmtId="3" fontId="55" fillId="0" borderId="121" xfId="30" applyNumberFormat="1" applyFont="1" applyBorder="1" applyAlignment="1">
      <alignment horizontal="right"/>
    </xf>
    <xf numFmtId="1" fontId="60" fillId="4" borderId="121" xfId="30" applyNumberFormat="1" applyFont="1" applyFill="1" applyBorder="1"/>
    <xf numFmtId="0" fontId="55" fillId="0" borderId="121" xfId="30" applyFont="1" applyBorder="1"/>
    <xf numFmtId="0" fontId="55" fillId="4" borderId="121" xfId="30" applyFont="1" applyFill="1" applyBorder="1" applyAlignment="1">
      <alignment horizontal="left"/>
    </xf>
    <xf numFmtId="49" fontId="71" fillId="4" borderId="121" xfId="3" applyNumberFormat="1" applyFont="1" applyFill="1" applyBorder="1" applyAlignment="1">
      <alignment horizontal="left"/>
    </xf>
    <xf numFmtId="1" fontId="55" fillId="0" borderId="121" xfId="30" applyNumberFormat="1" applyFont="1" applyBorder="1"/>
    <xf numFmtId="0" fontId="60" fillId="4" borderId="121" xfId="30" applyFont="1" applyFill="1" applyBorder="1" applyAlignment="1">
      <alignment horizontal="left"/>
    </xf>
    <xf numFmtId="0" fontId="62" fillId="4" borderId="121" xfId="30" applyFont="1" applyFill="1" applyBorder="1" applyAlignment="1">
      <alignment horizontal="left"/>
    </xf>
    <xf numFmtId="49" fontId="228" fillId="4" borderId="121" xfId="3" applyNumberFormat="1" applyFont="1" applyFill="1" applyBorder="1" applyAlignment="1">
      <alignment horizontal="left"/>
    </xf>
    <xf numFmtId="0" fontId="55" fillId="9" borderId="121" xfId="30" applyFont="1" applyFill="1" applyBorder="1"/>
    <xf numFmtId="3" fontId="55" fillId="9" borderId="121" xfId="30" applyNumberFormat="1" applyFont="1" applyFill="1" applyBorder="1"/>
    <xf numFmtId="49" fontId="228" fillId="4" borderId="250" xfId="3" applyNumberFormat="1" applyFont="1" applyFill="1" applyBorder="1" applyAlignment="1">
      <alignment horizontal="left"/>
    </xf>
    <xf numFmtId="0" fontId="55" fillId="0" borderId="250" xfId="30" applyFont="1" applyBorder="1"/>
    <xf numFmtId="3" fontId="55" fillId="0" borderId="250" xfId="30" applyNumberFormat="1" applyFont="1" applyBorder="1"/>
    <xf numFmtId="9" fontId="32" fillId="12" borderId="135" xfId="4" applyFont="1" applyFill="1" applyBorder="1" applyAlignment="1">
      <alignment vertical="center"/>
    </xf>
    <xf numFmtId="3" fontId="32" fillId="14" borderId="144" xfId="3" applyNumberFormat="1" applyFill="1" applyBorder="1"/>
    <xf numFmtId="3" fontId="81" fillId="2" borderId="0" xfId="0" applyNumberFormat="1" applyFont="1" applyFill="1"/>
    <xf numFmtId="3" fontId="81" fillId="2" borderId="260" xfId="0" applyNumberFormat="1" applyFont="1" applyFill="1" applyBorder="1"/>
    <xf numFmtId="0" fontId="274" fillId="0" borderId="248" xfId="0" pivotButton="1" applyFont="1" applyBorder="1"/>
    <xf numFmtId="0" fontId="274" fillId="0" borderId="246" xfId="0" applyFont="1" applyBorder="1"/>
    <xf numFmtId="0" fontId="274" fillId="0" borderId="245" xfId="0" applyFont="1" applyBorder="1"/>
    <xf numFmtId="0" fontId="274" fillId="0" borderId="247" xfId="0" applyFont="1" applyBorder="1"/>
    <xf numFmtId="0" fontId="275" fillId="0" borderId="11" xfId="0" pivotButton="1" applyFont="1" applyBorder="1"/>
    <xf numFmtId="0" fontId="275" fillId="0" borderId="9" xfId="0" applyFont="1" applyBorder="1"/>
    <xf numFmtId="0" fontId="275" fillId="0" borderId="10" xfId="0" applyFont="1" applyBorder="1"/>
    <xf numFmtId="0" fontId="275" fillId="0" borderId="12" xfId="0" applyFont="1" applyBorder="1"/>
    <xf numFmtId="0" fontId="275" fillId="0" borderId="11" xfId="0" applyFont="1" applyBorder="1"/>
    <xf numFmtId="0" fontId="274" fillId="0" borderId="254" xfId="0" applyFont="1" applyBorder="1" applyAlignment="1">
      <alignment horizontal="left"/>
    </xf>
    <xf numFmtId="184" fontId="274" fillId="0" borderId="253" xfId="0" applyNumberFormat="1" applyFont="1" applyBorder="1"/>
    <xf numFmtId="184" fontId="274" fillId="0" borderId="121" xfId="0" applyNumberFormat="1" applyFont="1" applyBorder="1"/>
    <xf numFmtId="184" fontId="274" fillId="0" borderId="254" xfId="0" applyNumberFormat="1" applyFont="1" applyBorder="1"/>
    <xf numFmtId="0" fontId="274" fillId="0" borderId="30" xfId="0" applyFont="1" applyBorder="1" applyAlignment="1">
      <alignment horizontal="left"/>
    </xf>
    <xf numFmtId="0" fontId="275" fillId="0" borderId="11" xfId="0" applyFont="1" applyBorder="1" applyAlignment="1">
      <alignment horizontal="left"/>
    </xf>
    <xf numFmtId="184" fontId="275" fillId="0" borderId="1" xfId="0" applyNumberFormat="1" applyFont="1" applyBorder="1"/>
    <xf numFmtId="184" fontId="275" fillId="0" borderId="13" xfId="0" applyNumberFormat="1" applyFont="1" applyBorder="1"/>
    <xf numFmtId="184" fontId="275" fillId="0" borderId="11" xfId="0" applyNumberFormat="1" applyFont="1" applyBorder="1"/>
    <xf numFmtId="1" fontId="274" fillId="0" borderId="253" xfId="0" applyNumberFormat="1" applyFont="1" applyBorder="1"/>
    <xf numFmtId="1" fontId="274" fillId="0" borderId="121" xfId="0" applyNumberFormat="1" applyFont="1" applyBorder="1"/>
    <xf numFmtId="1" fontId="274" fillId="41" borderId="254" xfId="0" applyNumberFormat="1" applyFont="1" applyFill="1" applyBorder="1"/>
    <xf numFmtId="1" fontId="275" fillId="0" borderId="1" xfId="0" applyNumberFormat="1" applyFont="1" applyBorder="1"/>
    <xf numFmtId="1" fontId="275" fillId="0" borderId="13" xfId="0" applyNumberFormat="1" applyFont="1" applyBorder="1"/>
    <xf numFmtId="1" fontId="275" fillId="0" borderId="11" xfId="0" applyNumberFormat="1" applyFont="1" applyBorder="1"/>
    <xf numFmtId="3" fontId="9" fillId="0" borderId="64" xfId="149" applyFill="1" applyBorder="1"/>
    <xf numFmtId="3" fontId="9" fillId="0" borderId="135" xfId="149" applyFill="1" applyBorder="1"/>
    <xf numFmtId="3" fontId="9" fillId="0" borderId="134" xfId="149" applyFill="1" applyBorder="1"/>
    <xf numFmtId="184" fontId="117" fillId="0" borderId="64" xfId="78" applyNumberFormat="1" applyFont="1" applyBorder="1" applyAlignment="1">
      <alignment horizontal="right" vertical="center"/>
    </xf>
    <xf numFmtId="184" fontId="117" fillId="0" borderId="22" xfId="78" applyNumberFormat="1" applyFont="1" applyBorder="1" applyAlignment="1">
      <alignment horizontal="right" vertical="center"/>
    </xf>
    <xf numFmtId="184" fontId="117" fillId="0" borderId="32" xfId="78" applyNumberFormat="1" applyFont="1" applyBorder="1" applyAlignment="1">
      <alignment horizontal="right" vertical="center"/>
    </xf>
    <xf numFmtId="3" fontId="23" fillId="0" borderId="22" xfId="78" applyNumberFormat="1" applyBorder="1" applyProtection="1">
      <protection locked="0"/>
    </xf>
    <xf numFmtId="4" fontId="23" fillId="0" borderId="22" xfId="78" applyNumberFormat="1" applyBorder="1" applyAlignment="1" applyProtection="1">
      <alignment horizontal="right"/>
      <protection locked="0"/>
    </xf>
    <xf numFmtId="3" fontId="15" fillId="0" borderId="0" xfId="0" applyNumberFormat="1" applyFont="1" applyProtection="1">
      <protection locked="0"/>
    </xf>
    <xf numFmtId="0" fontId="26" fillId="9" borderId="0" xfId="36" applyFill="1" applyProtection="1">
      <protection hidden="1"/>
    </xf>
    <xf numFmtId="0" fontId="84" fillId="9" borderId="0" xfId="36" applyFont="1" applyFill="1" applyProtection="1">
      <protection hidden="1"/>
    </xf>
    <xf numFmtId="0" fontId="26" fillId="9" borderId="61" xfId="36" applyFill="1" applyBorder="1" applyProtection="1">
      <protection hidden="1"/>
    </xf>
    <xf numFmtId="0" fontId="223" fillId="0" borderId="0" xfId="43" applyFont="1" applyFill="1" applyProtection="1">
      <protection hidden="1"/>
    </xf>
    <xf numFmtId="0" fontId="26" fillId="0" borderId="0" xfId="36" applyProtection="1">
      <protection hidden="1"/>
    </xf>
    <xf numFmtId="0" fontId="229" fillId="0" borderId="0" xfId="43" applyFont="1" applyAlignment="1" applyProtection="1">
      <alignment horizontal="right"/>
      <protection hidden="1"/>
    </xf>
    <xf numFmtId="0" fontId="26" fillId="0" borderId="61" xfId="36" applyBorder="1" applyProtection="1">
      <protection hidden="1"/>
    </xf>
    <xf numFmtId="0" fontId="26" fillId="13" borderId="36" xfId="36" applyFill="1" applyBorder="1" applyProtection="1">
      <protection hidden="1"/>
    </xf>
    <xf numFmtId="0" fontId="52" fillId="13" borderId="36" xfId="36" applyFont="1" applyFill="1" applyBorder="1" applyProtection="1">
      <protection hidden="1"/>
    </xf>
    <xf numFmtId="0" fontId="118" fillId="13" borderId="36" xfId="36" applyFont="1" applyFill="1" applyBorder="1" applyProtection="1">
      <protection hidden="1"/>
    </xf>
    <xf numFmtId="0" fontId="120" fillId="13" borderId="55" xfId="36" applyFont="1" applyFill="1" applyBorder="1" applyProtection="1">
      <protection hidden="1"/>
    </xf>
    <xf numFmtId="0" fontId="120" fillId="13" borderId="36" xfId="36" applyFont="1" applyFill="1" applyBorder="1" applyProtection="1">
      <protection hidden="1"/>
    </xf>
    <xf numFmtId="0" fontId="26" fillId="13" borderId="90" xfId="36" applyFill="1" applyBorder="1" applyProtection="1">
      <protection hidden="1"/>
    </xf>
    <xf numFmtId="0" fontId="52" fillId="13" borderId="87" xfId="36" applyFont="1" applyFill="1" applyBorder="1" applyProtection="1">
      <protection hidden="1"/>
    </xf>
    <xf numFmtId="0" fontId="52" fillId="13" borderId="0" xfId="36" applyFont="1" applyFill="1" applyAlignment="1" applyProtection="1">
      <alignment vertical="center" wrapText="1"/>
      <protection hidden="1"/>
    </xf>
    <xf numFmtId="0" fontId="94" fillId="13" borderId="90" xfId="36" applyFont="1" applyFill="1" applyBorder="1" applyProtection="1">
      <protection hidden="1"/>
    </xf>
    <xf numFmtId="0" fontId="52" fillId="13" borderId="91" xfId="36" applyFont="1" applyFill="1" applyBorder="1" applyProtection="1">
      <protection hidden="1"/>
    </xf>
    <xf numFmtId="0" fontId="52" fillId="13" borderId="90" xfId="36" applyFont="1" applyFill="1" applyBorder="1" applyProtection="1">
      <protection hidden="1"/>
    </xf>
    <xf numFmtId="0" fontId="26" fillId="13" borderId="0" xfId="36" applyFill="1" applyProtection="1">
      <protection hidden="1"/>
    </xf>
    <xf numFmtId="0" fontId="119" fillId="13" borderId="54" xfId="43" applyFill="1" applyBorder="1" applyProtection="1">
      <protection hidden="1"/>
    </xf>
    <xf numFmtId="0" fontId="94" fillId="13" borderId="0" xfId="36" applyFont="1" applyFill="1" applyProtection="1">
      <protection hidden="1"/>
    </xf>
    <xf numFmtId="0" fontId="52" fillId="13" borderId="61" xfId="36" applyFont="1" applyFill="1" applyBorder="1" applyProtection="1">
      <protection hidden="1"/>
    </xf>
    <xf numFmtId="0" fontId="52" fillId="13" borderId="0" xfId="36" applyFont="1" applyFill="1" applyProtection="1">
      <protection hidden="1"/>
    </xf>
    <xf numFmtId="0" fontId="26" fillId="13" borderId="43" xfId="36" applyFill="1" applyBorder="1" applyProtection="1">
      <protection hidden="1"/>
    </xf>
    <xf numFmtId="0" fontId="119" fillId="13" borderId="18" xfId="43" applyFill="1" applyBorder="1" applyAlignment="1" applyProtection="1">
      <alignment vertical="top"/>
      <protection hidden="1"/>
    </xf>
    <xf numFmtId="0" fontId="94" fillId="13" borderId="43" xfId="36" applyFont="1" applyFill="1" applyBorder="1" applyProtection="1">
      <protection hidden="1"/>
    </xf>
    <xf numFmtId="0" fontId="52" fillId="13" borderId="65" xfId="36" applyFont="1" applyFill="1" applyBorder="1" applyProtection="1">
      <protection hidden="1"/>
    </xf>
    <xf numFmtId="0" fontId="52" fillId="13" borderId="43" xfId="36" applyFont="1" applyFill="1" applyBorder="1" applyProtection="1">
      <protection hidden="1"/>
    </xf>
    <xf numFmtId="0" fontId="52" fillId="13" borderId="1" xfId="36" applyFont="1" applyFill="1" applyBorder="1" applyAlignment="1" applyProtection="1">
      <alignment horizontal="center" vertical="center" wrapText="1"/>
      <protection hidden="1"/>
    </xf>
    <xf numFmtId="0" fontId="52" fillId="13" borderId="11" xfId="36" applyFont="1" applyFill="1" applyBorder="1" applyAlignment="1" applyProtection="1">
      <alignment vertical="center" wrapText="1"/>
      <protection hidden="1"/>
    </xf>
    <xf numFmtId="0" fontId="52" fillId="13" borderId="1" xfId="36" applyFont="1" applyFill="1" applyBorder="1" applyAlignment="1" applyProtection="1">
      <alignment vertical="center" wrapText="1"/>
      <protection hidden="1"/>
    </xf>
    <xf numFmtId="0" fontId="52" fillId="13" borderId="13" xfId="36" applyFont="1" applyFill="1" applyBorder="1" applyAlignment="1" applyProtection="1">
      <alignment vertical="center" wrapText="1"/>
      <protection hidden="1"/>
    </xf>
    <xf numFmtId="0" fontId="52" fillId="13" borderId="14" xfId="36" applyFont="1" applyFill="1" applyBorder="1" applyAlignment="1" applyProtection="1">
      <alignment vertical="center" wrapText="1"/>
      <protection hidden="1"/>
    </xf>
    <xf numFmtId="166" fontId="26" fillId="0" borderId="51" xfId="36" applyNumberFormat="1" applyBorder="1" applyAlignment="1" applyProtection="1">
      <alignment horizontal="right"/>
      <protection hidden="1"/>
    </xf>
    <xf numFmtId="166" fontId="81" fillId="0" borderId="65" xfId="36" applyNumberFormat="1" applyFont="1" applyBorder="1" applyProtection="1">
      <protection hidden="1"/>
    </xf>
    <xf numFmtId="166" fontId="81" fillId="0" borderId="18" xfId="36" applyNumberFormat="1" applyFont="1" applyBorder="1" applyProtection="1">
      <protection hidden="1"/>
    </xf>
    <xf numFmtId="166" fontId="81" fillId="0" borderId="78" xfId="36" applyNumberFormat="1" applyFont="1" applyBorder="1" applyProtection="1">
      <protection hidden="1"/>
    </xf>
    <xf numFmtId="181" fontId="0" fillId="0" borderId="0" xfId="37" applyNumberFormat="1" applyFont="1" applyProtection="1">
      <protection hidden="1"/>
    </xf>
    <xf numFmtId="166" fontId="26" fillId="0" borderId="24" xfId="36" applyNumberFormat="1" applyBorder="1" applyAlignment="1" applyProtection="1">
      <alignment horizontal="right"/>
      <protection hidden="1"/>
    </xf>
    <xf numFmtId="166" fontId="81" fillId="0" borderId="122" xfId="36" applyNumberFormat="1" applyFont="1" applyBorder="1" applyProtection="1">
      <protection hidden="1"/>
    </xf>
    <xf numFmtId="166" fontId="81" fillId="0" borderId="121" xfId="36" applyNumberFormat="1" applyFont="1" applyBorder="1" applyProtection="1">
      <protection hidden="1"/>
    </xf>
    <xf numFmtId="166" fontId="81" fillId="0" borderId="25" xfId="36" applyNumberFormat="1" applyFont="1" applyBorder="1" applyProtection="1">
      <protection hidden="1"/>
    </xf>
    <xf numFmtId="166" fontId="81" fillId="9" borderId="91" xfId="36" applyNumberFormat="1" applyFont="1" applyFill="1" applyBorder="1" applyProtection="1">
      <protection hidden="1"/>
    </xf>
    <xf numFmtId="166" fontId="81" fillId="9" borderId="121" xfId="36" applyNumberFormat="1" applyFont="1" applyFill="1" applyBorder="1" applyProtection="1">
      <protection hidden="1"/>
    </xf>
    <xf numFmtId="166" fontId="81" fillId="9" borderId="123" xfId="36" applyNumberFormat="1" applyFont="1" applyFill="1" applyBorder="1" applyProtection="1">
      <protection hidden="1"/>
    </xf>
    <xf numFmtId="166" fontId="81" fillId="0" borderId="93" xfId="36" applyNumberFormat="1" applyFont="1" applyBorder="1" applyProtection="1">
      <protection hidden="1"/>
    </xf>
    <xf numFmtId="0" fontId="119" fillId="0" borderId="0" xfId="43" applyFill="1" applyProtection="1">
      <protection hidden="1"/>
    </xf>
    <xf numFmtId="166" fontId="81" fillId="0" borderId="101" xfId="36" applyNumberFormat="1" applyFont="1" applyBorder="1" applyProtection="1">
      <protection hidden="1"/>
    </xf>
    <xf numFmtId="0" fontId="26" fillId="0" borderId="11" xfId="36" applyBorder="1" applyProtection="1">
      <protection hidden="1"/>
    </xf>
    <xf numFmtId="0" fontId="26" fillId="0" borderId="1" xfId="36" applyBorder="1" applyProtection="1">
      <protection hidden="1"/>
    </xf>
    <xf numFmtId="0" fontId="26" fillId="0" borderId="13" xfId="36" applyBorder="1" applyProtection="1">
      <protection hidden="1"/>
    </xf>
    <xf numFmtId="0" fontId="26" fillId="0" borderId="14" xfId="36" applyBorder="1" applyProtection="1">
      <protection hidden="1"/>
    </xf>
    <xf numFmtId="0" fontId="67" fillId="0" borderId="0" xfId="36" applyFont="1" applyAlignment="1" applyProtection="1">
      <alignment horizontal="center" vertical="center" wrapText="1"/>
      <protection hidden="1"/>
    </xf>
    <xf numFmtId="0" fontId="103" fillId="2" borderId="22" xfId="36" applyFont="1" applyFill="1" applyBorder="1" applyAlignment="1" applyProtection="1">
      <alignment horizontal="center" vertical="center" wrapText="1"/>
      <protection hidden="1"/>
    </xf>
    <xf numFmtId="0" fontId="52" fillId="13" borderId="14" xfId="36" applyFont="1" applyFill="1" applyBorder="1" applyAlignment="1" applyProtection="1">
      <alignment horizontal="center" vertical="center" wrapText="1"/>
      <protection hidden="1"/>
    </xf>
    <xf numFmtId="0" fontId="52" fillId="13" borderId="12" xfId="36" applyFont="1" applyFill="1" applyBorder="1" applyAlignment="1" applyProtection="1">
      <alignment horizontal="center" vertical="center" wrapText="1"/>
      <protection hidden="1"/>
    </xf>
    <xf numFmtId="0" fontId="52" fillId="13" borderId="13" xfId="36" applyFont="1" applyFill="1" applyBorder="1" applyAlignment="1" applyProtection="1">
      <alignment horizontal="center" vertical="center" wrapText="1"/>
      <protection hidden="1"/>
    </xf>
    <xf numFmtId="0" fontId="26" fillId="0" borderId="81" xfId="36" applyBorder="1" applyProtection="1">
      <protection hidden="1"/>
    </xf>
    <xf numFmtId="0" fontId="26" fillId="0" borderId="78" xfId="36" applyBorder="1" applyProtection="1">
      <protection hidden="1"/>
    </xf>
    <xf numFmtId="2" fontId="26" fillId="0" borderId="78" xfId="36" applyNumberFormat="1" applyBorder="1" applyAlignment="1" applyProtection="1">
      <alignment horizontal="right"/>
      <protection hidden="1"/>
    </xf>
    <xf numFmtId="2" fontId="81" fillId="0" borderId="17" xfId="36" applyNumberFormat="1" applyFont="1" applyBorder="1" applyProtection="1">
      <protection hidden="1"/>
    </xf>
    <xf numFmtId="2" fontId="81" fillId="0" borderId="18" xfId="42" applyNumberFormat="1" applyFont="1" applyBorder="1" applyProtection="1">
      <protection hidden="1"/>
    </xf>
    <xf numFmtId="2" fontId="81" fillId="0" borderId="19" xfId="36" applyNumberFormat="1" applyFont="1" applyBorder="1" applyProtection="1">
      <protection hidden="1"/>
    </xf>
    <xf numFmtId="0" fontId="26" fillId="0" borderId="102" xfId="36" applyBorder="1" applyProtection="1">
      <protection hidden="1"/>
    </xf>
    <xf numFmtId="0" fontId="26" fillId="0" borderId="108" xfId="36" applyBorder="1" applyProtection="1">
      <protection hidden="1"/>
    </xf>
    <xf numFmtId="2" fontId="26" fillId="0" borderId="108" xfId="36" applyNumberFormat="1" applyBorder="1" applyAlignment="1" applyProtection="1">
      <alignment horizontal="right"/>
      <protection hidden="1"/>
    </xf>
    <xf numFmtId="2" fontId="81" fillId="9" borderId="22" xfId="42" applyNumberFormat="1" applyFont="1" applyFill="1" applyBorder="1" applyProtection="1">
      <protection hidden="1"/>
    </xf>
    <xf numFmtId="0" fontId="26" fillId="0" borderId="4" xfId="36" applyBorder="1" applyProtection="1">
      <protection hidden="1"/>
    </xf>
    <xf numFmtId="0" fontId="26" fillId="0" borderId="5" xfId="36" applyBorder="1" applyProtection="1">
      <protection hidden="1"/>
    </xf>
    <xf numFmtId="2" fontId="81" fillId="0" borderId="21" xfId="36" applyNumberFormat="1" applyFont="1" applyBorder="1" applyProtection="1">
      <protection hidden="1"/>
    </xf>
    <xf numFmtId="2" fontId="81" fillId="0" borderId="22" xfId="42" applyNumberFormat="1" applyFont="1" applyBorder="1" applyProtection="1">
      <protection hidden="1"/>
    </xf>
    <xf numFmtId="2" fontId="81" fillId="0" borderId="23" xfId="36" applyNumberFormat="1" applyFont="1" applyBorder="1" applyProtection="1">
      <protection hidden="1"/>
    </xf>
    <xf numFmtId="2" fontId="26" fillId="9" borderId="108" xfId="36" applyNumberFormat="1" applyFill="1" applyBorder="1" applyAlignment="1" applyProtection="1">
      <alignment horizontal="right"/>
      <protection hidden="1"/>
    </xf>
    <xf numFmtId="2" fontId="81" fillId="9" borderId="21" xfId="36" applyNumberFormat="1" applyFont="1" applyFill="1" applyBorder="1" applyProtection="1">
      <protection hidden="1"/>
    </xf>
    <xf numFmtId="2" fontId="81" fillId="9" borderId="23" xfId="36" applyNumberFormat="1" applyFont="1" applyFill="1" applyBorder="1" applyProtection="1">
      <protection hidden="1"/>
    </xf>
    <xf numFmtId="2" fontId="26" fillId="9" borderId="108" xfId="36" applyNumberFormat="1" applyFill="1" applyBorder="1" applyAlignment="1" applyProtection="1">
      <alignment horizontal="left"/>
      <protection hidden="1"/>
    </xf>
    <xf numFmtId="2" fontId="81" fillId="9" borderId="27" xfId="42" applyNumberFormat="1" applyFont="1" applyFill="1" applyBorder="1" applyProtection="1">
      <protection hidden="1"/>
    </xf>
    <xf numFmtId="2" fontId="26" fillId="0" borderId="12" xfId="36" applyNumberFormat="1" applyBorder="1" applyProtection="1">
      <protection hidden="1"/>
    </xf>
    <xf numFmtId="2" fontId="26" fillId="0" borderId="1" xfId="36" applyNumberFormat="1" applyBorder="1" applyProtection="1">
      <protection hidden="1"/>
    </xf>
    <xf numFmtId="2" fontId="26" fillId="0" borderId="13" xfId="36" applyNumberFormat="1" applyBorder="1" applyProtection="1">
      <protection hidden="1"/>
    </xf>
    <xf numFmtId="2" fontId="26" fillId="0" borderId="14" xfId="36" applyNumberFormat="1" applyBorder="1" applyProtection="1">
      <protection hidden="1"/>
    </xf>
    <xf numFmtId="0" fontId="103" fillId="2" borderId="55" xfId="36" applyFont="1" applyFill="1" applyBorder="1" applyAlignment="1" applyProtection="1">
      <alignment horizontal="center" vertical="center" wrapText="1"/>
      <protection hidden="1"/>
    </xf>
    <xf numFmtId="0" fontId="104" fillId="13" borderId="36" xfId="36" applyFont="1" applyFill="1" applyBorder="1" applyProtection="1">
      <protection hidden="1"/>
    </xf>
    <xf numFmtId="0" fontId="67" fillId="0" borderId="0" xfId="36" applyFont="1" applyProtection="1">
      <protection hidden="1"/>
    </xf>
    <xf numFmtId="0" fontId="52" fillId="9" borderId="3" xfId="36" applyFont="1" applyFill="1" applyBorder="1" applyAlignment="1" applyProtection="1">
      <alignment horizontal="center" vertical="center" wrapText="1"/>
      <protection hidden="1"/>
    </xf>
    <xf numFmtId="0" fontId="52" fillId="9" borderId="1" xfId="36" applyFont="1" applyFill="1" applyBorder="1" applyAlignment="1" applyProtection="1">
      <alignment horizontal="center" vertical="center" wrapText="1"/>
      <protection hidden="1"/>
    </xf>
    <xf numFmtId="0" fontId="52" fillId="9" borderId="13" xfId="36" applyFont="1" applyFill="1" applyBorder="1" applyAlignment="1" applyProtection="1">
      <alignment horizontal="center" vertical="center" wrapText="1"/>
      <protection hidden="1"/>
    </xf>
    <xf numFmtId="0" fontId="52" fillId="9" borderId="14" xfId="36" applyFont="1" applyFill="1" applyBorder="1" applyAlignment="1" applyProtection="1">
      <alignment horizontal="center" vertical="center" wrapText="1"/>
      <protection hidden="1"/>
    </xf>
    <xf numFmtId="0" fontId="26" fillId="0" borderId="69" xfId="36" applyBorder="1" applyProtection="1">
      <protection hidden="1"/>
    </xf>
    <xf numFmtId="0" fontId="26" fillId="0" borderId="34" xfId="36" applyBorder="1" applyProtection="1">
      <protection hidden="1"/>
    </xf>
    <xf numFmtId="176" fontId="26" fillId="0" borderId="69" xfId="7" applyNumberFormat="1" applyFont="1" applyBorder="1" applyAlignment="1" applyProtection="1">
      <alignment horizontal="right" indent="1"/>
      <protection hidden="1"/>
    </xf>
    <xf numFmtId="1" fontId="26" fillId="0" borderId="69" xfId="36" applyNumberFormat="1" applyBorder="1" applyProtection="1">
      <protection hidden="1"/>
    </xf>
    <xf numFmtId="1" fontId="26" fillId="0" borderId="64" xfId="36" applyNumberFormat="1" applyBorder="1" applyProtection="1">
      <protection hidden="1"/>
    </xf>
    <xf numFmtId="1" fontId="26" fillId="0" borderId="35" xfId="36" applyNumberFormat="1" applyBorder="1" applyProtection="1">
      <protection hidden="1"/>
    </xf>
    <xf numFmtId="0" fontId="26" fillId="0" borderId="56" xfId="36" applyBorder="1" applyProtection="1">
      <protection hidden="1"/>
    </xf>
    <xf numFmtId="0" fontId="26" fillId="0" borderId="36" xfId="36" applyBorder="1" applyProtection="1">
      <protection hidden="1"/>
    </xf>
    <xf numFmtId="176" fontId="26" fillId="0" borderId="56" xfId="7" applyNumberFormat="1" applyFont="1" applyBorder="1" applyAlignment="1" applyProtection="1">
      <alignment horizontal="right" indent="1"/>
      <protection hidden="1"/>
    </xf>
    <xf numFmtId="1" fontId="26" fillId="0" borderId="56" xfId="36" applyNumberFormat="1" applyBorder="1" applyProtection="1">
      <protection hidden="1"/>
    </xf>
    <xf numFmtId="1" fontId="26" fillId="0" borderId="121" xfId="36" applyNumberFormat="1" applyBorder="1" applyProtection="1">
      <protection hidden="1"/>
    </xf>
    <xf numFmtId="1" fontId="26" fillId="0" borderId="25" xfId="36" applyNumberFormat="1" applyBorder="1" applyProtection="1">
      <protection hidden="1"/>
    </xf>
    <xf numFmtId="176" fontId="26" fillId="9" borderId="56" xfId="7" applyNumberFormat="1" applyFont="1" applyFill="1" applyBorder="1" applyAlignment="1" applyProtection="1">
      <alignment horizontal="right" indent="1"/>
      <protection hidden="1"/>
    </xf>
    <xf numFmtId="1" fontId="26" fillId="9" borderId="56" xfId="36" applyNumberFormat="1" applyFill="1" applyBorder="1" applyProtection="1">
      <protection hidden="1"/>
    </xf>
    <xf numFmtId="1" fontId="26" fillId="9" borderId="121" xfId="36" applyNumberFormat="1" applyFill="1" applyBorder="1" applyProtection="1">
      <protection hidden="1"/>
    </xf>
    <xf numFmtId="1" fontId="26" fillId="9" borderId="25" xfId="36" applyNumberFormat="1" applyFill="1" applyBorder="1" applyProtection="1">
      <protection hidden="1"/>
    </xf>
    <xf numFmtId="0" fontId="26" fillId="0" borderId="37" xfId="36" applyBorder="1" applyProtection="1">
      <protection hidden="1"/>
    </xf>
    <xf numFmtId="176" fontId="26" fillId="0" borderId="30" xfId="7" applyNumberFormat="1" applyFont="1" applyBorder="1" applyAlignment="1" applyProtection="1">
      <alignment horizontal="right" indent="1"/>
      <protection hidden="1"/>
    </xf>
    <xf numFmtId="1" fontId="26" fillId="0" borderId="57" xfId="36" applyNumberFormat="1" applyBorder="1" applyProtection="1">
      <protection hidden="1"/>
    </xf>
    <xf numFmtId="1" fontId="26" fillId="0" borderId="32" xfId="36" applyNumberFormat="1" applyBorder="1" applyProtection="1">
      <protection hidden="1"/>
    </xf>
    <xf numFmtId="1" fontId="26" fillId="0" borderId="38" xfId="36" applyNumberFormat="1" applyBorder="1" applyProtection="1">
      <protection hidden="1"/>
    </xf>
    <xf numFmtId="0" fontId="52" fillId="13" borderId="69" xfId="36" applyFont="1" applyFill="1" applyBorder="1" applyAlignment="1" applyProtection="1">
      <alignment horizontal="center" vertical="center" wrapText="1"/>
      <protection hidden="1"/>
    </xf>
    <xf numFmtId="0" fontId="52" fillId="13" borderId="63" xfId="36" applyFont="1" applyFill="1" applyBorder="1" applyAlignment="1" applyProtection="1">
      <alignment horizontal="center" vertical="center" wrapText="1"/>
      <protection hidden="1"/>
    </xf>
    <xf numFmtId="0" fontId="52" fillId="13" borderId="34" xfId="36" applyFont="1" applyFill="1" applyBorder="1" applyAlignment="1" applyProtection="1">
      <alignment horizontal="center" vertical="center" wrapText="1"/>
      <protection hidden="1"/>
    </xf>
    <xf numFmtId="0" fontId="52" fillId="13" borderId="72" xfId="36" applyFont="1" applyFill="1" applyBorder="1" applyAlignment="1" applyProtection="1">
      <alignment horizontal="center" vertical="center" wrapText="1"/>
      <protection hidden="1"/>
    </xf>
    <xf numFmtId="3" fontId="26" fillId="0" borderId="56" xfId="36" applyNumberFormat="1" applyBorder="1" applyProtection="1">
      <protection hidden="1"/>
    </xf>
    <xf numFmtId="3" fontId="26" fillId="0" borderId="23" xfId="36" applyNumberFormat="1" applyBorder="1" applyProtection="1">
      <protection hidden="1"/>
    </xf>
    <xf numFmtId="3" fontId="26" fillId="0" borderId="36" xfId="36" applyNumberFormat="1" applyBorder="1" applyProtection="1">
      <protection hidden="1"/>
    </xf>
    <xf numFmtId="3" fontId="26" fillId="0" borderId="55" xfId="36" applyNumberFormat="1" applyBorder="1" applyProtection="1">
      <protection hidden="1"/>
    </xf>
    <xf numFmtId="1" fontId="26" fillId="0" borderId="36" xfId="36" applyNumberFormat="1" applyBorder="1" applyProtection="1">
      <protection hidden="1"/>
    </xf>
    <xf numFmtId="1" fontId="26" fillId="0" borderId="55" xfId="36" applyNumberFormat="1" applyBorder="1" applyProtection="1">
      <protection hidden="1"/>
    </xf>
    <xf numFmtId="1" fontId="26" fillId="0" borderId="23" xfId="36" applyNumberFormat="1" applyBorder="1" applyProtection="1">
      <protection hidden="1"/>
    </xf>
    <xf numFmtId="0" fontId="81" fillId="21" borderId="0" xfId="36" applyFont="1" applyFill="1" applyProtection="1">
      <protection hidden="1"/>
    </xf>
    <xf numFmtId="3" fontId="26" fillId="9" borderId="56" xfId="36" applyNumberFormat="1" applyFill="1" applyBorder="1" applyProtection="1">
      <protection hidden="1"/>
    </xf>
    <xf numFmtId="3" fontId="26" fillId="0" borderId="75" xfId="36" applyNumberFormat="1" applyBorder="1" applyProtection="1">
      <protection hidden="1"/>
    </xf>
    <xf numFmtId="3" fontId="26" fillId="0" borderId="33" xfId="36" applyNumberFormat="1" applyBorder="1" applyProtection="1">
      <protection hidden="1"/>
    </xf>
    <xf numFmtId="3" fontId="26" fillId="0" borderId="37" xfId="36" applyNumberFormat="1" applyBorder="1" applyProtection="1">
      <protection hidden="1"/>
    </xf>
    <xf numFmtId="3" fontId="26" fillId="0" borderId="57" xfId="36" applyNumberFormat="1" applyBorder="1" applyProtection="1">
      <protection hidden="1"/>
    </xf>
    <xf numFmtId="3" fontId="26" fillId="0" borderId="66" xfId="36" applyNumberFormat="1" applyBorder="1" applyProtection="1">
      <protection hidden="1"/>
    </xf>
    <xf numFmtId="3" fontId="26" fillId="0" borderId="9" xfId="36" applyNumberFormat="1" applyBorder="1" applyProtection="1">
      <protection hidden="1"/>
    </xf>
    <xf numFmtId="3" fontId="26" fillId="0" borderId="12" xfId="36" applyNumberFormat="1" applyBorder="1" applyAlignment="1" applyProtection="1">
      <alignment horizontal="left"/>
      <protection hidden="1"/>
    </xf>
    <xf numFmtId="3" fontId="26" fillId="0" borderId="10" xfId="36" applyNumberFormat="1" applyBorder="1" applyProtection="1">
      <protection hidden="1"/>
    </xf>
    <xf numFmtId="3" fontId="26" fillId="0" borderId="12" xfId="36" applyNumberFormat="1" applyBorder="1" applyProtection="1">
      <protection hidden="1"/>
    </xf>
    <xf numFmtId="0" fontId="103" fillId="0" borderId="22" xfId="36" applyFont="1" applyBorder="1" applyAlignment="1" applyProtection="1">
      <alignment horizontal="center" wrapText="1"/>
      <protection hidden="1"/>
    </xf>
    <xf numFmtId="0" fontId="52" fillId="13" borderId="9" xfId="36" applyFont="1" applyFill="1" applyBorder="1" applyAlignment="1" applyProtection="1">
      <alignment vertical="center" wrapText="1"/>
      <protection hidden="1"/>
    </xf>
    <xf numFmtId="0" fontId="52" fillId="13" borderId="16" xfId="36" applyFont="1" applyFill="1" applyBorder="1" applyAlignment="1" applyProtection="1">
      <alignment vertical="center" wrapText="1"/>
      <protection hidden="1"/>
    </xf>
    <xf numFmtId="1" fontId="26" fillId="0" borderId="30" xfId="36" applyNumberFormat="1" applyBorder="1" applyProtection="1">
      <protection hidden="1"/>
    </xf>
    <xf numFmtId="43" fontId="26" fillId="0" borderId="31" xfId="7" applyFont="1" applyBorder="1" applyProtection="1">
      <protection hidden="1"/>
    </xf>
    <xf numFmtId="43" fontId="0" fillId="0" borderId="32" xfId="7" applyFont="1" applyBorder="1" applyProtection="1">
      <protection hidden="1"/>
    </xf>
    <xf numFmtId="43" fontId="26" fillId="0" borderId="33" xfId="7" applyFont="1" applyBorder="1" applyProtection="1">
      <protection hidden="1"/>
    </xf>
    <xf numFmtId="0" fontId="52" fillId="9" borderId="9" xfId="36" applyFont="1" applyFill="1" applyBorder="1" applyAlignment="1" applyProtection="1">
      <alignment horizontal="center" vertical="center" wrapText="1"/>
      <protection hidden="1"/>
    </xf>
    <xf numFmtId="0" fontId="52" fillId="9" borderId="16" xfId="36" applyFont="1" applyFill="1" applyBorder="1" applyAlignment="1" applyProtection="1">
      <alignment horizontal="center" vertical="center" wrapText="1"/>
      <protection hidden="1"/>
    </xf>
    <xf numFmtId="176" fontId="26" fillId="0" borderId="30" xfId="7" applyNumberFormat="1" applyFont="1" applyBorder="1" applyProtection="1">
      <protection hidden="1"/>
    </xf>
    <xf numFmtId="2" fontId="52" fillId="9" borderId="74" xfId="36" applyNumberFormat="1" applyFont="1" applyFill="1" applyBorder="1" applyAlignment="1" applyProtection="1">
      <alignment horizontal="center" vertical="center" wrapText="1"/>
      <protection hidden="1"/>
    </xf>
    <xf numFmtId="2" fontId="52" fillId="9" borderId="2" xfId="36" applyNumberFormat="1" applyFont="1" applyFill="1" applyBorder="1" applyAlignment="1" applyProtection="1">
      <alignment horizontal="center" vertical="center" wrapText="1"/>
      <protection hidden="1"/>
    </xf>
    <xf numFmtId="2" fontId="52" fillId="9" borderId="67" xfId="36" applyNumberFormat="1" applyFont="1" applyFill="1" applyBorder="1" applyAlignment="1" applyProtection="1">
      <alignment horizontal="center" vertical="center" wrapText="1"/>
      <protection hidden="1"/>
    </xf>
    <xf numFmtId="2" fontId="52" fillId="9" borderId="59" xfId="36" applyNumberFormat="1" applyFont="1" applyFill="1" applyBorder="1" applyAlignment="1" applyProtection="1">
      <alignment horizontal="center" vertical="center" wrapText="1"/>
      <protection hidden="1"/>
    </xf>
    <xf numFmtId="2" fontId="26" fillId="0" borderId="24" xfId="36" applyNumberFormat="1" applyBorder="1" applyProtection="1">
      <protection hidden="1"/>
    </xf>
    <xf numFmtId="2" fontId="26" fillId="0" borderId="21" xfId="36" applyNumberFormat="1" applyBorder="1" applyProtection="1">
      <protection hidden="1"/>
    </xf>
    <xf numFmtId="2" fontId="26" fillId="0" borderId="121" xfId="36" applyNumberFormat="1" applyBorder="1" applyProtection="1">
      <protection hidden="1"/>
    </xf>
    <xf numFmtId="2" fontId="26" fillId="0" borderId="23" xfId="36" applyNumberFormat="1" applyBorder="1" applyProtection="1">
      <protection hidden="1"/>
    </xf>
    <xf numFmtId="0" fontId="26" fillId="21" borderId="0" xfId="36" applyFill="1" applyProtection="1">
      <protection hidden="1"/>
    </xf>
    <xf numFmtId="2" fontId="26" fillId="0" borderId="30" xfId="36" applyNumberFormat="1" applyBorder="1" applyProtection="1">
      <protection hidden="1"/>
    </xf>
    <xf numFmtId="0" fontId="26" fillId="9" borderId="31" xfId="36" applyFill="1" applyBorder="1" applyProtection="1">
      <protection hidden="1"/>
    </xf>
    <xf numFmtId="183" fontId="81" fillId="9" borderId="32" xfId="36" applyNumberFormat="1" applyFont="1" applyFill="1" applyBorder="1" applyProtection="1">
      <protection hidden="1"/>
    </xf>
    <xf numFmtId="0" fontId="26" fillId="9" borderId="119" xfId="36" applyFill="1" applyBorder="1" applyProtection="1">
      <protection hidden="1"/>
    </xf>
    <xf numFmtId="2" fontId="26" fillId="0" borderId="0" xfId="36" applyNumberFormat="1" applyProtection="1">
      <protection hidden="1"/>
    </xf>
    <xf numFmtId="0" fontId="26" fillId="0" borderId="2" xfId="36" applyBorder="1" applyProtection="1">
      <protection hidden="1"/>
    </xf>
    <xf numFmtId="0" fontId="26" fillId="0" borderId="3" xfId="36" applyBorder="1" applyProtection="1">
      <protection hidden="1"/>
    </xf>
    <xf numFmtId="0" fontId="52" fillId="9" borderId="74" xfId="36" applyFont="1" applyFill="1" applyBorder="1" applyAlignment="1" applyProtection="1">
      <alignment horizontal="center" vertical="center" wrapText="1"/>
      <protection hidden="1"/>
    </xf>
    <xf numFmtId="0" fontId="52" fillId="9" borderId="2" xfId="36" applyFont="1" applyFill="1" applyBorder="1" applyAlignment="1" applyProtection="1">
      <alignment horizontal="center" vertical="center" wrapText="1"/>
      <protection hidden="1"/>
    </xf>
    <xf numFmtId="0" fontId="52" fillId="9" borderId="67" xfId="36" applyFont="1" applyFill="1" applyBorder="1" applyAlignment="1" applyProtection="1">
      <alignment horizontal="center" vertical="center" wrapText="1"/>
      <protection hidden="1"/>
    </xf>
    <xf numFmtId="0" fontId="52" fillId="9" borderId="59" xfId="36" applyFont="1" applyFill="1" applyBorder="1" applyAlignment="1" applyProtection="1">
      <alignment horizontal="center" vertical="center" wrapText="1"/>
      <protection hidden="1"/>
    </xf>
    <xf numFmtId="0" fontId="26" fillId="0" borderId="55" xfId="36" applyBorder="1" applyProtection="1">
      <protection hidden="1"/>
    </xf>
    <xf numFmtId="2" fontId="26" fillId="0" borderId="31" xfId="36" applyNumberFormat="1" applyBorder="1" applyProtection="1">
      <protection hidden="1"/>
    </xf>
    <xf numFmtId="2" fontId="26" fillId="0" borderId="32" xfId="36" applyNumberFormat="1" applyBorder="1" applyProtection="1">
      <protection hidden="1"/>
    </xf>
    <xf numFmtId="2" fontId="26" fillId="0" borderId="33" xfId="36" applyNumberFormat="1" applyBorder="1" applyProtection="1">
      <protection hidden="1"/>
    </xf>
    <xf numFmtId="0" fontId="52" fillId="9" borderId="74" xfId="36" applyFont="1" applyFill="1" applyBorder="1" applyAlignment="1" applyProtection="1">
      <alignment vertical="center" wrapText="1"/>
      <protection hidden="1"/>
    </xf>
    <xf numFmtId="0" fontId="52" fillId="9" borderId="2" xfId="36" applyFont="1" applyFill="1" applyBorder="1" applyAlignment="1" applyProtection="1">
      <alignment vertical="center" wrapText="1"/>
      <protection hidden="1"/>
    </xf>
    <xf numFmtId="0" fontId="52" fillId="9" borderId="67" xfId="36" applyFont="1" applyFill="1" applyBorder="1" applyAlignment="1" applyProtection="1">
      <alignment vertical="center" wrapText="1"/>
      <protection hidden="1"/>
    </xf>
    <xf numFmtId="0" fontId="52" fillId="9" borderId="59" xfId="36" applyFont="1" applyFill="1" applyBorder="1" applyAlignment="1" applyProtection="1">
      <alignment vertical="center" wrapText="1"/>
      <protection hidden="1"/>
    </xf>
    <xf numFmtId="176" fontId="26" fillId="0" borderId="20" xfId="7" applyNumberFormat="1" applyFont="1" applyBorder="1" applyProtection="1">
      <protection hidden="1"/>
    </xf>
    <xf numFmtId="43" fontId="26" fillId="0" borderId="62" xfId="7" applyFont="1" applyBorder="1" applyProtection="1">
      <protection hidden="1"/>
    </xf>
    <xf numFmtId="43" fontId="0" fillId="0" borderId="64" xfId="7" applyFont="1" applyBorder="1" applyProtection="1">
      <protection hidden="1"/>
    </xf>
    <xf numFmtId="43" fontId="26" fillId="0" borderId="63" xfId="7" applyFont="1" applyBorder="1" applyProtection="1">
      <protection hidden="1"/>
    </xf>
    <xf numFmtId="43" fontId="26" fillId="0" borderId="21" xfId="7" applyFont="1" applyBorder="1" applyProtection="1">
      <protection hidden="1"/>
    </xf>
    <xf numFmtId="43" fontId="0" fillId="0" borderId="22" xfId="7" applyFont="1" applyBorder="1" applyProtection="1">
      <protection hidden="1"/>
    </xf>
    <xf numFmtId="43" fontId="26" fillId="0" borderId="23" xfId="7" applyFont="1" applyBorder="1" applyProtection="1">
      <protection hidden="1"/>
    </xf>
    <xf numFmtId="176" fontId="26" fillId="0" borderId="11" xfId="7" applyNumberFormat="1" applyFont="1" applyBorder="1" applyProtection="1">
      <protection hidden="1"/>
    </xf>
    <xf numFmtId="43" fontId="26" fillId="0" borderId="0" xfId="7" applyFont="1" applyProtection="1">
      <protection hidden="1"/>
    </xf>
    <xf numFmtId="43" fontId="26" fillId="0" borderId="61" xfId="7" applyFont="1" applyBorder="1" applyProtection="1">
      <protection hidden="1"/>
    </xf>
    <xf numFmtId="43" fontId="103" fillId="0" borderId="22" xfId="7" applyFont="1" applyBorder="1" applyAlignment="1" applyProtection="1">
      <alignment horizontal="center" wrapText="1"/>
      <protection hidden="1"/>
    </xf>
    <xf numFmtId="43" fontId="103" fillId="0" borderId="0" xfId="7" applyFont="1" applyBorder="1" applyAlignment="1" applyProtection="1">
      <alignment horizontal="center" wrapText="1"/>
      <protection hidden="1"/>
    </xf>
    <xf numFmtId="43" fontId="103" fillId="0" borderId="61" xfId="7" applyFont="1" applyBorder="1" applyAlignment="1" applyProtection="1">
      <alignment horizontal="center" wrapText="1"/>
      <protection hidden="1"/>
    </xf>
    <xf numFmtId="43" fontId="52" fillId="9" borderId="74" xfId="7" applyFont="1" applyFill="1" applyBorder="1" applyAlignment="1" applyProtection="1">
      <alignment horizontal="center" vertical="center" wrapText="1"/>
      <protection hidden="1"/>
    </xf>
    <xf numFmtId="43" fontId="52" fillId="9" borderId="2" xfId="7" applyFont="1" applyFill="1" applyBorder="1" applyAlignment="1" applyProtection="1">
      <alignment horizontal="center" vertical="center" wrapText="1"/>
      <protection hidden="1"/>
    </xf>
    <xf numFmtId="43" fontId="52" fillId="9" borderId="67" xfId="7" applyFont="1" applyFill="1" applyBorder="1" applyAlignment="1" applyProtection="1">
      <alignment horizontal="center" vertical="center" wrapText="1"/>
      <protection hidden="1"/>
    </xf>
    <xf numFmtId="43" fontId="52" fillId="9" borderId="59" xfId="7" applyFont="1" applyFill="1" applyBorder="1" applyAlignment="1" applyProtection="1">
      <alignment horizontal="center" vertical="center" wrapText="1"/>
      <protection hidden="1"/>
    </xf>
    <xf numFmtId="43" fontId="26" fillId="0" borderId="1" xfId="7" applyFont="1" applyBorder="1" applyProtection="1">
      <protection hidden="1"/>
    </xf>
    <xf numFmtId="43" fontId="26" fillId="0" borderId="13" xfId="7" applyFont="1" applyBorder="1" applyProtection="1">
      <protection hidden="1"/>
    </xf>
    <xf numFmtId="43" fontId="26" fillId="0" borderId="14" xfId="7" applyFont="1" applyBorder="1" applyProtection="1">
      <protection hidden="1"/>
    </xf>
    <xf numFmtId="2" fontId="26" fillId="0" borderId="20" xfId="36" applyNumberFormat="1" applyBorder="1" applyProtection="1">
      <protection hidden="1"/>
    </xf>
    <xf numFmtId="2" fontId="26" fillId="0" borderId="62" xfId="36" applyNumberFormat="1" applyBorder="1" applyProtection="1">
      <protection hidden="1"/>
    </xf>
    <xf numFmtId="2" fontId="26" fillId="0" borderId="64" xfId="36" applyNumberFormat="1" applyBorder="1" applyProtection="1">
      <protection hidden="1"/>
    </xf>
    <xf numFmtId="2" fontId="26" fillId="0" borderId="63" xfId="36" applyNumberFormat="1" applyBorder="1" applyProtection="1">
      <protection hidden="1"/>
    </xf>
    <xf numFmtId="2" fontId="26" fillId="0" borderId="106" xfId="36" applyNumberFormat="1" applyBorder="1" applyProtection="1">
      <protection hidden="1"/>
    </xf>
    <xf numFmtId="2" fontId="26" fillId="0" borderId="87" xfId="36" applyNumberFormat="1" applyBorder="1" applyProtection="1">
      <protection hidden="1"/>
    </xf>
    <xf numFmtId="2" fontId="26" fillId="0" borderId="104" xfId="36" applyNumberFormat="1" applyBorder="1" applyProtection="1">
      <protection hidden="1"/>
    </xf>
    <xf numFmtId="0" fontId="52" fillId="9" borderId="11" xfId="36" applyFont="1" applyFill="1" applyBorder="1" applyAlignment="1" applyProtection="1">
      <alignment vertical="center" wrapText="1"/>
      <protection hidden="1"/>
    </xf>
    <xf numFmtId="0" fontId="52" fillId="9" borderId="1" xfId="36" applyFont="1" applyFill="1" applyBorder="1" applyAlignment="1" applyProtection="1">
      <alignment vertical="center" wrapText="1"/>
      <protection hidden="1"/>
    </xf>
    <xf numFmtId="0" fontId="52" fillId="9" borderId="13" xfId="36" applyFont="1" applyFill="1" applyBorder="1" applyAlignment="1" applyProtection="1">
      <alignment vertical="center" wrapText="1"/>
      <protection hidden="1"/>
    </xf>
    <xf numFmtId="0" fontId="52" fillId="9" borderId="14" xfId="36" applyFont="1" applyFill="1" applyBorder="1" applyAlignment="1" applyProtection="1">
      <alignment vertical="center" wrapText="1"/>
      <protection hidden="1"/>
    </xf>
    <xf numFmtId="4" fontId="26" fillId="0" borderId="69" xfId="36" applyNumberFormat="1" applyBorder="1" applyProtection="1">
      <protection hidden="1"/>
    </xf>
    <xf numFmtId="3" fontId="26" fillId="9" borderId="17" xfId="36" applyNumberFormat="1" applyFill="1" applyBorder="1" applyAlignment="1" applyProtection="1">
      <alignment horizontal="right"/>
      <protection hidden="1"/>
    </xf>
    <xf numFmtId="4" fontId="26" fillId="9" borderId="17" xfId="36" applyNumberFormat="1" applyFill="1" applyBorder="1" applyAlignment="1" applyProtection="1">
      <alignment horizontal="right"/>
      <protection hidden="1"/>
    </xf>
    <xf numFmtId="4" fontId="26" fillId="9" borderId="18" xfId="36" applyNumberFormat="1" applyFill="1" applyBorder="1" applyAlignment="1" applyProtection="1">
      <alignment horizontal="right"/>
      <protection hidden="1"/>
    </xf>
    <xf numFmtId="4" fontId="26" fillId="9" borderId="19" xfId="36" applyNumberFormat="1" applyFill="1" applyBorder="1" applyAlignment="1" applyProtection="1">
      <alignment horizontal="right"/>
      <protection hidden="1"/>
    </xf>
    <xf numFmtId="4" fontId="26" fillId="0" borderId="56" xfId="36" applyNumberFormat="1" applyBorder="1" applyProtection="1">
      <protection hidden="1"/>
    </xf>
    <xf numFmtId="4" fontId="117" fillId="19" borderId="21" xfId="36" applyNumberFormat="1" applyFont="1" applyFill="1" applyBorder="1" applyAlignment="1" applyProtection="1">
      <alignment horizontal="right" vertical="center"/>
      <protection hidden="1"/>
    </xf>
    <xf numFmtId="2" fontId="117" fillId="19" borderId="21" xfId="36" applyNumberFormat="1" applyFont="1" applyFill="1" applyBorder="1" applyAlignment="1" applyProtection="1">
      <alignment horizontal="right" vertical="center"/>
      <protection hidden="1"/>
    </xf>
    <xf numFmtId="2" fontId="117" fillId="19" borderId="22" xfId="36" applyNumberFormat="1" applyFont="1" applyFill="1" applyBorder="1" applyAlignment="1" applyProtection="1">
      <alignment horizontal="right" vertical="center"/>
      <protection hidden="1"/>
    </xf>
    <xf numFmtId="2" fontId="117" fillId="19" borderId="23" xfId="36" applyNumberFormat="1" applyFont="1" applyFill="1" applyBorder="1" applyAlignment="1" applyProtection="1">
      <alignment horizontal="right" vertical="center"/>
      <protection hidden="1"/>
    </xf>
    <xf numFmtId="4" fontId="117" fillId="20" borderId="21" xfId="36" applyNumberFormat="1" applyFont="1" applyFill="1" applyBorder="1" applyAlignment="1" applyProtection="1">
      <alignment horizontal="right" vertical="center"/>
      <protection hidden="1"/>
    </xf>
    <xf numFmtId="0" fontId="117" fillId="20" borderId="21" xfId="36" applyFont="1" applyFill="1" applyBorder="1" applyAlignment="1" applyProtection="1">
      <alignment horizontal="right" vertical="center"/>
      <protection hidden="1"/>
    </xf>
    <xf numFmtId="0" fontId="117" fillId="20" borderId="22" xfId="36" applyFont="1" applyFill="1" applyBorder="1" applyAlignment="1" applyProtection="1">
      <alignment horizontal="right" vertical="center"/>
      <protection hidden="1"/>
    </xf>
    <xf numFmtId="0" fontId="117" fillId="20" borderId="23" xfId="36" applyFont="1" applyFill="1" applyBorder="1" applyAlignment="1" applyProtection="1">
      <alignment horizontal="right" vertical="center"/>
      <protection hidden="1"/>
    </xf>
    <xf numFmtId="4" fontId="26" fillId="0" borderId="56" xfId="36" applyNumberFormat="1" applyBorder="1" applyAlignment="1" applyProtection="1">
      <alignment horizontal="left" indent="2"/>
      <protection hidden="1"/>
    </xf>
    <xf numFmtId="3" fontId="117" fillId="0" borderId="21" xfId="36" applyNumberFormat="1" applyFont="1" applyBorder="1" applyAlignment="1" applyProtection="1">
      <alignment horizontal="right" vertical="center"/>
      <protection hidden="1"/>
    </xf>
    <xf numFmtId="2" fontId="117" fillId="0" borderId="21" xfId="36" applyNumberFormat="1" applyFont="1" applyBorder="1" applyAlignment="1" applyProtection="1">
      <alignment horizontal="right" vertical="center"/>
      <protection hidden="1"/>
    </xf>
    <xf numFmtId="2" fontId="117" fillId="0" borderId="22" xfId="36" applyNumberFormat="1" applyFont="1" applyBorder="1" applyAlignment="1" applyProtection="1">
      <alignment horizontal="right" vertical="center"/>
      <protection hidden="1"/>
    </xf>
    <xf numFmtId="2" fontId="117" fillId="0" borderId="23" xfId="36" applyNumberFormat="1" applyFont="1" applyBorder="1" applyAlignment="1" applyProtection="1">
      <alignment horizontal="right" vertical="center"/>
      <protection hidden="1"/>
    </xf>
    <xf numFmtId="4" fontId="26" fillId="0" borderId="57" xfId="36" applyNumberFormat="1" applyBorder="1" applyAlignment="1" applyProtection="1">
      <alignment horizontal="left" indent="2"/>
      <protection hidden="1"/>
    </xf>
    <xf numFmtId="3" fontId="117" fillId="0" borderId="31" xfId="36" applyNumberFormat="1" applyFont="1" applyBorder="1" applyAlignment="1" applyProtection="1">
      <alignment horizontal="right" vertical="center"/>
      <protection hidden="1"/>
    </xf>
    <xf numFmtId="2" fontId="117" fillId="0" borderId="31" xfId="36" applyNumberFormat="1" applyFont="1" applyBorder="1" applyAlignment="1" applyProtection="1">
      <alignment horizontal="right" vertical="center"/>
      <protection hidden="1"/>
    </xf>
    <xf numFmtId="2" fontId="117" fillId="0" borderId="32" xfId="36" applyNumberFormat="1" applyFont="1" applyBorder="1" applyAlignment="1" applyProtection="1">
      <alignment horizontal="right" vertical="center"/>
      <protection hidden="1"/>
    </xf>
    <xf numFmtId="2" fontId="117" fillId="0" borderId="33" xfId="36" applyNumberFormat="1" applyFont="1" applyBorder="1" applyAlignment="1" applyProtection="1">
      <alignment horizontal="right" vertical="center"/>
      <protection hidden="1"/>
    </xf>
    <xf numFmtId="3" fontId="117" fillId="20" borderId="62" xfId="36" applyNumberFormat="1" applyFont="1" applyFill="1" applyBorder="1" applyAlignment="1" applyProtection="1">
      <alignment horizontal="right" vertical="center"/>
      <protection hidden="1"/>
    </xf>
    <xf numFmtId="0" fontId="117" fillId="20" borderId="62" xfId="36" applyFont="1" applyFill="1" applyBorder="1" applyAlignment="1" applyProtection="1">
      <alignment horizontal="right" vertical="center"/>
      <protection hidden="1"/>
    </xf>
    <xf numFmtId="0" fontId="117" fillId="20" borderId="64" xfId="36" applyFont="1" applyFill="1" applyBorder="1" applyAlignment="1" applyProtection="1">
      <alignment horizontal="right" vertical="center"/>
      <protection hidden="1"/>
    </xf>
    <xf numFmtId="0" fontId="117" fillId="20" borderId="63" xfId="36" applyFont="1" applyFill="1" applyBorder="1" applyAlignment="1" applyProtection="1">
      <alignment horizontal="right" vertical="center"/>
      <protection hidden="1"/>
    </xf>
    <xf numFmtId="191" fontId="117" fillId="0" borderId="21" xfId="36" applyNumberFormat="1" applyFont="1" applyBorder="1" applyAlignment="1" applyProtection="1">
      <alignment horizontal="right" vertical="center"/>
      <protection hidden="1"/>
    </xf>
    <xf numFmtId="3" fontId="117" fillId="19" borderId="21" xfId="36" applyNumberFormat="1" applyFont="1" applyFill="1" applyBorder="1" applyAlignment="1" applyProtection="1">
      <alignment horizontal="right" vertical="center"/>
      <protection hidden="1"/>
    </xf>
    <xf numFmtId="0" fontId="117" fillId="0" borderId="21" xfId="36" applyFont="1" applyBorder="1" applyAlignment="1" applyProtection="1">
      <alignment horizontal="right" vertical="center"/>
      <protection hidden="1"/>
    </xf>
    <xf numFmtId="0" fontId="117" fillId="0" borderId="22" xfId="36" applyFont="1" applyBorder="1" applyAlignment="1" applyProtection="1">
      <alignment horizontal="right" vertical="center"/>
      <protection hidden="1"/>
    </xf>
    <xf numFmtId="0" fontId="117" fillId="0" borderId="23" xfId="36" applyFont="1" applyBorder="1" applyAlignment="1" applyProtection="1">
      <alignment horizontal="right" vertical="center"/>
      <protection hidden="1"/>
    </xf>
    <xf numFmtId="0" fontId="117" fillId="0" borderId="31" xfId="36" applyFont="1" applyBorder="1" applyAlignment="1" applyProtection="1">
      <alignment horizontal="right" vertical="center"/>
      <protection hidden="1"/>
    </xf>
    <xf numFmtId="0" fontId="117" fillId="0" borderId="32" xfId="36" applyFont="1" applyBorder="1" applyAlignment="1" applyProtection="1">
      <alignment horizontal="right" vertical="center"/>
      <protection hidden="1"/>
    </xf>
    <xf numFmtId="0" fontId="117" fillId="0" borderId="33" xfId="36" applyFont="1" applyBorder="1" applyAlignment="1" applyProtection="1">
      <alignment horizontal="right" vertical="center"/>
      <protection hidden="1"/>
    </xf>
    <xf numFmtId="3" fontId="117" fillId="20" borderId="21" xfId="36" applyNumberFormat="1" applyFont="1" applyFill="1" applyBorder="1" applyAlignment="1" applyProtection="1">
      <alignment horizontal="right" vertical="center"/>
      <protection hidden="1"/>
    </xf>
    <xf numFmtId="4" fontId="117" fillId="0" borderId="21" xfId="36" applyNumberFormat="1" applyFont="1" applyBorder="1" applyAlignment="1" applyProtection="1">
      <alignment horizontal="right" vertical="center"/>
      <protection hidden="1"/>
    </xf>
    <xf numFmtId="3" fontId="117" fillId="19" borderId="30" xfId="36" applyNumberFormat="1" applyFont="1" applyFill="1" applyBorder="1" applyAlignment="1" applyProtection="1">
      <alignment horizontal="right" vertical="center"/>
      <protection hidden="1"/>
    </xf>
    <xf numFmtId="3" fontId="26" fillId="0" borderId="0" xfId="36" applyNumberFormat="1" applyProtection="1">
      <protection hidden="1"/>
    </xf>
    <xf numFmtId="0" fontId="26" fillId="0" borderId="0" xfId="36" applyAlignment="1" applyProtection="1">
      <alignment vertical="center"/>
      <protection hidden="1"/>
    </xf>
    <xf numFmtId="3" fontId="103" fillId="0" borderId="22" xfId="36" applyNumberFormat="1" applyFont="1" applyBorder="1" applyAlignment="1" applyProtection="1">
      <alignment horizontal="center" wrapText="1"/>
      <protection hidden="1"/>
    </xf>
    <xf numFmtId="3" fontId="26" fillId="13" borderId="36" xfId="36" applyNumberFormat="1" applyFill="1" applyBorder="1" applyProtection="1">
      <protection hidden="1"/>
    </xf>
    <xf numFmtId="3" fontId="52" fillId="9" borderId="11" xfId="36" applyNumberFormat="1" applyFont="1" applyFill="1" applyBorder="1" applyAlignment="1" applyProtection="1">
      <alignment vertical="center" wrapText="1"/>
      <protection hidden="1"/>
    </xf>
    <xf numFmtId="0" fontId="52" fillId="9" borderId="9" xfId="36" applyFont="1" applyFill="1" applyBorder="1" applyAlignment="1" applyProtection="1">
      <alignment vertical="center" wrapText="1"/>
      <protection hidden="1"/>
    </xf>
    <xf numFmtId="164" fontId="52" fillId="0" borderId="11" xfId="42" applyFont="1" applyBorder="1" applyProtection="1">
      <protection hidden="1"/>
    </xf>
    <xf numFmtId="4" fontId="26" fillId="9" borderId="81" xfId="36" applyNumberFormat="1" applyFill="1" applyBorder="1" applyAlignment="1" applyProtection="1">
      <alignment horizontal="right"/>
      <protection hidden="1"/>
    </xf>
    <xf numFmtId="4" fontId="26" fillId="9" borderId="64" xfId="36" applyNumberFormat="1" applyFill="1" applyBorder="1" applyAlignment="1" applyProtection="1">
      <alignment horizontal="right"/>
      <protection hidden="1"/>
    </xf>
    <xf numFmtId="2" fontId="117" fillId="19" borderId="56" xfId="36" applyNumberFormat="1" applyFont="1" applyFill="1" applyBorder="1" applyAlignment="1" applyProtection="1">
      <alignment horizontal="right" vertical="center"/>
      <protection hidden="1"/>
    </xf>
    <xf numFmtId="164" fontId="52" fillId="0" borderId="81" xfId="42" applyFont="1" applyBorder="1" applyProtection="1">
      <protection hidden="1"/>
    </xf>
    <xf numFmtId="0" fontId="117" fillId="20" borderId="56" xfId="36" applyFont="1" applyFill="1" applyBorder="1" applyAlignment="1" applyProtection="1">
      <alignment horizontal="right" vertical="center"/>
      <protection hidden="1"/>
    </xf>
    <xf numFmtId="164" fontId="67" fillId="0" borderId="56" xfId="42" applyFont="1" applyBorder="1" applyAlignment="1" applyProtection="1">
      <alignment horizontal="left" indent="2"/>
      <protection hidden="1"/>
    </xf>
    <xf numFmtId="2" fontId="117" fillId="0" borderId="56" xfId="36" applyNumberFormat="1" applyFont="1" applyBorder="1" applyAlignment="1" applyProtection="1">
      <alignment horizontal="right" vertical="center"/>
      <protection hidden="1"/>
    </xf>
    <xf numFmtId="0" fontId="117" fillId="0" borderId="56" xfId="36" applyFont="1" applyBorder="1" applyAlignment="1" applyProtection="1">
      <alignment horizontal="right" vertical="center"/>
      <protection hidden="1"/>
    </xf>
    <xf numFmtId="164" fontId="67" fillId="0" borderId="57" xfId="42" applyFont="1" applyBorder="1" applyAlignment="1" applyProtection="1">
      <alignment horizontal="left" indent="2"/>
      <protection hidden="1"/>
    </xf>
    <xf numFmtId="0" fontId="117" fillId="0" borderId="57" xfId="36" applyFont="1" applyBorder="1" applyAlignment="1" applyProtection="1">
      <alignment horizontal="right" vertical="center"/>
      <protection hidden="1"/>
    </xf>
    <xf numFmtId="0" fontId="117" fillId="20" borderId="69" xfId="36" applyFont="1" applyFill="1" applyBorder="1" applyAlignment="1" applyProtection="1">
      <alignment horizontal="right" vertical="center"/>
      <protection hidden="1"/>
    </xf>
    <xf numFmtId="164" fontId="52" fillId="0" borderId="52" xfId="42" applyFont="1" applyBorder="1" applyProtection="1">
      <protection hidden="1"/>
    </xf>
    <xf numFmtId="164" fontId="52" fillId="0" borderId="1" xfId="42" applyFont="1" applyBorder="1" applyProtection="1">
      <protection hidden="1"/>
    </xf>
    <xf numFmtId="164" fontId="52" fillId="0" borderId="17" xfId="42" applyFont="1" applyBorder="1" applyProtection="1">
      <protection hidden="1"/>
    </xf>
    <xf numFmtId="164" fontId="67" fillId="0" borderId="21" xfId="42" applyFont="1" applyBorder="1" applyAlignment="1" applyProtection="1">
      <alignment horizontal="left" indent="2"/>
      <protection hidden="1"/>
    </xf>
    <xf numFmtId="164" fontId="67" fillId="0" borderId="31" xfId="42" applyFont="1" applyBorder="1" applyAlignment="1" applyProtection="1">
      <alignment horizontal="left" indent="2"/>
      <protection hidden="1"/>
    </xf>
    <xf numFmtId="3" fontId="103" fillId="0" borderId="0" xfId="36" applyNumberFormat="1" applyFont="1" applyAlignment="1" applyProtection="1">
      <alignment horizontal="center" wrapText="1"/>
      <protection hidden="1"/>
    </xf>
    <xf numFmtId="0" fontId="103" fillId="0" borderId="0" xfId="36" applyFont="1" applyAlignment="1" applyProtection="1">
      <alignment horizontal="center" wrapText="1"/>
      <protection hidden="1"/>
    </xf>
    <xf numFmtId="0" fontId="103" fillId="0" borderId="54" xfId="36" applyFont="1" applyBorder="1" applyAlignment="1" applyProtection="1">
      <alignment horizontal="center" wrapText="1"/>
      <protection hidden="1"/>
    </xf>
    <xf numFmtId="0" fontId="103" fillId="0" borderId="61" xfId="36" applyFont="1" applyBorder="1" applyAlignment="1" applyProtection="1">
      <alignment horizontal="center" wrapText="1"/>
      <protection hidden="1"/>
    </xf>
    <xf numFmtId="3" fontId="26" fillId="9" borderId="62" xfId="36" applyNumberFormat="1" applyFill="1" applyBorder="1" applyAlignment="1" applyProtection="1">
      <alignment horizontal="right"/>
      <protection hidden="1"/>
    </xf>
    <xf numFmtId="4" fontId="26" fillId="9" borderId="69" xfId="36" applyNumberFormat="1" applyFill="1" applyBorder="1" applyAlignment="1" applyProtection="1">
      <alignment horizontal="right"/>
      <protection hidden="1"/>
    </xf>
    <xf numFmtId="4" fontId="26" fillId="9" borderId="63" xfId="36" applyNumberFormat="1" applyFill="1" applyBorder="1" applyAlignment="1" applyProtection="1">
      <alignment horizontal="right"/>
      <protection hidden="1"/>
    </xf>
    <xf numFmtId="164" fontId="52" fillId="0" borderId="20" xfId="42" applyFont="1" applyBorder="1" applyProtection="1">
      <protection hidden="1"/>
    </xf>
    <xf numFmtId="164" fontId="67" fillId="0" borderId="24" xfId="42" applyFont="1" applyBorder="1" applyAlignment="1" applyProtection="1">
      <alignment horizontal="left" indent="2"/>
      <protection hidden="1"/>
    </xf>
    <xf numFmtId="164" fontId="67" fillId="0" borderId="30" xfId="42" applyFont="1" applyBorder="1" applyAlignment="1" applyProtection="1">
      <alignment horizontal="left" indent="2"/>
      <protection hidden="1"/>
    </xf>
    <xf numFmtId="164" fontId="0" fillId="0" borderId="73" xfId="42" applyFont="1" applyBorder="1" applyProtection="1">
      <protection hidden="1"/>
    </xf>
    <xf numFmtId="3" fontId="117" fillId="9" borderId="21" xfId="36" applyNumberFormat="1" applyFont="1" applyFill="1" applyBorder="1" applyAlignment="1" applyProtection="1">
      <alignment horizontal="right" vertical="center"/>
      <protection hidden="1"/>
    </xf>
    <xf numFmtId="2" fontId="117" fillId="9" borderId="56" xfId="36" applyNumberFormat="1" applyFont="1" applyFill="1" applyBorder="1" applyAlignment="1" applyProtection="1">
      <alignment horizontal="right" vertical="center"/>
      <protection hidden="1"/>
    </xf>
    <xf numFmtId="2" fontId="117" fillId="9" borderId="22" xfId="36" applyNumberFormat="1" applyFont="1" applyFill="1" applyBorder="1" applyAlignment="1" applyProtection="1">
      <alignment horizontal="right" vertical="center"/>
      <protection hidden="1"/>
    </xf>
    <xf numFmtId="2" fontId="117" fillId="9" borderId="23" xfId="36" applyNumberFormat="1" applyFont="1" applyFill="1" applyBorder="1" applyAlignment="1" applyProtection="1">
      <alignment horizontal="right" vertical="center"/>
      <protection hidden="1"/>
    </xf>
    <xf numFmtId="2" fontId="117" fillId="0" borderId="75" xfId="36" applyNumberFormat="1" applyFont="1" applyBorder="1" applyAlignment="1" applyProtection="1">
      <alignment horizontal="right" vertical="center"/>
      <protection hidden="1"/>
    </xf>
    <xf numFmtId="2" fontId="117" fillId="0" borderId="27" xfId="36" applyNumberFormat="1" applyFont="1" applyBorder="1" applyAlignment="1" applyProtection="1">
      <alignment horizontal="right" vertical="center"/>
      <protection hidden="1"/>
    </xf>
    <xf numFmtId="2" fontId="117" fillId="0" borderId="29" xfId="36" applyNumberFormat="1" applyFont="1" applyBorder="1" applyAlignment="1" applyProtection="1">
      <alignment horizontal="right" vertical="center"/>
      <protection hidden="1"/>
    </xf>
    <xf numFmtId="0" fontId="117" fillId="9" borderId="75" xfId="36" applyFont="1" applyFill="1" applyBorder="1" applyAlignment="1" applyProtection="1">
      <alignment horizontal="right" vertical="center"/>
      <protection hidden="1"/>
    </xf>
    <xf numFmtId="0" fontId="117" fillId="9" borderId="27" xfId="36" applyFont="1" applyFill="1" applyBorder="1" applyAlignment="1" applyProtection="1">
      <alignment horizontal="right" vertical="center"/>
      <protection hidden="1"/>
    </xf>
    <xf numFmtId="0" fontId="117" fillId="9" borderId="29" xfId="36" applyFont="1" applyFill="1" applyBorder="1" applyAlignment="1" applyProtection="1">
      <alignment horizontal="right" vertical="center"/>
      <protection hidden="1"/>
    </xf>
    <xf numFmtId="2" fontId="117" fillId="0" borderId="57" xfId="36" applyNumberFormat="1" applyFont="1" applyBorder="1" applyAlignment="1" applyProtection="1">
      <alignment horizontal="right" vertical="center"/>
      <protection hidden="1"/>
    </xf>
    <xf numFmtId="164" fontId="52" fillId="0" borderId="2" xfId="42" applyFont="1" applyBorder="1" applyProtection="1">
      <protection hidden="1"/>
    </xf>
    <xf numFmtId="164" fontId="52" fillId="0" borderId="9" xfId="42" applyFont="1" applyBorder="1" applyProtection="1">
      <protection hidden="1"/>
    </xf>
    <xf numFmtId="4" fontId="26" fillId="0" borderId="17" xfId="36" applyNumberFormat="1" applyBorder="1" applyAlignment="1" applyProtection="1">
      <alignment horizontal="right"/>
      <protection hidden="1"/>
    </xf>
    <xf numFmtId="4" fontId="26" fillId="0" borderId="81" xfId="36" applyNumberFormat="1" applyBorder="1" applyAlignment="1" applyProtection="1">
      <alignment horizontal="right"/>
      <protection hidden="1"/>
    </xf>
    <xf numFmtId="4" fontId="26" fillId="0" borderId="19" xfId="36" applyNumberFormat="1" applyBorder="1" applyAlignment="1" applyProtection="1">
      <alignment horizontal="right"/>
      <protection hidden="1"/>
    </xf>
    <xf numFmtId="4" fontId="117" fillId="9" borderId="21" xfId="36" applyNumberFormat="1" applyFont="1" applyFill="1" applyBorder="1" applyAlignment="1" applyProtection="1">
      <alignment horizontal="right" vertical="center"/>
      <protection hidden="1"/>
    </xf>
    <xf numFmtId="0" fontId="117" fillId="9" borderId="56" xfId="36" applyFont="1" applyFill="1" applyBorder="1" applyAlignment="1" applyProtection="1">
      <alignment horizontal="right" vertical="center"/>
      <protection hidden="1"/>
    </xf>
    <xf numFmtId="0" fontId="117" fillId="9" borderId="22" xfId="36" applyFont="1" applyFill="1" applyBorder="1" applyAlignment="1" applyProtection="1">
      <alignment horizontal="right" vertical="center"/>
      <protection hidden="1"/>
    </xf>
    <xf numFmtId="0" fontId="117" fillId="9" borderId="23" xfId="36" applyFont="1" applyFill="1" applyBorder="1" applyAlignment="1" applyProtection="1">
      <alignment horizontal="right" vertical="center"/>
      <protection hidden="1"/>
    </xf>
    <xf numFmtId="164" fontId="67" fillId="0" borderId="55" xfId="42" applyFont="1" applyBorder="1" applyAlignment="1" applyProtection="1">
      <alignment horizontal="left" indent="2"/>
      <protection hidden="1"/>
    </xf>
    <xf numFmtId="164" fontId="67" fillId="0" borderId="66" xfId="42" applyFont="1" applyBorder="1" applyAlignment="1" applyProtection="1">
      <alignment horizontal="left" indent="2"/>
      <protection hidden="1"/>
    </xf>
    <xf numFmtId="4" fontId="117" fillId="0" borderId="62" xfId="36" applyNumberFormat="1" applyFont="1" applyBorder="1" applyAlignment="1" applyProtection="1">
      <alignment horizontal="right" vertical="center"/>
      <protection hidden="1"/>
    </xf>
    <xf numFmtId="2" fontId="117" fillId="0" borderId="69" xfId="36" applyNumberFormat="1" applyFont="1" applyBorder="1" applyAlignment="1" applyProtection="1">
      <alignment horizontal="right" vertical="center"/>
      <protection hidden="1"/>
    </xf>
    <xf numFmtId="2" fontId="117" fillId="0" borderId="64" xfId="36" applyNumberFormat="1" applyFont="1" applyBorder="1" applyAlignment="1" applyProtection="1">
      <alignment horizontal="right" vertical="center"/>
      <protection hidden="1"/>
    </xf>
    <xf numFmtId="2" fontId="117" fillId="0" borderId="63" xfId="36" applyNumberFormat="1" applyFont="1" applyBorder="1" applyAlignment="1" applyProtection="1">
      <alignment horizontal="right" vertical="center"/>
      <protection hidden="1"/>
    </xf>
    <xf numFmtId="3" fontId="117" fillId="0" borderId="62" xfId="36" applyNumberFormat="1" applyFont="1" applyBorder="1" applyAlignment="1" applyProtection="1">
      <alignment horizontal="right" vertical="center"/>
      <protection hidden="1"/>
    </xf>
    <xf numFmtId="0" fontId="52" fillId="9" borderId="9" xfId="36" applyFont="1" applyFill="1" applyBorder="1" applyProtection="1">
      <protection hidden="1"/>
    </xf>
    <xf numFmtId="0" fontId="52" fillId="9" borderId="12" xfId="36" applyFont="1" applyFill="1" applyBorder="1" applyProtection="1">
      <protection hidden="1"/>
    </xf>
    <xf numFmtId="3" fontId="52" fillId="9" borderId="74" xfId="36" applyNumberFormat="1" applyFont="1" applyFill="1" applyBorder="1" applyProtection="1">
      <protection hidden="1"/>
    </xf>
    <xf numFmtId="0" fontId="52" fillId="9" borderId="3" xfId="36" applyFont="1" applyFill="1" applyBorder="1" applyProtection="1">
      <protection hidden="1"/>
    </xf>
    <xf numFmtId="0" fontId="52" fillId="9" borderId="13" xfId="36" applyFont="1" applyFill="1" applyBorder="1" applyProtection="1">
      <protection hidden="1"/>
    </xf>
    <xf numFmtId="0" fontId="52" fillId="9" borderId="59" xfId="36" applyFont="1" applyFill="1" applyBorder="1" applyProtection="1">
      <protection hidden="1"/>
    </xf>
    <xf numFmtId="0" fontId="96" fillId="2" borderId="69" xfId="41" applyFont="1" applyFill="1" applyBorder="1" applyAlignment="1" applyProtection="1">
      <alignment horizontal="left" vertical="center" indent="1"/>
      <protection hidden="1"/>
    </xf>
    <xf numFmtId="3" fontId="26" fillId="9" borderId="20" xfId="36" applyNumberFormat="1" applyFill="1" applyBorder="1" applyProtection="1">
      <protection hidden="1"/>
    </xf>
    <xf numFmtId="0" fontId="26" fillId="9" borderId="70" xfId="36" applyFill="1" applyBorder="1" applyProtection="1">
      <protection hidden="1"/>
    </xf>
    <xf numFmtId="0" fontId="26" fillId="9" borderId="64" xfId="36" applyFill="1" applyBorder="1" applyProtection="1">
      <protection hidden="1"/>
    </xf>
    <xf numFmtId="0" fontId="26" fillId="9" borderId="63" xfId="36" applyFill="1" applyBorder="1" applyProtection="1">
      <protection hidden="1"/>
    </xf>
    <xf numFmtId="0" fontId="96" fillId="2" borderId="56" xfId="41" applyFont="1" applyFill="1" applyBorder="1" applyAlignment="1" applyProtection="1">
      <alignment horizontal="left" vertical="center" indent="2"/>
      <protection hidden="1"/>
    </xf>
    <xf numFmtId="3" fontId="26" fillId="9" borderId="100" xfId="36" applyNumberFormat="1" applyFill="1" applyBorder="1" applyProtection="1">
      <protection hidden="1"/>
    </xf>
    <xf numFmtId="2" fontId="26" fillId="9" borderId="88" xfId="36" applyNumberFormat="1" applyFill="1" applyBorder="1" applyProtection="1">
      <protection hidden="1"/>
    </xf>
    <xf numFmtId="2" fontId="26" fillId="9" borderId="22" xfId="36" applyNumberFormat="1" applyFill="1" applyBorder="1" applyProtection="1">
      <protection hidden="1"/>
    </xf>
    <xf numFmtId="2" fontId="26" fillId="9" borderId="23" xfId="36" applyNumberFormat="1" applyFill="1" applyBorder="1" applyProtection="1">
      <protection hidden="1"/>
    </xf>
    <xf numFmtId="0" fontId="81" fillId="2" borderId="56" xfId="41" applyFont="1" applyFill="1" applyBorder="1" applyAlignment="1" applyProtection="1">
      <alignment horizontal="left" vertical="center" indent="3"/>
      <protection hidden="1"/>
    </xf>
    <xf numFmtId="3" fontId="26" fillId="0" borderId="100" xfId="36" applyNumberFormat="1" applyBorder="1" applyProtection="1">
      <protection hidden="1"/>
    </xf>
    <xf numFmtId="2" fontId="26" fillId="0" borderId="88" xfId="36" applyNumberFormat="1" applyBorder="1" applyProtection="1">
      <protection hidden="1"/>
    </xf>
    <xf numFmtId="2" fontId="26" fillId="0" borderId="22" xfId="36" applyNumberFormat="1" applyBorder="1" applyProtection="1">
      <protection hidden="1"/>
    </xf>
    <xf numFmtId="0" fontId="81" fillId="2" borderId="57" xfId="36" applyFont="1" applyFill="1" applyBorder="1" applyAlignment="1" applyProtection="1">
      <alignment horizontal="left" indent="3"/>
      <protection hidden="1"/>
    </xf>
    <xf numFmtId="3" fontId="26" fillId="0" borderId="30" xfId="36" applyNumberFormat="1" applyBorder="1" applyProtection="1">
      <protection hidden="1"/>
    </xf>
    <xf numFmtId="2" fontId="26" fillId="0" borderId="103" xfId="36" applyNumberFormat="1" applyBorder="1" applyProtection="1">
      <protection hidden="1"/>
    </xf>
    <xf numFmtId="4" fontId="26" fillId="9" borderId="100" xfId="36" applyNumberFormat="1" applyFill="1" applyBorder="1" applyProtection="1">
      <protection hidden="1"/>
    </xf>
    <xf numFmtId="4" fontId="26" fillId="0" borderId="100" xfId="36" applyNumberFormat="1" applyBorder="1" applyProtection="1">
      <protection hidden="1"/>
    </xf>
    <xf numFmtId="0" fontId="103" fillId="0" borderId="226" xfId="36" applyFont="1" applyBorder="1" applyAlignment="1" applyProtection="1">
      <alignment horizontal="center" wrapText="1"/>
      <protection hidden="1"/>
    </xf>
    <xf numFmtId="0" fontId="52" fillId="9" borderId="11" xfId="36" applyFont="1" applyFill="1" applyBorder="1" applyProtection="1">
      <protection hidden="1"/>
    </xf>
    <xf numFmtId="0" fontId="52" fillId="9" borderId="1" xfId="36" applyFont="1" applyFill="1" applyBorder="1" applyProtection="1">
      <protection hidden="1"/>
    </xf>
    <xf numFmtId="0" fontId="52" fillId="9" borderId="14" xfId="36" applyFont="1" applyFill="1" applyBorder="1" applyProtection="1">
      <protection hidden="1"/>
    </xf>
    <xf numFmtId="0" fontId="96" fillId="2" borderId="81" xfId="40" applyFont="1" applyFill="1" applyBorder="1" applyAlignment="1" applyProtection="1">
      <alignment horizontal="left" vertical="center" wrapText="1"/>
      <protection hidden="1"/>
    </xf>
    <xf numFmtId="2" fontId="26" fillId="9" borderId="50" xfId="36" applyNumberFormat="1" applyFill="1" applyBorder="1" applyProtection="1">
      <protection hidden="1"/>
    </xf>
    <xf numFmtId="2" fontId="26" fillId="9" borderId="19" xfId="36" applyNumberFormat="1" applyFill="1" applyBorder="1" applyProtection="1">
      <protection hidden="1"/>
    </xf>
    <xf numFmtId="3" fontId="26" fillId="0" borderId="109" xfId="36" applyNumberFormat="1" applyBorder="1" applyProtection="1">
      <protection hidden="1"/>
    </xf>
    <xf numFmtId="2" fontId="26" fillId="0" borderId="89" xfId="36" applyNumberFormat="1" applyBorder="1" applyProtection="1">
      <protection hidden="1"/>
    </xf>
    <xf numFmtId="2" fontId="26" fillId="0" borderId="27" xfId="36" applyNumberFormat="1" applyBorder="1" applyProtection="1">
      <protection hidden="1"/>
    </xf>
    <xf numFmtId="2" fontId="26" fillId="0" borderId="29" xfId="36" applyNumberFormat="1" applyBorder="1" applyProtection="1">
      <protection hidden="1"/>
    </xf>
    <xf numFmtId="0" fontId="81" fillId="18" borderId="57" xfId="36" applyFont="1" applyFill="1" applyBorder="1" applyAlignment="1" applyProtection="1">
      <alignment horizontal="left" indent="3"/>
      <protection hidden="1"/>
    </xf>
    <xf numFmtId="2" fontId="26" fillId="9" borderId="70" xfId="36" applyNumberFormat="1" applyFill="1" applyBorder="1" applyProtection="1">
      <protection hidden="1"/>
    </xf>
    <xf numFmtId="3" fontId="81" fillId="9" borderId="100" xfId="36" applyNumberFormat="1" applyFont="1" applyFill="1" applyBorder="1" applyAlignment="1" applyProtection="1">
      <alignment horizontal="right"/>
      <protection hidden="1"/>
    </xf>
    <xf numFmtId="2" fontId="81" fillId="9" borderId="88" xfId="36" applyNumberFormat="1" applyFont="1" applyFill="1" applyBorder="1" applyAlignment="1" applyProtection="1">
      <alignment horizontal="right"/>
      <protection hidden="1"/>
    </xf>
    <xf numFmtId="2" fontId="81" fillId="9" borderId="22" xfId="36" applyNumberFormat="1" applyFont="1" applyFill="1" applyBorder="1" applyAlignment="1" applyProtection="1">
      <alignment horizontal="right"/>
      <protection hidden="1"/>
    </xf>
    <xf numFmtId="2" fontId="81" fillId="9" borderId="25" xfId="36" applyNumberFormat="1" applyFont="1" applyFill="1" applyBorder="1" applyAlignment="1" applyProtection="1">
      <alignment horizontal="right"/>
      <protection hidden="1"/>
    </xf>
    <xf numFmtId="0" fontId="96" fillId="2" borderId="51" xfId="41" applyFont="1" applyFill="1" applyBorder="1" applyAlignment="1" applyProtection="1">
      <alignment horizontal="left" vertical="center" indent="1"/>
      <protection hidden="1"/>
    </xf>
    <xf numFmtId="2" fontId="26" fillId="9" borderId="64" xfId="36" applyNumberFormat="1" applyFill="1" applyBorder="1" applyProtection="1">
      <protection hidden="1"/>
    </xf>
    <xf numFmtId="2" fontId="26" fillId="9" borderId="63" xfId="36" applyNumberFormat="1" applyFill="1" applyBorder="1" applyProtection="1">
      <protection hidden="1"/>
    </xf>
    <xf numFmtId="0" fontId="96" fillId="2" borderId="24" xfId="41" applyFont="1" applyFill="1" applyBorder="1" applyAlignment="1" applyProtection="1">
      <alignment horizontal="left" vertical="center" indent="2"/>
      <protection hidden="1"/>
    </xf>
    <xf numFmtId="0" fontId="81" fillId="2" borderId="24" xfId="41" applyFont="1" applyFill="1" applyBorder="1" applyAlignment="1" applyProtection="1">
      <alignment horizontal="left" vertical="center" indent="3"/>
      <protection hidden="1"/>
    </xf>
    <xf numFmtId="0" fontId="81" fillId="2" borderId="30" xfId="36" applyFont="1" applyFill="1" applyBorder="1" applyAlignment="1" applyProtection="1">
      <alignment horizontal="left" indent="3"/>
      <protection hidden="1"/>
    </xf>
    <xf numFmtId="0" fontId="52" fillId="9" borderId="74" xfId="36" applyFont="1" applyFill="1" applyBorder="1" applyProtection="1">
      <protection hidden="1"/>
    </xf>
    <xf numFmtId="0" fontId="96" fillId="2" borderId="62" xfId="41" applyFont="1" applyFill="1" applyBorder="1" applyAlignment="1" applyProtection="1">
      <alignment horizontal="left" vertical="center" indent="1"/>
      <protection hidden="1"/>
    </xf>
    <xf numFmtId="0" fontId="81" fillId="2" borderId="21" xfId="41" applyFont="1" applyFill="1" applyBorder="1" applyAlignment="1" applyProtection="1">
      <alignment horizontal="left" vertical="center" indent="2"/>
      <protection hidden="1"/>
    </xf>
    <xf numFmtId="0" fontId="81" fillId="2" borderId="31" xfId="36" applyFont="1" applyFill="1" applyBorder="1" applyAlignment="1" applyProtection="1">
      <alignment horizontal="left" indent="2"/>
      <protection hidden="1"/>
    </xf>
    <xf numFmtId="4" fontId="26" fillId="0" borderId="30" xfId="36" applyNumberFormat="1" applyBorder="1" applyProtection="1">
      <protection hidden="1"/>
    </xf>
    <xf numFmtId="0" fontId="96" fillId="9" borderId="9" xfId="40" applyFont="1" applyFill="1" applyBorder="1" applyAlignment="1" applyProtection="1">
      <alignment horizontal="left" vertical="center" wrapText="1"/>
      <protection hidden="1"/>
    </xf>
    <xf numFmtId="3" fontId="96" fillId="9" borderId="9" xfId="40" applyNumberFormat="1" applyFont="1" applyFill="1" applyBorder="1" applyAlignment="1" applyProtection="1">
      <alignment horizontal="left" vertical="center" wrapText="1"/>
      <protection hidden="1"/>
    </xf>
    <xf numFmtId="0" fontId="96" fillId="0" borderId="4" xfId="40" applyFont="1" applyBorder="1" applyAlignment="1" applyProtection="1">
      <alignment horizontal="left" vertical="center" wrapText="1"/>
      <protection hidden="1"/>
    </xf>
    <xf numFmtId="4" fontId="81" fillId="9" borderId="56" xfId="36" applyNumberFormat="1" applyFont="1" applyFill="1" applyBorder="1" applyProtection="1">
      <protection hidden="1"/>
    </xf>
    <xf numFmtId="2" fontId="81" fillId="9" borderId="102" xfId="36" applyNumberFormat="1" applyFont="1" applyFill="1" applyBorder="1" applyProtection="1">
      <protection hidden="1"/>
    </xf>
    <xf numFmtId="2" fontId="81" fillId="9" borderId="87" xfId="36" applyNumberFormat="1" applyFont="1" applyFill="1" applyBorder="1" applyProtection="1">
      <protection hidden="1"/>
    </xf>
    <xf numFmtId="0" fontId="81" fillId="2" borderId="56" xfId="36" applyFont="1" applyFill="1" applyBorder="1" applyAlignment="1" applyProtection="1">
      <alignment horizontal="left" indent="6"/>
      <protection hidden="1"/>
    </xf>
    <xf numFmtId="4" fontId="81" fillId="2" borderId="56" xfId="36" applyNumberFormat="1" applyFont="1" applyFill="1" applyBorder="1" applyProtection="1">
      <protection hidden="1"/>
    </xf>
    <xf numFmtId="2" fontId="81" fillId="2" borderId="102" xfId="36" applyNumberFormat="1" applyFont="1" applyFill="1" applyBorder="1" applyProtection="1">
      <protection hidden="1"/>
    </xf>
    <xf numFmtId="2" fontId="81" fillId="2" borderId="87" xfId="36" applyNumberFormat="1" applyFont="1" applyFill="1" applyBorder="1" applyProtection="1">
      <protection hidden="1"/>
    </xf>
    <xf numFmtId="2" fontId="81" fillId="2" borderId="23" xfId="36" applyNumberFormat="1" applyFont="1" applyFill="1" applyBorder="1" applyProtection="1">
      <protection hidden="1"/>
    </xf>
    <xf numFmtId="0" fontId="81" fillId="2" borderId="57" xfId="36" quotePrefix="1" applyFont="1" applyFill="1" applyBorder="1" applyAlignment="1" applyProtection="1">
      <alignment horizontal="left" indent="6"/>
      <protection hidden="1"/>
    </xf>
    <xf numFmtId="3" fontId="81" fillId="2" borderId="57" xfId="36" quotePrefix="1" applyNumberFormat="1" applyFont="1" applyFill="1" applyBorder="1" applyProtection="1">
      <protection hidden="1"/>
    </xf>
    <xf numFmtId="2" fontId="81" fillId="2" borderId="57" xfId="36" quotePrefix="1" applyNumberFormat="1" applyFont="1" applyFill="1" applyBorder="1" applyProtection="1">
      <protection hidden="1"/>
    </xf>
    <xf numFmtId="2" fontId="81" fillId="2" borderId="32" xfId="36" quotePrefix="1" applyNumberFormat="1" applyFont="1" applyFill="1" applyBorder="1" applyProtection="1">
      <protection hidden="1"/>
    </xf>
    <xf numFmtId="2" fontId="81" fillId="2" borderId="33" xfId="36" quotePrefix="1" applyNumberFormat="1" applyFont="1" applyFill="1" applyBorder="1" applyProtection="1">
      <protection hidden="1"/>
    </xf>
    <xf numFmtId="0" fontId="96" fillId="0" borderId="75" xfId="36" quotePrefix="1" applyFont="1" applyBorder="1" applyAlignment="1" applyProtection="1">
      <alignment horizontal="left" indent="1"/>
      <protection hidden="1"/>
    </xf>
    <xf numFmtId="2" fontId="81" fillId="9" borderId="102" xfId="36" applyNumberFormat="1" applyFont="1" applyFill="1" applyBorder="1" applyAlignment="1" applyProtection="1">
      <alignment horizontal="right" indent="6"/>
      <protection hidden="1"/>
    </xf>
    <xf numFmtId="2" fontId="81" fillId="9" borderId="87" xfId="36" applyNumberFormat="1" applyFont="1" applyFill="1" applyBorder="1" applyAlignment="1" applyProtection="1">
      <alignment horizontal="right" indent="6"/>
      <protection hidden="1"/>
    </xf>
    <xf numFmtId="2" fontId="81" fillId="9" borderId="23" xfId="36" applyNumberFormat="1" applyFont="1" applyFill="1" applyBorder="1" applyAlignment="1" applyProtection="1">
      <alignment horizontal="right" indent="6"/>
      <protection hidden="1"/>
    </xf>
    <xf numFmtId="2" fontId="81" fillId="2" borderId="102" xfId="36" applyNumberFormat="1" applyFont="1" applyFill="1" applyBorder="1" applyAlignment="1" applyProtection="1">
      <alignment horizontal="right" indent="6"/>
      <protection hidden="1"/>
    </xf>
    <xf numFmtId="2" fontId="81" fillId="2" borderId="87" xfId="36" applyNumberFormat="1" applyFont="1" applyFill="1" applyBorder="1" applyAlignment="1" applyProtection="1">
      <alignment horizontal="right" indent="6"/>
      <protection hidden="1"/>
    </xf>
    <xf numFmtId="2" fontId="81" fillId="2" borderId="23" xfId="36" applyNumberFormat="1" applyFont="1" applyFill="1" applyBorder="1" applyAlignment="1" applyProtection="1">
      <alignment horizontal="right" indent="6"/>
      <protection hidden="1"/>
    </xf>
    <xf numFmtId="0" fontId="81" fillId="2" borderId="57" xfId="36" applyFont="1" applyFill="1" applyBorder="1" applyAlignment="1" applyProtection="1">
      <alignment horizontal="left" indent="6"/>
      <protection hidden="1"/>
    </xf>
    <xf numFmtId="3" fontId="81" fillId="2" borderId="57" xfId="36" applyNumberFormat="1" applyFont="1" applyFill="1" applyBorder="1" applyProtection="1">
      <protection hidden="1"/>
    </xf>
    <xf numFmtId="2" fontId="81" fillId="2" borderId="57" xfId="36" applyNumberFormat="1" applyFont="1" applyFill="1" applyBorder="1" applyProtection="1">
      <protection hidden="1"/>
    </xf>
    <xf numFmtId="2" fontId="81" fillId="2" borderId="32" xfId="36" applyNumberFormat="1" applyFont="1" applyFill="1" applyBorder="1" applyProtection="1">
      <protection hidden="1"/>
    </xf>
    <xf numFmtId="2" fontId="81" fillId="2" borderId="33" xfId="36" applyNumberFormat="1" applyFont="1" applyFill="1" applyBorder="1" applyProtection="1">
      <protection hidden="1"/>
    </xf>
    <xf numFmtId="0" fontId="96" fillId="0" borderId="69" xfId="41" applyFont="1" applyFill="1" applyBorder="1" applyAlignment="1" applyProtection="1">
      <alignment horizontal="left" vertical="center" indent="1"/>
      <protection hidden="1"/>
    </xf>
    <xf numFmtId="3" fontId="96" fillId="0" borderId="69" xfId="41" applyNumberFormat="1" applyFont="1" applyFill="1" applyBorder="1" applyAlignment="1" applyProtection="1">
      <alignment vertical="center"/>
      <protection hidden="1"/>
    </xf>
    <xf numFmtId="2" fontId="96" fillId="0" borderId="69" xfId="41" applyNumberFormat="1" applyFont="1" applyFill="1" applyBorder="1" applyAlignment="1" applyProtection="1">
      <alignment vertical="center"/>
      <protection hidden="1"/>
    </xf>
    <xf numFmtId="2" fontId="96" fillId="0" borderId="64" xfId="41" applyNumberFormat="1" applyFont="1" applyFill="1" applyBorder="1" applyAlignment="1" applyProtection="1">
      <alignment vertical="center"/>
      <protection hidden="1"/>
    </xf>
    <xf numFmtId="2" fontId="96" fillId="0" borderId="63" xfId="41" applyNumberFormat="1" applyFont="1" applyFill="1" applyBorder="1" applyAlignment="1" applyProtection="1">
      <alignment vertical="center"/>
      <protection hidden="1"/>
    </xf>
    <xf numFmtId="0" fontId="81" fillId="2" borderId="57" xfId="41" applyFont="1" applyFill="1" applyBorder="1" applyAlignment="1" applyProtection="1">
      <alignment horizontal="left" vertical="center" indent="2"/>
      <protection hidden="1"/>
    </xf>
    <xf numFmtId="3" fontId="81" fillId="2" borderId="57" xfId="41" applyNumberFormat="1" applyFont="1" applyFill="1" applyBorder="1" applyAlignment="1" applyProtection="1">
      <alignment vertical="center"/>
      <protection hidden="1"/>
    </xf>
    <xf numFmtId="2" fontId="81" fillId="2" borderId="57" xfId="41" applyNumberFormat="1" applyFont="1" applyFill="1" applyBorder="1" applyAlignment="1" applyProtection="1">
      <alignment vertical="center"/>
      <protection hidden="1"/>
    </xf>
    <xf numFmtId="2" fontId="81" fillId="2" borderId="32" xfId="41" applyNumberFormat="1" applyFont="1" applyFill="1" applyBorder="1" applyAlignment="1" applyProtection="1">
      <alignment vertical="center"/>
      <protection hidden="1"/>
    </xf>
    <xf numFmtId="2" fontId="81" fillId="2" borderId="33" xfId="41" applyNumberFormat="1" applyFont="1" applyFill="1" applyBorder="1" applyAlignment="1" applyProtection="1">
      <alignment vertical="center"/>
      <protection hidden="1"/>
    </xf>
    <xf numFmtId="0" fontId="96" fillId="0" borderId="69" xfId="40" applyFont="1" applyBorder="1" applyAlignment="1" applyProtection="1">
      <alignment horizontal="left" vertical="top" wrapText="1" indent="1"/>
      <protection hidden="1"/>
    </xf>
    <xf numFmtId="2" fontId="81" fillId="0" borderId="69" xfId="40" applyNumberFormat="1" applyFont="1" applyBorder="1" applyAlignment="1" applyProtection="1">
      <alignment vertical="top" wrapText="1"/>
      <protection hidden="1"/>
    </xf>
    <xf numFmtId="2" fontId="81" fillId="0" borderId="64" xfId="40" applyNumberFormat="1" applyFont="1" applyBorder="1" applyAlignment="1" applyProtection="1">
      <alignment vertical="top" wrapText="1"/>
      <protection hidden="1"/>
    </xf>
    <xf numFmtId="2" fontId="81" fillId="0" borderId="63" xfId="40" applyNumberFormat="1" applyFont="1" applyBorder="1" applyAlignment="1" applyProtection="1">
      <alignment vertical="top" wrapText="1"/>
      <protection hidden="1"/>
    </xf>
    <xf numFmtId="4" fontId="81" fillId="2" borderId="75" xfId="36" applyNumberFormat="1" applyFont="1" applyFill="1" applyBorder="1" applyProtection="1">
      <protection hidden="1"/>
    </xf>
    <xf numFmtId="2" fontId="81" fillId="2" borderId="75" xfId="36" applyNumberFormat="1" applyFont="1" applyFill="1" applyBorder="1" applyProtection="1">
      <protection hidden="1"/>
    </xf>
    <xf numFmtId="2" fontId="81" fillId="2" borderId="27" xfId="36" applyNumberFormat="1" applyFont="1" applyFill="1" applyBorder="1" applyProtection="1">
      <protection hidden="1"/>
    </xf>
    <xf numFmtId="2" fontId="81" fillId="2" borderId="29" xfId="36" applyNumberFormat="1" applyFont="1" applyFill="1" applyBorder="1" applyProtection="1">
      <protection hidden="1"/>
    </xf>
    <xf numFmtId="0" fontId="96" fillId="2" borderId="6" xfId="40" applyFont="1" applyFill="1" applyBorder="1" applyAlignment="1" applyProtection="1">
      <alignment horizontal="left" vertical="top" wrapText="1" indent="1"/>
      <protection hidden="1"/>
    </xf>
    <xf numFmtId="2" fontId="96" fillId="2" borderId="9" xfId="40" applyNumberFormat="1" applyFont="1" applyFill="1" applyBorder="1" applyAlignment="1" applyProtection="1">
      <alignment vertical="top" wrapText="1"/>
      <protection hidden="1"/>
    </xf>
    <xf numFmtId="2" fontId="96" fillId="2" borderId="13" xfId="40" applyNumberFormat="1" applyFont="1" applyFill="1" applyBorder="1" applyAlignment="1" applyProtection="1">
      <alignment vertical="top" wrapText="1"/>
      <protection hidden="1"/>
    </xf>
    <xf numFmtId="2" fontId="96" fillId="2" borderId="14" xfId="40" applyNumberFormat="1" applyFont="1" applyFill="1" applyBorder="1" applyAlignment="1" applyProtection="1">
      <alignment vertical="top" wrapText="1"/>
      <protection hidden="1"/>
    </xf>
    <xf numFmtId="0" fontId="52" fillId="9" borderId="2" xfId="36" applyFont="1" applyFill="1" applyBorder="1" applyProtection="1">
      <protection hidden="1"/>
    </xf>
    <xf numFmtId="0" fontId="52" fillId="9" borderId="58" xfId="36" applyFont="1" applyFill="1" applyBorder="1" applyProtection="1">
      <protection hidden="1"/>
    </xf>
    <xf numFmtId="0" fontId="111" fillId="2" borderId="28" xfId="39" applyFont="1" applyFill="1" applyBorder="1" applyProtection="1">
      <alignment horizontal="left" vertical="center"/>
      <protection hidden="1"/>
    </xf>
    <xf numFmtId="0" fontId="26" fillId="0" borderId="20" xfId="36" applyBorder="1" applyProtection="1">
      <protection hidden="1"/>
    </xf>
    <xf numFmtId="2" fontId="26" fillId="0" borderId="69" xfId="36" applyNumberFormat="1" applyBorder="1" applyProtection="1">
      <protection hidden="1"/>
    </xf>
    <xf numFmtId="0" fontId="109" fillId="2" borderId="20" xfId="39" applyFont="1" applyFill="1" applyBorder="1" applyAlignment="1" applyProtection="1">
      <alignment horizontal="left" vertical="center" indent="2"/>
      <protection hidden="1"/>
    </xf>
    <xf numFmtId="0" fontId="26" fillId="0" borderId="24" xfId="36" applyBorder="1" applyProtection="1">
      <protection hidden="1"/>
    </xf>
    <xf numFmtId="2" fontId="26" fillId="0" borderId="102" xfId="36" applyNumberFormat="1" applyBorder="1" applyProtection="1">
      <protection hidden="1"/>
    </xf>
    <xf numFmtId="0" fontId="103" fillId="2" borderId="30" xfId="36" applyFont="1" applyFill="1" applyBorder="1" applyAlignment="1" applyProtection="1">
      <alignment horizontal="left" indent="2"/>
      <protection hidden="1"/>
    </xf>
    <xf numFmtId="0" fontId="26" fillId="0" borderId="30" xfId="36" applyBorder="1" applyProtection="1">
      <protection hidden="1"/>
    </xf>
    <xf numFmtId="2" fontId="26" fillId="0" borderId="57" xfId="36" applyNumberFormat="1" applyBorder="1" applyProtection="1">
      <protection hidden="1"/>
    </xf>
    <xf numFmtId="0" fontId="26" fillId="13" borderId="71" xfId="36" applyFill="1" applyBorder="1" applyProtection="1">
      <protection hidden="1"/>
    </xf>
    <xf numFmtId="0" fontId="26" fillId="0" borderId="71" xfId="36" applyBorder="1" applyProtection="1">
      <protection hidden="1"/>
    </xf>
    <xf numFmtId="0" fontId="52" fillId="13" borderId="11" xfId="36" applyFont="1" applyFill="1" applyBorder="1" applyAlignment="1" applyProtection="1">
      <alignment horizontal="center" vertical="center" wrapText="1"/>
      <protection hidden="1"/>
    </xf>
    <xf numFmtId="0" fontId="81" fillId="0" borderId="62" xfId="36" applyFont="1" applyBorder="1" applyProtection="1">
      <protection hidden="1"/>
    </xf>
    <xf numFmtId="176" fontId="26" fillId="0" borderId="69" xfId="7" applyNumberFormat="1" applyFont="1" applyBorder="1" applyProtection="1">
      <protection hidden="1"/>
    </xf>
    <xf numFmtId="187" fontId="26" fillId="0" borderId="69" xfId="7" applyNumberFormat="1" applyFont="1" applyBorder="1" applyProtection="1">
      <protection hidden="1"/>
    </xf>
    <xf numFmtId="43" fontId="26" fillId="0" borderId="64" xfId="7" applyFont="1" applyBorder="1" applyProtection="1">
      <protection hidden="1"/>
    </xf>
    <xf numFmtId="0" fontId="81" fillId="0" borderId="21" xfId="36" applyFont="1" applyBorder="1" applyProtection="1">
      <protection hidden="1"/>
    </xf>
    <xf numFmtId="176" fontId="26" fillId="0" borderId="56" xfId="7" applyNumberFormat="1" applyFont="1" applyBorder="1" applyProtection="1">
      <protection hidden="1"/>
    </xf>
    <xf numFmtId="43" fontId="26" fillId="0" borderId="56" xfId="7" applyFont="1" applyBorder="1" applyProtection="1">
      <protection hidden="1"/>
    </xf>
    <xf numFmtId="43" fontId="26" fillId="0" borderId="87" xfId="7" applyFont="1" applyBorder="1" applyProtection="1">
      <protection hidden="1"/>
    </xf>
    <xf numFmtId="43" fontId="26" fillId="9" borderId="56" xfId="7" applyFont="1" applyFill="1" applyBorder="1" applyProtection="1">
      <protection hidden="1"/>
    </xf>
    <xf numFmtId="0" fontId="81" fillId="0" borderId="31" xfId="36" applyFont="1" applyBorder="1" applyProtection="1">
      <protection hidden="1"/>
    </xf>
    <xf numFmtId="43" fontId="26" fillId="9" borderId="57" xfId="7" applyFont="1" applyFill="1" applyBorder="1" applyProtection="1">
      <protection hidden="1"/>
    </xf>
    <xf numFmtId="43" fontId="26" fillId="9" borderId="32" xfId="7" applyFont="1" applyFill="1" applyBorder="1" applyProtection="1">
      <protection hidden="1"/>
    </xf>
    <xf numFmtId="2" fontId="26" fillId="0" borderId="56" xfId="36" applyNumberFormat="1" applyBorder="1" applyProtection="1">
      <protection hidden="1"/>
    </xf>
    <xf numFmtId="2" fontId="26" fillId="9" borderId="56" xfId="36" applyNumberFormat="1" applyFill="1" applyBorder="1" applyProtection="1">
      <protection hidden="1"/>
    </xf>
    <xf numFmtId="0" fontId="26" fillId="9" borderId="57" xfId="36" applyFill="1" applyBorder="1" applyProtection="1">
      <protection hidden="1"/>
    </xf>
    <xf numFmtId="2" fontId="26" fillId="9" borderId="57" xfId="36" applyNumberFormat="1" applyFill="1" applyBorder="1" applyProtection="1">
      <protection hidden="1"/>
    </xf>
    <xf numFmtId="2" fontId="26" fillId="9" borderId="32" xfId="36" applyNumberFormat="1" applyFill="1" applyBorder="1" applyProtection="1">
      <protection hidden="1"/>
    </xf>
    <xf numFmtId="2" fontId="7" fillId="9" borderId="56" xfId="36" applyNumberFormat="1" applyFont="1" applyFill="1" applyBorder="1" applyProtection="1">
      <protection hidden="1"/>
    </xf>
    <xf numFmtId="0" fontId="80" fillId="21" borderId="0" xfId="36" applyFont="1" applyFill="1" applyProtection="1">
      <protection hidden="1"/>
    </xf>
    <xf numFmtId="2" fontId="26" fillId="9" borderId="87" xfId="36" applyNumberFormat="1" applyFill="1" applyBorder="1" applyProtection="1">
      <protection hidden="1"/>
    </xf>
    <xf numFmtId="0" fontId="52" fillId="10" borderId="9" xfId="36" applyFont="1" applyFill="1" applyBorder="1" applyAlignment="1" applyProtection="1">
      <alignment horizontal="center" vertical="center"/>
      <protection hidden="1"/>
    </xf>
    <xf numFmtId="0" fontId="52" fillId="10" borderId="13" xfId="36" applyFont="1" applyFill="1" applyBorder="1" applyAlignment="1" applyProtection="1">
      <alignment horizontal="center" vertical="center"/>
      <protection hidden="1"/>
    </xf>
    <xf numFmtId="0" fontId="52" fillId="10" borderId="14" xfId="36" applyFont="1" applyFill="1" applyBorder="1" applyAlignment="1" applyProtection="1">
      <alignment horizontal="center" vertical="center"/>
      <protection hidden="1"/>
    </xf>
    <xf numFmtId="0" fontId="52" fillId="9" borderId="69" xfId="36" applyFont="1" applyFill="1" applyBorder="1" applyProtection="1">
      <protection hidden="1"/>
    </xf>
    <xf numFmtId="175" fontId="26" fillId="0" borderId="81" xfId="7" applyNumberFormat="1" applyFont="1" applyBorder="1" applyAlignment="1" applyProtection="1">
      <alignment horizontal="left"/>
      <protection hidden="1"/>
    </xf>
    <xf numFmtId="175" fontId="26" fillId="0" borderId="81" xfId="7" applyNumberFormat="1" applyFont="1" applyBorder="1" applyProtection="1">
      <protection hidden="1"/>
    </xf>
    <xf numFmtId="175" fontId="26" fillId="0" borderId="18" xfId="7" applyNumberFormat="1" applyFont="1" applyBorder="1" applyProtection="1">
      <protection hidden="1"/>
    </xf>
    <xf numFmtId="175" fontId="26" fillId="0" borderId="19" xfId="7" applyNumberFormat="1" applyFont="1" applyBorder="1" applyProtection="1">
      <protection hidden="1"/>
    </xf>
    <xf numFmtId="0" fontId="26" fillId="9" borderId="102" xfId="36" applyFill="1" applyBorder="1" applyProtection="1">
      <protection hidden="1"/>
    </xf>
    <xf numFmtId="175" fontId="26" fillId="0" borderId="56" xfId="7" applyNumberFormat="1" applyFont="1" applyBorder="1" applyProtection="1">
      <protection hidden="1"/>
    </xf>
    <xf numFmtId="175" fontId="26" fillId="0" borderId="87" xfId="7" applyNumberFormat="1" applyFont="1" applyBorder="1" applyProtection="1">
      <protection hidden="1"/>
    </xf>
    <xf numFmtId="175" fontId="26" fillId="0" borderId="23" xfId="7" applyNumberFormat="1" applyFont="1" applyBorder="1" applyProtection="1">
      <protection hidden="1"/>
    </xf>
    <xf numFmtId="0" fontId="52" fillId="9" borderId="102" xfId="36" applyFont="1" applyFill="1" applyBorder="1" applyProtection="1">
      <protection hidden="1"/>
    </xf>
    <xf numFmtId="0" fontId="52" fillId="9" borderId="57" xfId="36" applyFont="1" applyFill="1" applyBorder="1" applyProtection="1">
      <protection hidden="1"/>
    </xf>
    <xf numFmtId="175" fontId="26" fillId="0" borderId="75" xfId="7" applyNumberFormat="1" applyFont="1" applyBorder="1" applyProtection="1">
      <protection hidden="1"/>
    </xf>
    <xf numFmtId="175" fontId="26" fillId="0" borderId="93" xfId="7" applyNumberFormat="1" applyFont="1" applyBorder="1" applyProtection="1">
      <protection hidden="1"/>
    </xf>
    <xf numFmtId="175" fontId="26" fillId="0" borderId="29" xfId="7" applyNumberFormat="1" applyFont="1" applyBorder="1" applyProtection="1">
      <protection hidden="1"/>
    </xf>
    <xf numFmtId="0" fontId="52" fillId="9" borderId="9" xfId="36" applyFont="1" applyFill="1" applyBorder="1" applyAlignment="1" applyProtection="1">
      <alignment horizontal="center" vertical="center"/>
      <protection hidden="1"/>
    </xf>
    <xf numFmtId="0" fontId="52" fillId="9" borderId="13" xfId="36" applyFont="1" applyFill="1" applyBorder="1" applyAlignment="1" applyProtection="1">
      <alignment horizontal="center" vertical="center"/>
      <protection hidden="1"/>
    </xf>
    <xf numFmtId="0" fontId="52" fillId="9" borderId="14" xfId="36" applyFont="1" applyFill="1" applyBorder="1" applyAlignment="1" applyProtection="1">
      <alignment horizontal="center" vertical="center"/>
      <protection hidden="1"/>
    </xf>
    <xf numFmtId="2" fontId="26" fillId="0" borderId="81" xfId="36" applyNumberFormat="1" applyBorder="1" applyProtection="1">
      <protection hidden="1"/>
    </xf>
    <xf numFmtId="2" fontId="26" fillId="0" borderId="18" xfId="36" applyNumberFormat="1" applyBorder="1" applyProtection="1">
      <protection hidden="1"/>
    </xf>
    <xf numFmtId="2" fontId="26" fillId="0" borderId="19" xfId="36" applyNumberFormat="1" applyBorder="1" applyProtection="1">
      <protection hidden="1"/>
    </xf>
    <xf numFmtId="2" fontId="26" fillId="0" borderId="75" xfId="36" applyNumberFormat="1" applyBorder="1" applyProtection="1">
      <protection hidden="1"/>
    </xf>
    <xf numFmtId="2" fontId="26" fillId="0" borderId="93" xfId="36" applyNumberFormat="1" applyBorder="1" applyProtection="1">
      <protection hidden="1"/>
    </xf>
    <xf numFmtId="2" fontId="52" fillId="10" borderId="9" xfId="36" applyNumberFormat="1" applyFont="1" applyFill="1" applyBorder="1" applyAlignment="1" applyProtection="1">
      <alignment horizontal="center" vertical="center"/>
      <protection hidden="1"/>
    </xf>
    <xf numFmtId="2" fontId="26" fillId="0" borderId="28" xfId="36" applyNumberFormat="1" applyBorder="1" applyProtection="1">
      <protection hidden="1"/>
    </xf>
    <xf numFmtId="0" fontId="26" fillId="0" borderId="64" xfId="36" applyBorder="1" applyProtection="1">
      <protection hidden="1"/>
    </xf>
    <xf numFmtId="0" fontId="26" fillId="0" borderId="63" xfId="36" applyBorder="1" applyProtection="1">
      <protection hidden="1"/>
    </xf>
    <xf numFmtId="2" fontId="103" fillId="0" borderId="22" xfId="36" applyNumberFormat="1" applyFont="1" applyBorder="1" applyAlignment="1" applyProtection="1">
      <alignment horizontal="center" wrapText="1"/>
      <protection hidden="1"/>
    </xf>
    <xf numFmtId="0" fontId="52" fillId="10" borderId="69" xfId="36" applyFont="1" applyFill="1" applyBorder="1" applyProtection="1">
      <protection hidden="1"/>
    </xf>
    <xf numFmtId="0" fontId="52" fillId="10" borderId="102" xfId="36" applyFont="1" applyFill="1" applyBorder="1" applyProtection="1">
      <protection hidden="1"/>
    </xf>
    <xf numFmtId="0" fontId="26" fillId="10" borderId="102" xfId="36" applyFill="1" applyBorder="1" applyProtection="1">
      <protection hidden="1"/>
    </xf>
    <xf numFmtId="0" fontId="26" fillId="10" borderId="57" xfId="36" applyFill="1" applyBorder="1" applyProtection="1">
      <protection hidden="1"/>
    </xf>
    <xf numFmtId="0" fontId="26" fillId="0" borderId="43" xfId="36" applyBorder="1" applyProtection="1">
      <protection hidden="1"/>
    </xf>
    <xf numFmtId="2" fontId="52" fillId="10" borderId="11" xfId="36" applyNumberFormat="1" applyFont="1" applyFill="1" applyBorder="1" applyAlignment="1" applyProtection="1">
      <alignment horizontal="center" vertical="center"/>
      <protection hidden="1"/>
    </xf>
    <xf numFmtId="0" fontId="26" fillId="10" borderId="102" xfId="36" quotePrefix="1" applyFill="1" applyBorder="1" applyProtection="1">
      <protection hidden="1"/>
    </xf>
    <xf numFmtId="2" fontId="26" fillId="0" borderId="107" xfId="36" applyNumberFormat="1" applyBorder="1" applyProtection="1">
      <protection hidden="1"/>
    </xf>
    <xf numFmtId="0" fontId="67" fillId="10" borderId="102" xfId="36" applyFont="1" applyFill="1" applyBorder="1" applyProtection="1">
      <protection hidden="1"/>
    </xf>
    <xf numFmtId="0" fontId="67" fillId="10" borderId="102" xfId="36" quotePrefix="1" applyFont="1" applyFill="1" applyBorder="1" applyProtection="1">
      <protection hidden="1"/>
    </xf>
    <xf numFmtId="0" fontId="67" fillId="10" borderId="57" xfId="36" quotePrefix="1" applyFont="1" applyFill="1" applyBorder="1" applyProtection="1">
      <protection hidden="1"/>
    </xf>
    <xf numFmtId="0" fontId="52" fillId="9" borderId="44" xfId="36" applyFont="1" applyFill="1" applyBorder="1" applyProtection="1">
      <protection hidden="1"/>
    </xf>
    <xf numFmtId="2" fontId="52" fillId="9" borderId="9" xfId="36" applyNumberFormat="1" applyFont="1" applyFill="1" applyBorder="1" applyAlignment="1" applyProtection="1">
      <alignment horizontal="center"/>
      <protection hidden="1"/>
    </xf>
    <xf numFmtId="0" fontId="52" fillId="9" borderId="9" xfId="36" applyFont="1" applyFill="1" applyBorder="1" applyAlignment="1" applyProtection="1">
      <alignment horizontal="center"/>
      <protection hidden="1"/>
    </xf>
    <xf numFmtId="0" fontId="52" fillId="9" borderId="13" xfId="36" applyFont="1" applyFill="1" applyBorder="1" applyAlignment="1" applyProtection="1">
      <alignment horizontal="center"/>
      <protection hidden="1"/>
    </xf>
    <xf numFmtId="0" fontId="52" fillId="9" borderId="16" xfId="36" applyFont="1" applyFill="1" applyBorder="1" applyAlignment="1" applyProtection="1">
      <alignment horizontal="center"/>
      <protection hidden="1"/>
    </xf>
    <xf numFmtId="0" fontId="52" fillId="0" borderId="0" xfId="36" applyFont="1" applyAlignment="1" applyProtection="1">
      <alignment horizontal="center"/>
      <protection hidden="1"/>
    </xf>
    <xf numFmtId="0" fontId="26" fillId="0" borderId="67" xfId="36" applyBorder="1" applyProtection="1">
      <protection hidden="1"/>
    </xf>
    <xf numFmtId="0" fontId="26" fillId="0" borderId="65" xfId="36" applyBorder="1" applyProtection="1">
      <protection hidden="1"/>
    </xf>
    <xf numFmtId="0" fontId="52" fillId="10" borderId="11" xfId="36" applyFont="1" applyFill="1" applyBorder="1" applyProtection="1">
      <protection hidden="1"/>
    </xf>
    <xf numFmtId="0" fontId="26" fillId="9" borderId="12" xfId="36" applyFill="1" applyBorder="1" applyProtection="1">
      <protection hidden="1"/>
    </xf>
    <xf numFmtId="0" fontId="52" fillId="9" borderId="11" xfId="36" applyFont="1" applyFill="1" applyBorder="1" applyAlignment="1" applyProtection="1">
      <alignment horizontal="center"/>
      <protection hidden="1"/>
    </xf>
    <xf numFmtId="0" fontId="52" fillId="9" borderId="14" xfId="36" applyFont="1" applyFill="1" applyBorder="1" applyAlignment="1" applyProtection="1">
      <alignment horizontal="center"/>
      <protection hidden="1"/>
    </xf>
    <xf numFmtId="0" fontId="52" fillId="10" borderId="20" xfId="36" applyFont="1" applyFill="1" applyBorder="1" applyProtection="1">
      <protection hidden="1"/>
    </xf>
    <xf numFmtId="2" fontId="26" fillId="0" borderId="61" xfId="36" applyNumberFormat="1" applyBorder="1" applyProtection="1">
      <protection hidden="1"/>
    </xf>
    <xf numFmtId="2" fontId="26" fillId="0" borderId="2" xfId="36" applyNumberFormat="1" applyBorder="1" applyProtection="1">
      <protection hidden="1"/>
    </xf>
    <xf numFmtId="2" fontId="26" fillId="0" borderId="58" xfId="36" applyNumberFormat="1" applyBorder="1" applyProtection="1">
      <protection hidden="1"/>
    </xf>
    <xf numFmtId="2" fontId="26" fillId="0" borderId="59" xfId="36" applyNumberFormat="1" applyBorder="1" applyProtection="1">
      <protection hidden="1"/>
    </xf>
    <xf numFmtId="0" fontId="52" fillId="10" borderId="24" xfId="36" applyFont="1" applyFill="1" applyBorder="1" applyProtection="1">
      <protection hidden="1"/>
    </xf>
    <xf numFmtId="2" fontId="26" fillId="0" borderId="4" xfId="36" applyNumberFormat="1" applyBorder="1" applyProtection="1">
      <protection hidden="1"/>
    </xf>
    <xf numFmtId="2" fontId="26" fillId="0" borderId="54" xfId="36" applyNumberFormat="1" applyBorder="1" applyProtection="1">
      <protection hidden="1"/>
    </xf>
    <xf numFmtId="2" fontId="26" fillId="0" borderId="60" xfId="36" applyNumberFormat="1" applyBorder="1" applyProtection="1">
      <protection hidden="1"/>
    </xf>
    <xf numFmtId="0" fontId="52" fillId="10" borderId="30" xfId="36" applyFont="1" applyFill="1" applyBorder="1" applyProtection="1">
      <protection hidden="1"/>
    </xf>
    <xf numFmtId="2" fontId="26" fillId="0" borderId="6" xfId="36" applyNumberFormat="1" applyBorder="1" applyProtection="1">
      <protection hidden="1"/>
    </xf>
    <xf numFmtId="2" fontId="52" fillId="10" borderId="9" xfId="36" applyNumberFormat="1" applyFont="1" applyFill="1" applyBorder="1" applyAlignment="1" applyProtection="1">
      <alignment horizontal="center"/>
      <protection hidden="1"/>
    </xf>
    <xf numFmtId="2" fontId="52" fillId="10" borderId="13" xfId="36" applyNumberFormat="1" applyFont="1" applyFill="1" applyBorder="1" applyAlignment="1" applyProtection="1">
      <alignment horizontal="center"/>
      <protection hidden="1"/>
    </xf>
    <xf numFmtId="2" fontId="52" fillId="10" borderId="14" xfId="36" applyNumberFormat="1" applyFont="1" applyFill="1" applyBorder="1" applyAlignment="1" applyProtection="1">
      <alignment horizontal="center"/>
      <protection hidden="1"/>
    </xf>
    <xf numFmtId="2" fontId="52" fillId="9" borderId="13" xfId="36" applyNumberFormat="1" applyFont="1" applyFill="1" applyBorder="1" applyAlignment="1" applyProtection="1">
      <alignment horizontal="center"/>
      <protection hidden="1"/>
    </xf>
    <xf numFmtId="2" fontId="52" fillId="9" borderId="14" xfId="36" applyNumberFormat="1" applyFont="1" applyFill="1" applyBorder="1" applyAlignment="1" applyProtection="1">
      <alignment horizontal="center"/>
      <protection hidden="1"/>
    </xf>
    <xf numFmtId="2" fontId="26" fillId="0" borderId="74" xfId="36" applyNumberFormat="1" applyBorder="1" applyProtection="1">
      <protection hidden="1"/>
    </xf>
    <xf numFmtId="2" fontId="26" fillId="0" borderId="73" xfId="36" applyNumberFormat="1" applyBorder="1" applyProtection="1">
      <protection hidden="1"/>
    </xf>
    <xf numFmtId="2" fontId="26" fillId="0" borderId="44" xfId="36" applyNumberFormat="1" applyBorder="1" applyProtection="1">
      <protection hidden="1"/>
    </xf>
    <xf numFmtId="2" fontId="26" fillId="0" borderId="41" xfId="36" applyNumberFormat="1" applyBorder="1" applyProtection="1">
      <protection hidden="1"/>
    </xf>
    <xf numFmtId="2" fontId="26" fillId="0" borderId="42" xfId="36" applyNumberFormat="1" applyBorder="1" applyProtection="1">
      <protection hidden="1"/>
    </xf>
    <xf numFmtId="2" fontId="52" fillId="10" borderId="1" xfId="0" applyNumberFormat="1" applyFont="1" applyFill="1" applyBorder="1" applyAlignment="1" applyProtection="1">
      <alignment horizontal="center"/>
      <protection hidden="1"/>
    </xf>
    <xf numFmtId="2" fontId="52" fillId="10" borderId="15" xfId="0" applyNumberFormat="1" applyFont="1" applyFill="1" applyBorder="1" applyAlignment="1" applyProtection="1">
      <alignment horizontal="center"/>
      <protection hidden="1"/>
    </xf>
    <xf numFmtId="2" fontId="52" fillId="10" borderId="12" xfId="0" applyNumberFormat="1" applyFont="1" applyFill="1" applyBorder="1" applyAlignment="1" applyProtection="1">
      <alignment horizontal="center"/>
      <protection hidden="1"/>
    </xf>
    <xf numFmtId="2" fontId="0" fillId="0" borderId="52" xfId="0" applyNumberFormat="1" applyBorder="1" applyAlignment="1" applyProtection="1">
      <alignment vertical="center"/>
      <protection hidden="1"/>
    </xf>
    <xf numFmtId="2" fontId="0" fillId="0" borderId="58" xfId="0" applyNumberFormat="1" applyBorder="1" applyAlignment="1" applyProtection="1">
      <alignment vertical="center"/>
      <protection hidden="1"/>
    </xf>
    <xf numFmtId="2" fontId="0" fillId="0" borderId="59" xfId="0" applyNumberFormat="1" applyBorder="1" applyAlignment="1" applyProtection="1">
      <alignment vertical="center"/>
      <protection hidden="1"/>
    </xf>
    <xf numFmtId="2" fontId="0" fillId="0" borderId="53" xfId="0" applyNumberFormat="1" applyBorder="1" applyAlignment="1" applyProtection="1">
      <alignment vertical="center"/>
      <protection hidden="1"/>
    </xf>
    <xf numFmtId="2" fontId="0" fillId="0" borderId="54" xfId="0" applyNumberFormat="1" applyBorder="1" applyAlignment="1" applyProtection="1">
      <alignment vertical="center"/>
      <protection hidden="1"/>
    </xf>
    <xf numFmtId="2" fontId="0" fillId="0" borderId="60" xfId="0" applyNumberFormat="1" applyBorder="1" applyAlignment="1" applyProtection="1">
      <alignment vertical="center"/>
      <protection hidden="1"/>
    </xf>
    <xf numFmtId="2" fontId="0" fillId="0" borderId="40" xfId="0" applyNumberFormat="1" applyBorder="1" applyAlignment="1" applyProtection="1">
      <alignment vertical="center"/>
      <protection hidden="1"/>
    </xf>
    <xf numFmtId="2" fontId="0" fillId="0" borderId="41" xfId="0" applyNumberFormat="1" applyBorder="1" applyAlignment="1" applyProtection="1">
      <alignment vertical="center"/>
      <protection hidden="1"/>
    </xf>
    <xf numFmtId="2" fontId="0" fillId="0" borderId="42" xfId="0" applyNumberFormat="1" applyBorder="1" applyAlignment="1" applyProtection="1">
      <alignment vertical="center"/>
      <protection hidden="1"/>
    </xf>
    <xf numFmtId="2" fontId="52" fillId="10" borderId="9" xfId="0" applyNumberFormat="1" applyFont="1" applyFill="1" applyBorder="1" applyAlignment="1" applyProtection="1">
      <alignment horizontal="center" vertical="center"/>
      <protection hidden="1"/>
    </xf>
    <xf numFmtId="2" fontId="52" fillId="10" borderId="16" xfId="0" applyNumberFormat="1" applyFont="1" applyFill="1" applyBorder="1" applyAlignment="1" applyProtection="1">
      <alignment horizontal="center" vertical="center"/>
      <protection hidden="1"/>
    </xf>
    <xf numFmtId="2" fontId="52" fillId="10" borderId="14" xfId="0" applyNumberFormat="1" applyFont="1" applyFill="1" applyBorder="1" applyAlignment="1" applyProtection="1">
      <alignment horizontal="center" vertical="center"/>
      <protection hidden="1"/>
    </xf>
    <xf numFmtId="0" fontId="52" fillId="9" borderId="20" xfId="36" applyFont="1" applyFill="1" applyBorder="1" applyAlignment="1" applyProtection="1">
      <alignment wrapText="1"/>
      <protection hidden="1"/>
    </xf>
    <xf numFmtId="43" fontId="26" fillId="0" borderId="74" xfId="7" applyFont="1" applyBorder="1" applyProtection="1">
      <protection hidden="1"/>
    </xf>
    <xf numFmtId="43" fontId="26" fillId="0" borderId="2" xfId="7" applyFont="1" applyBorder="1" applyProtection="1">
      <protection hidden="1"/>
    </xf>
    <xf numFmtId="43" fontId="26" fillId="0" borderId="58" xfId="7" applyFont="1" applyBorder="1" applyProtection="1">
      <protection hidden="1"/>
    </xf>
    <xf numFmtId="43" fontId="26" fillId="0" borderId="59" xfId="7" applyFont="1" applyBorder="1" applyProtection="1">
      <protection hidden="1"/>
    </xf>
    <xf numFmtId="0" fontId="26" fillId="9" borderId="24" xfId="36" applyFill="1" applyBorder="1" applyAlignment="1" applyProtection="1">
      <alignment wrapText="1"/>
      <protection hidden="1"/>
    </xf>
    <xf numFmtId="43" fontId="26" fillId="0" borderId="73" xfId="7" applyFont="1" applyBorder="1" applyProtection="1">
      <protection hidden="1"/>
    </xf>
    <xf numFmtId="43" fontId="26" fillId="0" borderId="4" xfId="7" applyFont="1" applyBorder="1" applyProtection="1">
      <protection hidden="1"/>
    </xf>
    <xf numFmtId="43" fontId="26" fillId="0" borderId="54" xfId="7" applyFont="1" applyBorder="1" applyProtection="1">
      <protection hidden="1"/>
    </xf>
    <xf numFmtId="43" fontId="26" fillId="0" borderId="60" xfId="7" applyFont="1" applyBorder="1" applyProtection="1">
      <protection hidden="1"/>
    </xf>
    <xf numFmtId="0" fontId="26" fillId="9" borderId="24" xfId="36" quotePrefix="1" applyFill="1" applyBorder="1" applyAlignment="1" applyProtection="1">
      <alignment wrapText="1"/>
      <protection hidden="1"/>
    </xf>
    <xf numFmtId="43" fontId="26" fillId="9" borderId="73" xfId="7" applyFont="1" applyFill="1" applyBorder="1" applyProtection="1">
      <protection hidden="1"/>
    </xf>
    <xf numFmtId="43" fontId="26" fillId="9" borderId="4" xfId="7" applyFont="1" applyFill="1" applyBorder="1" applyProtection="1">
      <protection hidden="1"/>
    </xf>
    <xf numFmtId="43" fontId="26" fillId="9" borderId="54" xfId="7" applyFont="1" applyFill="1" applyBorder="1" applyProtection="1">
      <protection hidden="1"/>
    </xf>
    <xf numFmtId="43" fontId="26" fillId="9" borderId="60" xfId="7" applyFont="1" applyFill="1" applyBorder="1" applyProtection="1">
      <protection hidden="1"/>
    </xf>
    <xf numFmtId="0" fontId="26" fillId="9" borderId="30" xfId="36" applyFill="1" applyBorder="1" applyAlignment="1" applyProtection="1">
      <alignment wrapText="1"/>
      <protection hidden="1"/>
    </xf>
    <xf numFmtId="43" fontId="26" fillId="0" borderId="44" xfId="7" applyFont="1" applyBorder="1" applyProtection="1">
      <protection hidden="1"/>
    </xf>
    <xf numFmtId="43" fontId="26" fillId="0" borderId="6" xfId="7" applyFont="1" applyBorder="1" applyProtection="1">
      <protection hidden="1"/>
    </xf>
    <xf numFmtId="43" fontId="26" fillId="0" borderId="41" xfId="7" applyFont="1" applyBorder="1" applyProtection="1">
      <protection hidden="1"/>
    </xf>
    <xf numFmtId="43" fontId="26" fillId="0" borderId="42" xfId="7" applyFont="1" applyBorder="1" applyProtection="1">
      <protection hidden="1"/>
    </xf>
    <xf numFmtId="0" fontId="26" fillId="9" borderId="11" xfId="36" applyFill="1" applyBorder="1" applyProtection="1">
      <protection hidden="1"/>
    </xf>
    <xf numFmtId="4" fontId="96" fillId="9" borderId="11" xfId="38" applyNumberFormat="1" applyFont="1" applyFill="1" applyBorder="1" applyAlignment="1" applyProtection="1">
      <alignment horizontal="center" vertical="center" wrapText="1"/>
      <protection hidden="1"/>
    </xf>
    <xf numFmtId="2" fontId="26" fillId="9" borderId="73" xfId="36" applyNumberFormat="1" applyFill="1" applyBorder="1" applyProtection="1">
      <protection hidden="1"/>
    </xf>
    <xf numFmtId="2" fontId="26" fillId="9" borderId="4" xfId="36" applyNumberFormat="1" applyFill="1" applyBorder="1" applyProtection="1">
      <protection hidden="1"/>
    </xf>
    <xf numFmtId="2" fontId="26" fillId="9" borderId="54" xfId="36" applyNumberFormat="1" applyFill="1" applyBorder="1" applyProtection="1">
      <protection hidden="1"/>
    </xf>
    <xf numFmtId="2" fontId="26" fillId="9" borderId="60" xfId="36" applyNumberFormat="1" applyFill="1" applyBorder="1" applyProtection="1">
      <protection hidden="1"/>
    </xf>
    <xf numFmtId="0" fontId="26" fillId="9" borderId="10" xfId="36" applyFill="1" applyBorder="1" applyProtection="1">
      <protection hidden="1"/>
    </xf>
    <xf numFmtId="0" fontId="26" fillId="9" borderId="16" xfId="36" applyFill="1" applyBorder="1" applyProtection="1">
      <protection hidden="1"/>
    </xf>
    <xf numFmtId="0" fontId="52" fillId="9" borderId="1" xfId="36" applyFont="1" applyFill="1" applyBorder="1" applyAlignment="1" applyProtection="1">
      <alignment horizontal="center"/>
      <protection hidden="1"/>
    </xf>
    <xf numFmtId="0" fontId="52" fillId="9" borderId="15" xfId="36" applyFont="1" applyFill="1" applyBorder="1" applyAlignment="1" applyProtection="1">
      <alignment horizontal="center"/>
      <protection hidden="1"/>
    </xf>
    <xf numFmtId="0" fontId="26" fillId="0" borderId="46" xfId="36" applyBorder="1" applyProtection="1">
      <protection hidden="1"/>
    </xf>
    <xf numFmtId="0" fontId="26" fillId="0" borderId="6" xfId="36" applyBorder="1" applyProtection="1">
      <protection hidden="1"/>
    </xf>
    <xf numFmtId="0" fontId="26" fillId="0" borderId="41" xfId="36" applyBorder="1" applyProtection="1">
      <protection hidden="1"/>
    </xf>
    <xf numFmtId="0" fontId="26" fillId="0" borderId="8" xfId="36" applyBorder="1" applyProtection="1">
      <protection hidden="1"/>
    </xf>
    <xf numFmtId="0" fontId="26" fillId="0" borderId="16" xfId="36" applyBorder="1" applyProtection="1">
      <protection hidden="1"/>
    </xf>
    <xf numFmtId="2" fontId="26" fillId="0" borderId="9" xfId="36" applyNumberFormat="1" applyBorder="1" applyProtection="1">
      <protection hidden="1"/>
    </xf>
    <xf numFmtId="2" fontId="26" fillId="0" borderId="13" xfId="36" applyNumberFormat="1" applyBorder="1" applyAlignment="1" applyProtection="1">
      <alignment horizontal="right"/>
      <protection hidden="1"/>
    </xf>
    <xf numFmtId="0" fontId="26" fillId="9" borderId="11" xfId="36" applyFill="1" applyBorder="1" applyAlignment="1" applyProtection="1">
      <alignment horizontal="center"/>
      <protection hidden="1"/>
    </xf>
    <xf numFmtId="0" fontId="26" fillId="9" borderId="69" xfId="36" applyFill="1" applyBorder="1" applyAlignment="1" applyProtection="1">
      <alignment horizontal="center"/>
      <protection hidden="1"/>
    </xf>
    <xf numFmtId="2" fontId="26" fillId="0" borderId="17" xfId="36" applyNumberFormat="1" applyBorder="1" applyProtection="1">
      <protection hidden="1"/>
    </xf>
    <xf numFmtId="0" fontId="26" fillId="9" borderId="56" xfId="36" applyFill="1" applyBorder="1" applyAlignment="1" applyProtection="1">
      <alignment horizontal="center"/>
      <protection hidden="1"/>
    </xf>
    <xf numFmtId="0" fontId="26" fillId="9" borderId="57" xfId="36" applyFill="1" applyBorder="1" applyAlignment="1" applyProtection="1">
      <alignment horizontal="center"/>
      <protection hidden="1"/>
    </xf>
    <xf numFmtId="2" fontId="26" fillId="0" borderId="26" xfId="36" applyNumberFormat="1" applyBorder="1" applyProtection="1">
      <protection hidden="1"/>
    </xf>
    <xf numFmtId="2" fontId="26" fillId="0" borderId="39" xfId="36" applyNumberFormat="1" applyBorder="1" applyProtection="1">
      <protection hidden="1"/>
    </xf>
    <xf numFmtId="2" fontId="26" fillId="0" borderId="5" xfId="36" applyNumberFormat="1" applyBorder="1" applyProtection="1">
      <protection hidden="1"/>
    </xf>
    <xf numFmtId="2" fontId="26" fillId="0" borderId="64" xfId="36" applyNumberFormat="1" applyBorder="1" applyAlignment="1" applyProtection="1">
      <alignment horizontal="right"/>
      <protection hidden="1"/>
    </xf>
    <xf numFmtId="0" fontId="26" fillId="9" borderId="15" xfId="36" applyFill="1" applyBorder="1" applyAlignment="1" applyProtection="1">
      <alignment horizontal="center"/>
      <protection hidden="1"/>
    </xf>
    <xf numFmtId="2" fontId="26" fillId="0" borderId="46" xfId="36" applyNumberFormat="1" applyBorder="1" applyProtection="1">
      <protection hidden="1"/>
    </xf>
    <xf numFmtId="2" fontId="26" fillId="0" borderId="8" xfId="36" applyNumberFormat="1" applyBorder="1" applyProtection="1">
      <protection hidden="1"/>
    </xf>
    <xf numFmtId="0" fontId="26" fillId="9" borderId="3" xfId="36" applyFill="1" applyBorder="1" applyProtection="1">
      <protection hidden="1"/>
    </xf>
    <xf numFmtId="0" fontId="52" fillId="9" borderId="67" xfId="36" applyFont="1" applyFill="1" applyBorder="1" applyAlignment="1" applyProtection="1">
      <alignment horizontal="center"/>
      <protection hidden="1"/>
    </xf>
    <xf numFmtId="0" fontId="52" fillId="9" borderId="52" xfId="36" applyFont="1" applyFill="1" applyBorder="1" applyAlignment="1" applyProtection="1">
      <alignment horizontal="center"/>
      <protection hidden="1"/>
    </xf>
    <xf numFmtId="0" fontId="52" fillId="9" borderId="58" xfId="36" applyFont="1" applyFill="1" applyBorder="1" applyAlignment="1" applyProtection="1">
      <alignment horizontal="center"/>
      <protection hidden="1"/>
    </xf>
    <xf numFmtId="0" fontId="52" fillId="9" borderId="59" xfId="36" applyFont="1" applyFill="1" applyBorder="1" applyAlignment="1" applyProtection="1">
      <alignment horizontal="center"/>
      <protection hidden="1"/>
    </xf>
    <xf numFmtId="0" fontId="26" fillId="9" borderId="62" xfId="36" applyFill="1" applyBorder="1" applyAlignment="1" applyProtection="1">
      <alignment horizontal="left" wrapText="1"/>
      <protection hidden="1"/>
    </xf>
    <xf numFmtId="0" fontId="26" fillId="9" borderId="63" xfId="36" applyFill="1" applyBorder="1" applyAlignment="1" applyProtection="1">
      <alignment horizontal="center"/>
      <protection hidden="1"/>
    </xf>
    <xf numFmtId="2" fontId="26" fillId="0" borderId="34" xfId="36" applyNumberFormat="1" applyBorder="1" applyProtection="1">
      <protection hidden="1"/>
    </xf>
    <xf numFmtId="0" fontId="23" fillId="9" borderId="21" xfId="36" applyFont="1" applyFill="1" applyBorder="1" applyAlignment="1" applyProtection="1">
      <alignment horizontal="left" wrapText="1"/>
      <protection hidden="1"/>
    </xf>
    <xf numFmtId="0" fontId="26" fillId="9" borderId="23" xfId="36" applyFill="1" applyBorder="1" applyAlignment="1" applyProtection="1">
      <alignment horizontal="center"/>
      <protection hidden="1"/>
    </xf>
    <xf numFmtId="2" fontId="26" fillId="0" borderId="36" xfId="36" applyNumberFormat="1" applyBorder="1" applyProtection="1">
      <protection hidden="1"/>
    </xf>
    <xf numFmtId="0" fontId="23" fillId="9" borderId="31" xfId="36" applyFont="1" applyFill="1" applyBorder="1" applyAlignment="1" applyProtection="1">
      <alignment horizontal="left" wrapText="1"/>
      <protection hidden="1"/>
    </xf>
    <xf numFmtId="0" fontId="26" fillId="9" borderId="33" xfId="36" applyFill="1" applyBorder="1" applyAlignment="1" applyProtection="1">
      <alignment horizontal="center"/>
      <protection hidden="1"/>
    </xf>
    <xf numFmtId="2" fontId="26" fillId="0" borderId="37" xfId="36" applyNumberFormat="1" applyBorder="1" applyProtection="1">
      <protection hidden="1"/>
    </xf>
    <xf numFmtId="2" fontId="26" fillId="0" borderId="10" xfId="36" applyNumberFormat="1" applyBorder="1" applyProtection="1">
      <protection hidden="1"/>
    </xf>
    <xf numFmtId="0" fontId="26" fillId="9" borderId="20" xfId="36" applyFill="1" applyBorder="1" applyAlignment="1" applyProtection="1">
      <alignment horizontal="center"/>
      <protection hidden="1"/>
    </xf>
    <xf numFmtId="2" fontId="26" fillId="9" borderId="0" xfId="36" applyNumberFormat="1" applyFill="1" applyProtection="1">
      <protection hidden="1"/>
    </xf>
    <xf numFmtId="2" fontId="26" fillId="9" borderId="53" xfId="36" applyNumberFormat="1" applyFill="1" applyBorder="1" applyProtection="1">
      <protection hidden="1"/>
    </xf>
    <xf numFmtId="0" fontId="26" fillId="9" borderId="24" xfId="36" applyFill="1" applyBorder="1" applyAlignment="1" applyProtection="1">
      <alignment horizontal="center"/>
      <protection hidden="1"/>
    </xf>
    <xf numFmtId="2" fontId="26" fillId="9" borderId="36" xfId="36" applyNumberFormat="1" applyFill="1" applyBorder="1" applyProtection="1">
      <protection hidden="1"/>
    </xf>
    <xf numFmtId="2" fontId="26" fillId="9" borderId="21" xfId="36" applyNumberFormat="1" applyFill="1" applyBorder="1" applyProtection="1">
      <protection hidden="1"/>
    </xf>
    <xf numFmtId="0" fontId="26" fillId="9" borderId="30" xfId="36" applyFill="1" applyBorder="1" applyAlignment="1" applyProtection="1">
      <alignment horizontal="center"/>
      <protection hidden="1"/>
    </xf>
    <xf numFmtId="2" fontId="26" fillId="0" borderId="90" xfId="36" applyNumberFormat="1" applyBorder="1" applyProtection="1">
      <protection hidden="1"/>
    </xf>
    <xf numFmtId="2" fontId="26" fillId="0" borderId="3" xfId="36" applyNumberFormat="1" applyBorder="1" applyProtection="1">
      <protection hidden="1"/>
    </xf>
    <xf numFmtId="2" fontId="26" fillId="0" borderId="52" xfId="36" applyNumberFormat="1" applyBorder="1" applyProtection="1">
      <protection hidden="1"/>
    </xf>
    <xf numFmtId="2" fontId="26" fillId="9" borderId="3" xfId="36" applyNumberFormat="1" applyFill="1" applyBorder="1" applyAlignment="1" applyProtection="1">
      <alignment horizontal="right"/>
      <protection hidden="1"/>
    </xf>
    <xf numFmtId="2" fontId="26" fillId="9" borderId="52" xfId="36" applyNumberFormat="1" applyFill="1" applyBorder="1" applyAlignment="1" applyProtection="1">
      <alignment horizontal="right"/>
      <protection hidden="1"/>
    </xf>
    <xf numFmtId="2" fontId="26" fillId="9" borderId="58" xfId="36" applyNumberFormat="1" applyFill="1" applyBorder="1" applyAlignment="1" applyProtection="1">
      <alignment horizontal="right"/>
      <protection hidden="1"/>
    </xf>
    <xf numFmtId="2" fontId="26" fillId="9" borderId="59" xfId="36" applyNumberFormat="1" applyFill="1" applyBorder="1" applyAlignment="1" applyProtection="1">
      <alignment horizontal="right"/>
      <protection hidden="1"/>
    </xf>
    <xf numFmtId="2" fontId="26" fillId="0" borderId="53" xfId="36" applyNumberFormat="1" applyBorder="1" applyProtection="1">
      <protection hidden="1"/>
    </xf>
    <xf numFmtId="2" fontId="26" fillId="0" borderId="0" xfId="36" applyNumberFormat="1" applyAlignment="1" applyProtection="1">
      <alignment horizontal="right"/>
      <protection hidden="1"/>
    </xf>
    <xf numFmtId="2" fontId="26" fillId="0" borderId="62" xfId="36" applyNumberFormat="1" applyBorder="1" applyAlignment="1" applyProtection="1">
      <alignment horizontal="right"/>
      <protection hidden="1"/>
    </xf>
    <xf numFmtId="2" fontId="26" fillId="0" borderId="63" xfId="36" applyNumberFormat="1" applyBorder="1" applyAlignment="1" applyProtection="1">
      <alignment horizontal="right"/>
      <protection hidden="1"/>
    </xf>
    <xf numFmtId="2" fontId="26" fillId="0" borderId="36" xfId="36" applyNumberFormat="1" applyBorder="1" applyAlignment="1" applyProtection="1">
      <alignment horizontal="right"/>
      <protection hidden="1"/>
    </xf>
    <xf numFmtId="2" fontId="26" fillId="0" borderId="3" xfId="36" applyNumberFormat="1" applyBorder="1" applyAlignment="1" applyProtection="1">
      <alignment horizontal="right"/>
      <protection hidden="1"/>
    </xf>
    <xf numFmtId="2" fontId="26" fillId="9" borderId="62" xfId="36" applyNumberFormat="1" applyFill="1" applyBorder="1" applyAlignment="1" applyProtection="1">
      <alignment horizontal="right"/>
      <protection hidden="1"/>
    </xf>
    <xf numFmtId="2" fontId="26" fillId="9" borderId="64" xfId="36" applyNumberFormat="1" applyFill="1" applyBorder="1" applyAlignment="1" applyProtection="1">
      <alignment horizontal="right"/>
      <protection hidden="1"/>
    </xf>
    <xf numFmtId="2" fontId="26" fillId="9" borderId="63" xfId="36" applyNumberFormat="1" applyFill="1" applyBorder="1" applyAlignment="1" applyProtection="1">
      <alignment horizontal="right"/>
      <protection hidden="1"/>
    </xf>
    <xf numFmtId="2" fontId="26" fillId="9" borderId="36" xfId="36" applyNumberFormat="1" applyFill="1" applyBorder="1" applyAlignment="1" applyProtection="1">
      <alignment horizontal="right"/>
      <protection hidden="1"/>
    </xf>
    <xf numFmtId="0" fontId="26" fillId="9" borderId="28" xfId="36" applyFill="1" applyBorder="1" applyAlignment="1" applyProtection="1">
      <alignment horizontal="center"/>
      <protection hidden="1"/>
    </xf>
    <xf numFmtId="2" fontId="26" fillId="9" borderId="90" xfId="36" applyNumberFormat="1" applyFill="1" applyBorder="1" applyProtection="1">
      <protection hidden="1"/>
    </xf>
    <xf numFmtId="2" fontId="26" fillId="9" borderId="26" xfId="36" applyNumberFormat="1" applyFill="1" applyBorder="1" applyProtection="1">
      <protection hidden="1"/>
    </xf>
    <xf numFmtId="2" fontId="26" fillId="9" borderId="27" xfId="36" applyNumberFormat="1" applyFill="1" applyBorder="1" applyProtection="1">
      <protection hidden="1"/>
    </xf>
    <xf numFmtId="2" fontId="26" fillId="9" borderId="29" xfId="36" applyNumberFormat="1" applyFill="1" applyBorder="1" applyProtection="1">
      <protection hidden="1"/>
    </xf>
    <xf numFmtId="0" fontId="26" fillId="9" borderId="44" xfId="36" applyFill="1" applyBorder="1" applyAlignment="1" applyProtection="1">
      <alignment horizontal="center"/>
      <protection hidden="1"/>
    </xf>
    <xf numFmtId="2" fontId="26" fillId="9" borderId="34" xfId="36" applyNumberFormat="1" applyFill="1" applyBorder="1" applyAlignment="1" applyProtection="1">
      <alignment horizontal="right"/>
      <protection hidden="1"/>
    </xf>
    <xf numFmtId="2" fontId="26" fillId="9" borderId="37" xfId="36" applyNumberFormat="1" applyFill="1" applyBorder="1" applyProtection="1">
      <protection hidden="1"/>
    </xf>
    <xf numFmtId="2" fontId="26" fillId="9" borderId="31" xfId="36" applyNumberFormat="1" applyFill="1" applyBorder="1" applyProtection="1">
      <protection hidden="1"/>
    </xf>
    <xf numFmtId="2" fontId="26" fillId="9" borderId="33" xfId="36" applyNumberFormat="1" applyFill="1" applyBorder="1" applyProtection="1">
      <protection hidden="1"/>
    </xf>
    <xf numFmtId="0" fontId="26" fillId="0" borderId="90" xfId="36" applyBorder="1" applyProtection="1">
      <protection hidden="1"/>
    </xf>
    <xf numFmtId="0" fontId="80" fillId="0" borderId="0" xfId="36" applyFont="1" applyProtection="1">
      <protection hidden="1"/>
    </xf>
    <xf numFmtId="2" fontId="67" fillId="0" borderId="77" xfId="0" applyNumberFormat="1" applyFont="1" applyBorder="1" applyAlignment="1" applyProtection="1">
      <alignment horizontal="center" vertical="center" wrapText="1"/>
      <protection hidden="1"/>
    </xf>
    <xf numFmtId="2" fontId="67" fillId="0" borderId="58" xfId="0" applyNumberFormat="1" applyFont="1" applyBorder="1" applyAlignment="1" applyProtection="1">
      <alignment horizontal="center" vertical="center" wrapText="1"/>
      <protection hidden="1"/>
    </xf>
    <xf numFmtId="2" fontId="52" fillId="9" borderId="15" xfId="0" applyNumberFormat="1" applyFont="1" applyFill="1" applyBorder="1" applyAlignment="1" applyProtection="1">
      <alignment horizontal="center" vertical="center" wrapText="1"/>
      <protection hidden="1"/>
    </xf>
    <xf numFmtId="2" fontId="52" fillId="9" borderId="13" xfId="0" applyNumberFormat="1" applyFont="1" applyFill="1" applyBorder="1" applyAlignment="1" applyProtection="1">
      <alignment horizontal="center" vertical="center" wrapText="1"/>
      <protection hidden="1"/>
    </xf>
    <xf numFmtId="2" fontId="0" fillId="3" borderId="50" xfId="0" applyNumberFormat="1" applyFill="1" applyBorder="1" applyProtection="1">
      <protection hidden="1"/>
    </xf>
    <xf numFmtId="2" fontId="0" fillId="3" borderId="18" xfId="0" applyNumberFormat="1" applyFill="1" applyBorder="1" applyProtection="1">
      <protection hidden="1"/>
    </xf>
    <xf numFmtId="2" fontId="0" fillId="3" borderId="19" xfId="0" applyNumberFormat="1" applyFill="1" applyBorder="1" applyProtection="1">
      <protection hidden="1"/>
    </xf>
    <xf numFmtId="2" fontId="0" fillId="3" borderId="47" xfId="0" applyNumberFormat="1" applyFill="1" applyBorder="1" applyProtection="1">
      <protection hidden="1"/>
    </xf>
    <xf numFmtId="2" fontId="0" fillId="3" borderId="22" xfId="0" applyNumberFormat="1" applyFill="1" applyBorder="1" applyProtection="1">
      <protection hidden="1"/>
    </xf>
    <xf numFmtId="2" fontId="0" fillId="3" borderId="23" xfId="0" applyNumberFormat="1" applyFill="1" applyBorder="1" applyProtection="1">
      <protection hidden="1"/>
    </xf>
    <xf numFmtId="2" fontId="0" fillId="3" borderId="49" xfId="0" applyNumberFormat="1" applyFill="1" applyBorder="1" applyProtection="1">
      <protection hidden="1"/>
    </xf>
    <xf numFmtId="2" fontId="0" fillId="3" borderId="32" xfId="0" applyNumberFormat="1" applyFill="1" applyBorder="1" applyProtection="1">
      <protection hidden="1"/>
    </xf>
    <xf numFmtId="2" fontId="0" fillId="3" borderId="33" xfId="0" applyNumberFormat="1" applyFill="1" applyBorder="1" applyProtection="1">
      <protection hidden="1"/>
    </xf>
    <xf numFmtId="2" fontId="0" fillId="0" borderId="0" xfId="0" applyNumberFormat="1" applyAlignment="1" applyProtection="1">
      <alignment horizontal="center"/>
      <protection hidden="1"/>
    </xf>
    <xf numFmtId="2" fontId="103" fillId="0" borderId="22" xfId="0" applyNumberFormat="1" applyFont="1" applyBorder="1" applyAlignment="1" applyProtection="1">
      <alignment horizontal="center" vertical="center" wrapText="1"/>
      <protection hidden="1"/>
    </xf>
    <xf numFmtId="2" fontId="0" fillId="0" borderId="47" xfId="0" applyNumberFormat="1" applyBorder="1" applyProtection="1">
      <protection hidden="1"/>
    </xf>
    <xf numFmtId="2" fontId="0" fillId="0" borderId="22" xfId="0" applyNumberFormat="1" applyBorder="1" applyProtection="1">
      <protection hidden="1"/>
    </xf>
    <xf numFmtId="2" fontId="0" fillId="0" borderId="23" xfId="0" applyNumberFormat="1" applyBorder="1" applyProtection="1">
      <protection hidden="1"/>
    </xf>
    <xf numFmtId="2" fontId="0" fillId="0" borderId="49" xfId="0" applyNumberFormat="1" applyBorder="1" applyProtection="1">
      <protection hidden="1"/>
    </xf>
    <xf numFmtId="2" fontId="0" fillId="0" borderId="32" xfId="0" applyNumberFormat="1" applyBorder="1" applyProtection="1">
      <protection hidden="1"/>
    </xf>
    <xf numFmtId="2" fontId="0" fillId="0" borderId="33" xfId="0" applyNumberFormat="1" applyBorder="1" applyProtection="1">
      <protection hidden="1"/>
    </xf>
    <xf numFmtId="171" fontId="32" fillId="0" borderId="17" xfId="3" applyNumberFormat="1" applyBorder="1"/>
    <xf numFmtId="0" fontId="92" fillId="0" borderId="2" xfId="3" applyFont="1" applyBorder="1" applyAlignment="1">
      <alignment vertical="center"/>
    </xf>
    <xf numFmtId="0" fontId="92" fillId="0" borderId="4" xfId="3" applyFont="1" applyBorder="1" applyAlignment="1">
      <alignment vertical="center"/>
    </xf>
    <xf numFmtId="0" fontId="92" fillId="0" borderId="6" xfId="3" applyFont="1" applyBorder="1" applyAlignment="1">
      <alignment vertical="center"/>
    </xf>
    <xf numFmtId="0" fontId="200" fillId="0" borderId="0" xfId="43" applyFont="1" applyAlignment="1">
      <alignment horizontal="left"/>
    </xf>
    <xf numFmtId="0" fontId="92" fillId="0" borderId="2" xfId="3" applyFont="1" applyBorder="1" applyAlignment="1">
      <alignment vertical="center" wrapText="1"/>
    </xf>
    <xf numFmtId="0" fontId="92" fillId="0" borderId="4" xfId="3" applyFont="1" applyBorder="1" applyAlignment="1">
      <alignment vertical="center" wrapText="1"/>
    </xf>
    <xf numFmtId="0" fontId="92" fillId="0" borderId="6" xfId="3" applyFont="1" applyBorder="1" applyAlignment="1">
      <alignment vertical="center" wrapText="1"/>
    </xf>
    <xf numFmtId="1" fontId="34" fillId="0" borderId="212" xfId="3" applyNumberFormat="1" applyFont="1" applyBorder="1" applyAlignment="1">
      <alignment horizontal="center" vertical="center" wrapText="1"/>
    </xf>
    <xf numFmtId="1" fontId="34" fillId="0" borderId="18" xfId="3" applyNumberFormat="1" applyFont="1" applyBorder="1" applyAlignment="1">
      <alignment horizontal="center" vertical="center" wrapText="1"/>
    </xf>
    <xf numFmtId="0" fontId="34" fillId="0" borderId="22" xfId="3" applyFont="1" applyBorder="1" applyAlignment="1">
      <alignment horizontal="center" vertical="center" textRotation="90"/>
    </xf>
    <xf numFmtId="0" fontId="32" fillId="4" borderId="27" xfId="3" applyFill="1" applyBorder="1" applyAlignment="1">
      <alignment vertical="center"/>
    </xf>
    <xf numFmtId="0" fontId="32" fillId="4" borderId="54" xfId="3" applyFill="1" applyBorder="1" applyAlignment="1">
      <alignment vertical="center"/>
    </xf>
    <xf numFmtId="0" fontId="32" fillId="4" borderId="18" xfId="3" applyFill="1" applyBorder="1" applyAlignment="1">
      <alignment vertical="center"/>
    </xf>
    <xf numFmtId="0" fontId="34" fillId="0" borderId="27" xfId="3" applyFont="1" applyBorder="1" applyAlignment="1">
      <alignment horizontal="center" vertical="center" textRotation="90"/>
    </xf>
    <xf numFmtId="0" fontId="34" fillId="0" borderId="54" xfId="3" applyFont="1" applyBorder="1" applyAlignment="1">
      <alignment horizontal="center" vertical="center" textRotation="90"/>
    </xf>
    <xf numFmtId="0" fontId="34" fillId="0" borderId="18" xfId="3" applyFont="1" applyBorder="1" applyAlignment="1">
      <alignment horizontal="center" vertical="center" textRotation="90"/>
    </xf>
    <xf numFmtId="0" fontId="34" fillId="0" borderId="140" xfId="3" applyFont="1" applyBorder="1" applyAlignment="1">
      <alignment horizontal="center" vertical="center"/>
    </xf>
    <xf numFmtId="0" fontId="34" fillId="0" borderId="139" xfId="3" applyFont="1" applyBorder="1" applyAlignment="1">
      <alignment horizontal="center" vertical="center"/>
    </xf>
    <xf numFmtId="0" fontId="34" fillId="0" borderId="65" xfId="3" applyFont="1" applyBorder="1" applyAlignment="1">
      <alignment horizontal="center" vertical="center"/>
    </xf>
    <xf numFmtId="0" fontId="34" fillId="0" borderId="50" xfId="3" applyFont="1" applyBorder="1" applyAlignment="1">
      <alignment horizontal="center" vertical="center"/>
    </xf>
    <xf numFmtId="0" fontId="34" fillId="4" borderId="231" xfId="3" applyFont="1" applyFill="1" applyBorder="1" applyAlignment="1">
      <alignment horizontal="center"/>
    </xf>
    <xf numFmtId="0" fontId="34" fillId="4" borderId="233" xfId="3" applyFont="1" applyFill="1" applyBorder="1" applyAlignment="1">
      <alignment horizontal="center"/>
    </xf>
    <xf numFmtId="0" fontId="34" fillId="0" borderId="141" xfId="3" applyFont="1" applyBorder="1" applyAlignment="1">
      <alignment horizontal="center"/>
    </xf>
    <xf numFmtId="0" fontId="34" fillId="0" borderId="137" xfId="3" applyFont="1" applyBorder="1" applyAlignment="1">
      <alignment horizontal="center"/>
    </xf>
    <xf numFmtId="0" fontId="34" fillId="0" borderId="142" xfId="3" applyFont="1" applyBorder="1" applyAlignment="1">
      <alignment horizontal="center"/>
    </xf>
    <xf numFmtId="0" fontId="34" fillId="0" borderId="212" xfId="3" applyFont="1" applyBorder="1" applyAlignment="1">
      <alignment horizontal="center" vertical="center"/>
    </xf>
    <xf numFmtId="0" fontId="34" fillId="0" borderId="18" xfId="3" applyFont="1" applyBorder="1" applyAlignment="1">
      <alignment horizontal="center" vertical="center"/>
    </xf>
    <xf numFmtId="0" fontId="34" fillId="0" borderId="212" xfId="3" applyFont="1" applyBorder="1" applyAlignment="1">
      <alignment horizontal="center"/>
    </xf>
    <xf numFmtId="0" fontId="34" fillId="0" borderId="18" xfId="3" applyFont="1" applyBorder="1" applyAlignment="1">
      <alignment horizontal="center"/>
    </xf>
    <xf numFmtId="0" fontId="34" fillId="4" borderId="232" xfId="3" applyFont="1" applyFill="1" applyBorder="1" applyAlignment="1">
      <alignment horizontal="center"/>
    </xf>
    <xf numFmtId="0" fontId="34" fillId="0" borderId="230" xfId="0" applyFont="1" applyBorder="1" applyAlignment="1">
      <alignment horizontal="center" vertical="center"/>
    </xf>
    <xf numFmtId="0" fontId="34" fillId="0" borderId="54" xfId="0" applyFont="1" applyBorder="1" applyAlignment="1">
      <alignment horizontal="center" vertical="center"/>
    </xf>
    <xf numFmtId="0" fontId="34" fillId="0" borderId="18" xfId="0" applyFont="1" applyBorder="1" applyAlignment="1">
      <alignment horizontal="center" vertical="center"/>
    </xf>
    <xf numFmtId="0" fontId="60" fillId="4" borderId="121" xfId="30" applyFont="1" applyFill="1" applyBorder="1" applyAlignment="1">
      <alignment horizontal="center"/>
    </xf>
    <xf numFmtId="0" fontId="60" fillId="0" borderId="121" xfId="30" applyFont="1" applyBorder="1" applyAlignment="1">
      <alignment horizontal="center" vertical="center" wrapText="1"/>
    </xf>
    <xf numFmtId="0" fontId="268" fillId="0" borderId="7" xfId="0" applyFont="1" applyBorder="1" applyAlignment="1">
      <alignment horizontal="left"/>
    </xf>
    <xf numFmtId="0" fontId="266" fillId="87" borderId="9" xfId="0" applyFont="1" applyFill="1" applyBorder="1" applyAlignment="1" applyProtection="1">
      <alignment horizontal="left"/>
      <protection locked="0"/>
    </xf>
    <xf numFmtId="0" fontId="266" fillId="87" borderId="12" xfId="0" applyFont="1" applyFill="1" applyBorder="1" applyAlignment="1" applyProtection="1">
      <alignment horizontal="left"/>
      <protection locked="0"/>
    </xf>
    <xf numFmtId="0" fontId="63" fillId="0" borderId="121" xfId="30" applyFont="1" applyBorder="1" applyAlignment="1">
      <alignment horizontal="center" vertical="center" wrapText="1"/>
    </xf>
    <xf numFmtId="1" fontId="60" fillId="4" borderId="121" xfId="30" applyNumberFormat="1" applyFont="1" applyFill="1" applyBorder="1" applyAlignment="1">
      <alignment horizontal="center"/>
    </xf>
    <xf numFmtId="1" fontId="60" fillId="4" borderId="121" xfId="30" applyNumberFormat="1" applyFont="1" applyFill="1" applyBorder="1" applyAlignment="1">
      <alignment horizontal="center" vertical="center"/>
    </xf>
    <xf numFmtId="0" fontId="60" fillId="4" borderId="121" xfId="30" applyFont="1" applyFill="1" applyBorder="1" applyAlignment="1">
      <alignment horizontal="center" vertical="center"/>
    </xf>
    <xf numFmtId="0" fontId="52" fillId="9" borderId="6" xfId="0" applyFont="1" applyFill="1" applyBorder="1" applyAlignment="1" applyProtection="1">
      <alignment horizontal="center" vertical="center" wrapText="1"/>
      <protection hidden="1"/>
    </xf>
    <xf numFmtId="0" fontId="52" fillId="9" borderId="8" xfId="0" applyFont="1" applyFill="1" applyBorder="1" applyAlignment="1" applyProtection="1">
      <alignment horizontal="center" vertical="center" wrapText="1"/>
      <protection hidden="1"/>
    </xf>
    <xf numFmtId="0" fontId="0" fillId="0" borderId="69" xfId="0" applyBorder="1" applyAlignment="1" applyProtection="1">
      <alignment horizontal="left" wrapText="1"/>
      <protection hidden="1"/>
    </xf>
    <xf numFmtId="0" fontId="0" fillId="0" borderId="70" xfId="0" applyBorder="1" applyAlignment="1" applyProtection="1">
      <alignment horizontal="left" wrapText="1"/>
      <protection hidden="1"/>
    </xf>
    <xf numFmtId="0" fontId="0" fillId="0" borderId="56" xfId="0" applyBorder="1" applyProtection="1">
      <protection hidden="1"/>
    </xf>
    <xf numFmtId="0" fontId="0" fillId="0" borderId="47" xfId="0" applyBorder="1" applyProtection="1">
      <protection hidden="1"/>
    </xf>
    <xf numFmtId="0" fontId="0" fillId="2" borderId="57" xfId="0" applyFill="1" applyBorder="1" applyProtection="1">
      <protection hidden="1"/>
    </xf>
    <xf numFmtId="0" fontId="0" fillId="2" borderId="49" xfId="0" applyFill="1" applyBorder="1" applyProtection="1">
      <protection hidden="1"/>
    </xf>
    <xf numFmtId="0" fontId="67" fillId="9" borderId="2" xfId="0" applyFont="1" applyFill="1" applyBorder="1" applyAlignment="1" applyProtection="1">
      <alignment horizontal="left" vertical="top" wrapText="1"/>
      <protection hidden="1"/>
    </xf>
    <xf numFmtId="0" fontId="67" fillId="9" borderId="39" xfId="0" applyFont="1" applyFill="1" applyBorder="1" applyAlignment="1" applyProtection="1">
      <alignment horizontal="left" vertical="top" wrapText="1"/>
      <protection hidden="1"/>
    </xf>
    <xf numFmtId="0" fontId="52" fillId="0" borderId="74" xfId="36" applyFont="1" applyBorder="1" applyAlignment="1" applyProtection="1">
      <alignment horizontal="center" vertical="center"/>
      <protection hidden="1"/>
    </xf>
    <xf numFmtId="0" fontId="52" fillId="0" borderId="73" xfId="36" applyFont="1" applyBorder="1" applyAlignment="1" applyProtection="1">
      <alignment horizontal="center" vertical="center"/>
      <protection hidden="1"/>
    </xf>
    <xf numFmtId="0" fontId="52" fillId="0" borderId="44" xfId="36" applyFont="1" applyBorder="1" applyAlignment="1" applyProtection="1">
      <alignment horizontal="center" vertical="center"/>
      <protection hidden="1"/>
    </xf>
    <xf numFmtId="0" fontId="52" fillId="10" borderId="1" xfId="0" applyFont="1" applyFill="1" applyBorder="1" applyAlignment="1" applyProtection="1">
      <alignment horizontal="left"/>
      <protection hidden="1"/>
    </xf>
    <xf numFmtId="0" fontId="52" fillId="10" borderId="14" xfId="0" applyFont="1" applyFill="1" applyBorder="1" applyAlignment="1" applyProtection="1">
      <alignment horizontal="left"/>
      <protection hidden="1"/>
    </xf>
    <xf numFmtId="0" fontId="0" fillId="0" borderId="81" xfId="0" applyBorder="1" applyAlignment="1" applyProtection="1">
      <alignment horizontal="left" wrapText="1"/>
      <protection hidden="1"/>
    </xf>
    <xf numFmtId="0" fontId="0" fillId="0" borderId="78" xfId="0" applyBorder="1" applyAlignment="1" applyProtection="1">
      <alignment horizontal="left" wrapText="1"/>
      <protection hidden="1"/>
    </xf>
    <xf numFmtId="0" fontId="0" fillId="0" borderId="25" xfId="0" applyBorder="1" applyProtection="1">
      <protection hidden="1"/>
    </xf>
    <xf numFmtId="0" fontId="26" fillId="9" borderId="74" xfId="36" applyFill="1" applyBorder="1" applyAlignment="1" applyProtection="1">
      <alignment horizontal="left" wrapText="1"/>
      <protection hidden="1"/>
    </xf>
    <xf numFmtId="0" fontId="26" fillId="9" borderId="44" xfId="36" applyFill="1" applyBorder="1" applyAlignment="1" applyProtection="1">
      <alignment horizontal="left" wrapText="1"/>
      <protection hidden="1"/>
    </xf>
    <xf numFmtId="0" fontId="26" fillId="9" borderId="73" xfId="36" applyFill="1" applyBorder="1" applyAlignment="1" applyProtection="1">
      <alignment horizontal="left" wrapText="1"/>
      <protection hidden="1"/>
    </xf>
    <xf numFmtId="0" fontId="26" fillId="9" borderId="4" xfId="36" applyFill="1" applyBorder="1" applyAlignment="1" applyProtection="1">
      <alignment horizontal="left" wrapText="1"/>
      <protection hidden="1"/>
    </xf>
    <xf numFmtId="0" fontId="26" fillId="9" borderId="6" xfId="36" applyFill="1" applyBorder="1" applyAlignment="1" applyProtection="1">
      <alignment horizontal="left" wrapText="1"/>
      <protection hidden="1"/>
    </xf>
    <xf numFmtId="0" fontId="32" fillId="2" borderId="56" xfId="0" applyFont="1" applyFill="1" applyBorder="1" applyProtection="1">
      <protection hidden="1"/>
    </xf>
    <xf numFmtId="0" fontId="0" fillId="2" borderId="25" xfId="0" applyFill="1" applyBorder="1" applyProtection="1">
      <protection hidden="1"/>
    </xf>
    <xf numFmtId="0" fontId="32" fillId="2" borderId="4" xfId="0" applyFont="1" applyFill="1" applyBorder="1" applyProtection="1">
      <protection hidden="1"/>
    </xf>
    <xf numFmtId="0" fontId="0" fillId="2" borderId="5" xfId="0" applyFill="1" applyBorder="1" applyProtection="1">
      <protection hidden="1"/>
    </xf>
    <xf numFmtId="0" fontId="52" fillId="0" borderId="74" xfId="36" applyFont="1" applyBorder="1" applyAlignment="1" applyProtection="1">
      <alignment horizontal="center" wrapText="1"/>
      <protection hidden="1"/>
    </xf>
    <xf numFmtId="0" fontId="52" fillId="0" borderId="73" xfId="36" applyFont="1" applyBorder="1" applyAlignment="1" applyProtection="1">
      <alignment horizontal="center" wrapText="1"/>
      <protection hidden="1"/>
    </xf>
    <xf numFmtId="0" fontId="52" fillId="0" borderId="44" xfId="36" applyFont="1" applyBorder="1" applyAlignment="1" applyProtection="1">
      <alignment horizontal="center" wrapText="1"/>
      <protection hidden="1"/>
    </xf>
    <xf numFmtId="0" fontId="52" fillId="0" borderId="74" xfId="36" applyFont="1" applyBorder="1" applyAlignment="1" applyProtection="1">
      <alignment horizontal="center"/>
      <protection hidden="1"/>
    </xf>
    <xf numFmtId="0" fontId="52" fillId="0" borderId="73" xfId="36" applyFont="1" applyBorder="1" applyAlignment="1" applyProtection="1">
      <alignment horizontal="center"/>
      <protection hidden="1"/>
    </xf>
    <xf numFmtId="0" fontId="52" fillId="0" borderId="44" xfId="36" applyFont="1" applyBorder="1" applyAlignment="1" applyProtection="1">
      <alignment horizontal="center"/>
      <protection hidden="1"/>
    </xf>
    <xf numFmtId="4" fontId="96" fillId="9" borderId="9" xfId="38" applyNumberFormat="1" applyFont="1" applyFill="1" applyBorder="1" applyAlignment="1" applyProtection="1">
      <alignment horizontal="left" vertical="center" wrapText="1"/>
      <protection hidden="1"/>
    </xf>
    <xf numFmtId="4" fontId="96" fillId="9" borderId="12" xfId="38" applyNumberFormat="1" applyFont="1" applyFill="1" applyBorder="1" applyAlignment="1" applyProtection="1">
      <alignment horizontal="left" vertical="center" wrapText="1"/>
      <protection hidden="1"/>
    </xf>
    <xf numFmtId="4" fontId="96" fillId="0" borderId="74" xfId="38" applyNumberFormat="1" applyFont="1" applyBorder="1" applyAlignment="1" applyProtection="1">
      <alignment horizontal="center" vertical="center" wrapText="1"/>
      <protection hidden="1"/>
    </xf>
    <xf numFmtId="4" fontId="96" fillId="0" borderId="73" xfId="38" applyNumberFormat="1" applyFont="1" applyBorder="1" applyAlignment="1" applyProtection="1">
      <alignment horizontal="center" vertical="center" wrapText="1"/>
      <protection hidden="1"/>
    </xf>
    <xf numFmtId="4" fontId="96" fillId="0" borderId="44" xfId="38" applyNumberFormat="1" applyFont="1" applyBorder="1" applyAlignment="1" applyProtection="1">
      <alignment horizontal="center" vertical="center" wrapText="1"/>
      <protection hidden="1"/>
    </xf>
    <xf numFmtId="0" fontId="32" fillId="2" borderId="57" xfId="0" applyFont="1" applyFill="1" applyBorder="1" applyProtection="1">
      <protection hidden="1"/>
    </xf>
    <xf numFmtId="0" fontId="0" fillId="2" borderId="38" xfId="0" applyFill="1" applyBorder="1" applyProtection="1">
      <protection hidden="1"/>
    </xf>
    <xf numFmtId="0" fontId="23" fillId="9" borderId="74" xfId="36" applyFont="1" applyFill="1" applyBorder="1" applyAlignment="1" applyProtection="1">
      <alignment horizontal="left" wrapText="1"/>
      <protection hidden="1"/>
    </xf>
    <xf numFmtId="0" fontId="52" fillId="9" borderId="4" xfId="36" applyFont="1" applyFill="1" applyBorder="1" applyAlignment="1" applyProtection="1">
      <alignment horizontal="left" wrapText="1"/>
      <protection hidden="1"/>
    </xf>
    <xf numFmtId="0" fontId="52" fillId="9" borderId="5" xfId="36" applyFont="1" applyFill="1" applyBorder="1" applyAlignment="1" applyProtection="1">
      <alignment horizontal="left" wrapText="1"/>
      <protection hidden="1"/>
    </xf>
    <xf numFmtId="0" fontId="52" fillId="0" borderId="74" xfId="36" applyFont="1" applyBorder="1" applyAlignment="1" applyProtection="1">
      <alignment horizontal="center" vertical="center" wrapText="1"/>
      <protection hidden="1"/>
    </xf>
    <xf numFmtId="0" fontId="52" fillId="0" borderId="73" xfId="36" applyFont="1" applyBorder="1" applyAlignment="1" applyProtection="1">
      <alignment horizontal="center" vertical="center" wrapText="1"/>
      <protection hidden="1"/>
    </xf>
    <xf numFmtId="0" fontId="52" fillId="0" borderId="44" xfId="36" applyFont="1" applyBorder="1" applyAlignment="1" applyProtection="1">
      <alignment horizontal="center" vertical="center" wrapText="1"/>
      <protection hidden="1"/>
    </xf>
    <xf numFmtId="0" fontId="52" fillId="9" borderId="2" xfId="36" applyFont="1" applyFill="1" applyBorder="1" applyAlignment="1" applyProtection="1">
      <alignment horizontal="left" wrapText="1"/>
      <protection hidden="1"/>
    </xf>
    <xf numFmtId="0" fontId="52" fillId="9" borderId="39" xfId="36" applyFont="1" applyFill="1" applyBorder="1" applyAlignment="1" applyProtection="1">
      <alignment horizontal="left" wrapText="1"/>
      <protection hidden="1"/>
    </xf>
    <xf numFmtId="0" fontId="52" fillId="13" borderId="59" xfId="36" applyFont="1" applyFill="1" applyBorder="1" applyAlignment="1" applyProtection="1">
      <alignment horizontal="center" vertical="center" wrapText="1"/>
      <protection hidden="1"/>
    </xf>
    <xf numFmtId="0" fontId="52" fillId="13" borderId="60" xfId="36" applyFont="1" applyFill="1" applyBorder="1" applyAlignment="1" applyProtection="1">
      <alignment horizontal="center" vertical="center" wrapText="1"/>
      <protection hidden="1"/>
    </xf>
    <xf numFmtId="0" fontId="52" fillId="13" borderId="42" xfId="36" applyFont="1" applyFill="1" applyBorder="1" applyAlignment="1" applyProtection="1">
      <alignment horizontal="center" vertical="center" wrapText="1"/>
      <protection hidden="1"/>
    </xf>
    <xf numFmtId="0" fontId="96" fillId="0" borderId="74" xfId="40" applyFont="1" applyBorder="1" applyAlignment="1" applyProtection="1">
      <alignment horizontal="center" vertical="center" wrapText="1"/>
      <protection hidden="1"/>
    </xf>
    <xf numFmtId="0" fontId="96" fillId="0" borderId="73" xfId="40" applyFont="1" applyBorder="1" applyAlignment="1" applyProtection="1">
      <alignment horizontal="center" vertical="center" wrapText="1"/>
      <protection hidden="1"/>
    </xf>
    <xf numFmtId="0" fontId="96" fillId="0" borderId="44" xfId="40" applyFont="1" applyBorder="1" applyAlignment="1" applyProtection="1">
      <alignment horizontal="center" vertical="center" wrapText="1"/>
      <protection hidden="1"/>
    </xf>
    <xf numFmtId="0" fontId="52" fillId="9" borderId="74" xfId="36" applyFont="1" applyFill="1" applyBorder="1" applyAlignment="1" applyProtection="1">
      <alignment horizontal="center" vertical="center" wrapText="1"/>
      <protection hidden="1"/>
    </xf>
    <xf numFmtId="0" fontId="52" fillId="9" borderId="73" xfId="36" applyFont="1" applyFill="1" applyBorder="1" applyAlignment="1" applyProtection="1">
      <alignment horizontal="center" vertical="center" wrapText="1"/>
      <protection hidden="1"/>
    </xf>
    <xf numFmtId="0" fontId="52" fillId="9" borderId="44" xfId="36" applyFont="1" applyFill="1" applyBorder="1" applyAlignment="1" applyProtection="1">
      <alignment horizontal="center" vertical="center" wrapText="1"/>
      <protection hidden="1"/>
    </xf>
    <xf numFmtId="0" fontId="52" fillId="9" borderId="2" xfId="36" applyFont="1" applyFill="1" applyBorder="1" applyAlignment="1" applyProtection="1">
      <alignment horizontal="left" vertical="center"/>
      <protection hidden="1"/>
    </xf>
    <xf numFmtId="0" fontId="52" fillId="9" borderId="3" xfId="36" applyFont="1" applyFill="1" applyBorder="1" applyAlignment="1" applyProtection="1">
      <alignment horizontal="left" vertical="center"/>
      <protection hidden="1"/>
    </xf>
    <xf numFmtId="0" fontId="52" fillId="9" borderId="9" xfId="36" applyFont="1" applyFill="1" applyBorder="1" applyAlignment="1" applyProtection="1">
      <alignment horizontal="left" vertical="center" wrapText="1"/>
      <protection hidden="1"/>
    </xf>
    <xf numFmtId="0" fontId="52" fillId="9" borderId="12" xfId="36" applyFont="1" applyFill="1" applyBorder="1" applyAlignment="1" applyProtection="1">
      <alignment horizontal="left" vertical="center" wrapText="1"/>
      <protection hidden="1"/>
    </xf>
    <xf numFmtId="0" fontId="52" fillId="9" borderId="10" xfId="36" applyFont="1" applyFill="1" applyBorder="1" applyAlignment="1" applyProtection="1">
      <alignment horizontal="left" vertical="center" wrapText="1"/>
      <protection hidden="1"/>
    </xf>
    <xf numFmtId="0" fontId="26" fillId="0" borderId="6" xfId="36" applyBorder="1" applyAlignment="1" applyProtection="1">
      <alignment vertical="center" wrapText="1"/>
      <protection hidden="1"/>
    </xf>
    <xf numFmtId="0" fontId="26" fillId="0" borderId="7" xfId="36" applyBorder="1" applyAlignment="1" applyProtection="1">
      <alignment vertical="center" wrapText="1"/>
      <protection hidden="1"/>
    </xf>
    <xf numFmtId="0" fontId="52" fillId="13" borderId="9" xfId="36" applyFont="1" applyFill="1" applyBorder="1" applyAlignment="1" applyProtection="1">
      <alignment horizontal="left" vertical="center"/>
      <protection hidden="1"/>
    </xf>
    <xf numFmtId="0" fontId="52" fillId="13" borderId="10" xfId="36" applyFont="1" applyFill="1" applyBorder="1" applyAlignment="1" applyProtection="1">
      <alignment horizontal="left" vertical="center"/>
      <protection hidden="1"/>
    </xf>
    <xf numFmtId="0" fontId="26" fillId="0" borderId="9" xfId="36" applyBorder="1" applyAlignment="1" applyProtection="1">
      <alignment horizontal="left" wrapText="1"/>
      <protection hidden="1"/>
    </xf>
    <xf numFmtId="0" fontId="26" fillId="0" borderId="10" xfId="36" applyBorder="1" applyAlignment="1" applyProtection="1">
      <alignment horizontal="left" wrapText="1"/>
      <protection hidden="1"/>
    </xf>
    <xf numFmtId="0" fontId="26" fillId="0" borderId="4" xfId="36" applyBorder="1" applyAlignment="1" applyProtection="1">
      <alignment vertical="center" wrapText="1"/>
      <protection hidden="1"/>
    </xf>
    <xf numFmtId="0" fontId="26" fillId="0" borderId="0" xfId="36" applyAlignment="1" applyProtection="1">
      <alignment vertical="center" wrapText="1"/>
      <protection hidden="1"/>
    </xf>
    <xf numFmtId="0" fontId="26" fillId="0" borderId="57" xfId="36" applyBorder="1" applyProtection="1">
      <protection hidden="1"/>
    </xf>
    <xf numFmtId="0" fontId="26" fillId="0" borderId="37" xfId="36" applyBorder="1" applyProtection="1">
      <protection hidden="1"/>
    </xf>
    <xf numFmtId="0" fontId="26" fillId="0" borderId="56" xfId="36" applyBorder="1" applyProtection="1">
      <protection hidden="1"/>
    </xf>
    <xf numFmtId="0" fontId="26" fillId="0" borderId="36" xfId="36" applyBorder="1" applyProtection="1">
      <protection hidden="1"/>
    </xf>
    <xf numFmtId="0" fontId="26" fillId="0" borderId="21" xfId="36" applyBorder="1" applyAlignment="1" applyProtection="1">
      <alignment horizontal="left"/>
      <protection hidden="1"/>
    </xf>
    <xf numFmtId="0" fontId="26" fillId="0" borderId="55" xfId="36" applyBorder="1" applyAlignment="1" applyProtection="1">
      <alignment horizontal="left"/>
      <protection hidden="1"/>
    </xf>
    <xf numFmtId="0" fontId="26" fillId="0" borderId="9" xfId="36" applyBorder="1" applyAlignment="1" applyProtection="1">
      <alignment horizontal="left"/>
      <protection hidden="1"/>
    </xf>
    <xf numFmtId="0" fontId="26" fillId="0" borderId="12" xfId="36" applyBorder="1" applyAlignment="1" applyProtection="1">
      <alignment horizontal="left"/>
      <protection hidden="1"/>
    </xf>
    <xf numFmtId="0" fontId="52" fillId="13" borderId="1" xfId="36" applyFont="1" applyFill="1" applyBorder="1" applyAlignment="1" applyProtection="1">
      <alignment horizontal="center" vertical="center" wrapText="1"/>
      <protection hidden="1"/>
    </xf>
    <xf numFmtId="0" fontId="52" fillId="13" borderId="14" xfId="36" applyFont="1" applyFill="1" applyBorder="1" applyAlignment="1" applyProtection="1">
      <alignment horizontal="center" vertical="center" wrapText="1"/>
      <protection hidden="1"/>
    </xf>
    <xf numFmtId="0" fontId="26" fillId="0" borderId="26" xfId="36" applyBorder="1" applyAlignment="1" applyProtection="1">
      <alignment horizontal="left"/>
      <protection hidden="1"/>
    </xf>
    <xf numFmtId="0" fontId="26" fillId="0" borderId="68" xfId="36" applyBorder="1" applyAlignment="1" applyProtection="1">
      <alignment horizontal="left"/>
      <protection hidden="1"/>
    </xf>
    <xf numFmtId="0" fontId="92" fillId="0" borderId="102" xfId="0" applyFont="1" applyBorder="1" applyAlignment="1" applyProtection="1">
      <alignment horizontal="left" indent="2"/>
      <protection hidden="1"/>
    </xf>
    <xf numFmtId="0" fontId="92" fillId="0" borderId="108" xfId="0" applyFont="1" applyBorder="1" applyAlignment="1" applyProtection="1">
      <alignment horizontal="left" indent="2"/>
      <protection hidden="1"/>
    </xf>
    <xf numFmtId="0" fontId="92" fillId="0" borderId="88" xfId="0" applyFont="1" applyBorder="1" applyAlignment="1" applyProtection="1">
      <alignment horizontal="left" indent="2"/>
      <protection hidden="1"/>
    </xf>
    <xf numFmtId="0" fontId="52" fillId="13" borderId="16" xfId="36" applyFont="1" applyFill="1" applyBorder="1" applyAlignment="1" applyProtection="1">
      <alignment horizontal="center" vertical="center" wrapText="1"/>
      <protection hidden="1"/>
    </xf>
    <xf numFmtId="0" fontId="26" fillId="0" borderId="17" xfId="36" applyBorder="1" applyAlignment="1" applyProtection="1">
      <alignment horizontal="left"/>
      <protection hidden="1"/>
    </xf>
    <xf numFmtId="0" fontId="26" fillId="0" borderId="65" xfId="36" applyBorder="1" applyAlignment="1" applyProtection="1">
      <alignment horizontal="left"/>
      <protection hidden="1"/>
    </xf>
    <xf numFmtId="0" fontId="26" fillId="0" borderId="40" xfId="36" applyBorder="1" applyAlignment="1" applyProtection="1">
      <alignment horizontal="center"/>
      <protection hidden="1"/>
    </xf>
    <xf numFmtId="0" fontId="26" fillId="0" borderId="42" xfId="36" applyBorder="1" applyAlignment="1" applyProtection="1">
      <alignment horizontal="center"/>
      <protection hidden="1"/>
    </xf>
    <xf numFmtId="0" fontId="92" fillId="0" borderId="57" xfId="0" applyFont="1" applyBorder="1" applyAlignment="1" applyProtection="1">
      <alignment horizontal="left" indent="2"/>
      <protection hidden="1"/>
    </xf>
    <xf numFmtId="0" fontId="92" fillId="0" borderId="103" xfId="0" applyFont="1" applyBorder="1" applyAlignment="1" applyProtection="1">
      <alignment horizontal="left" indent="2"/>
      <protection hidden="1"/>
    </xf>
    <xf numFmtId="0" fontId="52" fillId="13" borderId="2" xfId="36" applyFont="1" applyFill="1" applyBorder="1" applyAlignment="1" applyProtection="1">
      <alignment horizontal="center" vertical="center" wrapText="1"/>
      <protection hidden="1"/>
    </xf>
    <xf numFmtId="0" fontId="52" fillId="13" borderId="39" xfId="36" applyFont="1" applyFill="1" applyBorder="1" applyAlignment="1" applyProtection="1">
      <alignment horizontal="center" vertical="center" wrapText="1"/>
      <protection hidden="1"/>
    </xf>
    <xf numFmtId="0" fontId="26" fillId="0" borderId="69" xfId="36" applyBorder="1" applyProtection="1">
      <protection hidden="1"/>
    </xf>
    <xf numFmtId="0" fontId="26" fillId="0" borderId="34" xfId="36" applyBorder="1" applyProtection="1">
      <protection hidden="1"/>
    </xf>
    <xf numFmtId="0" fontId="52" fillId="3" borderId="10" xfId="3" applyFont="1" applyFill="1" applyBorder="1" applyAlignment="1">
      <alignment horizontal="center" vertical="center"/>
    </xf>
    <xf numFmtId="0" fontId="52" fillId="3" borderId="9" xfId="3" applyFont="1" applyFill="1" applyBorder="1" applyAlignment="1">
      <alignment horizontal="center" vertical="center"/>
    </xf>
    <xf numFmtId="0" fontId="52" fillId="3" borderId="10" xfId="3" applyFont="1" applyFill="1" applyBorder="1" applyAlignment="1">
      <alignment horizontal="center" vertical="center" wrapText="1"/>
    </xf>
    <xf numFmtId="0" fontId="60" fillId="3" borderId="10" xfId="3" applyFont="1" applyFill="1" applyBorder="1" applyAlignment="1">
      <alignment horizontal="center" vertical="center"/>
    </xf>
    <xf numFmtId="0" fontId="60" fillId="3" borderId="7" xfId="3" applyFont="1" applyFill="1" applyBorder="1" applyAlignment="1">
      <alignment horizontal="center" vertical="center"/>
    </xf>
    <xf numFmtId="0" fontId="52" fillId="3" borderId="3" xfId="3" applyFont="1" applyFill="1" applyBorder="1" applyAlignment="1">
      <alignment horizontal="center" vertical="center"/>
    </xf>
    <xf numFmtId="0" fontId="60" fillId="3" borderId="9" xfId="3" applyFont="1" applyFill="1" applyBorder="1" applyAlignment="1">
      <alignment horizontal="center" vertical="center"/>
    </xf>
    <xf numFmtId="0" fontId="60" fillId="3" borderId="10" xfId="3" applyFont="1" applyFill="1" applyBorder="1" applyAlignment="1">
      <alignment horizontal="center" vertical="center" wrapText="1"/>
    </xf>
    <xf numFmtId="0" fontId="52" fillId="3" borderId="2" xfId="3" applyFont="1" applyFill="1" applyBorder="1" applyAlignment="1">
      <alignment horizontal="center" vertical="center"/>
    </xf>
    <xf numFmtId="0" fontId="52" fillId="3" borderId="3" xfId="3" applyFont="1" applyFill="1" applyBorder="1" applyAlignment="1">
      <alignment horizontal="center" vertical="center" wrapText="1"/>
    </xf>
    <xf numFmtId="0" fontId="228" fillId="0" borderId="43" xfId="0" applyFont="1" applyBorder="1" applyAlignment="1">
      <alignment horizontal="center"/>
    </xf>
    <xf numFmtId="3" fontId="32" fillId="0" borderId="3" xfId="27" applyNumberFormat="1" applyFont="1" applyFill="1" applyBorder="1" applyAlignment="1" applyProtection="1">
      <alignment horizontal="left"/>
      <protection locked="0"/>
    </xf>
    <xf numFmtId="3" fontId="32" fillId="0" borderId="39" xfId="27" applyNumberFormat="1" applyFont="1" applyFill="1" applyBorder="1" applyAlignment="1" applyProtection="1">
      <alignment horizontal="left"/>
      <protection locked="0"/>
    </xf>
    <xf numFmtId="1" fontId="39" fillId="2" borderId="0" xfId="3" applyNumberFormat="1" applyFont="1" applyFill="1" applyAlignment="1">
      <alignment horizontal="center"/>
    </xf>
    <xf numFmtId="1" fontId="41" fillId="2" borderId="43" xfId="3" applyNumberFormat="1" applyFont="1" applyFill="1" applyBorder="1" applyAlignment="1">
      <alignment horizontal="center"/>
    </xf>
    <xf numFmtId="1" fontId="40" fillId="0" borderId="0" xfId="0" applyNumberFormat="1" applyFont="1" applyAlignment="1">
      <alignment horizontal="center" vertical="top"/>
    </xf>
    <xf numFmtId="1" fontId="32" fillId="2" borderId="58" xfId="3" applyNumberFormat="1" applyFill="1" applyBorder="1" applyAlignment="1">
      <alignment horizontal="center" textRotation="90" wrapText="1"/>
    </xf>
    <xf numFmtId="1" fontId="32" fillId="2" borderId="54" xfId="3" applyNumberFormat="1" applyFill="1" applyBorder="1" applyAlignment="1">
      <alignment horizontal="center" textRotation="90" wrapText="1"/>
    </xf>
    <xf numFmtId="1" fontId="32" fillId="2" borderId="41" xfId="3" applyNumberFormat="1" applyFill="1" applyBorder="1" applyAlignment="1">
      <alignment horizontal="center" textRotation="90" wrapText="1"/>
    </xf>
    <xf numFmtId="1" fontId="32" fillId="2" borderId="59" xfId="3" applyNumberFormat="1" applyFill="1" applyBorder="1" applyAlignment="1">
      <alignment horizontal="center" textRotation="90" wrapText="1"/>
    </xf>
    <xf numFmtId="1" fontId="32" fillId="2" borderId="60" xfId="3" applyNumberFormat="1" applyFill="1" applyBorder="1" applyAlignment="1">
      <alignment horizontal="center" textRotation="90" wrapText="1"/>
    </xf>
    <xf numFmtId="1" fontId="32" fillId="2" borderId="42" xfId="3" applyNumberFormat="1" applyFill="1" applyBorder="1" applyAlignment="1">
      <alignment horizontal="center" textRotation="90" wrapText="1"/>
    </xf>
    <xf numFmtId="1" fontId="32" fillId="0" borderId="58" xfId="3" applyNumberFormat="1" applyBorder="1" applyAlignment="1">
      <alignment horizontal="center" textRotation="90" wrapText="1"/>
    </xf>
    <xf numFmtId="1" fontId="32" fillId="0" borderId="54" xfId="3" applyNumberFormat="1" applyBorder="1" applyAlignment="1">
      <alignment horizontal="center" textRotation="90" wrapText="1"/>
    </xf>
    <xf numFmtId="1" fontId="32" fillId="0" borderId="41" xfId="3" applyNumberFormat="1" applyBorder="1" applyAlignment="1">
      <alignment horizontal="center" textRotation="90" wrapText="1"/>
    </xf>
    <xf numFmtId="1" fontId="32" fillId="0" borderId="59" xfId="3" applyNumberFormat="1" applyBorder="1" applyAlignment="1">
      <alignment horizontal="center" textRotation="90" wrapText="1"/>
    </xf>
    <xf numFmtId="1" fontId="32" fillId="0" borderId="60" xfId="3" applyNumberFormat="1" applyBorder="1" applyAlignment="1">
      <alignment horizontal="center" textRotation="90" wrapText="1"/>
    </xf>
    <xf numFmtId="1" fontId="32" fillId="0" borderId="42" xfId="3" applyNumberFormat="1" applyBorder="1" applyAlignment="1">
      <alignment horizontal="center" textRotation="90" wrapText="1"/>
    </xf>
    <xf numFmtId="1" fontId="32" fillId="2" borderId="57" xfId="3" applyNumberFormat="1" applyFill="1" applyBorder="1" applyAlignment="1">
      <alignment horizontal="left"/>
    </xf>
    <xf numFmtId="1" fontId="32" fillId="2" borderId="49" xfId="3" applyNumberFormat="1" applyFill="1" applyBorder="1" applyAlignment="1">
      <alignment horizontal="left"/>
    </xf>
    <xf numFmtId="0" fontId="62" fillId="2" borderId="68" xfId="0" applyFont="1" applyFill="1" applyBorder="1" applyAlignment="1">
      <alignment horizontal="center"/>
    </xf>
    <xf numFmtId="0" fontId="62" fillId="2" borderId="71" xfId="0" applyFont="1" applyFill="1" applyBorder="1" applyAlignment="1">
      <alignment horizontal="center"/>
    </xf>
    <xf numFmtId="0" fontId="62" fillId="2" borderId="48" xfId="0" applyFont="1" applyFill="1" applyBorder="1" applyAlignment="1">
      <alignment horizontal="center"/>
    </xf>
    <xf numFmtId="0" fontId="62" fillId="2" borderId="68" xfId="30" applyFont="1" applyFill="1" applyBorder="1" applyAlignment="1">
      <alignment horizontal="center"/>
    </xf>
    <xf numFmtId="0" fontId="62" fillId="2" borderId="71" xfId="30" applyFont="1" applyFill="1" applyBorder="1" applyAlignment="1">
      <alignment horizontal="center"/>
    </xf>
    <xf numFmtId="0" fontId="62" fillId="2" borderId="48" xfId="30" applyFont="1" applyFill="1" applyBorder="1" applyAlignment="1">
      <alignment horizontal="center"/>
    </xf>
    <xf numFmtId="0" fontId="60" fillId="2" borderId="0" xfId="30" applyFont="1" applyFill="1" applyAlignment="1">
      <alignment horizontal="center" vertical="center"/>
    </xf>
    <xf numFmtId="0" fontId="60" fillId="2" borderId="74" xfId="30" applyFont="1" applyFill="1" applyBorder="1" applyAlignment="1">
      <alignment horizontal="center" vertical="center"/>
    </xf>
    <xf numFmtId="0" fontId="55" fillId="2" borderId="73" xfId="30" applyFont="1" applyFill="1" applyBorder="1" applyAlignment="1">
      <alignment horizontal="center" vertical="center"/>
    </xf>
    <xf numFmtId="0" fontId="55" fillId="2" borderId="44" xfId="30" applyFont="1" applyFill="1" applyBorder="1" applyAlignment="1">
      <alignment horizontal="center" vertical="center"/>
    </xf>
    <xf numFmtId="3" fontId="32" fillId="2" borderId="9" xfId="3" applyNumberFormat="1" applyFill="1" applyBorder="1" applyAlignment="1">
      <alignment horizontal="center" vertical="center"/>
    </xf>
    <xf numFmtId="3" fontId="32" fillId="2" borderId="10" xfId="3" applyNumberFormat="1" applyFill="1" applyBorder="1" applyAlignment="1">
      <alignment horizontal="center" vertical="center"/>
    </xf>
    <xf numFmtId="3" fontId="32" fillId="2" borderId="12" xfId="3" applyNumberFormat="1" applyFill="1" applyBorder="1" applyAlignment="1">
      <alignment horizontal="center" vertical="center"/>
    </xf>
    <xf numFmtId="1" fontId="32" fillId="2" borderId="62" xfId="3" applyNumberFormat="1" applyFill="1" applyBorder="1"/>
    <xf numFmtId="1" fontId="32" fillId="2" borderId="64" xfId="3" applyNumberFormat="1" applyFill="1" applyBorder="1"/>
    <xf numFmtId="0" fontId="55" fillId="2" borderId="66" xfId="30" applyFont="1" applyFill="1" applyBorder="1" applyAlignment="1">
      <alignment horizontal="center"/>
    </xf>
    <xf numFmtId="0" fontId="55" fillId="2" borderId="37" xfId="30" applyFont="1" applyFill="1" applyBorder="1" applyAlignment="1">
      <alignment horizontal="center"/>
    </xf>
    <xf numFmtId="0" fontId="55" fillId="2" borderId="49" xfId="30" applyFont="1" applyFill="1" applyBorder="1" applyAlignment="1">
      <alignment horizontal="center"/>
    </xf>
    <xf numFmtId="0" fontId="55" fillId="2" borderId="68" xfId="30" applyFont="1" applyFill="1" applyBorder="1" applyAlignment="1">
      <alignment horizontal="center"/>
    </xf>
    <xf numFmtId="0" fontId="55" fillId="2" borderId="71" xfId="30" applyFont="1" applyFill="1" applyBorder="1" applyAlignment="1">
      <alignment horizontal="center"/>
    </xf>
    <xf numFmtId="0" fontId="55" fillId="2" borderId="48" xfId="30" applyFont="1" applyFill="1" applyBorder="1" applyAlignment="1">
      <alignment horizontal="center"/>
    </xf>
    <xf numFmtId="0" fontId="55" fillId="2" borderId="0" xfId="30" applyFont="1" applyFill="1" applyAlignment="1">
      <alignment horizontal="center"/>
    </xf>
    <xf numFmtId="0" fontId="62" fillId="2" borderId="68" xfId="30" applyFont="1" applyFill="1" applyBorder="1" applyAlignment="1">
      <alignment horizontal="center" vertical="center" wrapText="1"/>
    </xf>
    <xf numFmtId="0" fontId="62" fillId="2" borderId="71" xfId="30" applyFont="1" applyFill="1" applyBorder="1" applyAlignment="1">
      <alignment horizontal="center" vertical="center" wrapText="1"/>
    </xf>
    <xf numFmtId="0" fontId="62" fillId="2" borderId="48" xfId="30" applyFont="1" applyFill="1" applyBorder="1" applyAlignment="1">
      <alignment horizontal="center" vertical="center" wrapText="1"/>
    </xf>
    <xf numFmtId="0" fontId="62" fillId="2" borderId="68" xfId="30" applyFont="1" applyFill="1" applyBorder="1" applyAlignment="1">
      <alignment horizontal="center" vertical="center"/>
    </xf>
    <xf numFmtId="0" fontId="62" fillId="2" borderId="71" xfId="30" applyFont="1" applyFill="1" applyBorder="1" applyAlignment="1">
      <alignment horizontal="center" vertical="center"/>
    </xf>
    <xf numFmtId="0" fontId="62" fillId="2" borderId="48" xfId="30" applyFont="1" applyFill="1" applyBorder="1" applyAlignment="1">
      <alignment horizontal="center" vertical="center"/>
    </xf>
    <xf numFmtId="0" fontId="60" fillId="2" borderId="73" xfId="30" applyFont="1" applyFill="1" applyBorder="1" applyAlignment="1">
      <alignment horizontal="center" vertical="center"/>
    </xf>
    <xf numFmtId="0" fontId="60" fillId="2" borderId="44" xfId="30" applyFont="1" applyFill="1" applyBorder="1" applyAlignment="1">
      <alignment horizontal="center" vertical="center"/>
    </xf>
    <xf numFmtId="0" fontId="23" fillId="0" borderId="106" xfId="36" applyFont="1" applyBorder="1" applyAlignment="1">
      <alignment horizontal="left"/>
    </xf>
    <xf numFmtId="0" fontId="23" fillId="0" borderId="87" xfId="36" applyFont="1" applyBorder="1" applyAlignment="1">
      <alignment horizontal="left"/>
    </xf>
    <xf numFmtId="0" fontId="52" fillId="9" borderId="1" xfId="36" applyFont="1" applyFill="1" applyBorder="1" applyAlignment="1">
      <alignment horizontal="center" vertical="center" wrapText="1"/>
    </xf>
    <xf numFmtId="0" fontId="52" fillId="9" borderId="13" xfId="36" applyFont="1" applyFill="1" applyBorder="1" applyAlignment="1">
      <alignment horizontal="center" vertical="center" wrapText="1"/>
    </xf>
    <xf numFmtId="0" fontId="23" fillId="0" borderId="17" xfId="36" applyFont="1" applyBorder="1" applyAlignment="1">
      <alignment horizontal="left"/>
    </xf>
    <xf numFmtId="0" fontId="23" fillId="0" borderId="18" xfId="36" applyFont="1" applyBorder="1" applyAlignment="1">
      <alignment horizontal="left"/>
    </xf>
    <xf numFmtId="0" fontId="23" fillId="0" borderId="105" xfId="36" applyFont="1" applyBorder="1" applyAlignment="1">
      <alignment horizontal="left"/>
    </xf>
    <xf numFmtId="0" fontId="23" fillId="0" borderId="93" xfId="36" applyFont="1" applyBorder="1" applyAlignment="1">
      <alignment horizontal="left"/>
    </xf>
    <xf numFmtId="0" fontId="92" fillId="0" borderId="102" xfId="0" applyFont="1" applyBorder="1" applyAlignment="1">
      <alignment horizontal="left"/>
    </xf>
    <xf numFmtId="0" fontId="92" fillId="0" borderId="88" xfId="0" applyFont="1" applyBorder="1" applyAlignment="1">
      <alignment horizontal="left"/>
    </xf>
    <xf numFmtId="0" fontId="92" fillId="0" borderId="110" xfId="0" applyFont="1" applyBorder="1" applyAlignment="1">
      <alignment horizontal="left"/>
    </xf>
    <xf numFmtId="0" fontId="92" fillId="0" borderId="103" xfId="0" applyFont="1" applyBorder="1" applyAlignment="1">
      <alignment horizontal="left"/>
    </xf>
    <xf numFmtId="0" fontId="92" fillId="0" borderId="9" xfId="0" applyFont="1" applyBorder="1" applyAlignment="1">
      <alignment horizontal="center"/>
    </xf>
    <xf numFmtId="0" fontId="92" fillId="0" borderId="15" xfId="0" applyFont="1" applyBorder="1" applyAlignment="1">
      <alignment horizontal="center"/>
    </xf>
    <xf numFmtId="0" fontId="23" fillId="0" borderId="1" xfId="36" applyFont="1" applyBorder="1" applyAlignment="1">
      <alignment horizontal="center"/>
    </xf>
    <xf numFmtId="0" fontId="23" fillId="0" borderId="13" xfId="36" applyFont="1" applyBorder="1" applyAlignment="1">
      <alignment horizontal="center"/>
    </xf>
    <xf numFmtId="0" fontId="95" fillId="9" borderId="9" xfId="0" applyFont="1" applyFill="1" applyBorder="1" applyAlignment="1">
      <alignment horizontal="left"/>
    </xf>
    <xf numFmtId="0" fontId="95" fillId="9" borderId="10" xfId="0" applyFont="1" applyFill="1" applyBorder="1" applyAlignment="1">
      <alignment horizontal="left"/>
    </xf>
    <xf numFmtId="0" fontId="95" fillId="9" borderId="12" xfId="0" applyFont="1" applyFill="1" applyBorder="1" applyAlignment="1">
      <alignment horizontal="left"/>
    </xf>
    <xf numFmtId="0" fontId="92" fillId="0" borderId="69" xfId="0" applyFont="1" applyBorder="1" applyAlignment="1">
      <alignment horizontal="left"/>
    </xf>
    <xf numFmtId="0" fontId="92" fillId="0" borderId="70" xfId="0" applyFont="1" applyBorder="1" applyAlignment="1">
      <alignment horizontal="left"/>
    </xf>
    <xf numFmtId="0" fontId="13" fillId="9" borderId="9" xfId="78" applyFont="1" applyFill="1" applyBorder="1" applyAlignment="1">
      <alignment horizontal="center"/>
    </xf>
    <xf numFmtId="0" fontId="14" fillId="9" borderId="10" xfId="78" applyFont="1" applyFill="1" applyBorder="1" applyAlignment="1">
      <alignment horizontal="center"/>
    </xf>
    <xf numFmtId="0" fontId="14" fillId="9" borderId="12" xfId="78" applyFont="1" applyFill="1" applyBorder="1" applyAlignment="1">
      <alignment horizontal="center"/>
    </xf>
    <xf numFmtId="3" fontId="81" fillId="9" borderId="9" xfId="0" applyNumberFormat="1" applyFont="1" applyFill="1" applyBorder="1" applyAlignment="1">
      <alignment horizontal="center"/>
    </xf>
    <xf numFmtId="3" fontId="81" fillId="9" borderId="10" xfId="0" applyNumberFormat="1" applyFont="1" applyFill="1" applyBorder="1" applyAlignment="1">
      <alignment horizontal="center"/>
    </xf>
    <xf numFmtId="3" fontId="81" fillId="9" borderId="12" xfId="0" applyNumberFormat="1" applyFont="1" applyFill="1" applyBorder="1" applyAlignment="1">
      <alignment horizontal="center"/>
    </xf>
    <xf numFmtId="0" fontId="14" fillId="9" borderId="9" xfId="78" applyFont="1" applyFill="1" applyBorder="1" applyAlignment="1">
      <alignment horizontal="center"/>
    </xf>
    <xf numFmtId="0" fontId="52" fillId="9" borderId="1" xfId="75" applyFont="1" applyFill="1" applyBorder="1" applyAlignment="1">
      <alignment horizontal="center" vertical="center" wrapText="1"/>
    </xf>
    <xf numFmtId="0" fontId="52" fillId="9" borderId="16" xfId="75" applyFont="1" applyFill="1" applyBorder="1" applyAlignment="1">
      <alignment horizontal="center" vertical="center" wrapText="1"/>
    </xf>
    <xf numFmtId="0" fontId="52" fillId="9" borderId="13" xfId="75" applyFont="1" applyFill="1" applyBorder="1" applyAlignment="1">
      <alignment horizontal="center" vertical="center" wrapText="1"/>
    </xf>
    <xf numFmtId="0" fontId="52" fillId="9" borderId="15" xfId="75" applyFont="1" applyFill="1" applyBorder="1" applyAlignment="1">
      <alignment horizontal="center" vertical="center" wrapText="1"/>
    </xf>
    <xf numFmtId="3" fontId="24" fillId="0" borderId="1" xfId="75" applyNumberFormat="1" applyBorder="1" applyAlignment="1">
      <alignment horizontal="right"/>
    </xf>
    <xf numFmtId="3" fontId="24" fillId="0" borderId="16" xfId="75" applyNumberFormat="1" applyBorder="1" applyAlignment="1">
      <alignment horizontal="right"/>
    </xf>
    <xf numFmtId="3" fontId="24" fillId="0" borderId="13" xfId="75" applyNumberFormat="1" applyBorder="1" applyAlignment="1">
      <alignment horizontal="right"/>
    </xf>
    <xf numFmtId="4" fontId="24" fillId="0" borderId="16" xfId="75" applyNumberFormat="1" applyBorder="1" applyAlignment="1">
      <alignment horizontal="right"/>
    </xf>
    <xf numFmtId="4" fontId="24" fillId="0" borderId="15" xfId="75" applyNumberFormat="1" applyBorder="1" applyAlignment="1">
      <alignment horizontal="right"/>
    </xf>
    <xf numFmtId="3" fontId="24" fillId="0" borderId="15" xfId="75" applyNumberFormat="1" applyBorder="1" applyAlignment="1">
      <alignment horizontal="right"/>
    </xf>
    <xf numFmtId="0" fontId="103" fillId="2" borderId="55" xfId="75" applyFont="1" applyFill="1" applyBorder="1" applyAlignment="1">
      <alignment horizontal="center" vertical="center"/>
    </xf>
    <xf numFmtId="0" fontId="103" fillId="2" borderId="36" xfId="75" applyFont="1" applyFill="1" applyBorder="1" applyAlignment="1">
      <alignment horizontal="center" vertical="center"/>
    </xf>
    <xf numFmtId="0" fontId="103" fillId="2" borderId="47" xfId="75" applyFont="1" applyFill="1" applyBorder="1" applyAlignment="1">
      <alignment horizontal="center" vertical="center"/>
    </xf>
    <xf numFmtId="0" fontId="103" fillId="2" borderId="87" xfId="75" applyFont="1" applyFill="1" applyBorder="1" applyAlignment="1">
      <alignment horizontal="center" vertical="center"/>
    </xf>
    <xf numFmtId="0" fontId="103" fillId="0" borderId="55" xfId="75" applyFont="1" applyBorder="1" applyAlignment="1">
      <alignment horizontal="center" vertical="center"/>
    </xf>
    <xf numFmtId="0" fontId="103" fillId="0" borderId="36" xfId="75" applyFont="1" applyBorder="1" applyAlignment="1">
      <alignment horizontal="center" vertical="center"/>
    </xf>
    <xf numFmtId="0" fontId="103" fillId="0" borderId="47" xfId="75" applyFont="1" applyBorder="1" applyAlignment="1">
      <alignment horizontal="center" vertical="center"/>
    </xf>
    <xf numFmtId="0" fontId="103" fillId="0" borderId="87" xfId="75" applyFont="1" applyBorder="1" applyAlignment="1">
      <alignment horizontal="center" vertical="center"/>
    </xf>
    <xf numFmtId="0" fontId="103" fillId="0" borderId="87" xfId="75" applyFont="1" applyBorder="1" applyAlignment="1">
      <alignment horizontal="center" vertical="center" wrapText="1"/>
    </xf>
    <xf numFmtId="3" fontId="18" fillId="0" borderId="16" xfId="75" applyNumberFormat="1" applyFont="1" applyBorder="1" applyAlignment="1">
      <alignment horizontal="right"/>
    </xf>
    <xf numFmtId="3" fontId="18" fillId="0" borderId="15" xfId="75" applyNumberFormat="1" applyFont="1" applyBorder="1" applyAlignment="1">
      <alignment horizontal="right"/>
    </xf>
    <xf numFmtId="3" fontId="18" fillId="0" borderId="1" xfId="75" applyNumberFormat="1" applyFont="1" applyBorder="1" applyAlignment="1">
      <alignment horizontal="right"/>
    </xf>
    <xf numFmtId="3" fontId="18" fillId="0" borderId="13" xfId="75" applyNumberFormat="1" applyFont="1" applyBorder="1" applyAlignment="1">
      <alignment horizontal="right"/>
    </xf>
    <xf numFmtId="4" fontId="18" fillId="0" borderId="16" xfId="75" applyNumberFormat="1" applyFont="1" applyBorder="1" applyAlignment="1">
      <alignment horizontal="right"/>
    </xf>
    <xf numFmtId="4" fontId="18" fillId="0" borderId="15" xfId="75" applyNumberFormat="1" applyFont="1" applyBorder="1" applyAlignment="1">
      <alignment horizontal="right"/>
    </xf>
    <xf numFmtId="0" fontId="52" fillId="9" borderId="1" xfId="78" applyFont="1" applyFill="1" applyBorder="1" applyAlignment="1">
      <alignment horizontal="center" vertical="center"/>
    </xf>
    <xf numFmtId="0" fontId="52" fillId="9" borderId="13" xfId="78" applyFont="1" applyFill="1" applyBorder="1" applyAlignment="1">
      <alignment horizontal="center" vertical="center"/>
    </xf>
    <xf numFmtId="0" fontId="52" fillId="9" borderId="13" xfId="78" applyFont="1" applyFill="1" applyBorder="1" applyAlignment="1">
      <alignment horizontal="center" vertical="center" wrapText="1"/>
    </xf>
    <xf numFmtId="0" fontId="52" fillId="9" borderId="14" xfId="78" applyFont="1" applyFill="1" applyBorder="1" applyAlignment="1">
      <alignment horizontal="center" vertical="center" wrapText="1"/>
    </xf>
    <xf numFmtId="0" fontId="23" fillId="0" borderId="1" xfId="78" applyBorder="1" applyAlignment="1">
      <alignment horizontal="center" wrapText="1"/>
    </xf>
    <xf numFmtId="0" fontId="23" fillId="0" borderId="13" xfId="78" applyBorder="1" applyAlignment="1">
      <alignment horizontal="center" wrapText="1"/>
    </xf>
    <xf numFmtId="0" fontId="23" fillId="0" borderId="13" xfId="78" applyBorder="1" applyAlignment="1">
      <alignment horizontal="center"/>
    </xf>
    <xf numFmtId="3" fontId="23" fillId="41" borderId="13" xfId="78" applyNumberFormat="1" applyFill="1" applyBorder="1" applyAlignment="1">
      <alignment horizontal="center"/>
    </xf>
    <xf numFmtId="3" fontId="23" fillId="41" borderId="14" xfId="78" applyNumberFormat="1" applyFill="1" applyBorder="1" applyAlignment="1">
      <alignment horizontal="center"/>
    </xf>
    <xf numFmtId="164" fontId="103" fillId="0" borderId="141" xfId="81" applyFont="1" applyBorder="1" applyAlignment="1">
      <alignment horizontal="center" vertical="center" wrapText="1"/>
    </xf>
    <xf numFmtId="164" fontId="103" fillId="0" borderId="142" xfId="81" applyFont="1" applyBorder="1" applyAlignment="1">
      <alignment horizontal="center" vertical="center" wrapText="1"/>
    </xf>
    <xf numFmtId="0" fontId="103" fillId="2" borderId="94" xfId="78" applyFont="1" applyFill="1" applyBorder="1" applyAlignment="1">
      <alignment horizontal="center" vertical="center" wrapText="1"/>
    </xf>
    <xf numFmtId="0" fontId="103" fillId="2" borderId="88" xfId="78" applyFont="1" applyFill="1" applyBorder="1" applyAlignment="1">
      <alignment horizontal="center" vertical="center" wrapText="1"/>
    </xf>
    <xf numFmtId="0" fontId="103" fillId="2" borderId="61" xfId="78" applyFont="1" applyFill="1" applyBorder="1" applyAlignment="1">
      <alignment horizontal="center" vertical="center" wrapText="1"/>
    </xf>
    <xf numFmtId="0" fontId="103" fillId="2" borderId="80" xfId="78" applyFont="1" applyFill="1" applyBorder="1" applyAlignment="1">
      <alignment horizontal="center" vertical="center" wrapText="1"/>
    </xf>
    <xf numFmtId="0" fontId="52" fillId="9" borderId="2" xfId="78" applyFont="1" applyFill="1" applyBorder="1" applyAlignment="1">
      <alignment horizontal="center" vertical="center"/>
    </xf>
    <xf numFmtId="0" fontId="52" fillId="9" borderId="39" xfId="78" applyFont="1" applyFill="1" applyBorder="1" applyAlignment="1">
      <alignment horizontal="center" vertical="center"/>
    </xf>
    <xf numFmtId="0" fontId="52" fillId="9" borderId="6" xfId="78" applyFont="1" applyFill="1" applyBorder="1" applyAlignment="1">
      <alignment horizontal="center" vertical="center"/>
    </xf>
    <xf numFmtId="0" fontId="52" fillId="9" borderId="7" xfId="78" applyFont="1" applyFill="1" applyBorder="1" applyAlignment="1">
      <alignment horizontal="center" vertical="center"/>
    </xf>
    <xf numFmtId="0" fontId="52" fillId="9" borderId="77" xfId="78" applyFont="1" applyFill="1" applyBorder="1" applyAlignment="1">
      <alignment horizontal="center" vertical="center" wrapText="1"/>
    </xf>
    <xf numFmtId="0" fontId="52" fillId="9" borderId="59" xfId="78" applyFont="1" applyFill="1" applyBorder="1" applyAlignment="1">
      <alignment horizontal="center" vertical="center" wrapText="1"/>
    </xf>
    <xf numFmtId="0" fontId="23" fillId="0" borderId="62" xfId="78" applyBorder="1" applyAlignment="1">
      <alignment horizontal="left" wrapText="1"/>
    </xf>
    <xf numFmtId="0" fontId="23" fillId="0" borderId="72" xfId="78" applyBorder="1" applyAlignment="1">
      <alignment horizontal="left" wrapText="1"/>
    </xf>
    <xf numFmtId="0" fontId="23" fillId="0" borderId="31" xfId="78" applyBorder="1" applyAlignment="1">
      <alignment horizontal="left" wrapText="1"/>
    </xf>
    <xf numFmtId="0" fontId="23" fillId="0" borderId="66" xfId="78" applyBorder="1" applyAlignment="1">
      <alignment horizontal="left" wrapText="1"/>
    </xf>
    <xf numFmtId="0" fontId="18" fillId="0" borderId="62" xfId="78" applyFont="1" applyBorder="1" applyAlignment="1">
      <alignment horizontal="left" wrapText="1"/>
    </xf>
    <xf numFmtId="0" fontId="18" fillId="0" borderId="72" xfId="78" applyFont="1" applyBorder="1" applyAlignment="1">
      <alignment horizontal="left" wrapText="1"/>
    </xf>
    <xf numFmtId="0" fontId="18" fillId="0" borderId="31" xfId="78" applyFont="1" applyBorder="1" applyAlignment="1">
      <alignment horizontal="left" wrapText="1"/>
    </xf>
    <xf numFmtId="0" fontId="18" fillId="0" borderId="66" xfId="78" applyFont="1" applyBorder="1" applyAlignment="1">
      <alignment horizontal="left" wrapText="1"/>
    </xf>
    <xf numFmtId="0" fontId="18" fillId="0" borderId="1" xfId="78" applyFont="1" applyBorder="1" applyAlignment="1">
      <alignment horizontal="center" wrapText="1"/>
    </xf>
    <xf numFmtId="0" fontId="18" fillId="0" borderId="13" xfId="78" applyFont="1" applyBorder="1" applyAlignment="1">
      <alignment horizontal="center" wrapText="1"/>
    </xf>
    <xf numFmtId="0" fontId="18" fillId="0" borderId="13" xfId="78" applyFont="1" applyBorder="1" applyAlignment="1">
      <alignment horizontal="center"/>
    </xf>
    <xf numFmtId="3" fontId="18" fillId="41" borderId="13" xfId="78" applyNumberFormat="1" applyFont="1" applyFill="1" applyBorder="1" applyAlignment="1">
      <alignment horizontal="center"/>
    </xf>
    <xf numFmtId="3" fontId="18" fillId="41" borderId="14" xfId="78" applyNumberFormat="1" applyFont="1" applyFill="1" applyBorder="1" applyAlignment="1">
      <alignment horizontal="center"/>
    </xf>
    <xf numFmtId="0" fontId="14" fillId="2" borderId="68" xfId="78" applyFont="1" applyFill="1" applyBorder="1" applyAlignment="1">
      <alignment horizontal="center" vertical="center" wrapText="1"/>
    </xf>
    <xf numFmtId="0" fontId="18" fillId="2" borderId="71" xfId="78" applyFont="1" applyFill="1" applyBorder="1" applyAlignment="1">
      <alignment horizontal="center" vertical="center" wrapText="1"/>
    </xf>
    <xf numFmtId="0" fontId="18" fillId="2" borderId="48" xfId="78" applyFont="1" applyFill="1" applyBorder="1" applyAlignment="1">
      <alignment horizontal="center" vertical="center" wrapText="1"/>
    </xf>
    <xf numFmtId="0" fontId="67" fillId="0" borderId="0" xfId="78" applyFont="1" applyAlignment="1">
      <alignment horizontal="center" vertical="center"/>
    </xf>
    <xf numFmtId="0" fontId="14" fillId="2" borderId="68" xfId="78" applyFont="1" applyFill="1" applyBorder="1" applyAlignment="1">
      <alignment horizontal="center" vertical="center"/>
    </xf>
    <xf numFmtId="0" fontId="18" fillId="2" borderId="48" xfId="78" applyFont="1" applyFill="1" applyBorder="1" applyAlignment="1">
      <alignment horizontal="center" vertical="center"/>
    </xf>
    <xf numFmtId="164" fontId="103" fillId="0" borderId="55" xfId="81" applyFont="1" applyBorder="1" applyAlignment="1">
      <alignment horizontal="center" vertical="center"/>
    </xf>
    <xf numFmtId="164" fontId="103" fillId="0" borderId="36" xfId="81" applyFont="1" applyBorder="1" applyAlignment="1">
      <alignment horizontal="center" vertical="center"/>
    </xf>
    <xf numFmtId="164" fontId="103" fillId="0" borderId="47" xfId="81" applyFont="1" applyBorder="1" applyAlignment="1">
      <alignment horizontal="center" vertical="center"/>
    </xf>
    <xf numFmtId="3" fontId="103" fillId="0" borderId="55" xfId="78" applyNumberFormat="1" applyFont="1" applyBorder="1" applyAlignment="1">
      <alignment horizontal="center" vertical="center"/>
    </xf>
    <xf numFmtId="0" fontId="103" fillId="0" borderId="36" xfId="78" applyFont="1" applyBorder="1" applyAlignment="1">
      <alignment horizontal="center" vertical="center"/>
    </xf>
    <xf numFmtId="0" fontId="103" fillId="0" borderId="47" xfId="78" applyFont="1" applyBorder="1" applyAlignment="1">
      <alignment horizontal="center" vertical="center"/>
    </xf>
    <xf numFmtId="0" fontId="18" fillId="2" borderId="68" xfId="78" applyFont="1" applyFill="1" applyBorder="1" applyAlignment="1">
      <alignment horizontal="center" vertical="center"/>
    </xf>
    <xf numFmtId="0" fontId="18" fillId="2" borderId="71" xfId="78" applyFont="1" applyFill="1" applyBorder="1" applyAlignment="1">
      <alignment horizontal="center" vertical="center"/>
    </xf>
    <xf numFmtId="164" fontId="67" fillId="0" borderId="32" xfId="81" applyFont="1" applyBorder="1" applyAlignment="1">
      <alignment horizontal="center" vertical="center"/>
    </xf>
    <xf numFmtId="164" fontId="67" fillId="0" borderId="27" xfId="81" applyFont="1" applyFill="1" applyBorder="1" applyAlignment="1">
      <alignment horizontal="center" vertical="center"/>
    </xf>
    <xf numFmtId="164" fontId="67" fillId="0" borderId="27" xfId="81" applyFont="1" applyBorder="1" applyAlignment="1">
      <alignment horizontal="center" vertical="center"/>
    </xf>
    <xf numFmtId="164" fontId="103" fillId="0" borderId="141" xfId="81" applyFont="1" applyBorder="1" applyAlignment="1">
      <alignment horizontal="center" vertical="center"/>
    </xf>
    <xf numFmtId="164" fontId="103" fillId="0" borderId="137" xfId="81" applyFont="1" applyBorder="1" applyAlignment="1">
      <alignment horizontal="center" vertical="center"/>
    </xf>
    <xf numFmtId="164" fontId="103" fillId="0" borderId="142" xfId="81" applyFont="1" applyBorder="1" applyAlignment="1">
      <alignment horizontal="center" vertical="center"/>
    </xf>
    <xf numFmtId="3" fontId="103" fillId="2" borderId="55" xfId="78" applyNumberFormat="1" applyFont="1" applyFill="1" applyBorder="1" applyAlignment="1">
      <alignment horizontal="center" vertical="center" wrapText="1"/>
    </xf>
    <xf numFmtId="0" fontId="103" fillId="2" borderId="36" xfId="78" applyFont="1" applyFill="1" applyBorder="1" applyAlignment="1">
      <alignment horizontal="center" vertical="center" wrapText="1"/>
    </xf>
    <xf numFmtId="0" fontId="103" fillId="2" borderId="47" xfId="78" applyFont="1" applyFill="1" applyBorder="1" applyAlignment="1">
      <alignment horizontal="center" vertical="center" wrapText="1"/>
    </xf>
    <xf numFmtId="3" fontId="103" fillId="2" borderId="36" xfId="78" applyNumberFormat="1" applyFont="1" applyFill="1" applyBorder="1" applyAlignment="1">
      <alignment horizontal="center" vertical="center" wrapText="1"/>
    </xf>
    <xf numFmtId="3" fontId="103" fillId="2" borderId="47" xfId="78" applyNumberFormat="1" applyFont="1" applyFill="1" applyBorder="1" applyAlignment="1">
      <alignment horizontal="center" vertical="center" wrapText="1"/>
    </xf>
    <xf numFmtId="0" fontId="23" fillId="2" borderId="0" xfId="78" applyFill="1"/>
    <xf numFmtId="3" fontId="103" fillId="2" borderId="55" xfId="78" applyNumberFormat="1" applyFont="1" applyFill="1" applyBorder="1" applyAlignment="1">
      <alignment horizontal="center" vertical="center"/>
    </xf>
    <xf numFmtId="3" fontId="103" fillId="2" borderId="36" xfId="78" applyNumberFormat="1" applyFont="1" applyFill="1" applyBorder="1" applyAlignment="1">
      <alignment horizontal="center" vertical="center"/>
    </xf>
    <xf numFmtId="3" fontId="103" fillId="2" borderId="47" xfId="78" applyNumberFormat="1" applyFont="1" applyFill="1" applyBorder="1" applyAlignment="1">
      <alignment horizontal="center" vertical="center"/>
    </xf>
    <xf numFmtId="0" fontId="18" fillId="2" borderId="0" xfId="78" applyFont="1" applyFill="1"/>
    <xf numFmtId="0" fontId="52" fillId="2" borderId="52" xfId="78" applyFont="1" applyFill="1" applyBorder="1" applyAlignment="1">
      <alignment horizontal="center"/>
    </xf>
    <xf numFmtId="0" fontId="52" fillId="2" borderId="58" xfId="78" applyFont="1" applyFill="1" applyBorder="1" applyAlignment="1">
      <alignment horizontal="center"/>
    </xf>
    <xf numFmtId="0" fontId="52" fillId="2" borderId="67" xfId="78" applyFont="1" applyFill="1" applyBorder="1" applyAlignment="1">
      <alignment horizontal="center"/>
    </xf>
    <xf numFmtId="0" fontId="81" fillId="2" borderId="1" xfId="57" applyFont="1" applyFill="1" applyBorder="1" applyAlignment="1">
      <alignment horizontal="center" vertical="center"/>
    </xf>
    <xf numFmtId="0" fontId="81" fillId="2" borderId="13" xfId="57" applyFont="1" applyFill="1" applyBorder="1" applyAlignment="1">
      <alignment horizontal="center" vertical="center"/>
    </xf>
    <xf numFmtId="0" fontId="81" fillId="2" borderId="16" xfId="57" applyFont="1" applyFill="1" applyBorder="1" applyAlignment="1">
      <alignment horizontal="center" vertical="center"/>
    </xf>
    <xf numFmtId="0" fontId="81" fillId="2" borderId="14" xfId="57" applyFont="1" applyFill="1" applyBorder="1" applyAlignment="1">
      <alignment horizontal="center" vertical="center"/>
    </xf>
    <xf numFmtId="0" fontId="103" fillId="0" borderId="22" xfId="78" applyFont="1" applyBorder="1" applyAlignment="1">
      <alignment horizontal="center" vertical="center" wrapText="1"/>
    </xf>
    <xf numFmtId="0" fontId="52" fillId="2" borderId="9" xfId="78" applyFont="1" applyFill="1" applyBorder="1" applyAlignment="1">
      <alignment horizontal="center"/>
    </xf>
    <xf numFmtId="0" fontId="52" fillId="2" borderId="10" xfId="78" applyFont="1" applyFill="1" applyBorder="1" applyAlignment="1">
      <alignment horizontal="center"/>
    </xf>
    <xf numFmtId="0" fontId="52" fillId="2" borderId="12" xfId="78" applyFont="1" applyFill="1" applyBorder="1" applyAlignment="1">
      <alignment horizontal="center"/>
    </xf>
    <xf numFmtId="0" fontId="103" fillId="2" borderId="0" xfId="78" applyFont="1" applyFill="1" applyAlignment="1">
      <alignment horizontal="center" vertical="center"/>
    </xf>
    <xf numFmtId="0" fontId="109" fillId="2" borderId="22" xfId="78" applyFont="1" applyFill="1" applyBorder="1" applyAlignment="1">
      <alignment horizontal="center" vertical="center"/>
    </xf>
    <xf numFmtId="0" fontId="67" fillId="9" borderId="27" xfId="78" applyFont="1" applyFill="1" applyBorder="1" applyAlignment="1">
      <alignment horizontal="center" vertical="center" wrapText="1"/>
    </xf>
    <xf numFmtId="0" fontId="52" fillId="2" borderId="0" xfId="78" applyFont="1" applyFill="1"/>
    <xf numFmtId="0" fontId="52" fillId="9" borderId="24" xfId="78" applyFont="1" applyFill="1" applyBorder="1"/>
    <xf numFmtId="0" fontId="52" fillId="9" borderId="30" xfId="78" applyFont="1" applyFill="1" applyBorder="1"/>
    <xf numFmtId="0" fontId="52" fillId="9" borderId="36" xfId="78" applyFont="1" applyFill="1" applyBorder="1" applyAlignment="1">
      <alignment horizontal="center" vertical="center"/>
    </xf>
    <xf numFmtId="0" fontId="52" fillId="9" borderId="22" xfId="78" applyFont="1" applyFill="1" applyBorder="1" applyAlignment="1">
      <alignment horizontal="center" vertical="center"/>
    </xf>
    <xf numFmtId="0" fontId="52" fillId="9" borderId="23" xfId="78" applyFont="1" applyFill="1" applyBorder="1" applyAlignment="1">
      <alignment horizontal="center" vertical="center"/>
    </xf>
    <xf numFmtId="0" fontId="52" fillId="9" borderId="47" xfId="78" applyFont="1" applyFill="1" applyBorder="1" applyAlignment="1">
      <alignment horizontal="center" vertical="center"/>
    </xf>
    <xf numFmtId="0" fontId="52" fillId="9" borderId="49" xfId="78" applyFont="1" applyFill="1" applyBorder="1" applyAlignment="1">
      <alignment horizontal="center" vertical="center"/>
    </xf>
    <xf numFmtId="0" fontId="52" fillId="9" borderId="66" xfId="78" applyFont="1" applyFill="1" applyBorder="1" applyAlignment="1">
      <alignment horizontal="center" vertical="center"/>
    </xf>
    <xf numFmtId="0" fontId="52" fillId="9" borderId="70" xfId="78" applyFont="1" applyFill="1" applyBorder="1" applyAlignment="1">
      <alignment horizontal="center"/>
    </xf>
    <xf numFmtId="0" fontId="52" fillId="9" borderId="64" xfId="78" applyFont="1" applyFill="1" applyBorder="1" applyAlignment="1">
      <alignment horizontal="center"/>
    </xf>
    <xf numFmtId="0" fontId="52" fillId="9" borderId="63" xfId="78" applyFont="1" applyFill="1" applyBorder="1" applyAlignment="1">
      <alignment horizontal="center"/>
    </xf>
    <xf numFmtId="0" fontId="52" fillId="9" borderId="72" xfId="78" applyFont="1" applyFill="1" applyBorder="1" applyAlignment="1">
      <alignment horizontal="center"/>
    </xf>
    <xf numFmtId="0" fontId="52" fillId="9" borderId="62" xfId="78" applyFont="1" applyFill="1" applyBorder="1" applyAlignment="1">
      <alignment horizontal="center"/>
    </xf>
    <xf numFmtId="0" fontId="52" fillId="9" borderId="70" xfId="78" applyFont="1" applyFill="1" applyBorder="1" applyAlignment="1">
      <alignment horizontal="center" vertical="center" wrapText="1"/>
    </xf>
    <xf numFmtId="0" fontId="52" fillId="9" borderId="47" xfId="78" applyFont="1" applyFill="1" applyBorder="1" applyAlignment="1">
      <alignment horizontal="center" vertical="center" wrapText="1"/>
    </xf>
    <xf numFmtId="0" fontId="52" fillId="9" borderId="55" xfId="78" applyFont="1" applyFill="1" applyBorder="1" applyAlignment="1">
      <alignment horizontal="center" vertical="center"/>
    </xf>
    <xf numFmtId="0" fontId="52" fillId="9" borderId="21" xfId="78" applyFont="1" applyFill="1" applyBorder="1" applyAlignment="1">
      <alignment horizontal="center" vertical="center"/>
    </xf>
    <xf numFmtId="0" fontId="52" fillId="9" borderId="31" xfId="78" applyFont="1" applyFill="1" applyBorder="1" applyAlignment="1">
      <alignment horizontal="center" vertical="center"/>
    </xf>
    <xf numFmtId="0" fontId="52" fillId="9" borderId="33" xfId="78" applyFont="1" applyFill="1" applyBorder="1" applyAlignment="1">
      <alignment horizontal="center" vertical="center"/>
    </xf>
    <xf numFmtId="0" fontId="52" fillId="9" borderId="32" xfId="78" applyFont="1" applyFill="1" applyBorder="1" applyAlignment="1">
      <alignment horizontal="center"/>
    </xf>
    <xf numFmtId="0" fontId="52" fillId="9" borderId="33" xfId="78" applyFont="1" applyFill="1" applyBorder="1" applyAlignment="1">
      <alignment horizontal="center"/>
    </xf>
    <xf numFmtId="2" fontId="103" fillId="0" borderId="22" xfId="78" applyNumberFormat="1" applyFont="1" applyBorder="1" applyAlignment="1">
      <alignment horizontal="center"/>
    </xf>
    <xf numFmtId="0" fontId="103" fillId="0" borderId="22" xfId="78" applyFont="1" applyBorder="1" applyAlignment="1">
      <alignment horizontal="center"/>
    </xf>
    <xf numFmtId="2" fontId="103" fillId="0" borderId="55" xfId="78" applyNumberFormat="1" applyFont="1" applyBorder="1" applyAlignment="1">
      <alignment horizontal="center"/>
    </xf>
    <xf numFmtId="0" fontId="103" fillId="0" borderId="36" xfId="78" applyFont="1" applyBorder="1" applyAlignment="1">
      <alignment horizontal="center"/>
    </xf>
    <xf numFmtId="0" fontId="103" fillId="0" borderId="47" xfId="78" applyFont="1" applyBorder="1" applyAlignment="1">
      <alignment horizontal="center"/>
    </xf>
    <xf numFmtId="0" fontId="103" fillId="0" borderId="55" xfId="78" applyFont="1" applyBorder="1" applyAlignment="1">
      <alignment horizontal="center"/>
    </xf>
    <xf numFmtId="0" fontId="65" fillId="9" borderId="23" xfId="78" applyFont="1" applyFill="1" applyBorder="1" applyAlignment="1">
      <alignment horizontal="center" vertical="center"/>
    </xf>
    <xf numFmtId="0" fontId="52" fillId="9" borderId="27" xfId="78" applyFont="1" applyFill="1" applyBorder="1" applyAlignment="1">
      <alignment horizontal="center"/>
    </xf>
    <xf numFmtId="0" fontId="52" fillId="9" borderId="29" xfId="78" applyFont="1" applyFill="1" applyBorder="1" applyAlignment="1">
      <alignment horizontal="center"/>
    </xf>
    <xf numFmtId="0" fontId="52" fillId="9" borderId="28" xfId="78" applyFont="1" applyFill="1" applyBorder="1"/>
    <xf numFmtId="0" fontId="52" fillId="9" borderId="26" xfId="78" applyFont="1" applyFill="1" applyBorder="1" applyAlignment="1">
      <alignment horizontal="center" vertical="center"/>
    </xf>
    <xf numFmtId="0" fontId="52" fillId="9" borderId="29" xfId="78" applyFont="1" applyFill="1" applyBorder="1" applyAlignment="1">
      <alignment horizontal="center" vertical="center"/>
    </xf>
    <xf numFmtId="0" fontId="52" fillId="9" borderId="62" xfId="78" applyFont="1" applyFill="1" applyBorder="1" applyAlignment="1">
      <alignment horizontal="center" vertical="center"/>
    </xf>
    <xf numFmtId="0" fontId="52" fillId="9" borderId="64" xfId="78" applyFont="1" applyFill="1" applyBorder="1" applyAlignment="1">
      <alignment horizontal="center" vertical="center"/>
    </xf>
    <xf numFmtId="0" fontId="52" fillId="9" borderId="63" xfId="78" applyFont="1" applyFill="1" applyBorder="1" applyAlignment="1">
      <alignment horizontal="center" vertical="center"/>
    </xf>
    <xf numFmtId="0" fontId="52" fillId="9" borderId="32" xfId="78" applyFont="1" applyFill="1" applyBorder="1" applyAlignment="1">
      <alignment horizontal="center" vertical="center"/>
    </xf>
    <xf numFmtId="0" fontId="52" fillId="9" borderId="56" xfId="78" applyFont="1" applyFill="1" applyBorder="1"/>
    <xf numFmtId="0" fontId="52" fillId="9" borderId="57" xfId="78" applyFont="1" applyFill="1" applyBorder="1"/>
    <xf numFmtId="0" fontId="52" fillId="9" borderId="31" xfId="78" applyFont="1" applyFill="1" applyBorder="1" applyAlignment="1">
      <alignment horizontal="center"/>
    </xf>
    <xf numFmtId="0" fontId="103" fillId="0" borderId="55" xfId="78" applyFont="1" applyBorder="1" applyAlignment="1">
      <alignment horizontal="center" vertical="center"/>
    </xf>
    <xf numFmtId="0" fontId="103" fillId="0" borderId="22" xfId="78" applyFont="1" applyBorder="1" applyAlignment="1">
      <alignment horizontal="center" vertical="center"/>
    </xf>
    <xf numFmtId="0" fontId="52" fillId="9" borderId="9" xfId="78" applyFont="1" applyFill="1" applyBorder="1" applyAlignment="1">
      <alignment horizontal="center"/>
    </xf>
    <xf numFmtId="0" fontId="52" fillId="9" borderId="10" xfId="78" applyFont="1" applyFill="1" applyBorder="1" applyAlignment="1">
      <alignment horizontal="center"/>
    </xf>
    <xf numFmtId="0" fontId="52" fillId="9" borderId="12" xfId="78" applyFont="1" applyFill="1" applyBorder="1" applyAlignment="1">
      <alignment horizontal="center"/>
    </xf>
    <xf numFmtId="0" fontId="52" fillId="9" borderId="15" xfId="78" applyFont="1" applyFill="1" applyBorder="1" applyAlignment="1">
      <alignment horizontal="center"/>
    </xf>
    <xf numFmtId="0" fontId="52" fillId="9" borderId="13" xfId="78" applyFont="1" applyFill="1" applyBorder="1" applyAlignment="1">
      <alignment horizontal="center"/>
    </xf>
    <xf numFmtId="0" fontId="52" fillId="9" borderId="14" xfId="78" applyFont="1" applyFill="1" applyBorder="1" applyAlignment="1">
      <alignment horizontal="center"/>
    </xf>
    <xf numFmtId="4" fontId="96" fillId="9" borderId="20" xfId="38" applyNumberFormat="1" applyFont="1" applyFill="1" applyBorder="1" applyAlignment="1">
      <alignment horizontal="center" vertical="center" wrapText="1"/>
    </xf>
    <xf numFmtId="4" fontId="96" fillId="9" borderId="30" xfId="38" applyNumberFormat="1" applyFont="1" applyFill="1" applyBorder="1" applyAlignment="1">
      <alignment horizontal="center" vertical="center" wrapText="1"/>
    </xf>
    <xf numFmtId="4" fontId="96" fillId="9" borderId="62" xfId="38" applyNumberFormat="1" applyFont="1" applyFill="1" applyBorder="1" applyAlignment="1">
      <alignment horizontal="center" vertical="center" wrapText="1"/>
    </xf>
    <xf numFmtId="4" fontId="96" fillId="9" borderId="31" xfId="38" applyNumberFormat="1" applyFont="1" applyFill="1" applyBorder="1" applyAlignment="1">
      <alignment horizontal="center" vertical="center" wrapText="1"/>
    </xf>
    <xf numFmtId="0" fontId="52" fillId="9" borderId="62" xfId="78" applyFont="1" applyFill="1" applyBorder="1" applyAlignment="1">
      <alignment horizontal="center" vertical="center" wrapText="1"/>
    </xf>
    <xf numFmtId="0" fontId="52" fillId="9" borderId="31" xfId="78" applyFont="1" applyFill="1" applyBorder="1" applyAlignment="1">
      <alignment horizontal="center" vertical="center" wrapText="1"/>
    </xf>
    <xf numFmtId="4" fontId="96" fillId="9" borderId="32" xfId="38" applyNumberFormat="1" applyFont="1" applyFill="1" applyBorder="1" applyAlignment="1">
      <alignment horizontal="center" vertical="center"/>
    </xf>
    <xf numFmtId="4" fontId="96" fillId="9" borderId="66" xfId="38" applyNumberFormat="1" applyFont="1" applyFill="1" applyBorder="1" applyAlignment="1">
      <alignment horizontal="center" vertical="center"/>
    </xf>
    <xf numFmtId="0" fontId="67" fillId="9" borderId="22" xfId="78" applyFont="1" applyFill="1" applyBorder="1" applyAlignment="1">
      <alignment horizontal="left" vertical="top" wrapText="1"/>
    </xf>
    <xf numFmtId="0" fontId="67" fillId="9" borderId="27" xfId="78" applyFont="1" applyFill="1" applyBorder="1" applyAlignment="1">
      <alignment horizontal="left" vertical="top" wrapText="1"/>
    </xf>
    <xf numFmtId="2" fontId="67" fillId="0" borderId="91" xfId="78" applyNumberFormat="1" applyFont="1" applyBorder="1" applyAlignment="1">
      <alignment horizontal="center" vertical="center" wrapText="1"/>
    </xf>
    <xf numFmtId="2" fontId="67" fillId="0" borderId="90" xfId="78" applyNumberFormat="1" applyFont="1" applyBorder="1" applyAlignment="1">
      <alignment horizontal="center" vertical="center" wrapText="1"/>
    </xf>
    <xf numFmtId="2" fontId="67" fillId="0" borderId="89" xfId="78" applyNumberFormat="1" applyFont="1" applyBorder="1" applyAlignment="1">
      <alignment horizontal="center" vertical="center" wrapText="1"/>
    </xf>
    <xf numFmtId="2" fontId="67" fillId="0" borderId="229" xfId="78" applyNumberFormat="1" applyFont="1" applyBorder="1" applyAlignment="1">
      <alignment horizontal="center" vertical="center" wrapText="1"/>
    </xf>
    <xf numFmtId="2" fontId="67" fillId="0" borderId="237" xfId="78" applyNumberFormat="1" applyFont="1" applyBorder="1" applyAlignment="1">
      <alignment horizontal="center" vertical="center" wrapText="1"/>
    </xf>
    <xf numFmtId="2" fontId="67" fillId="0" borderId="259" xfId="78" applyNumberFormat="1" applyFont="1" applyBorder="1" applyAlignment="1">
      <alignment horizontal="center" vertical="center" wrapText="1"/>
    </xf>
    <xf numFmtId="2" fontId="103" fillId="0" borderId="55" xfId="78" applyNumberFormat="1" applyFont="1" applyBorder="1" applyAlignment="1">
      <alignment horizontal="center" vertical="center" wrapText="1"/>
    </xf>
    <xf numFmtId="2" fontId="103" fillId="0" borderId="36" xfId="78" applyNumberFormat="1" applyFont="1" applyBorder="1" applyAlignment="1">
      <alignment horizontal="center" vertical="center" wrapText="1"/>
    </xf>
    <xf numFmtId="2" fontId="103" fillId="0" borderId="47" xfId="78" applyNumberFormat="1" applyFont="1" applyBorder="1" applyAlignment="1">
      <alignment horizontal="center" vertical="center" wrapText="1"/>
    </xf>
    <xf numFmtId="0" fontId="23" fillId="0" borderId="22" xfId="78" applyBorder="1" applyAlignment="1" applyProtection="1">
      <alignment horizontal="center" vertical="center" wrapText="1"/>
      <protection locked="0"/>
    </xf>
    <xf numFmtId="0" fontId="23" fillId="0" borderId="55" xfId="78" applyBorder="1" applyAlignment="1" applyProtection="1">
      <alignment horizontal="center" vertical="center" wrapText="1"/>
      <protection locked="0"/>
    </xf>
    <xf numFmtId="0" fontId="23" fillId="0" borderId="36" xfId="78" applyBorder="1" applyAlignment="1" applyProtection="1">
      <alignment horizontal="center" vertical="center" wrapText="1"/>
      <protection locked="0"/>
    </xf>
    <xf numFmtId="0" fontId="23" fillId="0" borderId="47" xfId="78" applyBorder="1" applyAlignment="1" applyProtection="1">
      <alignment horizontal="center" vertical="center" wrapText="1"/>
      <protection locked="0"/>
    </xf>
    <xf numFmtId="4" fontId="21" fillId="0" borderId="22" xfId="78" applyNumberFormat="1" applyFont="1" applyBorder="1" applyAlignment="1" applyProtection="1">
      <alignment horizontal="center" vertical="center" wrapText="1"/>
      <protection locked="0"/>
    </xf>
    <xf numFmtId="4" fontId="23" fillId="0" borderId="22" xfId="78" applyNumberFormat="1" applyBorder="1" applyAlignment="1" applyProtection="1">
      <alignment horizontal="center" vertical="center" wrapText="1"/>
      <protection locked="0"/>
    </xf>
    <xf numFmtId="0" fontId="23" fillId="0" borderId="0" xfId="78" applyAlignment="1" applyProtection="1">
      <alignment horizontal="center"/>
      <protection locked="0"/>
    </xf>
    <xf numFmtId="0" fontId="23" fillId="0" borderId="52" xfId="78" applyBorder="1" applyAlignment="1" applyProtection="1">
      <alignment horizontal="center"/>
      <protection locked="0"/>
    </xf>
    <xf numFmtId="0" fontId="23" fillId="0" borderId="58" xfId="78" applyBorder="1" applyAlignment="1" applyProtection="1">
      <alignment horizontal="center"/>
      <protection locked="0"/>
    </xf>
    <xf numFmtId="0" fontId="94" fillId="0" borderId="43" xfId="0" applyFont="1" applyBorder="1" applyAlignment="1">
      <alignment horizontal="center"/>
    </xf>
    <xf numFmtId="184" fontId="0" fillId="13" borderId="231" xfId="7" applyNumberFormat="1" applyFont="1" applyFill="1" applyBorder="1" applyAlignment="1">
      <alignment horizontal="center"/>
    </xf>
    <xf numFmtId="184" fontId="0" fillId="13" borderId="233" xfId="7" applyNumberFormat="1" applyFont="1" applyFill="1" applyBorder="1" applyAlignment="1">
      <alignment horizontal="center"/>
    </xf>
    <xf numFmtId="184" fontId="0" fillId="13" borderId="232" xfId="7" applyNumberFormat="1" applyFont="1" applyFill="1" applyBorder="1" applyAlignment="1">
      <alignment horizontal="center"/>
    </xf>
    <xf numFmtId="0" fontId="0" fillId="13" borderId="121" xfId="0" applyFill="1" applyBorder="1" applyAlignment="1">
      <alignment horizontal="center"/>
    </xf>
    <xf numFmtId="0" fontId="52" fillId="0" borderId="0" xfId="157" applyFont="1" applyAlignment="1">
      <alignment horizontal="center" wrapText="1"/>
    </xf>
    <xf numFmtId="0" fontId="14" fillId="0" borderId="55" xfId="78" applyFont="1" applyBorder="1" applyAlignment="1" applyProtection="1">
      <alignment horizontal="center" vertical="center" wrapText="1"/>
      <protection locked="0"/>
    </xf>
    <xf numFmtId="0" fontId="23" fillId="0" borderId="52" xfId="78" applyBorder="1" applyAlignment="1">
      <alignment horizontal="center"/>
    </xf>
    <xf numFmtId="0" fontId="23" fillId="0" borderId="58" xfId="78" applyBorder="1" applyAlignment="1">
      <alignment horizontal="center"/>
    </xf>
    <xf numFmtId="0" fontId="23" fillId="0" borderId="0" xfId="78" applyAlignment="1">
      <alignment horizontal="center"/>
    </xf>
    <xf numFmtId="0" fontId="96" fillId="0" borderId="0" xfId="0" applyFont="1" applyAlignment="1">
      <alignment horizontal="center"/>
    </xf>
    <xf numFmtId="0" fontId="52" fillId="0" borderId="0" xfId="0" applyFont="1" applyAlignment="1">
      <alignment horizontal="center" wrapText="1"/>
    </xf>
    <xf numFmtId="0" fontId="214" fillId="47" borderId="0" xfId="85" applyFont="1" applyFill="1" applyAlignment="1">
      <alignment horizontal="center" wrapText="1"/>
    </xf>
    <xf numFmtId="0" fontId="214" fillId="47" borderId="43" xfId="85" applyFont="1" applyFill="1" applyBorder="1" applyAlignment="1">
      <alignment horizontal="center" wrapText="1"/>
    </xf>
    <xf numFmtId="0" fontId="51" fillId="27" borderId="0" xfId="85" applyFont="1" applyFill="1" applyAlignment="1">
      <alignment horizontal="center" wrapText="1"/>
    </xf>
    <xf numFmtId="0" fontId="51" fillId="27" borderId="43" xfId="85" applyFont="1" applyFill="1" applyBorder="1" applyAlignment="1">
      <alignment horizontal="center" wrapText="1"/>
    </xf>
    <xf numFmtId="0" fontId="51" fillId="0" borderId="0" xfId="85" applyFont="1" applyAlignment="1">
      <alignment wrapText="1"/>
    </xf>
    <xf numFmtId="0" fontId="216" fillId="0" borderId="0" xfId="87" quotePrefix="1" applyFont="1" applyAlignment="1">
      <alignment horizontal="center"/>
    </xf>
    <xf numFmtId="0" fontId="212" fillId="48" borderId="0" xfId="85" applyFont="1" applyFill="1" applyAlignment="1">
      <alignment horizontal="center" wrapText="1"/>
    </xf>
    <xf numFmtId="0" fontId="212" fillId="48" borderId="43" xfId="85" applyFont="1" applyFill="1" applyBorder="1" applyAlignment="1">
      <alignment horizontal="center" wrapText="1"/>
    </xf>
    <xf numFmtId="0" fontId="216" fillId="0" borderId="0" xfId="87" applyFont="1" applyAlignment="1">
      <alignment horizontal="center" vertical="center"/>
    </xf>
    <xf numFmtId="2" fontId="271" fillId="18" borderId="135" xfId="133" applyNumberFormat="1" applyFont="1" applyFill="1" applyBorder="1" applyAlignment="1">
      <alignment horizontal="right"/>
    </xf>
    <xf numFmtId="0" fontId="105" fillId="22" borderId="135" xfId="44" applyFont="1" applyFill="1" applyBorder="1" applyAlignment="1">
      <alignment horizontal="left" vertical="center"/>
    </xf>
    <xf numFmtId="0" fontId="105" fillId="23" borderId="65" xfId="38" applyFill="1" applyBorder="1" applyAlignment="1" applyProtection="1">
      <alignment vertical="center" wrapText="1"/>
      <protection locked="0"/>
    </xf>
    <xf numFmtId="0" fontId="105" fillId="23" borderId="43" xfId="38" applyFill="1" applyBorder="1" applyAlignment="1" applyProtection="1">
      <alignment vertical="center" wrapText="1"/>
      <protection locked="0"/>
    </xf>
    <xf numFmtId="0" fontId="105" fillId="23" borderId="50" xfId="38" applyFill="1" applyBorder="1" applyAlignment="1" applyProtection="1">
      <alignment vertical="center" wrapText="1"/>
      <protection locked="0"/>
    </xf>
    <xf numFmtId="0" fontId="128" fillId="22" borderId="0" xfId="50" applyFill="1" applyAlignment="1">
      <alignment horizontal="left"/>
    </xf>
    <xf numFmtId="0" fontId="121" fillId="23" borderId="84" xfId="38" applyFont="1" applyFill="1" applyBorder="1" applyAlignment="1">
      <alignment horizontal="center" vertical="center"/>
    </xf>
    <xf numFmtId="0" fontId="121" fillId="23" borderId="83" xfId="38" applyFont="1" applyFill="1" applyBorder="1" applyAlignment="1">
      <alignment horizontal="center" vertical="center"/>
    </xf>
    <xf numFmtId="0" fontId="121" fillId="23" borderId="82" xfId="38" applyFont="1" applyFill="1" applyBorder="1" applyAlignment="1">
      <alignment horizontal="center" vertical="center"/>
    </xf>
    <xf numFmtId="0" fontId="122" fillId="22" borderId="0" xfId="38" applyFont="1" applyFill="1" applyAlignment="1">
      <alignment vertical="center" wrapText="1"/>
    </xf>
    <xf numFmtId="0" fontId="105" fillId="22" borderId="0" xfId="3" applyFont="1" applyFill="1" applyAlignment="1">
      <alignment vertical="center" wrapText="1"/>
    </xf>
    <xf numFmtId="0" fontId="121" fillId="23" borderId="140" xfId="38" applyFont="1" applyFill="1" applyBorder="1" applyAlignment="1">
      <alignment horizontal="left" vertical="center"/>
    </xf>
    <xf numFmtId="0" fontId="121" fillId="23" borderId="138" xfId="38" applyFont="1" applyFill="1" applyBorder="1" applyAlignment="1">
      <alignment horizontal="left" vertical="center"/>
    </xf>
    <xf numFmtId="0" fontId="121" fillId="23" borderId="139" xfId="38" applyFont="1" applyFill="1" applyBorder="1" applyAlignment="1">
      <alignment horizontal="left" vertical="center"/>
    </xf>
    <xf numFmtId="0" fontId="121" fillId="17" borderId="141" xfId="38" quotePrefix="1" applyFont="1" applyFill="1" applyBorder="1" applyAlignment="1">
      <alignment horizontal="center" vertical="center"/>
    </xf>
    <xf numFmtId="0" fontId="121" fillId="17" borderId="142" xfId="38" quotePrefix="1" applyFont="1" applyFill="1" applyBorder="1" applyAlignment="1">
      <alignment horizontal="center" vertical="center"/>
    </xf>
    <xf numFmtId="0" fontId="121" fillId="17" borderId="141" xfId="38" applyFont="1" applyFill="1" applyBorder="1" applyAlignment="1">
      <alignment horizontal="center" vertical="center"/>
    </xf>
    <xf numFmtId="0" fontId="121" fillId="17" borderId="142" xfId="38" applyFont="1" applyFill="1" applyBorder="1" applyAlignment="1">
      <alignment horizontal="center" vertical="center"/>
    </xf>
    <xf numFmtId="0" fontId="121" fillId="17" borderId="137" xfId="38" applyFont="1" applyFill="1" applyBorder="1" applyAlignment="1">
      <alignment horizontal="center" vertical="center"/>
    </xf>
    <xf numFmtId="0" fontId="121" fillId="17" borderId="140" xfId="38" applyFont="1" applyFill="1" applyBorder="1" applyAlignment="1">
      <alignment horizontal="center" vertical="center"/>
    </xf>
    <xf numFmtId="0" fontId="121" fillId="17" borderId="139" xfId="38" applyFont="1" applyFill="1" applyBorder="1" applyAlignment="1">
      <alignment horizontal="center" vertical="center"/>
    </xf>
    <xf numFmtId="0" fontId="121" fillId="17" borderId="65" xfId="38" applyFont="1" applyFill="1" applyBorder="1" applyAlignment="1">
      <alignment horizontal="center" vertical="center"/>
    </xf>
    <xf numFmtId="0" fontId="121" fillId="17" borderId="50" xfId="38" applyFont="1" applyFill="1" applyBorder="1" applyAlignment="1">
      <alignment horizontal="center" vertical="center"/>
    </xf>
    <xf numFmtId="0" fontId="121" fillId="17" borderId="212" xfId="38" quotePrefix="1" applyFont="1" applyFill="1" applyBorder="1" applyAlignment="1">
      <alignment horizontal="center" vertical="center"/>
    </xf>
    <xf numFmtId="0" fontId="105" fillId="22" borderId="18" xfId="3" applyFont="1" applyFill="1" applyBorder="1" applyAlignment="1">
      <alignment horizontal="center" vertical="center"/>
    </xf>
    <xf numFmtId="0" fontId="121" fillId="17" borderId="84" xfId="38" applyFont="1" applyFill="1" applyBorder="1" applyAlignment="1">
      <alignment horizontal="center" vertical="center"/>
    </xf>
    <xf numFmtId="0" fontId="121" fillId="17" borderId="83" xfId="38" applyFont="1" applyFill="1" applyBorder="1" applyAlignment="1">
      <alignment horizontal="center" vertical="center"/>
    </xf>
    <xf numFmtId="0" fontId="121" fillId="17" borderId="82" xfId="38" applyFont="1" applyFill="1" applyBorder="1" applyAlignment="1">
      <alignment horizontal="center" vertical="center"/>
    </xf>
    <xf numFmtId="0" fontId="121" fillId="17" borderId="84" xfId="38" applyFont="1" applyFill="1" applyBorder="1" applyAlignment="1">
      <alignment horizontal="center" vertical="center" wrapText="1"/>
    </xf>
    <xf numFmtId="0" fontId="121" fillId="17" borderId="83" xfId="38" applyFont="1" applyFill="1" applyBorder="1" applyAlignment="1">
      <alignment horizontal="center" vertical="center" wrapText="1"/>
    </xf>
    <xf numFmtId="0" fontId="121" fillId="17" borderId="82" xfId="38" applyFont="1" applyFill="1" applyBorder="1" applyAlignment="1">
      <alignment horizontal="center" vertical="center" wrapText="1"/>
    </xf>
    <xf numFmtId="0" fontId="122" fillId="22" borderId="0" xfId="38" applyFont="1" applyFill="1" applyAlignment="1">
      <alignment horizontal="left" vertical="center"/>
    </xf>
    <xf numFmtId="49" fontId="122" fillId="22" borderId="0" xfId="38" applyNumberFormat="1" applyFont="1" applyFill="1" applyAlignment="1">
      <alignment horizontal="left" vertical="center" wrapText="1"/>
    </xf>
    <xf numFmtId="49" fontId="105" fillId="22" borderId="0" xfId="3" applyNumberFormat="1" applyFont="1" applyFill="1" applyAlignment="1">
      <alignment horizontal="left" vertical="center" wrapText="1"/>
    </xf>
    <xf numFmtId="0" fontId="122" fillId="22" borderId="0" xfId="38" applyFont="1" applyFill="1" applyAlignment="1">
      <alignment horizontal="left" vertical="center" wrapText="1"/>
    </xf>
    <xf numFmtId="0" fontId="105" fillId="22" borderId="0" xfId="3" applyFont="1" applyFill="1" applyAlignment="1">
      <alignment horizontal="left" vertical="center" wrapText="1"/>
    </xf>
    <xf numFmtId="0" fontId="105" fillId="0" borderId="135" xfId="3" applyFont="1" applyBorder="1" applyAlignment="1">
      <alignment horizontal="left" vertical="center"/>
    </xf>
    <xf numFmtId="0" fontId="105" fillId="17" borderId="61" xfId="38" applyFill="1" applyBorder="1" applyAlignment="1">
      <alignment vertical="center" wrapText="1"/>
    </xf>
    <xf numFmtId="0" fontId="105" fillId="17" borderId="0" xfId="38" applyFill="1" applyAlignment="1">
      <alignment vertical="center" wrapText="1"/>
    </xf>
    <xf numFmtId="0" fontId="105" fillId="17" borderId="80" xfId="38" applyFill="1" applyBorder="1" applyAlignment="1">
      <alignment vertical="center" wrapText="1"/>
    </xf>
    <xf numFmtId="0" fontId="105" fillId="17" borderId="65" xfId="38" applyFill="1" applyBorder="1" applyAlignment="1" applyProtection="1">
      <alignment horizontal="left" vertical="center"/>
      <protection locked="0"/>
    </xf>
    <xf numFmtId="0" fontId="105" fillId="17" borderId="43" xfId="38" applyFill="1" applyBorder="1" applyAlignment="1" applyProtection="1">
      <alignment horizontal="left" vertical="center"/>
      <protection locked="0"/>
    </xf>
    <xf numFmtId="0" fontId="105" fillId="17" borderId="50" xfId="38" applyFill="1" applyBorder="1" applyAlignment="1" applyProtection="1">
      <alignment horizontal="left" vertical="center"/>
      <protection locked="0"/>
    </xf>
    <xf numFmtId="0" fontId="121" fillId="17" borderId="140" xfId="38" applyFont="1" applyFill="1" applyBorder="1" applyAlignment="1">
      <alignment horizontal="left" vertical="center"/>
    </xf>
    <xf numFmtId="0" fontId="121" fillId="17" borderId="138" xfId="38" applyFont="1" applyFill="1" applyBorder="1" applyAlignment="1">
      <alignment horizontal="left" vertical="center"/>
    </xf>
    <xf numFmtId="0" fontId="121" fillId="17" borderId="139" xfId="38" applyFont="1" applyFill="1" applyBorder="1" applyAlignment="1">
      <alignment horizontal="left" vertical="center"/>
    </xf>
    <xf numFmtId="0" fontId="128" fillId="22" borderId="0" xfId="50" applyFill="1" applyAlignment="1">
      <alignment horizontal="left" vertical="center"/>
    </xf>
    <xf numFmtId="0" fontId="105" fillId="0" borderId="135" xfId="3" applyFont="1" applyBorder="1"/>
    <xf numFmtId="2" fontId="271" fillId="18" borderId="218" xfId="133" applyNumberFormat="1" applyFont="1" applyFill="1" applyBorder="1" applyAlignment="1">
      <alignment horizontal="right"/>
    </xf>
    <xf numFmtId="0" fontId="105" fillId="0" borderId="220" xfId="3" applyFont="1" applyBorder="1" applyAlignment="1">
      <alignment horizontal="left" vertical="center"/>
    </xf>
    <xf numFmtId="0" fontId="105" fillId="0" borderId="219" xfId="3" applyFont="1" applyBorder="1" applyAlignment="1">
      <alignment horizontal="left" vertical="center"/>
    </xf>
    <xf numFmtId="0" fontId="105" fillId="23" borderId="61" xfId="38" applyFill="1" applyBorder="1" applyAlignment="1">
      <alignment vertical="center" wrapText="1"/>
    </xf>
    <xf numFmtId="0" fontId="105" fillId="22" borderId="80" xfId="3" applyFont="1" applyFill="1" applyBorder="1" applyAlignment="1">
      <alignment vertical="center" wrapText="1"/>
    </xf>
    <xf numFmtId="0" fontId="105" fillId="23" borderId="65" xfId="38" applyFill="1" applyBorder="1" applyAlignment="1">
      <alignment horizontal="left" vertical="center"/>
    </xf>
    <xf numFmtId="0" fontId="105" fillId="23" borderId="43" xfId="38" applyFill="1" applyBorder="1" applyAlignment="1">
      <alignment horizontal="left" vertical="center"/>
    </xf>
    <xf numFmtId="0" fontId="105" fillId="23" borderId="50" xfId="38" applyFill="1" applyBorder="1" applyAlignment="1">
      <alignment horizontal="left" vertical="center"/>
    </xf>
    <xf numFmtId="0" fontId="121" fillId="23" borderId="84" xfId="38" applyFont="1" applyFill="1" applyBorder="1" applyAlignment="1">
      <alignment horizontal="center" vertical="center" wrapText="1"/>
    </xf>
    <xf numFmtId="0" fontId="121" fillId="23" borderId="82" xfId="38" applyFont="1" applyFill="1" applyBorder="1" applyAlignment="1">
      <alignment horizontal="center" vertical="center" wrapText="1"/>
    </xf>
    <xf numFmtId="0" fontId="128" fillId="2" borderId="0" xfId="50" applyFill="1" applyAlignment="1">
      <alignment horizontal="left" vertical="center"/>
    </xf>
    <xf numFmtId="0" fontId="121" fillId="23" borderId="224" xfId="38" applyFont="1" applyFill="1" applyBorder="1" applyAlignment="1">
      <alignment horizontal="left" vertical="center" wrapText="1"/>
    </xf>
    <xf numFmtId="0" fontId="121" fillId="23" borderId="85" xfId="38" applyFont="1" applyFill="1" applyBorder="1" applyAlignment="1">
      <alignment horizontal="left" vertical="center" wrapText="1"/>
    </xf>
    <xf numFmtId="0" fontId="105" fillId="22" borderId="83" xfId="3" applyFont="1" applyFill="1" applyBorder="1" applyAlignment="1">
      <alignment horizontal="center" vertical="center" wrapText="1"/>
    </xf>
    <xf numFmtId="0" fontId="105" fillId="22" borderId="82" xfId="3" applyFont="1" applyFill="1" applyBorder="1" applyAlignment="1">
      <alignment horizontal="center" vertical="center" wrapText="1"/>
    </xf>
    <xf numFmtId="0" fontId="105" fillId="0" borderId="218" xfId="3" applyFont="1" applyBorder="1" applyAlignment="1">
      <alignment horizontal="left" vertical="center"/>
    </xf>
    <xf numFmtId="0" fontId="122" fillId="22" borderId="0" xfId="38" applyFont="1" applyFill="1" applyAlignment="1">
      <alignment horizontal="left" vertical="top"/>
    </xf>
    <xf numFmtId="0" fontId="121" fillId="22" borderId="0" xfId="38" applyFont="1" applyFill="1" applyAlignment="1">
      <alignment horizontal="left" vertical="top" wrapText="1"/>
    </xf>
    <xf numFmtId="0" fontId="121" fillId="23" borderId="223" xfId="38" applyFont="1" applyFill="1" applyBorder="1" applyAlignment="1">
      <alignment horizontal="left" vertical="center"/>
    </xf>
    <xf numFmtId="0" fontId="121" fillId="23" borderId="222" xfId="38" applyFont="1" applyFill="1" applyBorder="1" applyAlignment="1">
      <alignment horizontal="left" vertical="center"/>
    </xf>
    <xf numFmtId="0" fontId="121" fillId="23" borderId="221" xfId="38" applyFont="1" applyFill="1" applyBorder="1" applyAlignment="1">
      <alignment horizontal="left" vertical="center"/>
    </xf>
    <xf numFmtId="0" fontId="12" fillId="0" borderId="217" xfId="133" applyBorder="1"/>
    <xf numFmtId="0" fontId="12" fillId="0" borderId="216" xfId="133" applyBorder="1"/>
    <xf numFmtId="0" fontId="121" fillId="17" borderId="225" xfId="38" applyFont="1" applyFill="1" applyBorder="1" applyAlignment="1">
      <alignment horizontal="center" vertical="center" wrapText="1"/>
    </xf>
    <xf numFmtId="0" fontId="121" fillId="17" borderId="220" xfId="38" applyFont="1" applyFill="1" applyBorder="1" applyAlignment="1">
      <alignment horizontal="center" vertical="center" wrapText="1"/>
    </xf>
    <xf numFmtId="0" fontId="121" fillId="17" borderId="219" xfId="38" applyFont="1" applyFill="1" applyBorder="1" applyAlignment="1">
      <alignment horizontal="center" vertical="center" wrapText="1"/>
    </xf>
    <xf numFmtId="0" fontId="105" fillId="22" borderId="218" xfId="134" applyFill="1" applyAlignment="1">
      <alignment horizontal="left" vertical="center"/>
    </xf>
    <xf numFmtId="0" fontId="105" fillId="17" borderId="61" xfId="3" applyFont="1" applyFill="1" applyBorder="1" applyAlignment="1">
      <alignment vertical="center" wrapText="1"/>
    </xf>
    <xf numFmtId="0" fontId="105" fillId="17" borderId="61" xfId="46" applyFont="1" applyFill="1" applyBorder="1" applyAlignment="1">
      <alignment horizontal="left" vertical="center" wrapText="1" indent="2"/>
    </xf>
    <xf numFmtId="0" fontId="105" fillId="17" borderId="0" xfId="46" applyFont="1" applyFill="1" applyBorder="1" applyAlignment="1">
      <alignment horizontal="left" vertical="center" wrapText="1" indent="2"/>
    </xf>
    <xf numFmtId="0" fontId="105" fillId="17" borderId="80" xfId="46" applyFont="1" applyFill="1" applyBorder="1" applyAlignment="1">
      <alignment horizontal="left" vertical="center" wrapText="1" indent="2"/>
    </xf>
    <xf numFmtId="0" fontId="122" fillId="22" borderId="0" xfId="3" applyFont="1" applyFill="1" applyAlignment="1">
      <alignment horizontal="left" vertical="top" wrapText="1"/>
    </xf>
    <xf numFmtId="0" fontId="122" fillId="22" borderId="0" xfId="3" applyFont="1" applyFill="1" applyAlignment="1">
      <alignment vertical="top" wrapText="1"/>
    </xf>
    <xf numFmtId="0" fontId="105" fillId="22" borderId="0" xfId="3" applyFont="1" applyFill="1" applyAlignment="1">
      <alignment vertical="top" wrapText="1"/>
    </xf>
    <xf numFmtId="0" fontId="122" fillId="22" borderId="0" xfId="3" applyFont="1" applyFill="1" applyAlignment="1">
      <alignment horizontal="left" wrapText="1"/>
    </xf>
    <xf numFmtId="0" fontId="105" fillId="22" borderId="218" xfId="3" applyFont="1" applyFill="1" applyBorder="1" applyAlignment="1">
      <alignment horizontal="left" vertical="center"/>
    </xf>
    <xf numFmtId="0" fontId="121" fillId="17" borderId="223" xfId="3" applyFont="1" applyFill="1" applyBorder="1"/>
    <xf numFmtId="0" fontId="105" fillId="22" borderId="222" xfId="3" applyFont="1" applyFill="1" applyBorder="1"/>
    <xf numFmtId="0" fontId="105" fillId="22" borderId="221" xfId="3" applyFont="1" applyFill="1" applyBorder="1"/>
    <xf numFmtId="0" fontId="105" fillId="17" borderId="61" xfId="3" applyFont="1" applyFill="1" applyBorder="1" applyAlignment="1">
      <alignment horizontal="left" wrapText="1"/>
    </xf>
    <xf numFmtId="0" fontId="105" fillId="22" borderId="0" xfId="3" applyFont="1" applyFill="1" applyAlignment="1">
      <alignment horizontal="left" wrapText="1"/>
    </xf>
    <xf numFmtId="0" fontId="105" fillId="22" borderId="80" xfId="3" applyFont="1" applyFill="1" applyBorder="1" applyAlignment="1">
      <alignment horizontal="left" wrapText="1"/>
    </xf>
    <xf numFmtId="0" fontId="105" fillId="17" borderId="61" xfId="3" applyFont="1" applyFill="1" applyBorder="1" applyAlignment="1">
      <alignment horizontal="left"/>
    </xf>
    <xf numFmtId="0" fontId="105" fillId="22" borderId="0" xfId="3" applyFont="1" applyFill="1" applyAlignment="1">
      <alignment horizontal="left"/>
    </xf>
    <xf numFmtId="0" fontId="105" fillId="22" borderId="80" xfId="3" applyFont="1" applyFill="1" applyBorder="1" applyAlignment="1">
      <alignment horizontal="left"/>
    </xf>
    <xf numFmtId="0" fontId="105" fillId="22" borderId="218" xfId="135" applyFont="1" applyFill="1" applyBorder="1">
      <alignment horizontal="left" vertical="center"/>
    </xf>
    <xf numFmtId="0" fontId="121" fillId="17" borderId="224" xfId="40" applyFont="1" applyFill="1" applyBorder="1" applyAlignment="1">
      <alignment horizontal="left" vertical="center" wrapText="1"/>
    </xf>
    <xf numFmtId="0" fontId="121" fillId="17" borderId="54" xfId="40" applyFont="1" applyFill="1" applyBorder="1" applyAlignment="1">
      <alignment horizontal="left" vertical="center" wrapText="1"/>
    </xf>
    <xf numFmtId="0" fontId="121" fillId="17" borderId="225" xfId="38" applyFont="1" applyFill="1" applyBorder="1" applyAlignment="1">
      <alignment horizontal="left" vertical="center"/>
    </xf>
    <xf numFmtId="0" fontId="121" fillId="17" borderId="220" xfId="38" applyFont="1" applyFill="1" applyBorder="1" applyAlignment="1">
      <alignment horizontal="left" vertical="center"/>
    </xf>
    <xf numFmtId="0" fontId="121" fillId="17" borderId="219" xfId="38" applyFont="1" applyFill="1" applyBorder="1" applyAlignment="1">
      <alignment horizontal="left" vertical="center"/>
    </xf>
    <xf numFmtId="0" fontId="105" fillId="17" borderId="225" xfId="38" applyFill="1" applyBorder="1" applyAlignment="1">
      <alignment horizontal="left" vertical="center" wrapText="1"/>
    </xf>
    <xf numFmtId="0" fontId="105" fillId="17" borderId="220" xfId="38" applyFill="1" applyBorder="1" applyAlignment="1">
      <alignment horizontal="left" vertical="center" wrapText="1"/>
    </xf>
    <xf numFmtId="0" fontId="105" fillId="17" borderId="219" xfId="38" applyFill="1" applyBorder="1" applyAlignment="1">
      <alignment horizontal="left" vertical="center" wrapText="1"/>
    </xf>
    <xf numFmtId="0" fontId="105" fillId="22" borderId="218" xfId="40" applyFont="1" applyFill="1" applyBorder="1" applyAlignment="1">
      <alignment horizontal="left" vertical="center" wrapText="1"/>
    </xf>
    <xf numFmtId="0" fontId="121" fillId="17" borderId="225" xfId="40" applyFont="1" applyFill="1" applyBorder="1" applyAlignment="1">
      <alignment horizontal="center" vertical="center" wrapText="1"/>
    </xf>
    <xf numFmtId="0" fontId="121" fillId="17" borderId="220" xfId="40" applyFont="1" applyFill="1" applyBorder="1" applyAlignment="1">
      <alignment horizontal="center" vertical="center" wrapText="1"/>
    </xf>
    <xf numFmtId="0" fontId="121" fillId="17" borderId="219" xfId="40" applyFont="1" applyFill="1" applyBorder="1" applyAlignment="1">
      <alignment horizontal="center" vertical="center" wrapText="1"/>
    </xf>
    <xf numFmtId="0" fontId="121" fillId="17" borderId="224" xfId="40" applyFont="1" applyFill="1" applyBorder="1" applyAlignment="1">
      <alignment horizontal="center" vertical="center" wrapText="1"/>
    </xf>
    <xf numFmtId="0" fontId="121" fillId="17" borderId="54" xfId="40" applyFont="1" applyFill="1" applyBorder="1" applyAlignment="1">
      <alignment horizontal="center" vertical="center" wrapText="1"/>
    </xf>
    <xf numFmtId="0" fontId="121" fillId="17" borderId="18" xfId="40" applyFont="1" applyFill="1" applyBorder="1" applyAlignment="1">
      <alignment horizontal="center" vertical="center" wrapText="1"/>
    </xf>
    <xf numFmtId="0" fontId="121" fillId="17" borderId="225" xfId="40" applyFont="1" applyFill="1" applyBorder="1" applyAlignment="1">
      <alignment horizontal="left" vertical="center" wrapText="1"/>
    </xf>
    <xf numFmtId="0" fontId="121" fillId="17" borderId="219" xfId="40" applyFont="1" applyFill="1" applyBorder="1" applyAlignment="1">
      <alignment horizontal="left" vertical="center" wrapText="1"/>
    </xf>
    <xf numFmtId="0" fontId="122" fillId="22" borderId="0" xfId="40" applyFont="1" applyFill="1" applyAlignment="1">
      <alignment horizontal="left" vertical="top"/>
    </xf>
    <xf numFmtId="0" fontId="121" fillId="17" borderId="223" xfId="40" applyFont="1" applyFill="1" applyBorder="1" applyAlignment="1">
      <alignment horizontal="center" vertical="center" wrapText="1"/>
    </xf>
    <xf numFmtId="0" fontId="121" fillId="17" borderId="221" xfId="40" applyFont="1" applyFill="1" applyBorder="1" applyAlignment="1">
      <alignment horizontal="center" vertical="center" wrapText="1"/>
    </xf>
    <xf numFmtId="0" fontId="121" fillId="17" borderId="65" xfId="40" applyFont="1" applyFill="1" applyBorder="1" applyAlignment="1">
      <alignment horizontal="center" vertical="center" wrapText="1"/>
    </xf>
    <xf numFmtId="0" fontId="121" fillId="17" borderId="50" xfId="40" applyFont="1" applyFill="1" applyBorder="1" applyAlignment="1">
      <alignment horizontal="center" vertical="center" wrapText="1"/>
    </xf>
    <xf numFmtId="0" fontId="121" fillId="17" borderId="85" xfId="40" applyFont="1" applyFill="1" applyBorder="1" applyAlignment="1">
      <alignment horizontal="center" vertical="center" wrapText="1"/>
    </xf>
    <xf numFmtId="0" fontId="121" fillId="17" borderId="80" xfId="40" applyFont="1" applyFill="1" applyBorder="1" applyAlignment="1">
      <alignment horizontal="center" vertical="center" wrapText="1"/>
    </xf>
    <xf numFmtId="0" fontId="121" fillId="17" borderId="96" xfId="40" applyFont="1" applyFill="1" applyBorder="1" applyAlignment="1">
      <alignment horizontal="center" vertical="center" wrapText="1"/>
    </xf>
    <xf numFmtId="0" fontId="121" fillId="17" borderId="222" xfId="40" applyFont="1" applyFill="1" applyBorder="1" applyAlignment="1">
      <alignment horizontal="center" vertical="center" wrapText="1"/>
    </xf>
    <xf numFmtId="0" fontId="121" fillId="17" borderId="43" xfId="40" applyFont="1" applyFill="1" applyBorder="1" applyAlignment="1">
      <alignment horizontal="center" vertical="center" wrapText="1"/>
    </xf>
    <xf numFmtId="0" fontId="121" fillId="17" borderId="84" xfId="40" applyFont="1" applyFill="1" applyBorder="1" applyAlignment="1">
      <alignment horizontal="center" vertical="center" wrapText="1"/>
    </xf>
    <xf numFmtId="0" fontId="121" fillId="17" borderId="83" xfId="40" applyFont="1" applyFill="1" applyBorder="1" applyAlignment="1">
      <alignment horizontal="center" vertical="center" wrapText="1"/>
    </xf>
    <xf numFmtId="0" fontId="121" fillId="17" borderId="82" xfId="40" applyFont="1" applyFill="1" applyBorder="1" applyAlignment="1">
      <alignment horizontal="center" vertical="center" wrapText="1"/>
    </xf>
    <xf numFmtId="0" fontId="105" fillId="17" borderId="65" xfId="40" applyFont="1" applyFill="1" applyBorder="1" applyAlignment="1">
      <alignment horizontal="left" vertical="center" wrapText="1"/>
    </xf>
    <xf numFmtId="0" fontId="105" fillId="17" borderId="43" xfId="40" applyFont="1" applyFill="1" applyBorder="1" applyAlignment="1">
      <alignment horizontal="left" vertical="center" wrapText="1"/>
    </xf>
    <xf numFmtId="0" fontId="105" fillId="22" borderId="43" xfId="3" applyFont="1" applyFill="1" applyBorder="1" applyAlignment="1">
      <alignment horizontal="left" vertical="center" wrapText="1"/>
    </xf>
    <xf numFmtId="0" fontId="105" fillId="22" borderId="50" xfId="3" applyFont="1" applyFill="1" applyBorder="1" applyAlignment="1">
      <alignment horizontal="left" vertical="center" wrapText="1"/>
    </xf>
    <xf numFmtId="0" fontId="122" fillId="22" borderId="0" xfId="3" applyFont="1" applyFill="1" applyAlignment="1">
      <alignment horizontal="left" vertical="top"/>
    </xf>
    <xf numFmtId="0" fontId="122" fillId="22" borderId="0" xfId="40" applyFont="1" applyFill="1" applyAlignment="1">
      <alignment horizontal="left" vertical="top" wrapText="1"/>
    </xf>
    <xf numFmtId="0" fontId="105" fillId="22" borderId="0" xfId="3" applyFont="1" applyFill="1" applyAlignment="1">
      <alignment horizontal="left" vertical="top" wrapText="1"/>
    </xf>
    <xf numFmtId="0" fontId="121" fillId="17" borderId="85" xfId="40" applyFont="1" applyFill="1" applyBorder="1" applyAlignment="1">
      <alignment horizontal="left" vertical="center" wrapText="1"/>
    </xf>
    <xf numFmtId="0" fontId="122" fillId="22" borderId="0" xfId="40" applyFont="1" applyFill="1" applyAlignment="1">
      <alignment horizontal="left" vertical="center"/>
    </xf>
    <xf numFmtId="0" fontId="122" fillId="22" borderId="0" xfId="40" applyFont="1" applyFill="1" applyAlignment="1">
      <alignment horizontal="left" wrapText="1"/>
    </xf>
    <xf numFmtId="49" fontId="122" fillId="22" borderId="0" xfId="40" applyNumberFormat="1" applyFont="1" applyFill="1" applyAlignment="1">
      <alignment horizontal="left"/>
    </xf>
    <xf numFmtId="0" fontId="122" fillId="22" borderId="0" xfId="40" applyFont="1" applyFill="1" applyAlignment="1">
      <alignment horizontal="left"/>
    </xf>
    <xf numFmtId="49" fontId="122" fillId="22" borderId="0" xfId="3" applyNumberFormat="1" applyFont="1" applyFill="1" applyAlignment="1">
      <alignment horizontal="left" vertical="top"/>
    </xf>
    <xf numFmtId="0" fontId="105" fillId="17" borderId="225" xfId="40" applyFont="1" applyFill="1" applyBorder="1" applyAlignment="1">
      <alignment horizontal="left" vertical="center" wrapText="1"/>
    </xf>
    <xf numFmtId="0" fontId="105" fillId="22" borderId="220" xfId="3" applyFont="1" applyFill="1" applyBorder="1" applyAlignment="1">
      <alignment horizontal="left" vertical="center" wrapText="1"/>
    </xf>
    <xf numFmtId="0" fontId="105" fillId="22" borderId="219" xfId="3" applyFont="1" applyFill="1" applyBorder="1" applyAlignment="1">
      <alignment horizontal="left" vertical="center" wrapText="1"/>
    </xf>
    <xf numFmtId="0" fontId="122" fillId="22" borderId="0" xfId="3" applyFont="1" applyFill="1" applyAlignment="1">
      <alignment horizontal="left" vertical="center"/>
    </xf>
    <xf numFmtId="0" fontId="121" fillId="17" borderId="224" xfId="58" applyFont="1" applyFill="1" applyBorder="1" applyAlignment="1">
      <alignment horizontal="center" vertical="center" wrapText="1"/>
    </xf>
    <xf numFmtId="0" fontId="121" fillId="17" borderId="54" xfId="58" applyFont="1" applyFill="1" applyBorder="1" applyAlignment="1">
      <alignment horizontal="center" vertical="center" wrapText="1"/>
    </xf>
    <xf numFmtId="0" fontId="121" fillId="17" borderId="18" xfId="58" applyFont="1" applyFill="1" applyBorder="1" applyAlignment="1">
      <alignment horizontal="center" vertical="center" wrapText="1"/>
    </xf>
    <xf numFmtId="0" fontId="105" fillId="17" borderId="225" xfId="40" applyFont="1" applyFill="1" applyBorder="1" applyAlignment="1">
      <alignment horizontal="left" vertical="top"/>
    </xf>
    <xf numFmtId="0" fontId="105" fillId="17" borderId="220" xfId="40" applyFont="1" applyFill="1" applyBorder="1" applyAlignment="1">
      <alignment horizontal="left" vertical="top"/>
    </xf>
    <xf numFmtId="0" fontId="105" fillId="17" borderId="219" xfId="40" applyFont="1" applyFill="1" applyBorder="1" applyAlignment="1">
      <alignment horizontal="left" vertical="top"/>
    </xf>
    <xf numFmtId="0" fontId="121" fillId="17" borderId="223" xfId="40" applyFont="1" applyFill="1" applyBorder="1" applyAlignment="1">
      <alignment horizontal="left" vertical="center" wrapText="1"/>
    </xf>
    <xf numFmtId="0" fontId="121" fillId="17" borderId="222" xfId="40" applyFont="1" applyFill="1" applyBorder="1" applyAlignment="1">
      <alignment horizontal="left" vertical="center" wrapText="1"/>
    </xf>
    <xf numFmtId="0" fontId="121" fillId="17" borderId="221" xfId="40" applyFont="1" applyFill="1" applyBorder="1" applyAlignment="1">
      <alignment horizontal="left" vertical="center" wrapText="1"/>
    </xf>
    <xf numFmtId="0" fontId="105" fillId="22" borderId="0" xfId="40" applyFont="1" applyFill="1" applyAlignment="1">
      <alignment horizontal="left" vertical="center" wrapText="1"/>
    </xf>
    <xf numFmtId="49" fontId="122" fillId="22" borderId="0" xfId="40" applyNumberFormat="1" applyFont="1" applyFill="1" applyAlignment="1">
      <alignment horizontal="left" wrapText="1"/>
    </xf>
    <xf numFmtId="0" fontId="122" fillId="22" borderId="0" xfId="40" applyFont="1" applyFill="1" applyAlignment="1">
      <alignment vertical="top" wrapText="1"/>
    </xf>
    <xf numFmtId="0" fontId="12" fillId="0" borderId="0" xfId="133" applyAlignment="1">
      <alignment vertical="top" wrapText="1"/>
    </xf>
    <xf numFmtId="0" fontId="12" fillId="0" borderId="0" xfId="133" applyAlignment="1">
      <alignment horizontal="left" wrapText="1"/>
    </xf>
    <xf numFmtId="0" fontId="105" fillId="17" borderId="225" xfId="136" applyFont="1" applyBorder="1" applyAlignment="1">
      <alignment horizontal="left" vertical="center" wrapText="1"/>
    </xf>
    <xf numFmtId="2" fontId="105" fillId="17" borderId="225" xfId="40" applyNumberFormat="1" applyFont="1" applyFill="1" applyBorder="1" applyAlignment="1">
      <alignment horizontal="left" vertical="center" wrapText="1"/>
    </xf>
    <xf numFmtId="49" fontId="122" fillId="22" borderId="0" xfId="40" applyNumberFormat="1" applyFont="1" applyFill="1" applyAlignment="1">
      <alignment horizontal="left" vertical="top" wrapText="1"/>
    </xf>
    <xf numFmtId="49" fontId="122" fillId="22" borderId="0" xfId="3" applyNumberFormat="1" applyFont="1" applyFill="1" applyAlignment="1">
      <alignment horizontal="left"/>
    </xf>
    <xf numFmtId="0" fontId="121" fillId="17" borderId="84" xfId="40" applyFont="1" applyFill="1" applyBorder="1" applyAlignment="1">
      <alignment horizontal="center" wrapText="1"/>
    </xf>
    <xf numFmtId="0" fontId="121" fillId="17" borderId="83" xfId="40" applyFont="1" applyFill="1" applyBorder="1" applyAlignment="1">
      <alignment horizontal="center" wrapText="1"/>
    </xf>
    <xf numFmtId="0" fontId="121" fillId="17" borderId="82" xfId="40" applyFont="1" applyFill="1" applyBorder="1" applyAlignment="1">
      <alignment horizontal="center" wrapText="1"/>
    </xf>
    <xf numFmtId="0" fontId="121" fillId="17" borderId="0" xfId="40" applyFont="1" applyFill="1" applyAlignment="1">
      <alignment horizontal="center" vertical="center" wrapText="1"/>
    </xf>
    <xf numFmtId="0" fontId="121" fillId="17" borderId="98" xfId="40" applyFont="1" applyFill="1" applyBorder="1" applyAlignment="1">
      <alignment horizontal="center" vertical="center" wrapText="1"/>
    </xf>
    <xf numFmtId="0" fontId="105" fillId="22" borderId="218" xfId="44" applyFont="1" applyFill="1" applyBorder="1" applyAlignment="1">
      <alignment horizontal="left" vertical="center"/>
    </xf>
    <xf numFmtId="0" fontId="121" fillId="17" borderId="220" xfId="40" applyFont="1" applyFill="1" applyBorder="1" applyAlignment="1">
      <alignment horizontal="left" vertical="center" wrapText="1"/>
    </xf>
    <xf numFmtId="0" fontId="105" fillId="17" borderId="225" xfId="135" applyFont="1" applyBorder="1" applyAlignment="1">
      <alignment horizontal="left" vertical="center" wrapText="1"/>
    </xf>
    <xf numFmtId="0" fontId="128" fillId="22" borderId="0" xfId="50" applyFill="1" applyAlignment="1">
      <alignment vertical="top" wrapText="1"/>
    </xf>
    <xf numFmtId="0" fontId="127" fillId="22" borderId="0" xfId="3" applyFont="1" applyFill="1" applyAlignment="1">
      <alignment vertical="top" wrapText="1"/>
    </xf>
    <xf numFmtId="0" fontId="121" fillId="17" borderId="86" xfId="40" applyFont="1" applyFill="1" applyBorder="1" applyAlignment="1">
      <alignment horizontal="left" vertical="center" wrapText="1"/>
    </xf>
    <xf numFmtId="0" fontId="12" fillId="0" borderId="218" xfId="133" applyBorder="1" applyAlignment="1">
      <alignment horizontal="left" vertical="center"/>
    </xf>
    <xf numFmtId="0" fontId="105" fillId="17" borderId="220" xfId="135" applyFont="1" applyBorder="1" applyAlignment="1">
      <alignment horizontal="left" vertical="center" wrapText="1"/>
    </xf>
    <xf numFmtId="0" fontId="105" fillId="17" borderId="219" xfId="135" applyFont="1" applyBorder="1" applyAlignment="1">
      <alignment horizontal="left" vertical="center" wrapText="1"/>
    </xf>
    <xf numFmtId="0" fontId="105" fillId="22" borderId="218" xfId="137" applyFont="1" applyFill="1" applyBorder="1" applyAlignment="1">
      <alignment horizontal="left" vertical="center"/>
    </xf>
    <xf numFmtId="0" fontId="121" fillId="17" borderId="218" xfId="58" applyFont="1" applyFill="1" applyBorder="1" applyAlignment="1">
      <alignment horizontal="center" vertical="center" wrapText="1"/>
    </xf>
    <xf numFmtId="0" fontId="105" fillId="17" borderId="65" xfId="58" applyFont="1" applyFill="1" applyBorder="1" applyAlignment="1">
      <alignment vertical="top" wrapText="1"/>
    </xf>
    <xf numFmtId="0" fontId="105" fillId="17" borderId="43" xfId="58" applyFont="1" applyFill="1" applyBorder="1" applyAlignment="1">
      <alignment vertical="top" wrapText="1"/>
    </xf>
    <xf numFmtId="0" fontId="105" fillId="22" borderId="43" xfId="3" applyFont="1" applyFill="1" applyBorder="1" applyAlignment="1">
      <alignment vertical="top" wrapText="1"/>
    </xf>
    <xf numFmtId="0" fontId="105" fillId="22" borderId="50" xfId="3" applyFont="1" applyFill="1" applyBorder="1" applyAlignment="1">
      <alignment vertical="top" wrapText="1"/>
    </xf>
    <xf numFmtId="0" fontId="121" fillId="17" borderId="218" xfId="58" applyFont="1" applyFill="1" applyBorder="1" applyAlignment="1">
      <alignment horizontal="left" vertical="center" wrapText="1"/>
    </xf>
    <xf numFmtId="0" fontId="121" fillId="17" borderId="92" xfId="57" applyFont="1" applyBorder="1" applyAlignment="1">
      <alignment horizontal="center" vertical="center"/>
    </xf>
    <xf numFmtId="0" fontId="122" fillId="22" borderId="0" xfId="58" applyFont="1" applyFill="1" applyAlignment="1">
      <alignment horizontal="left" wrapText="1"/>
    </xf>
    <xf numFmtId="0" fontId="122" fillId="22" borderId="0" xfId="58" applyFont="1" applyFill="1" applyAlignment="1">
      <alignment horizontal="left"/>
    </xf>
    <xf numFmtId="0" fontId="121" fillId="17" borderId="218" xfId="3" applyFont="1" applyFill="1" applyBorder="1" applyAlignment="1">
      <alignment horizontal="center"/>
    </xf>
    <xf numFmtId="0" fontId="121" fillId="17" borderId="92" xfId="3" applyFont="1" applyFill="1" applyBorder="1" applyAlignment="1">
      <alignment horizontal="center"/>
    </xf>
    <xf numFmtId="0" fontId="122" fillId="22" borderId="0" xfId="135" applyFont="1" applyFill="1" applyBorder="1" applyAlignment="1">
      <alignment horizontal="left" vertical="center" wrapText="1"/>
    </xf>
    <xf numFmtId="0" fontId="105" fillId="22" borderId="0" xfId="50" applyFont="1" applyFill="1" applyAlignment="1">
      <alignment horizontal="left" vertical="top" wrapText="1"/>
    </xf>
    <xf numFmtId="0" fontId="122" fillId="22" borderId="43" xfId="3" applyFont="1" applyFill="1" applyBorder="1" applyAlignment="1">
      <alignment horizontal="left" wrapText="1"/>
    </xf>
    <xf numFmtId="0" fontId="140" fillId="22" borderId="0" xfId="3" applyFont="1" applyFill="1" applyAlignment="1">
      <alignment horizontal="left" vertical="center"/>
    </xf>
    <xf numFmtId="0" fontId="108" fillId="17" borderId="61" xfId="38" applyFont="1" applyFill="1" applyBorder="1" applyAlignment="1">
      <alignment horizontal="left" vertical="center" wrapText="1"/>
    </xf>
    <xf numFmtId="0" fontId="108" fillId="17" borderId="0" xfId="38" applyFont="1" applyFill="1" applyAlignment="1">
      <alignment horizontal="left" vertical="center" wrapText="1"/>
    </xf>
    <xf numFmtId="0" fontId="108" fillId="17" borderId="80" xfId="38" applyFont="1" applyFill="1" applyBorder="1" applyAlignment="1">
      <alignment horizontal="left" vertical="center" wrapText="1"/>
    </xf>
    <xf numFmtId="0" fontId="108" fillId="17" borderId="65" xfId="38" applyFont="1" applyFill="1" applyBorder="1" applyAlignment="1">
      <alignment horizontal="left" vertical="center" wrapText="1"/>
    </xf>
    <xf numFmtId="0" fontId="108" fillId="17" borderId="43" xfId="38" applyFont="1" applyFill="1" applyBorder="1" applyAlignment="1">
      <alignment horizontal="left" vertical="center" wrapText="1"/>
    </xf>
    <xf numFmtId="0" fontId="108" fillId="17" borderId="50" xfId="38" applyFont="1" applyFill="1" applyBorder="1" applyAlignment="1">
      <alignment horizontal="left" vertical="center" wrapText="1"/>
    </xf>
    <xf numFmtId="0" fontId="140" fillId="22" borderId="0" xfId="62" applyFont="1" applyFill="1" applyAlignment="1">
      <alignment horizontal="left" vertical="center" wrapText="1"/>
    </xf>
    <xf numFmtId="0" fontId="108" fillId="22" borderId="0" xfId="3" applyFont="1" applyFill="1" applyAlignment="1">
      <alignment horizontal="left" vertical="center" wrapText="1"/>
    </xf>
    <xf numFmtId="0" fontId="108" fillId="22" borderId="218" xfId="44" applyFont="1" applyFill="1" applyBorder="1" applyAlignment="1">
      <alignment horizontal="left" vertical="center"/>
    </xf>
    <xf numFmtId="0" fontId="108" fillId="22" borderId="0" xfId="38" applyFont="1" applyFill="1" applyAlignment="1">
      <alignment horizontal="center" vertical="center"/>
    </xf>
    <xf numFmtId="0" fontId="113" fillId="17" borderId="224" xfId="38" applyFont="1" applyFill="1" applyBorder="1" applyAlignment="1">
      <alignment horizontal="center" vertical="center" wrapText="1"/>
    </xf>
    <xf numFmtId="0" fontId="113" fillId="17" borderId="54" xfId="38" applyFont="1" applyFill="1" applyBorder="1" applyAlignment="1">
      <alignment horizontal="center" vertical="center" wrapText="1"/>
    </xf>
    <xf numFmtId="0" fontId="113" fillId="17" borderId="85" xfId="38" applyFont="1" applyFill="1" applyBorder="1" applyAlignment="1">
      <alignment horizontal="center" vertical="center" wrapText="1"/>
    </xf>
    <xf numFmtId="0" fontId="113" fillId="17" borderId="225" xfId="38" applyFont="1" applyFill="1" applyBorder="1" applyAlignment="1">
      <alignment horizontal="center" vertical="center" wrapText="1"/>
    </xf>
    <xf numFmtId="0" fontId="113" fillId="17" borderId="220" xfId="38" applyFont="1" applyFill="1" applyBorder="1" applyAlignment="1">
      <alignment horizontal="center" vertical="center" wrapText="1"/>
    </xf>
    <xf numFmtId="0" fontId="113" fillId="17" borderId="219" xfId="38" applyFont="1" applyFill="1" applyBorder="1" applyAlignment="1">
      <alignment horizontal="center" vertical="center" wrapText="1"/>
    </xf>
    <xf numFmtId="0" fontId="113" fillId="17" borderId="84" xfId="38" applyFont="1" applyFill="1" applyBorder="1" applyAlignment="1">
      <alignment horizontal="center" vertical="center" wrapText="1"/>
    </xf>
    <xf numFmtId="0" fontId="113" fillId="17" borderId="82" xfId="38" applyFont="1" applyFill="1" applyBorder="1" applyAlignment="1">
      <alignment horizontal="center" vertical="center" wrapText="1"/>
    </xf>
    <xf numFmtId="0" fontId="140" fillId="22" borderId="0" xfId="3" applyFont="1" applyFill="1" applyAlignment="1">
      <alignment horizontal="left" vertical="center" wrapText="1"/>
    </xf>
    <xf numFmtId="0" fontId="113" fillId="22" borderId="0" xfId="3" applyFont="1" applyFill="1" applyAlignment="1">
      <alignment horizontal="left" vertical="center" wrapText="1"/>
    </xf>
    <xf numFmtId="0" fontId="121" fillId="22" borderId="0" xfId="3" applyFont="1" applyFill="1" applyAlignment="1">
      <alignment horizontal="left" vertical="center" wrapText="1"/>
    </xf>
    <xf numFmtId="0" fontId="140" fillId="22" borderId="0" xfId="3" applyFont="1" applyFill="1" applyAlignment="1">
      <alignment vertical="center" wrapText="1"/>
    </xf>
    <xf numFmtId="0" fontId="108" fillId="22" borderId="0" xfId="3" applyFont="1" applyFill="1" applyAlignment="1">
      <alignment vertical="center" wrapText="1"/>
    </xf>
    <xf numFmtId="0" fontId="113" fillId="17" borderId="223" xfId="38" applyFont="1" applyFill="1" applyBorder="1" applyAlignment="1">
      <alignment horizontal="left" vertical="center"/>
    </xf>
    <xf numFmtId="0" fontId="113" fillId="17" borderId="222" xfId="38" applyFont="1" applyFill="1" applyBorder="1" applyAlignment="1">
      <alignment horizontal="left" vertical="center"/>
    </xf>
    <xf numFmtId="0" fontId="113" fillId="17" borderId="221" xfId="38" applyFont="1" applyFill="1" applyBorder="1" applyAlignment="1">
      <alignment horizontal="left" vertical="center"/>
    </xf>
    <xf numFmtId="0" fontId="145" fillId="22" borderId="0" xfId="50" applyFont="1" applyFill="1" applyAlignment="1">
      <alignment horizontal="left" vertical="center"/>
    </xf>
    <xf numFmtId="0" fontId="113" fillId="17" borderId="223" xfId="38" applyFont="1" applyFill="1" applyBorder="1" applyAlignment="1">
      <alignment horizontal="center" vertical="center" wrapText="1"/>
    </xf>
    <xf numFmtId="0" fontId="113" fillId="17" borderId="222" xfId="38" applyFont="1" applyFill="1" applyBorder="1" applyAlignment="1">
      <alignment horizontal="center" vertical="center" wrapText="1"/>
    </xf>
    <xf numFmtId="0" fontId="113" fillId="17" borderId="221" xfId="38" applyFont="1" applyFill="1" applyBorder="1" applyAlignment="1">
      <alignment horizontal="center" vertical="center" wrapText="1"/>
    </xf>
    <xf numFmtId="0" fontId="113" fillId="17" borderId="83" xfId="38" applyFont="1" applyFill="1" applyBorder="1" applyAlignment="1">
      <alignment horizontal="center" vertical="center" wrapText="1"/>
    </xf>
    <xf numFmtId="0" fontId="122" fillId="22" borderId="0" xfId="62" applyFont="1" applyFill="1" applyAlignment="1">
      <alignment horizontal="left" vertical="center" wrapText="1"/>
    </xf>
    <xf numFmtId="4" fontId="121" fillId="17" borderId="225" xfId="38" applyNumberFormat="1" applyFont="1" applyFill="1" applyBorder="1" applyAlignment="1">
      <alignment horizontal="center" vertical="center" wrapText="1"/>
    </xf>
    <xf numFmtId="4" fontId="121" fillId="17" borderId="219" xfId="38" applyNumberFormat="1" applyFont="1" applyFill="1" applyBorder="1" applyAlignment="1">
      <alignment horizontal="center" vertical="center" wrapText="1"/>
    </xf>
    <xf numFmtId="4" fontId="121" fillId="17" borderId="220" xfId="38" applyNumberFormat="1" applyFont="1" applyFill="1" applyBorder="1" applyAlignment="1">
      <alignment horizontal="center" vertical="center" wrapText="1"/>
    </xf>
    <xf numFmtId="4" fontId="121" fillId="17" borderId="224" xfId="38" applyNumberFormat="1" applyFont="1" applyFill="1" applyBorder="1" applyAlignment="1">
      <alignment horizontal="center" vertical="center" wrapText="1"/>
    </xf>
    <xf numFmtId="4" fontId="121" fillId="17" borderId="18" xfId="38" applyNumberFormat="1" applyFont="1" applyFill="1" applyBorder="1" applyAlignment="1">
      <alignment horizontal="center" vertical="center" wrapText="1"/>
    </xf>
    <xf numFmtId="4" fontId="121" fillId="17" borderId="223" xfId="38" applyNumberFormat="1" applyFont="1" applyFill="1" applyBorder="1" applyAlignment="1">
      <alignment horizontal="left" vertical="center"/>
    </xf>
    <xf numFmtId="4" fontId="121" fillId="17" borderId="222" xfId="38" applyNumberFormat="1" applyFont="1" applyFill="1" applyBorder="1" applyAlignment="1">
      <alignment horizontal="left" vertical="center"/>
    </xf>
    <xf numFmtId="4" fontId="121" fillId="17" borderId="221" xfId="38" applyNumberFormat="1" applyFont="1" applyFill="1" applyBorder="1" applyAlignment="1">
      <alignment horizontal="left" vertical="center"/>
    </xf>
    <xf numFmtId="4" fontId="105" fillId="17" borderId="61" xfId="38" applyNumberFormat="1" applyFill="1" applyBorder="1" applyAlignment="1">
      <alignment horizontal="left" vertical="center" wrapText="1"/>
    </xf>
    <xf numFmtId="4" fontId="105" fillId="17" borderId="0" xfId="38" applyNumberFormat="1" applyFill="1" applyAlignment="1">
      <alignment horizontal="left" vertical="center" wrapText="1"/>
    </xf>
    <xf numFmtId="4" fontId="105" fillId="17" borderId="80" xfId="38" applyNumberFormat="1" applyFill="1" applyBorder="1" applyAlignment="1">
      <alignment horizontal="left" vertical="center" wrapText="1"/>
    </xf>
    <xf numFmtId="4" fontId="105" fillId="17" borderId="65" xfId="38" applyNumberFormat="1" applyFill="1" applyBorder="1" applyAlignment="1">
      <alignment horizontal="left" vertical="center" wrapText="1"/>
    </xf>
    <xf numFmtId="4" fontId="105" fillId="17" borderId="43" xfId="38" applyNumberFormat="1" applyFill="1" applyBorder="1" applyAlignment="1">
      <alignment horizontal="left" vertical="center" wrapText="1"/>
    </xf>
    <xf numFmtId="4" fontId="105" fillId="17" borderId="50" xfId="38" applyNumberFormat="1" applyFill="1" applyBorder="1" applyAlignment="1">
      <alignment horizontal="left" vertical="center" wrapText="1"/>
    </xf>
    <xf numFmtId="4" fontId="121" fillId="17" borderId="84" xfId="38" applyNumberFormat="1" applyFont="1" applyFill="1" applyBorder="1" applyAlignment="1">
      <alignment horizontal="center" vertical="center" wrapText="1"/>
    </xf>
    <xf numFmtId="4" fontId="121" fillId="17" borderId="82" xfId="38" applyNumberFormat="1" applyFont="1" applyFill="1" applyBorder="1" applyAlignment="1">
      <alignment horizontal="center" vertical="center" wrapText="1"/>
    </xf>
    <xf numFmtId="0" fontId="122" fillId="22" borderId="0" xfId="3" applyFont="1" applyFill="1" applyAlignment="1">
      <alignment horizontal="left" vertical="center" wrapText="1"/>
    </xf>
    <xf numFmtId="0" fontId="128" fillId="2" borderId="0" xfId="50" applyFill="1" applyBorder="1" applyAlignment="1">
      <alignment horizontal="left" vertical="center"/>
    </xf>
    <xf numFmtId="0" fontId="128" fillId="2" borderId="0" xfId="50" applyFill="1" applyBorder="1" applyAlignment="1">
      <alignment horizontal="left" vertical="center" wrapText="1"/>
    </xf>
    <xf numFmtId="4" fontId="121" fillId="17" borderId="223" xfId="38" applyNumberFormat="1" applyFont="1" applyFill="1" applyBorder="1" applyAlignment="1">
      <alignment horizontal="center" vertical="center" wrapText="1"/>
    </xf>
    <xf numFmtId="4" fontId="121" fillId="17" borderId="222" xfId="38" applyNumberFormat="1" applyFont="1" applyFill="1" applyBorder="1" applyAlignment="1">
      <alignment horizontal="center" vertical="center" wrapText="1"/>
    </xf>
    <xf numFmtId="4" fontId="121" fillId="17" borderId="221" xfId="38" applyNumberFormat="1" applyFont="1" applyFill="1" applyBorder="1" applyAlignment="1">
      <alignment horizontal="center" vertical="center" wrapText="1"/>
    </xf>
    <xf numFmtId="0" fontId="105" fillId="22" borderId="222" xfId="3" applyFont="1" applyFill="1" applyBorder="1" applyAlignment="1">
      <alignment horizontal="center" vertical="center" wrapText="1"/>
    </xf>
    <xf numFmtId="0" fontId="105" fillId="22" borderId="221" xfId="3" applyFont="1" applyFill="1" applyBorder="1" applyAlignment="1">
      <alignment horizontal="center" vertical="center" wrapText="1"/>
    </xf>
    <xf numFmtId="4" fontId="121" fillId="17" borderId="54" xfId="38" applyNumberFormat="1" applyFont="1" applyFill="1" applyBorder="1" applyAlignment="1">
      <alignment horizontal="center" vertical="center" wrapText="1"/>
    </xf>
    <xf numFmtId="4" fontId="121" fillId="17" borderId="83" xfId="38" applyNumberFormat="1" applyFont="1" applyFill="1" applyBorder="1" applyAlignment="1">
      <alignment horizontal="center" vertical="center" wrapText="1"/>
    </xf>
    <xf numFmtId="0" fontId="121" fillId="22" borderId="0" xfId="3" applyFont="1" applyFill="1" applyAlignment="1">
      <alignment horizontal="left" vertical="top" wrapText="1"/>
    </xf>
    <xf numFmtId="0" fontId="121" fillId="17" borderId="224" xfId="38" applyFont="1" applyFill="1" applyBorder="1" applyAlignment="1">
      <alignment horizontal="left" vertical="top" wrapText="1"/>
    </xf>
    <xf numFmtId="0" fontId="121" fillId="17" borderId="54" xfId="38" applyFont="1" applyFill="1" applyBorder="1" applyAlignment="1">
      <alignment horizontal="left" vertical="top" wrapText="1"/>
    </xf>
    <xf numFmtId="0" fontId="121" fillId="17" borderId="85" xfId="38" applyFont="1" applyFill="1" applyBorder="1" applyAlignment="1">
      <alignment horizontal="left" vertical="top" wrapText="1"/>
    </xf>
    <xf numFmtId="0" fontId="105" fillId="22" borderId="219" xfId="3" applyFont="1" applyFill="1" applyBorder="1" applyAlignment="1">
      <alignment horizontal="center" vertical="center" wrapText="1"/>
    </xf>
    <xf numFmtId="0" fontId="121" fillId="17" borderId="224" xfId="38" applyFont="1" applyFill="1" applyBorder="1" applyAlignment="1">
      <alignment horizontal="center" vertical="center" wrapText="1"/>
    </xf>
    <xf numFmtId="0" fontId="121" fillId="17" borderId="54" xfId="38" applyFont="1" applyFill="1" applyBorder="1" applyAlignment="1">
      <alignment horizontal="center" vertical="center" wrapText="1"/>
    </xf>
    <xf numFmtId="0" fontId="121" fillId="17" borderId="18" xfId="38" applyFont="1" applyFill="1" applyBorder="1" applyAlignment="1">
      <alignment horizontal="center" vertical="center" wrapText="1"/>
    </xf>
    <xf numFmtId="0" fontId="121" fillId="17" borderId="225" xfId="38" applyFont="1" applyFill="1" applyBorder="1" applyAlignment="1">
      <alignment horizontal="center" vertical="center"/>
    </xf>
    <xf numFmtId="0" fontId="121" fillId="17" borderId="220" xfId="38" applyFont="1" applyFill="1" applyBorder="1" applyAlignment="1">
      <alignment horizontal="center" vertical="center"/>
    </xf>
    <xf numFmtId="0" fontId="121" fillId="17" borderId="219" xfId="38" applyFont="1" applyFill="1" applyBorder="1" applyAlignment="1">
      <alignment horizontal="center" vertical="center"/>
    </xf>
    <xf numFmtId="0" fontId="121" fillId="17" borderId="224" xfId="38" applyFont="1" applyFill="1" applyBorder="1" applyAlignment="1">
      <alignment horizontal="center" vertical="center"/>
    </xf>
    <xf numFmtId="0" fontId="121" fillId="17" borderId="54" xfId="38" applyFont="1" applyFill="1" applyBorder="1" applyAlignment="1">
      <alignment horizontal="center" vertical="center"/>
    </xf>
    <xf numFmtId="0" fontId="121" fillId="17" borderId="18" xfId="38" applyFont="1" applyFill="1" applyBorder="1" applyAlignment="1">
      <alignment horizontal="center" vertical="center"/>
    </xf>
    <xf numFmtId="4" fontId="122" fillId="22" borderId="0" xfId="38" applyNumberFormat="1" applyFont="1" applyFill="1" applyAlignment="1">
      <alignment horizontal="left" vertical="center"/>
    </xf>
    <xf numFmtId="4" fontId="105" fillId="22" borderId="0" xfId="38" applyNumberFormat="1" applyFill="1" applyAlignment="1">
      <alignment horizontal="left" vertical="center"/>
    </xf>
    <xf numFmtId="0" fontId="105" fillId="22" borderId="218" xfId="38" applyFill="1" applyBorder="1" applyAlignment="1">
      <alignment horizontal="left" vertical="center" wrapText="1"/>
    </xf>
    <xf numFmtId="0" fontId="105" fillId="17" borderId="61" xfId="46" applyFont="1" applyFill="1" applyBorder="1" applyAlignment="1" applyProtection="1">
      <alignment horizontal="left" vertical="center" wrapText="1"/>
      <protection locked="0"/>
    </xf>
    <xf numFmtId="0" fontId="105" fillId="22" borderId="80" xfId="3" applyFont="1" applyFill="1" applyBorder="1" applyAlignment="1">
      <alignment horizontal="left" vertical="center" wrapText="1"/>
    </xf>
    <xf numFmtId="0" fontId="105" fillId="17" borderId="65" xfId="46" applyFont="1" applyFill="1" applyBorder="1" applyAlignment="1" applyProtection="1">
      <alignment horizontal="left" vertical="center" wrapText="1"/>
      <protection locked="0"/>
    </xf>
    <xf numFmtId="49" fontId="122" fillId="22" borderId="0" xfId="140" applyNumberFormat="1" applyFont="1" applyFill="1" applyBorder="1" applyAlignment="1">
      <alignment horizontal="left" vertical="center" wrapText="1"/>
    </xf>
    <xf numFmtId="0" fontId="121" fillId="17" borderId="223" xfId="38" applyFont="1" applyFill="1" applyBorder="1" applyAlignment="1">
      <alignment horizontal="left" vertical="center"/>
    </xf>
    <xf numFmtId="0" fontId="105" fillId="22" borderId="222" xfId="3" applyFont="1" applyFill="1" applyBorder="1" applyAlignment="1">
      <alignment horizontal="left" vertical="center"/>
    </xf>
    <xf numFmtId="0" fontId="105" fillId="22" borderId="221" xfId="3" applyFont="1" applyFill="1" applyBorder="1" applyAlignment="1">
      <alignment horizontal="left" vertical="center"/>
    </xf>
    <xf numFmtId="2" fontId="271" fillId="18" borderId="226" xfId="133" applyNumberFormat="1" applyFont="1" applyFill="1" applyBorder="1" applyAlignment="1">
      <alignment horizontal="right"/>
    </xf>
    <xf numFmtId="0" fontId="105" fillId="22" borderId="226" xfId="44" applyFont="1" applyFill="1" applyBorder="1" applyAlignment="1">
      <alignment horizontal="left" vertical="center"/>
    </xf>
    <xf numFmtId="0" fontId="121" fillId="23" borderId="229" xfId="38" applyFont="1" applyFill="1" applyBorder="1" applyAlignment="1">
      <alignment horizontal="left" vertical="center"/>
    </xf>
    <xf numFmtId="0" fontId="121" fillId="23" borderId="228" xfId="38" applyFont="1" applyFill="1" applyBorder="1" applyAlignment="1">
      <alignment horizontal="left" vertical="center"/>
    </xf>
    <xf numFmtId="0" fontId="121" fillId="23" borderId="227" xfId="38" applyFont="1" applyFill="1" applyBorder="1" applyAlignment="1">
      <alignment horizontal="left" vertical="center"/>
    </xf>
    <xf numFmtId="0" fontId="121" fillId="17" borderId="231" xfId="38" quotePrefix="1" applyFont="1" applyFill="1" applyBorder="1" applyAlignment="1">
      <alignment horizontal="center" vertical="center"/>
    </xf>
    <xf numFmtId="0" fontId="121" fillId="17" borderId="232" xfId="38" quotePrefix="1" applyFont="1" applyFill="1" applyBorder="1" applyAlignment="1">
      <alignment horizontal="center" vertical="center"/>
    </xf>
    <xf numFmtId="0" fontId="121" fillId="17" borderId="231" xfId="38" applyFont="1" applyFill="1" applyBorder="1" applyAlignment="1">
      <alignment horizontal="center" vertical="center"/>
    </xf>
    <xf numFmtId="0" fontId="121" fillId="17" borderId="232" xfId="38" applyFont="1" applyFill="1" applyBorder="1" applyAlignment="1">
      <alignment horizontal="center" vertical="center"/>
    </xf>
    <xf numFmtId="0" fontId="121" fillId="17" borderId="233" xfId="38" applyFont="1" applyFill="1" applyBorder="1" applyAlignment="1">
      <alignment horizontal="center" vertical="center"/>
    </xf>
    <xf numFmtId="0" fontId="121" fillId="17" borderId="229" xfId="38" applyFont="1" applyFill="1" applyBorder="1" applyAlignment="1">
      <alignment horizontal="center" vertical="center"/>
    </xf>
    <xf numFmtId="0" fontId="121" fillId="17" borderId="227" xfId="38" applyFont="1" applyFill="1" applyBorder="1" applyAlignment="1">
      <alignment horizontal="center" vertical="center"/>
    </xf>
    <xf numFmtId="0" fontId="121" fillId="17" borderId="230" xfId="38" quotePrefix="1" applyFont="1" applyFill="1" applyBorder="1" applyAlignment="1">
      <alignment horizontal="center" vertical="center"/>
    </xf>
    <xf numFmtId="0" fontId="105" fillId="0" borderId="226" xfId="3" applyFont="1" applyBorder="1" applyAlignment="1">
      <alignment horizontal="left" vertical="center"/>
    </xf>
    <xf numFmtId="0" fontId="121" fillId="17" borderId="229" xfId="38" applyFont="1" applyFill="1" applyBorder="1" applyAlignment="1">
      <alignment horizontal="left" vertical="center"/>
    </xf>
    <xf numFmtId="0" fontId="121" fillId="17" borderId="228" xfId="38" applyFont="1" applyFill="1" applyBorder="1" applyAlignment="1">
      <alignment horizontal="left" vertical="center"/>
    </xf>
    <xf numFmtId="0" fontId="121" fillId="17" borderId="227" xfId="38" applyFont="1" applyFill="1" applyBorder="1" applyAlignment="1">
      <alignment horizontal="left" vertical="center"/>
    </xf>
    <xf numFmtId="0" fontId="105" fillId="0" borderId="226" xfId="3" applyFont="1" applyBorder="1"/>
    <xf numFmtId="0" fontId="105" fillId="0" borderId="233" xfId="3" applyFont="1" applyBorder="1" applyAlignment="1">
      <alignment horizontal="left" vertical="center"/>
    </xf>
    <xf numFmtId="0" fontId="105" fillId="0" borderId="232" xfId="3" applyFont="1" applyBorder="1" applyAlignment="1">
      <alignment horizontal="left" vertical="center"/>
    </xf>
    <xf numFmtId="0" fontId="121" fillId="23" borderId="230" xfId="38" applyFont="1" applyFill="1" applyBorder="1" applyAlignment="1">
      <alignment horizontal="left" vertical="center" wrapText="1"/>
    </xf>
    <xf numFmtId="0" fontId="12" fillId="0" borderId="235" xfId="133" applyBorder="1"/>
    <xf numFmtId="0" fontId="12" fillId="0" borderId="234" xfId="133" applyBorder="1"/>
    <xf numFmtId="0" fontId="121" fillId="17" borderId="231" xfId="38" applyFont="1" applyFill="1" applyBorder="1" applyAlignment="1">
      <alignment horizontal="center" vertical="center" wrapText="1"/>
    </xf>
    <xf numFmtId="0" fontId="121" fillId="17" borderId="233" xfId="38" applyFont="1" applyFill="1" applyBorder="1" applyAlignment="1">
      <alignment horizontal="center" vertical="center" wrapText="1"/>
    </xf>
    <xf numFmtId="0" fontId="121" fillId="17" borderId="232" xfId="38" applyFont="1" applyFill="1" applyBorder="1" applyAlignment="1">
      <alignment horizontal="center" vertical="center" wrapText="1"/>
    </xf>
    <xf numFmtId="0" fontId="105" fillId="22" borderId="226" xfId="142" applyFill="1" applyAlignment="1">
      <alignment horizontal="left" vertical="center"/>
    </xf>
    <xf numFmtId="0" fontId="105" fillId="22" borderId="226" xfId="3" applyFont="1" applyFill="1" applyBorder="1" applyAlignment="1">
      <alignment horizontal="left" vertical="center"/>
    </xf>
    <xf numFmtId="0" fontId="121" fillId="17" borderId="229" xfId="3" applyFont="1" applyFill="1" applyBorder="1"/>
    <xf numFmtId="0" fontId="105" fillId="22" borderId="228" xfId="3" applyFont="1" applyFill="1" applyBorder="1"/>
    <xf numFmtId="0" fontId="105" fillId="22" borderId="227" xfId="3" applyFont="1" applyFill="1" applyBorder="1"/>
    <xf numFmtId="0" fontId="105" fillId="22" borderId="226" xfId="135" applyFont="1" applyFill="1" applyBorder="1">
      <alignment horizontal="left" vertical="center"/>
    </xf>
    <xf numFmtId="0" fontId="121" fillId="17" borderId="230" xfId="40" applyFont="1" applyFill="1" applyBorder="1" applyAlignment="1">
      <alignment horizontal="left" vertical="center" wrapText="1"/>
    </xf>
    <xf numFmtId="0" fontId="121" fillId="17" borderId="231" xfId="38" applyFont="1" applyFill="1" applyBorder="1" applyAlignment="1">
      <alignment horizontal="left" vertical="center"/>
    </xf>
    <xf numFmtId="0" fontId="121" fillId="17" borderId="233" xfId="38" applyFont="1" applyFill="1" applyBorder="1" applyAlignment="1">
      <alignment horizontal="left" vertical="center"/>
    </xf>
    <xf numFmtId="0" fontId="121" fillId="17" borderId="232" xfId="38" applyFont="1" applyFill="1" applyBorder="1" applyAlignment="1">
      <alignment horizontal="left" vertical="center"/>
    </xf>
    <xf numFmtId="0" fontId="105" fillId="17" borderId="231" xfId="38" applyFill="1" applyBorder="1" applyAlignment="1">
      <alignment horizontal="left" vertical="center" wrapText="1"/>
    </xf>
    <xf numFmtId="0" fontId="105" fillId="17" borderId="233" xfId="38" applyFill="1" applyBorder="1" applyAlignment="1">
      <alignment horizontal="left" vertical="center" wrapText="1"/>
    </xf>
    <xf numFmtId="0" fontId="105" fillId="17" borderId="232" xfId="38" applyFill="1" applyBorder="1" applyAlignment="1">
      <alignment horizontal="left" vertical="center" wrapText="1"/>
    </xf>
    <xf numFmtId="0" fontId="105" fillId="22" borderId="226" xfId="40" applyFont="1" applyFill="1" applyBorder="1" applyAlignment="1">
      <alignment horizontal="left" vertical="center" wrapText="1"/>
    </xf>
    <xf numFmtId="0" fontId="121" fillId="17" borderId="231" xfId="40" applyFont="1" applyFill="1" applyBorder="1" applyAlignment="1">
      <alignment horizontal="center" vertical="center" wrapText="1"/>
    </xf>
    <xf numFmtId="0" fontId="121" fillId="17" borderId="233" xfId="40" applyFont="1" applyFill="1" applyBorder="1" applyAlignment="1">
      <alignment horizontal="center" vertical="center" wrapText="1"/>
    </xf>
    <xf numFmtId="0" fontId="121" fillId="17" borderId="232" xfId="40" applyFont="1" applyFill="1" applyBorder="1" applyAlignment="1">
      <alignment horizontal="center" vertical="center" wrapText="1"/>
    </xf>
    <xf numFmtId="0" fontId="121" fillId="17" borderId="230" xfId="40" applyFont="1" applyFill="1" applyBorder="1" applyAlignment="1">
      <alignment horizontal="center" vertical="center" wrapText="1"/>
    </xf>
    <xf numFmtId="0" fontId="121" fillId="17" borderId="231" xfId="40" applyFont="1" applyFill="1" applyBorder="1" applyAlignment="1">
      <alignment horizontal="left" vertical="center" wrapText="1"/>
    </xf>
    <xf numFmtId="0" fontId="121" fillId="17" borderId="232" xfId="40" applyFont="1" applyFill="1" applyBorder="1" applyAlignment="1">
      <alignment horizontal="left" vertical="center" wrapText="1"/>
    </xf>
    <xf numFmtId="0" fontId="121" fillId="17" borderId="229" xfId="40" applyFont="1" applyFill="1" applyBorder="1" applyAlignment="1">
      <alignment horizontal="center" vertical="center" wrapText="1"/>
    </xf>
    <xf numFmtId="0" fontId="121" fillId="17" borderId="227" xfId="40" applyFont="1" applyFill="1" applyBorder="1" applyAlignment="1">
      <alignment horizontal="center" vertical="center" wrapText="1"/>
    </xf>
    <xf numFmtId="0" fontId="121" fillId="17" borderId="228" xfId="40" applyFont="1" applyFill="1" applyBorder="1" applyAlignment="1">
      <alignment horizontal="center" vertical="center" wrapText="1"/>
    </xf>
    <xf numFmtId="0" fontId="105" fillId="17" borderId="231" xfId="40" applyFont="1" applyFill="1" applyBorder="1" applyAlignment="1">
      <alignment horizontal="left" vertical="center" wrapText="1"/>
    </xf>
    <xf numFmtId="0" fontId="105" fillId="22" borderId="233" xfId="3" applyFont="1" applyFill="1" applyBorder="1" applyAlignment="1">
      <alignment horizontal="left" vertical="center" wrapText="1"/>
    </xf>
    <xf numFmtId="0" fontId="105" fillId="22" borderId="232" xfId="3" applyFont="1" applyFill="1" applyBorder="1" applyAlignment="1">
      <alignment horizontal="left" vertical="center" wrapText="1"/>
    </xf>
    <xf numFmtId="0" fontId="121" fillId="17" borderId="230" xfId="58" applyFont="1" applyFill="1" applyBorder="1" applyAlignment="1">
      <alignment horizontal="center" vertical="center" wrapText="1"/>
    </xf>
    <xf numFmtId="0" fontId="105" fillId="17" borderId="231" xfId="40" applyFont="1" applyFill="1" applyBorder="1" applyAlignment="1">
      <alignment horizontal="left" vertical="top"/>
    </xf>
    <xf numFmtId="0" fontId="105" fillId="17" borderId="233" xfId="40" applyFont="1" applyFill="1" applyBorder="1" applyAlignment="1">
      <alignment horizontal="left" vertical="top"/>
    </xf>
    <xf numFmtId="0" fontId="105" fillId="17" borderId="232" xfId="40" applyFont="1" applyFill="1" applyBorder="1" applyAlignment="1">
      <alignment horizontal="left" vertical="top"/>
    </xf>
    <xf numFmtId="0" fontId="121" fillId="17" borderId="229" xfId="40" applyFont="1" applyFill="1" applyBorder="1" applyAlignment="1">
      <alignment horizontal="left" vertical="center" wrapText="1"/>
    </xf>
    <xf numFmtId="0" fontId="121" fillId="17" borderId="228" xfId="40" applyFont="1" applyFill="1" applyBorder="1" applyAlignment="1">
      <alignment horizontal="left" vertical="center" wrapText="1"/>
    </xf>
    <xf numFmtId="0" fontId="121" fillId="17" borderId="227" xfId="40" applyFont="1" applyFill="1" applyBorder="1" applyAlignment="1">
      <alignment horizontal="left" vertical="center" wrapText="1"/>
    </xf>
    <xf numFmtId="0" fontId="105" fillId="17" borderId="231" xfId="143" applyFont="1" applyBorder="1" applyAlignment="1">
      <alignment horizontal="left" vertical="center" wrapText="1"/>
    </xf>
    <xf numFmtId="2" fontId="105" fillId="17" borderId="231" xfId="40" applyNumberFormat="1" applyFont="1" applyFill="1" applyBorder="1" applyAlignment="1">
      <alignment horizontal="left" vertical="center" wrapText="1"/>
    </xf>
    <xf numFmtId="0" fontId="121" fillId="17" borderId="233" xfId="40" applyFont="1" applyFill="1" applyBorder="1" applyAlignment="1">
      <alignment horizontal="left" vertical="center" wrapText="1"/>
    </xf>
    <xf numFmtId="0" fontId="105" fillId="17" borderId="231" xfId="135" applyFont="1" applyBorder="1" applyAlignment="1">
      <alignment horizontal="left" vertical="center" wrapText="1"/>
    </xf>
    <xf numFmtId="0" fontId="12" fillId="0" borderId="226" xfId="133" applyBorder="1" applyAlignment="1">
      <alignment horizontal="left" vertical="center"/>
    </xf>
    <xf numFmtId="0" fontId="105" fillId="17" borderId="233" xfId="135" applyFont="1" applyBorder="1" applyAlignment="1">
      <alignment horizontal="left" vertical="center" wrapText="1"/>
    </xf>
    <xf numFmtId="0" fontId="105" fillId="17" borderId="232" xfId="135" applyFont="1" applyBorder="1" applyAlignment="1">
      <alignment horizontal="left" vertical="center" wrapText="1"/>
    </xf>
    <xf numFmtId="0" fontId="105" fillId="22" borderId="226" xfId="137" applyFont="1" applyFill="1" applyBorder="1" applyAlignment="1">
      <alignment horizontal="left" vertical="center"/>
    </xf>
    <xf numFmtId="0" fontId="121" fillId="17" borderId="226" xfId="58" applyFont="1" applyFill="1" applyBorder="1" applyAlignment="1">
      <alignment horizontal="center" vertical="center" wrapText="1"/>
    </xf>
    <xf numFmtId="0" fontId="121" fillId="17" borderId="226" xfId="58" applyFont="1" applyFill="1" applyBorder="1" applyAlignment="1">
      <alignment horizontal="left" vertical="center" wrapText="1"/>
    </xf>
    <xf numFmtId="0" fontId="121" fillId="17" borderId="226" xfId="3" applyFont="1" applyFill="1" applyBorder="1" applyAlignment="1">
      <alignment horizontal="center"/>
    </xf>
    <xf numFmtId="0" fontId="108" fillId="22" borderId="226" xfId="44" applyFont="1" applyFill="1" applyBorder="1" applyAlignment="1">
      <alignment horizontal="left" vertical="center"/>
    </xf>
    <xf numFmtId="0" fontId="113" fillId="17" borderId="230" xfId="38" applyFont="1" applyFill="1" applyBorder="1" applyAlignment="1">
      <alignment horizontal="center" vertical="center" wrapText="1"/>
    </xf>
    <xf numFmtId="0" fontId="113" fillId="17" borderId="231" xfId="38" applyFont="1" applyFill="1" applyBorder="1" applyAlignment="1">
      <alignment horizontal="center" vertical="center" wrapText="1"/>
    </xf>
    <xf numFmtId="0" fontId="113" fillId="17" borderId="233" xfId="38" applyFont="1" applyFill="1" applyBorder="1" applyAlignment="1">
      <alignment horizontal="center" vertical="center" wrapText="1"/>
    </xf>
    <xf numFmtId="0" fontId="113" fillId="17" borderId="232" xfId="38" applyFont="1" applyFill="1" applyBorder="1" applyAlignment="1">
      <alignment horizontal="center" vertical="center" wrapText="1"/>
    </xf>
    <xf numFmtId="0" fontId="113" fillId="17" borderId="229" xfId="38" applyFont="1" applyFill="1" applyBorder="1" applyAlignment="1">
      <alignment horizontal="left" vertical="center"/>
    </xf>
    <xf numFmtId="0" fontId="113" fillId="17" borderId="228" xfId="38" applyFont="1" applyFill="1" applyBorder="1" applyAlignment="1">
      <alignment horizontal="left" vertical="center"/>
    </xf>
    <xf numFmtId="0" fontId="113" fillId="17" borderId="227" xfId="38" applyFont="1" applyFill="1" applyBorder="1" applyAlignment="1">
      <alignment horizontal="left" vertical="center"/>
    </xf>
    <xf numFmtId="0" fontId="113" fillId="17" borderId="229" xfId="38" applyFont="1" applyFill="1" applyBorder="1" applyAlignment="1">
      <alignment horizontal="center" vertical="center" wrapText="1"/>
    </xf>
    <xf numFmtId="0" fontId="113" fillId="17" borderId="228" xfId="38" applyFont="1" applyFill="1" applyBorder="1" applyAlignment="1">
      <alignment horizontal="center" vertical="center" wrapText="1"/>
    </xf>
    <xf numFmtId="0" fontId="113" fillId="17" borderId="227" xfId="38" applyFont="1" applyFill="1" applyBorder="1" applyAlignment="1">
      <alignment horizontal="center" vertical="center" wrapText="1"/>
    </xf>
    <xf numFmtId="4" fontId="121" fillId="17" borderId="231" xfId="38" applyNumberFormat="1" applyFont="1" applyFill="1" applyBorder="1" applyAlignment="1">
      <alignment horizontal="center" vertical="center" wrapText="1"/>
    </xf>
    <xf numFmtId="4" fontId="121" fillId="17" borderId="232" xfId="38" applyNumberFormat="1" applyFont="1" applyFill="1" applyBorder="1" applyAlignment="1">
      <alignment horizontal="center" vertical="center" wrapText="1"/>
    </xf>
    <xf numFmtId="4" fontId="121" fillId="17" borderId="233" xfId="38" applyNumberFormat="1" applyFont="1" applyFill="1" applyBorder="1" applyAlignment="1">
      <alignment horizontal="center" vertical="center" wrapText="1"/>
    </xf>
    <xf numFmtId="4" fontId="121" fillId="17" borderId="230" xfId="38" applyNumberFormat="1" applyFont="1" applyFill="1" applyBorder="1" applyAlignment="1">
      <alignment horizontal="center" vertical="center" wrapText="1"/>
    </xf>
    <xf numFmtId="4" fontId="121" fillId="17" borderId="229" xfId="38" applyNumberFormat="1" applyFont="1" applyFill="1" applyBorder="1" applyAlignment="1">
      <alignment horizontal="left" vertical="center"/>
    </xf>
    <xf numFmtId="4" fontId="121" fillId="17" borderId="228" xfId="38" applyNumberFormat="1" applyFont="1" applyFill="1" applyBorder="1" applyAlignment="1">
      <alignment horizontal="left" vertical="center"/>
    </xf>
    <xf numFmtId="4" fontId="121" fillId="17" borderId="227" xfId="38" applyNumberFormat="1" applyFont="1" applyFill="1" applyBorder="1" applyAlignment="1">
      <alignment horizontal="left" vertical="center"/>
    </xf>
    <xf numFmtId="4" fontId="121" fillId="17" borderId="229" xfId="38" applyNumberFormat="1" applyFont="1" applyFill="1" applyBorder="1" applyAlignment="1">
      <alignment horizontal="center" vertical="center" wrapText="1"/>
    </xf>
    <xf numFmtId="4" fontId="121" fillId="17" borderId="228" xfId="38" applyNumberFormat="1" applyFont="1" applyFill="1" applyBorder="1" applyAlignment="1">
      <alignment horizontal="center" vertical="center" wrapText="1"/>
    </xf>
    <xf numFmtId="4" fontId="121" fillId="17" borderId="227" xfId="38" applyNumberFormat="1" applyFont="1" applyFill="1" applyBorder="1" applyAlignment="1">
      <alignment horizontal="center" vertical="center" wrapText="1"/>
    </xf>
    <xf numFmtId="0" fontId="105" fillId="22" borderId="228" xfId="3" applyFont="1" applyFill="1" applyBorder="1" applyAlignment="1">
      <alignment horizontal="center" vertical="center" wrapText="1"/>
    </xf>
    <xf numFmtId="0" fontId="105" fillId="22" borderId="227" xfId="3" applyFont="1" applyFill="1" applyBorder="1" applyAlignment="1">
      <alignment horizontal="center" vertical="center" wrapText="1"/>
    </xf>
    <xf numFmtId="0" fontId="121" fillId="17" borderId="230" xfId="38" applyFont="1" applyFill="1" applyBorder="1" applyAlignment="1">
      <alignment horizontal="left" vertical="top" wrapText="1"/>
    </xf>
    <xf numFmtId="0" fontId="105" fillId="22" borderId="232" xfId="3" applyFont="1" applyFill="1" applyBorder="1" applyAlignment="1">
      <alignment horizontal="center" vertical="center" wrapText="1"/>
    </xf>
    <xf numFmtId="0" fontId="121" fillId="17" borderId="230" xfId="38" applyFont="1" applyFill="1" applyBorder="1" applyAlignment="1">
      <alignment horizontal="center" vertical="center" wrapText="1"/>
    </xf>
    <xf numFmtId="0" fontId="121" fillId="17" borderId="230" xfId="38" applyFont="1" applyFill="1" applyBorder="1" applyAlignment="1">
      <alignment horizontal="center" vertical="center"/>
    </xf>
    <xf numFmtId="0" fontId="105" fillId="22" borderId="226" xfId="38" applyFill="1" applyBorder="1" applyAlignment="1">
      <alignment horizontal="left" vertical="center" wrapText="1"/>
    </xf>
    <xf numFmtId="0" fontId="105" fillId="22" borderId="228" xfId="3" applyFont="1" applyFill="1" applyBorder="1" applyAlignment="1">
      <alignment horizontal="left" vertical="center"/>
    </xf>
    <xf numFmtId="0" fontId="105" fillId="22" borderId="227" xfId="3" applyFont="1" applyFill="1" applyBorder="1" applyAlignment="1">
      <alignment horizontal="left" vertical="center"/>
    </xf>
    <xf numFmtId="2" fontId="121" fillId="52" borderId="84" xfId="89" applyNumberFormat="1" applyFont="1" applyFill="1" applyBorder="1" applyAlignment="1">
      <alignment horizontal="center" vertical="center"/>
    </xf>
    <xf numFmtId="2" fontId="121" fillId="52" borderId="83" xfId="89" applyNumberFormat="1" applyFont="1" applyFill="1" applyBorder="1" applyAlignment="1">
      <alignment horizontal="center" vertical="center"/>
    </xf>
    <xf numFmtId="2" fontId="121" fillId="52" borderId="82" xfId="89" applyNumberFormat="1" applyFont="1" applyFill="1" applyBorder="1" applyAlignment="1">
      <alignment horizontal="center" vertical="center"/>
    </xf>
    <xf numFmtId="0" fontId="122" fillId="22" borderId="0" xfId="89" applyFont="1" applyFill="1" applyAlignment="1">
      <alignment horizontal="left" vertical="top" wrapText="1"/>
    </xf>
    <xf numFmtId="4" fontId="121" fillId="52" borderId="226" xfId="89" applyNumberFormat="1" applyFont="1" applyFill="1" applyBorder="1" applyAlignment="1">
      <alignment horizontal="right" vertical="center"/>
    </xf>
    <xf numFmtId="2" fontId="271" fillId="18" borderId="226" xfId="146" applyNumberFormat="1" applyFont="1" applyFill="1" applyBorder="1" applyAlignment="1">
      <alignment horizontal="right"/>
    </xf>
    <xf numFmtId="4" fontId="121" fillId="52" borderId="226" xfId="89" applyNumberFormat="1" applyFont="1" applyFill="1" applyBorder="1" applyAlignment="1">
      <alignment horizontal="right" vertical="center" wrapText="1"/>
    </xf>
    <xf numFmtId="2" fontId="105" fillId="18" borderId="226" xfId="147" applyNumberFormat="1" applyFont="1" applyFill="1" applyBorder="1" applyAlignment="1">
      <alignment horizontal="right"/>
    </xf>
    <xf numFmtId="0" fontId="154" fillId="0" borderId="7" xfId="36" applyFont="1" applyBorder="1" applyAlignment="1">
      <alignment vertical="center"/>
    </xf>
    <xf numFmtId="0" fontId="147" fillId="0" borderId="3" xfId="36" applyFont="1" applyBorder="1" applyAlignment="1">
      <alignment vertical="center"/>
    </xf>
  </cellXfs>
  <cellStyles count="158">
    <cellStyle name="1000-sep (2 dec) 2" xfId="25" xr:uid="{572C924D-91FB-4FB2-B857-9D80D8D507E7}"/>
    <cellStyle name="20 % - Farve1" xfId="106" builtinId="30" customBuiltin="1"/>
    <cellStyle name="20 % - Farve2" xfId="109" builtinId="34" customBuiltin="1"/>
    <cellStyle name="20 % - Farve3" xfId="112" builtinId="38" customBuiltin="1"/>
    <cellStyle name="20 % - Farve4" xfId="115" builtinId="42" customBuiltin="1"/>
    <cellStyle name="20 % - Farve5" xfId="118" builtinId="46" customBuiltin="1"/>
    <cellStyle name="20 % - Farve6" xfId="121" builtinId="50" customBuiltin="1"/>
    <cellStyle name="2x indented GHG Textfiels" xfId="46" xr:uid="{FDE347E2-C00F-46CC-BB15-7BBC748D611E}"/>
    <cellStyle name="40 % - Farve1" xfId="107" builtinId="31" customBuiltin="1"/>
    <cellStyle name="40 % - Farve2" xfId="110" builtinId="35" customBuiltin="1"/>
    <cellStyle name="40 % - Farve3" xfId="113" builtinId="39" customBuiltin="1"/>
    <cellStyle name="40 % - Farve4" xfId="116" builtinId="43" customBuiltin="1"/>
    <cellStyle name="40 % - Farve5" xfId="119" builtinId="47" customBuiltin="1"/>
    <cellStyle name="40 % - Farve6" xfId="29" builtinId="51"/>
    <cellStyle name="40 % - Farve6 2" xfId="34" xr:uid="{6E98B263-9F99-4E23-8D4A-013A6FE706F4}"/>
    <cellStyle name="40 % - Farve6 3" xfId="82" xr:uid="{ED10D50C-E02E-45AE-BF52-2A5BF8027461}"/>
    <cellStyle name="40 % - Farve6 4" xfId="130" xr:uid="{F3859677-9958-4405-8788-66F53B034766}"/>
    <cellStyle name="5x indented GHG Textfiels" xfId="51" xr:uid="{82355FF1-196C-4874-9E18-E1C977E4CA62}"/>
    <cellStyle name="60 % - Farve1 2" xfId="125" xr:uid="{695409CD-15DE-46C5-9950-5B6A88DACD6E}"/>
    <cellStyle name="60 % - Farve2 2" xfId="126" xr:uid="{0B1BFF47-80D8-47AB-853D-82A4E9CFE0F8}"/>
    <cellStyle name="60 % - Farve3 2" xfId="127" xr:uid="{585D732F-BD76-4A2E-8660-802457ADA0D9}"/>
    <cellStyle name="60 % - Farve4 2" xfId="128" xr:uid="{BF086D24-7454-44FD-91CA-E793A9877859}"/>
    <cellStyle name="60 % - Farve5 2" xfId="129" xr:uid="{06A3EF4A-28C9-4149-8231-F676DF115E01}"/>
    <cellStyle name="60 % - Farve6 2" xfId="131" xr:uid="{3F63E368-A9AC-44E0-8C10-FCB5178D67AF}"/>
    <cellStyle name="Advarselstekst" xfId="102" builtinId="11" customBuiltin="1"/>
    <cellStyle name="AggOrange" xfId="136" xr:uid="{D4C4EBEF-6DE6-4B2C-B99B-F2C4D3A2A120}"/>
    <cellStyle name="AggOrange 2" xfId="143" xr:uid="{F701805C-AA32-4227-9D27-ADCC27797C58}"/>
    <cellStyle name="AggOrange 3 2 2 2 4" xfId="69" xr:uid="{90050D8F-B947-44D6-A116-C75ED55E6D57}"/>
    <cellStyle name="AggOrange 6" xfId="59" xr:uid="{B6008193-9C2E-4D4B-93EE-8E5F000F1946}"/>
    <cellStyle name="AggOrange_B_border" xfId="66" xr:uid="{6DD30D1A-F461-41EB-B667-80EB489FFB0F}"/>
    <cellStyle name="AggOrange_B_border 2" xfId="57" xr:uid="{AF9886EA-2C30-4325-8999-66A42434AACF}"/>
    <cellStyle name="AggOrange_BR_border" xfId="138" xr:uid="{4633E34C-06DD-4A41-9CED-B9934385FEB0}"/>
    <cellStyle name="AggOrange_LR_Left 2" xfId="55" xr:uid="{1EADB104-855D-4FF5-9110-8E838676C8B4}"/>
    <cellStyle name="AggOrange_LR_Left 3" xfId="135" xr:uid="{363F9BDA-A03D-4559-9D86-BC901C076C2B}"/>
    <cellStyle name="AggOrange_LR_Left 4" xfId="39" xr:uid="{A55AEBBA-35A8-4C02-803E-D5BF096729B7}"/>
    <cellStyle name="AggOrange_LRBorder 2" xfId="60" xr:uid="{D3C09F70-1A5C-4D77-BD08-4D9F63E2EBEB}"/>
    <cellStyle name="AggOrange_LRBorder 3" xfId="137" xr:uid="{1BB9CCB2-69C3-4BB1-A8F7-F03A407A851A}"/>
    <cellStyle name="AggOrange_LRTBorder_Bold" xfId="41" xr:uid="{1BDC0879-1DB2-49BE-89AB-53D133AD2F5C}"/>
    <cellStyle name="AggOrange9" xfId="139" xr:uid="{7A4A0F89-70C0-41F8-953D-45D66C95C172}"/>
    <cellStyle name="AggOrange9 2" xfId="144" xr:uid="{CB043D8C-A81F-4824-9066-325DED9B4C60}"/>
    <cellStyle name="AggOrange9 3 2 2 2 4" xfId="67" xr:uid="{C11296AB-DE76-4AC5-A276-D20BAD74DCCD}"/>
    <cellStyle name="AggOrange9 6" xfId="61" xr:uid="{E021C113-EA85-4C5B-90A6-4DC484F2D19C}"/>
    <cellStyle name="AP Hardcode, behold den grønne baggrundsfarve." xfId="148" xr:uid="{89EB669D-FF0D-4610-97AA-456FEB324EAB}"/>
    <cellStyle name="AP2 Hardcode, ændr baggrundsfarve til gennemsigtig/hvid." xfId="149" xr:uid="{3A97C09E-054F-4A1B-BFFC-F173DD8A428B}"/>
    <cellStyle name="Bemærk! 2" xfId="124" xr:uid="{EE57276B-9911-4187-B107-B58CDE218DB8}"/>
    <cellStyle name="Beregning" xfId="99" builtinId="22" customBuiltin="1"/>
    <cellStyle name="Constants" xfId="49" xr:uid="{215DC471-01BD-4388-B93E-A3F517EF6517}"/>
    <cellStyle name="CustomizationCells" xfId="140" xr:uid="{DB90B99B-BF6F-4A7A-8CCD-911CCD88C087}"/>
    <cellStyle name="CustomizationCells 2 2 10" xfId="68" xr:uid="{BDC3F9D8-B509-4416-A3BF-596E16F2FF53}"/>
    <cellStyle name="CustomizationCells 5" xfId="65" xr:uid="{5EE70FD4-9389-48D1-85ED-06685CE172B1}"/>
    <cellStyle name="CustomizationCells 6" xfId="63" xr:uid="{FD8B8689-76DD-4FFA-8966-DD5C988AF75D}"/>
    <cellStyle name="Empty_B_border" xfId="48" xr:uid="{49DD627B-E1BD-4211-A9A2-AE5EB9AD0753}"/>
    <cellStyle name="Empty_L_border" xfId="52" xr:uid="{4F4FFC0E-F51C-450C-9CF2-0744A28392E3}"/>
    <cellStyle name="Empty_TBorder" xfId="44" xr:uid="{66D84F11-E665-48FF-8B9A-70AD5CE37255}"/>
    <cellStyle name="Farve1" xfId="105" builtinId="29" customBuiltin="1"/>
    <cellStyle name="Farve2" xfId="108" builtinId="33" customBuiltin="1"/>
    <cellStyle name="Farve3" xfId="111" builtinId="37" customBuiltin="1"/>
    <cellStyle name="Farve4" xfId="114" builtinId="41" customBuiltin="1"/>
    <cellStyle name="Farve5" xfId="117" builtinId="45" customBuiltin="1"/>
    <cellStyle name="Farve6" xfId="120" builtinId="49" customBuiltin="1"/>
    <cellStyle name="Forklarende tekst" xfId="103" builtinId="53" customBuiltin="1"/>
    <cellStyle name="God" xfId="27" builtinId="26" customBuiltin="1"/>
    <cellStyle name="Headline" xfId="50" xr:uid="{2743611C-034F-4231-850A-A75A21DD9244}"/>
    <cellStyle name="Input" xfId="97" builtinId="20" customBuiltin="1"/>
    <cellStyle name="InputCells12" xfId="134" xr:uid="{C27F78D2-FAFA-42B7-82FE-EE396416CB44}"/>
    <cellStyle name="InputCells12 2" xfId="142" xr:uid="{F66A6EFA-8D84-459C-A98C-199CEF158E19}"/>
    <cellStyle name="InputCells12 6" xfId="53" xr:uid="{30CCA28F-B8A9-4F2C-BC4E-384D11D5F57F}"/>
    <cellStyle name="Komma" xfId="7" builtinId="3"/>
    <cellStyle name="Komma 10" xfId="155" xr:uid="{41C5F0F3-02D0-4C3B-8312-85465DFF2433}"/>
    <cellStyle name="Komma 2" xfId="2" xr:uid="{00000000-0005-0000-0000-000001000000}"/>
    <cellStyle name="Komma 2 2" xfId="10" xr:uid="{00000000-0005-0000-0000-000002000000}"/>
    <cellStyle name="Komma 2 3" xfId="8" xr:uid="{00000000-0005-0000-0000-000003000000}"/>
    <cellStyle name="Komma 2 4" xfId="81" xr:uid="{DBBAE8D5-B06F-42DE-AF45-2AF32D51A398}"/>
    <cellStyle name="Komma 3" xfId="5" xr:uid="{00000000-0005-0000-0000-000004000000}"/>
    <cellStyle name="Komma 3 2" xfId="23" xr:uid="{00000000-0005-0000-0000-000005000000}"/>
    <cellStyle name="Komma 3 3" xfId="71" xr:uid="{EEEBCC11-ED68-4BF4-B485-55AB8EF2D82E}"/>
    <cellStyle name="Komma 3 4" xfId="77" xr:uid="{291549CC-8209-4444-ADB5-580008BD40D3}"/>
    <cellStyle name="Komma 3 5" xfId="79" xr:uid="{1BDFB1EE-BCDA-4065-8FF5-916071C22329}"/>
    <cellStyle name="Komma 4" xfId="9" xr:uid="{00000000-0005-0000-0000-000006000000}"/>
    <cellStyle name="Komma 5" xfId="22" xr:uid="{00000000-0005-0000-0000-000007000000}"/>
    <cellStyle name="Komma 6" xfId="42" xr:uid="{5E3F209F-D9B5-428C-985E-D8A65F8736DB}"/>
    <cellStyle name="Komma 7" xfId="76" xr:uid="{C2752F25-E374-4B71-A07B-DD7ECEC48F85}"/>
    <cellStyle name="Komma 8" xfId="86" xr:uid="{861C2A43-50F7-4691-A4A5-D3E467387895}"/>
    <cellStyle name="Komma 9" xfId="151" xr:uid="{1674875B-1C5A-4070-B803-C5C45CB9E782}"/>
    <cellStyle name="Kontrollér celle" xfId="101" builtinId="23" customBuiltin="1"/>
    <cellStyle name="Link" xfId="43" builtinId="8"/>
    <cellStyle name="Link 2" xfId="87" xr:uid="{50518376-F5CA-49D3-BFD2-A2C7A5E8525C}"/>
    <cellStyle name="Link 3" xfId="91" xr:uid="{3FEF274F-AEBC-45AC-BBCA-01B6408CFBD9}"/>
    <cellStyle name="Neutral 2" xfId="123" xr:uid="{1E913426-572A-4FCE-B447-D3AB759325FD}"/>
    <cellStyle name="Normal" xfId="0" builtinId="0"/>
    <cellStyle name="Normal 10" xfId="33" xr:uid="{95196580-5869-4A39-8CB6-35F935D0AC87}"/>
    <cellStyle name="Normal 11" xfId="36" xr:uid="{D33B934A-17E0-4F6E-83B7-5DD9B8003CEE}"/>
    <cellStyle name="Normal 12" xfId="75" xr:uid="{011B7FF1-6DF3-4C1C-9AC3-48C572116A4D}"/>
    <cellStyle name="Normal 13" xfId="78" xr:uid="{10F37B30-7EE4-4604-A7BB-595045DB4602}"/>
    <cellStyle name="Normal 14" xfId="85" xr:uid="{9746A2E0-4DF9-42EA-9CC7-DE3E4A3902FD}"/>
    <cellStyle name="Normal 15" xfId="88" xr:uid="{56684EA4-0D0B-4E90-A66F-5D90E38C0827}"/>
    <cellStyle name="Normal 16" xfId="90" xr:uid="{E3762804-05F5-469F-96BA-C2B4DD09ED6D}"/>
    <cellStyle name="Normal 17" xfId="122" xr:uid="{8E951041-D6DD-4A72-BEDF-858E18746A6B}"/>
    <cellStyle name="Normal 18" xfId="132" xr:uid="{0CF10666-EDFA-4EBA-BF0A-AB5800C7BEB6}"/>
    <cellStyle name="Normal 19" xfId="133" xr:uid="{9D8100FB-92FD-4BDA-A8C4-F7C5D79B3A2B}"/>
    <cellStyle name="Normal 2" xfId="1" xr:uid="{00000000-0005-0000-0000-000009000000}"/>
    <cellStyle name="Normal 2 2" xfId="3" xr:uid="{00000000-0005-0000-0000-00000A000000}"/>
    <cellStyle name="Normal 2 2 2" xfId="11" xr:uid="{00000000-0005-0000-0000-00000B000000}"/>
    <cellStyle name="Normal 2 3" xfId="12" xr:uid="{00000000-0005-0000-0000-00000C000000}"/>
    <cellStyle name="Normal 20" xfId="146" xr:uid="{97502DF0-5939-49B6-BB83-F2ACF5227946}"/>
    <cellStyle name="Normal 21" xfId="147" xr:uid="{247E3B5D-7783-4A76-91DF-F72C6C32752C}"/>
    <cellStyle name="Normal 22" xfId="150" xr:uid="{9917CFE3-7C5C-4AE2-8331-F4842851EE01}"/>
    <cellStyle name="Normal 23" xfId="26" xr:uid="{3331C10D-ACDF-403C-8B96-4FB970AF99DF}"/>
    <cellStyle name="Normal 24" xfId="153" xr:uid="{916FA809-99DF-4C81-B704-8BC1F20D7592}"/>
    <cellStyle name="Normal 25" xfId="154" xr:uid="{2FCE50FC-C608-476E-A760-D7002E21DBB1}"/>
    <cellStyle name="Normal 26" xfId="157" xr:uid="{551F1F52-8E41-4083-866B-C667F76CEF33}"/>
    <cellStyle name="Normal 3" xfId="6" xr:uid="{00000000-0005-0000-0000-00000D000000}"/>
    <cellStyle name="Normal 3 2" xfId="13" xr:uid="{00000000-0005-0000-0000-00000E000000}"/>
    <cellStyle name="Normal 3 3" xfId="14" xr:uid="{00000000-0005-0000-0000-00000F000000}"/>
    <cellStyle name="Normal 3 4" xfId="74" xr:uid="{B82E2353-6949-436B-ADC3-EB90B6FD8993}"/>
    <cellStyle name="Normal 4" xfId="15" xr:uid="{00000000-0005-0000-0000-000010000000}"/>
    <cellStyle name="Normal 4 2" xfId="16" xr:uid="{00000000-0005-0000-0000-000011000000}"/>
    <cellStyle name="Normal 4 3" xfId="32" xr:uid="{4E88EC22-FC62-479B-AAED-395533FD4C0E}"/>
    <cellStyle name="Normal 5" xfId="17" xr:uid="{00000000-0005-0000-0000-000012000000}"/>
    <cellStyle name="Normal 6" xfId="18" xr:uid="{00000000-0005-0000-0000-000013000000}"/>
    <cellStyle name="Normal 7" xfId="19" xr:uid="{00000000-0005-0000-0000-000014000000}"/>
    <cellStyle name="Normal 8" xfId="21" xr:uid="{00000000-0005-0000-0000-000015000000}"/>
    <cellStyle name="Normal 9" xfId="30" xr:uid="{1E7D1EF5-1B52-4D9E-871D-97B3F9B366E5}"/>
    <cellStyle name="Normal GHG Textfiels Bold" xfId="45" xr:uid="{2DD18C39-5379-4D79-BF76-C5D59F20A2C3}"/>
    <cellStyle name="Normal GHG-Shade" xfId="47" xr:uid="{CE597437-22E4-4191-A337-698589DCE0B1}"/>
    <cellStyle name="Normal_674_planteavl1" xfId="73" xr:uid="{FF3EB7F0-7A9C-4196-85F1-298C252F0862}"/>
    <cellStyle name="Normal_741_planteavl_EA" xfId="80" xr:uid="{D6C64FDD-6D4A-4827-B7DA-03FA0B1B2BC3}"/>
    <cellStyle name="Normal_Biomass Burning draft CRF FCCC table 4 Dec" xfId="58" xr:uid="{766EF195-8335-4640-9415-656129996DD7}"/>
    <cellStyle name="Normal_CRFReport-template" xfId="62" xr:uid="{FA0B6369-53EC-48D0-8591-9EDED47F7933}"/>
    <cellStyle name="Normal_pr værk" xfId="83" xr:uid="{F6F5DBCE-F4D3-44F2-AD41-449D8482E1EB}"/>
    <cellStyle name="Normal_Sheet2" xfId="72" xr:uid="{297D07E9-5055-4AB0-9A52-B327F3F8FECC}"/>
    <cellStyle name="Normal_Table 3(II).1 Canada" xfId="56" xr:uid="{F78A042F-97A5-4D9A-A201-D4F9160ABDFD}"/>
    <cellStyle name="Output" xfId="98" builtinId="21" customBuiltin="1"/>
    <cellStyle name="Overskrift 1" xfId="93" builtinId="16" customBuiltin="1"/>
    <cellStyle name="Overskrift 2" xfId="94" builtinId="17" customBuiltin="1"/>
    <cellStyle name="Overskrift 3" xfId="95" builtinId="18" customBuiltin="1"/>
    <cellStyle name="Overskrift 4" xfId="96" builtinId="19" customBuiltin="1"/>
    <cellStyle name="Procent" xfId="35" builtinId="5"/>
    <cellStyle name="Procent 2" xfId="4" xr:uid="{00000000-0005-0000-0000-000017000000}"/>
    <cellStyle name="Procent 3" xfId="20" xr:uid="{00000000-0005-0000-0000-000018000000}"/>
    <cellStyle name="Procent 4" xfId="24" xr:uid="{00000000-0005-0000-0000-000019000000}"/>
    <cellStyle name="Procent 5" xfId="31" xr:uid="{365D6E91-29EA-45F4-BD1C-FD429FEF2F97}"/>
    <cellStyle name="Procent 6" xfId="37" xr:uid="{08F88B43-9338-45C4-B3A9-2322BFF96B4F}"/>
    <cellStyle name="Procent 7" xfId="84" xr:uid="{239256EA-13C5-49DE-9BFB-77FDB6A05932}"/>
    <cellStyle name="Procent 8" xfId="152" xr:uid="{15927B74-BCEF-4290-8E15-E8FC2F26044B}"/>
    <cellStyle name="Procent 9" xfId="156" xr:uid="{69D5F5B2-A440-48B8-96CF-64609495B5E1}"/>
    <cellStyle name="Sammenkædet celle" xfId="100" builtinId="24" customBuiltin="1"/>
    <cellStyle name="Shade" xfId="141" xr:uid="{DC6E9955-C653-4C9A-B184-E7B031DCC7CC}"/>
    <cellStyle name="Shade 2" xfId="145" xr:uid="{0D79B4FB-037C-424F-81B7-4A65CD7DD800}"/>
    <cellStyle name="Shade 3 2 2 2 4" xfId="70" xr:uid="{1E51E149-6DD2-46A9-B722-2D6BF030FE78}"/>
    <cellStyle name="Shade 6" xfId="64" xr:uid="{5990A613-FE98-4C42-96B9-D6ECA49332F7}"/>
    <cellStyle name="Titel" xfId="92" builtinId="15" customBuiltin="1"/>
    <cellStyle name="Total" xfId="104" builtinId="25" customBuiltin="1"/>
    <cellStyle name="Ugyldig" xfId="28" builtinId="27" customBuiltin="1"/>
    <cellStyle name="Обычный_2++" xfId="89" xr:uid="{32DC7884-B9C0-40C9-8D87-B1D4199D60F5}"/>
    <cellStyle name="Обычный_CRF2002 (1)" xfId="38" xr:uid="{72922535-C241-4ECB-B051-60A205662D32}"/>
    <cellStyle name="Обычный_CRF2002 (1) 2" xfId="54" xr:uid="{539EA0BE-EA2D-4BA9-97BC-C32B8169A916}"/>
    <cellStyle name="Обычный_LULUCF module - v 1.0" xfId="40" xr:uid="{D9E5DB8C-2591-4302-9909-3EE50221785D}"/>
  </cellStyles>
  <dxfs count="633">
    <dxf>
      <font>
        <b val="0"/>
        <i val="0"/>
        <strike val="0"/>
        <condense val="0"/>
        <extend val="0"/>
        <outline val="0"/>
        <shadow val="0"/>
        <u val="none"/>
        <vertAlign val="baseline"/>
        <sz val="11"/>
        <color theme="1"/>
        <name val="Calibri"/>
        <family val="2"/>
        <scheme val="minor"/>
      </font>
      <fill>
        <patternFill patternType="solid">
          <fgColor indexed="64"/>
          <bgColor theme="4" tint="0.39997558519241921"/>
        </patternFill>
      </fill>
      <border diagonalUp="0" diagonalDown="0" outline="0">
        <left style="thin">
          <color indexed="64"/>
        </left>
        <right style="thin">
          <color indexed="64"/>
        </right>
        <top style="thin">
          <color indexed="64"/>
        </top>
        <bottom style="thin">
          <color indexed="64"/>
        </bottom>
      </border>
    </dxf>
    <dxf>
      <numFmt numFmtId="8" formatCode="#,##0.00;[Red]\-#,##0.00"/>
      <fill>
        <patternFill patternType="solid">
          <fgColor indexed="64"/>
          <bgColor theme="4" tint="0.3999755851924192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none"/>
      </font>
      <fill>
        <patternFill patternType="solid">
          <fgColor indexed="64"/>
          <bgColor theme="4" tint="0.39997558519241921"/>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indexed="8"/>
        <name val="Calibri"/>
        <family val="2"/>
        <scheme val="none"/>
      </font>
      <numFmt numFmtId="8" formatCode="#,##0.00;[Red]\-#,##0.00"/>
      <fill>
        <patternFill patternType="solid">
          <fgColor indexed="64"/>
          <bgColor theme="4" tint="0.39997558519241921"/>
        </patternFill>
      </fill>
      <alignment horizontal="right" vertical="bottom" textRotation="0" wrapText="1" indent="0" justifyLastLine="0" shrinkToFit="0" readingOrder="0"/>
      <border diagonalUp="0" diagonalDown="0" outline="0">
        <left style="thin">
          <color indexed="22"/>
        </left>
        <right style="thin">
          <color indexed="22"/>
        </right>
        <top style="thin">
          <color indexed="22"/>
        </top>
        <bottom style="thin">
          <color indexed="22"/>
        </bottom>
      </border>
    </dxf>
    <dxf>
      <font>
        <b val="0"/>
        <i val="0"/>
        <strike val="0"/>
        <condense val="0"/>
        <extend val="0"/>
        <outline val="0"/>
        <shadow val="0"/>
        <u val="none"/>
        <vertAlign val="baseline"/>
        <sz val="11"/>
        <color indexed="8"/>
        <name val="Calibri"/>
        <family val="2"/>
        <scheme val="none"/>
      </font>
      <fill>
        <patternFill patternType="solid">
          <fgColor indexed="64"/>
          <bgColor theme="4" tint="0.399975585192419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none"/>
      </font>
      <fill>
        <patternFill patternType="solid">
          <fgColor indexed="64"/>
          <bgColor theme="4" tint="0.39997558519241921"/>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39997558519241921"/>
        </patternFill>
      </fill>
      <border diagonalUp="0" diagonalDown="0" outline="0">
        <left style="thin">
          <color indexed="64"/>
        </left>
        <right style="thin">
          <color indexed="64"/>
        </right>
        <top style="thin">
          <color indexed="64"/>
        </top>
        <bottom style="thin">
          <color indexed="64"/>
        </bottom>
      </border>
    </dxf>
    <dxf>
      <fill>
        <patternFill patternType="solid">
          <fgColor theme="4" tint="0.79998168889431442"/>
          <bgColor theme="4" tint="0.3999755851924192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indexed="8"/>
        <name val="Calibri"/>
        <family val="2"/>
        <scheme val="none"/>
      </font>
      <numFmt numFmtId="30" formatCode="@"/>
      <fill>
        <patternFill patternType="solid">
          <fgColor indexed="64"/>
          <bgColor theme="4" tint="0.39997558519241921"/>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z val="11"/>
        <color indexed="8"/>
        <name val="Calibri"/>
        <family val="2"/>
        <scheme val="none"/>
      </font>
      <numFmt numFmtId="30" formatCode="@"/>
      <fill>
        <patternFill patternType="solid">
          <fgColor indexed="64"/>
          <bgColor theme="4" tint="0.39997558519241921"/>
        </patternFill>
      </fill>
      <alignment horizontal="lef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39997558519241921"/>
        </patternFill>
      </fill>
      <border diagonalUp="0" diagonalDown="0" outline="0">
        <left style="thin">
          <color indexed="64"/>
        </left>
        <right style="thin">
          <color indexed="64"/>
        </right>
        <top style="thin">
          <color indexed="64"/>
        </top>
        <bottom style="thin">
          <color indexed="64"/>
        </bottom>
      </border>
    </dxf>
    <dxf>
      <fill>
        <patternFill patternType="solid">
          <fgColor theme="4" tint="0.79998168889431442"/>
          <bgColor theme="4" tint="0.3999755851924192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indexed="8"/>
        <name val="Calibri"/>
        <family val="2"/>
        <scheme val="none"/>
      </font>
      <fill>
        <patternFill patternType="solid">
          <fgColor indexed="64"/>
          <bgColor theme="4" tint="0.39997558519241921"/>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none"/>
      </font>
      <fill>
        <patternFill patternType="solid">
          <fgColor indexed="64"/>
          <bgColor theme="4" tint="0.3999755851924192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none"/>
      </font>
      <numFmt numFmtId="1" formatCode="0"/>
      <fill>
        <patternFill patternType="solid">
          <fgColor indexed="64"/>
          <bgColor theme="4" tint="0.399975585192419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family val="2"/>
        <scheme val="none"/>
      </font>
      <numFmt numFmtId="1" formatCode="0"/>
      <fill>
        <patternFill patternType="solid">
          <fgColor indexed="64"/>
          <bgColor theme="4" tint="0.39997558519241921"/>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fill>
        <patternFill patternType="solid">
          <fgColor indexed="64"/>
          <bgColor theme="4" tint="0.39997558519241921"/>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indexed="8"/>
        <name val="Calibri"/>
        <family val="2"/>
        <scheme val="none"/>
      </font>
      <fill>
        <patternFill patternType="solid">
          <fgColor indexed="64"/>
          <bgColor theme="4" tint="0.3999755851924192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right style="thin">
          <color indexed="64"/>
        </right>
        <top style="medium">
          <color indexed="64"/>
        </top>
        <bottom style="thin">
          <color indexed="64"/>
        </bottom>
      </border>
    </dxf>
    <dxf>
      <border outline="0">
        <bottom style="medium">
          <color indexed="64"/>
        </bottom>
      </border>
    </dxf>
    <dxf>
      <font>
        <b val="0"/>
        <i val="0"/>
        <strike val="0"/>
        <condense val="0"/>
        <extend val="0"/>
        <outline val="0"/>
        <shadow val="0"/>
        <u val="none"/>
        <vertAlign val="baseline"/>
        <sz val="11"/>
        <color indexed="8"/>
        <name val="Calibri"/>
        <family val="2"/>
        <scheme val="none"/>
      </font>
      <fill>
        <patternFill patternType="solid">
          <fgColor indexed="0"/>
          <bgColor theme="4" tint="0.3999755851924192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4" tint="0.3999755851924192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sz val="11"/>
        <color indexed="8"/>
        <name val="Calibri"/>
        <family val="2"/>
      </font>
      <numFmt numFmtId="2" formatCode="0.00"/>
      <fill>
        <patternFill patternType="solid">
          <fgColor indexed="64"/>
          <bgColor theme="4" tint="0.39997558519241921"/>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fill>
        <patternFill patternType="solid">
          <fgColor indexed="64"/>
          <bgColor theme="4" tint="0.3999755851924192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indexed="8"/>
        <name val="Calibri"/>
        <family val="2"/>
        <scheme val="none"/>
      </font>
      <numFmt numFmtId="8" formatCode="#,##0.00;[Red]\-#,##0.00"/>
      <fill>
        <patternFill patternType="solid">
          <fgColor indexed="64"/>
          <bgColor theme="4" tint="0.39997558519241921"/>
        </patternFill>
      </fill>
      <alignment horizontal="right" vertical="bottom" textRotation="0" wrapText="1" indent="0" justifyLastLine="0" shrinkToFit="0" readingOrder="0"/>
      <border diagonalUp="0" diagonalDown="0" outline="0">
        <left style="thin">
          <color indexed="22"/>
        </left>
        <right style="thin">
          <color indexed="22"/>
        </right>
        <top style="thin">
          <color indexed="22"/>
        </top>
        <bottom style="thin">
          <color indexed="22"/>
        </bottom>
      </border>
    </dxf>
    <dxf>
      <font>
        <b val="0"/>
        <i val="0"/>
        <strike val="0"/>
        <condense val="0"/>
        <extend val="0"/>
        <outline val="0"/>
        <shadow val="0"/>
        <u val="none"/>
        <vertAlign val="baseline"/>
        <sz val="11"/>
        <color indexed="8"/>
        <name val="Calibri"/>
        <family val="2"/>
        <scheme val="none"/>
      </font>
      <numFmt numFmtId="0" formatCode="General"/>
      <fill>
        <patternFill patternType="solid">
          <fgColor indexed="64"/>
          <bgColor theme="4" tint="0.399975585192419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indexed="8"/>
        <name val="Calibri"/>
        <family val="2"/>
        <scheme val="none"/>
      </font>
      <fill>
        <patternFill patternType="solid">
          <fgColor indexed="64"/>
          <bgColor theme="4" tint="0.39997558519241921"/>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39997558519241921"/>
        </patternFill>
      </fill>
      <alignment horizontal="general" vertical="bottom" textRotation="0" wrapText="0" indent="0" justifyLastLine="0" shrinkToFit="0" readingOrder="0"/>
      <border diagonalUp="0" diagonalDown="0" outline="0">
        <left/>
        <right/>
        <top style="thin">
          <color indexed="64"/>
        </top>
        <bottom/>
      </border>
      <protection locked="1" hidden="0"/>
    </dxf>
    <dxf>
      <fill>
        <patternFill patternType="solid">
          <fgColor theme="4" tint="0.79998168889431442"/>
          <bgColor theme="4" tint="0.3999755851924192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indexed="8"/>
        <name val="Calibri"/>
        <family val="2"/>
        <scheme val="none"/>
      </font>
      <numFmt numFmtId="30" formatCode="@"/>
      <fill>
        <patternFill patternType="solid">
          <fgColor indexed="64"/>
          <bgColor theme="4" tint="0.399975585192419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z val="11"/>
        <color indexed="8"/>
        <name val="Calibri"/>
        <family val="2"/>
        <scheme val="none"/>
      </font>
      <numFmt numFmtId="30" formatCode="@"/>
      <fill>
        <patternFill patternType="solid">
          <fgColor indexed="64"/>
          <bgColor theme="4" tint="0.39997558519241921"/>
        </patternFill>
      </fill>
      <alignment horizontal="left" vertical="bottom" textRotation="0" wrapText="1" indent="0" justifyLastLine="0" shrinkToFit="0" readingOrder="0"/>
      <border diagonalUp="0" diagonalDown="0" outline="0">
        <left style="thin">
          <color indexed="22"/>
        </left>
        <right style="thin">
          <color indexed="22"/>
        </right>
        <top style="thin">
          <color indexed="22"/>
        </top>
        <bottom style="thin">
          <color indexed="22"/>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39997558519241921"/>
        </patternFill>
      </fill>
      <alignment horizontal="general" vertical="bottom" textRotation="0" wrapText="0" indent="0" justifyLastLine="0" shrinkToFit="0" readingOrder="0"/>
      <border diagonalUp="0" diagonalDown="0" outline="0">
        <left style="thin">
          <color indexed="64"/>
        </left>
        <right/>
        <top style="thin">
          <color indexed="64"/>
        </top>
        <bottom/>
      </border>
      <protection locked="1" hidden="0"/>
    </dxf>
    <dxf>
      <fill>
        <patternFill patternType="solid">
          <fgColor theme="4" tint="0.79998168889431442"/>
          <bgColor theme="4" tint="0.39997558519241921"/>
        </patternFill>
      </fill>
      <border diagonalUp="0" diagonalDown="0" outline="0">
        <left style="thin">
          <color indexed="64"/>
        </left>
        <right style="thin">
          <color indexed="22"/>
        </right>
        <top style="thin">
          <color indexed="64"/>
        </top>
        <bottom style="thin">
          <color indexed="64"/>
        </bottom>
      </border>
    </dxf>
    <dxf>
      <font>
        <b val="0"/>
        <i val="0"/>
        <strike val="0"/>
        <condense val="0"/>
        <extend val="0"/>
        <outline val="0"/>
        <shadow val="0"/>
        <u val="none"/>
        <vertAlign val="baseline"/>
        <sz val="11"/>
        <color indexed="8"/>
        <name val="Calibri"/>
        <family val="2"/>
        <scheme val="none"/>
      </font>
      <numFmt numFmtId="0" formatCode="General"/>
      <fill>
        <patternFill patternType="solid">
          <fgColor indexed="64"/>
          <bgColor theme="4" tint="0.39997558519241921"/>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indexed="8"/>
        <name val="Calibri"/>
        <family val="2"/>
        <scheme val="none"/>
      </font>
      <fill>
        <patternFill patternType="solid">
          <fgColor indexed="64"/>
          <bgColor theme="4" tint="0.3999755851924192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none"/>
      </font>
      <numFmt numFmtId="1" formatCode="0"/>
      <fill>
        <patternFill patternType="solid">
          <fgColor indexed="64"/>
          <bgColor theme="4" tint="0.399975585192419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indexed="8"/>
        <name val="Calibri"/>
        <family val="2"/>
        <scheme val="none"/>
      </font>
      <numFmt numFmtId="1" formatCode="0"/>
      <fill>
        <patternFill patternType="solid">
          <fgColor indexed="64"/>
          <bgColor theme="4" tint="0.39997558519241921"/>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0" formatCode="General"/>
      <fill>
        <patternFill patternType="solid">
          <fgColor indexed="64"/>
          <bgColor theme="4" tint="0.39997558519241921"/>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indexed="8"/>
        <name val="Calibri"/>
        <family val="2"/>
        <scheme val="none"/>
      </font>
      <fill>
        <patternFill patternType="solid">
          <fgColor indexed="64"/>
          <bgColor theme="4" tint="0.3999755851924192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right style="thin">
          <color rgb="FF000000"/>
        </right>
        <top style="medium">
          <color rgb="FF000000"/>
        </top>
        <bottom style="thin">
          <color rgb="FF000000"/>
        </bottom>
      </border>
    </dxf>
    <dxf>
      <border outline="0">
        <bottom style="medium">
          <color rgb="FF000000"/>
        </bottom>
      </border>
    </dxf>
    <dxf>
      <font>
        <b val="0"/>
        <i val="0"/>
        <strike val="0"/>
        <condense val="0"/>
        <extend val="0"/>
        <outline val="0"/>
        <shadow val="0"/>
        <u val="none"/>
        <vertAlign val="baseline"/>
        <sz val="11"/>
        <color indexed="8"/>
        <name val="Calibri"/>
        <family val="2"/>
        <scheme val="none"/>
      </font>
      <fill>
        <patternFill patternType="solid">
          <fgColor indexed="0"/>
          <bgColor theme="4" tint="0.3999755851924192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left" vertical="bottom" textRotation="0" wrapText="0" indent="0" justifyLastLine="0" shrinkToFit="0" readingOrder="0"/>
      <protection locked="1" hidden="0"/>
    </dxf>
    <dxf>
      <font>
        <b val="0"/>
      </font>
      <fill>
        <patternFill patternType="none">
          <fgColor indexed="64"/>
          <bgColor indexed="65"/>
        </patternFill>
      </fill>
      <alignment horizontal="right" vertical="bottom" textRotation="0" wrapText="0" indent="0" justifyLastLine="0" shrinkToFit="0" readingOrder="0"/>
      <protection locked="1" hidden="0"/>
    </dxf>
    <dxf>
      <font>
        <b/>
        <i val="0"/>
        <strike val="0"/>
        <condense val="0"/>
        <extend val="0"/>
        <outline val="0"/>
        <shadow val="0"/>
        <u val="none"/>
        <vertAlign val="baseline"/>
        <sz val="11"/>
        <color rgb="FF000000"/>
        <name val="Calibri"/>
        <scheme val="none"/>
      </font>
      <fill>
        <patternFill patternType="none">
          <fgColor indexed="64"/>
          <bgColor indexed="65"/>
        </patternFill>
      </fill>
      <alignment horizontal="left" vertical="bottom" textRotation="0" wrapText="0" indent="0" justifyLastLine="0" shrinkToFit="0" readingOrder="0"/>
      <protection locked="1" hidden="0"/>
    </dxf>
    <dxf>
      <numFmt numFmtId="1" formatCode="0"/>
    </dxf>
    <dxf>
      <numFmt numFmtId="166" formatCode="0.0"/>
    </dxf>
    <dxf>
      <numFmt numFmtId="166" formatCode="0.0"/>
    </dxf>
    <dxf>
      <numFmt numFmtId="1" formatCode="0"/>
    </dxf>
    <dxf>
      <numFmt numFmtId="166" formatCode="0.0"/>
    </dxf>
    <dxf>
      <numFmt numFmtId="1" formatCode="0"/>
    </dxf>
    <dxf>
      <numFmt numFmtId="166" formatCode="0.0"/>
    </dxf>
    <dxf>
      <numFmt numFmtId="1" formatCode="0"/>
    </dxf>
    <dxf>
      <numFmt numFmtId="166" formatCode="0.0"/>
    </dxf>
    <dxf>
      <numFmt numFmtId="1" formatCode="0"/>
    </dxf>
    <dxf>
      <numFmt numFmtId="166" formatCode="0.0"/>
    </dxf>
    <dxf>
      <numFmt numFmtId="1" formatCode="0"/>
    </dxf>
    <dxf>
      <numFmt numFmtId="166" formatCode="0.0"/>
    </dxf>
    <dxf>
      <numFmt numFmtId="1" formatCode="0"/>
    </dxf>
    <dxf>
      <numFmt numFmtId="166" formatCode="0.0"/>
    </dxf>
    <dxf>
      <numFmt numFmtId="1" formatCode="0"/>
    </dxf>
    <dxf>
      <numFmt numFmtId="1" formatCode="0"/>
    </dxf>
    <dxf>
      <numFmt numFmtId="166" formatCode="0.0"/>
    </dxf>
    <dxf>
      <numFmt numFmtId="1" formatCode="0"/>
    </dxf>
    <dxf>
      <numFmt numFmtId="166" formatCode="0.0"/>
    </dxf>
    <dxf>
      <numFmt numFmtId="166" formatCode="0.0"/>
    </dxf>
    <dxf>
      <numFmt numFmtId="1" formatCode="0"/>
    </dxf>
    <dxf>
      <font>
        <b val="0"/>
        <i val="0"/>
        <strike val="0"/>
        <condense val="0"/>
        <extend val="0"/>
        <outline val="0"/>
        <shadow val="0"/>
        <u val="none"/>
        <vertAlign val="baseline"/>
        <sz val="11"/>
        <color theme="1"/>
        <name val="Calibri"/>
        <family val="2"/>
        <scheme val="minor"/>
      </font>
      <numFmt numFmtId="4" formatCode="#,##0.00"/>
    </dxf>
    <dxf>
      <numFmt numFmtId="4" formatCode="#,##0.00"/>
      <fill>
        <patternFill patternType="solid">
          <fgColor indexed="64"/>
          <bgColor theme="7" tint="0.79998168889431442"/>
        </patternFill>
      </fill>
      <alignment horizontal="general" vertical="bottom" textRotation="0" wrapText="0"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1"/>
        <color theme="4"/>
        <name val="Calibri"/>
        <family val="2"/>
        <scheme val="minor"/>
      </font>
      <numFmt numFmtId="4" formatCode="#,##0.00"/>
    </dxf>
    <dxf>
      <numFmt numFmtId="4" formatCode="#,##0.00"/>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4"/>
        <name val="Calibri"/>
        <family val="2"/>
        <scheme val="minor"/>
      </font>
      <numFmt numFmtId="4" formatCode="#,##0.00"/>
    </dxf>
    <dxf>
      <numFmt numFmtId="4" formatCode="#,##0.00"/>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family val="2"/>
        <scheme val="minor"/>
      </font>
    </dxf>
    <dxf>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4"/>
        <name val="Calibri"/>
        <family val="2"/>
        <scheme val="minor"/>
      </font>
      <numFmt numFmtId="4" formatCode="#,##0.00"/>
    </dxf>
    <dxf>
      <numFmt numFmtId="4" formatCode="#,##0.00"/>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family val="2"/>
        <scheme val="minor"/>
      </font>
      <numFmt numFmtId="14" formatCode="0.00%"/>
    </dxf>
    <dxf>
      <numFmt numFmtId="14" formatCode="0.00%"/>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4"/>
        <name val="Calibri"/>
        <family val="2"/>
        <scheme val="minor"/>
      </font>
      <numFmt numFmtId="4" formatCode="#,##0.00"/>
    </dxf>
    <dxf>
      <numFmt numFmtId="4" formatCode="#,##0.00"/>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4"/>
        <name val="Calibri"/>
        <family val="2"/>
        <scheme val="minor"/>
      </font>
    </dxf>
    <dxf>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family val="2"/>
        <scheme val="minor"/>
      </font>
    </dxf>
    <dxf>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4"/>
        <name val="Calibri"/>
        <family val="2"/>
        <scheme val="minor"/>
      </font>
    </dxf>
    <dxf>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family val="2"/>
        <scheme val="minor"/>
      </font>
      <numFmt numFmtId="4" formatCode="#,##0.00"/>
    </dxf>
    <dxf>
      <font>
        <strike val="0"/>
        <outline val="0"/>
        <shadow val="0"/>
        <u val="none"/>
        <vertAlign val="baseline"/>
        <sz val="11"/>
        <color auto="1"/>
        <name val="Calibri"/>
        <family val="2"/>
        <scheme val="minor"/>
      </font>
      <numFmt numFmtId="4" formatCode="#,##0.00"/>
      <fill>
        <patternFill patternType="none">
          <fgColor indexed="64"/>
          <bgColor indexed="65"/>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family val="2"/>
        <scheme val="minor"/>
      </font>
    </dxf>
    <dxf>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family val="2"/>
        <scheme val="minor"/>
      </font>
    </dxf>
    <dxf>
      <alignment horizontal="general" vertical="bottom" textRotation="0" wrapText="0"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theme="1"/>
        <name val="Calibri"/>
        <family val="2"/>
        <scheme val="minor"/>
      </font>
      <numFmt numFmtId="3" formatCode="#,##0"/>
    </dxf>
    <dxf>
      <numFmt numFmtId="3" formatCode="#,##0"/>
      <fill>
        <patternFill patternType="solid">
          <fgColor indexed="64"/>
          <bgColor rgb="FFDD0BC9"/>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family val="2"/>
        <scheme val="minor"/>
      </font>
    </dxf>
    <dxf>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theme="1"/>
        <name val="Calibri"/>
        <family val="2"/>
        <scheme val="minor"/>
      </font>
    </dxf>
    <dxf>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family val="2"/>
        <scheme val="minor"/>
      </font>
    </dxf>
    <dxf>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family val="2"/>
        <scheme val="minor"/>
      </font>
    </dxf>
    <dxf>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family val="2"/>
        <scheme val="minor"/>
      </font>
    </dxf>
    <dxf>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family val="2"/>
        <scheme val="minor"/>
      </font>
    </dxf>
    <dxf>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family val="2"/>
        <scheme val="minor"/>
      </font>
    </dxf>
    <dxf>
      <alignment horizontal="general" vertical="bottom" textRotation="0" wrapText="0"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family val="2"/>
        <scheme val="minor"/>
      </font>
    </dxf>
    <dxf>
      <alignment horizontal="general" vertical="bottom" textRotation="0" wrapText="0" indent="0" justifyLastLine="0" shrinkToFit="0" readingOrder="0"/>
      <border diagonalUp="0" diagonalDown="0">
        <left/>
        <right style="thin">
          <color auto="1"/>
        </right>
        <top style="thin">
          <color auto="1"/>
        </top>
        <bottom style="thin">
          <color auto="1"/>
        </bottom>
        <vertical/>
        <horizontal/>
      </border>
    </dxf>
    <dxf>
      <fill>
        <patternFill patternType="none">
          <fgColor indexed="64"/>
          <bgColor auto="1"/>
        </patternFill>
      </fill>
    </dxf>
    <dxf>
      <border outline="0">
        <left style="medium">
          <color indexed="64"/>
        </left>
        <right style="medium">
          <color indexed="64"/>
        </right>
        <top style="medium">
          <color indexed="64"/>
        </top>
      </border>
    </dxf>
    <dxf>
      <alignment horizontal="general" vertical="bottom" textRotation="0" wrapText="0" indent="0" justifyLastLine="0" shrinkToFit="0" readingOrder="0"/>
    </dxf>
    <dxf>
      <font>
        <b/>
        <i val="0"/>
        <strike val="0"/>
        <condense val="0"/>
        <extend val="0"/>
        <outline val="0"/>
        <shadow val="0"/>
        <u val="none"/>
        <vertAlign val="baseline"/>
        <sz val="11"/>
        <color auto="1"/>
        <name val="Calibri"/>
        <family val="2"/>
        <scheme val="minor"/>
      </font>
      <numFmt numFmtId="4" formatCode="#,##0.00"/>
      <fill>
        <patternFill patternType="solid">
          <fgColor indexed="64"/>
          <bgColor theme="2" tint="-9.9978637043366805E-2"/>
        </patternFill>
      </fill>
      <alignment horizontal="center" vertical="center" textRotation="0" wrapText="1" indent="0" justifyLastLine="0" shrinkToFit="0" readingOrder="0"/>
      <border diagonalUp="0" diagonalDown="0" outline="0">
        <left style="thin">
          <color auto="1"/>
        </left>
        <right style="thin">
          <color auto="1"/>
        </right>
        <top/>
        <bottom/>
      </border>
    </dxf>
    <dxf>
      <numFmt numFmtId="4" formatCode="#,##0.00"/>
      <fill>
        <patternFill patternType="solid">
          <fgColor indexed="64"/>
          <bgColor theme="7" tint="0.79998168889431442"/>
        </patternFill>
      </fill>
      <alignment horizontal="general" vertical="bottom" textRotation="0" wrapText="0" indent="0" justifyLastLine="0" shrinkToFit="0" readingOrder="0"/>
      <border diagonalUp="0" diagonalDown="0" outline="0">
        <left style="thin">
          <color indexed="64"/>
        </left>
        <right/>
        <top style="thin">
          <color auto="1"/>
        </top>
        <bottom style="thin">
          <color auto="1"/>
        </bottom>
      </border>
      <protection locked="0" hidden="0"/>
    </dxf>
    <dxf>
      <numFmt numFmtId="4" formatCode="#,##0.00"/>
      <fill>
        <patternFill>
          <fgColor indexed="64"/>
          <bgColor rgb="FFDD0BC9"/>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numFmt numFmtId="4" formatCode="#,##0.00"/>
      <border diagonalUp="0" diagonalDown="0" outline="0">
        <left style="thin">
          <color auto="1"/>
        </left>
        <right style="thin">
          <color indexed="64"/>
        </right>
        <top style="thin">
          <color auto="1"/>
        </top>
        <bottom style="thin">
          <color auto="1"/>
        </bottom>
      </border>
      <protection locked="0" hidden="0"/>
    </dxf>
    <dxf>
      <numFmt numFmtId="4" formatCode="#,##0.0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numFmt numFmtId="4" formatCode="#,##0.00"/>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numFmt numFmtId="4" formatCode="#,##0.00"/>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numFmt numFmtId="4" formatCode="#,##0.00"/>
      <fill>
        <patternFill patternType="solid">
          <fgColor indexed="64"/>
          <bgColor rgb="FFFF66FF"/>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numFmt numFmtId="4" formatCode="#,##0.00"/>
      <fill>
        <patternFill patternType="solid">
          <fgColor indexed="64"/>
          <bgColor rgb="FFFF66FF"/>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strike val="0"/>
        <outline val="0"/>
        <shadow val="0"/>
        <u val="none"/>
        <vertAlign val="baseline"/>
        <sz val="11"/>
        <color auto="1"/>
        <name val="Calibri"/>
        <family val="2"/>
        <scheme val="minor"/>
      </font>
      <numFmt numFmtId="4" formatCode="#,##0.00"/>
      <fill>
        <patternFill patternType="none">
          <fgColor indexed="64"/>
          <bgColor indexed="65"/>
        </patternFill>
      </fill>
      <border diagonalUp="0" diagonalDown="0" outline="0">
        <left style="thin">
          <color indexed="64"/>
        </left>
        <right style="thin">
          <color auto="1"/>
        </right>
        <top style="thin">
          <color auto="1"/>
        </top>
        <bottom style="thin">
          <color auto="1"/>
        </bottom>
      </border>
      <protection locked="0" hidden="0"/>
    </dxf>
    <dxf>
      <font>
        <strike val="0"/>
        <outline val="0"/>
        <shadow val="0"/>
        <u val="none"/>
        <vertAlign val="baseline"/>
        <sz val="11"/>
        <color auto="1"/>
        <name val="Calibri"/>
        <family val="2"/>
        <scheme val="minor"/>
      </font>
      <fill>
        <patternFill patternType="solid">
          <fgColor indexed="64"/>
          <bgColor rgb="FFDD0BC9"/>
        </patternFill>
      </fill>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1"/>
        <color auto="1"/>
        <name val="Calibri"/>
        <family val="2"/>
        <scheme val="minor"/>
      </font>
      <fill>
        <patternFill patternType="none">
          <fgColor indexed="64"/>
          <bgColor indexed="65"/>
        </patternFill>
      </fill>
      <border diagonalUp="0" diagonalDown="0" outline="0">
        <left style="thin">
          <color auto="1"/>
        </left>
        <right style="thin">
          <color indexed="64"/>
        </right>
        <top style="thin">
          <color auto="1"/>
        </top>
        <bottom style="thin">
          <color auto="1"/>
        </bottom>
      </border>
      <protection locked="0" hidden="0"/>
    </dxf>
    <dxf>
      <numFmt numFmtId="4" formatCode="#,##0.00"/>
      <fill>
        <patternFill patternType="none">
          <fgColor indexed="64"/>
          <bgColor indexed="65"/>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numFmt numFmtId="4" formatCode="#,##0.00"/>
      <fill>
        <patternFill patternType="none">
          <fgColor indexed="64"/>
          <bgColor indexed="65"/>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numFmt numFmtId="4" formatCode="#,##0.00"/>
      <fill>
        <patternFill patternType="none">
          <fgColor indexed="64"/>
          <bgColor indexed="65"/>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auto="1"/>
        </right>
        <top style="thin">
          <color auto="1"/>
        </top>
        <bottom style="thin">
          <color auto="1"/>
        </bottom>
      </border>
      <protection locked="0" hidden="0"/>
    </dxf>
    <dxf>
      <numFmt numFmtId="3" formatCode="#,##0"/>
      <fill>
        <patternFill patternType="solid">
          <fgColor indexed="64"/>
          <bgColor rgb="FFDD0BC9"/>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auto="1"/>
        </left>
        <right style="thin">
          <color indexed="64"/>
        </right>
        <top style="thin">
          <color auto="1"/>
        </top>
        <bottom style="thin">
          <color auto="1"/>
        </bottom>
      </border>
      <protection locked="0" hidden="0"/>
    </dxf>
    <dxf>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ill>
        <patternFill patternType="none">
          <fgColor indexed="64"/>
          <bgColor rgb="FFFF0000"/>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numFmt numFmtId="0" formatCode="Genera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alignment horizontal="general" vertical="bottom"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protection locked="0" hidden="0"/>
    </dxf>
    <dxf>
      <border>
        <top style="thin">
          <color auto="1"/>
        </top>
      </border>
    </dxf>
    <dxf>
      <border diagonalUp="0" diagonalDown="0">
        <left style="medium">
          <color rgb="FF000000"/>
        </left>
        <right style="medium">
          <color rgb="FF000000"/>
        </right>
        <top style="medium">
          <color rgb="FF000000"/>
        </top>
        <bottom style="medium">
          <color rgb="FF000000"/>
        </bottom>
      </border>
    </dxf>
    <dxf>
      <protection locked="0" hidden="0"/>
    </dxf>
    <dxf>
      <border>
        <bottom style="medium">
          <color rgb="FF000000"/>
        </bottom>
      </border>
    </dxf>
    <dxf>
      <font>
        <b/>
        <i val="0"/>
        <strike val="0"/>
        <condense val="0"/>
        <extend val="0"/>
        <outline val="0"/>
        <shadow val="0"/>
        <u val="none"/>
        <vertAlign val="baseline"/>
        <sz val="11"/>
        <color auto="1"/>
        <name val="Calibri"/>
        <family val="2"/>
        <scheme val="minor"/>
      </font>
      <numFmt numFmtId="4" formatCode="#,##0.00"/>
      <fill>
        <patternFill patternType="solid">
          <fgColor indexed="64"/>
          <bgColor theme="0" tint="-0.14999847407452621"/>
        </patternFill>
      </fill>
      <alignment horizontal="general" vertical="center"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11"/>
        <color theme="1"/>
        <name val="Calibri"/>
        <family val="2"/>
        <scheme val="minor"/>
      </font>
      <numFmt numFmtId="4" formatCode="#,##0.00"/>
      <protection locked="0" hidden="0"/>
    </dxf>
    <dxf>
      <numFmt numFmtId="4" formatCode="#,##0.00"/>
      <fill>
        <patternFill patternType="solid">
          <fgColor indexed="64"/>
          <bgColor theme="7" tint="0.79998168889431442"/>
        </patternFill>
      </fill>
      <alignment horizontal="general" vertical="bottom" textRotation="0" wrapText="0" indent="0" justifyLastLine="0" shrinkToFit="0" readingOrder="0"/>
      <border diagonalUp="0" diagonalDown="0">
        <left style="thin">
          <color auto="1"/>
        </left>
        <right/>
        <top style="thin">
          <color auto="1"/>
        </top>
        <bottom style="thin">
          <color auto="1"/>
        </bottom>
      </border>
      <protection locked="0" hidden="0"/>
    </dxf>
    <dxf>
      <font>
        <b val="0"/>
        <i val="0"/>
        <strike val="0"/>
        <condense val="0"/>
        <extend val="0"/>
        <outline val="0"/>
        <shadow val="0"/>
        <u val="none"/>
        <vertAlign val="baseline"/>
        <sz val="11"/>
        <color theme="4"/>
        <name val="Calibri"/>
        <family val="2"/>
        <scheme val="minor"/>
      </font>
      <numFmt numFmtId="4" formatCode="#,##0.00"/>
      <protection locked="0" hidden="0"/>
    </dxf>
    <dxf>
      <numFmt numFmtId="4" formatCode="#,##0.00"/>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4"/>
        <name val="Calibri"/>
        <family val="2"/>
        <scheme val="minor"/>
      </font>
      <numFmt numFmtId="4" formatCode="#,##0.00"/>
      <protection locked="0" hidden="0"/>
    </dxf>
    <dxf>
      <numFmt numFmtId="4" formatCode="#,##0.00"/>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family val="2"/>
        <scheme val="minor"/>
      </font>
      <protection locked="0" hidden="0"/>
    </dxf>
    <dxf>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4"/>
        <name val="Calibri"/>
        <family val="2"/>
        <scheme val="minor"/>
      </font>
      <numFmt numFmtId="4" formatCode="#,##0.00"/>
      <protection locked="0" hidden="0"/>
    </dxf>
    <dxf>
      <numFmt numFmtId="4" formatCode="#,##0.00"/>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family val="2"/>
        <scheme val="minor"/>
      </font>
      <numFmt numFmtId="14" formatCode="0.00%"/>
      <protection locked="0" hidden="0"/>
    </dxf>
    <dxf>
      <numFmt numFmtId="14" formatCode="0.00%"/>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4"/>
        <name val="Calibri"/>
        <family val="2"/>
        <scheme val="minor"/>
      </font>
      <numFmt numFmtId="4" formatCode="#,##0.00"/>
      <protection locked="0" hidden="0"/>
    </dxf>
    <dxf>
      <numFmt numFmtId="4" formatCode="#,##0.00"/>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4"/>
        <name val="Calibri"/>
        <family val="2"/>
        <scheme val="minor"/>
      </font>
      <protection locked="0" hidden="0"/>
    </dxf>
    <dxf>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family val="2"/>
        <scheme val="minor"/>
      </font>
      <protection locked="0" hidden="0"/>
    </dxf>
    <dxf>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4"/>
        <name val="Calibri"/>
        <family val="2"/>
        <scheme val="minor"/>
      </font>
      <protection locked="0" hidden="0"/>
    </dxf>
    <dxf>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family val="2"/>
        <scheme val="minor"/>
      </font>
      <numFmt numFmtId="4" formatCode="#,##0.00"/>
      <protection locked="0" hidden="0"/>
    </dxf>
    <dxf>
      <font>
        <strike val="0"/>
        <outline val="0"/>
        <shadow val="0"/>
        <u val="none"/>
        <vertAlign val="baseline"/>
        <sz val="11"/>
        <color auto="1"/>
        <name val="Calibri"/>
        <family val="2"/>
        <scheme val="minor"/>
      </font>
      <numFmt numFmtId="4" formatCode="#,##0.00"/>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family val="2"/>
        <scheme val="minor"/>
      </font>
      <protection locked="0" hidden="0"/>
    </dxf>
    <dxf>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family val="2"/>
        <scheme val="minor"/>
      </font>
      <protection locked="0" hidden="0"/>
    </dxf>
    <dxf>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family val="2"/>
        <scheme val="minor"/>
      </font>
      <numFmt numFmtId="3" formatCode="#,##0"/>
      <fill>
        <patternFill patternType="none">
          <fgColor indexed="64"/>
          <bgColor rgb="FFDD0BC9"/>
        </patternFill>
      </fill>
      <protection locked="0" hidden="0"/>
    </dxf>
    <dxf>
      <numFmt numFmtId="3" formatCode="#,##0"/>
      <fill>
        <patternFill patternType="solid">
          <fgColor indexed="64"/>
          <bgColor rgb="FFDD0BC9"/>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family val="2"/>
        <scheme val="minor"/>
      </font>
      <protection locked="0" hidden="0"/>
    </dxf>
    <dxf>
      <numFmt numFmtId="0" formatCode="General"/>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family val="2"/>
        <scheme val="minor"/>
      </font>
      <protection locked="0" hidden="0"/>
    </dxf>
    <dxf>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family val="2"/>
        <scheme val="minor"/>
      </font>
      <protection locked="0" hidden="0"/>
    </dxf>
    <dxf>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family val="2"/>
        <scheme val="minor"/>
      </font>
      <protection locked="0" hidden="0"/>
    </dxf>
    <dxf>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family val="2"/>
        <scheme val="minor"/>
      </font>
      <protection locked="0" hidden="0"/>
    </dxf>
    <dxf>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family val="2"/>
        <scheme val="minor"/>
      </font>
      <protection locked="0" hidden="0"/>
    </dxf>
    <dxf>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family val="2"/>
        <scheme val="minor"/>
      </font>
      <protection locked="0" hidden="0"/>
    </dxf>
    <dxf>
      <alignment horizontal="general" vertical="bottom" textRotation="0" wrapText="0" indent="0" justifyLastLine="0" shrinkToFit="0" readingOrder="0"/>
      <border diagonalUp="0" diagonalDown="0">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family val="2"/>
        <scheme val="minor"/>
      </font>
      <protection locked="0" hidden="0"/>
    </dxf>
    <dxf>
      <alignment horizontal="general" vertical="bottom" textRotation="0" wrapText="0" indent="0" justifyLastLine="0" shrinkToFit="0" readingOrder="0"/>
      <border diagonalUp="0" diagonalDown="0">
        <left/>
        <right style="thin">
          <color auto="1"/>
        </right>
        <top style="thin">
          <color auto="1"/>
        </top>
        <bottom style="thin">
          <color auto="1"/>
        </bottom>
        <vertical/>
        <horizontal/>
      </border>
      <protection locked="0" hidden="0"/>
    </dxf>
    <dxf>
      <numFmt numFmtId="193" formatCode="#.##000"/>
      <fill>
        <patternFill patternType="none">
          <fgColor indexed="64"/>
          <bgColor auto="1"/>
        </patternFill>
      </fill>
      <protection locked="0" hidden="0"/>
    </dxf>
    <dxf>
      <border outline="0">
        <left style="medium">
          <color indexed="64"/>
        </left>
        <right style="medium">
          <color indexed="64"/>
        </right>
        <top style="medium">
          <color indexed="64"/>
        </top>
      </border>
    </dxf>
    <dxf>
      <numFmt numFmtId="193" formatCode="#.##000"/>
      <alignment horizontal="general" vertical="bottom" textRotation="0" wrapText="0" indent="0" justifyLastLine="0" shrinkToFit="0" readingOrder="0"/>
      <protection locked="0" hidden="0"/>
    </dxf>
    <dxf>
      <font>
        <b/>
        <i val="0"/>
        <strike val="0"/>
        <condense val="0"/>
        <extend val="0"/>
        <outline val="0"/>
        <shadow val="0"/>
        <u val="none"/>
        <vertAlign val="baseline"/>
        <sz val="11"/>
        <color auto="1"/>
        <name val="Calibri"/>
        <family val="2"/>
        <scheme val="minor"/>
      </font>
      <numFmt numFmtId="4" formatCode="#,##0.00"/>
      <fill>
        <patternFill patternType="solid">
          <fgColor indexed="64"/>
          <bgColor theme="2" tint="-9.9978637043366805E-2"/>
        </patternFill>
      </fill>
      <alignment horizontal="center" vertical="center" textRotation="0" wrapText="1" indent="0" justifyLastLine="0" shrinkToFit="0" readingOrder="0"/>
      <border diagonalUp="0" diagonalDown="0">
        <left style="thin">
          <color auto="1"/>
        </left>
        <right style="thin">
          <color auto="1"/>
        </right>
        <top/>
        <bottom/>
      </border>
      <protection locked="0" hidden="0"/>
    </dxf>
    <dxf>
      <numFmt numFmtId="4" formatCode="#,##0.00"/>
      <fill>
        <patternFill patternType="solid">
          <fgColor indexed="64"/>
          <bgColor theme="7" tint="0.79998168889431442"/>
        </patternFill>
      </fill>
      <alignment horizontal="general" vertical="bottom" textRotation="0" wrapText="0" indent="0" justifyLastLine="0" shrinkToFit="0" readingOrder="0"/>
      <border diagonalUp="0" diagonalDown="0" outline="0">
        <left style="thin">
          <color indexed="64"/>
        </left>
        <right/>
        <top style="thin">
          <color auto="1"/>
        </top>
        <bottom style="thin">
          <color auto="1"/>
        </bottom>
      </border>
      <protection locked="0" hidden="0"/>
    </dxf>
    <dxf>
      <numFmt numFmtId="4" formatCode="#,##0.00"/>
      <fill>
        <patternFill>
          <fgColor indexed="64"/>
          <bgColor rgb="FFDD0BC9"/>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numFmt numFmtId="4" formatCode="#,##0.00"/>
      <border diagonalUp="0" diagonalDown="0" outline="0">
        <left style="thin">
          <color auto="1"/>
        </left>
        <right style="thin">
          <color indexed="64"/>
        </right>
        <top style="thin">
          <color auto="1"/>
        </top>
        <bottom style="thin">
          <color auto="1"/>
        </bottom>
      </border>
      <protection locked="0" hidden="0"/>
    </dxf>
    <dxf>
      <numFmt numFmtId="4" formatCode="#,##0.0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numFmt numFmtId="4" formatCode="#,##0.00"/>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numFmt numFmtId="4" formatCode="#,##0.00"/>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numFmt numFmtId="4" formatCode="#,##0.00"/>
      <fill>
        <patternFill patternType="solid">
          <fgColor indexed="64"/>
          <bgColor rgb="FFFF66FF"/>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numFmt numFmtId="4" formatCode="#,##0.00"/>
      <fill>
        <patternFill patternType="solid">
          <fgColor indexed="64"/>
          <bgColor rgb="FFFF66FF"/>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strike val="0"/>
        <outline val="0"/>
        <shadow val="0"/>
        <u val="none"/>
        <vertAlign val="baseline"/>
        <sz val="11"/>
        <color auto="1"/>
        <name val="Calibri"/>
        <family val="2"/>
        <scheme val="minor"/>
      </font>
      <numFmt numFmtId="4" formatCode="#,##0.00"/>
      <fill>
        <patternFill patternType="none">
          <fgColor indexed="64"/>
          <bgColor indexed="65"/>
        </patternFill>
      </fill>
      <border diagonalUp="0" diagonalDown="0" outline="0">
        <left style="thin">
          <color indexed="64"/>
        </left>
        <right style="thin">
          <color auto="1"/>
        </right>
        <top style="thin">
          <color auto="1"/>
        </top>
        <bottom style="thin">
          <color auto="1"/>
        </bottom>
      </border>
      <protection locked="0" hidden="0"/>
    </dxf>
    <dxf>
      <font>
        <strike val="0"/>
        <outline val="0"/>
        <shadow val="0"/>
        <u val="none"/>
        <vertAlign val="baseline"/>
        <sz val="11"/>
        <color auto="1"/>
        <name val="Calibri"/>
        <family val="2"/>
        <scheme val="minor"/>
      </font>
      <fill>
        <patternFill patternType="solid">
          <fgColor indexed="64"/>
          <bgColor rgb="FFDD0BC9"/>
        </patternFill>
      </fill>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1"/>
        <color auto="1"/>
        <name val="Calibri"/>
        <family val="2"/>
        <scheme val="minor"/>
      </font>
      <fill>
        <patternFill patternType="none">
          <fgColor indexed="64"/>
          <bgColor indexed="65"/>
        </patternFill>
      </fill>
      <border diagonalUp="0" diagonalDown="0" outline="0">
        <left style="thin">
          <color auto="1"/>
        </left>
        <right style="thin">
          <color indexed="64"/>
        </right>
        <top style="thin">
          <color auto="1"/>
        </top>
        <bottom style="thin">
          <color auto="1"/>
        </bottom>
      </border>
      <protection locked="0" hidden="0"/>
    </dxf>
    <dxf>
      <numFmt numFmtId="4" formatCode="#,##0.00"/>
      <fill>
        <patternFill patternType="none">
          <fgColor indexed="64"/>
          <bgColor indexed="65"/>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numFmt numFmtId="4" formatCode="#,##0.00"/>
      <fill>
        <patternFill patternType="none">
          <fgColor indexed="64"/>
          <bgColor indexed="65"/>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numFmt numFmtId="4" formatCode="#,##0.00"/>
      <fill>
        <patternFill patternType="none">
          <fgColor indexed="64"/>
          <bgColor indexed="65"/>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auto="1"/>
        </right>
        <top style="thin">
          <color auto="1"/>
        </top>
        <bottom style="thin">
          <color auto="1"/>
        </bottom>
      </border>
      <protection locked="0" hidden="0"/>
    </dxf>
    <dxf>
      <numFmt numFmtId="3" formatCode="#,##0"/>
      <fill>
        <patternFill patternType="solid">
          <fgColor indexed="64"/>
          <bgColor rgb="FFDD0BC9"/>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auto="1"/>
        </left>
        <right style="thin">
          <color indexed="64"/>
        </right>
        <top style="thin">
          <color auto="1"/>
        </top>
        <bottom style="thin">
          <color auto="1"/>
        </bottom>
      </border>
      <protection locked="0" hidden="0"/>
    </dxf>
    <dxf>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ill>
        <patternFill patternType="none">
          <fgColor indexed="64"/>
          <bgColor rgb="FFFF0000"/>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numFmt numFmtId="0" formatCode="Genera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alignment horizontal="general" vertical="bottom"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protection locked="0" hidden="0"/>
    </dxf>
    <dxf>
      <border>
        <top style="thin">
          <color auto="1"/>
        </top>
      </border>
    </dxf>
    <dxf>
      <border diagonalUp="0" diagonalDown="0">
        <left style="medium">
          <color indexed="64"/>
        </left>
        <right style="medium">
          <color indexed="64"/>
        </right>
        <top style="medium">
          <color indexed="64"/>
        </top>
        <bottom style="medium">
          <color indexed="64"/>
        </bottom>
      </border>
    </dxf>
    <dxf>
      <protection locked="0" hidden="0"/>
    </dxf>
    <dxf>
      <border>
        <bottom style="medium">
          <color indexed="64"/>
        </bottom>
      </border>
    </dxf>
    <dxf>
      <font>
        <b/>
        <i val="0"/>
        <strike val="0"/>
        <condense val="0"/>
        <extend val="0"/>
        <outline val="0"/>
        <shadow val="0"/>
        <u val="none"/>
        <vertAlign val="baseline"/>
        <sz val="11"/>
        <color auto="1"/>
        <name val="Calibri"/>
        <family val="2"/>
        <scheme val="minor"/>
      </font>
      <numFmt numFmtId="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ill>
        <patternFill>
          <bgColor rgb="FFFFE9A3"/>
        </patternFill>
      </fill>
    </dxf>
    <dxf>
      <border>
        <left style="medium">
          <color indexed="64"/>
        </left>
      </border>
    </dxf>
    <dxf>
      <border>
        <left style="medium">
          <color indexed="64"/>
        </left>
      </border>
    </dxf>
    <dxf>
      <fill>
        <patternFill patternType="solid">
          <bgColor theme="7" tint="0.79998168889431442"/>
        </patternFill>
      </fill>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font>
        <b/>
      </font>
    </dxf>
    <dxf>
      <font>
        <b/>
      </font>
    </dxf>
    <dxf>
      <font>
        <b/>
      </font>
    </dxf>
    <dxf>
      <font>
        <b/>
      </font>
    </dxf>
    <dxf>
      <font>
        <b/>
      </font>
    </dxf>
    <dxf>
      <numFmt numFmtId="1" formatCode="0"/>
    </dxf>
    <dxf>
      <border>
        <top style="medium">
          <color indexed="64"/>
        </top>
      </border>
    </dxf>
    <dxf>
      <border>
        <top style="medium">
          <color indexed="64"/>
        </top>
      </border>
    </dxf>
    <dxf>
      <border>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left style="medium">
          <color indexed="64"/>
        </left>
      </border>
    </dxf>
    <dxf>
      <border>
        <left style="medium">
          <color indexed="64"/>
        </lef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font>
        <b/>
      </font>
    </dxf>
    <dxf>
      <font>
        <b/>
      </font>
    </dxf>
    <dxf>
      <font>
        <b/>
      </font>
    </dxf>
    <dxf>
      <font>
        <b/>
      </font>
    </dxf>
    <dxf>
      <font>
        <b/>
      </font>
    </dxf>
    <dxf>
      <numFmt numFmtId="184" formatCode="_-* #,##0_-;\-* #,##0_-;_-* &quot;-&quot;??_-;_-@_-"/>
    </dxf>
    <dxf>
      <border>
        <top style="medium">
          <color indexed="64"/>
        </top>
      </border>
    </dxf>
    <dxf>
      <border>
        <top style="medium">
          <color indexed="64"/>
        </top>
      </border>
    </dxf>
    <dxf>
      <border>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left style="medium">
          <color indexed="64"/>
        </left>
      </border>
    </dxf>
    <dxf>
      <border>
        <left style="medium">
          <color indexed="64"/>
        </lef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font>
        <b/>
      </font>
    </dxf>
    <dxf>
      <font>
        <b/>
      </font>
    </dxf>
    <dxf>
      <font>
        <b/>
      </font>
    </dxf>
    <dxf>
      <font>
        <b/>
      </font>
    </dxf>
    <dxf>
      <font>
        <b/>
      </font>
    </dxf>
    <dxf>
      <numFmt numFmtId="184" formatCode="_-* #,##0_-;\-* #,##0_-;_-* &quot;-&quot;??_-;_-@_-"/>
    </dxf>
    <dxf>
      <border>
        <top style="medium">
          <color indexed="64"/>
        </top>
      </border>
    </dxf>
    <dxf>
      <border>
        <top style="medium">
          <color indexed="64"/>
        </top>
      </border>
    </dxf>
    <dxf>
      <border>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ill>
        <patternFill>
          <bgColor rgb="FFFFE9A3"/>
        </patternFill>
      </fill>
    </dxf>
    <dxf>
      <border>
        <left style="medium">
          <color indexed="64"/>
        </left>
      </border>
    </dxf>
    <dxf>
      <border>
        <left style="medium">
          <color indexed="64"/>
        </left>
      </border>
    </dxf>
    <dxf>
      <fill>
        <patternFill patternType="solid">
          <bgColor theme="7" tint="0.79998168889431442"/>
        </patternFill>
      </fill>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font>
        <b/>
      </font>
    </dxf>
    <dxf>
      <font>
        <b/>
      </font>
    </dxf>
    <dxf>
      <font>
        <b/>
      </font>
    </dxf>
    <dxf>
      <font>
        <b/>
      </font>
    </dxf>
    <dxf>
      <font>
        <b/>
      </font>
    </dxf>
    <dxf>
      <numFmt numFmtId="1" formatCode="0"/>
    </dxf>
    <dxf>
      <border>
        <top style="medium">
          <color indexed="64"/>
        </top>
      </border>
    </dxf>
    <dxf>
      <border>
        <top style="medium">
          <color indexed="64"/>
        </top>
      </border>
    </dxf>
    <dxf>
      <border>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1"/>
      </font>
    </dxf>
    <dxf>
      <font>
        <sz val="11"/>
      </font>
    </dxf>
    <dxf>
      <font>
        <sz val="11"/>
      </font>
    </dxf>
    <dxf>
      <font>
        <sz val="11"/>
      </font>
    </dxf>
    <dxf>
      <font>
        <sz val="11"/>
      </font>
    </dxf>
    <dxf>
      <font>
        <sz val="11"/>
      </font>
    </dxf>
    <dxf>
      <font>
        <sz val="11"/>
      </font>
    </dxf>
    <dxf>
      <font>
        <sz val="11"/>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border>
        <left style="medium">
          <color indexed="64"/>
        </left>
      </border>
    </dxf>
    <dxf>
      <border>
        <left style="medium">
          <color indexed="64"/>
        </left>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rder>
    </dxf>
    <dxf>
      <border>
        <right style="medium">
          <color indexed="64"/>
        </right>
      </border>
    </dxf>
    <dxf>
      <border>
        <right style="medium">
          <color indexed="64"/>
        </right>
      </border>
    </dxf>
    <dxf>
      <border>
        <right style="medium">
          <color indexed="64"/>
        </right>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3" formatCode="#,##0"/>
    </dxf>
    <dxf>
      <numFmt numFmtId="3" formatCode="#,##0"/>
    </dxf>
    <dxf>
      <numFmt numFmtId="3" formatCode="#,##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ill>
        <patternFill>
          <bgColor rgb="FFFFE9A3"/>
        </patternFill>
      </fill>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border>
        <left style="medium">
          <color indexed="64"/>
        </left>
      </border>
    </dxf>
    <dxf>
      <border>
        <left style="medium">
          <color indexed="64"/>
        </left>
      </border>
    </dxf>
    <dxf>
      <border>
        <left style="medium">
          <color indexed="64"/>
        </left>
        <right style="medium">
          <color indexed="64"/>
        </right>
        <top style="medium">
          <color indexed="64"/>
        </top>
        <bottom style="medium">
          <color indexed="64"/>
        </bottom>
      </border>
    </dxf>
    <dxf>
      <border>
        <bottom style="medium">
          <color indexed="64"/>
        </bottom>
      </border>
    </dxf>
    <dxf>
      <border>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vertical style="thin">
          <color indexed="64"/>
        </vertical>
        <horizontal style="thin">
          <color indexed="64"/>
        </horizontal>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E9A3"/>
        </patternFill>
      </fill>
    </dxf>
    <dxf>
      <fill>
        <patternFill>
          <bgColor theme="0"/>
        </patternFill>
      </fill>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border>
        <left style="medium">
          <color indexed="64"/>
        </left>
      </border>
    </dxf>
    <dxf>
      <border>
        <left style="medium">
          <color indexed="64"/>
        </left>
      </border>
    </dxf>
    <dxf>
      <border>
        <left style="medium">
          <color indexed="64"/>
        </left>
        <right style="medium">
          <color indexed="64"/>
        </right>
        <top style="medium">
          <color indexed="64"/>
        </top>
        <bottom style="medium">
          <color indexed="64"/>
        </bottom>
      </border>
    </dxf>
    <dxf>
      <border>
        <bottom style="medium">
          <color indexed="64"/>
        </bottom>
      </border>
    </dxf>
    <dxf>
      <border>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vertical style="thin">
          <color indexed="64"/>
        </vertical>
        <horizontal style="thin">
          <color indexed="64"/>
        </horizontal>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1"/>
      </font>
    </dxf>
    <dxf>
      <font>
        <sz val="11"/>
      </font>
    </dxf>
    <dxf>
      <font>
        <sz val="11"/>
      </font>
    </dxf>
    <dxf>
      <font>
        <sz val="11"/>
      </font>
    </dxf>
    <dxf>
      <font>
        <sz val="11"/>
      </font>
    </dxf>
    <dxf>
      <font>
        <sz val="11"/>
      </font>
    </dxf>
    <dxf>
      <font>
        <sz val="11"/>
      </font>
    </dxf>
    <dxf>
      <font>
        <sz val="11"/>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border>
        <left style="medium">
          <color indexed="64"/>
        </left>
      </border>
    </dxf>
    <dxf>
      <border>
        <left style="medium">
          <color indexed="64"/>
        </left>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rder>
    </dxf>
    <dxf>
      <border>
        <right style="medium">
          <color indexed="64"/>
        </right>
      </border>
    </dxf>
    <dxf>
      <border>
        <right style="medium">
          <color indexed="64"/>
        </right>
      </border>
    </dxf>
    <dxf>
      <border>
        <right style="medium">
          <color indexed="64"/>
        </right>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3" formatCode="#,##0"/>
    </dxf>
    <dxf>
      <numFmt numFmtId="3" formatCode="#,##0"/>
    </dxf>
    <dxf>
      <numFmt numFmtId="3" formatCode="#,##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theme="0" tint="-0.14996795556505021"/>
        </patternFill>
      </fill>
    </dxf>
  </dxfs>
  <tableStyles count="2" defaultTableStyle="TableStyleMedium9" defaultPivotStyle="Pivottabeltypografi 2">
    <tableStyle name="Pivottabeltypografi 1" table="0" count="0" xr9:uid="{1D24E9E1-7C3D-40D1-8802-3189A90B1C0D}"/>
    <tableStyle name="Pivottabeltypografi 2" table="0" count="0" xr9:uid="{A85E700A-051F-4FFE-BD2F-20777AD47F27}"/>
  </tableStyles>
  <colors>
    <mruColors>
      <color rgb="FFDD0BC9"/>
      <color rgb="FF27CED7"/>
      <color rgb="FF106889"/>
      <color rgb="FF1CADE4"/>
      <color rgb="FF0E5772"/>
      <color rgb="FF56908C"/>
      <color rgb="FF479DDC"/>
      <color rgb="FF3A6360"/>
      <color rgb="FF174F77"/>
      <color rgb="FF177C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externalLink" Target="externalLinks/externalLink2.xml"/><Relationship Id="rId191" Type="http://schemas.openxmlformats.org/officeDocument/2006/relationships/externalLink" Target="externalLinks/externalLink23.xml"/><Relationship Id="rId205" Type="http://schemas.openxmlformats.org/officeDocument/2006/relationships/calcChain" Target="calcChai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externalLink" Target="externalLinks/externalLink13.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externalLink" Target="externalLinks/externalLink3.xml"/><Relationship Id="rId192" Type="http://schemas.openxmlformats.org/officeDocument/2006/relationships/externalLink" Target="externalLinks/externalLink24.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externalLink" Target="externalLinks/externalLink14.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externalLink" Target="externalLinks/externalLink4.xml"/><Relationship Id="rId193" Type="http://schemas.openxmlformats.org/officeDocument/2006/relationships/externalLink" Target="externalLinks/externalLink25.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externalLink" Target="externalLinks/externalLink15.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externalLink" Target="externalLinks/externalLink10.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externalLink" Target="externalLinks/externalLink5.xml"/><Relationship Id="rId194" Type="http://schemas.openxmlformats.org/officeDocument/2006/relationships/externalLink" Target="externalLinks/externalLink26.xml"/><Relationship Id="rId199" Type="http://schemas.openxmlformats.org/officeDocument/2006/relationships/pivotCacheDefinition" Target="pivotCache/pivotCacheDefinition4.xml"/><Relationship Id="rId203" Type="http://schemas.openxmlformats.org/officeDocument/2006/relationships/sheetMetadata" Target="metadata.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externalLink" Target="externalLinks/externalLink16.xml"/><Relationship Id="rId189" Type="http://schemas.openxmlformats.org/officeDocument/2006/relationships/externalLink" Target="externalLinks/externalLink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externalLink" Target="externalLinks/externalLink6.xml"/><Relationship Id="rId179" Type="http://schemas.openxmlformats.org/officeDocument/2006/relationships/externalLink" Target="externalLinks/externalLink11.xml"/><Relationship Id="rId195" Type="http://schemas.openxmlformats.org/officeDocument/2006/relationships/externalLink" Target="externalLinks/externalLink27.xml"/><Relationship Id="rId190" Type="http://schemas.openxmlformats.org/officeDocument/2006/relationships/externalLink" Target="externalLinks/externalLink22.xml"/><Relationship Id="rId204" Type="http://schemas.microsoft.com/office/2017/10/relationships/person" Target="persons/perso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externalLink" Target="externalLinks/externalLink1.xml"/><Relationship Id="rId185"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2.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externalLink" Target="externalLinks/externalLink7.xml"/><Relationship Id="rId196" Type="http://schemas.openxmlformats.org/officeDocument/2006/relationships/pivotCacheDefinition" Target="pivotCache/pivotCacheDefinition1.xml"/><Relationship Id="rId200" Type="http://schemas.openxmlformats.org/officeDocument/2006/relationships/theme" Target="theme/theme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externalLink" Target="externalLinks/externalLink18.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externalLink" Target="externalLinks/externalLink8.xml"/><Relationship Id="rId197" Type="http://schemas.openxmlformats.org/officeDocument/2006/relationships/pivotCacheDefinition" Target="pivotCache/pivotCacheDefinition2.xml"/><Relationship Id="rId201" Type="http://schemas.openxmlformats.org/officeDocument/2006/relationships/styles" Target="style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externalLink" Target="externalLinks/externalLink19.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externalLink" Target="externalLinks/externalLink9.xml"/><Relationship Id="rId198" Type="http://schemas.openxmlformats.org/officeDocument/2006/relationships/pivotCacheDefinition" Target="pivotCache/pivotCacheDefinition3.xml"/><Relationship Id="rId202" Type="http://schemas.openxmlformats.org/officeDocument/2006/relationships/sharedStrings" Target="sharedStrings.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externalLink" Target="externalLinks/externalLink20.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7.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8.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9.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2.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4.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5.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6.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8.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9.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1.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2.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3.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4.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5.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6.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7.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2.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Ex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Ex3.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Ex4.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06916426513188"/>
          <c:y val="3.465346534653465E-2"/>
          <c:w val="0.60806916426512969"/>
          <c:h val="0.85396039603960394"/>
        </c:manualLayout>
      </c:layout>
      <c:barChart>
        <c:barDir val="col"/>
        <c:grouping val="stacked"/>
        <c:varyColors val="0"/>
        <c:ser>
          <c:idx val="1"/>
          <c:order val="0"/>
          <c:tx>
            <c:strRef>
              <c:f>'Grafer-energi'!$B$709</c:f>
              <c:strCache>
                <c:ptCount val="1"/>
                <c:pt idx="0">
                  <c:v>Elimport</c:v>
                </c:pt>
              </c:strCache>
            </c:strRef>
          </c:tx>
          <c:spPr>
            <a:solidFill>
              <a:schemeClr val="accent3"/>
            </a:solidFill>
            <a:ln>
              <a:noFill/>
            </a:ln>
            <a:effectLst/>
          </c:spPr>
          <c:invertIfNegative val="0"/>
          <c:cat>
            <c:numRef>
              <c:f>'Grafer-energi'!$C$97:$E$97</c:f>
              <c:numCache>
                <c:formatCode>General</c:formatCode>
                <c:ptCount val="3"/>
                <c:pt idx="0">
                  <c:v>1990</c:v>
                </c:pt>
                <c:pt idx="1">
                  <c:v>2018</c:v>
                </c:pt>
                <c:pt idx="2">
                  <c:v>2020</c:v>
                </c:pt>
              </c:numCache>
            </c:numRef>
          </c:cat>
          <c:val>
            <c:numRef>
              <c:f>'Grafer-energi'!$C$709:$E$709</c:f>
              <c:numCache>
                <c:formatCode>#,##0</c:formatCode>
                <c:ptCount val="3"/>
                <c:pt idx="0">
                  <c:v>11.368536201287085</c:v>
                </c:pt>
                <c:pt idx="1">
                  <c:v>4.5457813406739884</c:v>
                </c:pt>
                <c:pt idx="2">
                  <c:v>2.4650899437824543</c:v>
                </c:pt>
              </c:numCache>
            </c:numRef>
          </c:val>
          <c:extLst>
            <c:ext xmlns:c16="http://schemas.microsoft.com/office/drawing/2014/chart" uri="{C3380CC4-5D6E-409C-BE32-E72D297353CC}">
              <c16:uniqueId val="{00000000-5AD0-4897-A234-5C755152B579}"/>
            </c:ext>
          </c:extLst>
        </c:ser>
        <c:ser>
          <c:idx val="2"/>
          <c:order val="1"/>
          <c:tx>
            <c:strRef>
              <c:f>'Grafer-energi'!$B$710</c:f>
              <c:strCache>
                <c:ptCount val="1"/>
                <c:pt idx="0">
                  <c:v>Kul</c:v>
                </c:pt>
              </c:strCache>
            </c:strRef>
          </c:tx>
          <c:spPr>
            <a:solidFill>
              <a:schemeClr val="accent5"/>
            </a:solidFill>
            <a:ln>
              <a:noFill/>
            </a:ln>
            <a:effectLst/>
          </c:spPr>
          <c:invertIfNegative val="0"/>
          <c:cat>
            <c:numRef>
              <c:f>'Grafer-energi'!$C$97:$E$97</c:f>
              <c:numCache>
                <c:formatCode>General</c:formatCode>
                <c:ptCount val="3"/>
                <c:pt idx="0">
                  <c:v>1990</c:v>
                </c:pt>
                <c:pt idx="1">
                  <c:v>2018</c:v>
                </c:pt>
                <c:pt idx="2">
                  <c:v>2020</c:v>
                </c:pt>
              </c:numCache>
            </c:numRef>
          </c:cat>
          <c:val>
            <c:numRef>
              <c:f>'Grafer-energi'!$C$710:$E$710</c:f>
              <c:numCache>
                <c:formatCode>#,##0</c:formatCode>
                <c:ptCount val="3"/>
                <c:pt idx="0">
                  <c:v>0</c:v>
                </c:pt>
                <c:pt idx="1">
                  <c:v>0</c:v>
                </c:pt>
                <c:pt idx="2">
                  <c:v>0</c:v>
                </c:pt>
              </c:numCache>
            </c:numRef>
          </c:val>
          <c:extLst>
            <c:ext xmlns:c16="http://schemas.microsoft.com/office/drawing/2014/chart" uri="{C3380CC4-5D6E-409C-BE32-E72D297353CC}">
              <c16:uniqueId val="{00000001-5AD0-4897-A234-5C755152B579}"/>
            </c:ext>
          </c:extLst>
        </c:ser>
        <c:ser>
          <c:idx val="3"/>
          <c:order val="2"/>
          <c:tx>
            <c:strRef>
              <c:f>'Grafer-energi'!$B$711</c:f>
              <c:strCache>
                <c:ptCount val="1"/>
                <c:pt idx="0">
                  <c:v>Naturgas og LPG</c:v>
                </c:pt>
              </c:strCache>
            </c:strRef>
          </c:tx>
          <c:spPr>
            <a:solidFill>
              <a:schemeClr val="accent1">
                <a:lumMod val="60000"/>
              </a:schemeClr>
            </a:solidFill>
            <a:ln>
              <a:noFill/>
            </a:ln>
            <a:effectLst/>
          </c:spPr>
          <c:invertIfNegative val="0"/>
          <c:cat>
            <c:numRef>
              <c:f>'Grafer-energi'!$C$97:$E$97</c:f>
              <c:numCache>
                <c:formatCode>General</c:formatCode>
                <c:ptCount val="3"/>
                <c:pt idx="0">
                  <c:v>1990</c:v>
                </c:pt>
                <c:pt idx="1">
                  <c:v>2018</c:v>
                </c:pt>
                <c:pt idx="2">
                  <c:v>2020</c:v>
                </c:pt>
              </c:numCache>
            </c:numRef>
          </c:cat>
          <c:val>
            <c:numRef>
              <c:f>'Grafer-energi'!$C$711:$E$711</c:f>
              <c:numCache>
                <c:formatCode>#,##0</c:formatCode>
                <c:ptCount val="3"/>
                <c:pt idx="0">
                  <c:v>0.29629978608519786</c:v>
                </c:pt>
                <c:pt idx="1">
                  <c:v>5.7671999999999994E-2</c:v>
                </c:pt>
                <c:pt idx="2">
                  <c:v>5.2488E-2</c:v>
                </c:pt>
              </c:numCache>
            </c:numRef>
          </c:val>
          <c:extLst>
            <c:ext xmlns:c16="http://schemas.microsoft.com/office/drawing/2014/chart" uri="{C3380CC4-5D6E-409C-BE32-E72D297353CC}">
              <c16:uniqueId val="{00000002-5AD0-4897-A234-5C755152B579}"/>
            </c:ext>
          </c:extLst>
        </c:ser>
        <c:ser>
          <c:idx val="4"/>
          <c:order val="3"/>
          <c:tx>
            <c:strRef>
              <c:f>'Grafer-energi'!$B$712</c:f>
              <c:strCache>
                <c:ptCount val="1"/>
                <c:pt idx="0">
                  <c:v>Fuelolie</c:v>
                </c:pt>
              </c:strCache>
            </c:strRef>
          </c:tx>
          <c:spPr>
            <a:solidFill>
              <a:schemeClr val="accent3">
                <a:lumMod val="60000"/>
              </a:schemeClr>
            </a:solidFill>
            <a:ln>
              <a:noFill/>
            </a:ln>
            <a:effectLst/>
          </c:spPr>
          <c:invertIfNegative val="0"/>
          <c:cat>
            <c:numRef>
              <c:f>'Grafer-energi'!$C$97:$E$97</c:f>
              <c:numCache>
                <c:formatCode>General</c:formatCode>
                <c:ptCount val="3"/>
                <c:pt idx="0">
                  <c:v>1990</c:v>
                </c:pt>
                <c:pt idx="1">
                  <c:v>2018</c:v>
                </c:pt>
                <c:pt idx="2">
                  <c:v>2020</c:v>
                </c:pt>
              </c:numCache>
            </c:numRef>
          </c:cat>
          <c:val>
            <c:numRef>
              <c:f>'Grafer-energi'!$C$712:$E$712</c:f>
              <c:numCache>
                <c:formatCode>#,##0</c:formatCode>
                <c:ptCount val="3"/>
                <c:pt idx="0">
                  <c:v>0.13761424692007979</c:v>
                </c:pt>
                <c:pt idx="1">
                  <c:v>7.9030000000000007E-5</c:v>
                </c:pt>
                <c:pt idx="2">
                  <c:v>1.0273900000000001E-2</c:v>
                </c:pt>
              </c:numCache>
            </c:numRef>
          </c:val>
          <c:extLst>
            <c:ext xmlns:c16="http://schemas.microsoft.com/office/drawing/2014/chart" uri="{C3380CC4-5D6E-409C-BE32-E72D297353CC}">
              <c16:uniqueId val="{00000003-5AD0-4897-A234-5C755152B579}"/>
            </c:ext>
          </c:extLst>
        </c:ser>
        <c:ser>
          <c:idx val="5"/>
          <c:order val="4"/>
          <c:tx>
            <c:strRef>
              <c:f>'Grafer-energi'!$B$713</c:f>
              <c:strCache>
                <c:ptCount val="1"/>
                <c:pt idx="0">
                  <c:v>Brændselsolie/diesel</c:v>
                </c:pt>
              </c:strCache>
            </c:strRef>
          </c:tx>
          <c:spPr>
            <a:solidFill>
              <a:schemeClr val="accent5">
                <a:lumMod val="60000"/>
              </a:schemeClr>
            </a:solidFill>
            <a:ln>
              <a:noFill/>
            </a:ln>
            <a:effectLst/>
          </c:spPr>
          <c:invertIfNegative val="0"/>
          <c:cat>
            <c:numRef>
              <c:f>'Grafer-energi'!$C$97:$E$97</c:f>
              <c:numCache>
                <c:formatCode>General</c:formatCode>
                <c:ptCount val="3"/>
                <c:pt idx="0">
                  <c:v>1990</c:v>
                </c:pt>
                <c:pt idx="1">
                  <c:v>2018</c:v>
                </c:pt>
                <c:pt idx="2">
                  <c:v>2020</c:v>
                </c:pt>
              </c:numCache>
            </c:numRef>
          </c:cat>
          <c:val>
            <c:numRef>
              <c:f>'Grafer-energi'!$C$713:$E$713</c:f>
              <c:numCache>
                <c:formatCode>#,##0</c:formatCode>
                <c:ptCount val="3"/>
                <c:pt idx="0">
                  <c:v>9.2402315060989899</c:v>
                </c:pt>
                <c:pt idx="1">
                  <c:v>6.4793610570000002</c:v>
                </c:pt>
                <c:pt idx="2">
                  <c:v>6.2127900119999984</c:v>
                </c:pt>
              </c:numCache>
            </c:numRef>
          </c:val>
          <c:extLst>
            <c:ext xmlns:c16="http://schemas.microsoft.com/office/drawing/2014/chart" uri="{C3380CC4-5D6E-409C-BE32-E72D297353CC}">
              <c16:uniqueId val="{00000004-5AD0-4897-A234-5C755152B579}"/>
            </c:ext>
          </c:extLst>
        </c:ser>
        <c:ser>
          <c:idx val="7"/>
          <c:order val="5"/>
          <c:tx>
            <c:strRef>
              <c:f>'Grafer-energi'!$B$714</c:f>
              <c:strCache>
                <c:ptCount val="1"/>
                <c:pt idx="0">
                  <c:v>JP1</c:v>
                </c:pt>
              </c:strCache>
            </c:strRef>
          </c:tx>
          <c:spPr>
            <a:solidFill>
              <a:schemeClr val="accent3">
                <a:lumMod val="80000"/>
                <a:lumOff val="20000"/>
              </a:schemeClr>
            </a:solidFill>
            <a:ln>
              <a:noFill/>
            </a:ln>
            <a:effectLst/>
          </c:spPr>
          <c:invertIfNegative val="0"/>
          <c:cat>
            <c:numRef>
              <c:f>'Grafer-energi'!$C$97:$E$97</c:f>
              <c:numCache>
                <c:formatCode>General</c:formatCode>
                <c:ptCount val="3"/>
                <c:pt idx="0">
                  <c:v>1990</c:v>
                </c:pt>
                <c:pt idx="1">
                  <c:v>2018</c:v>
                </c:pt>
                <c:pt idx="2">
                  <c:v>2020</c:v>
                </c:pt>
              </c:numCache>
            </c:numRef>
          </c:cat>
          <c:val>
            <c:numRef>
              <c:f>'Grafer-energi'!$C$714:$E$714</c:f>
              <c:numCache>
                <c:formatCode>#,##0</c:formatCode>
                <c:ptCount val="3"/>
                <c:pt idx="0">
                  <c:v>1.0152973769061042</c:v>
                </c:pt>
                <c:pt idx="1">
                  <c:v>1.0065600000000001</c:v>
                </c:pt>
                <c:pt idx="2">
                  <c:v>0.35640000000000005</c:v>
                </c:pt>
              </c:numCache>
            </c:numRef>
          </c:val>
          <c:extLst>
            <c:ext xmlns:c16="http://schemas.microsoft.com/office/drawing/2014/chart" uri="{C3380CC4-5D6E-409C-BE32-E72D297353CC}">
              <c16:uniqueId val="{00000005-5AD0-4897-A234-5C755152B579}"/>
            </c:ext>
          </c:extLst>
        </c:ser>
        <c:ser>
          <c:idx val="6"/>
          <c:order val="6"/>
          <c:tx>
            <c:strRef>
              <c:f>'Grafer-energi'!$B$715</c:f>
              <c:strCache>
                <c:ptCount val="1"/>
                <c:pt idx="0">
                  <c:v>Benzin</c:v>
                </c:pt>
              </c:strCache>
            </c:strRef>
          </c:tx>
          <c:spPr>
            <a:solidFill>
              <a:schemeClr val="accent1">
                <a:lumMod val="80000"/>
                <a:lumOff val="20000"/>
              </a:schemeClr>
            </a:solidFill>
            <a:ln>
              <a:noFill/>
            </a:ln>
            <a:effectLst/>
          </c:spPr>
          <c:invertIfNegative val="0"/>
          <c:cat>
            <c:numRef>
              <c:f>'Grafer-energi'!$C$97:$E$97</c:f>
              <c:numCache>
                <c:formatCode>General</c:formatCode>
                <c:ptCount val="3"/>
                <c:pt idx="0">
                  <c:v>1990</c:v>
                </c:pt>
                <c:pt idx="1">
                  <c:v>2018</c:v>
                </c:pt>
                <c:pt idx="2">
                  <c:v>2020</c:v>
                </c:pt>
              </c:numCache>
            </c:numRef>
          </c:cat>
          <c:val>
            <c:numRef>
              <c:f>'Grafer-energi'!$C$715:$E$715</c:f>
              <c:numCache>
                <c:formatCode>#,##0</c:formatCode>
                <c:ptCount val="3"/>
                <c:pt idx="0">
                  <c:v>1.9371065517352173</c:v>
                </c:pt>
                <c:pt idx="1">
                  <c:v>1.3804489800000002</c:v>
                </c:pt>
                <c:pt idx="2">
                  <c:v>1.2488883799999999</c:v>
                </c:pt>
              </c:numCache>
            </c:numRef>
          </c:val>
          <c:extLst>
            <c:ext xmlns:c16="http://schemas.microsoft.com/office/drawing/2014/chart" uri="{C3380CC4-5D6E-409C-BE32-E72D297353CC}">
              <c16:uniqueId val="{00000006-5AD0-4897-A234-5C755152B579}"/>
            </c:ext>
          </c:extLst>
        </c:ser>
        <c:ser>
          <c:idx val="0"/>
          <c:order val="7"/>
          <c:tx>
            <c:strRef>
              <c:f>'Grafer-energi'!$B$716</c:f>
              <c:strCache>
                <c:ptCount val="1"/>
                <c:pt idx="0">
                  <c:v>Affald, ikke bionedbrydeligt</c:v>
                </c:pt>
              </c:strCache>
            </c:strRef>
          </c:tx>
          <c:spPr>
            <a:solidFill>
              <a:schemeClr val="accent1"/>
            </a:solidFill>
            <a:ln>
              <a:noFill/>
            </a:ln>
            <a:effectLst/>
          </c:spPr>
          <c:invertIfNegative val="0"/>
          <c:cat>
            <c:numRef>
              <c:f>'Grafer-energi'!$C$97:$E$97</c:f>
              <c:numCache>
                <c:formatCode>General</c:formatCode>
                <c:ptCount val="3"/>
                <c:pt idx="0">
                  <c:v>1990</c:v>
                </c:pt>
                <c:pt idx="1">
                  <c:v>2018</c:v>
                </c:pt>
                <c:pt idx="2">
                  <c:v>2020</c:v>
                </c:pt>
              </c:numCache>
            </c:numRef>
          </c:cat>
          <c:val>
            <c:numRef>
              <c:f>'Grafer-energi'!$C$716:$E$716</c:f>
              <c:numCache>
                <c:formatCode>#,##0</c:formatCode>
                <c:ptCount val="3"/>
                <c:pt idx="0">
                  <c:v>0</c:v>
                </c:pt>
                <c:pt idx="1">
                  <c:v>0</c:v>
                </c:pt>
                <c:pt idx="2">
                  <c:v>0</c:v>
                </c:pt>
              </c:numCache>
            </c:numRef>
          </c:val>
          <c:extLst>
            <c:ext xmlns:c16="http://schemas.microsoft.com/office/drawing/2014/chart" uri="{C3380CC4-5D6E-409C-BE32-E72D297353CC}">
              <c16:uniqueId val="{00000007-5AD0-4897-A234-5C755152B579}"/>
            </c:ext>
          </c:extLst>
        </c:ser>
        <c:ser>
          <c:idx val="14"/>
          <c:order val="14"/>
          <c:tx>
            <c:strRef>
              <c:f>'Grafer-energi'!$B$723</c:f>
              <c:strCache>
                <c:ptCount val="1"/>
                <c:pt idx="0">
                  <c:v>Eksport af VE-brændsler</c:v>
                </c:pt>
              </c:strCache>
            </c:strRef>
          </c:tx>
          <c:spPr>
            <a:solidFill>
              <a:schemeClr val="accent5">
                <a:lumMod val="60000"/>
                <a:lumOff val="40000"/>
              </a:schemeClr>
            </a:solidFill>
            <a:ln>
              <a:noFill/>
            </a:ln>
            <a:effectLst/>
          </c:spPr>
          <c:invertIfNegative val="0"/>
          <c:cat>
            <c:numRef>
              <c:f>'Grafer-energi'!$C$97:$E$97</c:f>
              <c:numCache>
                <c:formatCode>General</c:formatCode>
                <c:ptCount val="3"/>
                <c:pt idx="0">
                  <c:v>1990</c:v>
                </c:pt>
                <c:pt idx="1">
                  <c:v>2018</c:v>
                </c:pt>
                <c:pt idx="2">
                  <c:v>2020</c:v>
                </c:pt>
              </c:numCache>
            </c:numRef>
          </c:cat>
          <c:val>
            <c:numRef>
              <c:f>'Grafer-energi'!$C$723:$E$723</c:f>
              <c:numCache>
                <c:formatCode>#,##0</c:formatCode>
                <c:ptCount val="3"/>
                <c:pt idx="0">
                  <c:v>0</c:v>
                </c:pt>
                <c:pt idx="1">
                  <c:v>0</c:v>
                </c:pt>
                <c:pt idx="2">
                  <c:v>0</c:v>
                </c:pt>
              </c:numCache>
            </c:numRef>
          </c:val>
          <c:extLst>
            <c:ext xmlns:c16="http://schemas.microsoft.com/office/drawing/2014/chart" uri="{C3380CC4-5D6E-409C-BE32-E72D297353CC}">
              <c16:uniqueId val="{0000000E-17E2-47B3-8E56-3435DDD0870A}"/>
            </c:ext>
          </c:extLst>
        </c:ser>
        <c:dLbls>
          <c:showLegendKey val="0"/>
          <c:showVal val="0"/>
          <c:showCatName val="0"/>
          <c:showSerName val="0"/>
          <c:showPercent val="0"/>
          <c:showBubbleSize val="0"/>
        </c:dLbls>
        <c:gapWidth val="150"/>
        <c:overlap val="100"/>
        <c:axId val="422227304"/>
        <c:axId val="422224952"/>
        <c:extLst>
          <c:ext xmlns:c15="http://schemas.microsoft.com/office/drawing/2012/chart" uri="{02D57815-91ED-43cb-92C2-25804820EDAC}">
            <c15:filteredBarSeries>
              <c15:ser>
                <c:idx val="8"/>
                <c:order val="8"/>
                <c:tx>
                  <c:strRef>
                    <c:extLst>
                      <c:ext uri="{02D57815-91ED-43cb-92C2-25804820EDAC}">
                        <c15:formulaRef>
                          <c15:sqref>'Grafer-energi'!$B$717</c15:sqref>
                        </c15:formulaRef>
                      </c:ext>
                    </c:extLst>
                    <c:strCache>
                      <c:ptCount val="1"/>
                      <c:pt idx="0">
                        <c:v>Affald, bionedbrydeligt</c:v>
                      </c:pt>
                    </c:strCache>
                  </c:strRef>
                </c:tx>
                <c:spPr>
                  <a:solidFill>
                    <a:schemeClr val="accent5">
                      <a:lumMod val="80000"/>
                      <a:lumOff val="20000"/>
                    </a:schemeClr>
                  </a:solidFill>
                  <a:ln>
                    <a:noFill/>
                  </a:ln>
                  <a:effectLst/>
                </c:spPr>
                <c:invertIfNegative val="0"/>
                <c:cat>
                  <c:numRef>
                    <c:extLst>
                      <c:ext uri="{02D57815-91ED-43cb-92C2-25804820EDAC}">
                        <c15:formulaRef>
                          <c15:sqref>'Grafer-energi'!$C$97:$E$97</c15:sqref>
                        </c15:formulaRef>
                      </c:ext>
                    </c:extLst>
                    <c:numCache>
                      <c:formatCode>General</c:formatCode>
                      <c:ptCount val="3"/>
                      <c:pt idx="0">
                        <c:v>1990</c:v>
                      </c:pt>
                      <c:pt idx="1">
                        <c:v>2018</c:v>
                      </c:pt>
                      <c:pt idx="2">
                        <c:v>2020</c:v>
                      </c:pt>
                    </c:numCache>
                  </c:numRef>
                </c:cat>
                <c:val>
                  <c:numRef>
                    <c:extLst>
                      <c:ext uri="{02D57815-91ED-43cb-92C2-25804820EDAC}">
                        <c15:formulaRef>
                          <c15:sqref>'Grafer-energi'!$C$717:$E$717</c15:sqref>
                        </c15:formulaRef>
                      </c:ext>
                    </c:extLst>
                    <c:numCache>
                      <c:formatCode>#,##0</c:formatCode>
                      <c:ptCount val="3"/>
                      <c:pt idx="0">
                        <c:v>0</c:v>
                      </c:pt>
                      <c:pt idx="1">
                        <c:v>0</c:v>
                      </c:pt>
                      <c:pt idx="2">
                        <c:v>0</c:v>
                      </c:pt>
                    </c:numCache>
                  </c:numRef>
                </c:val>
                <c:extLst>
                  <c:ext xmlns:c16="http://schemas.microsoft.com/office/drawing/2014/chart" uri="{C3380CC4-5D6E-409C-BE32-E72D297353CC}">
                    <c16:uniqueId val="{00000008-17E2-47B3-8E56-3435DDD0870A}"/>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'Grafer-energi'!$B$718</c15:sqref>
                        </c15:formulaRef>
                      </c:ext>
                    </c:extLst>
                    <c:strCache>
                      <c:ptCount val="1"/>
                      <c:pt idx="0">
                        <c:v>Biomasse</c:v>
                      </c:pt>
                    </c:strCache>
                  </c:strRef>
                </c:tx>
                <c:spPr>
                  <a:solidFill>
                    <a:schemeClr val="accent1">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'Grafer-energi'!$C$97:$E$97</c15:sqref>
                        </c15:formulaRef>
                      </c:ext>
                    </c:extLst>
                    <c:numCache>
                      <c:formatCode>General</c:formatCode>
                      <c:ptCount val="3"/>
                      <c:pt idx="0">
                        <c:v>1990</c:v>
                      </c:pt>
                      <c:pt idx="1">
                        <c:v>2018</c:v>
                      </c:pt>
                      <c:pt idx="2">
                        <c:v>2020</c:v>
                      </c:pt>
                    </c:numCache>
                  </c:numRef>
                </c:cat>
                <c:val>
                  <c:numRef>
                    <c:extLst xmlns:c15="http://schemas.microsoft.com/office/drawing/2012/chart">
                      <c:ext xmlns:c15="http://schemas.microsoft.com/office/drawing/2012/chart" uri="{02D57815-91ED-43cb-92C2-25804820EDAC}">
                        <c15:formulaRef>
                          <c15:sqref>'Grafer-energi'!$C$718:$E$718</c15:sqref>
                        </c15:formulaRef>
                      </c:ext>
                    </c:extLst>
                    <c:numCache>
                      <c:formatCode>#,##0</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9-17E2-47B3-8E56-3435DDD0870A}"/>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'Grafer-energi'!$B$719</c15:sqref>
                        </c15:formulaRef>
                      </c:ext>
                    </c:extLst>
                    <c:strCache>
                      <c:ptCount val="1"/>
                      <c:pt idx="0">
                        <c:v>Vindenergi</c:v>
                      </c:pt>
                    </c:strCache>
                  </c:strRef>
                </c:tx>
                <c:spPr>
                  <a:solidFill>
                    <a:schemeClr val="accent3">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'Grafer-energi'!$C$97:$E$97</c15:sqref>
                        </c15:formulaRef>
                      </c:ext>
                    </c:extLst>
                    <c:numCache>
                      <c:formatCode>General</c:formatCode>
                      <c:ptCount val="3"/>
                      <c:pt idx="0">
                        <c:v>1990</c:v>
                      </c:pt>
                      <c:pt idx="1">
                        <c:v>2018</c:v>
                      </c:pt>
                      <c:pt idx="2">
                        <c:v>2020</c:v>
                      </c:pt>
                    </c:numCache>
                  </c:numRef>
                </c:cat>
                <c:val>
                  <c:numRef>
                    <c:extLst xmlns:c15="http://schemas.microsoft.com/office/drawing/2012/chart">
                      <c:ext xmlns:c15="http://schemas.microsoft.com/office/drawing/2012/chart" uri="{02D57815-91ED-43cb-92C2-25804820EDAC}">
                        <c15:formulaRef>
                          <c15:sqref>'Grafer-energi'!$C$719:$E$719</c15:sqref>
                        </c15:formulaRef>
                      </c:ext>
                    </c:extLst>
                    <c:numCache>
                      <c:formatCode>#,##0</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A-17E2-47B3-8E56-3435DDD0870A}"/>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'Grafer-energi'!$B$720</c15:sqref>
                        </c15:formulaRef>
                      </c:ext>
                    </c:extLst>
                    <c:strCache>
                      <c:ptCount val="1"/>
                      <c:pt idx="0">
                        <c:v>Biogas</c:v>
                      </c:pt>
                    </c:strCache>
                  </c:strRef>
                </c:tx>
                <c:spPr>
                  <a:solidFill>
                    <a:schemeClr val="accent5">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'Grafer-energi'!$C$97:$E$97</c15:sqref>
                        </c15:formulaRef>
                      </c:ext>
                    </c:extLst>
                    <c:numCache>
                      <c:formatCode>General</c:formatCode>
                      <c:ptCount val="3"/>
                      <c:pt idx="0">
                        <c:v>1990</c:v>
                      </c:pt>
                      <c:pt idx="1">
                        <c:v>2018</c:v>
                      </c:pt>
                      <c:pt idx="2">
                        <c:v>2020</c:v>
                      </c:pt>
                    </c:numCache>
                  </c:numRef>
                </c:cat>
                <c:val>
                  <c:numRef>
                    <c:extLst xmlns:c15="http://schemas.microsoft.com/office/drawing/2012/chart">
                      <c:ext xmlns:c15="http://schemas.microsoft.com/office/drawing/2012/chart" uri="{02D57815-91ED-43cb-92C2-25804820EDAC}">
                        <c15:formulaRef>
                          <c15:sqref>'Grafer-energi'!$C$720:$E$720</c15:sqref>
                        </c15:formulaRef>
                      </c:ext>
                    </c:extLst>
                    <c:numCache>
                      <c:formatCode>#,##0</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B-17E2-47B3-8E56-3435DDD0870A}"/>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'Grafer-energi'!$B$721</c15:sqref>
                        </c15:formulaRef>
                      </c:ext>
                    </c:extLst>
                    <c:strCache>
                      <c:ptCount val="1"/>
                      <c:pt idx="0">
                        <c:v>Solenergi</c:v>
                      </c:pt>
                    </c:strCache>
                  </c:strRef>
                </c:tx>
                <c:spPr>
                  <a:solidFill>
                    <a:schemeClr val="accent1">
                      <a:lumMod val="60000"/>
                      <a:lumOff val="40000"/>
                    </a:schemeClr>
                  </a:solidFill>
                  <a:ln>
                    <a:noFill/>
                  </a:ln>
                  <a:effectLst/>
                </c:spPr>
                <c:invertIfNegative val="0"/>
                <c:cat>
                  <c:numRef>
                    <c:extLst xmlns:c15="http://schemas.microsoft.com/office/drawing/2012/chart">
                      <c:ext xmlns:c15="http://schemas.microsoft.com/office/drawing/2012/chart" uri="{02D57815-91ED-43cb-92C2-25804820EDAC}">
                        <c15:formulaRef>
                          <c15:sqref>'Grafer-energi'!$C$97:$E$97</c15:sqref>
                        </c15:formulaRef>
                      </c:ext>
                    </c:extLst>
                    <c:numCache>
                      <c:formatCode>General</c:formatCode>
                      <c:ptCount val="3"/>
                      <c:pt idx="0">
                        <c:v>1990</c:v>
                      </c:pt>
                      <c:pt idx="1">
                        <c:v>2018</c:v>
                      </c:pt>
                      <c:pt idx="2">
                        <c:v>2020</c:v>
                      </c:pt>
                    </c:numCache>
                  </c:numRef>
                </c:cat>
                <c:val>
                  <c:numRef>
                    <c:extLst xmlns:c15="http://schemas.microsoft.com/office/drawing/2012/chart">
                      <c:ext xmlns:c15="http://schemas.microsoft.com/office/drawing/2012/chart" uri="{02D57815-91ED-43cb-92C2-25804820EDAC}">
                        <c15:formulaRef>
                          <c15:sqref>'Grafer-energi'!$C$721:$E$721</c15:sqref>
                        </c15:formulaRef>
                      </c:ext>
                    </c:extLst>
                    <c:numCache>
                      <c:formatCode>#,##0</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C-17E2-47B3-8E56-3435DDD0870A}"/>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'Grafer-energi'!$B$722</c15:sqref>
                        </c15:formulaRef>
                      </c:ext>
                    </c:extLst>
                    <c:strCache>
                      <c:ptCount val="1"/>
                      <c:pt idx="0">
                        <c:v>Anden VE</c:v>
                      </c:pt>
                    </c:strCache>
                  </c:strRef>
                </c:tx>
                <c:spPr>
                  <a:solidFill>
                    <a:schemeClr val="accent3">
                      <a:lumMod val="60000"/>
                      <a:lumOff val="40000"/>
                    </a:schemeClr>
                  </a:solidFill>
                  <a:ln>
                    <a:noFill/>
                  </a:ln>
                  <a:effectLst/>
                </c:spPr>
                <c:invertIfNegative val="0"/>
                <c:cat>
                  <c:numRef>
                    <c:extLst xmlns:c15="http://schemas.microsoft.com/office/drawing/2012/chart">
                      <c:ext xmlns:c15="http://schemas.microsoft.com/office/drawing/2012/chart" uri="{02D57815-91ED-43cb-92C2-25804820EDAC}">
                        <c15:formulaRef>
                          <c15:sqref>'Grafer-energi'!$C$97:$E$97</c15:sqref>
                        </c15:formulaRef>
                      </c:ext>
                    </c:extLst>
                    <c:numCache>
                      <c:formatCode>General</c:formatCode>
                      <c:ptCount val="3"/>
                      <c:pt idx="0">
                        <c:v>1990</c:v>
                      </c:pt>
                      <c:pt idx="1">
                        <c:v>2018</c:v>
                      </c:pt>
                      <c:pt idx="2">
                        <c:v>2020</c:v>
                      </c:pt>
                    </c:numCache>
                  </c:numRef>
                </c:cat>
                <c:val>
                  <c:numRef>
                    <c:extLst xmlns:c15="http://schemas.microsoft.com/office/drawing/2012/chart">
                      <c:ext xmlns:c15="http://schemas.microsoft.com/office/drawing/2012/chart" uri="{02D57815-91ED-43cb-92C2-25804820EDAC}">
                        <c15:formulaRef>
                          <c15:sqref>'Grafer-energi'!$C$722:$E$722</c15:sqref>
                        </c15:formulaRef>
                      </c:ext>
                    </c:extLst>
                    <c:numCache>
                      <c:formatCode>#,##0</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D-17E2-47B3-8E56-3435DDD0870A}"/>
                  </c:ext>
                </c:extLst>
              </c15:ser>
            </c15:filteredBarSeries>
          </c:ext>
        </c:extLst>
      </c:barChart>
      <c:catAx>
        <c:axId val="422227304"/>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422224952"/>
        <c:crosses val="autoZero"/>
        <c:auto val="1"/>
        <c:lblAlgn val="ctr"/>
        <c:lblOffset val="100"/>
        <c:noMultiLvlLbl val="0"/>
      </c:catAx>
      <c:valAx>
        <c:axId val="42222495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r>
                  <a:rPr lang="da-DK"/>
                  <a:t>1.000 ton </a:t>
                </a:r>
                <a:r>
                  <a:rPr lang="da-DK" sz="1000" b="1" i="0" u="none" strike="noStrike" baseline="0">
                    <a:effectLst/>
                  </a:rPr>
                  <a:t>CO</a:t>
                </a:r>
                <a:r>
                  <a:rPr lang="da-DK" sz="1000" b="1" i="0" u="none" strike="noStrike" baseline="-25000">
                    <a:effectLst/>
                  </a:rPr>
                  <a:t>2 </a:t>
                </a:r>
                <a:r>
                  <a:rPr lang="da-DK"/>
                  <a:t>/ år</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endParaRPr lang="da-DK"/>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42222730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1" l="0.70000000000000062" r="0.70000000000000062" t="0.75000000000001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5"/>
          <c:order val="0"/>
          <c:tx>
            <c:strRef>
              <c:f>'Grafer-energi'!$B$114</c:f>
              <c:strCache>
                <c:ptCount val="1"/>
                <c:pt idx="0">
                  <c:v>I alt fossil</c:v>
                </c:pt>
              </c:strCache>
            </c:strRef>
          </c:tx>
          <c:spPr>
            <a:solidFill>
              <a:schemeClr val="accent1">
                <a:lumMod val="50000"/>
              </a:schemeClr>
            </a:solidFill>
            <a:ln>
              <a:noFill/>
            </a:ln>
            <a:effectLst/>
          </c:spPr>
          <c:invertIfNegative val="0"/>
          <c:dLbls>
            <c:delete val="1"/>
          </c:dLbls>
          <c:cat>
            <c:numRef>
              <c:f>'Grafer-energi'!$C$97:$E$97</c:f>
              <c:numCache>
                <c:formatCode>General</c:formatCode>
                <c:ptCount val="3"/>
                <c:pt idx="0">
                  <c:v>1990</c:v>
                </c:pt>
                <c:pt idx="1">
                  <c:v>2018</c:v>
                </c:pt>
                <c:pt idx="2">
                  <c:v>2020</c:v>
                </c:pt>
              </c:numCache>
            </c:numRef>
          </c:cat>
          <c:val>
            <c:numRef>
              <c:f>'Grafer-energi'!$C$114:$E$114</c:f>
              <c:numCache>
                <c:formatCode>#,##0</c:formatCode>
                <c:ptCount val="3"/>
                <c:pt idx="0">
                  <c:v>219.41731679413999</c:v>
                </c:pt>
                <c:pt idx="1">
                  <c:v>141.73151719607989</c:v>
                </c:pt>
                <c:pt idx="2">
                  <c:v>118.46590985413577</c:v>
                </c:pt>
              </c:numCache>
            </c:numRef>
          </c:val>
          <c:extLst>
            <c:ext xmlns:c16="http://schemas.microsoft.com/office/drawing/2014/chart" uri="{C3380CC4-5D6E-409C-BE32-E72D297353CC}">
              <c16:uniqueId val="{00000000-9729-4D49-8A92-C2F137001EE2}"/>
            </c:ext>
          </c:extLst>
        </c:ser>
        <c:ser>
          <c:idx val="0"/>
          <c:order val="1"/>
          <c:tx>
            <c:strRef>
              <c:f>'Grafer-energi'!$B$115</c:f>
              <c:strCache>
                <c:ptCount val="1"/>
                <c:pt idx="0">
                  <c:v>I alt VE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f>'Grafer-energi'!$C$97:$E$97</c:f>
              <c:numCache>
                <c:formatCode>General</c:formatCode>
                <c:ptCount val="3"/>
                <c:pt idx="0">
                  <c:v>1990</c:v>
                </c:pt>
                <c:pt idx="1">
                  <c:v>2018</c:v>
                </c:pt>
                <c:pt idx="2">
                  <c:v>2020</c:v>
                </c:pt>
              </c:numCache>
            </c:numRef>
          </c:cat>
          <c:val>
            <c:numRef>
              <c:f>'Grafer-energi'!$C$115:$E$115</c:f>
              <c:numCache>
                <c:formatCode>#,##0</c:formatCode>
                <c:ptCount val="3"/>
                <c:pt idx="0">
                  <c:v>26.826567934905668</c:v>
                </c:pt>
                <c:pt idx="1">
                  <c:v>107.02656708263417</c:v>
                </c:pt>
                <c:pt idx="2">
                  <c:v>158.61434791910952</c:v>
                </c:pt>
              </c:numCache>
            </c:numRef>
          </c:val>
          <c:extLst>
            <c:ext xmlns:c16="http://schemas.microsoft.com/office/drawing/2014/chart" uri="{C3380CC4-5D6E-409C-BE32-E72D297353CC}">
              <c16:uniqueId val="{00000000-2DC1-47F4-B65A-9C6DD97C6EE6}"/>
            </c:ext>
          </c:extLst>
        </c:ser>
        <c:dLbls>
          <c:showLegendKey val="0"/>
          <c:showVal val="1"/>
          <c:showCatName val="0"/>
          <c:showSerName val="0"/>
          <c:showPercent val="0"/>
          <c:showBubbleSize val="0"/>
        </c:dLbls>
        <c:gapWidth val="150"/>
        <c:axId val="728090048"/>
        <c:axId val="728088088"/>
      </c:barChart>
      <c:catAx>
        <c:axId val="7280900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a-DK"/>
          </a:p>
        </c:txPr>
        <c:crossAx val="728088088"/>
        <c:crosses val="autoZero"/>
        <c:auto val="1"/>
        <c:lblAlgn val="ctr"/>
        <c:lblOffset val="100"/>
        <c:noMultiLvlLbl val="0"/>
      </c:catAx>
      <c:valAx>
        <c:axId val="72808808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da-DK"/>
                  <a:t>TJ/år</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da-DK"/>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a-DK"/>
          </a:p>
        </c:txPr>
        <c:crossAx val="72809004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da-DK"/>
    </a:p>
  </c:txPr>
  <c:printSettings>
    <c:headerFooter/>
    <c:pageMargins b="0.75000000000000322" l="0.70000000000000062" r="0.70000000000000062" t="0.75000000000000322"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6208333333352"/>
          <c:y val="3.465346534653465E-2"/>
          <c:w val="0.62848010968430545"/>
          <c:h val="0.89395492112495856"/>
        </c:manualLayout>
      </c:layout>
      <c:barChart>
        <c:barDir val="col"/>
        <c:grouping val="stacked"/>
        <c:varyColors val="0"/>
        <c:ser>
          <c:idx val="1"/>
          <c:order val="0"/>
          <c:tx>
            <c:strRef>
              <c:f>'Grafer-energi'!$B$98</c:f>
              <c:strCache>
                <c:ptCount val="1"/>
                <c:pt idx="0">
                  <c:v>Elimport (fossilbaseret)</c:v>
                </c:pt>
              </c:strCache>
            </c:strRef>
          </c:tx>
          <c:spPr>
            <a:solidFill>
              <a:schemeClr val="accent3"/>
            </a:solidFill>
            <a:ln>
              <a:noFill/>
            </a:ln>
            <a:effectLst/>
          </c:spPr>
          <c:invertIfNegative val="0"/>
          <c:cat>
            <c:numRef>
              <c:f>'Grafer-energi'!$C$97:$E$97</c:f>
              <c:numCache>
                <c:formatCode>General</c:formatCode>
                <c:ptCount val="3"/>
                <c:pt idx="0">
                  <c:v>1990</c:v>
                </c:pt>
                <c:pt idx="1">
                  <c:v>2018</c:v>
                </c:pt>
                <c:pt idx="2">
                  <c:v>2020</c:v>
                </c:pt>
              </c:numCache>
            </c:numRef>
          </c:cat>
          <c:val>
            <c:numRef>
              <c:f>'Grafer-energi'!$C$98:$E$98</c:f>
              <c:numCache>
                <c:formatCode>#,##0</c:formatCode>
                <c:ptCount val="3"/>
                <c:pt idx="0">
                  <c:v>47.766958828937327</c:v>
                </c:pt>
                <c:pt idx="1">
                  <c:v>20.509487196079874</c:v>
                </c:pt>
                <c:pt idx="2">
                  <c:v>11.624529854135787</c:v>
                </c:pt>
              </c:numCache>
            </c:numRef>
          </c:val>
          <c:extLst>
            <c:ext xmlns:c16="http://schemas.microsoft.com/office/drawing/2014/chart" uri="{C3380CC4-5D6E-409C-BE32-E72D297353CC}">
              <c16:uniqueId val="{00000000-2857-4F0D-968F-7A62ED6696B9}"/>
            </c:ext>
          </c:extLst>
        </c:ser>
        <c:ser>
          <c:idx val="2"/>
          <c:order val="1"/>
          <c:tx>
            <c:strRef>
              <c:f>'Grafer-energi'!$B$99</c:f>
              <c:strCache>
                <c:ptCount val="1"/>
                <c:pt idx="0">
                  <c:v>Kul</c:v>
                </c:pt>
              </c:strCache>
            </c:strRef>
          </c:tx>
          <c:spPr>
            <a:solidFill>
              <a:schemeClr val="accent5"/>
            </a:solidFill>
            <a:ln>
              <a:noFill/>
            </a:ln>
            <a:effectLst/>
          </c:spPr>
          <c:invertIfNegative val="0"/>
          <c:cat>
            <c:numRef>
              <c:f>'Grafer-energi'!$C$97:$E$97</c:f>
              <c:numCache>
                <c:formatCode>General</c:formatCode>
                <c:ptCount val="3"/>
                <c:pt idx="0">
                  <c:v>1990</c:v>
                </c:pt>
                <c:pt idx="1">
                  <c:v>2018</c:v>
                </c:pt>
                <c:pt idx="2">
                  <c:v>2020</c:v>
                </c:pt>
              </c:numCache>
            </c:numRef>
          </c:cat>
          <c:val>
            <c:numRef>
              <c:f>'Grafer-energi'!$C$99:$E$99</c:f>
              <c:numCache>
                <c:formatCode>#,##0</c:formatCode>
                <c:ptCount val="3"/>
                <c:pt idx="0">
                  <c:v>0</c:v>
                </c:pt>
                <c:pt idx="1">
                  <c:v>0</c:v>
                </c:pt>
                <c:pt idx="2">
                  <c:v>0</c:v>
                </c:pt>
              </c:numCache>
            </c:numRef>
          </c:val>
          <c:extLst>
            <c:ext xmlns:c16="http://schemas.microsoft.com/office/drawing/2014/chart" uri="{C3380CC4-5D6E-409C-BE32-E72D297353CC}">
              <c16:uniqueId val="{00000001-2857-4F0D-968F-7A62ED6696B9}"/>
            </c:ext>
          </c:extLst>
        </c:ser>
        <c:ser>
          <c:idx val="3"/>
          <c:order val="2"/>
          <c:tx>
            <c:strRef>
              <c:f>'Grafer-energi'!$B$100</c:f>
              <c:strCache>
                <c:ptCount val="1"/>
                <c:pt idx="0">
                  <c:v>Naturgas og LPG</c:v>
                </c:pt>
              </c:strCache>
            </c:strRef>
          </c:tx>
          <c:spPr>
            <a:solidFill>
              <a:schemeClr val="accent1">
                <a:lumMod val="60000"/>
              </a:schemeClr>
            </a:solidFill>
            <a:ln>
              <a:noFill/>
            </a:ln>
            <a:effectLst/>
          </c:spPr>
          <c:invertIfNegative val="0"/>
          <c:cat>
            <c:numRef>
              <c:f>'Grafer-energi'!$C$97:$E$97</c:f>
              <c:numCache>
                <c:formatCode>General</c:formatCode>
                <c:ptCount val="3"/>
                <c:pt idx="0">
                  <c:v>1990</c:v>
                </c:pt>
                <c:pt idx="1">
                  <c:v>2018</c:v>
                </c:pt>
                <c:pt idx="2">
                  <c:v>2020</c:v>
                </c:pt>
              </c:numCache>
            </c:numRef>
          </c:cat>
          <c:val>
            <c:numRef>
              <c:f>'Grafer-energi'!$C$100:$E$100</c:f>
              <c:numCache>
                <c:formatCode>#,##0</c:formatCode>
                <c:ptCount val="3"/>
                <c:pt idx="0">
                  <c:v>4.5725275630431774</c:v>
                </c:pt>
                <c:pt idx="1">
                  <c:v>0.89</c:v>
                </c:pt>
                <c:pt idx="2">
                  <c:v>0.81</c:v>
                </c:pt>
              </c:numCache>
            </c:numRef>
          </c:val>
          <c:extLst>
            <c:ext xmlns:c16="http://schemas.microsoft.com/office/drawing/2014/chart" uri="{C3380CC4-5D6E-409C-BE32-E72D297353CC}">
              <c16:uniqueId val="{00000002-2857-4F0D-968F-7A62ED6696B9}"/>
            </c:ext>
          </c:extLst>
        </c:ser>
        <c:ser>
          <c:idx val="4"/>
          <c:order val="3"/>
          <c:tx>
            <c:strRef>
              <c:f>'Grafer-energi'!$B$101</c:f>
              <c:strCache>
                <c:ptCount val="1"/>
                <c:pt idx="0">
                  <c:v>Fuelolie</c:v>
                </c:pt>
              </c:strCache>
            </c:strRef>
          </c:tx>
          <c:spPr>
            <a:solidFill>
              <a:schemeClr val="accent3">
                <a:lumMod val="60000"/>
              </a:schemeClr>
            </a:solidFill>
            <a:ln>
              <a:noFill/>
            </a:ln>
            <a:effectLst/>
          </c:spPr>
          <c:invertIfNegative val="0"/>
          <c:cat>
            <c:numRef>
              <c:f>'Grafer-energi'!$C$97:$E$97</c:f>
              <c:numCache>
                <c:formatCode>General</c:formatCode>
                <c:ptCount val="3"/>
                <c:pt idx="0">
                  <c:v>1990</c:v>
                </c:pt>
                <c:pt idx="1">
                  <c:v>2018</c:v>
                </c:pt>
                <c:pt idx="2">
                  <c:v>2020</c:v>
                </c:pt>
              </c:numCache>
            </c:numRef>
          </c:cat>
          <c:val>
            <c:numRef>
              <c:f>'Grafer-energi'!$C$101:$E$101</c:f>
              <c:numCache>
                <c:formatCode>#,##0</c:formatCode>
                <c:ptCount val="3"/>
                <c:pt idx="0">
                  <c:v>1.7412912428201921</c:v>
                </c:pt>
                <c:pt idx="1">
                  <c:v>1E-3</c:v>
                </c:pt>
                <c:pt idx="2">
                  <c:v>0.13</c:v>
                </c:pt>
              </c:numCache>
            </c:numRef>
          </c:val>
          <c:extLst>
            <c:ext xmlns:c16="http://schemas.microsoft.com/office/drawing/2014/chart" uri="{C3380CC4-5D6E-409C-BE32-E72D297353CC}">
              <c16:uniqueId val="{00000003-2857-4F0D-968F-7A62ED6696B9}"/>
            </c:ext>
          </c:extLst>
        </c:ser>
        <c:ser>
          <c:idx val="5"/>
          <c:order val="4"/>
          <c:tx>
            <c:strRef>
              <c:f>'Grafer-energi'!$B$102</c:f>
              <c:strCache>
                <c:ptCount val="1"/>
                <c:pt idx="0">
                  <c:v>Brændselsolie/diesel</c:v>
                </c:pt>
              </c:strCache>
            </c:strRef>
          </c:tx>
          <c:spPr>
            <a:solidFill>
              <a:schemeClr val="accent5">
                <a:lumMod val="60000"/>
              </a:schemeClr>
            </a:solidFill>
            <a:ln>
              <a:noFill/>
            </a:ln>
            <a:effectLst/>
          </c:spPr>
          <c:invertIfNegative val="0"/>
          <c:cat>
            <c:numRef>
              <c:f>'Grafer-energi'!$C$97:$E$97</c:f>
              <c:numCache>
                <c:formatCode>General</c:formatCode>
                <c:ptCount val="3"/>
                <c:pt idx="0">
                  <c:v>1990</c:v>
                </c:pt>
                <c:pt idx="1">
                  <c:v>2018</c:v>
                </c:pt>
                <c:pt idx="2">
                  <c:v>2020</c:v>
                </c:pt>
              </c:numCache>
            </c:numRef>
          </c:cat>
          <c:val>
            <c:numRef>
              <c:f>'Grafer-energi'!$C$102:$E$102</c:f>
              <c:numCache>
                <c:formatCode>#,##0</c:formatCode>
                <c:ptCount val="3"/>
                <c:pt idx="0">
                  <c:v>124.69948051415641</c:v>
                </c:pt>
                <c:pt idx="1">
                  <c:v>87.440770000000001</c:v>
                </c:pt>
                <c:pt idx="2">
                  <c:v>83.843319999999991</c:v>
                </c:pt>
              </c:numCache>
            </c:numRef>
          </c:val>
          <c:extLst>
            <c:ext xmlns:c16="http://schemas.microsoft.com/office/drawing/2014/chart" uri="{C3380CC4-5D6E-409C-BE32-E72D297353CC}">
              <c16:uniqueId val="{00000004-2857-4F0D-968F-7A62ED6696B9}"/>
            </c:ext>
          </c:extLst>
        </c:ser>
        <c:ser>
          <c:idx val="14"/>
          <c:order val="5"/>
          <c:tx>
            <c:strRef>
              <c:f>'Grafer-energi'!$B$103</c:f>
              <c:strCache>
                <c:ptCount val="1"/>
                <c:pt idx="0">
                  <c:v>JP1</c:v>
                </c:pt>
              </c:strCache>
            </c:strRef>
          </c:tx>
          <c:spPr>
            <a:solidFill>
              <a:schemeClr val="accent5">
                <a:lumMod val="60000"/>
                <a:lumOff val="40000"/>
              </a:schemeClr>
            </a:solidFill>
            <a:ln>
              <a:noFill/>
            </a:ln>
            <a:effectLst/>
          </c:spPr>
          <c:invertIfNegative val="0"/>
          <c:cat>
            <c:numRef>
              <c:f>'Grafer-energi'!$C$97:$E$97</c:f>
              <c:numCache>
                <c:formatCode>General</c:formatCode>
                <c:ptCount val="3"/>
                <c:pt idx="0">
                  <c:v>1990</c:v>
                </c:pt>
                <c:pt idx="1">
                  <c:v>2018</c:v>
                </c:pt>
                <c:pt idx="2">
                  <c:v>2020</c:v>
                </c:pt>
              </c:numCache>
            </c:numRef>
          </c:cat>
          <c:val>
            <c:numRef>
              <c:f>'Grafer-energi'!$C$103:$E$103</c:f>
              <c:numCache>
                <c:formatCode>#,##0</c:formatCode>
                <c:ptCount val="3"/>
                <c:pt idx="0">
                  <c:v>14.101352457029225</c:v>
                </c:pt>
                <c:pt idx="1">
                  <c:v>13.98</c:v>
                </c:pt>
                <c:pt idx="2">
                  <c:v>4.95</c:v>
                </c:pt>
              </c:numCache>
            </c:numRef>
          </c:val>
          <c:extLst>
            <c:ext xmlns:c16="http://schemas.microsoft.com/office/drawing/2014/chart" uri="{C3380CC4-5D6E-409C-BE32-E72D297353CC}">
              <c16:uniqueId val="{00000005-2857-4F0D-968F-7A62ED6696B9}"/>
            </c:ext>
          </c:extLst>
        </c:ser>
        <c:ser>
          <c:idx val="6"/>
          <c:order val="6"/>
          <c:tx>
            <c:strRef>
              <c:f>'Grafer-energi'!$B$104</c:f>
              <c:strCache>
                <c:ptCount val="1"/>
                <c:pt idx="0">
                  <c:v>Benzin</c:v>
                </c:pt>
              </c:strCache>
            </c:strRef>
          </c:tx>
          <c:spPr>
            <a:solidFill>
              <a:schemeClr val="accent1">
                <a:lumMod val="80000"/>
                <a:lumOff val="20000"/>
              </a:schemeClr>
            </a:solidFill>
            <a:ln>
              <a:noFill/>
            </a:ln>
            <a:effectLst/>
          </c:spPr>
          <c:invertIfNegative val="0"/>
          <c:cat>
            <c:numRef>
              <c:f>'Grafer-energi'!$C$97:$E$97</c:f>
              <c:numCache>
                <c:formatCode>General</c:formatCode>
                <c:ptCount val="3"/>
                <c:pt idx="0">
                  <c:v>1990</c:v>
                </c:pt>
                <c:pt idx="1">
                  <c:v>2018</c:v>
                </c:pt>
                <c:pt idx="2">
                  <c:v>2020</c:v>
                </c:pt>
              </c:numCache>
            </c:numRef>
          </c:cat>
          <c:val>
            <c:numRef>
              <c:f>'Grafer-energi'!$C$104:$E$104</c:f>
              <c:numCache>
                <c:formatCode>#,##0</c:formatCode>
                <c:ptCount val="3"/>
                <c:pt idx="0">
                  <c:v>26.535706188153661</c:v>
                </c:pt>
                <c:pt idx="1">
                  <c:v>18.910260000000001</c:v>
                </c:pt>
                <c:pt idx="2">
                  <c:v>17.108059999999998</c:v>
                </c:pt>
              </c:numCache>
            </c:numRef>
          </c:val>
          <c:extLst>
            <c:ext xmlns:c16="http://schemas.microsoft.com/office/drawing/2014/chart" uri="{C3380CC4-5D6E-409C-BE32-E72D297353CC}">
              <c16:uniqueId val="{00000006-2857-4F0D-968F-7A62ED6696B9}"/>
            </c:ext>
          </c:extLst>
        </c:ser>
        <c:ser>
          <c:idx val="7"/>
          <c:order val="7"/>
          <c:tx>
            <c:strRef>
              <c:f>'Grafer-energi'!$B$105</c:f>
              <c:strCache>
                <c:ptCount val="1"/>
                <c:pt idx="0">
                  <c:v>Affald, ikke bionedbrydeligt</c:v>
                </c:pt>
              </c:strCache>
            </c:strRef>
          </c:tx>
          <c:spPr>
            <a:solidFill>
              <a:schemeClr val="accent3">
                <a:lumMod val="80000"/>
                <a:lumOff val="20000"/>
              </a:schemeClr>
            </a:solidFill>
            <a:ln>
              <a:noFill/>
            </a:ln>
            <a:effectLst/>
          </c:spPr>
          <c:invertIfNegative val="0"/>
          <c:cat>
            <c:numRef>
              <c:f>'Grafer-energi'!$C$97:$E$97</c:f>
              <c:numCache>
                <c:formatCode>General</c:formatCode>
                <c:ptCount val="3"/>
                <c:pt idx="0">
                  <c:v>1990</c:v>
                </c:pt>
                <c:pt idx="1">
                  <c:v>2018</c:v>
                </c:pt>
                <c:pt idx="2">
                  <c:v>2020</c:v>
                </c:pt>
              </c:numCache>
            </c:numRef>
          </c:cat>
          <c:val>
            <c:numRef>
              <c:f>'Grafer-energi'!$C$105:$E$105</c:f>
              <c:numCache>
                <c:formatCode>#,##0</c:formatCode>
                <c:ptCount val="3"/>
                <c:pt idx="0">
                  <c:v>0</c:v>
                </c:pt>
                <c:pt idx="1">
                  <c:v>0</c:v>
                </c:pt>
                <c:pt idx="2">
                  <c:v>0</c:v>
                </c:pt>
              </c:numCache>
            </c:numRef>
          </c:val>
          <c:extLst>
            <c:ext xmlns:c16="http://schemas.microsoft.com/office/drawing/2014/chart" uri="{C3380CC4-5D6E-409C-BE32-E72D297353CC}">
              <c16:uniqueId val="{00000007-2857-4F0D-968F-7A62ED6696B9}"/>
            </c:ext>
          </c:extLst>
        </c:ser>
        <c:ser>
          <c:idx val="8"/>
          <c:order val="8"/>
          <c:tx>
            <c:strRef>
              <c:f>'Grafer-energi'!$B$106</c:f>
              <c:strCache>
                <c:ptCount val="1"/>
                <c:pt idx="0">
                  <c:v>Affald, bionedbrydeligt</c:v>
                </c:pt>
              </c:strCache>
            </c:strRef>
          </c:tx>
          <c:spPr>
            <a:solidFill>
              <a:schemeClr val="accent5">
                <a:lumMod val="80000"/>
                <a:lumOff val="20000"/>
              </a:schemeClr>
            </a:solidFill>
            <a:ln>
              <a:noFill/>
            </a:ln>
            <a:effectLst/>
          </c:spPr>
          <c:invertIfNegative val="0"/>
          <c:cat>
            <c:numRef>
              <c:f>'Grafer-energi'!$C$97:$E$97</c:f>
              <c:numCache>
                <c:formatCode>General</c:formatCode>
                <c:ptCount val="3"/>
                <c:pt idx="0">
                  <c:v>1990</c:v>
                </c:pt>
                <c:pt idx="1">
                  <c:v>2018</c:v>
                </c:pt>
                <c:pt idx="2">
                  <c:v>2020</c:v>
                </c:pt>
              </c:numCache>
            </c:numRef>
          </c:cat>
          <c:val>
            <c:numRef>
              <c:f>'Grafer-energi'!$C$106:$E$106</c:f>
              <c:numCache>
                <c:formatCode>#,##0</c:formatCode>
                <c:ptCount val="3"/>
                <c:pt idx="0">
                  <c:v>0</c:v>
                </c:pt>
                <c:pt idx="1">
                  <c:v>0</c:v>
                </c:pt>
                <c:pt idx="2">
                  <c:v>0</c:v>
                </c:pt>
              </c:numCache>
            </c:numRef>
          </c:val>
          <c:extLst>
            <c:ext xmlns:c16="http://schemas.microsoft.com/office/drawing/2014/chart" uri="{C3380CC4-5D6E-409C-BE32-E72D297353CC}">
              <c16:uniqueId val="{00000008-2857-4F0D-968F-7A62ED6696B9}"/>
            </c:ext>
          </c:extLst>
        </c:ser>
        <c:ser>
          <c:idx val="9"/>
          <c:order val="9"/>
          <c:tx>
            <c:strRef>
              <c:f>'Grafer-energi'!$B$107</c:f>
              <c:strCache>
                <c:ptCount val="1"/>
                <c:pt idx="0">
                  <c:v>Biomasse</c:v>
                </c:pt>
              </c:strCache>
            </c:strRef>
          </c:tx>
          <c:spPr>
            <a:solidFill>
              <a:schemeClr val="accent1">
                <a:lumMod val="80000"/>
              </a:schemeClr>
            </a:solidFill>
            <a:ln>
              <a:noFill/>
            </a:ln>
            <a:effectLst/>
          </c:spPr>
          <c:invertIfNegative val="0"/>
          <c:cat>
            <c:numRef>
              <c:f>'Grafer-energi'!$C$97:$E$97</c:f>
              <c:numCache>
                <c:formatCode>General</c:formatCode>
                <c:ptCount val="3"/>
                <c:pt idx="0">
                  <c:v>1990</c:v>
                </c:pt>
                <c:pt idx="1">
                  <c:v>2018</c:v>
                </c:pt>
                <c:pt idx="2">
                  <c:v>2020</c:v>
                </c:pt>
              </c:numCache>
            </c:numRef>
          </c:cat>
          <c:val>
            <c:numRef>
              <c:f>'Grafer-energi'!$C$107:$E$107</c:f>
              <c:numCache>
                <c:formatCode>#,##0</c:formatCode>
                <c:ptCount val="3"/>
                <c:pt idx="0">
                  <c:v>24.96</c:v>
                </c:pt>
                <c:pt idx="1">
                  <c:v>70.261969999999991</c:v>
                </c:pt>
                <c:pt idx="2">
                  <c:v>112.97598000000001</c:v>
                </c:pt>
              </c:numCache>
            </c:numRef>
          </c:val>
          <c:extLst>
            <c:ext xmlns:c16="http://schemas.microsoft.com/office/drawing/2014/chart" uri="{C3380CC4-5D6E-409C-BE32-E72D297353CC}">
              <c16:uniqueId val="{00000009-2857-4F0D-968F-7A62ED6696B9}"/>
            </c:ext>
          </c:extLst>
        </c:ser>
        <c:ser>
          <c:idx val="10"/>
          <c:order val="10"/>
          <c:tx>
            <c:strRef>
              <c:f>'Grafer-energi'!$B$108</c:f>
              <c:strCache>
                <c:ptCount val="1"/>
                <c:pt idx="0">
                  <c:v>Vindenergi</c:v>
                </c:pt>
              </c:strCache>
            </c:strRef>
          </c:tx>
          <c:spPr>
            <a:solidFill>
              <a:schemeClr val="accent3">
                <a:lumMod val="80000"/>
              </a:schemeClr>
            </a:solidFill>
            <a:ln>
              <a:noFill/>
            </a:ln>
            <a:effectLst/>
          </c:spPr>
          <c:invertIfNegative val="0"/>
          <c:cat>
            <c:numRef>
              <c:f>'Grafer-energi'!$C$97:$E$97</c:f>
              <c:numCache>
                <c:formatCode>General</c:formatCode>
                <c:ptCount val="3"/>
                <c:pt idx="0">
                  <c:v>1990</c:v>
                </c:pt>
                <c:pt idx="1">
                  <c:v>2018</c:v>
                </c:pt>
                <c:pt idx="2">
                  <c:v>2020</c:v>
                </c:pt>
              </c:numCache>
            </c:numRef>
          </c:cat>
          <c:val>
            <c:numRef>
              <c:f>'Grafer-energi'!$C$108:$E$108</c:f>
              <c:numCache>
                <c:formatCode>#,##0</c:formatCode>
                <c:ptCount val="3"/>
                <c:pt idx="0">
                  <c:v>1.7762934374999999</c:v>
                </c:pt>
                <c:pt idx="1">
                  <c:v>0.5</c:v>
                </c:pt>
                <c:pt idx="2">
                  <c:v>0.78</c:v>
                </c:pt>
              </c:numCache>
            </c:numRef>
          </c:val>
          <c:extLst>
            <c:ext xmlns:c16="http://schemas.microsoft.com/office/drawing/2014/chart" uri="{C3380CC4-5D6E-409C-BE32-E72D297353CC}">
              <c16:uniqueId val="{0000000A-2857-4F0D-968F-7A62ED6696B9}"/>
            </c:ext>
          </c:extLst>
        </c:ser>
        <c:ser>
          <c:idx val="11"/>
          <c:order val="11"/>
          <c:tx>
            <c:strRef>
              <c:f>'Grafer-energi'!$B$109</c:f>
              <c:strCache>
                <c:ptCount val="1"/>
                <c:pt idx="0">
                  <c:v>Biogas</c:v>
                </c:pt>
              </c:strCache>
            </c:strRef>
          </c:tx>
          <c:spPr>
            <a:solidFill>
              <a:schemeClr val="accent5">
                <a:lumMod val="80000"/>
              </a:schemeClr>
            </a:solidFill>
            <a:ln>
              <a:noFill/>
            </a:ln>
            <a:effectLst/>
          </c:spPr>
          <c:invertIfNegative val="0"/>
          <c:cat>
            <c:numRef>
              <c:f>'Grafer-energi'!$C$97:$E$97</c:f>
              <c:numCache>
                <c:formatCode>General</c:formatCode>
                <c:ptCount val="3"/>
                <c:pt idx="0">
                  <c:v>1990</c:v>
                </c:pt>
                <c:pt idx="1">
                  <c:v>2018</c:v>
                </c:pt>
                <c:pt idx="2">
                  <c:v>2020</c:v>
                </c:pt>
              </c:numCache>
            </c:numRef>
          </c:cat>
          <c:val>
            <c:numRef>
              <c:f>'Grafer-energi'!$C$109:$E$109</c:f>
              <c:numCache>
                <c:formatCode>#,##0</c:formatCode>
                <c:ptCount val="3"/>
                <c:pt idx="0">
                  <c:v>0</c:v>
                </c:pt>
                <c:pt idx="1">
                  <c:v>0</c:v>
                </c:pt>
                <c:pt idx="2">
                  <c:v>0</c:v>
                </c:pt>
              </c:numCache>
            </c:numRef>
          </c:val>
          <c:extLst>
            <c:ext xmlns:c16="http://schemas.microsoft.com/office/drawing/2014/chart" uri="{C3380CC4-5D6E-409C-BE32-E72D297353CC}">
              <c16:uniqueId val="{0000000B-2857-4F0D-968F-7A62ED6696B9}"/>
            </c:ext>
          </c:extLst>
        </c:ser>
        <c:ser>
          <c:idx val="12"/>
          <c:order val="12"/>
          <c:tx>
            <c:strRef>
              <c:f>'Grafer-energi'!$B$110</c:f>
              <c:strCache>
                <c:ptCount val="1"/>
                <c:pt idx="0">
                  <c:v>Solenergi</c:v>
                </c:pt>
              </c:strCache>
            </c:strRef>
          </c:tx>
          <c:spPr>
            <a:solidFill>
              <a:schemeClr val="accent1">
                <a:lumMod val="60000"/>
                <a:lumOff val="40000"/>
              </a:schemeClr>
            </a:solidFill>
            <a:ln>
              <a:noFill/>
            </a:ln>
            <a:effectLst/>
          </c:spPr>
          <c:invertIfNegative val="0"/>
          <c:cat>
            <c:numRef>
              <c:f>'Grafer-energi'!$C$97:$E$97</c:f>
              <c:numCache>
                <c:formatCode>General</c:formatCode>
                <c:ptCount val="3"/>
                <c:pt idx="0">
                  <c:v>1990</c:v>
                </c:pt>
                <c:pt idx="1">
                  <c:v>2018</c:v>
                </c:pt>
                <c:pt idx="2">
                  <c:v>2020</c:v>
                </c:pt>
              </c:numCache>
            </c:numRef>
          </c:cat>
          <c:val>
            <c:numRef>
              <c:f>'Grafer-energi'!$C$110:$E$110</c:f>
              <c:numCache>
                <c:formatCode>#,##0</c:formatCode>
                <c:ptCount val="3"/>
                <c:pt idx="0">
                  <c:v>9.0274497405664747E-2</c:v>
                </c:pt>
                <c:pt idx="1">
                  <c:v>19.05</c:v>
                </c:pt>
                <c:pt idx="2">
                  <c:v>27.1</c:v>
                </c:pt>
              </c:numCache>
            </c:numRef>
          </c:val>
          <c:extLst>
            <c:ext xmlns:c16="http://schemas.microsoft.com/office/drawing/2014/chart" uri="{C3380CC4-5D6E-409C-BE32-E72D297353CC}">
              <c16:uniqueId val="{0000000C-2857-4F0D-968F-7A62ED6696B9}"/>
            </c:ext>
          </c:extLst>
        </c:ser>
        <c:ser>
          <c:idx val="0"/>
          <c:order val="13"/>
          <c:tx>
            <c:strRef>
              <c:f>'Grafer-energi'!$B$111</c:f>
              <c:strCache>
                <c:ptCount val="1"/>
                <c:pt idx="0">
                  <c:v>Jordvarme, geotermi, vandkraft mm.</c:v>
                </c:pt>
              </c:strCache>
            </c:strRef>
          </c:tx>
          <c:spPr>
            <a:solidFill>
              <a:schemeClr val="accent1"/>
            </a:solidFill>
            <a:ln>
              <a:noFill/>
            </a:ln>
            <a:effectLst/>
          </c:spPr>
          <c:invertIfNegative val="0"/>
          <c:cat>
            <c:numRef>
              <c:f>'Grafer-energi'!$C$97:$E$97</c:f>
              <c:numCache>
                <c:formatCode>General</c:formatCode>
                <c:ptCount val="3"/>
                <c:pt idx="0">
                  <c:v>1990</c:v>
                </c:pt>
                <c:pt idx="1">
                  <c:v>2018</c:v>
                </c:pt>
                <c:pt idx="2">
                  <c:v>2020</c:v>
                </c:pt>
              </c:numCache>
            </c:numRef>
          </c:cat>
          <c:val>
            <c:numRef>
              <c:f>'Grafer-energi'!$C$111:$E$111</c:f>
              <c:numCache>
                <c:formatCode>#,##0</c:formatCode>
                <c:ptCount val="3"/>
                <c:pt idx="0">
                  <c:v>0</c:v>
                </c:pt>
                <c:pt idx="1">
                  <c:v>1.1000000000000001</c:v>
                </c:pt>
                <c:pt idx="2">
                  <c:v>1.1200000000000001</c:v>
                </c:pt>
              </c:numCache>
            </c:numRef>
          </c:val>
          <c:extLst>
            <c:ext xmlns:c16="http://schemas.microsoft.com/office/drawing/2014/chart" uri="{C3380CC4-5D6E-409C-BE32-E72D297353CC}">
              <c16:uniqueId val="{0000000D-2857-4F0D-968F-7A62ED6696B9}"/>
            </c:ext>
          </c:extLst>
        </c:ser>
        <c:ser>
          <c:idx val="13"/>
          <c:order val="14"/>
          <c:tx>
            <c:strRef>
              <c:f>'Grafer-energi'!$B$112</c:f>
              <c:strCache>
                <c:ptCount val="1"/>
                <c:pt idx="0">
                  <c:v>Elimport (VE-baseret)</c:v>
                </c:pt>
              </c:strCache>
            </c:strRef>
          </c:tx>
          <c:spPr>
            <a:solidFill>
              <a:schemeClr val="accent3">
                <a:lumMod val="60000"/>
                <a:lumOff val="40000"/>
              </a:schemeClr>
            </a:solidFill>
            <a:ln>
              <a:noFill/>
            </a:ln>
            <a:effectLst/>
          </c:spPr>
          <c:invertIfNegative val="0"/>
          <c:cat>
            <c:numRef>
              <c:f>'Grafer-energi'!$C$97:$E$97</c:f>
              <c:numCache>
                <c:formatCode>General</c:formatCode>
                <c:ptCount val="3"/>
                <c:pt idx="0">
                  <c:v>1990</c:v>
                </c:pt>
                <c:pt idx="1">
                  <c:v>2018</c:v>
                </c:pt>
                <c:pt idx="2">
                  <c:v>2020</c:v>
                </c:pt>
              </c:numCache>
            </c:numRef>
          </c:cat>
          <c:val>
            <c:numRef>
              <c:f>'Grafer-energi'!$C$112:$E$112</c:f>
              <c:numCache>
                <c:formatCode>#,##0</c:formatCode>
                <c:ptCount val="3"/>
                <c:pt idx="0">
                  <c:v>0</c:v>
                </c:pt>
                <c:pt idx="1">
                  <c:v>16.114597082634187</c:v>
                </c:pt>
                <c:pt idx="2">
                  <c:v>16.638367919109502</c:v>
                </c:pt>
              </c:numCache>
            </c:numRef>
          </c:val>
          <c:extLst>
            <c:ext xmlns:c16="http://schemas.microsoft.com/office/drawing/2014/chart" uri="{C3380CC4-5D6E-409C-BE32-E72D297353CC}">
              <c16:uniqueId val="{0000000E-2857-4F0D-968F-7A62ED6696B9}"/>
            </c:ext>
          </c:extLst>
        </c:ser>
        <c:dLbls>
          <c:showLegendKey val="0"/>
          <c:showVal val="0"/>
          <c:showCatName val="0"/>
          <c:showSerName val="0"/>
          <c:showPercent val="0"/>
          <c:showBubbleSize val="0"/>
        </c:dLbls>
        <c:gapWidth val="150"/>
        <c:overlap val="100"/>
        <c:axId val="728089656"/>
        <c:axId val="728088480"/>
      </c:barChart>
      <c:catAx>
        <c:axId val="72808965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728088480"/>
        <c:crosses val="autoZero"/>
        <c:auto val="1"/>
        <c:lblAlgn val="ctr"/>
        <c:lblOffset val="100"/>
        <c:noMultiLvlLbl val="0"/>
      </c:catAx>
      <c:valAx>
        <c:axId val="728088480"/>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r>
                  <a:rPr lang="da-DK"/>
                  <a:t>TJ/år</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endParaRPr lang="da-DK"/>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72808965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088" l="0.70000000000000062" r="0.70000000000000062" t="0.75000000000001088"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336154341841569E-2"/>
          <c:y val="3.422308034907047E-2"/>
          <c:w val="0.83831694075833885"/>
          <c:h val="0.46590228114225801"/>
        </c:manualLayout>
      </c:layout>
      <c:barChart>
        <c:barDir val="col"/>
        <c:grouping val="clustered"/>
        <c:varyColors val="0"/>
        <c:ser>
          <c:idx val="0"/>
          <c:order val="0"/>
          <c:tx>
            <c:strRef>
              <c:f>'Grafer-energi'!$C$97</c:f>
              <c:strCache>
                <c:ptCount val="1"/>
                <c:pt idx="0">
                  <c:v>1990</c:v>
                </c:pt>
              </c:strCache>
            </c:strRef>
          </c:tx>
          <c:spPr>
            <a:solidFill>
              <a:schemeClr val="accent1"/>
            </a:solidFill>
            <a:ln>
              <a:noFill/>
            </a:ln>
            <a:effectLst/>
          </c:spPr>
          <c:invertIfNegative val="0"/>
          <c:cat>
            <c:strRef>
              <c:extLst>
                <c:ext xmlns:c15="http://schemas.microsoft.com/office/drawing/2012/chart" uri="{02D57815-91ED-43cb-92C2-25804820EDAC}">
                  <c15:fullRef>
                    <c15:sqref>'Grafer-energi'!$B$98:$B$113</c15:sqref>
                  </c15:fullRef>
                </c:ext>
              </c:extLst>
              <c:f>'Grafer-energi'!$B$98:$B$112</c:f>
              <c:strCache>
                <c:ptCount val="15"/>
                <c:pt idx="0">
                  <c:v>Elimport (fossilbaseret)</c:v>
                </c:pt>
                <c:pt idx="1">
                  <c:v>Kul</c:v>
                </c:pt>
                <c:pt idx="2">
                  <c:v>Naturgas og LPG</c:v>
                </c:pt>
                <c:pt idx="3">
                  <c:v>Fuelolie</c:v>
                </c:pt>
                <c:pt idx="4">
                  <c:v>Brændselsolie/diesel</c:v>
                </c:pt>
                <c:pt idx="5">
                  <c:v>JP1</c:v>
                </c:pt>
                <c:pt idx="6">
                  <c:v>Benzin</c:v>
                </c:pt>
                <c:pt idx="7">
                  <c:v>Affald, ikke bionedbrydeligt</c:v>
                </c:pt>
                <c:pt idx="8">
                  <c:v>Affald, bionedbrydeligt</c:v>
                </c:pt>
                <c:pt idx="9">
                  <c:v>Biomasse</c:v>
                </c:pt>
                <c:pt idx="10">
                  <c:v>Vindenergi</c:v>
                </c:pt>
                <c:pt idx="11">
                  <c:v>Biogas</c:v>
                </c:pt>
                <c:pt idx="12">
                  <c:v>Solenergi</c:v>
                </c:pt>
                <c:pt idx="13">
                  <c:v>Jordvarme, geotermi, vandkraft mm.</c:v>
                </c:pt>
                <c:pt idx="14">
                  <c:v>Elimport (VE-baseret)</c:v>
                </c:pt>
              </c:strCache>
            </c:strRef>
          </c:cat>
          <c:val>
            <c:numRef>
              <c:extLst>
                <c:ext xmlns:c15="http://schemas.microsoft.com/office/drawing/2012/chart" uri="{02D57815-91ED-43cb-92C2-25804820EDAC}">
                  <c15:fullRef>
                    <c15:sqref>'Grafer-energi'!$C$98:$C$113</c15:sqref>
                  </c15:fullRef>
                </c:ext>
              </c:extLst>
              <c:f>'Grafer-energi'!$C$98:$C$112</c:f>
              <c:numCache>
                <c:formatCode>#,##0</c:formatCode>
                <c:ptCount val="15"/>
                <c:pt idx="0">
                  <c:v>47.766958828937327</c:v>
                </c:pt>
                <c:pt idx="1">
                  <c:v>0</c:v>
                </c:pt>
                <c:pt idx="2">
                  <c:v>4.5725275630431774</c:v>
                </c:pt>
                <c:pt idx="3">
                  <c:v>1.7412912428201921</c:v>
                </c:pt>
                <c:pt idx="4">
                  <c:v>124.69948051415641</c:v>
                </c:pt>
                <c:pt idx="5">
                  <c:v>14.101352457029225</c:v>
                </c:pt>
                <c:pt idx="6">
                  <c:v>26.535706188153661</c:v>
                </c:pt>
                <c:pt idx="7">
                  <c:v>0</c:v>
                </c:pt>
                <c:pt idx="8">
                  <c:v>0</c:v>
                </c:pt>
                <c:pt idx="9">
                  <c:v>24.96</c:v>
                </c:pt>
                <c:pt idx="10">
                  <c:v>1.7762934374999999</c:v>
                </c:pt>
                <c:pt idx="11">
                  <c:v>0</c:v>
                </c:pt>
                <c:pt idx="12">
                  <c:v>9.0274497405664747E-2</c:v>
                </c:pt>
                <c:pt idx="13">
                  <c:v>0</c:v>
                </c:pt>
                <c:pt idx="14">
                  <c:v>0</c:v>
                </c:pt>
              </c:numCache>
            </c:numRef>
          </c:val>
          <c:extLst>
            <c:ext xmlns:c16="http://schemas.microsoft.com/office/drawing/2014/chart" uri="{C3380CC4-5D6E-409C-BE32-E72D297353CC}">
              <c16:uniqueId val="{00000000-AE48-433E-8EEA-39856ECE24AB}"/>
            </c:ext>
          </c:extLst>
        </c:ser>
        <c:ser>
          <c:idx val="3"/>
          <c:order val="1"/>
          <c:tx>
            <c:strRef>
              <c:f>'Grafer-energi'!$D$97</c:f>
              <c:strCache>
                <c:ptCount val="1"/>
                <c:pt idx="0">
                  <c:v>2018</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'Grafer-energi'!$B$98:$B$113</c15:sqref>
                  </c15:fullRef>
                </c:ext>
              </c:extLst>
              <c:f>'Grafer-energi'!$B$98:$B$112</c:f>
              <c:strCache>
                <c:ptCount val="15"/>
                <c:pt idx="0">
                  <c:v>Elimport (fossilbaseret)</c:v>
                </c:pt>
                <c:pt idx="1">
                  <c:v>Kul</c:v>
                </c:pt>
                <c:pt idx="2">
                  <c:v>Naturgas og LPG</c:v>
                </c:pt>
                <c:pt idx="3">
                  <c:v>Fuelolie</c:v>
                </c:pt>
                <c:pt idx="4">
                  <c:v>Brændselsolie/diesel</c:v>
                </c:pt>
                <c:pt idx="5">
                  <c:v>JP1</c:v>
                </c:pt>
                <c:pt idx="6">
                  <c:v>Benzin</c:v>
                </c:pt>
                <c:pt idx="7">
                  <c:v>Affald, ikke bionedbrydeligt</c:v>
                </c:pt>
                <c:pt idx="8">
                  <c:v>Affald, bionedbrydeligt</c:v>
                </c:pt>
                <c:pt idx="9">
                  <c:v>Biomasse</c:v>
                </c:pt>
                <c:pt idx="10">
                  <c:v>Vindenergi</c:v>
                </c:pt>
                <c:pt idx="11">
                  <c:v>Biogas</c:v>
                </c:pt>
                <c:pt idx="12">
                  <c:v>Solenergi</c:v>
                </c:pt>
                <c:pt idx="13">
                  <c:v>Jordvarme, geotermi, vandkraft mm.</c:v>
                </c:pt>
                <c:pt idx="14">
                  <c:v>Elimport (VE-baseret)</c:v>
                </c:pt>
              </c:strCache>
            </c:strRef>
          </c:cat>
          <c:val>
            <c:numRef>
              <c:extLst>
                <c:ext xmlns:c15="http://schemas.microsoft.com/office/drawing/2012/chart" uri="{02D57815-91ED-43cb-92C2-25804820EDAC}">
                  <c15:fullRef>
                    <c15:sqref>'Grafer-energi'!$D$98:$D$113</c15:sqref>
                  </c15:fullRef>
                </c:ext>
              </c:extLst>
              <c:f>'Grafer-energi'!$D$98:$D$112</c:f>
              <c:numCache>
                <c:formatCode>#,##0</c:formatCode>
                <c:ptCount val="15"/>
                <c:pt idx="0">
                  <c:v>20.509487196079874</c:v>
                </c:pt>
                <c:pt idx="1">
                  <c:v>0</c:v>
                </c:pt>
                <c:pt idx="2">
                  <c:v>0.89</c:v>
                </c:pt>
                <c:pt idx="3">
                  <c:v>1E-3</c:v>
                </c:pt>
                <c:pt idx="4">
                  <c:v>87.440770000000001</c:v>
                </c:pt>
                <c:pt idx="5">
                  <c:v>13.98</c:v>
                </c:pt>
                <c:pt idx="6">
                  <c:v>18.910260000000001</c:v>
                </c:pt>
                <c:pt idx="7">
                  <c:v>0</c:v>
                </c:pt>
                <c:pt idx="8">
                  <c:v>0</c:v>
                </c:pt>
                <c:pt idx="9">
                  <c:v>70.261969999999991</c:v>
                </c:pt>
                <c:pt idx="10">
                  <c:v>0.5</c:v>
                </c:pt>
                <c:pt idx="11">
                  <c:v>0</c:v>
                </c:pt>
                <c:pt idx="12">
                  <c:v>19.05</c:v>
                </c:pt>
                <c:pt idx="13">
                  <c:v>1.1000000000000001</c:v>
                </c:pt>
                <c:pt idx="14">
                  <c:v>16.114597082634187</c:v>
                </c:pt>
              </c:numCache>
            </c:numRef>
          </c:val>
          <c:extLst>
            <c:ext xmlns:c16="http://schemas.microsoft.com/office/drawing/2014/chart" uri="{C3380CC4-5D6E-409C-BE32-E72D297353CC}">
              <c16:uniqueId val="{00000001-AE48-433E-8EEA-39856ECE24AB}"/>
            </c:ext>
          </c:extLst>
        </c:ser>
        <c:ser>
          <c:idx val="1"/>
          <c:order val="2"/>
          <c:tx>
            <c:strRef>
              <c:f>'Grafer-energi'!$E$97</c:f>
              <c:strCache>
                <c:ptCount val="1"/>
                <c:pt idx="0">
                  <c:v>2020</c:v>
                </c:pt>
              </c:strCache>
            </c:strRef>
          </c:tx>
          <c:spPr>
            <a:solidFill>
              <a:schemeClr val="accent3"/>
            </a:solidFill>
            <a:ln>
              <a:noFill/>
            </a:ln>
            <a:effectLst/>
          </c:spPr>
          <c:invertIfNegative val="0"/>
          <c:cat>
            <c:strRef>
              <c:extLst>
                <c:ext xmlns:c15="http://schemas.microsoft.com/office/drawing/2012/chart" uri="{02D57815-91ED-43cb-92C2-25804820EDAC}">
                  <c15:fullRef>
                    <c15:sqref>'Grafer-energi'!$B$98:$B$113</c15:sqref>
                  </c15:fullRef>
                </c:ext>
              </c:extLst>
              <c:f>'Grafer-energi'!$B$98:$B$112</c:f>
              <c:strCache>
                <c:ptCount val="15"/>
                <c:pt idx="0">
                  <c:v>Elimport (fossilbaseret)</c:v>
                </c:pt>
                <c:pt idx="1">
                  <c:v>Kul</c:v>
                </c:pt>
                <c:pt idx="2">
                  <c:v>Naturgas og LPG</c:v>
                </c:pt>
                <c:pt idx="3">
                  <c:v>Fuelolie</c:v>
                </c:pt>
                <c:pt idx="4">
                  <c:v>Brændselsolie/diesel</c:v>
                </c:pt>
                <c:pt idx="5">
                  <c:v>JP1</c:v>
                </c:pt>
                <c:pt idx="6">
                  <c:v>Benzin</c:v>
                </c:pt>
                <c:pt idx="7">
                  <c:v>Affald, ikke bionedbrydeligt</c:v>
                </c:pt>
                <c:pt idx="8">
                  <c:v>Affald, bionedbrydeligt</c:v>
                </c:pt>
                <c:pt idx="9">
                  <c:v>Biomasse</c:v>
                </c:pt>
                <c:pt idx="10">
                  <c:v>Vindenergi</c:v>
                </c:pt>
                <c:pt idx="11">
                  <c:v>Biogas</c:v>
                </c:pt>
                <c:pt idx="12">
                  <c:v>Solenergi</c:v>
                </c:pt>
                <c:pt idx="13">
                  <c:v>Jordvarme, geotermi, vandkraft mm.</c:v>
                </c:pt>
                <c:pt idx="14">
                  <c:v>Elimport (VE-baseret)</c:v>
                </c:pt>
              </c:strCache>
            </c:strRef>
          </c:cat>
          <c:val>
            <c:numRef>
              <c:extLst>
                <c:ext xmlns:c15="http://schemas.microsoft.com/office/drawing/2012/chart" uri="{02D57815-91ED-43cb-92C2-25804820EDAC}">
                  <c15:fullRef>
                    <c15:sqref>'Grafer-energi'!$E$98:$E$113</c15:sqref>
                  </c15:fullRef>
                </c:ext>
              </c:extLst>
              <c:f>'Grafer-energi'!$E$98:$E$112</c:f>
              <c:numCache>
                <c:formatCode>#,##0</c:formatCode>
                <c:ptCount val="15"/>
                <c:pt idx="0">
                  <c:v>11.624529854135787</c:v>
                </c:pt>
                <c:pt idx="1">
                  <c:v>0</c:v>
                </c:pt>
                <c:pt idx="2">
                  <c:v>0.81</c:v>
                </c:pt>
                <c:pt idx="3">
                  <c:v>0.13</c:v>
                </c:pt>
                <c:pt idx="4">
                  <c:v>83.843319999999991</c:v>
                </c:pt>
                <c:pt idx="5">
                  <c:v>4.95</c:v>
                </c:pt>
                <c:pt idx="6">
                  <c:v>17.108059999999998</c:v>
                </c:pt>
                <c:pt idx="7">
                  <c:v>0</c:v>
                </c:pt>
                <c:pt idx="8">
                  <c:v>0</c:v>
                </c:pt>
                <c:pt idx="9">
                  <c:v>112.97598000000001</c:v>
                </c:pt>
                <c:pt idx="10">
                  <c:v>0.78</c:v>
                </c:pt>
                <c:pt idx="11">
                  <c:v>0</c:v>
                </c:pt>
                <c:pt idx="12">
                  <c:v>27.1</c:v>
                </c:pt>
                <c:pt idx="13">
                  <c:v>1.1200000000000001</c:v>
                </c:pt>
                <c:pt idx="14">
                  <c:v>16.638367919109502</c:v>
                </c:pt>
              </c:numCache>
            </c:numRef>
          </c:val>
          <c:extLst>
            <c:ext xmlns:c16="http://schemas.microsoft.com/office/drawing/2014/chart" uri="{C3380CC4-5D6E-409C-BE32-E72D297353CC}">
              <c16:uniqueId val="{00000000-43E4-44AF-B6D1-2AB6157C6973}"/>
            </c:ext>
          </c:extLst>
        </c:ser>
        <c:dLbls>
          <c:showLegendKey val="0"/>
          <c:showVal val="0"/>
          <c:showCatName val="0"/>
          <c:showSerName val="0"/>
          <c:showPercent val="0"/>
          <c:showBubbleSize val="0"/>
        </c:dLbls>
        <c:gapWidth val="150"/>
        <c:axId val="728090832"/>
        <c:axId val="728091616"/>
      </c:barChart>
      <c:catAx>
        <c:axId val="728090832"/>
        <c:scaling>
          <c:orientation val="minMax"/>
        </c:scaling>
        <c:delete val="0"/>
        <c:axPos val="b"/>
        <c:numFmt formatCode="General" sourceLinked="1"/>
        <c:majorTickMark val="out"/>
        <c:minorTickMark val="none"/>
        <c:tickLblPos val="low"/>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da-DK"/>
          </a:p>
        </c:txPr>
        <c:crossAx val="728091616"/>
        <c:crossesAt val="0"/>
        <c:auto val="1"/>
        <c:lblAlgn val="ctr"/>
        <c:lblOffset val="100"/>
        <c:noMultiLvlLbl val="0"/>
      </c:catAx>
      <c:valAx>
        <c:axId val="728091616"/>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da-DK"/>
                  <a:t>TJ/år</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da-DK"/>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a-DK"/>
          </a:p>
        </c:txPr>
        <c:crossAx val="7280908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da-DK"/>
    </a:p>
  </c:txPr>
  <c:printSettings>
    <c:headerFooter/>
    <c:pageMargins b="0.75000000000000278" l="0.70000000000000062" r="0.70000000000000062" t="0.75000000000000278"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'Grafer-energi'!$C$97</c:f>
              <c:strCache>
                <c:ptCount val="1"/>
                <c:pt idx="0">
                  <c:v>1990</c:v>
                </c:pt>
              </c:strCache>
            </c:strRef>
          </c:tx>
          <c:spPr>
            <a:solidFill>
              <a:schemeClr val="accent1"/>
            </a:solidFill>
            <a:ln>
              <a:noFill/>
            </a:ln>
            <a:effectLst/>
          </c:spPr>
          <c:invertIfNegative val="0"/>
          <c:cat>
            <c:strRef>
              <c:f>'Grafer-energi'!$B$106:$B$112</c:f>
              <c:strCache>
                <c:ptCount val="7"/>
                <c:pt idx="0">
                  <c:v>Affald, bionedbrydeligt</c:v>
                </c:pt>
                <c:pt idx="1">
                  <c:v>Biomasse</c:v>
                </c:pt>
                <c:pt idx="2">
                  <c:v>Vindenergi</c:v>
                </c:pt>
                <c:pt idx="3">
                  <c:v>Biogas</c:v>
                </c:pt>
                <c:pt idx="4">
                  <c:v>Solenergi</c:v>
                </c:pt>
                <c:pt idx="5">
                  <c:v>Jordvarme, geotermi, vandkraft mm.</c:v>
                </c:pt>
                <c:pt idx="6">
                  <c:v>Elimport (VE-baseret)</c:v>
                </c:pt>
              </c:strCache>
            </c:strRef>
          </c:cat>
          <c:val>
            <c:numRef>
              <c:f>'Grafer-energi'!$C$106:$C$112</c:f>
              <c:numCache>
                <c:formatCode>#,##0</c:formatCode>
                <c:ptCount val="7"/>
                <c:pt idx="0">
                  <c:v>0</c:v>
                </c:pt>
                <c:pt idx="1">
                  <c:v>24.96</c:v>
                </c:pt>
                <c:pt idx="2">
                  <c:v>1.7762934374999999</c:v>
                </c:pt>
                <c:pt idx="3">
                  <c:v>0</c:v>
                </c:pt>
                <c:pt idx="4">
                  <c:v>9.0274497405664747E-2</c:v>
                </c:pt>
                <c:pt idx="5">
                  <c:v>0</c:v>
                </c:pt>
                <c:pt idx="6">
                  <c:v>0</c:v>
                </c:pt>
              </c:numCache>
            </c:numRef>
          </c:val>
          <c:extLst>
            <c:ext xmlns:c16="http://schemas.microsoft.com/office/drawing/2014/chart" uri="{C3380CC4-5D6E-409C-BE32-E72D297353CC}">
              <c16:uniqueId val="{00000000-EB78-4F1D-A9BF-9F815844292F}"/>
            </c:ext>
          </c:extLst>
        </c:ser>
        <c:ser>
          <c:idx val="3"/>
          <c:order val="1"/>
          <c:tx>
            <c:strRef>
              <c:f>'Grafer-energi'!$D$97</c:f>
              <c:strCache>
                <c:ptCount val="1"/>
                <c:pt idx="0">
                  <c:v>2018</c:v>
                </c:pt>
              </c:strCache>
            </c:strRef>
          </c:tx>
          <c:spPr>
            <a:solidFill>
              <a:schemeClr val="accent1">
                <a:lumMod val="60000"/>
              </a:schemeClr>
            </a:solidFill>
            <a:ln>
              <a:noFill/>
            </a:ln>
            <a:effectLst/>
          </c:spPr>
          <c:invertIfNegative val="0"/>
          <c:cat>
            <c:strRef>
              <c:f>'Grafer-energi'!$B$106:$B$112</c:f>
              <c:strCache>
                <c:ptCount val="7"/>
                <c:pt idx="0">
                  <c:v>Affald, bionedbrydeligt</c:v>
                </c:pt>
                <c:pt idx="1">
                  <c:v>Biomasse</c:v>
                </c:pt>
                <c:pt idx="2">
                  <c:v>Vindenergi</c:v>
                </c:pt>
                <c:pt idx="3">
                  <c:v>Biogas</c:v>
                </c:pt>
                <c:pt idx="4">
                  <c:v>Solenergi</c:v>
                </c:pt>
                <c:pt idx="5">
                  <c:v>Jordvarme, geotermi, vandkraft mm.</c:v>
                </c:pt>
                <c:pt idx="6">
                  <c:v>Elimport (VE-baseret)</c:v>
                </c:pt>
              </c:strCache>
            </c:strRef>
          </c:cat>
          <c:val>
            <c:numRef>
              <c:f>'Grafer-energi'!$D$106:$D$112</c:f>
              <c:numCache>
                <c:formatCode>#,##0</c:formatCode>
                <c:ptCount val="7"/>
                <c:pt idx="0">
                  <c:v>0</c:v>
                </c:pt>
                <c:pt idx="1">
                  <c:v>70.261969999999991</c:v>
                </c:pt>
                <c:pt idx="2">
                  <c:v>0.5</c:v>
                </c:pt>
                <c:pt idx="3">
                  <c:v>0</c:v>
                </c:pt>
                <c:pt idx="4">
                  <c:v>19.05</c:v>
                </c:pt>
                <c:pt idx="5">
                  <c:v>1.1000000000000001</c:v>
                </c:pt>
                <c:pt idx="6">
                  <c:v>16.114597082634187</c:v>
                </c:pt>
              </c:numCache>
            </c:numRef>
          </c:val>
          <c:extLst>
            <c:ext xmlns:c16="http://schemas.microsoft.com/office/drawing/2014/chart" uri="{C3380CC4-5D6E-409C-BE32-E72D297353CC}">
              <c16:uniqueId val="{00000001-EB78-4F1D-A9BF-9F815844292F}"/>
            </c:ext>
          </c:extLst>
        </c:ser>
        <c:ser>
          <c:idx val="1"/>
          <c:order val="2"/>
          <c:tx>
            <c:strRef>
              <c:f>'Grafer-energi'!$E$97</c:f>
              <c:strCache>
                <c:ptCount val="1"/>
                <c:pt idx="0">
                  <c:v>2020</c:v>
                </c:pt>
              </c:strCache>
            </c:strRef>
          </c:tx>
          <c:spPr>
            <a:solidFill>
              <a:schemeClr val="accent3"/>
            </a:solidFill>
            <a:ln>
              <a:noFill/>
            </a:ln>
            <a:effectLst/>
          </c:spPr>
          <c:invertIfNegative val="0"/>
          <c:cat>
            <c:strRef>
              <c:f>'Grafer-energi'!$B$106:$B$112</c:f>
              <c:strCache>
                <c:ptCount val="7"/>
                <c:pt idx="0">
                  <c:v>Affald, bionedbrydeligt</c:v>
                </c:pt>
                <c:pt idx="1">
                  <c:v>Biomasse</c:v>
                </c:pt>
                <c:pt idx="2">
                  <c:v>Vindenergi</c:v>
                </c:pt>
                <c:pt idx="3">
                  <c:v>Biogas</c:v>
                </c:pt>
                <c:pt idx="4">
                  <c:v>Solenergi</c:v>
                </c:pt>
                <c:pt idx="5">
                  <c:v>Jordvarme, geotermi, vandkraft mm.</c:v>
                </c:pt>
                <c:pt idx="6">
                  <c:v>Elimport (VE-baseret)</c:v>
                </c:pt>
              </c:strCache>
            </c:strRef>
          </c:cat>
          <c:val>
            <c:numRef>
              <c:f>'Grafer-energi'!$E$106:$E$112</c:f>
              <c:numCache>
                <c:formatCode>#,##0</c:formatCode>
                <c:ptCount val="7"/>
                <c:pt idx="0">
                  <c:v>0</c:v>
                </c:pt>
                <c:pt idx="1">
                  <c:v>112.97598000000001</c:v>
                </c:pt>
                <c:pt idx="2">
                  <c:v>0.78</c:v>
                </c:pt>
                <c:pt idx="3">
                  <c:v>0</c:v>
                </c:pt>
                <c:pt idx="4">
                  <c:v>27.1</c:v>
                </c:pt>
                <c:pt idx="5">
                  <c:v>1.1200000000000001</c:v>
                </c:pt>
                <c:pt idx="6">
                  <c:v>16.638367919109502</c:v>
                </c:pt>
              </c:numCache>
            </c:numRef>
          </c:val>
          <c:extLst>
            <c:ext xmlns:c16="http://schemas.microsoft.com/office/drawing/2014/chart" uri="{C3380CC4-5D6E-409C-BE32-E72D297353CC}">
              <c16:uniqueId val="{00000001-86D4-4EFF-898C-E72744961B9A}"/>
            </c:ext>
          </c:extLst>
        </c:ser>
        <c:dLbls>
          <c:showLegendKey val="0"/>
          <c:showVal val="0"/>
          <c:showCatName val="0"/>
          <c:showSerName val="0"/>
          <c:showPercent val="0"/>
          <c:showBubbleSize val="0"/>
        </c:dLbls>
        <c:gapWidth val="150"/>
        <c:axId val="728095096"/>
        <c:axId val="728093528"/>
      </c:barChart>
      <c:catAx>
        <c:axId val="728095096"/>
        <c:scaling>
          <c:orientation val="minMax"/>
        </c:scaling>
        <c:delete val="0"/>
        <c:axPos val="b"/>
        <c:numFmt formatCode="General" sourceLinked="0"/>
        <c:majorTickMark val="out"/>
        <c:minorTickMark val="none"/>
        <c:tickLblPos val="low"/>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a-DK"/>
          </a:p>
        </c:txPr>
        <c:crossAx val="728093528"/>
        <c:crosses val="autoZero"/>
        <c:auto val="1"/>
        <c:lblAlgn val="ctr"/>
        <c:lblOffset val="100"/>
        <c:noMultiLvlLbl val="0"/>
      </c:catAx>
      <c:valAx>
        <c:axId val="72809352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da-DK"/>
                  <a:t>TJ/år</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da-DK"/>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a-DK"/>
          </a:p>
        </c:txPr>
        <c:crossAx val="72809509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da-DK"/>
    </a:p>
  </c:txPr>
  <c:printSettings>
    <c:headerFooter/>
    <c:pageMargins b="0.75000000000000278" l="0.70000000000000062" r="0.70000000000000062" t="0.75000000000000278"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'Grafer-energi'!$C$708</c:f>
              <c:strCache>
                <c:ptCount val="1"/>
                <c:pt idx="0">
                  <c:v>1990</c:v>
                </c:pt>
              </c:strCache>
            </c:strRef>
          </c:tx>
          <c:spPr>
            <a:solidFill>
              <a:schemeClr val="accent1"/>
            </a:solidFill>
            <a:ln>
              <a:noFill/>
            </a:ln>
            <a:effectLst/>
          </c:spPr>
          <c:invertIfNegative val="0"/>
          <c:cat>
            <c:strRef>
              <c:f>'Grafer-energi'!$B$709:$B$716</c:f>
              <c:strCache>
                <c:ptCount val="8"/>
                <c:pt idx="0">
                  <c:v>Elimport</c:v>
                </c:pt>
                <c:pt idx="1">
                  <c:v>Kul</c:v>
                </c:pt>
                <c:pt idx="2">
                  <c:v>Naturgas og LPG</c:v>
                </c:pt>
                <c:pt idx="3">
                  <c:v>Fuelolie</c:v>
                </c:pt>
                <c:pt idx="4">
                  <c:v>Brændselsolie/diesel</c:v>
                </c:pt>
                <c:pt idx="5">
                  <c:v>JP1</c:v>
                </c:pt>
                <c:pt idx="6">
                  <c:v>Benzin</c:v>
                </c:pt>
                <c:pt idx="7">
                  <c:v>Affald, ikke bionedbrydeligt</c:v>
                </c:pt>
              </c:strCache>
            </c:strRef>
          </c:cat>
          <c:val>
            <c:numRef>
              <c:f>'Grafer-energi'!$C$709:$C$716</c:f>
              <c:numCache>
                <c:formatCode>#,##0</c:formatCode>
                <c:ptCount val="8"/>
                <c:pt idx="0">
                  <c:v>11.368536201287085</c:v>
                </c:pt>
                <c:pt idx="1">
                  <c:v>0</c:v>
                </c:pt>
                <c:pt idx="2">
                  <c:v>0.29629978608519786</c:v>
                </c:pt>
                <c:pt idx="3">
                  <c:v>0.13761424692007979</c:v>
                </c:pt>
                <c:pt idx="4">
                  <c:v>9.2402315060989899</c:v>
                </c:pt>
                <c:pt idx="5">
                  <c:v>1.0152973769061042</c:v>
                </c:pt>
                <c:pt idx="6">
                  <c:v>1.9371065517352173</c:v>
                </c:pt>
                <c:pt idx="7">
                  <c:v>0</c:v>
                </c:pt>
              </c:numCache>
            </c:numRef>
          </c:val>
          <c:extLst>
            <c:ext xmlns:c16="http://schemas.microsoft.com/office/drawing/2014/chart" uri="{C3380CC4-5D6E-409C-BE32-E72D297353CC}">
              <c16:uniqueId val="{00000000-2C2A-430F-8E47-F46A09FEA170}"/>
            </c:ext>
          </c:extLst>
        </c:ser>
        <c:ser>
          <c:idx val="3"/>
          <c:order val="1"/>
          <c:tx>
            <c:strRef>
              <c:f>'Grafer-energi'!$D$708</c:f>
              <c:strCache>
                <c:ptCount val="1"/>
                <c:pt idx="0">
                  <c:v>2018</c:v>
                </c:pt>
              </c:strCache>
            </c:strRef>
          </c:tx>
          <c:spPr>
            <a:solidFill>
              <a:schemeClr val="accent1">
                <a:lumMod val="60000"/>
              </a:schemeClr>
            </a:solidFill>
            <a:ln>
              <a:noFill/>
            </a:ln>
            <a:effectLst/>
          </c:spPr>
          <c:invertIfNegative val="0"/>
          <c:cat>
            <c:strRef>
              <c:f>'Grafer-energi'!$B$709:$B$716</c:f>
              <c:strCache>
                <c:ptCount val="8"/>
                <c:pt idx="0">
                  <c:v>Elimport</c:v>
                </c:pt>
                <c:pt idx="1">
                  <c:v>Kul</c:v>
                </c:pt>
                <c:pt idx="2">
                  <c:v>Naturgas og LPG</c:v>
                </c:pt>
                <c:pt idx="3">
                  <c:v>Fuelolie</c:v>
                </c:pt>
                <c:pt idx="4">
                  <c:v>Brændselsolie/diesel</c:v>
                </c:pt>
                <c:pt idx="5">
                  <c:v>JP1</c:v>
                </c:pt>
                <c:pt idx="6">
                  <c:v>Benzin</c:v>
                </c:pt>
                <c:pt idx="7">
                  <c:v>Affald, ikke bionedbrydeligt</c:v>
                </c:pt>
              </c:strCache>
            </c:strRef>
          </c:cat>
          <c:val>
            <c:numRef>
              <c:f>'Grafer-energi'!$D$709:$D$716</c:f>
              <c:numCache>
                <c:formatCode>#,##0</c:formatCode>
                <c:ptCount val="8"/>
                <c:pt idx="0">
                  <c:v>4.5457813406739884</c:v>
                </c:pt>
                <c:pt idx="1">
                  <c:v>0</c:v>
                </c:pt>
                <c:pt idx="2">
                  <c:v>5.7671999999999994E-2</c:v>
                </c:pt>
                <c:pt idx="3">
                  <c:v>7.9030000000000007E-5</c:v>
                </c:pt>
                <c:pt idx="4">
                  <c:v>6.4793610570000002</c:v>
                </c:pt>
                <c:pt idx="5">
                  <c:v>1.0065600000000001</c:v>
                </c:pt>
                <c:pt idx="6">
                  <c:v>1.3804489800000002</c:v>
                </c:pt>
                <c:pt idx="7">
                  <c:v>0</c:v>
                </c:pt>
              </c:numCache>
            </c:numRef>
          </c:val>
          <c:extLst>
            <c:ext xmlns:c16="http://schemas.microsoft.com/office/drawing/2014/chart" uri="{C3380CC4-5D6E-409C-BE32-E72D297353CC}">
              <c16:uniqueId val="{00000001-2C2A-430F-8E47-F46A09FEA170}"/>
            </c:ext>
          </c:extLst>
        </c:ser>
        <c:ser>
          <c:idx val="1"/>
          <c:order val="2"/>
          <c:tx>
            <c:strRef>
              <c:f>'Grafer-energi'!$E$708</c:f>
              <c:strCache>
                <c:ptCount val="1"/>
                <c:pt idx="0">
                  <c:v>2020</c:v>
                </c:pt>
              </c:strCache>
            </c:strRef>
          </c:tx>
          <c:spPr>
            <a:solidFill>
              <a:schemeClr val="accent3"/>
            </a:solidFill>
            <a:ln>
              <a:noFill/>
            </a:ln>
            <a:effectLst/>
          </c:spPr>
          <c:invertIfNegative val="0"/>
          <c:cat>
            <c:strRef>
              <c:f>'Grafer-energi'!$B$709:$B$716</c:f>
              <c:strCache>
                <c:ptCount val="8"/>
                <c:pt idx="0">
                  <c:v>Elimport</c:v>
                </c:pt>
                <c:pt idx="1">
                  <c:v>Kul</c:v>
                </c:pt>
                <c:pt idx="2">
                  <c:v>Naturgas og LPG</c:v>
                </c:pt>
                <c:pt idx="3">
                  <c:v>Fuelolie</c:v>
                </c:pt>
                <c:pt idx="4">
                  <c:v>Brændselsolie/diesel</c:v>
                </c:pt>
                <c:pt idx="5">
                  <c:v>JP1</c:v>
                </c:pt>
                <c:pt idx="6">
                  <c:v>Benzin</c:v>
                </c:pt>
                <c:pt idx="7">
                  <c:v>Affald, ikke bionedbrydeligt</c:v>
                </c:pt>
              </c:strCache>
            </c:strRef>
          </c:cat>
          <c:val>
            <c:numRef>
              <c:f>'Grafer-energi'!$E$709:$E$716</c:f>
              <c:numCache>
                <c:formatCode>#,##0</c:formatCode>
                <c:ptCount val="8"/>
                <c:pt idx="0">
                  <c:v>2.4650899437824543</c:v>
                </c:pt>
                <c:pt idx="1">
                  <c:v>0</c:v>
                </c:pt>
                <c:pt idx="2">
                  <c:v>5.2488E-2</c:v>
                </c:pt>
                <c:pt idx="3">
                  <c:v>1.0273900000000001E-2</c:v>
                </c:pt>
                <c:pt idx="4">
                  <c:v>6.2127900119999984</c:v>
                </c:pt>
                <c:pt idx="5">
                  <c:v>0.35640000000000005</c:v>
                </c:pt>
                <c:pt idx="6">
                  <c:v>1.2488883799999999</c:v>
                </c:pt>
                <c:pt idx="7">
                  <c:v>0</c:v>
                </c:pt>
              </c:numCache>
            </c:numRef>
          </c:val>
          <c:extLst>
            <c:ext xmlns:c16="http://schemas.microsoft.com/office/drawing/2014/chart" uri="{C3380CC4-5D6E-409C-BE32-E72D297353CC}">
              <c16:uniqueId val="{00000000-250C-4F05-BC31-201CA6828ED5}"/>
            </c:ext>
          </c:extLst>
        </c:ser>
        <c:dLbls>
          <c:showLegendKey val="0"/>
          <c:showVal val="0"/>
          <c:showCatName val="0"/>
          <c:showSerName val="0"/>
          <c:showPercent val="0"/>
          <c:showBubbleSize val="0"/>
        </c:dLbls>
        <c:gapWidth val="150"/>
        <c:axId val="728095880"/>
        <c:axId val="728094312"/>
      </c:barChart>
      <c:catAx>
        <c:axId val="728095880"/>
        <c:scaling>
          <c:orientation val="minMax"/>
        </c:scaling>
        <c:delete val="0"/>
        <c:axPos val="b"/>
        <c:numFmt formatCode="General" sourceLinked="0"/>
        <c:majorTickMark val="out"/>
        <c:minorTickMark val="none"/>
        <c:tickLblPos val="low"/>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da-DK"/>
          </a:p>
        </c:txPr>
        <c:crossAx val="728094312"/>
        <c:crosses val="autoZero"/>
        <c:auto val="1"/>
        <c:lblAlgn val="ctr"/>
        <c:lblOffset val="100"/>
        <c:noMultiLvlLbl val="0"/>
      </c:catAx>
      <c:valAx>
        <c:axId val="72809431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da-DK"/>
                  <a:t>1.000 tons </a:t>
                </a:r>
                <a:r>
                  <a:rPr lang="da-DK" sz="1000" b="1" i="0" u="none" strike="noStrike" baseline="0">
                    <a:effectLst/>
                  </a:rPr>
                  <a:t>CO</a:t>
                </a:r>
                <a:r>
                  <a:rPr lang="da-DK" sz="1000" b="1" i="0" u="none" strike="noStrike" baseline="-25000">
                    <a:effectLst/>
                  </a:rPr>
                  <a:t>2  </a:t>
                </a:r>
                <a:r>
                  <a:rPr lang="da-DK"/>
                  <a:t>/ år</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da-DK"/>
            </a:p>
          </c:txPr>
        </c:title>
        <c:numFmt formatCode="#,##0" sourceLinked="1"/>
        <c:majorTickMark val="out"/>
        <c:minorTickMark val="none"/>
        <c:tickLblPos val="low"/>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a-DK"/>
          </a:p>
        </c:txPr>
        <c:crossAx val="72809588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da-DK"/>
    </a:p>
  </c:txPr>
  <c:printSettings>
    <c:headerFooter/>
    <c:pageMargins b="0.75000000000000278" l="0.70000000000000062" r="0.70000000000000062" t="0.75000000000000278"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338927547892111E-2"/>
          <c:y val="5.9493671845032355E-2"/>
          <c:w val="0.84161029551625643"/>
          <c:h val="0.69777631715133348"/>
        </c:manualLayout>
      </c:layout>
      <c:barChart>
        <c:barDir val="col"/>
        <c:grouping val="clustered"/>
        <c:varyColors val="0"/>
        <c:ser>
          <c:idx val="0"/>
          <c:order val="0"/>
          <c:tx>
            <c:strRef>
              <c:f>'Grafer-energi'!$C$373</c:f>
              <c:strCache>
                <c:ptCount val="1"/>
                <c:pt idx="0">
                  <c:v>1990</c:v>
                </c:pt>
              </c:strCache>
            </c:strRef>
          </c:tx>
          <c:spPr>
            <a:solidFill>
              <a:schemeClr val="accent1"/>
            </a:solidFill>
            <a:ln>
              <a:noFill/>
            </a:ln>
            <a:effectLst/>
          </c:spPr>
          <c:invertIfNegative val="0"/>
          <c:cat>
            <c:strRef>
              <c:f>'Grafer-energi'!$B$374:$B$379</c:f>
              <c:strCache>
                <c:ptCount val="6"/>
                <c:pt idx="0">
                  <c:v>Individuel opvarmning</c:v>
                </c:pt>
                <c:pt idx="1">
                  <c:v>Kollektiv el- og varmeforsyning</c:v>
                </c:pt>
                <c:pt idx="2">
                  <c:v>Industri</c:v>
                </c:pt>
                <c:pt idx="3">
                  <c:v>Transport</c:v>
                </c:pt>
                <c:pt idx="4">
                  <c:v>Vindkraft mm.</c:v>
                </c:pt>
                <c:pt idx="5">
                  <c:v>El-import</c:v>
                </c:pt>
              </c:strCache>
            </c:strRef>
          </c:cat>
          <c:val>
            <c:numRef>
              <c:f>'Grafer-energi'!$C$374:$C$379</c:f>
              <c:numCache>
                <c:formatCode>#,##0</c:formatCode>
                <c:ptCount val="6"/>
                <c:pt idx="0">
                  <c:v>106.37027449740566</c:v>
                </c:pt>
                <c:pt idx="1">
                  <c:v>0</c:v>
                </c:pt>
                <c:pt idx="2">
                  <c:v>17.122527563043178</c:v>
                </c:pt>
                <c:pt idx="3">
                  <c:v>73.207830402159487</c:v>
                </c:pt>
                <c:pt idx="4">
                  <c:v>1.7762934374999999</c:v>
                </c:pt>
                <c:pt idx="5">
                  <c:v>47.766958828937327</c:v>
                </c:pt>
              </c:numCache>
            </c:numRef>
          </c:val>
          <c:extLst>
            <c:ext xmlns:c16="http://schemas.microsoft.com/office/drawing/2014/chart" uri="{C3380CC4-5D6E-409C-BE32-E72D297353CC}">
              <c16:uniqueId val="{00000000-A52C-4AFC-B2A8-4AD2EDF9F935}"/>
            </c:ext>
          </c:extLst>
        </c:ser>
        <c:ser>
          <c:idx val="3"/>
          <c:order val="1"/>
          <c:tx>
            <c:strRef>
              <c:f>'Grafer-energi'!$D$373</c:f>
              <c:strCache>
                <c:ptCount val="1"/>
                <c:pt idx="0">
                  <c:v>2018</c:v>
                </c:pt>
              </c:strCache>
            </c:strRef>
          </c:tx>
          <c:spPr>
            <a:solidFill>
              <a:schemeClr val="accent1">
                <a:lumMod val="60000"/>
              </a:schemeClr>
            </a:solidFill>
            <a:ln>
              <a:noFill/>
            </a:ln>
            <a:effectLst/>
          </c:spPr>
          <c:invertIfNegative val="0"/>
          <c:cat>
            <c:strRef>
              <c:f>'Grafer-energi'!$B$374:$B$379</c:f>
              <c:strCache>
                <c:ptCount val="6"/>
                <c:pt idx="0">
                  <c:v>Individuel opvarmning</c:v>
                </c:pt>
                <c:pt idx="1">
                  <c:v>Kollektiv el- og varmeforsyning</c:v>
                </c:pt>
                <c:pt idx="2">
                  <c:v>Industri</c:v>
                </c:pt>
                <c:pt idx="3">
                  <c:v>Transport</c:v>
                </c:pt>
                <c:pt idx="4">
                  <c:v>Vindkraft mm.</c:v>
                </c:pt>
                <c:pt idx="5">
                  <c:v>El-import</c:v>
                </c:pt>
              </c:strCache>
            </c:strRef>
          </c:cat>
          <c:val>
            <c:numRef>
              <c:f>'Grafer-energi'!$D$374:$D$379</c:f>
              <c:numCache>
                <c:formatCode>#,##0</c:formatCode>
                <c:ptCount val="6"/>
                <c:pt idx="0">
                  <c:v>63.169999999999995</c:v>
                </c:pt>
                <c:pt idx="1">
                  <c:v>21.718</c:v>
                </c:pt>
                <c:pt idx="2">
                  <c:v>10.89</c:v>
                </c:pt>
                <c:pt idx="3">
                  <c:v>97.716000000000022</c:v>
                </c:pt>
                <c:pt idx="4">
                  <c:v>18.64</c:v>
                </c:pt>
                <c:pt idx="5">
                  <c:v>36.624084278714058</c:v>
                </c:pt>
              </c:numCache>
            </c:numRef>
          </c:val>
          <c:extLst>
            <c:ext xmlns:c16="http://schemas.microsoft.com/office/drawing/2014/chart" uri="{C3380CC4-5D6E-409C-BE32-E72D297353CC}">
              <c16:uniqueId val="{00000001-A52C-4AFC-B2A8-4AD2EDF9F935}"/>
            </c:ext>
          </c:extLst>
        </c:ser>
        <c:ser>
          <c:idx val="1"/>
          <c:order val="2"/>
          <c:tx>
            <c:strRef>
              <c:f>'Grafer-energi'!$E$373</c:f>
              <c:strCache>
                <c:ptCount val="1"/>
                <c:pt idx="0">
                  <c:v>2020</c:v>
                </c:pt>
              </c:strCache>
            </c:strRef>
          </c:tx>
          <c:spPr>
            <a:solidFill>
              <a:schemeClr val="accent3"/>
            </a:solidFill>
            <a:ln>
              <a:noFill/>
            </a:ln>
            <a:effectLst/>
          </c:spPr>
          <c:invertIfNegative val="0"/>
          <c:cat>
            <c:strRef>
              <c:f>'Grafer-energi'!$B$374:$B$379</c:f>
              <c:strCache>
                <c:ptCount val="6"/>
                <c:pt idx="0">
                  <c:v>Individuel opvarmning</c:v>
                </c:pt>
                <c:pt idx="1">
                  <c:v>Kollektiv el- og varmeforsyning</c:v>
                </c:pt>
                <c:pt idx="2">
                  <c:v>Industri</c:v>
                </c:pt>
                <c:pt idx="3">
                  <c:v>Transport</c:v>
                </c:pt>
                <c:pt idx="4">
                  <c:v>Vindkraft mm.</c:v>
                </c:pt>
                <c:pt idx="5">
                  <c:v>El-import</c:v>
                </c:pt>
              </c:strCache>
            </c:strRef>
          </c:cat>
          <c:val>
            <c:numRef>
              <c:f>'Grafer-energi'!$E$374:$E$379</c:f>
              <c:numCache>
                <c:formatCode>#,##0</c:formatCode>
                <c:ptCount val="6"/>
                <c:pt idx="0">
                  <c:v>108.22</c:v>
                </c:pt>
                <c:pt idx="1">
                  <c:v>22.437359999999998</c:v>
                </c:pt>
                <c:pt idx="2">
                  <c:v>10.81</c:v>
                </c:pt>
                <c:pt idx="3">
                  <c:v>80.41</c:v>
                </c:pt>
                <c:pt idx="4">
                  <c:v>26.94</c:v>
                </c:pt>
                <c:pt idx="5">
                  <c:v>28.262897773245289</c:v>
                </c:pt>
              </c:numCache>
            </c:numRef>
          </c:val>
          <c:extLst>
            <c:ext xmlns:c16="http://schemas.microsoft.com/office/drawing/2014/chart" uri="{C3380CC4-5D6E-409C-BE32-E72D297353CC}">
              <c16:uniqueId val="{00000000-17C6-4B3C-AF50-1A8731317BB0}"/>
            </c:ext>
          </c:extLst>
        </c:ser>
        <c:dLbls>
          <c:showLegendKey val="0"/>
          <c:showVal val="0"/>
          <c:showCatName val="0"/>
          <c:showSerName val="0"/>
          <c:showPercent val="0"/>
          <c:showBubbleSize val="0"/>
        </c:dLbls>
        <c:gapWidth val="150"/>
        <c:axId val="728096272"/>
        <c:axId val="728096664"/>
      </c:barChart>
      <c:catAx>
        <c:axId val="728096272"/>
        <c:scaling>
          <c:orientation val="minMax"/>
        </c:scaling>
        <c:delete val="0"/>
        <c:axPos val="b"/>
        <c:numFmt formatCode="General" sourceLinked="0"/>
        <c:majorTickMark val="out"/>
        <c:minorTickMark val="none"/>
        <c:tickLblPos val="low"/>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da-DK"/>
          </a:p>
        </c:txPr>
        <c:crossAx val="728096664"/>
        <c:crosses val="autoZero"/>
        <c:auto val="1"/>
        <c:lblAlgn val="ctr"/>
        <c:lblOffset val="100"/>
        <c:noMultiLvlLbl val="0"/>
      </c:catAx>
      <c:valAx>
        <c:axId val="7280966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800" b="1" i="0" u="none" strike="noStrike" kern="1200" baseline="0">
                    <a:solidFill>
                      <a:schemeClr val="tx1"/>
                    </a:solidFill>
                    <a:latin typeface="+mn-lt"/>
                    <a:ea typeface="+mn-ea"/>
                    <a:cs typeface="+mn-cs"/>
                  </a:defRPr>
                </a:pPr>
                <a:r>
                  <a:rPr lang="da-DK"/>
                  <a:t>TJ/år</a:t>
                </a:r>
              </a:p>
            </c:rich>
          </c:tx>
          <c:overlay val="0"/>
          <c:spPr>
            <a:noFill/>
            <a:ln>
              <a:noFill/>
            </a:ln>
            <a:effectLst/>
          </c:spPr>
          <c:txPr>
            <a:bodyPr rot="-5400000" spcFirstLastPara="1" vertOverflow="ellipsis" vert="horz" wrap="square" anchor="ctr" anchorCtr="1"/>
            <a:lstStyle/>
            <a:p>
              <a:pPr>
                <a:defRPr sz="800" b="1" i="0" u="none" strike="noStrike" kern="1200" baseline="0">
                  <a:solidFill>
                    <a:schemeClr val="tx1"/>
                  </a:solidFill>
                  <a:latin typeface="+mn-lt"/>
                  <a:ea typeface="+mn-ea"/>
                  <a:cs typeface="+mn-cs"/>
                </a:defRPr>
              </a:pPr>
              <a:endParaRPr lang="da-DK"/>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da-DK"/>
          </a:p>
        </c:txPr>
        <c:crossAx val="72809627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800"/>
      </a:pPr>
      <a:endParaRPr lang="da-DK"/>
    </a:p>
  </c:txPr>
  <c:printSettings>
    <c:headerFooter/>
    <c:pageMargins b="0.75000000000000278" l="0.70000000000000062" r="0.70000000000000062" t="0.75000000000000278"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'Grafer-energi'!$D$474</c:f>
              <c:strCache>
                <c:ptCount val="1"/>
                <c:pt idx="0">
                  <c:v>VE</c:v>
                </c:pt>
              </c:strCache>
            </c:strRef>
          </c:tx>
          <c:spPr>
            <a:solidFill>
              <a:srgbClr val="1CADE4"/>
            </a:solidFill>
            <a:ln>
              <a:noFill/>
            </a:ln>
            <a:effectLst/>
          </c:spPr>
          <c:invertIfNegative val="0"/>
          <c:cat>
            <c:multiLvlStrRef>
              <c:f>'Grafer-energi'!$B$475:$C$492</c:f>
              <c:multiLvlStrCache>
                <c:ptCount val="18"/>
                <c:lvl>
                  <c:pt idx="0">
                    <c:v>1990</c:v>
                  </c:pt>
                  <c:pt idx="1">
                    <c:v>2018</c:v>
                  </c:pt>
                  <c:pt idx="2">
                    <c:v>2020</c:v>
                  </c:pt>
                  <c:pt idx="3">
                    <c:v>1990</c:v>
                  </c:pt>
                  <c:pt idx="4">
                    <c:v>2018</c:v>
                  </c:pt>
                  <c:pt idx="5">
                    <c:v>2020</c:v>
                  </c:pt>
                  <c:pt idx="6">
                    <c:v>1990</c:v>
                  </c:pt>
                  <c:pt idx="7">
                    <c:v>2018</c:v>
                  </c:pt>
                  <c:pt idx="8">
                    <c:v>2020</c:v>
                  </c:pt>
                  <c:pt idx="9">
                    <c:v>1990</c:v>
                  </c:pt>
                  <c:pt idx="10">
                    <c:v>2018</c:v>
                  </c:pt>
                  <c:pt idx="11">
                    <c:v>2020</c:v>
                  </c:pt>
                  <c:pt idx="12">
                    <c:v>1990</c:v>
                  </c:pt>
                  <c:pt idx="13">
                    <c:v>2018</c:v>
                  </c:pt>
                  <c:pt idx="14">
                    <c:v>2020</c:v>
                  </c:pt>
                  <c:pt idx="15">
                    <c:v>1990</c:v>
                  </c:pt>
                  <c:pt idx="16">
                    <c:v>2018</c:v>
                  </c:pt>
                  <c:pt idx="17">
                    <c:v>2020</c:v>
                  </c:pt>
                </c:lvl>
                <c:lvl>
                  <c:pt idx="0">
                    <c:v>Individuel opvarmning</c:v>
                  </c:pt>
                  <c:pt idx="3">
                    <c:v>Kollektiv el- og varmeforsyning</c:v>
                  </c:pt>
                  <c:pt idx="6">
                    <c:v>Industri</c:v>
                  </c:pt>
                  <c:pt idx="9">
                    <c:v>Transport</c:v>
                  </c:pt>
                  <c:pt idx="12">
                    <c:v>Vindkraft mm.</c:v>
                  </c:pt>
                  <c:pt idx="15">
                    <c:v>El-import</c:v>
                  </c:pt>
                </c:lvl>
              </c:multiLvlStrCache>
            </c:multiLvlStrRef>
          </c:cat>
          <c:val>
            <c:numRef>
              <c:f>'Grafer-energi'!$D$475:$D$492</c:f>
              <c:numCache>
                <c:formatCode>#,##0</c:formatCode>
                <c:ptCount val="18"/>
                <c:pt idx="0">
                  <c:v>0</c:v>
                </c:pt>
                <c:pt idx="1">
                  <c:v>0</c:v>
                </c:pt>
                <c:pt idx="2">
                  <c:v>0</c:v>
                </c:pt>
                <c:pt idx="3">
                  <c:v>0</c:v>
                </c:pt>
                <c:pt idx="4">
                  <c:v>0</c:v>
                </c:pt>
                <c:pt idx="5">
                  <c:v>0</c:v>
                </c:pt>
                <c:pt idx="6">
                  <c:v>0</c:v>
                </c:pt>
                <c:pt idx="7">
                  <c:v>0</c:v>
                </c:pt>
                <c:pt idx="8">
                  <c:v>0</c:v>
                </c:pt>
                <c:pt idx="9">
                  <c:v>0</c:v>
                </c:pt>
                <c:pt idx="10">
                  <c:v>2.6319699999999999</c:v>
                </c:pt>
                <c:pt idx="11">
                  <c:v>4.729820000000001</c:v>
                </c:pt>
                <c:pt idx="12">
                  <c:v>1.7762934374999999</c:v>
                </c:pt>
                <c:pt idx="13">
                  <c:v>18.64</c:v>
                </c:pt>
                <c:pt idx="14">
                  <c:v>26.94</c:v>
                </c:pt>
                <c:pt idx="15">
                  <c:v>0</c:v>
                </c:pt>
                <c:pt idx="16">
                  <c:v>12.435675020227928</c:v>
                </c:pt>
                <c:pt idx="17">
                  <c:v>16.638367919109502</c:v>
                </c:pt>
              </c:numCache>
            </c:numRef>
          </c:val>
          <c:extLst>
            <c:ext xmlns:c16="http://schemas.microsoft.com/office/drawing/2014/chart" uri="{C3380CC4-5D6E-409C-BE32-E72D297353CC}">
              <c16:uniqueId val="{00000000-FBDF-4FFD-A11F-F38B6B9EEA53}"/>
            </c:ext>
          </c:extLst>
        </c:ser>
        <c:ser>
          <c:idx val="1"/>
          <c:order val="1"/>
          <c:tx>
            <c:strRef>
              <c:f>'Grafer-energi'!$E$474</c:f>
              <c:strCache>
                <c:ptCount val="1"/>
                <c:pt idx="0">
                  <c:v>Fossil</c:v>
                </c:pt>
              </c:strCache>
            </c:strRef>
          </c:tx>
          <c:spPr>
            <a:solidFill>
              <a:srgbClr val="0E5772"/>
            </a:solidFill>
            <a:ln>
              <a:noFill/>
            </a:ln>
            <a:effectLst/>
          </c:spPr>
          <c:invertIfNegative val="0"/>
          <c:cat>
            <c:multiLvlStrRef>
              <c:f>'Grafer-energi'!$B$475:$C$492</c:f>
              <c:multiLvlStrCache>
                <c:ptCount val="18"/>
                <c:lvl>
                  <c:pt idx="0">
                    <c:v>1990</c:v>
                  </c:pt>
                  <c:pt idx="1">
                    <c:v>2018</c:v>
                  </c:pt>
                  <c:pt idx="2">
                    <c:v>2020</c:v>
                  </c:pt>
                  <c:pt idx="3">
                    <c:v>1990</c:v>
                  </c:pt>
                  <c:pt idx="4">
                    <c:v>2018</c:v>
                  </c:pt>
                  <c:pt idx="5">
                    <c:v>2020</c:v>
                  </c:pt>
                  <c:pt idx="6">
                    <c:v>1990</c:v>
                  </c:pt>
                  <c:pt idx="7">
                    <c:v>2018</c:v>
                  </c:pt>
                  <c:pt idx="8">
                    <c:v>2020</c:v>
                  </c:pt>
                  <c:pt idx="9">
                    <c:v>1990</c:v>
                  </c:pt>
                  <c:pt idx="10">
                    <c:v>2018</c:v>
                  </c:pt>
                  <c:pt idx="11">
                    <c:v>2020</c:v>
                  </c:pt>
                  <c:pt idx="12">
                    <c:v>1990</c:v>
                  </c:pt>
                  <c:pt idx="13">
                    <c:v>2018</c:v>
                  </c:pt>
                  <c:pt idx="14">
                    <c:v>2020</c:v>
                  </c:pt>
                  <c:pt idx="15">
                    <c:v>1990</c:v>
                  </c:pt>
                  <c:pt idx="16">
                    <c:v>2018</c:v>
                  </c:pt>
                  <c:pt idx="17">
                    <c:v>2020</c:v>
                  </c:pt>
                </c:lvl>
                <c:lvl>
                  <c:pt idx="0">
                    <c:v>Individuel opvarmning</c:v>
                  </c:pt>
                  <c:pt idx="3">
                    <c:v>Kollektiv el- og varmeforsyning</c:v>
                  </c:pt>
                  <c:pt idx="6">
                    <c:v>Industri</c:v>
                  </c:pt>
                  <c:pt idx="9">
                    <c:v>Transport</c:v>
                  </c:pt>
                  <c:pt idx="12">
                    <c:v>Vindkraft mm.</c:v>
                  </c:pt>
                  <c:pt idx="15">
                    <c:v>El-import</c:v>
                  </c:pt>
                </c:lvl>
              </c:multiLvlStrCache>
            </c:multiLvlStrRef>
          </c:cat>
          <c:val>
            <c:numRef>
              <c:f>'Grafer-energi'!$E$475:$E$492</c:f>
              <c:numCache>
                <c:formatCode>#,##0</c:formatCode>
                <c:ptCount val="18"/>
                <c:pt idx="0">
                  <c:v>106.37027449740566</c:v>
                </c:pt>
                <c:pt idx="1">
                  <c:v>63.169999999999995</c:v>
                </c:pt>
                <c:pt idx="2">
                  <c:v>108.22</c:v>
                </c:pt>
                <c:pt idx="3">
                  <c:v>0</c:v>
                </c:pt>
                <c:pt idx="4">
                  <c:v>21.718</c:v>
                </c:pt>
                <c:pt idx="5">
                  <c:v>22.437359999999998</c:v>
                </c:pt>
                <c:pt idx="6">
                  <c:v>17.122527563043178</c:v>
                </c:pt>
                <c:pt idx="7">
                  <c:v>10.89</c:v>
                </c:pt>
                <c:pt idx="8">
                  <c:v>10.81</c:v>
                </c:pt>
                <c:pt idx="9">
                  <c:v>73.207830402159487</c:v>
                </c:pt>
                <c:pt idx="10">
                  <c:v>95.084030000000027</c:v>
                </c:pt>
                <c:pt idx="11">
                  <c:v>75.680179999999993</c:v>
                </c:pt>
                <c:pt idx="12">
                  <c:v>0</c:v>
                </c:pt>
                <c:pt idx="13">
                  <c:v>0</c:v>
                </c:pt>
                <c:pt idx="14">
                  <c:v>0</c:v>
                </c:pt>
                <c:pt idx="15">
                  <c:v>47.766958828937327</c:v>
                </c:pt>
                <c:pt idx="16">
                  <c:v>24.188409258486132</c:v>
                </c:pt>
                <c:pt idx="17">
                  <c:v>11.624529854135787</c:v>
                </c:pt>
              </c:numCache>
            </c:numRef>
          </c:val>
          <c:extLst>
            <c:ext xmlns:c16="http://schemas.microsoft.com/office/drawing/2014/chart" uri="{C3380CC4-5D6E-409C-BE32-E72D297353CC}">
              <c16:uniqueId val="{00000001-FBDF-4FFD-A11F-F38B6B9EEA53}"/>
            </c:ext>
          </c:extLst>
        </c:ser>
        <c:dLbls>
          <c:showLegendKey val="0"/>
          <c:showVal val="0"/>
          <c:showCatName val="0"/>
          <c:showSerName val="0"/>
          <c:showPercent val="0"/>
          <c:showBubbleSize val="0"/>
        </c:dLbls>
        <c:gapWidth val="150"/>
        <c:overlap val="100"/>
        <c:axId val="690210352"/>
        <c:axId val="690212704"/>
      </c:barChart>
      <c:catAx>
        <c:axId val="690210352"/>
        <c:scaling>
          <c:orientation val="minMax"/>
        </c:scaling>
        <c:delete val="0"/>
        <c:axPos val="b"/>
        <c:numFmt formatCode="General" sourceLinked="0"/>
        <c:majorTickMark val="out"/>
        <c:minorTickMark val="none"/>
        <c:tickLblPos val="low"/>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a-DK"/>
          </a:p>
        </c:txPr>
        <c:crossAx val="690212704"/>
        <c:crosses val="autoZero"/>
        <c:auto val="1"/>
        <c:lblAlgn val="ctr"/>
        <c:lblOffset val="100"/>
        <c:noMultiLvlLbl val="0"/>
      </c:catAx>
      <c:valAx>
        <c:axId val="69021270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da-DK"/>
                  <a:t>TJ/år</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da-DK"/>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a-DK"/>
          </a:p>
        </c:txPr>
        <c:crossAx val="69021035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da-DK"/>
    </a:p>
  </c:txPr>
  <c:printSettings>
    <c:headerFooter/>
    <c:pageMargins b="0.75000000000000322" l="0.70000000000000062" r="0.70000000000000062" t="0.7500000000000032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58184505378825"/>
          <c:y val="3.465346534653465E-2"/>
          <c:w val="0.77831114129899093"/>
          <c:h val="0.72331960693097175"/>
        </c:manualLayout>
      </c:layout>
      <c:barChart>
        <c:barDir val="col"/>
        <c:grouping val="clustered"/>
        <c:varyColors val="0"/>
        <c:ser>
          <c:idx val="0"/>
          <c:order val="0"/>
          <c:tx>
            <c:strRef>
              <c:f>'Grafer-energi'!$C$592</c:f>
              <c:strCache>
                <c:ptCount val="1"/>
                <c:pt idx="0">
                  <c:v>1990</c:v>
                </c:pt>
              </c:strCache>
            </c:strRef>
          </c:tx>
          <c:spPr>
            <a:solidFill>
              <a:schemeClr val="accent1"/>
            </a:solidFill>
            <a:ln>
              <a:noFill/>
            </a:ln>
            <a:effectLst/>
          </c:spPr>
          <c:invertIfNegative val="0"/>
          <c:cat>
            <c:strRef>
              <c:f>'Grafer-energi'!$B$593:$B$603</c:f>
              <c:strCache>
                <c:ptCount val="11"/>
                <c:pt idx="0">
                  <c:v>Person- og varebiler, 
benzin (inkl. mild hybrid)</c:v>
                </c:pt>
                <c:pt idx="1">
                  <c:v>Person- og varebiler, 
diesel, gas</c:v>
                </c:pt>
                <c:pt idx="2">
                  <c:v>Person- og varebiler, 
el, plug-in hybrid, brint</c:v>
                </c:pt>
                <c:pt idx="3">
                  <c:v>Busser, diesel, gas</c:v>
                </c:pt>
                <c:pt idx="4">
                  <c:v>Busser, el, brint</c:v>
                </c:pt>
                <c:pt idx="5">
                  <c:v>Lastbiler m.m., diesel, gas</c:v>
                </c:pt>
                <c:pt idx="6">
                  <c:v>Lastbiler m.m., el, brint</c:v>
                </c:pt>
                <c:pt idx="7">
                  <c:v>Traktorer</c:v>
                </c:pt>
                <c:pt idx="8">
                  <c:v>Tog</c:v>
                </c:pt>
                <c:pt idx="9">
                  <c:v>Fly</c:v>
                </c:pt>
                <c:pt idx="10">
                  <c:v>Skibe</c:v>
                </c:pt>
              </c:strCache>
            </c:strRef>
          </c:cat>
          <c:val>
            <c:numRef>
              <c:f>'Grafer-energi'!$C$593:$C$603</c:f>
              <c:numCache>
                <c:formatCode>#,##0</c:formatCode>
                <c:ptCount val="11"/>
                <c:pt idx="0">
                  <c:v>26.46</c:v>
                </c:pt>
                <c:pt idx="1">
                  <c:v>8.61</c:v>
                </c:pt>
                <c:pt idx="2">
                  <c:v>0</c:v>
                </c:pt>
                <c:pt idx="3">
                  <c:v>3.34</c:v>
                </c:pt>
                <c:pt idx="4">
                  <c:v>0</c:v>
                </c:pt>
                <c:pt idx="5">
                  <c:v>8.5299999999999994</c:v>
                </c:pt>
                <c:pt idx="6">
                  <c:v>0</c:v>
                </c:pt>
                <c:pt idx="7">
                  <c:v>7.0269586273894555</c:v>
                </c:pt>
                <c:pt idx="8">
                  <c:v>1.961507860425528</c:v>
                </c:pt>
                <c:pt idx="9">
                  <c:v>14.177058645182885</c:v>
                </c:pt>
                <c:pt idx="10">
                  <c:v>3.1023052691616186</c:v>
                </c:pt>
              </c:numCache>
            </c:numRef>
          </c:val>
          <c:extLst>
            <c:ext xmlns:c16="http://schemas.microsoft.com/office/drawing/2014/chart" uri="{C3380CC4-5D6E-409C-BE32-E72D297353CC}">
              <c16:uniqueId val="{00000000-E41A-4C78-900D-0B3A9024CFB0}"/>
            </c:ext>
          </c:extLst>
        </c:ser>
        <c:ser>
          <c:idx val="2"/>
          <c:order val="1"/>
          <c:tx>
            <c:strRef>
              <c:f>'Grafer-energi'!$D$592</c:f>
              <c:strCache>
                <c:ptCount val="1"/>
                <c:pt idx="0">
                  <c:v>2018</c:v>
                </c:pt>
              </c:strCache>
            </c:strRef>
          </c:tx>
          <c:spPr>
            <a:solidFill>
              <a:srgbClr val="106889"/>
            </a:solidFill>
            <a:ln>
              <a:noFill/>
            </a:ln>
            <a:effectLst/>
          </c:spPr>
          <c:invertIfNegative val="0"/>
          <c:cat>
            <c:strRef>
              <c:f>'Grafer-energi'!$B$593:$B$603</c:f>
              <c:strCache>
                <c:ptCount val="11"/>
                <c:pt idx="0">
                  <c:v>Person- og varebiler, 
benzin (inkl. mild hybrid)</c:v>
                </c:pt>
                <c:pt idx="1">
                  <c:v>Person- og varebiler, 
diesel, gas</c:v>
                </c:pt>
                <c:pt idx="2">
                  <c:v>Person- og varebiler, 
el, plug-in hybrid, brint</c:v>
                </c:pt>
                <c:pt idx="3">
                  <c:v>Busser, diesel, gas</c:v>
                </c:pt>
                <c:pt idx="4">
                  <c:v>Busser, el, brint</c:v>
                </c:pt>
                <c:pt idx="5">
                  <c:v>Lastbiler m.m., diesel, gas</c:v>
                </c:pt>
                <c:pt idx="6">
                  <c:v>Lastbiler m.m., el, brint</c:v>
                </c:pt>
                <c:pt idx="7">
                  <c:v>Traktorer</c:v>
                </c:pt>
                <c:pt idx="8">
                  <c:v>Tog</c:v>
                </c:pt>
                <c:pt idx="9">
                  <c:v>Fly</c:v>
                </c:pt>
                <c:pt idx="10">
                  <c:v>Skibe</c:v>
                </c:pt>
              </c:strCache>
            </c:strRef>
          </c:cat>
          <c:val>
            <c:numRef>
              <c:f>'Grafer-energi'!$D$593:$D$603</c:f>
              <c:numCache>
                <c:formatCode>#,##0</c:formatCode>
                <c:ptCount val="11"/>
                <c:pt idx="0">
                  <c:v>19.46</c:v>
                </c:pt>
                <c:pt idx="1">
                  <c:v>17.670000000000002</c:v>
                </c:pt>
                <c:pt idx="2">
                  <c:v>0.16122599704579024</c:v>
                </c:pt>
                <c:pt idx="3">
                  <c:v>2.06</c:v>
                </c:pt>
                <c:pt idx="4">
                  <c:v>0</c:v>
                </c:pt>
                <c:pt idx="5">
                  <c:v>34.11</c:v>
                </c:pt>
                <c:pt idx="6">
                  <c:v>0</c:v>
                </c:pt>
                <c:pt idx="7">
                  <c:v>7.43</c:v>
                </c:pt>
                <c:pt idx="8">
                  <c:v>0.95</c:v>
                </c:pt>
                <c:pt idx="9">
                  <c:v>13.995000000000001</c:v>
                </c:pt>
                <c:pt idx="10">
                  <c:v>2.0009999999999999</c:v>
                </c:pt>
              </c:numCache>
            </c:numRef>
          </c:val>
          <c:extLst>
            <c:ext xmlns:c16="http://schemas.microsoft.com/office/drawing/2014/chart" uri="{C3380CC4-5D6E-409C-BE32-E72D297353CC}">
              <c16:uniqueId val="{00000001-E41A-4C78-900D-0B3A9024CFB0}"/>
            </c:ext>
          </c:extLst>
        </c:ser>
        <c:ser>
          <c:idx val="1"/>
          <c:order val="2"/>
          <c:tx>
            <c:strRef>
              <c:f>'Grafer-energi'!$E$592</c:f>
              <c:strCache>
                <c:ptCount val="1"/>
                <c:pt idx="0">
                  <c:v>2020</c:v>
                </c:pt>
              </c:strCache>
            </c:strRef>
          </c:tx>
          <c:spPr>
            <a:solidFill>
              <a:schemeClr val="accent3"/>
            </a:solidFill>
            <a:ln>
              <a:noFill/>
            </a:ln>
            <a:effectLst/>
          </c:spPr>
          <c:invertIfNegative val="0"/>
          <c:cat>
            <c:strRef>
              <c:f>'Grafer-energi'!$B$593:$B$603</c:f>
              <c:strCache>
                <c:ptCount val="11"/>
                <c:pt idx="0">
                  <c:v>Person- og varebiler, 
benzin (inkl. mild hybrid)</c:v>
                </c:pt>
                <c:pt idx="1">
                  <c:v>Person- og varebiler, 
diesel, gas</c:v>
                </c:pt>
                <c:pt idx="2">
                  <c:v>Person- og varebiler, 
el, plug-in hybrid, brint</c:v>
                </c:pt>
                <c:pt idx="3">
                  <c:v>Busser, diesel, gas</c:v>
                </c:pt>
                <c:pt idx="4">
                  <c:v>Busser, el, brint</c:v>
                </c:pt>
                <c:pt idx="5">
                  <c:v>Lastbiler m.m., diesel, gas</c:v>
                </c:pt>
                <c:pt idx="6">
                  <c:v>Lastbiler m.m., el, brint</c:v>
                </c:pt>
                <c:pt idx="7">
                  <c:v>Traktorer</c:v>
                </c:pt>
                <c:pt idx="8">
                  <c:v>Tog</c:v>
                </c:pt>
                <c:pt idx="9">
                  <c:v>Fly</c:v>
                </c:pt>
                <c:pt idx="10">
                  <c:v>Skibe</c:v>
                </c:pt>
              </c:strCache>
            </c:strRef>
          </c:cat>
          <c:val>
            <c:numRef>
              <c:f>'Grafer-energi'!$E$593:$E$603</c:f>
              <c:numCache>
                <c:formatCode>#,##0</c:formatCode>
                <c:ptCount val="11"/>
                <c:pt idx="0">
                  <c:v>18.09</c:v>
                </c:pt>
                <c:pt idx="1">
                  <c:v>15.36</c:v>
                </c:pt>
                <c:pt idx="2">
                  <c:v>0.35799999999999998</c:v>
                </c:pt>
                <c:pt idx="3">
                  <c:v>1.45</c:v>
                </c:pt>
                <c:pt idx="4">
                  <c:v>0</c:v>
                </c:pt>
                <c:pt idx="5">
                  <c:v>31</c:v>
                </c:pt>
                <c:pt idx="6">
                  <c:v>0</c:v>
                </c:pt>
                <c:pt idx="7">
                  <c:v>7.1</c:v>
                </c:pt>
                <c:pt idx="8">
                  <c:v>0.81</c:v>
                </c:pt>
                <c:pt idx="9">
                  <c:v>4.96</c:v>
                </c:pt>
                <c:pt idx="10">
                  <c:v>1.5</c:v>
                </c:pt>
              </c:numCache>
            </c:numRef>
          </c:val>
          <c:extLst>
            <c:ext xmlns:c16="http://schemas.microsoft.com/office/drawing/2014/chart" uri="{C3380CC4-5D6E-409C-BE32-E72D297353CC}">
              <c16:uniqueId val="{00000000-8A5E-4414-B921-973D851A4B12}"/>
            </c:ext>
          </c:extLst>
        </c:ser>
        <c:dLbls>
          <c:showLegendKey val="0"/>
          <c:showVal val="0"/>
          <c:showCatName val="0"/>
          <c:showSerName val="0"/>
          <c:showPercent val="0"/>
          <c:showBubbleSize val="0"/>
        </c:dLbls>
        <c:gapWidth val="150"/>
        <c:axId val="690211920"/>
        <c:axId val="690209960"/>
      </c:barChart>
      <c:catAx>
        <c:axId val="690211920"/>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690209960"/>
        <c:crosses val="autoZero"/>
        <c:auto val="1"/>
        <c:lblAlgn val="ctr"/>
        <c:lblOffset val="100"/>
        <c:noMultiLvlLbl val="0"/>
      </c:catAx>
      <c:valAx>
        <c:axId val="690209960"/>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da-DK" b="1"/>
                  <a:t>TJ/år</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da-DK"/>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690211920"/>
        <c:crosses val="autoZero"/>
        <c:crossBetween val="between"/>
      </c:valAx>
      <c:spPr>
        <a:solidFill>
          <a:schemeClr val="bg1"/>
        </a:solidFill>
        <a:ln>
          <a:noFill/>
        </a:ln>
        <a:effectLst/>
      </c:spPr>
    </c:plotArea>
    <c:legend>
      <c:legendPos val="r"/>
      <c:layout>
        <c:manualLayout>
          <c:xMode val="edge"/>
          <c:yMode val="edge"/>
          <c:x val="0.89359861111111161"/>
          <c:y val="0.42682525252525338"/>
          <c:w val="4.94905147532715E-2"/>
          <c:h val="0.14861755247585401"/>
        </c:manualLayout>
      </c:layout>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243" l="0.70000000000000062" r="0.70000000000000062" t="0.7500000000000124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da-DK" sz="1400"/>
              <a:t>2018</a:t>
            </a:r>
          </a:p>
        </c:rich>
      </c:tx>
      <c:layout>
        <c:manualLayout>
          <c:xMode val="edge"/>
          <c:yMode val="edge"/>
          <c:x val="0.84815775105812807"/>
          <c:y val="3.2980646263679629E-2"/>
        </c:manualLayout>
      </c:layout>
      <c:overlay val="0"/>
      <c:spPr>
        <a:noFill/>
        <a:ln>
          <a:noFill/>
        </a:ln>
        <a:effectLst/>
      </c:spPr>
    </c:title>
    <c:autoTitleDeleted val="0"/>
    <c:plotArea>
      <c:layout/>
      <c:pieChart>
        <c:varyColors val="1"/>
        <c:ser>
          <c:idx val="0"/>
          <c:order val="0"/>
          <c:tx>
            <c:strRef>
              <c:f>'Grafer-energi'!$C$592</c:f>
              <c:strCache>
                <c:ptCount val="1"/>
                <c:pt idx="0">
                  <c:v>1990</c:v>
                </c:pt>
              </c:strCache>
            </c:strRef>
          </c:tx>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44-E73A-4663-841B-E82B1633BE0C}"/>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46-E73A-4663-841B-E82B1633BE0C}"/>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48-E73A-4663-841B-E82B1633BE0C}"/>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4A-E73A-4663-841B-E82B1633BE0C}"/>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4C-E73A-4663-841B-E82B1633BE0C}"/>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4E-E73A-4663-841B-E82B1633BE0C}"/>
              </c:ext>
            </c:extLst>
          </c:dPt>
          <c:dPt>
            <c:idx val="6"/>
            <c:bubble3D val="0"/>
            <c:spPr>
              <a:solidFill>
                <a:schemeClr val="accent1">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50-E73A-4663-841B-E82B1633BE0C}"/>
              </c:ext>
            </c:extLst>
          </c:dPt>
          <c:dPt>
            <c:idx val="7"/>
            <c:bubble3D val="0"/>
            <c:spPr>
              <a:solidFill>
                <a:schemeClr val="accent2">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52-E73A-4663-841B-E82B1633BE0C}"/>
              </c:ext>
            </c:extLst>
          </c:dPt>
          <c:dPt>
            <c:idx val="8"/>
            <c:bubble3D val="0"/>
            <c:spPr>
              <a:solidFill>
                <a:schemeClr val="accent3">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54-E73A-4663-841B-E82B1633BE0C}"/>
              </c:ext>
            </c:extLst>
          </c:dPt>
          <c:dPt>
            <c:idx val="9"/>
            <c:bubble3D val="0"/>
            <c:spPr>
              <a:solidFill>
                <a:schemeClr val="accent4">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56-E73A-4663-841B-E82B1633BE0C}"/>
              </c:ext>
            </c:extLst>
          </c:dPt>
          <c:dPt>
            <c:idx val="10"/>
            <c:bubble3D val="0"/>
            <c:spPr>
              <a:solidFill>
                <a:schemeClr val="accent5">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58-E73A-4663-841B-E82B1633BE0C}"/>
              </c:ext>
            </c:extLst>
          </c:dPt>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da-DK"/>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'Grafer-energi'!$B$593:$B$603</c:f>
              <c:strCache>
                <c:ptCount val="11"/>
                <c:pt idx="0">
                  <c:v>Person- og varebiler, 
benzin (inkl. mild hybrid)</c:v>
                </c:pt>
                <c:pt idx="1">
                  <c:v>Person- og varebiler, 
diesel, gas</c:v>
                </c:pt>
                <c:pt idx="2">
                  <c:v>Person- og varebiler, 
el, plug-in hybrid, brint</c:v>
                </c:pt>
                <c:pt idx="3">
                  <c:v>Busser, diesel, gas</c:v>
                </c:pt>
                <c:pt idx="4">
                  <c:v>Busser, el, brint</c:v>
                </c:pt>
                <c:pt idx="5">
                  <c:v>Lastbiler m.m., diesel, gas</c:v>
                </c:pt>
                <c:pt idx="6">
                  <c:v>Lastbiler m.m., el, brint</c:v>
                </c:pt>
                <c:pt idx="7">
                  <c:v>Traktorer</c:v>
                </c:pt>
                <c:pt idx="8">
                  <c:v>Tog</c:v>
                </c:pt>
                <c:pt idx="9">
                  <c:v>Fly</c:v>
                </c:pt>
                <c:pt idx="10">
                  <c:v>Skibe</c:v>
                </c:pt>
              </c:strCache>
            </c:strRef>
          </c:cat>
          <c:val>
            <c:numRef>
              <c:f>'Grafer-energi'!$C$593:$C$603</c:f>
              <c:numCache>
                <c:formatCode>#,##0</c:formatCode>
                <c:ptCount val="11"/>
                <c:pt idx="0">
                  <c:v>26.46</c:v>
                </c:pt>
                <c:pt idx="1">
                  <c:v>8.61</c:v>
                </c:pt>
                <c:pt idx="2">
                  <c:v>0</c:v>
                </c:pt>
                <c:pt idx="3">
                  <c:v>3.34</c:v>
                </c:pt>
                <c:pt idx="4">
                  <c:v>0</c:v>
                </c:pt>
                <c:pt idx="5">
                  <c:v>8.5299999999999994</c:v>
                </c:pt>
                <c:pt idx="6">
                  <c:v>0</c:v>
                </c:pt>
                <c:pt idx="7">
                  <c:v>7.0269586273894555</c:v>
                </c:pt>
                <c:pt idx="8">
                  <c:v>1.961507860425528</c:v>
                </c:pt>
                <c:pt idx="9">
                  <c:v>14.177058645182885</c:v>
                </c:pt>
                <c:pt idx="10">
                  <c:v>3.1023052691616186</c:v>
                </c:pt>
              </c:numCache>
            </c:numRef>
          </c:val>
          <c:extLst>
            <c:ext xmlns:c16="http://schemas.microsoft.com/office/drawing/2014/chart" uri="{C3380CC4-5D6E-409C-BE32-E72D297353CC}">
              <c16:uniqueId val="{00000059-E73A-4663-841B-E82B1633BE0C}"/>
            </c:ext>
          </c:extLst>
        </c:ser>
        <c:ser>
          <c:idx val="1"/>
          <c:order val="1"/>
          <c:tx>
            <c:strRef>
              <c:f>'Grafer-energi'!$D$592</c:f>
              <c:strCache>
                <c:ptCount val="1"/>
                <c:pt idx="0">
                  <c:v>2018</c:v>
                </c:pt>
              </c:strCache>
            </c:strRef>
          </c:tx>
          <c:dPt>
            <c:idx val="0"/>
            <c:bubble3D val="0"/>
            <c:extLst>
              <c:ext xmlns:c16="http://schemas.microsoft.com/office/drawing/2014/chart" uri="{C3380CC4-5D6E-409C-BE32-E72D297353CC}">
                <c16:uniqueId val="{0000005B-E73A-4663-841B-E82B1633BE0C}"/>
              </c:ext>
            </c:extLst>
          </c:dPt>
          <c:dPt>
            <c:idx val="1"/>
            <c:bubble3D val="0"/>
            <c:extLst>
              <c:ext xmlns:c16="http://schemas.microsoft.com/office/drawing/2014/chart" uri="{C3380CC4-5D6E-409C-BE32-E72D297353CC}">
                <c16:uniqueId val="{0000005C-E73A-4663-841B-E82B1633BE0C}"/>
              </c:ext>
            </c:extLst>
          </c:dPt>
          <c:dPt>
            <c:idx val="2"/>
            <c:bubble3D val="0"/>
            <c:extLst>
              <c:ext xmlns:c16="http://schemas.microsoft.com/office/drawing/2014/chart" uri="{C3380CC4-5D6E-409C-BE32-E72D297353CC}">
                <c16:uniqueId val="{0000005D-E73A-4663-841B-E82B1633BE0C}"/>
              </c:ext>
            </c:extLst>
          </c:dPt>
          <c:dPt>
            <c:idx val="3"/>
            <c:bubble3D val="0"/>
            <c:extLst>
              <c:ext xmlns:c16="http://schemas.microsoft.com/office/drawing/2014/chart" uri="{C3380CC4-5D6E-409C-BE32-E72D297353CC}">
                <c16:uniqueId val="{0000005E-E73A-4663-841B-E82B1633BE0C}"/>
              </c:ext>
            </c:extLst>
          </c:dPt>
          <c:dPt>
            <c:idx val="4"/>
            <c:bubble3D val="0"/>
            <c:extLst>
              <c:ext xmlns:c16="http://schemas.microsoft.com/office/drawing/2014/chart" uri="{C3380CC4-5D6E-409C-BE32-E72D297353CC}">
                <c16:uniqueId val="{0000005F-E73A-4663-841B-E82B1633BE0C}"/>
              </c:ext>
            </c:extLst>
          </c:dPt>
          <c:dPt>
            <c:idx val="5"/>
            <c:bubble3D val="0"/>
            <c:extLst>
              <c:ext xmlns:c16="http://schemas.microsoft.com/office/drawing/2014/chart" uri="{C3380CC4-5D6E-409C-BE32-E72D297353CC}">
                <c16:uniqueId val="{00000060-E73A-4663-841B-E82B1633BE0C}"/>
              </c:ext>
            </c:extLst>
          </c:dPt>
          <c:dPt>
            <c:idx val="6"/>
            <c:bubble3D val="0"/>
            <c:extLst>
              <c:ext xmlns:c16="http://schemas.microsoft.com/office/drawing/2014/chart" uri="{C3380CC4-5D6E-409C-BE32-E72D297353CC}">
                <c16:uniqueId val="{00000061-E73A-4663-841B-E82B1633BE0C}"/>
              </c:ext>
            </c:extLst>
          </c:dPt>
          <c:dPt>
            <c:idx val="7"/>
            <c:bubble3D val="0"/>
            <c:extLst>
              <c:ext xmlns:c16="http://schemas.microsoft.com/office/drawing/2014/chart" uri="{C3380CC4-5D6E-409C-BE32-E72D297353CC}">
                <c16:uniqueId val="{00000062-E73A-4663-841B-E82B1633BE0C}"/>
              </c:ext>
            </c:extLst>
          </c:dPt>
          <c:dPt>
            <c:idx val="8"/>
            <c:bubble3D val="0"/>
            <c:extLst>
              <c:ext xmlns:c16="http://schemas.microsoft.com/office/drawing/2014/chart" uri="{C3380CC4-5D6E-409C-BE32-E72D297353CC}">
                <c16:uniqueId val="{00000063-E73A-4663-841B-E82B1633BE0C}"/>
              </c:ext>
            </c:extLst>
          </c:dPt>
          <c:dPt>
            <c:idx val="9"/>
            <c:bubble3D val="0"/>
            <c:extLst>
              <c:ext xmlns:c16="http://schemas.microsoft.com/office/drawing/2014/chart" uri="{C3380CC4-5D6E-409C-BE32-E72D297353CC}">
                <c16:uniqueId val="{00000064-E73A-4663-841B-E82B1633BE0C}"/>
              </c:ext>
            </c:extLst>
          </c:dPt>
          <c:dPt>
            <c:idx val="10"/>
            <c:bubble3D val="0"/>
            <c:extLst>
              <c:ext xmlns:c16="http://schemas.microsoft.com/office/drawing/2014/chart" uri="{C3380CC4-5D6E-409C-BE32-E72D297353CC}">
                <c16:uniqueId val="{00000065-E73A-4663-841B-E82B1633BE0C}"/>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'Grafer-energi'!$B$593:$B$603</c:f>
              <c:strCache>
                <c:ptCount val="11"/>
                <c:pt idx="0">
                  <c:v>Person- og varebiler, 
benzin (inkl. mild hybrid)</c:v>
                </c:pt>
                <c:pt idx="1">
                  <c:v>Person- og varebiler, 
diesel, gas</c:v>
                </c:pt>
                <c:pt idx="2">
                  <c:v>Person- og varebiler, 
el, plug-in hybrid, brint</c:v>
                </c:pt>
                <c:pt idx="3">
                  <c:v>Busser, diesel, gas</c:v>
                </c:pt>
                <c:pt idx="4">
                  <c:v>Busser, el, brint</c:v>
                </c:pt>
                <c:pt idx="5">
                  <c:v>Lastbiler m.m., diesel, gas</c:v>
                </c:pt>
                <c:pt idx="6">
                  <c:v>Lastbiler m.m., el, brint</c:v>
                </c:pt>
                <c:pt idx="7">
                  <c:v>Traktorer</c:v>
                </c:pt>
                <c:pt idx="8">
                  <c:v>Tog</c:v>
                </c:pt>
                <c:pt idx="9">
                  <c:v>Fly</c:v>
                </c:pt>
                <c:pt idx="10">
                  <c:v>Skibe</c:v>
                </c:pt>
              </c:strCache>
            </c:strRef>
          </c:cat>
          <c:val>
            <c:numRef>
              <c:f>'Grafer-energi'!$D$593:$D$603</c:f>
              <c:numCache>
                <c:formatCode>#,##0</c:formatCode>
                <c:ptCount val="11"/>
                <c:pt idx="0">
                  <c:v>19.46</c:v>
                </c:pt>
                <c:pt idx="1">
                  <c:v>17.670000000000002</c:v>
                </c:pt>
                <c:pt idx="2">
                  <c:v>0.16122599704579024</c:v>
                </c:pt>
                <c:pt idx="3">
                  <c:v>2.06</c:v>
                </c:pt>
                <c:pt idx="4">
                  <c:v>0</c:v>
                </c:pt>
                <c:pt idx="5">
                  <c:v>34.11</c:v>
                </c:pt>
                <c:pt idx="6">
                  <c:v>0</c:v>
                </c:pt>
                <c:pt idx="7">
                  <c:v>7.43</c:v>
                </c:pt>
                <c:pt idx="8">
                  <c:v>0.95</c:v>
                </c:pt>
                <c:pt idx="9">
                  <c:v>13.995000000000001</c:v>
                </c:pt>
                <c:pt idx="10">
                  <c:v>2.0009999999999999</c:v>
                </c:pt>
              </c:numCache>
            </c:numRef>
          </c:val>
          <c:extLst>
            <c:ext xmlns:c16="http://schemas.microsoft.com/office/drawing/2014/chart" uri="{C3380CC4-5D6E-409C-BE32-E72D297353CC}">
              <c16:uniqueId val="{0000005A-E73A-4663-841B-E82B1633BE0C}"/>
            </c:ext>
          </c:extLst>
        </c:ser>
        <c:ser>
          <c:idx val="2"/>
          <c:order val="2"/>
          <c:tx>
            <c:strRef>
              <c:f>'Grafer-energi'!$E$592</c:f>
              <c:strCache>
                <c:ptCount val="1"/>
                <c:pt idx="0">
                  <c:v>2020</c:v>
                </c:pt>
              </c:strCache>
            </c:strRef>
          </c:tx>
          <c:dPt>
            <c:idx val="0"/>
            <c:bubble3D val="0"/>
            <c:extLst>
              <c:ext xmlns:c16="http://schemas.microsoft.com/office/drawing/2014/chart" uri="{C3380CC4-5D6E-409C-BE32-E72D297353CC}">
                <c16:uniqueId val="{00000067-E73A-4663-841B-E82B1633BE0C}"/>
              </c:ext>
            </c:extLst>
          </c:dPt>
          <c:dPt>
            <c:idx val="1"/>
            <c:bubble3D val="0"/>
            <c:extLst>
              <c:ext xmlns:c16="http://schemas.microsoft.com/office/drawing/2014/chart" uri="{C3380CC4-5D6E-409C-BE32-E72D297353CC}">
                <c16:uniqueId val="{00000068-E73A-4663-841B-E82B1633BE0C}"/>
              </c:ext>
            </c:extLst>
          </c:dPt>
          <c:dPt>
            <c:idx val="2"/>
            <c:bubble3D val="0"/>
            <c:extLst>
              <c:ext xmlns:c16="http://schemas.microsoft.com/office/drawing/2014/chart" uri="{C3380CC4-5D6E-409C-BE32-E72D297353CC}">
                <c16:uniqueId val="{00000069-E73A-4663-841B-E82B1633BE0C}"/>
              </c:ext>
            </c:extLst>
          </c:dPt>
          <c:dPt>
            <c:idx val="3"/>
            <c:bubble3D val="0"/>
            <c:extLst>
              <c:ext xmlns:c16="http://schemas.microsoft.com/office/drawing/2014/chart" uri="{C3380CC4-5D6E-409C-BE32-E72D297353CC}">
                <c16:uniqueId val="{0000006A-E73A-4663-841B-E82B1633BE0C}"/>
              </c:ext>
            </c:extLst>
          </c:dPt>
          <c:dPt>
            <c:idx val="4"/>
            <c:bubble3D val="0"/>
            <c:extLst>
              <c:ext xmlns:c16="http://schemas.microsoft.com/office/drawing/2014/chart" uri="{C3380CC4-5D6E-409C-BE32-E72D297353CC}">
                <c16:uniqueId val="{0000006B-E73A-4663-841B-E82B1633BE0C}"/>
              </c:ext>
            </c:extLst>
          </c:dPt>
          <c:dPt>
            <c:idx val="5"/>
            <c:bubble3D val="0"/>
            <c:extLst>
              <c:ext xmlns:c16="http://schemas.microsoft.com/office/drawing/2014/chart" uri="{C3380CC4-5D6E-409C-BE32-E72D297353CC}">
                <c16:uniqueId val="{0000006C-E73A-4663-841B-E82B1633BE0C}"/>
              </c:ext>
            </c:extLst>
          </c:dPt>
          <c:dPt>
            <c:idx val="6"/>
            <c:bubble3D val="0"/>
            <c:extLst>
              <c:ext xmlns:c16="http://schemas.microsoft.com/office/drawing/2014/chart" uri="{C3380CC4-5D6E-409C-BE32-E72D297353CC}">
                <c16:uniqueId val="{0000006D-E73A-4663-841B-E82B1633BE0C}"/>
              </c:ext>
            </c:extLst>
          </c:dPt>
          <c:dPt>
            <c:idx val="7"/>
            <c:bubble3D val="0"/>
            <c:extLst>
              <c:ext xmlns:c16="http://schemas.microsoft.com/office/drawing/2014/chart" uri="{C3380CC4-5D6E-409C-BE32-E72D297353CC}">
                <c16:uniqueId val="{0000006E-E73A-4663-841B-E82B1633BE0C}"/>
              </c:ext>
            </c:extLst>
          </c:dPt>
          <c:dPt>
            <c:idx val="8"/>
            <c:bubble3D val="0"/>
            <c:extLst>
              <c:ext xmlns:c16="http://schemas.microsoft.com/office/drawing/2014/chart" uri="{C3380CC4-5D6E-409C-BE32-E72D297353CC}">
                <c16:uniqueId val="{0000006F-E73A-4663-841B-E82B1633BE0C}"/>
              </c:ext>
            </c:extLst>
          </c:dPt>
          <c:dPt>
            <c:idx val="9"/>
            <c:bubble3D val="0"/>
            <c:extLst>
              <c:ext xmlns:c16="http://schemas.microsoft.com/office/drawing/2014/chart" uri="{C3380CC4-5D6E-409C-BE32-E72D297353CC}">
                <c16:uniqueId val="{00000070-E73A-4663-841B-E82B1633BE0C}"/>
              </c:ext>
            </c:extLst>
          </c:dPt>
          <c:dPt>
            <c:idx val="10"/>
            <c:bubble3D val="0"/>
            <c:extLst>
              <c:ext xmlns:c16="http://schemas.microsoft.com/office/drawing/2014/chart" uri="{C3380CC4-5D6E-409C-BE32-E72D297353CC}">
                <c16:uniqueId val="{00000071-E73A-4663-841B-E82B1633BE0C}"/>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'Grafer-energi'!$B$593:$B$603</c:f>
              <c:strCache>
                <c:ptCount val="11"/>
                <c:pt idx="0">
                  <c:v>Person- og varebiler, 
benzin (inkl. mild hybrid)</c:v>
                </c:pt>
                <c:pt idx="1">
                  <c:v>Person- og varebiler, 
diesel, gas</c:v>
                </c:pt>
                <c:pt idx="2">
                  <c:v>Person- og varebiler, 
el, plug-in hybrid, brint</c:v>
                </c:pt>
                <c:pt idx="3">
                  <c:v>Busser, diesel, gas</c:v>
                </c:pt>
                <c:pt idx="4">
                  <c:v>Busser, el, brint</c:v>
                </c:pt>
                <c:pt idx="5">
                  <c:v>Lastbiler m.m., diesel, gas</c:v>
                </c:pt>
                <c:pt idx="6">
                  <c:v>Lastbiler m.m., el, brint</c:v>
                </c:pt>
                <c:pt idx="7">
                  <c:v>Traktorer</c:v>
                </c:pt>
                <c:pt idx="8">
                  <c:v>Tog</c:v>
                </c:pt>
                <c:pt idx="9">
                  <c:v>Fly</c:v>
                </c:pt>
                <c:pt idx="10">
                  <c:v>Skibe</c:v>
                </c:pt>
              </c:strCache>
            </c:strRef>
          </c:cat>
          <c:val>
            <c:numRef>
              <c:f>'Grafer-energi'!$E$593:$E$603</c:f>
              <c:numCache>
                <c:formatCode>#,##0</c:formatCode>
                <c:ptCount val="11"/>
                <c:pt idx="0">
                  <c:v>18.09</c:v>
                </c:pt>
                <c:pt idx="1">
                  <c:v>15.36</c:v>
                </c:pt>
                <c:pt idx="2">
                  <c:v>0.35799999999999998</c:v>
                </c:pt>
                <c:pt idx="3">
                  <c:v>1.45</c:v>
                </c:pt>
                <c:pt idx="4">
                  <c:v>0</c:v>
                </c:pt>
                <c:pt idx="5">
                  <c:v>31</c:v>
                </c:pt>
                <c:pt idx="6">
                  <c:v>0</c:v>
                </c:pt>
                <c:pt idx="7">
                  <c:v>7.1</c:v>
                </c:pt>
                <c:pt idx="8">
                  <c:v>0.81</c:v>
                </c:pt>
                <c:pt idx="9">
                  <c:v>4.96</c:v>
                </c:pt>
                <c:pt idx="10">
                  <c:v>1.5</c:v>
                </c:pt>
              </c:numCache>
            </c:numRef>
          </c:val>
          <c:extLst>
            <c:ext xmlns:c16="http://schemas.microsoft.com/office/drawing/2014/chart" uri="{C3380CC4-5D6E-409C-BE32-E72D297353CC}">
              <c16:uniqueId val="{00000066-E73A-4663-841B-E82B1633BE0C}"/>
            </c:ext>
          </c:extLst>
        </c:ser>
        <c:dLbls>
          <c:dLblPos val="inEnd"/>
          <c:showLegendKey val="0"/>
          <c:showVal val="0"/>
          <c:showCatName val="0"/>
          <c:showSerName val="0"/>
          <c:showPercent val="1"/>
          <c:showBubbleSize val="0"/>
          <c:showLeaderLines val="1"/>
        </c:dLbls>
        <c:firstSliceAng val="0"/>
      </c:pieChart>
    </c:plotArea>
    <c:legend>
      <c:legendPos val="r"/>
      <c:overlay val="0"/>
      <c:spPr>
        <a:solidFill>
          <a:schemeClr val="lt1">
            <a:alpha val="78000"/>
          </a:schemeClr>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0057636887608"/>
          <c:y val="3.465346534653465E-2"/>
          <c:w val="0.7506978654287193"/>
          <c:h val="0.85396039603960394"/>
        </c:manualLayout>
      </c:layout>
      <c:barChart>
        <c:barDir val="col"/>
        <c:grouping val="clustered"/>
        <c:varyColors val="0"/>
        <c:ser>
          <c:idx val="0"/>
          <c:order val="0"/>
          <c:tx>
            <c:strRef>
              <c:f>'Grafer-energi'!$C$866</c:f>
              <c:strCache>
                <c:ptCount val="1"/>
                <c:pt idx="0">
                  <c:v>1990</c:v>
                </c:pt>
              </c:strCache>
            </c:strRef>
          </c:tx>
          <c:spPr>
            <a:solidFill>
              <a:schemeClr val="accent1"/>
            </a:solidFill>
            <a:ln>
              <a:noFill/>
            </a:ln>
            <a:effectLst/>
          </c:spPr>
          <c:invertIfNegative val="0"/>
          <c:cat>
            <c:strRef>
              <c:f>'Grafer-energi'!$B$867:$B$872</c:f>
              <c:strCache>
                <c:ptCount val="6"/>
                <c:pt idx="0">
                  <c:v>Individuel opvarmning</c:v>
                </c:pt>
                <c:pt idx="1">
                  <c:v>Kollektiv el- og varmeforsyning</c:v>
                </c:pt>
                <c:pt idx="2">
                  <c:v>Industri</c:v>
                </c:pt>
                <c:pt idx="3">
                  <c:v>Transport</c:v>
                </c:pt>
                <c:pt idx="4">
                  <c:v>Eksport af VE-brændsler</c:v>
                </c:pt>
                <c:pt idx="5">
                  <c:v>El-import</c:v>
                </c:pt>
              </c:strCache>
            </c:strRef>
          </c:cat>
          <c:val>
            <c:numRef>
              <c:f>'Grafer-energi'!$C$867:$C$872</c:f>
              <c:numCache>
                <c:formatCode>#,##0</c:formatCode>
                <c:ptCount val="6"/>
                <c:pt idx="0">
                  <c:v>6.9557669999999998</c:v>
                </c:pt>
                <c:pt idx="1">
                  <c:v>0</c:v>
                </c:pt>
                <c:pt idx="2">
                  <c:v>0.29629978608519786</c:v>
                </c:pt>
                <c:pt idx="3">
                  <c:v>5.3744826816603908</c:v>
                </c:pt>
                <c:pt idx="4">
                  <c:v>0</c:v>
                </c:pt>
                <c:pt idx="5">
                  <c:v>11.368536201287085</c:v>
                </c:pt>
              </c:numCache>
            </c:numRef>
          </c:val>
          <c:extLst>
            <c:ext xmlns:c16="http://schemas.microsoft.com/office/drawing/2014/chart" uri="{C3380CC4-5D6E-409C-BE32-E72D297353CC}">
              <c16:uniqueId val="{00000000-B834-4120-8904-F233ED02E234}"/>
            </c:ext>
          </c:extLst>
        </c:ser>
        <c:ser>
          <c:idx val="1"/>
          <c:order val="1"/>
          <c:tx>
            <c:strRef>
              <c:f>'Grafer-energi'!$D$866</c:f>
              <c:strCache>
                <c:ptCount val="1"/>
                <c:pt idx="0">
                  <c:v>2018</c:v>
                </c:pt>
              </c:strCache>
            </c:strRef>
          </c:tx>
          <c:spPr>
            <a:solidFill>
              <a:srgbClr val="106889"/>
            </a:solidFill>
            <a:ln>
              <a:noFill/>
            </a:ln>
            <a:effectLst/>
          </c:spPr>
          <c:invertIfNegative val="0"/>
          <c:cat>
            <c:strRef>
              <c:f>'Grafer-energi'!$B$867:$B$872</c:f>
              <c:strCache>
                <c:ptCount val="6"/>
                <c:pt idx="0">
                  <c:v>Individuel opvarmning</c:v>
                </c:pt>
                <c:pt idx="1">
                  <c:v>Kollektiv el- og varmeforsyning</c:v>
                </c:pt>
                <c:pt idx="2">
                  <c:v>Industri</c:v>
                </c:pt>
                <c:pt idx="3">
                  <c:v>Transport</c:v>
                </c:pt>
                <c:pt idx="4">
                  <c:v>Eksport af VE-brændsler</c:v>
                </c:pt>
                <c:pt idx="5">
                  <c:v>El-import</c:v>
                </c:pt>
              </c:strCache>
            </c:strRef>
          </c:cat>
          <c:val>
            <c:numRef>
              <c:f>'Grafer-energi'!$D$867:$D$872</c:f>
              <c:numCache>
                <c:formatCode>#,##0</c:formatCode>
                <c:ptCount val="6"/>
                <c:pt idx="0">
                  <c:v>1.8339749999999999</c:v>
                </c:pt>
                <c:pt idx="1">
                  <c:v>3.6901799999999992E-2</c:v>
                </c:pt>
                <c:pt idx="2">
                  <c:v>5.7671999999999994E-2</c:v>
                </c:pt>
                <c:pt idx="3">
                  <c:v>6.9955722670000009</c:v>
                </c:pt>
                <c:pt idx="4">
                  <c:v>0</c:v>
                </c:pt>
                <c:pt idx="5">
                  <c:v>4.5457813406739884</c:v>
                </c:pt>
              </c:numCache>
            </c:numRef>
          </c:val>
          <c:extLst>
            <c:ext xmlns:c16="http://schemas.microsoft.com/office/drawing/2014/chart" uri="{C3380CC4-5D6E-409C-BE32-E72D297353CC}">
              <c16:uniqueId val="{00000001-B834-4120-8904-F233ED02E234}"/>
            </c:ext>
          </c:extLst>
        </c:ser>
        <c:ser>
          <c:idx val="2"/>
          <c:order val="2"/>
          <c:tx>
            <c:strRef>
              <c:f>'Grafer-energi'!$E$866</c:f>
              <c:strCache>
                <c:ptCount val="1"/>
                <c:pt idx="0">
                  <c:v>2020</c:v>
                </c:pt>
              </c:strCache>
            </c:strRef>
          </c:tx>
          <c:spPr>
            <a:solidFill>
              <a:srgbClr val="27CED7"/>
            </a:solidFill>
            <a:ln>
              <a:noFill/>
            </a:ln>
            <a:effectLst/>
          </c:spPr>
          <c:invertIfNegative val="0"/>
          <c:cat>
            <c:strRef>
              <c:f>'Grafer-energi'!$B$867:$B$872</c:f>
              <c:strCache>
                <c:ptCount val="6"/>
                <c:pt idx="0">
                  <c:v>Individuel opvarmning</c:v>
                </c:pt>
                <c:pt idx="1">
                  <c:v>Kollektiv el- og varmeforsyning</c:v>
                </c:pt>
                <c:pt idx="2">
                  <c:v>Industri</c:v>
                </c:pt>
                <c:pt idx="3">
                  <c:v>Transport</c:v>
                </c:pt>
                <c:pt idx="4">
                  <c:v>Eksport af VE-brændsler</c:v>
                </c:pt>
                <c:pt idx="5">
                  <c:v>El-import</c:v>
                </c:pt>
              </c:strCache>
            </c:strRef>
          </c:cat>
          <c:val>
            <c:numRef>
              <c:f>'Grafer-energi'!$E$867:$E$872</c:f>
              <c:numCache>
                <c:formatCode>#,##0</c:formatCode>
                <c:ptCount val="6"/>
                <c:pt idx="0">
                  <c:v>2.1844679999999999</c:v>
                </c:pt>
                <c:pt idx="1">
                  <c:v>6.4555919999999989E-2</c:v>
                </c:pt>
                <c:pt idx="2">
                  <c:v>5.2488E-2</c:v>
                </c:pt>
                <c:pt idx="3">
                  <c:v>5.5793283719999982</c:v>
                </c:pt>
                <c:pt idx="4">
                  <c:v>0</c:v>
                </c:pt>
                <c:pt idx="5">
                  <c:v>2.4650899437824543</c:v>
                </c:pt>
              </c:numCache>
            </c:numRef>
          </c:val>
          <c:extLst>
            <c:ext xmlns:c16="http://schemas.microsoft.com/office/drawing/2014/chart" uri="{C3380CC4-5D6E-409C-BE32-E72D297353CC}">
              <c16:uniqueId val="{00000000-985D-45D7-88CB-020724F8329C}"/>
            </c:ext>
          </c:extLst>
        </c:ser>
        <c:dLbls>
          <c:showLegendKey val="0"/>
          <c:showVal val="0"/>
          <c:showCatName val="0"/>
          <c:showSerName val="0"/>
          <c:showPercent val="0"/>
          <c:showBubbleSize val="0"/>
        </c:dLbls>
        <c:gapWidth val="150"/>
        <c:axId val="690212312"/>
        <c:axId val="690213096"/>
      </c:barChart>
      <c:catAx>
        <c:axId val="690212312"/>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690213096"/>
        <c:crosses val="autoZero"/>
        <c:auto val="1"/>
        <c:lblAlgn val="ctr"/>
        <c:lblOffset val="100"/>
        <c:noMultiLvlLbl val="0"/>
      </c:catAx>
      <c:valAx>
        <c:axId val="690213096"/>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r>
                  <a:rPr lang="da-DK"/>
                  <a:t>1.000 tons </a:t>
                </a:r>
                <a:r>
                  <a:rPr lang="da-DK" sz="1000" b="1" i="0" u="none" strike="noStrike" baseline="0">
                    <a:effectLst/>
                  </a:rPr>
                  <a:t>CO</a:t>
                </a:r>
                <a:r>
                  <a:rPr lang="da-DK" sz="1000" b="1" i="0" u="none" strike="noStrike" baseline="-25000">
                    <a:effectLst/>
                  </a:rPr>
                  <a:t>2 </a:t>
                </a:r>
                <a:r>
                  <a:rPr lang="da-DK"/>
                  <a:t>/ år</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endParaRPr lang="da-DK"/>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69021231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99" l="0.70000000000000062" r="0.70000000000000062" t="0.7500000000000119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615370256431149E-2"/>
          <c:y val="6.6461757170726166E-2"/>
          <c:w val="0.6772043483088267"/>
          <c:h val="0.85437792427448689"/>
        </c:manualLayout>
      </c:layout>
      <c:barChart>
        <c:barDir val="col"/>
        <c:grouping val="stacked"/>
        <c:varyColors val="0"/>
        <c:ser>
          <c:idx val="0"/>
          <c:order val="0"/>
          <c:tx>
            <c:strRef>
              <c:f>'Grafer-energi'!$B$106</c:f>
              <c:strCache>
                <c:ptCount val="1"/>
                <c:pt idx="0">
                  <c:v>Affald, bionedbrydeligt</c:v>
                </c:pt>
              </c:strCache>
            </c:strRef>
          </c:tx>
          <c:spPr>
            <a:solidFill>
              <a:schemeClr val="accent1"/>
            </a:solidFill>
            <a:ln>
              <a:noFill/>
            </a:ln>
            <a:effectLst/>
          </c:spPr>
          <c:invertIfNegative val="0"/>
          <c:cat>
            <c:numRef>
              <c:f>'Grafer-energi'!$C$97:$E$97</c:f>
              <c:numCache>
                <c:formatCode>General</c:formatCode>
                <c:ptCount val="3"/>
                <c:pt idx="0">
                  <c:v>1990</c:v>
                </c:pt>
                <c:pt idx="1">
                  <c:v>2018</c:v>
                </c:pt>
                <c:pt idx="2">
                  <c:v>2020</c:v>
                </c:pt>
              </c:numCache>
            </c:numRef>
          </c:cat>
          <c:val>
            <c:numRef>
              <c:f>'Grafer-energi'!$C$106:$E$106</c:f>
              <c:numCache>
                <c:formatCode>#,##0</c:formatCode>
                <c:ptCount val="3"/>
                <c:pt idx="0">
                  <c:v>0</c:v>
                </c:pt>
                <c:pt idx="1">
                  <c:v>0</c:v>
                </c:pt>
                <c:pt idx="2">
                  <c:v>0</c:v>
                </c:pt>
              </c:numCache>
            </c:numRef>
          </c:val>
          <c:extLst>
            <c:ext xmlns:c16="http://schemas.microsoft.com/office/drawing/2014/chart" uri="{C3380CC4-5D6E-409C-BE32-E72D297353CC}">
              <c16:uniqueId val="{00000000-3810-4230-AA3B-B63604EA7509}"/>
            </c:ext>
          </c:extLst>
        </c:ser>
        <c:ser>
          <c:idx val="1"/>
          <c:order val="1"/>
          <c:tx>
            <c:strRef>
              <c:f>'Grafer-energi'!$B$107</c:f>
              <c:strCache>
                <c:ptCount val="1"/>
                <c:pt idx="0">
                  <c:v>Biomasse</c:v>
                </c:pt>
              </c:strCache>
            </c:strRef>
          </c:tx>
          <c:spPr>
            <a:solidFill>
              <a:schemeClr val="accent3"/>
            </a:solidFill>
            <a:ln>
              <a:noFill/>
            </a:ln>
            <a:effectLst/>
          </c:spPr>
          <c:invertIfNegative val="0"/>
          <c:cat>
            <c:numRef>
              <c:f>'Grafer-energi'!$C$97:$E$97</c:f>
              <c:numCache>
                <c:formatCode>General</c:formatCode>
                <c:ptCount val="3"/>
                <c:pt idx="0">
                  <c:v>1990</c:v>
                </c:pt>
                <c:pt idx="1">
                  <c:v>2018</c:v>
                </c:pt>
                <c:pt idx="2">
                  <c:v>2020</c:v>
                </c:pt>
              </c:numCache>
            </c:numRef>
          </c:cat>
          <c:val>
            <c:numRef>
              <c:f>'Grafer-energi'!$C$107:$E$107</c:f>
              <c:numCache>
                <c:formatCode>#,##0</c:formatCode>
                <c:ptCount val="3"/>
                <c:pt idx="0">
                  <c:v>24.96</c:v>
                </c:pt>
                <c:pt idx="1">
                  <c:v>70.261969999999991</c:v>
                </c:pt>
                <c:pt idx="2">
                  <c:v>112.97598000000001</c:v>
                </c:pt>
              </c:numCache>
            </c:numRef>
          </c:val>
          <c:extLst>
            <c:ext xmlns:c16="http://schemas.microsoft.com/office/drawing/2014/chart" uri="{C3380CC4-5D6E-409C-BE32-E72D297353CC}">
              <c16:uniqueId val="{00000001-3810-4230-AA3B-B63604EA7509}"/>
            </c:ext>
          </c:extLst>
        </c:ser>
        <c:ser>
          <c:idx val="2"/>
          <c:order val="2"/>
          <c:tx>
            <c:strRef>
              <c:f>'Grafer-energi'!$B$108</c:f>
              <c:strCache>
                <c:ptCount val="1"/>
                <c:pt idx="0">
                  <c:v>Vindenergi</c:v>
                </c:pt>
              </c:strCache>
            </c:strRef>
          </c:tx>
          <c:spPr>
            <a:solidFill>
              <a:schemeClr val="accent5"/>
            </a:solidFill>
            <a:ln>
              <a:noFill/>
            </a:ln>
            <a:effectLst/>
          </c:spPr>
          <c:invertIfNegative val="0"/>
          <c:cat>
            <c:numRef>
              <c:f>'Grafer-energi'!$C$97:$E$97</c:f>
              <c:numCache>
                <c:formatCode>General</c:formatCode>
                <c:ptCount val="3"/>
                <c:pt idx="0">
                  <c:v>1990</c:v>
                </c:pt>
                <c:pt idx="1">
                  <c:v>2018</c:v>
                </c:pt>
                <c:pt idx="2">
                  <c:v>2020</c:v>
                </c:pt>
              </c:numCache>
            </c:numRef>
          </c:cat>
          <c:val>
            <c:numRef>
              <c:f>'Grafer-energi'!$C$108:$E$108</c:f>
              <c:numCache>
                <c:formatCode>#,##0</c:formatCode>
                <c:ptCount val="3"/>
                <c:pt idx="0">
                  <c:v>1.7762934374999999</c:v>
                </c:pt>
                <c:pt idx="1">
                  <c:v>0.5</c:v>
                </c:pt>
                <c:pt idx="2">
                  <c:v>0.78</c:v>
                </c:pt>
              </c:numCache>
            </c:numRef>
          </c:val>
          <c:extLst>
            <c:ext xmlns:c16="http://schemas.microsoft.com/office/drawing/2014/chart" uri="{C3380CC4-5D6E-409C-BE32-E72D297353CC}">
              <c16:uniqueId val="{00000002-3810-4230-AA3B-B63604EA7509}"/>
            </c:ext>
          </c:extLst>
        </c:ser>
        <c:ser>
          <c:idx val="3"/>
          <c:order val="3"/>
          <c:tx>
            <c:strRef>
              <c:f>'Grafer-energi'!$B$109</c:f>
              <c:strCache>
                <c:ptCount val="1"/>
                <c:pt idx="0">
                  <c:v>Biogas</c:v>
                </c:pt>
              </c:strCache>
            </c:strRef>
          </c:tx>
          <c:spPr>
            <a:solidFill>
              <a:schemeClr val="accent1">
                <a:lumMod val="60000"/>
              </a:schemeClr>
            </a:solidFill>
            <a:ln>
              <a:noFill/>
            </a:ln>
            <a:effectLst/>
          </c:spPr>
          <c:invertIfNegative val="0"/>
          <c:cat>
            <c:numRef>
              <c:f>'Grafer-energi'!$C$97:$E$97</c:f>
              <c:numCache>
                <c:formatCode>General</c:formatCode>
                <c:ptCount val="3"/>
                <c:pt idx="0">
                  <c:v>1990</c:v>
                </c:pt>
                <c:pt idx="1">
                  <c:v>2018</c:v>
                </c:pt>
                <c:pt idx="2">
                  <c:v>2020</c:v>
                </c:pt>
              </c:numCache>
            </c:numRef>
          </c:cat>
          <c:val>
            <c:numRef>
              <c:f>'Grafer-energi'!$C$109:$E$109</c:f>
              <c:numCache>
                <c:formatCode>#,##0</c:formatCode>
                <c:ptCount val="3"/>
                <c:pt idx="0">
                  <c:v>0</c:v>
                </c:pt>
                <c:pt idx="1">
                  <c:v>0</c:v>
                </c:pt>
                <c:pt idx="2">
                  <c:v>0</c:v>
                </c:pt>
              </c:numCache>
            </c:numRef>
          </c:val>
          <c:extLst>
            <c:ext xmlns:c16="http://schemas.microsoft.com/office/drawing/2014/chart" uri="{C3380CC4-5D6E-409C-BE32-E72D297353CC}">
              <c16:uniqueId val="{00000003-3810-4230-AA3B-B63604EA7509}"/>
            </c:ext>
          </c:extLst>
        </c:ser>
        <c:ser>
          <c:idx val="4"/>
          <c:order val="4"/>
          <c:tx>
            <c:strRef>
              <c:f>'Grafer-energi'!$B$110</c:f>
              <c:strCache>
                <c:ptCount val="1"/>
                <c:pt idx="0">
                  <c:v>Solenergi</c:v>
                </c:pt>
              </c:strCache>
            </c:strRef>
          </c:tx>
          <c:spPr>
            <a:solidFill>
              <a:schemeClr val="accent3">
                <a:lumMod val="60000"/>
              </a:schemeClr>
            </a:solidFill>
            <a:ln>
              <a:noFill/>
            </a:ln>
            <a:effectLst/>
          </c:spPr>
          <c:invertIfNegative val="0"/>
          <c:cat>
            <c:numRef>
              <c:f>'Grafer-energi'!$C$97:$E$97</c:f>
              <c:numCache>
                <c:formatCode>General</c:formatCode>
                <c:ptCount val="3"/>
                <c:pt idx="0">
                  <c:v>1990</c:v>
                </c:pt>
                <c:pt idx="1">
                  <c:v>2018</c:v>
                </c:pt>
                <c:pt idx="2">
                  <c:v>2020</c:v>
                </c:pt>
              </c:numCache>
            </c:numRef>
          </c:cat>
          <c:val>
            <c:numRef>
              <c:f>'Grafer-energi'!$C$110:$E$110</c:f>
              <c:numCache>
                <c:formatCode>#,##0</c:formatCode>
                <c:ptCount val="3"/>
                <c:pt idx="0">
                  <c:v>9.0274497405664747E-2</c:v>
                </c:pt>
                <c:pt idx="1">
                  <c:v>19.05</c:v>
                </c:pt>
                <c:pt idx="2">
                  <c:v>27.1</c:v>
                </c:pt>
              </c:numCache>
            </c:numRef>
          </c:val>
          <c:extLst>
            <c:ext xmlns:c16="http://schemas.microsoft.com/office/drawing/2014/chart" uri="{C3380CC4-5D6E-409C-BE32-E72D297353CC}">
              <c16:uniqueId val="{00000004-3810-4230-AA3B-B63604EA7509}"/>
            </c:ext>
          </c:extLst>
        </c:ser>
        <c:ser>
          <c:idx val="5"/>
          <c:order val="5"/>
          <c:tx>
            <c:strRef>
              <c:f>'Grafer-energi'!$B$111</c:f>
              <c:strCache>
                <c:ptCount val="1"/>
                <c:pt idx="0">
                  <c:v>Jordvarme, geotermi, vandkraft mm.</c:v>
                </c:pt>
              </c:strCache>
            </c:strRef>
          </c:tx>
          <c:spPr>
            <a:solidFill>
              <a:schemeClr val="accent5">
                <a:lumMod val="60000"/>
              </a:schemeClr>
            </a:solidFill>
            <a:ln>
              <a:noFill/>
            </a:ln>
            <a:effectLst/>
          </c:spPr>
          <c:invertIfNegative val="0"/>
          <c:cat>
            <c:numRef>
              <c:f>'Grafer-energi'!$C$97:$E$97</c:f>
              <c:numCache>
                <c:formatCode>General</c:formatCode>
                <c:ptCount val="3"/>
                <c:pt idx="0">
                  <c:v>1990</c:v>
                </c:pt>
                <c:pt idx="1">
                  <c:v>2018</c:v>
                </c:pt>
                <c:pt idx="2">
                  <c:v>2020</c:v>
                </c:pt>
              </c:numCache>
            </c:numRef>
          </c:cat>
          <c:val>
            <c:numRef>
              <c:f>'Grafer-energi'!$C$111:$E$111</c:f>
              <c:numCache>
                <c:formatCode>#,##0</c:formatCode>
                <c:ptCount val="3"/>
                <c:pt idx="0">
                  <c:v>0</c:v>
                </c:pt>
                <c:pt idx="1">
                  <c:v>1.1000000000000001</c:v>
                </c:pt>
                <c:pt idx="2">
                  <c:v>1.1200000000000001</c:v>
                </c:pt>
              </c:numCache>
            </c:numRef>
          </c:val>
          <c:extLst>
            <c:ext xmlns:c16="http://schemas.microsoft.com/office/drawing/2014/chart" uri="{C3380CC4-5D6E-409C-BE32-E72D297353CC}">
              <c16:uniqueId val="{00000005-3810-4230-AA3B-B63604EA7509}"/>
            </c:ext>
          </c:extLst>
        </c:ser>
        <c:dLbls>
          <c:showLegendKey val="0"/>
          <c:showVal val="0"/>
          <c:showCatName val="0"/>
          <c:showSerName val="0"/>
          <c:showPercent val="0"/>
          <c:showBubbleSize val="0"/>
        </c:dLbls>
        <c:gapWidth val="150"/>
        <c:overlap val="100"/>
        <c:axId val="422226520"/>
        <c:axId val="422224168"/>
      </c:barChart>
      <c:catAx>
        <c:axId val="42222652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b" anchorCtr="0"/>
          <a:lstStyle/>
          <a:p>
            <a:pPr>
              <a:defRPr sz="1000" b="0" i="0" u="none" strike="noStrike" kern="1200" baseline="0">
                <a:solidFill>
                  <a:srgbClr val="000000"/>
                </a:solidFill>
                <a:latin typeface="Calibri"/>
                <a:ea typeface="Calibri"/>
                <a:cs typeface="Calibri"/>
              </a:defRPr>
            </a:pPr>
            <a:endParaRPr lang="da-DK"/>
          </a:p>
        </c:txPr>
        <c:crossAx val="422224168"/>
        <c:crosses val="autoZero"/>
        <c:auto val="1"/>
        <c:lblAlgn val="ctr"/>
        <c:lblOffset val="100"/>
        <c:noMultiLvlLbl val="0"/>
      </c:catAx>
      <c:valAx>
        <c:axId val="42222416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r>
                  <a:rPr lang="da-DK"/>
                  <a:t>TJ/år</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endParaRPr lang="da-DK"/>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422226520"/>
        <c:crosses val="autoZero"/>
        <c:crossBetween val="between"/>
      </c:valAx>
      <c:spPr>
        <a:solidFill>
          <a:schemeClr val="bg1"/>
        </a:solidFill>
        <a:ln>
          <a:noFill/>
        </a:ln>
        <a:effectLst/>
      </c:spPr>
    </c:plotArea>
    <c:legend>
      <c:legendPos val="r"/>
      <c:layout>
        <c:manualLayout>
          <c:xMode val="edge"/>
          <c:yMode val="edge"/>
          <c:x val="0.77402543399643708"/>
          <c:y val="0.28301228981102056"/>
          <c:w val="0.2250587183448915"/>
          <c:h val="0.38113742302431691"/>
        </c:manualLayout>
      </c:layout>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1" l="0.70000000000000062" r="0.70000000000000062" t="0.7500000000000111"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'Grafer-energi'!$C$1009</c:f>
              <c:strCache>
                <c:ptCount val="1"/>
                <c:pt idx="0">
                  <c:v>1990</c:v>
                </c:pt>
              </c:strCache>
            </c:strRef>
          </c:tx>
          <c:spPr>
            <a:solidFill>
              <a:schemeClr val="accent1"/>
            </a:solidFill>
            <a:ln>
              <a:noFill/>
            </a:ln>
            <a:effectLst/>
          </c:spPr>
          <c:invertIfNegative val="0"/>
          <c:cat>
            <c:strRef>
              <c:f>'Grafer-energi'!$B$1010:$B$1018</c:f>
              <c:strCache>
                <c:ptCount val="9"/>
                <c:pt idx="0">
                  <c:v>Fjernvarme</c:v>
                </c:pt>
                <c:pt idx="1">
                  <c:v>Naturgasfyr</c:v>
                </c:pt>
                <c:pt idx="2">
                  <c:v>Oliefyr</c:v>
                </c:pt>
                <c:pt idx="3">
                  <c:v>Træpille- og stokerfyr</c:v>
                </c:pt>
                <c:pt idx="4">
                  <c:v>Brændekedel og -ovn</c:v>
                </c:pt>
                <c:pt idx="5">
                  <c:v>Halmfyr</c:v>
                </c:pt>
                <c:pt idx="6">
                  <c:v>Elvarme</c:v>
                </c:pt>
                <c:pt idx="7">
                  <c:v>Individuelle varmepumper</c:v>
                </c:pt>
                <c:pt idx="8">
                  <c:v>Individuel solvarme</c:v>
                </c:pt>
              </c:strCache>
            </c:strRef>
          </c:cat>
          <c:val>
            <c:numRef>
              <c:f>'Grafer-energi'!$C$1010:$C$1018</c:f>
              <c:numCache>
                <c:formatCode>#,##0</c:formatCode>
                <c:ptCount val="9"/>
                <c:pt idx="0">
                  <c:v>0</c:v>
                </c:pt>
                <c:pt idx="1">
                  <c:v>0</c:v>
                </c:pt>
                <c:pt idx="2">
                  <c:v>75.096000000000004</c:v>
                </c:pt>
                <c:pt idx="3">
                  <c:v>3.7500000000000006E-2</c:v>
                </c:pt>
                <c:pt idx="4">
                  <c:v>6.6495000000000006</c:v>
                </c:pt>
                <c:pt idx="5">
                  <c:v>1.3845000000000001</c:v>
                </c:pt>
                <c:pt idx="6">
                  <c:v>10.95923280207955</c:v>
                </c:pt>
                <c:pt idx="7">
                  <c:v>0</c:v>
                </c:pt>
                <c:pt idx="8">
                  <c:v>9.0274497405664747E-2</c:v>
                </c:pt>
              </c:numCache>
            </c:numRef>
          </c:val>
          <c:extLst>
            <c:ext xmlns:c16="http://schemas.microsoft.com/office/drawing/2014/chart" uri="{C3380CC4-5D6E-409C-BE32-E72D297353CC}">
              <c16:uniqueId val="{00000000-8425-495C-AE1A-C736F301088B}"/>
            </c:ext>
          </c:extLst>
        </c:ser>
        <c:ser>
          <c:idx val="3"/>
          <c:order val="1"/>
          <c:tx>
            <c:strRef>
              <c:f>'Grafer-energi'!$D$1009</c:f>
              <c:strCache>
                <c:ptCount val="1"/>
                <c:pt idx="0">
                  <c:v>2018</c:v>
                </c:pt>
              </c:strCache>
            </c:strRef>
          </c:tx>
          <c:spPr>
            <a:solidFill>
              <a:schemeClr val="accent1">
                <a:lumMod val="60000"/>
              </a:schemeClr>
            </a:solidFill>
            <a:ln>
              <a:noFill/>
            </a:ln>
            <a:effectLst/>
          </c:spPr>
          <c:invertIfNegative val="0"/>
          <c:cat>
            <c:strRef>
              <c:f>'Grafer-energi'!$B$1010:$B$1018</c:f>
              <c:strCache>
                <c:ptCount val="9"/>
                <c:pt idx="0">
                  <c:v>Fjernvarme</c:v>
                </c:pt>
                <c:pt idx="1">
                  <c:v>Naturgasfyr</c:v>
                </c:pt>
                <c:pt idx="2">
                  <c:v>Oliefyr</c:v>
                </c:pt>
                <c:pt idx="3">
                  <c:v>Træpille- og stokerfyr</c:v>
                </c:pt>
                <c:pt idx="4">
                  <c:v>Brændekedel og -ovn</c:v>
                </c:pt>
                <c:pt idx="5">
                  <c:v>Halmfyr</c:v>
                </c:pt>
                <c:pt idx="6">
                  <c:v>Elvarme</c:v>
                </c:pt>
                <c:pt idx="7">
                  <c:v>Individuelle varmepumper</c:v>
                </c:pt>
                <c:pt idx="8">
                  <c:v>Individuel solvarme</c:v>
                </c:pt>
              </c:strCache>
            </c:strRef>
          </c:cat>
          <c:val>
            <c:numRef>
              <c:f>'Grafer-energi'!$D$1010:$D$1018</c:f>
              <c:numCache>
                <c:formatCode>#,##0</c:formatCode>
                <c:ptCount val="9"/>
                <c:pt idx="0">
                  <c:v>16.288500000000006</c:v>
                </c:pt>
                <c:pt idx="1">
                  <c:v>0</c:v>
                </c:pt>
                <c:pt idx="2">
                  <c:v>19.8</c:v>
                </c:pt>
                <c:pt idx="3">
                  <c:v>4.2750000000000004</c:v>
                </c:pt>
                <c:pt idx="4">
                  <c:v>19.168499999999998</c:v>
                </c:pt>
                <c:pt idx="5">
                  <c:v>0.79300000000000004</c:v>
                </c:pt>
                <c:pt idx="6">
                  <c:v>5.8822222222222216</c:v>
                </c:pt>
                <c:pt idx="7">
                  <c:v>1.65</c:v>
                </c:pt>
                <c:pt idx="8">
                  <c:v>0.91</c:v>
                </c:pt>
              </c:numCache>
            </c:numRef>
          </c:val>
          <c:extLst>
            <c:ext xmlns:c16="http://schemas.microsoft.com/office/drawing/2014/chart" uri="{C3380CC4-5D6E-409C-BE32-E72D297353CC}">
              <c16:uniqueId val="{00000001-8425-495C-AE1A-C736F301088B}"/>
            </c:ext>
          </c:extLst>
        </c:ser>
        <c:ser>
          <c:idx val="1"/>
          <c:order val="2"/>
          <c:tx>
            <c:strRef>
              <c:f>'Grafer-energi'!$E$1009</c:f>
              <c:strCache>
                <c:ptCount val="1"/>
                <c:pt idx="0">
                  <c:v>2020</c:v>
                </c:pt>
              </c:strCache>
            </c:strRef>
          </c:tx>
          <c:spPr>
            <a:solidFill>
              <a:schemeClr val="accent3"/>
            </a:solidFill>
            <a:ln>
              <a:noFill/>
            </a:ln>
            <a:effectLst/>
          </c:spPr>
          <c:invertIfNegative val="0"/>
          <c:cat>
            <c:strRef>
              <c:f>'Grafer-energi'!$B$1010:$B$1018</c:f>
              <c:strCache>
                <c:ptCount val="9"/>
                <c:pt idx="0">
                  <c:v>Fjernvarme</c:v>
                </c:pt>
                <c:pt idx="1">
                  <c:v>Naturgasfyr</c:v>
                </c:pt>
                <c:pt idx="2">
                  <c:v>Oliefyr</c:v>
                </c:pt>
                <c:pt idx="3">
                  <c:v>Træpille- og stokerfyr</c:v>
                </c:pt>
                <c:pt idx="4">
                  <c:v>Brændekedel og -ovn</c:v>
                </c:pt>
                <c:pt idx="5">
                  <c:v>Halmfyr</c:v>
                </c:pt>
                <c:pt idx="6">
                  <c:v>Elvarme</c:v>
                </c:pt>
                <c:pt idx="7">
                  <c:v>Individuelle varmepumper</c:v>
                </c:pt>
                <c:pt idx="8">
                  <c:v>Individuel solvarme</c:v>
                </c:pt>
              </c:strCache>
            </c:strRef>
          </c:cat>
          <c:val>
            <c:numRef>
              <c:f>'Grafer-energi'!$E$1010:$E$1018</c:f>
              <c:numCache>
                <c:formatCode>#,##0</c:formatCode>
                <c:ptCount val="9"/>
                <c:pt idx="0">
                  <c:v>15.199067663999999</c:v>
                </c:pt>
                <c:pt idx="1">
                  <c:v>0</c:v>
                </c:pt>
                <c:pt idx="2">
                  <c:v>23.584000000000003</c:v>
                </c:pt>
                <c:pt idx="3">
                  <c:v>13.372499999999999</c:v>
                </c:pt>
                <c:pt idx="4">
                  <c:v>32.331000000000003</c:v>
                </c:pt>
                <c:pt idx="5">
                  <c:v>5.9215</c:v>
                </c:pt>
                <c:pt idx="6">
                  <c:v>5.6099999999999994</c:v>
                </c:pt>
                <c:pt idx="7">
                  <c:v>1.6800000000000002</c:v>
                </c:pt>
                <c:pt idx="8">
                  <c:v>0.94</c:v>
                </c:pt>
              </c:numCache>
            </c:numRef>
          </c:val>
          <c:extLst>
            <c:ext xmlns:c16="http://schemas.microsoft.com/office/drawing/2014/chart" uri="{C3380CC4-5D6E-409C-BE32-E72D297353CC}">
              <c16:uniqueId val="{00000000-70E0-4FF6-AE20-FDCCEF1DBA1E}"/>
            </c:ext>
          </c:extLst>
        </c:ser>
        <c:dLbls>
          <c:showLegendKey val="0"/>
          <c:showVal val="0"/>
          <c:showCatName val="0"/>
          <c:showSerName val="0"/>
          <c:showPercent val="0"/>
          <c:showBubbleSize val="0"/>
        </c:dLbls>
        <c:gapWidth val="150"/>
        <c:axId val="416934520"/>
        <c:axId val="416931776"/>
      </c:barChart>
      <c:catAx>
        <c:axId val="416934520"/>
        <c:scaling>
          <c:orientation val="minMax"/>
        </c:scaling>
        <c:delete val="0"/>
        <c:axPos val="b"/>
        <c:numFmt formatCode="General" sourceLinked="0"/>
        <c:majorTickMark val="out"/>
        <c:minorTickMark val="none"/>
        <c:tickLblPos val="low"/>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da-DK"/>
          </a:p>
        </c:txPr>
        <c:crossAx val="416931776"/>
        <c:crosses val="autoZero"/>
        <c:auto val="1"/>
        <c:lblAlgn val="ctr"/>
        <c:lblOffset val="100"/>
        <c:noMultiLvlLbl val="0"/>
      </c:catAx>
      <c:valAx>
        <c:axId val="416931776"/>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da-DK"/>
                  <a:t>TJ/år</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da-DK"/>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a-DK"/>
          </a:p>
        </c:txPr>
        <c:crossAx val="41693452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solidFill>
            <a:sysClr val="windowText" lastClr="000000"/>
          </a:solidFill>
        </a:defRPr>
      </a:pPr>
      <a:endParaRPr lang="da-DK"/>
    </a:p>
  </c:txPr>
  <c:printSettings>
    <c:headerFooter/>
    <c:pageMargins b="0.75000000000001277" l="0.70000000000000062" r="0.70000000000000062" t="0.75000000000001277"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'Grafer-energi'!$B$1010</c:f>
              <c:strCache>
                <c:ptCount val="1"/>
                <c:pt idx="0">
                  <c:v>Fjernvarme</c:v>
                </c:pt>
              </c:strCache>
            </c:strRef>
          </c:tx>
          <c:spPr>
            <a:solidFill>
              <a:schemeClr val="accent1"/>
            </a:solidFill>
            <a:ln>
              <a:noFill/>
            </a:ln>
            <a:effectLst/>
          </c:spPr>
          <c:invertIfNegative val="0"/>
          <c:cat>
            <c:numRef>
              <c:f>'Grafer-energi'!$C$1009:$E$1009</c:f>
              <c:numCache>
                <c:formatCode>General</c:formatCode>
                <c:ptCount val="3"/>
                <c:pt idx="0">
                  <c:v>1990</c:v>
                </c:pt>
                <c:pt idx="1">
                  <c:v>2018</c:v>
                </c:pt>
                <c:pt idx="2">
                  <c:v>2020</c:v>
                </c:pt>
              </c:numCache>
            </c:numRef>
          </c:cat>
          <c:val>
            <c:numRef>
              <c:f>'Grafer-energi'!$C$1010:$E$1010</c:f>
              <c:numCache>
                <c:formatCode>#,##0</c:formatCode>
                <c:ptCount val="3"/>
                <c:pt idx="0">
                  <c:v>0</c:v>
                </c:pt>
                <c:pt idx="1">
                  <c:v>16.288500000000006</c:v>
                </c:pt>
                <c:pt idx="2">
                  <c:v>15.199067663999999</c:v>
                </c:pt>
              </c:numCache>
            </c:numRef>
          </c:val>
          <c:extLst>
            <c:ext xmlns:c16="http://schemas.microsoft.com/office/drawing/2014/chart" uri="{C3380CC4-5D6E-409C-BE32-E72D297353CC}">
              <c16:uniqueId val="{00000000-46A1-408E-A8D5-3292EF40FB60}"/>
            </c:ext>
          </c:extLst>
        </c:ser>
        <c:ser>
          <c:idx val="1"/>
          <c:order val="1"/>
          <c:tx>
            <c:strRef>
              <c:f>'Grafer-energi'!$B$1011</c:f>
              <c:strCache>
                <c:ptCount val="1"/>
                <c:pt idx="0">
                  <c:v>Naturgasfyr</c:v>
                </c:pt>
              </c:strCache>
            </c:strRef>
          </c:tx>
          <c:spPr>
            <a:solidFill>
              <a:schemeClr val="accent3"/>
            </a:solidFill>
            <a:ln>
              <a:noFill/>
            </a:ln>
            <a:effectLst/>
          </c:spPr>
          <c:invertIfNegative val="0"/>
          <c:cat>
            <c:numRef>
              <c:f>'Grafer-energi'!$C$1009:$E$1009</c:f>
              <c:numCache>
                <c:formatCode>General</c:formatCode>
                <c:ptCount val="3"/>
                <c:pt idx="0">
                  <c:v>1990</c:v>
                </c:pt>
                <c:pt idx="1">
                  <c:v>2018</c:v>
                </c:pt>
                <c:pt idx="2">
                  <c:v>2020</c:v>
                </c:pt>
              </c:numCache>
            </c:numRef>
          </c:cat>
          <c:val>
            <c:numRef>
              <c:f>'Grafer-energi'!$C$1011:$E$1011</c:f>
              <c:numCache>
                <c:formatCode>#,##0</c:formatCode>
                <c:ptCount val="3"/>
                <c:pt idx="0">
                  <c:v>0</c:v>
                </c:pt>
                <c:pt idx="1">
                  <c:v>0</c:v>
                </c:pt>
                <c:pt idx="2">
                  <c:v>0</c:v>
                </c:pt>
              </c:numCache>
            </c:numRef>
          </c:val>
          <c:extLst>
            <c:ext xmlns:c16="http://schemas.microsoft.com/office/drawing/2014/chart" uri="{C3380CC4-5D6E-409C-BE32-E72D297353CC}">
              <c16:uniqueId val="{00000001-46A1-408E-A8D5-3292EF40FB60}"/>
            </c:ext>
          </c:extLst>
        </c:ser>
        <c:ser>
          <c:idx val="2"/>
          <c:order val="2"/>
          <c:tx>
            <c:strRef>
              <c:f>'Grafer-energi'!$B$1012</c:f>
              <c:strCache>
                <c:ptCount val="1"/>
                <c:pt idx="0">
                  <c:v>Oliefyr</c:v>
                </c:pt>
              </c:strCache>
            </c:strRef>
          </c:tx>
          <c:spPr>
            <a:solidFill>
              <a:schemeClr val="accent5"/>
            </a:solidFill>
            <a:ln>
              <a:noFill/>
            </a:ln>
            <a:effectLst/>
          </c:spPr>
          <c:invertIfNegative val="0"/>
          <c:cat>
            <c:numRef>
              <c:f>'Grafer-energi'!$C$1009:$E$1009</c:f>
              <c:numCache>
                <c:formatCode>General</c:formatCode>
                <c:ptCount val="3"/>
                <c:pt idx="0">
                  <c:v>1990</c:v>
                </c:pt>
                <c:pt idx="1">
                  <c:v>2018</c:v>
                </c:pt>
                <c:pt idx="2">
                  <c:v>2020</c:v>
                </c:pt>
              </c:numCache>
            </c:numRef>
          </c:cat>
          <c:val>
            <c:numRef>
              <c:f>'Grafer-energi'!$C$1012:$E$1012</c:f>
              <c:numCache>
                <c:formatCode>#,##0</c:formatCode>
                <c:ptCount val="3"/>
                <c:pt idx="0">
                  <c:v>75.096000000000004</c:v>
                </c:pt>
                <c:pt idx="1">
                  <c:v>19.8</c:v>
                </c:pt>
                <c:pt idx="2">
                  <c:v>23.584000000000003</c:v>
                </c:pt>
              </c:numCache>
            </c:numRef>
          </c:val>
          <c:extLst>
            <c:ext xmlns:c16="http://schemas.microsoft.com/office/drawing/2014/chart" uri="{C3380CC4-5D6E-409C-BE32-E72D297353CC}">
              <c16:uniqueId val="{00000002-46A1-408E-A8D5-3292EF40FB60}"/>
            </c:ext>
          </c:extLst>
        </c:ser>
        <c:ser>
          <c:idx val="3"/>
          <c:order val="3"/>
          <c:tx>
            <c:strRef>
              <c:f>'Grafer-energi'!$B$1013</c:f>
              <c:strCache>
                <c:ptCount val="1"/>
                <c:pt idx="0">
                  <c:v>Træpille- og stokerfyr</c:v>
                </c:pt>
              </c:strCache>
            </c:strRef>
          </c:tx>
          <c:spPr>
            <a:solidFill>
              <a:schemeClr val="accent1">
                <a:lumMod val="60000"/>
              </a:schemeClr>
            </a:solidFill>
            <a:ln>
              <a:noFill/>
            </a:ln>
            <a:effectLst/>
          </c:spPr>
          <c:invertIfNegative val="0"/>
          <c:cat>
            <c:numRef>
              <c:f>'Grafer-energi'!$C$1009:$E$1009</c:f>
              <c:numCache>
                <c:formatCode>General</c:formatCode>
                <c:ptCount val="3"/>
                <c:pt idx="0">
                  <c:v>1990</c:v>
                </c:pt>
                <c:pt idx="1">
                  <c:v>2018</c:v>
                </c:pt>
                <c:pt idx="2">
                  <c:v>2020</c:v>
                </c:pt>
              </c:numCache>
            </c:numRef>
          </c:cat>
          <c:val>
            <c:numRef>
              <c:f>'Grafer-energi'!$C$1013:$E$1013</c:f>
              <c:numCache>
                <c:formatCode>#,##0</c:formatCode>
                <c:ptCount val="3"/>
                <c:pt idx="0">
                  <c:v>3.7500000000000006E-2</c:v>
                </c:pt>
                <c:pt idx="1">
                  <c:v>4.2750000000000004</c:v>
                </c:pt>
                <c:pt idx="2">
                  <c:v>13.372499999999999</c:v>
                </c:pt>
              </c:numCache>
            </c:numRef>
          </c:val>
          <c:extLst>
            <c:ext xmlns:c16="http://schemas.microsoft.com/office/drawing/2014/chart" uri="{C3380CC4-5D6E-409C-BE32-E72D297353CC}">
              <c16:uniqueId val="{00000003-46A1-408E-A8D5-3292EF40FB60}"/>
            </c:ext>
          </c:extLst>
        </c:ser>
        <c:ser>
          <c:idx val="4"/>
          <c:order val="4"/>
          <c:tx>
            <c:strRef>
              <c:f>'Grafer-energi'!$B$1014</c:f>
              <c:strCache>
                <c:ptCount val="1"/>
                <c:pt idx="0">
                  <c:v>Brændekedel og -ovn</c:v>
                </c:pt>
              </c:strCache>
            </c:strRef>
          </c:tx>
          <c:spPr>
            <a:solidFill>
              <a:schemeClr val="accent3">
                <a:lumMod val="60000"/>
              </a:schemeClr>
            </a:solidFill>
            <a:ln>
              <a:noFill/>
            </a:ln>
            <a:effectLst/>
          </c:spPr>
          <c:invertIfNegative val="0"/>
          <c:cat>
            <c:numRef>
              <c:f>'Grafer-energi'!$C$1009:$E$1009</c:f>
              <c:numCache>
                <c:formatCode>General</c:formatCode>
                <c:ptCount val="3"/>
                <c:pt idx="0">
                  <c:v>1990</c:v>
                </c:pt>
                <c:pt idx="1">
                  <c:v>2018</c:v>
                </c:pt>
                <c:pt idx="2">
                  <c:v>2020</c:v>
                </c:pt>
              </c:numCache>
            </c:numRef>
          </c:cat>
          <c:val>
            <c:numRef>
              <c:f>'Grafer-energi'!$C$1014:$E$1014</c:f>
              <c:numCache>
                <c:formatCode>#,##0</c:formatCode>
                <c:ptCount val="3"/>
                <c:pt idx="0">
                  <c:v>6.6495000000000006</c:v>
                </c:pt>
                <c:pt idx="1">
                  <c:v>19.168499999999998</c:v>
                </c:pt>
                <c:pt idx="2">
                  <c:v>32.331000000000003</c:v>
                </c:pt>
              </c:numCache>
            </c:numRef>
          </c:val>
          <c:extLst>
            <c:ext xmlns:c16="http://schemas.microsoft.com/office/drawing/2014/chart" uri="{C3380CC4-5D6E-409C-BE32-E72D297353CC}">
              <c16:uniqueId val="{00000004-46A1-408E-A8D5-3292EF40FB60}"/>
            </c:ext>
          </c:extLst>
        </c:ser>
        <c:ser>
          <c:idx val="5"/>
          <c:order val="5"/>
          <c:tx>
            <c:strRef>
              <c:f>'Grafer-energi'!$B$1015</c:f>
              <c:strCache>
                <c:ptCount val="1"/>
                <c:pt idx="0">
                  <c:v>Halmfyr</c:v>
                </c:pt>
              </c:strCache>
            </c:strRef>
          </c:tx>
          <c:spPr>
            <a:solidFill>
              <a:schemeClr val="accent5">
                <a:lumMod val="60000"/>
              </a:schemeClr>
            </a:solidFill>
            <a:ln>
              <a:noFill/>
            </a:ln>
            <a:effectLst/>
          </c:spPr>
          <c:invertIfNegative val="0"/>
          <c:cat>
            <c:numRef>
              <c:f>'Grafer-energi'!$C$1009:$E$1009</c:f>
              <c:numCache>
                <c:formatCode>General</c:formatCode>
                <c:ptCount val="3"/>
                <c:pt idx="0">
                  <c:v>1990</c:v>
                </c:pt>
                <c:pt idx="1">
                  <c:v>2018</c:v>
                </c:pt>
                <c:pt idx="2">
                  <c:v>2020</c:v>
                </c:pt>
              </c:numCache>
            </c:numRef>
          </c:cat>
          <c:val>
            <c:numRef>
              <c:f>'Grafer-energi'!$C$1015:$E$1015</c:f>
              <c:numCache>
                <c:formatCode>#,##0</c:formatCode>
                <c:ptCount val="3"/>
                <c:pt idx="0">
                  <c:v>1.3845000000000001</c:v>
                </c:pt>
                <c:pt idx="1">
                  <c:v>0.79300000000000004</c:v>
                </c:pt>
                <c:pt idx="2">
                  <c:v>5.9215</c:v>
                </c:pt>
              </c:numCache>
            </c:numRef>
          </c:val>
          <c:extLst>
            <c:ext xmlns:c16="http://schemas.microsoft.com/office/drawing/2014/chart" uri="{C3380CC4-5D6E-409C-BE32-E72D297353CC}">
              <c16:uniqueId val="{00000005-46A1-408E-A8D5-3292EF40FB60}"/>
            </c:ext>
          </c:extLst>
        </c:ser>
        <c:ser>
          <c:idx val="6"/>
          <c:order val="6"/>
          <c:tx>
            <c:strRef>
              <c:f>'Grafer-energi'!$B$1016</c:f>
              <c:strCache>
                <c:ptCount val="1"/>
                <c:pt idx="0">
                  <c:v>Elvarme</c:v>
                </c:pt>
              </c:strCache>
            </c:strRef>
          </c:tx>
          <c:spPr>
            <a:solidFill>
              <a:schemeClr val="accent1">
                <a:lumMod val="80000"/>
                <a:lumOff val="20000"/>
              </a:schemeClr>
            </a:solidFill>
            <a:ln>
              <a:noFill/>
            </a:ln>
            <a:effectLst/>
          </c:spPr>
          <c:invertIfNegative val="0"/>
          <c:cat>
            <c:numRef>
              <c:f>'Grafer-energi'!$C$1009:$E$1009</c:f>
              <c:numCache>
                <c:formatCode>General</c:formatCode>
                <c:ptCount val="3"/>
                <c:pt idx="0">
                  <c:v>1990</c:v>
                </c:pt>
                <c:pt idx="1">
                  <c:v>2018</c:v>
                </c:pt>
                <c:pt idx="2">
                  <c:v>2020</c:v>
                </c:pt>
              </c:numCache>
            </c:numRef>
          </c:cat>
          <c:val>
            <c:numRef>
              <c:f>'Grafer-energi'!$C$1016:$E$1016</c:f>
              <c:numCache>
                <c:formatCode>#,##0</c:formatCode>
                <c:ptCount val="3"/>
                <c:pt idx="0">
                  <c:v>10.95923280207955</c:v>
                </c:pt>
                <c:pt idx="1">
                  <c:v>5.8822222222222216</c:v>
                </c:pt>
                <c:pt idx="2">
                  <c:v>5.6099999999999994</c:v>
                </c:pt>
              </c:numCache>
            </c:numRef>
          </c:val>
          <c:extLst>
            <c:ext xmlns:c16="http://schemas.microsoft.com/office/drawing/2014/chart" uri="{C3380CC4-5D6E-409C-BE32-E72D297353CC}">
              <c16:uniqueId val="{00000006-46A1-408E-A8D5-3292EF40FB60}"/>
            </c:ext>
          </c:extLst>
        </c:ser>
        <c:ser>
          <c:idx val="7"/>
          <c:order val="7"/>
          <c:tx>
            <c:strRef>
              <c:f>'Grafer-energi'!$B$1017</c:f>
              <c:strCache>
                <c:ptCount val="1"/>
                <c:pt idx="0">
                  <c:v>Individuelle varmepumper</c:v>
                </c:pt>
              </c:strCache>
            </c:strRef>
          </c:tx>
          <c:spPr>
            <a:solidFill>
              <a:schemeClr val="accent3">
                <a:lumMod val="80000"/>
                <a:lumOff val="20000"/>
              </a:schemeClr>
            </a:solidFill>
            <a:ln>
              <a:noFill/>
            </a:ln>
            <a:effectLst/>
          </c:spPr>
          <c:invertIfNegative val="0"/>
          <c:cat>
            <c:numRef>
              <c:f>'Grafer-energi'!$C$1009:$E$1009</c:f>
              <c:numCache>
                <c:formatCode>General</c:formatCode>
                <c:ptCount val="3"/>
                <c:pt idx="0">
                  <c:v>1990</c:v>
                </c:pt>
                <c:pt idx="1">
                  <c:v>2018</c:v>
                </c:pt>
                <c:pt idx="2">
                  <c:v>2020</c:v>
                </c:pt>
              </c:numCache>
            </c:numRef>
          </c:cat>
          <c:val>
            <c:numRef>
              <c:f>'Grafer-energi'!$C$1017:$E$1017</c:f>
              <c:numCache>
                <c:formatCode>#,##0</c:formatCode>
                <c:ptCount val="3"/>
                <c:pt idx="0">
                  <c:v>0</c:v>
                </c:pt>
                <c:pt idx="1">
                  <c:v>1.65</c:v>
                </c:pt>
                <c:pt idx="2">
                  <c:v>1.6800000000000002</c:v>
                </c:pt>
              </c:numCache>
            </c:numRef>
          </c:val>
          <c:extLst>
            <c:ext xmlns:c16="http://schemas.microsoft.com/office/drawing/2014/chart" uri="{C3380CC4-5D6E-409C-BE32-E72D297353CC}">
              <c16:uniqueId val="{00000007-46A1-408E-A8D5-3292EF40FB60}"/>
            </c:ext>
          </c:extLst>
        </c:ser>
        <c:ser>
          <c:idx val="8"/>
          <c:order val="8"/>
          <c:tx>
            <c:strRef>
              <c:f>'Grafer-energi'!$B$1018</c:f>
              <c:strCache>
                <c:ptCount val="1"/>
                <c:pt idx="0">
                  <c:v>Individuel solvarme</c:v>
                </c:pt>
              </c:strCache>
            </c:strRef>
          </c:tx>
          <c:spPr>
            <a:solidFill>
              <a:schemeClr val="accent5">
                <a:lumMod val="80000"/>
                <a:lumOff val="20000"/>
              </a:schemeClr>
            </a:solidFill>
            <a:ln>
              <a:noFill/>
            </a:ln>
            <a:effectLst/>
          </c:spPr>
          <c:invertIfNegative val="0"/>
          <c:cat>
            <c:numRef>
              <c:f>'Grafer-energi'!$C$1009:$E$1009</c:f>
              <c:numCache>
                <c:formatCode>General</c:formatCode>
                <c:ptCount val="3"/>
                <c:pt idx="0">
                  <c:v>1990</c:v>
                </c:pt>
                <c:pt idx="1">
                  <c:v>2018</c:v>
                </c:pt>
                <c:pt idx="2">
                  <c:v>2020</c:v>
                </c:pt>
              </c:numCache>
            </c:numRef>
          </c:cat>
          <c:val>
            <c:numRef>
              <c:f>'Grafer-energi'!$C$1018:$E$1018</c:f>
              <c:numCache>
                <c:formatCode>#,##0</c:formatCode>
                <c:ptCount val="3"/>
                <c:pt idx="0">
                  <c:v>9.0274497405664747E-2</c:v>
                </c:pt>
                <c:pt idx="1">
                  <c:v>0.91</c:v>
                </c:pt>
                <c:pt idx="2">
                  <c:v>0.94</c:v>
                </c:pt>
              </c:numCache>
            </c:numRef>
          </c:val>
          <c:extLst>
            <c:ext xmlns:c16="http://schemas.microsoft.com/office/drawing/2014/chart" uri="{C3380CC4-5D6E-409C-BE32-E72D297353CC}">
              <c16:uniqueId val="{00000008-46A1-408E-A8D5-3292EF40FB60}"/>
            </c:ext>
          </c:extLst>
        </c:ser>
        <c:dLbls>
          <c:showLegendKey val="0"/>
          <c:showVal val="0"/>
          <c:showCatName val="0"/>
          <c:showSerName val="0"/>
          <c:showPercent val="0"/>
          <c:showBubbleSize val="0"/>
        </c:dLbls>
        <c:gapWidth val="150"/>
        <c:overlap val="100"/>
        <c:axId val="416932952"/>
        <c:axId val="416932168"/>
      </c:barChart>
      <c:catAx>
        <c:axId val="416932952"/>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a-DK"/>
          </a:p>
        </c:txPr>
        <c:crossAx val="416932168"/>
        <c:crosses val="autoZero"/>
        <c:auto val="1"/>
        <c:lblAlgn val="ctr"/>
        <c:lblOffset val="100"/>
        <c:noMultiLvlLbl val="0"/>
      </c:catAx>
      <c:valAx>
        <c:axId val="41693216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da-DK"/>
                  <a:t>TJ/år</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da-DK"/>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a-DK"/>
          </a:p>
        </c:txPr>
        <c:crossAx val="41693295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solidFill>
            <a:sysClr val="windowText" lastClr="000000"/>
          </a:solidFill>
        </a:defRPr>
      </a:pPr>
      <a:endParaRPr lang="da-DK"/>
    </a:p>
  </c:txPr>
  <c:printSettings>
    <c:headerFooter/>
    <c:pageMargins b="0.75000000000000278" l="0.70000000000000062" r="0.70000000000000062" t="0.75000000000000278"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da-DK" sz="1400"/>
              <a:t>2018</a:t>
            </a:r>
          </a:p>
        </c:rich>
      </c:tx>
      <c:layout>
        <c:manualLayout>
          <c:xMode val="edge"/>
          <c:yMode val="edge"/>
          <c:x val="0.83239903754939659"/>
          <c:y val="0.18566073386181992"/>
        </c:manualLayout>
      </c:layout>
      <c:overlay val="0"/>
      <c:spPr>
        <a:noFill/>
        <a:ln>
          <a:noFill/>
        </a:ln>
        <a:effectLst/>
      </c:spPr>
    </c:title>
    <c:autoTitleDeleted val="0"/>
    <c:plotArea>
      <c:layout/>
      <c:pieChart>
        <c:varyColors val="1"/>
        <c:ser>
          <c:idx val="0"/>
          <c:order val="0"/>
          <c:tx>
            <c:strRef>
              <c:f>'Grafer-energi'!$C$1009</c:f>
              <c:strCache>
                <c:ptCount val="1"/>
                <c:pt idx="0">
                  <c:v>1990</c:v>
                </c:pt>
              </c:strCache>
            </c:strRef>
          </c:tx>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38-50A5-47CE-BA81-40BAED1DF194}"/>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3A-50A5-47CE-BA81-40BAED1DF194}"/>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3C-50A5-47CE-BA81-40BAED1DF194}"/>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3E-50A5-47CE-BA81-40BAED1DF194}"/>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40-50A5-47CE-BA81-40BAED1DF194}"/>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42-50A5-47CE-BA81-40BAED1DF194}"/>
              </c:ext>
            </c:extLst>
          </c:dPt>
          <c:dPt>
            <c:idx val="6"/>
            <c:bubble3D val="0"/>
            <c:spPr>
              <a:solidFill>
                <a:schemeClr val="accent1">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44-50A5-47CE-BA81-40BAED1DF194}"/>
              </c:ext>
            </c:extLst>
          </c:dPt>
          <c:dPt>
            <c:idx val="7"/>
            <c:bubble3D val="0"/>
            <c:spPr>
              <a:solidFill>
                <a:schemeClr val="accent2">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46-50A5-47CE-BA81-40BAED1DF194}"/>
              </c:ext>
            </c:extLst>
          </c:dPt>
          <c:dPt>
            <c:idx val="8"/>
            <c:bubble3D val="0"/>
            <c:spPr>
              <a:solidFill>
                <a:schemeClr val="accent3">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48-50A5-47CE-BA81-40BAED1DF194}"/>
              </c:ext>
            </c:extLst>
          </c:dPt>
          <c:dPt>
            <c:idx val="9"/>
            <c:bubble3D val="0"/>
            <c:spPr>
              <a:solidFill>
                <a:schemeClr val="accent4">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4A-50A5-47CE-BA81-40BAED1DF194}"/>
              </c:ext>
            </c:extLst>
          </c:dPt>
          <c:dPt>
            <c:idx val="10"/>
            <c:bubble3D val="0"/>
            <c:spPr>
              <a:solidFill>
                <a:schemeClr val="accent5">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4C-50A5-47CE-BA81-40BAED1DF194}"/>
              </c:ext>
            </c:extLst>
          </c:dPt>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da-DK"/>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'Grafer-energi'!$B$1010:$B$1018</c:f>
              <c:strCache>
                <c:ptCount val="9"/>
                <c:pt idx="0">
                  <c:v>Fjernvarme</c:v>
                </c:pt>
                <c:pt idx="1">
                  <c:v>Naturgasfyr</c:v>
                </c:pt>
                <c:pt idx="2">
                  <c:v>Oliefyr</c:v>
                </c:pt>
                <c:pt idx="3">
                  <c:v>Træpille- og stokerfyr</c:v>
                </c:pt>
                <c:pt idx="4">
                  <c:v>Brændekedel og -ovn</c:v>
                </c:pt>
                <c:pt idx="5">
                  <c:v>Halmfyr</c:v>
                </c:pt>
                <c:pt idx="6">
                  <c:v>Elvarme</c:v>
                </c:pt>
                <c:pt idx="7">
                  <c:v>Individuelle varmepumper</c:v>
                </c:pt>
                <c:pt idx="8">
                  <c:v>Individuel solvarme</c:v>
                </c:pt>
              </c:strCache>
            </c:strRef>
          </c:cat>
          <c:val>
            <c:numRef>
              <c:f>'Grafer-energi'!$C$1010:$C$1018</c:f>
              <c:numCache>
                <c:formatCode>#,##0</c:formatCode>
                <c:ptCount val="9"/>
                <c:pt idx="0">
                  <c:v>0</c:v>
                </c:pt>
                <c:pt idx="1">
                  <c:v>0</c:v>
                </c:pt>
                <c:pt idx="2">
                  <c:v>75.096000000000004</c:v>
                </c:pt>
                <c:pt idx="3">
                  <c:v>3.7500000000000006E-2</c:v>
                </c:pt>
                <c:pt idx="4">
                  <c:v>6.6495000000000006</c:v>
                </c:pt>
                <c:pt idx="5">
                  <c:v>1.3845000000000001</c:v>
                </c:pt>
                <c:pt idx="6">
                  <c:v>10.95923280207955</c:v>
                </c:pt>
                <c:pt idx="7">
                  <c:v>0</c:v>
                </c:pt>
                <c:pt idx="8">
                  <c:v>9.0274497405664747E-2</c:v>
                </c:pt>
              </c:numCache>
            </c:numRef>
          </c:val>
          <c:extLst>
            <c:ext xmlns:c16="http://schemas.microsoft.com/office/drawing/2014/chart" uri="{C3380CC4-5D6E-409C-BE32-E72D297353CC}">
              <c16:uniqueId val="{0000004D-50A5-47CE-BA81-40BAED1DF194}"/>
            </c:ext>
          </c:extLst>
        </c:ser>
        <c:ser>
          <c:idx val="1"/>
          <c:order val="1"/>
          <c:tx>
            <c:strRef>
              <c:f>'Grafer-energi'!$D$1009</c:f>
              <c:strCache>
                <c:ptCount val="1"/>
                <c:pt idx="0">
                  <c:v>2018</c:v>
                </c:pt>
              </c:strCache>
            </c:strRef>
          </c:tx>
          <c:dPt>
            <c:idx val="0"/>
            <c:bubble3D val="0"/>
            <c:extLst>
              <c:ext xmlns:c16="http://schemas.microsoft.com/office/drawing/2014/chart" uri="{C3380CC4-5D6E-409C-BE32-E72D297353CC}">
                <c16:uniqueId val="{0000004F-50A5-47CE-BA81-40BAED1DF194}"/>
              </c:ext>
            </c:extLst>
          </c:dPt>
          <c:dPt>
            <c:idx val="1"/>
            <c:bubble3D val="0"/>
            <c:extLst>
              <c:ext xmlns:c16="http://schemas.microsoft.com/office/drawing/2014/chart" uri="{C3380CC4-5D6E-409C-BE32-E72D297353CC}">
                <c16:uniqueId val="{00000050-50A5-47CE-BA81-40BAED1DF194}"/>
              </c:ext>
            </c:extLst>
          </c:dPt>
          <c:dPt>
            <c:idx val="2"/>
            <c:bubble3D val="0"/>
            <c:extLst>
              <c:ext xmlns:c16="http://schemas.microsoft.com/office/drawing/2014/chart" uri="{C3380CC4-5D6E-409C-BE32-E72D297353CC}">
                <c16:uniqueId val="{00000051-50A5-47CE-BA81-40BAED1DF194}"/>
              </c:ext>
            </c:extLst>
          </c:dPt>
          <c:dPt>
            <c:idx val="3"/>
            <c:bubble3D val="0"/>
            <c:extLst>
              <c:ext xmlns:c16="http://schemas.microsoft.com/office/drawing/2014/chart" uri="{C3380CC4-5D6E-409C-BE32-E72D297353CC}">
                <c16:uniqueId val="{00000052-50A5-47CE-BA81-40BAED1DF194}"/>
              </c:ext>
            </c:extLst>
          </c:dPt>
          <c:dPt>
            <c:idx val="4"/>
            <c:bubble3D val="0"/>
            <c:extLst>
              <c:ext xmlns:c16="http://schemas.microsoft.com/office/drawing/2014/chart" uri="{C3380CC4-5D6E-409C-BE32-E72D297353CC}">
                <c16:uniqueId val="{00000053-50A5-47CE-BA81-40BAED1DF194}"/>
              </c:ext>
            </c:extLst>
          </c:dPt>
          <c:dPt>
            <c:idx val="5"/>
            <c:bubble3D val="0"/>
            <c:extLst>
              <c:ext xmlns:c16="http://schemas.microsoft.com/office/drawing/2014/chart" uri="{C3380CC4-5D6E-409C-BE32-E72D297353CC}">
                <c16:uniqueId val="{00000054-50A5-47CE-BA81-40BAED1DF194}"/>
              </c:ext>
            </c:extLst>
          </c:dPt>
          <c:dPt>
            <c:idx val="6"/>
            <c:bubble3D val="0"/>
            <c:extLst>
              <c:ext xmlns:c16="http://schemas.microsoft.com/office/drawing/2014/chart" uri="{C3380CC4-5D6E-409C-BE32-E72D297353CC}">
                <c16:uniqueId val="{00000055-50A5-47CE-BA81-40BAED1DF194}"/>
              </c:ext>
            </c:extLst>
          </c:dPt>
          <c:dPt>
            <c:idx val="7"/>
            <c:bubble3D val="0"/>
            <c:extLst>
              <c:ext xmlns:c16="http://schemas.microsoft.com/office/drawing/2014/chart" uri="{C3380CC4-5D6E-409C-BE32-E72D297353CC}">
                <c16:uniqueId val="{00000056-50A5-47CE-BA81-40BAED1DF194}"/>
              </c:ext>
            </c:extLst>
          </c:dPt>
          <c:dPt>
            <c:idx val="8"/>
            <c:bubble3D val="0"/>
            <c:extLst>
              <c:ext xmlns:c16="http://schemas.microsoft.com/office/drawing/2014/chart" uri="{C3380CC4-5D6E-409C-BE32-E72D297353CC}">
                <c16:uniqueId val="{00000057-50A5-47CE-BA81-40BAED1DF194}"/>
              </c:ext>
            </c:extLst>
          </c:dPt>
          <c:dPt>
            <c:idx val="9"/>
            <c:bubble3D val="0"/>
            <c:extLst>
              <c:ext xmlns:c16="http://schemas.microsoft.com/office/drawing/2014/chart" uri="{C3380CC4-5D6E-409C-BE32-E72D297353CC}">
                <c16:uniqueId val="{00000058-50A5-47CE-BA81-40BAED1DF194}"/>
              </c:ext>
            </c:extLst>
          </c:dPt>
          <c:dPt>
            <c:idx val="10"/>
            <c:bubble3D val="0"/>
            <c:extLst>
              <c:ext xmlns:c16="http://schemas.microsoft.com/office/drawing/2014/chart" uri="{C3380CC4-5D6E-409C-BE32-E72D297353CC}">
                <c16:uniqueId val="{00000059-50A5-47CE-BA81-40BAED1DF194}"/>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'Grafer-energi'!$B$1010:$B$1018</c:f>
              <c:strCache>
                <c:ptCount val="9"/>
                <c:pt idx="0">
                  <c:v>Fjernvarme</c:v>
                </c:pt>
                <c:pt idx="1">
                  <c:v>Naturgasfyr</c:v>
                </c:pt>
                <c:pt idx="2">
                  <c:v>Oliefyr</c:v>
                </c:pt>
                <c:pt idx="3">
                  <c:v>Træpille- og stokerfyr</c:v>
                </c:pt>
                <c:pt idx="4">
                  <c:v>Brændekedel og -ovn</c:v>
                </c:pt>
                <c:pt idx="5">
                  <c:v>Halmfyr</c:v>
                </c:pt>
                <c:pt idx="6">
                  <c:v>Elvarme</c:v>
                </c:pt>
                <c:pt idx="7">
                  <c:v>Individuelle varmepumper</c:v>
                </c:pt>
                <c:pt idx="8">
                  <c:v>Individuel solvarme</c:v>
                </c:pt>
              </c:strCache>
            </c:strRef>
          </c:cat>
          <c:val>
            <c:numRef>
              <c:f>'Grafer-energi'!$D$1010:$D$1018</c:f>
              <c:numCache>
                <c:formatCode>#,##0</c:formatCode>
                <c:ptCount val="9"/>
                <c:pt idx="0">
                  <c:v>16.288500000000006</c:v>
                </c:pt>
                <c:pt idx="1">
                  <c:v>0</c:v>
                </c:pt>
                <c:pt idx="2">
                  <c:v>19.8</c:v>
                </c:pt>
                <c:pt idx="3">
                  <c:v>4.2750000000000004</c:v>
                </c:pt>
                <c:pt idx="4">
                  <c:v>19.168499999999998</c:v>
                </c:pt>
                <c:pt idx="5">
                  <c:v>0.79300000000000004</c:v>
                </c:pt>
                <c:pt idx="6">
                  <c:v>5.8822222222222216</c:v>
                </c:pt>
                <c:pt idx="7">
                  <c:v>1.65</c:v>
                </c:pt>
                <c:pt idx="8">
                  <c:v>0.91</c:v>
                </c:pt>
              </c:numCache>
            </c:numRef>
          </c:val>
          <c:extLst>
            <c:ext xmlns:c16="http://schemas.microsoft.com/office/drawing/2014/chart" uri="{C3380CC4-5D6E-409C-BE32-E72D297353CC}">
              <c16:uniqueId val="{0000005A-50A5-47CE-BA81-40BAED1DF194}"/>
            </c:ext>
          </c:extLst>
        </c:ser>
        <c:ser>
          <c:idx val="2"/>
          <c:order val="2"/>
          <c:tx>
            <c:strRef>
              <c:f>'Grafer-energi'!$E$1009</c:f>
              <c:strCache>
                <c:ptCount val="1"/>
                <c:pt idx="0">
                  <c:v>2020</c:v>
                </c:pt>
              </c:strCache>
            </c:strRef>
          </c:tx>
          <c:dPt>
            <c:idx val="0"/>
            <c:bubble3D val="0"/>
            <c:extLst>
              <c:ext xmlns:c16="http://schemas.microsoft.com/office/drawing/2014/chart" uri="{C3380CC4-5D6E-409C-BE32-E72D297353CC}">
                <c16:uniqueId val="{0000005C-50A5-47CE-BA81-40BAED1DF194}"/>
              </c:ext>
            </c:extLst>
          </c:dPt>
          <c:dPt>
            <c:idx val="1"/>
            <c:bubble3D val="0"/>
            <c:extLst>
              <c:ext xmlns:c16="http://schemas.microsoft.com/office/drawing/2014/chart" uri="{C3380CC4-5D6E-409C-BE32-E72D297353CC}">
                <c16:uniqueId val="{0000005D-50A5-47CE-BA81-40BAED1DF194}"/>
              </c:ext>
            </c:extLst>
          </c:dPt>
          <c:dPt>
            <c:idx val="2"/>
            <c:bubble3D val="0"/>
            <c:extLst>
              <c:ext xmlns:c16="http://schemas.microsoft.com/office/drawing/2014/chart" uri="{C3380CC4-5D6E-409C-BE32-E72D297353CC}">
                <c16:uniqueId val="{0000005E-50A5-47CE-BA81-40BAED1DF194}"/>
              </c:ext>
            </c:extLst>
          </c:dPt>
          <c:dPt>
            <c:idx val="3"/>
            <c:bubble3D val="0"/>
            <c:extLst>
              <c:ext xmlns:c16="http://schemas.microsoft.com/office/drawing/2014/chart" uri="{C3380CC4-5D6E-409C-BE32-E72D297353CC}">
                <c16:uniqueId val="{0000005F-50A5-47CE-BA81-40BAED1DF194}"/>
              </c:ext>
            </c:extLst>
          </c:dPt>
          <c:dPt>
            <c:idx val="4"/>
            <c:bubble3D val="0"/>
            <c:extLst>
              <c:ext xmlns:c16="http://schemas.microsoft.com/office/drawing/2014/chart" uri="{C3380CC4-5D6E-409C-BE32-E72D297353CC}">
                <c16:uniqueId val="{00000060-50A5-47CE-BA81-40BAED1DF194}"/>
              </c:ext>
            </c:extLst>
          </c:dPt>
          <c:dPt>
            <c:idx val="5"/>
            <c:bubble3D val="0"/>
            <c:extLst>
              <c:ext xmlns:c16="http://schemas.microsoft.com/office/drawing/2014/chart" uri="{C3380CC4-5D6E-409C-BE32-E72D297353CC}">
                <c16:uniqueId val="{00000061-50A5-47CE-BA81-40BAED1DF194}"/>
              </c:ext>
            </c:extLst>
          </c:dPt>
          <c:dPt>
            <c:idx val="6"/>
            <c:bubble3D val="0"/>
            <c:extLst>
              <c:ext xmlns:c16="http://schemas.microsoft.com/office/drawing/2014/chart" uri="{C3380CC4-5D6E-409C-BE32-E72D297353CC}">
                <c16:uniqueId val="{00000062-50A5-47CE-BA81-40BAED1DF194}"/>
              </c:ext>
            </c:extLst>
          </c:dPt>
          <c:dPt>
            <c:idx val="7"/>
            <c:bubble3D val="0"/>
            <c:extLst>
              <c:ext xmlns:c16="http://schemas.microsoft.com/office/drawing/2014/chart" uri="{C3380CC4-5D6E-409C-BE32-E72D297353CC}">
                <c16:uniqueId val="{00000063-50A5-47CE-BA81-40BAED1DF194}"/>
              </c:ext>
            </c:extLst>
          </c:dPt>
          <c:dPt>
            <c:idx val="8"/>
            <c:bubble3D val="0"/>
            <c:extLst>
              <c:ext xmlns:c16="http://schemas.microsoft.com/office/drawing/2014/chart" uri="{C3380CC4-5D6E-409C-BE32-E72D297353CC}">
                <c16:uniqueId val="{00000064-50A5-47CE-BA81-40BAED1DF194}"/>
              </c:ext>
            </c:extLst>
          </c:dPt>
          <c:dPt>
            <c:idx val="9"/>
            <c:bubble3D val="0"/>
            <c:extLst>
              <c:ext xmlns:c16="http://schemas.microsoft.com/office/drawing/2014/chart" uri="{C3380CC4-5D6E-409C-BE32-E72D297353CC}">
                <c16:uniqueId val="{00000065-50A5-47CE-BA81-40BAED1DF194}"/>
              </c:ext>
            </c:extLst>
          </c:dPt>
          <c:dPt>
            <c:idx val="10"/>
            <c:bubble3D val="0"/>
            <c:extLst>
              <c:ext xmlns:c16="http://schemas.microsoft.com/office/drawing/2014/chart" uri="{C3380CC4-5D6E-409C-BE32-E72D297353CC}">
                <c16:uniqueId val="{00000066-50A5-47CE-BA81-40BAED1DF194}"/>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'Grafer-energi'!$B$1010:$B$1018</c:f>
              <c:strCache>
                <c:ptCount val="9"/>
                <c:pt idx="0">
                  <c:v>Fjernvarme</c:v>
                </c:pt>
                <c:pt idx="1">
                  <c:v>Naturgasfyr</c:v>
                </c:pt>
                <c:pt idx="2">
                  <c:v>Oliefyr</c:v>
                </c:pt>
                <c:pt idx="3">
                  <c:v>Træpille- og stokerfyr</c:v>
                </c:pt>
                <c:pt idx="4">
                  <c:v>Brændekedel og -ovn</c:v>
                </c:pt>
                <c:pt idx="5">
                  <c:v>Halmfyr</c:v>
                </c:pt>
                <c:pt idx="6">
                  <c:v>Elvarme</c:v>
                </c:pt>
                <c:pt idx="7">
                  <c:v>Individuelle varmepumper</c:v>
                </c:pt>
                <c:pt idx="8">
                  <c:v>Individuel solvarme</c:v>
                </c:pt>
              </c:strCache>
            </c:strRef>
          </c:cat>
          <c:val>
            <c:numRef>
              <c:f>'Grafer-energi'!$E$1010:$E$1018</c:f>
              <c:numCache>
                <c:formatCode>#,##0</c:formatCode>
                <c:ptCount val="9"/>
                <c:pt idx="0">
                  <c:v>15.199067663999999</c:v>
                </c:pt>
                <c:pt idx="1">
                  <c:v>0</c:v>
                </c:pt>
                <c:pt idx="2">
                  <c:v>23.584000000000003</c:v>
                </c:pt>
                <c:pt idx="3">
                  <c:v>13.372499999999999</c:v>
                </c:pt>
                <c:pt idx="4">
                  <c:v>32.331000000000003</c:v>
                </c:pt>
                <c:pt idx="5">
                  <c:v>5.9215</c:v>
                </c:pt>
                <c:pt idx="6">
                  <c:v>5.6099999999999994</c:v>
                </c:pt>
                <c:pt idx="7">
                  <c:v>1.6800000000000002</c:v>
                </c:pt>
                <c:pt idx="8">
                  <c:v>0.94</c:v>
                </c:pt>
              </c:numCache>
            </c:numRef>
          </c:val>
          <c:extLst>
            <c:ext xmlns:c16="http://schemas.microsoft.com/office/drawing/2014/chart" uri="{C3380CC4-5D6E-409C-BE32-E72D297353CC}">
              <c16:uniqueId val="{00000067-50A5-47CE-BA81-40BAED1DF194}"/>
            </c:ext>
          </c:extLst>
        </c:ser>
        <c:dLbls>
          <c:dLblPos val="inEnd"/>
          <c:showLegendKey val="0"/>
          <c:showVal val="0"/>
          <c:showCatName val="0"/>
          <c:showSerName val="0"/>
          <c:showPercent val="1"/>
          <c:showBubbleSize val="0"/>
          <c:showLeaderLines val="1"/>
        </c:dLbls>
        <c:firstSliceAng val="0"/>
      </c:pieChart>
    </c:plotArea>
    <c:legend>
      <c:legendPos val="r"/>
      <c:overlay val="0"/>
      <c:spPr>
        <a:solidFill>
          <a:schemeClr val="lt1">
            <a:alpha val="78000"/>
          </a:schemeClr>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55543437399007"/>
          <c:y val="3.465346534653465E-2"/>
          <c:w val="0.69562757187519919"/>
          <c:h val="0.85396039603960394"/>
        </c:manualLayout>
      </c:layout>
      <c:barChart>
        <c:barDir val="col"/>
        <c:grouping val="stacked"/>
        <c:varyColors val="0"/>
        <c:ser>
          <c:idx val="1"/>
          <c:order val="0"/>
          <c:tx>
            <c:strRef>
              <c:f>'Grafer-energi'!$B$58</c:f>
              <c:strCache>
                <c:ptCount val="1"/>
                <c:pt idx="0">
                  <c:v>VE% Lokal</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'Grafer-energi'!$C$56:$E$56</c:f>
              <c:numCache>
                <c:formatCode>General</c:formatCode>
                <c:ptCount val="3"/>
                <c:pt idx="0">
                  <c:v>1990</c:v>
                </c:pt>
                <c:pt idx="1">
                  <c:v>2018</c:v>
                </c:pt>
                <c:pt idx="2">
                  <c:v>2020</c:v>
                </c:pt>
              </c:numCache>
            </c:numRef>
          </c:cat>
          <c:val>
            <c:numRef>
              <c:f>'Grafer-energi'!$C$58:$E$58</c:f>
              <c:numCache>
                <c:formatCode>_(* #,##0.0_);_(* \(#,##0.0\);_(* "-"??_);_(@_)</c:formatCode>
                <c:ptCount val="3"/>
                <c:pt idx="0">
                  <c:v>10.894308284822692</c:v>
                </c:pt>
                <c:pt idx="1">
                  <c:v>36.546337886305722</c:v>
                </c:pt>
                <c:pt idx="2">
                  <c:v>51.240020180791504</c:v>
                </c:pt>
              </c:numCache>
            </c:numRef>
          </c:val>
          <c:extLst>
            <c:ext xmlns:c16="http://schemas.microsoft.com/office/drawing/2014/chart" uri="{C3380CC4-5D6E-409C-BE32-E72D297353CC}">
              <c16:uniqueId val="{00000000-2CB9-4BF2-A576-43FB6C0A1612}"/>
            </c:ext>
          </c:extLst>
        </c:ser>
        <c:dLbls>
          <c:showLegendKey val="0"/>
          <c:showVal val="1"/>
          <c:showCatName val="0"/>
          <c:showSerName val="0"/>
          <c:showPercent val="0"/>
          <c:showBubbleSize val="0"/>
        </c:dLbls>
        <c:gapWidth val="100"/>
        <c:overlap val="100"/>
        <c:axId val="580035472"/>
        <c:axId val="580032728"/>
      </c:barChart>
      <c:catAx>
        <c:axId val="58003547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580032728"/>
        <c:crosses val="autoZero"/>
        <c:auto val="1"/>
        <c:lblAlgn val="ctr"/>
        <c:lblOffset val="100"/>
        <c:noMultiLvlLbl val="0"/>
      </c:catAx>
      <c:valAx>
        <c:axId val="580032728"/>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VE%</a:t>
                </a:r>
              </a:p>
            </c:rich>
          </c:tx>
          <c:overlay val="0"/>
        </c:title>
        <c:numFmt formatCode="_(* #,##0.0_);_(* \(#,##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580035472"/>
        <c:crosses val="autoZero"/>
        <c:crossBetween val="between"/>
      </c:valAx>
    </c:plotArea>
    <c:legend>
      <c:legendPos val="r"/>
      <c:layout>
        <c:manualLayout>
          <c:xMode val="edge"/>
          <c:yMode val="edge"/>
          <c:x val="0.81012607183899366"/>
          <c:y val="0.38514324616468193"/>
          <c:w val="0.16746677558677256"/>
          <c:h val="0.11517268262259296"/>
        </c:manualLayout>
      </c:layout>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44" l="0.70000000000000062" r="0.70000000000000062" t="0.75000000000001144"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33957579626871"/>
          <c:y val="3.465346534653465E-2"/>
          <c:w val="0.66326540999174488"/>
          <c:h val="0.80950184975490636"/>
        </c:manualLayout>
      </c:layout>
      <c:barChart>
        <c:barDir val="col"/>
        <c:grouping val="stacked"/>
        <c:varyColors val="0"/>
        <c:ser>
          <c:idx val="0"/>
          <c:order val="0"/>
          <c:tx>
            <c:strRef>
              <c:f>'Grafer-energi'!$B$1114</c:f>
              <c:strCache>
                <c:ptCount val="1"/>
                <c:pt idx="0">
                  <c:v>Elforbrug</c:v>
                </c:pt>
              </c:strCache>
            </c:strRef>
          </c:tx>
          <c:spPr>
            <a:solidFill>
              <a:schemeClr val="accent1"/>
            </a:solidFill>
            <a:ln>
              <a:noFill/>
            </a:ln>
            <a:effectLst/>
          </c:spPr>
          <c:invertIfNegative val="0"/>
          <c:cat>
            <c:multiLvlStrRef>
              <c:f>'Grafer-energi'!$C$1112:$F$1113</c:f>
              <c:multiLvlStrCache>
                <c:ptCount val="4"/>
                <c:lvl>
                  <c:pt idx="0">
                    <c:v>2018</c:v>
                  </c:pt>
                  <c:pt idx="1">
                    <c:v>2020</c:v>
                  </c:pt>
                  <c:pt idx="2">
                    <c:v>2018</c:v>
                  </c:pt>
                  <c:pt idx="3">
                    <c:v>2020</c:v>
                  </c:pt>
                </c:lvl>
                <c:lvl>
                  <c:pt idx="0">
                    <c:v>Produktion</c:v>
                  </c:pt>
                  <c:pt idx="2">
                    <c:v>Forbrug</c:v>
                  </c:pt>
                </c:lvl>
              </c:multiLvlStrCache>
            </c:multiLvlStrRef>
          </c:cat>
          <c:val>
            <c:numRef>
              <c:f>'Grafer-energi'!$C$1114:$F$1114</c:f>
              <c:numCache>
                <c:formatCode>#,##0</c:formatCode>
                <c:ptCount val="4"/>
                <c:pt idx="2">
                  <c:v>50.748835412953063</c:v>
                </c:pt>
                <c:pt idx="3">
                  <c:v>50.798348559381594</c:v>
                </c:pt>
              </c:numCache>
            </c:numRef>
          </c:val>
          <c:extLst>
            <c:ext xmlns:c16="http://schemas.microsoft.com/office/drawing/2014/chart" uri="{C3380CC4-5D6E-409C-BE32-E72D297353CC}">
              <c16:uniqueId val="{00000000-CD06-464A-AAAA-BCAE1B5ED6D2}"/>
            </c:ext>
          </c:extLst>
        </c:ser>
        <c:ser>
          <c:idx val="2"/>
          <c:order val="1"/>
          <c:tx>
            <c:strRef>
              <c:f>'Grafer-energi'!$B$1115</c:f>
              <c:strCache>
                <c:ptCount val="1"/>
                <c:pt idx="0">
                  <c:v>Nettab</c:v>
                </c:pt>
              </c:strCache>
            </c:strRef>
          </c:tx>
          <c:spPr>
            <a:solidFill>
              <a:schemeClr val="accent5"/>
            </a:solidFill>
            <a:ln>
              <a:noFill/>
            </a:ln>
            <a:effectLst/>
          </c:spPr>
          <c:invertIfNegative val="0"/>
          <c:cat>
            <c:multiLvlStrRef>
              <c:f>'Grafer-energi'!$C$1112:$F$1113</c:f>
              <c:multiLvlStrCache>
                <c:ptCount val="4"/>
                <c:lvl>
                  <c:pt idx="0">
                    <c:v>2018</c:v>
                  </c:pt>
                  <c:pt idx="1">
                    <c:v>2020</c:v>
                  </c:pt>
                  <c:pt idx="2">
                    <c:v>2018</c:v>
                  </c:pt>
                  <c:pt idx="3">
                    <c:v>2020</c:v>
                  </c:pt>
                </c:lvl>
                <c:lvl>
                  <c:pt idx="0">
                    <c:v>Produktion</c:v>
                  </c:pt>
                  <c:pt idx="2">
                    <c:v>Forbrug</c:v>
                  </c:pt>
                </c:lvl>
              </c:multiLvlStrCache>
            </c:multiLvlStrRef>
          </c:cat>
          <c:val>
            <c:numRef>
              <c:f>'Grafer-energi'!$C$1115:$F$1115</c:f>
              <c:numCache>
                <c:formatCode>#,##0</c:formatCode>
                <c:ptCount val="4"/>
                <c:pt idx="2">
                  <c:v>4.5040228687152055</c:v>
                </c:pt>
                <c:pt idx="3">
                  <c:v>4.366549213863693</c:v>
                </c:pt>
              </c:numCache>
            </c:numRef>
          </c:val>
          <c:extLst>
            <c:ext xmlns:c16="http://schemas.microsoft.com/office/drawing/2014/chart" uri="{C3380CC4-5D6E-409C-BE32-E72D297353CC}">
              <c16:uniqueId val="{00000001-CD06-464A-AAAA-BCAE1B5ED6D2}"/>
            </c:ext>
          </c:extLst>
        </c:ser>
        <c:ser>
          <c:idx val="3"/>
          <c:order val="2"/>
          <c:tx>
            <c:strRef>
              <c:f>'Grafer-energi'!$B$1116</c:f>
              <c:strCache>
                <c:ptCount val="1"/>
                <c:pt idx="0">
                  <c:v>Elforbrug til fjernvarmeprod.</c:v>
                </c:pt>
              </c:strCache>
            </c:strRef>
          </c:tx>
          <c:spPr>
            <a:solidFill>
              <a:schemeClr val="accent1">
                <a:lumMod val="60000"/>
              </a:schemeClr>
            </a:solidFill>
            <a:ln>
              <a:noFill/>
            </a:ln>
            <a:effectLst/>
          </c:spPr>
          <c:invertIfNegative val="0"/>
          <c:cat>
            <c:multiLvlStrRef>
              <c:f>'Grafer-energi'!$C$1112:$F$1113</c:f>
              <c:multiLvlStrCache>
                <c:ptCount val="4"/>
                <c:lvl>
                  <c:pt idx="0">
                    <c:v>2018</c:v>
                  </c:pt>
                  <c:pt idx="1">
                    <c:v>2020</c:v>
                  </c:pt>
                  <c:pt idx="2">
                    <c:v>2018</c:v>
                  </c:pt>
                  <c:pt idx="3">
                    <c:v>2020</c:v>
                  </c:pt>
                </c:lvl>
                <c:lvl>
                  <c:pt idx="0">
                    <c:v>Produktion</c:v>
                  </c:pt>
                  <c:pt idx="2">
                    <c:v>Forbrug</c:v>
                  </c:pt>
                </c:lvl>
              </c:multiLvlStrCache>
            </c:multiLvlStrRef>
          </c:cat>
          <c:val>
            <c:numRef>
              <c:f>'Grafer-energi'!$C$1116:$F$1116</c:f>
              <c:numCache>
                <c:formatCode>#,##0</c:formatCode>
                <c:ptCount val="4"/>
                <c:pt idx="2">
                  <c:v>0</c:v>
                </c:pt>
                <c:pt idx="3">
                  <c:v>0</c:v>
                </c:pt>
              </c:numCache>
            </c:numRef>
          </c:val>
          <c:extLst>
            <c:ext xmlns:c16="http://schemas.microsoft.com/office/drawing/2014/chart" uri="{C3380CC4-5D6E-409C-BE32-E72D297353CC}">
              <c16:uniqueId val="{00000002-CD06-464A-AAAA-BCAE1B5ED6D2}"/>
            </c:ext>
          </c:extLst>
        </c:ser>
        <c:ser>
          <c:idx val="5"/>
          <c:order val="3"/>
          <c:tx>
            <c:strRef>
              <c:f>'Grafer-energi'!$B$1117</c:f>
              <c:strCache>
                <c:ptCount val="1"/>
              </c:strCache>
            </c:strRef>
          </c:tx>
          <c:spPr>
            <a:solidFill>
              <a:schemeClr val="accent5">
                <a:lumMod val="60000"/>
              </a:schemeClr>
            </a:solidFill>
            <a:ln>
              <a:noFill/>
            </a:ln>
            <a:effectLst/>
          </c:spPr>
          <c:invertIfNegative val="0"/>
          <c:cat>
            <c:multiLvlStrRef>
              <c:f>'Grafer-energi'!$C$1112:$F$1113</c:f>
              <c:multiLvlStrCache>
                <c:ptCount val="4"/>
                <c:lvl>
                  <c:pt idx="0">
                    <c:v>2018</c:v>
                  </c:pt>
                  <c:pt idx="1">
                    <c:v>2020</c:v>
                  </c:pt>
                  <c:pt idx="2">
                    <c:v>2018</c:v>
                  </c:pt>
                  <c:pt idx="3">
                    <c:v>2020</c:v>
                  </c:pt>
                </c:lvl>
                <c:lvl>
                  <c:pt idx="0">
                    <c:v>Produktion</c:v>
                  </c:pt>
                  <c:pt idx="2">
                    <c:v>Forbrug</c:v>
                  </c:pt>
                </c:lvl>
              </c:multiLvlStrCache>
            </c:multiLvlStrRef>
          </c:cat>
          <c:val>
            <c:numRef>
              <c:f>'Grafer-energi'!$C$1117:$F$1117</c:f>
              <c:numCache>
                <c:formatCode>#,##0</c:formatCode>
                <c:ptCount val="4"/>
              </c:numCache>
            </c:numRef>
          </c:val>
          <c:extLst>
            <c:ext xmlns:c16="http://schemas.microsoft.com/office/drawing/2014/chart" uri="{C3380CC4-5D6E-409C-BE32-E72D297353CC}">
              <c16:uniqueId val="{00000004-CD06-464A-AAAA-BCAE1B5ED6D2}"/>
            </c:ext>
          </c:extLst>
        </c:ser>
        <c:ser>
          <c:idx val="1"/>
          <c:order val="4"/>
          <c:tx>
            <c:strRef>
              <c:f>'Grafer-energi'!$B$1118</c:f>
              <c:strCache>
                <c:ptCount val="1"/>
                <c:pt idx="0">
                  <c:v>Kraftvarme</c:v>
                </c:pt>
              </c:strCache>
            </c:strRef>
          </c:tx>
          <c:spPr>
            <a:solidFill>
              <a:schemeClr val="accent3"/>
            </a:solidFill>
            <a:ln>
              <a:noFill/>
            </a:ln>
            <a:effectLst/>
          </c:spPr>
          <c:invertIfNegative val="0"/>
          <c:cat>
            <c:multiLvlStrRef>
              <c:f>'Grafer-energi'!$C$1112:$F$1113</c:f>
              <c:multiLvlStrCache>
                <c:ptCount val="4"/>
                <c:lvl>
                  <c:pt idx="0">
                    <c:v>2018</c:v>
                  </c:pt>
                  <c:pt idx="1">
                    <c:v>2020</c:v>
                  </c:pt>
                  <c:pt idx="2">
                    <c:v>2018</c:v>
                  </c:pt>
                  <c:pt idx="3">
                    <c:v>2020</c:v>
                  </c:pt>
                </c:lvl>
                <c:lvl>
                  <c:pt idx="0">
                    <c:v>Produktion</c:v>
                  </c:pt>
                  <c:pt idx="2">
                    <c:v>Forbrug</c:v>
                  </c:pt>
                </c:lvl>
              </c:multiLvlStrCache>
            </c:multiLvlStrRef>
          </c:cat>
          <c:val>
            <c:numRef>
              <c:f>'Grafer-energi'!$C$1118:$F$1118</c:f>
              <c:numCache>
                <c:formatCode>#,##0</c:formatCode>
                <c:ptCount val="4"/>
                <c:pt idx="0">
                  <c:v>0</c:v>
                </c:pt>
                <c:pt idx="1">
                  <c:v>0</c:v>
                </c:pt>
              </c:numCache>
            </c:numRef>
          </c:val>
          <c:extLst>
            <c:ext xmlns:c16="http://schemas.microsoft.com/office/drawing/2014/chart" uri="{C3380CC4-5D6E-409C-BE32-E72D297353CC}">
              <c16:uniqueId val="{00000005-CD06-464A-AAAA-BCAE1B5ED6D2}"/>
            </c:ext>
          </c:extLst>
        </c:ser>
        <c:ser>
          <c:idx val="4"/>
          <c:order val="5"/>
          <c:tx>
            <c:strRef>
              <c:f>'Grafer-energi'!$B$1119</c:f>
              <c:strCache>
                <c:ptCount val="1"/>
                <c:pt idx="0">
                  <c:v>Vindkraft, land</c:v>
                </c:pt>
              </c:strCache>
            </c:strRef>
          </c:tx>
          <c:spPr>
            <a:solidFill>
              <a:schemeClr val="accent3">
                <a:lumMod val="60000"/>
              </a:schemeClr>
            </a:solidFill>
            <a:ln>
              <a:noFill/>
            </a:ln>
            <a:effectLst/>
          </c:spPr>
          <c:invertIfNegative val="0"/>
          <c:cat>
            <c:multiLvlStrRef>
              <c:f>'Grafer-energi'!$C$1112:$F$1113</c:f>
              <c:multiLvlStrCache>
                <c:ptCount val="4"/>
                <c:lvl>
                  <c:pt idx="0">
                    <c:v>2018</c:v>
                  </c:pt>
                  <c:pt idx="1">
                    <c:v>2020</c:v>
                  </c:pt>
                  <c:pt idx="2">
                    <c:v>2018</c:v>
                  </c:pt>
                  <c:pt idx="3">
                    <c:v>2020</c:v>
                  </c:pt>
                </c:lvl>
                <c:lvl>
                  <c:pt idx="0">
                    <c:v>Produktion</c:v>
                  </c:pt>
                  <c:pt idx="2">
                    <c:v>Forbrug</c:v>
                  </c:pt>
                </c:lvl>
              </c:multiLvlStrCache>
            </c:multiLvlStrRef>
          </c:cat>
          <c:val>
            <c:numRef>
              <c:f>'Grafer-energi'!$C$1119:$F$1119</c:f>
              <c:numCache>
                <c:formatCode>#,##0</c:formatCode>
                <c:ptCount val="4"/>
                <c:pt idx="0">
                  <c:v>0.5</c:v>
                </c:pt>
                <c:pt idx="1">
                  <c:v>0.78</c:v>
                </c:pt>
              </c:numCache>
            </c:numRef>
          </c:val>
          <c:extLst>
            <c:ext xmlns:c16="http://schemas.microsoft.com/office/drawing/2014/chart" uri="{C3380CC4-5D6E-409C-BE32-E72D297353CC}">
              <c16:uniqueId val="{00000006-CD06-464A-AAAA-BCAE1B5ED6D2}"/>
            </c:ext>
          </c:extLst>
        </c:ser>
        <c:ser>
          <c:idx val="6"/>
          <c:order val="6"/>
          <c:tx>
            <c:strRef>
              <c:f>'Grafer-energi'!$B$1120</c:f>
              <c:strCache>
                <c:ptCount val="1"/>
                <c:pt idx="0">
                  <c:v>Vindkraft, kystnære</c:v>
                </c:pt>
              </c:strCache>
            </c:strRef>
          </c:tx>
          <c:spPr>
            <a:solidFill>
              <a:schemeClr val="accent1">
                <a:lumMod val="80000"/>
                <a:lumOff val="20000"/>
              </a:schemeClr>
            </a:solidFill>
            <a:ln>
              <a:noFill/>
            </a:ln>
            <a:effectLst/>
          </c:spPr>
          <c:invertIfNegative val="0"/>
          <c:cat>
            <c:multiLvlStrRef>
              <c:f>'Grafer-energi'!$C$1112:$F$1113</c:f>
              <c:multiLvlStrCache>
                <c:ptCount val="4"/>
                <c:lvl>
                  <c:pt idx="0">
                    <c:v>2018</c:v>
                  </c:pt>
                  <c:pt idx="1">
                    <c:v>2020</c:v>
                  </c:pt>
                  <c:pt idx="2">
                    <c:v>2018</c:v>
                  </c:pt>
                  <c:pt idx="3">
                    <c:v>2020</c:v>
                  </c:pt>
                </c:lvl>
                <c:lvl>
                  <c:pt idx="0">
                    <c:v>Produktion</c:v>
                  </c:pt>
                  <c:pt idx="2">
                    <c:v>Forbrug</c:v>
                  </c:pt>
                </c:lvl>
              </c:multiLvlStrCache>
            </c:multiLvlStrRef>
          </c:cat>
          <c:val>
            <c:numRef>
              <c:f>'Grafer-energi'!$C$1120:$F$1120</c:f>
              <c:numCache>
                <c:formatCode>#,##0</c:formatCode>
                <c:ptCount val="4"/>
                <c:pt idx="0">
                  <c:v>0</c:v>
                </c:pt>
                <c:pt idx="1">
                  <c:v>0</c:v>
                </c:pt>
              </c:numCache>
            </c:numRef>
          </c:val>
          <c:extLst>
            <c:ext xmlns:c16="http://schemas.microsoft.com/office/drawing/2014/chart" uri="{C3380CC4-5D6E-409C-BE32-E72D297353CC}">
              <c16:uniqueId val="{00000007-CD06-464A-AAAA-BCAE1B5ED6D2}"/>
            </c:ext>
          </c:extLst>
        </c:ser>
        <c:ser>
          <c:idx val="7"/>
          <c:order val="7"/>
          <c:tx>
            <c:strRef>
              <c:f>'Grafer-energi'!$B$1121</c:f>
              <c:strCache>
                <c:ptCount val="1"/>
                <c:pt idx="0">
                  <c:v>Solcelleanlæg, vandkraft mv.</c:v>
                </c:pt>
              </c:strCache>
            </c:strRef>
          </c:tx>
          <c:spPr>
            <a:solidFill>
              <a:schemeClr val="accent3">
                <a:lumMod val="80000"/>
                <a:lumOff val="20000"/>
              </a:schemeClr>
            </a:solidFill>
            <a:ln>
              <a:noFill/>
            </a:ln>
            <a:effectLst/>
          </c:spPr>
          <c:invertIfNegative val="0"/>
          <c:cat>
            <c:multiLvlStrRef>
              <c:f>'Grafer-energi'!$C$1112:$F$1113</c:f>
              <c:multiLvlStrCache>
                <c:ptCount val="4"/>
                <c:lvl>
                  <c:pt idx="0">
                    <c:v>2018</c:v>
                  </c:pt>
                  <c:pt idx="1">
                    <c:v>2020</c:v>
                  </c:pt>
                  <c:pt idx="2">
                    <c:v>2018</c:v>
                  </c:pt>
                  <c:pt idx="3">
                    <c:v>2020</c:v>
                  </c:pt>
                </c:lvl>
                <c:lvl>
                  <c:pt idx="0">
                    <c:v>Produktion</c:v>
                  </c:pt>
                  <c:pt idx="2">
                    <c:v>Forbrug</c:v>
                  </c:pt>
                </c:lvl>
              </c:multiLvlStrCache>
            </c:multiLvlStrRef>
          </c:cat>
          <c:val>
            <c:numRef>
              <c:f>'Grafer-energi'!$C$1121:$F$1121</c:f>
              <c:numCache>
                <c:formatCode>#,##0</c:formatCode>
                <c:ptCount val="4"/>
                <c:pt idx="0">
                  <c:v>18.14</c:v>
                </c:pt>
                <c:pt idx="1">
                  <c:v>26.16</c:v>
                </c:pt>
              </c:numCache>
            </c:numRef>
          </c:val>
          <c:extLst>
            <c:ext xmlns:c16="http://schemas.microsoft.com/office/drawing/2014/chart" uri="{C3380CC4-5D6E-409C-BE32-E72D297353CC}">
              <c16:uniqueId val="{00000008-CD06-464A-AAAA-BCAE1B5ED6D2}"/>
            </c:ext>
          </c:extLst>
        </c:ser>
        <c:ser>
          <c:idx val="8"/>
          <c:order val="8"/>
          <c:tx>
            <c:strRef>
              <c:f>'Grafer-energi'!$B$1122</c:f>
              <c:strCache>
                <c:ptCount val="1"/>
                <c:pt idx="0">
                  <c:v>El-import</c:v>
                </c:pt>
              </c:strCache>
            </c:strRef>
          </c:tx>
          <c:spPr>
            <a:solidFill>
              <a:schemeClr val="accent5">
                <a:lumMod val="80000"/>
                <a:lumOff val="20000"/>
              </a:schemeClr>
            </a:solidFill>
            <a:ln>
              <a:noFill/>
            </a:ln>
            <a:effectLst/>
          </c:spPr>
          <c:invertIfNegative val="0"/>
          <c:cat>
            <c:multiLvlStrRef>
              <c:f>'Grafer-energi'!$C$1112:$F$1113</c:f>
              <c:multiLvlStrCache>
                <c:ptCount val="4"/>
                <c:lvl>
                  <c:pt idx="0">
                    <c:v>2018</c:v>
                  </c:pt>
                  <c:pt idx="1">
                    <c:v>2020</c:v>
                  </c:pt>
                  <c:pt idx="2">
                    <c:v>2018</c:v>
                  </c:pt>
                  <c:pt idx="3">
                    <c:v>2020</c:v>
                  </c:pt>
                </c:lvl>
                <c:lvl>
                  <c:pt idx="0">
                    <c:v>Produktion</c:v>
                  </c:pt>
                  <c:pt idx="2">
                    <c:v>Forbrug</c:v>
                  </c:pt>
                </c:lvl>
              </c:multiLvlStrCache>
            </c:multiLvlStrRef>
          </c:cat>
          <c:val>
            <c:numRef>
              <c:f>'Grafer-energi'!$C$1122:$F$1122</c:f>
              <c:numCache>
                <c:formatCode>#,##0</c:formatCode>
                <c:ptCount val="4"/>
                <c:pt idx="0">
                  <c:v>36.624084278714058</c:v>
                </c:pt>
                <c:pt idx="1">
                  <c:v>28.262897773245289</c:v>
                </c:pt>
              </c:numCache>
            </c:numRef>
          </c:val>
          <c:extLst>
            <c:ext xmlns:c16="http://schemas.microsoft.com/office/drawing/2014/chart" uri="{C3380CC4-5D6E-409C-BE32-E72D297353CC}">
              <c16:uniqueId val="{00000000-BA63-41FD-8B24-4EFCD33A73ED}"/>
            </c:ext>
          </c:extLst>
        </c:ser>
        <c:dLbls>
          <c:showLegendKey val="0"/>
          <c:showVal val="0"/>
          <c:showCatName val="0"/>
          <c:showSerName val="0"/>
          <c:showPercent val="0"/>
          <c:showBubbleSize val="0"/>
        </c:dLbls>
        <c:gapWidth val="150"/>
        <c:overlap val="100"/>
        <c:axId val="687054424"/>
        <c:axId val="687050896"/>
      </c:barChart>
      <c:catAx>
        <c:axId val="687054424"/>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687050896"/>
        <c:crosses val="autoZero"/>
        <c:auto val="1"/>
        <c:lblAlgn val="ctr"/>
        <c:lblOffset val="100"/>
        <c:noMultiLvlLbl val="0"/>
      </c:catAx>
      <c:valAx>
        <c:axId val="687050896"/>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r>
                  <a:rPr lang="da-DK"/>
                  <a:t>TJ/ år</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endParaRPr lang="da-DK"/>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68705442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277" l="0.70000000000000062" r="0.70000000000000062" t="0.75000000000001277"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33957579626871"/>
          <c:y val="3.465346534653465E-2"/>
          <c:w val="0.59008484074624901"/>
          <c:h val="0.82005342609519616"/>
        </c:manualLayout>
      </c:layout>
      <c:barChart>
        <c:barDir val="col"/>
        <c:grouping val="stacked"/>
        <c:varyColors val="0"/>
        <c:ser>
          <c:idx val="6"/>
          <c:order val="0"/>
          <c:tx>
            <c:strRef>
              <c:f>'Grafer-energi'!$B$1158</c:f>
              <c:strCache>
                <c:ptCount val="1"/>
                <c:pt idx="0">
                  <c:v>Elforbrug</c:v>
                </c:pt>
              </c:strCache>
            </c:strRef>
          </c:tx>
          <c:spPr>
            <a:solidFill>
              <a:schemeClr val="accent1">
                <a:lumMod val="80000"/>
                <a:lumOff val="20000"/>
              </a:schemeClr>
            </a:solidFill>
            <a:ln>
              <a:noFill/>
            </a:ln>
            <a:effectLst/>
          </c:spPr>
          <c:invertIfNegative val="0"/>
          <c:cat>
            <c:multiLvlStrRef>
              <c:f>'Grafer-energi'!$C$1156:$F$1157</c:f>
              <c:multiLvlStrCache>
                <c:ptCount val="4"/>
                <c:lvl>
                  <c:pt idx="0">
                    <c:v>2018</c:v>
                  </c:pt>
                  <c:pt idx="1">
                    <c:v>2020</c:v>
                  </c:pt>
                  <c:pt idx="2">
                    <c:v>2018</c:v>
                  </c:pt>
                  <c:pt idx="3">
                    <c:v>2020</c:v>
                  </c:pt>
                </c:lvl>
                <c:lvl>
                  <c:pt idx="0">
                    <c:v>Produktion</c:v>
                  </c:pt>
                  <c:pt idx="2">
                    <c:v>Forbrug</c:v>
                  </c:pt>
                </c:lvl>
              </c:multiLvlStrCache>
            </c:multiLvlStrRef>
          </c:cat>
          <c:val>
            <c:numRef>
              <c:f>'Grafer-energi'!$C$1158:$F$1158</c:f>
              <c:numCache>
                <c:formatCode>#,##0</c:formatCode>
                <c:ptCount val="4"/>
                <c:pt idx="2">
                  <c:v>50.760061409998855</c:v>
                </c:pt>
                <c:pt idx="3">
                  <c:v>50.836348559381598</c:v>
                </c:pt>
              </c:numCache>
            </c:numRef>
          </c:val>
          <c:extLst>
            <c:ext xmlns:c16="http://schemas.microsoft.com/office/drawing/2014/chart" uri="{C3380CC4-5D6E-409C-BE32-E72D297353CC}">
              <c16:uniqueId val="{00000000-BB1A-4FE7-9554-033A4362B87A}"/>
            </c:ext>
          </c:extLst>
        </c:ser>
        <c:ser>
          <c:idx val="0"/>
          <c:order val="1"/>
          <c:tx>
            <c:strRef>
              <c:f>'Grafer-energi'!$B$1159</c:f>
              <c:strCache>
                <c:ptCount val="1"/>
                <c:pt idx="0">
                  <c:v>Nettab</c:v>
                </c:pt>
              </c:strCache>
            </c:strRef>
          </c:tx>
          <c:spPr>
            <a:solidFill>
              <a:schemeClr val="accent1"/>
            </a:solidFill>
            <a:ln>
              <a:noFill/>
            </a:ln>
            <a:effectLst/>
          </c:spPr>
          <c:invertIfNegative val="0"/>
          <c:cat>
            <c:multiLvlStrRef>
              <c:f>'Grafer-energi'!$C$1156:$F$1157</c:f>
              <c:multiLvlStrCache>
                <c:ptCount val="4"/>
                <c:lvl>
                  <c:pt idx="0">
                    <c:v>2018</c:v>
                  </c:pt>
                  <c:pt idx="1">
                    <c:v>2020</c:v>
                  </c:pt>
                  <c:pt idx="2">
                    <c:v>2018</c:v>
                  </c:pt>
                  <c:pt idx="3">
                    <c:v>2020</c:v>
                  </c:pt>
                </c:lvl>
                <c:lvl>
                  <c:pt idx="0">
                    <c:v>Produktion</c:v>
                  </c:pt>
                  <c:pt idx="2">
                    <c:v>Forbrug</c:v>
                  </c:pt>
                </c:lvl>
              </c:multiLvlStrCache>
            </c:multiLvlStrRef>
          </c:cat>
          <c:val>
            <c:numRef>
              <c:f>'Grafer-energi'!$C$1159:$F$1159</c:f>
              <c:numCache>
                <c:formatCode>#,##0</c:formatCode>
                <c:ptCount val="4"/>
                <c:pt idx="2">
                  <c:v>4.5040228687152055</c:v>
                </c:pt>
                <c:pt idx="3">
                  <c:v>4.366549213863693</c:v>
                </c:pt>
              </c:numCache>
            </c:numRef>
          </c:val>
          <c:extLst>
            <c:ext xmlns:c16="http://schemas.microsoft.com/office/drawing/2014/chart" uri="{C3380CC4-5D6E-409C-BE32-E72D297353CC}">
              <c16:uniqueId val="{00000000-6575-462C-AC66-C8E19374BBA1}"/>
            </c:ext>
          </c:extLst>
        </c:ser>
        <c:ser>
          <c:idx val="1"/>
          <c:order val="2"/>
          <c:tx>
            <c:strRef>
              <c:f>'Grafer-energi'!$B$1160</c:f>
              <c:strCache>
                <c:ptCount val="1"/>
                <c:pt idx="0">
                  <c:v>Elforbrug til fjernvarmeprod.</c:v>
                </c:pt>
              </c:strCache>
            </c:strRef>
          </c:tx>
          <c:spPr>
            <a:solidFill>
              <a:schemeClr val="accent3"/>
            </a:solidFill>
            <a:ln>
              <a:noFill/>
            </a:ln>
            <a:effectLst/>
          </c:spPr>
          <c:invertIfNegative val="0"/>
          <c:cat>
            <c:multiLvlStrRef>
              <c:f>'Grafer-energi'!$C$1156:$F$1157</c:f>
              <c:multiLvlStrCache>
                <c:ptCount val="4"/>
                <c:lvl>
                  <c:pt idx="0">
                    <c:v>2018</c:v>
                  </c:pt>
                  <c:pt idx="1">
                    <c:v>2020</c:v>
                  </c:pt>
                  <c:pt idx="2">
                    <c:v>2018</c:v>
                  </c:pt>
                  <c:pt idx="3">
                    <c:v>2020</c:v>
                  </c:pt>
                </c:lvl>
                <c:lvl>
                  <c:pt idx="0">
                    <c:v>Produktion</c:v>
                  </c:pt>
                  <c:pt idx="2">
                    <c:v>Forbrug</c:v>
                  </c:pt>
                </c:lvl>
              </c:multiLvlStrCache>
            </c:multiLvlStrRef>
          </c:cat>
          <c:val>
            <c:numRef>
              <c:f>'Grafer-energi'!$C$1160:$F$1160</c:f>
              <c:numCache>
                <c:formatCode>#,##0</c:formatCode>
                <c:ptCount val="4"/>
                <c:pt idx="2">
                  <c:v>0</c:v>
                </c:pt>
                <c:pt idx="3">
                  <c:v>0</c:v>
                </c:pt>
              </c:numCache>
            </c:numRef>
          </c:val>
          <c:extLst>
            <c:ext xmlns:c16="http://schemas.microsoft.com/office/drawing/2014/chart" uri="{C3380CC4-5D6E-409C-BE32-E72D297353CC}">
              <c16:uniqueId val="{00000001-6575-462C-AC66-C8E19374BBA1}"/>
            </c:ext>
          </c:extLst>
        </c:ser>
        <c:ser>
          <c:idx val="2"/>
          <c:order val="3"/>
          <c:tx>
            <c:strRef>
              <c:f>'Grafer-energi'!$B$1161</c:f>
              <c:strCache>
                <c:ptCount val="1"/>
              </c:strCache>
            </c:strRef>
          </c:tx>
          <c:spPr>
            <a:solidFill>
              <a:schemeClr val="accent5"/>
            </a:solidFill>
            <a:ln>
              <a:noFill/>
            </a:ln>
            <a:effectLst/>
          </c:spPr>
          <c:invertIfNegative val="0"/>
          <c:cat>
            <c:multiLvlStrRef>
              <c:f>'Grafer-energi'!$C$1156:$F$1157</c:f>
              <c:multiLvlStrCache>
                <c:ptCount val="4"/>
                <c:lvl>
                  <c:pt idx="0">
                    <c:v>2018</c:v>
                  </c:pt>
                  <c:pt idx="1">
                    <c:v>2020</c:v>
                  </c:pt>
                  <c:pt idx="2">
                    <c:v>2018</c:v>
                  </c:pt>
                  <c:pt idx="3">
                    <c:v>2020</c:v>
                  </c:pt>
                </c:lvl>
                <c:lvl>
                  <c:pt idx="0">
                    <c:v>Produktion</c:v>
                  </c:pt>
                  <c:pt idx="2">
                    <c:v>Forbrug</c:v>
                  </c:pt>
                </c:lvl>
              </c:multiLvlStrCache>
            </c:multiLvlStrRef>
          </c:cat>
          <c:val>
            <c:numRef>
              <c:f>'Grafer-energi'!$C$1161:$F$1161</c:f>
              <c:numCache>
                <c:formatCode>#,##0</c:formatCode>
                <c:ptCount val="4"/>
              </c:numCache>
            </c:numRef>
          </c:val>
          <c:extLst>
            <c:ext xmlns:c16="http://schemas.microsoft.com/office/drawing/2014/chart" uri="{C3380CC4-5D6E-409C-BE32-E72D297353CC}">
              <c16:uniqueId val="{00000002-6575-462C-AC66-C8E19374BBA1}"/>
            </c:ext>
          </c:extLst>
        </c:ser>
        <c:ser>
          <c:idx val="3"/>
          <c:order val="4"/>
          <c:tx>
            <c:strRef>
              <c:f>'Grafer-energi'!$B$1162</c:f>
              <c:strCache>
                <c:ptCount val="1"/>
                <c:pt idx="0">
                  <c:v>Brændselsolie/diesel</c:v>
                </c:pt>
              </c:strCache>
            </c:strRef>
          </c:tx>
          <c:spPr>
            <a:solidFill>
              <a:schemeClr val="accent1">
                <a:lumMod val="60000"/>
              </a:schemeClr>
            </a:solidFill>
            <a:ln>
              <a:noFill/>
            </a:ln>
            <a:effectLst/>
          </c:spPr>
          <c:invertIfNegative val="0"/>
          <c:cat>
            <c:multiLvlStrRef>
              <c:f>'Grafer-energi'!$C$1156:$F$1157</c:f>
              <c:multiLvlStrCache>
                <c:ptCount val="4"/>
                <c:lvl>
                  <c:pt idx="0">
                    <c:v>2018</c:v>
                  </c:pt>
                  <c:pt idx="1">
                    <c:v>2020</c:v>
                  </c:pt>
                  <c:pt idx="2">
                    <c:v>2018</c:v>
                  </c:pt>
                  <c:pt idx="3">
                    <c:v>2020</c:v>
                  </c:pt>
                </c:lvl>
                <c:lvl>
                  <c:pt idx="0">
                    <c:v>Produktion</c:v>
                  </c:pt>
                  <c:pt idx="2">
                    <c:v>Forbrug</c:v>
                  </c:pt>
                </c:lvl>
              </c:multiLvlStrCache>
            </c:multiLvlStrRef>
          </c:cat>
          <c:val>
            <c:numRef>
              <c:f>'Grafer-energi'!$C$1162:$F$1162</c:f>
              <c:numCache>
                <c:formatCode>#,##0</c:formatCode>
                <c:ptCount val="4"/>
                <c:pt idx="0">
                  <c:v>0.49800000000000011</c:v>
                </c:pt>
                <c:pt idx="1">
                  <c:v>0.78686783999999987</c:v>
                </c:pt>
              </c:numCache>
            </c:numRef>
          </c:val>
          <c:extLst>
            <c:ext xmlns:c16="http://schemas.microsoft.com/office/drawing/2014/chart" uri="{C3380CC4-5D6E-409C-BE32-E72D297353CC}">
              <c16:uniqueId val="{00000003-6575-462C-AC66-C8E19374BBA1}"/>
            </c:ext>
          </c:extLst>
        </c:ser>
        <c:ser>
          <c:idx val="4"/>
          <c:order val="5"/>
          <c:tx>
            <c:strRef>
              <c:f>'Grafer-energi'!$B$1163</c:f>
              <c:strCache>
                <c:ptCount val="1"/>
                <c:pt idx="0">
                  <c:v>Kul</c:v>
                </c:pt>
              </c:strCache>
            </c:strRef>
          </c:tx>
          <c:spPr>
            <a:solidFill>
              <a:schemeClr val="accent3">
                <a:lumMod val="60000"/>
              </a:schemeClr>
            </a:solidFill>
            <a:ln>
              <a:noFill/>
            </a:ln>
            <a:effectLst/>
          </c:spPr>
          <c:invertIfNegative val="0"/>
          <c:cat>
            <c:multiLvlStrRef>
              <c:f>'Grafer-energi'!$C$1156:$F$1157</c:f>
              <c:multiLvlStrCache>
                <c:ptCount val="4"/>
                <c:lvl>
                  <c:pt idx="0">
                    <c:v>2018</c:v>
                  </c:pt>
                  <c:pt idx="1">
                    <c:v>2020</c:v>
                  </c:pt>
                  <c:pt idx="2">
                    <c:v>2018</c:v>
                  </c:pt>
                  <c:pt idx="3">
                    <c:v>2020</c:v>
                  </c:pt>
                </c:lvl>
                <c:lvl>
                  <c:pt idx="0">
                    <c:v>Produktion</c:v>
                  </c:pt>
                  <c:pt idx="2">
                    <c:v>Forbrug</c:v>
                  </c:pt>
                </c:lvl>
              </c:multiLvlStrCache>
            </c:multiLvlStrRef>
          </c:cat>
          <c:val>
            <c:numRef>
              <c:f>'Grafer-energi'!$C$1163:$F$1163</c:f>
              <c:numCache>
                <c:formatCode>#,##0</c:formatCode>
                <c:ptCount val="4"/>
                <c:pt idx="0">
                  <c:v>0</c:v>
                </c:pt>
                <c:pt idx="1">
                  <c:v>0</c:v>
                </c:pt>
              </c:numCache>
            </c:numRef>
          </c:val>
          <c:extLst>
            <c:ext xmlns:c16="http://schemas.microsoft.com/office/drawing/2014/chart" uri="{C3380CC4-5D6E-409C-BE32-E72D297353CC}">
              <c16:uniqueId val="{00000004-6575-462C-AC66-C8E19374BBA1}"/>
            </c:ext>
          </c:extLst>
        </c:ser>
        <c:ser>
          <c:idx val="5"/>
          <c:order val="6"/>
          <c:tx>
            <c:strRef>
              <c:f>'Grafer-energi'!$B$1164</c:f>
              <c:strCache>
                <c:ptCount val="1"/>
                <c:pt idx="0">
                  <c:v>Fuelolie</c:v>
                </c:pt>
              </c:strCache>
            </c:strRef>
          </c:tx>
          <c:spPr>
            <a:solidFill>
              <a:schemeClr val="accent5">
                <a:lumMod val="60000"/>
              </a:schemeClr>
            </a:solidFill>
            <a:ln>
              <a:noFill/>
            </a:ln>
            <a:effectLst/>
          </c:spPr>
          <c:invertIfNegative val="0"/>
          <c:cat>
            <c:multiLvlStrRef>
              <c:f>'Grafer-energi'!$C$1156:$F$1157</c:f>
              <c:multiLvlStrCache>
                <c:ptCount val="4"/>
                <c:lvl>
                  <c:pt idx="0">
                    <c:v>2018</c:v>
                  </c:pt>
                  <c:pt idx="1">
                    <c:v>2020</c:v>
                  </c:pt>
                  <c:pt idx="2">
                    <c:v>2018</c:v>
                  </c:pt>
                  <c:pt idx="3">
                    <c:v>2020</c:v>
                  </c:pt>
                </c:lvl>
                <c:lvl>
                  <c:pt idx="0">
                    <c:v>Produktion</c:v>
                  </c:pt>
                  <c:pt idx="2">
                    <c:v>Forbrug</c:v>
                  </c:pt>
                </c:lvl>
              </c:multiLvlStrCache>
            </c:multiLvlStrRef>
          </c:cat>
          <c:val>
            <c:numRef>
              <c:f>'Grafer-energi'!$C$1164:$F$1164</c:f>
              <c:numCache>
                <c:formatCode>#,##0</c:formatCode>
                <c:ptCount val="4"/>
                <c:pt idx="0">
                  <c:v>0</c:v>
                </c:pt>
                <c:pt idx="1">
                  <c:v>0</c:v>
                </c:pt>
              </c:numCache>
            </c:numRef>
          </c:val>
          <c:extLst>
            <c:ext xmlns:c16="http://schemas.microsoft.com/office/drawing/2014/chart" uri="{C3380CC4-5D6E-409C-BE32-E72D297353CC}">
              <c16:uniqueId val="{00000005-6575-462C-AC66-C8E19374BBA1}"/>
            </c:ext>
          </c:extLst>
        </c:ser>
        <c:ser>
          <c:idx val="7"/>
          <c:order val="7"/>
          <c:tx>
            <c:strRef>
              <c:f>'Grafer-energi'!$B$1165</c:f>
              <c:strCache>
                <c:ptCount val="1"/>
                <c:pt idx="0">
                  <c:v>Naturgas</c:v>
                </c:pt>
              </c:strCache>
            </c:strRef>
          </c:tx>
          <c:spPr>
            <a:solidFill>
              <a:schemeClr val="accent3">
                <a:lumMod val="80000"/>
                <a:lumOff val="20000"/>
              </a:schemeClr>
            </a:solidFill>
            <a:ln>
              <a:noFill/>
            </a:ln>
            <a:effectLst/>
          </c:spPr>
          <c:invertIfNegative val="0"/>
          <c:cat>
            <c:multiLvlStrRef>
              <c:f>'Grafer-energi'!$C$1156:$F$1157</c:f>
              <c:multiLvlStrCache>
                <c:ptCount val="4"/>
                <c:lvl>
                  <c:pt idx="0">
                    <c:v>2018</c:v>
                  </c:pt>
                  <c:pt idx="1">
                    <c:v>2020</c:v>
                  </c:pt>
                  <c:pt idx="2">
                    <c:v>2018</c:v>
                  </c:pt>
                  <c:pt idx="3">
                    <c:v>2020</c:v>
                  </c:pt>
                </c:lvl>
                <c:lvl>
                  <c:pt idx="0">
                    <c:v>Produktion</c:v>
                  </c:pt>
                  <c:pt idx="2">
                    <c:v>Forbrug</c:v>
                  </c:pt>
                </c:lvl>
              </c:multiLvlStrCache>
            </c:multiLvlStrRef>
          </c:cat>
          <c:val>
            <c:numRef>
              <c:f>'Grafer-energi'!$C$1165:$F$1165</c:f>
              <c:numCache>
                <c:formatCode>#,##0</c:formatCode>
                <c:ptCount val="4"/>
                <c:pt idx="0">
                  <c:v>0</c:v>
                </c:pt>
                <c:pt idx="1">
                  <c:v>0</c:v>
                </c:pt>
              </c:numCache>
            </c:numRef>
          </c:val>
          <c:extLst>
            <c:ext xmlns:c16="http://schemas.microsoft.com/office/drawing/2014/chart" uri="{C3380CC4-5D6E-409C-BE32-E72D297353CC}">
              <c16:uniqueId val="{00000006-6575-462C-AC66-C8E19374BBA1}"/>
            </c:ext>
          </c:extLst>
        </c:ser>
        <c:ser>
          <c:idx val="8"/>
          <c:order val="8"/>
          <c:tx>
            <c:strRef>
              <c:f>'Grafer-energi'!$B$1166</c:f>
              <c:strCache>
                <c:ptCount val="1"/>
                <c:pt idx="0">
                  <c:v>Affald, ikke bionedbrydeligt</c:v>
                </c:pt>
              </c:strCache>
            </c:strRef>
          </c:tx>
          <c:spPr>
            <a:solidFill>
              <a:schemeClr val="accent5">
                <a:lumMod val="80000"/>
                <a:lumOff val="20000"/>
              </a:schemeClr>
            </a:solidFill>
            <a:ln>
              <a:noFill/>
            </a:ln>
            <a:effectLst/>
          </c:spPr>
          <c:invertIfNegative val="0"/>
          <c:cat>
            <c:multiLvlStrRef>
              <c:f>'Grafer-energi'!$C$1156:$F$1157</c:f>
              <c:multiLvlStrCache>
                <c:ptCount val="4"/>
                <c:lvl>
                  <c:pt idx="0">
                    <c:v>2018</c:v>
                  </c:pt>
                  <c:pt idx="1">
                    <c:v>2020</c:v>
                  </c:pt>
                  <c:pt idx="2">
                    <c:v>2018</c:v>
                  </c:pt>
                  <c:pt idx="3">
                    <c:v>2020</c:v>
                  </c:pt>
                </c:lvl>
                <c:lvl>
                  <c:pt idx="0">
                    <c:v>Produktion</c:v>
                  </c:pt>
                  <c:pt idx="2">
                    <c:v>Forbrug</c:v>
                  </c:pt>
                </c:lvl>
              </c:multiLvlStrCache>
            </c:multiLvlStrRef>
          </c:cat>
          <c:val>
            <c:numRef>
              <c:f>'Grafer-energi'!$C$1166:$F$1166</c:f>
              <c:numCache>
                <c:formatCode>#,##0</c:formatCode>
                <c:ptCount val="4"/>
                <c:pt idx="0">
                  <c:v>0</c:v>
                </c:pt>
                <c:pt idx="1">
                  <c:v>0</c:v>
                </c:pt>
              </c:numCache>
            </c:numRef>
          </c:val>
          <c:extLst>
            <c:ext xmlns:c16="http://schemas.microsoft.com/office/drawing/2014/chart" uri="{C3380CC4-5D6E-409C-BE32-E72D297353CC}">
              <c16:uniqueId val="{00000007-6575-462C-AC66-C8E19374BBA1}"/>
            </c:ext>
          </c:extLst>
        </c:ser>
        <c:ser>
          <c:idx val="9"/>
          <c:order val="9"/>
          <c:tx>
            <c:strRef>
              <c:f>'Grafer-energi'!$B$1167</c:f>
              <c:strCache>
                <c:ptCount val="1"/>
                <c:pt idx="0">
                  <c:v>Affald, bionedbrydeligt</c:v>
                </c:pt>
              </c:strCache>
            </c:strRef>
          </c:tx>
          <c:spPr>
            <a:solidFill>
              <a:schemeClr val="accent1">
                <a:lumMod val="80000"/>
              </a:schemeClr>
            </a:solidFill>
            <a:ln>
              <a:noFill/>
            </a:ln>
            <a:effectLst/>
          </c:spPr>
          <c:invertIfNegative val="0"/>
          <c:cat>
            <c:multiLvlStrRef>
              <c:f>'Grafer-energi'!$C$1156:$F$1157</c:f>
              <c:multiLvlStrCache>
                <c:ptCount val="4"/>
                <c:lvl>
                  <c:pt idx="0">
                    <c:v>2018</c:v>
                  </c:pt>
                  <c:pt idx="1">
                    <c:v>2020</c:v>
                  </c:pt>
                  <c:pt idx="2">
                    <c:v>2018</c:v>
                  </c:pt>
                  <c:pt idx="3">
                    <c:v>2020</c:v>
                  </c:pt>
                </c:lvl>
                <c:lvl>
                  <c:pt idx="0">
                    <c:v>Produktion</c:v>
                  </c:pt>
                  <c:pt idx="2">
                    <c:v>Forbrug</c:v>
                  </c:pt>
                </c:lvl>
              </c:multiLvlStrCache>
            </c:multiLvlStrRef>
          </c:cat>
          <c:val>
            <c:numRef>
              <c:f>'Grafer-energi'!$C$1167:$F$1167</c:f>
              <c:numCache>
                <c:formatCode>#,##0</c:formatCode>
                <c:ptCount val="4"/>
                <c:pt idx="0">
                  <c:v>0</c:v>
                </c:pt>
                <c:pt idx="1">
                  <c:v>0</c:v>
                </c:pt>
              </c:numCache>
            </c:numRef>
          </c:val>
          <c:extLst>
            <c:ext xmlns:c16="http://schemas.microsoft.com/office/drawing/2014/chart" uri="{C3380CC4-5D6E-409C-BE32-E72D297353CC}">
              <c16:uniqueId val="{00000008-6575-462C-AC66-C8E19374BBA1}"/>
            </c:ext>
          </c:extLst>
        </c:ser>
        <c:ser>
          <c:idx val="10"/>
          <c:order val="10"/>
          <c:tx>
            <c:strRef>
              <c:f>'Grafer-energi'!$B$1168</c:f>
              <c:strCache>
                <c:ptCount val="1"/>
                <c:pt idx="0">
                  <c:v>Biomasse og biogas</c:v>
                </c:pt>
              </c:strCache>
            </c:strRef>
          </c:tx>
          <c:spPr>
            <a:solidFill>
              <a:schemeClr val="accent3">
                <a:lumMod val="80000"/>
              </a:schemeClr>
            </a:solidFill>
            <a:ln>
              <a:noFill/>
            </a:ln>
            <a:effectLst/>
          </c:spPr>
          <c:invertIfNegative val="0"/>
          <c:cat>
            <c:multiLvlStrRef>
              <c:f>'Grafer-energi'!$C$1156:$F$1157</c:f>
              <c:multiLvlStrCache>
                <c:ptCount val="4"/>
                <c:lvl>
                  <c:pt idx="0">
                    <c:v>2018</c:v>
                  </c:pt>
                  <c:pt idx="1">
                    <c:v>2020</c:v>
                  </c:pt>
                  <c:pt idx="2">
                    <c:v>2018</c:v>
                  </c:pt>
                  <c:pt idx="3">
                    <c:v>2020</c:v>
                  </c:pt>
                </c:lvl>
                <c:lvl>
                  <c:pt idx="0">
                    <c:v>Produktion</c:v>
                  </c:pt>
                  <c:pt idx="2">
                    <c:v>Forbrug</c:v>
                  </c:pt>
                </c:lvl>
              </c:multiLvlStrCache>
            </c:multiLvlStrRef>
          </c:cat>
          <c:val>
            <c:numRef>
              <c:f>'Grafer-energi'!$C$1168:$F$1168</c:f>
              <c:numCache>
                <c:formatCode>#,##0</c:formatCode>
                <c:ptCount val="4"/>
                <c:pt idx="0">
                  <c:v>0</c:v>
                </c:pt>
                <c:pt idx="1">
                  <c:v>0</c:v>
                </c:pt>
              </c:numCache>
            </c:numRef>
          </c:val>
          <c:extLst>
            <c:ext xmlns:c16="http://schemas.microsoft.com/office/drawing/2014/chart" uri="{C3380CC4-5D6E-409C-BE32-E72D297353CC}">
              <c16:uniqueId val="{00000009-6575-462C-AC66-C8E19374BBA1}"/>
            </c:ext>
          </c:extLst>
        </c:ser>
        <c:ser>
          <c:idx val="11"/>
          <c:order val="11"/>
          <c:tx>
            <c:strRef>
              <c:f>'Grafer-energi'!$B$1169</c:f>
              <c:strCache>
                <c:ptCount val="1"/>
                <c:pt idx="0">
                  <c:v>Vindenergi</c:v>
                </c:pt>
              </c:strCache>
            </c:strRef>
          </c:tx>
          <c:spPr>
            <a:solidFill>
              <a:schemeClr val="accent5">
                <a:lumMod val="80000"/>
              </a:schemeClr>
            </a:solidFill>
            <a:ln>
              <a:noFill/>
            </a:ln>
            <a:effectLst/>
          </c:spPr>
          <c:invertIfNegative val="0"/>
          <c:cat>
            <c:multiLvlStrRef>
              <c:f>'Grafer-energi'!$C$1156:$F$1157</c:f>
              <c:multiLvlStrCache>
                <c:ptCount val="4"/>
                <c:lvl>
                  <c:pt idx="0">
                    <c:v>2018</c:v>
                  </c:pt>
                  <c:pt idx="1">
                    <c:v>2020</c:v>
                  </c:pt>
                  <c:pt idx="2">
                    <c:v>2018</c:v>
                  </c:pt>
                  <c:pt idx="3">
                    <c:v>2020</c:v>
                  </c:pt>
                </c:lvl>
                <c:lvl>
                  <c:pt idx="0">
                    <c:v>Produktion</c:v>
                  </c:pt>
                  <c:pt idx="2">
                    <c:v>Forbrug</c:v>
                  </c:pt>
                </c:lvl>
              </c:multiLvlStrCache>
            </c:multiLvlStrRef>
          </c:cat>
          <c:val>
            <c:numRef>
              <c:f>'Grafer-energi'!$C$1169:$F$1169</c:f>
              <c:numCache>
                <c:formatCode>#,##0</c:formatCode>
                <c:ptCount val="4"/>
                <c:pt idx="0">
                  <c:v>0.5</c:v>
                </c:pt>
                <c:pt idx="1">
                  <c:v>0.78</c:v>
                </c:pt>
              </c:numCache>
            </c:numRef>
          </c:val>
          <c:extLst>
            <c:ext xmlns:c16="http://schemas.microsoft.com/office/drawing/2014/chart" uri="{C3380CC4-5D6E-409C-BE32-E72D297353CC}">
              <c16:uniqueId val="{0000000A-6575-462C-AC66-C8E19374BBA1}"/>
            </c:ext>
          </c:extLst>
        </c:ser>
        <c:ser>
          <c:idx val="12"/>
          <c:order val="12"/>
          <c:tx>
            <c:strRef>
              <c:f>'Grafer-energi'!$B$1170</c:f>
              <c:strCache>
                <c:ptCount val="1"/>
                <c:pt idx="0">
                  <c:v>Solenergi</c:v>
                </c:pt>
              </c:strCache>
            </c:strRef>
          </c:tx>
          <c:spPr>
            <a:solidFill>
              <a:schemeClr val="accent1">
                <a:lumMod val="60000"/>
                <a:lumOff val="40000"/>
              </a:schemeClr>
            </a:solidFill>
            <a:ln>
              <a:noFill/>
            </a:ln>
            <a:effectLst/>
          </c:spPr>
          <c:invertIfNegative val="0"/>
          <c:cat>
            <c:multiLvlStrRef>
              <c:f>'Grafer-energi'!$C$1156:$F$1157</c:f>
              <c:multiLvlStrCache>
                <c:ptCount val="4"/>
                <c:lvl>
                  <c:pt idx="0">
                    <c:v>2018</c:v>
                  </c:pt>
                  <c:pt idx="1">
                    <c:v>2020</c:v>
                  </c:pt>
                  <c:pt idx="2">
                    <c:v>2018</c:v>
                  </c:pt>
                  <c:pt idx="3">
                    <c:v>2020</c:v>
                  </c:pt>
                </c:lvl>
                <c:lvl>
                  <c:pt idx="0">
                    <c:v>Produktion</c:v>
                  </c:pt>
                  <c:pt idx="2">
                    <c:v>Forbrug</c:v>
                  </c:pt>
                </c:lvl>
              </c:multiLvlStrCache>
            </c:multiLvlStrRef>
          </c:cat>
          <c:val>
            <c:numRef>
              <c:f>'Grafer-energi'!$C$1170:$F$1170</c:f>
              <c:numCache>
                <c:formatCode>#,##0</c:formatCode>
                <c:ptCount val="4"/>
                <c:pt idx="0">
                  <c:v>18.14</c:v>
                </c:pt>
                <c:pt idx="1">
                  <c:v>26.16</c:v>
                </c:pt>
              </c:numCache>
            </c:numRef>
          </c:val>
          <c:extLst>
            <c:ext xmlns:c16="http://schemas.microsoft.com/office/drawing/2014/chart" uri="{C3380CC4-5D6E-409C-BE32-E72D297353CC}">
              <c16:uniqueId val="{0000000B-6575-462C-AC66-C8E19374BBA1}"/>
            </c:ext>
          </c:extLst>
        </c:ser>
        <c:ser>
          <c:idx val="13"/>
          <c:order val="13"/>
          <c:tx>
            <c:strRef>
              <c:f>'Grafer-energi'!$B$1171</c:f>
              <c:strCache>
                <c:ptCount val="1"/>
                <c:pt idx="0">
                  <c:v>Vandenergi mv.</c:v>
                </c:pt>
              </c:strCache>
            </c:strRef>
          </c:tx>
          <c:spPr>
            <a:solidFill>
              <a:schemeClr val="accent3">
                <a:lumMod val="60000"/>
                <a:lumOff val="40000"/>
              </a:schemeClr>
            </a:solidFill>
            <a:ln>
              <a:noFill/>
            </a:ln>
            <a:effectLst/>
          </c:spPr>
          <c:invertIfNegative val="0"/>
          <c:cat>
            <c:multiLvlStrRef>
              <c:f>'Grafer-energi'!$C$1156:$F$1157</c:f>
              <c:multiLvlStrCache>
                <c:ptCount val="4"/>
                <c:lvl>
                  <c:pt idx="0">
                    <c:v>2018</c:v>
                  </c:pt>
                  <c:pt idx="1">
                    <c:v>2020</c:v>
                  </c:pt>
                  <c:pt idx="2">
                    <c:v>2018</c:v>
                  </c:pt>
                  <c:pt idx="3">
                    <c:v>2020</c:v>
                  </c:pt>
                </c:lvl>
                <c:lvl>
                  <c:pt idx="0">
                    <c:v>Produktion</c:v>
                  </c:pt>
                  <c:pt idx="2">
                    <c:v>Forbrug</c:v>
                  </c:pt>
                </c:lvl>
              </c:multiLvlStrCache>
            </c:multiLvlStrRef>
          </c:cat>
          <c:val>
            <c:numRef>
              <c:f>'Grafer-energi'!$C$1171:$F$1171</c:f>
              <c:numCache>
                <c:formatCode>#,##0</c:formatCode>
                <c:ptCount val="4"/>
                <c:pt idx="0">
                  <c:v>0</c:v>
                </c:pt>
                <c:pt idx="1">
                  <c:v>0</c:v>
                </c:pt>
              </c:numCache>
            </c:numRef>
          </c:val>
          <c:extLst>
            <c:ext xmlns:c16="http://schemas.microsoft.com/office/drawing/2014/chart" uri="{C3380CC4-5D6E-409C-BE32-E72D297353CC}">
              <c16:uniqueId val="{0000000C-6575-462C-AC66-C8E19374BBA1}"/>
            </c:ext>
          </c:extLst>
        </c:ser>
        <c:ser>
          <c:idx val="14"/>
          <c:order val="14"/>
          <c:tx>
            <c:strRef>
              <c:f>'Grafer-energi'!$B$1172</c:f>
              <c:strCache>
                <c:ptCount val="1"/>
                <c:pt idx="0">
                  <c:v>Elimport</c:v>
                </c:pt>
              </c:strCache>
            </c:strRef>
          </c:tx>
          <c:spPr>
            <a:solidFill>
              <a:schemeClr val="accent5">
                <a:lumMod val="60000"/>
                <a:lumOff val="40000"/>
              </a:schemeClr>
            </a:solidFill>
            <a:ln>
              <a:noFill/>
            </a:ln>
            <a:effectLst/>
          </c:spPr>
          <c:invertIfNegative val="0"/>
          <c:cat>
            <c:multiLvlStrRef>
              <c:f>'Grafer-energi'!$C$1156:$F$1157</c:f>
              <c:multiLvlStrCache>
                <c:ptCount val="4"/>
                <c:lvl>
                  <c:pt idx="0">
                    <c:v>2018</c:v>
                  </c:pt>
                  <c:pt idx="1">
                    <c:v>2020</c:v>
                  </c:pt>
                  <c:pt idx="2">
                    <c:v>2018</c:v>
                  </c:pt>
                  <c:pt idx="3">
                    <c:v>2020</c:v>
                  </c:pt>
                </c:lvl>
                <c:lvl>
                  <c:pt idx="0">
                    <c:v>Produktion</c:v>
                  </c:pt>
                  <c:pt idx="2">
                    <c:v>Forbrug</c:v>
                  </c:pt>
                </c:lvl>
              </c:multiLvlStrCache>
            </c:multiLvlStrRef>
          </c:cat>
          <c:val>
            <c:numRef>
              <c:f>'Grafer-energi'!$C$1172:$F$1172</c:f>
              <c:numCache>
                <c:formatCode>#,##0</c:formatCode>
                <c:ptCount val="4"/>
                <c:pt idx="0">
                  <c:v>36.624084278714058</c:v>
                </c:pt>
                <c:pt idx="1">
                  <c:v>28.262897773245289</c:v>
                </c:pt>
              </c:numCache>
            </c:numRef>
          </c:val>
          <c:extLst>
            <c:ext xmlns:c16="http://schemas.microsoft.com/office/drawing/2014/chart" uri="{C3380CC4-5D6E-409C-BE32-E72D297353CC}">
              <c16:uniqueId val="{0000000D-6575-462C-AC66-C8E19374BBA1}"/>
            </c:ext>
          </c:extLst>
        </c:ser>
        <c:dLbls>
          <c:showLegendKey val="0"/>
          <c:showVal val="0"/>
          <c:showCatName val="0"/>
          <c:showSerName val="0"/>
          <c:showPercent val="0"/>
          <c:showBubbleSize val="0"/>
        </c:dLbls>
        <c:gapWidth val="150"/>
        <c:overlap val="100"/>
        <c:axId val="166966312"/>
        <c:axId val="166966704"/>
      </c:barChart>
      <c:catAx>
        <c:axId val="166966312"/>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166966704"/>
        <c:crosses val="autoZero"/>
        <c:auto val="1"/>
        <c:lblAlgn val="ctr"/>
        <c:lblOffset val="100"/>
        <c:noMultiLvlLbl val="0"/>
      </c:catAx>
      <c:valAx>
        <c:axId val="16696670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r>
                  <a:rPr lang="da-DK"/>
                  <a:t>TJ/år</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endParaRPr lang="da-DK"/>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16696631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88" l="0.70000000000000062" r="0.70000000000000062" t="0.7500000000000118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33957579626871"/>
          <c:y val="3.465346534653465E-2"/>
          <c:w val="0.61461222222222223"/>
          <c:h val="0.8102633922098087"/>
        </c:manualLayout>
      </c:layout>
      <c:barChart>
        <c:barDir val="col"/>
        <c:grouping val="stacked"/>
        <c:varyColors val="0"/>
        <c:ser>
          <c:idx val="0"/>
          <c:order val="0"/>
          <c:tx>
            <c:strRef>
              <c:f>'Grafer-energi'!$B$1211</c:f>
              <c:strCache>
                <c:ptCount val="1"/>
                <c:pt idx="0">
                  <c:v>Forbrug</c:v>
                </c:pt>
              </c:strCache>
            </c:strRef>
          </c:tx>
          <c:spPr>
            <a:solidFill>
              <a:schemeClr val="accent1"/>
            </a:solidFill>
            <a:ln>
              <a:noFill/>
            </a:ln>
            <a:effectLst/>
          </c:spPr>
          <c:invertIfNegative val="0"/>
          <c:cat>
            <c:multiLvlStrRef>
              <c:f>'Grafer-energi'!$C$1209:$F$1210</c:f>
              <c:multiLvlStrCache>
                <c:ptCount val="4"/>
                <c:lvl>
                  <c:pt idx="0">
                    <c:v>2018</c:v>
                  </c:pt>
                  <c:pt idx="1">
                    <c:v>2020</c:v>
                  </c:pt>
                  <c:pt idx="2">
                    <c:v>2018</c:v>
                  </c:pt>
                  <c:pt idx="3">
                    <c:v>2020</c:v>
                  </c:pt>
                </c:lvl>
                <c:lvl>
                  <c:pt idx="0">
                    <c:v>Produktion</c:v>
                  </c:pt>
                  <c:pt idx="2">
                    <c:v>Forbrug</c:v>
                  </c:pt>
                </c:lvl>
              </c:multiLvlStrCache>
            </c:multiLvlStrRef>
          </c:cat>
          <c:val>
            <c:numRef>
              <c:f>'Grafer-energi'!$C$1211:$F$1211</c:f>
              <c:numCache>
                <c:formatCode>#,##0</c:formatCode>
                <c:ptCount val="4"/>
                <c:pt idx="2">
                  <c:v>16.288500000000006</c:v>
                </c:pt>
                <c:pt idx="3">
                  <c:v>15.199067663999998</c:v>
                </c:pt>
              </c:numCache>
            </c:numRef>
          </c:val>
          <c:extLst>
            <c:ext xmlns:c16="http://schemas.microsoft.com/office/drawing/2014/chart" uri="{C3380CC4-5D6E-409C-BE32-E72D297353CC}">
              <c16:uniqueId val="{00000000-50B7-4834-A8AE-A486AC6B8A00}"/>
            </c:ext>
          </c:extLst>
        </c:ser>
        <c:ser>
          <c:idx val="8"/>
          <c:order val="1"/>
          <c:tx>
            <c:strRef>
              <c:f>'Grafer-energi'!$B$1212</c:f>
              <c:strCache>
                <c:ptCount val="1"/>
                <c:pt idx="0">
                  <c:v>Nettab</c:v>
                </c:pt>
              </c:strCache>
            </c:strRef>
          </c:tx>
          <c:spPr>
            <a:solidFill>
              <a:schemeClr val="accent5">
                <a:lumMod val="80000"/>
                <a:lumOff val="20000"/>
              </a:schemeClr>
            </a:solidFill>
            <a:ln>
              <a:noFill/>
            </a:ln>
            <a:effectLst/>
          </c:spPr>
          <c:invertIfNegative val="0"/>
          <c:cat>
            <c:multiLvlStrRef>
              <c:f>'Grafer-energi'!$C$1209:$F$1210</c:f>
              <c:multiLvlStrCache>
                <c:ptCount val="4"/>
                <c:lvl>
                  <c:pt idx="0">
                    <c:v>2018</c:v>
                  </c:pt>
                  <c:pt idx="1">
                    <c:v>2020</c:v>
                  </c:pt>
                  <c:pt idx="2">
                    <c:v>2018</c:v>
                  </c:pt>
                  <c:pt idx="3">
                    <c:v>2020</c:v>
                  </c:pt>
                </c:lvl>
                <c:lvl>
                  <c:pt idx="0">
                    <c:v>Produktion</c:v>
                  </c:pt>
                  <c:pt idx="2">
                    <c:v>Forbrug</c:v>
                  </c:pt>
                </c:lvl>
              </c:multiLvlStrCache>
            </c:multiLvlStrRef>
          </c:cat>
          <c:val>
            <c:numRef>
              <c:f>'Grafer-energi'!$C$1212:$F$1212</c:f>
              <c:numCache>
                <c:formatCode>#,##0</c:formatCode>
                <c:ptCount val="4"/>
                <c:pt idx="2">
                  <c:v>5.4295000000000009</c:v>
                </c:pt>
                <c:pt idx="3">
                  <c:v>5.0663558880000004</c:v>
                </c:pt>
              </c:numCache>
            </c:numRef>
          </c:val>
          <c:extLst>
            <c:ext xmlns:c16="http://schemas.microsoft.com/office/drawing/2014/chart" uri="{C3380CC4-5D6E-409C-BE32-E72D297353CC}">
              <c16:uniqueId val="{00000001-50B7-4834-A8AE-A486AC6B8A00}"/>
            </c:ext>
          </c:extLst>
        </c:ser>
        <c:ser>
          <c:idx val="3"/>
          <c:order val="2"/>
          <c:tx>
            <c:strRef>
              <c:f>'Grafer-energi'!$B$1213</c:f>
              <c:strCache>
                <c:ptCount val="1"/>
                <c:pt idx="0">
                  <c:v>Egetforbrug af varme, industri</c:v>
                </c:pt>
              </c:strCache>
            </c:strRef>
          </c:tx>
          <c:spPr>
            <a:solidFill>
              <a:schemeClr val="accent1">
                <a:lumMod val="60000"/>
              </a:schemeClr>
            </a:solidFill>
            <a:ln>
              <a:noFill/>
            </a:ln>
            <a:effectLst/>
          </c:spPr>
          <c:invertIfNegative val="0"/>
          <c:cat>
            <c:multiLvlStrRef>
              <c:f>'Grafer-energi'!$C$1209:$F$1210</c:f>
              <c:multiLvlStrCache>
                <c:ptCount val="4"/>
                <c:lvl>
                  <c:pt idx="0">
                    <c:v>2018</c:v>
                  </c:pt>
                  <c:pt idx="1">
                    <c:v>2020</c:v>
                  </c:pt>
                  <c:pt idx="2">
                    <c:v>2018</c:v>
                  </c:pt>
                  <c:pt idx="3">
                    <c:v>2020</c:v>
                  </c:pt>
                </c:lvl>
                <c:lvl>
                  <c:pt idx="0">
                    <c:v>Produktion</c:v>
                  </c:pt>
                  <c:pt idx="2">
                    <c:v>Forbrug</c:v>
                  </c:pt>
                </c:lvl>
              </c:multiLvlStrCache>
            </c:multiLvlStrRef>
          </c:cat>
          <c:val>
            <c:numRef>
              <c:f>'Grafer-energi'!$C$1213:$F$1213</c:f>
              <c:numCache>
                <c:formatCode>#,##0</c:formatCode>
                <c:ptCount val="4"/>
                <c:pt idx="2">
                  <c:v>0</c:v>
                </c:pt>
                <c:pt idx="3">
                  <c:v>0</c:v>
                </c:pt>
              </c:numCache>
            </c:numRef>
          </c:val>
          <c:extLst>
            <c:ext xmlns:c16="http://schemas.microsoft.com/office/drawing/2014/chart" uri="{C3380CC4-5D6E-409C-BE32-E72D297353CC}">
              <c16:uniqueId val="{00000002-50B7-4834-A8AE-A486AC6B8A00}"/>
            </c:ext>
          </c:extLst>
        </c:ser>
        <c:ser>
          <c:idx val="2"/>
          <c:order val="3"/>
          <c:tx>
            <c:strRef>
              <c:f>'Grafer-energi'!$B$1214</c:f>
              <c:strCache>
                <c:ptCount val="1"/>
              </c:strCache>
            </c:strRef>
          </c:tx>
          <c:spPr>
            <a:solidFill>
              <a:schemeClr val="accent5"/>
            </a:solidFill>
            <a:ln>
              <a:noFill/>
            </a:ln>
            <a:effectLst/>
          </c:spPr>
          <c:invertIfNegative val="0"/>
          <c:cat>
            <c:multiLvlStrRef>
              <c:f>'Grafer-energi'!$C$1209:$F$1210</c:f>
              <c:multiLvlStrCache>
                <c:ptCount val="4"/>
                <c:lvl>
                  <c:pt idx="0">
                    <c:v>2018</c:v>
                  </c:pt>
                  <c:pt idx="1">
                    <c:v>2020</c:v>
                  </c:pt>
                  <c:pt idx="2">
                    <c:v>2018</c:v>
                  </c:pt>
                  <c:pt idx="3">
                    <c:v>2020</c:v>
                  </c:pt>
                </c:lvl>
                <c:lvl>
                  <c:pt idx="0">
                    <c:v>Produktion</c:v>
                  </c:pt>
                  <c:pt idx="2">
                    <c:v>Forbrug</c:v>
                  </c:pt>
                </c:lvl>
              </c:multiLvlStrCache>
            </c:multiLvlStrRef>
          </c:cat>
          <c:val>
            <c:numRef>
              <c:f>'Grafer-energi'!$C$1214:$F$1214</c:f>
              <c:numCache>
                <c:formatCode>#,##0</c:formatCode>
                <c:ptCount val="4"/>
              </c:numCache>
            </c:numRef>
          </c:val>
          <c:extLst>
            <c:ext xmlns:c16="http://schemas.microsoft.com/office/drawing/2014/chart" uri="{C3380CC4-5D6E-409C-BE32-E72D297353CC}">
              <c16:uniqueId val="{00000003-50B7-4834-A8AE-A486AC6B8A00}"/>
            </c:ext>
          </c:extLst>
        </c:ser>
        <c:ser>
          <c:idx val="1"/>
          <c:order val="4"/>
          <c:tx>
            <c:strRef>
              <c:f>'Grafer-energi'!$B$1215</c:f>
              <c:strCache>
                <c:ptCount val="1"/>
                <c:pt idx="0">
                  <c:v>Kraftvarme</c:v>
                </c:pt>
              </c:strCache>
            </c:strRef>
          </c:tx>
          <c:spPr>
            <a:solidFill>
              <a:schemeClr val="accent3"/>
            </a:solidFill>
            <a:ln>
              <a:noFill/>
            </a:ln>
            <a:effectLst/>
          </c:spPr>
          <c:invertIfNegative val="0"/>
          <c:cat>
            <c:multiLvlStrRef>
              <c:f>'Grafer-energi'!$C$1209:$F$1210</c:f>
              <c:multiLvlStrCache>
                <c:ptCount val="4"/>
                <c:lvl>
                  <c:pt idx="0">
                    <c:v>2018</c:v>
                  </c:pt>
                  <c:pt idx="1">
                    <c:v>2020</c:v>
                  </c:pt>
                  <c:pt idx="2">
                    <c:v>2018</c:v>
                  </c:pt>
                  <c:pt idx="3">
                    <c:v>2020</c:v>
                  </c:pt>
                </c:lvl>
                <c:lvl>
                  <c:pt idx="0">
                    <c:v>Produktion</c:v>
                  </c:pt>
                  <c:pt idx="2">
                    <c:v>Forbrug</c:v>
                  </c:pt>
                </c:lvl>
              </c:multiLvlStrCache>
            </c:multiLvlStrRef>
          </c:cat>
          <c:val>
            <c:numRef>
              <c:f>'Grafer-energi'!$C$1215:$F$1215</c:f>
              <c:numCache>
                <c:formatCode>#,##0</c:formatCode>
                <c:ptCount val="4"/>
                <c:pt idx="0">
                  <c:v>0</c:v>
                </c:pt>
                <c:pt idx="1">
                  <c:v>0</c:v>
                </c:pt>
              </c:numCache>
            </c:numRef>
          </c:val>
          <c:extLst>
            <c:ext xmlns:c16="http://schemas.microsoft.com/office/drawing/2014/chart" uri="{C3380CC4-5D6E-409C-BE32-E72D297353CC}">
              <c16:uniqueId val="{00000004-50B7-4834-A8AE-A486AC6B8A00}"/>
            </c:ext>
          </c:extLst>
        </c:ser>
        <c:ser>
          <c:idx val="4"/>
          <c:order val="5"/>
          <c:tx>
            <c:strRef>
              <c:f>'Grafer-energi'!$B$1216</c:f>
              <c:strCache>
                <c:ptCount val="1"/>
                <c:pt idx="0">
                  <c:v>Kedel</c:v>
                </c:pt>
              </c:strCache>
            </c:strRef>
          </c:tx>
          <c:spPr>
            <a:solidFill>
              <a:schemeClr val="accent3">
                <a:lumMod val="60000"/>
              </a:schemeClr>
            </a:solidFill>
            <a:ln>
              <a:noFill/>
            </a:ln>
            <a:effectLst/>
          </c:spPr>
          <c:invertIfNegative val="0"/>
          <c:cat>
            <c:multiLvlStrRef>
              <c:f>'Grafer-energi'!$C$1209:$F$1210</c:f>
              <c:multiLvlStrCache>
                <c:ptCount val="4"/>
                <c:lvl>
                  <c:pt idx="0">
                    <c:v>2018</c:v>
                  </c:pt>
                  <c:pt idx="1">
                    <c:v>2020</c:v>
                  </c:pt>
                  <c:pt idx="2">
                    <c:v>2018</c:v>
                  </c:pt>
                  <c:pt idx="3">
                    <c:v>2020</c:v>
                  </c:pt>
                </c:lvl>
                <c:lvl>
                  <c:pt idx="0">
                    <c:v>Produktion</c:v>
                  </c:pt>
                  <c:pt idx="2">
                    <c:v>Forbrug</c:v>
                  </c:pt>
                </c:lvl>
              </c:multiLvlStrCache>
            </c:multiLvlStrRef>
          </c:cat>
          <c:val>
            <c:numRef>
              <c:f>'Grafer-energi'!$C$1216:$F$1216</c:f>
              <c:numCache>
                <c:formatCode>#,##0</c:formatCode>
                <c:ptCount val="4"/>
                <c:pt idx="0">
                  <c:v>21.718000000000007</c:v>
                </c:pt>
                <c:pt idx="1">
                  <c:v>20.265423551999998</c:v>
                </c:pt>
              </c:numCache>
            </c:numRef>
          </c:val>
          <c:extLst>
            <c:ext xmlns:c16="http://schemas.microsoft.com/office/drawing/2014/chart" uri="{C3380CC4-5D6E-409C-BE32-E72D297353CC}">
              <c16:uniqueId val="{00000005-50B7-4834-A8AE-A486AC6B8A00}"/>
            </c:ext>
          </c:extLst>
        </c:ser>
        <c:ser>
          <c:idx val="6"/>
          <c:order val="6"/>
          <c:tx>
            <c:strRef>
              <c:f>'Grafer-energi'!$B$1217</c:f>
              <c:strCache>
                <c:ptCount val="1"/>
                <c:pt idx="0">
                  <c:v>Varmepumper og elpatroner</c:v>
                </c:pt>
              </c:strCache>
            </c:strRef>
          </c:tx>
          <c:spPr>
            <a:solidFill>
              <a:schemeClr val="accent1">
                <a:lumMod val="80000"/>
                <a:lumOff val="20000"/>
              </a:schemeClr>
            </a:solidFill>
            <a:ln>
              <a:noFill/>
            </a:ln>
            <a:effectLst/>
          </c:spPr>
          <c:invertIfNegative val="0"/>
          <c:cat>
            <c:multiLvlStrRef>
              <c:f>'Grafer-energi'!$C$1209:$F$1210</c:f>
              <c:multiLvlStrCache>
                <c:ptCount val="4"/>
                <c:lvl>
                  <c:pt idx="0">
                    <c:v>2018</c:v>
                  </c:pt>
                  <c:pt idx="1">
                    <c:v>2020</c:v>
                  </c:pt>
                  <c:pt idx="2">
                    <c:v>2018</c:v>
                  </c:pt>
                  <c:pt idx="3">
                    <c:v>2020</c:v>
                  </c:pt>
                </c:lvl>
                <c:lvl>
                  <c:pt idx="0">
                    <c:v>Produktion</c:v>
                  </c:pt>
                  <c:pt idx="2">
                    <c:v>Forbrug</c:v>
                  </c:pt>
                </c:lvl>
              </c:multiLvlStrCache>
            </c:multiLvlStrRef>
          </c:cat>
          <c:val>
            <c:numRef>
              <c:f>'Grafer-energi'!$C$1217:$F$1217</c:f>
              <c:numCache>
                <c:formatCode>#,##0</c:formatCode>
                <c:ptCount val="4"/>
                <c:pt idx="0">
                  <c:v>0</c:v>
                </c:pt>
                <c:pt idx="1">
                  <c:v>0</c:v>
                </c:pt>
              </c:numCache>
            </c:numRef>
          </c:val>
          <c:extLst>
            <c:ext xmlns:c16="http://schemas.microsoft.com/office/drawing/2014/chart" uri="{C3380CC4-5D6E-409C-BE32-E72D297353CC}">
              <c16:uniqueId val="{00000006-50B7-4834-A8AE-A486AC6B8A00}"/>
            </c:ext>
          </c:extLst>
        </c:ser>
        <c:ser>
          <c:idx val="7"/>
          <c:order val="7"/>
          <c:tx>
            <c:strRef>
              <c:f>'Grafer-energi'!$B$1218</c:f>
              <c:strCache>
                <c:ptCount val="1"/>
                <c:pt idx="0">
                  <c:v>Solvarme</c:v>
                </c:pt>
              </c:strCache>
            </c:strRef>
          </c:tx>
          <c:spPr>
            <a:solidFill>
              <a:schemeClr val="accent3">
                <a:lumMod val="80000"/>
                <a:lumOff val="20000"/>
              </a:schemeClr>
            </a:solidFill>
            <a:ln>
              <a:noFill/>
            </a:ln>
            <a:effectLst/>
          </c:spPr>
          <c:invertIfNegative val="0"/>
          <c:cat>
            <c:multiLvlStrRef>
              <c:f>'Grafer-energi'!$C$1209:$F$1210</c:f>
              <c:multiLvlStrCache>
                <c:ptCount val="4"/>
                <c:lvl>
                  <c:pt idx="0">
                    <c:v>2018</c:v>
                  </c:pt>
                  <c:pt idx="1">
                    <c:v>2020</c:v>
                  </c:pt>
                  <c:pt idx="2">
                    <c:v>2018</c:v>
                  </c:pt>
                  <c:pt idx="3">
                    <c:v>2020</c:v>
                  </c:pt>
                </c:lvl>
                <c:lvl>
                  <c:pt idx="0">
                    <c:v>Produktion</c:v>
                  </c:pt>
                  <c:pt idx="2">
                    <c:v>Forbrug</c:v>
                  </c:pt>
                </c:lvl>
              </c:multiLvlStrCache>
            </c:multiLvlStrRef>
          </c:cat>
          <c:val>
            <c:numRef>
              <c:f>'Grafer-energi'!$C$1218:$F$1218</c:f>
              <c:numCache>
                <c:formatCode>#,##0</c:formatCode>
                <c:ptCount val="4"/>
                <c:pt idx="0">
                  <c:v>0</c:v>
                </c:pt>
                <c:pt idx="1">
                  <c:v>0</c:v>
                </c:pt>
              </c:numCache>
            </c:numRef>
          </c:val>
          <c:extLst>
            <c:ext xmlns:c16="http://schemas.microsoft.com/office/drawing/2014/chart" uri="{C3380CC4-5D6E-409C-BE32-E72D297353CC}">
              <c16:uniqueId val="{00000007-50B7-4834-A8AE-A486AC6B8A00}"/>
            </c:ext>
          </c:extLst>
        </c:ser>
        <c:ser>
          <c:idx val="9"/>
          <c:order val="8"/>
          <c:tx>
            <c:strRef>
              <c:f>'Grafer-energi'!$B$1219</c:f>
              <c:strCache>
                <c:ptCount val="1"/>
                <c:pt idx="0">
                  <c:v>Geotermi</c:v>
                </c:pt>
              </c:strCache>
            </c:strRef>
          </c:tx>
          <c:spPr>
            <a:solidFill>
              <a:schemeClr val="accent1">
                <a:lumMod val="80000"/>
              </a:schemeClr>
            </a:solidFill>
            <a:ln>
              <a:noFill/>
            </a:ln>
            <a:effectLst/>
          </c:spPr>
          <c:invertIfNegative val="0"/>
          <c:cat>
            <c:multiLvlStrRef>
              <c:f>'Grafer-energi'!$C$1209:$F$1210</c:f>
              <c:multiLvlStrCache>
                <c:ptCount val="4"/>
                <c:lvl>
                  <c:pt idx="0">
                    <c:v>2018</c:v>
                  </c:pt>
                  <c:pt idx="1">
                    <c:v>2020</c:v>
                  </c:pt>
                  <c:pt idx="2">
                    <c:v>2018</c:v>
                  </c:pt>
                  <c:pt idx="3">
                    <c:v>2020</c:v>
                  </c:pt>
                </c:lvl>
                <c:lvl>
                  <c:pt idx="0">
                    <c:v>Produktion</c:v>
                  </c:pt>
                  <c:pt idx="2">
                    <c:v>Forbrug</c:v>
                  </c:pt>
                </c:lvl>
              </c:multiLvlStrCache>
            </c:multiLvlStrRef>
          </c:cat>
          <c:val>
            <c:numRef>
              <c:f>'Grafer-energi'!$C$1219:$F$1219</c:f>
              <c:numCache>
                <c:formatCode>#,##0</c:formatCode>
                <c:ptCount val="4"/>
                <c:pt idx="0">
                  <c:v>0</c:v>
                </c:pt>
                <c:pt idx="1">
                  <c:v>0</c:v>
                </c:pt>
              </c:numCache>
            </c:numRef>
          </c:val>
          <c:extLst>
            <c:ext xmlns:c16="http://schemas.microsoft.com/office/drawing/2014/chart" uri="{C3380CC4-5D6E-409C-BE32-E72D297353CC}">
              <c16:uniqueId val="{00000008-50B7-4834-A8AE-A486AC6B8A00}"/>
            </c:ext>
          </c:extLst>
        </c:ser>
        <c:ser>
          <c:idx val="5"/>
          <c:order val="9"/>
          <c:tx>
            <c:strRef>
              <c:f>'Grafer-energi'!$B$1220</c:f>
              <c:strCache>
                <c:ptCount val="1"/>
                <c:pt idx="0">
                  <c:v>Overskudsvarme</c:v>
                </c:pt>
              </c:strCache>
            </c:strRef>
          </c:tx>
          <c:spPr>
            <a:solidFill>
              <a:schemeClr val="accent5">
                <a:lumMod val="60000"/>
              </a:schemeClr>
            </a:solidFill>
            <a:ln>
              <a:noFill/>
            </a:ln>
            <a:effectLst/>
          </c:spPr>
          <c:invertIfNegative val="0"/>
          <c:cat>
            <c:multiLvlStrRef>
              <c:f>'Grafer-energi'!$C$1209:$F$1210</c:f>
              <c:multiLvlStrCache>
                <c:ptCount val="4"/>
                <c:lvl>
                  <c:pt idx="0">
                    <c:v>2018</c:v>
                  </c:pt>
                  <c:pt idx="1">
                    <c:v>2020</c:v>
                  </c:pt>
                  <c:pt idx="2">
                    <c:v>2018</c:v>
                  </c:pt>
                  <c:pt idx="3">
                    <c:v>2020</c:v>
                  </c:pt>
                </c:lvl>
                <c:lvl>
                  <c:pt idx="0">
                    <c:v>Produktion</c:v>
                  </c:pt>
                  <c:pt idx="2">
                    <c:v>Forbrug</c:v>
                  </c:pt>
                </c:lvl>
              </c:multiLvlStrCache>
            </c:multiLvlStrRef>
          </c:cat>
          <c:val>
            <c:numRef>
              <c:f>'Grafer-energi'!$C$1220:$F$1220</c:f>
              <c:numCache>
                <c:formatCode>#,##0</c:formatCode>
                <c:ptCount val="4"/>
                <c:pt idx="0">
                  <c:v>0</c:v>
                </c:pt>
                <c:pt idx="1">
                  <c:v>0</c:v>
                </c:pt>
              </c:numCache>
            </c:numRef>
          </c:val>
          <c:extLst>
            <c:ext xmlns:c16="http://schemas.microsoft.com/office/drawing/2014/chart" uri="{C3380CC4-5D6E-409C-BE32-E72D297353CC}">
              <c16:uniqueId val="{00000009-50B7-4834-A8AE-A486AC6B8A00}"/>
            </c:ext>
          </c:extLst>
        </c:ser>
        <c:dLbls>
          <c:showLegendKey val="0"/>
          <c:showVal val="0"/>
          <c:showCatName val="0"/>
          <c:showSerName val="0"/>
          <c:showPercent val="0"/>
          <c:showBubbleSize val="0"/>
        </c:dLbls>
        <c:gapWidth val="150"/>
        <c:overlap val="100"/>
        <c:axId val="166967096"/>
        <c:axId val="166967488"/>
      </c:barChart>
      <c:catAx>
        <c:axId val="1669670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166967488"/>
        <c:crosses val="autoZero"/>
        <c:auto val="1"/>
        <c:lblAlgn val="ctr"/>
        <c:lblOffset val="100"/>
        <c:noMultiLvlLbl val="0"/>
      </c:catAx>
      <c:valAx>
        <c:axId val="16696748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r>
                  <a:rPr lang="da-DK"/>
                  <a:t>TJ/ år</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endParaRPr lang="da-DK"/>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16696709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277" l="0.70000000000000062" r="0.70000000000000062" t="0.75000000000001277"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33957579626871"/>
          <c:y val="3.465346534653465E-2"/>
          <c:w val="0.59008484074624901"/>
          <c:h val="0.83238327179737115"/>
        </c:manualLayout>
      </c:layout>
      <c:barChart>
        <c:barDir val="col"/>
        <c:grouping val="stacked"/>
        <c:varyColors val="0"/>
        <c:ser>
          <c:idx val="6"/>
          <c:order val="0"/>
          <c:tx>
            <c:strRef>
              <c:f>'Grafer-energi'!$B$1256</c:f>
              <c:strCache>
                <c:ptCount val="1"/>
                <c:pt idx="0">
                  <c:v>Forbrug</c:v>
                </c:pt>
              </c:strCache>
            </c:strRef>
          </c:tx>
          <c:spPr>
            <a:solidFill>
              <a:schemeClr val="accent1">
                <a:lumMod val="80000"/>
                <a:lumOff val="20000"/>
              </a:schemeClr>
            </a:solidFill>
            <a:ln>
              <a:noFill/>
            </a:ln>
            <a:effectLst/>
          </c:spPr>
          <c:invertIfNegative val="0"/>
          <c:cat>
            <c:multiLvlStrRef>
              <c:f>'Grafer-energi'!$C$1254:$F$1255</c:f>
              <c:multiLvlStrCache>
                <c:ptCount val="4"/>
                <c:lvl>
                  <c:pt idx="0">
                    <c:v>2018</c:v>
                  </c:pt>
                  <c:pt idx="1">
                    <c:v>2020</c:v>
                  </c:pt>
                  <c:pt idx="2">
                    <c:v>2018</c:v>
                  </c:pt>
                  <c:pt idx="3">
                    <c:v>2020</c:v>
                  </c:pt>
                </c:lvl>
                <c:lvl>
                  <c:pt idx="0">
                    <c:v>Produktion</c:v>
                  </c:pt>
                  <c:pt idx="2">
                    <c:v>Forbrug</c:v>
                  </c:pt>
                </c:lvl>
              </c:multiLvlStrCache>
            </c:multiLvlStrRef>
          </c:cat>
          <c:val>
            <c:numRef>
              <c:f>'Grafer-energi'!$C$1256:$F$1256</c:f>
              <c:numCache>
                <c:formatCode>#,##0</c:formatCode>
                <c:ptCount val="4"/>
                <c:pt idx="2">
                  <c:v>16.288500000000006</c:v>
                </c:pt>
                <c:pt idx="3">
                  <c:v>15.199067663999998</c:v>
                </c:pt>
              </c:numCache>
            </c:numRef>
          </c:val>
          <c:extLst>
            <c:ext xmlns:c16="http://schemas.microsoft.com/office/drawing/2014/chart" uri="{C3380CC4-5D6E-409C-BE32-E72D297353CC}">
              <c16:uniqueId val="{00000000-DDD3-41C4-811E-BC69A14CAE96}"/>
            </c:ext>
          </c:extLst>
        </c:ser>
        <c:ser>
          <c:idx val="1"/>
          <c:order val="1"/>
          <c:tx>
            <c:strRef>
              <c:f>'Grafer-energi'!$B$1257</c:f>
              <c:strCache>
                <c:ptCount val="1"/>
                <c:pt idx="0">
                  <c:v>Nettab</c:v>
                </c:pt>
              </c:strCache>
            </c:strRef>
          </c:tx>
          <c:spPr>
            <a:solidFill>
              <a:schemeClr val="accent3"/>
            </a:solidFill>
            <a:ln>
              <a:noFill/>
            </a:ln>
            <a:effectLst/>
          </c:spPr>
          <c:invertIfNegative val="0"/>
          <c:cat>
            <c:multiLvlStrRef>
              <c:f>'Grafer-energi'!$C$1254:$F$1255</c:f>
              <c:multiLvlStrCache>
                <c:ptCount val="4"/>
                <c:lvl>
                  <c:pt idx="0">
                    <c:v>2018</c:v>
                  </c:pt>
                  <c:pt idx="1">
                    <c:v>2020</c:v>
                  </c:pt>
                  <c:pt idx="2">
                    <c:v>2018</c:v>
                  </c:pt>
                  <c:pt idx="3">
                    <c:v>2020</c:v>
                  </c:pt>
                </c:lvl>
                <c:lvl>
                  <c:pt idx="0">
                    <c:v>Produktion</c:v>
                  </c:pt>
                  <c:pt idx="2">
                    <c:v>Forbrug</c:v>
                  </c:pt>
                </c:lvl>
              </c:multiLvlStrCache>
            </c:multiLvlStrRef>
          </c:cat>
          <c:val>
            <c:numRef>
              <c:f>'Grafer-energi'!$C$1257:$F$1257</c:f>
              <c:numCache>
                <c:formatCode>#,##0</c:formatCode>
                <c:ptCount val="4"/>
                <c:pt idx="2">
                  <c:v>5.4295000000000009</c:v>
                </c:pt>
                <c:pt idx="3">
                  <c:v>5.0663558880000004</c:v>
                </c:pt>
              </c:numCache>
            </c:numRef>
          </c:val>
          <c:extLst>
            <c:ext xmlns:c16="http://schemas.microsoft.com/office/drawing/2014/chart" uri="{C3380CC4-5D6E-409C-BE32-E72D297353CC}">
              <c16:uniqueId val="{00000001-DDD3-41C4-811E-BC69A14CAE96}"/>
            </c:ext>
          </c:extLst>
        </c:ser>
        <c:ser>
          <c:idx val="3"/>
          <c:order val="2"/>
          <c:tx>
            <c:strRef>
              <c:f>'Grafer-energi'!$B$1258</c:f>
              <c:strCache>
                <c:ptCount val="1"/>
                <c:pt idx="0">
                  <c:v>Egetforbrug af varme, industri</c:v>
                </c:pt>
              </c:strCache>
            </c:strRef>
          </c:tx>
          <c:spPr>
            <a:solidFill>
              <a:schemeClr val="accent1">
                <a:lumMod val="60000"/>
              </a:schemeClr>
            </a:solidFill>
            <a:ln>
              <a:noFill/>
            </a:ln>
            <a:effectLst/>
          </c:spPr>
          <c:invertIfNegative val="0"/>
          <c:cat>
            <c:multiLvlStrRef>
              <c:f>'Grafer-energi'!$C$1254:$F$1255</c:f>
              <c:multiLvlStrCache>
                <c:ptCount val="4"/>
                <c:lvl>
                  <c:pt idx="0">
                    <c:v>2018</c:v>
                  </c:pt>
                  <c:pt idx="1">
                    <c:v>2020</c:v>
                  </c:pt>
                  <c:pt idx="2">
                    <c:v>2018</c:v>
                  </c:pt>
                  <c:pt idx="3">
                    <c:v>2020</c:v>
                  </c:pt>
                </c:lvl>
                <c:lvl>
                  <c:pt idx="0">
                    <c:v>Produktion</c:v>
                  </c:pt>
                  <c:pt idx="2">
                    <c:v>Forbrug</c:v>
                  </c:pt>
                </c:lvl>
              </c:multiLvlStrCache>
            </c:multiLvlStrRef>
          </c:cat>
          <c:val>
            <c:numRef>
              <c:f>'Grafer-energi'!$C$1258:$F$1258</c:f>
              <c:numCache>
                <c:formatCode>0</c:formatCode>
                <c:ptCount val="4"/>
                <c:pt idx="2">
                  <c:v>0</c:v>
                </c:pt>
                <c:pt idx="3">
                  <c:v>0</c:v>
                </c:pt>
              </c:numCache>
            </c:numRef>
          </c:val>
          <c:extLst>
            <c:ext xmlns:c16="http://schemas.microsoft.com/office/drawing/2014/chart" uri="{C3380CC4-5D6E-409C-BE32-E72D297353CC}">
              <c16:uniqueId val="{00000002-DDD3-41C4-811E-BC69A14CAE96}"/>
            </c:ext>
          </c:extLst>
        </c:ser>
        <c:ser>
          <c:idx val="0"/>
          <c:order val="3"/>
          <c:tx>
            <c:strRef>
              <c:f>'Grafer-energi'!$B$1259</c:f>
              <c:strCache>
                <c:ptCount val="1"/>
              </c:strCache>
            </c:strRef>
          </c:tx>
          <c:spPr>
            <a:solidFill>
              <a:schemeClr val="accent1"/>
            </a:solidFill>
            <a:ln>
              <a:noFill/>
            </a:ln>
            <a:effectLst/>
          </c:spPr>
          <c:invertIfNegative val="0"/>
          <c:cat>
            <c:multiLvlStrRef>
              <c:f>'Grafer-energi'!$C$1254:$F$1255</c:f>
              <c:multiLvlStrCache>
                <c:ptCount val="4"/>
                <c:lvl>
                  <c:pt idx="0">
                    <c:v>2018</c:v>
                  </c:pt>
                  <c:pt idx="1">
                    <c:v>2020</c:v>
                  </c:pt>
                  <c:pt idx="2">
                    <c:v>2018</c:v>
                  </c:pt>
                  <c:pt idx="3">
                    <c:v>2020</c:v>
                  </c:pt>
                </c:lvl>
                <c:lvl>
                  <c:pt idx="0">
                    <c:v>Produktion</c:v>
                  </c:pt>
                  <c:pt idx="2">
                    <c:v>Forbrug</c:v>
                  </c:pt>
                </c:lvl>
              </c:multiLvlStrCache>
            </c:multiLvlStrRef>
          </c:cat>
          <c:val>
            <c:numRef>
              <c:f>'Grafer-energi'!$C$1259:$F$1259</c:f>
              <c:numCache>
                <c:formatCode>#,##0</c:formatCode>
                <c:ptCount val="4"/>
              </c:numCache>
            </c:numRef>
          </c:val>
          <c:extLst>
            <c:ext xmlns:c16="http://schemas.microsoft.com/office/drawing/2014/chart" uri="{C3380CC4-5D6E-409C-BE32-E72D297353CC}">
              <c16:uniqueId val="{00000003-DDD3-41C4-811E-BC69A14CAE96}"/>
            </c:ext>
          </c:extLst>
        </c:ser>
        <c:ser>
          <c:idx val="2"/>
          <c:order val="4"/>
          <c:tx>
            <c:strRef>
              <c:f>'Grafer-energi'!$B$1260</c:f>
              <c:strCache>
                <c:ptCount val="1"/>
                <c:pt idx="0">
                  <c:v>Brændselsolie/diesel</c:v>
                </c:pt>
              </c:strCache>
            </c:strRef>
          </c:tx>
          <c:spPr>
            <a:solidFill>
              <a:schemeClr val="accent5"/>
            </a:solidFill>
            <a:ln>
              <a:noFill/>
            </a:ln>
            <a:effectLst/>
          </c:spPr>
          <c:invertIfNegative val="0"/>
          <c:cat>
            <c:multiLvlStrRef>
              <c:f>'Grafer-energi'!$C$1254:$F$1255</c:f>
              <c:multiLvlStrCache>
                <c:ptCount val="4"/>
                <c:lvl>
                  <c:pt idx="0">
                    <c:v>2018</c:v>
                  </c:pt>
                  <c:pt idx="1">
                    <c:v>2020</c:v>
                  </c:pt>
                  <c:pt idx="2">
                    <c:v>2018</c:v>
                  </c:pt>
                  <c:pt idx="3">
                    <c:v>2020</c:v>
                  </c:pt>
                </c:lvl>
                <c:lvl>
                  <c:pt idx="0">
                    <c:v>Produktion</c:v>
                  </c:pt>
                  <c:pt idx="2">
                    <c:v>Forbrug</c:v>
                  </c:pt>
                </c:lvl>
              </c:multiLvlStrCache>
            </c:multiLvlStrRef>
          </c:cat>
          <c:val>
            <c:numRef>
              <c:f>'Grafer-energi'!$C$1260:$F$1260</c:f>
              <c:numCache>
                <c:formatCode>#,##0</c:formatCode>
                <c:ptCount val="4"/>
                <c:pt idx="0">
                  <c:v>0.49800000000000011</c:v>
                </c:pt>
                <c:pt idx="1">
                  <c:v>0.78686783999999987</c:v>
                </c:pt>
              </c:numCache>
            </c:numRef>
          </c:val>
          <c:extLst>
            <c:ext xmlns:c16="http://schemas.microsoft.com/office/drawing/2014/chart" uri="{C3380CC4-5D6E-409C-BE32-E72D297353CC}">
              <c16:uniqueId val="{00000004-DDD3-41C4-811E-BC69A14CAE96}"/>
            </c:ext>
          </c:extLst>
        </c:ser>
        <c:ser>
          <c:idx val="4"/>
          <c:order val="5"/>
          <c:tx>
            <c:strRef>
              <c:f>'Grafer-energi'!$B$1261</c:f>
              <c:strCache>
                <c:ptCount val="1"/>
                <c:pt idx="0">
                  <c:v>Kul</c:v>
                </c:pt>
              </c:strCache>
            </c:strRef>
          </c:tx>
          <c:spPr>
            <a:solidFill>
              <a:schemeClr val="accent3">
                <a:lumMod val="60000"/>
              </a:schemeClr>
            </a:solidFill>
            <a:ln>
              <a:noFill/>
            </a:ln>
            <a:effectLst/>
          </c:spPr>
          <c:invertIfNegative val="0"/>
          <c:cat>
            <c:multiLvlStrRef>
              <c:f>'Grafer-energi'!$C$1254:$F$1255</c:f>
              <c:multiLvlStrCache>
                <c:ptCount val="4"/>
                <c:lvl>
                  <c:pt idx="0">
                    <c:v>2018</c:v>
                  </c:pt>
                  <c:pt idx="1">
                    <c:v>2020</c:v>
                  </c:pt>
                  <c:pt idx="2">
                    <c:v>2018</c:v>
                  </c:pt>
                  <c:pt idx="3">
                    <c:v>2020</c:v>
                  </c:pt>
                </c:lvl>
                <c:lvl>
                  <c:pt idx="0">
                    <c:v>Produktion</c:v>
                  </c:pt>
                  <c:pt idx="2">
                    <c:v>Forbrug</c:v>
                  </c:pt>
                </c:lvl>
              </c:multiLvlStrCache>
            </c:multiLvlStrRef>
          </c:cat>
          <c:val>
            <c:numRef>
              <c:f>'Grafer-energi'!$C$1261:$F$1261</c:f>
              <c:numCache>
                <c:formatCode>#,##0</c:formatCode>
                <c:ptCount val="4"/>
                <c:pt idx="0">
                  <c:v>0</c:v>
                </c:pt>
                <c:pt idx="1">
                  <c:v>0</c:v>
                </c:pt>
              </c:numCache>
            </c:numRef>
          </c:val>
          <c:extLst>
            <c:ext xmlns:c16="http://schemas.microsoft.com/office/drawing/2014/chart" uri="{C3380CC4-5D6E-409C-BE32-E72D297353CC}">
              <c16:uniqueId val="{00000005-DDD3-41C4-811E-BC69A14CAE96}"/>
            </c:ext>
          </c:extLst>
        </c:ser>
        <c:ser>
          <c:idx val="14"/>
          <c:order val="6"/>
          <c:tx>
            <c:strRef>
              <c:f>'Grafer-energi'!$B$1262</c:f>
              <c:strCache>
                <c:ptCount val="1"/>
                <c:pt idx="0">
                  <c:v>Fuelolie</c:v>
                </c:pt>
              </c:strCache>
            </c:strRef>
          </c:tx>
          <c:spPr>
            <a:solidFill>
              <a:schemeClr val="accent5">
                <a:lumMod val="60000"/>
                <a:lumOff val="40000"/>
              </a:schemeClr>
            </a:solidFill>
            <a:ln>
              <a:noFill/>
            </a:ln>
            <a:effectLst/>
          </c:spPr>
          <c:invertIfNegative val="0"/>
          <c:cat>
            <c:multiLvlStrRef>
              <c:f>'Grafer-energi'!$C$1254:$F$1255</c:f>
              <c:multiLvlStrCache>
                <c:ptCount val="4"/>
                <c:lvl>
                  <c:pt idx="0">
                    <c:v>2018</c:v>
                  </c:pt>
                  <c:pt idx="1">
                    <c:v>2020</c:v>
                  </c:pt>
                  <c:pt idx="2">
                    <c:v>2018</c:v>
                  </c:pt>
                  <c:pt idx="3">
                    <c:v>2020</c:v>
                  </c:pt>
                </c:lvl>
                <c:lvl>
                  <c:pt idx="0">
                    <c:v>Produktion</c:v>
                  </c:pt>
                  <c:pt idx="2">
                    <c:v>Forbrug</c:v>
                  </c:pt>
                </c:lvl>
              </c:multiLvlStrCache>
            </c:multiLvlStrRef>
          </c:cat>
          <c:val>
            <c:numRef>
              <c:f>'Grafer-energi'!$C$1262:$F$1262</c:f>
              <c:numCache>
                <c:formatCode>#,##0</c:formatCode>
                <c:ptCount val="4"/>
                <c:pt idx="0">
                  <c:v>0</c:v>
                </c:pt>
                <c:pt idx="1">
                  <c:v>0</c:v>
                </c:pt>
              </c:numCache>
            </c:numRef>
          </c:val>
          <c:extLst>
            <c:ext xmlns:c16="http://schemas.microsoft.com/office/drawing/2014/chart" uri="{C3380CC4-5D6E-409C-BE32-E72D297353CC}">
              <c16:uniqueId val="{00000006-DDD3-41C4-811E-BC69A14CAE96}"/>
            </c:ext>
          </c:extLst>
        </c:ser>
        <c:ser>
          <c:idx val="13"/>
          <c:order val="7"/>
          <c:tx>
            <c:strRef>
              <c:f>'Grafer-energi'!$B$1263</c:f>
              <c:strCache>
                <c:ptCount val="1"/>
                <c:pt idx="0">
                  <c:v>Naturgas</c:v>
                </c:pt>
              </c:strCache>
            </c:strRef>
          </c:tx>
          <c:spPr>
            <a:solidFill>
              <a:schemeClr val="accent3">
                <a:lumMod val="60000"/>
                <a:lumOff val="40000"/>
              </a:schemeClr>
            </a:solidFill>
            <a:ln>
              <a:noFill/>
            </a:ln>
            <a:effectLst/>
          </c:spPr>
          <c:invertIfNegative val="0"/>
          <c:cat>
            <c:multiLvlStrRef>
              <c:f>'Grafer-energi'!$C$1254:$F$1255</c:f>
              <c:multiLvlStrCache>
                <c:ptCount val="4"/>
                <c:lvl>
                  <c:pt idx="0">
                    <c:v>2018</c:v>
                  </c:pt>
                  <c:pt idx="1">
                    <c:v>2020</c:v>
                  </c:pt>
                  <c:pt idx="2">
                    <c:v>2018</c:v>
                  </c:pt>
                  <c:pt idx="3">
                    <c:v>2020</c:v>
                  </c:pt>
                </c:lvl>
                <c:lvl>
                  <c:pt idx="0">
                    <c:v>Produktion</c:v>
                  </c:pt>
                  <c:pt idx="2">
                    <c:v>Forbrug</c:v>
                  </c:pt>
                </c:lvl>
              </c:multiLvlStrCache>
            </c:multiLvlStrRef>
          </c:cat>
          <c:val>
            <c:numRef>
              <c:f>'Grafer-energi'!$C$1263:$F$1263</c:f>
              <c:numCache>
                <c:formatCode>#,##0</c:formatCode>
                <c:ptCount val="4"/>
                <c:pt idx="0">
                  <c:v>0</c:v>
                </c:pt>
                <c:pt idx="1">
                  <c:v>0</c:v>
                </c:pt>
              </c:numCache>
            </c:numRef>
          </c:val>
          <c:extLst>
            <c:ext xmlns:c16="http://schemas.microsoft.com/office/drawing/2014/chart" uri="{C3380CC4-5D6E-409C-BE32-E72D297353CC}">
              <c16:uniqueId val="{00000007-DDD3-41C4-811E-BC69A14CAE96}"/>
            </c:ext>
          </c:extLst>
        </c:ser>
        <c:ser>
          <c:idx val="7"/>
          <c:order val="8"/>
          <c:tx>
            <c:strRef>
              <c:f>'Grafer-energi'!$B$1264</c:f>
              <c:strCache>
                <c:ptCount val="1"/>
                <c:pt idx="0">
                  <c:v>Affald, ikke bionedbrydeligt</c:v>
                </c:pt>
              </c:strCache>
            </c:strRef>
          </c:tx>
          <c:spPr>
            <a:solidFill>
              <a:schemeClr val="accent3">
                <a:lumMod val="80000"/>
                <a:lumOff val="20000"/>
              </a:schemeClr>
            </a:solidFill>
            <a:ln>
              <a:noFill/>
            </a:ln>
            <a:effectLst/>
          </c:spPr>
          <c:invertIfNegative val="0"/>
          <c:cat>
            <c:multiLvlStrRef>
              <c:f>'Grafer-energi'!$C$1254:$F$1255</c:f>
              <c:multiLvlStrCache>
                <c:ptCount val="4"/>
                <c:lvl>
                  <c:pt idx="0">
                    <c:v>2018</c:v>
                  </c:pt>
                  <c:pt idx="1">
                    <c:v>2020</c:v>
                  </c:pt>
                  <c:pt idx="2">
                    <c:v>2018</c:v>
                  </c:pt>
                  <c:pt idx="3">
                    <c:v>2020</c:v>
                  </c:pt>
                </c:lvl>
                <c:lvl>
                  <c:pt idx="0">
                    <c:v>Produktion</c:v>
                  </c:pt>
                  <c:pt idx="2">
                    <c:v>Forbrug</c:v>
                  </c:pt>
                </c:lvl>
              </c:multiLvlStrCache>
            </c:multiLvlStrRef>
          </c:cat>
          <c:val>
            <c:numRef>
              <c:f>'Grafer-energi'!$C$1264:$F$1264</c:f>
              <c:numCache>
                <c:formatCode>#,##0</c:formatCode>
                <c:ptCount val="4"/>
                <c:pt idx="0">
                  <c:v>0</c:v>
                </c:pt>
                <c:pt idx="1">
                  <c:v>0</c:v>
                </c:pt>
              </c:numCache>
            </c:numRef>
          </c:val>
          <c:extLst>
            <c:ext xmlns:c16="http://schemas.microsoft.com/office/drawing/2014/chart" uri="{C3380CC4-5D6E-409C-BE32-E72D297353CC}">
              <c16:uniqueId val="{00000008-DDD3-41C4-811E-BC69A14CAE96}"/>
            </c:ext>
          </c:extLst>
        </c:ser>
        <c:ser>
          <c:idx val="8"/>
          <c:order val="9"/>
          <c:tx>
            <c:strRef>
              <c:f>'Grafer-energi'!$B$1265</c:f>
              <c:strCache>
                <c:ptCount val="1"/>
                <c:pt idx="0">
                  <c:v>Affald, bionedbrydeligt</c:v>
                </c:pt>
              </c:strCache>
            </c:strRef>
          </c:tx>
          <c:spPr>
            <a:solidFill>
              <a:schemeClr val="accent5">
                <a:lumMod val="80000"/>
                <a:lumOff val="20000"/>
              </a:schemeClr>
            </a:solidFill>
            <a:ln>
              <a:noFill/>
            </a:ln>
            <a:effectLst/>
          </c:spPr>
          <c:invertIfNegative val="0"/>
          <c:cat>
            <c:multiLvlStrRef>
              <c:f>'Grafer-energi'!$C$1254:$F$1255</c:f>
              <c:multiLvlStrCache>
                <c:ptCount val="4"/>
                <c:lvl>
                  <c:pt idx="0">
                    <c:v>2018</c:v>
                  </c:pt>
                  <c:pt idx="1">
                    <c:v>2020</c:v>
                  </c:pt>
                  <c:pt idx="2">
                    <c:v>2018</c:v>
                  </c:pt>
                  <c:pt idx="3">
                    <c:v>2020</c:v>
                  </c:pt>
                </c:lvl>
                <c:lvl>
                  <c:pt idx="0">
                    <c:v>Produktion</c:v>
                  </c:pt>
                  <c:pt idx="2">
                    <c:v>Forbrug</c:v>
                  </c:pt>
                </c:lvl>
              </c:multiLvlStrCache>
            </c:multiLvlStrRef>
          </c:cat>
          <c:val>
            <c:numRef>
              <c:f>'Grafer-energi'!$C$1265:$F$1265</c:f>
              <c:numCache>
                <c:formatCode>#,##0</c:formatCode>
                <c:ptCount val="4"/>
                <c:pt idx="0">
                  <c:v>0</c:v>
                </c:pt>
                <c:pt idx="1">
                  <c:v>0</c:v>
                </c:pt>
              </c:numCache>
            </c:numRef>
          </c:val>
          <c:extLst>
            <c:ext xmlns:c16="http://schemas.microsoft.com/office/drawing/2014/chart" uri="{C3380CC4-5D6E-409C-BE32-E72D297353CC}">
              <c16:uniqueId val="{00000009-DDD3-41C4-811E-BC69A14CAE96}"/>
            </c:ext>
          </c:extLst>
        </c:ser>
        <c:ser>
          <c:idx val="10"/>
          <c:order val="10"/>
          <c:tx>
            <c:strRef>
              <c:f>'Grafer-energi'!$B$1266</c:f>
              <c:strCache>
                <c:ptCount val="1"/>
                <c:pt idx="0">
                  <c:v>Biomasse og biogas</c:v>
                </c:pt>
              </c:strCache>
            </c:strRef>
          </c:tx>
          <c:spPr>
            <a:solidFill>
              <a:schemeClr val="accent3">
                <a:lumMod val="80000"/>
              </a:schemeClr>
            </a:solidFill>
            <a:ln>
              <a:noFill/>
            </a:ln>
            <a:effectLst/>
          </c:spPr>
          <c:invertIfNegative val="0"/>
          <c:cat>
            <c:multiLvlStrRef>
              <c:f>'Grafer-energi'!$C$1254:$F$1255</c:f>
              <c:multiLvlStrCache>
                <c:ptCount val="4"/>
                <c:lvl>
                  <c:pt idx="0">
                    <c:v>2018</c:v>
                  </c:pt>
                  <c:pt idx="1">
                    <c:v>2020</c:v>
                  </c:pt>
                  <c:pt idx="2">
                    <c:v>2018</c:v>
                  </c:pt>
                  <c:pt idx="3">
                    <c:v>2020</c:v>
                  </c:pt>
                </c:lvl>
                <c:lvl>
                  <c:pt idx="0">
                    <c:v>Produktion</c:v>
                  </c:pt>
                  <c:pt idx="2">
                    <c:v>Forbrug</c:v>
                  </c:pt>
                </c:lvl>
              </c:multiLvlStrCache>
            </c:multiLvlStrRef>
          </c:cat>
          <c:val>
            <c:numRef>
              <c:f>'Grafer-energi'!$C$1266:$F$1266</c:f>
              <c:numCache>
                <c:formatCode>#,##0</c:formatCode>
                <c:ptCount val="4"/>
                <c:pt idx="0">
                  <c:v>21.220000000000002</c:v>
                </c:pt>
                <c:pt idx="1">
                  <c:v>19.478555711999999</c:v>
                </c:pt>
              </c:numCache>
            </c:numRef>
          </c:val>
          <c:extLst>
            <c:ext xmlns:c16="http://schemas.microsoft.com/office/drawing/2014/chart" uri="{C3380CC4-5D6E-409C-BE32-E72D297353CC}">
              <c16:uniqueId val="{0000000A-DDD3-41C4-811E-BC69A14CAE96}"/>
            </c:ext>
          </c:extLst>
        </c:ser>
        <c:ser>
          <c:idx val="9"/>
          <c:order val="11"/>
          <c:tx>
            <c:strRef>
              <c:f>'Grafer-energi'!$B$1267</c:f>
              <c:strCache>
                <c:ptCount val="1"/>
                <c:pt idx="0">
                  <c:v>El (varmepumper, elpatroner)</c:v>
                </c:pt>
              </c:strCache>
            </c:strRef>
          </c:tx>
          <c:spPr>
            <a:solidFill>
              <a:schemeClr val="accent1">
                <a:lumMod val="80000"/>
              </a:schemeClr>
            </a:solidFill>
            <a:ln>
              <a:noFill/>
            </a:ln>
            <a:effectLst/>
          </c:spPr>
          <c:invertIfNegative val="0"/>
          <c:cat>
            <c:multiLvlStrRef>
              <c:f>'Grafer-energi'!$C$1254:$F$1255</c:f>
              <c:multiLvlStrCache>
                <c:ptCount val="4"/>
                <c:lvl>
                  <c:pt idx="0">
                    <c:v>2018</c:v>
                  </c:pt>
                  <c:pt idx="1">
                    <c:v>2020</c:v>
                  </c:pt>
                  <c:pt idx="2">
                    <c:v>2018</c:v>
                  </c:pt>
                  <c:pt idx="3">
                    <c:v>2020</c:v>
                  </c:pt>
                </c:lvl>
                <c:lvl>
                  <c:pt idx="0">
                    <c:v>Produktion</c:v>
                  </c:pt>
                  <c:pt idx="2">
                    <c:v>Forbrug</c:v>
                  </c:pt>
                </c:lvl>
              </c:multiLvlStrCache>
            </c:multiLvlStrRef>
          </c:cat>
          <c:val>
            <c:numRef>
              <c:f>'Grafer-energi'!$C$1267:$F$1267</c:f>
              <c:numCache>
                <c:formatCode>#,##0</c:formatCode>
                <c:ptCount val="4"/>
                <c:pt idx="0">
                  <c:v>0</c:v>
                </c:pt>
                <c:pt idx="1">
                  <c:v>0</c:v>
                </c:pt>
              </c:numCache>
            </c:numRef>
          </c:val>
          <c:extLst>
            <c:ext xmlns:c16="http://schemas.microsoft.com/office/drawing/2014/chart" uri="{C3380CC4-5D6E-409C-BE32-E72D297353CC}">
              <c16:uniqueId val="{0000000B-DDD3-41C4-811E-BC69A14CAE96}"/>
            </c:ext>
          </c:extLst>
        </c:ser>
        <c:ser>
          <c:idx val="11"/>
          <c:order val="12"/>
          <c:tx>
            <c:strRef>
              <c:f>'Grafer-energi'!$B$1268</c:f>
              <c:strCache>
                <c:ptCount val="1"/>
                <c:pt idx="0">
                  <c:v>Solenergi</c:v>
                </c:pt>
              </c:strCache>
            </c:strRef>
          </c:tx>
          <c:spPr>
            <a:solidFill>
              <a:schemeClr val="accent5">
                <a:lumMod val="80000"/>
              </a:schemeClr>
            </a:solidFill>
            <a:ln>
              <a:noFill/>
            </a:ln>
            <a:effectLst/>
          </c:spPr>
          <c:invertIfNegative val="0"/>
          <c:cat>
            <c:multiLvlStrRef>
              <c:f>'Grafer-energi'!$C$1254:$F$1255</c:f>
              <c:multiLvlStrCache>
                <c:ptCount val="4"/>
                <c:lvl>
                  <c:pt idx="0">
                    <c:v>2018</c:v>
                  </c:pt>
                  <c:pt idx="1">
                    <c:v>2020</c:v>
                  </c:pt>
                  <c:pt idx="2">
                    <c:v>2018</c:v>
                  </c:pt>
                  <c:pt idx="3">
                    <c:v>2020</c:v>
                  </c:pt>
                </c:lvl>
                <c:lvl>
                  <c:pt idx="0">
                    <c:v>Produktion</c:v>
                  </c:pt>
                  <c:pt idx="2">
                    <c:v>Forbrug</c:v>
                  </c:pt>
                </c:lvl>
              </c:multiLvlStrCache>
            </c:multiLvlStrRef>
          </c:cat>
          <c:val>
            <c:numRef>
              <c:f>'Grafer-energi'!$C$1268:$F$1268</c:f>
              <c:numCache>
                <c:formatCode>#,##0</c:formatCode>
                <c:ptCount val="4"/>
                <c:pt idx="0">
                  <c:v>0</c:v>
                </c:pt>
                <c:pt idx="1">
                  <c:v>0</c:v>
                </c:pt>
              </c:numCache>
            </c:numRef>
          </c:val>
          <c:extLst>
            <c:ext xmlns:c16="http://schemas.microsoft.com/office/drawing/2014/chart" uri="{C3380CC4-5D6E-409C-BE32-E72D297353CC}">
              <c16:uniqueId val="{0000000C-DDD3-41C4-811E-BC69A14CAE96}"/>
            </c:ext>
          </c:extLst>
        </c:ser>
        <c:ser>
          <c:idx val="12"/>
          <c:order val="13"/>
          <c:tx>
            <c:strRef>
              <c:f>'Grafer-energi'!$B$1269</c:f>
              <c:strCache>
                <c:ptCount val="1"/>
                <c:pt idx="0">
                  <c:v>Geotermi</c:v>
                </c:pt>
              </c:strCache>
            </c:strRef>
          </c:tx>
          <c:spPr>
            <a:solidFill>
              <a:schemeClr val="accent1">
                <a:lumMod val="60000"/>
                <a:lumOff val="40000"/>
              </a:schemeClr>
            </a:solidFill>
            <a:ln>
              <a:noFill/>
            </a:ln>
            <a:effectLst/>
          </c:spPr>
          <c:invertIfNegative val="0"/>
          <c:cat>
            <c:multiLvlStrRef>
              <c:f>'Grafer-energi'!$C$1254:$F$1255</c:f>
              <c:multiLvlStrCache>
                <c:ptCount val="4"/>
                <c:lvl>
                  <c:pt idx="0">
                    <c:v>2018</c:v>
                  </c:pt>
                  <c:pt idx="1">
                    <c:v>2020</c:v>
                  </c:pt>
                  <c:pt idx="2">
                    <c:v>2018</c:v>
                  </c:pt>
                  <c:pt idx="3">
                    <c:v>2020</c:v>
                  </c:pt>
                </c:lvl>
                <c:lvl>
                  <c:pt idx="0">
                    <c:v>Produktion</c:v>
                  </c:pt>
                  <c:pt idx="2">
                    <c:v>Forbrug</c:v>
                  </c:pt>
                </c:lvl>
              </c:multiLvlStrCache>
            </c:multiLvlStrRef>
          </c:cat>
          <c:val>
            <c:numRef>
              <c:f>'Grafer-energi'!$C$1269:$F$1269</c:f>
              <c:numCache>
                <c:formatCode>#,##0</c:formatCode>
                <c:ptCount val="4"/>
                <c:pt idx="0">
                  <c:v>0</c:v>
                </c:pt>
                <c:pt idx="1">
                  <c:v>0</c:v>
                </c:pt>
              </c:numCache>
            </c:numRef>
          </c:val>
          <c:extLst>
            <c:ext xmlns:c16="http://schemas.microsoft.com/office/drawing/2014/chart" uri="{C3380CC4-5D6E-409C-BE32-E72D297353CC}">
              <c16:uniqueId val="{0000000D-DDD3-41C4-811E-BC69A14CAE96}"/>
            </c:ext>
          </c:extLst>
        </c:ser>
        <c:ser>
          <c:idx val="5"/>
          <c:order val="14"/>
          <c:tx>
            <c:strRef>
              <c:f>'Grafer-energi'!$B$1270</c:f>
              <c:strCache>
                <c:ptCount val="1"/>
                <c:pt idx="0">
                  <c:v>Overskudsvarme</c:v>
                </c:pt>
              </c:strCache>
            </c:strRef>
          </c:tx>
          <c:spPr>
            <a:solidFill>
              <a:schemeClr val="accent5">
                <a:lumMod val="60000"/>
              </a:schemeClr>
            </a:solidFill>
            <a:ln>
              <a:noFill/>
            </a:ln>
            <a:effectLst/>
          </c:spPr>
          <c:invertIfNegative val="0"/>
          <c:cat>
            <c:multiLvlStrRef>
              <c:f>'Grafer-energi'!$C$1254:$F$1255</c:f>
              <c:multiLvlStrCache>
                <c:ptCount val="4"/>
                <c:lvl>
                  <c:pt idx="0">
                    <c:v>2018</c:v>
                  </c:pt>
                  <c:pt idx="1">
                    <c:v>2020</c:v>
                  </c:pt>
                  <c:pt idx="2">
                    <c:v>2018</c:v>
                  </c:pt>
                  <c:pt idx="3">
                    <c:v>2020</c:v>
                  </c:pt>
                </c:lvl>
                <c:lvl>
                  <c:pt idx="0">
                    <c:v>Produktion</c:v>
                  </c:pt>
                  <c:pt idx="2">
                    <c:v>Forbrug</c:v>
                  </c:pt>
                </c:lvl>
              </c:multiLvlStrCache>
            </c:multiLvlStrRef>
          </c:cat>
          <c:val>
            <c:numRef>
              <c:f>'Grafer-energi'!$C$1270:$F$1270</c:f>
              <c:numCache>
                <c:formatCode>#,##0</c:formatCode>
                <c:ptCount val="4"/>
                <c:pt idx="0">
                  <c:v>0</c:v>
                </c:pt>
                <c:pt idx="1">
                  <c:v>0</c:v>
                </c:pt>
              </c:numCache>
            </c:numRef>
          </c:val>
          <c:extLst>
            <c:ext xmlns:c16="http://schemas.microsoft.com/office/drawing/2014/chart" uri="{C3380CC4-5D6E-409C-BE32-E72D297353CC}">
              <c16:uniqueId val="{0000000E-DDD3-41C4-811E-BC69A14CAE96}"/>
            </c:ext>
          </c:extLst>
        </c:ser>
        <c:dLbls>
          <c:showLegendKey val="0"/>
          <c:showVal val="0"/>
          <c:showCatName val="0"/>
          <c:showSerName val="0"/>
          <c:showPercent val="0"/>
          <c:showBubbleSize val="0"/>
        </c:dLbls>
        <c:gapWidth val="150"/>
        <c:overlap val="100"/>
        <c:axId val="166968272"/>
        <c:axId val="166968664"/>
      </c:barChart>
      <c:catAx>
        <c:axId val="166968272"/>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166968664"/>
        <c:crosses val="autoZero"/>
        <c:auto val="1"/>
        <c:lblAlgn val="ctr"/>
        <c:lblOffset val="100"/>
        <c:noMultiLvlLbl val="0"/>
      </c:catAx>
      <c:valAx>
        <c:axId val="1669686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r>
                  <a:rPr lang="da-DK"/>
                  <a:t>TJ/år</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endParaRPr lang="da-DK"/>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16696827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88" l="0.70000000000000062" r="0.70000000000000062" t="0.75000000000001188"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6208333333352"/>
          <c:y val="3.465346534653465E-2"/>
          <c:w val="0.61633585695853033"/>
          <c:h val="0.89395492112495856"/>
        </c:manualLayout>
      </c:layout>
      <c:barChart>
        <c:barDir val="col"/>
        <c:grouping val="stacked"/>
        <c:varyColors val="0"/>
        <c:ser>
          <c:idx val="1"/>
          <c:order val="0"/>
          <c:tx>
            <c:strRef>
              <c:f>'Grafer-energi'!$B$148</c:f>
              <c:strCache>
                <c:ptCount val="1"/>
                <c:pt idx="0">
                  <c:v>Elimport</c:v>
                </c:pt>
              </c:strCache>
            </c:strRef>
          </c:tx>
          <c:spPr>
            <a:solidFill>
              <a:schemeClr val="accent3"/>
            </a:solidFill>
            <a:ln>
              <a:noFill/>
            </a:ln>
            <a:effectLst/>
          </c:spPr>
          <c:invertIfNegative val="0"/>
          <c:cat>
            <c:numRef>
              <c:f>'Grafer-energi'!$C$97:$E$97</c:f>
              <c:numCache>
                <c:formatCode>General</c:formatCode>
                <c:ptCount val="3"/>
                <c:pt idx="0">
                  <c:v>1990</c:v>
                </c:pt>
                <c:pt idx="1">
                  <c:v>2018</c:v>
                </c:pt>
                <c:pt idx="2">
                  <c:v>2020</c:v>
                </c:pt>
              </c:numCache>
            </c:numRef>
          </c:cat>
          <c:val>
            <c:numRef>
              <c:f>'Grafer-energi'!$C$148:$E$148</c:f>
              <c:numCache>
                <c:formatCode>#,##0</c:formatCode>
                <c:ptCount val="3"/>
                <c:pt idx="0">
                  <c:v>47.766958828937327</c:v>
                </c:pt>
                <c:pt idx="1">
                  <c:v>36.624084278714065</c:v>
                </c:pt>
                <c:pt idx="2">
                  <c:v>28.262897773245289</c:v>
                </c:pt>
              </c:numCache>
            </c:numRef>
          </c:val>
          <c:extLst>
            <c:ext xmlns:c16="http://schemas.microsoft.com/office/drawing/2014/chart" uri="{C3380CC4-5D6E-409C-BE32-E72D297353CC}">
              <c16:uniqueId val="{00000000-3F80-4F17-A274-9667B86F8C2B}"/>
            </c:ext>
          </c:extLst>
        </c:ser>
        <c:ser>
          <c:idx val="2"/>
          <c:order val="1"/>
          <c:tx>
            <c:strRef>
              <c:f>'Grafer-energi'!$B$149</c:f>
              <c:strCache>
                <c:ptCount val="1"/>
                <c:pt idx="0">
                  <c:v>Kul</c:v>
                </c:pt>
              </c:strCache>
            </c:strRef>
          </c:tx>
          <c:spPr>
            <a:solidFill>
              <a:schemeClr val="accent5"/>
            </a:solidFill>
            <a:ln>
              <a:noFill/>
            </a:ln>
            <a:effectLst/>
          </c:spPr>
          <c:invertIfNegative val="0"/>
          <c:cat>
            <c:numRef>
              <c:f>'Grafer-energi'!$C$97:$E$97</c:f>
              <c:numCache>
                <c:formatCode>General</c:formatCode>
                <c:ptCount val="3"/>
                <c:pt idx="0">
                  <c:v>1990</c:v>
                </c:pt>
                <c:pt idx="1">
                  <c:v>2018</c:v>
                </c:pt>
                <c:pt idx="2">
                  <c:v>2020</c:v>
                </c:pt>
              </c:numCache>
            </c:numRef>
          </c:cat>
          <c:val>
            <c:numRef>
              <c:f>'Grafer-energi'!$C$149:$E$149</c:f>
              <c:numCache>
                <c:formatCode>#,##0</c:formatCode>
                <c:ptCount val="3"/>
                <c:pt idx="0">
                  <c:v>0</c:v>
                </c:pt>
                <c:pt idx="1">
                  <c:v>0</c:v>
                </c:pt>
                <c:pt idx="2">
                  <c:v>0</c:v>
                </c:pt>
              </c:numCache>
            </c:numRef>
          </c:val>
          <c:extLst>
            <c:ext xmlns:c16="http://schemas.microsoft.com/office/drawing/2014/chart" uri="{C3380CC4-5D6E-409C-BE32-E72D297353CC}">
              <c16:uniqueId val="{00000001-3F80-4F17-A274-9667B86F8C2B}"/>
            </c:ext>
          </c:extLst>
        </c:ser>
        <c:ser>
          <c:idx val="3"/>
          <c:order val="2"/>
          <c:tx>
            <c:strRef>
              <c:f>'Grafer-energi'!$B$150</c:f>
              <c:strCache>
                <c:ptCount val="1"/>
                <c:pt idx="0">
                  <c:v>Olie- og gasprodukter</c:v>
                </c:pt>
              </c:strCache>
            </c:strRef>
          </c:tx>
          <c:spPr>
            <a:solidFill>
              <a:schemeClr val="accent1">
                <a:lumMod val="60000"/>
              </a:schemeClr>
            </a:solidFill>
            <a:ln>
              <a:noFill/>
            </a:ln>
            <a:effectLst/>
          </c:spPr>
          <c:invertIfNegative val="0"/>
          <c:cat>
            <c:numRef>
              <c:f>'Grafer-energi'!$C$97:$E$97</c:f>
              <c:numCache>
                <c:formatCode>General</c:formatCode>
                <c:ptCount val="3"/>
                <c:pt idx="0">
                  <c:v>1990</c:v>
                </c:pt>
                <c:pt idx="1">
                  <c:v>2018</c:v>
                </c:pt>
                <c:pt idx="2">
                  <c:v>2020</c:v>
                </c:pt>
              </c:numCache>
            </c:numRef>
          </c:cat>
          <c:val>
            <c:numRef>
              <c:f>'Grafer-energi'!$C$150:$E$150</c:f>
              <c:numCache>
                <c:formatCode>#,##0</c:formatCode>
                <c:ptCount val="3"/>
                <c:pt idx="0">
                  <c:v>171.65035796520266</c:v>
                </c:pt>
                <c:pt idx="1">
                  <c:v>121.22203000000002</c:v>
                </c:pt>
                <c:pt idx="2">
                  <c:v>106.84137999999999</c:v>
                </c:pt>
              </c:numCache>
            </c:numRef>
          </c:val>
          <c:extLst>
            <c:ext xmlns:c16="http://schemas.microsoft.com/office/drawing/2014/chart" uri="{C3380CC4-5D6E-409C-BE32-E72D297353CC}">
              <c16:uniqueId val="{00000002-3F80-4F17-A274-9667B86F8C2B}"/>
            </c:ext>
          </c:extLst>
        </c:ser>
        <c:ser>
          <c:idx val="4"/>
          <c:order val="3"/>
          <c:tx>
            <c:strRef>
              <c:f>'Grafer-energi'!$B$151</c:f>
              <c:strCache>
                <c:ptCount val="1"/>
                <c:pt idx="0">
                  <c:v>Affald, ikke bionedbrydeligt</c:v>
                </c:pt>
              </c:strCache>
            </c:strRef>
          </c:tx>
          <c:spPr>
            <a:solidFill>
              <a:schemeClr val="accent3">
                <a:lumMod val="60000"/>
              </a:schemeClr>
            </a:solidFill>
            <a:ln>
              <a:noFill/>
            </a:ln>
            <a:effectLst/>
          </c:spPr>
          <c:invertIfNegative val="0"/>
          <c:cat>
            <c:numRef>
              <c:f>'Grafer-energi'!$C$97:$E$97</c:f>
              <c:numCache>
                <c:formatCode>General</c:formatCode>
                <c:ptCount val="3"/>
                <c:pt idx="0">
                  <c:v>1990</c:v>
                </c:pt>
                <c:pt idx="1">
                  <c:v>2018</c:v>
                </c:pt>
                <c:pt idx="2">
                  <c:v>2020</c:v>
                </c:pt>
              </c:numCache>
            </c:numRef>
          </c:cat>
          <c:val>
            <c:numRef>
              <c:f>'Grafer-energi'!$C$151:$E$151</c:f>
              <c:numCache>
                <c:formatCode>#,##0</c:formatCode>
                <c:ptCount val="3"/>
                <c:pt idx="0">
                  <c:v>0</c:v>
                </c:pt>
                <c:pt idx="1">
                  <c:v>0</c:v>
                </c:pt>
                <c:pt idx="2">
                  <c:v>0</c:v>
                </c:pt>
              </c:numCache>
            </c:numRef>
          </c:val>
          <c:extLst>
            <c:ext xmlns:c16="http://schemas.microsoft.com/office/drawing/2014/chart" uri="{C3380CC4-5D6E-409C-BE32-E72D297353CC}">
              <c16:uniqueId val="{00000003-3F80-4F17-A274-9667B86F8C2B}"/>
            </c:ext>
          </c:extLst>
        </c:ser>
        <c:ser>
          <c:idx val="5"/>
          <c:order val="4"/>
          <c:tx>
            <c:strRef>
              <c:f>'Grafer-energi'!$B$152</c:f>
              <c:strCache>
                <c:ptCount val="1"/>
                <c:pt idx="0">
                  <c:v>Affald, bionedbrydeligt</c:v>
                </c:pt>
              </c:strCache>
            </c:strRef>
          </c:tx>
          <c:spPr>
            <a:solidFill>
              <a:schemeClr val="accent5">
                <a:lumMod val="60000"/>
              </a:schemeClr>
            </a:solidFill>
            <a:ln>
              <a:noFill/>
            </a:ln>
            <a:effectLst/>
          </c:spPr>
          <c:invertIfNegative val="0"/>
          <c:cat>
            <c:numRef>
              <c:f>'Grafer-energi'!$C$97:$E$97</c:f>
              <c:numCache>
                <c:formatCode>General</c:formatCode>
                <c:ptCount val="3"/>
                <c:pt idx="0">
                  <c:v>1990</c:v>
                </c:pt>
                <c:pt idx="1">
                  <c:v>2018</c:v>
                </c:pt>
                <c:pt idx="2">
                  <c:v>2020</c:v>
                </c:pt>
              </c:numCache>
            </c:numRef>
          </c:cat>
          <c:val>
            <c:numRef>
              <c:f>'Grafer-energi'!$C$152:$E$152</c:f>
              <c:numCache>
                <c:formatCode>#,##0</c:formatCode>
                <c:ptCount val="3"/>
                <c:pt idx="0">
                  <c:v>0</c:v>
                </c:pt>
                <c:pt idx="1">
                  <c:v>0</c:v>
                </c:pt>
                <c:pt idx="2">
                  <c:v>0</c:v>
                </c:pt>
              </c:numCache>
            </c:numRef>
          </c:val>
          <c:extLst>
            <c:ext xmlns:c16="http://schemas.microsoft.com/office/drawing/2014/chart" uri="{C3380CC4-5D6E-409C-BE32-E72D297353CC}">
              <c16:uniqueId val="{00000004-3F80-4F17-A274-9667B86F8C2B}"/>
            </c:ext>
          </c:extLst>
        </c:ser>
        <c:ser>
          <c:idx val="14"/>
          <c:order val="5"/>
          <c:tx>
            <c:strRef>
              <c:f>'Grafer-energi'!$B$153</c:f>
              <c:strCache>
                <c:ptCount val="1"/>
                <c:pt idx="0">
                  <c:v>VE-kilder (Sol, vind, biogas, jordvarme)</c:v>
                </c:pt>
              </c:strCache>
            </c:strRef>
          </c:tx>
          <c:spPr>
            <a:solidFill>
              <a:schemeClr val="accent5">
                <a:lumMod val="60000"/>
                <a:lumOff val="40000"/>
              </a:schemeClr>
            </a:solidFill>
            <a:ln>
              <a:noFill/>
            </a:ln>
            <a:effectLst/>
          </c:spPr>
          <c:invertIfNegative val="0"/>
          <c:cat>
            <c:numRef>
              <c:f>'Grafer-energi'!$C$97:$E$97</c:f>
              <c:numCache>
                <c:formatCode>General</c:formatCode>
                <c:ptCount val="3"/>
                <c:pt idx="0">
                  <c:v>1990</c:v>
                </c:pt>
                <c:pt idx="1">
                  <c:v>2018</c:v>
                </c:pt>
                <c:pt idx="2">
                  <c:v>2020</c:v>
                </c:pt>
              </c:numCache>
            </c:numRef>
          </c:cat>
          <c:val>
            <c:numRef>
              <c:f>'Grafer-energi'!$C$153:$E$153</c:f>
              <c:numCache>
                <c:formatCode>#,##0</c:formatCode>
                <c:ptCount val="3"/>
                <c:pt idx="0">
                  <c:v>1.8665679349056647</c:v>
                </c:pt>
                <c:pt idx="1">
                  <c:v>20.650000000000002</c:v>
                </c:pt>
                <c:pt idx="2">
                  <c:v>29.000000000000004</c:v>
                </c:pt>
              </c:numCache>
            </c:numRef>
          </c:val>
          <c:extLst>
            <c:ext xmlns:c16="http://schemas.microsoft.com/office/drawing/2014/chart" uri="{C3380CC4-5D6E-409C-BE32-E72D297353CC}">
              <c16:uniqueId val="{00000005-3F80-4F17-A274-9667B86F8C2B}"/>
            </c:ext>
          </c:extLst>
        </c:ser>
        <c:ser>
          <c:idx val="0"/>
          <c:order val="6"/>
          <c:tx>
            <c:strRef>
              <c:f>'Grafer-energi'!$B$154</c:f>
              <c:strCache>
                <c:ptCount val="1"/>
                <c:pt idx="0">
                  <c:v>Biomasse</c:v>
                </c:pt>
              </c:strCache>
            </c:strRef>
          </c:tx>
          <c:spPr>
            <a:solidFill>
              <a:schemeClr val="accent1"/>
            </a:solidFill>
            <a:ln>
              <a:noFill/>
            </a:ln>
            <a:effectLst/>
          </c:spPr>
          <c:invertIfNegative val="0"/>
          <c:cat>
            <c:numRef>
              <c:f>'Grafer-energi'!$C$97:$E$97</c:f>
              <c:numCache>
                <c:formatCode>General</c:formatCode>
                <c:ptCount val="3"/>
                <c:pt idx="0">
                  <c:v>1990</c:v>
                </c:pt>
                <c:pt idx="1">
                  <c:v>2018</c:v>
                </c:pt>
                <c:pt idx="2">
                  <c:v>2020</c:v>
                </c:pt>
              </c:numCache>
            </c:numRef>
          </c:cat>
          <c:val>
            <c:numRef>
              <c:f>'Grafer-energi'!$C$154:$E$154</c:f>
              <c:numCache>
                <c:formatCode>#,##0</c:formatCode>
                <c:ptCount val="3"/>
                <c:pt idx="0">
                  <c:v>24.96</c:v>
                </c:pt>
                <c:pt idx="1">
                  <c:v>70.261969999999991</c:v>
                </c:pt>
                <c:pt idx="2">
                  <c:v>112.97598000000001</c:v>
                </c:pt>
              </c:numCache>
            </c:numRef>
          </c:val>
          <c:extLst>
            <c:ext xmlns:c16="http://schemas.microsoft.com/office/drawing/2014/chart" uri="{C3380CC4-5D6E-409C-BE32-E72D297353CC}">
              <c16:uniqueId val="{00000010-3F80-4F17-A274-9667B86F8C2B}"/>
            </c:ext>
          </c:extLst>
        </c:ser>
        <c:dLbls>
          <c:showLegendKey val="0"/>
          <c:showVal val="0"/>
          <c:showCatName val="0"/>
          <c:showSerName val="0"/>
          <c:showPercent val="0"/>
          <c:showBubbleSize val="0"/>
        </c:dLbls>
        <c:gapWidth val="150"/>
        <c:overlap val="100"/>
        <c:axId val="728089656"/>
        <c:axId val="728088480"/>
      </c:barChart>
      <c:catAx>
        <c:axId val="72808965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728088480"/>
        <c:crosses val="autoZero"/>
        <c:auto val="1"/>
        <c:lblAlgn val="ctr"/>
        <c:lblOffset val="100"/>
        <c:noMultiLvlLbl val="0"/>
      </c:catAx>
      <c:valAx>
        <c:axId val="728088480"/>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r>
                  <a:rPr lang="da-DK"/>
                  <a:t>TJ/år</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endParaRPr lang="da-DK"/>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72808965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088" l="0.70000000000000062" r="0.70000000000000062" t="0.75000000000001088"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265534717929777E-2"/>
          <c:y val="3.465346534653465E-2"/>
          <c:w val="0.66718134666693774"/>
          <c:h val="0.89395492112495856"/>
        </c:manualLayout>
      </c:layout>
      <c:barChart>
        <c:barDir val="col"/>
        <c:grouping val="stacked"/>
        <c:varyColors val="0"/>
        <c:ser>
          <c:idx val="1"/>
          <c:order val="0"/>
          <c:tx>
            <c:strRef>
              <c:f>'Grafer-energi'!$B$187</c:f>
              <c:strCache>
                <c:ptCount val="1"/>
                <c:pt idx="0">
                  <c:v>Elimport</c:v>
                </c:pt>
              </c:strCache>
            </c:strRef>
          </c:tx>
          <c:spPr>
            <a:solidFill>
              <a:schemeClr val="accent3"/>
            </a:solidFill>
            <a:ln>
              <a:noFill/>
            </a:ln>
            <a:effectLst/>
          </c:spPr>
          <c:invertIfNegative val="0"/>
          <c:cat>
            <c:numRef>
              <c:f>'Grafer-energi'!$C$186:$E$186</c:f>
              <c:numCache>
                <c:formatCode>General</c:formatCode>
                <c:ptCount val="3"/>
                <c:pt idx="0">
                  <c:v>1990</c:v>
                </c:pt>
                <c:pt idx="1">
                  <c:v>2018</c:v>
                </c:pt>
                <c:pt idx="2">
                  <c:v>2020</c:v>
                </c:pt>
              </c:numCache>
            </c:numRef>
          </c:cat>
          <c:val>
            <c:numRef>
              <c:f>'Grafer-energi'!$C$187:$E$187</c:f>
              <c:numCache>
                <c:formatCode>#,##0</c:formatCode>
                <c:ptCount val="3"/>
                <c:pt idx="0">
                  <c:v>19.015509087952758</c:v>
                </c:pt>
                <c:pt idx="1">
                  <c:v>15.640784600578467</c:v>
                </c:pt>
                <c:pt idx="2">
                  <c:v>15.824690802488963</c:v>
                </c:pt>
              </c:numCache>
            </c:numRef>
          </c:val>
          <c:extLst>
            <c:ext xmlns:c16="http://schemas.microsoft.com/office/drawing/2014/chart" uri="{C3380CC4-5D6E-409C-BE32-E72D297353CC}">
              <c16:uniqueId val="{00000000-B43A-4A81-9298-9A514208836E}"/>
            </c:ext>
          </c:extLst>
        </c:ser>
        <c:ser>
          <c:idx val="2"/>
          <c:order val="1"/>
          <c:tx>
            <c:strRef>
              <c:f>'Grafer-energi'!$B$188</c:f>
              <c:strCache>
                <c:ptCount val="1"/>
                <c:pt idx="0">
                  <c:v>Kul</c:v>
                </c:pt>
              </c:strCache>
            </c:strRef>
          </c:tx>
          <c:spPr>
            <a:solidFill>
              <a:schemeClr val="accent5"/>
            </a:solidFill>
            <a:ln>
              <a:noFill/>
            </a:ln>
            <a:effectLst/>
          </c:spPr>
          <c:invertIfNegative val="0"/>
          <c:cat>
            <c:numRef>
              <c:f>'Grafer-energi'!$C$186:$E$186</c:f>
              <c:numCache>
                <c:formatCode>General</c:formatCode>
                <c:ptCount val="3"/>
                <c:pt idx="0">
                  <c:v>1990</c:v>
                </c:pt>
                <c:pt idx="1">
                  <c:v>2018</c:v>
                </c:pt>
                <c:pt idx="2">
                  <c:v>2020</c:v>
                </c:pt>
              </c:numCache>
            </c:numRef>
          </c:cat>
          <c:val>
            <c:numRef>
              <c:f>'Grafer-energi'!$C$188:$E$188</c:f>
              <c:numCache>
                <c:formatCode>#,##0</c:formatCode>
                <c:ptCount val="3"/>
                <c:pt idx="0">
                  <c:v>0</c:v>
                </c:pt>
                <c:pt idx="1">
                  <c:v>0</c:v>
                </c:pt>
                <c:pt idx="2">
                  <c:v>0</c:v>
                </c:pt>
              </c:numCache>
            </c:numRef>
          </c:val>
          <c:extLst>
            <c:ext xmlns:c16="http://schemas.microsoft.com/office/drawing/2014/chart" uri="{C3380CC4-5D6E-409C-BE32-E72D297353CC}">
              <c16:uniqueId val="{00000001-B43A-4A81-9298-9A514208836E}"/>
            </c:ext>
          </c:extLst>
        </c:ser>
        <c:ser>
          <c:idx val="3"/>
          <c:order val="2"/>
          <c:tx>
            <c:strRef>
              <c:f>'Grafer-energi'!$B$189</c:f>
              <c:strCache>
                <c:ptCount val="1"/>
                <c:pt idx="0">
                  <c:v>Olie- og gasprodukter</c:v>
                </c:pt>
              </c:strCache>
            </c:strRef>
          </c:tx>
          <c:spPr>
            <a:solidFill>
              <a:schemeClr val="accent1">
                <a:lumMod val="60000"/>
              </a:schemeClr>
            </a:solidFill>
            <a:ln>
              <a:noFill/>
            </a:ln>
            <a:effectLst/>
          </c:spPr>
          <c:invertIfNegative val="0"/>
          <c:cat>
            <c:numRef>
              <c:f>'Grafer-energi'!$C$186:$E$186</c:f>
              <c:numCache>
                <c:formatCode>General</c:formatCode>
                <c:ptCount val="3"/>
                <c:pt idx="0">
                  <c:v>1990</c:v>
                </c:pt>
                <c:pt idx="1">
                  <c:v>2018</c:v>
                </c:pt>
                <c:pt idx="2">
                  <c:v>2020</c:v>
                </c:pt>
              </c:numCache>
            </c:numRef>
          </c:cat>
          <c:val>
            <c:numRef>
              <c:f>'Grafer-energi'!$C$189:$E$189</c:f>
              <c:numCache>
                <c:formatCode>#,##0</c:formatCode>
                <c:ptCount val="3"/>
                <c:pt idx="0">
                  <c:v>68.332148871497864</c:v>
                </c:pt>
                <c:pt idx="1">
                  <c:v>59.126386275594903</c:v>
                </c:pt>
                <c:pt idx="2">
                  <c:v>59.821601343784991</c:v>
                </c:pt>
              </c:numCache>
            </c:numRef>
          </c:val>
          <c:extLst>
            <c:ext xmlns:c16="http://schemas.microsoft.com/office/drawing/2014/chart" uri="{C3380CC4-5D6E-409C-BE32-E72D297353CC}">
              <c16:uniqueId val="{00000002-B43A-4A81-9298-9A514208836E}"/>
            </c:ext>
          </c:extLst>
        </c:ser>
        <c:ser>
          <c:idx val="4"/>
          <c:order val="3"/>
          <c:tx>
            <c:strRef>
              <c:f>'Grafer-energi'!$B$190</c:f>
              <c:strCache>
                <c:ptCount val="1"/>
                <c:pt idx="0">
                  <c:v>Affald, ikke bionedbrydeligt</c:v>
                </c:pt>
              </c:strCache>
            </c:strRef>
          </c:tx>
          <c:spPr>
            <a:solidFill>
              <a:schemeClr val="accent3">
                <a:lumMod val="60000"/>
              </a:schemeClr>
            </a:solidFill>
            <a:ln>
              <a:noFill/>
            </a:ln>
            <a:effectLst/>
          </c:spPr>
          <c:invertIfNegative val="0"/>
          <c:cat>
            <c:numRef>
              <c:f>'Grafer-energi'!$C$186:$E$186</c:f>
              <c:numCache>
                <c:formatCode>General</c:formatCode>
                <c:ptCount val="3"/>
                <c:pt idx="0">
                  <c:v>1990</c:v>
                </c:pt>
                <c:pt idx="1">
                  <c:v>2018</c:v>
                </c:pt>
                <c:pt idx="2">
                  <c:v>2020</c:v>
                </c:pt>
              </c:numCache>
            </c:numRef>
          </c:cat>
          <c:val>
            <c:numRef>
              <c:f>'Grafer-energi'!$C$190:$E$190</c:f>
              <c:numCache>
                <c:formatCode>#,##0</c:formatCode>
                <c:ptCount val="3"/>
                <c:pt idx="0">
                  <c:v>0</c:v>
                </c:pt>
                <c:pt idx="1">
                  <c:v>0</c:v>
                </c:pt>
                <c:pt idx="2">
                  <c:v>0</c:v>
                </c:pt>
              </c:numCache>
            </c:numRef>
          </c:val>
          <c:extLst>
            <c:ext xmlns:c16="http://schemas.microsoft.com/office/drawing/2014/chart" uri="{C3380CC4-5D6E-409C-BE32-E72D297353CC}">
              <c16:uniqueId val="{00000003-B43A-4A81-9298-9A514208836E}"/>
            </c:ext>
          </c:extLst>
        </c:ser>
        <c:ser>
          <c:idx val="5"/>
          <c:order val="4"/>
          <c:tx>
            <c:strRef>
              <c:f>'Grafer-energi'!$B$191</c:f>
              <c:strCache>
                <c:ptCount val="1"/>
                <c:pt idx="0">
                  <c:v>Affald, bionedbrydeligt</c:v>
                </c:pt>
              </c:strCache>
            </c:strRef>
          </c:tx>
          <c:spPr>
            <a:solidFill>
              <a:schemeClr val="accent5">
                <a:lumMod val="60000"/>
              </a:schemeClr>
            </a:solidFill>
            <a:ln>
              <a:noFill/>
            </a:ln>
            <a:effectLst/>
          </c:spPr>
          <c:invertIfNegative val="0"/>
          <c:cat>
            <c:numRef>
              <c:f>'Grafer-energi'!$C$186:$E$186</c:f>
              <c:numCache>
                <c:formatCode>General</c:formatCode>
                <c:ptCount val="3"/>
                <c:pt idx="0">
                  <c:v>1990</c:v>
                </c:pt>
                <c:pt idx="1">
                  <c:v>2018</c:v>
                </c:pt>
                <c:pt idx="2">
                  <c:v>2020</c:v>
                </c:pt>
              </c:numCache>
            </c:numRef>
          </c:cat>
          <c:val>
            <c:numRef>
              <c:f>'Grafer-energi'!$C$191:$E$191</c:f>
              <c:numCache>
                <c:formatCode>#,##0</c:formatCode>
                <c:ptCount val="3"/>
                <c:pt idx="0">
                  <c:v>0</c:v>
                </c:pt>
                <c:pt idx="1">
                  <c:v>0</c:v>
                </c:pt>
                <c:pt idx="2">
                  <c:v>0</c:v>
                </c:pt>
              </c:numCache>
            </c:numRef>
          </c:val>
          <c:extLst>
            <c:ext xmlns:c16="http://schemas.microsoft.com/office/drawing/2014/chart" uri="{C3380CC4-5D6E-409C-BE32-E72D297353CC}">
              <c16:uniqueId val="{00000004-B43A-4A81-9298-9A514208836E}"/>
            </c:ext>
          </c:extLst>
        </c:ser>
        <c:ser>
          <c:idx val="14"/>
          <c:order val="5"/>
          <c:tx>
            <c:strRef>
              <c:f>'Grafer-energi'!$B$192</c:f>
              <c:strCache>
                <c:ptCount val="1"/>
                <c:pt idx="0">
                  <c:v>VE-kilder (Sol, vind, biogas, jordvarme)</c:v>
                </c:pt>
              </c:strCache>
            </c:strRef>
          </c:tx>
          <c:spPr>
            <a:solidFill>
              <a:schemeClr val="accent5">
                <a:lumMod val="60000"/>
                <a:lumOff val="40000"/>
              </a:schemeClr>
            </a:solidFill>
            <a:ln>
              <a:noFill/>
            </a:ln>
            <a:effectLst/>
          </c:spPr>
          <c:invertIfNegative val="0"/>
          <c:cat>
            <c:numRef>
              <c:f>'Grafer-energi'!$C$186:$E$186</c:f>
              <c:numCache>
                <c:formatCode>General</c:formatCode>
                <c:ptCount val="3"/>
                <c:pt idx="0">
                  <c:v>1990</c:v>
                </c:pt>
                <c:pt idx="1">
                  <c:v>2018</c:v>
                </c:pt>
                <c:pt idx="2">
                  <c:v>2020</c:v>
                </c:pt>
              </c:numCache>
            </c:numRef>
          </c:cat>
          <c:val>
            <c:numRef>
              <c:f>'Grafer-energi'!$C$192:$E$192</c:f>
              <c:numCache>
                <c:formatCode>#,##0</c:formatCode>
                <c:ptCount val="3"/>
                <c:pt idx="0">
                  <c:v>0.74306048364079014</c:v>
                </c:pt>
                <c:pt idx="1">
                  <c:v>16.048699501936916</c:v>
                </c:pt>
                <c:pt idx="2">
                  <c:v>16.237402015677493</c:v>
                </c:pt>
              </c:numCache>
            </c:numRef>
          </c:val>
          <c:extLst>
            <c:ext xmlns:c16="http://schemas.microsoft.com/office/drawing/2014/chart" uri="{C3380CC4-5D6E-409C-BE32-E72D297353CC}">
              <c16:uniqueId val="{00000005-B43A-4A81-9298-9A514208836E}"/>
            </c:ext>
          </c:extLst>
        </c:ser>
        <c:ser>
          <c:idx val="0"/>
          <c:order val="6"/>
          <c:tx>
            <c:strRef>
              <c:f>'Grafer-energi'!$B$193</c:f>
              <c:strCache>
                <c:ptCount val="1"/>
                <c:pt idx="0">
                  <c:v>Biomasse</c:v>
                </c:pt>
              </c:strCache>
            </c:strRef>
          </c:tx>
          <c:spPr>
            <a:solidFill>
              <a:schemeClr val="accent1"/>
            </a:solidFill>
            <a:ln>
              <a:noFill/>
            </a:ln>
            <a:effectLst/>
          </c:spPr>
          <c:invertIfNegative val="0"/>
          <c:cat>
            <c:numRef>
              <c:f>'Grafer-energi'!$C$186:$E$186</c:f>
              <c:numCache>
                <c:formatCode>General</c:formatCode>
                <c:ptCount val="3"/>
                <c:pt idx="0">
                  <c:v>1990</c:v>
                </c:pt>
                <c:pt idx="1">
                  <c:v>2018</c:v>
                </c:pt>
                <c:pt idx="2">
                  <c:v>2020</c:v>
                </c:pt>
              </c:numCache>
            </c:numRef>
          </c:cat>
          <c:val>
            <c:numRef>
              <c:f>'Grafer-energi'!$C$193:$E$193</c:f>
              <c:numCache>
                <c:formatCode>#,##0</c:formatCode>
                <c:ptCount val="3"/>
                <c:pt idx="0">
                  <c:v>9.936305732484076</c:v>
                </c:pt>
                <c:pt idx="1">
                  <c:v>62.521294964028776</c:v>
                </c:pt>
                <c:pt idx="2">
                  <c:v>63.256427771556559</c:v>
                </c:pt>
              </c:numCache>
            </c:numRef>
          </c:val>
          <c:extLst>
            <c:ext xmlns:c16="http://schemas.microsoft.com/office/drawing/2014/chart" uri="{C3380CC4-5D6E-409C-BE32-E72D297353CC}">
              <c16:uniqueId val="{00000006-B43A-4A81-9298-9A514208836E}"/>
            </c:ext>
          </c:extLst>
        </c:ser>
        <c:dLbls>
          <c:showLegendKey val="0"/>
          <c:showVal val="0"/>
          <c:showCatName val="0"/>
          <c:showSerName val="0"/>
          <c:showPercent val="0"/>
          <c:showBubbleSize val="0"/>
        </c:dLbls>
        <c:gapWidth val="150"/>
        <c:overlap val="100"/>
        <c:axId val="728089656"/>
        <c:axId val="728088480"/>
      </c:barChart>
      <c:catAx>
        <c:axId val="72808965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728088480"/>
        <c:crosses val="autoZero"/>
        <c:auto val="1"/>
        <c:lblAlgn val="ctr"/>
        <c:lblOffset val="100"/>
        <c:noMultiLvlLbl val="0"/>
      </c:catAx>
      <c:valAx>
        <c:axId val="728088480"/>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r>
                  <a:rPr lang="da-DK"/>
                  <a:t>GJ/år pr. indbygger</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endParaRPr lang="da-DK"/>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72808965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088" l="0.70000000000000062" r="0.70000000000000062" t="0.7500000000000108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966744944955615E-2"/>
          <c:y val="5.0238513412022963E-2"/>
          <c:w val="0.68256378277593721"/>
          <c:h val="0.86178911075092213"/>
        </c:manualLayout>
      </c:layout>
      <c:barChart>
        <c:barDir val="col"/>
        <c:grouping val="stacked"/>
        <c:varyColors val="0"/>
        <c:ser>
          <c:idx val="0"/>
          <c:order val="0"/>
          <c:tx>
            <c:strRef>
              <c:f>'Grafer-energi'!$B$374</c:f>
              <c:strCache>
                <c:ptCount val="1"/>
                <c:pt idx="0">
                  <c:v>Individuel opvarmning</c:v>
                </c:pt>
              </c:strCache>
            </c:strRef>
          </c:tx>
          <c:spPr>
            <a:solidFill>
              <a:schemeClr val="accent1"/>
            </a:solidFill>
            <a:ln>
              <a:noFill/>
            </a:ln>
            <a:effectLst/>
          </c:spPr>
          <c:invertIfNegative val="0"/>
          <c:cat>
            <c:numRef>
              <c:f>'Grafer-energi'!$C$373:$E$373</c:f>
              <c:numCache>
                <c:formatCode>General</c:formatCode>
                <c:ptCount val="3"/>
                <c:pt idx="0">
                  <c:v>1990</c:v>
                </c:pt>
                <c:pt idx="1">
                  <c:v>2018</c:v>
                </c:pt>
                <c:pt idx="2">
                  <c:v>2020</c:v>
                </c:pt>
              </c:numCache>
            </c:numRef>
          </c:cat>
          <c:val>
            <c:numRef>
              <c:f>'Grafer-energi'!$C$374:$E$374</c:f>
              <c:numCache>
                <c:formatCode>#,##0</c:formatCode>
                <c:ptCount val="3"/>
                <c:pt idx="0">
                  <c:v>106.37027449740566</c:v>
                </c:pt>
                <c:pt idx="1">
                  <c:v>63.169999999999995</c:v>
                </c:pt>
                <c:pt idx="2">
                  <c:v>108.22</c:v>
                </c:pt>
              </c:numCache>
            </c:numRef>
          </c:val>
          <c:extLst>
            <c:ext xmlns:c16="http://schemas.microsoft.com/office/drawing/2014/chart" uri="{C3380CC4-5D6E-409C-BE32-E72D297353CC}">
              <c16:uniqueId val="{00000000-45DB-4F77-9491-816DE33B6FB3}"/>
            </c:ext>
          </c:extLst>
        </c:ser>
        <c:ser>
          <c:idx val="1"/>
          <c:order val="1"/>
          <c:tx>
            <c:strRef>
              <c:f>'Grafer-energi'!$B$375</c:f>
              <c:strCache>
                <c:ptCount val="1"/>
                <c:pt idx="0">
                  <c:v>Kollektiv el- og varmeforsyning</c:v>
                </c:pt>
              </c:strCache>
            </c:strRef>
          </c:tx>
          <c:spPr>
            <a:solidFill>
              <a:schemeClr val="accent3"/>
            </a:solidFill>
            <a:ln>
              <a:noFill/>
            </a:ln>
            <a:effectLst/>
          </c:spPr>
          <c:invertIfNegative val="0"/>
          <c:cat>
            <c:numRef>
              <c:f>'Grafer-energi'!$C$373:$E$373</c:f>
              <c:numCache>
                <c:formatCode>General</c:formatCode>
                <c:ptCount val="3"/>
                <c:pt idx="0">
                  <c:v>1990</c:v>
                </c:pt>
                <c:pt idx="1">
                  <c:v>2018</c:v>
                </c:pt>
                <c:pt idx="2">
                  <c:v>2020</c:v>
                </c:pt>
              </c:numCache>
            </c:numRef>
          </c:cat>
          <c:val>
            <c:numRef>
              <c:f>'Grafer-energi'!$C$375:$E$375</c:f>
              <c:numCache>
                <c:formatCode>#,##0</c:formatCode>
                <c:ptCount val="3"/>
                <c:pt idx="0">
                  <c:v>0</c:v>
                </c:pt>
                <c:pt idx="1">
                  <c:v>21.718</c:v>
                </c:pt>
                <c:pt idx="2">
                  <c:v>22.437359999999998</c:v>
                </c:pt>
              </c:numCache>
            </c:numRef>
          </c:val>
          <c:extLst>
            <c:ext xmlns:c16="http://schemas.microsoft.com/office/drawing/2014/chart" uri="{C3380CC4-5D6E-409C-BE32-E72D297353CC}">
              <c16:uniqueId val="{00000001-45DB-4F77-9491-816DE33B6FB3}"/>
            </c:ext>
          </c:extLst>
        </c:ser>
        <c:ser>
          <c:idx val="2"/>
          <c:order val="2"/>
          <c:tx>
            <c:strRef>
              <c:f>'Grafer-energi'!$B$376</c:f>
              <c:strCache>
                <c:ptCount val="1"/>
                <c:pt idx="0">
                  <c:v>Industri</c:v>
                </c:pt>
              </c:strCache>
            </c:strRef>
          </c:tx>
          <c:spPr>
            <a:solidFill>
              <a:schemeClr val="accent5"/>
            </a:solidFill>
            <a:ln>
              <a:noFill/>
            </a:ln>
            <a:effectLst/>
          </c:spPr>
          <c:invertIfNegative val="0"/>
          <c:cat>
            <c:numRef>
              <c:f>'Grafer-energi'!$C$373:$E$373</c:f>
              <c:numCache>
                <c:formatCode>General</c:formatCode>
                <c:ptCount val="3"/>
                <c:pt idx="0">
                  <c:v>1990</c:v>
                </c:pt>
                <c:pt idx="1">
                  <c:v>2018</c:v>
                </c:pt>
                <c:pt idx="2">
                  <c:v>2020</c:v>
                </c:pt>
              </c:numCache>
            </c:numRef>
          </c:cat>
          <c:val>
            <c:numRef>
              <c:f>'Grafer-energi'!$C$376:$E$376</c:f>
              <c:numCache>
                <c:formatCode>#,##0</c:formatCode>
                <c:ptCount val="3"/>
                <c:pt idx="0">
                  <c:v>17.122527563043178</c:v>
                </c:pt>
                <c:pt idx="1">
                  <c:v>10.89</c:v>
                </c:pt>
                <c:pt idx="2">
                  <c:v>10.81</c:v>
                </c:pt>
              </c:numCache>
            </c:numRef>
          </c:val>
          <c:extLst>
            <c:ext xmlns:c16="http://schemas.microsoft.com/office/drawing/2014/chart" uri="{C3380CC4-5D6E-409C-BE32-E72D297353CC}">
              <c16:uniqueId val="{00000002-45DB-4F77-9491-816DE33B6FB3}"/>
            </c:ext>
          </c:extLst>
        </c:ser>
        <c:ser>
          <c:idx val="3"/>
          <c:order val="3"/>
          <c:tx>
            <c:strRef>
              <c:f>'Grafer-energi'!$B$377</c:f>
              <c:strCache>
                <c:ptCount val="1"/>
                <c:pt idx="0">
                  <c:v>Transport</c:v>
                </c:pt>
              </c:strCache>
            </c:strRef>
          </c:tx>
          <c:spPr>
            <a:solidFill>
              <a:schemeClr val="accent1">
                <a:lumMod val="60000"/>
              </a:schemeClr>
            </a:solidFill>
            <a:ln>
              <a:noFill/>
            </a:ln>
            <a:effectLst/>
          </c:spPr>
          <c:invertIfNegative val="0"/>
          <c:cat>
            <c:numRef>
              <c:f>'Grafer-energi'!$C$373:$E$373</c:f>
              <c:numCache>
                <c:formatCode>General</c:formatCode>
                <c:ptCount val="3"/>
                <c:pt idx="0">
                  <c:v>1990</c:v>
                </c:pt>
                <c:pt idx="1">
                  <c:v>2018</c:v>
                </c:pt>
                <c:pt idx="2">
                  <c:v>2020</c:v>
                </c:pt>
              </c:numCache>
            </c:numRef>
          </c:cat>
          <c:val>
            <c:numRef>
              <c:f>'Grafer-energi'!$C$377:$E$377</c:f>
              <c:numCache>
                <c:formatCode>#,##0</c:formatCode>
                <c:ptCount val="3"/>
                <c:pt idx="0">
                  <c:v>73.207830402159487</c:v>
                </c:pt>
                <c:pt idx="1">
                  <c:v>97.716000000000022</c:v>
                </c:pt>
                <c:pt idx="2">
                  <c:v>80.41</c:v>
                </c:pt>
              </c:numCache>
            </c:numRef>
          </c:val>
          <c:extLst>
            <c:ext xmlns:c16="http://schemas.microsoft.com/office/drawing/2014/chart" uri="{C3380CC4-5D6E-409C-BE32-E72D297353CC}">
              <c16:uniqueId val="{00000003-45DB-4F77-9491-816DE33B6FB3}"/>
            </c:ext>
          </c:extLst>
        </c:ser>
        <c:ser>
          <c:idx val="4"/>
          <c:order val="4"/>
          <c:tx>
            <c:strRef>
              <c:f>'Grafer-energi'!$B$378</c:f>
              <c:strCache>
                <c:ptCount val="1"/>
                <c:pt idx="0">
                  <c:v>Vindkraft mm.</c:v>
                </c:pt>
              </c:strCache>
            </c:strRef>
          </c:tx>
          <c:spPr>
            <a:solidFill>
              <a:schemeClr val="accent3">
                <a:lumMod val="60000"/>
              </a:schemeClr>
            </a:solidFill>
            <a:ln>
              <a:noFill/>
            </a:ln>
            <a:effectLst/>
          </c:spPr>
          <c:invertIfNegative val="0"/>
          <c:cat>
            <c:numRef>
              <c:f>'Grafer-energi'!$C$373:$E$373</c:f>
              <c:numCache>
                <c:formatCode>General</c:formatCode>
                <c:ptCount val="3"/>
                <c:pt idx="0">
                  <c:v>1990</c:v>
                </c:pt>
                <c:pt idx="1">
                  <c:v>2018</c:v>
                </c:pt>
                <c:pt idx="2">
                  <c:v>2020</c:v>
                </c:pt>
              </c:numCache>
            </c:numRef>
          </c:cat>
          <c:val>
            <c:numRef>
              <c:f>'Grafer-energi'!$C$378:$E$378</c:f>
              <c:numCache>
                <c:formatCode>#,##0</c:formatCode>
                <c:ptCount val="3"/>
                <c:pt idx="0">
                  <c:v>1.7762934374999999</c:v>
                </c:pt>
                <c:pt idx="1">
                  <c:v>18.64</c:v>
                </c:pt>
                <c:pt idx="2">
                  <c:v>26.94</c:v>
                </c:pt>
              </c:numCache>
            </c:numRef>
          </c:val>
          <c:extLst>
            <c:ext xmlns:c16="http://schemas.microsoft.com/office/drawing/2014/chart" uri="{C3380CC4-5D6E-409C-BE32-E72D297353CC}">
              <c16:uniqueId val="{00000004-45DB-4F77-9491-816DE33B6FB3}"/>
            </c:ext>
          </c:extLst>
        </c:ser>
        <c:ser>
          <c:idx val="5"/>
          <c:order val="5"/>
          <c:tx>
            <c:strRef>
              <c:f>'Grafer-energi'!$B$379</c:f>
              <c:strCache>
                <c:ptCount val="1"/>
                <c:pt idx="0">
                  <c:v>El-import</c:v>
                </c:pt>
              </c:strCache>
            </c:strRef>
          </c:tx>
          <c:spPr>
            <a:solidFill>
              <a:schemeClr val="accent5">
                <a:lumMod val="60000"/>
              </a:schemeClr>
            </a:solidFill>
            <a:ln>
              <a:noFill/>
            </a:ln>
            <a:effectLst/>
          </c:spPr>
          <c:invertIfNegative val="0"/>
          <c:cat>
            <c:numRef>
              <c:f>'Grafer-energi'!$C$373:$E$373</c:f>
              <c:numCache>
                <c:formatCode>General</c:formatCode>
                <c:ptCount val="3"/>
                <c:pt idx="0">
                  <c:v>1990</c:v>
                </c:pt>
                <c:pt idx="1">
                  <c:v>2018</c:v>
                </c:pt>
                <c:pt idx="2">
                  <c:v>2020</c:v>
                </c:pt>
              </c:numCache>
            </c:numRef>
          </c:cat>
          <c:val>
            <c:numRef>
              <c:f>'Grafer-energi'!$C$379:$E$379</c:f>
              <c:numCache>
                <c:formatCode>#,##0</c:formatCode>
                <c:ptCount val="3"/>
                <c:pt idx="0">
                  <c:v>47.766958828937327</c:v>
                </c:pt>
                <c:pt idx="1">
                  <c:v>36.624084278714058</c:v>
                </c:pt>
                <c:pt idx="2">
                  <c:v>28.262897773245289</c:v>
                </c:pt>
              </c:numCache>
            </c:numRef>
          </c:val>
          <c:extLst>
            <c:ext xmlns:c16="http://schemas.microsoft.com/office/drawing/2014/chart" uri="{C3380CC4-5D6E-409C-BE32-E72D297353CC}">
              <c16:uniqueId val="{00000005-45DB-4F77-9491-816DE33B6FB3}"/>
            </c:ext>
          </c:extLst>
        </c:ser>
        <c:dLbls>
          <c:showLegendKey val="0"/>
          <c:showVal val="0"/>
          <c:showCatName val="0"/>
          <c:showSerName val="0"/>
          <c:showPercent val="0"/>
          <c:showBubbleSize val="0"/>
        </c:dLbls>
        <c:gapWidth val="150"/>
        <c:overlap val="100"/>
        <c:axId val="422225736"/>
        <c:axId val="422224560"/>
      </c:barChart>
      <c:catAx>
        <c:axId val="42222573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422224560"/>
        <c:crosses val="autoZero"/>
        <c:auto val="1"/>
        <c:lblAlgn val="ctr"/>
        <c:lblOffset val="100"/>
        <c:noMultiLvlLbl val="0"/>
      </c:catAx>
      <c:valAx>
        <c:axId val="422224560"/>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r>
                  <a:rPr lang="da-DK"/>
                  <a:t>TJ/ år</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endParaRPr lang="da-DK"/>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42222573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77" l="0.70000000000000062" r="0.70000000000000062" t="0.75000000000001177"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'Grafer-energi'!$G$474</c:f>
              <c:strCache>
                <c:ptCount val="1"/>
                <c:pt idx="0">
                  <c:v>VE</c:v>
                </c:pt>
              </c:strCache>
            </c:strRef>
          </c:tx>
          <c:spPr>
            <a:solidFill>
              <a:schemeClr val="accent1"/>
            </a:solidFill>
            <a:ln>
              <a:noFill/>
            </a:ln>
            <a:effectLst/>
          </c:spPr>
          <c:invertIfNegative val="0"/>
          <c:cat>
            <c:multiLvlStrRef>
              <c:f>'Grafer-energi'!$B$475:$C$492</c:f>
              <c:multiLvlStrCache>
                <c:ptCount val="18"/>
                <c:lvl>
                  <c:pt idx="0">
                    <c:v>1990</c:v>
                  </c:pt>
                  <c:pt idx="1">
                    <c:v>2018</c:v>
                  </c:pt>
                  <c:pt idx="2">
                    <c:v>2020</c:v>
                  </c:pt>
                  <c:pt idx="3">
                    <c:v>1990</c:v>
                  </c:pt>
                  <c:pt idx="4">
                    <c:v>2018</c:v>
                  </c:pt>
                  <c:pt idx="5">
                    <c:v>2020</c:v>
                  </c:pt>
                  <c:pt idx="6">
                    <c:v>1990</c:v>
                  </c:pt>
                  <c:pt idx="7">
                    <c:v>2018</c:v>
                  </c:pt>
                  <c:pt idx="8">
                    <c:v>2020</c:v>
                  </c:pt>
                  <c:pt idx="9">
                    <c:v>1990</c:v>
                  </c:pt>
                  <c:pt idx="10">
                    <c:v>2018</c:v>
                  </c:pt>
                  <c:pt idx="11">
                    <c:v>2020</c:v>
                  </c:pt>
                  <c:pt idx="12">
                    <c:v>1990</c:v>
                  </c:pt>
                  <c:pt idx="13">
                    <c:v>2018</c:v>
                  </c:pt>
                  <c:pt idx="14">
                    <c:v>2020</c:v>
                  </c:pt>
                  <c:pt idx="15">
                    <c:v>1990</c:v>
                  </c:pt>
                  <c:pt idx="16">
                    <c:v>2018</c:v>
                  </c:pt>
                  <c:pt idx="17">
                    <c:v>2020</c:v>
                  </c:pt>
                </c:lvl>
                <c:lvl>
                  <c:pt idx="0">
                    <c:v>Individuel opvarmning</c:v>
                  </c:pt>
                  <c:pt idx="3">
                    <c:v>Kollektiv el- og varmeforsyning</c:v>
                  </c:pt>
                  <c:pt idx="6">
                    <c:v>Industri</c:v>
                  </c:pt>
                  <c:pt idx="9">
                    <c:v>Transport</c:v>
                  </c:pt>
                  <c:pt idx="12">
                    <c:v>Vindkraft mm.</c:v>
                  </c:pt>
                  <c:pt idx="15">
                    <c:v>El-import</c:v>
                  </c:pt>
                </c:lvl>
              </c:multiLvlStrCache>
            </c:multiLvlStrRef>
          </c:cat>
          <c:val>
            <c:numRef>
              <c:f>'Grafer-energi'!$G$475:$G$492</c:f>
              <c:numCache>
                <c:formatCode>0%</c:formatCode>
                <c:ptCount val="18"/>
                <c:pt idx="0">
                  <c:v>0</c:v>
                </c:pt>
                <c:pt idx="1">
                  <c:v>0</c:v>
                </c:pt>
                <c:pt idx="2">
                  <c:v>0</c:v>
                </c:pt>
                <c:pt idx="3" formatCode="0.00%">
                  <c:v>0</c:v>
                </c:pt>
                <c:pt idx="4">
                  <c:v>0</c:v>
                </c:pt>
                <c:pt idx="5">
                  <c:v>0</c:v>
                </c:pt>
                <c:pt idx="6">
                  <c:v>0</c:v>
                </c:pt>
                <c:pt idx="7">
                  <c:v>0</c:v>
                </c:pt>
                <c:pt idx="8">
                  <c:v>0</c:v>
                </c:pt>
                <c:pt idx="9">
                  <c:v>0</c:v>
                </c:pt>
                <c:pt idx="10">
                  <c:v>2.6934892955094349E-2</c:v>
                </c:pt>
                <c:pt idx="11">
                  <c:v>5.8821290884218398E-2</c:v>
                </c:pt>
                <c:pt idx="12">
                  <c:v>1</c:v>
                </c:pt>
                <c:pt idx="13">
                  <c:v>1</c:v>
                </c:pt>
                <c:pt idx="14">
                  <c:v>1</c:v>
                </c:pt>
                <c:pt idx="15">
                  <c:v>0</c:v>
                </c:pt>
                <c:pt idx="16">
                  <c:v>0.33954910450704567</c:v>
                </c:pt>
                <c:pt idx="17">
                  <c:v>0.5887</c:v>
                </c:pt>
              </c:numCache>
            </c:numRef>
          </c:val>
          <c:extLst>
            <c:ext xmlns:c16="http://schemas.microsoft.com/office/drawing/2014/chart" uri="{C3380CC4-5D6E-409C-BE32-E72D297353CC}">
              <c16:uniqueId val="{00000000-3929-47BD-A324-5F966C002781}"/>
            </c:ext>
          </c:extLst>
        </c:ser>
        <c:ser>
          <c:idx val="1"/>
          <c:order val="1"/>
          <c:tx>
            <c:strRef>
              <c:f>'Grafer-energi'!$H$474</c:f>
              <c:strCache>
                <c:ptCount val="1"/>
                <c:pt idx="0">
                  <c:v>Fossil</c:v>
                </c:pt>
              </c:strCache>
            </c:strRef>
          </c:tx>
          <c:spPr>
            <a:solidFill>
              <a:srgbClr val="0E5772"/>
            </a:solidFill>
            <a:ln>
              <a:noFill/>
            </a:ln>
            <a:effectLst/>
          </c:spPr>
          <c:invertIfNegative val="0"/>
          <c:cat>
            <c:multiLvlStrRef>
              <c:f>'Grafer-energi'!$B$475:$C$492</c:f>
              <c:multiLvlStrCache>
                <c:ptCount val="18"/>
                <c:lvl>
                  <c:pt idx="0">
                    <c:v>1990</c:v>
                  </c:pt>
                  <c:pt idx="1">
                    <c:v>2018</c:v>
                  </c:pt>
                  <c:pt idx="2">
                    <c:v>2020</c:v>
                  </c:pt>
                  <c:pt idx="3">
                    <c:v>1990</c:v>
                  </c:pt>
                  <c:pt idx="4">
                    <c:v>2018</c:v>
                  </c:pt>
                  <c:pt idx="5">
                    <c:v>2020</c:v>
                  </c:pt>
                  <c:pt idx="6">
                    <c:v>1990</c:v>
                  </c:pt>
                  <c:pt idx="7">
                    <c:v>2018</c:v>
                  </c:pt>
                  <c:pt idx="8">
                    <c:v>2020</c:v>
                  </c:pt>
                  <c:pt idx="9">
                    <c:v>1990</c:v>
                  </c:pt>
                  <c:pt idx="10">
                    <c:v>2018</c:v>
                  </c:pt>
                  <c:pt idx="11">
                    <c:v>2020</c:v>
                  </c:pt>
                  <c:pt idx="12">
                    <c:v>1990</c:v>
                  </c:pt>
                  <c:pt idx="13">
                    <c:v>2018</c:v>
                  </c:pt>
                  <c:pt idx="14">
                    <c:v>2020</c:v>
                  </c:pt>
                  <c:pt idx="15">
                    <c:v>1990</c:v>
                  </c:pt>
                  <c:pt idx="16">
                    <c:v>2018</c:v>
                  </c:pt>
                  <c:pt idx="17">
                    <c:v>2020</c:v>
                  </c:pt>
                </c:lvl>
                <c:lvl>
                  <c:pt idx="0">
                    <c:v>Individuel opvarmning</c:v>
                  </c:pt>
                  <c:pt idx="3">
                    <c:v>Kollektiv el- og varmeforsyning</c:v>
                  </c:pt>
                  <c:pt idx="6">
                    <c:v>Industri</c:v>
                  </c:pt>
                  <c:pt idx="9">
                    <c:v>Transport</c:v>
                  </c:pt>
                  <c:pt idx="12">
                    <c:v>Vindkraft mm.</c:v>
                  </c:pt>
                  <c:pt idx="15">
                    <c:v>El-import</c:v>
                  </c:pt>
                </c:lvl>
              </c:multiLvlStrCache>
            </c:multiLvlStrRef>
          </c:cat>
          <c:val>
            <c:numRef>
              <c:f>'Grafer-energi'!$H$475:$H$492</c:f>
              <c:numCache>
                <c:formatCode>0%</c:formatCode>
                <c:ptCount val="18"/>
                <c:pt idx="0">
                  <c:v>1</c:v>
                </c:pt>
                <c:pt idx="1">
                  <c:v>1</c:v>
                </c:pt>
                <c:pt idx="2">
                  <c:v>1</c:v>
                </c:pt>
                <c:pt idx="3" formatCode="0.00%">
                  <c:v>0</c:v>
                </c:pt>
                <c:pt idx="4">
                  <c:v>1</c:v>
                </c:pt>
                <c:pt idx="5">
                  <c:v>1</c:v>
                </c:pt>
                <c:pt idx="6">
                  <c:v>1</c:v>
                </c:pt>
                <c:pt idx="7">
                  <c:v>1</c:v>
                </c:pt>
                <c:pt idx="8">
                  <c:v>1</c:v>
                </c:pt>
                <c:pt idx="9">
                  <c:v>1</c:v>
                </c:pt>
                <c:pt idx="10">
                  <c:v>0.97306510704490567</c:v>
                </c:pt>
                <c:pt idx="11">
                  <c:v>0.94117870911578161</c:v>
                </c:pt>
                <c:pt idx="12">
                  <c:v>0</c:v>
                </c:pt>
                <c:pt idx="13">
                  <c:v>0</c:v>
                </c:pt>
                <c:pt idx="14">
                  <c:v>0</c:v>
                </c:pt>
                <c:pt idx="15">
                  <c:v>1</c:v>
                </c:pt>
                <c:pt idx="16">
                  <c:v>0.66045089549295444</c:v>
                </c:pt>
                <c:pt idx="17">
                  <c:v>0.4113</c:v>
                </c:pt>
              </c:numCache>
            </c:numRef>
          </c:val>
          <c:extLst>
            <c:ext xmlns:c16="http://schemas.microsoft.com/office/drawing/2014/chart" uri="{C3380CC4-5D6E-409C-BE32-E72D297353CC}">
              <c16:uniqueId val="{00000001-3929-47BD-A324-5F966C002781}"/>
            </c:ext>
          </c:extLst>
        </c:ser>
        <c:dLbls>
          <c:showLegendKey val="0"/>
          <c:showVal val="0"/>
          <c:showCatName val="0"/>
          <c:showSerName val="0"/>
          <c:showPercent val="0"/>
          <c:showBubbleSize val="0"/>
        </c:dLbls>
        <c:gapWidth val="150"/>
        <c:overlap val="100"/>
        <c:axId val="690210352"/>
        <c:axId val="690212704"/>
      </c:barChart>
      <c:catAx>
        <c:axId val="690210352"/>
        <c:scaling>
          <c:orientation val="minMax"/>
        </c:scaling>
        <c:delete val="0"/>
        <c:axPos val="b"/>
        <c:numFmt formatCode="General" sourceLinked="0"/>
        <c:majorTickMark val="out"/>
        <c:minorTickMark val="none"/>
        <c:tickLblPos val="low"/>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a-DK"/>
          </a:p>
        </c:txPr>
        <c:crossAx val="690212704"/>
        <c:crosses val="autoZero"/>
        <c:auto val="1"/>
        <c:lblAlgn val="ctr"/>
        <c:lblOffset val="100"/>
        <c:noMultiLvlLbl val="0"/>
      </c:catAx>
      <c:valAx>
        <c:axId val="690212704"/>
        <c:scaling>
          <c:orientation val="minMax"/>
          <c:max val="1"/>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a-DK"/>
          </a:p>
        </c:txPr>
        <c:crossAx val="69021035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da-DK"/>
    </a:p>
  </c:txPr>
  <c:printSettings>
    <c:headerFooter/>
    <c:pageMargins b="0.75000000000000322" l="0.70000000000000062" r="0.70000000000000062" t="0.75000000000000322"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'Grafer-energi'!$F$555</c:f>
              <c:strCache>
                <c:ptCount val="1"/>
                <c:pt idx="0">
                  <c:v>VE</c:v>
                </c:pt>
              </c:strCache>
            </c:strRef>
          </c:tx>
          <c:spPr>
            <a:solidFill>
              <a:schemeClr val="accent1"/>
            </a:solidFill>
            <a:ln>
              <a:noFill/>
            </a:ln>
            <a:effectLst/>
          </c:spPr>
          <c:invertIfNegative val="0"/>
          <c:cat>
            <c:multiLvlStrRef>
              <c:f>'Grafer-energi'!$B$556:$C$558</c:f>
              <c:multiLvlStrCache>
                <c:ptCount val="3"/>
                <c:lvl>
                  <c:pt idx="0">
                    <c:v>1990</c:v>
                  </c:pt>
                  <c:pt idx="1">
                    <c:v>2018</c:v>
                  </c:pt>
                  <c:pt idx="2">
                    <c:v>2020</c:v>
                  </c:pt>
                </c:lvl>
                <c:lvl>
                  <c:pt idx="0">
                    <c:v>Kollektiv el- og varmeforsyning</c:v>
                  </c:pt>
                </c:lvl>
              </c:multiLvlStrCache>
            </c:multiLvlStrRef>
          </c:cat>
          <c:val>
            <c:numRef>
              <c:f>'Grafer-energi'!$F$556:$F$558</c:f>
              <c:numCache>
                <c:formatCode>0%</c:formatCode>
                <c:ptCount val="3"/>
                <c:pt idx="0">
                  <c:v>0</c:v>
                </c:pt>
                <c:pt idx="1">
                  <c:v>0</c:v>
                </c:pt>
                <c:pt idx="2">
                  <c:v>0</c:v>
                </c:pt>
              </c:numCache>
            </c:numRef>
          </c:val>
          <c:extLst>
            <c:ext xmlns:c16="http://schemas.microsoft.com/office/drawing/2014/chart" uri="{C3380CC4-5D6E-409C-BE32-E72D297353CC}">
              <c16:uniqueId val="{00000000-B14B-4663-87C9-0EBEFA6668DC}"/>
            </c:ext>
          </c:extLst>
        </c:ser>
        <c:ser>
          <c:idx val="1"/>
          <c:order val="1"/>
          <c:tx>
            <c:strRef>
              <c:f>'Grafer-energi'!$G$555</c:f>
              <c:strCache>
                <c:ptCount val="1"/>
                <c:pt idx="0">
                  <c:v>Fossil</c:v>
                </c:pt>
              </c:strCache>
            </c:strRef>
          </c:tx>
          <c:spPr>
            <a:solidFill>
              <a:srgbClr val="0E5772"/>
            </a:solidFill>
            <a:ln>
              <a:noFill/>
            </a:ln>
            <a:effectLst/>
          </c:spPr>
          <c:invertIfNegative val="0"/>
          <c:cat>
            <c:multiLvlStrRef>
              <c:f>'Grafer-energi'!$B$556:$C$558</c:f>
              <c:multiLvlStrCache>
                <c:ptCount val="3"/>
                <c:lvl>
                  <c:pt idx="0">
                    <c:v>1990</c:v>
                  </c:pt>
                  <c:pt idx="1">
                    <c:v>2018</c:v>
                  </c:pt>
                  <c:pt idx="2">
                    <c:v>2020</c:v>
                  </c:pt>
                </c:lvl>
                <c:lvl>
                  <c:pt idx="0">
                    <c:v>Kollektiv el- og varmeforsyning</c:v>
                  </c:pt>
                </c:lvl>
              </c:multiLvlStrCache>
            </c:multiLvlStrRef>
          </c:cat>
          <c:val>
            <c:numRef>
              <c:f>'Grafer-energi'!$G$556:$G$558</c:f>
              <c:numCache>
                <c:formatCode>0%</c:formatCode>
                <c:ptCount val="3"/>
                <c:pt idx="0">
                  <c:v>0</c:v>
                </c:pt>
                <c:pt idx="1">
                  <c:v>1</c:v>
                </c:pt>
                <c:pt idx="2">
                  <c:v>1</c:v>
                </c:pt>
              </c:numCache>
            </c:numRef>
          </c:val>
          <c:extLst>
            <c:ext xmlns:c16="http://schemas.microsoft.com/office/drawing/2014/chart" uri="{C3380CC4-5D6E-409C-BE32-E72D297353CC}">
              <c16:uniqueId val="{0000000D-B14B-4663-87C9-0EBEFA6668DC}"/>
            </c:ext>
          </c:extLst>
        </c:ser>
        <c:dLbls>
          <c:showLegendKey val="0"/>
          <c:showVal val="0"/>
          <c:showCatName val="0"/>
          <c:showSerName val="0"/>
          <c:showPercent val="0"/>
          <c:showBubbleSize val="0"/>
        </c:dLbls>
        <c:gapWidth val="150"/>
        <c:overlap val="100"/>
        <c:axId val="690210352"/>
        <c:axId val="690212704"/>
      </c:barChart>
      <c:catAx>
        <c:axId val="690210352"/>
        <c:scaling>
          <c:orientation val="minMax"/>
        </c:scaling>
        <c:delete val="0"/>
        <c:axPos val="b"/>
        <c:numFmt formatCode="General" sourceLinked="0"/>
        <c:majorTickMark val="out"/>
        <c:minorTickMark val="none"/>
        <c:tickLblPos val="low"/>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a-DK"/>
          </a:p>
        </c:txPr>
        <c:crossAx val="690212704"/>
        <c:crosses val="autoZero"/>
        <c:auto val="1"/>
        <c:lblAlgn val="ctr"/>
        <c:lblOffset val="100"/>
        <c:noMultiLvlLbl val="0"/>
      </c:catAx>
      <c:valAx>
        <c:axId val="690212704"/>
        <c:scaling>
          <c:orientation val="minMax"/>
          <c:max val="1"/>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a-DK"/>
          </a:p>
        </c:txPr>
        <c:crossAx val="69021035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da-DK"/>
    </a:p>
  </c:txPr>
  <c:printSettings>
    <c:headerFooter/>
    <c:pageMargins b="0.75000000000000322" l="0.70000000000000062" r="0.70000000000000062" t="0.75000000000000322"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6208333333352"/>
          <c:y val="3.465346534653465E-2"/>
          <c:w val="0.65513938666926697"/>
          <c:h val="0.89395492112495856"/>
        </c:manualLayout>
      </c:layout>
      <c:barChart>
        <c:barDir val="col"/>
        <c:grouping val="stacked"/>
        <c:varyColors val="0"/>
        <c:ser>
          <c:idx val="1"/>
          <c:order val="0"/>
          <c:tx>
            <c:strRef>
              <c:f>'Grafer-energi'!$B$729</c:f>
              <c:strCache>
                <c:ptCount val="1"/>
                <c:pt idx="0">
                  <c:v>Elimport</c:v>
                </c:pt>
              </c:strCache>
            </c:strRef>
          </c:tx>
          <c:spPr>
            <a:solidFill>
              <a:schemeClr val="accent3"/>
            </a:solidFill>
            <a:ln>
              <a:noFill/>
            </a:ln>
            <a:effectLst/>
          </c:spPr>
          <c:invertIfNegative val="0"/>
          <c:cat>
            <c:numRef>
              <c:f>'Grafer-energi'!$C$728:$E$728</c:f>
              <c:numCache>
                <c:formatCode>General</c:formatCode>
                <c:ptCount val="3"/>
                <c:pt idx="0">
                  <c:v>1990</c:v>
                </c:pt>
                <c:pt idx="1">
                  <c:v>2018</c:v>
                </c:pt>
                <c:pt idx="2">
                  <c:v>2020</c:v>
                </c:pt>
              </c:numCache>
            </c:numRef>
          </c:cat>
          <c:val>
            <c:numRef>
              <c:f>'Grafer-energi'!$C$729:$E$729</c:f>
              <c:numCache>
                <c:formatCode>#,##0</c:formatCode>
                <c:ptCount val="3"/>
                <c:pt idx="0">
                  <c:v>11.368536201287085</c:v>
                </c:pt>
                <c:pt idx="1">
                  <c:v>4.5457813406739884</c:v>
                </c:pt>
                <c:pt idx="2">
                  <c:v>2.4650899437824543</c:v>
                </c:pt>
              </c:numCache>
            </c:numRef>
          </c:val>
          <c:extLst>
            <c:ext xmlns:c16="http://schemas.microsoft.com/office/drawing/2014/chart" uri="{C3380CC4-5D6E-409C-BE32-E72D297353CC}">
              <c16:uniqueId val="{00000000-AD6E-4ECB-94B0-B3811BBB1E38}"/>
            </c:ext>
          </c:extLst>
        </c:ser>
        <c:ser>
          <c:idx val="2"/>
          <c:order val="1"/>
          <c:tx>
            <c:strRef>
              <c:f>'Grafer-energi'!$B$730</c:f>
              <c:strCache>
                <c:ptCount val="1"/>
                <c:pt idx="0">
                  <c:v>Kul</c:v>
                </c:pt>
              </c:strCache>
            </c:strRef>
          </c:tx>
          <c:spPr>
            <a:solidFill>
              <a:schemeClr val="accent5"/>
            </a:solidFill>
            <a:ln>
              <a:noFill/>
            </a:ln>
            <a:effectLst/>
          </c:spPr>
          <c:invertIfNegative val="0"/>
          <c:cat>
            <c:numRef>
              <c:f>'Grafer-energi'!$C$728:$E$728</c:f>
              <c:numCache>
                <c:formatCode>General</c:formatCode>
                <c:ptCount val="3"/>
                <c:pt idx="0">
                  <c:v>1990</c:v>
                </c:pt>
                <c:pt idx="1">
                  <c:v>2018</c:v>
                </c:pt>
                <c:pt idx="2">
                  <c:v>2020</c:v>
                </c:pt>
              </c:numCache>
            </c:numRef>
          </c:cat>
          <c:val>
            <c:numRef>
              <c:f>'Grafer-energi'!$C$730:$E$730</c:f>
              <c:numCache>
                <c:formatCode>#,##0</c:formatCode>
                <c:ptCount val="3"/>
                <c:pt idx="0">
                  <c:v>0</c:v>
                </c:pt>
                <c:pt idx="1">
                  <c:v>0</c:v>
                </c:pt>
                <c:pt idx="2">
                  <c:v>0</c:v>
                </c:pt>
              </c:numCache>
            </c:numRef>
          </c:val>
          <c:extLst>
            <c:ext xmlns:c16="http://schemas.microsoft.com/office/drawing/2014/chart" uri="{C3380CC4-5D6E-409C-BE32-E72D297353CC}">
              <c16:uniqueId val="{00000001-AD6E-4ECB-94B0-B3811BBB1E38}"/>
            </c:ext>
          </c:extLst>
        </c:ser>
        <c:ser>
          <c:idx val="3"/>
          <c:order val="2"/>
          <c:tx>
            <c:strRef>
              <c:f>'Grafer-energi'!$B$731</c:f>
              <c:strCache>
                <c:ptCount val="1"/>
                <c:pt idx="0">
                  <c:v>Olie- og gasprodukter</c:v>
                </c:pt>
              </c:strCache>
            </c:strRef>
          </c:tx>
          <c:spPr>
            <a:solidFill>
              <a:schemeClr val="accent1">
                <a:lumMod val="60000"/>
              </a:schemeClr>
            </a:solidFill>
            <a:ln>
              <a:noFill/>
            </a:ln>
            <a:effectLst/>
          </c:spPr>
          <c:invertIfNegative val="0"/>
          <c:cat>
            <c:numRef>
              <c:f>'Grafer-energi'!$C$728:$E$728</c:f>
              <c:numCache>
                <c:formatCode>General</c:formatCode>
                <c:ptCount val="3"/>
                <c:pt idx="0">
                  <c:v>1990</c:v>
                </c:pt>
                <c:pt idx="1">
                  <c:v>2018</c:v>
                </c:pt>
                <c:pt idx="2">
                  <c:v>2020</c:v>
                </c:pt>
              </c:numCache>
            </c:numRef>
          </c:cat>
          <c:val>
            <c:numRef>
              <c:f>'Grafer-energi'!$C$731:$E$731</c:f>
              <c:numCache>
                <c:formatCode>#,##0</c:formatCode>
                <c:ptCount val="3"/>
                <c:pt idx="0">
                  <c:v>12.626549467745591</c:v>
                </c:pt>
                <c:pt idx="1">
                  <c:v>8.9241210670000015</c:v>
                </c:pt>
                <c:pt idx="2">
                  <c:v>7.8808402919999985</c:v>
                </c:pt>
              </c:numCache>
            </c:numRef>
          </c:val>
          <c:extLst>
            <c:ext xmlns:c16="http://schemas.microsoft.com/office/drawing/2014/chart" uri="{C3380CC4-5D6E-409C-BE32-E72D297353CC}">
              <c16:uniqueId val="{00000002-AD6E-4ECB-94B0-B3811BBB1E38}"/>
            </c:ext>
          </c:extLst>
        </c:ser>
        <c:ser>
          <c:idx val="4"/>
          <c:order val="3"/>
          <c:tx>
            <c:strRef>
              <c:f>'Grafer-energi'!$B$732</c:f>
              <c:strCache>
                <c:ptCount val="1"/>
                <c:pt idx="0">
                  <c:v>Affald, ikke bionedbrydeligt</c:v>
                </c:pt>
              </c:strCache>
            </c:strRef>
          </c:tx>
          <c:spPr>
            <a:solidFill>
              <a:schemeClr val="accent3">
                <a:lumMod val="60000"/>
              </a:schemeClr>
            </a:solidFill>
            <a:ln>
              <a:noFill/>
            </a:ln>
            <a:effectLst/>
          </c:spPr>
          <c:invertIfNegative val="0"/>
          <c:cat>
            <c:numRef>
              <c:f>'Grafer-energi'!$C$728:$E$728</c:f>
              <c:numCache>
                <c:formatCode>General</c:formatCode>
                <c:ptCount val="3"/>
                <c:pt idx="0">
                  <c:v>1990</c:v>
                </c:pt>
                <c:pt idx="1">
                  <c:v>2018</c:v>
                </c:pt>
                <c:pt idx="2">
                  <c:v>2020</c:v>
                </c:pt>
              </c:numCache>
            </c:numRef>
          </c:cat>
          <c:val>
            <c:numRef>
              <c:f>'Grafer-energi'!$C$732:$E$732</c:f>
              <c:numCache>
                <c:formatCode>#,##0</c:formatCode>
                <c:ptCount val="3"/>
                <c:pt idx="0">
                  <c:v>0</c:v>
                </c:pt>
                <c:pt idx="1">
                  <c:v>0</c:v>
                </c:pt>
                <c:pt idx="2">
                  <c:v>0</c:v>
                </c:pt>
              </c:numCache>
            </c:numRef>
          </c:val>
          <c:extLst>
            <c:ext xmlns:c16="http://schemas.microsoft.com/office/drawing/2014/chart" uri="{C3380CC4-5D6E-409C-BE32-E72D297353CC}">
              <c16:uniqueId val="{00000003-AD6E-4ECB-94B0-B3811BBB1E38}"/>
            </c:ext>
          </c:extLst>
        </c:ser>
        <c:ser>
          <c:idx val="7"/>
          <c:order val="7"/>
          <c:tx>
            <c:strRef>
              <c:f>'Grafer-energi'!$B$736</c:f>
              <c:strCache>
                <c:ptCount val="1"/>
                <c:pt idx="0">
                  <c:v>Eksport af VE-brændsler</c:v>
                </c:pt>
              </c:strCache>
            </c:strRef>
          </c:tx>
          <c:spPr>
            <a:solidFill>
              <a:schemeClr val="accent3">
                <a:lumMod val="80000"/>
                <a:lumOff val="20000"/>
              </a:schemeClr>
            </a:solidFill>
            <a:ln>
              <a:noFill/>
            </a:ln>
            <a:effectLst/>
          </c:spPr>
          <c:invertIfNegative val="0"/>
          <c:cat>
            <c:numRef>
              <c:f>'Grafer-energi'!$C$728:$E$728</c:f>
              <c:numCache>
                <c:formatCode>General</c:formatCode>
                <c:ptCount val="3"/>
                <c:pt idx="0">
                  <c:v>1990</c:v>
                </c:pt>
                <c:pt idx="1">
                  <c:v>2018</c:v>
                </c:pt>
                <c:pt idx="2">
                  <c:v>2020</c:v>
                </c:pt>
              </c:numCache>
            </c:numRef>
          </c:cat>
          <c:val>
            <c:numRef>
              <c:f>'Grafer-energi'!$C$736:$E$736</c:f>
              <c:numCache>
                <c:formatCode>#,##0</c:formatCode>
                <c:ptCount val="3"/>
                <c:pt idx="0">
                  <c:v>0</c:v>
                </c:pt>
                <c:pt idx="1">
                  <c:v>0</c:v>
                </c:pt>
                <c:pt idx="2">
                  <c:v>0</c:v>
                </c:pt>
              </c:numCache>
            </c:numRef>
          </c:val>
          <c:extLst>
            <c:ext xmlns:c16="http://schemas.microsoft.com/office/drawing/2014/chart" uri="{C3380CC4-5D6E-409C-BE32-E72D297353CC}">
              <c16:uniqueId val="{00000008-A518-476A-AB6A-1CFA53F8B655}"/>
            </c:ext>
          </c:extLst>
        </c:ser>
        <c:dLbls>
          <c:showLegendKey val="0"/>
          <c:showVal val="0"/>
          <c:showCatName val="0"/>
          <c:showSerName val="0"/>
          <c:showPercent val="0"/>
          <c:showBubbleSize val="0"/>
        </c:dLbls>
        <c:gapWidth val="150"/>
        <c:overlap val="100"/>
        <c:axId val="728089656"/>
        <c:axId val="728088480"/>
        <c:extLst>
          <c:ext xmlns:c15="http://schemas.microsoft.com/office/drawing/2012/chart" uri="{02D57815-91ED-43cb-92C2-25804820EDAC}">
            <c15:filteredBarSeries>
              <c15:ser>
                <c:idx val="0"/>
                <c:order val="4"/>
                <c:tx>
                  <c:strRef>
                    <c:extLst>
                      <c:ext uri="{02D57815-91ED-43cb-92C2-25804820EDAC}">
                        <c15:formulaRef>
                          <c15:sqref>'Grafer-energi'!$B$733</c15:sqref>
                        </c15:formulaRef>
                      </c:ext>
                    </c:extLst>
                    <c:strCache>
                      <c:ptCount val="1"/>
                      <c:pt idx="0">
                        <c:v>Affald, bionedbrydeligt</c:v>
                      </c:pt>
                    </c:strCache>
                  </c:strRef>
                </c:tx>
                <c:spPr>
                  <a:solidFill>
                    <a:schemeClr val="accent1"/>
                  </a:solidFill>
                  <a:ln>
                    <a:noFill/>
                  </a:ln>
                  <a:effectLst/>
                </c:spPr>
                <c:invertIfNegative val="0"/>
                <c:cat>
                  <c:numRef>
                    <c:extLst>
                      <c:ext uri="{02D57815-91ED-43cb-92C2-25804820EDAC}">
                        <c15:formulaRef>
                          <c15:sqref>'Grafer-energi'!$C$728:$E$728</c15:sqref>
                        </c15:formulaRef>
                      </c:ext>
                    </c:extLst>
                    <c:numCache>
                      <c:formatCode>General</c:formatCode>
                      <c:ptCount val="3"/>
                      <c:pt idx="0">
                        <c:v>1990</c:v>
                      </c:pt>
                      <c:pt idx="1">
                        <c:v>2018</c:v>
                      </c:pt>
                      <c:pt idx="2">
                        <c:v>2020</c:v>
                      </c:pt>
                    </c:numCache>
                  </c:numRef>
                </c:cat>
                <c:val>
                  <c:numRef>
                    <c:extLst>
                      <c:ext uri="{02D57815-91ED-43cb-92C2-25804820EDAC}">
                        <c15:formulaRef>
                          <c15:sqref>'Grafer-energi'!$C$733:$E$733</c15:sqref>
                        </c15:formulaRef>
                      </c:ext>
                    </c:extLst>
                    <c:numCache>
                      <c:formatCode>#,##0</c:formatCode>
                      <c:ptCount val="3"/>
                      <c:pt idx="0">
                        <c:v>0</c:v>
                      </c:pt>
                      <c:pt idx="1">
                        <c:v>0</c:v>
                      </c:pt>
                      <c:pt idx="2">
                        <c:v>0</c:v>
                      </c:pt>
                    </c:numCache>
                  </c:numRef>
                </c:val>
                <c:extLst>
                  <c:ext xmlns:c16="http://schemas.microsoft.com/office/drawing/2014/chart" uri="{C3380CC4-5D6E-409C-BE32-E72D297353CC}">
                    <c16:uniqueId val="{00000005-A518-476A-AB6A-1CFA53F8B65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'Grafer-energi'!$B$734</c15:sqref>
                        </c15:formulaRef>
                      </c:ext>
                    </c:extLst>
                    <c:strCache>
                      <c:ptCount val="1"/>
                      <c:pt idx="0">
                        <c:v>Biomasse</c:v>
                      </c:pt>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'Grafer-energi'!$C$728:$E$728</c15:sqref>
                        </c15:formulaRef>
                      </c:ext>
                    </c:extLst>
                    <c:numCache>
                      <c:formatCode>General</c:formatCode>
                      <c:ptCount val="3"/>
                      <c:pt idx="0">
                        <c:v>1990</c:v>
                      </c:pt>
                      <c:pt idx="1">
                        <c:v>2018</c:v>
                      </c:pt>
                      <c:pt idx="2">
                        <c:v>2020</c:v>
                      </c:pt>
                    </c:numCache>
                  </c:numRef>
                </c:cat>
                <c:val>
                  <c:numRef>
                    <c:extLst xmlns:c15="http://schemas.microsoft.com/office/drawing/2012/chart">
                      <c:ext xmlns:c15="http://schemas.microsoft.com/office/drawing/2012/chart" uri="{02D57815-91ED-43cb-92C2-25804820EDAC}">
                        <c15:formulaRef>
                          <c15:sqref>'Grafer-energi'!$C$734:$E$734</c15:sqref>
                        </c15:formulaRef>
                      </c:ext>
                    </c:extLst>
                    <c:numCache>
                      <c:formatCode>#,##0</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6-A518-476A-AB6A-1CFA53F8B65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'Grafer-energi'!$B$735</c15:sqref>
                        </c15:formulaRef>
                      </c:ext>
                    </c:extLst>
                    <c:strCache>
                      <c:ptCount val="1"/>
                      <c:pt idx="0">
                        <c:v>VE-kilder (Sol, vind, biogas, jordvarme)</c:v>
                      </c:pt>
                    </c:strCache>
                  </c:strRef>
                </c:tx>
                <c:spPr>
                  <a:solidFill>
                    <a:schemeClr val="accent1">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'Grafer-energi'!$C$728:$E$728</c15:sqref>
                        </c15:formulaRef>
                      </c:ext>
                    </c:extLst>
                    <c:numCache>
                      <c:formatCode>General</c:formatCode>
                      <c:ptCount val="3"/>
                      <c:pt idx="0">
                        <c:v>1990</c:v>
                      </c:pt>
                      <c:pt idx="1">
                        <c:v>2018</c:v>
                      </c:pt>
                      <c:pt idx="2">
                        <c:v>2020</c:v>
                      </c:pt>
                    </c:numCache>
                  </c:numRef>
                </c:cat>
                <c:val>
                  <c:numRef>
                    <c:extLst xmlns:c15="http://schemas.microsoft.com/office/drawing/2012/chart">
                      <c:ext xmlns:c15="http://schemas.microsoft.com/office/drawing/2012/chart" uri="{02D57815-91ED-43cb-92C2-25804820EDAC}">
                        <c15:formulaRef>
                          <c15:sqref>'Grafer-energi'!$C$735:$E$735</c15:sqref>
                        </c15:formulaRef>
                      </c:ext>
                    </c:extLst>
                    <c:numCache>
                      <c:formatCode>#,##0</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7-A518-476A-AB6A-1CFA53F8B655}"/>
                  </c:ext>
                </c:extLst>
              </c15:ser>
            </c15:filteredBarSeries>
          </c:ext>
        </c:extLst>
      </c:barChart>
      <c:catAx>
        <c:axId val="72808965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728088480"/>
        <c:crosses val="autoZero"/>
        <c:auto val="1"/>
        <c:lblAlgn val="ctr"/>
        <c:lblOffset val="100"/>
        <c:noMultiLvlLbl val="0"/>
      </c:catAx>
      <c:valAx>
        <c:axId val="728088480"/>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r>
                  <a:rPr lang="da-DK"/>
                  <a:t>1.000 ton CO</a:t>
                </a:r>
                <a:r>
                  <a:rPr lang="da-DK" baseline="-25000"/>
                  <a:t>2 </a:t>
                </a:r>
                <a:r>
                  <a:rPr lang="da-DK"/>
                  <a:t>/ år</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endParaRPr lang="da-DK"/>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72808965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088" l="0.70000000000000062" r="0.70000000000000062" t="0.7500000000000108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6208333333352"/>
          <c:y val="3.465346534653465E-2"/>
          <c:w val="0.65513938666926697"/>
          <c:h val="0.89395492112495856"/>
        </c:manualLayout>
      </c:layout>
      <c:barChart>
        <c:barDir val="col"/>
        <c:grouping val="stacked"/>
        <c:varyColors val="0"/>
        <c:ser>
          <c:idx val="1"/>
          <c:order val="0"/>
          <c:tx>
            <c:strRef>
              <c:f>'Grafer-energi'!$B$800</c:f>
              <c:strCache>
                <c:ptCount val="1"/>
                <c:pt idx="0">
                  <c:v>Elimport</c:v>
                </c:pt>
              </c:strCache>
            </c:strRef>
          </c:tx>
          <c:spPr>
            <a:solidFill>
              <a:schemeClr val="accent3"/>
            </a:solidFill>
            <a:ln>
              <a:noFill/>
            </a:ln>
            <a:effectLst/>
          </c:spPr>
          <c:invertIfNegative val="0"/>
          <c:cat>
            <c:numRef>
              <c:f>'Grafer-energi'!$C$799:$E$799</c:f>
              <c:numCache>
                <c:formatCode>General</c:formatCode>
                <c:ptCount val="3"/>
                <c:pt idx="0">
                  <c:v>1990</c:v>
                </c:pt>
                <c:pt idx="1">
                  <c:v>2018</c:v>
                </c:pt>
                <c:pt idx="2">
                  <c:v>2020</c:v>
                </c:pt>
              </c:numCache>
            </c:numRef>
          </c:cat>
          <c:val>
            <c:numRef>
              <c:f>'Grafer-energi'!$C$800:$E$800</c:f>
              <c:numCache>
                <c:formatCode>#,##0.0</c:formatCode>
                <c:ptCount val="3"/>
                <c:pt idx="0">
                  <c:v>4.5256911629327572</c:v>
                </c:pt>
                <c:pt idx="1">
                  <c:v>1.3641892328624539</c:v>
                </c:pt>
                <c:pt idx="2">
                  <c:v>1.3802295317930875</c:v>
                </c:pt>
              </c:numCache>
            </c:numRef>
          </c:val>
          <c:extLst>
            <c:ext xmlns:c16="http://schemas.microsoft.com/office/drawing/2014/chart" uri="{C3380CC4-5D6E-409C-BE32-E72D297353CC}">
              <c16:uniqueId val="{00000000-E2BA-4A72-8C03-66F9E2E58D72}"/>
            </c:ext>
          </c:extLst>
        </c:ser>
        <c:ser>
          <c:idx val="2"/>
          <c:order val="1"/>
          <c:tx>
            <c:strRef>
              <c:f>'Grafer-energi'!$B$801</c:f>
              <c:strCache>
                <c:ptCount val="1"/>
                <c:pt idx="0">
                  <c:v>Kul</c:v>
                </c:pt>
              </c:strCache>
            </c:strRef>
          </c:tx>
          <c:spPr>
            <a:solidFill>
              <a:schemeClr val="accent5"/>
            </a:solidFill>
            <a:ln>
              <a:noFill/>
            </a:ln>
            <a:effectLst/>
          </c:spPr>
          <c:invertIfNegative val="0"/>
          <c:cat>
            <c:numRef>
              <c:f>'Grafer-energi'!$C$799:$E$799</c:f>
              <c:numCache>
                <c:formatCode>General</c:formatCode>
                <c:ptCount val="3"/>
                <c:pt idx="0">
                  <c:v>1990</c:v>
                </c:pt>
                <c:pt idx="1">
                  <c:v>2018</c:v>
                </c:pt>
                <c:pt idx="2">
                  <c:v>2020</c:v>
                </c:pt>
              </c:numCache>
            </c:numRef>
          </c:cat>
          <c:val>
            <c:numRef>
              <c:f>'Grafer-energi'!$C$801:$E$801</c:f>
              <c:numCache>
                <c:formatCode>#,##0.0</c:formatCode>
                <c:ptCount val="3"/>
                <c:pt idx="0">
                  <c:v>0</c:v>
                </c:pt>
                <c:pt idx="1">
                  <c:v>0</c:v>
                </c:pt>
                <c:pt idx="2">
                  <c:v>0</c:v>
                </c:pt>
              </c:numCache>
            </c:numRef>
          </c:val>
          <c:extLst>
            <c:ext xmlns:c16="http://schemas.microsoft.com/office/drawing/2014/chart" uri="{C3380CC4-5D6E-409C-BE32-E72D297353CC}">
              <c16:uniqueId val="{00000001-E2BA-4A72-8C03-66F9E2E58D72}"/>
            </c:ext>
          </c:extLst>
        </c:ser>
        <c:ser>
          <c:idx val="3"/>
          <c:order val="2"/>
          <c:tx>
            <c:strRef>
              <c:f>'Grafer-energi'!$B$802</c:f>
              <c:strCache>
                <c:ptCount val="1"/>
                <c:pt idx="0">
                  <c:v>Olie- og gasprodukter</c:v>
                </c:pt>
              </c:strCache>
            </c:strRef>
          </c:tx>
          <c:spPr>
            <a:solidFill>
              <a:schemeClr val="accent1">
                <a:lumMod val="60000"/>
              </a:schemeClr>
            </a:solidFill>
            <a:ln>
              <a:noFill/>
            </a:ln>
            <a:effectLst/>
          </c:spPr>
          <c:invertIfNegative val="0"/>
          <c:cat>
            <c:numRef>
              <c:f>'Grafer-energi'!$C$799:$E$799</c:f>
              <c:numCache>
                <c:formatCode>General</c:formatCode>
                <c:ptCount val="3"/>
                <c:pt idx="0">
                  <c:v>1990</c:v>
                </c:pt>
                <c:pt idx="1">
                  <c:v>2018</c:v>
                </c:pt>
                <c:pt idx="2">
                  <c:v>2020</c:v>
                </c:pt>
              </c:numCache>
            </c:numRef>
          </c:cat>
          <c:val>
            <c:numRef>
              <c:f>'Grafer-energi'!$C$802:$E$802</c:f>
              <c:numCache>
                <c:formatCode>#,##0.0</c:formatCode>
                <c:ptCount val="3"/>
                <c:pt idx="0">
                  <c:v>5.0264926225101867</c:v>
                </c:pt>
                <c:pt idx="1">
                  <c:v>4.3612840575539567</c:v>
                </c:pt>
                <c:pt idx="2">
                  <c:v>4.4125645531914879</c:v>
                </c:pt>
              </c:numCache>
            </c:numRef>
          </c:val>
          <c:extLst>
            <c:ext xmlns:c16="http://schemas.microsoft.com/office/drawing/2014/chart" uri="{C3380CC4-5D6E-409C-BE32-E72D297353CC}">
              <c16:uniqueId val="{00000002-E2BA-4A72-8C03-66F9E2E58D72}"/>
            </c:ext>
          </c:extLst>
        </c:ser>
        <c:ser>
          <c:idx val="0"/>
          <c:order val="3"/>
          <c:tx>
            <c:strRef>
              <c:f>'Grafer-energi'!$B$803</c:f>
              <c:strCache>
                <c:ptCount val="1"/>
                <c:pt idx="0">
                  <c:v>Affald, ikke bionedbrydeligt</c:v>
                </c:pt>
              </c:strCache>
            </c:strRef>
          </c:tx>
          <c:spPr>
            <a:solidFill>
              <a:schemeClr val="accent1"/>
            </a:solidFill>
            <a:ln>
              <a:noFill/>
            </a:ln>
            <a:effectLst/>
          </c:spPr>
          <c:invertIfNegative val="0"/>
          <c:cat>
            <c:numRef>
              <c:f>'Grafer-energi'!$C$799:$E$799</c:f>
              <c:numCache>
                <c:formatCode>General</c:formatCode>
                <c:ptCount val="3"/>
                <c:pt idx="0">
                  <c:v>1990</c:v>
                </c:pt>
                <c:pt idx="1">
                  <c:v>2018</c:v>
                </c:pt>
                <c:pt idx="2">
                  <c:v>2020</c:v>
                </c:pt>
              </c:numCache>
            </c:numRef>
          </c:cat>
          <c:val>
            <c:numRef>
              <c:f>'Grafer-energi'!$C$803:$E$803</c:f>
              <c:numCache>
                <c:formatCode>#,##0.0</c:formatCode>
                <c:ptCount val="3"/>
                <c:pt idx="0">
                  <c:v>0</c:v>
                </c:pt>
                <c:pt idx="1">
                  <c:v>0</c:v>
                </c:pt>
                <c:pt idx="2">
                  <c:v>0</c:v>
                </c:pt>
              </c:numCache>
            </c:numRef>
          </c:val>
          <c:extLst>
            <c:ext xmlns:c16="http://schemas.microsoft.com/office/drawing/2014/chart" uri="{C3380CC4-5D6E-409C-BE32-E72D297353CC}">
              <c16:uniqueId val="{00000001-F917-461E-B09C-6B46BE0E7AC2}"/>
            </c:ext>
          </c:extLst>
        </c:ser>
        <c:dLbls>
          <c:showLegendKey val="0"/>
          <c:showVal val="0"/>
          <c:showCatName val="0"/>
          <c:showSerName val="0"/>
          <c:showPercent val="0"/>
          <c:showBubbleSize val="0"/>
        </c:dLbls>
        <c:gapWidth val="150"/>
        <c:overlap val="100"/>
        <c:axId val="728089656"/>
        <c:axId val="728088480"/>
      </c:barChart>
      <c:catAx>
        <c:axId val="72808965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728088480"/>
        <c:crosses val="autoZero"/>
        <c:auto val="1"/>
        <c:lblAlgn val="ctr"/>
        <c:lblOffset val="100"/>
        <c:noMultiLvlLbl val="0"/>
      </c:catAx>
      <c:valAx>
        <c:axId val="728088480"/>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r>
                  <a:rPr lang="da-DK"/>
                  <a:t>ton CO</a:t>
                </a:r>
                <a:r>
                  <a:rPr lang="da-DK" baseline="-25000"/>
                  <a:t>2 </a:t>
                </a:r>
                <a:r>
                  <a:rPr lang="da-DK"/>
                  <a:t>/ indbygger / år</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endParaRPr lang="da-DK"/>
            </a:p>
          </c:txPr>
        </c:title>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72808965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088" l="0.70000000000000062" r="0.70000000000000062" t="0.7500000000000108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da-DK" sz="1400"/>
              <a:t>2020</a:t>
            </a:r>
          </a:p>
        </c:rich>
      </c:tx>
      <c:layout>
        <c:manualLayout>
          <c:xMode val="edge"/>
          <c:yMode val="edge"/>
          <c:x val="0.84815775105812807"/>
          <c:y val="3.2980646263679629E-2"/>
        </c:manualLayout>
      </c:layout>
      <c:overlay val="0"/>
      <c:spPr>
        <a:noFill/>
        <a:ln>
          <a:noFill/>
        </a:ln>
        <a:effectLst/>
      </c:spPr>
    </c:title>
    <c:autoTitleDeleted val="0"/>
    <c:plotArea>
      <c:layout/>
      <c:pieChart>
        <c:varyColors val="1"/>
        <c:ser>
          <c:idx val="0"/>
          <c:order val="0"/>
          <c:tx>
            <c:strRef>
              <c:f>'Grafer-energi'!$C$592</c:f>
              <c:strCache>
                <c:ptCount val="1"/>
                <c:pt idx="0">
                  <c:v>1990</c:v>
                </c:pt>
              </c:strCache>
            </c:strRef>
          </c:tx>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44-B5A4-44DF-A132-3F0DCA4A42B7}"/>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46-B5A4-44DF-A132-3F0DCA4A42B7}"/>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48-B5A4-44DF-A132-3F0DCA4A42B7}"/>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4A-B5A4-44DF-A132-3F0DCA4A42B7}"/>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4C-B5A4-44DF-A132-3F0DCA4A42B7}"/>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4E-B5A4-44DF-A132-3F0DCA4A42B7}"/>
              </c:ext>
            </c:extLst>
          </c:dPt>
          <c:dPt>
            <c:idx val="6"/>
            <c:bubble3D val="0"/>
            <c:spPr>
              <a:solidFill>
                <a:schemeClr val="accent1">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50-B5A4-44DF-A132-3F0DCA4A42B7}"/>
              </c:ext>
            </c:extLst>
          </c:dPt>
          <c:dPt>
            <c:idx val="7"/>
            <c:bubble3D val="0"/>
            <c:spPr>
              <a:solidFill>
                <a:schemeClr val="accent2">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52-B5A4-44DF-A132-3F0DCA4A42B7}"/>
              </c:ext>
            </c:extLst>
          </c:dPt>
          <c:dPt>
            <c:idx val="8"/>
            <c:bubble3D val="0"/>
            <c:spPr>
              <a:solidFill>
                <a:schemeClr val="accent3">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54-B5A4-44DF-A132-3F0DCA4A42B7}"/>
              </c:ext>
            </c:extLst>
          </c:dPt>
          <c:dPt>
            <c:idx val="9"/>
            <c:bubble3D val="0"/>
            <c:spPr>
              <a:solidFill>
                <a:schemeClr val="accent4">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56-B5A4-44DF-A132-3F0DCA4A42B7}"/>
              </c:ext>
            </c:extLst>
          </c:dPt>
          <c:dPt>
            <c:idx val="10"/>
            <c:bubble3D val="0"/>
            <c:spPr>
              <a:solidFill>
                <a:schemeClr val="accent5">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58-B5A4-44DF-A132-3F0DCA4A42B7}"/>
              </c:ext>
            </c:extLst>
          </c:dPt>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da-DK"/>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'Grafer-energi'!$B$593:$B$603</c:f>
              <c:strCache>
                <c:ptCount val="11"/>
                <c:pt idx="0">
                  <c:v>Person- og varebiler, 
benzin (inkl. mild hybrid)</c:v>
                </c:pt>
                <c:pt idx="1">
                  <c:v>Person- og varebiler, 
diesel, gas</c:v>
                </c:pt>
                <c:pt idx="2">
                  <c:v>Person- og varebiler, 
el, plug-in hybrid, brint</c:v>
                </c:pt>
                <c:pt idx="3">
                  <c:v>Busser, diesel, gas</c:v>
                </c:pt>
                <c:pt idx="4">
                  <c:v>Busser, el, brint</c:v>
                </c:pt>
                <c:pt idx="5">
                  <c:v>Lastbiler m.m., diesel, gas</c:v>
                </c:pt>
                <c:pt idx="6">
                  <c:v>Lastbiler m.m., el, brint</c:v>
                </c:pt>
                <c:pt idx="7">
                  <c:v>Traktorer</c:v>
                </c:pt>
                <c:pt idx="8">
                  <c:v>Tog</c:v>
                </c:pt>
                <c:pt idx="9">
                  <c:v>Fly</c:v>
                </c:pt>
                <c:pt idx="10">
                  <c:v>Skibe</c:v>
                </c:pt>
              </c:strCache>
            </c:strRef>
          </c:cat>
          <c:val>
            <c:numRef>
              <c:f>'Grafer-energi'!$C$593:$C$603</c:f>
              <c:numCache>
                <c:formatCode>#,##0</c:formatCode>
                <c:ptCount val="11"/>
                <c:pt idx="0">
                  <c:v>26.46</c:v>
                </c:pt>
                <c:pt idx="1">
                  <c:v>8.61</c:v>
                </c:pt>
                <c:pt idx="2">
                  <c:v>0</c:v>
                </c:pt>
                <c:pt idx="3">
                  <c:v>3.34</c:v>
                </c:pt>
                <c:pt idx="4">
                  <c:v>0</c:v>
                </c:pt>
                <c:pt idx="5">
                  <c:v>8.5299999999999994</c:v>
                </c:pt>
                <c:pt idx="6">
                  <c:v>0</c:v>
                </c:pt>
                <c:pt idx="7">
                  <c:v>7.0269586273894555</c:v>
                </c:pt>
                <c:pt idx="8">
                  <c:v>1.961507860425528</c:v>
                </c:pt>
                <c:pt idx="9">
                  <c:v>14.177058645182885</c:v>
                </c:pt>
                <c:pt idx="10">
                  <c:v>3.1023052691616186</c:v>
                </c:pt>
              </c:numCache>
            </c:numRef>
          </c:val>
          <c:extLst>
            <c:ext xmlns:c16="http://schemas.microsoft.com/office/drawing/2014/chart" uri="{C3380CC4-5D6E-409C-BE32-E72D297353CC}">
              <c16:uniqueId val="{00000059-B5A4-44DF-A132-3F0DCA4A42B7}"/>
            </c:ext>
          </c:extLst>
        </c:ser>
        <c:ser>
          <c:idx val="1"/>
          <c:order val="1"/>
          <c:tx>
            <c:strRef>
              <c:f>'Grafer-energi'!$D$592</c:f>
              <c:strCache>
                <c:ptCount val="1"/>
                <c:pt idx="0">
                  <c:v>2018</c:v>
                </c:pt>
              </c:strCache>
            </c:strRef>
          </c:tx>
          <c:dPt>
            <c:idx val="0"/>
            <c:bubble3D val="0"/>
            <c:extLst>
              <c:ext xmlns:c16="http://schemas.microsoft.com/office/drawing/2014/chart" uri="{C3380CC4-5D6E-409C-BE32-E72D297353CC}">
                <c16:uniqueId val="{0000005B-B5A4-44DF-A132-3F0DCA4A42B7}"/>
              </c:ext>
            </c:extLst>
          </c:dPt>
          <c:dPt>
            <c:idx val="1"/>
            <c:bubble3D val="0"/>
            <c:extLst>
              <c:ext xmlns:c16="http://schemas.microsoft.com/office/drawing/2014/chart" uri="{C3380CC4-5D6E-409C-BE32-E72D297353CC}">
                <c16:uniqueId val="{0000005C-B5A4-44DF-A132-3F0DCA4A42B7}"/>
              </c:ext>
            </c:extLst>
          </c:dPt>
          <c:dPt>
            <c:idx val="2"/>
            <c:bubble3D val="0"/>
            <c:extLst>
              <c:ext xmlns:c16="http://schemas.microsoft.com/office/drawing/2014/chart" uri="{C3380CC4-5D6E-409C-BE32-E72D297353CC}">
                <c16:uniqueId val="{0000005D-B5A4-44DF-A132-3F0DCA4A42B7}"/>
              </c:ext>
            </c:extLst>
          </c:dPt>
          <c:dPt>
            <c:idx val="3"/>
            <c:bubble3D val="0"/>
            <c:extLst>
              <c:ext xmlns:c16="http://schemas.microsoft.com/office/drawing/2014/chart" uri="{C3380CC4-5D6E-409C-BE32-E72D297353CC}">
                <c16:uniqueId val="{0000005E-B5A4-44DF-A132-3F0DCA4A42B7}"/>
              </c:ext>
            </c:extLst>
          </c:dPt>
          <c:dPt>
            <c:idx val="4"/>
            <c:bubble3D val="0"/>
            <c:extLst>
              <c:ext xmlns:c16="http://schemas.microsoft.com/office/drawing/2014/chart" uri="{C3380CC4-5D6E-409C-BE32-E72D297353CC}">
                <c16:uniqueId val="{0000005F-B5A4-44DF-A132-3F0DCA4A42B7}"/>
              </c:ext>
            </c:extLst>
          </c:dPt>
          <c:dPt>
            <c:idx val="5"/>
            <c:bubble3D val="0"/>
            <c:extLst>
              <c:ext xmlns:c16="http://schemas.microsoft.com/office/drawing/2014/chart" uri="{C3380CC4-5D6E-409C-BE32-E72D297353CC}">
                <c16:uniqueId val="{00000060-B5A4-44DF-A132-3F0DCA4A42B7}"/>
              </c:ext>
            </c:extLst>
          </c:dPt>
          <c:dPt>
            <c:idx val="6"/>
            <c:bubble3D val="0"/>
            <c:extLst>
              <c:ext xmlns:c16="http://schemas.microsoft.com/office/drawing/2014/chart" uri="{C3380CC4-5D6E-409C-BE32-E72D297353CC}">
                <c16:uniqueId val="{00000061-B5A4-44DF-A132-3F0DCA4A42B7}"/>
              </c:ext>
            </c:extLst>
          </c:dPt>
          <c:dPt>
            <c:idx val="7"/>
            <c:bubble3D val="0"/>
            <c:extLst>
              <c:ext xmlns:c16="http://schemas.microsoft.com/office/drawing/2014/chart" uri="{C3380CC4-5D6E-409C-BE32-E72D297353CC}">
                <c16:uniqueId val="{00000062-B5A4-44DF-A132-3F0DCA4A42B7}"/>
              </c:ext>
            </c:extLst>
          </c:dPt>
          <c:dPt>
            <c:idx val="8"/>
            <c:bubble3D val="0"/>
            <c:extLst>
              <c:ext xmlns:c16="http://schemas.microsoft.com/office/drawing/2014/chart" uri="{C3380CC4-5D6E-409C-BE32-E72D297353CC}">
                <c16:uniqueId val="{00000063-B5A4-44DF-A132-3F0DCA4A42B7}"/>
              </c:ext>
            </c:extLst>
          </c:dPt>
          <c:dPt>
            <c:idx val="9"/>
            <c:bubble3D val="0"/>
            <c:extLst>
              <c:ext xmlns:c16="http://schemas.microsoft.com/office/drawing/2014/chart" uri="{C3380CC4-5D6E-409C-BE32-E72D297353CC}">
                <c16:uniqueId val="{00000064-B5A4-44DF-A132-3F0DCA4A42B7}"/>
              </c:ext>
            </c:extLst>
          </c:dPt>
          <c:dPt>
            <c:idx val="10"/>
            <c:bubble3D val="0"/>
            <c:extLst>
              <c:ext xmlns:c16="http://schemas.microsoft.com/office/drawing/2014/chart" uri="{C3380CC4-5D6E-409C-BE32-E72D297353CC}">
                <c16:uniqueId val="{00000065-B5A4-44DF-A132-3F0DCA4A42B7}"/>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'Grafer-energi'!$B$593:$B$603</c:f>
              <c:strCache>
                <c:ptCount val="11"/>
                <c:pt idx="0">
                  <c:v>Person- og varebiler, 
benzin (inkl. mild hybrid)</c:v>
                </c:pt>
                <c:pt idx="1">
                  <c:v>Person- og varebiler, 
diesel, gas</c:v>
                </c:pt>
                <c:pt idx="2">
                  <c:v>Person- og varebiler, 
el, plug-in hybrid, brint</c:v>
                </c:pt>
                <c:pt idx="3">
                  <c:v>Busser, diesel, gas</c:v>
                </c:pt>
                <c:pt idx="4">
                  <c:v>Busser, el, brint</c:v>
                </c:pt>
                <c:pt idx="5">
                  <c:v>Lastbiler m.m., diesel, gas</c:v>
                </c:pt>
                <c:pt idx="6">
                  <c:v>Lastbiler m.m., el, brint</c:v>
                </c:pt>
                <c:pt idx="7">
                  <c:v>Traktorer</c:v>
                </c:pt>
                <c:pt idx="8">
                  <c:v>Tog</c:v>
                </c:pt>
                <c:pt idx="9">
                  <c:v>Fly</c:v>
                </c:pt>
                <c:pt idx="10">
                  <c:v>Skibe</c:v>
                </c:pt>
              </c:strCache>
            </c:strRef>
          </c:cat>
          <c:val>
            <c:numRef>
              <c:f>'Grafer-energi'!$D$593:$D$603</c:f>
              <c:numCache>
                <c:formatCode>#,##0</c:formatCode>
                <c:ptCount val="11"/>
                <c:pt idx="0">
                  <c:v>19.46</c:v>
                </c:pt>
                <c:pt idx="1">
                  <c:v>17.670000000000002</c:v>
                </c:pt>
                <c:pt idx="2">
                  <c:v>0.16122599704579024</c:v>
                </c:pt>
                <c:pt idx="3">
                  <c:v>2.06</c:v>
                </c:pt>
                <c:pt idx="4">
                  <c:v>0</c:v>
                </c:pt>
                <c:pt idx="5">
                  <c:v>34.11</c:v>
                </c:pt>
                <c:pt idx="6">
                  <c:v>0</c:v>
                </c:pt>
                <c:pt idx="7">
                  <c:v>7.43</c:v>
                </c:pt>
                <c:pt idx="8">
                  <c:v>0.95</c:v>
                </c:pt>
                <c:pt idx="9">
                  <c:v>13.995000000000001</c:v>
                </c:pt>
                <c:pt idx="10">
                  <c:v>2.0009999999999999</c:v>
                </c:pt>
              </c:numCache>
            </c:numRef>
          </c:val>
          <c:extLst>
            <c:ext xmlns:c16="http://schemas.microsoft.com/office/drawing/2014/chart" uri="{C3380CC4-5D6E-409C-BE32-E72D297353CC}">
              <c16:uniqueId val="{00000066-B5A4-44DF-A132-3F0DCA4A42B7}"/>
            </c:ext>
          </c:extLst>
        </c:ser>
        <c:ser>
          <c:idx val="2"/>
          <c:order val="2"/>
          <c:tx>
            <c:strRef>
              <c:f>'Grafer-energi'!$E$592</c:f>
              <c:strCache>
                <c:ptCount val="1"/>
                <c:pt idx="0">
                  <c:v>2020</c:v>
                </c:pt>
              </c:strCache>
            </c:strRef>
          </c:tx>
          <c:dPt>
            <c:idx val="0"/>
            <c:bubble3D val="0"/>
            <c:extLst>
              <c:ext xmlns:c16="http://schemas.microsoft.com/office/drawing/2014/chart" uri="{C3380CC4-5D6E-409C-BE32-E72D297353CC}">
                <c16:uniqueId val="{00000068-B5A4-44DF-A132-3F0DCA4A42B7}"/>
              </c:ext>
            </c:extLst>
          </c:dPt>
          <c:dPt>
            <c:idx val="1"/>
            <c:bubble3D val="0"/>
            <c:extLst>
              <c:ext xmlns:c16="http://schemas.microsoft.com/office/drawing/2014/chart" uri="{C3380CC4-5D6E-409C-BE32-E72D297353CC}">
                <c16:uniqueId val="{00000069-B5A4-44DF-A132-3F0DCA4A42B7}"/>
              </c:ext>
            </c:extLst>
          </c:dPt>
          <c:dPt>
            <c:idx val="2"/>
            <c:bubble3D val="0"/>
            <c:extLst>
              <c:ext xmlns:c16="http://schemas.microsoft.com/office/drawing/2014/chart" uri="{C3380CC4-5D6E-409C-BE32-E72D297353CC}">
                <c16:uniqueId val="{0000006A-B5A4-44DF-A132-3F0DCA4A42B7}"/>
              </c:ext>
            </c:extLst>
          </c:dPt>
          <c:dPt>
            <c:idx val="3"/>
            <c:bubble3D val="0"/>
            <c:extLst>
              <c:ext xmlns:c16="http://schemas.microsoft.com/office/drawing/2014/chart" uri="{C3380CC4-5D6E-409C-BE32-E72D297353CC}">
                <c16:uniqueId val="{0000006B-B5A4-44DF-A132-3F0DCA4A42B7}"/>
              </c:ext>
            </c:extLst>
          </c:dPt>
          <c:dPt>
            <c:idx val="4"/>
            <c:bubble3D val="0"/>
            <c:extLst>
              <c:ext xmlns:c16="http://schemas.microsoft.com/office/drawing/2014/chart" uri="{C3380CC4-5D6E-409C-BE32-E72D297353CC}">
                <c16:uniqueId val="{0000006C-B5A4-44DF-A132-3F0DCA4A42B7}"/>
              </c:ext>
            </c:extLst>
          </c:dPt>
          <c:dPt>
            <c:idx val="5"/>
            <c:bubble3D val="0"/>
            <c:extLst>
              <c:ext xmlns:c16="http://schemas.microsoft.com/office/drawing/2014/chart" uri="{C3380CC4-5D6E-409C-BE32-E72D297353CC}">
                <c16:uniqueId val="{0000006D-B5A4-44DF-A132-3F0DCA4A42B7}"/>
              </c:ext>
            </c:extLst>
          </c:dPt>
          <c:dPt>
            <c:idx val="6"/>
            <c:bubble3D val="0"/>
            <c:extLst>
              <c:ext xmlns:c16="http://schemas.microsoft.com/office/drawing/2014/chart" uri="{C3380CC4-5D6E-409C-BE32-E72D297353CC}">
                <c16:uniqueId val="{0000006E-B5A4-44DF-A132-3F0DCA4A42B7}"/>
              </c:ext>
            </c:extLst>
          </c:dPt>
          <c:dPt>
            <c:idx val="7"/>
            <c:bubble3D val="0"/>
            <c:extLst>
              <c:ext xmlns:c16="http://schemas.microsoft.com/office/drawing/2014/chart" uri="{C3380CC4-5D6E-409C-BE32-E72D297353CC}">
                <c16:uniqueId val="{0000006F-B5A4-44DF-A132-3F0DCA4A42B7}"/>
              </c:ext>
            </c:extLst>
          </c:dPt>
          <c:dPt>
            <c:idx val="8"/>
            <c:bubble3D val="0"/>
            <c:extLst>
              <c:ext xmlns:c16="http://schemas.microsoft.com/office/drawing/2014/chart" uri="{C3380CC4-5D6E-409C-BE32-E72D297353CC}">
                <c16:uniqueId val="{00000070-B5A4-44DF-A132-3F0DCA4A42B7}"/>
              </c:ext>
            </c:extLst>
          </c:dPt>
          <c:dPt>
            <c:idx val="9"/>
            <c:bubble3D val="0"/>
            <c:extLst>
              <c:ext xmlns:c16="http://schemas.microsoft.com/office/drawing/2014/chart" uri="{C3380CC4-5D6E-409C-BE32-E72D297353CC}">
                <c16:uniqueId val="{00000071-B5A4-44DF-A132-3F0DCA4A42B7}"/>
              </c:ext>
            </c:extLst>
          </c:dPt>
          <c:dPt>
            <c:idx val="10"/>
            <c:bubble3D val="0"/>
            <c:extLst>
              <c:ext xmlns:c16="http://schemas.microsoft.com/office/drawing/2014/chart" uri="{C3380CC4-5D6E-409C-BE32-E72D297353CC}">
                <c16:uniqueId val="{00000072-B5A4-44DF-A132-3F0DCA4A42B7}"/>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'Grafer-energi'!$B$593:$B$603</c:f>
              <c:strCache>
                <c:ptCount val="11"/>
                <c:pt idx="0">
                  <c:v>Person- og varebiler, 
benzin (inkl. mild hybrid)</c:v>
                </c:pt>
                <c:pt idx="1">
                  <c:v>Person- og varebiler, 
diesel, gas</c:v>
                </c:pt>
                <c:pt idx="2">
                  <c:v>Person- og varebiler, 
el, plug-in hybrid, brint</c:v>
                </c:pt>
                <c:pt idx="3">
                  <c:v>Busser, diesel, gas</c:v>
                </c:pt>
                <c:pt idx="4">
                  <c:v>Busser, el, brint</c:v>
                </c:pt>
                <c:pt idx="5">
                  <c:v>Lastbiler m.m., diesel, gas</c:v>
                </c:pt>
                <c:pt idx="6">
                  <c:v>Lastbiler m.m., el, brint</c:v>
                </c:pt>
                <c:pt idx="7">
                  <c:v>Traktorer</c:v>
                </c:pt>
                <c:pt idx="8">
                  <c:v>Tog</c:v>
                </c:pt>
                <c:pt idx="9">
                  <c:v>Fly</c:v>
                </c:pt>
                <c:pt idx="10">
                  <c:v>Skibe</c:v>
                </c:pt>
              </c:strCache>
            </c:strRef>
          </c:cat>
          <c:val>
            <c:numRef>
              <c:f>'Grafer-energi'!$E$593:$E$603</c:f>
              <c:numCache>
                <c:formatCode>#,##0</c:formatCode>
                <c:ptCount val="11"/>
                <c:pt idx="0">
                  <c:v>18.09</c:v>
                </c:pt>
                <c:pt idx="1">
                  <c:v>15.36</c:v>
                </c:pt>
                <c:pt idx="2">
                  <c:v>0.35799999999999998</c:v>
                </c:pt>
                <c:pt idx="3">
                  <c:v>1.45</c:v>
                </c:pt>
                <c:pt idx="4">
                  <c:v>0</c:v>
                </c:pt>
                <c:pt idx="5">
                  <c:v>31</c:v>
                </c:pt>
                <c:pt idx="6">
                  <c:v>0</c:v>
                </c:pt>
                <c:pt idx="7">
                  <c:v>7.1</c:v>
                </c:pt>
                <c:pt idx="8">
                  <c:v>0.81</c:v>
                </c:pt>
                <c:pt idx="9">
                  <c:v>4.96</c:v>
                </c:pt>
                <c:pt idx="10">
                  <c:v>1.5</c:v>
                </c:pt>
              </c:numCache>
            </c:numRef>
          </c:val>
          <c:extLst>
            <c:ext xmlns:c16="http://schemas.microsoft.com/office/drawing/2014/chart" uri="{C3380CC4-5D6E-409C-BE32-E72D297353CC}">
              <c16:uniqueId val="{00000073-B5A4-44DF-A132-3F0DCA4A42B7}"/>
            </c:ext>
          </c:extLst>
        </c:ser>
        <c:dLbls>
          <c:dLblPos val="inEnd"/>
          <c:showLegendKey val="0"/>
          <c:showVal val="0"/>
          <c:showCatName val="0"/>
          <c:showSerName val="0"/>
          <c:showPercent val="1"/>
          <c:showBubbleSize val="0"/>
          <c:showLeaderLines val="1"/>
        </c:dLbls>
        <c:firstSliceAng val="0"/>
      </c:pieChart>
    </c:plotArea>
    <c:legend>
      <c:legendPos val="r"/>
      <c:overlay val="0"/>
      <c:spPr>
        <a:solidFill>
          <a:schemeClr val="lt1">
            <a:alpha val="78000"/>
          </a:schemeClr>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da-DK" sz="1400"/>
              <a:t>2020</a:t>
            </a:r>
          </a:p>
        </c:rich>
      </c:tx>
      <c:layout>
        <c:manualLayout>
          <c:xMode val="edge"/>
          <c:yMode val="edge"/>
          <c:x val="0.83239903754939659"/>
          <c:y val="0.18566073386181992"/>
        </c:manualLayout>
      </c:layout>
      <c:overlay val="0"/>
      <c:spPr>
        <a:noFill/>
        <a:ln>
          <a:noFill/>
        </a:ln>
        <a:effectLst/>
      </c:spPr>
    </c:title>
    <c:autoTitleDeleted val="0"/>
    <c:plotArea>
      <c:layout/>
      <c:pieChart>
        <c:varyColors val="1"/>
        <c:ser>
          <c:idx val="0"/>
          <c:order val="0"/>
          <c:tx>
            <c:strRef>
              <c:f>'Grafer-energi'!$C$1009</c:f>
              <c:strCache>
                <c:ptCount val="1"/>
                <c:pt idx="0">
                  <c:v>1990</c:v>
                </c:pt>
              </c:strCache>
            </c:strRef>
          </c:tx>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88-8F59-4E17-B339-C66D04F0532F}"/>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8A-8F59-4E17-B339-C66D04F0532F}"/>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8C-8F59-4E17-B339-C66D04F0532F}"/>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8E-8F59-4E17-B339-C66D04F0532F}"/>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90-8F59-4E17-B339-C66D04F0532F}"/>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92-8F59-4E17-B339-C66D04F0532F}"/>
              </c:ext>
            </c:extLst>
          </c:dPt>
          <c:dPt>
            <c:idx val="6"/>
            <c:bubble3D val="0"/>
            <c:spPr>
              <a:solidFill>
                <a:schemeClr val="accent1">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94-8F59-4E17-B339-C66D04F0532F}"/>
              </c:ext>
            </c:extLst>
          </c:dPt>
          <c:dPt>
            <c:idx val="7"/>
            <c:bubble3D val="0"/>
            <c:spPr>
              <a:solidFill>
                <a:schemeClr val="accent2">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96-8F59-4E17-B339-C66D04F0532F}"/>
              </c:ext>
            </c:extLst>
          </c:dPt>
          <c:dPt>
            <c:idx val="8"/>
            <c:bubble3D val="0"/>
            <c:spPr>
              <a:solidFill>
                <a:schemeClr val="accent3">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98-8F59-4E17-B339-C66D04F0532F}"/>
              </c:ext>
            </c:extLst>
          </c:dPt>
          <c:dPt>
            <c:idx val="9"/>
            <c:bubble3D val="0"/>
            <c:spPr>
              <a:solidFill>
                <a:schemeClr val="accent4">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9A-8F59-4E17-B339-C66D04F0532F}"/>
              </c:ext>
            </c:extLst>
          </c:dPt>
          <c:dPt>
            <c:idx val="10"/>
            <c:bubble3D val="0"/>
            <c:spPr>
              <a:solidFill>
                <a:schemeClr val="accent5">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9C-8F59-4E17-B339-C66D04F0532F}"/>
              </c:ext>
            </c:extLst>
          </c:dPt>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da-DK"/>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'Grafer-energi'!$B$1010:$B$1018</c:f>
              <c:strCache>
                <c:ptCount val="9"/>
                <c:pt idx="0">
                  <c:v>Fjernvarme</c:v>
                </c:pt>
                <c:pt idx="1">
                  <c:v>Naturgasfyr</c:v>
                </c:pt>
                <c:pt idx="2">
                  <c:v>Oliefyr</c:v>
                </c:pt>
                <c:pt idx="3">
                  <c:v>Træpille- og stokerfyr</c:v>
                </c:pt>
                <c:pt idx="4">
                  <c:v>Brændekedel og -ovn</c:v>
                </c:pt>
                <c:pt idx="5">
                  <c:v>Halmfyr</c:v>
                </c:pt>
                <c:pt idx="6">
                  <c:v>Elvarme</c:v>
                </c:pt>
                <c:pt idx="7">
                  <c:v>Individuelle varmepumper</c:v>
                </c:pt>
                <c:pt idx="8">
                  <c:v>Individuel solvarme</c:v>
                </c:pt>
              </c:strCache>
            </c:strRef>
          </c:cat>
          <c:val>
            <c:numRef>
              <c:f>'Grafer-energi'!$C$1010:$C$1018</c:f>
              <c:numCache>
                <c:formatCode>#,##0</c:formatCode>
                <c:ptCount val="9"/>
                <c:pt idx="0">
                  <c:v>0</c:v>
                </c:pt>
                <c:pt idx="1">
                  <c:v>0</c:v>
                </c:pt>
                <c:pt idx="2">
                  <c:v>75.096000000000004</c:v>
                </c:pt>
                <c:pt idx="3">
                  <c:v>3.7500000000000006E-2</c:v>
                </c:pt>
                <c:pt idx="4">
                  <c:v>6.6495000000000006</c:v>
                </c:pt>
                <c:pt idx="5">
                  <c:v>1.3845000000000001</c:v>
                </c:pt>
                <c:pt idx="6">
                  <c:v>10.95923280207955</c:v>
                </c:pt>
                <c:pt idx="7">
                  <c:v>0</c:v>
                </c:pt>
                <c:pt idx="8">
                  <c:v>9.0274497405664747E-2</c:v>
                </c:pt>
              </c:numCache>
            </c:numRef>
          </c:val>
          <c:extLst>
            <c:ext xmlns:c16="http://schemas.microsoft.com/office/drawing/2014/chart" uri="{C3380CC4-5D6E-409C-BE32-E72D297353CC}">
              <c16:uniqueId val="{0000009D-8F59-4E17-B339-C66D04F0532F}"/>
            </c:ext>
          </c:extLst>
        </c:ser>
        <c:ser>
          <c:idx val="1"/>
          <c:order val="1"/>
          <c:tx>
            <c:strRef>
              <c:f>'Grafer-energi'!$D$1009</c:f>
              <c:strCache>
                <c:ptCount val="1"/>
                <c:pt idx="0">
                  <c:v>2018</c:v>
                </c:pt>
              </c:strCache>
            </c:strRef>
          </c:tx>
          <c:dPt>
            <c:idx val="0"/>
            <c:bubble3D val="0"/>
            <c:extLst>
              <c:ext xmlns:c16="http://schemas.microsoft.com/office/drawing/2014/chart" uri="{C3380CC4-5D6E-409C-BE32-E72D297353CC}">
                <c16:uniqueId val="{0000009F-8F59-4E17-B339-C66D04F0532F}"/>
              </c:ext>
            </c:extLst>
          </c:dPt>
          <c:dPt>
            <c:idx val="1"/>
            <c:bubble3D val="0"/>
            <c:extLst>
              <c:ext xmlns:c16="http://schemas.microsoft.com/office/drawing/2014/chart" uri="{C3380CC4-5D6E-409C-BE32-E72D297353CC}">
                <c16:uniqueId val="{000000A0-8F59-4E17-B339-C66D04F0532F}"/>
              </c:ext>
            </c:extLst>
          </c:dPt>
          <c:dPt>
            <c:idx val="2"/>
            <c:bubble3D val="0"/>
            <c:extLst>
              <c:ext xmlns:c16="http://schemas.microsoft.com/office/drawing/2014/chart" uri="{C3380CC4-5D6E-409C-BE32-E72D297353CC}">
                <c16:uniqueId val="{000000A1-8F59-4E17-B339-C66D04F0532F}"/>
              </c:ext>
            </c:extLst>
          </c:dPt>
          <c:dPt>
            <c:idx val="3"/>
            <c:bubble3D val="0"/>
            <c:extLst>
              <c:ext xmlns:c16="http://schemas.microsoft.com/office/drawing/2014/chart" uri="{C3380CC4-5D6E-409C-BE32-E72D297353CC}">
                <c16:uniqueId val="{000000A2-8F59-4E17-B339-C66D04F0532F}"/>
              </c:ext>
            </c:extLst>
          </c:dPt>
          <c:dPt>
            <c:idx val="4"/>
            <c:bubble3D val="0"/>
            <c:extLst>
              <c:ext xmlns:c16="http://schemas.microsoft.com/office/drawing/2014/chart" uri="{C3380CC4-5D6E-409C-BE32-E72D297353CC}">
                <c16:uniqueId val="{000000A3-8F59-4E17-B339-C66D04F0532F}"/>
              </c:ext>
            </c:extLst>
          </c:dPt>
          <c:dPt>
            <c:idx val="5"/>
            <c:bubble3D val="0"/>
            <c:extLst>
              <c:ext xmlns:c16="http://schemas.microsoft.com/office/drawing/2014/chart" uri="{C3380CC4-5D6E-409C-BE32-E72D297353CC}">
                <c16:uniqueId val="{000000A4-8F59-4E17-B339-C66D04F0532F}"/>
              </c:ext>
            </c:extLst>
          </c:dPt>
          <c:dPt>
            <c:idx val="6"/>
            <c:bubble3D val="0"/>
            <c:extLst>
              <c:ext xmlns:c16="http://schemas.microsoft.com/office/drawing/2014/chart" uri="{C3380CC4-5D6E-409C-BE32-E72D297353CC}">
                <c16:uniqueId val="{000000A5-8F59-4E17-B339-C66D04F0532F}"/>
              </c:ext>
            </c:extLst>
          </c:dPt>
          <c:dPt>
            <c:idx val="7"/>
            <c:bubble3D val="0"/>
            <c:extLst>
              <c:ext xmlns:c16="http://schemas.microsoft.com/office/drawing/2014/chart" uri="{C3380CC4-5D6E-409C-BE32-E72D297353CC}">
                <c16:uniqueId val="{000000A6-8F59-4E17-B339-C66D04F0532F}"/>
              </c:ext>
            </c:extLst>
          </c:dPt>
          <c:dPt>
            <c:idx val="8"/>
            <c:bubble3D val="0"/>
            <c:extLst>
              <c:ext xmlns:c16="http://schemas.microsoft.com/office/drawing/2014/chart" uri="{C3380CC4-5D6E-409C-BE32-E72D297353CC}">
                <c16:uniqueId val="{000000A7-8F59-4E17-B339-C66D04F0532F}"/>
              </c:ext>
            </c:extLst>
          </c:dPt>
          <c:dPt>
            <c:idx val="9"/>
            <c:bubble3D val="0"/>
            <c:extLst>
              <c:ext xmlns:c16="http://schemas.microsoft.com/office/drawing/2014/chart" uri="{C3380CC4-5D6E-409C-BE32-E72D297353CC}">
                <c16:uniqueId val="{000000A8-8F59-4E17-B339-C66D04F0532F}"/>
              </c:ext>
            </c:extLst>
          </c:dPt>
          <c:dPt>
            <c:idx val="10"/>
            <c:bubble3D val="0"/>
            <c:extLst>
              <c:ext xmlns:c16="http://schemas.microsoft.com/office/drawing/2014/chart" uri="{C3380CC4-5D6E-409C-BE32-E72D297353CC}">
                <c16:uniqueId val="{000000A9-8F59-4E17-B339-C66D04F0532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'Grafer-energi'!$B$1010:$B$1018</c:f>
              <c:strCache>
                <c:ptCount val="9"/>
                <c:pt idx="0">
                  <c:v>Fjernvarme</c:v>
                </c:pt>
                <c:pt idx="1">
                  <c:v>Naturgasfyr</c:v>
                </c:pt>
                <c:pt idx="2">
                  <c:v>Oliefyr</c:v>
                </c:pt>
                <c:pt idx="3">
                  <c:v>Træpille- og stokerfyr</c:v>
                </c:pt>
                <c:pt idx="4">
                  <c:v>Brændekedel og -ovn</c:v>
                </c:pt>
                <c:pt idx="5">
                  <c:v>Halmfyr</c:v>
                </c:pt>
                <c:pt idx="6">
                  <c:v>Elvarme</c:v>
                </c:pt>
                <c:pt idx="7">
                  <c:v>Individuelle varmepumper</c:v>
                </c:pt>
                <c:pt idx="8">
                  <c:v>Individuel solvarme</c:v>
                </c:pt>
              </c:strCache>
            </c:strRef>
          </c:cat>
          <c:val>
            <c:numRef>
              <c:f>'Grafer-energi'!$D$1010:$D$1018</c:f>
              <c:numCache>
                <c:formatCode>#,##0</c:formatCode>
                <c:ptCount val="9"/>
                <c:pt idx="0">
                  <c:v>16.288500000000006</c:v>
                </c:pt>
                <c:pt idx="1">
                  <c:v>0</c:v>
                </c:pt>
                <c:pt idx="2">
                  <c:v>19.8</c:v>
                </c:pt>
                <c:pt idx="3">
                  <c:v>4.2750000000000004</c:v>
                </c:pt>
                <c:pt idx="4">
                  <c:v>19.168499999999998</c:v>
                </c:pt>
                <c:pt idx="5">
                  <c:v>0.79300000000000004</c:v>
                </c:pt>
                <c:pt idx="6">
                  <c:v>5.8822222222222216</c:v>
                </c:pt>
                <c:pt idx="7">
                  <c:v>1.65</c:v>
                </c:pt>
                <c:pt idx="8">
                  <c:v>0.91</c:v>
                </c:pt>
              </c:numCache>
            </c:numRef>
          </c:val>
          <c:extLst>
            <c:ext xmlns:c16="http://schemas.microsoft.com/office/drawing/2014/chart" uri="{C3380CC4-5D6E-409C-BE32-E72D297353CC}">
              <c16:uniqueId val="{000000AA-8F59-4E17-B339-C66D04F0532F}"/>
            </c:ext>
          </c:extLst>
        </c:ser>
        <c:ser>
          <c:idx val="2"/>
          <c:order val="2"/>
          <c:tx>
            <c:strRef>
              <c:f>'Grafer-energi'!$E$1009</c:f>
              <c:strCache>
                <c:ptCount val="1"/>
                <c:pt idx="0">
                  <c:v>2020</c:v>
                </c:pt>
              </c:strCache>
            </c:strRef>
          </c:tx>
          <c:dPt>
            <c:idx val="0"/>
            <c:bubble3D val="0"/>
            <c:extLst>
              <c:ext xmlns:c16="http://schemas.microsoft.com/office/drawing/2014/chart" uri="{C3380CC4-5D6E-409C-BE32-E72D297353CC}">
                <c16:uniqueId val="{000000AC-8F59-4E17-B339-C66D04F0532F}"/>
              </c:ext>
            </c:extLst>
          </c:dPt>
          <c:dPt>
            <c:idx val="1"/>
            <c:bubble3D val="0"/>
            <c:extLst>
              <c:ext xmlns:c16="http://schemas.microsoft.com/office/drawing/2014/chart" uri="{C3380CC4-5D6E-409C-BE32-E72D297353CC}">
                <c16:uniqueId val="{000000AD-8F59-4E17-B339-C66D04F0532F}"/>
              </c:ext>
            </c:extLst>
          </c:dPt>
          <c:dPt>
            <c:idx val="2"/>
            <c:bubble3D val="0"/>
            <c:extLst>
              <c:ext xmlns:c16="http://schemas.microsoft.com/office/drawing/2014/chart" uri="{C3380CC4-5D6E-409C-BE32-E72D297353CC}">
                <c16:uniqueId val="{000000AE-8F59-4E17-B339-C66D04F0532F}"/>
              </c:ext>
            </c:extLst>
          </c:dPt>
          <c:dPt>
            <c:idx val="3"/>
            <c:bubble3D val="0"/>
            <c:extLst>
              <c:ext xmlns:c16="http://schemas.microsoft.com/office/drawing/2014/chart" uri="{C3380CC4-5D6E-409C-BE32-E72D297353CC}">
                <c16:uniqueId val="{000000AF-8F59-4E17-B339-C66D04F0532F}"/>
              </c:ext>
            </c:extLst>
          </c:dPt>
          <c:dPt>
            <c:idx val="4"/>
            <c:bubble3D val="0"/>
            <c:extLst>
              <c:ext xmlns:c16="http://schemas.microsoft.com/office/drawing/2014/chart" uri="{C3380CC4-5D6E-409C-BE32-E72D297353CC}">
                <c16:uniqueId val="{000000B0-8F59-4E17-B339-C66D04F0532F}"/>
              </c:ext>
            </c:extLst>
          </c:dPt>
          <c:dPt>
            <c:idx val="5"/>
            <c:bubble3D val="0"/>
            <c:extLst>
              <c:ext xmlns:c16="http://schemas.microsoft.com/office/drawing/2014/chart" uri="{C3380CC4-5D6E-409C-BE32-E72D297353CC}">
                <c16:uniqueId val="{000000B1-8F59-4E17-B339-C66D04F0532F}"/>
              </c:ext>
            </c:extLst>
          </c:dPt>
          <c:dPt>
            <c:idx val="6"/>
            <c:bubble3D val="0"/>
            <c:extLst>
              <c:ext xmlns:c16="http://schemas.microsoft.com/office/drawing/2014/chart" uri="{C3380CC4-5D6E-409C-BE32-E72D297353CC}">
                <c16:uniqueId val="{000000B2-8F59-4E17-B339-C66D04F0532F}"/>
              </c:ext>
            </c:extLst>
          </c:dPt>
          <c:dPt>
            <c:idx val="7"/>
            <c:bubble3D val="0"/>
            <c:extLst>
              <c:ext xmlns:c16="http://schemas.microsoft.com/office/drawing/2014/chart" uri="{C3380CC4-5D6E-409C-BE32-E72D297353CC}">
                <c16:uniqueId val="{000000B3-8F59-4E17-B339-C66D04F0532F}"/>
              </c:ext>
            </c:extLst>
          </c:dPt>
          <c:dPt>
            <c:idx val="8"/>
            <c:bubble3D val="0"/>
            <c:extLst>
              <c:ext xmlns:c16="http://schemas.microsoft.com/office/drawing/2014/chart" uri="{C3380CC4-5D6E-409C-BE32-E72D297353CC}">
                <c16:uniqueId val="{000000B4-8F59-4E17-B339-C66D04F0532F}"/>
              </c:ext>
            </c:extLst>
          </c:dPt>
          <c:dPt>
            <c:idx val="9"/>
            <c:bubble3D val="0"/>
            <c:extLst>
              <c:ext xmlns:c16="http://schemas.microsoft.com/office/drawing/2014/chart" uri="{C3380CC4-5D6E-409C-BE32-E72D297353CC}">
                <c16:uniqueId val="{000000B5-8F59-4E17-B339-C66D04F0532F}"/>
              </c:ext>
            </c:extLst>
          </c:dPt>
          <c:dPt>
            <c:idx val="10"/>
            <c:bubble3D val="0"/>
            <c:extLst>
              <c:ext xmlns:c16="http://schemas.microsoft.com/office/drawing/2014/chart" uri="{C3380CC4-5D6E-409C-BE32-E72D297353CC}">
                <c16:uniqueId val="{000000B6-8F59-4E17-B339-C66D04F0532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'Grafer-energi'!$B$1010:$B$1018</c:f>
              <c:strCache>
                <c:ptCount val="9"/>
                <c:pt idx="0">
                  <c:v>Fjernvarme</c:v>
                </c:pt>
                <c:pt idx="1">
                  <c:v>Naturgasfyr</c:v>
                </c:pt>
                <c:pt idx="2">
                  <c:v>Oliefyr</c:v>
                </c:pt>
                <c:pt idx="3">
                  <c:v>Træpille- og stokerfyr</c:v>
                </c:pt>
                <c:pt idx="4">
                  <c:v>Brændekedel og -ovn</c:v>
                </c:pt>
                <c:pt idx="5">
                  <c:v>Halmfyr</c:v>
                </c:pt>
                <c:pt idx="6">
                  <c:v>Elvarme</c:v>
                </c:pt>
                <c:pt idx="7">
                  <c:v>Individuelle varmepumper</c:v>
                </c:pt>
                <c:pt idx="8">
                  <c:v>Individuel solvarme</c:v>
                </c:pt>
              </c:strCache>
            </c:strRef>
          </c:cat>
          <c:val>
            <c:numRef>
              <c:f>'Grafer-energi'!$E$1010:$E$1018</c:f>
              <c:numCache>
                <c:formatCode>#,##0</c:formatCode>
                <c:ptCount val="9"/>
                <c:pt idx="0">
                  <c:v>15.199067663999999</c:v>
                </c:pt>
                <c:pt idx="1">
                  <c:v>0</c:v>
                </c:pt>
                <c:pt idx="2">
                  <c:v>23.584000000000003</c:v>
                </c:pt>
                <c:pt idx="3">
                  <c:v>13.372499999999999</c:v>
                </c:pt>
                <c:pt idx="4">
                  <c:v>32.331000000000003</c:v>
                </c:pt>
                <c:pt idx="5">
                  <c:v>5.9215</c:v>
                </c:pt>
                <c:pt idx="6">
                  <c:v>5.6099999999999994</c:v>
                </c:pt>
                <c:pt idx="7">
                  <c:v>1.6800000000000002</c:v>
                </c:pt>
                <c:pt idx="8">
                  <c:v>0.94</c:v>
                </c:pt>
              </c:numCache>
            </c:numRef>
          </c:val>
          <c:extLst>
            <c:ext xmlns:c16="http://schemas.microsoft.com/office/drawing/2014/chart" uri="{C3380CC4-5D6E-409C-BE32-E72D297353CC}">
              <c16:uniqueId val="{000000B7-8F59-4E17-B339-C66D04F0532F}"/>
            </c:ext>
          </c:extLst>
        </c:ser>
        <c:dLbls>
          <c:dLblPos val="inEnd"/>
          <c:showLegendKey val="0"/>
          <c:showVal val="0"/>
          <c:showCatName val="0"/>
          <c:showSerName val="0"/>
          <c:showPercent val="1"/>
          <c:showBubbleSize val="0"/>
          <c:showLeaderLines val="1"/>
        </c:dLbls>
        <c:firstSliceAng val="0"/>
      </c:pieChart>
    </c:plotArea>
    <c:legend>
      <c:legendPos val="r"/>
      <c:overlay val="0"/>
      <c:spPr>
        <a:solidFill>
          <a:schemeClr val="lt1">
            <a:alpha val="78000"/>
          </a:schemeClr>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da-DK" sz="1400"/>
              <a:t>2018</a:t>
            </a:r>
          </a:p>
        </c:rich>
      </c:tx>
      <c:layout>
        <c:manualLayout>
          <c:xMode val="edge"/>
          <c:yMode val="edge"/>
          <c:x val="0.72459106629949699"/>
          <c:y val="0.11312475029636955"/>
        </c:manualLayout>
      </c:layout>
      <c:overlay val="0"/>
      <c:spPr>
        <a:noFill/>
        <a:ln>
          <a:noFill/>
        </a:ln>
        <a:effectLst/>
      </c:spPr>
    </c:title>
    <c:autoTitleDeleted val="0"/>
    <c:plotArea>
      <c:layout/>
      <c:pieChart>
        <c:varyColors val="1"/>
        <c:ser>
          <c:idx val="0"/>
          <c:order val="0"/>
          <c:tx>
            <c:strRef>
              <c:f>'Grafer-klima-&gt;VÆLG GWP og NIR&lt;-'!$C$487</c:f>
              <c:strCache>
                <c:ptCount val="1"/>
                <c:pt idx="0">
                  <c:v>2018</c:v>
                </c:pt>
              </c:strCache>
            </c:strRef>
          </c:tx>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0-7FA0-4CFF-964A-10CAE346823D}"/>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2-7FA0-4CFF-964A-10CAE346823D}"/>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4-7FA0-4CFF-964A-10CAE346823D}"/>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6-7FA0-4CFF-964A-10CAE346823D}"/>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8-7FA0-4CFF-964A-10CAE346823D}"/>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A-7FA0-4CFF-964A-10CAE346823D}"/>
              </c:ext>
            </c:extLst>
          </c:dPt>
          <c:dPt>
            <c:idx val="6"/>
            <c:bubble3D val="0"/>
            <c:spPr>
              <a:solidFill>
                <a:schemeClr val="accent1">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C-7FA0-4CFF-964A-10CAE346823D}"/>
              </c:ext>
            </c:extLst>
          </c:dPt>
          <c:dPt>
            <c:idx val="7"/>
            <c:bubble3D val="0"/>
            <c:spPr>
              <a:solidFill>
                <a:schemeClr val="accent2">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E-7FA0-4CFF-964A-10CAE346823D}"/>
              </c:ext>
            </c:extLst>
          </c:dPt>
          <c:dPt>
            <c:idx val="8"/>
            <c:bubble3D val="0"/>
            <c:spPr>
              <a:solidFill>
                <a:schemeClr val="accent3">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20-7FA0-4CFF-964A-10CAE346823D}"/>
              </c:ext>
            </c:extLst>
          </c:dPt>
          <c:dPt>
            <c:idx val="9"/>
            <c:bubble3D val="0"/>
            <c:spPr>
              <a:solidFill>
                <a:schemeClr val="accent4">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22-7FA0-4CFF-964A-10CAE346823D}"/>
              </c:ext>
            </c:extLst>
          </c:dPt>
          <c:dPt>
            <c:idx val="10"/>
            <c:bubble3D val="0"/>
            <c:spPr>
              <a:solidFill>
                <a:schemeClr val="accent5">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24-7FA0-4CFF-964A-10CAE346823D}"/>
              </c:ext>
            </c:extLst>
          </c:dPt>
          <c:dLbls>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da-DK"/>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'Grafer-klima-&gt;VÆLG GWP og NIR&lt;-'!$B$488:$B$494</c:f>
              <c:strCache>
                <c:ptCount val="7"/>
                <c:pt idx="0">
                  <c:v>Mineralsk industri</c:v>
                </c:pt>
                <c:pt idx="1">
                  <c:v>Kemisk industri </c:v>
                </c:pt>
                <c:pt idx="2">
                  <c:v>Metalindustri</c:v>
                </c:pt>
                <c:pt idx="3">
                  <c:v>Brug af brændstof og opløsningsmiddel (ej energirelateret) </c:v>
                </c:pt>
                <c:pt idx="4">
                  <c:v>Elektronikindustri </c:v>
                </c:pt>
                <c:pt idx="5">
                  <c:v>Ozon-erstattende produkter </c:v>
                </c:pt>
                <c:pt idx="6">
                  <c:v>Anden produktfremstilling og anvendelse </c:v>
                </c:pt>
              </c:strCache>
            </c:strRef>
          </c:cat>
          <c:val>
            <c:numRef>
              <c:f>'Grafer-klima-&gt;VÆLG GWP og NIR&lt;-'!$C$488:$C$494</c:f>
              <c:numCache>
                <c:formatCode>#,##0</c:formatCode>
                <c:ptCount val="7"/>
                <c:pt idx="0">
                  <c:v>5.8248804142676507</c:v>
                </c:pt>
                <c:pt idx="1">
                  <c:v>0.4467191972759933</c:v>
                </c:pt>
                <c:pt idx="2" formatCode="0">
                  <c:v>3.7382822567672058E-2</c:v>
                </c:pt>
                <c:pt idx="3">
                  <c:v>50.669792894856023</c:v>
                </c:pt>
                <c:pt idx="4">
                  <c:v>0</c:v>
                </c:pt>
                <c:pt idx="5">
                  <c:v>152.32757922682916</c:v>
                </c:pt>
                <c:pt idx="6">
                  <c:v>6.9056812682958251</c:v>
                </c:pt>
              </c:numCache>
            </c:numRef>
          </c:val>
          <c:extLst>
            <c:ext xmlns:c16="http://schemas.microsoft.com/office/drawing/2014/chart" uri="{C3380CC4-5D6E-409C-BE32-E72D297353CC}">
              <c16:uniqueId val="{00000025-7FA0-4CFF-964A-10CAE346823D}"/>
            </c:ext>
          </c:extLst>
        </c:ser>
        <c:dLbls>
          <c:dLblPos val="inEnd"/>
          <c:showLegendKey val="0"/>
          <c:showVal val="0"/>
          <c:showCatName val="0"/>
          <c:showSerName val="0"/>
          <c:showPercent val="1"/>
          <c:showBubbleSize val="0"/>
          <c:showLeaderLines val="1"/>
        </c:dLbls>
        <c:firstSliceAng val="0"/>
      </c:pieChart>
    </c:plotArea>
    <c:legend>
      <c:legendPos val="r"/>
      <c:overlay val="0"/>
      <c:spPr>
        <a:solidFill>
          <a:schemeClr val="lt1">
            <a:alpha val="78000"/>
          </a:schemeClr>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'Grafer-klima-&gt;VÆLG GWP og NIR&lt;-'!$C$234</c:f>
              <c:strCache>
                <c:ptCount val="1"/>
                <c:pt idx="0">
                  <c:v>2018</c:v>
                </c:pt>
              </c:strCache>
            </c:strRef>
          </c:tx>
          <c:spPr>
            <a:solidFill>
              <a:srgbClr val="106889"/>
            </a:solidFill>
            <a:ln>
              <a:noFill/>
            </a:ln>
            <a:effectLst/>
          </c:spPr>
          <c:invertIfNegative val="0"/>
          <c:cat>
            <c:strRef>
              <c:f>'Grafer-klima-&gt;VÆLG GWP og NIR&lt;-'!$B$235:$B$238</c:f>
              <c:strCache>
                <c:ptCount val="4"/>
                <c:pt idx="0">
                  <c:v>Skov</c:v>
                </c:pt>
                <c:pt idx="1">
                  <c:v>Landbrugsjord</c:v>
                </c:pt>
                <c:pt idx="2">
                  <c:v>Permanent græs</c:v>
                </c:pt>
                <c:pt idx="3">
                  <c:v>Periodisk oversvømmet vådområder</c:v>
                </c:pt>
              </c:strCache>
            </c:strRef>
          </c:cat>
          <c:val>
            <c:numRef>
              <c:f>'Grafer-klima-&gt;VÆLG GWP og NIR&lt;-'!$C$235:$C$238</c:f>
              <c:numCache>
                <c:formatCode>#,##0</c:formatCode>
                <c:ptCount val="4"/>
                <c:pt idx="0">
                  <c:v>2070.6777031337551</c:v>
                </c:pt>
                <c:pt idx="1">
                  <c:v>919.60578732747524</c:v>
                </c:pt>
                <c:pt idx="2">
                  <c:v>2061.3635523366825</c:v>
                </c:pt>
                <c:pt idx="3">
                  <c:v>0</c:v>
                </c:pt>
              </c:numCache>
            </c:numRef>
          </c:val>
          <c:extLst>
            <c:ext xmlns:c16="http://schemas.microsoft.com/office/drawing/2014/chart" uri="{C3380CC4-5D6E-409C-BE32-E72D297353CC}">
              <c16:uniqueId val="{00000000-6462-44DF-A3F5-EDF94A8CC10C}"/>
            </c:ext>
          </c:extLst>
        </c:ser>
        <c:dLbls>
          <c:showLegendKey val="0"/>
          <c:showVal val="0"/>
          <c:showCatName val="0"/>
          <c:showSerName val="0"/>
          <c:showPercent val="0"/>
          <c:showBubbleSize val="0"/>
        </c:dLbls>
        <c:gapWidth val="267"/>
        <c:overlap val="-43"/>
        <c:axId val="531751672"/>
        <c:axId val="531752984"/>
        <c:extLst>
          <c:ext xmlns:c15="http://schemas.microsoft.com/office/drawing/2012/chart" uri="{02D57815-91ED-43cb-92C2-25804820EDAC}">
            <c15:filteredBarSeries>
              <c15:ser>
                <c:idx val="1"/>
                <c:order val="1"/>
                <c:tx>
                  <c:strRef>
                    <c:extLst>
                      <c:ext uri="{02D57815-91ED-43cb-92C2-25804820EDAC}">
                        <c15:formulaRef>
                          <c15:sqref>'Grafer-klima-&gt;VÆLG GWP og NIR&lt;-'!$D$234</c15:sqref>
                        </c15:formulaRef>
                      </c:ext>
                    </c:extLst>
                    <c:strCache>
                      <c:ptCount val="1"/>
                    </c:strCache>
                  </c:strRef>
                </c:tx>
                <c:spPr>
                  <a:solidFill>
                    <a:srgbClr val="27CED7"/>
                  </a:solidFill>
                  <a:ln>
                    <a:noFill/>
                  </a:ln>
                  <a:effectLst/>
                </c:spPr>
                <c:invertIfNegative val="0"/>
                <c:cat>
                  <c:strRef>
                    <c:extLst>
                      <c:ext uri="{02D57815-91ED-43cb-92C2-25804820EDAC}">
                        <c15:formulaRef>
                          <c15:sqref>'Grafer-klima-&gt;VÆLG GWP og NIR&lt;-'!$B$235:$B$238</c15:sqref>
                        </c15:formulaRef>
                      </c:ext>
                    </c:extLst>
                    <c:strCache>
                      <c:ptCount val="4"/>
                      <c:pt idx="0">
                        <c:v>Skov</c:v>
                      </c:pt>
                      <c:pt idx="1">
                        <c:v>Landbrugsjord</c:v>
                      </c:pt>
                      <c:pt idx="2">
                        <c:v>Permanent græs</c:v>
                      </c:pt>
                      <c:pt idx="3">
                        <c:v>Periodisk oversvømmet vådområder</c:v>
                      </c:pt>
                    </c:strCache>
                  </c:strRef>
                </c:cat>
                <c:val>
                  <c:numRef>
                    <c:extLst>
                      <c:ext uri="{02D57815-91ED-43cb-92C2-25804820EDAC}">
                        <c15:formulaRef>
                          <c15:sqref>'Grafer-klima-&gt;VÆLG GWP og NIR&lt;-'!$D$235:$D$238</c15:sqref>
                        </c15:formulaRef>
                      </c:ext>
                    </c:extLst>
                    <c:numCache>
                      <c:formatCode>General</c:formatCode>
                      <c:ptCount val="4"/>
                    </c:numCache>
                  </c:numRef>
                </c:val>
                <c:extLst>
                  <c:ext xmlns:c16="http://schemas.microsoft.com/office/drawing/2014/chart" uri="{C3380CC4-5D6E-409C-BE32-E72D297353CC}">
                    <c16:uniqueId val="{00000001-CD6F-4EEF-9DA0-A35F3B82416C}"/>
                  </c:ext>
                </c:extLst>
              </c15:ser>
            </c15:filteredBarSeries>
          </c:ext>
        </c:extLst>
      </c:barChart>
      <c:catAx>
        <c:axId val="531751672"/>
        <c:scaling>
          <c:orientation val="minMax"/>
        </c:scaling>
        <c:delete val="0"/>
        <c:axPos val="b"/>
        <c:numFmt formatCode="General" sourceLinked="1"/>
        <c:majorTickMark val="none"/>
        <c:minorTickMark val="none"/>
        <c:tickLblPos val="nextTo"/>
        <c:spPr>
          <a:noFill/>
          <a:ln w="9525" cap="flat" cmpd="sng" algn="ctr">
            <a:solidFill>
              <a:schemeClr val="dk1">
                <a:shade val="95000"/>
                <a:satMod val="105000"/>
              </a:schemeClr>
            </a:solidFill>
            <a:prstDash val="solid"/>
            <a:round/>
          </a:ln>
          <a:effectLst/>
        </c:spPr>
        <c:txPr>
          <a:bodyPr rot="-60000000" spcFirstLastPara="1" vertOverflow="ellipsis" vert="horz" wrap="square" anchor="ctr" anchorCtr="1"/>
          <a:lstStyle/>
          <a:p>
            <a:pPr>
              <a:defRPr sz="900" b="0" i="0" u="none" strike="noStrike" kern="1200" cap="none" spc="0" normalizeH="0" baseline="0">
                <a:solidFill>
                  <a:schemeClr val="tx1"/>
                </a:solidFill>
                <a:latin typeface="+mn-lt"/>
                <a:ea typeface="+mn-ea"/>
                <a:cs typeface="+mn-cs"/>
              </a:defRPr>
            </a:pPr>
            <a:endParaRPr lang="da-DK"/>
          </a:p>
        </c:txPr>
        <c:crossAx val="531752984"/>
        <c:crosses val="autoZero"/>
        <c:auto val="1"/>
        <c:lblAlgn val="ctr"/>
        <c:lblOffset val="100"/>
        <c:noMultiLvlLbl val="0"/>
      </c:catAx>
      <c:valAx>
        <c:axId val="531752984"/>
        <c:scaling>
          <c:orientation val="minMax"/>
        </c:scaling>
        <c:delete val="0"/>
        <c:axPos val="l"/>
        <c:majorGridlines>
          <c:spPr>
            <a:ln w="9525" cap="flat" cmpd="sng" algn="ctr">
              <a:solidFill>
                <a:schemeClr val="dk1">
                  <a:shade val="95000"/>
                  <a:satMod val="105000"/>
                </a:schemeClr>
              </a:solidFill>
              <a:prstDash val="solid"/>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da-DK" sz="900" b="0" i="0" u="none" strike="noStrike" baseline="0">
                    <a:effectLst/>
                  </a:rPr>
                  <a:t>Ton CO</a:t>
                </a:r>
                <a:r>
                  <a:rPr lang="da-DK" sz="900" b="0" i="0" u="none" strike="noStrike" baseline="-25000">
                    <a:effectLst/>
                  </a:rPr>
                  <a:t>2</a:t>
                </a:r>
                <a:r>
                  <a:rPr lang="da-DK" sz="900" b="0" i="0" u="none" strike="noStrike" baseline="0">
                    <a:effectLst/>
                  </a:rPr>
                  <a:t>-ækv.</a:t>
                </a:r>
                <a:endParaRPr lang="da-DK"/>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da-DK"/>
            </a:p>
          </c:txPr>
        </c:title>
        <c:numFmt formatCode="#,##0" sourceLinked="1"/>
        <c:majorTickMark val="none"/>
        <c:minorTickMark val="none"/>
        <c:tickLblPos val="nextTo"/>
        <c:spPr>
          <a:noFill/>
          <a:ln w="9525" cap="flat" cmpd="sng" algn="ctr">
            <a:solidFill>
              <a:schemeClr val="dk1">
                <a:shade val="95000"/>
                <a:satMod val="105000"/>
              </a:schemeClr>
            </a:solidFill>
            <a:prstDash val="soli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a-DK"/>
          </a:p>
        </c:txPr>
        <c:crossAx val="53175167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'Grafer-klima-&gt;VÆLG GWP og NIR&lt;-'!$C$313</c:f>
              <c:strCache>
                <c:ptCount val="1"/>
                <c:pt idx="0">
                  <c:v>2018</c:v>
                </c:pt>
              </c:strCache>
            </c:strRef>
          </c:tx>
          <c:spPr>
            <a:solidFill>
              <a:srgbClr val="106889"/>
            </a:solidFill>
            <a:ln>
              <a:noFill/>
            </a:ln>
            <a:effectLst/>
          </c:spPr>
          <c:invertIfNegative val="0"/>
          <c:cat>
            <c:strRef>
              <c:f>'Grafer-klima-&gt;VÆLG GWP og NIR&lt;-'!$B$314:$B$315</c:f>
              <c:strCache>
                <c:ptCount val="2"/>
                <c:pt idx="0">
                  <c:v>Delvisoversvømmet areal</c:v>
                </c:pt>
                <c:pt idx="1">
                  <c:v>Afbrænding af hedeareal</c:v>
                </c:pt>
              </c:strCache>
            </c:strRef>
          </c:cat>
          <c:val>
            <c:numRef>
              <c:f>'Grafer-klima-&gt;VÆLG GWP og NIR&lt;-'!$C$314:$C$315</c:f>
              <c:numCache>
                <c:formatCode>#,##0</c:formatCode>
                <c:ptCount val="2"/>
                <c:pt idx="0">
                  <c:v>298.33344828790894</c:v>
                </c:pt>
                <c:pt idx="1">
                  <c:v>0</c:v>
                </c:pt>
              </c:numCache>
            </c:numRef>
          </c:val>
          <c:extLst>
            <c:ext xmlns:c16="http://schemas.microsoft.com/office/drawing/2014/chart" uri="{C3380CC4-5D6E-409C-BE32-E72D297353CC}">
              <c16:uniqueId val="{00000000-0016-4C72-A0AD-51ED3A99AC52}"/>
            </c:ext>
          </c:extLst>
        </c:ser>
        <c:ser>
          <c:idx val="1"/>
          <c:order val="1"/>
          <c:tx>
            <c:strRef>
              <c:f>'Grafer-klima-&gt;VÆLG GWP og NIR&lt;-'!$D$313</c:f>
              <c:strCache>
                <c:ptCount val="1"/>
              </c:strCache>
            </c:strRef>
          </c:tx>
          <c:spPr>
            <a:solidFill>
              <a:srgbClr val="27CED7"/>
            </a:solidFill>
            <a:ln>
              <a:noFill/>
            </a:ln>
            <a:effectLst/>
          </c:spPr>
          <c:invertIfNegative val="0"/>
          <c:cat>
            <c:strRef>
              <c:f>'Grafer-klima-&gt;VÆLG GWP og NIR&lt;-'!$B$314:$B$315</c:f>
              <c:strCache>
                <c:ptCount val="2"/>
                <c:pt idx="0">
                  <c:v>Delvisoversvømmet areal</c:v>
                </c:pt>
                <c:pt idx="1">
                  <c:v>Afbrænding af hedeareal</c:v>
                </c:pt>
              </c:strCache>
            </c:strRef>
          </c:cat>
          <c:val>
            <c:numRef>
              <c:f>'Grafer-klima-&gt;VÆLG GWP og NIR&lt;-'!$D$314:$D$315</c:f>
              <c:numCache>
                <c:formatCode>General</c:formatCode>
                <c:ptCount val="2"/>
              </c:numCache>
            </c:numRef>
          </c:val>
          <c:extLst>
            <c:ext xmlns:c16="http://schemas.microsoft.com/office/drawing/2014/chart" uri="{C3380CC4-5D6E-409C-BE32-E72D297353CC}">
              <c16:uniqueId val="{00000001-9E36-4EE5-8806-26FAFB5EB76F}"/>
            </c:ext>
          </c:extLst>
        </c:ser>
        <c:dLbls>
          <c:showLegendKey val="0"/>
          <c:showVal val="0"/>
          <c:showCatName val="0"/>
          <c:showSerName val="0"/>
          <c:showPercent val="0"/>
          <c:showBubbleSize val="0"/>
        </c:dLbls>
        <c:gapWidth val="267"/>
        <c:overlap val="-43"/>
        <c:axId val="684586712"/>
        <c:axId val="684583432"/>
      </c:barChart>
      <c:catAx>
        <c:axId val="684586712"/>
        <c:scaling>
          <c:orientation val="minMax"/>
        </c:scaling>
        <c:delete val="0"/>
        <c:axPos val="b"/>
        <c:majorGridlines>
          <c:spPr>
            <a:ln w="9525" cap="flat" cmpd="sng" algn="ctr">
              <a:solidFill>
                <a:schemeClr val="dk1">
                  <a:shade val="95000"/>
                  <a:satMod val="105000"/>
                </a:schemeClr>
              </a:solidFill>
              <a:prstDash val="solid"/>
              <a:round/>
            </a:ln>
            <a:effectLst/>
          </c:spPr>
        </c:majorGridlines>
        <c:numFmt formatCode="General" sourceLinked="1"/>
        <c:majorTickMark val="none"/>
        <c:minorTickMark val="none"/>
        <c:tickLblPos val="nextTo"/>
        <c:spPr>
          <a:noFill/>
          <a:ln w="9525" cap="flat" cmpd="sng" algn="ctr">
            <a:solidFill>
              <a:schemeClr val="dk1">
                <a:shade val="95000"/>
                <a:satMod val="105000"/>
              </a:schemeClr>
            </a:solidFill>
            <a:prstDash val="solid"/>
            <a:round/>
          </a:ln>
          <a:effectLst/>
        </c:spPr>
        <c:txPr>
          <a:bodyPr rot="-60000000" spcFirstLastPara="1" vertOverflow="ellipsis" vert="horz" wrap="square" anchor="ctr" anchorCtr="1"/>
          <a:lstStyle/>
          <a:p>
            <a:pPr>
              <a:defRPr sz="900" b="0" i="0" u="none" strike="noStrike" kern="1200" cap="none" spc="0" normalizeH="0" baseline="0">
                <a:solidFill>
                  <a:schemeClr val="tx1"/>
                </a:solidFill>
                <a:latin typeface="+mn-lt"/>
                <a:ea typeface="+mn-ea"/>
                <a:cs typeface="+mn-cs"/>
              </a:defRPr>
            </a:pPr>
            <a:endParaRPr lang="da-DK"/>
          </a:p>
        </c:txPr>
        <c:crossAx val="684583432"/>
        <c:crosses val="autoZero"/>
        <c:auto val="1"/>
        <c:lblAlgn val="ctr"/>
        <c:lblOffset val="100"/>
        <c:noMultiLvlLbl val="0"/>
      </c:catAx>
      <c:valAx>
        <c:axId val="684583432"/>
        <c:scaling>
          <c:orientation val="minMax"/>
        </c:scaling>
        <c:delete val="0"/>
        <c:axPos val="l"/>
        <c:majorGridlines>
          <c:spPr>
            <a:ln w="9525" cap="flat" cmpd="sng" algn="ctr">
              <a:solidFill>
                <a:schemeClr val="tx1"/>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da-DK" sz="900" b="0" i="0" u="none" strike="noStrike" baseline="0">
                    <a:effectLst/>
                  </a:rPr>
                  <a:t>Ton CO</a:t>
                </a:r>
                <a:r>
                  <a:rPr lang="da-DK" sz="900" b="0" i="0" u="none" strike="noStrike" baseline="-25000">
                    <a:effectLst/>
                  </a:rPr>
                  <a:t>2</a:t>
                </a:r>
                <a:r>
                  <a:rPr lang="da-DK" sz="900" b="0" i="0" u="none" strike="noStrike" baseline="0">
                    <a:effectLst/>
                  </a:rPr>
                  <a:t>-ækv.</a:t>
                </a:r>
                <a:endParaRPr lang="da-DK"/>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da-DK"/>
            </a:p>
          </c:txPr>
        </c:title>
        <c:numFmt formatCode="#,##0" sourceLinked="1"/>
        <c:majorTickMark val="none"/>
        <c:minorTickMark val="none"/>
        <c:tickLblPos val="nextTo"/>
        <c:spPr>
          <a:noFill/>
          <a:ln w="9525" cap="flat" cmpd="sng" algn="ctr">
            <a:solidFill>
              <a:schemeClr val="dk1">
                <a:shade val="95000"/>
                <a:satMod val="105000"/>
              </a:schemeClr>
            </a:solidFill>
            <a:prstDash val="soli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a-DK"/>
          </a:p>
        </c:txPr>
        <c:crossAx val="68458671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showDLblsOverMax val="0"/>
  </c:chart>
  <c:spPr>
    <a:solidFill>
      <a:schemeClr val="lt1"/>
    </a:solidFill>
    <a:ln w="9525" cap="flat" cmpd="sng" algn="ctr">
      <a:solidFill>
        <a:schemeClr val="tx1"/>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'Grafer-klima-&gt;VÆLG GWP og NIR&lt;-'!$N$39</c:f>
              <c:strCache>
                <c:ptCount val="1"/>
                <c:pt idx="0">
                  <c:v>1990</c:v>
                </c:pt>
              </c:strCache>
            </c:strRef>
          </c:tx>
          <c:spPr>
            <a:ln w="28575" cap="rnd">
              <a:solidFill>
                <a:schemeClr val="accent1"/>
              </a:solidFill>
              <a:round/>
            </a:ln>
            <a:effectLst/>
          </c:spPr>
          <c:marker>
            <c:symbol val="none"/>
          </c:marker>
          <c:cat>
            <c:strRef>
              <c:f>'Grafer-klima-&gt;VÆLG GWP og NIR&lt;-'!$M$40:$M$46</c:f>
              <c:strCache>
                <c:ptCount val="7"/>
                <c:pt idx="0">
                  <c:v>Planteavl </c:v>
                </c:pt>
                <c:pt idx="1">
                  <c:v>Dyrehold</c:v>
                </c:pt>
                <c:pt idx="2">
                  <c:v>Industrielle processer</c:v>
                </c:pt>
                <c:pt idx="3">
                  <c:v>Transport</c:v>
                </c:pt>
                <c:pt idx="4">
                  <c:v>Energi</c:v>
                </c:pt>
                <c:pt idx="5">
                  <c:v>Arealanvendelse</c:v>
                </c:pt>
                <c:pt idx="6">
                  <c:v>Affald og spildevand</c:v>
                </c:pt>
              </c:strCache>
            </c:strRef>
          </c:cat>
          <c:val>
            <c:numRef>
              <c:f>'Grafer-klima-&gt;VÆLG GWP og NIR&lt;-'!$N$40:$N$46</c:f>
              <c:numCache>
                <c:formatCode>#,##0</c:formatCode>
                <c:ptCount val="7"/>
                <c:pt idx="0">
                  <c:v>6476.5165633871375</c:v>
                </c:pt>
                <c:pt idx="1">
                  <c:v>6861.1572169950632</c:v>
                </c:pt>
                <c:pt idx="2">
                  <c:v>2343.0087467434059</c:v>
                </c:pt>
                <c:pt idx="3">
                  <c:v>10786.945673650229</c:v>
                </c:pt>
                <c:pt idx="4">
                  <c:v>41638.357419676599</c:v>
                </c:pt>
                <c:pt idx="5">
                  <c:v>6873.608197395909</c:v>
                </c:pt>
                <c:pt idx="6">
                  <c:v>1895.7004043993231</c:v>
                </c:pt>
              </c:numCache>
            </c:numRef>
          </c:val>
          <c:extLst>
            <c:ext xmlns:c16="http://schemas.microsoft.com/office/drawing/2014/chart" uri="{C3380CC4-5D6E-409C-BE32-E72D297353CC}">
              <c16:uniqueId val="{00000000-56F2-4924-9CF5-603543A5A206}"/>
            </c:ext>
          </c:extLst>
        </c:ser>
        <c:ser>
          <c:idx val="2"/>
          <c:order val="1"/>
          <c:tx>
            <c:strRef>
              <c:f>'Grafer-klima-&gt;VÆLG GWP og NIR&lt;-'!$O$39</c:f>
              <c:strCache>
                <c:ptCount val="1"/>
                <c:pt idx="0">
                  <c:v>2018</c:v>
                </c:pt>
              </c:strCache>
            </c:strRef>
          </c:tx>
          <c:spPr>
            <a:ln w="28575" cap="rnd">
              <a:solidFill>
                <a:schemeClr val="accent3"/>
              </a:solidFill>
              <a:round/>
            </a:ln>
            <a:effectLst/>
          </c:spPr>
          <c:marker>
            <c:symbol val="none"/>
          </c:marker>
          <c:val>
            <c:numRef>
              <c:f>'Grafer-klima-&gt;VÆLG GWP og NIR&lt;-'!$O$40:$O$46</c:f>
              <c:numCache>
                <c:formatCode>#,##0</c:formatCode>
                <c:ptCount val="7"/>
                <c:pt idx="0">
                  <c:v>4321.506835871196</c:v>
                </c:pt>
                <c:pt idx="1">
                  <c:v>6719.7532993250425</c:v>
                </c:pt>
                <c:pt idx="2">
                  <c:v>2043.6118484017677</c:v>
                </c:pt>
                <c:pt idx="3">
                  <c:v>13436.520733955069</c:v>
                </c:pt>
                <c:pt idx="4">
                  <c:v>20282.051066684871</c:v>
                </c:pt>
                <c:pt idx="5">
                  <c:v>6593.5594959104183</c:v>
                </c:pt>
                <c:pt idx="6">
                  <c:v>1139.3004920087692</c:v>
                </c:pt>
              </c:numCache>
            </c:numRef>
          </c:val>
          <c:extLst>
            <c:ext xmlns:c16="http://schemas.microsoft.com/office/drawing/2014/chart" uri="{C3380CC4-5D6E-409C-BE32-E72D297353CC}">
              <c16:uniqueId val="{00000000-5B33-4CCD-A4C8-8A9E489646DC}"/>
            </c:ext>
          </c:extLst>
        </c:ser>
        <c:dLbls>
          <c:showLegendKey val="0"/>
          <c:showVal val="0"/>
          <c:showCatName val="0"/>
          <c:showSerName val="0"/>
          <c:showPercent val="0"/>
          <c:showBubbleSize val="0"/>
        </c:dLbls>
        <c:axId val="769623096"/>
        <c:axId val="769624408"/>
        <c:extLst>
          <c:ext xmlns:c15="http://schemas.microsoft.com/office/drawing/2012/chart" uri="{02D57815-91ED-43cb-92C2-25804820EDAC}">
            <c15:filteredRadarSeries>
              <c15:ser>
                <c:idx val="1"/>
                <c:order val="2"/>
                <c:tx>
                  <c:strRef>
                    <c:extLst>
                      <c:ext uri="{02D57815-91ED-43cb-92C2-25804820EDAC}">
                        <c15:formulaRef>
                          <c15:sqref>'Grafer-klima-&gt;VÆLG GWP og NIR&lt;-'!$P$39</c15:sqref>
                        </c15:formulaRef>
                      </c:ext>
                    </c:extLst>
                    <c:strCache>
                      <c:ptCount val="1"/>
                      <c:pt idx="0">
                        <c:v>Forskel i %, fra 1990 til 2018</c:v>
                      </c:pt>
                    </c:strCache>
                  </c:strRef>
                </c:tx>
                <c:spPr>
                  <a:ln w="28575" cap="rnd">
                    <a:solidFill>
                      <a:schemeClr val="accent2"/>
                    </a:solidFill>
                    <a:round/>
                  </a:ln>
                  <a:effectLst/>
                </c:spPr>
                <c:marker>
                  <c:symbol val="none"/>
                </c:marker>
                <c:cat>
                  <c:strRef>
                    <c:extLst>
                      <c:ext uri="{02D57815-91ED-43cb-92C2-25804820EDAC}">
                        <c15:formulaRef>
                          <c15:sqref>'Grafer-klima-&gt;VÆLG GWP og NIR&lt;-'!$M$40:$M$46</c15:sqref>
                        </c15:formulaRef>
                      </c:ext>
                    </c:extLst>
                    <c:strCache>
                      <c:ptCount val="7"/>
                      <c:pt idx="0">
                        <c:v>Planteavl </c:v>
                      </c:pt>
                      <c:pt idx="1">
                        <c:v>Dyrehold</c:v>
                      </c:pt>
                      <c:pt idx="2">
                        <c:v>Industrielle processer</c:v>
                      </c:pt>
                      <c:pt idx="3">
                        <c:v>Transport</c:v>
                      </c:pt>
                      <c:pt idx="4">
                        <c:v>Energi</c:v>
                      </c:pt>
                      <c:pt idx="5">
                        <c:v>Arealanvendelse</c:v>
                      </c:pt>
                      <c:pt idx="6">
                        <c:v>Affald og spildevand</c:v>
                      </c:pt>
                    </c:strCache>
                  </c:strRef>
                </c:cat>
                <c:val>
                  <c:numRef>
                    <c:extLst>
                      <c:ext uri="{02D57815-91ED-43cb-92C2-25804820EDAC}">
                        <c15:formulaRef>
                          <c15:sqref>'Grafer-klima-&gt;VÆLG GWP og NIR&lt;-'!$P$40:$P$46</c15:sqref>
                        </c15:formulaRef>
                      </c:ext>
                    </c:extLst>
                    <c:numCache>
                      <c:formatCode>0%</c:formatCode>
                      <c:ptCount val="7"/>
                      <c:pt idx="0">
                        <c:v>0.33274210085381117</c:v>
                      </c:pt>
                      <c:pt idx="1">
                        <c:v>2.0609339386621798E-2</c:v>
                      </c:pt>
                      <c:pt idx="2">
                        <c:v>0.12778309033535443</c:v>
                      </c:pt>
                      <c:pt idx="3">
                        <c:v>-0.24562792290472729</c:v>
                      </c:pt>
                      <c:pt idx="4">
                        <c:v>0.51289982786159583</c:v>
                      </c:pt>
                      <c:pt idx="5">
                        <c:v>4.0742604676185672E-2</c:v>
                      </c:pt>
                      <c:pt idx="6">
                        <c:v>0.39900815056808986</c:v>
                      </c:pt>
                    </c:numCache>
                  </c:numRef>
                </c:val>
                <c:extLst>
                  <c:ext xmlns:c16="http://schemas.microsoft.com/office/drawing/2014/chart" uri="{C3380CC4-5D6E-409C-BE32-E72D297353CC}">
                    <c16:uniqueId val="{00000001-56F2-4924-9CF5-603543A5A206}"/>
                  </c:ext>
                </c:extLst>
              </c15:ser>
            </c15:filteredRadarSeries>
          </c:ext>
        </c:extLst>
      </c:radarChart>
      <c:catAx>
        <c:axId val="769623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crossAx val="769624408"/>
        <c:crosses val="autoZero"/>
        <c:auto val="1"/>
        <c:lblAlgn val="ctr"/>
        <c:lblOffset val="100"/>
        <c:noMultiLvlLbl val="0"/>
      </c:catAx>
      <c:valAx>
        <c:axId val="769624408"/>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696230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745752918264455E-2"/>
          <c:y val="3.465346534653465E-2"/>
          <c:w val="0.69810553155118116"/>
          <c:h val="0.76580463634592388"/>
        </c:manualLayout>
      </c:layout>
      <c:barChart>
        <c:barDir val="col"/>
        <c:grouping val="stacked"/>
        <c:varyColors val="0"/>
        <c:ser>
          <c:idx val="0"/>
          <c:order val="0"/>
          <c:tx>
            <c:strRef>
              <c:f>'Grafer-energi'!$B$374</c:f>
              <c:strCache>
                <c:ptCount val="1"/>
                <c:pt idx="0">
                  <c:v>Individuel opvarmning</c:v>
                </c:pt>
              </c:strCache>
            </c:strRef>
          </c:tx>
          <c:spPr>
            <a:solidFill>
              <a:schemeClr val="accent1"/>
            </a:solidFill>
            <a:ln>
              <a:noFill/>
            </a:ln>
            <a:effectLst/>
          </c:spPr>
          <c:invertIfNegative val="0"/>
          <c:cat>
            <c:multiLvlStrRef>
              <c:f>'Grafer-energi'!$C$371:$K$373</c:f>
              <c:multiLvlStrCache>
                <c:ptCount val="9"/>
                <c:lvl>
                  <c:pt idx="0">
                    <c:v>1990</c:v>
                  </c:pt>
                  <c:pt idx="1">
                    <c:v>2018</c:v>
                  </c:pt>
                  <c:pt idx="2">
                    <c:v>2020</c:v>
                  </c:pt>
                  <c:pt idx="3">
                    <c:v>1990</c:v>
                  </c:pt>
                  <c:pt idx="4">
                    <c:v>2018</c:v>
                  </c:pt>
                  <c:pt idx="5">
                    <c:v>2020</c:v>
                  </c:pt>
                  <c:pt idx="6">
                    <c:v>1990</c:v>
                  </c:pt>
                  <c:pt idx="7">
                    <c:v>2018</c:v>
                  </c:pt>
                  <c:pt idx="8">
                    <c:v>2020</c:v>
                  </c:pt>
                </c:lvl>
                <c:lvl>
                  <c:pt idx="0">
                    <c:v>TJ/år</c:v>
                  </c:pt>
                  <c:pt idx="3">
                    <c:v>TJ/år</c:v>
                  </c:pt>
                  <c:pt idx="6">
                    <c:v>TJ/år</c:v>
                  </c:pt>
                </c:lvl>
                <c:lvl>
                  <c:pt idx="0">
                    <c:v>Samlet</c:v>
                  </c:pt>
                  <c:pt idx="3">
                    <c:v>VE</c:v>
                  </c:pt>
                  <c:pt idx="6">
                    <c:v>Fossil</c:v>
                  </c:pt>
                </c:lvl>
              </c:multiLvlStrCache>
            </c:multiLvlStrRef>
          </c:cat>
          <c:val>
            <c:numRef>
              <c:f>'Grafer-energi'!$C$374:$K$374</c:f>
              <c:numCache>
                <c:formatCode>#,##0</c:formatCode>
                <c:ptCount val="9"/>
                <c:pt idx="0">
                  <c:v>106.37027449740566</c:v>
                </c:pt>
                <c:pt idx="1">
                  <c:v>63.169999999999995</c:v>
                </c:pt>
                <c:pt idx="2">
                  <c:v>108.22</c:v>
                </c:pt>
                <c:pt idx="3">
                  <c:v>0</c:v>
                </c:pt>
                <c:pt idx="4">
                  <c:v>0</c:v>
                </c:pt>
                <c:pt idx="5">
                  <c:v>0</c:v>
                </c:pt>
                <c:pt idx="6">
                  <c:v>106.37027449740566</c:v>
                </c:pt>
                <c:pt idx="7">
                  <c:v>63.169999999999995</c:v>
                </c:pt>
                <c:pt idx="8">
                  <c:v>108.22</c:v>
                </c:pt>
              </c:numCache>
            </c:numRef>
          </c:val>
          <c:extLst>
            <c:ext xmlns:c16="http://schemas.microsoft.com/office/drawing/2014/chart" uri="{C3380CC4-5D6E-409C-BE32-E72D297353CC}">
              <c16:uniqueId val="{00000000-0908-45CB-80C8-77F5885B9ACC}"/>
            </c:ext>
          </c:extLst>
        </c:ser>
        <c:ser>
          <c:idx val="1"/>
          <c:order val="1"/>
          <c:tx>
            <c:strRef>
              <c:f>'Grafer-energi'!$B$375</c:f>
              <c:strCache>
                <c:ptCount val="1"/>
                <c:pt idx="0">
                  <c:v>Kollektiv el- og varmeforsyning</c:v>
                </c:pt>
              </c:strCache>
            </c:strRef>
          </c:tx>
          <c:spPr>
            <a:solidFill>
              <a:schemeClr val="accent3"/>
            </a:solidFill>
            <a:ln>
              <a:noFill/>
            </a:ln>
            <a:effectLst/>
          </c:spPr>
          <c:invertIfNegative val="0"/>
          <c:val>
            <c:numRef>
              <c:f>'Grafer-energi'!$C$375:$K$375</c:f>
              <c:numCache>
                <c:formatCode>#,##0</c:formatCode>
                <c:ptCount val="9"/>
                <c:pt idx="0">
                  <c:v>0</c:v>
                </c:pt>
                <c:pt idx="1">
                  <c:v>21.718</c:v>
                </c:pt>
                <c:pt idx="2">
                  <c:v>22.437359999999998</c:v>
                </c:pt>
                <c:pt idx="3">
                  <c:v>0</c:v>
                </c:pt>
                <c:pt idx="4">
                  <c:v>0</c:v>
                </c:pt>
                <c:pt idx="5">
                  <c:v>0</c:v>
                </c:pt>
                <c:pt idx="6">
                  <c:v>0</c:v>
                </c:pt>
                <c:pt idx="7">
                  <c:v>21.718</c:v>
                </c:pt>
                <c:pt idx="8">
                  <c:v>22.437359999999998</c:v>
                </c:pt>
              </c:numCache>
            </c:numRef>
          </c:val>
          <c:extLst>
            <c:ext xmlns:c16="http://schemas.microsoft.com/office/drawing/2014/chart" uri="{C3380CC4-5D6E-409C-BE32-E72D297353CC}">
              <c16:uniqueId val="{00000007-78E9-42FB-A7F8-A02D7E2ABECE}"/>
            </c:ext>
          </c:extLst>
        </c:ser>
        <c:ser>
          <c:idx val="2"/>
          <c:order val="2"/>
          <c:tx>
            <c:strRef>
              <c:f>'Grafer-energi'!$B$376</c:f>
              <c:strCache>
                <c:ptCount val="1"/>
                <c:pt idx="0">
                  <c:v>Industri</c:v>
                </c:pt>
              </c:strCache>
            </c:strRef>
          </c:tx>
          <c:spPr>
            <a:solidFill>
              <a:schemeClr val="accent5"/>
            </a:solidFill>
            <a:ln>
              <a:noFill/>
            </a:ln>
            <a:effectLst/>
          </c:spPr>
          <c:invertIfNegative val="0"/>
          <c:val>
            <c:numRef>
              <c:f>'Grafer-energi'!$C$376:$K$376</c:f>
              <c:numCache>
                <c:formatCode>#,##0</c:formatCode>
                <c:ptCount val="9"/>
                <c:pt idx="0">
                  <c:v>17.122527563043178</c:v>
                </c:pt>
                <c:pt idx="1">
                  <c:v>10.89</c:v>
                </c:pt>
                <c:pt idx="2">
                  <c:v>10.81</c:v>
                </c:pt>
                <c:pt idx="3">
                  <c:v>0</c:v>
                </c:pt>
                <c:pt idx="4">
                  <c:v>0</c:v>
                </c:pt>
                <c:pt idx="5">
                  <c:v>0</c:v>
                </c:pt>
                <c:pt idx="6">
                  <c:v>17.122527563043178</c:v>
                </c:pt>
                <c:pt idx="7">
                  <c:v>10.89</c:v>
                </c:pt>
                <c:pt idx="8">
                  <c:v>10.81</c:v>
                </c:pt>
              </c:numCache>
            </c:numRef>
          </c:val>
          <c:extLst>
            <c:ext xmlns:c16="http://schemas.microsoft.com/office/drawing/2014/chart" uri="{C3380CC4-5D6E-409C-BE32-E72D297353CC}">
              <c16:uniqueId val="{00000008-78E9-42FB-A7F8-A02D7E2ABECE}"/>
            </c:ext>
          </c:extLst>
        </c:ser>
        <c:ser>
          <c:idx val="3"/>
          <c:order val="3"/>
          <c:tx>
            <c:strRef>
              <c:f>'Grafer-energi'!$B$377</c:f>
              <c:strCache>
                <c:ptCount val="1"/>
                <c:pt idx="0">
                  <c:v>Transport</c:v>
                </c:pt>
              </c:strCache>
            </c:strRef>
          </c:tx>
          <c:spPr>
            <a:solidFill>
              <a:schemeClr val="accent1">
                <a:lumMod val="60000"/>
              </a:schemeClr>
            </a:solidFill>
            <a:ln>
              <a:noFill/>
            </a:ln>
            <a:effectLst/>
          </c:spPr>
          <c:invertIfNegative val="0"/>
          <c:val>
            <c:numRef>
              <c:f>'Grafer-energi'!$C$377:$K$377</c:f>
              <c:numCache>
                <c:formatCode>#,##0</c:formatCode>
                <c:ptCount val="9"/>
                <c:pt idx="0">
                  <c:v>73.207830402159487</c:v>
                </c:pt>
                <c:pt idx="1">
                  <c:v>97.716000000000022</c:v>
                </c:pt>
                <c:pt idx="2">
                  <c:v>80.41</c:v>
                </c:pt>
                <c:pt idx="3">
                  <c:v>0</c:v>
                </c:pt>
                <c:pt idx="4">
                  <c:v>2.6319699999999999</c:v>
                </c:pt>
                <c:pt idx="5">
                  <c:v>4.729820000000001</c:v>
                </c:pt>
                <c:pt idx="6">
                  <c:v>73.207830402159487</c:v>
                </c:pt>
                <c:pt idx="7">
                  <c:v>95.084030000000027</c:v>
                </c:pt>
                <c:pt idx="8">
                  <c:v>75.680179999999993</c:v>
                </c:pt>
              </c:numCache>
            </c:numRef>
          </c:val>
          <c:extLst>
            <c:ext xmlns:c16="http://schemas.microsoft.com/office/drawing/2014/chart" uri="{C3380CC4-5D6E-409C-BE32-E72D297353CC}">
              <c16:uniqueId val="{00000009-78E9-42FB-A7F8-A02D7E2ABECE}"/>
            </c:ext>
          </c:extLst>
        </c:ser>
        <c:ser>
          <c:idx val="4"/>
          <c:order val="4"/>
          <c:tx>
            <c:strRef>
              <c:f>'Grafer-energi'!$B$378</c:f>
              <c:strCache>
                <c:ptCount val="1"/>
                <c:pt idx="0">
                  <c:v>Vindkraft mm.</c:v>
                </c:pt>
              </c:strCache>
            </c:strRef>
          </c:tx>
          <c:spPr>
            <a:solidFill>
              <a:schemeClr val="accent3">
                <a:lumMod val="60000"/>
              </a:schemeClr>
            </a:solidFill>
            <a:ln>
              <a:noFill/>
            </a:ln>
            <a:effectLst/>
          </c:spPr>
          <c:invertIfNegative val="0"/>
          <c:val>
            <c:numRef>
              <c:f>'Grafer-energi'!$C$378:$K$378</c:f>
              <c:numCache>
                <c:formatCode>#,##0</c:formatCode>
                <c:ptCount val="9"/>
                <c:pt idx="0">
                  <c:v>1.7762934374999999</c:v>
                </c:pt>
                <c:pt idx="1">
                  <c:v>18.64</c:v>
                </c:pt>
                <c:pt idx="2">
                  <c:v>26.94</c:v>
                </c:pt>
                <c:pt idx="3">
                  <c:v>1.7762934374999999</c:v>
                </c:pt>
                <c:pt idx="4">
                  <c:v>18.64</c:v>
                </c:pt>
                <c:pt idx="5">
                  <c:v>26.94</c:v>
                </c:pt>
                <c:pt idx="6">
                  <c:v>0</c:v>
                </c:pt>
                <c:pt idx="7">
                  <c:v>0</c:v>
                </c:pt>
                <c:pt idx="8">
                  <c:v>0</c:v>
                </c:pt>
              </c:numCache>
            </c:numRef>
          </c:val>
          <c:extLst>
            <c:ext xmlns:c16="http://schemas.microsoft.com/office/drawing/2014/chart" uri="{C3380CC4-5D6E-409C-BE32-E72D297353CC}">
              <c16:uniqueId val="{0000000A-78E9-42FB-A7F8-A02D7E2ABECE}"/>
            </c:ext>
          </c:extLst>
        </c:ser>
        <c:ser>
          <c:idx val="5"/>
          <c:order val="5"/>
          <c:tx>
            <c:strRef>
              <c:f>'Grafer-energi'!$B$379</c:f>
              <c:strCache>
                <c:ptCount val="1"/>
                <c:pt idx="0">
                  <c:v>El-import</c:v>
                </c:pt>
              </c:strCache>
            </c:strRef>
          </c:tx>
          <c:spPr>
            <a:solidFill>
              <a:schemeClr val="accent5">
                <a:lumMod val="60000"/>
              </a:schemeClr>
            </a:solidFill>
            <a:ln>
              <a:noFill/>
            </a:ln>
            <a:effectLst/>
          </c:spPr>
          <c:invertIfNegative val="0"/>
          <c:val>
            <c:numRef>
              <c:f>'Grafer-energi'!$C$379:$K$379</c:f>
              <c:numCache>
                <c:formatCode>#,##0</c:formatCode>
                <c:ptCount val="9"/>
                <c:pt idx="0">
                  <c:v>47.766958828937327</c:v>
                </c:pt>
                <c:pt idx="1">
                  <c:v>36.624084278714058</c:v>
                </c:pt>
                <c:pt idx="2">
                  <c:v>28.262897773245289</c:v>
                </c:pt>
                <c:pt idx="3">
                  <c:v>0</c:v>
                </c:pt>
                <c:pt idx="4">
                  <c:v>12.435675020227928</c:v>
                </c:pt>
                <c:pt idx="5">
                  <c:v>16.638367919109502</c:v>
                </c:pt>
                <c:pt idx="6">
                  <c:v>47.766958828937327</c:v>
                </c:pt>
                <c:pt idx="7">
                  <c:v>24.188409258486132</c:v>
                </c:pt>
                <c:pt idx="8">
                  <c:v>11.624529854135787</c:v>
                </c:pt>
              </c:numCache>
            </c:numRef>
          </c:val>
          <c:extLst>
            <c:ext xmlns:c16="http://schemas.microsoft.com/office/drawing/2014/chart" uri="{C3380CC4-5D6E-409C-BE32-E72D297353CC}">
              <c16:uniqueId val="{0000000B-78E9-42FB-A7F8-A02D7E2ABECE}"/>
            </c:ext>
          </c:extLst>
        </c:ser>
        <c:dLbls>
          <c:showLegendKey val="0"/>
          <c:showVal val="0"/>
          <c:showCatName val="0"/>
          <c:showSerName val="0"/>
          <c:showPercent val="0"/>
          <c:showBubbleSize val="0"/>
        </c:dLbls>
        <c:gapWidth val="150"/>
        <c:overlap val="100"/>
        <c:axId val="684824816"/>
        <c:axId val="684826776"/>
      </c:barChart>
      <c:catAx>
        <c:axId val="684824816"/>
        <c:scaling>
          <c:orientation val="minMax"/>
        </c:scaling>
        <c:delete val="0"/>
        <c:axPos val="b"/>
        <c:numFmt formatCode="General" sourceLinked="1"/>
        <c:majorTickMark val="out"/>
        <c:minorTickMark val="none"/>
        <c:tickLblPos val="low"/>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684826776"/>
        <c:crosses val="autoZero"/>
        <c:auto val="1"/>
        <c:lblAlgn val="ctr"/>
        <c:lblOffset val="100"/>
        <c:noMultiLvlLbl val="0"/>
      </c:catAx>
      <c:valAx>
        <c:axId val="684826776"/>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r>
                  <a:rPr lang="da-DK"/>
                  <a:t>TJ/ år</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endParaRPr lang="da-DK"/>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68482481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77" l="0.70000000000000062" r="0.70000000000000062" t="0.75000000000001177"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0" normalizeH="0" baseline="0">
                <a:solidFill>
                  <a:sysClr val="windowText" lastClr="000000"/>
                </a:solidFill>
                <a:latin typeface="+mn-lt"/>
                <a:ea typeface="+mj-ea"/>
                <a:cs typeface="+mj-cs"/>
              </a:defRPr>
            </a:pPr>
            <a:r>
              <a:rPr lang="da-DK" sz="1400" b="1">
                <a:latin typeface="+mn-lt"/>
              </a:rPr>
              <a:t>2018</a:t>
            </a:r>
          </a:p>
        </c:rich>
      </c:tx>
      <c:overlay val="0"/>
      <c:spPr>
        <a:noFill/>
        <a:ln>
          <a:noFill/>
        </a:ln>
        <a:effectLst/>
      </c:spPr>
      <c:txPr>
        <a:bodyPr rot="0" spcFirstLastPara="1" vertOverflow="ellipsis" vert="horz" wrap="square" anchor="ctr" anchorCtr="1"/>
        <a:lstStyle/>
        <a:p>
          <a:pPr>
            <a:defRPr sz="1400" b="1" i="0" u="none" strike="noStrike" kern="1200" cap="none" spc="0" normalizeH="0" baseline="0">
              <a:solidFill>
                <a:sysClr val="windowText" lastClr="000000"/>
              </a:solidFill>
              <a:latin typeface="+mn-lt"/>
              <a:ea typeface="+mj-ea"/>
              <a:cs typeface="+mj-cs"/>
            </a:defRPr>
          </a:pPr>
          <a:endParaRPr lang="da-DK"/>
        </a:p>
      </c:txPr>
    </c:title>
    <c:autoTitleDeleted val="0"/>
    <c:plotArea>
      <c:layout/>
      <c:barChart>
        <c:barDir val="col"/>
        <c:grouping val="stacked"/>
        <c:varyColors val="0"/>
        <c:ser>
          <c:idx val="0"/>
          <c:order val="0"/>
          <c:tx>
            <c:strRef>
              <c:f>'Grafer-klima-&gt;VÆLG GWP og NIR&lt;-'!$C$618</c:f>
              <c:strCache>
                <c:ptCount val="1"/>
                <c:pt idx="0">
                  <c:v>Forbrænding af affald</c:v>
                </c:pt>
              </c:strCache>
            </c:strRef>
          </c:tx>
          <c:spPr>
            <a:solidFill>
              <a:schemeClr val="accent1"/>
            </a:solidFill>
            <a:ln>
              <a:noFill/>
            </a:ln>
            <a:effectLst/>
          </c:spPr>
          <c:invertIfNegative val="0"/>
          <c:cat>
            <c:strRef>
              <c:f>'Grafer-klima-&gt;VÆLG GWP og NIR&lt;-'!$B$620:$B$622</c:f>
              <c:strCache>
                <c:ptCount val="3"/>
                <c:pt idx="0">
                  <c:v>Affald</c:v>
                </c:pt>
                <c:pt idx="1">
                  <c:v>Spildevand</c:v>
                </c:pt>
                <c:pt idx="2">
                  <c:v>Tilfældige brande</c:v>
                </c:pt>
              </c:strCache>
            </c:strRef>
          </c:cat>
          <c:val>
            <c:numRef>
              <c:f>'Grafer-klima-&gt;VÆLG GWP og NIR&lt;-'!$C$620:$C$622</c:f>
              <c:numCache>
                <c:formatCode>General</c:formatCode>
                <c:ptCount val="3"/>
                <c:pt idx="0" formatCode="#,##0">
                  <c:v>9.3985653460984531E-2</c:v>
                </c:pt>
              </c:numCache>
            </c:numRef>
          </c:val>
          <c:extLst>
            <c:ext xmlns:c16="http://schemas.microsoft.com/office/drawing/2014/chart" uri="{C3380CC4-5D6E-409C-BE32-E72D297353CC}">
              <c16:uniqueId val="{00000000-6FFC-476A-BA95-DEB723E6BA94}"/>
            </c:ext>
          </c:extLst>
        </c:ser>
        <c:ser>
          <c:idx val="1"/>
          <c:order val="1"/>
          <c:tx>
            <c:strRef>
              <c:f>'Grafer-klima-&gt;VÆLG GWP og NIR&lt;-'!$D$618</c:f>
              <c:strCache>
                <c:ptCount val="1"/>
                <c:pt idx="0">
                  <c:v>Biologisk behandling af fast affald</c:v>
                </c:pt>
              </c:strCache>
            </c:strRef>
          </c:tx>
          <c:spPr>
            <a:solidFill>
              <a:schemeClr val="accent2"/>
            </a:solidFill>
            <a:ln>
              <a:noFill/>
            </a:ln>
            <a:effectLst/>
          </c:spPr>
          <c:invertIfNegative val="0"/>
          <c:cat>
            <c:strRef>
              <c:f>'Grafer-klima-&gt;VÆLG GWP og NIR&lt;-'!$B$620:$B$622</c:f>
              <c:strCache>
                <c:ptCount val="3"/>
                <c:pt idx="0">
                  <c:v>Affald</c:v>
                </c:pt>
                <c:pt idx="1">
                  <c:v>Spildevand</c:v>
                </c:pt>
                <c:pt idx="2">
                  <c:v>Tilfældige brande</c:v>
                </c:pt>
              </c:strCache>
            </c:strRef>
          </c:cat>
          <c:val>
            <c:numRef>
              <c:f>'Grafer-klima-&gt;VÆLG GWP og NIR&lt;-'!$D$620:$D$622</c:f>
              <c:numCache>
                <c:formatCode>General</c:formatCode>
                <c:ptCount val="3"/>
                <c:pt idx="0" formatCode="#,##0">
                  <c:v>138.27201202976943</c:v>
                </c:pt>
              </c:numCache>
            </c:numRef>
          </c:val>
          <c:extLst>
            <c:ext xmlns:c16="http://schemas.microsoft.com/office/drawing/2014/chart" uri="{C3380CC4-5D6E-409C-BE32-E72D297353CC}">
              <c16:uniqueId val="{00000001-6FFC-476A-BA95-DEB723E6BA94}"/>
            </c:ext>
          </c:extLst>
        </c:ser>
        <c:ser>
          <c:idx val="2"/>
          <c:order val="2"/>
          <c:tx>
            <c:strRef>
              <c:f>'Grafer-klima-&gt;VÆLG GWP og NIR&lt;-'!$E$618</c:f>
              <c:strCache>
                <c:ptCount val="1"/>
                <c:pt idx="0">
                  <c:v>Bortskaffelse af fast affald</c:v>
                </c:pt>
              </c:strCache>
            </c:strRef>
          </c:tx>
          <c:spPr>
            <a:solidFill>
              <a:schemeClr val="accent3"/>
            </a:solidFill>
            <a:ln>
              <a:noFill/>
            </a:ln>
            <a:effectLst/>
          </c:spPr>
          <c:invertIfNegative val="0"/>
          <c:cat>
            <c:strRef>
              <c:f>'Grafer-klima-&gt;VÆLG GWP og NIR&lt;-'!$B$620:$B$622</c:f>
              <c:strCache>
                <c:ptCount val="3"/>
                <c:pt idx="0">
                  <c:v>Affald</c:v>
                </c:pt>
                <c:pt idx="1">
                  <c:v>Spildevand</c:v>
                </c:pt>
                <c:pt idx="2">
                  <c:v>Tilfældige brande</c:v>
                </c:pt>
              </c:strCache>
            </c:strRef>
          </c:cat>
          <c:val>
            <c:numRef>
              <c:f>'Grafer-klima-&gt;VÆLG GWP og NIR&lt;-'!$E$620:$E$622</c:f>
              <c:numCache>
                <c:formatCode>General</c:formatCode>
                <c:ptCount val="3"/>
                <c:pt idx="0" formatCode="#,##0">
                  <c:v>175.15882498292569</c:v>
                </c:pt>
              </c:numCache>
            </c:numRef>
          </c:val>
          <c:extLst>
            <c:ext xmlns:c16="http://schemas.microsoft.com/office/drawing/2014/chart" uri="{C3380CC4-5D6E-409C-BE32-E72D297353CC}">
              <c16:uniqueId val="{00000002-6FFC-476A-BA95-DEB723E6BA94}"/>
            </c:ext>
          </c:extLst>
        </c:ser>
        <c:ser>
          <c:idx val="3"/>
          <c:order val="3"/>
          <c:tx>
            <c:strRef>
              <c:f>'Grafer-klima-&gt;VÆLG GWP og NIR&lt;-'!$F$618</c:f>
              <c:strCache>
                <c:ptCount val="1"/>
                <c:pt idx="0">
                  <c:v>Spildevand</c:v>
                </c:pt>
              </c:strCache>
            </c:strRef>
          </c:tx>
          <c:spPr>
            <a:solidFill>
              <a:schemeClr val="accent4"/>
            </a:solidFill>
            <a:ln>
              <a:noFill/>
            </a:ln>
            <a:effectLst/>
          </c:spPr>
          <c:invertIfNegative val="0"/>
          <c:cat>
            <c:strRef>
              <c:f>'Grafer-klima-&gt;VÆLG GWP og NIR&lt;-'!$B$620:$B$622</c:f>
              <c:strCache>
                <c:ptCount val="3"/>
                <c:pt idx="0">
                  <c:v>Affald</c:v>
                </c:pt>
                <c:pt idx="1">
                  <c:v>Spildevand</c:v>
                </c:pt>
                <c:pt idx="2">
                  <c:v>Tilfældige brande</c:v>
                </c:pt>
              </c:strCache>
            </c:strRef>
          </c:cat>
          <c:val>
            <c:numRef>
              <c:f>'Grafer-klima-&gt;VÆLG GWP og NIR&lt;-'!$F$620:$F$622</c:f>
              <c:numCache>
                <c:formatCode>#,##0</c:formatCode>
                <c:ptCount val="3"/>
                <c:pt idx="1">
                  <c:v>36.299072024155073</c:v>
                </c:pt>
              </c:numCache>
            </c:numRef>
          </c:val>
          <c:extLst>
            <c:ext xmlns:c16="http://schemas.microsoft.com/office/drawing/2014/chart" uri="{C3380CC4-5D6E-409C-BE32-E72D297353CC}">
              <c16:uniqueId val="{00000003-6FFC-476A-BA95-DEB723E6BA94}"/>
            </c:ext>
          </c:extLst>
        </c:ser>
        <c:ser>
          <c:idx val="4"/>
          <c:order val="4"/>
          <c:tx>
            <c:strRef>
              <c:f>'Grafer-klima-&gt;VÆLG GWP og NIR&lt;-'!$G$618</c:f>
              <c:strCache>
                <c:ptCount val="1"/>
                <c:pt idx="0">
                  <c:v>Brande</c:v>
                </c:pt>
              </c:strCache>
            </c:strRef>
          </c:tx>
          <c:spPr>
            <a:solidFill>
              <a:schemeClr val="accent5"/>
            </a:solidFill>
            <a:ln>
              <a:noFill/>
            </a:ln>
            <a:effectLst/>
          </c:spPr>
          <c:invertIfNegative val="0"/>
          <c:cat>
            <c:strRef>
              <c:f>'Grafer-klima-&gt;VÆLG GWP og NIR&lt;-'!$B$620:$B$622</c:f>
              <c:strCache>
                <c:ptCount val="3"/>
                <c:pt idx="0">
                  <c:v>Affald</c:v>
                </c:pt>
                <c:pt idx="1">
                  <c:v>Spildevand</c:v>
                </c:pt>
                <c:pt idx="2">
                  <c:v>Tilfældige brande</c:v>
                </c:pt>
              </c:strCache>
            </c:strRef>
          </c:cat>
          <c:val>
            <c:numRef>
              <c:f>'Grafer-klima-&gt;VÆLG GWP og NIR&lt;-'!$G$620:$G$622</c:f>
              <c:numCache>
                <c:formatCode>#,##0</c:formatCode>
                <c:ptCount val="3"/>
                <c:pt idx="2">
                  <c:v>34.604306943685259</c:v>
                </c:pt>
              </c:numCache>
            </c:numRef>
          </c:val>
          <c:extLst>
            <c:ext xmlns:c16="http://schemas.microsoft.com/office/drawing/2014/chart" uri="{C3380CC4-5D6E-409C-BE32-E72D297353CC}">
              <c16:uniqueId val="{00000004-6FFC-476A-BA95-DEB723E6BA94}"/>
            </c:ext>
          </c:extLst>
        </c:ser>
        <c:dLbls>
          <c:showLegendKey val="0"/>
          <c:showVal val="0"/>
          <c:showCatName val="0"/>
          <c:showSerName val="0"/>
          <c:showPercent val="0"/>
          <c:showBubbleSize val="0"/>
        </c:dLbls>
        <c:gapWidth val="150"/>
        <c:overlap val="100"/>
        <c:axId val="698189992"/>
        <c:axId val="698186384"/>
      </c:barChart>
      <c:catAx>
        <c:axId val="698189992"/>
        <c:scaling>
          <c:orientation val="minMax"/>
        </c:scaling>
        <c:delete val="0"/>
        <c:axPos val="b"/>
        <c:majorGridlines>
          <c:spPr>
            <a:ln w="9525" cap="flat" cmpd="sng" algn="ctr">
              <a:solidFill>
                <a:schemeClr val="dk1">
                  <a:shade val="95000"/>
                  <a:satMod val="105000"/>
                </a:schemeClr>
              </a:solidFill>
              <a:prstDash val="solid"/>
              <a:round/>
            </a:ln>
            <a:effectLst/>
          </c:spPr>
        </c:majorGridlines>
        <c:numFmt formatCode="General" sourceLinked="1"/>
        <c:majorTickMark val="none"/>
        <c:minorTickMark val="none"/>
        <c:tickLblPos val="nextTo"/>
        <c:spPr>
          <a:noFill/>
          <a:ln w="9525" cap="flat" cmpd="sng" algn="ctr">
            <a:solidFill>
              <a:schemeClr val="dk1">
                <a:shade val="95000"/>
                <a:satMod val="105000"/>
              </a:schemeClr>
            </a:solidFill>
            <a:prstDash val="solid"/>
            <a:round/>
          </a:ln>
          <a:effectLst/>
        </c:spPr>
        <c:txPr>
          <a:bodyPr rot="-60000000" spcFirstLastPara="1" vertOverflow="ellipsis" vert="horz" wrap="square" anchor="ctr" anchorCtr="1"/>
          <a:lstStyle/>
          <a:p>
            <a:pPr>
              <a:defRPr sz="900" b="0" i="0" u="none" strike="noStrike" kern="1200" cap="none" spc="0" normalizeH="0" baseline="0">
                <a:solidFill>
                  <a:schemeClr val="tx1"/>
                </a:solidFill>
                <a:latin typeface="+mn-lt"/>
                <a:ea typeface="+mn-ea"/>
                <a:cs typeface="+mn-cs"/>
              </a:defRPr>
            </a:pPr>
            <a:endParaRPr lang="da-DK"/>
          </a:p>
        </c:txPr>
        <c:crossAx val="698186384"/>
        <c:crosses val="autoZero"/>
        <c:auto val="1"/>
        <c:lblAlgn val="ctr"/>
        <c:lblOffset val="100"/>
        <c:noMultiLvlLbl val="0"/>
      </c:catAx>
      <c:valAx>
        <c:axId val="698186384"/>
        <c:scaling>
          <c:orientation val="minMax"/>
        </c:scaling>
        <c:delete val="0"/>
        <c:axPos val="l"/>
        <c:majorGridlines>
          <c:spPr>
            <a:ln w="9525" cap="flat" cmpd="sng" algn="ctr">
              <a:solidFill>
                <a:schemeClr val="dk1">
                  <a:shade val="95000"/>
                  <a:satMod val="105000"/>
                </a:schemeClr>
              </a:solidFill>
              <a:prstDash val="solid"/>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da-DK" sz="900" b="0" i="0" u="none" strike="noStrike" baseline="0">
                    <a:effectLst/>
                  </a:rPr>
                  <a:t>Ton CO</a:t>
                </a:r>
                <a:r>
                  <a:rPr lang="da-DK" sz="900" b="0" i="0" u="none" strike="noStrike" baseline="-25000">
                    <a:effectLst/>
                  </a:rPr>
                  <a:t>2</a:t>
                </a:r>
                <a:r>
                  <a:rPr lang="da-DK" sz="900" b="0" i="0" u="none" strike="noStrike" baseline="0">
                    <a:effectLst/>
                  </a:rPr>
                  <a:t>-ækv.</a:t>
                </a:r>
                <a:endParaRPr lang="da-DK"/>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da-DK"/>
            </a:p>
          </c:txPr>
        </c:title>
        <c:numFmt formatCode="#,##0" sourceLinked="1"/>
        <c:majorTickMark val="none"/>
        <c:minorTickMark val="none"/>
        <c:tickLblPos val="nextTo"/>
        <c:spPr>
          <a:noFill/>
          <a:ln w="9525" cap="flat" cmpd="sng" algn="ctr">
            <a:solidFill>
              <a:schemeClr val="dk1">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a-DK"/>
          </a:p>
        </c:txPr>
        <c:crossAx val="698189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showDLblsOverMax val="0"/>
  </c:chart>
  <c:spPr>
    <a:solidFill>
      <a:schemeClr val="lt1"/>
    </a:solidFill>
    <a:ln w="9525" cap="flat" cmpd="sng" algn="ctr">
      <a:solidFill>
        <a:sysClr val="windowText" lastClr="000000"/>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'Grafer-klima-&gt;VÆLG GWP og NIR&lt;-'!$C$136</c:f>
              <c:strCache>
                <c:ptCount val="1"/>
                <c:pt idx="0">
                  <c:v>2018</c:v>
                </c:pt>
              </c:strCache>
            </c:strRef>
          </c:tx>
          <c:spPr>
            <a:solidFill>
              <a:srgbClr val="106889"/>
            </a:solidFill>
            <a:ln>
              <a:noFill/>
            </a:ln>
            <a:effectLst/>
          </c:spPr>
          <c:invertIfNegative val="0"/>
          <c:cat>
            <c:strRef>
              <c:f>'Grafer-klima-&gt;VÆLG GWP og NIR&lt;-'!$B$137:$B$147</c:f>
              <c:strCache>
                <c:ptCount val="11"/>
                <c:pt idx="0">
                  <c:v>Vomgasser fra dyr</c:v>
                </c:pt>
                <c:pt idx="1">
                  <c:v>Husdyrgødning i stald**</c:v>
                </c:pt>
                <c:pt idx="2">
                  <c:v>Organiske jorde (humus jord) </c:v>
                </c:pt>
                <c:pt idx="3">
                  <c:v>Fordampning</c:v>
                </c:pt>
                <c:pt idx="4">
                  <c:v>Nitrogen udvaskning</c:v>
                </c:pt>
                <c:pt idx="5">
                  <c:v>Mineralisering</c:v>
                </c:pt>
                <c:pt idx="6">
                  <c:v>Afgrøderester*</c:v>
                </c:pt>
                <c:pt idx="7">
                  <c:v>Handelsgødning</c:v>
                </c:pt>
                <c:pt idx="8">
                  <c:v>Organsikgødning</c:v>
                </c:pt>
                <c:pt idx="9">
                  <c:v>Gødning fra græssende dyr</c:v>
                </c:pt>
                <c:pt idx="10">
                  <c:v>Kalk forbrug (inkl. Urea og Calcium)</c:v>
                </c:pt>
              </c:strCache>
            </c:strRef>
          </c:cat>
          <c:val>
            <c:numRef>
              <c:f>'Grafer-klima-&gt;VÆLG GWP og NIR&lt;-'!$C$137:$C$147</c:f>
              <c:numCache>
                <c:formatCode>#,##0</c:formatCode>
                <c:ptCount val="11"/>
                <c:pt idx="0">
                  <c:v>3206.4617754884835</c:v>
                </c:pt>
                <c:pt idx="1">
                  <c:v>5303.5423278519156</c:v>
                </c:pt>
                <c:pt idx="2">
                  <c:v>9.272057142857143E-2</c:v>
                </c:pt>
                <c:pt idx="3">
                  <c:v>176.73493836362195</c:v>
                </c:pt>
                <c:pt idx="4">
                  <c:v>423.85656617876566</c:v>
                </c:pt>
                <c:pt idx="5">
                  <c:v>107.64871556872481</c:v>
                </c:pt>
                <c:pt idx="6">
                  <c:v>544.32878515994616</c:v>
                </c:pt>
                <c:pt idx="7">
                  <c:v>1437.1571031714291</c:v>
                </c:pt>
                <c:pt idx="8">
                  <c:v>780.97984737142849</c:v>
                </c:pt>
                <c:pt idx="9">
                  <c:v>252.63901164234568</c:v>
                </c:pt>
                <c:pt idx="10">
                  <c:v>188.28498405793394</c:v>
                </c:pt>
              </c:numCache>
            </c:numRef>
          </c:val>
          <c:extLst>
            <c:ext xmlns:c16="http://schemas.microsoft.com/office/drawing/2014/chart" uri="{C3380CC4-5D6E-409C-BE32-E72D297353CC}">
              <c16:uniqueId val="{00000000-8B7D-4CB6-8A72-1E80EBA5BF60}"/>
            </c:ext>
          </c:extLst>
        </c:ser>
        <c:dLbls>
          <c:showLegendKey val="0"/>
          <c:showVal val="0"/>
          <c:showCatName val="0"/>
          <c:showSerName val="0"/>
          <c:showPercent val="0"/>
          <c:showBubbleSize val="0"/>
        </c:dLbls>
        <c:gapWidth val="267"/>
        <c:overlap val="-43"/>
        <c:axId val="704926712"/>
        <c:axId val="704931304"/>
        <c:extLst>
          <c:ext xmlns:c15="http://schemas.microsoft.com/office/drawing/2012/chart" uri="{02D57815-91ED-43cb-92C2-25804820EDAC}">
            <c15:filteredBarSeries>
              <c15:ser>
                <c:idx val="1"/>
                <c:order val="1"/>
                <c:tx>
                  <c:strRef>
                    <c:extLst>
                      <c:ext uri="{02D57815-91ED-43cb-92C2-25804820EDAC}">
                        <c15:formulaRef>
                          <c15:sqref>'Grafer-klima-&gt;VÆLG GWP og NIR&lt;-'!$D$136</c15:sqref>
                        </c15:formulaRef>
                      </c:ext>
                    </c:extLst>
                    <c:strCache>
                      <c:ptCount val="1"/>
                    </c:strCache>
                  </c:strRef>
                </c:tx>
                <c:spPr>
                  <a:solidFill>
                    <a:srgbClr val="27CED7"/>
                  </a:solidFill>
                  <a:ln>
                    <a:noFill/>
                  </a:ln>
                  <a:effectLst/>
                </c:spPr>
                <c:invertIfNegative val="0"/>
                <c:cat>
                  <c:strRef>
                    <c:extLst>
                      <c:ext uri="{02D57815-91ED-43cb-92C2-25804820EDAC}">
                        <c15:formulaRef>
                          <c15:sqref>'Grafer-klima-&gt;VÆLG GWP og NIR&lt;-'!$B$137:$B$147</c15:sqref>
                        </c15:formulaRef>
                      </c:ext>
                    </c:extLst>
                    <c:strCache>
                      <c:ptCount val="11"/>
                      <c:pt idx="0">
                        <c:v>Vomgasser fra dyr</c:v>
                      </c:pt>
                      <c:pt idx="1">
                        <c:v>Husdyrgødning i stald**</c:v>
                      </c:pt>
                      <c:pt idx="2">
                        <c:v>Organiske jorde (humus jord) </c:v>
                      </c:pt>
                      <c:pt idx="3">
                        <c:v>Fordampning</c:v>
                      </c:pt>
                      <c:pt idx="4">
                        <c:v>Nitrogen udvaskning</c:v>
                      </c:pt>
                      <c:pt idx="5">
                        <c:v>Mineralisering</c:v>
                      </c:pt>
                      <c:pt idx="6">
                        <c:v>Afgrøderester*</c:v>
                      </c:pt>
                      <c:pt idx="7">
                        <c:v>Handelsgødning</c:v>
                      </c:pt>
                      <c:pt idx="8">
                        <c:v>Organsikgødning</c:v>
                      </c:pt>
                      <c:pt idx="9">
                        <c:v>Gødning fra græssende dyr</c:v>
                      </c:pt>
                      <c:pt idx="10">
                        <c:v>Kalk forbrug (inkl. Urea og Calcium)</c:v>
                      </c:pt>
                    </c:strCache>
                  </c:strRef>
                </c:cat>
                <c:val>
                  <c:numRef>
                    <c:extLst>
                      <c:ext uri="{02D57815-91ED-43cb-92C2-25804820EDAC}">
                        <c15:formulaRef>
                          <c15:sqref>'Grafer-klima-&gt;VÆLG GWP og NIR&lt;-'!$D$137:$D$147</c15:sqref>
                        </c15:formulaRef>
                      </c:ext>
                    </c:extLst>
                    <c:numCache>
                      <c:formatCode>General</c:formatCode>
                      <c:ptCount val="11"/>
                    </c:numCache>
                  </c:numRef>
                </c:val>
                <c:extLst>
                  <c:ext xmlns:c16="http://schemas.microsoft.com/office/drawing/2014/chart" uri="{C3380CC4-5D6E-409C-BE32-E72D297353CC}">
                    <c16:uniqueId val="{00000001-D77B-4201-8AB1-1E4F7EC4C9FD}"/>
                  </c:ext>
                </c:extLst>
              </c15:ser>
            </c15:filteredBarSeries>
          </c:ext>
        </c:extLst>
      </c:barChart>
      <c:catAx>
        <c:axId val="7049267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cap="none" spc="0" normalizeH="0" baseline="0">
                <a:solidFill>
                  <a:sysClr val="windowText" lastClr="000000"/>
                </a:solidFill>
                <a:latin typeface="+mn-lt"/>
                <a:ea typeface="+mn-ea"/>
                <a:cs typeface="+mn-cs"/>
              </a:defRPr>
            </a:pPr>
            <a:endParaRPr lang="da-DK"/>
          </a:p>
        </c:txPr>
        <c:crossAx val="704931304"/>
        <c:crosses val="autoZero"/>
        <c:auto val="1"/>
        <c:lblAlgn val="ctr"/>
        <c:lblOffset val="100"/>
        <c:noMultiLvlLbl val="0"/>
      </c:catAx>
      <c:valAx>
        <c:axId val="704931304"/>
        <c:scaling>
          <c:orientation val="minMax"/>
        </c:scaling>
        <c:delete val="0"/>
        <c:axPos val="l"/>
        <c:majorGridlines>
          <c:spPr>
            <a:ln w="9525" cap="flat" cmpd="sng" algn="ctr">
              <a:solidFill>
                <a:sysClr val="windowText" lastClr="000000"/>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da-DK"/>
                  <a:t>Ton CO</a:t>
                </a:r>
                <a:r>
                  <a:rPr lang="da-DK" baseline="-25000"/>
                  <a:t>2</a:t>
                </a:r>
                <a:r>
                  <a:rPr lang="da-DK"/>
                  <a:t>-ækv.</a:t>
                </a:r>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da-DK"/>
            </a:p>
          </c:txPr>
        </c:title>
        <c:numFmt formatCode="#,##0"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crossAx val="70492671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ysClr val="windowText" lastClr="000000"/>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'Grafer-klima-&gt;VÆLG GWP og NIR&lt;-'!$C$487</c:f>
              <c:strCache>
                <c:ptCount val="1"/>
                <c:pt idx="0">
                  <c:v>2018</c:v>
                </c:pt>
              </c:strCache>
            </c:strRef>
          </c:tx>
          <c:spPr>
            <a:solidFill>
              <a:srgbClr val="106889"/>
            </a:solidFill>
            <a:ln>
              <a:noFill/>
            </a:ln>
            <a:effectLst/>
          </c:spPr>
          <c:invertIfNegative val="0"/>
          <c:cat>
            <c:strRef>
              <c:f>'Grafer-klima-&gt;VÆLG GWP og NIR&lt;-'!$B$488:$B$494</c:f>
              <c:strCache>
                <c:ptCount val="7"/>
                <c:pt idx="0">
                  <c:v>Mineralsk industri</c:v>
                </c:pt>
                <c:pt idx="1">
                  <c:v>Kemisk industri </c:v>
                </c:pt>
                <c:pt idx="2">
                  <c:v>Metalindustri</c:v>
                </c:pt>
                <c:pt idx="3">
                  <c:v>Brug af brændstof og opløsningsmiddel (ej energirelateret) </c:v>
                </c:pt>
                <c:pt idx="4">
                  <c:v>Elektronikindustri </c:v>
                </c:pt>
                <c:pt idx="5">
                  <c:v>Ozon-erstattende produkter </c:v>
                </c:pt>
                <c:pt idx="6">
                  <c:v>Anden produktfremstilling og anvendelse </c:v>
                </c:pt>
              </c:strCache>
            </c:strRef>
          </c:cat>
          <c:val>
            <c:numRef>
              <c:f>'Grafer-klima-&gt;VÆLG GWP og NIR&lt;-'!$C$488:$C$494</c:f>
              <c:numCache>
                <c:formatCode>#,##0</c:formatCode>
                <c:ptCount val="7"/>
                <c:pt idx="0">
                  <c:v>5.8248804142676507</c:v>
                </c:pt>
                <c:pt idx="1">
                  <c:v>0.4467191972759933</c:v>
                </c:pt>
                <c:pt idx="2" formatCode="0">
                  <c:v>3.7382822567672058E-2</c:v>
                </c:pt>
                <c:pt idx="3">
                  <c:v>50.669792894856023</c:v>
                </c:pt>
                <c:pt idx="4">
                  <c:v>0</c:v>
                </c:pt>
                <c:pt idx="5">
                  <c:v>152.32757922682916</c:v>
                </c:pt>
                <c:pt idx="6">
                  <c:v>6.9056812682958251</c:v>
                </c:pt>
              </c:numCache>
            </c:numRef>
          </c:val>
          <c:extLst>
            <c:ext xmlns:c16="http://schemas.microsoft.com/office/drawing/2014/chart" uri="{C3380CC4-5D6E-409C-BE32-E72D297353CC}">
              <c16:uniqueId val="{00000000-7A2C-47D0-B493-EF225BA1A69F}"/>
            </c:ext>
          </c:extLst>
        </c:ser>
        <c:ser>
          <c:idx val="1"/>
          <c:order val="1"/>
          <c:tx>
            <c:strRef>
              <c:f>'Grafer-klima-&gt;VÆLG GWP og NIR&lt;-'!$D$487</c:f>
              <c:strCache>
                <c:ptCount val="1"/>
              </c:strCache>
            </c:strRef>
          </c:tx>
          <c:spPr>
            <a:solidFill>
              <a:srgbClr val="27CED7"/>
            </a:solidFill>
            <a:ln>
              <a:noFill/>
            </a:ln>
            <a:effectLst/>
          </c:spPr>
          <c:invertIfNegative val="0"/>
          <c:cat>
            <c:strRef>
              <c:f>'Grafer-klima-&gt;VÆLG GWP og NIR&lt;-'!$B$488:$B$494</c:f>
              <c:strCache>
                <c:ptCount val="7"/>
                <c:pt idx="0">
                  <c:v>Mineralsk industri</c:v>
                </c:pt>
                <c:pt idx="1">
                  <c:v>Kemisk industri </c:v>
                </c:pt>
                <c:pt idx="2">
                  <c:v>Metalindustri</c:v>
                </c:pt>
                <c:pt idx="3">
                  <c:v>Brug af brændstof og opløsningsmiddel (ej energirelateret) </c:v>
                </c:pt>
                <c:pt idx="4">
                  <c:v>Elektronikindustri </c:v>
                </c:pt>
                <c:pt idx="5">
                  <c:v>Ozon-erstattende produkter </c:v>
                </c:pt>
                <c:pt idx="6">
                  <c:v>Anden produktfremstilling og anvendelse </c:v>
                </c:pt>
              </c:strCache>
            </c:strRef>
          </c:cat>
          <c:val>
            <c:numRef>
              <c:f>'Grafer-klima-&gt;VÆLG GWP og NIR&lt;-'!$D$488:$D$494</c:f>
              <c:numCache>
                <c:formatCode>General</c:formatCode>
                <c:ptCount val="7"/>
              </c:numCache>
            </c:numRef>
          </c:val>
          <c:extLst>
            <c:ext xmlns:c16="http://schemas.microsoft.com/office/drawing/2014/chart" uri="{C3380CC4-5D6E-409C-BE32-E72D297353CC}">
              <c16:uniqueId val="{00000002-7A2C-47D0-B493-EF225BA1A69F}"/>
            </c:ext>
          </c:extLst>
        </c:ser>
        <c:dLbls>
          <c:showLegendKey val="0"/>
          <c:showVal val="0"/>
          <c:showCatName val="0"/>
          <c:showSerName val="0"/>
          <c:showPercent val="0"/>
          <c:showBubbleSize val="0"/>
        </c:dLbls>
        <c:gapWidth val="219"/>
        <c:overlap val="-27"/>
        <c:axId val="779681888"/>
        <c:axId val="779683136"/>
      </c:barChart>
      <c:catAx>
        <c:axId val="779681888"/>
        <c:scaling>
          <c:orientation val="minMax"/>
        </c:scaling>
        <c:delete val="0"/>
        <c:axPos val="b"/>
        <c:numFmt formatCode="General" sourceLinked="1"/>
        <c:majorTickMark val="none"/>
        <c:minorTickMark val="none"/>
        <c:tickLblPos val="nextTo"/>
        <c:spPr>
          <a:noFill/>
          <a:ln w="9525" cap="flat" cmpd="sng" algn="ctr">
            <a:solidFill>
              <a:schemeClr val="dk1">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a-DK"/>
          </a:p>
        </c:txPr>
        <c:crossAx val="779683136"/>
        <c:crosses val="autoZero"/>
        <c:auto val="1"/>
        <c:lblAlgn val="ctr"/>
        <c:lblOffset val="100"/>
        <c:noMultiLvlLbl val="0"/>
      </c:catAx>
      <c:valAx>
        <c:axId val="779683136"/>
        <c:scaling>
          <c:orientation val="minMax"/>
        </c:scaling>
        <c:delete val="0"/>
        <c:axPos val="l"/>
        <c:majorGridlines>
          <c:spPr>
            <a:ln w="9525" cap="flat" cmpd="sng" algn="ctr">
              <a:solidFill>
                <a:schemeClr val="dk1">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000" b="0" i="0" u="none" strike="noStrike" baseline="0">
                    <a:effectLst/>
                  </a:rPr>
                  <a:t>Ton CO</a:t>
                </a:r>
                <a:r>
                  <a:rPr lang="en-US" sz="1000" b="0" i="0" u="none" strike="noStrike" baseline="-25000">
                    <a:effectLst/>
                  </a:rPr>
                  <a:t>2</a:t>
                </a:r>
                <a:r>
                  <a:rPr lang="en-US" sz="1000" b="0" i="0" u="none" strike="noStrike" baseline="0">
                    <a:effectLst/>
                  </a:rPr>
                  <a:t>-ækv.</a:t>
                </a:r>
                <a:endParaRPr lang="da-DK"/>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crossAx val="779681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da-DK" sz="1400"/>
              <a:t>2018</a:t>
            </a:r>
          </a:p>
        </c:rich>
      </c:tx>
      <c:layout>
        <c:manualLayout>
          <c:xMode val="edge"/>
          <c:yMode val="edge"/>
          <c:x val="0.72459106629949699"/>
          <c:y val="0.11312475029636955"/>
        </c:manualLayout>
      </c:layout>
      <c:overlay val="0"/>
      <c:spPr>
        <a:noFill/>
        <a:ln>
          <a:noFill/>
        </a:ln>
        <a:effectLst/>
      </c:sp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0-0E18-44E1-9FC9-17E0DD0DF5B4}"/>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2-0E18-44E1-9FC9-17E0DD0DF5B4}"/>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4-0E18-44E1-9FC9-17E0DD0DF5B4}"/>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6-0E18-44E1-9FC9-17E0DD0DF5B4}"/>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8-0E18-44E1-9FC9-17E0DD0DF5B4}"/>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A-0E18-44E1-9FC9-17E0DD0DF5B4}"/>
              </c:ext>
            </c:extLst>
          </c:dPt>
          <c:dPt>
            <c:idx val="6"/>
            <c:bubble3D val="0"/>
            <c:spPr>
              <a:solidFill>
                <a:schemeClr val="accent1">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C-0E18-44E1-9FC9-17E0DD0DF5B4}"/>
              </c:ext>
            </c:extLst>
          </c:dPt>
          <c:dPt>
            <c:idx val="7"/>
            <c:bubble3D val="0"/>
            <c:spPr>
              <a:solidFill>
                <a:schemeClr val="accent2">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E-0E18-44E1-9FC9-17E0DD0DF5B4}"/>
              </c:ext>
            </c:extLst>
          </c:dPt>
          <c:dPt>
            <c:idx val="8"/>
            <c:bubble3D val="0"/>
            <c:spPr>
              <a:solidFill>
                <a:schemeClr val="accent3">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20-0E18-44E1-9FC9-17E0DD0DF5B4}"/>
              </c:ext>
            </c:extLst>
          </c:dPt>
          <c:dPt>
            <c:idx val="9"/>
            <c:bubble3D val="0"/>
            <c:spPr>
              <a:solidFill>
                <a:schemeClr val="accent4">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22-0E18-44E1-9FC9-17E0DD0DF5B4}"/>
              </c:ext>
            </c:extLst>
          </c:dPt>
          <c:dPt>
            <c:idx val="10"/>
            <c:bubble3D val="0"/>
            <c:spPr>
              <a:solidFill>
                <a:schemeClr val="accent5">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24-0E18-44E1-9FC9-17E0DD0DF5B4}"/>
              </c:ext>
            </c:extLst>
          </c:dPt>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da-DK"/>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'Grafer-klima-&gt;VÆLG GWP og NIR&lt;-'!$B$201:$B$207</c:f>
              <c:strCache>
                <c:ptCount val="7"/>
                <c:pt idx="0">
                  <c:v>Skov</c:v>
                </c:pt>
                <c:pt idx="1">
                  <c:v>Landbrugsjord</c:v>
                </c:pt>
                <c:pt idx="2">
                  <c:v>Permanentgræs</c:v>
                </c:pt>
                <c:pt idx="3">
                  <c:v>Vådområde (periodisk oversvømmet) </c:v>
                </c:pt>
                <c:pt idx="4">
                  <c:v>Vådområde  (sø, å, mv.) </c:v>
                </c:pt>
                <c:pt idx="5">
                  <c:v>Bebyggelse </c:v>
                </c:pt>
                <c:pt idx="6">
                  <c:v>Øvrigt areal</c:v>
                </c:pt>
              </c:strCache>
            </c:strRef>
          </c:cat>
          <c:val>
            <c:numRef>
              <c:f>'Grafer-klima-&gt;VÆLG GWP og NIR&lt;-'!$C$201:$C$207</c:f>
              <c:numCache>
                <c:formatCode>#,##0</c:formatCode>
                <c:ptCount val="7"/>
                <c:pt idx="0">
                  <c:v>3660</c:v>
                </c:pt>
                <c:pt idx="1">
                  <c:v>3188.4375</c:v>
                </c:pt>
                <c:pt idx="2">
                  <c:v>2781.5</c:v>
                </c:pt>
                <c:pt idx="3">
                  <c:v>367.125</c:v>
                </c:pt>
                <c:pt idx="4">
                  <c:v>58.0625</c:v>
                </c:pt>
                <c:pt idx="5">
                  <c:v>1217.1875</c:v>
                </c:pt>
                <c:pt idx="6">
                  <c:v>366.625</c:v>
                </c:pt>
              </c:numCache>
            </c:numRef>
          </c:val>
          <c:extLst>
            <c:ext xmlns:c16="http://schemas.microsoft.com/office/drawing/2014/chart" uri="{C3380CC4-5D6E-409C-BE32-E72D297353CC}">
              <c16:uniqueId val="{00000025-0E18-44E1-9FC9-17E0DD0DF5B4}"/>
            </c:ext>
          </c:extLst>
        </c:ser>
        <c:dLbls>
          <c:dLblPos val="inEnd"/>
          <c:showLegendKey val="0"/>
          <c:showVal val="0"/>
          <c:showCatName val="0"/>
          <c:showSerName val="0"/>
          <c:showPercent val="1"/>
          <c:showBubbleSize val="0"/>
          <c:showLeaderLines val="1"/>
        </c:dLbls>
        <c:firstSliceAng val="0"/>
      </c:pieChart>
    </c:plotArea>
    <c:legend>
      <c:legendPos val="r"/>
      <c:overlay val="0"/>
      <c:spPr>
        <a:solidFill>
          <a:schemeClr val="lt1">
            <a:alpha val="78000"/>
          </a:schemeClr>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0" normalizeH="0" baseline="0">
                <a:solidFill>
                  <a:sysClr val="windowText" lastClr="000000"/>
                </a:solidFill>
                <a:latin typeface="+mn-lt"/>
                <a:ea typeface="+mj-ea"/>
                <a:cs typeface="+mj-cs"/>
              </a:defRPr>
            </a:pPr>
            <a:r>
              <a:rPr lang="da-DK" sz="1400" b="1">
                <a:latin typeface="+mn-lt"/>
              </a:rPr>
              <a:t>2018</a:t>
            </a:r>
          </a:p>
        </c:rich>
      </c:tx>
      <c:overlay val="0"/>
      <c:spPr>
        <a:noFill/>
        <a:ln>
          <a:noFill/>
        </a:ln>
        <a:effectLst/>
      </c:spPr>
      <c:txPr>
        <a:bodyPr rot="0" spcFirstLastPara="1" vertOverflow="ellipsis" vert="horz" wrap="square" anchor="ctr" anchorCtr="1"/>
        <a:lstStyle/>
        <a:p>
          <a:pPr>
            <a:defRPr sz="1400" b="1" i="0" u="none" strike="noStrike" kern="1200" cap="none" spc="0" normalizeH="0" baseline="0">
              <a:solidFill>
                <a:sysClr val="windowText" lastClr="000000"/>
              </a:solidFill>
              <a:latin typeface="+mn-lt"/>
              <a:ea typeface="+mj-ea"/>
              <a:cs typeface="+mj-cs"/>
            </a:defRPr>
          </a:pPr>
          <a:endParaRPr lang="da-DK"/>
        </a:p>
      </c:txPr>
    </c:title>
    <c:autoTitleDeleted val="0"/>
    <c:plotArea>
      <c:layout/>
      <c:barChart>
        <c:barDir val="col"/>
        <c:grouping val="clustered"/>
        <c:varyColors val="0"/>
        <c:ser>
          <c:idx val="0"/>
          <c:order val="0"/>
          <c:tx>
            <c:strRef>
              <c:f>'Grafer-klima-&gt;VÆLG GWP og NIR&lt;-'!$D$262</c:f>
              <c:strCache>
                <c:ptCount val="1"/>
                <c:pt idx="0">
                  <c:v>CO2</c:v>
                </c:pt>
              </c:strCache>
            </c:strRef>
          </c:tx>
          <c:spPr>
            <a:solidFill>
              <a:schemeClr val="accent2"/>
            </a:solidFill>
            <a:ln>
              <a:noFill/>
            </a:ln>
            <a:effectLst/>
          </c:spPr>
          <c:invertIfNegative val="0"/>
          <c:cat>
            <c:strRef>
              <c:f>'Grafer-klima-&gt;VÆLG GWP og NIR&lt;-'!$B$263:$B$264</c:f>
              <c:strCache>
                <c:ptCount val="2"/>
                <c:pt idx="0">
                  <c:v>Drænet organisk jord (skov, landbrug, vedvarende græs) </c:v>
                </c:pt>
                <c:pt idx="1">
                  <c:v>Genoversvømmet areal (landbrug, vedvarende græs) </c:v>
                </c:pt>
              </c:strCache>
            </c:strRef>
          </c:cat>
          <c:val>
            <c:numRef>
              <c:f>'Grafer-klima-&gt;VÆLG GWP og NIR&lt;-'!$D$263:$D$264</c:f>
              <c:numCache>
                <c:formatCode>#,##0</c:formatCode>
                <c:ptCount val="2"/>
                <c:pt idx="0">
                  <c:v>1.494128944306115E-2</c:v>
                </c:pt>
                <c:pt idx="1">
                  <c:v>0</c:v>
                </c:pt>
              </c:numCache>
            </c:numRef>
          </c:val>
          <c:extLst>
            <c:ext xmlns:c16="http://schemas.microsoft.com/office/drawing/2014/chart" uri="{C3380CC4-5D6E-409C-BE32-E72D297353CC}">
              <c16:uniqueId val="{00000000-997A-4D39-B371-73DC6F6D14BD}"/>
            </c:ext>
          </c:extLst>
        </c:ser>
        <c:ser>
          <c:idx val="1"/>
          <c:order val="1"/>
          <c:tx>
            <c:strRef>
              <c:f>'Grafer-klima-&gt;VÆLG GWP og NIR&lt;-'!$E$262</c:f>
              <c:strCache>
                <c:ptCount val="1"/>
                <c:pt idx="0">
                  <c:v>CH4</c:v>
                </c:pt>
              </c:strCache>
            </c:strRef>
          </c:tx>
          <c:spPr>
            <a:solidFill>
              <a:schemeClr val="accent4"/>
            </a:solidFill>
            <a:ln>
              <a:noFill/>
            </a:ln>
            <a:effectLst/>
          </c:spPr>
          <c:invertIfNegative val="0"/>
          <c:cat>
            <c:strRef>
              <c:f>'Grafer-klima-&gt;VÆLG GWP og NIR&lt;-'!$B$263:$B$264</c:f>
              <c:strCache>
                <c:ptCount val="2"/>
                <c:pt idx="0">
                  <c:v>Drænet organisk jord (skov, landbrug, vedvarende græs) </c:v>
                </c:pt>
                <c:pt idx="1">
                  <c:v>Genoversvømmet areal (landbrug, vedvarende græs) </c:v>
                </c:pt>
              </c:strCache>
            </c:strRef>
          </c:cat>
          <c:val>
            <c:numRef>
              <c:f>'Grafer-klima-&gt;VÆLG GWP og NIR&lt;-'!$E$263:$E$264</c:f>
              <c:numCache>
                <c:formatCode>#,##0</c:formatCode>
                <c:ptCount val="2"/>
                <c:pt idx="0">
                  <c:v>3.5786798101869167E-3</c:v>
                </c:pt>
                <c:pt idx="1">
                  <c:v>0</c:v>
                </c:pt>
              </c:numCache>
            </c:numRef>
          </c:val>
          <c:extLst>
            <c:ext xmlns:c16="http://schemas.microsoft.com/office/drawing/2014/chart" uri="{C3380CC4-5D6E-409C-BE32-E72D297353CC}">
              <c16:uniqueId val="{00000001-997A-4D39-B371-73DC6F6D14BD}"/>
            </c:ext>
          </c:extLst>
        </c:ser>
        <c:ser>
          <c:idx val="2"/>
          <c:order val="2"/>
          <c:tx>
            <c:strRef>
              <c:f>'Grafer-klima-&gt;VÆLG GWP og NIR&lt;-'!$F$262</c:f>
              <c:strCache>
                <c:ptCount val="1"/>
                <c:pt idx="0">
                  <c:v>N2O</c:v>
                </c:pt>
              </c:strCache>
            </c:strRef>
          </c:tx>
          <c:spPr>
            <a:solidFill>
              <a:schemeClr val="accent6"/>
            </a:solidFill>
            <a:ln>
              <a:noFill/>
            </a:ln>
            <a:effectLst/>
          </c:spPr>
          <c:invertIfNegative val="0"/>
          <c:cat>
            <c:strRef>
              <c:f>'Grafer-klima-&gt;VÆLG GWP og NIR&lt;-'!$B$263:$B$264</c:f>
              <c:strCache>
                <c:ptCount val="2"/>
                <c:pt idx="0">
                  <c:v>Drænet organisk jord (skov, landbrug, vedvarende græs) </c:v>
                </c:pt>
                <c:pt idx="1">
                  <c:v>Genoversvømmet areal (landbrug, vedvarende græs) </c:v>
                </c:pt>
              </c:strCache>
            </c:strRef>
          </c:cat>
          <c:val>
            <c:numRef>
              <c:f>'Grafer-klima-&gt;VÆLG GWP og NIR&lt;-'!$F$263:$F$264</c:f>
              <c:numCache>
                <c:formatCode>#,##0</c:formatCode>
                <c:ptCount val="2"/>
                <c:pt idx="0">
                  <c:v>0</c:v>
                </c:pt>
                <c:pt idx="1">
                  <c:v>0</c:v>
                </c:pt>
              </c:numCache>
            </c:numRef>
          </c:val>
          <c:extLst>
            <c:ext xmlns:c16="http://schemas.microsoft.com/office/drawing/2014/chart" uri="{C3380CC4-5D6E-409C-BE32-E72D297353CC}">
              <c16:uniqueId val="{00000002-997A-4D39-B371-73DC6F6D14BD}"/>
            </c:ext>
          </c:extLst>
        </c:ser>
        <c:dLbls>
          <c:showLegendKey val="0"/>
          <c:showVal val="0"/>
          <c:showCatName val="0"/>
          <c:showSerName val="0"/>
          <c:showPercent val="0"/>
          <c:showBubbleSize val="0"/>
        </c:dLbls>
        <c:gapWidth val="267"/>
        <c:overlap val="-43"/>
        <c:axId val="675450904"/>
        <c:axId val="675451232"/>
      </c:barChart>
      <c:catAx>
        <c:axId val="675450904"/>
        <c:scaling>
          <c:orientation val="minMax"/>
        </c:scaling>
        <c:delete val="0"/>
        <c:axPos val="b"/>
        <c:majorGridlines>
          <c:spPr>
            <a:ln w="9525" cap="flat" cmpd="sng" algn="ctr">
              <a:solidFill>
                <a:schemeClr val="dk1">
                  <a:shade val="95000"/>
                  <a:satMod val="105000"/>
                </a:schemeClr>
              </a:solidFill>
              <a:prstDash val="solid"/>
              <a:round/>
            </a:ln>
            <a:effectLst/>
          </c:spPr>
        </c:majorGridlines>
        <c:numFmt formatCode="General" sourceLinked="1"/>
        <c:majorTickMark val="none"/>
        <c:minorTickMark val="none"/>
        <c:tickLblPos val="nextTo"/>
        <c:spPr>
          <a:noFill/>
          <a:ln w="9525" cap="flat" cmpd="sng" algn="ctr">
            <a:solidFill>
              <a:schemeClr val="dk1">
                <a:shade val="95000"/>
                <a:satMod val="105000"/>
              </a:schemeClr>
            </a:solidFill>
            <a:prstDash val="solid"/>
            <a:round/>
          </a:ln>
          <a:effectLst/>
        </c:spPr>
        <c:txPr>
          <a:bodyPr rot="-60000000" spcFirstLastPara="1" vertOverflow="ellipsis" vert="horz" wrap="square" anchor="ctr" anchorCtr="1"/>
          <a:lstStyle/>
          <a:p>
            <a:pPr>
              <a:defRPr sz="900" b="0" i="0" u="none" strike="noStrike" kern="1200" cap="none" spc="0" normalizeH="0" baseline="0">
                <a:solidFill>
                  <a:schemeClr val="tx1"/>
                </a:solidFill>
                <a:latin typeface="+mn-lt"/>
                <a:ea typeface="+mn-ea"/>
                <a:cs typeface="+mn-cs"/>
              </a:defRPr>
            </a:pPr>
            <a:endParaRPr lang="da-DK"/>
          </a:p>
        </c:txPr>
        <c:crossAx val="675451232"/>
        <c:crosses val="autoZero"/>
        <c:auto val="1"/>
        <c:lblAlgn val="ctr"/>
        <c:lblOffset val="100"/>
        <c:noMultiLvlLbl val="0"/>
      </c:catAx>
      <c:valAx>
        <c:axId val="675451232"/>
        <c:scaling>
          <c:orientation val="minMax"/>
        </c:scaling>
        <c:delete val="0"/>
        <c:axPos val="l"/>
        <c:majorGridlines>
          <c:spPr>
            <a:ln w="9525" cap="flat" cmpd="sng" algn="ctr">
              <a:solidFill>
                <a:schemeClr val="dk1">
                  <a:shade val="95000"/>
                  <a:satMod val="105000"/>
                </a:schemeClr>
              </a:solidFill>
              <a:prstDash val="solid"/>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da-DK" sz="900" b="0" i="0" u="none" strike="noStrike" baseline="0">
                    <a:effectLst/>
                  </a:rPr>
                  <a:t>Ton CO</a:t>
                </a:r>
                <a:r>
                  <a:rPr lang="da-DK" sz="900" b="0" i="0" u="none" strike="noStrike" baseline="-25000">
                    <a:effectLst/>
                  </a:rPr>
                  <a:t>2</a:t>
                </a:r>
                <a:r>
                  <a:rPr lang="da-DK" sz="900" b="0" i="0" u="none" strike="noStrike" baseline="0">
                    <a:effectLst/>
                  </a:rPr>
                  <a:t>-ækv.</a:t>
                </a:r>
                <a:endParaRPr lang="da-DK"/>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da-DK"/>
            </a:p>
          </c:txPr>
        </c:title>
        <c:numFmt formatCode="#,##0" sourceLinked="1"/>
        <c:majorTickMark val="none"/>
        <c:minorTickMark val="none"/>
        <c:tickLblPos val="nextTo"/>
        <c:spPr>
          <a:noFill/>
          <a:ln w="9525" cap="flat" cmpd="sng" algn="ctr">
            <a:solidFill>
              <a:schemeClr val="dk1">
                <a:shade val="95000"/>
                <a:satMod val="105000"/>
              </a:schemeClr>
            </a:solidFill>
            <a:prstDash val="soli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a-DK"/>
          </a:p>
        </c:txPr>
        <c:crossAx val="675450904"/>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showDLblsOverMax val="0"/>
  </c:chart>
  <c:spPr>
    <a:solidFill>
      <a:schemeClr val="lt1"/>
    </a:solidFill>
    <a:ln w="9525" cap="flat" cmpd="sng" algn="ctr">
      <a:solidFill>
        <a:schemeClr val="tx1"/>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0" normalizeH="0" baseline="0">
                <a:solidFill>
                  <a:sysClr val="windowText" lastClr="000000"/>
                </a:solidFill>
                <a:latin typeface="+mn-lt"/>
                <a:ea typeface="+mj-ea"/>
                <a:cs typeface="+mj-cs"/>
              </a:defRPr>
            </a:pPr>
            <a:r>
              <a:rPr lang="da-DK" sz="1400" b="1">
                <a:latin typeface="+mn-lt"/>
              </a:rPr>
              <a:t>2018</a:t>
            </a:r>
          </a:p>
        </c:rich>
      </c:tx>
      <c:overlay val="0"/>
      <c:spPr>
        <a:noFill/>
        <a:ln>
          <a:noFill/>
        </a:ln>
        <a:effectLst/>
      </c:spPr>
      <c:txPr>
        <a:bodyPr rot="0" spcFirstLastPara="1" vertOverflow="ellipsis" vert="horz" wrap="square" anchor="ctr" anchorCtr="1"/>
        <a:lstStyle/>
        <a:p>
          <a:pPr>
            <a:defRPr sz="1400" b="1" i="0" u="none" strike="noStrike" kern="1200" cap="none" spc="0" normalizeH="0" baseline="0">
              <a:solidFill>
                <a:sysClr val="windowText" lastClr="000000"/>
              </a:solidFill>
              <a:latin typeface="+mn-lt"/>
              <a:ea typeface="+mj-ea"/>
              <a:cs typeface="+mj-cs"/>
            </a:defRPr>
          </a:pPr>
          <a:endParaRPr lang="da-DK"/>
        </a:p>
      </c:txPr>
    </c:title>
    <c:autoTitleDeleted val="0"/>
    <c:plotArea>
      <c:layout/>
      <c:barChart>
        <c:barDir val="col"/>
        <c:grouping val="stacked"/>
        <c:varyColors val="0"/>
        <c:ser>
          <c:idx val="0"/>
          <c:order val="0"/>
          <c:tx>
            <c:strRef>
              <c:f>'Grafer-klima-&gt;VÆLG GWP og NIR&lt;-'!$B$341</c:f>
              <c:strCache>
                <c:ptCount val="1"/>
                <c:pt idx="0">
                  <c:v>Vomgasser</c:v>
                </c:pt>
              </c:strCache>
            </c:strRef>
          </c:tx>
          <c:spPr>
            <a:solidFill>
              <a:schemeClr val="accent1"/>
            </a:solidFill>
            <a:ln>
              <a:noFill/>
            </a:ln>
            <a:effectLst/>
          </c:spPr>
          <c:invertIfNegative val="0"/>
          <c:cat>
            <c:strRef>
              <c:f>'Grafer-klima-&gt;VÆLG GWP og NIR&lt;-'!$C$340:$D$340</c:f>
              <c:strCache>
                <c:ptCount val="2"/>
                <c:pt idx="0">
                  <c:v>Dyrehold</c:v>
                </c:pt>
                <c:pt idx="1">
                  <c:v>Emissions-reducerende teknologi</c:v>
                </c:pt>
              </c:strCache>
            </c:strRef>
          </c:cat>
          <c:val>
            <c:numRef>
              <c:f>'Grafer-klima-&gt;VÆLG GWP og NIR&lt;-'!$C$341:$D$341</c:f>
              <c:numCache>
                <c:formatCode>#,##0</c:formatCode>
                <c:ptCount val="2"/>
                <c:pt idx="0">
                  <c:v>3206.4617754884835</c:v>
                </c:pt>
              </c:numCache>
            </c:numRef>
          </c:val>
          <c:extLst>
            <c:ext xmlns:c16="http://schemas.microsoft.com/office/drawing/2014/chart" uri="{C3380CC4-5D6E-409C-BE32-E72D297353CC}">
              <c16:uniqueId val="{00000000-A263-429F-80A7-4E196CE7BAB6}"/>
            </c:ext>
          </c:extLst>
        </c:ser>
        <c:ser>
          <c:idx val="1"/>
          <c:order val="1"/>
          <c:tx>
            <c:strRef>
              <c:f>'Grafer-klima-&gt;VÆLG GWP og NIR&lt;-'!$B$342</c:f>
              <c:strCache>
                <c:ptCount val="1"/>
                <c:pt idx="0">
                  <c:v>Lattergas fra staldsystemer </c:v>
                </c:pt>
              </c:strCache>
            </c:strRef>
          </c:tx>
          <c:spPr>
            <a:solidFill>
              <a:schemeClr val="accent2"/>
            </a:solidFill>
            <a:ln>
              <a:noFill/>
            </a:ln>
            <a:effectLst/>
          </c:spPr>
          <c:invertIfNegative val="0"/>
          <c:cat>
            <c:strRef>
              <c:f>'Grafer-klima-&gt;VÆLG GWP og NIR&lt;-'!$C$340:$D$340</c:f>
              <c:strCache>
                <c:ptCount val="2"/>
                <c:pt idx="0">
                  <c:v>Dyrehold</c:v>
                </c:pt>
                <c:pt idx="1">
                  <c:v>Emissions-reducerende teknologi</c:v>
                </c:pt>
              </c:strCache>
            </c:strRef>
          </c:cat>
          <c:val>
            <c:numRef>
              <c:f>'Grafer-klima-&gt;VÆLG GWP og NIR&lt;-'!$C$342:$D$342</c:f>
              <c:numCache>
                <c:formatCode>#,##0</c:formatCode>
                <c:ptCount val="2"/>
                <c:pt idx="0">
                  <c:v>1052.1372346081278</c:v>
                </c:pt>
              </c:numCache>
            </c:numRef>
          </c:val>
          <c:extLst>
            <c:ext xmlns:c16="http://schemas.microsoft.com/office/drawing/2014/chart" uri="{C3380CC4-5D6E-409C-BE32-E72D297353CC}">
              <c16:uniqueId val="{00000001-A263-429F-80A7-4E196CE7BAB6}"/>
            </c:ext>
          </c:extLst>
        </c:ser>
        <c:ser>
          <c:idx val="2"/>
          <c:order val="2"/>
          <c:tx>
            <c:strRef>
              <c:f>'Grafer-klima-&gt;VÆLG GWP og NIR&lt;-'!$B$343</c:f>
              <c:strCache>
                <c:ptCount val="1"/>
                <c:pt idx="0">
                  <c:v>Metan fra staldsystemer</c:v>
                </c:pt>
              </c:strCache>
            </c:strRef>
          </c:tx>
          <c:spPr>
            <a:solidFill>
              <a:schemeClr val="accent3"/>
            </a:solidFill>
            <a:ln>
              <a:noFill/>
            </a:ln>
            <a:effectLst/>
          </c:spPr>
          <c:invertIfNegative val="0"/>
          <c:cat>
            <c:strRef>
              <c:f>'Grafer-klima-&gt;VÆLG GWP og NIR&lt;-'!$C$340:$D$340</c:f>
              <c:strCache>
                <c:ptCount val="2"/>
                <c:pt idx="0">
                  <c:v>Dyrehold</c:v>
                </c:pt>
                <c:pt idx="1">
                  <c:v>Emissions-reducerende teknologi</c:v>
                </c:pt>
              </c:strCache>
            </c:strRef>
          </c:cat>
          <c:val>
            <c:numRef>
              <c:f>'Grafer-klima-&gt;VÆLG GWP og NIR&lt;-'!$C$343:$D$343</c:f>
              <c:numCache>
                <c:formatCode>#,##0</c:formatCode>
                <c:ptCount val="2"/>
                <c:pt idx="0">
                  <c:v>4251.4050932437885</c:v>
                </c:pt>
              </c:numCache>
            </c:numRef>
          </c:val>
          <c:extLst>
            <c:ext xmlns:c16="http://schemas.microsoft.com/office/drawing/2014/chart" uri="{C3380CC4-5D6E-409C-BE32-E72D297353CC}">
              <c16:uniqueId val="{00000002-A263-429F-80A7-4E196CE7BAB6}"/>
            </c:ext>
          </c:extLst>
        </c:ser>
        <c:ser>
          <c:idx val="3"/>
          <c:order val="3"/>
          <c:tx>
            <c:strRef>
              <c:f>'Grafer-klima-&gt;VÆLG GWP og NIR&lt;-'!$B$344</c:f>
              <c:strCache>
                <c:ptCount val="1"/>
                <c:pt idx="0">
                  <c:v>Kvæggylle til biogas (reduktion)</c:v>
                </c:pt>
              </c:strCache>
            </c:strRef>
          </c:tx>
          <c:spPr>
            <a:solidFill>
              <a:schemeClr val="accent4"/>
            </a:solidFill>
            <a:ln>
              <a:noFill/>
            </a:ln>
            <a:effectLst/>
          </c:spPr>
          <c:invertIfNegative val="0"/>
          <c:cat>
            <c:strRef>
              <c:f>'Grafer-klima-&gt;VÆLG GWP og NIR&lt;-'!$C$340:$D$340</c:f>
              <c:strCache>
                <c:ptCount val="2"/>
                <c:pt idx="0">
                  <c:v>Dyrehold</c:v>
                </c:pt>
                <c:pt idx="1">
                  <c:v>Emissions-reducerende teknologi</c:v>
                </c:pt>
              </c:strCache>
            </c:strRef>
          </c:cat>
          <c:val>
            <c:numRef>
              <c:f>'Grafer-klima-&gt;VÆLG GWP og NIR&lt;-'!$C$344:$D$344</c:f>
              <c:numCache>
                <c:formatCode>#,##0</c:formatCode>
                <c:ptCount val="2"/>
                <c:pt idx="1">
                  <c:v>0</c:v>
                </c:pt>
              </c:numCache>
            </c:numRef>
          </c:val>
          <c:extLst>
            <c:ext xmlns:c16="http://schemas.microsoft.com/office/drawing/2014/chart" uri="{C3380CC4-5D6E-409C-BE32-E72D297353CC}">
              <c16:uniqueId val="{00000003-A263-429F-80A7-4E196CE7BAB6}"/>
            </c:ext>
          </c:extLst>
        </c:ser>
        <c:ser>
          <c:idx val="4"/>
          <c:order val="4"/>
          <c:tx>
            <c:strRef>
              <c:f>'Grafer-klima-&gt;VÆLG GWP og NIR&lt;-'!$B$345</c:f>
              <c:strCache>
                <c:ptCount val="1"/>
                <c:pt idx="0">
                  <c:v>Svinegylle til biogas (reduktion) </c:v>
                </c:pt>
              </c:strCache>
            </c:strRef>
          </c:tx>
          <c:spPr>
            <a:solidFill>
              <a:schemeClr val="accent5"/>
            </a:solidFill>
            <a:ln>
              <a:noFill/>
            </a:ln>
            <a:effectLst/>
          </c:spPr>
          <c:invertIfNegative val="0"/>
          <c:cat>
            <c:strRef>
              <c:f>'Grafer-klima-&gt;VÆLG GWP og NIR&lt;-'!$C$340:$D$340</c:f>
              <c:strCache>
                <c:ptCount val="2"/>
                <c:pt idx="0">
                  <c:v>Dyrehold</c:v>
                </c:pt>
                <c:pt idx="1">
                  <c:v>Emissions-reducerende teknologi</c:v>
                </c:pt>
              </c:strCache>
            </c:strRef>
          </c:cat>
          <c:val>
            <c:numRef>
              <c:f>'Grafer-klima-&gt;VÆLG GWP og NIR&lt;-'!$C$345:$D$345</c:f>
              <c:numCache>
                <c:formatCode>#,##0</c:formatCode>
                <c:ptCount val="2"/>
                <c:pt idx="1">
                  <c:v>0</c:v>
                </c:pt>
              </c:numCache>
            </c:numRef>
          </c:val>
          <c:extLst>
            <c:ext xmlns:c16="http://schemas.microsoft.com/office/drawing/2014/chart" uri="{C3380CC4-5D6E-409C-BE32-E72D297353CC}">
              <c16:uniqueId val="{00000004-A263-429F-80A7-4E196CE7BAB6}"/>
            </c:ext>
          </c:extLst>
        </c:ser>
        <c:dLbls>
          <c:showLegendKey val="0"/>
          <c:showVal val="0"/>
          <c:showCatName val="0"/>
          <c:showSerName val="0"/>
          <c:showPercent val="0"/>
          <c:showBubbleSize val="0"/>
        </c:dLbls>
        <c:gapWidth val="150"/>
        <c:overlap val="100"/>
        <c:axId val="698063720"/>
        <c:axId val="698065688"/>
        <c:extLst>
          <c:ext xmlns:c15="http://schemas.microsoft.com/office/drawing/2012/chart" uri="{02D57815-91ED-43cb-92C2-25804820EDAC}">
            <c15:filteredBarSeries>
              <c15:ser>
                <c:idx val="5"/>
                <c:order val="5"/>
                <c:tx>
                  <c:strRef>
                    <c:extLst>
                      <c:ext uri="{02D57815-91ED-43cb-92C2-25804820EDAC}">
                        <c15:formulaRef>
                          <c15:sqref>'Grafer-klima-&gt;VÆLG GWP og NIR&lt;-'!#REF!</c15:sqref>
                        </c15:formulaRef>
                      </c:ext>
                    </c:extLst>
                    <c:strCache>
                      <c:ptCount val="1"/>
                      <c:pt idx="0">
                        <c:v>#REF!</c:v>
                      </c:pt>
                    </c:strCache>
                  </c:strRef>
                </c:tx>
                <c:spPr>
                  <a:solidFill>
                    <a:schemeClr val="accent6"/>
                  </a:solidFill>
                  <a:ln>
                    <a:noFill/>
                  </a:ln>
                  <a:effectLst/>
                </c:spPr>
                <c:invertIfNegative val="0"/>
                <c:cat>
                  <c:strRef>
                    <c:extLst>
                      <c:ext uri="{02D57815-91ED-43cb-92C2-25804820EDAC}">
                        <c15:formulaRef>
                          <c15:sqref>'Grafer-klima-&gt;VÆLG GWP og NIR&lt;-'!$C$340:$D$340</c15:sqref>
                        </c15:formulaRef>
                      </c:ext>
                    </c:extLst>
                    <c:strCache>
                      <c:ptCount val="2"/>
                      <c:pt idx="0">
                        <c:v>Dyrehold</c:v>
                      </c:pt>
                      <c:pt idx="1">
                        <c:v>Emissions-reducerende teknologi</c:v>
                      </c:pt>
                    </c:strCache>
                  </c:strRef>
                </c:cat>
                <c:val>
                  <c:numRef>
                    <c:extLst>
                      <c:ext uri="{02D57815-91ED-43cb-92C2-25804820EDAC}">
                        <c15:formulaRef>
                          <c15:sqref>'Grafer-klima-&gt;VÆLG GWP og NIR&lt;-'!#REF!</c15:sqref>
                        </c15:formulaRef>
                      </c:ext>
                    </c:extLst>
                    <c:numCache>
                      <c:formatCode>General</c:formatCode>
                      <c:ptCount val="1"/>
                      <c:pt idx="0">
                        <c:v>1</c:v>
                      </c:pt>
                    </c:numCache>
                  </c:numRef>
                </c:val>
                <c:extLst>
                  <c:ext xmlns:c16="http://schemas.microsoft.com/office/drawing/2014/chart" uri="{C3380CC4-5D6E-409C-BE32-E72D297353CC}">
                    <c16:uniqueId val="{00000005-A263-429F-80A7-4E196CE7BAB6}"/>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'Grafer-klima-&gt;VÆLG GWP og NIR&lt;-'!#REF!</c15:sqref>
                        </c15:formulaRef>
                      </c:ext>
                    </c:extLst>
                    <c:strCache>
                      <c:ptCount val="1"/>
                      <c:pt idx="0">
                        <c:v>#REF!</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'Grafer-klima-&gt;VÆLG GWP og NIR&lt;-'!$C$340:$D$340</c15:sqref>
                        </c15:formulaRef>
                      </c:ext>
                    </c:extLst>
                    <c:strCache>
                      <c:ptCount val="2"/>
                      <c:pt idx="0">
                        <c:v>Dyrehold</c:v>
                      </c:pt>
                      <c:pt idx="1">
                        <c:v>Emissions-reducerende teknologi</c:v>
                      </c:pt>
                    </c:strCache>
                  </c:strRef>
                </c:cat>
                <c:val>
                  <c:numRef>
                    <c:extLst xmlns:c15="http://schemas.microsoft.com/office/drawing/2012/chart">
                      <c:ext xmlns:c15="http://schemas.microsoft.com/office/drawing/2012/chart" uri="{02D57815-91ED-43cb-92C2-25804820EDAC}">
                        <c15:formulaRef>
                          <c15:sqref>'Grafer-klima-&gt;VÆLG GWP og NIR&lt;-'!#REF!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A263-429F-80A7-4E196CE7BAB6}"/>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'Grafer-klima-&gt;VÆLG GWP og NIR&lt;-'!#REF!</c15:sqref>
                        </c15:formulaRef>
                      </c:ext>
                    </c:extLst>
                    <c:strCache>
                      <c:ptCount val="1"/>
                      <c:pt idx="0">
                        <c:v>#REF!</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'Grafer-klima-&gt;VÆLG GWP og NIR&lt;-'!$C$340:$D$340</c15:sqref>
                        </c15:formulaRef>
                      </c:ext>
                    </c:extLst>
                    <c:strCache>
                      <c:ptCount val="2"/>
                      <c:pt idx="0">
                        <c:v>Dyrehold</c:v>
                      </c:pt>
                      <c:pt idx="1">
                        <c:v>Emissions-reducerende teknologi</c:v>
                      </c:pt>
                    </c:strCache>
                  </c:strRef>
                </c:cat>
                <c:val>
                  <c:numRef>
                    <c:extLst xmlns:c15="http://schemas.microsoft.com/office/drawing/2012/chart">
                      <c:ext xmlns:c15="http://schemas.microsoft.com/office/drawing/2012/chart" uri="{02D57815-91ED-43cb-92C2-25804820EDAC}">
                        <c15:formulaRef>
                          <c15:sqref>'Grafer-klima-&gt;VÆLG GWP og NIR&lt;-'!#REF!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A263-429F-80A7-4E196CE7BAB6}"/>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'Grafer-klima-&gt;VÆLG GWP og NIR&lt;-'!#REF!</c15:sqref>
                        </c15:formulaRef>
                      </c:ext>
                    </c:extLst>
                    <c:strCache>
                      <c:ptCount val="1"/>
                      <c:pt idx="0">
                        <c:v>#REF!</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'Grafer-klima-&gt;VÆLG GWP og NIR&lt;-'!$C$340:$D$340</c15:sqref>
                        </c15:formulaRef>
                      </c:ext>
                    </c:extLst>
                    <c:strCache>
                      <c:ptCount val="2"/>
                      <c:pt idx="0">
                        <c:v>Dyrehold</c:v>
                      </c:pt>
                      <c:pt idx="1">
                        <c:v>Emissions-reducerende teknologi</c:v>
                      </c:pt>
                    </c:strCache>
                  </c:strRef>
                </c:cat>
                <c:val>
                  <c:numRef>
                    <c:extLst xmlns:c15="http://schemas.microsoft.com/office/drawing/2012/chart">
                      <c:ext xmlns:c15="http://schemas.microsoft.com/office/drawing/2012/chart" uri="{02D57815-91ED-43cb-92C2-25804820EDAC}">
                        <c15:formulaRef>
                          <c15:sqref>'Grafer-klima-&gt;VÆLG GWP og NIR&lt;-'!#REF!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8-A263-429F-80A7-4E196CE7BAB6}"/>
                  </c:ext>
                </c:extLst>
              </c15:ser>
            </c15:filteredBarSeries>
          </c:ext>
        </c:extLst>
      </c:barChart>
      <c:catAx>
        <c:axId val="698063720"/>
        <c:scaling>
          <c:orientation val="minMax"/>
        </c:scaling>
        <c:delete val="0"/>
        <c:axPos val="b"/>
        <c:majorGridlines>
          <c:spPr>
            <a:ln w="9525" cap="flat" cmpd="sng" algn="ctr">
              <a:solidFill>
                <a:schemeClr val="dk1">
                  <a:shade val="95000"/>
                  <a:satMod val="105000"/>
                </a:schemeClr>
              </a:solidFill>
              <a:prstDash val="solid"/>
              <a:round/>
            </a:ln>
            <a:effectLst/>
          </c:spPr>
        </c:majorGridlines>
        <c:numFmt formatCode="General" sourceLinked="1"/>
        <c:majorTickMark val="none"/>
        <c:minorTickMark val="none"/>
        <c:tickLblPos val="nextTo"/>
        <c:spPr>
          <a:noFill/>
          <a:ln w="9525" cap="flat" cmpd="sng" algn="ctr">
            <a:solidFill>
              <a:schemeClr val="dk1">
                <a:shade val="95000"/>
                <a:satMod val="105000"/>
              </a:schemeClr>
            </a:solidFill>
            <a:prstDash val="solid"/>
            <a:round/>
          </a:ln>
          <a:effectLst/>
        </c:spPr>
        <c:txPr>
          <a:bodyPr rot="-60000000" spcFirstLastPara="1" vertOverflow="ellipsis" vert="horz" wrap="square" anchor="ctr" anchorCtr="1"/>
          <a:lstStyle/>
          <a:p>
            <a:pPr>
              <a:defRPr sz="900" b="0" i="0" u="none" strike="noStrike" kern="1200" cap="none" spc="0" normalizeH="0" baseline="0">
                <a:solidFill>
                  <a:schemeClr val="tx1"/>
                </a:solidFill>
                <a:latin typeface="+mn-lt"/>
                <a:ea typeface="+mn-ea"/>
                <a:cs typeface="+mn-cs"/>
              </a:defRPr>
            </a:pPr>
            <a:endParaRPr lang="da-DK"/>
          </a:p>
        </c:txPr>
        <c:crossAx val="698065688"/>
        <c:crosses val="autoZero"/>
        <c:auto val="1"/>
        <c:lblAlgn val="ctr"/>
        <c:lblOffset val="100"/>
        <c:noMultiLvlLbl val="0"/>
      </c:catAx>
      <c:valAx>
        <c:axId val="698065688"/>
        <c:scaling>
          <c:orientation val="minMax"/>
        </c:scaling>
        <c:delete val="0"/>
        <c:axPos val="l"/>
        <c:majorGridlines>
          <c:spPr>
            <a:ln w="9525" cap="flat" cmpd="sng" algn="ctr">
              <a:solidFill>
                <a:schemeClr val="dk1">
                  <a:shade val="95000"/>
                  <a:satMod val="105000"/>
                </a:schemeClr>
              </a:solidFill>
              <a:prstDash val="solid"/>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da-DK" sz="900" b="0" i="0" u="none" strike="noStrike" baseline="0">
                    <a:effectLst/>
                  </a:rPr>
                  <a:t>Ton CO</a:t>
                </a:r>
                <a:r>
                  <a:rPr lang="da-DK" sz="900" b="0" i="0" u="none" strike="noStrike" baseline="-25000">
                    <a:effectLst/>
                  </a:rPr>
                  <a:t>2</a:t>
                </a:r>
                <a:r>
                  <a:rPr lang="da-DK" sz="900" b="0" i="0" u="none" strike="noStrike" baseline="0">
                    <a:effectLst/>
                  </a:rPr>
                  <a:t>-ækv.</a:t>
                </a:r>
                <a:endParaRPr lang="da-DK"/>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da-DK"/>
            </a:p>
          </c:txPr>
        </c:title>
        <c:numFmt formatCode="#,##0" sourceLinked="1"/>
        <c:majorTickMark val="none"/>
        <c:minorTickMark val="none"/>
        <c:tickLblPos val="nextTo"/>
        <c:spPr>
          <a:noFill/>
          <a:ln w="9525" cap="flat" cmpd="sng" algn="ctr">
            <a:solidFill>
              <a:schemeClr val="dk1">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a-DK"/>
          </a:p>
        </c:txPr>
        <c:crossAx val="698063720"/>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showDLblsOverMax val="0"/>
  </c:chart>
  <c:spPr>
    <a:solidFill>
      <a:schemeClr val="lt1"/>
    </a:solidFill>
    <a:ln w="9525" cap="flat" cmpd="sng" algn="ctr">
      <a:solidFill>
        <a:sysClr val="windowText" lastClr="000000"/>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ysClr val="windowText" lastClr="000000"/>
                </a:solidFill>
                <a:latin typeface="+mn-lt"/>
                <a:ea typeface="+mj-ea"/>
                <a:cs typeface="+mj-cs"/>
              </a:defRPr>
            </a:pPr>
            <a:r>
              <a:rPr lang="da-DK" sz="1600" b="1">
                <a:latin typeface="+mn-lt"/>
              </a:rPr>
              <a:t>2018</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ysClr val="windowText" lastClr="000000"/>
              </a:solidFill>
              <a:latin typeface="+mn-lt"/>
              <a:ea typeface="+mj-ea"/>
              <a:cs typeface="+mj-cs"/>
            </a:defRPr>
          </a:pPr>
          <a:endParaRPr lang="da-DK"/>
        </a:p>
      </c:txPr>
    </c:title>
    <c:autoTitleDeleted val="0"/>
    <c:plotArea>
      <c:layout/>
      <c:barChart>
        <c:barDir val="col"/>
        <c:grouping val="stacked"/>
        <c:varyColors val="0"/>
        <c:ser>
          <c:idx val="0"/>
          <c:order val="0"/>
          <c:tx>
            <c:strRef>
              <c:f>'Grafer-klima-&gt;VÆLG GWP og NIR&lt;-'!$B$446</c:f>
              <c:strCache>
                <c:ptCount val="1"/>
                <c:pt idx="0">
                  <c:v>Afgrøderester</c:v>
                </c:pt>
              </c:strCache>
            </c:strRef>
          </c:tx>
          <c:spPr>
            <a:solidFill>
              <a:schemeClr val="accent1"/>
            </a:solidFill>
            <a:ln>
              <a:noFill/>
            </a:ln>
            <a:effectLst/>
          </c:spPr>
          <c:invertIfNegative val="0"/>
          <c:cat>
            <c:strRef>
              <c:f>'Grafer-klima-&gt;VÆLG GWP og NIR&lt;-'!$C$445:$D$445</c:f>
              <c:strCache>
                <c:ptCount val="2"/>
                <c:pt idx="0">
                  <c:v>Planteavl emission </c:v>
                </c:pt>
                <c:pt idx="1">
                  <c:v>Emissions-reducerende tiltag</c:v>
                </c:pt>
              </c:strCache>
            </c:strRef>
          </c:cat>
          <c:val>
            <c:numRef>
              <c:f>'Grafer-klima-&gt;VÆLG GWP og NIR&lt;-'!$C$446:$D$446</c:f>
              <c:numCache>
                <c:formatCode>#,##0</c:formatCode>
                <c:ptCount val="2"/>
                <c:pt idx="0">
                  <c:v>552.32273515994621</c:v>
                </c:pt>
              </c:numCache>
            </c:numRef>
          </c:val>
          <c:extLst>
            <c:ext xmlns:c16="http://schemas.microsoft.com/office/drawing/2014/chart" uri="{C3380CC4-5D6E-409C-BE32-E72D297353CC}">
              <c16:uniqueId val="{00000000-CBFF-46A0-BAC8-88ACFFA32039}"/>
            </c:ext>
          </c:extLst>
        </c:ser>
        <c:ser>
          <c:idx val="1"/>
          <c:order val="1"/>
          <c:tx>
            <c:strRef>
              <c:f>'Grafer-klima-&gt;VÆLG GWP og NIR&lt;-'!$B$447</c:f>
              <c:strCache>
                <c:ptCount val="1"/>
                <c:pt idx="0">
                  <c:v>Efter- og mellemafgrøder</c:v>
                </c:pt>
              </c:strCache>
            </c:strRef>
          </c:tx>
          <c:spPr>
            <a:solidFill>
              <a:schemeClr val="accent2"/>
            </a:solidFill>
            <a:ln>
              <a:noFill/>
            </a:ln>
            <a:effectLst/>
          </c:spPr>
          <c:invertIfNegative val="0"/>
          <c:cat>
            <c:strRef>
              <c:f>'Grafer-klima-&gt;VÆLG GWP og NIR&lt;-'!$C$445:$D$445</c:f>
              <c:strCache>
                <c:ptCount val="2"/>
                <c:pt idx="0">
                  <c:v>Planteavl emission </c:v>
                </c:pt>
                <c:pt idx="1">
                  <c:v>Emissions-reducerende tiltag</c:v>
                </c:pt>
              </c:strCache>
            </c:strRef>
          </c:cat>
          <c:val>
            <c:numRef>
              <c:f>'Grafer-klima-&gt;VÆLG GWP og NIR&lt;-'!$C$447:$D$447</c:f>
              <c:numCache>
                <c:formatCode>#,##0</c:formatCode>
                <c:ptCount val="2"/>
                <c:pt idx="1">
                  <c:v>-7.9939500000000008</c:v>
                </c:pt>
              </c:numCache>
            </c:numRef>
          </c:val>
          <c:extLst>
            <c:ext xmlns:c16="http://schemas.microsoft.com/office/drawing/2014/chart" uri="{C3380CC4-5D6E-409C-BE32-E72D297353CC}">
              <c16:uniqueId val="{00000001-CBFF-46A0-BAC8-88ACFFA32039}"/>
            </c:ext>
          </c:extLst>
        </c:ser>
        <c:ser>
          <c:idx val="2"/>
          <c:order val="2"/>
          <c:tx>
            <c:strRef>
              <c:f>'Grafer-klima-&gt;VÆLG GWP og NIR&lt;-'!$B$448</c:f>
              <c:strCache>
                <c:ptCount val="1"/>
                <c:pt idx="0">
                  <c:v>Organisk jorde (humus, jord)</c:v>
                </c:pt>
              </c:strCache>
            </c:strRef>
          </c:tx>
          <c:spPr>
            <a:solidFill>
              <a:schemeClr val="accent3"/>
            </a:solidFill>
            <a:ln>
              <a:noFill/>
            </a:ln>
            <a:effectLst/>
          </c:spPr>
          <c:invertIfNegative val="0"/>
          <c:cat>
            <c:strRef>
              <c:f>'Grafer-klima-&gt;VÆLG GWP og NIR&lt;-'!$C$445:$D$445</c:f>
              <c:strCache>
                <c:ptCount val="2"/>
                <c:pt idx="0">
                  <c:v>Planteavl emission </c:v>
                </c:pt>
                <c:pt idx="1">
                  <c:v>Emissions-reducerende tiltag</c:v>
                </c:pt>
              </c:strCache>
            </c:strRef>
          </c:cat>
          <c:val>
            <c:numRef>
              <c:f>'Grafer-klima-&gt;VÆLG GWP og NIR&lt;-'!$C$448:$D$448</c:f>
              <c:numCache>
                <c:formatCode>#,##0</c:formatCode>
                <c:ptCount val="2"/>
                <c:pt idx="0">
                  <c:v>9.272057142857143E-2</c:v>
                </c:pt>
              </c:numCache>
            </c:numRef>
          </c:val>
          <c:extLst>
            <c:ext xmlns:c16="http://schemas.microsoft.com/office/drawing/2014/chart" uri="{C3380CC4-5D6E-409C-BE32-E72D297353CC}">
              <c16:uniqueId val="{00000002-CBFF-46A0-BAC8-88ACFFA32039}"/>
            </c:ext>
          </c:extLst>
        </c:ser>
        <c:ser>
          <c:idx val="3"/>
          <c:order val="3"/>
          <c:tx>
            <c:strRef>
              <c:f>'Grafer-klima-&gt;VÆLG GWP og NIR&lt;-'!$B$449</c:f>
              <c:strCache>
                <c:ptCount val="1"/>
                <c:pt idx="0">
                  <c:v>Halm fjernet fra mark </c:v>
                </c:pt>
              </c:strCache>
            </c:strRef>
          </c:tx>
          <c:spPr>
            <a:solidFill>
              <a:schemeClr val="accent4"/>
            </a:solidFill>
            <a:ln>
              <a:noFill/>
            </a:ln>
            <a:effectLst/>
          </c:spPr>
          <c:invertIfNegative val="0"/>
          <c:cat>
            <c:strRef>
              <c:f>'Grafer-klima-&gt;VÆLG GWP og NIR&lt;-'!$C$445:$D$445</c:f>
              <c:strCache>
                <c:ptCount val="2"/>
                <c:pt idx="0">
                  <c:v>Planteavl emission </c:v>
                </c:pt>
                <c:pt idx="1">
                  <c:v>Emissions-reducerende tiltag</c:v>
                </c:pt>
              </c:strCache>
            </c:strRef>
          </c:cat>
          <c:val>
            <c:numRef>
              <c:f>'Grafer-klima-&gt;VÆLG GWP og NIR&lt;-'!$C$449:$D$449</c:f>
              <c:numCache>
                <c:formatCode>#,##0</c:formatCode>
                <c:ptCount val="2"/>
                <c:pt idx="1">
                  <c:v>-53.67258899119544</c:v>
                </c:pt>
              </c:numCache>
            </c:numRef>
          </c:val>
          <c:extLst>
            <c:ext xmlns:c16="http://schemas.microsoft.com/office/drawing/2014/chart" uri="{C3380CC4-5D6E-409C-BE32-E72D297353CC}">
              <c16:uniqueId val="{00000003-CBFF-46A0-BAC8-88ACFFA32039}"/>
            </c:ext>
          </c:extLst>
        </c:ser>
        <c:ser>
          <c:idx val="4"/>
          <c:order val="4"/>
          <c:tx>
            <c:strRef>
              <c:f>'Grafer-klima-&gt;VÆLG GWP og NIR&lt;-'!$B$450</c:f>
              <c:strCache>
                <c:ptCount val="1"/>
                <c:pt idx="0">
                  <c:v>Jord, Mineralisering</c:v>
                </c:pt>
              </c:strCache>
            </c:strRef>
          </c:tx>
          <c:spPr>
            <a:solidFill>
              <a:schemeClr val="accent5"/>
            </a:solidFill>
            <a:ln>
              <a:noFill/>
            </a:ln>
            <a:effectLst/>
          </c:spPr>
          <c:invertIfNegative val="0"/>
          <c:cat>
            <c:strRef>
              <c:f>'Grafer-klima-&gt;VÆLG GWP og NIR&lt;-'!$C$445:$D$445</c:f>
              <c:strCache>
                <c:ptCount val="2"/>
                <c:pt idx="0">
                  <c:v>Planteavl emission </c:v>
                </c:pt>
                <c:pt idx="1">
                  <c:v>Emissions-reducerende tiltag</c:v>
                </c:pt>
              </c:strCache>
            </c:strRef>
          </c:cat>
          <c:val>
            <c:numRef>
              <c:f>'Grafer-klima-&gt;VÆLG GWP og NIR&lt;-'!$C$450:$D$450</c:f>
              <c:numCache>
                <c:formatCode>#,##0</c:formatCode>
                <c:ptCount val="2"/>
                <c:pt idx="0">
                  <c:v>107.64871556872481</c:v>
                </c:pt>
              </c:numCache>
            </c:numRef>
          </c:val>
          <c:extLst>
            <c:ext xmlns:c16="http://schemas.microsoft.com/office/drawing/2014/chart" uri="{C3380CC4-5D6E-409C-BE32-E72D297353CC}">
              <c16:uniqueId val="{00000004-CBFF-46A0-BAC8-88ACFFA32039}"/>
            </c:ext>
          </c:extLst>
        </c:ser>
        <c:ser>
          <c:idx val="5"/>
          <c:order val="5"/>
          <c:tx>
            <c:strRef>
              <c:f>'Grafer-klima-&gt;VÆLG GWP og NIR&lt;-'!$B$451</c:f>
              <c:strCache>
                <c:ptCount val="1"/>
                <c:pt idx="0">
                  <c:v>Gødningstildeling, handelsgødning</c:v>
                </c:pt>
              </c:strCache>
            </c:strRef>
          </c:tx>
          <c:spPr>
            <a:solidFill>
              <a:schemeClr val="accent6"/>
            </a:solidFill>
            <a:ln>
              <a:noFill/>
            </a:ln>
            <a:effectLst/>
          </c:spPr>
          <c:invertIfNegative val="0"/>
          <c:cat>
            <c:strRef>
              <c:f>'Grafer-klima-&gt;VÆLG GWP og NIR&lt;-'!$C$445:$D$445</c:f>
              <c:strCache>
                <c:ptCount val="2"/>
                <c:pt idx="0">
                  <c:v>Planteavl emission </c:v>
                </c:pt>
                <c:pt idx="1">
                  <c:v>Emissions-reducerende tiltag</c:v>
                </c:pt>
              </c:strCache>
            </c:strRef>
          </c:cat>
          <c:val>
            <c:numRef>
              <c:f>'Grafer-klima-&gt;VÆLG GWP og NIR&lt;-'!$C$451:$D$451</c:f>
              <c:numCache>
                <c:formatCode>#,##0</c:formatCode>
                <c:ptCount val="2"/>
                <c:pt idx="0">
                  <c:v>1437.1571031714291</c:v>
                </c:pt>
              </c:numCache>
            </c:numRef>
          </c:val>
          <c:extLst>
            <c:ext xmlns:c16="http://schemas.microsoft.com/office/drawing/2014/chart" uri="{C3380CC4-5D6E-409C-BE32-E72D297353CC}">
              <c16:uniqueId val="{00000005-CBFF-46A0-BAC8-88ACFFA32039}"/>
            </c:ext>
          </c:extLst>
        </c:ser>
        <c:ser>
          <c:idx val="6"/>
          <c:order val="6"/>
          <c:tx>
            <c:strRef>
              <c:f>'Grafer-klima-&gt;VÆLG GWP og NIR&lt;-'!$B$452</c:f>
              <c:strCache>
                <c:ptCount val="1"/>
                <c:pt idx="0">
                  <c:v>Gødningstildeling, organsik gødning</c:v>
                </c:pt>
              </c:strCache>
            </c:strRef>
          </c:tx>
          <c:spPr>
            <a:solidFill>
              <a:schemeClr val="accent1">
                <a:lumMod val="60000"/>
              </a:schemeClr>
            </a:solidFill>
            <a:ln>
              <a:noFill/>
            </a:ln>
            <a:effectLst/>
          </c:spPr>
          <c:invertIfNegative val="0"/>
          <c:cat>
            <c:strRef>
              <c:f>'Grafer-klima-&gt;VÆLG GWP og NIR&lt;-'!$C$445:$D$445</c:f>
              <c:strCache>
                <c:ptCount val="2"/>
                <c:pt idx="0">
                  <c:v>Planteavl emission </c:v>
                </c:pt>
                <c:pt idx="1">
                  <c:v>Emissions-reducerende tiltag</c:v>
                </c:pt>
              </c:strCache>
            </c:strRef>
          </c:cat>
          <c:val>
            <c:numRef>
              <c:f>'Grafer-klima-&gt;VÆLG GWP og NIR&lt;-'!$C$452:$D$452</c:f>
              <c:numCache>
                <c:formatCode>#,##0</c:formatCode>
                <c:ptCount val="2"/>
                <c:pt idx="0">
                  <c:v>780.97984737142849</c:v>
                </c:pt>
              </c:numCache>
            </c:numRef>
          </c:val>
          <c:extLst>
            <c:ext xmlns:c16="http://schemas.microsoft.com/office/drawing/2014/chart" uri="{C3380CC4-5D6E-409C-BE32-E72D297353CC}">
              <c16:uniqueId val="{00000006-CBFF-46A0-BAC8-88ACFFA32039}"/>
            </c:ext>
          </c:extLst>
        </c:ser>
        <c:ser>
          <c:idx val="7"/>
          <c:order val="7"/>
          <c:tx>
            <c:strRef>
              <c:f>'Grafer-klima-&gt;VÆLG GWP og NIR&lt;-'!$B$453</c:f>
              <c:strCache>
                <c:ptCount val="1"/>
                <c:pt idx="0">
                  <c:v>Gødningstildeling, dyr på græs</c:v>
                </c:pt>
              </c:strCache>
            </c:strRef>
          </c:tx>
          <c:spPr>
            <a:solidFill>
              <a:schemeClr val="accent2">
                <a:lumMod val="60000"/>
              </a:schemeClr>
            </a:solidFill>
            <a:ln>
              <a:noFill/>
            </a:ln>
            <a:effectLst/>
          </c:spPr>
          <c:invertIfNegative val="0"/>
          <c:cat>
            <c:strRef>
              <c:f>'Grafer-klima-&gt;VÆLG GWP og NIR&lt;-'!$C$445:$D$445</c:f>
              <c:strCache>
                <c:ptCount val="2"/>
                <c:pt idx="0">
                  <c:v>Planteavl emission </c:v>
                </c:pt>
                <c:pt idx="1">
                  <c:v>Emissions-reducerende tiltag</c:v>
                </c:pt>
              </c:strCache>
            </c:strRef>
          </c:cat>
          <c:val>
            <c:numRef>
              <c:f>'Grafer-klima-&gt;VÆLG GWP og NIR&lt;-'!$C$453:$D$453</c:f>
              <c:numCache>
                <c:formatCode>#,##0</c:formatCode>
                <c:ptCount val="2"/>
                <c:pt idx="0">
                  <c:v>252.63901164234568</c:v>
                </c:pt>
              </c:numCache>
            </c:numRef>
          </c:val>
          <c:extLst>
            <c:ext xmlns:c16="http://schemas.microsoft.com/office/drawing/2014/chart" uri="{C3380CC4-5D6E-409C-BE32-E72D297353CC}">
              <c16:uniqueId val="{00000007-CBFF-46A0-BAC8-88ACFFA32039}"/>
            </c:ext>
          </c:extLst>
        </c:ser>
        <c:ser>
          <c:idx val="8"/>
          <c:order val="8"/>
          <c:tx>
            <c:strRef>
              <c:f>'Grafer-klima-&gt;VÆLG GWP og NIR&lt;-'!$B$454</c:f>
              <c:strCache>
                <c:ptCount val="1"/>
                <c:pt idx="0">
                  <c:v>Fordampning</c:v>
                </c:pt>
              </c:strCache>
            </c:strRef>
          </c:tx>
          <c:spPr>
            <a:solidFill>
              <a:schemeClr val="accent3">
                <a:lumMod val="60000"/>
              </a:schemeClr>
            </a:solidFill>
            <a:ln>
              <a:noFill/>
            </a:ln>
            <a:effectLst/>
          </c:spPr>
          <c:invertIfNegative val="0"/>
          <c:cat>
            <c:strRef>
              <c:f>'Grafer-klima-&gt;VÆLG GWP og NIR&lt;-'!$C$445:$D$445</c:f>
              <c:strCache>
                <c:ptCount val="2"/>
                <c:pt idx="0">
                  <c:v>Planteavl emission </c:v>
                </c:pt>
                <c:pt idx="1">
                  <c:v>Emissions-reducerende tiltag</c:v>
                </c:pt>
              </c:strCache>
            </c:strRef>
          </c:cat>
          <c:val>
            <c:numRef>
              <c:f>'Grafer-klima-&gt;VÆLG GWP og NIR&lt;-'!$C$454:$D$454</c:f>
              <c:numCache>
                <c:formatCode>#,##0</c:formatCode>
                <c:ptCount val="2"/>
                <c:pt idx="0">
                  <c:v>176.73493836362195</c:v>
                </c:pt>
              </c:numCache>
            </c:numRef>
          </c:val>
          <c:extLst>
            <c:ext xmlns:c16="http://schemas.microsoft.com/office/drawing/2014/chart" uri="{C3380CC4-5D6E-409C-BE32-E72D297353CC}">
              <c16:uniqueId val="{00000008-CBFF-46A0-BAC8-88ACFFA32039}"/>
            </c:ext>
          </c:extLst>
        </c:ser>
        <c:ser>
          <c:idx val="9"/>
          <c:order val="9"/>
          <c:tx>
            <c:strRef>
              <c:f>'Grafer-klima-&gt;VÆLG GWP og NIR&lt;-'!$B$455</c:f>
              <c:strCache>
                <c:ptCount val="1"/>
                <c:pt idx="0">
                  <c:v>Udvaskning</c:v>
                </c:pt>
              </c:strCache>
            </c:strRef>
          </c:tx>
          <c:spPr>
            <a:solidFill>
              <a:schemeClr val="accent4">
                <a:lumMod val="60000"/>
              </a:schemeClr>
            </a:solidFill>
            <a:ln>
              <a:noFill/>
            </a:ln>
            <a:effectLst/>
          </c:spPr>
          <c:invertIfNegative val="0"/>
          <c:cat>
            <c:strRef>
              <c:f>'Grafer-klima-&gt;VÆLG GWP og NIR&lt;-'!$C$445:$D$445</c:f>
              <c:strCache>
                <c:ptCount val="2"/>
                <c:pt idx="0">
                  <c:v>Planteavl emission </c:v>
                </c:pt>
                <c:pt idx="1">
                  <c:v>Emissions-reducerende tiltag</c:v>
                </c:pt>
              </c:strCache>
            </c:strRef>
          </c:cat>
          <c:val>
            <c:numRef>
              <c:f>'Grafer-klima-&gt;VÆLG GWP og NIR&lt;-'!$C$455:$D$455</c:f>
              <c:numCache>
                <c:formatCode>#,##0</c:formatCode>
                <c:ptCount val="2"/>
                <c:pt idx="0">
                  <c:v>423.85656617876566</c:v>
                </c:pt>
              </c:numCache>
            </c:numRef>
          </c:val>
          <c:extLst>
            <c:ext xmlns:c16="http://schemas.microsoft.com/office/drawing/2014/chart" uri="{C3380CC4-5D6E-409C-BE32-E72D297353CC}">
              <c16:uniqueId val="{00000009-CBFF-46A0-BAC8-88ACFFA32039}"/>
            </c:ext>
          </c:extLst>
        </c:ser>
        <c:ser>
          <c:idx val="10"/>
          <c:order val="10"/>
          <c:tx>
            <c:strRef>
              <c:f>'Grafer-klima-&gt;VÆLG GWP og NIR&lt;-'!$B$456</c:f>
              <c:strCache>
                <c:ptCount val="1"/>
                <c:pt idx="0">
                  <c:v>Kalkning  (CaCO3)</c:v>
                </c:pt>
              </c:strCache>
            </c:strRef>
          </c:tx>
          <c:spPr>
            <a:solidFill>
              <a:schemeClr val="accent5">
                <a:lumMod val="60000"/>
              </a:schemeClr>
            </a:solidFill>
            <a:ln>
              <a:noFill/>
            </a:ln>
            <a:effectLst/>
          </c:spPr>
          <c:invertIfNegative val="0"/>
          <c:cat>
            <c:strRef>
              <c:f>'Grafer-klima-&gt;VÆLG GWP og NIR&lt;-'!$C$445:$D$445</c:f>
              <c:strCache>
                <c:ptCount val="2"/>
                <c:pt idx="0">
                  <c:v>Planteavl emission </c:v>
                </c:pt>
                <c:pt idx="1">
                  <c:v>Emissions-reducerende tiltag</c:v>
                </c:pt>
              </c:strCache>
            </c:strRef>
          </c:cat>
          <c:val>
            <c:numRef>
              <c:f>'Grafer-klima-&gt;VÆLG GWP og NIR&lt;-'!$C$456:$D$456</c:f>
              <c:numCache>
                <c:formatCode>#,##0</c:formatCode>
                <c:ptCount val="2"/>
                <c:pt idx="0">
                  <c:v>184.9968000321222</c:v>
                </c:pt>
              </c:numCache>
            </c:numRef>
          </c:val>
          <c:extLst>
            <c:ext xmlns:c16="http://schemas.microsoft.com/office/drawing/2014/chart" uri="{C3380CC4-5D6E-409C-BE32-E72D297353CC}">
              <c16:uniqueId val="{0000000A-CBFF-46A0-BAC8-88ACFFA32039}"/>
            </c:ext>
          </c:extLst>
        </c:ser>
        <c:ser>
          <c:idx val="11"/>
          <c:order val="11"/>
          <c:tx>
            <c:strRef>
              <c:f>'Grafer-klima-&gt;VÆLG GWP og NIR&lt;-'!$B$457</c:f>
              <c:strCache>
                <c:ptCount val="1"/>
                <c:pt idx="0">
                  <c:v>Urea (CH₄N₂O) </c:v>
                </c:pt>
              </c:strCache>
            </c:strRef>
          </c:tx>
          <c:spPr>
            <a:solidFill>
              <a:schemeClr val="accent6">
                <a:lumMod val="60000"/>
              </a:schemeClr>
            </a:solidFill>
            <a:ln>
              <a:noFill/>
            </a:ln>
            <a:effectLst/>
          </c:spPr>
          <c:invertIfNegative val="0"/>
          <c:cat>
            <c:strRef>
              <c:f>'Grafer-klima-&gt;VÆLG GWP og NIR&lt;-'!$C$445:$D$445</c:f>
              <c:strCache>
                <c:ptCount val="2"/>
                <c:pt idx="0">
                  <c:v>Planteavl emission </c:v>
                </c:pt>
                <c:pt idx="1">
                  <c:v>Emissions-reducerende tiltag</c:v>
                </c:pt>
              </c:strCache>
            </c:strRef>
          </c:cat>
          <c:val>
            <c:numRef>
              <c:f>'Grafer-klima-&gt;VÆLG GWP og NIR&lt;-'!$C$457:$D$457</c:f>
              <c:numCache>
                <c:formatCode>#,##0</c:formatCode>
                <c:ptCount val="2"/>
                <c:pt idx="0">
                  <c:v>1.0743851503082198</c:v>
                </c:pt>
              </c:numCache>
            </c:numRef>
          </c:val>
          <c:extLst>
            <c:ext xmlns:c16="http://schemas.microsoft.com/office/drawing/2014/chart" uri="{C3380CC4-5D6E-409C-BE32-E72D297353CC}">
              <c16:uniqueId val="{0000000B-CBFF-46A0-BAC8-88ACFFA32039}"/>
            </c:ext>
          </c:extLst>
        </c:ser>
        <c:ser>
          <c:idx val="12"/>
          <c:order val="12"/>
          <c:tx>
            <c:strRef>
              <c:f>'Grafer-klima-&gt;VÆLG GWP og NIR&lt;-'!$B$458</c:f>
              <c:strCache>
                <c:ptCount val="1"/>
                <c:pt idx="0">
                  <c:v>Calcium ammonium nitrat Ca(NO3)2 </c:v>
                </c:pt>
              </c:strCache>
            </c:strRef>
          </c:tx>
          <c:spPr>
            <a:solidFill>
              <a:schemeClr val="accent1">
                <a:lumMod val="80000"/>
                <a:lumOff val="20000"/>
              </a:schemeClr>
            </a:solidFill>
            <a:ln>
              <a:noFill/>
            </a:ln>
            <a:effectLst/>
          </c:spPr>
          <c:invertIfNegative val="0"/>
          <c:cat>
            <c:strRef>
              <c:f>'Grafer-klima-&gt;VÆLG GWP og NIR&lt;-'!$C$445:$D$445</c:f>
              <c:strCache>
                <c:ptCount val="2"/>
                <c:pt idx="0">
                  <c:v>Planteavl emission </c:v>
                </c:pt>
                <c:pt idx="1">
                  <c:v>Emissions-reducerende tiltag</c:v>
                </c:pt>
              </c:strCache>
            </c:strRef>
          </c:cat>
          <c:val>
            <c:numRef>
              <c:f>'Grafer-klima-&gt;VÆLG GWP og NIR&lt;-'!$C$458:$D$458</c:f>
              <c:numCache>
                <c:formatCode>#,##0</c:formatCode>
                <c:ptCount val="2"/>
                <c:pt idx="0">
                  <c:v>2.2137988755035161</c:v>
                </c:pt>
              </c:numCache>
            </c:numRef>
          </c:val>
          <c:extLst>
            <c:ext xmlns:c16="http://schemas.microsoft.com/office/drawing/2014/chart" uri="{C3380CC4-5D6E-409C-BE32-E72D297353CC}">
              <c16:uniqueId val="{0000000C-CBFF-46A0-BAC8-88ACFFA32039}"/>
            </c:ext>
          </c:extLst>
        </c:ser>
        <c:dLbls>
          <c:showLegendKey val="0"/>
          <c:showVal val="0"/>
          <c:showCatName val="0"/>
          <c:showSerName val="0"/>
          <c:showPercent val="0"/>
          <c:showBubbleSize val="0"/>
        </c:dLbls>
        <c:gapWidth val="150"/>
        <c:overlap val="100"/>
        <c:axId val="813272440"/>
        <c:axId val="813273752"/>
      </c:barChart>
      <c:catAx>
        <c:axId val="813272440"/>
        <c:scaling>
          <c:orientation val="minMax"/>
        </c:scaling>
        <c:delete val="0"/>
        <c:axPos val="b"/>
        <c:majorGridlines>
          <c:spPr>
            <a:ln w="9525" cap="flat" cmpd="sng" algn="ctr">
              <a:solidFill>
                <a:schemeClr val="dk1">
                  <a:shade val="95000"/>
                  <a:satMod val="105000"/>
                </a:schemeClr>
              </a:solidFill>
              <a:prstDash val="solid"/>
              <a:round/>
            </a:ln>
            <a:effectLst/>
          </c:spPr>
        </c:majorGridlines>
        <c:numFmt formatCode="General" sourceLinked="1"/>
        <c:majorTickMark val="none"/>
        <c:minorTickMark val="none"/>
        <c:tickLblPos val="nextTo"/>
        <c:spPr>
          <a:noFill/>
          <a:ln w="9525" cap="flat" cmpd="sng" algn="ctr">
            <a:solidFill>
              <a:schemeClr val="dk1">
                <a:shade val="95000"/>
                <a:satMod val="105000"/>
              </a:schemeClr>
            </a:solidFill>
            <a:prstDash val="solid"/>
            <a:round/>
          </a:ln>
          <a:effectLst/>
        </c:spPr>
        <c:txPr>
          <a:bodyPr rot="-60000000" spcFirstLastPara="1" vertOverflow="ellipsis" vert="horz" wrap="square" anchor="ctr" anchorCtr="1"/>
          <a:lstStyle/>
          <a:p>
            <a:pPr>
              <a:defRPr sz="900" b="0" i="0" u="none" strike="noStrike" kern="1200" cap="none" spc="0" normalizeH="0" baseline="0">
                <a:solidFill>
                  <a:schemeClr val="tx1"/>
                </a:solidFill>
                <a:latin typeface="+mn-lt"/>
                <a:ea typeface="+mn-ea"/>
                <a:cs typeface="+mn-cs"/>
              </a:defRPr>
            </a:pPr>
            <a:endParaRPr lang="da-DK"/>
          </a:p>
        </c:txPr>
        <c:crossAx val="813273752"/>
        <c:crosses val="autoZero"/>
        <c:auto val="1"/>
        <c:lblAlgn val="ctr"/>
        <c:lblOffset val="100"/>
        <c:noMultiLvlLbl val="0"/>
      </c:catAx>
      <c:valAx>
        <c:axId val="813273752"/>
        <c:scaling>
          <c:orientation val="minMax"/>
        </c:scaling>
        <c:delete val="0"/>
        <c:axPos val="l"/>
        <c:majorGridlines>
          <c:spPr>
            <a:ln w="9525" cap="flat" cmpd="sng" algn="ctr">
              <a:solidFill>
                <a:schemeClr val="dk1">
                  <a:shade val="95000"/>
                  <a:satMod val="105000"/>
                </a:schemeClr>
              </a:solidFill>
              <a:prstDash val="solid"/>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da-DK" sz="900" b="0" i="0" u="none" strike="noStrike" baseline="0">
                    <a:effectLst/>
                  </a:rPr>
                  <a:t>Ton CO</a:t>
                </a:r>
                <a:r>
                  <a:rPr lang="da-DK" sz="900" b="0" i="0" u="none" strike="noStrike" baseline="-25000">
                    <a:effectLst/>
                  </a:rPr>
                  <a:t>2</a:t>
                </a:r>
                <a:r>
                  <a:rPr lang="da-DK" sz="900" b="0" i="0" u="none" strike="noStrike" baseline="0">
                    <a:effectLst/>
                  </a:rPr>
                  <a:t>-ækv.</a:t>
                </a:r>
                <a:endParaRPr lang="da-DK"/>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da-DK"/>
            </a:p>
          </c:txPr>
        </c:title>
        <c:numFmt formatCode="#,##0" sourceLinked="1"/>
        <c:majorTickMark val="none"/>
        <c:minorTickMark val="none"/>
        <c:tickLblPos val="nextTo"/>
        <c:spPr>
          <a:noFill/>
          <a:ln w="9525" cap="flat" cmpd="sng" algn="ctr">
            <a:solidFill>
              <a:schemeClr val="dk1">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a-DK"/>
          </a:p>
        </c:txPr>
        <c:crossAx val="813272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showDLblsOverMax val="0"/>
  </c:chart>
  <c:spPr>
    <a:solidFill>
      <a:schemeClr val="lt1"/>
    </a:solidFill>
    <a:ln w="9525" cap="flat" cmpd="sng" algn="ctr">
      <a:solidFill>
        <a:sysClr val="windowText" lastClr="000000"/>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da-DK" sz="1400"/>
              <a:t>2018</a:t>
            </a:r>
          </a:p>
        </c:rich>
      </c:tx>
      <c:layout>
        <c:manualLayout>
          <c:xMode val="edge"/>
          <c:yMode val="edge"/>
          <c:x val="0.81692434110414514"/>
          <c:y val="0.35404875133182612"/>
        </c:manualLayout>
      </c:layout>
      <c:overlay val="0"/>
      <c:spPr>
        <a:noFill/>
        <a:ln>
          <a:noFill/>
        </a:ln>
        <a:effectLst/>
      </c:spPr>
    </c:title>
    <c:autoTitleDeleted val="0"/>
    <c:plotArea>
      <c:layout/>
      <c:pieChart>
        <c:varyColors val="1"/>
        <c:ser>
          <c:idx val="0"/>
          <c:order val="0"/>
          <c:tx>
            <c:strRef>
              <c:f>'Grafer-klima-&gt;VÆLG GWP og NIR&lt;-'!$C$587</c:f>
              <c:strCache>
                <c:ptCount val="1"/>
                <c:pt idx="0">
                  <c:v>2018</c:v>
                </c:pt>
              </c:strCache>
            </c:strRef>
          </c:tx>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8-E6A9-4C44-83E4-DA3571B8883D}"/>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A-E6A9-4C44-83E4-DA3571B8883D}"/>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C-E6A9-4C44-83E4-DA3571B8883D}"/>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E-E6A9-4C44-83E4-DA3571B8883D}"/>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0-E6A9-4C44-83E4-DA3571B8883D}"/>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2-E6A9-4C44-83E4-DA3571B8883D}"/>
              </c:ext>
            </c:extLst>
          </c:dPt>
          <c:dPt>
            <c:idx val="6"/>
            <c:bubble3D val="0"/>
            <c:spPr>
              <a:solidFill>
                <a:schemeClr val="accent1">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4-E6A9-4C44-83E4-DA3571B8883D}"/>
              </c:ext>
            </c:extLst>
          </c:dPt>
          <c:dPt>
            <c:idx val="7"/>
            <c:bubble3D val="0"/>
            <c:spPr>
              <a:solidFill>
                <a:schemeClr val="accent2">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6-E6A9-4C44-83E4-DA3571B8883D}"/>
              </c:ext>
            </c:extLst>
          </c:dPt>
          <c:dPt>
            <c:idx val="8"/>
            <c:bubble3D val="0"/>
            <c:spPr>
              <a:solidFill>
                <a:schemeClr val="accent3">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8-E6A9-4C44-83E4-DA3571B8883D}"/>
              </c:ext>
            </c:extLst>
          </c:dPt>
          <c:dPt>
            <c:idx val="9"/>
            <c:bubble3D val="0"/>
            <c:spPr>
              <a:solidFill>
                <a:schemeClr val="accent4">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A-E6A9-4C44-83E4-DA3571B8883D}"/>
              </c:ext>
            </c:extLst>
          </c:dPt>
          <c:dPt>
            <c:idx val="10"/>
            <c:bubble3D val="0"/>
            <c:spPr>
              <a:solidFill>
                <a:schemeClr val="accent5">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C-E6A9-4C44-83E4-DA3571B8883D}"/>
              </c:ext>
            </c:extLst>
          </c:dPt>
          <c:dLbls>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da-DK"/>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('Grafer-klima-&gt;VÆLG GWP og NIR&lt;-'!$B$588,'Grafer-klima-&gt;VÆLG GWP og NIR&lt;-'!$B$592:$B$593)</c:f>
              <c:strCache>
                <c:ptCount val="3"/>
                <c:pt idx="0">
                  <c:v>Affald</c:v>
                </c:pt>
                <c:pt idx="1">
                  <c:v>Spildevand</c:v>
                </c:pt>
                <c:pt idx="2">
                  <c:v>Tilfældige brande</c:v>
                </c:pt>
              </c:strCache>
            </c:strRef>
          </c:cat>
          <c:val>
            <c:numRef>
              <c:f>('Grafer-klima-&gt;VÆLG GWP og NIR&lt;-'!$C$588,'Grafer-klima-&gt;VÆLG GWP og NIR&lt;-'!$C$592,'Grafer-klima-&gt;VÆLG GWP og NIR&lt;-'!$C$593)</c:f>
              <c:numCache>
                <c:formatCode>#,##0</c:formatCode>
                <c:ptCount val="3"/>
                <c:pt idx="0">
                  <c:v>313.52482266615613</c:v>
                </c:pt>
                <c:pt idx="1">
                  <c:v>36.299072024155073</c:v>
                </c:pt>
                <c:pt idx="2">
                  <c:v>34.604306943685259</c:v>
                </c:pt>
              </c:numCache>
            </c:numRef>
          </c:val>
          <c:extLst>
            <c:ext xmlns:c16="http://schemas.microsoft.com/office/drawing/2014/chart" uri="{C3380CC4-5D6E-409C-BE32-E72D297353CC}">
              <c16:uniqueId val="{0000001D-E6A9-4C44-83E4-DA3571B8883D}"/>
            </c:ext>
          </c:extLst>
        </c:ser>
        <c:dLbls>
          <c:dLblPos val="inEnd"/>
          <c:showLegendKey val="0"/>
          <c:showVal val="0"/>
          <c:showCatName val="0"/>
          <c:showSerName val="0"/>
          <c:showPercent val="1"/>
          <c:showBubbleSize val="0"/>
          <c:showLeaderLines val="1"/>
        </c:dLbls>
        <c:firstSliceAng val="0"/>
      </c:pieChart>
    </c:plotArea>
    <c:legend>
      <c:legendPos val="r"/>
      <c:overlay val="0"/>
      <c:spPr>
        <a:solidFill>
          <a:schemeClr val="lt1">
            <a:alpha val="78000"/>
          </a:schemeClr>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0" normalizeH="0" baseline="0">
                <a:solidFill>
                  <a:sysClr val="windowText" lastClr="000000"/>
                </a:solidFill>
                <a:latin typeface="+mn-lt"/>
                <a:ea typeface="+mj-ea"/>
                <a:cs typeface="+mj-cs"/>
              </a:defRPr>
            </a:pPr>
            <a:r>
              <a:rPr lang="da-DK" sz="1400" b="1">
                <a:latin typeface="+mn-lt"/>
              </a:rPr>
              <a:t>2018</a:t>
            </a:r>
          </a:p>
        </c:rich>
      </c:tx>
      <c:overlay val="0"/>
      <c:spPr>
        <a:noFill/>
        <a:ln>
          <a:noFill/>
        </a:ln>
        <a:effectLst/>
      </c:spPr>
      <c:txPr>
        <a:bodyPr rot="0" spcFirstLastPara="1" vertOverflow="ellipsis" vert="horz" wrap="square" anchor="ctr" anchorCtr="1"/>
        <a:lstStyle/>
        <a:p>
          <a:pPr>
            <a:defRPr sz="1400" b="1" i="0" u="none" strike="noStrike" kern="1200" cap="none" spc="0" normalizeH="0" baseline="0">
              <a:solidFill>
                <a:sysClr val="windowText" lastClr="000000"/>
              </a:solidFill>
              <a:latin typeface="+mn-lt"/>
              <a:ea typeface="+mj-ea"/>
              <a:cs typeface="+mj-cs"/>
            </a:defRPr>
          </a:pPr>
          <a:endParaRPr lang="da-DK"/>
        </a:p>
      </c:txPr>
    </c:title>
    <c:autoTitleDeleted val="0"/>
    <c:plotArea>
      <c:layout/>
      <c:barChart>
        <c:barDir val="bar"/>
        <c:grouping val="clustered"/>
        <c:varyColors val="0"/>
        <c:ser>
          <c:idx val="0"/>
          <c:order val="0"/>
          <c:tx>
            <c:strRef>
              <c:f>'Grafer-klima-&gt;VÆLG GWP og NIR&lt;-'!$C$285</c:f>
              <c:strCache>
                <c:ptCount val="1"/>
                <c:pt idx="0">
                  <c:v>Omlægning</c:v>
                </c:pt>
              </c:strCache>
            </c:strRef>
          </c:tx>
          <c:spPr>
            <a:solidFill>
              <a:schemeClr val="accent2"/>
            </a:solidFill>
            <a:ln>
              <a:noFill/>
            </a:ln>
            <a:effectLst/>
          </c:spPr>
          <c:invertIfNegative val="0"/>
          <c:cat>
            <c:strRef>
              <c:f>'Grafer-klima-&gt;VÆLG GWP og NIR&lt;-'!$B$286:$B$290</c:f>
              <c:strCache>
                <c:ptCount val="5"/>
                <c:pt idx="0">
                  <c:v>Omlægning til Skov (Skovrejsning)</c:v>
                </c:pt>
                <c:pt idx="1">
                  <c:v>Omlægning til landbrugsjord </c:v>
                </c:pt>
                <c:pt idx="2">
                  <c:v>Omlægning til permanent græs</c:v>
                </c:pt>
                <c:pt idx="3">
                  <c:v>Omlægning til periodisk oversvømmet områder</c:v>
                </c:pt>
                <c:pt idx="4">
                  <c:v>Omlægning til bebyggelse</c:v>
                </c:pt>
              </c:strCache>
            </c:strRef>
          </c:cat>
          <c:val>
            <c:numRef>
              <c:f>'Grafer-klima-&gt;VÆLG GWP og NIR&lt;-'!$C$286:$C$290</c:f>
              <c:numCache>
                <c:formatCode>#,##0</c:formatCode>
                <c:ptCount val="5"/>
                <c:pt idx="0">
                  <c:v>-1355.9351257016751</c:v>
                </c:pt>
                <c:pt idx="1">
                  <c:v>1588.1186774093203</c:v>
                </c:pt>
                <c:pt idx="2">
                  <c:v>1488.8284232684648</c:v>
                </c:pt>
                <c:pt idx="3">
                  <c:v>0</c:v>
                </c:pt>
                <c:pt idx="4">
                  <c:v>181.11496241631221</c:v>
                </c:pt>
              </c:numCache>
            </c:numRef>
          </c:val>
          <c:extLst>
            <c:ext xmlns:c16="http://schemas.microsoft.com/office/drawing/2014/chart" uri="{C3380CC4-5D6E-409C-BE32-E72D297353CC}">
              <c16:uniqueId val="{00000000-56E0-4936-B8C8-D1ABA06B9D23}"/>
            </c:ext>
          </c:extLst>
        </c:ser>
        <c:ser>
          <c:idx val="1"/>
          <c:order val="1"/>
          <c:tx>
            <c:strRef>
              <c:f>'Grafer-klima-&gt;VÆLG GWP og NIR&lt;-'!$D$285</c:f>
              <c:strCache>
                <c:ptCount val="1"/>
                <c:pt idx="0">
                  <c:v>Mineralisering</c:v>
                </c:pt>
              </c:strCache>
            </c:strRef>
          </c:tx>
          <c:spPr>
            <a:solidFill>
              <a:schemeClr val="accent4"/>
            </a:solidFill>
            <a:ln>
              <a:noFill/>
            </a:ln>
            <a:effectLst/>
          </c:spPr>
          <c:invertIfNegative val="0"/>
          <c:cat>
            <c:strRef>
              <c:f>'Grafer-klima-&gt;VÆLG GWP og NIR&lt;-'!$B$286:$B$290</c:f>
              <c:strCache>
                <c:ptCount val="5"/>
                <c:pt idx="0">
                  <c:v>Omlægning til Skov (Skovrejsning)</c:v>
                </c:pt>
                <c:pt idx="1">
                  <c:v>Omlægning til landbrugsjord </c:v>
                </c:pt>
                <c:pt idx="2">
                  <c:v>Omlægning til permanent græs</c:v>
                </c:pt>
                <c:pt idx="3">
                  <c:v>Omlægning til periodisk oversvømmet områder</c:v>
                </c:pt>
                <c:pt idx="4">
                  <c:v>Omlægning til bebyggelse</c:v>
                </c:pt>
              </c:strCache>
            </c:strRef>
          </c:cat>
          <c:val>
            <c:numRef>
              <c:f>'Grafer-klima-&gt;VÆLG GWP og NIR&lt;-'!$D$286:$D$290</c:f>
              <c:numCache>
                <c:formatCode>#,##0</c:formatCode>
                <c:ptCount val="5"/>
                <c:pt idx="0" formatCode="General">
                  <c:v>0</c:v>
                </c:pt>
                <c:pt idx="1">
                  <c:v>48.17171119852749</c:v>
                </c:pt>
                <c:pt idx="2">
                  <c:v>32.419714135360749</c:v>
                </c:pt>
                <c:pt idx="3" formatCode="General">
                  <c:v>0</c:v>
                </c:pt>
                <c:pt idx="4">
                  <c:v>364.55104206395231</c:v>
                </c:pt>
              </c:numCache>
            </c:numRef>
          </c:val>
          <c:extLst>
            <c:ext xmlns:c16="http://schemas.microsoft.com/office/drawing/2014/chart" uri="{C3380CC4-5D6E-409C-BE32-E72D297353CC}">
              <c16:uniqueId val="{00000001-56E0-4936-B8C8-D1ABA06B9D23}"/>
            </c:ext>
          </c:extLst>
        </c:ser>
        <c:dLbls>
          <c:showLegendKey val="0"/>
          <c:showVal val="0"/>
          <c:showCatName val="0"/>
          <c:showSerName val="0"/>
          <c:showPercent val="0"/>
          <c:showBubbleSize val="0"/>
        </c:dLbls>
        <c:gapWidth val="247"/>
        <c:axId val="710986824"/>
        <c:axId val="710980920"/>
      </c:barChart>
      <c:catAx>
        <c:axId val="710986824"/>
        <c:scaling>
          <c:orientation val="minMax"/>
        </c:scaling>
        <c:delete val="0"/>
        <c:axPos val="l"/>
        <c:majorGridlines>
          <c:spPr>
            <a:ln w="9525" cap="flat" cmpd="sng" algn="ctr">
              <a:solidFill>
                <a:schemeClr val="dk1">
                  <a:shade val="95000"/>
                  <a:satMod val="105000"/>
                </a:schemeClr>
              </a:solidFill>
              <a:prstDash val="solid"/>
              <a:round/>
            </a:ln>
            <a:effectLst/>
          </c:spPr>
        </c:majorGridlines>
        <c:numFmt formatCode="General" sourceLinked="1"/>
        <c:majorTickMark val="out"/>
        <c:minorTickMark val="none"/>
        <c:tickLblPos val="nextTo"/>
        <c:spPr>
          <a:noFill/>
          <a:ln w="9525" cap="flat" cmpd="sng" algn="ctr">
            <a:solidFill>
              <a:schemeClr val="dk1">
                <a:shade val="95000"/>
                <a:satMod val="105000"/>
              </a:schemeClr>
            </a:solidFill>
            <a:prstDash val="solid"/>
            <a:round/>
          </a:ln>
          <a:effectLst/>
        </c:spPr>
        <c:txPr>
          <a:bodyPr rot="-60000000" spcFirstLastPara="1" vertOverflow="ellipsis" vert="horz" wrap="square" anchor="ctr" anchorCtr="1"/>
          <a:lstStyle/>
          <a:p>
            <a:pPr>
              <a:defRPr sz="900" b="1" i="0" u="none" strike="noStrike" kern="1200" cap="none" spc="0" normalizeH="0" baseline="0">
                <a:solidFill>
                  <a:schemeClr val="tx1"/>
                </a:solidFill>
                <a:latin typeface="+mn-lt"/>
                <a:ea typeface="+mn-ea"/>
                <a:cs typeface="+mn-cs"/>
              </a:defRPr>
            </a:pPr>
            <a:endParaRPr lang="da-DK"/>
          </a:p>
        </c:txPr>
        <c:crossAx val="710980920"/>
        <c:crosses val="autoZero"/>
        <c:auto val="1"/>
        <c:lblAlgn val="ctr"/>
        <c:lblOffset val="100"/>
        <c:noMultiLvlLbl val="0"/>
      </c:catAx>
      <c:valAx>
        <c:axId val="710980920"/>
        <c:scaling>
          <c:orientation val="minMax"/>
        </c:scaling>
        <c:delete val="0"/>
        <c:axPos val="b"/>
        <c:majorGridlines>
          <c:spPr>
            <a:ln w="9525" cap="flat" cmpd="sng" algn="ctr">
              <a:solidFill>
                <a:schemeClr val="dk1">
                  <a:shade val="95000"/>
                  <a:satMod val="105000"/>
                </a:schemeClr>
              </a:solidFill>
              <a:prstDash val="solid"/>
              <a:round/>
            </a:ln>
            <a:effectLst/>
          </c:spPr>
        </c:majorGridlines>
        <c:title>
          <c:tx>
            <c:rich>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da-DK"/>
                  <a:t>ton, CO2-ækv.</a:t>
                </a:r>
              </a:p>
            </c:rich>
          </c:tx>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crossAx val="710986824"/>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showDLblsOverMax val="0"/>
  </c:chart>
  <c:spPr>
    <a:solidFill>
      <a:schemeClr val="lt1"/>
    </a:solidFill>
    <a:ln w="9525" cap="flat" cmpd="sng" algn="ctr">
      <a:solidFill>
        <a:schemeClr val="tx1"/>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930971838058103E-2"/>
          <c:y val="9.4073566600580499E-2"/>
          <c:w val="0.86414229044739166"/>
          <c:h val="0.69651088134531114"/>
        </c:manualLayout>
      </c:layout>
      <c:barChart>
        <c:barDir val="col"/>
        <c:grouping val="clustered"/>
        <c:varyColors val="0"/>
        <c:ser>
          <c:idx val="3"/>
          <c:order val="0"/>
          <c:tx>
            <c:strRef>
              <c:f>'Grafer-klima-&gt;VÆLG GWP og NIR&lt;-'!$B$40</c:f>
              <c:strCache>
                <c:ptCount val="1"/>
                <c:pt idx="0">
                  <c:v>Planteavl</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extLst>
                <c:ext xmlns:c15="http://schemas.microsoft.com/office/drawing/2012/chart" uri="{02D57815-91ED-43cb-92C2-25804820EDAC}">
                  <c15:fullRef>
                    <c15:sqref>'Grafer-klima-&gt;VÆLG GWP og NIR&lt;-'!$C$39:$E$39</c15:sqref>
                  </c15:fullRef>
                </c:ext>
              </c:extLst>
              <c:f>'Grafer-klima-&gt;VÆLG GWP og NIR&lt;-'!$C$39:$D$39</c:f>
              <c:strCache>
                <c:ptCount val="2"/>
                <c:pt idx="0">
                  <c:v>1990</c:v>
                </c:pt>
                <c:pt idx="1">
                  <c:v>2018/2020</c:v>
                </c:pt>
              </c:strCache>
            </c:strRef>
          </c:cat>
          <c:val>
            <c:numRef>
              <c:extLst>
                <c:ext xmlns:c15="http://schemas.microsoft.com/office/drawing/2012/chart" uri="{02D57815-91ED-43cb-92C2-25804820EDAC}">
                  <c15:fullRef>
                    <c15:sqref>'Grafer-klima-&gt;VÆLG GWP og NIR&lt;-'!$C$40:$E$40</c15:sqref>
                  </c15:fullRef>
                </c:ext>
              </c:extLst>
              <c:f>'Grafer-klima-&gt;VÆLG GWP og NIR&lt;-'!$C$40:$D$40</c:f>
              <c:numCache>
                <c:formatCode>#,##0</c:formatCode>
                <c:ptCount val="2"/>
                <c:pt idx="0">
                  <c:v>5781.9474119843626</c:v>
                </c:pt>
                <c:pt idx="1">
                  <c:v>3858.0500830944293</c:v>
                </c:pt>
              </c:numCache>
            </c:numRef>
          </c:val>
          <c:extLst>
            <c:ext xmlns:c16="http://schemas.microsoft.com/office/drawing/2014/chart" uri="{C3380CC4-5D6E-409C-BE32-E72D297353CC}">
              <c16:uniqueId val="{0000000D-3F1B-4C3C-B59B-922A3A6FB067}"/>
            </c:ext>
          </c:extLst>
        </c:ser>
        <c:ser>
          <c:idx val="4"/>
          <c:order val="1"/>
          <c:tx>
            <c:strRef>
              <c:f>'Grafer-klima-&gt;VÆLG GWP og NIR&lt;-'!$B$41</c:f>
              <c:strCache>
                <c:ptCount val="1"/>
                <c:pt idx="0">
                  <c:v>Dyrehold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extLst>
                <c:ext xmlns:c15="http://schemas.microsoft.com/office/drawing/2012/chart" uri="{02D57815-91ED-43cb-92C2-25804820EDAC}">
                  <c15:fullRef>
                    <c15:sqref>'Grafer-klima-&gt;VÆLG GWP og NIR&lt;-'!$C$39:$E$39</c15:sqref>
                  </c15:fullRef>
                </c:ext>
              </c:extLst>
              <c:f>'Grafer-klima-&gt;VÆLG GWP og NIR&lt;-'!$C$39:$D$39</c:f>
              <c:strCache>
                <c:ptCount val="2"/>
                <c:pt idx="0">
                  <c:v>1990</c:v>
                </c:pt>
                <c:pt idx="1">
                  <c:v>2018/2020</c:v>
                </c:pt>
              </c:strCache>
            </c:strRef>
          </c:cat>
          <c:val>
            <c:numRef>
              <c:extLst>
                <c:ext xmlns:c15="http://schemas.microsoft.com/office/drawing/2012/chart" uri="{02D57815-91ED-43cb-92C2-25804820EDAC}">
                  <c15:fullRef>
                    <c15:sqref>'Grafer-klima-&gt;VÆLG GWP og NIR&lt;-'!$C$41:$E$41</c15:sqref>
                  </c15:fullRef>
                </c:ext>
              </c:extLst>
              <c:f>'Grafer-klima-&gt;VÆLG GWP og NIR&lt;-'!$C$41:$D$41</c:f>
              <c:numCache>
                <c:formatCode>#,##0</c:formatCode>
                <c:ptCount val="2"/>
                <c:pt idx="0">
                  <c:v>8689.0803083732771</c:v>
                </c:pt>
                <c:pt idx="1">
                  <c:v>8510.0041033403995</c:v>
                </c:pt>
              </c:numCache>
            </c:numRef>
          </c:val>
          <c:extLst>
            <c:ext xmlns:c16="http://schemas.microsoft.com/office/drawing/2014/chart" uri="{C3380CC4-5D6E-409C-BE32-E72D297353CC}">
              <c16:uniqueId val="{0000000E-3F1B-4C3C-B59B-922A3A6FB067}"/>
            </c:ext>
          </c:extLst>
        </c:ser>
        <c:ser>
          <c:idx val="5"/>
          <c:order val="2"/>
          <c:tx>
            <c:strRef>
              <c:f>'Grafer-klima-&gt;VÆLG GWP og NIR&lt;-'!$B$42</c:f>
              <c:strCache>
                <c:ptCount val="1"/>
                <c:pt idx="0">
                  <c:v>Industrielle processer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extLst>
                <c:ext xmlns:c15="http://schemas.microsoft.com/office/drawing/2012/chart" uri="{02D57815-91ED-43cb-92C2-25804820EDAC}">
                  <c15:fullRef>
                    <c15:sqref>'Grafer-klima-&gt;VÆLG GWP og NIR&lt;-'!$C$39:$E$39</c15:sqref>
                  </c15:fullRef>
                </c:ext>
              </c:extLst>
              <c:f>'Grafer-klima-&gt;VÆLG GWP og NIR&lt;-'!$C$39:$D$39</c:f>
              <c:strCache>
                <c:ptCount val="2"/>
                <c:pt idx="0">
                  <c:v>1990</c:v>
                </c:pt>
                <c:pt idx="1">
                  <c:v>2018/2020</c:v>
                </c:pt>
              </c:strCache>
            </c:strRef>
          </c:cat>
          <c:val>
            <c:numRef>
              <c:extLst>
                <c:ext xmlns:c15="http://schemas.microsoft.com/office/drawing/2012/chart" uri="{02D57815-91ED-43cb-92C2-25804820EDAC}">
                  <c15:fullRef>
                    <c15:sqref>'Grafer-klima-&gt;VÆLG GWP og NIR&lt;-'!$C$42:$E$42</c15:sqref>
                  </c15:fullRef>
                </c:ext>
              </c:extLst>
              <c:f>'Grafer-klima-&gt;VÆLG GWP og NIR&lt;-'!$C$42:$D$42</c:f>
              <c:numCache>
                <c:formatCode>#,##0</c:formatCode>
                <c:ptCount val="2"/>
                <c:pt idx="0">
                  <c:v>249.24384191104065</c:v>
                </c:pt>
                <c:pt idx="1">
                  <c:v>217.39469354459135</c:v>
                </c:pt>
              </c:numCache>
            </c:numRef>
          </c:val>
          <c:extLst>
            <c:ext xmlns:c16="http://schemas.microsoft.com/office/drawing/2014/chart" uri="{C3380CC4-5D6E-409C-BE32-E72D297353CC}">
              <c16:uniqueId val="{0000000F-3F1B-4C3C-B59B-922A3A6FB067}"/>
            </c:ext>
          </c:extLst>
        </c:ser>
        <c:ser>
          <c:idx val="6"/>
          <c:order val="3"/>
          <c:tx>
            <c:strRef>
              <c:f>'Grafer-klima-&gt;VÆLG GWP og NIR&lt;-'!$B$43</c:f>
              <c:strCache>
                <c:ptCount val="1"/>
                <c:pt idx="0">
                  <c:v>Transport</c:v>
                </c:pt>
              </c:strCache>
            </c:strRef>
          </c:tx>
          <c:spPr>
            <a:solidFill>
              <a:srgbClr val="71588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extLst>
                <c:ext xmlns:c15="http://schemas.microsoft.com/office/drawing/2012/chart" uri="{02D57815-91ED-43cb-92C2-25804820EDAC}">
                  <c15:fullRef>
                    <c15:sqref>'Grafer-klima-&gt;VÆLG GWP og NIR&lt;-'!$C$39:$E$39</c15:sqref>
                  </c15:fullRef>
                </c:ext>
              </c:extLst>
              <c:f>'Grafer-klima-&gt;VÆLG GWP og NIR&lt;-'!$C$39:$D$39</c:f>
              <c:strCache>
                <c:ptCount val="2"/>
                <c:pt idx="0">
                  <c:v>1990</c:v>
                </c:pt>
                <c:pt idx="1">
                  <c:v>2018/2020</c:v>
                </c:pt>
              </c:strCache>
            </c:strRef>
          </c:cat>
          <c:val>
            <c:numRef>
              <c:extLst>
                <c:ext xmlns:c15="http://schemas.microsoft.com/office/drawing/2012/chart" uri="{02D57815-91ED-43cb-92C2-25804820EDAC}">
                  <c15:fullRef>
                    <c15:sqref>'Grafer-klima-&gt;VÆLG GWP og NIR&lt;-'!$C$43:$E$43</c15:sqref>
                  </c15:fullRef>
                </c:ext>
              </c:extLst>
              <c:f>'Grafer-klima-&gt;VÆLG GWP og NIR&lt;-'!$C$43:$D$43</c:f>
              <c:numCache>
                <c:formatCode>#,##0</c:formatCode>
                <c:ptCount val="2"/>
                <c:pt idx="0">
                  <c:v>5236.8684347403105</c:v>
                </c:pt>
                <c:pt idx="1">
                  <c:v>5569.0544719999998</c:v>
                </c:pt>
              </c:numCache>
            </c:numRef>
          </c:val>
          <c:extLst>
            <c:ext xmlns:c16="http://schemas.microsoft.com/office/drawing/2014/chart" uri="{C3380CC4-5D6E-409C-BE32-E72D297353CC}">
              <c16:uniqueId val="{00000010-3F1B-4C3C-B59B-922A3A6FB067}"/>
            </c:ext>
          </c:extLst>
        </c:ser>
        <c:ser>
          <c:idx val="7"/>
          <c:order val="4"/>
          <c:tx>
            <c:strRef>
              <c:f>'Grafer-klima-&gt;VÆLG GWP og NIR&lt;-'!$B$44</c:f>
              <c:strCache>
                <c:ptCount val="1"/>
                <c:pt idx="0">
                  <c:v>Energi</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extLst>
                <c:ext xmlns:c15="http://schemas.microsoft.com/office/drawing/2012/chart" uri="{02D57815-91ED-43cb-92C2-25804820EDAC}">
                  <c15:fullRef>
                    <c15:sqref>'Grafer-klima-&gt;VÆLG GWP og NIR&lt;-'!$C$39:$E$39</c15:sqref>
                  </c15:fullRef>
                </c:ext>
              </c:extLst>
              <c:f>'Grafer-klima-&gt;VÆLG GWP og NIR&lt;-'!$C$39:$D$39</c:f>
              <c:strCache>
                <c:ptCount val="2"/>
                <c:pt idx="0">
                  <c:v>1990</c:v>
                </c:pt>
                <c:pt idx="1">
                  <c:v>2018/2020</c:v>
                </c:pt>
              </c:strCache>
            </c:strRef>
          </c:cat>
          <c:val>
            <c:numRef>
              <c:extLst>
                <c:ext xmlns:c15="http://schemas.microsoft.com/office/drawing/2012/chart" uri="{02D57815-91ED-43cb-92C2-25804820EDAC}">
                  <c15:fullRef>
                    <c15:sqref>'Grafer-klima-&gt;VÆLG GWP og NIR&lt;-'!$C$44:$E$44</c15:sqref>
                  </c15:fullRef>
                </c:ext>
              </c:extLst>
              <c:f>'Grafer-klima-&gt;VÆLG GWP og NIR&lt;-'!$C$44:$D$44</c:f>
              <c:numCache>
                <c:formatCode>#,##0</c:formatCode>
                <c:ptCount val="2"/>
                <c:pt idx="0">
                  <c:v>18758.217234292362</c:v>
                </c:pt>
                <c:pt idx="1">
                  <c:v>4776.8757637824538</c:v>
                </c:pt>
              </c:numCache>
            </c:numRef>
          </c:val>
          <c:extLst>
            <c:ext xmlns:c16="http://schemas.microsoft.com/office/drawing/2014/chart" uri="{C3380CC4-5D6E-409C-BE32-E72D297353CC}">
              <c16:uniqueId val="{00000011-3F1B-4C3C-B59B-922A3A6FB067}"/>
            </c:ext>
          </c:extLst>
        </c:ser>
        <c:ser>
          <c:idx val="8"/>
          <c:order val="5"/>
          <c:tx>
            <c:strRef>
              <c:f>'Grafer-klima-&gt;VÆLG GWP og NIR&lt;-'!$B$45</c:f>
              <c:strCache>
                <c:ptCount val="1"/>
                <c:pt idx="0">
                  <c:v>Arealanvendelse</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extLst>
                <c:ext xmlns:c15="http://schemas.microsoft.com/office/drawing/2012/chart" uri="{02D57815-91ED-43cb-92C2-25804820EDAC}">
                  <c15:fullRef>
                    <c15:sqref>'Grafer-klima-&gt;VÆLG GWP og NIR&lt;-'!$C$39:$E$39</c15:sqref>
                  </c15:fullRef>
                </c:ext>
              </c:extLst>
              <c:f>'Grafer-klima-&gt;VÆLG GWP og NIR&lt;-'!$C$39:$D$39</c:f>
              <c:strCache>
                <c:ptCount val="2"/>
                <c:pt idx="0">
                  <c:v>1990</c:v>
                </c:pt>
                <c:pt idx="1">
                  <c:v>2018/2020</c:v>
                </c:pt>
              </c:strCache>
            </c:strRef>
          </c:cat>
          <c:val>
            <c:numRef>
              <c:extLst>
                <c:ext xmlns:c15="http://schemas.microsoft.com/office/drawing/2012/chart" uri="{02D57815-91ED-43cb-92C2-25804820EDAC}">
                  <c15:fullRef>
                    <c15:sqref>'Grafer-klima-&gt;VÆLG GWP og NIR&lt;-'!$C$45:$E$45</c15:sqref>
                  </c15:fullRef>
                </c:ext>
              </c:extLst>
              <c:f>'Grafer-klima-&gt;VÆLG GWP og NIR&lt;-'!$C$45:$D$45</c:f>
              <c:numCache>
                <c:formatCode>#,##0</c:formatCode>
                <c:ptCount val="2"/>
                <c:pt idx="0">
                  <c:v>8140.1362946083145</c:v>
                </c:pt>
                <c:pt idx="1">
                  <c:v>7808.4859395468175</c:v>
                </c:pt>
              </c:numCache>
            </c:numRef>
          </c:val>
          <c:extLst>
            <c:ext xmlns:c16="http://schemas.microsoft.com/office/drawing/2014/chart" uri="{C3380CC4-5D6E-409C-BE32-E72D297353CC}">
              <c16:uniqueId val="{00000012-3F1B-4C3C-B59B-922A3A6FB067}"/>
            </c:ext>
          </c:extLst>
        </c:ser>
        <c:ser>
          <c:idx val="9"/>
          <c:order val="6"/>
          <c:tx>
            <c:strRef>
              <c:f>'Grafer-klima-&gt;VÆLG GWP og NIR&lt;-'!$B$46</c:f>
              <c:strCache>
                <c:ptCount val="1"/>
                <c:pt idx="0">
                  <c:v>Affald, spildevand og tilfældige brande</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extLst>
                <c:ext xmlns:c15="http://schemas.microsoft.com/office/drawing/2012/chart" uri="{02D57815-91ED-43cb-92C2-25804820EDAC}">
                  <c15:fullRef>
                    <c15:sqref>'Grafer-klima-&gt;VÆLG GWP og NIR&lt;-'!$C$39:$E$39</c15:sqref>
                  </c15:fullRef>
                </c:ext>
              </c:extLst>
              <c:f>'Grafer-klima-&gt;VÆLG GWP og NIR&lt;-'!$C$39:$D$39</c:f>
              <c:strCache>
                <c:ptCount val="2"/>
                <c:pt idx="0">
                  <c:v>1990</c:v>
                </c:pt>
                <c:pt idx="1">
                  <c:v>2018/2020</c:v>
                </c:pt>
              </c:strCache>
            </c:strRef>
          </c:cat>
          <c:val>
            <c:numRef>
              <c:extLst>
                <c:ext xmlns:c15="http://schemas.microsoft.com/office/drawing/2012/chart" uri="{02D57815-91ED-43cb-92C2-25804820EDAC}">
                  <c15:fullRef>
                    <c15:sqref>'Grafer-klima-&gt;VÆLG GWP og NIR&lt;-'!$C$46:$E$46</c15:sqref>
                  </c15:fullRef>
                </c:ext>
              </c:extLst>
              <c:f>'Grafer-klima-&gt;VÆLG GWP og NIR&lt;-'!$C$46:$D$46</c:f>
              <c:numCache>
                <c:formatCode>#,##0</c:formatCode>
                <c:ptCount val="2"/>
                <c:pt idx="0">
                  <c:v>639.65626488508724</c:v>
                </c:pt>
                <c:pt idx="1">
                  <c:v>384.42820163399642</c:v>
                </c:pt>
              </c:numCache>
            </c:numRef>
          </c:val>
          <c:extLst>
            <c:ext xmlns:c16="http://schemas.microsoft.com/office/drawing/2014/chart" uri="{C3380CC4-5D6E-409C-BE32-E72D297353CC}">
              <c16:uniqueId val="{00000013-3F1B-4C3C-B59B-922A3A6FB067}"/>
            </c:ext>
          </c:extLst>
        </c:ser>
        <c:dLbls>
          <c:dLblPos val="inEnd"/>
          <c:showLegendKey val="0"/>
          <c:showVal val="1"/>
          <c:showCatName val="0"/>
          <c:showSerName val="0"/>
          <c:showPercent val="0"/>
          <c:showBubbleSize val="0"/>
        </c:dLbls>
        <c:gapWidth val="150"/>
        <c:axId val="677670344"/>
        <c:axId val="677669032"/>
      </c:barChart>
      <c:catAx>
        <c:axId val="677670344"/>
        <c:scaling>
          <c:orientation val="minMax"/>
        </c:scaling>
        <c:delete val="0"/>
        <c:axPos val="b"/>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cap="none" spc="0" normalizeH="0" baseline="0">
                <a:solidFill>
                  <a:sysClr val="windowText" lastClr="000000"/>
                </a:solidFill>
                <a:latin typeface="+mn-lt"/>
                <a:ea typeface="+mn-ea"/>
                <a:cs typeface="+mn-cs"/>
              </a:defRPr>
            </a:pPr>
            <a:endParaRPr lang="da-DK"/>
          </a:p>
        </c:txPr>
        <c:crossAx val="677669032"/>
        <c:crosses val="autoZero"/>
        <c:auto val="1"/>
        <c:lblAlgn val="ctr"/>
        <c:lblOffset val="100"/>
        <c:noMultiLvlLbl val="0"/>
      </c:catAx>
      <c:valAx>
        <c:axId val="677669032"/>
        <c:scaling>
          <c:orientation val="minMax"/>
          <c:min val="0"/>
        </c:scaling>
        <c:delete val="0"/>
        <c:axPos val="l"/>
        <c:majorGridlines>
          <c:spPr>
            <a:ln w="9525" cap="flat" cmpd="sng" algn="ctr">
              <a:solidFill>
                <a:schemeClr val="tx1"/>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da-DK"/>
                  <a:t>Tons CO</a:t>
                </a:r>
                <a:r>
                  <a:rPr lang="da-DK" baseline="-25000"/>
                  <a:t>2</a:t>
                </a:r>
                <a:r>
                  <a:rPr lang="da-DK"/>
                  <a:t>-ækv. / år</a:t>
                </a:r>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da-DK"/>
            </a:p>
          </c:txPr>
        </c:title>
        <c:numFmt formatCode="#,##0"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crossAx val="677670344"/>
        <c:crosses val="autoZero"/>
        <c:crossBetween val="between"/>
      </c:valAx>
      <c:spPr>
        <a:noFill/>
        <a:ln w="25400">
          <a:solidFill>
            <a:schemeClr val="bg1"/>
          </a:solidFill>
        </a:ln>
        <a:effectLst/>
      </c:spPr>
    </c:plotArea>
    <c:legend>
      <c:legendPos val="b"/>
      <c:layout>
        <c:manualLayout>
          <c:xMode val="edge"/>
          <c:yMode val="edge"/>
          <c:x val="0.15682195714837102"/>
          <c:y val="0.88678435623427265"/>
          <c:w val="0.68466465080959216"/>
          <c:h val="4.448382621431044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showDLblsOverMax val="0"/>
    <c:extLst/>
  </c:chart>
  <c:spPr>
    <a:solidFill>
      <a:schemeClr val="lt1"/>
    </a:solidFill>
    <a:ln w="9525" cap="flat" cmpd="sng" algn="ctr">
      <a:solidFill>
        <a:sysClr val="windowText" lastClr="000000"/>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8972932109694"/>
          <c:y val="3.465346534653465E-2"/>
          <c:w val="0.61922902337411956"/>
          <c:h val="0.85396039603960394"/>
        </c:manualLayout>
      </c:layout>
      <c:barChart>
        <c:barDir val="col"/>
        <c:grouping val="stacked"/>
        <c:varyColors val="0"/>
        <c:ser>
          <c:idx val="0"/>
          <c:order val="0"/>
          <c:tx>
            <c:strRef>
              <c:f>'Grafer-energi'!$B$867</c:f>
              <c:strCache>
                <c:ptCount val="1"/>
                <c:pt idx="0">
                  <c:v>Individuel opvarmning</c:v>
                </c:pt>
              </c:strCache>
            </c:strRef>
          </c:tx>
          <c:spPr>
            <a:solidFill>
              <a:schemeClr val="accent1"/>
            </a:solidFill>
            <a:ln>
              <a:noFill/>
            </a:ln>
            <a:effectLst/>
          </c:spPr>
          <c:invertIfNegative val="0"/>
          <c:cat>
            <c:numRef>
              <c:f>'Grafer-energi'!$C$866:$E$866</c:f>
              <c:numCache>
                <c:formatCode>General</c:formatCode>
                <c:ptCount val="3"/>
                <c:pt idx="0">
                  <c:v>1990</c:v>
                </c:pt>
                <c:pt idx="1">
                  <c:v>2018</c:v>
                </c:pt>
                <c:pt idx="2">
                  <c:v>2020</c:v>
                </c:pt>
              </c:numCache>
            </c:numRef>
          </c:cat>
          <c:val>
            <c:numRef>
              <c:f>'Grafer-energi'!$C$867:$E$867</c:f>
              <c:numCache>
                <c:formatCode>#,##0</c:formatCode>
                <c:ptCount val="3"/>
                <c:pt idx="0">
                  <c:v>6.9557669999999998</c:v>
                </c:pt>
                <c:pt idx="1">
                  <c:v>1.8339749999999999</c:v>
                </c:pt>
                <c:pt idx="2">
                  <c:v>2.1844679999999999</c:v>
                </c:pt>
              </c:numCache>
            </c:numRef>
          </c:val>
          <c:extLst>
            <c:ext xmlns:c16="http://schemas.microsoft.com/office/drawing/2014/chart" uri="{C3380CC4-5D6E-409C-BE32-E72D297353CC}">
              <c16:uniqueId val="{00000000-E124-455E-B00C-BDB19BBFD963}"/>
            </c:ext>
          </c:extLst>
        </c:ser>
        <c:ser>
          <c:idx val="1"/>
          <c:order val="1"/>
          <c:tx>
            <c:strRef>
              <c:f>'Grafer-energi'!$B$868</c:f>
              <c:strCache>
                <c:ptCount val="1"/>
                <c:pt idx="0">
                  <c:v>Kollektiv el- og varmeforsyning</c:v>
                </c:pt>
              </c:strCache>
            </c:strRef>
          </c:tx>
          <c:spPr>
            <a:solidFill>
              <a:schemeClr val="accent3"/>
            </a:solidFill>
            <a:ln>
              <a:noFill/>
            </a:ln>
            <a:effectLst/>
          </c:spPr>
          <c:invertIfNegative val="0"/>
          <c:cat>
            <c:numRef>
              <c:f>'Grafer-energi'!$C$866:$E$866</c:f>
              <c:numCache>
                <c:formatCode>General</c:formatCode>
                <c:ptCount val="3"/>
                <c:pt idx="0">
                  <c:v>1990</c:v>
                </c:pt>
                <c:pt idx="1">
                  <c:v>2018</c:v>
                </c:pt>
                <c:pt idx="2">
                  <c:v>2020</c:v>
                </c:pt>
              </c:numCache>
            </c:numRef>
          </c:cat>
          <c:val>
            <c:numRef>
              <c:f>'Grafer-energi'!$C$868:$E$868</c:f>
              <c:numCache>
                <c:formatCode>#,##0</c:formatCode>
                <c:ptCount val="3"/>
                <c:pt idx="0">
                  <c:v>0</c:v>
                </c:pt>
                <c:pt idx="1">
                  <c:v>3.6901799999999992E-2</c:v>
                </c:pt>
                <c:pt idx="2">
                  <c:v>6.4555919999999989E-2</c:v>
                </c:pt>
              </c:numCache>
            </c:numRef>
          </c:val>
          <c:extLst>
            <c:ext xmlns:c16="http://schemas.microsoft.com/office/drawing/2014/chart" uri="{C3380CC4-5D6E-409C-BE32-E72D297353CC}">
              <c16:uniqueId val="{00000001-E124-455E-B00C-BDB19BBFD963}"/>
            </c:ext>
          </c:extLst>
        </c:ser>
        <c:ser>
          <c:idx val="2"/>
          <c:order val="2"/>
          <c:tx>
            <c:strRef>
              <c:f>'Grafer-energi'!$B$869</c:f>
              <c:strCache>
                <c:ptCount val="1"/>
                <c:pt idx="0">
                  <c:v>Industri</c:v>
                </c:pt>
              </c:strCache>
            </c:strRef>
          </c:tx>
          <c:spPr>
            <a:solidFill>
              <a:schemeClr val="accent5"/>
            </a:solidFill>
            <a:ln>
              <a:noFill/>
            </a:ln>
            <a:effectLst/>
          </c:spPr>
          <c:invertIfNegative val="0"/>
          <c:cat>
            <c:numRef>
              <c:f>'Grafer-energi'!$C$866:$E$866</c:f>
              <c:numCache>
                <c:formatCode>General</c:formatCode>
                <c:ptCount val="3"/>
                <c:pt idx="0">
                  <c:v>1990</c:v>
                </c:pt>
                <c:pt idx="1">
                  <c:v>2018</c:v>
                </c:pt>
                <c:pt idx="2">
                  <c:v>2020</c:v>
                </c:pt>
              </c:numCache>
            </c:numRef>
          </c:cat>
          <c:val>
            <c:numRef>
              <c:f>'Grafer-energi'!$C$869:$E$869</c:f>
              <c:numCache>
                <c:formatCode>#,##0</c:formatCode>
                <c:ptCount val="3"/>
                <c:pt idx="0">
                  <c:v>0.29629978608519786</c:v>
                </c:pt>
                <c:pt idx="1">
                  <c:v>5.7671999999999994E-2</c:v>
                </c:pt>
                <c:pt idx="2">
                  <c:v>5.2488E-2</c:v>
                </c:pt>
              </c:numCache>
            </c:numRef>
          </c:val>
          <c:extLst>
            <c:ext xmlns:c16="http://schemas.microsoft.com/office/drawing/2014/chart" uri="{C3380CC4-5D6E-409C-BE32-E72D297353CC}">
              <c16:uniqueId val="{00000002-E124-455E-B00C-BDB19BBFD963}"/>
            </c:ext>
          </c:extLst>
        </c:ser>
        <c:ser>
          <c:idx val="3"/>
          <c:order val="3"/>
          <c:tx>
            <c:strRef>
              <c:f>'Grafer-energi'!$B$870</c:f>
              <c:strCache>
                <c:ptCount val="1"/>
                <c:pt idx="0">
                  <c:v>Transport</c:v>
                </c:pt>
              </c:strCache>
            </c:strRef>
          </c:tx>
          <c:spPr>
            <a:solidFill>
              <a:schemeClr val="accent1">
                <a:lumMod val="60000"/>
              </a:schemeClr>
            </a:solidFill>
            <a:ln>
              <a:noFill/>
            </a:ln>
            <a:effectLst/>
          </c:spPr>
          <c:invertIfNegative val="0"/>
          <c:cat>
            <c:numRef>
              <c:f>'Grafer-energi'!$C$866:$E$866</c:f>
              <c:numCache>
                <c:formatCode>General</c:formatCode>
                <c:ptCount val="3"/>
                <c:pt idx="0">
                  <c:v>1990</c:v>
                </c:pt>
                <c:pt idx="1">
                  <c:v>2018</c:v>
                </c:pt>
                <c:pt idx="2">
                  <c:v>2020</c:v>
                </c:pt>
              </c:numCache>
            </c:numRef>
          </c:cat>
          <c:val>
            <c:numRef>
              <c:f>'Grafer-energi'!$C$870:$E$870</c:f>
              <c:numCache>
                <c:formatCode>#,##0</c:formatCode>
                <c:ptCount val="3"/>
                <c:pt idx="0">
                  <c:v>5.3744826816603908</c:v>
                </c:pt>
                <c:pt idx="1">
                  <c:v>6.9955722670000009</c:v>
                </c:pt>
                <c:pt idx="2">
                  <c:v>5.5793283719999982</c:v>
                </c:pt>
              </c:numCache>
            </c:numRef>
          </c:val>
          <c:extLst>
            <c:ext xmlns:c16="http://schemas.microsoft.com/office/drawing/2014/chart" uri="{C3380CC4-5D6E-409C-BE32-E72D297353CC}">
              <c16:uniqueId val="{00000003-E124-455E-B00C-BDB19BBFD963}"/>
            </c:ext>
          </c:extLst>
        </c:ser>
        <c:ser>
          <c:idx val="4"/>
          <c:order val="4"/>
          <c:tx>
            <c:strRef>
              <c:f>'Grafer-energi'!$B$871</c:f>
              <c:strCache>
                <c:ptCount val="1"/>
                <c:pt idx="0">
                  <c:v>Eksport af VE-brændsler</c:v>
                </c:pt>
              </c:strCache>
            </c:strRef>
          </c:tx>
          <c:spPr>
            <a:solidFill>
              <a:schemeClr val="accent3">
                <a:lumMod val="60000"/>
              </a:schemeClr>
            </a:solidFill>
            <a:ln>
              <a:noFill/>
            </a:ln>
            <a:effectLst/>
          </c:spPr>
          <c:invertIfNegative val="0"/>
          <c:cat>
            <c:numRef>
              <c:f>'Grafer-energi'!$C$866:$E$866</c:f>
              <c:numCache>
                <c:formatCode>General</c:formatCode>
                <c:ptCount val="3"/>
                <c:pt idx="0">
                  <c:v>1990</c:v>
                </c:pt>
                <c:pt idx="1">
                  <c:v>2018</c:v>
                </c:pt>
                <c:pt idx="2">
                  <c:v>2020</c:v>
                </c:pt>
              </c:numCache>
            </c:numRef>
          </c:cat>
          <c:val>
            <c:numRef>
              <c:f>'Grafer-energi'!$C$871:$E$871</c:f>
              <c:numCache>
                <c:formatCode>#,##0</c:formatCode>
                <c:ptCount val="3"/>
                <c:pt idx="0">
                  <c:v>0</c:v>
                </c:pt>
                <c:pt idx="1">
                  <c:v>0</c:v>
                </c:pt>
                <c:pt idx="2">
                  <c:v>0</c:v>
                </c:pt>
              </c:numCache>
            </c:numRef>
          </c:val>
          <c:extLst>
            <c:ext xmlns:c16="http://schemas.microsoft.com/office/drawing/2014/chart" uri="{C3380CC4-5D6E-409C-BE32-E72D297353CC}">
              <c16:uniqueId val="{00000004-E124-455E-B00C-BDB19BBFD963}"/>
            </c:ext>
          </c:extLst>
        </c:ser>
        <c:ser>
          <c:idx val="5"/>
          <c:order val="5"/>
          <c:tx>
            <c:strRef>
              <c:f>'Grafer-energi'!$B$872</c:f>
              <c:strCache>
                <c:ptCount val="1"/>
                <c:pt idx="0">
                  <c:v>El-import</c:v>
                </c:pt>
              </c:strCache>
            </c:strRef>
          </c:tx>
          <c:spPr>
            <a:solidFill>
              <a:schemeClr val="accent5">
                <a:lumMod val="60000"/>
              </a:schemeClr>
            </a:solidFill>
            <a:ln>
              <a:noFill/>
            </a:ln>
            <a:effectLst/>
          </c:spPr>
          <c:invertIfNegative val="0"/>
          <c:cat>
            <c:numRef>
              <c:f>'Grafer-energi'!$C$866:$E$866</c:f>
              <c:numCache>
                <c:formatCode>General</c:formatCode>
                <c:ptCount val="3"/>
                <c:pt idx="0">
                  <c:v>1990</c:v>
                </c:pt>
                <c:pt idx="1">
                  <c:v>2018</c:v>
                </c:pt>
                <c:pt idx="2">
                  <c:v>2020</c:v>
                </c:pt>
              </c:numCache>
            </c:numRef>
          </c:cat>
          <c:val>
            <c:numRef>
              <c:f>'Grafer-energi'!$C$872:$E$872</c:f>
              <c:numCache>
                <c:formatCode>#,##0</c:formatCode>
                <c:ptCount val="3"/>
                <c:pt idx="0">
                  <c:v>11.368536201287085</c:v>
                </c:pt>
                <c:pt idx="1">
                  <c:v>4.5457813406739884</c:v>
                </c:pt>
                <c:pt idx="2">
                  <c:v>2.4650899437824543</c:v>
                </c:pt>
              </c:numCache>
            </c:numRef>
          </c:val>
          <c:extLst>
            <c:ext xmlns:c16="http://schemas.microsoft.com/office/drawing/2014/chart" uri="{C3380CC4-5D6E-409C-BE32-E72D297353CC}">
              <c16:uniqueId val="{00000005-E124-455E-B00C-BDB19BBFD963}"/>
            </c:ext>
          </c:extLst>
        </c:ser>
        <c:dLbls>
          <c:showLegendKey val="0"/>
          <c:showVal val="0"/>
          <c:showCatName val="0"/>
          <c:showSerName val="0"/>
          <c:showPercent val="0"/>
          <c:showBubbleSize val="0"/>
        </c:dLbls>
        <c:gapWidth val="150"/>
        <c:overlap val="100"/>
        <c:axId val="684826384"/>
        <c:axId val="684825208"/>
      </c:barChart>
      <c:catAx>
        <c:axId val="684826384"/>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684825208"/>
        <c:crosses val="autoZero"/>
        <c:auto val="1"/>
        <c:lblAlgn val="ctr"/>
        <c:lblOffset val="100"/>
        <c:noMultiLvlLbl val="0"/>
      </c:catAx>
      <c:valAx>
        <c:axId val="68482520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r>
                  <a:rPr lang="da-DK"/>
                  <a:t>1.000 tons </a:t>
                </a:r>
                <a:r>
                  <a:rPr lang="da-DK" sz="1000" b="1" i="0" u="none" strike="noStrike" baseline="0">
                    <a:effectLst/>
                  </a:rPr>
                  <a:t>CO</a:t>
                </a:r>
                <a:r>
                  <a:rPr lang="da-DK" sz="1000" b="1" i="0" u="none" strike="noStrike" baseline="-25000">
                    <a:effectLst/>
                  </a:rPr>
                  <a:t>2 </a:t>
                </a:r>
                <a:r>
                  <a:rPr lang="da-DK"/>
                  <a:t>/  år</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endParaRPr lang="da-DK"/>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68482638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99" l="0.70000000000000062" r="0.70000000000000062" t="0.75000000000001199"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930971838058103E-2"/>
          <c:y val="9.4073566600580499E-2"/>
          <c:w val="0.86414229044739166"/>
          <c:h val="0.69651088134531114"/>
        </c:manualLayout>
      </c:layout>
      <c:barChart>
        <c:barDir val="col"/>
        <c:grouping val="clustered"/>
        <c:varyColors val="0"/>
        <c:ser>
          <c:idx val="3"/>
          <c:order val="0"/>
          <c:tx>
            <c:strRef>
              <c:f>'Grafer-klima-&gt;VÆLG GWP og NIR&lt;-'!$M$39</c:f>
              <c:strCache>
                <c:ptCount val="1"/>
                <c:pt idx="0">
                  <c:v>Total emission nationalt 
[kton CO2-ækv.]</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extLst>
                <c:ext xmlns:c15="http://schemas.microsoft.com/office/drawing/2012/chart" uri="{02D57815-91ED-43cb-92C2-25804820EDAC}">
                  <c15:fullRef>
                    <c15:sqref>'Grafer-klima-&gt;VÆLG GWP og NIR&lt;-'!$N$39:$P$39</c15:sqref>
                  </c15:fullRef>
                </c:ext>
              </c:extLst>
              <c:f>'Grafer-klima-&gt;VÆLG GWP og NIR&lt;-'!$N$39:$O$39</c:f>
              <c:strCache>
                <c:ptCount val="2"/>
                <c:pt idx="0">
                  <c:v>1990</c:v>
                </c:pt>
                <c:pt idx="1">
                  <c:v>2018</c:v>
                </c:pt>
              </c:strCache>
            </c:strRef>
          </c:cat>
          <c:val>
            <c:numRef>
              <c:extLst>
                <c:ext xmlns:c15="http://schemas.microsoft.com/office/drawing/2012/chart" uri="{02D57815-91ED-43cb-92C2-25804820EDAC}">
                  <c15:fullRef>
                    <c15:sqref>'Grafer-klima-&gt;VÆLG GWP og NIR&lt;-'!$N$39:$P$39</c15:sqref>
                  </c15:fullRef>
                </c:ext>
              </c:extLst>
              <c:f>'Grafer-klima-&gt;VÆLG GWP og NIR&lt;-'!$N$39:$O$39</c:f>
              <c:numCache>
                <c:formatCode>General</c:formatCode>
                <c:ptCount val="2"/>
                <c:pt idx="0">
                  <c:v>1990</c:v>
                </c:pt>
                <c:pt idx="1">
                  <c:v>2018</c:v>
                </c:pt>
              </c:numCache>
            </c:numRef>
          </c:val>
          <c:extLst>
            <c:ext xmlns:c16="http://schemas.microsoft.com/office/drawing/2014/chart" uri="{C3380CC4-5D6E-409C-BE32-E72D297353CC}">
              <c16:uniqueId val="{00000000-15A5-483D-BEDA-B997BCA464A7}"/>
            </c:ext>
          </c:extLst>
        </c:ser>
        <c:ser>
          <c:idx val="4"/>
          <c:order val="1"/>
          <c:tx>
            <c:strRef>
              <c:f>'Grafer-klima-&gt;VÆLG GWP og NIR&lt;-'!$M$40</c:f>
              <c:strCache>
                <c:ptCount val="1"/>
                <c:pt idx="0">
                  <c:v>Planteavl </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extLst>
                <c:ext xmlns:c15="http://schemas.microsoft.com/office/drawing/2012/chart" uri="{02D57815-91ED-43cb-92C2-25804820EDAC}">
                  <c15:fullRef>
                    <c15:sqref>'Grafer-klima-&gt;VÆLG GWP og NIR&lt;-'!$N$39:$P$39</c15:sqref>
                  </c15:fullRef>
                </c:ext>
              </c:extLst>
              <c:f>'Grafer-klima-&gt;VÆLG GWP og NIR&lt;-'!$N$39:$O$39</c:f>
              <c:strCache>
                <c:ptCount val="2"/>
                <c:pt idx="0">
                  <c:v>1990</c:v>
                </c:pt>
                <c:pt idx="1">
                  <c:v>2018</c:v>
                </c:pt>
              </c:strCache>
            </c:strRef>
          </c:cat>
          <c:val>
            <c:numRef>
              <c:extLst>
                <c:ext xmlns:c15="http://schemas.microsoft.com/office/drawing/2012/chart" uri="{02D57815-91ED-43cb-92C2-25804820EDAC}">
                  <c15:fullRef>
                    <c15:sqref>'Grafer-klima-&gt;VÆLG GWP og NIR&lt;-'!$N$40:$P$40</c15:sqref>
                  </c15:fullRef>
                </c:ext>
              </c:extLst>
              <c:f>'Grafer-klima-&gt;VÆLG GWP og NIR&lt;-'!$N$40:$O$40</c:f>
              <c:numCache>
                <c:formatCode>#,##0</c:formatCode>
                <c:ptCount val="2"/>
                <c:pt idx="0">
                  <c:v>6476.5165633871375</c:v>
                </c:pt>
                <c:pt idx="1">
                  <c:v>4321.506835871196</c:v>
                </c:pt>
              </c:numCache>
            </c:numRef>
          </c:val>
          <c:extLst>
            <c:ext xmlns:c16="http://schemas.microsoft.com/office/drawing/2014/chart" uri="{C3380CC4-5D6E-409C-BE32-E72D297353CC}">
              <c16:uniqueId val="{00000001-15A5-483D-BEDA-B997BCA464A7}"/>
            </c:ext>
          </c:extLst>
        </c:ser>
        <c:ser>
          <c:idx val="5"/>
          <c:order val="2"/>
          <c:tx>
            <c:strRef>
              <c:f>'Grafer-klima-&gt;VÆLG GWP og NIR&lt;-'!$M$41</c:f>
              <c:strCache>
                <c:ptCount val="1"/>
                <c:pt idx="0">
                  <c:v>Dyrehold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extLst>
                <c:ext xmlns:c15="http://schemas.microsoft.com/office/drawing/2012/chart" uri="{02D57815-91ED-43cb-92C2-25804820EDAC}">
                  <c15:fullRef>
                    <c15:sqref>'Grafer-klima-&gt;VÆLG GWP og NIR&lt;-'!$N$39:$P$39</c15:sqref>
                  </c15:fullRef>
                </c:ext>
              </c:extLst>
              <c:f>'Grafer-klima-&gt;VÆLG GWP og NIR&lt;-'!$N$39:$O$39</c:f>
              <c:strCache>
                <c:ptCount val="2"/>
                <c:pt idx="0">
                  <c:v>1990</c:v>
                </c:pt>
                <c:pt idx="1">
                  <c:v>2018</c:v>
                </c:pt>
              </c:strCache>
            </c:strRef>
          </c:cat>
          <c:val>
            <c:numRef>
              <c:extLst>
                <c:ext xmlns:c15="http://schemas.microsoft.com/office/drawing/2012/chart" uri="{02D57815-91ED-43cb-92C2-25804820EDAC}">
                  <c15:fullRef>
                    <c15:sqref>'Grafer-klima-&gt;VÆLG GWP og NIR&lt;-'!$N$41:$P$41</c15:sqref>
                  </c15:fullRef>
                </c:ext>
              </c:extLst>
              <c:f>'Grafer-klima-&gt;VÆLG GWP og NIR&lt;-'!$N$41:$O$41</c:f>
              <c:numCache>
                <c:formatCode>#,##0</c:formatCode>
                <c:ptCount val="2"/>
                <c:pt idx="0">
                  <c:v>6861.1572169950632</c:v>
                </c:pt>
                <c:pt idx="1">
                  <c:v>6719.7532993250425</c:v>
                </c:pt>
              </c:numCache>
            </c:numRef>
          </c:val>
          <c:extLst>
            <c:ext xmlns:c16="http://schemas.microsoft.com/office/drawing/2014/chart" uri="{C3380CC4-5D6E-409C-BE32-E72D297353CC}">
              <c16:uniqueId val="{00000002-15A5-483D-BEDA-B997BCA464A7}"/>
            </c:ext>
          </c:extLst>
        </c:ser>
        <c:ser>
          <c:idx val="6"/>
          <c:order val="3"/>
          <c:tx>
            <c:strRef>
              <c:f>'Grafer-klima-&gt;VÆLG GWP og NIR&lt;-'!$M$42</c:f>
              <c:strCache>
                <c:ptCount val="1"/>
                <c:pt idx="0">
                  <c:v>Industrielle processer</c:v>
                </c:pt>
              </c:strCache>
            </c:strRef>
          </c:tx>
          <c:spPr>
            <a:solidFill>
              <a:srgbClr val="71588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extLst>
                <c:ext xmlns:c15="http://schemas.microsoft.com/office/drawing/2012/chart" uri="{02D57815-91ED-43cb-92C2-25804820EDAC}">
                  <c15:fullRef>
                    <c15:sqref>'Grafer-klima-&gt;VÆLG GWP og NIR&lt;-'!$N$39:$P$39</c15:sqref>
                  </c15:fullRef>
                </c:ext>
              </c:extLst>
              <c:f>'Grafer-klima-&gt;VÆLG GWP og NIR&lt;-'!$N$39:$O$39</c:f>
              <c:strCache>
                <c:ptCount val="2"/>
                <c:pt idx="0">
                  <c:v>1990</c:v>
                </c:pt>
                <c:pt idx="1">
                  <c:v>2018</c:v>
                </c:pt>
              </c:strCache>
            </c:strRef>
          </c:cat>
          <c:val>
            <c:numRef>
              <c:extLst>
                <c:ext xmlns:c15="http://schemas.microsoft.com/office/drawing/2012/chart" uri="{02D57815-91ED-43cb-92C2-25804820EDAC}">
                  <c15:fullRef>
                    <c15:sqref>'Grafer-klima-&gt;VÆLG GWP og NIR&lt;-'!$N$42:$P$42</c15:sqref>
                  </c15:fullRef>
                </c:ext>
              </c:extLst>
              <c:f>'Grafer-klima-&gt;VÆLG GWP og NIR&lt;-'!$N$42:$O$42</c:f>
              <c:numCache>
                <c:formatCode>#,##0</c:formatCode>
                <c:ptCount val="2"/>
                <c:pt idx="0">
                  <c:v>2343.0087467434059</c:v>
                </c:pt>
                <c:pt idx="1">
                  <c:v>2043.6118484017677</c:v>
                </c:pt>
              </c:numCache>
            </c:numRef>
          </c:val>
          <c:extLst>
            <c:ext xmlns:c16="http://schemas.microsoft.com/office/drawing/2014/chart" uri="{C3380CC4-5D6E-409C-BE32-E72D297353CC}">
              <c16:uniqueId val="{00000003-15A5-483D-BEDA-B997BCA464A7}"/>
            </c:ext>
          </c:extLst>
        </c:ser>
        <c:ser>
          <c:idx val="7"/>
          <c:order val="4"/>
          <c:tx>
            <c:strRef>
              <c:f>'Grafer-klima-&gt;VÆLG GWP og NIR&lt;-'!$M$43</c:f>
              <c:strCache>
                <c:ptCount val="1"/>
                <c:pt idx="0">
                  <c:v>Transport</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extLst>
                <c:ext xmlns:c15="http://schemas.microsoft.com/office/drawing/2012/chart" uri="{02D57815-91ED-43cb-92C2-25804820EDAC}">
                  <c15:fullRef>
                    <c15:sqref>'Grafer-klima-&gt;VÆLG GWP og NIR&lt;-'!$N$39:$P$39</c15:sqref>
                  </c15:fullRef>
                </c:ext>
              </c:extLst>
              <c:f>'Grafer-klima-&gt;VÆLG GWP og NIR&lt;-'!$N$39:$O$39</c:f>
              <c:strCache>
                <c:ptCount val="2"/>
                <c:pt idx="0">
                  <c:v>1990</c:v>
                </c:pt>
                <c:pt idx="1">
                  <c:v>2018</c:v>
                </c:pt>
              </c:strCache>
            </c:strRef>
          </c:cat>
          <c:val>
            <c:numRef>
              <c:extLst>
                <c:ext xmlns:c15="http://schemas.microsoft.com/office/drawing/2012/chart" uri="{02D57815-91ED-43cb-92C2-25804820EDAC}">
                  <c15:fullRef>
                    <c15:sqref>'Grafer-klima-&gt;VÆLG GWP og NIR&lt;-'!$N$43:$P$43</c15:sqref>
                  </c15:fullRef>
                </c:ext>
              </c:extLst>
              <c:f>'Grafer-klima-&gt;VÆLG GWP og NIR&lt;-'!$N$43:$O$43</c:f>
              <c:numCache>
                <c:formatCode>#,##0</c:formatCode>
                <c:ptCount val="2"/>
                <c:pt idx="0">
                  <c:v>10786.945673650229</c:v>
                </c:pt>
                <c:pt idx="1">
                  <c:v>13436.520733955069</c:v>
                </c:pt>
              </c:numCache>
            </c:numRef>
          </c:val>
          <c:extLst>
            <c:ext xmlns:c16="http://schemas.microsoft.com/office/drawing/2014/chart" uri="{C3380CC4-5D6E-409C-BE32-E72D297353CC}">
              <c16:uniqueId val="{00000004-15A5-483D-BEDA-B997BCA464A7}"/>
            </c:ext>
          </c:extLst>
        </c:ser>
        <c:ser>
          <c:idx val="8"/>
          <c:order val="5"/>
          <c:tx>
            <c:strRef>
              <c:f>'Grafer-klima-&gt;VÆLG GWP og NIR&lt;-'!$M$44</c:f>
              <c:strCache>
                <c:ptCount val="1"/>
                <c:pt idx="0">
                  <c:v>Energi</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extLst>
                <c:ext xmlns:c15="http://schemas.microsoft.com/office/drawing/2012/chart" uri="{02D57815-91ED-43cb-92C2-25804820EDAC}">
                  <c15:fullRef>
                    <c15:sqref>'Grafer-klima-&gt;VÆLG GWP og NIR&lt;-'!$N$39:$P$39</c15:sqref>
                  </c15:fullRef>
                </c:ext>
              </c:extLst>
              <c:f>'Grafer-klima-&gt;VÆLG GWP og NIR&lt;-'!$N$39:$O$39</c:f>
              <c:strCache>
                <c:ptCount val="2"/>
                <c:pt idx="0">
                  <c:v>1990</c:v>
                </c:pt>
                <c:pt idx="1">
                  <c:v>2018</c:v>
                </c:pt>
              </c:strCache>
            </c:strRef>
          </c:cat>
          <c:val>
            <c:numRef>
              <c:extLst>
                <c:ext xmlns:c15="http://schemas.microsoft.com/office/drawing/2012/chart" uri="{02D57815-91ED-43cb-92C2-25804820EDAC}">
                  <c15:fullRef>
                    <c15:sqref>'Grafer-klima-&gt;VÆLG GWP og NIR&lt;-'!$N$44:$P$44</c15:sqref>
                  </c15:fullRef>
                </c:ext>
              </c:extLst>
              <c:f>'Grafer-klima-&gt;VÆLG GWP og NIR&lt;-'!$N$44:$O$44</c:f>
              <c:numCache>
                <c:formatCode>#,##0</c:formatCode>
                <c:ptCount val="2"/>
                <c:pt idx="0">
                  <c:v>41638.357419676599</c:v>
                </c:pt>
                <c:pt idx="1">
                  <c:v>20282.051066684871</c:v>
                </c:pt>
              </c:numCache>
            </c:numRef>
          </c:val>
          <c:extLst>
            <c:ext xmlns:c16="http://schemas.microsoft.com/office/drawing/2014/chart" uri="{C3380CC4-5D6E-409C-BE32-E72D297353CC}">
              <c16:uniqueId val="{00000005-15A5-483D-BEDA-B997BCA464A7}"/>
            </c:ext>
          </c:extLst>
        </c:ser>
        <c:ser>
          <c:idx val="9"/>
          <c:order val="6"/>
          <c:tx>
            <c:strRef>
              <c:f>'Grafer-klima-&gt;VÆLG GWP og NIR&lt;-'!$M$45</c:f>
              <c:strCache>
                <c:ptCount val="1"/>
                <c:pt idx="0">
                  <c:v>Arealanvendelse</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extLst>
                <c:ext xmlns:c15="http://schemas.microsoft.com/office/drawing/2012/chart" uri="{02D57815-91ED-43cb-92C2-25804820EDAC}">
                  <c15:fullRef>
                    <c15:sqref>'Grafer-klima-&gt;VÆLG GWP og NIR&lt;-'!$N$39:$P$39</c15:sqref>
                  </c15:fullRef>
                </c:ext>
              </c:extLst>
              <c:f>'Grafer-klima-&gt;VÆLG GWP og NIR&lt;-'!$N$39:$O$39</c:f>
              <c:strCache>
                <c:ptCount val="2"/>
                <c:pt idx="0">
                  <c:v>1990</c:v>
                </c:pt>
                <c:pt idx="1">
                  <c:v>2018</c:v>
                </c:pt>
              </c:strCache>
            </c:strRef>
          </c:cat>
          <c:val>
            <c:numRef>
              <c:extLst>
                <c:ext xmlns:c15="http://schemas.microsoft.com/office/drawing/2012/chart" uri="{02D57815-91ED-43cb-92C2-25804820EDAC}">
                  <c15:fullRef>
                    <c15:sqref>'Grafer-klima-&gt;VÆLG GWP og NIR&lt;-'!$N$45:$P$45</c15:sqref>
                  </c15:fullRef>
                </c:ext>
              </c:extLst>
              <c:f>'Grafer-klima-&gt;VÆLG GWP og NIR&lt;-'!$N$45:$O$45</c:f>
              <c:numCache>
                <c:formatCode>#,##0</c:formatCode>
                <c:ptCount val="2"/>
                <c:pt idx="0">
                  <c:v>6873.608197395909</c:v>
                </c:pt>
                <c:pt idx="1">
                  <c:v>6593.5594959104183</c:v>
                </c:pt>
              </c:numCache>
            </c:numRef>
          </c:val>
          <c:extLst>
            <c:ext xmlns:c16="http://schemas.microsoft.com/office/drawing/2014/chart" uri="{C3380CC4-5D6E-409C-BE32-E72D297353CC}">
              <c16:uniqueId val="{00000006-15A5-483D-BEDA-B997BCA464A7}"/>
            </c:ext>
          </c:extLst>
        </c:ser>
        <c:ser>
          <c:idx val="0"/>
          <c:order val="7"/>
          <c:tx>
            <c:strRef>
              <c:f>'Grafer-klima-&gt;VÆLG GWP og NIR&lt;-'!$M$46</c:f>
              <c:strCache>
                <c:ptCount val="1"/>
                <c:pt idx="0">
                  <c:v>Affald og spildevand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extLst>
                <c:ext xmlns:c15="http://schemas.microsoft.com/office/drawing/2012/chart" uri="{02D57815-91ED-43cb-92C2-25804820EDAC}">
                  <c15:fullRef>
                    <c15:sqref>'Grafer-klima-&gt;VÆLG GWP og NIR&lt;-'!$N$39:$P$39</c15:sqref>
                  </c15:fullRef>
                </c:ext>
              </c:extLst>
              <c:f>'Grafer-klima-&gt;VÆLG GWP og NIR&lt;-'!$N$39:$O$39</c:f>
              <c:strCache>
                <c:ptCount val="2"/>
                <c:pt idx="0">
                  <c:v>1990</c:v>
                </c:pt>
                <c:pt idx="1">
                  <c:v>2018</c:v>
                </c:pt>
              </c:strCache>
            </c:strRef>
          </c:cat>
          <c:val>
            <c:numRef>
              <c:extLst>
                <c:ext xmlns:c15="http://schemas.microsoft.com/office/drawing/2012/chart" uri="{02D57815-91ED-43cb-92C2-25804820EDAC}">
                  <c15:fullRef>
                    <c15:sqref>'Grafer-klima-&gt;VÆLG GWP og NIR&lt;-'!$N$46:$P$46</c15:sqref>
                  </c15:fullRef>
                </c:ext>
              </c:extLst>
              <c:f>'Grafer-klima-&gt;VÆLG GWP og NIR&lt;-'!$N$46:$O$46</c:f>
              <c:numCache>
                <c:formatCode>#,##0</c:formatCode>
                <c:ptCount val="2"/>
                <c:pt idx="0">
                  <c:v>1895.7004043993231</c:v>
                </c:pt>
                <c:pt idx="1">
                  <c:v>1139.3004920087692</c:v>
                </c:pt>
              </c:numCache>
            </c:numRef>
          </c:val>
          <c:extLst>
            <c:ext xmlns:c16="http://schemas.microsoft.com/office/drawing/2014/chart" uri="{C3380CC4-5D6E-409C-BE32-E72D297353CC}">
              <c16:uniqueId val="{00000007-15A5-483D-BEDA-B997BCA464A7}"/>
            </c:ext>
          </c:extLst>
        </c:ser>
        <c:dLbls>
          <c:dLblPos val="inEnd"/>
          <c:showLegendKey val="0"/>
          <c:showVal val="1"/>
          <c:showCatName val="0"/>
          <c:showSerName val="0"/>
          <c:showPercent val="0"/>
          <c:showBubbleSize val="0"/>
        </c:dLbls>
        <c:gapWidth val="150"/>
        <c:axId val="677670344"/>
        <c:axId val="677669032"/>
      </c:barChart>
      <c:catAx>
        <c:axId val="677670344"/>
        <c:scaling>
          <c:orientation val="minMax"/>
        </c:scaling>
        <c:delete val="0"/>
        <c:axPos val="b"/>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cap="none" spc="0" normalizeH="0" baseline="0">
                <a:solidFill>
                  <a:sysClr val="windowText" lastClr="000000"/>
                </a:solidFill>
                <a:latin typeface="+mn-lt"/>
                <a:ea typeface="+mn-ea"/>
                <a:cs typeface="+mn-cs"/>
              </a:defRPr>
            </a:pPr>
            <a:endParaRPr lang="da-DK"/>
          </a:p>
        </c:txPr>
        <c:crossAx val="677669032"/>
        <c:crosses val="autoZero"/>
        <c:auto val="1"/>
        <c:lblAlgn val="ctr"/>
        <c:lblOffset val="100"/>
        <c:noMultiLvlLbl val="0"/>
      </c:catAx>
      <c:valAx>
        <c:axId val="677669032"/>
        <c:scaling>
          <c:orientation val="minMax"/>
          <c:min val="0"/>
        </c:scaling>
        <c:delete val="0"/>
        <c:axPos val="l"/>
        <c:majorGridlines>
          <c:spPr>
            <a:ln w="9525" cap="flat" cmpd="sng" algn="ctr">
              <a:solidFill>
                <a:schemeClr val="tx1"/>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da-DK" sz="1000" b="1"/>
                  <a:t>Kiloton  CO</a:t>
                </a:r>
                <a:r>
                  <a:rPr lang="da-DK" sz="1000" b="1" baseline="-25000"/>
                  <a:t>2</a:t>
                </a:r>
                <a:r>
                  <a:rPr lang="da-DK" sz="1000" b="1"/>
                  <a:t>--ækv. / år</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da-DK"/>
            </a:p>
          </c:txPr>
        </c:title>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crossAx val="677670344"/>
        <c:crosses val="autoZero"/>
        <c:crossBetween val="between"/>
      </c:valAx>
      <c:spPr>
        <a:solidFill>
          <a:schemeClr val="bg1"/>
        </a:solidFill>
        <a:ln>
          <a:solidFill>
            <a:schemeClr val="bg1"/>
          </a:solidFill>
        </a:ln>
        <a:effectLst/>
      </c:spPr>
    </c:plotArea>
    <c:legend>
      <c:legendPos val="b"/>
      <c:layout>
        <c:manualLayout>
          <c:xMode val="edge"/>
          <c:yMode val="edge"/>
          <c:x val="0.15682195714837102"/>
          <c:y val="0.88678435623427265"/>
          <c:w val="0.58718798866366539"/>
          <c:h val="7.187379930938110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showDLblsOverMax val="0"/>
    <c:extLst/>
  </c:chart>
  <c:spPr>
    <a:solidFill>
      <a:schemeClr val="lt1"/>
    </a:solidFill>
    <a:ln w="9525" cap="flat" cmpd="sng" algn="ctr">
      <a:solidFill>
        <a:sysClr val="windowText" lastClr="000000"/>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da-DK" sz="1400"/>
              <a:t>2018</a:t>
            </a:r>
          </a:p>
        </c:rich>
      </c:tx>
      <c:layout>
        <c:manualLayout>
          <c:xMode val="edge"/>
          <c:yMode val="edge"/>
          <c:x val="0.72657141253262891"/>
          <c:y val="0.11312475029636955"/>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da-DK"/>
        </a:p>
      </c:txPr>
    </c:title>
    <c:autoTitleDeleted val="0"/>
    <c:plotArea>
      <c:layout>
        <c:manualLayout>
          <c:layoutTarget val="inner"/>
          <c:xMode val="edge"/>
          <c:yMode val="edge"/>
          <c:x val="0.1109984591642089"/>
          <c:y val="9.2185155353446263E-2"/>
          <c:w val="0.49465655389464763"/>
          <c:h val="0.84217927657717229"/>
        </c:manualLayout>
      </c:layout>
      <c:pieChart>
        <c:varyColors val="1"/>
        <c:ser>
          <c:idx val="0"/>
          <c:order val="0"/>
          <c:dPt>
            <c:idx val="0"/>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CFDE-412C-AD6A-0D231F260FE1}"/>
              </c:ext>
            </c:extLst>
          </c:dPt>
          <c:dPt>
            <c:idx val="1"/>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CFDE-412C-AD6A-0D231F260FE1}"/>
              </c:ext>
            </c:extLst>
          </c:dPt>
          <c:dPt>
            <c:idx val="2"/>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CFDE-412C-AD6A-0D231F260FE1}"/>
              </c:ext>
            </c:extLst>
          </c:dPt>
          <c:dPt>
            <c:idx val="3"/>
            <c:bubble3D val="0"/>
            <c:spPr>
              <a:solidFill>
                <a:schemeClr val="accent6">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CFDE-412C-AD6A-0D231F260FE1}"/>
              </c:ext>
            </c:extLst>
          </c:dPt>
          <c:dPt>
            <c:idx val="4"/>
            <c:bubble3D val="0"/>
            <c:spPr>
              <a:solidFill>
                <a:schemeClr val="accent5">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CFDE-412C-AD6A-0D231F260FE1}"/>
              </c:ext>
            </c:extLst>
          </c:dPt>
          <c:dPt>
            <c:idx val="5"/>
            <c:bubble3D val="0"/>
            <c:spPr>
              <a:solidFill>
                <a:schemeClr val="accent4">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CFDE-412C-AD6A-0D231F260FE1}"/>
              </c:ext>
            </c:extLst>
          </c:dPt>
          <c:dPt>
            <c:idx val="6"/>
            <c:bubble3D val="0"/>
            <c:spPr>
              <a:solidFill>
                <a:schemeClr val="accent6">
                  <a:lumMod val="80000"/>
                  <a:lumOff val="2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D-CFDE-412C-AD6A-0D231F260FE1}"/>
              </c:ext>
            </c:extLst>
          </c:dPt>
          <c:dPt>
            <c:idx val="7"/>
            <c:bubble3D val="0"/>
            <c:spPr>
              <a:solidFill>
                <a:schemeClr val="accent5">
                  <a:lumMod val="80000"/>
                  <a:lumOff val="2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F-CFDE-412C-AD6A-0D231F260FE1}"/>
              </c:ext>
            </c:extLst>
          </c:dPt>
          <c:dPt>
            <c:idx val="8"/>
            <c:bubble3D val="0"/>
            <c:spPr>
              <a:solidFill>
                <a:schemeClr val="accent4">
                  <a:lumMod val="80000"/>
                  <a:lumOff val="2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1-CFDE-412C-AD6A-0D231F260FE1}"/>
              </c:ext>
            </c:extLst>
          </c:dPt>
          <c:dPt>
            <c:idx val="9"/>
            <c:bubble3D val="0"/>
            <c:spPr>
              <a:solidFill>
                <a:schemeClr val="accent6">
                  <a:lumMod val="8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3-CFDE-412C-AD6A-0D231F260FE1}"/>
              </c:ext>
            </c:extLst>
          </c:dPt>
          <c:dPt>
            <c:idx val="10"/>
            <c:bubble3D val="0"/>
            <c:spPr>
              <a:solidFill>
                <a:schemeClr val="accent5">
                  <a:lumMod val="8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5-CFDE-412C-AD6A-0D231F260FE1}"/>
              </c:ext>
            </c:extLst>
          </c:dPt>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da-DK"/>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'Grafer-klima-&gt;VÆLG GWP og NIR&lt;-'!$B$137:$B$147</c:f>
              <c:strCache>
                <c:ptCount val="11"/>
                <c:pt idx="0">
                  <c:v>Vomgasser fra dyr</c:v>
                </c:pt>
                <c:pt idx="1">
                  <c:v>Husdyrgødning i stald**</c:v>
                </c:pt>
                <c:pt idx="2">
                  <c:v>Organiske jorde (humus jord) </c:v>
                </c:pt>
                <c:pt idx="3">
                  <c:v>Fordampning</c:v>
                </c:pt>
                <c:pt idx="4">
                  <c:v>Nitrogen udvaskning</c:v>
                </c:pt>
                <c:pt idx="5">
                  <c:v>Mineralisering</c:v>
                </c:pt>
                <c:pt idx="6">
                  <c:v>Afgrøderester*</c:v>
                </c:pt>
                <c:pt idx="7">
                  <c:v>Handelsgødning</c:v>
                </c:pt>
                <c:pt idx="8">
                  <c:v>Organsikgødning</c:v>
                </c:pt>
                <c:pt idx="9">
                  <c:v>Gødning fra græssende dyr</c:v>
                </c:pt>
                <c:pt idx="10">
                  <c:v>Kalk forbrug (inkl. Urea og Calcium)</c:v>
                </c:pt>
              </c:strCache>
            </c:strRef>
          </c:cat>
          <c:val>
            <c:numRef>
              <c:f>'Grafer-klima-&gt;VÆLG GWP og NIR&lt;-'!$C$137:$C$147</c:f>
              <c:numCache>
                <c:formatCode>#,##0</c:formatCode>
                <c:ptCount val="11"/>
                <c:pt idx="0">
                  <c:v>3206.4617754884835</c:v>
                </c:pt>
                <c:pt idx="1">
                  <c:v>5303.5423278519156</c:v>
                </c:pt>
                <c:pt idx="2">
                  <c:v>9.272057142857143E-2</c:v>
                </c:pt>
                <c:pt idx="3">
                  <c:v>176.73493836362195</c:v>
                </c:pt>
                <c:pt idx="4">
                  <c:v>423.85656617876566</c:v>
                </c:pt>
                <c:pt idx="5">
                  <c:v>107.64871556872481</c:v>
                </c:pt>
                <c:pt idx="6">
                  <c:v>544.32878515994616</c:v>
                </c:pt>
                <c:pt idx="7">
                  <c:v>1437.1571031714291</c:v>
                </c:pt>
                <c:pt idx="8">
                  <c:v>780.97984737142849</c:v>
                </c:pt>
                <c:pt idx="9">
                  <c:v>252.63901164234568</c:v>
                </c:pt>
                <c:pt idx="10">
                  <c:v>188.28498405793394</c:v>
                </c:pt>
              </c:numCache>
            </c:numRef>
          </c:val>
          <c:extLst>
            <c:ext xmlns:c16="http://schemas.microsoft.com/office/drawing/2014/chart" uri="{C3380CC4-5D6E-409C-BE32-E72D297353CC}">
              <c16:uniqueId val="{00000016-CFDE-412C-AD6A-0D231F260FE1}"/>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alpha val="78000"/>
          </a:schemeClr>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sz="1400"/>
              <a:t>2018 [ha]</a:t>
            </a:r>
          </a:p>
        </c:rich>
      </c:tx>
      <c:layout>
        <c:manualLayout>
          <c:xMode val="edge"/>
          <c:yMode val="edge"/>
          <c:x val="0.44886947060675725"/>
          <c:y val="5.1252434915461095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da-DK"/>
        </a:p>
      </c:txPr>
    </c:title>
    <c:autoTitleDeleted val="0"/>
    <c:plotArea>
      <c:layout>
        <c:manualLayout>
          <c:layoutTarget val="inner"/>
          <c:xMode val="edge"/>
          <c:yMode val="edge"/>
          <c:x val="8.0597390801687152E-2"/>
          <c:y val="0.1960878228420187"/>
          <c:w val="0.51163243680644144"/>
          <c:h val="0.70854696479597046"/>
        </c:manualLayout>
      </c:layout>
      <c:doughnutChart>
        <c:varyColors val="1"/>
        <c:ser>
          <c:idx val="0"/>
          <c:order val="0"/>
          <c:tx>
            <c:strRef>
              <c:f>'Grafer-klima-&gt;VÆLG GWP og NIR&lt;-'!$B$372</c:f>
              <c:strCache>
                <c:ptCount val="1"/>
                <c:pt idx="0">
                  <c:v>Afgrødefordeling 
[ha]</c:v>
                </c:pt>
              </c:strCache>
            </c:strRef>
          </c:tx>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CC24-45D4-8946-2243583349C9}"/>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CC24-45D4-8946-2243583349C9}"/>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CC24-45D4-8946-2243583349C9}"/>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CC24-45D4-8946-2243583349C9}"/>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CC24-45D4-8946-2243583349C9}"/>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CC24-45D4-8946-2243583349C9}"/>
              </c:ext>
            </c:extLst>
          </c:dPt>
          <c:dPt>
            <c:idx val="6"/>
            <c:bubble3D val="0"/>
            <c:spPr>
              <a:solidFill>
                <a:schemeClr val="accent1">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D-CC24-45D4-8946-2243583349C9}"/>
              </c:ext>
            </c:extLst>
          </c:dPt>
          <c:dPt>
            <c:idx val="7"/>
            <c:bubble3D val="0"/>
            <c:spPr>
              <a:solidFill>
                <a:schemeClr val="accent2">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F-CC24-45D4-8946-2243583349C9}"/>
              </c:ext>
            </c:extLst>
          </c:dPt>
          <c:dPt>
            <c:idx val="8"/>
            <c:bubble3D val="0"/>
            <c:spPr>
              <a:solidFill>
                <a:schemeClr val="accent3">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1-CC24-45D4-8946-2243583349C9}"/>
              </c:ext>
            </c:extLst>
          </c:dPt>
          <c:dPt>
            <c:idx val="9"/>
            <c:bubble3D val="0"/>
            <c:spPr>
              <a:solidFill>
                <a:schemeClr val="accent4">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3-CC24-45D4-8946-2243583349C9}"/>
              </c:ext>
            </c:extLst>
          </c:dPt>
          <c:dPt>
            <c:idx val="10"/>
            <c:bubble3D val="0"/>
            <c:spPr>
              <a:solidFill>
                <a:schemeClr val="accent5">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5-CC24-45D4-8946-2243583349C9}"/>
              </c:ext>
            </c:extLst>
          </c:dPt>
          <c:dPt>
            <c:idx val="11"/>
            <c:bubble3D val="0"/>
            <c:spPr>
              <a:solidFill>
                <a:schemeClr val="accent6">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7-CC24-45D4-8946-2243583349C9}"/>
              </c:ext>
            </c:extLst>
          </c:dPt>
          <c:dPt>
            <c:idx val="12"/>
            <c:bubble3D val="0"/>
            <c:spPr>
              <a:solidFill>
                <a:schemeClr val="accent1">
                  <a:lumMod val="80000"/>
                  <a:lumOff val="2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9-CC24-45D4-8946-2243583349C9}"/>
              </c:ext>
            </c:extLst>
          </c:dPt>
          <c:dPt>
            <c:idx val="13"/>
            <c:bubble3D val="0"/>
            <c:spPr>
              <a:solidFill>
                <a:schemeClr val="accent2">
                  <a:lumMod val="80000"/>
                  <a:lumOff val="2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B-CC24-45D4-8946-2243583349C9}"/>
              </c:ext>
            </c:extLst>
          </c:dPt>
          <c:dPt>
            <c:idx val="14"/>
            <c:bubble3D val="0"/>
            <c:spPr>
              <a:solidFill>
                <a:schemeClr val="accent3">
                  <a:lumMod val="80000"/>
                  <a:lumOff val="2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D-CC24-45D4-8946-2243583349C9}"/>
              </c:ext>
            </c:extLst>
          </c:dPt>
          <c:dPt>
            <c:idx val="15"/>
            <c:bubble3D val="0"/>
            <c:spPr>
              <a:solidFill>
                <a:schemeClr val="accent4">
                  <a:lumMod val="80000"/>
                  <a:lumOff val="2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F-CC24-45D4-8946-2243583349C9}"/>
              </c:ext>
            </c:extLst>
          </c:dPt>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da-DK"/>
              </a:p>
            </c:txPr>
            <c:showLegendKey val="0"/>
            <c:showVal val="1"/>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'Grafer-klima-&gt;VÆLG GWP og NIR&lt;-'!$B$373:$B$388</c:f>
              <c:strCache>
                <c:ptCount val="16"/>
                <c:pt idx="0">
                  <c:v>Vinterhvede</c:v>
                </c:pt>
                <c:pt idx="1">
                  <c:v>Vårhvede</c:v>
                </c:pt>
                <c:pt idx="2">
                  <c:v>Rug</c:v>
                </c:pt>
                <c:pt idx="3">
                  <c:v>Vinterbyg</c:v>
                </c:pt>
                <c:pt idx="4">
                  <c:v>Vårbyg</c:v>
                </c:pt>
                <c:pt idx="5">
                  <c:v>Havre</c:v>
                </c:pt>
                <c:pt idx="6">
                  <c:v>Triticale oa korn til modenhed</c:v>
                </c:pt>
                <c:pt idx="7">
                  <c:v>Majs til opfodring</c:v>
                </c:pt>
                <c:pt idx="8">
                  <c:v>Kartofler</c:v>
                </c:pt>
                <c:pt idx="9">
                  <c:v>Lucerne</c:v>
                </c:pt>
                <c:pt idx="10">
                  <c:v>Bælgsæd til modenhed</c:v>
                </c:pt>
                <c:pt idx="11">
                  <c:v>Sukkerroer, foderroer oa rodfrugt</c:v>
                </c:pt>
                <c:pt idx="12">
                  <c:v>Korn og bælgsæd til ensilering (helsæd)</c:v>
                </c:pt>
                <c:pt idx="13">
                  <c:v>Græs- og kløvermark i omdriften + Frø til udsæd</c:v>
                </c:pt>
                <c:pt idx="14">
                  <c:v>Græs uden for omdrift</c:v>
                </c:pt>
                <c:pt idx="15">
                  <c:v>Raps, hør, hamp oa industrifrø</c:v>
                </c:pt>
              </c:strCache>
            </c:strRef>
          </c:cat>
          <c:val>
            <c:numRef>
              <c:f>'Grafer-klima-&gt;VÆLG GWP og NIR&lt;-'!$C$373:$C$388</c:f>
              <c:numCache>
                <c:formatCode>#,##0</c:formatCode>
                <c:ptCount val="16"/>
                <c:pt idx="0">
                  <c:v>6.37</c:v>
                </c:pt>
                <c:pt idx="1">
                  <c:v>13.59</c:v>
                </c:pt>
                <c:pt idx="2">
                  <c:v>67.430000000000007</c:v>
                </c:pt>
                <c:pt idx="3">
                  <c:v>0</c:v>
                </c:pt>
                <c:pt idx="4">
                  <c:v>582.6</c:v>
                </c:pt>
                <c:pt idx="5">
                  <c:v>216.75</c:v>
                </c:pt>
                <c:pt idx="6">
                  <c:v>0</c:v>
                </c:pt>
                <c:pt idx="7">
                  <c:v>0</c:v>
                </c:pt>
                <c:pt idx="8">
                  <c:v>9.2800000000000011</c:v>
                </c:pt>
                <c:pt idx="9">
                  <c:v>0</c:v>
                </c:pt>
                <c:pt idx="10">
                  <c:v>5.01</c:v>
                </c:pt>
                <c:pt idx="11">
                  <c:v>0.35</c:v>
                </c:pt>
                <c:pt idx="12">
                  <c:v>16.689999999999998</c:v>
                </c:pt>
                <c:pt idx="13">
                  <c:v>724.94</c:v>
                </c:pt>
                <c:pt idx="14">
                  <c:v>497.95000000000005</c:v>
                </c:pt>
                <c:pt idx="15">
                  <c:v>1.91</c:v>
                </c:pt>
              </c:numCache>
            </c:numRef>
          </c:val>
          <c:extLst>
            <c:ext xmlns:c16="http://schemas.microsoft.com/office/drawing/2014/chart" uri="{C3380CC4-5D6E-409C-BE32-E72D297353CC}">
              <c16:uniqueId val="{00000020-CC24-45D4-8946-2243583349C9}"/>
            </c:ext>
          </c:extLst>
        </c:ser>
        <c:dLbls>
          <c:showLegendKey val="0"/>
          <c:showVal val="1"/>
          <c:showCatName val="0"/>
          <c:showSerName val="0"/>
          <c:showPercent val="0"/>
          <c:showBubbleSize val="0"/>
          <c:showLeaderLines val="1"/>
        </c:dLbls>
        <c:firstSliceAng val="0"/>
        <c:holeSize val="70"/>
      </c:doughnutChart>
      <c:spPr>
        <a:noFill/>
        <a:ln>
          <a:noFill/>
        </a:ln>
        <a:effectLst/>
      </c:spPr>
    </c:plotArea>
    <c:legend>
      <c:legendPos val="r"/>
      <c:layout>
        <c:manualLayout>
          <c:xMode val="edge"/>
          <c:yMode val="edge"/>
          <c:x val="0.66679018240094035"/>
          <c:y val="5.1841211333138917E-2"/>
          <c:w val="0.3215228569802826"/>
          <c:h val="0.90164523926900819"/>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da-DK" sz="1400"/>
              <a:t>Græsområder 2018</a:t>
            </a:r>
          </a:p>
        </c:rich>
      </c:tx>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da-DK"/>
        </a:p>
      </c:txPr>
    </c:title>
    <c:autoTitleDeleted val="0"/>
    <c:plotArea>
      <c:layout/>
      <c:doughnut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31E4-4606-9037-BDCBA3FE1428}"/>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31E4-4606-9037-BDCBA3FE1428}"/>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31E4-4606-9037-BDCBA3FE1428}"/>
              </c:ext>
            </c:extLst>
          </c:dPt>
          <c:dLbls>
            <c:spPr>
              <a:no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da-DK"/>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('Grafer-klima-&gt;VÆLG GWP og NIR&lt;-'!$B$386:$B$387,'Grafer-klima-&gt;VÆLG GWP og NIR&lt;-'!$B$389)</c:f>
              <c:strCache>
                <c:ptCount val="3"/>
                <c:pt idx="0">
                  <c:v>Græs- og kløvermark i omdriften + Frø til udsæd</c:v>
                </c:pt>
                <c:pt idx="1">
                  <c:v>Græs uden for omdrift</c:v>
                </c:pt>
                <c:pt idx="2">
                  <c:v>Total uden græs</c:v>
                </c:pt>
              </c:strCache>
            </c:strRef>
          </c:cat>
          <c:val>
            <c:numRef>
              <c:f>('Grafer-klima-&gt;VÆLG GWP og NIR&lt;-'!$C$386:$C$387,'Grafer-klima-&gt;VÆLG GWP og NIR&lt;-'!$C$389)</c:f>
              <c:numCache>
                <c:formatCode>#,##0</c:formatCode>
                <c:ptCount val="3"/>
                <c:pt idx="0">
                  <c:v>724.94</c:v>
                </c:pt>
                <c:pt idx="1">
                  <c:v>497.95000000000005</c:v>
                </c:pt>
                <c:pt idx="2">
                  <c:v>919.97999999999979</c:v>
                </c:pt>
              </c:numCache>
            </c:numRef>
          </c:val>
          <c:extLst>
            <c:ext xmlns:c16="http://schemas.microsoft.com/office/drawing/2014/chart" uri="{C3380CC4-5D6E-409C-BE32-E72D297353CC}">
              <c16:uniqueId val="{00000006-31E4-4606-9037-BDCBA3FE142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0" normalizeH="0" baseline="0">
                <a:solidFill>
                  <a:sysClr val="windowText" lastClr="000000"/>
                </a:solidFill>
                <a:latin typeface="+mn-lt"/>
                <a:ea typeface="+mj-ea"/>
                <a:cs typeface="+mj-cs"/>
              </a:defRPr>
            </a:pPr>
            <a:r>
              <a:rPr lang="da-DK" sz="1400" b="1">
                <a:latin typeface="+mn-lt"/>
              </a:rPr>
              <a:t>2018</a:t>
            </a:r>
          </a:p>
        </c:rich>
      </c:tx>
      <c:overlay val="0"/>
      <c:spPr>
        <a:noFill/>
        <a:ln>
          <a:noFill/>
        </a:ln>
        <a:effectLst/>
      </c:spPr>
      <c:txPr>
        <a:bodyPr rot="0" spcFirstLastPara="1" vertOverflow="ellipsis" vert="horz" wrap="square" anchor="ctr" anchorCtr="1"/>
        <a:lstStyle/>
        <a:p>
          <a:pPr>
            <a:defRPr sz="1400" b="1" i="0" u="none" strike="noStrike" kern="1200" cap="none" spc="0" normalizeH="0" baseline="0">
              <a:solidFill>
                <a:sysClr val="windowText" lastClr="000000"/>
              </a:solidFill>
              <a:latin typeface="+mn-lt"/>
              <a:ea typeface="+mj-ea"/>
              <a:cs typeface="+mj-cs"/>
            </a:defRPr>
          </a:pPr>
          <a:endParaRPr lang="da-DK"/>
        </a:p>
      </c:txPr>
    </c:title>
    <c:autoTitleDeleted val="0"/>
    <c:plotArea>
      <c:layout/>
      <c:barChart>
        <c:barDir val="col"/>
        <c:grouping val="percentStacked"/>
        <c:varyColors val="0"/>
        <c:ser>
          <c:idx val="0"/>
          <c:order val="0"/>
          <c:tx>
            <c:strRef>
              <c:f>'Grafer-klima-&gt;VÆLG GWP og NIR&lt;-'!$C$550</c:f>
              <c:strCache>
                <c:ptCount val="1"/>
                <c:pt idx="0">
                  <c:v>CO2</c:v>
                </c:pt>
              </c:strCache>
            </c:strRef>
          </c:tx>
          <c:spPr>
            <a:solidFill>
              <a:schemeClr val="accent2"/>
            </a:solidFill>
            <a:ln>
              <a:noFill/>
            </a:ln>
            <a:effectLst/>
          </c:spPr>
          <c:invertIfNegative val="0"/>
          <c:cat>
            <c:strRef>
              <c:extLst>
                <c:ext xmlns:c15="http://schemas.microsoft.com/office/drawing/2012/chart" uri="{02D57815-91ED-43cb-92C2-25804820EDAC}">
                  <c15:fullRef>
                    <c15:sqref>'Grafer-klima-&gt;VÆLG GWP og NIR&lt;-'!$B$551:$B$557</c15:sqref>
                  </c15:fullRef>
                </c:ext>
              </c:extLst>
              <c:f>('Grafer-klima-&gt;VÆLG GWP og NIR&lt;-'!$B$551:$B$554,'Grafer-klima-&gt;VÆLG GWP og NIR&lt;-'!$B$556:$B$557)</c:f>
              <c:strCache>
                <c:ptCount val="6"/>
                <c:pt idx="0">
                  <c:v>Mineralsk industri</c:v>
                </c:pt>
                <c:pt idx="1">
                  <c:v>Kemisk industri </c:v>
                </c:pt>
                <c:pt idx="2">
                  <c:v>Metalindustri</c:v>
                </c:pt>
                <c:pt idx="3">
                  <c:v>Brug af brændstof og opløsningsmiddel (ej energirelateret) </c:v>
                </c:pt>
                <c:pt idx="4">
                  <c:v>Ozon-erstattende produkter </c:v>
                </c:pt>
                <c:pt idx="5">
                  <c:v>Anden produktfremstilling og anvendelse </c:v>
                </c:pt>
              </c:strCache>
            </c:strRef>
          </c:cat>
          <c:val>
            <c:numRef>
              <c:extLst>
                <c:ext xmlns:c15="http://schemas.microsoft.com/office/drawing/2012/chart" uri="{02D57815-91ED-43cb-92C2-25804820EDAC}">
                  <c15:fullRef>
                    <c15:sqref>'Grafer-klima-&gt;VÆLG GWP og NIR&lt;-'!$C$551:$C$557</c15:sqref>
                  </c15:fullRef>
                </c:ext>
              </c:extLst>
              <c:f>('Grafer-klima-&gt;VÆLG GWP og NIR&lt;-'!$C$551:$C$554,'Grafer-klima-&gt;VÆLG GWP og NIR&lt;-'!$C$556:$C$557)</c:f>
              <c:numCache>
                <c:formatCode>#,##0</c:formatCode>
                <c:ptCount val="6"/>
                <c:pt idx="0">
                  <c:v>5.8248804142676507</c:v>
                </c:pt>
                <c:pt idx="1">
                  <c:v>0.4467191972759933</c:v>
                </c:pt>
                <c:pt idx="2">
                  <c:v>3.7382822567672058E-2</c:v>
                </c:pt>
                <c:pt idx="3">
                  <c:v>50.465397716505549</c:v>
                </c:pt>
                <c:pt idx="4">
                  <c:v>0</c:v>
                </c:pt>
                <c:pt idx="5">
                  <c:v>8.4272689225747641E-2</c:v>
                </c:pt>
              </c:numCache>
            </c:numRef>
          </c:val>
          <c:extLst>
            <c:ext xmlns:c16="http://schemas.microsoft.com/office/drawing/2014/chart" uri="{C3380CC4-5D6E-409C-BE32-E72D297353CC}">
              <c16:uniqueId val="{00000000-CC9A-4CE2-8969-9FD3074893C4}"/>
            </c:ext>
          </c:extLst>
        </c:ser>
        <c:ser>
          <c:idx val="1"/>
          <c:order val="1"/>
          <c:tx>
            <c:strRef>
              <c:f>'Grafer-klima-&gt;VÆLG GWP og NIR&lt;-'!$D$550</c:f>
              <c:strCache>
                <c:ptCount val="1"/>
                <c:pt idx="0">
                  <c:v>CH4</c:v>
                </c:pt>
              </c:strCache>
            </c:strRef>
          </c:tx>
          <c:spPr>
            <a:solidFill>
              <a:schemeClr val="accent4"/>
            </a:solidFill>
            <a:ln>
              <a:noFill/>
            </a:ln>
            <a:effectLst/>
          </c:spPr>
          <c:invertIfNegative val="0"/>
          <c:cat>
            <c:strRef>
              <c:extLst>
                <c:ext xmlns:c15="http://schemas.microsoft.com/office/drawing/2012/chart" uri="{02D57815-91ED-43cb-92C2-25804820EDAC}">
                  <c15:fullRef>
                    <c15:sqref>'Grafer-klima-&gt;VÆLG GWP og NIR&lt;-'!$B$551:$B$557</c15:sqref>
                  </c15:fullRef>
                </c:ext>
              </c:extLst>
              <c:f>('Grafer-klima-&gt;VÆLG GWP og NIR&lt;-'!$B$551:$B$554,'Grafer-klima-&gt;VÆLG GWP og NIR&lt;-'!$B$556:$B$557)</c:f>
              <c:strCache>
                <c:ptCount val="6"/>
                <c:pt idx="0">
                  <c:v>Mineralsk industri</c:v>
                </c:pt>
                <c:pt idx="1">
                  <c:v>Kemisk industri </c:v>
                </c:pt>
                <c:pt idx="2">
                  <c:v>Metalindustri</c:v>
                </c:pt>
                <c:pt idx="3">
                  <c:v>Brug af brændstof og opløsningsmiddel (ej energirelateret) </c:v>
                </c:pt>
                <c:pt idx="4">
                  <c:v>Ozon-erstattende produkter </c:v>
                </c:pt>
                <c:pt idx="5">
                  <c:v>Anden produktfremstilling og anvendelse </c:v>
                </c:pt>
              </c:strCache>
            </c:strRef>
          </c:cat>
          <c:val>
            <c:numRef>
              <c:extLst>
                <c:ext xmlns:c15="http://schemas.microsoft.com/office/drawing/2012/chart" uri="{02D57815-91ED-43cb-92C2-25804820EDAC}">
                  <c15:fullRef>
                    <c15:sqref>'Grafer-klima-&gt;VÆLG GWP og NIR&lt;-'!$D$551:$D$557</c15:sqref>
                  </c15:fullRef>
                </c:ext>
              </c:extLst>
              <c:f>('Grafer-klima-&gt;VÆLG GWP og NIR&lt;-'!$D$551:$D$554,'Grafer-klima-&gt;VÆLG GWP og NIR&lt;-'!$D$556:$D$557)</c:f>
              <c:numCache>
                <c:formatCode>#,##0</c:formatCode>
                <c:ptCount val="6"/>
                <c:pt idx="0">
                  <c:v>0</c:v>
                </c:pt>
                <c:pt idx="1">
                  <c:v>0</c:v>
                </c:pt>
                <c:pt idx="2">
                  <c:v>0</c:v>
                </c:pt>
                <c:pt idx="3">
                  <c:v>6.3778651044508142E-3</c:v>
                </c:pt>
                <c:pt idx="4">
                  <c:v>0</c:v>
                </c:pt>
                <c:pt idx="5">
                  <c:v>2.2560245078002972E-2</c:v>
                </c:pt>
              </c:numCache>
            </c:numRef>
          </c:val>
          <c:extLst>
            <c:ext xmlns:c16="http://schemas.microsoft.com/office/drawing/2014/chart" uri="{C3380CC4-5D6E-409C-BE32-E72D297353CC}">
              <c16:uniqueId val="{00000001-CC9A-4CE2-8969-9FD3074893C4}"/>
            </c:ext>
          </c:extLst>
        </c:ser>
        <c:ser>
          <c:idx val="2"/>
          <c:order val="2"/>
          <c:tx>
            <c:strRef>
              <c:f>'Grafer-klima-&gt;VÆLG GWP og NIR&lt;-'!$E$550</c:f>
              <c:strCache>
                <c:ptCount val="1"/>
                <c:pt idx="0">
                  <c:v>N2O</c:v>
                </c:pt>
              </c:strCache>
            </c:strRef>
          </c:tx>
          <c:spPr>
            <a:solidFill>
              <a:schemeClr val="accent6"/>
            </a:solidFill>
            <a:ln>
              <a:noFill/>
            </a:ln>
            <a:effectLst/>
          </c:spPr>
          <c:invertIfNegative val="0"/>
          <c:cat>
            <c:strRef>
              <c:extLst>
                <c:ext xmlns:c15="http://schemas.microsoft.com/office/drawing/2012/chart" uri="{02D57815-91ED-43cb-92C2-25804820EDAC}">
                  <c15:fullRef>
                    <c15:sqref>'Grafer-klima-&gt;VÆLG GWP og NIR&lt;-'!$B$551:$B$557</c15:sqref>
                  </c15:fullRef>
                </c:ext>
              </c:extLst>
              <c:f>('Grafer-klima-&gt;VÆLG GWP og NIR&lt;-'!$B$551:$B$554,'Grafer-klima-&gt;VÆLG GWP og NIR&lt;-'!$B$556:$B$557)</c:f>
              <c:strCache>
                <c:ptCount val="6"/>
                <c:pt idx="0">
                  <c:v>Mineralsk industri</c:v>
                </c:pt>
                <c:pt idx="1">
                  <c:v>Kemisk industri </c:v>
                </c:pt>
                <c:pt idx="2">
                  <c:v>Metalindustri</c:v>
                </c:pt>
                <c:pt idx="3">
                  <c:v>Brug af brændstof og opløsningsmiddel (ej energirelateret) </c:v>
                </c:pt>
                <c:pt idx="4">
                  <c:v>Ozon-erstattende produkter </c:v>
                </c:pt>
                <c:pt idx="5">
                  <c:v>Anden produktfremstilling og anvendelse </c:v>
                </c:pt>
              </c:strCache>
            </c:strRef>
          </c:cat>
          <c:val>
            <c:numRef>
              <c:extLst>
                <c:ext xmlns:c15="http://schemas.microsoft.com/office/drawing/2012/chart" uri="{02D57815-91ED-43cb-92C2-25804820EDAC}">
                  <c15:fullRef>
                    <c15:sqref>'Grafer-klima-&gt;VÆLG GWP og NIR&lt;-'!$E$551:$E$557</c15:sqref>
                  </c15:fullRef>
                </c:ext>
              </c:extLst>
              <c:f>('Grafer-klima-&gt;VÆLG GWP og NIR&lt;-'!$E$551:$E$554,'Grafer-klima-&gt;VÆLG GWP og NIR&lt;-'!$E$556:$E$557)</c:f>
              <c:numCache>
                <c:formatCode>#,##0</c:formatCode>
                <c:ptCount val="6"/>
                <c:pt idx="0">
                  <c:v>0</c:v>
                </c:pt>
                <c:pt idx="1">
                  <c:v>0</c:v>
                </c:pt>
                <c:pt idx="2">
                  <c:v>0</c:v>
                </c:pt>
                <c:pt idx="3">
                  <c:v>1.5083406288324722E-4</c:v>
                </c:pt>
                <c:pt idx="4">
                  <c:v>0</c:v>
                </c:pt>
                <c:pt idx="5">
                  <c:v>2.099799480577182E-2</c:v>
                </c:pt>
              </c:numCache>
            </c:numRef>
          </c:val>
          <c:extLst>
            <c:ext xmlns:c16="http://schemas.microsoft.com/office/drawing/2014/chart" uri="{C3380CC4-5D6E-409C-BE32-E72D297353CC}">
              <c16:uniqueId val="{00000002-CC9A-4CE2-8969-9FD3074893C4}"/>
            </c:ext>
          </c:extLst>
        </c:ser>
        <c:ser>
          <c:idx val="3"/>
          <c:order val="3"/>
          <c:tx>
            <c:strRef>
              <c:f>'Grafer-klima-&gt;VÆLG GWP og NIR&lt;-'!$F$550</c:f>
              <c:strCache>
                <c:ptCount val="1"/>
                <c:pt idx="0">
                  <c:v>F-gasser</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'Grafer-klima-&gt;VÆLG GWP og NIR&lt;-'!$B$551:$B$557</c15:sqref>
                  </c15:fullRef>
                </c:ext>
              </c:extLst>
              <c:f>('Grafer-klima-&gt;VÆLG GWP og NIR&lt;-'!$B$551:$B$554,'Grafer-klima-&gt;VÆLG GWP og NIR&lt;-'!$B$556:$B$557)</c:f>
              <c:strCache>
                <c:ptCount val="6"/>
                <c:pt idx="0">
                  <c:v>Mineralsk industri</c:v>
                </c:pt>
                <c:pt idx="1">
                  <c:v>Kemisk industri </c:v>
                </c:pt>
                <c:pt idx="2">
                  <c:v>Metalindustri</c:v>
                </c:pt>
                <c:pt idx="3">
                  <c:v>Brug af brændstof og opløsningsmiddel (ej energirelateret) </c:v>
                </c:pt>
                <c:pt idx="4">
                  <c:v>Ozon-erstattende produkter </c:v>
                </c:pt>
                <c:pt idx="5">
                  <c:v>Anden produktfremstilling og anvendelse </c:v>
                </c:pt>
              </c:strCache>
            </c:strRef>
          </c:cat>
          <c:val>
            <c:numRef>
              <c:extLst>
                <c:ext xmlns:c15="http://schemas.microsoft.com/office/drawing/2012/chart" uri="{02D57815-91ED-43cb-92C2-25804820EDAC}">
                  <c15:fullRef>
                    <c15:sqref>'Grafer-klima-&gt;VÆLG GWP og NIR&lt;-'!$F$551:$F$557</c15:sqref>
                  </c15:fullRef>
                </c:ext>
              </c:extLst>
              <c:f>('Grafer-klima-&gt;VÆLG GWP og NIR&lt;-'!$F$551:$F$554,'Grafer-klima-&gt;VÆLG GWP og NIR&lt;-'!$F$556:$F$557)</c:f>
              <c:numCache>
                <c:formatCode>#,##0</c:formatCode>
                <c:ptCount val="6"/>
                <c:pt idx="0">
                  <c:v>0</c:v>
                </c:pt>
                <c:pt idx="1">
                  <c:v>0</c:v>
                </c:pt>
                <c:pt idx="2">
                  <c:v>0</c:v>
                </c:pt>
                <c:pt idx="3">
                  <c:v>0</c:v>
                </c:pt>
                <c:pt idx="4">
                  <c:v>152.32757922682916</c:v>
                </c:pt>
                <c:pt idx="5">
                  <c:v>0</c:v>
                </c:pt>
              </c:numCache>
            </c:numRef>
          </c:val>
          <c:extLst>
            <c:ext xmlns:c16="http://schemas.microsoft.com/office/drawing/2014/chart" uri="{C3380CC4-5D6E-409C-BE32-E72D297353CC}">
              <c16:uniqueId val="{00000003-CC9A-4CE2-8969-9FD3074893C4}"/>
            </c:ext>
          </c:extLst>
        </c:ser>
        <c:dLbls>
          <c:showLegendKey val="0"/>
          <c:showVal val="0"/>
          <c:showCatName val="0"/>
          <c:showSerName val="0"/>
          <c:showPercent val="0"/>
          <c:showBubbleSize val="0"/>
        </c:dLbls>
        <c:gapWidth val="150"/>
        <c:overlap val="100"/>
        <c:axId val="724142080"/>
        <c:axId val="724145360"/>
      </c:barChart>
      <c:catAx>
        <c:axId val="724142080"/>
        <c:scaling>
          <c:orientation val="minMax"/>
        </c:scaling>
        <c:delete val="0"/>
        <c:axPos val="b"/>
        <c:majorGridlines>
          <c:spPr>
            <a:ln w="9525" cap="flat" cmpd="sng" algn="ctr">
              <a:solidFill>
                <a:schemeClr val="dk1">
                  <a:shade val="95000"/>
                  <a:satMod val="105000"/>
                </a:schemeClr>
              </a:solidFill>
              <a:prstDash val="solid"/>
              <a:round/>
            </a:ln>
            <a:effectLst/>
          </c:spPr>
        </c:majorGridlines>
        <c:numFmt formatCode="General" sourceLinked="1"/>
        <c:majorTickMark val="none"/>
        <c:minorTickMark val="none"/>
        <c:tickLblPos val="nextTo"/>
        <c:spPr>
          <a:noFill/>
          <a:ln w="9525" cap="flat" cmpd="sng" algn="ctr">
            <a:solidFill>
              <a:schemeClr val="dk1">
                <a:shade val="95000"/>
                <a:satMod val="105000"/>
              </a:schemeClr>
            </a:solidFill>
            <a:prstDash val="solid"/>
            <a:round/>
          </a:ln>
          <a:effectLst/>
        </c:spPr>
        <c:txPr>
          <a:bodyPr rot="-60000000" spcFirstLastPara="1" vertOverflow="ellipsis" vert="horz" wrap="square" anchor="ctr" anchorCtr="1"/>
          <a:lstStyle/>
          <a:p>
            <a:pPr>
              <a:defRPr sz="900" b="0" i="0" u="none" strike="noStrike" kern="1200" cap="none" spc="0" normalizeH="0" baseline="0">
                <a:solidFill>
                  <a:schemeClr val="tx1"/>
                </a:solidFill>
                <a:latin typeface="+mn-lt"/>
                <a:ea typeface="+mn-ea"/>
                <a:cs typeface="+mn-cs"/>
              </a:defRPr>
            </a:pPr>
            <a:endParaRPr lang="da-DK"/>
          </a:p>
        </c:txPr>
        <c:crossAx val="724145360"/>
        <c:crosses val="autoZero"/>
        <c:auto val="1"/>
        <c:lblAlgn val="ctr"/>
        <c:lblOffset val="100"/>
        <c:noMultiLvlLbl val="0"/>
      </c:catAx>
      <c:valAx>
        <c:axId val="724145360"/>
        <c:scaling>
          <c:orientation val="minMax"/>
        </c:scaling>
        <c:delete val="0"/>
        <c:axPos val="l"/>
        <c:majorGridlines>
          <c:spPr>
            <a:ln w="9525" cap="flat" cmpd="sng" algn="ctr">
              <a:solidFill>
                <a:sysClr val="windowText" lastClr="000000"/>
              </a:solidFill>
              <a:round/>
            </a:ln>
            <a:effectLst/>
          </c:spPr>
        </c:majorGridlines>
        <c:numFmt formatCode="0%" sourceLinked="1"/>
        <c:majorTickMark val="none"/>
        <c:minorTickMark val="none"/>
        <c:tickLblPos val="nextTo"/>
        <c:spPr>
          <a:noFill/>
          <a:ln w="9525" cap="flat" cmpd="sng" algn="ctr">
            <a:solidFill>
              <a:schemeClr val="dk1">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a-DK"/>
          </a:p>
        </c:txPr>
        <c:crossAx val="724142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ysClr val="windowText" lastClr="000000"/>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'Grafer-klima-&gt;VÆLG GWP og NIR&lt;-'!$C$39</c:f>
              <c:strCache>
                <c:ptCount val="1"/>
                <c:pt idx="0">
                  <c:v>1990</c:v>
                </c:pt>
              </c:strCache>
            </c:strRef>
          </c:tx>
          <c:spPr>
            <a:ln w="28575" cap="rnd">
              <a:solidFill>
                <a:srgbClr val="1CADE4"/>
              </a:solidFill>
              <a:round/>
            </a:ln>
            <a:effectLst/>
          </c:spPr>
          <c:marker>
            <c:symbol val="none"/>
          </c:marker>
          <c:cat>
            <c:strRef>
              <c:f>'Grafer-klima-&gt;VÆLG GWP og NIR&lt;-'!$B$40:$B$46</c:f>
              <c:strCache>
                <c:ptCount val="7"/>
                <c:pt idx="0">
                  <c:v>Planteavl</c:v>
                </c:pt>
                <c:pt idx="1">
                  <c:v>Dyrehold</c:v>
                </c:pt>
                <c:pt idx="2">
                  <c:v>Industrielle processer</c:v>
                </c:pt>
                <c:pt idx="3">
                  <c:v>Transport</c:v>
                </c:pt>
                <c:pt idx="4">
                  <c:v>Energi</c:v>
                </c:pt>
                <c:pt idx="5">
                  <c:v>Arealanvendelse</c:v>
                </c:pt>
                <c:pt idx="6">
                  <c:v>Affald, spildevand og tilfældige brande</c:v>
                </c:pt>
              </c:strCache>
            </c:strRef>
          </c:cat>
          <c:val>
            <c:numRef>
              <c:f>'Grafer-klima-&gt;VÆLG GWP og NIR&lt;-'!$C$40:$C$46</c:f>
              <c:numCache>
                <c:formatCode>#,##0</c:formatCode>
                <c:ptCount val="7"/>
                <c:pt idx="0">
                  <c:v>5781.9474119843626</c:v>
                </c:pt>
                <c:pt idx="1">
                  <c:v>8689.0803083732771</c:v>
                </c:pt>
                <c:pt idx="2">
                  <c:v>249.24384191104065</c:v>
                </c:pt>
                <c:pt idx="3">
                  <c:v>5236.8684347403105</c:v>
                </c:pt>
                <c:pt idx="4">
                  <c:v>18758.217234292362</c:v>
                </c:pt>
                <c:pt idx="5">
                  <c:v>8140.1362946083145</c:v>
                </c:pt>
                <c:pt idx="6">
                  <c:v>639.65626488508724</c:v>
                </c:pt>
              </c:numCache>
            </c:numRef>
          </c:val>
          <c:extLst>
            <c:ext xmlns:c16="http://schemas.microsoft.com/office/drawing/2014/chart" uri="{C3380CC4-5D6E-409C-BE32-E72D297353CC}">
              <c16:uniqueId val="{00000000-3B77-4FF8-BC50-726802E652AD}"/>
            </c:ext>
          </c:extLst>
        </c:ser>
        <c:ser>
          <c:idx val="2"/>
          <c:order val="1"/>
          <c:tx>
            <c:strRef>
              <c:f>'Grafer-klima-&gt;VÆLG GWP og NIR&lt;-'!$D$39</c:f>
              <c:strCache>
                <c:ptCount val="1"/>
                <c:pt idx="0">
                  <c:v>2018/2020</c:v>
                </c:pt>
              </c:strCache>
            </c:strRef>
          </c:tx>
          <c:spPr>
            <a:ln w="28575" cap="rnd">
              <a:solidFill>
                <a:srgbClr val="106889"/>
              </a:solidFill>
              <a:round/>
            </a:ln>
            <a:effectLst/>
          </c:spPr>
          <c:marker>
            <c:symbol val="none"/>
          </c:marker>
          <c:cat>
            <c:strRef>
              <c:f>'Grafer-klima-&gt;VÆLG GWP og NIR&lt;-'!$B$40:$B$46</c:f>
              <c:strCache>
                <c:ptCount val="7"/>
                <c:pt idx="0">
                  <c:v>Planteavl</c:v>
                </c:pt>
                <c:pt idx="1">
                  <c:v>Dyrehold</c:v>
                </c:pt>
                <c:pt idx="2">
                  <c:v>Industrielle processer</c:v>
                </c:pt>
                <c:pt idx="3">
                  <c:v>Transport</c:v>
                </c:pt>
                <c:pt idx="4">
                  <c:v>Energi</c:v>
                </c:pt>
                <c:pt idx="5">
                  <c:v>Arealanvendelse</c:v>
                </c:pt>
                <c:pt idx="6">
                  <c:v>Affald, spildevand og tilfældige brande</c:v>
                </c:pt>
              </c:strCache>
            </c:strRef>
          </c:cat>
          <c:val>
            <c:numRef>
              <c:f>'Grafer-klima-&gt;VÆLG GWP og NIR&lt;-'!$D$40:$D$46</c:f>
              <c:numCache>
                <c:formatCode>#,##0</c:formatCode>
                <c:ptCount val="7"/>
                <c:pt idx="0">
                  <c:v>3858.0500830944293</c:v>
                </c:pt>
                <c:pt idx="1">
                  <c:v>8510.0041033403995</c:v>
                </c:pt>
                <c:pt idx="2">
                  <c:v>217.39469354459135</c:v>
                </c:pt>
                <c:pt idx="3">
                  <c:v>5569.0544719999998</c:v>
                </c:pt>
                <c:pt idx="4">
                  <c:v>4776.8757637824538</c:v>
                </c:pt>
                <c:pt idx="5">
                  <c:v>7808.4859395468175</c:v>
                </c:pt>
                <c:pt idx="6">
                  <c:v>384.42820163399642</c:v>
                </c:pt>
              </c:numCache>
            </c:numRef>
          </c:val>
          <c:extLst>
            <c:ext xmlns:c16="http://schemas.microsoft.com/office/drawing/2014/chart" uri="{C3380CC4-5D6E-409C-BE32-E72D297353CC}">
              <c16:uniqueId val="{00000001-3B77-4FF8-BC50-726802E652AD}"/>
            </c:ext>
          </c:extLst>
        </c:ser>
        <c:dLbls>
          <c:showLegendKey val="0"/>
          <c:showVal val="0"/>
          <c:showCatName val="0"/>
          <c:showSerName val="0"/>
          <c:showPercent val="0"/>
          <c:showBubbleSize val="0"/>
        </c:dLbls>
        <c:axId val="775611256"/>
        <c:axId val="775606664"/>
        <c:extLst>
          <c:ext xmlns:c15="http://schemas.microsoft.com/office/drawing/2012/chart" uri="{02D57815-91ED-43cb-92C2-25804820EDAC}">
            <c15:filteredRadarSeries>
              <c15:ser>
                <c:idx val="1"/>
                <c:order val="2"/>
                <c:tx>
                  <c:strRef>
                    <c:extLst>
                      <c:ext uri="{02D57815-91ED-43cb-92C2-25804820EDAC}">
                        <c15:formulaRef>
                          <c15:sqref>'Grafer-klima-&gt;VÆLG GWP og NIR&lt;-'!$E$39</c15:sqref>
                        </c15:formulaRef>
                      </c:ext>
                    </c:extLst>
                    <c:strCache>
                      <c:ptCount val="1"/>
                    </c:strCache>
                  </c:strRef>
                </c:tx>
                <c:spPr>
                  <a:ln w="28575" cap="rnd">
                    <a:solidFill>
                      <a:srgbClr val="27CED7"/>
                    </a:solidFill>
                    <a:round/>
                  </a:ln>
                  <a:effectLst/>
                </c:spPr>
                <c:marker>
                  <c:symbol val="none"/>
                </c:marker>
                <c:cat>
                  <c:strRef>
                    <c:extLst>
                      <c:ext uri="{02D57815-91ED-43cb-92C2-25804820EDAC}">
                        <c15:formulaRef>
                          <c15:sqref>'Grafer-klima-&gt;VÆLG GWP og NIR&lt;-'!$B$40:$B$46</c15:sqref>
                        </c15:formulaRef>
                      </c:ext>
                    </c:extLst>
                    <c:strCache>
                      <c:ptCount val="7"/>
                      <c:pt idx="0">
                        <c:v>Planteavl</c:v>
                      </c:pt>
                      <c:pt idx="1">
                        <c:v>Dyrehold</c:v>
                      </c:pt>
                      <c:pt idx="2">
                        <c:v>Industrielle processer</c:v>
                      </c:pt>
                      <c:pt idx="3">
                        <c:v>Transport</c:v>
                      </c:pt>
                      <c:pt idx="4">
                        <c:v>Energi</c:v>
                      </c:pt>
                      <c:pt idx="5">
                        <c:v>Arealanvendelse</c:v>
                      </c:pt>
                      <c:pt idx="6">
                        <c:v>Affald, spildevand og tilfældige brande</c:v>
                      </c:pt>
                    </c:strCache>
                  </c:strRef>
                </c:cat>
                <c:val>
                  <c:numRef>
                    <c:extLst>
                      <c:ext uri="{02D57815-91ED-43cb-92C2-25804820EDAC}">
                        <c15:formulaRef>
                          <c15:sqref>'Grafer-klima-&gt;VÆLG GWP og NIR&lt;-'!$E$40:$E$46</c15:sqref>
                        </c15:formulaRef>
                      </c:ext>
                    </c:extLst>
                    <c:numCache>
                      <c:formatCode>General</c:formatCode>
                      <c:ptCount val="7"/>
                    </c:numCache>
                  </c:numRef>
                </c:val>
                <c:extLst>
                  <c:ext xmlns:c16="http://schemas.microsoft.com/office/drawing/2014/chart" uri="{C3380CC4-5D6E-409C-BE32-E72D297353CC}">
                    <c16:uniqueId val="{00000002-3B77-4FF8-BC50-726802E652AD}"/>
                  </c:ext>
                </c:extLst>
              </c15:ser>
            </c15:filteredRadarSeries>
          </c:ext>
        </c:extLst>
      </c:radarChart>
      <c:catAx>
        <c:axId val="775611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crossAx val="775606664"/>
        <c:crosses val="autoZero"/>
        <c:auto val="1"/>
        <c:lblAlgn val="ctr"/>
        <c:lblOffset val="100"/>
        <c:noMultiLvlLbl val="0"/>
      </c:catAx>
      <c:valAx>
        <c:axId val="775606664"/>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7561125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ysClr val="windowText" lastClr="000000"/>
                </a:solidFill>
                <a:latin typeface="+mn-lt"/>
                <a:ea typeface="+mj-ea"/>
                <a:cs typeface="+mj-cs"/>
              </a:defRPr>
            </a:pPr>
            <a:r>
              <a:rPr lang="da-DK">
                <a:latin typeface="+mn-lt"/>
              </a:rPr>
              <a:t>Reduktionssti</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ysClr val="windowText" lastClr="000000"/>
              </a:solidFill>
              <a:latin typeface="+mn-lt"/>
              <a:ea typeface="+mj-ea"/>
              <a:cs typeface="+mj-cs"/>
            </a:defRPr>
          </a:pPr>
          <a:endParaRPr lang="da-DK"/>
        </a:p>
      </c:txPr>
    </c:title>
    <c:autoTitleDeleted val="0"/>
    <c:plotArea>
      <c:layout>
        <c:manualLayout>
          <c:layoutTarget val="inner"/>
          <c:xMode val="edge"/>
          <c:yMode val="edge"/>
          <c:x val="8.3391770116445774E-2"/>
          <c:y val="9.4073566600580499E-2"/>
          <c:w val="0.8496815622311481"/>
          <c:h val="0.69651088134531114"/>
        </c:manualLayout>
      </c:layout>
      <c:barChart>
        <c:barDir val="col"/>
        <c:grouping val="stacked"/>
        <c:varyColors val="0"/>
        <c:ser>
          <c:idx val="3"/>
          <c:order val="0"/>
          <c:tx>
            <c:strRef>
              <c:f>Sammenfatning!$A$5</c:f>
              <c:strCache>
                <c:ptCount val="1"/>
                <c:pt idx="0">
                  <c:v>Planteavl</c:v>
                </c:pt>
              </c:strCache>
            </c:strRef>
          </c:tx>
          <c:spPr>
            <a:solidFill>
              <a:schemeClr val="accent6">
                <a:lumMod val="60000"/>
              </a:schemeClr>
            </a:solidFill>
            <a:ln>
              <a:noFill/>
            </a:ln>
            <a:effectLst/>
          </c:spPr>
          <c:invertIfNegative val="0"/>
          <c:dLbls>
            <c:delete val="1"/>
          </c:dLbls>
          <c:cat>
            <c:strRef>
              <c:extLst>
                <c:ext xmlns:c15="http://schemas.microsoft.com/office/drawing/2012/chart" uri="{02D57815-91ED-43cb-92C2-25804820EDAC}">
                  <c15:fullRef>
                    <c15:sqref>Sammenfatning!$B$4:$G$4</c15:sqref>
                  </c15:fullRef>
                </c:ext>
              </c:extLst>
              <c:f>(Sammenfatning!$B$4:$D$4,Sammenfatning!$G$4)</c:f>
              <c:strCache>
                <c:ptCount val="4"/>
                <c:pt idx="0">
                  <c:v>1990</c:v>
                </c:pt>
                <c:pt idx="1">
                  <c:v>2018/2020</c:v>
                </c:pt>
                <c:pt idx="2">
                  <c:v>BAU2030</c:v>
                </c:pt>
                <c:pt idx="3">
                  <c:v>STI2050</c:v>
                </c:pt>
              </c:strCache>
            </c:strRef>
          </c:cat>
          <c:val>
            <c:numRef>
              <c:extLst>
                <c:ext xmlns:c15="http://schemas.microsoft.com/office/drawing/2012/chart" uri="{02D57815-91ED-43cb-92C2-25804820EDAC}">
                  <c15:fullRef>
                    <c15:sqref>Sammenfatning!$B$5:$G$5</c15:sqref>
                  </c15:fullRef>
                </c:ext>
              </c:extLst>
              <c:f>(Sammenfatning!$B$5:$D$5,Sammenfatning!$G$5)</c:f>
              <c:numCache>
                <c:formatCode>#,##0</c:formatCode>
                <c:ptCount val="4"/>
                <c:pt idx="0">
                  <c:v>5800</c:v>
                </c:pt>
                <c:pt idx="1">
                  <c:v>3900</c:v>
                </c:pt>
                <c:pt idx="2">
                  <c:v>3900</c:v>
                </c:pt>
                <c:pt idx="3">
                  <c:v>3400</c:v>
                </c:pt>
              </c:numCache>
            </c:numRef>
          </c:val>
          <c:extLst>
            <c:ext xmlns:c16="http://schemas.microsoft.com/office/drawing/2014/chart" uri="{C3380CC4-5D6E-409C-BE32-E72D297353CC}">
              <c16:uniqueId val="{0000002B-6D64-4A52-B1E7-98DF485B7A17}"/>
            </c:ext>
          </c:extLst>
        </c:ser>
        <c:ser>
          <c:idx val="4"/>
          <c:order val="1"/>
          <c:tx>
            <c:strRef>
              <c:f>Sammenfatning!$A$6</c:f>
              <c:strCache>
                <c:ptCount val="1"/>
                <c:pt idx="0">
                  <c:v>Dyrehold</c:v>
                </c:pt>
              </c:strCache>
            </c:strRef>
          </c:tx>
          <c:spPr>
            <a:solidFill>
              <a:schemeClr val="accent5">
                <a:lumMod val="60000"/>
              </a:schemeClr>
            </a:solidFill>
            <a:ln>
              <a:noFill/>
            </a:ln>
            <a:effectLst/>
          </c:spPr>
          <c:invertIfNegative val="0"/>
          <c:dLbls>
            <c:delete val="1"/>
          </c:dLbls>
          <c:cat>
            <c:strRef>
              <c:extLst>
                <c:ext xmlns:c15="http://schemas.microsoft.com/office/drawing/2012/chart" uri="{02D57815-91ED-43cb-92C2-25804820EDAC}">
                  <c15:fullRef>
                    <c15:sqref>Sammenfatning!$B$4:$G$4</c15:sqref>
                  </c15:fullRef>
                </c:ext>
              </c:extLst>
              <c:f>(Sammenfatning!$B$4:$D$4,Sammenfatning!$G$4)</c:f>
              <c:strCache>
                <c:ptCount val="4"/>
                <c:pt idx="0">
                  <c:v>1990</c:v>
                </c:pt>
                <c:pt idx="1">
                  <c:v>2018/2020</c:v>
                </c:pt>
                <c:pt idx="2">
                  <c:v>BAU2030</c:v>
                </c:pt>
                <c:pt idx="3">
                  <c:v>STI2050</c:v>
                </c:pt>
              </c:strCache>
            </c:strRef>
          </c:cat>
          <c:val>
            <c:numRef>
              <c:extLst>
                <c:ext xmlns:c15="http://schemas.microsoft.com/office/drawing/2012/chart" uri="{02D57815-91ED-43cb-92C2-25804820EDAC}">
                  <c15:fullRef>
                    <c15:sqref>Sammenfatning!$B$6:$G$6</c15:sqref>
                  </c15:fullRef>
                </c:ext>
              </c:extLst>
              <c:f>(Sammenfatning!$B$6:$D$6,Sammenfatning!$G$6)</c:f>
              <c:numCache>
                <c:formatCode>#,##0</c:formatCode>
                <c:ptCount val="4"/>
                <c:pt idx="0">
                  <c:v>8700</c:v>
                </c:pt>
                <c:pt idx="1">
                  <c:v>8500</c:v>
                </c:pt>
                <c:pt idx="2">
                  <c:v>6000</c:v>
                </c:pt>
                <c:pt idx="3">
                  <c:v>6000</c:v>
                </c:pt>
              </c:numCache>
            </c:numRef>
          </c:val>
          <c:extLst>
            <c:ext xmlns:c16="http://schemas.microsoft.com/office/drawing/2014/chart" uri="{C3380CC4-5D6E-409C-BE32-E72D297353CC}">
              <c16:uniqueId val="{0000002D-6D64-4A52-B1E7-98DF485B7A17}"/>
            </c:ext>
          </c:extLst>
        </c:ser>
        <c:ser>
          <c:idx val="5"/>
          <c:order val="2"/>
          <c:tx>
            <c:strRef>
              <c:f>Sammenfatning!$A$7</c:f>
              <c:strCache>
                <c:ptCount val="1"/>
                <c:pt idx="0">
                  <c:v>Industrielle processer</c:v>
                </c:pt>
              </c:strCache>
            </c:strRef>
          </c:tx>
          <c:spPr>
            <a:solidFill>
              <a:schemeClr val="accent3"/>
            </a:solidFill>
            <a:ln>
              <a:noFill/>
            </a:ln>
            <a:effectLst/>
          </c:spPr>
          <c:invertIfNegative val="0"/>
          <c:dLbls>
            <c:delete val="1"/>
          </c:dLbls>
          <c:cat>
            <c:strRef>
              <c:extLst>
                <c:ext xmlns:c15="http://schemas.microsoft.com/office/drawing/2012/chart" uri="{02D57815-91ED-43cb-92C2-25804820EDAC}">
                  <c15:fullRef>
                    <c15:sqref>Sammenfatning!$B$4:$G$4</c15:sqref>
                  </c15:fullRef>
                </c:ext>
              </c:extLst>
              <c:f>(Sammenfatning!$B$4:$D$4,Sammenfatning!$G$4)</c:f>
              <c:strCache>
                <c:ptCount val="4"/>
                <c:pt idx="0">
                  <c:v>1990</c:v>
                </c:pt>
                <c:pt idx="1">
                  <c:v>2018/2020</c:v>
                </c:pt>
                <c:pt idx="2">
                  <c:v>BAU2030</c:v>
                </c:pt>
                <c:pt idx="3">
                  <c:v>STI2050</c:v>
                </c:pt>
              </c:strCache>
            </c:strRef>
          </c:cat>
          <c:val>
            <c:numRef>
              <c:extLst>
                <c:ext xmlns:c15="http://schemas.microsoft.com/office/drawing/2012/chart" uri="{02D57815-91ED-43cb-92C2-25804820EDAC}">
                  <c15:fullRef>
                    <c15:sqref>Sammenfatning!$B$7:$G$7</c15:sqref>
                  </c15:fullRef>
                </c:ext>
              </c:extLst>
              <c:f>(Sammenfatning!$B$7:$D$7,Sammenfatning!$G$7)</c:f>
              <c:numCache>
                <c:formatCode>#,##0</c:formatCode>
                <c:ptCount val="4"/>
                <c:pt idx="0">
                  <c:v>200</c:v>
                </c:pt>
                <c:pt idx="1">
                  <c:v>200</c:v>
                </c:pt>
                <c:pt idx="2">
                  <c:v>200</c:v>
                </c:pt>
                <c:pt idx="3">
                  <c:v>200</c:v>
                </c:pt>
              </c:numCache>
            </c:numRef>
          </c:val>
          <c:extLst>
            <c:ext xmlns:c16="http://schemas.microsoft.com/office/drawing/2014/chart" uri="{C3380CC4-5D6E-409C-BE32-E72D297353CC}">
              <c16:uniqueId val="{0000002F-6D64-4A52-B1E7-98DF485B7A17}"/>
            </c:ext>
          </c:extLst>
        </c:ser>
        <c:ser>
          <c:idx val="6"/>
          <c:order val="3"/>
          <c:tx>
            <c:strRef>
              <c:f>Sammenfatning!$A$8</c:f>
              <c:strCache>
                <c:ptCount val="1"/>
                <c:pt idx="0">
                  <c:v>Transport</c:v>
                </c:pt>
              </c:strCache>
            </c:strRef>
          </c:tx>
          <c:spPr>
            <a:solidFill>
              <a:srgbClr val="71588F"/>
            </a:solidFill>
            <a:ln>
              <a:noFill/>
            </a:ln>
            <a:effectLst/>
          </c:spPr>
          <c:invertIfNegative val="0"/>
          <c:dLbls>
            <c:delete val="1"/>
          </c:dLbls>
          <c:cat>
            <c:strRef>
              <c:extLst>
                <c:ext xmlns:c15="http://schemas.microsoft.com/office/drawing/2012/chart" uri="{02D57815-91ED-43cb-92C2-25804820EDAC}">
                  <c15:fullRef>
                    <c15:sqref>Sammenfatning!$B$4:$G$4</c15:sqref>
                  </c15:fullRef>
                </c:ext>
              </c:extLst>
              <c:f>(Sammenfatning!$B$4:$D$4,Sammenfatning!$G$4)</c:f>
              <c:strCache>
                <c:ptCount val="4"/>
                <c:pt idx="0">
                  <c:v>1990</c:v>
                </c:pt>
                <c:pt idx="1">
                  <c:v>2018/2020</c:v>
                </c:pt>
                <c:pt idx="2">
                  <c:v>BAU2030</c:v>
                </c:pt>
                <c:pt idx="3">
                  <c:v>STI2050</c:v>
                </c:pt>
              </c:strCache>
            </c:strRef>
          </c:cat>
          <c:val>
            <c:numRef>
              <c:extLst>
                <c:ext xmlns:c15="http://schemas.microsoft.com/office/drawing/2012/chart" uri="{02D57815-91ED-43cb-92C2-25804820EDAC}">
                  <c15:fullRef>
                    <c15:sqref>Sammenfatning!$B$8:$G$8</c15:sqref>
                  </c15:fullRef>
                </c:ext>
              </c:extLst>
              <c:f>(Sammenfatning!$B$8:$D$8,Sammenfatning!$G$8)</c:f>
              <c:numCache>
                <c:formatCode>#,##0</c:formatCode>
                <c:ptCount val="4"/>
                <c:pt idx="0">
                  <c:v>5200</c:v>
                </c:pt>
                <c:pt idx="1">
                  <c:v>5600</c:v>
                </c:pt>
                <c:pt idx="2">
                  <c:v>4500</c:v>
                </c:pt>
                <c:pt idx="3">
                  <c:v>2700</c:v>
                </c:pt>
              </c:numCache>
            </c:numRef>
          </c:val>
          <c:extLst>
            <c:ext xmlns:c16="http://schemas.microsoft.com/office/drawing/2014/chart" uri="{C3380CC4-5D6E-409C-BE32-E72D297353CC}">
              <c16:uniqueId val="{00000031-6D64-4A52-B1E7-98DF485B7A17}"/>
            </c:ext>
          </c:extLst>
        </c:ser>
        <c:ser>
          <c:idx val="7"/>
          <c:order val="4"/>
          <c:tx>
            <c:strRef>
              <c:f>Sammenfatning!$A$9</c:f>
              <c:strCache>
                <c:ptCount val="1"/>
                <c:pt idx="0">
                  <c:v>Energi</c:v>
                </c:pt>
              </c:strCache>
            </c:strRef>
          </c:tx>
          <c:spPr>
            <a:solidFill>
              <a:schemeClr val="accent5">
                <a:lumMod val="80000"/>
                <a:lumOff val="20000"/>
              </a:schemeClr>
            </a:solidFill>
            <a:ln>
              <a:noFill/>
            </a:ln>
            <a:effectLst/>
          </c:spPr>
          <c:invertIfNegative val="0"/>
          <c:dLbls>
            <c:delete val="1"/>
          </c:dLbls>
          <c:cat>
            <c:strRef>
              <c:extLst>
                <c:ext xmlns:c15="http://schemas.microsoft.com/office/drawing/2012/chart" uri="{02D57815-91ED-43cb-92C2-25804820EDAC}">
                  <c15:fullRef>
                    <c15:sqref>Sammenfatning!$B$4:$G$4</c15:sqref>
                  </c15:fullRef>
                </c:ext>
              </c:extLst>
              <c:f>(Sammenfatning!$B$4:$D$4,Sammenfatning!$G$4)</c:f>
              <c:strCache>
                <c:ptCount val="4"/>
                <c:pt idx="0">
                  <c:v>1990</c:v>
                </c:pt>
                <c:pt idx="1">
                  <c:v>2018/2020</c:v>
                </c:pt>
                <c:pt idx="2">
                  <c:v>BAU2030</c:v>
                </c:pt>
                <c:pt idx="3">
                  <c:v>STI2050</c:v>
                </c:pt>
              </c:strCache>
            </c:strRef>
          </c:cat>
          <c:val>
            <c:numRef>
              <c:extLst>
                <c:ext xmlns:c15="http://schemas.microsoft.com/office/drawing/2012/chart" uri="{02D57815-91ED-43cb-92C2-25804820EDAC}">
                  <c15:fullRef>
                    <c15:sqref>Sammenfatning!$B$9:$G$9</c15:sqref>
                  </c15:fullRef>
                </c:ext>
              </c:extLst>
              <c:f>(Sammenfatning!$B$9:$D$9,Sammenfatning!$G$9)</c:f>
              <c:numCache>
                <c:formatCode>#,##0</c:formatCode>
                <c:ptCount val="4"/>
                <c:pt idx="0">
                  <c:v>18800</c:v>
                </c:pt>
                <c:pt idx="1">
                  <c:v>4800</c:v>
                </c:pt>
                <c:pt idx="2">
                  <c:v>500</c:v>
                </c:pt>
                <c:pt idx="3">
                  <c:v>100</c:v>
                </c:pt>
              </c:numCache>
            </c:numRef>
          </c:val>
          <c:extLst>
            <c:ext xmlns:c16="http://schemas.microsoft.com/office/drawing/2014/chart" uri="{C3380CC4-5D6E-409C-BE32-E72D297353CC}">
              <c16:uniqueId val="{00000033-6D64-4A52-B1E7-98DF485B7A17}"/>
            </c:ext>
          </c:extLst>
        </c:ser>
        <c:ser>
          <c:idx val="8"/>
          <c:order val="5"/>
          <c:tx>
            <c:strRef>
              <c:f>Sammenfatning!$A$10</c:f>
              <c:strCache>
                <c:ptCount val="1"/>
                <c:pt idx="0">
                  <c:v>Arealanvendelse</c:v>
                </c:pt>
              </c:strCache>
            </c:strRef>
          </c:tx>
          <c:spPr>
            <a:solidFill>
              <a:schemeClr val="tx1">
                <a:lumMod val="50000"/>
                <a:lumOff val="50000"/>
              </a:schemeClr>
            </a:solidFill>
            <a:ln>
              <a:noFill/>
            </a:ln>
            <a:effectLst/>
          </c:spPr>
          <c:invertIfNegative val="0"/>
          <c:dLbls>
            <c:delete val="1"/>
          </c:dLbls>
          <c:cat>
            <c:strRef>
              <c:extLst>
                <c:ext xmlns:c15="http://schemas.microsoft.com/office/drawing/2012/chart" uri="{02D57815-91ED-43cb-92C2-25804820EDAC}">
                  <c15:fullRef>
                    <c15:sqref>Sammenfatning!$B$4:$G$4</c15:sqref>
                  </c15:fullRef>
                </c:ext>
              </c:extLst>
              <c:f>(Sammenfatning!$B$4:$D$4,Sammenfatning!$G$4)</c:f>
              <c:strCache>
                <c:ptCount val="4"/>
                <c:pt idx="0">
                  <c:v>1990</c:v>
                </c:pt>
                <c:pt idx="1">
                  <c:v>2018/2020</c:v>
                </c:pt>
                <c:pt idx="2">
                  <c:v>BAU2030</c:v>
                </c:pt>
                <c:pt idx="3">
                  <c:v>STI2050</c:v>
                </c:pt>
              </c:strCache>
            </c:strRef>
          </c:cat>
          <c:val>
            <c:numRef>
              <c:extLst>
                <c:ext xmlns:c15="http://schemas.microsoft.com/office/drawing/2012/chart" uri="{02D57815-91ED-43cb-92C2-25804820EDAC}">
                  <c15:fullRef>
                    <c15:sqref>Sammenfatning!$B$10:$G$10</c15:sqref>
                  </c15:fullRef>
                </c:ext>
              </c:extLst>
              <c:f>(Sammenfatning!$B$10:$D$10,Sammenfatning!$G$10)</c:f>
              <c:numCache>
                <c:formatCode>#,##0</c:formatCode>
                <c:ptCount val="4"/>
                <c:pt idx="0">
                  <c:v>8100</c:v>
                </c:pt>
                <c:pt idx="1">
                  <c:v>7800</c:v>
                </c:pt>
                <c:pt idx="2">
                  <c:v>7800</c:v>
                </c:pt>
                <c:pt idx="3">
                  <c:v>-8400</c:v>
                </c:pt>
              </c:numCache>
            </c:numRef>
          </c:val>
          <c:extLst>
            <c:ext xmlns:c16="http://schemas.microsoft.com/office/drawing/2014/chart" uri="{C3380CC4-5D6E-409C-BE32-E72D297353CC}">
              <c16:uniqueId val="{00000035-6D64-4A52-B1E7-98DF485B7A17}"/>
            </c:ext>
          </c:extLst>
        </c:ser>
        <c:ser>
          <c:idx val="9"/>
          <c:order val="6"/>
          <c:tx>
            <c:strRef>
              <c:f>Sammenfatning!$A$11</c:f>
              <c:strCache>
                <c:ptCount val="1"/>
                <c:pt idx="0">
                  <c:v>Affald, spildevand og tilfældige brande</c:v>
                </c:pt>
              </c:strCache>
            </c:strRef>
          </c:tx>
          <c:spPr>
            <a:solidFill>
              <a:schemeClr val="accent6">
                <a:lumMod val="80000"/>
              </a:schemeClr>
            </a:solidFill>
            <a:ln>
              <a:noFill/>
            </a:ln>
            <a:effectLst/>
          </c:spPr>
          <c:invertIfNegative val="0"/>
          <c:dLbls>
            <c:delete val="1"/>
          </c:dLbls>
          <c:cat>
            <c:strRef>
              <c:extLst>
                <c:ext xmlns:c15="http://schemas.microsoft.com/office/drawing/2012/chart" uri="{02D57815-91ED-43cb-92C2-25804820EDAC}">
                  <c15:fullRef>
                    <c15:sqref>Sammenfatning!$B$4:$G$4</c15:sqref>
                  </c15:fullRef>
                </c:ext>
              </c:extLst>
              <c:f>(Sammenfatning!$B$4:$D$4,Sammenfatning!$G$4)</c:f>
              <c:strCache>
                <c:ptCount val="4"/>
                <c:pt idx="0">
                  <c:v>1990</c:v>
                </c:pt>
                <c:pt idx="1">
                  <c:v>2018/2020</c:v>
                </c:pt>
                <c:pt idx="2">
                  <c:v>BAU2030</c:v>
                </c:pt>
                <c:pt idx="3">
                  <c:v>STI2050</c:v>
                </c:pt>
              </c:strCache>
            </c:strRef>
          </c:cat>
          <c:val>
            <c:numRef>
              <c:extLst>
                <c:ext xmlns:c15="http://schemas.microsoft.com/office/drawing/2012/chart" uri="{02D57815-91ED-43cb-92C2-25804820EDAC}">
                  <c15:fullRef>
                    <c15:sqref>Sammenfatning!$B$11:$G$11</c15:sqref>
                  </c15:fullRef>
                </c:ext>
              </c:extLst>
              <c:f>(Sammenfatning!$B$11:$D$11,Sammenfatning!$G$11)</c:f>
              <c:numCache>
                <c:formatCode>#,##0</c:formatCode>
                <c:ptCount val="4"/>
                <c:pt idx="0">
                  <c:v>600</c:v>
                </c:pt>
                <c:pt idx="1">
                  <c:v>400</c:v>
                </c:pt>
                <c:pt idx="2">
                  <c:v>400</c:v>
                </c:pt>
                <c:pt idx="3">
                  <c:v>300</c:v>
                </c:pt>
              </c:numCache>
            </c:numRef>
          </c:val>
          <c:extLst>
            <c:ext xmlns:c16="http://schemas.microsoft.com/office/drawing/2014/chart" uri="{C3380CC4-5D6E-409C-BE32-E72D297353CC}">
              <c16:uniqueId val="{00000037-6D64-4A52-B1E7-98DF485B7A17}"/>
            </c:ext>
          </c:extLst>
        </c:ser>
        <c:dLbls>
          <c:dLblPos val="inEnd"/>
          <c:showLegendKey val="0"/>
          <c:showVal val="1"/>
          <c:showCatName val="0"/>
          <c:showSerName val="0"/>
          <c:showPercent val="0"/>
          <c:showBubbleSize val="0"/>
        </c:dLbls>
        <c:gapWidth val="150"/>
        <c:overlap val="100"/>
        <c:axId val="677670344"/>
        <c:axId val="677669032"/>
      </c:barChart>
      <c:catAx>
        <c:axId val="677670344"/>
        <c:scaling>
          <c:orientation val="minMax"/>
        </c:scaling>
        <c:delete val="0"/>
        <c:axPos val="b"/>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cap="none" spc="0" normalizeH="0" baseline="0">
                <a:solidFill>
                  <a:sysClr val="windowText" lastClr="000000"/>
                </a:solidFill>
                <a:latin typeface="+mn-lt"/>
                <a:ea typeface="+mn-ea"/>
                <a:cs typeface="+mn-cs"/>
              </a:defRPr>
            </a:pPr>
            <a:endParaRPr lang="da-DK"/>
          </a:p>
        </c:txPr>
        <c:crossAx val="677669032"/>
        <c:crosses val="autoZero"/>
        <c:auto val="1"/>
        <c:lblAlgn val="ctr"/>
        <c:lblOffset val="100"/>
        <c:noMultiLvlLbl val="0"/>
      </c:catAx>
      <c:valAx>
        <c:axId val="677669032"/>
        <c:scaling>
          <c:orientation val="minMax"/>
          <c:min val="0"/>
        </c:scaling>
        <c:delete val="0"/>
        <c:axPos val="l"/>
        <c:majorGridlines>
          <c:spPr>
            <a:ln w="9525" cap="flat" cmpd="sng" algn="ctr">
              <a:solidFill>
                <a:schemeClr val="tx1"/>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da-DK"/>
                  <a:t>tons CO</a:t>
                </a:r>
                <a:r>
                  <a:rPr lang="da-DK" baseline="-25000"/>
                  <a:t>2</a:t>
                </a:r>
                <a:r>
                  <a:rPr lang="da-DK"/>
                  <a:t>-ækv. / år</a:t>
                </a:r>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da-DK"/>
            </a:p>
          </c:txPr>
        </c:title>
        <c:numFmt formatCode="#,##0"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crossAx val="677670344"/>
        <c:crosses val="autoZero"/>
        <c:crossBetween val="between"/>
      </c:valAx>
      <c:spPr>
        <a:noFill/>
        <a:ln w="25400">
          <a:solidFill>
            <a:schemeClr val="bg1"/>
          </a:solidFill>
        </a:ln>
        <a:effectLst/>
      </c:spPr>
    </c:plotArea>
    <c:legend>
      <c:legendPos val="b"/>
      <c:layout>
        <c:manualLayout>
          <c:xMode val="edge"/>
          <c:yMode val="edge"/>
          <c:x val="0.15682195714837102"/>
          <c:y val="0.88678435623427265"/>
          <c:w val="0.58996515589892684"/>
          <c:h val="3.738945490852394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showDLblsOverMax val="0"/>
    <c:extLst/>
  </c:chart>
  <c:spPr>
    <a:solidFill>
      <a:schemeClr val="lt1"/>
    </a:solidFill>
    <a:ln w="9525" cap="flat" cmpd="sng" algn="ctr">
      <a:solidFill>
        <a:sysClr val="windowText" lastClr="000000"/>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600" b="1" i="0" u="none" strike="noStrike" kern="1200" spc="0" baseline="0">
                <a:solidFill>
                  <a:sysClr val="windowText" lastClr="000000"/>
                </a:solidFill>
                <a:latin typeface="+mn-lt"/>
                <a:ea typeface="+mn-ea"/>
                <a:cs typeface="+mn-cs"/>
              </a:defRPr>
            </a:pPr>
            <a:r>
              <a:rPr lang="da-DK" sz="1600" b="1"/>
              <a:t>BAU-scenarier med 70% linje</a:t>
            </a:r>
          </a:p>
        </c:rich>
      </c:tx>
      <c:overlay val="0"/>
      <c:spPr>
        <a:noFill/>
        <a:ln>
          <a:noFill/>
        </a:ln>
        <a:effectLst/>
      </c:spPr>
      <c:txPr>
        <a:bodyPr rot="0" spcFirstLastPara="1" vertOverflow="ellipsis" vert="horz" wrap="square" anchor="ctr" anchorCtr="1"/>
        <a:lstStyle/>
        <a:p>
          <a:pPr algn="ctr" rtl="0">
            <a:defRPr sz="1600" b="1" i="0" u="none" strike="noStrike" kern="1200" spc="0" baseline="0">
              <a:solidFill>
                <a:sysClr val="windowText" lastClr="000000"/>
              </a:solidFill>
              <a:latin typeface="+mn-lt"/>
              <a:ea typeface="+mn-ea"/>
              <a:cs typeface="+mn-cs"/>
            </a:defRPr>
          </a:pPr>
          <a:endParaRPr lang="da-DK"/>
        </a:p>
      </c:txPr>
    </c:title>
    <c:autoTitleDeleted val="0"/>
    <c:plotArea>
      <c:layout>
        <c:manualLayout>
          <c:layoutTarget val="inner"/>
          <c:xMode val="edge"/>
          <c:yMode val="edge"/>
          <c:x val="9.2669950069630802E-2"/>
          <c:y val="0.12331420448900463"/>
          <c:w val="0.87139567270133489"/>
          <c:h val="0.77523038620129314"/>
        </c:manualLayout>
      </c:layout>
      <c:areaChart>
        <c:grouping val="stacked"/>
        <c:varyColors val="0"/>
        <c:ser>
          <c:idx val="0"/>
          <c:order val="0"/>
          <c:tx>
            <c:strRef>
              <c:f>Sammenfatning!$A$5</c:f>
              <c:strCache>
                <c:ptCount val="1"/>
                <c:pt idx="0">
                  <c:v>Planteavl</c:v>
                </c:pt>
              </c:strCache>
            </c:strRef>
          </c:tx>
          <c:spPr>
            <a:solidFill>
              <a:schemeClr val="accent1"/>
            </a:solidFill>
            <a:ln>
              <a:noFill/>
            </a:ln>
            <a:effectLst/>
          </c:spPr>
          <c:cat>
            <c:strRef>
              <c:extLst>
                <c:ext xmlns:c15="http://schemas.microsoft.com/office/drawing/2012/chart" uri="{02D57815-91ED-43cb-92C2-25804820EDAC}">
                  <c15:fullRef>
                    <c15:sqref>Sammenfatning!$B$4:$G$4</c15:sqref>
                  </c15:fullRef>
                </c:ext>
              </c:extLst>
              <c:f>Sammenfatning!$B$4:$E$4</c:f>
              <c:strCache>
                <c:ptCount val="4"/>
                <c:pt idx="0">
                  <c:v>1990</c:v>
                </c:pt>
                <c:pt idx="1">
                  <c:v>2018/2020</c:v>
                </c:pt>
                <c:pt idx="2">
                  <c:v>BAU2030</c:v>
                </c:pt>
                <c:pt idx="3">
                  <c:v>BAU2050</c:v>
                </c:pt>
              </c:strCache>
            </c:strRef>
          </c:cat>
          <c:val>
            <c:numRef>
              <c:extLst>
                <c:ext xmlns:c15="http://schemas.microsoft.com/office/drawing/2012/chart" uri="{02D57815-91ED-43cb-92C2-25804820EDAC}">
                  <c15:fullRef>
                    <c15:sqref>Sammenfatning!$B$5:$G$5</c15:sqref>
                  </c15:fullRef>
                </c:ext>
              </c:extLst>
              <c:f>Sammenfatning!$B$5:$E$5</c:f>
              <c:numCache>
                <c:formatCode>#,##0</c:formatCode>
                <c:ptCount val="4"/>
                <c:pt idx="0">
                  <c:v>5800</c:v>
                </c:pt>
                <c:pt idx="1">
                  <c:v>3900</c:v>
                </c:pt>
                <c:pt idx="2">
                  <c:v>3900</c:v>
                </c:pt>
                <c:pt idx="3">
                  <c:v>3900</c:v>
                </c:pt>
              </c:numCache>
            </c:numRef>
          </c:val>
          <c:extLst>
            <c:ext xmlns:c16="http://schemas.microsoft.com/office/drawing/2014/chart" uri="{C3380CC4-5D6E-409C-BE32-E72D297353CC}">
              <c16:uniqueId val="{00000000-193B-44B5-9F3E-7B339C9174DC}"/>
            </c:ext>
          </c:extLst>
        </c:ser>
        <c:ser>
          <c:idx val="1"/>
          <c:order val="1"/>
          <c:tx>
            <c:strRef>
              <c:f>Sammenfatning!$A$6</c:f>
              <c:strCache>
                <c:ptCount val="1"/>
                <c:pt idx="0">
                  <c:v>Dyrehold</c:v>
                </c:pt>
              </c:strCache>
            </c:strRef>
          </c:tx>
          <c:spPr>
            <a:solidFill>
              <a:schemeClr val="accent2"/>
            </a:solidFill>
            <a:ln>
              <a:noFill/>
            </a:ln>
            <a:effectLst/>
          </c:spPr>
          <c:cat>
            <c:strRef>
              <c:extLst>
                <c:ext xmlns:c15="http://schemas.microsoft.com/office/drawing/2012/chart" uri="{02D57815-91ED-43cb-92C2-25804820EDAC}">
                  <c15:fullRef>
                    <c15:sqref>Sammenfatning!$B$4:$G$4</c15:sqref>
                  </c15:fullRef>
                </c:ext>
              </c:extLst>
              <c:f>Sammenfatning!$B$4:$E$4</c:f>
              <c:strCache>
                <c:ptCount val="4"/>
                <c:pt idx="0">
                  <c:v>1990</c:v>
                </c:pt>
                <c:pt idx="1">
                  <c:v>2018/2020</c:v>
                </c:pt>
                <c:pt idx="2">
                  <c:v>BAU2030</c:v>
                </c:pt>
                <c:pt idx="3">
                  <c:v>BAU2050</c:v>
                </c:pt>
              </c:strCache>
            </c:strRef>
          </c:cat>
          <c:val>
            <c:numRef>
              <c:extLst>
                <c:ext xmlns:c15="http://schemas.microsoft.com/office/drawing/2012/chart" uri="{02D57815-91ED-43cb-92C2-25804820EDAC}">
                  <c15:fullRef>
                    <c15:sqref>Sammenfatning!$B$6:$G$6</c15:sqref>
                  </c15:fullRef>
                </c:ext>
              </c:extLst>
              <c:f>Sammenfatning!$B$6:$E$6</c:f>
              <c:numCache>
                <c:formatCode>#,##0</c:formatCode>
                <c:ptCount val="4"/>
                <c:pt idx="0">
                  <c:v>8700</c:v>
                </c:pt>
                <c:pt idx="1">
                  <c:v>8500</c:v>
                </c:pt>
                <c:pt idx="2">
                  <c:v>6000</c:v>
                </c:pt>
                <c:pt idx="3">
                  <c:v>6000</c:v>
                </c:pt>
              </c:numCache>
            </c:numRef>
          </c:val>
          <c:extLst>
            <c:ext xmlns:c16="http://schemas.microsoft.com/office/drawing/2014/chart" uri="{C3380CC4-5D6E-409C-BE32-E72D297353CC}">
              <c16:uniqueId val="{00000001-193B-44B5-9F3E-7B339C9174DC}"/>
            </c:ext>
          </c:extLst>
        </c:ser>
        <c:ser>
          <c:idx val="5"/>
          <c:order val="2"/>
          <c:tx>
            <c:strRef>
              <c:f>Sammenfatning!$A$10</c:f>
              <c:strCache>
                <c:ptCount val="1"/>
                <c:pt idx="0">
                  <c:v>Arealanvendelse</c:v>
                </c:pt>
              </c:strCache>
            </c:strRef>
          </c:tx>
          <c:spPr>
            <a:solidFill>
              <a:schemeClr val="accent6"/>
            </a:solidFill>
            <a:ln w="25400">
              <a:noFill/>
            </a:ln>
            <a:effectLst/>
          </c:spPr>
          <c:cat>
            <c:strRef>
              <c:extLst>
                <c:ext xmlns:c15="http://schemas.microsoft.com/office/drawing/2012/chart" uri="{02D57815-91ED-43cb-92C2-25804820EDAC}">
                  <c15:fullRef>
                    <c15:sqref>Sammenfatning!$B$4:$G$4</c15:sqref>
                  </c15:fullRef>
                </c:ext>
              </c:extLst>
              <c:f>Sammenfatning!$B$4:$E$4</c:f>
              <c:strCache>
                <c:ptCount val="4"/>
                <c:pt idx="0">
                  <c:v>1990</c:v>
                </c:pt>
                <c:pt idx="1">
                  <c:v>2018/2020</c:v>
                </c:pt>
                <c:pt idx="2">
                  <c:v>BAU2030</c:v>
                </c:pt>
                <c:pt idx="3">
                  <c:v>BAU2050</c:v>
                </c:pt>
              </c:strCache>
            </c:strRef>
          </c:cat>
          <c:val>
            <c:numRef>
              <c:extLst>
                <c:ext xmlns:c15="http://schemas.microsoft.com/office/drawing/2012/chart" uri="{02D57815-91ED-43cb-92C2-25804820EDAC}">
                  <c15:fullRef>
                    <c15:sqref>Sammenfatning!$B$10:$G$10</c15:sqref>
                  </c15:fullRef>
                </c:ext>
              </c:extLst>
              <c:f>Sammenfatning!$B$10:$E$10</c:f>
              <c:numCache>
                <c:formatCode>#,##0</c:formatCode>
                <c:ptCount val="4"/>
                <c:pt idx="0">
                  <c:v>8100</c:v>
                </c:pt>
                <c:pt idx="1">
                  <c:v>7800</c:v>
                </c:pt>
                <c:pt idx="2">
                  <c:v>7800</c:v>
                </c:pt>
                <c:pt idx="3">
                  <c:v>7800</c:v>
                </c:pt>
              </c:numCache>
            </c:numRef>
          </c:val>
          <c:extLst>
            <c:ext xmlns:c16="http://schemas.microsoft.com/office/drawing/2014/chart" uri="{C3380CC4-5D6E-409C-BE32-E72D297353CC}">
              <c16:uniqueId val="{00000002-193B-44B5-9F3E-7B339C9174DC}"/>
            </c:ext>
          </c:extLst>
        </c:ser>
        <c:ser>
          <c:idx val="2"/>
          <c:order val="3"/>
          <c:tx>
            <c:strRef>
              <c:f>Sammenfatning!$A$7</c:f>
              <c:strCache>
                <c:ptCount val="1"/>
                <c:pt idx="0">
                  <c:v>Industrielle processer</c:v>
                </c:pt>
              </c:strCache>
            </c:strRef>
          </c:tx>
          <c:spPr>
            <a:solidFill>
              <a:schemeClr val="accent3"/>
            </a:solidFill>
            <a:ln>
              <a:noFill/>
            </a:ln>
            <a:effectLst/>
          </c:spPr>
          <c:cat>
            <c:strRef>
              <c:extLst>
                <c:ext xmlns:c15="http://schemas.microsoft.com/office/drawing/2012/chart" uri="{02D57815-91ED-43cb-92C2-25804820EDAC}">
                  <c15:fullRef>
                    <c15:sqref>Sammenfatning!$B$4:$G$4</c15:sqref>
                  </c15:fullRef>
                </c:ext>
              </c:extLst>
              <c:f>Sammenfatning!$B$4:$E$4</c:f>
              <c:strCache>
                <c:ptCount val="4"/>
                <c:pt idx="0">
                  <c:v>1990</c:v>
                </c:pt>
                <c:pt idx="1">
                  <c:v>2018/2020</c:v>
                </c:pt>
                <c:pt idx="2">
                  <c:v>BAU2030</c:v>
                </c:pt>
                <c:pt idx="3">
                  <c:v>BAU2050</c:v>
                </c:pt>
              </c:strCache>
            </c:strRef>
          </c:cat>
          <c:val>
            <c:numRef>
              <c:extLst>
                <c:ext xmlns:c15="http://schemas.microsoft.com/office/drawing/2012/chart" uri="{02D57815-91ED-43cb-92C2-25804820EDAC}">
                  <c15:fullRef>
                    <c15:sqref>Sammenfatning!$B$7:$G$7</c15:sqref>
                  </c15:fullRef>
                </c:ext>
              </c:extLst>
              <c:f>Sammenfatning!$B$7:$E$7</c:f>
              <c:numCache>
                <c:formatCode>#,##0</c:formatCode>
                <c:ptCount val="4"/>
                <c:pt idx="0">
                  <c:v>200</c:v>
                </c:pt>
                <c:pt idx="1">
                  <c:v>200</c:v>
                </c:pt>
                <c:pt idx="2">
                  <c:v>200</c:v>
                </c:pt>
                <c:pt idx="3">
                  <c:v>200</c:v>
                </c:pt>
              </c:numCache>
            </c:numRef>
          </c:val>
          <c:extLst>
            <c:ext xmlns:c16="http://schemas.microsoft.com/office/drawing/2014/chart" uri="{C3380CC4-5D6E-409C-BE32-E72D297353CC}">
              <c16:uniqueId val="{00000003-193B-44B5-9F3E-7B339C9174DC}"/>
            </c:ext>
          </c:extLst>
        </c:ser>
        <c:ser>
          <c:idx val="6"/>
          <c:order val="4"/>
          <c:tx>
            <c:strRef>
              <c:f>Sammenfatning!$A$11</c:f>
              <c:strCache>
                <c:ptCount val="1"/>
                <c:pt idx="0">
                  <c:v>Affald, spildevand og tilfældige brande</c:v>
                </c:pt>
              </c:strCache>
            </c:strRef>
          </c:tx>
          <c:spPr>
            <a:solidFill>
              <a:schemeClr val="accent1">
                <a:lumMod val="60000"/>
              </a:schemeClr>
            </a:solidFill>
            <a:ln w="25400">
              <a:noFill/>
            </a:ln>
            <a:effectLst/>
          </c:spPr>
          <c:cat>
            <c:strRef>
              <c:extLst>
                <c:ext xmlns:c15="http://schemas.microsoft.com/office/drawing/2012/chart" uri="{02D57815-91ED-43cb-92C2-25804820EDAC}">
                  <c15:fullRef>
                    <c15:sqref>Sammenfatning!$B$4:$G$4</c15:sqref>
                  </c15:fullRef>
                </c:ext>
              </c:extLst>
              <c:f>Sammenfatning!$B$4:$E$4</c:f>
              <c:strCache>
                <c:ptCount val="4"/>
                <c:pt idx="0">
                  <c:v>1990</c:v>
                </c:pt>
                <c:pt idx="1">
                  <c:v>2018/2020</c:v>
                </c:pt>
                <c:pt idx="2">
                  <c:v>BAU2030</c:v>
                </c:pt>
                <c:pt idx="3">
                  <c:v>BAU2050</c:v>
                </c:pt>
              </c:strCache>
            </c:strRef>
          </c:cat>
          <c:val>
            <c:numRef>
              <c:extLst>
                <c:ext xmlns:c15="http://schemas.microsoft.com/office/drawing/2012/chart" uri="{02D57815-91ED-43cb-92C2-25804820EDAC}">
                  <c15:fullRef>
                    <c15:sqref>Sammenfatning!$B$11:$G$11</c15:sqref>
                  </c15:fullRef>
                </c:ext>
              </c:extLst>
              <c:f>Sammenfatning!$B$11:$E$11</c:f>
              <c:numCache>
                <c:formatCode>#,##0</c:formatCode>
                <c:ptCount val="4"/>
                <c:pt idx="0">
                  <c:v>600</c:v>
                </c:pt>
                <c:pt idx="1">
                  <c:v>400</c:v>
                </c:pt>
                <c:pt idx="2">
                  <c:v>400</c:v>
                </c:pt>
                <c:pt idx="3">
                  <c:v>300</c:v>
                </c:pt>
              </c:numCache>
            </c:numRef>
          </c:val>
          <c:extLst>
            <c:ext xmlns:c16="http://schemas.microsoft.com/office/drawing/2014/chart" uri="{C3380CC4-5D6E-409C-BE32-E72D297353CC}">
              <c16:uniqueId val="{00000004-193B-44B5-9F3E-7B339C9174DC}"/>
            </c:ext>
          </c:extLst>
        </c:ser>
        <c:ser>
          <c:idx val="3"/>
          <c:order val="6"/>
          <c:tx>
            <c:strRef>
              <c:f>Sammenfatning!$A$8</c:f>
              <c:strCache>
                <c:ptCount val="1"/>
                <c:pt idx="0">
                  <c:v>Transport</c:v>
                </c:pt>
              </c:strCache>
            </c:strRef>
          </c:tx>
          <c:spPr>
            <a:solidFill>
              <a:srgbClr val="71588F"/>
            </a:solidFill>
            <a:ln>
              <a:noFill/>
            </a:ln>
            <a:effectLst/>
          </c:spPr>
          <c:cat>
            <c:strRef>
              <c:extLst>
                <c:ext xmlns:c15="http://schemas.microsoft.com/office/drawing/2012/chart" uri="{02D57815-91ED-43cb-92C2-25804820EDAC}">
                  <c15:fullRef>
                    <c15:sqref>Sammenfatning!$B$4:$G$4</c15:sqref>
                  </c15:fullRef>
                </c:ext>
              </c:extLst>
              <c:f>Sammenfatning!$B$4:$E$4</c:f>
              <c:strCache>
                <c:ptCount val="4"/>
                <c:pt idx="0">
                  <c:v>1990</c:v>
                </c:pt>
                <c:pt idx="1">
                  <c:v>2018/2020</c:v>
                </c:pt>
                <c:pt idx="2">
                  <c:v>BAU2030</c:v>
                </c:pt>
                <c:pt idx="3">
                  <c:v>BAU2050</c:v>
                </c:pt>
              </c:strCache>
            </c:strRef>
          </c:cat>
          <c:val>
            <c:numRef>
              <c:extLst>
                <c:ext xmlns:c15="http://schemas.microsoft.com/office/drawing/2012/chart" uri="{02D57815-91ED-43cb-92C2-25804820EDAC}">
                  <c15:fullRef>
                    <c15:sqref>Sammenfatning!$B$8:$G$8</c15:sqref>
                  </c15:fullRef>
                </c:ext>
              </c:extLst>
              <c:f>Sammenfatning!$B$8:$E$8</c:f>
              <c:numCache>
                <c:formatCode>#,##0</c:formatCode>
                <c:ptCount val="4"/>
                <c:pt idx="0">
                  <c:v>5200</c:v>
                </c:pt>
                <c:pt idx="1">
                  <c:v>5600</c:v>
                </c:pt>
                <c:pt idx="2">
                  <c:v>4500</c:v>
                </c:pt>
                <c:pt idx="3">
                  <c:v>3800</c:v>
                </c:pt>
              </c:numCache>
            </c:numRef>
          </c:val>
          <c:extLst>
            <c:ext xmlns:c16="http://schemas.microsoft.com/office/drawing/2014/chart" uri="{C3380CC4-5D6E-409C-BE32-E72D297353CC}">
              <c16:uniqueId val="{00000005-193B-44B5-9F3E-7B339C9174DC}"/>
            </c:ext>
          </c:extLst>
        </c:ser>
        <c:ser>
          <c:idx val="4"/>
          <c:order val="7"/>
          <c:tx>
            <c:strRef>
              <c:f>Sammenfatning!$A$9</c:f>
              <c:strCache>
                <c:ptCount val="1"/>
                <c:pt idx="0">
                  <c:v>Energi</c:v>
                </c:pt>
              </c:strCache>
            </c:strRef>
          </c:tx>
          <c:spPr>
            <a:solidFill>
              <a:schemeClr val="accent5"/>
            </a:solidFill>
            <a:ln w="25400">
              <a:noFill/>
            </a:ln>
            <a:effectLst/>
          </c:spPr>
          <c:cat>
            <c:strRef>
              <c:extLst>
                <c:ext xmlns:c15="http://schemas.microsoft.com/office/drawing/2012/chart" uri="{02D57815-91ED-43cb-92C2-25804820EDAC}">
                  <c15:fullRef>
                    <c15:sqref>Sammenfatning!$B$4:$G$4</c15:sqref>
                  </c15:fullRef>
                </c:ext>
              </c:extLst>
              <c:f>Sammenfatning!$B$4:$E$4</c:f>
              <c:strCache>
                <c:ptCount val="4"/>
                <c:pt idx="0">
                  <c:v>1990</c:v>
                </c:pt>
                <c:pt idx="1">
                  <c:v>2018/2020</c:v>
                </c:pt>
                <c:pt idx="2">
                  <c:v>BAU2030</c:v>
                </c:pt>
                <c:pt idx="3">
                  <c:v>BAU2050</c:v>
                </c:pt>
              </c:strCache>
            </c:strRef>
          </c:cat>
          <c:val>
            <c:numRef>
              <c:extLst>
                <c:ext xmlns:c15="http://schemas.microsoft.com/office/drawing/2012/chart" uri="{02D57815-91ED-43cb-92C2-25804820EDAC}">
                  <c15:fullRef>
                    <c15:sqref>Sammenfatning!$B$9:$G$9</c15:sqref>
                  </c15:fullRef>
                </c:ext>
              </c:extLst>
              <c:f>Sammenfatning!$B$9:$E$9</c:f>
              <c:numCache>
                <c:formatCode>#,##0</c:formatCode>
                <c:ptCount val="4"/>
                <c:pt idx="0">
                  <c:v>18800</c:v>
                </c:pt>
                <c:pt idx="1">
                  <c:v>4800</c:v>
                </c:pt>
                <c:pt idx="2">
                  <c:v>500</c:v>
                </c:pt>
                <c:pt idx="3">
                  <c:v>300</c:v>
                </c:pt>
              </c:numCache>
            </c:numRef>
          </c:val>
          <c:extLst>
            <c:ext xmlns:c16="http://schemas.microsoft.com/office/drawing/2014/chart" uri="{C3380CC4-5D6E-409C-BE32-E72D297353CC}">
              <c16:uniqueId val="{00000006-193B-44B5-9F3E-7B339C9174DC}"/>
            </c:ext>
          </c:extLst>
        </c:ser>
        <c:dLbls>
          <c:showLegendKey val="0"/>
          <c:showVal val="0"/>
          <c:showCatName val="0"/>
          <c:showSerName val="0"/>
          <c:showPercent val="0"/>
          <c:showBubbleSize val="0"/>
        </c:dLbls>
        <c:axId val="617339616"/>
        <c:axId val="617340600"/>
      </c:areaChart>
      <c:lineChart>
        <c:grouping val="standard"/>
        <c:varyColors val="0"/>
        <c:ser>
          <c:idx val="7"/>
          <c:order val="5"/>
          <c:tx>
            <c:strRef>
              <c:f>Sammenfatning!$A$14</c:f>
              <c:strCache>
                <c:ptCount val="1"/>
                <c:pt idx="0">
                  <c:v>70% mål</c:v>
                </c:pt>
              </c:strCache>
            </c:strRef>
          </c:tx>
          <c:spPr>
            <a:ln w="28575" cap="rnd">
              <a:solidFill>
                <a:srgbClr val="FF0000"/>
              </a:solidFill>
              <a:prstDash val="dash"/>
              <a:round/>
            </a:ln>
            <a:effectLst/>
          </c:spPr>
          <c:marker>
            <c:symbol val="none"/>
          </c:marker>
          <c:cat>
            <c:strRef>
              <c:extLst>
                <c:ext xmlns:c15="http://schemas.microsoft.com/office/drawing/2012/chart" uri="{02D57815-91ED-43cb-92C2-25804820EDAC}">
                  <c15:fullRef>
                    <c15:sqref>Sammenfatning!$B$4:$G$4</c15:sqref>
                  </c15:fullRef>
                </c:ext>
              </c:extLst>
              <c:f>Sammenfatning!$B$4:$E$4</c:f>
              <c:strCache>
                <c:ptCount val="4"/>
                <c:pt idx="0">
                  <c:v>1990</c:v>
                </c:pt>
                <c:pt idx="1">
                  <c:v>2018/2020</c:v>
                </c:pt>
                <c:pt idx="2">
                  <c:v>BAU2030</c:v>
                </c:pt>
                <c:pt idx="3">
                  <c:v>BAU2050</c:v>
                </c:pt>
              </c:strCache>
            </c:strRef>
          </c:cat>
          <c:val>
            <c:numRef>
              <c:extLst>
                <c:ext xmlns:c15="http://schemas.microsoft.com/office/drawing/2012/chart" uri="{02D57815-91ED-43cb-92C2-25804820EDAC}">
                  <c15:fullRef>
                    <c15:sqref>Sammenfatning!$B$14:$G$14</c15:sqref>
                  </c15:fullRef>
                </c:ext>
              </c:extLst>
              <c:f>Sammenfatning!$B$14:$E$14</c:f>
              <c:numCache>
                <c:formatCode>#,##0</c:formatCode>
                <c:ptCount val="4"/>
                <c:pt idx="0">
                  <c:v>14200</c:v>
                </c:pt>
                <c:pt idx="1">
                  <c:v>14200</c:v>
                </c:pt>
                <c:pt idx="2">
                  <c:v>14200</c:v>
                </c:pt>
                <c:pt idx="3">
                  <c:v>14200</c:v>
                </c:pt>
              </c:numCache>
            </c:numRef>
          </c:val>
          <c:smooth val="0"/>
          <c:extLst>
            <c:ext xmlns:c16="http://schemas.microsoft.com/office/drawing/2014/chart" uri="{C3380CC4-5D6E-409C-BE32-E72D297353CC}">
              <c16:uniqueId val="{00000007-193B-44B5-9F3E-7B339C9174DC}"/>
            </c:ext>
          </c:extLst>
        </c:ser>
        <c:dLbls>
          <c:showLegendKey val="0"/>
          <c:showVal val="0"/>
          <c:showCatName val="0"/>
          <c:showSerName val="0"/>
          <c:showPercent val="0"/>
          <c:showBubbleSize val="0"/>
        </c:dLbls>
        <c:marker val="1"/>
        <c:smooth val="0"/>
        <c:axId val="617339616"/>
        <c:axId val="617340600"/>
      </c:lineChart>
      <c:catAx>
        <c:axId val="617339616"/>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crossAx val="617340600"/>
        <c:crosses val="autoZero"/>
        <c:auto val="1"/>
        <c:lblAlgn val="ctr"/>
        <c:lblOffset val="100"/>
        <c:noMultiLvlLbl val="0"/>
      </c:catAx>
      <c:valAx>
        <c:axId val="617340600"/>
        <c:scaling>
          <c:orientation val="minMax"/>
        </c:scaling>
        <c:delete val="0"/>
        <c:axPos val="l"/>
        <c:majorGridlines>
          <c:spPr>
            <a:ln w="9525" cap="flat" cmpd="sng" algn="ctr">
              <a:solidFill>
                <a:sysClr val="windowText" lastClr="000000"/>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da-DK"/>
                  <a:t>tons CO</a:t>
                </a:r>
                <a:r>
                  <a:rPr lang="da-DK" baseline="-25000"/>
                  <a:t>2</a:t>
                </a:r>
                <a:r>
                  <a:rPr lang="da-DK"/>
                  <a:t> /år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a-DK"/>
            </a:p>
          </c:txPr>
        </c:title>
        <c:numFmt formatCode="#,##0"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crossAx val="61733961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zero"/>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Sammenligning af udledningsstier - Samlet</a:t>
            </a:r>
            <a:endParaRPr lang="da-DK" b="1"/>
          </a:p>
        </c:rich>
      </c:tx>
      <c:layout>
        <c:manualLayout>
          <c:xMode val="edge"/>
          <c:yMode val="edge"/>
          <c:x val="0.29201347138721895"/>
          <c:y val="2.808523152603999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da-DK"/>
        </a:p>
      </c:txPr>
    </c:title>
    <c:autoTitleDeleted val="0"/>
    <c:plotArea>
      <c:layout/>
      <c:lineChart>
        <c:grouping val="standard"/>
        <c:varyColors val="0"/>
        <c:ser>
          <c:idx val="1"/>
          <c:order val="1"/>
          <c:tx>
            <c:strRef>
              <c:f>Sammenfatning!$A$101</c:f>
              <c:strCache>
                <c:ptCount val="1"/>
                <c:pt idx="0">
                  <c:v>BAU</c:v>
                </c:pt>
              </c:strCache>
            </c:strRef>
          </c:tx>
          <c:spPr>
            <a:ln w="25400" cap="flat" cmpd="sng" algn="ctr">
              <a:solidFill>
                <a:schemeClr val="accent5">
                  <a:lumMod val="60000"/>
                  <a:lumOff val="40000"/>
                </a:schemeClr>
              </a:solidFill>
              <a:prstDash val="solid"/>
              <a:round/>
            </a:ln>
            <a:effectLst/>
          </c:spPr>
          <c:marker>
            <c:symbol val="circle"/>
            <c:size val="5"/>
            <c:spPr>
              <a:solidFill>
                <a:schemeClr val="lt1"/>
              </a:solidFill>
              <a:ln w="25400" cap="flat" cmpd="sng" algn="ctr">
                <a:solidFill>
                  <a:schemeClr val="accent5"/>
                </a:solidFill>
                <a:prstDash val="solid"/>
              </a:ln>
              <a:effectLst/>
            </c:spPr>
          </c:marker>
          <c:cat>
            <c:strRef>
              <c:f>Sammenfatning!$B$100:$E$100</c:f>
              <c:strCache>
                <c:ptCount val="4"/>
                <c:pt idx="0">
                  <c:v>1990</c:v>
                </c:pt>
                <c:pt idx="1">
                  <c:v>2018/2020</c:v>
                </c:pt>
                <c:pt idx="2">
                  <c:v>2030</c:v>
                </c:pt>
                <c:pt idx="3">
                  <c:v>2050</c:v>
                </c:pt>
              </c:strCache>
            </c:strRef>
          </c:cat>
          <c:val>
            <c:numRef>
              <c:f>Sammenfatning!$B$101:$E$101</c:f>
              <c:numCache>
                <c:formatCode>#,##0</c:formatCode>
                <c:ptCount val="4"/>
                <c:pt idx="0">
                  <c:v>47400</c:v>
                </c:pt>
                <c:pt idx="1">
                  <c:v>31200</c:v>
                </c:pt>
                <c:pt idx="2">
                  <c:v>23300</c:v>
                </c:pt>
                <c:pt idx="3">
                  <c:v>22300</c:v>
                </c:pt>
              </c:numCache>
            </c:numRef>
          </c:val>
          <c:smooth val="0"/>
          <c:extLst>
            <c:ext xmlns:c16="http://schemas.microsoft.com/office/drawing/2014/chart" uri="{C3380CC4-5D6E-409C-BE32-E72D297353CC}">
              <c16:uniqueId val="{00000000-5E56-4532-95B0-01273EB8D8B3}"/>
            </c:ext>
          </c:extLst>
        </c:ser>
        <c:ser>
          <c:idx val="2"/>
          <c:order val="2"/>
          <c:tx>
            <c:strRef>
              <c:f>Sammenfatning!$A$102</c:f>
              <c:strCache>
                <c:ptCount val="1"/>
                <c:pt idx="0">
                  <c:v>National målsætning</c:v>
                </c:pt>
              </c:strCache>
            </c:strRef>
          </c:tx>
          <c:spPr>
            <a:ln w="28575" cap="rnd">
              <a:solidFill>
                <a:srgbClr val="C00000"/>
              </a:solidFill>
              <a:round/>
            </a:ln>
            <a:effectLst/>
          </c:spPr>
          <c:marker>
            <c:symbol val="circle"/>
            <c:size val="5"/>
            <c:spPr>
              <a:solidFill>
                <a:schemeClr val="accent3"/>
              </a:solidFill>
              <a:ln w="9525">
                <a:solidFill>
                  <a:schemeClr val="accent3"/>
                </a:solidFill>
              </a:ln>
              <a:effectLst/>
            </c:spPr>
          </c:marker>
          <c:cat>
            <c:strRef>
              <c:f>Sammenfatning!$B$100:$E$100</c:f>
              <c:strCache>
                <c:ptCount val="4"/>
                <c:pt idx="0">
                  <c:v>1990</c:v>
                </c:pt>
                <c:pt idx="1">
                  <c:v>2018/2020</c:v>
                </c:pt>
                <c:pt idx="2">
                  <c:v>2030</c:v>
                </c:pt>
                <c:pt idx="3">
                  <c:v>2050</c:v>
                </c:pt>
              </c:strCache>
            </c:strRef>
          </c:cat>
          <c:val>
            <c:numRef>
              <c:f>Sammenfatning!$B$102:$E$102</c:f>
              <c:numCache>
                <c:formatCode>#,##0</c:formatCode>
                <c:ptCount val="4"/>
                <c:pt idx="0">
                  <c:v>47400</c:v>
                </c:pt>
                <c:pt idx="1">
                  <c:v>31200</c:v>
                </c:pt>
                <c:pt idx="2">
                  <c:v>14220</c:v>
                </c:pt>
                <c:pt idx="3">
                  <c:v>0</c:v>
                </c:pt>
              </c:numCache>
            </c:numRef>
          </c:val>
          <c:smooth val="0"/>
          <c:extLst>
            <c:ext xmlns:c16="http://schemas.microsoft.com/office/drawing/2014/chart" uri="{C3380CC4-5D6E-409C-BE32-E72D297353CC}">
              <c16:uniqueId val="{00000001-5E56-4532-95B0-01273EB8D8B3}"/>
            </c:ext>
          </c:extLst>
        </c:ser>
        <c:ser>
          <c:idx val="3"/>
          <c:order val="3"/>
          <c:tx>
            <c:strRef>
              <c:f>Sammenfatning!$A$103</c:f>
              <c:strCache>
                <c:ptCount val="1"/>
                <c:pt idx="0">
                  <c:v>Reduktionssti (mål scenarie)</c:v>
                </c:pt>
              </c:strCache>
            </c:strRef>
          </c:tx>
          <c:spPr>
            <a:ln w="25400" cap="flat" cmpd="sng" algn="ctr">
              <a:solidFill>
                <a:schemeClr val="accent1">
                  <a:lumMod val="60000"/>
                  <a:lumOff val="40000"/>
                </a:schemeClr>
              </a:solidFill>
              <a:prstDash val="solid"/>
              <a:round/>
            </a:ln>
            <a:effectLst/>
          </c:spPr>
          <c:marker>
            <c:symbol val="circle"/>
            <c:size val="5"/>
            <c:spPr>
              <a:solidFill>
                <a:schemeClr val="lt1"/>
              </a:solidFill>
              <a:ln w="25400" cap="flat" cmpd="sng" algn="ctr">
                <a:solidFill>
                  <a:schemeClr val="accent1"/>
                </a:solidFill>
                <a:prstDash val="solid"/>
              </a:ln>
              <a:effectLst/>
            </c:spPr>
          </c:marker>
          <c:cat>
            <c:strRef>
              <c:f>Sammenfatning!$B$100:$E$100</c:f>
              <c:strCache>
                <c:ptCount val="4"/>
                <c:pt idx="0">
                  <c:v>1990</c:v>
                </c:pt>
                <c:pt idx="1">
                  <c:v>2018/2020</c:v>
                </c:pt>
                <c:pt idx="2">
                  <c:v>2030</c:v>
                </c:pt>
                <c:pt idx="3">
                  <c:v>2050</c:v>
                </c:pt>
              </c:strCache>
            </c:strRef>
          </c:cat>
          <c:val>
            <c:numRef>
              <c:f>Sammenfatning!$B$103:$E$103</c:f>
              <c:numCache>
                <c:formatCode>#,##0</c:formatCode>
                <c:ptCount val="4"/>
                <c:pt idx="0">
                  <c:v>47400</c:v>
                </c:pt>
                <c:pt idx="1">
                  <c:v>31200</c:v>
                </c:pt>
                <c:pt idx="2">
                  <c:v>19600</c:v>
                </c:pt>
                <c:pt idx="3" formatCode="_ * #,##0_ ;_ * \-#,##0_ ;_ * &quot;-&quot;??_ ;_ @_ ">
                  <c:v>4300</c:v>
                </c:pt>
              </c:numCache>
            </c:numRef>
          </c:val>
          <c:smooth val="0"/>
          <c:extLst>
            <c:ext xmlns:c16="http://schemas.microsoft.com/office/drawing/2014/chart" uri="{C3380CC4-5D6E-409C-BE32-E72D297353CC}">
              <c16:uniqueId val="{00000002-5E56-4532-95B0-01273EB8D8B3}"/>
            </c:ext>
          </c:extLst>
        </c:ser>
        <c:dLbls>
          <c:showLegendKey val="0"/>
          <c:showVal val="0"/>
          <c:showCatName val="0"/>
          <c:showSerName val="0"/>
          <c:showPercent val="0"/>
          <c:showBubbleSize val="0"/>
        </c:dLbls>
        <c:marker val="1"/>
        <c:smooth val="0"/>
        <c:axId val="1182570895"/>
        <c:axId val="1182572143"/>
        <c:extLst>
          <c:ext xmlns:c15="http://schemas.microsoft.com/office/drawing/2012/chart" uri="{02D57815-91ED-43cb-92C2-25804820EDAC}">
            <c15:filteredLineSeries>
              <c15:ser>
                <c:idx val="0"/>
                <c:order val="0"/>
                <c:tx>
                  <c:strRef>
                    <c:extLst>
                      <c:ext uri="{02D57815-91ED-43cb-92C2-25804820EDAC}">
                        <c15:formulaRef>
                          <c15:sqref>Sammenfatning!$A$100</c15:sqref>
                        </c15:formulaRef>
                      </c:ext>
                    </c:extLst>
                    <c:strCache>
                      <c:ptCount val="1"/>
                      <c:pt idx="0">
                        <c:v>Udledningsstier relativt til mål</c:v>
                      </c:pt>
                    </c:strCache>
                  </c:strRef>
                </c:tx>
                <c:spPr>
                  <a:ln w="28575" cap="rnd">
                    <a:solidFill>
                      <a:srgbClr val="FFC000"/>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Sammenfatning!$B$100:$E$100</c15:sqref>
                        </c15:formulaRef>
                      </c:ext>
                    </c:extLst>
                    <c:strCache>
                      <c:ptCount val="4"/>
                      <c:pt idx="0">
                        <c:v>1990</c:v>
                      </c:pt>
                      <c:pt idx="1">
                        <c:v>2018/2020</c:v>
                      </c:pt>
                      <c:pt idx="2">
                        <c:v>2030</c:v>
                      </c:pt>
                      <c:pt idx="3">
                        <c:v>2050</c:v>
                      </c:pt>
                    </c:strCache>
                  </c:strRef>
                </c:cat>
                <c:val>
                  <c:numRef>
                    <c:extLst>
                      <c:ext uri="{02D57815-91ED-43cb-92C2-25804820EDAC}">
                        <c15:formulaRef>
                          <c15:sqref>Sammenfatning!$B$100:$E$100</c15:sqref>
                        </c15:formulaRef>
                      </c:ext>
                    </c:extLst>
                    <c:numCache>
                      <c:formatCode>General</c:formatCode>
                      <c:ptCount val="4"/>
                      <c:pt idx="0">
                        <c:v>1990</c:v>
                      </c:pt>
                      <c:pt idx="1">
                        <c:v>0</c:v>
                      </c:pt>
                      <c:pt idx="2">
                        <c:v>2030</c:v>
                      </c:pt>
                      <c:pt idx="3">
                        <c:v>2050</c:v>
                      </c:pt>
                    </c:numCache>
                  </c:numRef>
                </c:val>
                <c:smooth val="0"/>
                <c:extLst>
                  <c:ext xmlns:c16="http://schemas.microsoft.com/office/drawing/2014/chart" uri="{C3380CC4-5D6E-409C-BE32-E72D297353CC}">
                    <c16:uniqueId val="{00000003-5E56-4532-95B0-01273EB8D8B3}"/>
                  </c:ext>
                </c:extLst>
              </c15:ser>
            </c15:filteredLineSeries>
          </c:ext>
        </c:extLst>
      </c:lineChart>
      <c:catAx>
        <c:axId val="1182570895"/>
        <c:scaling>
          <c:orientation val="minMax"/>
        </c:scaling>
        <c:delete val="0"/>
        <c:axPos val="b"/>
        <c:numFmt formatCode="General" sourceLinked="1"/>
        <c:majorTickMark val="none"/>
        <c:minorTickMark val="none"/>
        <c:tickLblPos val="nextTo"/>
        <c:spPr>
          <a:noFill/>
          <a:ln w="9525" cap="flat" cmpd="sng" algn="ctr">
            <a:solidFill>
              <a:schemeClr val="dk1">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a-DK"/>
          </a:p>
        </c:txPr>
        <c:crossAx val="1182572143"/>
        <c:crosses val="autoZero"/>
        <c:auto val="1"/>
        <c:lblAlgn val="ctr"/>
        <c:lblOffset val="100"/>
        <c:noMultiLvlLbl val="0"/>
      </c:catAx>
      <c:valAx>
        <c:axId val="1182572143"/>
        <c:scaling>
          <c:orientation val="minMax"/>
        </c:scaling>
        <c:delete val="0"/>
        <c:axPos val="l"/>
        <c:majorGridlines>
          <c:spPr>
            <a:ln w="9525" cap="flat" cmpd="sng" algn="ctr">
              <a:solidFill>
                <a:sysClr val="windowText" lastClr="000000"/>
              </a:solidFill>
              <a:round/>
            </a:ln>
            <a:effectLst/>
          </c:spPr>
        </c:majorGridlines>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da-DK"/>
                  <a:t>Tons CO</a:t>
                </a:r>
                <a:r>
                  <a:rPr lang="da-DK" baseline="-25000"/>
                  <a:t>2</a:t>
                </a:r>
                <a:r>
                  <a:rPr lang="da-DK"/>
                  <a:t> /år</a:t>
                </a: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da-DK"/>
            </a:p>
          </c:txPr>
        </c:title>
        <c:numFmt formatCode="#,##0" sourceLinked="1"/>
        <c:majorTickMark val="none"/>
        <c:minorTickMark val="none"/>
        <c:tickLblPos val="nextTo"/>
        <c:spPr>
          <a:noFill/>
          <a:ln w="9525" cap="flat" cmpd="sng" algn="ctr">
            <a:solidFill>
              <a:schemeClr val="dk1">
                <a:shade val="95000"/>
                <a:satMod val="105000"/>
              </a:schemeClr>
            </a:solidFill>
            <a:prstDash val="soli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a-DK"/>
          </a:p>
        </c:txPr>
        <c:crossAx val="11825708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Sammenligning af udledningsstier - Energisektor</a:t>
            </a:r>
          </a:p>
        </c:rich>
      </c:tx>
      <c:layout>
        <c:manualLayout>
          <c:xMode val="edge"/>
          <c:yMode val="edge"/>
          <c:x val="0.29201347138721895"/>
          <c:y val="2.8085231526039998E-2"/>
        </c:manualLayout>
      </c:layout>
      <c:overlay val="0"/>
      <c:spPr>
        <a:noFill/>
        <a:ln>
          <a:noFill/>
        </a:ln>
        <a:effectLst/>
      </c:spPr>
    </c:title>
    <c:autoTitleDeleted val="0"/>
    <c:plotArea>
      <c:layout/>
      <c:lineChart>
        <c:grouping val="standard"/>
        <c:varyColors val="0"/>
        <c:ser>
          <c:idx val="1"/>
          <c:order val="0"/>
          <c:tx>
            <c:strRef>
              <c:f>Sammenfatning!$A$126</c:f>
              <c:strCache>
                <c:ptCount val="1"/>
                <c:pt idx="0">
                  <c:v>BAU</c:v>
                </c:pt>
              </c:strCache>
            </c:strRef>
          </c:tx>
          <c:spPr>
            <a:ln w="25400" cap="flat" cmpd="sng" algn="ctr">
              <a:solidFill>
                <a:schemeClr val="accent5">
                  <a:lumMod val="60000"/>
                  <a:lumOff val="40000"/>
                </a:schemeClr>
              </a:solidFill>
              <a:prstDash val="solid"/>
              <a:round/>
            </a:ln>
            <a:effectLst/>
          </c:spPr>
          <c:marker>
            <c:symbol val="circle"/>
            <c:size val="5"/>
            <c:spPr>
              <a:solidFill>
                <a:schemeClr val="lt1"/>
              </a:solidFill>
              <a:ln w="25400" cap="flat" cmpd="sng" algn="ctr">
                <a:solidFill>
                  <a:schemeClr val="accent5"/>
                </a:solidFill>
                <a:prstDash val="solid"/>
              </a:ln>
              <a:effectLst/>
            </c:spPr>
          </c:marker>
          <c:cat>
            <c:strRef>
              <c:f>Sammenfatning!$B$125:$E$125</c:f>
              <c:strCache>
                <c:ptCount val="4"/>
                <c:pt idx="0">
                  <c:v>1990</c:v>
                </c:pt>
                <c:pt idx="1">
                  <c:v>2018/2020</c:v>
                </c:pt>
                <c:pt idx="2">
                  <c:v>2030</c:v>
                </c:pt>
                <c:pt idx="3">
                  <c:v>2050</c:v>
                </c:pt>
              </c:strCache>
            </c:strRef>
          </c:cat>
          <c:val>
            <c:numRef>
              <c:f>Sammenfatning!$B$126:$E$126</c:f>
              <c:numCache>
                <c:formatCode>#,##0</c:formatCode>
                <c:ptCount val="4"/>
                <c:pt idx="0">
                  <c:v>18800</c:v>
                </c:pt>
                <c:pt idx="1">
                  <c:v>4800</c:v>
                </c:pt>
                <c:pt idx="2">
                  <c:v>500</c:v>
                </c:pt>
                <c:pt idx="3">
                  <c:v>300</c:v>
                </c:pt>
              </c:numCache>
            </c:numRef>
          </c:val>
          <c:smooth val="0"/>
          <c:extLst>
            <c:ext xmlns:c16="http://schemas.microsoft.com/office/drawing/2014/chart" uri="{C3380CC4-5D6E-409C-BE32-E72D297353CC}">
              <c16:uniqueId val="{00000001-1920-4C30-84ED-E202802360BE}"/>
            </c:ext>
          </c:extLst>
        </c:ser>
        <c:ser>
          <c:idx val="2"/>
          <c:order val="1"/>
          <c:tx>
            <c:strRef>
              <c:f>Sammenfatning!$A$127</c:f>
              <c:strCache>
                <c:ptCount val="1"/>
                <c:pt idx="0">
                  <c:v>National målsætning</c:v>
                </c:pt>
              </c:strCache>
            </c:strRef>
          </c:tx>
          <c:spPr>
            <a:ln w="28575" cap="rnd">
              <a:solidFill>
                <a:srgbClr val="C00000"/>
              </a:solidFill>
              <a:round/>
            </a:ln>
            <a:effectLst/>
          </c:spPr>
          <c:marker>
            <c:symbol val="circle"/>
            <c:size val="5"/>
            <c:spPr>
              <a:solidFill>
                <a:schemeClr val="accent3"/>
              </a:solidFill>
              <a:ln w="9525">
                <a:solidFill>
                  <a:schemeClr val="accent3"/>
                </a:solidFill>
              </a:ln>
              <a:effectLst/>
            </c:spPr>
          </c:marker>
          <c:cat>
            <c:strRef>
              <c:f>Sammenfatning!$B$125:$E$125</c:f>
              <c:strCache>
                <c:ptCount val="4"/>
                <c:pt idx="0">
                  <c:v>1990</c:v>
                </c:pt>
                <c:pt idx="1">
                  <c:v>2018/2020</c:v>
                </c:pt>
                <c:pt idx="2">
                  <c:v>2030</c:v>
                </c:pt>
                <c:pt idx="3">
                  <c:v>2050</c:v>
                </c:pt>
              </c:strCache>
            </c:strRef>
          </c:cat>
          <c:val>
            <c:numRef>
              <c:f>Sammenfatning!$B$127:$E$127</c:f>
              <c:numCache>
                <c:formatCode>#,##0</c:formatCode>
                <c:ptCount val="4"/>
                <c:pt idx="0">
                  <c:v>18800</c:v>
                </c:pt>
                <c:pt idx="1">
                  <c:v>4800</c:v>
                </c:pt>
                <c:pt idx="2">
                  <c:v>5640</c:v>
                </c:pt>
                <c:pt idx="3">
                  <c:v>0</c:v>
                </c:pt>
              </c:numCache>
            </c:numRef>
          </c:val>
          <c:smooth val="0"/>
          <c:extLst>
            <c:ext xmlns:c16="http://schemas.microsoft.com/office/drawing/2014/chart" uri="{C3380CC4-5D6E-409C-BE32-E72D297353CC}">
              <c16:uniqueId val="{00000003-1920-4C30-84ED-E202802360BE}"/>
            </c:ext>
          </c:extLst>
        </c:ser>
        <c:ser>
          <c:idx val="3"/>
          <c:order val="2"/>
          <c:tx>
            <c:strRef>
              <c:f>Sammenfatning!$A$128</c:f>
              <c:strCache>
                <c:ptCount val="1"/>
                <c:pt idx="0">
                  <c:v>Reduktionssti (mål scenarie)</c:v>
                </c:pt>
              </c:strCache>
            </c:strRef>
          </c:tx>
          <c:spPr>
            <a:ln w="25400" cap="flat" cmpd="sng" algn="ctr">
              <a:solidFill>
                <a:schemeClr val="accent1">
                  <a:lumMod val="60000"/>
                  <a:lumOff val="40000"/>
                </a:schemeClr>
              </a:solidFill>
              <a:prstDash val="solid"/>
              <a:round/>
            </a:ln>
            <a:effectLst/>
          </c:spPr>
          <c:marker>
            <c:symbol val="circle"/>
            <c:size val="5"/>
            <c:spPr>
              <a:solidFill>
                <a:schemeClr val="lt1"/>
              </a:solidFill>
              <a:ln w="25400" cap="flat" cmpd="sng" algn="ctr">
                <a:solidFill>
                  <a:schemeClr val="accent1"/>
                </a:solidFill>
                <a:prstDash val="solid"/>
              </a:ln>
              <a:effectLst/>
            </c:spPr>
          </c:marker>
          <c:cat>
            <c:strRef>
              <c:f>Sammenfatning!$B$125:$E$125</c:f>
              <c:strCache>
                <c:ptCount val="4"/>
                <c:pt idx="0">
                  <c:v>1990</c:v>
                </c:pt>
                <c:pt idx="1">
                  <c:v>2018/2020</c:v>
                </c:pt>
                <c:pt idx="2">
                  <c:v>2030</c:v>
                </c:pt>
                <c:pt idx="3">
                  <c:v>2050</c:v>
                </c:pt>
              </c:strCache>
            </c:strRef>
          </c:cat>
          <c:val>
            <c:numRef>
              <c:f>Sammenfatning!$B$128:$E$128</c:f>
              <c:numCache>
                <c:formatCode>#,##0</c:formatCode>
                <c:ptCount val="4"/>
                <c:pt idx="0">
                  <c:v>18800</c:v>
                </c:pt>
                <c:pt idx="1">
                  <c:v>4800</c:v>
                </c:pt>
                <c:pt idx="2">
                  <c:v>300</c:v>
                </c:pt>
                <c:pt idx="3" formatCode="_ * #,##0_ ;_ * \-#,##0_ ;_ * &quot;-&quot;??_ ;_ @_ ">
                  <c:v>100</c:v>
                </c:pt>
              </c:numCache>
            </c:numRef>
          </c:val>
          <c:smooth val="0"/>
          <c:extLst>
            <c:ext xmlns:c16="http://schemas.microsoft.com/office/drawing/2014/chart" uri="{C3380CC4-5D6E-409C-BE32-E72D297353CC}">
              <c16:uniqueId val="{00000005-1920-4C30-84ED-E202802360BE}"/>
            </c:ext>
          </c:extLst>
        </c:ser>
        <c:dLbls>
          <c:showLegendKey val="0"/>
          <c:showVal val="0"/>
          <c:showCatName val="0"/>
          <c:showSerName val="0"/>
          <c:showPercent val="0"/>
          <c:showBubbleSize val="0"/>
        </c:dLbls>
        <c:marker val="1"/>
        <c:smooth val="0"/>
        <c:axId val="1182570895"/>
        <c:axId val="1182572143"/>
        <c:extLst/>
      </c:lineChart>
      <c:catAx>
        <c:axId val="1182570895"/>
        <c:scaling>
          <c:orientation val="minMax"/>
        </c:scaling>
        <c:delete val="0"/>
        <c:axPos val="b"/>
        <c:numFmt formatCode="General" sourceLinked="1"/>
        <c:majorTickMark val="none"/>
        <c:minorTickMark val="none"/>
        <c:tickLblPos val="nextTo"/>
        <c:spPr>
          <a:noFill/>
          <a:ln w="9525" cap="flat" cmpd="sng" algn="ctr">
            <a:solidFill>
              <a:schemeClr val="dk1">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a-DK"/>
          </a:p>
        </c:txPr>
        <c:crossAx val="1182572143"/>
        <c:crosses val="autoZero"/>
        <c:auto val="1"/>
        <c:lblAlgn val="ctr"/>
        <c:lblOffset val="100"/>
        <c:noMultiLvlLbl val="0"/>
      </c:catAx>
      <c:valAx>
        <c:axId val="1182572143"/>
        <c:scaling>
          <c:orientation val="minMax"/>
        </c:scaling>
        <c:delete val="0"/>
        <c:axPos val="l"/>
        <c:majorGridlines>
          <c:spPr>
            <a:ln w="9525" cap="flat" cmpd="sng" algn="ctr">
              <a:solidFill>
                <a:sysClr val="windowText" lastClr="000000"/>
              </a:solidFill>
              <a:round/>
            </a:ln>
            <a:effectLst/>
          </c:spPr>
        </c:majorGridlines>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da-DK"/>
                  <a:t>Tons CO</a:t>
                </a:r>
                <a:r>
                  <a:rPr lang="da-DK" baseline="-25000"/>
                  <a:t>2</a:t>
                </a:r>
                <a:r>
                  <a:rPr lang="da-DK"/>
                  <a:t> /år</a:t>
                </a:r>
              </a:p>
            </c:rich>
          </c:tx>
          <c:overlay val="0"/>
          <c:spPr>
            <a:noFill/>
            <a:ln>
              <a:noFill/>
            </a:ln>
            <a:effectLst/>
          </c:spPr>
        </c:title>
        <c:numFmt formatCode="#,##0" sourceLinked="1"/>
        <c:majorTickMark val="none"/>
        <c:minorTickMark val="none"/>
        <c:tickLblPos val="nextTo"/>
        <c:spPr>
          <a:noFill/>
          <a:ln w="9525" cap="flat" cmpd="sng" algn="ctr">
            <a:solidFill>
              <a:schemeClr val="dk1">
                <a:shade val="95000"/>
                <a:satMod val="105000"/>
              </a:schemeClr>
            </a:solidFill>
            <a:prstDash val="soli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a-DK"/>
          </a:p>
        </c:txPr>
        <c:crossAx val="1182570895"/>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36388888888889"/>
          <c:y val="3.465346534653465E-2"/>
          <c:w val="0.69532189964648705"/>
          <c:h val="0.85396039603960394"/>
        </c:manualLayout>
      </c:layout>
      <c:barChart>
        <c:barDir val="col"/>
        <c:grouping val="stacked"/>
        <c:varyColors val="0"/>
        <c:ser>
          <c:idx val="0"/>
          <c:order val="0"/>
          <c:tx>
            <c:strRef>
              <c:f>'Grafer-energi'!$B$593</c:f>
              <c:strCache>
                <c:ptCount val="1"/>
                <c:pt idx="0">
                  <c:v>Person- og varebiler, 
benzin (inkl. mild hybrid)</c:v>
                </c:pt>
              </c:strCache>
            </c:strRef>
          </c:tx>
          <c:spPr>
            <a:solidFill>
              <a:schemeClr val="accent1"/>
            </a:solidFill>
            <a:ln>
              <a:noFill/>
            </a:ln>
            <a:effectLst/>
          </c:spPr>
          <c:invertIfNegative val="0"/>
          <c:cat>
            <c:numRef>
              <c:extLst>
                <c:ext xmlns:c15="http://schemas.microsoft.com/office/drawing/2012/chart" uri="{02D57815-91ED-43cb-92C2-25804820EDAC}">
                  <c15:fullRef>
                    <c15:sqref>'Grafer-energi'!$C$592:$J$592</c15:sqref>
                  </c15:fullRef>
                </c:ext>
              </c:extLst>
              <c:f>'Grafer-energi'!$C$592:$E$592</c:f>
              <c:numCache>
                <c:formatCode>General</c:formatCode>
                <c:ptCount val="3"/>
                <c:pt idx="0">
                  <c:v>1990</c:v>
                </c:pt>
                <c:pt idx="1">
                  <c:v>2018</c:v>
                </c:pt>
                <c:pt idx="2">
                  <c:v>2020</c:v>
                </c:pt>
              </c:numCache>
            </c:numRef>
          </c:cat>
          <c:val>
            <c:numRef>
              <c:extLst>
                <c:ext xmlns:c15="http://schemas.microsoft.com/office/drawing/2012/chart" uri="{02D57815-91ED-43cb-92C2-25804820EDAC}">
                  <c15:fullRef>
                    <c15:sqref>'Grafer-energi'!$C$593:$J$593</c15:sqref>
                  </c15:fullRef>
                </c:ext>
              </c:extLst>
              <c:f>'Grafer-energi'!$C$593:$E$593</c:f>
              <c:numCache>
                <c:formatCode>#,##0</c:formatCode>
                <c:ptCount val="3"/>
                <c:pt idx="0">
                  <c:v>26.46</c:v>
                </c:pt>
                <c:pt idx="1">
                  <c:v>19.46</c:v>
                </c:pt>
                <c:pt idx="2">
                  <c:v>18.09</c:v>
                </c:pt>
              </c:numCache>
            </c:numRef>
          </c:val>
          <c:extLst>
            <c:ext xmlns:c16="http://schemas.microsoft.com/office/drawing/2014/chart" uri="{C3380CC4-5D6E-409C-BE32-E72D297353CC}">
              <c16:uniqueId val="{00000000-DA13-484A-92F8-4E6D421C3314}"/>
            </c:ext>
          </c:extLst>
        </c:ser>
        <c:ser>
          <c:idx val="1"/>
          <c:order val="1"/>
          <c:tx>
            <c:strRef>
              <c:f>'Grafer-energi'!$B$594</c:f>
              <c:strCache>
                <c:ptCount val="1"/>
                <c:pt idx="0">
                  <c:v>Person- og varebiler, 
diesel, gas</c:v>
                </c:pt>
              </c:strCache>
            </c:strRef>
          </c:tx>
          <c:spPr>
            <a:solidFill>
              <a:schemeClr val="accent3"/>
            </a:solidFill>
            <a:ln>
              <a:noFill/>
            </a:ln>
            <a:effectLst/>
          </c:spPr>
          <c:invertIfNegative val="0"/>
          <c:cat>
            <c:numRef>
              <c:extLst>
                <c:ext xmlns:c15="http://schemas.microsoft.com/office/drawing/2012/chart" uri="{02D57815-91ED-43cb-92C2-25804820EDAC}">
                  <c15:fullRef>
                    <c15:sqref>'Grafer-energi'!$C$592:$J$592</c15:sqref>
                  </c15:fullRef>
                </c:ext>
              </c:extLst>
              <c:f>'Grafer-energi'!$C$592:$E$592</c:f>
              <c:numCache>
                <c:formatCode>General</c:formatCode>
                <c:ptCount val="3"/>
                <c:pt idx="0">
                  <c:v>1990</c:v>
                </c:pt>
                <c:pt idx="1">
                  <c:v>2018</c:v>
                </c:pt>
                <c:pt idx="2">
                  <c:v>2020</c:v>
                </c:pt>
              </c:numCache>
            </c:numRef>
          </c:cat>
          <c:val>
            <c:numRef>
              <c:extLst>
                <c:ext xmlns:c15="http://schemas.microsoft.com/office/drawing/2012/chart" uri="{02D57815-91ED-43cb-92C2-25804820EDAC}">
                  <c15:fullRef>
                    <c15:sqref>'Grafer-energi'!$C$594:$J$594</c15:sqref>
                  </c15:fullRef>
                </c:ext>
              </c:extLst>
              <c:f>'Grafer-energi'!$C$594:$E$594</c:f>
              <c:numCache>
                <c:formatCode>#,##0</c:formatCode>
                <c:ptCount val="3"/>
                <c:pt idx="0">
                  <c:v>8.61</c:v>
                </c:pt>
                <c:pt idx="1">
                  <c:v>17.670000000000002</c:v>
                </c:pt>
                <c:pt idx="2">
                  <c:v>15.36</c:v>
                </c:pt>
              </c:numCache>
            </c:numRef>
          </c:val>
          <c:extLst>
            <c:ext xmlns:c16="http://schemas.microsoft.com/office/drawing/2014/chart" uri="{C3380CC4-5D6E-409C-BE32-E72D297353CC}">
              <c16:uniqueId val="{00000001-DA13-484A-92F8-4E6D421C3314}"/>
            </c:ext>
          </c:extLst>
        </c:ser>
        <c:ser>
          <c:idx val="2"/>
          <c:order val="2"/>
          <c:tx>
            <c:strRef>
              <c:f>'Grafer-energi'!$B$595</c:f>
              <c:strCache>
                <c:ptCount val="1"/>
                <c:pt idx="0">
                  <c:v>Person- og varebiler, 
el, plug-in hybrid, brint</c:v>
                </c:pt>
              </c:strCache>
            </c:strRef>
          </c:tx>
          <c:spPr>
            <a:solidFill>
              <a:schemeClr val="accent5"/>
            </a:solidFill>
            <a:ln>
              <a:noFill/>
            </a:ln>
            <a:effectLst/>
          </c:spPr>
          <c:invertIfNegative val="0"/>
          <c:cat>
            <c:numRef>
              <c:extLst>
                <c:ext xmlns:c15="http://schemas.microsoft.com/office/drawing/2012/chart" uri="{02D57815-91ED-43cb-92C2-25804820EDAC}">
                  <c15:fullRef>
                    <c15:sqref>'Grafer-energi'!$C$592:$J$592</c15:sqref>
                  </c15:fullRef>
                </c:ext>
              </c:extLst>
              <c:f>'Grafer-energi'!$C$592:$E$592</c:f>
              <c:numCache>
                <c:formatCode>General</c:formatCode>
                <c:ptCount val="3"/>
                <c:pt idx="0">
                  <c:v>1990</c:v>
                </c:pt>
                <c:pt idx="1">
                  <c:v>2018</c:v>
                </c:pt>
                <c:pt idx="2">
                  <c:v>2020</c:v>
                </c:pt>
              </c:numCache>
            </c:numRef>
          </c:cat>
          <c:val>
            <c:numRef>
              <c:extLst>
                <c:ext xmlns:c15="http://schemas.microsoft.com/office/drawing/2012/chart" uri="{02D57815-91ED-43cb-92C2-25804820EDAC}">
                  <c15:fullRef>
                    <c15:sqref>'Grafer-energi'!$C$595:$J$595</c15:sqref>
                  </c15:fullRef>
                </c:ext>
              </c:extLst>
              <c:f>'Grafer-energi'!$C$595:$E$595</c:f>
              <c:numCache>
                <c:formatCode>#,##0</c:formatCode>
                <c:ptCount val="3"/>
                <c:pt idx="0">
                  <c:v>0</c:v>
                </c:pt>
                <c:pt idx="1">
                  <c:v>0.16122599704579024</c:v>
                </c:pt>
                <c:pt idx="2">
                  <c:v>0.35799999999999998</c:v>
                </c:pt>
              </c:numCache>
            </c:numRef>
          </c:val>
          <c:extLst>
            <c:ext xmlns:c16="http://schemas.microsoft.com/office/drawing/2014/chart" uri="{C3380CC4-5D6E-409C-BE32-E72D297353CC}">
              <c16:uniqueId val="{00000003-DA13-484A-92F8-4E6D421C3314}"/>
            </c:ext>
          </c:extLst>
        </c:ser>
        <c:ser>
          <c:idx val="4"/>
          <c:order val="3"/>
          <c:tx>
            <c:strRef>
              <c:f>'Grafer-energi'!$B$596</c:f>
              <c:strCache>
                <c:ptCount val="1"/>
                <c:pt idx="0">
                  <c:v>Busser, diesel, gas</c:v>
                </c:pt>
              </c:strCache>
            </c:strRef>
          </c:tx>
          <c:spPr>
            <a:solidFill>
              <a:schemeClr val="accent3">
                <a:lumMod val="60000"/>
              </a:schemeClr>
            </a:solidFill>
            <a:ln>
              <a:noFill/>
            </a:ln>
            <a:effectLst/>
          </c:spPr>
          <c:invertIfNegative val="0"/>
          <c:cat>
            <c:numRef>
              <c:extLst>
                <c:ext xmlns:c15="http://schemas.microsoft.com/office/drawing/2012/chart" uri="{02D57815-91ED-43cb-92C2-25804820EDAC}">
                  <c15:fullRef>
                    <c15:sqref>'Grafer-energi'!$C$592:$J$592</c15:sqref>
                  </c15:fullRef>
                </c:ext>
              </c:extLst>
              <c:f>'Grafer-energi'!$C$592:$E$592</c:f>
              <c:numCache>
                <c:formatCode>General</c:formatCode>
                <c:ptCount val="3"/>
                <c:pt idx="0">
                  <c:v>1990</c:v>
                </c:pt>
                <c:pt idx="1">
                  <c:v>2018</c:v>
                </c:pt>
                <c:pt idx="2">
                  <c:v>2020</c:v>
                </c:pt>
              </c:numCache>
            </c:numRef>
          </c:cat>
          <c:val>
            <c:numRef>
              <c:extLst>
                <c:ext xmlns:c15="http://schemas.microsoft.com/office/drawing/2012/chart" uri="{02D57815-91ED-43cb-92C2-25804820EDAC}">
                  <c15:fullRef>
                    <c15:sqref>'Grafer-energi'!$C$596:$J$596</c15:sqref>
                  </c15:fullRef>
                </c:ext>
              </c:extLst>
              <c:f>'Grafer-energi'!$C$596:$E$596</c:f>
              <c:numCache>
                <c:formatCode>#,##0</c:formatCode>
                <c:ptCount val="3"/>
                <c:pt idx="0">
                  <c:v>3.34</c:v>
                </c:pt>
                <c:pt idx="1">
                  <c:v>2.06</c:v>
                </c:pt>
                <c:pt idx="2">
                  <c:v>1.45</c:v>
                </c:pt>
              </c:numCache>
            </c:numRef>
          </c:val>
          <c:extLst>
            <c:ext xmlns:c16="http://schemas.microsoft.com/office/drawing/2014/chart" uri="{C3380CC4-5D6E-409C-BE32-E72D297353CC}">
              <c16:uniqueId val="{00000004-DA13-484A-92F8-4E6D421C3314}"/>
            </c:ext>
          </c:extLst>
        </c:ser>
        <c:ser>
          <c:idx val="5"/>
          <c:order val="4"/>
          <c:tx>
            <c:strRef>
              <c:f>'Grafer-energi'!$B$598</c:f>
              <c:strCache>
                <c:ptCount val="1"/>
                <c:pt idx="0">
                  <c:v>Lastbiler m.m., diesel, gas</c:v>
                </c:pt>
              </c:strCache>
            </c:strRef>
          </c:tx>
          <c:spPr>
            <a:solidFill>
              <a:schemeClr val="accent5">
                <a:lumMod val="60000"/>
              </a:schemeClr>
            </a:solidFill>
            <a:ln>
              <a:noFill/>
            </a:ln>
            <a:effectLst/>
          </c:spPr>
          <c:invertIfNegative val="0"/>
          <c:cat>
            <c:numRef>
              <c:extLst>
                <c:ext xmlns:c15="http://schemas.microsoft.com/office/drawing/2012/chart" uri="{02D57815-91ED-43cb-92C2-25804820EDAC}">
                  <c15:fullRef>
                    <c15:sqref>'Grafer-energi'!$C$592:$J$592</c15:sqref>
                  </c15:fullRef>
                </c:ext>
              </c:extLst>
              <c:f>'Grafer-energi'!$C$592:$E$592</c:f>
              <c:numCache>
                <c:formatCode>General</c:formatCode>
                <c:ptCount val="3"/>
                <c:pt idx="0">
                  <c:v>1990</c:v>
                </c:pt>
                <c:pt idx="1">
                  <c:v>2018</c:v>
                </c:pt>
                <c:pt idx="2">
                  <c:v>2020</c:v>
                </c:pt>
              </c:numCache>
            </c:numRef>
          </c:cat>
          <c:val>
            <c:numRef>
              <c:extLst>
                <c:ext xmlns:c15="http://schemas.microsoft.com/office/drawing/2012/chart" uri="{02D57815-91ED-43cb-92C2-25804820EDAC}">
                  <c15:fullRef>
                    <c15:sqref>'Grafer-energi'!$C$598:$J$598</c15:sqref>
                  </c15:fullRef>
                </c:ext>
              </c:extLst>
              <c:f>'Grafer-energi'!$C$598:$E$598</c:f>
              <c:numCache>
                <c:formatCode>#,##0</c:formatCode>
                <c:ptCount val="3"/>
                <c:pt idx="0">
                  <c:v>8.5299999999999994</c:v>
                </c:pt>
                <c:pt idx="1">
                  <c:v>34.11</c:v>
                </c:pt>
                <c:pt idx="2">
                  <c:v>31</c:v>
                </c:pt>
              </c:numCache>
            </c:numRef>
          </c:val>
          <c:extLst>
            <c:ext xmlns:c16="http://schemas.microsoft.com/office/drawing/2014/chart" uri="{C3380CC4-5D6E-409C-BE32-E72D297353CC}">
              <c16:uniqueId val="{00000005-DA13-484A-92F8-4E6D421C3314}"/>
            </c:ext>
          </c:extLst>
        </c:ser>
        <c:ser>
          <c:idx val="6"/>
          <c:order val="5"/>
          <c:tx>
            <c:strRef>
              <c:f>'Grafer-energi'!$B$600</c:f>
              <c:strCache>
                <c:ptCount val="1"/>
                <c:pt idx="0">
                  <c:v>Traktorer</c:v>
                </c:pt>
              </c:strCache>
            </c:strRef>
          </c:tx>
          <c:spPr>
            <a:solidFill>
              <a:schemeClr val="accent1">
                <a:lumMod val="80000"/>
                <a:lumOff val="20000"/>
              </a:schemeClr>
            </a:solidFill>
            <a:ln>
              <a:noFill/>
            </a:ln>
            <a:effectLst/>
          </c:spPr>
          <c:invertIfNegative val="0"/>
          <c:cat>
            <c:numRef>
              <c:extLst>
                <c:ext xmlns:c15="http://schemas.microsoft.com/office/drawing/2012/chart" uri="{02D57815-91ED-43cb-92C2-25804820EDAC}">
                  <c15:fullRef>
                    <c15:sqref>'Grafer-energi'!$C$592:$J$592</c15:sqref>
                  </c15:fullRef>
                </c:ext>
              </c:extLst>
              <c:f>'Grafer-energi'!$C$592:$E$592</c:f>
              <c:numCache>
                <c:formatCode>General</c:formatCode>
                <c:ptCount val="3"/>
                <c:pt idx="0">
                  <c:v>1990</c:v>
                </c:pt>
                <c:pt idx="1">
                  <c:v>2018</c:v>
                </c:pt>
                <c:pt idx="2">
                  <c:v>2020</c:v>
                </c:pt>
              </c:numCache>
            </c:numRef>
          </c:cat>
          <c:val>
            <c:numRef>
              <c:extLst>
                <c:ext xmlns:c15="http://schemas.microsoft.com/office/drawing/2012/chart" uri="{02D57815-91ED-43cb-92C2-25804820EDAC}">
                  <c15:fullRef>
                    <c15:sqref>'Grafer-energi'!$C$600:$J$600</c15:sqref>
                  </c15:fullRef>
                </c:ext>
              </c:extLst>
              <c:f>'Grafer-energi'!$C$600:$E$600</c:f>
              <c:numCache>
                <c:formatCode>#,##0</c:formatCode>
                <c:ptCount val="3"/>
                <c:pt idx="0">
                  <c:v>7.0269586273894555</c:v>
                </c:pt>
                <c:pt idx="1">
                  <c:v>7.43</c:v>
                </c:pt>
                <c:pt idx="2">
                  <c:v>7.1</c:v>
                </c:pt>
              </c:numCache>
            </c:numRef>
          </c:val>
          <c:extLst>
            <c:ext xmlns:c16="http://schemas.microsoft.com/office/drawing/2014/chart" uri="{C3380CC4-5D6E-409C-BE32-E72D297353CC}">
              <c16:uniqueId val="{00000006-DA13-484A-92F8-4E6D421C3314}"/>
            </c:ext>
          </c:extLst>
        </c:ser>
        <c:ser>
          <c:idx val="7"/>
          <c:order val="6"/>
          <c:tx>
            <c:strRef>
              <c:f>'Grafer-energi'!$B$601</c:f>
              <c:strCache>
                <c:ptCount val="1"/>
                <c:pt idx="0">
                  <c:v>Tog</c:v>
                </c:pt>
              </c:strCache>
            </c:strRef>
          </c:tx>
          <c:spPr>
            <a:solidFill>
              <a:schemeClr val="accent3">
                <a:lumMod val="80000"/>
                <a:lumOff val="20000"/>
              </a:schemeClr>
            </a:solidFill>
            <a:ln>
              <a:noFill/>
            </a:ln>
            <a:effectLst/>
          </c:spPr>
          <c:invertIfNegative val="0"/>
          <c:cat>
            <c:numRef>
              <c:extLst>
                <c:ext xmlns:c15="http://schemas.microsoft.com/office/drawing/2012/chart" uri="{02D57815-91ED-43cb-92C2-25804820EDAC}">
                  <c15:fullRef>
                    <c15:sqref>'Grafer-energi'!$C$592:$J$592</c15:sqref>
                  </c15:fullRef>
                </c:ext>
              </c:extLst>
              <c:f>'Grafer-energi'!$C$592:$E$592</c:f>
              <c:numCache>
                <c:formatCode>General</c:formatCode>
                <c:ptCount val="3"/>
                <c:pt idx="0">
                  <c:v>1990</c:v>
                </c:pt>
                <c:pt idx="1">
                  <c:v>2018</c:v>
                </c:pt>
                <c:pt idx="2">
                  <c:v>2020</c:v>
                </c:pt>
              </c:numCache>
            </c:numRef>
          </c:cat>
          <c:val>
            <c:numRef>
              <c:extLst>
                <c:ext xmlns:c15="http://schemas.microsoft.com/office/drawing/2012/chart" uri="{02D57815-91ED-43cb-92C2-25804820EDAC}">
                  <c15:fullRef>
                    <c15:sqref>'Grafer-energi'!$C$601:$J$601</c15:sqref>
                  </c15:fullRef>
                </c:ext>
              </c:extLst>
              <c:f>'Grafer-energi'!$C$601:$E$601</c:f>
              <c:numCache>
                <c:formatCode>#,##0</c:formatCode>
                <c:ptCount val="3"/>
                <c:pt idx="0">
                  <c:v>1.961507860425528</c:v>
                </c:pt>
                <c:pt idx="1">
                  <c:v>0.95</c:v>
                </c:pt>
                <c:pt idx="2">
                  <c:v>0.81</c:v>
                </c:pt>
              </c:numCache>
            </c:numRef>
          </c:val>
          <c:extLst>
            <c:ext xmlns:c16="http://schemas.microsoft.com/office/drawing/2014/chart" uri="{C3380CC4-5D6E-409C-BE32-E72D297353CC}">
              <c16:uniqueId val="{00000007-DA13-484A-92F8-4E6D421C3314}"/>
            </c:ext>
          </c:extLst>
        </c:ser>
        <c:ser>
          <c:idx val="8"/>
          <c:order val="7"/>
          <c:tx>
            <c:strRef>
              <c:f>'Grafer-energi'!$B$602</c:f>
              <c:strCache>
                <c:ptCount val="1"/>
                <c:pt idx="0">
                  <c:v>Fly</c:v>
                </c:pt>
              </c:strCache>
            </c:strRef>
          </c:tx>
          <c:spPr>
            <a:solidFill>
              <a:schemeClr val="accent5">
                <a:lumMod val="80000"/>
                <a:lumOff val="20000"/>
              </a:schemeClr>
            </a:solidFill>
            <a:ln>
              <a:noFill/>
            </a:ln>
            <a:effectLst/>
          </c:spPr>
          <c:invertIfNegative val="0"/>
          <c:cat>
            <c:numRef>
              <c:extLst>
                <c:ext xmlns:c15="http://schemas.microsoft.com/office/drawing/2012/chart" uri="{02D57815-91ED-43cb-92C2-25804820EDAC}">
                  <c15:fullRef>
                    <c15:sqref>'Grafer-energi'!$C$592:$J$592</c15:sqref>
                  </c15:fullRef>
                </c:ext>
              </c:extLst>
              <c:f>'Grafer-energi'!$C$592:$E$592</c:f>
              <c:numCache>
                <c:formatCode>General</c:formatCode>
                <c:ptCount val="3"/>
                <c:pt idx="0">
                  <c:v>1990</c:v>
                </c:pt>
                <c:pt idx="1">
                  <c:v>2018</c:v>
                </c:pt>
                <c:pt idx="2">
                  <c:v>2020</c:v>
                </c:pt>
              </c:numCache>
            </c:numRef>
          </c:cat>
          <c:val>
            <c:numRef>
              <c:extLst>
                <c:ext xmlns:c15="http://schemas.microsoft.com/office/drawing/2012/chart" uri="{02D57815-91ED-43cb-92C2-25804820EDAC}">
                  <c15:fullRef>
                    <c15:sqref>'Grafer-energi'!$C$602:$J$602</c15:sqref>
                  </c15:fullRef>
                </c:ext>
              </c:extLst>
              <c:f>'Grafer-energi'!$C$602:$E$602</c:f>
              <c:numCache>
                <c:formatCode>#,##0</c:formatCode>
                <c:ptCount val="3"/>
                <c:pt idx="0">
                  <c:v>14.177058645182885</c:v>
                </c:pt>
                <c:pt idx="1">
                  <c:v>13.995000000000001</c:v>
                </c:pt>
                <c:pt idx="2">
                  <c:v>4.96</c:v>
                </c:pt>
              </c:numCache>
            </c:numRef>
          </c:val>
          <c:extLst>
            <c:ext xmlns:c16="http://schemas.microsoft.com/office/drawing/2014/chart" uri="{C3380CC4-5D6E-409C-BE32-E72D297353CC}">
              <c16:uniqueId val="{00000008-DA13-484A-92F8-4E6D421C3314}"/>
            </c:ext>
          </c:extLst>
        </c:ser>
        <c:ser>
          <c:idx val="9"/>
          <c:order val="8"/>
          <c:tx>
            <c:strRef>
              <c:f>'Grafer-energi'!$B$603</c:f>
              <c:strCache>
                <c:ptCount val="1"/>
                <c:pt idx="0">
                  <c:v>Skibe</c:v>
                </c:pt>
              </c:strCache>
            </c:strRef>
          </c:tx>
          <c:spPr>
            <a:solidFill>
              <a:schemeClr val="accent1">
                <a:lumMod val="80000"/>
              </a:schemeClr>
            </a:solidFill>
            <a:ln>
              <a:noFill/>
            </a:ln>
            <a:effectLst/>
          </c:spPr>
          <c:invertIfNegative val="0"/>
          <c:cat>
            <c:numRef>
              <c:extLst>
                <c:ext xmlns:c15="http://schemas.microsoft.com/office/drawing/2012/chart" uri="{02D57815-91ED-43cb-92C2-25804820EDAC}">
                  <c15:fullRef>
                    <c15:sqref>'Grafer-energi'!$C$592:$J$592</c15:sqref>
                  </c15:fullRef>
                </c:ext>
              </c:extLst>
              <c:f>'Grafer-energi'!$C$592:$E$592</c:f>
              <c:numCache>
                <c:formatCode>General</c:formatCode>
                <c:ptCount val="3"/>
                <c:pt idx="0">
                  <c:v>1990</c:v>
                </c:pt>
                <c:pt idx="1">
                  <c:v>2018</c:v>
                </c:pt>
                <c:pt idx="2">
                  <c:v>2020</c:v>
                </c:pt>
              </c:numCache>
            </c:numRef>
          </c:cat>
          <c:val>
            <c:numRef>
              <c:extLst>
                <c:ext xmlns:c15="http://schemas.microsoft.com/office/drawing/2012/chart" uri="{02D57815-91ED-43cb-92C2-25804820EDAC}">
                  <c15:fullRef>
                    <c15:sqref>'Grafer-energi'!$C$603:$J$603</c15:sqref>
                  </c15:fullRef>
                </c:ext>
              </c:extLst>
              <c:f>'Grafer-energi'!$C$603:$E$603</c:f>
              <c:numCache>
                <c:formatCode>#,##0</c:formatCode>
                <c:ptCount val="3"/>
                <c:pt idx="0">
                  <c:v>3.1023052691616186</c:v>
                </c:pt>
                <c:pt idx="1">
                  <c:v>2.0009999999999999</c:v>
                </c:pt>
                <c:pt idx="2">
                  <c:v>1.5</c:v>
                </c:pt>
              </c:numCache>
            </c:numRef>
          </c:val>
          <c:extLst>
            <c:ext xmlns:c16="http://schemas.microsoft.com/office/drawing/2014/chart" uri="{C3380CC4-5D6E-409C-BE32-E72D297353CC}">
              <c16:uniqueId val="{00000001-F84B-4805-B143-BBD30DDD1281}"/>
            </c:ext>
          </c:extLst>
        </c:ser>
        <c:dLbls>
          <c:showLegendKey val="0"/>
          <c:showVal val="0"/>
          <c:showCatName val="0"/>
          <c:showSerName val="0"/>
          <c:showPercent val="0"/>
          <c:showBubbleSize val="0"/>
        </c:dLbls>
        <c:gapWidth val="150"/>
        <c:overlap val="100"/>
        <c:axId val="684825992"/>
        <c:axId val="687051288"/>
      </c:barChart>
      <c:catAx>
        <c:axId val="684825992"/>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687051288"/>
        <c:crosses val="autoZero"/>
        <c:auto val="1"/>
        <c:lblAlgn val="ctr"/>
        <c:lblOffset val="100"/>
        <c:noMultiLvlLbl val="0"/>
      </c:catAx>
      <c:valAx>
        <c:axId val="68705128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r>
                  <a:rPr lang="da-DK"/>
                  <a:t>TJ/år</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endParaRPr lang="da-DK"/>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684825992"/>
        <c:crosses val="autoZero"/>
        <c:crossBetween val="between"/>
      </c:valAx>
      <c:spPr>
        <a:solidFill>
          <a:schemeClr val="bg1"/>
        </a:solidFill>
        <a:ln>
          <a:noFill/>
        </a:ln>
        <a:effectLst/>
      </c:spPr>
    </c:plotArea>
    <c:legend>
      <c:legendPos val="r"/>
      <c:layout>
        <c:manualLayout>
          <c:xMode val="edge"/>
          <c:yMode val="edge"/>
          <c:x val="0.81409958255945958"/>
          <c:y val="7.8899021661515703E-2"/>
          <c:w val="0.17531706260333804"/>
          <c:h val="0.82460891574055295"/>
        </c:manualLayout>
      </c:layout>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243" l="0.70000000000000062" r="0.70000000000000062" t="0.75000000000001243"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Sammenligning af udledningsstier - Transportsektor</a:t>
            </a:r>
          </a:p>
        </c:rich>
      </c:tx>
      <c:layout>
        <c:manualLayout>
          <c:xMode val="edge"/>
          <c:yMode val="edge"/>
          <c:x val="0.29201347138721895"/>
          <c:y val="2.8085231526039998E-2"/>
        </c:manualLayout>
      </c:layout>
      <c:overlay val="0"/>
      <c:spPr>
        <a:noFill/>
        <a:ln>
          <a:noFill/>
        </a:ln>
        <a:effectLst/>
      </c:spPr>
    </c:title>
    <c:autoTitleDeleted val="0"/>
    <c:plotArea>
      <c:layout/>
      <c:lineChart>
        <c:grouping val="standard"/>
        <c:varyColors val="0"/>
        <c:ser>
          <c:idx val="1"/>
          <c:order val="0"/>
          <c:tx>
            <c:strRef>
              <c:f>Sammenfatning!$A$151</c:f>
              <c:strCache>
                <c:ptCount val="1"/>
                <c:pt idx="0">
                  <c:v>BAU</c:v>
                </c:pt>
              </c:strCache>
            </c:strRef>
          </c:tx>
          <c:spPr>
            <a:ln w="25400" cap="flat" cmpd="sng" algn="ctr">
              <a:solidFill>
                <a:schemeClr val="accent5">
                  <a:lumMod val="60000"/>
                  <a:lumOff val="40000"/>
                </a:schemeClr>
              </a:solidFill>
              <a:prstDash val="solid"/>
              <a:round/>
            </a:ln>
            <a:effectLst/>
          </c:spPr>
          <c:marker>
            <c:symbol val="circle"/>
            <c:size val="5"/>
            <c:spPr>
              <a:solidFill>
                <a:schemeClr val="lt1"/>
              </a:solidFill>
              <a:ln w="25400" cap="flat" cmpd="sng" algn="ctr">
                <a:solidFill>
                  <a:schemeClr val="accent5"/>
                </a:solidFill>
                <a:prstDash val="solid"/>
              </a:ln>
              <a:effectLst/>
            </c:spPr>
          </c:marker>
          <c:cat>
            <c:strRef>
              <c:f>Sammenfatning!$B$150:$E$150</c:f>
              <c:strCache>
                <c:ptCount val="4"/>
                <c:pt idx="0">
                  <c:v>1990</c:v>
                </c:pt>
                <c:pt idx="1">
                  <c:v>2018/2020</c:v>
                </c:pt>
                <c:pt idx="2">
                  <c:v>2030</c:v>
                </c:pt>
                <c:pt idx="3">
                  <c:v>2050</c:v>
                </c:pt>
              </c:strCache>
            </c:strRef>
          </c:cat>
          <c:val>
            <c:numRef>
              <c:f>Sammenfatning!$B$151:$E$151</c:f>
              <c:numCache>
                <c:formatCode>#,##0</c:formatCode>
                <c:ptCount val="4"/>
                <c:pt idx="0">
                  <c:v>5200</c:v>
                </c:pt>
                <c:pt idx="1">
                  <c:v>5600</c:v>
                </c:pt>
                <c:pt idx="2">
                  <c:v>4500</c:v>
                </c:pt>
                <c:pt idx="3">
                  <c:v>3800</c:v>
                </c:pt>
              </c:numCache>
            </c:numRef>
          </c:val>
          <c:smooth val="0"/>
          <c:extLst>
            <c:ext xmlns:c16="http://schemas.microsoft.com/office/drawing/2014/chart" uri="{C3380CC4-5D6E-409C-BE32-E72D297353CC}">
              <c16:uniqueId val="{00000001-138B-4EB5-ADF9-C1A46C02A633}"/>
            </c:ext>
          </c:extLst>
        </c:ser>
        <c:ser>
          <c:idx val="2"/>
          <c:order val="1"/>
          <c:tx>
            <c:strRef>
              <c:f>Sammenfatning!$A$152</c:f>
              <c:strCache>
                <c:ptCount val="1"/>
                <c:pt idx="0">
                  <c:v>National målsætning</c:v>
                </c:pt>
              </c:strCache>
            </c:strRef>
          </c:tx>
          <c:spPr>
            <a:ln w="28575" cap="rnd">
              <a:solidFill>
                <a:srgbClr val="C00000"/>
              </a:solidFill>
              <a:round/>
            </a:ln>
            <a:effectLst/>
          </c:spPr>
          <c:marker>
            <c:symbol val="circle"/>
            <c:size val="5"/>
            <c:spPr>
              <a:solidFill>
                <a:schemeClr val="accent3"/>
              </a:solidFill>
              <a:ln w="9525">
                <a:solidFill>
                  <a:schemeClr val="accent3"/>
                </a:solidFill>
              </a:ln>
              <a:effectLst/>
            </c:spPr>
          </c:marker>
          <c:cat>
            <c:strRef>
              <c:f>Sammenfatning!$B$150:$E$150</c:f>
              <c:strCache>
                <c:ptCount val="4"/>
                <c:pt idx="0">
                  <c:v>1990</c:v>
                </c:pt>
                <c:pt idx="1">
                  <c:v>2018/2020</c:v>
                </c:pt>
                <c:pt idx="2">
                  <c:v>2030</c:v>
                </c:pt>
                <c:pt idx="3">
                  <c:v>2050</c:v>
                </c:pt>
              </c:strCache>
            </c:strRef>
          </c:cat>
          <c:val>
            <c:numRef>
              <c:f>Sammenfatning!$B$152:$E$152</c:f>
              <c:numCache>
                <c:formatCode>#,##0</c:formatCode>
                <c:ptCount val="4"/>
                <c:pt idx="0">
                  <c:v>5200</c:v>
                </c:pt>
                <c:pt idx="1">
                  <c:v>5600</c:v>
                </c:pt>
                <c:pt idx="2">
                  <c:v>1560</c:v>
                </c:pt>
                <c:pt idx="3">
                  <c:v>0</c:v>
                </c:pt>
              </c:numCache>
            </c:numRef>
          </c:val>
          <c:smooth val="0"/>
          <c:extLst>
            <c:ext xmlns:c16="http://schemas.microsoft.com/office/drawing/2014/chart" uri="{C3380CC4-5D6E-409C-BE32-E72D297353CC}">
              <c16:uniqueId val="{00000003-138B-4EB5-ADF9-C1A46C02A633}"/>
            </c:ext>
          </c:extLst>
        </c:ser>
        <c:ser>
          <c:idx val="3"/>
          <c:order val="2"/>
          <c:tx>
            <c:strRef>
              <c:f>Sammenfatning!$A$153</c:f>
              <c:strCache>
                <c:ptCount val="1"/>
                <c:pt idx="0">
                  <c:v>Reduktionssti (mål scenarie)</c:v>
                </c:pt>
              </c:strCache>
            </c:strRef>
          </c:tx>
          <c:spPr>
            <a:ln w="25400" cap="flat" cmpd="sng" algn="ctr">
              <a:solidFill>
                <a:schemeClr val="accent1">
                  <a:lumMod val="60000"/>
                  <a:lumOff val="40000"/>
                </a:schemeClr>
              </a:solidFill>
              <a:prstDash val="solid"/>
              <a:round/>
            </a:ln>
            <a:effectLst/>
          </c:spPr>
          <c:marker>
            <c:symbol val="circle"/>
            <c:size val="5"/>
            <c:spPr>
              <a:solidFill>
                <a:schemeClr val="lt1"/>
              </a:solidFill>
              <a:ln w="25400" cap="flat" cmpd="sng" algn="ctr">
                <a:solidFill>
                  <a:schemeClr val="accent1"/>
                </a:solidFill>
                <a:prstDash val="solid"/>
              </a:ln>
              <a:effectLst/>
            </c:spPr>
          </c:marker>
          <c:cat>
            <c:strRef>
              <c:f>Sammenfatning!$B$150:$E$150</c:f>
              <c:strCache>
                <c:ptCount val="4"/>
                <c:pt idx="0">
                  <c:v>1990</c:v>
                </c:pt>
                <c:pt idx="1">
                  <c:v>2018/2020</c:v>
                </c:pt>
                <c:pt idx="2">
                  <c:v>2030</c:v>
                </c:pt>
                <c:pt idx="3">
                  <c:v>2050</c:v>
                </c:pt>
              </c:strCache>
            </c:strRef>
          </c:cat>
          <c:val>
            <c:numRef>
              <c:f>Sammenfatning!$B$153:$E$153</c:f>
              <c:numCache>
                <c:formatCode>#,##0</c:formatCode>
                <c:ptCount val="4"/>
                <c:pt idx="0">
                  <c:v>5200</c:v>
                </c:pt>
                <c:pt idx="1">
                  <c:v>5600</c:v>
                </c:pt>
                <c:pt idx="2">
                  <c:v>3300</c:v>
                </c:pt>
                <c:pt idx="3" formatCode="_ * #,##0_ ;_ * \-#,##0_ ;_ * &quot;-&quot;??_ ;_ @_ ">
                  <c:v>2700</c:v>
                </c:pt>
              </c:numCache>
            </c:numRef>
          </c:val>
          <c:smooth val="0"/>
          <c:extLst>
            <c:ext xmlns:c16="http://schemas.microsoft.com/office/drawing/2014/chart" uri="{C3380CC4-5D6E-409C-BE32-E72D297353CC}">
              <c16:uniqueId val="{00000005-138B-4EB5-ADF9-C1A46C02A633}"/>
            </c:ext>
          </c:extLst>
        </c:ser>
        <c:dLbls>
          <c:showLegendKey val="0"/>
          <c:showVal val="0"/>
          <c:showCatName val="0"/>
          <c:showSerName val="0"/>
          <c:showPercent val="0"/>
          <c:showBubbleSize val="0"/>
        </c:dLbls>
        <c:marker val="1"/>
        <c:smooth val="0"/>
        <c:axId val="1182570895"/>
        <c:axId val="1182572143"/>
        <c:extLst/>
      </c:lineChart>
      <c:catAx>
        <c:axId val="1182570895"/>
        <c:scaling>
          <c:orientation val="minMax"/>
        </c:scaling>
        <c:delete val="0"/>
        <c:axPos val="b"/>
        <c:numFmt formatCode="General" sourceLinked="1"/>
        <c:majorTickMark val="none"/>
        <c:minorTickMark val="none"/>
        <c:tickLblPos val="nextTo"/>
        <c:spPr>
          <a:noFill/>
          <a:ln w="9525" cap="flat" cmpd="sng" algn="ctr">
            <a:solidFill>
              <a:schemeClr val="dk1">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a-DK"/>
          </a:p>
        </c:txPr>
        <c:crossAx val="1182572143"/>
        <c:crosses val="autoZero"/>
        <c:auto val="1"/>
        <c:lblAlgn val="ctr"/>
        <c:lblOffset val="100"/>
        <c:noMultiLvlLbl val="0"/>
      </c:catAx>
      <c:valAx>
        <c:axId val="1182572143"/>
        <c:scaling>
          <c:orientation val="minMax"/>
        </c:scaling>
        <c:delete val="0"/>
        <c:axPos val="l"/>
        <c:majorGridlines>
          <c:spPr>
            <a:ln w="9525" cap="flat" cmpd="sng" algn="ctr">
              <a:solidFill>
                <a:sysClr val="windowText" lastClr="000000"/>
              </a:solidFill>
              <a:round/>
            </a:ln>
            <a:effectLst/>
          </c:spPr>
        </c:majorGridlines>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da-DK"/>
                  <a:t>Tons CO</a:t>
                </a:r>
                <a:r>
                  <a:rPr lang="da-DK" baseline="-25000"/>
                  <a:t>2</a:t>
                </a:r>
                <a:r>
                  <a:rPr lang="da-DK"/>
                  <a:t> /år</a:t>
                </a:r>
              </a:p>
            </c:rich>
          </c:tx>
          <c:overlay val="0"/>
          <c:spPr>
            <a:noFill/>
            <a:ln>
              <a:noFill/>
            </a:ln>
            <a:effectLst/>
          </c:spPr>
        </c:title>
        <c:numFmt formatCode="#,##0" sourceLinked="1"/>
        <c:majorTickMark val="none"/>
        <c:minorTickMark val="none"/>
        <c:tickLblPos val="nextTo"/>
        <c:spPr>
          <a:noFill/>
          <a:ln w="9525" cap="flat" cmpd="sng" algn="ctr">
            <a:solidFill>
              <a:schemeClr val="dk1">
                <a:shade val="95000"/>
                <a:satMod val="105000"/>
              </a:schemeClr>
            </a:solidFill>
            <a:prstDash val="soli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a-DK"/>
          </a:p>
        </c:txPr>
        <c:crossAx val="1182570895"/>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Sammenligning af udledningsstier - Landbrugssektorer</a:t>
            </a:r>
          </a:p>
        </c:rich>
      </c:tx>
      <c:layout>
        <c:manualLayout>
          <c:xMode val="edge"/>
          <c:yMode val="edge"/>
          <c:x val="0.29201347138721895"/>
          <c:y val="2.8085231526039998E-2"/>
        </c:manualLayout>
      </c:layout>
      <c:overlay val="0"/>
      <c:spPr>
        <a:noFill/>
        <a:ln>
          <a:noFill/>
        </a:ln>
        <a:effectLst/>
      </c:spPr>
    </c:title>
    <c:autoTitleDeleted val="0"/>
    <c:plotArea>
      <c:layout/>
      <c:lineChart>
        <c:grouping val="standard"/>
        <c:varyColors val="0"/>
        <c:ser>
          <c:idx val="1"/>
          <c:order val="0"/>
          <c:tx>
            <c:strRef>
              <c:f>Sammenfatning!$A$176</c:f>
              <c:strCache>
                <c:ptCount val="1"/>
                <c:pt idx="0">
                  <c:v>BAU</c:v>
                </c:pt>
              </c:strCache>
            </c:strRef>
          </c:tx>
          <c:spPr>
            <a:ln w="25400" cap="flat" cmpd="sng" algn="ctr">
              <a:solidFill>
                <a:schemeClr val="accent5">
                  <a:lumMod val="60000"/>
                  <a:lumOff val="40000"/>
                </a:schemeClr>
              </a:solidFill>
              <a:prstDash val="solid"/>
              <a:round/>
            </a:ln>
            <a:effectLst/>
          </c:spPr>
          <c:marker>
            <c:symbol val="circle"/>
            <c:size val="5"/>
            <c:spPr>
              <a:solidFill>
                <a:schemeClr val="lt1"/>
              </a:solidFill>
              <a:ln w="25400" cap="flat" cmpd="sng" algn="ctr">
                <a:solidFill>
                  <a:schemeClr val="accent5"/>
                </a:solidFill>
                <a:prstDash val="solid"/>
              </a:ln>
              <a:effectLst/>
            </c:spPr>
          </c:marker>
          <c:cat>
            <c:strRef>
              <c:f>Sammenfatning!$B$175:$E$175</c:f>
              <c:strCache>
                <c:ptCount val="4"/>
                <c:pt idx="0">
                  <c:v>1990</c:v>
                </c:pt>
                <c:pt idx="1">
                  <c:v>2018/2020</c:v>
                </c:pt>
                <c:pt idx="2">
                  <c:v>2030</c:v>
                </c:pt>
                <c:pt idx="3">
                  <c:v>2050</c:v>
                </c:pt>
              </c:strCache>
            </c:strRef>
          </c:cat>
          <c:val>
            <c:numRef>
              <c:f>Sammenfatning!$B$176:$E$176</c:f>
              <c:numCache>
                <c:formatCode>#,##0</c:formatCode>
                <c:ptCount val="4"/>
                <c:pt idx="0">
                  <c:v>22600</c:v>
                </c:pt>
                <c:pt idx="1">
                  <c:v>20200</c:v>
                </c:pt>
                <c:pt idx="2">
                  <c:v>17700</c:v>
                </c:pt>
                <c:pt idx="3">
                  <c:v>17700</c:v>
                </c:pt>
              </c:numCache>
            </c:numRef>
          </c:val>
          <c:smooth val="0"/>
          <c:extLst>
            <c:ext xmlns:c16="http://schemas.microsoft.com/office/drawing/2014/chart" uri="{C3380CC4-5D6E-409C-BE32-E72D297353CC}">
              <c16:uniqueId val="{00000001-CA84-454B-B0E7-3B5CB42D9DF8}"/>
            </c:ext>
          </c:extLst>
        </c:ser>
        <c:ser>
          <c:idx val="2"/>
          <c:order val="1"/>
          <c:tx>
            <c:strRef>
              <c:f>Sammenfatning!$A$177</c:f>
              <c:strCache>
                <c:ptCount val="1"/>
                <c:pt idx="0">
                  <c:v>National målsætning</c:v>
                </c:pt>
              </c:strCache>
            </c:strRef>
          </c:tx>
          <c:spPr>
            <a:ln w="28575" cap="rnd">
              <a:solidFill>
                <a:srgbClr val="C00000"/>
              </a:solidFill>
              <a:round/>
            </a:ln>
            <a:effectLst/>
          </c:spPr>
          <c:marker>
            <c:symbol val="circle"/>
            <c:size val="5"/>
            <c:spPr>
              <a:solidFill>
                <a:schemeClr val="accent3"/>
              </a:solidFill>
              <a:ln w="9525">
                <a:solidFill>
                  <a:schemeClr val="accent3"/>
                </a:solidFill>
              </a:ln>
              <a:effectLst/>
            </c:spPr>
          </c:marker>
          <c:cat>
            <c:strRef>
              <c:f>Sammenfatning!$B$175:$E$175</c:f>
              <c:strCache>
                <c:ptCount val="4"/>
                <c:pt idx="0">
                  <c:v>1990</c:v>
                </c:pt>
                <c:pt idx="1">
                  <c:v>2018/2020</c:v>
                </c:pt>
                <c:pt idx="2">
                  <c:v>2030</c:v>
                </c:pt>
                <c:pt idx="3">
                  <c:v>2050</c:v>
                </c:pt>
              </c:strCache>
            </c:strRef>
          </c:cat>
          <c:val>
            <c:numRef>
              <c:f>Sammenfatning!$B$177:$E$177</c:f>
              <c:numCache>
                <c:formatCode>#,##0</c:formatCode>
                <c:ptCount val="4"/>
                <c:pt idx="0">
                  <c:v>22600</c:v>
                </c:pt>
                <c:pt idx="1">
                  <c:v>20200</c:v>
                </c:pt>
                <c:pt idx="2">
                  <c:v>6780</c:v>
                </c:pt>
                <c:pt idx="3">
                  <c:v>0</c:v>
                </c:pt>
              </c:numCache>
            </c:numRef>
          </c:val>
          <c:smooth val="0"/>
          <c:extLst>
            <c:ext xmlns:c16="http://schemas.microsoft.com/office/drawing/2014/chart" uri="{C3380CC4-5D6E-409C-BE32-E72D297353CC}">
              <c16:uniqueId val="{00000003-CA84-454B-B0E7-3B5CB42D9DF8}"/>
            </c:ext>
          </c:extLst>
        </c:ser>
        <c:ser>
          <c:idx val="3"/>
          <c:order val="2"/>
          <c:tx>
            <c:strRef>
              <c:f>Sammenfatning!$A$178</c:f>
              <c:strCache>
                <c:ptCount val="1"/>
                <c:pt idx="0">
                  <c:v>Reduktionssti (mål scenarie)</c:v>
                </c:pt>
              </c:strCache>
            </c:strRef>
          </c:tx>
          <c:spPr>
            <a:ln w="25400" cap="flat" cmpd="sng" algn="ctr">
              <a:solidFill>
                <a:schemeClr val="accent1">
                  <a:lumMod val="60000"/>
                  <a:lumOff val="40000"/>
                </a:schemeClr>
              </a:solidFill>
              <a:prstDash val="solid"/>
              <a:round/>
            </a:ln>
            <a:effectLst/>
          </c:spPr>
          <c:marker>
            <c:symbol val="circle"/>
            <c:size val="5"/>
            <c:spPr>
              <a:solidFill>
                <a:schemeClr val="lt1"/>
              </a:solidFill>
              <a:ln w="25400" cap="flat" cmpd="sng" algn="ctr">
                <a:solidFill>
                  <a:schemeClr val="accent1"/>
                </a:solidFill>
                <a:prstDash val="solid"/>
              </a:ln>
              <a:effectLst/>
            </c:spPr>
          </c:marker>
          <c:cat>
            <c:strRef>
              <c:f>Sammenfatning!$B$175:$E$175</c:f>
              <c:strCache>
                <c:ptCount val="4"/>
                <c:pt idx="0">
                  <c:v>1990</c:v>
                </c:pt>
                <c:pt idx="1">
                  <c:v>2018/2020</c:v>
                </c:pt>
                <c:pt idx="2">
                  <c:v>2030</c:v>
                </c:pt>
                <c:pt idx="3">
                  <c:v>2050</c:v>
                </c:pt>
              </c:strCache>
            </c:strRef>
          </c:cat>
          <c:val>
            <c:numRef>
              <c:f>Sammenfatning!$B$178:$E$178</c:f>
              <c:numCache>
                <c:formatCode>#,##0</c:formatCode>
                <c:ptCount val="4"/>
                <c:pt idx="0">
                  <c:v>22600</c:v>
                </c:pt>
                <c:pt idx="1">
                  <c:v>20200</c:v>
                </c:pt>
                <c:pt idx="2">
                  <c:v>15400</c:v>
                </c:pt>
                <c:pt idx="3" formatCode="_ * #,##0_ ;_ * \-#,##0_ ;_ * &quot;-&quot;??_ ;_ @_ ">
                  <c:v>1000</c:v>
                </c:pt>
              </c:numCache>
            </c:numRef>
          </c:val>
          <c:smooth val="0"/>
          <c:extLst>
            <c:ext xmlns:c16="http://schemas.microsoft.com/office/drawing/2014/chart" uri="{C3380CC4-5D6E-409C-BE32-E72D297353CC}">
              <c16:uniqueId val="{00000005-CA84-454B-B0E7-3B5CB42D9DF8}"/>
            </c:ext>
          </c:extLst>
        </c:ser>
        <c:dLbls>
          <c:showLegendKey val="0"/>
          <c:showVal val="0"/>
          <c:showCatName val="0"/>
          <c:showSerName val="0"/>
          <c:showPercent val="0"/>
          <c:showBubbleSize val="0"/>
        </c:dLbls>
        <c:marker val="1"/>
        <c:smooth val="0"/>
        <c:axId val="1182570895"/>
        <c:axId val="1182572143"/>
        <c:extLst/>
      </c:lineChart>
      <c:catAx>
        <c:axId val="1182570895"/>
        <c:scaling>
          <c:orientation val="minMax"/>
        </c:scaling>
        <c:delete val="0"/>
        <c:axPos val="b"/>
        <c:numFmt formatCode="General" sourceLinked="1"/>
        <c:majorTickMark val="none"/>
        <c:minorTickMark val="none"/>
        <c:tickLblPos val="nextTo"/>
        <c:spPr>
          <a:noFill/>
          <a:ln w="9525" cap="flat" cmpd="sng" algn="ctr">
            <a:solidFill>
              <a:schemeClr val="dk1">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a-DK"/>
          </a:p>
        </c:txPr>
        <c:crossAx val="1182572143"/>
        <c:crosses val="autoZero"/>
        <c:auto val="1"/>
        <c:lblAlgn val="ctr"/>
        <c:lblOffset val="100"/>
        <c:noMultiLvlLbl val="0"/>
      </c:catAx>
      <c:valAx>
        <c:axId val="1182572143"/>
        <c:scaling>
          <c:orientation val="minMax"/>
        </c:scaling>
        <c:delete val="0"/>
        <c:axPos val="l"/>
        <c:majorGridlines>
          <c:spPr>
            <a:ln w="9525" cap="flat" cmpd="sng" algn="ctr">
              <a:solidFill>
                <a:sysClr val="windowText" lastClr="000000"/>
              </a:solidFill>
              <a:round/>
            </a:ln>
            <a:effectLst/>
          </c:spPr>
        </c:majorGridlines>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da-DK"/>
                  <a:t>Tons CO</a:t>
                </a:r>
                <a:r>
                  <a:rPr lang="da-DK" baseline="-25000"/>
                  <a:t>2</a:t>
                </a:r>
                <a:r>
                  <a:rPr lang="da-DK"/>
                  <a:t> /år</a:t>
                </a:r>
              </a:p>
            </c:rich>
          </c:tx>
          <c:overlay val="0"/>
          <c:spPr>
            <a:noFill/>
            <a:ln>
              <a:noFill/>
            </a:ln>
            <a:effectLst/>
          </c:spPr>
        </c:title>
        <c:numFmt formatCode="#,##0" sourceLinked="1"/>
        <c:majorTickMark val="none"/>
        <c:minorTickMark val="none"/>
        <c:tickLblPos val="nextTo"/>
        <c:spPr>
          <a:noFill/>
          <a:ln w="9525" cap="flat" cmpd="sng" algn="ctr">
            <a:solidFill>
              <a:schemeClr val="dk1">
                <a:shade val="95000"/>
                <a:satMod val="105000"/>
              </a:schemeClr>
            </a:solidFill>
            <a:prstDash val="soli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a-DK"/>
          </a:p>
        </c:txPr>
        <c:crossAx val="1182570895"/>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ysClr val="windowText" lastClr="000000"/>
                </a:solidFill>
                <a:latin typeface="+mn-lt"/>
                <a:ea typeface="+mj-ea"/>
                <a:cs typeface="+mj-cs"/>
              </a:defRPr>
            </a:pPr>
            <a:r>
              <a:rPr lang="da-DK">
                <a:latin typeface="+mn-lt"/>
              </a:rPr>
              <a:t>BAU</a:t>
            </a:r>
            <a:r>
              <a:rPr lang="da-DK" baseline="0">
                <a:latin typeface="+mn-lt"/>
              </a:rPr>
              <a:t> Reduktionssti</a:t>
            </a:r>
            <a:endParaRPr lang="da-DK">
              <a:latin typeface="+mn-lt"/>
            </a:endParaRP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ysClr val="windowText" lastClr="000000"/>
              </a:solidFill>
              <a:latin typeface="+mn-lt"/>
              <a:ea typeface="+mj-ea"/>
              <a:cs typeface="+mj-cs"/>
            </a:defRPr>
          </a:pPr>
          <a:endParaRPr lang="da-DK"/>
        </a:p>
      </c:txPr>
    </c:title>
    <c:autoTitleDeleted val="0"/>
    <c:plotArea>
      <c:layout>
        <c:manualLayout>
          <c:layoutTarget val="inner"/>
          <c:xMode val="edge"/>
          <c:yMode val="edge"/>
          <c:x val="8.3391770116445774E-2"/>
          <c:y val="9.4073566600580499E-2"/>
          <c:w val="0.8496815622311481"/>
          <c:h val="0.69651088134531114"/>
        </c:manualLayout>
      </c:layout>
      <c:barChart>
        <c:barDir val="col"/>
        <c:grouping val="stacked"/>
        <c:varyColors val="0"/>
        <c:ser>
          <c:idx val="3"/>
          <c:order val="0"/>
          <c:tx>
            <c:strRef>
              <c:f>Sammenfatning!$A$5</c:f>
              <c:strCache>
                <c:ptCount val="1"/>
                <c:pt idx="0">
                  <c:v>Planteavl</c:v>
                </c:pt>
              </c:strCache>
            </c:strRef>
          </c:tx>
          <c:spPr>
            <a:solidFill>
              <a:schemeClr val="accent6">
                <a:lumMod val="60000"/>
              </a:schemeClr>
            </a:solidFill>
            <a:ln>
              <a:noFill/>
            </a:ln>
            <a:effectLst/>
          </c:spPr>
          <c:invertIfNegative val="0"/>
          <c:dLbls>
            <c:delete val="1"/>
          </c:dLbls>
          <c:cat>
            <c:strRef>
              <c:extLst>
                <c:ext xmlns:c15="http://schemas.microsoft.com/office/drawing/2012/chart" uri="{02D57815-91ED-43cb-92C2-25804820EDAC}">
                  <c15:fullRef>
                    <c15:sqref>Sammenfatning!$B$4:$G$4</c15:sqref>
                  </c15:fullRef>
                </c:ext>
              </c:extLst>
              <c:f>Sammenfatning!$B$4:$E$4</c:f>
              <c:strCache>
                <c:ptCount val="4"/>
                <c:pt idx="0">
                  <c:v>1990</c:v>
                </c:pt>
                <c:pt idx="1">
                  <c:v>2018/2020</c:v>
                </c:pt>
                <c:pt idx="2">
                  <c:v>BAU2030</c:v>
                </c:pt>
                <c:pt idx="3">
                  <c:v>BAU2050</c:v>
                </c:pt>
              </c:strCache>
            </c:strRef>
          </c:cat>
          <c:val>
            <c:numRef>
              <c:extLst>
                <c:ext xmlns:c15="http://schemas.microsoft.com/office/drawing/2012/chart" uri="{02D57815-91ED-43cb-92C2-25804820EDAC}">
                  <c15:fullRef>
                    <c15:sqref>Sammenfatning!$B$5:$G$5</c15:sqref>
                  </c15:fullRef>
                </c:ext>
              </c:extLst>
              <c:f>Sammenfatning!$B$5:$E$5</c:f>
              <c:numCache>
                <c:formatCode>#,##0</c:formatCode>
                <c:ptCount val="4"/>
                <c:pt idx="0">
                  <c:v>5800</c:v>
                </c:pt>
                <c:pt idx="1">
                  <c:v>3900</c:v>
                </c:pt>
                <c:pt idx="2">
                  <c:v>3900</c:v>
                </c:pt>
                <c:pt idx="3">
                  <c:v>3900</c:v>
                </c:pt>
              </c:numCache>
            </c:numRef>
          </c:val>
          <c:extLst>
            <c:ext xmlns:c16="http://schemas.microsoft.com/office/drawing/2014/chart" uri="{C3380CC4-5D6E-409C-BE32-E72D297353CC}">
              <c16:uniqueId val="{00000001-6C00-4353-9A30-C90E2E94AD8C}"/>
            </c:ext>
          </c:extLst>
        </c:ser>
        <c:ser>
          <c:idx val="4"/>
          <c:order val="1"/>
          <c:tx>
            <c:strRef>
              <c:f>Sammenfatning!$A$6</c:f>
              <c:strCache>
                <c:ptCount val="1"/>
                <c:pt idx="0">
                  <c:v>Dyrehold</c:v>
                </c:pt>
              </c:strCache>
            </c:strRef>
          </c:tx>
          <c:spPr>
            <a:solidFill>
              <a:schemeClr val="accent5">
                <a:lumMod val="60000"/>
              </a:schemeClr>
            </a:solidFill>
            <a:ln>
              <a:noFill/>
            </a:ln>
            <a:effectLst/>
          </c:spPr>
          <c:invertIfNegative val="0"/>
          <c:dLbls>
            <c:delete val="1"/>
          </c:dLbls>
          <c:cat>
            <c:strRef>
              <c:extLst>
                <c:ext xmlns:c15="http://schemas.microsoft.com/office/drawing/2012/chart" uri="{02D57815-91ED-43cb-92C2-25804820EDAC}">
                  <c15:fullRef>
                    <c15:sqref>Sammenfatning!$B$4:$G$4</c15:sqref>
                  </c15:fullRef>
                </c:ext>
              </c:extLst>
              <c:f>Sammenfatning!$B$4:$E$4</c:f>
              <c:strCache>
                <c:ptCount val="4"/>
                <c:pt idx="0">
                  <c:v>1990</c:v>
                </c:pt>
                <c:pt idx="1">
                  <c:v>2018/2020</c:v>
                </c:pt>
                <c:pt idx="2">
                  <c:v>BAU2030</c:v>
                </c:pt>
                <c:pt idx="3">
                  <c:v>BAU2050</c:v>
                </c:pt>
              </c:strCache>
            </c:strRef>
          </c:cat>
          <c:val>
            <c:numRef>
              <c:extLst>
                <c:ext xmlns:c15="http://schemas.microsoft.com/office/drawing/2012/chart" uri="{02D57815-91ED-43cb-92C2-25804820EDAC}">
                  <c15:fullRef>
                    <c15:sqref>Sammenfatning!$B$6:$G$6</c15:sqref>
                  </c15:fullRef>
                </c:ext>
              </c:extLst>
              <c:f>Sammenfatning!$B$6:$E$6</c:f>
              <c:numCache>
                <c:formatCode>#,##0</c:formatCode>
                <c:ptCount val="4"/>
                <c:pt idx="0">
                  <c:v>8700</c:v>
                </c:pt>
                <c:pt idx="1">
                  <c:v>8500</c:v>
                </c:pt>
                <c:pt idx="2">
                  <c:v>6000</c:v>
                </c:pt>
                <c:pt idx="3">
                  <c:v>6000</c:v>
                </c:pt>
              </c:numCache>
            </c:numRef>
          </c:val>
          <c:extLst>
            <c:ext xmlns:c16="http://schemas.microsoft.com/office/drawing/2014/chart" uri="{C3380CC4-5D6E-409C-BE32-E72D297353CC}">
              <c16:uniqueId val="{00000003-6C00-4353-9A30-C90E2E94AD8C}"/>
            </c:ext>
          </c:extLst>
        </c:ser>
        <c:ser>
          <c:idx val="5"/>
          <c:order val="2"/>
          <c:tx>
            <c:strRef>
              <c:f>Sammenfatning!$A$7</c:f>
              <c:strCache>
                <c:ptCount val="1"/>
                <c:pt idx="0">
                  <c:v>Industrielle processer</c:v>
                </c:pt>
              </c:strCache>
            </c:strRef>
          </c:tx>
          <c:spPr>
            <a:solidFill>
              <a:schemeClr val="accent3"/>
            </a:solidFill>
            <a:ln>
              <a:noFill/>
            </a:ln>
            <a:effectLst/>
          </c:spPr>
          <c:invertIfNegative val="0"/>
          <c:dLbls>
            <c:delete val="1"/>
          </c:dLbls>
          <c:cat>
            <c:strRef>
              <c:extLst>
                <c:ext xmlns:c15="http://schemas.microsoft.com/office/drawing/2012/chart" uri="{02D57815-91ED-43cb-92C2-25804820EDAC}">
                  <c15:fullRef>
                    <c15:sqref>Sammenfatning!$B$4:$G$4</c15:sqref>
                  </c15:fullRef>
                </c:ext>
              </c:extLst>
              <c:f>Sammenfatning!$B$4:$E$4</c:f>
              <c:strCache>
                <c:ptCount val="4"/>
                <c:pt idx="0">
                  <c:v>1990</c:v>
                </c:pt>
                <c:pt idx="1">
                  <c:v>2018/2020</c:v>
                </c:pt>
                <c:pt idx="2">
                  <c:v>BAU2030</c:v>
                </c:pt>
                <c:pt idx="3">
                  <c:v>BAU2050</c:v>
                </c:pt>
              </c:strCache>
            </c:strRef>
          </c:cat>
          <c:val>
            <c:numRef>
              <c:extLst>
                <c:ext xmlns:c15="http://schemas.microsoft.com/office/drawing/2012/chart" uri="{02D57815-91ED-43cb-92C2-25804820EDAC}">
                  <c15:fullRef>
                    <c15:sqref>Sammenfatning!$B$7:$G$7</c15:sqref>
                  </c15:fullRef>
                </c:ext>
              </c:extLst>
              <c:f>Sammenfatning!$B$7:$E$7</c:f>
              <c:numCache>
                <c:formatCode>#,##0</c:formatCode>
                <c:ptCount val="4"/>
                <c:pt idx="0">
                  <c:v>200</c:v>
                </c:pt>
                <c:pt idx="1">
                  <c:v>200</c:v>
                </c:pt>
                <c:pt idx="2">
                  <c:v>200</c:v>
                </c:pt>
                <c:pt idx="3">
                  <c:v>200</c:v>
                </c:pt>
              </c:numCache>
            </c:numRef>
          </c:val>
          <c:extLst>
            <c:ext xmlns:c16="http://schemas.microsoft.com/office/drawing/2014/chart" uri="{C3380CC4-5D6E-409C-BE32-E72D297353CC}">
              <c16:uniqueId val="{00000005-6C00-4353-9A30-C90E2E94AD8C}"/>
            </c:ext>
          </c:extLst>
        </c:ser>
        <c:ser>
          <c:idx val="6"/>
          <c:order val="3"/>
          <c:tx>
            <c:strRef>
              <c:f>Sammenfatning!$A$8</c:f>
              <c:strCache>
                <c:ptCount val="1"/>
                <c:pt idx="0">
                  <c:v>Transport</c:v>
                </c:pt>
              </c:strCache>
            </c:strRef>
          </c:tx>
          <c:spPr>
            <a:solidFill>
              <a:srgbClr val="71588F"/>
            </a:solidFill>
            <a:ln>
              <a:noFill/>
            </a:ln>
            <a:effectLst/>
          </c:spPr>
          <c:invertIfNegative val="0"/>
          <c:dLbls>
            <c:delete val="1"/>
          </c:dLbls>
          <c:cat>
            <c:strRef>
              <c:extLst>
                <c:ext xmlns:c15="http://schemas.microsoft.com/office/drawing/2012/chart" uri="{02D57815-91ED-43cb-92C2-25804820EDAC}">
                  <c15:fullRef>
                    <c15:sqref>Sammenfatning!$B$4:$G$4</c15:sqref>
                  </c15:fullRef>
                </c:ext>
              </c:extLst>
              <c:f>Sammenfatning!$B$4:$E$4</c:f>
              <c:strCache>
                <c:ptCount val="4"/>
                <c:pt idx="0">
                  <c:v>1990</c:v>
                </c:pt>
                <c:pt idx="1">
                  <c:v>2018/2020</c:v>
                </c:pt>
                <c:pt idx="2">
                  <c:v>BAU2030</c:v>
                </c:pt>
                <c:pt idx="3">
                  <c:v>BAU2050</c:v>
                </c:pt>
              </c:strCache>
            </c:strRef>
          </c:cat>
          <c:val>
            <c:numRef>
              <c:extLst>
                <c:ext xmlns:c15="http://schemas.microsoft.com/office/drawing/2012/chart" uri="{02D57815-91ED-43cb-92C2-25804820EDAC}">
                  <c15:fullRef>
                    <c15:sqref>Sammenfatning!$B$8:$G$8</c15:sqref>
                  </c15:fullRef>
                </c:ext>
              </c:extLst>
              <c:f>Sammenfatning!$B$8:$E$8</c:f>
              <c:numCache>
                <c:formatCode>#,##0</c:formatCode>
                <c:ptCount val="4"/>
                <c:pt idx="0">
                  <c:v>5200</c:v>
                </c:pt>
                <c:pt idx="1">
                  <c:v>5600</c:v>
                </c:pt>
                <c:pt idx="2">
                  <c:v>4500</c:v>
                </c:pt>
                <c:pt idx="3">
                  <c:v>3800</c:v>
                </c:pt>
              </c:numCache>
            </c:numRef>
          </c:val>
          <c:extLst>
            <c:ext xmlns:c16="http://schemas.microsoft.com/office/drawing/2014/chart" uri="{C3380CC4-5D6E-409C-BE32-E72D297353CC}">
              <c16:uniqueId val="{00000007-6C00-4353-9A30-C90E2E94AD8C}"/>
            </c:ext>
          </c:extLst>
        </c:ser>
        <c:ser>
          <c:idx val="7"/>
          <c:order val="4"/>
          <c:tx>
            <c:strRef>
              <c:f>Sammenfatning!$A$9</c:f>
              <c:strCache>
                <c:ptCount val="1"/>
                <c:pt idx="0">
                  <c:v>Energi</c:v>
                </c:pt>
              </c:strCache>
            </c:strRef>
          </c:tx>
          <c:spPr>
            <a:solidFill>
              <a:schemeClr val="accent5">
                <a:lumMod val="80000"/>
                <a:lumOff val="20000"/>
              </a:schemeClr>
            </a:solidFill>
            <a:ln>
              <a:noFill/>
            </a:ln>
            <a:effectLst/>
          </c:spPr>
          <c:invertIfNegative val="0"/>
          <c:dLbls>
            <c:delete val="1"/>
          </c:dLbls>
          <c:cat>
            <c:strRef>
              <c:extLst>
                <c:ext xmlns:c15="http://schemas.microsoft.com/office/drawing/2012/chart" uri="{02D57815-91ED-43cb-92C2-25804820EDAC}">
                  <c15:fullRef>
                    <c15:sqref>Sammenfatning!$B$4:$G$4</c15:sqref>
                  </c15:fullRef>
                </c:ext>
              </c:extLst>
              <c:f>Sammenfatning!$B$4:$E$4</c:f>
              <c:strCache>
                <c:ptCount val="4"/>
                <c:pt idx="0">
                  <c:v>1990</c:v>
                </c:pt>
                <c:pt idx="1">
                  <c:v>2018/2020</c:v>
                </c:pt>
                <c:pt idx="2">
                  <c:v>BAU2030</c:v>
                </c:pt>
                <c:pt idx="3">
                  <c:v>BAU2050</c:v>
                </c:pt>
              </c:strCache>
            </c:strRef>
          </c:cat>
          <c:val>
            <c:numRef>
              <c:extLst>
                <c:ext xmlns:c15="http://schemas.microsoft.com/office/drawing/2012/chart" uri="{02D57815-91ED-43cb-92C2-25804820EDAC}">
                  <c15:fullRef>
                    <c15:sqref>Sammenfatning!$B$9:$G$9</c15:sqref>
                  </c15:fullRef>
                </c:ext>
              </c:extLst>
              <c:f>Sammenfatning!$B$9:$E$9</c:f>
              <c:numCache>
                <c:formatCode>#,##0</c:formatCode>
                <c:ptCount val="4"/>
                <c:pt idx="0">
                  <c:v>18800</c:v>
                </c:pt>
                <c:pt idx="1">
                  <c:v>4800</c:v>
                </c:pt>
                <c:pt idx="2">
                  <c:v>500</c:v>
                </c:pt>
                <c:pt idx="3">
                  <c:v>300</c:v>
                </c:pt>
              </c:numCache>
            </c:numRef>
          </c:val>
          <c:extLst>
            <c:ext xmlns:c16="http://schemas.microsoft.com/office/drawing/2014/chart" uri="{C3380CC4-5D6E-409C-BE32-E72D297353CC}">
              <c16:uniqueId val="{00000009-6C00-4353-9A30-C90E2E94AD8C}"/>
            </c:ext>
          </c:extLst>
        </c:ser>
        <c:ser>
          <c:idx val="8"/>
          <c:order val="5"/>
          <c:tx>
            <c:strRef>
              <c:f>Sammenfatning!$A$10</c:f>
              <c:strCache>
                <c:ptCount val="1"/>
                <c:pt idx="0">
                  <c:v>Arealanvendelse</c:v>
                </c:pt>
              </c:strCache>
            </c:strRef>
          </c:tx>
          <c:spPr>
            <a:solidFill>
              <a:schemeClr val="tx1">
                <a:lumMod val="50000"/>
                <a:lumOff val="50000"/>
              </a:schemeClr>
            </a:solidFill>
            <a:ln>
              <a:noFill/>
            </a:ln>
            <a:effectLst/>
          </c:spPr>
          <c:invertIfNegative val="0"/>
          <c:dLbls>
            <c:delete val="1"/>
          </c:dLbls>
          <c:cat>
            <c:strRef>
              <c:extLst>
                <c:ext xmlns:c15="http://schemas.microsoft.com/office/drawing/2012/chart" uri="{02D57815-91ED-43cb-92C2-25804820EDAC}">
                  <c15:fullRef>
                    <c15:sqref>Sammenfatning!$B$4:$G$4</c15:sqref>
                  </c15:fullRef>
                </c:ext>
              </c:extLst>
              <c:f>Sammenfatning!$B$4:$E$4</c:f>
              <c:strCache>
                <c:ptCount val="4"/>
                <c:pt idx="0">
                  <c:v>1990</c:v>
                </c:pt>
                <c:pt idx="1">
                  <c:v>2018/2020</c:v>
                </c:pt>
                <c:pt idx="2">
                  <c:v>BAU2030</c:v>
                </c:pt>
                <c:pt idx="3">
                  <c:v>BAU2050</c:v>
                </c:pt>
              </c:strCache>
            </c:strRef>
          </c:cat>
          <c:val>
            <c:numRef>
              <c:extLst>
                <c:ext xmlns:c15="http://schemas.microsoft.com/office/drawing/2012/chart" uri="{02D57815-91ED-43cb-92C2-25804820EDAC}">
                  <c15:fullRef>
                    <c15:sqref>Sammenfatning!$B$10:$G$10</c15:sqref>
                  </c15:fullRef>
                </c:ext>
              </c:extLst>
              <c:f>Sammenfatning!$B$10:$E$10</c:f>
              <c:numCache>
                <c:formatCode>#,##0</c:formatCode>
                <c:ptCount val="4"/>
                <c:pt idx="0">
                  <c:v>8100</c:v>
                </c:pt>
                <c:pt idx="1">
                  <c:v>7800</c:v>
                </c:pt>
                <c:pt idx="2">
                  <c:v>7800</c:v>
                </c:pt>
                <c:pt idx="3">
                  <c:v>7800</c:v>
                </c:pt>
              </c:numCache>
            </c:numRef>
          </c:val>
          <c:extLst>
            <c:ext xmlns:c16="http://schemas.microsoft.com/office/drawing/2014/chart" uri="{C3380CC4-5D6E-409C-BE32-E72D297353CC}">
              <c16:uniqueId val="{0000000B-6C00-4353-9A30-C90E2E94AD8C}"/>
            </c:ext>
          </c:extLst>
        </c:ser>
        <c:ser>
          <c:idx val="9"/>
          <c:order val="6"/>
          <c:tx>
            <c:strRef>
              <c:f>Sammenfatning!$A$11</c:f>
              <c:strCache>
                <c:ptCount val="1"/>
                <c:pt idx="0">
                  <c:v>Affald, spildevand og tilfældige brande</c:v>
                </c:pt>
              </c:strCache>
            </c:strRef>
          </c:tx>
          <c:spPr>
            <a:solidFill>
              <a:schemeClr val="accent6">
                <a:lumMod val="80000"/>
              </a:schemeClr>
            </a:solidFill>
            <a:ln>
              <a:noFill/>
            </a:ln>
            <a:effectLst/>
          </c:spPr>
          <c:invertIfNegative val="0"/>
          <c:dLbls>
            <c:delete val="1"/>
          </c:dLbls>
          <c:cat>
            <c:strRef>
              <c:extLst>
                <c:ext xmlns:c15="http://schemas.microsoft.com/office/drawing/2012/chart" uri="{02D57815-91ED-43cb-92C2-25804820EDAC}">
                  <c15:fullRef>
                    <c15:sqref>Sammenfatning!$B$4:$G$4</c15:sqref>
                  </c15:fullRef>
                </c:ext>
              </c:extLst>
              <c:f>Sammenfatning!$B$4:$E$4</c:f>
              <c:strCache>
                <c:ptCount val="4"/>
                <c:pt idx="0">
                  <c:v>1990</c:v>
                </c:pt>
                <c:pt idx="1">
                  <c:v>2018/2020</c:v>
                </c:pt>
                <c:pt idx="2">
                  <c:v>BAU2030</c:v>
                </c:pt>
                <c:pt idx="3">
                  <c:v>BAU2050</c:v>
                </c:pt>
              </c:strCache>
            </c:strRef>
          </c:cat>
          <c:val>
            <c:numRef>
              <c:extLst>
                <c:ext xmlns:c15="http://schemas.microsoft.com/office/drawing/2012/chart" uri="{02D57815-91ED-43cb-92C2-25804820EDAC}">
                  <c15:fullRef>
                    <c15:sqref>Sammenfatning!$B$11:$G$11</c15:sqref>
                  </c15:fullRef>
                </c:ext>
              </c:extLst>
              <c:f>Sammenfatning!$B$11:$E$11</c:f>
              <c:numCache>
                <c:formatCode>#,##0</c:formatCode>
                <c:ptCount val="4"/>
                <c:pt idx="0">
                  <c:v>600</c:v>
                </c:pt>
                <c:pt idx="1">
                  <c:v>400</c:v>
                </c:pt>
                <c:pt idx="2">
                  <c:v>400</c:v>
                </c:pt>
                <c:pt idx="3">
                  <c:v>300</c:v>
                </c:pt>
              </c:numCache>
            </c:numRef>
          </c:val>
          <c:extLst>
            <c:ext xmlns:c16="http://schemas.microsoft.com/office/drawing/2014/chart" uri="{C3380CC4-5D6E-409C-BE32-E72D297353CC}">
              <c16:uniqueId val="{0000000D-6C00-4353-9A30-C90E2E94AD8C}"/>
            </c:ext>
          </c:extLst>
        </c:ser>
        <c:dLbls>
          <c:dLblPos val="inEnd"/>
          <c:showLegendKey val="0"/>
          <c:showVal val="1"/>
          <c:showCatName val="0"/>
          <c:showSerName val="0"/>
          <c:showPercent val="0"/>
          <c:showBubbleSize val="0"/>
        </c:dLbls>
        <c:gapWidth val="150"/>
        <c:overlap val="100"/>
        <c:axId val="677670344"/>
        <c:axId val="677669032"/>
      </c:barChart>
      <c:catAx>
        <c:axId val="677670344"/>
        <c:scaling>
          <c:orientation val="minMax"/>
        </c:scaling>
        <c:delete val="0"/>
        <c:axPos val="b"/>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cap="none" spc="0" normalizeH="0" baseline="0">
                <a:solidFill>
                  <a:sysClr val="windowText" lastClr="000000"/>
                </a:solidFill>
                <a:latin typeface="+mn-lt"/>
                <a:ea typeface="+mn-ea"/>
                <a:cs typeface="+mn-cs"/>
              </a:defRPr>
            </a:pPr>
            <a:endParaRPr lang="da-DK"/>
          </a:p>
        </c:txPr>
        <c:crossAx val="677669032"/>
        <c:crosses val="autoZero"/>
        <c:auto val="1"/>
        <c:lblAlgn val="ctr"/>
        <c:lblOffset val="100"/>
        <c:noMultiLvlLbl val="0"/>
      </c:catAx>
      <c:valAx>
        <c:axId val="677669032"/>
        <c:scaling>
          <c:orientation val="minMax"/>
          <c:min val="0"/>
        </c:scaling>
        <c:delete val="0"/>
        <c:axPos val="l"/>
        <c:majorGridlines>
          <c:spPr>
            <a:ln w="9525" cap="flat" cmpd="sng" algn="ctr">
              <a:solidFill>
                <a:schemeClr val="tx1"/>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da-DK"/>
                  <a:t>tons CO</a:t>
                </a:r>
                <a:r>
                  <a:rPr lang="da-DK" baseline="-25000"/>
                  <a:t>2</a:t>
                </a:r>
                <a:r>
                  <a:rPr lang="da-DK"/>
                  <a:t>-ækv. / år</a:t>
                </a:r>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da-DK"/>
            </a:p>
          </c:txPr>
        </c:title>
        <c:numFmt formatCode="#,##0"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crossAx val="677670344"/>
        <c:crosses val="autoZero"/>
        <c:crossBetween val="between"/>
      </c:valAx>
      <c:spPr>
        <a:noFill/>
        <a:ln w="25400">
          <a:solidFill>
            <a:schemeClr val="bg1"/>
          </a:solidFill>
        </a:ln>
        <a:effectLst/>
      </c:spPr>
    </c:plotArea>
    <c:legend>
      <c:legendPos val="b"/>
      <c:layout>
        <c:manualLayout>
          <c:xMode val="edge"/>
          <c:yMode val="edge"/>
          <c:x val="0.15682195714837102"/>
          <c:y val="0.88678435623427265"/>
          <c:w val="0.59079729467780639"/>
          <c:h val="3.568002551879164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gap"/>
    <c:showDLblsOverMax val="0"/>
    <c:extLst/>
  </c:chart>
  <c:spPr>
    <a:solidFill>
      <a:schemeClr val="lt1"/>
    </a:solidFill>
    <a:ln w="9525" cap="flat" cmpd="sng" algn="ctr">
      <a:solidFill>
        <a:sysClr val="windowText" lastClr="000000"/>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600" b="1" i="0" u="none" strike="noStrike" kern="1200" spc="0" baseline="0">
                <a:solidFill>
                  <a:sysClr val="windowText" lastClr="000000"/>
                </a:solidFill>
                <a:latin typeface="+mn-lt"/>
                <a:ea typeface="+mn-ea"/>
                <a:cs typeface="+mn-cs"/>
              </a:defRPr>
            </a:pPr>
            <a:r>
              <a:rPr lang="en-US" sz="1600" b="1"/>
              <a:t>Reduktionssti med 70% linje</a:t>
            </a:r>
          </a:p>
        </c:rich>
      </c:tx>
      <c:overlay val="0"/>
      <c:spPr>
        <a:noFill/>
        <a:ln>
          <a:noFill/>
        </a:ln>
        <a:effectLst/>
      </c:spPr>
    </c:title>
    <c:autoTitleDeleted val="0"/>
    <c:plotArea>
      <c:layout>
        <c:manualLayout>
          <c:layoutTarget val="inner"/>
          <c:xMode val="edge"/>
          <c:yMode val="edge"/>
          <c:x val="9.2669950069630802E-2"/>
          <c:y val="0.12331420448900463"/>
          <c:w val="0.87139567270133489"/>
          <c:h val="0.77523038620129314"/>
        </c:manualLayout>
      </c:layout>
      <c:areaChart>
        <c:grouping val="stacked"/>
        <c:varyColors val="0"/>
        <c:ser>
          <c:idx val="0"/>
          <c:order val="0"/>
          <c:tx>
            <c:strRef>
              <c:f>Sammenfatning!$A$5</c:f>
              <c:strCache>
                <c:ptCount val="1"/>
                <c:pt idx="0">
                  <c:v>Planteavl</c:v>
                </c:pt>
              </c:strCache>
            </c:strRef>
          </c:tx>
          <c:spPr>
            <a:solidFill>
              <a:schemeClr val="accent1"/>
            </a:solidFill>
            <a:ln>
              <a:noFill/>
            </a:ln>
            <a:effectLst/>
          </c:spPr>
          <c:cat>
            <c:strRef>
              <c:extLst>
                <c:ext xmlns:c15="http://schemas.microsoft.com/office/drawing/2012/chart" uri="{02D57815-91ED-43cb-92C2-25804820EDAC}">
                  <c15:fullRef>
                    <c15:sqref>Sammenfatning!$B$4:$G$4</c15:sqref>
                  </c15:fullRef>
                </c:ext>
              </c:extLst>
              <c:f>(Sammenfatning!$B$4:$C$4,Sammenfatning!$F$4:$G$4)</c:f>
              <c:strCache>
                <c:ptCount val="4"/>
                <c:pt idx="0">
                  <c:v>1990</c:v>
                </c:pt>
                <c:pt idx="1">
                  <c:v>2018/2020</c:v>
                </c:pt>
                <c:pt idx="2">
                  <c:v>STI2030</c:v>
                </c:pt>
                <c:pt idx="3">
                  <c:v>STI2050</c:v>
                </c:pt>
              </c:strCache>
            </c:strRef>
          </c:cat>
          <c:val>
            <c:numRef>
              <c:extLst>
                <c:ext xmlns:c15="http://schemas.microsoft.com/office/drawing/2012/chart" uri="{02D57815-91ED-43cb-92C2-25804820EDAC}">
                  <c15:fullRef>
                    <c15:sqref>Sammenfatning!$B$5:$G$5</c15:sqref>
                  </c15:fullRef>
                </c:ext>
              </c:extLst>
              <c:f>(Sammenfatning!$B$5:$C$5,Sammenfatning!$F$5:$G$5)</c:f>
              <c:numCache>
                <c:formatCode>#,##0</c:formatCode>
                <c:ptCount val="4"/>
                <c:pt idx="0">
                  <c:v>5800</c:v>
                </c:pt>
                <c:pt idx="1">
                  <c:v>3900</c:v>
                </c:pt>
                <c:pt idx="2">
                  <c:v>3400</c:v>
                </c:pt>
                <c:pt idx="3">
                  <c:v>3400</c:v>
                </c:pt>
              </c:numCache>
            </c:numRef>
          </c:val>
          <c:extLst>
            <c:ext xmlns:c16="http://schemas.microsoft.com/office/drawing/2014/chart" uri="{C3380CC4-5D6E-409C-BE32-E72D297353CC}">
              <c16:uniqueId val="{00000001-8854-48B1-8747-49C38B1BE641}"/>
            </c:ext>
          </c:extLst>
        </c:ser>
        <c:ser>
          <c:idx val="1"/>
          <c:order val="1"/>
          <c:tx>
            <c:strRef>
              <c:f>Sammenfatning!$A$6</c:f>
              <c:strCache>
                <c:ptCount val="1"/>
                <c:pt idx="0">
                  <c:v>Dyrehold</c:v>
                </c:pt>
              </c:strCache>
            </c:strRef>
          </c:tx>
          <c:spPr>
            <a:solidFill>
              <a:schemeClr val="accent2"/>
            </a:solidFill>
            <a:ln>
              <a:noFill/>
            </a:ln>
            <a:effectLst/>
          </c:spPr>
          <c:cat>
            <c:strRef>
              <c:extLst>
                <c:ext xmlns:c15="http://schemas.microsoft.com/office/drawing/2012/chart" uri="{02D57815-91ED-43cb-92C2-25804820EDAC}">
                  <c15:fullRef>
                    <c15:sqref>Sammenfatning!$B$4:$G$4</c15:sqref>
                  </c15:fullRef>
                </c:ext>
              </c:extLst>
              <c:f>(Sammenfatning!$B$4:$C$4,Sammenfatning!$F$4:$G$4)</c:f>
              <c:strCache>
                <c:ptCount val="4"/>
                <c:pt idx="0">
                  <c:v>1990</c:v>
                </c:pt>
                <c:pt idx="1">
                  <c:v>2018/2020</c:v>
                </c:pt>
                <c:pt idx="2">
                  <c:v>STI2030</c:v>
                </c:pt>
                <c:pt idx="3">
                  <c:v>STI2050</c:v>
                </c:pt>
              </c:strCache>
            </c:strRef>
          </c:cat>
          <c:val>
            <c:numRef>
              <c:extLst>
                <c:ext xmlns:c15="http://schemas.microsoft.com/office/drawing/2012/chart" uri="{02D57815-91ED-43cb-92C2-25804820EDAC}">
                  <c15:fullRef>
                    <c15:sqref>Sammenfatning!$B$6:$G$6</c15:sqref>
                  </c15:fullRef>
                </c:ext>
              </c:extLst>
              <c:f>(Sammenfatning!$B$6:$C$6,Sammenfatning!$F$6:$G$6)</c:f>
              <c:numCache>
                <c:formatCode>#,##0</c:formatCode>
                <c:ptCount val="4"/>
                <c:pt idx="0">
                  <c:v>8700</c:v>
                </c:pt>
                <c:pt idx="1">
                  <c:v>8500</c:v>
                </c:pt>
                <c:pt idx="2">
                  <c:v>6000</c:v>
                </c:pt>
                <c:pt idx="3">
                  <c:v>6000</c:v>
                </c:pt>
              </c:numCache>
            </c:numRef>
          </c:val>
          <c:extLst>
            <c:ext xmlns:c16="http://schemas.microsoft.com/office/drawing/2014/chart" uri="{C3380CC4-5D6E-409C-BE32-E72D297353CC}">
              <c16:uniqueId val="{00000003-8854-48B1-8747-49C38B1BE641}"/>
            </c:ext>
          </c:extLst>
        </c:ser>
        <c:ser>
          <c:idx val="5"/>
          <c:order val="2"/>
          <c:tx>
            <c:strRef>
              <c:f>Sammenfatning!$A$10</c:f>
              <c:strCache>
                <c:ptCount val="1"/>
                <c:pt idx="0">
                  <c:v>Arealanvendelse</c:v>
                </c:pt>
              </c:strCache>
            </c:strRef>
          </c:tx>
          <c:spPr>
            <a:solidFill>
              <a:schemeClr val="accent6"/>
            </a:solidFill>
            <a:ln w="25400">
              <a:noFill/>
            </a:ln>
            <a:effectLst/>
          </c:spPr>
          <c:cat>
            <c:strRef>
              <c:extLst>
                <c:ext xmlns:c15="http://schemas.microsoft.com/office/drawing/2012/chart" uri="{02D57815-91ED-43cb-92C2-25804820EDAC}">
                  <c15:fullRef>
                    <c15:sqref>Sammenfatning!$B$4:$G$4</c15:sqref>
                  </c15:fullRef>
                </c:ext>
              </c:extLst>
              <c:f>(Sammenfatning!$B$4:$C$4,Sammenfatning!$F$4:$G$4)</c:f>
              <c:strCache>
                <c:ptCount val="4"/>
                <c:pt idx="0">
                  <c:v>1990</c:v>
                </c:pt>
                <c:pt idx="1">
                  <c:v>2018/2020</c:v>
                </c:pt>
                <c:pt idx="2">
                  <c:v>STI2030</c:v>
                </c:pt>
                <c:pt idx="3">
                  <c:v>STI2050</c:v>
                </c:pt>
              </c:strCache>
            </c:strRef>
          </c:cat>
          <c:val>
            <c:numRef>
              <c:extLst>
                <c:ext xmlns:c15="http://schemas.microsoft.com/office/drawing/2012/chart" uri="{02D57815-91ED-43cb-92C2-25804820EDAC}">
                  <c15:fullRef>
                    <c15:sqref>Sammenfatning!$B$10:$G$10</c15:sqref>
                  </c15:fullRef>
                </c:ext>
              </c:extLst>
              <c:f>(Sammenfatning!$B$10:$C$10,Sammenfatning!$F$10:$G$10)</c:f>
              <c:numCache>
                <c:formatCode>#,##0</c:formatCode>
                <c:ptCount val="4"/>
                <c:pt idx="0">
                  <c:v>8100</c:v>
                </c:pt>
                <c:pt idx="1">
                  <c:v>7800</c:v>
                </c:pt>
                <c:pt idx="2">
                  <c:v>6000</c:v>
                </c:pt>
                <c:pt idx="3">
                  <c:v>-8400</c:v>
                </c:pt>
              </c:numCache>
            </c:numRef>
          </c:val>
          <c:extLst>
            <c:ext xmlns:c16="http://schemas.microsoft.com/office/drawing/2014/chart" uri="{C3380CC4-5D6E-409C-BE32-E72D297353CC}">
              <c16:uniqueId val="{00000005-8854-48B1-8747-49C38B1BE641}"/>
            </c:ext>
          </c:extLst>
        </c:ser>
        <c:ser>
          <c:idx val="2"/>
          <c:order val="3"/>
          <c:tx>
            <c:strRef>
              <c:f>Sammenfatning!$A$7</c:f>
              <c:strCache>
                <c:ptCount val="1"/>
                <c:pt idx="0">
                  <c:v>Industrielle processer</c:v>
                </c:pt>
              </c:strCache>
            </c:strRef>
          </c:tx>
          <c:spPr>
            <a:solidFill>
              <a:schemeClr val="accent3"/>
            </a:solidFill>
            <a:ln>
              <a:noFill/>
            </a:ln>
            <a:effectLst/>
          </c:spPr>
          <c:cat>
            <c:strRef>
              <c:extLst>
                <c:ext xmlns:c15="http://schemas.microsoft.com/office/drawing/2012/chart" uri="{02D57815-91ED-43cb-92C2-25804820EDAC}">
                  <c15:fullRef>
                    <c15:sqref>Sammenfatning!$B$4:$G$4</c15:sqref>
                  </c15:fullRef>
                </c:ext>
              </c:extLst>
              <c:f>(Sammenfatning!$B$4:$C$4,Sammenfatning!$F$4:$G$4)</c:f>
              <c:strCache>
                <c:ptCount val="4"/>
                <c:pt idx="0">
                  <c:v>1990</c:v>
                </c:pt>
                <c:pt idx="1">
                  <c:v>2018/2020</c:v>
                </c:pt>
                <c:pt idx="2">
                  <c:v>STI2030</c:v>
                </c:pt>
                <c:pt idx="3">
                  <c:v>STI2050</c:v>
                </c:pt>
              </c:strCache>
            </c:strRef>
          </c:cat>
          <c:val>
            <c:numRef>
              <c:extLst>
                <c:ext xmlns:c15="http://schemas.microsoft.com/office/drawing/2012/chart" uri="{02D57815-91ED-43cb-92C2-25804820EDAC}">
                  <c15:fullRef>
                    <c15:sqref>Sammenfatning!$B$7:$G$7</c15:sqref>
                  </c15:fullRef>
                </c:ext>
              </c:extLst>
              <c:f>(Sammenfatning!$B$7:$C$7,Sammenfatning!$F$7:$G$7)</c:f>
              <c:numCache>
                <c:formatCode>#,##0</c:formatCode>
                <c:ptCount val="4"/>
                <c:pt idx="0">
                  <c:v>200</c:v>
                </c:pt>
                <c:pt idx="1">
                  <c:v>200</c:v>
                </c:pt>
                <c:pt idx="2">
                  <c:v>200</c:v>
                </c:pt>
                <c:pt idx="3">
                  <c:v>200</c:v>
                </c:pt>
              </c:numCache>
            </c:numRef>
          </c:val>
          <c:extLst>
            <c:ext xmlns:c16="http://schemas.microsoft.com/office/drawing/2014/chart" uri="{C3380CC4-5D6E-409C-BE32-E72D297353CC}">
              <c16:uniqueId val="{00000007-8854-48B1-8747-49C38B1BE641}"/>
            </c:ext>
          </c:extLst>
        </c:ser>
        <c:ser>
          <c:idx val="6"/>
          <c:order val="4"/>
          <c:tx>
            <c:strRef>
              <c:f>Sammenfatning!$A$11</c:f>
              <c:strCache>
                <c:ptCount val="1"/>
                <c:pt idx="0">
                  <c:v>Affald, spildevand og tilfældige brande</c:v>
                </c:pt>
              </c:strCache>
            </c:strRef>
          </c:tx>
          <c:spPr>
            <a:solidFill>
              <a:schemeClr val="accent1">
                <a:lumMod val="60000"/>
              </a:schemeClr>
            </a:solidFill>
            <a:ln w="25400">
              <a:noFill/>
            </a:ln>
            <a:effectLst/>
          </c:spPr>
          <c:cat>
            <c:strRef>
              <c:extLst>
                <c:ext xmlns:c15="http://schemas.microsoft.com/office/drawing/2012/chart" uri="{02D57815-91ED-43cb-92C2-25804820EDAC}">
                  <c15:fullRef>
                    <c15:sqref>Sammenfatning!$B$4:$G$4</c15:sqref>
                  </c15:fullRef>
                </c:ext>
              </c:extLst>
              <c:f>(Sammenfatning!$B$4:$C$4,Sammenfatning!$F$4:$G$4)</c:f>
              <c:strCache>
                <c:ptCount val="4"/>
                <c:pt idx="0">
                  <c:v>1990</c:v>
                </c:pt>
                <c:pt idx="1">
                  <c:v>2018/2020</c:v>
                </c:pt>
                <c:pt idx="2">
                  <c:v>STI2030</c:v>
                </c:pt>
                <c:pt idx="3">
                  <c:v>STI2050</c:v>
                </c:pt>
              </c:strCache>
            </c:strRef>
          </c:cat>
          <c:val>
            <c:numRef>
              <c:extLst>
                <c:ext xmlns:c15="http://schemas.microsoft.com/office/drawing/2012/chart" uri="{02D57815-91ED-43cb-92C2-25804820EDAC}">
                  <c15:fullRef>
                    <c15:sqref>Sammenfatning!$B$11:$G$11</c15:sqref>
                  </c15:fullRef>
                </c:ext>
              </c:extLst>
              <c:f>(Sammenfatning!$B$11:$C$11,Sammenfatning!$F$11:$G$11)</c:f>
              <c:numCache>
                <c:formatCode>#,##0</c:formatCode>
                <c:ptCount val="4"/>
                <c:pt idx="0">
                  <c:v>600</c:v>
                </c:pt>
                <c:pt idx="1">
                  <c:v>400</c:v>
                </c:pt>
                <c:pt idx="2">
                  <c:v>400</c:v>
                </c:pt>
                <c:pt idx="3">
                  <c:v>300</c:v>
                </c:pt>
              </c:numCache>
            </c:numRef>
          </c:val>
          <c:extLst>
            <c:ext xmlns:c16="http://schemas.microsoft.com/office/drawing/2014/chart" uri="{C3380CC4-5D6E-409C-BE32-E72D297353CC}">
              <c16:uniqueId val="{00000009-8854-48B1-8747-49C38B1BE641}"/>
            </c:ext>
          </c:extLst>
        </c:ser>
        <c:ser>
          <c:idx val="3"/>
          <c:order val="6"/>
          <c:tx>
            <c:strRef>
              <c:f>Sammenfatning!$A$8</c:f>
              <c:strCache>
                <c:ptCount val="1"/>
                <c:pt idx="0">
                  <c:v>Transport</c:v>
                </c:pt>
              </c:strCache>
            </c:strRef>
          </c:tx>
          <c:spPr>
            <a:solidFill>
              <a:srgbClr val="71588F"/>
            </a:solidFill>
            <a:ln>
              <a:noFill/>
            </a:ln>
            <a:effectLst/>
          </c:spPr>
          <c:cat>
            <c:strRef>
              <c:extLst>
                <c:ext xmlns:c15="http://schemas.microsoft.com/office/drawing/2012/chart" uri="{02D57815-91ED-43cb-92C2-25804820EDAC}">
                  <c15:fullRef>
                    <c15:sqref>Sammenfatning!$B$4:$G$4</c15:sqref>
                  </c15:fullRef>
                </c:ext>
              </c:extLst>
              <c:f>(Sammenfatning!$B$4:$C$4,Sammenfatning!$F$4:$G$4)</c:f>
              <c:strCache>
                <c:ptCount val="4"/>
                <c:pt idx="0">
                  <c:v>1990</c:v>
                </c:pt>
                <c:pt idx="1">
                  <c:v>2018/2020</c:v>
                </c:pt>
                <c:pt idx="2">
                  <c:v>STI2030</c:v>
                </c:pt>
                <c:pt idx="3">
                  <c:v>STI2050</c:v>
                </c:pt>
              </c:strCache>
            </c:strRef>
          </c:cat>
          <c:val>
            <c:numRef>
              <c:extLst>
                <c:ext xmlns:c15="http://schemas.microsoft.com/office/drawing/2012/chart" uri="{02D57815-91ED-43cb-92C2-25804820EDAC}">
                  <c15:fullRef>
                    <c15:sqref>Sammenfatning!$B$8:$G$8</c15:sqref>
                  </c15:fullRef>
                </c:ext>
              </c:extLst>
              <c:f>(Sammenfatning!$B$8:$C$8,Sammenfatning!$F$8:$G$8)</c:f>
              <c:numCache>
                <c:formatCode>#,##0</c:formatCode>
                <c:ptCount val="4"/>
                <c:pt idx="0">
                  <c:v>5200</c:v>
                </c:pt>
                <c:pt idx="1">
                  <c:v>5600</c:v>
                </c:pt>
                <c:pt idx="2">
                  <c:v>3300</c:v>
                </c:pt>
                <c:pt idx="3">
                  <c:v>2700</c:v>
                </c:pt>
              </c:numCache>
            </c:numRef>
          </c:val>
          <c:extLst>
            <c:ext xmlns:c16="http://schemas.microsoft.com/office/drawing/2014/chart" uri="{C3380CC4-5D6E-409C-BE32-E72D297353CC}">
              <c16:uniqueId val="{0000000B-8854-48B1-8747-49C38B1BE641}"/>
            </c:ext>
          </c:extLst>
        </c:ser>
        <c:ser>
          <c:idx val="4"/>
          <c:order val="7"/>
          <c:tx>
            <c:strRef>
              <c:f>Sammenfatning!$A$9</c:f>
              <c:strCache>
                <c:ptCount val="1"/>
                <c:pt idx="0">
                  <c:v>Energi</c:v>
                </c:pt>
              </c:strCache>
            </c:strRef>
          </c:tx>
          <c:spPr>
            <a:solidFill>
              <a:schemeClr val="accent5"/>
            </a:solidFill>
            <a:ln w="25400">
              <a:noFill/>
            </a:ln>
            <a:effectLst/>
          </c:spPr>
          <c:cat>
            <c:strRef>
              <c:extLst>
                <c:ext xmlns:c15="http://schemas.microsoft.com/office/drawing/2012/chart" uri="{02D57815-91ED-43cb-92C2-25804820EDAC}">
                  <c15:fullRef>
                    <c15:sqref>Sammenfatning!$B$4:$G$4</c15:sqref>
                  </c15:fullRef>
                </c:ext>
              </c:extLst>
              <c:f>(Sammenfatning!$B$4:$C$4,Sammenfatning!$F$4:$G$4)</c:f>
              <c:strCache>
                <c:ptCount val="4"/>
                <c:pt idx="0">
                  <c:v>1990</c:v>
                </c:pt>
                <c:pt idx="1">
                  <c:v>2018/2020</c:v>
                </c:pt>
                <c:pt idx="2">
                  <c:v>STI2030</c:v>
                </c:pt>
                <c:pt idx="3">
                  <c:v>STI2050</c:v>
                </c:pt>
              </c:strCache>
            </c:strRef>
          </c:cat>
          <c:val>
            <c:numRef>
              <c:extLst>
                <c:ext xmlns:c15="http://schemas.microsoft.com/office/drawing/2012/chart" uri="{02D57815-91ED-43cb-92C2-25804820EDAC}">
                  <c15:fullRef>
                    <c15:sqref>Sammenfatning!$B$9:$G$9</c15:sqref>
                  </c15:fullRef>
                </c:ext>
              </c:extLst>
              <c:f>(Sammenfatning!$B$9:$C$9,Sammenfatning!$F$9:$G$9)</c:f>
              <c:numCache>
                <c:formatCode>#,##0</c:formatCode>
                <c:ptCount val="4"/>
                <c:pt idx="0">
                  <c:v>18800</c:v>
                </c:pt>
                <c:pt idx="1">
                  <c:v>4800</c:v>
                </c:pt>
                <c:pt idx="2">
                  <c:v>300</c:v>
                </c:pt>
                <c:pt idx="3">
                  <c:v>100</c:v>
                </c:pt>
              </c:numCache>
            </c:numRef>
          </c:val>
          <c:extLst>
            <c:ext xmlns:c16="http://schemas.microsoft.com/office/drawing/2014/chart" uri="{C3380CC4-5D6E-409C-BE32-E72D297353CC}">
              <c16:uniqueId val="{0000000D-8854-48B1-8747-49C38B1BE641}"/>
            </c:ext>
          </c:extLst>
        </c:ser>
        <c:dLbls>
          <c:showLegendKey val="0"/>
          <c:showVal val="0"/>
          <c:showCatName val="0"/>
          <c:showSerName val="0"/>
          <c:showPercent val="0"/>
          <c:showBubbleSize val="0"/>
        </c:dLbls>
        <c:axId val="617339616"/>
        <c:axId val="617340600"/>
      </c:areaChart>
      <c:lineChart>
        <c:grouping val="standard"/>
        <c:varyColors val="0"/>
        <c:ser>
          <c:idx val="7"/>
          <c:order val="5"/>
          <c:tx>
            <c:strRef>
              <c:f>Sammenfatning!$A$14</c:f>
              <c:strCache>
                <c:ptCount val="1"/>
                <c:pt idx="0">
                  <c:v>70% mål</c:v>
                </c:pt>
              </c:strCache>
            </c:strRef>
          </c:tx>
          <c:spPr>
            <a:ln w="28575" cap="rnd">
              <a:solidFill>
                <a:srgbClr val="FF0000"/>
              </a:solidFill>
              <a:prstDash val="dash"/>
              <a:round/>
            </a:ln>
            <a:effectLst/>
          </c:spPr>
          <c:marker>
            <c:symbol val="none"/>
          </c:marker>
          <c:cat>
            <c:strRef>
              <c:extLst>
                <c:ext xmlns:c15="http://schemas.microsoft.com/office/drawing/2012/chart" uri="{02D57815-91ED-43cb-92C2-25804820EDAC}">
                  <c15:fullRef>
                    <c15:sqref>Sammenfatning!$B$4:$G$4</c15:sqref>
                  </c15:fullRef>
                </c:ext>
              </c:extLst>
              <c:f>(Sammenfatning!$B$4:$C$4,Sammenfatning!$F$4:$G$4)</c:f>
              <c:strCache>
                <c:ptCount val="4"/>
                <c:pt idx="0">
                  <c:v>1990</c:v>
                </c:pt>
                <c:pt idx="1">
                  <c:v>2018/2020</c:v>
                </c:pt>
                <c:pt idx="2">
                  <c:v>STI2030</c:v>
                </c:pt>
                <c:pt idx="3">
                  <c:v>STI2050</c:v>
                </c:pt>
              </c:strCache>
            </c:strRef>
          </c:cat>
          <c:val>
            <c:numRef>
              <c:extLst>
                <c:ext xmlns:c15="http://schemas.microsoft.com/office/drawing/2012/chart" uri="{02D57815-91ED-43cb-92C2-25804820EDAC}">
                  <c15:fullRef>
                    <c15:sqref>Sammenfatning!$B$14:$G$14</c15:sqref>
                  </c15:fullRef>
                </c:ext>
              </c:extLst>
              <c:f>(Sammenfatning!$B$14:$C$14,Sammenfatning!$F$14:$G$14)</c:f>
              <c:numCache>
                <c:formatCode>#,##0</c:formatCode>
                <c:ptCount val="4"/>
                <c:pt idx="0">
                  <c:v>14200</c:v>
                </c:pt>
                <c:pt idx="1">
                  <c:v>14200</c:v>
                </c:pt>
                <c:pt idx="2">
                  <c:v>14200</c:v>
                </c:pt>
                <c:pt idx="3">
                  <c:v>14200</c:v>
                </c:pt>
              </c:numCache>
            </c:numRef>
          </c:val>
          <c:smooth val="0"/>
          <c:extLst>
            <c:ext xmlns:c16="http://schemas.microsoft.com/office/drawing/2014/chart" uri="{C3380CC4-5D6E-409C-BE32-E72D297353CC}">
              <c16:uniqueId val="{0000000F-8854-48B1-8747-49C38B1BE641}"/>
            </c:ext>
          </c:extLst>
        </c:ser>
        <c:dLbls>
          <c:showLegendKey val="0"/>
          <c:showVal val="0"/>
          <c:showCatName val="0"/>
          <c:showSerName val="0"/>
          <c:showPercent val="0"/>
          <c:showBubbleSize val="0"/>
        </c:dLbls>
        <c:marker val="1"/>
        <c:smooth val="0"/>
        <c:axId val="617339616"/>
        <c:axId val="617340600"/>
      </c:lineChart>
      <c:catAx>
        <c:axId val="617339616"/>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crossAx val="617340600"/>
        <c:crosses val="autoZero"/>
        <c:auto val="1"/>
        <c:lblAlgn val="ctr"/>
        <c:lblOffset val="100"/>
        <c:noMultiLvlLbl val="0"/>
      </c:catAx>
      <c:valAx>
        <c:axId val="617340600"/>
        <c:scaling>
          <c:orientation val="minMax"/>
        </c:scaling>
        <c:delete val="0"/>
        <c:axPos val="l"/>
        <c:majorGridlines>
          <c:spPr>
            <a:ln w="9525" cap="flat" cmpd="sng" algn="ctr">
              <a:solidFill>
                <a:sysClr val="windowText" lastClr="000000"/>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da-DK"/>
                  <a:t>tons CO</a:t>
                </a:r>
                <a:r>
                  <a:rPr lang="da-DK" baseline="-25000"/>
                  <a:t>2</a:t>
                </a:r>
                <a:r>
                  <a:rPr lang="da-DK"/>
                  <a:t> /år</a:t>
                </a:r>
              </a:p>
            </c:rich>
          </c:tx>
          <c:overlay val="0"/>
          <c:spPr>
            <a:noFill/>
            <a:ln>
              <a:noFill/>
            </a:ln>
            <a:effectLst/>
          </c:spPr>
        </c:title>
        <c:numFmt formatCode="#,##0"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crossAx val="617339616"/>
        <c:crosses val="autoZero"/>
        <c:crossBetween val="midCat"/>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legend>
    <c:plotVisOnly val="1"/>
    <c:dispBlanksAs val="zero"/>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en-US" b="1"/>
              <a:t>El-forbrug &amp; balance</a:t>
            </a:r>
          </a:p>
        </c:rich>
      </c:tx>
      <c:layout>
        <c:manualLayout>
          <c:xMode val="edge"/>
          <c:yMode val="edge"/>
          <c:x val="0.31636365626383162"/>
          <c:y val="1.5807226516311314E-2"/>
        </c:manualLayout>
      </c:layout>
      <c:overlay val="1"/>
    </c:title>
    <c:autoTitleDeleted val="0"/>
    <c:plotArea>
      <c:layout>
        <c:manualLayout>
          <c:layoutTarget val="inner"/>
          <c:xMode val="edge"/>
          <c:yMode val="edge"/>
          <c:x val="0.11316208333333352"/>
          <c:y val="8.2075102995905064E-2"/>
          <c:w val="0.62624393814572799"/>
          <c:h val="0.84653323873890696"/>
        </c:manualLayout>
      </c:layout>
      <c:barChart>
        <c:barDir val="col"/>
        <c:grouping val="stacked"/>
        <c:varyColors val="0"/>
        <c:ser>
          <c:idx val="2"/>
          <c:order val="0"/>
          <c:tx>
            <c:strRef>
              <c:f>Sammenfatning!$A$203</c:f>
              <c:strCache>
                <c:ptCount val="1"/>
                <c:pt idx="0">
                  <c:v> - Klassisk el-forbrug, private</c:v>
                </c:pt>
              </c:strCache>
            </c:strRef>
          </c:tx>
          <c:invertIfNegative val="0"/>
          <c:cat>
            <c:strRef>
              <c:f>Sammenfatning!$B$201:$G$201</c:f>
              <c:strCache>
                <c:ptCount val="6"/>
                <c:pt idx="0">
                  <c:v>1990</c:v>
                </c:pt>
                <c:pt idx="1">
                  <c:v>2018/2020</c:v>
                </c:pt>
                <c:pt idx="2">
                  <c:v>BAU2030</c:v>
                </c:pt>
                <c:pt idx="3">
                  <c:v>BAU2050</c:v>
                </c:pt>
                <c:pt idx="4">
                  <c:v>STI2030</c:v>
                </c:pt>
                <c:pt idx="5">
                  <c:v>STI2050</c:v>
                </c:pt>
              </c:strCache>
            </c:strRef>
          </c:cat>
          <c:val>
            <c:numRef>
              <c:f>Sammenfatning!$B$203:$G$203</c:f>
              <c:numCache>
                <c:formatCode>#,##0</c:formatCode>
                <c:ptCount val="6"/>
                <c:pt idx="0">
                  <c:v>14.081794598029639</c:v>
                </c:pt>
                <c:pt idx="1">
                  <c:v>22.83019776201122</c:v>
                </c:pt>
                <c:pt idx="2">
                  <c:v>26.136631330977618</c:v>
                </c:pt>
                <c:pt idx="3">
                  <c:v>26.136631330977618</c:v>
                </c:pt>
                <c:pt idx="4">
                  <c:v>26.136631330977618</c:v>
                </c:pt>
                <c:pt idx="5">
                  <c:v>26.136631330977618</c:v>
                </c:pt>
              </c:numCache>
            </c:numRef>
          </c:val>
          <c:extLst>
            <c:ext xmlns:c16="http://schemas.microsoft.com/office/drawing/2014/chart" uri="{C3380CC4-5D6E-409C-BE32-E72D297353CC}">
              <c16:uniqueId val="{00000001-1425-4D1C-83A1-EAEC0DF10A36}"/>
            </c:ext>
          </c:extLst>
        </c:ser>
        <c:ser>
          <c:idx val="3"/>
          <c:order val="1"/>
          <c:tx>
            <c:strRef>
              <c:f>Sammenfatning!$A$204</c:f>
              <c:strCache>
                <c:ptCount val="1"/>
                <c:pt idx="0">
                  <c:v> - Klassisk el-forbrug, erhverv</c:v>
                </c:pt>
              </c:strCache>
            </c:strRef>
          </c:tx>
          <c:invertIfNegative val="0"/>
          <c:cat>
            <c:strRef>
              <c:f>Sammenfatning!$B$201:$G$201</c:f>
              <c:strCache>
                <c:ptCount val="6"/>
                <c:pt idx="0">
                  <c:v>1990</c:v>
                </c:pt>
                <c:pt idx="1">
                  <c:v>2018/2020</c:v>
                </c:pt>
                <c:pt idx="2">
                  <c:v>BAU2030</c:v>
                </c:pt>
                <c:pt idx="3">
                  <c:v>BAU2050</c:v>
                </c:pt>
                <c:pt idx="4">
                  <c:v>STI2030</c:v>
                </c:pt>
                <c:pt idx="5">
                  <c:v>STI2050</c:v>
                </c:pt>
              </c:strCache>
            </c:strRef>
          </c:cat>
          <c:val>
            <c:numRef>
              <c:f>Sammenfatning!$B$204:$G$204</c:f>
              <c:numCache>
                <c:formatCode>#,##0</c:formatCode>
                <c:ptCount val="6"/>
                <c:pt idx="0">
                  <c:v>16.236235523655342</c:v>
                </c:pt>
                <c:pt idx="1">
                  <c:v>17.980379898150453</c:v>
                </c:pt>
                <c:pt idx="2">
                  <c:v>14.994110718492342</c:v>
                </c:pt>
                <c:pt idx="3">
                  <c:v>14.994110718492342</c:v>
                </c:pt>
                <c:pt idx="4">
                  <c:v>14.994110718492342</c:v>
                </c:pt>
                <c:pt idx="5">
                  <c:v>14.994110718492342</c:v>
                </c:pt>
              </c:numCache>
            </c:numRef>
          </c:val>
          <c:extLst>
            <c:ext xmlns:c16="http://schemas.microsoft.com/office/drawing/2014/chart" uri="{C3380CC4-5D6E-409C-BE32-E72D297353CC}">
              <c16:uniqueId val="{00000002-1425-4D1C-83A1-EAEC0DF10A36}"/>
            </c:ext>
          </c:extLst>
        </c:ser>
        <c:ser>
          <c:idx val="4"/>
          <c:order val="2"/>
          <c:tx>
            <c:strRef>
              <c:f>Sammenfatning!$A$205</c:f>
              <c:strCache>
                <c:ptCount val="1"/>
                <c:pt idx="0">
                  <c:v> - El til varmepumper</c:v>
                </c:pt>
              </c:strCache>
            </c:strRef>
          </c:tx>
          <c:invertIfNegative val="0"/>
          <c:cat>
            <c:strRef>
              <c:f>Sammenfatning!$B$201:$G$201</c:f>
              <c:strCache>
                <c:ptCount val="6"/>
                <c:pt idx="0">
                  <c:v>1990</c:v>
                </c:pt>
                <c:pt idx="1">
                  <c:v>2018/2020</c:v>
                </c:pt>
                <c:pt idx="2">
                  <c:v>BAU2030</c:v>
                </c:pt>
                <c:pt idx="3">
                  <c:v>BAU2050</c:v>
                </c:pt>
                <c:pt idx="4">
                  <c:v>STI2030</c:v>
                </c:pt>
                <c:pt idx="5">
                  <c:v>STI2050</c:v>
                </c:pt>
              </c:strCache>
            </c:strRef>
          </c:cat>
          <c:val>
            <c:numRef>
              <c:f>Sammenfatning!$B$205:$G$205</c:f>
              <c:numCache>
                <c:formatCode>#,##0</c:formatCode>
                <c:ptCount val="6"/>
                <c:pt idx="0">
                  <c:v>0</c:v>
                </c:pt>
                <c:pt idx="1">
                  <c:v>0.54999999999999993</c:v>
                </c:pt>
                <c:pt idx="2">
                  <c:v>5.6065275733333335</c:v>
                </c:pt>
                <c:pt idx="3">
                  <c:v>5.9091520000000015</c:v>
                </c:pt>
                <c:pt idx="4">
                  <c:v>7.4061440000000012</c:v>
                </c:pt>
                <c:pt idx="5">
                  <c:v>8.0002666666666684</c:v>
                </c:pt>
              </c:numCache>
            </c:numRef>
          </c:val>
          <c:extLst>
            <c:ext xmlns:c16="http://schemas.microsoft.com/office/drawing/2014/chart" uri="{C3380CC4-5D6E-409C-BE32-E72D297353CC}">
              <c16:uniqueId val="{00000003-1425-4D1C-83A1-EAEC0DF10A36}"/>
            </c:ext>
          </c:extLst>
        </c:ser>
        <c:ser>
          <c:idx val="5"/>
          <c:order val="3"/>
          <c:tx>
            <c:strRef>
              <c:f>Sammenfatning!$A$206</c:f>
              <c:strCache>
                <c:ptCount val="1"/>
                <c:pt idx="0">
                  <c:v> - El til fjernvarmen</c:v>
                </c:pt>
              </c:strCache>
            </c:strRef>
          </c:tx>
          <c:invertIfNegative val="0"/>
          <c:cat>
            <c:strRef>
              <c:f>Sammenfatning!$B$201:$G$201</c:f>
              <c:strCache>
                <c:ptCount val="6"/>
                <c:pt idx="0">
                  <c:v>1990</c:v>
                </c:pt>
                <c:pt idx="1">
                  <c:v>2018/2020</c:v>
                </c:pt>
                <c:pt idx="2">
                  <c:v>BAU2030</c:v>
                </c:pt>
                <c:pt idx="3">
                  <c:v>BAU2050</c:v>
                </c:pt>
                <c:pt idx="4">
                  <c:v>STI2030</c:v>
                </c:pt>
                <c:pt idx="5">
                  <c:v>STI2050</c:v>
                </c:pt>
              </c:strCache>
            </c:strRef>
          </c:cat>
          <c:val>
            <c:numRef>
              <c:f>Sammenfatning!$B$206:$G$206</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1425-4D1C-83A1-EAEC0DF10A36}"/>
            </c:ext>
          </c:extLst>
        </c:ser>
        <c:ser>
          <c:idx val="14"/>
          <c:order val="4"/>
          <c:tx>
            <c:strRef>
              <c:f>Sammenfatning!$A$207</c:f>
              <c:strCache>
                <c:ptCount val="1"/>
                <c:pt idx="0">
                  <c:v> - El til transport</c:v>
                </c:pt>
              </c:strCache>
            </c:strRef>
          </c:tx>
          <c:spPr>
            <a:solidFill>
              <a:srgbClr val="D9AAA9"/>
            </a:solidFill>
          </c:spPr>
          <c:invertIfNegative val="0"/>
          <c:cat>
            <c:strRef>
              <c:f>Sammenfatning!$B$201:$G$201</c:f>
              <c:strCache>
                <c:ptCount val="6"/>
                <c:pt idx="0">
                  <c:v>1990</c:v>
                </c:pt>
                <c:pt idx="1">
                  <c:v>2018/2020</c:v>
                </c:pt>
                <c:pt idx="2">
                  <c:v>BAU2030</c:v>
                </c:pt>
                <c:pt idx="3">
                  <c:v>BAU2050</c:v>
                </c:pt>
                <c:pt idx="4">
                  <c:v>STI2030</c:v>
                </c:pt>
                <c:pt idx="5">
                  <c:v>STI2050</c:v>
                </c:pt>
              </c:strCache>
            </c:strRef>
          </c:cat>
          <c:val>
            <c:numRef>
              <c:f>Sammenfatning!$B$207:$G$207</c:f>
              <c:numCache>
                <c:formatCode>#,##0</c:formatCode>
                <c:ptCount val="6"/>
                <c:pt idx="0">
                  <c:v>0.12122599704579025</c:v>
                </c:pt>
                <c:pt idx="1">
                  <c:v>0.12122599704579025</c:v>
                </c:pt>
                <c:pt idx="2">
                  <c:v>6.2543951570242822</c:v>
                </c:pt>
                <c:pt idx="3">
                  <c:v>6.2543951570242822</c:v>
                </c:pt>
                <c:pt idx="4">
                  <c:v>34.971023240426888</c:v>
                </c:pt>
                <c:pt idx="5">
                  <c:v>39.642103058212058</c:v>
                </c:pt>
              </c:numCache>
            </c:numRef>
          </c:val>
          <c:extLst>
            <c:ext xmlns:c16="http://schemas.microsoft.com/office/drawing/2014/chart" uri="{C3380CC4-5D6E-409C-BE32-E72D297353CC}">
              <c16:uniqueId val="{00000005-1425-4D1C-83A1-EAEC0DF10A36}"/>
            </c:ext>
          </c:extLst>
        </c:ser>
        <c:ser>
          <c:idx val="6"/>
          <c:order val="5"/>
          <c:tx>
            <c:strRef>
              <c:f>Sammenfatning!$A$208</c:f>
              <c:strCache>
                <c:ptCount val="1"/>
                <c:pt idx="0">
                  <c:v> - El til PtX</c:v>
                </c:pt>
              </c:strCache>
            </c:strRef>
          </c:tx>
          <c:invertIfNegative val="0"/>
          <c:cat>
            <c:strRef>
              <c:f>Sammenfatning!$B$201:$G$201</c:f>
              <c:strCache>
                <c:ptCount val="6"/>
                <c:pt idx="0">
                  <c:v>1990</c:v>
                </c:pt>
                <c:pt idx="1">
                  <c:v>2018/2020</c:v>
                </c:pt>
                <c:pt idx="2">
                  <c:v>BAU2030</c:v>
                </c:pt>
                <c:pt idx="3">
                  <c:v>BAU2050</c:v>
                </c:pt>
                <c:pt idx="4">
                  <c:v>STI2030</c:v>
                </c:pt>
                <c:pt idx="5">
                  <c:v>STI2050</c:v>
                </c:pt>
              </c:strCache>
            </c:strRef>
          </c:cat>
          <c:val>
            <c:numRef>
              <c:f>Sammenfatning!$B$208:$G$208</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6-1425-4D1C-83A1-EAEC0DF10A36}"/>
            </c:ext>
          </c:extLst>
        </c:ser>
        <c:ser>
          <c:idx val="0"/>
          <c:order val="6"/>
          <c:tx>
            <c:strRef>
              <c:f>Sammenfatning!$A$209</c:f>
              <c:strCache>
                <c:ptCount val="1"/>
                <c:pt idx="0">
                  <c:v> - Øvrigt elforbrug</c:v>
                </c:pt>
              </c:strCache>
            </c:strRef>
          </c:tx>
          <c:spPr>
            <a:ln>
              <a:noFill/>
            </a:ln>
          </c:spPr>
          <c:invertIfNegative val="0"/>
          <c:cat>
            <c:strRef>
              <c:f>Sammenfatning!$B$201:$G$201</c:f>
              <c:strCache>
                <c:ptCount val="6"/>
                <c:pt idx="0">
                  <c:v>1990</c:v>
                </c:pt>
                <c:pt idx="1">
                  <c:v>2018/2020</c:v>
                </c:pt>
                <c:pt idx="2">
                  <c:v>BAU2030</c:v>
                </c:pt>
                <c:pt idx="3">
                  <c:v>BAU2050</c:v>
                </c:pt>
                <c:pt idx="4">
                  <c:v>STI2030</c:v>
                </c:pt>
                <c:pt idx="5">
                  <c:v>STI2050</c:v>
                </c:pt>
              </c:strCache>
            </c:strRef>
          </c:cat>
          <c:val>
            <c:numRef>
              <c:f>Sammenfatning!$B$209:$G$209</c:f>
              <c:numCache>
                <c:formatCode>#,##0</c:formatCode>
                <c:ptCount val="6"/>
                <c:pt idx="0">
                  <c:v>15.442749805216838</c:v>
                </c:pt>
                <c:pt idx="1">
                  <c:v>9.2782577527913972</c:v>
                </c:pt>
                <c:pt idx="2">
                  <c:v>9.1789045936395866</c:v>
                </c:pt>
                <c:pt idx="3">
                  <c:v>9.1789045936395866</c:v>
                </c:pt>
                <c:pt idx="4">
                  <c:v>9.1789045936395723</c:v>
                </c:pt>
                <c:pt idx="5">
                  <c:v>9.1789045936395723</c:v>
                </c:pt>
              </c:numCache>
            </c:numRef>
          </c:val>
          <c:extLst>
            <c:ext xmlns:c16="http://schemas.microsoft.com/office/drawing/2014/chart" uri="{C3380CC4-5D6E-409C-BE32-E72D297353CC}">
              <c16:uniqueId val="{00000007-1425-4D1C-83A1-EAEC0DF10A36}"/>
            </c:ext>
          </c:extLst>
        </c:ser>
        <c:ser>
          <c:idx val="1"/>
          <c:order val="8"/>
          <c:tx>
            <c:strRef>
              <c:f>Sammenfatning!$A$210</c:f>
              <c:strCache>
                <c:ptCount val="1"/>
                <c:pt idx="0">
                  <c:v> Nettab</c:v>
                </c:pt>
              </c:strCache>
            </c:strRef>
          </c:tx>
          <c:invertIfNegative val="0"/>
          <c:val>
            <c:numRef>
              <c:f>Sammenfatning!$B$210:$G$210</c:f>
              <c:numCache>
                <c:formatCode>#,##0</c:formatCode>
                <c:ptCount val="6"/>
                <c:pt idx="0">
                  <c:v>3.6612463424897186</c:v>
                </c:pt>
                <c:pt idx="1">
                  <c:v>4.5040228687152055</c:v>
                </c:pt>
                <c:pt idx="2">
                  <c:v>5.3648518160943155</c:v>
                </c:pt>
                <c:pt idx="3">
                  <c:v>5.3908455093827641</c:v>
                </c:pt>
                <c:pt idx="4">
                  <c:v>7.9612628713082074</c:v>
                </c:pt>
                <c:pt idx="5">
                  <c:v>8.413513405047091</c:v>
                </c:pt>
              </c:numCache>
            </c:numRef>
          </c:val>
          <c:extLst>
            <c:ext xmlns:c16="http://schemas.microsoft.com/office/drawing/2014/chart" uri="{C3380CC4-5D6E-409C-BE32-E72D297353CC}">
              <c16:uniqueId val="{00000000-8E9B-4150-A948-5289B56B3410}"/>
            </c:ext>
          </c:extLst>
        </c:ser>
        <c:dLbls>
          <c:showLegendKey val="0"/>
          <c:showVal val="0"/>
          <c:showCatName val="0"/>
          <c:showSerName val="0"/>
          <c:showPercent val="0"/>
          <c:showBubbleSize val="0"/>
        </c:dLbls>
        <c:gapWidth val="150"/>
        <c:overlap val="100"/>
        <c:axId val="728089656"/>
        <c:axId val="728088480"/>
      </c:barChart>
      <c:lineChart>
        <c:grouping val="standard"/>
        <c:varyColors val="0"/>
        <c:ser>
          <c:idx val="7"/>
          <c:order val="7"/>
          <c:tx>
            <c:strRef>
              <c:f>Sammenfatning!$A$211</c:f>
              <c:strCache>
                <c:ptCount val="1"/>
                <c:pt idx="0">
                  <c:v>El-import</c:v>
                </c:pt>
              </c:strCache>
            </c:strRef>
          </c:tx>
          <c:spPr>
            <a:ln>
              <a:solidFill>
                <a:schemeClr val="tx1"/>
              </a:solidFill>
            </a:ln>
          </c:spPr>
          <c:marker>
            <c:symbol val="none"/>
          </c:marker>
          <c:cat>
            <c:strRef>
              <c:f>Sammenfatning!$B$201:$G$201</c:f>
              <c:strCache>
                <c:ptCount val="6"/>
                <c:pt idx="0">
                  <c:v>1990</c:v>
                </c:pt>
                <c:pt idx="1">
                  <c:v>2018/2020</c:v>
                </c:pt>
                <c:pt idx="2">
                  <c:v>BAU2030</c:v>
                </c:pt>
                <c:pt idx="3">
                  <c:v>BAU2050</c:v>
                </c:pt>
                <c:pt idx="4">
                  <c:v>STI2030</c:v>
                </c:pt>
                <c:pt idx="5">
                  <c:v>STI2050</c:v>
                </c:pt>
              </c:strCache>
            </c:strRef>
          </c:cat>
          <c:val>
            <c:numRef>
              <c:f>Sammenfatning!$B$211:$G$211</c:f>
              <c:numCache>
                <c:formatCode>#,##0</c:formatCode>
                <c:ptCount val="6"/>
                <c:pt idx="0">
                  <c:v>47.766958828937327</c:v>
                </c:pt>
                <c:pt idx="1">
                  <c:v>36.624084278714058</c:v>
                </c:pt>
                <c:pt idx="2">
                  <c:v>41.350662801028506</c:v>
                </c:pt>
                <c:pt idx="3">
                  <c:v>41.679280920983622</c:v>
                </c:pt>
                <c:pt idx="4">
                  <c:v>74.488076754844627</c:v>
                </c:pt>
                <c:pt idx="5">
                  <c:v>80.205529773035337</c:v>
                </c:pt>
              </c:numCache>
            </c:numRef>
          </c:val>
          <c:smooth val="0"/>
          <c:extLst>
            <c:ext xmlns:c16="http://schemas.microsoft.com/office/drawing/2014/chart" uri="{C3380CC4-5D6E-409C-BE32-E72D297353CC}">
              <c16:uniqueId val="{00000008-1425-4D1C-83A1-EAEC0DF10A36}"/>
            </c:ext>
          </c:extLst>
        </c:ser>
        <c:dLbls>
          <c:showLegendKey val="0"/>
          <c:showVal val="0"/>
          <c:showCatName val="0"/>
          <c:showSerName val="0"/>
          <c:showPercent val="0"/>
          <c:showBubbleSize val="0"/>
        </c:dLbls>
        <c:marker val="1"/>
        <c:smooth val="0"/>
        <c:axId val="728089656"/>
        <c:axId val="728088480"/>
      </c:lineChart>
      <c:catAx>
        <c:axId val="728089656"/>
        <c:scaling>
          <c:orientation val="minMax"/>
        </c:scaling>
        <c:delete val="0"/>
        <c:axPos val="b"/>
        <c:numFmt formatCode="General" sourceLinked="1"/>
        <c:majorTickMark val="out"/>
        <c:minorTickMark val="none"/>
        <c:tickLblPos val="nextTo"/>
        <c:spPr>
          <a:noFill/>
          <a:ln w="9525" cap="flat" cmpd="sng" algn="ctr">
            <a:solidFill>
              <a:schemeClr val="dk1">
                <a:shade val="95000"/>
                <a:satMod val="105000"/>
              </a:schemeClr>
            </a:solidFill>
            <a:prstDash val="solid"/>
          </a:ln>
          <a:effectLst/>
        </c:spPr>
        <c:txPr>
          <a:bodyPr rot="0" vert="horz"/>
          <a:lstStyle/>
          <a:p>
            <a:pPr>
              <a:defRPr>
                <a:solidFill>
                  <a:schemeClr val="tx1"/>
                </a:solidFill>
                <a:latin typeface="+mn-lt"/>
                <a:ea typeface="+mn-ea"/>
                <a:cs typeface="+mn-cs"/>
              </a:defRPr>
            </a:pPr>
            <a:endParaRPr lang="da-DK"/>
          </a:p>
        </c:txPr>
        <c:crossAx val="728088480"/>
        <c:crosses val="autoZero"/>
        <c:auto val="1"/>
        <c:lblAlgn val="ctr"/>
        <c:lblOffset val="100"/>
        <c:noMultiLvlLbl val="0"/>
      </c:catAx>
      <c:valAx>
        <c:axId val="728088480"/>
        <c:scaling>
          <c:orientation val="minMax"/>
          <c:min val="-1000"/>
        </c:scaling>
        <c:delete val="0"/>
        <c:axPos val="l"/>
        <c:majorGridlines>
          <c:spPr>
            <a:ln w="9525" cap="flat" cmpd="sng" algn="ctr">
              <a:solidFill>
                <a:schemeClr val="dk1">
                  <a:shade val="95000"/>
                  <a:satMod val="105000"/>
                </a:schemeClr>
              </a:solidFill>
              <a:prstDash val="solid"/>
            </a:ln>
            <a:effectLst/>
          </c:spPr>
        </c:majorGridlines>
        <c:title>
          <c:tx>
            <c:rich>
              <a:bodyPr/>
              <a:lstStyle/>
              <a:p>
                <a:pPr>
                  <a:defRPr/>
                </a:pPr>
                <a:r>
                  <a:rPr lang="da-DK"/>
                  <a:t>TJ/år</a:t>
                </a:r>
              </a:p>
            </c:rich>
          </c:tx>
          <c:overlay val="0"/>
        </c:title>
        <c:numFmt formatCode="#,##0" sourceLinked="1"/>
        <c:majorTickMark val="out"/>
        <c:minorTickMark val="none"/>
        <c:tickLblPos val="nextTo"/>
        <c:spPr>
          <a:noFill/>
          <a:ln w="9525" cap="flat" cmpd="sng" algn="ctr">
            <a:solidFill>
              <a:schemeClr val="dk1">
                <a:shade val="95000"/>
                <a:satMod val="105000"/>
              </a:schemeClr>
            </a:solidFill>
            <a:prstDash val="solid"/>
          </a:ln>
          <a:effectLst/>
        </c:spPr>
        <c:txPr>
          <a:bodyPr rot="0" vert="horz"/>
          <a:lstStyle/>
          <a:p>
            <a:pPr>
              <a:defRPr>
                <a:solidFill>
                  <a:schemeClr val="tx1"/>
                </a:solidFill>
                <a:latin typeface="+mn-lt"/>
                <a:ea typeface="+mn-ea"/>
                <a:cs typeface="+mn-cs"/>
              </a:defRPr>
            </a:pPr>
            <a:endParaRPr lang="da-DK"/>
          </a:p>
        </c:txPr>
        <c:crossAx val="728089656"/>
        <c:crosses val="autoZero"/>
        <c:crossBetween val="between"/>
      </c:valAx>
    </c:plotArea>
    <c:legend>
      <c:legendPos val="r"/>
      <c:layout>
        <c:manualLayout>
          <c:xMode val="edge"/>
          <c:yMode val="edge"/>
          <c:x val="0.77775559094770219"/>
          <c:y val="0.28353509328752974"/>
          <c:w val="0.21588625619072982"/>
          <c:h val="0.50283448146335241"/>
        </c:manualLayout>
      </c:layout>
      <c:overlay val="0"/>
    </c:legend>
    <c:plotVisOnly val="1"/>
    <c:dispBlanksAs val="gap"/>
    <c:showDLblsOverMax val="0"/>
  </c:chart>
  <c:spPr>
    <a:ln>
      <a:solidFill>
        <a:sysClr val="windowText" lastClr="000000"/>
      </a:solidFill>
    </a:ln>
  </c:spPr>
  <c:txPr>
    <a:bodyPr/>
    <a:lstStyle/>
    <a:p>
      <a:pPr>
        <a:defRPr sz="1000" b="0" i="0" u="none" strike="noStrike" baseline="0">
          <a:solidFill>
            <a:sysClr val="windowText" lastClr="000000"/>
          </a:solidFill>
          <a:latin typeface="Calibri"/>
          <a:ea typeface="Calibri"/>
          <a:cs typeface="Calibri"/>
        </a:defRPr>
      </a:pPr>
      <a:endParaRPr lang="da-DK"/>
    </a:p>
  </c:txPr>
  <c:printSettings>
    <c:headerFooter/>
    <c:pageMargins b="0.75000000000001088" l="0.70000000000000062" r="0.70000000000000062" t="0.7500000000000108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55543437399007"/>
          <c:y val="3.465346534653465E-2"/>
          <c:w val="0.69194765757727461"/>
          <c:h val="0.85396039603960394"/>
        </c:manualLayout>
      </c:layout>
      <c:barChart>
        <c:barDir val="col"/>
        <c:grouping val="stacked"/>
        <c:varyColors val="0"/>
        <c:ser>
          <c:idx val="1"/>
          <c:order val="0"/>
          <c:tx>
            <c:strRef>
              <c:f>'Grafer-energi'!$B$57</c:f>
              <c:strCache>
                <c:ptCount val="1"/>
                <c:pt idx="0">
                  <c:v>VE% Global</c:v>
                </c:pt>
              </c:strCache>
            </c:strRef>
          </c:tx>
          <c:spPr>
            <a:solidFill>
              <a:schemeClr val="accent3"/>
            </a:solidFill>
          </c:spPr>
          <c:invertIfNegative val="0"/>
          <c:dLbls>
            <c:spPr>
              <a:noFill/>
              <a:ln>
                <a:noFill/>
              </a:ln>
              <a:effectLst/>
            </c:spPr>
            <c:txPr>
              <a:bodyPr/>
              <a:lstStyle/>
              <a:p>
                <a:pPr>
                  <a:defRPr b="1">
                    <a:solidFill>
                      <a:schemeClr val="bg1"/>
                    </a:solidFill>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'Grafer-energi'!$C$56:$E$56</c:f>
              <c:numCache>
                <c:formatCode>General</c:formatCode>
                <c:ptCount val="3"/>
                <c:pt idx="0">
                  <c:v>1990</c:v>
                </c:pt>
                <c:pt idx="1">
                  <c:v>2018</c:v>
                </c:pt>
                <c:pt idx="2">
                  <c:v>2020</c:v>
                </c:pt>
              </c:numCache>
            </c:numRef>
          </c:cat>
          <c:val>
            <c:numRef>
              <c:f>'Grafer-energi'!$C$57:$E$57</c:f>
              <c:numCache>
                <c:formatCode>_(* #,##0.0_);_(* \(#,##0.0\);_(* "-"??_);_(@_)</c:formatCode>
                <c:ptCount val="3"/>
                <c:pt idx="0">
                  <c:v>10.906291822600775</c:v>
                </c:pt>
                <c:pt idx="1">
                  <c:v>43.089653627241752</c:v>
                </c:pt>
                <c:pt idx="2">
                  <c:v>57.013004774168095</c:v>
                </c:pt>
              </c:numCache>
            </c:numRef>
          </c:val>
          <c:extLst>
            <c:ext xmlns:c16="http://schemas.microsoft.com/office/drawing/2014/chart" uri="{C3380CC4-5D6E-409C-BE32-E72D297353CC}">
              <c16:uniqueId val="{00000000-F23C-4B3C-8E91-F8FAA44951B5}"/>
            </c:ext>
          </c:extLst>
        </c:ser>
        <c:dLbls>
          <c:showLegendKey val="0"/>
          <c:showVal val="1"/>
          <c:showCatName val="0"/>
          <c:showSerName val="0"/>
          <c:showPercent val="0"/>
          <c:showBubbleSize val="0"/>
        </c:dLbls>
        <c:gapWidth val="100"/>
        <c:overlap val="100"/>
        <c:axId val="687053248"/>
        <c:axId val="687053640"/>
      </c:barChart>
      <c:catAx>
        <c:axId val="68705324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7053640"/>
        <c:crosses val="autoZero"/>
        <c:auto val="1"/>
        <c:lblAlgn val="ctr"/>
        <c:lblOffset val="100"/>
        <c:noMultiLvlLbl val="0"/>
      </c:catAx>
      <c:valAx>
        <c:axId val="687053640"/>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VE%</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7053248"/>
        <c:crosses val="autoZero"/>
        <c:crossBetween val="between"/>
      </c:valAx>
    </c:plotArea>
    <c:legend>
      <c:legendPos val="r"/>
      <c:layout>
        <c:manualLayout>
          <c:xMode val="edge"/>
          <c:yMode val="edge"/>
          <c:x val="0.81662207944830212"/>
          <c:y val="0.38841800030577628"/>
          <c:w val="0.16746677558677248"/>
          <c:h val="0.11517268262259296"/>
        </c:manualLayout>
      </c:layout>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1" l="0.70000000000000062" r="0.70000000000000062" t="0.75000000000001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38850850046531E-2"/>
          <c:y val="3.465346534653465E-2"/>
          <c:w val="0.74023569342609208"/>
          <c:h val="0.62072094017094015"/>
        </c:manualLayout>
      </c:layout>
      <c:barChart>
        <c:barDir val="col"/>
        <c:grouping val="stacked"/>
        <c:varyColors val="0"/>
        <c:ser>
          <c:idx val="5"/>
          <c:order val="2"/>
          <c:tx>
            <c:strRef>
              <c:f>'Grafer-energi'!$B$950</c:f>
              <c:strCache>
                <c:ptCount val="1"/>
                <c:pt idx="0">
                  <c:v>El</c:v>
                </c:pt>
              </c:strCache>
            </c:strRef>
          </c:tx>
          <c:spPr>
            <a:solidFill>
              <a:schemeClr val="accent5">
                <a:lumMod val="60000"/>
              </a:schemeClr>
            </a:solidFill>
            <a:ln>
              <a:noFill/>
            </a:ln>
            <a:effectLst/>
          </c:spPr>
          <c:invertIfNegative val="0"/>
          <c:cat>
            <c:multiLvlStrRef>
              <c:f>'Grafer-energi'!$C$947:$T$949</c:f>
              <c:multiLvlStrCache>
                <c:ptCount val="18"/>
                <c:lvl>
                  <c:pt idx="0">
                    <c:v>Boliger og fritidshuse</c:v>
                  </c:pt>
                  <c:pt idx="1">
                    <c:v>Boliger og fritidshuse</c:v>
                  </c:pt>
                  <c:pt idx="2">
                    <c:v>Offentlig service</c:v>
                  </c:pt>
                  <c:pt idx="3">
                    <c:v>Offentlig service</c:v>
                  </c:pt>
                  <c:pt idx="4">
                    <c:v>Privat service</c:v>
                  </c:pt>
                  <c:pt idx="5">
                    <c:v>Privat service</c:v>
                  </c:pt>
                  <c:pt idx="6">
                    <c:v>Detail- og engroshandel</c:v>
                  </c:pt>
                  <c:pt idx="7">
                    <c:v>Detail- og engroshandel</c:v>
                  </c:pt>
                  <c:pt idx="8">
                    <c:v>Bygge- og anlægsvirksomhed</c:v>
                  </c:pt>
                  <c:pt idx="9">
                    <c:v>Bygge- og anlægsvirksomhed</c:v>
                  </c:pt>
                  <c:pt idx="10">
                    <c:v>Fremstillingsvirksomhed</c:v>
                  </c:pt>
                  <c:pt idx="11">
                    <c:v>Fremstillingsvirksomhed</c:v>
                  </c:pt>
                  <c:pt idx="12">
                    <c:v>Gartneri</c:v>
                  </c:pt>
                  <c:pt idx="13">
                    <c:v>Gartneri</c:v>
                  </c:pt>
                  <c:pt idx="14">
                    <c:v>Landbrug</c:v>
                  </c:pt>
                  <c:pt idx="15">
                    <c:v>Landbrug</c:v>
                  </c:pt>
                  <c:pt idx="16">
                    <c:v>Transport</c:v>
                  </c:pt>
                  <c:pt idx="17">
                    <c:v>Transport</c:v>
                  </c:pt>
                </c:lvl>
                <c:lvl>
                  <c:pt idx="0">
                    <c:v>2018</c:v>
                  </c:pt>
                  <c:pt idx="1">
                    <c:v>2020</c:v>
                  </c:pt>
                  <c:pt idx="2">
                    <c:v>2018</c:v>
                  </c:pt>
                  <c:pt idx="3">
                    <c:v>2020</c:v>
                  </c:pt>
                  <c:pt idx="4">
                    <c:v>2018</c:v>
                  </c:pt>
                  <c:pt idx="5">
                    <c:v>2020</c:v>
                  </c:pt>
                  <c:pt idx="6">
                    <c:v>2018</c:v>
                  </c:pt>
                  <c:pt idx="7">
                    <c:v>2020</c:v>
                  </c:pt>
                  <c:pt idx="8">
                    <c:v>2018</c:v>
                  </c:pt>
                  <c:pt idx="9">
                    <c:v>2020</c:v>
                  </c:pt>
                  <c:pt idx="10">
                    <c:v>2018</c:v>
                  </c:pt>
                  <c:pt idx="11">
                    <c:v>2020</c:v>
                  </c:pt>
                  <c:pt idx="12">
                    <c:v>2018</c:v>
                  </c:pt>
                  <c:pt idx="13">
                    <c:v>2020</c:v>
                  </c:pt>
                  <c:pt idx="14">
                    <c:v>2018</c:v>
                  </c:pt>
                  <c:pt idx="15">
                    <c:v>2020</c:v>
                  </c:pt>
                  <c:pt idx="16">
                    <c:v>2018</c:v>
                  </c:pt>
                  <c:pt idx="17">
                    <c:v>2020</c:v>
                  </c:pt>
                </c:lvl>
                <c:lvl>
                  <c:pt idx="0">
                    <c:v>TJ/år</c:v>
                  </c:pt>
                </c:lvl>
              </c:multiLvlStrCache>
            </c:multiLvlStrRef>
          </c:cat>
          <c:val>
            <c:numRef>
              <c:f>'Grafer-energi'!$C$950:$T$950</c:f>
              <c:numCache>
                <c:formatCode>#,##0</c:formatCode>
                <c:ptCount val="18"/>
                <c:pt idx="0">
                  <c:v>25.950000000000006</c:v>
                </c:pt>
                <c:pt idx="1">
                  <c:v>28.262</c:v>
                </c:pt>
                <c:pt idx="2">
                  <c:v>2.92</c:v>
                </c:pt>
                <c:pt idx="3">
                  <c:v>3.03</c:v>
                </c:pt>
                <c:pt idx="4">
                  <c:v>3.7300000000000004</c:v>
                </c:pt>
                <c:pt idx="5">
                  <c:v>3.43</c:v>
                </c:pt>
                <c:pt idx="6">
                  <c:v>6.2</c:v>
                </c:pt>
                <c:pt idx="7">
                  <c:v>3.93</c:v>
                </c:pt>
                <c:pt idx="8">
                  <c:v>0</c:v>
                </c:pt>
                <c:pt idx="9">
                  <c:v>0</c:v>
                </c:pt>
                <c:pt idx="10">
                  <c:v>0</c:v>
                </c:pt>
                <c:pt idx="11">
                  <c:v>0</c:v>
                </c:pt>
                <c:pt idx="12">
                  <c:v>0</c:v>
                </c:pt>
                <c:pt idx="13">
                  <c:v>0</c:v>
                </c:pt>
                <c:pt idx="14">
                  <c:v>5.5299999999999994</c:v>
                </c:pt>
                <c:pt idx="15">
                  <c:v>5.37</c:v>
                </c:pt>
                <c:pt idx="16">
                  <c:v>0</c:v>
                </c:pt>
                <c:pt idx="17">
                  <c:v>0</c:v>
                </c:pt>
              </c:numCache>
            </c:numRef>
          </c:val>
          <c:extLst>
            <c:ext xmlns:c16="http://schemas.microsoft.com/office/drawing/2014/chart" uri="{C3380CC4-5D6E-409C-BE32-E72D297353CC}">
              <c16:uniqueId val="{00000003-47E4-488B-BB2A-D374AA27ED9B}"/>
            </c:ext>
          </c:extLst>
        </c:ser>
        <c:ser>
          <c:idx val="6"/>
          <c:order val="3"/>
          <c:tx>
            <c:strRef>
              <c:f>'Grafer-energi'!$B$951</c:f>
              <c:strCache>
                <c:ptCount val="1"/>
                <c:pt idx="0">
                  <c:v>Kul</c:v>
                </c:pt>
              </c:strCache>
            </c:strRef>
          </c:tx>
          <c:spPr>
            <a:solidFill>
              <a:schemeClr val="accent1">
                <a:lumMod val="80000"/>
                <a:lumOff val="20000"/>
              </a:schemeClr>
            </a:solidFill>
            <a:ln>
              <a:noFill/>
            </a:ln>
            <a:effectLst/>
          </c:spPr>
          <c:invertIfNegative val="0"/>
          <c:cat>
            <c:multiLvlStrRef>
              <c:f>'Grafer-energi'!$C$947:$T$949</c:f>
              <c:multiLvlStrCache>
                <c:ptCount val="18"/>
                <c:lvl>
                  <c:pt idx="0">
                    <c:v>Boliger og fritidshuse</c:v>
                  </c:pt>
                  <c:pt idx="1">
                    <c:v>Boliger og fritidshuse</c:v>
                  </c:pt>
                  <c:pt idx="2">
                    <c:v>Offentlig service</c:v>
                  </c:pt>
                  <c:pt idx="3">
                    <c:v>Offentlig service</c:v>
                  </c:pt>
                  <c:pt idx="4">
                    <c:v>Privat service</c:v>
                  </c:pt>
                  <c:pt idx="5">
                    <c:v>Privat service</c:v>
                  </c:pt>
                  <c:pt idx="6">
                    <c:v>Detail- og engroshandel</c:v>
                  </c:pt>
                  <c:pt idx="7">
                    <c:v>Detail- og engroshandel</c:v>
                  </c:pt>
                  <c:pt idx="8">
                    <c:v>Bygge- og anlægsvirksomhed</c:v>
                  </c:pt>
                  <c:pt idx="9">
                    <c:v>Bygge- og anlægsvirksomhed</c:v>
                  </c:pt>
                  <c:pt idx="10">
                    <c:v>Fremstillingsvirksomhed</c:v>
                  </c:pt>
                  <c:pt idx="11">
                    <c:v>Fremstillingsvirksomhed</c:v>
                  </c:pt>
                  <c:pt idx="12">
                    <c:v>Gartneri</c:v>
                  </c:pt>
                  <c:pt idx="13">
                    <c:v>Gartneri</c:v>
                  </c:pt>
                  <c:pt idx="14">
                    <c:v>Landbrug</c:v>
                  </c:pt>
                  <c:pt idx="15">
                    <c:v>Landbrug</c:v>
                  </c:pt>
                  <c:pt idx="16">
                    <c:v>Transport</c:v>
                  </c:pt>
                  <c:pt idx="17">
                    <c:v>Transport</c:v>
                  </c:pt>
                </c:lvl>
                <c:lvl>
                  <c:pt idx="0">
                    <c:v>2018</c:v>
                  </c:pt>
                  <c:pt idx="1">
                    <c:v>2020</c:v>
                  </c:pt>
                  <c:pt idx="2">
                    <c:v>2018</c:v>
                  </c:pt>
                  <c:pt idx="3">
                    <c:v>2020</c:v>
                  </c:pt>
                  <c:pt idx="4">
                    <c:v>2018</c:v>
                  </c:pt>
                  <c:pt idx="5">
                    <c:v>2020</c:v>
                  </c:pt>
                  <c:pt idx="6">
                    <c:v>2018</c:v>
                  </c:pt>
                  <c:pt idx="7">
                    <c:v>2020</c:v>
                  </c:pt>
                  <c:pt idx="8">
                    <c:v>2018</c:v>
                  </c:pt>
                  <c:pt idx="9">
                    <c:v>2020</c:v>
                  </c:pt>
                  <c:pt idx="10">
                    <c:v>2018</c:v>
                  </c:pt>
                  <c:pt idx="11">
                    <c:v>2020</c:v>
                  </c:pt>
                  <c:pt idx="12">
                    <c:v>2018</c:v>
                  </c:pt>
                  <c:pt idx="13">
                    <c:v>2020</c:v>
                  </c:pt>
                  <c:pt idx="14">
                    <c:v>2018</c:v>
                  </c:pt>
                  <c:pt idx="15">
                    <c:v>2020</c:v>
                  </c:pt>
                  <c:pt idx="16">
                    <c:v>2018</c:v>
                  </c:pt>
                  <c:pt idx="17">
                    <c:v>2020</c:v>
                  </c:pt>
                </c:lvl>
                <c:lvl>
                  <c:pt idx="0">
                    <c:v>TJ/år</c:v>
                  </c:pt>
                </c:lvl>
              </c:multiLvlStrCache>
            </c:multiLvlStrRef>
          </c:cat>
          <c:val>
            <c:numRef>
              <c:f>'Grafer-energi'!$C$951:$T$951</c:f>
              <c:numCache>
                <c:formatCode>#,##0</c:formatCode>
                <c:ptCount val="18"/>
                <c:pt idx="10">
                  <c:v>0</c:v>
                </c:pt>
                <c:pt idx="11">
                  <c:v>0</c:v>
                </c:pt>
              </c:numCache>
            </c:numRef>
          </c:val>
          <c:extLst>
            <c:ext xmlns:c16="http://schemas.microsoft.com/office/drawing/2014/chart" uri="{C3380CC4-5D6E-409C-BE32-E72D297353CC}">
              <c16:uniqueId val="{00000004-47E4-488B-BB2A-D374AA27ED9B}"/>
            </c:ext>
          </c:extLst>
        </c:ser>
        <c:ser>
          <c:idx val="8"/>
          <c:order val="4"/>
          <c:tx>
            <c:strRef>
              <c:f>'Grafer-energi'!$B$952</c:f>
              <c:strCache>
                <c:ptCount val="1"/>
                <c:pt idx="0">
                  <c:v>Naturgas og LPG</c:v>
                </c:pt>
              </c:strCache>
            </c:strRef>
          </c:tx>
          <c:spPr>
            <a:solidFill>
              <a:schemeClr val="accent5">
                <a:lumMod val="80000"/>
                <a:lumOff val="20000"/>
              </a:schemeClr>
            </a:solidFill>
            <a:ln>
              <a:noFill/>
            </a:ln>
            <a:effectLst/>
          </c:spPr>
          <c:invertIfNegative val="0"/>
          <c:cat>
            <c:multiLvlStrRef>
              <c:f>'Grafer-energi'!$C$947:$T$949</c:f>
              <c:multiLvlStrCache>
                <c:ptCount val="18"/>
                <c:lvl>
                  <c:pt idx="0">
                    <c:v>Boliger og fritidshuse</c:v>
                  </c:pt>
                  <c:pt idx="1">
                    <c:v>Boliger og fritidshuse</c:v>
                  </c:pt>
                  <c:pt idx="2">
                    <c:v>Offentlig service</c:v>
                  </c:pt>
                  <c:pt idx="3">
                    <c:v>Offentlig service</c:v>
                  </c:pt>
                  <c:pt idx="4">
                    <c:v>Privat service</c:v>
                  </c:pt>
                  <c:pt idx="5">
                    <c:v>Privat service</c:v>
                  </c:pt>
                  <c:pt idx="6">
                    <c:v>Detail- og engroshandel</c:v>
                  </c:pt>
                  <c:pt idx="7">
                    <c:v>Detail- og engroshandel</c:v>
                  </c:pt>
                  <c:pt idx="8">
                    <c:v>Bygge- og anlægsvirksomhed</c:v>
                  </c:pt>
                  <c:pt idx="9">
                    <c:v>Bygge- og anlægsvirksomhed</c:v>
                  </c:pt>
                  <c:pt idx="10">
                    <c:v>Fremstillingsvirksomhed</c:v>
                  </c:pt>
                  <c:pt idx="11">
                    <c:v>Fremstillingsvirksomhed</c:v>
                  </c:pt>
                  <c:pt idx="12">
                    <c:v>Gartneri</c:v>
                  </c:pt>
                  <c:pt idx="13">
                    <c:v>Gartneri</c:v>
                  </c:pt>
                  <c:pt idx="14">
                    <c:v>Landbrug</c:v>
                  </c:pt>
                  <c:pt idx="15">
                    <c:v>Landbrug</c:v>
                  </c:pt>
                  <c:pt idx="16">
                    <c:v>Transport</c:v>
                  </c:pt>
                  <c:pt idx="17">
                    <c:v>Transport</c:v>
                  </c:pt>
                </c:lvl>
                <c:lvl>
                  <c:pt idx="0">
                    <c:v>2018</c:v>
                  </c:pt>
                  <c:pt idx="1">
                    <c:v>2020</c:v>
                  </c:pt>
                  <c:pt idx="2">
                    <c:v>2018</c:v>
                  </c:pt>
                  <c:pt idx="3">
                    <c:v>2020</c:v>
                  </c:pt>
                  <c:pt idx="4">
                    <c:v>2018</c:v>
                  </c:pt>
                  <c:pt idx="5">
                    <c:v>2020</c:v>
                  </c:pt>
                  <c:pt idx="6">
                    <c:v>2018</c:v>
                  </c:pt>
                  <c:pt idx="7">
                    <c:v>2020</c:v>
                  </c:pt>
                  <c:pt idx="8">
                    <c:v>2018</c:v>
                  </c:pt>
                  <c:pt idx="9">
                    <c:v>2020</c:v>
                  </c:pt>
                  <c:pt idx="10">
                    <c:v>2018</c:v>
                  </c:pt>
                  <c:pt idx="11">
                    <c:v>2020</c:v>
                  </c:pt>
                  <c:pt idx="12">
                    <c:v>2018</c:v>
                  </c:pt>
                  <c:pt idx="13">
                    <c:v>2020</c:v>
                  </c:pt>
                  <c:pt idx="14">
                    <c:v>2018</c:v>
                  </c:pt>
                  <c:pt idx="15">
                    <c:v>2020</c:v>
                  </c:pt>
                  <c:pt idx="16">
                    <c:v>2018</c:v>
                  </c:pt>
                  <c:pt idx="17">
                    <c:v>2020</c:v>
                  </c:pt>
                </c:lvl>
                <c:lvl>
                  <c:pt idx="0">
                    <c:v>TJ/år</c:v>
                  </c:pt>
                </c:lvl>
              </c:multiLvlStrCache>
            </c:multiLvlStrRef>
          </c:cat>
          <c:val>
            <c:numRef>
              <c:f>'Grafer-energi'!$C$952:$T$952</c:f>
              <c:numCache>
                <c:formatCode>#,##0</c:formatCode>
                <c:ptCount val="18"/>
                <c:pt idx="0">
                  <c:v>6.7640000000000006E-2</c:v>
                </c:pt>
                <c:pt idx="1">
                  <c:v>6.1560000000000004E-2</c:v>
                </c:pt>
                <c:pt idx="2">
                  <c:v>0</c:v>
                </c:pt>
                <c:pt idx="3">
                  <c:v>0</c:v>
                </c:pt>
                <c:pt idx="4">
                  <c:v>0</c:v>
                </c:pt>
                <c:pt idx="5">
                  <c:v>0</c:v>
                </c:pt>
                <c:pt idx="6">
                  <c:v>0</c:v>
                </c:pt>
                <c:pt idx="7">
                  <c:v>0</c:v>
                </c:pt>
                <c:pt idx="8">
                  <c:v>0</c:v>
                </c:pt>
                <c:pt idx="9">
                  <c:v>0</c:v>
                </c:pt>
                <c:pt idx="10">
                  <c:v>0.20291999999999999</c:v>
                </c:pt>
                <c:pt idx="11">
                  <c:v>0.18468000000000001</c:v>
                </c:pt>
                <c:pt idx="12">
                  <c:v>0</c:v>
                </c:pt>
                <c:pt idx="13">
                  <c:v>0</c:v>
                </c:pt>
                <c:pt idx="14">
                  <c:v>0</c:v>
                </c:pt>
                <c:pt idx="15">
                  <c:v>0</c:v>
                </c:pt>
                <c:pt idx="16">
                  <c:v>6.7640000000000006E-2</c:v>
                </c:pt>
                <c:pt idx="17">
                  <c:v>6.1560000000000004E-2</c:v>
                </c:pt>
              </c:numCache>
            </c:numRef>
          </c:val>
          <c:extLst>
            <c:ext xmlns:c16="http://schemas.microsoft.com/office/drawing/2014/chart" uri="{C3380CC4-5D6E-409C-BE32-E72D297353CC}">
              <c16:uniqueId val="{00000005-47E4-488B-BB2A-D374AA27ED9B}"/>
            </c:ext>
          </c:extLst>
        </c:ser>
        <c:ser>
          <c:idx val="7"/>
          <c:order val="5"/>
          <c:tx>
            <c:strRef>
              <c:f>'Grafer-energi'!$B$953</c:f>
              <c:strCache>
                <c:ptCount val="1"/>
                <c:pt idx="0">
                  <c:v>Fuelolie</c:v>
                </c:pt>
              </c:strCache>
            </c:strRef>
          </c:tx>
          <c:spPr>
            <a:solidFill>
              <a:schemeClr val="accent3">
                <a:lumMod val="80000"/>
                <a:lumOff val="20000"/>
              </a:schemeClr>
            </a:solidFill>
            <a:ln>
              <a:noFill/>
            </a:ln>
            <a:effectLst/>
          </c:spPr>
          <c:invertIfNegative val="0"/>
          <c:cat>
            <c:multiLvlStrRef>
              <c:f>'Grafer-energi'!$C$947:$T$949</c:f>
              <c:multiLvlStrCache>
                <c:ptCount val="18"/>
                <c:lvl>
                  <c:pt idx="0">
                    <c:v>Boliger og fritidshuse</c:v>
                  </c:pt>
                  <c:pt idx="1">
                    <c:v>Boliger og fritidshuse</c:v>
                  </c:pt>
                  <c:pt idx="2">
                    <c:v>Offentlig service</c:v>
                  </c:pt>
                  <c:pt idx="3">
                    <c:v>Offentlig service</c:v>
                  </c:pt>
                  <c:pt idx="4">
                    <c:v>Privat service</c:v>
                  </c:pt>
                  <c:pt idx="5">
                    <c:v>Privat service</c:v>
                  </c:pt>
                  <c:pt idx="6">
                    <c:v>Detail- og engroshandel</c:v>
                  </c:pt>
                  <c:pt idx="7">
                    <c:v>Detail- og engroshandel</c:v>
                  </c:pt>
                  <c:pt idx="8">
                    <c:v>Bygge- og anlægsvirksomhed</c:v>
                  </c:pt>
                  <c:pt idx="9">
                    <c:v>Bygge- og anlægsvirksomhed</c:v>
                  </c:pt>
                  <c:pt idx="10">
                    <c:v>Fremstillingsvirksomhed</c:v>
                  </c:pt>
                  <c:pt idx="11">
                    <c:v>Fremstillingsvirksomhed</c:v>
                  </c:pt>
                  <c:pt idx="12">
                    <c:v>Gartneri</c:v>
                  </c:pt>
                  <c:pt idx="13">
                    <c:v>Gartneri</c:v>
                  </c:pt>
                  <c:pt idx="14">
                    <c:v>Landbrug</c:v>
                  </c:pt>
                  <c:pt idx="15">
                    <c:v>Landbrug</c:v>
                  </c:pt>
                  <c:pt idx="16">
                    <c:v>Transport</c:v>
                  </c:pt>
                  <c:pt idx="17">
                    <c:v>Transport</c:v>
                  </c:pt>
                </c:lvl>
                <c:lvl>
                  <c:pt idx="0">
                    <c:v>2018</c:v>
                  </c:pt>
                  <c:pt idx="1">
                    <c:v>2020</c:v>
                  </c:pt>
                  <c:pt idx="2">
                    <c:v>2018</c:v>
                  </c:pt>
                  <c:pt idx="3">
                    <c:v>2020</c:v>
                  </c:pt>
                  <c:pt idx="4">
                    <c:v>2018</c:v>
                  </c:pt>
                  <c:pt idx="5">
                    <c:v>2020</c:v>
                  </c:pt>
                  <c:pt idx="6">
                    <c:v>2018</c:v>
                  </c:pt>
                  <c:pt idx="7">
                    <c:v>2020</c:v>
                  </c:pt>
                  <c:pt idx="8">
                    <c:v>2018</c:v>
                  </c:pt>
                  <c:pt idx="9">
                    <c:v>2020</c:v>
                  </c:pt>
                  <c:pt idx="10">
                    <c:v>2018</c:v>
                  </c:pt>
                  <c:pt idx="11">
                    <c:v>2020</c:v>
                  </c:pt>
                  <c:pt idx="12">
                    <c:v>2018</c:v>
                  </c:pt>
                  <c:pt idx="13">
                    <c:v>2020</c:v>
                  </c:pt>
                  <c:pt idx="14">
                    <c:v>2018</c:v>
                  </c:pt>
                  <c:pt idx="15">
                    <c:v>2020</c:v>
                  </c:pt>
                  <c:pt idx="16">
                    <c:v>2018</c:v>
                  </c:pt>
                  <c:pt idx="17">
                    <c:v>2020</c:v>
                  </c:pt>
                </c:lvl>
                <c:lvl>
                  <c:pt idx="0">
                    <c:v>TJ/år</c:v>
                  </c:pt>
                </c:lvl>
              </c:multiLvlStrCache>
            </c:multiLvlStrRef>
          </c:cat>
          <c:val>
            <c:numRef>
              <c:f>'Grafer-energi'!$C$953:$T$953</c:f>
              <c:numCache>
                <c:formatCode>#,##0</c:formatCode>
                <c:ptCount val="18"/>
                <c:pt idx="10">
                  <c:v>0</c:v>
                </c:pt>
                <c:pt idx="11">
                  <c:v>0</c:v>
                </c:pt>
                <c:pt idx="16">
                  <c:v>2.0000000000000001E-4</c:v>
                </c:pt>
                <c:pt idx="17">
                  <c:v>2.6000000000000002E-2</c:v>
                </c:pt>
              </c:numCache>
            </c:numRef>
          </c:val>
          <c:extLst>
            <c:ext xmlns:c16="http://schemas.microsoft.com/office/drawing/2014/chart" uri="{C3380CC4-5D6E-409C-BE32-E72D297353CC}">
              <c16:uniqueId val="{00000006-47E4-488B-BB2A-D374AA27ED9B}"/>
            </c:ext>
          </c:extLst>
        </c:ser>
        <c:ser>
          <c:idx val="9"/>
          <c:order val="6"/>
          <c:tx>
            <c:strRef>
              <c:f>'Grafer-energi'!$B$954</c:f>
              <c:strCache>
                <c:ptCount val="1"/>
                <c:pt idx="0">
                  <c:v>Brændselsolie/diesel</c:v>
                </c:pt>
              </c:strCache>
            </c:strRef>
          </c:tx>
          <c:spPr>
            <a:solidFill>
              <a:schemeClr val="accent1">
                <a:lumMod val="80000"/>
              </a:schemeClr>
            </a:solidFill>
            <a:ln>
              <a:noFill/>
            </a:ln>
            <a:effectLst/>
          </c:spPr>
          <c:invertIfNegative val="0"/>
          <c:cat>
            <c:multiLvlStrRef>
              <c:f>'Grafer-energi'!$C$947:$T$949</c:f>
              <c:multiLvlStrCache>
                <c:ptCount val="18"/>
                <c:lvl>
                  <c:pt idx="0">
                    <c:v>Boliger og fritidshuse</c:v>
                  </c:pt>
                  <c:pt idx="1">
                    <c:v>Boliger og fritidshuse</c:v>
                  </c:pt>
                  <c:pt idx="2">
                    <c:v>Offentlig service</c:v>
                  </c:pt>
                  <c:pt idx="3">
                    <c:v>Offentlig service</c:v>
                  </c:pt>
                  <c:pt idx="4">
                    <c:v>Privat service</c:v>
                  </c:pt>
                  <c:pt idx="5">
                    <c:v>Privat service</c:v>
                  </c:pt>
                  <c:pt idx="6">
                    <c:v>Detail- og engroshandel</c:v>
                  </c:pt>
                  <c:pt idx="7">
                    <c:v>Detail- og engroshandel</c:v>
                  </c:pt>
                  <c:pt idx="8">
                    <c:v>Bygge- og anlægsvirksomhed</c:v>
                  </c:pt>
                  <c:pt idx="9">
                    <c:v>Bygge- og anlægsvirksomhed</c:v>
                  </c:pt>
                  <c:pt idx="10">
                    <c:v>Fremstillingsvirksomhed</c:v>
                  </c:pt>
                  <c:pt idx="11">
                    <c:v>Fremstillingsvirksomhed</c:v>
                  </c:pt>
                  <c:pt idx="12">
                    <c:v>Gartneri</c:v>
                  </c:pt>
                  <c:pt idx="13">
                    <c:v>Gartneri</c:v>
                  </c:pt>
                  <c:pt idx="14">
                    <c:v>Landbrug</c:v>
                  </c:pt>
                  <c:pt idx="15">
                    <c:v>Landbrug</c:v>
                  </c:pt>
                  <c:pt idx="16">
                    <c:v>Transport</c:v>
                  </c:pt>
                  <c:pt idx="17">
                    <c:v>Transport</c:v>
                  </c:pt>
                </c:lvl>
                <c:lvl>
                  <c:pt idx="0">
                    <c:v>2018</c:v>
                  </c:pt>
                  <c:pt idx="1">
                    <c:v>2020</c:v>
                  </c:pt>
                  <c:pt idx="2">
                    <c:v>2018</c:v>
                  </c:pt>
                  <c:pt idx="3">
                    <c:v>2020</c:v>
                  </c:pt>
                  <c:pt idx="4">
                    <c:v>2018</c:v>
                  </c:pt>
                  <c:pt idx="5">
                    <c:v>2020</c:v>
                  </c:pt>
                  <c:pt idx="6">
                    <c:v>2018</c:v>
                  </c:pt>
                  <c:pt idx="7">
                    <c:v>2020</c:v>
                  </c:pt>
                  <c:pt idx="8">
                    <c:v>2018</c:v>
                  </c:pt>
                  <c:pt idx="9">
                    <c:v>2020</c:v>
                  </c:pt>
                  <c:pt idx="10">
                    <c:v>2018</c:v>
                  </c:pt>
                  <c:pt idx="11">
                    <c:v>2020</c:v>
                  </c:pt>
                  <c:pt idx="12">
                    <c:v>2018</c:v>
                  </c:pt>
                  <c:pt idx="13">
                    <c:v>2020</c:v>
                  </c:pt>
                  <c:pt idx="14">
                    <c:v>2018</c:v>
                  </c:pt>
                  <c:pt idx="15">
                    <c:v>2020</c:v>
                  </c:pt>
                  <c:pt idx="16">
                    <c:v>2018</c:v>
                  </c:pt>
                  <c:pt idx="17">
                    <c:v>2020</c:v>
                  </c:pt>
                </c:lvl>
                <c:lvl>
                  <c:pt idx="0">
                    <c:v>TJ/år</c:v>
                  </c:pt>
                </c:lvl>
              </c:multiLvlStrCache>
            </c:multiLvlStrRef>
          </c:cat>
          <c:val>
            <c:numRef>
              <c:f>'Grafer-energi'!$C$954:$T$954</c:f>
              <c:numCache>
                <c:formatCode>#,##0</c:formatCode>
                <c:ptCount val="18"/>
                <c:pt idx="0">
                  <c:v>19.8</c:v>
                </c:pt>
                <c:pt idx="1">
                  <c:v>23.584000000000003</c:v>
                </c:pt>
                <c:pt idx="10">
                  <c:v>0</c:v>
                </c:pt>
                <c:pt idx="11">
                  <c:v>0</c:v>
                </c:pt>
                <c:pt idx="14">
                  <c:v>2.7119499999999999</c:v>
                </c:pt>
                <c:pt idx="15">
                  <c:v>2.5914999999999999</c:v>
                </c:pt>
                <c:pt idx="16">
                  <c:v>17.310154809999997</c:v>
                </c:pt>
                <c:pt idx="17">
                  <c:v>14.7681687</c:v>
                </c:pt>
              </c:numCache>
            </c:numRef>
          </c:val>
          <c:extLst>
            <c:ext xmlns:c16="http://schemas.microsoft.com/office/drawing/2014/chart" uri="{C3380CC4-5D6E-409C-BE32-E72D297353CC}">
              <c16:uniqueId val="{00000007-47E4-488B-BB2A-D374AA27ED9B}"/>
            </c:ext>
          </c:extLst>
        </c:ser>
        <c:ser>
          <c:idx val="13"/>
          <c:order val="7"/>
          <c:tx>
            <c:strRef>
              <c:f>'Grafer-energi'!$B$955</c:f>
              <c:strCache>
                <c:ptCount val="1"/>
                <c:pt idx="0">
                  <c:v>Benzin</c:v>
                </c:pt>
              </c:strCache>
            </c:strRef>
          </c:tx>
          <c:spPr>
            <a:solidFill>
              <a:schemeClr val="accent3">
                <a:lumMod val="60000"/>
                <a:lumOff val="40000"/>
              </a:schemeClr>
            </a:solidFill>
            <a:ln>
              <a:noFill/>
            </a:ln>
            <a:effectLst/>
          </c:spPr>
          <c:invertIfNegative val="0"/>
          <c:cat>
            <c:multiLvlStrRef>
              <c:f>'Grafer-energi'!$C$947:$T$949</c:f>
              <c:multiLvlStrCache>
                <c:ptCount val="18"/>
                <c:lvl>
                  <c:pt idx="0">
                    <c:v>Boliger og fritidshuse</c:v>
                  </c:pt>
                  <c:pt idx="1">
                    <c:v>Boliger og fritidshuse</c:v>
                  </c:pt>
                  <c:pt idx="2">
                    <c:v>Offentlig service</c:v>
                  </c:pt>
                  <c:pt idx="3">
                    <c:v>Offentlig service</c:v>
                  </c:pt>
                  <c:pt idx="4">
                    <c:v>Privat service</c:v>
                  </c:pt>
                  <c:pt idx="5">
                    <c:v>Privat service</c:v>
                  </c:pt>
                  <c:pt idx="6">
                    <c:v>Detail- og engroshandel</c:v>
                  </c:pt>
                  <c:pt idx="7">
                    <c:v>Detail- og engroshandel</c:v>
                  </c:pt>
                  <c:pt idx="8">
                    <c:v>Bygge- og anlægsvirksomhed</c:v>
                  </c:pt>
                  <c:pt idx="9">
                    <c:v>Bygge- og anlægsvirksomhed</c:v>
                  </c:pt>
                  <c:pt idx="10">
                    <c:v>Fremstillingsvirksomhed</c:v>
                  </c:pt>
                  <c:pt idx="11">
                    <c:v>Fremstillingsvirksomhed</c:v>
                  </c:pt>
                  <c:pt idx="12">
                    <c:v>Gartneri</c:v>
                  </c:pt>
                  <c:pt idx="13">
                    <c:v>Gartneri</c:v>
                  </c:pt>
                  <c:pt idx="14">
                    <c:v>Landbrug</c:v>
                  </c:pt>
                  <c:pt idx="15">
                    <c:v>Landbrug</c:v>
                  </c:pt>
                  <c:pt idx="16">
                    <c:v>Transport</c:v>
                  </c:pt>
                  <c:pt idx="17">
                    <c:v>Transport</c:v>
                  </c:pt>
                </c:lvl>
                <c:lvl>
                  <c:pt idx="0">
                    <c:v>2018</c:v>
                  </c:pt>
                  <c:pt idx="1">
                    <c:v>2020</c:v>
                  </c:pt>
                  <c:pt idx="2">
                    <c:v>2018</c:v>
                  </c:pt>
                  <c:pt idx="3">
                    <c:v>2020</c:v>
                  </c:pt>
                  <c:pt idx="4">
                    <c:v>2018</c:v>
                  </c:pt>
                  <c:pt idx="5">
                    <c:v>2020</c:v>
                  </c:pt>
                  <c:pt idx="6">
                    <c:v>2018</c:v>
                  </c:pt>
                  <c:pt idx="7">
                    <c:v>2020</c:v>
                  </c:pt>
                  <c:pt idx="8">
                    <c:v>2018</c:v>
                  </c:pt>
                  <c:pt idx="9">
                    <c:v>2020</c:v>
                  </c:pt>
                  <c:pt idx="10">
                    <c:v>2018</c:v>
                  </c:pt>
                  <c:pt idx="11">
                    <c:v>2020</c:v>
                  </c:pt>
                  <c:pt idx="12">
                    <c:v>2018</c:v>
                  </c:pt>
                  <c:pt idx="13">
                    <c:v>2020</c:v>
                  </c:pt>
                  <c:pt idx="14">
                    <c:v>2018</c:v>
                  </c:pt>
                  <c:pt idx="15">
                    <c:v>2020</c:v>
                  </c:pt>
                  <c:pt idx="16">
                    <c:v>2018</c:v>
                  </c:pt>
                  <c:pt idx="17">
                    <c:v>2020</c:v>
                  </c:pt>
                </c:lvl>
                <c:lvl>
                  <c:pt idx="0">
                    <c:v>TJ/år</c:v>
                  </c:pt>
                </c:lvl>
              </c:multiLvlStrCache>
            </c:multiLvlStrRef>
          </c:cat>
          <c:val>
            <c:numRef>
              <c:f>'Grafer-energi'!$C$955:$T$955</c:f>
              <c:numCache>
                <c:formatCode>#,##0</c:formatCode>
                <c:ptCount val="18"/>
                <c:pt idx="10">
                  <c:v>0</c:v>
                </c:pt>
                <c:pt idx="11">
                  <c:v>0</c:v>
                </c:pt>
                <c:pt idx="16">
                  <c:v>3.5921244000000008</c:v>
                </c:pt>
                <c:pt idx="17">
                  <c:v>3.2499813999999998</c:v>
                </c:pt>
              </c:numCache>
            </c:numRef>
          </c:val>
          <c:extLst>
            <c:ext xmlns:c16="http://schemas.microsoft.com/office/drawing/2014/chart" uri="{C3380CC4-5D6E-409C-BE32-E72D297353CC}">
              <c16:uniqueId val="{00000008-47E4-488B-BB2A-D374AA27ED9B}"/>
            </c:ext>
          </c:extLst>
        </c:ser>
        <c:ser>
          <c:idx val="10"/>
          <c:order val="8"/>
          <c:tx>
            <c:strRef>
              <c:f>'Grafer-energi'!$B$956</c:f>
              <c:strCache>
                <c:ptCount val="1"/>
                <c:pt idx="0">
                  <c:v>JP1</c:v>
                </c:pt>
              </c:strCache>
            </c:strRef>
          </c:tx>
          <c:spPr>
            <a:solidFill>
              <a:schemeClr val="accent3">
                <a:lumMod val="80000"/>
              </a:schemeClr>
            </a:solidFill>
            <a:ln>
              <a:noFill/>
            </a:ln>
            <a:effectLst/>
          </c:spPr>
          <c:invertIfNegative val="0"/>
          <c:cat>
            <c:multiLvlStrRef>
              <c:f>'Grafer-energi'!$C$947:$T$949</c:f>
              <c:multiLvlStrCache>
                <c:ptCount val="18"/>
                <c:lvl>
                  <c:pt idx="0">
                    <c:v>Boliger og fritidshuse</c:v>
                  </c:pt>
                  <c:pt idx="1">
                    <c:v>Boliger og fritidshuse</c:v>
                  </c:pt>
                  <c:pt idx="2">
                    <c:v>Offentlig service</c:v>
                  </c:pt>
                  <c:pt idx="3">
                    <c:v>Offentlig service</c:v>
                  </c:pt>
                  <c:pt idx="4">
                    <c:v>Privat service</c:v>
                  </c:pt>
                  <c:pt idx="5">
                    <c:v>Privat service</c:v>
                  </c:pt>
                  <c:pt idx="6">
                    <c:v>Detail- og engroshandel</c:v>
                  </c:pt>
                  <c:pt idx="7">
                    <c:v>Detail- og engroshandel</c:v>
                  </c:pt>
                  <c:pt idx="8">
                    <c:v>Bygge- og anlægsvirksomhed</c:v>
                  </c:pt>
                  <c:pt idx="9">
                    <c:v>Bygge- og anlægsvirksomhed</c:v>
                  </c:pt>
                  <c:pt idx="10">
                    <c:v>Fremstillingsvirksomhed</c:v>
                  </c:pt>
                  <c:pt idx="11">
                    <c:v>Fremstillingsvirksomhed</c:v>
                  </c:pt>
                  <c:pt idx="12">
                    <c:v>Gartneri</c:v>
                  </c:pt>
                  <c:pt idx="13">
                    <c:v>Gartneri</c:v>
                  </c:pt>
                  <c:pt idx="14">
                    <c:v>Landbrug</c:v>
                  </c:pt>
                  <c:pt idx="15">
                    <c:v>Landbrug</c:v>
                  </c:pt>
                  <c:pt idx="16">
                    <c:v>Transport</c:v>
                  </c:pt>
                  <c:pt idx="17">
                    <c:v>Transport</c:v>
                  </c:pt>
                </c:lvl>
                <c:lvl>
                  <c:pt idx="0">
                    <c:v>2018</c:v>
                  </c:pt>
                  <c:pt idx="1">
                    <c:v>2020</c:v>
                  </c:pt>
                  <c:pt idx="2">
                    <c:v>2018</c:v>
                  </c:pt>
                  <c:pt idx="3">
                    <c:v>2020</c:v>
                  </c:pt>
                  <c:pt idx="4">
                    <c:v>2018</c:v>
                  </c:pt>
                  <c:pt idx="5">
                    <c:v>2020</c:v>
                  </c:pt>
                  <c:pt idx="6">
                    <c:v>2018</c:v>
                  </c:pt>
                  <c:pt idx="7">
                    <c:v>2020</c:v>
                  </c:pt>
                  <c:pt idx="8">
                    <c:v>2018</c:v>
                  </c:pt>
                  <c:pt idx="9">
                    <c:v>2020</c:v>
                  </c:pt>
                  <c:pt idx="10">
                    <c:v>2018</c:v>
                  </c:pt>
                  <c:pt idx="11">
                    <c:v>2020</c:v>
                  </c:pt>
                  <c:pt idx="12">
                    <c:v>2018</c:v>
                  </c:pt>
                  <c:pt idx="13">
                    <c:v>2020</c:v>
                  </c:pt>
                  <c:pt idx="14">
                    <c:v>2018</c:v>
                  </c:pt>
                  <c:pt idx="15">
                    <c:v>2020</c:v>
                  </c:pt>
                  <c:pt idx="16">
                    <c:v>2018</c:v>
                  </c:pt>
                  <c:pt idx="17">
                    <c:v>2020</c:v>
                  </c:pt>
                </c:lvl>
                <c:lvl>
                  <c:pt idx="0">
                    <c:v>TJ/år</c:v>
                  </c:pt>
                </c:lvl>
              </c:multiLvlStrCache>
            </c:multiLvlStrRef>
          </c:cat>
          <c:val>
            <c:numRef>
              <c:f>'Grafer-energi'!$C$956:$T$956</c:f>
              <c:numCache>
                <c:formatCode>#,##0</c:formatCode>
                <c:ptCount val="18"/>
                <c:pt idx="16">
                  <c:v>1.8873000000000002</c:v>
                </c:pt>
                <c:pt idx="17">
                  <c:v>0.66825000000000001</c:v>
                </c:pt>
              </c:numCache>
            </c:numRef>
          </c:val>
          <c:extLst>
            <c:ext xmlns:c16="http://schemas.microsoft.com/office/drawing/2014/chart" uri="{C3380CC4-5D6E-409C-BE32-E72D297353CC}">
              <c16:uniqueId val="{00000009-47E4-488B-BB2A-D374AA27ED9B}"/>
            </c:ext>
          </c:extLst>
        </c:ser>
        <c:ser>
          <c:idx val="11"/>
          <c:order val="9"/>
          <c:tx>
            <c:strRef>
              <c:f>'Grafer-energi'!$B$957</c:f>
              <c:strCache>
                <c:ptCount val="1"/>
                <c:pt idx="0">
                  <c:v>Affald, ikke bionedbrydeligt</c:v>
                </c:pt>
              </c:strCache>
            </c:strRef>
          </c:tx>
          <c:spPr>
            <a:solidFill>
              <a:schemeClr val="accent5">
                <a:lumMod val="80000"/>
              </a:schemeClr>
            </a:solidFill>
            <a:ln>
              <a:noFill/>
            </a:ln>
            <a:effectLst/>
          </c:spPr>
          <c:invertIfNegative val="0"/>
          <c:cat>
            <c:multiLvlStrRef>
              <c:f>'Grafer-energi'!$C$947:$T$949</c:f>
              <c:multiLvlStrCache>
                <c:ptCount val="18"/>
                <c:lvl>
                  <c:pt idx="0">
                    <c:v>Boliger og fritidshuse</c:v>
                  </c:pt>
                  <c:pt idx="1">
                    <c:v>Boliger og fritidshuse</c:v>
                  </c:pt>
                  <c:pt idx="2">
                    <c:v>Offentlig service</c:v>
                  </c:pt>
                  <c:pt idx="3">
                    <c:v>Offentlig service</c:v>
                  </c:pt>
                  <c:pt idx="4">
                    <c:v>Privat service</c:v>
                  </c:pt>
                  <c:pt idx="5">
                    <c:v>Privat service</c:v>
                  </c:pt>
                  <c:pt idx="6">
                    <c:v>Detail- og engroshandel</c:v>
                  </c:pt>
                  <c:pt idx="7">
                    <c:v>Detail- og engroshandel</c:v>
                  </c:pt>
                  <c:pt idx="8">
                    <c:v>Bygge- og anlægsvirksomhed</c:v>
                  </c:pt>
                  <c:pt idx="9">
                    <c:v>Bygge- og anlægsvirksomhed</c:v>
                  </c:pt>
                  <c:pt idx="10">
                    <c:v>Fremstillingsvirksomhed</c:v>
                  </c:pt>
                  <c:pt idx="11">
                    <c:v>Fremstillingsvirksomhed</c:v>
                  </c:pt>
                  <c:pt idx="12">
                    <c:v>Gartneri</c:v>
                  </c:pt>
                  <c:pt idx="13">
                    <c:v>Gartneri</c:v>
                  </c:pt>
                  <c:pt idx="14">
                    <c:v>Landbrug</c:v>
                  </c:pt>
                  <c:pt idx="15">
                    <c:v>Landbrug</c:v>
                  </c:pt>
                  <c:pt idx="16">
                    <c:v>Transport</c:v>
                  </c:pt>
                  <c:pt idx="17">
                    <c:v>Transport</c:v>
                  </c:pt>
                </c:lvl>
                <c:lvl>
                  <c:pt idx="0">
                    <c:v>2018</c:v>
                  </c:pt>
                  <c:pt idx="1">
                    <c:v>2020</c:v>
                  </c:pt>
                  <c:pt idx="2">
                    <c:v>2018</c:v>
                  </c:pt>
                  <c:pt idx="3">
                    <c:v>2020</c:v>
                  </c:pt>
                  <c:pt idx="4">
                    <c:v>2018</c:v>
                  </c:pt>
                  <c:pt idx="5">
                    <c:v>2020</c:v>
                  </c:pt>
                  <c:pt idx="6">
                    <c:v>2018</c:v>
                  </c:pt>
                  <c:pt idx="7">
                    <c:v>2020</c:v>
                  </c:pt>
                  <c:pt idx="8">
                    <c:v>2018</c:v>
                  </c:pt>
                  <c:pt idx="9">
                    <c:v>2020</c:v>
                  </c:pt>
                  <c:pt idx="10">
                    <c:v>2018</c:v>
                  </c:pt>
                  <c:pt idx="11">
                    <c:v>2020</c:v>
                  </c:pt>
                  <c:pt idx="12">
                    <c:v>2018</c:v>
                  </c:pt>
                  <c:pt idx="13">
                    <c:v>2020</c:v>
                  </c:pt>
                  <c:pt idx="14">
                    <c:v>2018</c:v>
                  </c:pt>
                  <c:pt idx="15">
                    <c:v>2020</c:v>
                  </c:pt>
                  <c:pt idx="16">
                    <c:v>2018</c:v>
                  </c:pt>
                  <c:pt idx="17">
                    <c:v>2020</c:v>
                  </c:pt>
                </c:lvl>
                <c:lvl>
                  <c:pt idx="0">
                    <c:v>TJ/år</c:v>
                  </c:pt>
                </c:lvl>
              </c:multiLvlStrCache>
            </c:multiLvlStrRef>
          </c:cat>
          <c:val>
            <c:numRef>
              <c:f>'Grafer-energi'!$C$957:$T$957</c:f>
              <c:numCache>
                <c:formatCode>#,##0</c:formatCode>
                <c:ptCount val="18"/>
                <c:pt idx="10">
                  <c:v>0</c:v>
                </c:pt>
                <c:pt idx="11">
                  <c:v>0</c:v>
                </c:pt>
              </c:numCache>
            </c:numRef>
          </c:val>
          <c:extLst>
            <c:ext xmlns:c16="http://schemas.microsoft.com/office/drawing/2014/chart" uri="{C3380CC4-5D6E-409C-BE32-E72D297353CC}">
              <c16:uniqueId val="{0000000A-47E4-488B-BB2A-D374AA27ED9B}"/>
            </c:ext>
          </c:extLst>
        </c:ser>
        <c:ser>
          <c:idx val="12"/>
          <c:order val="10"/>
          <c:tx>
            <c:strRef>
              <c:f>'Grafer-energi'!$B$958</c:f>
              <c:strCache>
                <c:ptCount val="1"/>
                <c:pt idx="0">
                  <c:v>Biobrændstof</c:v>
                </c:pt>
              </c:strCache>
            </c:strRef>
          </c:tx>
          <c:spPr>
            <a:solidFill>
              <a:schemeClr val="accent1">
                <a:lumMod val="60000"/>
                <a:lumOff val="40000"/>
              </a:schemeClr>
            </a:solidFill>
            <a:ln>
              <a:noFill/>
            </a:ln>
            <a:effectLst/>
          </c:spPr>
          <c:invertIfNegative val="0"/>
          <c:cat>
            <c:multiLvlStrRef>
              <c:f>'Grafer-energi'!$C$947:$T$949</c:f>
              <c:multiLvlStrCache>
                <c:ptCount val="18"/>
                <c:lvl>
                  <c:pt idx="0">
                    <c:v>Boliger og fritidshuse</c:v>
                  </c:pt>
                  <c:pt idx="1">
                    <c:v>Boliger og fritidshuse</c:v>
                  </c:pt>
                  <c:pt idx="2">
                    <c:v>Offentlig service</c:v>
                  </c:pt>
                  <c:pt idx="3">
                    <c:v>Offentlig service</c:v>
                  </c:pt>
                  <c:pt idx="4">
                    <c:v>Privat service</c:v>
                  </c:pt>
                  <c:pt idx="5">
                    <c:v>Privat service</c:v>
                  </c:pt>
                  <c:pt idx="6">
                    <c:v>Detail- og engroshandel</c:v>
                  </c:pt>
                  <c:pt idx="7">
                    <c:v>Detail- og engroshandel</c:v>
                  </c:pt>
                  <c:pt idx="8">
                    <c:v>Bygge- og anlægsvirksomhed</c:v>
                  </c:pt>
                  <c:pt idx="9">
                    <c:v>Bygge- og anlægsvirksomhed</c:v>
                  </c:pt>
                  <c:pt idx="10">
                    <c:v>Fremstillingsvirksomhed</c:v>
                  </c:pt>
                  <c:pt idx="11">
                    <c:v>Fremstillingsvirksomhed</c:v>
                  </c:pt>
                  <c:pt idx="12">
                    <c:v>Gartneri</c:v>
                  </c:pt>
                  <c:pt idx="13">
                    <c:v>Gartneri</c:v>
                  </c:pt>
                  <c:pt idx="14">
                    <c:v>Landbrug</c:v>
                  </c:pt>
                  <c:pt idx="15">
                    <c:v>Landbrug</c:v>
                  </c:pt>
                  <c:pt idx="16">
                    <c:v>Transport</c:v>
                  </c:pt>
                  <c:pt idx="17">
                    <c:v>Transport</c:v>
                  </c:pt>
                </c:lvl>
                <c:lvl>
                  <c:pt idx="0">
                    <c:v>2018</c:v>
                  </c:pt>
                  <c:pt idx="1">
                    <c:v>2020</c:v>
                  </c:pt>
                  <c:pt idx="2">
                    <c:v>2018</c:v>
                  </c:pt>
                  <c:pt idx="3">
                    <c:v>2020</c:v>
                  </c:pt>
                  <c:pt idx="4">
                    <c:v>2018</c:v>
                  </c:pt>
                  <c:pt idx="5">
                    <c:v>2020</c:v>
                  </c:pt>
                  <c:pt idx="6">
                    <c:v>2018</c:v>
                  </c:pt>
                  <c:pt idx="7">
                    <c:v>2020</c:v>
                  </c:pt>
                  <c:pt idx="8">
                    <c:v>2018</c:v>
                  </c:pt>
                  <c:pt idx="9">
                    <c:v>2020</c:v>
                  </c:pt>
                  <c:pt idx="10">
                    <c:v>2018</c:v>
                  </c:pt>
                  <c:pt idx="11">
                    <c:v>2020</c:v>
                  </c:pt>
                  <c:pt idx="12">
                    <c:v>2018</c:v>
                  </c:pt>
                  <c:pt idx="13">
                    <c:v>2020</c:v>
                  </c:pt>
                  <c:pt idx="14">
                    <c:v>2018</c:v>
                  </c:pt>
                  <c:pt idx="15">
                    <c:v>2020</c:v>
                  </c:pt>
                  <c:pt idx="16">
                    <c:v>2018</c:v>
                  </c:pt>
                  <c:pt idx="17">
                    <c:v>2020</c:v>
                  </c:pt>
                </c:lvl>
                <c:lvl>
                  <c:pt idx="0">
                    <c:v>TJ/år</c:v>
                  </c:pt>
                </c:lvl>
              </c:multiLvlStrCache>
            </c:multiLvlStrRef>
          </c:cat>
          <c:val>
            <c:numRef>
              <c:f>'Grafer-energi'!$C$958:$T$958</c:f>
              <c:numCache>
                <c:formatCode>#,##0</c:formatCode>
                <c:ptCount val="18"/>
                <c:pt idx="14">
                  <c:v>0</c:v>
                </c:pt>
                <c:pt idx="15">
                  <c:v>0</c:v>
                </c:pt>
                <c:pt idx="16">
                  <c:v>0.76461579000000013</c:v>
                </c:pt>
                <c:pt idx="17">
                  <c:v>1.3733499000000002</c:v>
                </c:pt>
              </c:numCache>
            </c:numRef>
          </c:val>
          <c:extLst>
            <c:ext xmlns:c16="http://schemas.microsoft.com/office/drawing/2014/chart" uri="{C3380CC4-5D6E-409C-BE32-E72D297353CC}">
              <c16:uniqueId val="{0000000B-47E4-488B-BB2A-D374AA27ED9B}"/>
            </c:ext>
          </c:extLst>
        </c:ser>
        <c:ser>
          <c:idx val="1"/>
          <c:order val="11"/>
          <c:tx>
            <c:strRef>
              <c:f>'Grafer-energi'!$B$959</c:f>
              <c:strCache>
                <c:ptCount val="1"/>
                <c:pt idx="0">
                  <c:v>Biomasse</c:v>
                </c:pt>
              </c:strCache>
            </c:strRef>
          </c:tx>
          <c:spPr>
            <a:solidFill>
              <a:schemeClr val="accent3"/>
            </a:solidFill>
            <a:ln>
              <a:noFill/>
            </a:ln>
            <a:effectLst/>
          </c:spPr>
          <c:invertIfNegative val="0"/>
          <c:cat>
            <c:multiLvlStrRef>
              <c:f>'Grafer-energi'!$C$947:$T$949</c:f>
              <c:multiLvlStrCache>
                <c:ptCount val="18"/>
                <c:lvl>
                  <c:pt idx="0">
                    <c:v>Boliger og fritidshuse</c:v>
                  </c:pt>
                  <c:pt idx="1">
                    <c:v>Boliger og fritidshuse</c:v>
                  </c:pt>
                  <c:pt idx="2">
                    <c:v>Offentlig service</c:v>
                  </c:pt>
                  <c:pt idx="3">
                    <c:v>Offentlig service</c:v>
                  </c:pt>
                  <c:pt idx="4">
                    <c:v>Privat service</c:v>
                  </c:pt>
                  <c:pt idx="5">
                    <c:v>Privat service</c:v>
                  </c:pt>
                  <c:pt idx="6">
                    <c:v>Detail- og engroshandel</c:v>
                  </c:pt>
                  <c:pt idx="7">
                    <c:v>Detail- og engroshandel</c:v>
                  </c:pt>
                  <c:pt idx="8">
                    <c:v>Bygge- og anlægsvirksomhed</c:v>
                  </c:pt>
                  <c:pt idx="9">
                    <c:v>Bygge- og anlægsvirksomhed</c:v>
                  </c:pt>
                  <c:pt idx="10">
                    <c:v>Fremstillingsvirksomhed</c:v>
                  </c:pt>
                  <c:pt idx="11">
                    <c:v>Fremstillingsvirksomhed</c:v>
                  </c:pt>
                  <c:pt idx="12">
                    <c:v>Gartneri</c:v>
                  </c:pt>
                  <c:pt idx="13">
                    <c:v>Gartneri</c:v>
                  </c:pt>
                  <c:pt idx="14">
                    <c:v>Landbrug</c:v>
                  </c:pt>
                  <c:pt idx="15">
                    <c:v>Landbrug</c:v>
                  </c:pt>
                  <c:pt idx="16">
                    <c:v>Transport</c:v>
                  </c:pt>
                  <c:pt idx="17">
                    <c:v>Transport</c:v>
                  </c:pt>
                </c:lvl>
                <c:lvl>
                  <c:pt idx="0">
                    <c:v>2018</c:v>
                  </c:pt>
                  <c:pt idx="1">
                    <c:v>2020</c:v>
                  </c:pt>
                  <c:pt idx="2">
                    <c:v>2018</c:v>
                  </c:pt>
                  <c:pt idx="3">
                    <c:v>2020</c:v>
                  </c:pt>
                  <c:pt idx="4">
                    <c:v>2018</c:v>
                  </c:pt>
                  <c:pt idx="5">
                    <c:v>2020</c:v>
                  </c:pt>
                  <c:pt idx="6">
                    <c:v>2018</c:v>
                  </c:pt>
                  <c:pt idx="7">
                    <c:v>2020</c:v>
                  </c:pt>
                  <c:pt idx="8">
                    <c:v>2018</c:v>
                  </c:pt>
                  <c:pt idx="9">
                    <c:v>2020</c:v>
                  </c:pt>
                  <c:pt idx="10">
                    <c:v>2018</c:v>
                  </c:pt>
                  <c:pt idx="11">
                    <c:v>2020</c:v>
                  </c:pt>
                  <c:pt idx="12">
                    <c:v>2018</c:v>
                  </c:pt>
                  <c:pt idx="13">
                    <c:v>2020</c:v>
                  </c:pt>
                  <c:pt idx="14">
                    <c:v>2018</c:v>
                  </c:pt>
                  <c:pt idx="15">
                    <c:v>2020</c:v>
                  </c:pt>
                  <c:pt idx="16">
                    <c:v>2018</c:v>
                  </c:pt>
                  <c:pt idx="17">
                    <c:v>2020</c:v>
                  </c:pt>
                </c:lvl>
                <c:lvl>
                  <c:pt idx="0">
                    <c:v>TJ/år</c:v>
                  </c:pt>
                </c:lvl>
              </c:multiLvlStrCache>
            </c:multiLvlStrRef>
          </c:cat>
          <c:val>
            <c:numRef>
              <c:f>'Grafer-energi'!$C$959:$T$959</c:f>
              <c:numCache>
                <c:formatCode>#,##0</c:formatCode>
                <c:ptCount val="18"/>
                <c:pt idx="0">
                  <c:v>24.236499999999999</c:v>
                </c:pt>
                <c:pt idx="1">
                  <c:v>51.625000000000007</c:v>
                </c:pt>
                <c:pt idx="10">
                  <c:v>9</c:v>
                </c:pt>
                <c:pt idx="11">
                  <c:v>9</c:v>
                </c:pt>
              </c:numCache>
            </c:numRef>
          </c:val>
          <c:extLst>
            <c:ext xmlns:c16="http://schemas.microsoft.com/office/drawing/2014/chart" uri="{C3380CC4-5D6E-409C-BE32-E72D297353CC}">
              <c16:uniqueId val="{0000000C-47E4-488B-BB2A-D374AA27ED9B}"/>
            </c:ext>
          </c:extLst>
        </c:ser>
        <c:ser>
          <c:idx val="0"/>
          <c:order val="12"/>
          <c:tx>
            <c:strRef>
              <c:f>'Grafer-energi'!$B$960</c:f>
              <c:strCache>
                <c:ptCount val="1"/>
                <c:pt idx="0">
                  <c:v>Fjernvarme</c:v>
                </c:pt>
              </c:strCache>
            </c:strRef>
          </c:tx>
          <c:spPr>
            <a:solidFill>
              <a:schemeClr val="accent1"/>
            </a:solidFill>
            <a:ln>
              <a:noFill/>
            </a:ln>
            <a:effectLst/>
          </c:spPr>
          <c:invertIfNegative val="0"/>
          <c:cat>
            <c:multiLvlStrRef>
              <c:f>'Grafer-energi'!$C$947:$T$949</c:f>
              <c:multiLvlStrCache>
                <c:ptCount val="18"/>
                <c:lvl>
                  <c:pt idx="0">
                    <c:v>Boliger og fritidshuse</c:v>
                  </c:pt>
                  <c:pt idx="1">
                    <c:v>Boliger og fritidshuse</c:v>
                  </c:pt>
                  <c:pt idx="2">
                    <c:v>Offentlig service</c:v>
                  </c:pt>
                  <c:pt idx="3">
                    <c:v>Offentlig service</c:v>
                  </c:pt>
                  <c:pt idx="4">
                    <c:v>Privat service</c:v>
                  </c:pt>
                  <c:pt idx="5">
                    <c:v>Privat service</c:v>
                  </c:pt>
                  <c:pt idx="6">
                    <c:v>Detail- og engroshandel</c:v>
                  </c:pt>
                  <c:pt idx="7">
                    <c:v>Detail- og engroshandel</c:v>
                  </c:pt>
                  <c:pt idx="8">
                    <c:v>Bygge- og anlægsvirksomhed</c:v>
                  </c:pt>
                  <c:pt idx="9">
                    <c:v>Bygge- og anlægsvirksomhed</c:v>
                  </c:pt>
                  <c:pt idx="10">
                    <c:v>Fremstillingsvirksomhed</c:v>
                  </c:pt>
                  <c:pt idx="11">
                    <c:v>Fremstillingsvirksomhed</c:v>
                  </c:pt>
                  <c:pt idx="12">
                    <c:v>Gartneri</c:v>
                  </c:pt>
                  <c:pt idx="13">
                    <c:v>Gartneri</c:v>
                  </c:pt>
                  <c:pt idx="14">
                    <c:v>Landbrug</c:v>
                  </c:pt>
                  <c:pt idx="15">
                    <c:v>Landbrug</c:v>
                  </c:pt>
                  <c:pt idx="16">
                    <c:v>Transport</c:v>
                  </c:pt>
                  <c:pt idx="17">
                    <c:v>Transport</c:v>
                  </c:pt>
                </c:lvl>
                <c:lvl>
                  <c:pt idx="0">
                    <c:v>2018</c:v>
                  </c:pt>
                  <c:pt idx="1">
                    <c:v>2020</c:v>
                  </c:pt>
                  <c:pt idx="2">
                    <c:v>2018</c:v>
                  </c:pt>
                  <c:pt idx="3">
                    <c:v>2020</c:v>
                  </c:pt>
                  <c:pt idx="4">
                    <c:v>2018</c:v>
                  </c:pt>
                  <c:pt idx="5">
                    <c:v>2020</c:v>
                  </c:pt>
                  <c:pt idx="6">
                    <c:v>2018</c:v>
                  </c:pt>
                  <c:pt idx="7">
                    <c:v>2020</c:v>
                  </c:pt>
                  <c:pt idx="8">
                    <c:v>2018</c:v>
                  </c:pt>
                  <c:pt idx="9">
                    <c:v>2020</c:v>
                  </c:pt>
                  <c:pt idx="10">
                    <c:v>2018</c:v>
                  </c:pt>
                  <c:pt idx="11">
                    <c:v>2020</c:v>
                  </c:pt>
                  <c:pt idx="12">
                    <c:v>2018</c:v>
                  </c:pt>
                  <c:pt idx="13">
                    <c:v>2020</c:v>
                  </c:pt>
                  <c:pt idx="14">
                    <c:v>2018</c:v>
                  </c:pt>
                  <c:pt idx="15">
                    <c:v>2020</c:v>
                  </c:pt>
                  <c:pt idx="16">
                    <c:v>2018</c:v>
                  </c:pt>
                  <c:pt idx="17">
                    <c:v>2020</c:v>
                  </c:pt>
                </c:lvl>
                <c:lvl>
                  <c:pt idx="0">
                    <c:v>TJ/år</c:v>
                  </c:pt>
                </c:lvl>
              </c:multiLvlStrCache>
            </c:multiLvlStrRef>
          </c:cat>
          <c:val>
            <c:numRef>
              <c:f>'Grafer-energi'!$C$960:$T$960</c:f>
              <c:numCache>
                <c:formatCode>#,##0</c:formatCode>
                <c:ptCount val="18"/>
                <c:pt idx="0">
                  <c:v>10.489794000000003</c:v>
                </c:pt>
                <c:pt idx="1">
                  <c:v>9.8641949139359983</c:v>
                </c:pt>
                <c:pt idx="2">
                  <c:v>1.5962730000000007</c:v>
                </c:pt>
                <c:pt idx="3">
                  <c:v>1.4895086310719998</c:v>
                </c:pt>
                <c:pt idx="4">
                  <c:v>2.1337935000000008</c:v>
                </c:pt>
                <c:pt idx="5">
                  <c:v>2.0062769316479998</c:v>
                </c:pt>
                <c:pt idx="6">
                  <c:v>1.1239065000000006</c:v>
                </c:pt>
                <c:pt idx="7">
                  <c:v>1.06393473648</c:v>
                </c:pt>
                <c:pt idx="8">
                  <c:v>0</c:v>
                </c:pt>
                <c:pt idx="9">
                  <c:v>0</c:v>
                </c:pt>
                <c:pt idx="10">
                  <c:v>0.70040550000000024</c:v>
                </c:pt>
                <c:pt idx="11">
                  <c:v>0.54716643590399994</c:v>
                </c:pt>
                <c:pt idx="12">
                  <c:v>0.24432750000000009</c:v>
                </c:pt>
                <c:pt idx="13">
                  <c:v>0.22798601495999996</c:v>
                </c:pt>
                <c:pt idx="14">
                  <c:v>0</c:v>
                </c:pt>
                <c:pt idx="15">
                  <c:v>0</c:v>
                </c:pt>
              </c:numCache>
            </c:numRef>
          </c:val>
          <c:extLst>
            <c:ext xmlns:c16="http://schemas.microsoft.com/office/drawing/2014/chart" uri="{C3380CC4-5D6E-409C-BE32-E72D297353CC}">
              <c16:uniqueId val="{0000000D-47E4-488B-BB2A-D374AA27ED9B}"/>
            </c:ext>
          </c:extLst>
        </c:ser>
        <c:ser>
          <c:idx val="14"/>
          <c:order val="13"/>
          <c:tx>
            <c:strRef>
              <c:f>'Grafer-energi'!$B$961</c:f>
              <c:strCache>
                <c:ptCount val="1"/>
                <c:pt idx="0">
                  <c:v>Procesvarme fra KV-produktion</c:v>
                </c:pt>
              </c:strCache>
            </c:strRef>
          </c:tx>
          <c:spPr>
            <a:solidFill>
              <a:schemeClr val="accent5">
                <a:lumMod val="60000"/>
                <a:lumOff val="40000"/>
              </a:schemeClr>
            </a:solidFill>
            <a:ln>
              <a:noFill/>
            </a:ln>
            <a:effectLst/>
          </c:spPr>
          <c:invertIfNegative val="0"/>
          <c:cat>
            <c:multiLvlStrRef>
              <c:f>'Grafer-energi'!$C$947:$T$949</c:f>
              <c:multiLvlStrCache>
                <c:ptCount val="18"/>
                <c:lvl>
                  <c:pt idx="0">
                    <c:v>Boliger og fritidshuse</c:v>
                  </c:pt>
                  <c:pt idx="1">
                    <c:v>Boliger og fritidshuse</c:v>
                  </c:pt>
                  <c:pt idx="2">
                    <c:v>Offentlig service</c:v>
                  </c:pt>
                  <c:pt idx="3">
                    <c:v>Offentlig service</c:v>
                  </c:pt>
                  <c:pt idx="4">
                    <c:v>Privat service</c:v>
                  </c:pt>
                  <c:pt idx="5">
                    <c:v>Privat service</c:v>
                  </c:pt>
                  <c:pt idx="6">
                    <c:v>Detail- og engroshandel</c:v>
                  </c:pt>
                  <c:pt idx="7">
                    <c:v>Detail- og engroshandel</c:v>
                  </c:pt>
                  <c:pt idx="8">
                    <c:v>Bygge- og anlægsvirksomhed</c:v>
                  </c:pt>
                  <c:pt idx="9">
                    <c:v>Bygge- og anlægsvirksomhed</c:v>
                  </c:pt>
                  <c:pt idx="10">
                    <c:v>Fremstillingsvirksomhed</c:v>
                  </c:pt>
                  <c:pt idx="11">
                    <c:v>Fremstillingsvirksomhed</c:v>
                  </c:pt>
                  <c:pt idx="12">
                    <c:v>Gartneri</c:v>
                  </c:pt>
                  <c:pt idx="13">
                    <c:v>Gartneri</c:v>
                  </c:pt>
                  <c:pt idx="14">
                    <c:v>Landbrug</c:v>
                  </c:pt>
                  <c:pt idx="15">
                    <c:v>Landbrug</c:v>
                  </c:pt>
                  <c:pt idx="16">
                    <c:v>Transport</c:v>
                  </c:pt>
                  <c:pt idx="17">
                    <c:v>Transport</c:v>
                  </c:pt>
                </c:lvl>
                <c:lvl>
                  <c:pt idx="0">
                    <c:v>2018</c:v>
                  </c:pt>
                  <c:pt idx="1">
                    <c:v>2020</c:v>
                  </c:pt>
                  <c:pt idx="2">
                    <c:v>2018</c:v>
                  </c:pt>
                  <c:pt idx="3">
                    <c:v>2020</c:v>
                  </c:pt>
                  <c:pt idx="4">
                    <c:v>2018</c:v>
                  </c:pt>
                  <c:pt idx="5">
                    <c:v>2020</c:v>
                  </c:pt>
                  <c:pt idx="6">
                    <c:v>2018</c:v>
                  </c:pt>
                  <c:pt idx="7">
                    <c:v>2020</c:v>
                  </c:pt>
                  <c:pt idx="8">
                    <c:v>2018</c:v>
                  </c:pt>
                  <c:pt idx="9">
                    <c:v>2020</c:v>
                  </c:pt>
                  <c:pt idx="10">
                    <c:v>2018</c:v>
                  </c:pt>
                  <c:pt idx="11">
                    <c:v>2020</c:v>
                  </c:pt>
                  <c:pt idx="12">
                    <c:v>2018</c:v>
                  </c:pt>
                  <c:pt idx="13">
                    <c:v>2020</c:v>
                  </c:pt>
                  <c:pt idx="14">
                    <c:v>2018</c:v>
                  </c:pt>
                  <c:pt idx="15">
                    <c:v>2020</c:v>
                  </c:pt>
                  <c:pt idx="16">
                    <c:v>2018</c:v>
                  </c:pt>
                  <c:pt idx="17">
                    <c:v>2020</c:v>
                  </c:pt>
                </c:lvl>
                <c:lvl>
                  <c:pt idx="0">
                    <c:v>TJ/år</c:v>
                  </c:pt>
                </c:lvl>
              </c:multiLvlStrCache>
            </c:multiLvlStrRef>
          </c:cat>
          <c:val>
            <c:numRef>
              <c:f>'Grafer-energi'!$C$961:$T$961</c:f>
              <c:numCache>
                <c:formatCode>#,##0</c:formatCode>
                <c:ptCount val="18"/>
                <c:pt idx="10">
                  <c:v>0</c:v>
                </c:pt>
                <c:pt idx="11">
                  <c:v>0</c:v>
                </c:pt>
              </c:numCache>
            </c:numRef>
          </c:val>
          <c:extLst>
            <c:ext xmlns:c16="http://schemas.microsoft.com/office/drawing/2014/chart" uri="{C3380CC4-5D6E-409C-BE32-E72D297353CC}">
              <c16:uniqueId val="{00000000-C05D-4A08-A246-02157883DF7A}"/>
            </c:ext>
          </c:extLst>
        </c:ser>
        <c:ser>
          <c:idx val="15"/>
          <c:order val="14"/>
          <c:tx>
            <c:strRef>
              <c:f>'Grafer-energi'!$B$962</c:f>
              <c:strCache>
                <c:ptCount val="1"/>
                <c:pt idx="0">
                  <c:v>Biogas</c:v>
                </c:pt>
              </c:strCache>
            </c:strRef>
          </c:tx>
          <c:spPr>
            <a:solidFill>
              <a:schemeClr val="accent1">
                <a:lumMod val="50000"/>
              </a:schemeClr>
            </a:solidFill>
            <a:ln>
              <a:noFill/>
            </a:ln>
            <a:effectLst/>
          </c:spPr>
          <c:invertIfNegative val="0"/>
          <c:cat>
            <c:multiLvlStrRef>
              <c:f>'Grafer-energi'!$C$947:$T$949</c:f>
              <c:multiLvlStrCache>
                <c:ptCount val="18"/>
                <c:lvl>
                  <c:pt idx="0">
                    <c:v>Boliger og fritidshuse</c:v>
                  </c:pt>
                  <c:pt idx="1">
                    <c:v>Boliger og fritidshuse</c:v>
                  </c:pt>
                  <c:pt idx="2">
                    <c:v>Offentlig service</c:v>
                  </c:pt>
                  <c:pt idx="3">
                    <c:v>Offentlig service</c:v>
                  </c:pt>
                  <c:pt idx="4">
                    <c:v>Privat service</c:v>
                  </c:pt>
                  <c:pt idx="5">
                    <c:v>Privat service</c:v>
                  </c:pt>
                  <c:pt idx="6">
                    <c:v>Detail- og engroshandel</c:v>
                  </c:pt>
                  <c:pt idx="7">
                    <c:v>Detail- og engroshandel</c:v>
                  </c:pt>
                  <c:pt idx="8">
                    <c:v>Bygge- og anlægsvirksomhed</c:v>
                  </c:pt>
                  <c:pt idx="9">
                    <c:v>Bygge- og anlægsvirksomhed</c:v>
                  </c:pt>
                  <c:pt idx="10">
                    <c:v>Fremstillingsvirksomhed</c:v>
                  </c:pt>
                  <c:pt idx="11">
                    <c:v>Fremstillingsvirksomhed</c:v>
                  </c:pt>
                  <c:pt idx="12">
                    <c:v>Gartneri</c:v>
                  </c:pt>
                  <c:pt idx="13">
                    <c:v>Gartneri</c:v>
                  </c:pt>
                  <c:pt idx="14">
                    <c:v>Landbrug</c:v>
                  </c:pt>
                  <c:pt idx="15">
                    <c:v>Landbrug</c:v>
                  </c:pt>
                  <c:pt idx="16">
                    <c:v>Transport</c:v>
                  </c:pt>
                  <c:pt idx="17">
                    <c:v>Transport</c:v>
                  </c:pt>
                </c:lvl>
                <c:lvl>
                  <c:pt idx="0">
                    <c:v>2018</c:v>
                  </c:pt>
                  <c:pt idx="1">
                    <c:v>2020</c:v>
                  </c:pt>
                  <c:pt idx="2">
                    <c:v>2018</c:v>
                  </c:pt>
                  <c:pt idx="3">
                    <c:v>2020</c:v>
                  </c:pt>
                  <c:pt idx="4">
                    <c:v>2018</c:v>
                  </c:pt>
                  <c:pt idx="5">
                    <c:v>2020</c:v>
                  </c:pt>
                  <c:pt idx="6">
                    <c:v>2018</c:v>
                  </c:pt>
                  <c:pt idx="7">
                    <c:v>2020</c:v>
                  </c:pt>
                  <c:pt idx="8">
                    <c:v>2018</c:v>
                  </c:pt>
                  <c:pt idx="9">
                    <c:v>2020</c:v>
                  </c:pt>
                  <c:pt idx="10">
                    <c:v>2018</c:v>
                  </c:pt>
                  <c:pt idx="11">
                    <c:v>2020</c:v>
                  </c:pt>
                  <c:pt idx="12">
                    <c:v>2018</c:v>
                  </c:pt>
                  <c:pt idx="13">
                    <c:v>2020</c:v>
                  </c:pt>
                  <c:pt idx="14">
                    <c:v>2018</c:v>
                  </c:pt>
                  <c:pt idx="15">
                    <c:v>2020</c:v>
                  </c:pt>
                  <c:pt idx="16">
                    <c:v>2018</c:v>
                  </c:pt>
                  <c:pt idx="17">
                    <c:v>2020</c:v>
                  </c:pt>
                </c:lvl>
                <c:lvl>
                  <c:pt idx="0">
                    <c:v>TJ/år</c:v>
                  </c:pt>
                </c:lvl>
              </c:multiLvlStrCache>
            </c:multiLvlStrRef>
          </c:cat>
          <c:val>
            <c:numRef>
              <c:f>'Grafer-energi'!$C$962:$T$962</c:f>
              <c:numCache>
                <c:formatCode>#,##0</c:formatCode>
                <c:ptCount val="18"/>
                <c:pt idx="10">
                  <c:v>0</c:v>
                </c:pt>
                <c:pt idx="11">
                  <c:v>0</c:v>
                </c:pt>
              </c:numCache>
            </c:numRef>
          </c:val>
          <c:extLst>
            <c:ext xmlns:c16="http://schemas.microsoft.com/office/drawing/2014/chart" uri="{C3380CC4-5D6E-409C-BE32-E72D297353CC}">
              <c16:uniqueId val="{00000001-C05D-4A08-A246-02157883DF7A}"/>
            </c:ext>
          </c:extLst>
        </c:ser>
        <c:ser>
          <c:idx val="16"/>
          <c:order val="15"/>
          <c:tx>
            <c:strRef>
              <c:f>'Grafer-energi'!$B$963</c:f>
              <c:strCache>
                <c:ptCount val="1"/>
                <c:pt idx="0">
                  <c:v>Solenergi og jordvarme</c:v>
                </c:pt>
              </c:strCache>
            </c:strRef>
          </c:tx>
          <c:spPr>
            <a:solidFill>
              <a:schemeClr val="accent3">
                <a:lumMod val="50000"/>
              </a:schemeClr>
            </a:solidFill>
            <a:ln>
              <a:noFill/>
            </a:ln>
            <a:effectLst/>
          </c:spPr>
          <c:invertIfNegative val="0"/>
          <c:cat>
            <c:multiLvlStrRef>
              <c:f>'Grafer-energi'!$C$947:$T$949</c:f>
              <c:multiLvlStrCache>
                <c:ptCount val="18"/>
                <c:lvl>
                  <c:pt idx="0">
                    <c:v>Boliger og fritidshuse</c:v>
                  </c:pt>
                  <c:pt idx="1">
                    <c:v>Boliger og fritidshuse</c:v>
                  </c:pt>
                  <c:pt idx="2">
                    <c:v>Offentlig service</c:v>
                  </c:pt>
                  <c:pt idx="3">
                    <c:v>Offentlig service</c:v>
                  </c:pt>
                  <c:pt idx="4">
                    <c:v>Privat service</c:v>
                  </c:pt>
                  <c:pt idx="5">
                    <c:v>Privat service</c:v>
                  </c:pt>
                  <c:pt idx="6">
                    <c:v>Detail- og engroshandel</c:v>
                  </c:pt>
                  <c:pt idx="7">
                    <c:v>Detail- og engroshandel</c:v>
                  </c:pt>
                  <c:pt idx="8">
                    <c:v>Bygge- og anlægsvirksomhed</c:v>
                  </c:pt>
                  <c:pt idx="9">
                    <c:v>Bygge- og anlægsvirksomhed</c:v>
                  </c:pt>
                  <c:pt idx="10">
                    <c:v>Fremstillingsvirksomhed</c:v>
                  </c:pt>
                  <c:pt idx="11">
                    <c:v>Fremstillingsvirksomhed</c:v>
                  </c:pt>
                  <c:pt idx="12">
                    <c:v>Gartneri</c:v>
                  </c:pt>
                  <c:pt idx="13">
                    <c:v>Gartneri</c:v>
                  </c:pt>
                  <c:pt idx="14">
                    <c:v>Landbrug</c:v>
                  </c:pt>
                  <c:pt idx="15">
                    <c:v>Landbrug</c:v>
                  </c:pt>
                  <c:pt idx="16">
                    <c:v>Transport</c:v>
                  </c:pt>
                  <c:pt idx="17">
                    <c:v>Transport</c:v>
                  </c:pt>
                </c:lvl>
                <c:lvl>
                  <c:pt idx="0">
                    <c:v>2018</c:v>
                  </c:pt>
                  <c:pt idx="1">
                    <c:v>2020</c:v>
                  </c:pt>
                  <c:pt idx="2">
                    <c:v>2018</c:v>
                  </c:pt>
                  <c:pt idx="3">
                    <c:v>2020</c:v>
                  </c:pt>
                  <c:pt idx="4">
                    <c:v>2018</c:v>
                  </c:pt>
                  <c:pt idx="5">
                    <c:v>2020</c:v>
                  </c:pt>
                  <c:pt idx="6">
                    <c:v>2018</c:v>
                  </c:pt>
                  <c:pt idx="7">
                    <c:v>2020</c:v>
                  </c:pt>
                  <c:pt idx="8">
                    <c:v>2018</c:v>
                  </c:pt>
                  <c:pt idx="9">
                    <c:v>2020</c:v>
                  </c:pt>
                  <c:pt idx="10">
                    <c:v>2018</c:v>
                  </c:pt>
                  <c:pt idx="11">
                    <c:v>2020</c:v>
                  </c:pt>
                  <c:pt idx="12">
                    <c:v>2018</c:v>
                  </c:pt>
                  <c:pt idx="13">
                    <c:v>2020</c:v>
                  </c:pt>
                  <c:pt idx="14">
                    <c:v>2018</c:v>
                  </c:pt>
                  <c:pt idx="15">
                    <c:v>2020</c:v>
                  </c:pt>
                  <c:pt idx="16">
                    <c:v>2018</c:v>
                  </c:pt>
                  <c:pt idx="17">
                    <c:v>2020</c:v>
                  </c:pt>
                </c:lvl>
                <c:lvl>
                  <c:pt idx="0">
                    <c:v>TJ/år</c:v>
                  </c:pt>
                </c:lvl>
              </c:multiLvlStrCache>
            </c:multiLvlStrRef>
          </c:cat>
          <c:val>
            <c:numRef>
              <c:f>'Grafer-energi'!$C$963:$T$963</c:f>
              <c:numCache>
                <c:formatCode>#,##0</c:formatCode>
                <c:ptCount val="18"/>
                <c:pt idx="0">
                  <c:v>2.0100000000000002</c:v>
                </c:pt>
                <c:pt idx="1">
                  <c:v>2.06</c:v>
                </c:pt>
              </c:numCache>
            </c:numRef>
          </c:val>
          <c:extLst>
            <c:ext xmlns:c16="http://schemas.microsoft.com/office/drawing/2014/chart" uri="{C3380CC4-5D6E-409C-BE32-E72D297353CC}">
              <c16:uniqueId val="{00000002-C05D-4A08-A246-02157883DF7A}"/>
            </c:ext>
          </c:extLst>
        </c:ser>
        <c:dLbls>
          <c:showLegendKey val="0"/>
          <c:showVal val="0"/>
          <c:showCatName val="0"/>
          <c:showSerName val="0"/>
          <c:showPercent val="0"/>
          <c:showBubbleSize val="0"/>
        </c:dLbls>
        <c:gapWidth val="150"/>
        <c:overlap val="100"/>
        <c:axId val="687051680"/>
        <c:axId val="687052072"/>
        <c:extLst>
          <c:ext xmlns:c15="http://schemas.microsoft.com/office/drawing/2012/chart" uri="{02D57815-91ED-43cb-92C2-25804820EDAC}">
            <c15:filteredBarSeries>
              <c15:ser>
                <c:idx val="2"/>
                <c:order val="0"/>
                <c:tx>
                  <c:strRef>
                    <c:extLst>
                      <c:ext uri="{02D57815-91ED-43cb-92C2-25804820EDAC}">
                        <c15:formulaRef>
                          <c15:sqref>'Grafer-energi'!$B$947</c15:sqref>
                        </c15:formulaRef>
                      </c:ext>
                    </c:extLst>
                    <c:strCache>
                      <c:ptCount val="1"/>
                      <c:pt idx="0">
                        <c:v>Nettoenergiforbrug</c:v>
                      </c:pt>
                    </c:strCache>
                  </c:strRef>
                </c:tx>
                <c:spPr>
                  <a:solidFill>
                    <a:schemeClr val="accent5"/>
                  </a:solidFill>
                  <a:ln>
                    <a:noFill/>
                  </a:ln>
                  <a:effectLst/>
                </c:spPr>
                <c:invertIfNegative val="0"/>
                <c:cat>
                  <c:multiLvlStrRef>
                    <c:extLst>
                      <c:ext uri="{02D57815-91ED-43cb-92C2-25804820EDAC}">
                        <c15:formulaRef>
                          <c15:sqref>'Grafer-energi'!$C$947:$T$949</c15:sqref>
                        </c15:formulaRef>
                      </c:ext>
                    </c:extLst>
                    <c:multiLvlStrCache>
                      <c:ptCount val="18"/>
                      <c:lvl>
                        <c:pt idx="0">
                          <c:v>Boliger og fritidshuse</c:v>
                        </c:pt>
                        <c:pt idx="1">
                          <c:v>Boliger og fritidshuse</c:v>
                        </c:pt>
                        <c:pt idx="2">
                          <c:v>Offentlig service</c:v>
                        </c:pt>
                        <c:pt idx="3">
                          <c:v>Offentlig service</c:v>
                        </c:pt>
                        <c:pt idx="4">
                          <c:v>Privat service</c:v>
                        </c:pt>
                        <c:pt idx="5">
                          <c:v>Privat service</c:v>
                        </c:pt>
                        <c:pt idx="6">
                          <c:v>Detail- og engroshandel</c:v>
                        </c:pt>
                        <c:pt idx="7">
                          <c:v>Detail- og engroshandel</c:v>
                        </c:pt>
                        <c:pt idx="8">
                          <c:v>Bygge- og anlægsvirksomhed</c:v>
                        </c:pt>
                        <c:pt idx="9">
                          <c:v>Bygge- og anlægsvirksomhed</c:v>
                        </c:pt>
                        <c:pt idx="10">
                          <c:v>Fremstillingsvirksomhed</c:v>
                        </c:pt>
                        <c:pt idx="11">
                          <c:v>Fremstillingsvirksomhed</c:v>
                        </c:pt>
                        <c:pt idx="12">
                          <c:v>Gartneri</c:v>
                        </c:pt>
                        <c:pt idx="13">
                          <c:v>Gartneri</c:v>
                        </c:pt>
                        <c:pt idx="14">
                          <c:v>Landbrug</c:v>
                        </c:pt>
                        <c:pt idx="15">
                          <c:v>Landbrug</c:v>
                        </c:pt>
                        <c:pt idx="16">
                          <c:v>Transport</c:v>
                        </c:pt>
                        <c:pt idx="17">
                          <c:v>Transport</c:v>
                        </c:pt>
                      </c:lvl>
                      <c:lvl>
                        <c:pt idx="0">
                          <c:v>2018</c:v>
                        </c:pt>
                        <c:pt idx="1">
                          <c:v>2020</c:v>
                        </c:pt>
                        <c:pt idx="2">
                          <c:v>2018</c:v>
                        </c:pt>
                        <c:pt idx="3">
                          <c:v>2020</c:v>
                        </c:pt>
                        <c:pt idx="4">
                          <c:v>2018</c:v>
                        </c:pt>
                        <c:pt idx="5">
                          <c:v>2020</c:v>
                        </c:pt>
                        <c:pt idx="6">
                          <c:v>2018</c:v>
                        </c:pt>
                        <c:pt idx="7">
                          <c:v>2020</c:v>
                        </c:pt>
                        <c:pt idx="8">
                          <c:v>2018</c:v>
                        </c:pt>
                        <c:pt idx="9">
                          <c:v>2020</c:v>
                        </c:pt>
                        <c:pt idx="10">
                          <c:v>2018</c:v>
                        </c:pt>
                        <c:pt idx="11">
                          <c:v>2020</c:v>
                        </c:pt>
                        <c:pt idx="12">
                          <c:v>2018</c:v>
                        </c:pt>
                        <c:pt idx="13">
                          <c:v>2020</c:v>
                        </c:pt>
                        <c:pt idx="14">
                          <c:v>2018</c:v>
                        </c:pt>
                        <c:pt idx="15">
                          <c:v>2020</c:v>
                        </c:pt>
                        <c:pt idx="16">
                          <c:v>2018</c:v>
                        </c:pt>
                        <c:pt idx="17">
                          <c:v>2020</c:v>
                        </c:pt>
                      </c:lvl>
                      <c:lvl>
                        <c:pt idx="0">
                          <c:v>TJ/år</c:v>
                        </c:pt>
                      </c:lvl>
                    </c:multiLvlStrCache>
                  </c:multiLvlStrRef>
                </c:cat>
                <c:val>
                  <c:numRef>
                    <c:extLst>
                      <c:ext uri="{02D57815-91ED-43cb-92C2-25804820EDAC}">
                        <c15:formulaRef>
                          <c15:sqref>'Grafer-energi'!$C$948:$T$948</c15:sqref>
                        </c15:formulaRef>
                      </c:ext>
                    </c:extLst>
                    <c:numCache>
                      <c:formatCode>General</c:formatCode>
                      <c:ptCount val="18"/>
                      <c:pt idx="0">
                        <c:v>2018</c:v>
                      </c:pt>
                      <c:pt idx="1">
                        <c:v>2020</c:v>
                      </c:pt>
                      <c:pt idx="2">
                        <c:v>2018</c:v>
                      </c:pt>
                      <c:pt idx="3">
                        <c:v>2020</c:v>
                      </c:pt>
                      <c:pt idx="4">
                        <c:v>2018</c:v>
                      </c:pt>
                      <c:pt idx="5">
                        <c:v>2020</c:v>
                      </c:pt>
                      <c:pt idx="6">
                        <c:v>2018</c:v>
                      </c:pt>
                      <c:pt idx="7">
                        <c:v>2020</c:v>
                      </c:pt>
                      <c:pt idx="8">
                        <c:v>2018</c:v>
                      </c:pt>
                      <c:pt idx="9">
                        <c:v>2020</c:v>
                      </c:pt>
                      <c:pt idx="10">
                        <c:v>2018</c:v>
                      </c:pt>
                      <c:pt idx="11">
                        <c:v>2020</c:v>
                      </c:pt>
                      <c:pt idx="12" formatCode="0">
                        <c:v>2018</c:v>
                      </c:pt>
                      <c:pt idx="13" formatCode="0">
                        <c:v>2020</c:v>
                      </c:pt>
                      <c:pt idx="14">
                        <c:v>2018</c:v>
                      </c:pt>
                      <c:pt idx="15">
                        <c:v>2020</c:v>
                      </c:pt>
                      <c:pt idx="16">
                        <c:v>2018</c:v>
                      </c:pt>
                      <c:pt idx="17">
                        <c:v>2020</c:v>
                      </c:pt>
                    </c:numCache>
                  </c:numRef>
                </c:val>
                <c:extLst>
                  <c:ext xmlns:c16="http://schemas.microsoft.com/office/drawing/2014/chart" uri="{C3380CC4-5D6E-409C-BE32-E72D297353CC}">
                    <c16:uniqueId val="{00000000-47E4-488B-BB2A-D374AA27ED9B}"/>
                  </c:ext>
                </c:extLst>
              </c15:ser>
            </c15:filteredBarSeries>
            <c15:filteredBarSeries>
              <c15:ser>
                <c:idx val="4"/>
                <c:order val="1"/>
                <c:tx>
                  <c:strRef>
                    <c:extLst xmlns:c15="http://schemas.microsoft.com/office/drawing/2012/chart">
                      <c:ext xmlns:c15="http://schemas.microsoft.com/office/drawing/2012/chart" uri="{02D57815-91ED-43cb-92C2-25804820EDAC}">
                        <c15:formulaRef>
                          <c15:sqref>'Grafer-energi'!$B$949</c15:sqref>
                        </c15:formulaRef>
                      </c:ext>
                    </c:extLst>
                    <c:strCache>
                      <c:ptCount val="1"/>
                    </c:strCache>
                  </c:strRef>
                </c:tx>
                <c:spPr>
                  <a:solidFill>
                    <a:schemeClr val="accent3">
                      <a:lumMod val="6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'Grafer-energi'!$C$947:$T$949</c15:sqref>
                        </c15:formulaRef>
                      </c:ext>
                    </c:extLst>
                    <c:multiLvlStrCache>
                      <c:ptCount val="18"/>
                      <c:lvl>
                        <c:pt idx="0">
                          <c:v>Boliger og fritidshuse</c:v>
                        </c:pt>
                        <c:pt idx="1">
                          <c:v>Boliger og fritidshuse</c:v>
                        </c:pt>
                        <c:pt idx="2">
                          <c:v>Offentlig service</c:v>
                        </c:pt>
                        <c:pt idx="3">
                          <c:v>Offentlig service</c:v>
                        </c:pt>
                        <c:pt idx="4">
                          <c:v>Privat service</c:v>
                        </c:pt>
                        <c:pt idx="5">
                          <c:v>Privat service</c:v>
                        </c:pt>
                        <c:pt idx="6">
                          <c:v>Detail- og engroshandel</c:v>
                        </c:pt>
                        <c:pt idx="7">
                          <c:v>Detail- og engroshandel</c:v>
                        </c:pt>
                        <c:pt idx="8">
                          <c:v>Bygge- og anlægsvirksomhed</c:v>
                        </c:pt>
                        <c:pt idx="9">
                          <c:v>Bygge- og anlægsvirksomhed</c:v>
                        </c:pt>
                        <c:pt idx="10">
                          <c:v>Fremstillingsvirksomhed</c:v>
                        </c:pt>
                        <c:pt idx="11">
                          <c:v>Fremstillingsvirksomhed</c:v>
                        </c:pt>
                        <c:pt idx="12">
                          <c:v>Gartneri</c:v>
                        </c:pt>
                        <c:pt idx="13">
                          <c:v>Gartneri</c:v>
                        </c:pt>
                        <c:pt idx="14">
                          <c:v>Landbrug</c:v>
                        </c:pt>
                        <c:pt idx="15">
                          <c:v>Landbrug</c:v>
                        </c:pt>
                        <c:pt idx="16">
                          <c:v>Transport</c:v>
                        </c:pt>
                        <c:pt idx="17">
                          <c:v>Transport</c:v>
                        </c:pt>
                      </c:lvl>
                      <c:lvl>
                        <c:pt idx="0">
                          <c:v>2018</c:v>
                        </c:pt>
                        <c:pt idx="1">
                          <c:v>2020</c:v>
                        </c:pt>
                        <c:pt idx="2">
                          <c:v>2018</c:v>
                        </c:pt>
                        <c:pt idx="3">
                          <c:v>2020</c:v>
                        </c:pt>
                        <c:pt idx="4">
                          <c:v>2018</c:v>
                        </c:pt>
                        <c:pt idx="5">
                          <c:v>2020</c:v>
                        </c:pt>
                        <c:pt idx="6">
                          <c:v>2018</c:v>
                        </c:pt>
                        <c:pt idx="7">
                          <c:v>2020</c:v>
                        </c:pt>
                        <c:pt idx="8">
                          <c:v>2018</c:v>
                        </c:pt>
                        <c:pt idx="9">
                          <c:v>2020</c:v>
                        </c:pt>
                        <c:pt idx="10">
                          <c:v>2018</c:v>
                        </c:pt>
                        <c:pt idx="11">
                          <c:v>2020</c:v>
                        </c:pt>
                        <c:pt idx="12">
                          <c:v>2018</c:v>
                        </c:pt>
                        <c:pt idx="13">
                          <c:v>2020</c:v>
                        </c:pt>
                        <c:pt idx="14">
                          <c:v>2018</c:v>
                        </c:pt>
                        <c:pt idx="15">
                          <c:v>2020</c:v>
                        </c:pt>
                        <c:pt idx="16">
                          <c:v>2018</c:v>
                        </c:pt>
                        <c:pt idx="17">
                          <c:v>2020</c:v>
                        </c:pt>
                      </c:lvl>
                      <c:lvl>
                        <c:pt idx="0">
                          <c:v>TJ/år</c:v>
                        </c:pt>
                      </c:lvl>
                    </c:multiLvlStrCache>
                  </c:multiLvlStrRef>
                </c:cat>
                <c:val>
                  <c:numRef>
                    <c:extLst xmlns:c15="http://schemas.microsoft.com/office/drawing/2012/chart">
                      <c:ext xmlns:c15="http://schemas.microsoft.com/office/drawing/2012/chart" uri="{02D57815-91ED-43cb-92C2-25804820EDAC}">
                        <c15:formulaRef>
                          <c15:sqref>'Grafer-energi'!$C$949:$T$949</c15:sqref>
                        </c15:formulaRef>
                      </c:ext>
                    </c:extLst>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formatCode="0">
                        <c:v>0</c:v>
                      </c:pt>
                      <c:pt idx="13" formatCode="0">
                        <c:v>0</c:v>
                      </c:pt>
                      <c:pt idx="14">
                        <c:v>0</c:v>
                      </c:pt>
                      <c:pt idx="15">
                        <c:v>0</c:v>
                      </c:pt>
                      <c:pt idx="16">
                        <c:v>0</c:v>
                      </c:pt>
                      <c:pt idx="17">
                        <c:v>0</c:v>
                      </c:pt>
                    </c:numCache>
                  </c:numRef>
                </c:val>
                <c:extLst xmlns:c15="http://schemas.microsoft.com/office/drawing/2012/chart">
                  <c:ext xmlns:c16="http://schemas.microsoft.com/office/drawing/2014/chart" uri="{C3380CC4-5D6E-409C-BE32-E72D297353CC}">
                    <c16:uniqueId val="{00000002-47E4-488B-BB2A-D374AA27ED9B}"/>
                  </c:ext>
                </c:extLst>
              </c15:ser>
            </c15:filteredBarSeries>
            <c15:filteredBarSeries>
              <c15:ser>
                <c:idx val="3"/>
                <c:order val="16"/>
                <c:tx>
                  <c:strRef>
                    <c:extLst xmlns:c15="http://schemas.microsoft.com/office/drawing/2012/chart">
                      <c:ext xmlns:c15="http://schemas.microsoft.com/office/drawing/2012/chart" uri="{02D57815-91ED-43cb-92C2-25804820EDAC}">
                        <c15:formulaRef>
                          <c15:sqref>'Grafer-energi'!$B$964</c15:sqref>
                        </c15:formulaRef>
                      </c:ext>
                    </c:extLst>
                    <c:strCache>
                      <c:ptCount val="1"/>
                      <c:pt idx="0">
                        <c:v>I alt</c:v>
                      </c:pt>
                    </c:strCache>
                  </c:strRef>
                </c:tx>
                <c:spPr>
                  <a:solidFill>
                    <a:schemeClr val="accent1">
                      <a:lumMod val="6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'Grafer-energi'!$C$947:$T$949</c15:sqref>
                        </c15:formulaRef>
                      </c:ext>
                    </c:extLst>
                    <c:multiLvlStrCache>
                      <c:ptCount val="18"/>
                      <c:lvl>
                        <c:pt idx="0">
                          <c:v>Boliger og fritidshuse</c:v>
                        </c:pt>
                        <c:pt idx="1">
                          <c:v>Boliger og fritidshuse</c:v>
                        </c:pt>
                        <c:pt idx="2">
                          <c:v>Offentlig service</c:v>
                        </c:pt>
                        <c:pt idx="3">
                          <c:v>Offentlig service</c:v>
                        </c:pt>
                        <c:pt idx="4">
                          <c:v>Privat service</c:v>
                        </c:pt>
                        <c:pt idx="5">
                          <c:v>Privat service</c:v>
                        </c:pt>
                        <c:pt idx="6">
                          <c:v>Detail- og engroshandel</c:v>
                        </c:pt>
                        <c:pt idx="7">
                          <c:v>Detail- og engroshandel</c:v>
                        </c:pt>
                        <c:pt idx="8">
                          <c:v>Bygge- og anlægsvirksomhed</c:v>
                        </c:pt>
                        <c:pt idx="9">
                          <c:v>Bygge- og anlægsvirksomhed</c:v>
                        </c:pt>
                        <c:pt idx="10">
                          <c:v>Fremstillingsvirksomhed</c:v>
                        </c:pt>
                        <c:pt idx="11">
                          <c:v>Fremstillingsvirksomhed</c:v>
                        </c:pt>
                        <c:pt idx="12">
                          <c:v>Gartneri</c:v>
                        </c:pt>
                        <c:pt idx="13">
                          <c:v>Gartneri</c:v>
                        </c:pt>
                        <c:pt idx="14">
                          <c:v>Landbrug</c:v>
                        </c:pt>
                        <c:pt idx="15">
                          <c:v>Landbrug</c:v>
                        </c:pt>
                        <c:pt idx="16">
                          <c:v>Transport</c:v>
                        </c:pt>
                        <c:pt idx="17">
                          <c:v>Transport</c:v>
                        </c:pt>
                      </c:lvl>
                      <c:lvl>
                        <c:pt idx="0">
                          <c:v>2018</c:v>
                        </c:pt>
                        <c:pt idx="1">
                          <c:v>2020</c:v>
                        </c:pt>
                        <c:pt idx="2">
                          <c:v>2018</c:v>
                        </c:pt>
                        <c:pt idx="3">
                          <c:v>2020</c:v>
                        </c:pt>
                        <c:pt idx="4">
                          <c:v>2018</c:v>
                        </c:pt>
                        <c:pt idx="5">
                          <c:v>2020</c:v>
                        </c:pt>
                        <c:pt idx="6">
                          <c:v>2018</c:v>
                        </c:pt>
                        <c:pt idx="7">
                          <c:v>2020</c:v>
                        </c:pt>
                        <c:pt idx="8">
                          <c:v>2018</c:v>
                        </c:pt>
                        <c:pt idx="9">
                          <c:v>2020</c:v>
                        </c:pt>
                        <c:pt idx="10">
                          <c:v>2018</c:v>
                        </c:pt>
                        <c:pt idx="11">
                          <c:v>2020</c:v>
                        </c:pt>
                        <c:pt idx="12">
                          <c:v>2018</c:v>
                        </c:pt>
                        <c:pt idx="13">
                          <c:v>2020</c:v>
                        </c:pt>
                        <c:pt idx="14">
                          <c:v>2018</c:v>
                        </c:pt>
                        <c:pt idx="15">
                          <c:v>2020</c:v>
                        </c:pt>
                        <c:pt idx="16">
                          <c:v>2018</c:v>
                        </c:pt>
                        <c:pt idx="17">
                          <c:v>2020</c:v>
                        </c:pt>
                      </c:lvl>
                      <c:lvl>
                        <c:pt idx="0">
                          <c:v>TJ/år</c:v>
                        </c:pt>
                      </c:lvl>
                    </c:multiLvlStrCache>
                  </c:multiLvlStrRef>
                </c:cat>
                <c:val>
                  <c:numRef>
                    <c:extLst xmlns:c15="http://schemas.microsoft.com/office/drawing/2012/chart">
                      <c:ext xmlns:c15="http://schemas.microsoft.com/office/drawing/2012/chart" uri="{02D57815-91ED-43cb-92C2-25804820EDAC}">
                        <c15:formulaRef>
                          <c15:sqref>'Grafer-energi'!$C$964:$T$964</c15:sqref>
                        </c15:formulaRef>
                      </c:ext>
                    </c:extLst>
                    <c:numCache>
                      <c:formatCode>#,##0</c:formatCode>
                      <c:ptCount val="18"/>
                      <c:pt idx="0">
                        <c:v>82.553934000000027</c:v>
                      </c:pt>
                      <c:pt idx="1">
                        <c:v>115.45675491393602</c:v>
                      </c:pt>
                      <c:pt idx="2">
                        <c:v>4.5162730000000009</c:v>
                      </c:pt>
                      <c:pt idx="3">
                        <c:v>4.5195086310720001</c:v>
                      </c:pt>
                      <c:pt idx="4">
                        <c:v>5.8637935000000017</c:v>
                      </c:pt>
                      <c:pt idx="5">
                        <c:v>5.436276931648</c:v>
                      </c:pt>
                      <c:pt idx="6">
                        <c:v>7.3239065000000005</c:v>
                      </c:pt>
                      <c:pt idx="7">
                        <c:v>4.99393473648</c:v>
                      </c:pt>
                      <c:pt idx="8">
                        <c:v>0</c:v>
                      </c:pt>
                      <c:pt idx="9">
                        <c:v>0</c:v>
                      </c:pt>
                      <c:pt idx="10">
                        <c:v>9.9033255000000011</c:v>
                      </c:pt>
                      <c:pt idx="11">
                        <c:v>9.731846435904</c:v>
                      </c:pt>
                      <c:pt idx="12">
                        <c:v>0.24432750000000009</c:v>
                      </c:pt>
                      <c:pt idx="13">
                        <c:v>0.22798601495999996</c:v>
                      </c:pt>
                      <c:pt idx="14">
                        <c:v>8.2419499999999992</c:v>
                      </c:pt>
                      <c:pt idx="15">
                        <c:v>7.9615</c:v>
                      </c:pt>
                      <c:pt idx="16">
                        <c:v>23.622034999999997</c:v>
                      </c:pt>
                      <c:pt idx="17">
                        <c:v>20.147310000000001</c:v>
                      </c:pt>
                    </c:numCache>
                  </c:numRef>
                </c:val>
                <c:extLst xmlns:c15="http://schemas.microsoft.com/office/drawing/2012/chart">
                  <c:ext xmlns:c16="http://schemas.microsoft.com/office/drawing/2014/chart" uri="{C3380CC4-5D6E-409C-BE32-E72D297353CC}">
                    <c16:uniqueId val="{00000005-C05D-4A08-A246-02157883DF7A}"/>
                  </c:ext>
                </c:extLst>
              </c15:ser>
            </c15:filteredBarSeries>
          </c:ext>
        </c:extLst>
      </c:barChart>
      <c:catAx>
        <c:axId val="687051680"/>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687052072"/>
        <c:crosses val="autoZero"/>
        <c:auto val="1"/>
        <c:lblAlgn val="ctr"/>
        <c:lblOffset val="100"/>
        <c:noMultiLvlLbl val="0"/>
      </c:catAx>
      <c:valAx>
        <c:axId val="68705207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r>
                  <a:rPr lang="da-DK"/>
                  <a:t>TJ/år</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endParaRPr lang="da-DK"/>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a-DK"/>
          </a:p>
        </c:txPr>
        <c:crossAx val="68705168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rot="-5400000" vert="horz"/>
    <a:lstStyle/>
    <a:p>
      <a:pPr>
        <a:defRPr sz="1000" b="0" i="0" u="none" strike="noStrike" baseline="0">
          <a:solidFill>
            <a:srgbClr val="000000"/>
          </a:solidFill>
          <a:latin typeface="Calibri"/>
          <a:ea typeface="Calibri"/>
          <a:cs typeface="Calibri"/>
        </a:defRPr>
      </a:pPr>
      <a:endParaRPr lang="da-DK"/>
    </a:p>
  </c:txPr>
  <c:printSettings>
    <c:headerFooter/>
    <c:pageMargins b="0.75000000000001354" l="0.70000000000000062" r="0.70000000000000062" t="0.7500000000000135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5"/>
          <c:order val="0"/>
          <c:tx>
            <c:strRef>
              <c:f>'Grafer-energi'!$B$114</c:f>
              <c:strCache>
                <c:ptCount val="1"/>
                <c:pt idx="0">
                  <c:v>I alt fossil</c:v>
                </c:pt>
              </c:strCache>
            </c:strRef>
          </c:tx>
          <c:spPr>
            <a:solidFill>
              <a:schemeClr val="accent1">
                <a:lumMod val="50000"/>
              </a:schemeClr>
            </a:solidFill>
            <a:ln>
              <a:noFill/>
            </a:ln>
            <a:effectLst/>
          </c:spPr>
          <c:invertIfNegative val="0"/>
          <c:dLbls>
            <c:delete val="1"/>
          </c:dLbls>
          <c:cat>
            <c:numRef>
              <c:f>'Grafer-energi'!$C$97:$E$97</c:f>
              <c:numCache>
                <c:formatCode>General</c:formatCode>
                <c:ptCount val="3"/>
                <c:pt idx="0">
                  <c:v>1990</c:v>
                </c:pt>
                <c:pt idx="1">
                  <c:v>2018</c:v>
                </c:pt>
                <c:pt idx="2">
                  <c:v>2020</c:v>
                </c:pt>
              </c:numCache>
            </c:numRef>
          </c:cat>
          <c:val>
            <c:numRef>
              <c:f>'Grafer-energi'!$C$114:$E$114</c:f>
              <c:numCache>
                <c:formatCode>#,##0</c:formatCode>
                <c:ptCount val="3"/>
                <c:pt idx="0">
                  <c:v>219.41731679413999</c:v>
                </c:pt>
                <c:pt idx="1">
                  <c:v>141.73151719607989</c:v>
                </c:pt>
                <c:pt idx="2">
                  <c:v>118.46590985413577</c:v>
                </c:pt>
              </c:numCache>
            </c:numRef>
          </c:val>
          <c:extLst>
            <c:ext xmlns:c16="http://schemas.microsoft.com/office/drawing/2014/chart" uri="{C3380CC4-5D6E-409C-BE32-E72D297353CC}">
              <c16:uniqueId val="{00000000-3EE3-43FF-8D5F-A2DE6A62EB82}"/>
            </c:ext>
          </c:extLst>
        </c:ser>
        <c:ser>
          <c:idx val="0"/>
          <c:order val="1"/>
          <c:tx>
            <c:strRef>
              <c:f>'Grafer-energi'!$B$115</c:f>
              <c:strCache>
                <c:ptCount val="1"/>
                <c:pt idx="0">
                  <c:v>I alt VE</c:v>
                </c:pt>
              </c:strCache>
            </c:strRef>
          </c:tx>
          <c:spPr>
            <a:solidFill>
              <a:schemeClr val="accent1"/>
            </a:solidFill>
            <a:ln>
              <a:noFill/>
            </a:ln>
            <a:effectLst/>
          </c:spPr>
          <c:invertIfNegative val="0"/>
          <c:dLbls>
            <c:delete val="1"/>
          </c:dLbls>
          <c:cat>
            <c:numRef>
              <c:f>'Grafer-energi'!$C$97:$E$97</c:f>
              <c:numCache>
                <c:formatCode>General</c:formatCode>
                <c:ptCount val="3"/>
                <c:pt idx="0">
                  <c:v>1990</c:v>
                </c:pt>
                <c:pt idx="1">
                  <c:v>2018</c:v>
                </c:pt>
                <c:pt idx="2">
                  <c:v>2020</c:v>
                </c:pt>
              </c:numCache>
            </c:numRef>
          </c:cat>
          <c:val>
            <c:numRef>
              <c:f>'Grafer-energi'!$C$115:$E$115</c:f>
              <c:numCache>
                <c:formatCode>#,##0</c:formatCode>
                <c:ptCount val="3"/>
                <c:pt idx="0">
                  <c:v>26.826567934905668</c:v>
                </c:pt>
                <c:pt idx="1">
                  <c:v>107.02656708263417</c:v>
                </c:pt>
                <c:pt idx="2">
                  <c:v>158.61434791910952</c:v>
                </c:pt>
              </c:numCache>
            </c:numRef>
          </c:val>
          <c:extLst>
            <c:ext xmlns:c16="http://schemas.microsoft.com/office/drawing/2014/chart" uri="{C3380CC4-5D6E-409C-BE32-E72D297353CC}">
              <c16:uniqueId val="{00000003-A700-4C55-A89B-136F956E0BEF}"/>
            </c:ext>
          </c:extLst>
        </c:ser>
        <c:dLbls>
          <c:showLegendKey val="0"/>
          <c:showVal val="1"/>
          <c:showCatName val="0"/>
          <c:showSerName val="0"/>
          <c:showPercent val="0"/>
          <c:showBubbleSize val="0"/>
        </c:dLbls>
        <c:gapWidth val="150"/>
        <c:axId val="580033512"/>
        <c:axId val="728091224"/>
      </c:barChart>
      <c:catAx>
        <c:axId val="580033512"/>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a-DK"/>
          </a:p>
        </c:txPr>
        <c:crossAx val="728091224"/>
        <c:crosses val="autoZero"/>
        <c:auto val="1"/>
        <c:lblAlgn val="ctr"/>
        <c:lblOffset val="100"/>
        <c:noMultiLvlLbl val="0"/>
      </c:catAx>
      <c:valAx>
        <c:axId val="72809122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da-DK"/>
                  <a:t>TJ/år</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da-DK"/>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a-DK"/>
          </a:p>
        </c:txPr>
        <c:crossAx val="58003351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da-DK"/>
    </a:p>
  </c:txPr>
  <c:printSettings>
    <c:headerFooter/>
    <c:pageMargins b="0.75000000000000322" l="0.70000000000000062" r="0.70000000000000062" t="0.75000000000000322" header="0.30000000000000032" footer="0.30000000000000032"/>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1990</cx:v>
        </cx:txData>
      </cx:tx>
      <cx:txPr>
        <a:bodyPr spcFirstLastPara="1" vertOverflow="ellipsis" horzOverflow="overflow" wrap="square" lIns="0" tIns="0" rIns="0" bIns="0" anchor="ctr" anchorCtr="1"/>
        <a:lstStyle/>
        <a:p>
          <a:pPr algn="ctr" rtl="0">
            <a:defRPr b="1">
              <a:solidFill>
                <a:sysClr val="windowText" lastClr="000000"/>
              </a:solidFill>
            </a:defRPr>
          </a:pPr>
          <a:r>
            <a:rPr lang="da-DK" sz="1400" b="1" i="0" u="none" strike="noStrike" baseline="0">
              <a:solidFill>
                <a:sysClr val="windowText" lastClr="000000"/>
              </a:solidFill>
              <a:latin typeface="Calibri" panose="020F0502020204030204"/>
            </a:rPr>
            <a:t>1990</a:t>
          </a:r>
        </a:p>
      </cx:txPr>
    </cx:title>
    <cx:plotArea>
      <cx:plotAreaRegion>
        <cx:plotSurface>
          <cx:spPr>
            <a:ln>
              <a:solidFill>
                <a:schemeClr val="bg1"/>
              </a:solidFill>
            </a:ln>
          </cx:spPr>
        </cx:plotSurface>
        <cx:series layoutId="waterfall" uniqueId="{B5BEF015-D751-4352-8E08-5BDC2184383A}">
          <cx:dataLabels pos="outEnd">
            <cx:txPr>
              <a:bodyPr vertOverflow="overflow" horzOverflow="overflow" wrap="square" lIns="0" tIns="0" rIns="0" bIns="0"/>
              <a:lstStyle/>
              <a:p>
                <a:pPr algn="ctr" rtl="0">
                  <a:defRPr sz="900" b="0"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da-DK">
                  <a:solidFill>
                    <a:sysClr val="windowText" lastClr="000000"/>
                  </a:solidFill>
                </a:endParaRPr>
              </a:p>
            </cx:txPr>
            <cx:visibility seriesName="0" categoryName="0" value="1"/>
          </cx:dataLabels>
          <cx:dataId val="0"/>
          <cx:layoutPr>
            <cx:subtotals/>
          </cx:layoutPr>
        </cx:series>
      </cx:plotAreaRegion>
      <cx:axis id="0">
        <cx:catScaling gapWidth="0.5"/>
        <cx:tickLabels/>
        <cx:spPr>
          <a:ln>
            <a:solidFill>
              <a:schemeClr val="tx1"/>
            </a:solidFill>
          </a:ln>
        </cx:spPr>
        <cx:txPr>
          <a:bodyPr vertOverflow="overflow" horzOverflow="overflow" wrap="square" lIns="0" tIns="0" rIns="0" bIns="0"/>
          <a:lstStyle/>
          <a:p>
            <a:pPr algn="ctr" rtl="0">
              <a:defRPr sz="900" b="0"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da-DK">
              <a:solidFill>
                <a:sysClr val="windowText" lastClr="000000"/>
              </a:solidFill>
            </a:endParaRPr>
          </a:p>
        </cx:txPr>
      </cx:axis>
      <cx:axis id="1">
        <cx:valScaling/>
        <cx:title>
          <cx:tx>
            <cx:rich>
              <a:bodyPr spcFirstLastPara="1" vertOverflow="ellipsis" horzOverflow="overflow" wrap="square" lIns="0" tIns="0" rIns="0" bIns="0" anchor="ctr" anchorCtr="1"/>
              <a:lstStyle/>
              <a:p>
                <a:pPr rtl="0" eaLnBrk="1" fontAlgn="auto" latinLnBrk="0" hangingPunct="1">
                  <a:defRPr sz="1000" b="1">
                    <a:solidFill>
                      <a:sysClr val="windowText" lastClr="000000"/>
                    </a:solidFill>
                  </a:defRPr>
                </a:pPr>
                <a:r>
                  <a:rPr lang="da-DK" sz="1000" b="1" i="0" baseline="0">
                    <a:solidFill>
                      <a:sysClr val="windowText" lastClr="000000"/>
                    </a:solidFill>
                    <a:effectLst/>
                  </a:rPr>
                  <a:t>1.000 tons CO</a:t>
                </a:r>
                <a:r>
                  <a:rPr lang="da-DK" sz="1000" b="1" i="0" baseline="-25000">
                    <a:solidFill>
                      <a:sysClr val="windowText" lastClr="000000"/>
                    </a:solidFill>
                    <a:effectLst/>
                  </a:rPr>
                  <a:t>2</a:t>
                </a:r>
                <a:r>
                  <a:rPr lang="da-DK" sz="1000" b="1" i="0" baseline="0">
                    <a:solidFill>
                      <a:sysClr val="windowText" lastClr="000000"/>
                    </a:solidFill>
                    <a:effectLst/>
                  </a:rPr>
                  <a:t> / år</a:t>
                </a:r>
                <a:endParaRPr lang="da-DK" sz="1000" b="1">
                  <a:solidFill>
                    <a:sysClr val="windowText" lastClr="000000"/>
                  </a:solidFill>
                  <a:effectLst/>
                </a:endParaRPr>
              </a:p>
            </cx:rich>
          </cx:tx>
        </cx:title>
        <cx:majorGridlines>
          <cx:spPr>
            <a:ln>
              <a:solidFill>
                <a:schemeClr val="tx1"/>
              </a:solidFill>
            </a:ln>
          </cx:spPr>
        </cx:majorGridlines>
        <cx:tickLabels/>
        <cx:spPr>
          <a:ln>
            <a:solidFill>
              <a:schemeClr val="tx1"/>
            </a:solidFill>
          </a:ln>
        </cx:spPr>
        <cx:txPr>
          <a:bodyPr vertOverflow="overflow" horzOverflow="overflow" wrap="square" lIns="0" tIns="0" rIns="0" bIns="0"/>
          <a:lstStyle/>
          <a:p>
            <a:pPr algn="ctr" rtl="0">
              <a:defRPr sz="900" b="0"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da-DK">
              <a:solidFill>
                <a:sysClr val="windowText" lastClr="000000"/>
              </a:solidFill>
            </a:endParaRPr>
          </a:p>
        </cx:txPr>
      </cx:axis>
    </cx:plotArea>
  </cx:chart>
  <cx:spPr>
    <a:ln>
      <a:solidFill>
        <a:schemeClr val="tx1"/>
      </a:solid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_xlchart.v1.3</cx:f>
      </cx:numDim>
    </cx:data>
  </cx:chartData>
  <cx:chart>
    <cx:title pos="t" align="ctr" overlay="0">
      <cx:tx>
        <cx:txData>
          <cx:v>1990</cx:v>
        </cx:txData>
      </cx:tx>
      <cx:txPr>
        <a:bodyPr spcFirstLastPara="1" vertOverflow="ellipsis" horzOverflow="overflow" wrap="square" lIns="0" tIns="0" rIns="0" bIns="0" anchor="ctr" anchorCtr="1"/>
        <a:lstStyle/>
        <a:p>
          <a:pPr algn="ctr" rtl="0">
            <a:defRPr b="1">
              <a:solidFill>
                <a:sysClr val="windowText" lastClr="000000"/>
              </a:solidFill>
            </a:defRPr>
          </a:pPr>
          <a:r>
            <a:rPr lang="da-DK" sz="1400" b="1" i="0" u="none" strike="noStrike" baseline="0">
              <a:solidFill>
                <a:sysClr val="windowText" lastClr="000000"/>
              </a:solidFill>
              <a:latin typeface="Calibri" panose="020F0502020204030204"/>
            </a:rPr>
            <a:t>1990</a:t>
          </a:r>
        </a:p>
      </cx:txPr>
    </cx:title>
    <cx:plotArea>
      <cx:plotAreaRegion>
        <cx:plotSurface>
          <cx:spPr>
            <a:ln>
              <a:solidFill>
                <a:schemeClr val="bg1"/>
              </a:solidFill>
            </a:ln>
          </cx:spPr>
        </cx:plotSurface>
        <cx:series layoutId="waterfall" uniqueId="{F21B3F3C-467E-4413-B0D2-CAF07E9107EE}">
          <cx:dataLabels pos="outEnd">
            <cx:txPr>
              <a:bodyPr vertOverflow="overflow" horzOverflow="overflow" wrap="square" lIns="0" tIns="0" rIns="0" bIns="0"/>
              <a:lstStyle/>
              <a:p>
                <a:pPr algn="ctr" rtl="0">
                  <a:defRPr sz="900" b="0"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da-DK">
                  <a:solidFill>
                    <a:sysClr val="windowText" lastClr="000000"/>
                  </a:solidFill>
                </a:endParaRPr>
              </a:p>
            </cx:txPr>
            <cx:visibility seriesName="0" categoryName="0" value="1"/>
          </cx:dataLabels>
          <cx:dataId val="0"/>
          <cx:layoutPr>
            <cx:subtotals/>
          </cx:layoutPr>
        </cx:series>
      </cx:plotAreaRegion>
      <cx:axis id="0">
        <cx:catScaling gapWidth="0.5"/>
        <cx:tickLabels/>
        <cx:spPr>
          <a:ln>
            <a:solidFill>
              <a:schemeClr val="tx1"/>
            </a:solidFill>
          </a:ln>
        </cx:spPr>
        <cx:txPr>
          <a:bodyPr vertOverflow="overflow" horzOverflow="overflow" wrap="square" lIns="0" tIns="0" rIns="0" bIns="0"/>
          <a:lstStyle/>
          <a:p>
            <a:pPr algn="ctr" rtl="0">
              <a:defRPr sz="900" b="0"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da-DK">
              <a:solidFill>
                <a:sysClr val="windowText" lastClr="000000"/>
              </a:solidFill>
            </a:endParaRPr>
          </a:p>
        </cx:txPr>
      </cx:axis>
      <cx:axis id="1">
        <cx:valScaling/>
        <cx:title>
          <cx:tx>
            <cx:rich>
              <a:bodyPr spcFirstLastPara="1" vertOverflow="ellipsis" horzOverflow="overflow" wrap="square" lIns="0" tIns="0" rIns="0" bIns="0" anchor="ctr" anchorCtr="1"/>
              <a:lstStyle/>
              <a:p>
                <a:pPr rtl="0">
                  <a:defRPr sz="1000" b="1">
                    <a:solidFill>
                      <a:sysClr val="windowText" lastClr="000000"/>
                    </a:solidFill>
                  </a:defRPr>
                </a:pPr>
                <a:r>
                  <a:rPr lang="da-DK" sz="1000" b="1" i="0" baseline="0">
                    <a:solidFill>
                      <a:sysClr val="windowText" lastClr="000000"/>
                    </a:solidFill>
                    <a:effectLst/>
                  </a:rPr>
                  <a:t>Tons CO</a:t>
                </a:r>
                <a:r>
                  <a:rPr lang="da-DK" sz="1000" b="1" i="0" baseline="-25000">
                    <a:solidFill>
                      <a:sysClr val="windowText" lastClr="000000"/>
                    </a:solidFill>
                    <a:effectLst/>
                  </a:rPr>
                  <a:t>2</a:t>
                </a:r>
                <a:r>
                  <a:rPr lang="da-DK" sz="1000" b="1" i="0" baseline="0">
                    <a:solidFill>
                      <a:sysClr val="windowText" lastClr="000000"/>
                    </a:solidFill>
                    <a:effectLst/>
                  </a:rPr>
                  <a:t> / år</a:t>
                </a:r>
                <a:endParaRPr lang="da-DK" sz="1000" b="1">
                  <a:solidFill>
                    <a:sysClr val="windowText" lastClr="000000"/>
                  </a:solidFill>
                  <a:effectLst/>
                </a:endParaRPr>
              </a:p>
            </cx:rich>
          </cx:tx>
        </cx:title>
        <cx:majorGridlines>
          <cx:spPr>
            <a:ln>
              <a:solidFill>
                <a:schemeClr val="tx1"/>
              </a:solidFill>
            </a:ln>
          </cx:spPr>
        </cx:majorGridlines>
        <cx:tickLabels/>
        <cx:spPr>
          <a:ln>
            <a:solidFill>
              <a:schemeClr val="tx1"/>
            </a:solidFill>
          </a:ln>
        </cx:spPr>
        <cx:txPr>
          <a:bodyPr vertOverflow="overflow" horzOverflow="overflow" wrap="square" lIns="0" tIns="0" rIns="0" bIns="0"/>
          <a:lstStyle/>
          <a:p>
            <a:pPr algn="ctr" rtl="0">
              <a:defRPr sz="900" b="0"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da-DK">
              <a:solidFill>
                <a:sysClr val="windowText" lastClr="000000"/>
              </a:solidFill>
            </a:endParaRPr>
          </a:p>
        </cx:txPr>
      </cx:axis>
    </cx:plotArea>
  </cx:chart>
  <cx:spPr>
    <a:ln>
      <a:solidFill>
        <a:schemeClr val="tx1"/>
      </a:solid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val">
        <cx:f>_xlchart.v1.6</cx:f>
      </cx:numDim>
    </cx:data>
  </cx:chartData>
  <cx:chart>
    <cx:title pos="t" align="ctr" overlay="0">
      <cx:tx>
        <cx:txData>
          <cx:v>2018</cx:v>
        </cx:txData>
      </cx:tx>
      <cx:txPr>
        <a:bodyPr spcFirstLastPara="1" vertOverflow="ellipsis" horzOverflow="overflow" wrap="square" lIns="0" tIns="0" rIns="0" bIns="0" anchor="ctr" anchorCtr="1"/>
        <a:lstStyle/>
        <a:p>
          <a:pPr algn="ctr" rtl="0">
            <a:defRPr b="1">
              <a:solidFill>
                <a:sysClr val="windowText" lastClr="000000"/>
              </a:solidFill>
            </a:defRPr>
          </a:pPr>
          <a:r>
            <a:rPr lang="da-DK" sz="1400" b="1" i="0" u="none" strike="noStrike" baseline="0">
              <a:solidFill>
                <a:sysClr val="windowText" lastClr="000000"/>
              </a:solidFill>
              <a:latin typeface="Calibri" panose="020F0502020204030204"/>
            </a:rPr>
            <a:t>2018</a:t>
          </a:r>
        </a:p>
      </cx:txPr>
    </cx:title>
    <cx:plotArea>
      <cx:plotAreaRegion>
        <cx:series layoutId="waterfall" uniqueId="{471B7567-9DBF-4ED8-98C2-80D52FA5FAA8}" formatIdx="0">
          <cx:tx>
            <cx:txData>
              <cx:f>_xlchart.v1.5</cx:f>
              <cx:v>2018/2020</cx:v>
            </cx:txData>
          </cx:tx>
          <cx:dataLabels pos="outEnd">
            <cx:txPr>
              <a:bodyPr vertOverflow="overflow" horzOverflow="overflow" wrap="square" lIns="0" tIns="0" rIns="0" bIns="0"/>
              <a:lstStyle/>
              <a:p>
                <a:pPr algn="ctr" rtl="0">
                  <a:defRPr sz="900" b="0"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da-DK">
                  <a:solidFill>
                    <a:sysClr val="windowText" lastClr="000000"/>
                  </a:solidFill>
                </a:endParaRPr>
              </a:p>
            </cx:txPr>
            <cx:visibility seriesName="0" categoryName="0" value="1"/>
          </cx:dataLabels>
          <cx:dataId val="0"/>
          <cx:layoutPr>
            <cx:subtotals/>
          </cx:layoutPr>
        </cx:series>
      </cx:plotAreaRegion>
      <cx:axis id="0">
        <cx:catScaling gapWidth="0.5"/>
        <cx:tickLabels/>
        <cx:spPr>
          <a:ln>
            <a:solidFill>
              <a:schemeClr val="tx1"/>
            </a:solidFill>
          </a:ln>
        </cx:spPr>
        <cx:txPr>
          <a:bodyPr vertOverflow="overflow" horzOverflow="overflow" wrap="square" lIns="0" tIns="0" rIns="0" bIns="0"/>
          <a:lstStyle/>
          <a:p>
            <a:pPr algn="ctr" rtl="0">
              <a:defRPr sz="900" b="0"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da-DK">
              <a:solidFill>
                <a:sysClr val="windowText" lastClr="000000"/>
              </a:solidFill>
            </a:endParaRPr>
          </a:p>
        </cx:txPr>
      </cx:axis>
      <cx:axis id="1">
        <cx:valScaling/>
        <cx:title>
          <cx:tx>
            <cx:rich>
              <a:bodyPr spcFirstLastPara="1" vertOverflow="ellipsis" horzOverflow="overflow" wrap="square" lIns="0" tIns="0" rIns="0" bIns="0" anchor="ctr" anchorCtr="1"/>
              <a:lstStyle/>
              <a:p>
                <a:pPr rtl="0">
                  <a:defRPr sz="1000" b="1">
                    <a:solidFill>
                      <a:sysClr val="windowText" lastClr="000000"/>
                    </a:solidFill>
                  </a:defRPr>
                </a:pPr>
                <a:r>
                  <a:rPr lang="da-DK" sz="1000" b="1" i="0" baseline="0">
                    <a:solidFill>
                      <a:sysClr val="windowText" lastClr="000000"/>
                    </a:solidFill>
                    <a:effectLst/>
                  </a:rPr>
                  <a:t>Tons CO</a:t>
                </a:r>
                <a:r>
                  <a:rPr lang="da-DK" sz="1000" b="1" i="0" baseline="-25000">
                    <a:solidFill>
                      <a:sysClr val="windowText" lastClr="000000"/>
                    </a:solidFill>
                    <a:effectLst/>
                  </a:rPr>
                  <a:t>2</a:t>
                </a:r>
                <a:r>
                  <a:rPr lang="da-DK" sz="1000" b="1" i="0" baseline="0">
                    <a:solidFill>
                      <a:sysClr val="windowText" lastClr="000000"/>
                    </a:solidFill>
                    <a:effectLst/>
                  </a:rPr>
                  <a:t> / år</a:t>
                </a:r>
                <a:endParaRPr lang="da-DK" sz="1000" b="1">
                  <a:solidFill>
                    <a:sysClr val="windowText" lastClr="000000"/>
                  </a:solidFill>
                  <a:effectLst/>
                </a:endParaRPr>
              </a:p>
            </cx:rich>
          </cx:tx>
        </cx:title>
        <cx:majorGridlines>
          <cx:spPr>
            <a:ln>
              <a:solidFill>
                <a:schemeClr val="tx1"/>
              </a:solidFill>
            </a:ln>
          </cx:spPr>
        </cx:majorGridlines>
        <cx:tickLabels/>
        <cx:spPr>
          <a:ln>
            <a:solidFill>
              <a:schemeClr val="tx1"/>
            </a:solidFill>
          </a:ln>
        </cx:spPr>
        <cx:txPr>
          <a:bodyPr vertOverflow="overflow" horzOverflow="overflow" wrap="square" lIns="0" tIns="0" rIns="0" bIns="0"/>
          <a:lstStyle/>
          <a:p>
            <a:pPr algn="ctr" rtl="0">
              <a:defRPr sz="900" b="0"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da-DK">
              <a:solidFill>
                <a:sysClr val="windowText" lastClr="000000"/>
              </a:solidFill>
            </a:endParaRPr>
          </a:p>
        </cx:txPr>
      </cx:axis>
    </cx:plotArea>
  </cx:chart>
  <cx:spPr>
    <a:ln>
      <a:solidFill>
        <a:schemeClr val="tx1"/>
      </a:solidFill>
    </a:ln>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_xlchart.v1.7</cx:f>
      </cx:strDim>
      <cx:numDim type="val">
        <cx:f>_xlchart.v1.9</cx:f>
      </cx:numDim>
    </cx:data>
  </cx:chartData>
  <cx:chart>
    <cx:title pos="t" align="ctr" overlay="0">
      <cx:tx>
        <cx:txData>
          <cx:v>2018</cx:v>
        </cx:txData>
      </cx:tx>
      <cx:txPr>
        <a:bodyPr spcFirstLastPara="1" vertOverflow="ellipsis" horzOverflow="overflow" wrap="square" lIns="0" tIns="0" rIns="0" bIns="0" anchor="ctr" anchorCtr="1"/>
        <a:lstStyle/>
        <a:p>
          <a:pPr algn="ctr" rtl="0">
            <a:defRPr b="1">
              <a:solidFill>
                <a:sysClr val="windowText" lastClr="000000"/>
              </a:solidFill>
            </a:defRPr>
          </a:pPr>
          <a:r>
            <a:rPr lang="da-DK" sz="1400" b="1" i="0" u="none" strike="noStrike" baseline="0">
              <a:solidFill>
                <a:sysClr val="windowText" lastClr="000000"/>
              </a:solidFill>
              <a:latin typeface="Calibri" panose="020F0502020204030204"/>
            </a:rPr>
            <a:t>2018</a:t>
          </a:r>
        </a:p>
      </cx:txPr>
    </cx:title>
    <cx:plotArea>
      <cx:plotAreaRegion>
        <cx:plotSurface>
          <cx:spPr>
            <a:ln>
              <a:solidFill>
                <a:schemeClr val="bg1"/>
              </a:solidFill>
            </a:ln>
          </cx:spPr>
        </cx:plotSurface>
        <cx:series layoutId="waterfall" uniqueId="{F962FB64-4004-484E-A60F-FEA531F00B3D}">
          <cx:tx>
            <cx:txData>
              <cx:f>_xlchart.v1.8</cx:f>
              <cx:v>2018</cx:v>
            </cx:txData>
          </cx:tx>
          <cx:dataLabels pos="outEnd">
            <cx:txPr>
              <a:bodyPr vertOverflow="overflow" horzOverflow="overflow" wrap="square" lIns="0" tIns="0" rIns="0" bIns="0"/>
              <a:lstStyle/>
              <a:p>
                <a:pPr algn="ctr" rtl="0">
                  <a:defRPr sz="900" b="0"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da-DK">
                  <a:solidFill>
                    <a:sysClr val="windowText" lastClr="000000"/>
                  </a:solidFill>
                </a:endParaRPr>
              </a:p>
            </cx:txPr>
            <cx:visibility seriesName="0" categoryName="0" value="1"/>
          </cx:dataLabels>
          <cx:dataId val="0"/>
          <cx:layoutPr>
            <cx:subtotals/>
          </cx:layoutPr>
        </cx:series>
      </cx:plotAreaRegion>
      <cx:axis id="0">
        <cx:catScaling gapWidth="0.5"/>
        <cx:tickLabels/>
        <cx:spPr>
          <a:ln>
            <a:solidFill>
              <a:schemeClr val="tx1"/>
            </a:solidFill>
          </a:ln>
        </cx:spPr>
        <cx:txPr>
          <a:bodyPr vertOverflow="overflow" horzOverflow="overflow" wrap="square" lIns="0" tIns="0" rIns="0" bIns="0"/>
          <a:lstStyle/>
          <a:p>
            <a:pPr algn="ctr" rtl="0">
              <a:defRPr sz="900" b="0"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da-DK">
              <a:solidFill>
                <a:sysClr val="windowText" lastClr="000000"/>
              </a:solidFill>
            </a:endParaRPr>
          </a:p>
        </cx:txPr>
      </cx:axis>
      <cx:axis id="1">
        <cx:valScaling/>
        <cx:title>
          <cx:tx>
            <cx:rich>
              <a:bodyPr spcFirstLastPara="1" vertOverflow="ellipsis" horzOverflow="overflow" wrap="square" lIns="0" tIns="0" rIns="0" bIns="0" anchor="ctr" anchorCtr="1"/>
              <a:lstStyle/>
              <a:p>
                <a:pPr rtl="0" eaLnBrk="1" fontAlgn="auto" latinLnBrk="0" hangingPunct="1">
                  <a:defRPr sz="1000" b="1">
                    <a:solidFill>
                      <a:sysClr val="windowText" lastClr="000000"/>
                    </a:solidFill>
                  </a:defRPr>
                </a:pPr>
                <a:r>
                  <a:rPr lang="da-DK" sz="1000" b="1" i="0" baseline="0">
                    <a:solidFill>
                      <a:sysClr val="windowText" lastClr="000000"/>
                    </a:solidFill>
                    <a:effectLst/>
                  </a:rPr>
                  <a:t>1.000 tons CO</a:t>
                </a:r>
                <a:r>
                  <a:rPr lang="da-DK" sz="1000" b="1" i="0" baseline="-25000">
                    <a:solidFill>
                      <a:sysClr val="windowText" lastClr="000000"/>
                    </a:solidFill>
                    <a:effectLst/>
                  </a:rPr>
                  <a:t>2</a:t>
                </a:r>
                <a:r>
                  <a:rPr lang="da-DK" sz="1000" b="1" i="0" baseline="0">
                    <a:solidFill>
                      <a:sysClr val="windowText" lastClr="000000"/>
                    </a:solidFill>
                    <a:effectLst/>
                  </a:rPr>
                  <a:t> / år</a:t>
                </a:r>
              </a:p>
            </cx:rich>
          </cx:tx>
        </cx:title>
        <cx:majorGridlines>
          <cx:spPr>
            <a:ln>
              <a:solidFill>
                <a:schemeClr val="tx1"/>
              </a:solidFill>
            </a:ln>
          </cx:spPr>
        </cx:majorGridlines>
        <cx:tickLabels/>
        <cx:spPr>
          <a:ln>
            <a:solidFill>
              <a:schemeClr val="tx1"/>
            </a:solidFill>
          </a:ln>
        </cx:spPr>
        <cx:txPr>
          <a:bodyPr vertOverflow="overflow" horzOverflow="overflow" wrap="square" lIns="0" tIns="0" rIns="0" bIns="0"/>
          <a:lstStyle/>
          <a:p>
            <a:pPr algn="ctr" rtl="0">
              <a:defRPr sz="900" b="0"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da-DK">
              <a:solidFill>
                <a:sysClr val="windowText" lastClr="000000"/>
              </a:solidFill>
            </a:endParaRPr>
          </a:p>
        </cx:txPr>
      </cx:axis>
    </cx:plotArea>
  </cx:chart>
  <cx:spPr>
    <a:ln>
      <a:solidFill>
        <a:schemeClr val="tx1"/>
      </a:solidFill>
    </a:ln>
  </cx:spPr>
</cx: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9.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2.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3.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4.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6" Type="http://schemas.openxmlformats.org/officeDocument/2006/relationships/hyperlink" Target="#'Grafer-energi'!B1213"/><Relationship Id="rId21" Type="http://schemas.openxmlformats.org/officeDocument/2006/relationships/chart" Target="../charts/chart21.xml"/><Relationship Id="rId42" Type="http://schemas.openxmlformats.org/officeDocument/2006/relationships/hyperlink" Target="#'Grafer-energi'!B284"/><Relationship Id="rId47" Type="http://schemas.openxmlformats.org/officeDocument/2006/relationships/hyperlink" Target="#'Grafer-energi'!B442"/><Relationship Id="rId63" Type="http://schemas.openxmlformats.org/officeDocument/2006/relationships/hyperlink" Target="#'Grafer-energi'!B899"/><Relationship Id="rId68" Type="http://schemas.openxmlformats.org/officeDocument/2006/relationships/chart" Target="../charts/chart35.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4.xml"/><Relationship Id="rId11" Type="http://schemas.openxmlformats.org/officeDocument/2006/relationships/chart" Target="../charts/chart11.xml"/><Relationship Id="rId24" Type="http://schemas.openxmlformats.org/officeDocument/2006/relationships/hyperlink" Target="#'Grafer-energi'!B1115"/><Relationship Id="rId32" Type="http://schemas.openxmlformats.org/officeDocument/2006/relationships/chart" Target="../charts/chart27.xml"/><Relationship Id="rId37" Type="http://schemas.openxmlformats.org/officeDocument/2006/relationships/chart" Target="../charts/chart32.xml"/><Relationship Id="rId40" Type="http://schemas.openxmlformats.org/officeDocument/2006/relationships/hyperlink" Target="#'Grafer-energi'!B149"/><Relationship Id="rId45" Type="http://schemas.openxmlformats.org/officeDocument/2006/relationships/hyperlink" Target="#'Grafer-energi'!B372"/><Relationship Id="rId53" Type="http://schemas.openxmlformats.org/officeDocument/2006/relationships/hyperlink" Target="#'Grafer-energi'!B587"/><Relationship Id="rId58" Type="http://schemas.openxmlformats.org/officeDocument/2006/relationships/hyperlink" Target="#'Grafer-energi'!B632"/><Relationship Id="rId66" Type="http://schemas.openxmlformats.org/officeDocument/2006/relationships/hyperlink" Target="#'Grafer-energi'!B829"/><Relationship Id="rId5" Type="http://schemas.openxmlformats.org/officeDocument/2006/relationships/chart" Target="../charts/chart5.xml"/><Relationship Id="rId61" Type="http://schemas.openxmlformats.org/officeDocument/2006/relationships/hyperlink" Target="#'Grafer-energi'!B762"/><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3.xml"/><Relationship Id="rId30" Type="http://schemas.openxmlformats.org/officeDocument/2006/relationships/chart" Target="../charts/chart25.xml"/><Relationship Id="rId35" Type="http://schemas.openxmlformats.org/officeDocument/2006/relationships/chart" Target="../charts/chart30.xml"/><Relationship Id="rId43" Type="http://schemas.openxmlformats.org/officeDocument/2006/relationships/hyperlink" Target="#'Grafer-energi'!B312"/><Relationship Id="rId48" Type="http://schemas.openxmlformats.org/officeDocument/2006/relationships/hyperlink" Target="#'Grafer-energi'!B472"/><Relationship Id="rId56" Type="http://schemas.openxmlformats.org/officeDocument/2006/relationships/hyperlink" Target="#'Grafer-energi'!B1038"/><Relationship Id="rId64" Type="http://schemas.openxmlformats.org/officeDocument/2006/relationships/hyperlink" Target="#'Grafer-energi'!B929"/><Relationship Id="rId69" Type="http://schemas.openxmlformats.org/officeDocument/2006/relationships/image" Target="../media/image1.wmf"/><Relationship Id="rId8" Type="http://schemas.openxmlformats.org/officeDocument/2006/relationships/chart" Target="../charts/chart8.xml"/><Relationship Id="rId51" Type="http://schemas.openxmlformats.org/officeDocument/2006/relationships/hyperlink" Target="#'Grafer-energi'!B226"/><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hyperlink" Target="#'Grafer-energi'!B1165"/><Relationship Id="rId33" Type="http://schemas.openxmlformats.org/officeDocument/2006/relationships/chart" Target="../charts/chart28.xml"/><Relationship Id="rId38" Type="http://schemas.openxmlformats.org/officeDocument/2006/relationships/chart" Target="../charts/chart33.xml"/><Relationship Id="rId46" Type="http://schemas.openxmlformats.org/officeDocument/2006/relationships/hyperlink" Target="#'Grafer-energi'!B412"/><Relationship Id="rId59" Type="http://schemas.openxmlformats.org/officeDocument/2006/relationships/hyperlink" Target="#'Grafer-energi'!B663"/><Relationship Id="rId67" Type="http://schemas.openxmlformats.org/officeDocument/2006/relationships/chart" Target="../charts/chart34.xml"/><Relationship Id="rId20" Type="http://schemas.openxmlformats.org/officeDocument/2006/relationships/chart" Target="../charts/chart20.xml"/><Relationship Id="rId41" Type="http://schemas.openxmlformats.org/officeDocument/2006/relationships/hyperlink" Target="#'Grafer-energi'!B255"/><Relationship Id="rId54" Type="http://schemas.openxmlformats.org/officeDocument/2006/relationships/hyperlink" Target="#'Grafer-energi'!B960"/><Relationship Id="rId62" Type="http://schemas.openxmlformats.org/officeDocument/2006/relationships/hyperlink" Target="#'Grafer-energi'!B857"/><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hyperlink" Target="#'Grafer-energi'!B1263"/><Relationship Id="rId28" Type="http://schemas.openxmlformats.org/officeDocument/2006/relationships/hyperlink" Target="#'Grafer-energi'!A1"/><Relationship Id="rId36" Type="http://schemas.openxmlformats.org/officeDocument/2006/relationships/chart" Target="../charts/chart31.xml"/><Relationship Id="rId49" Type="http://schemas.openxmlformats.org/officeDocument/2006/relationships/hyperlink" Target="#'Grafer-energi'!B517"/><Relationship Id="rId57" Type="http://schemas.openxmlformats.org/officeDocument/2006/relationships/hyperlink" Target="#'Grafer-energi'!B1085"/><Relationship Id="rId10" Type="http://schemas.openxmlformats.org/officeDocument/2006/relationships/chart" Target="../charts/chart10.xml"/><Relationship Id="rId31" Type="http://schemas.openxmlformats.org/officeDocument/2006/relationships/chart" Target="../charts/chart26.xml"/><Relationship Id="rId44" Type="http://schemas.openxmlformats.org/officeDocument/2006/relationships/hyperlink" Target="#'Grafer-energi'!B342"/><Relationship Id="rId52" Type="http://schemas.openxmlformats.org/officeDocument/2006/relationships/hyperlink" Target="#'Grafer-energi'!B545"/><Relationship Id="rId60" Type="http://schemas.openxmlformats.org/officeDocument/2006/relationships/hyperlink" Target="#'Grafer-energi'!B692"/><Relationship Id="rId65" Type="http://schemas.openxmlformats.org/officeDocument/2006/relationships/hyperlink" Target="#'Grafer-energi'!B790"/><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hyperlink" Target="#'Grafer-energi'!B88"/><Relationship Id="rId34" Type="http://schemas.openxmlformats.org/officeDocument/2006/relationships/chart" Target="../charts/chart29.xml"/><Relationship Id="rId50" Type="http://schemas.openxmlformats.org/officeDocument/2006/relationships/hyperlink" Target="#'Grafer-energi'!B187"/><Relationship Id="rId55" Type="http://schemas.openxmlformats.org/officeDocument/2006/relationships/hyperlink" Target="#'Grafer-energi'!B1008"/></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3" Type="http://schemas.openxmlformats.org/officeDocument/2006/relationships/hyperlink" Target="#'Grafer-klima-&gt;V&#198;LG GWP og NIR&lt;-'!M84:U107"/><Relationship Id="rId18" Type="http://schemas.openxmlformats.org/officeDocument/2006/relationships/hyperlink" Target="#'Grafer-klima-&gt;V&#198;LG GWP og NIR&lt;-'!B306:J333"/><Relationship Id="rId26" Type="http://schemas.openxmlformats.org/officeDocument/2006/relationships/hyperlink" Target="#'Grafer-klima-&gt;V&#198;LG GWP og NIR&lt;-'!B158:I220"/><Relationship Id="rId39" Type="http://schemas.openxmlformats.org/officeDocument/2006/relationships/chart" Target="../charts/chart52.xml"/><Relationship Id="rId21" Type="http://schemas.openxmlformats.org/officeDocument/2006/relationships/hyperlink" Target="#'Grafer-klima-&gt;V&#198;LG GWP og NIR&lt;-'!B398:J469"/><Relationship Id="rId34" Type="http://schemas.openxmlformats.org/officeDocument/2006/relationships/chart" Target="../charts/chart48.xml"/><Relationship Id="rId42" Type="http://schemas.openxmlformats.org/officeDocument/2006/relationships/chart" Target="../charts/chart55.xml"/><Relationship Id="rId7" Type="http://schemas.openxmlformats.org/officeDocument/2006/relationships/chart" Target="../charts/chart40.xml"/><Relationship Id="rId2" Type="http://schemas.microsoft.com/office/2014/relationships/chartEx" Target="../charts/chartEx1.xml"/><Relationship Id="rId16" Type="http://schemas.openxmlformats.org/officeDocument/2006/relationships/hyperlink" Target="#'Grafer-klima-&gt;V&#198;LG GWP og NIR&lt;-'!B256:E281"/><Relationship Id="rId20" Type="http://schemas.openxmlformats.org/officeDocument/2006/relationships/hyperlink" Target="#'Grafer-klima-&gt;V&#198;LG GWP og NIR&lt;-'!B361:I396"/><Relationship Id="rId29" Type="http://schemas.openxmlformats.org/officeDocument/2006/relationships/chart" Target="../charts/chart43.xml"/><Relationship Id="rId41" Type="http://schemas.openxmlformats.org/officeDocument/2006/relationships/chart" Target="../charts/chart54.xml"/><Relationship Id="rId1" Type="http://schemas.openxmlformats.org/officeDocument/2006/relationships/chart" Target="../charts/chart36.xml"/><Relationship Id="rId6" Type="http://schemas.openxmlformats.org/officeDocument/2006/relationships/chart" Target="../charts/chart39.xml"/><Relationship Id="rId11" Type="http://schemas.openxmlformats.org/officeDocument/2006/relationships/hyperlink" Target="#'Grafer-klima-&gt;V&#198;LG GWP og NIR&lt;-'!B109:D132"/><Relationship Id="rId24" Type="http://schemas.openxmlformats.org/officeDocument/2006/relationships/hyperlink" Target="#'Grafer-klima-&gt;V&#198;LG GWP og NIR&lt;-'!B575:J608"/><Relationship Id="rId32" Type="http://schemas.openxmlformats.org/officeDocument/2006/relationships/chart" Target="../charts/chart46.xml"/><Relationship Id="rId37" Type="http://schemas.openxmlformats.org/officeDocument/2006/relationships/chart" Target="../charts/chart50.xml"/><Relationship Id="rId40" Type="http://schemas.openxmlformats.org/officeDocument/2006/relationships/chart" Target="../charts/chart53.xml"/><Relationship Id="rId5" Type="http://schemas.openxmlformats.org/officeDocument/2006/relationships/chart" Target="../charts/chart38.xml"/><Relationship Id="rId15" Type="http://schemas.openxmlformats.org/officeDocument/2006/relationships/hyperlink" Target="#'Grafer-klima-&gt;V&#198;LG GWP og NIR&lt;-'!B222:I254"/><Relationship Id="rId23" Type="http://schemas.openxmlformats.org/officeDocument/2006/relationships/hyperlink" Target="#'Grafer-klima-&gt;V&#198;LG GWP og NIR&lt;-'!B513:J573"/><Relationship Id="rId28" Type="http://schemas.openxmlformats.org/officeDocument/2006/relationships/chart" Target="../charts/chart42.xml"/><Relationship Id="rId36" Type="http://schemas.openxmlformats.org/officeDocument/2006/relationships/chart" Target="../charts/chart49.xml"/><Relationship Id="rId10" Type="http://schemas.openxmlformats.org/officeDocument/2006/relationships/hyperlink" Target="#'Grafer-klima-&gt;V&#198;LG GWP og NIR&lt;-'!B84:I107"/><Relationship Id="rId19" Type="http://schemas.openxmlformats.org/officeDocument/2006/relationships/hyperlink" Target="#'Grafer-klima-&gt;V&#198;LG GWP og NIR&lt;-'!B335:F358"/><Relationship Id="rId31" Type="http://schemas.openxmlformats.org/officeDocument/2006/relationships/chart" Target="../charts/chart45.xml"/><Relationship Id="rId44" Type="http://schemas.microsoft.com/office/2014/relationships/chartEx" Target="../charts/chartEx4.xml"/><Relationship Id="rId4" Type="http://schemas.openxmlformats.org/officeDocument/2006/relationships/chart" Target="../charts/chart37.xml"/><Relationship Id="rId9" Type="http://schemas.openxmlformats.org/officeDocument/2006/relationships/hyperlink" Target="#'Grafer-klima-&gt;V&#198;LG GWP og NIR&lt;-'!B54:I82"/><Relationship Id="rId14" Type="http://schemas.openxmlformats.org/officeDocument/2006/relationships/hyperlink" Target="#'Grafer-klima-&gt;V&#198;LG GWP og NIR&lt;-'!M109:P132"/><Relationship Id="rId22" Type="http://schemas.openxmlformats.org/officeDocument/2006/relationships/hyperlink" Target="#'Grafer-klima-&gt;V&#198;LG GWP og NIR&lt;-'!B472:J510"/><Relationship Id="rId27" Type="http://schemas.openxmlformats.org/officeDocument/2006/relationships/hyperlink" Target="#'Grafer-klima-&gt;V&#198;LG GWP og NIR&lt;-'!A1"/><Relationship Id="rId30" Type="http://schemas.openxmlformats.org/officeDocument/2006/relationships/chart" Target="../charts/chart44.xml"/><Relationship Id="rId35" Type="http://schemas.openxmlformats.org/officeDocument/2006/relationships/image" Target="../media/image1.wmf"/><Relationship Id="rId43" Type="http://schemas.microsoft.com/office/2014/relationships/chartEx" Target="../charts/chartEx3.xml"/><Relationship Id="rId8" Type="http://schemas.openxmlformats.org/officeDocument/2006/relationships/chart" Target="../charts/chart41.xml"/><Relationship Id="rId3" Type="http://schemas.microsoft.com/office/2014/relationships/chartEx" Target="../charts/chartEx2.xml"/><Relationship Id="rId12" Type="http://schemas.openxmlformats.org/officeDocument/2006/relationships/hyperlink" Target="#'Grafer-klima-&gt;V&#198;LG GWP og NIR&lt;-'!M54:U82"/><Relationship Id="rId17" Type="http://schemas.openxmlformats.org/officeDocument/2006/relationships/hyperlink" Target="#'Grafer-klima-&gt;V&#198;LG GWP og NIR&lt;-'!B283:J305"/><Relationship Id="rId25" Type="http://schemas.openxmlformats.org/officeDocument/2006/relationships/hyperlink" Target="#'Grafer-klima-&gt;V&#198;LG GWP og NIR&lt;-'!B613:J679"/><Relationship Id="rId33" Type="http://schemas.openxmlformats.org/officeDocument/2006/relationships/chart" Target="../charts/chart47.xml"/><Relationship Id="rId38" Type="http://schemas.openxmlformats.org/officeDocument/2006/relationships/chart" Target="../charts/chart5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wmf"/></Relationships>
</file>

<file path=xl/drawings/_rels/drawing24.xml.rels><?xml version="1.0" encoding="UTF-8" standalone="yes"?>
<Relationships xmlns="http://schemas.openxmlformats.org/package/2006/relationships"><Relationship Id="rId1" Type="http://schemas.openxmlformats.org/officeDocument/2006/relationships/image" Target="../media/image1.wmf"/></Relationships>
</file>

<file path=xl/drawings/_rels/drawing25.xml.rels><?xml version="1.0" encoding="UTF-8" standalone="yes"?>
<Relationships xmlns="http://schemas.openxmlformats.org/package/2006/relationships"><Relationship Id="rId1" Type="http://schemas.openxmlformats.org/officeDocument/2006/relationships/image" Target="../media/image1.wmf"/></Relationships>
</file>

<file path=xl/drawings/_rels/drawing26.xml.rels><?xml version="1.0" encoding="UTF-8" standalone="yes"?>
<Relationships xmlns="http://schemas.openxmlformats.org/package/2006/relationships"><Relationship Id="rId1" Type="http://schemas.openxmlformats.org/officeDocument/2006/relationships/image" Target="../media/image1.wmf"/></Relationships>
</file>

<file path=xl/drawings/_rels/drawing27.xml.rels><?xml version="1.0" encoding="UTF-8" standalone="yes"?>
<Relationships xmlns="http://schemas.openxmlformats.org/package/2006/relationships"><Relationship Id="rId1" Type="http://schemas.openxmlformats.org/officeDocument/2006/relationships/image" Target="../media/image1.wmf"/></Relationships>
</file>

<file path=xl/drawings/_rels/drawing28.xml.rels><?xml version="1.0" encoding="UTF-8" standalone="yes"?>
<Relationships xmlns="http://schemas.openxmlformats.org/package/2006/relationships"><Relationship Id="rId1" Type="http://schemas.openxmlformats.org/officeDocument/2006/relationships/image" Target="../media/image1.wmf"/></Relationships>
</file>

<file path=xl/drawings/_rels/drawing29.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2" Type="http://schemas.openxmlformats.org/officeDocument/2006/relationships/hyperlink" Target="#'NIR faktorer'!A1"/><Relationship Id="rId1" Type="http://schemas.openxmlformats.org/officeDocument/2006/relationships/image" Target="../media/image1.wmf"/></Relationships>
</file>

<file path=xl/drawings/_rels/drawing30.xml.rels><?xml version="1.0" encoding="UTF-8" standalone="yes"?>
<Relationships xmlns="http://schemas.openxmlformats.org/package/2006/relationships"><Relationship Id="rId1" Type="http://schemas.openxmlformats.org/officeDocument/2006/relationships/image" Target="../media/image1.wmf"/></Relationships>
</file>

<file path=xl/drawings/_rels/drawing31.xml.rels><?xml version="1.0" encoding="UTF-8" standalone="yes"?>
<Relationships xmlns="http://schemas.openxmlformats.org/package/2006/relationships"><Relationship Id="rId1" Type="http://schemas.openxmlformats.org/officeDocument/2006/relationships/image" Target="../media/image1.wmf"/></Relationships>
</file>

<file path=xl/drawings/_rels/drawing3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3.xml.rels><?xml version="1.0" encoding="UTF-8" standalone="yes"?>
<Relationships xmlns="http://schemas.openxmlformats.org/package/2006/relationships"><Relationship Id="rId1" Type="http://schemas.openxmlformats.org/officeDocument/2006/relationships/image" Target="../media/image1.wmf"/></Relationships>
</file>

<file path=xl/drawings/_rels/drawing34.xml.rels><?xml version="1.0" encoding="UTF-8" standalone="yes"?>
<Relationships xmlns="http://schemas.openxmlformats.org/package/2006/relationships"><Relationship Id="rId1" Type="http://schemas.openxmlformats.org/officeDocument/2006/relationships/image" Target="../media/image1.wmf"/></Relationships>
</file>

<file path=xl/drawings/_rels/drawing35.xml.rels><?xml version="1.0" encoding="UTF-8" standalone="yes"?>
<Relationships xmlns="http://schemas.openxmlformats.org/package/2006/relationships"><Relationship Id="rId1" Type="http://schemas.openxmlformats.org/officeDocument/2006/relationships/image" Target="../media/image1.wmf"/></Relationships>
</file>

<file path=xl/drawings/_rels/drawing36.xml.rels><?xml version="1.0" encoding="UTF-8" standalone="yes"?>
<Relationships xmlns="http://schemas.openxmlformats.org/package/2006/relationships"><Relationship Id="rId1" Type="http://schemas.openxmlformats.org/officeDocument/2006/relationships/image" Target="../media/image1.wmf"/></Relationships>
</file>

<file path=xl/drawings/_rels/drawing37.xml.rels><?xml version="1.0" encoding="UTF-8" standalone="yes"?>
<Relationships xmlns="http://schemas.openxmlformats.org/package/2006/relationships"><Relationship Id="rId1" Type="http://schemas.openxmlformats.org/officeDocument/2006/relationships/image" Target="../media/image1.wmf"/></Relationships>
</file>

<file path=xl/drawings/_rels/drawing38.xml.rels><?xml version="1.0" encoding="UTF-8" standalone="yes"?>
<Relationships xmlns="http://schemas.openxmlformats.org/package/2006/relationships"><Relationship Id="rId1" Type="http://schemas.openxmlformats.org/officeDocument/2006/relationships/image" Target="../media/image1.wmf"/></Relationships>
</file>

<file path=xl/drawings/_rels/drawing39.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8" Type="http://schemas.openxmlformats.org/officeDocument/2006/relationships/chart" Target="../charts/chart63.xml"/><Relationship Id="rId3" Type="http://schemas.openxmlformats.org/officeDocument/2006/relationships/chart" Target="../charts/chart58.xml"/><Relationship Id="rId7" Type="http://schemas.openxmlformats.org/officeDocument/2006/relationships/chart" Target="../charts/chart62.xml"/><Relationship Id="rId2" Type="http://schemas.openxmlformats.org/officeDocument/2006/relationships/chart" Target="../charts/chart57.xml"/><Relationship Id="rId1" Type="http://schemas.openxmlformats.org/officeDocument/2006/relationships/chart" Target="../charts/chart56.xml"/><Relationship Id="rId6" Type="http://schemas.openxmlformats.org/officeDocument/2006/relationships/chart" Target="../charts/chart61.xml"/><Relationship Id="rId5" Type="http://schemas.openxmlformats.org/officeDocument/2006/relationships/chart" Target="../charts/chart60.xml"/><Relationship Id="rId10" Type="http://schemas.openxmlformats.org/officeDocument/2006/relationships/chart" Target="../charts/chart64.xml"/><Relationship Id="rId4" Type="http://schemas.openxmlformats.org/officeDocument/2006/relationships/chart" Target="../charts/chart59.xml"/><Relationship Id="rId9" Type="http://schemas.openxmlformats.org/officeDocument/2006/relationships/image" Target="../media/image1.wmf"/></Relationships>
</file>

<file path=xl/drawings/_rels/drawing40.xml.rels><?xml version="1.0" encoding="UTF-8" standalone="yes"?>
<Relationships xmlns="http://schemas.openxmlformats.org/package/2006/relationships"><Relationship Id="rId1" Type="http://schemas.openxmlformats.org/officeDocument/2006/relationships/image" Target="../media/image1.wmf"/></Relationships>
</file>

<file path=xl/drawings/_rels/drawing41.xml.rels><?xml version="1.0" encoding="UTF-8" standalone="yes"?>
<Relationships xmlns="http://schemas.openxmlformats.org/package/2006/relationships"><Relationship Id="rId1" Type="http://schemas.openxmlformats.org/officeDocument/2006/relationships/image" Target="../media/image1.wmf"/></Relationships>
</file>

<file path=xl/drawings/_rels/drawing42.xml.rels><?xml version="1.0" encoding="UTF-8" standalone="yes"?>
<Relationships xmlns="http://schemas.openxmlformats.org/package/2006/relationships"><Relationship Id="rId1" Type="http://schemas.openxmlformats.org/officeDocument/2006/relationships/image" Target="../media/image1.wmf"/></Relationships>
</file>

<file path=xl/drawings/_rels/drawing4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4.xml.rels><?xml version="1.0" encoding="UTF-8" standalone="yes"?>
<Relationships xmlns="http://schemas.openxmlformats.org/package/2006/relationships"><Relationship Id="rId1" Type="http://schemas.openxmlformats.org/officeDocument/2006/relationships/image" Target="../media/image1.wmf"/></Relationships>
</file>

<file path=xl/drawings/_rels/drawing45.xml.rels><?xml version="1.0" encoding="UTF-8" standalone="yes"?>
<Relationships xmlns="http://schemas.openxmlformats.org/package/2006/relationships"><Relationship Id="rId1" Type="http://schemas.openxmlformats.org/officeDocument/2006/relationships/image" Target="../media/image1.wmf"/></Relationships>
</file>

<file path=xl/drawings/_rels/drawing46.xml.rels><?xml version="1.0" encoding="UTF-8" standalone="yes"?>
<Relationships xmlns="http://schemas.openxmlformats.org/package/2006/relationships"><Relationship Id="rId1" Type="http://schemas.openxmlformats.org/officeDocument/2006/relationships/image" Target="../media/image1.wmf"/></Relationships>
</file>

<file path=xl/drawings/_rels/drawing47.xml.rels><?xml version="1.0" encoding="UTF-8" standalone="yes"?>
<Relationships xmlns="http://schemas.openxmlformats.org/package/2006/relationships"><Relationship Id="rId1" Type="http://schemas.openxmlformats.org/officeDocument/2006/relationships/image" Target="../media/image1.wmf"/></Relationships>
</file>

<file path=xl/drawings/_rels/drawing48.xml.rels><?xml version="1.0" encoding="UTF-8" standalone="yes"?>
<Relationships xmlns="http://schemas.openxmlformats.org/package/2006/relationships"><Relationship Id="rId1" Type="http://schemas.openxmlformats.org/officeDocument/2006/relationships/image" Target="../media/image1.wmf"/></Relationships>
</file>

<file path=xl/drawings/_rels/drawing49.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_rels/drawing50.xml.rels><?xml version="1.0" encoding="UTF-8" standalone="yes"?>
<Relationships xmlns="http://schemas.openxmlformats.org/package/2006/relationships"><Relationship Id="rId1" Type="http://schemas.openxmlformats.org/officeDocument/2006/relationships/image" Target="../media/image1.wmf"/></Relationships>
</file>

<file path=xl/drawings/_rels/drawing51.xml.rels><?xml version="1.0" encoding="UTF-8" standalone="yes"?>
<Relationships xmlns="http://schemas.openxmlformats.org/package/2006/relationships"><Relationship Id="rId1" Type="http://schemas.openxmlformats.org/officeDocument/2006/relationships/image" Target="../media/image1.wmf"/></Relationships>
</file>

<file path=xl/drawings/_rels/drawing52.xml.rels><?xml version="1.0" encoding="UTF-8" standalone="yes"?>
<Relationships xmlns="http://schemas.openxmlformats.org/package/2006/relationships"><Relationship Id="rId1" Type="http://schemas.openxmlformats.org/officeDocument/2006/relationships/image" Target="../media/image1.wmf"/></Relationships>
</file>

<file path=xl/drawings/_rels/drawing53.xml.rels><?xml version="1.0" encoding="UTF-8" standalone="yes"?>
<Relationships xmlns="http://schemas.openxmlformats.org/package/2006/relationships"><Relationship Id="rId1" Type="http://schemas.openxmlformats.org/officeDocument/2006/relationships/image" Target="../media/image1.wmf"/></Relationships>
</file>

<file path=xl/drawings/_rels/drawing5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5.xml.rels><?xml version="1.0" encoding="UTF-8" standalone="yes"?>
<Relationships xmlns="http://schemas.openxmlformats.org/package/2006/relationships"><Relationship Id="rId1" Type="http://schemas.openxmlformats.org/officeDocument/2006/relationships/image" Target="../media/image1.wmf"/></Relationships>
</file>

<file path=xl/drawings/_rels/drawing56.xml.rels><?xml version="1.0" encoding="UTF-8" standalone="yes"?>
<Relationships xmlns="http://schemas.openxmlformats.org/package/2006/relationships"><Relationship Id="rId1" Type="http://schemas.openxmlformats.org/officeDocument/2006/relationships/image" Target="../media/image1.wmf"/></Relationships>
</file>

<file path=xl/drawings/_rels/drawing57.xml.rels><?xml version="1.0" encoding="UTF-8" standalone="yes"?>
<Relationships xmlns="http://schemas.openxmlformats.org/package/2006/relationships"><Relationship Id="rId1" Type="http://schemas.openxmlformats.org/officeDocument/2006/relationships/image" Target="../media/image1.wmf"/></Relationships>
</file>

<file path=xl/drawings/_rels/drawing58.xml.rels><?xml version="1.0" encoding="UTF-8" standalone="yes"?>
<Relationships xmlns="http://schemas.openxmlformats.org/package/2006/relationships"><Relationship Id="rId1" Type="http://schemas.openxmlformats.org/officeDocument/2006/relationships/image" Target="../media/image1.wmf"/></Relationships>
</file>

<file path=xl/drawings/_rels/drawing59.xml.rels><?xml version="1.0" encoding="UTF-8" standalone="yes"?>
<Relationships xmlns="http://schemas.openxmlformats.org/package/2006/relationships"><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wmf"/></Relationships>
</file>

<file path=xl/drawings/_rels/drawing7.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wmf"/></Relationships>
</file>

<file path=xl/drawings/_rels/drawing9.x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30416</xdr:colOff>
      <xdr:row>740</xdr:row>
      <xdr:rowOff>23548</xdr:rowOff>
    </xdr:from>
    <xdr:to>
      <xdr:col>6</xdr:col>
      <xdr:colOff>540505</xdr:colOff>
      <xdr:row>765</xdr:row>
      <xdr:rowOff>61490</xdr:rowOff>
    </xdr:to>
    <xdr:graphicFrame macro="">
      <xdr:nvGraphicFramePr>
        <xdr:cNvPr id="2" name="Diagram 16">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609598</xdr:colOff>
      <xdr:row>312</xdr:row>
      <xdr:rowOff>34017</xdr:rowOff>
    </xdr:from>
    <xdr:to>
      <xdr:col>6</xdr:col>
      <xdr:colOff>734785</xdr:colOff>
      <xdr:row>336</xdr:row>
      <xdr:rowOff>107817</xdr:rowOff>
    </xdr:to>
    <xdr:graphicFrame macro="">
      <xdr:nvGraphicFramePr>
        <xdr:cNvPr id="3" name="Diagram 19">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36739</xdr:colOff>
      <xdr:row>383</xdr:row>
      <xdr:rowOff>108857</xdr:rowOff>
    </xdr:from>
    <xdr:to>
      <xdr:col>6</xdr:col>
      <xdr:colOff>528417</xdr:colOff>
      <xdr:row>408</xdr:row>
      <xdr:rowOff>101118</xdr:rowOff>
    </xdr:to>
    <xdr:graphicFrame macro="">
      <xdr:nvGraphicFramePr>
        <xdr:cNvPr id="4" name="Diagram 21">
          <a:extLst>
            <a:ext uri="{FF2B5EF4-FFF2-40B4-BE49-F238E27FC236}">
              <a16:creationId xmlns:a16="http://schemas.microsoft.com/office/drawing/2014/main" id="{00000000-0008-0000-01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17365</xdr:colOff>
      <xdr:row>442</xdr:row>
      <xdr:rowOff>39779</xdr:rowOff>
    </xdr:from>
    <xdr:to>
      <xdr:col>7</xdr:col>
      <xdr:colOff>122464</xdr:colOff>
      <xdr:row>469</xdr:row>
      <xdr:rowOff>68036</xdr:rowOff>
    </xdr:to>
    <xdr:graphicFrame macro="">
      <xdr:nvGraphicFramePr>
        <xdr:cNvPr id="5" name="Diagram 21">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47624</xdr:colOff>
      <xdr:row>877</xdr:row>
      <xdr:rowOff>28574</xdr:rowOff>
    </xdr:from>
    <xdr:to>
      <xdr:col>6</xdr:col>
      <xdr:colOff>557713</xdr:colOff>
      <xdr:row>902</xdr:row>
      <xdr:rowOff>66515</xdr:rowOff>
    </xdr:to>
    <xdr:graphicFrame macro="">
      <xdr:nvGraphicFramePr>
        <xdr:cNvPr id="6" name="Diagram 21">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22972</xdr:colOff>
      <xdr:row>608</xdr:row>
      <xdr:rowOff>33617</xdr:rowOff>
    </xdr:from>
    <xdr:to>
      <xdr:col>6</xdr:col>
      <xdr:colOff>867833</xdr:colOff>
      <xdr:row>633</xdr:row>
      <xdr:rowOff>71558</xdr:rowOff>
    </xdr:to>
    <xdr:graphicFrame macro="">
      <xdr:nvGraphicFramePr>
        <xdr:cNvPr id="7" name="Diagram 23">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601195</xdr:colOff>
      <xdr:row>59</xdr:row>
      <xdr:rowOff>14088</xdr:rowOff>
    </xdr:from>
    <xdr:to>
      <xdr:col>6</xdr:col>
      <xdr:colOff>350824</xdr:colOff>
      <xdr:row>83</xdr:row>
      <xdr:rowOff>0</xdr:rowOff>
    </xdr:to>
    <xdr:graphicFrame macro="">
      <xdr:nvGraphicFramePr>
        <xdr:cNvPr id="8" name="Diagram 15">
          <a:extLst>
            <a:ext uri="{FF2B5EF4-FFF2-40B4-BE49-F238E27FC236}">
              <a16:creationId xmlns:a16="http://schemas.microsoft.com/office/drawing/2014/main" id="{00000000-0008-0000-01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60032</xdr:colOff>
      <xdr:row>965</xdr:row>
      <xdr:rowOff>76441</xdr:rowOff>
    </xdr:from>
    <xdr:to>
      <xdr:col>8</xdr:col>
      <xdr:colOff>816429</xdr:colOff>
      <xdr:row>1003</xdr:row>
      <xdr:rowOff>108857</xdr:rowOff>
    </xdr:to>
    <xdr:graphicFrame macro="">
      <xdr:nvGraphicFramePr>
        <xdr:cNvPr id="9" name="Diagram 15">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8283</xdr:colOff>
      <xdr:row>87</xdr:row>
      <xdr:rowOff>37516</xdr:rowOff>
    </xdr:from>
    <xdr:to>
      <xdr:col>4</xdr:col>
      <xdr:colOff>645783</xdr:colOff>
      <xdr:row>93</xdr:row>
      <xdr:rowOff>37966</xdr:rowOff>
    </xdr:to>
    <xdr:sp macro="" textlink="">
      <xdr:nvSpPr>
        <xdr:cNvPr id="15" name="Tekstboks 14">
          <a:extLst>
            <a:ext uri="{FF2B5EF4-FFF2-40B4-BE49-F238E27FC236}">
              <a16:creationId xmlns:a16="http://schemas.microsoft.com/office/drawing/2014/main" id="{00000000-0008-0000-0100-00000F000000}"/>
            </a:ext>
          </a:extLst>
        </xdr:cNvPr>
        <xdr:cNvSpPr txBox="1"/>
      </xdr:nvSpPr>
      <xdr:spPr>
        <a:xfrm>
          <a:off x="617883" y="15477541"/>
          <a:ext cx="5400000" cy="972000"/>
        </a:xfrm>
        <a:prstGeom prst="rect">
          <a:avLst/>
        </a:prstGeom>
        <a:solidFill>
          <a:schemeClr val="bg1">
            <a:lumMod val="95000"/>
          </a:schemeClr>
        </a:solidFill>
        <a:ln w="190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i="1">
              <a:solidFill>
                <a:schemeClr val="dk1"/>
              </a:solidFill>
              <a:effectLst/>
              <a:latin typeface="+mn-lt"/>
              <a:ea typeface="+mn-ea"/>
              <a:cs typeface="+mn-cs"/>
            </a:rPr>
            <a:t>Bruttoenergiforbrug</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Udtrykker den samlede mængde indført primær energi, der bliver tilført for at dække hele energiforbruget. Den mængde primær energi som bliver tilført består af en blanding af brændsler og brændselsfri energi i form af vind, sol og jordvarme.</a:t>
          </a:r>
        </a:p>
      </xdr:txBody>
    </xdr:sp>
    <xdr:clientData/>
  </xdr:twoCellAnchor>
  <xdr:twoCellAnchor>
    <xdr:from>
      <xdr:col>1</xdr:col>
      <xdr:colOff>22411</xdr:colOff>
      <xdr:row>937</xdr:row>
      <xdr:rowOff>61071</xdr:rowOff>
    </xdr:from>
    <xdr:to>
      <xdr:col>4</xdr:col>
      <xdr:colOff>659911</xdr:colOff>
      <xdr:row>942</xdr:row>
      <xdr:rowOff>134471</xdr:rowOff>
    </xdr:to>
    <xdr:sp macro="" textlink="">
      <xdr:nvSpPr>
        <xdr:cNvPr id="16" name="Tekstboks 15">
          <a:extLst>
            <a:ext uri="{FF2B5EF4-FFF2-40B4-BE49-F238E27FC236}">
              <a16:creationId xmlns:a16="http://schemas.microsoft.com/office/drawing/2014/main" id="{00000000-0008-0000-0100-000010000000}"/>
            </a:ext>
          </a:extLst>
        </xdr:cNvPr>
        <xdr:cNvSpPr txBox="1"/>
      </xdr:nvSpPr>
      <xdr:spPr>
        <a:xfrm>
          <a:off x="632011" y="138192621"/>
          <a:ext cx="5400000" cy="883025"/>
        </a:xfrm>
        <a:prstGeom prst="rect">
          <a:avLst/>
        </a:prstGeom>
        <a:solidFill>
          <a:schemeClr val="bg1">
            <a:lumMod val="95000"/>
          </a:schemeClr>
        </a:solidFill>
        <a:ln w="190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i="1">
              <a:solidFill>
                <a:schemeClr val="dk1"/>
              </a:solidFill>
              <a:effectLst/>
              <a:latin typeface="+mn-lt"/>
              <a:ea typeface="+mn-ea"/>
              <a:cs typeface="+mn-cs"/>
            </a:rPr>
            <a:t>Nettoenergiforbrug </a:t>
          </a:r>
          <a:r>
            <a:rPr lang="da-DK" sz="1100" b="0" i="1">
              <a:solidFill>
                <a:schemeClr val="dk1"/>
              </a:solidFill>
              <a:effectLst/>
              <a:latin typeface="+mn-lt"/>
              <a:ea typeface="+mn-ea"/>
              <a:cs typeface="+mn-cs"/>
            </a:rPr>
            <a:t>(tidligere benævnt</a:t>
          </a:r>
          <a:r>
            <a:rPr lang="da-DK" sz="1100" b="0" i="1" baseline="0">
              <a:solidFill>
                <a:schemeClr val="dk1"/>
              </a:solidFill>
              <a:effectLst/>
              <a:latin typeface="+mn-lt"/>
              <a:ea typeface="+mn-ea"/>
              <a:cs typeface="+mn-cs"/>
            </a:rPr>
            <a:t> '</a:t>
          </a:r>
          <a:r>
            <a:rPr lang="da-DK" sz="1100" b="0" i="1">
              <a:solidFill>
                <a:schemeClr val="dk1"/>
              </a:solidFill>
              <a:effectLst/>
              <a:latin typeface="+mn-lt"/>
              <a:ea typeface="+mn-ea"/>
              <a:cs typeface="+mn-cs"/>
            </a:rPr>
            <a:t>Slutforbrug')</a:t>
          </a:r>
          <a:endParaRPr lang="da-DK" sz="1100" b="0">
            <a:solidFill>
              <a:schemeClr val="dk1"/>
            </a:solidFill>
            <a:effectLst/>
            <a:latin typeface="+mn-lt"/>
            <a:ea typeface="+mn-ea"/>
            <a:cs typeface="+mn-cs"/>
          </a:endParaRPr>
        </a:p>
        <a:p>
          <a:r>
            <a:rPr lang="da-DK" sz="1100">
              <a:solidFill>
                <a:schemeClr val="dk1"/>
              </a:solidFill>
              <a:effectLst/>
              <a:latin typeface="+mn-lt"/>
              <a:ea typeface="+mn-ea"/>
              <a:cs typeface="+mn-cs"/>
            </a:rPr>
            <a:t>Udtrykker mængden af energi, der er nyttiggjort af slutbrugeren fordelt på omsætningsenheder. Slutforbrug er således den mængde energi der går til de forskellige energitjenester. </a:t>
          </a:r>
        </a:p>
      </xdr:txBody>
    </xdr:sp>
    <xdr:clientData/>
  </xdr:twoCellAnchor>
  <xdr:twoCellAnchor>
    <xdr:from>
      <xdr:col>1</xdr:col>
      <xdr:colOff>28575</xdr:colOff>
      <xdr:row>48</xdr:row>
      <xdr:rowOff>47625</xdr:rowOff>
    </xdr:from>
    <xdr:to>
      <xdr:col>4</xdr:col>
      <xdr:colOff>666075</xdr:colOff>
      <xdr:row>54</xdr:row>
      <xdr:rowOff>48075</xdr:rowOff>
    </xdr:to>
    <xdr:sp macro="" textlink="">
      <xdr:nvSpPr>
        <xdr:cNvPr id="17" name="Tekstboks 16">
          <a:extLst>
            <a:ext uri="{FF2B5EF4-FFF2-40B4-BE49-F238E27FC236}">
              <a16:creationId xmlns:a16="http://schemas.microsoft.com/office/drawing/2014/main" id="{00000000-0008-0000-0100-000011000000}"/>
            </a:ext>
          </a:extLst>
        </xdr:cNvPr>
        <xdr:cNvSpPr txBox="1"/>
      </xdr:nvSpPr>
      <xdr:spPr>
        <a:xfrm>
          <a:off x="638175" y="8867775"/>
          <a:ext cx="5400000" cy="972000"/>
        </a:xfrm>
        <a:prstGeom prst="rect">
          <a:avLst/>
        </a:prstGeom>
        <a:solidFill>
          <a:schemeClr val="bg1">
            <a:lumMod val="95000"/>
          </a:schemeClr>
        </a:solidFill>
        <a:ln w="190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i="1">
              <a:solidFill>
                <a:schemeClr val="dk1"/>
              </a:solidFill>
              <a:effectLst/>
              <a:latin typeface="+mn-lt"/>
              <a:ea typeface="+mn-ea"/>
              <a:cs typeface="+mn-cs"/>
            </a:rPr>
            <a:t>Andel</a:t>
          </a:r>
          <a:r>
            <a:rPr lang="da-DK" sz="1100" b="1" i="1" baseline="0">
              <a:solidFill>
                <a:schemeClr val="dk1"/>
              </a:solidFill>
              <a:effectLst/>
              <a:latin typeface="+mn-lt"/>
              <a:ea typeface="+mn-ea"/>
              <a:cs typeface="+mn-cs"/>
            </a:rPr>
            <a:t> vedvarende energi (Global)</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VE-andelen i det udvidede endelige energiforbrug (</a:t>
          </a:r>
          <a:r>
            <a:rPr lang="da-DK"/>
            <a:t>EU’s beregningsmåde)</a:t>
          </a:r>
          <a:r>
            <a:rPr lang="da-DK" sz="1100">
              <a:solidFill>
                <a:schemeClr val="dk1"/>
              </a:solidFill>
              <a:effectLst/>
              <a:latin typeface="+mn-lt"/>
              <a:ea typeface="+mn-ea"/>
              <a:cs typeface="+mn-cs"/>
            </a:rPr>
            <a:t>. B</a:t>
          </a:r>
          <a:r>
            <a:rPr lang="da-DK"/>
            <a:t>eregnet ud fra mængden af energi fra vedvarende energikilder i det udvidede endelige energiforbrug.</a:t>
          </a:r>
          <a:endParaRPr lang="da-DK" sz="1100">
            <a:solidFill>
              <a:schemeClr val="dk1"/>
            </a:solidFill>
            <a:effectLst/>
            <a:latin typeface="+mn-lt"/>
            <a:ea typeface="+mn-ea"/>
            <a:cs typeface="+mn-cs"/>
          </a:endParaRPr>
        </a:p>
      </xdr:txBody>
    </xdr:sp>
    <xdr:clientData/>
  </xdr:twoCellAnchor>
  <xdr:twoCellAnchor>
    <xdr:from>
      <xdr:col>1</xdr:col>
      <xdr:colOff>3363</xdr:colOff>
      <xdr:row>254</xdr:row>
      <xdr:rowOff>11205</xdr:rowOff>
    </xdr:from>
    <xdr:to>
      <xdr:col>6</xdr:col>
      <xdr:colOff>755196</xdr:colOff>
      <xdr:row>278</xdr:row>
      <xdr:rowOff>52348</xdr:rowOff>
    </xdr:to>
    <xdr:graphicFrame macro="">
      <xdr:nvGraphicFramePr>
        <xdr:cNvPr id="18" name="Diagram 17">
          <a:extLst>
            <a:ext uri="{FF2B5EF4-FFF2-40B4-BE49-F238E27FC236}">
              <a16:creationId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3363</xdr:colOff>
      <xdr:row>283</xdr:row>
      <xdr:rowOff>11205</xdr:rowOff>
    </xdr:from>
    <xdr:to>
      <xdr:col>6</xdr:col>
      <xdr:colOff>741589</xdr:colOff>
      <xdr:row>307</xdr:row>
      <xdr:rowOff>52348</xdr:rowOff>
    </xdr:to>
    <xdr:graphicFrame macro="">
      <xdr:nvGraphicFramePr>
        <xdr:cNvPr id="19" name="Diagram 18">
          <a:extLst>
            <a:ext uri="{FF2B5EF4-FFF2-40B4-BE49-F238E27FC236}">
              <a16:creationId xmlns:a16="http://schemas.microsoft.com/office/drawing/2014/main"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603565</xdr:colOff>
      <xdr:row>119</xdr:row>
      <xdr:rowOff>15846</xdr:rowOff>
    </xdr:from>
    <xdr:to>
      <xdr:col>6</xdr:col>
      <xdr:colOff>799347</xdr:colOff>
      <xdr:row>143</xdr:row>
      <xdr:rowOff>89646</xdr:rowOff>
    </xdr:to>
    <xdr:graphicFrame macro="">
      <xdr:nvGraphicFramePr>
        <xdr:cNvPr id="20" name="Diagram 15">
          <a:extLst>
            <a:ext uri="{FF2B5EF4-FFF2-40B4-BE49-F238E27FC236}">
              <a16:creationId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2425</xdr:colOff>
      <xdr:row>224</xdr:row>
      <xdr:rowOff>36739</xdr:rowOff>
    </xdr:from>
    <xdr:to>
      <xdr:col>6</xdr:col>
      <xdr:colOff>775607</xdr:colOff>
      <xdr:row>249</xdr:row>
      <xdr:rowOff>74681</xdr:rowOff>
    </xdr:to>
    <xdr:graphicFrame macro="">
      <xdr:nvGraphicFramePr>
        <xdr:cNvPr id="21" name="Diagram 20">
          <a:extLst>
            <a:ext uri="{FF2B5EF4-FFF2-40B4-BE49-F238E27FC236}">
              <a16:creationId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22413</xdr:colOff>
      <xdr:row>341</xdr:row>
      <xdr:rowOff>44821</xdr:rowOff>
    </xdr:from>
    <xdr:to>
      <xdr:col>6</xdr:col>
      <xdr:colOff>532502</xdr:colOff>
      <xdr:row>366</xdr:row>
      <xdr:rowOff>82762</xdr:rowOff>
    </xdr:to>
    <xdr:graphicFrame macro="">
      <xdr:nvGraphicFramePr>
        <xdr:cNvPr id="22" name="Diagram 21">
          <a:extLst>
            <a:ext uri="{FF2B5EF4-FFF2-40B4-BE49-F238E27FC236}">
              <a16:creationId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27214</xdr:colOff>
      <xdr:row>836</xdr:row>
      <xdr:rowOff>23933</xdr:rowOff>
    </xdr:from>
    <xdr:to>
      <xdr:col>6</xdr:col>
      <xdr:colOff>537303</xdr:colOff>
      <xdr:row>861</xdr:row>
      <xdr:rowOff>61875</xdr:rowOff>
    </xdr:to>
    <xdr:graphicFrame macro="">
      <xdr:nvGraphicFramePr>
        <xdr:cNvPr id="23" name="Diagram 22">
          <a:extLst>
            <a:ext uri="{FF2B5EF4-FFF2-40B4-BE49-F238E27FC236}">
              <a16:creationId xmlns:a16="http://schemas.microsoft.com/office/drawing/2014/main"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27216</xdr:colOff>
      <xdr:row>413</xdr:row>
      <xdr:rowOff>36738</xdr:rowOff>
    </xdr:from>
    <xdr:to>
      <xdr:col>6</xdr:col>
      <xdr:colOff>518894</xdr:colOff>
      <xdr:row>438</xdr:row>
      <xdr:rowOff>57150</xdr:rowOff>
    </xdr:to>
    <xdr:graphicFrame macro="">
      <xdr:nvGraphicFramePr>
        <xdr:cNvPr id="24" name="Diagram 23">
          <a:extLst>
            <a:ext uri="{FF2B5EF4-FFF2-40B4-BE49-F238E27FC236}">
              <a16:creationId xmlns:a16="http://schemas.microsoft.com/office/drawing/2014/main"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33618</xdr:colOff>
      <xdr:row>495</xdr:row>
      <xdr:rowOff>118940</xdr:rowOff>
    </xdr:from>
    <xdr:to>
      <xdr:col>6</xdr:col>
      <xdr:colOff>543707</xdr:colOff>
      <xdr:row>521</xdr:row>
      <xdr:rowOff>0</xdr:rowOff>
    </xdr:to>
    <xdr:graphicFrame macro="">
      <xdr:nvGraphicFramePr>
        <xdr:cNvPr id="25" name="Diagram 24">
          <a:extLst>
            <a:ext uri="{FF2B5EF4-FFF2-40B4-BE49-F238E27FC236}">
              <a16:creationId xmlns:a16="http://schemas.microsoft.com/office/drawing/2014/main"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638</xdr:row>
      <xdr:rowOff>0</xdr:rowOff>
    </xdr:from>
    <xdr:to>
      <xdr:col>7</xdr:col>
      <xdr:colOff>254000</xdr:colOff>
      <xdr:row>664</xdr:row>
      <xdr:rowOff>142875</xdr:rowOff>
    </xdr:to>
    <xdr:graphicFrame macro="">
      <xdr:nvGraphicFramePr>
        <xdr:cNvPr id="26" name="Diagram 23">
          <a:extLst>
            <a:ext uri="{FF2B5EF4-FFF2-40B4-BE49-F238E27FC236}">
              <a16:creationId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11770</xdr:colOff>
      <xdr:row>668</xdr:row>
      <xdr:rowOff>44823</xdr:rowOff>
    </xdr:from>
    <xdr:to>
      <xdr:col>3</xdr:col>
      <xdr:colOff>693964</xdr:colOff>
      <xdr:row>693</xdr:row>
      <xdr:rowOff>82764</xdr:rowOff>
    </xdr:to>
    <xdr:graphicFrame macro="">
      <xdr:nvGraphicFramePr>
        <xdr:cNvPr id="27" name="Diagram 23">
          <a:extLst>
            <a:ext uri="{FF2B5EF4-FFF2-40B4-BE49-F238E27FC236}">
              <a16:creationId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11205</xdr:colOff>
      <xdr:row>698</xdr:row>
      <xdr:rowOff>33616</xdr:rowOff>
    </xdr:from>
    <xdr:to>
      <xdr:col>4</xdr:col>
      <xdr:colOff>649940</xdr:colOff>
      <xdr:row>704</xdr:row>
      <xdr:rowOff>100853</xdr:rowOff>
    </xdr:to>
    <xdr:sp macro="" textlink="">
      <xdr:nvSpPr>
        <xdr:cNvPr id="28" name="Tekstboks 27">
          <a:extLst>
            <a:ext uri="{FF2B5EF4-FFF2-40B4-BE49-F238E27FC236}">
              <a16:creationId xmlns:a16="http://schemas.microsoft.com/office/drawing/2014/main" id="{00000000-0008-0000-0100-00001C000000}"/>
            </a:ext>
          </a:extLst>
        </xdr:cNvPr>
        <xdr:cNvSpPr txBox="1"/>
      </xdr:nvSpPr>
      <xdr:spPr>
        <a:xfrm>
          <a:off x="620805" y="89911516"/>
          <a:ext cx="5401235" cy="1038787"/>
        </a:xfrm>
        <a:prstGeom prst="rect">
          <a:avLst/>
        </a:prstGeom>
        <a:solidFill>
          <a:schemeClr val="bg1">
            <a:lumMod val="95000"/>
          </a:schemeClr>
        </a:solidFill>
        <a:ln w="190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i="1">
              <a:solidFill>
                <a:schemeClr val="dk1"/>
              </a:solidFill>
              <a:effectLst/>
              <a:latin typeface="+mn-lt"/>
              <a:ea typeface="+mn-ea"/>
              <a:cs typeface="+mn-cs"/>
            </a:rPr>
            <a:t>CO</a:t>
          </a:r>
          <a:r>
            <a:rPr lang="da-DK" sz="1100" b="1" i="1" baseline="-25000">
              <a:solidFill>
                <a:schemeClr val="dk1"/>
              </a:solidFill>
              <a:effectLst/>
              <a:latin typeface="+mn-lt"/>
              <a:ea typeface="+mn-ea"/>
              <a:cs typeface="+mn-cs"/>
            </a:rPr>
            <a:t>2</a:t>
          </a:r>
          <a:r>
            <a:rPr lang="da-DK" sz="1100" b="1" i="1">
              <a:solidFill>
                <a:schemeClr val="dk1"/>
              </a:solidFill>
              <a:effectLst/>
              <a:latin typeface="+mn-lt"/>
              <a:ea typeface="+mn-ea"/>
              <a:cs typeface="+mn-cs"/>
            </a:rPr>
            <a:t>-udledning</a:t>
          </a:r>
          <a:endParaRPr lang="da-DK" sz="1100" b="1" i="1" baseline="0">
            <a:solidFill>
              <a:schemeClr val="dk1"/>
            </a:solidFill>
            <a:effectLst/>
            <a:latin typeface="+mn-lt"/>
            <a:ea typeface="+mn-ea"/>
            <a:cs typeface="+mn-cs"/>
          </a:endParaRPr>
        </a:p>
        <a:p>
          <a:r>
            <a:rPr lang="da-DK" sz="1100" b="0" i="0" baseline="0">
              <a:solidFill>
                <a:schemeClr val="dk1"/>
              </a:solidFill>
              <a:effectLst/>
              <a:latin typeface="+mn-lt"/>
              <a:ea typeface="+mn-ea"/>
              <a:cs typeface="+mn-cs"/>
            </a:rPr>
            <a:t>Udtrykker den emission af CO</a:t>
          </a:r>
          <a:r>
            <a:rPr lang="da-DK" sz="1100" b="0" i="0" baseline="-25000">
              <a:solidFill>
                <a:schemeClr val="dk1"/>
              </a:solidFill>
              <a:effectLst/>
              <a:latin typeface="+mn-lt"/>
              <a:ea typeface="+mn-ea"/>
              <a:cs typeface="+mn-cs"/>
            </a:rPr>
            <a:t>2</a:t>
          </a:r>
          <a:r>
            <a:rPr lang="da-DK" sz="1100" b="0" i="0" baseline="0">
              <a:solidFill>
                <a:schemeClr val="dk1"/>
              </a:solidFill>
              <a:effectLst/>
              <a:latin typeface="+mn-lt"/>
              <a:ea typeface="+mn-ea"/>
              <a:cs typeface="+mn-cs"/>
            </a:rPr>
            <a:t> (kuldioxid), som fremkommer ved afbrænding af brændsler til energianvendelse. Emissionsfaktoren for brændslerne er opgjort jf. </a:t>
          </a:r>
          <a:r>
            <a:rPr lang="da-DK" sz="1100" i="0">
              <a:solidFill>
                <a:schemeClr val="dk1"/>
              </a:solidFill>
              <a:effectLst/>
              <a:latin typeface="+mn-lt"/>
              <a:ea typeface="+mn-ea"/>
              <a:cs typeface="+mn-cs"/>
            </a:rPr>
            <a:t>Energistyrelsen og DCE – Nationalt Center for Miljø og Energi</a:t>
          </a:r>
          <a:r>
            <a:rPr lang="da-DK" sz="1100" b="0" i="0" baseline="0">
              <a:solidFill>
                <a:schemeClr val="dk1"/>
              </a:solidFill>
              <a:effectLst/>
              <a:latin typeface="+mn-lt"/>
              <a:ea typeface="+mn-ea"/>
              <a:cs typeface="+mn-cs"/>
            </a:rPr>
            <a:t>. CO</a:t>
          </a:r>
          <a:r>
            <a:rPr lang="da-DK" sz="1100" b="0" i="0" baseline="-25000">
              <a:solidFill>
                <a:schemeClr val="dk1"/>
              </a:solidFill>
              <a:effectLst/>
              <a:latin typeface="+mn-lt"/>
              <a:ea typeface="+mn-ea"/>
              <a:cs typeface="+mn-cs"/>
            </a:rPr>
            <a:t>2</a:t>
          </a:r>
          <a:r>
            <a:rPr lang="da-DK" sz="1100" b="0" i="0" baseline="0">
              <a:solidFill>
                <a:schemeClr val="dk1"/>
              </a:solidFill>
              <a:effectLst/>
              <a:latin typeface="+mn-lt"/>
              <a:ea typeface="+mn-ea"/>
              <a:cs typeface="+mn-cs"/>
            </a:rPr>
            <a:t>-emission fra andre kilder medtages ikke  i energiregnskabet (landbrug, visse industriprocesser og flaring af gas i Nordsøen ).</a:t>
          </a:r>
        </a:p>
      </xdr:txBody>
    </xdr:sp>
    <xdr:clientData/>
  </xdr:twoCellAnchor>
  <xdr:twoCellAnchor>
    <xdr:from>
      <xdr:col>1</xdr:col>
      <xdr:colOff>66674</xdr:colOff>
      <xdr:row>907</xdr:row>
      <xdr:rowOff>28574</xdr:rowOff>
    </xdr:from>
    <xdr:to>
      <xdr:col>6</xdr:col>
      <xdr:colOff>576763</xdr:colOff>
      <xdr:row>932</xdr:row>
      <xdr:rowOff>66516</xdr:rowOff>
    </xdr:to>
    <xdr:graphicFrame macro="">
      <xdr:nvGraphicFramePr>
        <xdr:cNvPr id="29" name="Diagram 21">
          <a:extLst>
            <a:ext uri="{FF2B5EF4-FFF2-40B4-BE49-F238E27FC236}">
              <a16:creationId xmlns:a16="http://schemas.microsoft.com/office/drawing/2014/main" id="{00000000-0008-0000-01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11205</xdr:colOff>
      <xdr:row>1049</xdr:row>
      <xdr:rowOff>34737</xdr:rowOff>
    </xdr:from>
    <xdr:to>
      <xdr:col>6</xdr:col>
      <xdr:colOff>521294</xdr:colOff>
      <xdr:row>1074</xdr:row>
      <xdr:rowOff>72679</xdr:rowOff>
    </xdr:to>
    <xdr:graphicFrame macro="">
      <xdr:nvGraphicFramePr>
        <xdr:cNvPr id="34" name="Diagram 33">
          <a:extLst>
            <a:ext uri="{FF2B5EF4-FFF2-40B4-BE49-F238E27FC236}">
              <a16:creationId xmlns:a16="http://schemas.microsoft.com/office/drawing/2014/main" id="{00000000-0008-0000-01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1020</xdr:row>
      <xdr:rowOff>23531</xdr:rowOff>
    </xdr:from>
    <xdr:to>
      <xdr:col>6</xdr:col>
      <xdr:colOff>510089</xdr:colOff>
      <xdr:row>1045</xdr:row>
      <xdr:rowOff>61472</xdr:rowOff>
    </xdr:to>
    <xdr:graphicFrame macro="">
      <xdr:nvGraphicFramePr>
        <xdr:cNvPr id="35" name="Diagram 34">
          <a:extLst>
            <a:ext uri="{FF2B5EF4-FFF2-40B4-BE49-F238E27FC236}">
              <a16:creationId xmlns:a16="http://schemas.microsoft.com/office/drawing/2014/main" id="{00000000-0008-0000-01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602877</xdr:colOff>
      <xdr:row>1078</xdr:row>
      <xdr:rowOff>55750</xdr:rowOff>
    </xdr:from>
    <xdr:to>
      <xdr:col>3</xdr:col>
      <xdr:colOff>612322</xdr:colOff>
      <xdr:row>1102</xdr:row>
      <xdr:rowOff>129551</xdr:rowOff>
    </xdr:to>
    <xdr:graphicFrame macro="">
      <xdr:nvGraphicFramePr>
        <xdr:cNvPr id="36" name="Diagram 35">
          <a:extLst>
            <a:ext uri="{FF2B5EF4-FFF2-40B4-BE49-F238E27FC236}">
              <a16:creationId xmlns:a16="http://schemas.microsoft.com/office/drawing/2014/main" id="{00000000-0008-0000-01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1045912</xdr:colOff>
      <xdr:row>23</xdr:row>
      <xdr:rowOff>27214</xdr:rowOff>
    </xdr:from>
    <xdr:to>
      <xdr:col>11</xdr:col>
      <xdr:colOff>267084</xdr:colOff>
      <xdr:row>43</xdr:row>
      <xdr:rowOff>95250</xdr:rowOff>
    </xdr:to>
    <xdr:grpSp>
      <xdr:nvGrpSpPr>
        <xdr:cNvPr id="13" name="Gruppe 12">
          <a:extLst>
            <a:ext uri="{FF2B5EF4-FFF2-40B4-BE49-F238E27FC236}">
              <a16:creationId xmlns:a16="http://schemas.microsoft.com/office/drawing/2014/main" id="{00000000-0008-0000-0100-00000D000000}"/>
            </a:ext>
          </a:extLst>
        </xdr:cNvPr>
        <xdr:cNvGrpSpPr/>
      </xdr:nvGrpSpPr>
      <xdr:grpSpPr>
        <a:xfrm>
          <a:off x="10325983" y="4721678"/>
          <a:ext cx="3248887" cy="3333751"/>
          <a:chOff x="13513327" y="519472"/>
          <a:chExt cx="3241682" cy="4007705"/>
        </a:xfrm>
      </xdr:grpSpPr>
      <xdr:sp macro="" textlink="">
        <xdr:nvSpPr>
          <xdr:cNvPr id="65" name="Rektangel 64">
            <a:extLst>
              <a:ext uri="{FF2B5EF4-FFF2-40B4-BE49-F238E27FC236}">
                <a16:creationId xmlns:a16="http://schemas.microsoft.com/office/drawing/2014/main" id="{00000000-0008-0000-0100-000041000000}"/>
              </a:ext>
            </a:extLst>
          </xdr:cNvPr>
          <xdr:cNvSpPr/>
        </xdr:nvSpPr>
        <xdr:spPr>
          <a:xfrm>
            <a:off x="13513327" y="519472"/>
            <a:ext cx="3241682" cy="4007705"/>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da-DK" sz="800" b="1">
              <a:solidFill>
                <a:sysClr val="windowText" lastClr="000000"/>
              </a:solidFill>
            </a:endParaRPr>
          </a:p>
          <a:p>
            <a:pPr algn="ctr"/>
            <a:r>
              <a:rPr lang="da-DK" sz="2000" b="1">
                <a:solidFill>
                  <a:sysClr val="windowText" lastClr="000000"/>
                </a:solidFill>
              </a:rPr>
              <a:t>Balancer</a:t>
            </a:r>
          </a:p>
        </xdr:txBody>
      </xdr:sp>
      <xdr:sp macro="" textlink="">
        <xdr:nvSpPr>
          <xdr:cNvPr id="66" name="Rektangel 65">
            <a:hlinkClick xmlns:r="http://schemas.openxmlformats.org/officeDocument/2006/relationships" r:id="rId23"/>
            <a:extLst>
              <a:ext uri="{FF2B5EF4-FFF2-40B4-BE49-F238E27FC236}">
                <a16:creationId xmlns:a16="http://schemas.microsoft.com/office/drawing/2014/main" id="{00000000-0008-0000-0100-000042000000}"/>
              </a:ext>
            </a:extLst>
          </xdr:cNvPr>
          <xdr:cNvSpPr/>
        </xdr:nvSpPr>
        <xdr:spPr>
          <a:xfrm>
            <a:off x="13689776" y="3723625"/>
            <a:ext cx="2885043" cy="655585"/>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t>Fjernvarmebalanc (produktion fordelt på brændsel)</a:t>
            </a:r>
          </a:p>
        </xdr:txBody>
      </xdr:sp>
      <xdr:sp macro="" textlink="">
        <xdr:nvSpPr>
          <xdr:cNvPr id="67" name="Rektangel 66">
            <a:hlinkClick xmlns:r="http://schemas.openxmlformats.org/officeDocument/2006/relationships" r:id="rId24"/>
            <a:extLst>
              <a:ext uri="{FF2B5EF4-FFF2-40B4-BE49-F238E27FC236}">
                <a16:creationId xmlns:a16="http://schemas.microsoft.com/office/drawing/2014/main" id="{00000000-0008-0000-0100-000043000000}"/>
              </a:ext>
            </a:extLst>
          </xdr:cNvPr>
          <xdr:cNvSpPr/>
        </xdr:nvSpPr>
        <xdr:spPr>
          <a:xfrm>
            <a:off x="13689776" y="1190147"/>
            <a:ext cx="2885043" cy="655585"/>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t>Elbalance</a:t>
            </a:r>
          </a:p>
          <a:p>
            <a:pPr algn="ctr"/>
            <a:r>
              <a:rPr lang="da-DK" sz="1100" b="1"/>
              <a:t>(produktion fordelt på anlægstype)</a:t>
            </a:r>
          </a:p>
        </xdr:txBody>
      </xdr:sp>
      <xdr:sp macro="" textlink="">
        <xdr:nvSpPr>
          <xdr:cNvPr id="68" name="Rektangel 67">
            <a:hlinkClick xmlns:r="http://schemas.openxmlformats.org/officeDocument/2006/relationships" r:id="rId25"/>
            <a:extLst>
              <a:ext uri="{FF2B5EF4-FFF2-40B4-BE49-F238E27FC236}">
                <a16:creationId xmlns:a16="http://schemas.microsoft.com/office/drawing/2014/main" id="{00000000-0008-0000-0100-000044000000}"/>
              </a:ext>
            </a:extLst>
          </xdr:cNvPr>
          <xdr:cNvSpPr/>
        </xdr:nvSpPr>
        <xdr:spPr>
          <a:xfrm>
            <a:off x="13689776" y="2029188"/>
            <a:ext cx="2885043" cy="655585"/>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t>Elbalance</a:t>
            </a:r>
          </a:p>
          <a:p>
            <a:pPr algn="ctr"/>
            <a:r>
              <a:rPr lang="da-DK" sz="1100" b="1"/>
              <a:t>(produktion fordelt på brændsel)</a:t>
            </a:r>
          </a:p>
        </xdr:txBody>
      </xdr:sp>
      <xdr:sp macro="" textlink="">
        <xdr:nvSpPr>
          <xdr:cNvPr id="69" name="Rektangel 68">
            <a:hlinkClick xmlns:r="http://schemas.openxmlformats.org/officeDocument/2006/relationships" r:id="rId26"/>
            <a:extLst>
              <a:ext uri="{FF2B5EF4-FFF2-40B4-BE49-F238E27FC236}">
                <a16:creationId xmlns:a16="http://schemas.microsoft.com/office/drawing/2014/main" id="{00000000-0008-0000-0100-000045000000}"/>
              </a:ext>
            </a:extLst>
          </xdr:cNvPr>
          <xdr:cNvSpPr/>
        </xdr:nvSpPr>
        <xdr:spPr>
          <a:xfrm>
            <a:off x="13689776" y="2884585"/>
            <a:ext cx="2885043" cy="655585"/>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t>Fjernvarmebalance</a:t>
            </a:r>
            <a:r>
              <a:rPr lang="da-DK" sz="1100" b="1" baseline="0"/>
              <a:t> </a:t>
            </a:r>
            <a:r>
              <a:rPr lang="da-DK" sz="1100" b="1"/>
              <a:t>(produktion fordelt på anlægstype)</a:t>
            </a:r>
          </a:p>
        </xdr:txBody>
      </xdr:sp>
    </xdr:grpSp>
    <xdr:clientData/>
  </xdr:twoCellAnchor>
  <xdr:twoCellAnchor>
    <xdr:from>
      <xdr:col>6</xdr:col>
      <xdr:colOff>733424</xdr:colOff>
      <xdr:row>59</xdr:row>
      <xdr:rowOff>0</xdr:rowOff>
    </xdr:from>
    <xdr:to>
      <xdr:col>13</xdr:col>
      <xdr:colOff>584707</xdr:colOff>
      <xdr:row>82</xdr:row>
      <xdr:rowOff>141832</xdr:rowOff>
    </xdr:to>
    <xdr:graphicFrame macro="">
      <xdr:nvGraphicFramePr>
        <xdr:cNvPr id="77" name="Diagram 15">
          <a:extLst>
            <a:ext uri="{FF2B5EF4-FFF2-40B4-BE49-F238E27FC236}">
              <a16:creationId xmlns:a16="http://schemas.microsoft.com/office/drawing/2014/main" id="{00000000-0008-0000-0100-00004D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20729</xdr:colOff>
      <xdr:row>48</xdr:row>
      <xdr:rowOff>58831</xdr:rowOff>
    </xdr:from>
    <xdr:to>
      <xdr:col>11</xdr:col>
      <xdr:colOff>281823</xdr:colOff>
      <xdr:row>54</xdr:row>
      <xdr:rowOff>59281</xdr:rowOff>
    </xdr:to>
    <xdr:sp macro="" textlink="">
      <xdr:nvSpPr>
        <xdr:cNvPr id="78" name="Tekstboks 77">
          <a:extLst>
            <a:ext uri="{FF2B5EF4-FFF2-40B4-BE49-F238E27FC236}">
              <a16:creationId xmlns:a16="http://schemas.microsoft.com/office/drawing/2014/main" id="{00000000-0008-0000-0100-00004E000000}"/>
            </a:ext>
          </a:extLst>
        </xdr:cNvPr>
        <xdr:cNvSpPr txBox="1"/>
      </xdr:nvSpPr>
      <xdr:spPr>
        <a:xfrm>
          <a:off x="8447553" y="8620125"/>
          <a:ext cx="4272799" cy="941744"/>
        </a:xfrm>
        <a:prstGeom prst="rect">
          <a:avLst/>
        </a:prstGeom>
        <a:solidFill>
          <a:schemeClr val="bg1">
            <a:lumMod val="95000"/>
          </a:schemeClr>
        </a:solidFill>
        <a:ln w="190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i="1">
              <a:solidFill>
                <a:schemeClr val="dk1"/>
              </a:solidFill>
              <a:effectLst/>
              <a:latin typeface="+mn-lt"/>
              <a:ea typeface="+mn-ea"/>
              <a:cs typeface="+mn-cs"/>
            </a:rPr>
            <a:t>Andel</a:t>
          </a:r>
          <a:r>
            <a:rPr lang="da-DK" sz="1100" b="1" i="1" baseline="0">
              <a:solidFill>
                <a:schemeClr val="dk1"/>
              </a:solidFill>
              <a:effectLst/>
              <a:latin typeface="+mn-lt"/>
              <a:ea typeface="+mn-ea"/>
              <a:cs typeface="+mn-cs"/>
            </a:rPr>
            <a:t> vedvarende energi (Lokal)</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VE-andelen forbrugt i det lokale energisystem. B</a:t>
          </a:r>
          <a:r>
            <a:rPr lang="da-DK"/>
            <a:t>eregnet ud fra andelen af energi fra vedvarende energikilder i det samlede</a:t>
          </a:r>
          <a:r>
            <a:rPr lang="da-DK" baseline="0"/>
            <a:t> brændselsforbrug</a:t>
          </a:r>
          <a:r>
            <a:rPr lang="da-DK"/>
            <a:t> .</a:t>
          </a:r>
          <a:endParaRPr lang="da-DK" sz="1100">
            <a:solidFill>
              <a:schemeClr val="dk1"/>
            </a:solidFill>
            <a:effectLst/>
            <a:latin typeface="+mn-lt"/>
            <a:ea typeface="+mn-ea"/>
            <a:cs typeface="+mn-cs"/>
          </a:endParaRPr>
        </a:p>
      </xdr:txBody>
    </xdr:sp>
    <xdr:clientData/>
  </xdr:twoCellAnchor>
  <xdr:oneCellAnchor>
    <xdr:from>
      <xdr:col>0</xdr:col>
      <xdr:colOff>115662</xdr:colOff>
      <xdr:row>46</xdr:row>
      <xdr:rowOff>64662</xdr:rowOff>
    </xdr:from>
    <xdr:ext cx="269443" cy="291866"/>
    <xdr:sp macro="" textlink="">
      <xdr:nvSpPr>
        <xdr:cNvPr id="87" name="Rektangel 86">
          <a:hlinkClick xmlns:r="http://schemas.openxmlformats.org/officeDocument/2006/relationships" r:id="rId28"/>
          <a:extLst>
            <a:ext uri="{FF2B5EF4-FFF2-40B4-BE49-F238E27FC236}">
              <a16:creationId xmlns:a16="http://schemas.microsoft.com/office/drawing/2014/main" id="{00000000-0008-0000-0100-000057000000}"/>
            </a:ext>
          </a:extLst>
        </xdr:cNvPr>
        <xdr:cNvSpPr/>
      </xdr:nvSpPr>
      <xdr:spPr>
        <a:xfrm>
          <a:off x="115662" y="8294262"/>
          <a:ext cx="269443" cy="291866"/>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overflow" horzOverflow="overflow" wrap="square" lIns="18000" tIns="36000" rIns="18000" bIns="36000" rtlCol="0" anchor="ctr">
          <a:spAutoFit/>
        </a:bodyPr>
        <a:lstStyle/>
        <a:p>
          <a:pPr algn="ctr"/>
          <a:r>
            <a:rPr lang="da-DK" sz="1400" b="1"/>
            <a:t>↑</a:t>
          </a:r>
          <a:endParaRPr lang="da-DK" sz="1000" b="1"/>
        </a:p>
      </xdr:txBody>
    </xdr:sp>
    <xdr:clientData/>
  </xdr:oneCellAnchor>
  <xdr:twoCellAnchor>
    <xdr:from>
      <xdr:col>0</xdr:col>
      <xdr:colOff>601195</xdr:colOff>
      <xdr:row>1124</xdr:row>
      <xdr:rowOff>28573</xdr:rowOff>
    </xdr:from>
    <xdr:to>
      <xdr:col>6</xdr:col>
      <xdr:colOff>506166</xdr:colOff>
      <xdr:row>1150</xdr:row>
      <xdr:rowOff>68036</xdr:rowOff>
    </xdr:to>
    <xdr:graphicFrame macro="">
      <xdr:nvGraphicFramePr>
        <xdr:cNvPr id="93" name="Diagram 21">
          <a:extLst>
            <a:ext uri="{FF2B5EF4-FFF2-40B4-BE49-F238E27FC236}">
              <a16:creationId xmlns:a16="http://schemas.microsoft.com/office/drawing/2014/main" id="{00000000-0008-0000-01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16808</xdr:colOff>
      <xdr:row>1174</xdr:row>
      <xdr:rowOff>33056</xdr:rowOff>
    </xdr:from>
    <xdr:to>
      <xdr:col>6</xdr:col>
      <xdr:colOff>526897</xdr:colOff>
      <xdr:row>1201</xdr:row>
      <xdr:rowOff>27214</xdr:rowOff>
    </xdr:to>
    <xdr:graphicFrame macro="">
      <xdr:nvGraphicFramePr>
        <xdr:cNvPr id="94" name="Diagram 15">
          <a:extLst>
            <a:ext uri="{FF2B5EF4-FFF2-40B4-BE49-F238E27FC236}">
              <a16:creationId xmlns:a16="http://schemas.microsoft.com/office/drawing/2014/main" id="{00000000-0008-0000-01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29695</xdr:colOff>
      <xdr:row>1222</xdr:row>
      <xdr:rowOff>17368</xdr:rowOff>
    </xdr:from>
    <xdr:to>
      <xdr:col>6</xdr:col>
      <xdr:colOff>539784</xdr:colOff>
      <xdr:row>1248</xdr:row>
      <xdr:rowOff>108857</xdr:rowOff>
    </xdr:to>
    <xdr:graphicFrame macro="">
      <xdr:nvGraphicFramePr>
        <xdr:cNvPr id="95" name="Diagram 21">
          <a:extLst>
            <a:ext uri="{FF2B5EF4-FFF2-40B4-BE49-F238E27FC236}">
              <a16:creationId xmlns:a16="http://schemas.microsoft.com/office/drawing/2014/main" id="{00000000-0008-0000-01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16807</xdr:colOff>
      <xdr:row>1272</xdr:row>
      <xdr:rowOff>21850</xdr:rowOff>
    </xdr:from>
    <xdr:to>
      <xdr:col>6</xdr:col>
      <xdr:colOff>526896</xdr:colOff>
      <xdr:row>1299</xdr:row>
      <xdr:rowOff>59791</xdr:rowOff>
    </xdr:to>
    <xdr:graphicFrame macro="">
      <xdr:nvGraphicFramePr>
        <xdr:cNvPr id="96" name="Diagram 15">
          <a:extLst>
            <a:ext uri="{FF2B5EF4-FFF2-40B4-BE49-F238E27FC236}">
              <a16:creationId xmlns:a16="http://schemas.microsoft.com/office/drawing/2014/main" id="{00000000-0008-0000-01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4481</xdr:colOff>
      <xdr:row>157</xdr:row>
      <xdr:rowOff>89647</xdr:rowOff>
    </xdr:from>
    <xdr:to>
      <xdr:col>6</xdr:col>
      <xdr:colOff>800580</xdr:colOff>
      <xdr:row>182</xdr:row>
      <xdr:rowOff>6565</xdr:rowOff>
    </xdr:to>
    <xdr:graphicFrame macro="">
      <xdr:nvGraphicFramePr>
        <xdr:cNvPr id="91" name="Diagram 15">
          <a:extLst>
            <a:ext uri="{FF2B5EF4-FFF2-40B4-BE49-F238E27FC236}">
              <a16:creationId xmlns:a16="http://schemas.microsoft.com/office/drawing/2014/main" id="{00000000-0008-0000-0100-00005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601195</xdr:colOff>
      <xdr:row>196</xdr:row>
      <xdr:rowOff>83081</xdr:rowOff>
    </xdr:from>
    <xdr:to>
      <xdr:col>6</xdr:col>
      <xdr:colOff>838200</xdr:colOff>
      <xdr:row>221</xdr:row>
      <xdr:rowOff>0</xdr:rowOff>
    </xdr:to>
    <xdr:graphicFrame macro="">
      <xdr:nvGraphicFramePr>
        <xdr:cNvPr id="98" name="Diagram 15">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33619</xdr:colOff>
      <xdr:row>523</xdr:row>
      <xdr:rowOff>100853</xdr:rowOff>
    </xdr:from>
    <xdr:to>
      <xdr:col>6</xdr:col>
      <xdr:colOff>543708</xdr:colOff>
      <xdr:row>548</xdr:row>
      <xdr:rowOff>138795</xdr:rowOff>
    </xdr:to>
    <xdr:graphicFrame macro="">
      <xdr:nvGraphicFramePr>
        <xdr:cNvPr id="92" name="Diagram 91">
          <a:extLst>
            <a:ext uri="{FF2B5EF4-FFF2-40B4-BE49-F238E27FC236}">
              <a16:creationId xmlns:a16="http://schemas.microsoft.com/office/drawing/2014/main" id="{00000000-0008-0000-01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559</xdr:row>
      <xdr:rowOff>78441</xdr:rowOff>
    </xdr:from>
    <xdr:to>
      <xdr:col>6</xdr:col>
      <xdr:colOff>510089</xdr:colOff>
      <xdr:row>584</xdr:row>
      <xdr:rowOff>116384</xdr:rowOff>
    </xdr:to>
    <xdr:graphicFrame macro="">
      <xdr:nvGraphicFramePr>
        <xdr:cNvPr id="100" name="Diagram 99">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0</xdr:colOff>
      <xdr:row>769</xdr:row>
      <xdr:rowOff>0</xdr:rowOff>
    </xdr:from>
    <xdr:to>
      <xdr:col>6</xdr:col>
      <xdr:colOff>605118</xdr:colOff>
      <xdr:row>793</xdr:row>
      <xdr:rowOff>73802</xdr:rowOff>
    </xdr:to>
    <xdr:graphicFrame macro="">
      <xdr:nvGraphicFramePr>
        <xdr:cNvPr id="102" name="Diagram 15">
          <a:extLst>
            <a:ext uri="{FF2B5EF4-FFF2-40B4-BE49-F238E27FC236}">
              <a16:creationId xmlns:a16="http://schemas.microsoft.com/office/drawing/2014/main" id="{00000000-0008-0000-0100-00006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22412</xdr:colOff>
      <xdr:row>808</xdr:row>
      <xdr:rowOff>44823</xdr:rowOff>
    </xdr:from>
    <xdr:to>
      <xdr:col>6</xdr:col>
      <xdr:colOff>627530</xdr:colOff>
      <xdr:row>832</xdr:row>
      <xdr:rowOff>118625</xdr:rowOff>
    </xdr:to>
    <xdr:graphicFrame macro="">
      <xdr:nvGraphicFramePr>
        <xdr:cNvPr id="103" name="Diagram 15">
          <a:extLst>
            <a:ext uri="{FF2B5EF4-FFF2-40B4-BE49-F238E27FC236}">
              <a16:creationId xmlns:a16="http://schemas.microsoft.com/office/drawing/2014/main" id="{00000000-0008-0000-0100-00006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112742</xdr:colOff>
      <xdr:row>4</xdr:row>
      <xdr:rowOff>56031</xdr:rowOff>
    </xdr:from>
    <xdr:to>
      <xdr:col>1</xdr:col>
      <xdr:colOff>2748585</xdr:colOff>
      <xdr:row>12</xdr:row>
      <xdr:rowOff>81643</xdr:rowOff>
    </xdr:to>
    <xdr:grpSp>
      <xdr:nvGrpSpPr>
        <xdr:cNvPr id="81" name="Gruppe 80">
          <a:extLst>
            <a:ext uri="{FF2B5EF4-FFF2-40B4-BE49-F238E27FC236}">
              <a16:creationId xmlns:a16="http://schemas.microsoft.com/office/drawing/2014/main" id="{00000000-0008-0000-0100-000051000000}"/>
            </a:ext>
          </a:extLst>
        </xdr:cNvPr>
        <xdr:cNvGrpSpPr/>
      </xdr:nvGrpSpPr>
      <xdr:grpSpPr>
        <a:xfrm>
          <a:off x="112742" y="1648067"/>
          <a:ext cx="3248164" cy="1331897"/>
          <a:chOff x="112742" y="504265"/>
          <a:chExt cx="3240961" cy="1848969"/>
        </a:xfrm>
      </xdr:grpSpPr>
      <xdr:sp macro="" textlink="">
        <xdr:nvSpPr>
          <xdr:cNvPr id="75" name="Rektangel 74">
            <a:extLst>
              <a:ext uri="{FF2B5EF4-FFF2-40B4-BE49-F238E27FC236}">
                <a16:creationId xmlns:a16="http://schemas.microsoft.com/office/drawing/2014/main" id="{00000000-0008-0000-0100-00004B000000}"/>
              </a:ext>
            </a:extLst>
          </xdr:cNvPr>
          <xdr:cNvSpPr/>
        </xdr:nvSpPr>
        <xdr:spPr>
          <a:xfrm>
            <a:off x="112742" y="504265"/>
            <a:ext cx="3240961" cy="1848969"/>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da-DK" sz="800" b="1">
              <a:solidFill>
                <a:sysClr val="windowText" lastClr="000000"/>
              </a:solidFill>
            </a:endParaRPr>
          </a:p>
          <a:p>
            <a:pPr algn="ctr"/>
            <a:r>
              <a:rPr lang="da-DK" sz="2000" b="1">
                <a:solidFill>
                  <a:sysClr val="windowText" lastClr="000000"/>
                </a:solidFill>
              </a:rPr>
              <a:t>VE%</a:t>
            </a:r>
          </a:p>
        </xdr:txBody>
      </xdr:sp>
      <xdr:sp macro="" textlink="">
        <xdr:nvSpPr>
          <xdr:cNvPr id="76" name="Rektangel 75">
            <a:hlinkClick xmlns:r="http://schemas.openxmlformats.org/officeDocument/2006/relationships" r:id="rId39"/>
            <a:extLst>
              <a:ext uri="{FF2B5EF4-FFF2-40B4-BE49-F238E27FC236}">
                <a16:creationId xmlns:a16="http://schemas.microsoft.com/office/drawing/2014/main" id="{00000000-0008-0000-0100-00004C000000}"/>
              </a:ext>
            </a:extLst>
          </xdr:cNvPr>
          <xdr:cNvSpPr/>
        </xdr:nvSpPr>
        <xdr:spPr>
          <a:xfrm>
            <a:off x="290419" y="1312321"/>
            <a:ext cx="2877983" cy="766388"/>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t>VE%</a:t>
            </a:r>
          </a:p>
        </xdr:txBody>
      </xdr:sp>
    </xdr:grpSp>
    <xdr:clientData/>
  </xdr:twoCellAnchor>
  <xdr:twoCellAnchor>
    <xdr:from>
      <xdr:col>1</xdr:col>
      <xdr:colOff>2959798</xdr:colOff>
      <xdr:row>4</xdr:row>
      <xdr:rowOff>71635</xdr:rowOff>
    </xdr:from>
    <xdr:to>
      <xdr:col>7</xdr:col>
      <xdr:colOff>789736</xdr:colOff>
      <xdr:row>43</xdr:row>
      <xdr:rowOff>81642</xdr:rowOff>
    </xdr:to>
    <xdr:grpSp>
      <xdr:nvGrpSpPr>
        <xdr:cNvPr id="12" name="Gruppe 11">
          <a:extLst>
            <a:ext uri="{FF2B5EF4-FFF2-40B4-BE49-F238E27FC236}">
              <a16:creationId xmlns:a16="http://schemas.microsoft.com/office/drawing/2014/main" id="{00000000-0008-0000-0100-00000C000000}"/>
            </a:ext>
          </a:extLst>
        </xdr:cNvPr>
        <xdr:cNvGrpSpPr/>
      </xdr:nvGrpSpPr>
      <xdr:grpSpPr>
        <a:xfrm>
          <a:off x="3572119" y="1663671"/>
          <a:ext cx="6497688" cy="6378150"/>
          <a:chOff x="3474467" y="519870"/>
          <a:chExt cx="6481680" cy="7144954"/>
        </a:xfrm>
      </xdr:grpSpPr>
      <xdr:sp macro="" textlink="">
        <xdr:nvSpPr>
          <xdr:cNvPr id="51" name="Rektangel 50">
            <a:extLst>
              <a:ext uri="{FF2B5EF4-FFF2-40B4-BE49-F238E27FC236}">
                <a16:creationId xmlns:a16="http://schemas.microsoft.com/office/drawing/2014/main" id="{00000000-0008-0000-0100-000033000000}"/>
              </a:ext>
            </a:extLst>
          </xdr:cNvPr>
          <xdr:cNvSpPr/>
        </xdr:nvSpPr>
        <xdr:spPr>
          <a:xfrm>
            <a:off x="3474467" y="519870"/>
            <a:ext cx="6481680" cy="7144954"/>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da-DK" sz="800" b="1">
              <a:solidFill>
                <a:sysClr val="windowText" lastClr="000000"/>
              </a:solidFill>
            </a:endParaRPr>
          </a:p>
          <a:p>
            <a:pPr algn="ctr"/>
            <a:r>
              <a:rPr lang="da-DK" sz="2000" b="1">
                <a:solidFill>
                  <a:sysClr val="windowText" lastClr="000000"/>
                </a:solidFill>
              </a:rPr>
              <a:t>Bruttoenergiforbrug</a:t>
            </a:r>
          </a:p>
        </xdr:txBody>
      </xdr:sp>
      <xdr:sp macro="" textlink="">
        <xdr:nvSpPr>
          <xdr:cNvPr id="52" name="Rektangel 51">
            <a:hlinkClick xmlns:r="http://schemas.openxmlformats.org/officeDocument/2006/relationships" r:id="rId40"/>
            <a:extLst>
              <a:ext uri="{FF2B5EF4-FFF2-40B4-BE49-F238E27FC236}">
                <a16:creationId xmlns:a16="http://schemas.microsoft.com/office/drawing/2014/main" id="{00000000-0008-0000-0100-000034000000}"/>
              </a:ext>
            </a:extLst>
          </xdr:cNvPr>
          <xdr:cNvSpPr/>
        </xdr:nvSpPr>
        <xdr:spPr>
          <a:xfrm>
            <a:off x="3692143" y="1137220"/>
            <a:ext cx="2885042" cy="649334"/>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solidFill>
                  <a:schemeClr val="bg1"/>
                </a:solidFill>
              </a:rPr>
              <a:t>Bruttoenergiforbrug fordelt på brændsler</a:t>
            </a:r>
          </a:p>
        </xdr:txBody>
      </xdr:sp>
      <xdr:sp macro="" textlink="">
        <xdr:nvSpPr>
          <xdr:cNvPr id="53" name="Rektangel 52">
            <a:hlinkClick xmlns:r="http://schemas.openxmlformats.org/officeDocument/2006/relationships" r:id="rId41"/>
            <a:extLst>
              <a:ext uri="{FF2B5EF4-FFF2-40B4-BE49-F238E27FC236}">
                <a16:creationId xmlns:a16="http://schemas.microsoft.com/office/drawing/2014/main" id="{00000000-0008-0000-0100-000035000000}"/>
              </a:ext>
            </a:extLst>
          </xdr:cNvPr>
          <xdr:cNvSpPr/>
        </xdr:nvSpPr>
        <xdr:spPr>
          <a:xfrm>
            <a:off x="3692143" y="3839097"/>
            <a:ext cx="2885042" cy="734386"/>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solidFill>
                  <a:schemeClr val="bg1"/>
                </a:solidFill>
              </a:rPr>
              <a:t>Bruttoenergiforbrug opdelt på brændsler</a:t>
            </a:r>
            <a:r>
              <a:rPr lang="da-DK" sz="1100" b="1" baseline="0">
                <a:solidFill>
                  <a:schemeClr val="bg1"/>
                </a:solidFill>
              </a:rPr>
              <a:t> for basisår</a:t>
            </a:r>
            <a:endParaRPr lang="da-DK" sz="1100" b="1">
              <a:solidFill>
                <a:schemeClr val="bg1"/>
              </a:solidFill>
            </a:endParaRPr>
          </a:p>
        </xdr:txBody>
      </xdr:sp>
      <xdr:sp macro="" textlink="">
        <xdr:nvSpPr>
          <xdr:cNvPr id="54" name="Rektangel 53">
            <a:hlinkClick xmlns:r="http://schemas.openxmlformats.org/officeDocument/2006/relationships" r:id="rId42"/>
            <a:extLst>
              <a:ext uri="{FF2B5EF4-FFF2-40B4-BE49-F238E27FC236}">
                <a16:creationId xmlns:a16="http://schemas.microsoft.com/office/drawing/2014/main" id="{00000000-0008-0000-0100-000036000000}"/>
              </a:ext>
            </a:extLst>
          </xdr:cNvPr>
          <xdr:cNvSpPr/>
        </xdr:nvSpPr>
        <xdr:spPr>
          <a:xfrm>
            <a:off x="3692143" y="4778235"/>
            <a:ext cx="2885042" cy="734387"/>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solidFill>
                  <a:schemeClr val="bg1"/>
                </a:solidFill>
              </a:rPr>
              <a:t>Bruttoenergiforbrug opdelt på VE og fossil</a:t>
            </a:r>
            <a:r>
              <a:rPr lang="da-DK" sz="1100" b="1" baseline="0">
                <a:solidFill>
                  <a:schemeClr val="bg1"/>
                </a:solidFill>
              </a:rPr>
              <a:t> for basisår</a:t>
            </a:r>
            <a:endParaRPr lang="da-DK" sz="1100" b="1">
              <a:solidFill>
                <a:schemeClr val="bg1"/>
              </a:solidFill>
            </a:endParaRPr>
          </a:p>
        </xdr:txBody>
      </xdr:sp>
      <xdr:sp macro="" textlink="">
        <xdr:nvSpPr>
          <xdr:cNvPr id="55" name="Rektangel 54">
            <a:hlinkClick xmlns:r="http://schemas.openxmlformats.org/officeDocument/2006/relationships" r:id="rId43"/>
            <a:extLst>
              <a:ext uri="{FF2B5EF4-FFF2-40B4-BE49-F238E27FC236}">
                <a16:creationId xmlns:a16="http://schemas.microsoft.com/office/drawing/2014/main" id="{00000000-0008-0000-0100-000037000000}"/>
              </a:ext>
            </a:extLst>
          </xdr:cNvPr>
          <xdr:cNvSpPr/>
        </xdr:nvSpPr>
        <xdr:spPr>
          <a:xfrm>
            <a:off x="3692143" y="5717373"/>
            <a:ext cx="2885042" cy="734387"/>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solidFill>
                  <a:schemeClr val="bg1"/>
                </a:solidFill>
              </a:rPr>
              <a:t>Bruttoenergiforbrug opdelt på VE og fossil</a:t>
            </a:r>
          </a:p>
        </xdr:txBody>
      </xdr:sp>
      <xdr:sp macro="" textlink="">
        <xdr:nvSpPr>
          <xdr:cNvPr id="56" name="Rektangel 55">
            <a:hlinkClick xmlns:r="http://schemas.openxmlformats.org/officeDocument/2006/relationships" r:id="rId44"/>
            <a:extLst>
              <a:ext uri="{FF2B5EF4-FFF2-40B4-BE49-F238E27FC236}">
                <a16:creationId xmlns:a16="http://schemas.microsoft.com/office/drawing/2014/main" id="{00000000-0008-0000-0100-000038000000}"/>
              </a:ext>
            </a:extLst>
          </xdr:cNvPr>
          <xdr:cNvSpPr/>
        </xdr:nvSpPr>
        <xdr:spPr>
          <a:xfrm>
            <a:off x="3692143" y="6656512"/>
            <a:ext cx="2885042" cy="734387"/>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solidFill>
                  <a:schemeClr val="bg1"/>
                </a:solidFill>
              </a:rPr>
              <a:t>Vedvarende energi fordelt på ressourcetyper</a:t>
            </a:r>
          </a:p>
        </xdr:txBody>
      </xdr:sp>
      <xdr:sp macro="" textlink="">
        <xdr:nvSpPr>
          <xdr:cNvPr id="57" name="Rektangel 56">
            <a:hlinkClick xmlns:r="http://schemas.openxmlformats.org/officeDocument/2006/relationships" r:id="rId45"/>
            <a:extLst>
              <a:ext uri="{FF2B5EF4-FFF2-40B4-BE49-F238E27FC236}">
                <a16:creationId xmlns:a16="http://schemas.microsoft.com/office/drawing/2014/main" id="{00000000-0008-0000-0100-000039000000}"/>
              </a:ext>
            </a:extLst>
          </xdr:cNvPr>
          <xdr:cNvSpPr/>
        </xdr:nvSpPr>
        <xdr:spPr>
          <a:xfrm>
            <a:off x="6788688" y="1140801"/>
            <a:ext cx="2885042" cy="649334"/>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solidFill>
                  <a:schemeClr val="bg1"/>
                </a:solidFill>
              </a:rPr>
              <a:t>Vedvarende energi opdelt på ressourcetyper for</a:t>
            </a:r>
            <a:r>
              <a:rPr lang="da-DK" sz="1100" b="1" baseline="0">
                <a:solidFill>
                  <a:schemeClr val="bg1"/>
                </a:solidFill>
              </a:rPr>
              <a:t> basisår</a:t>
            </a:r>
            <a:endParaRPr lang="da-DK" sz="1100" b="1">
              <a:solidFill>
                <a:schemeClr val="bg1"/>
              </a:solidFill>
            </a:endParaRPr>
          </a:p>
        </xdr:txBody>
      </xdr:sp>
      <xdr:sp macro="" textlink="">
        <xdr:nvSpPr>
          <xdr:cNvPr id="61" name="Rektangel 60">
            <a:hlinkClick xmlns:r="http://schemas.openxmlformats.org/officeDocument/2006/relationships" r:id="rId46"/>
            <a:extLst>
              <a:ext uri="{FF2B5EF4-FFF2-40B4-BE49-F238E27FC236}">
                <a16:creationId xmlns:a16="http://schemas.microsoft.com/office/drawing/2014/main" id="{00000000-0008-0000-0100-00003D000000}"/>
              </a:ext>
            </a:extLst>
          </xdr:cNvPr>
          <xdr:cNvSpPr/>
        </xdr:nvSpPr>
        <xdr:spPr>
          <a:xfrm>
            <a:off x="6789889" y="1965587"/>
            <a:ext cx="2882640" cy="734387"/>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solidFill>
                  <a:schemeClr val="bg1"/>
                </a:solidFill>
              </a:rPr>
              <a:t>Brændselsforbrug fordelt på omsætningsenheder</a:t>
            </a:r>
          </a:p>
        </xdr:txBody>
      </xdr:sp>
      <xdr:sp macro="" textlink="">
        <xdr:nvSpPr>
          <xdr:cNvPr id="62" name="Rektangel 61">
            <a:hlinkClick xmlns:r="http://schemas.openxmlformats.org/officeDocument/2006/relationships" r:id="rId47"/>
            <a:extLst>
              <a:ext uri="{FF2B5EF4-FFF2-40B4-BE49-F238E27FC236}">
                <a16:creationId xmlns:a16="http://schemas.microsoft.com/office/drawing/2014/main" id="{00000000-0008-0000-0100-00003E000000}"/>
              </a:ext>
            </a:extLst>
          </xdr:cNvPr>
          <xdr:cNvSpPr/>
        </xdr:nvSpPr>
        <xdr:spPr>
          <a:xfrm>
            <a:off x="6789889" y="2905912"/>
            <a:ext cx="2882640" cy="734386"/>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solidFill>
                  <a:schemeClr val="bg1"/>
                </a:solidFill>
              </a:rPr>
              <a:t>Brændselsforbrug opdelt på omsætningsenheder for basisår</a:t>
            </a:r>
          </a:p>
        </xdr:txBody>
      </xdr:sp>
      <xdr:sp macro="" textlink="">
        <xdr:nvSpPr>
          <xdr:cNvPr id="63" name="Rektangel 62">
            <a:hlinkClick xmlns:r="http://schemas.openxmlformats.org/officeDocument/2006/relationships" r:id="rId48"/>
            <a:extLst>
              <a:ext uri="{FF2B5EF4-FFF2-40B4-BE49-F238E27FC236}">
                <a16:creationId xmlns:a16="http://schemas.microsoft.com/office/drawing/2014/main" id="{00000000-0008-0000-0100-00003F000000}"/>
              </a:ext>
            </a:extLst>
          </xdr:cNvPr>
          <xdr:cNvSpPr/>
        </xdr:nvSpPr>
        <xdr:spPr>
          <a:xfrm>
            <a:off x="6789889" y="3846236"/>
            <a:ext cx="2882640" cy="734386"/>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solidFill>
                  <a:schemeClr val="bg1"/>
                </a:solidFill>
              </a:rPr>
              <a:t>Bruttoenergiforbrug opdelt på omsætningsenheder for  VE og fossil</a:t>
            </a:r>
          </a:p>
        </xdr:txBody>
      </xdr:sp>
      <xdr:sp macro="" textlink="">
        <xdr:nvSpPr>
          <xdr:cNvPr id="64" name="Rektangel 63">
            <a:hlinkClick xmlns:r="http://schemas.openxmlformats.org/officeDocument/2006/relationships" r:id="rId49"/>
            <a:extLst>
              <a:ext uri="{FF2B5EF4-FFF2-40B4-BE49-F238E27FC236}">
                <a16:creationId xmlns:a16="http://schemas.microsoft.com/office/drawing/2014/main" id="{00000000-0008-0000-0100-000040000000}"/>
              </a:ext>
            </a:extLst>
          </xdr:cNvPr>
          <xdr:cNvSpPr/>
        </xdr:nvSpPr>
        <xdr:spPr>
          <a:xfrm>
            <a:off x="6789889" y="4786560"/>
            <a:ext cx="2882640" cy="734387"/>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solidFill>
                  <a:schemeClr val="bg1"/>
                </a:solidFill>
              </a:rPr>
              <a:t>Brug af vedvarende energi opdelt på omsætningsenheder for basisår</a:t>
            </a:r>
          </a:p>
        </xdr:txBody>
      </xdr:sp>
      <xdr:sp macro="" textlink="">
        <xdr:nvSpPr>
          <xdr:cNvPr id="104" name="Rektangel 103">
            <a:hlinkClick xmlns:r="http://schemas.openxmlformats.org/officeDocument/2006/relationships" r:id="rId50"/>
            <a:extLst>
              <a:ext uri="{FF2B5EF4-FFF2-40B4-BE49-F238E27FC236}">
                <a16:creationId xmlns:a16="http://schemas.microsoft.com/office/drawing/2014/main" id="{00000000-0008-0000-0100-000068000000}"/>
              </a:ext>
            </a:extLst>
          </xdr:cNvPr>
          <xdr:cNvSpPr/>
        </xdr:nvSpPr>
        <xdr:spPr>
          <a:xfrm>
            <a:off x="3692143" y="1960820"/>
            <a:ext cx="2885042" cy="734387"/>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solidFill>
                  <a:schemeClr val="bg1"/>
                </a:solidFill>
                <a:effectLst/>
                <a:latin typeface="+mn-lt"/>
                <a:ea typeface="+mn-ea"/>
                <a:cs typeface="+mn-cs"/>
              </a:rPr>
              <a:t>Bruttoenergiforbrug fordelt på brændsler - simplificeret</a:t>
            </a:r>
          </a:p>
        </xdr:txBody>
      </xdr:sp>
      <xdr:sp macro="" textlink="">
        <xdr:nvSpPr>
          <xdr:cNvPr id="105" name="Rektangel 104">
            <a:hlinkClick xmlns:r="http://schemas.openxmlformats.org/officeDocument/2006/relationships" r:id="rId51"/>
            <a:extLst>
              <a:ext uri="{FF2B5EF4-FFF2-40B4-BE49-F238E27FC236}">
                <a16:creationId xmlns:a16="http://schemas.microsoft.com/office/drawing/2014/main" id="{00000000-0008-0000-0100-000069000000}"/>
              </a:ext>
            </a:extLst>
          </xdr:cNvPr>
          <xdr:cNvSpPr/>
        </xdr:nvSpPr>
        <xdr:spPr>
          <a:xfrm>
            <a:off x="3692143" y="2899959"/>
            <a:ext cx="2885042" cy="734386"/>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solidFill>
                  <a:schemeClr val="bg1"/>
                </a:solidFill>
                <a:effectLst/>
                <a:latin typeface="+mn-lt"/>
                <a:ea typeface="+mn-ea"/>
                <a:cs typeface="+mn-cs"/>
              </a:rPr>
              <a:t>Bruttoenergiforbrug pr. indbygger fordelt på brændsler - simplificeret</a:t>
            </a:r>
          </a:p>
        </xdr:txBody>
      </xdr:sp>
      <xdr:sp macro="" textlink="">
        <xdr:nvSpPr>
          <xdr:cNvPr id="106" name="Rektangel 105">
            <a:hlinkClick xmlns:r="http://schemas.openxmlformats.org/officeDocument/2006/relationships" r:id="rId52"/>
            <a:extLst>
              <a:ext uri="{FF2B5EF4-FFF2-40B4-BE49-F238E27FC236}">
                <a16:creationId xmlns:a16="http://schemas.microsoft.com/office/drawing/2014/main" id="{00000000-0008-0000-0100-00006A000000}"/>
              </a:ext>
            </a:extLst>
          </xdr:cNvPr>
          <xdr:cNvSpPr/>
        </xdr:nvSpPr>
        <xdr:spPr>
          <a:xfrm>
            <a:off x="6789889" y="5726884"/>
            <a:ext cx="2882640" cy="734387"/>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solidFill>
                  <a:schemeClr val="bg1"/>
                </a:solidFill>
              </a:rPr>
              <a:t>VE-andele efter omsætningsenheder</a:t>
            </a:r>
          </a:p>
        </xdr:txBody>
      </xdr:sp>
      <xdr:sp macro="" textlink="">
        <xdr:nvSpPr>
          <xdr:cNvPr id="107" name="Rektangel 106">
            <a:hlinkClick xmlns:r="http://schemas.openxmlformats.org/officeDocument/2006/relationships" r:id="rId53"/>
            <a:extLst>
              <a:ext uri="{FF2B5EF4-FFF2-40B4-BE49-F238E27FC236}">
                <a16:creationId xmlns:a16="http://schemas.microsoft.com/office/drawing/2014/main" id="{00000000-0008-0000-0100-00006B000000}"/>
              </a:ext>
            </a:extLst>
          </xdr:cNvPr>
          <xdr:cNvSpPr/>
        </xdr:nvSpPr>
        <xdr:spPr>
          <a:xfrm>
            <a:off x="6789889" y="6667209"/>
            <a:ext cx="2882640" cy="734387"/>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solidFill>
                  <a:schemeClr val="bg1"/>
                </a:solidFill>
              </a:rPr>
              <a:t>VE-andel</a:t>
            </a:r>
            <a:r>
              <a:rPr lang="da-DK" sz="1100" b="1" baseline="0">
                <a:solidFill>
                  <a:schemeClr val="bg1"/>
                </a:solidFill>
              </a:rPr>
              <a:t> </a:t>
            </a:r>
            <a:r>
              <a:rPr lang="da-DK" sz="1100" b="1">
                <a:solidFill>
                  <a:schemeClr val="bg1"/>
                </a:solidFill>
              </a:rPr>
              <a:t>i kollektiv el- og varmeforsyning</a:t>
            </a:r>
          </a:p>
        </xdr:txBody>
      </xdr:sp>
    </xdr:grpSp>
    <xdr:clientData/>
  </xdr:twoCellAnchor>
  <xdr:twoCellAnchor>
    <xdr:from>
      <xdr:col>11</xdr:col>
      <xdr:colOff>474013</xdr:colOff>
      <xdr:row>4</xdr:row>
      <xdr:rowOff>81641</xdr:rowOff>
    </xdr:from>
    <xdr:to>
      <xdr:col>15</xdr:col>
      <xdr:colOff>148312</xdr:colOff>
      <xdr:row>27</xdr:row>
      <xdr:rowOff>136072</xdr:rowOff>
    </xdr:to>
    <xdr:grpSp>
      <xdr:nvGrpSpPr>
        <xdr:cNvPr id="14" name="Gruppe 13">
          <a:extLst>
            <a:ext uri="{FF2B5EF4-FFF2-40B4-BE49-F238E27FC236}">
              <a16:creationId xmlns:a16="http://schemas.microsoft.com/office/drawing/2014/main" id="{00000000-0008-0000-0100-00000E000000}"/>
            </a:ext>
          </a:extLst>
        </xdr:cNvPr>
        <xdr:cNvGrpSpPr/>
      </xdr:nvGrpSpPr>
      <xdr:grpSpPr>
        <a:xfrm>
          <a:off x="13781799" y="1673677"/>
          <a:ext cx="3538727" cy="3810002"/>
          <a:chOff x="13591299" y="3456213"/>
          <a:chExt cx="3538728" cy="4517573"/>
        </a:xfrm>
      </xdr:grpSpPr>
      <xdr:sp macro="" textlink="">
        <xdr:nvSpPr>
          <xdr:cNvPr id="43" name="Rektangel 42">
            <a:extLst>
              <a:ext uri="{FF2B5EF4-FFF2-40B4-BE49-F238E27FC236}">
                <a16:creationId xmlns:a16="http://schemas.microsoft.com/office/drawing/2014/main" id="{00000000-0008-0000-0100-00002B000000}"/>
              </a:ext>
            </a:extLst>
          </xdr:cNvPr>
          <xdr:cNvSpPr/>
        </xdr:nvSpPr>
        <xdr:spPr>
          <a:xfrm>
            <a:off x="13591299" y="3456213"/>
            <a:ext cx="3538728" cy="4517573"/>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da-DK" sz="800" b="1" baseline="0">
              <a:solidFill>
                <a:sysClr val="windowText" lastClr="000000"/>
              </a:solidFill>
            </a:endParaRPr>
          </a:p>
          <a:p>
            <a:pPr algn="ctr"/>
            <a:r>
              <a:rPr lang="da-DK" sz="2000" b="1" baseline="0">
                <a:solidFill>
                  <a:sysClr val="windowText" lastClr="000000"/>
                </a:solidFill>
              </a:rPr>
              <a:t>Nettoenergiforbrug</a:t>
            </a:r>
            <a:endParaRPr lang="da-DK" sz="2000" b="1">
              <a:solidFill>
                <a:sysClr val="windowText" lastClr="000000"/>
              </a:solidFill>
            </a:endParaRPr>
          </a:p>
        </xdr:txBody>
      </xdr:sp>
      <xdr:sp macro="" textlink="">
        <xdr:nvSpPr>
          <xdr:cNvPr id="45" name="Rektangel 44">
            <a:hlinkClick xmlns:r="http://schemas.openxmlformats.org/officeDocument/2006/relationships" r:id="rId54"/>
            <a:extLst>
              <a:ext uri="{FF2B5EF4-FFF2-40B4-BE49-F238E27FC236}">
                <a16:creationId xmlns:a16="http://schemas.microsoft.com/office/drawing/2014/main" id="{00000000-0008-0000-0100-00002D000000}"/>
              </a:ext>
            </a:extLst>
          </xdr:cNvPr>
          <xdr:cNvSpPr/>
        </xdr:nvSpPr>
        <xdr:spPr>
          <a:xfrm>
            <a:off x="13811207" y="4147196"/>
            <a:ext cx="3152046" cy="791295"/>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t>Nettoenergiforbrug for</a:t>
            </a:r>
            <a:r>
              <a:rPr lang="da-DK" sz="1100" b="1" baseline="0"/>
              <a:t> 2020 </a:t>
            </a:r>
            <a:r>
              <a:rPr lang="da-DK" sz="1100" b="1"/>
              <a:t>fordelt på kategorier</a:t>
            </a:r>
          </a:p>
        </xdr:txBody>
      </xdr:sp>
      <xdr:sp macro="" textlink="">
        <xdr:nvSpPr>
          <xdr:cNvPr id="48" name="Rektangel 47">
            <a:hlinkClick xmlns:r="http://schemas.openxmlformats.org/officeDocument/2006/relationships" r:id="rId55"/>
            <a:extLst>
              <a:ext uri="{FF2B5EF4-FFF2-40B4-BE49-F238E27FC236}">
                <a16:creationId xmlns:a16="http://schemas.microsoft.com/office/drawing/2014/main" id="{00000000-0008-0000-0100-000030000000}"/>
              </a:ext>
            </a:extLst>
          </xdr:cNvPr>
          <xdr:cNvSpPr/>
        </xdr:nvSpPr>
        <xdr:spPr>
          <a:xfrm>
            <a:off x="13817562" y="5088876"/>
            <a:ext cx="3138706" cy="791295"/>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t>Nettoenergiforbrug af varme fordelt på anlægstype</a:t>
            </a:r>
          </a:p>
        </xdr:txBody>
      </xdr:sp>
      <xdr:sp macro="" textlink="">
        <xdr:nvSpPr>
          <xdr:cNvPr id="49" name="Rektangel 48">
            <a:hlinkClick xmlns:r="http://schemas.openxmlformats.org/officeDocument/2006/relationships" r:id="rId56"/>
            <a:extLst>
              <a:ext uri="{FF2B5EF4-FFF2-40B4-BE49-F238E27FC236}">
                <a16:creationId xmlns:a16="http://schemas.microsoft.com/office/drawing/2014/main" id="{00000000-0008-0000-0100-000031000000}"/>
              </a:ext>
            </a:extLst>
          </xdr:cNvPr>
          <xdr:cNvSpPr/>
        </xdr:nvSpPr>
        <xdr:spPr>
          <a:xfrm>
            <a:off x="13805704" y="6019673"/>
            <a:ext cx="3138706" cy="797962"/>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t>Nettoenergiforbrug af varme opdelt på anlægstype for basisår</a:t>
            </a:r>
          </a:p>
        </xdr:txBody>
      </xdr:sp>
      <xdr:sp macro="" textlink="">
        <xdr:nvSpPr>
          <xdr:cNvPr id="50" name="Rektangel 49">
            <a:hlinkClick xmlns:r="http://schemas.openxmlformats.org/officeDocument/2006/relationships" r:id="rId57"/>
            <a:extLst>
              <a:ext uri="{FF2B5EF4-FFF2-40B4-BE49-F238E27FC236}">
                <a16:creationId xmlns:a16="http://schemas.microsoft.com/office/drawing/2014/main" id="{00000000-0008-0000-0100-000032000000}"/>
              </a:ext>
            </a:extLst>
          </xdr:cNvPr>
          <xdr:cNvSpPr/>
        </xdr:nvSpPr>
        <xdr:spPr>
          <a:xfrm>
            <a:off x="13793845" y="6952581"/>
            <a:ext cx="3138706" cy="791295"/>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t>Nettoenergiforbrug</a:t>
            </a:r>
            <a:r>
              <a:rPr lang="da-DK" sz="1100" b="1" baseline="0"/>
              <a:t> </a:t>
            </a:r>
            <a:r>
              <a:rPr lang="da-DK" sz="1100" b="1"/>
              <a:t>af varme fordelt på anlægstype</a:t>
            </a:r>
          </a:p>
        </xdr:txBody>
      </xdr:sp>
    </xdr:grpSp>
    <xdr:clientData/>
  </xdr:twoCellAnchor>
  <xdr:twoCellAnchor>
    <xdr:from>
      <xdr:col>7</xdr:col>
      <xdr:colOff>1055850</xdr:colOff>
      <xdr:row>4</xdr:row>
      <xdr:rowOff>84854</xdr:rowOff>
    </xdr:from>
    <xdr:to>
      <xdr:col>11</xdr:col>
      <xdr:colOff>277022</xdr:colOff>
      <xdr:row>22</xdr:row>
      <xdr:rowOff>13607</xdr:rowOff>
    </xdr:to>
    <xdr:grpSp>
      <xdr:nvGrpSpPr>
        <xdr:cNvPr id="37" name="Gruppe 36">
          <a:extLst>
            <a:ext uri="{FF2B5EF4-FFF2-40B4-BE49-F238E27FC236}">
              <a16:creationId xmlns:a16="http://schemas.microsoft.com/office/drawing/2014/main" id="{00000000-0008-0000-0100-000025000000}"/>
            </a:ext>
          </a:extLst>
        </xdr:cNvPr>
        <xdr:cNvGrpSpPr/>
      </xdr:nvGrpSpPr>
      <xdr:grpSpPr>
        <a:xfrm>
          <a:off x="10335921" y="1676890"/>
          <a:ext cx="3248887" cy="2867896"/>
          <a:chOff x="13514608" y="4639235"/>
          <a:chExt cx="3241682" cy="3025589"/>
        </a:xfrm>
      </xdr:grpSpPr>
      <xdr:sp macro="" textlink="">
        <xdr:nvSpPr>
          <xdr:cNvPr id="109" name="Rektangel 108">
            <a:extLst>
              <a:ext uri="{FF2B5EF4-FFF2-40B4-BE49-F238E27FC236}">
                <a16:creationId xmlns:a16="http://schemas.microsoft.com/office/drawing/2014/main" id="{00000000-0008-0000-0100-00006D000000}"/>
              </a:ext>
            </a:extLst>
          </xdr:cNvPr>
          <xdr:cNvSpPr/>
        </xdr:nvSpPr>
        <xdr:spPr>
          <a:xfrm>
            <a:off x="13514608" y="4639235"/>
            <a:ext cx="3241682" cy="3025589"/>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da-DK" sz="800" b="1">
              <a:solidFill>
                <a:sysClr val="windowText" lastClr="000000"/>
              </a:solidFill>
            </a:endParaRPr>
          </a:p>
          <a:p>
            <a:pPr algn="ctr"/>
            <a:r>
              <a:rPr lang="da-DK" sz="2000" b="1">
                <a:solidFill>
                  <a:sysClr val="windowText" lastClr="000000"/>
                </a:solidFill>
              </a:rPr>
              <a:t>Transport</a:t>
            </a:r>
          </a:p>
        </xdr:txBody>
      </xdr:sp>
      <xdr:sp macro="" textlink="">
        <xdr:nvSpPr>
          <xdr:cNvPr id="58" name="Rektangel 57">
            <a:hlinkClick xmlns:r="http://schemas.openxmlformats.org/officeDocument/2006/relationships" r:id="rId58"/>
            <a:extLst>
              <a:ext uri="{FF2B5EF4-FFF2-40B4-BE49-F238E27FC236}">
                <a16:creationId xmlns:a16="http://schemas.microsoft.com/office/drawing/2014/main" id="{00000000-0008-0000-0100-00003A000000}"/>
              </a:ext>
            </a:extLst>
          </xdr:cNvPr>
          <xdr:cNvSpPr/>
        </xdr:nvSpPr>
        <xdr:spPr>
          <a:xfrm>
            <a:off x="13689809" y="5225252"/>
            <a:ext cx="2882640" cy="632592"/>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t>Bruttoenergiforbrug til</a:t>
            </a:r>
            <a:r>
              <a:rPr lang="da-DK" sz="1100" b="1" baseline="0"/>
              <a:t> transport </a:t>
            </a:r>
            <a:r>
              <a:rPr lang="da-DK" sz="1100" b="1"/>
              <a:t>fordelt på transportform</a:t>
            </a:r>
          </a:p>
        </xdr:txBody>
      </xdr:sp>
      <xdr:sp macro="" textlink="">
        <xdr:nvSpPr>
          <xdr:cNvPr id="59" name="Rektangel 58">
            <a:hlinkClick xmlns:r="http://schemas.openxmlformats.org/officeDocument/2006/relationships" r:id="rId59"/>
            <a:extLst>
              <a:ext uri="{FF2B5EF4-FFF2-40B4-BE49-F238E27FC236}">
                <a16:creationId xmlns:a16="http://schemas.microsoft.com/office/drawing/2014/main" id="{00000000-0008-0000-0100-00003B000000}"/>
              </a:ext>
            </a:extLst>
          </xdr:cNvPr>
          <xdr:cNvSpPr/>
        </xdr:nvSpPr>
        <xdr:spPr>
          <a:xfrm>
            <a:off x="13703386" y="6001299"/>
            <a:ext cx="2882640" cy="632592"/>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t>Bruttoenergiforbrug til transport opdelt på transportform for basisår</a:t>
            </a:r>
          </a:p>
        </xdr:txBody>
      </xdr:sp>
      <xdr:sp macro="" textlink="">
        <xdr:nvSpPr>
          <xdr:cNvPr id="60" name="Rektangel 59">
            <a:hlinkClick xmlns:r="http://schemas.openxmlformats.org/officeDocument/2006/relationships" r:id="rId60"/>
            <a:extLst>
              <a:ext uri="{FF2B5EF4-FFF2-40B4-BE49-F238E27FC236}">
                <a16:creationId xmlns:a16="http://schemas.microsoft.com/office/drawing/2014/main" id="{00000000-0008-0000-0100-00003C000000}"/>
              </a:ext>
            </a:extLst>
          </xdr:cNvPr>
          <xdr:cNvSpPr/>
        </xdr:nvSpPr>
        <xdr:spPr>
          <a:xfrm>
            <a:off x="13689809" y="6791702"/>
            <a:ext cx="2882640" cy="632593"/>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t>Bruttoenergiforbrug til transport for 2019</a:t>
            </a:r>
          </a:p>
        </xdr:txBody>
      </xdr:sp>
    </xdr:grpSp>
    <xdr:clientData/>
  </xdr:twoCellAnchor>
  <xdr:twoCellAnchor>
    <xdr:from>
      <xdr:col>0</xdr:col>
      <xdr:colOff>123747</xdr:colOff>
      <xdr:row>13</xdr:row>
      <xdr:rowOff>80045</xdr:rowOff>
    </xdr:from>
    <xdr:to>
      <xdr:col>1</xdr:col>
      <xdr:colOff>2759590</xdr:colOff>
      <xdr:row>43</xdr:row>
      <xdr:rowOff>95250</xdr:rowOff>
    </xdr:to>
    <xdr:grpSp>
      <xdr:nvGrpSpPr>
        <xdr:cNvPr id="40" name="Gruppe 39">
          <a:extLst>
            <a:ext uri="{FF2B5EF4-FFF2-40B4-BE49-F238E27FC236}">
              <a16:creationId xmlns:a16="http://schemas.microsoft.com/office/drawing/2014/main" id="{00000000-0008-0000-0100-000028000000}"/>
            </a:ext>
          </a:extLst>
        </xdr:cNvPr>
        <xdr:cNvGrpSpPr/>
      </xdr:nvGrpSpPr>
      <xdr:grpSpPr>
        <a:xfrm>
          <a:off x="123747" y="3141652"/>
          <a:ext cx="3248164" cy="4913777"/>
          <a:chOff x="123736" y="1995001"/>
          <a:chExt cx="3245443" cy="5370242"/>
        </a:xfrm>
      </xdr:grpSpPr>
      <xdr:sp macro="" textlink="">
        <xdr:nvSpPr>
          <xdr:cNvPr id="70" name="Rektangel 69">
            <a:extLst>
              <a:ext uri="{FF2B5EF4-FFF2-40B4-BE49-F238E27FC236}">
                <a16:creationId xmlns:a16="http://schemas.microsoft.com/office/drawing/2014/main" id="{00000000-0008-0000-0100-000046000000}"/>
              </a:ext>
            </a:extLst>
          </xdr:cNvPr>
          <xdr:cNvSpPr/>
        </xdr:nvSpPr>
        <xdr:spPr>
          <a:xfrm>
            <a:off x="123736" y="1995001"/>
            <a:ext cx="3245443" cy="5370242"/>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da-DK" sz="800" b="1">
              <a:solidFill>
                <a:sysClr val="windowText" lastClr="000000"/>
              </a:solidFill>
            </a:endParaRPr>
          </a:p>
          <a:p>
            <a:pPr algn="ctr"/>
            <a:r>
              <a:rPr lang="da-DK" sz="2000" b="1">
                <a:solidFill>
                  <a:sysClr val="windowText" lastClr="000000"/>
                </a:solidFill>
              </a:rPr>
              <a:t>CO</a:t>
            </a:r>
            <a:r>
              <a:rPr lang="da-DK" sz="2000" b="1" baseline="-25000">
                <a:solidFill>
                  <a:sysClr val="windowText" lastClr="000000"/>
                </a:solidFill>
              </a:rPr>
              <a:t>2</a:t>
            </a:r>
            <a:r>
              <a:rPr lang="da-DK" sz="2000" b="1">
                <a:solidFill>
                  <a:sysClr val="windowText" lastClr="000000"/>
                </a:solidFill>
              </a:rPr>
              <a:t>-udledning</a:t>
            </a:r>
          </a:p>
        </xdr:txBody>
      </xdr:sp>
      <xdr:sp macro="" textlink="">
        <xdr:nvSpPr>
          <xdr:cNvPr id="71" name="Rektangel 70">
            <a:hlinkClick xmlns:r="http://schemas.openxmlformats.org/officeDocument/2006/relationships" r:id="rId61"/>
            <a:extLst>
              <a:ext uri="{FF2B5EF4-FFF2-40B4-BE49-F238E27FC236}">
                <a16:creationId xmlns:a16="http://schemas.microsoft.com/office/drawing/2014/main" id="{00000000-0008-0000-0100-000047000000}"/>
              </a:ext>
            </a:extLst>
          </xdr:cNvPr>
          <xdr:cNvSpPr/>
        </xdr:nvSpPr>
        <xdr:spPr>
          <a:xfrm>
            <a:off x="267757" y="2561906"/>
            <a:ext cx="2891126" cy="650931"/>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solidFill>
                  <a:schemeClr val="bg1"/>
                </a:solidFill>
              </a:rPr>
              <a:t>CO</a:t>
            </a:r>
            <a:r>
              <a:rPr lang="da-DK" sz="1100" b="1" baseline="-25000">
                <a:solidFill>
                  <a:schemeClr val="bg1"/>
                </a:solidFill>
              </a:rPr>
              <a:t>2</a:t>
            </a:r>
            <a:r>
              <a:rPr lang="da-DK" sz="1100" b="1">
                <a:solidFill>
                  <a:schemeClr val="bg1"/>
                </a:solidFill>
              </a:rPr>
              <a:t>-udledning fordelt på brændsler</a:t>
            </a:r>
          </a:p>
        </xdr:txBody>
      </xdr:sp>
      <xdr:sp macro="" textlink="">
        <xdr:nvSpPr>
          <xdr:cNvPr id="72" name="Rektangel 71">
            <a:hlinkClick xmlns:r="http://schemas.openxmlformats.org/officeDocument/2006/relationships" r:id="rId62"/>
            <a:extLst>
              <a:ext uri="{FF2B5EF4-FFF2-40B4-BE49-F238E27FC236}">
                <a16:creationId xmlns:a16="http://schemas.microsoft.com/office/drawing/2014/main" id="{00000000-0008-0000-0100-000048000000}"/>
              </a:ext>
            </a:extLst>
          </xdr:cNvPr>
          <xdr:cNvSpPr/>
        </xdr:nvSpPr>
        <xdr:spPr>
          <a:xfrm>
            <a:off x="267757" y="4911592"/>
            <a:ext cx="2891126" cy="628949"/>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solidFill>
                  <a:schemeClr val="bg1"/>
                </a:solidFill>
              </a:rPr>
              <a:t>CO</a:t>
            </a:r>
            <a:r>
              <a:rPr lang="da-DK" sz="1100" b="1" baseline="-25000">
                <a:solidFill>
                  <a:schemeClr val="bg1"/>
                </a:solidFill>
              </a:rPr>
              <a:t>2</a:t>
            </a:r>
            <a:r>
              <a:rPr lang="da-DK" sz="1100" b="1">
                <a:solidFill>
                  <a:schemeClr val="bg1"/>
                </a:solidFill>
              </a:rPr>
              <a:t>-udledning opdelt på brændsler for basisår</a:t>
            </a:r>
          </a:p>
        </xdr:txBody>
      </xdr:sp>
      <xdr:sp macro="" textlink="">
        <xdr:nvSpPr>
          <xdr:cNvPr id="73" name="Rektangel 72">
            <a:hlinkClick xmlns:r="http://schemas.openxmlformats.org/officeDocument/2006/relationships" r:id="rId63"/>
            <a:extLst>
              <a:ext uri="{FF2B5EF4-FFF2-40B4-BE49-F238E27FC236}">
                <a16:creationId xmlns:a16="http://schemas.microsoft.com/office/drawing/2014/main" id="{00000000-0008-0000-0100-000049000000}"/>
              </a:ext>
            </a:extLst>
          </xdr:cNvPr>
          <xdr:cNvSpPr/>
        </xdr:nvSpPr>
        <xdr:spPr>
          <a:xfrm>
            <a:off x="267757" y="5673082"/>
            <a:ext cx="2891126" cy="628950"/>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solidFill>
                  <a:schemeClr val="bg1"/>
                </a:solidFill>
              </a:rPr>
              <a:t>CO</a:t>
            </a:r>
            <a:r>
              <a:rPr lang="da-DK" sz="1100" b="1" baseline="-25000">
                <a:solidFill>
                  <a:schemeClr val="bg1"/>
                </a:solidFill>
              </a:rPr>
              <a:t>2</a:t>
            </a:r>
            <a:r>
              <a:rPr lang="da-DK" sz="1100" b="1">
                <a:solidFill>
                  <a:schemeClr val="bg1"/>
                </a:solidFill>
              </a:rPr>
              <a:t>-udledning fordelt på omsætningsenheder</a:t>
            </a:r>
          </a:p>
        </xdr:txBody>
      </xdr:sp>
      <xdr:sp macro="" textlink="">
        <xdr:nvSpPr>
          <xdr:cNvPr id="74" name="Rektangel 73">
            <a:hlinkClick xmlns:r="http://schemas.openxmlformats.org/officeDocument/2006/relationships" r:id="rId64"/>
            <a:extLst>
              <a:ext uri="{FF2B5EF4-FFF2-40B4-BE49-F238E27FC236}">
                <a16:creationId xmlns:a16="http://schemas.microsoft.com/office/drawing/2014/main" id="{00000000-0008-0000-0100-00004A000000}"/>
              </a:ext>
            </a:extLst>
          </xdr:cNvPr>
          <xdr:cNvSpPr/>
        </xdr:nvSpPr>
        <xdr:spPr>
          <a:xfrm>
            <a:off x="267757" y="6434573"/>
            <a:ext cx="2891126" cy="650931"/>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a:solidFill>
                  <a:schemeClr val="bg1"/>
                </a:solidFill>
              </a:rPr>
              <a:t>CO</a:t>
            </a:r>
            <a:r>
              <a:rPr lang="da-DK" sz="1100" b="1" baseline="-25000">
                <a:solidFill>
                  <a:schemeClr val="bg1"/>
                </a:solidFill>
              </a:rPr>
              <a:t>2</a:t>
            </a:r>
            <a:r>
              <a:rPr lang="da-DK" sz="1100" b="1">
                <a:solidFill>
                  <a:schemeClr val="bg1"/>
                </a:solidFill>
              </a:rPr>
              <a:t>-udledning fordelt på omsætningsenheder for basisår</a:t>
            </a:r>
          </a:p>
        </xdr:txBody>
      </xdr:sp>
      <xdr:sp macro="" textlink="">
        <xdr:nvSpPr>
          <xdr:cNvPr id="117" name="Rektangel 116">
            <a:hlinkClick xmlns:r="http://schemas.openxmlformats.org/officeDocument/2006/relationships" r:id="rId65"/>
            <a:extLst>
              <a:ext uri="{FF2B5EF4-FFF2-40B4-BE49-F238E27FC236}">
                <a16:creationId xmlns:a16="http://schemas.microsoft.com/office/drawing/2014/main" id="{00000000-0008-0000-0100-000075000000}"/>
              </a:ext>
            </a:extLst>
          </xdr:cNvPr>
          <xdr:cNvSpPr/>
        </xdr:nvSpPr>
        <xdr:spPr>
          <a:xfrm>
            <a:off x="267757" y="3345379"/>
            <a:ext cx="2891126" cy="650931"/>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i="0" u="none" strike="noStrike">
                <a:solidFill>
                  <a:schemeClr val="bg1"/>
                </a:solidFill>
                <a:effectLst/>
                <a:latin typeface="+mn-lt"/>
                <a:ea typeface="+mn-ea"/>
                <a:cs typeface="+mn-cs"/>
              </a:rPr>
              <a:t>CO</a:t>
            </a:r>
            <a:r>
              <a:rPr lang="da-DK" sz="1100" b="1" i="0" u="none" strike="noStrike" baseline="-25000">
                <a:solidFill>
                  <a:schemeClr val="bg1"/>
                </a:solidFill>
                <a:effectLst/>
                <a:latin typeface="+mn-lt"/>
                <a:ea typeface="+mn-ea"/>
                <a:cs typeface="+mn-cs"/>
              </a:rPr>
              <a:t>2</a:t>
            </a:r>
            <a:r>
              <a:rPr lang="da-DK" sz="1100" b="1" i="0" u="none" strike="noStrike">
                <a:solidFill>
                  <a:schemeClr val="bg1"/>
                </a:solidFill>
                <a:effectLst/>
                <a:latin typeface="+mn-lt"/>
                <a:ea typeface="+mn-ea"/>
                <a:cs typeface="+mn-cs"/>
              </a:rPr>
              <a:t>-udledning fordelt på brændsler Simplificeret</a:t>
            </a:r>
            <a:endParaRPr lang="da-DK" sz="1100" b="1">
              <a:solidFill>
                <a:schemeClr val="bg1"/>
              </a:solidFill>
            </a:endParaRPr>
          </a:p>
        </xdr:txBody>
      </xdr:sp>
      <xdr:sp macro="" textlink="">
        <xdr:nvSpPr>
          <xdr:cNvPr id="118" name="Rektangel 117">
            <a:hlinkClick xmlns:r="http://schemas.openxmlformats.org/officeDocument/2006/relationships" r:id="rId66"/>
            <a:extLst>
              <a:ext uri="{FF2B5EF4-FFF2-40B4-BE49-F238E27FC236}">
                <a16:creationId xmlns:a16="http://schemas.microsoft.com/office/drawing/2014/main" id="{00000000-0008-0000-0100-000076000000}"/>
              </a:ext>
            </a:extLst>
          </xdr:cNvPr>
          <xdr:cNvSpPr/>
        </xdr:nvSpPr>
        <xdr:spPr>
          <a:xfrm>
            <a:off x="267757" y="4128852"/>
            <a:ext cx="2891126" cy="650931"/>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da-DK" sz="1100" b="1" i="0" u="none" strike="noStrike">
                <a:solidFill>
                  <a:schemeClr val="bg1"/>
                </a:solidFill>
                <a:effectLst/>
                <a:latin typeface="+mn-lt"/>
                <a:ea typeface="+mn-ea"/>
                <a:cs typeface="+mn-cs"/>
              </a:rPr>
              <a:t>CO</a:t>
            </a:r>
            <a:r>
              <a:rPr lang="da-DK" sz="1100" b="1" i="0" u="none" strike="noStrike" baseline="-25000">
                <a:solidFill>
                  <a:schemeClr val="bg1"/>
                </a:solidFill>
                <a:effectLst/>
                <a:latin typeface="+mn-lt"/>
                <a:ea typeface="+mn-ea"/>
                <a:cs typeface="+mn-cs"/>
              </a:rPr>
              <a:t>2</a:t>
            </a:r>
            <a:r>
              <a:rPr lang="da-DK" sz="1100" b="1" i="0" u="none" strike="noStrike">
                <a:solidFill>
                  <a:schemeClr val="bg1"/>
                </a:solidFill>
                <a:effectLst/>
                <a:latin typeface="+mn-lt"/>
                <a:ea typeface="+mn-ea"/>
                <a:cs typeface="+mn-cs"/>
              </a:rPr>
              <a:t>-udledning fordelt på brændsler pr. indbygger - Simplificeret</a:t>
            </a:r>
            <a:endParaRPr lang="da-DK" sz="1100" b="1">
              <a:solidFill>
                <a:schemeClr val="bg1"/>
              </a:solidFill>
            </a:endParaRPr>
          </a:p>
        </xdr:txBody>
      </xdr:sp>
    </xdr:grpSp>
    <xdr:clientData/>
  </xdr:twoCellAnchor>
  <xdr:twoCellAnchor>
    <xdr:from>
      <xdr:col>3</xdr:col>
      <xdr:colOff>870858</xdr:colOff>
      <xdr:row>668</xdr:row>
      <xdr:rowOff>40823</xdr:rowOff>
    </xdr:from>
    <xdr:to>
      <xdr:col>8</xdr:col>
      <xdr:colOff>938893</xdr:colOff>
      <xdr:row>693</xdr:row>
      <xdr:rowOff>78764</xdr:rowOff>
    </xdr:to>
    <xdr:graphicFrame macro="">
      <xdr:nvGraphicFramePr>
        <xdr:cNvPr id="108" name="Diagram 23">
          <a:extLst>
            <a:ext uri="{FF2B5EF4-FFF2-40B4-BE49-F238E27FC236}">
              <a16:creationId xmlns:a16="http://schemas.microsoft.com/office/drawing/2014/main" id="{00000000-0008-0000-0100-00006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3</xdr:col>
      <xdr:colOff>762002</xdr:colOff>
      <xdr:row>1078</xdr:row>
      <xdr:rowOff>68036</xdr:rowOff>
    </xdr:from>
    <xdr:to>
      <xdr:col>8</xdr:col>
      <xdr:colOff>585107</xdr:colOff>
      <xdr:row>1102</xdr:row>
      <xdr:rowOff>141837</xdr:rowOff>
    </xdr:to>
    <xdr:graphicFrame macro="">
      <xdr:nvGraphicFramePr>
        <xdr:cNvPr id="111" name="Diagram 110">
          <a:extLst>
            <a:ext uri="{FF2B5EF4-FFF2-40B4-BE49-F238E27FC236}">
              <a16:creationId xmlns:a16="http://schemas.microsoft.com/office/drawing/2014/main" id="{00000000-0008-0000-01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0</xdr:col>
      <xdr:colOff>178594</xdr:colOff>
      <xdr:row>0</xdr:row>
      <xdr:rowOff>146050</xdr:rowOff>
    </xdr:from>
    <xdr:to>
      <xdr:col>1</xdr:col>
      <xdr:colOff>1836965</xdr:colOff>
      <xdr:row>0</xdr:row>
      <xdr:rowOff>680357</xdr:rowOff>
    </xdr:to>
    <xdr:pic>
      <xdr:nvPicPr>
        <xdr:cNvPr id="124" name="Billede 0" descr="logo.wmf">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69" cstate="print"/>
        <a:srcRect/>
        <a:stretch>
          <a:fillRect/>
        </a:stretch>
      </xdr:blipFill>
      <xdr:spPr bwMode="auto">
        <a:xfrm>
          <a:off x="178594" y="146050"/>
          <a:ext cx="2270692" cy="534307"/>
        </a:xfrm>
        <a:prstGeom prst="rect">
          <a:avLst/>
        </a:prstGeom>
        <a:noFill/>
        <a:ln w="9525">
          <a:noFill/>
          <a:miter lim="800000"/>
          <a:headEnd/>
          <a:tailEnd/>
        </a:ln>
      </xdr:spPr>
    </xdr:pic>
    <xdr:clientData/>
  </xdr:twoCellAnchor>
  <xdr:oneCellAnchor>
    <xdr:from>
      <xdr:col>0</xdr:col>
      <xdr:colOff>115662</xdr:colOff>
      <xdr:row>85</xdr:row>
      <xdr:rowOff>64662</xdr:rowOff>
    </xdr:from>
    <xdr:ext cx="269443" cy="291866"/>
    <xdr:sp macro="" textlink="">
      <xdr:nvSpPr>
        <xdr:cNvPr id="157" name="Rektangel 156">
          <a:hlinkClick xmlns:r="http://schemas.openxmlformats.org/officeDocument/2006/relationships" r:id="rId28"/>
          <a:extLst>
            <a:ext uri="{FF2B5EF4-FFF2-40B4-BE49-F238E27FC236}">
              <a16:creationId xmlns:a16="http://schemas.microsoft.com/office/drawing/2014/main" id="{00000000-0008-0000-0100-00009D000000}"/>
            </a:ext>
          </a:extLst>
        </xdr:cNvPr>
        <xdr:cNvSpPr/>
      </xdr:nvSpPr>
      <xdr:spPr>
        <a:xfrm>
          <a:off x="115662" y="9657698"/>
          <a:ext cx="269443" cy="291866"/>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overflow" horzOverflow="overflow" wrap="square" lIns="18000" tIns="36000" rIns="18000" bIns="36000" rtlCol="0" anchor="ctr">
          <a:spAutoFit/>
        </a:bodyPr>
        <a:lstStyle/>
        <a:p>
          <a:pPr algn="ctr"/>
          <a:r>
            <a:rPr lang="da-DK" sz="1400" b="1"/>
            <a:t>↑</a:t>
          </a:r>
          <a:endParaRPr lang="da-DK" sz="1000" b="1"/>
        </a:p>
      </xdr:txBody>
    </xdr:sp>
    <xdr:clientData/>
  </xdr:oneCellAnchor>
  <xdr:oneCellAnchor>
    <xdr:from>
      <xdr:col>0</xdr:col>
      <xdr:colOff>115662</xdr:colOff>
      <xdr:row>586</xdr:row>
      <xdr:rowOff>64662</xdr:rowOff>
    </xdr:from>
    <xdr:ext cx="269443" cy="291866"/>
    <xdr:sp macro="" textlink="">
      <xdr:nvSpPr>
        <xdr:cNvPr id="158" name="Rektangel 157">
          <a:hlinkClick xmlns:r="http://schemas.openxmlformats.org/officeDocument/2006/relationships" r:id="rId28"/>
          <a:extLst>
            <a:ext uri="{FF2B5EF4-FFF2-40B4-BE49-F238E27FC236}">
              <a16:creationId xmlns:a16="http://schemas.microsoft.com/office/drawing/2014/main" id="{00000000-0008-0000-0100-00009E000000}"/>
            </a:ext>
          </a:extLst>
        </xdr:cNvPr>
        <xdr:cNvSpPr/>
      </xdr:nvSpPr>
      <xdr:spPr>
        <a:xfrm>
          <a:off x="115662" y="9657698"/>
          <a:ext cx="269443" cy="291866"/>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overflow" horzOverflow="overflow" wrap="square" lIns="18000" tIns="36000" rIns="18000" bIns="36000" rtlCol="0" anchor="ctr">
          <a:spAutoFit/>
        </a:bodyPr>
        <a:lstStyle/>
        <a:p>
          <a:pPr algn="ctr"/>
          <a:r>
            <a:rPr lang="da-DK" sz="1400" b="1"/>
            <a:t>↑</a:t>
          </a:r>
          <a:endParaRPr lang="da-DK" sz="1000" b="1"/>
        </a:p>
      </xdr:txBody>
    </xdr:sp>
    <xdr:clientData/>
  </xdr:oneCellAnchor>
  <xdr:oneCellAnchor>
    <xdr:from>
      <xdr:col>0</xdr:col>
      <xdr:colOff>115662</xdr:colOff>
      <xdr:row>696</xdr:row>
      <xdr:rowOff>64662</xdr:rowOff>
    </xdr:from>
    <xdr:ext cx="269443" cy="291866"/>
    <xdr:sp macro="" textlink="">
      <xdr:nvSpPr>
        <xdr:cNvPr id="159" name="Rektangel 158">
          <a:hlinkClick xmlns:r="http://schemas.openxmlformats.org/officeDocument/2006/relationships" r:id="rId28"/>
          <a:extLst>
            <a:ext uri="{FF2B5EF4-FFF2-40B4-BE49-F238E27FC236}">
              <a16:creationId xmlns:a16="http://schemas.microsoft.com/office/drawing/2014/main" id="{00000000-0008-0000-0100-00009F000000}"/>
            </a:ext>
          </a:extLst>
        </xdr:cNvPr>
        <xdr:cNvSpPr/>
      </xdr:nvSpPr>
      <xdr:spPr>
        <a:xfrm>
          <a:off x="115662" y="9657698"/>
          <a:ext cx="269443" cy="291866"/>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overflow" horzOverflow="overflow" wrap="square" lIns="18000" tIns="36000" rIns="18000" bIns="36000" rtlCol="0" anchor="ctr">
          <a:spAutoFit/>
        </a:bodyPr>
        <a:lstStyle/>
        <a:p>
          <a:pPr algn="ctr"/>
          <a:r>
            <a:rPr lang="da-DK" sz="1400" b="1"/>
            <a:t>↑</a:t>
          </a:r>
          <a:endParaRPr lang="da-DK" sz="1000" b="1"/>
        </a:p>
      </xdr:txBody>
    </xdr:sp>
    <xdr:clientData/>
  </xdr:oneCellAnchor>
  <xdr:oneCellAnchor>
    <xdr:from>
      <xdr:col>0</xdr:col>
      <xdr:colOff>115662</xdr:colOff>
      <xdr:row>935</xdr:row>
      <xdr:rowOff>64662</xdr:rowOff>
    </xdr:from>
    <xdr:ext cx="269443" cy="291866"/>
    <xdr:sp macro="" textlink="">
      <xdr:nvSpPr>
        <xdr:cNvPr id="160" name="Rektangel 159">
          <a:hlinkClick xmlns:r="http://schemas.openxmlformats.org/officeDocument/2006/relationships" r:id="rId28"/>
          <a:extLst>
            <a:ext uri="{FF2B5EF4-FFF2-40B4-BE49-F238E27FC236}">
              <a16:creationId xmlns:a16="http://schemas.microsoft.com/office/drawing/2014/main" id="{00000000-0008-0000-0100-0000A0000000}"/>
            </a:ext>
          </a:extLst>
        </xdr:cNvPr>
        <xdr:cNvSpPr/>
      </xdr:nvSpPr>
      <xdr:spPr>
        <a:xfrm>
          <a:off x="115662" y="9657698"/>
          <a:ext cx="269443" cy="291866"/>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overflow" horzOverflow="overflow" wrap="square" lIns="18000" tIns="36000" rIns="18000" bIns="36000" rtlCol="0" anchor="ctr">
          <a:spAutoFit/>
        </a:bodyPr>
        <a:lstStyle/>
        <a:p>
          <a:pPr algn="ctr"/>
          <a:r>
            <a:rPr lang="da-DK" sz="1400" b="1"/>
            <a:t>↑</a:t>
          </a:r>
          <a:endParaRPr lang="da-DK" sz="1000" b="1"/>
        </a:p>
      </xdr:txBody>
    </xdr:sp>
    <xdr:clientData/>
  </xdr:oneCellAnchor>
  <xdr:oneCellAnchor>
    <xdr:from>
      <xdr:col>0</xdr:col>
      <xdr:colOff>115662</xdr:colOff>
      <xdr:row>1105</xdr:row>
      <xdr:rowOff>64662</xdr:rowOff>
    </xdr:from>
    <xdr:ext cx="269443" cy="291866"/>
    <xdr:sp macro="" textlink="">
      <xdr:nvSpPr>
        <xdr:cNvPr id="161" name="Rektangel 160">
          <a:hlinkClick xmlns:r="http://schemas.openxmlformats.org/officeDocument/2006/relationships" r:id="rId28"/>
          <a:extLst>
            <a:ext uri="{FF2B5EF4-FFF2-40B4-BE49-F238E27FC236}">
              <a16:creationId xmlns:a16="http://schemas.microsoft.com/office/drawing/2014/main" id="{00000000-0008-0000-0100-0000A1000000}"/>
            </a:ext>
          </a:extLst>
        </xdr:cNvPr>
        <xdr:cNvSpPr/>
      </xdr:nvSpPr>
      <xdr:spPr>
        <a:xfrm>
          <a:off x="115662" y="9657698"/>
          <a:ext cx="269443" cy="291866"/>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overflow" horzOverflow="overflow" wrap="square" lIns="18000" tIns="36000" rIns="18000" bIns="36000" rtlCol="0" anchor="ctr">
          <a:spAutoFit/>
        </a:bodyPr>
        <a:lstStyle/>
        <a:p>
          <a:pPr algn="ctr"/>
          <a:r>
            <a:rPr lang="da-DK" sz="1400" b="1"/>
            <a:t>↑</a:t>
          </a:r>
          <a:endParaRPr lang="da-DK" sz="1000" b="1"/>
        </a:p>
      </xdr:txBody>
    </xdr:sp>
    <xdr:clientData/>
  </xdr:oneCellAnchor>
  <xdr:oneCellAnchor>
    <xdr:from>
      <xdr:col>0</xdr:col>
      <xdr:colOff>115662</xdr:colOff>
      <xdr:row>1202</xdr:row>
      <xdr:rowOff>64662</xdr:rowOff>
    </xdr:from>
    <xdr:ext cx="269443" cy="291866"/>
    <xdr:sp macro="" textlink="">
      <xdr:nvSpPr>
        <xdr:cNvPr id="162" name="Rektangel 161">
          <a:hlinkClick xmlns:r="http://schemas.openxmlformats.org/officeDocument/2006/relationships" r:id="rId28"/>
          <a:extLst>
            <a:ext uri="{FF2B5EF4-FFF2-40B4-BE49-F238E27FC236}">
              <a16:creationId xmlns:a16="http://schemas.microsoft.com/office/drawing/2014/main" id="{00000000-0008-0000-0100-0000A2000000}"/>
            </a:ext>
          </a:extLst>
        </xdr:cNvPr>
        <xdr:cNvSpPr/>
      </xdr:nvSpPr>
      <xdr:spPr>
        <a:xfrm>
          <a:off x="115662" y="9657698"/>
          <a:ext cx="269443" cy="291866"/>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overflow" horzOverflow="overflow" wrap="square" lIns="18000" tIns="36000" rIns="18000" bIns="36000" rtlCol="0" anchor="ctr">
          <a:spAutoFit/>
        </a:bodyPr>
        <a:lstStyle/>
        <a:p>
          <a:pPr algn="ctr"/>
          <a:r>
            <a:rPr lang="da-DK" sz="1400" b="1"/>
            <a:t>↑</a:t>
          </a:r>
          <a:endParaRPr lang="da-DK" sz="1000" b="1"/>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27</xdr:col>
      <xdr:colOff>0</xdr:colOff>
      <xdr:row>87</xdr:row>
      <xdr:rowOff>0</xdr:rowOff>
    </xdr:from>
    <xdr:to>
      <xdr:col>30</xdr:col>
      <xdr:colOff>54821</xdr:colOff>
      <xdr:row>87</xdr:row>
      <xdr:rowOff>510794</xdr:rowOff>
    </xdr:to>
    <xdr:grpSp>
      <xdr:nvGrpSpPr>
        <xdr:cNvPr id="2" name="Gruppe 1">
          <a:extLst>
            <a:ext uri="{FF2B5EF4-FFF2-40B4-BE49-F238E27FC236}">
              <a16:creationId xmlns:a16="http://schemas.microsoft.com/office/drawing/2014/main" id="{00000000-0008-0000-0D00-000002000000}"/>
            </a:ext>
          </a:extLst>
        </xdr:cNvPr>
        <xdr:cNvGrpSpPr/>
      </xdr:nvGrpSpPr>
      <xdr:grpSpPr>
        <a:xfrm>
          <a:off x="13196455" y="18409227"/>
          <a:ext cx="4297775" cy="510794"/>
          <a:chOff x="11904394" y="17705398"/>
          <a:chExt cx="4289329" cy="503756"/>
        </a:xfrm>
      </xdr:grpSpPr>
      <xdr:pic>
        <xdr:nvPicPr>
          <xdr:cNvPr id="3" name="Billed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52242" y="17705398"/>
            <a:ext cx="1841481" cy="493728"/>
          </a:xfrm>
          <a:prstGeom prst="rect">
            <a:avLst/>
          </a:prstGeom>
        </xdr:spPr>
      </xdr:pic>
      <xdr:pic>
        <xdr:nvPicPr>
          <xdr:cNvPr id="4" name="Billed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04394" y="17736493"/>
            <a:ext cx="2061227" cy="472661"/>
          </a:xfrm>
          <a:prstGeom prst="rect">
            <a:avLst/>
          </a:prstGeom>
        </xdr:spPr>
      </xdr:pic>
    </xdr:grpSp>
    <xdr:clientData/>
  </xdr:twoCellAnchor>
  <xdr:twoCellAnchor>
    <xdr:from>
      <xdr:col>27</xdr:col>
      <xdr:colOff>0</xdr:colOff>
      <xdr:row>87</xdr:row>
      <xdr:rowOff>0</xdr:rowOff>
    </xdr:from>
    <xdr:to>
      <xdr:col>30</xdr:col>
      <xdr:colOff>54821</xdr:colOff>
      <xdr:row>87</xdr:row>
      <xdr:rowOff>510794</xdr:rowOff>
    </xdr:to>
    <xdr:grpSp>
      <xdr:nvGrpSpPr>
        <xdr:cNvPr id="5" name="Gruppe 4">
          <a:extLst>
            <a:ext uri="{FF2B5EF4-FFF2-40B4-BE49-F238E27FC236}">
              <a16:creationId xmlns:a16="http://schemas.microsoft.com/office/drawing/2014/main" id="{00000000-0008-0000-0D00-000005000000}"/>
            </a:ext>
          </a:extLst>
        </xdr:cNvPr>
        <xdr:cNvGrpSpPr/>
      </xdr:nvGrpSpPr>
      <xdr:grpSpPr>
        <a:xfrm>
          <a:off x="13196455" y="18409227"/>
          <a:ext cx="4297775" cy="510794"/>
          <a:chOff x="11904394" y="17705398"/>
          <a:chExt cx="4289329" cy="503756"/>
        </a:xfrm>
      </xdr:grpSpPr>
      <xdr:pic>
        <xdr:nvPicPr>
          <xdr:cNvPr id="6" name="Billed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52242" y="17705398"/>
            <a:ext cx="1841481" cy="493728"/>
          </a:xfrm>
          <a:prstGeom prst="rect">
            <a:avLst/>
          </a:prstGeom>
        </xdr:spPr>
      </xdr:pic>
      <xdr:pic>
        <xdr:nvPicPr>
          <xdr:cNvPr id="7" name="Billed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04394" y="17736493"/>
            <a:ext cx="2061227" cy="472661"/>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27</xdr:col>
      <xdr:colOff>0</xdr:colOff>
      <xdr:row>87</xdr:row>
      <xdr:rowOff>0</xdr:rowOff>
    </xdr:from>
    <xdr:to>
      <xdr:col>30</xdr:col>
      <xdr:colOff>59150</xdr:colOff>
      <xdr:row>87</xdr:row>
      <xdr:rowOff>510794</xdr:rowOff>
    </xdr:to>
    <xdr:grpSp>
      <xdr:nvGrpSpPr>
        <xdr:cNvPr id="2" name="Gruppe 1">
          <a:extLst>
            <a:ext uri="{FF2B5EF4-FFF2-40B4-BE49-F238E27FC236}">
              <a16:creationId xmlns:a16="http://schemas.microsoft.com/office/drawing/2014/main" id="{00000000-0008-0000-0E00-000002000000}"/>
            </a:ext>
          </a:extLst>
        </xdr:cNvPr>
        <xdr:cNvGrpSpPr/>
      </xdr:nvGrpSpPr>
      <xdr:grpSpPr>
        <a:xfrm>
          <a:off x="12967607" y="18546536"/>
          <a:ext cx="4304579" cy="510794"/>
          <a:chOff x="11904394" y="17705398"/>
          <a:chExt cx="4289329" cy="503756"/>
        </a:xfrm>
      </xdr:grpSpPr>
      <xdr:pic>
        <xdr:nvPicPr>
          <xdr:cNvPr id="3" name="Billed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52242" y="17705398"/>
            <a:ext cx="1841481" cy="493728"/>
          </a:xfrm>
          <a:prstGeom prst="rect">
            <a:avLst/>
          </a:prstGeom>
        </xdr:spPr>
      </xdr:pic>
      <xdr:pic>
        <xdr:nvPicPr>
          <xdr:cNvPr id="4" name="Billed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04394" y="17736493"/>
            <a:ext cx="2061227" cy="472661"/>
          </a:xfrm>
          <a:prstGeom prst="rect">
            <a:avLst/>
          </a:prstGeom>
        </xdr:spPr>
      </xdr:pic>
    </xdr:grpSp>
    <xdr:clientData/>
  </xdr:twoCellAnchor>
  <xdr:twoCellAnchor>
    <xdr:from>
      <xdr:col>27</xdr:col>
      <xdr:colOff>0</xdr:colOff>
      <xdr:row>87</xdr:row>
      <xdr:rowOff>0</xdr:rowOff>
    </xdr:from>
    <xdr:to>
      <xdr:col>30</xdr:col>
      <xdr:colOff>59150</xdr:colOff>
      <xdr:row>87</xdr:row>
      <xdr:rowOff>510794</xdr:rowOff>
    </xdr:to>
    <xdr:grpSp>
      <xdr:nvGrpSpPr>
        <xdr:cNvPr id="5" name="Gruppe 4">
          <a:extLst>
            <a:ext uri="{FF2B5EF4-FFF2-40B4-BE49-F238E27FC236}">
              <a16:creationId xmlns:a16="http://schemas.microsoft.com/office/drawing/2014/main" id="{00000000-0008-0000-0E00-000005000000}"/>
            </a:ext>
          </a:extLst>
        </xdr:cNvPr>
        <xdr:cNvGrpSpPr/>
      </xdr:nvGrpSpPr>
      <xdr:grpSpPr>
        <a:xfrm>
          <a:off x="12967607" y="18546536"/>
          <a:ext cx="4304579" cy="510794"/>
          <a:chOff x="11904394" y="17705398"/>
          <a:chExt cx="4289329" cy="503756"/>
        </a:xfrm>
      </xdr:grpSpPr>
      <xdr:pic>
        <xdr:nvPicPr>
          <xdr:cNvPr id="6" name="Billed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52242" y="17705398"/>
            <a:ext cx="1841481" cy="493728"/>
          </a:xfrm>
          <a:prstGeom prst="rect">
            <a:avLst/>
          </a:prstGeom>
        </xdr:spPr>
      </xdr:pic>
      <xdr:pic>
        <xdr:nvPicPr>
          <xdr:cNvPr id="7" name="Billede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04394" y="17736493"/>
            <a:ext cx="2061227" cy="472661"/>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27</xdr:col>
      <xdr:colOff>0</xdr:colOff>
      <xdr:row>87</xdr:row>
      <xdr:rowOff>0</xdr:rowOff>
    </xdr:from>
    <xdr:to>
      <xdr:col>30</xdr:col>
      <xdr:colOff>54821</xdr:colOff>
      <xdr:row>87</xdr:row>
      <xdr:rowOff>510794</xdr:rowOff>
    </xdr:to>
    <xdr:grpSp>
      <xdr:nvGrpSpPr>
        <xdr:cNvPr id="2" name="Gruppe 1">
          <a:extLst>
            <a:ext uri="{FF2B5EF4-FFF2-40B4-BE49-F238E27FC236}">
              <a16:creationId xmlns:a16="http://schemas.microsoft.com/office/drawing/2014/main" id="{00000000-0008-0000-0F00-000002000000}"/>
            </a:ext>
          </a:extLst>
        </xdr:cNvPr>
        <xdr:cNvGrpSpPr/>
      </xdr:nvGrpSpPr>
      <xdr:grpSpPr>
        <a:xfrm>
          <a:off x="12967607" y="18546536"/>
          <a:ext cx="4300250" cy="510794"/>
          <a:chOff x="11904394" y="17705398"/>
          <a:chExt cx="4289329" cy="503756"/>
        </a:xfrm>
      </xdr:grpSpPr>
      <xdr:pic>
        <xdr:nvPicPr>
          <xdr:cNvPr id="3" name="Billed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52242" y="17705398"/>
            <a:ext cx="1841481" cy="493728"/>
          </a:xfrm>
          <a:prstGeom prst="rect">
            <a:avLst/>
          </a:prstGeom>
        </xdr:spPr>
      </xdr:pic>
      <xdr:pic>
        <xdr:nvPicPr>
          <xdr:cNvPr id="4" name="Billed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04394" y="17736493"/>
            <a:ext cx="2061227" cy="472661"/>
          </a:xfrm>
          <a:prstGeom prst="rect">
            <a:avLst/>
          </a:prstGeom>
        </xdr:spPr>
      </xdr:pic>
    </xdr:grpSp>
    <xdr:clientData/>
  </xdr:twoCellAnchor>
  <xdr:twoCellAnchor>
    <xdr:from>
      <xdr:col>27</xdr:col>
      <xdr:colOff>0</xdr:colOff>
      <xdr:row>87</xdr:row>
      <xdr:rowOff>0</xdr:rowOff>
    </xdr:from>
    <xdr:to>
      <xdr:col>30</xdr:col>
      <xdr:colOff>54821</xdr:colOff>
      <xdr:row>87</xdr:row>
      <xdr:rowOff>510794</xdr:rowOff>
    </xdr:to>
    <xdr:grpSp>
      <xdr:nvGrpSpPr>
        <xdr:cNvPr id="5" name="Gruppe 4">
          <a:extLst>
            <a:ext uri="{FF2B5EF4-FFF2-40B4-BE49-F238E27FC236}">
              <a16:creationId xmlns:a16="http://schemas.microsoft.com/office/drawing/2014/main" id="{00000000-0008-0000-0F00-000005000000}"/>
            </a:ext>
          </a:extLst>
        </xdr:cNvPr>
        <xdr:cNvGrpSpPr/>
      </xdr:nvGrpSpPr>
      <xdr:grpSpPr>
        <a:xfrm>
          <a:off x="12967607" y="18546536"/>
          <a:ext cx="4300250" cy="510794"/>
          <a:chOff x="11904394" y="17705398"/>
          <a:chExt cx="4289329" cy="503756"/>
        </a:xfrm>
      </xdr:grpSpPr>
      <xdr:pic>
        <xdr:nvPicPr>
          <xdr:cNvPr id="6" name="Billede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52242" y="17705398"/>
            <a:ext cx="1841481" cy="493728"/>
          </a:xfrm>
          <a:prstGeom prst="rect">
            <a:avLst/>
          </a:prstGeom>
        </xdr:spPr>
      </xdr:pic>
      <xdr:pic>
        <xdr:nvPicPr>
          <xdr:cNvPr id="7" name="Billede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04394" y="17736493"/>
            <a:ext cx="2061227" cy="472661"/>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20</xdr:col>
      <xdr:colOff>816428</xdr:colOff>
      <xdr:row>6</xdr:row>
      <xdr:rowOff>449036</xdr:rowOff>
    </xdr:from>
    <xdr:to>
      <xdr:col>20</xdr:col>
      <xdr:colOff>3116977</xdr:colOff>
      <xdr:row>6</xdr:row>
      <xdr:rowOff>984200</xdr:rowOff>
    </xdr:to>
    <xdr:pic>
      <xdr:nvPicPr>
        <xdr:cNvPr id="2" name="Billed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15151553" y="1868261"/>
          <a:ext cx="2298644" cy="53325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20</xdr:col>
      <xdr:colOff>816428</xdr:colOff>
      <xdr:row>6</xdr:row>
      <xdr:rowOff>449036</xdr:rowOff>
    </xdr:from>
    <xdr:to>
      <xdr:col>20</xdr:col>
      <xdr:colOff>3116977</xdr:colOff>
      <xdr:row>6</xdr:row>
      <xdr:rowOff>984200</xdr:rowOff>
    </xdr:to>
    <xdr:pic>
      <xdr:nvPicPr>
        <xdr:cNvPr id="2" name="Billed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4580053" y="1782536"/>
          <a:ext cx="2298644" cy="53325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27</xdr:col>
      <xdr:colOff>79375</xdr:colOff>
      <xdr:row>7</xdr:row>
      <xdr:rowOff>1595032</xdr:rowOff>
    </xdr:from>
    <xdr:to>
      <xdr:col>27</xdr:col>
      <xdr:colOff>2371669</xdr:colOff>
      <xdr:row>7</xdr:row>
      <xdr:rowOff>2122576</xdr:rowOff>
    </xdr:to>
    <xdr:pic>
      <xdr:nvPicPr>
        <xdr:cNvPr id="2" name="Billed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6833850" y="3852457"/>
          <a:ext cx="2292294" cy="5275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27</xdr:col>
      <xdr:colOff>79375</xdr:colOff>
      <xdr:row>7</xdr:row>
      <xdr:rowOff>1595032</xdr:rowOff>
    </xdr:from>
    <xdr:to>
      <xdr:col>27</xdr:col>
      <xdr:colOff>2371669</xdr:colOff>
      <xdr:row>7</xdr:row>
      <xdr:rowOff>2122576</xdr:rowOff>
    </xdr:to>
    <xdr:pic>
      <xdr:nvPicPr>
        <xdr:cNvPr id="2" name="Billed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1776075" y="3842932"/>
          <a:ext cx="2295469" cy="5307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885265</xdr:colOff>
      <xdr:row>7</xdr:row>
      <xdr:rowOff>1199030</xdr:rowOff>
    </xdr:from>
    <xdr:to>
      <xdr:col>10</xdr:col>
      <xdr:colOff>3171209</xdr:colOff>
      <xdr:row>7</xdr:row>
      <xdr:rowOff>1735464</xdr:rowOff>
    </xdr:to>
    <xdr:pic>
      <xdr:nvPicPr>
        <xdr:cNvPr id="2" name="Billed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8390965" y="2942105"/>
          <a:ext cx="2289119" cy="53643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885265</xdr:colOff>
      <xdr:row>7</xdr:row>
      <xdr:rowOff>1199030</xdr:rowOff>
    </xdr:from>
    <xdr:to>
      <xdr:col>10</xdr:col>
      <xdr:colOff>3174384</xdr:colOff>
      <xdr:row>7</xdr:row>
      <xdr:rowOff>1735464</xdr:rowOff>
    </xdr:to>
    <xdr:pic>
      <xdr:nvPicPr>
        <xdr:cNvPr id="2" name="Billed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6266890" y="2865905"/>
          <a:ext cx="2285944" cy="53643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1076325</xdr:colOff>
      <xdr:row>9</xdr:row>
      <xdr:rowOff>371475</xdr:rowOff>
    </xdr:from>
    <xdr:to>
      <xdr:col>7</xdr:col>
      <xdr:colOff>3365444</xdr:colOff>
      <xdr:row>9</xdr:row>
      <xdr:rowOff>905369</xdr:rowOff>
    </xdr:to>
    <xdr:pic>
      <xdr:nvPicPr>
        <xdr:cNvPr id="2" name="Billed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6591300" y="2505075"/>
          <a:ext cx="2289119" cy="5338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403572</xdr:colOff>
      <xdr:row>2</xdr:row>
      <xdr:rowOff>77961</xdr:rowOff>
    </xdr:from>
    <xdr:to>
      <xdr:col>9</xdr:col>
      <xdr:colOff>498822</xdr:colOff>
      <xdr:row>8</xdr:row>
      <xdr:rowOff>132390</xdr:rowOff>
    </xdr:to>
    <xdr:sp macro="" textlink="">
      <xdr:nvSpPr>
        <xdr:cNvPr id="74" name="Rektangel 73">
          <a:extLst>
            <a:ext uri="{FF2B5EF4-FFF2-40B4-BE49-F238E27FC236}">
              <a16:creationId xmlns:a16="http://schemas.microsoft.com/office/drawing/2014/main" id="{00000000-0008-0000-0200-00004A000000}"/>
            </a:ext>
          </a:extLst>
        </xdr:cNvPr>
        <xdr:cNvSpPr/>
      </xdr:nvSpPr>
      <xdr:spPr>
        <a:xfrm>
          <a:off x="403572" y="1082008"/>
          <a:ext cx="15711768" cy="1703935"/>
        </a:xfrm>
        <a:prstGeom prst="rect">
          <a:avLst/>
        </a:prstGeom>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da-DK" sz="1100"/>
        </a:p>
      </xdr:txBody>
    </xdr:sp>
    <xdr:clientData/>
  </xdr:twoCellAnchor>
  <xdr:twoCellAnchor>
    <xdr:from>
      <xdr:col>0</xdr:col>
      <xdr:colOff>429872</xdr:colOff>
      <xdr:row>521</xdr:row>
      <xdr:rowOff>3317</xdr:rowOff>
    </xdr:from>
    <xdr:to>
      <xdr:col>4</xdr:col>
      <xdr:colOff>81323</xdr:colOff>
      <xdr:row>544</xdr:row>
      <xdr:rowOff>68035</xdr:rowOff>
    </xdr:to>
    <xdr:graphicFrame macro="">
      <xdr:nvGraphicFramePr>
        <xdr:cNvPr id="4" name="Diagram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13113</xdr:colOff>
      <xdr:row>85</xdr:row>
      <xdr:rowOff>92446</xdr:rowOff>
    </xdr:from>
    <xdr:to>
      <xdr:col>15</xdr:col>
      <xdr:colOff>748393</xdr:colOff>
      <xdr:row>107</xdr:row>
      <xdr:rowOff>82551</xdr:rowOff>
    </xdr:to>
    <mc:AlternateContent xmlns:mc="http://schemas.openxmlformats.org/markup-compatibility/2006">
      <mc:Choice xmlns:cx1="http://schemas.microsoft.com/office/drawing/2015/9/8/chartex" Requires="cx1">
        <xdr:graphicFrame macro="">
          <xdr:nvGraphicFramePr>
            <xdr:cNvPr id="7" name="Diagram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48938" y="18266146"/>
              <a:ext cx="5878780" cy="3971555"/>
            </a:xfrm>
            <a:prstGeom prst="rect">
              <a:avLst/>
            </a:prstGeom>
            <a:solidFill>
              <a:prstClr val="white"/>
            </a:solidFill>
            <a:ln w="1">
              <a:solidFill>
                <a:prstClr val="green"/>
              </a:solidFill>
            </a:ln>
          </xdr:spPr>
          <xdr:txBody>
            <a:bodyPr vertOverflow="clip" horzOverflow="clip"/>
            <a:lstStyle/>
            <a:p>
              <a:r>
                <a:rPr lang="da-DK" sz="1100"/>
                <a:t>Dette diagram er ikke tilgængeligt i din version af Excel.
Hvis du redigerer denne figur eller gemmer projektmappen i et andet filformat, bliver diagrammet permanent ødelagt.</a:t>
              </a:r>
            </a:p>
          </xdr:txBody>
        </xdr:sp>
      </mc:Fallback>
    </mc:AlternateContent>
    <xdr:clientData/>
  </xdr:twoCellAnchor>
  <xdr:twoCellAnchor>
    <xdr:from>
      <xdr:col>1</xdr:col>
      <xdr:colOff>11618</xdr:colOff>
      <xdr:row>85</xdr:row>
      <xdr:rowOff>61853</xdr:rowOff>
    </xdr:from>
    <xdr:to>
      <xdr:col>3</xdr:col>
      <xdr:colOff>1306606</xdr:colOff>
      <xdr:row>107</xdr:row>
      <xdr:rowOff>95250</xdr:rowOff>
    </xdr:to>
    <mc:AlternateContent xmlns:mc="http://schemas.openxmlformats.org/markup-compatibility/2006">
      <mc:Choice xmlns:cx1="http://schemas.microsoft.com/office/drawing/2015/9/8/chartex" Requires="cx1">
        <xdr:graphicFrame macro="">
          <xdr:nvGraphicFramePr>
            <xdr:cNvPr id="9" name="Diagram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592643" y="18235553"/>
              <a:ext cx="5905088" cy="4014847"/>
            </a:xfrm>
            <a:prstGeom prst="rect">
              <a:avLst/>
            </a:prstGeom>
            <a:solidFill>
              <a:prstClr val="white"/>
            </a:solidFill>
            <a:ln w="1">
              <a:solidFill>
                <a:prstClr val="green"/>
              </a:solidFill>
            </a:ln>
          </xdr:spPr>
          <xdr:txBody>
            <a:bodyPr vertOverflow="clip" horzOverflow="clip"/>
            <a:lstStyle/>
            <a:p>
              <a:r>
                <a:rPr lang="da-DK" sz="1100"/>
                <a:t>Dette diagram er ikke tilgængeligt i din version af Excel.
Hvis du redigerer denne figur eller gemmer projektmappen i et andet filformat, bliver diagrammet permanent ødelagt.</a:t>
              </a:r>
            </a:p>
          </xdr:txBody>
        </xdr:sp>
      </mc:Fallback>
    </mc:AlternateContent>
    <xdr:clientData/>
  </xdr:twoCellAnchor>
  <xdr:twoCellAnchor>
    <xdr:from>
      <xdr:col>1</xdr:col>
      <xdr:colOff>0</xdr:colOff>
      <xdr:row>239</xdr:row>
      <xdr:rowOff>0</xdr:rowOff>
    </xdr:from>
    <xdr:to>
      <xdr:col>6</xdr:col>
      <xdr:colOff>2000250</xdr:colOff>
      <xdr:row>256</xdr:row>
      <xdr:rowOff>122464</xdr:rowOff>
    </xdr:to>
    <xdr:graphicFrame macro="">
      <xdr:nvGraphicFramePr>
        <xdr:cNvPr id="10" name="Diagram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584925</xdr:colOff>
      <xdr:row>315</xdr:row>
      <xdr:rowOff>141194</xdr:rowOff>
    </xdr:from>
    <xdr:to>
      <xdr:col>4</xdr:col>
      <xdr:colOff>251013</xdr:colOff>
      <xdr:row>333</xdr:row>
      <xdr:rowOff>40822</xdr:rowOff>
    </xdr:to>
    <xdr:graphicFrame macro="">
      <xdr:nvGraphicFramePr>
        <xdr:cNvPr id="13" name="Diagram 12">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994254</xdr:colOff>
      <xdr:row>108</xdr:row>
      <xdr:rowOff>25505</xdr:rowOff>
    </xdr:from>
    <xdr:to>
      <xdr:col>15</xdr:col>
      <xdr:colOff>730625</xdr:colOff>
      <xdr:row>130</xdr:row>
      <xdr:rowOff>36392</xdr:rowOff>
    </xdr:to>
    <xdr:graphicFrame macro="">
      <xdr:nvGraphicFramePr>
        <xdr:cNvPr id="19" name="Diagram 18">
          <a:extLst>
            <a:ext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42240</xdr:colOff>
      <xdr:row>47</xdr:row>
      <xdr:rowOff>165301</xdr:rowOff>
    </xdr:from>
    <xdr:to>
      <xdr:col>4</xdr:col>
      <xdr:colOff>1410500</xdr:colOff>
      <xdr:row>51</xdr:row>
      <xdr:rowOff>104855</xdr:rowOff>
    </xdr:to>
    <xdr:sp macro="" textlink="">
      <xdr:nvSpPr>
        <xdr:cNvPr id="22" name="Tekstfelt 21">
          <a:extLst>
            <a:ext uri="{FF2B5EF4-FFF2-40B4-BE49-F238E27FC236}">
              <a16:creationId xmlns:a16="http://schemas.microsoft.com/office/drawing/2014/main" id="{00000000-0008-0000-0200-000016000000}"/>
            </a:ext>
          </a:extLst>
        </xdr:cNvPr>
        <xdr:cNvSpPr txBox="1"/>
      </xdr:nvSpPr>
      <xdr:spPr>
        <a:xfrm>
          <a:off x="633911" y="11290501"/>
          <a:ext cx="7571836" cy="65673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solidFill>
                <a:schemeClr val="dk1"/>
              </a:solidFill>
              <a:effectLst/>
              <a:latin typeface="+mn-lt"/>
              <a:ea typeface="+mn-ea"/>
              <a:cs typeface="+mn-cs"/>
            </a:rPr>
            <a:t>Bemærk: Tilbageskrivning til 1990 er faktuelle tal for</a:t>
          </a:r>
          <a:r>
            <a:rPr lang="da-DK" sz="1100" baseline="0">
              <a:solidFill>
                <a:schemeClr val="dk1"/>
              </a:solidFill>
              <a:effectLst/>
              <a:latin typeface="+mn-lt"/>
              <a:ea typeface="+mn-ea"/>
              <a:cs typeface="+mn-cs"/>
            </a:rPr>
            <a:t> energi og transport. For alle øvrige sektorer er der tale om et groft estimat baseret på den nationale udvikling siden 1990 og den kommunale/regionale udledning i hhv. 2018 og 2020. Forudsætninger for estimaternerne er beskrevet i baggrundsnotat.  </a:t>
          </a:r>
          <a:endParaRPr lang="da-DK">
            <a:effectLst/>
          </a:endParaRPr>
        </a:p>
      </xdr:txBody>
    </xdr:sp>
    <xdr:clientData/>
  </xdr:twoCellAnchor>
  <xdr:twoCellAnchor>
    <xdr:from>
      <xdr:col>5</xdr:col>
      <xdr:colOff>1460554</xdr:colOff>
      <xdr:row>42</xdr:row>
      <xdr:rowOff>174375</xdr:rowOff>
    </xdr:from>
    <xdr:to>
      <xdr:col>9</xdr:col>
      <xdr:colOff>19530</xdr:colOff>
      <xdr:row>46</xdr:row>
      <xdr:rowOff>51064</xdr:rowOff>
    </xdr:to>
    <xdr:sp macro="" textlink="">
      <xdr:nvSpPr>
        <xdr:cNvPr id="23" name="Tekstfelt 22">
          <a:extLst>
            <a:ext uri="{FF2B5EF4-FFF2-40B4-BE49-F238E27FC236}">
              <a16:creationId xmlns:a16="http://schemas.microsoft.com/office/drawing/2014/main" id="{00000000-0008-0000-0200-000017000000}"/>
            </a:ext>
          </a:extLst>
        </xdr:cNvPr>
        <xdr:cNvSpPr txBox="1"/>
      </xdr:nvSpPr>
      <xdr:spPr>
        <a:xfrm>
          <a:off x="9717048" y="10340351"/>
          <a:ext cx="5919000" cy="65661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Bemærk: 2030 reduktionsmålet er baseret på</a:t>
          </a:r>
          <a:r>
            <a:rPr lang="da-DK" sz="1100" baseline="0"/>
            <a:t> estimatet for udledning i 1990. Forudsætninger for 1990 estimatet er beskrevet i baggrundnotat. </a:t>
          </a:r>
          <a:r>
            <a:rPr lang="da-DK" sz="1100"/>
            <a:t> Forudsætningerne skal behandles forsigtigt og sammenholdes med lokale vurderinger. </a:t>
          </a:r>
        </a:p>
      </xdr:txBody>
    </xdr:sp>
    <xdr:clientData/>
  </xdr:twoCellAnchor>
  <xdr:twoCellAnchor>
    <xdr:from>
      <xdr:col>0</xdr:col>
      <xdr:colOff>570539</xdr:colOff>
      <xdr:row>624</xdr:row>
      <xdr:rowOff>1922</xdr:rowOff>
    </xdr:from>
    <xdr:to>
      <xdr:col>5</xdr:col>
      <xdr:colOff>332415</xdr:colOff>
      <xdr:row>648</xdr:row>
      <xdr:rowOff>1921</xdr:rowOff>
    </xdr:to>
    <xdr:graphicFrame macro="">
      <xdr:nvGraphicFramePr>
        <xdr:cNvPr id="24" name="Diagram 23">
          <a:extLst>
            <a:ext uri="{FF2B5EF4-FFF2-40B4-BE49-F238E27FC236}">
              <a16:creationId xmlns:a16="http://schemas.microsoft.com/office/drawing/2014/main" id="{00000000-0008-0000-0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45619</xdr:colOff>
      <xdr:row>172</xdr:row>
      <xdr:rowOff>141169</xdr:rowOff>
    </xdr:from>
    <xdr:to>
      <xdr:col>6</xdr:col>
      <xdr:colOff>1818714</xdr:colOff>
      <xdr:row>195</xdr:row>
      <xdr:rowOff>170330</xdr:rowOff>
    </xdr:to>
    <xdr:graphicFrame macro="">
      <xdr:nvGraphicFramePr>
        <xdr:cNvPr id="27" name="Diagram 26">
          <a:extLst>
            <a:ext uri="{FF2B5EF4-FFF2-40B4-BE49-F238E27FC236}">
              <a16:creationId xmlns:a16="http://schemas.microsoft.com/office/drawing/2014/main" id="{00000000-0008-0000-0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265516</xdr:colOff>
      <xdr:row>11</xdr:row>
      <xdr:rowOff>17931</xdr:rowOff>
    </xdr:from>
    <xdr:to>
      <xdr:col>1</xdr:col>
      <xdr:colOff>2707779</xdr:colOff>
      <xdr:row>29</xdr:row>
      <xdr:rowOff>85166</xdr:rowOff>
    </xdr:to>
    <xdr:sp macro="" textlink="">
      <xdr:nvSpPr>
        <xdr:cNvPr id="29" name="Rektangel 133">
          <a:extLst>
            <a:ext uri="{FF2B5EF4-FFF2-40B4-BE49-F238E27FC236}">
              <a16:creationId xmlns:a16="http://schemas.microsoft.com/office/drawing/2014/main" id="{00000000-0008-0000-0200-00001D000000}"/>
            </a:ext>
          </a:extLst>
        </xdr:cNvPr>
        <xdr:cNvSpPr/>
      </xdr:nvSpPr>
      <xdr:spPr>
        <a:xfrm>
          <a:off x="265516" y="3550025"/>
          <a:ext cx="3033934" cy="3294529"/>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da-DK" sz="800" b="1">
            <a:solidFill>
              <a:sysClr val="windowText" lastClr="000000"/>
            </a:solidFill>
          </a:endParaRPr>
        </a:p>
        <a:p>
          <a:pPr algn="ctr"/>
          <a:r>
            <a:rPr lang="da-DK" sz="2000" b="1">
              <a:solidFill>
                <a:sysClr val="windowText" lastClr="000000"/>
              </a:solidFill>
            </a:rPr>
            <a:t>Lokale nøgletal</a:t>
          </a:r>
        </a:p>
      </xdr:txBody>
    </xdr:sp>
    <xdr:clientData/>
  </xdr:twoCellAnchor>
  <xdr:twoCellAnchor>
    <xdr:from>
      <xdr:col>4</xdr:col>
      <xdr:colOff>647347</xdr:colOff>
      <xdr:row>11</xdr:row>
      <xdr:rowOff>18580</xdr:rowOff>
    </xdr:from>
    <xdr:to>
      <xdr:col>8</xdr:col>
      <xdr:colOff>252093</xdr:colOff>
      <xdr:row>29</xdr:row>
      <xdr:rowOff>105335</xdr:rowOff>
    </xdr:to>
    <xdr:sp macro="" textlink="">
      <xdr:nvSpPr>
        <xdr:cNvPr id="30" name="Rektangel 133">
          <a:extLst>
            <a:ext uri="{FF2B5EF4-FFF2-40B4-BE49-F238E27FC236}">
              <a16:creationId xmlns:a16="http://schemas.microsoft.com/office/drawing/2014/main" id="{00000000-0008-0000-0200-00001E000000}"/>
            </a:ext>
          </a:extLst>
        </xdr:cNvPr>
        <xdr:cNvSpPr/>
      </xdr:nvSpPr>
      <xdr:spPr>
        <a:xfrm>
          <a:off x="7442594" y="3550674"/>
          <a:ext cx="6713758" cy="3314049"/>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da-DK" sz="800" b="1">
            <a:solidFill>
              <a:sysClr val="windowText" lastClr="000000"/>
            </a:solidFill>
          </a:endParaRPr>
        </a:p>
        <a:p>
          <a:pPr algn="ctr"/>
          <a:r>
            <a:rPr lang="da-DK" sz="2000" b="1">
              <a:solidFill>
                <a:sysClr val="windowText" lastClr="000000"/>
              </a:solidFill>
            </a:rPr>
            <a:t>Landbrug og arealanvendelse</a:t>
          </a:r>
        </a:p>
      </xdr:txBody>
    </xdr:sp>
    <xdr:clientData/>
  </xdr:twoCellAnchor>
  <xdr:twoCellAnchor>
    <xdr:from>
      <xdr:col>8</xdr:col>
      <xdr:colOff>435331</xdr:colOff>
      <xdr:row>11</xdr:row>
      <xdr:rowOff>19178</xdr:rowOff>
    </xdr:from>
    <xdr:to>
      <xdr:col>9</xdr:col>
      <xdr:colOff>1794102</xdr:colOff>
      <xdr:row>21</xdr:row>
      <xdr:rowOff>140395</xdr:rowOff>
    </xdr:to>
    <xdr:sp macro="" textlink="">
      <xdr:nvSpPr>
        <xdr:cNvPr id="31" name="Rektangel 133">
          <a:extLst>
            <a:ext uri="{FF2B5EF4-FFF2-40B4-BE49-F238E27FC236}">
              <a16:creationId xmlns:a16="http://schemas.microsoft.com/office/drawing/2014/main" id="{00000000-0008-0000-0200-00001F000000}"/>
            </a:ext>
          </a:extLst>
        </xdr:cNvPr>
        <xdr:cNvSpPr/>
      </xdr:nvSpPr>
      <xdr:spPr>
        <a:xfrm>
          <a:off x="14339590" y="3551272"/>
          <a:ext cx="3071030" cy="1914158"/>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da-DK" sz="800" b="1">
            <a:solidFill>
              <a:sysClr val="windowText" lastClr="000000"/>
            </a:solidFill>
          </a:endParaRPr>
        </a:p>
        <a:p>
          <a:pPr algn="ctr"/>
          <a:r>
            <a:rPr lang="da-DK" sz="2000" b="1">
              <a:solidFill>
                <a:sysClr val="windowText" lastClr="000000"/>
              </a:solidFill>
            </a:rPr>
            <a:t>Industrielle processer</a:t>
          </a:r>
        </a:p>
      </xdr:txBody>
    </xdr:sp>
    <xdr:clientData/>
  </xdr:twoCellAnchor>
  <xdr:twoCellAnchor>
    <xdr:from>
      <xdr:col>8</xdr:col>
      <xdr:colOff>435230</xdr:colOff>
      <xdr:row>22</xdr:row>
      <xdr:rowOff>95250</xdr:rowOff>
    </xdr:from>
    <xdr:to>
      <xdr:col>9</xdr:col>
      <xdr:colOff>1776645</xdr:colOff>
      <xdr:row>29</xdr:row>
      <xdr:rowOff>67236</xdr:rowOff>
    </xdr:to>
    <xdr:sp macro="" textlink="">
      <xdr:nvSpPr>
        <xdr:cNvPr id="32" name="Rektangel 133">
          <a:extLst>
            <a:ext uri="{FF2B5EF4-FFF2-40B4-BE49-F238E27FC236}">
              <a16:creationId xmlns:a16="http://schemas.microsoft.com/office/drawing/2014/main" id="{00000000-0008-0000-0200-000020000000}"/>
            </a:ext>
          </a:extLst>
        </xdr:cNvPr>
        <xdr:cNvSpPr/>
      </xdr:nvSpPr>
      <xdr:spPr>
        <a:xfrm>
          <a:off x="14339489" y="5599579"/>
          <a:ext cx="3053674" cy="1227045"/>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da-DK" sz="800" b="1">
            <a:solidFill>
              <a:sysClr val="windowText" lastClr="000000"/>
            </a:solidFill>
          </a:endParaRPr>
        </a:p>
        <a:p>
          <a:pPr algn="ctr"/>
          <a:r>
            <a:rPr lang="da-DK" sz="2000" b="1">
              <a:solidFill>
                <a:sysClr val="windowText" lastClr="000000"/>
              </a:solidFill>
            </a:rPr>
            <a:t>Affald og spildevand</a:t>
          </a:r>
        </a:p>
      </xdr:txBody>
    </xdr:sp>
    <xdr:clientData/>
  </xdr:twoCellAnchor>
  <xdr:twoCellAnchor>
    <xdr:from>
      <xdr:col>0</xdr:col>
      <xdr:colOff>377858</xdr:colOff>
      <xdr:row>13</xdr:row>
      <xdr:rowOff>171659</xdr:rowOff>
    </xdr:from>
    <xdr:to>
      <xdr:col>1</xdr:col>
      <xdr:colOff>2513670</xdr:colOff>
      <xdr:row>16</xdr:row>
      <xdr:rowOff>55120</xdr:rowOff>
    </xdr:to>
    <xdr:sp macro="" textlink="">
      <xdr:nvSpPr>
        <xdr:cNvPr id="34" name="Textfeld 41">
          <a:hlinkClick xmlns:r="http://schemas.openxmlformats.org/officeDocument/2006/relationships" r:id="rId9"/>
          <a:extLst>
            <a:ext uri="{FF2B5EF4-FFF2-40B4-BE49-F238E27FC236}">
              <a16:creationId xmlns:a16="http://schemas.microsoft.com/office/drawing/2014/main" id="{00000000-0008-0000-0200-000022000000}"/>
            </a:ext>
          </a:extLst>
        </xdr:cNvPr>
        <xdr:cNvSpPr txBox="1"/>
      </xdr:nvSpPr>
      <xdr:spPr>
        <a:xfrm>
          <a:off x="377858" y="1225012"/>
          <a:ext cx="2718518" cy="466167"/>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ctr"/>
          <a:r>
            <a:rPr lang="de-DE" sz="1100" b="1" i="0" u="none" strike="noStrike">
              <a:solidFill>
                <a:schemeClr val="bg1"/>
              </a:solidFill>
              <a:effectLst/>
              <a:latin typeface="+mn-lt"/>
              <a:ea typeface="+mn-ea"/>
              <a:cs typeface="+mn-cs"/>
            </a:rPr>
            <a:t>Emissioner lokalt opdelt på sektorer</a:t>
          </a:r>
          <a:endParaRPr lang="de-DE" sz="1100" b="1">
            <a:solidFill>
              <a:schemeClr val="bg1"/>
            </a:solidFill>
          </a:endParaRPr>
        </a:p>
      </xdr:txBody>
    </xdr:sp>
    <xdr:clientData/>
  </xdr:twoCellAnchor>
  <xdr:twoCellAnchor>
    <xdr:from>
      <xdr:col>0</xdr:col>
      <xdr:colOff>378290</xdr:colOff>
      <xdr:row>16</xdr:row>
      <xdr:rowOff>176475</xdr:rowOff>
    </xdr:from>
    <xdr:to>
      <xdr:col>1</xdr:col>
      <xdr:colOff>2513238</xdr:colOff>
      <xdr:row>19</xdr:row>
      <xdr:rowOff>98409</xdr:rowOff>
    </xdr:to>
    <xdr:sp macro="" textlink="">
      <xdr:nvSpPr>
        <xdr:cNvPr id="35" name="Textfeld 42">
          <a:hlinkClick xmlns:r="http://schemas.openxmlformats.org/officeDocument/2006/relationships" r:id="rId10"/>
          <a:extLst>
            <a:ext uri="{FF2B5EF4-FFF2-40B4-BE49-F238E27FC236}">
              <a16:creationId xmlns:a16="http://schemas.microsoft.com/office/drawing/2014/main" id="{00000000-0008-0000-0200-000023000000}"/>
            </a:ext>
          </a:extLst>
        </xdr:cNvPr>
        <xdr:cNvSpPr txBox="1"/>
      </xdr:nvSpPr>
      <xdr:spPr>
        <a:xfrm>
          <a:off x="378290" y="1812534"/>
          <a:ext cx="2717654" cy="471022"/>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ctr"/>
          <a:r>
            <a:rPr lang="de-DE" sz="1100" b="1" i="0" u="none" strike="noStrike">
              <a:solidFill>
                <a:schemeClr val="bg1"/>
              </a:solidFill>
              <a:effectLst/>
              <a:latin typeface="+mn-lt"/>
              <a:ea typeface="+mn-ea"/>
              <a:cs typeface="+mn-cs"/>
            </a:rPr>
            <a:t>Emissioner</a:t>
          </a:r>
          <a:r>
            <a:rPr lang="de-DE" sz="1100" b="1" i="0" u="none" strike="noStrike" baseline="0">
              <a:solidFill>
                <a:schemeClr val="bg1"/>
              </a:solidFill>
              <a:effectLst/>
              <a:latin typeface="+mn-lt"/>
              <a:ea typeface="+mn-ea"/>
              <a:cs typeface="+mn-cs"/>
            </a:rPr>
            <a:t> total lokalt</a:t>
          </a:r>
        </a:p>
      </xdr:txBody>
    </xdr:sp>
    <xdr:clientData/>
  </xdr:twoCellAnchor>
  <xdr:twoCellAnchor>
    <xdr:from>
      <xdr:col>0</xdr:col>
      <xdr:colOff>372411</xdr:colOff>
      <xdr:row>20</xdr:row>
      <xdr:rowOff>29264</xdr:rowOff>
    </xdr:from>
    <xdr:to>
      <xdr:col>1</xdr:col>
      <xdr:colOff>2519117</xdr:colOff>
      <xdr:row>22</xdr:row>
      <xdr:rowOff>112936</xdr:rowOff>
    </xdr:to>
    <xdr:sp macro="" textlink="">
      <xdr:nvSpPr>
        <xdr:cNvPr id="36" name="Textfeld 43">
          <a:hlinkClick xmlns:r="http://schemas.openxmlformats.org/officeDocument/2006/relationships" r:id="rId11"/>
          <a:extLst>
            <a:ext uri="{FF2B5EF4-FFF2-40B4-BE49-F238E27FC236}">
              <a16:creationId xmlns:a16="http://schemas.microsoft.com/office/drawing/2014/main" id="{00000000-0008-0000-0200-000024000000}"/>
            </a:ext>
          </a:extLst>
        </xdr:cNvPr>
        <xdr:cNvSpPr txBox="1"/>
      </xdr:nvSpPr>
      <xdr:spPr>
        <a:xfrm>
          <a:off x="372411" y="2404911"/>
          <a:ext cx="2729412" cy="464672"/>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ctr"/>
          <a:r>
            <a:rPr lang="de-DE" sz="1100" b="1" i="0" u="none" strike="noStrike">
              <a:solidFill>
                <a:schemeClr val="bg1"/>
              </a:solidFill>
              <a:effectLst/>
              <a:latin typeface="+mn-lt"/>
              <a:ea typeface="+mn-ea"/>
              <a:cs typeface="+mn-cs"/>
            </a:rPr>
            <a:t>Emissioner</a:t>
          </a:r>
          <a:r>
            <a:rPr lang="de-DE" sz="1100" b="1" i="0" u="none" strike="noStrike" baseline="0">
              <a:solidFill>
                <a:schemeClr val="bg1"/>
              </a:solidFill>
              <a:effectLst/>
              <a:latin typeface="+mn-lt"/>
              <a:ea typeface="+mn-ea"/>
              <a:cs typeface="+mn-cs"/>
            </a:rPr>
            <a:t> opdelt på sektorer</a:t>
          </a:r>
          <a:endParaRPr lang="de-DE" sz="1100" b="1">
            <a:solidFill>
              <a:schemeClr val="bg1"/>
            </a:solidFill>
          </a:endParaRPr>
        </a:p>
      </xdr:txBody>
    </xdr:sp>
    <xdr:clientData/>
  </xdr:twoCellAnchor>
  <xdr:twoCellAnchor>
    <xdr:from>
      <xdr:col>1</xdr:col>
      <xdr:colOff>2880825</xdr:colOff>
      <xdr:row>11</xdr:row>
      <xdr:rowOff>14936</xdr:rowOff>
    </xdr:from>
    <xdr:to>
      <xdr:col>4</xdr:col>
      <xdr:colOff>440498</xdr:colOff>
      <xdr:row>29</xdr:row>
      <xdr:rowOff>94130</xdr:rowOff>
    </xdr:to>
    <xdr:sp macro="" textlink="">
      <xdr:nvSpPr>
        <xdr:cNvPr id="39" name="Rektangel 133">
          <a:extLst>
            <a:ext uri="{FF2B5EF4-FFF2-40B4-BE49-F238E27FC236}">
              <a16:creationId xmlns:a16="http://schemas.microsoft.com/office/drawing/2014/main" id="{00000000-0008-0000-0200-000027000000}"/>
            </a:ext>
          </a:extLst>
        </xdr:cNvPr>
        <xdr:cNvSpPr/>
      </xdr:nvSpPr>
      <xdr:spPr>
        <a:xfrm>
          <a:off x="3472496" y="3547030"/>
          <a:ext cx="3763249" cy="3306488"/>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da-DK" sz="800" b="1">
            <a:solidFill>
              <a:sysClr val="windowText" lastClr="000000"/>
            </a:solidFill>
          </a:endParaRPr>
        </a:p>
        <a:p>
          <a:pPr algn="ctr"/>
          <a:r>
            <a:rPr lang="da-DK" sz="2000" b="1">
              <a:solidFill>
                <a:sysClr val="windowText" lastClr="000000"/>
              </a:solidFill>
            </a:rPr>
            <a:t>Nationale</a:t>
          </a:r>
          <a:r>
            <a:rPr lang="da-DK" sz="2000" b="1" baseline="0">
              <a:solidFill>
                <a:sysClr val="windowText" lastClr="000000"/>
              </a:solidFill>
            </a:rPr>
            <a:t> nøgletal</a:t>
          </a:r>
        </a:p>
      </xdr:txBody>
    </xdr:sp>
    <xdr:clientData/>
  </xdr:twoCellAnchor>
  <xdr:twoCellAnchor>
    <xdr:from>
      <xdr:col>1</xdr:col>
      <xdr:colOff>3083123</xdr:colOff>
      <xdr:row>14</xdr:row>
      <xdr:rowOff>8626</xdr:rowOff>
    </xdr:from>
    <xdr:to>
      <xdr:col>4</xdr:col>
      <xdr:colOff>192518</xdr:colOff>
      <xdr:row>16</xdr:row>
      <xdr:rowOff>79829</xdr:rowOff>
    </xdr:to>
    <xdr:sp macro="" textlink="">
      <xdr:nvSpPr>
        <xdr:cNvPr id="41" name="Textfeld 52">
          <a:hlinkClick xmlns:r="http://schemas.openxmlformats.org/officeDocument/2006/relationships" r:id="rId12"/>
          <a:extLst>
            <a:ext uri="{FF2B5EF4-FFF2-40B4-BE49-F238E27FC236}">
              <a16:creationId xmlns:a16="http://schemas.microsoft.com/office/drawing/2014/main" id="{00000000-0008-0000-0200-000029000000}"/>
            </a:ext>
          </a:extLst>
        </xdr:cNvPr>
        <xdr:cNvSpPr txBox="1"/>
      </xdr:nvSpPr>
      <xdr:spPr>
        <a:xfrm>
          <a:off x="3668230" y="3043019"/>
          <a:ext cx="3137359" cy="424989"/>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ctr"/>
          <a:r>
            <a:rPr lang="de-DE" sz="1100" b="1" i="0">
              <a:solidFill>
                <a:schemeClr val="bg1"/>
              </a:solidFill>
              <a:effectLst/>
              <a:latin typeface="+mn-lt"/>
              <a:ea typeface="+mn-ea"/>
              <a:cs typeface="+mn-cs"/>
            </a:rPr>
            <a:t>Emissioner nationalt opdelt på sektorer</a:t>
          </a:r>
          <a:endParaRPr lang="da-DK">
            <a:solidFill>
              <a:schemeClr val="bg1"/>
            </a:solidFill>
            <a:effectLst/>
          </a:endParaRPr>
        </a:p>
      </xdr:txBody>
    </xdr:sp>
    <xdr:clientData/>
  </xdr:twoCellAnchor>
  <xdr:twoCellAnchor>
    <xdr:from>
      <xdr:col>1</xdr:col>
      <xdr:colOff>3078360</xdr:colOff>
      <xdr:row>17</xdr:row>
      <xdr:rowOff>16701</xdr:rowOff>
    </xdr:from>
    <xdr:to>
      <xdr:col>4</xdr:col>
      <xdr:colOff>187755</xdr:colOff>
      <xdr:row>19</xdr:row>
      <xdr:rowOff>124279</xdr:rowOff>
    </xdr:to>
    <xdr:sp macro="" textlink="">
      <xdr:nvSpPr>
        <xdr:cNvPr id="42" name="Textfeld 53">
          <a:hlinkClick xmlns:r="http://schemas.openxmlformats.org/officeDocument/2006/relationships" r:id="rId13"/>
          <a:extLst>
            <a:ext uri="{FF2B5EF4-FFF2-40B4-BE49-F238E27FC236}">
              <a16:creationId xmlns:a16="http://schemas.microsoft.com/office/drawing/2014/main" id="{00000000-0008-0000-0200-00002A000000}"/>
            </a:ext>
          </a:extLst>
        </xdr:cNvPr>
        <xdr:cNvSpPr txBox="1"/>
      </xdr:nvSpPr>
      <xdr:spPr>
        <a:xfrm>
          <a:off x="3663467" y="3581772"/>
          <a:ext cx="3137359" cy="474971"/>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ctr"/>
          <a:r>
            <a:rPr lang="de-DE" sz="1100" b="1" i="0" u="none" strike="noStrike" baseline="0">
              <a:solidFill>
                <a:schemeClr val="bg1"/>
              </a:solidFill>
              <a:effectLst/>
              <a:latin typeface="+mn-lt"/>
              <a:ea typeface="+mn-ea"/>
              <a:cs typeface="+mn-cs"/>
            </a:rPr>
            <a:t>Emissioner total nationalt</a:t>
          </a:r>
        </a:p>
      </xdr:txBody>
    </xdr:sp>
    <xdr:clientData/>
  </xdr:twoCellAnchor>
  <xdr:twoCellAnchor>
    <xdr:from>
      <xdr:col>1</xdr:col>
      <xdr:colOff>3078360</xdr:colOff>
      <xdr:row>20</xdr:row>
      <xdr:rowOff>49945</xdr:rowOff>
    </xdr:from>
    <xdr:to>
      <xdr:col>4</xdr:col>
      <xdr:colOff>187755</xdr:colOff>
      <xdr:row>22</xdr:row>
      <xdr:rowOff>134066</xdr:rowOff>
    </xdr:to>
    <xdr:sp macro="" textlink="">
      <xdr:nvSpPr>
        <xdr:cNvPr id="43" name="Textfeld 54">
          <a:hlinkClick xmlns:r="http://schemas.openxmlformats.org/officeDocument/2006/relationships" r:id="rId14"/>
          <a:extLst>
            <a:ext uri="{FF2B5EF4-FFF2-40B4-BE49-F238E27FC236}">
              <a16:creationId xmlns:a16="http://schemas.microsoft.com/office/drawing/2014/main" id="{00000000-0008-0000-0200-00002B000000}"/>
            </a:ext>
          </a:extLst>
        </xdr:cNvPr>
        <xdr:cNvSpPr txBox="1"/>
      </xdr:nvSpPr>
      <xdr:spPr>
        <a:xfrm>
          <a:off x="3663467" y="4172909"/>
          <a:ext cx="3137359" cy="465121"/>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ctr"/>
          <a:r>
            <a:rPr lang="de-DE" sz="1100" b="1" i="0">
              <a:solidFill>
                <a:schemeClr val="bg1"/>
              </a:solidFill>
              <a:effectLst/>
              <a:latin typeface="+mn-lt"/>
              <a:ea typeface="+mn-ea"/>
              <a:cs typeface="+mn-cs"/>
            </a:rPr>
            <a:t>Emissioner</a:t>
          </a:r>
          <a:r>
            <a:rPr lang="de-DE" sz="1100" b="1" i="0" baseline="0">
              <a:solidFill>
                <a:schemeClr val="bg1"/>
              </a:solidFill>
              <a:effectLst/>
              <a:latin typeface="+mn-lt"/>
              <a:ea typeface="+mn-ea"/>
              <a:cs typeface="+mn-cs"/>
            </a:rPr>
            <a:t> nationalt opdelt på sektorer</a:t>
          </a:r>
          <a:endParaRPr lang="da-DK">
            <a:solidFill>
              <a:schemeClr val="bg1"/>
            </a:solidFill>
            <a:effectLst/>
          </a:endParaRPr>
        </a:p>
      </xdr:txBody>
    </xdr:sp>
    <xdr:clientData/>
  </xdr:twoCellAnchor>
  <xdr:twoCellAnchor>
    <xdr:from>
      <xdr:col>4</xdr:col>
      <xdr:colOff>830025</xdr:colOff>
      <xdr:row>16</xdr:row>
      <xdr:rowOff>172399</xdr:rowOff>
    </xdr:from>
    <xdr:to>
      <xdr:col>6</xdr:col>
      <xdr:colOff>1131382</xdr:colOff>
      <xdr:row>19</xdr:row>
      <xdr:rowOff>112590</xdr:rowOff>
    </xdr:to>
    <xdr:sp macro="" textlink="">
      <xdr:nvSpPr>
        <xdr:cNvPr id="49" name="Textfeld 61">
          <a:hlinkClick xmlns:r="http://schemas.openxmlformats.org/officeDocument/2006/relationships" r:id="rId15"/>
          <a:extLst>
            <a:ext uri="{FF2B5EF4-FFF2-40B4-BE49-F238E27FC236}">
              <a16:creationId xmlns:a16="http://schemas.microsoft.com/office/drawing/2014/main" id="{00000000-0008-0000-0200-000031000000}"/>
            </a:ext>
          </a:extLst>
        </xdr:cNvPr>
        <xdr:cNvSpPr txBox="1"/>
      </xdr:nvSpPr>
      <xdr:spPr>
        <a:xfrm>
          <a:off x="7443096" y="3560578"/>
          <a:ext cx="3131643" cy="484476"/>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ctr"/>
          <a:r>
            <a:rPr lang="de-DE" sz="1100" b="1" i="0">
              <a:solidFill>
                <a:schemeClr val="bg1"/>
              </a:solidFill>
              <a:effectLst/>
              <a:latin typeface="+mn-lt"/>
              <a:ea typeface="+mn-ea"/>
              <a:cs typeface="+mn-cs"/>
            </a:rPr>
            <a:t>Emissioner</a:t>
          </a:r>
          <a:r>
            <a:rPr lang="de-DE" sz="1100" b="1" i="0" baseline="0">
              <a:solidFill>
                <a:schemeClr val="bg1"/>
              </a:solidFill>
              <a:effectLst/>
              <a:latin typeface="+mn-lt"/>
              <a:ea typeface="+mn-ea"/>
              <a:cs typeface="+mn-cs"/>
            </a:rPr>
            <a:t> fra a</a:t>
          </a:r>
          <a:r>
            <a:rPr lang="de-DE" sz="1100" b="1" i="0">
              <a:solidFill>
                <a:schemeClr val="bg1"/>
              </a:solidFill>
              <a:effectLst/>
              <a:latin typeface="+mn-lt"/>
              <a:ea typeface="+mn-ea"/>
              <a:cs typeface="+mn-cs"/>
            </a:rPr>
            <a:t>realanvendelse</a:t>
          </a:r>
          <a:r>
            <a:rPr lang="de-DE" sz="1100" b="1" i="0" baseline="0">
              <a:solidFill>
                <a:schemeClr val="bg1"/>
              </a:solidFill>
              <a:effectLst/>
              <a:latin typeface="+mn-lt"/>
              <a:ea typeface="+mn-ea"/>
              <a:cs typeface="+mn-cs"/>
            </a:rPr>
            <a:t> </a:t>
          </a:r>
        </a:p>
      </xdr:txBody>
    </xdr:sp>
    <xdr:clientData/>
  </xdr:twoCellAnchor>
  <xdr:twoCellAnchor>
    <xdr:from>
      <xdr:col>4</xdr:col>
      <xdr:colOff>834036</xdr:colOff>
      <xdr:row>20</xdr:row>
      <xdr:rowOff>35412</xdr:rowOff>
    </xdr:from>
    <xdr:to>
      <xdr:col>6</xdr:col>
      <xdr:colOff>1127372</xdr:colOff>
      <xdr:row>22</xdr:row>
      <xdr:rowOff>132484</xdr:rowOff>
    </xdr:to>
    <xdr:sp macro="" textlink="">
      <xdr:nvSpPr>
        <xdr:cNvPr id="50" name="Textfeld 63">
          <a:hlinkClick xmlns:r="http://schemas.openxmlformats.org/officeDocument/2006/relationships" r:id="rId16"/>
          <a:extLst>
            <a:ext uri="{FF2B5EF4-FFF2-40B4-BE49-F238E27FC236}">
              <a16:creationId xmlns:a16="http://schemas.microsoft.com/office/drawing/2014/main" id="{00000000-0008-0000-0200-000032000000}"/>
            </a:ext>
          </a:extLst>
        </xdr:cNvPr>
        <xdr:cNvSpPr txBox="1"/>
      </xdr:nvSpPr>
      <xdr:spPr>
        <a:xfrm>
          <a:off x="7447107" y="4158376"/>
          <a:ext cx="3123622" cy="478072"/>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ctr"/>
          <a:r>
            <a:rPr lang="de-DE" sz="1100" b="1" i="0">
              <a:solidFill>
                <a:schemeClr val="bg1"/>
              </a:solidFill>
              <a:effectLst/>
              <a:latin typeface="+mn-lt"/>
              <a:ea typeface="+mn-ea"/>
              <a:cs typeface="+mn-cs"/>
            </a:rPr>
            <a:t>Kulstofemissioner</a:t>
          </a:r>
          <a:r>
            <a:rPr lang="de-DE" sz="1100" b="1" i="0" baseline="0">
              <a:solidFill>
                <a:schemeClr val="bg1"/>
              </a:solidFill>
              <a:effectLst/>
              <a:latin typeface="+mn-lt"/>
              <a:ea typeface="+mn-ea"/>
              <a:cs typeface="+mn-cs"/>
            </a:rPr>
            <a:t> og -lager fra blivende arealanvendelse</a:t>
          </a:r>
          <a:r>
            <a:rPr lang="de-DE" sz="1100">
              <a:solidFill>
                <a:schemeClr val="bg1"/>
              </a:solidFill>
              <a:effectLst/>
              <a:latin typeface="+mn-lt"/>
              <a:ea typeface="+mn-ea"/>
              <a:cs typeface="+mn-cs"/>
            </a:rPr>
            <a:t> </a:t>
          </a:r>
          <a:endParaRPr lang="da-DK">
            <a:solidFill>
              <a:schemeClr val="bg1"/>
            </a:solidFill>
            <a:effectLst/>
          </a:endParaRPr>
        </a:p>
      </xdr:txBody>
    </xdr:sp>
    <xdr:clientData/>
  </xdr:twoCellAnchor>
  <xdr:twoCellAnchor>
    <xdr:from>
      <xdr:col>4</xdr:col>
      <xdr:colOff>839705</xdr:colOff>
      <xdr:row>23</xdr:row>
      <xdr:rowOff>55306</xdr:rowOff>
    </xdr:from>
    <xdr:to>
      <xdr:col>6</xdr:col>
      <xdr:colOff>1121702</xdr:colOff>
      <xdr:row>25</xdr:row>
      <xdr:rowOff>130698</xdr:rowOff>
    </xdr:to>
    <xdr:sp macro="" textlink="">
      <xdr:nvSpPr>
        <xdr:cNvPr id="51" name="Textfeld 65">
          <a:hlinkClick xmlns:r="http://schemas.openxmlformats.org/officeDocument/2006/relationships" r:id="rId17"/>
          <a:extLst>
            <a:ext uri="{FF2B5EF4-FFF2-40B4-BE49-F238E27FC236}">
              <a16:creationId xmlns:a16="http://schemas.microsoft.com/office/drawing/2014/main" id="{00000000-0008-0000-0200-000033000000}"/>
            </a:ext>
          </a:extLst>
        </xdr:cNvPr>
        <xdr:cNvSpPr txBox="1"/>
      </xdr:nvSpPr>
      <xdr:spPr>
        <a:xfrm>
          <a:off x="7452776" y="4749770"/>
          <a:ext cx="3112283" cy="456392"/>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ctr"/>
          <a:r>
            <a:rPr lang="de-DE" sz="1100" b="1" i="0">
              <a:solidFill>
                <a:schemeClr val="bg1"/>
              </a:solidFill>
              <a:effectLst/>
              <a:latin typeface="+mn-lt"/>
              <a:ea typeface="+mn-ea"/>
              <a:cs typeface="+mn-cs"/>
            </a:rPr>
            <a:t>Emissioner fra dræning og genoversvømmede</a:t>
          </a:r>
          <a:r>
            <a:rPr lang="de-DE" sz="1100" b="1" i="0" baseline="0">
              <a:solidFill>
                <a:schemeClr val="bg1"/>
              </a:solidFill>
              <a:effectLst/>
              <a:latin typeface="+mn-lt"/>
              <a:ea typeface="+mn-ea"/>
              <a:cs typeface="+mn-cs"/>
            </a:rPr>
            <a:t> områder</a:t>
          </a:r>
          <a:endParaRPr lang="da-DK">
            <a:solidFill>
              <a:schemeClr val="bg1"/>
            </a:solidFill>
            <a:effectLst/>
          </a:endParaRPr>
        </a:p>
      </xdr:txBody>
    </xdr:sp>
    <xdr:clientData/>
  </xdr:twoCellAnchor>
  <xdr:twoCellAnchor>
    <xdr:from>
      <xdr:col>4</xdr:col>
      <xdr:colOff>841293</xdr:colOff>
      <xdr:row>26</xdr:row>
      <xdr:rowOff>62815</xdr:rowOff>
    </xdr:from>
    <xdr:to>
      <xdr:col>6</xdr:col>
      <xdr:colOff>1120115</xdr:colOff>
      <xdr:row>28</xdr:row>
      <xdr:rowOff>160618</xdr:rowOff>
    </xdr:to>
    <xdr:sp macro="" textlink="">
      <xdr:nvSpPr>
        <xdr:cNvPr id="52" name="Textfeld 66">
          <a:hlinkClick xmlns:r="http://schemas.openxmlformats.org/officeDocument/2006/relationships" r:id="rId18"/>
          <a:extLst>
            <a:ext uri="{FF2B5EF4-FFF2-40B4-BE49-F238E27FC236}">
              <a16:creationId xmlns:a16="http://schemas.microsoft.com/office/drawing/2014/main" id="{00000000-0008-0000-0200-000034000000}"/>
            </a:ext>
          </a:extLst>
        </xdr:cNvPr>
        <xdr:cNvSpPr txBox="1"/>
      </xdr:nvSpPr>
      <xdr:spPr>
        <a:xfrm>
          <a:off x="7454364" y="5315172"/>
          <a:ext cx="3109108" cy="451589"/>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ctr"/>
          <a:r>
            <a:rPr lang="de-DE" sz="1100" b="1" i="0">
              <a:solidFill>
                <a:schemeClr val="bg1"/>
              </a:solidFill>
              <a:effectLst/>
              <a:latin typeface="+mn-lt"/>
              <a:ea typeface="+mn-ea"/>
              <a:cs typeface="+mn-cs"/>
            </a:rPr>
            <a:t>Emissioner og lager fra ændret</a:t>
          </a:r>
          <a:r>
            <a:rPr lang="de-DE" sz="1100" b="1" i="0" baseline="0">
              <a:solidFill>
                <a:schemeClr val="bg1"/>
              </a:solidFill>
              <a:effectLst/>
              <a:latin typeface="+mn-lt"/>
              <a:ea typeface="+mn-ea"/>
              <a:cs typeface="+mn-cs"/>
            </a:rPr>
            <a:t> arealanvendelse</a:t>
          </a:r>
          <a:endParaRPr lang="da-DK">
            <a:solidFill>
              <a:schemeClr val="bg1"/>
            </a:solidFill>
            <a:effectLst/>
          </a:endParaRPr>
        </a:p>
      </xdr:txBody>
    </xdr:sp>
    <xdr:clientData/>
  </xdr:twoCellAnchor>
  <xdr:twoCellAnchor>
    <xdr:from>
      <xdr:col>6</xdr:col>
      <xdr:colOff>1353843</xdr:colOff>
      <xdr:row>13</xdr:row>
      <xdr:rowOff>176388</xdr:rowOff>
    </xdr:from>
    <xdr:to>
      <xdr:col>8</xdr:col>
      <xdr:colOff>48290</xdr:colOff>
      <xdr:row>16</xdr:row>
      <xdr:rowOff>109071</xdr:rowOff>
    </xdr:to>
    <xdr:sp macro="" textlink="">
      <xdr:nvSpPr>
        <xdr:cNvPr id="53" name="Textfeld 67">
          <a:hlinkClick xmlns:r="http://schemas.openxmlformats.org/officeDocument/2006/relationships" r:id="rId19"/>
          <a:extLst>
            <a:ext uri="{FF2B5EF4-FFF2-40B4-BE49-F238E27FC236}">
              <a16:creationId xmlns:a16="http://schemas.microsoft.com/office/drawing/2014/main" id="{00000000-0008-0000-0200-000035000000}"/>
            </a:ext>
          </a:extLst>
        </xdr:cNvPr>
        <xdr:cNvSpPr txBox="1"/>
      </xdr:nvSpPr>
      <xdr:spPr>
        <a:xfrm>
          <a:off x="10797200" y="3033888"/>
          <a:ext cx="2776590" cy="463362"/>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ctr"/>
          <a:r>
            <a:rPr lang="da-DK" sz="1100" b="1">
              <a:solidFill>
                <a:schemeClr val="bg1"/>
              </a:solidFill>
              <a:effectLst/>
              <a:latin typeface="+mn-lt"/>
              <a:ea typeface="+mn-ea"/>
              <a:cs typeface="+mn-cs"/>
            </a:rPr>
            <a:t>Emissioner fra vådområde (periodisk oversvømmet)  og naturpleje/vild brand</a:t>
          </a:r>
          <a:endParaRPr lang="da-DK">
            <a:solidFill>
              <a:schemeClr val="bg1"/>
            </a:solidFill>
            <a:effectLst/>
          </a:endParaRPr>
        </a:p>
      </xdr:txBody>
    </xdr:sp>
    <xdr:clientData/>
  </xdr:twoCellAnchor>
  <xdr:twoCellAnchor>
    <xdr:from>
      <xdr:col>6</xdr:col>
      <xdr:colOff>1340020</xdr:colOff>
      <xdr:row>17</xdr:row>
      <xdr:rowOff>24420</xdr:rowOff>
    </xdr:from>
    <xdr:to>
      <xdr:col>8</xdr:col>
      <xdr:colOff>62114</xdr:colOff>
      <xdr:row>19</xdr:row>
      <xdr:rowOff>112648</xdr:rowOff>
    </xdr:to>
    <xdr:sp macro="" textlink="">
      <xdr:nvSpPr>
        <xdr:cNvPr id="54" name="Textfeld 68">
          <a:hlinkClick xmlns:r="http://schemas.openxmlformats.org/officeDocument/2006/relationships" r:id="rId20"/>
          <a:extLst>
            <a:ext uri="{FF2B5EF4-FFF2-40B4-BE49-F238E27FC236}">
              <a16:creationId xmlns:a16="http://schemas.microsoft.com/office/drawing/2014/main" id="{00000000-0008-0000-0200-000036000000}"/>
            </a:ext>
          </a:extLst>
        </xdr:cNvPr>
        <xdr:cNvSpPr txBox="1"/>
      </xdr:nvSpPr>
      <xdr:spPr>
        <a:xfrm>
          <a:off x="10783377" y="3589491"/>
          <a:ext cx="2804237" cy="455621"/>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ctr"/>
          <a:r>
            <a:rPr lang="de-DE" sz="1100" b="1" i="0">
              <a:solidFill>
                <a:schemeClr val="bg1"/>
              </a:solidFill>
              <a:effectLst/>
              <a:latin typeface="+mn-lt"/>
              <a:ea typeface="+mn-ea"/>
              <a:cs typeface="+mn-cs"/>
            </a:rPr>
            <a:t>Emissioner</a:t>
          </a:r>
          <a:r>
            <a:rPr lang="de-DE" sz="1100" b="1" i="0" baseline="0">
              <a:solidFill>
                <a:schemeClr val="bg1"/>
              </a:solidFill>
              <a:effectLst/>
              <a:latin typeface="+mn-lt"/>
              <a:ea typeface="+mn-ea"/>
              <a:cs typeface="+mn-cs"/>
            </a:rPr>
            <a:t> fra husdyrhold</a:t>
          </a:r>
          <a:endParaRPr lang="da-DK">
            <a:solidFill>
              <a:schemeClr val="bg1"/>
            </a:solidFill>
            <a:effectLst/>
          </a:endParaRPr>
        </a:p>
      </xdr:txBody>
    </xdr:sp>
    <xdr:clientData/>
  </xdr:twoCellAnchor>
  <xdr:twoCellAnchor>
    <xdr:from>
      <xdr:col>6</xdr:col>
      <xdr:colOff>1353843</xdr:colOff>
      <xdr:row>20</xdr:row>
      <xdr:rowOff>18704</xdr:rowOff>
    </xdr:from>
    <xdr:to>
      <xdr:col>8</xdr:col>
      <xdr:colOff>48290</xdr:colOff>
      <xdr:row>22</xdr:row>
      <xdr:rowOff>126012</xdr:rowOff>
    </xdr:to>
    <xdr:sp macro="" textlink="">
      <xdr:nvSpPr>
        <xdr:cNvPr id="55" name="Textfeld 70">
          <a:hlinkClick xmlns:r="http://schemas.openxmlformats.org/officeDocument/2006/relationships" r:id="rId21"/>
          <a:extLst>
            <a:ext uri="{FF2B5EF4-FFF2-40B4-BE49-F238E27FC236}">
              <a16:creationId xmlns:a16="http://schemas.microsoft.com/office/drawing/2014/main" id="{00000000-0008-0000-0200-000037000000}"/>
            </a:ext>
          </a:extLst>
        </xdr:cNvPr>
        <xdr:cNvSpPr txBox="1"/>
      </xdr:nvSpPr>
      <xdr:spPr>
        <a:xfrm>
          <a:off x="10797200" y="4141668"/>
          <a:ext cx="2776590" cy="488308"/>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ctr"/>
          <a:r>
            <a:rPr lang="de-DE" sz="1100" b="1" i="0">
              <a:solidFill>
                <a:schemeClr val="bg1"/>
              </a:solidFill>
              <a:effectLst/>
              <a:latin typeface="+mn-lt"/>
              <a:ea typeface="+mn-ea"/>
              <a:cs typeface="+mn-cs"/>
            </a:rPr>
            <a:t>Afgrødefordeling</a:t>
          </a:r>
          <a:endParaRPr lang="da-DK">
            <a:solidFill>
              <a:schemeClr val="bg1"/>
            </a:solidFill>
            <a:effectLst/>
          </a:endParaRPr>
        </a:p>
      </xdr:txBody>
    </xdr:sp>
    <xdr:clientData/>
  </xdr:twoCellAnchor>
  <xdr:twoCellAnchor>
    <xdr:from>
      <xdr:col>6</xdr:col>
      <xdr:colOff>1349081</xdr:colOff>
      <xdr:row>23</xdr:row>
      <xdr:rowOff>32068</xdr:rowOff>
    </xdr:from>
    <xdr:to>
      <xdr:col>8</xdr:col>
      <xdr:colOff>43528</xdr:colOff>
      <xdr:row>25</xdr:row>
      <xdr:rowOff>139608</xdr:rowOff>
    </xdr:to>
    <xdr:sp macro="" textlink="">
      <xdr:nvSpPr>
        <xdr:cNvPr id="56" name="Textfeld 72">
          <a:hlinkClick xmlns:r="http://schemas.openxmlformats.org/officeDocument/2006/relationships" r:id="rId22"/>
          <a:extLst>
            <a:ext uri="{FF2B5EF4-FFF2-40B4-BE49-F238E27FC236}">
              <a16:creationId xmlns:a16="http://schemas.microsoft.com/office/drawing/2014/main" id="{00000000-0008-0000-0200-000038000000}"/>
            </a:ext>
          </a:extLst>
        </xdr:cNvPr>
        <xdr:cNvSpPr txBox="1"/>
      </xdr:nvSpPr>
      <xdr:spPr>
        <a:xfrm>
          <a:off x="10792438" y="4726532"/>
          <a:ext cx="2776590" cy="488540"/>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ctr"/>
          <a:r>
            <a:rPr lang="de-DE" sz="1100" b="1" i="0">
              <a:solidFill>
                <a:schemeClr val="bg1"/>
              </a:solidFill>
              <a:effectLst/>
              <a:latin typeface="+mn-lt"/>
              <a:ea typeface="+mn-ea"/>
              <a:cs typeface="+mn-cs"/>
            </a:rPr>
            <a:t>Emissioner fra planteproduktion</a:t>
          </a:r>
          <a:endParaRPr lang="da-DK">
            <a:solidFill>
              <a:schemeClr val="bg1"/>
            </a:solidFill>
            <a:effectLst/>
          </a:endParaRPr>
        </a:p>
      </xdr:txBody>
    </xdr:sp>
    <xdr:clientData/>
  </xdr:twoCellAnchor>
  <xdr:twoCellAnchor>
    <xdr:from>
      <xdr:col>8</xdr:col>
      <xdr:colOff>606812</xdr:colOff>
      <xdr:row>14</xdr:row>
      <xdr:rowOff>6141</xdr:rowOff>
    </xdr:from>
    <xdr:to>
      <xdr:col>9</xdr:col>
      <xdr:colOff>1645285</xdr:colOff>
      <xdr:row>17</xdr:row>
      <xdr:rowOff>27214</xdr:rowOff>
    </xdr:to>
    <xdr:sp macro="" textlink="">
      <xdr:nvSpPr>
        <xdr:cNvPr id="58" name="Textfeld 75">
          <a:hlinkClick xmlns:r="http://schemas.openxmlformats.org/officeDocument/2006/relationships" r:id="rId23"/>
          <a:extLst>
            <a:ext uri="{FF2B5EF4-FFF2-40B4-BE49-F238E27FC236}">
              <a16:creationId xmlns:a16="http://schemas.microsoft.com/office/drawing/2014/main" id="{00000000-0008-0000-0200-00003A000000}"/>
            </a:ext>
          </a:extLst>
        </xdr:cNvPr>
        <xdr:cNvSpPr txBox="1"/>
      </xdr:nvSpPr>
      <xdr:spPr>
        <a:xfrm>
          <a:off x="14132312" y="3040534"/>
          <a:ext cx="2712152" cy="551751"/>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ctr"/>
          <a:r>
            <a:rPr lang="en-US" sz="1100" b="1" i="0" baseline="0">
              <a:solidFill>
                <a:schemeClr val="bg1"/>
              </a:solidFill>
              <a:effectLst/>
            </a:rPr>
            <a:t>Industriens emissioner opdelt efter branche</a:t>
          </a:r>
          <a:endParaRPr lang="de-DE" sz="1100" b="1">
            <a:solidFill>
              <a:schemeClr val="bg1"/>
            </a:solidFill>
          </a:endParaRPr>
        </a:p>
      </xdr:txBody>
    </xdr:sp>
    <xdr:clientData/>
  </xdr:twoCellAnchor>
  <xdr:twoCellAnchor>
    <xdr:from>
      <xdr:col>8</xdr:col>
      <xdr:colOff>628357</xdr:colOff>
      <xdr:row>17</xdr:row>
      <xdr:rowOff>149679</xdr:rowOff>
    </xdr:from>
    <xdr:to>
      <xdr:col>9</xdr:col>
      <xdr:colOff>1650955</xdr:colOff>
      <xdr:row>20</xdr:row>
      <xdr:rowOff>129359</xdr:rowOff>
    </xdr:to>
    <xdr:sp macro="" textlink="">
      <xdr:nvSpPr>
        <xdr:cNvPr id="59" name="Textfeld 76">
          <a:hlinkClick xmlns:r="http://schemas.openxmlformats.org/officeDocument/2006/relationships" r:id="rId24"/>
          <a:extLst>
            <a:ext uri="{FF2B5EF4-FFF2-40B4-BE49-F238E27FC236}">
              <a16:creationId xmlns:a16="http://schemas.microsoft.com/office/drawing/2014/main" id="{00000000-0008-0000-0200-00003B000000}"/>
            </a:ext>
          </a:extLst>
        </xdr:cNvPr>
        <xdr:cNvSpPr txBox="1"/>
      </xdr:nvSpPr>
      <xdr:spPr>
        <a:xfrm>
          <a:off x="14153857" y="3714750"/>
          <a:ext cx="2696277" cy="537573"/>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ctr"/>
          <a:r>
            <a:rPr lang="de-DE" sz="1100" b="1">
              <a:solidFill>
                <a:schemeClr val="bg1"/>
              </a:solidFill>
            </a:rPr>
            <a:t>Industriens</a:t>
          </a:r>
          <a:r>
            <a:rPr lang="de-DE" sz="1100" b="1" baseline="0">
              <a:solidFill>
                <a:schemeClr val="bg1"/>
              </a:solidFill>
            </a:rPr>
            <a:t> emissioner opdelt efter branche og gasart</a:t>
          </a:r>
          <a:endParaRPr lang="de-DE" sz="1100" b="1">
            <a:solidFill>
              <a:schemeClr val="bg1"/>
            </a:solidFill>
          </a:endParaRPr>
        </a:p>
      </xdr:txBody>
    </xdr:sp>
    <xdr:clientData/>
  </xdr:twoCellAnchor>
  <xdr:twoCellAnchor>
    <xdr:from>
      <xdr:col>8</xdr:col>
      <xdr:colOff>607023</xdr:colOff>
      <xdr:row>26</xdr:row>
      <xdr:rowOff>36129</xdr:rowOff>
    </xdr:from>
    <xdr:to>
      <xdr:col>9</xdr:col>
      <xdr:colOff>1660300</xdr:colOff>
      <xdr:row>28</xdr:row>
      <xdr:rowOff>133406</xdr:rowOff>
    </xdr:to>
    <xdr:sp macro="" textlink="">
      <xdr:nvSpPr>
        <xdr:cNvPr id="60" name="Textfeld 77">
          <a:hlinkClick xmlns:r="http://schemas.openxmlformats.org/officeDocument/2006/relationships" r:id="rId25"/>
          <a:extLst>
            <a:ext uri="{FF2B5EF4-FFF2-40B4-BE49-F238E27FC236}">
              <a16:creationId xmlns:a16="http://schemas.microsoft.com/office/drawing/2014/main" id="{00000000-0008-0000-0200-00003C000000}"/>
            </a:ext>
          </a:extLst>
        </xdr:cNvPr>
        <xdr:cNvSpPr txBox="1"/>
      </xdr:nvSpPr>
      <xdr:spPr>
        <a:xfrm>
          <a:off x="14154935" y="6333835"/>
          <a:ext cx="2722953" cy="455865"/>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ctr"/>
          <a:r>
            <a:rPr lang="de-DE" sz="1100" b="1">
              <a:solidFill>
                <a:schemeClr val="bg1"/>
              </a:solidFill>
            </a:rPr>
            <a:t>Emissioner fra affald og spildevand</a:t>
          </a:r>
        </a:p>
      </xdr:txBody>
    </xdr:sp>
    <xdr:clientData/>
  </xdr:twoCellAnchor>
  <xdr:twoCellAnchor>
    <xdr:from>
      <xdr:col>4</xdr:col>
      <xdr:colOff>825263</xdr:colOff>
      <xdr:row>14</xdr:row>
      <xdr:rowOff>8248</xdr:rowOff>
    </xdr:from>
    <xdr:to>
      <xdr:col>6</xdr:col>
      <xdr:colOff>1136145</xdr:colOff>
      <xdr:row>16</xdr:row>
      <xdr:rowOff>59077</xdr:rowOff>
    </xdr:to>
    <xdr:sp macro="" textlink="">
      <xdr:nvSpPr>
        <xdr:cNvPr id="61" name="Textfeld 80">
          <a:hlinkClick xmlns:r="http://schemas.openxmlformats.org/officeDocument/2006/relationships" r:id="rId26"/>
          <a:extLst>
            <a:ext uri="{FF2B5EF4-FFF2-40B4-BE49-F238E27FC236}">
              <a16:creationId xmlns:a16="http://schemas.microsoft.com/office/drawing/2014/main" id="{00000000-0008-0000-0200-00003D000000}"/>
            </a:ext>
          </a:extLst>
        </xdr:cNvPr>
        <xdr:cNvSpPr txBox="1"/>
      </xdr:nvSpPr>
      <xdr:spPr>
        <a:xfrm>
          <a:off x="7438334" y="3042641"/>
          <a:ext cx="3141168" cy="404615"/>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ctr"/>
          <a:r>
            <a:rPr lang="de-DE" sz="1100" b="1" i="0" u="none" strike="noStrike">
              <a:solidFill>
                <a:schemeClr val="bg1"/>
              </a:solidFill>
              <a:effectLst/>
              <a:latin typeface="+mn-lt"/>
              <a:ea typeface="+mn-ea"/>
              <a:cs typeface="+mn-cs"/>
            </a:rPr>
            <a:t>Emissioner </a:t>
          </a:r>
          <a:r>
            <a:rPr lang="de-DE" sz="1100" b="1" i="0" u="none" strike="noStrike" baseline="0">
              <a:solidFill>
                <a:schemeClr val="bg1"/>
              </a:solidFill>
              <a:effectLst/>
              <a:latin typeface="+mn-lt"/>
              <a:ea typeface="+mn-ea"/>
              <a:cs typeface="+mn-cs"/>
            </a:rPr>
            <a:t>fra landbrug</a:t>
          </a:r>
          <a:r>
            <a:rPr lang="de-DE" sz="1100" b="0" i="0" u="none" strike="noStrike" baseline="0">
              <a:solidFill>
                <a:schemeClr val="bg1"/>
              </a:solidFill>
              <a:effectLst/>
              <a:latin typeface="+mn-lt"/>
              <a:ea typeface="+mn-ea"/>
              <a:cs typeface="+mn-cs"/>
            </a:rPr>
            <a:t>et</a:t>
          </a:r>
        </a:p>
        <a:p>
          <a:pPr algn="ctr"/>
          <a:r>
            <a:rPr lang="de-DE" sz="1100" b="0" i="0" u="none" strike="noStrike" baseline="0">
              <a:solidFill>
                <a:schemeClr val="bg1"/>
              </a:solidFill>
              <a:effectLst/>
              <a:latin typeface="+mn-lt"/>
              <a:ea typeface="+mn-ea"/>
              <a:cs typeface="+mn-cs"/>
            </a:rPr>
            <a:t>opdelt efter aktivitet</a:t>
          </a:r>
          <a:endParaRPr lang="de-DE" sz="1100" b="1">
            <a:solidFill>
              <a:schemeClr val="bg1"/>
            </a:solidFill>
          </a:endParaRPr>
        </a:p>
      </xdr:txBody>
    </xdr:sp>
    <xdr:clientData/>
  </xdr:twoCellAnchor>
  <xdr:twoCellAnchor editAs="oneCell">
    <xdr:from>
      <xdr:col>0</xdr:col>
      <xdr:colOff>73638</xdr:colOff>
      <xdr:row>30</xdr:row>
      <xdr:rowOff>92049</xdr:rowOff>
    </xdr:from>
    <xdr:to>
      <xdr:col>0</xdr:col>
      <xdr:colOff>347641</xdr:colOff>
      <xdr:row>30</xdr:row>
      <xdr:rowOff>338391</xdr:rowOff>
    </xdr:to>
    <xdr:sp macro="" textlink="">
      <xdr:nvSpPr>
        <xdr:cNvPr id="62" name="Rektangel 86">
          <a:hlinkClick xmlns:r="http://schemas.openxmlformats.org/officeDocument/2006/relationships" r:id="rId27"/>
          <a:extLst>
            <a:ext uri="{FF2B5EF4-FFF2-40B4-BE49-F238E27FC236}">
              <a16:creationId xmlns:a16="http://schemas.microsoft.com/office/drawing/2014/main" id="{00000000-0008-0000-0200-00003E000000}"/>
            </a:ext>
          </a:extLst>
        </xdr:cNvPr>
        <xdr:cNvSpPr/>
      </xdr:nvSpPr>
      <xdr:spPr>
        <a:xfrm>
          <a:off x="73638" y="6228870"/>
          <a:ext cx="277813" cy="242532"/>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overflow" horzOverflow="overflow" wrap="square" lIns="18000" tIns="36000" rIns="18000" bIns="36000" rtlCol="0" anchor="ctr">
          <a:noAutofit/>
        </a:bodyPr>
        <a:lstStyle/>
        <a:p>
          <a:pPr algn="ctr"/>
          <a:r>
            <a:rPr lang="da-DK" sz="1400" b="1"/>
            <a:t>↑</a:t>
          </a:r>
          <a:endParaRPr lang="da-DK" sz="1000" b="1"/>
        </a:p>
      </xdr:txBody>
    </xdr:sp>
    <xdr:clientData/>
  </xdr:twoCellAnchor>
  <xdr:twoCellAnchor>
    <xdr:from>
      <xdr:col>0</xdr:col>
      <xdr:colOff>427887</xdr:colOff>
      <xdr:row>496</xdr:row>
      <xdr:rowOff>115489</xdr:rowOff>
    </xdr:from>
    <xdr:to>
      <xdr:col>6</xdr:col>
      <xdr:colOff>1755324</xdr:colOff>
      <xdr:row>519</xdr:row>
      <xdr:rowOff>176892</xdr:rowOff>
    </xdr:to>
    <xdr:graphicFrame macro="">
      <xdr:nvGraphicFramePr>
        <xdr:cNvPr id="66" name="Diagram 65">
          <a:extLst>
            <a:ext uri="{FF2B5EF4-FFF2-40B4-BE49-F238E27FC236}">
              <a16:creationId xmlns:a16="http://schemas.microsoft.com/office/drawing/2014/main" id="{00000000-0008-0000-0200-00004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580467</xdr:colOff>
      <xdr:row>208</xdr:row>
      <xdr:rowOff>125504</xdr:rowOff>
    </xdr:from>
    <xdr:to>
      <xdr:col>4</xdr:col>
      <xdr:colOff>362752</xdr:colOff>
      <xdr:row>229</xdr:row>
      <xdr:rowOff>91487</xdr:rowOff>
    </xdr:to>
    <xdr:graphicFrame macro="">
      <xdr:nvGraphicFramePr>
        <xdr:cNvPr id="69" name="Diagram 68">
          <a:extLst>
            <a:ext uri="{FF2B5EF4-FFF2-40B4-BE49-F238E27FC236}">
              <a16:creationId xmlns:a16="http://schemas.microsoft.com/office/drawing/2014/main" id="{00000000-0008-0000-02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585907</xdr:colOff>
      <xdr:row>264</xdr:row>
      <xdr:rowOff>147596</xdr:rowOff>
    </xdr:from>
    <xdr:to>
      <xdr:col>4</xdr:col>
      <xdr:colOff>445564</xdr:colOff>
      <xdr:row>280</xdr:row>
      <xdr:rowOff>113179</xdr:rowOff>
    </xdr:to>
    <xdr:graphicFrame macro="">
      <xdr:nvGraphicFramePr>
        <xdr:cNvPr id="70" name="Diagram 69">
          <a:extLst>
            <a:ext uri="{FF2B5EF4-FFF2-40B4-BE49-F238E27FC236}">
              <a16:creationId xmlns:a16="http://schemas.microsoft.com/office/drawing/2014/main" id="{00000000-0008-0000-02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1120</xdr:colOff>
      <xdr:row>347</xdr:row>
      <xdr:rowOff>4482</xdr:rowOff>
    </xdr:from>
    <xdr:to>
      <xdr:col>4</xdr:col>
      <xdr:colOff>606238</xdr:colOff>
      <xdr:row>367</xdr:row>
      <xdr:rowOff>126626</xdr:rowOff>
    </xdr:to>
    <xdr:graphicFrame macro="">
      <xdr:nvGraphicFramePr>
        <xdr:cNvPr id="71" name="Diagram 70">
          <a:extLst>
            <a:ext uri="{FF2B5EF4-FFF2-40B4-BE49-F238E27FC236}">
              <a16:creationId xmlns:a16="http://schemas.microsoft.com/office/drawing/2014/main" id="{00000000-0008-0000-02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578223</xdr:colOff>
      <xdr:row>459</xdr:row>
      <xdr:rowOff>35859</xdr:rowOff>
    </xdr:from>
    <xdr:to>
      <xdr:col>4</xdr:col>
      <xdr:colOff>370115</xdr:colOff>
      <xdr:row>481</xdr:row>
      <xdr:rowOff>46745</xdr:rowOff>
    </xdr:to>
    <xdr:graphicFrame macro="">
      <xdr:nvGraphicFramePr>
        <xdr:cNvPr id="72" name="Diagram 71">
          <a:extLst>
            <a:ext uri="{FF2B5EF4-FFF2-40B4-BE49-F238E27FC236}">
              <a16:creationId xmlns:a16="http://schemas.microsoft.com/office/drawing/2014/main" id="{00000000-0008-0000-02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573742</xdr:colOff>
      <xdr:row>594</xdr:row>
      <xdr:rowOff>165847</xdr:rowOff>
    </xdr:from>
    <xdr:to>
      <xdr:col>3</xdr:col>
      <xdr:colOff>1283689</xdr:colOff>
      <xdr:row>615</xdr:row>
      <xdr:rowOff>163126</xdr:rowOff>
    </xdr:to>
    <xdr:graphicFrame macro="">
      <xdr:nvGraphicFramePr>
        <xdr:cNvPr id="75" name="Diagram 74">
          <a:extLst>
            <a:ext uri="{FF2B5EF4-FFF2-40B4-BE49-F238E27FC236}">
              <a16:creationId xmlns:a16="http://schemas.microsoft.com/office/drawing/2014/main" id="{00000000-0008-0000-02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583667</xdr:colOff>
      <xdr:row>291</xdr:row>
      <xdr:rowOff>6404</xdr:rowOff>
    </xdr:from>
    <xdr:to>
      <xdr:col>4</xdr:col>
      <xdr:colOff>429186</xdr:colOff>
      <xdr:row>309</xdr:row>
      <xdr:rowOff>11206</xdr:rowOff>
    </xdr:to>
    <xdr:graphicFrame macro="">
      <xdr:nvGraphicFramePr>
        <xdr:cNvPr id="76" name="Diagram 75">
          <a:extLst>
            <a:ext uri="{FF2B5EF4-FFF2-40B4-BE49-F238E27FC236}">
              <a16:creationId xmlns:a16="http://schemas.microsoft.com/office/drawing/2014/main" id="{00000000-0008-0000-02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151700</xdr:colOff>
      <xdr:row>0</xdr:row>
      <xdr:rowOff>155015</xdr:rowOff>
    </xdr:from>
    <xdr:to>
      <xdr:col>1</xdr:col>
      <xdr:colOff>1810071</xdr:colOff>
      <xdr:row>0</xdr:row>
      <xdr:rowOff>689322</xdr:rowOff>
    </xdr:to>
    <xdr:pic>
      <xdr:nvPicPr>
        <xdr:cNvPr id="80" name="Billede 0" descr="logo.wmf">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151700" y="155015"/>
          <a:ext cx="2250042" cy="534307"/>
        </a:xfrm>
        <a:prstGeom prst="rect">
          <a:avLst/>
        </a:prstGeom>
        <a:noFill/>
        <a:ln w="9525">
          <a:noFill/>
          <a:miter lim="800000"/>
          <a:headEnd/>
          <a:tailEnd/>
        </a:ln>
      </xdr:spPr>
    </xdr:pic>
    <xdr:clientData/>
  </xdr:twoCellAnchor>
  <xdr:twoCellAnchor editAs="oneCell">
    <xdr:from>
      <xdr:col>11</xdr:col>
      <xdr:colOff>226359</xdr:colOff>
      <xdr:row>30</xdr:row>
      <xdr:rowOff>95250</xdr:rowOff>
    </xdr:from>
    <xdr:to>
      <xdr:col>11</xdr:col>
      <xdr:colOff>500362</xdr:colOff>
      <xdr:row>30</xdr:row>
      <xdr:rowOff>339687</xdr:rowOff>
    </xdr:to>
    <xdr:sp macro="" textlink="">
      <xdr:nvSpPr>
        <xdr:cNvPr id="85" name="Rektangel 86">
          <a:hlinkClick xmlns:r="http://schemas.openxmlformats.org/officeDocument/2006/relationships" r:id="rId27"/>
          <a:extLst>
            <a:ext uri="{FF2B5EF4-FFF2-40B4-BE49-F238E27FC236}">
              <a16:creationId xmlns:a16="http://schemas.microsoft.com/office/drawing/2014/main" id="{00000000-0008-0000-0200-000055000000}"/>
            </a:ext>
          </a:extLst>
        </xdr:cNvPr>
        <xdr:cNvSpPr/>
      </xdr:nvSpPr>
      <xdr:spPr>
        <a:xfrm>
          <a:off x="19733559" y="7033932"/>
          <a:ext cx="274003" cy="244437"/>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overflow" horzOverflow="overflow" wrap="square" lIns="18000" tIns="36000" rIns="18000" bIns="36000" rtlCol="0" anchor="ctr">
          <a:noAutofit/>
        </a:bodyPr>
        <a:lstStyle/>
        <a:p>
          <a:pPr algn="ctr"/>
          <a:r>
            <a:rPr lang="da-DK" sz="1400" b="1"/>
            <a:t>↑</a:t>
          </a:r>
          <a:endParaRPr lang="da-DK" sz="1000" b="1"/>
        </a:p>
      </xdr:txBody>
    </xdr:sp>
    <xdr:clientData/>
  </xdr:twoCellAnchor>
  <xdr:twoCellAnchor editAs="oneCell">
    <xdr:from>
      <xdr:col>0</xdr:col>
      <xdr:colOff>108858</xdr:colOff>
      <xdr:row>131</xdr:row>
      <xdr:rowOff>108857</xdr:rowOff>
    </xdr:from>
    <xdr:to>
      <xdr:col>0</xdr:col>
      <xdr:colOff>384766</xdr:colOff>
      <xdr:row>131</xdr:row>
      <xdr:rowOff>347579</xdr:rowOff>
    </xdr:to>
    <xdr:sp macro="" textlink="">
      <xdr:nvSpPr>
        <xdr:cNvPr id="86" name="Rektangel 86">
          <a:hlinkClick xmlns:r="http://schemas.openxmlformats.org/officeDocument/2006/relationships" r:id="rId27"/>
          <a:extLst>
            <a:ext uri="{FF2B5EF4-FFF2-40B4-BE49-F238E27FC236}">
              <a16:creationId xmlns:a16="http://schemas.microsoft.com/office/drawing/2014/main" id="{00000000-0008-0000-0200-000056000000}"/>
            </a:ext>
          </a:extLst>
        </xdr:cNvPr>
        <xdr:cNvSpPr/>
      </xdr:nvSpPr>
      <xdr:spPr>
        <a:xfrm>
          <a:off x="108858" y="27037393"/>
          <a:ext cx="277813" cy="242532"/>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overflow" horzOverflow="overflow" wrap="square" lIns="18000" tIns="36000" rIns="18000" bIns="36000" rtlCol="0" anchor="ctr">
          <a:noAutofit/>
        </a:bodyPr>
        <a:lstStyle/>
        <a:p>
          <a:pPr algn="ctr"/>
          <a:r>
            <a:rPr lang="da-DK" sz="1400" b="1"/>
            <a:t>↑</a:t>
          </a:r>
          <a:endParaRPr lang="da-DK" sz="1000" b="1"/>
        </a:p>
      </xdr:txBody>
    </xdr:sp>
    <xdr:clientData/>
  </xdr:twoCellAnchor>
  <xdr:oneCellAnchor>
    <xdr:from>
      <xdr:col>11</xdr:col>
      <xdr:colOff>332976</xdr:colOff>
      <xdr:row>131</xdr:row>
      <xdr:rowOff>135751</xdr:rowOff>
    </xdr:from>
    <xdr:ext cx="277813" cy="242532"/>
    <xdr:sp macro="" textlink="">
      <xdr:nvSpPr>
        <xdr:cNvPr id="87" name="Rektangel 86">
          <a:hlinkClick xmlns:r="http://schemas.openxmlformats.org/officeDocument/2006/relationships" r:id="rId27"/>
          <a:extLst>
            <a:ext uri="{FF2B5EF4-FFF2-40B4-BE49-F238E27FC236}">
              <a16:creationId xmlns:a16="http://schemas.microsoft.com/office/drawing/2014/main" id="{00000000-0008-0000-0200-000057000000}"/>
            </a:ext>
          </a:extLst>
        </xdr:cNvPr>
        <xdr:cNvSpPr/>
      </xdr:nvSpPr>
      <xdr:spPr>
        <a:xfrm>
          <a:off x="19840176" y="26321657"/>
          <a:ext cx="277813" cy="242532"/>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overflow" horzOverflow="overflow" wrap="square" lIns="18000" tIns="36000" rIns="18000" bIns="36000" rtlCol="0" anchor="ctr">
          <a:noAutofit/>
        </a:bodyPr>
        <a:lstStyle/>
        <a:p>
          <a:pPr algn="ctr"/>
          <a:r>
            <a:rPr lang="da-DK" sz="1400" b="1"/>
            <a:t>↑</a:t>
          </a:r>
          <a:endParaRPr lang="da-DK" sz="1000" b="1"/>
        </a:p>
      </xdr:txBody>
    </xdr:sp>
    <xdr:clientData/>
  </xdr:oneCellAnchor>
  <xdr:oneCellAnchor>
    <xdr:from>
      <xdr:col>0</xdr:col>
      <xdr:colOff>108858</xdr:colOff>
      <xdr:row>482</xdr:row>
      <xdr:rowOff>108857</xdr:rowOff>
    </xdr:from>
    <xdr:ext cx="277813" cy="242532"/>
    <xdr:sp macro="" textlink="">
      <xdr:nvSpPr>
        <xdr:cNvPr id="88" name="Rektangel 86">
          <a:hlinkClick xmlns:r="http://schemas.openxmlformats.org/officeDocument/2006/relationships" r:id="rId27"/>
          <a:extLst>
            <a:ext uri="{FF2B5EF4-FFF2-40B4-BE49-F238E27FC236}">
              <a16:creationId xmlns:a16="http://schemas.microsoft.com/office/drawing/2014/main" id="{00000000-0008-0000-0200-000058000000}"/>
            </a:ext>
          </a:extLst>
        </xdr:cNvPr>
        <xdr:cNvSpPr/>
      </xdr:nvSpPr>
      <xdr:spPr>
        <a:xfrm>
          <a:off x="108858" y="27037393"/>
          <a:ext cx="277813" cy="242532"/>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overflow" horzOverflow="overflow" wrap="square" lIns="18000" tIns="36000" rIns="18000" bIns="36000" rtlCol="0" anchor="ctr">
          <a:noAutofit/>
        </a:bodyPr>
        <a:lstStyle/>
        <a:p>
          <a:pPr algn="ctr"/>
          <a:r>
            <a:rPr lang="da-DK" sz="1400" b="1"/>
            <a:t>↑</a:t>
          </a:r>
          <a:endParaRPr lang="da-DK" sz="1000" b="1"/>
        </a:p>
      </xdr:txBody>
    </xdr:sp>
    <xdr:clientData/>
  </xdr:oneCellAnchor>
  <xdr:oneCellAnchor>
    <xdr:from>
      <xdr:col>0</xdr:col>
      <xdr:colOff>108858</xdr:colOff>
      <xdr:row>582</xdr:row>
      <xdr:rowOff>108857</xdr:rowOff>
    </xdr:from>
    <xdr:ext cx="277813" cy="242532"/>
    <xdr:sp macro="" textlink="">
      <xdr:nvSpPr>
        <xdr:cNvPr id="89" name="Rektangel 86">
          <a:hlinkClick xmlns:r="http://schemas.openxmlformats.org/officeDocument/2006/relationships" r:id="rId27"/>
          <a:extLst>
            <a:ext uri="{FF2B5EF4-FFF2-40B4-BE49-F238E27FC236}">
              <a16:creationId xmlns:a16="http://schemas.microsoft.com/office/drawing/2014/main" id="{00000000-0008-0000-0200-000059000000}"/>
            </a:ext>
          </a:extLst>
        </xdr:cNvPr>
        <xdr:cNvSpPr/>
      </xdr:nvSpPr>
      <xdr:spPr>
        <a:xfrm>
          <a:off x="108858" y="27037393"/>
          <a:ext cx="277813" cy="242532"/>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overflow" horzOverflow="overflow" wrap="square" lIns="18000" tIns="36000" rIns="18000" bIns="36000" rtlCol="0" anchor="ctr">
          <a:noAutofit/>
        </a:bodyPr>
        <a:lstStyle/>
        <a:p>
          <a:pPr algn="ctr"/>
          <a:r>
            <a:rPr lang="da-DK" sz="1400" b="1"/>
            <a:t>↑</a:t>
          </a:r>
          <a:endParaRPr lang="da-DK" sz="1000" b="1"/>
        </a:p>
      </xdr:txBody>
    </xdr:sp>
    <xdr:clientData/>
  </xdr:oneCellAnchor>
  <xdr:oneCellAnchor>
    <xdr:from>
      <xdr:col>0</xdr:col>
      <xdr:colOff>162646</xdr:colOff>
      <xdr:row>650</xdr:row>
      <xdr:rowOff>37140</xdr:rowOff>
    </xdr:from>
    <xdr:ext cx="277813" cy="242532"/>
    <xdr:sp macro="" textlink="">
      <xdr:nvSpPr>
        <xdr:cNvPr id="90" name="Rektangel 86">
          <a:hlinkClick xmlns:r="http://schemas.openxmlformats.org/officeDocument/2006/relationships" r:id="rId27"/>
          <a:extLst>
            <a:ext uri="{FF2B5EF4-FFF2-40B4-BE49-F238E27FC236}">
              <a16:creationId xmlns:a16="http://schemas.microsoft.com/office/drawing/2014/main" id="{00000000-0008-0000-0200-00005A000000}"/>
            </a:ext>
          </a:extLst>
        </xdr:cNvPr>
        <xdr:cNvSpPr/>
      </xdr:nvSpPr>
      <xdr:spPr>
        <a:xfrm>
          <a:off x="162646" y="125632669"/>
          <a:ext cx="277813" cy="242532"/>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overflow" horzOverflow="overflow" wrap="square" lIns="18000" tIns="36000" rIns="18000" bIns="36000" rtlCol="0" anchor="ctr">
          <a:noAutofit/>
        </a:bodyPr>
        <a:lstStyle/>
        <a:p>
          <a:pPr algn="ctr"/>
          <a:r>
            <a:rPr lang="da-DK" sz="1400" b="1"/>
            <a:t>↑</a:t>
          </a:r>
          <a:endParaRPr lang="da-DK" sz="1000" b="1"/>
        </a:p>
      </xdr:txBody>
    </xdr:sp>
    <xdr:clientData/>
  </xdr:oneCellAnchor>
  <xdr:twoCellAnchor>
    <xdr:from>
      <xdr:col>0</xdr:col>
      <xdr:colOff>588307</xdr:colOff>
      <xdr:row>54</xdr:row>
      <xdr:rowOff>171609</xdr:rowOff>
    </xdr:from>
    <xdr:to>
      <xdr:col>8</xdr:col>
      <xdr:colOff>265097</xdr:colOff>
      <xdr:row>82</xdr:row>
      <xdr:rowOff>122037</xdr:rowOff>
    </xdr:to>
    <xdr:graphicFrame macro="">
      <xdr:nvGraphicFramePr>
        <xdr:cNvPr id="92" name="Diagram 91">
          <a:extLst>
            <a:ext uri="{FF2B5EF4-FFF2-40B4-BE49-F238E27FC236}">
              <a16:creationId xmlns:a16="http://schemas.microsoft.com/office/drawing/2014/main" id="{00000000-0008-0000-02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12</xdr:col>
      <xdr:colOff>27213</xdr:colOff>
      <xdr:row>54</xdr:row>
      <xdr:rowOff>95248</xdr:rowOff>
    </xdr:from>
    <xdr:to>
      <xdr:col>21</xdr:col>
      <xdr:colOff>445353</xdr:colOff>
      <xdr:row>82</xdr:row>
      <xdr:rowOff>45676</xdr:rowOff>
    </xdr:to>
    <xdr:graphicFrame macro="">
      <xdr:nvGraphicFramePr>
        <xdr:cNvPr id="78" name="Diagram 77">
          <a:extLst>
            <a:ext uri="{FF2B5EF4-FFF2-40B4-BE49-F238E27FC236}">
              <a16:creationId xmlns:a16="http://schemas.microsoft.com/office/drawing/2014/main" id="{00000000-0008-0000-02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31856</xdr:colOff>
      <xdr:row>150</xdr:row>
      <xdr:rowOff>90927</xdr:rowOff>
    </xdr:from>
    <xdr:to>
      <xdr:col>4</xdr:col>
      <xdr:colOff>416912</xdr:colOff>
      <xdr:row>172</xdr:row>
      <xdr:rowOff>16309</xdr:rowOff>
    </xdr:to>
    <xdr:graphicFrame macro="">
      <xdr:nvGraphicFramePr>
        <xdr:cNvPr id="79" name="Diagram 78">
          <a:extLst>
            <a:ext uri="{FF2B5EF4-FFF2-40B4-BE49-F238E27FC236}">
              <a16:creationId xmlns:a16="http://schemas.microsoft.com/office/drawing/2014/main" id="{00000000-0008-0000-02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578224</xdr:colOff>
      <xdr:row>389</xdr:row>
      <xdr:rowOff>108858</xdr:rowOff>
    </xdr:from>
    <xdr:to>
      <xdr:col>4</xdr:col>
      <xdr:colOff>485240</xdr:colOff>
      <xdr:row>414</xdr:row>
      <xdr:rowOff>54427</xdr:rowOff>
    </xdr:to>
    <xdr:graphicFrame macro="">
      <xdr:nvGraphicFramePr>
        <xdr:cNvPr id="82" name="Diagram 81">
          <a:extLst>
            <a:ext uri="{FF2B5EF4-FFF2-40B4-BE49-F238E27FC236}">
              <a16:creationId xmlns:a16="http://schemas.microsoft.com/office/drawing/2014/main" id="{00000000-0008-0000-02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587188</xdr:colOff>
      <xdr:row>415</xdr:row>
      <xdr:rowOff>13607</xdr:rowOff>
    </xdr:from>
    <xdr:to>
      <xdr:col>4</xdr:col>
      <xdr:colOff>491137</xdr:colOff>
      <xdr:row>440</xdr:row>
      <xdr:rowOff>149676</xdr:rowOff>
    </xdr:to>
    <xdr:graphicFrame macro="">
      <xdr:nvGraphicFramePr>
        <xdr:cNvPr id="83" name="Diagram 82">
          <a:extLst>
            <a:ext uri="{FF2B5EF4-FFF2-40B4-BE49-F238E27FC236}">
              <a16:creationId xmlns:a16="http://schemas.microsoft.com/office/drawing/2014/main" id="{00000000-0008-0000-02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578865</xdr:colOff>
      <xdr:row>558</xdr:row>
      <xdr:rowOff>143756</xdr:rowOff>
    </xdr:from>
    <xdr:to>
      <xdr:col>5</xdr:col>
      <xdr:colOff>388365</xdr:colOff>
      <xdr:row>579</xdr:row>
      <xdr:rowOff>7683</xdr:rowOff>
    </xdr:to>
    <xdr:graphicFrame macro="">
      <xdr:nvGraphicFramePr>
        <xdr:cNvPr id="91" name="Diagram 90">
          <a:extLst>
            <a:ext uri="{FF2B5EF4-FFF2-40B4-BE49-F238E27FC236}">
              <a16:creationId xmlns:a16="http://schemas.microsoft.com/office/drawing/2014/main" id="{00000000-0008-0000-0200-00005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6723</xdr:colOff>
      <xdr:row>108</xdr:row>
      <xdr:rowOff>11205</xdr:rowOff>
    </xdr:from>
    <xdr:to>
      <xdr:col>3</xdr:col>
      <xdr:colOff>1306605</xdr:colOff>
      <xdr:row>130</xdr:row>
      <xdr:rowOff>38421</xdr:rowOff>
    </xdr:to>
    <xdr:graphicFrame macro="">
      <xdr:nvGraphicFramePr>
        <xdr:cNvPr id="2" name="Diagram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xdr:col>
      <xdr:colOff>1394013</xdr:colOff>
      <xdr:row>85</xdr:row>
      <xdr:rowOff>67235</xdr:rowOff>
    </xdr:from>
    <xdr:to>
      <xdr:col>7</xdr:col>
      <xdr:colOff>620007</xdr:colOff>
      <xdr:row>107</xdr:row>
      <xdr:rowOff>98655</xdr:rowOff>
    </xdr:to>
    <mc:AlternateContent xmlns:mc="http://schemas.openxmlformats.org/markup-compatibility/2006">
      <mc:Choice xmlns:cx1="http://schemas.microsoft.com/office/drawing/2015/9/8/chartex" Requires="cx1">
        <xdr:graphicFrame macro="">
          <xdr:nvGraphicFramePr>
            <xdr:cNvPr id="15" name="Diagram 14">
              <a:extLst>
                <a:ext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3"/>
            </a:graphicData>
          </a:graphic>
        </xdr:graphicFrame>
      </mc:Choice>
      <mc:Fallback>
        <xdr:sp macro="" textlink="">
          <xdr:nvSpPr>
            <xdr:cNvPr id="0" name=""/>
            <xdr:cNvSpPr>
              <a:spLocks noTextEdit="1"/>
            </xdr:cNvSpPr>
          </xdr:nvSpPr>
          <xdr:spPr>
            <a:xfrm>
              <a:off x="6585138" y="18240935"/>
              <a:ext cx="5988744" cy="4012870"/>
            </a:xfrm>
            <a:prstGeom prst="rect">
              <a:avLst/>
            </a:prstGeom>
            <a:solidFill>
              <a:prstClr val="white"/>
            </a:solidFill>
            <a:ln w="1">
              <a:solidFill>
                <a:prstClr val="green"/>
              </a:solidFill>
            </a:ln>
          </xdr:spPr>
          <xdr:txBody>
            <a:bodyPr vertOverflow="clip" horzOverflow="clip"/>
            <a:lstStyle/>
            <a:p>
              <a:r>
                <a:rPr lang="da-DK" sz="1100"/>
                <a:t>Dette diagram er ikke tilgængeligt i din version af Excel.
Hvis du redigerer denne figur eller gemmer projektmappen i et andet filformat, bliver diagrammet permanent ødelagt.</a:t>
              </a:r>
            </a:p>
          </xdr:txBody>
        </xdr:sp>
      </mc:Fallback>
    </mc:AlternateContent>
    <xdr:clientData/>
  </xdr:twoCellAnchor>
  <xdr:twoCellAnchor>
    <xdr:from>
      <xdr:col>15</xdr:col>
      <xdr:colOff>851646</xdr:colOff>
      <xdr:row>85</xdr:row>
      <xdr:rowOff>98612</xdr:rowOff>
    </xdr:from>
    <xdr:to>
      <xdr:col>19</xdr:col>
      <xdr:colOff>778007</xdr:colOff>
      <xdr:row>107</xdr:row>
      <xdr:rowOff>87406</xdr:rowOff>
    </xdr:to>
    <mc:AlternateContent xmlns:mc="http://schemas.openxmlformats.org/markup-compatibility/2006">
      <mc:Choice xmlns:cx1="http://schemas.microsoft.com/office/drawing/2015/9/8/chartex" Requires="cx1">
        <xdr:graphicFrame macro="">
          <xdr:nvGraphicFramePr>
            <xdr:cNvPr id="33" name="Diagram 32">
              <a:extLst>
                <a:ext uri="{FF2B5EF4-FFF2-40B4-BE49-F238E27FC236}">
                  <a16:creationId xmlns:a16="http://schemas.microsoft.com/office/drawing/2014/main" id="{00000000-0008-0000-0200-000021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4"/>
            </a:graphicData>
          </a:graphic>
        </xdr:graphicFrame>
      </mc:Choice>
      <mc:Fallback>
        <xdr:sp macro="" textlink="">
          <xdr:nvSpPr>
            <xdr:cNvPr id="0" name=""/>
            <xdr:cNvSpPr>
              <a:spLocks noTextEdit="1"/>
            </xdr:cNvSpPr>
          </xdr:nvSpPr>
          <xdr:spPr>
            <a:xfrm>
              <a:off x="25930971" y="18272312"/>
              <a:ext cx="6184286" cy="3970244"/>
            </a:xfrm>
            <a:prstGeom prst="rect">
              <a:avLst/>
            </a:prstGeom>
            <a:solidFill>
              <a:prstClr val="white"/>
            </a:solidFill>
            <a:ln w="1">
              <a:solidFill>
                <a:prstClr val="green"/>
              </a:solidFill>
            </a:ln>
          </xdr:spPr>
          <xdr:txBody>
            <a:bodyPr vertOverflow="clip" horzOverflow="clip"/>
            <a:lstStyle/>
            <a:p>
              <a:r>
                <a:rPr lang="da-DK" sz="1100"/>
                <a:t>Dette diagram er ikke tilgængeligt i din version af Excel.
Hvis du redigerer denne figur eller gemmer projektmappen i et andet filformat, bliver diagrammet permanent ødelagt.</a:t>
              </a:r>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1076325</xdr:colOff>
      <xdr:row>9</xdr:row>
      <xdr:rowOff>427505</xdr:rowOff>
    </xdr:from>
    <xdr:to>
      <xdr:col>7</xdr:col>
      <xdr:colOff>3362269</xdr:colOff>
      <xdr:row>9</xdr:row>
      <xdr:rowOff>958224</xdr:rowOff>
    </xdr:to>
    <xdr:pic>
      <xdr:nvPicPr>
        <xdr:cNvPr id="2" name="Billed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6578413" y="2556623"/>
          <a:ext cx="2285944" cy="53071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1055668</xdr:colOff>
      <xdr:row>9</xdr:row>
      <xdr:rowOff>603250</xdr:rowOff>
    </xdr:from>
    <xdr:to>
      <xdr:col>9</xdr:col>
      <xdr:colOff>3344787</xdr:colOff>
      <xdr:row>9</xdr:row>
      <xdr:rowOff>1130794</xdr:rowOff>
    </xdr:to>
    <xdr:pic>
      <xdr:nvPicPr>
        <xdr:cNvPr id="2" name="Billed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7932718" y="2603500"/>
          <a:ext cx="2289119" cy="52754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1055668</xdr:colOff>
      <xdr:row>9</xdr:row>
      <xdr:rowOff>603250</xdr:rowOff>
    </xdr:from>
    <xdr:to>
      <xdr:col>9</xdr:col>
      <xdr:colOff>3344787</xdr:colOff>
      <xdr:row>9</xdr:row>
      <xdr:rowOff>1130794</xdr:rowOff>
    </xdr:to>
    <xdr:pic>
      <xdr:nvPicPr>
        <xdr:cNvPr id="2" name="Billed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6799243" y="2432050"/>
          <a:ext cx="2289119" cy="52754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178594</xdr:colOff>
      <xdr:row>0</xdr:row>
      <xdr:rowOff>146050</xdr:rowOff>
    </xdr:from>
    <xdr:to>
      <xdr:col>1</xdr:col>
      <xdr:colOff>988487</xdr:colOff>
      <xdr:row>0</xdr:row>
      <xdr:rowOff>556018</xdr:rowOff>
    </xdr:to>
    <xdr:pic>
      <xdr:nvPicPr>
        <xdr:cNvPr id="2" name="Billede 0" descr="logo.wmf">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8594" y="146050"/>
          <a:ext cx="1648093" cy="409968"/>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178594</xdr:colOff>
      <xdr:row>0</xdr:row>
      <xdr:rowOff>146050</xdr:rowOff>
    </xdr:from>
    <xdr:to>
      <xdr:col>1</xdr:col>
      <xdr:colOff>988487</xdr:colOff>
      <xdr:row>0</xdr:row>
      <xdr:rowOff>556018</xdr:rowOff>
    </xdr:to>
    <xdr:pic>
      <xdr:nvPicPr>
        <xdr:cNvPr id="2" name="Billede 0" descr="logo.wmf">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8594" y="146050"/>
          <a:ext cx="981343" cy="48018"/>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128121</xdr:colOff>
      <xdr:row>0</xdr:row>
      <xdr:rowOff>161739</xdr:rowOff>
    </xdr:from>
    <xdr:to>
      <xdr:col>0</xdr:col>
      <xdr:colOff>1724620</xdr:colOff>
      <xdr:row>0</xdr:row>
      <xdr:rowOff>574882</xdr:rowOff>
    </xdr:to>
    <xdr:pic>
      <xdr:nvPicPr>
        <xdr:cNvPr id="2" name="Billede 0" descr="logo.wmf">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8121" y="161739"/>
          <a:ext cx="958324" cy="413143"/>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128121</xdr:colOff>
      <xdr:row>0</xdr:row>
      <xdr:rowOff>161739</xdr:rowOff>
    </xdr:from>
    <xdr:to>
      <xdr:col>0</xdr:col>
      <xdr:colOff>1724620</xdr:colOff>
      <xdr:row>0</xdr:row>
      <xdr:rowOff>574882</xdr:rowOff>
    </xdr:to>
    <xdr:pic>
      <xdr:nvPicPr>
        <xdr:cNvPr id="2" name="Billede 0" descr="logo.wmf">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1296" y="164914"/>
          <a:ext cx="1596499" cy="409968"/>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234950</xdr:colOff>
      <xdr:row>0</xdr:row>
      <xdr:rowOff>104775</xdr:rowOff>
    </xdr:from>
    <xdr:to>
      <xdr:col>1</xdr:col>
      <xdr:colOff>1298049</xdr:colOff>
      <xdr:row>0</xdr:row>
      <xdr:rowOff>514743</xdr:rowOff>
    </xdr:to>
    <xdr:pic>
      <xdr:nvPicPr>
        <xdr:cNvPr id="2" name="Billede 0" descr="logo.wmf">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34950" y="104775"/>
          <a:ext cx="1644124" cy="409968"/>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234950</xdr:colOff>
      <xdr:row>0</xdr:row>
      <xdr:rowOff>104775</xdr:rowOff>
    </xdr:from>
    <xdr:to>
      <xdr:col>1</xdr:col>
      <xdr:colOff>1298049</xdr:colOff>
      <xdr:row>0</xdr:row>
      <xdr:rowOff>514743</xdr:rowOff>
    </xdr:to>
    <xdr:pic>
      <xdr:nvPicPr>
        <xdr:cNvPr id="2" name="Billede 0" descr="logo.wmf">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34950" y="104775"/>
          <a:ext cx="929749" cy="86118"/>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228600</xdr:colOff>
      <xdr:row>0</xdr:row>
      <xdr:rowOff>111125</xdr:rowOff>
    </xdr:from>
    <xdr:to>
      <xdr:col>0</xdr:col>
      <xdr:colOff>1898124</xdr:colOff>
      <xdr:row>0</xdr:row>
      <xdr:rowOff>533793</xdr:rowOff>
    </xdr:to>
    <xdr:pic>
      <xdr:nvPicPr>
        <xdr:cNvPr id="2" name="Billede 0" descr="logo.wmf">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28600" y="111125"/>
          <a:ext cx="1059924" cy="422668"/>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197224</xdr:colOff>
      <xdr:row>0</xdr:row>
      <xdr:rowOff>123638</xdr:rowOff>
    </xdr:from>
    <xdr:to>
      <xdr:col>2</xdr:col>
      <xdr:colOff>336176</xdr:colOff>
      <xdr:row>0</xdr:row>
      <xdr:rowOff>533606</xdr:rowOff>
    </xdr:to>
    <xdr:pic>
      <xdr:nvPicPr>
        <xdr:cNvPr id="2" name="Billede 0" descr="logo.wmf">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7224" y="123638"/>
          <a:ext cx="1987923" cy="409968"/>
        </a:xfrm>
        <a:prstGeom prst="rect">
          <a:avLst/>
        </a:prstGeom>
        <a:noFill/>
        <a:ln w="9525">
          <a:noFill/>
          <a:miter lim="800000"/>
          <a:headEnd/>
          <a:tailEnd/>
        </a:ln>
      </xdr:spPr>
    </xdr:pic>
    <xdr:clientData/>
  </xdr:twoCellAnchor>
  <xdr:oneCellAnchor>
    <xdr:from>
      <xdr:col>0</xdr:col>
      <xdr:colOff>89647</xdr:colOff>
      <xdr:row>22</xdr:row>
      <xdr:rowOff>44567</xdr:rowOff>
    </xdr:from>
    <xdr:ext cx="246530" cy="224374"/>
    <xdr:sp macro="" textlink="">
      <xdr:nvSpPr>
        <xdr:cNvPr id="3" name="Rektangel 2">
          <a:hlinkClick xmlns:r="http://schemas.openxmlformats.org/officeDocument/2006/relationships" r:id="rId2"/>
          <a:extLst>
            <a:ext uri="{FF2B5EF4-FFF2-40B4-BE49-F238E27FC236}">
              <a16:creationId xmlns:a16="http://schemas.microsoft.com/office/drawing/2014/main" id="{00000000-0008-0000-0300-000003000000}"/>
            </a:ext>
          </a:extLst>
        </xdr:cNvPr>
        <xdr:cNvSpPr/>
      </xdr:nvSpPr>
      <xdr:spPr>
        <a:xfrm>
          <a:off x="89647" y="806567"/>
          <a:ext cx="246530" cy="224374"/>
        </a:xfrm>
        <a:prstGeom prst="rect">
          <a:avLst/>
        </a:prstGeom>
        <a:solidFill>
          <a:srgbClr val="3E8853"/>
        </a:solidFill>
        <a:ln w="25400" cap="flat" cmpd="sng" algn="ctr">
          <a:solidFill>
            <a:srgbClr val="3E8853"/>
          </a:solidFill>
          <a:prstDash val="solid"/>
        </a:ln>
        <a:effectLst>
          <a:outerShdw blurRad="50800" dist="38100" dir="2700000" algn="tl" rotWithShape="0">
            <a:prstClr val="black">
              <a:alpha val="40000"/>
            </a:prstClr>
          </a:outerShdw>
        </a:effectLst>
      </xdr:spPr>
      <xdr:txBody>
        <a:bodyPr vertOverflow="overflow" horzOverflow="overflow" wrap="square" lIns="18000" tIns="36000" rIns="18000" bIns="3600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a-DK" sz="1400" b="1" i="0" u="none" strike="noStrike" kern="0" cap="none" spc="0" normalizeH="0" baseline="0" noProof="0">
              <a:ln>
                <a:noFill/>
              </a:ln>
              <a:solidFill>
                <a:sysClr val="window" lastClr="FFFFFF"/>
              </a:solidFill>
              <a:effectLst/>
              <a:uLnTx/>
              <a:uFillTx/>
              <a:latin typeface="Calibri" panose="020F0502020204030204"/>
              <a:ea typeface="+mn-ea"/>
              <a:cs typeface="+mn-cs"/>
            </a:rPr>
            <a:t>↑</a:t>
          </a:r>
          <a:endParaRPr kumimoji="0" lang="da-DK" sz="10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oneCellAnchor>
  <xdr:oneCellAnchor>
    <xdr:from>
      <xdr:col>0</xdr:col>
      <xdr:colOff>100853</xdr:colOff>
      <xdr:row>1255</xdr:row>
      <xdr:rowOff>100853</xdr:rowOff>
    </xdr:from>
    <xdr:ext cx="246530" cy="224374"/>
    <xdr:sp macro="" textlink="">
      <xdr:nvSpPr>
        <xdr:cNvPr id="22" name="Rektangel 21">
          <a:hlinkClick xmlns:r="http://schemas.openxmlformats.org/officeDocument/2006/relationships" r:id="rId2"/>
          <a:extLst>
            <a:ext uri="{FF2B5EF4-FFF2-40B4-BE49-F238E27FC236}">
              <a16:creationId xmlns:a16="http://schemas.microsoft.com/office/drawing/2014/main" id="{00000000-0008-0000-0300-000016000000}"/>
            </a:ext>
          </a:extLst>
        </xdr:cNvPr>
        <xdr:cNvSpPr/>
      </xdr:nvSpPr>
      <xdr:spPr>
        <a:xfrm>
          <a:off x="100853" y="248210294"/>
          <a:ext cx="246530" cy="224374"/>
        </a:xfrm>
        <a:prstGeom prst="rect">
          <a:avLst/>
        </a:prstGeom>
        <a:solidFill>
          <a:srgbClr val="3E8853"/>
        </a:solidFill>
        <a:ln w="25400" cap="flat" cmpd="sng" algn="ctr">
          <a:solidFill>
            <a:srgbClr val="3E8853"/>
          </a:solidFill>
          <a:prstDash val="solid"/>
        </a:ln>
        <a:effectLst>
          <a:outerShdw blurRad="50800" dist="38100" dir="2700000" algn="tl" rotWithShape="0">
            <a:prstClr val="black">
              <a:alpha val="40000"/>
            </a:prstClr>
          </a:outerShdw>
        </a:effectLst>
      </xdr:spPr>
      <xdr:txBody>
        <a:bodyPr vertOverflow="overflow" horzOverflow="overflow" wrap="square" lIns="18000" tIns="36000" rIns="18000" bIns="3600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a-DK" sz="1400" b="1" i="0" u="none" strike="noStrike" kern="0" cap="none" spc="0" normalizeH="0" baseline="0" noProof="0">
              <a:ln>
                <a:noFill/>
              </a:ln>
              <a:solidFill>
                <a:sysClr val="window" lastClr="FFFFFF"/>
              </a:solidFill>
              <a:effectLst/>
              <a:uLnTx/>
              <a:uFillTx/>
              <a:latin typeface="Calibri" panose="020F0502020204030204"/>
              <a:ea typeface="+mn-ea"/>
              <a:cs typeface="+mn-cs"/>
            </a:rPr>
            <a:t>↑</a:t>
          </a:r>
          <a:endParaRPr kumimoji="0" lang="da-DK" sz="10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oneCellAnchor>
  <xdr:oneCellAnchor>
    <xdr:from>
      <xdr:col>0</xdr:col>
      <xdr:colOff>78441</xdr:colOff>
      <xdr:row>1296</xdr:row>
      <xdr:rowOff>78441</xdr:rowOff>
    </xdr:from>
    <xdr:ext cx="246530" cy="224374"/>
    <xdr:sp macro="" textlink="">
      <xdr:nvSpPr>
        <xdr:cNvPr id="23" name="Rektangel 22">
          <a:hlinkClick xmlns:r="http://schemas.openxmlformats.org/officeDocument/2006/relationships" r:id="rId2"/>
          <a:extLst>
            <a:ext uri="{FF2B5EF4-FFF2-40B4-BE49-F238E27FC236}">
              <a16:creationId xmlns:a16="http://schemas.microsoft.com/office/drawing/2014/main" id="{00000000-0008-0000-0300-000017000000}"/>
            </a:ext>
          </a:extLst>
        </xdr:cNvPr>
        <xdr:cNvSpPr/>
      </xdr:nvSpPr>
      <xdr:spPr>
        <a:xfrm>
          <a:off x="78441" y="256390588"/>
          <a:ext cx="246530" cy="224374"/>
        </a:xfrm>
        <a:prstGeom prst="rect">
          <a:avLst/>
        </a:prstGeom>
        <a:solidFill>
          <a:srgbClr val="3E8853"/>
        </a:solidFill>
        <a:ln w="25400" cap="flat" cmpd="sng" algn="ctr">
          <a:solidFill>
            <a:srgbClr val="3E8853"/>
          </a:solidFill>
          <a:prstDash val="solid"/>
        </a:ln>
        <a:effectLst>
          <a:outerShdw blurRad="50800" dist="38100" dir="2700000" algn="tl" rotWithShape="0">
            <a:prstClr val="black">
              <a:alpha val="40000"/>
            </a:prstClr>
          </a:outerShdw>
        </a:effectLst>
      </xdr:spPr>
      <xdr:txBody>
        <a:bodyPr vertOverflow="overflow" horzOverflow="overflow" wrap="square" lIns="18000" tIns="36000" rIns="18000" bIns="3600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a-DK" sz="1400" b="1" i="0" u="none" strike="noStrike" kern="0" cap="none" spc="0" normalizeH="0" baseline="0" noProof="0">
              <a:ln>
                <a:noFill/>
              </a:ln>
              <a:solidFill>
                <a:sysClr val="window" lastClr="FFFFFF"/>
              </a:solidFill>
              <a:effectLst/>
              <a:uLnTx/>
              <a:uFillTx/>
              <a:latin typeface="Calibri" panose="020F0502020204030204"/>
              <a:ea typeface="+mn-ea"/>
              <a:cs typeface="+mn-cs"/>
            </a:rPr>
            <a:t>↑</a:t>
          </a:r>
          <a:endParaRPr kumimoji="0" lang="da-DK" sz="10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oneCellAnchor>
  <xdr:oneCellAnchor>
    <xdr:from>
      <xdr:col>0</xdr:col>
      <xdr:colOff>78441</xdr:colOff>
      <xdr:row>1318</xdr:row>
      <xdr:rowOff>56029</xdr:rowOff>
    </xdr:from>
    <xdr:ext cx="246530" cy="224374"/>
    <xdr:sp macro="" textlink="">
      <xdr:nvSpPr>
        <xdr:cNvPr id="24" name="Rektangel 23">
          <a:hlinkClick xmlns:r="http://schemas.openxmlformats.org/officeDocument/2006/relationships" r:id="rId2"/>
          <a:extLst>
            <a:ext uri="{FF2B5EF4-FFF2-40B4-BE49-F238E27FC236}">
              <a16:creationId xmlns:a16="http://schemas.microsoft.com/office/drawing/2014/main" id="{00000000-0008-0000-0300-000018000000}"/>
            </a:ext>
          </a:extLst>
        </xdr:cNvPr>
        <xdr:cNvSpPr/>
      </xdr:nvSpPr>
      <xdr:spPr>
        <a:xfrm>
          <a:off x="78441" y="261937500"/>
          <a:ext cx="246530" cy="224374"/>
        </a:xfrm>
        <a:prstGeom prst="rect">
          <a:avLst/>
        </a:prstGeom>
        <a:solidFill>
          <a:srgbClr val="3E8853"/>
        </a:solidFill>
        <a:ln w="25400" cap="flat" cmpd="sng" algn="ctr">
          <a:solidFill>
            <a:srgbClr val="3E8853"/>
          </a:solidFill>
          <a:prstDash val="solid"/>
        </a:ln>
        <a:effectLst>
          <a:outerShdw blurRad="50800" dist="38100" dir="2700000" algn="tl" rotWithShape="0">
            <a:prstClr val="black">
              <a:alpha val="40000"/>
            </a:prstClr>
          </a:outerShdw>
        </a:effectLst>
      </xdr:spPr>
      <xdr:txBody>
        <a:bodyPr vertOverflow="overflow" horzOverflow="overflow" wrap="square" lIns="18000" tIns="36000" rIns="18000" bIns="3600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a-DK" sz="1400" b="1" i="0" u="none" strike="noStrike" kern="0" cap="none" spc="0" normalizeH="0" baseline="0" noProof="0">
              <a:ln>
                <a:noFill/>
              </a:ln>
              <a:solidFill>
                <a:sysClr val="window" lastClr="FFFFFF"/>
              </a:solidFill>
              <a:effectLst/>
              <a:uLnTx/>
              <a:uFillTx/>
              <a:latin typeface="Calibri" panose="020F0502020204030204"/>
              <a:ea typeface="+mn-ea"/>
              <a:cs typeface="+mn-cs"/>
            </a:rPr>
            <a:t>↑</a:t>
          </a:r>
          <a:endParaRPr kumimoji="0" lang="da-DK" sz="10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oneCellAnchor>
  <xdr:oneCellAnchor>
    <xdr:from>
      <xdr:col>0</xdr:col>
      <xdr:colOff>67236</xdr:colOff>
      <xdr:row>74</xdr:row>
      <xdr:rowOff>67235</xdr:rowOff>
    </xdr:from>
    <xdr:ext cx="246530" cy="224374"/>
    <xdr:sp macro="" textlink="">
      <xdr:nvSpPr>
        <xdr:cNvPr id="25" name="Rektangel 24">
          <a:hlinkClick xmlns:r="http://schemas.openxmlformats.org/officeDocument/2006/relationships" r:id="rId2"/>
          <a:extLst>
            <a:ext uri="{FF2B5EF4-FFF2-40B4-BE49-F238E27FC236}">
              <a16:creationId xmlns:a16="http://schemas.microsoft.com/office/drawing/2014/main" id="{00000000-0008-0000-0300-000019000000}"/>
            </a:ext>
          </a:extLst>
        </xdr:cNvPr>
        <xdr:cNvSpPr/>
      </xdr:nvSpPr>
      <xdr:spPr>
        <a:xfrm>
          <a:off x="67236" y="16046823"/>
          <a:ext cx="246530" cy="224374"/>
        </a:xfrm>
        <a:prstGeom prst="rect">
          <a:avLst/>
        </a:prstGeom>
        <a:solidFill>
          <a:srgbClr val="3E8853"/>
        </a:solidFill>
        <a:ln w="25400" cap="flat" cmpd="sng" algn="ctr">
          <a:solidFill>
            <a:srgbClr val="3E8853"/>
          </a:solidFill>
          <a:prstDash val="solid"/>
        </a:ln>
        <a:effectLst>
          <a:outerShdw blurRad="50800" dist="38100" dir="2700000" algn="tl" rotWithShape="0">
            <a:prstClr val="black">
              <a:alpha val="40000"/>
            </a:prstClr>
          </a:outerShdw>
        </a:effectLst>
      </xdr:spPr>
      <xdr:txBody>
        <a:bodyPr vertOverflow="overflow" horzOverflow="overflow" wrap="square" lIns="18000" tIns="36000" rIns="18000" bIns="3600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a-DK" sz="1400" b="1" i="0" u="none" strike="noStrike" kern="0" cap="none" spc="0" normalizeH="0" baseline="0" noProof="0">
              <a:ln>
                <a:noFill/>
              </a:ln>
              <a:solidFill>
                <a:sysClr val="window" lastClr="FFFFFF"/>
              </a:solidFill>
              <a:effectLst/>
              <a:uLnTx/>
              <a:uFillTx/>
              <a:latin typeface="Calibri" panose="020F0502020204030204"/>
              <a:ea typeface="+mn-ea"/>
              <a:cs typeface="+mn-cs"/>
            </a:rPr>
            <a:t>↑</a:t>
          </a:r>
          <a:endParaRPr kumimoji="0" lang="da-DK" sz="10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oneCellAnchor>
  <xdr:oneCellAnchor>
    <xdr:from>
      <xdr:col>0</xdr:col>
      <xdr:colOff>78441</xdr:colOff>
      <xdr:row>78</xdr:row>
      <xdr:rowOff>56030</xdr:rowOff>
    </xdr:from>
    <xdr:ext cx="246530" cy="224374"/>
    <xdr:sp macro="" textlink="">
      <xdr:nvSpPr>
        <xdr:cNvPr id="26" name="Rektangel 25">
          <a:hlinkClick xmlns:r="http://schemas.openxmlformats.org/officeDocument/2006/relationships" r:id="rId2"/>
          <a:extLst>
            <a:ext uri="{FF2B5EF4-FFF2-40B4-BE49-F238E27FC236}">
              <a16:creationId xmlns:a16="http://schemas.microsoft.com/office/drawing/2014/main" id="{00000000-0008-0000-0300-00001A000000}"/>
            </a:ext>
          </a:extLst>
        </xdr:cNvPr>
        <xdr:cNvSpPr/>
      </xdr:nvSpPr>
      <xdr:spPr>
        <a:xfrm>
          <a:off x="78441" y="16932089"/>
          <a:ext cx="246530" cy="224374"/>
        </a:xfrm>
        <a:prstGeom prst="rect">
          <a:avLst/>
        </a:prstGeom>
        <a:solidFill>
          <a:srgbClr val="3E8853"/>
        </a:solidFill>
        <a:ln w="25400" cap="flat" cmpd="sng" algn="ctr">
          <a:solidFill>
            <a:srgbClr val="3E8853"/>
          </a:solidFill>
          <a:prstDash val="solid"/>
        </a:ln>
        <a:effectLst>
          <a:outerShdw blurRad="50800" dist="38100" dir="2700000" algn="tl" rotWithShape="0">
            <a:prstClr val="black">
              <a:alpha val="40000"/>
            </a:prstClr>
          </a:outerShdw>
        </a:effectLst>
      </xdr:spPr>
      <xdr:txBody>
        <a:bodyPr vertOverflow="overflow" horzOverflow="overflow" wrap="square" lIns="18000" tIns="36000" rIns="18000" bIns="3600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a-DK" sz="1400" b="1" i="0" u="none" strike="noStrike" kern="0" cap="none" spc="0" normalizeH="0" baseline="0" noProof="0">
              <a:ln>
                <a:noFill/>
              </a:ln>
              <a:solidFill>
                <a:sysClr val="window" lastClr="FFFFFF"/>
              </a:solidFill>
              <a:effectLst/>
              <a:uLnTx/>
              <a:uFillTx/>
              <a:latin typeface="Calibri" panose="020F0502020204030204"/>
              <a:ea typeface="+mn-ea"/>
              <a:cs typeface="+mn-cs"/>
            </a:rPr>
            <a:t>↑</a:t>
          </a:r>
          <a:endParaRPr kumimoji="0" lang="da-DK" sz="10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oneCellAnchor>
  <xdr:oneCellAnchor>
    <xdr:from>
      <xdr:col>0</xdr:col>
      <xdr:colOff>78441</xdr:colOff>
      <xdr:row>82</xdr:row>
      <xdr:rowOff>67235</xdr:rowOff>
    </xdr:from>
    <xdr:ext cx="246530" cy="224374"/>
    <xdr:sp macro="" textlink="">
      <xdr:nvSpPr>
        <xdr:cNvPr id="27" name="Rektangel 26">
          <a:hlinkClick xmlns:r="http://schemas.openxmlformats.org/officeDocument/2006/relationships" r:id="rId2"/>
          <a:extLst>
            <a:ext uri="{FF2B5EF4-FFF2-40B4-BE49-F238E27FC236}">
              <a16:creationId xmlns:a16="http://schemas.microsoft.com/office/drawing/2014/main" id="{00000000-0008-0000-0300-00001B000000}"/>
            </a:ext>
          </a:extLst>
        </xdr:cNvPr>
        <xdr:cNvSpPr/>
      </xdr:nvSpPr>
      <xdr:spPr>
        <a:xfrm>
          <a:off x="78441" y="17850970"/>
          <a:ext cx="246530" cy="224374"/>
        </a:xfrm>
        <a:prstGeom prst="rect">
          <a:avLst/>
        </a:prstGeom>
        <a:solidFill>
          <a:srgbClr val="3E8853"/>
        </a:solidFill>
        <a:ln w="25400" cap="flat" cmpd="sng" algn="ctr">
          <a:solidFill>
            <a:srgbClr val="3E8853"/>
          </a:solidFill>
          <a:prstDash val="solid"/>
        </a:ln>
        <a:effectLst>
          <a:outerShdw blurRad="50800" dist="38100" dir="2700000" algn="tl" rotWithShape="0">
            <a:prstClr val="black">
              <a:alpha val="40000"/>
            </a:prstClr>
          </a:outerShdw>
        </a:effectLst>
      </xdr:spPr>
      <xdr:txBody>
        <a:bodyPr vertOverflow="overflow" horzOverflow="overflow" wrap="square" lIns="18000" tIns="36000" rIns="18000" bIns="3600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a-DK" sz="1400" b="1" i="0" u="none" strike="noStrike" kern="0" cap="none" spc="0" normalizeH="0" baseline="0" noProof="0">
              <a:ln>
                <a:noFill/>
              </a:ln>
              <a:solidFill>
                <a:sysClr val="window" lastClr="FFFFFF"/>
              </a:solidFill>
              <a:effectLst/>
              <a:uLnTx/>
              <a:uFillTx/>
              <a:latin typeface="Calibri" panose="020F0502020204030204"/>
              <a:ea typeface="+mn-ea"/>
              <a:cs typeface="+mn-cs"/>
            </a:rPr>
            <a:t>↑</a:t>
          </a:r>
          <a:endParaRPr kumimoji="0" lang="da-DK" sz="10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oneCellAnchor>
  <xdr:oneCellAnchor>
    <xdr:from>
      <xdr:col>0</xdr:col>
      <xdr:colOff>78442</xdr:colOff>
      <xdr:row>86</xdr:row>
      <xdr:rowOff>67235</xdr:rowOff>
    </xdr:from>
    <xdr:ext cx="246530" cy="224374"/>
    <xdr:sp macro="" textlink="">
      <xdr:nvSpPr>
        <xdr:cNvPr id="28" name="Rektangel 27">
          <a:hlinkClick xmlns:r="http://schemas.openxmlformats.org/officeDocument/2006/relationships" r:id="rId2"/>
          <a:extLst>
            <a:ext uri="{FF2B5EF4-FFF2-40B4-BE49-F238E27FC236}">
              <a16:creationId xmlns:a16="http://schemas.microsoft.com/office/drawing/2014/main" id="{00000000-0008-0000-0300-00001C000000}"/>
            </a:ext>
          </a:extLst>
        </xdr:cNvPr>
        <xdr:cNvSpPr/>
      </xdr:nvSpPr>
      <xdr:spPr>
        <a:xfrm>
          <a:off x="78442" y="18769853"/>
          <a:ext cx="246530" cy="224374"/>
        </a:xfrm>
        <a:prstGeom prst="rect">
          <a:avLst/>
        </a:prstGeom>
        <a:solidFill>
          <a:srgbClr val="3E8853"/>
        </a:solidFill>
        <a:ln w="25400" cap="flat" cmpd="sng" algn="ctr">
          <a:solidFill>
            <a:srgbClr val="3E8853"/>
          </a:solidFill>
          <a:prstDash val="solid"/>
        </a:ln>
        <a:effectLst>
          <a:outerShdw blurRad="50800" dist="38100" dir="2700000" algn="tl" rotWithShape="0">
            <a:prstClr val="black">
              <a:alpha val="40000"/>
            </a:prstClr>
          </a:outerShdw>
        </a:effectLst>
      </xdr:spPr>
      <xdr:txBody>
        <a:bodyPr vertOverflow="overflow" horzOverflow="overflow" wrap="square" lIns="18000" tIns="36000" rIns="18000" bIns="3600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a-DK" sz="1400" b="1" i="0" u="none" strike="noStrike" kern="0" cap="none" spc="0" normalizeH="0" baseline="0" noProof="0">
              <a:ln>
                <a:noFill/>
              </a:ln>
              <a:solidFill>
                <a:sysClr val="window" lastClr="FFFFFF"/>
              </a:solidFill>
              <a:effectLst/>
              <a:uLnTx/>
              <a:uFillTx/>
              <a:latin typeface="Calibri" panose="020F0502020204030204"/>
              <a:ea typeface="+mn-ea"/>
              <a:cs typeface="+mn-cs"/>
            </a:rPr>
            <a:t>↑</a:t>
          </a:r>
          <a:endParaRPr kumimoji="0" lang="da-DK" sz="10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oneCellAnchor>
  <xdr:oneCellAnchor>
    <xdr:from>
      <xdr:col>0</xdr:col>
      <xdr:colOff>67235</xdr:colOff>
      <xdr:row>90</xdr:row>
      <xdr:rowOff>67235</xdr:rowOff>
    </xdr:from>
    <xdr:ext cx="246530" cy="224374"/>
    <xdr:sp macro="" textlink="">
      <xdr:nvSpPr>
        <xdr:cNvPr id="29" name="Rektangel 28">
          <a:hlinkClick xmlns:r="http://schemas.openxmlformats.org/officeDocument/2006/relationships" r:id="rId2"/>
          <a:extLst>
            <a:ext uri="{FF2B5EF4-FFF2-40B4-BE49-F238E27FC236}">
              <a16:creationId xmlns:a16="http://schemas.microsoft.com/office/drawing/2014/main" id="{00000000-0008-0000-0300-00001D000000}"/>
            </a:ext>
          </a:extLst>
        </xdr:cNvPr>
        <xdr:cNvSpPr/>
      </xdr:nvSpPr>
      <xdr:spPr>
        <a:xfrm>
          <a:off x="67235" y="19699941"/>
          <a:ext cx="246530" cy="224374"/>
        </a:xfrm>
        <a:prstGeom prst="rect">
          <a:avLst/>
        </a:prstGeom>
        <a:solidFill>
          <a:srgbClr val="3E8853"/>
        </a:solidFill>
        <a:ln w="25400" cap="flat" cmpd="sng" algn="ctr">
          <a:solidFill>
            <a:srgbClr val="3E8853"/>
          </a:solidFill>
          <a:prstDash val="solid"/>
        </a:ln>
        <a:effectLst>
          <a:outerShdw blurRad="50800" dist="38100" dir="2700000" algn="tl" rotWithShape="0">
            <a:prstClr val="black">
              <a:alpha val="40000"/>
            </a:prstClr>
          </a:outerShdw>
        </a:effectLst>
      </xdr:spPr>
      <xdr:txBody>
        <a:bodyPr vertOverflow="overflow" horzOverflow="overflow" wrap="square" lIns="18000" tIns="36000" rIns="18000" bIns="3600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a-DK" sz="1400" b="1" i="0" u="none" strike="noStrike" kern="0" cap="none" spc="0" normalizeH="0" baseline="0" noProof="0">
              <a:ln>
                <a:noFill/>
              </a:ln>
              <a:solidFill>
                <a:sysClr val="window" lastClr="FFFFFF"/>
              </a:solidFill>
              <a:effectLst/>
              <a:uLnTx/>
              <a:uFillTx/>
              <a:latin typeface="Calibri" panose="020F0502020204030204"/>
              <a:ea typeface="+mn-ea"/>
              <a:cs typeface="+mn-cs"/>
            </a:rPr>
            <a:t>↑</a:t>
          </a:r>
          <a:endParaRPr kumimoji="0" lang="da-DK" sz="10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oneCellAnchor>
  <xdr:oneCellAnchor>
    <xdr:from>
      <xdr:col>0</xdr:col>
      <xdr:colOff>78441</xdr:colOff>
      <xdr:row>164</xdr:row>
      <xdr:rowOff>78441</xdr:rowOff>
    </xdr:from>
    <xdr:ext cx="246530" cy="224374"/>
    <xdr:sp macro="" textlink="">
      <xdr:nvSpPr>
        <xdr:cNvPr id="30" name="Rektangel 29">
          <a:hlinkClick xmlns:r="http://schemas.openxmlformats.org/officeDocument/2006/relationships" r:id="rId2"/>
          <a:extLst>
            <a:ext uri="{FF2B5EF4-FFF2-40B4-BE49-F238E27FC236}">
              <a16:creationId xmlns:a16="http://schemas.microsoft.com/office/drawing/2014/main" id="{00000000-0008-0000-0300-00001E000000}"/>
            </a:ext>
          </a:extLst>
        </xdr:cNvPr>
        <xdr:cNvSpPr/>
      </xdr:nvSpPr>
      <xdr:spPr>
        <a:xfrm>
          <a:off x="78441" y="34648588"/>
          <a:ext cx="246530" cy="224374"/>
        </a:xfrm>
        <a:prstGeom prst="rect">
          <a:avLst/>
        </a:prstGeom>
        <a:solidFill>
          <a:srgbClr val="3E8853"/>
        </a:solidFill>
        <a:ln w="25400" cap="flat" cmpd="sng" algn="ctr">
          <a:solidFill>
            <a:srgbClr val="3E8853"/>
          </a:solidFill>
          <a:prstDash val="solid"/>
        </a:ln>
        <a:effectLst>
          <a:outerShdw blurRad="50800" dist="38100" dir="2700000" algn="tl" rotWithShape="0">
            <a:prstClr val="black">
              <a:alpha val="40000"/>
            </a:prstClr>
          </a:outerShdw>
        </a:effectLst>
      </xdr:spPr>
      <xdr:txBody>
        <a:bodyPr vertOverflow="overflow" horzOverflow="overflow" wrap="square" lIns="18000" tIns="36000" rIns="18000" bIns="3600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a-DK" sz="1400" b="1" i="0" u="none" strike="noStrike" kern="0" cap="none" spc="0" normalizeH="0" baseline="0" noProof="0">
              <a:ln>
                <a:noFill/>
              </a:ln>
              <a:solidFill>
                <a:sysClr val="window" lastClr="FFFFFF"/>
              </a:solidFill>
              <a:effectLst/>
              <a:uLnTx/>
              <a:uFillTx/>
              <a:latin typeface="Calibri" panose="020F0502020204030204"/>
              <a:ea typeface="+mn-ea"/>
              <a:cs typeface="+mn-cs"/>
            </a:rPr>
            <a:t>↑</a:t>
          </a:r>
          <a:endParaRPr kumimoji="0" lang="da-DK" sz="10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oneCellAnchor>
  <xdr:oneCellAnchor>
    <xdr:from>
      <xdr:col>0</xdr:col>
      <xdr:colOff>100853</xdr:colOff>
      <xdr:row>185</xdr:row>
      <xdr:rowOff>67235</xdr:rowOff>
    </xdr:from>
    <xdr:ext cx="246530" cy="224374"/>
    <xdr:sp macro="" textlink="">
      <xdr:nvSpPr>
        <xdr:cNvPr id="31" name="Rektangel 30">
          <a:hlinkClick xmlns:r="http://schemas.openxmlformats.org/officeDocument/2006/relationships" r:id="rId2"/>
          <a:extLst>
            <a:ext uri="{FF2B5EF4-FFF2-40B4-BE49-F238E27FC236}">
              <a16:creationId xmlns:a16="http://schemas.microsoft.com/office/drawing/2014/main" id="{00000000-0008-0000-0300-00001F000000}"/>
            </a:ext>
          </a:extLst>
        </xdr:cNvPr>
        <xdr:cNvSpPr/>
      </xdr:nvSpPr>
      <xdr:spPr>
        <a:xfrm>
          <a:off x="100853" y="39186970"/>
          <a:ext cx="246530" cy="224374"/>
        </a:xfrm>
        <a:prstGeom prst="rect">
          <a:avLst/>
        </a:prstGeom>
        <a:solidFill>
          <a:srgbClr val="3E8853"/>
        </a:solidFill>
        <a:ln w="25400" cap="flat" cmpd="sng" algn="ctr">
          <a:solidFill>
            <a:srgbClr val="3E8853"/>
          </a:solidFill>
          <a:prstDash val="solid"/>
        </a:ln>
        <a:effectLst>
          <a:outerShdw blurRad="50800" dist="38100" dir="2700000" algn="tl" rotWithShape="0">
            <a:prstClr val="black">
              <a:alpha val="40000"/>
            </a:prstClr>
          </a:outerShdw>
        </a:effectLst>
      </xdr:spPr>
      <xdr:txBody>
        <a:bodyPr vertOverflow="overflow" horzOverflow="overflow" wrap="square" lIns="18000" tIns="36000" rIns="18000" bIns="3600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a-DK" sz="1400" b="1" i="0" u="none" strike="noStrike" kern="0" cap="none" spc="0" normalizeH="0" baseline="0" noProof="0">
              <a:ln>
                <a:noFill/>
              </a:ln>
              <a:solidFill>
                <a:sysClr val="window" lastClr="FFFFFF"/>
              </a:solidFill>
              <a:effectLst/>
              <a:uLnTx/>
              <a:uFillTx/>
              <a:latin typeface="Calibri" panose="020F0502020204030204"/>
              <a:ea typeface="+mn-ea"/>
              <a:cs typeface="+mn-cs"/>
            </a:rPr>
            <a:t>↑</a:t>
          </a:r>
          <a:endParaRPr kumimoji="0" lang="da-DK" sz="10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oneCellAnchor>
  <xdr:oneCellAnchor>
    <xdr:from>
      <xdr:col>0</xdr:col>
      <xdr:colOff>89647</xdr:colOff>
      <xdr:row>189</xdr:row>
      <xdr:rowOff>56030</xdr:rowOff>
    </xdr:from>
    <xdr:ext cx="246530" cy="224374"/>
    <xdr:sp macro="" textlink="">
      <xdr:nvSpPr>
        <xdr:cNvPr id="32" name="Rektangel 31">
          <a:hlinkClick xmlns:r="http://schemas.openxmlformats.org/officeDocument/2006/relationships" r:id="rId2"/>
          <a:extLst>
            <a:ext uri="{FF2B5EF4-FFF2-40B4-BE49-F238E27FC236}">
              <a16:creationId xmlns:a16="http://schemas.microsoft.com/office/drawing/2014/main" id="{00000000-0008-0000-0300-000020000000}"/>
            </a:ext>
          </a:extLst>
        </xdr:cNvPr>
        <xdr:cNvSpPr/>
      </xdr:nvSpPr>
      <xdr:spPr>
        <a:xfrm>
          <a:off x="89647" y="40094648"/>
          <a:ext cx="246530" cy="224374"/>
        </a:xfrm>
        <a:prstGeom prst="rect">
          <a:avLst/>
        </a:prstGeom>
        <a:solidFill>
          <a:srgbClr val="3E8853"/>
        </a:solidFill>
        <a:ln w="25400" cap="flat" cmpd="sng" algn="ctr">
          <a:solidFill>
            <a:srgbClr val="3E8853"/>
          </a:solidFill>
          <a:prstDash val="solid"/>
        </a:ln>
        <a:effectLst>
          <a:outerShdw blurRad="50800" dist="38100" dir="2700000" algn="tl" rotWithShape="0">
            <a:prstClr val="black">
              <a:alpha val="40000"/>
            </a:prstClr>
          </a:outerShdw>
        </a:effectLst>
      </xdr:spPr>
      <xdr:txBody>
        <a:bodyPr vertOverflow="overflow" horzOverflow="overflow" wrap="square" lIns="18000" tIns="36000" rIns="18000" bIns="3600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a-DK" sz="1400" b="1" i="0" u="none" strike="noStrike" kern="0" cap="none" spc="0" normalizeH="0" baseline="0" noProof="0">
              <a:ln>
                <a:noFill/>
              </a:ln>
              <a:solidFill>
                <a:sysClr val="window" lastClr="FFFFFF"/>
              </a:solidFill>
              <a:effectLst/>
              <a:uLnTx/>
              <a:uFillTx/>
              <a:latin typeface="Calibri" panose="020F0502020204030204"/>
              <a:ea typeface="+mn-ea"/>
              <a:cs typeface="+mn-cs"/>
            </a:rPr>
            <a:t>↑</a:t>
          </a:r>
          <a:endParaRPr kumimoji="0" lang="da-DK" sz="10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oneCellAnchor>
  <xdr:oneCellAnchor>
    <xdr:from>
      <xdr:col>0</xdr:col>
      <xdr:colOff>100853</xdr:colOff>
      <xdr:row>265</xdr:row>
      <xdr:rowOff>56030</xdr:rowOff>
    </xdr:from>
    <xdr:ext cx="246530" cy="224374"/>
    <xdr:sp macro="" textlink="">
      <xdr:nvSpPr>
        <xdr:cNvPr id="33" name="Rektangel 32">
          <a:hlinkClick xmlns:r="http://schemas.openxmlformats.org/officeDocument/2006/relationships" r:id="rId2"/>
          <a:extLst>
            <a:ext uri="{FF2B5EF4-FFF2-40B4-BE49-F238E27FC236}">
              <a16:creationId xmlns:a16="http://schemas.microsoft.com/office/drawing/2014/main" id="{00000000-0008-0000-0300-000021000000}"/>
            </a:ext>
          </a:extLst>
        </xdr:cNvPr>
        <xdr:cNvSpPr/>
      </xdr:nvSpPr>
      <xdr:spPr>
        <a:xfrm>
          <a:off x="100853" y="54830383"/>
          <a:ext cx="246530" cy="224374"/>
        </a:xfrm>
        <a:prstGeom prst="rect">
          <a:avLst/>
        </a:prstGeom>
        <a:solidFill>
          <a:srgbClr val="3E8853"/>
        </a:solidFill>
        <a:ln w="25400" cap="flat" cmpd="sng" algn="ctr">
          <a:solidFill>
            <a:srgbClr val="3E8853"/>
          </a:solidFill>
          <a:prstDash val="solid"/>
        </a:ln>
        <a:effectLst>
          <a:outerShdw blurRad="50800" dist="38100" dir="2700000" algn="tl" rotWithShape="0">
            <a:prstClr val="black">
              <a:alpha val="40000"/>
            </a:prstClr>
          </a:outerShdw>
        </a:effectLst>
      </xdr:spPr>
      <xdr:txBody>
        <a:bodyPr vertOverflow="overflow" horzOverflow="overflow" wrap="square" lIns="18000" tIns="36000" rIns="18000" bIns="3600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a-DK" sz="1400" b="1" i="0" u="none" strike="noStrike" kern="0" cap="none" spc="0" normalizeH="0" baseline="0" noProof="0">
              <a:ln>
                <a:noFill/>
              </a:ln>
              <a:solidFill>
                <a:sysClr val="window" lastClr="FFFFFF"/>
              </a:solidFill>
              <a:effectLst/>
              <a:uLnTx/>
              <a:uFillTx/>
              <a:latin typeface="Calibri" panose="020F0502020204030204"/>
              <a:ea typeface="+mn-ea"/>
              <a:cs typeface="+mn-cs"/>
            </a:rPr>
            <a:t>↑</a:t>
          </a:r>
          <a:endParaRPr kumimoji="0" lang="da-DK" sz="10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oneCellAnchor>
  <xdr:oneCellAnchor>
    <xdr:from>
      <xdr:col>0</xdr:col>
      <xdr:colOff>67235</xdr:colOff>
      <xdr:row>623</xdr:row>
      <xdr:rowOff>56030</xdr:rowOff>
    </xdr:from>
    <xdr:ext cx="246530" cy="224374"/>
    <xdr:sp macro="" textlink="">
      <xdr:nvSpPr>
        <xdr:cNvPr id="34" name="Rektangel 33">
          <a:hlinkClick xmlns:r="http://schemas.openxmlformats.org/officeDocument/2006/relationships" r:id="rId2"/>
          <a:extLst>
            <a:ext uri="{FF2B5EF4-FFF2-40B4-BE49-F238E27FC236}">
              <a16:creationId xmlns:a16="http://schemas.microsoft.com/office/drawing/2014/main" id="{00000000-0008-0000-0300-000022000000}"/>
            </a:ext>
          </a:extLst>
        </xdr:cNvPr>
        <xdr:cNvSpPr/>
      </xdr:nvSpPr>
      <xdr:spPr>
        <a:xfrm>
          <a:off x="67235" y="124654236"/>
          <a:ext cx="246530" cy="224374"/>
        </a:xfrm>
        <a:prstGeom prst="rect">
          <a:avLst/>
        </a:prstGeom>
        <a:solidFill>
          <a:srgbClr val="3E8853"/>
        </a:solidFill>
        <a:ln w="25400" cap="flat" cmpd="sng" algn="ctr">
          <a:solidFill>
            <a:srgbClr val="3E8853"/>
          </a:solidFill>
          <a:prstDash val="solid"/>
        </a:ln>
        <a:effectLst>
          <a:outerShdw blurRad="50800" dist="38100" dir="2700000" algn="tl" rotWithShape="0">
            <a:prstClr val="black">
              <a:alpha val="40000"/>
            </a:prstClr>
          </a:outerShdw>
        </a:effectLst>
      </xdr:spPr>
      <xdr:txBody>
        <a:bodyPr vertOverflow="overflow" horzOverflow="overflow" wrap="square" lIns="18000" tIns="36000" rIns="18000" bIns="3600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a-DK" sz="1400" b="1" i="0" u="none" strike="noStrike" kern="0" cap="none" spc="0" normalizeH="0" baseline="0" noProof="0">
              <a:ln>
                <a:noFill/>
              </a:ln>
              <a:solidFill>
                <a:sysClr val="window" lastClr="FFFFFF"/>
              </a:solidFill>
              <a:effectLst/>
              <a:uLnTx/>
              <a:uFillTx/>
              <a:latin typeface="Calibri" panose="020F0502020204030204"/>
              <a:ea typeface="+mn-ea"/>
              <a:cs typeface="+mn-cs"/>
            </a:rPr>
            <a:t>↑</a:t>
          </a:r>
          <a:endParaRPr kumimoji="0" lang="da-DK" sz="10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oneCellAnchor>
  <xdr:oneCellAnchor>
    <xdr:from>
      <xdr:col>0</xdr:col>
      <xdr:colOff>112059</xdr:colOff>
      <xdr:row>719</xdr:row>
      <xdr:rowOff>56030</xdr:rowOff>
    </xdr:from>
    <xdr:ext cx="246530" cy="224374"/>
    <xdr:sp macro="" textlink="">
      <xdr:nvSpPr>
        <xdr:cNvPr id="35" name="Rektangel 34">
          <a:hlinkClick xmlns:r="http://schemas.openxmlformats.org/officeDocument/2006/relationships" r:id="rId2"/>
          <a:extLst>
            <a:ext uri="{FF2B5EF4-FFF2-40B4-BE49-F238E27FC236}">
              <a16:creationId xmlns:a16="http://schemas.microsoft.com/office/drawing/2014/main" id="{00000000-0008-0000-0300-000023000000}"/>
            </a:ext>
          </a:extLst>
        </xdr:cNvPr>
        <xdr:cNvSpPr/>
      </xdr:nvSpPr>
      <xdr:spPr>
        <a:xfrm>
          <a:off x="112059" y="144286942"/>
          <a:ext cx="246530" cy="224374"/>
        </a:xfrm>
        <a:prstGeom prst="rect">
          <a:avLst/>
        </a:prstGeom>
        <a:solidFill>
          <a:srgbClr val="3E8853"/>
        </a:solidFill>
        <a:ln w="25400" cap="flat" cmpd="sng" algn="ctr">
          <a:solidFill>
            <a:srgbClr val="3E8853"/>
          </a:solidFill>
          <a:prstDash val="solid"/>
        </a:ln>
        <a:effectLst>
          <a:outerShdw blurRad="50800" dist="38100" dir="2700000" algn="tl" rotWithShape="0">
            <a:prstClr val="black">
              <a:alpha val="40000"/>
            </a:prstClr>
          </a:outerShdw>
        </a:effectLst>
      </xdr:spPr>
      <xdr:txBody>
        <a:bodyPr vertOverflow="overflow" horzOverflow="overflow" wrap="square" lIns="18000" tIns="36000" rIns="18000" bIns="3600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a-DK" sz="1400" b="1" i="0" u="none" strike="noStrike" kern="0" cap="none" spc="0" normalizeH="0" baseline="0" noProof="0">
              <a:ln>
                <a:noFill/>
              </a:ln>
              <a:solidFill>
                <a:sysClr val="window" lastClr="FFFFFF"/>
              </a:solidFill>
              <a:effectLst/>
              <a:uLnTx/>
              <a:uFillTx/>
              <a:latin typeface="Calibri" panose="020F0502020204030204"/>
              <a:ea typeface="+mn-ea"/>
              <a:cs typeface="+mn-cs"/>
            </a:rPr>
            <a:t>↑</a:t>
          </a:r>
          <a:endParaRPr kumimoji="0" lang="da-DK" sz="10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oneCellAnchor>
  <xdr:oneCellAnchor>
    <xdr:from>
      <xdr:col>0</xdr:col>
      <xdr:colOff>56030</xdr:colOff>
      <xdr:row>738</xdr:row>
      <xdr:rowOff>56029</xdr:rowOff>
    </xdr:from>
    <xdr:ext cx="246530" cy="224374"/>
    <xdr:sp macro="" textlink="">
      <xdr:nvSpPr>
        <xdr:cNvPr id="36" name="Rektangel 35">
          <a:hlinkClick xmlns:r="http://schemas.openxmlformats.org/officeDocument/2006/relationships" r:id="rId2"/>
          <a:extLst>
            <a:ext uri="{FF2B5EF4-FFF2-40B4-BE49-F238E27FC236}">
              <a16:creationId xmlns:a16="http://schemas.microsoft.com/office/drawing/2014/main" id="{00000000-0008-0000-0300-000024000000}"/>
            </a:ext>
          </a:extLst>
        </xdr:cNvPr>
        <xdr:cNvSpPr/>
      </xdr:nvSpPr>
      <xdr:spPr>
        <a:xfrm>
          <a:off x="56030" y="148141764"/>
          <a:ext cx="246530" cy="224374"/>
        </a:xfrm>
        <a:prstGeom prst="rect">
          <a:avLst/>
        </a:prstGeom>
        <a:solidFill>
          <a:srgbClr val="3E8853"/>
        </a:solidFill>
        <a:ln w="25400" cap="flat" cmpd="sng" algn="ctr">
          <a:solidFill>
            <a:srgbClr val="3E8853"/>
          </a:solidFill>
          <a:prstDash val="solid"/>
        </a:ln>
        <a:effectLst>
          <a:outerShdw blurRad="50800" dist="38100" dir="2700000" algn="tl" rotWithShape="0">
            <a:prstClr val="black">
              <a:alpha val="40000"/>
            </a:prstClr>
          </a:outerShdw>
        </a:effectLst>
      </xdr:spPr>
      <xdr:txBody>
        <a:bodyPr vertOverflow="overflow" horzOverflow="overflow" wrap="square" lIns="18000" tIns="36000" rIns="18000" bIns="3600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a-DK" sz="1400" b="1" i="0" u="none" strike="noStrike" kern="0" cap="none" spc="0" normalizeH="0" baseline="0" noProof="0">
              <a:ln>
                <a:noFill/>
              </a:ln>
              <a:solidFill>
                <a:sysClr val="window" lastClr="FFFFFF"/>
              </a:solidFill>
              <a:effectLst/>
              <a:uLnTx/>
              <a:uFillTx/>
              <a:latin typeface="Calibri" panose="020F0502020204030204"/>
              <a:ea typeface="+mn-ea"/>
              <a:cs typeface="+mn-cs"/>
            </a:rPr>
            <a:t>↑</a:t>
          </a:r>
          <a:endParaRPr kumimoji="0" lang="da-DK" sz="10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oneCellAnchor>
  <xdr:oneCellAnchor>
    <xdr:from>
      <xdr:col>0</xdr:col>
      <xdr:colOff>78442</xdr:colOff>
      <xdr:row>753</xdr:row>
      <xdr:rowOff>56030</xdr:rowOff>
    </xdr:from>
    <xdr:ext cx="246530" cy="224374"/>
    <xdr:sp macro="" textlink="">
      <xdr:nvSpPr>
        <xdr:cNvPr id="37" name="Rektangel 36">
          <a:hlinkClick xmlns:r="http://schemas.openxmlformats.org/officeDocument/2006/relationships" r:id="rId2"/>
          <a:extLst>
            <a:ext uri="{FF2B5EF4-FFF2-40B4-BE49-F238E27FC236}">
              <a16:creationId xmlns:a16="http://schemas.microsoft.com/office/drawing/2014/main" id="{00000000-0008-0000-0300-000025000000}"/>
            </a:ext>
          </a:extLst>
        </xdr:cNvPr>
        <xdr:cNvSpPr/>
      </xdr:nvSpPr>
      <xdr:spPr>
        <a:xfrm>
          <a:off x="78442" y="151234589"/>
          <a:ext cx="246530" cy="224374"/>
        </a:xfrm>
        <a:prstGeom prst="rect">
          <a:avLst/>
        </a:prstGeom>
        <a:solidFill>
          <a:srgbClr val="3E8853"/>
        </a:solidFill>
        <a:ln w="25400" cap="flat" cmpd="sng" algn="ctr">
          <a:solidFill>
            <a:srgbClr val="3E8853"/>
          </a:solidFill>
          <a:prstDash val="solid"/>
        </a:ln>
        <a:effectLst>
          <a:outerShdw blurRad="50800" dist="38100" dir="2700000" algn="tl" rotWithShape="0">
            <a:prstClr val="black">
              <a:alpha val="40000"/>
            </a:prstClr>
          </a:outerShdw>
        </a:effectLst>
      </xdr:spPr>
      <xdr:txBody>
        <a:bodyPr vertOverflow="overflow" horzOverflow="overflow" wrap="square" lIns="18000" tIns="36000" rIns="18000" bIns="3600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a-DK" sz="1400" b="1" i="0" u="none" strike="noStrike" kern="0" cap="none" spc="0" normalizeH="0" baseline="0" noProof="0">
              <a:ln>
                <a:noFill/>
              </a:ln>
              <a:solidFill>
                <a:sysClr val="window" lastClr="FFFFFF"/>
              </a:solidFill>
              <a:effectLst/>
              <a:uLnTx/>
              <a:uFillTx/>
              <a:latin typeface="Calibri" panose="020F0502020204030204"/>
              <a:ea typeface="+mn-ea"/>
              <a:cs typeface="+mn-cs"/>
            </a:rPr>
            <a:t>↑</a:t>
          </a:r>
          <a:endParaRPr kumimoji="0" lang="da-DK" sz="10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oneCellAnchor>
  <xdr:oneCellAnchor>
    <xdr:from>
      <xdr:col>0</xdr:col>
      <xdr:colOff>67236</xdr:colOff>
      <xdr:row>1046</xdr:row>
      <xdr:rowOff>89648</xdr:rowOff>
    </xdr:from>
    <xdr:ext cx="246530" cy="224374"/>
    <xdr:sp macro="" textlink="">
      <xdr:nvSpPr>
        <xdr:cNvPr id="38" name="Rektangel 37">
          <a:hlinkClick xmlns:r="http://schemas.openxmlformats.org/officeDocument/2006/relationships" r:id="rId2"/>
          <a:extLst>
            <a:ext uri="{FF2B5EF4-FFF2-40B4-BE49-F238E27FC236}">
              <a16:creationId xmlns:a16="http://schemas.microsoft.com/office/drawing/2014/main" id="{00000000-0008-0000-0300-000026000000}"/>
            </a:ext>
          </a:extLst>
        </xdr:cNvPr>
        <xdr:cNvSpPr/>
      </xdr:nvSpPr>
      <xdr:spPr>
        <a:xfrm>
          <a:off x="67236" y="207465707"/>
          <a:ext cx="246530" cy="224374"/>
        </a:xfrm>
        <a:prstGeom prst="rect">
          <a:avLst/>
        </a:prstGeom>
        <a:solidFill>
          <a:srgbClr val="3E8853"/>
        </a:solidFill>
        <a:ln w="25400" cap="flat" cmpd="sng" algn="ctr">
          <a:solidFill>
            <a:srgbClr val="3E8853"/>
          </a:solidFill>
          <a:prstDash val="solid"/>
        </a:ln>
        <a:effectLst>
          <a:outerShdw blurRad="50800" dist="38100" dir="2700000" algn="tl" rotWithShape="0">
            <a:prstClr val="black">
              <a:alpha val="40000"/>
            </a:prstClr>
          </a:outerShdw>
        </a:effectLst>
      </xdr:spPr>
      <xdr:txBody>
        <a:bodyPr vertOverflow="overflow" horzOverflow="overflow" wrap="square" lIns="18000" tIns="36000" rIns="18000" bIns="3600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a-DK" sz="1400" b="1" i="0" u="none" strike="noStrike" kern="0" cap="none" spc="0" normalizeH="0" baseline="0" noProof="0">
              <a:ln>
                <a:noFill/>
              </a:ln>
              <a:solidFill>
                <a:sysClr val="window" lastClr="FFFFFF"/>
              </a:solidFill>
              <a:effectLst/>
              <a:uLnTx/>
              <a:uFillTx/>
              <a:latin typeface="Calibri" panose="020F0502020204030204"/>
              <a:ea typeface="+mn-ea"/>
              <a:cs typeface="+mn-cs"/>
            </a:rPr>
            <a:t>↑</a:t>
          </a:r>
          <a:endParaRPr kumimoji="0" lang="da-DK" sz="10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0</xdr:col>
      <xdr:colOff>228600</xdr:colOff>
      <xdr:row>0</xdr:row>
      <xdr:rowOff>111125</xdr:rowOff>
    </xdr:from>
    <xdr:to>
      <xdr:col>0</xdr:col>
      <xdr:colOff>1898124</xdr:colOff>
      <xdr:row>0</xdr:row>
      <xdr:rowOff>533793</xdr:rowOff>
    </xdr:to>
    <xdr:pic>
      <xdr:nvPicPr>
        <xdr:cNvPr id="2" name="Billede 0" descr="logo.wmf">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28600" y="111125"/>
          <a:ext cx="383649" cy="79768"/>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158750</xdr:colOff>
      <xdr:row>0</xdr:row>
      <xdr:rowOff>190500</xdr:rowOff>
    </xdr:from>
    <xdr:to>
      <xdr:col>0</xdr:col>
      <xdr:colOff>1825099</xdr:colOff>
      <xdr:row>0</xdr:row>
      <xdr:rowOff>606818</xdr:rowOff>
    </xdr:to>
    <xdr:pic>
      <xdr:nvPicPr>
        <xdr:cNvPr id="2" name="Billede 0" descr="logo.wmf">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8750" y="190500"/>
          <a:ext cx="1666349" cy="416318"/>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158750</xdr:colOff>
      <xdr:row>0</xdr:row>
      <xdr:rowOff>190500</xdr:rowOff>
    </xdr:from>
    <xdr:to>
      <xdr:col>0</xdr:col>
      <xdr:colOff>1825099</xdr:colOff>
      <xdr:row>0</xdr:row>
      <xdr:rowOff>606818</xdr:rowOff>
    </xdr:to>
    <xdr:pic>
      <xdr:nvPicPr>
        <xdr:cNvPr id="2" name="Billede 0" descr="logo.wmf">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8750" y="190500"/>
          <a:ext cx="418574" cy="0"/>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169333</xdr:colOff>
      <xdr:row>0</xdr:row>
      <xdr:rowOff>84667</xdr:rowOff>
    </xdr:from>
    <xdr:to>
      <xdr:col>1</xdr:col>
      <xdr:colOff>886357</xdr:colOff>
      <xdr:row>0</xdr:row>
      <xdr:rowOff>494635</xdr:rowOff>
    </xdr:to>
    <xdr:pic>
      <xdr:nvPicPr>
        <xdr:cNvPr id="2" name="Billede 0" descr="logo.wmf">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333" y="84667"/>
          <a:ext cx="1621899" cy="409968"/>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169333</xdr:colOff>
      <xdr:row>0</xdr:row>
      <xdr:rowOff>84667</xdr:rowOff>
    </xdr:from>
    <xdr:to>
      <xdr:col>1</xdr:col>
      <xdr:colOff>886357</xdr:colOff>
      <xdr:row>0</xdr:row>
      <xdr:rowOff>494635</xdr:rowOff>
    </xdr:to>
    <xdr:pic>
      <xdr:nvPicPr>
        <xdr:cNvPr id="2" name="Billede 0" descr="logo.wmf">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333" y="84667"/>
          <a:ext cx="1047224" cy="98818"/>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133350</xdr:colOff>
      <xdr:row>0</xdr:row>
      <xdr:rowOff>114300</xdr:rowOff>
    </xdr:from>
    <xdr:to>
      <xdr:col>1</xdr:col>
      <xdr:colOff>694799</xdr:colOff>
      <xdr:row>0</xdr:row>
      <xdr:rowOff>521093</xdr:rowOff>
    </xdr:to>
    <xdr:pic>
      <xdr:nvPicPr>
        <xdr:cNvPr id="2" name="Billede 0" descr="logo.wmf">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3350" y="114300"/>
          <a:ext cx="1590149" cy="406793"/>
        </a:xfrm>
        <a:prstGeom prst="rect">
          <a:avLst/>
        </a:prstGeom>
        <a:noFill/>
        <a:ln w="9525">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133350</xdr:colOff>
      <xdr:row>0</xdr:row>
      <xdr:rowOff>114300</xdr:rowOff>
    </xdr:from>
    <xdr:to>
      <xdr:col>1</xdr:col>
      <xdr:colOff>694799</xdr:colOff>
      <xdr:row>0</xdr:row>
      <xdr:rowOff>521093</xdr:rowOff>
    </xdr:to>
    <xdr:pic>
      <xdr:nvPicPr>
        <xdr:cNvPr id="2" name="Billede 0" descr="logo.wmf">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3350" y="114300"/>
          <a:ext cx="1028174" cy="73418"/>
        </a:xfrm>
        <a:prstGeom prst="rect">
          <a:avLst/>
        </a:prstGeom>
        <a:noFill/>
        <a:ln w="9525">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482600</xdr:colOff>
      <xdr:row>0</xdr:row>
      <xdr:rowOff>231320</xdr:rowOff>
    </xdr:from>
    <xdr:to>
      <xdr:col>0</xdr:col>
      <xdr:colOff>2142599</xdr:colOff>
      <xdr:row>0</xdr:row>
      <xdr:rowOff>638113</xdr:rowOff>
    </xdr:to>
    <xdr:pic>
      <xdr:nvPicPr>
        <xdr:cNvPr id="2" name="Billede 0" descr="logo.wmf">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2600" y="231320"/>
          <a:ext cx="1659999" cy="406793"/>
        </a:xfrm>
        <a:prstGeom prst="rect">
          <a:avLst/>
        </a:prstGeom>
        <a:noFill/>
        <a:ln w="9525">
          <a:noFill/>
          <a:miter lim="800000"/>
          <a:headEnd/>
          <a:tailEnd/>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482600</xdr:colOff>
      <xdr:row>0</xdr:row>
      <xdr:rowOff>231320</xdr:rowOff>
    </xdr:from>
    <xdr:to>
      <xdr:col>0</xdr:col>
      <xdr:colOff>2142599</xdr:colOff>
      <xdr:row>0</xdr:row>
      <xdr:rowOff>638113</xdr:rowOff>
    </xdr:to>
    <xdr:pic>
      <xdr:nvPicPr>
        <xdr:cNvPr id="2" name="Billede 0" descr="logo.wmf">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2600" y="193220"/>
          <a:ext cx="97899" cy="0"/>
        </a:xfrm>
        <a:prstGeom prst="rect">
          <a:avLst/>
        </a:prstGeom>
        <a:noFill/>
        <a:ln w="9525">
          <a:noFill/>
          <a:miter lim="800000"/>
          <a:headEnd/>
          <a:tailEnd/>
        </a:ln>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482600</xdr:colOff>
      <xdr:row>0</xdr:row>
      <xdr:rowOff>231320</xdr:rowOff>
    </xdr:from>
    <xdr:to>
      <xdr:col>0</xdr:col>
      <xdr:colOff>2142599</xdr:colOff>
      <xdr:row>0</xdr:row>
      <xdr:rowOff>638113</xdr:rowOff>
    </xdr:to>
    <xdr:pic>
      <xdr:nvPicPr>
        <xdr:cNvPr id="2" name="Billede 0" descr="logo.wmf">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2600" y="231320"/>
          <a:ext cx="1659999" cy="4067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415637</xdr:colOff>
      <xdr:row>19</xdr:row>
      <xdr:rowOff>44376</xdr:rowOff>
    </xdr:from>
    <xdr:to>
      <xdr:col>19</xdr:col>
      <xdr:colOff>172612</xdr:colOff>
      <xdr:row>56</xdr:row>
      <xdr:rowOff>9359</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22267</xdr:colOff>
      <xdr:row>57</xdr:row>
      <xdr:rowOff>43271</xdr:rowOff>
    </xdr:from>
    <xdr:to>
      <xdr:col>8</xdr:col>
      <xdr:colOff>299392</xdr:colOff>
      <xdr:row>94</xdr:row>
      <xdr:rowOff>10046</xdr:rowOff>
    </xdr:to>
    <xdr:graphicFrame macro="">
      <xdr:nvGraphicFramePr>
        <xdr:cNvPr id="3" name="Diagram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242452</xdr:colOff>
      <xdr:row>99</xdr:row>
      <xdr:rowOff>29934</xdr:rowOff>
    </xdr:from>
    <xdr:to>
      <xdr:col>12</xdr:col>
      <xdr:colOff>170002</xdr:colOff>
      <xdr:row>122</xdr:row>
      <xdr:rowOff>47420</xdr:rowOff>
    </xdr:to>
    <xdr:graphicFrame macro="">
      <xdr:nvGraphicFramePr>
        <xdr:cNvPr id="8" name="Diagram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242454</xdr:colOff>
      <xdr:row>123</xdr:row>
      <xdr:rowOff>154439</xdr:rowOff>
    </xdr:from>
    <xdr:to>
      <xdr:col>12</xdr:col>
      <xdr:colOff>170004</xdr:colOff>
      <xdr:row>147</xdr:row>
      <xdr:rowOff>8639</xdr:rowOff>
    </xdr:to>
    <xdr:graphicFrame macro="">
      <xdr:nvGraphicFramePr>
        <xdr:cNvPr id="9" name="Diagram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242453</xdr:colOff>
      <xdr:row>148</xdr:row>
      <xdr:rowOff>148935</xdr:rowOff>
    </xdr:from>
    <xdr:to>
      <xdr:col>12</xdr:col>
      <xdr:colOff>170003</xdr:colOff>
      <xdr:row>172</xdr:row>
      <xdr:rowOff>3135</xdr:rowOff>
    </xdr:to>
    <xdr:graphicFrame macro="">
      <xdr:nvGraphicFramePr>
        <xdr:cNvPr id="10" name="Diagram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248515</xdr:colOff>
      <xdr:row>173</xdr:row>
      <xdr:rowOff>151534</xdr:rowOff>
    </xdr:from>
    <xdr:to>
      <xdr:col>12</xdr:col>
      <xdr:colOff>176065</xdr:colOff>
      <xdr:row>197</xdr:row>
      <xdr:rowOff>5734</xdr:rowOff>
    </xdr:to>
    <xdr:graphicFrame macro="">
      <xdr:nvGraphicFramePr>
        <xdr:cNvPr id="11" name="Diagram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19</xdr:row>
      <xdr:rowOff>51955</xdr:rowOff>
    </xdr:from>
    <xdr:to>
      <xdr:col>8</xdr:col>
      <xdr:colOff>276520</xdr:colOff>
      <xdr:row>56</xdr:row>
      <xdr:rowOff>16938</xdr:rowOff>
    </xdr:to>
    <xdr:graphicFrame macro="">
      <xdr:nvGraphicFramePr>
        <xdr:cNvPr id="12" name="Diagram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437902</xdr:colOff>
      <xdr:row>57</xdr:row>
      <xdr:rowOff>47559</xdr:rowOff>
    </xdr:from>
    <xdr:to>
      <xdr:col>19</xdr:col>
      <xdr:colOff>195235</xdr:colOff>
      <xdr:row>94</xdr:row>
      <xdr:rowOff>14334</xdr:rowOff>
    </xdr:to>
    <xdr:graphicFrame macro="">
      <xdr:nvGraphicFramePr>
        <xdr:cNvPr id="13" name="Diagram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344277</xdr:colOff>
      <xdr:row>0</xdr:row>
      <xdr:rowOff>160664</xdr:rowOff>
    </xdr:from>
    <xdr:to>
      <xdr:col>0</xdr:col>
      <xdr:colOff>2016976</xdr:colOff>
      <xdr:row>0</xdr:row>
      <xdr:rowOff>573807</xdr:rowOff>
    </xdr:to>
    <xdr:pic>
      <xdr:nvPicPr>
        <xdr:cNvPr id="14" name="Billede 0" descr="logo.wmf">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44277" y="160664"/>
          <a:ext cx="1672699" cy="413143"/>
        </a:xfrm>
        <a:prstGeom prst="rect">
          <a:avLst/>
        </a:prstGeom>
        <a:noFill/>
        <a:ln w="9525">
          <a:noFill/>
          <a:miter lim="800000"/>
          <a:headEnd/>
          <a:tailEnd/>
        </a:ln>
      </xdr:spPr>
    </xdr:pic>
    <xdr:clientData/>
  </xdr:twoCellAnchor>
  <xdr:twoCellAnchor>
    <xdr:from>
      <xdr:col>0</xdr:col>
      <xdr:colOff>344277</xdr:colOff>
      <xdr:row>0</xdr:row>
      <xdr:rowOff>160664</xdr:rowOff>
    </xdr:from>
    <xdr:to>
      <xdr:col>0</xdr:col>
      <xdr:colOff>2016976</xdr:colOff>
      <xdr:row>0</xdr:row>
      <xdr:rowOff>573807</xdr:rowOff>
    </xdr:to>
    <xdr:pic>
      <xdr:nvPicPr>
        <xdr:cNvPr id="43" name="Billede 0" descr="logo.wmf">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688554" y="163839"/>
          <a:ext cx="3345398" cy="409968"/>
        </a:xfrm>
        <a:prstGeom prst="rect">
          <a:avLst/>
        </a:prstGeom>
        <a:noFill/>
        <a:ln w="9525">
          <a:noFill/>
          <a:miter lim="800000"/>
          <a:headEnd/>
          <a:tailEnd/>
        </a:ln>
      </xdr:spPr>
    </xdr:pic>
    <xdr:clientData/>
  </xdr:twoCellAnchor>
  <xdr:twoCellAnchor>
    <xdr:from>
      <xdr:col>0</xdr:col>
      <xdr:colOff>683559</xdr:colOff>
      <xdr:row>213</xdr:row>
      <xdr:rowOff>0</xdr:rowOff>
    </xdr:from>
    <xdr:to>
      <xdr:col>5</xdr:col>
      <xdr:colOff>665076</xdr:colOff>
      <xdr:row>238</xdr:row>
      <xdr:rowOff>28309</xdr:rowOff>
    </xdr:to>
    <xdr:graphicFrame macro="">
      <xdr:nvGraphicFramePr>
        <xdr:cNvPr id="21" name="Diagram 15">
          <a:extLst>
            <a:ext uri="{FF2B5EF4-FFF2-40B4-BE49-F238E27FC236}">
              <a16:creationId xmlns:a16="http://schemas.microsoft.com/office/drawing/2014/main" id="{00000000-0008-0000-0400-000015000000}"/>
            </a:ext>
            <a:ext uri="{147F2762-F138-4A5C-976F-8EAC2B608ADB}">
              <a16:predDERef xmlns:a16="http://schemas.microsoft.com/office/drawing/2014/main" pred="{E5622343-AEB3-487C-9A56-0A4D659A99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482600</xdr:colOff>
      <xdr:row>0</xdr:row>
      <xdr:rowOff>231320</xdr:rowOff>
    </xdr:from>
    <xdr:to>
      <xdr:col>0</xdr:col>
      <xdr:colOff>2142599</xdr:colOff>
      <xdr:row>0</xdr:row>
      <xdr:rowOff>638113</xdr:rowOff>
    </xdr:to>
    <xdr:pic>
      <xdr:nvPicPr>
        <xdr:cNvPr id="2" name="Billede 0" descr="logo.wmf">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2600" y="193220"/>
          <a:ext cx="97899" cy="0"/>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63183</xdr:colOff>
      <xdr:row>0</xdr:row>
      <xdr:rowOff>104776</xdr:rowOff>
    </xdr:from>
    <xdr:to>
      <xdr:col>0</xdr:col>
      <xdr:colOff>1735882</xdr:colOff>
      <xdr:row>0</xdr:row>
      <xdr:rowOff>503634</xdr:rowOff>
    </xdr:to>
    <xdr:pic>
      <xdr:nvPicPr>
        <xdr:cNvPr id="2" name="Billede 0" descr="logo.wmf">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3183" y="104776"/>
          <a:ext cx="1672699" cy="398858"/>
        </a:xfrm>
        <a:prstGeom prst="rect">
          <a:avLst/>
        </a:prstGeom>
        <a:noFill/>
        <a:ln w="9525">
          <a:noFill/>
          <a:miter lim="800000"/>
          <a:headEnd/>
          <a:tailEnd/>
        </a:ln>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63183</xdr:colOff>
      <xdr:row>0</xdr:row>
      <xdr:rowOff>104776</xdr:rowOff>
    </xdr:from>
    <xdr:to>
      <xdr:col>0</xdr:col>
      <xdr:colOff>1735882</xdr:colOff>
      <xdr:row>0</xdr:row>
      <xdr:rowOff>503634</xdr:rowOff>
    </xdr:to>
    <xdr:pic>
      <xdr:nvPicPr>
        <xdr:cNvPr id="2" name="Billede 0" descr="logo.wmf">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3183" y="104776"/>
          <a:ext cx="520174" cy="84533"/>
        </a:xfrm>
        <a:prstGeom prst="rect">
          <a:avLst/>
        </a:prstGeom>
        <a:noFill/>
        <a:ln w="9525">
          <a:noFill/>
          <a:miter lim="800000"/>
          <a:headEnd/>
          <a:tailEnd/>
        </a:ln>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131296</xdr:colOff>
      <xdr:row>0</xdr:row>
      <xdr:rowOff>137646</xdr:rowOff>
    </xdr:from>
    <xdr:to>
      <xdr:col>0</xdr:col>
      <xdr:colOff>1781735</xdr:colOff>
      <xdr:row>0</xdr:row>
      <xdr:rowOff>538089</xdr:rowOff>
    </xdr:to>
    <xdr:pic>
      <xdr:nvPicPr>
        <xdr:cNvPr id="2" name="Billede 0" descr="logo.wmf">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1296" y="137646"/>
          <a:ext cx="1650439" cy="400443"/>
        </a:xfrm>
        <a:prstGeom prst="rect">
          <a:avLst/>
        </a:prstGeom>
        <a:noFill/>
        <a:ln w="9525">
          <a:noFill/>
          <a:miter lim="800000"/>
          <a:headEnd/>
          <a:tailEnd/>
        </a:ln>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131296</xdr:colOff>
      <xdr:row>0</xdr:row>
      <xdr:rowOff>137646</xdr:rowOff>
    </xdr:from>
    <xdr:to>
      <xdr:col>0</xdr:col>
      <xdr:colOff>1781735</xdr:colOff>
      <xdr:row>0</xdr:row>
      <xdr:rowOff>538089</xdr:rowOff>
    </xdr:to>
    <xdr:pic>
      <xdr:nvPicPr>
        <xdr:cNvPr id="2" name="Billede 0" descr="logo.wmf">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1296" y="137646"/>
          <a:ext cx="478864" cy="57543"/>
        </a:xfrm>
        <a:prstGeom prst="rect">
          <a:avLst/>
        </a:prstGeom>
        <a:noFill/>
        <a:ln w="9525">
          <a:noFill/>
          <a:miter lim="800000"/>
          <a:headEnd/>
          <a:tailEnd/>
        </a:ln>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412750</xdr:colOff>
      <xdr:row>0</xdr:row>
      <xdr:rowOff>95250</xdr:rowOff>
    </xdr:from>
    <xdr:to>
      <xdr:col>0</xdr:col>
      <xdr:colOff>2082274</xdr:colOff>
      <xdr:row>0</xdr:row>
      <xdr:rowOff>505218</xdr:rowOff>
    </xdr:to>
    <xdr:pic>
      <xdr:nvPicPr>
        <xdr:cNvPr id="2" name="Billede 0" descr="logo.wmf">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2750" y="95250"/>
          <a:ext cx="1669524" cy="409968"/>
        </a:xfrm>
        <a:prstGeom prst="rect">
          <a:avLst/>
        </a:prstGeom>
        <a:noFill/>
        <a:ln w="9525">
          <a:noFill/>
          <a:miter lim="800000"/>
          <a:headEnd/>
          <a:tailEnd/>
        </a:ln>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412750</xdr:colOff>
      <xdr:row>0</xdr:row>
      <xdr:rowOff>95250</xdr:rowOff>
    </xdr:from>
    <xdr:to>
      <xdr:col>0</xdr:col>
      <xdr:colOff>2082274</xdr:colOff>
      <xdr:row>0</xdr:row>
      <xdr:rowOff>505218</xdr:rowOff>
    </xdr:to>
    <xdr:pic>
      <xdr:nvPicPr>
        <xdr:cNvPr id="2" name="Billede 0" descr="logo.wmf">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5925" y="95250"/>
          <a:ext cx="189974" cy="95643"/>
        </a:xfrm>
        <a:prstGeom prst="rect">
          <a:avLst/>
        </a:prstGeom>
        <a:noFill/>
        <a:ln w="9525">
          <a:noFill/>
          <a:miter lim="800000"/>
          <a:headEnd/>
          <a:tailEnd/>
        </a:ln>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107203</xdr:colOff>
      <xdr:row>0</xdr:row>
      <xdr:rowOff>135965</xdr:rowOff>
    </xdr:from>
    <xdr:to>
      <xdr:col>1</xdr:col>
      <xdr:colOff>829235</xdr:colOff>
      <xdr:row>0</xdr:row>
      <xdr:rowOff>533233</xdr:rowOff>
    </xdr:to>
    <xdr:pic>
      <xdr:nvPicPr>
        <xdr:cNvPr id="2" name="Billede 0" descr="logo.wmf">
          <a:extLst>
            <a:ext uri="{FF2B5EF4-FFF2-40B4-BE49-F238E27FC236}">
              <a16:creationId xmlns:a16="http://schemas.microsoft.com/office/drawing/2014/main" id="{00000000-0008-0000-3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203" y="135965"/>
          <a:ext cx="1617382" cy="397268"/>
        </a:xfrm>
        <a:prstGeom prst="rect">
          <a:avLst/>
        </a:prstGeom>
        <a:noFill/>
        <a:ln w="9525">
          <a:noFill/>
          <a:miter lim="800000"/>
          <a:headEnd/>
          <a:tailEnd/>
        </a:ln>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107203</xdr:colOff>
      <xdr:row>0</xdr:row>
      <xdr:rowOff>135965</xdr:rowOff>
    </xdr:from>
    <xdr:to>
      <xdr:col>1</xdr:col>
      <xdr:colOff>829235</xdr:colOff>
      <xdr:row>0</xdr:row>
      <xdr:rowOff>533233</xdr:rowOff>
    </xdr:to>
    <xdr:pic>
      <xdr:nvPicPr>
        <xdr:cNvPr id="2" name="Billede 0" descr="logo.wmf">
          <a:extLst>
            <a:ext uri="{FF2B5EF4-FFF2-40B4-BE49-F238E27FC236}">
              <a16:creationId xmlns:a16="http://schemas.microsoft.com/office/drawing/2014/main" id="{00000000-0008-0000-3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203" y="135965"/>
          <a:ext cx="1055407" cy="54368"/>
        </a:xfrm>
        <a:prstGeom prst="rect">
          <a:avLst/>
        </a:prstGeom>
        <a:noFill/>
        <a:ln w="9525">
          <a:noFill/>
          <a:miter lim="800000"/>
          <a:headEnd/>
          <a:tailEnd/>
        </a:ln>
      </xdr:spPr>
    </xdr:pic>
    <xdr:clientData/>
  </xdr:twoCellAnchor>
  <xdr:twoCellAnchor>
    <xdr:from>
      <xdr:col>0</xdr:col>
      <xdr:colOff>107203</xdr:colOff>
      <xdr:row>0</xdr:row>
      <xdr:rowOff>135965</xdr:rowOff>
    </xdr:from>
    <xdr:to>
      <xdr:col>1</xdr:col>
      <xdr:colOff>829235</xdr:colOff>
      <xdr:row>0</xdr:row>
      <xdr:rowOff>533233</xdr:rowOff>
    </xdr:to>
    <xdr:pic>
      <xdr:nvPicPr>
        <xdr:cNvPr id="3" name="Billede 0" descr="logo.wmf">
          <a:extLst>
            <a:ext uri="{FF2B5EF4-FFF2-40B4-BE49-F238E27FC236}">
              <a16:creationId xmlns:a16="http://schemas.microsoft.com/office/drawing/2014/main" id="{00000000-0008-0000-3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203" y="135965"/>
          <a:ext cx="1617382" cy="397268"/>
        </a:xfrm>
        <a:prstGeom prst="rect">
          <a:avLst/>
        </a:prstGeom>
        <a:noFill/>
        <a:ln w="9525">
          <a:noFill/>
          <a:miter lim="800000"/>
          <a:headEnd/>
          <a:tailEnd/>
        </a:ln>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200025</xdr:colOff>
      <xdr:row>0</xdr:row>
      <xdr:rowOff>231320</xdr:rowOff>
    </xdr:from>
    <xdr:to>
      <xdr:col>0</xdr:col>
      <xdr:colOff>1726674</xdr:colOff>
      <xdr:row>0</xdr:row>
      <xdr:rowOff>641288</xdr:rowOff>
    </xdr:to>
    <xdr:pic>
      <xdr:nvPicPr>
        <xdr:cNvPr id="2" name="Billede 0" descr="logo.wmf">
          <a:extLst>
            <a:ext uri="{FF2B5EF4-FFF2-40B4-BE49-F238E27FC236}">
              <a16:creationId xmlns:a16="http://schemas.microsoft.com/office/drawing/2014/main" id="{00000000-0008-0000-3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0025" y="231320"/>
          <a:ext cx="1526649" cy="409968"/>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344277</xdr:colOff>
      <xdr:row>0</xdr:row>
      <xdr:rowOff>160664</xdr:rowOff>
    </xdr:from>
    <xdr:to>
      <xdr:col>0</xdr:col>
      <xdr:colOff>2016976</xdr:colOff>
      <xdr:row>0</xdr:row>
      <xdr:rowOff>573807</xdr:rowOff>
    </xdr:to>
    <xdr:pic>
      <xdr:nvPicPr>
        <xdr:cNvPr id="2" name="Billede 0" descr="logo.wm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44277" y="160664"/>
          <a:ext cx="1672699" cy="413143"/>
        </a:xfrm>
        <a:prstGeom prst="rect">
          <a:avLst/>
        </a:prstGeom>
        <a:noFill/>
        <a:ln w="9525">
          <a:noFill/>
          <a:miter lim="800000"/>
          <a:headEnd/>
          <a:tailEnd/>
        </a:ln>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200025</xdr:colOff>
      <xdr:row>0</xdr:row>
      <xdr:rowOff>231320</xdr:rowOff>
    </xdr:from>
    <xdr:to>
      <xdr:col>0</xdr:col>
      <xdr:colOff>1726674</xdr:colOff>
      <xdr:row>0</xdr:row>
      <xdr:rowOff>641288</xdr:rowOff>
    </xdr:to>
    <xdr:pic>
      <xdr:nvPicPr>
        <xdr:cNvPr id="2" name="Billede 0" descr="logo.wmf">
          <a:extLst>
            <a:ext uri="{FF2B5EF4-FFF2-40B4-BE49-F238E27FC236}">
              <a16:creationId xmlns:a16="http://schemas.microsoft.com/office/drawing/2014/main" id="{00000000-0008-0000-3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0025" y="193220"/>
          <a:ext cx="412224" cy="393"/>
        </a:xfrm>
        <a:prstGeom prst="rect">
          <a:avLst/>
        </a:prstGeom>
        <a:noFill/>
        <a:ln w="9525">
          <a:noFill/>
          <a:miter lim="800000"/>
          <a:headEnd/>
          <a:tailEnd/>
        </a:ln>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109630</xdr:colOff>
      <xdr:row>0</xdr:row>
      <xdr:rowOff>231320</xdr:rowOff>
    </xdr:from>
    <xdr:to>
      <xdr:col>0</xdr:col>
      <xdr:colOff>1528329</xdr:colOff>
      <xdr:row>0</xdr:row>
      <xdr:rowOff>638113</xdr:rowOff>
    </xdr:to>
    <xdr:pic>
      <xdr:nvPicPr>
        <xdr:cNvPr id="2" name="Billede 0" descr="logo.wmf">
          <a:extLst>
            <a:ext uri="{FF2B5EF4-FFF2-40B4-BE49-F238E27FC236}">
              <a16:creationId xmlns:a16="http://schemas.microsoft.com/office/drawing/2014/main" id="{00000000-0008-0000-3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9630" y="231320"/>
          <a:ext cx="1409174" cy="406793"/>
        </a:xfrm>
        <a:prstGeom prst="rect">
          <a:avLst/>
        </a:prstGeom>
        <a:noFill/>
        <a:ln w="9525">
          <a:noFill/>
          <a:miter lim="800000"/>
          <a:headEnd/>
          <a:tailEnd/>
        </a:ln>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109630</xdr:colOff>
      <xdr:row>0</xdr:row>
      <xdr:rowOff>231320</xdr:rowOff>
    </xdr:from>
    <xdr:to>
      <xdr:col>0</xdr:col>
      <xdr:colOff>1528329</xdr:colOff>
      <xdr:row>0</xdr:row>
      <xdr:rowOff>638113</xdr:rowOff>
    </xdr:to>
    <xdr:pic>
      <xdr:nvPicPr>
        <xdr:cNvPr id="2" name="Billede 0" descr="logo.wmf">
          <a:extLst>
            <a:ext uri="{FF2B5EF4-FFF2-40B4-BE49-F238E27FC236}">
              <a16:creationId xmlns:a16="http://schemas.microsoft.com/office/drawing/2014/main" id="{00000000-0008-0000-3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9630" y="193220"/>
          <a:ext cx="504299" cy="0"/>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9359</xdr:colOff>
      <xdr:row>0</xdr:row>
      <xdr:rowOff>183243</xdr:rowOff>
    </xdr:from>
    <xdr:to>
      <xdr:col>0</xdr:col>
      <xdr:colOff>1483179</xdr:colOff>
      <xdr:row>0</xdr:row>
      <xdr:rowOff>641289</xdr:rowOff>
    </xdr:to>
    <xdr:pic>
      <xdr:nvPicPr>
        <xdr:cNvPr id="2" name="Billede 0" descr="logo.wmf">
          <a:extLst>
            <a:ext uri="{FF2B5EF4-FFF2-40B4-BE49-F238E27FC236}">
              <a16:creationId xmlns:a16="http://schemas.microsoft.com/office/drawing/2014/main" id="{00000000-0008-0000-3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359" y="183243"/>
          <a:ext cx="1473820" cy="458046"/>
        </a:xfrm>
        <a:prstGeom prst="rect">
          <a:avLst/>
        </a:prstGeom>
        <a:noFill/>
        <a:ln w="9525">
          <a:noFill/>
          <a:miter lim="800000"/>
          <a:headEnd/>
          <a:tailEnd/>
        </a:ln>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9359</xdr:colOff>
      <xdr:row>0</xdr:row>
      <xdr:rowOff>183243</xdr:rowOff>
    </xdr:from>
    <xdr:to>
      <xdr:col>0</xdr:col>
      <xdr:colOff>1483179</xdr:colOff>
      <xdr:row>0</xdr:row>
      <xdr:rowOff>641289</xdr:rowOff>
    </xdr:to>
    <xdr:pic>
      <xdr:nvPicPr>
        <xdr:cNvPr id="2" name="Billede 0" descr="logo.wmf">
          <a:extLst>
            <a:ext uri="{FF2B5EF4-FFF2-40B4-BE49-F238E27FC236}">
              <a16:creationId xmlns:a16="http://schemas.microsoft.com/office/drawing/2014/main" id="{00000000-0008-0000-3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359" y="183243"/>
          <a:ext cx="597520" cy="10371"/>
        </a:xfrm>
        <a:prstGeom prst="rect">
          <a:avLst/>
        </a:prstGeom>
        <a:noFill/>
        <a:ln w="9525">
          <a:noFill/>
          <a:miter lim="800000"/>
          <a:headEnd/>
          <a:tailEnd/>
        </a:ln>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482600</xdr:colOff>
      <xdr:row>0</xdr:row>
      <xdr:rowOff>231320</xdr:rowOff>
    </xdr:from>
    <xdr:to>
      <xdr:col>0</xdr:col>
      <xdr:colOff>2142599</xdr:colOff>
      <xdr:row>0</xdr:row>
      <xdr:rowOff>638113</xdr:rowOff>
    </xdr:to>
    <xdr:pic>
      <xdr:nvPicPr>
        <xdr:cNvPr id="2" name="Billede 0" descr="logo.wmf">
          <a:extLst>
            <a:ext uri="{FF2B5EF4-FFF2-40B4-BE49-F238E27FC236}">
              <a16:creationId xmlns:a16="http://schemas.microsoft.com/office/drawing/2014/main" id="{00000000-0008-0000-3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2600" y="231320"/>
          <a:ext cx="1659999" cy="406793"/>
        </a:xfrm>
        <a:prstGeom prst="rect">
          <a:avLst/>
        </a:prstGeom>
        <a:noFill/>
        <a:ln w="9525">
          <a:noFill/>
          <a:miter lim="800000"/>
          <a:headEnd/>
          <a:tailEnd/>
        </a:ln>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482600</xdr:colOff>
      <xdr:row>0</xdr:row>
      <xdr:rowOff>231320</xdr:rowOff>
    </xdr:from>
    <xdr:to>
      <xdr:col>0</xdr:col>
      <xdr:colOff>2142599</xdr:colOff>
      <xdr:row>0</xdr:row>
      <xdr:rowOff>638113</xdr:rowOff>
    </xdr:to>
    <xdr:pic>
      <xdr:nvPicPr>
        <xdr:cNvPr id="2" name="Billede 0" descr="logo.wmf">
          <a:extLst>
            <a:ext uri="{FF2B5EF4-FFF2-40B4-BE49-F238E27FC236}">
              <a16:creationId xmlns:a16="http://schemas.microsoft.com/office/drawing/2014/main" id="{00000000-0008-0000-3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2600" y="193220"/>
          <a:ext cx="126474" cy="0"/>
        </a:xfrm>
        <a:prstGeom prst="rect">
          <a:avLst/>
        </a:prstGeom>
        <a:noFill/>
        <a:ln w="9525">
          <a:noFill/>
          <a:miter lim="800000"/>
          <a:headEnd/>
          <a:tailEnd/>
        </a:ln>
      </xdr:spPr>
    </xdr:pic>
    <xdr:clientData/>
  </xdr:twoCellAnchor>
</xdr:wsDr>
</file>

<file path=xl/drawings/drawing57.xml><?xml version="1.0" encoding="utf-8"?>
<xdr:wsDr xmlns:xdr="http://schemas.openxmlformats.org/drawingml/2006/spreadsheetDrawing" xmlns:a="http://schemas.openxmlformats.org/drawingml/2006/main">
  <xdr:twoCellAnchor>
    <xdr:from>
      <xdr:col>4</xdr:col>
      <xdr:colOff>1778455</xdr:colOff>
      <xdr:row>296</xdr:row>
      <xdr:rowOff>9525</xdr:rowOff>
    </xdr:from>
    <xdr:to>
      <xdr:col>4</xdr:col>
      <xdr:colOff>1778455</xdr:colOff>
      <xdr:row>298</xdr:row>
      <xdr:rowOff>8618</xdr:rowOff>
    </xdr:to>
    <xdr:cxnSp macro="">
      <xdr:nvCxnSpPr>
        <xdr:cNvPr id="2" name="Lige pilforbindelse 1">
          <a:extLst>
            <a:ext uri="{FF2B5EF4-FFF2-40B4-BE49-F238E27FC236}">
              <a16:creationId xmlns:a16="http://schemas.microsoft.com/office/drawing/2014/main" id="{00000000-0008-0000-3C00-000002000000}"/>
            </a:ext>
          </a:extLst>
        </xdr:cNvPr>
        <xdr:cNvCxnSpPr/>
      </xdr:nvCxnSpPr>
      <xdr:spPr>
        <a:xfrm flipV="1">
          <a:off x="11894005" y="41538525"/>
          <a:ext cx="0" cy="38961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0</xdr:colOff>
      <xdr:row>296</xdr:row>
      <xdr:rowOff>0</xdr:rowOff>
    </xdr:from>
    <xdr:to>
      <xdr:col>14</xdr:col>
      <xdr:colOff>2720</xdr:colOff>
      <xdr:row>298</xdr:row>
      <xdr:rowOff>11793</xdr:rowOff>
    </xdr:to>
    <xdr:cxnSp macro="">
      <xdr:nvCxnSpPr>
        <xdr:cNvPr id="3" name="Lige pilforbindelse 2">
          <a:extLst>
            <a:ext uri="{FF2B5EF4-FFF2-40B4-BE49-F238E27FC236}">
              <a16:creationId xmlns:a16="http://schemas.microsoft.com/office/drawing/2014/main" id="{00000000-0008-0000-3C00-000003000000}"/>
            </a:ext>
          </a:extLst>
        </xdr:cNvPr>
        <xdr:cNvCxnSpPr/>
      </xdr:nvCxnSpPr>
      <xdr:spPr>
        <a:xfrm flipV="1">
          <a:off x="26222325" y="41529000"/>
          <a:ext cx="2720" cy="40231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0</xdr:colOff>
      <xdr:row>296</xdr:row>
      <xdr:rowOff>0</xdr:rowOff>
    </xdr:from>
    <xdr:to>
      <xdr:col>18</xdr:col>
      <xdr:colOff>2720</xdr:colOff>
      <xdr:row>298</xdr:row>
      <xdr:rowOff>11793</xdr:rowOff>
    </xdr:to>
    <xdr:cxnSp macro="">
      <xdr:nvCxnSpPr>
        <xdr:cNvPr id="4" name="Lige pilforbindelse 3">
          <a:extLst>
            <a:ext uri="{FF2B5EF4-FFF2-40B4-BE49-F238E27FC236}">
              <a16:creationId xmlns:a16="http://schemas.microsoft.com/office/drawing/2014/main" id="{00000000-0008-0000-3C00-000004000000}"/>
            </a:ext>
          </a:extLst>
        </xdr:cNvPr>
        <xdr:cNvCxnSpPr/>
      </xdr:nvCxnSpPr>
      <xdr:spPr>
        <a:xfrm flipV="1">
          <a:off x="30184725" y="41529000"/>
          <a:ext cx="2720" cy="40231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0</xdr:colOff>
      <xdr:row>296</xdr:row>
      <xdr:rowOff>0</xdr:rowOff>
    </xdr:from>
    <xdr:to>
      <xdr:col>20</xdr:col>
      <xdr:colOff>2720</xdr:colOff>
      <xdr:row>298</xdr:row>
      <xdr:rowOff>11793</xdr:rowOff>
    </xdr:to>
    <xdr:cxnSp macro="">
      <xdr:nvCxnSpPr>
        <xdr:cNvPr id="5" name="Lige pilforbindelse 4">
          <a:extLst>
            <a:ext uri="{FF2B5EF4-FFF2-40B4-BE49-F238E27FC236}">
              <a16:creationId xmlns:a16="http://schemas.microsoft.com/office/drawing/2014/main" id="{00000000-0008-0000-3C00-000005000000}"/>
            </a:ext>
          </a:extLst>
        </xdr:cNvPr>
        <xdr:cNvCxnSpPr/>
      </xdr:nvCxnSpPr>
      <xdr:spPr>
        <a:xfrm flipV="1">
          <a:off x="32213550" y="41529000"/>
          <a:ext cx="2720" cy="40231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466725</xdr:colOff>
      <xdr:row>296</xdr:row>
      <xdr:rowOff>0</xdr:rowOff>
    </xdr:from>
    <xdr:to>
      <xdr:col>21</xdr:col>
      <xdr:colOff>469445</xdr:colOff>
      <xdr:row>298</xdr:row>
      <xdr:rowOff>11793</xdr:rowOff>
    </xdr:to>
    <xdr:cxnSp macro="">
      <xdr:nvCxnSpPr>
        <xdr:cNvPr id="6" name="Lige pilforbindelse 5">
          <a:extLst>
            <a:ext uri="{FF2B5EF4-FFF2-40B4-BE49-F238E27FC236}">
              <a16:creationId xmlns:a16="http://schemas.microsoft.com/office/drawing/2014/main" id="{00000000-0008-0000-3C00-000006000000}"/>
            </a:ext>
          </a:extLst>
        </xdr:cNvPr>
        <xdr:cNvCxnSpPr/>
      </xdr:nvCxnSpPr>
      <xdr:spPr>
        <a:xfrm flipV="1">
          <a:off x="33518475" y="41529000"/>
          <a:ext cx="2720" cy="40231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447675</xdr:colOff>
      <xdr:row>296</xdr:row>
      <xdr:rowOff>0</xdr:rowOff>
    </xdr:from>
    <xdr:to>
      <xdr:col>22</xdr:col>
      <xdr:colOff>450395</xdr:colOff>
      <xdr:row>298</xdr:row>
      <xdr:rowOff>2268</xdr:rowOff>
    </xdr:to>
    <xdr:cxnSp macro="">
      <xdr:nvCxnSpPr>
        <xdr:cNvPr id="7" name="Lige pilforbindelse 6">
          <a:extLst>
            <a:ext uri="{FF2B5EF4-FFF2-40B4-BE49-F238E27FC236}">
              <a16:creationId xmlns:a16="http://schemas.microsoft.com/office/drawing/2014/main" id="{00000000-0008-0000-3C00-000007000000}"/>
            </a:ext>
          </a:extLst>
        </xdr:cNvPr>
        <xdr:cNvCxnSpPr/>
      </xdr:nvCxnSpPr>
      <xdr:spPr>
        <a:xfrm flipV="1">
          <a:off x="34366200" y="41529000"/>
          <a:ext cx="2720" cy="39279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128121</xdr:colOff>
      <xdr:row>0</xdr:row>
      <xdr:rowOff>161739</xdr:rowOff>
    </xdr:from>
    <xdr:to>
      <xdr:col>0</xdr:col>
      <xdr:colOff>1724620</xdr:colOff>
      <xdr:row>0</xdr:row>
      <xdr:rowOff>574882</xdr:rowOff>
    </xdr:to>
    <xdr:pic>
      <xdr:nvPicPr>
        <xdr:cNvPr id="8" name="Billede 0" descr="logo.wmf">
          <a:extLst>
            <a:ext uri="{FF2B5EF4-FFF2-40B4-BE49-F238E27FC236}">
              <a16:creationId xmlns:a16="http://schemas.microsoft.com/office/drawing/2014/main" id="{00000000-0008-0000-3C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8121" y="161739"/>
          <a:ext cx="1596499" cy="413143"/>
        </a:xfrm>
        <a:prstGeom prst="rect">
          <a:avLst/>
        </a:prstGeom>
        <a:noFill/>
        <a:ln w="9525">
          <a:noFill/>
          <a:miter lim="800000"/>
          <a:headEnd/>
          <a:tailEnd/>
        </a:ln>
      </xdr:spPr>
    </xdr:pic>
    <xdr:clientData/>
  </xdr:twoCellAnchor>
</xdr:wsDr>
</file>

<file path=xl/drawings/drawing58.xml><?xml version="1.0" encoding="utf-8"?>
<xdr:wsDr xmlns:xdr="http://schemas.openxmlformats.org/drawingml/2006/spreadsheetDrawing" xmlns:a="http://schemas.openxmlformats.org/drawingml/2006/main">
  <xdr:twoCellAnchor>
    <xdr:from>
      <xdr:col>4</xdr:col>
      <xdr:colOff>2000250</xdr:colOff>
      <xdr:row>227</xdr:row>
      <xdr:rowOff>64860</xdr:rowOff>
    </xdr:from>
    <xdr:to>
      <xdr:col>4</xdr:col>
      <xdr:colOff>2000250</xdr:colOff>
      <xdr:row>228</xdr:row>
      <xdr:rowOff>10432</xdr:rowOff>
    </xdr:to>
    <xdr:cxnSp macro="">
      <xdr:nvCxnSpPr>
        <xdr:cNvPr id="2" name="Lige pilforbindelse 1">
          <a:extLst>
            <a:ext uri="{FF2B5EF4-FFF2-40B4-BE49-F238E27FC236}">
              <a16:creationId xmlns:a16="http://schemas.microsoft.com/office/drawing/2014/main" id="{00000000-0008-0000-3D00-000002000000}"/>
            </a:ext>
          </a:extLst>
        </xdr:cNvPr>
        <xdr:cNvCxnSpPr/>
      </xdr:nvCxnSpPr>
      <xdr:spPr>
        <a:xfrm flipV="1">
          <a:off x="8801100" y="45194310"/>
          <a:ext cx="0" cy="3646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810386</xdr:colOff>
      <xdr:row>227</xdr:row>
      <xdr:rowOff>54429</xdr:rowOff>
    </xdr:from>
    <xdr:to>
      <xdr:col>8</xdr:col>
      <xdr:colOff>810386</xdr:colOff>
      <xdr:row>228</xdr:row>
      <xdr:rowOff>1</xdr:rowOff>
    </xdr:to>
    <xdr:cxnSp macro="">
      <xdr:nvCxnSpPr>
        <xdr:cNvPr id="3" name="Lige pilforbindelse 2">
          <a:extLst>
            <a:ext uri="{FF2B5EF4-FFF2-40B4-BE49-F238E27FC236}">
              <a16:creationId xmlns:a16="http://schemas.microsoft.com/office/drawing/2014/main" id="{00000000-0008-0000-3D00-000003000000}"/>
            </a:ext>
          </a:extLst>
        </xdr:cNvPr>
        <xdr:cNvCxnSpPr/>
      </xdr:nvCxnSpPr>
      <xdr:spPr>
        <a:xfrm flipV="1">
          <a:off x="12783311" y="45183879"/>
          <a:ext cx="0" cy="3646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721178</xdr:colOff>
      <xdr:row>227</xdr:row>
      <xdr:rowOff>64862</xdr:rowOff>
    </xdr:from>
    <xdr:to>
      <xdr:col>11</xdr:col>
      <xdr:colOff>721178</xdr:colOff>
      <xdr:row>228</xdr:row>
      <xdr:rowOff>10434</xdr:rowOff>
    </xdr:to>
    <xdr:cxnSp macro="">
      <xdr:nvCxnSpPr>
        <xdr:cNvPr id="4" name="Lige pilforbindelse 3">
          <a:extLst>
            <a:ext uri="{FF2B5EF4-FFF2-40B4-BE49-F238E27FC236}">
              <a16:creationId xmlns:a16="http://schemas.microsoft.com/office/drawing/2014/main" id="{00000000-0008-0000-3D00-000004000000}"/>
            </a:ext>
          </a:extLst>
        </xdr:cNvPr>
        <xdr:cNvCxnSpPr/>
      </xdr:nvCxnSpPr>
      <xdr:spPr>
        <a:xfrm flipV="1">
          <a:off x="14770553" y="45194312"/>
          <a:ext cx="0" cy="3646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656318</xdr:colOff>
      <xdr:row>227</xdr:row>
      <xdr:rowOff>30390</xdr:rowOff>
    </xdr:from>
    <xdr:to>
      <xdr:col>13</xdr:col>
      <xdr:colOff>656318</xdr:colOff>
      <xdr:row>228</xdr:row>
      <xdr:rowOff>2589</xdr:rowOff>
    </xdr:to>
    <xdr:cxnSp macro="">
      <xdr:nvCxnSpPr>
        <xdr:cNvPr id="5" name="Lige pilforbindelse 4">
          <a:extLst>
            <a:ext uri="{FF2B5EF4-FFF2-40B4-BE49-F238E27FC236}">
              <a16:creationId xmlns:a16="http://schemas.microsoft.com/office/drawing/2014/main" id="{00000000-0008-0000-3D00-000005000000}"/>
            </a:ext>
          </a:extLst>
        </xdr:cNvPr>
        <xdr:cNvCxnSpPr/>
      </xdr:nvCxnSpPr>
      <xdr:spPr>
        <a:xfrm flipV="1">
          <a:off x="16763093" y="45159840"/>
          <a:ext cx="0" cy="39129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816428</xdr:colOff>
      <xdr:row>227</xdr:row>
      <xdr:rowOff>54428</xdr:rowOff>
    </xdr:from>
    <xdr:to>
      <xdr:col>16</xdr:col>
      <xdr:colOff>816428</xdr:colOff>
      <xdr:row>228</xdr:row>
      <xdr:rowOff>0</xdr:rowOff>
    </xdr:to>
    <xdr:cxnSp macro="">
      <xdr:nvCxnSpPr>
        <xdr:cNvPr id="6" name="Lige pilforbindelse 5">
          <a:extLst>
            <a:ext uri="{FF2B5EF4-FFF2-40B4-BE49-F238E27FC236}">
              <a16:creationId xmlns:a16="http://schemas.microsoft.com/office/drawing/2014/main" id="{00000000-0008-0000-3D00-000006000000}"/>
            </a:ext>
          </a:extLst>
        </xdr:cNvPr>
        <xdr:cNvCxnSpPr/>
      </xdr:nvCxnSpPr>
      <xdr:spPr>
        <a:xfrm flipV="1">
          <a:off x="19675928" y="45183878"/>
          <a:ext cx="0" cy="3646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370568</xdr:colOff>
      <xdr:row>227</xdr:row>
      <xdr:rowOff>40821</xdr:rowOff>
    </xdr:from>
    <xdr:to>
      <xdr:col>18</xdr:col>
      <xdr:colOff>370568</xdr:colOff>
      <xdr:row>228</xdr:row>
      <xdr:rowOff>9845</xdr:rowOff>
    </xdr:to>
    <xdr:cxnSp macro="">
      <xdr:nvCxnSpPr>
        <xdr:cNvPr id="7" name="Lige pilforbindelse 6">
          <a:extLst>
            <a:ext uri="{FF2B5EF4-FFF2-40B4-BE49-F238E27FC236}">
              <a16:creationId xmlns:a16="http://schemas.microsoft.com/office/drawing/2014/main" id="{00000000-0008-0000-3D00-000007000000}"/>
            </a:ext>
          </a:extLst>
        </xdr:cNvPr>
        <xdr:cNvCxnSpPr/>
      </xdr:nvCxnSpPr>
      <xdr:spPr>
        <a:xfrm flipV="1">
          <a:off x="21220793" y="45170271"/>
          <a:ext cx="0" cy="38812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95250</xdr:colOff>
      <xdr:row>0</xdr:row>
      <xdr:rowOff>180068</xdr:rowOff>
    </xdr:from>
    <xdr:to>
      <xdr:col>0</xdr:col>
      <xdr:colOff>1673679</xdr:colOff>
      <xdr:row>0</xdr:row>
      <xdr:rowOff>583686</xdr:rowOff>
    </xdr:to>
    <xdr:pic>
      <xdr:nvPicPr>
        <xdr:cNvPr id="8" name="Billede 0" descr="logo.wmf">
          <a:extLst>
            <a:ext uri="{FF2B5EF4-FFF2-40B4-BE49-F238E27FC236}">
              <a16:creationId xmlns:a16="http://schemas.microsoft.com/office/drawing/2014/main" id="{00000000-0008-0000-3D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250" y="180068"/>
          <a:ext cx="1578429" cy="403618"/>
        </a:xfrm>
        <a:prstGeom prst="rect">
          <a:avLst/>
        </a:prstGeom>
        <a:noFill/>
        <a:ln w="9525">
          <a:noFill/>
          <a:miter lim="800000"/>
          <a:headEnd/>
          <a:tailEnd/>
        </a:ln>
      </xdr:spPr>
    </xdr:pic>
    <xdr:clientData/>
  </xdr:twoCellAnchor>
</xdr:wsDr>
</file>

<file path=xl/drawings/drawing59.xml><?xml version="1.0" encoding="utf-8"?>
<xdr:wsDr xmlns:xdr="http://schemas.openxmlformats.org/drawingml/2006/spreadsheetDrawing" xmlns:a="http://schemas.openxmlformats.org/drawingml/2006/main">
  <xdr:twoCellAnchor>
    <xdr:from>
      <xdr:col>4</xdr:col>
      <xdr:colOff>1778455</xdr:colOff>
      <xdr:row>296</xdr:row>
      <xdr:rowOff>9525</xdr:rowOff>
    </xdr:from>
    <xdr:to>
      <xdr:col>4</xdr:col>
      <xdr:colOff>1778455</xdr:colOff>
      <xdr:row>298</xdr:row>
      <xdr:rowOff>8618</xdr:rowOff>
    </xdr:to>
    <xdr:cxnSp macro="">
      <xdr:nvCxnSpPr>
        <xdr:cNvPr id="2" name="Lige pilforbindelse 1">
          <a:extLst>
            <a:ext uri="{FF2B5EF4-FFF2-40B4-BE49-F238E27FC236}">
              <a16:creationId xmlns:a16="http://schemas.microsoft.com/office/drawing/2014/main" id="{00000000-0008-0000-4800-000002000000}"/>
            </a:ext>
          </a:extLst>
        </xdr:cNvPr>
        <xdr:cNvCxnSpPr/>
      </xdr:nvCxnSpPr>
      <xdr:spPr>
        <a:xfrm flipV="1">
          <a:off x="11894005" y="57731025"/>
          <a:ext cx="0" cy="38961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0</xdr:colOff>
      <xdr:row>296</xdr:row>
      <xdr:rowOff>0</xdr:rowOff>
    </xdr:from>
    <xdr:to>
      <xdr:col>14</xdr:col>
      <xdr:colOff>2720</xdr:colOff>
      <xdr:row>298</xdr:row>
      <xdr:rowOff>11793</xdr:rowOff>
    </xdr:to>
    <xdr:cxnSp macro="">
      <xdr:nvCxnSpPr>
        <xdr:cNvPr id="3" name="Lige pilforbindelse 2">
          <a:extLst>
            <a:ext uri="{FF2B5EF4-FFF2-40B4-BE49-F238E27FC236}">
              <a16:creationId xmlns:a16="http://schemas.microsoft.com/office/drawing/2014/main" id="{00000000-0008-0000-4800-000003000000}"/>
            </a:ext>
          </a:extLst>
        </xdr:cNvPr>
        <xdr:cNvCxnSpPr/>
      </xdr:nvCxnSpPr>
      <xdr:spPr>
        <a:xfrm flipV="1">
          <a:off x="26222325" y="57721500"/>
          <a:ext cx="2720" cy="40231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0</xdr:colOff>
      <xdr:row>296</xdr:row>
      <xdr:rowOff>0</xdr:rowOff>
    </xdr:from>
    <xdr:to>
      <xdr:col>18</xdr:col>
      <xdr:colOff>2720</xdr:colOff>
      <xdr:row>298</xdr:row>
      <xdr:rowOff>11793</xdr:rowOff>
    </xdr:to>
    <xdr:cxnSp macro="">
      <xdr:nvCxnSpPr>
        <xdr:cNvPr id="4" name="Lige pilforbindelse 3">
          <a:extLst>
            <a:ext uri="{FF2B5EF4-FFF2-40B4-BE49-F238E27FC236}">
              <a16:creationId xmlns:a16="http://schemas.microsoft.com/office/drawing/2014/main" id="{00000000-0008-0000-4800-000004000000}"/>
            </a:ext>
          </a:extLst>
        </xdr:cNvPr>
        <xdr:cNvCxnSpPr/>
      </xdr:nvCxnSpPr>
      <xdr:spPr>
        <a:xfrm flipV="1">
          <a:off x="30184725" y="57721500"/>
          <a:ext cx="2720" cy="40231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0</xdr:colOff>
      <xdr:row>296</xdr:row>
      <xdr:rowOff>0</xdr:rowOff>
    </xdr:from>
    <xdr:to>
      <xdr:col>20</xdr:col>
      <xdr:colOff>2720</xdr:colOff>
      <xdr:row>298</xdr:row>
      <xdr:rowOff>11793</xdr:rowOff>
    </xdr:to>
    <xdr:cxnSp macro="">
      <xdr:nvCxnSpPr>
        <xdr:cNvPr id="5" name="Lige pilforbindelse 4">
          <a:extLst>
            <a:ext uri="{FF2B5EF4-FFF2-40B4-BE49-F238E27FC236}">
              <a16:creationId xmlns:a16="http://schemas.microsoft.com/office/drawing/2014/main" id="{00000000-0008-0000-4800-000005000000}"/>
            </a:ext>
          </a:extLst>
        </xdr:cNvPr>
        <xdr:cNvCxnSpPr/>
      </xdr:nvCxnSpPr>
      <xdr:spPr>
        <a:xfrm flipV="1">
          <a:off x="32213550" y="57721500"/>
          <a:ext cx="2720" cy="40231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466725</xdr:colOff>
      <xdr:row>296</xdr:row>
      <xdr:rowOff>0</xdr:rowOff>
    </xdr:from>
    <xdr:to>
      <xdr:col>21</xdr:col>
      <xdr:colOff>469445</xdr:colOff>
      <xdr:row>298</xdr:row>
      <xdr:rowOff>11793</xdr:rowOff>
    </xdr:to>
    <xdr:cxnSp macro="">
      <xdr:nvCxnSpPr>
        <xdr:cNvPr id="6" name="Lige pilforbindelse 5">
          <a:extLst>
            <a:ext uri="{FF2B5EF4-FFF2-40B4-BE49-F238E27FC236}">
              <a16:creationId xmlns:a16="http://schemas.microsoft.com/office/drawing/2014/main" id="{00000000-0008-0000-4800-000006000000}"/>
            </a:ext>
          </a:extLst>
        </xdr:cNvPr>
        <xdr:cNvCxnSpPr/>
      </xdr:nvCxnSpPr>
      <xdr:spPr>
        <a:xfrm flipV="1">
          <a:off x="33518475" y="57721500"/>
          <a:ext cx="2720" cy="40231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447675</xdr:colOff>
      <xdr:row>296</xdr:row>
      <xdr:rowOff>0</xdr:rowOff>
    </xdr:from>
    <xdr:to>
      <xdr:col>22</xdr:col>
      <xdr:colOff>450395</xdr:colOff>
      <xdr:row>298</xdr:row>
      <xdr:rowOff>2268</xdr:rowOff>
    </xdr:to>
    <xdr:cxnSp macro="">
      <xdr:nvCxnSpPr>
        <xdr:cNvPr id="7" name="Lige pilforbindelse 6">
          <a:extLst>
            <a:ext uri="{FF2B5EF4-FFF2-40B4-BE49-F238E27FC236}">
              <a16:creationId xmlns:a16="http://schemas.microsoft.com/office/drawing/2014/main" id="{00000000-0008-0000-4800-000007000000}"/>
            </a:ext>
          </a:extLst>
        </xdr:cNvPr>
        <xdr:cNvCxnSpPr/>
      </xdr:nvCxnSpPr>
      <xdr:spPr>
        <a:xfrm flipV="1">
          <a:off x="34366200" y="57721500"/>
          <a:ext cx="2720" cy="39279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128121</xdr:colOff>
      <xdr:row>0</xdr:row>
      <xdr:rowOff>161739</xdr:rowOff>
    </xdr:from>
    <xdr:to>
      <xdr:col>0</xdr:col>
      <xdr:colOff>1724620</xdr:colOff>
      <xdr:row>0</xdr:row>
      <xdr:rowOff>574882</xdr:rowOff>
    </xdr:to>
    <xdr:pic>
      <xdr:nvPicPr>
        <xdr:cNvPr id="8" name="Billede 0" descr="logo.wmf">
          <a:extLst>
            <a:ext uri="{FF2B5EF4-FFF2-40B4-BE49-F238E27FC236}">
              <a16:creationId xmlns:a16="http://schemas.microsoft.com/office/drawing/2014/main" id="{00000000-0008-0000-48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8121" y="161739"/>
          <a:ext cx="1596499" cy="413143"/>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27</xdr:col>
      <xdr:colOff>0</xdr:colOff>
      <xdr:row>87</xdr:row>
      <xdr:rowOff>0</xdr:rowOff>
    </xdr:from>
    <xdr:to>
      <xdr:col>32</xdr:col>
      <xdr:colOff>407307</xdr:colOff>
      <xdr:row>87</xdr:row>
      <xdr:rowOff>745672</xdr:rowOff>
    </xdr:to>
    <xdr:grpSp>
      <xdr:nvGrpSpPr>
        <xdr:cNvPr id="2" name="Gruppe 3">
          <a:extLst>
            <a:ext uri="{FF2B5EF4-FFF2-40B4-BE49-F238E27FC236}">
              <a16:creationId xmlns:a16="http://schemas.microsoft.com/office/drawing/2014/main" id="{00000000-0008-0000-0900-000002000000}"/>
            </a:ext>
          </a:extLst>
        </xdr:cNvPr>
        <xdr:cNvGrpSpPr>
          <a:grpSpLocks/>
        </xdr:cNvGrpSpPr>
      </xdr:nvGrpSpPr>
      <xdr:grpSpPr bwMode="auto">
        <a:xfrm>
          <a:off x="13234147" y="18781059"/>
          <a:ext cx="5405131" cy="745672"/>
          <a:chOff x="12495439" y="13596257"/>
          <a:chExt cx="5783036" cy="704850"/>
        </a:xfrm>
      </xdr:grpSpPr>
      <xdr:pic>
        <xdr:nvPicPr>
          <xdr:cNvPr id="3" name="Picture 9" descr="RM's logo">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495439" y="13596257"/>
            <a:ext cx="5783036" cy="704850"/>
          </a:xfrm>
          <a:prstGeom prst="rect">
            <a:avLst/>
          </a:prstGeom>
          <a:noFill/>
          <a:ln w="9525">
            <a:noFill/>
            <a:miter lim="800000"/>
            <a:headEnd/>
            <a:tailEnd/>
          </a:ln>
        </xdr:spPr>
      </xdr:pic>
      <xdr:pic>
        <xdr:nvPicPr>
          <xdr:cNvPr id="4" name="Billede 0" descr="logo.wmf">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928146" y="13824857"/>
            <a:ext cx="1790700" cy="390525"/>
          </a:xfrm>
          <a:prstGeom prst="rect">
            <a:avLst/>
          </a:prstGeom>
          <a:noFill/>
          <a:ln w="9525">
            <a:noFill/>
            <a:miter lim="800000"/>
            <a:headEnd/>
            <a:tailEnd/>
          </a:ln>
        </xdr:spPr>
      </xdr:pic>
    </xdr:grpSp>
    <xdr:clientData/>
  </xdr:twoCellAnchor>
  <xdr:twoCellAnchor>
    <xdr:from>
      <xdr:col>27</xdr:col>
      <xdr:colOff>0</xdr:colOff>
      <xdr:row>87</xdr:row>
      <xdr:rowOff>0</xdr:rowOff>
    </xdr:from>
    <xdr:to>
      <xdr:col>32</xdr:col>
      <xdr:colOff>407307</xdr:colOff>
      <xdr:row>87</xdr:row>
      <xdr:rowOff>745672</xdr:rowOff>
    </xdr:to>
    <xdr:grpSp>
      <xdr:nvGrpSpPr>
        <xdr:cNvPr id="5" name="Gruppe 3">
          <a:extLst>
            <a:ext uri="{FF2B5EF4-FFF2-40B4-BE49-F238E27FC236}">
              <a16:creationId xmlns:a16="http://schemas.microsoft.com/office/drawing/2014/main" id="{00000000-0008-0000-0900-000005000000}"/>
            </a:ext>
          </a:extLst>
        </xdr:cNvPr>
        <xdr:cNvGrpSpPr>
          <a:grpSpLocks/>
        </xdr:cNvGrpSpPr>
      </xdr:nvGrpSpPr>
      <xdr:grpSpPr bwMode="auto">
        <a:xfrm>
          <a:off x="13234147" y="18781059"/>
          <a:ext cx="5405131" cy="745672"/>
          <a:chOff x="12495439" y="13596257"/>
          <a:chExt cx="5783036" cy="704850"/>
        </a:xfrm>
      </xdr:grpSpPr>
      <xdr:pic>
        <xdr:nvPicPr>
          <xdr:cNvPr id="6" name="Picture 9" descr="RM's logo">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495439" y="13596257"/>
            <a:ext cx="5783036" cy="704850"/>
          </a:xfrm>
          <a:prstGeom prst="rect">
            <a:avLst/>
          </a:prstGeom>
          <a:noFill/>
          <a:ln w="9525">
            <a:noFill/>
            <a:miter lim="800000"/>
            <a:headEnd/>
            <a:tailEnd/>
          </a:ln>
        </xdr:spPr>
      </xdr:pic>
      <xdr:pic>
        <xdr:nvPicPr>
          <xdr:cNvPr id="7" name="Billede 0" descr="logo.wmf">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928146" y="13824857"/>
            <a:ext cx="1790700" cy="390525"/>
          </a:xfrm>
          <a:prstGeom prst="rect">
            <a:avLst/>
          </a:prstGeom>
          <a:noFill/>
          <a:ln w="9525">
            <a:noFill/>
            <a:miter lim="800000"/>
            <a:headEnd/>
            <a:tailEnd/>
          </a:ln>
        </xdr:spPr>
      </xdr:pic>
    </xdr:grpSp>
    <xdr:clientData/>
  </xdr:twoCellAnchor>
  <xdr:twoCellAnchor>
    <xdr:from>
      <xdr:col>27</xdr:col>
      <xdr:colOff>0</xdr:colOff>
      <xdr:row>87</xdr:row>
      <xdr:rowOff>0</xdr:rowOff>
    </xdr:from>
    <xdr:to>
      <xdr:col>32</xdr:col>
      <xdr:colOff>407307</xdr:colOff>
      <xdr:row>87</xdr:row>
      <xdr:rowOff>745672</xdr:rowOff>
    </xdr:to>
    <xdr:grpSp>
      <xdr:nvGrpSpPr>
        <xdr:cNvPr id="8" name="Gruppe 3">
          <a:extLst>
            <a:ext uri="{FF2B5EF4-FFF2-40B4-BE49-F238E27FC236}">
              <a16:creationId xmlns:a16="http://schemas.microsoft.com/office/drawing/2014/main" id="{00000000-0008-0000-0900-000008000000}"/>
            </a:ext>
          </a:extLst>
        </xdr:cNvPr>
        <xdr:cNvGrpSpPr>
          <a:grpSpLocks/>
        </xdr:cNvGrpSpPr>
      </xdr:nvGrpSpPr>
      <xdr:grpSpPr bwMode="auto">
        <a:xfrm>
          <a:off x="13234147" y="18781059"/>
          <a:ext cx="5405131" cy="745672"/>
          <a:chOff x="12495439" y="13596257"/>
          <a:chExt cx="5783036" cy="704850"/>
        </a:xfrm>
      </xdr:grpSpPr>
      <xdr:pic>
        <xdr:nvPicPr>
          <xdr:cNvPr id="9" name="Picture 9" descr="RM's logo">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495439" y="13596257"/>
            <a:ext cx="5783036" cy="704850"/>
          </a:xfrm>
          <a:prstGeom prst="rect">
            <a:avLst/>
          </a:prstGeom>
          <a:noFill/>
          <a:ln w="9525">
            <a:noFill/>
            <a:miter lim="800000"/>
            <a:headEnd/>
            <a:tailEnd/>
          </a:ln>
        </xdr:spPr>
      </xdr:pic>
      <xdr:pic>
        <xdr:nvPicPr>
          <xdr:cNvPr id="10" name="Billede 0" descr="logo.wmf">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928146" y="13824857"/>
            <a:ext cx="1790700" cy="390525"/>
          </a:xfrm>
          <a:prstGeom prst="rect">
            <a:avLst/>
          </a:prstGeom>
          <a:noFill/>
          <a:ln w="9525">
            <a:noFill/>
            <a:miter lim="800000"/>
            <a:headEnd/>
            <a:tailEnd/>
          </a:ln>
        </xdr:spPr>
      </xdr:pic>
    </xdr:grpSp>
    <xdr:clientData/>
  </xdr:twoCellAnchor>
  <xdr:twoCellAnchor>
    <xdr:from>
      <xdr:col>27</xdr:col>
      <xdr:colOff>0</xdr:colOff>
      <xdr:row>87</xdr:row>
      <xdr:rowOff>0</xdr:rowOff>
    </xdr:from>
    <xdr:to>
      <xdr:col>32</xdr:col>
      <xdr:colOff>407307</xdr:colOff>
      <xdr:row>87</xdr:row>
      <xdr:rowOff>745672</xdr:rowOff>
    </xdr:to>
    <xdr:grpSp>
      <xdr:nvGrpSpPr>
        <xdr:cNvPr id="11" name="Gruppe 3">
          <a:extLst>
            <a:ext uri="{FF2B5EF4-FFF2-40B4-BE49-F238E27FC236}">
              <a16:creationId xmlns:a16="http://schemas.microsoft.com/office/drawing/2014/main" id="{00000000-0008-0000-0900-00000B000000}"/>
            </a:ext>
          </a:extLst>
        </xdr:cNvPr>
        <xdr:cNvGrpSpPr>
          <a:grpSpLocks/>
        </xdr:cNvGrpSpPr>
      </xdr:nvGrpSpPr>
      <xdr:grpSpPr bwMode="auto">
        <a:xfrm>
          <a:off x="13234147" y="18781059"/>
          <a:ext cx="5405131" cy="745672"/>
          <a:chOff x="12495439" y="13596257"/>
          <a:chExt cx="5783036" cy="704850"/>
        </a:xfrm>
      </xdr:grpSpPr>
      <xdr:pic>
        <xdr:nvPicPr>
          <xdr:cNvPr id="12" name="Picture 9" descr="RM's logo">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495439" y="13596257"/>
            <a:ext cx="5783036" cy="704850"/>
          </a:xfrm>
          <a:prstGeom prst="rect">
            <a:avLst/>
          </a:prstGeom>
          <a:noFill/>
          <a:ln w="9525">
            <a:noFill/>
            <a:miter lim="800000"/>
            <a:headEnd/>
            <a:tailEnd/>
          </a:ln>
        </xdr:spPr>
      </xdr:pic>
      <xdr:pic>
        <xdr:nvPicPr>
          <xdr:cNvPr id="13" name="Billede 0" descr="logo.wmf">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928146" y="13824857"/>
            <a:ext cx="1790700" cy="390525"/>
          </a:xfrm>
          <a:prstGeom prst="rect">
            <a:avLst/>
          </a:prstGeom>
          <a:noFill/>
          <a:ln w="9525">
            <a:noFill/>
            <a:miter lim="800000"/>
            <a:headEnd/>
            <a:tailEnd/>
          </a:ln>
        </xdr:spPr>
      </xdr:pic>
    </xdr:grpSp>
    <xdr:clientData/>
  </xdr:twoCellAnchor>
</xdr:wsDr>
</file>

<file path=xl/drawings/drawing60.xml><?xml version="1.0" encoding="utf-8"?>
<xdr:wsDr xmlns:xdr="http://schemas.openxmlformats.org/drawingml/2006/spreadsheetDrawing" xmlns:a="http://schemas.openxmlformats.org/drawingml/2006/main">
  <xdr:twoCellAnchor>
    <xdr:from>
      <xdr:col>4</xdr:col>
      <xdr:colOff>2000250</xdr:colOff>
      <xdr:row>228</xdr:row>
      <xdr:rowOff>64860</xdr:rowOff>
    </xdr:from>
    <xdr:to>
      <xdr:col>4</xdr:col>
      <xdr:colOff>2000250</xdr:colOff>
      <xdr:row>229</xdr:row>
      <xdr:rowOff>10432</xdr:rowOff>
    </xdr:to>
    <xdr:cxnSp macro="">
      <xdr:nvCxnSpPr>
        <xdr:cNvPr id="2" name="Lige pilforbindelse 1">
          <a:extLst>
            <a:ext uri="{FF2B5EF4-FFF2-40B4-BE49-F238E27FC236}">
              <a16:creationId xmlns:a16="http://schemas.microsoft.com/office/drawing/2014/main" id="{00000000-0008-0000-4900-000002000000}"/>
            </a:ext>
          </a:extLst>
        </xdr:cNvPr>
        <xdr:cNvCxnSpPr/>
      </xdr:nvCxnSpPr>
      <xdr:spPr>
        <a:xfrm flipV="1">
          <a:off x="3048000" y="43879860"/>
          <a:ext cx="0" cy="1360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810386</xdr:colOff>
      <xdr:row>228</xdr:row>
      <xdr:rowOff>54429</xdr:rowOff>
    </xdr:from>
    <xdr:to>
      <xdr:col>8</xdr:col>
      <xdr:colOff>810386</xdr:colOff>
      <xdr:row>229</xdr:row>
      <xdr:rowOff>1</xdr:rowOff>
    </xdr:to>
    <xdr:cxnSp macro="">
      <xdr:nvCxnSpPr>
        <xdr:cNvPr id="3" name="Lige pilforbindelse 2">
          <a:extLst>
            <a:ext uri="{FF2B5EF4-FFF2-40B4-BE49-F238E27FC236}">
              <a16:creationId xmlns:a16="http://schemas.microsoft.com/office/drawing/2014/main" id="{00000000-0008-0000-4900-000003000000}"/>
            </a:ext>
          </a:extLst>
        </xdr:cNvPr>
        <xdr:cNvCxnSpPr/>
      </xdr:nvCxnSpPr>
      <xdr:spPr>
        <a:xfrm flipV="1">
          <a:off x="5487161" y="43869429"/>
          <a:ext cx="0" cy="1360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721178</xdr:colOff>
      <xdr:row>228</xdr:row>
      <xdr:rowOff>64862</xdr:rowOff>
    </xdr:from>
    <xdr:to>
      <xdr:col>11</xdr:col>
      <xdr:colOff>721178</xdr:colOff>
      <xdr:row>229</xdr:row>
      <xdr:rowOff>10434</xdr:rowOff>
    </xdr:to>
    <xdr:cxnSp macro="">
      <xdr:nvCxnSpPr>
        <xdr:cNvPr id="4" name="Lige pilforbindelse 3">
          <a:extLst>
            <a:ext uri="{FF2B5EF4-FFF2-40B4-BE49-F238E27FC236}">
              <a16:creationId xmlns:a16="http://schemas.microsoft.com/office/drawing/2014/main" id="{00000000-0008-0000-4900-000004000000}"/>
            </a:ext>
          </a:extLst>
        </xdr:cNvPr>
        <xdr:cNvCxnSpPr/>
      </xdr:nvCxnSpPr>
      <xdr:spPr>
        <a:xfrm flipV="1">
          <a:off x="7312478" y="43879862"/>
          <a:ext cx="0" cy="1360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656318</xdr:colOff>
      <xdr:row>228</xdr:row>
      <xdr:rowOff>30390</xdr:rowOff>
    </xdr:from>
    <xdr:to>
      <xdr:col>13</xdr:col>
      <xdr:colOff>656318</xdr:colOff>
      <xdr:row>229</xdr:row>
      <xdr:rowOff>2589</xdr:rowOff>
    </xdr:to>
    <xdr:cxnSp macro="">
      <xdr:nvCxnSpPr>
        <xdr:cNvPr id="5" name="Lige pilforbindelse 4">
          <a:extLst>
            <a:ext uri="{FF2B5EF4-FFF2-40B4-BE49-F238E27FC236}">
              <a16:creationId xmlns:a16="http://schemas.microsoft.com/office/drawing/2014/main" id="{00000000-0008-0000-4900-000005000000}"/>
            </a:ext>
          </a:extLst>
        </xdr:cNvPr>
        <xdr:cNvCxnSpPr/>
      </xdr:nvCxnSpPr>
      <xdr:spPr>
        <a:xfrm flipV="1">
          <a:off x="8533493" y="43845390"/>
          <a:ext cx="0" cy="16269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816428</xdr:colOff>
      <xdr:row>228</xdr:row>
      <xdr:rowOff>54428</xdr:rowOff>
    </xdr:from>
    <xdr:to>
      <xdr:col>16</xdr:col>
      <xdr:colOff>816428</xdr:colOff>
      <xdr:row>229</xdr:row>
      <xdr:rowOff>0</xdr:rowOff>
    </xdr:to>
    <xdr:cxnSp macro="">
      <xdr:nvCxnSpPr>
        <xdr:cNvPr id="6" name="Lige pilforbindelse 5">
          <a:extLst>
            <a:ext uri="{FF2B5EF4-FFF2-40B4-BE49-F238E27FC236}">
              <a16:creationId xmlns:a16="http://schemas.microsoft.com/office/drawing/2014/main" id="{00000000-0008-0000-4900-000006000000}"/>
            </a:ext>
          </a:extLst>
        </xdr:cNvPr>
        <xdr:cNvCxnSpPr/>
      </xdr:nvCxnSpPr>
      <xdr:spPr>
        <a:xfrm flipV="1">
          <a:off x="10360478" y="43869428"/>
          <a:ext cx="0" cy="1360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370568</xdr:colOff>
      <xdr:row>228</xdr:row>
      <xdr:rowOff>40821</xdr:rowOff>
    </xdr:from>
    <xdr:to>
      <xdr:col>18</xdr:col>
      <xdr:colOff>370568</xdr:colOff>
      <xdr:row>229</xdr:row>
      <xdr:rowOff>9845</xdr:rowOff>
    </xdr:to>
    <xdr:cxnSp macro="">
      <xdr:nvCxnSpPr>
        <xdr:cNvPr id="7" name="Lige pilforbindelse 6">
          <a:extLst>
            <a:ext uri="{FF2B5EF4-FFF2-40B4-BE49-F238E27FC236}">
              <a16:creationId xmlns:a16="http://schemas.microsoft.com/office/drawing/2014/main" id="{00000000-0008-0000-4900-000007000000}"/>
            </a:ext>
          </a:extLst>
        </xdr:cNvPr>
        <xdr:cNvCxnSpPr/>
      </xdr:nvCxnSpPr>
      <xdr:spPr>
        <a:xfrm flipV="1">
          <a:off x="11343368" y="43855821"/>
          <a:ext cx="0" cy="15952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95250</xdr:colOff>
      <xdr:row>0</xdr:row>
      <xdr:rowOff>180068</xdr:rowOff>
    </xdr:from>
    <xdr:to>
      <xdr:col>0</xdr:col>
      <xdr:colOff>1673679</xdr:colOff>
      <xdr:row>0</xdr:row>
      <xdr:rowOff>583686</xdr:rowOff>
    </xdr:to>
    <xdr:pic>
      <xdr:nvPicPr>
        <xdr:cNvPr id="8" name="Billede 0" descr="logo.wmf">
          <a:extLst>
            <a:ext uri="{FF2B5EF4-FFF2-40B4-BE49-F238E27FC236}">
              <a16:creationId xmlns:a16="http://schemas.microsoft.com/office/drawing/2014/main" id="{00000000-0008-0000-49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250" y="180068"/>
          <a:ext cx="1578429" cy="403618"/>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27</xdr:col>
      <xdr:colOff>0</xdr:colOff>
      <xdr:row>87</xdr:row>
      <xdr:rowOff>0</xdr:rowOff>
    </xdr:from>
    <xdr:to>
      <xdr:col>32</xdr:col>
      <xdr:colOff>407307</xdr:colOff>
      <xdr:row>87</xdr:row>
      <xdr:rowOff>745672</xdr:rowOff>
    </xdr:to>
    <xdr:grpSp>
      <xdr:nvGrpSpPr>
        <xdr:cNvPr id="2" name="Gruppe 3">
          <a:extLst>
            <a:ext uri="{FF2B5EF4-FFF2-40B4-BE49-F238E27FC236}">
              <a16:creationId xmlns:a16="http://schemas.microsoft.com/office/drawing/2014/main" id="{00000000-0008-0000-0A00-000002000000}"/>
            </a:ext>
          </a:extLst>
        </xdr:cNvPr>
        <xdr:cNvGrpSpPr>
          <a:grpSpLocks/>
        </xdr:cNvGrpSpPr>
      </xdr:nvGrpSpPr>
      <xdr:grpSpPr bwMode="auto">
        <a:xfrm>
          <a:off x="13416643" y="18764250"/>
          <a:ext cx="5414735" cy="745672"/>
          <a:chOff x="12495439" y="13596257"/>
          <a:chExt cx="5783036" cy="704850"/>
        </a:xfrm>
      </xdr:grpSpPr>
      <xdr:pic>
        <xdr:nvPicPr>
          <xdr:cNvPr id="3" name="Picture 9" descr="RM's logo">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495439" y="13596257"/>
            <a:ext cx="5783036" cy="704850"/>
          </a:xfrm>
          <a:prstGeom prst="rect">
            <a:avLst/>
          </a:prstGeom>
          <a:noFill/>
          <a:ln w="9525">
            <a:noFill/>
            <a:miter lim="800000"/>
            <a:headEnd/>
            <a:tailEnd/>
          </a:ln>
        </xdr:spPr>
      </xdr:pic>
      <xdr:pic>
        <xdr:nvPicPr>
          <xdr:cNvPr id="4" name="Billede 0" descr="logo.wmf">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928146" y="13824857"/>
            <a:ext cx="1790700" cy="390525"/>
          </a:xfrm>
          <a:prstGeom prst="rect">
            <a:avLst/>
          </a:prstGeom>
          <a:noFill/>
          <a:ln w="9525">
            <a:noFill/>
            <a:miter lim="800000"/>
            <a:headEnd/>
            <a:tailEnd/>
          </a:ln>
        </xdr:spPr>
      </xdr:pic>
    </xdr:grpSp>
    <xdr:clientData/>
  </xdr:twoCellAnchor>
  <xdr:twoCellAnchor>
    <xdr:from>
      <xdr:col>27</xdr:col>
      <xdr:colOff>0</xdr:colOff>
      <xdr:row>87</xdr:row>
      <xdr:rowOff>0</xdr:rowOff>
    </xdr:from>
    <xdr:to>
      <xdr:col>32</xdr:col>
      <xdr:colOff>407307</xdr:colOff>
      <xdr:row>87</xdr:row>
      <xdr:rowOff>745672</xdr:rowOff>
    </xdr:to>
    <xdr:grpSp>
      <xdr:nvGrpSpPr>
        <xdr:cNvPr id="5" name="Gruppe 3">
          <a:extLst>
            <a:ext uri="{FF2B5EF4-FFF2-40B4-BE49-F238E27FC236}">
              <a16:creationId xmlns:a16="http://schemas.microsoft.com/office/drawing/2014/main" id="{00000000-0008-0000-0A00-000005000000}"/>
            </a:ext>
          </a:extLst>
        </xdr:cNvPr>
        <xdr:cNvGrpSpPr>
          <a:grpSpLocks/>
        </xdr:cNvGrpSpPr>
      </xdr:nvGrpSpPr>
      <xdr:grpSpPr bwMode="auto">
        <a:xfrm>
          <a:off x="13416643" y="18764250"/>
          <a:ext cx="5414735" cy="745672"/>
          <a:chOff x="12495439" y="13596257"/>
          <a:chExt cx="5783036" cy="704850"/>
        </a:xfrm>
      </xdr:grpSpPr>
      <xdr:pic>
        <xdr:nvPicPr>
          <xdr:cNvPr id="6" name="Picture 9" descr="RM's logo">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495439" y="13596257"/>
            <a:ext cx="5783036" cy="704850"/>
          </a:xfrm>
          <a:prstGeom prst="rect">
            <a:avLst/>
          </a:prstGeom>
          <a:noFill/>
          <a:ln w="9525">
            <a:noFill/>
            <a:miter lim="800000"/>
            <a:headEnd/>
            <a:tailEnd/>
          </a:ln>
        </xdr:spPr>
      </xdr:pic>
      <xdr:pic>
        <xdr:nvPicPr>
          <xdr:cNvPr id="7" name="Billede 0" descr="logo.wmf">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928146" y="13824857"/>
            <a:ext cx="1790700" cy="390525"/>
          </a:xfrm>
          <a:prstGeom prst="rect">
            <a:avLst/>
          </a:prstGeom>
          <a:noFill/>
          <a:ln w="9525">
            <a:noFill/>
            <a:miter lim="800000"/>
            <a:headEnd/>
            <a:tailEnd/>
          </a:ln>
        </xdr:spPr>
      </xdr:pic>
    </xdr:grpSp>
    <xdr:clientData/>
  </xdr:twoCellAnchor>
  <xdr:twoCellAnchor>
    <xdr:from>
      <xdr:col>27</xdr:col>
      <xdr:colOff>0</xdr:colOff>
      <xdr:row>87</xdr:row>
      <xdr:rowOff>0</xdr:rowOff>
    </xdr:from>
    <xdr:to>
      <xdr:col>32</xdr:col>
      <xdr:colOff>407307</xdr:colOff>
      <xdr:row>87</xdr:row>
      <xdr:rowOff>745672</xdr:rowOff>
    </xdr:to>
    <xdr:grpSp>
      <xdr:nvGrpSpPr>
        <xdr:cNvPr id="8" name="Gruppe 3">
          <a:extLst>
            <a:ext uri="{FF2B5EF4-FFF2-40B4-BE49-F238E27FC236}">
              <a16:creationId xmlns:a16="http://schemas.microsoft.com/office/drawing/2014/main" id="{00000000-0008-0000-0A00-000008000000}"/>
            </a:ext>
          </a:extLst>
        </xdr:cNvPr>
        <xdr:cNvGrpSpPr>
          <a:grpSpLocks/>
        </xdr:cNvGrpSpPr>
      </xdr:nvGrpSpPr>
      <xdr:grpSpPr bwMode="auto">
        <a:xfrm>
          <a:off x="13416643" y="18764250"/>
          <a:ext cx="5414735" cy="745672"/>
          <a:chOff x="12495439" y="13596257"/>
          <a:chExt cx="5783036" cy="704850"/>
        </a:xfrm>
      </xdr:grpSpPr>
      <xdr:pic>
        <xdr:nvPicPr>
          <xdr:cNvPr id="9" name="Picture 9" descr="RM's logo">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495439" y="13596257"/>
            <a:ext cx="5783036" cy="704850"/>
          </a:xfrm>
          <a:prstGeom prst="rect">
            <a:avLst/>
          </a:prstGeom>
          <a:noFill/>
          <a:ln w="9525">
            <a:noFill/>
            <a:miter lim="800000"/>
            <a:headEnd/>
            <a:tailEnd/>
          </a:ln>
        </xdr:spPr>
      </xdr:pic>
      <xdr:pic>
        <xdr:nvPicPr>
          <xdr:cNvPr id="10" name="Billede 0" descr="logo.wmf">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928146" y="13824857"/>
            <a:ext cx="1790700" cy="390525"/>
          </a:xfrm>
          <a:prstGeom prst="rect">
            <a:avLst/>
          </a:prstGeom>
          <a:noFill/>
          <a:ln w="9525">
            <a:noFill/>
            <a:miter lim="800000"/>
            <a:headEnd/>
            <a:tailEnd/>
          </a:ln>
        </xdr:spPr>
      </xdr:pic>
    </xdr:grpSp>
    <xdr:clientData/>
  </xdr:twoCellAnchor>
  <xdr:twoCellAnchor>
    <xdr:from>
      <xdr:col>27</xdr:col>
      <xdr:colOff>0</xdr:colOff>
      <xdr:row>87</xdr:row>
      <xdr:rowOff>0</xdr:rowOff>
    </xdr:from>
    <xdr:to>
      <xdr:col>32</xdr:col>
      <xdr:colOff>407307</xdr:colOff>
      <xdr:row>87</xdr:row>
      <xdr:rowOff>745672</xdr:rowOff>
    </xdr:to>
    <xdr:grpSp>
      <xdr:nvGrpSpPr>
        <xdr:cNvPr id="11" name="Gruppe 3">
          <a:extLst>
            <a:ext uri="{FF2B5EF4-FFF2-40B4-BE49-F238E27FC236}">
              <a16:creationId xmlns:a16="http://schemas.microsoft.com/office/drawing/2014/main" id="{00000000-0008-0000-0A00-00000B000000}"/>
            </a:ext>
          </a:extLst>
        </xdr:cNvPr>
        <xdr:cNvGrpSpPr>
          <a:grpSpLocks/>
        </xdr:cNvGrpSpPr>
      </xdr:nvGrpSpPr>
      <xdr:grpSpPr bwMode="auto">
        <a:xfrm>
          <a:off x="13416643" y="18764250"/>
          <a:ext cx="5414735" cy="745672"/>
          <a:chOff x="12495439" y="13596257"/>
          <a:chExt cx="5783036" cy="704850"/>
        </a:xfrm>
      </xdr:grpSpPr>
      <xdr:pic>
        <xdr:nvPicPr>
          <xdr:cNvPr id="12" name="Picture 9" descr="RM's logo">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495439" y="13596257"/>
            <a:ext cx="5783036" cy="704850"/>
          </a:xfrm>
          <a:prstGeom prst="rect">
            <a:avLst/>
          </a:prstGeom>
          <a:noFill/>
          <a:ln w="9525">
            <a:noFill/>
            <a:miter lim="800000"/>
            <a:headEnd/>
            <a:tailEnd/>
          </a:ln>
        </xdr:spPr>
      </xdr:pic>
      <xdr:pic>
        <xdr:nvPicPr>
          <xdr:cNvPr id="13" name="Billede 0" descr="logo.wmf">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928146" y="13824857"/>
            <a:ext cx="1790700" cy="390525"/>
          </a:xfrm>
          <a:prstGeom prst="rect">
            <a:avLst/>
          </a:prstGeom>
          <a:noFill/>
          <a:ln w="9525">
            <a:noFill/>
            <a:miter lim="800000"/>
            <a:headEnd/>
            <a:tailEnd/>
          </a:ln>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27</xdr:col>
      <xdr:colOff>503465</xdr:colOff>
      <xdr:row>87</xdr:row>
      <xdr:rowOff>244929</xdr:rowOff>
    </xdr:from>
    <xdr:to>
      <xdr:col>27</xdr:col>
      <xdr:colOff>3019254</xdr:colOff>
      <xdr:row>87</xdr:row>
      <xdr:rowOff>866308</xdr:rowOff>
    </xdr:to>
    <xdr:pic>
      <xdr:nvPicPr>
        <xdr:cNvPr id="6" name="Billede 0" descr="logo.wmf">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471072" y="18859500"/>
          <a:ext cx="2515789" cy="621379"/>
        </a:xfrm>
        <a:prstGeom prst="rect">
          <a:avLst/>
        </a:prstGeom>
        <a:noFill/>
        <a:ln w="9525">
          <a:noFill/>
          <a:miter lim="800000"/>
          <a:headEnd/>
          <a:tailEnd/>
        </a:ln>
      </xdr:spPr>
    </xdr:pic>
    <xdr:clientData/>
  </xdr:twoCellAnchor>
  <xdr:twoCellAnchor>
    <xdr:from>
      <xdr:col>27</xdr:col>
      <xdr:colOff>476250</xdr:colOff>
      <xdr:row>6</xdr:row>
      <xdr:rowOff>762000</xdr:rowOff>
    </xdr:from>
    <xdr:to>
      <xdr:col>27</xdr:col>
      <xdr:colOff>2992039</xdr:colOff>
      <xdr:row>6</xdr:row>
      <xdr:rowOff>1383379</xdr:rowOff>
    </xdr:to>
    <xdr:pic>
      <xdr:nvPicPr>
        <xdr:cNvPr id="7" name="Billede 0" descr="logo.wmf">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443857" y="1905000"/>
          <a:ext cx="2515789" cy="62137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27</xdr:col>
      <xdr:colOff>408215</xdr:colOff>
      <xdr:row>87</xdr:row>
      <xdr:rowOff>176893</xdr:rowOff>
    </xdr:from>
    <xdr:to>
      <xdr:col>27</xdr:col>
      <xdr:colOff>2924004</xdr:colOff>
      <xdr:row>87</xdr:row>
      <xdr:rowOff>798272</xdr:rowOff>
    </xdr:to>
    <xdr:pic>
      <xdr:nvPicPr>
        <xdr:cNvPr id="6" name="Billede 0" descr="logo.wmf">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375822" y="18791464"/>
          <a:ext cx="2515789" cy="621379"/>
        </a:xfrm>
        <a:prstGeom prst="rect">
          <a:avLst/>
        </a:prstGeom>
        <a:noFill/>
        <a:ln w="9525">
          <a:noFill/>
          <a:miter lim="800000"/>
          <a:headEnd/>
          <a:tailEnd/>
        </a:ln>
      </xdr:spPr>
    </xdr:pic>
    <xdr:clientData/>
  </xdr:twoCellAnchor>
  <xdr:twoCellAnchor>
    <xdr:from>
      <xdr:col>27</xdr:col>
      <xdr:colOff>435429</xdr:colOff>
      <xdr:row>6</xdr:row>
      <xdr:rowOff>707571</xdr:rowOff>
    </xdr:from>
    <xdr:to>
      <xdr:col>27</xdr:col>
      <xdr:colOff>2951218</xdr:colOff>
      <xdr:row>6</xdr:row>
      <xdr:rowOff>1328950</xdr:rowOff>
    </xdr:to>
    <xdr:pic>
      <xdr:nvPicPr>
        <xdr:cNvPr id="7" name="Billede 0" descr="logo.wmf">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403036" y="1850571"/>
          <a:ext cx="2515789" cy="62137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4(KP)"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4(KP-I)B.2"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4(KP-I)B.3"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4(KP-I)B.4"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4(KP-I)B.5"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KP-II)1"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4(KP-II)2"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4(KP-II)3"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4(KP-II)4"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4(KP)Recalculation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accounting"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4(KP-I)A.1.1"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NIR-1"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NIR-2.1"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NIR-2"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NIR-3"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lanenergi.local\DFSRoot\Projekter\20-000\20-001%20Region%20Syddanmark%20-%20DK2020%20kommuner%20klima\2%20Bilag%20slutrapport\04.%20Bilag%20til%20Regnskab%20for%20affald%20og%20spildevand\Bilag%2012%20-%20Affald%202019.xlsx" TargetMode="External"/></Relationships>
</file>

<file path=xl/externalLinks/_rels/externalLink25.xml.rels><?xml version="1.0" encoding="UTF-8" standalone="yes"?>
<Relationships xmlns="http://schemas.openxmlformats.org/package/2006/relationships"><Relationship Id="rId2" Type="http://schemas.microsoft.com/office/2019/04/relationships/externalLinkLongPath" Target="file:///\\planenergi.local\Teams\Team%20for%20Strategisk%20klima-%20og%20energiplanl&#230;gning\Dansk%20regnskab\Bilag%20skabeloner%202019\Bilag%20til%20Regnskab%20for%20affald%20og%20spildevand%20-%20mangler%20opdatering%20af%20faktorer\Bilag%2012%20-%20Affald%202019.xlsx?6B1CB1F4" TargetMode="External"/><Relationship Id="rId1" Type="http://schemas.openxmlformats.org/officeDocument/2006/relationships/externalLinkPath" Target="file:///\\6B1CB1F4\Bilag%2012%20-%20Affald%202019.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lanenergi.local\DFSRoot\Projekter\20-000\20-001%20Region%20Syddanmark%20-%20DK2020%20kommuner%20klima\2%20Bilag%20slutrapport\04.%20Bilag%20til%20Regnskab%20for%20affald%20og%20spildevand\Bilag%2013%20-%20Spildevand%202019.xlsx" TargetMode="External"/></Relationships>
</file>

<file path=xl/externalLinks/_rels/externalLink27.xml.rels><?xml version="1.0" encoding="UTF-8" standalone="yes"?>
<Relationships xmlns="http://schemas.openxmlformats.org/package/2006/relationships"><Relationship Id="rId2" Type="http://schemas.microsoft.com/office/2019/04/relationships/externalLinkLongPath" Target="file:///\\planenergi.local\Teams\Team%20for%20Strategisk%20klima-%20og%20energiplanl&#230;gning\Dansk%20regnskab\Bilag%20skabeloner%202019\Bilag%20til%20Regnskab%20for%20affald%20og%20spildevand%20-%20mangler%20opdatering%20af%20faktorer\Bilag%2013%20-%20Spildevand%202019.xlsx?6B1CB1F4" TargetMode="External"/><Relationship Id="rId1" Type="http://schemas.openxmlformats.org/officeDocument/2006/relationships/externalLinkPath" Target="file:///\\6B1CB1F4\Bilag%2013%20-%20Spildevand%202019.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4(KP-I)A.1"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4(KP-I)A.2.1"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4(KP-I)A.2"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4(KP-I)B.1.1"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4(KP-I)B.1.2"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4(KP-I)B.1.3"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4(KP-I)B.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I)1"/>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I)2"/>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I)3"/>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I)4"/>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Recalculations"/>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ing"/>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A.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R-1"/>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R-2"/>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R-2"/>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R-3"/>
      <sheetName val="Grafer"/>
    </sheetNames>
    <sheetDataSet>
      <sheetData sheetId="0" refreshError="1"/>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on Syddanmark"/>
      <sheetName val="Assens Kommune"/>
      <sheetName val="Faaborg-Midtfyn Kommune"/>
      <sheetName val="Kerteminde Kommune"/>
      <sheetName val="Langeland Kommune"/>
      <sheetName val="Middelfart Kommune"/>
      <sheetName val="Nordfyns Kommune"/>
      <sheetName val="Nyborg Kommune"/>
      <sheetName val="Odense Kommune"/>
      <sheetName val="Svendborg Kommune"/>
      <sheetName val="Ærø Kommune"/>
      <sheetName val="Billund Kommune"/>
      <sheetName val="Esbjerg Kommune"/>
      <sheetName val="Fanø Kommune"/>
      <sheetName val="Fredericia Kommune"/>
      <sheetName val="Haderslev Kommune"/>
      <sheetName val="Kolding Kommune"/>
      <sheetName val="Sønderborg Kommune"/>
      <sheetName val="Tønder Kommune"/>
      <sheetName val="Varde Kommune"/>
      <sheetName val="Vejen Kommune"/>
      <sheetName val="Vejle Kommune"/>
      <sheetName val="Aabenraa Kommune"/>
      <sheetName val="Table5.A"/>
      <sheetName val="Table5.B"/>
      <sheetName val="Table5.C"/>
      <sheetName val="&gt;region el. kommune&l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6">
          <cell r="A6" t="str">
            <v>GREENHOUSE GAS SOURCE AND</v>
          </cell>
          <cell r="B6" t="str">
            <v>ACTIVITY  DATA  AND  OTHER  RELATED  INFORMATION</v>
          </cell>
          <cell r="E6" t="str">
            <v>IMPLIED EMISSION FACTOR</v>
          </cell>
          <cell r="G6" t="str">
            <v>EMISSIONS</v>
          </cell>
        </row>
        <row r="7">
          <cell r="A7" t="str">
            <v>SINK CATEGORIES</v>
          </cell>
        </row>
        <row r="8">
          <cell r="B8" t="str">
            <v xml:space="preserve">Annual waste at the SWDS   </v>
          </cell>
          <cell r="C8" t="str">
            <v>MCF</v>
          </cell>
          <cell r="D8" t="str">
            <v>DOCf</v>
          </cell>
          <cell r="E8" t="str">
            <v>CH4(1)</v>
          </cell>
          <cell r="F8" t="str">
            <v xml:space="preserve">CO2        </v>
          </cell>
          <cell r="G8" t="str">
            <v xml:space="preserve">CH4        </v>
          </cell>
          <cell r="J8" t="str">
            <v xml:space="preserve">CO2(4)        </v>
          </cell>
        </row>
        <row r="9">
          <cell r="G9" t="str">
            <v>Emissions(2)</v>
          </cell>
          <cell r="H9" t="str">
            <v>Amount of CH4 flared</v>
          </cell>
          <cell r="I9" t="str">
            <v>Amount of CH4 for energy recovery(3)</v>
          </cell>
        </row>
        <row r="10">
          <cell r="B10" t="str">
            <v xml:space="preserve">     (kt)</v>
          </cell>
          <cell r="D10" t="str">
            <v>%</v>
          </cell>
          <cell r="E10" t="str">
            <v>(t/t waste)</v>
          </cell>
          <cell r="G10" t="str">
            <v>(kt)</v>
          </cell>
        </row>
        <row r="11">
          <cell r="A11" t="str">
            <v>1.  Managed waste disposal sites</v>
          </cell>
          <cell r="B11">
            <v>2725.8783692788402</v>
          </cell>
          <cell r="C11" t="str">
            <v/>
          </cell>
          <cell r="D11" t="str">
            <v/>
          </cell>
          <cell r="E11">
            <v>7.9003525751399992E-3</v>
          </cell>
          <cell r="F11" t="str">
            <v>NO,NA</v>
          </cell>
          <cell r="G11">
            <v>21.535400194261001</v>
          </cell>
          <cell r="H11" t="str">
            <v>NO,NE</v>
          </cell>
          <cell r="I11">
            <v>3.8302514958999998</v>
          </cell>
          <cell r="J11" t="str">
            <v>NO,NA</v>
          </cell>
        </row>
        <row r="12">
          <cell r="A12" t="str">
            <v>a. Anaerobic</v>
          </cell>
          <cell r="B12">
            <v>2725.8783692788402</v>
          </cell>
          <cell r="C12">
            <v>1</v>
          </cell>
          <cell r="D12">
            <v>0.5</v>
          </cell>
          <cell r="E12">
            <v>7.9003525751399992E-3</v>
          </cell>
          <cell r="F12" t="str">
            <v>NA</v>
          </cell>
          <cell r="G12">
            <v>21.535400194261001</v>
          </cell>
          <cell r="H12" t="str">
            <v>NE,NO</v>
          </cell>
          <cell r="I12">
            <v>3.8302514958999998</v>
          </cell>
          <cell r="J12" t="str">
            <v>NA</v>
          </cell>
        </row>
        <row r="13">
          <cell r="A13" t="str">
            <v>b. Semi-aerobic</v>
          </cell>
          <cell r="B13" t="str">
            <v>NO</v>
          </cell>
          <cell r="C13" t="str">
            <v>NO</v>
          </cell>
          <cell r="D13" t="str">
            <v>NO</v>
          </cell>
          <cell r="E13" t="str">
            <v>NO</v>
          </cell>
          <cell r="F13" t="str">
            <v>NO</v>
          </cell>
          <cell r="G13" t="str">
            <v>NO</v>
          </cell>
          <cell r="H13" t="str">
            <v>NO</v>
          </cell>
          <cell r="I13" t="str">
            <v>NO</v>
          </cell>
          <cell r="J13" t="str">
            <v>NO</v>
          </cell>
        </row>
        <row r="14">
          <cell r="A14" t="str">
            <v>2.  Unmanaged waste disposal sites</v>
          </cell>
          <cell r="B14">
            <v>0.57199198199573997</v>
          </cell>
          <cell r="C14" t="str">
            <v>NO</v>
          </cell>
          <cell r="D14" t="str">
            <v>NO</v>
          </cell>
          <cell r="E14">
            <v>2.117177424984E-2</v>
          </cell>
          <cell r="F14" t="str">
            <v>NA,NO</v>
          </cell>
          <cell r="G14">
            <v>1.211008511553E-2</v>
          </cell>
          <cell r="H14" t="str">
            <v>NE,NO</v>
          </cell>
          <cell r="I14" t="str">
            <v>NE,NO</v>
          </cell>
          <cell r="J14" t="str">
            <v>NA,NO</v>
          </cell>
        </row>
        <row r="15">
          <cell r="A15" t="str">
            <v>3.  Uncategorized waste disposal sites</v>
          </cell>
          <cell r="B15" t="str">
            <v>NO</v>
          </cell>
          <cell r="C15" t="str">
            <v>NO</v>
          </cell>
          <cell r="D15" t="str">
            <v>NO</v>
          </cell>
          <cell r="E15" t="str">
            <v>NO</v>
          </cell>
          <cell r="F15" t="str">
            <v>NO</v>
          </cell>
          <cell r="G15" t="str">
            <v>NO</v>
          </cell>
          <cell r="H15" t="str">
            <v>NO</v>
          </cell>
          <cell r="I15" t="str">
            <v>NO</v>
          </cell>
          <cell r="J15" t="str">
            <v>NO</v>
          </cell>
        </row>
        <row r="26">
          <cell r="A26" t="str">
            <v xml:space="preserve">Documentation box: </v>
          </cell>
        </row>
        <row r="27">
          <cell r="A27" t="str">
            <v>• Parties should provide detailed explanations on the waste sector in chapter 7: waste (CRF sector 5) of the national invnetory report (NIR).  Use this documentation box to provide references to relevant sections of the NIR if any additional information and/or further details are needed to understand the content of this table.</v>
          </cell>
        </row>
        <row r="28">
          <cell r="A28" t="str">
            <v>• Parties that use country-specific models should provide a reference in the documentation box to the relevant section in the NIR where these models are described, and fill in only the relevant cells of table 5.A.</v>
          </cell>
        </row>
        <row r="29">
          <cell r="A29" t="str">
            <v xml:space="preserve">• Provide a reference to the relevant section in the NIR, in particular with regard to: </v>
          </cell>
        </row>
        <row r="30">
          <cell r="A30" t="str">
            <v xml:space="preserve">           (a) The population size (total or urban population) used in the calculations and the rationale for doing so;</v>
          </cell>
        </row>
        <row r="31">
          <cell r="A31" t="str">
            <v xml:space="preserve">           (b) The composition of landfilled waste. </v>
          </cell>
        </row>
        <row r="32">
          <cell r="A32" t="str">
            <v xml:space="preserve">• Parties should specify the category in the energy sector under which the emissions from energy recovery are reported. </v>
          </cell>
        </row>
      </sheetData>
      <sheetData sheetId="24">
        <row r="5">
          <cell r="A5" t="str">
            <v>GREENHOUSE GAS SOURCE AND SINK CATEGORIES</v>
          </cell>
          <cell r="B5" t="str">
            <v>ACTIVITY  DATA  AND  OTHER  RELATED  INFORMATION</v>
          </cell>
          <cell r="C5" t="str">
            <v>IMPLIED EMISSION FACTOR</v>
          </cell>
          <cell r="E5" t="str">
            <v>EMISSIONS</v>
          </cell>
        </row>
        <row r="6">
          <cell r="B6" t="str">
            <v xml:space="preserve">Annual waste amount treated </v>
          </cell>
          <cell r="C6" t="str">
            <v>CH4(1)</v>
          </cell>
          <cell r="D6" t="str">
            <v>N2O</v>
          </cell>
          <cell r="E6" t="str">
            <v xml:space="preserve">CH4        </v>
          </cell>
          <cell r="H6" t="str">
            <v>N2O</v>
          </cell>
        </row>
        <row r="7">
          <cell r="E7" t="str">
            <v>Emissions(2)</v>
          </cell>
          <cell r="F7" t="str">
            <v>Amount of CH4 flared</v>
          </cell>
          <cell r="G7" t="str">
            <v>Amount of CH4 for energy recovery(3)</v>
          </cell>
        </row>
        <row r="8">
          <cell r="B8" t="str">
            <v xml:space="preserve">     (kt dm )</v>
          </cell>
          <cell r="C8" t="str">
            <v>(g/kg waste)</v>
          </cell>
          <cell r="E8" t="str">
            <v>(kt)</v>
          </cell>
        </row>
        <row r="9">
          <cell r="A9" t="str">
            <v>1. Composting</v>
          </cell>
          <cell r="B9" t="str">
            <v>NO</v>
          </cell>
          <cell r="C9" t="str">
            <v>NO</v>
          </cell>
          <cell r="D9" t="str">
            <v>NO</v>
          </cell>
          <cell r="E9">
            <v>3.4574373999999999</v>
          </cell>
          <cell r="F9" t="str">
            <v>NO</v>
          </cell>
          <cell r="G9" t="str">
            <v/>
          </cell>
          <cell r="H9">
            <v>0.2493351</v>
          </cell>
        </row>
        <row r="10">
          <cell r="A10" t="str">
            <v>Municipal solid waste</v>
          </cell>
          <cell r="B10" t="str">
            <v>NO</v>
          </cell>
          <cell r="C10" t="str">
            <v>NO</v>
          </cell>
          <cell r="D10" t="str">
            <v>NO</v>
          </cell>
          <cell r="E10" t="str">
            <v>NO</v>
          </cell>
          <cell r="F10" t="str">
            <v>NO</v>
          </cell>
          <cell r="G10" t="str">
            <v/>
          </cell>
          <cell r="H10" t="str">
            <v>NO</v>
          </cell>
        </row>
        <row r="11">
          <cell r="A11" t="str">
            <v>Other (please specify)(4)</v>
          </cell>
          <cell r="B11" t="str">
            <v>NO</v>
          </cell>
          <cell r="C11" t="str">
            <v>NO</v>
          </cell>
          <cell r="D11" t="str">
            <v>NO</v>
          </cell>
          <cell r="E11">
            <v>3.4574373999999999</v>
          </cell>
          <cell r="F11" t="str">
            <v>NO</v>
          </cell>
          <cell r="G11" t="str">
            <v/>
          </cell>
          <cell r="H11">
            <v>0.2493351</v>
          </cell>
        </row>
        <row r="12">
          <cell r="A12" t="str">
            <v>Food and garden waste</v>
          </cell>
          <cell r="B12" t="str">
            <v>NO</v>
          </cell>
          <cell r="C12" t="str">
            <v>NO</v>
          </cell>
          <cell r="D12" t="str">
            <v>NO</v>
          </cell>
          <cell r="E12">
            <v>3.4574373999999999</v>
          </cell>
          <cell r="F12" t="str">
            <v>NO</v>
          </cell>
          <cell r="G12" t="str">
            <v/>
          </cell>
          <cell r="H12">
            <v>0.2493351</v>
          </cell>
        </row>
        <row r="13">
          <cell r="A13" t="str">
            <v>2. Anaerobic digestion at biogas facilities(3)</v>
          </cell>
          <cell r="B13" t="str">
            <v>NO,NE</v>
          </cell>
          <cell r="C13" t="str">
            <v>NO,NE</v>
          </cell>
          <cell r="D13" t="str">
            <v>NO,NA</v>
          </cell>
          <cell r="E13">
            <v>12.8333254019214</v>
          </cell>
          <cell r="F13" t="str">
            <v>NO</v>
          </cell>
          <cell r="G13" t="str">
            <v>NO</v>
          </cell>
          <cell r="H13" t="str">
            <v>NO,NA</v>
          </cell>
        </row>
        <row r="14">
          <cell r="A14" t="str">
            <v>Municipal solid waste</v>
          </cell>
          <cell r="B14" t="str">
            <v>NO</v>
          </cell>
          <cell r="C14" t="str">
            <v>NO</v>
          </cell>
          <cell r="D14" t="str">
            <v>NO</v>
          </cell>
          <cell r="E14" t="str">
            <v>NO</v>
          </cell>
          <cell r="F14" t="str">
            <v>NO</v>
          </cell>
          <cell r="G14" t="str">
            <v>NO</v>
          </cell>
          <cell r="H14" t="str">
            <v>NO</v>
          </cell>
        </row>
        <row r="15">
          <cell r="A15" t="str">
            <v>Other (please specify)(4)</v>
          </cell>
          <cell r="B15" t="str">
            <v>NE</v>
          </cell>
          <cell r="C15" t="str">
            <v>NE</v>
          </cell>
          <cell r="D15" t="str">
            <v>NA</v>
          </cell>
          <cell r="E15">
            <v>12.8333254019214</v>
          </cell>
          <cell r="F15" t="str">
            <v>NO</v>
          </cell>
          <cell r="G15" t="str">
            <v>NO</v>
          </cell>
          <cell r="H15" t="str">
            <v>NA</v>
          </cell>
        </row>
        <row r="16">
          <cell r="A16" t="str">
            <v>Animal manure and other organic waste</v>
          </cell>
          <cell r="B16" t="str">
            <v>NE</v>
          </cell>
          <cell r="C16" t="str">
            <v>NE</v>
          </cell>
          <cell r="D16" t="str">
            <v>NA</v>
          </cell>
          <cell r="E16">
            <v>12.8333254019214</v>
          </cell>
          <cell r="F16" t="str">
            <v>NO</v>
          </cell>
          <cell r="G16" t="str">
            <v>NO</v>
          </cell>
          <cell r="H16" t="str">
            <v>NA</v>
          </cell>
        </row>
        <row r="22">
          <cell r="A22" t="str">
            <v xml:space="preserve">Documentation box: </v>
          </cell>
        </row>
        <row r="23">
          <cell r="A23" t="str">
            <v>•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v>
          </cell>
        </row>
        <row r="24">
          <cell r="A24" t="str">
            <v xml:space="preserve">• Parties should specify the category in the energy sector under which the emissions from energy recovery are reported. </v>
          </cell>
        </row>
      </sheetData>
      <sheetData sheetId="25">
        <row r="5">
          <cell r="A5" t="str">
            <v>GREENHOUSE GAS SOURCE AND</v>
          </cell>
          <cell r="B5" t="str">
            <v>ACTIVITY DATA</v>
          </cell>
          <cell r="C5" t="str">
            <v>IMPLIED EMISSION FACTOR</v>
          </cell>
          <cell r="F5" t="str">
            <v>EMISSIONS</v>
          </cell>
        </row>
        <row r="6">
          <cell r="A6" t="str">
            <v>SINK CATEGORIES</v>
          </cell>
          <cell r="B6" t="str">
            <v>Amount of wastes (incinerated/open burned)</v>
          </cell>
        </row>
        <row r="7">
          <cell r="C7" t="str">
            <v xml:space="preserve">CO2         </v>
          </cell>
          <cell r="D7" t="str">
            <v>CH4</v>
          </cell>
          <cell r="E7" t="str">
            <v>N2O</v>
          </cell>
          <cell r="F7" t="str">
            <v>CO2</v>
          </cell>
          <cell r="G7" t="str">
            <v>CH4</v>
          </cell>
          <cell r="H7" t="str">
            <v>N2O</v>
          </cell>
        </row>
        <row r="8">
          <cell r="B8" t="str">
            <v>(kt wet weight)</v>
          </cell>
          <cell r="C8" t="str">
            <v>(kg/t waste)</v>
          </cell>
          <cell r="F8" t="str">
            <v>(kt)</v>
          </cell>
        </row>
        <row r="9">
          <cell r="A9" t="str">
            <v>1. Waste Incineration</v>
          </cell>
          <cell r="B9">
            <v>4.7585885587816401</v>
          </cell>
          <cell r="C9">
            <v>296.16306131066375</v>
          </cell>
          <cell r="D9">
            <v>0.39765120111676</v>
          </cell>
          <cell r="E9">
            <v>0.22892320985803</v>
          </cell>
          <cell r="F9">
            <v>1.40931815508667</v>
          </cell>
          <cell r="G9">
            <v>1.8922584560199999E-3</v>
          </cell>
          <cell r="H9">
            <v>1.0893513672699999E-3</v>
          </cell>
        </row>
        <row r="10">
          <cell r="A10" t="str">
            <v>Biogenic (1)</v>
          </cell>
          <cell r="B10">
            <v>3.1261737073299001</v>
          </cell>
          <cell r="C10">
            <v>1935.5200876522285</v>
          </cell>
          <cell r="D10">
            <v>0.44080972678482999</v>
          </cell>
          <cell r="E10">
            <v>0.32653014166057998</v>
          </cell>
          <cell r="F10">
            <v>6.05077200802726</v>
          </cell>
          <cell r="G10">
            <v>1.3780477778100001E-3</v>
          </cell>
          <cell r="H10">
            <v>1.02078994351E-3</v>
          </cell>
        </row>
        <row r="11">
          <cell r="A11" t="str">
            <v>Municipal solid waste</v>
          </cell>
          <cell r="B11">
            <v>1.9951737073299001</v>
          </cell>
          <cell r="C11">
            <v>1433.727272727273</v>
          </cell>
          <cell r="D11">
            <v>0.31500000000054001</v>
          </cell>
          <cell r="E11">
            <v>4.2000000001070001E-2</v>
          </cell>
          <cell r="F11">
            <v>2.8605349580272601</v>
          </cell>
          <cell r="G11">
            <v>6.2847971780999995E-4</v>
          </cell>
          <cell r="H11">
            <v>8.3797295709999995E-5</v>
          </cell>
        </row>
        <row r="12">
          <cell r="A12" t="str">
            <v>Other (please specify)(2)</v>
          </cell>
          <cell r="B12">
            <v>1.131</v>
          </cell>
          <cell r="C12">
            <v>2820.7224137931034</v>
          </cell>
          <cell r="D12">
            <v>0.66274806366048</v>
          </cell>
          <cell r="E12">
            <v>0.82846387957559997</v>
          </cell>
          <cell r="F12">
            <v>3.1902370499999999</v>
          </cell>
          <cell r="G12">
            <v>7.4956806000000002E-4</v>
          </cell>
          <cell r="H12">
            <v>9.3699264780000005E-4</v>
          </cell>
        </row>
        <row r="13">
          <cell r="A13" t="str">
            <v>Other (please specify)</v>
          </cell>
          <cell r="B13">
            <v>1.131</v>
          </cell>
          <cell r="C13">
            <v>2820.7224137931034</v>
          </cell>
          <cell r="D13">
            <v>0.66274806366048</v>
          </cell>
          <cell r="E13">
            <v>0.82846387957559997</v>
          </cell>
          <cell r="F13">
            <v>3.1902370499999999</v>
          </cell>
          <cell r="G13">
            <v>7.4956806000000002E-4</v>
          </cell>
          <cell r="H13">
            <v>9.3699264780000005E-4</v>
          </cell>
        </row>
        <row r="14">
          <cell r="A14" t="str">
            <v>Animal cremations</v>
          </cell>
          <cell r="B14">
            <v>1.131</v>
          </cell>
          <cell r="C14">
            <v>770</v>
          </cell>
          <cell r="D14">
            <v>0.18090000000000001</v>
          </cell>
          <cell r="E14">
            <v>0.22615379999999999</v>
          </cell>
          <cell r="F14">
            <v>0.87087000000000003</v>
          </cell>
          <cell r="G14">
            <v>2.045979E-4</v>
          </cell>
          <cell r="H14">
            <v>2.5577994779999997E-4</v>
          </cell>
        </row>
        <row r="15">
          <cell r="A15" t="str">
            <v>Human cremations</v>
          </cell>
          <cell r="B15" t="str">
            <v>NO</v>
          </cell>
          <cell r="C15" t="str">
            <v>NO</v>
          </cell>
          <cell r="D15" t="str">
            <v>NO</v>
          </cell>
          <cell r="E15" t="str">
            <v>NO</v>
          </cell>
          <cell r="F15">
            <v>2.3193670499999999</v>
          </cell>
          <cell r="G15">
            <v>5.4497015999999999E-4</v>
          </cell>
          <cell r="H15">
            <v>6.8121269999999996E-4</v>
          </cell>
        </row>
        <row r="16">
          <cell r="A16" t="str">
            <v>Non-biogenic</v>
          </cell>
          <cell r="B16">
            <v>1.63241485145174</v>
          </cell>
          <cell r="C16">
            <v>863.33333333333405</v>
          </cell>
          <cell r="D16">
            <v>0.31500000000166001</v>
          </cell>
          <cell r="E16">
            <v>4.1999999999400003E-2</v>
          </cell>
          <cell r="F16">
            <v>1.40931815508667</v>
          </cell>
          <cell r="G16">
            <v>5.1421067820999996E-4</v>
          </cell>
          <cell r="H16">
            <v>6.856142376E-5</v>
          </cell>
        </row>
        <row r="17">
          <cell r="A17" t="str">
            <v>Municipal solid waste</v>
          </cell>
          <cell r="B17">
            <v>1.63241485145174</v>
          </cell>
          <cell r="C17">
            <v>863.33333333333405</v>
          </cell>
          <cell r="D17">
            <v>0.31500000000166001</v>
          </cell>
          <cell r="E17">
            <v>4.1999999999400003E-2</v>
          </cell>
          <cell r="F17">
            <v>1.40931815508667</v>
          </cell>
          <cell r="G17">
            <v>5.1421067820999996E-4</v>
          </cell>
          <cell r="H17">
            <v>6.856142376E-5</v>
          </cell>
        </row>
        <row r="18">
          <cell r="A18" t="str">
            <v>Other (please specify)(3)</v>
          </cell>
          <cell r="B18" t="str">
            <v>NO</v>
          </cell>
          <cell r="C18" t="str">
            <v>NO</v>
          </cell>
          <cell r="D18" t="str">
            <v>NO</v>
          </cell>
          <cell r="E18" t="str">
            <v>NO</v>
          </cell>
          <cell r="F18" t="str">
            <v>NO</v>
          </cell>
          <cell r="G18" t="str">
            <v>NO</v>
          </cell>
          <cell r="H18" t="str">
            <v>NO</v>
          </cell>
        </row>
        <row r="19">
          <cell r="A19" t="str">
            <v>2. Open burning of waste</v>
          </cell>
          <cell r="B19">
            <v>11.659419261158821</v>
          </cell>
          <cell r="C19">
            <v>153.95680416956219</v>
          </cell>
          <cell r="D19">
            <v>6.5000000000006599</v>
          </cell>
          <cell r="E19">
            <v>0.14999999999967001</v>
          </cell>
          <cell r="F19">
            <v>1.7950469279210499</v>
          </cell>
          <cell r="G19">
            <v>7.5786225197539997E-2</v>
          </cell>
          <cell r="H19">
            <v>1.74891288917E-3</v>
          </cell>
        </row>
        <row r="20">
          <cell r="A20" t="str">
            <v>Biogenic (1)</v>
          </cell>
          <cell r="B20">
            <v>8.3011175965548496</v>
          </cell>
          <cell r="C20">
            <v>510.62102786345491</v>
          </cell>
          <cell r="D20">
            <v>6.5000000000004201</v>
          </cell>
          <cell r="E20">
            <v>0.14999999999961</v>
          </cell>
          <cell r="F20">
            <v>4.2387251995682496</v>
          </cell>
          <cell r="G20">
            <v>5.3957264377609997E-2</v>
          </cell>
          <cell r="H20">
            <v>1.2451676394799999E-3</v>
          </cell>
        </row>
        <row r="21">
          <cell r="A21" t="str">
            <v>Municipal solid waste</v>
          </cell>
          <cell r="B21">
            <v>8.3011175965548496</v>
          </cell>
          <cell r="C21">
            <v>510.62102786345491</v>
          </cell>
          <cell r="D21">
            <v>6.5000000000004201</v>
          </cell>
          <cell r="E21">
            <v>0.14999999999961</v>
          </cell>
          <cell r="F21">
            <v>4.2387251995682496</v>
          </cell>
          <cell r="G21">
            <v>5.3957264377609997E-2</v>
          </cell>
          <cell r="H21">
            <v>1.2451676394799999E-3</v>
          </cell>
        </row>
        <row r="22">
          <cell r="A22" t="str">
            <v>Other (please specify)</v>
          </cell>
          <cell r="B22" t="str">
            <v>NO</v>
          </cell>
          <cell r="C22" t="str">
            <v>NO</v>
          </cell>
          <cell r="D22" t="str">
            <v>NO</v>
          </cell>
          <cell r="E22" t="str">
            <v>NO</v>
          </cell>
          <cell r="F22" t="str">
            <v>NO</v>
          </cell>
          <cell r="G22" t="str">
            <v>NO</v>
          </cell>
          <cell r="H22" t="str">
            <v>NO</v>
          </cell>
        </row>
        <row r="23">
          <cell r="A23" t="str">
            <v>Non-biogenic</v>
          </cell>
          <cell r="B23">
            <v>3.3583016646039701</v>
          </cell>
          <cell r="C23">
            <v>534.51032908704826</v>
          </cell>
          <cell r="D23">
            <v>6.5000000000012497</v>
          </cell>
          <cell r="E23">
            <v>0.14999999999982</v>
          </cell>
          <cell r="F23">
            <v>1.7950469279210499</v>
          </cell>
          <cell r="G23">
            <v>2.182896081993E-2</v>
          </cell>
          <cell r="H23">
            <v>5.0374524969000001E-4</v>
          </cell>
        </row>
        <row r="24">
          <cell r="A24" t="str">
            <v>Municipal solid waste</v>
          </cell>
          <cell r="B24">
            <v>3.3583016646039701</v>
          </cell>
          <cell r="C24">
            <v>534.51032908704826</v>
          </cell>
          <cell r="D24">
            <v>6.5000000000012497</v>
          </cell>
          <cell r="E24">
            <v>0.14999999999982</v>
          </cell>
          <cell r="F24">
            <v>1.7950469279210499</v>
          </cell>
          <cell r="G24">
            <v>2.182896081993E-2</v>
          </cell>
          <cell r="H24">
            <v>5.0374524969000001E-4</v>
          </cell>
        </row>
        <row r="25">
          <cell r="A25" t="str">
            <v>Other (please specify)</v>
          </cell>
          <cell r="B25" t="str">
            <v>NO</v>
          </cell>
          <cell r="C25" t="str">
            <v>NO</v>
          </cell>
          <cell r="D25" t="str">
            <v>NO</v>
          </cell>
          <cell r="E25" t="str">
            <v>NO</v>
          </cell>
          <cell r="F25" t="str">
            <v>NO</v>
          </cell>
          <cell r="G25" t="str">
            <v>NO</v>
          </cell>
          <cell r="H25" t="str">
            <v>NO</v>
          </cell>
        </row>
        <row r="34">
          <cell r="A34" t="str">
            <v xml:space="preserve">Documentation box: </v>
          </cell>
        </row>
        <row r="35">
          <cell r="A35" t="str">
            <v>•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v>
          </cell>
        </row>
        <row r="36">
          <cell r="A36" t="str">
            <v>• Parties that use country-specific models should provide a reference in the documentation box to the relevant section in the NIR where these models are described, and fill in only the relevant cells of table 5.C.</v>
          </cell>
        </row>
        <row r="37">
          <cell r="A37" t="str">
            <v>• Provide a reference to the relevant section of the NIR, in particular with regard to the amount of incinerated waste (specify whether the reported data relate to wet or dry matter).</v>
          </cell>
        </row>
      </sheetData>
      <sheetData sheetId="2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region el. kommune&lt;"/>
      <sheetName val="Table5.A"/>
      <sheetName val="Table5.B"/>
      <sheetName val="Table5.C"/>
    </sheetNames>
    <sheetDataSet>
      <sheetData sheetId="0" refreshError="1"/>
      <sheetData sheetId="1">
        <row r="6">
          <cell r="A6" t="str">
            <v>GREENHOUSE GAS SOURCE AND</v>
          </cell>
          <cell r="B6" t="str">
            <v>ACTIVITY  DATA  AND  OTHER  RELATED  INFORMATION</v>
          </cell>
          <cell r="E6" t="str">
            <v>IMPLIED EMISSION FACTOR</v>
          </cell>
          <cell r="G6" t="str">
            <v>EMISSIONS</v>
          </cell>
        </row>
        <row r="7">
          <cell r="A7" t="str">
            <v>SINK CATEGORIES</v>
          </cell>
        </row>
        <row r="8">
          <cell r="B8" t="str">
            <v xml:space="preserve">Annual waste at the SWDS   </v>
          </cell>
          <cell r="C8" t="str">
            <v>MCF</v>
          </cell>
          <cell r="D8" t="str">
            <v>DOCf</v>
          </cell>
          <cell r="E8" t="str">
            <v>CH4(1)</v>
          </cell>
          <cell r="F8" t="str">
            <v xml:space="preserve">CO2        </v>
          </cell>
          <cell r="G8" t="str">
            <v xml:space="preserve">CH4        </v>
          </cell>
          <cell r="J8" t="str">
            <v xml:space="preserve">CO2(4)        </v>
          </cell>
        </row>
        <row r="9">
          <cell r="G9" t="str">
            <v>Emissions(2)</v>
          </cell>
          <cell r="H9" t="str">
            <v>Amount of CH4 flared</v>
          </cell>
          <cell r="I9" t="str">
            <v>Amount of CH4 for energy recovery(3)</v>
          </cell>
        </row>
        <row r="10">
          <cell r="B10" t="str">
            <v xml:space="preserve">     (kt)</v>
          </cell>
          <cell r="D10" t="str">
            <v>%</v>
          </cell>
          <cell r="E10" t="str">
            <v>(t/t waste)</v>
          </cell>
          <cell r="G10" t="str">
            <v>(kt)</v>
          </cell>
        </row>
        <row r="11">
          <cell r="A11" t="str">
            <v>1.  Managed waste disposal sites</v>
          </cell>
          <cell r="B11">
            <v>2725.8783692788402</v>
          </cell>
          <cell r="C11" t="str">
            <v/>
          </cell>
          <cell r="D11" t="str">
            <v/>
          </cell>
          <cell r="E11">
            <v>7.9003525751399992E-3</v>
          </cell>
          <cell r="F11" t="str">
            <v>NO,NA</v>
          </cell>
          <cell r="G11">
            <v>21.535400194261001</v>
          </cell>
          <cell r="H11" t="str">
            <v>NO,NE</v>
          </cell>
          <cell r="I11">
            <v>3.8302514958999998</v>
          </cell>
          <cell r="J11" t="str">
            <v>NO,NA</v>
          </cell>
        </row>
        <row r="12">
          <cell r="A12" t="str">
            <v>a. Anaerobic</v>
          </cell>
          <cell r="B12">
            <v>2725.8783692788402</v>
          </cell>
          <cell r="C12">
            <v>1</v>
          </cell>
          <cell r="D12">
            <v>0.5</v>
          </cell>
          <cell r="E12">
            <v>7.9003525751399992E-3</v>
          </cell>
          <cell r="F12" t="str">
            <v>NA</v>
          </cell>
          <cell r="G12">
            <v>21.535400194261001</v>
          </cell>
          <cell r="H12" t="str">
            <v>NE,NO</v>
          </cell>
          <cell r="I12">
            <v>3.8302514958999998</v>
          </cell>
          <cell r="J12" t="str">
            <v>NA</v>
          </cell>
        </row>
        <row r="13">
          <cell r="A13" t="str">
            <v>b. Semi-aerobic</v>
          </cell>
          <cell r="B13" t="str">
            <v>NO</v>
          </cell>
          <cell r="C13" t="str">
            <v>NO</v>
          </cell>
          <cell r="D13" t="str">
            <v>NO</v>
          </cell>
          <cell r="E13" t="str">
            <v>NO</v>
          </cell>
          <cell r="F13" t="str">
            <v>NO</v>
          </cell>
          <cell r="G13" t="str">
            <v>NO</v>
          </cell>
          <cell r="H13" t="str">
            <v>NO</v>
          </cell>
          <cell r="I13" t="str">
            <v>NO</v>
          </cell>
          <cell r="J13" t="str">
            <v>NO</v>
          </cell>
        </row>
        <row r="14">
          <cell r="A14" t="str">
            <v>2.  Unmanaged waste disposal sites</v>
          </cell>
          <cell r="B14">
            <v>0.57199198199573997</v>
          </cell>
          <cell r="C14" t="str">
            <v>NO</v>
          </cell>
          <cell r="D14" t="str">
            <v>NO</v>
          </cell>
          <cell r="E14">
            <v>2.117177424984E-2</v>
          </cell>
          <cell r="F14" t="str">
            <v>NA,NO</v>
          </cell>
          <cell r="G14">
            <v>1.211008511553E-2</v>
          </cell>
          <cell r="H14" t="str">
            <v>NE,NO</v>
          </cell>
          <cell r="I14" t="str">
            <v>NE,NO</v>
          </cell>
          <cell r="J14" t="str">
            <v>NA,NO</v>
          </cell>
        </row>
        <row r="15">
          <cell r="A15" t="str">
            <v>3.  Uncategorized waste disposal sites</v>
          </cell>
          <cell r="B15" t="str">
            <v>NO</v>
          </cell>
          <cell r="C15" t="str">
            <v>NO</v>
          </cell>
          <cell r="D15" t="str">
            <v>NO</v>
          </cell>
          <cell r="E15" t="str">
            <v>NO</v>
          </cell>
          <cell r="F15" t="str">
            <v>NO</v>
          </cell>
          <cell r="G15" t="str">
            <v>NO</v>
          </cell>
          <cell r="H15" t="str">
            <v>NO</v>
          </cell>
          <cell r="I15" t="str">
            <v>NO</v>
          </cell>
          <cell r="J15" t="str">
            <v>NO</v>
          </cell>
        </row>
        <row r="26">
          <cell r="A26" t="str">
            <v xml:space="preserve">Documentation box: </v>
          </cell>
        </row>
        <row r="27">
          <cell r="A27" t="str">
            <v>• Parties should provide detailed explanations on the waste sector in chapter 7: waste (CRF sector 5) of the national invnetory report (NIR).  Use this documentation box to provide references to relevant sections of the NIR if any additional information and/or further details are needed to understand the content of this table.</v>
          </cell>
        </row>
        <row r="28">
          <cell r="A28" t="str">
            <v>• Parties that use country-specific models should provide a reference in the documentation box to the relevant section in the NIR where these models are described, and fill in only the relevant cells of table 5.A.</v>
          </cell>
        </row>
        <row r="29">
          <cell r="A29" t="str">
            <v xml:space="preserve">• Provide a reference to the relevant section in the NIR, in particular with regard to: </v>
          </cell>
        </row>
        <row r="30">
          <cell r="A30" t="str">
            <v xml:space="preserve">           (a) The population size (total or urban population) used in the calculations and the rationale for doing so;</v>
          </cell>
        </row>
        <row r="31">
          <cell r="A31" t="str">
            <v xml:space="preserve">           (b) The composition of landfilled waste. </v>
          </cell>
        </row>
        <row r="32">
          <cell r="A32" t="str">
            <v xml:space="preserve">• Parties should specify the category in the energy sector under which the emissions from energy recovery are reported. </v>
          </cell>
        </row>
      </sheetData>
      <sheetData sheetId="2">
        <row r="5">
          <cell r="A5" t="str">
            <v>GREENHOUSE GAS SOURCE AND SINK CATEGORIES</v>
          </cell>
          <cell r="B5" t="str">
            <v>ACTIVITY  DATA  AND  OTHER  RELATED  INFORMATION</v>
          </cell>
          <cell r="C5" t="str">
            <v>IMPLIED EMISSION FACTOR</v>
          </cell>
          <cell r="E5" t="str">
            <v>EMISSIONS</v>
          </cell>
        </row>
        <row r="6">
          <cell r="B6" t="str">
            <v xml:space="preserve">Annual waste amount treated </v>
          </cell>
          <cell r="C6" t="str">
            <v>CH4(1)</v>
          </cell>
          <cell r="D6" t="str">
            <v>N2O</v>
          </cell>
          <cell r="E6" t="str">
            <v xml:space="preserve">CH4        </v>
          </cell>
          <cell r="H6" t="str">
            <v>N2O</v>
          </cell>
        </row>
        <row r="7">
          <cell r="E7" t="str">
            <v>Emissions(2)</v>
          </cell>
          <cell r="F7" t="str">
            <v>Amount of CH4 flared</v>
          </cell>
          <cell r="G7" t="str">
            <v>Amount of CH4 for energy recovery(3)</v>
          </cell>
        </row>
        <row r="8">
          <cell r="B8" t="str">
            <v xml:space="preserve">     (kt dm )</v>
          </cell>
          <cell r="C8" t="str">
            <v>(g/kg waste)</v>
          </cell>
          <cell r="E8" t="str">
            <v>(kt)</v>
          </cell>
        </row>
        <row r="9">
          <cell r="A9" t="str">
            <v>1. Composting</v>
          </cell>
          <cell r="B9" t="str">
            <v>NO</v>
          </cell>
          <cell r="C9" t="str">
            <v>NO</v>
          </cell>
          <cell r="D9" t="str">
            <v>NO</v>
          </cell>
          <cell r="E9">
            <v>3.4574373999999999</v>
          </cell>
          <cell r="F9" t="str">
            <v>NO</v>
          </cell>
          <cell r="G9" t="str">
            <v/>
          </cell>
          <cell r="H9">
            <v>0.2493351</v>
          </cell>
        </row>
        <row r="10">
          <cell r="A10" t="str">
            <v>Municipal solid waste</v>
          </cell>
          <cell r="B10" t="str">
            <v>NO</v>
          </cell>
          <cell r="C10" t="str">
            <v>NO</v>
          </cell>
          <cell r="D10" t="str">
            <v>NO</v>
          </cell>
          <cell r="E10" t="str">
            <v>NO</v>
          </cell>
          <cell r="F10" t="str">
            <v>NO</v>
          </cell>
          <cell r="G10" t="str">
            <v/>
          </cell>
          <cell r="H10" t="str">
            <v>NO</v>
          </cell>
        </row>
        <row r="11">
          <cell r="A11" t="str">
            <v>Other (please specify)(4)</v>
          </cell>
          <cell r="B11" t="str">
            <v>NO</v>
          </cell>
          <cell r="C11" t="str">
            <v>NO</v>
          </cell>
          <cell r="D11" t="str">
            <v>NO</v>
          </cell>
          <cell r="E11">
            <v>3.4574373999999999</v>
          </cell>
          <cell r="F11" t="str">
            <v>NO</v>
          </cell>
          <cell r="G11" t="str">
            <v/>
          </cell>
          <cell r="H11">
            <v>0.2493351</v>
          </cell>
        </row>
        <row r="12">
          <cell r="A12" t="str">
            <v>Food and garden waste</v>
          </cell>
          <cell r="B12" t="str">
            <v>NO</v>
          </cell>
          <cell r="C12" t="str">
            <v>NO</v>
          </cell>
          <cell r="D12" t="str">
            <v>NO</v>
          </cell>
          <cell r="E12">
            <v>3.4574373999999999</v>
          </cell>
          <cell r="F12" t="str">
            <v>NO</v>
          </cell>
          <cell r="G12" t="str">
            <v/>
          </cell>
          <cell r="H12">
            <v>0.2493351</v>
          </cell>
        </row>
        <row r="13">
          <cell r="A13" t="str">
            <v>2. Anaerobic digestion at biogas facilities(3)</v>
          </cell>
          <cell r="B13" t="str">
            <v>NO,NE</v>
          </cell>
          <cell r="C13" t="str">
            <v>NO,NE</v>
          </cell>
          <cell r="D13" t="str">
            <v>NO,NA</v>
          </cell>
          <cell r="E13">
            <v>12.8333254019214</v>
          </cell>
          <cell r="F13" t="str">
            <v>NO</v>
          </cell>
          <cell r="G13" t="str">
            <v>NO</v>
          </cell>
          <cell r="H13" t="str">
            <v>NO,NA</v>
          </cell>
        </row>
        <row r="14">
          <cell r="A14" t="str">
            <v>Municipal solid waste</v>
          </cell>
          <cell r="B14" t="str">
            <v>NO</v>
          </cell>
          <cell r="C14" t="str">
            <v>NO</v>
          </cell>
          <cell r="D14" t="str">
            <v>NO</v>
          </cell>
          <cell r="E14" t="str">
            <v>NO</v>
          </cell>
          <cell r="F14" t="str">
            <v>NO</v>
          </cell>
          <cell r="G14" t="str">
            <v>NO</v>
          </cell>
          <cell r="H14" t="str">
            <v>NO</v>
          </cell>
        </row>
        <row r="15">
          <cell r="A15" t="str">
            <v>Other (please specify)(4)</v>
          </cell>
          <cell r="B15" t="str">
            <v>NE</v>
          </cell>
          <cell r="C15" t="str">
            <v>NE</v>
          </cell>
          <cell r="D15" t="str">
            <v>NA</v>
          </cell>
          <cell r="E15">
            <v>12.8333254019214</v>
          </cell>
          <cell r="F15" t="str">
            <v>NO</v>
          </cell>
          <cell r="G15" t="str">
            <v>NO</v>
          </cell>
          <cell r="H15" t="str">
            <v>NA</v>
          </cell>
        </row>
        <row r="16">
          <cell r="A16" t="str">
            <v>Animal manure and other organic waste</v>
          </cell>
          <cell r="B16" t="str">
            <v>NE</v>
          </cell>
          <cell r="C16" t="str">
            <v>NE</v>
          </cell>
          <cell r="D16" t="str">
            <v>NA</v>
          </cell>
          <cell r="E16">
            <v>12.8333254019214</v>
          </cell>
          <cell r="F16" t="str">
            <v>NO</v>
          </cell>
          <cell r="G16" t="str">
            <v>NO</v>
          </cell>
          <cell r="H16" t="str">
            <v>NA</v>
          </cell>
        </row>
        <row r="22">
          <cell r="A22" t="str">
            <v xml:space="preserve">Documentation box: </v>
          </cell>
        </row>
        <row r="23">
          <cell r="A23" t="str">
            <v>•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v>
          </cell>
        </row>
        <row r="24">
          <cell r="A24" t="str">
            <v xml:space="preserve">• Parties should specify the category in the energy sector under which the emissions from energy recovery are reported. </v>
          </cell>
        </row>
      </sheetData>
      <sheetData sheetId="3">
        <row r="5">
          <cell r="A5" t="str">
            <v>GREENHOUSE GAS SOURCE AND</v>
          </cell>
          <cell r="B5" t="str">
            <v>ACTIVITY DATA</v>
          </cell>
          <cell r="C5" t="str">
            <v>IMPLIED EMISSION FACTOR</v>
          </cell>
          <cell r="F5" t="str">
            <v>EMISSIONS</v>
          </cell>
        </row>
        <row r="6">
          <cell r="A6" t="str">
            <v>SINK CATEGORIES</v>
          </cell>
          <cell r="B6" t="str">
            <v>Amount of wastes (incinerated/open burned)</v>
          </cell>
        </row>
        <row r="7">
          <cell r="C7" t="str">
            <v xml:space="preserve">CO2         </v>
          </cell>
          <cell r="D7" t="str">
            <v>CH4</v>
          </cell>
          <cell r="E7" t="str">
            <v>N2O</v>
          </cell>
          <cell r="F7" t="str">
            <v>CO2</v>
          </cell>
          <cell r="G7" t="str">
            <v>CH4</v>
          </cell>
          <cell r="H7" t="str">
            <v>N2O</v>
          </cell>
        </row>
        <row r="8">
          <cell r="B8" t="str">
            <v>(kt wet weight)</v>
          </cell>
          <cell r="C8" t="str">
            <v>(kg/t waste)</v>
          </cell>
          <cell r="F8" t="str">
            <v>(kt)</v>
          </cell>
        </row>
        <row r="9">
          <cell r="A9" t="str">
            <v>1. Waste Incineration</v>
          </cell>
          <cell r="B9">
            <v>4.7585885587816401</v>
          </cell>
          <cell r="C9">
            <v>296.16306131066375</v>
          </cell>
          <cell r="D9">
            <v>0.39765120111676</v>
          </cell>
          <cell r="E9">
            <v>0.22892320985803</v>
          </cell>
          <cell r="F9">
            <v>1.40931815508667</v>
          </cell>
          <cell r="G9">
            <v>1.8922584560199999E-3</v>
          </cell>
          <cell r="H9">
            <v>1.0893513672699999E-3</v>
          </cell>
        </row>
        <row r="10">
          <cell r="A10" t="str">
            <v>Biogenic (1)</v>
          </cell>
          <cell r="B10">
            <v>3.1261737073299001</v>
          </cell>
          <cell r="C10">
            <v>1935.5200876522285</v>
          </cell>
          <cell r="D10">
            <v>0.44080972678482999</v>
          </cell>
          <cell r="E10">
            <v>0.32653014166057998</v>
          </cell>
          <cell r="F10">
            <v>6.05077200802726</v>
          </cell>
          <cell r="G10">
            <v>1.3780477778100001E-3</v>
          </cell>
          <cell r="H10">
            <v>1.02078994351E-3</v>
          </cell>
        </row>
        <row r="11">
          <cell r="A11" t="str">
            <v>Municipal solid waste</v>
          </cell>
          <cell r="B11">
            <v>1.9951737073299001</v>
          </cell>
          <cell r="C11">
            <v>1433.727272727273</v>
          </cell>
          <cell r="D11">
            <v>0.31500000000054001</v>
          </cell>
          <cell r="E11">
            <v>4.2000000001070001E-2</v>
          </cell>
          <cell r="F11">
            <v>2.8605349580272601</v>
          </cell>
          <cell r="G11">
            <v>6.2847971780999995E-4</v>
          </cell>
          <cell r="H11">
            <v>8.3797295709999995E-5</v>
          </cell>
        </row>
        <row r="12">
          <cell r="A12" t="str">
            <v>Other (please specify)(2)</v>
          </cell>
          <cell r="B12">
            <v>1.131</v>
          </cell>
          <cell r="C12">
            <v>2820.7224137931034</v>
          </cell>
          <cell r="D12">
            <v>0.66274806366048</v>
          </cell>
          <cell r="E12">
            <v>0.82846387957559997</v>
          </cell>
          <cell r="F12">
            <v>3.1902370499999999</v>
          </cell>
          <cell r="G12">
            <v>7.4956806000000002E-4</v>
          </cell>
          <cell r="H12">
            <v>9.3699264780000005E-4</v>
          </cell>
        </row>
        <row r="13">
          <cell r="A13" t="str">
            <v>Other (please specify)</v>
          </cell>
          <cell r="B13">
            <v>1.131</v>
          </cell>
          <cell r="C13">
            <v>2820.7224137931034</v>
          </cell>
          <cell r="D13">
            <v>0.66274806366048</v>
          </cell>
          <cell r="E13">
            <v>0.82846387957559997</v>
          </cell>
          <cell r="F13">
            <v>3.1902370499999999</v>
          </cell>
          <cell r="G13">
            <v>7.4956806000000002E-4</v>
          </cell>
          <cell r="H13">
            <v>9.3699264780000005E-4</v>
          </cell>
        </row>
        <row r="14">
          <cell r="A14" t="str">
            <v>Animal cremations</v>
          </cell>
          <cell r="B14">
            <v>1.131</v>
          </cell>
          <cell r="C14">
            <v>770</v>
          </cell>
          <cell r="D14">
            <v>0.18090000000000001</v>
          </cell>
          <cell r="E14">
            <v>0.22615379999999999</v>
          </cell>
          <cell r="F14">
            <v>0.87087000000000003</v>
          </cell>
          <cell r="G14">
            <v>2.045979E-4</v>
          </cell>
          <cell r="H14">
            <v>2.5577994779999997E-4</v>
          </cell>
        </row>
        <row r="15">
          <cell r="A15" t="str">
            <v>Human cremations</v>
          </cell>
          <cell r="B15" t="str">
            <v>NO</v>
          </cell>
          <cell r="C15" t="str">
            <v>NO</v>
          </cell>
          <cell r="D15" t="str">
            <v>NO</v>
          </cell>
          <cell r="E15" t="str">
            <v>NO</v>
          </cell>
          <cell r="F15">
            <v>2.3193670499999999</v>
          </cell>
          <cell r="G15">
            <v>5.4497015999999999E-4</v>
          </cell>
          <cell r="H15">
            <v>6.8121269999999996E-4</v>
          </cell>
        </row>
        <row r="16">
          <cell r="A16" t="str">
            <v>Non-biogenic</v>
          </cell>
          <cell r="B16">
            <v>1.63241485145174</v>
          </cell>
          <cell r="C16">
            <v>863.33333333333405</v>
          </cell>
          <cell r="D16">
            <v>0.31500000000166001</v>
          </cell>
          <cell r="E16">
            <v>4.1999999999400003E-2</v>
          </cell>
          <cell r="F16">
            <v>1.40931815508667</v>
          </cell>
          <cell r="G16">
            <v>5.1421067820999996E-4</v>
          </cell>
          <cell r="H16">
            <v>6.856142376E-5</v>
          </cell>
        </row>
        <row r="17">
          <cell r="A17" t="str">
            <v>Municipal solid waste</v>
          </cell>
          <cell r="B17">
            <v>1.63241485145174</v>
          </cell>
          <cell r="C17">
            <v>863.33333333333405</v>
          </cell>
          <cell r="D17">
            <v>0.31500000000166001</v>
          </cell>
          <cell r="E17">
            <v>4.1999999999400003E-2</v>
          </cell>
          <cell r="F17">
            <v>1.40931815508667</v>
          </cell>
          <cell r="G17">
            <v>5.1421067820999996E-4</v>
          </cell>
          <cell r="H17">
            <v>6.856142376E-5</v>
          </cell>
        </row>
        <row r="18">
          <cell r="A18" t="str">
            <v>Other (please specify)(3)</v>
          </cell>
          <cell r="B18" t="str">
            <v>NO</v>
          </cell>
          <cell r="C18" t="str">
            <v>NO</v>
          </cell>
          <cell r="D18" t="str">
            <v>NO</v>
          </cell>
          <cell r="E18" t="str">
            <v>NO</v>
          </cell>
          <cell r="F18" t="str">
            <v>NO</v>
          </cell>
          <cell r="G18" t="str">
            <v>NO</v>
          </cell>
          <cell r="H18" t="str">
            <v>NO</v>
          </cell>
        </row>
        <row r="19">
          <cell r="A19" t="str">
            <v>2. Open burning of waste</v>
          </cell>
          <cell r="B19">
            <v>11.659419261158821</v>
          </cell>
          <cell r="C19">
            <v>153.95680416956219</v>
          </cell>
          <cell r="D19">
            <v>6.5000000000006599</v>
          </cell>
          <cell r="E19">
            <v>0.14999999999967001</v>
          </cell>
          <cell r="F19">
            <v>1.7950469279210499</v>
          </cell>
          <cell r="G19">
            <v>7.5786225197539997E-2</v>
          </cell>
          <cell r="H19">
            <v>1.74891288917E-3</v>
          </cell>
        </row>
        <row r="20">
          <cell r="A20" t="str">
            <v>Biogenic (1)</v>
          </cell>
          <cell r="B20">
            <v>8.3011175965548496</v>
          </cell>
          <cell r="C20">
            <v>510.62102786345491</v>
          </cell>
          <cell r="D20">
            <v>6.5000000000004201</v>
          </cell>
          <cell r="E20">
            <v>0.14999999999961</v>
          </cell>
          <cell r="F20">
            <v>4.2387251995682496</v>
          </cell>
          <cell r="G20">
            <v>5.3957264377609997E-2</v>
          </cell>
          <cell r="H20">
            <v>1.2451676394799999E-3</v>
          </cell>
        </row>
        <row r="21">
          <cell r="A21" t="str">
            <v>Municipal solid waste</v>
          </cell>
          <cell r="B21">
            <v>8.3011175965548496</v>
          </cell>
          <cell r="C21">
            <v>510.62102786345491</v>
          </cell>
          <cell r="D21">
            <v>6.5000000000004201</v>
          </cell>
          <cell r="E21">
            <v>0.14999999999961</v>
          </cell>
          <cell r="F21">
            <v>4.2387251995682496</v>
          </cell>
          <cell r="G21">
            <v>5.3957264377609997E-2</v>
          </cell>
          <cell r="H21">
            <v>1.2451676394799999E-3</v>
          </cell>
        </row>
        <row r="22">
          <cell r="A22" t="str">
            <v>Other (please specify)</v>
          </cell>
          <cell r="B22" t="str">
            <v>NO</v>
          </cell>
          <cell r="C22" t="str">
            <v>NO</v>
          </cell>
          <cell r="D22" t="str">
            <v>NO</v>
          </cell>
          <cell r="E22" t="str">
            <v>NO</v>
          </cell>
          <cell r="F22" t="str">
            <v>NO</v>
          </cell>
          <cell r="G22" t="str">
            <v>NO</v>
          </cell>
          <cell r="H22" t="str">
            <v>NO</v>
          </cell>
        </row>
        <row r="23">
          <cell r="A23" t="str">
            <v>Non-biogenic</v>
          </cell>
          <cell r="B23">
            <v>3.3583016646039701</v>
          </cell>
          <cell r="C23">
            <v>534.51032908704826</v>
          </cell>
          <cell r="D23">
            <v>6.5000000000012497</v>
          </cell>
          <cell r="E23">
            <v>0.14999999999982</v>
          </cell>
          <cell r="F23">
            <v>1.7950469279210499</v>
          </cell>
          <cell r="G23">
            <v>2.182896081993E-2</v>
          </cell>
          <cell r="H23">
            <v>5.0374524969000001E-4</v>
          </cell>
        </row>
        <row r="24">
          <cell r="A24" t="str">
            <v>Municipal solid waste</v>
          </cell>
          <cell r="B24">
            <v>3.3583016646039701</v>
          </cell>
          <cell r="C24">
            <v>534.51032908704826</v>
          </cell>
          <cell r="D24">
            <v>6.5000000000012497</v>
          </cell>
          <cell r="E24">
            <v>0.14999999999982</v>
          </cell>
          <cell r="F24">
            <v>1.7950469279210499</v>
          </cell>
          <cell r="G24">
            <v>2.182896081993E-2</v>
          </cell>
          <cell r="H24">
            <v>5.0374524969000001E-4</v>
          </cell>
        </row>
        <row r="25">
          <cell r="A25" t="str">
            <v>Other (please specify)</v>
          </cell>
          <cell r="B25" t="str">
            <v>NO</v>
          </cell>
          <cell r="C25" t="str">
            <v>NO</v>
          </cell>
          <cell r="D25" t="str">
            <v>NO</v>
          </cell>
          <cell r="E25" t="str">
            <v>NO</v>
          </cell>
          <cell r="F25" t="str">
            <v>NO</v>
          </cell>
          <cell r="G25" t="str">
            <v>NO</v>
          </cell>
          <cell r="H25" t="str">
            <v>NO</v>
          </cell>
        </row>
        <row r="34">
          <cell r="A34" t="str">
            <v xml:space="preserve">Documentation box: </v>
          </cell>
        </row>
        <row r="35">
          <cell r="A35" t="str">
            <v>•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v>
          </cell>
        </row>
        <row r="36">
          <cell r="A36" t="str">
            <v>• Parties that use country-specific models should provide a reference in the documentation box to the relevant section in the NIR where these models are described, and fill in only the relevant cells of table 5.C.</v>
          </cell>
        </row>
        <row r="37">
          <cell r="A37" t="str">
            <v>• Provide a reference to the relevant section of the NIR, in particular with regard to the amount of incinerated waste (specify whether the reported data relate to wet or dry matter).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on Syddanmark"/>
      <sheetName val="Assens Kommune"/>
      <sheetName val="Faaborg-Midtfyn Kommune"/>
      <sheetName val="Kerteminde Kommune"/>
      <sheetName val="Langeland Kommune"/>
      <sheetName val="Middelfart Kommune"/>
      <sheetName val="Nordfyns Kommune"/>
      <sheetName val="Nyborg Kommune"/>
      <sheetName val="Odense Kommune"/>
      <sheetName val="Svendborg Kommune"/>
      <sheetName val="Ærø Kommune"/>
      <sheetName val="Billund Kommune"/>
      <sheetName val="Esbjerg Kommune"/>
      <sheetName val="Fanø Kommune"/>
      <sheetName val="Fredericia Kommune"/>
      <sheetName val="Haderslev Kommune"/>
      <sheetName val="Kolding Kommune"/>
      <sheetName val="Sønderborg Kommune"/>
      <sheetName val="Tønder Kommune"/>
      <sheetName val="Varde Kommune"/>
      <sheetName val="Vejen Kommune"/>
      <sheetName val="Vejle Kommune"/>
      <sheetName val="Aabenraa Kommune"/>
      <sheetName val="Table5.D"/>
      <sheetName val="Ark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A5" t="str">
            <v>GREENHOUSE GAS SOURCE                         AND SINK CATEGORIES</v>
          </cell>
          <cell r="B5" t="str">
            <v>ACTIVITY  DATA AND RELATED INFORMATION</v>
          </cell>
          <cell r="E5" t="str">
            <v xml:space="preserve">IMPLIED EMISSION  FACTOR </v>
          </cell>
          <cell r="G5" t="str">
            <v>EMISSIONS</v>
          </cell>
        </row>
        <row r="6">
          <cell r="B6" t="str">
            <v>Total organic product</v>
          </cell>
          <cell r="C6" t="str">
            <v>Sludge removed(1)</v>
          </cell>
          <cell r="E6" t="str">
            <v>CH4(2)</v>
          </cell>
          <cell r="F6" t="str">
            <v>N2O(3)</v>
          </cell>
          <cell r="G6" t="str">
            <v>CH4</v>
          </cell>
          <cell r="J6" t="str">
            <v>N2O(3)</v>
          </cell>
        </row>
        <row r="7">
          <cell r="D7" t="str">
            <v>N in effluent</v>
          </cell>
          <cell r="G7" t="str">
            <v>Emissions(4)</v>
          </cell>
          <cell r="H7" t="str">
            <v>Amount of CH4 flared</v>
          </cell>
          <cell r="I7" t="str">
            <v>Amount of CH4 for Energy Recovery(5)</v>
          </cell>
        </row>
        <row r="9">
          <cell r="B9" t="str">
            <v xml:space="preserve"> (kt DC(6)/yr)</v>
          </cell>
          <cell r="D9" t="str">
            <v>(kt N/yr)</v>
          </cell>
          <cell r="E9" t="str">
            <v xml:space="preserve"> (kg/kg DC)</v>
          </cell>
          <cell r="F9" t="str">
            <v>kg N2O-N/kg N</v>
          </cell>
          <cell r="G9" t="str">
            <v xml:space="preserve"> (kt)</v>
          </cell>
        </row>
        <row r="10">
          <cell r="A10" t="str">
            <v>1. Domestic wastewater</v>
          </cell>
          <cell r="B10">
            <v>393.15418125000002</v>
          </cell>
          <cell r="C10">
            <v>47.742054262000003</v>
          </cell>
          <cell r="D10">
            <v>4.4258499618249996</v>
          </cell>
          <cell r="E10">
            <v>8.9030932449360001E-2</v>
          </cell>
          <cell r="F10">
            <v>6.4297526367169996E-2</v>
          </cell>
          <cell r="G10">
            <v>2.09482591695377</v>
          </cell>
          <cell r="H10">
            <v>2.9916415851</v>
          </cell>
          <cell r="I10">
            <v>29.916415851</v>
          </cell>
          <cell r="J10">
            <v>0.44718332154193002</v>
          </cell>
        </row>
        <row r="11">
          <cell r="A11" t="str">
            <v>2. Industrial wastewater</v>
          </cell>
          <cell r="B11">
            <v>33.667392995709903</v>
          </cell>
          <cell r="C11" t="str">
            <v>IE,NO</v>
          </cell>
          <cell r="D11">
            <v>0.34</v>
          </cell>
          <cell r="E11" t="str">
            <v>NO,IE,NA</v>
          </cell>
          <cell r="F11">
            <v>9.6690511871909995E-2</v>
          </cell>
          <cell r="G11" t="str">
            <v>IE,NA</v>
          </cell>
          <cell r="H11" t="str">
            <v>NO</v>
          </cell>
          <cell r="I11" t="str">
            <v>IE,NO</v>
          </cell>
          <cell r="J11">
            <v>5.1660359200129999E-2</v>
          </cell>
        </row>
        <row r="12">
          <cell r="A12" t="str">
            <v>3. Other (please specify)</v>
          </cell>
          <cell r="B12" t="str">
            <v>NO</v>
          </cell>
          <cell r="C12" t="str">
            <v>NO</v>
          </cell>
          <cell r="D12" t="str">
            <v>NO</v>
          </cell>
          <cell r="E12" t="str">
            <v>NO</v>
          </cell>
          <cell r="F12" t="str">
            <v>NO</v>
          </cell>
          <cell r="G12" t="str">
            <v>NO</v>
          </cell>
          <cell r="H12" t="str">
            <v>NO</v>
          </cell>
          <cell r="I12" t="str">
            <v>NO</v>
          </cell>
          <cell r="J12" t="str">
            <v>NO</v>
          </cell>
        </row>
        <row r="22">
          <cell r="A22" t="str">
            <v>Population (1000s)</v>
          </cell>
          <cell r="B22">
            <v>5862.1175000000003</v>
          </cell>
        </row>
        <row r="23">
          <cell r="A23" t="str">
            <v>Protein consumption (kg/person/yr)</v>
          </cell>
          <cell r="B23">
            <v>39.5331024939793</v>
          </cell>
        </row>
        <row r="24">
          <cell r="A24" t="str">
            <v>Fraction of nitrogen in protein</v>
          </cell>
          <cell r="B24">
            <v>0.16</v>
          </cell>
        </row>
        <row r="25">
          <cell r="A25" t="str">
            <v>FNON-CON</v>
          </cell>
          <cell r="B25">
            <v>1.4</v>
          </cell>
        </row>
        <row r="26">
          <cell r="A26" t="str">
            <v>FIND-COM</v>
          </cell>
          <cell r="B26">
            <v>1.25</v>
          </cell>
        </row>
        <row r="27">
          <cell r="A27" t="str">
            <v xml:space="preserve">TPLANT </v>
          </cell>
          <cell r="B27">
            <v>91.3</v>
          </cell>
        </row>
        <row r="34">
          <cell r="A34" t="str">
            <v xml:space="preserve">Documentation box: </v>
          </cell>
        </row>
        <row r="35">
          <cell r="A35" t="str">
            <v>• Regarding the estimates for N2O from human sewage, specify whether total or urban population is used in the calculations and the rationale for doing so. Provide an explanation in the documentation box.</v>
          </cell>
        </row>
        <row r="36">
          <cell r="A36" t="str">
            <v xml:space="preserve">• Parties using methods other than those from the IPCC for estimating N2O emissions from wastewater treatment should provide, in the national inventory report (NIR), corresponding information on methods, activity data and emission factors used, and should provide a reference to the relevant section  of the NIR in this documentation box. </v>
          </cell>
        </row>
      </sheetData>
      <sheetData sheetId="2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region el. kommune&lt;"/>
      <sheetName val="Table5.D"/>
    </sheetNames>
    <sheetDataSet>
      <sheetData sheetId="0" refreshError="1"/>
      <sheetData sheetId="1">
        <row r="5">
          <cell r="A5" t="str">
            <v>GREENHOUSE GAS SOURCE                         AND SINK CATEGORIES</v>
          </cell>
          <cell r="B5" t="str">
            <v>ACTIVITY  DATA AND RELATED INFORMATION</v>
          </cell>
          <cell r="E5" t="str">
            <v xml:space="preserve">IMPLIED EMISSION  FACTOR </v>
          </cell>
          <cell r="G5" t="str">
            <v>EMISSIONS</v>
          </cell>
        </row>
        <row r="6">
          <cell r="B6" t="str">
            <v>Total organic product</v>
          </cell>
          <cell r="C6" t="str">
            <v>Sludge removed(1)</v>
          </cell>
          <cell r="E6" t="str">
            <v>CH4(2)</v>
          </cell>
          <cell r="F6" t="str">
            <v>N2O(3)</v>
          </cell>
          <cell r="G6" t="str">
            <v>CH4</v>
          </cell>
          <cell r="J6" t="str">
            <v>N2O(3)</v>
          </cell>
        </row>
        <row r="7">
          <cell r="D7" t="str">
            <v>N in effluent</v>
          </cell>
          <cell r="G7" t="str">
            <v>Emissions(4)</v>
          </cell>
          <cell r="H7" t="str">
            <v>Amount of CH4 flared</v>
          </cell>
          <cell r="I7" t="str">
            <v>Amount of CH4 for Energy Recovery(5)</v>
          </cell>
        </row>
        <row r="9">
          <cell r="B9" t="str">
            <v xml:space="preserve"> (kt DC(6)/yr)</v>
          </cell>
          <cell r="D9" t="str">
            <v>(kt N/yr)</v>
          </cell>
          <cell r="E9" t="str">
            <v xml:space="preserve"> (kg/kg DC)</v>
          </cell>
          <cell r="F9" t="str">
            <v>kg N2O-N/kg N</v>
          </cell>
          <cell r="G9" t="str">
            <v xml:space="preserve"> (kt)</v>
          </cell>
        </row>
        <row r="10">
          <cell r="A10" t="str">
            <v>1. Domestic wastewater</v>
          </cell>
          <cell r="B10">
            <v>393.15418125000002</v>
          </cell>
          <cell r="C10">
            <v>47.742054262000003</v>
          </cell>
          <cell r="D10">
            <v>4.4258499618249996</v>
          </cell>
          <cell r="E10">
            <v>8.9030932449360001E-2</v>
          </cell>
          <cell r="F10">
            <v>6.4297526367169996E-2</v>
          </cell>
          <cell r="G10">
            <v>2.09482591695377</v>
          </cell>
          <cell r="H10">
            <v>2.9916415851</v>
          </cell>
          <cell r="I10">
            <v>29.916415851</v>
          </cell>
          <cell r="J10">
            <v>0.44718332154193002</v>
          </cell>
        </row>
        <row r="11">
          <cell r="A11" t="str">
            <v>2. Industrial wastewater</v>
          </cell>
          <cell r="B11">
            <v>33.667392995709903</v>
          </cell>
          <cell r="C11" t="str">
            <v>IE,NO</v>
          </cell>
          <cell r="D11">
            <v>0.34</v>
          </cell>
          <cell r="E11" t="str">
            <v>NO,IE,NA</v>
          </cell>
          <cell r="F11">
            <v>9.6690511871909995E-2</v>
          </cell>
          <cell r="G11" t="str">
            <v>IE,NA</v>
          </cell>
          <cell r="H11" t="str">
            <v>NO</v>
          </cell>
          <cell r="I11" t="str">
            <v>IE,NO</v>
          </cell>
          <cell r="J11">
            <v>5.1660359200129999E-2</v>
          </cell>
        </row>
        <row r="12">
          <cell r="A12" t="str">
            <v>3. Other (please specify)</v>
          </cell>
          <cell r="B12" t="str">
            <v>NO</v>
          </cell>
          <cell r="C12" t="str">
            <v>NO</v>
          </cell>
          <cell r="D12" t="str">
            <v>NO</v>
          </cell>
          <cell r="E12" t="str">
            <v>NO</v>
          </cell>
          <cell r="F12" t="str">
            <v>NO</v>
          </cell>
          <cell r="G12" t="str">
            <v>NO</v>
          </cell>
          <cell r="H12" t="str">
            <v>NO</v>
          </cell>
          <cell r="I12" t="str">
            <v>NO</v>
          </cell>
          <cell r="J12" t="str">
            <v>NO</v>
          </cell>
        </row>
        <row r="22">
          <cell r="A22" t="str">
            <v>Population (1000s)</v>
          </cell>
          <cell r="B22">
            <v>5862.1175000000003</v>
          </cell>
        </row>
        <row r="23">
          <cell r="A23" t="str">
            <v>Protein consumption (kg/person/yr)</v>
          </cell>
          <cell r="B23">
            <v>39.5331024939793</v>
          </cell>
        </row>
        <row r="24">
          <cell r="A24" t="str">
            <v>Fraction of nitrogen in protein</v>
          </cell>
          <cell r="B24">
            <v>0.16</v>
          </cell>
        </row>
        <row r="25">
          <cell r="A25" t="str">
            <v>FNON-CON</v>
          </cell>
          <cell r="B25">
            <v>1.4</v>
          </cell>
        </row>
        <row r="26">
          <cell r="A26" t="str">
            <v>FIND-COM</v>
          </cell>
          <cell r="B26">
            <v>1.25</v>
          </cell>
        </row>
        <row r="27">
          <cell r="A27" t="str">
            <v xml:space="preserve">TPLANT </v>
          </cell>
          <cell r="B27">
            <v>91.3</v>
          </cell>
        </row>
        <row r="34">
          <cell r="A34" t="str">
            <v xml:space="preserve">Documentation box: </v>
          </cell>
        </row>
        <row r="35">
          <cell r="A35" t="str">
            <v>• Regarding the estimates for N2O from human sewage, specify whether total or urban population is used in the calculations and the rationale for doing so. Provide an explanation in the documentation box.</v>
          </cell>
        </row>
        <row r="36">
          <cell r="A36" t="str">
            <v xml:space="preserve">• Parties using methods other than those from the IPCC for estimating N2O emissions from wastewater treatment should provide, in the national inventory report (NIR), corresponding information on methods, activity data and emission factors used, and should provide a reference to the relevant section  of the NIR in this documentation box.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A"/>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A.2"/>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A"/>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1"/>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1"/>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Niels Morten Sloth" id="{0E5F973D-5711-44CA-93D2-583558DCFC54}" userId="S::nms@seges.dk::c29ca24b-4c2c-4b12-807d-82cd514c69ef"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ia Strunge Folkmann" refreshedDate="45017.004141898149" createdVersion="7" refreshedVersion="8" minRefreshableVersion="3" recordCount="292" xr:uid="{99C78118-1F6B-478E-8266-2484F825FD28}">
  <cacheSource type="worksheet">
    <worksheetSource name="Dataark_til_bilag2_2018"/>
  </cacheSource>
  <cacheFields count="25">
    <cacheField name="Dyrekategori" numFmtId="0">
      <sharedItems/>
    </cacheField>
    <cacheField name="Dyr_Kode" numFmtId="0">
      <sharedItems containsString="0" containsBlank="1" containsNumber="1" containsInteger="1" minValue="1101" maxValue="9923"/>
    </cacheField>
    <cacheField name="Dyretyper" numFmtId="0">
      <sharedItems/>
    </cacheField>
    <cacheField name="Fordeling af dyretyper" numFmtId="0">
      <sharedItems containsBlank="1" count="17">
        <s v="Heste"/>
        <s v="Årsko, Malkekvæg"/>
        <s v="Småkalve"/>
        <s v="Kvier"/>
        <s v="Slagtekalve 0-6 mdr. "/>
        <s v="Slagtekalve 6 mdr. "/>
        <s v="Avlstyr"/>
        <s v="Ammekøer"/>
        <s v="Geder / får"/>
        <s v="Årsso"/>
        <s v="Smågrise"/>
        <s v="Sl. svin"/>
        <s v="FRATS-svin"/>
        <s v="Hjortdyr"/>
        <s v="Pelsdyr"/>
        <s v="Fjerkræ"/>
        <m u="1"/>
      </sharedItems>
    </cacheField>
    <cacheField name="Staldtype" numFmtId="0">
      <sharedItems/>
    </cacheField>
    <cacheField name="Staldtype fordeling" numFmtId="0">
      <sharedItems count="10">
        <s v="Løsdrift / boks/ Bur"/>
        <s v="Bindestald"/>
        <s v="Sengestald"/>
        <s v="Dybstrøelse"/>
        <s v="Løsdrift / spalter"/>
        <s v="Løsdrift / boks"/>
        <s v="Friland"/>
        <s v="Friland " u="1"/>
        <s v="Løsdrift/spalter" u="1"/>
        <s v="Dybstrøelse " u="1"/>
      </sharedItems>
    </cacheField>
    <cacheField name="Stald_kode" numFmtId="0">
      <sharedItems containsString="0" containsBlank="1" containsNumber="1" containsInteger="1" minValue="110101" maxValue="992301"/>
    </cacheField>
    <cacheField name="Kode_stald+dyr" numFmtId="0">
      <sharedItems containsString="0" containsBlank="1" containsNumber="1" containsInteger="1" minValue="0" maxValue="1002224"/>
    </cacheField>
    <cacheField name="Antal dyr" numFmtId="3">
      <sharedItems containsMixedTypes="1" containsNumber="1" minValue="0" maxValue="28565.51"/>
    </cacheField>
    <cacheField name="Gødningstype" numFmtId="0">
      <sharedItems containsBlank="1"/>
    </cacheField>
    <cacheField name="Strøelsestype" numFmtId="0">
      <sharedItems containsBlank="1"/>
    </cacheField>
    <cacheField name="Gødning (g) pr. dyr (ton)" numFmtId="0">
      <sharedItems containsBlank="1" containsMixedTypes="1" containsNumber="1" minValue="2.3E-3" maxValue="32.06"/>
    </cacheField>
    <cacheField name="Tørstof (%)" numFmtId="0">
      <sharedItems containsBlank="1" containsMixedTypes="1" containsNumber="1" minValue="0.02" maxValue="0.69"/>
    </cacheField>
    <cacheField name="Gødning (g) total (ton)" numFmtId="4">
      <sharedItems containsMixedTypes="1" containsNumber="1" minValue="0" maxValue="10854.8938"/>
    </cacheField>
    <cacheField name="Gødning (s) pr. dyr (ton)" numFmtId="0">
      <sharedItems containsString="0" containsBlank="1" containsNumber="1" minValue="0" maxValue="16.21"/>
    </cacheField>
    <cacheField name="Gødning (s)(ton)" numFmtId="4">
      <sharedItems containsMixedTypes="1" containsNumber="1" minValue="0" maxValue="2422.3474000000001"/>
    </cacheField>
    <cacheField name="Tørstof 2 (%)" numFmtId="4">
      <sharedItems containsString="0" containsBlank="1" containsNumber="1" minValue="0" maxValue="0.63300000000000001"/>
    </cacheField>
    <cacheField name="Dage på græs, Konventionel" numFmtId="4">
      <sharedItems containsString="0" containsBlank="1" containsNumber="1" containsInteger="1" minValue="0" maxValue="365"/>
    </cacheField>
    <cacheField name="Dage på græs, Økologisk" numFmtId="4">
      <sharedItems containsString="0" containsBlank="1" containsNumber="1" containsInteger="1" minValue="0" maxValue="365"/>
    </cacheField>
    <cacheField name="Tørstof i stald" numFmtId="4">
      <sharedItems containsBlank="1" containsMixedTypes="1" containsNumber="1" minValue="0" maxValue="4621.1003905479456"/>
    </cacheField>
    <cacheField name="Tørstof på mark" numFmtId="4">
      <sharedItems containsBlank="1" containsMixedTypes="1" containsNumber="1" minValue="0" maxValue="1164.7824657534247"/>
    </cacheField>
    <cacheField name="Metan konverteringsfaktor (%)" numFmtId="4">
      <sharedItems containsString="0" containsBlank="1" containsNumber="1" minValue="0" maxValue="17"/>
    </cacheField>
    <cacheField name="B0" numFmtId="4">
      <sharedItems containsString="0" containsBlank="1" containsNumber="1" minValue="0" maxValue="0.45"/>
    </cacheField>
    <cacheField name="Metan pr. dyr (kg)" numFmtId="4">
      <sharedItems containsMixedTypes="1" containsNumber="1" minValue="0" maxValue="131.56695791766248"/>
    </cacheField>
    <cacheField name="Total udledning af metan (ton)" numFmtId="4">
      <sharedItems containsMixedTypes="1" containsNumber="1" minValue="0" maxValue="101.7694489478472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ia Strunge Folkmann" refreshedDate="45017.004142592596" createdVersion="8" refreshedVersion="8" minRefreshableVersion="3" recordCount="292" xr:uid="{54029AAA-C100-4C38-950C-7D54D7133425}">
  <cacheSource type="worksheet">
    <worksheetSource name="Dataark_til_bilag2_2020"/>
  </cacheSource>
  <cacheFields count="25">
    <cacheField name="Dyrekategori" numFmtId="0">
      <sharedItems/>
    </cacheField>
    <cacheField name="Dyr_Kode" numFmtId="0">
      <sharedItems containsString="0" containsBlank="1" containsNumber="1" containsInteger="1" minValue="1101" maxValue="9923"/>
    </cacheField>
    <cacheField name="Dyretyper" numFmtId="0">
      <sharedItems/>
    </cacheField>
    <cacheField name="Fordeling af dyretyper" numFmtId="0">
      <sharedItems containsBlank="1" count="17">
        <s v="Heste"/>
        <s v="Årsko, Malkekvæg"/>
        <s v="Småkalve"/>
        <s v="Kvier"/>
        <s v="Slagtekalve 0-6 mdr. "/>
        <s v="Slagtekalve 6 mdr. "/>
        <s v="Avlstyr"/>
        <s v="Ammekøer"/>
        <s v="Geder / får"/>
        <s v="Årsso"/>
        <s v="Smågrise"/>
        <s v="Sl. svin"/>
        <s v="FRATS-svin"/>
        <s v="Hjortdyr"/>
        <s v="Pelsdyr"/>
        <s v="Fjerkræ"/>
        <m u="1"/>
      </sharedItems>
    </cacheField>
    <cacheField name="Staldtype" numFmtId="0">
      <sharedItems/>
    </cacheField>
    <cacheField name="Staldtype fordeling" numFmtId="0">
      <sharedItems count="7">
        <s v="Løsdrift / boks/ Bur"/>
        <s v="Bindestald"/>
        <s v="Sengestald"/>
        <s v="Dybstrøelse"/>
        <s v="Løsdrift / spalter"/>
        <s v="Løsdrift / boks"/>
        <s v="Friland"/>
      </sharedItems>
    </cacheField>
    <cacheField name="Stald_kode" numFmtId="0">
      <sharedItems containsString="0" containsBlank="1" containsNumber="1" containsInteger="1" minValue="110101" maxValue="992301"/>
    </cacheField>
    <cacheField name="Kode_stald+dyr" numFmtId="0">
      <sharedItems containsString="0" containsBlank="1" containsNumber="1" containsInteger="1" minValue="0" maxValue="1002224"/>
    </cacheField>
    <cacheField name="Antal dyr" numFmtId="3">
      <sharedItems containsMixedTypes="1" containsNumber="1" minValue="0" maxValue="28565.51"/>
    </cacheField>
    <cacheField name="Gødningstype" numFmtId="0">
      <sharedItems containsBlank="1"/>
    </cacheField>
    <cacheField name="Strøelsestype" numFmtId="0">
      <sharedItems containsBlank="1"/>
    </cacheField>
    <cacheField name="Gødning (g) pr. dyr (ton)" numFmtId="0">
      <sharedItems containsBlank="1" containsMixedTypes="1" containsNumber="1" minValue="2.3E-3" maxValue="32.06"/>
    </cacheField>
    <cacheField name="Tørstof (%)" numFmtId="0">
      <sharedItems containsBlank="1" containsMixedTypes="1" containsNumber="1" minValue="0.02" maxValue="0.69"/>
    </cacheField>
    <cacheField name="Gødning (g) total (ton)" numFmtId="4">
      <sharedItems containsMixedTypes="1" containsNumber="1" minValue="0" maxValue="10854.8938"/>
    </cacheField>
    <cacheField name="Gødning (s) pr. dyr (ton)" numFmtId="0">
      <sharedItems containsString="0" containsBlank="1" containsNumber="1" minValue="0" maxValue="16.21"/>
    </cacheField>
    <cacheField name="Gødning (s)(ton)" numFmtId="4">
      <sharedItems containsMixedTypes="1" containsNumber="1" minValue="0" maxValue="2422.3474000000001"/>
    </cacheField>
    <cacheField name="Tørstof 2 (%)" numFmtId="4">
      <sharedItems containsString="0" containsBlank="1" containsNumber="1" minValue="0" maxValue="0.63300000000000001"/>
    </cacheField>
    <cacheField name="Dage på græs, Konventionel" numFmtId="4">
      <sharedItems containsString="0" containsBlank="1" containsNumber="1" containsInteger="1" minValue="0" maxValue="365"/>
    </cacheField>
    <cacheField name="Dage på græs, Økologisk" numFmtId="4">
      <sharedItems containsString="0" containsBlank="1" containsNumber="1" containsInteger="1" minValue="0" maxValue="365"/>
    </cacheField>
    <cacheField name="Tørstof i stald" numFmtId="4">
      <sharedItems containsBlank="1" containsMixedTypes="1" containsNumber="1" minValue="0" maxValue="4621.1003905479456"/>
    </cacheField>
    <cacheField name="Tørstof på mark" numFmtId="4">
      <sharedItems containsBlank="1" containsMixedTypes="1" containsNumber="1" minValue="0" maxValue="1164.7824657534247"/>
    </cacheField>
    <cacheField name="Metan konverteringsfaktor (%)" numFmtId="4">
      <sharedItems containsString="0" containsBlank="1" containsNumber="1" minValue="0" maxValue="17"/>
    </cacheField>
    <cacheField name="B0" numFmtId="4">
      <sharedItems containsString="0" containsBlank="1" containsNumber="1" minValue="0" maxValue="0.45"/>
    </cacheField>
    <cacheField name="Metan pr. dyr (kg)" numFmtId="4">
      <sharedItems containsMixedTypes="1" containsNumber="1" minValue="0" maxValue="131.56695791766248"/>
    </cacheField>
    <cacheField name="Total udledning af metan (ton)" numFmtId="4">
      <sharedItems containsMixedTypes="1" containsNumber="1" minValue="0" maxValue="101.7694489478472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ia Strunge Folkmann" refreshedDate="45017.004142824073" createdVersion="7" refreshedVersion="8" minRefreshableVersion="3" recordCount="223" xr:uid="{39456B87-E846-4A30-909C-95E2226C6C85}">
  <cacheSource type="worksheet">
    <worksheetSource name="Dataark_til_bilag3_2018"/>
  </cacheSource>
  <cacheFields count="22">
    <cacheField name="Dyrekatagori" numFmtId="0">
      <sharedItems/>
    </cacheField>
    <cacheField name="Dyrekode" numFmtId="0">
      <sharedItems containsSemiMixedTypes="0" containsString="0" containsNumber="1" containsInteger="1" minValue="1101" maxValue="9923"/>
    </cacheField>
    <cacheField name="Dyretyper" numFmtId="0">
      <sharedItems/>
    </cacheField>
    <cacheField name="Fordeling af dyrtyper" numFmtId="0">
      <sharedItems count="16">
        <s v="Heste"/>
        <s v="Årsko, Malkekvæg"/>
        <s v="Småkalve"/>
        <s v="Kvier"/>
        <s v="Slagtekalve 0-6 mdr. "/>
        <s v="Slagtekalve 6 mdr. "/>
        <s v="Avlstyr"/>
        <s v="Ammekøer"/>
        <s v="Geder / får"/>
        <s v="Årsso"/>
        <s v="Smågrise"/>
        <s v="Sl. svin"/>
        <s v="FRATS-svin"/>
        <s v="Hjortdyr"/>
        <s v="Pelsdyr"/>
        <s v="Fjerkræ"/>
      </sharedItems>
    </cacheField>
    <cacheField name="Staldtype" numFmtId="0">
      <sharedItems/>
    </cacheField>
    <cacheField name="Staldkode" numFmtId="0">
      <sharedItems containsSemiMixedTypes="0" containsString="0" containsNumber="1" containsInteger="1" minValue="110101" maxValue="992301"/>
    </cacheField>
    <cacheField name="Fordeling af staldtyper" numFmtId="0">
      <sharedItems count="8">
        <s v="Løsdrift / boks / bur"/>
        <s v="Bindestald"/>
        <s v="Sengestald"/>
        <s v="Dybstrøelse"/>
        <s v="Løsdrift / spalter"/>
        <s v="Friland"/>
        <s v="Løsdrift / boks"/>
        <s v="Dybstrøelse " u="1"/>
      </sharedItems>
    </cacheField>
    <cacheField name="Kode stald + dyr" numFmtId="0">
      <sharedItems containsSemiMixedTypes="0" containsString="0" containsNumber="1" containsInteger="1" minValue="111202" maxValue="1002224"/>
    </cacheField>
    <cacheField name="Antal dyr" numFmtId="3">
      <sharedItems containsMixedTypes="1" containsNumber="1" minValue="0" maxValue="28565.51"/>
    </cacheField>
    <cacheField name="Gødningstype" numFmtId="0">
      <sharedItems containsBlank="1"/>
    </cacheField>
    <cacheField name="Strøelsestype" numFmtId="0">
      <sharedItems containsBlank="1"/>
    </cacheField>
    <cacheField name="Kg N pr dyr (ab dyr) pr år (Nex)" numFmtId="4">
      <sharedItems containsMixedTypes="1" containsNumber="1" minValue="3.0800000000000001E-2" maxValue="160.5"/>
    </cacheField>
    <cacheField name="Total N i gødning  (Kg)" numFmtId="0">
      <sharedItems containsMixedTypes="1" containsNumber="1" minValue="0" maxValue="170536.09469999999"/>
    </cacheField>
    <cacheField name="N2O-N pr. Kg Nex (Kg)" numFmtId="0">
      <sharedItems containsString="0" containsBlank="1" containsNumber="1" minValue="1E-3" maxValue="7.0000000000000007E-2"/>
    </cacheField>
    <cacheField name="Total N2O-N (Kg)" numFmtId="0">
      <sharedItems containsMixedTypes="1" containsNumber="1" minValue="0" maxValue="852.68047349999995"/>
    </cacheField>
    <cacheField name="Total af direkte udledning N2O (Kg)" numFmtId="4">
      <sharedItems containsMixedTypes="1" containsNumber="1" minValue="0" maxValue="1339.9264583571428"/>
    </cacheField>
    <cacheField name="FracGasMS (fordampning)" numFmtId="10">
      <sharedItems containsMixedTypes="1" containsNumber="1" minValue="7.0099999999999996E-2" maxValue="0.34389999999999998"/>
    </cacheField>
    <cacheField name="Total N fra fordampning" numFmtId="4">
      <sharedItems containsMixedTypes="1" containsNumber="1" minValue="0" maxValue="3620.1527639999995"/>
    </cacheField>
    <cacheField name="EF4 (Emissionsfaktor)" numFmtId="0">
      <sharedItems containsSemiMixedTypes="0" containsString="0" containsNumber="1" minValue="0.01" maxValue="0.01"/>
    </cacheField>
    <cacheField name="Total N2O-N (Kg)2" numFmtId="4">
      <sharedItems containsMixedTypes="1" containsNumber="1" minValue="0" maxValue="36.201527639999995"/>
    </cacheField>
    <cacheField name="Total N2O af indirekte udledning (Kg)" numFmtId="4">
      <sharedItems containsSemiMixedTypes="0" containsString="0" containsNumber="1" minValue="0" maxValue="56.888114862857137"/>
    </cacheField>
    <cacheField name="Total udledning af N2O  (ton)" numFmtId="4">
      <sharedItems containsMixedTypes="1" containsNumber="1" minValue="0" maxValue="1.3399264583571429"/>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ia Strunge Folkmann" refreshedDate="45017.004143055558" createdVersion="8" refreshedVersion="8" minRefreshableVersion="3" recordCount="224" xr:uid="{85E9A97A-82BD-4FDB-BED4-BFB7221ADBE6}">
  <cacheSource type="worksheet">
    <worksheetSource name="Dataark_til_bilag3_2030"/>
  </cacheSource>
  <cacheFields count="22">
    <cacheField name="Dyrekatagori" numFmtId="0">
      <sharedItems/>
    </cacheField>
    <cacheField name="Dyrekode" numFmtId="0">
      <sharedItems containsSemiMixedTypes="0" containsString="0" containsNumber="1" containsInteger="1" minValue="1101" maxValue="9923"/>
    </cacheField>
    <cacheField name="Dyretyper" numFmtId="0">
      <sharedItems/>
    </cacheField>
    <cacheField name="Fordeling af dyrtyper" numFmtId="0">
      <sharedItems count="16">
        <s v="Heste"/>
        <s v="Årsko, Malkekvæg"/>
        <s v="Småkalve"/>
        <s v="Kvier"/>
        <s v="Slagtekalve 0-6 mdr. "/>
        <s v="Slagtekalve 6 mdr. "/>
        <s v="Avlstyr"/>
        <s v="Ammekøer"/>
        <s v="Geder / får"/>
        <s v="Årsso"/>
        <s v="Smågrise"/>
        <s v="Sl. svin"/>
        <s v="FRATS-svin"/>
        <s v="Hjortdyr"/>
        <s v="Pelsdyr"/>
        <s v="Fjerkræ"/>
      </sharedItems>
    </cacheField>
    <cacheField name="Staldtype" numFmtId="0">
      <sharedItems/>
    </cacheField>
    <cacheField name="Staldkode" numFmtId="0">
      <sharedItems containsSemiMixedTypes="0" containsString="0" containsNumber="1" containsInteger="1" minValue="110101" maxValue="992301"/>
    </cacheField>
    <cacheField name="Fordeling af staldtyper" numFmtId="0">
      <sharedItems count="8">
        <s v="Løsdrift / boks / bur"/>
        <s v="Bindestald"/>
        <s v="Sengestald"/>
        <s v="Dybstrøelse"/>
        <s v="Løsdrift / spalter"/>
        <s v="Friland"/>
        <s v="Løsdrift / boks"/>
        <s v="Dybstrøelse " u="1"/>
      </sharedItems>
    </cacheField>
    <cacheField name="Kode stald + dyr" numFmtId="0">
      <sharedItems containsSemiMixedTypes="0" containsString="0" containsNumber="1" containsInteger="1" minValue="111202" maxValue="1002224"/>
    </cacheField>
    <cacheField name="Antal dyr" numFmtId="3">
      <sharedItems containsMixedTypes="1" containsNumber="1" minValue="0" maxValue="28565.51"/>
    </cacheField>
    <cacheField name="Gødningstype" numFmtId="0">
      <sharedItems containsBlank="1"/>
    </cacheField>
    <cacheField name="Strøelsestype" numFmtId="0">
      <sharedItems containsBlank="1"/>
    </cacheField>
    <cacheField name="Kg N pr dyr (ab dyr) pr år (Nex)" numFmtId="4">
      <sharedItems containsMixedTypes="1" containsNumber="1" minValue="3.0800000000000001E-2" maxValue="160.5"/>
    </cacheField>
    <cacheField name="Total N i gødning  (Kg)" numFmtId="0">
      <sharedItems containsMixedTypes="1" containsNumber="1" minValue="0" maxValue="170536.09469999999"/>
    </cacheField>
    <cacheField name="N2O-N pr. Kg Nex (Kg)" numFmtId="0">
      <sharedItems containsString="0" containsBlank="1" containsNumber="1" minValue="1E-3" maxValue="7.0000000000000007E-2"/>
    </cacheField>
    <cacheField name="Total N2O-N (Kg)" numFmtId="0">
      <sharedItems containsMixedTypes="1" containsNumber="1" minValue="0" maxValue="852.68047349999995"/>
    </cacheField>
    <cacheField name="Total af direkte udledning N2O (Kg)" numFmtId="4">
      <sharedItems containsMixedTypes="1" containsNumber="1" minValue="0" maxValue="1339.9264583571428"/>
    </cacheField>
    <cacheField name="FracGasMS (fordampning)" numFmtId="10">
      <sharedItems containsMixedTypes="1" containsNumber="1" minValue="7.0099999999999996E-2" maxValue="0.34389999999999998"/>
    </cacheField>
    <cacheField name="Total N fra fordampning" numFmtId="4">
      <sharedItems containsMixedTypes="1" containsNumber="1" minValue="0" maxValue="3620.1527639999995"/>
    </cacheField>
    <cacheField name="EF4 (Emissionsfaktor)" numFmtId="0">
      <sharedItems containsSemiMixedTypes="0" containsString="0" containsNumber="1" minValue="0.01" maxValue="0.01"/>
    </cacheField>
    <cacheField name="Total N2O-N (Kg)2" numFmtId="4">
      <sharedItems containsMixedTypes="1" containsNumber="1" minValue="0" maxValue="36.201527639999995"/>
    </cacheField>
    <cacheField name="Total N2O af indirekte udledning (Kg)" numFmtId="4">
      <sharedItems containsSemiMixedTypes="0" containsString="0" containsNumber="1" minValue="0" maxValue="56.888114862857137"/>
    </cacheField>
    <cacheField name="Total udledning af N2O  (ton)" numFmtId="4">
      <sharedItems containsMixedTypes="1" containsNumber="1" minValue="0" maxValue="1.339926458357142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2">
  <r>
    <s v="Heste"/>
    <n v="1101"/>
    <s v="Heste, 1 årsdyr, vægt under 300 kg"/>
    <x v="0"/>
    <s v="1 voksen årshest, under 300 kg"/>
    <x v="0"/>
    <n v="110101"/>
    <n v="111202"/>
    <n v="15.21"/>
    <m/>
    <s v="Dybstrøelse"/>
    <m/>
    <m/>
    <n v="0"/>
    <n v="2.97"/>
    <n v="45.173700000000004"/>
    <n v="0.26"/>
    <n v="183"/>
    <n v="183"/>
    <n v="384.86892279452059"/>
    <n v="309.72624657534249"/>
    <n v="2"/>
    <n v="0.3"/>
    <n v="2.7922725808668494"/>
    <n v="4.2470465954984785E-2"/>
  </r>
  <r>
    <s v="Heste"/>
    <n v="1102"/>
    <s v="Heste, 1 årsdyr, vægt 300 kg - under 500 kg"/>
    <x v="0"/>
    <s v="1 voksen årshest, 300 kg - mindre end 500 kg"/>
    <x v="0"/>
    <n v="110201"/>
    <n v="111303"/>
    <n v="277.02"/>
    <m/>
    <s v="Dybstrøelse"/>
    <m/>
    <m/>
    <n v="0"/>
    <n v="4.62"/>
    <n v="1279.8324"/>
    <n v="0.26"/>
    <n v="183"/>
    <n v="183"/>
    <n v="598.68499101369866"/>
    <n v="481.79638356164389"/>
    <n v="2"/>
    <n v="0.3"/>
    <n v="4.3435351257928776"/>
    <n v="1.2032461005471426"/>
  </r>
  <r>
    <s v="Heste"/>
    <n v="1103"/>
    <s v="Heste, 1 årsdyr, vægt 500 kg - under 700 kg"/>
    <x v="0"/>
    <s v="1 voksen årshest, 500 kg - mindre end 700 kg"/>
    <x v="0"/>
    <n v="110301"/>
    <n v="111404"/>
    <n v="26.5"/>
    <m/>
    <s v="Dybstrøelse"/>
    <m/>
    <m/>
    <n v="0"/>
    <n v="5.13"/>
    <n v="135.94499999999999"/>
    <n v="0.26"/>
    <n v="183"/>
    <n v="183"/>
    <n v="664.77359391780828"/>
    <n v="534.98169863013698"/>
    <n v="2"/>
    <n v="0.3"/>
    <n v="4.8230162760427397"/>
    <n v="0.1278099313151326"/>
  </r>
  <r>
    <s v="Heste"/>
    <n v="1104"/>
    <s v="Heste, 1 årsdyr, vægt 700 kg og derover"/>
    <x v="0"/>
    <s v="1 voksen årshest, 700 kg og derover"/>
    <x v="0"/>
    <n v="110401"/>
    <n v="111505"/>
    <n v="0"/>
    <m/>
    <s v="Dybstrøelse"/>
    <m/>
    <m/>
    <n v="0"/>
    <n v="5.75"/>
    <n v="0"/>
    <n v="0.26"/>
    <n v="183"/>
    <n v="183"/>
    <n v="745.11660136986302"/>
    <n v="599.63835616438359"/>
    <n v="2"/>
    <n v="0.3"/>
    <n v="5.4059149292876718"/>
    <n v="0"/>
  </r>
  <r>
    <s v="Kvæg"/>
    <n v="1201"/>
    <s v="1 årsko uden opdræt, malkekvæg, tung race"/>
    <x v="1"/>
    <s v="Bindestald med grebning"/>
    <x v="1"/>
    <n v="120101"/>
    <n v="121302"/>
    <n v="0"/>
    <s v="Fast gødning"/>
    <m/>
    <n v="12.06"/>
    <n v="0.2"/>
    <n v="0"/>
    <m/>
    <n v="0"/>
    <m/>
    <n v="18"/>
    <n v="181"/>
    <n v="1834.4416438356166"/>
    <n v="95.158356164383562"/>
    <n v="2"/>
    <n v="0.24"/>
    <n v="6.2055936000000012"/>
    <n v="0"/>
  </r>
  <r>
    <s v="Kvæg"/>
    <n v="1201"/>
    <s v="1 årsko uden opdræt, malkekvæg, tung race"/>
    <x v="1"/>
    <s v="Bindestald med riste"/>
    <x v="1"/>
    <n v="120102"/>
    <n v="121303"/>
    <n v="0"/>
    <s v="Kvæggylle"/>
    <m/>
    <n v="32.049999999999997"/>
    <n v="8.6999999999999994E-2"/>
    <n v="0"/>
    <m/>
    <n v="0"/>
    <m/>
    <n v="18"/>
    <n v="181"/>
    <n v="2120.6738630136983"/>
    <n v="110.00613698630136"/>
    <n v="12.5"/>
    <n v="0.24"/>
    <n v="44.836667999999989"/>
    <n v="0"/>
  </r>
  <r>
    <s v="Kvæg"/>
    <n v="1201"/>
    <s v="1 årsko uden opdræt, malkekvæg, tung race"/>
    <x v="1"/>
    <s v="Sengestald med fast gulv"/>
    <x v="2"/>
    <n v="120103"/>
    <n v="121304"/>
    <n v="0"/>
    <s v="Kvæggylle"/>
    <m/>
    <n v="32.06"/>
    <n v="0.08"/>
    <n v="0"/>
    <m/>
    <n v="0"/>
    <m/>
    <n v="18"/>
    <n v="181"/>
    <n v="1950.6533698630137"/>
    <n v="101.18663013698631"/>
    <n v="12.5"/>
    <n v="0.24"/>
    <n v="41.241984000000002"/>
    <n v="0"/>
  </r>
  <r>
    <s v="Kvæg"/>
    <n v="1201"/>
    <s v="1 årsko uden opdræt, malkekvæg, tung race"/>
    <x v="1"/>
    <s v="Sengestald med spalter (kanal, linespil)"/>
    <x v="2"/>
    <n v="120104"/>
    <n v="121305"/>
    <n v="0"/>
    <s v="Kvæggylle"/>
    <m/>
    <n v="32.06"/>
    <n v="0.08"/>
    <n v="0"/>
    <m/>
    <n v="0"/>
    <m/>
    <n v="18"/>
    <n v="181"/>
    <n v="1950.6533698630137"/>
    <n v="101.18663013698631"/>
    <n v="12.5"/>
    <n v="0.24"/>
    <n v="41.241984000000002"/>
    <n v="0"/>
  </r>
  <r>
    <s v="Kvæg"/>
    <n v="1201"/>
    <s v="1 årsko uden opdræt, malkekvæg, tung race"/>
    <x v="1"/>
    <s v="Sengestald med spalter (kanal, bagskyl eller ringk"/>
    <x v="2"/>
    <n v="120105"/>
    <n v="121306"/>
    <n v="188.07"/>
    <s v="Kvæggylle"/>
    <m/>
    <n v="32.06"/>
    <n v="0.08"/>
    <n v="6029.5241999999998"/>
    <m/>
    <n v="0"/>
    <m/>
    <n v="18"/>
    <n v="181"/>
    <n v="1950.6533698630137"/>
    <n v="101.18663013698631"/>
    <n v="12.5"/>
    <n v="0.24"/>
    <n v="41.241984000000002"/>
    <n v="7.7563799308799997"/>
  </r>
  <r>
    <s v="Kvæg"/>
    <n v="1201"/>
    <s v="1 årsko uden opdræt, malkekvæg, tung race"/>
    <x v="1"/>
    <s v="Dybstrøelse (hele arealet)"/>
    <x v="3"/>
    <n v="120106"/>
    <n v="121307"/>
    <n v="0"/>
    <m/>
    <s v="Dybstrøelse"/>
    <m/>
    <m/>
    <n v="0"/>
    <n v="16.21"/>
    <n v="0"/>
    <n v="0.3"/>
    <n v="18"/>
    <n v="181"/>
    <n v="4621.1003905479456"/>
    <n v="191.85534246575347"/>
    <n v="17"/>
    <n v="0.24"/>
    <n v="131.56695791766248"/>
    <n v="0"/>
  </r>
  <r>
    <s v="Kvæg"/>
    <n v="1201"/>
    <s v="1 årsko uden opdræt, malkekvæg, tung race"/>
    <x v="1"/>
    <s v="Dybstrøelse, lang ædeplads med fast gulv"/>
    <x v="3"/>
    <n v="120107"/>
    <n v="121308"/>
    <n v="0"/>
    <s v="Kvæggylle"/>
    <m/>
    <n v="14.11"/>
    <n v="6.9000000000000006E-2"/>
    <n v="0"/>
    <m/>
    <n v="0"/>
    <m/>
    <n v="18"/>
    <n v="181"/>
    <n v="740.46187397260292"/>
    <n v="38.410126027397268"/>
    <n v="12.5"/>
    <n v="0.24"/>
    <n v="15.655327200000004"/>
    <n v="0"/>
  </r>
  <r>
    <s v="Kvæg"/>
    <n v="1201"/>
    <s v="1 årsko uden opdræt, malkekvæg, tung race"/>
    <x v="1"/>
    <s v="Dybstrøelse, lang ædeplads med spalter (kanal, lin"/>
    <x v="3"/>
    <n v="120108"/>
    <n v="121309"/>
    <n v="0"/>
    <s v="Kvæggylle"/>
    <m/>
    <n v="14.11"/>
    <n v="6.9000000000000006E-2"/>
    <n v="0"/>
    <m/>
    <n v="0"/>
    <m/>
    <n v="18"/>
    <n v="181"/>
    <n v="740.46187397260292"/>
    <n v="38.410126027397268"/>
    <n v="12.5"/>
    <n v="0.24"/>
    <n v="15.655327200000004"/>
    <n v="0"/>
  </r>
  <r>
    <s v="Kvæg"/>
    <n v="1201"/>
    <s v="1 årsko uden opdræt, malkekvæg, tung race"/>
    <x v="1"/>
    <s v="Dybstrøelse, lang ædeplads med spalter (kanal, bag"/>
    <x v="3"/>
    <n v="120109"/>
    <n v="121310"/>
    <n v="0"/>
    <s v="Kvæggylle"/>
    <m/>
    <n v="14.11"/>
    <n v="6.9000000000000006E-2"/>
    <n v="0"/>
    <m/>
    <n v="0"/>
    <m/>
    <n v="18"/>
    <n v="181"/>
    <n v="740.46187397260292"/>
    <n v="38.410126027397268"/>
    <n v="12.5"/>
    <n v="0.24"/>
    <n v="15.655327200000004"/>
    <n v="0"/>
  </r>
  <r>
    <s v="Kvæg"/>
    <n v="1201"/>
    <s v="1 årsko uden opdræt, malkekvæg, tung race"/>
    <x v="1"/>
    <s v="Sengestald, fast drænet gulv med skraber og ajleaf"/>
    <x v="2"/>
    <n v="120114"/>
    <n v="121315"/>
    <n v="0"/>
    <s v="Kvæggylle"/>
    <m/>
    <n v="32.06"/>
    <n v="0.08"/>
    <n v="0"/>
    <m/>
    <n v="0"/>
    <m/>
    <n v="18"/>
    <n v="181"/>
    <n v="1950.6533698630137"/>
    <n v="101.18663013698631"/>
    <n v="12.5"/>
    <n v="0.24"/>
    <n v="41.241984000000002"/>
    <n v="0"/>
  </r>
  <r>
    <s v="Kvæg"/>
    <n v="1201"/>
    <s v="1 årsko uden opdræt, malkekvæg, tung race"/>
    <x v="1"/>
    <s v="Dybstrøelse, lang ædeplads, fast drænet gulv med s"/>
    <x v="3"/>
    <n v="120115"/>
    <n v="121316"/>
    <n v="0"/>
    <s v="Kvæggylle"/>
    <m/>
    <n v="14.11"/>
    <n v="6.9000000000000006E-2"/>
    <n v="0"/>
    <m/>
    <n v="0"/>
    <m/>
    <n v="18"/>
    <n v="181"/>
    <n v="740.46187397260292"/>
    <n v="38.410126027397268"/>
    <n v="4.5999999999999996"/>
    <n v="0.24"/>
    <n v="5.7611604096000013"/>
    <n v="0"/>
  </r>
  <r>
    <s v="Kvæg"/>
    <n v="1202"/>
    <s v="1 årsopdræt (småkalv 0-6 mdr., tung race)"/>
    <x v="2"/>
    <s v="Dybstrøelse (hele arealet)"/>
    <x v="3"/>
    <n v="120201"/>
    <n v="121403"/>
    <n v="161.9"/>
    <m/>
    <s v="Dybstrøelse"/>
    <m/>
    <m/>
    <n v="0"/>
    <n v="1.89"/>
    <n v="305.99099999999999"/>
    <n v="0.3"/>
    <n v="224"/>
    <n v="224"/>
    <n v="218.93431191780823"/>
    <n v="278.37369863013703"/>
    <n v="17"/>
    <n v="0.18"/>
    <n v="10.195808832253974"/>
    <n v="1.6507014499419184"/>
  </r>
  <r>
    <s v="Kvæg"/>
    <n v="1202"/>
    <s v="1 årsopdræt (småkalv 0-6 mdr., tung race)"/>
    <x v="2"/>
    <s v="Dybstrøelse + kort ædeplads med fast gulv"/>
    <x v="3"/>
    <n v="120202"/>
    <n v="121404"/>
    <n v="7.98"/>
    <m/>
    <s v="Dybstrøelse"/>
    <m/>
    <m/>
    <n v="0"/>
    <n v="1.89"/>
    <n v="15.0822"/>
    <n v="0.3"/>
    <n v="224"/>
    <n v="224"/>
    <n v="218.93431191780823"/>
    <n v="278.37369863013703"/>
    <n v="17"/>
    <n v="0.18"/>
    <n v="10.195808832253974"/>
    <n v="8.1362554481386712E-2"/>
  </r>
  <r>
    <s v="Kvæg"/>
    <n v="1203"/>
    <s v="1 årsopdræt (kvier/stude 6 mdr. - kælvning (27 mdr)/slagtning, tung race)"/>
    <x v="3"/>
    <s v="Bindestald med grebning"/>
    <x v="1"/>
    <n v="120301"/>
    <n v="121504"/>
    <n v="37.799999999999997"/>
    <s v="Fast gødning"/>
    <m/>
    <n v="4.51"/>
    <n v="0.182"/>
    <n v="170.47799999999998"/>
    <m/>
    <n v="0"/>
    <m/>
    <n v="132"/>
    <n v="181"/>
    <n v="419.18040547945202"/>
    <n v="237.47559452054793"/>
    <n v="2"/>
    <n v="0.18"/>
    <n v="1.583854272"/>
    <n v="5.9869691481599992E-2"/>
  </r>
  <r>
    <s v="Kvæg"/>
    <n v="1203"/>
    <s v="1 årsopdræt (kvier/stude 6 mdr. - kælvning (27 mdr)/slagtning, tung race)"/>
    <x v="3"/>
    <s v="Bindestald med riste"/>
    <x v="1"/>
    <n v="120302"/>
    <n v="121505"/>
    <n v="0"/>
    <s v="Kvæggylle"/>
    <m/>
    <n v="7.22"/>
    <n v="0.123"/>
    <n v="0"/>
    <m/>
    <n v="0"/>
    <m/>
    <n v="132"/>
    <n v="181"/>
    <n v="453.51886027397262"/>
    <n v="256.92913972602742"/>
    <n v="12.5"/>
    <n v="0.18"/>
    <n v="10.7100036"/>
    <n v="0"/>
  </r>
  <r>
    <s v="Kvæg"/>
    <n v="1203"/>
    <s v="1 årsopdræt (kvier/stude 6 mdr. - kælvning (27 mdr)/slagtning, tung race)"/>
    <x v="3"/>
    <s v="Sengestald med fast gulv"/>
    <x v="2"/>
    <n v="120303"/>
    <n v="121506"/>
    <n v="0"/>
    <s v="Kvæggylle"/>
    <m/>
    <n v="6.44"/>
    <n v="0.123"/>
    <n v="0"/>
    <m/>
    <n v="0"/>
    <m/>
    <n v="132"/>
    <n v="181"/>
    <n v="404.52374794520551"/>
    <n v="229.17225205479454"/>
    <n v="12.5"/>
    <n v="0.18"/>
    <n v="9.5529672000000012"/>
    <n v="0"/>
  </r>
  <r>
    <s v="Kvæg"/>
    <n v="1203"/>
    <s v="1 årsopdræt (kvier/stude 6 mdr. - kælvning (27 mdr)/slagtning, tung race)"/>
    <x v="3"/>
    <s v="Sengestald med spaltegulv (kanal, linespil)"/>
    <x v="2"/>
    <n v="120304"/>
    <n v="121507"/>
    <n v="0"/>
    <s v="Kvæggylle"/>
    <m/>
    <n v="6.44"/>
    <n v="0.123"/>
    <n v="0"/>
    <m/>
    <n v="0"/>
    <m/>
    <n v="132"/>
    <n v="181"/>
    <n v="404.52374794520551"/>
    <n v="229.17225205479454"/>
    <n v="12.5"/>
    <n v="0.18"/>
    <n v="9.5529672000000012"/>
    <n v="0"/>
  </r>
  <r>
    <s v="Kvæg"/>
    <n v="1203"/>
    <s v="1 årsopdræt (kvier/stude 6 mdr. - kælvning (27 mdr)/slagtning, tung race)"/>
    <x v="3"/>
    <s v="Sengestald med spaltegulv (kanal, bagskyl eller ri"/>
    <x v="2"/>
    <n v="120305"/>
    <n v="121508"/>
    <n v="0"/>
    <s v="Kvæggylle"/>
    <m/>
    <n v="6.44"/>
    <n v="0.123"/>
    <n v="0"/>
    <m/>
    <n v="0"/>
    <m/>
    <n v="132"/>
    <n v="181"/>
    <n v="404.52374794520551"/>
    <n v="229.17225205479454"/>
    <n v="12.5"/>
    <n v="0.18"/>
    <n v="9.5529672000000012"/>
    <n v="0"/>
  </r>
  <r>
    <s v="Kvæg"/>
    <n v="1203"/>
    <s v="1 årsopdræt (kvier/stude 6 mdr. - kælvning (27 mdr)/slagtning, tung race)"/>
    <x v="3"/>
    <s v="Dybstrøelse, hele arealet"/>
    <x v="3"/>
    <n v="120306"/>
    <n v="121509"/>
    <n v="356.1"/>
    <m/>
    <s v="Dybstrøelse"/>
    <m/>
    <m/>
    <n v="0"/>
    <n v="5.52"/>
    <n v="1965.672"/>
    <n v="0.3"/>
    <n v="132"/>
    <n v="181"/>
    <n v="1056.6421052054795"/>
    <n v="479.10575342465756"/>
    <n v="17"/>
    <n v="0.18"/>
    <n v="31.485902597635068"/>
    <n v="11.212129915017849"/>
  </r>
  <r>
    <s v="Kvæg"/>
    <n v="1203"/>
    <s v="1 årsopdræt (kvier/stude 6 mdr. - kælvning (27 mdr)/slagtning, tung race)"/>
    <x v="3"/>
    <s v="Dybstrøelse + kort ædeplads med fast gulv"/>
    <x v="3"/>
    <n v="120307"/>
    <n v="121510"/>
    <n v="103.66"/>
    <m/>
    <s v="Dybstrøelse"/>
    <m/>
    <m/>
    <n v="0"/>
    <n v="4.88"/>
    <n v="505.86079999999998"/>
    <n v="0.3"/>
    <n v="132"/>
    <n v="181"/>
    <n v="934.13287561643835"/>
    <n v="423.55726027397259"/>
    <n v="17"/>
    <n v="0.18"/>
    <n v="27.835363166025203"/>
    <n v="2.8854137457901725"/>
  </r>
  <r>
    <s v="Kvæg"/>
    <n v="1203"/>
    <s v="1 årsopdræt (kvier/stude 6 mdr. - kælvning (27 mdr)/slagtning, tung race)"/>
    <x v="3"/>
    <s v="Dybstrøelse, lang ædeplads med fast gulv"/>
    <x v="3"/>
    <n v="120308"/>
    <n v="121511"/>
    <n v="0"/>
    <s v="Kvæggylle"/>
    <m/>
    <n v="2.65"/>
    <n v="0.11"/>
    <n v="0"/>
    <m/>
    <n v="0"/>
    <m/>
    <n v="132"/>
    <n v="181"/>
    <n v="148.86465753424656"/>
    <n v="84.335342465753428"/>
    <n v="12.5"/>
    <n v="0.18"/>
    <n v="3.5154899999999998"/>
    <n v="0"/>
  </r>
  <r>
    <s v="Kvæg"/>
    <n v="1203"/>
    <s v="1 årsopdræt (kvier/stude 6 mdr. - kælvning (27 mdr)/slagtning, tung race)"/>
    <x v="3"/>
    <s v="Dybstrøelse, lang ædeplads med spalter (kanal, lin"/>
    <x v="3"/>
    <n v="120309"/>
    <n v="121512"/>
    <n v="0"/>
    <s v="Kvæggylle"/>
    <m/>
    <n v="2.65"/>
    <n v="0.11"/>
    <n v="0"/>
    <m/>
    <n v="0"/>
    <m/>
    <n v="132"/>
    <n v="181"/>
    <n v="148.86465753424656"/>
    <n v="84.335342465753428"/>
    <n v="12.5"/>
    <n v="0.18"/>
    <n v="3.5154899999999998"/>
    <n v="0"/>
  </r>
  <r>
    <s v="Kvæg"/>
    <n v="1203"/>
    <s v="1 årsopdræt (kvier/stude 6 mdr. - kælvning (27 mdr)/slagtning, tung race)"/>
    <x v="3"/>
    <s v="Dybstrøelse, lang ædeplads med spalter (kanal, bag"/>
    <x v="3"/>
    <n v="120310"/>
    <n v="121513"/>
    <n v="0"/>
    <s v="Kvæggylle"/>
    <m/>
    <n v="2.65"/>
    <n v="0.11"/>
    <n v="0"/>
    <m/>
    <n v="0"/>
    <m/>
    <n v="132"/>
    <n v="181"/>
    <n v="148.86465753424656"/>
    <n v="84.335342465753428"/>
    <n v="12.5"/>
    <n v="0.18"/>
    <n v="3.5154899999999998"/>
    <n v="0"/>
  </r>
  <r>
    <s v="Kvæg"/>
    <n v="1203"/>
    <s v="1 årsopdræt (kvier/stude 6 mdr. - kælvning (27 mdr)/slagtning, tung race)"/>
    <x v="3"/>
    <s v="Spaltegulvbokse"/>
    <x v="4"/>
    <n v="120312"/>
    <n v="121515"/>
    <n v="0"/>
    <s v="Kvæggylle"/>
    <m/>
    <n v="7.28"/>
    <n v="0.1"/>
    <n v="0"/>
    <m/>
    <n v="0"/>
    <m/>
    <n v="132"/>
    <n v="181"/>
    <n v="371.77863013698635"/>
    <n v="210.62136986301374"/>
    <n v="12.5"/>
    <n v="0.18"/>
    <n v="8.7796800000000008"/>
    <n v="0"/>
  </r>
  <r>
    <s v="Kvæg"/>
    <n v="1203"/>
    <s v="1 årsopdræt (kvier/stude 6 mdr. - kælvning (27 mdr)/slagtning, tung race)"/>
    <x v="3"/>
    <s v="Sengestald, fast drænet gulv med skraber og ajleaf"/>
    <x v="2"/>
    <n v="120316"/>
    <n v="121519"/>
    <n v="0"/>
    <s v="Kvæggylle"/>
    <m/>
    <n v="6.44"/>
    <n v="0.123"/>
    <n v="0"/>
    <m/>
    <n v="0"/>
    <m/>
    <n v="132"/>
    <n v="181"/>
    <n v="404.52374794520551"/>
    <n v="229.17225205479454"/>
    <n v="12.5"/>
    <n v="0.24"/>
    <n v="12.7372896"/>
    <n v="0"/>
  </r>
  <r>
    <s v="Kvæg"/>
    <n v="1204"/>
    <s v="1 stk. slagtekalv, 0-6 mdr., tung race."/>
    <x v="4"/>
    <s v="Dybstrøelse (hele arealet)"/>
    <x v="3"/>
    <n v="120401"/>
    <n v="121605"/>
    <n v="485"/>
    <m/>
    <s v="Dybstrøelse"/>
    <m/>
    <m/>
    <n v="0"/>
    <n v="1.89"/>
    <n v="916.65"/>
    <n v="0.3"/>
    <n v="18"/>
    <n v="224"/>
    <n v="538.7957889041096"/>
    <n v="22.369315068493151"/>
    <n v="17"/>
    <n v="0.18"/>
    <n v="11.505006961646304"/>
    <n v="5.579928376398458"/>
  </r>
  <r>
    <s v="Kvæg"/>
    <n v="1204"/>
    <s v="1 stk. slagtekalv, 0-6 mdr., tung race."/>
    <x v="4"/>
    <s v="Dybstrøelse + kort ædeplads med fast gulv"/>
    <x v="3"/>
    <n v="120402"/>
    <n v="121606"/>
    <n v="0"/>
    <m/>
    <s v="Dybstrøelse"/>
    <m/>
    <m/>
    <n v="0"/>
    <n v="1.89"/>
    <n v="0"/>
    <n v="0.3"/>
    <n v="18"/>
    <n v="224"/>
    <n v="538.7957889041096"/>
    <n v="22.369315068493151"/>
    <n v="3"/>
    <n v="0.18"/>
    <n v="2.0302953461728772"/>
    <n v="0"/>
  </r>
  <r>
    <s v="Kvæg"/>
    <n v="1205"/>
    <s v="1 stk. slagtekalve, 6 mdr. - slagtning (440 kg), tung race."/>
    <x v="5"/>
    <s v="Bindestald med grebning"/>
    <x v="1"/>
    <n v="120501"/>
    <n v="121706"/>
    <n v="5.1100000000000003"/>
    <s v="Fast gødning"/>
    <m/>
    <n v="1.92"/>
    <n v="0.20599999999999999"/>
    <n v="9.8111999999999995"/>
    <m/>
    <n v="0"/>
    <m/>
    <n v="18"/>
    <n v="181"/>
    <n v="300.81192328767116"/>
    <n v="15.604076712328764"/>
    <n v="2"/>
    <n v="0.18"/>
    <n v="0.76319539199999986"/>
    <n v="3.8999284531199994E-3"/>
  </r>
  <r>
    <s v="Kvæg"/>
    <n v="1205"/>
    <s v="1 stk. slagtekalve, 6 mdr. - slagtning (440 kg), tung race."/>
    <x v="5"/>
    <s v="Bindestald med riste"/>
    <x v="1"/>
    <n v="120502"/>
    <n v="121707"/>
    <n v="0"/>
    <s v="Kvæggylle"/>
    <m/>
    <n v="3.31"/>
    <n v="0.128"/>
    <n v="0"/>
    <m/>
    <n v="0"/>
    <m/>
    <n v="18"/>
    <n v="181"/>
    <n v="322.22895342465756"/>
    <n v="16.715046575342466"/>
    <n v="12.5"/>
    <n v="0.18"/>
    <n v="5.1095808000000007"/>
    <n v="0"/>
  </r>
  <r>
    <s v="Kvæg"/>
    <n v="1205"/>
    <s v="1 stk. slagtekalve, 6 mdr. - slagtning (440 kg), tung race."/>
    <x v="5"/>
    <s v="Dybstrøelse, hele arealet"/>
    <x v="3"/>
    <n v="120503"/>
    <n v="121708"/>
    <n v="376.81"/>
    <m/>
    <s v="Dybstrøelse"/>
    <m/>
    <m/>
    <n v="0"/>
    <n v="2.5299999999999998"/>
    <n v="953.32929999999988"/>
    <n v="0.3"/>
    <n v="18"/>
    <n v="181"/>
    <n v="721.24515657534243"/>
    <n v="29.944109589041098"/>
    <n v="17"/>
    <n v="0.18"/>
    <n v="15.400882334902189"/>
    <n v="5.8032064726144936"/>
  </r>
  <r>
    <s v="Kvæg"/>
    <n v="1205"/>
    <s v="1 stk. slagtekalve, 6 mdr. - slagtning (440 kg), tung race."/>
    <x v="5"/>
    <s v="Dybstrøelse + kort ædeplads med fast gulv"/>
    <x v="3"/>
    <n v="120504"/>
    <n v="121709"/>
    <n v="139.69"/>
    <m/>
    <s v="Dybstrøelse"/>
    <m/>
    <m/>
    <n v="0"/>
    <n v="2.2400000000000002"/>
    <n v="312.90560000000005"/>
    <n v="0.3"/>
    <n v="18"/>
    <n v="181"/>
    <n v="638.57278684931498"/>
    <n v="26.511780821917803"/>
    <n v="3"/>
    <n v="0.18"/>
    <n v="2.4062759658345203"/>
    <n v="0.33613268966742416"/>
  </r>
  <r>
    <s v="Kvæg"/>
    <n v="1205"/>
    <s v="1 stk. slagtekalve, 6 mdr. - slagtning (440 kg), tung race."/>
    <x v="5"/>
    <s v="Dybstrøelse, lang ædeplads med fast gulv"/>
    <x v="3"/>
    <n v="120505"/>
    <n v="121710"/>
    <n v="0"/>
    <s v="Kvæggylle"/>
    <m/>
    <n v="1.36"/>
    <n v="8.8999999999999996E-2"/>
    <n v="0"/>
    <m/>
    <n v="0"/>
    <m/>
    <n v="18"/>
    <n v="181"/>
    <n v="92.056723287671218"/>
    <n v="4.7752767123287665"/>
    <n v="12.5"/>
    <n v="0.18"/>
    <n v="1.4597423999999997"/>
    <n v="0"/>
  </r>
  <r>
    <s v="Kvæg"/>
    <n v="1205"/>
    <s v="1 stk. slagtekalve, 6 mdr. - slagtning (440 kg), tung race."/>
    <x v="5"/>
    <s v="Dybstrøelse, lang ædeplads med spalter (kanal, lin"/>
    <x v="3"/>
    <n v="120506"/>
    <n v="121711"/>
    <n v="0"/>
    <s v="Kvæggylle"/>
    <m/>
    <n v="1.36"/>
    <n v="8.8999999999999996E-2"/>
    <n v="0"/>
    <m/>
    <n v="0"/>
    <m/>
    <n v="18"/>
    <n v="181"/>
    <n v="92.056723287671218"/>
    <n v="4.7752767123287665"/>
    <n v="12.5"/>
    <n v="0.18"/>
    <n v="1.4597423999999997"/>
    <n v="0"/>
  </r>
  <r>
    <s v="Kvæg"/>
    <n v="1205"/>
    <s v="1 stk. slagtekalve, 6 mdr. - slagtning (440 kg), tung race."/>
    <x v="5"/>
    <s v="Dybstrøelse, lang ædeplads med spalter (kanal, bag"/>
    <x v="3"/>
    <n v="120507"/>
    <n v="121712"/>
    <n v="0"/>
    <s v="Kvæggylle"/>
    <m/>
    <n v="1.36"/>
    <n v="8.8999999999999996E-2"/>
    <n v="0"/>
    <m/>
    <n v="0"/>
    <m/>
    <n v="18"/>
    <n v="181"/>
    <n v="92.056723287671218"/>
    <n v="4.7752767123287665"/>
    <n v="12.5"/>
    <n v="0.18"/>
    <n v="1.4597423999999997"/>
    <n v="0"/>
  </r>
  <r>
    <s v="Kvæg"/>
    <n v="1205"/>
    <s v="1 stk. slagtekalve, 6 mdr. - slagtning (440 kg), tung race."/>
    <x v="5"/>
    <s v="Spaltegulvbokse"/>
    <x v="4"/>
    <n v="120509"/>
    <n v="121714"/>
    <n v="0"/>
    <s v="Kvæggylle"/>
    <m/>
    <n v="3"/>
    <n v="0.10100000000000001"/>
    <n v="0"/>
    <m/>
    <n v="0"/>
    <m/>
    <n v="18"/>
    <n v="181"/>
    <n v="230.44602739726034"/>
    <n v="11.953972602739729"/>
    <n v="12.5"/>
    <n v="0.18"/>
    <n v="3.6541800000000015"/>
    <n v="0"/>
  </r>
  <r>
    <s v="Kvæg"/>
    <n v="1205"/>
    <s v="1 stk. slagtekalve, 6 mdr. - slagtning (440 kg), tung race."/>
    <x v="5"/>
    <s v="Sengestald med fast gulv"/>
    <x v="2"/>
    <n v="120510"/>
    <n v="121715"/>
    <n v="0"/>
    <s v="Kvæggylle"/>
    <m/>
    <n v="2.85"/>
    <n v="0.123"/>
    <n v="0"/>
    <m/>
    <n v="0"/>
    <m/>
    <n v="18"/>
    <n v="181"/>
    <n v="266.6100821917808"/>
    <n v="13.829917808219179"/>
    <n v="12.5"/>
    <n v="0.18"/>
    <n v="4.2276329999999991"/>
    <n v="0"/>
  </r>
  <r>
    <s v="Kvæg"/>
    <n v="1205"/>
    <s v="1 stk. slagtekalve, 6 mdr. - slagtning (440 kg), tung race."/>
    <x v="5"/>
    <s v="Sengestald med spalter (kanal, linespil)"/>
    <x v="2"/>
    <n v="120511"/>
    <n v="121716"/>
    <n v="0"/>
    <s v="Kvæggylle"/>
    <m/>
    <n v="2.85"/>
    <n v="0.123"/>
    <n v="0"/>
    <m/>
    <n v="0"/>
    <m/>
    <n v="18"/>
    <n v="181"/>
    <n v="266.6100821917808"/>
    <n v="13.829917808219179"/>
    <n v="12.5"/>
    <n v="0.18"/>
    <n v="4.2276329999999991"/>
    <n v="0"/>
  </r>
  <r>
    <s v="Kvæg"/>
    <n v="1205"/>
    <s v="1 stk. slagtekalve, 6 mdr. - slagtning (440 kg), tung race."/>
    <x v="5"/>
    <s v="Sengestald med spalter (kanal, bagskyl eller ringk"/>
    <x v="2"/>
    <n v="120512"/>
    <n v="121717"/>
    <n v="0"/>
    <s v="Kvæggylle"/>
    <m/>
    <n v="2.85"/>
    <n v="0.123"/>
    <n v="0"/>
    <m/>
    <n v="0"/>
    <m/>
    <n v="18"/>
    <n v="181"/>
    <n v="266.6100821917808"/>
    <n v="13.829917808219179"/>
    <n v="12.5"/>
    <n v="0.18"/>
    <n v="4.2276329999999991"/>
    <n v="0"/>
  </r>
  <r>
    <s v="Kvæg"/>
    <n v="1205"/>
    <s v="1 stk. slagtekalve, 6 mdr. - slagtning (440 kg), tung race."/>
    <x v="5"/>
    <s v="Sengestald, fast drænet gulv med skraber og ajleaf"/>
    <x v="2"/>
    <n v="120519"/>
    <n v="121724"/>
    <n v="0"/>
    <s v="Kvæggylle"/>
    <m/>
    <n v="2.85"/>
    <n v="0.123"/>
    <n v="0"/>
    <m/>
    <n v="0"/>
    <m/>
    <n v="18"/>
    <n v="181"/>
    <n v="266.6100821917808"/>
    <n v="13.829917808219179"/>
    <n v="12.5"/>
    <n v="0.18"/>
    <n v="4.2276329999999991"/>
    <n v="0"/>
  </r>
  <r>
    <s v="Kvæg"/>
    <n v="1206"/>
    <s v="1 avlstyr (1 årsdyr), tung race, over 440 kg"/>
    <x v="6"/>
    <s v="Bindestald med grebning"/>
    <x v="1"/>
    <n v="120601"/>
    <n v="121807"/>
    <n v="0"/>
    <s v="Fast gødning"/>
    <m/>
    <n v="4.51"/>
    <n v="0.182"/>
    <n v="0"/>
    <m/>
    <n v="0"/>
    <m/>
    <n v="18"/>
    <n v="181"/>
    <n v="624.27296438356166"/>
    <n v="32.383035616438356"/>
    <n v="2"/>
    <n v="0.18"/>
    <n v="1.5838542720000002"/>
    <n v="0"/>
  </r>
  <r>
    <s v="Kvæg"/>
    <n v="1206"/>
    <s v="1 avlstyr (1 årsdyr), tung race, over 440 kg"/>
    <x v="6"/>
    <s v="Bindestald med riste"/>
    <x v="1"/>
    <n v="120602"/>
    <n v="121808"/>
    <n v="0"/>
    <s v="Kvæggylle"/>
    <m/>
    <n v="7.22"/>
    <n v="0.12300000000000001"/>
    <n v="0"/>
    <m/>
    <n v="0"/>
    <m/>
    <n v="18"/>
    <n v="181"/>
    <n v="675.41220821917807"/>
    <n v="35.035791780821917"/>
    <n v="12.5"/>
    <n v="0.18"/>
    <n v="10.710003600000002"/>
    <n v="0"/>
  </r>
  <r>
    <s v="Kvæg"/>
    <n v="1206"/>
    <s v="1 avlstyr (1 årsdyr), tung race, over 440 kg"/>
    <x v="6"/>
    <s v="Dybstrøelse, hele arealet"/>
    <x v="3"/>
    <n v="120603"/>
    <n v="121809"/>
    <n v="9.8699999999999992"/>
    <m/>
    <s v="Dybstrøelse"/>
    <m/>
    <m/>
    <n v="0"/>
    <n v="5.52"/>
    <n v="54.482399999999991"/>
    <n v="0.3"/>
    <n v="18"/>
    <n v="181"/>
    <n v="1573.6257961643835"/>
    <n v="0"/>
    <n v="17"/>
    <n v="0.18"/>
    <n v="32.262476072962187"/>
    <n v="0.31843063884013673"/>
  </r>
  <r>
    <s v="Kvæg"/>
    <n v="1206"/>
    <s v="1 avlstyr (1 årsdyr), tung race, over 440 kg"/>
    <x v="6"/>
    <s v="Dybstrøelse + kort ædeplads med fast gulv"/>
    <x v="3"/>
    <n v="120604"/>
    <n v="121810"/>
    <n v="0"/>
    <m/>
    <s v="Dybstrøelse"/>
    <m/>
    <m/>
    <n v="0"/>
    <n v="4.88"/>
    <n v="0"/>
    <n v="0.3"/>
    <n v="18"/>
    <n v="181"/>
    <n v="1391.1764284931508"/>
    <n v="0"/>
    <n v="17"/>
    <n v="0.18"/>
    <n v="28.521899136966582"/>
    <n v="0"/>
  </r>
  <r>
    <s v="Kvæg"/>
    <n v="1206"/>
    <s v="1 avlstyr (1 årsdyr), tung race, over 440 kg"/>
    <x v="6"/>
    <s v="Dybstrøelse, lang ædeplads med fast gulv"/>
    <x v="3"/>
    <n v="120605"/>
    <n v="121811"/>
    <n v="0"/>
    <s v="Kvæggylle"/>
    <m/>
    <n v="2.65"/>
    <n v="0.11"/>
    <n v="0"/>
    <m/>
    <n v="0"/>
    <m/>
    <n v="18"/>
    <n v="181"/>
    <n v="221.69972602739728"/>
    <n v="11.50027397260274"/>
    <n v="12.5"/>
    <n v="0.18"/>
    <n v="3.5154900000000002"/>
    <n v="0"/>
  </r>
  <r>
    <s v="Kvæg"/>
    <n v="1206"/>
    <s v="1 avlstyr (1 årsdyr), tung race, over 440 kg"/>
    <x v="6"/>
    <s v="Dybstrøelse, lang ædepladsmedspalter (kanal, bag"/>
    <x v="3"/>
    <n v="120606"/>
    <n v="121812"/>
    <n v="0"/>
    <s v="Kvæggylle"/>
    <m/>
    <n v="2.65"/>
    <n v="0.11"/>
    <n v="0"/>
    <m/>
    <n v="0"/>
    <m/>
    <n v="18"/>
    <n v="181"/>
    <n v="221.69972602739728"/>
    <n v="11.50027397260274"/>
    <n v="12.5"/>
    <n v="0.18"/>
    <n v="3.5154900000000002"/>
    <n v="0"/>
  </r>
  <r>
    <s v="Kvæg"/>
    <n v="1206"/>
    <s v="1 avlstyr (1 årsdyr), tung race, over 440 kg"/>
    <x v="6"/>
    <s v="Dybstrøelse, lang ædeplads med spalter (kanal, lin"/>
    <x v="3"/>
    <n v="120607"/>
    <n v="121813"/>
    <n v="0"/>
    <s v="Kvæggylle"/>
    <m/>
    <n v="2.65"/>
    <n v="0.11"/>
    <n v="0"/>
    <m/>
    <n v="0"/>
    <m/>
    <n v="18"/>
    <n v="181"/>
    <n v="221.69972602739728"/>
    <n v="11.50027397260274"/>
    <n v="12.5"/>
    <n v="0.18"/>
    <n v="3.5154900000000002"/>
    <n v="0"/>
  </r>
  <r>
    <s v="Kvæg"/>
    <n v="1206"/>
    <s v="1 avlstyr (1årsdyr), tung race, over 440 kg"/>
    <x v="6"/>
    <s v="Sengestald, fast drænet gulv med skraber og ajleaf"/>
    <x v="2"/>
    <n v="120609"/>
    <n v="121815"/>
    <n v="0"/>
    <s v="Kvæggylle"/>
    <m/>
    <n v="6.44"/>
    <n v="0.12300000000000001"/>
    <n v="0"/>
    <m/>
    <n v="0"/>
    <m/>
    <n v="18"/>
    <n v="181"/>
    <n v="602.4452383561644"/>
    <n v="31.250761643835617"/>
    <n v="12.5"/>
    <n v="0.18"/>
    <n v="9.5529671999999994"/>
    <n v="0"/>
  </r>
  <r>
    <s v="Kvæg"/>
    <n v="1206"/>
    <s v="1 avlstyr (1 årsdyr), tung race, over 440 kg"/>
    <x v="6"/>
    <s v="Sengestald med fast gulv"/>
    <x v="2"/>
    <n v="120610"/>
    <n v="121816"/>
    <n v="0"/>
    <s v="Kvæggylle"/>
    <m/>
    <n v="6.44"/>
    <n v="0.12300000000000001"/>
    <n v="0"/>
    <m/>
    <n v="0"/>
    <m/>
    <n v="18"/>
    <n v="181"/>
    <n v="602.4452383561644"/>
    <n v="31.250761643835617"/>
    <n v="12.5"/>
    <n v="0.18"/>
    <n v="9.5529671999999994"/>
    <n v="0"/>
  </r>
  <r>
    <s v="Kvæg"/>
    <n v="1206"/>
    <s v="1 avlstyr (1 årsdyr), tung race, over 440 kg"/>
    <x v="6"/>
    <s v="Sengestald med spaltegulv (kanal, linespil)"/>
    <x v="2"/>
    <n v="120611"/>
    <n v="121817"/>
    <n v="0"/>
    <s v="Kvæggylle"/>
    <m/>
    <n v="6.44"/>
    <n v="0.12300000000000001"/>
    <n v="0"/>
    <m/>
    <n v="0"/>
    <m/>
    <n v="18"/>
    <n v="181"/>
    <n v="602.4452383561644"/>
    <n v="31.250761643835617"/>
    <n v="12.5"/>
    <n v="0.18"/>
    <n v="9.5529671999999994"/>
    <n v="0"/>
  </r>
  <r>
    <s v="Kvæg"/>
    <n v="1206"/>
    <s v="1 avlstyr (1 årsdyr), tung race, over 440 kg"/>
    <x v="6"/>
    <s v="Sengestald med spaltegulv (kanal, bagskyl eller ri"/>
    <x v="2"/>
    <n v="120612"/>
    <n v="121818"/>
    <n v="0"/>
    <s v="Kvæggylle"/>
    <m/>
    <n v="6.44"/>
    <n v="0.12300000000000001"/>
    <n v="0"/>
    <m/>
    <n v="0"/>
    <m/>
    <n v="18"/>
    <n v="181"/>
    <n v="602.4452383561644"/>
    <n v="31.250761643835617"/>
    <n v="12.5"/>
    <n v="0.18"/>
    <n v="9.5529671999999994"/>
    <n v="0"/>
  </r>
  <r>
    <s v="Kvæg"/>
    <n v="1206"/>
    <s v="1 avlstyr (1 årsdyr), tung race, over 440 kg"/>
    <x v="6"/>
    <s v="Spaltegulvbokse"/>
    <x v="4"/>
    <n v="120619"/>
    <n v="121825"/>
    <n v="0"/>
    <s v="Kvæggylle"/>
    <m/>
    <n v="7.28"/>
    <n v="0.1"/>
    <n v="0"/>
    <m/>
    <n v="0"/>
    <m/>
    <n v="18"/>
    <n v="181"/>
    <n v="553.6789041095891"/>
    <n v="28.721095890410965"/>
    <n v="12.5"/>
    <n v="0.18"/>
    <n v="8.7796800000000008"/>
    <n v="0"/>
  </r>
  <r>
    <s v="Kvæg"/>
    <n v="1231"/>
    <s v="1 årsko uden opdræt, malkekvæg, Jersey"/>
    <x v="1"/>
    <s v="Bindestald med grebning"/>
    <x v="1"/>
    <n v="123101"/>
    <n v="124332"/>
    <n v="0"/>
    <s v="Fast gødning"/>
    <m/>
    <n v="9.9"/>
    <n v="0.2"/>
    <n v="0"/>
    <m/>
    <n v="0"/>
    <m/>
    <n v="18"/>
    <n v="181"/>
    <n v="1505.8849315068494"/>
    <n v="78.115068493150702"/>
    <n v="2"/>
    <n v="0.24"/>
    <n v="5.094144"/>
    <n v="0"/>
  </r>
  <r>
    <s v="Kvæg"/>
    <n v="1231"/>
    <s v="1 årsko uden opdræt, malkekvæg, Jersey"/>
    <x v="1"/>
    <s v="Bindestald med riste"/>
    <x v="1"/>
    <n v="123102"/>
    <n v="124333"/>
    <n v="0"/>
    <s v="Kvæggylle"/>
    <m/>
    <n v="26.29"/>
    <n v="8.6999999999999994E-2"/>
    <n v="0"/>
    <m/>
    <n v="0"/>
    <m/>
    <n v="18"/>
    <n v="181"/>
    <n v="1739.5480767123286"/>
    <n v="90.235923287671227"/>
    <n v="12.5"/>
    <n v="0.24"/>
    <n v="36.778658399999991"/>
    <n v="0"/>
  </r>
  <r>
    <s v="Kvæg"/>
    <n v="1231"/>
    <s v="1 årsko uden opdræt, malkekvæg, Jersey"/>
    <x v="1"/>
    <s v="Sengestald med fast gulv"/>
    <x v="2"/>
    <n v="123103"/>
    <n v="124334"/>
    <n v="0"/>
    <s v="Kvæggylle"/>
    <m/>
    <n v="26.14"/>
    <n v="8.6999999999999994E-2"/>
    <n v="0"/>
    <m/>
    <n v="0"/>
    <m/>
    <n v="18"/>
    <n v="181"/>
    <n v="1729.6229260273974"/>
    <n v="89.721073972602738"/>
    <n v="12.5"/>
    <n v="0.24"/>
    <n v="36.568814400000008"/>
    <n v="0"/>
  </r>
  <r>
    <s v="Kvæg"/>
    <n v="1231"/>
    <s v="1 årsko uden opdræt, malkekvæg, Jersey"/>
    <x v="1"/>
    <s v="Sengestald med spalter (kanal, linespil)"/>
    <x v="2"/>
    <n v="123104"/>
    <n v="124335"/>
    <n v="0"/>
    <s v="Kvæggylle"/>
    <m/>
    <n v="24.16"/>
    <n v="0.08"/>
    <n v="0"/>
    <m/>
    <n v="0"/>
    <m/>
    <n v="18"/>
    <n v="181"/>
    <n v="1469.9870684931507"/>
    <n v="76.252931506849308"/>
    <n v="12.5"/>
    <n v="0.24"/>
    <n v="31.079423999999999"/>
    <n v="0"/>
  </r>
  <r>
    <s v="Kvæg"/>
    <n v="1231"/>
    <s v="1 årsko uden opdræt, malkekvæg, Jersey"/>
    <x v="1"/>
    <s v="Sengestald med spalter (kanal, bagskyl eller ringk"/>
    <x v="2"/>
    <n v="123105"/>
    <n v="124336"/>
    <n v="0"/>
    <s v="Kvæggylle"/>
    <m/>
    <n v="26.14"/>
    <n v="0.08"/>
    <n v="0"/>
    <m/>
    <n v="0"/>
    <m/>
    <n v="18"/>
    <n v="181"/>
    <n v="1590.4578630136987"/>
    <n v="82.502136986301366"/>
    <n v="12.5"/>
    <n v="0.24"/>
    <n v="33.626495999999996"/>
    <n v="0"/>
  </r>
  <r>
    <s v="Kvæg"/>
    <n v="1231"/>
    <s v="1 årsko uden opdræt, malkekvæg, Jersey"/>
    <x v="1"/>
    <s v="Dybstrøelse (hele arealet)"/>
    <x v="3"/>
    <n v="123106"/>
    <n v="124337"/>
    <n v="0"/>
    <m/>
    <s v="Dybstrøelse"/>
    <m/>
    <m/>
    <n v="0"/>
    <n v="13.42"/>
    <n v="0"/>
    <n v="0.3"/>
    <n v="132"/>
    <n v="181"/>
    <n v="2568.8654079452058"/>
    <n v="1164.7824657534247"/>
    <n v="17"/>
    <n v="0.24"/>
    <n v="102.06299827542576"/>
    <n v="0"/>
  </r>
  <r>
    <s v="Kvæg"/>
    <n v="1231"/>
    <s v="1 årsko uden opdræt, malkekvæg, Jersey"/>
    <x v="1"/>
    <s v="Dybstrøelse, lang ædeplads med fast gulv"/>
    <x v="3"/>
    <n v="123107"/>
    <n v="124338"/>
    <n v="0"/>
    <s v="Kvæggylle"/>
    <m/>
    <n v="11.55"/>
    <n v="6.9000000000000006E-2"/>
    <n v="0"/>
    <m/>
    <n v="0"/>
    <m/>
    <n v="18"/>
    <n v="181"/>
    <n v="606.11868493150689"/>
    <n v="31.441315068493154"/>
    <n v="12.5"/>
    <n v="0.24"/>
    <n v="12.814956000000002"/>
    <n v="0"/>
  </r>
  <r>
    <s v="Kvæg"/>
    <n v="1231"/>
    <s v="1 årsko uden opdræt, malkekvæg, Jersey"/>
    <x v="1"/>
    <s v="Dybstrøelse, lang ædeplads med spalter (kanal, lin"/>
    <x v="3"/>
    <n v="123108"/>
    <n v="124339"/>
    <n v="0"/>
    <s v="Kvæggylle"/>
    <m/>
    <n v="11.55"/>
    <n v="6.9000000000000006E-2"/>
    <n v="0"/>
    <m/>
    <n v="0"/>
    <m/>
    <n v="18"/>
    <n v="181"/>
    <n v="606.11868493150689"/>
    <n v="31.441315068493154"/>
    <n v="12.5"/>
    <n v="0.24"/>
    <n v="12.814956000000002"/>
    <n v="0"/>
  </r>
  <r>
    <s v="Kvæg"/>
    <n v="1231"/>
    <s v="1 årsko uden opdræt, malkekvæg, Jersey"/>
    <x v="1"/>
    <s v="Dybstrøelse, lang ædeplads med spalter (kanal, bag"/>
    <x v="3"/>
    <n v="123109"/>
    <n v="124340"/>
    <n v="0"/>
    <s v="Kvæggylle"/>
    <m/>
    <n v="11.55"/>
    <n v="6.9000000000000006E-2"/>
    <n v="0"/>
    <m/>
    <n v="0"/>
    <m/>
    <n v="18"/>
    <n v="181"/>
    <n v="606.11868493150689"/>
    <n v="31.441315068493154"/>
    <n v="12.5"/>
    <n v="0.24"/>
    <n v="12.814956000000002"/>
    <n v="0"/>
  </r>
  <r>
    <s v="Kvæg"/>
    <n v="1231"/>
    <s v="1 årsko uden opdræt, malkekvæg, Jersey"/>
    <x v="1"/>
    <s v="Sengestald, fast drænet gulv med skraber og ajleaf"/>
    <x v="2"/>
    <n v="123114"/>
    <n v="124345"/>
    <n v="0"/>
    <s v="Kvæggylle"/>
    <m/>
    <n v="24.14"/>
    <n v="0.08"/>
    <n v="0"/>
    <m/>
    <n v="0"/>
    <m/>
    <n v="18"/>
    <n v="181"/>
    <n v="1468.770191780822"/>
    <n v="76.18980821917809"/>
    <n v="12.5"/>
    <n v="0.24"/>
    <n v="31.053695999999999"/>
    <n v="0"/>
  </r>
  <r>
    <s v="Kvæg"/>
    <n v="1232"/>
    <s v="1 årsopdræt (småkalv 0-6 mdr., Jersey)"/>
    <x v="2"/>
    <s v="Dybstrøelse (hele arealet)"/>
    <x v="3"/>
    <n v="123201"/>
    <n v="124433"/>
    <n v="5.97"/>
    <m/>
    <s v="Dybstrøelse"/>
    <m/>
    <m/>
    <n v="0"/>
    <n v="1.48"/>
    <n v="8.8355999999999995"/>
    <n v="0.3"/>
    <n v="224"/>
    <n v="224"/>
    <n v="171.44062520547948"/>
    <n v="217.98575342465756"/>
    <n v="17"/>
    <n v="0.18"/>
    <n v="7.9840196146750699"/>
    <n v="4.7664597099610163E-2"/>
  </r>
  <r>
    <s v="Kvæg"/>
    <n v="1232"/>
    <s v="1 årsopdræt (småkalv 0-6 mdr., Jersey)"/>
    <x v="2"/>
    <s v="Dybstrøelse + kort ædeplads med fast gulv"/>
    <x v="3"/>
    <n v="123202"/>
    <n v="124434"/>
    <n v="0"/>
    <m/>
    <s v="Dybstrøelse"/>
    <m/>
    <m/>
    <n v="0"/>
    <n v="1.48"/>
    <n v="0"/>
    <n v="0.3"/>
    <n v="224"/>
    <n v="224"/>
    <n v="171.44062520547948"/>
    <n v="217.98575342465756"/>
    <n v="17"/>
    <n v="0.18"/>
    <n v="7.9840196146750699"/>
    <n v="0"/>
  </r>
  <r>
    <s v="Kvæg"/>
    <n v="1233"/>
    <s v="1 årsopdræt (kvier/stude 6 mdr. - kælvning (25 mdr)/slagtning, Jersey)"/>
    <x v="3"/>
    <s v="Bindestald med grebning"/>
    <x v="1"/>
    <n v="123301"/>
    <n v="124534"/>
    <n v="0"/>
    <s v="Fast gødning"/>
    <m/>
    <n v="3.36"/>
    <n v="0.186"/>
    <n v="0"/>
    <m/>
    <n v="0"/>
    <m/>
    <n v="132"/>
    <n v="181"/>
    <n v="319.15765479452057"/>
    <n v="180.81034520547942"/>
    <n v="2"/>
    <n v="0.18"/>
    <n v="1.205922816"/>
    <n v="0"/>
  </r>
  <r>
    <s v="Kvæg"/>
    <n v="1233"/>
    <s v="1 årsopdræt (kvier/stude 6 mdr. - kælvning (25 mdr)/slagtning, Jersey)"/>
    <x v="3"/>
    <s v="Bindestald med riste"/>
    <x v="1"/>
    <n v="123302"/>
    <n v="124535"/>
    <n v="0"/>
    <s v="Kvæggylle"/>
    <m/>
    <n v="5.31"/>
    <n v="0.127"/>
    <n v="0"/>
    <m/>
    <n v="0"/>
    <m/>
    <n v="132"/>
    <n v="181"/>
    <n v="344.39059726027403"/>
    <n v="195.10540273972606"/>
    <n v="12.5"/>
    <n v="0.18"/>
    <n v="8.132902200000002"/>
    <n v="0"/>
  </r>
  <r>
    <s v="Kvæg"/>
    <n v="1233"/>
    <s v="1 årsopdræt (kvier/stude 6 mdr. - kælvning (25 mdr)/slagtning, Jersey)"/>
    <x v="3"/>
    <s v="Sengestald med fast gulv"/>
    <x v="2"/>
    <n v="123303"/>
    <n v="124536"/>
    <n v="0"/>
    <s v="Kvæggylle"/>
    <m/>
    <n v="4.6399999999999997"/>
    <n v="0.127"/>
    <n v="0"/>
    <m/>
    <n v="0"/>
    <m/>
    <n v="132"/>
    <n v="181"/>
    <n v="300.93641643835616"/>
    <n v="170.48758356164385"/>
    <n v="12.5"/>
    <n v="0.18"/>
    <n v="7.1067168000000009"/>
    <n v="0"/>
  </r>
  <r>
    <s v="Kvæg"/>
    <n v="1233"/>
    <s v="1 årsopdræt (kvier/stude 6 mdr. - kælvning (25 mdr)/slagtning, Jersey)"/>
    <x v="3"/>
    <s v="Sengestald med spaltegulv (kanal, linespil)"/>
    <x v="2"/>
    <n v="123304"/>
    <n v="124537"/>
    <n v="0"/>
    <s v="Kvæggylle"/>
    <m/>
    <n v="4.6399999999999997"/>
    <n v="0.127"/>
    <n v="0"/>
    <m/>
    <n v="0"/>
    <m/>
    <n v="132"/>
    <n v="181"/>
    <n v="300.93641643835616"/>
    <n v="170.48758356164385"/>
    <n v="12.5"/>
    <n v="0.18"/>
    <n v="7.1067168000000009"/>
    <n v="0"/>
  </r>
  <r>
    <s v="Kvæg"/>
    <n v="1233"/>
    <s v="1 årsopdræt (kvier/stude 6 mdr. - kælvning (25 mdr)/slagtning, Jersey)"/>
    <x v="3"/>
    <s v="Sengestald med spaltegulv (kanal, bagskyl eller ri"/>
    <x v="2"/>
    <n v="123305"/>
    <n v="124538"/>
    <n v="0"/>
    <s v="Kvæggylle"/>
    <m/>
    <n v="4.6399999999999997"/>
    <n v="0.127"/>
    <n v="0"/>
    <m/>
    <n v="0"/>
    <m/>
    <n v="132"/>
    <n v="181"/>
    <n v="300.93641643835616"/>
    <n v="170.48758356164385"/>
    <n v="12.5"/>
    <n v="0.18"/>
    <n v="7.1067168000000009"/>
    <n v="0"/>
  </r>
  <r>
    <s v="Kvæg"/>
    <n v="1233"/>
    <s v="1 årsopdræt (kvier/stude 6 mdr. - kælvning (25 mdr)/slagtning, Jersey)"/>
    <x v="3"/>
    <s v="Dybstrøelse, hele arealet"/>
    <x v="3"/>
    <n v="123306"/>
    <n v="124539"/>
    <n v="72.56"/>
    <m/>
    <s v="Dybstrøelse"/>
    <m/>
    <m/>
    <n v="0"/>
    <n v="4.45"/>
    <n v="322.892"/>
    <n v="0.3"/>
    <n v="132"/>
    <n v="181"/>
    <n v="851.82198698630134"/>
    <n v="386.23561643835615"/>
    <n v="17"/>
    <n v="0.18"/>
    <n v="25.382656985412329"/>
    <n v="1.8417655908615187"/>
  </r>
  <r>
    <s v="Kvæg"/>
    <n v="1233"/>
    <s v="1 årsopdræt (kvier/stude 6 mdr. - kælvning (25 mdr)/slagtning, Jersey)"/>
    <x v="3"/>
    <s v="Dybstrøelse, + kort ædeplads med fast gulv"/>
    <x v="3"/>
    <n v="123307"/>
    <n v="124540"/>
    <n v="0"/>
    <m/>
    <s v="Dybstrøelse"/>
    <m/>
    <m/>
    <n v="0"/>
    <n v="3.82"/>
    <n v="0"/>
    <n v="0.3"/>
    <n v="132"/>
    <n v="181"/>
    <n v="731.22696410958906"/>
    <n v="331.55506849315071"/>
    <n v="17"/>
    <n v="0.18"/>
    <n v="21.78915723242137"/>
    <n v="0"/>
  </r>
  <r>
    <s v="Kvæg"/>
    <n v="1233"/>
    <s v="1 årsopdræt (kvier/stude 6 mdr. - kælvning (25 mdr)/slagtning, Jersey)"/>
    <x v="3"/>
    <s v="Dybstrøelse, lang ædeplads med fast gulv"/>
    <x v="3"/>
    <n v="123308"/>
    <n v="124541"/>
    <n v="0"/>
    <s v="Kvæggylle"/>
    <m/>
    <n v="2.1"/>
    <n v="0.104"/>
    <n v="0"/>
    <m/>
    <n v="0"/>
    <m/>
    <n v="132"/>
    <n v="181"/>
    <n v="111.53358904109589"/>
    <n v="63.186410958904112"/>
    <n v="12.5"/>
    <n v="0.18"/>
    <n v="2.6339040000000002"/>
    <n v="0"/>
  </r>
  <r>
    <s v="Kvæg"/>
    <n v="1233"/>
    <s v="1 årsopdræt (kvier/stude 6 mdr. - kælvning (25 mdr)/slagtning, Jersey)"/>
    <x v="3"/>
    <s v="Dybstrøelse, lang ædeplads med spalter (kanal, lin"/>
    <x v="3"/>
    <n v="123309"/>
    <n v="124542"/>
    <n v="0"/>
    <s v="Kvæggylle"/>
    <m/>
    <n v="2.1"/>
    <n v="0.104"/>
    <n v="0"/>
    <m/>
    <n v="0"/>
    <m/>
    <n v="132"/>
    <n v="181"/>
    <n v="111.53358904109589"/>
    <n v="63.186410958904112"/>
    <n v="12.5"/>
    <n v="0.18"/>
    <n v="2.6339040000000002"/>
    <n v="0"/>
  </r>
  <r>
    <s v="Kvæg"/>
    <n v="1233"/>
    <s v="1 årsopdræt (kvier/stude 6 mdr. - kælvning (25 mdr)/slagtning, Jersey)"/>
    <x v="3"/>
    <s v="Dybstrøelse, lang ædeplads med spalter (kanal, bag"/>
    <x v="3"/>
    <n v="123310"/>
    <n v="124543"/>
    <n v="0"/>
    <s v="Kvæggylle"/>
    <m/>
    <n v="2.1"/>
    <n v="0.104"/>
    <n v="0"/>
    <m/>
    <n v="0"/>
    <m/>
    <n v="132"/>
    <n v="181"/>
    <n v="111.53358904109589"/>
    <n v="63.186410958904112"/>
    <n v="12.5"/>
    <n v="0.18"/>
    <n v="2.6339040000000002"/>
    <n v="0"/>
  </r>
  <r>
    <s v="Kvæg"/>
    <n v="1233"/>
    <s v="1 årsopdræt (kvier/stude 6 mdr. - kælvning (25 mdr)/slagtning, Jersey)"/>
    <x v="3"/>
    <s v="Spaltegulvbokse"/>
    <x v="4"/>
    <n v="123312"/>
    <n v="124545"/>
    <n v="0"/>
    <s v="Kvæggylle"/>
    <m/>
    <n v="5.46"/>
    <n v="0.1"/>
    <n v="0"/>
    <m/>
    <n v="0"/>
    <m/>
    <n v="132"/>
    <n v="181"/>
    <n v="278.83397260273972"/>
    <n v="157.96602739726026"/>
    <n v="12.5"/>
    <n v="0.18"/>
    <n v="6.5847599999999993"/>
    <n v="0"/>
  </r>
  <r>
    <s v="Kvæg"/>
    <n v="1233"/>
    <s v="1 årsopdræt (kvier/stude 6 mdr. - kælvning (25 mdr)/slagtning, Jersey)"/>
    <x v="3"/>
    <s v="Sengestald, fast drænet gulv med skraber og ajleaf"/>
    <x v="2"/>
    <n v="123316"/>
    <n v="124549"/>
    <n v="0"/>
    <s v="Kvæggylle"/>
    <m/>
    <n v="4.6399999999999997"/>
    <n v="0.127"/>
    <n v="0"/>
    <m/>
    <n v="0"/>
    <m/>
    <n v="132"/>
    <n v="181"/>
    <n v="300.93641643835616"/>
    <n v="170.48758356164385"/>
    <n v="12.5"/>
    <n v="0.18"/>
    <n v="7.1067168000000009"/>
    <n v="0"/>
  </r>
  <r>
    <s v="Kvæg"/>
    <n v="1234"/>
    <s v="1 stk. slagtekalv, 0-6 mdr., Jersey."/>
    <x v="4"/>
    <s v="Dybstrøelse (hele arealet)"/>
    <x v="3"/>
    <n v="123401"/>
    <n v="124635"/>
    <n v="8.31"/>
    <m/>
    <s v="Dybstrøelse"/>
    <m/>
    <m/>
    <n v="0"/>
    <n v="1.48"/>
    <n v="12.2988"/>
    <n v="0.3"/>
    <n v="18"/>
    <n v="224"/>
    <n v="421.91416273972607"/>
    <n v="17.516712328767127"/>
    <n v="17"/>
    <n v="0.18"/>
    <n v="9.0092118006542474"/>
    <n v="7.4866550063436801E-2"/>
  </r>
  <r>
    <s v="Kvæg"/>
    <n v="1234"/>
    <s v="1 stk. slagtekalv, 0-6 mdr., Jersey."/>
    <x v="4"/>
    <s v="Dybstrøelse + kort ædeplads med fast gulv"/>
    <x v="3"/>
    <n v="123402"/>
    <n v="124636"/>
    <n v="0"/>
    <m/>
    <s v="Dybstrøelse"/>
    <m/>
    <m/>
    <n v="0"/>
    <n v="1.48"/>
    <n v="0"/>
    <n v="0.3"/>
    <n v="18"/>
    <n v="224"/>
    <n v="421.91416273972607"/>
    <n v="17.516712328767127"/>
    <n v="3"/>
    <n v="0.18"/>
    <n v="1.5898609059978084"/>
    <n v="0"/>
  </r>
  <r>
    <s v="Kvæg"/>
    <n v="1235"/>
    <s v="1 stk. slagtekalve 6 mdr. - slagtning (328 kg), Jersey."/>
    <x v="5"/>
    <s v="Bindestald med grebning"/>
    <x v="1"/>
    <n v="123501"/>
    <n v="124736"/>
    <n v="0"/>
    <s v="Fast gødning"/>
    <m/>
    <n v="1.48"/>
    <n v="0.21100000000000002"/>
    <n v="0"/>
    <m/>
    <n v="0"/>
    <m/>
    <n v="18"/>
    <n v="181"/>
    <n v="237.5039123287672"/>
    <n v="12.32008767123288"/>
    <n v="2"/>
    <n v="0.18"/>
    <n v="0.60257548800000027"/>
    <n v="0"/>
  </r>
  <r>
    <s v="Kvæg"/>
    <n v="1235"/>
    <s v="1 stk. slagtekalve 6 mdr. - slagtning (328 kg), Jersey."/>
    <x v="5"/>
    <s v="Bindestald med riste"/>
    <x v="1"/>
    <n v="123502"/>
    <n v="124737"/>
    <n v="0"/>
    <s v="Kvæggylle"/>
    <m/>
    <n v="3.12"/>
    <n v="0.108"/>
    <n v="0"/>
    <m/>
    <n v="0"/>
    <m/>
    <n v="18"/>
    <n v="181"/>
    <n v="256.27423561643838"/>
    <n v="13.293764383561646"/>
    <n v="12.5"/>
    <n v="0.18"/>
    <n v="4.0637376000000005"/>
    <n v="0"/>
  </r>
  <r>
    <s v="Kvæg"/>
    <n v="1235"/>
    <s v="1 stk. slagtekalve 6 mdr. - slagtning (328 kg), Jersey."/>
    <x v="5"/>
    <s v="Dybstrøelse, hele arealet"/>
    <x v="3"/>
    <n v="123503"/>
    <n v="124738"/>
    <n v="31.85"/>
    <m/>
    <s v="Dybstrøelse"/>
    <m/>
    <m/>
    <n v="0"/>
    <n v="1.95"/>
    <n v="62.107500000000002"/>
    <n v="0.3"/>
    <n v="18"/>
    <n v="181"/>
    <n v="555.90041712328764"/>
    <n v="23.079452054794523"/>
    <n v="17"/>
    <n v="0.18"/>
    <n v="11.870245277889042"/>
    <n v="0.378067312100766"/>
  </r>
  <r>
    <s v="Kvæg"/>
    <n v="1235"/>
    <s v="1 stk. slagtekalve 6 mdr. - slagtning (328 kg), Jersey."/>
    <x v="5"/>
    <s v="Dybstrøelse hele arealet+kort ædeplads,fast gulv"/>
    <x v="3"/>
    <n v="123504"/>
    <n v="124739"/>
    <n v="0"/>
    <m/>
    <s v="Dybstrøelse"/>
    <m/>
    <m/>
    <n v="0"/>
    <n v="1.71"/>
    <n v="0"/>
    <n v="0.3"/>
    <n v="18"/>
    <n v="181"/>
    <n v="487.48190424657531"/>
    <n v="20.23890410958904"/>
    <n v="3"/>
    <n v="0.18"/>
    <n v="1.8369338846326027"/>
    <n v="0"/>
  </r>
  <r>
    <s v="Kvæg"/>
    <n v="1235"/>
    <s v="1 stk. slagtekalve 6 mdr. - slagtning (328 kg), Jersey."/>
    <x v="5"/>
    <s v="Dybstrøelse, lang ædeplads,fast gulv"/>
    <x v="3"/>
    <n v="123505"/>
    <n v="124740"/>
    <n v="0"/>
    <s v="Kvæggylle"/>
    <m/>
    <n v="1.1399999999999999"/>
    <n v="8.4000000000000005E-2"/>
    <n v="0"/>
    <m/>
    <n v="0"/>
    <m/>
    <n v="18"/>
    <n v="181"/>
    <n v="72.830071232876719"/>
    <n v="3.7779287671232886"/>
    <n v="12.5"/>
    <n v="0.18"/>
    <n v="1.1548656000000002"/>
    <n v="0"/>
  </r>
  <r>
    <s v="Kvæg"/>
    <n v="1235"/>
    <s v="1 stk. slagtekalve 6 mdr. - slagtning (328 kg), Jersey."/>
    <x v="5"/>
    <s v="Dybstrøelse, lang ædeplads, spalter(kanal, linespil)"/>
    <x v="3"/>
    <n v="123506"/>
    <n v="124741"/>
    <n v="0"/>
    <s v="Kvæggylle"/>
    <m/>
    <n v="1.1399999999999999"/>
    <n v="8.4000000000000005E-2"/>
    <n v="0"/>
    <m/>
    <n v="0"/>
    <m/>
    <n v="18"/>
    <n v="181"/>
    <n v="72.830071232876719"/>
    <n v="3.7779287671232886"/>
    <n v="12.5"/>
    <n v="0.18"/>
    <n v="1.1548656000000002"/>
    <n v="0"/>
  </r>
  <r>
    <s v="Kvæg"/>
    <n v="1235"/>
    <s v="1 stk. slagtekalve 6 mdr. - slagtning (328 kg), Jersey."/>
    <x v="5"/>
    <s v="Dybstrøelse,lang ædeplads,spalter(kanal,bagskyl/ringkanal)"/>
    <x v="3"/>
    <n v="123507"/>
    <n v="124742"/>
    <n v="0"/>
    <s v="Kvæggylle"/>
    <m/>
    <n v="1.1399999999999999"/>
    <n v="8.4000000000000005E-2"/>
    <n v="0"/>
    <m/>
    <n v="0"/>
    <m/>
    <n v="18"/>
    <n v="181"/>
    <n v="72.830071232876719"/>
    <n v="3.7779287671232886"/>
    <n v="12.5"/>
    <n v="0.18"/>
    <n v="1.1548656000000002"/>
    <n v="0"/>
  </r>
  <r>
    <s v="Kvæg"/>
    <n v="1235"/>
    <s v="1 stk. slagtekalve 6 mdr. - slagtning (328 kg), Jersey."/>
    <x v="5"/>
    <s v="Spaltegulvbokse"/>
    <x v="4"/>
    <n v="123509"/>
    <n v="124744"/>
    <n v="0"/>
    <s v="Kvæggylle"/>
    <m/>
    <n v="2.4500000000000002"/>
    <n v="9.8000000000000004E-2"/>
    <n v="0"/>
    <m/>
    <n v="0"/>
    <m/>
    <n v="18"/>
    <n v="181"/>
    <n v="182.60756164383562"/>
    <n v="9.4724383561643837"/>
    <n v="12.5"/>
    <n v="0.18"/>
    <n v="2.8956060000000003"/>
    <n v="0"/>
  </r>
  <r>
    <s v="Kvæg"/>
    <n v="1235"/>
    <s v="1 stk. slagtekalve 6 mdr. - slagtning (328 kg), Jersey."/>
    <x v="5"/>
    <s v="Sengestald med fast gulv"/>
    <x v="2"/>
    <n v="123513"/>
    <n v="124748"/>
    <n v="0"/>
    <s v="Kvæggylle"/>
    <m/>
    <n v="2.14"/>
    <n v="0.127"/>
    <n v="0"/>
    <m/>
    <n v="0"/>
    <m/>
    <n v="18"/>
    <n v="181"/>
    <n v="206.70172054794523"/>
    <n v="10.722279452054796"/>
    <n v="12.5"/>
    <n v="0.18"/>
    <n v="3.2776668000000004"/>
    <n v="0"/>
  </r>
  <r>
    <s v="Kvæg"/>
    <n v="1235"/>
    <s v="1 stk. slagtekalve 6 mdr. - slagtning (328 kg), Jersey."/>
    <x v="5"/>
    <s v="Sengestald med spalter (kanal, linespil)"/>
    <x v="2"/>
    <n v="123514"/>
    <n v="124749"/>
    <n v="0"/>
    <s v="Kvæggylle"/>
    <m/>
    <n v="2.14"/>
    <n v="0.127"/>
    <n v="0"/>
    <m/>
    <n v="0"/>
    <m/>
    <n v="18"/>
    <n v="181"/>
    <n v="206.70172054794523"/>
    <n v="10.722279452054796"/>
    <n v="12.5"/>
    <n v="0.18"/>
    <n v="3.2776668000000004"/>
    <n v="0"/>
  </r>
  <r>
    <s v="Kvæg"/>
    <n v="1235"/>
    <s v="1 stk. slagtekalve 6 mdr. - slagtning (328 kg), Jersey."/>
    <x v="5"/>
    <s v="Sengestald med spalter (kanal, bagskyl eller ringk"/>
    <x v="2"/>
    <n v="123515"/>
    <n v="124750"/>
    <n v="0"/>
    <s v="Kvæggylle"/>
    <m/>
    <n v="2.14"/>
    <n v="0.128"/>
    <n v="0"/>
    <m/>
    <n v="0"/>
    <m/>
    <n v="18"/>
    <n v="181"/>
    <n v="208.32929315068498"/>
    <n v="10.80670684931507"/>
    <n v="12.5"/>
    <n v="0.18"/>
    <n v="3.3034752000000003"/>
    <n v="0"/>
  </r>
  <r>
    <s v="Kvæg"/>
    <n v="1235"/>
    <s v="1 stk. slagtekalve 6 mdr. - slagtning (328 kg), Jersey."/>
    <x v="5"/>
    <s v="Sengestald, fast drænet gulv med skraber og ajleaf"/>
    <x v="2"/>
    <n v="123519"/>
    <n v="124754"/>
    <n v="0"/>
    <s v="Kvæggylle"/>
    <m/>
    <n v="2.14"/>
    <n v="0.127"/>
    <n v="0"/>
    <m/>
    <n v="0"/>
    <m/>
    <n v="18"/>
    <n v="181"/>
    <n v="206.70172054794523"/>
    <n v="10.722279452054796"/>
    <n v="12.5"/>
    <n v="0.18"/>
    <n v="3.2776668000000004"/>
    <n v="0"/>
  </r>
  <r>
    <s v="Kvæg"/>
    <n v="1236"/>
    <s v="1 avlstyr (1 årsdyr), Jersey, over 328 kg"/>
    <x v="6"/>
    <s v="Bindestald med grebning"/>
    <x v="1"/>
    <n v="123601"/>
    <n v="124837"/>
    <n v="0"/>
    <s v="Fast gødning"/>
    <m/>
    <n v="3.36"/>
    <n v="0.18600000000000003"/>
    <n v="0"/>
    <m/>
    <n v="0"/>
    <m/>
    <n v="132"/>
    <n v="181"/>
    <n v="319.15765479452062"/>
    <n v="180.81034520547948"/>
    <n v="2"/>
    <n v="0.18"/>
    <n v="1.2059228160000002"/>
    <n v="0"/>
  </r>
  <r>
    <s v="Kvæg"/>
    <n v="1236"/>
    <s v="1 avlstyr (1 årsdyr), Jersey, over 328 kg"/>
    <x v="6"/>
    <s v="Bindestald med riste"/>
    <x v="1"/>
    <n v="123602"/>
    <n v="124838"/>
    <n v="0"/>
    <s v="Kvæggylle"/>
    <m/>
    <n v="5.31"/>
    <n v="0.127"/>
    <n v="0"/>
    <m/>
    <n v="0"/>
    <m/>
    <n v="132"/>
    <n v="181"/>
    <n v="344.39059726027403"/>
    <n v="195.10540273972606"/>
    <n v="12.5"/>
    <n v="0.18"/>
    <n v="8.132902200000002"/>
    <n v="0"/>
  </r>
  <r>
    <s v="Kvæg"/>
    <n v="1236"/>
    <s v="1 avlstyr (1 årsdyr), Jersey, over 328 kg"/>
    <x v="6"/>
    <s v="Dybstrøelse, hele arealet"/>
    <x v="3"/>
    <n v="123603"/>
    <n v="124839"/>
    <n v="1.07"/>
    <m/>
    <s v="Dybstrøelse"/>
    <m/>
    <m/>
    <n v="0"/>
    <n v="4.45"/>
    <n v="4.7615000000000007"/>
    <n v="0.3"/>
    <n v="18"/>
    <n v="181"/>
    <n v="1268.5932595890411"/>
    <n v="0"/>
    <n v="17"/>
    <n v="0.18"/>
    <n v="26.008699008094521"/>
    <n v="2.7829307938661139E-2"/>
  </r>
  <r>
    <s v="Kvæg"/>
    <n v="1236"/>
    <s v="1 avlstyr (1 årsdyr), Jersey, over 328 kg"/>
    <x v="6"/>
    <s v="Dybstrøelse hele arealet+kort ædeplads,fast gulv"/>
    <x v="3"/>
    <n v="123604"/>
    <n v="124840"/>
    <n v="0"/>
    <m/>
    <m/>
    <n v="3.83"/>
    <n v="0.3"/>
    <n v="0"/>
    <m/>
    <n v="0"/>
    <m/>
    <n v="132"/>
    <n v="181"/>
    <n v="586.7769863013699"/>
    <n v="332.42301369863014"/>
    <n v="17"/>
    <n v="0.18"/>
    <n v="18.845438399999999"/>
    <n v="0"/>
  </r>
  <r>
    <s v="Kvæg"/>
    <n v="1236"/>
    <s v="1 avlstyr (1 årsdyr), Jersey, over 328 kg"/>
    <x v="6"/>
    <s v="Dybstrøelse, lang ædeplads,fast gulv"/>
    <x v="3"/>
    <n v="123605"/>
    <n v="124841"/>
    <n v="0"/>
    <s v="Kvæggylle"/>
    <m/>
    <n v="2.1"/>
    <n v="0.10400000000000001"/>
    <n v="0"/>
    <m/>
    <n v="0"/>
    <m/>
    <n v="18"/>
    <n v="181"/>
    <n v="166.10367123287674"/>
    <n v="8.6163287671232887"/>
    <n v="12.5"/>
    <n v="0.18"/>
    <n v="2.6339040000000002"/>
    <n v="0"/>
  </r>
  <r>
    <s v="Kvæg "/>
    <n v="1236"/>
    <s v="1 avlstyr (1 årsdyr), Jersey, over 328 kg"/>
    <x v="6"/>
    <s v="Dybstrøelse, lang ædeplads, spalter(kanal, linespil)"/>
    <x v="3"/>
    <n v="123606"/>
    <n v="124842"/>
    <s v=" "/>
    <s v="Kvæggylle"/>
    <m/>
    <n v="2.1"/>
    <n v="0.10400000000000001"/>
    <s v=" "/>
    <m/>
    <s v=" "/>
    <m/>
    <n v="18"/>
    <n v="181"/>
    <n v="166.10367123287674"/>
    <n v="8.6163287671232887"/>
    <n v="12.5"/>
    <n v="0.18"/>
    <n v="2.6339040000000002"/>
    <n v="0"/>
  </r>
  <r>
    <s v="Kvæg"/>
    <n v="1236"/>
    <s v="1 avlstyr (1 årsdyr), Jersey, over 328 kg"/>
    <x v="6"/>
    <s v="Dybstrøelse,lang ædeplads,spalter(kanal,bagskyl/ringkanal)"/>
    <x v="3"/>
    <n v="123607"/>
    <n v="124843"/>
    <n v="0"/>
    <s v="Kvæggylle"/>
    <m/>
    <n v="2.1"/>
    <n v="0.10400000000000001"/>
    <n v="0"/>
    <m/>
    <n v="0"/>
    <m/>
    <n v="18"/>
    <n v="181"/>
    <n v="166.10367123287674"/>
    <n v="8.6163287671232887"/>
    <n v="12.5"/>
    <n v="0.18"/>
    <n v="2.6339040000000002"/>
    <n v="0"/>
  </r>
  <r>
    <s v="Kvæg"/>
    <n v="1236"/>
    <s v="1 avlstyr (1 årsdyr), Jersey, over 328 kg"/>
    <x v="6"/>
    <s v="Spaltegulvbokse"/>
    <x v="4"/>
    <n v="123609"/>
    <n v="124845"/>
    <n v="0"/>
    <s v="Kvæggylle"/>
    <m/>
    <n v="5.46"/>
    <n v="0.1"/>
    <n v="0"/>
    <m/>
    <n v="0"/>
    <m/>
    <n v="18"/>
    <n v="181"/>
    <n v="415.25917808219185"/>
    <n v="21.54082191780822"/>
    <n v="12.5"/>
    <n v="0.18"/>
    <n v="6.5847600000000011"/>
    <n v="0"/>
  </r>
  <r>
    <s v="Kvæg"/>
    <n v="1236"/>
    <s v="1 avlstyr (1 årsdyr), Jersey, over 328 kg"/>
    <x v="6"/>
    <s v="Sengestald med fast gulv"/>
    <x v="2"/>
    <n v="123610"/>
    <n v="124846"/>
    <n v="0"/>
    <s v="Kvæggylle"/>
    <m/>
    <n v="4.6399999999999997"/>
    <n v="0.127"/>
    <n v="0"/>
    <m/>
    <n v="0"/>
    <m/>
    <n v="18"/>
    <n v="181"/>
    <n v="448.17569315068488"/>
    <n v="23.248306849315071"/>
    <n v="12.5"/>
    <n v="0.18"/>
    <n v="7.1067167999999992"/>
    <n v="0"/>
  </r>
  <r>
    <s v="Kvæg"/>
    <n v="1236"/>
    <s v="1 avlstyr (1 årsdyr), Jersey, over 328 kg"/>
    <x v="6"/>
    <s v="Sengestald med spaltegulv (kanal, linespil)"/>
    <x v="2"/>
    <n v="123611"/>
    <n v="124847"/>
    <n v="0"/>
    <s v="Kvæggylle"/>
    <m/>
    <n v="4.6399999999999997"/>
    <n v="0.127"/>
    <n v="0"/>
    <m/>
    <n v="0"/>
    <m/>
    <n v="18"/>
    <n v="181"/>
    <n v="448.17569315068488"/>
    <n v="23.248306849315071"/>
    <n v="12.5"/>
    <n v="0.18"/>
    <n v="7.1067167999999992"/>
    <n v="0"/>
  </r>
  <r>
    <s v="Kvæg"/>
    <n v="1236"/>
    <s v="1 avlstyr (1 årsdyr), Jersey, over 328 kg"/>
    <x v="6"/>
    <s v="Sengestald med spaltegulv (kanal, bagskyl eller ri"/>
    <x v="2"/>
    <n v="123612"/>
    <n v="124848"/>
    <n v="0"/>
    <s v="Kvæggylle"/>
    <m/>
    <n v="4.6399999999999997"/>
    <n v="0.127"/>
    <n v="0"/>
    <m/>
    <n v="0"/>
    <m/>
    <n v="18"/>
    <n v="181"/>
    <n v="448.17569315068488"/>
    <n v="23.248306849315071"/>
    <n v="12.5"/>
    <n v="0.18"/>
    <n v="7.1067167999999992"/>
    <n v="0"/>
  </r>
  <r>
    <s v="Kvæg"/>
    <n v="1236"/>
    <s v="1 avlstyr (1 årsdyr), Jersey, over 328 kg"/>
    <x v="6"/>
    <s v="Sengestald, fast drænet gulv med skraber og ajleaf"/>
    <x v="2"/>
    <n v="123619"/>
    <n v="124855"/>
    <n v="0"/>
    <s v="Kvæggylle"/>
    <m/>
    <n v="4.6399999999999997"/>
    <n v="0.127"/>
    <n v="0"/>
    <m/>
    <n v="0"/>
    <m/>
    <n v="18"/>
    <n v="181"/>
    <n v="448.17569315068488"/>
    <n v="23.248306849315071"/>
    <n v="12.5"/>
    <n v="0.18"/>
    <n v="7.1067167999999992"/>
    <n v="0"/>
  </r>
  <r>
    <s v="Kvæg"/>
    <n v="1241"/>
    <s v="1 årsammeko uden opdræt (under 400 kg)"/>
    <x v="7"/>
    <s v="Bindestald med grebning"/>
    <x v="1"/>
    <n v="124101"/>
    <n v="125342"/>
    <n v="0"/>
    <s v="Fast gødning"/>
    <m/>
    <n v="2.61"/>
    <n v="0.22800000000000001"/>
    <n v="0"/>
    <m/>
    <n v="0"/>
    <m/>
    <n v="132"/>
    <n v="181"/>
    <n v="303.89838904109592"/>
    <n v="172.16561095890413"/>
    <n v="2"/>
    <n v="0.18"/>
    <n v="1.1482663680000003"/>
    <n v="0"/>
  </r>
  <r>
    <s v="Kvæg"/>
    <n v="1241"/>
    <s v="1 årsammeko uden opdræt (under 400 kg)"/>
    <x v="7"/>
    <s v="Bindestald med riste"/>
    <x v="1"/>
    <n v="124102"/>
    <n v="125343"/>
    <n v="0"/>
    <s v="Kvæggylle"/>
    <m/>
    <n v="5.5"/>
    <n v="0.121"/>
    <n v="0"/>
    <m/>
    <n v="0"/>
    <m/>
    <n v="132"/>
    <n v="181"/>
    <n v="339.86082191780821"/>
    <n v="192.5391780821918"/>
    <n v="12.5"/>
    <n v="0.18"/>
    <n v="8.0259300000000007"/>
    <n v="0"/>
  </r>
  <r>
    <s v="Kvæg"/>
    <n v="1241"/>
    <s v="1 årsammeko uden opdræt (under 400 kg)"/>
    <x v="7"/>
    <s v="Dybstrøelse, hele arealet"/>
    <x v="3"/>
    <n v="124103"/>
    <n v="125344"/>
    <n v="0"/>
    <m/>
    <s v="Dybstrøelse"/>
    <m/>
    <m/>
    <n v="0"/>
    <n v="6.99"/>
    <n v="0"/>
    <n v="0.3"/>
    <n v="132"/>
    <n v="181"/>
    <n v="1338.0304919178081"/>
    <n v="606.69369863013696"/>
    <n v="17"/>
    <n v="0.18"/>
    <n v="39.87073535461397"/>
    <n v="0"/>
  </r>
  <r>
    <s v="Kvæg"/>
    <n v="1241"/>
    <s v="1 årsammeko uden opdræt (under 400 kg)"/>
    <x v="7"/>
    <s v="Dybstrøelse, kort ædeplads med fast gulv"/>
    <x v="3"/>
    <n v="124104"/>
    <n v="125345"/>
    <n v="0"/>
    <m/>
    <s v="Dybstrøelse"/>
    <m/>
    <m/>
    <n v="0"/>
    <n v="6.42"/>
    <n v="0"/>
    <n v="0.3"/>
    <n v="132"/>
    <n v="181"/>
    <n v="1228.9207093150687"/>
    <n v="557.22082191780828"/>
    <n v="17"/>
    <n v="0.18"/>
    <n v="36.619473673336444"/>
    <n v="0"/>
  </r>
  <r>
    <s v="Kvæg"/>
    <n v="1241"/>
    <s v="1 årsammeko uden opdræt (under 400 kg)"/>
    <x v="7"/>
    <s v="Dybstrøelse, lang ædeplads med fast gulv"/>
    <x v="3"/>
    <n v="124105"/>
    <n v="125346"/>
    <n v="0"/>
    <s v="Kvæggylle"/>
    <m/>
    <n v="3.35"/>
    <n v="6.9000000000000006E-2"/>
    <n v="0"/>
    <m/>
    <n v="0"/>
    <m/>
    <n v="132"/>
    <n v="181"/>
    <n v="118.04482191780824"/>
    <n v="66.875178082191795"/>
    <n v="12.5"/>
    <n v="0.18"/>
    <n v="2.7876690000000002"/>
    <n v="0"/>
  </r>
  <r>
    <s v="Kvæg"/>
    <n v="1241"/>
    <s v="1 årsammeko uden opdræt (under 400 kg)"/>
    <x v="7"/>
    <s v="Dybstrøelse, lang ædeplads med spalter (kanal, lin"/>
    <x v="3"/>
    <n v="124106"/>
    <n v="125347"/>
    <n v="0"/>
    <s v="Kvæggylle"/>
    <m/>
    <n v="3.35"/>
    <n v="6.9000000000000006E-2"/>
    <n v="0"/>
    <m/>
    <n v="0"/>
    <m/>
    <n v="132"/>
    <n v="181"/>
    <n v="118.04482191780824"/>
    <n v="66.875178082191795"/>
    <n v="12.5"/>
    <n v="0.18"/>
    <n v="2.7876690000000002"/>
    <n v="0"/>
  </r>
  <r>
    <s v="Kvæg"/>
    <n v="1241"/>
    <s v="1 årsammeko uden opdræt (under 400 kg)"/>
    <x v="7"/>
    <s v="Dybstrøelse, lang ædeplads med spalter (kanal, bag"/>
    <x v="3"/>
    <n v="124107"/>
    <n v="125348"/>
    <n v="0"/>
    <s v="Kvæggylle"/>
    <m/>
    <n v="3.35"/>
    <n v="6.9000000000000006E-2"/>
    <n v="0"/>
    <m/>
    <n v="0"/>
    <m/>
    <n v="132"/>
    <n v="181"/>
    <n v="118.04482191780824"/>
    <n v="66.875178082191795"/>
    <n v="12.5"/>
    <n v="0.18"/>
    <n v="2.7876690000000002"/>
    <n v="0"/>
  </r>
  <r>
    <s v="Kvæg"/>
    <n v="1241"/>
    <s v="1 årsammeko uden opdræt (under 400 kg)"/>
    <x v="7"/>
    <s v="Sengestald med spaltegulv (kanal, bagskyl el. ring"/>
    <x v="2"/>
    <n v="124110"/>
    <n v="125351"/>
    <n v="0"/>
    <s v="Kvæggylle"/>
    <m/>
    <n v="5.0199999999999996"/>
    <n v="0.121"/>
    <n v="0"/>
    <m/>
    <n v="0"/>
    <m/>
    <n v="132"/>
    <n v="181"/>
    <n v="310.20024109589042"/>
    <n v="175.73575890410959"/>
    <n v="12.5"/>
    <n v="0.18"/>
    <n v="7.3254852000000001"/>
    <n v="0"/>
  </r>
  <r>
    <s v="Kvæg"/>
    <n v="1242"/>
    <s v="1 årsammeko uden opdræt (400-600 kg)"/>
    <x v="7"/>
    <s v="Bindestald med grebning"/>
    <x v="1"/>
    <n v="124201"/>
    <n v="125443"/>
    <n v="7.97"/>
    <s v="Fast gødning"/>
    <m/>
    <n v="3.72"/>
    <n v="0.22800000000000001"/>
    <n v="29.648400000000002"/>
    <m/>
    <n v="0"/>
    <m/>
    <n v="132"/>
    <n v="181"/>
    <n v="433.14253150684931"/>
    <n v="245.38546849315071"/>
    <n v="2"/>
    <n v="0.18"/>
    <n v="1.6366095360000004"/>
    <n v="1.3043778001920003E-2"/>
  </r>
  <r>
    <s v="Kvæg"/>
    <n v="1242"/>
    <s v="1 årsammeko uden opdræt (400-600 kg)"/>
    <x v="7"/>
    <s v="Bindestald med riste"/>
    <x v="1"/>
    <n v="124202"/>
    <n v="125444"/>
    <n v="0"/>
    <s v="Kvæggylle"/>
    <m/>
    <n v="7.88"/>
    <n v="0.121"/>
    <n v="0"/>
    <m/>
    <n v="0"/>
    <m/>
    <n v="132"/>
    <n v="181"/>
    <n v="486.92786849315075"/>
    <n v="275.85613150684935"/>
    <n v="12.5"/>
    <n v="0.18"/>
    <n v="11.498968800000002"/>
    <n v="0"/>
  </r>
  <r>
    <s v="Kvæg"/>
    <n v="1242"/>
    <s v="1 årsammeko uden opdræt (400-600 kg)"/>
    <x v="7"/>
    <s v="Dybstrøelse, hele arealet"/>
    <x v="3"/>
    <n v="124203"/>
    <n v="125445"/>
    <n v="235.84"/>
    <m/>
    <s v="Dybstrøelse"/>
    <m/>
    <m/>
    <n v="0"/>
    <n v="9.59"/>
    <n v="2261.7055999999998"/>
    <n v="0.3"/>
    <n v="132"/>
    <n v="181"/>
    <n v="1835.7242371232874"/>
    <n v="832.35945205479447"/>
    <n v="17"/>
    <n v="0.18"/>
    <n v="54.701051795529025"/>
    <n v="12.900696055457566"/>
  </r>
  <r>
    <s v="Kvæg"/>
    <n v="1242"/>
    <s v="1 årsammeko uden opdræt (400-600 kg)"/>
    <x v="7"/>
    <s v="Dybstrøelse, kort ædeplads med fast gulv"/>
    <x v="3"/>
    <n v="124204"/>
    <n v="125446"/>
    <n v="0"/>
    <m/>
    <s v="Dybstrøelse"/>
    <m/>
    <m/>
    <n v="0"/>
    <n v="8.83"/>
    <n v="0"/>
    <n v="0.3"/>
    <n v="132"/>
    <n v="181"/>
    <n v="1690.2445269863017"/>
    <n v="766.39561643835623"/>
    <n v="17"/>
    <n v="0.18"/>
    <n v="50.366036220492333"/>
    <n v="0"/>
  </r>
  <r>
    <s v="Kvæg"/>
    <n v="1242"/>
    <s v="1 årsammeko uden opdræt (400-600 kg)"/>
    <x v="7"/>
    <s v="Dybstrøelse, lang ædeplads med fast gulv"/>
    <x v="3"/>
    <n v="124205"/>
    <n v="125447"/>
    <n v="0"/>
    <s v="Kvæggylle"/>
    <m/>
    <n v="4.8499999999999996"/>
    <n v="6.9000000000000006E-2"/>
    <n v="0"/>
    <m/>
    <n v="0"/>
    <m/>
    <n v="132"/>
    <n v="181"/>
    <n v="170.90071232876716"/>
    <n v="96.8192876712329"/>
    <n v="12.5"/>
    <n v="0.18"/>
    <n v="4.0358790000000004"/>
    <n v="0"/>
  </r>
  <r>
    <s v="Kvæg"/>
    <n v="1242"/>
    <s v="1 årsammeko uden opdræt (400-600 kg)"/>
    <x v="7"/>
    <s v="Dybstrøelse, lang ædeplads med spalter (kanal, lin"/>
    <x v="3"/>
    <n v="124206"/>
    <n v="125448"/>
    <n v="0"/>
    <s v="Kvæggylle"/>
    <m/>
    <n v="4.8499999999999996"/>
    <n v="6.9000000000000006E-2"/>
    <n v="0"/>
    <m/>
    <n v="0"/>
    <m/>
    <n v="132"/>
    <n v="181"/>
    <n v="170.90071232876716"/>
    <n v="96.8192876712329"/>
    <n v="12.5"/>
    <n v="0.18"/>
    <n v="4.0358790000000004"/>
    <n v="0"/>
  </r>
  <r>
    <s v="Kvæg"/>
    <n v="1242"/>
    <s v="1 årsammeko uden opdræt (400-600 kg)"/>
    <x v="7"/>
    <s v="Dybstrøelse, lang ædeplads med spalter (kanal, bag"/>
    <x v="3"/>
    <n v="124207"/>
    <n v="125449"/>
    <n v="0"/>
    <s v="Kvæggylle"/>
    <m/>
    <n v="4.8499999999999996"/>
    <n v="6.9000000000000006E-2"/>
    <n v="0"/>
    <m/>
    <n v="0"/>
    <m/>
    <n v="132"/>
    <n v="181"/>
    <n v="170.90071232876716"/>
    <n v="96.8192876712329"/>
    <n v="12.5"/>
    <n v="0.18"/>
    <n v="4.0358790000000004"/>
    <n v="0"/>
  </r>
  <r>
    <s v="Kvæg"/>
    <n v="1242"/>
    <s v="1 årsammeko uden opdræt (400-600 kg)"/>
    <x v="7"/>
    <s v="Sengestald med spaltegulv (kanal, linespil)"/>
    <x v="2"/>
    <n v="124209"/>
    <n v="125451"/>
    <n v="0"/>
    <s v="Kvæggylle"/>
    <m/>
    <n v="7.28"/>
    <n v="0.121"/>
    <n v="0"/>
    <m/>
    <n v="0"/>
    <m/>
    <n v="132"/>
    <n v="181"/>
    <n v="449.85214246575345"/>
    <n v="254.85185753424659"/>
    <n v="12.5"/>
    <n v="0.18"/>
    <n v="10.623412800000001"/>
    <n v="0"/>
  </r>
  <r>
    <s v="Kvæg"/>
    <n v="1242"/>
    <s v="1 årsammeko uden opdræt (400-600 kg)"/>
    <x v="7"/>
    <s v="Sengestald med spaltegulv (kanal, bagskyl el. ring"/>
    <x v="2"/>
    <n v="124210"/>
    <n v="125452"/>
    <n v="0"/>
    <s v="Kvæggylle"/>
    <m/>
    <n v="7.28"/>
    <n v="0.121"/>
    <n v="0"/>
    <m/>
    <n v="0"/>
    <m/>
    <n v="132"/>
    <m/>
    <n v="449.85214246575345"/>
    <n v="254.85185753424659"/>
    <n v="12.5"/>
    <n v="0.18"/>
    <n v="10.623412800000001"/>
    <n v="0"/>
  </r>
  <r>
    <s v="Kvæg"/>
    <n v="1242"/>
    <s v="1 årsammeko uden opdræt (400-600 kg)"/>
    <x v="7"/>
    <s v="Sengestald, fast drænet gulv med skraber og ajleaf"/>
    <x v="2"/>
    <n v="124211"/>
    <n v="125453"/>
    <n v="100"/>
    <s v="Kvæggylle"/>
    <m/>
    <n v="7.28"/>
    <n v="0.121"/>
    <n v="728"/>
    <m/>
    <n v="0"/>
    <m/>
    <n v="132"/>
    <n v="181"/>
    <n v="449.85214246575345"/>
    <n v="254.85185753424659"/>
    <n v="12.5"/>
    <n v="0.18"/>
    <n v="10.623412800000001"/>
    <n v="1.0623412800000001"/>
  </r>
  <r>
    <s v="Kvæg"/>
    <n v="1243"/>
    <s v="1 årsammeko uden opdræt (over 600 kg)"/>
    <x v="7"/>
    <s v="Bindestald med grebning"/>
    <x v="1"/>
    <n v="124301"/>
    <n v="125544"/>
    <n v="42.09"/>
    <s v="Fast gødning"/>
    <m/>
    <n v="4.1500000000000004"/>
    <n v="0.22800000000000001"/>
    <n v="174.67350000000002"/>
    <m/>
    <n v="0"/>
    <m/>
    <n v="132"/>
    <n v="181"/>
    <n v="483.21008219178088"/>
    <n v="273.74991780821921"/>
    <n v="2"/>
    <n v="0.18"/>
    <n v="1.8257875200000004"/>
    <n v="7.684739671680002E-2"/>
  </r>
  <r>
    <s v="Kvæg"/>
    <n v="1243"/>
    <s v="1 årsammeko uden opdræt (over 600 kg)"/>
    <x v="7"/>
    <s v="Bindestald med riste"/>
    <x v="1"/>
    <n v="124302"/>
    <n v="125545"/>
    <n v="0"/>
    <s v="Kvæggylle"/>
    <m/>
    <n v="8.81"/>
    <n v="0.121"/>
    <n v="0"/>
    <m/>
    <n v="0"/>
    <m/>
    <n v="132"/>
    <n v="181"/>
    <n v="544.3952438356165"/>
    <n v="308.41275616438361"/>
    <n v="12.5"/>
    <n v="0.18"/>
    <n v="12.856080600000002"/>
    <n v="0"/>
  </r>
  <r>
    <s v="Kvæg"/>
    <n v="1243"/>
    <s v="1 årsammeko uden opdræt (over 600 kg)"/>
    <x v="7"/>
    <s v="Dybstrøelse, hele arealet"/>
    <x v="3"/>
    <n v="124303"/>
    <n v="125546"/>
    <n v="240.79"/>
    <m/>
    <s v="Dybstrøelse"/>
    <m/>
    <m/>
    <n v="0"/>
    <n v="10.06"/>
    <n v="2422.3474000000001"/>
    <n v="0.3"/>
    <n v="132"/>
    <n v="181"/>
    <n v="1925.6919526027395"/>
    <n v="873.15287671232875"/>
    <n v="17"/>
    <n v="0.18"/>
    <n v="57.381916690617537"/>
    <n v="13.816991719933796"/>
  </r>
  <r>
    <s v="Kvæg"/>
    <n v="1243"/>
    <s v="1 årsammeko uden opdræt (over 600 kg)"/>
    <x v="7"/>
    <s v="Dybstrøelse, kort ædeplads med fast gulv"/>
    <x v="3"/>
    <n v="124304"/>
    <n v="125547"/>
    <n v="0"/>
    <m/>
    <s v="Dybstrøelse"/>
    <m/>
    <m/>
    <n v="0"/>
    <n v="9.3000000000000007"/>
    <n v="0"/>
    <n v="0.3"/>
    <n v="132"/>
    <n v="181"/>
    <n v="1780.2122424657532"/>
    <n v="807.18904109589039"/>
    <n v="17"/>
    <n v="0.18"/>
    <n v="53.046901115580816"/>
    <n v="0"/>
  </r>
  <r>
    <s v="Kvæg"/>
    <n v="1243"/>
    <s v="1 årsammeko uden opdræt (over 600 kg)"/>
    <x v="7"/>
    <s v="Dybstrøelse, lang ædeplads med fast gulv"/>
    <x v="3"/>
    <n v="124305"/>
    <n v="125548"/>
    <n v="0"/>
    <s v="Kvæggylle"/>
    <m/>
    <n v="5.5"/>
    <n v="6.9000000000000006E-2"/>
    <n v="0"/>
    <m/>
    <n v="0"/>
    <m/>
    <n v="132"/>
    <n v="181"/>
    <n v="193.80493150684936"/>
    <n v="109.79506849315069"/>
    <n v="12.5"/>
    <n v="0.18"/>
    <n v="4.5767700000000016"/>
    <n v="0"/>
  </r>
  <r>
    <s v="Kvæg"/>
    <n v="1243"/>
    <s v="1 årsammeko uden opdræt (over 600 kg)"/>
    <x v="7"/>
    <s v="Dybstrøelse, lang ædeplads med spalter (kanal, lin"/>
    <x v="3"/>
    <n v="124306"/>
    <n v="125549"/>
    <n v="0"/>
    <s v="Kvæggylle"/>
    <m/>
    <n v="5.5"/>
    <n v="6.9000000000000006E-2"/>
    <n v="0"/>
    <m/>
    <n v="0"/>
    <m/>
    <n v="132"/>
    <n v="181"/>
    <n v="193.80493150684936"/>
    <n v="109.79506849315069"/>
    <n v="12.5"/>
    <n v="0.18"/>
    <n v="4.5767700000000016"/>
    <n v="0"/>
  </r>
  <r>
    <s v="Kvæg"/>
    <n v="1243"/>
    <s v="1 årsammeko uden opdræt (over 600 kg)"/>
    <x v="7"/>
    <s v="Dybstrøelse, lang ædeplads med spalter (kanal, bag"/>
    <x v="3"/>
    <n v="124307"/>
    <n v="125550"/>
    <n v="0"/>
    <s v="Kvæggylle"/>
    <m/>
    <n v="5.5"/>
    <n v="6.9000000000000006E-2"/>
    <n v="0"/>
    <m/>
    <n v="0"/>
    <m/>
    <n v="132"/>
    <n v="181"/>
    <n v="193.80493150684936"/>
    <n v="109.79506849315069"/>
    <n v="12.5"/>
    <n v="0.18"/>
    <n v="4.5767700000000016"/>
    <n v="0"/>
  </r>
  <r>
    <s v="Kvæg"/>
    <n v="1243"/>
    <s v="1 årsammeko uden opdræt (over 600 kg)"/>
    <x v="7"/>
    <s v="Sengestald med spaltegulv (kanal, linespil)"/>
    <x v="2"/>
    <n v="124309"/>
    <n v="125552"/>
    <n v="0"/>
    <s v="Kvæggylle"/>
    <m/>
    <n v="8.1999999999999993"/>
    <n v="0.121"/>
    <n v="0"/>
    <m/>
    <n v="0"/>
    <m/>
    <n v="132"/>
    <n v="181"/>
    <n v="506.70158904109599"/>
    <n v="287.05841095890412"/>
    <n v="12.5"/>
    <n v="0.18"/>
    <n v="11.965932000000002"/>
    <n v="0"/>
  </r>
  <r>
    <s v="Kvæg"/>
    <n v="1243"/>
    <s v="1 årsammeko uden opdræt (over 600 kg)"/>
    <x v="7"/>
    <s v="Sengestald med spaltegulv (kanal, bagskyl el. ring"/>
    <x v="2"/>
    <n v="124310"/>
    <n v="125553"/>
    <n v="0"/>
    <s v="Kvæggylle"/>
    <m/>
    <n v="8.1999999999999993"/>
    <n v="0.121"/>
    <n v="0"/>
    <m/>
    <n v="0"/>
    <m/>
    <n v="132"/>
    <n v="181"/>
    <n v="506.70158904109599"/>
    <n v="287.05841095890412"/>
    <n v="12.5"/>
    <n v="0.18"/>
    <n v="11.965932000000002"/>
    <n v="0"/>
  </r>
  <r>
    <s v="Kvæg"/>
    <n v="1243"/>
    <s v="1 årsammeko uden opdræt (over 600 kg)"/>
    <x v="7"/>
    <s v="Sengestald, fast drænet gulv med skaber og ajleafl"/>
    <x v="2"/>
    <n v="124311"/>
    <n v="125554"/>
    <n v="0"/>
    <s v="Kvæggylle"/>
    <m/>
    <n v="8.1999999999999993"/>
    <n v="0.121"/>
    <n v="0"/>
    <m/>
    <n v="0"/>
    <m/>
    <n v="132"/>
    <n v="181"/>
    <n v="506.70158904109599"/>
    <n v="287.05841095890412"/>
    <n v="12.5"/>
    <n v="0.18"/>
    <n v="11.965932000000002"/>
    <n v="0"/>
  </r>
  <r>
    <s v="Får"/>
    <n v="1300"/>
    <s v="Får, 1 moderdyr med afkom"/>
    <x v="8"/>
    <s v="Får"/>
    <x v="5"/>
    <n v="130001"/>
    <n v="131301"/>
    <n v="403.89"/>
    <m/>
    <s v="Dybstrøelse"/>
    <m/>
    <m/>
    <n v="0"/>
    <n v="1.1299999999999999"/>
    <n v="456.39569999999992"/>
    <n v="0.34599999999999997"/>
    <n v="265"/>
    <n v="265"/>
    <n v="107.06960520547945"/>
    <n v="227.08975342465752"/>
    <n v="5.38"/>
    <n v="0.19"/>
    <n v="2.2885705658245641"/>
    <n v="0.92433076583088314"/>
  </r>
  <r>
    <s v="Geder"/>
    <n v="1401"/>
    <s v="Mohairged, 1 moderdyr med afkom"/>
    <x v="8"/>
    <s v="Mohairgeder"/>
    <x v="0"/>
    <n v="140101"/>
    <n v="141502"/>
    <n v="0"/>
    <m/>
    <s v="Dybstrøelse"/>
    <m/>
    <m/>
    <n v="0"/>
    <n v="1.21"/>
    <n v="0"/>
    <n v="0.34599999999999997"/>
    <n v="265"/>
    <n v="265"/>
    <n v="114.64975424657534"/>
    <n v="243.16690410958904"/>
    <n v="17"/>
    <n v="0.18"/>
    <n v="7.3359571296180821"/>
    <n v="0"/>
  </r>
  <r>
    <s v="Geder"/>
    <n v="1402"/>
    <s v="Kødgeder, 1 moderdyr med afkom"/>
    <x v="8"/>
    <s v="Kødgeder"/>
    <x v="0"/>
    <n v="140201"/>
    <n v="141603"/>
    <n v="0"/>
    <m/>
    <s v="Dybstrøelse"/>
    <m/>
    <m/>
    <n v="0"/>
    <n v="1.1000000000000001"/>
    <n v="0"/>
    <n v="0.34599999999999997"/>
    <n v="265"/>
    <n v="265"/>
    <n v="104.22704931506848"/>
    <n v="221.06082191780823"/>
    <n v="17"/>
    <n v="0.18"/>
    <n v="6.6690519360164391"/>
    <n v="0"/>
  </r>
  <r>
    <s v="Geder"/>
    <n v="1403"/>
    <s v="Malkegeder, 1 moderdyr med afkom"/>
    <x v="8"/>
    <s v="Malkegeder"/>
    <x v="0"/>
    <n v="140301"/>
    <n v="141704"/>
    <n v="0"/>
    <m/>
    <s v="Dybstrøelse"/>
    <m/>
    <m/>
    <n v="0"/>
    <n v="1.1299999999999999"/>
    <n v="0"/>
    <n v="0.34599999999999997"/>
    <n v="265"/>
    <n v="265"/>
    <n v="107.06960520547945"/>
    <n v="227.08975342465752"/>
    <n v="17"/>
    <n v="0.18"/>
    <n v="6.8509351706350676"/>
    <n v="0"/>
  </r>
  <r>
    <s v="Svin"/>
    <n v="1501"/>
    <s v="1 årsso m. 33,3 grise til 6,6 kg, andel fra løbe- og drægtighedsstald"/>
    <x v="9"/>
    <s v="Individuel opstaldning, delvis spaltegulv"/>
    <x v="4"/>
    <n v="150101"/>
    <n v="151602"/>
    <n v="0"/>
    <s v="Svinegylle"/>
    <m/>
    <n v="3.98"/>
    <n v="0.05"/>
    <n v="0"/>
    <m/>
    <n v="0"/>
    <m/>
    <n v="0"/>
    <n v="181"/>
    <n v="159.20000000000002"/>
    <n v="0"/>
    <n v="13.4"/>
    <n v="0.45"/>
    <n v="6.4318392000000015"/>
    <n v="0"/>
  </r>
  <r>
    <s v="Svin"/>
    <n v="1501"/>
    <s v="1 årsso m. 33,3 grise til 6,6 kg, andel fra løbe- og drægtighedsstald"/>
    <x v="9"/>
    <s v="Løsgående, dybstrøelse + spaltegulv"/>
    <x v="3"/>
    <n v="150104"/>
    <n v="151605"/>
    <n v="0"/>
    <s v="Svinegylle"/>
    <m/>
    <n v="2.2000000000000002"/>
    <n v="5.5E-2"/>
    <n v="0"/>
    <m/>
    <n v="0"/>
    <m/>
    <n v="0"/>
    <n v="181"/>
    <n v="96.800000000000011"/>
    <n v="0"/>
    <n v="13.4"/>
    <n v="0.45"/>
    <n v="3.910816800000001"/>
    <n v="0"/>
  </r>
  <r>
    <s v="Svin"/>
    <n v="1501"/>
    <s v="1 årsso m. 33,3 grise til 6,6 kg, andel fra løbe- og drægtighedsstald"/>
    <x v="9"/>
    <s v="Løsgående, dybstrøelse + fast gulv"/>
    <x v="3"/>
    <n v="150105"/>
    <n v="151606"/>
    <n v="0"/>
    <s v="Svinegylle"/>
    <m/>
    <n v="2.2000000000000002"/>
    <n v="5.5E-2"/>
    <n v="0"/>
    <m/>
    <n v="0"/>
    <m/>
    <n v="0"/>
    <n v="181"/>
    <n v="96.800000000000011"/>
    <n v="0"/>
    <n v="13.4"/>
    <n v="0.45"/>
    <n v="3.910816800000001"/>
    <n v="0"/>
  </r>
  <r>
    <s v="Svin "/>
    <n v="1501"/>
    <s v="1 årsso m, 33,3 grise til 6,6 kg, andel fra løbe- og drægtighedsstald"/>
    <x v="9"/>
    <s v="Løsgående, dybstrøelse"/>
    <x v="3"/>
    <n v="150106"/>
    <n v="151607"/>
    <n v="0"/>
    <m/>
    <s v="Dybstrøelse "/>
    <m/>
    <m/>
    <n v="0"/>
    <n v="1.78"/>
    <n v="0"/>
    <n v="0.33"/>
    <n v="0"/>
    <n v="181"/>
    <n v="587.13567"/>
    <n v="0"/>
    <n v="14.7"/>
    <n v="0.45"/>
    <n v="26.022146462235003"/>
    <n v="0"/>
  </r>
  <r>
    <s v="Svin"/>
    <n v="1501"/>
    <s v="1 årsso m. 33,3 grise til 6,6 kg, andel fra løbe- og drægtighedsstald"/>
    <x v="9"/>
    <s v="Løsgående, delvis spaltegulv"/>
    <x v="4"/>
    <n v="150107"/>
    <n v="151608"/>
    <n v="0"/>
    <s v="Svinegylle"/>
    <m/>
    <n v="4.7"/>
    <n v="4.4999999999999998E-2"/>
    <n v="0"/>
    <m/>
    <n v="0"/>
    <m/>
    <n v="0"/>
    <n v="181"/>
    <n v="169.20000000000002"/>
    <n v="0"/>
    <n v="13.4"/>
    <n v="0.45"/>
    <n v="6.835849200000002"/>
    <n v="0"/>
  </r>
  <r>
    <s v="Svin"/>
    <n v="1501"/>
    <s v="1 årsso m. 33,3 grise til 6,6 kg, andel fra løbe- og drægtighedsstald"/>
    <x v="9"/>
    <s v="Individuel opstaldning, fast gulv"/>
    <x v="4"/>
    <n v="150108"/>
    <n v="151609"/>
    <n v="0"/>
    <s v="Fast gødning"/>
    <m/>
    <n v="0.52"/>
    <n v="0.23"/>
    <n v="0"/>
    <m/>
    <n v="0"/>
    <m/>
    <n v="0"/>
    <n v="181"/>
    <n v="95.68"/>
    <n v="0"/>
    <n v="2"/>
    <n v="0.45"/>
    <n v="0.57695040000000009"/>
    <n v="0"/>
  </r>
  <r>
    <s v="Svin"/>
    <n v="1502"/>
    <s v="1 årsso m. 33,3 grise til 6,6 kg, andel fra farestald."/>
    <x v="9"/>
    <s v="Kassestier, delvis spaltegulv"/>
    <x v="4"/>
    <n v="150201"/>
    <n v="151703"/>
    <n v="0"/>
    <s v="Svinegylle"/>
    <m/>
    <n v="1.71"/>
    <n v="4.4999999999999998E-2"/>
    <n v="0"/>
    <m/>
    <n v="0"/>
    <m/>
    <n v="0"/>
    <n v="181"/>
    <n v="61.56"/>
    <n v="0"/>
    <n v="13.7"/>
    <n v="0.45"/>
    <n v="2.5427665799999999"/>
    <n v="0"/>
  </r>
  <r>
    <s v="Svin"/>
    <n v="1502"/>
    <s v="1 årsso m. 33,3 grise til 6,6 kg, andel fra farestald."/>
    <x v="9"/>
    <s v="Kassestier, fuldspaltegulv"/>
    <x v="4"/>
    <n v="150202"/>
    <n v="151704"/>
    <n v="0"/>
    <s v="Svinegylle"/>
    <m/>
    <n v="1.71"/>
    <n v="4.4999999999999998E-2"/>
    <n v="0"/>
    <m/>
    <n v="0"/>
    <m/>
    <n v="0"/>
    <n v="181"/>
    <n v="61.56"/>
    <n v="0"/>
    <n v="13.7"/>
    <n v="0.45"/>
    <n v="2.5427665799999999"/>
    <n v="0"/>
  </r>
  <r>
    <s v="Svin"/>
    <n v="1502"/>
    <s v="1 årsso m. 33,3 grise til 6,6 kg, andel fra farestald."/>
    <x v="9"/>
    <s v="Friland, fareperiode"/>
    <x v="6"/>
    <n v="150205"/>
    <n v="151707"/>
    <n v="0"/>
    <s v="Anden husdyrgødning"/>
    <m/>
    <n v="1.3"/>
    <n v="7.6999999999999999E-2"/>
    <n v="0"/>
    <m/>
    <n v="0"/>
    <m/>
    <n v="0"/>
    <n v="181"/>
    <n v="80.080000000000013"/>
    <n v="0"/>
    <n v="1"/>
    <n v="0.45"/>
    <n v="0.24144120000000005"/>
    <n v="0"/>
  </r>
  <r>
    <s v="Svin"/>
    <n v="1511"/>
    <s v="Antal producerede smågrise, fra 6,8 til 31 kg"/>
    <x v="10"/>
    <s v="Toklimastald, delvis spaltegulv"/>
    <x v="4"/>
    <n v="151101"/>
    <n v="152612"/>
    <n v="0"/>
    <s v="Svinegylle"/>
    <m/>
    <n v="0.13400000000000001"/>
    <n v="0.05"/>
    <n v="0"/>
    <m/>
    <n v="0"/>
    <m/>
    <n v="0"/>
    <n v="181"/>
    <n v="5.36"/>
    <n v="0"/>
    <n v="13.7"/>
    <n v="0.45"/>
    <n v="0.22139748000000001"/>
    <n v="0"/>
  </r>
  <r>
    <s v="Svin"/>
    <n v="1511"/>
    <s v="Antal producerede smågrise, fra 6,8 til 31 kg"/>
    <x v="10"/>
    <s v="Drænet gulv + spalter (50/50)"/>
    <x v="4"/>
    <n v="151103"/>
    <n v="152614"/>
    <n v="0"/>
    <s v="Svinegylle"/>
    <m/>
    <n v="0.13400000000000001"/>
    <n v="4.3999999999999997E-2"/>
    <n v="0"/>
    <m/>
    <n v="0"/>
    <m/>
    <n v="0"/>
    <n v="181"/>
    <n v="4.7168000000000001"/>
    <n v="0"/>
    <n v="13.7"/>
    <n v="0.45"/>
    <n v="0.19482978240000001"/>
    <n v="0"/>
  </r>
  <r>
    <s v="Svin"/>
    <n v="1511"/>
    <s v="Antal producerede smågrise, fra 6,8 til 31 kg"/>
    <x v="10"/>
    <s v="Fast gulv"/>
    <x v="5"/>
    <n v="151104"/>
    <n v="152615"/>
    <n v="0"/>
    <s v="Fast gødning"/>
    <m/>
    <n v="1.7999999999999999E-2"/>
    <n v="0.23"/>
    <n v="0"/>
    <m/>
    <n v="0"/>
    <m/>
    <n v="0"/>
    <n v="181"/>
    <n v="3.3119999999999998"/>
    <n v="0"/>
    <n v="2"/>
    <n v="0.45"/>
    <n v="1.9971360000000001E-2"/>
    <n v="0"/>
  </r>
  <r>
    <s v="Svin"/>
    <n v="1511"/>
    <s v="Antal producerede smågrise, fra 6,8 til 31 kg"/>
    <x v="10"/>
    <s v="Dybstrøelse"/>
    <x v="3"/>
    <n v="151105"/>
    <n v="152616"/>
    <n v="27.54"/>
    <m/>
    <s v="Dybstrøelse"/>
    <m/>
    <m/>
    <n v="0"/>
    <n v="2.5999999999999999E-2"/>
    <n v="0.7160399999999999"/>
    <n v="0.33"/>
    <n v="0"/>
    <n v="181"/>
    <n v="8.5761390000000013"/>
    <n v="0"/>
    <n v="7.2"/>
    <n v="0.45"/>
    <n v="0.18617082541200003"/>
    <n v="5.1271445318464811E-3"/>
  </r>
  <r>
    <s v="Svin"/>
    <n v="1512"/>
    <s v="Antal producerede slagtesvin, 31-110 kg"/>
    <x v="11"/>
    <s v="Drænet gulv + spalter (33/67)"/>
    <x v="4"/>
    <n v="151203"/>
    <n v="152715"/>
    <n v="0"/>
    <s v="Svinegylle"/>
    <m/>
    <n v="0.56000000000000005"/>
    <n v="6.0999999999999999E-2"/>
    <n v="0"/>
    <m/>
    <n v="0"/>
    <m/>
    <n v="0"/>
    <n v="181"/>
    <n v="27.327999999999999"/>
    <n v="0"/>
    <n v="13.7"/>
    <n v="0.45"/>
    <n v="1.128796704"/>
    <n v="0"/>
  </r>
  <r>
    <s v="Svin"/>
    <n v="1512"/>
    <s v="Antal producerede slagtesvin, 31-110 kg"/>
    <x v="11"/>
    <s v="Fast gulv"/>
    <x v="5"/>
    <n v="151204"/>
    <n v="152716"/>
    <n v="0"/>
    <s v="Fast gødning"/>
    <m/>
    <n v="0.1"/>
    <n v="0.23"/>
    <n v="0"/>
    <m/>
    <n v="0"/>
    <m/>
    <n v="0"/>
    <n v="181"/>
    <n v="18.400000000000002"/>
    <n v="0"/>
    <n v="2"/>
    <n v="0.45"/>
    <n v="0.11095200000000002"/>
    <n v="0"/>
  </r>
  <r>
    <s v="Svin"/>
    <n v="1512"/>
    <s v="Antal producerede slagtesvin, 31-110 kg"/>
    <x v="11"/>
    <s v="Dybstrøelse, opdelt lejeareal"/>
    <x v="3"/>
    <n v="151205"/>
    <n v="152717"/>
    <n v="0"/>
    <s v="Svinegylle"/>
    <m/>
    <n v="0.35"/>
    <n v="4.9000000000000002E-2"/>
    <n v="0"/>
    <m/>
    <n v="0"/>
    <m/>
    <n v="0"/>
    <n v="181"/>
    <n v="13.720000000000002"/>
    <n v="0"/>
    <n v="13.4"/>
    <n v="0.45"/>
    <n v="0.55430172000000022"/>
    <n v="0"/>
  </r>
  <r>
    <s v="Svin"/>
    <n v="1512"/>
    <s v="Antal producerede slagtesvin, 31-110 kg"/>
    <x v="11"/>
    <s v="Dybstrøelse"/>
    <x v="3"/>
    <n v="151206"/>
    <n v="152718"/>
    <n v="27.54"/>
    <m/>
    <s v="Dybstrøelse"/>
    <m/>
    <m/>
    <n v="0"/>
    <n v="0.18"/>
    <n v="4.9571999999999994"/>
    <n v="0.33"/>
    <n v="0"/>
    <n v="181"/>
    <n v="59.373269999999998"/>
    <n v="0"/>
    <n v="11.4"/>
    <n v="0.45"/>
    <n v="2.0407186631700003"/>
    <n v="5.6201391983701804E-2"/>
  </r>
  <r>
    <s v="Svin"/>
    <n v="1512"/>
    <s v="Antal producerede slagtesvin, 31-110 kg"/>
    <x v="11"/>
    <s v="Delvis spaltegulv, 50-75% fast gulv"/>
    <x v="4"/>
    <n v="151207"/>
    <n v="152719"/>
    <n v="0"/>
    <s v="Svinegylle"/>
    <m/>
    <n v="0.55000000000000004"/>
    <n v="6.6000000000000003E-2"/>
    <n v="0"/>
    <m/>
    <n v="0"/>
    <m/>
    <n v="0"/>
    <n v="181"/>
    <n v="29.040000000000006"/>
    <n v="0"/>
    <n v="13.4"/>
    <n v="0.45"/>
    <n v="1.1732450400000003"/>
    <n v="0"/>
  </r>
  <r>
    <s v="Svin"/>
    <n v="1512"/>
    <s v="Antal producerede slagtesvin, 31-110 kg"/>
    <x v="11"/>
    <s v="Delvis spaltegulv, 25-49% fast gulv"/>
    <x v="4"/>
    <n v="151208"/>
    <n v="152720"/>
    <n v="0"/>
    <s v="Svinegylle"/>
    <m/>
    <n v="0.55000000000000004"/>
    <n v="6.6000000000000003E-2"/>
    <n v="0"/>
    <m/>
    <n v="0"/>
    <m/>
    <n v="0"/>
    <n v="181"/>
    <n v="29.040000000000006"/>
    <n v="0"/>
    <n v="13.4"/>
    <n v="0.45"/>
    <n v="1.1732450400000003"/>
    <n v="0"/>
  </r>
  <r>
    <s v="Svin"/>
    <n v="1513"/>
    <s v="1 årsso, øko m, 23,4 grise til 15 kg, andel fra løbe- og drægtighedsperioden"/>
    <x v="9"/>
    <s v="Dyb, hele areal inde, Løbegård (50/50) ude"/>
    <x v="4"/>
    <n v="151301"/>
    <n v="152814"/>
    <s v=" "/>
    <s v="Svinegylle"/>
    <m/>
    <n v="2.14"/>
    <n v="0.05"/>
    <s v=" "/>
    <m/>
    <s v=" "/>
    <m/>
    <n v="181"/>
    <n v="181"/>
    <n v="43.151780821917811"/>
    <n v="42.448219178082198"/>
    <n v="13.7"/>
    <n v="0.45"/>
    <n v="3.5357508000000006"/>
    <s v="-"/>
  </r>
  <r>
    <s v="Svin"/>
    <n v="1513"/>
    <s v="1 årsso, øko m, 23,4 grise til 15 kg, andel fra løbe- og drægtighedsperioden"/>
    <x v="9"/>
    <s v="Løbe/drægtighed, udendørs"/>
    <x v="3"/>
    <n v="151302"/>
    <n v="152815"/>
    <s v=" "/>
    <m/>
    <s v="Dybstrøelse"/>
    <m/>
    <m/>
    <s v=" "/>
    <n v="0"/>
    <s v=" "/>
    <n v="0"/>
    <n v="365"/>
    <n v="365"/>
    <n v="0"/>
    <n v="0"/>
    <n v="1"/>
    <n v="0.45"/>
    <n v="0"/>
    <s v="-"/>
  </r>
  <r>
    <s v="Svin "/>
    <n v="1513"/>
    <s v="1 årsso, øko m, 23,4 grise til 15 kg, andel fra løbe- og drægtighedsperioden"/>
    <x v="9"/>
    <s v="Delvis spaltegulv inde. Løbegård (50/50) ude"/>
    <x v="4"/>
    <n v="151303"/>
    <n v="152816"/>
    <s v=" "/>
    <s v="Svinegylle"/>
    <m/>
    <n v="0.12"/>
    <n v="0.05"/>
    <s v=" "/>
    <m/>
    <s v=" "/>
    <m/>
    <n v="0"/>
    <n v="0"/>
    <n v="4.8"/>
    <n v="0"/>
    <n v="7.2"/>
    <n v="0.45"/>
    <n v="0.10419840000000002"/>
    <s v="-"/>
  </r>
  <r>
    <s v="Svin"/>
    <n v="1514"/>
    <s v="1 årsso, øko m, 23,4 grise til 15 kg, andel fra faremarken"/>
    <x v="9"/>
    <s v="Faremark"/>
    <x v="3"/>
    <n v="151401"/>
    <n v="152915"/>
    <s v=" "/>
    <m/>
    <s v="Dybstrøelse"/>
    <m/>
    <m/>
    <s v=" "/>
    <m/>
    <s v=" "/>
    <m/>
    <n v="365"/>
    <n v="365"/>
    <n v="0"/>
    <n v="0"/>
    <n v="7.2"/>
    <n v="0.45"/>
    <n v="0"/>
    <s v="-"/>
  </r>
  <r>
    <s v="Svin"/>
    <n v="1515"/>
    <s v="Antal producerede smågrise, økologiske fra 15 - 31 kg"/>
    <x v="10"/>
    <s v="Udendørs"/>
    <x v="3"/>
    <n v="151501"/>
    <n v="153016"/>
    <s v=" "/>
    <m/>
    <s v="Dybstrøelse"/>
    <m/>
    <m/>
    <s v=" "/>
    <n v="0"/>
    <s v=" "/>
    <n v="0"/>
    <n v="365"/>
    <n v="365"/>
    <n v="0"/>
    <n v="0"/>
    <n v="7.2"/>
    <n v="0.45"/>
    <n v="0"/>
    <s v="-"/>
  </r>
  <r>
    <s v="Svin"/>
    <n v="1515"/>
    <s v="Antal producerede smågrise, økologiske fra 15 - 31 kg"/>
    <x v="10"/>
    <s v="Dybstr, (hele arealet) inde, Løbegård (50/50) ude"/>
    <x v="3"/>
    <n v="151502"/>
    <n v="153017"/>
    <s v=" "/>
    <s v="Svinegylle"/>
    <m/>
    <n v="0.06"/>
    <n v="0.05"/>
    <s v=" "/>
    <m/>
    <s v=" "/>
    <n v="0.33"/>
    <n v="0"/>
    <n v="0"/>
    <n v="2.4"/>
    <n v="0"/>
    <n v="7.2"/>
    <n v="0.45"/>
    <n v="5.2099200000000012E-2"/>
    <s v="-"/>
  </r>
  <r>
    <s v="Svin"/>
    <n v="1515"/>
    <s v="Antal producerede smågrise, økologiske fra 15 - 31 kg"/>
    <x v="10"/>
    <s v="Delvis spaltegulv inde. Løbegård (50/50) ude"/>
    <x v="4"/>
    <n v="151503"/>
    <n v="153018"/>
    <s v=" "/>
    <s v="Svinegylle"/>
    <m/>
    <n v="0.12"/>
    <n v="0.05"/>
    <s v=" "/>
    <m/>
    <s v=" "/>
    <m/>
    <n v="0"/>
    <n v="0"/>
    <n v="4.8"/>
    <n v="0"/>
    <n v="7.2"/>
    <n v="0.45"/>
    <n v="0.10419840000000002"/>
    <s v="-"/>
  </r>
  <r>
    <s v="Svin"/>
    <n v="1516"/>
    <s v="Antal producerede slagtesvin, økologiske 31-113 kg"/>
    <x v="11"/>
    <s v="Udendørs"/>
    <x v="3"/>
    <n v="151601"/>
    <n v="153117"/>
    <s v=" "/>
    <m/>
    <s v="Dybstrøelse"/>
    <m/>
    <m/>
    <s v=" "/>
    <n v="0"/>
    <s v=" "/>
    <m/>
    <n v="365"/>
    <n v="365"/>
    <n v="0"/>
    <n v="0"/>
    <n v="7.2"/>
    <n v="0.45"/>
    <n v="0"/>
    <s v="-"/>
  </r>
  <r>
    <s v="Svin"/>
    <n v="1516"/>
    <s v="Antal producerede slagtesvin, økologiske 31-113 kg"/>
    <x v="11"/>
    <s v="Delvis spaltegulv inde, Løbegård (50/50) ude"/>
    <x v="3"/>
    <n v="151602"/>
    <n v="153118"/>
    <s v=" "/>
    <s v="Svinegylle"/>
    <m/>
    <n v="0.46"/>
    <n v="0.05"/>
    <s v=" "/>
    <m/>
    <s v=" "/>
    <n v="0.33"/>
    <n v="0"/>
    <n v="0"/>
    <n v="18.400000000000002"/>
    <n v="0"/>
    <n v="14.7"/>
    <n v="0.45"/>
    <n v="0.81549720000000014"/>
    <s v="-"/>
  </r>
  <r>
    <s v="Svin"/>
    <n v="1516"/>
    <s v="Antal producerede slagtesvin, økologiske 31-113 kg"/>
    <x v="11"/>
    <s v="Dybstr, (hele arealet) inde, Løbegård (50/50) ude"/>
    <x v="3"/>
    <n v="151603"/>
    <n v="153119"/>
    <s v=" "/>
    <s v="Svinegylle"/>
    <m/>
    <n v="0.68300000000000005"/>
    <n v="6.6000000000000003E-2"/>
    <s v=" "/>
    <m/>
    <s v=" "/>
    <m/>
    <n v="0"/>
    <n v="0"/>
    <n v="36.062400000000004"/>
    <n v="0"/>
    <n v="13.4"/>
    <n v="0.45"/>
    <n v="1.4569570224000004"/>
    <s v="-"/>
  </r>
  <r>
    <s v="Svin"/>
    <n v="1520"/>
    <s v="Antal producerede FRATS-svin"/>
    <x v="12"/>
    <s v="Delvis spaltegulv med 50-75% fast gulv"/>
    <x v="4"/>
    <n v="152002"/>
    <n v="153522"/>
    <n v="0"/>
    <s v="Svinegylle"/>
    <m/>
    <n v="0.68300000000000005"/>
    <n v="6.6000000000000003E-2"/>
    <n v="0"/>
    <m/>
    <n v="0"/>
    <n v="0.3"/>
    <n v="0"/>
    <n v="181"/>
    <n v="36.062400000000004"/>
    <n v="0"/>
    <n v="13.4"/>
    <n v="0.45"/>
    <n v="1.4569570224000004"/>
    <n v="0"/>
  </r>
  <r>
    <s v="Svin"/>
    <n v="1520"/>
    <s v="Antal producerede FRATS-svin"/>
    <x v="12"/>
    <s v="Delvis spaltegulv med 25-49% fast gulv"/>
    <x v="4"/>
    <n v="152003"/>
    <n v="153523"/>
    <n v="0"/>
    <s v="Svinegylle"/>
    <m/>
    <n v="0.68300000000000005"/>
    <n v="6.6000000000000003E-2"/>
    <n v="0"/>
    <m/>
    <n v="0"/>
    <m/>
    <n v="0"/>
    <n v="181"/>
    <n v="36.062400000000004"/>
    <n v="0"/>
    <n v="13.4"/>
    <n v="0.45"/>
    <n v="1.4569570224000004"/>
    <n v="0"/>
  </r>
  <r>
    <s v="Svin"/>
    <n v="1520"/>
    <s v="Antal producerede FRATS-svin"/>
    <x v="12"/>
    <s v="Drænet gulv + spalter (33/67)"/>
    <x v="4"/>
    <n v="152004"/>
    <n v="153524"/>
    <n v="0"/>
    <s v="Svinegylle"/>
    <m/>
    <n v="0.68300000000000005"/>
    <n v="6.0999999999999999E-2"/>
    <n v="0"/>
    <m/>
    <n v="0"/>
    <m/>
    <n v="0"/>
    <n v="181"/>
    <n v="33.330399999999997"/>
    <n v="0"/>
    <n v="13.7"/>
    <n v="0.45"/>
    <n v="1.3767288371999999"/>
    <n v="0"/>
  </r>
  <r>
    <s v="Svin"/>
    <n v="1520"/>
    <s v="Antal producerede FRATS-svin"/>
    <x v="12"/>
    <s v="Fast gulv"/>
    <x v="5"/>
    <n v="152005"/>
    <n v="153525"/>
    <n v="0"/>
    <s v="Fast gødning"/>
    <m/>
    <n v="0.11800000000000001"/>
    <n v="0.23"/>
    <n v="0"/>
    <m/>
    <n v="0"/>
    <m/>
    <n v="0"/>
    <n v="181"/>
    <n v="21.712000000000003"/>
    <n v="0"/>
    <n v="2"/>
    <n v="0.45"/>
    <n v="0.13092336000000002"/>
    <n v="0"/>
  </r>
  <r>
    <s v="Svin"/>
    <n v="1520"/>
    <s v="Antal producerede FRATS-svin"/>
    <x v="12"/>
    <s v="Dybstrøelse, opdelt lejeareal"/>
    <x v="3"/>
    <n v="152006"/>
    <n v="153526"/>
    <n v="0"/>
    <s v="Svinegylle"/>
    <m/>
    <n v="0.35"/>
    <n v="4.9000000000000002E-2"/>
    <n v="0"/>
    <m/>
    <n v="0"/>
    <m/>
    <n v="0"/>
    <n v="181"/>
    <n v="13.720000000000002"/>
    <n v="0"/>
    <n v="13.4"/>
    <n v="0.45"/>
    <n v="0.55430172000000022"/>
    <n v="0"/>
  </r>
  <r>
    <s v="Svin"/>
    <n v="1520"/>
    <s v="Antal producerede FRATS-svin"/>
    <x v="12"/>
    <s v="Dybstrøelse"/>
    <x v="3"/>
    <n v="152007"/>
    <n v="153527"/>
    <n v="0"/>
    <m/>
    <s v="Dybstrøelse"/>
    <m/>
    <m/>
    <n v="0"/>
    <n v="0.18"/>
    <n v="0"/>
    <n v="0.33"/>
    <n v="0"/>
    <n v="181"/>
    <n v="59.373269999999998"/>
    <n v="0"/>
    <n v="11.4"/>
    <n v="0.45"/>
    <n v="2.0407186631700003"/>
    <n v="0"/>
  </r>
  <r>
    <s v="Hjortedyr"/>
    <n v="2101"/>
    <s v="Hjorte &gt; 15 mdr,"/>
    <x v="13"/>
    <s v="Hjorte &gt; 15 mdr,, 10 stk,"/>
    <x v="0"/>
    <n v="210101"/>
    <n v="212202"/>
    <n v="0"/>
    <m/>
    <s v="Dybstrøelse"/>
    <m/>
    <m/>
    <n v="0"/>
    <m/>
    <n v="0"/>
    <m/>
    <m/>
    <m/>
    <n v="0"/>
    <n v="0"/>
    <m/>
    <m/>
    <n v="0.22"/>
    <n v="0"/>
  </r>
  <r>
    <s v="Hjortedyr"/>
    <n v="2102"/>
    <s v="Hinder &gt; 15 mdr,"/>
    <x v="13"/>
    <s v="Hinder &gt; 15 mdr,, 10 stk,"/>
    <x v="0"/>
    <n v="210201"/>
    <n v="212303"/>
    <n v="0"/>
    <m/>
    <s v="Dybstrøelse"/>
    <m/>
    <m/>
    <n v="0"/>
    <m/>
    <n v="0"/>
    <m/>
    <m/>
    <m/>
    <n v="0"/>
    <n v="0"/>
    <m/>
    <m/>
    <n v="0.22"/>
    <n v="0"/>
  </r>
  <r>
    <s v="Hjortedyr"/>
    <n v="2103"/>
    <s v="Unge hjorte 3-15 mdr,"/>
    <x v="13"/>
    <s v="Unge hjorte 3-15 mdr,, 10 stk,"/>
    <x v="0"/>
    <n v="210301"/>
    <n v="212404"/>
    <n v="0"/>
    <m/>
    <s v="Dybstrøelse"/>
    <m/>
    <m/>
    <n v="0"/>
    <m/>
    <n v="0"/>
    <m/>
    <m/>
    <m/>
    <n v="0"/>
    <n v="0"/>
    <m/>
    <m/>
    <n v="0.22"/>
    <n v="0"/>
  </r>
  <r>
    <s v="Hjortedyr"/>
    <n v="2104"/>
    <s v="Unge hinder3-15 mdr, "/>
    <x v="13"/>
    <s v="Unge hinder 3-15 mdr,, 10 stk,"/>
    <x v="0"/>
    <n v="210401"/>
    <n v="212505"/>
    <n v="0"/>
    <m/>
    <s v="Dybstrøelse"/>
    <m/>
    <m/>
    <n v="0"/>
    <m/>
    <n v="0"/>
    <m/>
    <m/>
    <m/>
    <n v="0"/>
    <n v="0"/>
    <m/>
    <m/>
    <n v="0.22"/>
    <n v="0"/>
  </r>
  <r>
    <s v="Hjortedyr"/>
    <n v="2105"/>
    <s v="Årshind"/>
    <x v="13"/>
    <s v="Årshind, 1 stk,"/>
    <x v="0"/>
    <n v="210501"/>
    <n v="212606"/>
    <n v="0"/>
    <m/>
    <s v="Dybstrøelse"/>
    <m/>
    <m/>
    <n v="0"/>
    <m/>
    <n v="0"/>
    <m/>
    <m/>
    <m/>
    <n v="0"/>
    <n v="0"/>
    <m/>
    <m/>
    <n v="0.22"/>
    <n v="0"/>
  </r>
  <r>
    <s v="Hjortedyr"/>
    <n v="2106"/>
    <s v="Dådyr"/>
    <x v="13"/>
    <s v="Dådyr, 1 stk,"/>
    <x v="0"/>
    <n v="210601"/>
    <n v="212707"/>
    <n v="0"/>
    <m/>
    <s v="Dybstrøelse"/>
    <m/>
    <m/>
    <n v="0"/>
    <m/>
    <n v="0"/>
    <m/>
    <m/>
    <m/>
    <m/>
    <m/>
    <m/>
    <m/>
    <n v="0.22"/>
    <n v="0"/>
  </r>
  <r>
    <s v="Mink"/>
    <n v="2400"/>
    <s v="Mink, 1 årstæve"/>
    <x v="14"/>
    <s v="Kødædende pelsdyr, bure, gødn.rende, ugentlig tømn"/>
    <x v="0"/>
    <n v="240001"/>
    <n v="242401"/>
    <n v="28565.51"/>
    <s v="Minkgylle"/>
    <m/>
    <n v="0.38"/>
    <n v="0.69"/>
    <n v="10854.8938"/>
    <m/>
    <n v="0"/>
    <m/>
    <n v="0"/>
    <n v="0"/>
    <n v="209.76"/>
    <n v="0"/>
    <n v="10.14"/>
    <n v="0.25"/>
    <n v="3.5626687200000005"/>
    <n v="101.76944894784721"/>
  </r>
  <r>
    <s v="Mink"/>
    <n v="2400"/>
    <s v="Mink, 1 årstæve"/>
    <x v="14"/>
    <s v="Kødædende pelsdyr, bure, fast gødning i gødn.rende"/>
    <x v="0"/>
    <n v="240003"/>
    <n v="242403"/>
    <n v="0"/>
    <s v="Anden husdyrgødning"/>
    <m/>
    <n v="0.35"/>
    <n v="0.12"/>
    <n v="0"/>
    <m/>
    <n v="0"/>
    <m/>
    <n v="0"/>
    <n v="0"/>
    <n v="33.599999999999994"/>
    <n v="0"/>
    <n v="10.14"/>
    <n v="0.25"/>
    <n v="0.57067919999999994"/>
    <n v="0"/>
  </r>
  <r>
    <s v="Chincilla "/>
    <n v="2501"/>
    <s v="Chincilla"/>
    <x v="14"/>
    <s v="Chinchilla, 100 stk."/>
    <x v="3"/>
    <n v="240101"/>
    <n v="242602"/>
    <s v=" "/>
    <m/>
    <s v="Dybstrøelse"/>
    <m/>
    <m/>
    <s v=" "/>
    <m/>
    <s v=" "/>
    <m/>
    <n v="0"/>
    <n v="0"/>
    <n v="0"/>
    <n v="0"/>
    <n v="0"/>
    <n v="0"/>
    <n v="0"/>
    <n v="0"/>
  </r>
  <r>
    <s v="Høns af æglægningstype"/>
    <n v="3101"/>
    <s v="Fritgående, konsumæg, "/>
    <x v="15"/>
    <s v="Fritgående, konsumæg, gulvdrift + gødningskummer"/>
    <x v="6"/>
    <n v="310101"/>
    <n v="313202"/>
    <n v="0"/>
    <s v="Fast gødning"/>
    <m/>
    <n v="1.2699999999999999E-2"/>
    <n v="0.4"/>
    <n v="0"/>
    <m/>
    <n v="0"/>
    <m/>
    <n v="0"/>
    <n v="0"/>
    <n v="4.0640000000000001"/>
    <n v="0"/>
    <n v="1"/>
    <n v="0.39"/>
    <n v="1.0619232000000003E-2"/>
    <n v="0"/>
  </r>
  <r>
    <s v="Høns af æglægningstype"/>
    <n v="3101"/>
    <s v="Fritgående, konsumæg, "/>
    <x v="15"/>
    <s v="Fritgående, konsumæg, gulvdrift uden gødningskumme"/>
    <x v="6"/>
    <n v="310102"/>
    <n v="313203"/>
    <n v="0"/>
    <m/>
    <s v="Dybstrøelse"/>
    <m/>
    <m/>
    <n v="0"/>
    <n v="1.1000000000000001E-2"/>
    <n v="0"/>
    <n v="0.63300000000000001"/>
    <n v="0"/>
    <n v="0"/>
    <n v="6.9598666500000022"/>
    <n v="0"/>
    <n v="1"/>
    <n v="0.39"/>
    <n v="1.8186131556450009E-2"/>
    <n v="0"/>
  </r>
  <r>
    <s v="Høns af æglægningstype"/>
    <n v="3101"/>
    <s v="Fritgående, konsumæg, "/>
    <x v="15"/>
    <s v="Friland, konsumæg, gulvdrift fler-etagesystem"/>
    <x v="6"/>
    <n v="310103"/>
    <n v="313204"/>
    <n v="0"/>
    <s v="Fast gødning"/>
    <m/>
    <n v="2.1099999999999997E-2"/>
    <n v="0.4"/>
    <n v="0"/>
    <m/>
    <n v="0"/>
    <m/>
    <n v="181"/>
    <n v="181"/>
    <n v="3.4037479452054797"/>
    <n v="3.3482520547945209"/>
    <n v="1"/>
    <n v="0.39"/>
    <n v="1.7642976000000005E-2"/>
    <n v="0"/>
  </r>
  <r>
    <s v="Høns af æglægningstype "/>
    <n v="3101"/>
    <s v="Friland, konsumæg"/>
    <x v="15"/>
    <s v="Friland, konsumæg, gulv+fler etage m bånd"/>
    <x v="6"/>
    <n v="310104"/>
    <n v="313205"/>
    <s v=" "/>
    <s v="Fast gødning"/>
    <m/>
    <n v="2.1099999999999997E-2"/>
    <n v="0.4"/>
    <s v=" "/>
    <m/>
    <s v=" "/>
    <m/>
    <n v="181"/>
    <n v="181"/>
    <n v="3.4037479452054797"/>
    <n v="3.3482520547945209"/>
    <n v="1.5"/>
    <n v="0.39"/>
    <n v="2.6464464000000007E-2"/>
    <n v="0"/>
  </r>
  <r>
    <s v="Høns af æglægningstype"/>
    <n v="3102"/>
    <s v="Økologiske, konsumæg, "/>
    <x v="15"/>
    <s v="Økologiske, konsumæg, gulvdrift + fler-etage bånd"/>
    <x v="0"/>
    <n v="310201"/>
    <n v="313303"/>
    <n v="0"/>
    <s v="Fast gødning"/>
    <m/>
    <n v="1.5100000000000001E-2"/>
    <n v="0.4"/>
    <n v="0"/>
    <m/>
    <n v="0"/>
    <m/>
    <n v="0"/>
    <n v="0"/>
    <n v="4.8320000000000007"/>
    <n v="0"/>
    <n v="1.5"/>
    <n v="0.39"/>
    <n v="1.8939024000000006E-2"/>
    <n v="0"/>
  </r>
  <r>
    <s v="Høns af æglægningstype"/>
    <n v="3102"/>
    <s v="Økologiske, konsumæg, "/>
    <x v="15"/>
    <s v="Økologiske, konsumæg, gulvdrift + gødningskumme"/>
    <x v="0"/>
    <n v="310202"/>
    <n v="313304"/>
    <n v="0"/>
    <s v="Fast gødning"/>
    <m/>
    <n v="1.3000000000000001E-2"/>
    <n v="0.4"/>
    <n v="0"/>
    <m/>
    <n v="0"/>
    <m/>
    <n v="0"/>
    <n v="0"/>
    <n v="4.160000000000001"/>
    <n v="0"/>
    <n v="1.5"/>
    <n v="0.39"/>
    <n v="1.6305120000000006E-2"/>
    <n v="0"/>
  </r>
  <r>
    <s v="Høns af æglægningstype "/>
    <n v="3102"/>
    <s v="Økologiske, konsumæg, "/>
    <x v="15"/>
    <s v="Økologiske, konsumæg, gulv+fler-etage m bånd"/>
    <x v="0"/>
    <n v="310203"/>
    <n v="313305"/>
    <s v=" "/>
    <s v="Fast gødning"/>
    <m/>
    <n v="6.480000000000001E-2"/>
    <n v="0.12"/>
    <s v=" "/>
    <m/>
    <s v=" "/>
    <m/>
    <m/>
    <n v="181"/>
    <n v="6.2208000000000006"/>
    <n v="0"/>
    <n v="1.5"/>
    <n v="0.39"/>
    <n v="2.4382425600000004E-2"/>
    <n v="0"/>
  </r>
  <r>
    <s v="Høns af æglægningstype"/>
    <n v="3103"/>
    <s v="Skrabehøner, konsumæg "/>
    <x v="15"/>
    <s v="Skrabehøner, konsumæg, gulvdrift + gødningskummer"/>
    <x v="0"/>
    <n v="310301"/>
    <n v="313404"/>
    <n v="0"/>
    <s v="Fast gødning"/>
    <m/>
    <n v="1.3999999999999999E-2"/>
    <n v="0.4"/>
    <n v="0"/>
    <m/>
    <n v="0"/>
    <m/>
    <n v="0"/>
    <n v="0"/>
    <n v="4.4799999999999995"/>
    <n v="0"/>
    <n v="1.5"/>
    <n v="0.39"/>
    <n v="1.7559359999999996E-2"/>
    <n v="0"/>
  </r>
  <r>
    <s v="Høns af æglægningstype"/>
    <n v="3103"/>
    <s v="Skrabehøner, konsumæg "/>
    <x v="15"/>
    <s v="Skrabehøner, konsumæg, fler-etagesystem med gødnin"/>
    <x v="0"/>
    <n v="310302"/>
    <n v="313405"/>
    <n v="0"/>
    <s v="Fast gødning"/>
    <m/>
    <n v="2.23E-2"/>
    <n v="0.4"/>
    <n v="0"/>
    <m/>
    <n v="0"/>
    <m/>
    <n v="0"/>
    <n v="0"/>
    <n v="7.1360000000000001"/>
    <n v="0"/>
    <n v="1.5"/>
    <n v="0.39"/>
    <n v="2.7969552000000005E-2"/>
    <n v="0"/>
  </r>
  <r>
    <s v="Høns af æglægningstype "/>
    <n v="3103"/>
    <s v="Skrabehøner, konsumæg"/>
    <x v="15"/>
    <s v="Skrabehøner, konsumæg, gulv + fler-etager med gødn"/>
    <x v="0"/>
    <n v="310303"/>
    <n v="313406"/>
    <s v=" "/>
    <s v="Fast gødning"/>
    <m/>
    <n v="2.23E-2"/>
    <n v="0.4"/>
    <s v=" "/>
    <m/>
    <s v=" "/>
    <m/>
    <n v="0"/>
    <m/>
    <n v="7.1360000000000001"/>
    <n v="0"/>
    <n v="1.5"/>
    <n v="0.39"/>
    <n v="2.7969552000000005E-2"/>
    <n v="0"/>
  </r>
  <r>
    <s v="Høns af æglægningstype"/>
    <n v="3104"/>
    <s v="Burhøns, konsumæg "/>
    <x v="15"/>
    <s v="Burhøns, konsumæg, bånd, fast gødning"/>
    <x v="0"/>
    <n v="310402"/>
    <n v="313506"/>
    <n v="0"/>
    <s v="Fast gødning"/>
    <m/>
    <n v="2.8199999999999999E-2"/>
    <n v="0.4"/>
    <n v="0"/>
    <m/>
    <n v="0"/>
    <m/>
    <n v="0"/>
    <m/>
    <n v="9.0239999999999991"/>
    <n v="0"/>
    <n v="1.5"/>
    <n v="0.39"/>
    <n v="3.5369567999999997E-2"/>
    <n v="0"/>
  </r>
  <r>
    <s v="Høns af æglægningstype"/>
    <n v="3104"/>
    <s v="Burhøns, konsumæg "/>
    <x v="15"/>
    <s v="Burhøns, konsumæg, bånd, gylle"/>
    <x v="0"/>
    <n v="310403"/>
    <n v="313507"/>
    <n v="0"/>
    <s v="Fjerkrægylle"/>
    <m/>
    <n v="9.9199999999999997E-2"/>
    <n v="0.12"/>
    <n v="0"/>
    <m/>
    <n v="0"/>
    <m/>
    <n v="0"/>
    <n v="0"/>
    <n v="9.523200000000001"/>
    <n v="0"/>
    <n v="1.5"/>
    <n v="0.39"/>
    <n v="3.7326182400000005E-2"/>
    <n v="0"/>
  </r>
  <r>
    <s v="Høns af æglægningstype"/>
    <n v="3105"/>
    <s v="Rugeæg (HPR-høner)"/>
    <x v="15"/>
    <s v="Rugeæg (hpr-høner), gulvdrift og gødningskummer"/>
    <x v="0"/>
    <n v="310501"/>
    <n v="313606"/>
    <n v="0"/>
    <m/>
    <s v="Dybstrøelse"/>
    <m/>
    <m/>
    <n v="0"/>
    <n v="1.6299999999999999E-2"/>
    <n v="0"/>
    <n v="0.63300000000000001"/>
    <n v="0"/>
    <n v="0"/>
    <n v="10.313256944999999"/>
    <n v="0"/>
    <n v="1.5"/>
    <n v="0.39"/>
    <n v="4.0422810595927498E-2"/>
    <n v="0"/>
  </r>
  <r>
    <s v="Høns af æglægningstype "/>
    <n v="3106"/>
    <s v="Friland, konsumæg"/>
    <x v="15"/>
    <s v="Friland, konsumæg, gulv+fler etage m bånd"/>
    <x v="6"/>
    <n v="310601"/>
    <n v="313707"/>
    <n v="0"/>
    <s v="Fast gødning"/>
    <m/>
    <n v="2.1099999999999997E-2"/>
    <n v="0.4"/>
    <n v="0"/>
    <m/>
    <n v="0"/>
    <m/>
    <n v="181"/>
    <n v="181"/>
    <n v="3.4037479452054797"/>
    <n v="3.3482520547945209"/>
    <n v="1.5"/>
    <n v="0.39"/>
    <n v="2.6464464000000007E-2"/>
    <n v="0"/>
  </r>
  <r>
    <s v="Høns af æglægningstype "/>
    <n v="3107"/>
    <s v="Økologiske, konsumæg, "/>
    <x v="15"/>
    <s v="Økologiske, konsumæg, gulv+fler-etage m bånd"/>
    <x v="0"/>
    <n v="310701"/>
    <n v="313808"/>
    <n v="0"/>
    <s v="Fast gødning"/>
    <m/>
    <n v="6.480000000000001E-2"/>
    <n v="0.12"/>
    <n v="0"/>
    <m/>
    <n v="0"/>
    <m/>
    <m/>
    <n v="181"/>
    <n v="6.2208000000000006"/>
    <n v="0"/>
    <n v="1.5"/>
    <n v="0.39"/>
    <n v="2.4382425600000004E-2"/>
    <n v="0"/>
  </r>
  <r>
    <s v="Høns af æglægningstype"/>
    <n v="3111"/>
    <s v="Hønniker, konsum "/>
    <x v="15"/>
    <s v="Konsum, Bure, Produktionstid 118 dage"/>
    <x v="0"/>
    <n v="311105"/>
    <n v="314216"/>
    <n v="0"/>
    <s v="Fast gødning"/>
    <m/>
    <n v="2.3E-3"/>
    <n v="0.4"/>
    <n v="0"/>
    <m/>
    <n v="0"/>
    <m/>
    <n v="0"/>
    <n v="0"/>
    <n v="0.7360000000000001"/>
    <n v="0"/>
    <n v="1.5"/>
    <n v="0.39"/>
    <n v="2.8847520000000004E-3"/>
    <n v="0"/>
  </r>
  <r>
    <s v="Høns af æglægningstype"/>
    <n v="3111"/>
    <s v="Hønniker, konsum "/>
    <x v="15"/>
    <s v="Konsum, Gulvdrift, produktionstid 118 dage"/>
    <x v="0"/>
    <n v="311106"/>
    <n v="314217"/>
    <n v="0"/>
    <m/>
    <s v="Dybstrøelse"/>
    <m/>
    <m/>
    <n v="0"/>
    <n v="1.4000000000000002E-3"/>
    <n v="0"/>
    <n v="0.48"/>
    <n v="0"/>
    <n v="0"/>
    <n v="0.67169760000000012"/>
    <n v="0"/>
    <n v="1.5"/>
    <n v="0.39"/>
    <n v="2.6327187432000011E-3"/>
    <n v="0"/>
  </r>
  <r>
    <s v="Høns af æglægningstype"/>
    <n v="3112"/>
    <s v="Rugeæg (hønniker, HPR)"/>
    <x v="15"/>
    <s v="Rugeæg (hønniker, Hpr), gulvdrift, prod. 119 dage"/>
    <x v="0"/>
    <n v="311201"/>
    <n v="314313"/>
    <n v="0"/>
    <m/>
    <s v="Dybstrøelse"/>
    <m/>
    <m/>
    <n v="0"/>
    <n v="1.5E-3"/>
    <n v="0"/>
    <n v="0.48"/>
    <n v="0"/>
    <n v="0"/>
    <n v="0.71967599999999998"/>
    <n v="0"/>
    <n v="1.5"/>
    <n v="0.39"/>
    <n v="2.8207700820000008E-3"/>
    <n v="0"/>
  </r>
  <r>
    <s v="Høns af slagtetype"/>
    <n v="3201"/>
    <s v="producerede slagtekyllinger, levende vægt ved slagtning 1,93 kg"/>
    <x v="15"/>
    <s v="Levende vægt ved slagtning 1,93"/>
    <x v="0"/>
    <n v="320101"/>
    <n v="323302"/>
    <n v="0"/>
    <m/>
    <s v="Dybstrøelse"/>
    <m/>
    <m/>
    <n v="0"/>
    <n v="1.17E-3"/>
    <n v="0"/>
    <n v="0.48"/>
    <n v="0"/>
    <n v="0"/>
    <n v="0.56134728"/>
    <n v="0"/>
    <n v="1.5"/>
    <n v="0.36"/>
    <n v="2.0309544590399998E-3"/>
    <n v="0"/>
  </r>
  <r>
    <s v="Høns af slagtetype"/>
    <n v="3202"/>
    <s v="producerede slagtekyllinger, levende vægt ved slagtning 2,13 kg"/>
    <x v="15"/>
    <s v="Levende vægt ved slagtning 2,21"/>
    <x v="0"/>
    <n v="320201"/>
    <n v="323403"/>
    <n v="0"/>
    <m/>
    <s v="Dybstrøelse"/>
    <m/>
    <m/>
    <n v="0"/>
    <n v="1.39E-3"/>
    <n v="0"/>
    <n v="0.48"/>
    <n v="0"/>
    <n v="0"/>
    <n v="0.66689975999999995"/>
    <n v="0"/>
    <n v="1.5"/>
    <n v="0.36"/>
    <n v="2.4128433316800003E-3"/>
    <n v="0"/>
  </r>
  <r>
    <s v="Høns af slagtetype"/>
    <n v="3203"/>
    <s v="producerede slagtekyllinger, levende vægt ved slagtning 2,60 kg"/>
    <x v="15"/>
    <s v="Levende vægt ved slagtning 2,69 kg"/>
    <x v="0"/>
    <n v="320301"/>
    <n v="323504"/>
    <s v=" "/>
    <m/>
    <s v="Dybstrøelse"/>
    <m/>
    <m/>
    <s v=" "/>
    <n v="1.7800000000000001E-3"/>
    <s v=" "/>
    <n v="0.48"/>
    <n v="0"/>
    <n v="0"/>
    <n v="0.85401552000000003"/>
    <n v="0"/>
    <n v="1.5"/>
    <n v="0.36"/>
    <n v="3.0898281513600007E-3"/>
    <n v="0"/>
  </r>
  <r>
    <s v="Høns af slagtetype"/>
    <n v="3204"/>
    <s v="producerede slagtekyllinger, levende vægt ved slagtning, 3,07 kg"/>
    <x v="15"/>
    <s v="Levende vægt ved slagtning, 3,17 kg"/>
    <x v="0"/>
    <n v="320401"/>
    <n v="323605"/>
    <n v="0"/>
    <m/>
    <s v="Dybstrøelse"/>
    <m/>
    <m/>
    <n v="0"/>
    <n v="2.2200000000000002E-3"/>
    <n v="0"/>
    <n v="0.48"/>
    <n v="0"/>
    <n v="0"/>
    <n v="1.0651204800000003"/>
    <n v="0"/>
    <n v="1.5"/>
    <n v="0.36"/>
    <n v="3.8536058966400014E-3"/>
    <n v="0"/>
  </r>
  <r>
    <s v="Høns af slagtetype"/>
    <n v="3205"/>
    <s v="producerede slagtekyllinger, levende vægt ved slagtning 1,67 kg"/>
    <x v="15"/>
    <s v="Levende vægt ved slagtning"/>
    <x v="0"/>
    <n v="320501"/>
    <n v="323706"/>
    <n v="0"/>
    <m/>
    <s v="Dybstrøelse"/>
    <m/>
    <m/>
    <n v="0"/>
    <n v="1.7800000000000001E-3"/>
    <n v="0"/>
    <n v="0.48"/>
    <m/>
    <m/>
    <n v="0.85401552000000003"/>
    <n v="0"/>
    <n v="1.5"/>
    <n v="0.36"/>
    <n v="3.0898281513600007E-3"/>
    <n v="0"/>
  </r>
  <r>
    <s v="Høns af slagtetype"/>
    <n v="3230"/>
    <s v="producerede slagtekyllinger, 30 dage "/>
    <x v="15"/>
    <s v="Produktionstid 30 dage"/>
    <x v="0"/>
    <n v="323001"/>
    <n v="326231"/>
    <n v="0"/>
    <m/>
    <s v="Dybstrøelse"/>
    <m/>
    <m/>
    <n v="0"/>
    <n v="1.0300000000000001E-3"/>
    <n v="0"/>
    <n v="0.48"/>
    <n v="0"/>
    <n v="0"/>
    <n v="0.49417751999999998"/>
    <n v="0"/>
    <n v="1.5"/>
    <n v="0.36"/>
    <n v="1.7879342673599999E-3"/>
    <n v="0"/>
  </r>
  <r>
    <s v="Høns af slagtetype"/>
    <n v="3232"/>
    <s v="producerede slagtekyllinger, 32 dage"/>
    <x v="15"/>
    <s v="Produktionstid 32 dage"/>
    <x v="0"/>
    <n v="323201"/>
    <n v="326433"/>
    <n v="0"/>
    <m/>
    <s v="Dybstrøelse"/>
    <m/>
    <m/>
    <n v="0"/>
    <n v="1.17E-3"/>
    <n v="0"/>
    <n v="0.48"/>
    <n v="0"/>
    <n v="0"/>
    <n v="0.56134728"/>
    <n v="0"/>
    <n v="1.5"/>
    <n v="0.36"/>
    <n v="2.0309544590399998E-3"/>
    <n v="0"/>
  </r>
  <r>
    <s v="Høns af slagtetype"/>
    <n v="3235"/>
    <s v="producerede slagtekyllinger, 35 dage"/>
    <x v="15"/>
    <s v="Produktionstid 35 dage"/>
    <x v="0"/>
    <n v="323501"/>
    <n v="326736"/>
    <n v="0"/>
    <m/>
    <s v="Dybstrøelse"/>
    <m/>
    <m/>
    <n v="0"/>
    <n v="1.39E-3"/>
    <n v="0"/>
    <n v="0.48"/>
    <n v="0"/>
    <n v="0"/>
    <n v="0.66689975999999995"/>
    <n v="0"/>
    <n v="1.5"/>
    <n v="0.36"/>
    <n v="2.4128433316800003E-3"/>
    <n v="0"/>
  </r>
  <r>
    <s v="Høns af slagtetype"/>
    <n v="3240"/>
    <s v="producerede slagtekyllinger, 40 dage"/>
    <x v="15"/>
    <s v="Produktionstid 40 dage"/>
    <x v="0"/>
    <n v="324001"/>
    <n v="327241"/>
    <n v="0"/>
    <m/>
    <s v="Dybstrøelse"/>
    <m/>
    <m/>
    <n v="0"/>
    <n v="1.7800000000000001E-3"/>
    <n v="0"/>
    <n v="0.48"/>
    <n v="0"/>
    <n v="0"/>
    <n v="0.85401552000000003"/>
    <n v="0"/>
    <n v="1.5"/>
    <n v="0.36"/>
    <n v="3.0898281513600007E-3"/>
    <n v="0"/>
  </r>
  <r>
    <s v="Høns af slagtetype"/>
    <n v="3245"/>
    <s v="producerede slagtekyllinger, 45 dage"/>
    <x v="15"/>
    <s v="Produktionstid 45 dage"/>
    <x v="0"/>
    <n v="324501"/>
    <n v="327746"/>
    <n v="0"/>
    <m/>
    <s v="Dybstrøelse"/>
    <m/>
    <m/>
    <n v="0"/>
    <n v="2.2200000000000002E-3"/>
    <n v="0"/>
    <n v="0.48"/>
    <n v="0"/>
    <n v="0"/>
    <n v="1.0651204800000003"/>
    <n v="0"/>
    <n v="1.5"/>
    <n v="0.36"/>
    <n v="3.8536058966400014E-3"/>
    <n v="0"/>
  </r>
  <r>
    <s v="Høns af slagtetype"/>
    <n v="3256"/>
    <s v="producerede skrabekyllinger, 56 dage "/>
    <x v="15"/>
    <s v="Skrabekyllinger, 44 dage"/>
    <x v="0"/>
    <n v="325601"/>
    <n v="328857"/>
    <n v="0"/>
    <m/>
    <s v="Dybstrøelse"/>
    <m/>
    <m/>
    <n v="0"/>
    <n v="1.57E-3"/>
    <n v="0"/>
    <n v="0.48"/>
    <n v="0"/>
    <n v="0"/>
    <n v="0.75326088000000013"/>
    <n v="0"/>
    <n v="1.5"/>
    <n v="0.36"/>
    <n v="2.7252978638400011E-3"/>
    <n v="0"/>
  </r>
  <r>
    <s v="Høns af slagtetype"/>
    <n v="3281"/>
    <s v="Økologiske slagtekyllinger, 63 dage "/>
    <x v="15"/>
    <s v="Økologiske slagtekyllinger, 63 dage"/>
    <x v="0"/>
    <n v="328101"/>
    <n v="331382"/>
    <n v="0"/>
    <m/>
    <s v="Dybstrøelse"/>
    <m/>
    <m/>
    <n v="0"/>
    <n v="2.0899999999999998E-3"/>
    <n v="0"/>
    <n v="0.5"/>
    <n v="0"/>
    <n v="0"/>
    <n v="1.0445297499999999"/>
    <n v="0"/>
    <n v="1.5"/>
    <n v="0.36"/>
    <n v="3.7791086355000001E-3"/>
    <n v="0"/>
  </r>
  <r>
    <s v="Høns af slagtetype"/>
    <n v="3290"/>
    <s v="Rugeæg (hpr-høner), "/>
    <x v="15"/>
    <s v="Rugeæg (hpr-høner), gulvdrift + gødningskummer"/>
    <x v="0"/>
    <n v="329001"/>
    <n v="332291"/>
    <n v="0"/>
    <m/>
    <s v="Dybstrøelse"/>
    <m/>
    <m/>
    <n v="0"/>
    <n v="1.6299999999999999E-2"/>
    <n v="0"/>
    <n v="0.63300000000000001"/>
    <n v="0"/>
    <n v="0"/>
    <n v="10.313256944999999"/>
    <n v="0"/>
    <n v="1.5"/>
    <n v="0.39"/>
    <n v="4.0422810595927498E-2"/>
    <n v="0"/>
  </r>
  <r>
    <s v="Høns af slagtetype"/>
    <n v="3295"/>
    <s v="Hønniker, Hpr "/>
    <x v="15"/>
    <s v="Rugeæg (hpr), gulvdrift, produktionstid 119 dage"/>
    <x v="0"/>
    <n v="329501"/>
    <n v="332796"/>
    <n v="0"/>
    <m/>
    <s v="Dybstrøelse"/>
    <m/>
    <m/>
    <n v="0"/>
    <n v="1.5E-3"/>
    <n v="0"/>
    <n v="0.48"/>
    <n v="0"/>
    <n v="0"/>
    <n v="0.71967599999999998"/>
    <n v="0"/>
    <n v="1.5"/>
    <n v="0.39"/>
    <n v="2.8207700820000008E-3"/>
    <n v="0"/>
  </r>
  <r>
    <s v="Kalkuner"/>
    <n v="3301"/>
    <s v="Kalkuner, tunge hunner, produktionstid 112 dage "/>
    <x v="15"/>
    <s v="Kalkuner, tunge hunner, produktionstid 112 dage"/>
    <x v="0"/>
    <n v="330101"/>
    <n v="333402"/>
    <n v="0"/>
    <m/>
    <s v="Dybstrøelse"/>
    <m/>
    <m/>
    <n v="0"/>
    <n v="1.01E-2"/>
    <n v="0"/>
    <n v="0.48"/>
    <n v="0"/>
    <n v="0"/>
    <n v="4.8458183999999997"/>
    <n v="0"/>
    <n v="1.5"/>
    <n v="0.36"/>
    <n v="1.7532170971199999E-2"/>
    <n v="0"/>
  </r>
  <r>
    <s v="Kalkuner"/>
    <n v="3302"/>
    <s v="Kalkuner, tunge hanner, produktionstid 147 dage"/>
    <x v="15"/>
    <s v="Kalkuner, tunge hanner, produktionstid 147 dage"/>
    <x v="0"/>
    <n v="330201"/>
    <n v="333503"/>
    <n v="0"/>
    <m/>
    <s v="Dybstrøelse"/>
    <m/>
    <m/>
    <n v="0"/>
    <n v="2.0199999999999999E-2"/>
    <n v="0"/>
    <n v="0.48"/>
    <n v="0"/>
    <n v="0"/>
    <n v="9.6916367999999995"/>
    <n v="0"/>
    <n v="1.5"/>
    <n v="0.36"/>
    <n v="3.5064341942399997E-2"/>
    <n v="0"/>
  </r>
  <r>
    <s v="Gæs"/>
    <n v="3400"/>
    <s v="Gæs, produktionstid 91 dage (100 stk)"/>
    <x v="15"/>
    <s v="Gæs, produktionstid 91 dage"/>
    <x v="5"/>
    <n v="340001"/>
    <n v="343401"/>
    <n v="0"/>
    <m/>
    <s v="Dybstrøelse"/>
    <m/>
    <m/>
    <n v="0"/>
    <n v="1.9599999999999999E-2"/>
    <n v="0"/>
    <n v="0.35"/>
    <n v="0"/>
    <n v="0"/>
    <n v="6.8569129999999987"/>
    <n v="0"/>
    <n v="1.5"/>
    <n v="0.36"/>
    <n v="2.4808311233999993E-2"/>
    <n v="0"/>
  </r>
  <r>
    <s v="Ænder"/>
    <n v="3500"/>
    <s v="Ænder, produktionstid 52 dage "/>
    <x v="15"/>
    <s v="Ænder, produktionstid 52 dage"/>
    <x v="0"/>
    <n v="350001"/>
    <n v="353501"/>
    <n v="0"/>
    <m/>
    <s v="Dybstrøelse"/>
    <m/>
    <m/>
    <n v="0"/>
    <n v="0.01"/>
    <n v="0"/>
    <n v="0.35"/>
    <n v="0"/>
    <n v="0"/>
    <n v="3.4984249999999997"/>
    <n v="0"/>
    <n v="1.5"/>
    <n v="0.36"/>
    <n v="1.2657301650000001E-2"/>
    <n v="0"/>
  </r>
  <r>
    <s v="Fasaner"/>
    <n v="4401"/>
    <s v="Fasaner, høner"/>
    <x v="15"/>
    <s v="Fasan, høner, 100 stk, avlsdyr"/>
    <x v="3"/>
    <n v="440101"/>
    <n v="444502"/>
    <s v=" "/>
    <s v="Dybstrøelse"/>
    <m/>
    <m/>
    <m/>
    <s v=" "/>
    <m/>
    <s v=" "/>
    <m/>
    <m/>
    <m/>
    <n v="0"/>
    <n v="0"/>
    <m/>
    <m/>
    <n v="0"/>
    <n v="0"/>
  </r>
  <r>
    <s v="Fasaner"/>
    <n v="4402"/>
    <s v="Fasaner, opdræt"/>
    <x v="15"/>
    <s v="Fasan, opdræt, 1000 stk."/>
    <x v="3"/>
    <n v="440201"/>
    <n v="444603"/>
    <s v=" "/>
    <m/>
    <m/>
    <m/>
    <m/>
    <s v=" "/>
    <m/>
    <s v=" "/>
    <m/>
    <m/>
    <m/>
    <n v="0"/>
    <n v="0"/>
    <m/>
    <m/>
    <n v="0"/>
    <s v="-"/>
  </r>
  <r>
    <s v="Andet"/>
    <n v="4501"/>
    <s v="Agerhøns, avlsdyr, 100 stk,"/>
    <x v="15"/>
    <s v="Agerhøns, avlsdyr, 100 stk,"/>
    <x v="3"/>
    <n v="450101"/>
    <n v="454602"/>
    <n v="0"/>
    <s v="Dybstrøelse"/>
    <m/>
    <m/>
    <m/>
    <n v="0"/>
    <n v="1.57E-3"/>
    <n v="0"/>
    <n v="0.48"/>
    <n v="0"/>
    <n v="0"/>
    <n v="0.75326088000000013"/>
    <n v="0"/>
    <n v="1.5"/>
    <n v="0.36"/>
    <n v="2.7252978638400011E-3"/>
    <n v="0"/>
  </r>
  <r>
    <s v="Andet"/>
    <n v="4502"/>
    <s v="Agerhøns, opdræt"/>
    <x v="15"/>
    <s v="Agerhøns, opdræt, 1000 stk."/>
    <x v="3"/>
    <n v="450201"/>
    <n v="454703"/>
    <s v=" "/>
    <m/>
    <m/>
    <m/>
    <m/>
    <s v=" "/>
    <m/>
    <s v=" "/>
    <m/>
    <m/>
    <m/>
    <n v="0"/>
    <n v="0"/>
    <m/>
    <m/>
    <n v="0"/>
    <n v="0"/>
  </r>
  <r>
    <s v="Andet"/>
    <n v="4701"/>
    <s v="Struds, kylling, 0-3 mdr,, 100 producerede dyr"/>
    <x v="15"/>
    <s v="Struds, kylling, 0-3 mdr,, 100 producerede dyr"/>
    <x v="3"/>
    <n v="470101"/>
    <n v="474802"/>
    <n v="0"/>
    <s v="Dybstrøelse"/>
    <m/>
    <m/>
    <m/>
    <n v="0"/>
    <m/>
    <n v="0"/>
    <m/>
    <m/>
    <m/>
    <m/>
    <m/>
    <m/>
    <m/>
    <n v="5.67"/>
    <n v="0"/>
  </r>
  <r>
    <s v="Andet"/>
    <n v="4703"/>
    <s v="Struds, kylling, 3-14 mdr,, 10 producerede dyr"/>
    <x v="15"/>
    <s v="Struds, kylling, 3-14 mdr,, 10 producerede dyr"/>
    <x v="3"/>
    <n v="470301"/>
    <n v="475004"/>
    <n v="0"/>
    <s v="Dybstrøelse"/>
    <m/>
    <m/>
    <m/>
    <n v="0"/>
    <m/>
    <n v="0"/>
    <m/>
    <m/>
    <m/>
    <m/>
    <m/>
    <m/>
    <m/>
    <n v="5.67"/>
    <n v="0"/>
  </r>
  <r>
    <s v="Andet"/>
    <n v="4705"/>
    <s v="Struds, voksen, hun, 10 årsdyr"/>
    <x v="15"/>
    <s v="Struds, voksen, hun, 10 årsdyr"/>
    <x v="3"/>
    <n v="470501"/>
    <n v="475206"/>
    <n v="0"/>
    <s v="Dybstrøelse"/>
    <m/>
    <m/>
    <m/>
    <n v="0"/>
    <m/>
    <n v="0"/>
    <m/>
    <m/>
    <m/>
    <m/>
    <m/>
    <m/>
    <m/>
    <n v="5.67"/>
    <n v="0"/>
  </r>
  <r>
    <s v="Andet"/>
    <n v="4706"/>
    <s v="Struds, voksen, han, 10 årsdyr"/>
    <x v="15"/>
    <s v="Struds, voksen, han, 10 årsdyr"/>
    <x v="3"/>
    <n v="470601"/>
    <n v="475307"/>
    <n v="0"/>
    <s v="Dybstrøelse"/>
    <m/>
    <m/>
    <m/>
    <n v="0"/>
    <m/>
    <n v="0"/>
    <m/>
    <m/>
    <m/>
    <m/>
    <m/>
    <m/>
    <m/>
    <n v="5.67"/>
    <n v="0"/>
  </r>
  <r>
    <s v="Ræve"/>
    <n v="9923"/>
    <s v="Pelsdyr, andre staldsystemer (antal DE)"/>
    <x v="14"/>
    <s v="Andre ræve eller ræve, andre staldsystemer"/>
    <x v="0"/>
    <n v="992301"/>
    <n v="1002224"/>
    <n v="0"/>
    <s v="Anden husdyrgødning"/>
    <m/>
    <s v="NE"/>
    <s v="NE"/>
    <s v=" "/>
    <n v="4.5199999999999996"/>
    <n v="0"/>
    <n v="0.26"/>
    <n v="0"/>
    <n v="0"/>
    <s v="NE"/>
    <s v="NE"/>
    <n v="10.14"/>
    <n v="0.25"/>
    <s v="NE"/>
    <s v="-"/>
  </r>
  <r>
    <s v="Kvæg"/>
    <m/>
    <s v="1 avlstyr (1 årsdyr), Jersey, over 328 kg"/>
    <x v="6"/>
    <s v="Bindestald med grebning"/>
    <x v="1"/>
    <m/>
    <n v="0"/>
    <s v=" "/>
    <s v="Alje"/>
    <m/>
    <n v="2.56"/>
    <n v="3.1E-2"/>
    <s v=" "/>
    <m/>
    <s v=" "/>
    <m/>
    <n v="132"/>
    <n v="181"/>
    <n v="40.527956164383561"/>
    <n v="22.960043835616439"/>
    <n v="12.5"/>
    <n v="0.18"/>
    <n v="0.95708159999999998"/>
    <n v="0"/>
  </r>
  <r>
    <s v="Kvæg"/>
    <m/>
    <s v="1 avlstyr (1 årsdyr), Jersey, over 328 kg"/>
    <x v="6"/>
    <s v="Dybstrøelse, lang ædeplads,fast gulv"/>
    <x v="3"/>
    <m/>
    <n v="0"/>
    <s v=" "/>
    <m/>
    <s v="Dybstrøelse"/>
    <m/>
    <m/>
    <s v=" "/>
    <n v="3.31"/>
    <s v=" "/>
    <n v="0.3"/>
    <n v="18"/>
    <n v="181"/>
    <n v="943.60532342465763"/>
    <n v="0"/>
    <n v="17"/>
    <n v="0.18"/>
    <n v="19.345796340852331"/>
    <s v="-"/>
  </r>
  <r>
    <s v="Kvæg"/>
    <m/>
    <s v="1 avlstyr (1 årsdyr), Jersey, over 328 kg"/>
    <x v="6"/>
    <s v="Dybstrøelse,lang ædeplads,spalter(kanal,bagskyl/ringkanal)"/>
    <x v="3"/>
    <m/>
    <n v="0"/>
    <s v=" "/>
    <m/>
    <s v="Dybstrøelse"/>
    <m/>
    <m/>
    <s v=" "/>
    <n v="3.31"/>
    <s v=" "/>
    <n v="0.3"/>
    <n v="18"/>
    <n v="181"/>
    <n v="943.60532342465763"/>
    <n v="0"/>
    <n v="17"/>
    <n v="0.18"/>
    <n v="19.345796340852331"/>
    <s v="-"/>
  </r>
  <r>
    <s v="Kvæg"/>
    <m/>
    <s v="1 avlstyr (1 årsdyr), tung race, over 440 kg"/>
    <x v="6"/>
    <s v="Bindestald med grebning"/>
    <x v="1"/>
    <m/>
    <n v="0"/>
    <s v=" "/>
    <s v="Ajle"/>
    <m/>
    <n v="3.17"/>
    <n v="3.4000000000000002E-2"/>
    <s v=" "/>
    <m/>
    <s v=" "/>
    <m/>
    <n v="18"/>
    <n v="181"/>
    <n v="81.971857534246595"/>
    <n v="4.2521424657534252"/>
    <n v="12.5"/>
    <n v="0.18"/>
    <n v="1.2998268000000004"/>
    <s v="-"/>
  </r>
  <r>
    <s v="Kvæg"/>
    <m/>
    <s v="1 avlstyr (1 årsdyr), tung race, over 440 kg"/>
    <x v="6"/>
    <s v="Dybstrøelse, lang ædeplads med fast gulv"/>
    <x v="3"/>
    <m/>
    <n v="0"/>
    <s v=" "/>
    <m/>
    <s v="Dybstrøelse"/>
    <m/>
    <m/>
    <s v=" "/>
    <n v="4.2"/>
    <s v=" "/>
    <n v="0.3"/>
    <n v="18"/>
    <n v="181"/>
    <n v="1197.3239753424657"/>
    <n v="0"/>
    <n v="17"/>
    <n v="0.18"/>
    <n v="24.54753614247123"/>
    <s v="-"/>
  </r>
  <r>
    <s v="Kvæg"/>
    <m/>
    <s v="1 avlstyr (1 årsdyr), tung race, over 440 kg"/>
    <x v="6"/>
    <s v="Dybstrøelse, lang ædeplads med spalter (kanal, lin"/>
    <x v="3"/>
    <m/>
    <n v="0"/>
    <s v=" "/>
    <m/>
    <s v="Dybstrøelse"/>
    <m/>
    <m/>
    <s v=" "/>
    <n v="4.2"/>
    <s v=" "/>
    <n v="0.3"/>
    <n v="18"/>
    <n v="181"/>
    <n v="1197.3239753424657"/>
    <n v="0"/>
    <n v="17"/>
    <n v="0.18"/>
    <n v="24.54753614247123"/>
    <s v="-"/>
  </r>
  <r>
    <s v="Kvæg"/>
    <m/>
    <s v="1 avlstyr (1 årsdyr), tung race, over 440 kg"/>
    <x v="6"/>
    <s v="Dybstrøelse, lang ædepladsmedspalter (kanal, bag"/>
    <x v="3"/>
    <m/>
    <n v="0"/>
    <s v=" "/>
    <m/>
    <s v="Dybstrøelse"/>
    <m/>
    <m/>
    <s v=" "/>
    <n v="4.2"/>
    <s v=" "/>
    <n v="0.3"/>
    <n v="18"/>
    <n v="181"/>
    <n v="1197.3239753424657"/>
    <n v="0"/>
    <n v="17"/>
    <n v="0.18"/>
    <n v="24.54753614247123"/>
    <s v="-"/>
  </r>
  <r>
    <s v="Kvæg"/>
    <m/>
    <s v="1 stk. slagtekalve 6 mdr. - slagtning (328 kg), Jersey."/>
    <x v="5"/>
    <s v="Bindestald med grebning"/>
    <x v="1"/>
    <m/>
    <n v="0"/>
    <s v=" "/>
    <s v="Ajle"/>
    <m/>
    <n v="1.07"/>
    <n v="3.1E-2"/>
    <s v=" "/>
    <m/>
    <s v=" "/>
    <m/>
    <n v="18"/>
    <n v="181"/>
    <n v="25.227375342465756"/>
    <n v="1.3086246575342466"/>
    <n v="12.5"/>
    <n v="0.18"/>
    <n v="0.40003020000000006"/>
    <s v="-"/>
  </r>
  <r>
    <s v="Kvæg"/>
    <m/>
    <s v="1 stk. slagtekalve 6 mdr. - slagtning (328 kg), Jersey."/>
    <x v="5"/>
    <s v="Dybstrøelse, lang ædeplads, spalter(kanal, linespil)"/>
    <x v="3"/>
    <m/>
    <n v="0"/>
    <s v=" "/>
    <m/>
    <s v="Dybstrøelse"/>
    <m/>
    <m/>
    <s v=" "/>
    <n v="1.44"/>
    <s v=" "/>
    <n v="0.3"/>
    <n v="18"/>
    <n v="181"/>
    <n v="410.51107726027391"/>
    <n v="17.043287671232875"/>
    <n v="17"/>
    <n v="0.18"/>
    <n v="8.7657195898257534"/>
    <s v="-"/>
  </r>
  <r>
    <s v="Kvæg"/>
    <m/>
    <s v="1 stk. slagtekalve 6 mdr. - slagtning (328 kg), Jersey."/>
    <x v="5"/>
    <s v="Dybstrøelse, lang ædeplads,fast gulv"/>
    <x v="3"/>
    <m/>
    <n v="0"/>
    <s v=" "/>
    <m/>
    <s v="Dybstrøelse"/>
    <m/>
    <m/>
    <s v=" "/>
    <n v="1.44"/>
    <s v=" "/>
    <n v="0.3"/>
    <n v="18"/>
    <n v="181"/>
    <n v="410.51107726027391"/>
    <n v="17.043287671232875"/>
    <n v="3"/>
    <n v="0.18"/>
    <n v="1.5468916923221916"/>
    <s v="-"/>
  </r>
  <r>
    <s v="Kvæg"/>
    <m/>
    <s v="1 stk. slagtekalve 6 mdr. - slagtning (328 kg), Jersey."/>
    <x v="5"/>
    <s v="Dybstrøelse,lang ædeplads,spalter(kanal,bagskyl/ringkanal)"/>
    <x v="3"/>
    <m/>
    <n v="0"/>
    <s v=" "/>
    <m/>
    <s v="Dybstrøelse"/>
    <m/>
    <m/>
    <s v=" "/>
    <n v="1.44"/>
    <s v=" "/>
    <n v="0.3"/>
    <n v="18"/>
    <n v="181"/>
    <n v="410.51107726027391"/>
    <n v="17.043287671232875"/>
    <n v="17"/>
    <n v="0.18"/>
    <n v="8.7657195898257534"/>
    <s v="-"/>
  </r>
  <r>
    <s v="Kvæg"/>
    <m/>
    <s v="1 stk. slagtekalve, 6 mdr. - slagtning (440 kg), tung race."/>
    <x v="5"/>
    <s v="Bindestald med grebning"/>
    <x v="1"/>
    <m/>
    <n v="0"/>
    <s v=" "/>
    <s v="Ajle"/>
    <m/>
    <n v="1.36"/>
    <n v="3.1E-2"/>
    <s v=" "/>
    <m/>
    <s v=" "/>
    <m/>
    <n v="18"/>
    <n v="181"/>
    <n v="32.064701369863009"/>
    <n v="1.6632986301369863"/>
    <n v="12.5"/>
    <n v="0.18"/>
    <n v="0.50844959999999995"/>
    <s v="-"/>
  </r>
  <r>
    <s v="Kvæg"/>
    <m/>
    <s v="1 stk. slagtekalve, 6 mdr. - slagtning (440 kg), tung race."/>
    <x v="5"/>
    <s v="Dybstrøelse, lang ædeplads med fast gulv"/>
    <x v="3"/>
    <m/>
    <n v="0"/>
    <s v=" "/>
    <m/>
    <s v="Dybstrøelse"/>
    <m/>
    <m/>
    <s v=" "/>
    <n v="1.91"/>
    <s v=" "/>
    <n v="0.3"/>
    <n v="18"/>
    <n v="181"/>
    <n v="544.49733164383565"/>
    <n v="22.606027397260277"/>
    <n v="3"/>
    <n v="0.18"/>
    <n v="2.0517799530106853"/>
    <s v="-"/>
  </r>
  <r>
    <s v="Kvæg"/>
    <m/>
    <s v="1 stk. slagtekalve, 6 mdr. - slagtning (440 kg), tung race."/>
    <x v="5"/>
    <s v="Dybstrøelse, lang ædeplads med spalter (kanal, bag"/>
    <x v="3"/>
    <m/>
    <n v="0"/>
    <s v=" "/>
    <m/>
    <s v="Dybstrøelse"/>
    <m/>
    <m/>
    <s v=" "/>
    <n v="1.91"/>
    <s v=" "/>
    <n v="0.3"/>
    <n v="18"/>
    <n v="181"/>
    <n v="544.49733164383565"/>
    <n v="22.606027397260277"/>
    <n v="17"/>
    <n v="0.18"/>
    <n v="11.626753067060548"/>
    <s v="-"/>
  </r>
  <r>
    <s v="Kvæg"/>
    <m/>
    <s v="1 stk. slagtekalve, 6 mdr. - slagtning (440 kg), tung race."/>
    <x v="5"/>
    <s v="Dybstrøelse, lang ædeplads med spalter (kanal, lin"/>
    <x v="3"/>
    <m/>
    <n v="0"/>
    <s v=" "/>
    <m/>
    <s v="Dybstrøelse"/>
    <m/>
    <m/>
    <s v=" "/>
    <n v="1.91"/>
    <s v=" "/>
    <n v="0.3"/>
    <n v="18"/>
    <n v="181"/>
    <n v="544.49733164383565"/>
    <n v="22.606027397260277"/>
    <n v="17"/>
    <n v="0.18"/>
    <n v="11.626753067060548"/>
    <s v="-"/>
  </r>
  <r>
    <s v="Kvæg"/>
    <m/>
    <s v="1 årsammeko uden opdræt (400-600 kg)"/>
    <x v="7"/>
    <s v="Bindestald med grebning"/>
    <x v="1"/>
    <m/>
    <n v="0"/>
    <s v=" "/>
    <s v="Ajle"/>
    <m/>
    <n v="4.17"/>
    <n v="3.7999999999999999E-2"/>
    <s v=" "/>
    <m/>
    <s v=" "/>
    <m/>
    <n v="132"/>
    <n v="181"/>
    <n v="80.923134246575344"/>
    <n v="45.844865753424664"/>
    <n v="12.5"/>
    <n v="0.18"/>
    <n v="1.9110276000000002"/>
    <s v="-"/>
  </r>
  <r>
    <s v="Kvæg"/>
    <m/>
    <s v="1 årsammeko uden opdræt (400-600 kg)"/>
    <x v="7"/>
    <s v="Dybstrøelse, lang ædeplads med fast gulv"/>
    <x v="3"/>
    <m/>
    <n v="0"/>
    <s v=" "/>
    <m/>
    <s v="Dybstrøelse"/>
    <m/>
    <m/>
    <s v=" "/>
    <n v="6.67"/>
    <s v=" "/>
    <n v="0.3"/>
    <n v="132"/>
    <n v="181"/>
    <n v="1276.7758771232877"/>
    <n v="578.91945205479453"/>
    <n v="17"/>
    <n v="0.18"/>
    <n v="38.045465638809048"/>
    <s v="-"/>
  </r>
  <r>
    <s v="Kvæg"/>
    <m/>
    <s v="1 årsammeko uden opdræt (400-600 kg)"/>
    <x v="7"/>
    <s v="Dybstrøelse, lang ædeplads med spalter (kanal, bag"/>
    <x v="3"/>
    <m/>
    <n v="0"/>
    <s v=" "/>
    <m/>
    <s v="Dybstrøelse"/>
    <m/>
    <m/>
    <s v=" "/>
    <n v="6.67"/>
    <s v=" "/>
    <n v="0.3"/>
    <n v="132"/>
    <n v="181"/>
    <n v="1276.7758771232877"/>
    <n v="578.91945205479453"/>
    <n v="17"/>
    <n v="0.18"/>
    <n v="38.045465638809048"/>
    <s v="-"/>
  </r>
  <r>
    <s v="Kvæg"/>
    <m/>
    <s v="1 årsammeko uden opdræt (400-600 kg)"/>
    <x v="7"/>
    <s v="Dybstrøelse, lang ædeplads med spalter (kanal, lin"/>
    <x v="3"/>
    <m/>
    <n v="0"/>
    <s v=" "/>
    <m/>
    <s v="Dybstrøelse"/>
    <m/>
    <m/>
    <s v=" "/>
    <n v="6.67"/>
    <s v=" "/>
    <n v="0.3"/>
    <n v="132"/>
    <n v="181"/>
    <n v="1276.7758771232877"/>
    <n v="578.91945205479453"/>
    <n v="17"/>
    <n v="0.18"/>
    <n v="38.045465638809048"/>
    <s v="-"/>
  </r>
  <r>
    <s v="Kvæg"/>
    <m/>
    <s v="1 årsammeko uden opdræt (over 600 kg)"/>
    <x v="7"/>
    <s v="Bindestald med grebning"/>
    <x v="1"/>
    <m/>
    <n v="0"/>
    <s v=" "/>
    <s v="Ajle"/>
    <m/>
    <n v="4.8"/>
    <n v="3.7999999999999999E-2"/>
    <s v=" "/>
    <m/>
    <s v=" "/>
    <m/>
    <n v="132"/>
    <n v="181"/>
    <n v="93.148931506849308"/>
    <n v="52.771068493150686"/>
    <n v="12.5"/>
    <n v="0.18"/>
    <n v="2.1997439999999999"/>
    <s v="-"/>
  </r>
  <r>
    <s v="Kvæg"/>
    <m/>
    <s v="1 årsammeko uden opdræt (over 600 kg)"/>
    <x v="7"/>
    <s v="Dybstrøelse, lang ædeplads med fast gulv"/>
    <x v="3"/>
    <m/>
    <n v="0"/>
    <s v=" "/>
    <m/>
    <s v="Dybstrøelse"/>
    <m/>
    <m/>
    <s v=" "/>
    <n v="6.95"/>
    <s v=" "/>
    <n v="0.3"/>
    <n v="132"/>
    <n v="181"/>
    <n v="1330.3736650684932"/>
    <n v="603.22191780821913"/>
    <n v="17"/>
    <n v="0.18"/>
    <n v="39.642576640138358"/>
    <s v="-"/>
  </r>
  <r>
    <s v="Kvæg"/>
    <m/>
    <s v="1 årsammeko uden opdræt (over 600 kg)"/>
    <x v="7"/>
    <s v="Dybstrøelse, lang ædeplads med spalter (kanal, bag"/>
    <x v="3"/>
    <m/>
    <n v="0"/>
    <s v=" "/>
    <m/>
    <s v="Dybstrøelse"/>
    <m/>
    <m/>
    <s v=" "/>
    <n v="6.95"/>
    <s v=" "/>
    <n v="0.3"/>
    <n v="132"/>
    <n v="181"/>
    <n v="1330.3736650684932"/>
    <n v="603.22191780821913"/>
    <n v="17"/>
    <n v="0.18"/>
    <n v="39.642576640138358"/>
    <s v="-"/>
  </r>
  <r>
    <s v="Kvæg"/>
    <m/>
    <s v="1 årsammeko uden opdræt (over 600 kg)"/>
    <x v="7"/>
    <s v="Dybstrøelse, lang ædeplads med spalter (kanal, lin"/>
    <x v="3"/>
    <m/>
    <n v="0"/>
    <s v=" "/>
    <m/>
    <s v="Dybstrøelse"/>
    <m/>
    <m/>
    <s v=" "/>
    <n v="6.95"/>
    <s v=" "/>
    <n v="0.3"/>
    <n v="132"/>
    <n v="181"/>
    <n v="1330.3736650684932"/>
    <n v="603.22191780821913"/>
    <n v="17"/>
    <n v="0.18"/>
    <n v="39.642576640138358"/>
    <s v="-"/>
  </r>
  <r>
    <s v="Kvæg"/>
    <m/>
    <s v="1 årsammeko uden opdræt (under 400 kg)"/>
    <x v="7"/>
    <s v="Bindestald med grebning"/>
    <x v="1"/>
    <m/>
    <n v="0"/>
    <s v=" "/>
    <s v="Ajle"/>
    <m/>
    <n v="2.86"/>
    <n v="3.7999999999999999E-2"/>
    <s v=" "/>
    <m/>
    <s v=" "/>
    <m/>
    <n v="132"/>
    <n v="181"/>
    <n v="55.501238356164379"/>
    <n v="31.442761643835617"/>
    <n v="2"/>
    <n v="0.18"/>
    <n v="0.20970892799999999"/>
    <s v="-"/>
  </r>
  <r>
    <s v="Kvæg"/>
    <m/>
    <s v="1 årsammeko uden opdræt (under 400 kg)"/>
    <x v="7"/>
    <s v="Dybstrøelse, lang ædeplads med fast gulv"/>
    <x v="3"/>
    <m/>
    <n v="0"/>
    <s v=" "/>
    <m/>
    <s v="Dybstrøelse"/>
    <m/>
    <m/>
    <s v=" "/>
    <n v="4.88"/>
    <s v=" "/>
    <n v="0.3"/>
    <n v="132"/>
    <n v="181"/>
    <n v="934.13287561643835"/>
    <n v="423.55726027397259"/>
    <n v="17"/>
    <n v="0.18"/>
    <n v="27.835363166025203"/>
    <s v="-"/>
  </r>
  <r>
    <s v="Kvæg"/>
    <m/>
    <s v="1 årsammeko uden opdræt (under 400 kg)"/>
    <x v="7"/>
    <s v="Dybstrøelse, lang ædeplads med spalter (kanal, bag"/>
    <x v="3"/>
    <m/>
    <n v="0"/>
    <s v=" "/>
    <m/>
    <s v="Dybstrøelse"/>
    <m/>
    <m/>
    <s v=" "/>
    <n v="4.88"/>
    <s v=" "/>
    <n v="0.3"/>
    <n v="132"/>
    <n v="181"/>
    <n v="934.13287561643835"/>
    <n v="423.55726027397259"/>
    <n v="17"/>
    <n v="0.18"/>
    <n v="27.835363166025203"/>
    <s v="-"/>
  </r>
  <r>
    <s v="Kvæg"/>
    <m/>
    <s v="1 årsammeko uden opdræt (under 400 kg)"/>
    <x v="7"/>
    <s v="Dybstrøelse, lang ædeplads med spalter (kanal, lin"/>
    <x v="3"/>
    <m/>
    <n v="0"/>
    <s v=" "/>
    <m/>
    <s v="Dybstrøelse"/>
    <m/>
    <m/>
    <s v=" "/>
    <n v="4.88"/>
    <s v=" "/>
    <n v="0.3"/>
    <n v="132"/>
    <n v="181"/>
    <n v="934.13287561643835"/>
    <n v="423.55726027397259"/>
    <n v="17"/>
    <n v="0.18"/>
    <n v="27.835363166025203"/>
    <s v="-"/>
  </r>
  <r>
    <s v="Kvæg"/>
    <m/>
    <s v="1 årsko uden opdræt, malkekvæg, Jersey"/>
    <x v="1"/>
    <s v="Bindestald med grebning"/>
    <x v="1"/>
    <m/>
    <n v="0"/>
    <s v=" "/>
    <s v="Ajle"/>
    <m/>
    <n v="12.95"/>
    <n v="3.4000000000000002E-2"/>
    <s v=" "/>
    <m/>
    <s v=" "/>
    <m/>
    <n v="18"/>
    <n v="181"/>
    <n v="334.86926027397266"/>
    <n v="17.370739726027399"/>
    <n v="12.5"/>
    <n v="0.24"/>
    <n v="7.0800240000000034"/>
    <s v="-"/>
  </r>
  <r>
    <s v="Kvæg"/>
    <m/>
    <s v="1 årsko uden opdræt, malkekvæg, Jersey"/>
    <x v="1"/>
    <s v="Dybstrøelse, lang ædeplads med fast gulv"/>
    <x v="3"/>
    <m/>
    <n v="0"/>
    <s v=" "/>
    <m/>
    <s v="Dybstrøelse"/>
    <m/>
    <m/>
    <s v=" "/>
    <n v="10.24"/>
    <s v=" "/>
    <n v="0.28999999999999998"/>
    <n v="18"/>
    <n v="181"/>
    <n v="2821.8835533150677"/>
    <n v="117.1568219178082"/>
    <n v="17"/>
    <n v="0.24"/>
    <n v="80.341607697365902"/>
    <s v="-"/>
  </r>
  <r>
    <s v="Kvæg"/>
    <m/>
    <s v="1 årsko uden opdræt, malkekvæg, Jersey"/>
    <x v="1"/>
    <s v="Dybstrøelse, lang ædeplads med spalter (kanal, bag"/>
    <x v="3"/>
    <m/>
    <n v="0"/>
    <s v=" "/>
    <m/>
    <s v="Dybstrøelse"/>
    <m/>
    <m/>
    <s v=" "/>
    <n v="10.24"/>
    <s v=" "/>
    <n v="0.28699999999999998"/>
    <n v="18"/>
    <n v="181"/>
    <n v="2792.6916544876713"/>
    <n v="115.94485479452055"/>
    <n v="17"/>
    <n v="0.24"/>
    <n v="79.510487617738008"/>
    <s v="-"/>
  </r>
  <r>
    <s v="Kvæg"/>
    <m/>
    <s v="1 årsko uden opdræt, malkekvæg, Jersey"/>
    <x v="1"/>
    <s v="Dybstrøelse, lang ædeplads med spalter (kanal, lin"/>
    <x v="3"/>
    <m/>
    <n v="0"/>
    <s v=" "/>
    <m/>
    <s v="Dybstrøelse"/>
    <m/>
    <m/>
    <s v=" "/>
    <n v="10.24"/>
    <s v=" "/>
    <n v="0.28699999999999998"/>
    <n v="18"/>
    <n v="181"/>
    <n v="2792.6916544876713"/>
    <n v="115.94485479452055"/>
    <n v="17"/>
    <n v="0.24"/>
    <n v="79.510487617738008"/>
    <s v="-"/>
  </r>
  <r>
    <s v="Kvæg"/>
    <m/>
    <s v="1 årsko uden opdræt, malkekvæg, tung race"/>
    <x v="1"/>
    <s v="Bindestald med grebning"/>
    <x v="1"/>
    <m/>
    <n v="0"/>
    <s v=" "/>
    <s v="Ajle"/>
    <m/>
    <n v="15.85"/>
    <n v="3.4000000000000002E-2"/>
    <s v=" "/>
    <m/>
    <s v=" "/>
    <m/>
    <n v="18"/>
    <n v="181"/>
    <n v="409.85928767123289"/>
    <n v="21.260712328767127"/>
    <n v="12.5"/>
    <n v="0.24"/>
    <n v="8.6655120000000014"/>
    <s v="-"/>
  </r>
  <r>
    <s v="Kvæg"/>
    <m/>
    <s v="1 årsko uden opdræt, malkekvæg, tung race"/>
    <x v="1"/>
    <s v="Dybstrøelse, lang ædeplads med fast gulv"/>
    <x v="3"/>
    <m/>
    <n v="0"/>
    <s v=" "/>
    <m/>
    <s v="Dybstrøelse"/>
    <m/>
    <m/>
    <s v=" "/>
    <n v="12.72"/>
    <s v=" "/>
    <n v="0.28699999999999998"/>
    <n v="18"/>
    <n v="181"/>
    <n v="3469.0466645589036"/>
    <n v="144.02524931506849"/>
    <n v="17"/>
    <n v="0.24"/>
    <n v="98.766933837658897"/>
    <s v="-"/>
  </r>
  <r>
    <s v="Kvæg"/>
    <m/>
    <s v="1 årsko uden opdræt, malkekvæg, tung race"/>
    <x v="1"/>
    <s v="Dybstrøelse, lang ædeplads med spalter (kanal, bag"/>
    <x v="3"/>
    <m/>
    <n v="0"/>
    <s v=" "/>
    <m/>
    <s v="Dybstrøelse"/>
    <m/>
    <m/>
    <s v=" "/>
    <n v="12.72"/>
    <s v=" "/>
    <n v="0.28699999999999998"/>
    <n v="18"/>
    <n v="181"/>
    <n v="3469.0466645589036"/>
    <n v="144.02524931506849"/>
    <n v="17"/>
    <n v="0.24"/>
    <n v="98.766933837658897"/>
    <s v="-"/>
  </r>
  <r>
    <s v="Kvæg"/>
    <m/>
    <s v="1 årsko uden opdræt, malkekvæg, tung race"/>
    <x v="1"/>
    <s v="Dybstrøelse, lang ædeplads med spalter (kanal, lin"/>
    <x v="3"/>
    <m/>
    <n v="0"/>
    <s v=" "/>
    <m/>
    <s v="Dybstrøelse"/>
    <m/>
    <m/>
    <s v=" "/>
    <n v="12.72"/>
    <s v=" "/>
    <n v="0.28699999999999998"/>
    <n v="18"/>
    <n v="181"/>
    <n v="3469.0466645589036"/>
    <n v="144.02524931506849"/>
    <n v="17"/>
    <n v="0.24"/>
    <n v="98.766933837658897"/>
    <s v="-"/>
  </r>
  <r>
    <s v="Kvæg"/>
    <m/>
    <s v="1 årsopdræt (kvier/stude 6 mdr. - kælvning (25 mdr)/slagtning, Jersey)"/>
    <x v="3"/>
    <s v="Bindestald med grebning"/>
    <x v="1"/>
    <m/>
    <n v="0"/>
    <s v=" "/>
    <s v="Ajle"/>
    <m/>
    <n v="2.56"/>
    <n v="3.1E-2"/>
    <s v=" "/>
    <m/>
    <s v=" "/>
    <m/>
    <n v="132"/>
    <n v="181"/>
    <n v="40.527956164383561"/>
    <n v="22.960043835616439"/>
    <n v="12.5"/>
    <n v="0.18"/>
    <n v="0.95708159999999998"/>
    <s v="-"/>
  </r>
  <r>
    <s v="Kvæg"/>
    <m/>
    <s v="1 årsopdræt (kvier/stude 6 mdr. - kælvning (25 mdr)/slagtning, Jersey)"/>
    <x v="3"/>
    <s v="Dybstrøelse, lang ædeplads med fast gulv"/>
    <x v="3"/>
    <m/>
    <n v="0"/>
    <s v=" "/>
    <m/>
    <s v="Dybstrøelse"/>
    <m/>
    <m/>
    <s v=" "/>
    <n v="3.31"/>
    <s v=" "/>
    <n v="0.3"/>
    <n v="132"/>
    <n v="181"/>
    <n v="633.60242178082194"/>
    <n v="287.28986301369866"/>
    <n v="17"/>
    <n v="0.18"/>
    <n v="18.880133622857265"/>
    <s v="-"/>
  </r>
  <r>
    <s v="Kvæg"/>
    <m/>
    <s v="1 årsopdræt (kvier/stude 6 mdr. - kælvning (25 mdr)/slagtning, Jersey)"/>
    <x v="3"/>
    <s v="Dybstrøelse, lang ædeplads med spalter (kanal, bag"/>
    <x v="3"/>
    <m/>
    <n v="0"/>
    <s v=" "/>
    <m/>
    <s v="Dybstrøelse"/>
    <m/>
    <m/>
    <s v=" "/>
    <n v="3.31"/>
    <s v=" "/>
    <n v="0.3"/>
    <n v="132"/>
    <n v="181"/>
    <n v="633.60242178082194"/>
    <n v="287.28986301369866"/>
    <n v="17"/>
    <n v="0.18"/>
    <n v="18.880133622857265"/>
    <s v="-"/>
  </r>
  <r>
    <s v="Kvæg"/>
    <m/>
    <s v="1 årsopdræt (kvier/stude 6 mdr. - kælvning (25 mdr)/slagtning, Jersey)"/>
    <x v="3"/>
    <s v="Dybstrøelse, lang ædeplads med spalter (kanal, lin"/>
    <x v="3"/>
    <m/>
    <n v="0"/>
    <s v=" "/>
    <m/>
    <s v="Dybstrøelse"/>
    <m/>
    <m/>
    <s v=" "/>
    <n v="3.31"/>
    <s v=" "/>
    <n v="0.3"/>
    <n v="132"/>
    <n v="181"/>
    <n v="633.60242178082194"/>
    <n v="287.28986301369866"/>
    <n v="17"/>
    <n v="0.18"/>
    <n v="18.880133622857265"/>
    <s v="-"/>
  </r>
  <r>
    <s v="Kvæg"/>
    <m/>
    <s v="1 årsopdræt (kvier/stude 6 mdr. - kælvning (27 mdr)/slagtning, tung race)"/>
    <x v="3"/>
    <s v="Bindestald med grebning"/>
    <x v="1"/>
    <m/>
    <n v="0"/>
    <s v=" "/>
    <s v="Ajle"/>
    <m/>
    <n v="3.17"/>
    <n v="3.4000000000000002E-2"/>
    <s v=" "/>
    <m/>
    <s v=" "/>
    <m/>
    <n v="132"/>
    <n v="181"/>
    <n v="55.041621917808222"/>
    <n v="31.182378082191786"/>
    <n v="12.5"/>
    <n v="0.18"/>
    <n v="1.2998267999999999"/>
    <s v="-"/>
  </r>
  <r>
    <s v="Kvæg"/>
    <m/>
    <s v="1 årsopdræt (kvier/stude 6 mdr. - kælvning (27 mdr)/slagtning, tung race)"/>
    <x v="3"/>
    <s v="Dybstrøelse, lang ædeplads med fast gulv"/>
    <x v="3"/>
    <m/>
    <n v="0"/>
    <s v=" "/>
    <m/>
    <s v="Dybstrøelse"/>
    <m/>
    <m/>
    <s v=" "/>
    <n v="4.2"/>
    <s v=" "/>
    <n v="0.3"/>
    <n v="132"/>
    <n v="181"/>
    <n v="803.96681917808223"/>
    <n v="364.53698630136989"/>
    <n v="17"/>
    <n v="0.18"/>
    <n v="23.956665019939731"/>
    <s v="-"/>
  </r>
  <r>
    <s v="Kvæg"/>
    <m/>
    <s v="1 årsopdræt (kvier/stude 6 mdr. - kælvning (27 mdr)/slagtning, tung race)"/>
    <x v="3"/>
    <s v="Dybstrøelse, lang ædeplads med spalter (kanal, bag"/>
    <x v="3"/>
    <m/>
    <n v="0"/>
    <s v=" "/>
    <m/>
    <s v="Dybstrøelse"/>
    <m/>
    <m/>
    <s v=" "/>
    <n v="4.2"/>
    <s v=" "/>
    <n v="0.3"/>
    <n v="132"/>
    <n v="181"/>
    <n v="803.96681917808223"/>
    <n v="364.53698630136989"/>
    <n v="17"/>
    <n v="0.18"/>
    <n v="23.956665019939731"/>
    <s v="-"/>
  </r>
  <r>
    <s v="Kvæg"/>
    <m/>
    <s v="1 årsopdræt (kvier/stude 6 mdr. - kælvning (27 mdr)/slagtning, tung race)"/>
    <x v="3"/>
    <s v="Dybstrøelse, lang ædeplads med spalter (kanal, lin"/>
    <x v="3"/>
    <m/>
    <n v="0"/>
    <s v=" "/>
    <m/>
    <s v="Dybstrøelse"/>
    <m/>
    <m/>
    <s v=" "/>
    <n v="4.2"/>
    <s v=" "/>
    <n v="0.3"/>
    <n v="132"/>
    <n v="181"/>
    <n v="803.96681917808223"/>
    <n v="364.53698630136989"/>
    <n v="17"/>
    <n v="0.18"/>
    <n v="23.956665019939731"/>
    <s v="-"/>
  </r>
  <r>
    <s v="Svin"/>
    <m/>
    <s v="1 årsso m. 33,3 grise til 6,6 kg, andel fra løbe- og drægtighedsstald"/>
    <x v="9"/>
    <s v="Individuel opstaldning, fast gulv"/>
    <x v="4"/>
    <m/>
    <n v="0"/>
    <s v=" "/>
    <s v="Ajle"/>
    <m/>
    <n v="1.74"/>
    <n v="0.03"/>
    <s v=" "/>
    <m/>
    <s v=" "/>
    <m/>
    <n v="0"/>
    <n v="181"/>
    <n v="41.760000000000005"/>
    <n v="0"/>
    <n v="13.7"/>
    <n v="0.45"/>
    <n v="1.7249176800000006"/>
    <s v="-"/>
  </r>
  <r>
    <s v="Svin"/>
    <m/>
    <s v="1 årsso m. 33,3 grise til 6,6 kg,andel fra løbe- og drægtighedsstald"/>
    <x v="9"/>
    <s v="Løsgående, dybstrøelse + fast gulv"/>
    <x v="3"/>
    <m/>
    <n v="0"/>
    <s v=" "/>
    <m/>
    <s v="Dybstrøelse"/>
    <m/>
    <m/>
    <s v=" "/>
    <n v="0.67"/>
    <s v=" "/>
    <n v="0.33"/>
    <n v="0"/>
    <n v="181"/>
    <n v="221.000505"/>
    <n v="0"/>
    <n v="14.7"/>
    <n v="0.45"/>
    <n v="9.7948528818525027"/>
    <s v="-"/>
  </r>
  <r>
    <s v="Svin"/>
    <m/>
    <s v="1 årsso m. 33,3 grise til 6,6 kg,andel fra løbe- og drægtighedsstald"/>
    <x v="9"/>
    <s v="Løsgående, dybstrøelse + spaltegulv"/>
    <x v="3"/>
    <m/>
    <n v="0"/>
    <s v=" "/>
    <m/>
    <s v="Dybstrøelse"/>
    <m/>
    <m/>
    <s v=" "/>
    <n v="0.67"/>
    <s v=" "/>
    <n v="0.33"/>
    <n v="0"/>
    <n v="181"/>
    <n v="221.000505"/>
    <n v="0"/>
    <n v="14.7"/>
    <n v="0.45"/>
    <n v="9.7948528818525027"/>
    <s v="-"/>
  </r>
  <r>
    <s v="Svin"/>
    <m/>
    <s v="1 årsso, øko m, 23,4 grise til 15 kg, andel fra løbe- og drægtighedsperioden"/>
    <x v="9"/>
    <s v="Dyb, hele areal inde, Løbegård (50/50) ude"/>
    <x v="4"/>
    <m/>
    <n v="0"/>
    <s v=" "/>
    <m/>
    <s v="Dybstrøelse"/>
    <m/>
    <m/>
    <s v=" "/>
    <n v="0.8"/>
    <s v=" "/>
    <n v="0.33"/>
    <n v="181"/>
    <n v="181"/>
    <n v="133.02504328767125"/>
    <n v="0"/>
    <n v="13.7"/>
    <n v="0.45"/>
    <n v="5.4946659255189054"/>
    <s v="-"/>
  </r>
  <r>
    <s v="Høns af æglægningstype "/>
    <m/>
    <s v="Friland, konsumæg"/>
    <x v="15"/>
    <s v="Friland, konsumæg, gulv+fler etage m bånd"/>
    <x v="6"/>
    <m/>
    <n v="0"/>
    <s v=" "/>
    <m/>
    <s v="Dybstrøelse"/>
    <m/>
    <m/>
    <s v=" "/>
    <n v="2.5999999999999999E-3"/>
    <s v=" "/>
    <n v="0.63300000000000001"/>
    <n v="181"/>
    <n v="181"/>
    <n v="0.82929021304109607"/>
    <n v="0"/>
    <n v="1.5"/>
    <n v="0.39"/>
    <n v="3.2504029900145759E-3"/>
    <s v="-"/>
  </r>
  <r>
    <s v="Høns af æglægningstype"/>
    <m/>
    <s v="Fritgående, konsumæg, "/>
    <x v="15"/>
    <s v="Friland, konsumæg, gulvdrift fler-etagesystem"/>
    <x v="6"/>
    <m/>
    <n v="0"/>
    <s v=" "/>
    <m/>
    <s v="Dybstrøelse"/>
    <m/>
    <m/>
    <s v=" "/>
    <n v="2.5999999999999999E-3"/>
    <s v=" "/>
    <n v="0.63300000000000001"/>
    <n v="181"/>
    <n v="181"/>
    <n v="0.82929021304109607"/>
    <n v="0.65290915068493161"/>
    <n v="1"/>
    <n v="0.39"/>
    <n v="3.872986937416111E-3"/>
    <s v="-"/>
  </r>
  <r>
    <s v="Svin"/>
    <m/>
    <s v="Antal producerede FRATS-svin"/>
    <x v="12"/>
    <s v="Dybstrøelse, opdelt lejeareal"/>
    <x v="3"/>
    <m/>
    <n v="0"/>
    <s v=" "/>
    <m/>
    <s v="Dybstrøelse"/>
    <m/>
    <m/>
    <s v=" "/>
    <n v="0.11599999999999999"/>
    <s v=" "/>
    <n v="0.33"/>
    <n v="0"/>
    <n v="181"/>
    <n v="38.262774"/>
    <n v="0"/>
    <n v="14.7"/>
    <n v="0.45"/>
    <n v="1.6958252750670004"/>
    <s v="-"/>
  </r>
  <r>
    <s v="Svin"/>
    <m/>
    <s v="Antal producerede FRATS-svin"/>
    <x v="12"/>
    <s v="Fast gulv"/>
    <x v="5"/>
    <m/>
    <n v="0"/>
    <s v=" "/>
    <s v="Ajle"/>
    <m/>
    <n v="0.42199999999999999"/>
    <n v="0.02"/>
    <s v=" "/>
    <m/>
    <s v=" "/>
    <m/>
    <n v="0"/>
    <n v="181"/>
    <n v="6.7519999999999998"/>
    <n v="0"/>
    <n v="13.4"/>
    <n v="0.45"/>
    <n v="0.27278755200000004"/>
    <s v="-"/>
  </r>
  <r>
    <s v="Svin"/>
    <m/>
    <s v="Antal producerede slagtesvin, 31-110 kg"/>
    <x v="11"/>
    <s v="Dybstrøelse, opdelt lejeareal"/>
    <x v="3"/>
    <m/>
    <n v="0"/>
    <s v=" "/>
    <m/>
    <s v="Dybstrøelse"/>
    <m/>
    <m/>
    <s v=" "/>
    <n v="0.09"/>
    <s v=" "/>
    <n v="0.33"/>
    <n v="0"/>
    <n v="181"/>
    <n v="29.686634999999999"/>
    <n v="0"/>
    <n v="14.7"/>
    <n v="0.45"/>
    <n v="1.3157265065175001"/>
    <s v="-"/>
  </r>
  <r>
    <s v="Svin"/>
    <m/>
    <s v="Antal producerede slagtesvin, 31-110 kg"/>
    <x v="11"/>
    <s v="Fast gulv"/>
    <x v="5"/>
    <m/>
    <n v="0"/>
    <s v=" "/>
    <s v="Ajle"/>
    <m/>
    <n v="0.36"/>
    <n v="0.2"/>
    <s v=" "/>
    <m/>
    <s v=" "/>
    <m/>
    <n v="0"/>
    <n v="181"/>
    <n v="57.6"/>
    <n v="0"/>
    <n v="13.7"/>
    <n v="0.45"/>
    <n v="2.3791968000000003"/>
    <s v="-"/>
  </r>
  <r>
    <s v="Svin"/>
    <m/>
    <s v="Antal producerede slagtesvin, økologiske 31-113 kg"/>
    <x v="11"/>
    <s v="Dybstr, (hele arealet) inde, Løbegård (50/50) ude"/>
    <x v="3"/>
    <m/>
    <n v="0"/>
    <s v=" "/>
    <m/>
    <s v="Dybstrøelse"/>
    <n v="0.7"/>
    <n v="0.33"/>
    <s v=" "/>
    <m/>
    <s v=" "/>
    <n v="0.33"/>
    <n v="0"/>
    <n v="0"/>
    <n v="184.79999999999998"/>
    <n v="0"/>
    <n v="14.7"/>
    <n v="0.45"/>
    <n v="8.1904283999999983"/>
    <s v="-"/>
  </r>
  <r>
    <s v="Svin"/>
    <m/>
    <s v="Antal producerede smågrise, fra 6,8 til 31 kg"/>
    <x v="10"/>
    <s v="Fast gulv"/>
    <x v="5"/>
    <m/>
    <n v="0"/>
    <s v=" "/>
    <s v="Ajle"/>
    <m/>
    <n v="7.2999999999999995E-2"/>
    <n v="0.02"/>
    <s v=" "/>
    <m/>
    <s v=" "/>
    <n v="1.9E-2"/>
    <n v="0"/>
    <n v="181"/>
    <n v="1.1679999999999999"/>
    <n v="0"/>
    <n v="13.7"/>
    <n v="0.45"/>
    <n v="4.8244823999999999E-2"/>
    <s v="-"/>
  </r>
  <r>
    <s v="Svin"/>
    <m/>
    <s v="Antal producerede smågrise, økologiske fra 15 - 31 kg"/>
    <x v="10"/>
    <s v="Dybstr, (hele arealet) inde, Løbegård (50/50) ude"/>
    <x v="3"/>
    <m/>
    <n v="0"/>
    <s v=" "/>
    <m/>
    <s v="Dybstrøelse"/>
    <m/>
    <m/>
    <s v=" "/>
    <n v="0.01"/>
    <s v=" "/>
    <n v="0.33"/>
    <n v="0"/>
    <n v="0"/>
    <n v="3.2985150000000005"/>
    <n v="0"/>
    <n v="7.2"/>
    <n v="0.45"/>
    <n v="7.1604163620000022E-2"/>
    <s v="-"/>
  </r>
  <r>
    <s v="Høns af æglægningstype"/>
    <m/>
    <s v="Fritgående, konsumæg, "/>
    <x v="15"/>
    <s v="Fritgående, konsumæg, gulvdrift + gødningskummer"/>
    <x v="6"/>
    <m/>
    <n v="0"/>
    <s v=" "/>
    <m/>
    <s v="Dybstrøelse"/>
    <m/>
    <m/>
    <s v=" "/>
    <n v="3.8E-3"/>
    <s v=" "/>
    <n v="0.63300000000000001"/>
    <n v="0"/>
    <n v="0"/>
    <n v="2.4043175699999999"/>
    <n v="0"/>
    <n v="1"/>
    <n v="0.39"/>
    <n v="6.2824818104100007E-3"/>
    <s v="-"/>
  </r>
  <r>
    <s v="Høns af æglægningstype"/>
    <m/>
    <s v="Høns af æglægningstype"/>
    <x v="15"/>
    <s v="Skrabehøner, konsumæg, gulvdrift + gødningskummer"/>
    <x v="0"/>
    <m/>
    <n v="0"/>
    <s v=" "/>
    <m/>
    <s v="Dybstrøelse"/>
    <m/>
    <m/>
    <s v=" "/>
    <n v="4.0000000000000001E-3"/>
    <s v=" "/>
    <n v="0.63300000000000001"/>
    <m/>
    <m/>
    <n v="2.5308606"/>
    <n v="0"/>
    <m/>
    <m/>
    <n v="0"/>
    <s v="-"/>
  </r>
  <r>
    <s v="Høns af æglægningstype"/>
    <m/>
    <s v="Skrabehøner, konsumæg "/>
    <x v="15"/>
    <s v="Skrabehøner, konsumæg, fler-etagesystem med gødnin"/>
    <x v="0"/>
    <m/>
    <n v="0"/>
    <s v=" "/>
    <m/>
    <s v="Dybstrøelse"/>
    <m/>
    <m/>
    <s v=" "/>
    <n v="3.0999999999999999E-3"/>
    <s v=" "/>
    <n v="0.63300000000000001"/>
    <n v="0"/>
    <n v="0"/>
    <n v="1.9614169650000002"/>
    <n v="0"/>
    <n v="1"/>
    <n v="0.39"/>
    <n v="5.1251825295450014E-3"/>
    <s v="-"/>
  </r>
  <r>
    <s v="Høns af æglægningstype "/>
    <m/>
    <s v="Økologiske, konsumæg, "/>
    <x v="15"/>
    <s v="Økologiske, konsumæg, gulv+fler-etage m bånd"/>
    <x v="0"/>
    <m/>
    <n v="0"/>
    <s v=" "/>
    <m/>
    <s v="Dybstrøelse"/>
    <m/>
    <m/>
    <s v=" "/>
    <n v="3.0000000000000001E-3"/>
    <s v=" "/>
    <n v="0.63300000000000001"/>
    <m/>
    <n v="181"/>
    <n v="1.8981454499999999"/>
    <n v="0"/>
    <n v="1.5"/>
    <n v="0.39"/>
    <n v="7.4397810912750009E-3"/>
    <s v="-"/>
  </r>
  <r>
    <s v="Høns af æglægningstype"/>
    <m/>
    <s v="Økologiske, konsumæg, "/>
    <x v="15"/>
    <s v="Økologiske, konsumæg, gulvdrift + fler-etage bånd"/>
    <x v="0"/>
    <m/>
    <n v="0"/>
    <s v=" "/>
    <m/>
    <s v="Dybstrøelse"/>
    <m/>
    <m/>
    <s v=" "/>
    <n v="3.0000000000000001E-3"/>
    <s v=" "/>
    <n v="0.63300000000000001"/>
    <n v="0"/>
    <n v="0"/>
    <n v="1.8981454499999999"/>
    <n v="0"/>
    <n v="1.5"/>
    <n v="0.39"/>
    <n v="7.4397810912750009E-3"/>
    <s v="-"/>
  </r>
  <r>
    <s v="Høns af æglægningstype"/>
    <m/>
    <s v="Økologiske, konsumæg, "/>
    <x v="15"/>
    <s v="Økologiske, konsumæg, gulvdrift + gødningskumme"/>
    <x v="0"/>
    <m/>
    <n v="0"/>
    <s v=" "/>
    <m/>
    <s v="Dybstrøelse"/>
    <m/>
    <m/>
    <s v=" "/>
    <n v="4.1999999999999997E-3"/>
    <s v=" "/>
    <n v="0.63300000000000001"/>
    <n v="0"/>
    <n v="0"/>
    <n v="2.6574036300000006"/>
    <n v="0"/>
    <n v="1.5"/>
    <n v="0.39"/>
    <n v="1.0415693527785003E-2"/>
    <s v="-"/>
  </r>
  <r>
    <s v="Mink"/>
    <m/>
    <s v="Mink, 1 årstæve"/>
    <x v="14"/>
    <s v="Kødædende pelsdyr, bure, gødn.rende, ugentlig tømn"/>
    <x v="0"/>
    <m/>
    <n v="0"/>
    <s v=" "/>
    <m/>
    <s v="Dybstrøelse"/>
    <m/>
    <m/>
    <s v=" "/>
    <n v="0.05"/>
    <s v=" "/>
    <n v="0.35"/>
    <m/>
    <m/>
    <n v="17.492125000000001"/>
    <n v="0"/>
    <m/>
    <m/>
    <n v="0"/>
    <s v="-"/>
  </r>
  <r>
    <s v="Kvæg "/>
    <m/>
    <s v="1 avlstyr (1 årsdyr), Jersey, over 328 kg"/>
    <x v="6"/>
    <s v="Dybstrøelse, lang ædeplads, spalter(kanal, linespil)"/>
    <x v="3"/>
    <m/>
    <m/>
    <s v=" "/>
    <m/>
    <s v="Dybstrøelse"/>
    <m/>
    <m/>
    <s v=" "/>
    <n v="3.31"/>
    <s v=" "/>
    <n v="0.3"/>
    <n v="18"/>
    <n v="181"/>
    <n v="943.60532342465763"/>
    <n v="0"/>
    <n v="12.5"/>
    <n v="0.18"/>
    <n v="14.224850250626716"/>
    <s v="-"/>
  </r>
  <r>
    <s v="Kvæg "/>
    <m/>
    <s v="1 årsko uden opdræt, malkekvæg, tung race"/>
    <x v="1"/>
    <s v="Dybstrøelse, lang ædeplads, fast drænet gulv med s"/>
    <x v="3"/>
    <m/>
    <m/>
    <s v=" "/>
    <m/>
    <s v="Dybstrøelse"/>
    <m/>
    <m/>
    <s v=" "/>
    <n v="12.72"/>
    <s v=" "/>
    <n v="0.28999999999999998"/>
    <n v="18"/>
    <n v="181"/>
    <n v="3505.3084763835614"/>
    <n v="0"/>
    <n v="4.5999999999999996"/>
    <n v="0.24"/>
    <n v="25.928065738113922"/>
    <s v="-"/>
  </r>
  <r>
    <s v="Høns af æglægningstype "/>
    <m/>
    <s v="Skrabehøner, konsumæg"/>
    <x v="15"/>
    <s v="Skrabehøner, konsumæg, gulv + fler-etager med gødn"/>
    <x v="0"/>
    <m/>
    <m/>
    <s v=" "/>
    <m/>
    <s v="Dybstrøelse"/>
    <m/>
    <m/>
    <s v=" "/>
    <n v="3.0999999999999999E-3"/>
    <s v=" "/>
    <n v="0.63300000000000001"/>
    <n v="0"/>
    <m/>
    <n v="1.9614169650000002"/>
    <n v="0"/>
    <n v="1.5"/>
    <n v="0.39"/>
    <n v="7.6877737943175026E-3"/>
    <s v="-"/>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2">
  <r>
    <s v="Heste"/>
    <n v="1101"/>
    <s v="Heste, 1 årsdyr, vægt under 300 kg"/>
    <x v="0"/>
    <s v="1 voksen årshest, under 300 kg"/>
    <x v="0"/>
    <n v="110101"/>
    <n v="111202"/>
    <n v="15.21"/>
    <m/>
    <s v="Dybstrøelse"/>
    <m/>
    <m/>
    <n v="0"/>
    <n v="2.97"/>
    <n v="45.173700000000004"/>
    <n v="0.26"/>
    <n v="183"/>
    <n v="183"/>
    <n v="384.86892279452059"/>
    <n v="309.72624657534249"/>
    <n v="2"/>
    <n v="0.3"/>
    <n v="2.7922725808668494"/>
    <n v="4.2470465954984785E-2"/>
  </r>
  <r>
    <s v="Heste"/>
    <n v="1102"/>
    <s v="Heste, 1 årsdyr, vægt 300 kg - under 500 kg"/>
    <x v="0"/>
    <s v="1 voksen årshest, 300 kg - mindre end 500 kg"/>
    <x v="0"/>
    <n v="110201"/>
    <n v="111303"/>
    <n v="277.02"/>
    <m/>
    <s v="Dybstrøelse"/>
    <m/>
    <m/>
    <n v="0"/>
    <n v="4.62"/>
    <n v="1279.8324"/>
    <n v="0.26"/>
    <n v="183"/>
    <n v="183"/>
    <n v="598.68499101369866"/>
    <n v="481.79638356164389"/>
    <n v="2"/>
    <n v="0.3"/>
    <n v="4.3435351257928776"/>
    <n v="1.2032461005471426"/>
  </r>
  <r>
    <s v="Heste"/>
    <n v="1103"/>
    <s v="Heste, 1 årsdyr, vægt 500 kg - under 700 kg"/>
    <x v="0"/>
    <s v="1 voksen årshest, 500 kg - mindre end 700 kg"/>
    <x v="0"/>
    <n v="110301"/>
    <n v="111404"/>
    <n v="26.5"/>
    <m/>
    <s v="Dybstrøelse"/>
    <m/>
    <m/>
    <n v="0"/>
    <n v="5.13"/>
    <n v="135.94499999999999"/>
    <n v="0.26"/>
    <n v="183"/>
    <n v="183"/>
    <n v="664.77359391780828"/>
    <n v="534.98169863013698"/>
    <n v="2"/>
    <n v="0.3"/>
    <n v="4.8230162760427397"/>
    <n v="0.1278099313151326"/>
  </r>
  <r>
    <s v="Heste"/>
    <n v="1104"/>
    <s v="Heste, 1 årsdyr, vægt 700 kg og derover"/>
    <x v="0"/>
    <s v="1 voksen årshest, 700 kg og derover"/>
    <x v="0"/>
    <n v="110401"/>
    <n v="111505"/>
    <n v="0"/>
    <m/>
    <s v="Dybstrøelse"/>
    <m/>
    <m/>
    <n v="0"/>
    <n v="5.75"/>
    <n v="0"/>
    <n v="0.26"/>
    <n v="183"/>
    <n v="183"/>
    <n v="745.11660136986302"/>
    <n v="599.63835616438359"/>
    <n v="2"/>
    <n v="0.3"/>
    <n v="5.4059149292876718"/>
    <n v="0"/>
  </r>
  <r>
    <s v="Kvæg"/>
    <n v="1201"/>
    <s v="1 årsko uden opdræt, malkekvæg, tung race"/>
    <x v="1"/>
    <s v="Bindestald med grebning"/>
    <x v="1"/>
    <n v="120101"/>
    <n v="121302"/>
    <n v="0"/>
    <s v="Fast gødning"/>
    <m/>
    <n v="12.06"/>
    <n v="0.2"/>
    <n v="0"/>
    <m/>
    <n v="0"/>
    <m/>
    <n v="18"/>
    <n v="181"/>
    <n v="1834.4416438356166"/>
    <n v="95.158356164383562"/>
    <n v="2"/>
    <n v="0.24"/>
    <n v="6.2055936000000012"/>
    <n v="0"/>
  </r>
  <r>
    <s v="Kvæg"/>
    <n v="1201"/>
    <s v="1 årsko uden opdræt, malkekvæg, tung race"/>
    <x v="1"/>
    <s v="Bindestald med riste"/>
    <x v="1"/>
    <n v="120102"/>
    <n v="121303"/>
    <n v="0"/>
    <s v="Kvæggylle"/>
    <m/>
    <n v="32.049999999999997"/>
    <n v="8.6999999999999994E-2"/>
    <n v="0"/>
    <m/>
    <n v="0"/>
    <m/>
    <n v="18"/>
    <n v="181"/>
    <n v="2120.6738630136983"/>
    <n v="110.00613698630136"/>
    <n v="12.5"/>
    <n v="0.24"/>
    <n v="44.836667999999989"/>
    <n v="0"/>
  </r>
  <r>
    <s v="Kvæg"/>
    <n v="1201"/>
    <s v="1 årsko uden opdræt, malkekvæg, tung race"/>
    <x v="1"/>
    <s v="Sengestald med fast gulv"/>
    <x v="2"/>
    <n v="120103"/>
    <n v="121304"/>
    <n v="0"/>
    <s v="Kvæggylle"/>
    <m/>
    <n v="32.06"/>
    <n v="0.08"/>
    <n v="0"/>
    <m/>
    <n v="0"/>
    <m/>
    <n v="18"/>
    <n v="181"/>
    <n v="1950.6533698630137"/>
    <n v="101.18663013698631"/>
    <n v="12.5"/>
    <n v="0.24"/>
    <n v="41.241984000000002"/>
    <n v="0"/>
  </r>
  <r>
    <s v="Kvæg"/>
    <n v="1201"/>
    <s v="1 årsko uden opdræt, malkekvæg, tung race"/>
    <x v="1"/>
    <s v="Sengestald med spalter (kanal, linespil)"/>
    <x v="2"/>
    <n v="120104"/>
    <n v="121305"/>
    <n v="0"/>
    <s v="Kvæggylle"/>
    <m/>
    <n v="32.06"/>
    <n v="0.08"/>
    <n v="0"/>
    <m/>
    <n v="0"/>
    <m/>
    <n v="18"/>
    <n v="181"/>
    <n v="1950.6533698630137"/>
    <n v="101.18663013698631"/>
    <n v="12.5"/>
    <n v="0.24"/>
    <n v="41.241984000000002"/>
    <n v="0"/>
  </r>
  <r>
    <s v="Kvæg"/>
    <n v="1201"/>
    <s v="1 årsko uden opdræt, malkekvæg, tung race"/>
    <x v="1"/>
    <s v="Sengestald med spalter (kanal, bagskyl eller ringk"/>
    <x v="2"/>
    <n v="120105"/>
    <n v="121306"/>
    <n v="188.07"/>
    <s v="Kvæggylle"/>
    <m/>
    <n v="32.06"/>
    <n v="0.08"/>
    <n v="6029.5241999999998"/>
    <m/>
    <n v="0"/>
    <m/>
    <n v="18"/>
    <n v="181"/>
    <n v="1950.6533698630137"/>
    <n v="101.18663013698631"/>
    <n v="12.5"/>
    <n v="0.24"/>
    <n v="41.241984000000002"/>
    <n v="7.7563799308799997"/>
  </r>
  <r>
    <s v="Kvæg"/>
    <n v="1201"/>
    <s v="1 årsko uden opdræt, malkekvæg, tung race"/>
    <x v="1"/>
    <s v="Dybstrøelse (hele arealet)"/>
    <x v="3"/>
    <n v="120106"/>
    <n v="121307"/>
    <n v="0"/>
    <m/>
    <s v="Dybstrøelse"/>
    <m/>
    <m/>
    <n v="0"/>
    <n v="16.21"/>
    <n v="0"/>
    <n v="0.3"/>
    <n v="18"/>
    <n v="181"/>
    <n v="4621.1003905479456"/>
    <n v="191.85534246575347"/>
    <n v="17"/>
    <n v="0.24"/>
    <n v="131.56695791766248"/>
    <n v="0"/>
  </r>
  <r>
    <s v="Kvæg"/>
    <n v="1201"/>
    <s v="1 årsko uden opdræt, malkekvæg, tung race"/>
    <x v="1"/>
    <s v="Dybstrøelse, lang ædeplads med fast gulv"/>
    <x v="3"/>
    <n v="120107"/>
    <n v="121308"/>
    <n v="0"/>
    <s v="Kvæggylle"/>
    <m/>
    <n v="14.11"/>
    <n v="6.9000000000000006E-2"/>
    <n v="0"/>
    <m/>
    <n v="0"/>
    <m/>
    <n v="18"/>
    <n v="181"/>
    <n v="740.46187397260292"/>
    <n v="38.410126027397268"/>
    <n v="12.5"/>
    <n v="0.24"/>
    <n v="15.655327200000004"/>
    <n v="0"/>
  </r>
  <r>
    <s v="Kvæg"/>
    <n v="1201"/>
    <s v="1 årsko uden opdræt, malkekvæg, tung race"/>
    <x v="1"/>
    <s v="Dybstrøelse, lang ædeplads med spalter (kanal, lin"/>
    <x v="3"/>
    <n v="120108"/>
    <n v="121309"/>
    <n v="0"/>
    <s v="Kvæggylle"/>
    <m/>
    <n v="14.11"/>
    <n v="6.9000000000000006E-2"/>
    <n v="0"/>
    <m/>
    <n v="0"/>
    <m/>
    <n v="18"/>
    <n v="181"/>
    <n v="740.46187397260292"/>
    <n v="38.410126027397268"/>
    <n v="12.5"/>
    <n v="0.24"/>
    <n v="15.655327200000004"/>
    <n v="0"/>
  </r>
  <r>
    <s v="Kvæg"/>
    <n v="1201"/>
    <s v="1 årsko uden opdræt, malkekvæg, tung race"/>
    <x v="1"/>
    <s v="Dybstrøelse, lang ædeplads med spalter (kanal, bag"/>
    <x v="3"/>
    <n v="120109"/>
    <n v="121310"/>
    <n v="0"/>
    <s v="Kvæggylle"/>
    <m/>
    <n v="14.11"/>
    <n v="6.9000000000000006E-2"/>
    <n v="0"/>
    <m/>
    <n v="0"/>
    <m/>
    <n v="18"/>
    <n v="181"/>
    <n v="740.46187397260292"/>
    <n v="38.410126027397268"/>
    <n v="12.5"/>
    <n v="0.24"/>
    <n v="15.655327200000004"/>
    <n v="0"/>
  </r>
  <r>
    <s v="Kvæg"/>
    <n v="1201"/>
    <s v="1 årsko uden opdræt, malkekvæg, tung race"/>
    <x v="1"/>
    <s v="Sengestald, fast drænet gulv med skraber og ajleaf"/>
    <x v="2"/>
    <n v="120114"/>
    <n v="121315"/>
    <n v="0"/>
    <s v="Kvæggylle"/>
    <m/>
    <n v="32.06"/>
    <n v="0.08"/>
    <n v="0"/>
    <m/>
    <n v="0"/>
    <m/>
    <n v="18"/>
    <n v="181"/>
    <n v="1950.6533698630137"/>
    <n v="101.18663013698631"/>
    <n v="12.5"/>
    <n v="0.24"/>
    <n v="41.241984000000002"/>
    <n v="0"/>
  </r>
  <r>
    <s v="Kvæg"/>
    <n v="1201"/>
    <s v="1 årsko uden opdræt, malkekvæg, tung race"/>
    <x v="1"/>
    <s v="Dybstrøelse, lang ædeplads, fast drænet gulv med s"/>
    <x v="3"/>
    <n v="120115"/>
    <n v="121316"/>
    <n v="0"/>
    <s v="Kvæggylle"/>
    <m/>
    <n v="14.11"/>
    <n v="6.9000000000000006E-2"/>
    <n v="0"/>
    <m/>
    <n v="0"/>
    <m/>
    <n v="18"/>
    <n v="181"/>
    <n v="740.46187397260292"/>
    <n v="38.410126027397268"/>
    <n v="4.5999999999999996"/>
    <n v="0.24"/>
    <n v="5.7611604096000013"/>
    <n v="0"/>
  </r>
  <r>
    <s v="Kvæg"/>
    <n v="1202"/>
    <s v="1 årsopdræt (småkalv 0-6 mdr., tung race)"/>
    <x v="2"/>
    <s v="Dybstrøelse (hele arealet)"/>
    <x v="3"/>
    <n v="120201"/>
    <n v="121403"/>
    <n v="161.9"/>
    <m/>
    <s v="Dybstrøelse"/>
    <m/>
    <m/>
    <n v="0"/>
    <n v="1.89"/>
    <n v="305.99099999999999"/>
    <n v="0.3"/>
    <n v="224"/>
    <n v="224"/>
    <n v="218.93431191780823"/>
    <n v="278.37369863013703"/>
    <n v="17"/>
    <n v="0.18"/>
    <n v="10.195808832253974"/>
    <n v="1.6507014499419184"/>
  </r>
  <r>
    <s v="Kvæg"/>
    <n v="1202"/>
    <s v="1 årsopdræt (småkalv 0-6 mdr., tung race)"/>
    <x v="2"/>
    <s v="Dybstrøelse + kort ædeplads med fast gulv"/>
    <x v="3"/>
    <n v="120202"/>
    <n v="121404"/>
    <n v="7.98"/>
    <m/>
    <s v="Dybstrøelse"/>
    <m/>
    <m/>
    <n v="0"/>
    <n v="1.89"/>
    <n v="15.0822"/>
    <n v="0.3"/>
    <n v="224"/>
    <n v="224"/>
    <n v="218.93431191780823"/>
    <n v="278.37369863013703"/>
    <n v="17"/>
    <n v="0.18"/>
    <n v="10.195808832253974"/>
    <n v="8.1362554481386712E-2"/>
  </r>
  <r>
    <s v="Kvæg"/>
    <n v="1203"/>
    <s v="1 årsopdræt (kvier/stude 6 mdr. - kælvning (27 mdr)/slagtning, tung race)"/>
    <x v="3"/>
    <s v="Bindestald med grebning"/>
    <x v="1"/>
    <n v="120301"/>
    <n v="121504"/>
    <n v="37.799999999999997"/>
    <s v="Fast gødning"/>
    <m/>
    <n v="4.51"/>
    <n v="0.182"/>
    <n v="170.47799999999998"/>
    <m/>
    <n v="0"/>
    <m/>
    <n v="132"/>
    <n v="181"/>
    <n v="419.18040547945202"/>
    <n v="237.47559452054793"/>
    <n v="2"/>
    <n v="0.18"/>
    <n v="1.583854272"/>
    <n v="5.9869691481599992E-2"/>
  </r>
  <r>
    <s v="Kvæg"/>
    <n v="1203"/>
    <s v="1 årsopdræt (kvier/stude 6 mdr. - kælvning (27 mdr)/slagtning, tung race)"/>
    <x v="3"/>
    <s v="Bindestald med riste"/>
    <x v="1"/>
    <n v="120302"/>
    <n v="121505"/>
    <n v="0"/>
    <s v="Kvæggylle"/>
    <m/>
    <n v="7.22"/>
    <n v="0.123"/>
    <n v="0"/>
    <m/>
    <n v="0"/>
    <m/>
    <n v="132"/>
    <n v="181"/>
    <n v="453.51886027397262"/>
    <n v="256.92913972602742"/>
    <n v="12.5"/>
    <n v="0.18"/>
    <n v="10.7100036"/>
    <n v="0"/>
  </r>
  <r>
    <s v="Kvæg"/>
    <n v="1203"/>
    <s v="1 årsopdræt (kvier/stude 6 mdr. - kælvning (27 mdr)/slagtning, tung race)"/>
    <x v="3"/>
    <s v="Sengestald med fast gulv"/>
    <x v="2"/>
    <n v="120303"/>
    <n v="121506"/>
    <n v="0"/>
    <s v="Kvæggylle"/>
    <m/>
    <n v="6.44"/>
    <n v="0.123"/>
    <n v="0"/>
    <m/>
    <n v="0"/>
    <m/>
    <n v="132"/>
    <n v="181"/>
    <n v="404.52374794520551"/>
    <n v="229.17225205479454"/>
    <n v="12.5"/>
    <n v="0.18"/>
    <n v="9.5529672000000012"/>
    <n v="0"/>
  </r>
  <r>
    <s v="Kvæg"/>
    <n v="1203"/>
    <s v="1 årsopdræt (kvier/stude 6 mdr. - kælvning (27 mdr)/slagtning, tung race)"/>
    <x v="3"/>
    <s v="Sengestald med spaltegulv (kanal, linespil)"/>
    <x v="2"/>
    <n v="120304"/>
    <n v="121507"/>
    <n v="0"/>
    <s v="Kvæggylle"/>
    <m/>
    <n v="6.44"/>
    <n v="0.123"/>
    <n v="0"/>
    <m/>
    <n v="0"/>
    <m/>
    <n v="132"/>
    <n v="181"/>
    <n v="404.52374794520551"/>
    <n v="229.17225205479454"/>
    <n v="12.5"/>
    <n v="0.18"/>
    <n v="9.5529672000000012"/>
    <n v="0"/>
  </r>
  <r>
    <s v="Kvæg"/>
    <n v="1203"/>
    <s v="1 årsopdræt (kvier/stude 6 mdr. - kælvning (27 mdr)/slagtning, tung race)"/>
    <x v="3"/>
    <s v="Sengestald med spaltegulv (kanal, bagskyl eller ri"/>
    <x v="2"/>
    <n v="120305"/>
    <n v="121508"/>
    <n v="0"/>
    <s v="Kvæggylle"/>
    <m/>
    <n v="6.44"/>
    <n v="0.123"/>
    <n v="0"/>
    <m/>
    <n v="0"/>
    <m/>
    <n v="132"/>
    <n v="181"/>
    <n v="404.52374794520551"/>
    <n v="229.17225205479454"/>
    <n v="12.5"/>
    <n v="0.18"/>
    <n v="9.5529672000000012"/>
    <n v="0"/>
  </r>
  <r>
    <s v="Kvæg"/>
    <n v="1203"/>
    <s v="1 årsopdræt (kvier/stude 6 mdr. - kælvning (27 mdr)/slagtning, tung race)"/>
    <x v="3"/>
    <s v="Dybstrøelse, hele arealet"/>
    <x v="3"/>
    <n v="120306"/>
    <n v="121509"/>
    <n v="356.1"/>
    <m/>
    <s v="Dybstrøelse"/>
    <m/>
    <m/>
    <n v="0"/>
    <n v="5.52"/>
    <n v="1965.672"/>
    <n v="0.3"/>
    <n v="132"/>
    <n v="181"/>
    <n v="1056.6421052054795"/>
    <n v="479.10575342465756"/>
    <n v="17"/>
    <n v="0.18"/>
    <n v="31.485902597635068"/>
    <n v="11.212129915017849"/>
  </r>
  <r>
    <s v="Kvæg"/>
    <n v="1203"/>
    <s v="1 årsopdræt (kvier/stude 6 mdr. - kælvning (27 mdr)/slagtning, tung race)"/>
    <x v="3"/>
    <s v="Dybstrøelse + kort ædeplads med fast gulv"/>
    <x v="3"/>
    <n v="120307"/>
    <n v="121510"/>
    <n v="103.66"/>
    <m/>
    <s v="Dybstrøelse"/>
    <m/>
    <m/>
    <n v="0"/>
    <n v="4.88"/>
    <n v="505.86079999999998"/>
    <n v="0.3"/>
    <n v="132"/>
    <n v="181"/>
    <n v="934.13287561643835"/>
    <n v="423.55726027397259"/>
    <n v="17"/>
    <n v="0.18"/>
    <n v="27.835363166025203"/>
    <n v="2.8854137457901725"/>
  </r>
  <r>
    <s v="Kvæg"/>
    <n v="1203"/>
    <s v="1 årsopdræt (kvier/stude 6 mdr. - kælvning (27 mdr)/slagtning, tung race)"/>
    <x v="3"/>
    <s v="Dybstrøelse, lang ædeplads med fast gulv"/>
    <x v="3"/>
    <n v="120308"/>
    <n v="121511"/>
    <n v="0"/>
    <s v="Kvæggylle"/>
    <m/>
    <n v="2.65"/>
    <n v="0.11"/>
    <n v="0"/>
    <m/>
    <n v="0"/>
    <m/>
    <n v="132"/>
    <n v="181"/>
    <n v="148.86465753424656"/>
    <n v="84.335342465753428"/>
    <n v="12.5"/>
    <n v="0.18"/>
    <n v="3.5154899999999998"/>
    <n v="0"/>
  </r>
  <r>
    <s v="Kvæg"/>
    <n v="1203"/>
    <s v="1 årsopdræt (kvier/stude 6 mdr. - kælvning (27 mdr)/slagtning, tung race)"/>
    <x v="3"/>
    <s v="Dybstrøelse, lang ædeplads med spalter (kanal, lin"/>
    <x v="3"/>
    <n v="120309"/>
    <n v="121512"/>
    <n v="0"/>
    <s v="Kvæggylle"/>
    <m/>
    <n v="2.65"/>
    <n v="0.11"/>
    <n v="0"/>
    <m/>
    <n v="0"/>
    <m/>
    <n v="132"/>
    <n v="181"/>
    <n v="148.86465753424656"/>
    <n v="84.335342465753428"/>
    <n v="12.5"/>
    <n v="0.18"/>
    <n v="3.5154899999999998"/>
    <n v="0"/>
  </r>
  <r>
    <s v="Kvæg"/>
    <n v="1203"/>
    <s v="1 årsopdræt (kvier/stude 6 mdr. - kælvning (27 mdr)/slagtning, tung race)"/>
    <x v="3"/>
    <s v="Dybstrøelse, lang ædeplads med spalter (kanal, bag"/>
    <x v="3"/>
    <n v="120310"/>
    <n v="121513"/>
    <n v="0"/>
    <s v="Kvæggylle"/>
    <m/>
    <n v="2.65"/>
    <n v="0.11"/>
    <n v="0"/>
    <m/>
    <n v="0"/>
    <m/>
    <n v="132"/>
    <n v="181"/>
    <n v="148.86465753424656"/>
    <n v="84.335342465753428"/>
    <n v="12.5"/>
    <n v="0.18"/>
    <n v="3.5154899999999998"/>
    <n v="0"/>
  </r>
  <r>
    <s v="Kvæg"/>
    <n v="1203"/>
    <s v="1 årsopdræt (kvier/stude 6 mdr. - kælvning (27 mdr)/slagtning, tung race)"/>
    <x v="3"/>
    <s v="Spaltegulvbokse"/>
    <x v="4"/>
    <n v="120312"/>
    <n v="121515"/>
    <n v="0"/>
    <s v="Kvæggylle"/>
    <m/>
    <n v="7.28"/>
    <n v="0.1"/>
    <n v="0"/>
    <m/>
    <n v="0"/>
    <m/>
    <n v="132"/>
    <n v="181"/>
    <n v="371.77863013698635"/>
    <n v="210.62136986301374"/>
    <n v="12.5"/>
    <n v="0.18"/>
    <n v="8.7796800000000008"/>
    <n v="0"/>
  </r>
  <r>
    <s v="Kvæg"/>
    <n v="1203"/>
    <s v="1 årsopdræt (kvier/stude 6 mdr. - kælvning (27 mdr)/slagtning, tung race)"/>
    <x v="3"/>
    <s v="Sengestald, fast drænet gulv med skraber og ajleaf"/>
    <x v="2"/>
    <n v="120316"/>
    <n v="121519"/>
    <n v="0"/>
    <s v="Kvæggylle"/>
    <m/>
    <n v="6.44"/>
    <n v="0.123"/>
    <n v="0"/>
    <m/>
    <n v="0"/>
    <m/>
    <n v="132"/>
    <n v="181"/>
    <n v="404.52374794520551"/>
    <n v="229.17225205479454"/>
    <n v="12.5"/>
    <n v="0.24"/>
    <n v="12.7372896"/>
    <n v="0"/>
  </r>
  <r>
    <s v="Kvæg"/>
    <n v="1204"/>
    <s v="1 stk. slagtekalv, 0-6 mdr., tung race."/>
    <x v="4"/>
    <s v="Dybstrøelse (hele arealet)"/>
    <x v="3"/>
    <n v="120401"/>
    <n v="121605"/>
    <n v="485"/>
    <m/>
    <s v="Dybstrøelse"/>
    <m/>
    <m/>
    <n v="0"/>
    <n v="1.89"/>
    <n v="916.65"/>
    <n v="0.3"/>
    <n v="18"/>
    <n v="224"/>
    <n v="538.7957889041096"/>
    <n v="22.369315068493151"/>
    <n v="17"/>
    <n v="0.18"/>
    <n v="11.505006961646304"/>
    <n v="5.579928376398458"/>
  </r>
  <r>
    <s v="Kvæg"/>
    <n v="1204"/>
    <s v="1 stk. slagtekalv, 0-6 mdr., tung race."/>
    <x v="4"/>
    <s v="Dybstrøelse + kort ædeplads med fast gulv"/>
    <x v="3"/>
    <n v="120402"/>
    <n v="121606"/>
    <n v="0"/>
    <m/>
    <s v="Dybstrøelse"/>
    <m/>
    <m/>
    <n v="0"/>
    <n v="1.89"/>
    <n v="0"/>
    <n v="0.3"/>
    <n v="18"/>
    <n v="224"/>
    <n v="538.7957889041096"/>
    <n v="22.369315068493151"/>
    <n v="3"/>
    <n v="0.18"/>
    <n v="2.0302953461728772"/>
    <n v="0"/>
  </r>
  <r>
    <s v="Kvæg"/>
    <n v="1205"/>
    <s v="1 stk. slagtekalve, 6 mdr. - slagtning (440 kg), tung race."/>
    <x v="5"/>
    <s v="Bindestald med grebning"/>
    <x v="1"/>
    <n v="120501"/>
    <n v="121706"/>
    <n v="5.1100000000000003"/>
    <s v="Fast gødning"/>
    <m/>
    <n v="1.92"/>
    <n v="0.20599999999999999"/>
    <n v="9.8111999999999995"/>
    <m/>
    <n v="0"/>
    <m/>
    <n v="18"/>
    <n v="181"/>
    <n v="300.81192328767116"/>
    <n v="15.604076712328764"/>
    <n v="2"/>
    <n v="0.18"/>
    <n v="0.76319539199999986"/>
    <n v="3.8999284531199994E-3"/>
  </r>
  <r>
    <s v="Kvæg"/>
    <n v="1205"/>
    <s v="1 stk. slagtekalve, 6 mdr. - slagtning (440 kg), tung race."/>
    <x v="5"/>
    <s v="Bindestald med riste"/>
    <x v="1"/>
    <n v="120502"/>
    <n v="121707"/>
    <n v="0"/>
    <s v="Kvæggylle"/>
    <m/>
    <n v="3.31"/>
    <n v="0.128"/>
    <n v="0"/>
    <m/>
    <n v="0"/>
    <m/>
    <n v="18"/>
    <n v="181"/>
    <n v="322.22895342465756"/>
    <n v="16.715046575342466"/>
    <n v="12.5"/>
    <n v="0.18"/>
    <n v="5.1095808000000007"/>
    <n v="0"/>
  </r>
  <r>
    <s v="Kvæg"/>
    <n v="1205"/>
    <s v="1 stk. slagtekalve, 6 mdr. - slagtning (440 kg), tung race."/>
    <x v="5"/>
    <s v="Dybstrøelse, hele arealet"/>
    <x v="3"/>
    <n v="120503"/>
    <n v="121708"/>
    <n v="376.81"/>
    <m/>
    <s v="Dybstrøelse"/>
    <m/>
    <m/>
    <n v="0"/>
    <n v="2.5299999999999998"/>
    <n v="953.32929999999988"/>
    <n v="0.3"/>
    <n v="18"/>
    <n v="181"/>
    <n v="721.24515657534243"/>
    <n v="29.944109589041098"/>
    <n v="17"/>
    <n v="0.18"/>
    <n v="15.400882334902189"/>
    <n v="5.8032064726144936"/>
  </r>
  <r>
    <s v="Kvæg"/>
    <n v="1205"/>
    <s v="1 stk. slagtekalve, 6 mdr. - slagtning (440 kg), tung race."/>
    <x v="5"/>
    <s v="Dybstrøelse + kort ædeplads med fast gulv"/>
    <x v="3"/>
    <n v="120504"/>
    <n v="121709"/>
    <n v="139.69"/>
    <m/>
    <s v="Dybstrøelse"/>
    <m/>
    <m/>
    <n v="0"/>
    <n v="2.2400000000000002"/>
    <n v="312.90560000000005"/>
    <n v="0.3"/>
    <n v="18"/>
    <n v="181"/>
    <n v="638.57278684931498"/>
    <n v="26.511780821917803"/>
    <n v="3"/>
    <n v="0.18"/>
    <n v="2.4062759658345203"/>
    <n v="0.33613268966742416"/>
  </r>
  <r>
    <s v="Kvæg"/>
    <n v="1205"/>
    <s v="1 stk. slagtekalve, 6 mdr. - slagtning (440 kg), tung race."/>
    <x v="5"/>
    <s v="Dybstrøelse, lang ædeplads med fast gulv"/>
    <x v="3"/>
    <n v="120505"/>
    <n v="121710"/>
    <n v="0"/>
    <s v="Kvæggylle"/>
    <m/>
    <n v="1.36"/>
    <n v="8.8999999999999996E-2"/>
    <n v="0"/>
    <m/>
    <n v="0"/>
    <m/>
    <n v="18"/>
    <n v="181"/>
    <n v="92.056723287671218"/>
    <n v="4.7752767123287665"/>
    <n v="12.5"/>
    <n v="0.18"/>
    <n v="1.4597423999999997"/>
    <n v="0"/>
  </r>
  <r>
    <s v="Kvæg"/>
    <n v="1205"/>
    <s v="1 stk. slagtekalve, 6 mdr. - slagtning (440 kg), tung race."/>
    <x v="5"/>
    <s v="Dybstrøelse, lang ædeplads med spalter (kanal, lin"/>
    <x v="3"/>
    <n v="120506"/>
    <n v="121711"/>
    <n v="0"/>
    <s v="Kvæggylle"/>
    <m/>
    <n v="1.36"/>
    <n v="8.8999999999999996E-2"/>
    <n v="0"/>
    <m/>
    <n v="0"/>
    <m/>
    <n v="18"/>
    <n v="181"/>
    <n v="92.056723287671218"/>
    <n v="4.7752767123287665"/>
    <n v="12.5"/>
    <n v="0.18"/>
    <n v="1.4597423999999997"/>
    <n v="0"/>
  </r>
  <r>
    <s v="Kvæg"/>
    <n v="1205"/>
    <s v="1 stk. slagtekalve, 6 mdr. - slagtning (440 kg), tung race."/>
    <x v="5"/>
    <s v="Dybstrøelse, lang ædeplads med spalter (kanal, bag"/>
    <x v="3"/>
    <n v="120507"/>
    <n v="121712"/>
    <n v="0"/>
    <s v="Kvæggylle"/>
    <m/>
    <n v="1.36"/>
    <n v="8.8999999999999996E-2"/>
    <n v="0"/>
    <m/>
    <n v="0"/>
    <m/>
    <n v="18"/>
    <n v="181"/>
    <n v="92.056723287671218"/>
    <n v="4.7752767123287665"/>
    <n v="12.5"/>
    <n v="0.18"/>
    <n v="1.4597423999999997"/>
    <n v="0"/>
  </r>
  <r>
    <s v="Kvæg"/>
    <n v="1205"/>
    <s v="1 stk. slagtekalve, 6 mdr. - slagtning (440 kg), tung race."/>
    <x v="5"/>
    <s v="Spaltegulvbokse"/>
    <x v="4"/>
    <n v="120509"/>
    <n v="121714"/>
    <n v="0"/>
    <s v="Kvæggylle"/>
    <m/>
    <n v="3"/>
    <n v="0.10100000000000001"/>
    <n v="0"/>
    <m/>
    <n v="0"/>
    <m/>
    <n v="18"/>
    <n v="181"/>
    <n v="230.44602739726034"/>
    <n v="11.953972602739729"/>
    <n v="12.5"/>
    <n v="0.18"/>
    <n v="3.6541800000000015"/>
    <n v="0"/>
  </r>
  <r>
    <s v="Kvæg"/>
    <n v="1205"/>
    <s v="1 stk. slagtekalve, 6 mdr. - slagtning (440 kg), tung race."/>
    <x v="5"/>
    <s v="Sengestald med fast gulv"/>
    <x v="2"/>
    <n v="120510"/>
    <n v="121715"/>
    <n v="0"/>
    <s v="Kvæggylle"/>
    <m/>
    <n v="2.85"/>
    <n v="0.123"/>
    <n v="0"/>
    <m/>
    <n v="0"/>
    <m/>
    <n v="18"/>
    <n v="181"/>
    <n v="266.6100821917808"/>
    <n v="13.829917808219179"/>
    <n v="12.5"/>
    <n v="0.18"/>
    <n v="4.2276329999999991"/>
    <n v="0"/>
  </r>
  <r>
    <s v="Kvæg"/>
    <n v="1205"/>
    <s v="1 stk. slagtekalve, 6 mdr. - slagtning (440 kg), tung race."/>
    <x v="5"/>
    <s v="Sengestald med spalter (kanal, linespil)"/>
    <x v="2"/>
    <n v="120511"/>
    <n v="121716"/>
    <n v="0"/>
    <s v="Kvæggylle"/>
    <m/>
    <n v="2.85"/>
    <n v="0.123"/>
    <n v="0"/>
    <m/>
    <n v="0"/>
    <m/>
    <n v="18"/>
    <n v="181"/>
    <n v="266.6100821917808"/>
    <n v="13.829917808219179"/>
    <n v="12.5"/>
    <n v="0.18"/>
    <n v="4.2276329999999991"/>
    <n v="0"/>
  </r>
  <r>
    <s v="Kvæg"/>
    <n v="1205"/>
    <s v="1 stk. slagtekalve, 6 mdr. - slagtning (440 kg), tung race."/>
    <x v="5"/>
    <s v="Sengestald med spalter (kanal, bagskyl eller ringk"/>
    <x v="2"/>
    <n v="120512"/>
    <n v="121717"/>
    <n v="0"/>
    <s v="Kvæggylle"/>
    <m/>
    <n v="2.85"/>
    <n v="0.123"/>
    <n v="0"/>
    <m/>
    <n v="0"/>
    <m/>
    <n v="18"/>
    <n v="181"/>
    <n v="266.6100821917808"/>
    <n v="13.829917808219179"/>
    <n v="12.5"/>
    <n v="0.18"/>
    <n v="4.2276329999999991"/>
    <n v="0"/>
  </r>
  <r>
    <s v="Kvæg"/>
    <n v="1205"/>
    <s v="1 stk. slagtekalve, 6 mdr. - slagtning (440 kg), tung race."/>
    <x v="5"/>
    <s v="Sengestald, fast drænet gulv med skraber og ajleaf"/>
    <x v="2"/>
    <n v="120519"/>
    <n v="121724"/>
    <n v="0"/>
    <s v="Kvæggylle"/>
    <m/>
    <n v="2.85"/>
    <n v="0.123"/>
    <n v="0"/>
    <m/>
    <n v="0"/>
    <m/>
    <n v="18"/>
    <n v="181"/>
    <n v="266.6100821917808"/>
    <n v="13.829917808219179"/>
    <n v="12.5"/>
    <n v="0.18"/>
    <n v="4.2276329999999991"/>
    <n v="0"/>
  </r>
  <r>
    <s v="Kvæg"/>
    <n v="1206"/>
    <s v="1 avlstyr (1 årsdyr), tung race, over 440 kg"/>
    <x v="6"/>
    <s v="Bindestald med grebning"/>
    <x v="1"/>
    <n v="120601"/>
    <n v="121807"/>
    <n v="0"/>
    <s v="Fast gødning"/>
    <m/>
    <n v="4.51"/>
    <n v="0.182"/>
    <n v="0"/>
    <m/>
    <n v="0"/>
    <m/>
    <n v="18"/>
    <n v="181"/>
    <n v="624.27296438356166"/>
    <n v="32.383035616438356"/>
    <n v="2"/>
    <n v="0.18"/>
    <n v="1.5838542720000002"/>
    <n v="0"/>
  </r>
  <r>
    <s v="Kvæg"/>
    <n v="1206"/>
    <s v="1 avlstyr (1 årsdyr), tung race, over 440 kg"/>
    <x v="6"/>
    <s v="Bindestald med riste"/>
    <x v="1"/>
    <n v="120602"/>
    <n v="121808"/>
    <n v="0"/>
    <s v="Kvæggylle"/>
    <m/>
    <n v="7.22"/>
    <n v="0.12300000000000001"/>
    <n v="0"/>
    <m/>
    <n v="0"/>
    <m/>
    <n v="18"/>
    <n v="181"/>
    <n v="675.41220821917807"/>
    <n v="35.035791780821917"/>
    <n v="12.5"/>
    <n v="0.18"/>
    <n v="10.710003600000002"/>
    <n v="0"/>
  </r>
  <r>
    <s v="Kvæg"/>
    <n v="1206"/>
    <s v="1 avlstyr (1 årsdyr), tung race, over 440 kg"/>
    <x v="6"/>
    <s v="Dybstrøelse, hele arealet"/>
    <x v="3"/>
    <n v="120603"/>
    <n v="121809"/>
    <n v="9.8699999999999992"/>
    <m/>
    <s v="Dybstrøelse"/>
    <m/>
    <m/>
    <n v="0"/>
    <n v="5.52"/>
    <n v="54.482399999999991"/>
    <n v="0.3"/>
    <n v="18"/>
    <n v="181"/>
    <n v="1573.6257961643835"/>
    <n v="0"/>
    <n v="17"/>
    <n v="0.18"/>
    <n v="32.262476072962187"/>
    <n v="0.31843063884013673"/>
  </r>
  <r>
    <s v="Kvæg"/>
    <n v="1206"/>
    <s v="1 avlstyr (1 årsdyr), tung race, over 440 kg"/>
    <x v="6"/>
    <s v="Dybstrøelse + kort ædeplads med fast gulv"/>
    <x v="3"/>
    <n v="120604"/>
    <n v="121810"/>
    <n v="0"/>
    <m/>
    <s v="Dybstrøelse"/>
    <m/>
    <m/>
    <n v="0"/>
    <n v="4.88"/>
    <n v="0"/>
    <n v="0.3"/>
    <n v="18"/>
    <n v="181"/>
    <n v="1391.1764284931508"/>
    <n v="0"/>
    <n v="17"/>
    <n v="0.18"/>
    <n v="28.521899136966582"/>
    <n v="0"/>
  </r>
  <r>
    <s v="Kvæg"/>
    <n v="1206"/>
    <s v="1 avlstyr (1 årsdyr), tung race, over 440 kg"/>
    <x v="6"/>
    <s v="Dybstrøelse, lang ædeplads med fast gulv"/>
    <x v="3"/>
    <n v="120605"/>
    <n v="121811"/>
    <n v="0"/>
    <s v="Kvæggylle"/>
    <m/>
    <n v="2.65"/>
    <n v="0.11"/>
    <n v="0"/>
    <m/>
    <n v="0"/>
    <m/>
    <n v="18"/>
    <n v="181"/>
    <n v="221.69972602739728"/>
    <n v="11.50027397260274"/>
    <n v="12.5"/>
    <n v="0.18"/>
    <n v="3.5154900000000002"/>
    <n v="0"/>
  </r>
  <r>
    <s v="Kvæg"/>
    <n v="1206"/>
    <s v="1 avlstyr (1 årsdyr), tung race, over 440 kg"/>
    <x v="6"/>
    <s v="Dybstrøelse, lang ædepladsmedspalter (kanal, bag"/>
    <x v="3"/>
    <n v="120606"/>
    <n v="121812"/>
    <n v="0"/>
    <s v="Kvæggylle"/>
    <m/>
    <n v="2.65"/>
    <n v="0.11"/>
    <n v="0"/>
    <m/>
    <n v="0"/>
    <m/>
    <n v="18"/>
    <n v="181"/>
    <n v="221.69972602739728"/>
    <n v="11.50027397260274"/>
    <n v="12.5"/>
    <n v="0.18"/>
    <n v="3.5154900000000002"/>
    <n v="0"/>
  </r>
  <r>
    <s v="Kvæg"/>
    <n v="1206"/>
    <s v="1 avlstyr (1 årsdyr), tung race, over 440 kg"/>
    <x v="6"/>
    <s v="Dybstrøelse, lang ædeplads med spalter (kanal, lin"/>
    <x v="3"/>
    <n v="120607"/>
    <n v="121813"/>
    <n v="0"/>
    <s v="Kvæggylle"/>
    <m/>
    <n v="2.65"/>
    <n v="0.11"/>
    <n v="0"/>
    <m/>
    <n v="0"/>
    <m/>
    <n v="18"/>
    <n v="181"/>
    <n v="221.69972602739728"/>
    <n v="11.50027397260274"/>
    <n v="12.5"/>
    <n v="0.18"/>
    <n v="3.5154900000000002"/>
    <n v="0"/>
  </r>
  <r>
    <s v="Kvæg"/>
    <n v="1206"/>
    <s v="1 avlstyr (1årsdyr), tung race, over 440 kg"/>
    <x v="6"/>
    <s v="Sengestald, fast drænet gulv med skraber og ajleaf"/>
    <x v="2"/>
    <n v="120609"/>
    <n v="121815"/>
    <n v="0"/>
    <s v="Kvæggylle"/>
    <m/>
    <n v="6.44"/>
    <n v="0.12300000000000001"/>
    <n v="0"/>
    <m/>
    <n v="0"/>
    <m/>
    <n v="18"/>
    <n v="181"/>
    <n v="602.4452383561644"/>
    <n v="31.250761643835617"/>
    <n v="12.5"/>
    <n v="0.18"/>
    <n v="9.5529671999999994"/>
    <n v="0"/>
  </r>
  <r>
    <s v="Kvæg"/>
    <n v="1206"/>
    <s v="1 avlstyr (1 årsdyr), tung race, over 440 kg"/>
    <x v="6"/>
    <s v="Sengestald med fast gulv"/>
    <x v="2"/>
    <n v="120610"/>
    <n v="121816"/>
    <n v="0"/>
    <s v="Kvæggylle"/>
    <m/>
    <n v="6.44"/>
    <n v="0.12300000000000001"/>
    <n v="0"/>
    <m/>
    <n v="0"/>
    <m/>
    <n v="18"/>
    <n v="181"/>
    <n v="602.4452383561644"/>
    <n v="31.250761643835617"/>
    <n v="12.5"/>
    <n v="0.18"/>
    <n v="9.5529671999999994"/>
    <n v="0"/>
  </r>
  <r>
    <s v="Kvæg"/>
    <n v="1206"/>
    <s v="1 avlstyr (1 årsdyr), tung race, over 440 kg"/>
    <x v="6"/>
    <s v="Sengestald med spaltegulv (kanal, linespil)"/>
    <x v="2"/>
    <n v="120611"/>
    <n v="121817"/>
    <n v="0"/>
    <s v="Kvæggylle"/>
    <m/>
    <n v="6.44"/>
    <n v="0.12300000000000001"/>
    <n v="0"/>
    <m/>
    <n v="0"/>
    <m/>
    <n v="18"/>
    <n v="181"/>
    <n v="602.4452383561644"/>
    <n v="31.250761643835617"/>
    <n v="12.5"/>
    <n v="0.18"/>
    <n v="9.5529671999999994"/>
    <n v="0"/>
  </r>
  <r>
    <s v="Kvæg"/>
    <n v="1206"/>
    <s v="1 avlstyr (1 årsdyr), tung race, over 440 kg"/>
    <x v="6"/>
    <s v="Sengestald med spaltegulv (kanal, bagskyl eller ri"/>
    <x v="2"/>
    <n v="120612"/>
    <n v="121818"/>
    <n v="0"/>
    <s v="Kvæggylle"/>
    <m/>
    <n v="6.44"/>
    <n v="0.12300000000000001"/>
    <n v="0"/>
    <m/>
    <n v="0"/>
    <m/>
    <n v="18"/>
    <n v="181"/>
    <n v="602.4452383561644"/>
    <n v="31.250761643835617"/>
    <n v="12.5"/>
    <n v="0.18"/>
    <n v="9.5529671999999994"/>
    <n v="0"/>
  </r>
  <r>
    <s v="Kvæg"/>
    <n v="1206"/>
    <s v="1 avlstyr (1 årsdyr), tung race, over 440 kg"/>
    <x v="6"/>
    <s v="Spaltegulvbokse"/>
    <x v="4"/>
    <n v="120619"/>
    <n v="121825"/>
    <n v="0"/>
    <s v="Kvæggylle"/>
    <m/>
    <n v="7.28"/>
    <n v="0.1"/>
    <n v="0"/>
    <m/>
    <n v="0"/>
    <m/>
    <n v="18"/>
    <n v="181"/>
    <n v="553.6789041095891"/>
    <n v="28.721095890410965"/>
    <n v="12.5"/>
    <n v="0.18"/>
    <n v="8.7796800000000008"/>
    <n v="0"/>
  </r>
  <r>
    <s v="Kvæg"/>
    <n v="1231"/>
    <s v="1 årsko uden opdræt, malkekvæg, Jersey"/>
    <x v="1"/>
    <s v="Bindestald med grebning"/>
    <x v="1"/>
    <n v="123101"/>
    <n v="124332"/>
    <n v="0"/>
    <s v="Fast gødning"/>
    <m/>
    <n v="9.9"/>
    <n v="0.2"/>
    <n v="0"/>
    <m/>
    <n v="0"/>
    <m/>
    <n v="18"/>
    <n v="181"/>
    <n v="1505.8849315068494"/>
    <n v="78.115068493150702"/>
    <n v="2"/>
    <n v="0.24"/>
    <n v="5.094144"/>
    <n v="0"/>
  </r>
  <r>
    <s v="Kvæg"/>
    <n v="1231"/>
    <s v="1 årsko uden opdræt, malkekvæg, Jersey"/>
    <x v="1"/>
    <s v="Bindestald med riste"/>
    <x v="1"/>
    <n v="123102"/>
    <n v="124333"/>
    <n v="0"/>
    <s v="Kvæggylle"/>
    <m/>
    <n v="26.29"/>
    <n v="8.6999999999999994E-2"/>
    <n v="0"/>
    <m/>
    <n v="0"/>
    <m/>
    <n v="18"/>
    <n v="181"/>
    <n v="1739.5480767123286"/>
    <n v="90.235923287671227"/>
    <n v="12.5"/>
    <n v="0.24"/>
    <n v="36.778658399999991"/>
    <n v="0"/>
  </r>
  <r>
    <s v="Kvæg"/>
    <n v="1231"/>
    <s v="1 årsko uden opdræt, malkekvæg, Jersey"/>
    <x v="1"/>
    <s v="Sengestald med fast gulv"/>
    <x v="2"/>
    <n v="123103"/>
    <n v="124334"/>
    <n v="0"/>
    <s v="Kvæggylle"/>
    <m/>
    <n v="26.14"/>
    <n v="8.6999999999999994E-2"/>
    <n v="0"/>
    <m/>
    <n v="0"/>
    <m/>
    <n v="18"/>
    <n v="181"/>
    <n v="1729.6229260273974"/>
    <n v="89.721073972602738"/>
    <n v="12.5"/>
    <n v="0.24"/>
    <n v="36.568814400000008"/>
    <n v="0"/>
  </r>
  <r>
    <s v="Kvæg"/>
    <n v="1231"/>
    <s v="1 årsko uden opdræt, malkekvæg, Jersey"/>
    <x v="1"/>
    <s v="Sengestald med spalter (kanal, linespil)"/>
    <x v="2"/>
    <n v="123104"/>
    <n v="124335"/>
    <n v="0"/>
    <s v="Kvæggylle"/>
    <m/>
    <n v="24.16"/>
    <n v="0.08"/>
    <n v="0"/>
    <m/>
    <n v="0"/>
    <m/>
    <n v="18"/>
    <n v="181"/>
    <n v="1469.9870684931507"/>
    <n v="76.252931506849308"/>
    <n v="12.5"/>
    <n v="0.24"/>
    <n v="31.079423999999999"/>
    <n v="0"/>
  </r>
  <r>
    <s v="Kvæg"/>
    <n v="1231"/>
    <s v="1 årsko uden opdræt, malkekvæg, Jersey"/>
    <x v="1"/>
    <s v="Sengestald med spalter (kanal, bagskyl eller ringk"/>
    <x v="2"/>
    <n v="123105"/>
    <n v="124336"/>
    <n v="0"/>
    <s v="Kvæggylle"/>
    <m/>
    <n v="26.14"/>
    <n v="0.08"/>
    <n v="0"/>
    <m/>
    <n v="0"/>
    <m/>
    <n v="18"/>
    <n v="181"/>
    <n v="1590.4578630136987"/>
    <n v="82.502136986301366"/>
    <n v="12.5"/>
    <n v="0.24"/>
    <n v="33.626495999999996"/>
    <n v="0"/>
  </r>
  <r>
    <s v="Kvæg"/>
    <n v="1231"/>
    <s v="1 årsko uden opdræt, malkekvæg, Jersey"/>
    <x v="1"/>
    <s v="Dybstrøelse (hele arealet)"/>
    <x v="3"/>
    <n v="123106"/>
    <n v="124337"/>
    <n v="0"/>
    <m/>
    <s v="Dybstrøelse"/>
    <m/>
    <m/>
    <n v="0"/>
    <n v="13.42"/>
    <n v="0"/>
    <n v="0.3"/>
    <n v="132"/>
    <n v="181"/>
    <n v="2568.8654079452058"/>
    <n v="1164.7824657534247"/>
    <n v="17"/>
    <n v="0.24"/>
    <n v="102.06299827542576"/>
    <n v="0"/>
  </r>
  <r>
    <s v="Kvæg"/>
    <n v="1231"/>
    <s v="1 årsko uden opdræt, malkekvæg, Jersey"/>
    <x v="1"/>
    <s v="Dybstrøelse, lang ædeplads med fast gulv"/>
    <x v="3"/>
    <n v="123107"/>
    <n v="124338"/>
    <n v="0"/>
    <s v="Kvæggylle"/>
    <m/>
    <n v="11.55"/>
    <n v="6.9000000000000006E-2"/>
    <n v="0"/>
    <m/>
    <n v="0"/>
    <m/>
    <n v="18"/>
    <n v="181"/>
    <n v="606.11868493150689"/>
    <n v="31.441315068493154"/>
    <n v="12.5"/>
    <n v="0.24"/>
    <n v="12.814956000000002"/>
    <n v="0"/>
  </r>
  <r>
    <s v="Kvæg"/>
    <n v="1231"/>
    <s v="1 årsko uden opdræt, malkekvæg, Jersey"/>
    <x v="1"/>
    <s v="Dybstrøelse, lang ædeplads med spalter (kanal, lin"/>
    <x v="3"/>
    <n v="123108"/>
    <n v="124339"/>
    <n v="0"/>
    <s v="Kvæggylle"/>
    <m/>
    <n v="11.55"/>
    <n v="6.9000000000000006E-2"/>
    <n v="0"/>
    <m/>
    <n v="0"/>
    <m/>
    <n v="18"/>
    <n v="181"/>
    <n v="606.11868493150689"/>
    <n v="31.441315068493154"/>
    <n v="12.5"/>
    <n v="0.24"/>
    <n v="12.814956000000002"/>
    <n v="0"/>
  </r>
  <r>
    <s v="Kvæg"/>
    <n v="1231"/>
    <s v="1 årsko uden opdræt, malkekvæg, Jersey"/>
    <x v="1"/>
    <s v="Dybstrøelse, lang ædeplads med spalter (kanal, bag"/>
    <x v="3"/>
    <n v="123109"/>
    <n v="124340"/>
    <n v="0"/>
    <s v="Kvæggylle"/>
    <m/>
    <n v="11.55"/>
    <n v="6.9000000000000006E-2"/>
    <n v="0"/>
    <m/>
    <n v="0"/>
    <m/>
    <n v="18"/>
    <n v="181"/>
    <n v="606.11868493150689"/>
    <n v="31.441315068493154"/>
    <n v="12.5"/>
    <n v="0.24"/>
    <n v="12.814956000000002"/>
    <n v="0"/>
  </r>
  <r>
    <s v="Kvæg"/>
    <n v="1231"/>
    <s v="1 årsko uden opdræt, malkekvæg, Jersey"/>
    <x v="1"/>
    <s v="Sengestald, fast drænet gulv med skraber og ajleaf"/>
    <x v="2"/>
    <n v="123114"/>
    <n v="124345"/>
    <n v="0"/>
    <s v="Kvæggylle"/>
    <m/>
    <n v="24.14"/>
    <n v="0.08"/>
    <n v="0"/>
    <m/>
    <n v="0"/>
    <m/>
    <n v="18"/>
    <n v="181"/>
    <n v="1468.770191780822"/>
    <n v="76.18980821917809"/>
    <n v="12.5"/>
    <n v="0.24"/>
    <n v="31.053695999999999"/>
    <n v="0"/>
  </r>
  <r>
    <s v="Kvæg"/>
    <n v="1232"/>
    <s v="1 årsopdræt (småkalv 0-6 mdr., Jersey)"/>
    <x v="2"/>
    <s v="Dybstrøelse (hele arealet)"/>
    <x v="3"/>
    <n v="123201"/>
    <n v="124433"/>
    <n v="5.97"/>
    <m/>
    <s v="Dybstrøelse"/>
    <m/>
    <m/>
    <n v="0"/>
    <n v="1.48"/>
    <n v="8.8355999999999995"/>
    <n v="0.3"/>
    <n v="224"/>
    <n v="224"/>
    <n v="171.44062520547948"/>
    <n v="217.98575342465756"/>
    <n v="17"/>
    <n v="0.18"/>
    <n v="7.9840196146750699"/>
    <n v="4.7664597099610163E-2"/>
  </r>
  <r>
    <s v="Kvæg"/>
    <n v="1232"/>
    <s v="1 årsopdræt (småkalv 0-6 mdr., Jersey)"/>
    <x v="2"/>
    <s v="Dybstrøelse + kort ædeplads med fast gulv"/>
    <x v="3"/>
    <n v="123202"/>
    <n v="124434"/>
    <n v="0"/>
    <m/>
    <s v="Dybstrøelse"/>
    <m/>
    <m/>
    <n v="0"/>
    <n v="1.48"/>
    <n v="0"/>
    <n v="0.3"/>
    <n v="224"/>
    <n v="224"/>
    <n v="171.44062520547948"/>
    <n v="217.98575342465756"/>
    <n v="17"/>
    <n v="0.18"/>
    <n v="7.9840196146750699"/>
    <n v="0"/>
  </r>
  <r>
    <s v="Kvæg"/>
    <n v="1233"/>
    <s v="1 årsopdræt (kvier/stude 6 mdr. - kælvning (25 mdr)/slagtning, Jersey)"/>
    <x v="3"/>
    <s v="Bindestald med grebning"/>
    <x v="1"/>
    <n v="123301"/>
    <n v="124534"/>
    <n v="0"/>
    <s v="Fast gødning"/>
    <m/>
    <n v="3.36"/>
    <n v="0.186"/>
    <n v="0"/>
    <m/>
    <n v="0"/>
    <m/>
    <n v="132"/>
    <n v="181"/>
    <n v="319.15765479452057"/>
    <n v="180.81034520547942"/>
    <n v="2"/>
    <n v="0.18"/>
    <n v="1.205922816"/>
    <n v="0"/>
  </r>
  <r>
    <s v="Kvæg"/>
    <n v="1233"/>
    <s v="1 årsopdræt (kvier/stude 6 mdr. - kælvning (25 mdr)/slagtning, Jersey)"/>
    <x v="3"/>
    <s v="Bindestald med riste"/>
    <x v="1"/>
    <n v="123302"/>
    <n v="124535"/>
    <n v="0"/>
    <s v="Kvæggylle"/>
    <m/>
    <n v="5.31"/>
    <n v="0.127"/>
    <n v="0"/>
    <m/>
    <n v="0"/>
    <m/>
    <n v="132"/>
    <n v="181"/>
    <n v="344.39059726027403"/>
    <n v="195.10540273972606"/>
    <n v="12.5"/>
    <n v="0.18"/>
    <n v="8.132902200000002"/>
    <n v="0"/>
  </r>
  <r>
    <s v="Kvæg"/>
    <n v="1233"/>
    <s v="1 årsopdræt (kvier/stude 6 mdr. - kælvning (25 mdr)/slagtning, Jersey)"/>
    <x v="3"/>
    <s v="Sengestald med fast gulv"/>
    <x v="2"/>
    <n v="123303"/>
    <n v="124536"/>
    <n v="0"/>
    <s v="Kvæggylle"/>
    <m/>
    <n v="4.6399999999999997"/>
    <n v="0.127"/>
    <n v="0"/>
    <m/>
    <n v="0"/>
    <m/>
    <n v="132"/>
    <n v="181"/>
    <n v="300.93641643835616"/>
    <n v="170.48758356164385"/>
    <n v="12.5"/>
    <n v="0.18"/>
    <n v="7.1067168000000009"/>
    <n v="0"/>
  </r>
  <r>
    <s v="Kvæg"/>
    <n v="1233"/>
    <s v="1 årsopdræt (kvier/stude 6 mdr. - kælvning (25 mdr)/slagtning, Jersey)"/>
    <x v="3"/>
    <s v="Sengestald med spaltegulv (kanal, linespil)"/>
    <x v="2"/>
    <n v="123304"/>
    <n v="124537"/>
    <n v="0"/>
    <s v="Kvæggylle"/>
    <m/>
    <n v="4.6399999999999997"/>
    <n v="0.127"/>
    <n v="0"/>
    <m/>
    <n v="0"/>
    <m/>
    <n v="132"/>
    <n v="181"/>
    <n v="300.93641643835616"/>
    <n v="170.48758356164385"/>
    <n v="12.5"/>
    <n v="0.18"/>
    <n v="7.1067168000000009"/>
    <n v="0"/>
  </r>
  <r>
    <s v="Kvæg"/>
    <n v="1233"/>
    <s v="1 årsopdræt (kvier/stude 6 mdr. - kælvning (25 mdr)/slagtning, Jersey)"/>
    <x v="3"/>
    <s v="Sengestald med spaltegulv (kanal, bagskyl eller ri"/>
    <x v="2"/>
    <n v="123305"/>
    <n v="124538"/>
    <n v="0"/>
    <s v="Kvæggylle"/>
    <m/>
    <n v="4.6399999999999997"/>
    <n v="0.127"/>
    <n v="0"/>
    <m/>
    <n v="0"/>
    <m/>
    <n v="132"/>
    <n v="181"/>
    <n v="300.93641643835616"/>
    <n v="170.48758356164385"/>
    <n v="12.5"/>
    <n v="0.18"/>
    <n v="7.1067168000000009"/>
    <n v="0"/>
  </r>
  <r>
    <s v="Kvæg"/>
    <n v="1233"/>
    <s v="1 årsopdræt (kvier/stude 6 mdr. - kælvning (25 mdr)/slagtning, Jersey)"/>
    <x v="3"/>
    <s v="Dybstrøelse, hele arealet"/>
    <x v="3"/>
    <n v="123306"/>
    <n v="124539"/>
    <n v="72.56"/>
    <m/>
    <s v="Dybstrøelse"/>
    <m/>
    <m/>
    <n v="0"/>
    <n v="4.45"/>
    <n v="322.892"/>
    <n v="0.3"/>
    <n v="132"/>
    <n v="181"/>
    <n v="851.82198698630134"/>
    <n v="386.23561643835615"/>
    <n v="17"/>
    <n v="0.18"/>
    <n v="25.382656985412329"/>
    <n v="1.8417655908615187"/>
  </r>
  <r>
    <s v="Kvæg"/>
    <n v="1233"/>
    <s v="1 årsopdræt (kvier/stude 6 mdr. - kælvning (25 mdr)/slagtning, Jersey)"/>
    <x v="3"/>
    <s v="Dybstrøelse, + kort ædeplads med fast gulv"/>
    <x v="3"/>
    <n v="123307"/>
    <n v="124540"/>
    <n v="0"/>
    <m/>
    <s v="Dybstrøelse"/>
    <m/>
    <m/>
    <n v="0"/>
    <n v="3.82"/>
    <n v="0"/>
    <n v="0.3"/>
    <n v="132"/>
    <n v="181"/>
    <n v="731.22696410958906"/>
    <n v="331.55506849315071"/>
    <n v="17"/>
    <n v="0.18"/>
    <n v="21.78915723242137"/>
    <n v="0"/>
  </r>
  <r>
    <s v="Kvæg"/>
    <n v="1233"/>
    <s v="1 årsopdræt (kvier/stude 6 mdr. - kælvning (25 mdr)/slagtning, Jersey)"/>
    <x v="3"/>
    <s v="Dybstrøelse, lang ædeplads med fast gulv"/>
    <x v="3"/>
    <n v="123308"/>
    <n v="124541"/>
    <n v="0"/>
    <s v="Kvæggylle"/>
    <m/>
    <n v="2.1"/>
    <n v="0.104"/>
    <n v="0"/>
    <m/>
    <n v="0"/>
    <m/>
    <n v="132"/>
    <n v="181"/>
    <n v="111.53358904109589"/>
    <n v="63.186410958904112"/>
    <n v="12.5"/>
    <n v="0.18"/>
    <n v="2.6339040000000002"/>
    <n v="0"/>
  </r>
  <r>
    <s v="Kvæg"/>
    <n v="1233"/>
    <s v="1 årsopdræt (kvier/stude 6 mdr. - kælvning (25 mdr)/slagtning, Jersey)"/>
    <x v="3"/>
    <s v="Dybstrøelse, lang ædeplads med spalter (kanal, lin"/>
    <x v="3"/>
    <n v="123309"/>
    <n v="124542"/>
    <n v="0"/>
    <s v="Kvæggylle"/>
    <m/>
    <n v="2.1"/>
    <n v="0.104"/>
    <n v="0"/>
    <m/>
    <n v="0"/>
    <m/>
    <n v="132"/>
    <n v="181"/>
    <n v="111.53358904109589"/>
    <n v="63.186410958904112"/>
    <n v="12.5"/>
    <n v="0.18"/>
    <n v="2.6339040000000002"/>
    <n v="0"/>
  </r>
  <r>
    <s v="Kvæg"/>
    <n v="1233"/>
    <s v="1 årsopdræt (kvier/stude 6 mdr. - kælvning (25 mdr)/slagtning, Jersey)"/>
    <x v="3"/>
    <s v="Dybstrøelse, lang ædeplads med spalter (kanal, bag"/>
    <x v="3"/>
    <n v="123310"/>
    <n v="124543"/>
    <n v="0"/>
    <s v="Kvæggylle"/>
    <m/>
    <n v="2.1"/>
    <n v="0.104"/>
    <n v="0"/>
    <m/>
    <n v="0"/>
    <m/>
    <n v="132"/>
    <n v="181"/>
    <n v="111.53358904109589"/>
    <n v="63.186410958904112"/>
    <n v="12.5"/>
    <n v="0.18"/>
    <n v="2.6339040000000002"/>
    <n v="0"/>
  </r>
  <r>
    <s v="Kvæg"/>
    <n v="1233"/>
    <s v="1 årsopdræt (kvier/stude 6 mdr. - kælvning (25 mdr)/slagtning, Jersey)"/>
    <x v="3"/>
    <s v="Spaltegulvbokse"/>
    <x v="4"/>
    <n v="123312"/>
    <n v="124545"/>
    <n v="0"/>
    <s v="Kvæggylle"/>
    <m/>
    <n v="5.46"/>
    <n v="0.1"/>
    <n v="0"/>
    <m/>
    <n v="0"/>
    <m/>
    <n v="132"/>
    <n v="181"/>
    <n v="278.83397260273972"/>
    <n v="157.96602739726026"/>
    <n v="12.5"/>
    <n v="0.18"/>
    <n v="6.5847599999999993"/>
    <n v="0"/>
  </r>
  <r>
    <s v="Kvæg"/>
    <n v="1233"/>
    <s v="1 årsopdræt (kvier/stude 6 mdr. - kælvning (25 mdr)/slagtning, Jersey)"/>
    <x v="3"/>
    <s v="Sengestald, fast drænet gulv med skraber og ajleaf"/>
    <x v="2"/>
    <n v="123316"/>
    <n v="124549"/>
    <n v="0"/>
    <s v="Kvæggylle"/>
    <m/>
    <n v="4.6399999999999997"/>
    <n v="0.127"/>
    <n v="0"/>
    <m/>
    <n v="0"/>
    <m/>
    <n v="132"/>
    <n v="181"/>
    <n v="300.93641643835616"/>
    <n v="170.48758356164385"/>
    <n v="12.5"/>
    <n v="0.18"/>
    <n v="7.1067168000000009"/>
    <n v="0"/>
  </r>
  <r>
    <s v="Kvæg"/>
    <n v="1234"/>
    <s v="1 stk. slagtekalv, 0-6 mdr., Jersey."/>
    <x v="4"/>
    <s v="Dybstrøelse (hele arealet)"/>
    <x v="3"/>
    <n v="123401"/>
    <n v="124635"/>
    <n v="8.31"/>
    <m/>
    <s v="Dybstrøelse"/>
    <m/>
    <m/>
    <n v="0"/>
    <n v="1.48"/>
    <n v="12.2988"/>
    <n v="0.3"/>
    <n v="18"/>
    <n v="224"/>
    <n v="421.91416273972607"/>
    <n v="17.516712328767127"/>
    <n v="17"/>
    <n v="0.18"/>
    <n v="9.0092118006542474"/>
    <n v="7.4866550063436801E-2"/>
  </r>
  <r>
    <s v="Kvæg"/>
    <n v="1234"/>
    <s v="1 stk. slagtekalv, 0-6 mdr., Jersey."/>
    <x v="4"/>
    <s v="Dybstrøelse + kort ædeplads med fast gulv"/>
    <x v="3"/>
    <n v="123402"/>
    <n v="124636"/>
    <n v="0"/>
    <m/>
    <s v="Dybstrøelse"/>
    <m/>
    <m/>
    <n v="0"/>
    <n v="1.48"/>
    <n v="0"/>
    <n v="0.3"/>
    <n v="18"/>
    <n v="224"/>
    <n v="421.91416273972607"/>
    <n v="17.516712328767127"/>
    <n v="3"/>
    <n v="0.18"/>
    <n v="1.5898609059978084"/>
    <n v="0"/>
  </r>
  <r>
    <s v="Kvæg"/>
    <n v="1235"/>
    <s v="1 stk. slagtekalve 6 mdr. - slagtning (328 kg), Jersey."/>
    <x v="5"/>
    <s v="Bindestald med grebning"/>
    <x v="1"/>
    <n v="123501"/>
    <n v="124736"/>
    <n v="0"/>
    <s v="Fast gødning"/>
    <m/>
    <n v="1.48"/>
    <n v="0.21100000000000002"/>
    <n v="0"/>
    <m/>
    <n v="0"/>
    <m/>
    <n v="18"/>
    <n v="181"/>
    <n v="237.5039123287672"/>
    <n v="12.32008767123288"/>
    <n v="2"/>
    <n v="0.18"/>
    <n v="0.60257548800000027"/>
    <n v="0"/>
  </r>
  <r>
    <s v="Kvæg"/>
    <n v="1235"/>
    <s v="1 stk. slagtekalve 6 mdr. - slagtning (328 kg), Jersey."/>
    <x v="5"/>
    <s v="Bindestald med riste"/>
    <x v="1"/>
    <n v="123502"/>
    <n v="124737"/>
    <n v="0"/>
    <s v="Kvæggylle"/>
    <m/>
    <n v="3.12"/>
    <n v="0.108"/>
    <n v="0"/>
    <m/>
    <n v="0"/>
    <m/>
    <n v="18"/>
    <n v="181"/>
    <n v="256.27423561643838"/>
    <n v="13.293764383561646"/>
    <n v="12.5"/>
    <n v="0.18"/>
    <n v="4.0637376000000005"/>
    <n v="0"/>
  </r>
  <r>
    <s v="Kvæg"/>
    <n v="1235"/>
    <s v="1 stk. slagtekalve 6 mdr. - slagtning (328 kg), Jersey."/>
    <x v="5"/>
    <s v="Dybstrøelse, hele arealet"/>
    <x v="3"/>
    <n v="123503"/>
    <n v="124738"/>
    <n v="31.85"/>
    <m/>
    <s v="Dybstrøelse"/>
    <m/>
    <m/>
    <n v="0"/>
    <n v="1.95"/>
    <n v="62.107500000000002"/>
    <n v="0.3"/>
    <n v="18"/>
    <n v="181"/>
    <n v="555.90041712328764"/>
    <n v="23.079452054794523"/>
    <n v="17"/>
    <n v="0.18"/>
    <n v="11.870245277889042"/>
    <n v="0.378067312100766"/>
  </r>
  <r>
    <s v="Kvæg"/>
    <n v="1235"/>
    <s v="1 stk. slagtekalve 6 mdr. - slagtning (328 kg), Jersey."/>
    <x v="5"/>
    <s v="Dybstrøelse hele arealet+kort ædeplads,fast gulv"/>
    <x v="3"/>
    <n v="123504"/>
    <n v="124739"/>
    <n v="0"/>
    <m/>
    <s v="Dybstrøelse"/>
    <m/>
    <m/>
    <n v="0"/>
    <n v="1.71"/>
    <n v="0"/>
    <n v="0.3"/>
    <n v="18"/>
    <n v="181"/>
    <n v="487.48190424657531"/>
    <n v="20.23890410958904"/>
    <n v="3"/>
    <n v="0.18"/>
    <n v="1.8369338846326027"/>
    <n v="0"/>
  </r>
  <r>
    <s v="Kvæg"/>
    <n v="1235"/>
    <s v="1 stk. slagtekalve 6 mdr. - slagtning (328 kg), Jersey."/>
    <x v="5"/>
    <s v="Dybstrøelse, lang ædeplads,fast gulv"/>
    <x v="3"/>
    <n v="123505"/>
    <n v="124740"/>
    <n v="0"/>
    <s v="Kvæggylle"/>
    <m/>
    <n v="1.1399999999999999"/>
    <n v="8.4000000000000005E-2"/>
    <n v="0"/>
    <m/>
    <n v="0"/>
    <m/>
    <n v="18"/>
    <n v="181"/>
    <n v="72.830071232876719"/>
    <n v="3.7779287671232886"/>
    <n v="12.5"/>
    <n v="0.18"/>
    <n v="1.1548656000000002"/>
    <n v="0"/>
  </r>
  <r>
    <s v="Kvæg"/>
    <n v="1235"/>
    <s v="1 stk. slagtekalve 6 mdr. - slagtning (328 kg), Jersey."/>
    <x v="5"/>
    <s v="Dybstrøelse, lang ædeplads, spalter(kanal, linespil)"/>
    <x v="3"/>
    <n v="123506"/>
    <n v="124741"/>
    <n v="0"/>
    <s v="Kvæggylle"/>
    <m/>
    <n v="1.1399999999999999"/>
    <n v="8.4000000000000005E-2"/>
    <n v="0"/>
    <m/>
    <n v="0"/>
    <m/>
    <n v="18"/>
    <n v="181"/>
    <n v="72.830071232876719"/>
    <n v="3.7779287671232886"/>
    <n v="12.5"/>
    <n v="0.18"/>
    <n v="1.1548656000000002"/>
    <n v="0"/>
  </r>
  <r>
    <s v="Kvæg"/>
    <n v="1235"/>
    <s v="1 stk. slagtekalve 6 mdr. - slagtning (328 kg), Jersey."/>
    <x v="5"/>
    <s v="Dybstrøelse,lang ædeplads,spalter(kanal,bagskyl/ringkanal)"/>
    <x v="3"/>
    <n v="123507"/>
    <n v="124742"/>
    <n v="0"/>
    <s v="Kvæggylle"/>
    <m/>
    <n v="1.1399999999999999"/>
    <n v="8.4000000000000005E-2"/>
    <n v="0"/>
    <m/>
    <n v="0"/>
    <m/>
    <n v="18"/>
    <n v="181"/>
    <n v="72.830071232876719"/>
    <n v="3.7779287671232886"/>
    <n v="12.5"/>
    <n v="0.18"/>
    <n v="1.1548656000000002"/>
    <n v="0"/>
  </r>
  <r>
    <s v="Kvæg"/>
    <n v="1235"/>
    <s v="1 stk. slagtekalve 6 mdr. - slagtning (328 kg), Jersey."/>
    <x v="5"/>
    <s v="Spaltegulvbokse"/>
    <x v="4"/>
    <n v="123509"/>
    <n v="124744"/>
    <n v="0"/>
    <s v="Kvæggylle"/>
    <m/>
    <n v="2.4500000000000002"/>
    <n v="9.8000000000000004E-2"/>
    <n v="0"/>
    <m/>
    <n v="0"/>
    <m/>
    <n v="18"/>
    <n v="181"/>
    <n v="182.60756164383562"/>
    <n v="9.4724383561643837"/>
    <n v="12.5"/>
    <n v="0.18"/>
    <n v="2.8956060000000003"/>
    <n v="0"/>
  </r>
  <r>
    <s v="Kvæg"/>
    <n v="1235"/>
    <s v="1 stk. slagtekalve 6 mdr. - slagtning (328 kg), Jersey."/>
    <x v="5"/>
    <s v="Sengestald med fast gulv"/>
    <x v="2"/>
    <n v="123513"/>
    <n v="124748"/>
    <n v="0"/>
    <s v="Kvæggylle"/>
    <m/>
    <n v="2.14"/>
    <n v="0.127"/>
    <n v="0"/>
    <m/>
    <n v="0"/>
    <m/>
    <n v="18"/>
    <n v="181"/>
    <n v="206.70172054794523"/>
    <n v="10.722279452054796"/>
    <n v="12.5"/>
    <n v="0.18"/>
    <n v="3.2776668000000004"/>
    <n v="0"/>
  </r>
  <r>
    <s v="Kvæg"/>
    <n v="1235"/>
    <s v="1 stk. slagtekalve 6 mdr. - slagtning (328 kg), Jersey."/>
    <x v="5"/>
    <s v="Sengestald med spalter (kanal, linespil)"/>
    <x v="2"/>
    <n v="123514"/>
    <n v="124749"/>
    <n v="0"/>
    <s v="Kvæggylle"/>
    <m/>
    <n v="2.14"/>
    <n v="0.127"/>
    <n v="0"/>
    <m/>
    <n v="0"/>
    <m/>
    <n v="18"/>
    <n v="181"/>
    <n v="206.70172054794523"/>
    <n v="10.722279452054796"/>
    <n v="12.5"/>
    <n v="0.18"/>
    <n v="3.2776668000000004"/>
    <n v="0"/>
  </r>
  <r>
    <s v="Kvæg"/>
    <n v="1235"/>
    <s v="1 stk. slagtekalve 6 mdr. - slagtning (328 kg), Jersey."/>
    <x v="5"/>
    <s v="Sengestald med spalter (kanal, bagskyl eller ringk"/>
    <x v="2"/>
    <n v="123515"/>
    <n v="124750"/>
    <n v="0"/>
    <s v="Kvæggylle"/>
    <m/>
    <n v="2.14"/>
    <n v="0.128"/>
    <n v="0"/>
    <m/>
    <n v="0"/>
    <m/>
    <n v="18"/>
    <n v="181"/>
    <n v="208.32929315068498"/>
    <n v="10.80670684931507"/>
    <n v="12.5"/>
    <n v="0.18"/>
    <n v="3.3034752000000003"/>
    <n v="0"/>
  </r>
  <r>
    <s v="Kvæg"/>
    <n v="1235"/>
    <s v="1 stk. slagtekalve 6 mdr. - slagtning (328 kg), Jersey."/>
    <x v="5"/>
    <s v="Sengestald, fast drænet gulv med skraber og ajleaf"/>
    <x v="2"/>
    <n v="123519"/>
    <n v="124754"/>
    <n v="0"/>
    <s v="Kvæggylle"/>
    <m/>
    <n v="2.14"/>
    <n v="0.127"/>
    <n v="0"/>
    <m/>
    <n v="0"/>
    <m/>
    <n v="18"/>
    <n v="181"/>
    <n v="206.70172054794523"/>
    <n v="10.722279452054796"/>
    <n v="12.5"/>
    <n v="0.18"/>
    <n v="3.2776668000000004"/>
    <n v="0"/>
  </r>
  <r>
    <s v="Kvæg"/>
    <n v="1236"/>
    <s v="1 avlstyr (1 årsdyr), Jersey, over 328 kg"/>
    <x v="6"/>
    <s v="Bindestald med grebning"/>
    <x v="1"/>
    <n v="123601"/>
    <n v="124837"/>
    <n v="0"/>
    <s v="Fast gødning"/>
    <m/>
    <n v="3.36"/>
    <n v="0.18600000000000003"/>
    <n v="0"/>
    <m/>
    <n v="0"/>
    <m/>
    <n v="132"/>
    <n v="181"/>
    <n v="319.15765479452062"/>
    <n v="180.81034520547948"/>
    <n v="2"/>
    <n v="0.18"/>
    <n v="1.2059228160000002"/>
    <n v="0"/>
  </r>
  <r>
    <s v="Kvæg"/>
    <n v="1236"/>
    <s v="1 avlstyr (1 årsdyr), Jersey, over 328 kg"/>
    <x v="6"/>
    <s v="Bindestald med riste"/>
    <x v="1"/>
    <n v="123602"/>
    <n v="124838"/>
    <n v="0"/>
    <s v="Kvæggylle"/>
    <m/>
    <n v="5.31"/>
    <n v="0.127"/>
    <n v="0"/>
    <m/>
    <n v="0"/>
    <m/>
    <n v="132"/>
    <n v="181"/>
    <n v="344.39059726027403"/>
    <n v="195.10540273972606"/>
    <n v="12.5"/>
    <n v="0.18"/>
    <n v="8.132902200000002"/>
    <n v="0"/>
  </r>
  <r>
    <s v="Kvæg"/>
    <n v="1236"/>
    <s v="1 avlstyr (1 årsdyr), Jersey, over 328 kg"/>
    <x v="6"/>
    <s v="Dybstrøelse, hele arealet"/>
    <x v="3"/>
    <n v="123603"/>
    <n v="124839"/>
    <n v="1.07"/>
    <m/>
    <s v="Dybstrøelse"/>
    <m/>
    <m/>
    <n v="0"/>
    <n v="4.45"/>
    <n v="4.7615000000000007"/>
    <n v="0.3"/>
    <n v="18"/>
    <n v="181"/>
    <n v="1268.5932595890411"/>
    <n v="0"/>
    <n v="17"/>
    <n v="0.18"/>
    <n v="26.008699008094521"/>
    <n v="2.7829307938661139E-2"/>
  </r>
  <r>
    <s v="Kvæg"/>
    <n v="1236"/>
    <s v="1 avlstyr (1 årsdyr), Jersey, over 328 kg"/>
    <x v="6"/>
    <s v="Dybstrøelse hele arealet+kort ædeplads,fast gulv"/>
    <x v="3"/>
    <n v="123604"/>
    <n v="124840"/>
    <n v="0"/>
    <m/>
    <m/>
    <n v="3.83"/>
    <n v="0.3"/>
    <n v="0"/>
    <m/>
    <n v="0"/>
    <m/>
    <n v="132"/>
    <n v="181"/>
    <n v="586.7769863013699"/>
    <n v="332.42301369863014"/>
    <n v="17"/>
    <n v="0.18"/>
    <n v="18.845438399999999"/>
    <n v="0"/>
  </r>
  <r>
    <s v="Kvæg"/>
    <n v="1236"/>
    <s v="1 avlstyr (1 årsdyr), Jersey, over 328 kg"/>
    <x v="6"/>
    <s v="Dybstrøelse, lang ædeplads,fast gulv"/>
    <x v="3"/>
    <n v="123605"/>
    <n v="124841"/>
    <n v="0"/>
    <s v="Kvæggylle"/>
    <m/>
    <n v="2.1"/>
    <n v="0.10400000000000001"/>
    <n v="0"/>
    <m/>
    <n v="0"/>
    <m/>
    <n v="18"/>
    <n v="181"/>
    <n v="166.10367123287674"/>
    <n v="8.6163287671232887"/>
    <n v="12.5"/>
    <n v="0.18"/>
    <n v="2.6339040000000002"/>
    <n v="0"/>
  </r>
  <r>
    <s v="Kvæg "/>
    <n v="1236"/>
    <s v="1 avlstyr (1 årsdyr), Jersey, over 328 kg"/>
    <x v="6"/>
    <s v="Dybstrøelse, lang ædeplads, spalter(kanal, linespil)"/>
    <x v="3"/>
    <n v="123606"/>
    <n v="124842"/>
    <s v=" "/>
    <s v="Kvæggylle"/>
    <m/>
    <n v="2.1"/>
    <n v="0.10400000000000001"/>
    <s v=" "/>
    <m/>
    <s v=" "/>
    <m/>
    <n v="18"/>
    <n v="181"/>
    <n v="166.10367123287674"/>
    <n v="8.6163287671232887"/>
    <n v="12.5"/>
    <n v="0.18"/>
    <n v="2.6339040000000002"/>
    <n v="0"/>
  </r>
  <r>
    <s v="Kvæg"/>
    <n v="1236"/>
    <s v="1 avlstyr (1 årsdyr), Jersey, over 328 kg"/>
    <x v="6"/>
    <s v="Dybstrøelse,lang ædeplads,spalter(kanal,bagskyl/ringkanal)"/>
    <x v="3"/>
    <n v="123607"/>
    <n v="124843"/>
    <n v="0"/>
    <s v="Kvæggylle"/>
    <m/>
    <n v="2.1"/>
    <n v="0.10400000000000001"/>
    <n v="0"/>
    <m/>
    <n v="0"/>
    <m/>
    <n v="18"/>
    <n v="181"/>
    <n v="166.10367123287674"/>
    <n v="8.6163287671232887"/>
    <n v="12.5"/>
    <n v="0.18"/>
    <n v="2.6339040000000002"/>
    <n v="0"/>
  </r>
  <r>
    <s v="Kvæg"/>
    <n v="1236"/>
    <s v="1 avlstyr (1 årsdyr), Jersey, over 328 kg"/>
    <x v="6"/>
    <s v="Spaltegulvbokse"/>
    <x v="4"/>
    <n v="123609"/>
    <n v="124845"/>
    <n v="0"/>
    <s v="Kvæggylle"/>
    <m/>
    <n v="5.46"/>
    <n v="0.1"/>
    <n v="0"/>
    <m/>
    <n v="0"/>
    <m/>
    <n v="18"/>
    <n v="181"/>
    <n v="415.25917808219185"/>
    <n v="21.54082191780822"/>
    <n v="12.5"/>
    <n v="0.18"/>
    <n v="6.5847600000000011"/>
    <n v="0"/>
  </r>
  <r>
    <s v="Kvæg"/>
    <n v="1236"/>
    <s v="1 avlstyr (1 årsdyr), Jersey, over 328 kg"/>
    <x v="6"/>
    <s v="Sengestald med fast gulv"/>
    <x v="2"/>
    <n v="123610"/>
    <n v="124846"/>
    <n v="0"/>
    <s v="Kvæggylle"/>
    <m/>
    <n v="4.6399999999999997"/>
    <n v="0.127"/>
    <n v="0"/>
    <m/>
    <n v="0"/>
    <m/>
    <n v="18"/>
    <n v="181"/>
    <n v="448.17569315068488"/>
    <n v="23.248306849315071"/>
    <n v="12.5"/>
    <n v="0.18"/>
    <n v="7.1067167999999992"/>
    <n v="0"/>
  </r>
  <r>
    <s v="Kvæg"/>
    <n v="1236"/>
    <s v="1 avlstyr (1 årsdyr), Jersey, over 328 kg"/>
    <x v="6"/>
    <s v="Sengestald med spaltegulv (kanal, linespil)"/>
    <x v="2"/>
    <n v="123611"/>
    <n v="124847"/>
    <n v="0"/>
    <s v="Kvæggylle"/>
    <m/>
    <n v="4.6399999999999997"/>
    <n v="0.127"/>
    <n v="0"/>
    <m/>
    <n v="0"/>
    <m/>
    <n v="18"/>
    <n v="181"/>
    <n v="448.17569315068488"/>
    <n v="23.248306849315071"/>
    <n v="12.5"/>
    <n v="0.18"/>
    <n v="7.1067167999999992"/>
    <n v="0"/>
  </r>
  <r>
    <s v="Kvæg"/>
    <n v="1236"/>
    <s v="1 avlstyr (1 årsdyr), Jersey, over 328 kg"/>
    <x v="6"/>
    <s v="Sengestald med spaltegulv (kanal, bagskyl eller ri"/>
    <x v="2"/>
    <n v="123612"/>
    <n v="124848"/>
    <n v="0"/>
    <s v="Kvæggylle"/>
    <m/>
    <n v="4.6399999999999997"/>
    <n v="0.127"/>
    <n v="0"/>
    <m/>
    <n v="0"/>
    <m/>
    <n v="18"/>
    <n v="181"/>
    <n v="448.17569315068488"/>
    <n v="23.248306849315071"/>
    <n v="12.5"/>
    <n v="0.18"/>
    <n v="7.1067167999999992"/>
    <n v="0"/>
  </r>
  <r>
    <s v="Kvæg"/>
    <n v="1236"/>
    <s v="1 avlstyr (1 årsdyr), Jersey, over 328 kg"/>
    <x v="6"/>
    <s v="Sengestald, fast drænet gulv med skraber og ajleaf"/>
    <x v="2"/>
    <n v="123619"/>
    <n v="124855"/>
    <n v="0"/>
    <s v="Kvæggylle"/>
    <m/>
    <n v="4.6399999999999997"/>
    <n v="0.127"/>
    <n v="0"/>
    <m/>
    <n v="0"/>
    <m/>
    <n v="18"/>
    <n v="181"/>
    <n v="448.17569315068488"/>
    <n v="23.248306849315071"/>
    <n v="12.5"/>
    <n v="0.18"/>
    <n v="7.1067167999999992"/>
    <n v="0"/>
  </r>
  <r>
    <s v="Kvæg"/>
    <n v="1241"/>
    <s v="1 årsammeko uden opdræt (under 400 kg)"/>
    <x v="7"/>
    <s v="Bindestald med grebning"/>
    <x v="1"/>
    <n v="124101"/>
    <n v="125342"/>
    <n v="0"/>
    <s v="Fast gødning"/>
    <m/>
    <n v="2.61"/>
    <n v="0.22800000000000001"/>
    <n v="0"/>
    <m/>
    <n v="0"/>
    <m/>
    <n v="132"/>
    <n v="181"/>
    <n v="303.89838904109592"/>
    <n v="172.16561095890413"/>
    <n v="2"/>
    <n v="0.18"/>
    <n v="1.1482663680000003"/>
    <n v="0"/>
  </r>
  <r>
    <s v="Kvæg"/>
    <n v="1241"/>
    <s v="1 årsammeko uden opdræt (under 400 kg)"/>
    <x v="7"/>
    <s v="Bindestald med riste"/>
    <x v="1"/>
    <n v="124102"/>
    <n v="125343"/>
    <n v="0"/>
    <s v="Kvæggylle"/>
    <m/>
    <n v="5.5"/>
    <n v="0.121"/>
    <n v="0"/>
    <m/>
    <n v="0"/>
    <m/>
    <n v="132"/>
    <n v="181"/>
    <n v="339.86082191780821"/>
    <n v="192.5391780821918"/>
    <n v="12.5"/>
    <n v="0.18"/>
    <n v="8.0259300000000007"/>
    <n v="0"/>
  </r>
  <r>
    <s v="Kvæg"/>
    <n v="1241"/>
    <s v="1 årsammeko uden opdræt (under 400 kg)"/>
    <x v="7"/>
    <s v="Dybstrøelse, hele arealet"/>
    <x v="3"/>
    <n v="124103"/>
    <n v="125344"/>
    <n v="0"/>
    <m/>
    <s v="Dybstrøelse"/>
    <m/>
    <m/>
    <n v="0"/>
    <n v="6.99"/>
    <n v="0"/>
    <n v="0.3"/>
    <n v="132"/>
    <n v="181"/>
    <n v="1338.0304919178081"/>
    <n v="606.69369863013696"/>
    <n v="17"/>
    <n v="0.18"/>
    <n v="39.87073535461397"/>
    <n v="0"/>
  </r>
  <r>
    <s v="Kvæg"/>
    <n v="1241"/>
    <s v="1 årsammeko uden opdræt (under 400 kg)"/>
    <x v="7"/>
    <s v="Dybstrøelse, kort ædeplads med fast gulv"/>
    <x v="3"/>
    <n v="124104"/>
    <n v="125345"/>
    <n v="0"/>
    <m/>
    <s v="Dybstrøelse"/>
    <m/>
    <m/>
    <n v="0"/>
    <n v="6.42"/>
    <n v="0"/>
    <n v="0.3"/>
    <n v="132"/>
    <n v="181"/>
    <n v="1228.9207093150687"/>
    <n v="557.22082191780828"/>
    <n v="17"/>
    <n v="0.18"/>
    <n v="36.619473673336444"/>
    <n v="0"/>
  </r>
  <r>
    <s v="Kvæg"/>
    <n v="1241"/>
    <s v="1 årsammeko uden opdræt (under 400 kg)"/>
    <x v="7"/>
    <s v="Dybstrøelse, lang ædeplads med fast gulv"/>
    <x v="3"/>
    <n v="124105"/>
    <n v="125346"/>
    <n v="0"/>
    <s v="Kvæggylle"/>
    <m/>
    <n v="3.35"/>
    <n v="6.9000000000000006E-2"/>
    <n v="0"/>
    <m/>
    <n v="0"/>
    <m/>
    <n v="132"/>
    <n v="181"/>
    <n v="118.04482191780824"/>
    <n v="66.875178082191795"/>
    <n v="12.5"/>
    <n v="0.18"/>
    <n v="2.7876690000000002"/>
    <n v="0"/>
  </r>
  <r>
    <s v="Kvæg"/>
    <n v="1241"/>
    <s v="1 årsammeko uden opdræt (under 400 kg)"/>
    <x v="7"/>
    <s v="Dybstrøelse, lang ædeplads med spalter (kanal, lin"/>
    <x v="3"/>
    <n v="124106"/>
    <n v="125347"/>
    <n v="0"/>
    <s v="Kvæggylle"/>
    <m/>
    <n v="3.35"/>
    <n v="6.9000000000000006E-2"/>
    <n v="0"/>
    <m/>
    <n v="0"/>
    <m/>
    <n v="132"/>
    <n v="181"/>
    <n v="118.04482191780824"/>
    <n v="66.875178082191795"/>
    <n v="12.5"/>
    <n v="0.18"/>
    <n v="2.7876690000000002"/>
    <n v="0"/>
  </r>
  <r>
    <s v="Kvæg"/>
    <n v="1241"/>
    <s v="1 årsammeko uden opdræt (under 400 kg)"/>
    <x v="7"/>
    <s v="Dybstrøelse, lang ædeplads med spalter (kanal, bag"/>
    <x v="3"/>
    <n v="124107"/>
    <n v="125348"/>
    <n v="0"/>
    <s v="Kvæggylle"/>
    <m/>
    <n v="3.35"/>
    <n v="6.9000000000000006E-2"/>
    <n v="0"/>
    <m/>
    <n v="0"/>
    <m/>
    <n v="132"/>
    <n v="181"/>
    <n v="118.04482191780824"/>
    <n v="66.875178082191795"/>
    <n v="12.5"/>
    <n v="0.18"/>
    <n v="2.7876690000000002"/>
    <n v="0"/>
  </r>
  <r>
    <s v="Kvæg"/>
    <n v="1241"/>
    <s v="1 årsammeko uden opdræt (under 400 kg)"/>
    <x v="7"/>
    <s v="Sengestald med spaltegulv (kanal, bagskyl el. ring"/>
    <x v="2"/>
    <n v="124110"/>
    <n v="125351"/>
    <n v="0"/>
    <s v="Kvæggylle"/>
    <m/>
    <n v="5.0199999999999996"/>
    <n v="0.121"/>
    <n v="0"/>
    <m/>
    <n v="0"/>
    <m/>
    <n v="132"/>
    <n v="181"/>
    <n v="310.20024109589042"/>
    <n v="175.73575890410959"/>
    <n v="12.5"/>
    <n v="0.18"/>
    <n v="7.3254852000000001"/>
    <n v="0"/>
  </r>
  <r>
    <s v="Kvæg"/>
    <n v="1242"/>
    <s v="1 årsammeko uden opdræt (400-600 kg)"/>
    <x v="7"/>
    <s v="Bindestald med grebning"/>
    <x v="1"/>
    <n v="124201"/>
    <n v="125443"/>
    <n v="7.97"/>
    <s v="Fast gødning"/>
    <m/>
    <n v="3.72"/>
    <n v="0.22800000000000001"/>
    <n v="29.648400000000002"/>
    <m/>
    <n v="0"/>
    <m/>
    <n v="132"/>
    <n v="181"/>
    <n v="433.14253150684931"/>
    <n v="245.38546849315071"/>
    <n v="2"/>
    <n v="0.18"/>
    <n v="1.6366095360000004"/>
    <n v="1.3043778001920003E-2"/>
  </r>
  <r>
    <s v="Kvæg"/>
    <n v="1242"/>
    <s v="1 årsammeko uden opdræt (400-600 kg)"/>
    <x v="7"/>
    <s v="Bindestald med riste"/>
    <x v="1"/>
    <n v="124202"/>
    <n v="125444"/>
    <n v="0"/>
    <s v="Kvæggylle"/>
    <m/>
    <n v="7.88"/>
    <n v="0.121"/>
    <n v="0"/>
    <m/>
    <n v="0"/>
    <m/>
    <n v="132"/>
    <n v="181"/>
    <n v="486.92786849315075"/>
    <n v="275.85613150684935"/>
    <n v="12.5"/>
    <n v="0.18"/>
    <n v="11.498968800000002"/>
    <n v="0"/>
  </r>
  <r>
    <s v="Kvæg"/>
    <n v="1242"/>
    <s v="1 årsammeko uden opdræt (400-600 kg)"/>
    <x v="7"/>
    <s v="Dybstrøelse, hele arealet"/>
    <x v="3"/>
    <n v="124203"/>
    <n v="125445"/>
    <n v="235.84"/>
    <m/>
    <s v="Dybstrøelse"/>
    <m/>
    <m/>
    <n v="0"/>
    <n v="9.59"/>
    <n v="2261.7055999999998"/>
    <n v="0.3"/>
    <n v="132"/>
    <n v="181"/>
    <n v="1835.7242371232874"/>
    <n v="832.35945205479447"/>
    <n v="17"/>
    <n v="0.18"/>
    <n v="54.701051795529025"/>
    <n v="12.900696055457566"/>
  </r>
  <r>
    <s v="Kvæg"/>
    <n v="1242"/>
    <s v="1 årsammeko uden opdræt (400-600 kg)"/>
    <x v="7"/>
    <s v="Dybstrøelse, kort ædeplads med fast gulv"/>
    <x v="3"/>
    <n v="124204"/>
    <n v="125446"/>
    <n v="0"/>
    <m/>
    <s v="Dybstrøelse"/>
    <m/>
    <m/>
    <n v="0"/>
    <n v="8.83"/>
    <n v="0"/>
    <n v="0.3"/>
    <n v="132"/>
    <n v="181"/>
    <n v="1690.2445269863017"/>
    <n v="766.39561643835623"/>
    <n v="17"/>
    <n v="0.18"/>
    <n v="50.366036220492333"/>
    <n v="0"/>
  </r>
  <r>
    <s v="Kvæg"/>
    <n v="1242"/>
    <s v="1 årsammeko uden opdræt (400-600 kg)"/>
    <x v="7"/>
    <s v="Dybstrøelse, lang ædeplads med fast gulv"/>
    <x v="3"/>
    <n v="124205"/>
    <n v="125447"/>
    <n v="0"/>
    <s v="Kvæggylle"/>
    <m/>
    <n v="4.8499999999999996"/>
    <n v="6.9000000000000006E-2"/>
    <n v="0"/>
    <m/>
    <n v="0"/>
    <m/>
    <n v="132"/>
    <n v="181"/>
    <n v="170.90071232876716"/>
    <n v="96.8192876712329"/>
    <n v="12.5"/>
    <n v="0.18"/>
    <n v="4.0358790000000004"/>
    <n v="0"/>
  </r>
  <r>
    <s v="Kvæg"/>
    <n v="1242"/>
    <s v="1 årsammeko uden opdræt (400-600 kg)"/>
    <x v="7"/>
    <s v="Dybstrøelse, lang ædeplads med spalter (kanal, lin"/>
    <x v="3"/>
    <n v="124206"/>
    <n v="125448"/>
    <n v="0"/>
    <s v="Kvæggylle"/>
    <m/>
    <n v="4.8499999999999996"/>
    <n v="6.9000000000000006E-2"/>
    <n v="0"/>
    <m/>
    <n v="0"/>
    <m/>
    <n v="132"/>
    <n v="181"/>
    <n v="170.90071232876716"/>
    <n v="96.8192876712329"/>
    <n v="12.5"/>
    <n v="0.18"/>
    <n v="4.0358790000000004"/>
    <n v="0"/>
  </r>
  <r>
    <s v="Kvæg"/>
    <n v="1242"/>
    <s v="1 årsammeko uden opdræt (400-600 kg)"/>
    <x v="7"/>
    <s v="Dybstrøelse, lang ædeplads med spalter (kanal, bag"/>
    <x v="3"/>
    <n v="124207"/>
    <n v="125449"/>
    <n v="0"/>
    <s v="Kvæggylle"/>
    <m/>
    <n v="4.8499999999999996"/>
    <n v="6.9000000000000006E-2"/>
    <n v="0"/>
    <m/>
    <n v="0"/>
    <m/>
    <n v="132"/>
    <n v="181"/>
    <n v="170.90071232876716"/>
    <n v="96.8192876712329"/>
    <n v="12.5"/>
    <n v="0.18"/>
    <n v="4.0358790000000004"/>
    <n v="0"/>
  </r>
  <r>
    <s v="Kvæg"/>
    <n v="1242"/>
    <s v="1 årsammeko uden opdræt (400-600 kg)"/>
    <x v="7"/>
    <s v="Sengestald med spaltegulv (kanal, linespil)"/>
    <x v="2"/>
    <n v="124209"/>
    <n v="125451"/>
    <n v="0"/>
    <s v="Kvæggylle"/>
    <m/>
    <n v="7.28"/>
    <n v="0.121"/>
    <n v="0"/>
    <m/>
    <n v="0"/>
    <m/>
    <n v="132"/>
    <n v="181"/>
    <n v="449.85214246575345"/>
    <n v="254.85185753424659"/>
    <n v="12.5"/>
    <n v="0.18"/>
    <n v="10.623412800000001"/>
    <n v="0"/>
  </r>
  <r>
    <s v="Kvæg"/>
    <n v="1242"/>
    <s v="1 årsammeko uden opdræt (400-600 kg)"/>
    <x v="7"/>
    <s v="Sengestald med spaltegulv (kanal, bagskyl el. ring"/>
    <x v="2"/>
    <n v="124210"/>
    <n v="125452"/>
    <n v="0"/>
    <s v="Kvæggylle"/>
    <m/>
    <n v="7.28"/>
    <n v="0.121"/>
    <n v="0"/>
    <m/>
    <n v="0"/>
    <m/>
    <n v="132"/>
    <m/>
    <n v="449.85214246575345"/>
    <n v="254.85185753424659"/>
    <n v="12.5"/>
    <n v="0.18"/>
    <n v="10.623412800000001"/>
    <n v="0"/>
  </r>
  <r>
    <s v="Kvæg"/>
    <n v="1242"/>
    <s v="1 årsammeko uden opdræt (400-600 kg)"/>
    <x v="7"/>
    <s v="Sengestald, fast drænet gulv med skraber og ajleaf"/>
    <x v="2"/>
    <n v="124211"/>
    <n v="125453"/>
    <n v="100"/>
    <s v="Kvæggylle"/>
    <m/>
    <n v="7.28"/>
    <n v="0.121"/>
    <n v="728"/>
    <m/>
    <n v="0"/>
    <m/>
    <n v="132"/>
    <n v="181"/>
    <n v="449.85214246575345"/>
    <n v="254.85185753424659"/>
    <n v="12.5"/>
    <n v="0.18"/>
    <n v="10.623412800000001"/>
    <n v="1.0623412800000001"/>
  </r>
  <r>
    <s v="Kvæg"/>
    <n v="1243"/>
    <s v="1 årsammeko uden opdræt (over 600 kg)"/>
    <x v="7"/>
    <s v="Bindestald med grebning"/>
    <x v="1"/>
    <n v="124301"/>
    <n v="125544"/>
    <n v="42.09"/>
    <s v="Fast gødning"/>
    <m/>
    <n v="4.1500000000000004"/>
    <n v="0.22800000000000001"/>
    <n v="174.67350000000002"/>
    <m/>
    <n v="0"/>
    <m/>
    <n v="132"/>
    <n v="181"/>
    <n v="483.21008219178088"/>
    <n v="273.74991780821921"/>
    <n v="2"/>
    <n v="0.18"/>
    <n v="1.8257875200000004"/>
    <n v="7.684739671680002E-2"/>
  </r>
  <r>
    <s v="Kvæg"/>
    <n v="1243"/>
    <s v="1 årsammeko uden opdræt (over 600 kg)"/>
    <x v="7"/>
    <s v="Bindestald med riste"/>
    <x v="1"/>
    <n v="124302"/>
    <n v="125545"/>
    <n v="0"/>
    <s v="Kvæggylle"/>
    <m/>
    <n v="8.81"/>
    <n v="0.121"/>
    <n v="0"/>
    <m/>
    <n v="0"/>
    <m/>
    <n v="132"/>
    <n v="181"/>
    <n v="544.3952438356165"/>
    <n v="308.41275616438361"/>
    <n v="12.5"/>
    <n v="0.18"/>
    <n v="12.856080600000002"/>
    <n v="0"/>
  </r>
  <r>
    <s v="Kvæg"/>
    <n v="1243"/>
    <s v="1 årsammeko uden opdræt (over 600 kg)"/>
    <x v="7"/>
    <s v="Dybstrøelse, hele arealet"/>
    <x v="3"/>
    <n v="124303"/>
    <n v="125546"/>
    <n v="240.79"/>
    <m/>
    <s v="Dybstrøelse"/>
    <m/>
    <m/>
    <n v="0"/>
    <n v="10.06"/>
    <n v="2422.3474000000001"/>
    <n v="0.3"/>
    <n v="132"/>
    <n v="181"/>
    <n v="1925.6919526027395"/>
    <n v="873.15287671232875"/>
    <n v="17"/>
    <n v="0.18"/>
    <n v="57.381916690617537"/>
    <n v="13.816991719933796"/>
  </r>
  <r>
    <s v="Kvæg"/>
    <n v="1243"/>
    <s v="1 årsammeko uden opdræt (over 600 kg)"/>
    <x v="7"/>
    <s v="Dybstrøelse, kort ædeplads med fast gulv"/>
    <x v="3"/>
    <n v="124304"/>
    <n v="125547"/>
    <n v="0"/>
    <m/>
    <s v="Dybstrøelse"/>
    <m/>
    <m/>
    <n v="0"/>
    <n v="9.3000000000000007"/>
    <n v="0"/>
    <n v="0.3"/>
    <n v="132"/>
    <n v="181"/>
    <n v="1780.2122424657532"/>
    <n v="807.18904109589039"/>
    <n v="17"/>
    <n v="0.18"/>
    <n v="53.046901115580816"/>
    <n v="0"/>
  </r>
  <r>
    <s v="Kvæg"/>
    <n v="1243"/>
    <s v="1 årsammeko uden opdræt (over 600 kg)"/>
    <x v="7"/>
    <s v="Dybstrøelse, lang ædeplads med fast gulv"/>
    <x v="3"/>
    <n v="124305"/>
    <n v="125548"/>
    <n v="0"/>
    <s v="Kvæggylle"/>
    <m/>
    <n v="5.5"/>
    <n v="6.9000000000000006E-2"/>
    <n v="0"/>
    <m/>
    <n v="0"/>
    <m/>
    <n v="132"/>
    <n v="181"/>
    <n v="193.80493150684936"/>
    <n v="109.79506849315069"/>
    <n v="12.5"/>
    <n v="0.18"/>
    <n v="4.5767700000000016"/>
    <n v="0"/>
  </r>
  <r>
    <s v="Kvæg"/>
    <n v="1243"/>
    <s v="1 årsammeko uden opdræt (over 600 kg)"/>
    <x v="7"/>
    <s v="Dybstrøelse, lang ædeplads med spalter (kanal, lin"/>
    <x v="3"/>
    <n v="124306"/>
    <n v="125549"/>
    <n v="0"/>
    <s v="Kvæggylle"/>
    <m/>
    <n v="5.5"/>
    <n v="6.9000000000000006E-2"/>
    <n v="0"/>
    <m/>
    <n v="0"/>
    <m/>
    <n v="132"/>
    <n v="181"/>
    <n v="193.80493150684936"/>
    <n v="109.79506849315069"/>
    <n v="12.5"/>
    <n v="0.18"/>
    <n v="4.5767700000000016"/>
    <n v="0"/>
  </r>
  <r>
    <s v="Kvæg"/>
    <n v="1243"/>
    <s v="1 årsammeko uden opdræt (over 600 kg)"/>
    <x v="7"/>
    <s v="Dybstrøelse, lang ædeplads med spalter (kanal, bag"/>
    <x v="3"/>
    <n v="124307"/>
    <n v="125550"/>
    <n v="0"/>
    <s v="Kvæggylle"/>
    <m/>
    <n v="5.5"/>
    <n v="6.9000000000000006E-2"/>
    <n v="0"/>
    <m/>
    <n v="0"/>
    <m/>
    <n v="132"/>
    <n v="181"/>
    <n v="193.80493150684936"/>
    <n v="109.79506849315069"/>
    <n v="12.5"/>
    <n v="0.18"/>
    <n v="4.5767700000000016"/>
    <n v="0"/>
  </r>
  <r>
    <s v="Kvæg"/>
    <n v="1243"/>
    <s v="1 årsammeko uden opdræt (over 600 kg)"/>
    <x v="7"/>
    <s v="Sengestald med spaltegulv (kanal, linespil)"/>
    <x v="2"/>
    <n v="124309"/>
    <n v="125552"/>
    <n v="0"/>
    <s v="Kvæggylle"/>
    <m/>
    <n v="8.1999999999999993"/>
    <n v="0.121"/>
    <n v="0"/>
    <m/>
    <n v="0"/>
    <m/>
    <n v="132"/>
    <n v="181"/>
    <n v="506.70158904109599"/>
    <n v="287.05841095890412"/>
    <n v="12.5"/>
    <n v="0.18"/>
    <n v="11.965932000000002"/>
    <n v="0"/>
  </r>
  <r>
    <s v="Kvæg"/>
    <n v="1243"/>
    <s v="1 årsammeko uden opdræt (over 600 kg)"/>
    <x v="7"/>
    <s v="Sengestald med spaltegulv (kanal, bagskyl el. ring"/>
    <x v="2"/>
    <n v="124310"/>
    <n v="125553"/>
    <n v="0"/>
    <s v="Kvæggylle"/>
    <m/>
    <n v="8.1999999999999993"/>
    <n v="0.121"/>
    <n v="0"/>
    <m/>
    <n v="0"/>
    <m/>
    <n v="132"/>
    <n v="181"/>
    <n v="506.70158904109599"/>
    <n v="287.05841095890412"/>
    <n v="12.5"/>
    <n v="0.18"/>
    <n v="11.965932000000002"/>
    <n v="0"/>
  </r>
  <r>
    <s v="Kvæg"/>
    <n v="1243"/>
    <s v="1 årsammeko uden opdræt (over 600 kg)"/>
    <x v="7"/>
    <s v="Sengestald, fast drænet gulv med skaber og ajleafl"/>
    <x v="2"/>
    <n v="124311"/>
    <n v="125554"/>
    <n v="0"/>
    <s v="Kvæggylle"/>
    <m/>
    <n v="8.1999999999999993"/>
    <n v="0.121"/>
    <n v="0"/>
    <m/>
    <n v="0"/>
    <m/>
    <n v="132"/>
    <n v="181"/>
    <n v="506.70158904109599"/>
    <n v="287.05841095890412"/>
    <n v="12.5"/>
    <n v="0.18"/>
    <n v="11.965932000000002"/>
    <n v="0"/>
  </r>
  <r>
    <s v="Får"/>
    <n v="1300"/>
    <s v="Får, 1 moderdyr med afkom"/>
    <x v="8"/>
    <s v="Får"/>
    <x v="5"/>
    <n v="130001"/>
    <n v="131301"/>
    <n v="403.89"/>
    <m/>
    <s v="Dybstrøelse"/>
    <m/>
    <m/>
    <n v="0"/>
    <n v="1.1299999999999999"/>
    <n v="456.39569999999992"/>
    <n v="0.34599999999999997"/>
    <n v="265"/>
    <n v="265"/>
    <n v="107.06960520547945"/>
    <n v="227.08975342465752"/>
    <n v="5.38"/>
    <n v="0.19"/>
    <n v="2.2885705658245641"/>
    <n v="0.92433076583088314"/>
  </r>
  <r>
    <s v="Geder"/>
    <n v="1401"/>
    <s v="Mohairged, 1 moderdyr med afkom"/>
    <x v="8"/>
    <s v="Mohairgeder"/>
    <x v="0"/>
    <n v="140101"/>
    <n v="141502"/>
    <n v="0"/>
    <m/>
    <s v="Dybstrøelse"/>
    <m/>
    <m/>
    <n v="0"/>
    <n v="1.21"/>
    <n v="0"/>
    <n v="0.34599999999999997"/>
    <n v="265"/>
    <n v="265"/>
    <n v="114.64975424657534"/>
    <n v="243.16690410958904"/>
    <n v="17"/>
    <n v="0.18"/>
    <n v="7.3359571296180821"/>
    <n v="0"/>
  </r>
  <r>
    <s v="Geder"/>
    <n v="1402"/>
    <s v="Kødgeder, 1 moderdyr med afkom"/>
    <x v="8"/>
    <s v="Kødgeder"/>
    <x v="0"/>
    <n v="140201"/>
    <n v="141603"/>
    <n v="0"/>
    <m/>
    <s v="Dybstrøelse"/>
    <m/>
    <m/>
    <n v="0"/>
    <n v="1.1000000000000001"/>
    <n v="0"/>
    <n v="0.34599999999999997"/>
    <n v="265"/>
    <n v="265"/>
    <n v="104.22704931506848"/>
    <n v="221.06082191780823"/>
    <n v="17"/>
    <n v="0.18"/>
    <n v="6.6690519360164391"/>
    <n v="0"/>
  </r>
  <r>
    <s v="Geder"/>
    <n v="1403"/>
    <s v="Malkegeder, 1 moderdyr med afkom"/>
    <x v="8"/>
    <s v="Malkegeder"/>
    <x v="0"/>
    <n v="140301"/>
    <n v="141704"/>
    <n v="0"/>
    <m/>
    <s v="Dybstrøelse"/>
    <m/>
    <m/>
    <n v="0"/>
    <n v="1.1299999999999999"/>
    <n v="0"/>
    <n v="0.34599999999999997"/>
    <n v="265"/>
    <n v="265"/>
    <n v="107.06960520547945"/>
    <n v="227.08975342465752"/>
    <n v="17"/>
    <n v="0.18"/>
    <n v="6.8509351706350676"/>
    <n v="0"/>
  </r>
  <r>
    <s v="Svin"/>
    <n v="1501"/>
    <s v="1 årsso m. 33,3 grise til 6,6 kg, andel fra løbe- og drægtighedsstald"/>
    <x v="9"/>
    <s v="Individuel opstaldning, delvis spaltegulv"/>
    <x v="4"/>
    <n v="150101"/>
    <n v="151602"/>
    <n v="0"/>
    <s v="Svinegylle"/>
    <m/>
    <n v="3.98"/>
    <n v="0.05"/>
    <n v="0"/>
    <m/>
    <n v="0"/>
    <m/>
    <n v="0"/>
    <n v="181"/>
    <n v="159.20000000000002"/>
    <n v="0"/>
    <n v="13.4"/>
    <n v="0.45"/>
    <n v="6.4318392000000015"/>
    <n v="0"/>
  </r>
  <r>
    <s v="Svin"/>
    <n v="1501"/>
    <s v="1 årsso m. 33,3 grise til 6,6 kg, andel fra løbe- og drægtighedsstald"/>
    <x v="9"/>
    <s v="Løsgående, dybstrøelse + spaltegulv"/>
    <x v="3"/>
    <n v="150104"/>
    <n v="151605"/>
    <n v="0"/>
    <s v="Svinegylle"/>
    <m/>
    <n v="2.2000000000000002"/>
    <n v="5.5E-2"/>
    <n v="0"/>
    <m/>
    <n v="0"/>
    <m/>
    <n v="0"/>
    <n v="181"/>
    <n v="96.800000000000011"/>
    <n v="0"/>
    <n v="13.4"/>
    <n v="0.45"/>
    <n v="3.910816800000001"/>
    <n v="0"/>
  </r>
  <r>
    <s v="Svin"/>
    <n v="1501"/>
    <s v="1 årsso m. 33,3 grise til 6,6 kg, andel fra løbe- og drægtighedsstald"/>
    <x v="9"/>
    <s v="Løsgående, dybstrøelse + fast gulv"/>
    <x v="3"/>
    <n v="150105"/>
    <n v="151606"/>
    <n v="0"/>
    <s v="Svinegylle"/>
    <m/>
    <n v="2.2000000000000002"/>
    <n v="5.5E-2"/>
    <n v="0"/>
    <m/>
    <n v="0"/>
    <m/>
    <n v="0"/>
    <n v="181"/>
    <n v="96.800000000000011"/>
    <n v="0"/>
    <n v="13.4"/>
    <n v="0.45"/>
    <n v="3.910816800000001"/>
    <n v="0"/>
  </r>
  <r>
    <s v="Svin "/>
    <n v="1501"/>
    <s v="1 årsso m, 33,3 grise til 6,6 kg, andel fra løbe- og drægtighedsstald"/>
    <x v="9"/>
    <s v="Løsgående, dybstrøelse"/>
    <x v="3"/>
    <n v="150106"/>
    <n v="151607"/>
    <n v="0"/>
    <m/>
    <s v="Dybstrøelse "/>
    <m/>
    <m/>
    <n v="0"/>
    <n v="1.78"/>
    <n v="0"/>
    <n v="0.33"/>
    <n v="0"/>
    <n v="181"/>
    <n v="587.13567"/>
    <n v="0"/>
    <n v="14.7"/>
    <n v="0.45"/>
    <n v="26.022146462235003"/>
    <n v="0"/>
  </r>
  <r>
    <s v="Svin"/>
    <n v="1501"/>
    <s v="1 årsso m. 33,3 grise til 6,6 kg, andel fra løbe- og drægtighedsstald"/>
    <x v="9"/>
    <s v="Løsgående, delvis spaltegulv"/>
    <x v="4"/>
    <n v="150107"/>
    <n v="151608"/>
    <n v="0"/>
    <s v="Svinegylle"/>
    <m/>
    <n v="4.7"/>
    <n v="4.4999999999999998E-2"/>
    <n v="0"/>
    <m/>
    <n v="0"/>
    <m/>
    <n v="0"/>
    <n v="181"/>
    <n v="169.20000000000002"/>
    <n v="0"/>
    <n v="13.4"/>
    <n v="0.45"/>
    <n v="6.835849200000002"/>
    <n v="0"/>
  </r>
  <r>
    <s v="Svin"/>
    <n v="1501"/>
    <s v="1 årsso m. 33,3 grise til 6,6 kg, andel fra løbe- og drægtighedsstald"/>
    <x v="9"/>
    <s v="Individuel opstaldning, fast gulv"/>
    <x v="4"/>
    <n v="150108"/>
    <n v="151609"/>
    <n v="0"/>
    <s v="Fast gødning"/>
    <m/>
    <n v="0.52"/>
    <n v="0.23"/>
    <n v="0"/>
    <m/>
    <n v="0"/>
    <m/>
    <n v="0"/>
    <n v="181"/>
    <n v="95.68"/>
    <n v="0"/>
    <n v="2"/>
    <n v="0.45"/>
    <n v="0.57695040000000009"/>
    <n v="0"/>
  </r>
  <r>
    <s v="Svin"/>
    <n v="1502"/>
    <s v="1 årsso m. 33,3 grise til 6,6 kg, andel fra farestald."/>
    <x v="9"/>
    <s v="Kassestier, delvis spaltegulv"/>
    <x v="4"/>
    <n v="150201"/>
    <n v="151703"/>
    <n v="0"/>
    <s v="Svinegylle"/>
    <m/>
    <n v="1.71"/>
    <n v="4.4999999999999998E-2"/>
    <n v="0"/>
    <m/>
    <n v="0"/>
    <m/>
    <n v="0"/>
    <n v="181"/>
    <n v="61.56"/>
    <n v="0"/>
    <n v="13.7"/>
    <n v="0.45"/>
    <n v="2.5427665799999999"/>
    <n v="0"/>
  </r>
  <r>
    <s v="Svin"/>
    <n v="1502"/>
    <s v="1 årsso m. 33,3 grise til 6,6 kg, andel fra farestald."/>
    <x v="9"/>
    <s v="Kassestier, fuldspaltegulv"/>
    <x v="4"/>
    <n v="150202"/>
    <n v="151704"/>
    <n v="0"/>
    <s v="Svinegylle"/>
    <m/>
    <n v="1.71"/>
    <n v="4.4999999999999998E-2"/>
    <n v="0"/>
    <m/>
    <n v="0"/>
    <m/>
    <n v="0"/>
    <n v="181"/>
    <n v="61.56"/>
    <n v="0"/>
    <n v="13.7"/>
    <n v="0.45"/>
    <n v="2.5427665799999999"/>
    <n v="0"/>
  </r>
  <r>
    <s v="Svin"/>
    <n v="1502"/>
    <s v="1 årsso m. 33,3 grise til 6,6 kg, andel fra farestald."/>
    <x v="9"/>
    <s v="Friland, fareperiode"/>
    <x v="6"/>
    <n v="150205"/>
    <n v="151707"/>
    <n v="0"/>
    <s v="Anden husdyrgødning"/>
    <m/>
    <n v="1.3"/>
    <n v="7.6999999999999999E-2"/>
    <n v="0"/>
    <m/>
    <n v="0"/>
    <m/>
    <n v="0"/>
    <n v="181"/>
    <n v="80.080000000000013"/>
    <n v="0"/>
    <n v="1"/>
    <n v="0.45"/>
    <n v="0.24144120000000005"/>
    <n v="0"/>
  </r>
  <r>
    <s v="Svin"/>
    <n v="1511"/>
    <s v="Antal producerede smågrise, fra 6,8 til 31 kg"/>
    <x v="10"/>
    <s v="Toklimastald, delvis spaltegulv"/>
    <x v="4"/>
    <n v="151101"/>
    <n v="152612"/>
    <n v="0"/>
    <s v="Svinegylle"/>
    <m/>
    <n v="0.13400000000000001"/>
    <n v="0.05"/>
    <n v="0"/>
    <m/>
    <n v="0"/>
    <m/>
    <n v="0"/>
    <n v="181"/>
    <n v="5.36"/>
    <n v="0"/>
    <n v="13.7"/>
    <n v="0.45"/>
    <n v="0.22139748000000001"/>
    <n v="0"/>
  </r>
  <r>
    <s v="Svin"/>
    <n v="1511"/>
    <s v="Antal producerede smågrise, fra 6,8 til 31 kg"/>
    <x v="10"/>
    <s v="Drænet gulv + spalter (50/50)"/>
    <x v="4"/>
    <n v="151103"/>
    <n v="152614"/>
    <n v="0"/>
    <s v="Svinegylle"/>
    <m/>
    <n v="0.13400000000000001"/>
    <n v="4.3999999999999997E-2"/>
    <n v="0"/>
    <m/>
    <n v="0"/>
    <m/>
    <n v="0"/>
    <n v="181"/>
    <n v="4.7168000000000001"/>
    <n v="0"/>
    <n v="13.7"/>
    <n v="0.45"/>
    <n v="0.19482978240000001"/>
    <n v="0"/>
  </r>
  <r>
    <s v="Svin"/>
    <n v="1511"/>
    <s v="Antal producerede smågrise, fra 6,8 til 31 kg"/>
    <x v="10"/>
    <s v="Fast gulv"/>
    <x v="5"/>
    <n v="151104"/>
    <n v="152615"/>
    <n v="0"/>
    <s v="Fast gødning"/>
    <m/>
    <n v="1.7999999999999999E-2"/>
    <n v="0.23"/>
    <n v="0"/>
    <m/>
    <n v="0"/>
    <m/>
    <n v="0"/>
    <n v="181"/>
    <n v="3.3119999999999998"/>
    <n v="0"/>
    <n v="2"/>
    <n v="0.45"/>
    <n v="1.9971360000000001E-2"/>
    <n v="0"/>
  </r>
  <r>
    <s v="Svin"/>
    <n v="1511"/>
    <s v="Antal producerede smågrise, fra 6,8 til 31 kg"/>
    <x v="10"/>
    <s v="Dybstrøelse"/>
    <x v="3"/>
    <n v="151105"/>
    <n v="152616"/>
    <n v="27.54"/>
    <m/>
    <s v="Dybstrøelse"/>
    <m/>
    <m/>
    <n v="0"/>
    <n v="2.5999999999999999E-2"/>
    <n v="0.7160399999999999"/>
    <n v="0.33"/>
    <n v="0"/>
    <n v="181"/>
    <n v="8.5761390000000013"/>
    <n v="0"/>
    <n v="7.2"/>
    <n v="0.45"/>
    <n v="0.18617082541200003"/>
    <n v="5.1271445318464811E-3"/>
  </r>
  <r>
    <s v="Svin"/>
    <n v="1512"/>
    <s v="Antal producerede slagtesvin, 31-110 kg"/>
    <x v="11"/>
    <s v="Drænet gulv + spalter (33/67)"/>
    <x v="4"/>
    <n v="151203"/>
    <n v="152715"/>
    <n v="0"/>
    <s v="Svinegylle"/>
    <m/>
    <n v="0.56000000000000005"/>
    <n v="6.0999999999999999E-2"/>
    <n v="0"/>
    <m/>
    <n v="0"/>
    <m/>
    <n v="0"/>
    <n v="181"/>
    <n v="27.327999999999999"/>
    <n v="0"/>
    <n v="13.7"/>
    <n v="0.45"/>
    <n v="1.128796704"/>
    <n v="0"/>
  </r>
  <r>
    <s v="Svin"/>
    <n v="1512"/>
    <s v="Antal producerede slagtesvin, 31-110 kg"/>
    <x v="11"/>
    <s v="Fast gulv"/>
    <x v="5"/>
    <n v="151204"/>
    <n v="152716"/>
    <n v="0"/>
    <s v="Fast gødning"/>
    <m/>
    <n v="0.1"/>
    <n v="0.23"/>
    <n v="0"/>
    <m/>
    <n v="0"/>
    <m/>
    <n v="0"/>
    <n v="181"/>
    <n v="18.400000000000002"/>
    <n v="0"/>
    <n v="2"/>
    <n v="0.45"/>
    <n v="0.11095200000000002"/>
    <n v="0"/>
  </r>
  <r>
    <s v="Svin"/>
    <n v="1512"/>
    <s v="Antal producerede slagtesvin, 31-110 kg"/>
    <x v="11"/>
    <s v="Dybstrøelse, opdelt lejeareal"/>
    <x v="3"/>
    <n v="151205"/>
    <n v="152717"/>
    <n v="0"/>
    <s v="Svinegylle"/>
    <m/>
    <n v="0.35"/>
    <n v="4.9000000000000002E-2"/>
    <n v="0"/>
    <m/>
    <n v="0"/>
    <m/>
    <n v="0"/>
    <n v="181"/>
    <n v="13.720000000000002"/>
    <n v="0"/>
    <n v="13.4"/>
    <n v="0.45"/>
    <n v="0.55430172000000022"/>
    <n v="0"/>
  </r>
  <r>
    <s v="Svin"/>
    <n v="1512"/>
    <s v="Antal producerede slagtesvin, 31-110 kg"/>
    <x v="11"/>
    <s v="Dybstrøelse"/>
    <x v="3"/>
    <n v="151206"/>
    <n v="152718"/>
    <n v="27.54"/>
    <m/>
    <s v="Dybstrøelse"/>
    <m/>
    <m/>
    <n v="0"/>
    <n v="0.18"/>
    <n v="4.9571999999999994"/>
    <n v="0.33"/>
    <n v="0"/>
    <n v="181"/>
    <n v="59.373269999999998"/>
    <n v="0"/>
    <n v="11.4"/>
    <n v="0.45"/>
    <n v="2.0407186631700003"/>
    <n v="5.6201391983701804E-2"/>
  </r>
  <r>
    <s v="Svin"/>
    <n v="1512"/>
    <s v="Antal producerede slagtesvin, 31-110 kg"/>
    <x v="11"/>
    <s v="Delvis spaltegulv, 50-75% fast gulv"/>
    <x v="4"/>
    <n v="151207"/>
    <n v="152719"/>
    <n v="0"/>
    <s v="Svinegylle"/>
    <m/>
    <n v="0.55000000000000004"/>
    <n v="6.6000000000000003E-2"/>
    <n v="0"/>
    <m/>
    <n v="0"/>
    <m/>
    <n v="0"/>
    <n v="181"/>
    <n v="29.040000000000006"/>
    <n v="0"/>
    <n v="13.4"/>
    <n v="0.45"/>
    <n v="1.1732450400000003"/>
    <n v="0"/>
  </r>
  <r>
    <s v="Svin"/>
    <n v="1512"/>
    <s v="Antal producerede slagtesvin, 31-110 kg"/>
    <x v="11"/>
    <s v="Delvis spaltegulv, 25-49% fast gulv"/>
    <x v="4"/>
    <n v="151208"/>
    <n v="152720"/>
    <n v="0"/>
    <s v="Svinegylle"/>
    <m/>
    <n v="0.55000000000000004"/>
    <n v="6.6000000000000003E-2"/>
    <n v="0"/>
    <m/>
    <n v="0"/>
    <m/>
    <n v="0"/>
    <n v="181"/>
    <n v="29.040000000000006"/>
    <n v="0"/>
    <n v="13.4"/>
    <n v="0.45"/>
    <n v="1.1732450400000003"/>
    <n v="0"/>
  </r>
  <r>
    <s v="Svin"/>
    <n v="1513"/>
    <s v="1 årsso, øko m, 23,4 grise til 15 kg, andel fra løbe- og drægtighedsperioden"/>
    <x v="9"/>
    <s v="Dyb, hele areal inde, Løbegård (50/50) ude"/>
    <x v="4"/>
    <n v="151301"/>
    <n v="152814"/>
    <s v=" "/>
    <s v="Svinegylle"/>
    <m/>
    <n v="2.14"/>
    <n v="0.05"/>
    <s v=" "/>
    <m/>
    <s v=" "/>
    <m/>
    <n v="181"/>
    <n v="181"/>
    <n v="43.151780821917811"/>
    <n v="42.448219178082198"/>
    <n v="13.7"/>
    <n v="0.45"/>
    <n v="3.5357508000000006"/>
    <s v="-"/>
  </r>
  <r>
    <s v="Svin"/>
    <n v="1513"/>
    <s v="1 årsso, øko m, 23,4 grise til 15 kg, andel fra løbe- og drægtighedsperioden"/>
    <x v="9"/>
    <s v="Løbe/drægtighed, udendørs"/>
    <x v="3"/>
    <n v="151302"/>
    <n v="152815"/>
    <s v=" "/>
    <m/>
    <s v="Dybstrøelse"/>
    <m/>
    <m/>
    <s v=" "/>
    <n v="0"/>
    <s v=" "/>
    <n v="0"/>
    <n v="365"/>
    <n v="365"/>
    <n v="0"/>
    <n v="0"/>
    <n v="1"/>
    <n v="0.45"/>
    <n v="0"/>
    <s v="-"/>
  </r>
  <r>
    <s v="Svin "/>
    <n v="1513"/>
    <s v="1 årsso, øko m, 23,4 grise til 15 kg, andel fra løbe- og drægtighedsperioden"/>
    <x v="9"/>
    <s v="Delvis spaltegulv inde. Løbegård (50/50) ude"/>
    <x v="4"/>
    <n v="151303"/>
    <n v="152816"/>
    <s v=" "/>
    <s v="Svinegylle"/>
    <m/>
    <n v="0.12"/>
    <n v="0.05"/>
    <s v=" "/>
    <m/>
    <s v=" "/>
    <m/>
    <n v="0"/>
    <n v="0"/>
    <n v="4.8"/>
    <n v="0"/>
    <n v="7.2"/>
    <n v="0.45"/>
    <n v="0.10419840000000002"/>
    <s v="-"/>
  </r>
  <r>
    <s v="Svin"/>
    <n v="1514"/>
    <s v="1 årsso, øko m, 23,4 grise til 15 kg, andel fra faremarken"/>
    <x v="9"/>
    <s v="Faremark"/>
    <x v="3"/>
    <n v="151401"/>
    <n v="152915"/>
    <s v=" "/>
    <m/>
    <s v="Dybstrøelse"/>
    <m/>
    <m/>
    <s v=" "/>
    <m/>
    <s v=" "/>
    <m/>
    <n v="365"/>
    <n v="365"/>
    <n v="0"/>
    <n v="0"/>
    <n v="7.2"/>
    <n v="0.45"/>
    <n v="0"/>
    <s v="-"/>
  </r>
  <r>
    <s v="Svin"/>
    <n v="1515"/>
    <s v="Antal producerede smågrise, økologiske fra 15 - 31 kg"/>
    <x v="10"/>
    <s v="Udendørs"/>
    <x v="3"/>
    <n v="151501"/>
    <n v="153016"/>
    <s v=" "/>
    <m/>
    <s v="Dybstrøelse"/>
    <m/>
    <m/>
    <s v=" "/>
    <n v="0"/>
    <s v=" "/>
    <n v="0"/>
    <n v="365"/>
    <n v="365"/>
    <n v="0"/>
    <n v="0"/>
    <n v="7.2"/>
    <n v="0.45"/>
    <n v="0"/>
    <s v="-"/>
  </r>
  <r>
    <s v="Svin"/>
    <n v="1515"/>
    <s v="Antal producerede smågrise, økologiske fra 15 - 31 kg"/>
    <x v="10"/>
    <s v="Dybstr, (hele arealet) inde, Løbegård (50/50) ude"/>
    <x v="3"/>
    <n v="151502"/>
    <n v="153017"/>
    <s v=" "/>
    <s v="Svinegylle"/>
    <m/>
    <n v="0.06"/>
    <n v="0.05"/>
    <s v=" "/>
    <m/>
    <s v=" "/>
    <n v="0.33"/>
    <n v="0"/>
    <n v="0"/>
    <n v="2.4"/>
    <n v="0"/>
    <n v="7.2"/>
    <n v="0.45"/>
    <n v="5.2099200000000012E-2"/>
    <s v="-"/>
  </r>
  <r>
    <s v="Svin"/>
    <n v="1515"/>
    <s v="Antal producerede smågrise, økologiske fra 15 - 31 kg"/>
    <x v="10"/>
    <s v="Delvis spaltegulv inde. Løbegård (50/50) ude"/>
    <x v="4"/>
    <n v="151503"/>
    <n v="153018"/>
    <s v=" "/>
    <s v="Svinegylle"/>
    <m/>
    <n v="0.12"/>
    <n v="0.05"/>
    <s v=" "/>
    <m/>
    <s v=" "/>
    <m/>
    <n v="0"/>
    <n v="0"/>
    <n v="4.8"/>
    <n v="0"/>
    <n v="7.2"/>
    <n v="0.45"/>
    <n v="0.10419840000000002"/>
    <s v="-"/>
  </r>
  <r>
    <s v="Svin"/>
    <n v="1516"/>
    <s v="Antal producerede slagtesvin, økologiske 31-113 kg"/>
    <x v="11"/>
    <s v="Udendørs"/>
    <x v="3"/>
    <n v="151601"/>
    <n v="153117"/>
    <s v=" "/>
    <m/>
    <s v="Dybstrøelse"/>
    <m/>
    <m/>
    <s v=" "/>
    <n v="0"/>
    <s v=" "/>
    <m/>
    <n v="365"/>
    <n v="365"/>
    <n v="0"/>
    <n v="0"/>
    <n v="7.2"/>
    <n v="0.45"/>
    <n v="0"/>
    <s v="-"/>
  </r>
  <r>
    <s v="Svin"/>
    <n v="1516"/>
    <s v="Antal producerede slagtesvin, økologiske 31-113 kg"/>
    <x v="11"/>
    <s v="Delvis spaltegulv inde, Løbegård (50/50) ude"/>
    <x v="3"/>
    <n v="151602"/>
    <n v="153118"/>
    <s v=" "/>
    <s v="Svinegylle"/>
    <m/>
    <n v="0.46"/>
    <n v="0.05"/>
    <s v=" "/>
    <m/>
    <s v=" "/>
    <n v="0.33"/>
    <n v="0"/>
    <n v="0"/>
    <n v="18.400000000000002"/>
    <n v="0"/>
    <n v="14.7"/>
    <n v="0.45"/>
    <n v="0.81549720000000014"/>
    <s v="-"/>
  </r>
  <r>
    <s v="Svin"/>
    <n v="1516"/>
    <s v="Antal producerede slagtesvin, økologiske 31-113 kg"/>
    <x v="11"/>
    <s v="Dybstr, (hele arealet) inde, Løbegård (50/50) ude"/>
    <x v="3"/>
    <n v="151603"/>
    <n v="153119"/>
    <s v=" "/>
    <s v="Svinegylle"/>
    <m/>
    <n v="0.68300000000000005"/>
    <n v="6.6000000000000003E-2"/>
    <s v=" "/>
    <m/>
    <s v=" "/>
    <m/>
    <n v="0"/>
    <n v="0"/>
    <n v="36.062400000000004"/>
    <n v="0"/>
    <n v="13.4"/>
    <n v="0.45"/>
    <n v="1.4569570224000004"/>
    <s v="-"/>
  </r>
  <r>
    <s v="Svin"/>
    <n v="1520"/>
    <s v="Antal producerede FRATS-svin"/>
    <x v="12"/>
    <s v="Delvis spaltegulv med 50-75% fast gulv"/>
    <x v="4"/>
    <n v="152002"/>
    <n v="153522"/>
    <n v="0"/>
    <s v="Svinegylle"/>
    <m/>
    <n v="0.68300000000000005"/>
    <n v="6.6000000000000003E-2"/>
    <n v="0"/>
    <m/>
    <n v="0"/>
    <n v="0.3"/>
    <n v="0"/>
    <n v="181"/>
    <n v="36.062400000000004"/>
    <n v="0"/>
    <n v="13.4"/>
    <n v="0.45"/>
    <n v="1.4569570224000004"/>
    <n v="0"/>
  </r>
  <r>
    <s v="Svin"/>
    <n v="1520"/>
    <s v="Antal producerede FRATS-svin"/>
    <x v="12"/>
    <s v="Delvis spaltegulv med 25-49% fast gulv"/>
    <x v="4"/>
    <n v="152003"/>
    <n v="153523"/>
    <n v="0"/>
    <s v="Svinegylle"/>
    <m/>
    <n v="0.68300000000000005"/>
    <n v="6.6000000000000003E-2"/>
    <n v="0"/>
    <m/>
    <n v="0"/>
    <m/>
    <n v="0"/>
    <n v="181"/>
    <n v="36.062400000000004"/>
    <n v="0"/>
    <n v="13.4"/>
    <n v="0.45"/>
    <n v="1.4569570224000004"/>
    <n v="0"/>
  </r>
  <r>
    <s v="Svin"/>
    <n v="1520"/>
    <s v="Antal producerede FRATS-svin"/>
    <x v="12"/>
    <s v="Drænet gulv + spalter (33/67)"/>
    <x v="4"/>
    <n v="152004"/>
    <n v="153524"/>
    <n v="0"/>
    <s v="Svinegylle"/>
    <m/>
    <n v="0.68300000000000005"/>
    <n v="6.0999999999999999E-2"/>
    <n v="0"/>
    <m/>
    <n v="0"/>
    <m/>
    <n v="0"/>
    <n v="181"/>
    <n v="33.330399999999997"/>
    <n v="0"/>
    <n v="13.7"/>
    <n v="0.45"/>
    <n v="1.3767288371999999"/>
    <n v="0"/>
  </r>
  <r>
    <s v="Svin"/>
    <n v="1520"/>
    <s v="Antal producerede FRATS-svin"/>
    <x v="12"/>
    <s v="Fast gulv"/>
    <x v="5"/>
    <n v="152005"/>
    <n v="153525"/>
    <n v="0"/>
    <s v="Fast gødning"/>
    <m/>
    <n v="0.11800000000000001"/>
    <n v="0.23"/>
    <n v="0"/>
    <m/>
    <n v="0"/>
    <m/>
    <n v="0"/>
    <n v="181"/>
    <n v="21.712000000000003"/>
    <n v="0"/>
    <n v="2"/>
    <n v="0.45"/>
    <n v="0.13092336000000002"/>
    <n v="0"/>
  </r>
  <r>
    <s v="Svin"/>
    <n v="1520"/>
    <s v="Antal producerede FRATS-svin"/>
    <x v="12"/>
    <s v="Dybstrøelse, opdelt lejeareal"/>
    <x v="3"/>
    <n v="152006"/>
    <n v="153526"/>
    <n v="0"/>
    <s v="Svinegylle"/>
    <m/>
    <n v="0.35"/>
    <n v="4.9000000000000002E-2"/>
    <n v="0"/>
    <m/>
    <n v="0"/>
    <m/>
    <n v="0"/>
    <n v="181"/>
    <n v="13.720000000000002"/>
    <n v="0"/>
    <n v="13.4"/>
    <n v="0.45"/>
    <n v="0.55430172000000022"/>
    <n v="0"/>
  </r>
  <r>
    <s v="Svin"/>
    <n v="1520"/>
    <s v="Antal producerede FRATS-svin"/>
    <x v="12"/>
    <s v="Dybstrøelse"/>
    <x v="3"/>
    <n v="152007"/>
    <n v="153527"/>
    <n v="0"/>
    <m/>
    <s v="Dybstrøelse"/>
    <m/>
    <m/>
    <n v="0"/>
    <n v="0.18"/>
    <n v="0"/>
    <n v="0.33"/>
    <n v="0"/>
    <n v="181"/>
    <n v="59.373269999999998"/>
    <n v="0"/>
    <n v="11.4"/>
    <n v="0.45"/>
    <n v="2.0407186631700003"/>
    <n v="0"/>
  </r>
  <r>
    <s v="Hjortedyr"/>
    <n v="2101"/>
    <s v="Hjorte &gt; 15 mdr,"/>
    <x v="13"/>
    <s v="Hjorte &gt; 15 mdr,, 10 stk,"/>
    <x v="0"/>
    <n v="210101"/>
    <n v="212202"/>
    <n v="0"/>
    <m/>
    <s v="Dybstrøelse"/>
    <m/>
    <m/>
    <n v="0"/>
    <m/>
    <n v="0"/>
    <m/>
    <m/>
    <m/>
    <n v="0"/>
    <n v="0"/>
    <m/>
    <m/>
    <n v="0.22"/>
    <n v="0"/>
  </r>
  <r>
    <s v="Hjortedyr"/>
    <n v="2102"/>
    <s v="Hinder &gt; 15 mdr,"/>
    <x v="13"/>
    <s v="Hinder &gt; 15 mdr,, 10 stk,"/>
    <x v="0"/>
    <n v="210201"/>
    <n v="212303"/>
    <n v="0"/>
    <m/>
    <s v="Dybstrøelse"/>
    <m/>
    <m/>
    <n v="0"/>
    <m/>
    <n v="0"/>
    <m/>
    <m/>
    <m/>
    <n v="0"/>
    <n v="0"/>
    <m/>
    <m/>
    <n v="0.22"/>
    <n v="0"/>
  </r>
  <r>
    <s v="Hjortedyr"/>
    <n v="2103"/>
    <s v="Unge hjorte 3-15 mdr,"/>
    <x v="13"/>
    <s v="Unge hjorte 3-15 mdr,, 10 stk,"/>
    <x v="0"/>
    <n v="210301"/>
    <n v="212404"/>
    <n v="0"/>
    <m/>
    <s v="Dybstrøelse"/>
    <m/>
    <m/>
    <n v="0"/>
    <m/>
    <n v="0"/>
    <m/>
    <m/>
    <m/>
    <n v="0"/>
    <n v="0"/>
    <m/>
    <m/>
    <n v="0.22"/>
    <n v="0"/>
  </r>
  <r>
    <s v="Hjortedyr"/>
    <n v="2104"/>
    <s v="Unge hinder3-15 mdr, "/>
    <x v="13"/>
    <s v="Unge hinder 3-15 mdr,, 10 stk,"/>
    <x v="0"/>
    <n v="210401"/>
    <n v="212505"/>
    <n v="0"/>
    <m/>
    <s v="Dybstrøelse"/>
    <m/>
    <m/>
    <n v="0"/>
    <m/>
    <n v="0"/>
    <m/>
    <m/>
    <m/>
    <n v="0"/>
    <n v="0"/>
    <m/>
    <m/>
    <n v="0.22"/>
    <n v="0"/>
  </r>
  <r>
    <s v="Hjortedyr"/>
    <n v="2105"/>
    <s v="Årshind"/>
    <x v="13"/>
    <s v="Årshind, 1 stk,"/>
    <x v="0"/>
    <n v="210501"/>
    <n v="212606"/>
    <n v="0"/>
    <m/>
    <s v="Dybstrøelse"/>
    <m/>
    <m/>
    <n v="0"/>
    <m/>
    <n v="0"/>
    <m/>
    <m/>
    <m/>
    <n v="0"/>
    <n v="0"/>
    <m/>
    <m/>
    <n v="0.22"/>
    <n v="0"/>
  </r>
  <r>
    <s v="Hjortedyr"/>
    <n v="2106"/>
    <s v="Dådyr"/>
    <x v="13"/>
    <s v="Dådyr, 1 stk,"/>
    <x v="0"/>
    <n v="210601"/>
    <n v="212707"/>
    <n v="0"/>
    <m/>
    <s v="Dybstrøelse"/>
    <m/>
    <m/>
    <n v="0"/>
    <m/>
    <n v="0"/>
    <m/>
    <m/>
    <m/>
    <m/>
    <m/>
    <m/>
    <m/>
    <n v="0.22"/>
    <n v="0"/>
  </r>
  <r>
    <s v="Mink"/>
    <n v="2400"/>
    <s v="Mink, 1 årstæve"/>
    <x v="14"/>
    <s v="Kødædende pelsdyr, bure, gødn.rende, ugentlig tømn"/>
    <x v="0"/>
    <n v="240001"/>
    <n v="242401"/>
    <n v="28565.51"/>
    <s v="Minkgylle"/>
    <m/>
    <n v="0.38"/>
    <n v="0.69"/>
    <n v="10854.8938"/>
    <m/>
    <n v="0"/>
    <m/>
    <n v="0"/>
    <n v="0"/>
    <n v="209.76"/>
    <n v="0"/>
    <n v="10.14"/>
    <n v="0.25"/>
    <n v="3.5626687200000005"/>
    <n v="101.76944894784721"/>
  </r>
  <r>
    <s v="Mink"/>
    <n v="2400"/>
    <s v="Mink, 1 årstæve"/>
    <x v="14"/>
    <s v="Kødædende pelsdyr, bure, fast gødning i gødn.rende"/>
    <x v="0"/>
    <n v="240003"/>
    <n v="242403"/>
    <n v="0"/>
    <s v="Anden husdyrgødning"/>
    <m/>
    <n v="0.35"/>
    <n v="0.12"/>
    <n v="0"/>
    <m/>
    <n v="0"/>
    <m/>
    <n v="0"/>
    <n v="0"/>
    <n v="33.599999999999994"/>
    <n v="0"/>
    <n v="10.14"/>
    <n v="0.25"/>
    <n v="0.57067919999999994"/>
    <n v="0"/>
  </r>
  <r>
    <s v="Chincilla "/>
    <n v="2501"/>
    <s v="Chincilla"/>
    <x v="14"/>
    <s v="Chinchilla, 100 stk."/>
    <x v="3"/>
    <n v="240101"/>
    <n v="242602"/>
    <s v=" "/>
    <m/>
    <s v="Dybstrøelse"/>
    <m/>
    <m/>
    <s v=" "/>
    <m/>
    <s v=" "/>
    <m/>
    <n v="0"/>
    <n v="0"/>
    <n v="0"/>
    <n v="0"/>
    <n v="0"/>
    <n v="0"/>
    <n v="0"/>
    <n v="0"/>
  </r>
  <r>
    <s v="Høns af æglægningstype"/>
    <n v="3101"/>
    <s v="Fritgående, konsumæg, "/>
    <x v="15"/>
    <s v="Fritgående, konsumæg, gulvdrift + gødningskummer"/>
    <x v="6"/>
    <n v="310101"/>
    <n v="313202"/>
    <n v="0"/>
    <s v="Fast gødning"/>
    <m/>
    <n v="1.2699999999999999E-2"/>
    <n v="0.4"/>
    <n v="0"/>
    <m/>
    <n v="0"/>
    <m/>
    <n v="0"/>
    <n v="0"/>
    <n v="4.0640000000000001"/>
    <n v="0"/>
    <n v="1"/>
    <n v="0.39"/>
    <n v="1.0619232000000003E-2"/>
    <n v="0"/>
  </r>
  <r>
    <s v="Høns af æglægningstype"/>
    <n v="3101"/>
    <s v="Fritgående, konsumæg, "/>
    <x v="15"/>
    <s v="Fritgående, konsumæg, gulvdrift uden gødningskumme"/>
    <x v="6"/>
    <n v="310102"/>
    <n v="313203"/>
    <n v="0"/>
    <m/>
    <s v="Dybstrøelse"/>
    <m/>
    <m/>
    <n v="0"/>
    <n v="1.1000000000000001E-2"/>
    <n v="0"/>
    <n v="0.63300000000000001"/>
    <n v="0"/>
    <n v="0"/>
    <n v="6.9598666500000022"/>
    <n v="0"/>
    <n v="1"/>
    <n v="0.39"/>
    <n v="1.8186131556450009E-2"/>
    <n v="0"/>
  </r>
  <r>
    <s v="Høns af æglægningstype"/>
    <n v="3101"/>
    <s v="Fritgående, konsumæg, "/>
    <x v="15"/>
    <s v="Friland, konsumæg, gulvdrift fler-etagesystem"/>
    <x v="6"/>
    <n v="310103"/>
    <n v="313204"/>
    <n v="0"/>
    <s v="Fast gødning"/>
    <m/>
    <n v="2.1099999999999997E-2"/>
    <n v="0.4"/>
    <n v="0"/>
    <m/>
    <n v="0"/>
    <m/>
    <n v="181"/>
    <n v="181"/>
    <n v="3.4037479452054797"/>
    <n v="3.3482520547945209"/>
    <n v="1"/>
    <n v="0.39"/>
    <n v="1.7642976000000005E-2"/>
    <n v="0"/>
  </r>
  <r>
    <s v="Høns af æglægningstype "/>
    <n v="3101"/>
    <s v="Friland, konsumæg"/>
    <x v="15"/>
    <s v="Friland, konsumæg, gulv+fler etage m bånd"/>
    <x v="6"/>
    <n v="310104"/>
    <n v="313205"/>
    <s v=" "/>
    <s v="Fast gødning"/>
    <m/>
    <n v="2.1099999999999997E-2"/>
    <n v="0.4"/>
    <s v=" "/>
    <m/>
    <s v=" "/>
    <m/>
    <n v="181"/>
    <n v="181"/>
    <n v="3.4037479452054797"/>
    <n v="3.3482520547945209"/>
    <n v="1.5"/>
    <n v="0.39"/>
    <n v="2.6464464000000007E-2"/>
    <n v="0"/>
  </r>
  <r>
    <s v="Høns af æglægningstype"/>
    <n v="3102"/>
    <s v="Økologiske, konsumæg, "/>
    <x v="15"/>
    <s v="Økologiske, konsumæg, gulvdrift + fler-etage bånd"/>
    <x v="0"/>
    <n v="310201"/>
    <n v="313303"/>
    <n v="0"/>
    <s v="Fast gødning"/>
    <m/>
    <n v="1.5100000000000001E-2"/>
    <n v="0.4"/>
    <n v="0"/>
    <m/>
    <n v="0"/>
    <m/>
    <n v="0"/>
    <n v="0"/>
    <n v="4.8320000000000007"/>
    <n v="0"/>
    <n v="1.5"/>
    <n v="0.39"/>
    <n v="1.8939024000000006E-2"/>
    <n v="0"/>
  </r>
  <r>
    <s v="Høns af æglægningstype"/>
    <n v="3102"/>
    <s v="Økologiske, konsumæg, "/>
    <x v="15"/>
    <s v="Økologiske, konsumæg, gulvdrift + gødningskumme"/>
    <x v="0"/>
    <n v="310202"/>
    <n v="313304"/>
    <n v="0"/>
    <s v="Fast gødning"/>
    <m/>
    <n v="1.3000000000000001E-2"/>
    <n v="0.4"/>
    <n v="0"/>
    <m/>
    <n v="0"/>
    <m/>
    <n v="0"/>
    <n v="0"/>
    <n v="4.160000000000001"/>
    <n v="0"/>
    <n v="1.5"/>
    <n v="0.39"/>
    <n v="1.6305120000000006E-2"/>
    <n v="0"/>
  </r>
  <r>
    <s v="Høns af æglægningstype "/>
    <n v="3102"/>
    <s v="Økologiske, konsumæg, "/>
    <x v="15"/>
    <s v="Økologiske, konsumæg, gulv+fler-etage m bånd"/>
    <x v="0"/>
    <n v="310203"/>
    <n v="313305"/>
    <s v=" "/>
    <s v="Fast gødning"/>
    <m/>
    <n v="6.480000000000001E-2"/>
    <n v="0.12"/>
    <s v=" "/>
    <m/>
    <s v=" "/>
    <m/>
    <m/>
    <n v="181"/>
    <n v="6.2208000000000006"/>
    <n v="0"/>
    <n v="1.5"/>
    <n v="0.39"/>
    <n v="2.4382425600000004E-2"/>
    <n v="0"/>
  </r>
  <r>
    <s v="Høns af æglægningstype"/>
    <n v="3103"/>
    <s v="Skrabehøner, konsumæg "/>
    <x v="15"/>
    <s v="Skrabehøner, konsumæg, gulvdrift + gødningskummer"/>
    <x v="0"/>
    <n v="310301"/>
    <n v="313404"/>
    <n v="0"/>
    <s v="Fast gødning"/>
    <m/>
    <n v="1.3999999999999999E-2"/>
    <n v="0.4"/>
    <n v="0"/>
    <m/>
    <n v="0"/>
    <m/>
    <n v="0"/>
    <n v="0"/>
    <n v="4.4799999999999995"/>
    <n v="0"/>
    <n v="1.5"/>
    <n v="0.39"/>
    <n v="1.7559359999999996E-2"/>
    <n v="0"/>
  </r>
  <r>
    <s v="Høns af æglægningstype"/>
    <n v="3103"/>
    <s v="Skrabehøner, konsumæg "/>
    <x v="15"/>
    <s v="Skrabehøner, konsumæg, fler-etagesystem med gødnin"/>
    <x v="0"/>
    <n v="310302"/>
    <n v="313405"/>
    <n v="0"/>
    <s v="Fast gødning"/>
    <m/>
    <n v="2.23E-2"/>
    <n v="0.4"/>
    <n v="0"/>
    <m/>
    <n v="0"/>
    <m/>
    <n v="0"/>
    <n v="0"/>
    <n v="7.1360000000000001"/>
    <n v="0"/>
    <n v="1.5"/>
    <n v="0.39"/>
    <n v="2.7969552000000005E-2"/>
    <n v="0"/>
  </r>
  <r>
    <s v="Høns af æglægningstype "/>
    <n v="3103"/>
    <s v="Skrabehøner, konsumæg"/>
    <x v="15"/>
    <s v="Skrabehøner, konsumæg, gulv + fler-etager med gødn"/>
    <x v="0"/>
    <n v="310303"/>
    <n v="313406"/>
    <s v=" "/>
    <s v="Fast gødning"/>
    <m/>
    <n v="2.23E-2"/>
    <n v="0.4"/>
    <s v=" "/>
    <m/>
    <s v=" "/>
    <m/>
    <n v="0"/>
    <m/>
    <n v="7.1360000000000001"/>
    <n v="0"/>
    <n v="1.5"/>
    <n v="0.39"/>
    <n v="2.7969552000000005E-2"/>
    <n v="0"/>
  </r>
  <r>
    <s v="Høns af æglægningstype"/>
    <n v="3104"/>
    <s v="Burhøns, konsumæg "/>
    <x v="15"/>
    <s v="Burhøns, konsumæg, bånd, fast gødning"/>
    <x v="0"/>
    <n v="310402"/>
    <n v="313506"/>
    <n v="0"/>
    <s v="Fast gødning"/>
    <m/>
    <n v="2.8199999999999999E-2"/>
    <n v="0.4"/>
    <n v="0"/>
    <m/>
    <n v="0"/>
    <m/>
    <n v="0"/>
    <m/>
    <n v="9.0239999999999991"/>
    <n v="0"/>
    <n v="1.5"/>
    <n v="0.39"/>
    <n v="3.5369567999999997E-2"/>
    <n v="0"/>
  </r>
  <r>
    <s v="Høns af æglægningstype"/>
    <n v="3104"/>
    <s v="Burhøns, konsumæg "/>
    <x v="15"/>
    <s v="Burhøns, konsumæg, bånd, gylle"/>
    <x v="0"/>
    <n v="310403"/>
    <n v="313507"/>
    <n v="0"/>
    <s v="Fjerkrægylle"/>
    <m/>
    <n v="9.9199999999999997E-2"/>
    <n v="0.12"/>
    <n v="0"/>
    <m/>
    <n v="0"/>
    <m/>
    <n v="0"/>
    <n v="0"/>
    <n v="9.523200000000001"/>
    <n v="0"/>
    <n v="1.5"/>
    <n v="0.39"/>
    <n v="3.7326182400000005E-2"/>
    <n v="0"/>
  </r>
  <r>
    <s v="Høns af æglægningstype"/>
    <n v="3105"/>
    <s v="Rugeæg (HPR-høner)"/>
    <x v="15"/>
    <s v="Rugeæg (hpr-høner), gulvdrift og gødningskummer"/>
    <x v="0"/>
    <n v="310501"/>
    <n v="313606"/>
    <n v="0"/>
    <m/>
    <s v="Dybstrøelse"/>
    <m/>
    <m/>
    <n v="0"/>
    <n v="1.6299999999999999E-2"/>
    <n v="0"/>
    <n v="0.63300000000000001"/>
    <n v="0"/>
    <n v="0"/>
    <n v="10.313256944999999"/>
    <n v="0"/>
    <n v="1.5"/>
    <n v="0.39"/>
    <n v="4.0422810595927498E-2"/>
    <n v="0"/>
  </r>
  <r>
    <s v="Høns af æglægningstype "/>
    <n v="3106"/>
    <s v="Friland, konsumæg"/>
    <x v="15"/>
    <s v="Friland, konsumæg, gulv+fler etage m bånd"/>
    <x v="6"/>
    <n v="310601"/>
    <n v="313707"/>
    <n v="0"/>
    <s v="Fast gødning"/>
    <m/>
    <n v="2.1099999999999997E-2"/>
    <n v="0.4"/>
    <n v="0"/>
    <m/>
    <n v="0"/>
    <m/>
    <n v="181"/>
    <n v="181"/>
    <n v="3.4037479452054797"/>
    <n v="3.3482520547945209"/>
    <n v="1.5"/>
    <n v="0.39"/>
    <n v="2.6464464000000007E-2"/>
    <n v="0"/>
  </r>
  <r>
    <s v="Høns af æglægningstype "/>
    <n v="3107"/>
    <s v="Økologiske, konsumæg, "/>
    <x v="15"/>
    <s v="Økologiske, konsumæg, gulv+fler-etage m bånd"/>
    <x v="0"/>
    <n v="310701"/>
    <n v="313808"/>
    <n v="0"/>
    <s v="Fast gødning"/>
    <m/>
    <n v="6.480000000000001E-2"/>
    <n v="0.12"/>
    <n v="0"/>
    <m/>
    <n v="0"/>
    <m/>
    <m/>
    <n v="181"/>
    <n v="6.2208000000000006"/>
    <n v="0"/>
    <n v="1.5"/>
    <n v="0.39"/>
    <n v="2.4382425600000004E-2"/>
    <n v="0"/>
  </r>
  <r>
    <s v="Høns af æglægningstype"/>
    <n v="3111"/>
    <s v="Hønniker, konsum "/>
    <x v="15"/>
    <s v="Konsum, Bure, Produktionstid 118 dage"/>
    <x v="0"/>
    <n v="311105"/>
    <n v="314216"/>
    <n v="0"/>
    <s v="Fast gødning"/>
    <m/>
    <n v="2.3E-3"/>
    <n v="0.4"/>
    <n v="0"/>
    <m/>
    <n v="0"/>
    <m/>
    <n v="0"/>
    <n v="0"/>
    <n v="0.7360000000000001"/>
    <n v="0"/>
    <n v="1.5"/>
    <n v="0.39"/>
    <n v="2.8847520000000004E-3"/>
    <n v="0"/>
  </r>
  <r>
    <s v="Høns af æglægningstype"/>
    <n v="3111"/>
    <s v="Hønniker, konsum "/>
    <x v="15"/>
    <s v="Konsum, Gulvdrift, produktionstid 118 dage"/>
    <x v="0"/>
    <n v="311106"/>
    <n v="314217"/>
    <n v="0"/>
    <m/>
    <s v="Dybstrøelse"/>
    <m/>
    <m/>
    <n v="0"/>
    <n v="1.4000000000000002E-3"/>
    <n v="0"/>
    <n v="0.48"/>
    <n v="0"/>
    <n v="0"/>
    <n v="0.67169760000000012"/>
    <n v="0"/>
    <n v="1.5"/>
    <n v="0.39"/>
    <n v="2.6327187432000011E-3"/>
    <n v="0"/>
  </r>
  <r>
    <s v="Høns af æglægningstype"/>
    <n v="3112"/>
    <s v="Rugeæg (hønniker, HPR)"/>
    <x v="15"/>
    <s v="Rugeæg (hønniker, Hpr), gulvdrift, prod. 119 dage"/>
    <x v="0"/>
    <n v="311201"/>
    <n v="314313"/>
    <n v="0"/>
    <m/>
    <s v="Dybstrøelse"/>
    <m/>
    <m/>
    <n v="0"/>
    <n v="1.5E-3"/>
    <n v="0"/>
    <n v="0.48"/>
    <n v="0"/>
    <n v="0"/>
    <n v="0.71967599999999998"/>
    <n v="0"/>
    <n v="1.5"/>
    <n v="0.39"/>
    <n v="2.8207700820000008E-3"/>
    <n v="0"/>
  </r>
  <r>
    <s v="Høns af slagtetype"/>
    <n v="3201"/>
    <s v="producerede slagtekyllinger, levende vægt ved slagtning 1,93 kg"/>
    <x v="15"/>
    <s v="Levende vægt ved slagtning 1,93"/>
    <x v="0"/>
    <n v="320101"/>
    <n v="323302"/>
    <n v="0"/>
    <m/>
    <s v="Dybstrøelse"/>
    <m/>
    <m/>
    <n v="0"/>
    <n v="1.17E-3"/>
    <n v="0"/>
    <n v="0.48"/>
    <n v="0"/>
    <n v="0"/>
    <n v="0.56134728"/>
    <n v="0"/>
    <n v="1.5"/>
    <n v="0.36"/>
    <n v="2.0309544590399998E-3"/>
    <n v="0"/>
  </r>
  <r>
    <s v="Høns af slagtetype"/>
    <n v="3202"/>
    <s v="producerede slagtekyllinger, levende vægt ved slagtning 2,13 kg"/>
    <x v="15"/>
    <s v="Levende vægt ved slagtning 2,21"/>
    <x v="0"/>
    <n v="320201"/>
    <n v="323403"/>
    <n v="0"/>
    <m/>
    <s v="Dybstrøelse"/>
    <m/>
    <m/>
    <n v="0"/>
    <n v="1.39E-3"/>
    <n v="0"/>
    <n v="0.48"/>
    <n v="0"/>
    <n v="0"/>
    <n v="0.66689975999999995"/>
    <n v="0"/>
    <n v="1.5"/>
    <n v="0.36"/>
    <n v="2.4128433316800003E-3"/>
    <n v="0"/>
  </r>
  <r>
    <s v="Høns af slagtetype"/>
    <n v="3203"/>
    <s v="producerede slagtekyllinger, levende vægt ved slagtning 2,60 kg"/>
    <x v="15"/>
    <s v="Levende vægt ved slagtning 2,69 kg"/>
    <x v="0"/>
    <n v="320301"/>
    <n v="323504"/>
    <s v=" "/>
    <m/>
    <s v="Dybstrøelse"/>
    <m/>
    <m/>
    <s v=" "/>
    <n v="1.7800000000000001E-3"/>
    <s v=" "/>
    <n v="0.48"/>
    <n v="0"/>
    <n v="0"/>
    <n v="0.85401552000000003"/>
    <n v="0"/>
    <n v="1.5"/>
    <n v="0.36"/>
    <n v="3.0898281513600007E-3"/>
    <n v="0"/>
  </r>
  <r>
    <s v="Høns af slagtetype"/>
    <n v="3204"/>
    <s v="producerede slagtekyllinger, levende vægt ved slagtning, 3,07 kg"/>
    <x v="15"/>
    <s v="Levende vægt ved slagtning, 3,17 kg"/>
    <x v="0"/>
    <n v="320401"/>
    <n v="323605"/>
    <n v="0"/>
    <m/>
    <s v="Dybstrøelse"/>
    <m/>
    <m/>
    <n v="0"/>
    <n v="2.2200000000000002E-3"/>
    <n v="0"/>
    <n v="0.48"/>
    <n v="0"/>
    <n v="0"/>
    <n v="1.0651204800000003"/>
    <n v="0"/>
    <n v="1.5"/>
    <n v="0.36"/>
    <n v="3.8536058966400014E-3"/>
    <n v="0"/>
  </r>
  <r>
    <s v="Høns af slagtetype"/>
    <n v="3205"/>
    <s v="producerede slagtekyllinger, levende vægt ved slagtning 1,67 kg"/>
    <x v="15"/>
    <s v="Levende vægt ved slagtning"/>
    <x v="0"/>
    <n v="320501"/>
    <n v="323706"/>
    <n v="0"/>
    <m/>
    <s v="Dybstrøelse"/>
    <m/>
    <m/>
    <n v="0"/>
    <n v="1.7800000000000001E-3"/>
    <n v="0"/>
    <n v="0.48"/>
    <m/>
    <m/>
    <n v="0.85401552000000003"/>
    <n v="0"/>
    <n v="1.5"/>
    <n v="0.36"/>
    <n v="3.0898281513600007E-3"/>
    <n v="0"/>
  </r>
  <r>
    <s v="Høns af slagtetype"/>
    <n v="3230"/>
    <s v="producerede slagtekyllinger, 30 dage "/>
    <x v="15"/>
    <s v="Produktionstid 30 dage"/>
    <x v="0"/>
    <n v="323001"/>
    <n v="326231"/>
    <n v="0"/>
    <m/>
    <s v="Dybstrøelse"/>
    <m/>
    <m/>
    <n v="0"/>
    <n v="1.0300000000000001E-3"/>
    <n v="0"/>
    <n v="0.48"/>
    <n v="0"/>
    <n v="0"/>
    <n v="0.49417751999999998"/>
    <n v="0"/>
    <n v="1.5"/>
    <n v="0.36"/>
    <n v="1.7879342673599999E-3"/>
    <n v="0"/>
  </r>
  <r>
    <s v="Høns af slagtetype"/>
    <n v="3232"/>
    <s v="producerede slagtekyllinger, 32 dage"/>
    <x v="15"/>
    <s v="Produktionstid 32 dage"/>
    <x v="0"/>
    <n v="323201"/>
    <n v="326433"/>
    <n v="0"/>
    <m/>
    <s v="Dybstrøelse"/>
    <m/>
    <m/>
    <n v="0"/>
    <n v="1.17E-3"/>
    <n v="0"/>
    <n v="0.48"/>
    <n v="0"/>
    <n v="0"/>
    <n v="0.56134728"/>
    <n v="0"/>
    <n v="1.5"/>
    <n v="0.36"/>
    <n v="2.0309544590399998E-3"/>
    <n v="0"/>
  </r>
  <r>
    <s v="Høns af slagtetype"/>
    <n v="3235"/>
    <s v="producerede slagtekyllinger, 35 dage"/>
    <x v="15"/>
    <s v="Produktionstid 35 dage"/>
    <x v="0"/>
    <n v="323501"/>
    <n v="326736"/>
    <n v="0"/>
    <m/>
    <s v="Dybstrøelse"/>
    <m/>
    <m/>
    <n v="0"/>
    <n v="1.39E-3"/>
    <n v="0"/>
    <n v="0.48"/>
    <n v="0"/>
    <n v="0"/>
    <n v="0.66689975999999995"/>
    <n v="0"/>
    <n v="1.5"/>
    <n v="0.36"/>
    <n v="2.4128433316800003E-3"/>
    <n v="0"/>
  </r>
  <r>
    <s v="Høns af slagtetype"/>
    <n v="3240"/>
    <s v="producerede slagtekyllinger, 40 dage"/>
    <x v="15"/>
    <s v="Produktionstid 40 dage"/>
    <x v="0"/>
    <n v="324001"/>
    <n v="327241"/>
    <n v="0"/>
    <m/>
    <s v="Dybstrøelse"/>
    <m/>
    <m/>
    <n v="0"/>
    <n v="1.7800000000000001E-3"/>
    <n v="0"/>
    <n v="0.48"/>
    <n v="0"/>
    <n v="0"/>
    <n v="0.85401552000000003"/>
    <n v="0"/>
    <n v="1.5"/>
    <n v="0.36"/>
    <n v="3.0898281513600007E-3"/>
    <n v="0"/>
  </r>
  <r>
    <s v="Høns af slagtetype"/>
    <n v="3245"/>
    <s v="producerede slagtekyllinger, 45 dage"/>
    <x v="15"/>
    <s v="Produktionstid 45 dage"/>
    <x v="0"/>
    <n v="324501"/>
    <n v="327746"/>
    <n v="0"/>
    <m/>
    <s v="Dybstrøelse"/>
    <m/>
    <m/>
    <n v="0"/>
    <n v="2.2200000000000002E-3"/>
    <n v="0"/>
    <n v="0.48"/>
    <n v="0"/>
    <n v="0"/>
    <n v="1.0651204800000003"/>
    <n v="0"/>
    <n v="1.5"/>
    <n v="0.36"/>
    <n v="3.8536058966400014E-3"/>
    <n v="0"/>
  </r>
  <r>
    <s v="Høns af slagtetype"/>
    <n v="3256"/>
    <s v="producerede skrabekyllinger, 56 dage "/>
    <x v="15"/>
    <s v="Skrabekyllinger, 44 dage"/>
    <x v="0"/>
    <n v="325601"/>
    <n v="328857"/>
    <n v="0"/>
    <m/>
    <s v="Dybstrøelse"/>
    <m/>
    <m/>
    <n v="0"/>
    <n v="1.57E-3"/>
    <n v="0"/>
    <n v="0.48"/>
    <n v="0"/>
    <n v="0"/>
    <n v="0.75326088000000013"/>
    <n v="0"/>
    <n v="1.5"/>
    <n v="0.36"/>
    <n v="2.7252978638400011E-3"/>
    <n v="0"/>
  </r>
  <r>
    <s v="Høns af slagtetype"/>
    <n v="3281"/>
    <s v="Økologiske slagtekyllinger, 63 dage "/>
    <x v="15"/>
    <s v="Økologiske slagtekyllinger, 63 dage"/>
    <x v="0"/>
    <n v="328101"/>
    <n v="331382"/>
    <n v="0"/>
    <m/>
    <s v="Dybstrøelse"/>
    <m/>
    <m/>
    <n v="0"/>
    <n v="2.0899999999999998E-3"/>
    <n v="0"/>
    <n v="0.5"/>
    <n v="0"/>
    <n v="0"/>
    <n v="1.0445297499999999"/>
    <n v="0"/>
    <n v="1.5"/>
    <n v="0.36"/>
    <n v="3.7791086355000001E-3"/>
    <n v="0"/>
  </r>
  <r>
    <s v="Høns af slagtetype"/>
    <n v="3290"/>
    <s v="Rugeæg (hpr-høner), "/>
    <x v="15"/>
    <s v="Rugeæg (hpr-høner), gulvdrift + gødningskummer"/>
    <x v="0"/>
    <n v="329001"/>
    <n v="332291"/>
    <n v="0"/>
    <m/>
    <s v="Dybstrøelse"/>
    <m/>
    <m/>
    <n v="0"/>
    <n v="1.6299999999999999E-2"/>
    <n v="0"/>
    <n v="0.63300000000000001"/>
    <n v="0"/>
    <n v="0"/>
    <n v="10.313256944999999"/>
    <n v="0"/>
    <n v="1.5"/>
    <n v="0.39"/>
    <n v="4.0422810595927498E-2"/>
    <n v="0"/>
  </r>
  <r>
    <s v="Høns af slagtetype"/>
    <n v="3295"/>
    <s v="Hønniker, Hpr "/>
    <x v="15"/>
    <s v="Rugeæg (hpr), gulvdrift, produktionstid 119 dage"/>
    <x v="0"/>
    <n v="329501"/>
    <n v="332796"/>
    <n v="0"/>
    <m/>
    <s v="Dybstrøelse"/>
    <m/>
    <m/>
    <n v="0"/>
    <n v="1.5E-3"/>
    <n v="0"/>
    <n v="0.48"/>
    <n v="0"/>
    <n v="0"/>
    <n v="0.71967599999999998"/>
    <n v="0"/>
    <n v="1.5"/>
    <n v="0.39"/>
    <n v="2.8207700820000008E-3"/>
    <n v="0"/>
  </r>
  <r>
    <s v="Kalkuner"/>
    <n v="3301"/>
    <s v="Kalkuner, tunge hunner, produktionstid 112 dage "/>
    <x v="15"/>
    <s v="Kalkuner, tunge hunner, produktionstid 112 dage"/>
    <x v="0"/>
    <n v="330101"/>
    <n v="333402"/>
    <n v="0"/>
    <m/>
    <s v="Dybstrøelse"/>
    <m/>
    <m/>
    <n v="0"/>
    <n v="1.01E-2"/>
    <n v="0"/>
    <n v="0.48"/>
    <n v="0"/>
    <n v="0"/>
    <n v="4.8458183999999997"/>
    <n v="0"/>
    <n v="1.5"/>
    <n v="0.36"/>
    <n v="1.7532170971199999E-2"/>
    <n v="0"/>
  </r>
  <r>
    <s v="Kalkuner"/>
    <n v="3302"/>
    <s v="Kalkuner, tunge hanner, produktionstid 147 dage"/>
    <x v="15"/>
    <s v="Kalkuner, tunge hanner, produktionstid 147 dage"/>
    <x v="0"/>
    <n v="330201"/>
    <n v="333503"/>
    <n v="0"/>
    <m/>
    <s v="Dybstrøelse"/>
    <m/>
    <m/>
    <n v="0"/>
    <n v="2.0199999999999999E-2"/>
    <n v="0"/>
    <n v="0.48"/>
    <n v="0"/>
    <n v="0"/>
    <n v="9.6916367999999995"/>
    <n v="0"/>
    <n v="1.5"/>
    <n v="0.36"/>
    <n v="3.5064341942399997E-2"/>
    <n v="0"/>
  </r>
  <r>
    <s v="Gæs"/>
    <n v="3400"/>
    <s v="Gæs, produktionstid 91 dage (100 stk)"/>
    <x v="15"/>
    <s v="Gæs, produktionstid 91 dage"/>
    <x v="5"/>
    <n v="340001"/>
    <n v="343401"/>
    <n v="0"/>
    <m/>
    <s v="Dybstrøelse"/>
    <m/>
    <m/>
    <n v="0"/>
    <n v="1.9599999999999999E-2"/>
    <n v="0"/>
    <n v="0.35"/>
    <n v="0"/>
    <n v="0"/>
    <n v="6.8569129999999987"/>
    <n v="0"/>
    <n v="1.5"/>
    <n v="0.36"/>
    <n v="2.4808311233999993E-2"/>
    <n v="0"/>
  </r>
  <r>
    <s v="Ænder"/>
    <n v="3500"/>
    <s v="Ænder, produktionstid 52 dage "/>
    <x v="15"/>
    <s v="Ænder, produktionstid 52 dage"/>
    <x v="0"/>
    <n v="350001"/>
    <n v="353501"/>
    <n v="0"/>
    <m/>
    <s v="Dybstrøelse"/>
    <m/>
    <m/>
    <n v="0"/>
    <n v="0.01"/>
    <n v="0"/>
    <n v="0.35"/>
    <n v="0"/>
    <n v="0"/>
    <n v="3.4984249999999997"/>
    <n v="0"/>
    <n v="1.5"/>
    <n v="0.36"/>
    <n v="1.2657301650000001E-2"/>
    <n v="0"/>
  </r>
  <r>
    <s v="Fasaner"/>
    <n v="4401"/>
    <s v="Fasaner, høner"/>
    <x v="15"/>
    <s v="Fasan, høner, 100 stk, avlsdyr"/>
    <x v="3"/>
    <n v="440101"/>
    <n v="444502"/>
    <s v=" "/>
    <s v="Dybstrøelse"/>
    <m/>
    <m/>
    <m/>
    <s v=" "/>
    <m/>
    <s v=" "/>
    <m/>
    <m/>
    <m/>
    <n v="0"/>
    <n v="0"/>
    <m/>
    <m/>
    <n v="0"/>
    <n v="0"/>
  </r>
  <r>
    <s v="Fasaner"/>
    <n v="4402"/>
    <s v="Fasaner, opdræt"/>
    <x v="15"/>
    <s v="Fasan, opdræt, 1000 stk."/>
    <x v="3"/>
    <n v="440201"/>
    <n v="444603"/>
    <s v=" "/>
    <m/>
    <m/>
    <m/>
    <m/>
    <s v=" "/>
    <m/>
    <s v=" "/>
    <m/>
    <m/>
    <m/>
    <n v="0"/>
    <n v="0"/>
    <m/>
    <m/>
    <n v="0"/>
    <s v="-"/>
  </r>
  <r>
    <s v="Andet"/>
    <n v="4501"/>
    <s v="Agerhøns, avlsdyr, 100 stk,"/>
    <x v="15"/>
    <s v="Agerhøns, avlsdyr, 100 stk,"/>
    <x v="3"/>
    <n v="450101"/>
    <n v="454602"/>
    <n v="0"/>
    <s v="Dybstrøelse"/>
    <m/>
    <m/>
    <m/>
    <n v="0"/>
    <n v="1.57E-3"/>
    <n v="0"/>
    <n v="0.48"/>
    <n v="0"/>
    <n v="0"/>
    <n v="0.75326088000000013"/>
    <n v="0"/>
    <n v="1.5"/>
    <n v="0.36"/>
    <n v="2.7252978638400011E-3"/>
    <n v="0"/>
  </r>
  <r>
    <s v="Andet"/>
    <n v="4502"/>
    <s v="Agerhøns, opdræt"/>
    <x v="15"/>
    <s v="Agerhøns, opdræt, 1000 stk."/>
    <x v="3"/>
    <n v="450201"/>
    <n v="454703"/>
    <s v=" "/>
    <m/>
    <m/>
    <m/>
    <m/>
    <s v=" "/>
    <m/>
    <s v=" "/>
    <m/>
    <m/>
    <m/>
    <n v="0"/>
    <n v="0"/>
    <m/>
    <m/>
    <n v="0"/>
    <n v="0"/>
  </r>
  <r>
    <s v="Andet"/>
    <n v="4701"/>
    <s v="Struds, kylling, 0-3 mdr,, 100 producerede dyr"/>
    <x v="15"/>
    <s v="Struds, kylling, 0-3 mdr,, 100 producerede dyr"/>
    <x v="3"/>
    <n v="470101"/>
    <n v="474802"/>
    <n v="0"/>
    <s v="Dybstrøelse"/>
    <m/>
    <m/>
    <m/>
    <n v="0"/>
    <m/>
    <n v="0"/>
    <m/>
    <m/>
    <m/>
    <m/>
    <m/>
    <m/>
    <m/>
    <n v="5.67"/>
    <n v="0"/>
  </r>
  <r>
    <s v="Andet"/>
    <n v="4703"/>
    <s v="Struds, kylling, 3-14 mdr,, 10 producerede dyr"/>
    <x v="15"/>
    <s v="Struds, kylling, 3-14 mdr,, 10 producerede dyr"/>
    <x v="3"/>
    <n v="470301"/>
    <n v="475004"/>
    <n v="0"/>
    <s v="Dybstrøelse"/>
    <m/>
    <m/>
    <m/>
    <n v="0"/>
    <m/>
    <n v="0"/>
    <m/>
    <m/>
    <m/>
    <m/>
    <m/>
    <m/>
    <m/>
    <n v="5.67"/>
    <n v="0"/>
  </r>
  <r>
    <s v="Andet"/>
    <n v="4705"/>
    <s v="Struds, voksen, hun, 10 årsdyr"/>
    <x v="15"/>
    <s v="Struds, voksen, hun, 10 årsdyr"/>
    <x v="3"/>
    <n v="470501"/>
    <n v="475206"/>
    <n v="0"/>
    <s v="Dybstrøelse"/>
    <m/>
    <m/>
    <m/>
    <n v="0"/>
    <m/>
    <n v="0"/>
    <m/>
    <m/>
    <m/>
    <m/>
    <m/>
    <m/>
    <m/>
    <n v="5.67"/>
    <n v="0"/>
  </r>
  <r>
    <s v="Andet"/>
    <n v="4706"/>
    <s v="Struds, voksen, han, 10 årsdyr"/>
    <x v="15"/>
    <s v="Struds, voksen, han, 10 årsdyr"/>
    <x v="3"/>
    <n v="470601"/>
    <n v="475307"/>
    <n v="0"/>
    <s v="Dybstrøelse"/>
    <m/>
    <m/>
    <m/>
    <n v="0"/>
    <m/>
    <n v="0"/>
    <m/>
    <m/>
    <m/>
    <m/>
    <m/>
    <m/>
    <m/>
    <n v="5.67"/>
    <n v="0"/>
  </r>
  <r>
    <s v="Ræve"/>
    <n v="9923"/>
    <s v="Pelsdyr, andre staldsystemer (antal DE)"/>
    <x v="14"/>
    <s v="Andre ræve eller ræve, andre staldsystemer"/>
    <x v="0"/>
    <n v="992301"/>
    <n v="1002224"/>
    <n v="0"/>
    <s v="Anden husdyrgødning"/>
    <m/>
    <s v="NE"/>
    <s v="NE"/>
    <s v=" "/>
    <n v="4.5199999999999996"/>
    <n v="0"/>
    <n v="0.26"/>
    <n v="0"/>
    <n v="0"/>
    <s v="NE"/>
    <s v="NE"/>
    <n v="10.14"/>
    <n v="0.25"/>
    <s v="NE"/>
    <s v="-"/>
  </r>
  <r>
    <s v="Kvæg"/>
    <m/>
    <s v="1 avlstyr (1 årsdyr), Jersey, over 328 kg"/>
    <x v="6"/>
    <s v="Bindestald med grebning"/>
    <x v="1"/>
    <m/>
    <n v="0"/>
    <s v=" "/>
    <s v="Alje"/>
    <m/>
    <n v="2.56"/>
    <n v="3.1E-2"/>
    <s v=" "/>
    <m/>
    <s v=" "/>
    <m/>
    <n v="132"/>
    <n v="181"/>
    <n v="40.527956164383561"/>
    <n v="22.960043835616439"/>
    <n v="12.5"/>
    <n v="0.18"/>
    <n v="0.95708159999999998"/>
    <n v="0"/>
  </r>
  <r>
    <s v="Kvæg"/>
    <m/>
    <s v="1 avlstyr (1 årsdyr), tung race, over 440 kg"/>
    <x v="6"/>
    <s v="Bindestald med grebning"/>
    <x v="1"/>
    <m/>
    <n v="0"/>
    <s v=" "/>
    <s v="Ajle"/>
    <m/>
    <n v="3.17"/>
    <n v="3.4000000000000002E-2"/>
    <s v=" "/>
    <m/>
    <s v=" "/>
    <m/>
    <n v="18"/>
    <n v="181"/>
    <n v="81.971857534246595"/>
    <n v="4.2521424657534252"/>
    <n v="12.5"/>
    <n v="0.18"/>
    <n v="1.2998268000000004"/>
    <s v="-"/>
  </r>
  <r>
    <s v="Kvæg"/>
    <m/>
    <s v="1 stk. slagtekalve 6 mdr. - slagtning (328 kg), Jersey."/>
    <x v="5"/>
    <s v="Bindestald med grebning"/>
    <x v="1"/>
    <m/>
    <n v="0"/>
    <s v=" "/>
    <s v="Ajle"/>
    <m/>
    <n v="1.07"/>
    <n v="3.1E-2"/>
    <s v=" "/>
    <m/>
    <s v=" "/>
    <m/>
    <n v="18"/>
    <n v="181"/>
    <n v="25.227375342465756"/>
    <n v="1.3086246575342466"/>
    <n v="12.5"/>
    <n v="0.18"/>
    <n v="0.40003020000000006"/>
    <s v="-"/>
  </r>
  <r>
    <s v="Kvæg"/>
    <m/>
    <s v="1 stk. slagtekalve, 6 mdr. - slagtning (440 kg), tung race."/>
    <x v="5"/>
    <s v="Bindestald med grebning"/>
    <x v="1"/>
    <m/>
    <n v="0"/>
    <s v=" "/>
    <s v="Ajle"/>
    <m/>
    <n v="1.36"/>
    <n v="3.1E-2"/>
    <s v=" "/>
    <m/>
    <s v=" "/>
    <m/>
    <n v="18"/>
    <n v="181"/>
    <n v="32.064701369863009"/>
    <n v="1.6632986301369863"/>
    <n v="12.5"/>
    <n v="0.18"/>
    <n v="0.50844959999999995"/>
    <s v="-"/>
  </r>
  <r>
    <s v="Kvæg"/>
    <m/>
    <s v="1 årsammeko uden opdræt (400-600 kg)"/>
    <x v="7"/>
    <s v="Bindestald med grebning"/>
    <x v="1"/>
    <m/>
    <n v="0"/>
    <s v=" "/>
    <s v="Ajle"/>
    <m/>
    <n v="4.17"/>
    <n v="3.7999999999999999E-2"/>
    <s v=" "/>
    <m/>
    <s v=" "/>
    <m/>
    <n v="132"/>
    <n v="181"/>
    <n v="80.923134246575344"/>
    <n v="45.844865753424664"/>
    <n v="12.5"/>
    <n v="0.18"/>
    <n v="1.9110276000000002"/>
    <s v="-"/>
  </r>
  <r>
    <s v="Kvæg"/>
    <m/>
    <s v="1 årsammeko uden opdræt (over 600 kg)"/>
    <x v="7"/>
    <s v="Bindestald med grebning"/>
    <x v="1"/>
    <m/>
    <n v="0"/>
    <s v=" "/>
    <s v="Ajle"/>
    <m/>
    <n v="4.8"/>
    <n v="3.7999999999999999E-2"/>
    <s v=" "/>
    <m/>
    <s v=" "/>
    <m/>
    <n v="132"/>
    <n v="181"/>
    <n v="93.148931506849308"/>
    <n v="52.771068493150686"/>
    <n v="12.5"/>
    <n v="0.18"/>
    <n v="2.1997439999999999"/>
    <s v="-"/>
  </r>
  <r>
    <s v="Kvæg"/>
    <m/>
    <s v="1 årsammeko uden opdræt (under 400 kg)"/>
    <x v="7"/>
    <s v="Bindestald med grebning"/>
    <x v="1"/>
    <m/>
    <n v="0"/>
    <s v=" "/>
    <s v="Ajle"/>
    <m/>
    <n v="2.86"/>
    <n v="3.7999999999999999E-2"/>
    <s v=" "/>
    <m/>
    <s v=" "/>
    <m/>
    <n v="132"/>
    <n v="181"/>
    <n v="55.501238356164379"/>
    <n v="31.442761643835617"/>
    <n v="2"/>
    <n v="0.18"/>
    <n v="0.20970892799999999"/>
    <s v="-"/>
  </r>
  <r>
    <s v="Kvæg"/>
    <m/>
    <s v="1 årsko uden opdræt, malkekvæg, Jersey"/>
    <x v="1"/>
    <s v="Bindestald med grebning"/>
    <x v="1"/>
    <m/>
    <n v="0"/>
    <s v=" "/>
    <s v="Ajle"/>
    <m/>
    <n v="12.95"/>
    <n v="3.4000000000000002E-2"/>
    <s v=" "/>
    <m/>
    <s v=" "/>
    <m/>
    <n v="18"/>
    <n v="181"/>
    <n v="334.86926027397266"/>
    <n v="17.370739726027399"/>
    <n v="12.5"/>
    <n v="0.24"/>
    <n v="7.0800240000000034"/>
    <s v="-"/>
  </r>
  <r>
    <s v="Kvæg"/>
    <m/>
    <s v="1 årsko uden opdræt, malkekvæg, tung race"/>
    <x v="1"/>
    <s v="Bindestald med grebning"/>
    <x v="1"/>
    <m/>
    <n v="0"/>
    <s v=" "/>
    <s v="Ajle"/>
    <m/>
    <n v="15.85"/>
    <n v="3.4000000000000002E-2"/>
    <s v=" "/>
    <m/>
    <s v=" "/>
    <m/>
    <n v="18"/>
    <n v="181"/>
    <n v="409.85928767123289"/>
    <n v="21.260712328767127"/>
    <n v="12.5"/>
    <n v="0.24"/>
    <n v="8.6655120000000014"/>
    <s v="-"/>
  </r>
  <r>
    <s v="Kvæg"/>
    <m/>
    <s v="1 årsopdræt (kvier/stude 6 mdr. - kælvning (25 mdr)/slagtning, Jersey)"/>
    <x v="3"/>
    <s v="Bindestald med grebning"/>
    <x v="1"/>
    <m/>
    <n v="0"/>
    <s v=" "/>
    <s v="Ajle"/>
    <m/>
    <n v="2.56"/>
    <n v="3.1E-2"/>
    <s v=" "/>
    <m/>
    <s v=" "/>
    <m/>
    <n v="132"/>
    <n v="181"/>
    <n v="40.527956164383561"/>
    <n v="22.960043835616439"/>
    <n v="12.5"/>
    <n v="0.18"/>
    <n v="0.95708159999999998"/>
    <s v="-"/>
  </r>
  <r>
    <s v="Kvæg"/>
    <m/>
    <s v="1 årsopdræt (kvier/stude 6 mdr. - kælvning (27 mdr)/slagtning, tung race)"/>
    <x v="3"/>
    <s v="Bindestald med grebning"/>
    <x v="1"/>
    <m/>
    <n v="0"/>
    <s v=" "/>
    <s v="Ajle"/>
    <m/>
    <n v="3.17"/>
    <n v="3.4000000000000002E-2"/>
    <s v=" "/>
    <m/>
    <s v=" "/>
    <m/>
    <n v="132"/>
    <n v="181"/>
    <n v="55.041621917808222"/>
    <n v="31.182378082191786"/>
    <n v="12.5"/>
    <n v="0.18"/>
    <n v="1.2998267999999999"/>
    <s v="-"/>
  </r>
  <r>
    <s v="Svin"/>
    <m/>
    <s v="1 årsso, øko m, 23,4 grise til 15 kg, andel fra løbe- og drægtighedsperioden"/>
    <x v="9"/>
    <s v="Dyb, hele areal inde, Løbegård (50/50) ude"/>
    <x v="4"/>
    <m/>
    <n v="0"/>
    <s v=" "/>
    <m/>
    <s v="Dybstrøelse"/>
    <m/>
    <m/>
    <s v=" "/>
    <n v="0.8"/>
    <s v=" "/>
    <n v="0.33"/>
    <n v="181"/>
    <n v="181"/>
    <n v="133.02504328767125"/>
    <n v="0"/>
    <n v="13.7"/>
    <n v="0.45"/>
    <n v="5.4946659255189054"/>
    <s v="-"/>
  </r>
  <r>
    <s v="Svin"/>
    <m/>
    <s v="Antal producerede slagtesvin, økologiske 31-113 kg"/>
    <x v="11"/>
    <s v="Dybstr, (hele arealet) inde, Løbegård (50/50) ude"/>
    <x v="3"/>
    <m/>
    <n v="0"/>
    <s v=" "/>
    <m/>
    <s v="Dybstrøelse"/>
    <n v="0.7"/>
    <n v="0.33"/>
    <s v=" "/>
    <m/>
    <s v=" "/>
    <n v="0.33"/>
    <n v="0"/>
    <n v="0"/>
    <n v="184.79999999999998"/>
    <n v="0"/>
    <n v="14.7"/>
    <n v="0.45"/>
    <n v="8.1904283999999983"/>
    <s v="-"/>
  </r>
  <r>
    <s v="Svin"/>
    <m/>
    <s v="Antal producerede smågrise, økologiske fra 15 - 31 kg"/>
    <x v="10"/>
    <s v="Dybstr, (hele arealet) inde, Løbegård (50/50) ude"/>
    <x v="3"/>
    <m/>
    <n v="0"/>
    <s v=" "/>
    <m/>
    <s v="Dybstrøelse"/>
    <m/>
    <m/>
    <s v=" "/>
    <n v="0.01"/>
    <s v=" "/>
    <n v="0.33"/>
    <n v="0"/>
    <n v="0"/>
    <n v="3.2985150000000005"/>
    <n v="0"/>
    <n v="7.2"/>
    <n v="0.45"/>
    <n v="7.1604163620000022E-2"/>
    <s v="-"/>
  </r>
  <r>
    <s v="Kvæg"/>
    <m/>
    <s v="1 avlstyr (1 årsdyr), tung race, over 440 kg"/>
    <x v="6"/>
    <s v="Dybstrøelse, lang ædeplads med fast gulv"/>
    <x v="3"/>
    <m/>
    <n v="0"/>
    <s v=" "/>
    <m/>
    <s v="Dybstrøelse"/>
    <m/>
    <m/>
    <s v=" "/>
    <n v="4.2"/>
    <s v=" "/>
    <n v="0.3"/>
    <n v="18"/>
    <n v="181"/>
    <n v="1197.3239753424657"/>
    <n v="0"/>
    <n v="17"/>
    <n v="0.18"/>
    <n v="24.54753614247123"/>
    <s v="-"/>
  </r>
  <r>
    <s v="Kvæg"/>
    <m/>
    <s v="1 stk. slagtekalve, 6 mdr. - slagtning (440 kg), tung race."/>
    <x v="5"/>
    <s v="Dybstrøelse, lang ædeplads med fast gulv"/>
    <x v="3"/>
    <m/>
    <n v="0"/>
    <s v=" "/>
    <m/>
    <s v="Dybstrøelse"/>
    <m/>
    <m/>
    <s v=" "/>
    <n v="1.91"/>
    <s v=" "/>
    <n v="0.3"/>
    <n v="18"/>
    <n v="181"/>
    <n v="544.49733164383565"/>
    <n v="22.606027397260277"/>
    <n v="3"/>
    <n v="0.18"/>
    <n v="2.0517799530106853"/>
    <s v="-"/>
  </r>
  <r>
    <s v="Kvæg"/>
    <m/>
    <s v="1 årsammeko uden opdræt (400-600 kg)"/>
    <x v="7"/>
    <s v="Dybstrøelse, lang ædeplads med fast gulv"/>
    <x v="3"/>
    <m/>
    <n v="0"/>
    <s v=" "/>
    <m/>
    <s v="Dybstrøelse"/>
    <m/>
    <m/>
    <s v=" "/>
    <n v="6.67"/>
    <s v=" "/>
    <n v="0.3"/>
    <n v="132"/>
    <n v="181"/>
    <n v="1276.7758771232877"/>
    <n v="578.91945205479453"/>
    <n v="17"/>
    <n v="0.18"/>
    <n v="38.045465638809048"/>
    <s v="-"/>
  </r>
  <r>
    <s v="Kvæg"/>
    <m/>
    <s v="1 årsammeko uden opdræt (over 600 kg)"/>
    <x v="7"/>
    <s v="Dybstrøelse, lang ædeplads med fast gulv"/>
    <x v="3"/>
    <m/>
    <n v="0"/>
    <s v=" "/>
    <m/>
    <s v="Dybstrøelse"/>
    <m/>
    <m/>
    <s v=" "/>
    <n v="6.95"/>
    <s v=" "/>
    <n v="0.3"/>
    <n v="132"/>
    <n v="181"/>
    <n v="1330.3736650684932"/>
    <n v="603.22191780821913"/>
    <n v="17"/>
    <n v="0.18"/>
    <n v="39.642576640138358"/>
    <s v="-"/>
  </r>
  <r>
    <s v="Kvæg"/>
    <m/>
    <s v="1 årsammeko uden opdræt (under 400 kg)"/>
    <x v="7"/>
    <s v="Dybstrøelse, lang ædeplads med fast gulv"/>
    <x v="3"/>
    <m/>
    <n v="0"/>
    <s v=" "/>
    <m/>
    <s v="Dybstrøelse"/>
    <m/>
    <m/>
    <s v=" "/>
    <n v="4.88"/>
    <s v=" "/>
    <n v="0.3"/>
    <n v="132"/>
    <n v="181"/>
    <n v="934.13287561643835"/>
    <n v="423.55726027397259"/>
    <n v="17"/>
    <n v="0.18"/>
    <n v="27.835363166025203"/>
    <s v="-"/>
  </r>
  <r>
    <s v="Kvæg"/>
    <m/>
    <s v="1 årsko uden opdræt, malkekvæg, Jersey"/>
    <x v="1"/>
    <s v="Dybstrøelse, lang ædeplads med fast gulv"/>
    <x v="3"/>
    <m/>
    <n v="0"/>
    <s v=" "/>
    <m/>
    <s v="Dybstrøelse"/>
    <m/>
    <m/>
    <s v=" "/>
    <n v="10.24"/>
    <s v=" "/>
    <n v="0.28999999999999998"/>
    <n v="18"/>
    <n v="181"/>
    <n v="2821.8835533150677"/>
    <n v="117.1568219178082"/>
    <n v="17"/>
    <n v="0.24"/>
    <n v="80.341607697365902"/>
    <s v="-"/>
  </r>
  <r>
    <s v="Kvæg"/>
    <m/>
    <s v="1 årsko uden opdræt, malkekvæg, tung race"/>
    <x v="1"/>
    <s v="Dybstrøelse, lang ædeplads med fast gulv"/>
    <x v="3"/>
    <m/>
    <n v="0"/>
    <s v=" "/>
    <m/>
    <s v="Dybstrøelse"/>
    <m/>
    <m/>
    <s v=" "/>
    <n v="12.72"/>
    <s v=" "/>
    <n v="0.28699999999999998"/>
    <n v="18"/>
    <n v="181"/>
    <n v="3469.0466645589036"/>
    <n v="144.02524931506849"/>
    <n v="17"/>
    <n v="0.24"/>
    <n v="98.766933837658897"/>
    <s v="-"/>
  </r>
  <r>
    <s v="Kvæg"/>
    <m/>
    <s v="1 årsopdræt (kvier/stude 6 mdr. - kælvning (25 mdr)/slagtning, Jersey)"/>
    <x v="3"/>
    <s v="Dybstrøelse, lang ædeplads med fast gulv"/>
    <x v="3"/>
    <m/>
    <n v="0"/>
    <s v=" "/>
    <m/>
    <s v="Dybstrøelse"/>
    <m/>
    <m/>
    <s v=" "/>
    <n v="3.31"/>
    <s v=" "/>
    <n v="0.3"/>
    <n v="132"/>
    <n v="181"/>
    <n v="633.60242178082194"/>
    <n v="287.28986301369866"/>
    <n v="17"/>
    <n v="0.18"/>
    <n v="18.880133622857265"/>
    <s v="-"/>
  </r>
  <r>
    <s v="Kvæg"/>
    <m/>
    <s v="1 årsopdræt (kvier/stude 6 mdr. - kælvning (27 mdr)/slagtning, tung race)"/>
    <x v="3"/>
    <s v="Dybstrøelse, lang ædeplads med fast gulv"/>
    <x v="3"/>
    <m/>
    <n v="0"/>
    <s v=" "/>
    <m/>
    <s v="Dybstrøelse"/>
    <m/>
    <m/>
    <s v=" "/>
    <n v="4.2"/>
    <s v=" "/>
    <n v="0.3"/>
    <n v="132"/>
    <n v="181"/>
    <n v="803.96681917808223"/>
    <n v="364.53698630136989"/>
    <n v="17"/>
    <n v="0.18"/>
    <n v="23.956665019939731"/>
    <s v="-"/>
  </r>
  <r>
    <s v="Kvæg"/>
    <m/>
    <s v="1 stk. slagtekalve, 6 mdr. - slagtning (440 kg), tung race."/>
    <x v="5"/>
    <s v="Dybstrøelse, lang ædeplads med spalter (kanal, bag"/>
    <x v="3"/>
    <m/>
    <n v="0"/>
    <s v=" "/>
    <m/>
    <s v="Dybstrøelse"/>
    <m/>
    <m/>
    <s v=" "/>
    <n v="1.91"/>
    <s v=" "/>
    <n v="0.3"/>
    <n v="18"/>
    <n v="181"/>
    <n v="544.49733164383565"/>
    <n v="22.606027397260277"/>
    <n v="17"/>
    <n v="0.18"/>
    <n v="11.626753067060548"/>
    <s v="-"/>
  </r>
  <r>
    <s v="Kvæg"/>
    <m/>
    <s v="1 årsammeko uden opdræt (400-600 kg)"/>
    <x v="7"/>
    <s v="Dybstrøelse, lang ædeplads med spalter (kanal, bag"/>
    <x v="3"/>
    <m/>
    <n v="0"/>
    <s v=" "/>
    <m/>
    <s v="Dybstrøelse"/>
    <m/>
    <m/>
    <s v=" "/>
    <n v="6.67"/>
    <s v=" "/>
    <n v="0.3"/>
    <n v="132"/>
    <n v="181"/>
    <n v="1276.7758771232877"/>
    <n v="578.91945205479453"/>
    <n v="17"/>
    <n v="0.18"/>
    <n v="38.045465638809048"/>
    <s v="-"/>
  </r>
  <r>
    <s v="Kvæg"/>
    <m/>
    <s v="1 årsammeko uden opdræt (over 600 kg)"/>
    <x v="7"/>
    <s v="Dybstrøelse, lang ædeplads med spalter (kanal, bag"/>
    <x v="3"/>
    <m/>
    <n v="0"/>
    <s v=" "/>
    <m/>
    <s v="Dybstrøelse"/>
    <m/>
    <m/>
    <s v=" "/>
    <n v="6.95"/>
    <s v=" "/>
    <n v="0.3"/>
    <n v="132"/>
    <n v="181"/>
    <n v="1330.3736650684932"/>
    <n v="603.22191780821913"/>
    <n v="17"/>
    <n v="0.18"/>
    <n v="39.642576640138358"/>
    <s v="-"/>
  </r>
  <r>
    <s v="Kvæg"/>
    <m/>
    <s v="1 årsammeko uden opdræt (under 400 kg)"/>
    <x v="7"/>
    <s v="Dybstrøelse, lang ædeplads med spalter (kanal, bag"/>
    <x v="3"/>
    <m/>
    <n v="0"/>
    <s v=" "/>
    <m/>
    <s v="Dybstrøelse"/>
    <m/>
    <m/>
    <s v=" "/>
    <n v="4.88"/>
    <s v=" "/>
    <n v="0.3"/>
    <n v="132"/>
    <n v="181"/>
    <n v="934.13287561643835"/>
    <n v="423.55726027397259"/>
    <n v="17"/>
    <n v="0.18"/>
    <n v="27.835363166025203"/>
    <s v="-"/>
  </r>
  <r>
    <s v="Kvæg"/>
    <m/>
    <s v="1 årsko uden opdræt, malkekvæg, Jersey"/>
    <x v="1"/>
    <s v="Dybstrøelse, lang ædeplads med spalter (kanal, bag"/>
    <x v="3"/>
    <m/>
    <n v="0"/>
    <s v=" "/>
    <m/>
    <s v="Dybstrøelse"/>
    <m/>
    <m/>
    <s v=" "/>
    <n v="10.24"/>
    <s v=" "/>
    <n v="0.28699999999999998"/>
    <n v="18"/>
    <n v="181"/>
    <n v="2792.6916544876713"/>
    <n v="115.94485479452055"/>
    <n v="17"/>
    <n v="0.24"/>
    <n v="79.510487617738008"/>
    <s v="-"/>
  </r>
  <r>
    <s v="Kvæg"/>
    <m/>
    <s v="1 årsko uden opdræt, malkekvæg, tung race"/>
    <x v="1"/>
    <s v="Dybstrøelse, lang ædeplads med spalter (kanal, bag"/>
    <x v="3"/>
    <m/>
    <n v="0"/>
    <s v=" "/>
    <m/>
    <s v="Dybstrøelse"/>
    <m/>
    <m/>
    <s v=" "/>
    <n v="12.72"/>
    <s v=" "/>
    <n v="0.28699999999999998"/>
    <n v="18"/>
    <n v="181"/>
    <n v="3469.0466645589036"/>
    <n v="144.02524931506849"/>
    <n v="17"/>
    <n v="0.24"/>
    <n v="98.766933837658897"/>
    <s v="-"/>
  </r>
  <r>
    <s v="Kvæg"/>
    <m/>
    <s v="1 årsopdræt (kvier/stude 6 mdr. - kælvning (25 mdr)/slagtning, Jersey)"/>
    <x v="3"/>
    <s v="Dybstrøelse, lang ædeplads med spalter (kanal, bag"/>
    <x v="3"/>
    <m/>
    <n v="0"/>
    <s v=" "/>
    <m/>
    <s v="Dybstrøelse"/>
    <m/>
    <m/>
    <s v=" "/>
    <n v="3.31"/>
    <s v=" "/>
    <n v="0.3"/>
    <n v="132"/>
    <n v="181"/>
    <n v="633.60242178082194"/>
    <n v="287.28986301369866"/>
    <n v="17"/>
    <n v="0.18"/>
    <n v="18.880133622857265"/>
    <s v="-"/>
  </r>
  <r>
    <s v="Kvæg"/>
    <m/>
    <s v="1 årsopdræt (kvier/stude 6 mdr. - kælvning (27 mdr)/slagtning, tung race)"/>
    <x v="3"/>
    <s v="Dybstrøelse, lang ædeplads med spalter (kanal, bag"/>
    <x v="3"/>
    <m/>
    <n v="0"/>
    <s v=" "/>
    <m/>
    <s v="Dybstrøelse"/>
    <m/>
    <m/>
    <s v=" "/>
    <n v="4.2"/>
    <s v=" "/>
    <n v="0.3"/>
    <n v="132"/>
    <n v="181"/>
    <n v="803.96681917808223"/>
    <n v="364.53698630136989"/>
    <n v="17"/>
    <n v="0.18"/>
    <n v="23.956665019939731"/>
    <s v="-"/>
  </r>
  <r>
    <s v="Kvæg"/>
    <m/>
    <s v="1 avlstyr (1 årsdyr), tung race, over 440 kg"/>
    <x v="6"/>
    <s v="Dybstrøelse, lang ædeplads med spalter (kanal, lin"/>
    <x v="3"/>
    <m/>
    <n v="0"/>
    <s v=" "/>
    <m/>
    <s v="Dybstrøelse"/>
    <m/>
    <m/>
    <s v=" "/>
    <n v="4.2"/>
    <s v=" "/>
    <n v="0.3"/>
    <n v="18"/>
    <n v="181"/>
    <n v="1197.3239753424657"/>
    <n v="0"/>
    <n v="17"/>
    <n v="0.18"/>
    <n v="24.54753614247123"/>
    <s v="-"/>
  </r>
  <r>
    <s v="Kvæg"/>
    <m/>
    <s v="1 stk. slagtekalve, 6 mdr. - slagtning (440 kg), tung race."/>
    <x v="5"/>
    <s v="Dybstrøelse, lang ædeplads med spalter (kanal, lin"/>
    <x v="3"/>
    <m/>
    <n v="0"/>
    <s v=" "/>
    <m/>
    <s v="Dybstrøelse"/>
    <m/>
    <m/>
    <s v=" "/>
    <n v="1.91"/>
    <s v=" "/>
    <n v="0.3"/>
    <n v="18"/>
    <n v="181"/>
    <n v="544.49733164383565"/>
    <n v="22.606027397260277"/>
    <n v="17"/>
    <n v="0.18"/>
    <n v="11.626753067060548"/>
    <s v="-"/>
  </r>
  <r>
    <s v="Kvæg"/>
    <m/>
    <s v="1 årsammeko uden opdræt (400-600 kg)"/>
    <x v="7"/>
    <s v="Dybstrøelse, lang ædeplads med spalter (kanal, lin"/>
    <x v="3"/>
    <m/>
    <n v="0"/>
    <s v=" "/>
    <m/>
    <s v="Dybstrøelse"/>
    <m/>
    <m/>
    <s v=" "/>
    <n v="6.67"/>
    <s v=" "/>
    <n v="0.3"/>
    <n v="132"/>
    <n v="181"/>
    <n v="1276.7758771232877"/>
    <n v="578.91945205479453"/>
    <n v="17"/>
    <n v="0.18"/>
    <n v="38.045465638809048"/>
    <s v="-"/>
  </r>
  <r>
    <s v="Kvæg"/>
    <m/>
    <s v="1 årsammeko uden opdræt (over 600 kg)"/>
    <x v="7"/>
    <s v="Dybstrøelse, lang ædeplads med spalter (kanal, lin"/>
    <x v="3"/>
    <m/>
    <n v="0"/>
    <s v=" "/>
    <m/>
    <s v="Dybstrøelse"/>
    <m/>
    <m/>
    <s v=" "/>
    <n v="6.95"/>
    <s v=" "/>
    <n v="0.3"/>
    <n v="132"/>
    <n v="181"/>
    <n v="1330.3736650684932"/>
    <n v="603.22191780821913"/>
    <n v="17"/>
    <n v="0.18"/>
    <n v="39.642576640138358"/>
    <s v="-"/>
  </r>
  <r>
    <s v="Kvæg"/>
    <m/>
    <s v="1 årsammeko uden opdræt (under 400 kg)"/>
    <x v="7"/>
    <s v="Dybstrøelse, lang ædeplads med spalter (kanal, lin"/>
    <x v="3"/>
    <m/>
    <n v="0"/>
    <s v=" "/>
    <m/>
    <s v="Dybstrøelse"/>
    <m/>
    <m/>
    <s v=" "/>
    <n v="4.88"/>
    <s v=" "/>
    <n v="0.3"/>
    <n v="132"/>
    <n v="181"/>
    <n v="934.13287561643835"/>
    <n v="423.55726027397259"/>
    <n v="17"/>
    <n v="0.18"/>
    <n v="27.835363166025203"/>
    <s v="-"/>
  </r>
  <r>
    <s v="Kvæg"/>
    <m/>
    <s v="1 årsko uden opdræt, malkekvæg, Jersey"/>
    <x v="1"/>
    <s v="Dybstrøelse, lang ædeplads med spalter (kanal, lin"/>
    <x v="3"/>
    <m/>
    <n v="0"/>
    <s v=" "/>
    <m/>
    <s v="Dybstrøelse"/>
    <m/>
    <m/>
    <s v=" "/>
    <n v="10.24"/>
    <s v=" "/>
    <n v="0.28699999999999998"/>
    <n v="18"/>
    <n v="181"/>
    <n v="2792.6916544876713"/>
    <n v="115.94485479452055"/>
    <n v="17"/>
    <n v="0.24"/>
    <n v="79.510487617738008"/>
    <s v="-"/>
  </r>
  <r>
    <s v="Kvæg"/>
    <m/>
    <s v="1 årsko uden opdræt, malkekvæg, tung race"/>
    <x v="1"/>
    <s v="Dybstrøelse, lang ædeplads med spalter (kanal, lin"/>
    <x v="3"/>
    <m/>
    <n v="0"/>
    <s v=" "/>
    <m/>
    <s v="Dybstrøelse"/>
    <m/>
    <m/>
    <s v=" "/>
    <n v="12.72"/>
    <s v=" "/>
    <n v="0.28699999999999998"/>
    <n v="18"/>
    <n v="181"/>
    <n v="3469.0466645589036"/>
    <n v="144.02524931506849"/>
    <n v="17"/>
    <n v="0.24"/>
    <n v="98.766933837658897"/>
    <s v="-"/>
  </r>
  <r>
    <s v="Kvæg"/>
    <m/>
    <s v="1 årsopdræt (kvier/stude 6 mdr. - kælvning (25 mdr)/slagtning, Jersey)"/>
    <x v="3"/>
    <s v="Dybstrøelse, lang ædeplads med spalter (kanal, lin"/>
    <x v="3"/>
    <m/>
    <n v="0"/>
    <s v=" "/>
    <m/>
    <s v="Dybstrøelse"/>
    <m/>
    <m/>
    <s v=" "/>
    <n v="3.31"/>
    <s v=" "/>
    <n v="0.3"/>
    <n v="132"/>
    <n v="181"/>
    <n v="633.60242178082194"/>
    <n v="287.28986301369866"/>
    <n v="17"/>
    <n v="0.18"/>
    <n v="18.880133622857265"/>
    <s v="-"/>
  </r>
  <r>
    <s v="Kvæg"/>
    <m/>
    <s v="1 årsopdræt (kvier/stude 6 mdr. - kælvning (27 mdr)/slagtning, tung race)"/>
    <x v="3"/>
    <s v="Dybstrøelse, lang ædeplads med spalter (kanal, lin"/>
    <x v="3"/>
    <m/>
    <n v="0"/>
    <s v=" "/>
    <m/>
    <s v="Dybstrøelse"/>
    <m/>
    <m/>
    <s v=" "/>
    <n v="4.2"/>
    <s v=" "/>
    <n v="0.3"/>
    <n v="132"/>
    <n v="181"/>
    <n v="803.96681917808223"/>
    <n v="364.53698630136989"/>
    <n v="17"/>
    <n v="0.18"/>
    <n v="23.956665019939731"/>
    <s v="-"/>
  </r>
  <r>
    <s v="Kvæg"/>
    <m/>
    <s v="1 stk. slagtekalve 6 mdr. - slagtning (328 kg), Jersey."/>
    <x v="5"/>
    <s v="Dybstrøelse, lang ædeplads, spalter(kanal, linespil)"/>
    <x v="3"/>
    <m/>
    <n v="0"/>
    <s v=" "/>
    <m/>
    <s v="Dybstrøelse"/>
    <m/>
    <m/>
    <s v=" "/>
    <n v="1.44"/>
    <s v=" "/>
    <n v="0.3"/>
    <n v="18"/>
    <n v="181"/>
    <n v="410.51107726027391"/>
    <n v="17.043287671232875"/>
    <n v="17"/>
    <n v="0.18"/>
    <n v="8.7657195898257534"/>
    <s v="-"/>
  </r>
  <r>
    <s v="Kvæg"/>
    <m/>
    <s v="1 avlstyr (1 årsdyr), Jersey, over 328 kg"/>
    <x v="6"/>
    <s v="Dybstrøelse, lang ædeplads,fast gulv"/>
    <x v="3"/>
    <m/>
    <n v="0"/>
    <s v=" "/>
    <m/>
    <s v="Dybstrøelse"/>
    <m/>
    <m/>
    <s v=" "/>
    <n v="3.31"/>
    <s v=" "/>
    <n v="0.3"/>
    <n v="18"/>
    <n v="181"/>
    <n v="943.60532342465763"/>
    <n v="0"/>
    <n v="17"/>
    <n v="0.18"/>
    <n v="19.345796340852331"/>
    <s v="-"/>
  </r>
  <r>
    <s v="Kvæg"/>
    <m/>
    <s v="1 stk. slagtekalve 6 mdr. - slagtning (328 kg), Jersey."/>
    <x v="5"/>
    <s v="Dybstrøelse, lang ædeplads,fast gulv"/>
    <x v="3"/>
    <m/>
    <n v="0"/>
    <s v=" "/>
    <m/>
    <s v="Dybstrøelse"/>
    <m/>
    <m/>
    <s v=" "/>
    <n v="1.44"/>
    <s v=" "/>
    <n v="0.3"/>
    <n v="18"/>
    <n v="181"/>
    <n v="410.51107726027391"/>
    <n v="17.043287671232875"/>
    <n v="3"/>
    <n v="0.18"/>
    <n v="1.5468916923221916"/>
    <s v="-"/>
  </r>
  <r>
    <s v="Kvæg"/>
    <m/>
    <s v="1 avlstyr (1 årsdyr), tung race, over 440 kg"/>
    <x v="6"/>
    <s v="Dybstrøelse, lang ædepladsmedspalter (kanal, bag"/>
    <x v="3"/>
    <m/>
    <n v="0"/>
    <s v=" "/>
    <m/>
    <s v="Dybstrøelse"/>
    <m/>
    <m/>
    <s v=" "/>
    <n v="4.2"/>
    <s v=" "/>
    <n v="0.3"/>
    <n v="18"/>
    <n v="181"/>
    <n v="1197.3239753424657"/>
    <n v="0"/>
    <n v="17"/>
    <n v="0.18"/>
    <n v="24.54753614247123"/>
    <s v="-"/>
  </r>
  <r>
    <s v="Svin"/>
    <m/>
    <s v="Antal producerede FRATS-svin"/>
    <x v="12"/>
    <s v="Dybstrøelse, opdelt lejeareal"/>
    <x v="3"/>
    <m/>
    <n v="0"/>
    <s v=" "/>
    <m/>
    <s v="Dybstrøelse"/>
    <m/>
    <m/>
    <s v=" "/>
    <n v="0.11599999999999999"/>
    <s v=" "/>
    <n v="0.33"/>
    <n v="0"/>
    <n v="181"/>
    <n v="38.262774"/>
    <n v="0"/>
    <n v="14.7"/>
    <n v="0.45"/>
    <n v="1.6958252750670004"/>
    <s v="-"/>
  </r>
  <r>
    <s v="Svin"/>
    <m/>
    <s v="Antal producerede slagtesvin, 31-110 kg"/>
    <x v="11"/>
    <s v="Dybstrøelse, opdelt lejeareal"/>
    <x v="3"/>
    <m/>
    <n v="0"/>
    <s v=" "/>
    <m/>
    <s v="Dybstrøelse"/>
    <m/>
    <m/>
    <s v=" "/>
    <n v="0.09"/>
    <s v=" "/>
    <n v="0.33"/>
    <n v="0"/>
    <n v="181"/>
    <n v="29.686634999999999"/>
    <n v="0"/>
    <n v="14.7"/>
    <n v="0.45"/>
    <n v="1.3157265065175001"/>
    <s v="-"/>
  </r>
  <r>
    <s v="Kvæg"/>
    <m/>
    <s v="1 avlstyr (1 årsdyr), Jersey, over 328 kg"/>
    <x v="6"/>
    <s v="Dybstrøelse,lang ædeplads,spalter(kanal,bagskyl/ringkanal)"/>
    <x v="3"/>
    <m/>
    <n v="0"/>
    <s v=" "/>
    <m/>
    <s v="Dybstrøelse"/>
    <m/>
    <m/>
    <s v=" "/>
    <n v="3.31"/>
    <s v=" "/>
    <n v="0.3"/>
    <n v="18"/>
    <n v="181"/>
    <n v="943.60532342465763"/>
    <n v="0"/>
    <n v="17"/>
    <n v="0.18"/>
    <n v="19.345796340852331"/>
    <s v="-"/>
  </r>
  <r>
    <s v="Kvæg"/>
    <m/>
    <s v="1 stk. slagtekalve 6 mdr. - slagtning (328 kg), Jersey."/>
    <x v="5"/>
    <s v="Dybstrøelse,lang ædeplads,spalter(kanal,bagskyl/ringkanal)"/>
    <x v="3"/>
    <m/>
    <n v="0"/>
    <s v=" "/>
    <m/>
    <s v="Dybstrøelse"/>
    <m/>
    <m/>
    <s v=" "/>
    <n v="1.44"/>
    <s v=" "/>
    <n v="0.3"/>
    <n v="18"/>
    <n v="181"/>
    <n v="410.51107726027391"/>
    <n v="17.043287671232875"/>
    <n v="17"/>
    <n v="0.18"/>
    <n v="8.7657195898257534"/>
    <s v="-"/>
  </r>
  <r>
    <s v="Svin"/>
    <m/>
    <s v="Antal producerede FRATS-svin"/>
    <x v="12"/>
    <s v="Fast gulv"/>
    <x v="5"/>
    <m/>
    <n v="0"/>
    <s v=" "/>
    <s v="Ajle"/>
    <m/>
    <n v="0.42199999999999999"/>
    <n v="0.02"/>
    <s v=" "/>
    <m/>
    <s v=" "/>
    <m/>
    <n v="0"/>
    <n v="181"/>
    <n v="6.7519999999999998"/>
    <n v="0"/>
    <n v="13.4"/>
    <n v="0.45"/>
    <n v="0.27278755200000004"/>
    <s v="-"/>
  </r>
  <r>
    <s v="Svin"/>
    <m/>
    <s v="Antal producerede slagtesvin, 31-110 kg"/>
    <x v="11"/>
    <s v="Fast gulv"/>
    <x v="5"/>
    <m/>
    <n v="0"/>
    <s v=" "/>
    <s v="Ajle"/>
    <m/>
    <n v="0.36"/>
    <n v="0.2"/>
    <s v=" "/>
    <m/>
    <s v=" "/>
    <m/>
    <n v="0"/>
    <n v="181"/>
    <n v="57.6"/>
    <n v="0"/>
    <n v="13.7"/>
    <n v="0.45"/>
    <n v="2.3791968000000003"/>
    <s v="-"/>
  </r>
  <r>
    <s v="Svin"/>
    <m/>
    <s v="Antal producerede smågrise, fra 6,8 til 31 kg"/>
    <x v="10"/>
    <s v="Fast gulv"/>
    <x v="5"/>
    <m/>
    <n v="0"/>
    <s v=" "/>
    <s v="Ajle"/>
    <m/>
    <n v="7.2999999999999995E-2"/>
    <n v="0.02"/>
    <s v=" "/>
    <m/>
    <s v=" "/>
    <n v="1.9E-2"/>
    <n v="0"/>
    <n v="181"/>
    <n v="1.1679999999999999"/>
    <n v="0"/>
    <n v="13.7"/>
    <n v="0.45"/>
    <n v="4.8244823999999999E-2"/>
    <s v="-"/>
  </r>
  <r>
    <s v="Høns af æglægningstype "/>
    <m/>
    <s v="Friland, konsumæg"/>
    <x v="15"/>
    <s v="Friland, konsumæg, gulv+fler etage m bånd"/>
    <x v="6"/>
    <m/>
    <n v="0"/>
    <s v=" "/>
    <m/>
    <s v="Dybstrøelse"/>
    <m/>
    <m/>
    <s v=" "/>
    <n v="2.5999999999999999E-3"/>
    <s v=" "/>
    <n v="0.63300000000000001"/>
    <n v="181"/>
    <n v="181"/>
    <n v="0.82929021304109607"/>
    <n v="0"/>
    <n v="1.5"/>
    <n v="0.39"/>
    <n v="3.2504029900145759E-3"/>
    <s v="-"/>
  </r>
  <r>
    <s v="Høns af æglægningstype"/>
    <m/>
    <s v="Fritgående, konsumæg, "/>
    <x v="15"/>
    <s v="Friland, konsumæg, gulvdrift fler-etagesystem"/>
    <x v="6"/>
    <m/>
    <n v="0"/>
    <s v=" "/>
    <m/>
    <s v="Dybstrøelse"/>
    <m/>
    <m/>
    <s v=" "/>
    <n v="2.5999999999999999E-3"/>
    <s v=" "/>
    <n v="0.63300000000000001"/>
    <n v="181"/>
    <n v="181"/>
    <n v="0.82929021304109607"/>
    <n v="0.65290915068493161"/>
    <n v="1"/>
    <n v="0.39"/>
    <n v="3.872986937416111E-3"/>
    <s v="-"/>
  </r>
  <r>
    <s v="Høns af æglægningstype"/>
    <m/>
    <s v="Fritgående, konsumæg, "/>
    <x v="15"/>
    <s v="Fritgående, konsumæg, gulvdrift + gødningskummer"/>
    <x v="6"/>
    <m/>
    <n v="0"/>
    <s v=" "/>
    <m/>
    <s v="Dybstrøelse"/>
    <m/>
    <m/>
    <s v=" "/>
    <n v="3.8E-3"/>
    <s v=" "/>
    <n v="0.63300000000000001"/>
    <n v="0"/>
    <n v="0"/>
    <n v="2.4043175699999999"/>
    <n v="0"/>
    <n v="1"/>
    <n v="0.39"/>
    <n v="6.2824818104100007E-3"/>
    <s v="-"/>
  </r>
  <r>
    <s v="Svin"/>
    <m/>
    <s v="1 årsso m. 33,3 grise til 6,6 kg, andel fra løbe- og drægtighedsstald"/>
    <x v="9"/>
    <s v="Individuel opstaldning, fast gulv"/>
    <x v="4"/>
    <m/>
    <n v="0"/>
    <s v=" "/>
    <s v="Ajle"/>
    <m/>
    <n v="1.74"/>
    <n v="0.03"/>
    <s v=" "/>
    <m/>
    <s v=" "/>
    <m/>
    <n v="0"/>
    <n v="181"/>
    <n v="41.760000000000005"/>
    <n v="0"/>
    <n v="13.7"/>
    <n v="0.45"/>
    <n v="1.7249176800000006"/>
    <s v="-"/>
  </r>
  <r>
    <s v="Mink"/>
    <m/>
    <s v="Mink, 1 årstæve"/>
    <x v="14"/>
    <s v="Kødædende pelsdyr, bure, gødn.rende, ugentlig tømn"/>
    <x v="0"/>
    <m/>
    <n v="0"/>
    <s v=" "/>
    <m/>
    <s v="Dybstrøelse"/>
    <m/>
    <m/>
    <s v=" "/>
    <n v="0.05"/>
    <s v=" "/>
    <n v="0.35"/>
    <m/>
    <m/>
    <n v="17.492125000000001"/>
    <n v="0"/>
    <m/>
    <m/>
    <n v="0"/>
    <s v="-"/>
  </r>
  <r>
    <s v="Svin"/>
    <m/>
    <s v="1 årsso m. 33,3 grise til 6,6 kg,andel fra løbe- og drægtighedsstald"/>
    <x v="9"/>
    <s v="Løsgående, dybstrøelse + fast gulv"/>
    <x v="3"/>
    <m/>
    <n v="0"/>
    <s v=" "/>
    <m/>
    <s v="Dybstrøelse"/>
    <m/>
    <m/>
    <s v=" "/>
    <n v="0.67"/>
    <s v=" "/>
    <n v="0.33"/>
    <n v="0"/>
    <n v="181"/>
    <n v="221.000505"/>
    <n v="0"/>
    <n v="14.7"/>
    <n v="0.45"/>
    <n v="9.7948528818525027"/>
    <s v="-"/>
  </r>
  <r>
    <s v="Svin"/>
    <m/>
    <s v="1 årsso m. 33,3 grise til 6,6 kg,andel fra løbe- og drægtighedsstald"/>
    <x v="9"/>
    <s v="Løsgående, dybstrøelse + spaltegulv"/>
    <x v="3"/>
    <m/>
    <n v="0"/>
    <s v=" "/>
    <m/>
    <s v="Dybstrøelse"/>
    <m/>
    <m/>
    <s v=" "/>
    <n v="0.67"/>
    <s v=" "/>
    <n v="0.33"/>
    <n v="0"/>
    <n v="181"/>
    <n v="221.000505"/>
    <n v="0"/>
    <n v="14.7"/>
    <n v="0.45"/>
    <n v="9.7948528818525027"/>
    <s v="-"/>
  </r>
  <r>
    <s v="Høns af æglægningstype"/>
    <m/>
    <s v="Skrabehøner, konsumæg "/>
    <x v="15"/>
    <s v="Skrabehøner, konsumæg, fler-etagesystem med gødnin"/>
    <x v="0"/>
    <m/>
    <n v="0"/>
    <s v=" "/>
    <m/>
    <s v="Dybstrøelse"/>
    <m/>
    <m/>
    <s v=" "/>
    <n v="3.0999999999999999E-3"/>
    <s v=" "/>
    <n v="0.63300000000000001"/>
    <n v="0"/>
    <n v="0"/>
    <n v="1.9614169650000002"/>
    <n v="0"/>
    <n v="1"/>
    <n v="0.39"/>
    <n v="5.1251825295450014E-3"/>
    <s v="-"/>
  </r>
  <r>
    <s v="Høns af æglægningstype"/>
    <m/>
    <s v="Høns af æglægningstype"/>
    <x v="15"/>
    <s v="Skrabehøner, konsumæg, gulvdrift + gødningskummer"/>
    <x v="0"/>
    <m/>
    <n v="0"/>
    <s v=" "/>
    <m/>
    <s v="Dybstrøelse"/>
    <m/>
    <m/>
    <s v=" "/>
    <n v="4.0000000000000001E-3"/>
    <s v=" "/>
    <n v="0.63300000000000001"/>
    <m/>
    <m/>
    <n v="2.5308606"/>
    <n v="0"/>
    <m/>
    <m/>
    <n v="0"/>
    <s v="-"/>
  </r>
  <r>
    <s v="Høns af æglægningstype "/>
    <m/>
    <s v="Økologiske, konsumæg, "/>
    <x v="15"/>
    <s v="Økologiske, konsumæg, gulv+fler-etage m bånd"/>
    <x v="0"/>
    <m/>
    <n v="0"/>
    <s v=" "/>
    <m/>
    <s v="Dybstrøelse"/>
    <m/>
    <m/>
    <s v=" "/>
    <n v="3.0000000000000001E-3"/>
    <s v=" "/>
    <n v="0.63300000000000001"/>
    <m/>
    <n v="181"/>
    <n v="1.8981454499999999"/>
    <n v="0"/>
    <n v="1.5"/>
    <n v="0.39"/>
    <n v="7.4397810912750009E-3"/>
    <s v="-"/>
  </r>
  <r>
    <s v="Høns af æglægningstype"/>
    <m/>
    <s v="Økologiske, konsumæg, "/>
    <x v="15"/>
    <s v="Økologiske, konsumæg, gulvdrift + fler-etage bånd"/>
    <x v="0"/>
    <m/>
    <n v="0"/>
    <s v=" "/>
    <m/>
    <s v="Dybstrøelse"/>
    <m/>
    <m/>
    <s v=" "/>
    <n v="3.0000000000000001E-3"/>
    <s v=" "/>
    <n v="0.63300000000000001"/>
    <n v="0"/>
    <n v="0"/>
    <n v="1.8981454499999999"/>
    <n v="0"/>
    <n v="1.5"/>
    <n v="0.39"/>
    <n v="7.4397810912750009E-3"/>
    <s v="-"/>
  </r>
  <r>
    <s v="Høns af æglægningstype"/>
    <m/>
    <s v="Økologiske, konsumæg, "/>
    <x v="15"/>
    <s v="Økologiske, konsumæg, gulvdrift + gødningskumme"/>
    <x v="0"/>
    <m/>
    <n v="0"/>
    <s v=" "/>
    <m/>
    <s v="Dybstrøelse"/>
    <m/>
    <m/>
    <s v=" "/>
    <n v="4.1999999999999997E-3"/>
    <s v=" "/>
    <n v="0.63300000000000001"/>
    <n v="0"/>
    <n v="0"/>
    <n v="2.6574036300000006"/>
    <n v="0"/>
    <n v="1.5"/>
    <n v="0.39"/>
    <n v="1.0415693527785003E-2"/>
    <s v="-"/>
  </r>
  <r>
    <s v="Kvæg "/>
    <m/>
    <s v="1 årsko uden opdræt, malkekvæg, tung race"/>
    <x v="1"/>
    <s v="Dybstrøelse, lang ædeplads, fast drænet gulv med s"/>
    <x v="3"/>
    <m/>
    <m/>
    <s v=" "/>
    <m/>
    <s v="Dybstrøelse"/>
    <m/>
    <m/>
    <s v=" "/>
    <n v="12.72"/>
    <s v=" "/>
    <n v="0.28999999999999998"/>
    <n v="18"/>
    <n v="181"/>
    <n v="3505.3084763835614"/>
    <n v="0"/>
    <n v="4.5999999999999996"/>
    <n v="0.24"/>
    <n v="25.928065738113922"/>
    <s v="-"/>
  </r>
  <r>
    <s v="Kvæg "/>
    <m/>
    <s v="1 avlstyr (1 årsdyr), Jersey, over 328 kg"/>
    <x v="6"/>
    <s v="Dybstrøelse, lang ædeplads, spalter(kanal, linespil)"/>
    <x v="3"/>
    <m/>
    <m/>
    <s v=" "/>
    <m/>
    <s v="Dybstrøelse"/>
    <m/>
    <m/>
    <s v=" "/>
    <n v="3.31"/>
    <s v=" "/>
    <n v="0.3"/>
    <n v="18"/>
    <n v="181"/>
    <n v="943.60532342465763"/>
    <n v="0"/>
    <n v="12.5"/>
    <n v="0.18"/>
    <n v="14.224850250626716"/>
    <s v="-"/>
  </r>
  <r>
    <s v="Høns af æglægningstype "/>
    <m/>
    <s v="Skrabehøner, konsumæg"/>
    <x v="15"/>
    <s v="Skrabehøner, konsumæg, gulv + fler-etager med gødn"/>
    <x v="0"/>
    <m/>
    <m/>
    <s v=" "/>
    <m/>
    <s v="Dybstrøelse"/>
    <m/>
    <m/>
    <s v=" "/>
    <n v="3.0999999999999999E-3"/>
    <s v=" "/>
    <n v="0.63300000000000001"/>
    <n v="0"/>
    <m/>
    <n v="1.9614169650000002"/>
    <n v="0"/>
    <n v="1.5"/>
    <n v="0.39"/>
    <n v="7.6877737943175026E-3"/>
    <s v="-"/>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3">
  <r>
    <s v="Heste"/>
    <n v="1101"/>
    <s v="Heste, 1 årsdyr, vægt under 300 kg"/>
    <x v="0"/>
    <s v="1 voksen årshest, under 300 kg"/>
    <n v="110101"/>
    <x v="0"/>
    <n v="111202"/>
    <n v="15.21"/>
    <m/>
    <s v="Dybstrøelse"/>
    <n v="23"/>
    <n v="349.83000000000004"/>
    <n v="0.01"/>
    <n v="3.4983000000000004"/>
    <n v="5.4973285714285725"/>
    <n v="0.34389999999999998"/>
    <n v="120.30653700000001"/>
    <n v="0.01"/>
    <n v="1.20306537"/>
    <n v="1.8905312957142857"/>
    <n v="7.3878598671428576E-3"/>
  </r>
  <r>
    <s v="Heste"/>
    <n v="1102"/>
    <s v="Heste, 1 årsdyr, vægt 300 kg - under 500 kg"/>
    <x v="0"/>
    <s v="1 voksen årshest, 300 kg - mindre end 500 kg"/>
    <n v="110201"/>
    <x v="0"/>
    <n v="111303"/>
    <n v="277.02"/>
    <m/>
    <s v="Dybstrøelse"/>
    <n v="38"/>
    <n v="10526.759999999998"/>
    <n v="0.01"/>
    <n v="105.26759999999999"/>
    <n v="165.42051428571426"/>
    <n v="0.34389999999999998"/>
    <n v="3620.1527639999995"/>
    <n v="0.01"/>
    <n v="36.201527639999995"/>
    <n v="56.888114862857137"/>
    <n v="0.22230862914857141"/>
  </r>
  <r>
    <s v="Heste"/>
    <n v="1103"/>
    <s v="Heste, 1 årsdyr, vægt 500 kg - under 700 kg"/>
    <x v="0"/>
    <s v="1 voksen årshest, 500 kg - mindre end 700 kg"/>
    <n v="110301"/>
    <x v="0"/>
    <n v="111404"/>
    <n v="26.5"/>
    <m/>
    <s v="Dybstrøelse"/>
    <n v="50"/>
    <n v="1325"/>
    <n v="0.01"/>
    <n v="13.25"/>
    <n v="20.821428571428573"/>
    <n v="0.34389999999999998"/>
    <n v="455.66749999999996"/>
    <n v="0.01"/>
    <n v="4.5566749999999994"/>
    <n v="7.1604892857142843"/>
    <n v="2.7981917857142859E-2"/>
  </r>
  <r>
    <s v="Heste"/>
    <n v="1104"/>
    <s v="Heste, 1 årsdyr, vægt 700 kg og derover"/>
    <x v="0"/>
    <s v="1 voksen årshest, 700 kg og derover"/>
    <n v="110401"/>
    <x v="0"/>
    <n v="111505"/>
    <n v="0"/>
    <m/>
    <s v="Dybstrøelse"/>
    <n v="63"/>
    <n v="0"/>
    <n v="0.01"/>
    <n v="0"/>
    <n v="0"/>
    <n v="0.34389999999999998"/>
    <n v="0"/>
    <n v="0.01"/>
    <n v="0"/>
    <n v="0"/>
    <n v="0"/>
  </r>
  <r>
    <s v="Kvæg"/>
    <n v="1201"/>
    <s v="1 årsko uden opdræt, malkekvæg, tung race"/>
    <x v="1"/>
    <s v="Bindestald med grebning"/>
    <n v="120101"/>
    <x v="1"/>
    <n v="121302"/>
    <n v="0"/>
    <s v="Fast gødning"/>
    <m/>
    <n v="160.5"/>
    <n v="0"/>
    <n v="5.0000000000000001E-3"/>
    <n v="0"/>
    <n v="0"/>
    <n v="7.8E-2"/>
    <n v="0"/>
    <n v="0.01"/>
    <n v="0"/>
    <n v="0"/>
    <n v="0"/>
  </r>
  <r>
    <s v="Kvæg"/>
    <n v="1201"/>
    <s v="1 årsko uden opdræt, malkekvæg, tung race"/>
    <x v="1"/>
    <s v="Bindestald med riste"/>
    <n v="120102"/>
    <x v="1"/>
    <n v="121303"/>
    <n v="0"/>
    <s v="Kvæggylle"/>
    <m/>
    <n v="160.5"/>
    <n v="0"/>
    <n v="5.0000000000000001E-3"/>
    <n v="0"/>
    <n v="0"/>
    <n v="7.8E-2"/>
    <n v="0"/>
    <n v="0.01"/>
    <n v="0"/>
    <n v="0"/>
    <n v="0"/>
  </r>
  <r>
    <s v="Kvæg"/>
    <n v="1201"/>
    <s v="1 årsko uden opdræt, malkekvæg, tung race"/>
    <x v="1"/>
    <s v="Sengestald med fast gulv"/>
    <n v="120103"/>
    <x v="2"/>
    <n v="121304"/>
    <n v="0"/>
    <s v="Kvæggylle"/>
    <m/>
    <n v="160.5"/>
    <n v="0"/>
    <n v="5.0000000000000001E-3"/>
    <n v="0"/>
    <n v="0"/>
    <n v="7.8E-2"/>
    <n v="0"/>
    <n v="0.01"/>
    <n v="0"/>
    <n v="0"/>
    <n v="0"/>
  </r>
  <r>
    <s v="Kvæg"/>
    <n v="1201"/>
    <s v="1 årsko uden opdræt, malkekvæg, tung race"/>
    <x v="1"/>
    <s v="Sengestald med spalter (kanal, linespil)"/>
    <n v="120104"/>
    <x v="2"/>
    <n v="121305"/>
    <n v="0"/>
    <s v="Kvæggylle"/>
    <m/>
    <n v="160.5"/>
    <n v="0"/>
    <n v="5.0000000000000001E-3"/>
    <n v="0"/>
    <n v="0"/>
    <n v="7.8E-2"/>
    <n v="0"/>
    <n v="0.01"/>
    <n v="0"/>
    <n v="0"/>
    <n v="0"/>
  </r>
  <r>
    <s v="Kvæg"/>
    <n v="1201"/>
    <s v="1 årsko uden opdræt, malkekvæg, tung race"/>
    <x v="1"/>
    <s v="Sengestald med spalter (kanal, bagskyl eller ringk"/>
    <n v="120105"/>
    <x v="2"/>
    <n v="121306"/>
    <n v="188.07"/>
    <s v="Kvæggylle"/>
    <m/>
    <n v="160.5"/>
    <n v="30185.235000000001"/>
    <n v="5.0000000000000001E-3"/>
    <n v="150.926175"/>
    <n v="237.16970357142856"/>
    <n v="7.8E-2"/>
    <n v="2354.4483300000002"/>
    <n v="0.01"/>
    <n v="23.544483300000003"/>
    <n v="36.998473757142861"/>
    <n v="0.27416817732857141"/>
  </r>
  <r>
    <s v="Kvæg"/>
    <n v="1201"/>
    <s v="1 årsko uden opdræt, malkekvæg, tung race"/>
    <x v="1"/>
    <s v="Dybstrøelse (hele arealet)"/>
    <n v="120106"/>
    <x v="3"/>
    <n v="121307"/>
    <n v="0"/>
    <m/>
    <s v="Dybstrøelse"/>
    <n v="160.5"/>
    <n v="0"/>
    <n v="0.01"/>
    <n v="0"/>
    <n v="0"/>
    <n v="7.8E-2"/>
    <n v="0"/>
    <n v="0.01"/>
    <n v="0"/>
    <n v="0"/>
    <n v="0"/>
  </r>
  <r>
    <s v="Kvæg"/>
    <n v="1201"/>
    <s v="1 årsko uden opdræt, malkekvæg, tung race"/>
    <x v="1"/>
    <s v="Dybstrøelse, lang ædeplads med fast gulv"/>
    <n v="120107"/>
    <x v="3"/>
    <n v="121308"/>
    <n v="0"/>
    <s v="Kvæggylle"/>
    <m/>
    <n v="160.5"/>
    <n v="0"/>
    <n v="5.0000000000000001E-3"/>
    <n v="0"/>
    <n v="0"/>
    <n v="7.8E-2"/>
    <n v="0"/>
    <n v="0.01"/>
    <n v="0"/>
    <n v="0"/>
    <n v="0"/>
  </r>
  <r>
    <s v="Kvæg"/>
    <n v="1201"/>
    <s v="1 årsko uden opdræt, malkekvæg, tung race"/>
    <x v="1"/>
    <s v="Dybstrøelse, lang ædeplads med spalter (kanal, lin"/>
    <n v="120108"/>
    <x v="3"/>
    <n v="121309"/>
    <n v="0"/>
    <s v="Kvæggylle"/>
    <m/>
    <n v="160.5"/>
    <n v="0"/>
    <n v="5.0000000000000001E-3"/>
    <n v="0"/>
    <n v="0"/>
    <n v="7.8E-2"/>
    <n v="0"/>
    <n v="0.01"/>
    <n v="0"/>
    <n v="0"/>
    <n v="0"/>
  </r>
  <r>
    <s v="Kvæg"/>
    <n v="1201"/>
    <s v="1 årsko uden opdræt, malkekvæg, tung race"/>
    <x v="1"/>
    <s v="Dybstrøelse, lang ædeplads med spalter (kanal, bag"/>
    <n v="120109"/>
    <x v="3"/>
    <n v="121310"/>
    <n v="0"/>
    <s v="Kvæggylle"/>
    <m/>
    <n v="160.5"/>
    <n v="0"/>
    <n v="5.0000000000000001E-3"/>
    <n v="0"/>
    <n v="0"/>
    <n v="7.8E-2"/>
    <n v="0"/>
    <n v="0.01"/>
    <n v="0"/>
    <n v="0"/>
    <n v="0"/>
  </r>
  <r>
    <s v="Kvæg"/>
    <n v="1201"/>
    <s v="1 årsko uden opdræt, malkekvæg, tung race"/>
    <x v="1"/>
    <s v="Sengestald, fast drænet gulv med skraber og ajleaf"/>
    <n v="120114"/>
    <x v="2"/>
    <n v="121315"/>
    <n v="0"/>
    <s v="Kvæggylle"/>
    <m/>
    <n v="160.5"/>
    <n v="0"/>
    <n v="5.0000000000000001E-3"/>
    <n v="0"/>
    <n v="0"/>
    <n v="7.8E-2"/>
    <n v="0"/>
    <n v="0.01"/>
    <n v="0"/>
    <n v="0"/>
    <n v="0"/>
  </r>
  <r>
    <s v="Kvæg"/>
    <n v="1201"/>
    <s v="1 årsko uden opdræt, malkekvæg, tung race"/>
    <x v="1"/>
    <s v="Dybstrøelse, lang ædeplads, fast drænet gulv med s"/>
    <n v="120115"/>
    <x v="3"/>
    <n v="121316"/>
    <n v="0"/>
    <s v="Kvæggylle"/>
    <m/>
    <n v="160.5"/>
    <n v="0"/>
    <n v="5.0000000000000001E-3"/>
    <n v="0"/>
    <n v="0"/>
    <n v="7.8E-2"/>
    <n v="0"/>
    <n v="0.01"/>
    <n v="0"/>
    <n v="0"/>
    <n v="0"/>
  </r>
  <r>
    <s v="Kvæg"/>
    <n v="1202"/>
    <s v="1 årsopdræt (småkalv 0-6 mdr., tung race)"/>
    <x v="2"/>
    <s v="Dybstrøelse (hele arealet)"/>
    <n v="120201"/>
    <x v="3"/>
    <n v="121403"/>
    <n v="161.9"/>
    <m/>
    <s v="Dybstrøelse"/>
    <n v="26.7"/>
    <n v="4322.7300000000005"/>
    <n v="0.01"/>
    <n v="43.227300000000007"/>
    <n v="67.928614285714303"/>
    <n v="9.7299999999999998E-2"/>
    <n v="420.60162900000006"/>
    <n v="0.01"/>
    <n v="4.2060162900000009"/>
    <n v="6.6094541700000011"/>
    <n v="7.4538068455714312E-2"/>
  </r>
  <r>
    <s v="Kvæg"/>
    <n v="1202"/>
    <s v="1 årsopdræt (småkalv 0-6 mdr., tung race)"/>
    <x v="2"/>
    <s v="Dybstrøelse + kort ædeplads med fast gulv"/>
    <n v="120202"/>
    <x v="3"/>
    <n v="121404"/>
    <n v="7.98"/>
    <m/>
    <s v="Dybstrøelse"/>
    <n v="26.7"/>
    <n v="213.066"/>
    <n v="0.01"/>
    <n v="2.1306600000000002"/>
    <n v="3.3481800000000002"/>
    <n v="9.7299999999999998E-2"/>
    <n v="20.7313218"/>
    <n v="0.01"/>
    <n v="0.20731321799999999"/>
    <n v="0.325777914"/>
    <n v="3.6739579140000001E-3"/>
  </r>
  <r>
    <s v="Kvæg"/>
    <n v="1203"/>
    <s v="1 årsopdræt (kvier/stude 6 mdr. - kælvning (27 mdr)/slagtning, tung race)"/>
    <x v="3"/>
    <s v="Bindestald med grebning"/>
    <n v="120301"/>
    <x v="1"/>
    <n v="121504"/>
    <n v="37.799999999999997"/>
    <s v="Fast gødning"/>
    <m/>
    <n v="50.4"/>
    <n v="1905.12"/>
    <n v="5.0000000000000001E-3"/>
    <n v="9.525599999999999"/>
    <n v="14.968799999999998"/>
    <n v="9.7299999999999998E-2"/>
    <n v="185.36817599999998"/>
    <n v="0.01"/>
    <n v="1.8536817599999997"/>
    <n v="2.9129284799999993"/>
    <n v="1.7881728479999998E-2"/>
  </r>
  <r>
    <s v="Kvæg"/>
    <n v="1203"/>
    <s v="1 årsopdræt (kvier/stude 6 mdr. - kælvning (27 mdr)/slagtning, tung race)"/>
    <x v="3"/>
    <s v="Bindestald med riste"/>
    <n v="120302"/>
    <x v="1"/>
    <n v="121505"/>
    <n v="0"/>
    <s v="Kvæggylle"/>
    <m/>
    <n v="50.4"/>
    <n v="0"/>
    <n v="5.0000000000000001E-3"/>
    <n v="0"/>
    <n v="0"/>
    <n v="9.7299999999999998E-2"/>
    <n v="0"/>
    <n v="0.01"/>
    <n v="0"/>
    <n v="0"/>
    <n v="0"/>
  </r>
  <r>
    <s v="Kvæg"/>
    <n v="1203"/>
    <s v="1 årsopdræt (kvier/stude 6 mdr. - kælvning (27 mdr)/slagtning, tung race)"/>
    <x v="3"/>
    <s v="Sengestald med fast gulv"/>
    <n v="120303"/>
    <x v="2"/>
    <n v="121506"/>
    <n v="0"/>
    <s v="Kvæggylle"/>
    <m/>
    <n v="50.4"/>
    <n v="0"/>
    <n v="5.0000000000000001E-3"/>
    <n v="0"/>
    <n v="0"/>
    <n v="9.7299999999999998E-2"/>
    <n v="0"/>
    <n v="0.01"/>
    <n v="0"/>
    <n v="0"/>
    <n v="0"/>
  </r>
  <r>
    <s v="Kvæg"/>
    <n v="1203"/>
    <s v="1 årsopdræt (kvier/stude 6 mdr. - kælvning (27 mdr)/slagtning, tung race)"/>
    <x v="3"/>
    <s v="Sengestald med spaltegulv (kanal, linespil)"/>
    <n v="120304"/>
    <x v="2"/>
    <n v="121507"/>
    <n v="0"/>
    <s v="Kvæggylle"/>
    <m/>
    <n v="50.4"/>
    <n v="0"/>
    <n v="5.0000000000000001E-3"/>
    <n v="0"/>
    <n v="0"/>
    <n v="9.7299999999999998E-2"/>
    <n v="0"/>
    <n v="0.01"/>
    <n v="0"/>
    <n v="0"/>
    <n v="0"/>
  </r>
  <r>
    <s v="Kvæg"/>
    <n v="1203"/>
    <s v="1 årsopdræt (kvier/stude 6 mdr. - kælvning (27 mdr)/slagtning, tung race)"/>
    <x v="3"/>
    <s v="Sengestald med spaltegulv (kanal, bagskyl eller ri"/>
    <n v="120305"/>
    <x v="2"/>
    <n v="121508"/>
    <n v="0"/>
    <s v="Kvæggylle"/>
    <m/>
    <n v="50.4"/>
    <n v="0"/>
    <n v="5.0000000000000001E-3"/>
    <n v="0"/>
    <n v="0"/>
    <n v="9.7299999999999998E-2"/>
    <n v="0"/>
    <n v="0.01"/>
    <n v="0"/>
    <n v="0"/>
    <n v="0"/>
  </r>
  <r>
    <s v="Kvæg"/>
    <n v="1203"/>
    <s v="1 årsopdræt (kvier/stude 6 mdr. - kælvning (27 mdr)/slagtning, tung race)"/>
    <x v="3"/>
    <s v="Dybstrøelse, hele arealet"/>
    <n v="120306"/>
    <x v="3"/>
    <n v="121509"/>
    <n v="356.1"/>
    <m/>
    <s v="Dybstrøelse"/>
    <n v="50.4"/>
    <n v="17947.440000000002"/>
    <n v="0.01"/>
    <n v="179.47440000000003"/>
    <n v="282.03120000000007"/>
    <n v="9.7299999999999998E-2"/>
    <n v="1746.2859120000003"/>
    <n v="0.01"/>
    <n v="17.462859120000005"/>
    <n v="27.441635760000004"/>
    <n v="0.30947283576000006"/>
  </r>
  <r>
    <s v="Kvæg"/>
    <n v="1203"/>
    <s v="1 årsopdræt (kvier/stude 6 mdr. - kælvning (27 mdr)/slagtning, tung race)"/>
    <x v="3"/>
    <s v="Dybstrøelse + kort ædeplads med fast gulv"/>
    <n v="120307"/>
    <x v="3"/>
    <n v="121510"/>
    <n v="103.66"/>
    <m/>
    <s v="Dybstrøelse"/>
    <n v="50.4"/>
    <n v="5224.4639999999999"/>
    <n v="0.01"/>
    <n v="52.244640000000004"/>
    <n v="82.09872"/>
    <n v="9.7299999999999998E-2"/>
    <n v="508.3403472"/>
    <n v="0.01"/>
    <n v="5.0834034719999996"/>
    <n v="7.9882054560000002"/>
    <n v="9.0086925456E-2"/>
  </r>
  <r>
    <s v="Kvæg"/>
    <n v="1203"/>
    <s v="1 årsopdræt (kvier/stude 6 mdr. - kælvning (27 mdr)/slagtning, tung race)"/>
    <x v="3"/>
    <s v="Dybstrøelse, lang ædeplads med fast gulv"/>
    <n v="120308"/>
    <x v="3"/>
    <n v="121511"/>
    <n v="0"/>
    <s v="Kvæggylle"/>
    <m/>
    <n v="50.4"/>
    <n v="0"/>
    <n v="5.0000000000000001E-3"/>
    <n v="0"/>
    <n v="0"/>
    <n v="9.7299999999999998E-2"/>
    <n v="0"/>
    <n v="0.01"/>
    <n v="0"/>
    <n v="0"/>
    <n v="0"/>
  </r>
  <r>
    <s v="Kvæg"/>
    <n v="1203"/>
    <s v="1 årsopdræt (kvier/stude 6 mdr. - kælvning (27 mdr)/slagtning, tung race)"/>
    <x v="3"/>
    <s v="Dybstrøelse, lang ædeplads med spalter (kanal, lin"/>
    <n v="120309"/>
    <x v="3"/>
    <n v="121512"/>
    <n v="0"/>
    <s v="Kvæggylle"/>
    <m/>
    <n v="50.4"/>
    <n v="0"/>
    <n v="5.0000000000000001E-3"/>
    <n v="0"/>
    <n v="0"/>
    <n v="9.7299999999999998E-2"/>
    <n v="0"/>
    <n v="0.01"/>
    <n v="0"/>
    <n v="0"/>
    <n v="0"/>
  </r>
  <r>
    <s v="Kvæg"/>
    <n v="1203"/>
    <s v="1 årsopdræt (kvier/stude 6 mdr. - kælvning (27 mdr)/slagtning, tung race)"/>
    <x v="3"/>
    <s v="Dybstrøelse, lang ædeplads med spalter (kanal, bag"/>
    <n v="120310"/>
    <x v="3"/>
    <n v="121513"/>
    <n v="0"/>
    <s v="Kvæggylle"/>
    <m/>
    <n v="50.4"/>
    <n v="0"/>
    <n v="5.0000000000000001E-3"/>
    <n v="0"/>
    <n v="0"/>
    <n v="9.7299999999999998E-2"/>
    <n v="0"/>
    <n v="0.01"/>
    <n v="0"/>
    <n v="0"/>
    <n v="0"/>
  </r>
  <r>
    <s v="Kvæg"/>
    <n v="1203"/>
    <s v="1 årsopdræt (kvier/stude 6 mdr. - kælvning (27 mdr)/slagtning, tung race)"/>
    <x v="3"/>
    <s v="Spaltegulvbokse"/>
    <n v="120312"/>
    <x v="4"/>
    <n v="121515"/>
    <n v="0"/>
    <s v="Kvæggylle"/>
    <m/>
    <n v="50.4"/>
    <n v="0"/>
    <n v="5.0000000000000001E-3"/>
    <n v="0"/>
    <n v="0"/>
    <n v="9.7299999999999998E-2"/>
    <n v="0"/>
    <n v="0.01"/>
    <n v="0"/>
    <n v="0"/>
    <n v="0"/>
  </r>
  <r>
    <s v="Kvæg"/>
    <n v="1203"/>
    <s v="1 årsopdræt (kvier/stude 6 mdr. - kælvning (27 mdr)/slagtning, tung race)"/>
    <x v="3"/>
    <s v="Sengestald, fast drænet gulv med skraber og ajleaf"/>
    <n v="120316"/>
    <x v="2"/>
    <n v="121519"/>
    <n v="0"/>
    <s v="Kvæggylle"/>
    <m/>
    <n v="50.4"/>
    <n v="0"/>
    <n v="5.0000000000000001E-3"/>
    <n v="0"/>
    <n v="0"/>
    <n v="9.7299999999999998E-2"/>
    <n v="0"/>
    <n v="0.01"/>
    <n v="0"/>
    <n v="0"/>
    <n v="0"/>
  </r>
  <r>
    <s v="Kvæg"/>
    <n v="1204"/>
    <s v="1 stk. slagtekalv, 0-6 mdr., tung race "/>
    <x v="4"/>
    <s v="Dybstrøelse (hele arealet)"/>
    <n v="120401"/>
    <x v="3"/>
    <n v="121605"/>
    <n v="485"/>
    <m/>
    <s v="Dybstrøelse"/>
    <n v="12.56"/>
    <n v="6091.6"/>
    <n v="0.01"/>
    <n v="60.916000000000004"/>
    <n v="95.725142857142856"/>
    <n v="9.7299999999999998E-2"/>
    <n v="592.71267999999998"/>
    <n v="0.01"/>
    <n v="5.9271267999999999"/>
    <n v="9.3140564000000001"/>
    <n v="0.10503919925714285"/>
  </r>
  <r>
    <s v="Kvæg"/>
    <n v="1204"/>
    <s v="1 stk. slagtekalv, 0-6 mdr., tung race"/>
    <x v="4"/>
    <s v="Dybstrøelse + kort ædeplads med fast gulv"/>
    <n v="120402"/>
    <x v="3"/>
    <n v="121606"/>
    <n v="0"/>
    <m/>
    <s v="Dybstrøelse"/>
    <n v="12.56"/>
    <n v="0"/>
    <n v="0.01"/>
    <n v="0"/>
    <n v="0"/>
    <n v="9.7299999999999998E-2"/>
    <n v="0"/>
    <n v="0.01"/>
    <n v="0"/>
    <n v="0"/>
    <n v="0"/>
  </r>
  <r>
    <s v="Kvæg"/>
    <n v="1205"/>
    <s v="1 stk. slagtekalve, 6 mdr. - slagtning (440 kg), tung race."/>
    <x v="5"/>
    <s v="Bindestald med grebning"/>
    <n v="120501"/>
    <x v="1"/>
    <n v="121706"/>
    <n v="5.1100000000000003"/>
    <s v="Fast gødning"/>
    <m/>
    <n v="23.5"/>
    <n v="120.08500000000001"/>
    <n v="5.0000000000000001E-3"/>
    <n v="0.6004250000000001"/>
    <n v="0.94352500000000017"/>
    <n v="9.7299999999999998E-2"/>
    <n v="11.6842705"/>
    <n v="0.01"/>
    <n v="0.11684270500000001"/>
    <n v="0.18360996500000001"/>
    <n v="1.1271349650000002E-3"/>
  </r>
  <r>
    <s v="Kvæg"/>
    <n v="1205"/>
    <s v="1 stk. slagtekalve, 6 mdr. - slagtning (440 kg), tung race."/>
    <x v="5"/>
    <s v="Bindestald med riste"/>
    <n v="120502"/>
    <x v="1"/>
    <n v="121707"/>
    <n v="0"/>
    <s v="Kvæggylle"/>
    <m/>
    <n v="23.5"/>
    <n v="0"/>
    <n v="5.0000000000000001E-3"/>
    <n v="0"/>
    <n v="0"/>
    <n v="9.7299999999999998E-2"/>
    <n v="0"/>
    <n v="0.01"/>
    <n v="0"/>
    <n v="0"/>
    <n v="0"/>
  </r>
  <r>
    <s v="Kvæg"/>
    <n v="1205"/>
    <s v="1 stk. slagtekalve, 6 mdr. - slagtning (440 kg), tung race."/>
    <x v="5"/>
    <s v="Dybstrøelse, hele arealet"/>
    <n v="120503"/>
    <x v="3"/>
    <n v="121708"/>
    <n v="376.81"/>
    <m/>
    <s v="Dybstrøelse"/>
    <n v="23.5"/>
    <n v="8855.0349999999999"/>
    <n v="0.01"/>
    <n v="88.550349999999995"/>
    <n v="139.15054999999998"/>
    <n v="9.7299999999999998E-2"/>
    <n v="861.59490549999998"/>
    <n v="0.01"/>
    <n v="8.6159490549999997"/>
    <n v="13.539348515"/>
    <n v="0.15268989851499998"/>
  </r>
  <r>
    <s v="Kvæg"/>
    <n v="1205"/>
    <s v="1 stk. slagtekalve, 6 mdr. - slagtning (440 kg), tung race."/>
    <x v="5"/>
    <s v="Dybstrøelse + kort ædeplads med fast gulv"/>
    <n v="120504"/>
    <x v="3"/>
    <n v="121709"/>
    <n v="139.69"/>
    <m/>
    <s v="Dybstrøelse"/>
    <n v="23.5"/>
    <n v="3282.7150000000001"/>
    <n v="0.01"/>
    <n v="32.827150000000003"/>
    <n v="51.585521428571433"/>
    <n v="9.7299999999999998E-2"/>
    <n v="319.40816949999999"/>
    <n v="0.01"/>
    <n v="3.1940816949999999"/>
    <n v="5.0192712349999997"/>
    <n v="5.6604792663571428E-2"/>
  </r>
  <r>
    <s v="Kvæg"/>
    <n v="1205"/>
    <s v="1 stk. slagtekalve, 6 mdr. - slagtning (440 kg), tung race."/>
    <x v="5"/>
    <s v="Dybstrøelse, lang ædeplads med fast gulv"/>
    <n v="120505"/>
    <x v="3"/>
    <n v="121710"/>
    <n v="0"/>
    <s v="Kvæggylle"/>
    <m/>
    <n v="23.5"/>
    <n v="0"/>
    <n v="5.0000000000000001E-3"/>
    <n v="0"/>
    <n v="0"/>
    <n v="9.7299999999999998E-2"/>
    <n v="0"/>
    <n v="0.01"/>
    <n v="0"/>
    <n v="0"/>
    <n v="0"/>
  </r>
  <r>
    <s v="Kvæg"/>
    <n v="1205"/>
    <s v="1 stk. slagtekalve, 6 mdr. - slagtning (440 kg), tung race."/>
    <x v="5"/>
    <s v="Dybstrøelse, lang ædeplads med spalter (kanal, lin"/>
    <n v="120506"/>
    <x v="3"/>
    <n v="121711"/>
    <n v="0"/>
    <s v="Kvæggylle"/>
    <m/>
    <n v="23.5"/>
    <n v="0"/>
    <n v="5.0000000000000001E-3"/>
    <n v="0"/>
    <n v="0"/>
    <n v="9.7299999999999998E-2"/>
    <n v="0"/>
    <n v="0.01"/>
    <n v="0"/>
    <n v="0"/>
    <n v="0"/>
  </r>
  <r>
    <s v="Kvæg"/>
    <n v="1205"/>
    <s v="1 stk. slagtekalve, 6 mdr. - slagtning (440 kg), tung race."/>
    <x v="5"/>
    <s v="Dybstrøelse, lang ædeplads med spalter (kanal, bag"/>
    <n v="120507"/>
    <x v="3"/>
    <n v="121712"/>
    <n v="0"/>
    <s v="Kvæggylle"/>
    <m/>
    <n v="23.5"/>
    <n v="0"/>
    <n v="5.0000000000000001E-3"/>
    <n v="0"/>
    <n v="0"/>
    <n v="9.7299999999999998E-2"/>
    <n v="0"/>
    <n v="0.01"/>
    <n v="0"/>
    <n v="0"/>
    <n v="0"/>
  </r>
  <r>
    <s v="Kvæg"/>
    <n v="1205"/>
    <s v="1 stk. slagtekalve, 6 mdr. - slagtning (440 kg), tung race."/>
    <x v="5"/>
    <s v="Spaltegulvbokse"/>
    <n v="120509"/>
    <x v="4"/>
    <n v="121714"/>
    <n v="0"/>
    <s v="Kvæggylle"/>
    <m/>
    <n v="23.5"/>
    <n v="0"/>
    <n v="5.0000000000000001E-3"/>
    <n v="0"/>
    <n v="0"/>
    <n v="9.7299999999999998E-2"/>
    <n v="0"/>
    <n v="0.01"/>
    <n v="0"/>
    <n v="0"/>
    <n v="0"/>
  </r>
  <r>
    <s v="Kvæg"/>
    <n v="1205"/>
    <s v="1 stk. slagtekalve, 6 mdr. - slagtning (440 kg), tung race."/>
    <x v="5"/>
    <s v="Sengestald med fast gulv"/>
    <n v="120510"/>
    <x v="2"/>
    <n v="121715"/>
    <n v="0"/>
    <s v="Kvæggylle"/>
    <m/>
    <n v="23.5"/>
    <n v="0"/>
    <n v="5.0000000000000001E-3"/>
    <n v="0"/>
    <n v="0"/>
    <n v="9.7299999999999998E-2"/>
    <n v="0"/>
    <n v="0.01"/>
    <n v="0"/>
    <n v="0"/>
    <n v="0"/>
  </r>
  <r>
    <s v="Kvæg"/>
    <n v="1205"/>
    <s v="1 stk. slagtekalve, 6 mdr. - slagtning (440 kg), tung race."/>
    <x v="5"/>
    <s v="Sengestald med spalter (kanal, linespil)"/>
    <n v="120511"/>
    <x v="2"/>
    <n v="121716"/>
    <n v="0"/>
    <s v="Kvæggylle"/>
    <m/>
    <n v="23.5"/>
    <n v="0"/>
    <n v="5.0000000000000001E-3"/>
    <n v="0"/>
    <n v="0"/>
    <n v="9.7299999999999998E-2"/>
    <n v="0"/>
    <n v="0.01"/>
    <n v="0"/>
    <n v="0"/>
    <n v="0"/>
  </r>
  <r>
    <s v="Kvæg"/>
    <n v="1205"/>
    <s v="1 stk. slagtekalve, 6 mdr. - slagtning (440 kg), tung race."/>
    <x v="5"/>
    <s v="Sengestald med spalter (kanal, bagskyl eller ringk"/>
    <n v="120512"/>
    <x v="2"/>
    <n v="121717"/>
    <n v="0"/>
    <s v="Kvæggylle"/>
    <m/>
    <n v="23.5"/>
    <n v="0"/>
    <n v="5.0000000000000001E-3"/>
    <n v="0"/>
    <n v="0"/>
    <n v="9.7299999999999998E-2"/>
    <n v="0"/>
    <n v="0.01"/>
    <n v="0"/>
    <n v="0"/>
    <n v="0"/>
  </r>
  <r>
    <s v="Kvæg"/>
    <n v="1205"/>
    <s v="1 stk. slagtekalve, 6 mdr. - slagtning (440 kg), tung race."/>
    <x v="5"/>
    <s v="Sengestald, fast drænet gulv med skraber og ajleaf"/>
    <n v="120519"/>
    <x v="2"/>
    <n v="121724"/>
    <n v="0"/>
    <s v="Kvæggylle"/>
    <m/>
    <n v="23.5"/>
    <n v="0"/>
    <n v="5.0000000000000001E-3"/>
    <n v="0"/>
    <n v="0"/>
    <n v="9.7299999999999998E-2"/>
    <n v="0"/>
    <n v="0.01"/>
    <n v="0"/>
    <n v="0"/>
    <n v="0"/>
  </r>
  <r>
    <s v="Kvæg"/>
    <n v="1206"/>
    <s v="1 avlstyr (1 årsdyr), tung race, over 440 kg"/>
    <x v="6"/>
    <s v="Bindestald med grebning"/>
    <n v="120601"/>
    <x v="1"/>
    <n v="121807"/>
    <n v="0"/>
    <s v="Fast gødning"/>
    <m/>
    <n v="50.4"/>
    <n v="0"/>
    <n v="5.0000000000000001E-3"/>
    <n v="0"/>
    <n v="0"/>
    <n v="9.7299999999999998E-2"/>
    <n v="0"/>
    <n v="0.01"/>
    <n v="0"/>
    <n v="0"/>
    <n v="0"/>
  </r>
  <r>
    <s v="Kvæg"/>
    <n v="1206"/>
    <s v="1 avlstyr (1 årsdyr), tung race, over 440 kg"/>
    <x v="6"/>
    <s v="Bindestald med riste"/>
    <n v="120602"/>
    <x v="1"/>
    <n v="121808"/>
    <n v="0"/>
    <s v="Kvæggylle"/>
    <m/>
    <n v="50.4"/>
    <n v="0"/>
    <n v="5.0000000000000001E-3"/>
    <n v="0"/>
    <n v="0"/>
    <n v="9.7299999999999998E-2"/>
    <n v="0"/>
    <n v="0.01"/>
    <n v="0"/>
    <n v="0"/>
    <n v="0"/>
  </r>
  <r>
    <s v="Kvæg"/>
    <n v="1206"/>
    <s v="1 avlstyr (1 årsdyr), tung race, over 440 kg"/>
    <x v="6"/>
    <s v="Dybstrøelse, hele arealet"/>
    <n v="120603"/>
    <x v="3"/>
    <n v="121809"/>
    <n v="9.8699999999999992"/>
    <m/>
    <s v="Dybstrøelse"/>
    <n v="50.4"/>
    <n v="497.44799999999992"/>
    <n v="0.01"/>
    <n v="4.9744799999999989"/>
    <n v="7.8170399999999987"/>
    <n v="9.7299999999999998E-2"/>
    <n v="48.401690399999993"/>
    <n v="0.01"/>
    <n v="0.48401690399999991"/>
    <n v="0.76059799199999989"/>
    <n v="8.5776379919999986E-3"/>
  </r>
  <r>
    <s v="Kvæg"/>
    <n v="1206"/>
    <s v="1 avlstyr (1 årsdyr), tung race, over 440 kg"/>
    <x v="6"/>
    <s v="Dybstrøelse + kort ædeplads med fast gulv"/>
    <n v="120604"/>
    <x v="3"/>
    <n v="121810"/>
    <n v="0"/>
    <m/>
    <s v="Dybstrøelse"/>
    <n v="50.4"/>
    <n v="0"/>
    <n v="0.01"/>
    <n v="0"/>
    <n v="0"/>
    <n v="9.7299999999999998E-2"/>
    <n v="0"/>
    <n v="0.01"/>
    <n v="0"/>
    <n v="0"/>
    <n v="0"/>
  </r>
  <r>
    <s v="Kvæg"/>
    <n v="1206"/>
    <s v="1 avlstyr (1 årsdyr), tung race, over 440 kg"/>
    <x v="6"/>
    <s v="Dybstrøelse, lang ædeplads med fast gulv"/>
    <n v="120605"/>
    <x v="3"/>
    <n v="121811"/>
    <n v="0"/>
    <s v="Kvæggylle"/>
    <s v="Dybstrøelse"/>
    <n v="50.4"/>
    <n v="0"/>
    <n v="5.0000000000000001E-3"/>
    <n v="0"/>
    <n v="0"/>
    <n v="9.7299999999999998E-2"/>
    <n v="0"/>
    <n v="0.01"/>
    <n v="0"/>
    <n v="0"/>
    <n v="0"/>
  </r>
  <r>
    <s v="Kvæg"/>
    <n v="1206"/>
    <s v="1 avlstyr (1 årsdyr), tung race, over 440 kg"/>
    <x v="6"/>
    <s v="Dybstrøelse, lang ædeplads med spalter (kanal, lin"/>
    <n v="120606"/>
    <x v="3"/>
    <n v="121812"/>
    <n v="0"/>
    <s v="Kvæggylle"/>
    <m/>
    <n v="50.4"/>
    <n v="0"/>
    <n v="5.0000000000000001E-3"/>
    <n v="0"/>
    <n v="0"/>
    <n v="9.7299999999999998E-2"/>
    <n v="0"/>
    <n v="0.01"/>
    <n v="0"/>
    <n v="0"/>
    <n v="0"/>
  </r>
  <r>
    <s v="Kvæg"/>
    <n v="1206"/>
    <s v="1 avlstyr (1 årsdyr), tung race, over 440 kg"/>
    <x v="6"/>
    <s v="Dybstrøelse, lang ædeplads med spalter (kanal, bag"/>
    <n v="120607"/>
    <x v="3"/>
    <n v="121813"/>
    <n v="0"/>
    <s v="Kvæggylle"/>
    <s v="Dybstrøelse"/>
    <n v="50.4"/>
    <n v="0"/>
    <n v="5.0000000000000001E-3"/>
    <n v="0"/>
    <n v="0"/>
    <n v="9.7299999999999998E-2"/>
    <n v="0"/>
    <n v="0.01"/>
    <n v="0"/>
    <n v="0"/>
    <n v="0"/>
  </r>
  <r>
    <s v="Kvæg"/>
    <n v="1206"/>
    <s v="1 avlstyr (1 årsdyr), tung race, over 440 kg"/>
    <x v="6"/>
    <s v="Spaltegulvbokse"/>
    <n v="120609"/>
    <x v="4"/>
    <n v="121815"/>
    <n v="0"/>
    <s v="Kvæggylle"/>
    <m/>
    <n v="50.4"/>
    <n v="0"/>
    <n v="5.0000000000000001E-3"/>
    <n v="0"/>
    <n v="0"/>
    <n v="9.7299999999999998E-2"/>
    <n v="0"/>
    <n v="0.01"/>
    <n v="0"/>
    <n v="0"/>
    <n v="0"/>
  </r>
  <r>
    <s v="Kvæg"/>
    <n v="1206"/>
    <s v="1 avlstyr (1 årsdyr), tung race, over 440 kg"/>
    <x v="6"/>
    <s v="Sengestald med fast gulv"/>
    <n v="120610"/>
    <x v="2"/>
    <n v="121816"/>
    <n v="0"/>
    <s v="Kvæggylle"/>
    <m/>
    <n v="50.4"/>
    <n v="0"/>
    <n v="5.0000000000000001E-3"/>
    <n v="0"/>
    <n v="0"/>
    <n v="9.7299999999999998E-2"/>
    <n v="0"/>
    <n v="0.01"/>
    <n v="0"/>
    <n v="0"/>
    <n v="0"/>
  </r>
  <r>
    <s v="Kvæg"/>
    <n v="1206"/>
    <s v="1 avlstyr (1 årsdyr), tung race, over 440 kg"/>
    <x v="6"/>
    <s v="Sengestald med spaltegulv (kanal, linespil)"/>
    <n v="120611"/>
    <x v="2"/>
    <n v="121817"/>
    <n v="0"/>
    <s v="Kvæggylle"/>
    <m/>
    <n v="50.4"/>
    <n v="0"/>
    <n v="5.0000000000000001E-3"/>
    <n v="0"/>
    <n v="0"/>
    <n v="9.7299999999999998E-2"/>
    <n v="0"/>
    <n v="0.01"/>
    <n v="0"/>
    <n v="0"/>
    <n v="0"/>
  </r>
  <r>
    <s v="Kvæg"/>
    <n v="1206"/>
    <s v="1 avlstyr (1 årsdyr), tung race, over 440 kg"/>
    <x v="6"/>
    <s v="Sengestald med spaltegulv (kanal, bagskyl eller ri"/>
    <n v="120612"/>
    <x v="2"/>
    <n v="121818"/>
    <n v="0"/>
    <s v="Kvæggylle"/>
    <m/>
    <n v="50.4"/>
    <n v="0"/>
    <n v="5.0000000000000001E-3"/>
    <n v="0"/>
    <n v="0"/>
    <n v="9.7299999999999998E-2"/>
    <n v="0"/>
    <n v="0.01"/>
    <n v="0"/>
    <n v="0"/>
    <n v="0"/>
  </r>
  <r>
    <s v="Kvæg"/>
    <n v="1206"/>
    <s v="1 avlstyr (1 årsdyr), tung race, over 440 kg"/>
    <x v="6"/>
    <s v="Sengestald, fast drænet gulv med skraber og ajleaf"/>
    <n v="120619"/>
    <x v="2"/>
    <n v="121825"/>
    <n v="0"/>
    <s v="Kvæggylle"/>
    <m/>
    <n v="50.4"/>
    <n v="0"/>
    <n v="5.0000000000000001E-3"/>
    <n v="0"/>
    <n v="0"/>
    <n v="9.7299999999999998E-2"/>
    <n v="0"/>
    <n v="0.01"/>
    <n v="0"/>
    <n v="0"/>
    <n v="0"/>
  </r>
  <r>
    <s v="Kvæg"/>
    <n v="1231"/>
    <s v="1 årsko uden opdræt, malkekvæg, Jersey"/>
    <x v="1"/>
    <s v="Bindestald med grebning"/>
    <n v="123101"/>
    <x v="1"/>
    <n v="124332"/>
    <n v="0"/>
    <s v="Fast gødning"/>
    <m/>
    <n v="130.5"/>
    <n v="0"/>
    <n v="5.0000000000000001E-3"/>
    <n v="0"/>
    <n v="0"/>
    <n v="7.22E-2"/>
    <n v="0"/>
    <n v="0.01"/>
    <n v="0"/>
    <n v="0"/>
    <n v="0"/>
  </r>
  <r>
    <s v="Kvæg"/>
    <n v="1231"/>
    <s v="1 årsko uden opdræt, malkekvæg, Jersey"/>
    <x v="1"/>
    <s v="Bindestald med riste"/>
    <n v="123102"/>
    <x v="1"/>
    <n v="124333"/>
    <n v="0"/>
    <s v="Kvæggylle"/>
    <m/>
    <n v="130.5"/>
    <n v="0"/>
    <n v="5.0000000000000001E-3"/>
    <n v="0"/>
    <n v="0"/>
    <n v="7.22E-2"/>
    <n v="0"/>
    <n v="0.01"/>
    <n v="0"/>
    <n v="0"/>
    <n v="0"/>
  </r>
  <r>
    <s v="Kvæg"/>
    <n v="1231"/>
    <s v="1 årsko uden opdræt, malkekvæg, Jersey"/>
    <x v="1"/>
    <s v="Sengestald med fast gulv"/>
    <n v="123103"/>
    <x v="2"/>
    <n v="124334"/>
    <n v="0"/>
    <s v="Kvæggylle"/>
    <m/>
    <n v="130.5"/>
    <n v="0"/>
    <n v="5.0000000000000001E-3"/>
    <n v="0"/>
    <n v="0"/>
    <n v="7.22E-2"/>
    <n v="0"/>
    <n v="0.01"/>
    <n v="0"/>
    <n v="0"/>
    <n v="0"/>
  </r>
  <r>
    <s v="Kvæg"/>
    <n v="1231"/>
    <s v="1 årsko uden opdræt, malkekvæg, Jersey"/>
    <x v="1"/>
    <s v="Sengestald med spalter (kanal, linespil)"/>
    <n v="123104"/>
    <x v="2"/>
    <n v="124335"/>
    <n v="0"/>
    <s v="Kvæggylle"/>
    <m/>
    <n v="130.5"/>
    <n v="0"/>
    <n v="5.0000000000000001E-3"/>
    <n v="0"/>
    <n v="0"/>
    <n v="7.22E-2"/>
    <n v="0"/>
    <n v="0.01"/>
    <n v="0"/>
    <n v="0"/>
    <n v="0"/>
  </r>
  <r>
    <s v="Kvæg"/>
    <n v="1231"/>
    <s v="1 årsko uden opdræt, malkekvæg, Jersey"/>
    <x v="1"/>
    <s v="Sengestald med spalter (kanal, bagskyl eller ringk"/>
    <n v="123105"/>
    <x v="2"/>
    <n v="124336"/>
    <n v="0"/>
    <s v="Kvæggylle"/>
    <m/>
    <n v="130.5"/>
    <n v="0"/>
    <n v="5.0000000000000001E-3"/>
    <n v="0"/>
    <n v="0"/>
    <n v="7.22E-2"/>
    <n v="0"/>
    <n v="0.01"/>
    <n v="0"/>
    <n v="0"/>
    <n v="0"/>
  </r>
  <r>
    <s v="Kvæg"/>
    <n v="1231"/>
    <s v="1 årsko uden opdræt, malkekvæg, Jersey"/>
    <x v="1"/>
    <s v="Dybstrøelse (hele arealet)"/>
    <n v="123106"/>
    <x v="3"/>
    <n v="124337"/>
    <n v="0"/>
    <m/>
    <s v="Dybstrøelse"/>
    <n v="130.5"/>
    <n v="0"/>
    <n v="0.01"/>
    <n v="0"/>
    <n v="0"/>
    <n v="7.22E-2"/>
    <n v="0"/>
    <n v="0.01"/>
    <n v="0"/>
    <n v="0"/>
    <n v="0"/>
  </r>
  <r>
    <s v="Kvæg"/>
    <n v="1231"/>
    <s v="1 årsko uden opdræt, malkekvæg, Jersey"/>
    <x v="1"/>
    <s v="Dybstrøelse, lang ædeplads med fast gulv"/>
    <n v="123107"/>
    <x v="3"/>
    <n v="124338"/>
    <n v="0"/>
    <s v="Kvæggylle"/>
    <m/>
    <n v="130.5"/>
    <n v="0"/>
    <n v="5.0000000000000001E-3"/>
    <n v="0"/>
    <n v="0"/>
    <n v="7.22E-2"/>
    <n v="0"/>
    <n v="0.01"/>
    <n v="0"/>
    <n v="0"/>
    <n v="0"/>
  </r>
  <r>
    <s v="Kvæg"/>
    <n v="1231"/>
    <s v="1 årsko uden opdræt, malkekvæg, Jersey"/>
    <x v="1"/>
    <s v="Dybstrøelse, lang ædeplads med spalter (kanal, lin"/>
    <n v="123108"/>
    <x v="3"/>
    <n v="124339"/>
    <n v="0"/>
    <s v="Kvæggylle"/>
    <m/>
    <n v="130.5"/>
    <n v="0"/>
    <n v="5.0000000000000001E-3"/>
    <n v="0"/>
    <n v="0"/>
    <n v="7.22E-2"/>
    <n v="0"/>
    <n v="0.01"/>
    <n v="0"/>
    <n v="0"/>
    <n v="0"/>
  </r>
  <r>
    <s v="Kvæg"/>
    <n v="1231"/>
    <s v="1 årsko uden opdræt, malkekvæg, Jersey"/>
    <x v="1"/>
    <s v="Dybstrøelse, lang ædeplads med spalter (kanal, bag"/>
    <n v="123109"/>
    <x v="3"/>
    <n v="124340"/>
    <n v="0"/>
    <s v="Kvæggylle"/>
    <m/>
    <n v="130.5"/>
    <n v="0"/>
    <n v="5.0000000000000001E-3"/>
    <n v="0"/>
    <n v="0"/>
    <n v="7.22E-2"/>
    <n v="0"/>
    <n v="0.01"/>
    <n v="0"/>
    <n v="0"/>
    <n v="0"/>
  </r>
  <r>
    <s v="Kvæg"/>
    <n v="1231"/>
    <s v="1 årsko uden opdræt, malkekvæg, Jersey"/>
    <x v="1"/>
    <s v="Sengestald, fast drænet gulv med skraber og ajleaf"/>
    <n v="123114"/>
    <x v="2"/>
    <n v="124345"/>
    <n v="0"/>
    <s v="Kvæggylle"/>
    <m/>
    <n v="130.5"/>
    <n v="0"/>
    <n v="5.0000000000000001E-3"/>
    <n v="0"/>
    <n v="0"/>
    <n v="7.22E-2"/>
    <n v="0"/>
    <n v="0.01"/>
    <n v="0"/>
    <n v="0"/>
    <n v="0"/>
  </r>
  <r>
    <s v="Kvæg"/>
    <n v="1232"/>
    <s v="1 årsopdræt (småkalv 0-6 mdr., Jersey)"/>
    <x v="2"/>
    <s v="Dybstrøelse (hele arealet)"/>
    <n v="123201"/>
    <x v="3"/>
    <n v="124433"/>
    <n v="5.97"/>
    <m/>
    <s v="Dybstrøelse"/>
    <n v="20.100000000000001"/>
    <n v="119.997"/>
    <n v="0.01"/>
    <n v="1.19997"/>
    <n v="1.8856671428571428"/>
    <n v="9.7299999999999998E-2"/>
    <n v="11.6757081"/>
    <n v="0.01"/>
    <n v="0.116757081"/>
    <n v="0.183475413"/>
    <n v="2.0691425558571428E-3"/>
  </r>
  <r>
    <s v="Kvæg"/>
    <n v="1232"/>
    <s v="1 årsopdræt (småkalv 0-6 mdr., Jersey)"/>
    <x v="2"/>
    <s v="Dybstrøelse + kort ædeplads med fast gulv"/>
    <n v="123202"/>
    <x v="3"/>
    <n v="124434"/>
    <n v="0"/>
    <m/>
    <s v="Dybstrøelse"/>
    <n v="20.100000000000001"/>
    <n v="0"/>
    <n v="0.01"/>
    <n v="0"/>
    <n v="0"/>
    <n v="9.7299999999999998E-2"/>
    <n v="0"/>
    <n v="0.01"/>
    <n v="0"/>
    <n v="0"/>
    <n v="0"/>
  </r>
  <r>
    <s v="Kvæg"/>
    <n v="1233"/>
    <s v="1 årsopdræt (kvier/stude 6 mdr. - kælvning (25 mdr)/slagtning, Jersey)"/>
    <x v="3"/>
    <s v="Bindestald med grebning"/>
    <n v="123301"/>
    <x v="1"/>
    <n v="124534"/>
    <n v="0"/>
    <s v="Fast gødning"/>
    <m/>
    <n v="37.9"/>
    <n v="0"/>
    <n v="5.0000000000000001E-3"/>
    <n v="0"/>
    <n v="0"/>
    <n v="9.7299999999999998E-2"/>
    <n v="0"/>
    <n v="0.01"/>
    <n v="0"/>
    <n v="0"/>
    <n v="0"/>
  </r>
  <r>
    <s v="Kvæg"/>
    <n v="1233"/>
    <s v="1 årsopdræt (kvier/stude 6 mdr. - kælvning (25 mdr)/slagtning, Jersey)"/>
    <x v="3"/>
    <s v="Bindestald med riste"/>
    <n v="123302"/>
    <x v="1"/>
    <n v="124535"/>
    <n v="0"/>
    <s v="Kvæggylle"/>
    <m/>
    <n v="37.9"/>
    <n v="0"/>
    <n v="5.0000000000000001E-3"/>
    <n v="0"/>
    <n v="0"/>
    <n v="9.7299999999999998E-2"/>
    <n v="0"/>
    <n v="0.01"/>
    <n v="0"/>
    <n v="0"/>
    <n v="0"/>
  </r>
  <r>
    <s v="Kvæg"/>
    <n v="1233"/>
    <s v="1 årsopdræt (kvier/stude 6 mdr. - kælvning (25 mdr)/slagtning, Jersey)"/>
    <x v="3"/>
    <s v="Sengestald med fast gulv"/>
    <n v="123303"/>
    <x v="2"/>
    <n v="124536"/>
    <n v="0"/>
    <s v="Kvæggylle"/>
    <m/>
    <n v="37.9"/>
    <n v="0"/>
    <n v="5.0000000000000001E-3"/>
    <n v="0"/>
    <n v="0"/>
    <n v="9.7299999999999998E-2"/>
    <n v="0"/>
    <n v="0.01"/>
    <n v="0"/>
    <n v="0"/>
    <n v="0"/>
  </r>
  <r>
    <s v="Kvæg"/>
    <n v="1233"/>
    <s v="1 årsopdræt (kvier/stude 6 mdr. - kælvning (25 mdr)/slagtning, Jersey)"/>
    <x v="3"/>
    <s v="Sengestald med spaltegulv (kanal, linespil)"/>
    <n v="123304"/>
    <x v="2"/>
    <n v="124537"/>
    <n v="0"/>
    <s v="Kvæggylle"/>
    <m/>
    <n v="37.9"/>
    <n v="0"/>
    <n v="5.0000000000000001E-3"/>
    <n v="0"/>
    <n v="0"/>
    <n v="9.7299999999999998E-2"/>
    <n v="0"/>
    <n v="0.01"/>
    <n v="0"/>
    <n v="0"/>
    <n v="0"/>
  </r>
  <r>
    <s v="Kvæg"/>
    <n v="1233"/>
    <s v="1 årsopdræt (kvier/stude 6 mdr. - kælvning (25 mdr)/slagtning, Jersey)"/>
    <x v="3"/>
    <s v="Sengestald med spaltegulv (kanal, bagskyl eller ri"/>
    <n v="123305"/>
    <x v="2"/>
    <n v="124538"/>
    <n v="0"/>
    <s v="Kvæggylle"/>
    <m/>
    <n v="37.9"/>
    <n v="0"/>
    <n v="5.0000000000000001E-3"/>
    <n v="0"/>
    <n v="0"/>
    <n v="9.7299999999999998E-2"/>
    <n v="0"/>
    <n v="0.01"/>
    <n v="0"/>
    <n v="0"/>
    <n v="0"/>
  </r>
  <r>
    <s v="Kvæg"/>
    <n v="1233"/>
    <s v="1 årsopdræt (kvier/stude 6 mdr. - kælvning (25 mdr)/slagtning, Jersey)"/>
    <x v="3"/>
    <s v="Dybstrøelse, hele arealet"/>
    <n v="123306"/>
    <x v="3"/>
    <n v="124539"/>
    <n v="72.56"/>
    <m/>
    <s v="Dybstrøelse"/>
    <n v="37.9"/>
    <n v="2750.0239999999999"/>
    <n v="0.01"/>
    <n v="27.500239999999998"/>
    <n v="43.214662857142855"/>
    <n v="9.7299999999999998E-2"/>
    <n v="267.57733519999999"/>
    <n v="0.01"/>
    <n v="2.6757733519999998"/>
    <n v="4.2047866960000002"/>
    <n v="4.7419449553142853E-2"/>
  </r>
  <r>
    <s v="Kvæg"/>
    <n v="1233"/>
    <s v="1 årsopdræt (kvier/stude 6 mdr. - kælvning (25 mdr)/slagtning, Jersey)"/>
    <x v="3"/>
    <s v="Dybstrøelse, + kort ædeplads med fast gulv"/>
    <n v="123307"/>
    <x v="3"/>
    <n v="124540"/>
    <n v="0"/>
    <m/>
    <s v="Dybstrøelse"/>
    <n v="37.9"/>
    <n v="0"/>
    <n v="0.01"/>
    <n v="0"/>
    <n v="0"/>
    <n v="9.7299999999999998E-2"/>
    <n v="0"/>
    <n v="0.01"/>
    <n v="0"/>
    <n v="0"/>
    <n v="0"/>
  </r>
  <r>
    <s v="Kvæg"/>
    <n v="1233"/>
    <s v="1 årsopdræt (kvier/stude 6 mdr. - kælvning (25 mdr)/slagtning, Jersey)"/>
    <x v="3"/>
    <s v="Dybstrøelse, lang ædeplads med fast gulv"/>
    <n v="123308"/>
    <x v="3"/>
    <n v="124541"/>
    <n v="0"/>
    <s v="Kvæggylle"/>
    <m/>
    <n v="37.9"/>
    <n v="0"/>
    <n v="5.0000000000000001E-3"/>
    <n v="0"/>
    <n v="0"/>
    <n v="9.7299999999999998E-2"/>
    <n v="0"/>
    <n v="0.01"/>
    <n v="0"/>
    <n v="0"/>
    <n v="0"/>
  </r>
  <r>
    <s v="Kvæg"/>
    <n v="1233"/>
    <s v="1 årsopdræt (kvier/stude 6 mdr. - kælvning (25 mdr)/slagtning, Jersey)"/>
    <x v="3"/>
    <s v="Dybstrøelse, lang ædeplads med spalter (kanal, lin"/>
    <n v="123309"/>
    <x v="3"/>
    <n v="124542"/>
    <n v="0"/>
    <s v="Kvæggylle"/>
    <m/>
    <n v="37.9"/>
    <n v="0"/>
    <n v="5.0000000000000001E-3"/>
    <n v="0"/>
    <n v="0"/>
    <n v="9.7299999999999998E-2"/>
    <n v="0"/>
    <n v="0.01"/>
    <n v="0"/>
    <n v="0"/>
    <n v="0"/>
  </r>
  <r>
    <s v="Kvæg"/>
    <n v="1233"/>
    <s v="1 årsopdræt (kvier/stude 6 mdr. - kælvning (25 mdr)/slagtning, Jersey)"/>
    <x v="3"/>
    <s v="Dybstrøelse, lang ædeplads med spalter (kanal, bag"/>
    <n v="123310"/>
    <x v="3"/>
    <n v="124543"/>
    <n v="0"/>
    <s v="Kvæggylle"/>
    <m/>
    <n v="37.9"/>
    <n v="0"/>
    <n v="5.0000000000000001E-3"/>
    <n v="0"/>
    <n v="0"/>
    <n v="9.7299999999999998E-2"/>
    <n v="0"/>
    <n v="0.01"/>
    <n v="0"/>
    <n v="0"/>
    <n v="0"/>
  </r>
  <r>
    <s v="Kvæg"/>
    <n v="1233"/>
    <s v="1 årsopdræt (kvier/stude 6 mdr. - kælvning (25 mdr)/slagtning, Jersey)"/>
    <x v="3"/>
    <s v="Spaltegulvbokse"/>
    <n v="123312"/>
    <x v="4"/>
    <n v="124545"/>
    <n v="0"/>
    <s v="Kvæggylle"/>
    <m/>
    <n v="37.9"/>
    <n v="0"/>
    <n v="5.0000000000000001E-3"/>
    <n v="0"/>
    <n v="0"/>
    <n v="9.7299999999999998E-2"/>
    <n v="0"/>
    <n v="0.01"/>
    <n v="0"/>
    <n v="0"/>
    <n v="0"/>
  </r>
  <r>
    <s v="Kvæg"/>
    <n v="1233"/>
    <s v="1 årsopdræt (kvier/stude 6 mdr. - kælvning (25 mdr)/slagtning, Jersey)"/>
    <x v="3"/>
    <s v="Sengestald, fast drænet gulv med skraber og ajleaf"/>
    <n v="123316"/>
    <x v="2"/>
    <n v="124549"/>
    <n v="0"/>
    <s v="Kvæggylle"/>
    <m/>
    <n v="37.9"/>
    <n v="0"/>
    <n v="5.0000000000000001E-3"/>
    <n v="0"/>
    <n v="0"/>
    <n v="9.7299999999999998E-2"/>
    <n v="0"/>
    <n v="0.01"/>
    <n v="0"/>
    <n v="0"/>
    <n v="0"/>
  </r>
  <r>
    <s v="Kvæg"/>
    <n v="1234"/>
    <s v="1 stk. slagtekalv, 0-6 mdr., Jersey."/>
    <x v="4"/>
    <s v="Dybstrøelse (hele arealet)"/>
    <n v="123401"/>
    <x v="3"/>
    <n v="124635"/>
    <n v="8.31"/>
    <m/>
    <s v="Dybstrøelse"/>
    <n v="9.11"/>
    <n v="75.704099999999997"/>
    <n v="0.01"/>
    <n v="0.75704099999999996"/>
    <n v="1.1896358571428571"/>
    <n v="9.7299999999999998E-2"/>
    <n v="7.3660089299999996"/>
    <n v="0.01"/>
    <n v="7.3660089299999995E-2"/>
    <n v="0.1157515689"/>
    <n v="1.3053874260428571E-3"/>
  </r>
  <r>
    <s v="Kvæg"/>
    <n v="1234"/>
    <s v="1 stk. slagtekalv, 0-6 mdr., Jersey."/>
    <x v="4"/>
    <s v="Dybstrøelse + kort ædeplads med fast gulv"/>
    <n v="123402"/>
    <x v="3"/>
    <n v="124636"/>
    <n v="0"/>
    <m/>
    <s v="Dybstrøelse"/>
    <n v="9.11"/>
    <n v="0"/>
    <n v="0.01"/>
    <n v="0"/>
    <n v="0"/>
    <n v="9.7299999999999998E-2"/>
    <n v="0"/>
    <n v="0.01"/>
    <n v="0"/>
    <n v="0"/>
    <n v="0"/>
  </r>
  <r>
    <s v="Kvæg"/>
    <n v="1235"/>
    <s v="1 stk. slagtekalve 6 mdr. - slagtning (328 kg), Jersey."/>
    <x v="5"/>
    <s v="Bindestald med grebning"/>
    <n v="123501"/>
    <x v="1"/>
    <n v="124736"/>
    <n v="0"/>
    <s v="Fast gødning"/>
    <m/>
    <n v="18.399999999999999"/>
    <n v="0"/>
    <n v="5.0000000000000001E-3"/>
    <n v="0"/>
    <n v="0"/>
    <n v="9.7299999999999998E-2"/>
    <n v="0"/>
    <n v="0.01"/>
    <n v="0"/>
    <n v="0"/>
    <n v="0"/>
  </r>
  <r>
    <s v="Kvæg"/>
    <n v="1235"/>
    <s v="1 stk. slagtekalve 6 mdr. - slagtning (328 kg), Jersey."/>
    <x v="5"/>
    <s v="Bindestald med riste"/>
    <n v="123502"/>
    <x v="1"/>
    <n v="124737"/>
    <n v="0"/>
    <s v="Kvæggylle"/>
    <m/>
    <n v="18.399999999999999"/>
    <n v="0"/>
    <n v="5.0000000000000001E-3"/>
    <n v="0"/>
    <n v="0"/>
    <n v="9.7299999999999998E-2"/>
    <n v="0"/>
    <n v="0.01"/>
    <n v="0"/>
    <n v="0"/>
    <n v="0"/>
  </r>
  <r>
    <s v="Kvæg"/>
    <n v="1235"/>
    <s v="1 stk. slagtekalve 6 mdr. - slagtning (328 kg), Jersey."/>
    <x v="5"/>
    <s v="Dybstrøelse, hele arealet"/>
    <n v="123503"/>
    <x v="3"/>
    <n v="124738"/>
    <n v="31.85"/>
    <m/>
    <s v="Dybstrøelse"/>
    <n v="18.399999999999999"/>
    <n v="586.04"/>
    <n v="0.01"/>
    <n v="5.8603999999999994"/>
    <n v="9.2091999999999992"/>
    <n v="9.7299999999999998E-2"/>
    <n v="57.021691999999994"/>
    <n v="0.01"/>
    <n v="0.5702169199999999"/>
    <n v="0.89605515999999985"/>
    <n v="1.0105255159999998E-2"/>
  </r>
  <r>
    <s v="Kvæg"/>
    <n v="1235"/>
    <s v="1 stk. slagtekalve 6 mdr. - slagtning (328 kg), Jersey."/>
    <x v="5"/>
    <s v="Dybstrøelse hele arealet+kort ædeplads,fast gulv"/>
    <n v="123504"/>
    <x v="3"/>
    <n v="124739"/>
    <n v="0"/>
    <m/>
    <s v="Dybstrøelse"/>
    <n v="18.399999999999999"/>
    <n v="0"/>
    <n v="0.01"/>
    <n v="0"/>
    <n v="0"/>
    <n v="9.7299999999999998E-2"/>
    <n v="0"/>
    <n v="0.01"/>
    <n v="0"/>
    <n v="0"/>
    <n v="0"/>
  </r>
  <r>
    <s v="Kvæg"/>
    <n v="1235"/>
    <s v="1 stk. slagtekalve 6 mdr. - slagtning (328 kg), Jersey."/>
    <x v="5"/>
    <s v="Dybstrøelse, lang ædeplads,fast gulv"/>
    <n v="123505"/>
    <x v="3"/>
    <n v="124740"/>
    <n v="0"/>
    <s v="Kvæggylle"/>
    <m/>
    <n v="18.399999999999999"/>
    <n v="0"/>
    <n v="5.0000000000000001E-3"/>
    <n v="0"/>
    <n v="0"/>
    <n v="9.7299999999999998E-2"/>
    <n v="0"/>
    <n v="0.01"/>
    <n v="0"/>
    <n v="0"/>
    <n v="0"/>
  </r>
  <r>
    <s v="Kvæg"/>
    <n v="1235"/>
    <s v="1 stk. slagtekalve 6 mdr. - slagtning (328 kg), Jersey."/>
    <x v="5"/>
    <s v="Dybstrøelse, lang ædeplads, spalter(kanal, linespil)"/>
    <n v="123506"/>
    <x v="3"/>
    <n v="124741"/>
    <n v="0"/>
    <s v="Kvæggylle"/>
    <m/>
    <n v="18.399999999999999"/>
    <n v="0"/>
    <n v="5.0000000000000001E-3"/>
    <n v="0"/>
    <n v="0"/>
    <n v="9.7299999999999998E-2"/>
    <n v="0"/>
    <n v="0.01"/>
    <n v="0"/>
    <n v="0"/>
    <n v="0"/>
  </r>
  <r>
    <s v="Kvæg"/>
    <n v="1235"/>
    <s v="1 stk. slagtekalve 6 mdr. - slagtning (328 kg), Jersey."/>
    <x v="5"/>
    <s v="Dybstrøelse,lang ædeplads,spalter(kanal,bagskyl/ringkanal)"/>
    <n v="123507"/>
    <x v="3"/>
    <n v="124742"/>
    <n v="0"/>
    <s v="Kvæggylle"/>
    <m/>
    <n v="18.399999999999999"/>
    <n v="0"/>
    <n v="5.0000000000000001E-3"/>
    <n v="0"/>
    <n v="0"/>
    <n v="9.7299999999999998E-2"/>
    <n v="0"/>
    <n v="0.01"/>
    <n v="0"/>
    <n v="0"/>
    <n v="0"/>
  </r>
  <r>
    <s v="Kvæg"/>
    <n v="1235"/>
    <s v="1 stk. slagtekalve 6 mdr. - slagtning (328 kg), Jersey."/>
    <x v="5"/>
    <s v="Spaltegulvbokse"/>
    <n v="123509"/>
    <x v="4"/>
    <n v="124744"/>
    <n v="0"/>
    <s v="Kvæggylle"/>
    <m/>
    <n v="18.399999999999999"/>
    <n v="0"/>
    <n v="5.0000000000000001E-3"/>
    <n v="0"/>
    <n v="0"/>
    <n v="9.7299999999999998E-2"/>
    <n v="0"/>
    <n v="0.01"/>
    <n v="0"/>
    <n v="0"/>
    <n v="0"/>
  </r>
  <r>
    <s v="Kvæg"/>
    <n v="1235"/>
    <s v="1 stk. slagtekalve 6 mdr. - slagtning (328 kg), Jersey."/>
    <x v="5"/>
    <s v="Sengestald med fast gulv"/>
    <n v="123513"/>
    <x v="2"/>
    <n v="124748"/>
    <n v="0"/>
    <s v="Kvæggylle"/>
    <m/>
    <n v="18.399999999999999"/>
    <n v="0"/>
    <n v="5.0000000000000001E-3"/>
    <n v="0"/>
    <n v="0"/>
    <n v="9.7299999999999998E-2"/>
    <n v="0"/>
    <n v="0.01"/>
    <n v="0"/>
    <n v="0"/>
    <n v="0"/>
  </r>
  <r>
    <s v="Kvæg"/>
    <n v="1235"/>
    <s v="1 stk. slagtekalve 6 mdr. - slagtning (328 kg), Jersey."/>
    <x v="5"/>
    <s v="Sengestald med spalter (kanal, linespil)"/>
    <n v="123514"/>
    <x v="2"/>
    <n v="124749"/>
    <n v="0"/>
    <s v="Kvæggylle"/>
    <m/>
    <n v="18.399999999999999"/>
    <n v="0"/>
    <n v="5.0000000000000001E-3"/>
    <n v="0"/>
    <n v="0"/>
    <n v="9.7299999999999998E-2"/>
    <n v="0"/>
    <n v="0.01"/>
    <n v="0"/>
    <n v="0"/>
    <n v="0"/>
  </r>
  <r>
    <s v="Kvæg"/>
    <n v="1235"/>
    <s v="1 stk. slagtekalve 6 mdr. - slagtning (328 kg), Jersey."/>
    <x v="5"/>
    <s v="Sengestald med spalter (kanal, bagskyl eller ringk"/>
    <n v="123515"/>
    <x v="2"/>
    <n v="124750"/>
    <n v="0"/>
    <s v="Kvæggylle"/>
    <m/>
    <n v="18.399999999999999"/>
    <n v="0"/>
    <n v="5.0000000000000001E-3"/>
    <n v="0"/>
    <n v="0"/>
    <n v="9.7299999999999998E-2"/>
    <n v="0"/>
    <n v="0.01"/>
    <n v="0"/>
    <n v="0"/>
    <n v="0"/>
  </r>
  <r>
    <s v="Kvæg"/>
    <n v="1235"/>
    <s v="1 stk. slagtekalve 6 mdr. - slagtning (328 kg), Jersey."/>
    <x v="5"/>
    <s v="Sengestald, fast drænet gulv med skraber og ajleaf"/>
    <n v="123519"/>
    <x v="2"/>
    <n v="124754"/>
    <n v="0"/>
    <s v="Kvæggylle"/>
    <m/>
    <n v="18.399999999999999"/>
    <n v="0"/>
    <n v="5.0000000000000001E-3"/>
    <n v="0"/>
    <n v="0"/>
    <n v="9.7299999999999998E-2"/>
    <n v="0"/>
    <n v="0.01"/>
    <n v="0"/>
    <n v="0"/>
    <n v="0"/>
  </r>
  <r>
    <s v="Kvæg"/>
    <n v="1236"/>
    <s v="1 avlstyr (1 årsdyr), Jersey, over 328 kg"/>
    <x v="6"/>
    <s v="Bindestald med grebning"/>
    <n v="123601"/>
    <x v="1"/>
    <n v="124837"/>
    <n v="0"/>
    <s v="Fast gødning"/>
    <m/>
    <n v="37.9"/>
    <n v="0"/>
    <n v="5.0000000000000001E-3"/>
    <n v="0"/>
    <n v="0"/>
    <n v="9.7299999999999998E-2"/>
    <n v="0"/>
    <n v="0.01"/>
    <n v="0"/>
    <n v="0"/>
    <n v="0"/>
  </r>
  <r>
    <s v="Kvæg"/>
    <n v="1236"/>
    <s v="1 avlstyr (1 årsdyr), Jersey, over 328 kg"/>
    <x v="6"/>
    <s v="Bindestald med riste"/>
    <n v="123602"/>
    <x v="1"/>
    <n v="124838"/>
    <n v="0"/>
    <s v="Kvæggylle"/>
    <s v="Dybstrøelse"/>
    <n v="37.9"/>
    <n v="0"/>
    <n v="5.0000000000000001E-3"/>
    <n v="0"/>
    <n v="0"/>
    <n v="9.7299999999999998E-2"/>
    <n v="0"/>
    <n v="0.01"/>
    <n v="0"/>
    <n v="0"/>
    <n v="0"/>
  </r>
  <r>
    <s v="Kvæg"/>
    <n v="1236"/>
    <s v="1 avlstyr (1 årsdyr), Jersey, over 328 kg"/>
    <x v="6"/>
    <s v="Dybstrøelse, hele arealet"/>
    <n v="123603"/>
    <x v="3"/>
    <n v="124839"/>
    <n v="1.07"/>
    <m/>
    <s v="Dybstrøelse"/>
    <n v="37.9"/>
    <n v="40.553000000000004"/>
    <n v="0.01"/>
    <n v="0.40553000000000006"/>
    <n v="0.63726142857142865"/>
    <n v="9.7299999999999998E-2"/>
    <n v="3.9458069000000005"/>
    <n v="0.01"/>
    <n v="3.9458069000000005E-2"/>
    <n v="6.2005537000000006E-2"/>
    <n v="6.9926696557142862E-4"/>
  </r>
  <r>
    <s v="Kvæg"/>
    <n v="1236"/>
    <s v="1 avlstyr (1 årsdyr), Jersey, over 328 kg"/>
    <x v="6"/>
    <s v="Dybstrøelse hele arealet+kort ædeplads,fast gulv"/>
    <n v="123604"/>
    <x v="3"/>
    <n v="124840"/>
    <n v="0"/>
    <m/>
    <s v="Dybstrøelse"/>
    <n v="37.9"/>
    <n v="0"/>
    <n v="0.01"/>
    <n v="0"/>
    <n v="0"/>
    <n v="9.7299999999999998E-2"/>
    <n v="0"/>
    <n v="0.01"/>
    <n v="0"/>
    <n v="0"/>
    <n v="0"/>
  </r>
  <r>
    <s v="Kvæg"/>
    <n v="1236"/>
    <s v="1 avlstyr (1 årsdyr), Jersey, over 328 kg"/>
    <x v="6"/>
    <s v="Dybstrøelse, lang ædeplads,fast gulv"/>
    <n v="123605"/>
    <x v="3"/>
    <n v="124841"/>
    <n v="0"/>
    <s v="Kvæggylle"/>
    <s v="Dybstrøelse"/>
    <n v="37.9"/>
    <n v="0"/>
    <n v="5.0000000000000001E-3"/>
    <n v="0"/>
    <n v="0"/>
    <n v="9.7299999999999998E-2"/>
    <n v="0"/>
    <n v="0.01"/>
    <n v="0"/>
    <n v="0"/>
    <n v="0"/>
  </r>
  <r>
    <s v="Kvæg "/>
    <n v="1236"/>
    <s v="1 avlstyr (1 årsdyr), Jersey, over 328 kg"/>
    <x v="6"/>
    <s v="Dybstrøelse, lang ædeplads, spalter(kanal, linespil)"/>
    <n v="123606"/>
    <x v="3"/>
    <n v="124842"/>
    <s v=" "/>
    <s v="Kvæggylle "/>
    <m/>
    <n v="37.9"/>
    <s v=" "/>
    <n v="5.0000000000000001E-3"/>
    <s v=" "/>
    <s v=" "/>
    <n v="9.7299999999999998E-2"/>
    <s v=" "/>
    <n v="0.01"/>
    <s v=" "/>
    <n v="0"/>
    <s v=" "/>
  </r>
  <r>
    <s v="Kvæg"/>
    <n v="1236"/>
    <s v="1 avlstyr (1 årsdyr), Jersey, over 328 kg"/>
    <x v="6"/>
    <s v="Dybstrøelse,lang ædeplads,spalter(kanal,bagskyl/ringkanal)"/>
    <n v="123607"/>
    <x v="3"/>
    <n v="124843"/>
    <n v="0"/>
    <s v="Kvæggylle"/>
    <s v="Dybstrøelse"/>
    <n v="37.9"/>
    <n v="0"/>
    <n v="5.0000000000000001E-3"/>
    <n v="0"/>
    <n v="0"/>
    <n v="9.7299999999999998E-2"/>
    <n v="0"/>
    <n v="0.01"/>
    <n v="0"/>
    <n v="0"/>
    <n v="0"/>
  </r>
  <r>
    <s v="Kvæg"/>
    <n v="1236"/>
    <s v="1 avlstyr (1 årsdyr), Jersey, over 328 kg"/>
    <x v="6"/>
    <s v="Spaltegulvbokse"/>
    <n v="123609"/>
    <x v="4"/>
    <n v="124845"/>
    <n v="0"/>
    <s v="Kvæggylle"/>
    <m/>
    <n v="37.9"/>
    <n v="0"/>
    <n v="5.0000000000000001E-3"/>
    <n v="0"/>
    <n v="0"/>
    <n v="9.7299999999999998E-2"/>
    <n v="0"/>
    <n v="0.01"/>
    <n v="0"/>
    <n v="0"/>
    <n v="0"/>
  </r>
  <r>
    <s v="Kvæg"/>
    <n v="1236"/>
    <s v="1 avlstyr (1 årsdyr), Jersey, over 328 kg"/>
    <x v="6"/>
    <s v="Sengestald med fast gulv"/>
    <n v="123610"/>
    <x v="2"/>
    <n v="124846"/>
    <n v="0"/>
    <s v="Kvæggylle"/>
    <m/>
    <n v="37.9"/>
    <n v="0"/>
    <n v="5.0000000000000001E-3"/>
    <n v="0"/>
    <n v="0"/>
    <n v="9.7299999999999998E-2"/>
    <n v="0"/>
    <n v="0.01"/>
    <n v="0"/>
    <n v="0"/>
    <n v="0"/>
  </r>
  <r>
    <s v="Kvæg"/>
    <n v="1236"/>
    <s v="1 avlstyr (1 årsdyr), Jersey, over 328 kg"/>
    <x v="6"/>
    <s v="Sengestald med spaltegulv (kanal, linespil)"/>
    <n v="123611"/>
    <x v="2"/>
    <n v="124847"/>
    <n v="0"/>
    <s v="Kvæggylle"/>
    <m/>
    <n v="37.9"/>
    <n v="0"/>
    <n v="5.0000000000000001E-3"/>
    <n v="0"/>
    <n v="0"/>
    <n v="9.7299999999999998E-2"/>
    <n v="0"/>
    <n v="0.01"/>
    <n v="0"/>
    <n v="0"/>
    <n v="0"/>
  </r>
  <r>
    <s v="Kvæg"/>
    <n v="1236"/>
    <s v="1 avlstyr (1 årsdyr), Jersey, over 328 kg"/>
    <x v="6"/>
    <s v="Sengestald med spaltegulv (kanal, bagskyl eller ri"/>
    <n v="123612"/>
    <x v="2"/>
    <n v="124848"/>
    <n v="0"/>
    <s v="Kvæggylle"/>
    <m/>
    <n v="37.9"/>
    <n v="0"/>
    <n v="5.0000000000000001E-3"/>
    <n v="0"/>
    <n v="0"/>
    <n v="9.7299999999999998E-2"/>
    <n v="0"/>
    <n v="0.01"/>
    <n v="0"/>
    <n v="0"/>
    <n v="0"/>
  </r>
  <r>
    <s v="Kvæg"/>
    <n v="1236"/>
    <s v="1 avlstyr (1 årsdyr), Jersey, over 328 kg"/>
    <x v="6"/>
    <s v="Sengestald, fast drænet gulv med skraber og ajleaf"/>
    <n v="123619"/>
    <x v="2"/>
    <n v="124855"/>
    <n v="0"/>
    <s v="Kvæggylle"/>
    <m/>
    <n v="37.9"/>
    <n v="0"/>
    <n v="5.0000000000000001E-3"/>
    <n v="0"/>
    <n v="0"/>
    <n v="9.7299999999999998E-2"/>
    <n v="0"/>
    <n v="0.01"/>
    <n v="0"/>
    <n v="0"/>
    <n v="0"/>
  </r>
  <r>
    <s v="Kvæg"/>
    <n v="1241"/>
    <s v="1 årsammeko uden opdræt (under 400 kg)"/>
    <x v="7"/>
    <s v="Bindestald med grebning"/>
    <n v="124101"/>
    <x v="1"/>
    <n v="125342"/>
    <n v="0"/>
    <s v="Fast gødning"/>
    <m/>
    <n v="43.6"/>
    <n v="0"/>
    <n v="5.0000000000000001E-3"/>
    <n v="0"/>
    <n v="0"/>
    <n v="9.7299999999999998E-2"/>
    <n v="0"/>
    <n v="0.01"/>
    <n v="0"/>
    <n v="0"/>
    <n v="0"/>
  </r>
  <r>
    <s v="Kvæg"/>
    <n v="1241"/>
    <s v="1 årsammeko uden opdræt (under 400 kg)"/>
    <x v="7"/>
    <s v="Bindestald med riste"/>
    <n v="124102"/>
    <x v="1"/>
    <n v="125343"/>
    <n v="0"/>
    <s v="Kvæggylle"/>
    <m/>
    <n v="43.6"/>
    <n v="0"/>
    <n v="5.0000000000000001E-3"/>
    <n v="0"/>
    <n v="0"/>
    <n v="9.7299999999999998E-2"/>
    <n v="0"/>
    <n v="0.01"/>
    <n v="0"/>
    <n v="0"/>
    <n v="0"/>
  </r>
  <r>
    <s v="Kvæg"/>
    <n v="1241"/>
    <s v="1 årsammeko uden opdræt (under 400 kg)"/>
    <x v="7"/>
    <s v="Dybstrøelse, hele arealet"/>
    <n v="124103"/>
    <x v="3"/>
    <n v="125344"/>
    <n v="0"/>
    <m/>
    <s v="Dybstrøelse"/>
    <n v="43.6"/>
    <n v="0"/>
    <n v="0.01"/>
    <n v="0"/>
    <n v="0"/>
    <n v="9.7299999999999998E-2"/>
    <n v="0"/>
    <n v="0.01"/>
    <n v="0"/>
    <n v="0"/>
    <n v="0"/>
  </r>
  <r>
    <s v="Kvæg"/>
    <n v="1241"/>
    <s v="1 årsammeko uden opdræt (under 400 kg)"/>
    <x v="7"/>
    <s v="Dybstrøelse, kort ædeplads med fast gulv"/>
    <n v="124104"/>
    <x v="3"/>
    <n v="125345"/>
    <n v="0"/>
    <m/>
    <s v="Dybstrøelse"/>
    <n v="43.6"/>
    <n v="0"/>
    <n v="0.01"/>
    <n v="0"/>
    <n v="0"/>
    <n v="9.7299999999999998E-2"/>
    <n v="0"/>
    <n v="0.01"/>
    <n v="0"/>
    <n v="0"/>
    <n v="0"/>
  </r>
  <r>
    <s v="Kvæg"/>
    <n v="1241"/>
    <s v="1 årsammeko uden opdræt (under 400 kg)"/>
    <x v="7"/>
    <s v="Dybstrøelse, lang ædeplads med fast gulv"/>
    <n v="124105"/>
    <x v="3"/>
    <n v="125346"/>
    <n v="0"/>
    <s v="Kvæggylle"/>
    <m/>
    <n v="43.6"/>
    <n v="0"/>
    <n v="5.0000000000000001E-3"/>
    <n v="0"/>
    <n v="0"/>
    <n v="9.7299999999999998E-2"/>
    <n v="0"/>
    <n v="0.01"/>
    <n v="0"/>
    <n v="0"/>
    <n v="0"/>
  </r>
  <r>
    <s v="Kvæg"/>
    <n v="1241"/>
    <s v="1 årsammeko uden opdræt (under 400 kg)"/>
    <x v="7"/>
    <s v="Dybstrøelse, lang ædeplads med spalter (kanal, lin"/>
    <n v="124106"/>
    <x v="3"/>
    <n v="125347"/>
    <n v="0"/>
    <s v="Kvæggylle"/>
    <m/>
    <n v="43.6"/>
    <n v="0"/>
    <n v="5.0000000000000001E-3"/>
    <n v="0"/>
    <n v="0"/>
    <n v="9.7299999999999998E-2"/>
    <n v="0"/>
    <n v="0.01"/>
    <n v="0"/>
    <n v="0"/>
    <n v="0"/>
  </r>
  <r>
    <s v="Kvæg"/>
    <n v="1241"/>
    <s v="1 årsammeko uden opdræt (under 400 kg)"/>
    <x v="7"/>
    <s v="Dybstrøelse, lang ædeplads med spalter (kanal, bag"/>
    <n v="124107"/>
    <x v="3"/>
    <n v="125348"/>
    <n v="0"/>
    <s v="Kvæggylle"/>
    <m/>
    <n v="43.6"/>
    <n v="0"/>
    <n v="5.0000000000000001E-3"/>
    <n v="0"/>
    <n v="0"/>
    <n v="9.7299999999999998E-2"/>
    <n v="0"/>
    <n v="0.01"/>
    <n v="0"/>
    <n v="0"/>
    <n v="0"/>
  </r>
  <r>
    <s v="Kvæg"/>
    <n v="1241"/>
    <s v="1 årsammeko uden opdræt (under 400 kg)"/>
    <x v="7"/>
    <s v="Sengestald med spaltegulv (kanal, bagskyl el. ring"/>
    <n v="124110"/>
    <x v="2"/>
    <n v="125351"/>
    <n v="0"/>
    <s v="Kvæggylle"/>
    <m/>
    <n v="43.6"/>
    <n v="0"/>
    <n v="5.0000000000000001E-3"/>
    <n v="0"/>
    <n v="0"/>
    <n v="9.7299999999999998E-2"/>
    <n v="0"/>
    <n v="0.01"/>
    <n v="0"/>
    <n v="0"/>
    <n v="0"/>
  </r>
  <r>
    <s v="Kvæg"/>
    <n v="1242"/>
    <s v="1 årsammeko uden opdræt (400-600 kg)"/>
    <x v="7"/>
    <s v="Bindestald med grebning"/>
    <n v="124201"/>
    <x v="1"/>
    <n v="125443"/>
    <n v="7.97"/>
    <s v="Fast gødning"/>
    <m/>
    <n v="63.6"/>
    <n v="506.892"/>
    <n v="5.0000000000000001E-3"/>
    <n v="2.5344600000000002"/>
    <n v="3.9827228571428575"/>
    <n v="9.7299999999999998E-2"/>
    <n v="49.3205916"/>
    <n v="0.01"/>
    <n v="0.49320591600000002"/>
    <n v="0.77503786800000007"/>
    <n v="4.757760725142857E-3"/>
  </r>
  <r>
    <s v="Kvæg"/>
    <n v="1242"/>
    <s v="1 årsammeko uden opdræt (400-600 kg)"/>
    <x v="7"/>
    <s v="Bindestald med riste"/>
    <n v="124202"/>
    <x v="1"/>
    <n v="125444"/>
    <n v="0"/>
    <s v="Kvæggylle"/>
    <m/>
    <n v="63.6"/>
    <n v="0"/>
    <n v="5.0000000000000001E-3"/>
    <n v="0"/>
    <n v="0"/>
    <n v="9.7299999999999998E-2"/>
    <n v="0"/>
    <n v="0.01"/>
    <n v="0"/>
    <n v="0"/>
    <n v="0"/>
  </r>
  <r>
    <s v="Kvæg"/>
    <n v="1242"/>
    <s v="1 årsammeko uden opdræt (400-600 kg)"/>
    <x v="7"/>
    <s v="Dybstrøelse, hele arealet"/>
    <n v="124203"/>
    <x v="3"/>
    <n v="125445"/>
    <n v="235.84"/>
    <m/>
    <s v="Dybstrøelse"/>
    <n v="63.6"/>
    <n v="14999.424000000001"/>
    <n v="0.01"/>
    <n v="149.99424000000002"/>
    <n v="235.70523428571431"/>
    <n v="9.7299999999999998E-2"/>
    <n v="1459.4439552000001"/>
    <n v="0.01"/>
    <n v="14.594439552000001"/>
    <n v="22.934119296000002"/>
    <n v="0.2586393535817143"/>
  </r>
  <r>
    <s v="Kvæg"/>
    <n v="1242"/>
    <s v="1 årsammeko uden opdræt (400-600 kg)"/>
    <x v="7"/>
    <s v="Dybstrøelse, kort ædeplads med fast gulv"/>
    <n v="124204"/>
    <x v="3"/>
    <n v="125446"/>
    <n v="0"/>
    <m/>
    <s v="Dybstrøelse"/>
    <n v="63.6"/>
    <n v="0"/>
    <n v="0.01"/>
    <n v="0"/>
    <n v="0"/>
    <n v="9.7299999999999998E-2"/>
    <n v="0"/>
    <n v="0.01"/>
    <n v="0"/>
    <n v="0"/>
    <n v="0"/>
  </r>
  <r>
    <s v="Kvæg"/>
    <n v="1242"/>
    <s v="1 årsammeko uden opdræt (400-600 kg)"/>
    <x v="7"/>
    <s v="Dybstrøelse, lang ædeplads med fast gulv"/>
    <n v="124205"/>
    <x v="3"/>
    <n v="125447"/>
    <n v="0"/>
    <s v="Kvæggylle"/>
    <m/>
    <n v="63.6"/>
    <n v="0"/>
    <n v="5.0000000000000001E-3"/>
    <n v="0"/>
    <n v="0"/>
    <n v="9.7299999999999998E-2"/>
    <n v="0"/>
    <n v="0.01"/>
    <n v="0"/>
    <n v="0"/>
    <n v="0"/>
  </r>
  <r>
    <s v="Kvæg"/>
    <n v="1242"/>
    <s v="1 årsammeko uden opdræt (400-600 kg)"/>
    <x v="7"/>
    <s v="Dybstrøelse, lang ædeplads med spalter (kanal, lin"/>
    <n v="124206"/>
    <x v="3"/>
    <n v="125448"/>
    <n v="0"/>
    <s v="Kvæggylle"/>
    <m/>
    <n v="63.6"/>
    <n v="0"/>
    <n v="5.0000000000000001E-3"/>
    <n v="0"/>
    <n v="0"/>
    <n v="9.7299999999999998E-2"/>
    <n v="0"/>
    <n v="0.01"/>
    <n v="0"/>
    <n v="0"/>
    <n v="0"/>
  </r>
  <r>
    <s v="Kvæg"/>
    <n v="1242"/>
    <s v="1 årsammeko uden opdræt (400-600 kg)"/>
    <x v="7"/>
    <s v="Dybstrøelse, lang ædeplads med spalter (kanal, bag"/>
    <n v="124207"/>
    <x v="3"/>
    <n v="125449"/>
    <n v="0"/>
    <s v="Kvæggylle"/>
    <m/>
    <n v="63.6"/>
    <n v="0"/>
    <n v="5.0000000000000001E-3"/>
    <n v="0"/>
    <n v="0"/>
    <n v="9.7299999999999998E-2"/>
    <n v="0"/>
    <n v="0.01"/>
    <n v="0"/>
    <n v="0"/>
    <n v="0"/>
  </r>
  <r>
    <s v="Kvæg"/>
    <n v="1242"/>
    <s v="1 årsammeko uden opdræt (400-600 kg)"/>
    <x v="7"/>
    <s v="Sengestald med spaltegulv (kanal, linespil)"/>
    <n v="124209"/>
    <x v="2"/>
    <n v="125451"/>
    <n v="0"/>
    <s v="Kvæggylle"/>
    <m/>
    <n v="63.6"/>
    <n v="0"/>
    <n v="5.0000000000000001E-3"/>
    <n v="0"/>
    <n v="0"/>
    <n v="9.7299999999999998E-2"/>
    <n v="0"/>
    <n v="0.01"/>
    <n v="0"/>
    <n v="0"/>
    <n v="0"/>
  </r>
  <r>
    <s v="Kvæg"/>
    <n v="1242"/>
    <s v="1 årsammeko uden opdræt (400-600 kg)"/>
    <x v="7"/>
    <s v="Sengestald med spaltegulv (kanal, bagskyl el. ring"/>
    <n v="124210"/>
    <x v="2"/>
    <n v="125452"/>
    <n v="0"/>
    <s v="Kvæggylle"/>
    <m/>
    <n v="63.6"/>
    <n v="0"/>
    <n v="5.0000000000000001E-3"/>
    <n v="0"/>
    <n v="0"/>
    <n v="9.7299999999999998E-2"/>
    <n v="0"/>
    <n v="0.01"/>
    <n v="0"/>
    <n v="0"/>
    <n v="0"/>
  </r>
  <r>
    <s v="Kvæg"/>
    <n v="1242"/>
    <s v="1 årsammeko uden opdræt (400-600 kg)"/>
    <x v="7"/>
    <s v="Sengestald, fast drænet gulv med skraber og ajleaf"/>
    <n v="124211"/>
    <x v="2"/>
    <n v="125453"/>
    <n v="100"/>
    <s v="Kvæggylle"/>
    <m/>
    <n v="63.6"/>
    <n v="6360"/>
    <n v="5.0000000000000001E-3"/>
    <n v="31.8"/>
    <n v="49.971428571428575"/>
    <n v="9.7299999999999998E-2"/>
    <n v="618.82799999999997"/>
    <n v="0.01"/>
    <n v="6.1882799999999998"/>
    <n v="9.7244399999999995"/>
    <n v="5.9695868571428577E-2"/>
  </r>
  <r>
    <s v="Kvæg"/>
    <n v="1243"/>
    <s v="1 årsammeko uden opdræt (over 600 kg)"/>
    <x v="7"/>
    <s v="Bindestald med grebning"/>
    <n v="124301"/>
    <x v="1"/>
    <n v="125544"/>
    <n v="42.09"/>
    <s v="Fast gødning"/>
    <m/>
    <n v="72.400000000000006"/>
    <n v="3047.3160000000007"/>
    <n v="5.0000000000000001E-3"/>
    <n v="15.236580000000004"/>
    <n v="23.943197142857148"/>
    <n v="9.7299999999999998E-2"/>
    <n v="296.50384680000008"/>
    <n v="0.01"/>
    <n v="2.9650384680000008"/>
    <n v="4.6593461640000013"/>
    <n v="2.8602543306857152E-2"/>
  </r>
  <r>
    <s v="Kvæg"/>
    <n v="1243"/>
    <s v="1 årsammeko uden opdræt (over 600 kg)"/>
    <x v="7"/>
    <s v="Bindestald med riste"/>
    <n v="124302"/>
    <x v="1"/>
    <n v="125545"/>
    <n v="0"/>
    <s v="Kvæggylle"/>
    <m/>
    <n v="72.400000000000006"/>
    <n v="0"/>
    <n v="5.0000000000000001E-3"/>
    <n v="0"/>
    <n v="0"/>
    <n v="9.7299999999999998E-2"/>
    <n v="0"/>
    <n v="0.01"/>
    <n v="0"/>
    <n v="0"/>
    <n v="0"/>
  </r>
  <r>
    <s v="Kvæg"/>
    <n v="1243"/>
    <s v="1 årsammeko uden opdræt (over 600 kg)"/>
    <x v="7"/>
    <s v="Dybstrøelse, hele arealet"/>
    <n v="124303"/>
    <x v="3"/>
    <n v="125546"/>
    <n v="240.79"/>
    <m/>
    <s v="Dybstrøelse"/>
    <n v="72.400000000000006"/>
    <n v="17433.196"/>
    <n v="0.01"/>
    <n v="174.33196000000001"/>
    <n v="273.95022285714288"/>
    <n v="9.7299999999999998E-2"/>
    <n v="1696.2499708"/>
    <n v="0.01"/>
    <n v="16.962499707999999"/>
    <n v="26.655356683999997"/>
    <n v="0.30060557954114292"/>
  </r>
  <r>
    <s v="Kvæg"/>
    <n v="1243"/>
    <s v="1 årsammeko uden opdræt (over 600 kg)"/>
    <x v="7"/>
    <s v="Dybstrøelse, kort ædeplads med fast gulv"/>
    <n v="124304"/>
    <x v="3"/>
    <n v="125547"/>
    <n v="0"/>
    <m/>
    <s v="Dybstrøelse"/>
    <n v="72.400000000000006"/>
    <n v="0"/>
    <n v="0.01"/>
    <n v="0"/>
    <n v="0"/>
    <n v="9.7299999999999998E-2"/>
    <n v="0"/>
    <n v="0.01"/>
    <n v="0"/>
    <n v="0"/>
    <n v="0"/>
  </r>
  <r>
    <s v="Kvæg"/>
    <n v="1243"/>
    <s v="1 årsammeko uden opdræt (over 600 kg)"/>
    <x v="7"/>
    <s v="Dybstrøelse, lang ædeplads med fast gulv"/>
    <n v="124305"/>
    <x v="3"/>
    <n v="125548"/>
    <n v="0"/>
    <s v="Kvæggylle"/>
    <m/>
    <n v="72.400000000000006"/>
    <n v="0"/>
    <n v="5.0000000000000001E-3"/>
    <n v="0"/>
    <n v="0"/>
    <n v="9.7299999999999998E-2"/>
    <n v="0"/>
    <n v="0.01"/>
    <n v="0"/>
    <n v="0"/>
    <n v="0"/>
  </r>
  <r>
    <s v="Kvæg"/>
    <n v="1243"/>
    <s v="1 årsammeko uden opdræt (over 600 kg)"/>
    <x v="7"/>
    <s v="Dybstrøelse, lang ædeplads med spalter (kanal, lin"/>
    <n v="124306"/>
    <x v="3"/>
    <n v="125549"/>
    <n v="0"/>
    <s v="Kvæggylle"/>
    <m/>
    <n v="72.400000000000006"/>
    <n v="0"/>
    <n v="5.0000000000000001E-3"/>
    <n v="0"/>
    <n v="0"/>
    <n v="9.7299999999999998E-2"/>
    <n v="0"/>
    <n v="0.01"/>
    <n v="0"/>
    <n v="0"/>
    <n v="0"/>
  </r>
  <r>
    <s v="Kvæg"/>
    <n v="1243"/>
    <s v="1 årsammeko uden opdræt (over 600 kg)"/>
    <x v="7"/>
    <s v="Dybstrøelse, lang ædeplads med spalter (kanal, bag"/>
    <n v="124307"/>
    <x v="3"/>
    <n v="125550"/>
    <n v="0"/>
    <s v="Kvæggylle"/>
    <m/>
    <n v="72.400000000000006"/>
    <n v="0"/>
    <n v="5.0000000000000001E-3"/>
    <n v="0"/>
    <n v="0"/>
    <n v="9.7299999999999998E-2"/>
    <n v="0"/>
    <n v="0.01"/>
    <n v="0"/>
    <n v="0"/>
    <n v="0"/>
  </r>
  <r>
    <s v="Kvæg"/>
    <n v="1243"/>
    <s v="1 årsammeko uden opdræt (over 600 kg)"/>
    <x v="7"/>
    <s v="Sengestald med spaltegulv (kanal, linespil)"/>
    <n v="124309"/>
    <x v="2"/>
    <n v="125552"/>
    <n v="0"/>
    <s v="Kvæggylle"/>
    <m/>
    <n v="72.400000000000006"/>
    <n v="0"/>
    <n v="5.0000000000000001E-3"/>
    <n v="0"/>
    <n v="0"/>
    <n v="9.7299999999999998E-2"/>
    <n v="0"/>
    <n v="0.01"/>
    <n v="0"/>
    <n v="0"/>
    <n v="0"/>
  </r>
  <r>
    <s v="Kvæg"/>
    <n v="1243"/>
    <s v="1 årsammeko uden opdræt (over 600 kg)"/>
    <x v="7"/>
    <s v="Sengestald med spaltegulv (kanal, bagskyl el. ring"/>
    <n v="124310"/>
    <x v="2"/>
    <n v="125553"/>
    <n v="0"/>
    <s v="Kvæggylle"/>
    <m/>
    <n v="72.400000000000006"/>
    <n v="0"/>
    <n v="5.0000000000000001E-3"/>
    <n v="0"/>
    <n v="0"/>
    <n v="9.7299999999999998E-2"/>
    <n v="0"/>
    <n v="0.01"/>
    <n v="0"/>
    <n v="0"/>
    <n v="0"/>
  </r>
  <r>
    <s v="Kvæg"/>
    <n v="1243"/>
    <s v="1 årsammeko uden opdræt (over 600 kg)"/>
    <x v="7"/>
    <s v="Sengestald, fast drænet gulv med skaber og ajleafl"/>
    <n v="124311"/>
    <x v="2"/>
    <n v="125554"/>
    <n v="0"/>
    <s v="Kvæggylle"/>
    <m/>
    <n v="72.400000000000006"/>
    <n v="0"/>
    <n v="5.0000000000000001E-3"/>
    <n v="0"/>
    <n v="0"/>
    <n v="9.7299999999999998E-2"/>
    <n v="0"/>
    <n v="0.01"/>
    <n v="0"/>
    <n v="0"/>
    <n v="0"/>
  </r>
  <r>
    <s v="Får"/>
    <n v="1300"/>
    <s v="Får, 1 moderdyr med afkom"/>
    <x v="8"/>
    <s v="Får"/>
    <n v="130001"/>
    <x v="0"/>
    <n v="131301"/>
    <n v="403.89"/>
    <m/>
    <s v="Dybstrøelse"/>
    <n v="16.899999999999999"/>
    <n v="6825.7409999999991"/>
    <n v="0.01"/>
    <n v="68.257409999999993"/>
    <n v="107.26164428571428"/>
    <n v="7.0099999999999996E-2"/>
    <n v="478.48444409999991"/>
    <n v="0.01"/>
    <n v="4.7848444409999988"/>
    <n v="7.5190412644285702"/>
    <n v="0.11478068555014286"/>
  </r>
  <r>
    <s v="Geder"/>
    <n v="1401"/>
    <s v="Mohairged, 1 moderdyr med afkom"/>
    <x v="8"/>
    <s v="Mohairgeder"/>
    <n v="140101"/>
    <x v="0"/>
    <n v="141502"/>
    <n v="0"/>
    <m/>
    <s v="Dybstrøelse"/>
    <n v="18.5"/>
    <n v="0"/>
    <n v="0.01"/>
    <n v="0"/>
    <n v="0"/>
    <s v="NE"/>
    <s v=" "/>
    <n v="0.01"/>
    <s v=" "/>
    <n v="0"/>
    <n v="0"/>
  </r>
  <r>
    <s v="Geder"/>
    <n v="1402"/>
    <s v="Kødgeder, 1 moderdyr med afkom"/>
    <x v="8"/>
    <s v="Kødgeder"/>
    <n v="140201"/>
    <x v="0"/>
    <n v="141603"/>
    <n v="0"/>
    <m/>
    <s v="Dybstrøelse"/>
    <n v="16.399999999999999"/>
    <n v="0"/>
    <n v="0.01"/>
    <n v="0"/>
    <n v="0"/>
    <s v="NE"/>
    <s v=" "/>
    <n v="0.01"/>
    <s v=" "/>
    <n v="0"/>
    <n v="0"/>
  </r>
  <r>
    <s v="Geder"/>
    <n v="1403"/>
    <s v="Malkegeder, 1 moderdyr med afkom"/>
    <x v="8"/>
    <s v="Malkegeder"/>
    <n v="140301"/>
    <x v="0"/>
    <n v="141704"/>
    <n v="0"/>
    <m/>
    <s v="Dybstrøelse"/>
    <n v="17"/>
    <n v="0"/>
    <n v="0.01"/>
    <n v="0"/>
    <n v="0"/>
    <s v="NE"/>
    <s v=" "/>
    <n v="0.01"/>
    <s v=" "/>
    <n v="0"/>
    <n v="0"/>
  </r>
  <r>
    <s v="Svin"/>
    <n v="1501"/>
    <s v="1 årsso m, 31,4 grise til 6,8 kg, andel fra løbe- og drægtighedsstald"/>
    <x v="9"/>
    <s v="Individuel opstaldning, delvis spaltegulv"/>
    <n v="150101"/>
    <x v="4"/>
    <n v="151602"/>
    <n v="0"/>
    <s v="Svinegylle"/>
    <m/>
    <n v="24.2"/>
    <n v="0"/>
    <n v="5.0000000000000001E-3"/>
    <n v="0"/>
    <n v="0"/>
    <n v="0.12609999999999999"/>
    <n v="0"/>
    <n v="0.01"/>
    <n v="0"/>
    <n v="0"/>
    <n v="0"/>
  </r>
  <r>
    <s v="Svin"/>
    <n v="1501"/>
    <s v="1 årsso m, 31,4 grise til 6,8 kg, andel fra løbe- og drægtighedsstald"/>
    <x v="9"/>
    <s v="Løsgående, dybstrøelse + spaltegulv"/>
    <n v="150104"/>
    <x v="3"/>
    <n v="151605"/>
    <n v="0"/>
    <s v="Svinegylle"/>
    <m/>
    <n v="24.2"/>
    <n v="0"/>
    <n v="5.0000000000000001E-3"/>
    <n v="0"/>
    <n v="0"/>
    <n v="0.12609999999999999"/>
    <n v="0"/>
    <n v="0.01"/>
    <n v="0"/>
    <n v="0"/>
    <n v="0"/>
  </r>
  <r>
    <s v="Svin"/>
    <n v="1501"/>
    <s v="1 årsso m, 31,4 grise til 6,8 kg, andel fra løbe- og drægtighedsstald"/>
    <x v="9"/>
    <s v="Løsgående, dybstrøelse + fast gulv"/>
    <n v="150105"/>
    <x v="3"/>
    <n v="151606"/>
    <n v="0"/>
    <s v="Svinegylle"/>
    <m/>
    <n v="24.2"/>
    <n v="0"/>
    <n v="5.0000000000000001E-3"/>
    <n v="0"/>
    <n v="0"/>
    <n v="0.12609999999999999"/>
    <n v="0"/>
    <n v="0.01"/>
    <n v="0"/>
    <n v="0"/>
    <n v="0"/>
  </r>
  <r>
    <s v="Svin "/>
    <n v="1501"/>
    <s v="1 årsso m, 33,3 grise til 6,6 kg, andel fra løbe- og drægtighedsstald"/>
    <x v="9"/>
    <s v="Løsgående, dybstrøelse"/>
    <n v="150106"/>
    <x v="3"/>
    <n v="151607"/>
    <n v="0"/>
    <s v="Dybstrøelse"/>
    <m/>
    <n v="24.2"/>
    <n v="0"/>
    <n v="5.0000000000000001E-3"/>
    <n v="0"/>
    <n v="0"/>
    <n v="0.12609999999999999"/>
    <n v="0"/>
    <n v="0.01"/>
    <n v="0"/>
    <n v="0"/>
    <n v="0"/>
  </r>
  <r>
    <s v="Svin"/>
    <n v="1501"/>
    <s v="1 årsso m, 31,4 grise til 6,8 kg, andel fra løbe- og drægtighedsstald"/>
    <x v="9"/>
    <s v="Løsgående, delvis spaltegulv"/>
    <n v="150107"/>
    <x v="4"/>
    <n v="151608"/>
    <n v="0"/>
    <s v="Svinegylle"/>
    <m/>
    <n v="24.2"/>
    <n v="0"/>
    <n v="5.0000000000000001E-3"/>
    <n v="0"/>
    <n v="0"/>
    <n v="0.12609999999999999"/>
    <n v="0"/>
    <n v="0.01"/>
    <n v="0"/>
    <n v="0"/>
    <n v="0"/>
  </r>
  <r>
    <s v="Svin"/>
    <n v="1501"/>
    <s v="1 årsso m, 31,4 grise til 6,8 kg, andel fra løbe- og drægtighedsstald"/>
    <x v="9"/>
    <s v="Individuel opstaldning, fast gulv"/>
    <n v="150108"/>
    <x v="4"/>
    <n v="151609"/>
    <n v="0"/>
    <s v="Fast gødning"/>
    <m/>
    <n v="24.2"/>
    <n v="0"/>
    <n v="5.0000000000000001E-3"/>
    <n v="0"/>
    <n v="0"/>
    <n v="0.12609999999999999"/>
    <n v="0"/>
    <n v="0.01"/>
    <n v="0"/>
    <n v="0"/>
    <n v="0"/>
  </r>
  <r>
    <s v="Svin"/>
    <n v="1502"/>
    <s v="1 årsso m, 31,4 grise til 6,8 kg, andel fra farestald,"/>
    <x v="9"/>
    <s v="Kassestier, delvis spaltegulv"/>
    <n v="150201"/>
    <x v="4"/>
    <n v="151703"/>
    <n v="0"/>
    <s v="Svinegylle"/>
    <m/>
    <s v="IE"/>
    <s v=" "/>
    <n v="5.0000000000000001E-3"/>
    <s v=" "/>
    <s v=" "/>
    <n v="0.12609999999999999"/>
    <s v=" "/>
    <n v="0.01"/>
    <s v=" "/>
    <n v="0"/>
    <s v=" "/>
  </r>
  <r>
    <s v="Svin"/>
    <n v="1502"/>
    <s v="1 årsso m, 31,4 grise til 6,8 kg, andel fra farestald,"/>
    <x v="9"/>
    <s v="Kassestier, fuldspaltegulv"/>
    <n v="150202"/>
    <x v="4"/>
    <n v="151704"/>
    <n v="0"/>
    <s v="Svinegylle"/>
    <m/>
    <s v="IE"/>
    <s v=" "/>
    <n v="5.0000000000000001E-3"/>
    <s v=" "/>
    <s v=" "/>
    <n v="0.12609999999999999"/>
    <s v=" "/>
    <n v="0.01"/>
    <s v=" "/>
    <n v="0"/>
    <s v=" "/>
  </r>
  <r>
    <s v="Svin"/>
    <n v="1502"/>
    <s v="1 årsso m, 31,4 grise til 6,8 kg, andel fra farestald,"/>
    <x v="9"/>
    <s v="Friland"/>
    <n v="150205"/>
    <x v="5"/>
    <n v="151707"/>
    <n v="0"/>
    <s v="Anden husdyrgødning"/>
    <m/>
    <s v="IE"/>
    <s v=" "/>
    <m/>
    <s v=" "/>
    <s v=" "/>
    <n v="0.12609999999999999"/>
    <s v=" "/>
    <n v="0.01"/>
    <s v=" "/>
    <n v="0"/>
    <s v=" "/>
  </r>
  <r>
    <s v="Svin"/>
    <n v="1511"/>
    <s v="Antal producerede smågrise, fra 6,8 til 31 kg"/>
    <x v="10"/>
    <s v="Toklimastald, delvis spaltegulv"/>
    <n v="151101"/>
    <x v="4"/>
    <n v="152612"/>
    <n v="0"/>
    <s v="Svinegylle"/>
    <m/>
    <n v="0.47"/>
    <n v="0"/>
    <n v="5.0000000000000001E-3"/>
    <n v="0"/>
    <n v="0"/>
    <n v="0.12609999999999999"/>
    <n v="0"/>
    <n v="0.01"/>
    <n v="0"/>
    <n v="0"/>
    <n v="0"/>
  </r>
  <r>
    <s v="Svin"/>
    <n v="1511"/>
    <s v="Antal producerede smågrise, fra 6,8 til 31 kg"/>
    <x v="10"/>
    <s v="Drænet gulv + spalter (50/50)"/>
    <n v="151103"/>
    <x v="4"/>
    <n v="152614"/>
    <n v="0"/>
    <s v="Svinegylle"/>
    <m/>
    <n v="0.47"/>
    <n v="0"/>
    <n v="5.0000000000000001E-3"/>
    <n v="0"/>
    <n v="0"/>
    <n v="0.12609999999999999"/>
    <n v="0"/>
    <n v="0.01"/>
    <n v="0"/>
    <n v="0"/>
    <n v="0"/>
  </r>
  <r>
    <s v="Svin"/>
    <n v="1511"/>
    <s v="Antal producerede smågrise, fra 6,8 til 31 kg"/>
    <x v="10"/>
    <s v="Fast gulv"/>
    <n v="151104"/>
    <x v="6"/>
    <n v="152615"/>
    <n v="0"/>
    <s v="Fast gødning"/>
    <m/>
    <n v="0.47"/>
    <n v="0"/>
    <n v="5.0000000000000001E-3"/>
    <n v="0"/>
    <n v="0"/>
    <n v="0.12609999999999999"/>
    <n v="0"/>
    <n v="0.01"/>
    <n v="0"/>
    <n v="0"/>
    <n v="0"/>
  </r>
  <r>
    <s v="Svin"/>
    <n v="1511"/>
    <s v="Antal producerede smågrise, fra 6,8 til 31 kg"/>
    <x v="10"/>
    <s v="Dybstrøelse"/>
    <n v="151105"/>
    <x v="3"/>
    <n v="152616"/>
    <n v="27.54"/>
    <m/>
    <s v="Dybstrøelse"/>
    <n v="0.47"/>
    <n v="12.9438"/>
    <n v="7.0000000000000007E-2"/>
    <n v="0.90606600000000004"/>
    <n v="1.4238180000000003"/>
    <n v="0.12609999999999999"/>
    <n v="1.6322131799999997"/>
    <n v="0.01"/>
    <n v="1.6322131799999997E-2"/>
    <n v="2.5649064257142855E-2"/>
    <n v="1.4494670642571431E-3"/>
  </r>
  <r>
    <s v="Svin"/>
    <n v="1512"/>
    <s v="Antal producerede slagtesvin, 31-110 kg"/>
    <x v="11"/>
    <s v="Drænet gulv + spalter (33/67)"/>
    <n v="151203"/>
    <x v="4"/>
    <n v="152715"/>
    <n v="0"/>
    <s v="Svinegylle"/>
    <m/>
    <n v="2.94"/>
    <n v="0"/>
    <n v="5.0000000000000001E-3"/>
    <n v="0"/>
    <n v="0"/>
    <n v="0.12609999999999999"/>
    <n v="0"/>
    <n v="0.01"/>
    <n v="0"/>
    <n v="0"/>
    <n v="0"/>
  </r>
  <r>
    <s v="Svin"/>
    <n v="1512"/>
    <s v="Antal producerede slagtesvin, 31-110 kg"/>
    <x v="11"/>
    <s v="Fast gulv"/>
    <n v="151204"/>
    <x v="6"/>
    <n v="152716"/>
    <n v="0"/>
    <s v="Fast gødning"/>
    <m/>
    <n v="2.94"/>
    <n v="0"/>
    <n v="5.0000000000000001E-3"/>
    <n v="0"/>
    <n v="0"/>
    <n v="0.12609999999999999"/>
    <n v="0"/>
    <n v="0.01"/>
    <n v="0"/>
    <n v="0"/>
    <n v="0"/>
  </r>
  <r>
    <s v="Svin"/>
    <n v="1512"/>
    <s v="Antal producerede slagtesvin, 31-110 kg"/>
    <x v="11"/>
    <s v="Dybstrøelse, opdelt lejeareal"/>
    <n v="151205"/>
    <x v="3"/>
    <n v="152717"/>
    <n v="0"/>
    <s v="Svinegylle"/>
    <m/>
    <n v="2.94"/>
    <n v="0"/>
    <n v="5.0000000000000001E-3"/>
    <n v="0"/>
    <n v="0"/>
    <n v="0.12609999999999999"/>
    <n v="0"/>
    <n v="0.01"/>
    <n v="0"/>
    <n v="0"/>
    <n v="0"/>
  </r>
  <r>
    <s v="Svin"/>
    <n v="1512"/>
    <s v="Antal producerede slagtesvin, 31-110 kg"/>
    <x v="11"/>
    <s v="Dybstrøelse"/>
    <n v="151206"/>
    <x v="3"/>
    <n v="152718"/>
    <n v="27.54"/>
    <m/>
    <s v="Dybstrøelse"/>
    <n v="2.94"/>
    <n v="80.96759999999999"/>
    <n v="7.0000000000000007E-2"/>
    <n v="5.667732"/>
    <n v="8.9064360000000011"/>
    <n v="0.12609999999999999"/>
    <n v="10.210014359999997"/>
    <n v="0.01"/>
    <n v="0.10210014359999997"/>
    <n v="0.16044308279999994"/>
    <n v="9.0668790828000011E-3"/>
  </r>
  <r>
    <s v="Svin"/>
    <n v="1512"/>
    <s v="Antal producerede slagtesvin, 31-110 kg"/>
    <x v="11"/>
    <s v="Delvis spaltegulv, 50-75% fast gulv"/>
    <n v="151207"/>
    <x v="4"/>
    <n v="152719"/>
    <n v="0"/>
    <s v="Svinegylle"/>
    <m/>
    <n v="2.94"/>
    <n v="0"/>
    <n v="5.0000000000000001E-3"/>
    <n v="0"/>
    <n v="0"/>
    <n v="0.12609999999999999"/>
    <n v="0"/>
    <n v="0.01"/>
    <n v="0"/>
    <n v="0"/>
    <n v="0"/>
  </r>
  <r>
    <s v="Svin"/>
    <n v="1512"/>
    <s v="Antal producerede slagtesvin, 31-110 kg"/>
    <x v="11"/>
    <s v="Delvis spaltegulv, 33-49% fast gulv"/>
    <n v="151208"/>
    <x v="4"/>
    <n v="152720"/>
    <n v="0"/>
    <s v="Svinegylle"/>
    <m/>
    <n v="2.94"/>
    <n v="0"/>
    <n v="5.0000000000000001E-3"/>
    <n v="0"/>
    <n v="0"/>
    <n v="0.12609999999999999"/>
    <n v="0"/>
    <n v="0.01"/>
    <n v="0"/>
    <n v="0"/>
    <n v="0"/>
  </r>
  <r>
    <s v="Svin"/>
    <n v="1513"/>
    <s v="1 årsso, øko m, 23,4 grise til 15 kg, andel fra løbe- og drægtighedsperioden"/>
    <x v="9"/>
    <s v="Dyb, hele areal inde, Løbegård (50/50) ude"/>
    <n v="151301"/>
    <x v="3"/>
    <n v="152814"/>
    <s v=" "/>
    <s v="Svinegylle"/>
    <m/>
    <n v="28.5"/>
    <s v=" "/>
    <n v="5.0000000000000001E-3"/>
    <s v=" "/>
    <s v=" "/>
    <n v="0.12609999999999999"/>
    <s v=" "/>
    <n v="0.01"/>
    <s v=" "/>
    <n v="0"/>
    <s v=" "/>
  </r>
  <r>
    <s v="Svin"/>
    <n v="1513"/>
    <s v="1 årsso, øko m, 23,4 grise til 15 kg, andel fra løbe- og drægtighedsperioden"/>
    <x v="9"/>
    <s v="Løbe/drægtighed, udendørs"/>
    <n v="151302"/>
    <x v="4"/>
    <n v="152815"/>
    <s v=" "/>
    <s v="Anden husdyrgødning"/>
    <m/>
    <n v="28.5"/>
    <s v=" "/>
    <n v="5.0000000000000001E-3"/>
    <s v=" "/>
    <s v=" "/>
    <n v="0.12609999999999999"/>
    <s v=" "/>
    <n v="0.01"/>
    <s v=" "/>
    <n v="0"/>
    <s v=" "/>
  </r>
  <r>
    <s v="Svin"/>
    <n v="1513"/>
    <s v="1 årsso m. 33,3 grise til 6,6 kg, andel fra løbe- og drægtighedsstald"/>
    <x v="9"/>
    <s v="Løsgående, dybstrøelse"/>
    <n v="151303"/>
    <x v="3"/>
    <n v="152816"/>
    <s v=" "/>
    <s v="Svinegylle"/>
    <m/>
    <n v="24.2"/>
    <s v=" "/>
    <n v="5.0000000000000001E-3"/>
    <s v=" "/>
    <s v=" "/>
    <n v="0.12609999999999999"/>
    <s v=" "/>
    <n v="0.01"/>
    <s v=" "/>
    <n v="0"/>
    <s v=" "/>
  </r>
  <r>
    <s v="Svin"/>
    <n v="1514"/>
    <s v="1 årsso, øko m, 23,4 grise til 15 kg, andel fra faremarken"/>
    <x v="9"/>
    <s v="Faremark"/>
    <n v="151401"/>
    <x v="5"/>
    <n v="152915"/>
    <s v=" "/>
    <s v="Anden husdyrgødning"/>
    <m/>
    <n v="0.51"/>
    <s v=" "/>
    <n v="5.0000000000000001E-3"/>
    <s v=" "/>
    <s v=" "/>
    <n v="0.12609999999999999"/>
    <s v=" "/>
    <n v="0.01"/>
    <s v=" "/>
    <n v="0"/>
    <s v=" "/>
  </r>
  <r>
    <s v="Svin"/>
    <n v="1515"/>
    <s v="Antal producerede smågrise, økologiske fra 15 - 31 kg"/>
    <x v="10"/>
    <s v="Delvis spaltegulv inde. Løbegård (50/50) ude"/>
    <n v="151501"/>
    <x v="4"/>
    <n v="153016"/>
    <s v=" "/>
    <s v="svinegylle "/>
    <m/>
    <n v="0.51"/>
    <s v=" "/>
    <n v="5.0000000000000001E-3"/>
    <s v=" "/>
    <s v=" "/>
    <n v="0.12609999999999999"/>
    <s v=" "/>
    <n v="0.01"/>
    <s v=" "/>
    <n v="0"/>
    <s v=" "/>
  </r>
  <r>
    <s v="Svin"/>
    <n v="1515"/>
    <s v="Antal producerede smågrise, økologiske fra 15 - 31 kg"/>
    <x v="10"/>
    <s v="Dybstr, (hele arealet) inde, Løbegård (50/50) ude"/>
    <n v="151502"/>
    <x v="3"/>
    <n v="153017"/>
    <s v=" "/>
    <s v="Svinegylle"/>
    <m/>
    <n v="0.51"/>
    <s v=" "/>
    <n v="5.0000000000000001E-3"/>
    <s v=" "/>
    <s v=" "/>
    <n v="0.12609999999999999"/>
    <s v=" "/>
    <n v="0.01"/>
    <s v=" "/>
    <n v="0"/>
    <s v=" "/>
  </r>
  <r>
    <s v="Svin"/>
    <n v="1515"/>
    <s v="Antal producerede smågrise, økologiske fra 15 - 31 kg"/>
    <x v="10"/>
    <s v="Udendørs"/>
    <n v="151503"/>
    <x v="4"/>
    <n v="153018"/>
    <s v=" "/>
    <s v="Anden husdyrgødning"/>
    <m/>
    <n v="0.51"/>
    <s v=" "/>
    <n v="5.0000000000000001E-3"/>
    <s v=" "/>
    <s v=" "/>
    <n v="0.12609999999999999"/>
    <s v=" "/>
    <n v="0.01"/>
    <s v=" "/>
    <n v="0"/>
    <s v=" "/>
  </r>
  <r>
    <s v="Svin"/>
    <n v="1516"/>
    <s v="Antal producerede slagtesvin, økologiske 31-113 kg"/>
    <x v="11"/>
    <s v="Udendørs"/>
    <n v="151601"/>
    <x v="4"/>
    <n v="153117"/>
    <s v=" "/>
    <s v="Anden husdyrgødning"/>
    <m/>
    <n v="3.96"/>
    <s v=" "/>
    <n v="5.0000000000000001E-3"/>
    <s v=" "/>
    <s v=" "/>
    <n v="0.12609999999999999"/>
    <s v=" "/>
    <n v="0.01"/>
    <s v=" "/>
    <n v="0"/>
    <s v=" "/>
  </r>
  <r>
    <s v="Svin"/>
    <n v="1516"/>
    <s v="Antal producerede slagtesvin, økologiske 31-113 kg"/>
    <x v="11"/>
    <s v="Delvis spaltegulv inde, Løbegård (50/50) ude"/>
    <n v="151602"/>
    <x v="4"/>
    <n v="153118"/>
    <s v=" "/>
    <s v="Svinegylle"/>
    <m/>
    <n v="3.96"/>
    <s v=" "/>
    <n v="5.0000000000000001E-3"/>
    <s v=" "/>
    <s v=" "/>
    <n v="0.12609999999999999"/>
    <s v=" "/>
    <n v="0.01"/>
    <s v=" "/>
    <n v="0"/>
    <s v=" "/>
  </r>
  <r>
    <s v="Svin"/>
    <n v="1516"/>
    <s v="Antal producerede slagtesvin, økologiske 31-113 kg"/>
    <x v="11"/>
    <s v="Dybstr, (hele arealet) inde, Løbegård (50/50) ude"/>
    <n v="151603"/>
    <x v="3"/>
    <n v="153119"/>
    <s v=" "/>
    <s v="Svinegylle"/>
    <m/>
    <n v="3.96"/>
    <s v=" "/>
    <n v="5.0000000000000001E-3"/>
    <s v=" "/>
    <s v=" "/>
    <n v="0.12609999999999999"/>
    <s v=" "/>
    <n v="0.01"/>
    <s v=" "/>
    <n v="0"/>
    <s v=" "/>
  </r>
  <r>
    <s v="Svin"/>
    <n v="1520"/>
    <s v="Antal producerede FRATS-svin"/>
    <x v="12"/>
    <s v="Delvis spaltegulv med 50-75% fast gulv"/>
    <n v="152002"/>
    <x v="4"/>
    <n v="153522"/>
    <n v="0"/>
    <s v="Svinegylle"/>
    <m/>
    <n v="2.94"/>
    <n v="0"/>
    <n v="5.0000000000000001E-3"/>
    <n v="0"/>
    <n v="0"/>
    <n v="0.12609999999999999"/>
    <n v="0"/>
    <n v="0.01"/>
    <n v="0"/>
    <n v="0"/>
    <n v="0"/>
  </r>
  <r>
    <s v="Svin"/>
    <n v="1520"/>
    <s v="Antal producerede FRATS-svin"/>
    <x v="12"/>
    <s v="Delvis splategulv med 33-49% fast gulv"/>
    <n v="152003"/>
    <x v="4"/>
    <n v="153523"/>
    <n v="0"/>
    <s v="Svinegylle"/>
    <m/>
    <n v="2.94"/>
    <n v="0"/>
    <n v="5.0000000000000001E-3"/>
    <n v="0"/>
    <n v="0"/>
    <n v="0.12609999999999999"/>
    <n v="0"/>
    <n v="0.01"/>
    <n v="0"/>
    <n v="0"/>
    <n v="0"/>
  </r>
  <r>
    <s v="Svin"/>
    <n v="1520"/>
    <s v="Antal producerede FRATS-svin"/>
    <x v="12"/>
    <s v="Drænet gulv + spalter (33/67)"/>
    <n v="152004"/>
    <x v="4"/>
    <n v="153524"/>
    <n v="0"/>
    <s v="Svinegylle"/>
    <m/>
    <n v="2.94"/>
    <n v="0"/>
    <n v="5.0000000000000001E-3"/>
    <n v="0"/>
    <n v="0"/>
    <n v="0.12609999999999999"/>
    <n v="0"/>
    <n v="0.01"/>
    <n v="0"/>
    <n v="0"/>
    <n v="0"/>
  </r>
  <r>
    <s v="Svin"/>
    <n v="1520"/>
    <s v="Antal producerede FRATS-svin"/>
    <x v="12"/>
    <s v="Fast gulv"/>
    <n v="152005"/>
    <x v="6"/>
    <n v="153525"/>
    <n v="0"/>
    <s v="Fast gødning"/>
    <m/>
    <n v="2.94"/>
    <n v="0"/>
    <n v="5.0000000000000001E-3"/>
    <n v="0"/>
    <n v="0"/>
    <n v="0.12609999999999999"/>
    <n v="0"/>
    <n v="0.01"/>
    <n v="0"/>
    <n v="0"/>
    <n v="0"/>
  </r>
  <r>
    <s v="Svin"/>
    <n v="1520"/>
    <s v="Antal producerede FRATS-svin"/>
    <x v="12"/>
    <s v="Dybstrøelse, opdelt lejeareal"/>
    <n v="152006"/>
    <x v="3"/>
    <n v="153526"/>
    <n v="0"/>
    <s v="Svinegylle"/>
    <m/>
    <n v="2.94"/>
    <n v="0"/>
    <n v="5.0000000000000001E-3"/>
    <n v="0"/>
    <n v="0"/>
    <n v="0.12609999999999999"/>
    <n v="0"/>
    <n v="0.01"/>
    <n v="0"/>
    <n v="0"/>
    <n v="0"/>
  </r>
  <r>
    <s v="Svin"/>
    <n v="1520"/>
    <s v="Antal producerede FRATS-svin"/>
    <x v="12"/>
    <s v="Dybstrøelse"/>
    <n v="152007"/>
    <x v="3"/>
    <n v="153527"/>
    <n v="0"/>
    <m/>
    <s v="Dybstrøelse"/>
    <n v="2.94"/>
    <n v="0"/>
    <n v="7.0000000000000007E-2"/>
    <n v="0"/>
    <n v="0"/>
    <n v="0.12609999999999999"/>
    <n v="0"/>
    <n v="0.01"/>
    <n v="0"/>
    <n v="0"/>
    <n v="0"/>
  </r>
  <r>
    <s v="Hjortedyr"/>
    <n v="2101"/>
    <s v="Hjorte &gt; 15 mdr,"/>
    <x v="13"/>
    <s v="Hjorte &gt; 15 mdr,, 10 stk,"/>
    <n v="210101"/>
    <x v="0"/>
    <n v="212202"/>
    <n v="0"/>
    <m/>
    <s v="Dybstrøelse"/>
    <n v="0.88900000000000001"/>
    <n v="0"/>
    <n v="0.01"/>
    <n v="0"/>
    <n v="0"/>
    <s v="NE"/>
    <s v=" "/>
    <n v="0.01"/>
    <s v=" "/>
    <n v="0"/>
    <n v="0"/>
  </r>
  <r>
    <s v="Hjortedyr"/>
    <n v="2102"/>
    <s v="Hinder &gt; 15 mdr,"/>
    <x v="13"/>
    <s v="Hinder &gt; 15 mdr,, 10 stk,"/>
    <n v="210201"/>
    <x v="0"/>
    <n v="212303"/>
    <n v="0"/>
    <m/>
    <s v="Dybstrøelse"/>
    <n v="0.88900000000000001"/>
    <n v="0"/>
    <n v="0.01"/>
    <n v="0"/>
    <n v="0"/>
    <s v="NE"/>
    <s v=" "/>
    <n v="0.01"/>
    <s v=" "/>
    <n v="0"/>
    <n v="0"/>
  </r>
  <r>
    <s v="Hjortedyr"/>
    <n v="2103"/>
    <s v="Unge hjorte 3-15 mdr,"/>
    <x v="13"/>
    <s v="Unge hjorte 3-15 mdr,, 10 stk,"/>
    <n v="210301"/>
    <x v="0"/>
    <n v="212404"/>
    <n v="0"/>
    <m/>
    <s v="Dybstrøelse"/>
    <n v="0.88900000000000001"/>
    <n v="0"/>
    <n v="0.01"/>
    <n v="0"/>
    <n v="0"/>
    <s v="NE"/>
    <s v=" "/>
    <n v="0.01"/>
    <s v=" "/>
    <n v="0"/>
    <n v="0"/>
  </r>
  <r>
    <s v="Hjortedyr"/>
    <n v="2104"/>
    <s v="Unge hinder 3-15 mdr,"/>
    <x v="13"/>
    <s v="Unge hinder 3-15 mdr,, 10 stk,"/>
    <n v="210401"/>
    <x v="0"/>
    <n v="212505"/>
    <n v="0"/>
    <m/>
    <s v="Dybstrøelse"/>
    <n v="0.88900000000000001"/>
    <n v="0"/>
    <n v="0.01"/>
    <n v="0"/>
    <n v="0"/>
    <s v="NE"/>
    <s v=" "/>
    <n v="0.01"/>
    <s v=" "/>
    <n v="0"/>
    <n v="0"/>
  </r>
  <r>
    <s v="Hjortedyr"/>
    <n v="2105"/>
    <s v="Årshind"/>
    <x v="13"/>
    <s v="Årshind, 1 stk,"/>
    <n v="210501"/>
    <x v="0"/>
    <n v="212606"/>
    <n v="0"/>
    <m/>
    <s v="Dybstrøelse"/>
    <n v="0.88900000000000001"/>
    <n v="0"/>
    <n v="0.01"/>
    <n v="0"/>
    <n v="0"/>
    <s v="NE"/>
    <s v=" "/>
    <n v="0.01"/>
    <s v=" "/>
    <n v="0"/>
    <n v="0"/>
  </r>
  <r>
    <s v="Hjortedyr"/>
    <n v="2106"/>
    <s v="Dådyr"/>
    <x v="13"/>
    <s v="Dådyr, 1 stk,"/>
    <n v="210601"/>
    <x v="0"/>
    <n v="212707"/>
    <n v="0"/>
    <m/>
    <s v="Dybstrøelse"/>
    <n v="0.88900000000000001"/>
    <n v="0"/>
    <n v="0.01"/>
    <n v="0"/>
    <n v="0"/>
    <s v="NE"/>
    <s v=" "/>
    <n v="0.01"/>
    <s v=" "/>
    <n v="0"/>
    <n v="0"/>
  </r>
  <r>
    <s v="Mink"/>
    <n v="2400"/>
    <s v="Mink, 1 årstæve"/>
    <x v="14"/>
    <s v="Kødædende pelsdyr, bure, gødn.rende, ugentlig tømn"/>
    <n v="240001"/>
    <x v="0"/>
    <n v="242401"/>
    <n v="28565.51"/>
    <s v="Minkgylle"/>
    <s v="Dybstrøelse"/>
    <n v="5.97"/>
    <n v="170536.09469999999"/>
    <n v="5.0000000000000001E-3"/>
    <n v="852.68047349999995"/>
    <n v="1339.9264583571428"/>
    <s v="NE"/>
    <s v=" "/>
    <n v="0.01"/>
    <s v=" "/>
    <n v="0"/>
    <n v="1.3399264583571429"/>
  </r>
  <r>
    <s v="Mink"/>
    <n v="2400"/>
    <s v="Mink, 1 årstæve"/>
    <x v="14"/>
    <s v="Kødædende pelsdyr, bure, fast gødning i gødn.rende"/>
    <n v="240003"/>
    <x v="0"/>
    <n v="242403"/>
    <n v="0"/>
    <s v="Anden husdyrgødning"/>
    <m/>
    <n v="5.97"/>
    <n v="0"/>
    <n v="0.01"/>
    <n v="0"/>
    <n v="0"/>
    <s v="NE"/>
    <s v=" "/>
    <n v="0.01"/>
    <s v=" "/>
    <n v="0"/>
    <n v="0"/>
  </r>
  <r>
    <s v="Chincilla "/>
    <n v="2501"/>
    <s v="Chincilla"/>
    <x v="14"/>
    <s v="Chinchilla, 100 stk."/>
    <n v="240101"/>
    <x v="0"/>
    <n v="242602"/>
    <s v=" "/>
    <m/>
    <s v="Dybstrøelse"/>
    <n v="0.88900000000000001"/>
    <s v=" "/>
    <n v="0.01"/>
    <s v=" "/>
    <s v=" "/>
    <s v="NE"/>
    <s v=" "/>
    <n v="0.01"/>
    <s v=" "/>
    <n v="0"/>
    <s v=" "/>
  </r>
  <r>
    <s v="Høns af æglægningstype"/>
    <n v="3101"/>
    <s v="Fritgående, konsumæg, "/>
    <x v="15"/>
    <s v="Fritgående, konsumæg, gulvdrift + gødningskummer"/>
    <n v="310101"/>
    <x v="5"/>
    <n v="313202"/>
    <n v="0"/>
    <s v="Fast gødning"/>
    <m/>
    <n v="0.80099999999999993"/>
    <n v="0"/>
    <n v="1E-3"/>
    <n v="0"/>
    <n v="0"/>
    <n v="0.33360000000000001"/>
    <n v="0"/>
    <n v="0.01"/>
    <n v="0"/>
    <n v="0"/>
    <n v="0"/>
  </r>
  <r>
    <s v="Høns af æglægningstype"/>
    <n v="3101"/>
    <s v="Fritgående, konsumæg, "/>
    <x v="15"/>
    <s v="Fritgående, konsumæg, gulvdrift uden gødningskumme"/>
    <n v="310102"/>
    <x v="5"/>
    <n v="313203"/>
    <n v="0"/>
    <m/>
    <s v="Dybstrøelse"/>
    <n v="0.80099999999999993"/>
    <n v="0"/>
    <n v="1E-3"/>
    <n v="0"/>
    <n v="0"/>
    <n v="0.33360000000000001"/>
    <n v="0"/>
    <n v="0.01"/>
    <n v="0"/>
    <n v="0"/>
    <n v="0"/>
  </r>
  <r>
    <s v="Høns af æglægningstype"/>
    <n v="3101"/>
    <s v="Fritgående, konsumæg, "/>
    <x v="15"/>
    <s v="Friland, konsumæg, gulvdrift fler-etagesystem"/>
    <n v="310103"/>
    <x v="5"/>
    <n v="313204"/>
    <n v="0"/>
    <s v="Fast gødning"/>
    <m/>
    <n v="0.80099999999999993"/>
    <n v="0"/>
    <n v="1E-3"/>
    <n v="0"/>
    <n v="0"/>
    <n v="0.33360000000000001"/>
    <n v="0"/>
    <n v="0.01"/>
    <n v="0"/>
    <n v="0"/>
    <n v="0"/>
  </r>
  <r>
    <s v="Høns af æglægningstype"/>
    <n v="3102"/>
    <s v="Økologiske, konsumæg, "/>
    <x v="15"/>
    <s v="Økologiske, konsumæg, gulvdrift + fler-etage bånd"/>
    <n v="310201"/>
    <x v="0"/>
    <n v="313303"/>
    <n v="0"/>
    <s v="Fast gødning"/>
    <m/>
    <n v="0.90300000000000002"/>
    <n v="0"/>
    <n v="1E-3"/>
    <n v="0"/>
    <n v="0"/>
    <n v="0.33360000000000001"/>
    <n v="0"/>
    <n v="0.01"/>
    <n v="0"/>
    <n v="0"/>
    <n v="0"/>
  </r>
  <r>
    <s v="Høns af æglægningstype"/>
    <n v="3102"/>
    <s v="Økologiske, konsumæg, "/>
    <x v="15"/>
    <s v="Økologiske, konsumæg, gulvdrift + gødningskumme"/>
    <n v="310202"/>
    <x v="0"/>
    <n v="313304"/>
    <n v="0"/>
    <s v="Fast gødning"/>
    <m/>
    <n v="0.90300000000000002"/>
    <n v="0"/>
    <n v="1E-3"/>
    <n v="0"/>
    <n v="0"/>
    <n v="0.33360000000000001"/>
    <n v="0"/>
    <n v="0.01"/>
    <n v="0"/>
    <n v="0"/>
    <n v="0"/>
  </r>
  <r>
    <s v="Høns af æglægningstype"/>
    <n v="3103"/>
    <s v="Skrabehøner, konsumæg "/>
    <x v="15"/>
    <s v="Skrabehøner, konsumæg, gulvdrift + gødningskummer"/>
    <n v="310301"/>
    <x v="0"/>
    <n v="313404"/>
    <n v="0"/>
    <s v="Fast gødning"/>
    <s v="Dybstrøelse"/>
    <n v="0.77700000000000002"/>
    <n v="0"/>
    <n v="1E-3"/>
    <n v="0"/>
    <n v="0"/>
    <n v="0.33360000000000001"/>
    <n v="0"/>
    <n v="0.01"/>
    <n v="0"/>
    <n v="0"/>
    <n v="0"/>
  </r>
  <r>
    <s v="Høns af æglægningstype"/>
    <n v="3103"/>
    <s v="Skrabehøner, konsumæg "/>
    <x v="15"/>
    <s v="Skrabehøner, konsumæg, fler-etagesystem med gødnin"/>
    <n v="310302"/>
    <x v="0"/>
    <n v="313405"/>
    <n v="0"/>
    <s v="Fast gødning"/>
    <m/>
    <n v="0.77700000000000002"/>
    <n v="0"/>
    <n v="1E-3"/>
    <n v="0"/>
    <n v="0"/>
    <n v="0.33360000000000001"/>
    <n v="0"/>
    <n v="0.01"/>
    <n v="0"/>
    <n v="0"/>
    <n v="0"/>
  </r>
  <r>
    <s v="Høns af æglægningstype"/>
    <n v="3104"/>
    <s v="Burhøns, konsumæg "/>
    <x v="15"/>
    <s v="Burhøns, konsumæg, bånd, fast gødning"/>
    <n v="310402"/>
    <x v="0"/>
    <n v="313506"/>
    <n v="0"/>
    <s v="Fast gødning"/>
    <m/>
    <n v="0.67900000000000005"/>
    <n v="0"/>
    <n v="1E-3"/>
    <n v="0"/>
    <n v="0"/>
    <n v="0.33360000000000001"/>
    <n v="0"/>
    <n v="0.01"/>
    <n v="0"/>
    <n v="0"/>
    <n v="0"/>
  </r>
  <r>
    <s v="Høns af æglægningstype"/>
    <n v="3104"/>
    <s v="Burhøns, konsumæg "/>
    <x v="15"/>
    <s v="Burhøns, konsumæg, bånd, gylle"/>
    <n v="310403"/>
    <x v="0"/>
    <n v="313507"/>
    <n v="0"/>
    <s v="Fjerkrægylle"/>
    <m/>
    <n v="0.67900000000000005"/>
    <n v="0"/>
    <n v="1E-3"/>
    <n v="0"/>
    <n v="0"/>
    <n v="0.33360000000000001"/>
    <n v="0"/>
    <n v="0.01"/>
    <n v="0"/>
    <n v="0"/>
    <n v="0"/>
  </r>
  <r>
    <s v="Høns af æglægningstype"/>
    <n v="3105"/>
    <s v="Rugeæg (hpr-høner), "/>
    <x v="15"/>
    <s v="Rugeæg (hpr-høner), gulvdrift + gødningskummer"/>
    <n v="310501"/>
    <x v="0"/>
    <n v="313606"/>
    <n v="0"/>
    <m/>
    <s v="Dybstrøelse"/>
    <n v="0.88900000000000001"/>
    <n v="0"/>
    <n v="1E-3"/>
    <n v="0"/>
    <n v="0"/>
    <n v="0.33360000000000001"/>
    <n v="0"/>
    <n v="0.01"/>
    <n v="0"/>
    <n v="0"/>
    <n v="0"/>
  </r>
  <r>
    <s v="Høns af æglægningstype"/>
    <n v="3106"/>
    <s v="Friland, konsumæg"/>
    <x v="15"/>
    <s v="Friland, konsumæg, gulv+fler etage m bånd"/>
    <n v="310601"/>
    <x v="5"/>
    <n v="313707"/>
    <n v="0"/>
    <s v="Fjerkrægylle"/>
    <s v="Dybstrøelse"/>
    <n v="0.88900000000000001"/>
    <n v="0"/>
    <n v="1E-3"/>
    <n v="0"/>
    <n v="0"/>
    <n v="0.33360000000000001"/>
    <n v="0"/>
    <n v="0.01"/>
    <n v="0"/>
    <n v="0"/>
    <n v="0"/>
  </r>
  <r>
    <s v="Høns af æglægningstype"/>
    <n v="3107"/>
    <s v="Økologiske, konsumæg"/>
    <x v="15"/>
    <s v="Økologiske, konsumæg, gulv+fler-etage m bånd"/>
    <n v="310701"/>
    <x v="0"/>
    <n v="313808"/>
    <n v="0"/>
    <s v="Fjerkrægylle"/>
    <s v="Dybstrøelse"/>
    <n v="0.90300000000000002"/>
    <n v="0"/>
    <n v="1E-3"/>
    <n v="0"/>
    <n v="0"/>
    <n v="0.33360000000000001"/>
    <n v="0"/>
    <n v="0.01"/>
    <n v="0"/>
    <n v="0"/>
    <n v="0"/>
  </r>
  <r>
    <s v="Høns af æglægningstype"/>
    <n v="3111"/>
    <s v="Hønniker, konsum "/>
    <x v="15"/>
    <s v="Konsum, Bure, Produktionstid 118 dage"/>
    <n v="311105"/>
    <x v="0"/>
    <n v="314216"/>
    <n v="0"/>
    <s v="Fast gødning"/>
    <m/>
    <n v="0.67900000000000005"/>
    <n v="0"/>
    <n v="1E-3"/>
    <n v="0"/>
    <n v="0"/>
    <n v="0.33360000000000001"/>
    <n v="0"/>
    <n v="0.01"/>
    <n v="0"/>
    <n v="0"/>
    <n v="0"/>
  </r>
  <r>
    <s v="Høns af æglægningstype"/>
    <n v="3111"/>
    <s v="Hønniker, konsum "/>
    <x v="15"/>
    <s v="Konsum, Gulvdrift, produktionstid 118 dage"/>
    <n v="311106"/>
    <x v="0"/>
    <n v="314217"/>
    <n v="0"/>
    <m/>
    <s v="Dybstrøelse"/>
    <n v="0.67900000000000005"/>
    <n v="0"/>
    <n v="1E-3"/>
    <n v="0"/>
    <n v="0"/>
    <n v="0.33360000000000001"/>
    <n v="0"/>
    <n v="0.01"/>
    <n v="0"/>
    <n v="0"/>
    <n v="0"/>
  </r>
  <r>
    <s v="Høns af æglægningstype"/>
    <n v="3112"/>
    <s v="Hønniker, Hpr "/>
    <x v="15"/>
    <s v="Rugeæg (hpr), gulvdrift, produktionstid 119 dage"/>
    <n v="311201"/>
    <x v="0"/>
    <n v="314313"/>
    <n v="0"/>
    <m/>
    <s v="Dybstrøelse"/>
    <n v="0.88900000000000001"/>
    <n v="0"/>
    <n v="1E-3"/>
    <n v="0"/>
    <n v="0"/>
    <n v="0.33360000000000001"/>
    <n v="0"/>
    <n v="0.01"/>
    <n v="0"/>
    <n v="0"/>
    <n v="0"/>
  </r>
  <r>
    <s v="Høns af slagtetype"/>
    <n v="3201"/>
    <s v="producerede slagtekyllinger, levende vægt ved slagtning 1,85 kg"/>
    <x v="15"/>
    <s v="Levende vægt ved slagtning"/>
    <n v="320101"/>
    <x v="0"/>
    <n v="323302"/>
    <n v="0"/>
    <m/>
    <s v="Dybstrøelse"/>
    <n v="0.88900000000000001"/>
    <n v="0"/>
    <n v="1E-3"/>
    <n v="0"/>
    <n v="0"/>
    <n v="0.13450000000000001"/>
    <n v="0"/>
    <n v="0.01"/>
    <n v="0"/>
    <n v="0"/>
    <n v="0"/>
  </r>
  <r>
    <s v="Høns af slagtetype"/>
    <n v="3202"/>
    <s v="producerede slagtekyllinger, levende vægt ved slagtning 2,13 kg"/>
    <x v="15"/>
    <s v="Levende vægt ved slagtning"/>
    <n v="320201"/>
    <x v="0"/>
    <n v="323403"/>
    <n v="0"/>
    <m/>
    <s v="Dybstrøelse"/>
    <n v="0.88900000000000001"/>
    <n v="0"/>
    <n v="1E-3"/>
    <n v="0"/>
    <n v="0"/>
    <n v="0.13450000000000001"/>
    <n v="0"/>
    <n v="0.01"/>
    <n v="0"/>
    <n v="0"/>
    <n v="0"/>
  </r>
  <r>
    <s v="Høns af slagtetype"/>
    <n v="3205"/>
    <s v="producerede slagtekyllinger, levende vægt ved slagtning 1,67 kg"/>
    <x v="15"/>
    <s v="Levende vægt ved slagtning"/>
    <n v="320501"/>
    <x v="0"/>
    <n v="323706"/>
    <n v="0"/>
    <m/>
    <m/>
    <n v="0.88900000000000001"/>
    <n v="0"/>
    <n v="1E-3"/>
    <n v="0"/>
    <n v="0"/>
    <n v="0.13450000000000001"/>
    <n v="0"/>
    <n v="0.01"/>
    <n v="0"/>
    <n v="0"/>
    <n v="0"/>
  </r>
  <r>
    <s v="Høns af slagtetype"/>
    <n v="3204"/>
    <s v="producerede slagtekyllinger, levende vægt ved slagtning, 3,07 kg"/>
    <x v="15"/>
    <s v="Levende vægt ved slagtning"/>
    <n v="320401"/>
    <x v="0"/>
    <n v="323605"/>
    <n v="0"/>
    <m/>
    <s v="Dybstrøelse"/>
    <n v="0.88900000000000001"/>
    <n v="0"/>
    <n v="1E-3"/>
    <n v="0"/>
    <n v="0"/>
    <n v="0.13450000000000001"/>
    <n v="0"/>
    <n v="0.01"/>
    <n v="0"/>
    <n v="0"/>
    <n v="0"/>
  </r>
  <r>
    <s v="Høns af slagtetype"/>
    <n v="3230"/>
    <s v="producerede slagtekyllinger, 30 dage "/>
    <x v="15"/>
    <s v="Produktionstid 30 dage"/>
    <n v="323001"/>
    <x v="0"/>
    <n v="326231"/>
    <n v="0"/>
    <m/>
    <s v="Dybstrøelse"/>
    <n v="3.0800000000000001E-2"/>
    <n v="0"/>
    <n v="1E-3"/>
    <n v="0"/>
    <n v="0"/>
    <n v="0.13450000000000001"/>
    <n v="0"/>
    <n v="0.01"/>
    <n v="0"/>
    <n v="0"/>
    <n v="0"/>
  </r>
  <r>
    <s v="Høns af slagtetype"/>
    <n v="3232"/>
    <s v="producerede slagtekyllinger, 32 dage"/>
    <x v="15"/>
    <s v="Produktionstid 32 dage"/>
    <n v="323201"/>
    <x v="0"/>
    <n v="326433"/>
    <n v="0"/>
    <m/>
    <s v="Dybstrøelse"/>
    <n v="3.5900000000000001E-2"/>
    <n v="0"/>
    <n v="1E-3"/>
    <n v="0"/>
    <n v="0"/>
    <n v="0.13450000000000001"/>
    <n v="0"/>
    <n v="0.01"/>
    <n v="0"/>
    <n v="0"/>
    <n v="0"/>
  </r>
  <r>
    <s v="Høns af slagtetype"/>
    <n v="3235"/>
    <s v="producerede slagtekyllinger, 35 dage"/>
    <x v="15"/>
    <s v="Produktionstid 35 dage"/>
    <n v="323501"/>
    <x v="0"/>
    <n v="326736"/>
    <n v="0"/>
    <m/>
    <s v="Dybstrøelse"/>
    <n v="4.7399999999999998E-2"/>
    <n v="0"/>
    <n v="1E-3"/>
    <n v="0"/>
    <n v="0"/>
    <n v="0.13450000000000001"/>
    <n v="0"/>
    <n v="0.01"/>
    <n v="0"/>
    <n v="0"/>
    <n v="0"/>
  </r>
  <r>
    <s v="Høns af slagtetype"/>
    <n v="3240"/>
    <s v="producerede slagtekyllinger, 40 dage"/>
    <x v="15"/>
    <s v="Produktionstid 40 dage"/>
    <n v="324001"/>
    <x v="0"/>
    <n v="327241"/>
    <n v="0"/>
    <m/>
    <s v="Dybstrøelse"/>
    <n v="6.2899999999999998E-2"/>
    <n v="0"/>
    <n v="1E-3"/>
    <n v="0"/>
    <n v="0"/>
    <n v="0.13450000000000001"/>
    <n v="0"/>
    <n v="0.01"/>
    <n v="0"/>
    <n v="0"/>
    <n v="0"/>
  </r>
  <r>
    <s v="Høns af slagtetype"/>
    <n v="3245"/>
    <s v="producerede slagtekyllinger, 45 dage"/>
    <x v="15"/>
    <s v="Produktionstid 45 dage"/>
    <n v="324501"/>
    <x v="0"/>
    <n v="327746"/>
    <n v="0"/>
    <m/>
    <s v="Dybstrøelse"/>
    <n v="0.83400000000000007"/>
    <n v="0"/>
    <n v="1E-3"/>
    <n v="0"/>
    <n v="0"/>
    <n v="0.13450000000000001"/>
    <n v="0"/>
    <n v="0.01"/>
    <n v="0"/>
    <n v="0"/>
    <n v="0"/>
  </r>
  <r>
    <s v="Høns af slagtetype"/>
    <n v="3256"/>
    <s v="producerede skrabekyllinger, 56 dage "/>
    <x v="15"/>
    <s v="Skrabekyllinger, 44 dage"/>
    <n v="325601"/>
    <x v="0"/>
    <n v="328857"/>
    <n v="0"/>
    <m/>
    <s v="Dybstrøelse"/>
    <n v="4.9399999999999999E-2"/>
    <n v="0"/>
    <n v="1E-3"/>
    <n v="0"/>
    <n v="0"/>
    <n v="0.13450000000000001"/>
    <n v="0"/>
    <n v="0.01"/>
    <n v="0"/>
    <n v="0"/>
    <n v="0"/>
  </r>
  <r>
    <s v="Høns af slagtetype"/>
    <n v="3281"/>
    <s v="Økologiske slagtekyllinger, 63 dage "/>
    <x v="15"/>
    <s v="Økologiske slagtekyllinger, 63 dage"/>
    <n v="328101"/>
    <x v="0"/>
    <n v="331382"/>
    <n v="0"/>
    <m/>
    <s v="Dybstrøelse"/>
    <n v="0.108"/>
    <n v="0"/>
    <n v="1E-3"/>
    <n v="0"/>
    <n v="0"/>
    <n v="0.13450000000000001"/>
    <n v="0"/>
    <n v="0.01"/>
    <n v="0"/>
    <n v="0"/>
    <n v="0"/>
  </r>
  <r>
    <s v="Høns af slagtetype"/>
    <n v="3290"/>
    <s v="Rugeæg (HPR-høner)"/>
    <x v="15"/>
    <s v="Rugeæg (hpr-høner), gulvdrift og gødningskummer"/>
    <n v="329001"/>
    <x v="0"/>
    <n v="332291"/>
    <n v="0"/>
    <m/>
    <s v="Dybstrøelse"/>
    <n v="0.88900000000000001"/>
    <n v="0"/>
    <n v="1E-3"/>
    <n v="0"/>
    <n v="0"/>
    <n v="0.13450000000000001"/>
    <n v="0"/>
    <n v="0.01"/>
    <n v="0"/>
    <n v="0"/>
    <n v="0"/>
  </r>
  <r>
    <s v="Høns af slagtetype"/>
    <n v="3295"/>
    <s v="Hønniker, Hpr "/>
    <x v="15"/>
    <s v="Rugeæg (hønniker, Hpr), gulvdrift, prod 119 dage"/>
    <n v="329501"/>
    <x v="0"/>
    <n v="332796"/>
    <n v="0"/>
    <m/>
    <m/>
    <n v="0.88900000000000001"/>
    <n v="0"/>
    <n v="1E-3"/>
    <n v="0"/>
    <n v="0"/>
    <n v="0.33360000000000001"/>
    <n v="0"/>
    <n v="0.01"/>
    <n v="0"/>
    <n v="0"/>
    <n v="0"/>
  </r>
  <r>
    <s v="Høns af æglægningstype"/>
    <n v="3295"/>
    <s v="Rugeæg (hønniker, HPR)"/>
    <x v="15"/>
    <s v="Rugeæg (hønniker, Hpr), gulvdrift, prod. 119 dage"/>
    <n v="329501"/>
    <x v="0"/>
    <n v="332796"/>
    <n v="0"/>
    <m/>
    <s v="Dybstrøelse"/>
    <n v="0.88900000000000001"/>
    <n v="0"/>
    <n v="1E-3"/>
    <n v="0"/>
    <n v="0"/>
    <n v="0.33360000000000001"/>
    <n v="0"/>
    <n v="0.01"/>
    <n v="0"/>
    <n v="0"/>
    <n v="0"/>
  </r>
  <r>
    <s v="Kalkun"/>
    <n v="3301"/>
    <s v="Kalkuner, tunge hunner, produktionstid 112 dage "/>
    <x v="15"/>
    <s v="Kalkuner, tunge hunner, produktionstid 112 dage"/>
    <n v="330101"/>
    <x v="0"/>
    <n v="333402"/>
    <n v="0"/>
    <m/>
    <s v="Dybstrøelse"/>
    <n v="0.48100000000000004"/>
    <n v="0"/>
    <n v="1E-3"/>
    <n v="0"/>
    <n v="0"/>
    <n v="0.26850000000000002"/>
    <n v="0"/>
    <n v="0.01"/>
    <n v="0"/>
    <n v="0"/>
    <n v="0"/>
  </r>
  <r>
    <s v="Kalkun"/>
    <n v="3302"/>
    <s v="Kalkuner, tunge hanner, produktionstid 147 dage"/>
    <x v="15"/>
    <s v="Kalkuner, tunge hanner, produktionstid 147 dage"/>
    <n v="330201"/>
    <x v="0"/>
    <n v="333503"/>
    <n v="0"/>
    <m/>
    <s v="Dybstrøelse"/>
    <n v="0.878"/>
    <n v="0"/>
    <n v="1E-3"/>
    <n v="0"/>
    <n v="0"/>
    <n v="0.26850000000000002"/>
    <n v="0"/>
    <n v="0.01"/>
    <n v="0"/>
    <n v="0"/>
    <n v="0"/>
  </r>
  <r>
    <s v="Gæs"/>
    <n v="3400"/>
    <s v="Gæs, produktionstid 91 dage (100 stk)"/>
    <x v="15"/>
    <s v="Gæs, produktionstid 91 dage"/>
    <n v="340001"/>
    <x v="6"/>
    <n v="343401"/>
    <n v="0"/>
    <m/>
    <s v="Dybstrøelse"/>
    <n v="0.56100000000000005"/>
    <n v="0"/>
    <n v="1E-3"/>
    <n v="0"/>
    <n v="0"/>
    <n v="0.1152"/>
    <n v="0"/>
    <n v="0.01"/>
    <n v="0"/>
    <n v="0"/>
    <n v="0"/>
  </r>
  <r>
    <s v="Ænder"/>
    <n v="3500"/>
    <s v="Ænder, produktionstid 52 dage "/>
    <x v="15"/>
    <s v="Ænder, produktionstid 52 dage"/>
    <n v="350001"/>
    <x v="0"/>
    <n v="353501"/>
    <n v="0"/>
    <m/>
    <s v="Dybstrøelse"/>
    <n v="0.17300000000000001"/>
    <n v="0"/>
    <n v="1E-3"/>
    <n v="0"/>
    <n v="0"/>
    <n v="0.1152"/>
    <n v="0"/>
    <n v="0.01"/>
    <n v="0"/>
    <n v="0"/>
    <n v="0"/>
  </r>
  <r>
    <s v="Fasaner"/>
    <n v="4401"/>
    <s v="Fasaner, høner"/>
    <x v="15"/>
    <s v="Fasan, høner, 100 stk, avlsdyr"/>
    <n v="440101"/>
    <x v="0"/>
    <n v="444502"/>
    <s v=" "/>
    <m/>
    <s v="Dybstrøelse"/>
    <n v="0.88900000000000001"/>
    <s v=" "/>
    <n v="0.01"/>
    <s v=" "/>
    <s v=" "/>
    <n v="0.1152"/>
    <s v=" "/>
    <n v="0.01"/>
    <s v=" "/>
    <n v="0"/>
    <s v=" "/>
  </r>
  <r>
    <s v="Fasaner"/>
    <n v="4402"/>
    <s v="Fasaner, opdræt"/>
    <x v="15"/>
    <s v="Fasan, opdræt, 1000 stk."/>
    <n v="440201"/>
    <x v="0"/>
    <n v="444603"/>
    <s v=" "/>
    <m/>
    <s v="Dybstrøelse"/>
    <n v="0.88900000000000001"/>
    <s v=" "/>
    <n v="0.01"/>
    <s v=" "/>
    <s v=" "/>
    <n v="0.1152"/>
    <s v=" "/>
    <n v="0.01"/>
    <s v=" "/>
    <n v="0"/>
    <s v=" "/>
  </r>
  <r>
    <s v="Andet"/>
    <n v="4501"/>
    <s v="Agerhøns, avlsdyr"/>
    <x v="15"/>
    <s v="Agerhøns, avlsdyr, 100 stk,"/>
    <n v="450101"/>
    <x v="0"/>
    <n v="454602"/>
    <n v="0"/>
    <m/>
    <s v="Dybstrøelse"/>
    <n v="0.88900000000000001"/>
    <n v="0"/>
    <n v="1E-3"/>
    <n v="0"/>
    <n v="0"/>
    <n v="0.1152"/>
    <n v="0"/>
    <n v="0.01"/>
    <n v="0"/>
    <n v="0"/>
    <n v="0"/>
  </r>
  <r>
    <s v="Andet"/>
    <n v="4502"/>
    <s v="Agerhøns, opdræt"/>
    <x v="15"/>
    <s v="Agerhøns, opdræt, 100 stk."/>
    <n v="450201"/>
    <x v="0"/>
    <n v="454703"/>
    <s v=" "/>
    <m/>
    <s v="Dybstrøelse"/>
    <n v="0.88900000000000001"/>
    <s v=" "/>
    <n v="1E-3"/>
    <s v=" "/>
    <s v=" "/>
    <n v="0.1152"/>
    <s v=" "/>
    <n v="0.01"/>
    <s v=" "/>
    <n v="0"/>
    <s v=" "/>
  </r>
  <r>
    <s v="Andet"/>
    <n v="4701"/>
    <s v="Struds, kylling, 0-3 mdr,"/>
    <x v="15"/>
    <s v="Struds, kylling, 0-3 mdr, 100 producerede dyr"/>
    <n v="470101"/>
    <x v="0"/>
    <n v="474802"/>
    <n v="0"/>
    <m/>
    <s v="Dybstrøelse"/>
    <n v="0.88900000000000001"/>
    <n v="0"/>
    <n v="0.01"/>
    <n v="0"/>
    <n v="0"/>
    <n v="0.1152"/>
    <n v="0"/>
    <n v="0.01"/>
    <n v="0"/>
    <n v="0"/>
    <n v="0"/>
  </r>
  <r>
    <s v="Andet"/>
    <n v="4703"/>
    <s v="Struds, kylling, 3-14 mdr,"/>
    <x v="15"/>
    <s v="Struds, kylling, 3-14 mdr, 10 producerede dyr"/>
    <n v="470301"/>
    <x v="0"/>
    <n v="475004"/>
    <n v="0"/>
    <m/>
    <s v="Dybstrøelse"/>
    <n v="0.88900000000000001"/>
    <n v="0"/>
    <n v="0.01"/>
    <n v="0"/>
    <n v="0"/>
    <n v="0.1152"/>
    <n v="0"/>
    <n v="0.01"/>
    <n v="0"/>
    <n v="0"/>
    <n v="0"/>
  </r>
  <r>
    <s v="Andet"/>
    <n v="4705"/>
    <s v="Struds, voksen, hun"/>
    <x v="15"/>
    <s v="Struds, voksen, hun, 10 årsdyr"/>
    <n v="470501"/>
    <x v="0"/>
    <n v="475206"/>
    <n v="0"/>
    <m/>
    <s v="Dybstrøelse"/>
    <n v="0.88900000000000001"/>
    <n v="0"/>
    <n v="0.01"/>
    <n v="0"/>
    <n v="0"/>
    <n v="0.1152"/>
    <n v="0"/>
    <n v="0.01"/>
    <n v="0"/>
    <n v="0"/>
    <n v="0"/>
  </r>
  <r>
    <s v="Andet"/>
    <n v="4706"/>
    <s v="Struds, voksen, han"/>
    <x v="15"/>
    <s v="Struds, voksen, han, 10 årsdyr"/>
    <n v="470601"/>
    <x v="0"/>
    <n v="475307"/>
    <n v="0"/>
    <m/>
    <s v="Dybstrøelse"/>
    <n v="0.88900000000000001"/>
    <n v="0"/>
    <n v="0.01"/>
    <n v="0"/>
    <n v="0"/>
    <n v="0.1152"/>
    <n v="0"/>
    <n v="0.01"/>
    <n v="0"/>
    <n v="0"/>
    <n v="0"/>
  </r>
  <r>
    <s v="Ræve"/>
    <n v="9923"/>
    <s v="Pelsdyr, andre staldsystemer (antal DE)"/>
    <x v="14"/>
    <s v="Andre ræve eller ræve, andre staldsystemer"/>
    <n v="992301"/>
    <x v="0"/>
    <n v="1002224"/>
    <n v="0"/>
    <s v="Anden husdyrgødning"/>
    <m/>
    <n v="0.88900000000000001"/>
    <n v="0"/>
    <n v="0.01"/>
    <n v="0"/>
    <n v="0"/>
    <s v="NE"/>
    <s v=" "/>
    <n v="0.01"/>
    <s v=" "/>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4">
  <r>
    <s v="Heste"/>
    <n v="1101"/>
    <s v="Heste, 1 årsdyr, vægt under 300 kg"/>
    <x v="0"/>
    <s v="1 voksen årshest, under 300 kg"/>
    <n v="110101"/>
    <x v="0"/>
    <n v="111202"/>
    <n v="15.21"/>
    <m/>
    <s v="Dybstrøelse"/>
    <n v="23"/>
    <n v="349.83000000000004"/>
    <n v="0.01"/>
    <n v="3.4983000000000004"/>
    <n v="5.4973285714285725"/>
    <n v="0.34389999999999998"/>
    <n v="120.30653700000001"/>
    <n v="0.01"/>
    <n v="1.20306537"/>
    <n v="1.8905312957142857"/>
    <n v="7.3878598671428576E-3"/>
  </r>
  <r>
    <s v="Heste"/>
    <n v="1102"/>
    <s v="Heste, 1 årsdyr, vægt 300 kg - under 500 kg"/>
    <x v="0"/>
    <s v="1 voksen årshest, 300 kg - mindre end 500 kg"/>
    <n v="110201"/>
    <x v="0"/>
    <n v="111303"/>
    <n v="277.02"/>
    <m/>
    <s v="Dybstrøelse"/>
    <n v="38"/>
    <n v="10526.759999999998"/>
    <n v="0.01"/>
    <n v="105.26759999999999"/>
    <n v="165.42051428571426"/>
    <n v="0.34389999999999998"/>
    <n v="3620.1527639999995"/>
    <n v="0.01"/>
    <n v="36.201527639999995"/>
    <n v="56.888114862857137"/>
    <n v="0.22230862914857141"/>
  </r>
  <r>
    <s v="Heste"/>
    <n v="1103"/>
    <s v="Heste, 1 årsdyr, vægt 500 kg - under 700 kg"/>
    <x v="0"/>
    <s v="1 voksen årshest, 500 kg - mindre end 700 kg"/>
    <n v="110301"/>
    <x v="0"/>
    <n v="111404"/>
    <n v="26.5"/>
    <m/>
    <s v="Dybstrøelse"/>
    <n v="50"/>
    <n v="1325"/>
    <n v="0.01"/>
    <n v="13.25"/>
    <n v="20.821428571428573"/>
    <n v="0.34389999999999998"/>
    <n v="455.66749999999996"/>
    <n v="0.01"/>
    <n v="4.5566749999999994"/>
    <n v="7.1604892857142843"/>
    <n v="2.7981917857142859E-2"/>
  </r>
  <r>
    <s v="Heste"/>
    <n v="1104"/>
    <s v="Heste, 1 årsdyr, vægt 700 kg og derover"/>
    <x v="0"/>
    <s v="1 voksen årshest, 700 kg og derover"/>
    <n v="110401"/>
    <x v="0"/>
    <n v="111505"/>
    <n v="0"/>
    <m/>
    <s v="Dybstrøelse"/>
    <n v="63"/>
    <n v="0"/>
    <n v="0.01"/>
    <n v="0"/>
    <n v="0"/>
    <n v="0.34389999999999998"/>
    <n v="0"/>
    <n v="0.01"/>
    <n v="0"/>
    <n v="0"/>
    <n v="0"/>
  </r>
  <r>
    <s v="Kvæg"/>
    <n v="1201"/>
    <s v="1 årsko uden opdræt, malkekvæg, tung race"/>
    <x v="1"/>
    <s v="Bindestald med grebning"/>
    <n v="120101"/>
    <x v="1"/>
    <n v="121302"/>
    <n v="0"/>
    <s v="Fast gødning"/>
    <m/>
    <n v="160.5"/>
    <n v="0"/>
    <n v="5.0000000000000001E-3"/>
    <n v="0"/>
    <n v="0"/>
    <n v="7.8E-2"/>
    <n v="0"/>
    <n v="0.01"/>
    <n v="0"/>
    <n v="0"/>
    <n v="0"/>
  </r>
  <r>
    <s v="Kvæg"/>
    <n v="1201"/>
    <s v="1 årsko uden opdræt, malkekvæg, tung race"/>
    <x v="1"/>
    <s v="Bindestald med riste"/>
    <n v="120102"/>
    <x v="1"/>
    <n v="121303"/>
    <n v="0"/>
    <s v="Kvæggylle"/>
    <m/>
    <n v="160.5"/>
    <n v="0"/>
    <n v="5.0000000000000001E-3"/>
    <n v="0"/>
    <n v="0"/>
    <n v="7.8E-2"/>
    <n v="0"/>
    <n v="0.01"/>
    <n v="0"/>
    <n v="0"/>
    <n v="0"/>
  </r>
  <r>
    <s v="Kvæg"/>
    <n v="1201"/>
    <s v="1 årsko uden opdræt, malkekvæg, tung race"/>
    <x v="1"/>
    <s v="Sengestald med fast gulv"/>
    <n v="120103"/>
    <x v="2"/>
    <n v="121304"/>
    <n v="0"/>
    <s v="Kvæggylle"/>
    <m/>
    <n v="160.5"/>
    <n v="0"/>
    <n v="5.0000000000000001E-3"/>
    <n v="0"/>
    <n v="0"/>
    <n v="7.8E-2"/>
    <n v="0"/>
    <n v="0.01"/>
    <n v="0"/>
    <n v="0"/>
    <n v="0"/>
  </r>
  <r>
    <s v="Kvæg"/>
    <n v="1201"/>
    <s v="1 årsko uden opdræt, malkekvæg, tung race"/>
    <x v="1"/>
    <s v="Sengestald med spalter (kanal, linespil)"/>
    <n v="120104"/>
    <x v="2"/>
    <n v="121305"/>
    <n v="0"/>
    <s v="Kvæggylle"/>
    <m/>
    <n v="160.5"/>
    <n v="0"/>
    <n v="5.0000000000000001E-3"/>
    <n v="0"/>
    <n v="0"/>
    <n v="7.8E-2"/>
    <n v="0"/>
    <n v="0.01"/>
    <n v="0"/>
    <n v="0"/>
    <n v="0"/>
  </r>
  <r>
    <s v="Kvæg"/>
    <n v="1201"/>
    <s v="1 årsko uden opdræt, malkekvæg, tung race"/>
    <x v="1"/>
    <s v="Sengestald med spalter (kanal, bagskyl eller ringk"/>
    <n v="120105"/>
    <x v="2"/>
    <n v="121306"/>
    <n v="188.07"/>
    <s v="Kvæggylle"/>
    <m/>
    <n v="160.5"/>
    <n v="30185.235000000001"/>
    <n v="5.0000000000000001E-3"/>
    <n v="150.926175"/>
    <n v="237.16970357142856"/>
    <n v="7.8E-2"/>
    <n v="2354.4483300000002"/>
    <n v="0.01"/>
    <n v="23.544483300000003"/>
    <n v="36.998473757142861"/>
    <n v="0.27416817732857141"/>
  </r>
  <r>
    <s v="Kvæg"/>
    <n v="1201"/>
    <s v="1 årsko uden opdræt, malkekvæg, tung race"/>
    <x v="1"/>
    <s v="Dybstrøelse (hele arealet)"/>
    <n v="120106"/>
    <x v="3"/>
    <n v="121307"/>
    <n v="0"/>
    <m/>
    <s v="Dybstrøelse"/>
    <n v="160.5"/>
    <n v="0"/>
    <n v="0.01"/>
    <n v="0"/>
    <n v="0"/>
    <n v="7.8E-2"/>
    <n v="0"/>
    <n v="0.01"/>
    <n v="0"/>
    <n v="0"/>
    <n v="0"/>
  </r>
  <r>
    <s v="Kvæg"/>
    <n v="1201"/>
    <s v="1 årsko uden opdræt, malkekvæg, tung race"/>
    <x v="1"/>
    <s v="Dybstrøelse, lang ædeplads med fast gulv"/>
    <n v="120107"/>
    <x v="3"/>
    <n v="121308"/>
    <n v="0"/>
    <s v="Kvæggylle"/>
    <m/>
    <n v="160.5"/>
    <n v="0"/>
    <n v="5.0000000000000001E-3"/>
    <n v="0"/>
    <n v="0"/>
    <n v="7.8E-2"/>
    <n v="0"/>
    <n v="0.01"/>
    <n v="0"/>
    <n v="0"/>
    <n v="0"/>
  </r>
  <r>
    <s v="Kvæg"/>
    <n v="1201"/>
    <s v="1 årsko uden opdræt, malkekvæg, tung race"/>
    <x v="1"/>
    <s v="Dybstrøelse, lang ædeplads med spalter (kanal, lin"/>
    <n v="120108"/>
    <x v="3"/>
    <n v="121309"/>
    <n v="0"/>
    <s v="Kvæggylle"/>
    <m/>
    <n v="160.5"/>
    <n v="0"/>
    <n v="5.0000000000000001E-3"/>
    <n v="0"/>
    <n v="0"/>
    <n v="7.8E-2"/>
    <n v="0"/>
    <n v="0.01"/>
    <n v="0"/>
    <n v="0"/>
    <n v="0"/>
  </r>
  <r>
    <s v="Kvæg"/>
    <n v="1201"/>
    <s v="1 årsko uden opdræt, malkekvæg, tung race"/>
    <x v="1"/>
    <s v="Dybstrøelse, lang ædeplads med spalter (kanal, bag"/>
    <n v="120109"/>
    <x v="3"/>
    <n v="121310"/>
    <n v="0"/>
    <s v="Kvæggylle"/>
    <m/>
    <n v="160.5"/>
    <n v="0"/>
    <n v="5.0000000000000001E-3"/>
    <n v="0"/>
    <n v="0"/>
    <n v="7.8E-2"/>
    <n v="0"/>
    <n v="0.01"/>
    <n v="0"/>
    <n v="0"/>
    <n v="0"/>
  </r>
  <r>
    <s v="Kvæg"/>
    <n v="1201"/>
    <s v="1 årsko uden opdræt, malkekvæg, tung race"/>
    <x v="1"/>
    <s v="Sengestald, fast drænet gulv med skraber og ajleaf"/>
    <n v="120114"/>
    <x v="2"/>
    <n v="121315"/>
    <n v="0"/>
    <s v="Kvæggylle"/>
    <m/>
    <n v="160.5"/>
    <n v="0"/>
    <n v="5.0000000000000001E-3"/>
    <n v="0"/>
    <n v="0"/>
    <n v="7.8E-2"/>
    <n v="0"/>
    <n v="0.01"/>
    <n v="0"/>
    <n v="0"/>
    <n v="0"/>
  </r>
  <r>
    <s v="Kvæg"/>
    <n v="1201"/>
    <s v="1 årsko uden opdræt, malkekvæg, tung race"/>
    <x v="1"/>
    <s v="Dybstrøelse, lang ædeplads, fast drænet gulv med s"/>
    <n v="120115"/>
    <x v="3"/>
    <n v="121316"/>
    <n v="0"/>
    <s v="Kvæggylle"/>
    <m/>
    <n v="160.5"/>
    <n v="0"/>
    <n v="5.0000000000000001E-3"/>
    <n v="0"/>
    <n v="0"/>
    <n v="7.8E-2"/>
    <n v="0"/>
    <n v="0.01"/>
    <n v="0"/>
    <n v="0"/>
    <n v="0"/>
  </r>
  <r>
    <s v="Kvæg"/>
    <n v="1202"/>
    <s v="1 årsopdræt (småkalv 0-6 mdr., tung race)"/>
    <x v="2"/>
    <s v="Dybstrøelse (hele arealet)"/>
    <n v="120201"/>
    <x v="3"/>
    <n v="121403"/>
    <n v="161.9"/>
    <m/>
    <s v="Dybstrøelse"/>
    <n v="26.7"/>
    <n v="4322.7300000000005"/>
    <n v="0.01"/>
    <n v="43.227300000000007"/>
    <n v="67.928614285714303"/>
    <n v="9.7299999999999998E-2"/>
    <n v="420.60162900000006"/>
    <n v="0.01"/>
    <n v="4.2060162900000009"/>
    <n v="6.6094541700000011"/>
    <n v="7.4538068455714312E-2"/>
  </r>
  <r>
    <s v="Kvæg"/>
    <n v="1202"/>
    <s v="1 årsopdræt (småkalv 0-6 mdr., tung race)"/>
    <x v="2"/>
    <s v="Dybstrøelse + kort ædeplads med fast gulv"/>
    <n v="120202"/>
    <x v="3"/>
    <n v="121404"/>
    <n v="7.98"/>
    <m/>
    <s v="Dybstrøelse"/>
    <n v="26.7"/>
    <n v="213.066"/>
    <n v="0.01"/>
    <n v="2.1306600000000002"/>
    <n v="3.3481800000000002"/>
    <n v="9.7299999999999998E-2"/>
    <n v="20.7313218"/>
    <n v="0.01"/>
    <n v="0.20731321799999999"/>
    <n v="0.325777914"/>
    <n v="3.6739579140000001E-3"/>
  </r>
  <r>
    <s v="Kvæg"/>
    <n v="1203"/>
    <s v="1 årsopdræt (kvier/stude 6 mdr. - kælvning (27 mdr)/slagtning, tung race)"/>
    <x v="3"/>
    <s v="Bindestald med grebning"/>
    <n v="120301"/>
    <x v="1"/>
    <n v="121504"/>
    <n v="37.799999999999997"/>
    <s v="Fast gødning"/>
    <m/>
    <n v="50.4"/>
    <n v="1905.12"/>
    <n v="5.0000000000000001E-3"/>
    <n v="9.525599999999999"/>
    <n v="14.968799999999998"/>
    <n v="9.7299999999999998E-2"/>
    <n v="185.36817599999998"/>
    <n v="0.01"/>
    <n v="1.8536817599999997"/>
    <n v="2.9129284799999993"/>
    <n v="1.7881728479999998E-2"/>
  </r>
  <r>
    <s v="Kvæg"/>
    <n v="1203"/>
    <s v="1 årsopdræt (kvier/stude 6 mdr. - kælvning (27 mdr)/slagtning, tung race)"/>
    <x v="3"/>
    <s v="Bindestald med riste"/>
    <n v="120302"/>
    <x v="1"/>
    <n v="121505"/>
    <n v="0"/>
    <s v="Kvæggylle"/>
    <m/>
    <n v="50.4"/>
    <n v="0"/>
    <n v="5.0000000000000001E-3"/>
    <n v="0"/>
    <n v="0"/>
    <n v="9.7299999999999998E-2"/>
    <n v="0"/>
    <n v="0.01"/>
    <n v="0"/>
    <n v="0"/>
    <n v="0"/>
  </r>
  <r>
    <s v="Kvæg"/>
    <n v="1203"/>
    <s v="1 årsopdræt (kvier/stude 6 mdr. - kælvning (27 mdr)/slagtning, tung race)"/>
    <x v="3"/>
    <s v="Sengestald med fast gulv"/>
    <n v="120303"/>
    <x v="2"/>
    <n v="121506"/>
    <n v="0"/>
    <s v="Kvæggylle"/>
    <m/>
    <n v="50.4"/>
    <n v="0"/>
    <n v="5.0000000000000001E-3"/>
    <n v="0"/>
    <n v="0"/>
    <n v="9.7299999999999998E-2"/>
    <n v="0"/>
    <n v="0.01"/>
    <n v="0"/>
    <n v="0"/>
    <n v="0"/>
  </r>
  <r>
    <s v="Kvæg"/>
    <n v="1203"/>
    <s v="1 årsopdræt (kvier/stude 6 mdr. - kælvning (27 mdr)/slagtning, tung race)"/>
    <x v="3"/>
    <s v="Sengestald med spaltegulv (kanal, linespil)"/>
    <n v="120304"/>
    <x v="2"/>
    <n v="121507"/>
    <n v="0"/>
    <s v="Kvæggylle"/>
    <m/>
    <n v="50.4"/>
    <n v="0"/>
    <n v="5.0000000000000001E-3"/>
    <n v="0"/>
    <n v="0"/>
    <n v="9.7299999999999998E-2"/>
    <n v="0"/>
    <n v="0.01"/>
    <n v="0"/>
    <n v="0"/>
    <n v="0"/>
  </r>
  <r>
    <s v="Kvæg"/>
    <n v="1203"/>
    <s v="1 årsopdræt (kvier/stude 6 mdr. - kælvning (27 mdr)/slagtning, tung race)"/>
    <x v="3"/>
    <s v="Sengestald med spaltegulv (kanal, bagskyl eller ri"/>
    <n v="120305"/>
    <x v="2"/>
    <n v="121508"/>
    <n v="0"/>
    <s v="Kvæggylle"/>
    <m/>
    <n v="50.4"/>
    <n v="0"/>
    <n v="5.0000000000000001E-3"/>
    <n v="0"/>
    <n v="0"/>
    <n v="9.7299999999999998E-2"/>
    <n v="0"/>
    <n v="0.01"/>
    <n v="0"/>
    <n v="0"/>
    <n v="0"/>
  </r>
  <r>
    <s v="Kvæg"/>
    <n v="1203"/>
    <s v="1 årsopdræt (kvier/stude 6 mdr. - kælvning (27 mdr)/slagtning, tung race)"/>
    <x v="3"/>
    <s v="Dybstrøelse, hele arealet"/>
    <n v="120306"/>
    <x v="3"/>
    <n v="121509"/>
    <n v="356.1"/>
    <m/>
    <s v="Dybstrøelse"/>
    <n v="50.4"/>
    <n v="17947.440000000002"/>
    <n v="0.01"/>
    <n v="179.47440000000003"/>
    <n v="282.03120000000007"/>
    <n v="9.7299999999999998E-2"/>
    <n v="1746.2859120000003"/>
    <n v="0.01"/>
    <n v="17.462859120000005"/>
    <n v="27.441635760000004"/>
    <n v="0.30947283576000006"/>
  </r>
  <r>
    <s v="Kvæg"/>
    <n v="1203"/>
    <s v="1 årsopdræt (kvier/stude 6 mdr. - kælvning (27 mdr)/slagtning, tung race)"/>
    <x v="3"/>
    <s v="Dybstrøelse + kort ædeplads med fast gulv"/>
    <n v="120307"/>
    <x v="3"/>
    <n v="121510"/>
    <n v="103.66"/>
    <m/>
    <s v="Dybstrøelse"/>
    <n v="50.4"/>
    <n v="5224.4639999999999"/>
    <n v="0.01"/>
    <n v="52.244640000000004"/>
    <n v="82.09872"/>
    <n v="9.7299999999999998E-2"/>
    <n v="508.3403472"/>
    <n v="0.01"/>
    <n v="5.0834034719999996"/>
    <n v="7.9882054560000002"/>
    <n v="9.0086925456E-2"/>
  </r>
  <r>
    <s v="Kvæg"/>
    <n v="1203"/>
    <s v="1 årsopdræt (kvier/stude 6 mdr. - kælvning (27 mdr)/slagtning, tung race)"/>
    <x v="3"/>
    <s v="Dybstrøelse, lang ædeplads med fast gulv"/>
    <n v="120308"/>
    <x v="3"/>
    <n v="121511"/>
    <n v="0"/>
    <s v="Kvæggylle"/>
    <m/>
    <n v="50.4"/>
    <n v="0"/>
    <n v="5.0000000000000001E-3"/>
    <n v="0"/>
    <n v="0"/>
    <n v="9.7299999999999998E-2"/>
    <n v="0"/>
    <n v="0.01"/>
    <n v="0"/>
    <n v="0"/>
    <n v="0"/>
  </r>
  <r>
    <s v="Kvæg"/>
    <n v="1203"/>
    <s v="1 årsopdræt (kvier/stude 6 mdr. - kælvning (27 mdr)/slagtning, tung race)"/>
    <x v="3"/>
    <s v="Dybstrøelse, lang ædeplads med spalter (kanal, lin"/>
    <n v="120309"/>
    <x v="3"/>
    <n v="121512"/>
    <n v="0"/>
    <s v="Kvæggylle"/>
    <m/>
    <n v="50.4"/>
    <n v="0"/>
    <n v="5.0000000000000001E-3"/>
    <n v="0"/>
    <n v="0"/>
    <n v="9.7299999999999998E-2"/>
    <n v="0"/>
    <n v="0.01"/>
    <n v="0"/>
    <n v="0"/>
    <n v="0"/>
  </r>
  <r>
    <s v="Kvæg"/>
    <n v="1203"/>
    <s v="1 årsopdræt (kvier/stude 6 mdr. - kælvning (27 mdr)/slagtning, tung race)"/>
    <x v="3"/>
    <s v="Dybstrøelse, lang ædeplads med spalter (kanal, bag"/>
    <n v="120310"/>
    <x v="3"/>
    <n v="121513"/>
    <n v="0"/>
    <s v="Kvæggylle"/>
    <m/>
    <n v="50.4"/>
    <n v="0"/>
    <n v="5.0000000000000001E-3"/>
    <n v="0"/>
    <n v="0"/>
    <n v="9.7299999999999998E-2"/>
    <n v="0"/>
    <n v="0.01"/>
    <n v="0"/>
    <n v="0"/>
    <n v="0"/>
  </r>
  <r>
    <s v="Kvæg"/>
    <n v="1203"/>
    <s v="1 årsopdræt (kvier/stude 6 mdr. - kælvning (27 mdr)/slagtning, tung race)"/>
    <x v="3"/>
    <s v="Spaltegulvbokse"/>
    <n v="120312"/>
    <x v="4"/>
    <n v="121515"/>
    <n v="0"/>
    <s v="Kvæggylle"/>
    <m/>
    <n v="50.4"/>
    <n v="0"/>
    <n v="5.0000000000000001E-3"/>
    <n v="0"/>
    <n v="0"/>
    <n v="9.7299999999999998E-2"/>
    <n v="0"/>
    <n v="0.01"/>
    <n v="0"/>
    <n v="0"/>
    <n v="0"/>
  </r>
  <r>
    <s v="Kvæg"/>
    <n v="1203"/>
    <s v="1 årsopdræt (kvier/stude 6 mdr. - kælvning (27 mdr)/slagtning, tung race)"/>
    <x v="3"/>
    <s v="Sengestald, fast drænet gulv med skraber og ajleaf"/>
    <n v="120316"/>
    <x v="2"/>
    <n v="121519"/>
    <n v="0"/>
    <s v="Kvæggylle"/>
    <m/>
    <n v="50.4"/>
    <n v="0"/>
    <n v="5.0000000000000001E-3"/>
    <n v="0"/>
    <n v="0"/>
    <n v="9.7299999999999998E-2"/>
    <n v="0"/>
    <n v="0.01"/>
    <n v="0"/>
    <n v="0"/>
    <n v="0"/>
  </r>
  <r>
    <s v="Kvæg"/>
    <n v="1204"/>
    <s v="1 stk. slagtekalv, 0-6 mdr., tung race "/>
    <x v="4"/>
    <s v="Dybstrøelse (hele arealet)"/>
    <n v="120401"/>
    <x v="3"/>
    <n v="121605"/>
    <n v="485"/>
    <m/>
    <s v="Dybstrøelse"/>
    <n v="12.56"/>
    <n v="6091.6"/>
    <n v="0.01"/>
    <n v="60.916000000000004"/>
    <n v="95.725142857142856"/>
    <n v="9.7299999999999998E-2"/>
    <n v="592.71267999999998"/>
    <n v="0.01"/>
    <n v="5.9271267999999999"/>
    <n v="9.3140564000000001"/>
    <n v="0.10503919925714285"/>
  </r>
  <r>
    <s v="Kvæg"/>
    <n v="1204"/>
    <s v="1 stk. slagtekalv, 0-6 mdr., tung race"/>
    <x v="4"/>
    <s v="Dybstrøelse + kort ædeplads med fast gulv"/>
    <n v="120402"/>
    <x v="3"/>
    <n v="121606"/>
    <n v="0"/>
    <m/>
    <s v="Dybstrøelse"/>
    <n v="12.56"/>
    <n v="0"/>
    <n v="0.01"/>
    <n v="0"/>
    <n v="0"/>
    <n v="9.7299999999999998E-2"/>
    <n v="0"/>
    <n v="0.01"/>
    <n v="0"/>
    <n v="0"/>
    <n v="0"/>
  </r>
  <r>
    <s v="Kvæg"/>
    <n v="1205"/>
    <s v="1 stk. slagtekalve, 6 mdr. - slagtning (440 kg), tung race."/>
    <x v="5"/>
    <s v="Bindestald med grebning"/>
    <n v="120501"/>
    <x v="1"/>
    <n v="121706"/>
    <n v="5.1100000000000003"/>
    <s v="Fast gødning"/>
    <m/>
    <n v="23.5"/>
    <n v="120.08500000000001"/>
    <n v="5.0000000000000001E-3"/>
    <n v="0.6004250000000001"/>
    <n v="0.94352500000000017"/>
    <n v="9.7299999999999998E-2"/>
    <n v="11.6842705"/>
    <n v="0.01"/>
    <n v="0.11684270500000001"/>
    <n v="0.18360996500000001"/>
    <n v="1.1271349650000002E-3"/>
  </r>
  <r>
    <s v="Kvæg"/>
    <n v="1205"/>
    <s v="1 stk. slagtekalve, 6 mdr. - slagtning (440 kg), tung race."/>
    <x v="5"/>
    <s v="Bindestald med riste"/>
    <n v="120502"/>
    <x v="1"/>
    <n v="121707"/>
    <n v="0"/>
    <s v="Kvæggylle"/>
    <m/>
    <n v="23.5"/>
    <n v="0"/>
    <n v="5.0000000000000001E-3"/>
    <n v="0"/>
    <n v="0"/>
    <n v="9.7299999999999998E-2"/>
    <n v="0"/>
    <n v="0.01"/>
    <n v="0"/>
    <n v="0"/>
    <n v="0"/>
  </r>
  <r>
    <s v="Kvæg"/>
    <n v="1205"/>
    <s v="1 stk. slagtekalve, 6 mdr. - slagtning (440 kg), tung race."/>
    <x v="5"/>
    <s v="Dybstrøelse, hele arealet"/>
    <n v="120503"/>
    <x v="3"/>
    <n v="121708"/>
    <n v="376.81"/>
    <m/>
    <s v="Dybstrøelse"/>
    <n v="23.5"/>
    <n v="8855.0349999999999"/>
    <n v="0.01"/>
    <n v="88.550349999999995"/>
    <n v="139.15054999999998"/>
    <n v="9.7299999999999998E-2"/>
    <n v="861.59490549999998"/>
    <n v="0.01"/>
    <n v="8.6159490549999997"/>
    <n v="13.539348515"/>
    <n v="0.15268989851499998"/>
  </r>
  <r>
    <s v="Kvæg"/>
    <n v="1205"/>
    <s v="1 stk. slagtekalve, 6 mdr. - slagtning (440 kg), tung race."/>
    <x v="5"/>
    <s v="Dybstrøelse + kort ædeplads med fast gulv"/>
    <n v="120504"/>
    <x v="3"/>
    <n v="121709"/>
    <n v="139.69"/>
    <m/>
    <s v="Dybstrøelse"/>
    <n v="23.5"/>
    <n v="3282.7150000000001"/>
    <n v="0.01"/>
    <n v="32.827150000000003"/>
    <n v="51.585521428571433"/>
    <n v="9.7299999999999998E-2"/>
    <n v="319.40816949999999"/>
    <n v="0.01"/>
    <n v="3.1940816949999999"/>
    <n v="5.0192712349999997"/>
    <n v="5.6604792663571428E-2"/>
  </r>
  <r>
    <s v="Kvæg"/>
    <n v="1205"/>
    <s v="1 stk. slagtekalve, 6 mdr. - slagtning (440 kg), tung race."/>
    <x v="5"/>
    <s v="Dybstrøelse, lang ædeplads med fast gulv"/>
    <n v="120505"/>
    <x v="3"/>
    <n v="121710"/>
    <n v="0"/>
    <s v="Kvæggylle"/>
    <m/>
    <n v="23.5"/>
    <n v="0"/>
    <n v="5.0000000000000001E-3"/>
    <n v="0"/>
    <n v="0"/>
    <n v="9.7299999999999998E-2"/>
    <n v="0"/>
    <n v="0.01"/>
    <n v="0"/>
    <n v="0"/>
    <n v="0"/>
  </r>
  <r>
    <s v="Kvæg"/>
    <n v="1205"/>
    <s v="1 stk. slagtekalve, 6 mdr. - slagtning (440 kg), tung race."/>
    <x v="5"/>
    <s v="Dybstrøelse, lang ædeplads med spalter (kanal, lin"/>
    <n v="120506"/>
    <x v="3"/>
    <n v="121711"/>
    <n v="0"/>
    <s v="Kvæggylle"/>
    <m/>
    <n v="23.5"/>
    <n v="0"/>
    <n v="5.0000000000000001E-3"/>
    <n v="0"/>
    <n v="0"/>
    <n v="9.7299999999999998E-2"/>
    <n v="0"/>
    <n v="0.01"/>
    <n v="0"/>
    <n v="0"/>
    <n v="0"/>
  </r>
  <r>
    <s v="Kvæg"/>
    <n v="1205"/>
    <s v="1 stk. slagtekalve, 6 mdr. - slagtning (440 kg), tung race."/>
    <x v="5"/>
    <s v="Dybstrøelse, lang ædeplads med spalter (kanal, bag"/>
    <n v="120507"/>
    <x v="3"/>
    <n v="121712"/>
    <n v="0"/>
    <s v="Kvæggylle"/>
    <m/>
    <n v="23.5"/>
    <n v="0"/>
    <n v="5.0000000000000001E-3"/>
    <n v="0"/>
    <n v="0"/>
    <n v="9.7299999999999998E-2"/>
    <n v="0"/>
    <n v="0.01"/>
    <n v="0"/>
    <n v="0"/>
    <n v="0"/>
  </r>
  <r>
    <s v="Kvæg"/>
    <n v="1205"/>
    <s v="1 stk. slagtekalve, 6 mdr. - slagtning (440 kg), tung race."/>
    <x v="5"/>
    <s v="Spaltegulvbokse"/>
    <n v="120509"/>
    <x v="4"/>
    <n v="121714"/>
    <n v="0"/>
    <s v="Kvæggylle"/>
    <m/>
    <n v="23.5"/>
    <n v="0"/>
    <n v="5.0000000000000001E-3"/>
    <n v="0"/>
    <n v="0"/>
    <n v="9.7299999999999998E-2"/>
    <n v="0"/>
    <n v="0.01"/>
    <n v="0"/>
    <n v="0"/>
    <n v="0"/>
  </r>
  <r>
    <s v="Kvæg"/>
    <n v="1205"/>
    <s v="1 stk. slagtekalve, 6 mdr. - slagtning (440 kg), tung race."/>
    <x v="5"/>
    <s v="Sengestald med fast gulv"/>
    <n v="120510"/>
    <x v="2"/>
    <n v="121715"/>
    <n v="0"/>
    <s v="Kvæggylle"/>
    <m/>
    <n v="23.5"/>
    <n v="0"/>
    <n v="5.0000000000000001E-3"/>
    <n v="0"/>
    <n v="0"/>
    <n v="9.7299999999999998E-2"/>
    <n v="0"/>
    <n v="0.01"/>
    <n v="0"/>
    <n v="0"/>
    <n v="0"/>
  </r>
  <r>
    <s v="Kvæg"/>
    <n v="1205"/>
    <s v="1 stk. slagtekalve, 6 mdr. - slagtning (440 kg), tung race."/>
    <x v="5"/>
    <s v="Sengestald med spalter (kanal, linespil)"/>
    <n v="120511"/>
    <x v="2"/>
    <n v="121716"/>
    <n v="0"/>
    <s v="Kvæggylle"/>
    <m/>
    <n v="23.5"/>
    <n v="0"/>
    <n v="5.0000000000000001E-3"/>
    <n v="0"/>
    <n v="0"/>
    <n v="9.7299999999999998E-2"/>
    <n v="0"/>
    <n v="0.01"/>
    <n v="0"/>
    <n v="0"/>
    <n v="0"/>
  </r>
  <r>
    <s v="Kvæg"/>
    <n v="1205"/>
    <s v="1 stk. slagtekalve, 6 mdr. - slagtning (440 kg), tung race."/>
    <x v="5"/>
    <s v="Sengestald med spalter (kanal, bagskyl eller ringk"/>
    <n v="120512"/>
    <x v="2"/>
    <n v="121717"/>
    <n v="0"/>
    <s v="Kvæggylle"/>
    <m/>
    <n v="23.5"/>
    <n v="0"/>
    <n v="5.0000000000000001E-3"/>
    <n v="0"/>
    <n v="0"/>
    <n v="9.7299999999999998E-2"/>
    <n v="0"/>
    <n v="0.01"/>
    <n v="0"/>
    <n v="0"/>
    <n v="0"/>
  </r>
  <r>
    <s v="Kvæg"/>
    <n v="1205"/>
    <s v="1 stk. slagtekalve, 6 mdr. - slagtning (440 kg), tung race."/>
    <x v="5"/>
    <s v="Sengestald, fast drænet gulv med skraber og ajleaf"/>
    <n v="120519"/>
    <x v="2"/>
    <n v="121724"/>
    <n v="0"/>
    <s v="Kvæggylle"/>
    <m/>
    <n v="23.5"/>
    <n v="0"/>
    <n v="5.0000000000000001E-3"/>
    <n v="0"/>
    <n v="0"/>
    <n v="9.7299999999999998E-2"/>
    <n v="0"/>
    <n v="0.01"/>
    <n v="0"/>
    <n v="0"/>
    <n v="0"/>
  </r>
  <r>
    <s v="Kvæg"/>
    <n v="1206"/>
    <s v="1 avlstyr (1 årsdyr), tung race, over 440 kg"/>
    <x v="6"/>
    <s v="Bindestald med grebning"/>
    <n v="120601"/>
    <x v="1"/>
    <n v="121807"/>
    <n v="0"/>
    <s v="Fast gødning"/>
    <m/>
    <n v="50.4"/>
    <n v="0"/>
    <n v="5.0000000000000001E-3"/>
    <n v="0"/>
    <n v="0"/>
    <n v="9.7299999999999998E-2"/>
    <n v="0"/>
    <n v="0.01"/>
    <n v="0"/>
    <n v="0"/>
    <n v="0"/>
  </r>
  <r>
    <s v="Kvæg"/>
    <n v="1206"/>
    <s v="1 avlstyr (1 årsdyr), tung race, over 440 kg"/>
    <x v="6"/>
    <s v="Bindestald med riste"/>
    <n v="120602"/>
    <x v="1"/>
    <n v="121808"/>
    <n v="0"/>
    <s v="Kvæggylle"/>
    <m/>
    <n v="50.4"/>
    <n v="0"/>
    <n v="5.0000000000000001E-3"/>
    <n v="0"/>
    <n v="0"/>
    <n v="9.7299999999999998E-2"/>
    <n v="0"/>
    <n v="0.01"/>
    <n v="0"/>
    <n v="0"/>
    <n v="0"/>
  </r>
  <r>
    <s v="Kvæg"/>
    <n v="1206"/>
    <s v="1 avlstyr (1 årsdyr), tung race, over 440 kg"/>
    <x v="6"/>
    <s v="Dybstrøelse, hele arealet"/>
    <n v="120603"/>
    <x v="3"/>
    <n v="121809"/>
    <n v="9.8699999999999992"/>
    <m/>
    <s v="Dybstrøelse"/>
    <n v="50.4"/>
    <n v="497.44799999999992"/>
    <n v="0.01"/>
    <n v="4.9744799999999989"/>
    <n v="7.8170399999999987"/>
    <n v="9.7299999999999998E-2"/>
    <n v="48.401690399999993"/>
    <n v="0.01"/>
    <n v="0.48401690399999991"/>
    <n v="0.76059799199999989"/>
    <n v="8.5776379919999986E-3"/>
  </r>
  <r>
    <s v="Kvæg"/>
    <n v="1206"/>
    <s v="1 avlstyr (1 årsdyr), tung race, over 440 kg"/>
    <x v="6"/>
    <s v="Dybstrøelse + kort ædeplads med fast gulv"/>
    <n v="120604"/>
    <x v="3"/>
    <n v="121810"/>
    <n v="0"/>
    <m/>
    <s v="Dybstrøelse"/>
    <n v="50.4"/>
    <n v="0"/>
    <n v="0.01"/>
    <n v="0"/>
    <n v="0"/>
    <n v="9.7299999999999998E-2"/>
    <n v="0"/>
    <n v="0.01"/>
    <n v="0"/>
    <n v="0"/>
    <n v="0"/>
  </r>
  <r>
    <s v="Kvæg"/>
    <n v="1206"/>
    <s v="1 avlstyr (1 årsdyr), tung race, over 440 kg"/>
    <x v="6"/>
    <s v="Dybstrøelse, lang ædeplads med fast gulv"/>
    <n v="120605"/>
    <x v="3"/>
    <n v="121811"/>
    <n v="0"/>
    <s v="Kvæggylle"/>
    <s v="Dybstrøelse"/>
    <n v="50.4"/>
    <n v="0"/>
    <n v="5.0000000000000001E-3"/>
    <n v="0"/>
    <n v="0"/>
    <n v="9.7299999999999998E-2"/>
    <n v="0"/>
    <n v="0.01"/>
    <n v="0"/>
    <n v="0"/>
    <n v="0"/>
  </r>
  <r>
    <s v="Kvæg"/>
    <n v="1206"/>
    <s v="1 avlstyr (1 årsdyr), tung race, over 440 kg"/>
    <x v="6"/>
    <s v="Dybstrøelse, lang ædeplads med spalter (kanal, lin"/>
    <n v="120606"/>
    <x v="3"/>
    <n v="121812"/>
    <n v="0"/>
    <s v="Kvæggylle"/>
    <m/>
    <n v="50.4"/>
    <n v="0"/>
    <n v="5.0000000000000001E-3"/>
    <n v="0"/>
    <n v="0"/>
    <n v="9.7299999999999998E-2"/>
    <n v="0"/>
    <n v="0.01"/>
    <n v="0"/>
    <n v="0"/>
    <n v="0"/>
  </r>
  <r>
    <s v="Kvæg"/>
    <n v="1206"/>
    <s v="1 avlstyr (1 årsdyr), tung race, over 440 kg"/>
    <x v="6"/>
    <s v="Dybstrøelse, lang ædeplads med spalter (kanal, bag"/>
    <n v="120607"/>
    <x v="3"/>
    <n v="121813"/>
    <n v="0"/>
    <s v="Kvæggylle"/>
    <s v="Dybstrøelse"/>
    <n v="50.4"/>
    <n v="0"/>
    <n v="5.0000000000000001E-3"/>
    <n v="0"/>
    <n v="0"/>
    <n v="9.7299999999999998E-2"/>
    <n v="0"/>
    <n v="0.01"/>
    <n v="0"/>
    <n v="0"/>
    <n v="0"/>
  </r>
  <r>
    <s v="Kvæg"/>
    <n v="1206"/>
    <s v="1 avlstyr (1 årsdyr), tung race, over 440 kg"/>
    <x v="6"/>
    <s v="Spaltegulvbokse"/>
    <n v="120609"/>
    <x v="4"/>
    <n v="121815"/>
    <n v="0"/>
    <s v="Kvæggylle"/>
    <m/>
    <n v="50.4"/>
    <n v="0"/>
    <n v="5.0000000000000001E-3"/>
    <n v="0"/>
    <n v="0"/>
    <n v="9.7299999999999998E-2"/>
    <n v="0"/>
    <n v="0.01"/>
    <n v="0"/>
    <n v="0"/>
    <n v="0"/>
  </r>
  <r>
    <s v="Kvæg"/>
    <n v="1206"/>
    <s v="1 avlstyr (1 årsdyr), tung race, over 440 kg"/>
    <x v="6"/>
    <s v="Sengestald med fast gulv"/>
    <n v="120610"/>
    <x v="2"/>
    <n v="121816"/>
    <n v="0"/>
    <s v="Kvæggylle"/>
    <m/>
    <n v="50.4"/>
    <n v="0"/>
    <n v="5.0000000000000001E-3"/>
    <n v="0"/>
    <n v="0"/>
    <n v="9.7299999999999998E-2"/>
    <n v="0"/>
    <n v="0.01"/>
    <n v="0"/>
    <n v="0"/>
    <n v="0"/>
  </r>
  <r>
    <s v="Kvæg"/>
    <n v="1206"/>
    <s v="1 avlstyr (1 årsdyr), tung race, over 440 kg"/>
    <x v="6"/>
    <s v="Sengestald med spaltegulv (kanal, linespil)"/>
    <n v="120611"/>
    <x v="2"/>
    <n v="121817"/>
    <n v="0"/>
    <s v="Kvæggylle"/>
    <m/>
    <n v="50.4"/>
    <n v="0"/>
    <n v="5.0000000000000001E-3"/>
    <n v="0"/>
    <n v="0"/>
    <n v="9.7299999999999998E-2"/>
    <n v="0"/>
    <n v="0.01"/>
    <n v="0"/>
    <n v="0"/>
    <n v="0"/>
  </r>
  <r>
    <s v="Kvæg"/>
    <n v="1206"/>
    <s v="1 avlstyr (1 årsdyr), tung race, over 440 kg"/>
    <x v="6"/>
    <s v="Sengestald med spaltegulv (kanal, bagskyl eller ri"/>
    <n v="120612"/>
    <x v="2"/>
    <n v="121818"/>
    <n v="0"/>
    <s v="Kvæggylle"/>
    <m/>
    <n v="50.4"/>
    <n v="0"/>
    <n v="5.0000000000000001E-3"/>
    <n v="0"/>
    <n v="0"/>
    <n v="9.7299999999999998E-2"/>
    <n v="0"/>
    <n v="0.01"/>
    <n v="0"/>
    <n v="0"/>
    <n v="0"/>
  </r>
  <r>
    <s v="Kvæg"/>
    <n v="1206"/>
    <s v="1 avlstyr (1 årsdyr), tung race, over 440 kg"/>
    <x v="6"/>
    <s v="Sengestald, fast drænet gulv med skraber og ajleaf"/>
    <n v="120619"/>
    <x v="2"/>
    <n v="121825"/>
    <n v="0"/>
    <s v="Kvæggylle"/>
    <m/>
    <n v="50.4"/>
    <n v="0"/>
    <n v="5.0000000000000001E-3"/>
    <n v="0"/>
    <n v="0"/>
    <n v="9.7299999999999998E-2"/>
    <n v="0"/>
    <n v="0.01"/>
    <n v="0"/>
    <n v="0"/>
    <n v="0"/>
  </r>
  <r>
    <s v="Kvæg"/>
    <n v="1231"/>
    <s v="1 årsko uden opdræt, malkekvæg, Jersey"/>
    <x v="1"/>
    <s v="Bindestald med grebning"/>
    <n v="123101"/>
    <x v="1"/>
    <n v="124332"/>
    <n v="0"/>
    <s v="Fast gødning"/>
    <m/>
    <n v="130.5"/>
    <n v="0"/>
    <n v="5.0000000000000001E-3"/>
    <n v="0"/>
    <n v="0"/>
    <n v="7.22E-2"/>
    <n v="0"/>
    <n v="0.01"/>
    <n v="0"/>
    <n v="0"/>
    <n v="0"/>
  </r>
  <r>
    <s v="Kvæg"/>
    <n v="1231"/>
    <s v="1 årsko uden opdræt, malkekvæg, Jersey"/>
    <x v="1"/>
    <s v="Bindestald med riste"/>
    <n v="123102"/>
    <x v="1"/>
    <n v="124333"/>
    <n v="0"/>
    <s v="Kvæggylle"/>
    <m/>
    <n v="130.5"/>
    <n v="0"/>
    <n v="5.0000000000000001E-3"/>
    <n v="0"/>
    <n v="0"/>
    <n v="7.22E-2"/>
    <n v="0"/>
    <n v="0.01"/>
    <n v="0"/>
    <n v="0"/>
    <n v="0"/>
  </r>
  <r>
    <s v="Kvæg"/>
    <n v="1231"/>
    <s v="1 årsko uden opdræt, malkekvæg, Jersey"/>
    <x v="1"/>
    <s v="Sengestald med fast gulv"/>
    <n v="123103"/>
    <x v="2"/>
    <n v="124334"/>
    <n v="0"/>
    <s v="Kvæggylle"/>
    <m/>
    <n v="130.5"/>
    <n v="0"/>
    <n v="5.0000000000000001E-3"/>
    <n v="0"/>
    <n v="0"/>
    <n v="7.22E-2"/>
    <n v="0"/>
    <n v="0.01"/>
    <n v="0"/>
    <n v="0"/>
    <n v="0"/>
  </r>
  <r>
    <s v="Kvæg"/>
    <n v="1231"/>
    <s v="1 årsko uden opdræt, malkekvæg, Jersey"/>
    <x v="1"/>
    <s v="Sengestald med spalter (kanal, linespil)"/>
    <n v="123104"/>
    <x v="2"/>
    <n v="124335"/>
    <n v="0"/>
    <s v="Kvæggylle"/>
    <m/>
    <n v="130.5"/>
    <n v="0"/>
    <n v="5.0000000000000001E-3"/>
    <n v="0"/>
    <n v="0"/>
    <n v="7.22E-2"/>
    <n v="0"/>
    <n v="0.01"/>
    <n v="0"/>
    <n v="0"/>
    <n v="0"/>
  </r>
  <r>
    <s v="Kvæg"/>
    <n v="1231"/>
    <s v="1 årsko uden opdræt, malkekvæg, Jersey"/>
    <x v="1"/>
    <s v="Sengestald med spalter (kanal, bagskyl eller ringk"/>
    <n v="123105"/>
    <x v="2"/>
    <n v="124336"/>
    <n v="0"/>
    <s v="Kvæggylle"/>
    <m/>
    <n v="130.5"/>
    <n v="0"/>
    <n v="5.0000000000000001E-3"/>
    <n v="0"/>
    <n v="0"/>
    <n v="7.22E-2"/>
    <n v="0"/>
    <n v="0.01"/>
    <n v="0"/>
    <n v="0"/>
    <n v="0"/>
  </r>
  <r>
    <s v="Kvæg"/>
    <n v="1231"/>
    <s v="1 årsko uden opdræt, malkekvæg, Jersey"/>
    <x v="1"/>
    <s v="Dybstrøelse (hele arealet)"/>
    <n v="123106"/>
    <x v="3"/>
    <n v="124337"/>
    <n v="0"/>
    <m/>
    <s v="Dybstrøelse"/>
    <n v="130.5"/>
    <n v="0"/>
    <n v="0.01"/>
    <n v="0"/>
    <n v="0"/>
    <n v="7.22E-2"/>
    <n v="0"/>
    <n v="0.01"/>
    <n v="0"/>
    <n v="0"/>
    <n v="0"/>
  </r>
  <r>
    <s v="Kvæg"/>
    <n v="1231"/>
    <s v="1 årsko uden opdræt, malkekvæg, Jersey"/>
    <x v="1"/>
    <s v="Dybstrøelse, lang ædeplads med fast gulv"/>
    <n v="123107"/>
    <x v="3"/>
    <n v="124338"/>
    <n v="0"/>
    <s v="Kvæggylle"/>
    <m/>
    <n v="130.5"/>
    <n v="0"/>
    <n v="5.0000000000000001E-3"/>
    <n v="0"/>
    <n v="0"/>
    <n v="7.22E-2"/>
    <n v="0"/>
    <n v="0.01"/>
    <n v="0"/>
    <n v="0"/>
    <n v="0"/>
  </r>
  <r>
    <s v="Kvæg"/>
    <n v="1231"/>
    <s v="1 årsko uden opdræt, malkekvæg, Jersey"/>
    <x v="1"/>
    <s v="Dybstrøelse, lang ædeplads med spalter (kanal, lin"/>
    <n v="123108"/>
    <x v="3"/>
    <n v="124339"/>
    <n v="0"/>
    <s v="Kvæggylle"/>
    <m/>
    <n v="130.5"/>
    <n v="0"/>
    <n v="5.0000000000000001E-3"/>
    <n v="0"/>
    <n v="0"/>
    <n v="7.22E-2"/>
    <n v="0"/>
    <n v="0.01"/>
    <n v="0"/>
    <n v="0"/>
    <n v="0"/>
  </r>
  <r>
    <s v="Kvæg"/>
    <n v="1231"/>
    <s v="1 årsko uden opdræt, malkekvæg, Jersey"/>
    <x v="1"/>
    <s v="Dybstrøelse, lang ædeplads med spalter (kanal, bag"/>
    <n v="123109"/>
    <x v="3"/>
    <n v="124340"/>
    <n v="0"/>
    <s v="Kvæggylle"/>
    <m/>
    <n v="130.5"/>
    <n v="0"/>
    <n v="5.0000000000000001E-3"/>
    <n v="0"/>
    <n v="0"/>
    <n v="7.22E-2"/>
    <n v="0"/>
    <n v="0.01"/>
    <n v="0"/>
    <n v="0"/>
    <n v="0"/>
  </r>
  <r>
    <s v="Kvæg"/>
    <n v="1231"/>
    <s v="1 årsko uden opdræt, malkekvæg, Jersey"/>
    <x v="1"/>
    <s v="Sengestald, fast drænet gulv med skraber og ajleaf"/>
    <n v="123114"/>
    <x v="2"/>
    <n v="124345"/>
    <n v="0"/>
    <s v="Kvæggylle"/>
    <m/>
    <n v="130.5"/>
    <n v="0"/>
    <n v="5.0000000000000001E-3"/>
    <n v="0"/>
    <n v="0"/>
    <n v="7.22E-2"/>
    <n v="0"/>
    <n v="0.01"/>
    <n v="0"/>
    <n v="0"/>
    <n v="0"/>
  </r>
  <r>
    <s v="Kvæg"/>
    <n v="1232"/>
    <s v="1 årsopdræt (småkalv 0-6 mdr., Jersey)"/>
    <x v="2"/>
    <s v="Dybstrøelse (hele arealet)"/>
    <n v="123201"/>
    <x v="3"/>
    <n v="124433"/>
    <n v="5.97"/>
    <m/>
    <s v="Dybstrøelse"/>
    <n v="20.100000000000001"/>
    <n v="119.997"/>
    <n v="0.01"/>
    <n v="1.19997"/>
    <n v="1.8856671428571428"/>
    <n v="9.7299999999999998E-2"/>
    <n v="11.6757081"/>
    <n v="0.01"/>
    <n v="0.116757081"/>
    <n v="0.183475413"/>
    <n v="2.0691425558571428E-3"/>
  </r>
  <r>
    <s v="Kvæg"/>
    <n v="1232"/>
    <s v="1 årsopdræt (småkalv 0-6 mdr., Jersey)"/>
    <x v="2"/>
    <s v="Dybstrøelse + kort ædeplads med fast gulv"/>
    <n v="123202"/>
    <x v="3"/>
    <n v="124434"/>
    <n v="0"/>
    <m/>
    <s v="Dybstrøelse"/>
    <n v="20.100000000000001"/>
    <n v="0"/>
    <n v="0.01"/>
    <n v="0"/>
    <n v="0"/>
    <n v="9.7299999999999998E-2"/>
    <n v="0"/>
    <n v="0.01"/>
    <n v="0"/>
    <n v="0"/>
    <n v="0"/>
  </r>
  <r>
    <s v="Kvæg"/>
    <n v="1233"/>
    <s v="1 årsopdræt (kvier/stude 6 mdr. - kælvning (25 mdr)/slagtning, Jersey)"/>
    <x v="3"/>
    <s v="Bindestald med grebning"/>
    <n v="123301"/>
    <x v="1"/>
    <n v="124534"/>
    <n v="0"/>
    <s v="Fast gødning"/>
    <m/>
    <n v="37.9"/>
    <n v="0"/>
    <n v="5.0000000000000001E-3"/>
    <n v="0"/>
    <n v="0"/>
    <n v="9.7299999999999998E-2"/>
    <n v="0"/>
    <n v="0.01"/>
    <n v="0"/>
    <n v="0"/>
    <n v="0"/>
  </r>
  <r>
    <s v="Kvæg"/>
    <n v="1233"/>
    <s v="1 årsopdræt (kvier/stude 6 mdr. - kælvning (25 mdr)/slagtning, Jersey)"/>
    <x v="3"/>
    <s v="Bindestald med riste"/>
    <n v="123302"/>
    <x v="1"/>
    <n v="124535"/>
    <n v="0"/>
    <s v="Kvæggylle"/>
    <m/>
    <n v="37.9"/>
    <n v="0"/>
    <n v="5.0000000000000001E-3"/>
    <n v="0"/>
    <n v="0"/>
    <n v="9.7299999999999998E-2"/>
    <n v="0"/>
    <n v="0.01"/>
    <n v="0"/>
    <n v="0"/>
    <n v="0"/>
  </r>
  <r>
    <s v="Kvæg"/>
    <n v="1233"/>
    <s v="1 årsopdræt (kvier/stude 6 mdr. - kælvning (25 mdr)/slagtning, Jersey)"/>
    <x v="3"/>
    <s v="Sengestald med fast gulv"/>
    <n v="123303"/>
    <x v="2"/>
    <n v="124536"/>
    <n v="0"/>
    <s v="Kvæggylle"/>
    <m/>
    <n v="37.9"/>
    <n v="0"/>
    <n v="5.0000000000000001E-3"/>
    <n v="0"/>
    <n v="0"/>
    <n v="9.7299999999999998E-2"/>
    <n v="0"/>
    <n v="0.01"/>
    <n v="0"/>
    <n v="0"/>
    <n v="0"/>
  </r>
  <r>
    <s v="Kvæg"/>
    <n v="1233"/>
    <s v="1 årsopdræt (kvier/stude 6 mdr. - kælvning (25 mdr)/slagtning, Jersey)"/>
    <x v="3"/>
    <s v="Sengestald med spaltegulv (kanal, linespil)"/>
    <n v="123304"/>
    <x v="2"/>
    <n v="124537"/>
    <n v="0"/>
    <s v="Kvæggylle"/>
    <m/>
    <n v="37.9"/>
    <n v="0"/>
    <n v="5.0000000000000001E-3"/>
    <n v="0"/>
    <n v="0"/>
    <n v="9.7299999999999998E-2"/>
    <n v="0"/>
    <n v="0.01"/>
    <n v="0"/>
    <n v="0"/>
    <n v="0"/>
  </r>
  <r>
    <s v="Kvæg"/>
    <n v="1233"/>
    <s v="1 årsopdræt (kvier/stude 6 mdr. - kælvning (25 mdr)/slagtning, Jersey)"/>
    <x v="3"/>
    <s v="Sengestald med spaltegulv (kanal, bagskyl eller ri"/>
    <n v="123305"/>
    <x v="2"/>
    <n v="124538"/>
    <n v="0"/>
    <s v="Kvæggylle"/>
    <m/>
    <n v="37.9"/>
    <n v="0"/>
    <n v="5.0000000000000001E-3"/>
    <n v="0"/>
    <n v="0"/>
    <n v="9.7299999999999998E-2"/>
    <n v="0"/>
    <n v="0.01"/>
    <n v="0"/>
    <n v="0"/>
    <n v="0"/>
  </r>
  <r>
    <s v="Kvæg"/>
    <n v="1233"/>
    <s v="1 årsopdræt (kvier/stude 6 mdr. - kælvning (25 mdr)/slagtning, Jersey)"/>
    <x v="3"/>
    <s v="Dybstrøelse, hele arealet"/>
    <n v="123306"/>
    <x v="3"/>
    <n v="124539"/>
    <n v="72.56"/>
    <m/>
    <s v="Dybstrøelse"/>
    <n v="37.9"/>
    <n v="2750.0239999999999"/>
    <n v="0.01"/>
    <n v="27.500239999999998"/>
    <n v="43.214662857142855"/>
    <n v="9.7299999999999998E-2"/>
    <n v="267.57733519999999"/>
    <n v="0.01"/>
    <n v="2.6757733519999998"/>
    <n v="4.2047866960000002"/>
    <n v="4.7419449553142853E-2"/>
  </r>
  <r>
    <s v="Kvæg"/>
    <n v="1233"/>
    <s v="1 årsopdræt (kvier/stude 6 mdr. - kælvning (25 mdr)/slagtning, Jersey)"/>
    <x v="3"/>
    <s v="Dybstrøelse, + kort ædeplads med fast gulv"/>
    <n v="123307"/>
    <x v="3"/>
    <n v="124540"/>
    <n v="0"/>
    <m/>
    <s v="Dybstrøelse"/>
    <n v="37.9"/>
    <n v="0"/>
    <n v="0.01"/>
    <n v="0"/>
    <n v="0"/>
    <n v="9.7299999999999998E-2"/>
    <n v="0"/>
    <n v="0.01"/>
    <n v="0"/>
    <n v="0"/>
    <n v="0"/>
  </r>
  <r>
    <s v="Kvæg"/>
    <n v="1233"/>
    <s v="1 årsopdræt (kvier/stude 6 mdr. - kælvning (25 mdr)/slagtning, Jersey)"/>
    <x v="3"/>
    <s v="Dybstrøelse, lang ædeplads med fast gulv"/>
    <n v="123308"/>
    <x v="3"/>
    <n v="124541"/>
    <n v="0"/>
    <s v="Kvæggylle"/>
    <m/>
    <n v="37.9"/>
    <n v="0"/>
    <n v="5.0000000000000001E-3"/>
    <n v="0"/>
    <n v="0"/>
    <n v="9.7299999999999998E-2"/>
    <n v="0"/>
    <n v="0.01"/>
    <n v="0"/>
    <n v="0"/>
    <n v="0"/>
  </r>
  <r>
    <s v="Kvæg"/>
    <n v="1233"/>
    <s v="1 årsopdræt (kvier/stude 6 mdr. - kælvning (25 mdr)/slagtning, Jersey)"/>
    <x v="3"/>
    <s v="Dybstrøelse, lang ædeplads med spalter (kanal, lin"/>
    <n v="123309"/>
    <x v="3"/>
    <n v="124542"/>
    <n v="0"/>
    <s v="Kvæggylle"/>
    <m/>
    <n v="37.9"/>
    <n v="0"/>
    <n v="5.0000000000000001E-3"/>
    <n v="0"/>
    <n v="0"/>
    <n v="9.7299999999999998E-2"/>
    <n v="0"/>
    <n v="0.01"/>
    <n v="0"/>
    <n v="0"/>
    <n v="0"/>
  </r>
  <r>
    <s v="Kvæg"/>
    <n v="1233"/>
    <s v="1 årsopdræt (kvier/stude 6 mdr. - kælvning (25 mdr)/slagtning, Jersey)"/>
    <x v="3"/>
    <s v="Dybstrøelse, lang ædeplads med spalter (kanal, bag"/>
    <n v="123310"/>
    <x v="3"/>
    <n v="124543"/>
    <n v="0"/>
    <s v="Kvæggylle"/>
    <m/>
    <n v="37.9"/>
    <n v="0"/>
    <n v="5.0000000000000001E-3"/>
    <n v="0"/>
    <n v="0"/>
    <n v="9.7299999999999998E-2"/>
    <n v="0"/>
    <n v="0.01"/>
    <n v="0"/>
    <n v="0"/>
    <n v="0"/>
  </r>
  <r>
    <s v="Kvæg"/>
    <n v="1233"/>
    <s v="1 årsopdræt (kvier/stude 6 mdr. - kælvning (25 mdr)/slagtning, Jersey)"/>
    <x v="3"/>
    <s v="Spaltegulvbokse"/>
    <n v="123312"/>
    <x v="4"/>
    <n v="124545"/>
    <n v="0"/>
    <s v="Kvæggylle"/>
    <m/>
    <n v="37.9"/>
    <n v="0"/>
    <n v="5.0000000000000001E-3"/>
    <n v="0"/>
    <n v="0"/>
    <n v="9.7299999999999998E-2"/>
    <n v="0"/>
    <n v="0.01"/>
    <n v="0"/>
    <n v="0"/>
    <n v="0"/>
  </r>
  <r>
    <s v="Kvæg"/>
    <n v="1233"/>
    <s v="1 årsopdræt (kvier/stude 6 mdr. - kælvning (25 mdr)/slagtning, Jersey)"/>
    <x v="3"/>
    <s v="Sengestald, fast drænet gulv med skraber og ajleaf"/>
    <n v="123316"/>
    <x v="2"/>
    <n v="124549"/>
    <n v="0"/>
    <s v="Kvæggylle"/>
    <m/>
    <n v="37.9"/>
    <n v="0"/>
    <n v="5.0000000000000001E-3"/>
    <n v="0"/>
    <n v="0"/>
    <n v="9.7299999999999998E-2"/>
    <n v="0"/>
    <n v="0.01"/>
    <n v="0"/>
    <n v="0"/>
    <n v="0"/>
  </r>
  <r>
    <s v="Kvæg"/>
    <n v="1234"/>
    <s v="1 stk. slagtekalv, 0-6 mdr., Jersey."/>
    <x v="4"/>
    <s v="Dybstrøelse (hele arealet)"/>
    <n v="123401"/>
    <x v="3"/>
    <n v="124635"/>
    <n v="8.31"/>
    <m/>
    <s v="Dybstrøelse"/>
    <n v="9.11"/>
    <n v="75.704099999999997"/>
    <n v="0.01"/>
    <n v="0.75704099999999996"/>
    <n v="1.1896358571428571"/>
    <n v="9.7299999999999998E-2"/>
    <n v="7.3660089299999996"/>
    <n v="0.01"/>
    <n v="7.3660089299999995E-2"/>
    <n v="0.1157515689"/>
    <n v="1.3053874260428571E-3"/>
  </r>
  <r>
    <s v="Kvæg"/>
    <n v="1234"/>
    <s v="1 stk. slagtekalv, 0-6 mdr., Jersey."/>
    <x v="4"/>
    <s v="Dybstrøelse + kort ædeplads med fast gulv"/>
    <n v="123402"/>
    <x v="3"/>
    <n v="124636"/>
    <n v="0"/>
    <m/>
    <s v="Dybstrøelse"/>
    <n v="9.11"/>
    <n v="0"/>
    <n v="0.01"/>
    <n v="0"/>
    <n v="0"/>
    <n v="9.7299999999999998E-2"/>
    <n v="0"/>
    <n v="0.01"/>
    <n v="0"/>
    <n v="0"/>
    <n v="0"/>
  </r>
  <r>
    <s v="Kvæg"/>
    <n v="1235"/>
    <s v="1 stk. slagtekalve 6 mdr. - slagtning (328 kg), Jersey."/>
    <x v="5"/>
    <s v="Bindestald med grebning"/>
    <n v="123501"/>
    <x v="1"/>
    <n v="124736"/>
    <n v="0"/>
    <s v="Fast gødning"/>
    <m/>
    <n v="18.399999999999999"/>
    <n v="0"/>
    <n v="5.0000000000000001E-3"/>
    <n v="0"/>
    <n v="0"/>
    <n v="9.7299999999999998E-2"/>
    <n v="0"/>
    <n v="0.01"/>
    <n v="0"/>
    <n v="0"/>
    <n v="0"/>
  </r>
  <r>
    <s v="Kvæg"/>
    <n v="1235"/>
    <s v="1 stk. slagtekalve 6 mdr. - slagtning (328 kg), Jersey."/>
    <x v="5"/>
    <s v="Bindestald med riste"/>
    <n v="123502"/>
    <x v="1"/>
    <n v="124737"/>
    <n v="0"/>
    <s v="Kvæggylle"/>
    <m/>
    <n v="18.399999999999999"/>
    <n v="0"/>
    <n v="5.0000000000000001E-3"/>
    <n v="0"/>
    <n v="0"/>
    <n v="9.7299999999999998E-2"/>
    <n v="0"/>
    <n v="0.01"/>
    <n v="0"/>
    <n v="0"/>
    <n v="0"/>
  </r>
  <r>
    <s v="Kvæg"/>
    <n v="1235"/>
    <s v="1 stk. slagtekalve 6 mdr. - slagtning (328 kg), Jersey."/>
    <x v="5"/>
    <s v="Dybstrøelse, hele arealet"/>
    <n v="123503"/>
    <x v="3"/>
    <n v="124738"/>
    <n v="31.85"/>
    <m/>
    <s v="Dybstrøelse"/>
    <n v="18.399999999999999"/>
    <n v="586.04"/>
    <n v="0.01"/>
    <n v="5.8603999999999994"/>
    <n v="9.2091999999999992"/>
    <n v="9.7299999999999998E-2"/>
    <n v="57.021691999999994"/>
    <n v="0.01"/>
    <n v="0.5702169199999999"/>
    <n v="0.89605515999999985"/>
    <n v="1.0105255159999998E-2"/>
  </r>
  <r>
    <s v="Kvæg"/>
    <n v="1235"/>
    <s v="1 stk. slagtekalve 6 mdr. - slagtning (328 kg), Jersey."/>
    <x v="5"/>
    <s v="Dybstrøelse hele arealet+kort ædeplads,fast gulv"/>
    <n v="123504"/>
    <x v="3"/>
    <n v="124739"/>
    <n v="0"/>
    <m/>
    <s v="Dybstrøelse"/>
    <n v="18.399999999999999"/>
    <n v="0"/>
    <n v="0.01"/>
    <n v="0"/>
    <n v="0"/>
    <n v="9.7299999999999998E-2"/>
    <n v="0"/>
    <n v="0.01"/>
    <n v="0"/>
    <n v="0"/>
    <n v="0"/>
  </r>
  <r>
    <s v="Kvæg"/>
    <n v="1235"/>
    <s v="1 stk. slagtekalve 6 mdr. - slagtning (328 kg), Jersey."/>
    <x v="5"/>
    <s v="Dybstrøelse, lang ædeplads,fast gulv"/>
    <n v="123505"/>
    <x v="3"/>
    <n v="124740"/>
    <n v="0"/>
    <s v="Kvæggylle"/>
    <m/>
    <n v="18.399999999999999"/>
    <n v="0"/>
    <n v="5.0000000000000001E-3"/>
    <n v="0"/>
    <n v="0"/>
    <n v="9.7299999999999998E-2"/>
    <n v="0"/>
    <n v="0.01"/>
    <n v="0"/>
    <n v="0"/>
    <n v="0"/>
  </r>
  <r>
    <s v="Kvæg"/>
    <n v="1235"/>
    <s v="1 stk. slagtekalve 6 mdr. - slagtning (328 kg), Jersey."/>
    <x v="5"/>
    <s v="Dybstrøelse, lang ædeplads, spalter(kanal, linespil)"/>
    <n v="123506"/>
    <x v="3"/>
    <n v="124741"/>
    <n v="0"/>
    <s v="Kvæggylle"/>
    <m/>
    <n v="18.399999999999999"/>
    <n v="0"/>
    <n v="5.0000000000000001E-3"/>
    <n v="0"/>
    <n v="0"/>
    <n v="9.7299999999999998E-2"/>
    <n v="0"/>
    <n v="0.01"/>
    <n v="0"/>
    <n v="0"/>
    <n v="0"/>
  </r>
  <r>
    <s v="Kvæg"/>
    <n v="1235"/>
    <s v="1 stk. slagtekalve 6 mdr. - slagtning (328 kg), Jersey."/>
    <x v="5"/>
    <s v="Dybstrøelse,lang ædeplads,spalter(kanal,bagskyl/ringkanal)"/>
    <n v="123507"/>
    <x v="3"/>
    <n v="124742"/>
    <n v="0"/>
    <s v="Kvæggylle"/>
    <m/>
    <n v="18.399999999999999"/>
    <n v="0"/>
    <n v="5.0000000000000001E-3"/>
    <n v="0"/>
    <n v="0"/>
    <n v="9.7299999999999998E-2"/>
    <n v="0"/>
    <n v="0.01"/>
    <n v="0"/>
    <n v="0"/>
    <n v="0"/>
  </r>
  <r>
    <s v="Kvæg"/>
    <n v="1235"/>
    <s v="1 stk. slagtekalve 6 mdr. - slagtning (328 kg), Jersey."/>
    <x v="5"/>
    <s v="Spaltegulvbokse"/>
    <n v="123509"/>
    <x v="4"/>
    <n v="124744"/>
    <n v="0"/>
    <s v="Kvæggylle"/>
    <m/>
    <n v="18.399999999999999"/>
    <n v="0"/>
    <n v="5.0000000000000001E-3"/>
    <n v="0"/>
    <n v="0"/>
    <n v="9.7299999999999998E-2"/>
    <n v="0"/>
    <n v="0.01"/>
    <n v="0"/>
    <n v="0"/>
    <n v="0"/>
  </r>
  <r>
    <s v="Kvæg"/>
    <n v="1235"/>
    <s v="1 stk. slagtekalve 6 mdr. - slagtning (328 kg), Jersey."/>
    <x v="5"/>
    <s v="Sengestald med fast gulv"/>
    <n v="123513"/>
    <x v="2"/>
    <n v="124748"/>
    <n v="0"/>
    <s v="Kvæggylle"/>
    <m/>
    <n v="18.399999999999999"/>
    <n v="0"/>
    <n v="5.0000000000000001E-3"/>
    <n v="0"/>
    <n v="0"/>
    <n v="9.7299999999999998E-2"/>
    <n v="0"/>
    <n v="0.01"/>
    <n v="0"/>
    <n v="0"/>
    <n v="0"/>
  </r>
  <r>
    <s v="Kvæg"/>
    <n v="1235"/>
    <s v="1 stk. slagtekalve 6 mdr. - slagtning (328 kg), Jersey."/>
    <x v="5"/>
    <s v="Sengestald med spalter (kanal, linespil)"/>
    <n v="123514"/>
    <x v="2"/>
    <n v="124749"/>
    <n v="0"/>
    <s v="Kvæggylle"/>
    <m/>
    <n v="18.399999999999999"/>
    <n v="0"/>
    <n v="5.0000000000000001E-3"/>
    <n v="0"/>
    <n v="0"/>
    <n v="9.7299999999999998E-2"/>
    <n v="0"/>
    <n v="0.01"/>
    <n v="0"/>
    <n v="0"/>
    <n v="0"/>
  </r>
  <r>
    <s v="Kvæg"/>
    <n v="1235"/>
    <s v="1 stk. slagtekalve 6 mdr. - slagtning (328 kg), Jersey."/>
    <x v="5"/>
    <s v="Sengestald med spalter (kanal, bagskyl eller ringk"/>
    <n v="123515"/>
    <x v="2"/>
    <n v="124750"/>
    <n v="0"/>
    <s v="Kvæggylle"/>
    <m/>
    <n v="18.399999999999999"/>
    <n v="0"/>
    <n v="5.0000000000000001E-3"/>
    <n v="0"/>
    <n v="0"/>
    <n v="9.7299999999999998E-2"/>
    <n v="0"/>
    <n v="0.01"/>
    <n v="0"/>
    <n v="0"/>
    <n v="0"/>
  </r>
  <r>
    <s v="Kvæg"/>
    <n v="1235"/>
    <s v="1 stk. slagtekalve 6 mdr. - slagtning (328 kg), Jersey."/>
    <x v="5"/>
    <s v="Sengestald, fast drænet gulv med skraber og ajleaf"/>
    <n v="123519"/>
    <x v="2"/>
    <n v="124754"/>
    <n v="0"/>
    <s v="Kvæggylle"/>
    <m/>
    <n v="18.399999999999999"/>
    <n v="0"/>
    <n v="5.0000000000000001E-3"/>
    <n v="0"/>
    <n v="0"/>
    <n v="9.7299999999999998E-2"/>
    <n v="0"/>
    <n v="0.01"/>
    <n v="0"/>
    <n v="0"/>
    <n v="0"/>
  </r>
  <r>
    <s v="Kvæg"/>
    <n v="1236"/>
    <s v="1 avlstyr (1 årsdyr), Jersey, over 328 kg"/>
    <x v="6"/>
    <s v="Bindestald med grebning"/>
    <n v="123601"/>
    <x v="1"/>
    <n v="124837"/>
    <n v="0"/>
    <s v="Fast gødning"/>
    <m/>
    <n v="37.9"/>
    <n v="0"/>
    <n v="5.0000000000000001E-3"/>
    <n v="0"/>
    <n v="0"/>
    <n v="9.7299999999999998E-2"/>
    <n v="0"/>
    <n v="0.01"/>
    <n v="0"/>
    <n v="0"/>
    <n v="0"/>
  </r>
  <r>
    <s v="Kvæg"/>
    <n v="1236"/>
    <s v="1 avlstyr (1 årsdyr), Jersey, over 328 kg"/>
    <x v="6"/>
    <s v="Bindestald med riste"/>
    <n v="123602"/>
    <x v="1"/>
    <n v="124838"/>
    <n v="0"/>
    <s v="Kvæggylle"/>
    <s v="Dybstrøelse"/>
    <n v="37.9"/>
    <n v="0"/>
    <n v="5.0000000000000001E-3"/>
    <n v="0"/>
    <n v="0"/>
    <n v="9.7299999999999998E-2"/>
    <n v="0"/>
    <n v="0.01"/>
    <n v="0"/>
    <n v="0"/>
    <n v="0"/>
  </r>
  <r>
    <s v="Kvæg"/>
    <n v="1236"/>
    <s v="1 avlstyr (1 årsdyr), Jersey, over 328 kg"/>
    <x v="6"/>
    <s v="Dybstrøelse, hele arealet"/>
    <n v="123603"/>
    <x v="3"/>
    <n v="124839"/>
    <n v="1.07"/>
    <m/>
    <s v="Dybstrøelse"/>
    <n v="37.9"/>
    <n v="40.553000000000004"/>
    <n v="0.01"/>
    <n v="0.40553000000000006"/>
    <n v="0.63726142857142865"/>
    <n v="9.7299999999999998E-2"/>
    <n v="3.9458069000000005"/>
    <n v="0.01"/>
    <n v="3.9458069000000005E-2"/>
    <n v="6.2005537000000006E-2"/>
    <n v="6.9926696557142862E-4"/>
  </r>
  <r>
    <s v="Kvæg"/>
    <n v="1236"/>
    <s v="1 avlstyr (1 årsdyr), Jersey, over 328 kg"/>
    <x v="6"/>
    <s v="Dybstrøelse hele arealet+kort ædeplads,fast gulv"/>
    <n v="123604"/>
    <x v="3"/>
    <n v="124840"/>
    <n v="0"/>
    <m/>
    <s v="Dybstrøelse"/>
    <n v="37.9"/>
    <n v="0"/>
    <n v="0.01"/>
    <n v="0"/>
    <n v="0"/>
    <n v="9.7299999999999998E-2"/>
    <n v="0"/>
    <n v="0.01"/>
    <n v="0"/>
    <n v="0"/>
    <n v="0"/>
  </r>
  <r>
    <s v="Kvæg"/>
    <n v="1236"/>
    <s v="1 avlstyr (1 årsdyr), Jersey, over 328 kg"/>
    <x v="6"/>
    <s v="Dybstrøelse, lang ædeplads,fast gulv"/>
    <n v="123605"/>
    <x v="3"/>
    <n v="124841"/>
    <n v="0"/>
    <s v="Kvæggylle"/>
    <s v="Dybstrøelse"/>
    <n v="37.9"/>
    <n v="0"/>
    <n v="5.0000000000000001E-3"/>
    <n v="0"/>
    <n v="0"/>
    <n v="9.7299999999999998E-2"/>
    <n v="0"/>
    <n v="0.01"/>
    <n v="0"/>
    <n v="0"/>
    <n v="0"/>
  </r>
  <r>
    <s v="Kvæg "/>
    <n v="1236"/>
    <s v="1 avlstyr (1 årsdyr), Jersey, over 328 kg"/>
    <x v="6"/>
    <s v="Dybstrøelse, lang ædeplads, spalter(kanal, linespil)"/>
    <n v="123606"/>
    <x v="3"/>
    <n v="124842"/>
    <s v=" "/>
    <s v="Kvæggylle "/>
    <m/>
    <n v="37.9"/>
    <s v=" "/>
    <n v="5.0000000000000001E-3"/>
    <s v=" "/>
    <s v=" "/>
    <n v="9.7299999999999998E-2"/>
    <s v=" "/>
    <n v="0.01"/>
    <s v=" "/>
    <n v="0"/>
    <s v=" "/>
  </r>
  <r>
    <s v="Kvæg"/>
    <n v="1236"/>
    <s v="1 avlstyr (1 årsdyr), Jersey, over 328 kg"/>
    <x v="6"/>
    <s v="Dybstrøelse,lang ædeplads,spalter(kanal,bagskyl/ringkanal)"/>
    <n v="123607"/>
    <x v="3"/>
    <n v="124843"/>
    <n v="0"/>
    <s v="Kvæggylle"/>
    <s v="Dybstrøelse"/>
    <n v="37.9"/>
    <n v="0"/>
    <n v="5.0000000000000001E-3"/>
    <n v="0"/>
    <n v="0"/>
    <n v="9.7299999999999998E-2"/>
    <n v="0"/>
    <n v="0.01"/>
    <n v="0"/>
    <n v="0"/>
    <n v="0"/>
  </r>
  <r>
    <s v="Kvæg"/>
    <n v="1236"/>
    <s v="1 avlstyr (1 årsdyr), Jersey, over 328 kg"/>
    <x v="6"/>
    <s v="Spaltegulvbokse"/>
    <n v="123609"/>
    <x v="4"/>
    <n v="124845"/>
    <n v="0"/>
    <s v="Kvæggylle"/>
    <m/>
    <n v="37.9"/>
    <n v="0"/>
    <n v="5.0000000000000001E-3"/>
    <n v="0"/>
    <n v="0"/>
    <n v="9.7299999999999998E-2"/>
    <n v="0"/>
    <n v="0.01"/>
    <n v="0"/>
    <n v="0"/>
    <n v="0"/>
  </r>
  <r>
    <s v="Kvæg"/>
    <n v="1236"/>
    <s v="1 avlstyr (1 årsdyr), Jersey, over 328 kg"/>
    <x v="6"/>
    <s v="Sengestald med fast gulv"/>
    <n v="123610"/>
    <x v="2"/>
    <n v="124846"/>
    <n v="0"/>
    <s v="Kvæggylle"/>
    <m/>
    <n v="37.9"/>
    <n v="0"/>
    <n v="5.0000000000000001E-3"/>
    <n v="0"/>
    <n v="0"/>
    <n v="9.7299999999999998E-2"/>
    <n v="0"/>
    <n v="0.01"/>
    <n v="0"/>
    <n v="0"/>
    <n v="0"/>
  </r>
  <r>
    <s v="Kvæg"/>
    <n v="1236"/>
    <s v="1 avlstyr (1 årsdyr), Jersey, over 328 kg"/>
    <x v="6"/>
    <s v="Sengestald med spaltegulv (kanal, linespil)"/>
    <n v="123611"/>
    <x v="2"/>
    <n v="124847"/>
    <n v="0"/>
    <s v="Kvæggylle"/>
    <m/>
    <n v="37.9"/>
    <n v="0"/>
    <n v="5.0000000000000001E-3"/>
    <n v="0"/>
    <n v="0"/>
    <n v="9.7299999999999998E-2"/>
    <n v="0"/>
    <n v="0.01"/>
    <n v="0"/>
    <n v="0"/>
    <n v="0"/>
  </r>
  <r>
    <s v="Kvæg"/>
    <n v="1236"/>
    <s v="1 avlstyr (1 årsdyr), Jersey, over 328 kg"/>
    <x v="6"/>
    <s v="Sengestald med spaltegulv (kanal, bagskyl eller ri"/>
    <n v="123612"/>
    <x v="2"/>
    <n v="124848"/>
    <n v="0"/>
    <s v="Kvæggylle"/>
    <m/>
    <n v="37.9"/>
    <n v="0"/>
    <n v="5.0000000000000001E-3"/>
    <n v="0"/>
    <n v="0"/>
    <n v="9.7299999999999998E-2"/>
    <n v="0"/>
    <n v="0.01"/>
    <n v="0"/>
    <n v="0"/>
    <n v="0"/>
  </r>
  <r>
    <s v="Kvæg"/>
    <n v="1236"/>
    <s v="1 avlstyr (1 årsdyr), Jersey, over 328 kg"/>
    <x v="6"/>
    <s v="Sengestald, fast drænet gulv med skraber og ajleaf"/>
    <n v="123619"/>
    <x v="2"/>
    <n v="124855"/>
    <n v="0"/>
    <s v="Kvæggylle"/>
    <m/>
    <n v="37.9"/>
    <n v="0"/>
    <n v="5.0000000000000001E-3"/>
    <n v="0"/>
    <n v="0"/>
    <n v="9.7299999999999998E-2"/>
    <n v="0"/>
    <n v="0.01"/>
    <n v="0"/>
    <n v="0"/>
    <n v="0"/>
  </r>
  <r>
    <s v="Kvæg"/>
    <n v="1241"/>
    <s v="1 årsammeko uden opdræt (under 400 kg)"/>
    <x v="7"/>
    <s v="Bindestald med grebning"/>
    <n v="124101"/>
    <x v="1"/>
    <n v="125342"/>
    <n v="0"/>
    <s v="Fast gødning"/>
    <m/>
    <n v="43.6"/>
    <n v="0"/>
    <n v="5.0000000000000001E-3"/>
    <n v="0"/>
    <n v="0"/>
    <n v="9.7299999999999998E-2"/>
    <n v="0"/>
    <n v="0.01"/>
    <n v="0"/>
    <n v="0"/>
    <n v="0"/>
  </r>
  <r>
    <s v="Kvæg"/>
    <n v="1241"/>
    <s v="1 årsammeko uden opdræt (under 400 kg)"/>
    <x v="7"/>
    <s v="Bindestald med riste"/>
    <n v="124102"/>
    <x v="1"/>
    <n v="125343"/>
    <n v="0"/>
    <s v="Kvæggylle"/>
    <m/>
    <n v="43.6"/>
    <n v="0"/>
    <n v="5.0000000000000001E-3"/>
    <n v="0"/>
    <n v="0"/>
    <n v="9.7299999999999998E-2"/>
    <n v="0"/>
    <n v="0.01"/>
    <n v="0"/>
    <n v="0"/>
    <n v="0"/>
  </r>
  <r>
    <s v="Kvæg"/>
    <n v="1241"/>
    <s v="1 årsammeko uden opdræt (under 400 kg)"/>
    <x v="7"/>
    <s v="Dybstrøelse, hele arealet"/>
    <n v="124103"/>
    <x v="3"/>
    <n v="125344"/>
    <n v="0"/>
    <m/>
    <s v="Dybstrøelse"/>
    <n v="43.6"/>
    <n v="0"/>
    <n v="0.01"/>
    <n v="0"/>
    <n v="0"/>
    <n v="9.7299999999999998E-2"/>
    <n v="0"/>
    <n v="0.01"/>
    <n v="0"/>
    <n v="0"/>
    <n v="0"/>
  </r>
  <r>
    <s v="Kvæg"/>
    <n v="1241"/>
    <s v="1 årsammeko uden opdræt (under 400 kg)"/>
    <x v="7"/>
    <s v="Dybstrøelse, kort ædeplads med fast gulv"/>
    <n v="124104"/>
    <x v="3"/>
    <n v="125345"/>
    <n v="0"/>
    <m/>
    <s v="Dybstrøelse"/>
    <n v="43.6"/>
    <n v="0"/>
    <n v="0.01"/>
    <n v="0"/>
    <n v="0"/>
    <n v="9.7299999999999998E-2"/>
    <n v="0"/>
    <n v="0.01"/>
    <n v="0"/>
    <n v="0"/>
    <n v="0"/>
  </r>
  <r>
    <s v="Kvæg"/>
    <n v="1241"/>
    <s v="1 årsammeko uden opdræt (under 400 kg)"/>
    <x v="7"/>
    <s v="Dybstrøelse, lang ædeplads med fast gulv"/>
    <n v="124105"/>
    <x v="3"/>
    <n v="125346"/>
    <n v="0"/>
    <s v="Kvæggylle"/>
    <m/>
    <n v="43.6"/>
    <n v="0"/>
    <n v="5.0000000000000001E-3"/>
    <n v="0"/>
    <n v="0"/>
    <n v="9.7299999999999998E-2"/>
    <n v="0"/>
    <n v="0.01"/>
    <n v="0"/>
    <n v="0"/>
    <n v="0"/>
  </r>
  <r>
    <s v="Kvæg"/>
    <n v="1241"/>
    <s v="1 årsammeko uden opdræt (under 400 kg)"/>
    <x v="7"/>
    <s v="Dybstrøelse, lang ædeplads med spalter (kanal, lin"/>
    <n v="124106"/>
    <x v="3"/>
    <n v="125347"/>
    <n v="0"/>
    <s v="Kvæggylle"/>
    <m/>
    <n v="43.6"/>
    <n v="0"/>
    <n v="5.0000000000000001E-3"/>
    <n v="0"/>
    <n v="0"/>
    <n v="9.7299999999999998E-2"/>
    <n v="0"/>
    <n v="0.01"/>
    <n v="0"/>
    <n v="0"/>
    <n v="0"/>
  </r>
  <r>
    <s v="Kvæg"/>
    <n v="1241"/>
    <s v="1 årsammeko uden opdræt (under 400 kg)"/>
    <x v="7"/>
    <s v="Dybstrøelse, lang ædeplads med spalter (kanal, bag"/>
    <n v="124107"/>
    <x v="3"/>
    <n v="125348"/>
    <n v="0"/>
    <s v="Kvæggylle"/>
    <m/>
    <n v="43.6"/>
    <n v="0"/>
    <n v="5.0000000000000001E-3"/>
    <n v="0"/>
    <n v="0"/>
    <n v="9.7299999999999998E-2"/>
    <n v="0"/>
    <n v="0.01"/>
    <n v="0"/>
    <n v="0"/>
    <n v="0"/>
  </r>
  <r>
    <s v="Kvæg"/>
    <n v="1241"/>
    <s v="1 årsammeko uden opdræt (under 400 kg)"/>
    <x v="7"/>
    <s v="Sengestald med spaltegulv (kanal, bagskyl el. ring"/>
    <n v="124110"/>
    <x v="2"/>
    <n v="125351"/>
    <n v="0"/>
    <s v="Kvæggylle"/>
    <m/>
    <n v="43.6"/>
    <n v="0"/>
    <n v="5.0000000000000001E-3"/>
    <n v="0"/>
    <n v="0"/>
    <n v="9.7299999999999998E-2"/>
    <n v="0"/>
    <n v="0.01"/>
    <n v="0"/>
    <n v="0"/>
    <n v="0"/>
  </r>
  <r>
    <s v="Kvæg"/>
    <n v="1242"/>
    <s v="1 årsammeko uden opdræt (400-600 kg)"/>
    <x v="7"/>
    <s v="Bindestald med grebning"/>
    <n v="124201"/>
    <x v="1"/>
    <n v="125443"/>
    <n v="7.97"/>
    <s v="Fast gødning"/>
    <m/>
    <n v="63.6"/>
    <n v="506.892"/>
    <n v="5.0000000000000001E-3"/>
    <n v="2.5344600000000002"/>
    <n v="3.9827228571428575"/>
    <n v="9.7299999999999998E-2"/>
    <n v="49.3205916"/>
    <n v="0.01"/>
    <n v="0.49320591600000002"/>
    <n v="0.77503786800000007"/>
    <n v="4.757760725142857E-3"/>
  </r>
  <r>
    <s v="Kvæg"/>
    <n v="1242"/>
    <s v="1 årsammeko uden opdræt (400-600 kg)"/>
    <x v="7"/>
    <s v="Bindestald med riste"/>
    <n v="124202"/>
    <x v="1"/>
    <n v="125444"/>
    <n v="0"/>
    <s v="Kvæggylle"/>
    <m/>
    <n v="63.6"/>
    <n v="0"/>
    <n v="5.0000000000000001E-3"/>
    <n v="0"/>
    <n v="0"/>
    <n v="9.7299999999999998E-2"/>
    <n v="0"/>
    <n v="0.01"/>
    <n v="0"/>
    <n v="0"/>
    <n v="0"/>
  </r>
  <r>
    <s v="Kvæg"/>
    <n v="1242"/>
    <s v="1 årsammeko uden opdræt (400-600 kg)"/>
    <x v="7"/>
    <s v="Dybstrøelse, hele arealet"/>
    <n v="124203"/>
    <x v="3"/>
    <n v="125445"/>
    <n v="235.84"/>
    <m/>
    <s v="Dybstrøelse"/>
    <n v="63.6"/>
    <n v="14999.424000000001"/>
    <n v="0.01"/>
    <n v="149.99424000000002"/>
    <n v="235.70523428571431"/>
    <n v="9.7299999999999998E-2"/>
    <n v="1459.4439552000001"/>
    <n v="0.01"/>
    <n v="14.594439552000001"/>
    <n v="22.934119296000002"/>
    <n v="0.2586393535817143"/>
  </r>
  <r>
    <s v="Kvæg"/>
    <n v="1242"/>
    <s v="1 årsammeko uden opdræt (400-600 kg)"/>
    <x v="7"/>
    <s v="Dybstrøelse, kort ædeplads med fast gulv"/>
    <n v="124204"/>
    <x v="3"/>
    <n v="125446"/>
    <n v="0"/>
    <m/>
    <s v="Dybstrøelse"/>
    <n v="63.6"/>
    <n v="0"/>
    <n v="0.01"/>
    <n v="0"/>
    <n v="0"/>
    <n v="9.7299999999999998E-2"/>
    <n v="0"/>
    <n v="0.01"/>
    <n v="0"/>
    <n v="0"/>
    <n v="0"/>
  </r>
  <r>
    <s v="Kvæg"/>
    <n v="1242"/>
    <s v="1 årsammeko uden opdræt (400-600 kg)"/>
    <x v="7"/>
    <s v="Dybstrøelse, lang ædeplads med fast gulv"/>
    <n v="124205"/>
    <x v="3"/>
    <n v="125447"/>
    <n v="0"/>
    <s v="Kvæggylle"/>
    <m/>
    <n v="63.6"/>
    <n v="0"/>
    <n v="5.0000000000000001E-3"/>
    <n v="0"/>
    <n v="0"/>
    <n v="9.7299999999999998E-2"/>
    <n v="0"/>
    <n v="0.01"/>
    <n v="0"/>
    <n v="0"/>
    <n v="0"/>
  </r>
  <r>
    <s v="Kvæg"/>
    <n v="1242"/>
    <s v="1 årsammeko uden opdræt (400-600 kg)"/>
    <x v="7"/>
    <s v="Dybstrøelse, lang ædeplads med spalter (kanal, lin"/>
    <n v="124206"/>
    <x v="3"/>
    <n v="125448"/>
    <n v="0"/>
    <s v="Kvæggylle"/>
    <m/>
    <n v="63.6"/>
    <n v="0"/>
    <n v="5.0000000000000001E-3"/>
    <n v="0"/>
    <n v="0"/>
    <n v="9.7299999999999998E-2"/>
    <n v="0"/>
    <n v="0.01"/>
    <n v="0"/>
    <n v="0"/>
    <n v="0"/>
  </r>
  <r>
    <s v="Kvæg"/>
    <n v="1242"/>
    <s v="1 årsammeko uden opdræt (400-600 kg)"/>
    <x v="7"/>
    <s v="Dybstrøelse, lang ædeplads med spalter (kanal, bag"/>
    <n v="124207"/>
    <x v="3"/>
    <n v="125449"/>
    <n v="0"/>
    <s v="Kvæggylle"/>
    <m/>
    <n v="63.6"/>
    <n v="0"/>
    <n v="5.0000000000000001E-3"/>
    <n v="0"/>
    <n v="0"/>
    <n v="9.7299999999999998E-2"/>
    <n v="0"/>
    <n v="0.01"/>
    <n v="0"/>
    <n v="0"/>
    <n v="0"/>
  </r>
  <r>
    <s v="Kvæg"/>
    <n v="1242"/>
    <s v="1 årsammeko uden opdræt (400-600 kg)"/>
    <x v="7"/>
    <s v="Sengestald med spaltegulv (kanal, linespil)"/>
    <n v="124209"/>
    <x v="2"/>
    <n v="125451"/>
    <n v="0"/>
    <s v="Kvæggylle"/>
    <m/>
    <n v="63.6"/>
    <n v="0"/>
    <n v="5.0000000000000001E-3"/>
    <n v="0"/>
    <n v="0"/>
    <n v="9.7299999999999998E-2"/>
    <n v="0"/>
    <n v="0.01"/>
    <n v="0"/>
    <n v="0"/>
    <n v="0"/>
  </r>
  <r>
    <s v="Kvæg"/>
    <n v="1242"/>
    <s v="1 årsammeko uden opdræt (400-600 kg)"/>
    <x v="7"/>
    <s v="Sengestald med spaltegulv (kanal, bagskyl el. ring"/>
    <n v="124210"/>
    <x v="2"/>
    <n v="125452"/>
    <n v="0"/>
    <s v="Kvæggylle"/>
    <m/>
    <n v="63.6"/>
    <n v="0"/>
    <n v="5.0000000000000001E-3"/>
    <n v="0"/>
    <n v="0"/>
    <n v="9.7299999999999998E-2"/>
    <n v="0"/>
    <n v="0.01"/>
    <n v="0"/>
    <n v="0"/>
    <n v="0"/>
  </r>
  <r>
    <s v="Kvæg"/>
    <n v="1242"/>
    <s v="1 årsammeko uden opdræt (400-600 kg)"/>
    <x v="7"/>
    <s v="Sengestald, fast drænet gulv med skraber og ajleaf"/>
    <n v="124211"/>
    <x v="2"/>
    <n v="125453"/>
    <n v="100"/>
    <s v="Kvæggylle"/>
    <m/>
    <n v="63.6"/>
    <n v="6360"/>
    <n v="5.0000000000000001E-3"/>
    <n v="31.8"/>
    <n v="49.971428571428575"/>
    <n v="9.7299999999999998E-2"/>
    <n v="618.82799999999997"/>
    <n v="0.01"/>
    <n v="6.1882799999999998"/>
    <n v="9.7244399999999995"/>
    <n v="5.9695868571428577E-2"/>
  </r>
  <r>
    <s v="Kvæg"/>
    <n v="1243"/>
    <s v="1 årsammeko uden opdræt (over 600 kg)"/>
    <x v="7"/>
    <s v="Bindestald med grebning"/>
    <n v="124301"/>
    <x v="1"/>
    <n v="125544"/>
    <n v="42.09"/>
    <s v="Fast gødning"/>
    <m/>
    <n v="72.400000000000006"/>
    <n v="3047.3160000000007"/>
    <n v="5.0000000000000001E-3"/>
    <n v="15.236580000000004"/>
    <n v="23.943197142857148"/>
    <n v="9.7299999999999998E-2"/>
    <n v="296.50384680000008"/>
    <n v="0.01"/>
    <n v="2.9650384680000008"/>
    <n v="4.6593461640000013"/>
    <n v="2.8602543306857152E-2"/>
  </r>
  <r>
    <s v="Kvæg"/>
    <n v="1243"/>
    <s v="1 årsammeko uden opdræt (over 600 kg)"/>
    <x v="7"/>
    <s v="Bindestald med riste"/>
    <n v="124302"/>
    <x v="1"/>
    <n v="125545"/>
    <n v="0"/>
    <s v="Kvæggylle"/>
    <m/>
    <n v="72.400000000000006"/>
    <n v="0"/>
    <n v="5.0000000000000001E-3"/>
    <n v="0"/>
    <n v="0"/>
    <n v="9.7299999999999998E-2"/>
    <n v="0"/>
    <n v="0.01"/>
    <n v="0"/>
    <n v="0"/>
    <n v="0"/>
  </r>
  <r>
    <s v="Kvæg"/>
    <n v="1243"/>
    <s v="1 årsammeko uden opdræt (over 600 kg)"/>
    <x v="7"/>
    <s v="Dybstrøelse, hele arealet"/>
    <n v="124303"/>
    <x v="3"/>
    <n v="125546"/>
    <n v="240.79"/>
    <m/>
    <s v="Dybstrøelse"/>
    <n v="72.400000000000006"/>
    <n v="17433.196"/>
    <n v="0.01"/>
    <n v="174.33196000000001"/>
    <n v="273.95022285714288"/>
    <n v="9.7299999999999998E-2"/>
    <n v="1696.2499708"/>
    <n v="0.01"/>
    <n v="16.962499707999999"/>
    <n v="26.655356683999997"/>
    <n v="0.30060557954114292"/>
  </r>
  <r>
    <s v="Kvæg"/>
    <n v="1243"/>
    <s v="1 årsammeko uden opdræt (over 600 kg)"/>
    <x v="7"/>
    <s v="Dybstrøelse, kort ædeplads med fast gulv"/>
    <n v="124304"/>
    <x v="3"/>
    <n v="125547"/>
    <n v="0"/>
    <m/>
    <s v="Dybstrøelse"/>
    <n v="72.400000000000006"/>
    <n v="0"/>
    <n v="0.01"/>
    <n v="0"/>
    <n v="0"/>
    <n v="9.7299999999999998E-2"/>
    <n v="0"/>
    <n v="0.01"/>
    <n v="0"/>
    <n v="0"/>
    <n v="0"/>
  </r>
  <r>
    <s v="Kvæg"/>
    <n v="1243"/>
    <s v="1 årsammeko uden opdræt (over 600 kg)"/>
    <x v="7"/>
    <s v="Dybstrøelse, lang ædeplads med fast gulv"/>
    <n v="124305"/>
    <x v="3"/>
    <n v="125548"/>
    <n v="0"/>
    <s v="Kvæggylle"/>
    <m/>
    <n v="72.400000000000006"/>
    <n v="0"/>
    <n v="5.0000000000000001E-3"/>
    <n v="0"/>
    <n v="0"/>
    <n v="9.7299999999999998E-2"/>
    <n v="0"/>
    <n v="0.01"/>
    <n v="0"/>
    <n v="0"/>
    <n v="0"/>
  </r>
  <r>
    <s v="Kvæg"/>
    <n v="1243"/>
    <s v="1 årsammeko uden opdræt (over 600 kg)"/>
    <x v="7"/>
    <s v="Dybstrøelse, lang ædeplads med spalter (kanal, lin"/>
    <n v="124306"/>
    <x v="3"/>
    <n v="125549"/>
    <n v="0"/>
    <s v="Kvæggylle"/>
    <m/>
    <n v="72.400000000000006"/>
    <n v="0"/>
    <n v="5.0000000000000001E-3"/>
    <n v="0"/>
    <n v="0"/>
    <n v="9.7299999999999998E-2"/>
    <n v="0"/>
    <n v="0.01"/>
    <n v="0"/>
    <n v="0"/>
    <n v="0"/>
  </r>
  <r>
    <s v="Kvæg"/>
    <n v="1243"/>
    <s v="1 årsammeko uden opdræt (over 600 kg)"/>
    <x v="7"/>
    <s v="Dybstrøelse, lang ædeplads med spalter (kanal, bag"/>
    <n v="124307"/>
    <x v="3"/>
    <n v="125550"/>
    <n v="0"/>
    <s v="Kvæggylle"/>
    <m/>
    <n v="72.400000000000006"/>
    <n v="0"/>
    <n v="5.0000000000000001E-3"/>
    <n v="0"/>
    <n v="0"/>
    <n v="9.7299999999999998E-2"/>
    <n v="0"/>
    <n v="0.01"/>
    <n v="0"/>
    <n v="0"/>
    <n v="0"/>
  </r>
  <r>
    <s v="Kvæg"/>
    <n v="1243"/>
    <s v="1 årsammeko uden opdræt (over 600 kg)"/>
    <x v="7"/>
    <s v="Sengestald med spaltegulv (kanal, linespil)"/>
    <n v="124309"/>
    <x v="2"/>
    <n v="125552"/>
    <n v="0"/>
    <s v="Kvæggylle"/>
    <m/>
    <n v="72.400000000000006"/>
    <n v="0"/>
    <n v="5.0000000000000001E-3"/>
    <n v="0"/>
    <n v="0"/>
    <n v="9.7299999999999998E-2"/>
    <n v="0"/>
    <n v="0.01"/>
    <n v="0"/>
    <n v="0"/>
    <n v="0"/>
  </r>
  <r>
    <s v="Kvæg"/>
    <n v="1243"/>
    <s v="1 årsammeko uden opdræt (over 600 kg)"/>
    <x v="7"/>
    <s v="Sengestald med spaltegulv (kanal, bagskyl el. ring"/>
    <n v="124310"/>
    <x v="2"/>
    <n v="125553"/>
    <n v="0"/>
    <s v="Kvæggylle"/>
    <m/>
    <n v="72.400000000000006"/>
    <n v="0"/>
    <n v="5.0000000000000001E-3"/>
    <n v="0"/>
    <n v="0"/>
    <n v="9.7299999999999998E-2"/>
    <n v="0"/>
    <n v="0.01"/>
    <n v="0"/>
    <n v="0"/>
    <n v="0"/>
  </r>
  <r>
    <s v="Kvæg"/>
    <n v="1243"/>
    <s v="1 årsammeko uden opdræt (over 600 kg)"/>
    <x v="7"/>
    <s v="Sengestald, fast drænet gulv med skaber og ajleafl"/>
    <n v="124311"/>
    <x v="2"/>
    <n v="125554"/>
    <n v="0"/>
    <s v="Kvæggylle"/>
    <m/>
    <n v="72.400000000000006"/>
    <n v="0"/>
    <n v="5.0000000000000001E-3"/>
    <n v="0"/>
    <n v="0"/>
    <n v="9.7299999999999998E-2"/>
    <n v="0"/>
    <n v="0.01"/>
    <n v="0"/>
    <n v="0"/>
    <n v="0"/>
  </r>
  <r>
    <s v="Får"/>
    <n v="1300"/>
    <s v="Får, 1 moderdyr med afkom"/>
    <x v="8"/>
    <s v="Får"/>
    <n v="130001"/>
    <x v="0"/>
    <n v="131301"/>
    <n v="403.89"/>
    <m/>
    <s v="Dybstrøelse"/>
    <n v="16.899999999999999"/>
    <n v="6825.7409999999991"/>
    <n v="0.01"/>
    <n v="68.257409999999993"/>
    <n v="107.26164428571428"/>
    <n v="7.0099999999999996E-2"/>
    <n v="478.48444409999991"/>
    <n v="0.01"/>
    <n v="4.7848444409999988"/>
    <n v="7.5190412644285702"/>
    <n v="0.11478068555014286"/>
  </r>
  <r>
    <s v="Geder"/>
    <n v="1401"/>
    <s v="Mohairged, 1 moderdyr med afkom"/>
    <x v="8"/>
    <s v="Mohairgeder"/>
    <n v="140101"/>
    <x v="0"/>
    <n v="141502"/>
    <n v="0"/>
    <m/>
    <s v="Dybstrøelse"/>
    <n v="18.5"/>
    <n v="0"/>
    <n v="0.01"/>
    <n v="0"/>
    <n v="0"/>
    <s v="NE"/>
    <s v=" "/>
    <n v="0.01"/>
    <s v=" "/>
    <n v="0"/>
    <n v="0"/>
  </r>
  <r>
    <s v="Geder"/>
    <n v="1402"/>
    <s v="Kødgeder, 1 moderdyr med afkom"/>
    <x v="8"/>
    <s v="Kødgeder"/>
    <n v="140201"/>
    <x v="0"/>
    <n v="141603"/>
    <n v="0"/>
    <m/>
    <s v="Dybstrøelse"/>
    <n v="16.399999999999999"/>
    <n v="0"/>
    <n v="0.01"/>
    <n v="0"/>
    <n v="0"/>
    <s v="NE"/>
    <s v=" "/>
    <n v="0.01"/>
    <s v=" "/>
    <n v="0"/>
    <n v="0"/>
  </r>
  <r>
    <s v="Geder"/>
    <n v="1403"/>
    <s v="Malkegeder, 1 moderdyr med afkom"/>
    <x v="8"/>
    <s v="Malkegeder"/>
    <n v="140301"/>
    <x v="0"/>
    <n v="141704"/>
    <n v="0"/>
    <m/>
    <s v="Dybstrøelse"/>
    <n v="17"/>
    <n v="0"/>
    <n v="0.01"/>
    <n v="0"/>
    <n v="0"/>
    <s v="NE"/>
    <s v=" "/>
    <n v="0.01"/>
    <s v=" "/>
    <n v="0"/>
    <n v="0"/>
  </r>
  <r>
    <s v="Svin"/>
    <n v="1501"/>
    <s v="1 årsso m, 31,4 grise til 6,8 kg, andel fra løbe- og drægtighedsstald"/>
    <x v="9"/>
    <s v="Individuel opstaldning, delvis spaltegulv"/>
    <n v="150101"/>
    <x v="4"/>
    <n v="151602"/>
    <n v="0"/>
    <s v="Svinegylle"/>
    <m/>
    <n v="24.2"/>
    <n v="0"/>
    <n v="5.0000000000000001E-3"/>
    <n v="0"/>
    <n v="0"/>
    <n v="0.12609999999999999"/>
    <n v="0"/>
    <n v="0.01"/>
    <n v="0"/>
    <n v="0"/>
    <n v="0"/>
  </r>
  <r>
    <s v="Svin"/>
    <n v="1501"/>
    <s v="1 årsso m, 31,4 grise til 6,8 kg, andel fra løbe- og drægtighedsstald"/>
    <x v="9"/>
    <s v="Løsgående, dybstrøelse + spaltegulv"/>
    <n v="150104"/>
    <x v="3"/>
    <n v="151605"/>
    <n v="0"/>
    <s v="Svinegylle"/>
    <m/>
    <n v="24.2"/>
    <n v="0"/>
    <n v="5.0000000000000001E-3"/>
    <n v="0"/>
    <n v="0"/>
    <n v="0.12609999999999999"/>
    <n v="0"/>
    <n v="0.01"/>
    <n v="0"/>
    <n v="0"/>
    <n v="0"/>
  </r>
  <r>
    <s v="Svin"/>
    <n v="1501"/>
    <s v="1 årsso m, 31,4 grise til 6,8 kg, andel fra løbe- og drægtighedsstald"/>
    <x v="9"/>
    <s v="Løsgående, dybstrøelse + fast gulv"/>
    <n v="150105"/>
    <x v="3"/>
    <n v="151606"/>
    <n v="0"/>
    <s v="Svinegylle"/>
    <m/>
    <n v="24.2"/>
    <n v="0"/>
    <n v="5.0000000000000001E-3"/>
    <n v="0"/>
    <n v="0"/>
    <n v="0.12609999999999999"/>
    <n v="0"/>
    <n v="0.01"/>
    <n v="0"/>
    <n v="0"/>
    <n v="0"/>
  </r>
  <r>
    <s v="Svin "/>
    <n v="1501"/>
    <s v="1 årsso m, 33,3 grise til 6,6 kg, andel fra løbe- og drægtighedsstald"/>
    <x v="9"/>
    <s v="Løsgående, dybstrøelse"/>
    <n v="150106"/>
    <x v="3"/>
    <n v="151607"/>
    <n v="0"/>
    <s v="Dybstrøelse"/>
    <m/>
    <n v="24.2"/>
    <n v="0"/>
    <n v="5.0000000000000001E-3"/>
    <n v="0"/>
    <n v="0"/>
    <n v="0.12609999999999999"/>
    <n v="0"/>
    <n v="0.01"/>
    <n v="0"/>
    <n v="0"/>
    <n v="0"/>
  </r>
  <r>
    <s v="Svin"/>
    <n v="1501"/>
    <s v="1 årsso m, 31,4 grise til 6,8 kg, andel fra løbe- og drægtighedsstald"/>
    <x v="9"/>
    <s v="Løsgående, delvis spaltegulv"/>
    <n v="150107"/>
    <x v="4"/>
    <n v="151608"/>
    <n v="0"/>
    <s v="Svinegylle"/>
    <m/>
    <n v="24.2"/>
    <n v="0"/>
    <n v="5.0000000000000001E-3"/>
    <n v="0"/>
    <n v="0"/>
    <n v="0.12609999999999999"/>
    <n v="0"/>
    <n v="0.01"/>
    <n v="0"/>
    <n v="0"/>
    <n v="0"/>
  </r>
  <r>
    <s v="Svin"/>
    <n v="1501"/>
    <s v="1 årsso m, 31,4 grise til 6,8 kg, andel fra løbe- og drægtighedsstald"/>
    <x v="9"/>
    <s v="Individuel opstaldning, fast gulv"/>
    <n v="150108"/>
    <x v="4"/>
    <n v="151609"/>
    <n v="0"/>
    <s v="Fast gødning"/>
    <m/>
    <n v="24.2"/>
    <n v="0"/>
    <n v="5.0000000000000001E-3"/>
    <n v="0"/>
    <n v="0"/>
    <n v="0.12609999999999999"/>
    <n v="0"/>
    <n v="0.01"/>
    <n v="0"/>
    <n v="0"/>
    <n v="0"/>
  </r>
  <r>
    <s v="Svin"/>
    <n v="1502"/>
    <s v="1 årsso m, 31,4 grise til 6,8 kg, andel fra farestald,"/>
    <x v="9"/>
    <s v="Kassestier, delvis spaltegulv"/>
    <n v="150201"/>
    <x v="4"/>
    <n v="151703"/>
    <n v="0"/>
    <s v="Svinegylle"/>
    <m/>
    <s v="IE"/>
    <s v=" "/>
    <n v="5.0000000000000001E-3"/>
    <s v=" "/>
    <s v=" "/>
    <n v="0.12609999999999999"/>
    <s v=" "/>
    <n v="0.01"/>
    <s v=" "/>
    <n v="0"/>
    <s v=" "/>
  </r>
  <r>
    <s v="Svin"/>
    <n v="1502"/>
    <s v="1 årsso m, 31,4 grise til 6,8 kg, andel fra farestald,"/>
    <x v="9"/>
    <s v="Kassestier, fuldspaltegulv"/>
    <n v="150202"/>
    <x v="4"/>
    <n v="151704"/>
    <n v="0"/>
    <s v="Svinegylle"/>
    <m/>
    <s v="IE"/>
    <s v=" "/>
    <n v="5.0000000000000001E-3"/>
    <s v=" "/>
    <s v=" "/>
    <n v="0.12609999999999999"/>
    <s v=" "/>
    <n v="0.01"/>
    <s v=" "/>
    <n v="0"/>
    <s v=" "/>
  </r>
  <r>
    <s v="Svin"/>
    <n v="1502"/>
    <s v="1 årsso m, 31,4 grise til 6,8 kg, andel fra farestald,"/>
    <x v="9"/>
    <s v="Friland"/>
    <n v="150205"/>
    <x v="5"/>
    <n v="151707"/>
    <n v="0"/>
    <s v="Anden husdyrgødning"/>
    <m/>
    <s v="IE"/>
    <s v=" "/>
    <m/>
    <s v=" "/>
    <s v=" "/>
    <n v="0.12609999999999999"/>
    <s v=" "/>
    <n v="0.01"/>
    <s v=" "/>
    <n v="0"/>
    <s v=" "/>
  </r>
  <r>
    <s v="Svin"/>
    <n v="1511"/>
    <s v="Antal producerede smågrise, fra 6,8 til 31 kg"/>
    <x v="10"/>
    <s v="Toklimastald, delvis spaltegulv"/>
    <n v="151101"/>
    <x v="4"/>
    <n v="152612"/>
    <n v="0"/>
    <s v="Svinegylle"/>
    <m/>
    <n v="0.47"/>
    <n v="0"/>
    <n v="5.0000000000000001E-3"/>
    <n v="0"/>
    <n v="0"/>
    <n v="0.12609999999999999"/>
    <n v="0"/>
    <n v="0.01"/>
    <n v="0"/>
    <n v="0"/>
    <n v="0"/>
  </r>
  <r>
    <s v="Svin"/>
    <n v="1511"/>
    <s v="Antal producerede smågrise, fra 6,8 til 31 kg"/>
    <x v="10"/>
    <s v="Drænet gulv + spalter (50/50)"/>
    <n v="151103"/>
    <x v="4"/>
    <n v="152614"/>
    <n v="0"/>
    <s v="Svinegylle"/>
    <m/>
    <n v="0.47"/>
    <n v="0"/>
    <n v="5.0000000000000001E-3"/>
    <n v="0"/>
    <n v="0"/>
    <n v="0.12609999999999999"/>
    <n v="0"/>
    <n v="0.01"/>
    <n v="0"/>
    <n v="0"/>
    <n v="0"/>
  </r>
  <r>
    <s v="Svin"/>
    <n v="1511"/>
    <s v="Antal producerede smågrise, fra 6,8 til 31 kg"/>
    <x v="10"/>
    <s v="Fast gulv"/>
    <n v="151104"/>
    <x v="6"/>
    <n v="152615"/>
    <n v="0"/>
    <s v="Fast gødning"/>
    <m/>
    <n v="0.47"/>
    <n v="0"/>
    <n v="5.0000000000000001E-3"/>
    <n v="0"/>
    <n v="0"/>
    <n v="0.12609999999999999"/>
    <n v="0"/>
    <n v="0.01"/>
    <n v="0"/>
    <n v="0"/>
    <n v="0"/>
  </r>
  <r>
    <s v="Svin"/>
    <n v="1511"/>
    <s v="Antal producerede smågrise, fra 6,8 til 31 kg"/>
    <x v="10"/>
    <s v="Dybstrøelse"/>
    <n v="151105"/>
    <x v="3"/>
    <n v="152616"/>
    <n v="27.54"/>
    <m/>
    <s v="Dybstrøelse"/>
    <n v="0.47"/>
    <n v="12.9438"/>
    <n v="7.0000000000000007E-2"/>
    <n v="0.90606600000000004"/>
    <n v="1.4238180000000003"/>
    <n v="0.12609999999999999"/>
    <n v="1.6322131799999997"/>
    <n v="0.01"/>
    <n v="1.6322131799999997E-2"/>
    <n v="2.5649064257142855E-2"/>
    <n v="1.4494670642571431E-3"/>
  </r>
  <r>
    <s v="Svin"/>
    <n v="1512"/>
    <s v="Antal producerede slagtesvin, 31-110 kg"/>
    <x v="11"/>
    <s v="Drænet gulv + spalter (33/67)"/>
    <n v="151203"/>
    <x v="4"/>
    <n v="152715"/>
    <n v="0"/>
    <s v="Svinegylle"/>
    <m/>
    <n v="2.94"/>
    <n v="0"/>
    <n v="5.0000000000000001E-3"/>
    <n v="0"/>
    <n v="0"/>
    <n v="0.12609999999999999"/>
    <n v="0"/>
    <n v="0.01"/>
    <n v="0"/>
    <n v="0"/>
    <n v="0"/>
  </r>
  <r>
    <s v="Svin"/>
    <n v="1512"/>
    <s v="Antal producerede slagtesvin, 31-110 kg"/>
    <x v="11"/>
    <s v="Fast gulv"/>
    <n v="151204"/>
    <x v="6"/>
    <n v="152716"/>
    <n v="0"/>
    <s v="Fast gødning"/>
    <m/>
    <n v="2.94"/>
    <n v="0"/>
    <n v="5.0000000000000001E-3"/>
    <n v="0"/>
    <n v="0"/>
    <n v="0.12609999999999999"/>
    <n v="0"/>
    <n v="0.01"/>
    <n v="0"/>
    <n v="0"/>
    <n v="0"/>
  </r>
  <r>
    <s v="Svin"/>
    <n v="1512"/>
    <s v="Antal producerede slagtesvin, 31-110 kg"/>
    <x v="11"/>
    <s v="Dybstrøelse, opdelt lejeareal"/>
    <n v="151205"/>
    <x v="3"/>
    <n v="152717"/>
    <n v="0"/>
    <s v="Svinegylle"/>
    <m/>
    <n v="2.94"/>
    <n v="0"/>
    <n v="5.0000000000000001E-3"/>
    <n v="0"/>
    <n v="0"/>
    <n v="0.12609999999999999"/>
    <n v="0"/>
    <n v="0.01"/>
    <n v="0"/>
    <n v="0"/>
    <n v="0"/>
  </r>
  <r>
    <s v="Svin"/>
    <n v="1512"/>
    <s v="Antal producerede slagtesvin, 31-110 kg"/>
    <x v="11"/>
    <s v="Dybstrøelse"/>
    <n v="151206"/>
    <x v="3"/>
    <n v="152718"/>
    <n v="27.54"/>
    <m/>
    <s v="Dybstrøelse"/>
    <n v="2.94"/>
    <n v="80.96759999999999"/>
    <n v="7.0000000000000007E-2"/>
    <n v="5.667732"/>
    <n v="8.9064360000000011"/>
    <n v="0.12609999999999999"/>
    <n v="10.210014359999997"/>
    <n v="0.01"/>
    <n v="0.10210014359999997"/>
    <n v="0.16044308279999994"/>
    <n v="9.0668790828000011E-3"/>
  </r>
  <r>
    <s v="Svin"/>
    <n v="1512"/>
    <s v="Antal producerede slagtesvin, 31-110 kg"/>
    <x v="11"/>
    <s v="Delvis spaltegulv, 50-75% fast gulv"/>
    <n v="151207"/>
    <x v="4"/>
    <n v="152719"/>
    <n v="0"/>
    <s v="Svinegylle"/>
    <m/>
    <n v="2.94"/>
    <n v="0"/>
    <n v="5.0000000000000001E-3"/>
    <n v="0"/>
    <n v="0"/>
    <n v="0.12609999999999999"/>
    <n v="0"/>
    <n v="0.01"/>
    <n v="0"/>
    <n v="0"/>
    <n v="0"/>
  </r>
  <r>
    <s v="Svin"/>
    <n v="1512"/>
    <s v="Antal producerede slagtesvin, 31-110 kg"/>
    <x v="11"/>
    <s v="Delvis spaltegulv, 33-49% fast gulv"/>
    <n v="151208"/>
    <x v="4"/>
    <n v="152720"/>
    <n v="0"/>
    <s v="Svinegylle"/>
    <m/>
    <n v="2.94"/>
    <n v="0"/>
    <n v="5.0000000000000001E-3"/>
    <n v="0"/>
    <n v="0"/>
    <n v="0.12609999999999999"/>
    <n v="0"/>
    <n v="0.01"/>
    <n v="0"/>
    <n v="0"/>
    <n v="0"/>
  </r>
  <r>
    <s v="Svin"/>
    <n v="1513"/>
    <s v="1 årsso, øko m, 23,4 grise til 15 kg, andel fra løbe- og drægtighedsperioden"/>
    <x v="9"/>
    <s v="Dyb, hele areal inde, Løbegård (50/50) ude"/>
    <n v="151301"/>
    <x v="3"/>
    <n v="152814"/>
    <s v=" "/>
    <s v="Svinegylle"/>
    <m/>
    <n v="28.5"/>
    <s v=" "/>
    <n v="5.0000000000000001E-3"/>
    <s v=" "/>
    <s v=" "/>
    <n v="0.12609999999999999"/>
    <s v=" "/>
    <n v="0.01"/>
    <s v=" "/>
    <n v="0"/>
    <s v=" "/>
  </r>
  <r>
    <s v="Svin"/>
    <n v="1513"/>
    <s v="1 årsso, øko m, 23,4 grise til 15 kg, andel fra løbe- og drægtighedsperioden"/>
    <x v="9"/>
    <s v="Løbe/drægtighed, udendørs"/>
    <n v="151302"/>
    <x v="4"/>
    <n v="152815"/>
    <s v=" "/>
    <s v="Anden husdyrgødning"/>
    <m/>
    <n v="28.5"/>
    <s v=" "/>
    <n v="5.0000000000000001E-3"/>
    <s v=" "/>
    <s v=" "/>
    <n v="0.12609999999999999"/>
    <s v=" "/>
    <n v="0.01"/>
    <s v=" "/>
    <n v="0"/>
    <s v=" "/>
  </r>
  <r>
    <s v="Svin"/>
    <n v="1513"/>
    <s v="1 årsso m. 33,3 grise til 6,6 kg, andel fra løbe- og drægtighedsstald"/>
    <x v="9"/>
    <s v="Løsgående, dybstrøelse"/>
    <n v="151303"/>
    <x v="3"/>
    <n v="152816"/>
    <s v=" "/>
    <s v="Svinegylle"/>
    <m/>
    <n v="24.2"/>
    <s v=" "/>
    <n v="5.0000000000000001E-3"/>
    <s v=" "/>
    <s v=" "/>
    <n v="0.12609999999999999"/>
    <s v=" "/>
    <n v="0.01"/>
    <s v=" "/>
    <n v="0"/>
    <s v=" "/>
  </r>
  <r>
    <s v="Svin"/>
    <n v="1514"/>
    <s v="1 årsso, øko m, 23,4 grise til 15 kg, andel fra faremarken"/>
    <x v="9"/>
    <s v="Faremark"/>
    <n v="151401"/>
    <x v="5"/>
    <n v="152915"/>
    <s v=" "/>
    <s v="Anden husdyrgødning"/>
    <m/>
    <n v="0.51"/>
    <s v=" "/>
    <n v="5.0000000000000001E-3"/>
    <s v=" "/>
    <s v=" "/>
    <n v="0.12609999999999999"/>
    <s v=" "/>
    <n v="0.01"/>
    <s v=" "/>
    <n v="0"/>
    <s v=" "/>
  </r>
  <r>
    <s v="Svin"/>
    <n v="1515"/>
    <s v="Antal producerede smågrise, økologiske fra 15 - 31 kg"/>
    <x v="10"/>
    <s v="Delvis spaltegulv inde. Løbegård (50/50) ude"/>
    <n v="151501"/>
    <x v="4"/>
    <n v="153016"/>
    <s v=" "/>
    <s v="svinegylle "/>
    <m/>
    <n v="0.51"/>
    <s v=" "/>
    <n v="5.0000000000000001E-3"/>
    <s v=" "/>
    <s v=" "/>
    <n v="0.12609999999999999"/>
    <s v=" "/>
    <n v="0.01"/>
    <s v=" "/>
    <n v="0"/>
    <s v=" "/>
  </r>
  <r>
    <s v="Svin"/>
    <n v="1515"/>
    <s v="Antal producerede smågrise, økologiske fra 15 - 31 kg"/>
    <x v="10"/>
    <s v="Dybstr, (hele arealet) inde, Løbegård (50/50) ude"/>
    <n v="151502"/>
    <x v="3"/>
    <n v="153017"/>
    <s v=" "/>
    <s v="Svinegylle"/>
    <m/>
    <n v="0.51"/>
    <s v=" "/>
    <n v="5.0000000000000001E-3"/>
    <s v=" "/>
    <s v=" "/>
    <n v="0.12609999999999999"/>
    <s v=" "/>
    <n v="0.01"/>
    <s v=" "/>
    <n v="0"/>
    <s v=" "/>
  </r>
  <r>
    <s v="Svin"/>
    <n v="1515"/>
    <s v="Antal producerede smågrise, økologiske fra 15 - 31 kg"/>
    <x v="10"/>
    <s v="Udendørs"/>
    <n v="151503"/>
    <x v="4"/>
    <n v="153018"/>
    <s v=" "/>
    <s v="Anden husdyrgødning"/>
    <m/>
    <n v="0.51"/>
    <s v=" "/>
    <n v="5.0000000000000001E-3"/>
    <s v=" "/>
    <s v=" "/>
    <n v="0.12609999999999999"/>
    <s v=" "/>
    <n v="0.01"/>
    <s v=" "/>
    <n v="0"/>
    <s v=" "/>
  </r>
  <r>
    <s v="Svin"/>
    <n v="1516"/>
    <s v="Antal producerede slagtesvin, økologiske 31-113 kg"/>
    <x v="11"/>
    <s v="Udendørs"/>
    <n v="151601"/>
    <x v="4"/>
    <n v="153117"/>
    <s v=" "/>
    <s v="Anden husdyrgødning"/>
    <m/>
    <n v="3.96"/>
    <s v=" "/>
    <n v="5.0000000000000001E-3"/>
    <s v=" "/>
    <s v=" "/>
    <n v="0.12609999999999999"/>
    <s v=" "/>
    <n v="0.01"/>
    <s v=" "/>
    <n v="0"/>
    <s v=" "/>
  </r>
  <r>
    <s v="Svin"/>
    <n v="1516"/>
    <s v="Antal producerede slagtesvin, økologiske 31-113 kg"/>
    <x v="11"/>
    <s v="Delvis spaltegulv inde, Løbegård (50/50) ude"/>
    <n v="151602"/>
    <x v="4"/>
    <n v="153118"/>
    <s v=" "/>
    <s v="Svinegylle"/>
    <m/>
    <n v="3.96"/>
    <s v=" "/>
    <n v="5.0000000000000001E-3"/>
    <s v=" "/>
    <s v=" "/>
    <n v="0.12609999999999999"/>
    <s v=" "/>
    <n v="0.01"/>
    <s v=" "/>
    <n v="0"/>
    <s v=" "/>
  </r>
  <r>
    <s v="Svin"/>
    <n v="1516"/>
    <s v="Antal producerede slagtesvin, økologiske 31-113 kg"/>
    <x v="11"/>
    <s v="Dybstr, (hele arealet) inde, Løbegård (50/50) ude"/>
    <n v="151603"/>
    <x v="3"/>
    <n v="153119"/>
    <s v=" "/>
    <s v="Svinegylle"/>
    <m/>
    <n v="3.96"/>
    <s v=" "/>
    <n v="5.0000000000000001E-3"/>
    <s v=" "/>
    <s v=" "/>
    <n v="0.12609999999999999"/>
    <s v=" "/>
    <n v="0.01"/>
    <s v=" "/>
    <n v="0"/>
    <s v=" "/>
  </r>
  <r>
    <s v="Svin"/>
    <n v="1520"/>
    <s v="Antal producerede FRATS-svin"/>
    <x v="12"/>
    <s v="Delvis spaltegulv med 50-75% fast gulv"/>
    <n v="152002"/>
    <x v="4"/>
    <n v="153522"/>
    <n v="0"/>
    <s v="Svinegylle"/>
    <m/>
    <n v="2.94"/>
    <n v="0"/>
    <n v="5.0000000000000001E-3"/>
    <n v="0"/>
    <n v="0"/>
    <n v="0.12609999999999999"/>
    <n v="0"/>
    <n v="0.01"/>
    <n v="0"/>
    <n v="0"/>
    <n v="0"/>
  </r>
  <r>
    <s v="Svin"/>
    <n v="1520"/>
    <s v="Antal producerede FRATS-svin"/>
    <x v="12"/>
    <s v="Delvis splategulv med 33-49% fast gulv"/>
    <n v="152003"/>
    <x v="4"/>
    <n v="153523"/>
    <n v="0"/>
    <s v="Svinegylle"/>
    <m/>
    <n v="2.94"/>
    <n v="0"/>
    <n v="5.0000000000000001E-3"/>
    <n v="0"/>
    <n v="0"/>
    <n v="0.12609999999999999"/>
    <n v="0"/>
    <n v="0.01"/>
    <n v="0"/>
    <n v="0"/>
    <n v="0"/>
  </r>
  <r>
    <s v="Svin"/>
    <n v="1520"/>
    <s v="Antal producerede FRATS-svin"/>
    <x v="12"/>
    <s v="Drænet gulv + spalter (33/67)"/>
    <n v="152004"/>
    <x v="4"/>
    <n v="153524"/>
    <n v="0"/>
    <s v="Svinegylle"/>
    <m/>
    <n v="2.94"/>
    <n v="0"/>
    <n v="5.0000000000000001E-3"/>
    <n v="0"/>
    <n v="0"/>
    <n v="0.12609999999999999"/>
    <n v="0"/>
    <n v="0.01"/>
    <n v="0"/>
    <n v="0"/>
    <n v="0"/>
  </r>
  <r>
    <s v="Svin"/>
    <n v="1520"/>
    <s v="Antal producerede FRATS-svin"/>
    <x v="12"/>
    <s v="Fast gulv"/>
    <n v="152005"/>
    <x v="6"/>
    <n v="153525"/>
    <n v="0"/>
    <s v="Fast gødning"/>
    <m/>
    <n v="2.94"/>
    <n v="0"/>
    <n v="5.0000000000000001E-3"/>
    <n v="0"/>
    <n v="0"/>
    <n v="0.12609999999999999"/>
    <n v="0"/>
    <n v="0.01"/>
    <n v="0"/>
    <n v="0"/>
    <n v="0"/>
  </r>
  <r>
    <s v="Svin"/>
    <n v="1520"/>
    <s v="Antal producerede FRATS-svin"/>
    <x v="12"/>
    <s v="Dybstrøelse, opdelt lejeareal"/>
    <n v="152006"/>
    <x v="3"/>
    <n v="153526"/>
    <n v="0"/>
    <s v="Svinegylle"/>
    <m/>
    <n v="2.94"/>
    <n v="0"/>
    <n v="5.0000000000000001E-3"/>
    <n v="0"/>
    <n v="0"/>
    <n v="0.12609999999999999"/>
    <n v="0"/>
    <n v="0.01"/>
    <n v="0"/>
    <n v="0"/>
    <n v="0"/>
  </r>
  <r>
    <s v="Svin"/>
    <n v="1520"/>
    <s v="Antal producerede FRATS-svin"/>
    <x v="12"/>
    <s v="Dybstrøelse"/>
    <n v="152007"/>
    <x v="3"/>
    <n v="153527"/>
    <n v="0"/>
    <m/>
    <s v="Dybstrøelse"/>
    <n v="2.94"/>
    <n v="0"/>
    <n v="7.0000000000000007E-2"/>
    <n v="0"/>
    <n v="0"/>
    <n v="0.12609999999999999"/>
    <n v="0"/>
    <n v="0.01"/>
    <n v="0"/>
    <n v="0"/>
    <n v="0"/>
  </r>
  <r>
    <s v="Hjortedyr"/>
    <n v="2101"/>
    <s v="Hjorte &gt; 15 mdr,"/>
    <x v="13"/>
    <s v="Hjorte &gt; 15 mdr,, 10 stk,"/>
    <n v="210101"/>
    <x v="0"/>
    <n v="212202"/>
    <n v="0"/>
    <m/>
    <s v="Dybstrøelse"/>
    <n v="0.88900000000000001"/>
    <n v="0"/>
    <n v="0.01"/>
    <n v="0"/>
    <n v="0"/>
    <s v="NE"/>
    <s v=" "/>
    <n v="0.01"/>
    <s v=" "/>
    <n v="0"/>
    <n v="0"/>
  </r>
  <r>
    <s v="Hjortedyr"/>
    <n v="2102"/>
    <s v="Hinder &gt; 15 mdr,"/>
    <x v="13"/>
    <s v="Hinder &gt; 15 mdr,, 10 stk,"/>
    <n v="210201"/>
    <x v="0"/>
    <n v="212303"/>
    <n v="0"/>
    <m/>
    <s v="Dybstrøelse"/>
    <n v="0.88900000000000001"/>
    <n v="0"/>
    <n v="0.01"/>
    <n v="0"/>
    <n v="0"/>
    <s v="NE"/>
    <s v=" "/>
    <n v="0.01"/>
    <s v=" "/>
    <n v="0"/>
    <n v="0"/>
  </r>
  <r>
    <s v="Hjortedyr"/>
    <n v="2103"/>
    <s v="Unge hjorte 3-15 mdr,"/>
    <x v="13"/>
    <s v="Unge hjorte 3-15 mdr,, 10 stk,"/>
    <n v="210301"/>
    <x v="0"/>
    <n v="212404"/>
    <n v="0"/>
    <m/>
    <s v="Dybstrøelse"/>
    <n v="0.88900000000000001"/>
    <n v="0"/>
    <n v="0.01"/>
    <n v="0"/>
    <n v="0"/>
    <s v="NE"/>
    <s v=" "/>
    <n v="0.01"/>
    <s v=" "/>
    <n v="0"/>
    <n v="0"/>
  </r>
  <r>
    <s v="Hjortedyr"/>
    <n v="2104"/>
    <s v="Unge hinder 3-15 mdr,"/>
    <x v="13"/>
    <s v="Unge hinder 3-15 mdr,, 10 stk,"/>
    <n v="210401"/>
    <x v="0"/>
    <n v="212505"/>
    <n v="0"/>
    <m/>
    <s v="Dybstrøelse"/>
    <n v="0.88900000000000001"/>
    <n v="0"/>
    <n v="0.01"/>
    <n v="0"/>
    <n v="0"/>
    <s v="NE"/>
    <s v=" "/>
    <n v="0.01"/>
    <s v=" "/>
    <n v="0"/>
    <n v="0"/>
  </r>
  <r>
    <s v="Hjortedyr"/>
    <n v="2105"/>
    <s v="Årshind"/>
    <x v="13"/>
    <s v="Årshind, 1 stk,"/>
    <n v="210501"/>
    <x v="0"/>
    <n v="212606"/>
    <n v="0"/>
    <m/>
    <s v="Dybstrøelse"/>
    <n v="0.88900000000000001"/>
    <n v="0"/>
    <n v="0.01"/>
    <n v="0"/>
    <n v="0"/>
    <s v="NE"/>
    <s v=" "/>
    <n v="0.01"/>
    <s v=" "/>
    <n v="0"/>
    <n v="0"/>
  </r>
  <r>
    <s v="Hjortedyr"/>
    <n v="2106"/>
    <s v="Dådyr"/>
    <x v="13"/>
    <s v="Dådyr, 1 stk,"/>
    <n v="210601"/>
    <x v="0"/>
    <n v="212707"/>
    <n v="0"/>
    <m/>
    <s v="Dybstrøelse"/>
    <n v="0.88900000000000001"/>
    <n v="0"/>
    <n v="0.01"/>
    <n v="0"/>
    <n v="0"/>
    <s v="NE"/>
    <s v=" "/>
    <n v="0.01"/>
    <s v=" "/>
    <n v="0"/>
    <n v="0"/>
  </r>
  <r>
    <s v="Mink"/>
    <n v="2400"/>
    <s v="Mink, 1 årstæve"/>
    <x v="14"/>
    <s v="Kødædende pelsdyr, bure, gødn.rende, ugentlig tømn"/>
    <n v="240001"/>
    <x v="0"/>
    <n v="242401"/>
    <n v="28565.51"/>
    <s v="Minkgylle"/>
    <s v="Dybstrøelse"/>
    <n v="5.97"/>
    <n v="170536.09469999999"/>
    <n v="5.0000000000000001E-3"/>
    <n v="852.68047349999995"/>
    <n v="1339.9264583571428"/>
    <s v="NE"/>
    <s v=" "/>
    <n v="0.01"/>
    <s v=" "/>
    <n v="0"/>
    <n v="1.3399264583571429"/>
  </r>
  <r>
    <s v="Mink"/>
    <n v="2400"/>
    <s v="Mink, 1 årstæve"/>
    <x v="14"/>
    <s v="Kødædende pelsdyr, bure, fast gødning i gødn.rende"/>
    <n v="240003"/>
    <x v="0"/>
    <n v="242403"/>
    <n v="0"/>
    <s v="Anden husdyrgødning"/>
    <m/>
    <n v="5.97"/>
    <n v="0"/>
    <n v="0.01"/>
    <n v="0"/>
    <n v="0"/>
    <s v="NE"/>
    <s v=" "/>
    <n v="0.01"/>
    <s v=" "/>
    <n v="0"/>
    <n v="0"/>
  </r>
  <r>
    <s v="Chincilla "/>
    <n v="2501"/>
    <s v="Chincilla"/>
    <x v="14"/>
    <s v="Chinchilla, 100 stk."/>
    <n v="240101"/>
    <x v="0"/>
    <n v="242602"/>
    <s v=" "/>
    <m/>
    <s v="Dybstrøelse"/>
    <n v="0.88900000000000001"/>
    <s v=" "/>
    <n v="0.01"/>
    <s v=" "/>
    <s v=" "/>
    <s v="NE"/>
    <s v=" "/>
    <n v="0.01"/>
    <s v=" "/>
    <n v="0"/>
    <s v=" "/>
  </r>
  <r>
    <s v="Høns af æglægningstype"/>
    <n v="3101"/>
    <s v="Fritgående, konsumæg, "/>
    <x v="15"/>
    <s v="Fritgående, konsumæg, gulvdrift + gødningskummer"/>
    <n v="310101"/>
    <x v="5"/>
    <n v="313202"/>
    <n v="0"/>
    <s v="Fast gødning"/>
    <m/>
    <n v="0.80099999999999993"/>
    <n v="0"/>
    <n v="1E-3"/>
    <n v="0"/>
    <n v="0"/>
    <n v="0.33360000000000001"/>
    <n v="0"/>
    <n v="0.01"/>
    <n v="0"/>
    <n v="0"/>
    <n v="0"/>
  </r>
  <r>
    <s v="Høns af æglægningstype"/>
    <n v="3101"/>
    <s v="Fritgående, konsumæg, "/>
    <x v="15"/>
    <s v="Fritgående, konsumæg, gulvdrift uden gødningskumme"/>
    <n v="310102"/>
    <x v="5"/>
    <n v="313203"/>
    <n v="0"/>
    <m/>
    <s v="Dybstrøelse"/>
    <n v="0.80099999999999993"/>
    <n v="0"/>
    <n v="1E-3"/>
    <n v="0"/>
    <n v="0"/>
    <n v="0.33360000000000001"/>
    <n v="0"/>
    <n v="0.01"/>
    <n v="0"/>
    <n v="0"/>
    <n v="0"/>
  </r>
  <r>
    <s v="Høns af æglægningstype"/>
    <n v="3101"/>
    <s v="Fritgående, konsumæg, "/>
    <x v="15"/>
    <s v="Friland, konsumæg, gulvdrift fler-etagesystem"/>
    <n v="310103"/>
    <x v="5"/>
    <n v="313204"/>
    <n v="0"/>
    <s v="Fast gødning"/>
    <m/>
    <n v="0.80099999999999993"/>
    <n v="0"/>
    <n v="1E-3"/>
    <n v="0"/>
    <n v="0"/>
    <n v="0.33360000000000001"/>
    <n v="0"/>
    <n v="0.01"/>
    <n v="0"/>
    <n v="0"/>
    <n v="0"/>
  </r>
  <r>
    <s v="Høns af æglægningstype "/>
    <n v="3101"/>
    <s v="Friland, konsumæg"/>
    <x v="15"/>
    <s v="Friland, konsumæg, gulv+fler etage m bånd"/>
    <n v="310104"/>
    <x v="5"/>
    <n v="313205"/>
    <s v=" "/>
    <m/>
    <m/>
    <n v="0.88900000000000001"/>
    <s v=" "/>
    <n v="1E-3"/>
    <s v=" "/>
    <s v=" "/>
    <n v="0.33360000000000001"/>
    <s v=" "/>
    <n v="0.01"/>
    <s v=" "/>
    <n v="0"/>
    <s v=" "/>
  </r>
  <r>
    <s v="Høns af æglægningstype"/>
    <n v="3102"/>
    <s v="Økologiske, konsumæg, "/>
    <x v="15"/>
    <s v="Økologiske, konsumæg, gulvdrift + fler-etage bånd"/>
    <n v="310201"/>
    <x v="0"/>
    <n v="313303"/>
    <n v="0"/>
    <s v="Fast gødning"/>
    <m/>
    <n v="0.90300000000000002"/>
    <n v="0"/>
    <n v="1E-3"/>
    <n v="0"/>
    <n v="0"/>
    <n v="0.33360000000000001"/>
    <n v="0"/>
    <n v="0.01"/>
    <n v="0"/>
    <n v="0"/>
    <n v="0"/>
  </r>
  <r>
    <s v="Høns af æglægningstype"/>
    <n v="3102"/>
    <s v="Økologiske, konsumæg, "/>
    <x v="15"/>
    <s v="Økologiske, konsumæg, gulvdrift + gødningskumme"/>
    <n v="310202"/>
    <x v="0"/>
    <n v="313304"/>
    <n v="0"/>
    <s v="Fast gødning"/>
    <m/>
    <n v="0.90300000000000002"/>
    <n v="0"/>
    <n v="1E-3"/>
    <n v="0"/>
    <n v="0"/>
    <n v="0.33360000000000001"/>
    <n v="0"/>
    <n v="0.01"/>
    <n v="0"/>
    <n v="0"/>
    <n v="0"/>
  </r>
  <r>
    <s v="Høns af æglægningstype"/>
    <n v="3103"/>
    <s v="Skrabehøner, konsumæg "/>
    <x v="15"/>
    <s v="Skrabehøner, konsumæg, gulvdrift + gødningskummer"/>
    <n v="310301"/>
    <x v="0"/>
    <n v="313404"/>
    <n v="0"/>
    <s v="Fast gødning"/>
    <s v="Dybstrøelse"/>
    <n v="0.77700000000000002"/>
    <n v="0"/>
    <n v="1E-3"/>
    <n v="0"/>
    <n v="0"/>
    <n v="0.33360000000000001"/>
    <n v="0"/>
    <n v="0.01"/>
    <n v="0"/>
    <n v="0"/>
    <n v="0"/>
  </r>
  <r>
    <s v="Høns af æglægningstype"/>
    <n v="3103"/>
    <s v="Skrabehøner, konsumæg "/>
    <x v="15"/>
    <s v="Skrabehøner, konsumæg, fler-etagesystem med gødnin"/>
    <n v="310302"/>
    <x v="0"/>
    <n v="313405"/>
    <n v="0"/>
    <s v="Fast gødning"/>
    <m/>
    <n v="0.77700000000000002"/>
    <n v="0"/>
    <n v="1E-3"/>
    <n v="0"/>
    <n v="0"/>
    <n v="0.33360000000000001"/>
    <n v="0"/>
    <n v="0.01"/>
    <n v="0"/>
    <n v="0"/>
    <n v="0"/>
  </r>
  <r>
    <s v="Høns af æglægningstype"/>
    <n v="3104"/>
    <s v="Burhøns, konsumæg "/>
    <x v="15"/>
    <s v="Burhøns, konsumæg, bånd, fast gødning"/>
    <n v="310402"/>
    <x v="0"/>
    <n v="313506"/>
    <n v="0"/>
    <s v="Fast gødning"/>
    <m/>
    <n v="0.67900000000000005"/>
    <n v="0"/>
    <n v="1E-3"/>
    <n v="0"/>
    <n v="0"/>
    <n v="0.33360000000000001"/>
    <n v="0"/>
    <n v="0.01"/>
    <n v="0"/>
    <n v="0"/>
    <n v="0"/>
  </r>
  <r>
    <s v="Høns af æglægningstype"/>
    <n v="3104"/>
    <s v="Burhøns, konsumæg "/>
    <x v="15"/>
    <s v="Burhøns, konsumæg, bånd, gylle"/>
    <n v="310403"/>
    <x v="0"/>
    <n v="313507"/>
    <n v="0"/>
    <s v="Fjerkrægylle"/>
    <m/>
    <n v="0.67900000000000005"/>
    <n v="0"/>
    <n v="1E-3"/>
    <n v="0"/>
    <n v="0"/>
    <n v="0.33360000000000001"/>
    <n v="0"/>
    <n v="0.01"/>
    <n v="0"/>
    <n v="0"/>
    <n v="0"/>
  </r>
  <r>
    <s v="Høns af æglægningstype"/>
    <n v="3105"/>
    <s v="Rugeæg (hpr-høner), "/>
    <x v="15"/>
    <s v="Rugeæg (hpr-høner), gulvdrift + gødningskummer"/>
    <n v="310501"/>
    <x v="0"/>
    <n v="313606"/>
    <n v="0"/>
    <m/>
    <s v="Dybstrøelse"/>
    <n v="0.88900000000000001"/>
    <n v="0"/>
    <n v="1E-3"/>
    <n v="0"/>
    <n v="0"/>
    <n v="0.33360000000000001"/>
    <n v="0"/>
    <n v="0.01"/>
    <n v="0"/>
    <n v="0"/>
    <n v="0"/>
  </r>
  <r>
    <s v="Høns af æglægningstype"/>
    <n v="3106"/>
    <s v="Friland, konsumæg"/>
    <x v="15"/>
    <s v="Friland, konsumæg, gulv+fler etage m bånd"/>
    <n v="310601"/>
    <x v="5"/>
    <n v="313707"/>
    <n v="0"/>
    <s v="Fjerkrægylle"/>
    <s v="Dybstrøelse"/>
    <n v="0.88900000000000001"/>
    <n v="0"/>
    <n v="1E-3"/>
    <n v="0"/>
    <n v="0"/>
    <n v="0.33360000000000001"/>
    <n v="0"/>
    <n v="0.01"/>
    <n v="0"/>
    <n v="0"/>
    <n v="0"/>
  </r>
  <r>
    <s v="Høns af æglægningstype"/>
    <n v="3107"/>
    <s v="Økologiske, konsumæg"/>
    <x v="15"/>
    <s v="Økologiske, konsumæg, gulv+fler-etage m bånd"/>
    <n v="310701"/>
    <x v="0"/>
    <n v="313808"/>
    <n v="0"/>
    <s v="Fjerkrægylle"/>
    <s v="Dybstrøelse"/>
    <n v="0.90300000000000002"/>
    <n v="0"/>
    <n v="1E-3"/>
    <n v="0"/>
    <n v="0"/>
    <n v="0.33360000000000001"/>
    <n v="0"/>
    <n v="0.01"/>
    <n v="0"/>
    <n v="0"/>
    <n v="0"/>
  </r>
  <r>
    <s v="Høns af æglægningstype"/>
    <n v="3111"/>
    <s v="Hønniker, konsum "/>
    <x v="15"/>
    <s v="Konsum, Bure, Produktionstid 118 dage"/>
    <n v="311105"/>
    <x v="0"/>
    <n v="314216"/>
    <n v="0"/>
    <s v="Fast gødning"/>
    <m/>
    <n v="0.67900000000000005"/>
    <n v="0"/>
    <n v="1E-3"/>
    <n v="0"/>
    <n v="0"/>
    <n v="0.33360000000000001"/>
    <n v="0"/>
    <n v="0.01"/>
    <n v="0"/>
    <n v="0"/>
    <n v="0"/>
  </r>
  <r>
    <s v="Høns af æglægningstype"/>
    <n v="3111"/>
    <s v="Hønniker, konsum "/>
    <x v="15"/>
    <s v="Konsum, Gulvdrift, produktionstid 118 dage"/>
    <n v="311106"/>
    <x v="0"/>
    <n v="314217"/>
    <n v="0"/>
    <m/>
    <s v="Dybstrøelse"/>
    <n v="0.67900000000000005"/>
    <n v="0"/>
    <n v="1E-3"/>
    <n v="0"/>
    <n v="0"/>
    <n v="0.33360000000000001"/>
    <n v="0"/>
    <n v="0.01"/>
    <n v="0"/>
    <n v="0"/>
    <n v="0"/>
  </r>
  <r>
    <s v="Høns af æglægningstype"/>
    <n v="3112"/>
    <s v="Hønniker, Hpr "/>
    <x v="15"/>
    <s v="Rugeæg (hpr), gulvdrift, produktionstid 119 dage"/>
    <n v="311201"/>
    <x v="0"/>
    <n v="314313"/>
    <n v="0"/>
    <m/>
    <s v="Dybstrøelse"/>
    <n v="0.88900000000000001"/>
    <n v="0"/>
    <n v="1E-3"/>
    <n v="0"/>
    <n v="0"/>
    <n v="0.33360000000000001"/>
    <n v="0"/>
    <n v="0.01"/>
    <n v="0"/>
    <n v="0"/>
    <n v="0"/>
  </r>
  <r>
    <s v="Høns af slagtetype"/>
    <n v="3201"/>
    <s v="producerede slagtekyllinger, levende vægt ved slagtning 1,85 kg"/>
    <x v="15"/>
    <s v="Levende vægt ved slagtning"/>
    <n v="320101"/>
    <x v="0"/>
    <n v="323302"/>
    <n v="0"/>
    <m/>
    <s v="Dybstrøelse"/>
    <n v="0.88900000000000001"/>
    <n v="0"/>
    <n v="1E-3"/>
    <n v="0"/>
    <n v="0"/>
    <n v="0.13450000000000001"/>
    <n v="0"/>
    <n v="0.01"/>
    <n v="0"/>
    <n v="0"/>
    <n v="0"/>
  </r>
  <r>
    <s v="Høns af slagtetype"/>
    <n v="3202"/>
    <s v="producerede slagtekyllinger, levende vægt ved slagtning 2,13 kg"/>
    <x v="15"/>
    <s v="Levende vægt ved slagtning"/>
    <n v="320201"/>
    <x v="0"/>
    <n v="323403"/>
    <n v="0"/>
    <m/>
    <s v="Dybstrøelse"/>
    <n v="0.88900000000000001"/>
    <n v="0"/>
    <n v="1E-3"/>
    <n v="0"/>
    <n v="0"/>
    <n v="0.13450000000000001"/>
    <n v="0"/>
    <n v="0.01"/>
    <n v="0"/>
    <n v="0"/>
    <n v="0"/>
  </r>
  <r>
    <s v="Høns af slagtetype"/>
    <n v="3203"/>
    <s v="producerede slagtekyllinger, levende vægt ved slagtning 2.60 kg"/>
    <x v="15"/>
    <s v="Levende vægt ved slagtning"/>
    <n v="320301"/>
    <x v="0"/>
    <n v="323504"/>
    <s v=" "/>
    <m/>
    <m/>
    <n v="0.88900000000000001"/>
    <s v=" "/>
    <n v="1E-3"/>
    <s v=" "/>
    <s v=" "/>
    <n v="0.13450000000000001"/>
    <s v=" "/>
    <n v="0.01"/>
    <s v=" "/>
    <n v="0"/>
    <s v=" "/>
  </r>
  <r>
    <s v="Høns af slagtetype"/>
    <n v="3204"/>
    <s v="producerede slagtekyllinger, levende vægt ved slagtning, 3,07 kg"/>
    <x v="15"/>
    <s v="Levende vægt ved slagtning"/>
    <n v="320401"/>
    <x v="0"/>
    <n v="323605"/>
    <n v="0"/>
    <m/>
    <s v="Dybstrøelse"/>
    <n v="0.88900000000000001"/>
    <n v="0"/>
    <n v="1E-3"/>
    <n v="0"/>
    <n v="0"/>
    <n v="0.13450000000000001"/>
    <n v="0"/>
    <n v="0.01"/>
    <n v="0"/>
    <n v="0"/>
    <n v="0"/>
  </r>
  <r>
    <s v="Høns af slagtetype"/>
    <n v="3230"/>
    <s v="producerede slagtekyllinger, 30 dage "/>
    <x v="15"/>
    <s v="Produktionstid 30 dage"/>
    <n v="323001"/>
    <x v="0"/>
    <n v="326231"/>
    <n v="0"/>
    <m/>
    <s v="Dybstrøelse"/>
    <n v="3.0800000000000001E-2"/>
    <n v="0"/>
    <n v="1E-3"/>
    <n v="0"/>
    <n v="0"/>
    <n v="0.13450000000000001"/>
    <n v="0"/>
    <n v="0.01"/>
    <n v="0"/>
    <n v="0"/>
    <n v="0"/>
  </r>
  <r>
    <s v="Høns af slagtetype"/>
    <n v="3232"/>
    <s v="producerede slagtekyllinger, 32 dage"/>
    <x v="15"/>
    <s v="Produktionstid 32 dage"/>
    <n v="323201"/>
    <x v="0"/>
    <n v="326433"/>
    <n v="0"/>
    <m/>
    <s v="Dybstrøelse"/>
    <n v="3.5900000000000001E-2"/>
    <n v="0"/>
    <n v="1E-3"/>
    <n v="0"/>
    <n v="0"/>
    <n v="0.13450000000000001"/>
    <n v="0"/>
    <n v="0.01"/>
    <n v="0"/>
    <n v="0"/>
    <n v="0"/>
  </r>
  <r>
    <s v="Høns af slagtetype"/>
    <n v="3235"/>
    <s v="producerede slagtekyllinger, 35 dage"/>
    <x v="15"/>
    <s v="Produktionstid 35 dage"/>
    <n v="323501"/>
    <x v="0"/>
    <n v="326736"/>
    <n v="0"/>
    <m/>
    <s v="Dybstrøelse"/>
    <n v="4.7399999999999998E-2"/>
    <n v="0"/>
    <n v="1E-3"/>
    <n v="0"/>
    <n v="0"/>
    <n v="0.13450000000000001"/>
    <n v="0"/>
    <n v="0.01"/>
    <n v="0"/>
    <n v="0"/>
    <n v="0"/>
  </r>
  <r>
    <s v="Høns af slagtetype"/>
    <n v="3240"/>
    <s v="producerede slagtekyllinger, 40 dage"/>
    <x v="15"/>
    <s v="Produktionstid 40 dage"/>
    <n v="324001"/>
    <x v="0"/>
    <n v="327241"/>
    <n v="0"/>
    <m/>
    <s v="Dybstrøelse"/>
    <n v="6.2899999999999998E-2"/>
    <n v="0"/>
    <n v="1E-3"/>
    <n v="0"/>
    <n v="0"/>
    <n v="0.13450000000000001"/>
    <n v="0"/>
    <n v="0.01"/>
    <n v="0"/>
    <n v="0"/>
    <n v="0"/>
  </r>
  <r>
    <s v="Høns af slagtetype"/>
    <n v="3245"/>
    <s v="producerede slagtekyllinger, 45 dage"/>
    <x v="15"/>
    <s v="Produktionstid 45 dage"/>
    <n v="324501"/>
    <x v="0"/>
    <n v="327746"/>
    <n v="0"/>
    <m/>
    <s v="Dybstrøelse"/>
    <n v="0.83400000000000007"/>
    <n v="0"/>
    <n v="1E-3"/>
    <n v="0"/>
    <n v="0"/>
    <n v="0.13450000000000001"/>
    <n v="0"/>
    <n v="0.01"/>
    <n v="0"/>
    <n v="0"/>
    <n v="0"/>
  </r>
  <r>
    <s v="Høns af slagtetype"/>
    <n v="3256"/>
    <s v="producerede skrabekyllinger, 56 dage "/>
    <x v="15"/>
    <s v="Skrabekyllinger, 44 dage"/>
    <n v="325601"/>
    <x v="0"/>
    <n v="328857"/>
    <n v="0"/>
    <m/>
    <s v="Dybstrøelse"/>
    <n v="4.9399999999999999E-2"/>
    <n v="0"/>
    <n v="1E-3"/>
    <n v="0"/>
    <n v="0"/>
    <n v="0.13450000000000001"/>
    <n v="0"/>
    <n v="0.01"/>
    <n v="0"/>
    <n v="0"/>
    <n v="0"/>
  </r>
  <r>
    <s v="Høns af slagtetype"/>
    <n v="3281"/>
    <s v="Økologiske slagtekyllinger, 63 dage "/>
    <x v="15"/>
    <s v="Økologiske slagtekyllinger, 63 dage"/>
    <n v="328101"/>
    <x v="0"/>
    <n v="331382"/>
    <n v="0"/>
    <m/>
    <s v="Dybstrøelse"/>
    <n v="0.108"/>
    <n v="0"/>
    <n v="1E-3"/>
    <n v="0"/>
    <n v="0"/>
    <n v="0.13450000000000001"/>
    <n v="0"/>
    <n v="0.01"/>
    <n v="0"/>
    <n v="0"/>
    <n v="0"/>
  </r>
  <r>
    <s v="Høns af slagtetype"/>
    <n v="3290"/>
    <s v="Rugeæg (HPR-høner)"/>
    <x v="15"/>
    <s v="Rugeæg (hpr-høner), gulvdrift og gødningskummer"/>
    <n v="329001"/>
    <x v="0"/>
    <n v="332291"/>
    <n v="0"/>
    <m/>
    <s v="Dybstrøelse"/>
    <n v="0.88900000000000001"/>
    <n v="0"/>
    <n v="1E-3"/>
    <n v="0"/>
    <n v="0"/>
    <n v="0.13450000000000001"/>
    <n v="0"/>
    <n v="0.01"/>
    <n v="0"/>
    <n v="0"/>
    <n v="0"/>
  </r>
  <r>
    <s v="Høns af slagtetype"/>
    <n v="3295"/>
    <s v="Hønniker, Hpr "/>
    <x v="15"/>
    <s v="Rugeæg (hønniker, Hpr), gulvdrift, prod 119 dage"/>
    <n v="329501"/>
    <x v="0"/>
    <n v="332796"/>
    <n v="0"/>
    <m/>
    <m/>
    <n v="0.88900000000000001"/>
    <n v="0"/>
    <n v="1E-3"/>
    <n v="0"/>
    <n v="0"/>
    <n v="0.33360000000000001"/>
    <n v="0"/>
    <n v="0.01"/>
    <n v="0"/>
    <n v="0"/>
    <n v="0"/>
  </r>
  <r>
    <s v="Høns af æglægningstype"/>
    <n v="3295"/>
    <s v="Rugeæg (hønniker, HPR)"/>
    <x v="15"/>
    <s v="Rugeæg (hønniker, Hpr), gulvdrift, prod. 119 dage"/>
    <n v="329501"/>
    <x v="0"/>
    <n v="332796"/>
    <n v="0"/>
    <m/>
    <s v="Dybstrøelse"/>
    <n v="0.88900000000000001"/>
    <n v="0"/>
    <n v="1E-3"/>
    <n v="0"/>
    <n v="0"/>
    <n v="0.33360000000000001"/>
    <n v="0"/>
    <n v="0.01"/>
    <n v="0"/>
    <n v="0"/>
    <n v="0"/>
  </r>
  <r>
    <s v="Kalkun"/>
    <n v="3301"/>
    <s v="Kalkuner, tunge hunner, produktionstid 112 dage "/>
    <x v="15"/>
    <s v="Kalkuner, tunge hunner, produktionstid 112 dage"/>
    <n v="330101"/>
    <x v="0"/>
    <n v="333402"/>
    <n v="0"/>
    <m/>
    <s v="Dybstrøelse"/>
    <n v="0.48100000000000004"/>
    <n v="0"/>
    <n v="1E-3"/>
    <n v="0"/>
    <n v="0"/>
    <n v="0.26850000000000002"/>
    <n v="0"/>
    <n v="0.01"/>
    <n v="0"/>
    <n v="0"/>
    <n v="0"/>
  </r>
  <r>
    <s v="Kalkun"/>
    <n v="3302"/>
    <s v="Kalkuner, tunge hanner, produktionstid 147 dage"/>
    <x v="15"/>
    <s v="Kalkuner, tunge hanner, produktionstid 147 dage"/>
    <n v="330201"/>
    <x v="0"/>
    <n v="333503"/>
    <n v="0"/>
    <m/>
    <s v="Dybstrøelse"/>
    <n v="0.878"/>
    <n v="0"/>
    <n v="1E-3"/>
    <n v="0"/>
    <n v="0"/>
    <n v="0.26850000000000002"/>
    <n v="0"/>
    <n v="0.01"/>
    <n v="0"/>
    <n v="0"/>
    <n v="0"/>
  </r>
  <r>
    <s v="Gæs"/>
    <n v="3400"/>
    <s v="Gæs, produktionstid 91 dage (100 stk)"/>
    <x v="15"/>
    <s v="Gæs, produktionstid 91 dage"/>
    <n v="340001"/>
    <x v="6"/>
    <n v="343401"/>
    <n v="0"/>
    <m/>
    <s v="Dybstrøelse"/>
    <n v="0.56100000000000005"/>
    <n v="0"/>
    <n v="1E-3"/>
    <n v="0"/>
    <n v="0"/>
    <n v="0.1152"/>
    <n v="0"/>
    <n v="0.01"/>
    <n v="0"/>
    <n v="0"/>
    <n v="0"/>
  </r>
  <r>
    <s v="Ænder"/>
    <n v="3500"/>
    <s v="Ænder, produktionstid 52 dage "/>
    <x v="15"/>
    <s v="Ænder, produktionstid 52 dage"/>
    <n v="350001"/>
    <x v="0"/>
    <n v="353501"/>
    <n v="0"/>
    <m/>
    <s v="Dybstrøelse"/>
    <n v="0.17300000000000001"/>
    <n v="0"/>
    <n v="1E-3"/>
    <n v="0"/>
    <n v="0"/>
    <n v="0.1152"/>
    <n v="0"/>
    <n v="0.01"/>
    <n v="0"/>
    <n v="0"/>
    <n v="0"/>
  </r>
  <r>
    <s v="Fasaner"/>
    <n v="4401"/>
    <s v="Fasaner, høner"/>
    <x v="15"/>
    <s v="Fasan, høner, 100 stk, avlsdyr"/>
    <n v="440101"/>
    <x v="0"/>
    <n v="444502"/>
    <s v=" "/>
    <m/>
    <s v="Dybstrøelse"/>
    <n v="0.88900000000000001"/>
    <s v=" "/>
    <n v="0.01"/>
    <s v=" "/>
    <s v=" "/>
    <n v="0.1152"/>
    <s v=" "/>
    <n v="0.01"/>
    <s v=" "/>
    <n v="0"/>
    <s v=" "/>
  </r>
  <r>
    <s v="Fasaner"/>
    <n v="4402"/>
    <s v="Fasaner, opdræt"/>
    <x v="15"/>
    <s v="Fasan, opdræt, 1000 stk."/>
    <n v="440201"/>
    <x v="0"/>
    <n v="444603"/>
    <s v=" "/>
    <m/>
    <s v="Dybstrøelse"/>
    <n v="0.88900000000000001"/>
    <s v=" "/>
    <n v="0.01"/>
    <s v=" "/>
    <s v=" "/>
    <n v="0.1152"/>
    <s v=" "/>
    <n v="0.01"/>
    <s v=" "/>
    <n v="0"/>
    <s v=" "/>
  </r>
  <r>
    <s v="Andet"/>
    <n v="4501"/>
    <s v="Agerhøns, avlsdyr"/>
    <x v="15"/>
    <s v="Agerhøns, avlsdyr, 100 stk,"/>
    <n v="450101"/>
    <x v="0"/>
    <n v="454602"/>
    <n v="0"/>
    <m/>
    <s v="Dybstrøelse"/>
    <n v="0.88900000000000001"/>
    <n v="0"/>
    <n v="1E-3"/>
    <n v="0"/>
    <n v="0"/>
    <n v="0.1152"/>
    <n v="0"/>
    <n v="0.01"/>
    <n v="0"/>
    <n v="0"/>
    <n v="0"/>
  </r>
  <r>
    <s v="Andet"/>
    <n v="4502"/>
    <s v="Agerhøns, opdræt"/>
    <x v="15"/>
    <s v="Agerhøns, opdræt, 100 stk."/>
    <n v="450201"/>
    <x v="0"/>
    <n v="454703"/>
    <s v=" "/>
    <m/>
    <s v="Dybstrøelse"/>
    <n v="0.88900000000000001"/>
    <s v=" "/>
    <n v="1E-3"/>
    <s v=" "/>
    <s v=" "/>
    <n v="0.1152"/>
    <s v=" "/>
    <n v="0.01"/>
    <s v=" "/>
    <n v="0"/>
    <s v=" "/>
  </r>
  <r>
    <s v="Andet"/>
    <n v="4701"/>
    <s v="Struds, kylling, 0-3 mdr,"/>
    <x v="15"/>
    <s v="Struds, kylling, 0-3 mdr, 100 producerede dyr"/>
    <n v="470101"/>
    <x v="0"/>
    <n v="474802"/>
    <n v="0"/>
    <m/>
    <s v="Dybstrøelse"/>
    <n v="0.88900000000000001"/>
    <n v="0"/>
    <n v="0.01"/>
    <n v="0"/>
    <n v="0"/>
    <n v="0.1152"/>
    <n v="0"/>
    <n v="0.01"/>
    <n v="0"/>
    <n v="0"/>
    <n v="0"/>
  </r>
  <r>
    <s v="Andet"/>
    <n v="4703"/>
    <s v="Struds, kylling, 3-14 mdr,"/>
    <x v="15"/>
    <s v="Struds, kylling, 3-14 mdr, 10 producerede dyr"/>
    <n v="470301"/>
    <x v="0"/>
    <n v="475004"/>
    <n v="0"/>
    <m/>
    <s v="Dybstrøelse"/>
    <n v="0.88900000000000001"/>
    <n v="0"/>
    <n v="0.01"/>
    <n v="0"/>
    <n v="0"/>
    <n v="0.1152"/>
    <n v="0"/>
    <n v="0.01"/>
    <n v="0"/>
    <n v="0"/>
    <n v="0"/>
  </r>
  <r>
    <s v="Andet"/>
    <n v="4705"/>
    <s v="Struds, voksen, hun"/>
    <x v="15"/>
    <s v="Struds, voksen, hun, 10 årsdyr"/>
    <n v="470501"/>
    <x v="0"/>
    <n v="475206"/>
    <n v="0"/>
    <m/>
    <s v="Dybstrøelse"/>
    <n v="0.88900000000000001"/>
    <n v="0"/>
    <n v="0.01"/>
    <n v="0"/>
    <n v="0"/>
    <n v="0.1152"/>
    <n v="0"/>
    <n v="0.01"/>
    <n v="0"/>
    <n v="0"/>
    <n v="0"/>
  </r>
  <r>
    <s v="Andet"/>
    <n v="4706"/>
    <s v="Struds, voksen, han"/>
    <x v="15"/>
    <s v="Struds, voksen, han, 10 årsdyr"/>
    <n v="470601"/>
    <x v="0"/>
    <n v="475307"/>
    <n v="0"/>
    <m/>
    <s v="Dybstrøelse"/>
    <n v="0.88900000000000001"/>
    <n v="0"/>
    <n v="0.01"/>
    <n v="0"/>
    <n v="0"/>
    <n v="0.1152"/>
    <n v="0"/>
    <n v="0.01"/>
    <n v="0"/>
    <n v="0"/>
    <n v="0"/>
  </r>
  <r>
    <s v="Ræve"/>
    <n v="9923"/>
    <s v="Pelsdyr, andre staldsystemer (antal DE)"/>
    <x v="14"/>
    <s v="Andre ræve eller ræve, andre staldsystemer"/>
    <n v="992301"/>
    <x v="0"/>
    <n v="1002224"/>
    <n v="0"/>
    <s v="Anden husdyrgødning"/>
    <m/>
    <n v="0.88900000000000001"/>
    <n v="0"/>
    <n v="0.01"/>
    <n v="0"/>
    <n v="0"/>
    <s v="NE"/>
    <s v=" "/>
    <n v="0.01"/>
    <s v=" "/>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6B4B0F2-8026-4E38-8D8A-EDA0DE1F1922}" name="Pivottabel2" cacheId="0" applyNumberFormats="0" applyBorderFormats="0" applyFontFormats="0" applyPatternFormats="0" applyAlignmentFormats="0" applyWidthHeightFormats="1" dataCaption="Værdier" updatedVersion="8" minRefreshableVersion="3" itemPrintTitles="1" createdVersion="6" indent="0" outline="1" outlineData="1" multipleFieldFilters="0" colHeaderCaption="">
  <location ref="A22:R31" firstHeaderRow="1" firstDataRow="2" firstDataCol="1"/>
  <pivotFields count="25">
    <pivotField showAll="0"/>
    <pivotField showAll="0"/>
    <pivotField showAll="0"/>
    <pivotField axis="axisCol" showAll="0">
      <items count="18">
        <item x="7"/>
        <item x="6"/>
        <item x="15"/>
        <item x="12"/>
        <item x="8"/>
        <item x="0"/>
        <item x="13"/>
        <item x="3"/>
        <item x="14"/>
        <item x="11"/>
        <item x="4"/>
        <item x="5"/>
        <item x="10"/>
        <item x="2"/>
        <item x="1"/>
        <item x="9"/>
        <item m="1" x="16"/>
        <item t="default"/>
      </items>
    </pivotField>
    <pivotField showAll="0"/>
    <pivotField axis="axisRow" showAll="0">
      <items count="11">
        <item x="1"/>
        <item x="3"/>
        <item x="6"/>
        <item x="5"/>
        <item x="0"/>
        <item x="4"/>
        <item x="2"/>
        <item m="1" x="7"/>
        <item m="1" x="8"/>
        <item m="1" x="9"/>
        <item t="default"/>
      </items>
    </pivotField>
    <pivotField showAll="0"/>
    <pivotField showAll="0"/>
    <pivotField showAll="0"/>
    <pivotField showAll="0"/>
    <pivotField showAll="0"/>
    <pivotField showAll="0"/>
    <pivotField showAll="0"/>
    <pivotField showAll="0"/>
    <pivotField showAll="0"/>
    <pivotField numFmtId="4" showAll="0"/>
    <pivotField showAll="0"/>
    <pivotField showAll="0"/>
    <pivotField showAll="0"/>
    <pivotField showAll="0"/>
    <pivotField showAll="0"/>
    <pivotField showAll="0"/>
    <pivotField numFmtId="4" showAll="0"/>
    <pivotField showAll="0"/>
    <pivotField dataField="1" showAll="0"/>
  </pivotFields>
  <rowFields count="1">
    <field x="5"/>
  </rowFields>
  <rowItems count="8">
    <i>
      <x/>
    </i>
    <i>
      <x v="1"/>
    </i>
    <i>
      <x v="2"/>
    </i>
    <i>
      <x v="3"/>
    </i>
    <i>
      <x v="4"/>
    </i>
    <i>
      <x v="5"/>
    </i>
    <i>
      <x v="6"/>
    </i>
    <i t="grand">
      <x/>
    </i>
  </rowItems>
  <colFields count="1">
    <field x="3"/>
  </colFields>
  <colItems count="17">
    <i>
      <x/>
    </i>
    <i>
      <x v="1"/>
    </i>
    <i>
      <x v="2"/>
    </i>
    <i>
      <x v="3"/>
    </i>
    <i>
      <x v="4"/>
    </i>
    <i>
      <x v="5"/>
    </i>
    <i>
      <x v="6"/>
    </i>
    <i>
      <x v="7"/>
    </i>
    <i>
      <x v="8"/>
    </i>
    <i>
      <x v="9"/>
    </i>
    <i>
      <x v="10"/>
    </i>
    <i>
      <x v="11"/>
    </i>
    <i>
      <x v="12"/>
    </i>
    <i>
      <x v="13"/>
    </i>
    <i>
      <x v="14"/>
    </i>
    <i>
      <x v="15"/>
    </i>
    <i t="grand">
      <x/>
    </i>
  </colItems>
  <dataFields count="1">
    <dataField name="Sum af Total udledning af metan (ton)" fld="24" baseField="5" baseItem="0"/>
  </dataFields>
  <formats count="58">
    <format dxfId="555">
      <pivotArea type="all" dataOnly="0" outline="0" fieldPosition="0"/>
    </format>
    <format dxfId="554">
      <pivotArea outline="0" collapsedLevelsAreSubtotals="1" fieldPosition="0"/>
    </format>
    <format dxfId="553">
      <pivotArea type="origin" dataOnly="0" labelOnly="1" outline="0" fieldPosition="0"/>
    </format>
    <format dxfId="552">
      <pivotArea type="topRight" dataOnly="0" labelOnly="1" outline="0" fieldPosition="0"/>
    </format>
    <format dxfId="551">
      <pivotArea field="5" type="button" dataOnly="0" labelOnly="1" outline="0" axis="axisRow" fieldPosition="0"/>
    </format>
    <format dxfId="550">
      <pivotArea dataOnly="0" labelOnly="1" fieldPosition="0">
        <references count="1">
          <reference field="5" count="0"/>
        </references>
      </pivotArea>
    </format>
    <format dxfId="549">
      <pivotArea dataOnly="0" labelOnly="1" grandRow="1" outline="0" fieldPosition="0"/>
    </format>
    <format dxfId="548">
      <pivotArea dataOnly="0" labelOnly="1" grandCol="1" outline="0" fieldPosition="0"/>
    </format>
    <format dxfId="547">
      <pivotArea type="all" dataOnly="0" outline="0" fieldPosition="0"/>
    </format>
    <format dxfId="546">
      <pivotArea outline="0" collapsedLevelsAreSubtotals="1" fieldPosition="0"/>
    </format>
    <format dxfId="545">
      <pivotArea type="origin" dataOnly="0" labelOnly="1" outline="0" fieldPosition="0"/>
    </format>
    <format dxfId="544">
      <pivotArea type="topRight" dataOnly="0" labelOnly="1" outline="0" fieldPosition="0"/>
    </format>
    <format dxfId="543">
      <pivotArea field="5" type="button" dataOnly="0" labelOnly="1" outline="0" axis="axisRow" fieldPosition="0"/>
    </format>
    <format dxfId="542">
      <pivotArea dataOnly="0" labelOnly="1" fieldPosition="0">
        <references count="1">
          <reference field="5" count="0"/>
        </references>
      </pivotArea>
    </format>
    <format dxfId="541">
      <pivotArea dataOnly="0" labelOnly="1" grandRow="1" outline="0" fieldPosition="0"/>
    </format>
    <format dxfId="540">
      <pivotArea dataOnly="0" labelOnly="1" grandCol="1" outline="0" fieldPosition="0"/>
    </format>
    <format dxfId="539">
      <pivotArea type="all" dataOnly="0" outline="0" fieldPosition="0"/>
    </format>
    <format dxfId="538">
      <pivotArea outline="0" collapsedLevelsAreSubtotals="1" fieldPosition="0"/>
    </format>
    <format dxfId="537">
      <pivotArea type="origin" dataOnly="0" labelOnly="1" outline="0" fieldPosition="0"/>
    </format>
    <format dxfId="536">
      <pivotArea field="5" type="button" dataOnly="0" labelOnly="1" outline="0" axis="axisRow" fieldPosition="0"/>
    </format>
    <format dxfId="535">
      <pivotArea dataOnly="0" labelOnly="1" grandRow="1" outline="0" fieldPosition="0"/>
    </format>
    <format dxfId="534">
      <pivotArea dataOnly="0" labelOnly="1" grandCol="1" outline="0" fieldPosition="0"/>
    </format>
    <format dxfId="533">
      <pivotArea grandRow="1" outline="0" collapsedLevelsAreSubtotals="1" fieldPosition="0"/>
    </format>
    <format dxfId="532">
      <pivotArea collapsedLevelsAreSubtotals="1" fieldPosition="0">
        <references count="1">
          <reference field="5" count="0"/>
        </references>
      </pivotArea>
    </format>
    <format dxfId="531">
      <pivotArea type="all" dataOnly="0" outline="0" fieldPosition="0"/>
    </format>
    <format dxfId="530">
      <pivotArea outline="0" collapsedLevelsAreSubtotals="1" fieldPosition="0"/>
    </format>
    <format dxfId="529">
      <pivotArea type="origin" dataOnly="0" labelOnly="1" outline="0" fieldPosition="0"/>
    </format>
    <format dxfId="528">
      <pivotArea field="5" type="button" dataOnly="0" labelOnly="1" outline="0" axis="axisRow" fieldPosition="0"/>
    </format>
    <format dxfId="527">
      <pivotArea dataOnly="0" labelOnly="1" grandRow="1" outline="0" fieldPosition="0"/>
    </format>
    <format dxfId="526">
      <pivotArea dataOnly="0" labelOnly="1" grandCol="1" outline="0" fieldPosition="0"/>
    </format>
    <format dxfId="525">
      <pivotArea type="topRight" dataOnly="0" labelOnly="1" outline="0" fieldPosition="0"/>
    </format>
    <format dxfId="524">
      <pivotArea field="5" type="button" dataOnly="0" labelOnly="1" outline="0" axis="axisRow" fieldPosition="0"/>
    </format>
    <format dxfId="523">
      <pivotArea dataOnly="0" labelOnly="1" grandCol="1" outline="0" fieldPosition="0"/>
    </format>
    <format dxfId="522">
      <pivotArea dataOnly="0" labelOnly="1" fieldPosition="0">
        <references count="1">
          <reference field="5" count="0"/>
        </references>
      </pivotArea>
    </format>
    <format dxfId="521">
      <pivotArea grandCol="1" outline="0" collapsedLevelsAreSubtotals="1" fieldPosition="0"/>
    </format>
    <format dxfId="520">
      <pivotArea dataOnly="0" labelOnly="1" grandCol="1" outline="0" fieldPosition="0"/>
    </format>
    <format dxfId="519">
      <pivotArea type="all" dataOnly="0" outline="0" fieldPosition="0"/>
    </format>
    <format dxfId="518">
      <pivotArea outline="0" collapsedLevelsAreSubtotals="1" fieldPosition="0"/>
    </format>
    <format dxfId="517">
      <pivotArea type="origin" dataOnly="0" labelOnly="1" outline="0" fieldPosition="0"/>
    </format>
    <format dxfId="516">
      <pivotArea field="3" type="button" dataOnly="0" labelOnly="1" outline="0" axis="axisCol" fieldPosition="0"/>
    </format>
    <format dxfId="515">
      <pivotArea type="topRight" dataOnly="0" labelOnly="1" outline="0" fieldPosition="0"/>
    </format>
    <format dxfId="514">
      <pivotArea field="5" type="button" dataOnly="0" labelOnly="1" outline="0" axis="axisRow" fieldPosition="0"/>
    </format>
    <format dxfId="513">
      <pivotArea dataOnly="0" labelOnly="1" fieldPosition="0">
        <references count="1">
          <reference field="5" count="0"/>
        </references>
      </pivotArea>
    </format>
    <format dxfId="512">
      <pivotArea dataOnly="0" labelOnly="1" grandRow="1" outline="0" fieldPosition="0"/>
    </format>
    <format dxfId="511">
      <pivotArea dataOnly="0" labelOnly="1" fieldPosition="0">
        <references count="1">
          <reference field="3" count="0"/>
        </references>
      </pivotArea>
    </format>
    <format dxfId="510">
      <pivotArea dataOnly="0" labelOnly="1" grandCol="1" outline="0" fieldPosition="0"/>
    </format>
    <format dxfId="509">
      <pivotArea type="all" dataOnly="0" outline="0" fieldPosition="0"/>
    </format>
    <format dxfId="508">
      <pivotArea outline="0" collapsedLevelsAreSubtotals="1" fieldPosition="0"/>
    </format>
    <format dxfId="507">
      <pivotArea type="origin" dataOnly="0" labelOnly="1" outline="0" fieldPosition="0"/>
    </format>
    <format dxfId="506">
      <pivotArea field="3" type="button" dataOnly="0" labelOnly="1" outline="0" axis="axisCol" fieldPosition="0"/>
    </format>
    <format dxfId="505">
      <pivotArea type="topRight" dataOnly="0" labelOnly="1" outline="0" fieldPosition="0"/>
    </format>
    <format dxfId="504">
      <pivotArea field="5" type="button" dataOnly="0" labelOnly="1" outline="0" axis="axisRow" fieldPosition="0"/>
    </format>
    <format dxfId="503">
      <pivotArea dataOnly="0" labelOnly="1" fieldPosition="0">
        <references count="1">
          <reference field="5" count="0"/>
        </references>
      </pivotArea>
    </format>
    <format dxfId="502">
      <pivotArea dataOnly="0" labelOnly="1" grandRow="1" outline="0" fieldPosition="0"/>
    </format>
    <format dxfId="501">
      <pivotArea dataOnly="0" labelOnly="1" fieldPosition="0">
        <references count="1">
          <reference field="3" count="0"/>
        </references>
      </pivotArea>
    </format>
    <format dxfId="500">
      <pivotArea dataOnly="0" labelOnly="1" grandCol="1" outline="0" fieldPosition="0"/>
    </format>
    <format dxfId="499">
      <pivotArea type="all" dataOnly="0" outline="0" fieldPosition="0"/>
    </format>
    <format dxfId="498">
      <pivotArea field="5" grandCol="1" collapsedLevelsAreSubtotals="1" axis="axisRow" fieldPosition="0">
        <references count="1">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2F81780-D825-474D-8FA7-12389836AED9}" name="Pivottabel1" cacheId="0" applyNumberFormats="0" applyBorderFormats="0" applyFontFormats="0" applyPatternFormats="0" applyAlignmentFormats="0" applyWidthHeightFormats="1" dataCaption="Værdier" updatedVersion="8" minRefreshableVersion="3" showDrill="0" useAutoFormatting="1" itemPrintTitles="1" createdVersion="6" indent="0" showHeaders="0" outline="1" outlineData="1" multipleFieldFilters="0">
  <location ref="A7:R16" firstHeaderRow="1" firstDataRow="2" firstDataCol="1"/>
  <pivotFields count="25">
    <pivotField showAll="0"/>
    <pivotField showAll="0"/>
    <pivotField showAll="0"/>
    <pivotField axis="axisCol" showAll="0">
      <items count="18">
        <item x="7"/>
        <item x="6"/>
        <item x="15"/>
        <item x="12"/>
        <item x="8"/>
        <item x="0"/>
        <item x="13"/>
        <item x="3"/>
        <item x="14"/>
        <item x="11"/>
        <item x="4"/>
        <item x="5"/>
        <item x="10"/>
        <item x="2"/>
        <item x="1"/>
        <item x="9"/>
        <item m="1" x="16"/>
        <item t="default"/>
      </items>
    </pivotField>
    <pivotField showAll="0"/>
    <pivotField axis="axisRow" showAll="0">
      <items count="11">
        <item x="1"/>
        <item x="3"/>
        <item x="6"/>
        <item x="5"/>
        <item x="0"/>
        <item x="4"/>
        <item x="2"/>
        <item m="1" x="7"/>
        <item m="1" x="8"/>
        <item m="1" x="9"/>
        <item t="default"/>
      </items>
    </pivotField>
    <pivotField showAll="0"/>
    <pivotField showAll="0"/>
    <pivotField dataField="1" showAll="0"/>
    <pivotField showAll="0"/>
    <pivotField showAll="0"/>
    <pivotField showAll="0"/>
    <pivotField showAll="0"/>
    <pivotField showAll="0"/>
    <pivotField showAll="0"/>
    <pivotField numFmtId="4" showAll="0"/>
    <pivotField showAll="0"/>
    <pivotField showAll="0"/>
    <pivotField showAll="0"/>
    <pivotField showAll="0"/>
    <pivotField showAll="0"/>
    <pivotField showAll="0"/>
    <pivotField numFmtId="4" showAll="0"/>
    <pivotField showAll="0"/>
    <pivotField showAll="0"/>
  </pivotFields>
  <rowFields count="1">
    <field x="5"/>
  </rowFields>
  <rowItems count="8">
    <i>
      <x/>
    </i>
    <i>
      <x v="1"/>
    </i>
    <i>
      <x v="2"/>
    </i>
    <i>
      <x v="3"/>
    </i>
    <i>
      <x v="4"/>
    </i>
    <i>
      <x v="5"/>
    </i>
    <i>
      <x v="6"/>
    </i>
    <i t="grand">
      <x/>
    </i>
  </rowItems>
  <colFields count="1">
    <field x="3"/>
  </colFields>
  <colItems count="17">
    <i>
      <x/>
    </i>
    <i>
      <x v="1"/>
    </i>
    <i>
      <x v="2"/>
    </i>
    <i>
      <x v="3"/>
    </i>
    <i>
      <x v="4"/>
    </i>
    <i>
      <x v="5"/>
    </i>
    <i>
      <x v="6"/>
    </i>
    <i>
      <x v="7"/>
    </i>
    <i>
      <x v="8"/>
    </i>
    <i>
      <x v="9"/>
    </i>
    <i>
      <x v="10"/>
    </i>
    <i>
      <x v="11"/>
    </i>
    <i>
      <x v="12"/>
    </i>
    <i>
      <x v="13"/>
    </i>
    <i>
      <x v="14"/>
    </i>
    <i>
      <x v="15"/>
    </i>
    <i t="grand">
      <x/>
    </i>
  </colItems>
  <dataFields count="1">
    <dataField name="Sum af Antal dyr" fld="8" baseField="5" baseItem="4"/>
  </dataFields>
  <formats count="54">
    <format dxfId="609">
      <pivotArea outline="0" collapsedLevelsAreSubtotals="1" fieldPosition="0"/>
    </format>
    <format dxfId="608">
      <pivotArea dataOnly="0" labelOnly="1" fieldPosition="0">
        <references count="1">
          <reference field="5" count="0"/>
        </references>
      </pivotArea>
    </format>
    <format dxfId="607">
      <pivotArea dataOnly="0" labelOnly="1" grandRow="1" outline="0" fieldPosition="0"/>
    </format>
    <format dxfId="606">
      <pivotArea type="all" dataOnly="0" outline="0" fieldPosition="0"/>
    </format>
    <format dxfId="605">
      <pivotArea outline="0" collapsedLevelsAreSubtotals="1" fieldPosition="0"/>
    </format>
    <format dxfId="604">
      <pivotArea type="origin" dataOnly="0" labelOnly="1" outline="0" fieldPosition="0"/>
    </format>
    <format dxfId="603">
      <pivotArea type="topRight" dataOnly="0" labelOnly="1" outline="0" fieldPosition="0"/>
    </format>
    <format dxfId="602">
      <pivotArea field="5" type="button" dataOnly="0" labelOnly="1" outline="0" axis="axisRow" fieldPosition="0"/>
    </format>
    <format dxfId="601">
      <pivotArea dataOnly="0" labelOnly="1" fieldPosition="0">
        <references count="1">
          <reference field="5" count="0"/>
        </references>
      </pivotArea>
    </format>
    <format dxfId="600">
      <pivotArea dataOnly="0" labelOnly="1" grandRow="1" outline="0" fieldPosition="0"/>
    </format>
    <format dxfId="599">
      <pivotArea dataOnly="0" labelOnly="1" grandCol="1" outline="0" fieldPosition="0"/>
    </format>
    <format dxfId="598">
      <pivotArea type="all" dataOnly="0" outline="0" fieldPosition="0"/>
    </format>
    <format dxfId="597">
      <pivotArea type="origin" dataOnly="0" labelOnly="1" outline="0" fieldPosition="0"/>
    </format>
    <format dxfId="596">
      <pivotArea outline="0" collapsedLevelsAreSubtotals="1" fieldPosition="0"/>
    </format>
    <format dxfId="595">
      <pivotArea field="5" type="button" dataOnly="0" labelOnly="1" outline="0" axis="axisRow" fieldPosition="0"/>
    </format>
    <format dxfId="594">
      <pivotArea dataOnly="0" labelOnly="1" fieldPosition="0">
        <references count="1">
          <reference field="5" count="0"/>
        </references>
      </pivotArea>
    </format>
    <format dxfId="593">
      <pivotArea dataOnly="0" labelOnly="1" grandRow="1" outline="0" fieldPosition="0"/>
    </format>
    <format dxfId="592">
      <pivotArea dataOnly="0" labelOnly="1" grandCol="1" outline="0" fieldPosition="0"/>
    </format>
    <format dxfId="591">
      <pivotArea type="all" dataOnly="0" outline="0" fieldPosition="0"/>
    </format>
    <format dxfId="590">
      <pivotArea outline="0" collapsedLevelsAreSubtotals="1" fieldPosition="0"/>
    </format>
    <format dxfId="589">
      <pivotArea type="origin" dataOnly="0" labelOnly="1" outline="0" fieldPosition="0"/>
    </format>
    <format dxfId="588">
      <pivotArea field="5" type="button" dataOnly="0" labelOnly="1" outline="0" axis="axisRow" fieldPosition="0"/>
    </format>
    <format dxfId="587">
      <pivotArea dataOnly="0" labelOnly="1" fieldPosition="0">
        <references count="1">
          <reference field="5" count="0"/>
        </references>
      </pivotArea>
    </format>
    <format dxfId="586">
      <pivotArea dataOnly="0" labelOnly="1" grandRow="1" outline="0" fieldPosition="0"/>
    </format>
    <format dxfId="585">
      <pivotArea dataOnly="0" labelOnly="1" grandCol="1" outline="0" fieldPosition="0"/>
    </format>
    <format dxfId="584">
      <pivotArea type="all" dataOnly="0" outline="0" fieldPosition="0"/>
    </format>
    <format dxfId="583">
      <pivotArea outline="0" collapsedLevelsAreSubtotals="1" fieldPosition="0"/>
    </format>
    <format dxfId="582">
      <pivotArea type="origin" dataOnly="0" labelOnly="1" outline="0" fieldPosition="0"/>
    </format>
    <format dxfId="581">
      <pivotArea dataOnly="0" labelOnly="1" grandRow="1" outline="0" fieldPosition="0"/>
    </format>
    <format dxfId="580">
      <pivotArea collapsedLevelsAreSubtotals="1" fieldPosition="0">
        <references count="1">
          <reference field="5" count="0"/>
        </references>
      </pivotArea>
    </format>
    <format dxfId="579">
      <pivotArea field="5" type="button" dataOnly="0" labelOnly="1" outline="0" axis="axisRow" fieldPosition="0"/>
    </format>
    <format dxfId="578">
      <pivotArea dataOnly="0" labelOnly="1" fieldPosition="0">
        <references count="1">
          <reference field="5" count="0"/>
        </references>
      </pivotArea>
    </format>
    <format dxfId="577">
      <pivotArea dataOnly="0" labelOnly="1" grandCol="1" outline="0" fieldPosition="0"/>
    </format>
    <format dxfId="576">
      <pivotArea type="topRight" dataOnly="0" labelOnly="1" outline="0" fieldPosition="0"/>
    </format>
    <format dxfId="575">
      <pivotArea dataOnly="0" labelOnly="1" fieldPosition="0">
        <references count="1">
          <reference field="3" count="0"/>
        </references>
      </pivotArea>
    </format>
    <format dxfId="574">
      <pivotArea dataOnly="0" labelOnly="1" grandCol="1" outline="0" fieldPosition="0"/>
    </format>
    <format dxfId="573">
      <pivotArea grandCol="1" outline="0" collapsedLevelsAreSubtotals="1" fieldPosition="0"/>
    </format>
    <format dxfId="572">
      <pivotArea dataOnly="0" labelOnly="1" grandCol="1" outline="0" fieldPosition="0"/>
    </format>
    <format dxfId="571">
      <pivotArea type="all" dataOnly="0" outline="0" fieldPosition="0"/>
    </format>
    <format dxfId="570">
      <pivotArea outline="0" collapsedLevelsAreSubtotals="1" fieldPosition="0"/>
    </format>
    <format dxfId="569">
      <pivotArea type="origin" dataOnly="0" labelOnly="1" outline="0" fieldPosition="0"/>
    </format>
    <format dxfId="568">
      <pivotArea type="topRight" dataOnly="0" labelOnly="1" outline="0" fieldPosition="0"/>
    </format>
    <format dxfId="567">
      <pivotArea dataOnly="0" labelOnly="1" fieldPosition="0">
        <references count="1">
          <reference field="5" count="0"/>
        </references>
      </pivotArea>
    </format>
    <format dxfId="566">
      <pivotArea dataOnly="0" labelOnly="1" grandRow="1" outline="0" fieldPosition="0"/>
    </format>
    <format dxfId="565">
      <pivotArea dataOnly="0" labelOnly="1" fieldPosition="0">
        <references count="1">
          <reference field="3" count="0"/>
        </references>
      </pivotArea>
    </format>
    <format dxfId="564">
      <pivotArea dataOnly="0" labelOnly="1" grandCol="1" outline="0" fieldPosition="0"/>
    </format>
    <format dxfId="563">
      <pivotArea type="all" dataOnly="0" outline="0" fieldPosition="0"/>
    </format>
    <format dxfId="562">
      <pivotArea outline="0" collapsedLevelsAreSubtotals="1" fieldPosition="0"/>
    </format>
    <format dxfId="561">
      <pivotArea type="origin" dataOnly="0" labelOnly="1" outline="0" fieldPosition="0"/>
    </format>
    <format dxfId="560">
      <pivotArea type="topRight" dataOnly="0" labelOnly="1" outline="0" fieldPosition="0"/>
    </format>
    <format dxfId="559">
      <pivotArea dataOnly="0" labelOnly="1" fieldPosition="0">
        <references count="1">
          <reference field="5" count="0"/>
        </references>
      </pivotArea>
    </format>
    <format dxfId="558">
      <pivotArea dataOnly="0" labelOnly="1" grandRow="1" outline="0" fieldPosition="0"/>
    </format>
    <format dxfId="557">
      <pivotArea dataOnly="0" labelOnly="1" fieldPosition="0">
        <references count="1">
          <reference field="3" count="0"/>
        </references>
      </pivotArea>
    </format>
    <format dxfId="55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26FDAED-926F-426C-BD6F-0E6F065906DF}" name="Pivottabel1" cacheId="1" applyNumberFormats="0" applyBorderFormats="0" applyFontFormats="0" applyPatternFormats="0" applyAlignmentFormats="0" applyWidthHeightFormats="1" dataCaption="Værdier" updatedVersion="8" minRefreshableVersion="3" showDrill="0" useAutoFormatting="1" itemPrintTitles="1" createdVersion="6" indent="0" showHeaders="0" outline="1" outlineData="1" multipleFieldFilters="0">
  <location ref="A7:R16" firstHeaderRow="1" firstDataRow="2" firstDataCol="1"/>
  <pivotFields count="25">
    <pivotField showAll="0"/>
    <pivotField showAll="0"/>
    <pivotField showAll="0"/>
    <pivotField axis="axisCol" showAll="0">
      <items count="18">
        <item x="7"/>
        <item x="6"/>
        <item x="15"/>
        <item x="12"/>
        <item x="8"/>
        <item x="0"/>
        <item x="13"/>
        <item x="3"/>
        <item x="14"/>
        <item x="11"/>
        <item x="4"/>
        <item x="5"/>
        <item x="10"/>
        <item x="2"/>
        <item x="1"/>
        <item x="9"/>
        <item m="1" x="16"/>
        <item t="default"/>
      </items>
    </pivotField>
    <pivotField showAll="0"/>
    <pivotField axis="axisRow" showAll="0">
      <items count="8">
        <item x="1"/>
        <item x="3"/>
        <item x="6"/>
        <item x="5"/>
        <item x="0"/>
        <item x="4"/>
        <item x="2"/>
        <item t="default"/>
      </items>
    </pivotField>
    <pivotField showAll="0"/>
    <pivotField showAll="0"/>
    <pivotField dataField="1" showAll="0"/>
    <pivotField showAll="0"/>
    <pivotField showAll="0"/>
    <pivotField showAll="0"/>
    <pivotField showAll="0"/>
    <pivotField showAll="0"/>
    <pivotField showAll="0"/>
    <pivotField numFmtId="4" showAll="0"/>
    <pivotField showAll="0"/>
    <pivotField showAll="0"/>
    <pivotField showAll="0"/>
    <pivotField showAll="0"/>
    <pivotField showAll="0"/>
    <pivotField showAll="0"/>
    <pivotField numFmtId="4" showAll="0"/>
    <pivotField showAll="0"/>
    <pivotField showAll="0"/>
  </pivotFields>
  <rowFields count="1">
    <field x="5"/>
  </rowFields>
  <rowItems count="8">
    <i>
      <x/>
    </i>
    <i>
      <x v="1"/>
    </i>
    <i>
      <x v="2"/>
    </i>
    <i>
      <x v="3"/>
    </i>
    <i>
      <x v="4"/>
    </i>
    <i>
      <x v="5"/>
    </i>
    <i>
      <x v="6"/>
    </i>
    <i t="grand">
      <x/>
    </i>
  </rowItems>
  <colFields count="1">
    <field x="3"/>
  </colFields>
  <colItems count="17">
    <i>
      <x/>
    </i>
    <i>
      <x v="1"/>
    </i>
    <i>
      <x v="2"/>
    </i>
    <i>
      <x v="3"/>
    </i>
    <i>
      <x v="4"/>
    </i>
    <i>
      <x v="5"/>
    </i>
    <i>
      <x v="6"/>
    </i>
    <i>
      <x v="7"/>
    </i>
    <i>
      <x v="8"/>
    </i>
    <i>
      <x v="9"/>
    </i>
    <i>
      <x v="10"/>
    </i>
    <i>
      <x v="11"/>
    </i>
    <i>
      <x v="12"/>
    </i>
    <i>
      <x v="13"/>
    </i>
    <i>
      <x v="14"/>
    </i>
    <i>
      <x v="15"/>
    </i>
    <i t="grand">
      <x/>
    </i>
  </colItems>
  <dataFields count="1">
    <dataField name="Sum af Antal dyr" fld="8" baseField="5" baseItem="2"/>
  </dataFields>
  <formats count="54">
    <format dxfId="440">
      <pivotArea outline="0" collapsedLevelsAreSubtotals="1" fieldPosition="0"/>
    </format>
    <format dxfId="439">
      <pivotArea dataOnly="0" labelOnly="1" fieldPosition="0">
        <references count="1">
          <reference field="5" count="0"/>
        </references>
      </pivotArea>
    </format>
    <format dxfId="438">
      <pivotArea dataOnly="0" labelOnly="1" grandRow="1" outline="0" fieldPosition="0"/>
    </format>
    <format dxfId="437">
      <pivotArea type="all" dataOnly="0" outline="0" fieldPosition="0"/>
    </format>
    <format dxfId="436">
      <pivotArea outline="0" collapsedLevelsAreSubtotals="1" fieldPosition="0"/>
    </format>
    <format dxfId="435">
      <pivotArea type="origin" dataOnly="0" labelOnly="1" outline="0" fieldPosition="0"/>
    </format>
    <format dxfId="434">
      <pivotArea type="topRight" dataOnly="0" labelOnly="1" outline="0" fieldPosition="0"/>
    </format>
    <format dxfId="433">
      <pivotArea field="5" type="button" dataOnly="0" labelOnly="1" outline="0" axis="axisRow" fieldPosition="0"/>
    </format>
    <format dxfId="432">
      <pivotArea dataOnly="0" labelOnly="1" fieldPosition="0">
        <references count="1">
          <reference field="5" count="0"/>
        </references>
      </pivotArea>
    </format>
    <format dxfId="431">
      <pivotArea dataOnly="0" labelOnly="1" grandRow="1" outline="0" fieldPosition="0"/>
    </format>
    <format dxfId="430">
      <pivotArea dataOnly="0" labelOnly="1" grandCol="1" outline="0" fieldPosition="0"/>
    </format>
    <format dxfId="429">
      <pivotArea type="all" dataOnly="0" outline="0" fieldPosition="0"/>
    </format>
    <format dxfId="428">
      <pivotArea type="origin" dataOnly="0" labelOnly="1" outline="0" fieldPosition="0"/>
    </format>
    <format dxfId="427">
      <pivotArea outline="0" collapsedLevelsAreSubtotals="1" fieldPosition="0"/>
    </format>
    <format dxfId="426">
      <pivotArea field="5" type="button" dataOnly="0" labelOnly="1" outline="0" axis="axisRow" fieldPosition="0"/>
    </format>
    <format dxfId="425">
      <pivotArea dataOnly="0" labelOnly="1" fieldPosition="0">
        <references count="1">
          <reference field="5" count="0"/>
        </references>
      </pivotArea>
    </format>
    <format dxfId="424">
      <pivotArea dataOnly="0" labelOnly="1" grandRow="1" outline="0" fieldPosition="0"/>
    </format>
    <format dxfId="423">
      <pivotArea dataOnly="0" labelOnly="1" grandCol="1" outline="0" fieldPosition="0"/>
    </format>
    <format dxfId="422">
      <pivotArea type="all" dataOnly="0" outline="0" fieldPosition="0"/>
    </format>
    <format dxfId="421">
      <pivotArea outline="0" collapsedLevelsAreSubtotals="1" fieldPosition="0"/>
    </format>
    <format dxfId="420">
      <pivotArea type="origin" dataOnly="0" labelOnly="1" outline="0" fieldPosition="0"/>
    </format>
    <format dxfId="419">
      <pivotArea field="5" type="button" dataOnly="0" labelOnly="1" outline="0" axis="axisRow" fieldPosition="0"/>
    </format>
    <format dxfId="418">
      <pivotArea dataOnly="0" labelOnly="1" fieldPosition="0">
        <references count="1">
          <reference field="5" count="0"/>
        </references>
      </pivotArea>
    </format>
    <format dxfId="417">
      <pivotArea dataOnly="0" labelOnly="1" grandRow="1" outline="0" fieldPosition="0"/>
    </format>
    <format dxfId="416">
      <pivotArea dataOnly="0" labelOnly="1" grandCol="1" outline="0" fieldPosition="0"/>
    </format>
    <format dxfId="415">
      <pivotArea type="all" dataOnly="0" outline="0" fieldPosition="0"/>
    </format>
    <format dxfId="414">
      <pivotArea outline="0" collapsedLevelsAreSubtotals="1" fieldPosition="0"/>
    </format>
    <format dxfId="413">
      <pivotArea type="origin" dataOnly="0" labelOnly="1" outline="0" fieldPosition="0"/>
    </format>
    <format dxfId="412">
      <pivotArea dataOnly="0" labelOnly="1" grandRow="1" outline="0" fieldPosition="0"/>
    </format>
    <format dxfId="411">
      <pivotArea collapsedLevelsAreSubtotals="1" fieldPosition="0">
        <references count="1">
          <reference field="5" count="0"/>
        </references>
      </pivotArea>
    </format>
    <format dxfId="410">
      <pivotArea field="5" type="button" dataOnly="0" labelOnly="1" outline="0" axis="axisRow" fieldPosition="0"/>
    </format>
    <format dxfId="409">
      <pivotArea dataOnly="0" labelOnly="1" fieldPosition="0">
        <references count="1">
          <reference field="5" count="0"/>
        </references>
      </pivotArea>
    </format>
    <format dxfId="408">
      <pivotArea dataOnly="0" labelOnly="1" grandCol="1" outline="0" fieldPosition="0"/>
    </format>
    <format dxfId="407">
      <pivotArea type="topRight" dataOnly="0" labelOnly="1" outline="0" fieldPosition="0"/>
    </format>
    <format dxfId="406">
      <pivotArea dataOnly="0" labelOnly="1" fieldPosition="0">
        <references count="1">
          <reference field="3" count="0"/>
        </references>
      </pivotArea>
    </format>
    <format dxfId="405">
      <pivotArea dataOnly="0" labelOnly="1" grandCol="1" outline="0" fieldPosition="0"/>
    </format>
    <format dxfId="404">
      <pivotArea grandCol="1" outline="0" collapsedLevelsAreSubtotals="1" fieldPosition="0"/>
    </format>
    <format dxfId="403">
      <pivotArea dataOnly="0" labelOnly="1" grandCol="1" outline="0" fieldPosition="0"/>
    </format>
    <format dxfId="402">
      <pivotArea type="all" dataOnly="0" outline="0" fieldPosition="0"/>
    </format>
    <format dxfId="401">
      <pivotArea outline="0" collapsedLevelsAreSubtotals="1" fieldPosition="0"/>
    </format>
    <format dxfId="400">
      <pivotArea type="origin" dataOnly="0" labelOnly="1" outline="0" fieldPosition="0"/>
    </format>
    <format dxfId="399">
      <pivotArea type="topRight" dataOnly="0" labelOnly="1" outline="0" fieldPosition="0"/>
    </format>
    <format dxfId="398">
      <pivotArea dataOnly="0" labelOnly="1" fieldPosition="0">
        <references count="1">
          <reference field="5" count="0"/>
        </references>
      </pivotArea>
    </format>
    <format dxfId="397">
      <pivotArea dataOnly="0" labelOnly="1" grandRow="1" outline="0" fieldPosition="0"/>
    </format>
    <format dxfId="396">
      <pivotArea dataOnly="0" labelOnly="1" fieldPosition="0">
        <references count="1">
          <reference field="3" count="0"/>
        </references>
      </pivotArea>
    </format>
    <format dxfId="395">
      <pivotArea dataOnly="0" labelOnly="1" grandCol="1" outline="0" fieldPosition="0"/>
    </format>
    <format dxfId="394">
      <pivotArea type="all" dataOnly="0" outline="0" fieldPosition="0"/>
    </format>
    <format dxfId="393">
      <pivotArea outline="0" collapsedLevelsAreSubtotals="1" fieldPosition="0"/>
    </format>
    <format dxfId="392">
      <pivotArea type="origin" dataOnly="0" labelOnly="1" outline="0" fieldPosition="0"/>
    </format>
    <format dxfId="391">
      <pivotArea type="topRight" dataOnly="0" labelOnly="1" outline="0" fieldPosition="0"/>
    </format>
    <format dxfId="390">
      <pivotArea dataOnly="0" labelOnly="1" fieldPosition="0">
        <references count="1">
          <reference field="5" count="0"/>
        </references>
      </pivotArea>
    </format>
    <format dxfId="389">
      <pivotArea dataOnly="0" labelOnly="1" grandRow="1" outline="0" fieldPosition="0"/>
    </format>
    <format dxfId="388">
      <pivotArea dataOnly="0" labelOnly="1" fieldPosition="0">
        <references count="1">
          <reference field="3" count="0"/>
        </references>
      </pivotArea>
    </format>
    <format dxfId="387">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E0C01A1-9650-45F1-9FF6-FA96293F82CE}" name="Pivottabel2" cacheId="1" applyNumberFormats="0" applyBorderFormats="0" applyFontFormats="0" applyPatternFormats="0" applyAlignmentFormats="0" applyWidthHeightFormats="1" dataCaption="Værdier" updatedVersion="8" minRefreshableVersion="3" itemPrintTitles="1" createdVersion="6" indent="0" outline="1" outlineData="1" multipleFieldFilters="0" colHeaderCaption="">
  <location ref="A22:R31" firstHeaderRow="1" firstDataRow="2" firstDataCol="1"/>
  <pivotFields count="25">
    <pivotField showAll="0"/>
    <pivotField showAll="0"/>
    <pivotField showAll="0"/>
    <pivotField axis="axisCol" showAll="0">
      <items count="18">
        <item x="7"/>
        <item x="6"/>
        <item x="15"/>
        <item x="12"/>
        <item x="8"/>
        <item x="0"/>
        <item x="13"/>
        <item x="3"/>
        <item x="14"/>
        <item x="11"/>
        <item x="4"/>
        <item x="5"/>
        <item x="10"/>
        <item x="2"/>
        <item x="1"/>
        <item x="9"/>
        <item m="1" x="16"/>
        <item t="default"/>
      </items>
    </pivotField>
    <pivotField showAll="0"/>
    <pivotField axis="axisRow" showAll="0">
      <items count="8">
        <item x="1"/>
        <item x="3"/>
        <item x="6"/>
        <item x="5"/>
        <item x="0"/>
        <item x="4"/>
        <item x="2"/>
        <item t="default"/>
      </items>
    </pivotField>
    <pivotField showAll="0"/>
    <pivotField showAll="0"/>
    <pivotField showAll="0"/>
    <pivotField showAll="0"/>
    <pivotField showAll="0"/>
    <pivotField showAll="0"/>
    <pivotField showAll="0"/>
    <pivotField showAll="0"/>
    <pivotField showAll="0"/>
    <pivotField numFmtId="4" showAll="0"/>
    <pivotField showAll="0"/>
    <pivotField showAll="0"/>
    <pivotField showAll="0"/>
    <pivotField showAll="0"/>
    <pivotField showAll="0"/>
    <pivotField showAll="0"/>
    <pivotField numFmtId="4" showAll="0"/>
    <pivotField showAll="0"/>
    <pivotField dataField="1" showAll="0"/>
  </pivotFields>
  <rowFields count="1">
    <field x="5"/>
  </rowFields>
  <rowItems count="8">
    <i>
      <x/>
    </i>
    <i>
      <x v="1"/>
    </i>
    <i>
      <x v="2"/>
    </i>
    <i>
      <x v="3"/>
    </i>
    <i>
      <x v="4"/>
    </i>
    <i>
      <x v="5"/>
    </i>
    <i>
      <x v="6"/>
    </i>
    <i t="grand">
      <x/>
    </i>
  </rowItems>
  <colFields count="1">
    <field x="3"/>
  </colFields>
  <colItems count="17">
    <i>
      <x/>
    </i>
    <i>
      <x v="1"/>
    </i>
    <i>
      <x v="2"/>
    </i>
    <i>
      <x v="3"/>
    </i>
    <i>
      <x v="4"/>
    </i>
    <i>
      <x v="5"/>
    </i>
    <i>
      <x v="6"/>
    </i>
    <i>
      <x v="7"/>
    </i>
    <i>
      <x v="8"/>
    </i>
    <i>
      <x v="9"/>
    </i>
    <i>
      <x v="10"/>
    </i>
    <i>
      <x v="11"/>
    </i>
    <i>
      <x v="12"/>
    </i>
    <i>
      <x v="13"/>
    </i>
    <i>
      <x v="14"/>
    </i>
    <i>
      <x v="15"/>
    </i>
    <i t="grand">
      <x/>
    </i>
  </colItems>
  <dataFields count="1">
    <dataField name="Sum af Total udledning af metan (ton)" fld="24" baseField="5" baseItem="0"/>
  </dataFields>
  <formats count="57">
    <format dxfId="497">
      <pivotArea type="all" dataOnly="0" outline="0" fieldPosition="0"/>
    </format>
    <format dxfId="496">
      <pivotArea outline="0" collapsedLevelsAreSubtotals="1" fieldPosition="0"/>
    </format>
    <format dxfId="495">
      <pivotArea type="origin" dataOnly="0" labelOnly="1" outline="0" fieldPosition="0"/>
    </format>
    <format dxfId="494">
      <pivotArea type="topRight" dataOnly="0" labelOnly="1" outline="0" fieldPosition="0"/>
    </format>
    <format dxfId="493">
      <pivotArea field="5" type="button" dataOnly="0" labelOnly="1" outline="0" axis="axisRow" fieldPosition="0"/>
    </format>
    <format dxfId="492">
      <pivotArea dataOnly="0" labelOnly="1" fieldPosition="0">
        <references count="1">
          <reference field="5" count="0"/>
        </references>
      </pivotArea>
    </format>
    <format dxfId="491">
      <pivotArea dataOnly="0" labelOnly="1" grandRow="1" outline="0" fieldPosition="0"/>
    </format>
    <format dxfId="490">
      <pivotArea dataOnly="0" labelOnly="1" grandCol="1" outline="0" fieldPosition="0"/>
    </format>
    <format dxfId="489">
      <pivotArea type="all" dataOnly="0" outline="0" fieldPosition="0"/>
    </format>
    <format dxfId="488">
      <pivotArea outline="0" collapsedLevelsAreSubtotals="1" fieldPosition="0"/>
    </format>
    <format dxfId="487">
      <pivotArea type="origin" dataOnly="0" labelOnly="1" outline="0" fieldPosition="0"/>
    </format>
    <format dxfId="486">
      <pivotArea type="topRight" dataOnly="0" labelOnly="1" outline="0" fieldPosition="0"/>
    </format>
    <format dxfId="485">
      <pivotArea field="5" type="button" dataOnly="0" labelOnly="1" outline="0" axis="axisRow" fieldPosition="0"/>
    </format>
    <format dxfId="484">
      <pivotArea dataOnly="0" labelOnly="1" fieldPosition="0">
        <references count="1">
          <reference field="5" count="0"/>
        </references>
      </pivotArea>
    </format>
    <format dxfId="483">
      <pivotArea dataOnly="0" labelOnly="1" grandRow="1" outline="0" fieldPosition="0"/>
    </format>
    <format dxfId="482">
      <pivotArea dataOnly="0" labelOnly="1" grandCol="1" outline="0" fieldPosition="0"/>
    </format>
    <format dxfId="481">
      <pivotArea type="all" dataOnly="0" outline="0" fieldPosition="0"/>
    </format>
    <format dxfId="480">
      <pivotArea outline="0" collapsedLevelsAreSubtotals="1" fieldPosition="0"/>
    </format>
    <format dxfId="479">
      <pivotArea type="origin" dataOnly="0" labelOnly="1" outline="0" fieldPosition="0"/>
    </format>
    <format dxfId="478">
      <pivotArea field="5" type="button" dataOnly="0" labelOnly="1" outline="0" axis="axisRow" fieldPosition="0"/>
    </format>
    <format dxfId="477">
      <pivotArea dataOnly="0" labelOnly="1" grandRow="1" outline="0" fieldPosition="0"/>
    </format>
    <format dxfId="476">
      <pivotArea dataOnly="0" labelOnly="1" grandCol="1" outline="0" fieldPosition="0"/>
    </format>
    <format dxfId="475">
      <pivotArea grandRow="1" outline="0" collapsedLevelsAreSubtotals="1" fieldPosition="0"/>
    </format>
    <format dxfId="474">
      <pivotArea collapsedLevelsAreSubtotals="1" fieldPosition="0">
        <references count="1">
          <reference field="5" count="0"/>
        </references>
      </pivotArea>
    </format>
    <format dxfId="473">
      <pivotArea type="all" dataOnly="0" outline="0" fieldPosition="0"/>
    </format>
    <format dxfId="472">
      <pivotArea outline="0" collapsedLevelsAreSubtotals="1" fieldPosition="0"/>
    </format>
    <format dxfId="471">
      <pivotArea type="origin" dataOnly="0" labelOnly="1" outline="0" fieldPosition="0"/>
    </format>
    <format dxfId="470">
      <pivotArea field="5" type="button" dataOnly="0" labelOnly="1" outline="0" axis="axisRow" fieldPosition="0"/>
    </format>
    <format dxfId="469">
      <pivotArea dataOnly="0" labelOnly="1" grandRow="1" outline="0" fieldPosition="0"/>
    </format>
    <format dxfId="468">
      <pivotArea dataOnly="0" labelOnly="1" grandCol="1" outline="0" fieldPosition="0"/>
    </format>
    <format dxfId="467">
      <pivotArea type="topRight" dataOnly="0" labelOnly="1" outline="0" fieldPosition="0"/>
    </format>
    <format dxfId="466">
      <pivotArea field="5" type="button" dataOnly="0" labelOnly="1" outline="0" axis="axisRow" fieldPosition="0"/>
    </format>
    <format dxfId="465">
      <pivotArea dataOnly="0" labelOnly="1" grandCol="1" outline="0" fieldPosition="0"/>
    </format>
    <format dxfId="464">
      <pivotArea dataOnly="0" labelOnly="1" fieldPosition="0">
        <references count="1">
          <reference field="5" count="0"/>
        </references>
      </pivotArea>
    </format>
    <format dxfId="463">
      <pivotArea grandCol="1" outline="0" collapsedLevelsAreSubtotals="1" fieldPosition="0"/>
    </format>
    <format dxfId="462">
      <pivotArea dataOnly="0" labelOnly="1" grandCol="1" outline="0" fieldPosition="0"/>
    </format>
    <format dxfId="461">
      <pivotArea type="all" dataOnly="0" outline="0" fieldPosition="0"/>
    </format>
    <format dxfId="460">
      <pivotArea outline="0" collapsedLevelsAreSubtotals="1" fieldPosition="0"/>
    </format>
    <format dxfId="459">
      <pivotArea type="origin" dataOnly="0" labelOnly="1" outline="0" fieldPosition="0"/>
    </format>
    <format dxfId="458">
      <pivotArea field="3" type="button" dataOnly="0" labelOnly="1" outline="0" axis="axisCol" fieldPosition="0"/>
    </format>
    <format dxfId="457">
      <pivotArea type="topRight" dataOnly="0" labelOnly="1" outline="0" fieldPosition="0"/>
    </format>
    <format dxfId="456">
      <pivotArea field="5" type="button" dataOnly="0" labelOnly="1" outline="0" axis="axisRow" fieldPosition="0"/>
    </format>
    <format dxfId="455">
      <pivotArea dataOnly="0" labelOnly="1" fieldPosition="0">
        <references count="1">
          <reference field="5" count="0"/>
        </references>
      </pivotArea>
    </format>
    <format dxfId="454">
      <pivotArea dataOnly="0" labelOnly="1" grandRow="1" outline="0" fieldPosition="0"/>
    </format>
    <format dxfId="453">
      <pivotArea dataOnly="0" labelOnly="1" fieldPosition="0">
        <references count="1">
          <reference field="3" count="0"/>
        </references>
      </pivotArea>
    </format>
    <format dxfId="452">
      <pivotArea dataOnly="0" labelOnly="1" grandCol="1" outline="0" fieldPosition="0"/>
    </format>
    <format dxfId="451">
      <pivotArea field="5" grandCol="1" collapsedLevelsAreSubtotals="1" axis="axisRow" fieldPosition="0">
        <references count="1">
          <reference field="5" count="0"/>
        </references>
      </pivotArea>
    </format>
    <format dxfId="450">
      <pivotArea type="all" dataOnly="0" outline="0" fieldPosition="0"/>
    </format>
    <format dxfId="449">
      <pivotArea outline="0" collapsedLevelsAreSubtotals="1" fieldPosition="0"/>
    </format>
    <format dxfId="448">
      <pivotArea type="origin" dataOnly="0" labelOnly="1" outline="0" fieldPosition="0"/>
    </format>
    <format dxfId="447">
      <pivotArea field="3" type="button" dataOnly="0" labelOnly="1" outline="0" axis="axisCol" fieldPosition="0"/>
    </format>
    <format dxfId="446">
      <pivotArea type="topRight" dataOnly="0" labelOnly="1" outline="0" fieldPosition="0"/>
    </format>
    <format dxfId="445">
      <pivotArea field="5" type="button" dataOnly="0" labelOnly="1" outline="0" axis="axisRow" fieldPosition="0"/>
    </format>
    <format dxfId="444">
      <pivotArea dataOnly="0" labelOnly="1" fieldPosition="0">
        <references count="1">
          <reference field="5" count="0"/>
        </references>
      </pivotArea>
    </format>
    <format dxfId="443">
      <pivotArea dataOnly="0" labelOnly="1" grandRow="1" outline="0" fieldPosition="0"/>
    </format>
    <format dxfId="442">
      <pivotArea dataOnly="0" labelOnly="1" fieldPosition="0">
        <references count="1">
          <reference field="3" count="0"/>
        </references>
      </pivotArea>
    </format>
    <format dxfId="44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8443C2C-7869-41F1-8506-7DD9E5BF20A1}" name="Pivottabel7" cacheId="2" applyNumberFormats="0" applyBorderFormats="0" applyFontFormats="0" applyPatternFormats="0" applyAlignmentFormats="0" applyWidthHeightFormats="1" dataCaption="Værdier" updatedVersion="8" minRefreshableVersion="3" useAutoFormatting="1" itemPrintTitles="1" createdVersion="6" indent="0" outline="1" outlineData="1" multipleFieldFilters="0" chartFormat="2">
  <location ref="A7:R16" firstHeaderRow="1" firstDataRow="2" firstDataCol="1"/>
  <pivotFields count="22">
    <pivotField showAll="0"/>
    <pivotField showAll="0"/>
    <pivotField showAll="0"/>
    <pivotField axis="axisCol" showAll="0">
      <items count="17">
        <item x="7"/>
        <item x="6"/>
        <item x="15"/>
        <item x="12"/>
        <item x="8"/>
        <item x="0"/>
        <item x="13"/>
        <item x="3"/>
        <item x="14"/>
        <item x="11"/>
        <item x="4"/>
        <item x="5"/>
        <item x="10"/>
        <item x="2"/>
        <item x="1"/>
        <item x="9"/>
        <item t="default"/>
      </items>
    </pivotField>
    <pivotField showAll="0"/>
    <pivotField showAll="0"/>
    <pivotField axis="axisRow" showAll="0">
      <items count="9">
        <item x="1"/>
        <item x="3"/>
        <item m="1" x="7"/>
        <item x="5"/>
        <item x="6"/>
        <item x="0"/>
        <item x="4"/>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8">
    <i>
      <x/>
    </i>
    <i>
      <x v="1"/>
    </i>
    <i>
      <x v="3"/>
    </i>
    <i>
      <x v="4"/>
    </i>
    <i>
      <x v="5"/>
    </i>
    <i>
      <x v="6"/>
    </i>
    <i>
      <x v="7"/>
    </i>
    <i t="grand">
      <x/>
    </i>
  </rowItems>
  <colFields count="1">
    <field x="3"/>
  </colFields>
  <colItems count="17">
    <i>
      <x/>
    </i>
    <i>
      <x v="1"/>
    </i>
    <i>
      <x v="2"/>
    </i>
    <i>
      <x v="3"/>
    </i>
    <i>
      <x v="4"/>
    </i>
    <i>
      <x v="5"/>
    </i>
    <i>
      <x v="6"/>
    </i>
    <i>
      <x v="7"/>
    </i>
    <i>
      <x v="8"/>
    </i>
    <i>
      <x v="9"/>
    </i>
    <i>
      <x v="10"/>
    </i>
    <i>
      <x v="11"/>
    </i>
    <i>
      <x v="12"/>
    </i>
    <i>
      <x v="13"/>
    </i>
    <i>
      <x v="14"/>
    </i>
    <i>
      <x v="15"/>
    </i>
    <i t="grand">
      <x/>
    </i>
  </colItems>
  <dataFields count="1">
    <dataField name="Sum af Antal dyr" fld="8" baseField="6" baseItem="5"/>
  </dataFields>
  <formats count="39">
    <format dxfId="345">
      <pivotArea outline="0" collapsedLevelsAreSubtotals="1" fieldPosition="0"/>
    </format>
    <format dxfId="344">
      <pivotArea dataOnly="0" labelOnly="1" fieldPosition="0">
        <references count="1">
          <reference field="6" count="0"/>
        </references>
      </pivotArea>
    </format>
    <format dxfId="343">
      <pivotArea dataOnly="0" labelOnly="1" grandRow="1" outline="0" fieldPosition="0"/>
    </format>
    <format dxfId="342">
      <pivotArea field="6" type="button" dataOnly="0" labelOnly="1" outline="0" axis="axisRow" fieldPosition="0"/>
    </format>
    <format dxfId="341">
      <pivotArea dataOnly="0" labelOnly="1" fieldPosition="0">
        <references count="1">
          <reference field="3" count="0"/>
        </references>
      </pivotArea>
    </format>
    <format dxfId="340">
      <pivotArea dataOnly="0" labelOnly="1" grandCol="1" outline="0" fieldPosition="0"/>
    </format>
    <format dxfId="339">
      <pivotArea dataOnly="0" labelOnly="1" fieldPosition="0">
        <references count="1">
          <reference field="6" count="0"/>
        </references>
      </pivotArea>
    </format>
    <format dxfId="338">
      <pivotArea dataOnly="0" labelOnly="1" grandRow="1" outline="0" fieldPosition="0"/>
    </format>
    <format dxfId="337">
      <pivotArea outline="0" collapsedLevelsAreSubtotals="1" fieldPosition="0"/>
    </format>
    <format dxfId="336">
      <pivotArea grandRow="1" outline="0" collapsedLevelsAreSubtotals="1" fieldPosition="0"/>
    </format>
    <format dxfId="335">
      <pivotArea dataOnly="0" labelOnly="1" grandRow="1" outline="0" fieldPosition="0"/>
    </format>
    <format dxfId="334">
      <pivotArea outline="0" collapsedLevelsAreSubtotals="1" fieldPosition="0"/>
    </format>
    <format dxfId="333">
      <pivotArea field="6" type="button" dataOnly="0" labelOnly="1" outline="0" axis="axisRow" fieldPosition="0"/>
    </format>
    <format dxfId="332">
      <pivotArea dataOnly="0" labelOnly="1" fieldPosition="0">
        <references count="1">
          <reference field="3" count="0"/>
        </references>
      </pivotArea>
    </format>
    <format dxfId="331">
      <pivotArea dataOnly="0" labelOnly="1" grandCol="1" outline="0" fieldPosition="0"/>
    </format>
    <format dxfId="330">
      <pivotArea grandRow="1" outline="0" collapsedLevelsAreSubtotals="1" fieldPosition="0"/>
    </format>
    <format dxfId="329">
      <pivotArea dataOnly="0" labelOnly="1" grandRow="1" outline="0" fieldPosition="0"/>
    </format>
    <format dxfId="328">
      <pivotArea type="all" dataOnly="0" outline="0" fieldPosition="0"/>
    </format>
    <format dxfId="327">
      <pivotArea outline="0" collapsedLevelsAreSubtotals="1" fieldPosition="0"/>
    </format>
    <format dxfId="326">
      <pivotArea type="origin" dataOnly="0" labelOnly="1" outline="0" fieldPosition="0"/>
    </format>
    <format dxfId="325">
      <pivotArea field="3" type="button" dataOnly="0" labelOnly="1" outline="0" axis="axisCol" fieldPosition="0"/>
    </format>
    <format dxfId="324">
      <pivotArea type="topRight" dataOnly="0" labelOnly="1" outline="0" fieldPosition="0"/>
    </format>
    <format dxfId="323">
      <pivotArea field="6" type="button" dataOnly="0" labelOnly="1" outline="0" axis="axisRow" fieldPosition="0"/>
    </format>
    <format dxfId="322">
      <pivotArea dataOnly="0" labelOnly="1" fieldPosition="0">
        <references count="1">
          <reference field="6" count="0"/>
        </references>
      </pivotArea>
    </format>
    <format dxfId="321">
      <pivotArea dataOnly="0" labelOnly="1" grandRow="1" outline="0" fieldPosition="0"/>
    </format>
    <format dxfId="320">
      <pivotArea dataOnly="0" labelOnly="1" fieldPosition="0">
        <references count="1">
          <reference field="3" count="0"/>
        </references>
      </pivotArea>
    </format>
    <format dxfId="319">
      <pivotArea dataOnly="0" labelOnly="1" grandCol="1" outline="0" fieldPosition="0"/>
    </format>
    <format dxfId="318">
      <pivotArea grandCol="1" outline="0" collapsedLevelsAreSubtotals="1" fieldPosition="0"/>
    </format>
    <format dxfId="317">
      <pivotArea dataOnly="0" labelOnly="1" grandCol="1" outline="0" fieldPosition="0"/>
    </format>
    <format dxfId="316">
      <pivotArea type="all" dataOnly="0" outline="0" fieldPosition="0"/>
    </format>
    <format dxfId="315">
      <pivotArea outline="0" collapsedLevelsAreSubtotals="1" fieldPosition="0"/>
    </format>
    <format dxfId="314">
      <pivotArea type="origin" dataOnly="0" labelOnly="1" outline="0" fieldPosition="0"/>
    </format>
    <format dxfId="313">
      <pivotArea field="3" type="button" dataOnly="0" labelOnly="1" outline="0" axis="axisCol" fieldPosition="0"/>
    </format>
    <format dxfId="312">
      <pivotArea type="topRight" dataOnly="0" labelOnly="1" outline="0" fieldPosition="0"/>
    </format>
    <format dxfId="311">
      <pivotArea field="6" type="button" dataOnly="0" labelOnly="1" outline="0" axis="axisRow" fieldPosition="0"/>
    </format>
    <format dxfId="310">
      <pivotArea dataOnly="0" labelOnly="1" fieldPosition="0">
        <references count="1">
          <reference field="6" count="0"/>
        </references>
      </pivotArea>
    </format>
    <format dxfId="309">
      <pivotArea dataOnly="0" labelOnly="1" grandRow="1" outline="0" fieldPosition="0"/>
    </format>
    <format dxfId="308">
      <pivotArea dataOnly="0" labelOnly="1" fieldPosition="0">
        <references count="1">
          <reference field="3" count="0"/>
        </references>
      </pivotArea>
    </format>
    <format dxfId="307">
      <pivotArea dataOnly="0" labelOnly="1" grandCol="1" outline="0" fieldPosition="0"/>
    </format>
  </formats>
  <chartFormats count="32">
    <chartFormat chart="0" format="0" series="1">
      <pivotArea type="data" outline="0" fieldPosition="0">
        <references count="1">
          <reference field="3" count="1" selected="0">
            <x v="0"/>
          </reference>
        </references>
      </pivotArea>
    </chartFormat>
    <chartFormat chart="0" format="1" series="1">
      <pivotArea type="data" outline="0" fieldPosition="0">
        <references count="1">
          <reference field="3" count="1" selected="0">
            <x v="1"/>
          </reference>
        </references>
      </pivotArea>
    </chartFormat>
    <chartFormat chart="0" format="2" series="1">
      <pivotArea type="data" outline="0" fieldPosition="0">
        <references count="1">
          <reference field="3" count="1" selected="0">
            <x v="2"/>
          </reference>
        </references>
      </pivotArea>
    </chartFormat>
    <chartFormat chart="0" format="3" series="1">
      <pivotArea type="data" outline="0" fieldPosition="0">
        <references count="1">
          <reference field="3" count="1" selected="0">
            <x v="3"/>
          </reference>
        </references>
      </pivotArea>
    </chartFormat>
    <chartFormat chart="0" format="4" series="1">
      <pivotArea type="data" outline="0" fieldPosition="0">
        <references count="1">
          <reference field="3" count="1" selected="0">
            <x v="4"/>
          </reference>
        </references>
      </pivotArea>
    </chartFormat>
    <chartFormat chart="0" format="5" series="1">
      <pivotArea type="data" outline="0" fieldPosition="0">
        <references count="1">
          <reference field="3" count="1" selected="0">
            <x v="5"/>
          </reference>
        </references>
      </pivotArea>
    </chartFormat>
    <chartFormat chart="0" format="6" series="1">
      <pivotArea type="data" outline="0" fieldPosition="0">
        <references count="1">
          <reference field="3" count="1" selected="0">
            <x v="6"/>
          </reference>
        </references>
      </pivotArea>
    </chartFormat>
    <chartFormat chart="0" format="7" series="1">
      <pivotArea type="data" outline="0" fieldPosition="0">
        <references count="1">
          <reference field="3" count="1" selected="0">
            <x v="7"/>
          </reference>
        </references>
      </pivotArea>
    </chartFormat>
    <chartFormat chart="0" format="8" series="1">
      <pivotArea type="data" outline="0" fieldPosition="0">
        <references count="1">
          <reference field="3" count="1" selected="0">
            <x v="8"/>
          </reference>
        </references>
      </pivotArea>
    </chartFormat>
    <chartFormat chart="0" format="9" series="1">
      <pivotArea type="data" outline="0" fieldPosition="0">
        <references count="1">
          <reference field="3" count="1" selected="0">
            <x v="9"/>
          </reference>
        </references>
      </pivotArea>
    </chartFormat>
    <chartFormat chart="0" format="10" series="1">
      <pivotArea type="data" outline="0" fieldPosition="0">
        <references count="1">
          <reference field="3" count="1" selected="0">
            <x v="10"/>
          </reference>
        </references>
      </pivotArea>
    </chartFormat>
    <chartFormat chart="0" format="11" series="1">
      <pivotArea type="data" outline="0" fieldPosition="0">
        <references count="1">
          <reference field="3" count="1" selected="0">
            <x v="11"/>
          </reference>
        </references>
      </pivotArea>
    </chartFormat>
    <chartFormat chart="0" format="12" series="1">
      <pivotArea type="data" outline="0" fieldPosition="0">
        <references count="1">
          <reference field="3" count="1" selected="0">
            <x v="12"/>
          </reference>
        </references>
      </pivotArea>
    </chartFormat>
    <chartFormat chart="0" format="13" series="1">
      <pivotArea type="data" outline="0" fieldPosition="0">
        <references count="1">
          <reference field="3" count="1" selected="0">
            <x v="13"/>
          </reference>
        </references>
      </pivotArea>
    </chartFormat>
    <chartFormat chart="0" format="14" series="1">
      <pivotArea type="data" outline="0" fieldPosition="0">
        <references count="1">
          <reference field="3" count="1" selected="0">
            <x v="14"/>
          </reference>
        </references>
      </pivotArea>
    </chartFormat>
    <chartFormat chart="0" format="15" series="1">
      <pivotArea type="data" outline="0" fieldPosition="0">
        <references count="1">
          <reference field="3" count="1" selected="0">
            <x v="15"/>
          </reference>
        </references>
      </pivotArea>
    </chartFormat>
    <chartFormat chart="1" format="0" series="1">
      <pivotArea type="data" outline="0" fieldPosition="0">
        <references count="1">
          <reference field="3" count="1" selected="0">
            <x v="0"/>
          </reference>
        </references>
      </pivotArea>
    </chartFormat>
    <chartFormat chart="1" format="1" series="1">
      <pivotArea type="data" outline="0" fieldPosition="0">
        <references count="1">
          <reference field="3" count="1" selected="0">
            <x v="1"/>
          </reference>
        </references>
      </pivotArea>
    </chartFormat>
    <chartFormat chart="1" format="2" series="1">
      <pivotArea type="data" outline="0" fieldPosition="0">
        <references count="1">
          <reference field="3" count="1" selected="0">
            <x v="2"/>
          </reference>
        </references>
      </pivotArea>
    </chartFormat>
    <chartFormat chart="1" format="3" series="1">
      <pivotArea type="data" outline="0" fieldPosition="0">
        <references count="1">
          <reference field="3" count="1" selected="0">
            <x v="3"/>
          </reference>
        </references>
      </pivotArea>
    </chartFormat>
    <chartFormat chart="1" format="4" series="1">
      <pivotArea type="data" outline="0" fieldPosition="0">
        <references count="1">
          <reference field="3" count="1" selected="0">
            <x v="4"/>
          </reference>
        </references>
      </pivotArea>
    </chartFormat>
    <chartFormat chart="1" format="5" series="1">
      <pivotArea type="data" outline="0" fieldPosition="0">
        <references count="1">
          <reference field="3" count="1" selected="0">
            <x v="5"/>
          </reference>
        </references>
      </pivotArea>
    </chartFormat>
    <chartFormat chart="1" format="6" series="1">
      <pivotArea type="data" outline="0" fieldPosition="0">
        <references count="1">
          <reference field="3" count="1" selected="0">
            <x v="6"/>
          </reference>
        </references>
      </pivotArea>
    </chartFormat>
    <chartFormat chart="1" format="7" series="1">
      <pivotArea type="data" outline="0" fieldPosition="0">
        <references count="1">
          <reference field="3" count="1" selected="0">
            <x v="7"/>
          </reference>
        </references>
      </pivotArea>
    </chartFormat>
    <chartFormat chart="1" format="8" series="1">
      <pivotArea type="data" outline="0" fieldPosition="0">
        <references count="1">
          <reference field="3" count="1" selected="0">
            <x v="8"/>
          </reference>
        </references>
      </pivotArea>
    </chartFormat>
    <chartFormat chart="1" format="9" series="1">
      <pivotArea type="data" outline="0" fieldPosition="0">
        <references count="1">
          <reference field="3" count="1" selected="0">
            <x v="9"/>
          </reference>
        </references>
      </pivotArea>
    </chartFormat>
    <chartFormat chart="1" format="10" series="1">
      <pivotArea type="data" outline="0" fieldPosition="0">
        <references count="1">
          <reference field="3" count="1" selected="0">
            <x v="10"/>
          </reference>
        </references>
      </pivotArea>
    </chartFormat>
    <chartFormat chart="1" format="11" series="1">
      <pivotArea type="data" outline="0" fieldPosition="0">
        <references count="1">
          <reference field="3" count="1" selected="0">
            <x v="11"/>
          </reference>
        </references>
      </pivotArea>
    </chartFormat>
    <chartFormat chart="1" format="12" series="1">
      <pivotArea type="data" outline="0" fieldPosition="0">
        <references count="1">
          <reference field="3" count="1" selected="0">
            <x v="12"/>
          </reference>
        </references>
      </pivotArea>
    </chartFormat>
    <chartFormat chart="1" format="13" series="1">
      <pivotArea type="data" outline="0" fieldPosition="0">
        <references count="1">
          <reference field="3" count="1" selected="0">
            <x v="13"/>
          </reference>
        </references>
      </pivotArea>
    </chartFormat>
    <chartFormat chart="1" format="14" series="1">
      <pivotArea type="data" outline="0" fieldPosition="0">
        <references count="1">
          <reference field="3" count="1" selected="0">
            <x v="14"/>
          </reference>
        </references>
      </pivotArea>
    </chartFormat>
    <chartFormat chart="1" format="15" series="1">
      <pivotArea type="data" outline="0" fieldPosition="0">
        <references count="1">
          <reference field="3" count="1" selected="0">
            <x v="15"/>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90826E8-EC2B-4FEA-9C09-3BC1FA3833F2}" name="Pivottabel12" cacheId="2" applyNumberFormats="0" applyBorderFormats="0" applyFontFormats="0" applyPatternFormats="0" applyAlignmentFormats="0" applyWidthHeightFormats="1" dataCaption="Værdier" updatedVersion="8" minRefreshableVersion="3" itemPrintTitles="1" createdVersion="6" indent="0" outline="1" outlineData="1" multipleFieldFilters="0" chartFormat="2">
  <location ref="A21:R30" firstHeaderRow="1" firstDataRow="2" firstDataCol="1"/>
  <pivotFields count="22">
    <pivotField showAll="0"/>
    <pivotField showAll="0"/>
    <pivotField showAll="0"/>
    <pivotField axis="axisCol" showAll="0">
      <items count="17">
        <item x="7"/>
        <item x="6"/>
        <item x="15"/>
        <item x="12"/>
        <item x="8"/>
        <item x="0"/>
        <item x="13"/>
        <item x="3"/>
        <item x="14"/>
        <item x="11"/>
        <item x="4"/>
        <item x="5"/>
        <item x="10"/>
        <item x="2"/>
        <item x="1"/>
        <item x="9"/>
        <item t="default"/>
      </items>
    </pivotField>
    <pivotField showAll="0"/>
    <pivotField showAll="0"/>
    <pivotField axis="axisRow" showAll="0">
      <items count="9">
        <item x="1"/>
        <item x="3"/>
        <item m="1" x="7"/>
        <item x="5"/>
        <item x="6"/>
        <item x="0"/>
        <item x="4"/>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6"/>
  </rowFields>
  <rowItems count="8">
    <i>
      <x/>
    </i>
    <i>
      <x v="1"/>
    </i>
    <i>
      <x v="3"/>
    </i>
    <i>
      <x v="4"/>
    </i>
    <i>
      <x v="5"/>
    </i>
    <i>
      <x v="6"/>
    </i>
    <i>
      <x v="7"/>
    </i>
    <i t="grand">
      <x/>
    </i>
  </rowItems>
  <colFields count="1">
    <field x="3"/>
  </colFields>
  <colItems count="17">
    <i>
      <x/>
    </i>
    <i>
      <x v="1"/>
    </i>
    <i>
      <x v="2"/>
    </i>
    <i>
      <x v="3"/>
    </i>
    <i>
      <x v="4"/>
    </i>
    <i>
      <x v="5"/>
    </i>
    <i>
      <x v="6"/>
    </i>
    <i>
      <x v="7"/>
    </i>
    <i>
      <x v="8"/>
    </i>
    <i>
      <x v="9"/>
    </i>
    <i>
      <x v="10"/>
    </i>
    <i>
      <x v="11"/>
    </i>
    <i>
      <x v="12"/>
    </i>
    <i>
      <x v="13"/>
    </i>
    <i>
      <x v="14"/>
    </i>
    <i>
      <x v="15"/>
    </i>
    <i t="grand">
      <x/>
    </i>
  </colItems>
  <dataFields count="1">
    <dataField name="Sum af Total udledning af N2O  (ton)" fld="21" baseField="6" baseItem="6"/>
  </dataFields>
  <formats count="41">
    <format dxfId="386">
      <pivotArea outline="0" collapsedLevelsAreSubtotals="1" fieldPosition="0"/>
    </format>
    <format dxfId="385">
      <pivotArea dataOnly="0" labelOnly="1" fieldPosition="0">
        <references count="1">
          <reference field="6" count="0"/>
        </references>
      </pivotArea>
    </format>
    <format dxfId="384">
      <pivotArea dataOnly="0" labelOnly="1" grandRow="1" outline="0" fieldPosition="0"/>
    </format>
    <format dxfId="383">
      <pivotArea field="6" type="button" dataOnly="0" labelOnly="1" outline="0" axis="axisRow" fieldPosition="0"/>
    </format>
    <format dxfId="382">
      <pivotArea dataOnly="0" labelOnly="1" fieldPosition="0">
        <references count="1">
          <reference field="3" count="0"/>
        </references>
      </pivotArea>
    </format>
    <format dxfId="381">
      <pivotArea dataOnly="0" labelOnly="1" grandCol="1" outline="0" fieldPosition="0"/>
    </format>
    <format dxfId="380">
      <pivotArea dataOnly="0" labelOnly="1" fieldPosition="0">
        <references count="1">
          <reference field="6" count="0"/>
        </references>
      </pivotArea>
    </format>
    <format dxfId="379">
      <pivotArea dataOnly="0" labelOnly="1" grandRow="1" outline="0" fieldPosition="0"/>
    </format>
    <format dxfId="378">
      <pivotArea outline="0" collapsedLevelsAreSubtotals="1" fieldPosition="0"/>
    </format>
    <format dxfId="377">
      <pivotArea grandRow="1" outline="0" collapsedLevelsAreSubtotals="1" fieldPosition="0"/>
    </format>
    <format dxfId="376">
      <pivotArea dataOnly="0" labelOnly="1" grandRow="1" outline="0" fieldPosition="0"/>
    </format>
    <format dxfId="375">
      <pivotArea outline="0" collapsedLevelsAreSubtotals="1" fieldPosition="0"/>
    </format>
    <format dxfId="374">
      <pivotArea field="6" type="button" dataOnly="0" labelOnly="1" outline="0" axis="axisRow" fieldPosition="0"/>
    </format>
    <format dxfId="373">
      <pivotArea dataOnly="0" labelOnly="1" fieldPosition="0">
        <references count="1">
          <reference field="3" count="0"/>
        </references>
      </pivotArea>
    </format>
    <format dxfId="372">
      <pivotArea dataOnly="0" labelOnly="1" grandCol="1" outline="0" fieldPosition="0"/>
    </format>
    <format dxfId="371">
      <pivotArea grandRow="1" outline="0" collapsedLevelsAreSubtotals="1" fieldPosition="0"/>
    </format>
    <format dxfId="370">
      <pivotArea dataOnly="0" labelOnly="1" grandRow="1" outline="0" fieldPosition="0"/>
    </format>
    <format dxfId="369">
      <pivotArea type="all" dataOnly="0" outline="0" fieldPosition="0"/>
    </format>
    <format dxfId="368">
      <pivotArea outline="0" collapsedLevelsAreSubtotals="1" fieldPosition="0"/>
    </format>
    <format dxfId="367">
      <pivotArea type="origin" dataOnly="0" labelOnly="1" outline="0" fieldPosition="0"/>
    </format>
    <format dxfId="366">
      <pivotArea field="3" type="button" dataOnly="0" labelOnly="1" outline="0" axis="axisCol" fieldPosition="0"/>
    </format>
    <format dxfId="365">
      <pivotArea type="topRight" dataOnly="0" labelOnly="1" outline="0" fieldPosition="0"/>
    </format>
    <format dxfId="364">
      <pivotArea field="6" type="button" dataOnly="0" labelOnly="1" outline="0" axis="axisRow" fieldPosition="0"/>
    </format>
    <format dxfId="363">
      <pivotArea dataOnly="0" labelOnly="1" fieldPosition="0">
        <references count="1">
          <reference field="6" count="0"/>
        </references>
      </pivotArea>
    </format>
    <format dxfId="362">
      <pivotArea dataOnly="0" labelOnly="1" grandRow="1" outline="0" fieldPosition="0"/>
    </format>
    <format dxfId="361">
      <pivotArea dataOnly="0" labelOnly="1" fieldPosition="0">
        <references count="1">
          <reference field="3" count="0"/>
        </references>
      </pivotArea>
    </format>
    <format dxfId="360">
      <pivotArea dataOnly="0" labelOnly="1" grandCol="1" outline="0" fieldPosition="0"/>
    </format>
    <format dxfId="359">
      <pivotArea field="6" grandCol="1" collapsedLevelsAreSubtotals="1" axis="axisRow" fieldPosition="0">
        <references count="1">
          <reference field="6" count="0"/>
        </references>
      </pivotArea>
    </format>
    <format dxfId="358">
      <pivotArea grandCol="1" outline="0" collapsedLevelsAreSubtotals="1" fieldPosition="0"/>
    </format>
    <format dxfId="357">
      <pivotArea dataOnly="0" labelOnly="1" grandCol="1" outline="0" fieldPosition="0"/>
    </format>
    <format dxfId="356">
      <pivotArea field="6" grandCol="1" collapsedLevelsAreSubtotals="1" axis="axisRow" fieldPosition="0">
        <references count="1">
          <reference field="6" count="0"/>
        </references>
      </pivotArea>
    </format>
    <format dxfId="355">
      <pivotArea type="all" dataOnly="0" outline="0" fieldPosition="0"/>
    </format>
    <format dxfId="354">
      <pivotArea outline="0" collapsedLevelsAreSubtotals="1" fieldPosition="0"/>
    </format>
    <format dxfId="353">
      <pivotArea type="origin" dataOnly="0" labelOnly="1" outline="0" fieldPosition="0"/>
    </format>
    <format dxfId="352">
      <pivotArea field="3" type="button" dataOnly="0" labelOnly="1" outline="0" axis="axisCol" fieldPosition="0"/>
    </format>
    <format dxfId="351">
      <pivotArea type="topRight" dataOnly="0" labelOnly="1" outline="0" fieldPosition="0"/>
    </format>
    <format dxfId="350">
      <pivotArea field="6" type="button" dataOnly="0" labelOnly="1" outline="0" axis="axisRow" fieldPosition="0"/>
    </format>
    <format dxfId="349">
      <pivotArea dataOnly="0" labelOnly="1" fieldPosition="0">
        <references count="1">
          <reference field="6" count="0"/>
        </references>
      </pivotArea>
    </format>
    <format dxfId="348">
      <pivotArea dataOnly="0" labelOnly="1" grandRow="1" outline="0" fieldPosition="0"/>
    </format>
    <format dxfId="347">
      <pivotArea dataOnly="0" labelOnly="1" fieldPosition="0">
        <references count="1">
          <reference field="3" count="0"/>
        </references>
      </pivotArea>
    </format>
    <format dxfId="346">
      <pivotArea dataOnly="0" labelOnly="1" grandCol="1" outline="0" fieldPosition="0"/>
    </format>
  </formats>
  <chartFormats count="16">
    <chartFormat chart="0" format="0" series="1">
      <pivotArea type="data" outline="0" fieldPosition="0">
        <references count="1">
          <reference field="3" count="1" selected="0">
            <x v="0"/>
          </reference>
        </references>
      </pivotArea>
    </chartFormat>
    <chartFormat chart="0" format="1" series="1">
      <pivotArea type="data" outline="0" fieldPosition="0">
        <references count="1">
          <reference field="3" count="1" selected="0">
            <x v="1"/>
          </reference>
        </references>
      </pivotArea>
    </chartFormat>
    <chartFormat chart="0" format="2" series="1">
      <pivotArea type="data" outline="0" fieldPosition="0">
        <references count="1">
          <reference field="3" count="1" selected="0">
            <x v="2"/>
          </reference>
        </references>
      </pivotArea>
    </chartFormat>
    <chartFormat chart="0" format="3" series="1">
      <pivotArea type="data" outline="0" fieldPosition="0">
        <references count="1">
          <reference field="3" count="1" selected="0">
            <x v="3"/>
          </reference>
        </references>
      </pivotArea>
    </chartFormat>
    <chartFormat chart="0" format="4" series="1">
      <pivotArea type="data" outline="0" fieldPosition="0">
        <references count="1">
          <reference field="3" count="1" selected="0">
            <x v="4"/>
          </reference>
        </references>
      </pivotArea>
    </chartFormat>
    <chartFormat chart="0" format="5" series="1">
      <pivotArea type="data" outline="0" fieldPosition="0">
        <references count="1">
          <reference field="3" count="1" selected="0">
            <x v="5"/>
          </reference>
        </references>
      </pivotArea>
    </chartFormat>
    <chartFormat chart="0" format="6" series="1">
      <pivotArea type="data" outline="0" fieldPosition="0">
        <references count="1">
          <reference field="3" count="1" selected="0">
            <x v="6"/>
          </reference>
        </references>
      </pivotArea>
    </chartFormat>
    <chartFormat chart="0" format="7" series="1">
      <pivotArea type="data" outline="0" fieldPosition="0">
        <references count="1">
          <reference field="3" count="1" selected="0">
            <x v="7"/>
          </reference>
        </references>
      </pivotArea>
    </chartFormat>
    <chartFormat chart="0" format="8" series="1">
      <pivotArea type="data" outline="0" fieldPosition="0">
        <references count="1">
          <reference field="3" count="1" selected="0">
            <x v="8"/>
          </reference>
        </references>
      </pivotArea>
    </chartFormat>
    <chartFormat chart="0" format="9" series="1">
      <pivotArea type="data" outline="0" fieldPosition="0">
        <references count="1">
          <reference field="3" count="1" selected="0">
            <x v="9"/>
          </reference>
        </references>
      </pivotArea>
    </chartFormat>
    <chartFormat chart="0" format="10" series="1">
      <pivotArea type="data" outline="0" fieldPosition="0">
        <references count="1">
          <reference field="3" count="1" selected="0">
            <x v="10"/>
          </reference>
        </references>
      </pivotArea>
    </chartFormat>
    <chartFormat chart="0" format="11" series="1">
      <pivotArea type="data" outline="0" fieldPosition="0">
        <references count="1">
          <reference field="3" count="1" selected="0">
            <x v="11"/>
          </reference>
        </references>
      </pivotArea>
    </chartFormat>
    <chartFormat chart="0" format="12" series="1">
      <pivotArea type="data" outline="0" fieldPosition="0">
        <references count="1">
          <reference field="3" count="1" selected="0">
            <x v="12"/>
          </reference>
        </references>
      </pivotArea>
    </chartFormat>
    <chartFormat chart="0" format="13" series="1">
      <pivotArea type="data" outline="0" fieldPosition="0">
        <references count="1">
          <reference field="3" count="1" selected="0">
            <x v="13"/>
          </reference>
        </references>
      </pivotArea>
    </chartFormat>
    <chartFormat chart="0" format="14" series="1">
      <pivotArea type="data" outline="0" fieldPosition="0">
        <references count="1">
          <reference field="3" count="1" selected="0">
            <x v="14"/>
          </reference>
        </references>
      </pivotArea>
    </chartFormat>
    <chartFormat chart="0" format="15" series="1">
      <pivotArea type="data" outline="0" fieldPosition="0">
        <references count="1">
          <reference field="3" count="1" selected="0">
            <x v="15"/>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260A343-6DDC-4181-BF78-10B8F7A0E5EA}" name="Pivottabel12" cacheId="3" applyNumberFormats="0" applyBorderFormats="0" applyFontFormats="0" applyPatternFormats="0" applyAlignmentFormats="0" applyWidthHeightFormats="1" dataCaption="Værdier" updatedVersion="8" minRefreshableVersion="3" useAutoFormatting="1" itemPrintTitles="1" createdVersion="6" indent="0" outline="1" outlineData="1" multipleFieldFilters="0" chartFormat="2">
  <location ref="A21:R30" firstHeaderRow="1" firstDataRow="2" firstDataCol="1"/>
  <pivotFields count="22">
    <pivotField showAll="0"/>
    <pivotField showAll="0"/>
    <pivotField showAll="0"/>
    <pivotField axis="axisCol" showAll="0">
      <items count="17">
        <item x="7"/>
        <item x="6"/>
        <item x="15"/>
        <item x="12"/>
        <item x="8"/>
        <item x="0"/>
        <item x="13"/>
        <item x="3"/>
        <item x="14"/>
        <item x="11"/>
        <item x="4"/>
        <item x="5"/>
        <item x="10"/>
        <item x="2"/>
        <item x="1"/>
        <item x="9"/>
        <item t="default"/>
      </items>
    </pivotField>
    <pivotField showAll="0"/>
    <pivotField showAll="0"/>
    <pivotField axis="axisRow" showAll="0">
      <items count="9">
        <item x="1"/>
        <item x="3"/>
        <item m="1" x="7"/>
        <item x="5"/>
        <item x="6"/>
        <item x="0"/>
        <item x="4"/>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6"/>
  </rowFields>
  <rowItems count="8">
    <i>
      <x/>
    </i>
    <i>
      <x v="1"/>
    </i>
    <i>
      <x v="3"/>
    </i>
    <i>
      <x v="4"/>
    </i>
    <i>
      <x v="5"/>
    </i>
    <i>
      <x v="6"/>
    </i>
    <i>
      <x v="7"/>
    </i>
    <i t="grand">
      <x/>
    </i>
  </rowItems>
  <colFields count="1">
    <field x="3"/>
  </colFields>
  <colItems count="17">
    <i>
      <x/>
    </i>
    <i>
      <x v="1"/>
    </i>
    <i>
      <x v="2"/>
    </i>
    <i>
      <x v="3"/>
    </i>
    <i>
      <x v="4"/>
    </i>
    <i>
      <x v="5"/>
    </i>
    <i>
      <x v="6"/>
    </i>
    <i>
      <x v="7"/>
    </i>
    <i>
      <x v="8"/>
    </i>
    <i>
      <x v="9"/>
    </i>
    <i>
      <x v="10"/>
    </i>
    <i>
      <x v="11"/>
    </i>
    <i>
      <x v="12"/>
    </i>
    <i>
      <x v="13"/>
    </i>
    <i>
      <x v="14"/>
    </i>
    <i>
      <x v="15"/>
    </i>
    <i t="grand">
      <x/>
    </i>
  </colItems>
  <dataFields count="1">
    <dataField name="Sum af Total udledning af N2O  (ton)" fld="21" baseField="6" baseItem="6"/>
  </dataFields>
  <formats count="41">
    <format dxfId="267">
      <pivotArea outline="0" collapsedLevelsAreSubtotals="1" fieldPosition="0"/>
    </format>
    <format dxfId="266">
      <pivotArea dataOnly="0" labelOnly="1" fieldPosition="0">
        <references count="1">
          <reference field="6" count="0"/>
        </references>
      </pivotArea>
    </format>
    <format dxfId="265">
      <pivotArea dataOnly="0" labelOnly="1" grandRow="1" outline="0" fieldPosition="0"/>
    </format>
    <format dxfId="264">
      <pivotArea field="6" type="button" dataOnly="0" labelOnly="1" outline="0" axis="axisRow" fieldPosition="0"/>
    </format>
    <format dxfId="263">
      <pivotArea dataOnly="0" labelOnly="1" fieldPosition="0">
        <references count="1">
          <reference field="3" count="0"/>
        </references>
      </pivotArea>
    </format>
    <format dxfId="262">
      <pivotArea dataOnly="0" labelOnly="1" grandCol="1" outline="0" fieldPosition="0"/>
    </format>
    <format dxfId="261">
      <pivotArea dataOnly="0" labelOnly="1" fieldPosition="0">
        <references count="1">
          <reference field="6" count="0"/>
        </references>
      </pivotArea>
    </format>
    <format dxfId="260">
      <pivotArea dataOnly="0" labelOnly="1" grandRow="1" outline="0" fieldPosition="0"/>
    </format>
    <format dxfId="259">
      <pivotArea outline="0" collapsedLevelsAreSubtotals="1" fieldPosition="0"/>
    </format>
    <format dxfId="258">
      <pivotArea grandRow="1" outline="0" collapsedLevelsAreSubtotals="1" fieldPosition="0"/>
    </format>
    <format dxfId="257">
      <pivotArea dataOnly="0" labelOnly="1" grandRow="1" outline="0" fieldPosition="0"/>
    </format>
    <format dxfId="256">
      <pivotArea outline="0" collapsedLevelsAreSubtotals="1" fieldPosition="0"/>
    </format>
    <format dxfId="255">
      <pivotArea field="6" type="button" dataOnly="0" labelOnly="1" outline="0" axis="axisRow" fieldPosition="0"/>
    </format>
    <format dxfId="254">
      <pivotArea dataOnly="0" labelOnly="1" fieldPosition="0">
        <references count="1">
          <reference field="3" count="0"/>
        </references>
      </pivotArea>
    </format>
    <format dxfId="253">
      <pivotArea dataOnly="0" labelOnly="1" grandCol="1" outline="0" fieldPosition="0"/>
    </format>
    <format dxfId="252">
      <pivotArea grandRow="1" outline="0" collapsedLevelsAreSubtotals="1" fieldPosition="0"/>
    </format>
    <format dxfId="251">
      <pivotArea dataOnly="0" labelOnly="1" grandRow="1" outline="0" fieldPosition="0"/>
    </format>
    <format dxfId="250">
      <pivotArea type="all" dataOnly="0" outline="0" fieldPosition="0"/>
    </format>
    <format dxfId="249">
      <pivotArea outline="0" collapsedLevelsAreSubtotals="1" fieldPosition="0"/>
    </format>
    <format dxfId="248">
      <pivotArea type="origin" dataOnly="0" labelOnly="1" outline="0" fieldPosition="0"/>
    </format>
    <format dxfId="247">
      <pivotArea field="3" type="button" dataOnly="0" labelOnly="1" outline="0" axis="axisCol" fieldPosition="0"/>
    </format>
    <format dxfId="246">
      <pivotArea type="topRight" dataOnly="0" labelOnly="1" outline="0" fieldPosition="0"/>
    </format>
    <format dxfId="245">
      <pivotArea field="6" type="button" dataOnly="0" labelOnly="1" outline="0" axis="axisRow" fieldPosition="0"/>
    </format>
    <format dxfId="244">
      <pivotArea dataOnly="0" labelOnly="1" fieldPosition="0">
        <references count="1">
          <reference field="6" count="0"/>
        </references>
      </pivotArea>
    </format>
    <format dxfId="243">
      <pivotArea dataOnly="0" labelOnly="1" grandRow="1" outline="0" fieldPosition="0"/>
    </format>
    <format dxfId="242">
      <pivotArea dataOnly="0" labelOnly="1" fieldPosition="0">
        <references count="1">
          <reference field="3" count="0"/>
        </references>
      </pivotArea>
    </format>
    <format dxfId="241">
      <pivotArea dataOnly="0" labelOnly="1" grandCol="1" outline="0" fieldPosition="0"/>
    </format>
    <format dxfId="240">
      <pivotArea field="6" grandCol="1" collapsedLevelsAreSubtotals="1" axis="axisRow" fieldPosition="0">
        <references count="1">
          <reference field="6" count="0"/>
        </references>
      </pivotArea>
    </format>
    <format dxfId="239">
      <pivotArea grandCol="1" outline="0" collapsedLevelsAreSubtotals="1" fieldPosition="0"/>
    </format>
    <format dxfId="238">
      <pivotArea dataOnly="0" labelOnly="1" grandCol="1" outline="0" fieldPosition="0"/>
    </format>
    <format dxfId="237">
      <pivotArea field="6" grandCol="1" collapsedLevelsAreSubtotals="1" axis="axisRow" fieldPosition="0">
        <references count="1">
          <reference field="6" count="0"/>
        </references>
      </pivotArea>
    </format>
    <format dxfId="236">
      <pivotArea type="all" dataOnly="0" outline="0" fieldPosition="0"/>
    </format>
    <format dxfId="235">
      <pivotArea outline="0" collapsedLevelsAreSubtotals="1" fieldPosition="0"/>
    </format>
    <format dxfId="234">
      <pivotArea type="origin" dataOnly="0" labelOnly="1" outline="0" fieldPosition="0"/>
    </format>
    <format dxfId="233">
      <pivotArea field="3" type="button" dataOnly="0" labelOnly="1" outline="0" axis="axisCol" fieldPosition="0"/>
    </format>
    <format dxfId="232">
      <pivotArea type="topRight" dataOnly="0" labelOnly="1" outline="0" fieldPosition="0"/>
    </format>
    <format dxfId="231">
      <pivotArea field="6" type="button" dataOnly="0" labelOnly="1" outline="0" axis="axisRow" fieldPosition="0"/>
    </format>
    <format dxfId="230">
      <pivotArea dataOnly="0" labelOnly="1" fieldPosition="0">
        <references count="1">
          <reference field="6" count="0"/>
        </references>
      </pivotArea>
    </format>
    <format dxfId="229">
      <pivotArea dataOnly="0" labelOnly="1" grandRow="1" outline="0" fieldPosition="0"/>
    </format>
    <format dxfId="228">
      <pivotArea dataOnly="0" labelOnly="1" fieldPosition="0">
        <references count="1">
          <reference field="3" count="0"/>
        </references>
      </pivotArea>
    </format>
    <format dxfId="227">
      <pivotArea dataOnly="0" labelOnly="1" grandCol="1" outline="0" fieldPosition="0"/>
    </format>
  </formats>
  <chartFormats count="16">
    <chartFormat chart="0" format="0" series="1">
      <pivotArea type="data" outline="0" fieldPosition="0">
        <references count="1">
          <reference field="3" count="1" selected="0">
            <x v="0"/>
          </reference>
        </references>
      </pivotArea>
    </chartFormat>
    <chartFormat chart="0" format="1" series="1">
      <pivotArea type="data" outline="0" fieldPosition="0">
        <references count="1">
          <reference field="3" count="1" selected="0">
            <x v="1"/>
          </reference>
        </references>
      </pivotArea>
    </chartFormat>
    <chartFormat chart="0" format="2" series="1">
      <pivotArea type="data" outline="0" fieldPosition="0">
        <references count="1">
          <reference field="3" count="1" selected="0">
            <x v="2"/>
          </reference>
        </references>
      </pivotArea>
    </chartFormat>
    <chartFormat chart="0" format="3" series="1">
      <pivotArea type="data" outline="0" fieldPosition="0">
        <references count="1">
          <reference field="3" count="1" selected="0">
            <x v="3"/>
          </reference>
        </references>
      </pivotArea>
    </chartFormat>
    <chartFormat chart="0" format="4" series="1">
      <pivotArea type="data" outline="0" fieldPosition="0">
        <references count="1">
          <reference field="3" count="1" selected="0">
            <x v="4"/>
          </reference>
        </references>
      </pivotArea>
    </chartFormat>
    <chartFormat chart="0" format="5" series="1">
      <pivotArea type="data" outline="0" fieldPosition="0">
        <references count="1">
          <reference field="3" count="1" selected="0">
            <x v="5"/>
          </reference>
        </references>
      </pivotArea>
    </chartFormat>
    <chartFormat chart="0" format="6" series="1">
      <pivotArea type="data" outline="0" fieldPosition="0">
        <references count="1">
          <reference field="3" count="1" selected="0">
            <x v="6"/>
          </reference>
        </references>
      </pivotArea>
    </chartFormat>
    <chartFormat chart="0" format="7" series="1">
      <pivotArea type="data" outline="0" fieldPosition="0">
        <references count="1">
          <reference field="3" count="1" selected="0">
            <x v="7"/>
          </reference>
        </references>
      </pivotArea>
    </chartFormat>
    <chartFormat chart="0" format="8" series="1">
      <pivotArea type="data" outline="0" fieldPosition="0">
        <references count="1">
          <reference field="3" count="1" selected="0">
            <x v="8"/>
          </reference>
        </references>
      </pivotArea>
    </chartFormat>
    <chartFormat chart="0" format="9" series="1">
      <pivotArea type="data" outline="0" fieldPosition="0">
        <references count="1">
          <reference field="3" count="1" selected="0">
            <x v="9"/>
          </reference>
        </references>
      </pivotArea>
    </chartFormat>
    <chartFormat chart="0" format="10" series="1">
      <pivotArea type="data" outline="0" fieldPosition="0">
        <references count="1">
          <reference field="3" count="1" selected="0">
            <x v="10"/>
          </reference>
        </references>
      </pivotArea>
    </chartFormat>
    <chartFormat chart="0" format="11" series="1">
      <pivotArea type="data" outline="0" fieldPosition="0">
        <references count="1">
          <reference field="3" count="1" selected="0">
            <x v="11"/>
          </reference>
        </references>
      </pivotArea>
    </chartFormat>
    <chartFormat chart="0" format="12" series="1">
      <pivotArea type="data" outline="0" fieldPosition="0">
        <references count="1">
          <reference field="3" count="1" selected="0">
            <x v="12"/>
          </reference>
        </references>
      </pivotArea>
    </chartFormat>
    <chartFormat chart="0" format="13" series="1">
      <pivotArea type="data" outline="0" fieldPosition="0">
        <references count="1">
          <reference field="3" count="1" selected="0">
            <x v="13"/>
          </reference>
        </references>
      </pivotArea>
    </chartFormat>
    <chartFormat chart="0" format="14" series="1">
      <pivotArea type="data" outline="0" fieldPosition="0">
        <references count="1">
          <reference field="3" count="1" selected="0">
            <x v="14"/>
          </reference>
        </references>
      </pivotArea>
    </chartFormat>
    <chartFormat chart="0" format="15" series="1">
      <pivotArea type="data" outline="0" fieldPosition="0">
        <references count="1">
          <reference field="3" count="1" selected="0">
            <x v="15"/>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C6BBCCC6-F20C-442A-96AE-CF5FC9EC25BF}" name="Pivottabel7" cacheId="3" applyNumberFormats="0" applyBorderFormats="0" applyFontFormats="0" applyPatternFormats="0" applyAlignmentFormats="0" applyWidthHeightFormats="1" dataCaption="Værdier" updatedVersion="8" minRefreshableVersion="3" useAutoFormatting="1" itemPrintTitles="1" createdVersion="6" indent="0" outline="1" outlineData="1" multipleFieldFilters="0" chartFormat="2">
  <location ref="A7:R16" firstHeaderRow="1" firstDataRow="2" firstDataCol="1"/>
  <pivotFields count="22">
    <pivotField showAll="0"/>
    <pivotField showAll="0"/>
    <pivotField showAll="0"/>
    <pivotField axis="axisCol" showAll="0">
      <items count="17">
        <item x="7"/>
        <item x="6"/>
        <item x="15"/>
        <item x="12"/>
        <item x="8"/>
        <item x="0"/>
        <item x="13"/>
        <item x="3"/>
        <item x="14"/>
        <item x="11"/>
        <item x="4"/>
        <item x="5"/>
        <item x="10"/>
        <item x="2"/>
        <item x="1"/>
        <item x="9"/>
        <item t="default"/>
      </items>
    </pivotField>
    <pivotField showAll="0"/>
    <pivotField showAll="0"/>
    <pivotField axis="axisRow" showAll="0">
      <items count="9">
        <item x="1"/>
        <item x="3"/>
        <item m="1" x="7"/>
        <item x="5"/>
        <item x="6"/>
        <item x="0"/>
        <item x="4"/>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8">
    <i>
      <x/>
    </i>
    <i>
      <x v="1"/>
    </i>
    <i>
      <x v="3"/>
    </i>
    <i>
      <x v="4"/>
    </i>
    <i>
      <x v="5"/>
    </i>
    <i>
      <x v="6"/>
    </i>
    <i>
      <x v="7"/>
    </i>
    <i t="grand">
      <x/>
    </i>
  </rowItems>
  <colFields count="1">
    <field x="3"/>
  </colFields>
  <colItems count="17">
    <i>
      <x/>
    </i>
    <i>
      <x v="1"/>
    </i>
    <i>
      <x v="2"/>
    </i>
    <i>
      <x v="3"/>
    </i>
    <i>
      <x v="4"/>
    </i>
    <i>
      <x v="5"/>
    </i>
    <i>
      <x v="6"/>
    </i>
    <i>
      <x v="7"/>
    </i>
    <i>
      <x v="8"/>
    </i>
    <i>
      <x v="9"/>
    </i>
    <i>
      <x v="10"/>
    </i>
    <i>
      <x v="11"/>
    </i>
    <i>
      <x v="12"/>
    </i>
    <i>
      <x v="13"/>
    </i>
    <i>
      <x v="14"/>
    </i>
    <i>
      <x v="15"/>
    </i>
    <i t="grand">
      <x/>
    </i>
  </colItems>
  <dataFields count="1">
    <dataField name="Sum af Antal dyr" fld="8" baseField="6" baseItem="5"/>
  </dataFields>
  <formats count="39">
    <format dxfId="306">
      <pivotArea outline="0" collapsedLevelsAreSubtotals="1" fieldPosition="0"/>
    </format>
    <format dxfId="305">
      <pivotArea dataOnly="0" labelOnly="1" fieldPosition="0">
        <references count="1">
          <reference field="6" count="0"/>
        </references>
      </pivotArea>
    </format>
    <format dxfId="304">
      <pivotArea dataOnly="0" labelOnly="1" grandRow="1" outline="0" fieldPosition="0"/>
    </format>
    <format dxfId="303">
      <pivotArea field="6" type="button" dataOnly="0" labelOnly="1" outline="0" axis="axisRow" fieldPosition="0"/>
    </format>
    <format dxfId="302">
      <pivotArea dataOnly="0" labelOnly="1" fieldPosition="0">
        <references count="1">
          <reference field="3" count="0"/>
        </references>
      </pivotArea>
    </format>
    <format dxfId="301">
      <pivotArea dataOnly="0" labelOnly="1" grandCol="1" outline="0" fieldPosition="0"/>
    </format>
    <format dxfId="300">
      <pivotArea dataOnly="0" labelOnly="1" fieldPosition="0">
        <references count="1">
          <reference field="6" count="0"/>
        </references>
      </pivotArea>
    </format>
    <format dxfId="299">
      <pivotArea dataOnly="0" labelOnly="1" grandRow="1" outline="0" fieldPosition="0"/>
    </format>
    <format dxfId="298">
      <pivotArea outline="0" collapsedLevelsAreSubtotals="1" fieldPosition="0"/>
    </format>
    <format dxfId="297">
      <pivotArea grandRow="1" outline="0" collapsedLevelsAreSubtotals="1" fieldPosition="0"/>
    </format>
    <format dxfId="296">
      <pivotArea dataOnly="0" labelOnly="1" grandRow="1" outline="0" fieldPosition="0"/>
    </format>
    <format dxfId="295">
      <pivotArea outline="0" collapsedLevelsAreSubtotals="1" fieldPosition="0"/>
    </format>
    <format dxfId="294">
      <pivotArea field="6" type="button" dataOnly="0" labelOnly="1" outline="0" axis="axisRow" fieldPosition="0"/>
    </format>
    <format dxfId="293">
      <pivotArea dataOnly="0" labelOnly="1" fieldPosition="0">
        <references count="1">
          <reference field="3" count="0"/>
        </references>
      </pivotArea>
    </format>
    <format dxfId="292">
      <pivotArea dataOnly="0" labelOnly="1" grandCol="1" outline="0" fieldPosition="0"/>
    </format>
    <format dxfId="291">
      <pivotArea grandRow="1" outline="0" collapsedLevelsAreSubtotals="1" fieldPosition="0"/>
    </format>
    <format dxfId="290">
      <pivotArea dataOnly="0" labelOnly="1" grandRow="1" outline="0" fieldPosition="0"/>
    </format>
    <format dxfId="289">
      <pivotArea type="all" dataOnly="0" outline="0" fieldPosition="0"/>
    </format>
    <format dxfId="288">
      <pivotArea outline="0" collapsedLevelsAreSubtotals="1" fieldPosition="0"/>
    </format>
    <format dxfId="287">
      <pivotArea type="origin" dataOnly="0" labelOnly="1" outline="0" fieldPosition="0"/>
    </format>
    <format dxfId="286">
      <pivotArea field="3" type="button" dataOnly="0" labelOnly="1" outline="0" axis="axisCol" fieldPosition="0"/>
    </format>
    <format dxfId="285">
      <pivotArea type="topRight" dataOnly="0" labelOnly="1" outline="0" fieldPosition="0"/>
    </format>
    <format dxfId="284">
      <pivotArea field="6" type="button" dataOnly="0" labelOnly="1" outline="0" axis="axisRow" fieldPosition="0"/>
    </format>
    <format dxfId="283">
      <pivotArea dataOnly="0" labelOnly="1" fieldPosition="0">
        <references count="1">
          <reference field="6" count="0"/>
        </references>
      </pivotArea>
    </format>
    <format dxfId="282">
      <pivotArea dataOnly="0" labelOnly="1" grandRow="1" outline="0" fieldPosition="0"/>
    </format>
    <format dxfId="281">
      <pivotArea dataOnly="0" labelOnly="1" fieldPosition="0">
        <references count="1">
          <reference field="3" count="0"/>
        </references>
      </pivotArea>
    </format>
    <format dxfId="280">
      <pivotArea dataOnly="0" labelOnly="1" grandCol="1" outline="0" fieldPosition="0"/>
    </format>
    <format dxfId="279">
      <pivotArea grandCol="1" outline="0" collapsedLevelsAreSubtotals="1" fieldPosition="0"/>
    </format>
    <format dxfId="278">
      <pivotArea dataOnly="0" labelOnly="1" grandCol="1" outline="0" fieldPosition="0"/>
    </format>
    <format dxfId="277">
      <pivotArea type="all" dataOnly="0" outline="0" fieldPosition="0"/>
    </format>
    <format dxfId="276">
      <pivotArea outline="0" collapsedLevelsAreSubtotals="1" fieldPosition="0"/>
    </format>
    <format dxfId="275">
      <pivotArea type="origin" dataOnly="0" labelOnly="1" outline="0" fieldPosition="0"/>
    </format>
    <format dxfId="274">
      <pivotArea field="3" type="button" dataOnly="0" labelOnly="1" outline="0" axis="axisCol" fieldPosition="0"/>
    </format>
    <format dxfId="273">
      <pivotArea type="topRight" dataOnly="0" labelOnly="1" outline="0" fieldPosition="0"/>
    </format>
    <format dxfId="272">
      <pivotArea field="6" type="button" dataOnly="0" labelOnly="1" outline="0" axis="axisRow" fieldPosition="0"/>
    </format>
    <format dxfId="271">
      <pivotArea dataOnly="0" labelOnly="1" fieldPosition="0">
        <references count="1">
          <reference field="6" count="0"/>
        </references>
      </pivotArea>
    </format>
    <format dxfId="270">
      <pivotArea dataOnly="0" labelOnly="1" grandRow="1" outline="0" fieldPosition="0"/>
    </format>
    <format dxfId="269">
      <pivotArea dataOnly="0" labelOnly="1" fieldPosition="0">
        <references count="1">
          <reference field="3" count="0"/>
        </references>
      </pivotArea>
    </format>
    <format dxfId="268">
      <pivotArea dataOnly="0" labelOnly="1" grandCol="1" outline="0" fieldPosition="0"/>
    </format>
  </formats>
  <chartFormats count="32">
    <chartFormat chart="0" format="0" series="1">
      <pivotArea type="data" outline="0" fieldPosition="0">
        <references count="1">
          <reference field="3" count="1" selected="0">
            <x v="0"/>
          </reference>
        </references>
      </pivotArea>
    </chartFormat>
    <chartFormat chart="0" format="1" series="1">
      <pivotArea type="data" outline="0" fieldPosition="0">
        <references count="1">
          <reference field="3" count="1" selected="0">
            <x v="1"/>
          </reference>
        </references>
      </pivotArea>
    </chartFormat>
    <chartFormat chart="0" format="2" series="1">
      <pivotArea type="data" outline="0" fieldPosition="0">
        <references count="1">
          <reference field="3" count="1" selected="0">
            <x v="2"/>
          </reference>
        </references>
      </pivotArea>
    </chartFormat>
    <chartFormat chart="0" format="3" series="1">
      <pivotArea type="data" outline="0" fieldPosition="0">
        <references count="1">
          <reference field="3" count="1" selected="0">
            <x v="3"/>
          </reference>
        </references>
      </pivotArea>
    </chartFormat>
    <chartFormat chart="0" format="4" series="1">
      <pivotArea type="data" outline="0" fieldPosition="0">
        <references count="1">
          <reference field="3" count="1" selected="0">
            <x v="4"/>
          </reference>
        </references>
      </pivotArea>
    </chartFormat>
    <chartFormat chart="0" format="5" series="1">
      <pivotArea type="data" outline="0" fieldPosition="0">
        <references count="1">
          <reference field="3" count="1" selected="0">
            <x v="5"/>
          </reference>
        </references>
      </pivotArea>
    </chartFormat>
    <chartFormat chart="0" format="6" series="1">
      <pivotArea type="data" outline="0" fieldPosition="0">
        <references count="1">
          <reference field="3" count="1" selected="0">
            <x v="6"/>
          </reference>
        </references>
      </pivotArea>
    </chartFormat>
    <chartFormat chart="0" format="7" series="1">
      <pivotArea type="data" outline="0" fieldPosition="0">
        <references count="1">
          <reference field="3" count="1" selected="0">
            <x v="7"/>
          </reference>
        </references>
      </pivotArea>
    </chartFormat>
    <chartFormat chart="0" format="8" series="1">
      <pivotArea type="data" outline="0" fieldPosition="0">
        <references count="1">
          <reference field="3" count="1" selected="0">
            <x v="8"/>
          </reference>
        </references>
      </pivotArea>
    </chartFormat>
    <chartFormat chart="0" format="9" series="1">
      <pivotArea type="data" outline="0" fieldPosition="0">
        <references count="1">
          <reference field="3" count="1" selected="0">
            <x v="9"/>
          </reference>
        </references>
      </pivotArea>
    </chartFormat>
    <chartFormat chart="0" format="10" series="1">
      <pivotArea type="data" outline="0" fieldPosition="0">
        <references count="1">
          <reference field="3" count="1" selected="0">
            <x v="10"/>
          </reference>
        </references>
      </pivotArea>
    </chartFormat>
    <chartFormat chart="0" format="11" series="1">
      <pivotArea type="data" outline="0" fieldPosition="0">
        <references count="1">
          <reference field="3" count="1" selected="0">
            <x v="11"/>
          </reference>
        </references>
      </pivotArea>
    </chartFormat>
    <chartFormat chart="0" format="12" series="1">
      <pivotArea type="data" outline="0" fieldPosition="0">
        <references count="1">
          <reference field="3" count="1" selected="0">
            <x v="12"/>
          </reference>
        </references>
      </pivotArea>
    </chartFormat>
    <chartFormat chart="0" format="13" series="1">
      <pivotArea type="data" outline="0" fieldPosition="0">
        <references count="1">
          <reference field="3" count="1" selected="0">
            <x v="13"/>
          </reference>
        </references>
      </pivotArea>
    </chartFormat>
    <chartFormat chart="0" format="14" series="1">
      <pivotArea type="data" outline="0" fieldPosition="0">
        <references count="1">
          <reference field="3" count="1" selected="0">
            <x v="14"/>
          </reference>
        </references>
      </pivotArea>
    </chartFormat>
    <chartFormat chart="0" format="15" series="1">
      <pivotArea type="data" outline="0" fieldPosition="0">
        <references count="1">
          <reference field="3" count="1" selected="0">
            <x v="15"/>
          </reference>
        </references>
      </pivotArea>
    </chartFormat>
    <chartFormat chart="1" format="0" series="1">
      <pivotArea type="data" outline="0" fieldPosition="0">
        <references count="1">
          <reference field="3" count="1" selected="0">
            <x v="0"/>
          </reference>
        </references>
      </pivotArea>
    </chartFormat>
    <chartFormat chart="1" format="1" series="1">
      <pivotArea type="data" outline="0" fieldPosition="0">
        <references count="1">
          <reference field="3" count="1" selected="0">
            <x v="1"/>
          </reference>
        </references>
      </pivotArea>
    </chartFormat>
    <chartFormat chart="1" format="2" series="1">
      <pivotArea type="data" outline="0" fieldPosition="0">
        <references count="1">
          <reference field="3" count="1" selected="0">
            <x v="2"/>
          </reference>
        </references>
      </pivotArea>
    </chartFormat>
    <chartFormat chart="1" format="3" series="1">
      <pivotArea type="data" outline="0" fieldPosition="0">
        <references count="1">
          <reference field="3" count="1" selected="0">
            <x v="3"/>
          </reference>
        </references>
      </pivotArea>
    </chartFormat>
    <chartFormat chart="1" format="4" series="1">
      <pivotArea type="data" outline="0" fieldPosition="0">
        <references count="1">
          <reference field="3" count="1" selected="0">
            <x v="4"/>
          </reference>
        </references>
      </pivotArea>
    </chartFormat>
    <chartFormat chart="1" format="5" series="1">
      <pivotArea type="data" outline="0" fieldPosition="0">
        <references count="1">
          <reference field="3" count="1" selected="0">
            <x v="5"/>
          </reference>
        </references>
      </pivotArea>
    </chartFormat>
    <chartFormat chart="1" format="6" series="1">
      <pivotArea type="data" outline="0" fieldPosition="0">
        <references count="1">
          <reference field="3" count="1" selected="0">
            <x v="6"/>
          </reference>
        </references>
      </pivotArea>
    </chartFormat>
    <chartFormat chart="1" format="7" series="1">
      <pivotArea type="data" outline="0" fieldPosition="0">
        <references count="1">
          <reference field="3" count="1" selected="0">
            <x v="7"/>
          </reference>
        </references>
      </pivotArea>
    </chartFormat>
    <chartFormat chart="1" format="8" series="1">
      <pivotArea type="data" outline="0" fieldPosition="0">
        <references count="1">
          <reference field="3" count="1" selected="0">
            <x v="8"/>
          </reference>
        </references>
      </pivotArea>
    </chartFormat>
    <chartFormat chart="1" format="9" series="1">
      <pivotArea type="data" outline="0" fieldPosition="0">
        <references count="1">
          <reference field="3" count="1" selected="0">
            <x v="9"/>
          </reference>
        </references>
      </pivotArea>
    </chartFormat>
    <chartFormat chart="1" format="10" series="1">
      <pivotArea type="data" outline="0" fieldPosition="0">
        <references count="1">
          <reference field="3" count="1" selected="0">
            <x v="10"/>
          </reference>
        </references>
      </pivotArea>
    </chartFormat>
    <chartFormat chart="1" format="11" series="1">
      <pivotArea type="data" outline="0" fieldPosition="0">
        <references count="1">
          <reference field="3" count="1" selected="0">
            <x v="11"/>
          </reference>
        </references>
      </pivotArea>
    </chartFormat>
    <chartFormat chart="1" format="12" series="1">
      <pivotArea type="data" outline="0" fieldPosition="0">
        <references count="1">
          <reference field="3" count="1" selected="0">
            <x v="12"/>
          </reference>
        </references>
      </pivotArea>
    </chartFormat>
    <chartFormat chart="1" format="13" series="1">
      <pivotArea type="data" outline="0" fieldPosition="0">
        <references count="1">
          <reference field="3" count="1" selected="0">
            <x v="13"/>
          </reference>
        </references>
      </pivotArea>
    </chartFormat>
    <chartFormat chart="1" format="14" series="1">
      <pivotArea type="data" outline="0" fieldPosition="0">
        <references count="1">
          <reference field="3" count="1" selected="0">
            <x v="14"/>
          </reference>
        </references>
      </pivotArea>
    </chartFormat>
    <chartFormat chart="1" format="15" series="1">
      <pivotArea type="data" outline="0" fieldPosition="0">
        <references count="1">
          <reference field="3" count="1" selected="0">
            <x v="15"/>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3DEE5D-6A7E-4D80-8687-57DEE470028B}" name="Dataark_til_bilag2_2018" displayName="Dataark_til_bilag2_2018" ref="A4:Y296" totalsRowShown="0" headerRowDxfId="226" dataDxfId="224" headerRowBorderDxfId="225" tableBorderDxfId="223" totalsRowBorderDxfId="222">
  <autoFilter ref="A4:Y296" xr:uid="{9D3DEE5D-6A7E-4D80-8687-57DEE470028B}"/>
  <sortState xmlns:xlrd2="http://schemas.microsoft.com/office/spreadsheetml/2017/richdata2" ref="A5:Y296">
    <sortCondition ref="B4:B296"/>
  </sortState>
  <tableColumns count="25">
    <tableColumn id="1" xr3:uid="{483D19B9-640A-41A2-A554-5B477298490B}" name="Dyrekategori" dataDxfId="221"/>
    <tableColumn id="21" xr3:uid="{0F36861C-9C34-4917-8F09-79D9DDAF3AC4}" name="Dyr_Kode" dataDxfId="220"/>
    <tableColumn id="2" xr3:uid="{5A3426AE-5657-46DB-89FC-29C9E9DB272A}" name="Dyretyper" dataDxfId="219"/>
    <tableColumn id="3" xr3:uid="{ACC9B52F-3E87-4674-8AB1-D8DB2C053D71}" name="Fordeling af dyretyper" dataDxfId="218"/>
    <tableColumn id="4" xr3:uid="{957CC484-F140-4B41-83B5-A293245CC992}" name="Staldtype" dataDxfId="217"/>
    <tableColumn id="5" xr3:uid="{2B7E049B-091C-49EB-9A56-2CFFE29A3B5C}" name="Staldtype fordeling" dataDxfId="216"/>
    <tableColumn id="23" xr3:uid="{368F8D42-92C0-4A9E-B826-E052CAF317FF}" name="Stald_kode" dataDxfId="215"/>
    <tableColumn id="24" xr3:uid="{CFAAEEE4-E387-400D-A28F-36F53661C196}" name="Kode_stald+dyr" dataDxfId="214">
      <calculatedColumnFormula>Dataark_til_bilag2_2018[[#This Row],[Stald_kode]]+Dataark_til_bilag2_2018[[#This Row],[Dyr_Kode]]</calculatedColumnFormula>
    </tableColumn>
    <tableColumn id="6" xr3:uid="{D19070DD-E05E-4F55-A210-4034280FC22D}" name="Antal dyr" dataDxfId="213">
      <calculatedColumnFormula>IFERROR(VLOOKUP(Dataark_til_bilag2_2018[[#This Row],[Kode_stald+dyr]],staldtype_total_18!$A$3:$J$211,10,FALSE)," ")</calculatedColumnFormula>
    </tableColumn>
    <tableColumn id="7" xr3:uid="{D1EE4970-04C6-4482-909A-EEDF9CBCCC56}" name="Gødningstype" dataDxfId="212"/>
    <tableColumn id="8" xr3:uid="{62BDC977-039D-43E9-B53F-799C0DACDEBB}" name="Strøelsestype" dataDxfId="211"/>
    <tableColumn id="9" xr3:uid="{CE6B300B-E8B1-49B5-B693-7FC5AD4DE455}" name="Gødning (g) pr. dyr (ton)" dataDxfId="210"/>
    <tableColumn id="10" xr3:uid="{370BF3E5-0909-4914-9D50-5CFFEF9C0862}" name="Tørstof (%)" dataDxfId="209"/>
    <tableColumn id="22" xr3:uid="{EA244378-BB01-4900-B9D3-6C51AF51B8DE}" name="Gødning (g) total (ton)" dataDxfId="208">
      <calculatedColumnFormula>IFERROR(Dataark_til_bilag2_2018[[#This Row],[Antal dyr]]*Dataark_til_bilag2_2018[[#This Row],[Gødning (g) pr. dyr (ton)]]," ")</calculatedColumnFormula>
    </tableColumn>
    <tableColumn id="11" xr3:uid="{24CF1F1B-2756-4A2D-99B0-BFE20811CBE5}" name="Gødning (s) pr. dyr (ton)" dataDxfId="207"/>
    <tableColumn id="25" xr3:uid="{2FD616D8-F9DF-4FB1-A3F6-9372C9A7360A}" name="Gødning (s)(ton)" dataDxfId="206">
      <calculatedColumnFormula>IFERROR(Dataark_til_bilag2_2018[[#This Row],[Antal dyr]]*Dataark_til_bilag2_2018[[#This Row],[Gødning (s) pr. dyr (ton)]]," ")</calculatedColumnFormula>
    </tableColumn>
    <tableColumn id="12" xr3:uid="{10EDFA67-0182-4754-B47E-2C4E6AD36B09}" name="Tørstof 2 (%)" dataDxfId="205"/>
    <tableColumn id="13" xr3:uid="{0A70B6D4-6741-4D2F-8606-2C773384B124}" name="Dage på græs, Konventionel" dataDxfId="204"/>
    <tableColumn id="14" xr3:uid="{DDBD1D98-BEB2-411E-BA4F-BF974F650034}" name="Dage på græs, Økologisk" dataDxfId="203"/>
    <tableColumn id="15" xr3:uid="{EF72F5A0-232D-4F47-919B-A3E9922B8FA7}" name="Tørstof i stald" dataDxfId="202">
      <calculatedColumnFormula>(L5*1000)/365*M5*(365-R5)*0.8+(O5*1000)/365*Q5*(365-R5)*(1-0.045/100)</calculatedColumnFormula>
    </tableColumn>
    <tableColumn id="16" xr3:uid="{47080485-EF5F-4349-ADC9-45E69760322F}" name="Tørstof på mark" dataDxfId="201">
      <calculatedColumnFormula>(L5*1000)/365*M5*0.8*R5</calculatedColumnFormula>
    </tableColumn>
    <tableColumn id="17" xr3:uid="{804CFE64-B320-4860-B4AB-42E1AC66882D}" name="Metan konverteringsfaktor (%)" dataDxfId="200"/>
    <tableColumn id="18" xr3:uid="{C7E3AF7D-DFFD-4588-8E66-EC8C91959939}" name="B0" dataDxfId="199"/>
    <tableColumn id="19" xr3:uid="{0A817DEF-5EB5-4FE7-97EC-96B43AD5A8E2}" name="Metan pr. dyr (kg)" dataDxfId="198">
      <calculatedColumnFormula>(T5*V5/100*0.67*W5)+(U5*V5/100*0.67*W5)</calculatedColumnFormula>
    </tableColumn>
    <tableColumn id="20" xr3:uid="{0602A811-D0DE-49F8-A6C4-21922FBF3EBC}" name="Total udledning af metan (ton)" dataDxfId="197">
      <calculatedColumnFormula>IFERROR(IFERROR((X5*I5)/1000,(X5*I4)/1000),"-")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41BDE6D-180E-44B2-A317-231286363D7B}" name="Dataark_til_bilag3_2018" displayName="Dataark_til_bilag3_2018" ref="A4:V228" totalsRowCount="1" headerRowDxfId="196" dataDxfId="195" totalsRowDxfId="193" tableBorderDxfId="194">
  <autoFilter ref="A4:V227" xr:uid="{541BDE6D-180E-44B2-A317-231286363D7B}"/>
  <sortState xmlns:xlrd2="http://schemas.microsoft.com/office/spreadsheetml/2017/richdata2" ref="A5:V227">
    <sortCondition ref="H4:H227"/>
  </sortState>
  <tableColumns count="22">
    <tableColumn id="1" xr3:uid="{0FA333A8-10C3-4442-8A10-2018B9E4DD2C}" name="Dyrekatagori" totalsRowLabel="Total" dataDxfId="192" totalsRowDxfId="191"/>
    <tableColumn id="20" xr3:uid="{4B1EDA6A-C59A-41CD-A92C-9DD8F4EB17DB}" name="Dyrekode" dataDxfId="190" totalsRowDxfId="189"/>
    <tableColumn id="2" xr3:uid="{4C5A3F0D-C55C-4EAD-92A5-DD512DBFE6DB}" name="Dyretyper" dataDxfId="188" totalsRowDxfId="187"/>
    <tableColumn id="3" xr3:uid="{4E4DAB16-0B30-41F2-BDB1-D8497AB874A2}" name="Fordeling af dyrtyper" dataDxfId="186" totalsRowDxfId="185"/>
    <tableColumn id="4" xr3:uid="{1DA4F2D3-2050-4EF6-974A-0661DDA21C16}" name="Staldtype" dataDxfId="184" totalsRowDxfId="183"/>
    <tableColumn id="23" xr3:uid="{64E9C5B2-EFB4-4DEF-96B0-960C7BAD052F}" name="Staldkode" dataDxfId="182" totalsRowDxfId="181"/>
    <tableColumn id="5" xr3:uid="{4DF33CD3-4448-4412-993C-1A38B4EB47B5}" name="Fordeling af staldtyper" dataDxfId="180" totalsRowDxfId="179"/>
    <tableColumn id="21" xr3:uid="{60FAA41F-85B7-4EA3-B758-6503C2BAF290}" name="Kode stald + dyr" dataDxfId="178" totalsRowDxfId="177">
      <calculatedColumnFormula>Dataark_til_bilag3_2018[[#This Row],[Staldkode]]+Dataark_til_bilag3_2018[[#This Row],[Dyrekode]]</calculatedColumnFormula>
    </tableColumn>
    <tableColumn id="6" xr3:uid="{6A9A6D1E-6FE5-4A4D-8DF4-84A8F0636254}" name="Antal dyr" totalsRowLabel="31.962" dataDxfId="176" totalsRowDxfId="175">
      <calculatedColumnFormula>IFERROR(VLOOKUP(Dataark_til_bilag3_2018[[#This Row],[Kode stald + dyr]],staldtype_total_18G!$A$3:$J$225,10,FALSE)," ")</calculatedColumnFormula>
    </tableColumn>
    <tableColumn id="7" xr3:uid="{8F371089-1FAE-42C8-ADF0-FE66487F957D}" name="Gødningstype" dataDxfId="174" totalsRowDxfId="173"/>
    <tableColumn id="8" xr3:uid="{26D9F033-9DA4-415F-8080-8393033BFA04}" name="Strøelsestype" dataDxfId="172" totalsRowDxfId="171"/>
    <tableColumn id="9" xr3:uid="{EF5FBDCF-FE88-4F20-97BA-933AE574DF86}" name="Kg N pr dyr (ab dyr) pr år (Nex)" dataDxfId="170" totalsRowDxfId="169">
      <calculatedColumnFormula>88.9/100</calculatedColumnFormula>
    </tableColumn>
    <tableColumn id="10" xr3:uid="{92311710-D808-408B-9869-31CF8440EC43}" name="Total N i gødning  (Kg)" dataDxfId="168" totalsRowDxfId="167">
      <calculatedColumnFormula>IFERROR(I5*L5," ")</calculatedColumnFormula>
    </tableColumn>
    <tableColumn id="11" xr3:uid="{16FCECBA-ECDA-4593-B210-B72A026F31DC}" name="N2O-N pr. Kg Nex (Kg)" dataDxfId="166" totalsRowDxfId="165"/>
    <tableColumn id="12" xr3:uid="{4627CD7B-AE4B-4CC4-BC73-C0C2D46EBBA2}" name="Total N2O-N (Kg)" dataDxfId="164" totalsRowDxfId="163">
      <calculatedColumnFormula>IFERROR(M5*N5," ")</calculatedColumnFormula>
    </tableColumn>
    <tableColumn id="13" xr3:uid="{A72312D1-A150-4A8B-A958-A85924C2712F}" name="Total af direkte udledning N2O (Kg)" dataDxfId="162" totalsRowDxfId="161">
      <calculatedColumnFormula>IFERROR(O5*44/28," ")</calculatedColumnFormula>
    </tableColumn>
    <tableColumn id="14" xr3:uid="{5518DF14-880C-44A4-AF97-D1741C605E0D}" name="FracGasMS (fordampning)" dataDxfId="160" totalsRowDxfId="159"/>
    <tableColumn id="15" xr3:uid="{5478C2E6-DAB8-4ABD-B75A-D38043339CDE}" name="Total N fra fordampning" totalsRowFunction="sum" dataDxfId="158" totalsRowDxfId="157">
      <calculatedColumnFormula>IFERROR(M5*Q5," ")</calculatedColumnFormula>
    </tableColumn>
    <tableColumn id="16" xr3:uid="{87A89E86-0F9B-4ADE-846A-5A553087491C}" name="EF4 (Emissionsfaktor)" dataDxfId="156" totalsRowDxfId="155"/>
    <tableColumn id="17" xr3:uid="{C4FD2844-80EF-4007-89FA-A38B258926CA}" name="Total N2O-N (Kg)2" dataDxfId="154" totalsRowDxfId="153">
      <calculatedColumnFormula>IFERROR(R5*S5," ")</calculatedColumnFormula>
    </tableColumn>
    <tableColumn id="18" xr3:uid="{C71BE10C-77F0-40F8-96A7-AA5835E99363}" name="Total N2O af indirekte udledning (Kg)" dataDxfId="152" totalsRowDxfId="151">
      <calculatedColumnFormula>IFERROR(T5*44/28,0)</calculatedColumnFormula>
    </tableColumn>
    <tableColumn id="19" xr3:uid="{4C08455A-25AB-46AB-9AB3-E8F423A7C92E}" name="Total udledning af N2O  (ton)" totalsRowFunction="sum" dataDxfId="150" totalsRowDxfId="149">
      <calculatedColumnFormula>IFERROR((P5+U5)/1000," ")</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EB7426-DAE0-4530-B216-F7E8030D8F94}" name="Dataark_til_bilag2_2020" displayName="Dataark_til_bilag2_2020" ref="A4:Y296" totalsRowShown="0" headerRowDxfId="148" dataDxfId="146" headerRowBorderDxfId="147" tableBorderDxfId="145" totalsRowBorderDxfId="144">
  <autoFilter ref="A4:Y296" xr:uid="{9D3DEE5D-6A7E-4D80-8687-57DEE470028B}"/>
  <sortState xmlns:xlrd2="http://schemas.microsoft.com/office/spreadsheetml/2017/richdata2" ref="A5:Y296">
    <sortCondition ref="B4:B296"/>
  </sortState>
  <tableColumns count="25">
    <tableColumn id="1" xr3:uid="{FE0B9E2A-5E9E-42E7-9A2B-A8909BF5CF0D}" name="Dyrekategori" dataDxfId="143"/>
    <tableColumn id="21" xr3:uid="{C23B9DAB-BD83-438B-981D-2955D316E9BB}" name="Dyr_Kode" dataDxfId="142"/>
    <tableColumn id="2" xr3:uid="{C569282E-A490-489B-A156-EE90AB1EDDFD}" name="Dyretyper" dataDxfId="141"/>
    <tableColumn id="3" xr3:uid="{94C11CC2-9FE0-4D21-9C8B-E946B1B1FAA7}" name="Fordeling af dyretyper" dataDxfId="140"/>
    <tableColumn id="4" xr3:uid="{913C7047-25D7-47EA-824C-31D017C6764D}" name="Staldtype" dataDxfId="139"/>
    <tableColumn id="5" xr3:uid="{71C030D7-2E83-4530-9182-4545797F88B4}" name="Staldtype fordeling" dataDxfId="138"/>
    <tableColumn id="23" xr3:uid="{D2814376-8824-42FB-9402-0F8DBFA208B8}" name="Stald_kode" dataDxfId="137"/>
    <tableColumn id="24" xr3:uid="{8F4FFDFE-6AD7-428A-AC57-FD29C5828490}" name="Kode_stald+dyr" dataDxfId="136">
      <calculatedColumnFormula>Dataark_til_bilag2_2020[[#This Row],[Stald_kode]]+Dataark_til_bilag2_2020[[#This Row],[Dyr_Kode]]</calculatedColumnFormula>
    </tableColumn>
    <tableColumn id="6" xr3:uid="{689895B7-B95F-4E4A-B78C-8810B40875BA}" name="Antal dyr" dataDxfId="135">
      <calculatedColumnFormula>IFERROR(VLOOKUP(Dataark_til_bilag2_2020[[#This Row],[Kode_stald+dyr]],staldtype_total_18G!$A$3:$J$225,10,FALSE)," ")</calculatedColumnFormula>
    </tableColumn>
    <tableColumn id="7" xr3:uid="{12E6FFBB-01F4-4F51-8FF5-D384FE77A9F8}" name="Gødningstype" dataDxfId="134"/>
    <tableColumn id="8" xr3:uid="{4FBF8BE6-B941-4D7C-932A-9AF84B888F35}" name="Strøelsestype" dataDxfId="133"/>
    <tableColumn id="9" xr3:uid="{DD1C29A3-F425-4520-8A96-BD77FF2DA4AF}" name="Gødning (g) pr. dyr (ton)" dataDxfId="132"/>
    <tableColumn id="10" xr3:uid="{989D60FB-64C4-4372-B04D-D6D996B229F3}" name="Tørstof (%)" dataDxfId="131"/>
    <tableColumn id="22" xr3:uid="{1FF4EBB2-E95E-46E9-A04C-9AD03AEDEB19}" name="Gødning (g) total (ton)" dataDxfId="130">
      <calculatedColumnFormula>IFERROR(Dataark_til_bilag2_2020[[#This Row],[Antal dyr]]*Dataark_til_bilag2_2020[[#This Row],[Gødning (g) pr. dyr (ton)]]," ")</calculatedColumnFormula>
    </tableColumn>
    <tableColumn id="11" xr3:uid="{7C1FDAF5-01E2-40BB-A1A0-2DE343DF43AF}" name="Gødning (s) pr. dyr (ton)" dataDxfId="129"/>
    <tableColumn id="25" xr3:uid="{511442F3-23AB-4CF0-A7D3-F8EC96E51E3C}" name="Gødning (s)(ton)" dataDxfId="128">
      <calculatedColumnFormula>IFERROR(Dataark_til_bilag2_2020[[#This Row],[Antal dyr]]*Dataark_til_bilag2_2020[[#This Row],[Gødning (s) pr. dyr (ton)]]," ")</calculatedColumnFormula>
    </tableColumn>
    <tableColumn id="12" xr3:uid="{44D36C41-8E36-4AF1-AA6B-A615A1D72566}" name="Tørstof 2 (%)" dataDxfId="127"/>
    <tableColumn id="13" xr3:uid="{B72A68BE-973A-43D8-95DE-DD776191119D}" name="Dage på græs, Konventionel" dataDxfId="126"/>
    <tableColumn id="14" xr3:uid="{D1BE7C13-91D3-4C7F-BA76-ED2BF5BE3A67}" name="Dage på græs, Økologisk" dataDxfId="125"/>
    <tableColumn id="15" xr3:uid="{A45CAC72-DF8C-4A79-80D8-24EECE95B22C}" name="Tørstof i stald" dataDxfId="124">
      <calculatedColumnFormula>(L5*1000)/365*M5*(365-R5)*0.8+(O5*1000)/365*Q5*(365-R5)*(1-0.045/100)</calculatedColumnFormula>
    </tableColumn>
    <tableColumn id="16" xr3:uid="{E2B31844-B927-47D9-A707-F67FEA82CF4E}" name="Tørstof på mark" dataDxfId="123">
      <calculatedColumnFormula>(L5*1000)/365*M5*0.8*R5</calculatedColumnFormula>
    </tableColumn>
    <tableColumn id="17" xr3:uid="{F531D02D-6E48-4D85-A823-393EBE10C5F8}" name="Metan konverteringsfaktor (%)" dataDxfId="122"/>
    <tableColumn id="18" xr3:uid="{67800B82-621F-49A8-9F16-3AD3BC9819AC}" name="B0" dataDxfId="121"/>
    <tableColumn id="19" xr3:uid="{058CAF0B-C1A2-485E-9800-5C9E218C3703}" name="Metan pr. dyr (kg)" dataDxfId="120">
      <calculatedColumnFormula>(T5*V5/100*0.67*W5)+(U5*V5/100*0.67*W5)</calculatedColumnFormula>
    </tableColumn>
    <tableColumn id="20" xr3:uid="{AF229AFF-248D-41B2-86E7-FC852C564E5E}" name="Total udledning af metan (ton)" dataDxfId="119">
      <calculatedColumnFormula>IFERROR(IFERROR((X5*I5)/1000,(X5*I4)/1000),"-")</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27502A5-6DE9-44B9-8EA6-5A20127D9A51}" name="Dataark_til_bilag3_2030" displayName="Dataark_til_bilag3_2030" ref="A4:V229" totalsRowCount="1" headerRowDxfId="118" dataDxfId="117" totalsRowDxfId="115" tableBorderDxfId="116">
  <autoFilter ref="A4:V228" xr:uid="{07BA4FC8-7DE6-4638-A1A2-17B0BBD54013}"/>
  <sortState xmlns:xlrd2="http://schemas.microsoft.com/office/spreadsheetml/2017/richdata2" ref="A5:V228">
    <sortCondition ref="B4:B228"/>
  </sortState>
  <tableColumns count="22">
    <tableColumn id="1" xr3:uid="{95781BC7-7CA9-4D9A-9808-94A3E8586103}" name="Dyrekatagori" totalsRowLabel="Total" dataDxfId="114" totalsRowDxfId="113"/>
    <tableColumn id="20" xr3:uid="{DE617C61-25E5-43E0-8599-9C5ADDAEB93F}" name="Dyrekode" dataDxfId="112" totalsRowDxfId="111"/>
    <tableColumn id="2" xr3:uid="{073C77EB-CBEF-4F6D-A367-8BA762938CD7}" name="Dyretyper" dataDxfId="110" totalsRowDxfId="109"/>
    <tableColumn id="3" xr3:uid="{1C8562DE-C24A-434D-A170-E6B37D7C5E59}" name="Fordeling af dyrtyper" dataDxfId="108" totalsRowDxfId="107"/>
    <tableColumn id="4" xr3:uid="{FAE040E0-107C-4D47-9F96-E9808D3E9909}" name="Staldtype" dataDxfId="106" totalsRowDxfId="105"/>
    <tableColumn id="23" xr3:uid="{1C560011-024C-41A5-A738-ADFD2AFFA968}" name="Staldkode" dataDxfId="104" totalsRowDxfId="103"/>
    <tableColumn id="5" xr3:uid="{16020A39-2480-47B9-A398-C0A4A2A7C341}" name="Fordeling af staldtyper" dataDxfId="102" totalsRowDxfId="101"/>
    <tableColumn id="21" xr3:uid="{8058ECC4-FE6B-424D-8D09-78EF472D49B0}" name="Kode stald + dyr" dataDxfId="100" totalsRowDxfId="99">
      <calculatedColumnFormula>Dataark_til_bilag3_2030[[#This Row],[Staldkode]]+Dataark_til_bilag3_2030[[#This Row],[Dyrekode]]</calculatedColumnFormula>
    </tableColumn>
    <tableColumn id="6" xr3:uid="{F8ACC2FC-883A-41CD-A570-113C9D3A27A1}" name="Antal dyr" totalsRowFunction="sum" dataDxfId="98" totalsRowDxfId="97">
      <calculatedColumnFormula>IFERROR(VLOOKUP(Dataark_til_bilag3_2030[[#This Row],[Kode stald + dyr]],staldtype_total_18G!$A$3:$J$225,10,FALSE)," ")</calculatedColumnFormula>
    </tableColumn>
    <tableColumn id="7" xr3:uid="{6F706A40-6DE8-4991-8022-21A56EC7E4A3}" name="Gødningstype" dataDxfId="96" totalsRowDxfId="95"/>
    <tableColumn id="8" xr3:uid="{E3C5D6D6-E4D5-4E94-9187-8FE53F69A540}" name="Strøelsestype" dataDxfId="94" totalsRowDxfId="93"/>
    <tableColumn id="9" xr3:uid="{BA9FA89F-91E1-413C-BCE8-B766E54B1348}" name="Kg N pr dyr (ab dyr) pr år (Nex)" dataDxfId="92" totalsRowDxfId="91">
      <calculatedColumnFormula>88.9/100</calculatedColumnFormula>
    </tableColumn>
    <tableColumn id="10" xr3:uid="{9B373B97-3CBD-4E95-ABD6-096414A1DF45}" name="Total N i gødning  (Kg)" dataDxfId="90" totalsRowDxfId="89">
      <calculatedColumnFormula>IFERROR(I5*L5," ")</calculatedColumnFormula>
    </tableColumn>
    <tableColumn id="11" xr3:uid="{82ECC7E8-D867-45A2-B80F-A9220BE967FF}" name="N2O-N pr. Kg Nex (Kg)" dataDxfId="88" totalsRowDxfId="87"/>
    <tableColumn id="12" xr3:uid="{D12FDE88-CE60-4944-B8F8-BC4D79CD0EB6}" name="Total N2O-N (Kg)" dataDxfId="86" totalsRowDxfId="85">
      <calculatedColumnFormula>IFERROR(M5*N5," ")</calculatedColumnFormula>
    </tableColumn>
    <tableColumn id="13" xr3:uid="{81E88E29-D29D-4022-8ED2-59C41A9D0982}" name="Total af direkte udledning N2O (Kg)" dataDxfId="84" totalsRowDxfId="83">
      <calculatedColumnFormula>IFERROR(O5*44/28," ")</calculatedColumnFormula>
    </tableColumn>
    <tableColumn id="14" xr3:uid="{518BAF81-5417-455C-AC02-ECA1FA286DFC}" name="FracGasMS (fordampning)" dataDxfId="82" totalsRowDxfId="81"/>
    <tableColumn id="15" xr3:uid="{5DC43D2C-7FE0-4506-8AEA-093726259DC1}" name="Total N fra fordampning" totalsRowFunction="sum" dataDxfId="80" totalsRowDxfId="79">
      <calculatedColumnFormula>IFERROR(M5*Q5," ")</calculatedColumnFormula>
    </tableColumn>
    <tableColumn id="16" xr3:uid="{7016AF52-F2B7-4A0D-97AD-CA491465CBC7}" name="EF4 (Emissionsfaktor)" dataDxfId="78" totalsRowDxfId="77"/>
    <tableColumn id="17" xr3:uid="{7205B9B1-12A0-407F-981F-61B929982E80}" name="Total N2O-N (Kg)2" dataDxfId="76" totalsRowDxfId="75">
      <calculatedColumnFormula>IFERROR(R5*S5," ")</calculatedColumnFormula>
    </tableColumn>
    <tableColumn id="18" xr3:uid="{6BE11FA2-AB27-444A-8F80-6B3ED96020E2}" name="Total N2O af indirekte udledning (Kg)" dataDxfId="74" totalsRowDxfId="73">
      <calculatedColumnFormula>IFERROR(T5*44/28,0)</calculatedColumnFormula>
    </tableColumn>
    <tableColumn id="19" xr3:uid="{1D61ECB4-0C32-4426-9C0D-71BEA8AF1185}" name="Total udledning af N2O  (ton)" totalsRowFunction="sum" dataDxfId="72" totalsRowDxfId="71">
      <calculatedColumnFormula>IFERROR((P5+U5)/1000," ")</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59F2B46-CE61-42DC-91F3-1173843E94A3}" name="Tabel17" displayName="Tabel17" ref="G7:K14" totalsRowShown="0" headerRowDxfId="48" dataDxfId="47">
  <tableColumns count="5">
    <tableColumn id="1" xr3:uid="{00000000-0010-0000-0000-000001000000}" name="Region" dataDxfId="46"/>
    <tableColumn id="2" xr3:uid="{00000000-0010-0000-0000-000002000000}" name="2017" dataDxfId="45"/>
    <tableColumn id="3" xr3:uid="{00000000-0010-0000-0000-000003000000}" name="2018" dataDxfId="44"/>
    <tableColumn id="4" xr3:uid="{00000000-0010-0000-0000-000004000000}" name="2019" dataDxfId="43"/>
    <tableColumn id="5" xr3:uid="{00000000-0010-0000-0000-000005000000}" name="2020" dataDxfId="42"/>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3E4E30A-530C-4CD0-81F7-0481C6624678}" name="Tabel13" displayName="Tabel13" ref="A1:I37" totalsRowCount="1" headerRowDxfId="41" headerRowBorderDxfId="40" tableBorderDxfId="39" headerRowCellStyle="Normal_pr værk">
  <autoFilter ref="A1:I36" xr:uid="{C7AA6726-206B-421B-ADE1-C08D400C0AAD}">
    <filterColumn colId="3">
      <filters>
        <filter val="Region Nord"/>
      </filters>
    </filterColumn>
  </autoFilter>
  <sortState xmlns:xlrd2="http://schemas.microsoft.com/office/spreadsheetml/2017/richdata2" ref="A2:I33">
    <sortCondition ref="B1:B33"/>
  </sortState>
  <tableColumns count="9">
    <tableColumn id="1" xr3:uid="{1960B5AE-5884-40C8-94BD-E32CF2EF5995}" name="Aar" dataDxfId="38" totalsRowDxfId="37" dataCellStyle="Normal_pr værk"/>
    <tableColumn id="2" xr3:uid="{952C9531-1805-4BDC-ABF5-67FACA278850}" name="Kommunenummer" dataDxfId="36" totalsRowDxfId="35" dataCellStyle="Normal_pr værk"/>
    <tableColumn id="3" xr3:uid="{B07A88FB-3561-4B4B-B222-0738A20E3FAA}" name="Kommunenavn" dataDxfId="34" totalsRowDxfId="33" dataCellStyle="Normal_pr værk">
      <calculatedColumnFormula>VLOOKUP(Tabel13[[#This Row],[Kommunenummer]],$M$2:$N$27,2,FALSE)</calculatedColumnFormula>
    </tableColumn>
    <tableColumn id="6" xr3:uid="{52E3F65C-80DA-4193-B6E9-3B78EE07C17F}" name="Region" dataDxfId="32" totalsRowDxfId="31">
      <calculatedColumnFormula>VLOOKUP(Tabel13[[#This Row],[Kommunenavn]],$N$2:$O$27,2,FALSE)</calculatedColumnFormula>
    </tableColumn>
    <tableColumn id="7" xr3:uid="{D737B6C7-26DC-4488-8BC8-21CCDE6788AF}" name="Branchekode (DB07)" dataDxfId="30" totalsRowDxfId="29" dataCellStyle="Normal_pr værk"/>
    <tableColumn id="8" xr3:uid="{7B39F361-5000-4871-B982-3FD076AB7962}" name="Branchebeskrivelse" dataDxfId="28" totalsRowDxfId="27">
      <calculatedColumnFormula>VLOOKUP(Tabel13[[#This Row],[Branchekode (DB07)]],$K$2:$L$14,2,FALSE)</calculatedColumnFormula>
    </tableColumn>
    <tableColumn id="4" xr3:uid="{4B59F642-99BC-4DA1-96B5-3FD5926FBCCD}" name="Værk_Navn" dataDxfId="26" totalsRowDxfId="25" dataCellStyle="Normal_pr værk"/>
    <tableColumn id="5" xr3:uid="{B1B511C3-C64C-465D-9E13-04CC211BFB74}" name="tonCO2Process" totalsRowFunction="custom" dataDxfId="24" totalsRowDxfId="23" dataCellStyle="Normal_pr værk" totalsRowCellStyle="Komma">
      <totalsRowFormula>SUM(Tabel13[tonCO2Process])</totalsRowFormula>
    </tableColumn>
    <tableColumn id="9" xr3:uid="{EBDBF4E5-4946-4862-9B79-BD8313B02D6F}" name="Kolonne1" dataDxfId="22" totalsRowDxfId="21" dataCellStyle="Normal_pr værk"/>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1F093AC-856E-4BC1-8D1B-4C83ED364BCA}" name="Tabel1" displayName="Tabel1" ref="A1:I34" totalsRowCount="1" headerRowDxfId="20" headerRowBorderDxfId="19" tableBorderDxfId="18" headerRowCellStyle="Normal_pr værk">
  <autoFilter ref="A1:I33" xr:uid="{C7AA6726-206B-421B-ADE1-C08D400C0AAD}">
    <filterColumn colId="3">
      <filters>
        <filter val="Region Midt"/>
      </filters>
    </filterColumn>
  </autoFilter>
  <sortState xmlns:xlrd2="http://schemas.microsoft.com/office/spreadsheetml/2017/richdata2" ref="A2:I33">
    <sortCondition ref="G1:G33"/>
  </sortState>
  <tableColumns count="9">
    <tableColumn id="1" xr3:uid="{778500CF-C5DF-4E1A-8A20-08608FF7449B}" name="Aar" dataDxfId="17" totalsRowDxfId="16" dataCellStyle="Normal_pr værk"/>
    <tableColumn id="2" xr3:uid="{0840E14D-6179-476D-87F2-D4A8C229F1A6}" name="Kommunenummer" dataDxfId="15" totalsRowDxfId="14" dataCellStyle="Normal_pr værk"/>
    <tableColumn id="3" xr3:uid="{F1F53649-B7F4-47F2-9CC8-2B10EFB85A7B}" name="Kommunenavn" dataDxfId="13" totalsRowDxfId="12" dataCellStyle="Normal_pr værk">
      <calculatedColumnFormula>VLOOKUP(Tabel1[[#This Row],[Kommunenummer]],$M$2:$N$27,2,FALSE)</calculatedColumnFormula>
    </tableColumn>
    <tableColumn id="6" xr3:uid="{F48C331E-1F80-48D5-A1F7-243AA835D3C9}" name="Region" dataDxfId="11" totalsRowDxfId="10">
      <calculatedColumnFormula>VLOOKUP(Tabel1[[#This Row],[Kommunenavn]],$N$2:$O$27,2,FALSE)</calculatedColumnFormula>
    </tableColumn>
    <tableColumn id="7" xr3:uid="{B1AE4E2E-1713-42BD-A42C-F22D944F1E89}" name="Branchekode (DB07)" dataDxfId="9" totalsRowDxfId="8" dataCellStyle="Normal_pr værk"/>
    <tableColumn id="8" xr3:uid="{08D6C1DF-0D89-4A1C-8BAF-3D5806C7D7E6}" name="Branchebeskrivelse" dataDxfId="7" totalsRowDxfId="6">
      <calculatedColumnFormula>VLOOKUP(Tabel1[[#This Row],[Branchekode (DB07)]],$K$2:$L$13,2,FALSE)</calculatedColumnFormula>
    </tableColumn>
    <tableColumn id="4" xr3:uid="{DB70562B-6316-4A9E-834D-4E14820B76ED}" name="Værk_Navn" dataDxfId="5" totalsRowDxfId="4" dataCellStyle="Normal_pr værk"/>
    <tableColumn id="5" xr3:uid="{88853550-EA42-41AC-841D-65B14447C8AF}" name="tonCO2Process" totalsRowFunction="custom" dataDxfId="3" totalsRowDxfId="2" dataCellStyle="Normal_pr værk" totalsRowCellStyle="Komma">
      <totalsRowFormula>SUM(Tabel1[tonCO2Process])</totalsRowFormula>
    </tableColumn>
    <tableColumn id="9" xr3:uid="{2512F3E8-5E63-4D19-A4A7-661E29D6EA97}" name="Kolonne1" dataDxfId="1" totalsRowDxfId="0"/>
  </tableColumns>
  <tableStyleInfo name="TableStyleMedium9" showFirstColumn="0" showLastColumn="0" showRowStripes="1" showColumnStripes="0"/>
</table>
</file>

<file path=xl/theme/theme1.xml><?xml version="1.0" encoding="utf-8"?>
<a:theme xmlns:a="http://schemas.openxmlformats.org/drawingml/2006/main" name="Office-tema">
  <a:themeElements>
    <a:clrScheme name="Blå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71" dT="2019-11-05T12:55:17.59" personId="{00000000-0000-0000-0000-000000000000}" id="{B1F1B61B-9D11-4517-956C-DA4769CDA202}">
    <text>Har fået tons gødning og tørstofprocent som slagtesvin</text>
  </threadedComment>
  <threadedComment ref="D171" dT="2021-11-26T12:56:42.49" personId="{00000000-0000-0000-0000-000000000000}" id="{43A627A0-CA43-438C-8FBC-C17D6E40A30A}">
    <text>Sum af slagtesvin og smågrise i samme staldsystem</text>
  </threadedComment>
  <threadedComment ref="C172" dT="2019-11-05T12:55:22.32" personId="{00000000-0000-0000-0000-000000000000}" id="{D280D1A5-68FD-4F72-918B-FFFED130DF10}">
    <text>Har fået tons gødning og tørstofprocent som slagtesvin</text>
  </threadedComment>
  <threadedComment ref="C173" dT="2019-11-05T12:55:26.03" personId="{00000000-0000-0000-0000-000000000000}" id="{2884C529-B04E-4926-8AD3-426942245A21}">
    <text>Har fået tons gødning og tørstofprocent som slagtesvin</text>
  </threadedComment>
  <threadedComment ref="C174" dT="2019-11-05T12:55:46.40" personId="{00000000-0000-0000-0000-000000000000}" id="{BBEBCC38-5B6D-4385-9262-031CBF60DE4E}">
    <text>Har fået tons gødning og tørstofprocent som slagtesvin</text>
  </threadedComment>
  <threadedComment ref="C175" dT="2019-11-05T12:55:36.07" personId="{00000000-0000-0000-0000-000000000000}" id="{3650E4E9-B966-48D2-A20C-2CF37A983868}">
    <text>Har fået tons gødning og tørstofprocent som slagtesvin</text>
  </threadedComment>
  <threadedComment ref="C176" dT="2019-11-05T12:55:30.28" personId="{00000000-0000-0000-0000-000000000000}" id="{B45E29D8-075D-49CE-A00E-C3E6378D970D}">
    <text>Har fået tons gødning og tørstofprocent som slagtesvin</text>
  </threadedComment>
  <threadedComment ref="C280" dT="2019-11-05T12:55:41.41" personId="{00000000-0000-0000-0000-000000000000}" id="{2B31D114-0D0A-4321-8CD9-E0ECB6FC938A}">
    <text>Har fået tons gødning og tørstofprocent som slagtesvin</text>
  </threadedComment>
  <threadedComment ref="C281" dT="2019-11-05T12:55:50.81" personId="{00000000-0000-0000-0000-000000000000}" id="{F2303E37-FB1A-4B80-841B-3F8B62EB8141}">
    <text>Har fået tons gødning og tørstofprocent som slagtesvin</text>
  </threadedComment>
</ThreadedComments>
</file>

<file path=xl/threadedComments/threadedComment2.xml><?xml version="1.0" encoding="utf-8"?>
<ThreadedComments xmlns="http://schemas.microsoft.com/office/spreadsheetml/2018/threadedcomments" xmlns:x="http://schemas.openxmlformats.org/spreadsheetml/2006/main">
  <threadedComment ref="L48" dT="2020-09-09T11:08:47.80" personId="{00000000-0000-0000-0000-000000000000}" id="{88848B06-9CFC-443E-9700-2AC6A0B7C72D}">
    <text>Kg N ab dyr for avlstyre er sat som stude, da der ikke findes N-normer for avlsyre i normtabel</text>
  </threadedComment>
  <threadedComment ref="L49" dT="2020-09-09T11:08:55.52" personId="{00000000-0000-0000-0000-000000000000}" id="{1DC4A861-7E63-458C-921B-0FAAAE2CBBB6}">
    <text>Kg N ab dyr for avlstyre er sat som stude, da der ikke findes N-normer for avlsyre i normtabel</text>
  </threadedComment>
  <threadedComment ref="L50" dT="2020-09-09T11:09:06.48" personId="{00000000-0000-0000-0000-000000000000}" id="{9FEB092F-1B63-4F82-89F2-F7E1F4D69363}">
    <text>Kg N ab dyr for avlstyre er sat som stude, da der ikke findes N-normer for avlsyre i normtabel</text>
  </threadedComment>
  <threadedComment ref="L51" dT="2020-09-09T11:09:02.05" personId="{00000000-0000-0000-0000-000000000000}" id="{A11520D4-9EC3-4640-A167-59F0CCBCD11A}">
    <text>Kg N ab dyr for avlstyre er sat som stude, da der ikke findes N-normer for avlsyre i normtabel</text>
  </threadedComment>
  <threadedComment ref="L52" dT="2021-12-20T09:51:10.27" personId="{00000000-0000-0000-0000-000000000000}" id="{3157206B-5A75-43B6-BBC5-BE1D8CB7C51B}">
    <text>Kg N ab dyr for avlstyre er sat som stude, da der ikke findes N-normer for avlsyre i normtabel</text>
  </threadedComment>
  <threadedComment ref="L53" dT="2020-09-09T11:09:11.39" personId="{00000000-0000-0000-0000-000000000000}" id="{BECF831E-AEC9-4283-8992-3B0C93C62EAF}">
    <text>Kg N ab dyr for avlstyre er sat som stude, da der ikke findes N-normer for avlsyre i normtabel</text>
  </threadedComment>
  <threadedComment ref="L54" dT="2021-12-20T09:51:15.81" personId="{00000000-0000-0000-0000-000000000000}" id="{43656ACD-F61A-46B2-9528-14193289977D}">
    <text>Kg N ab dyr for avlstyre er sat som stude, da der ikke findes N-normer for avlsyre i normtabel</text>
  </threadedComment>
  <threadedComment ref="L55" dT="2020-09-09T11:09:36.43" personId="{00000000-0000-0000-0000-000000000000}" id="{08D99B87-4034-4D83-833B-119771A533BB}">
    <text>Kg N ab dyr for avlstyre er sat som stude, da der ikke findes N-normer for avlsyre i normtabel</text>
  </threadedComment>
  <threadedComment ref="L56" dT="2020-09-09T11:09:18.07" personId="{00000000-0000-0000-0000-000000000000}" id="{564EC7DE-AB74-400D-859F-B118335E5332}">
    <text>Kg N ab dyr for avlstyre er sat som stude, da der ikke findes N-normer for avlsyre i normtabel</text>
  </threadedComment>
  <threadedComment ref="L57" dT="2020-09-09T11:09:31.09" personId="{00000000-0000-0000-0000-000000000000}" id="{E88A83D6-4CD5-40CB-945D-1531DE30D8D7}">
    <text>Kg N ab dyr for avlstyre er sat som stude, da der ikke findes N-normer for avlsyre i normtabel</text>
  </threadedComment>
  <threadedComment ref="L58" dT="2020-09-09T11:09:25.61" personId="{00000000-0000-0000-0000-000000000000}" id="{A8D8B436-FD4F-45D3-880E-A405EE4515B3}">
    <text>Kg N ab dyr for avlstyre er sat som stude, da der ikke findes N-normer for avlsyre i normtabel</text>
  </threadedComment>
  <threadedComment ref="L59" dT="2021-12-20T12:16:37.14" personId="{00000000-0000-0000-0000-000000000000}" id="{B8DF45DD-6E5B-4720-9D4B-EBFEBD968F63}">
    <text>Kg N ab dyr for avlstyre er sat som stude, da der ikke findes N-normer for avlsyre i normtabel</text>
  </threadedComment>
  <threadedComment ref="L98" dT="2020-09-09T11:08:26.55" personId="{00000000-0000-0000-0000-000000000000}" id="{8BA8172B-EA50-4E71-87B6-03BA06653488}">
    <text>Kg N ab dyr for avlstyre er sat som stude, da der ikke findes N-normer for avlsyre i normtabel</text>
  </threadedComment>
  <threadedComment ref="L99" dT="2020-09-09T11:08:26.55" personId="{00000000-0000-0000-0000-000000000000}" id="{A45AA1B8-7A0D-4D75-AFD5-6E88125DF04C}">
    <text>Kg N ab dyr for avlstyre er sat som stude, da der ikke findes N-normer for avlsyre i normtabel</text>
  </threadedComment>
  <threadedComment ref="L100" dT="2020-09-09T11:08:26.55" personId="{00000000-0000-0000-0000-000000000000}" id="{93953FB8-AB1A-414B-BFDC-D0684631C4FF}">
    <text>Kg N ab dyr for avlstyre er sat som stude, da der ikke findes N-normer for avlsyre i normtabel</text>
  </threadedComment>
  <threadedComment ref="L101" dT="2020-09-09T11:08:26.55" personId="{00000000-0000-0000-0000-000000000000}" id="{57E0C694-DD8F-479A-B9AF-3BD24013FDB2}">
    <text>Kg N ab dyr for avlstyre er sat som stude, da der ikke findes N-normer for avlsyre i normtabel</text>
  </threadedComment>
  <threadedComment ref="L102" dT="2020-09-09T11:08:26.55" personId="{00000000-0000-0000-0000-000000000000}" id="{BD94EF0F-BF79-4180-AC86-CEBF4A88A97C}">
    <text>Kg N ab dyr for avlstyre er sat som stude, da der ikke findes N-normer for avlsyre i normtabel</text>
  </threadedComment>
  <threadedComment ref="L103" dT="2020-09-09T11:08:26.55" personId="{00000000-0000-0000-0000-000000000000}" id="{14FDFB9C-9AA2-48B9-86DA-6ECDF79F8077}">
    <text>Kg N ab dyr for avlstyre er sat som stude, da der ikke findes N-normer for avlsyre i normtabel</text>
  </threadedComment>
  <threadedComment ref="L104" dT="2020-09-09T11:08:26.55" personId="{00000000-0000-0000-0000-000000000000}" id="{34CF2D31-4A39-4DC4-BD96-B86CF9E36EFA}">
    <text>Kg N ab dyr for avlstyre er sat som stude, da der ikke findes N-normer for avlsyre i normtabel</text>
  </threadedComment>
  <threadedComment ref="L105" dT="2020-09-09T11:08:26.55" personId="{00000000-0000-0000-0000-000000000000}" id="{920BF6BE-F9A2-4860-A834-37D16722A78F}">
    <text>Kg N ab dyr for avlstyre er sat som stude, da der ikke findes N-normer for avlsyre i normtabel</text>
  </threadedComment>
  <threadedComment ref="L106" dT="2020-09-09T11:08:34.28" personId="{00000000-0000-0000-0000-000000000000}" id="{C324DA4E-88CC-440B-8B54-440025835F12}">
    <text>Kg N ab dyr for avlstyre er sat som stude, da der ikke findes N-normer for avlsyre i normtabel</text>
  </threadedComment>
  <threadedComment ref="L107" dT="2020-09-09T11:08:26.55" personId="{00000000-0000-0000-0000-000000000000}" id="{BE193EA2-B76C-431A-8DC8-BF13ECF8B0CC}">
    <text>Kg N ab dyr for avlstyre er sat som stude, da der ikke findes N-normer for avlsyre i normtabel</text>
  </threadedComment>
  <threadedComment ref="L108" dT="2020-09-09T11:08:26.55" personId="{00000000-0000-0000-0000-000000000000}" id="{491149F6-FF50-4C8E-945F-7DBCBAD0979E}">
    <text>Kg N ab dyr for avlstyre er sat som stude, da der ikke findes N-normer for avlsyre i normtabel</text>
  </threadedComment>
  <threadedComment ref="L109" dT="2020-09-09T11:08:26.55" personId="{00000000-0000-0000-0000-000000000000}" id="{990C6693-9E74-45B8-8639-D7141576DE65}">
    <text>Kg N ab dyr for avlstyre er sat som stude, da der ikke findes N-normer for avlsyre i normtabel</text>
  </threadedComment>
  <threadedComment ref="L148" dT="2020-09-09T11:27:45.38" personId="{00000000-0000-0000-0000-000000000000}" id="{21E44746-C2E9-418E-B9F8-39228DBFAEB8}">
    <text>Integreret i andel fra løbe og drægtighedsstald</text>
  </threadedComment>
  <threadedComment ref="L149" dT="2020-09-09T11:27:29.62" personId="{00000000-0000-0000-0000-000000000000}" id="{57B24CC7-DE9D-4A0F-8FF2-36E79099FB7B}">
    <text>Integreret i andel fra løbe og drægtighedsstald</text>
  </threadedComment>
  <threadedComment ref="L150" dT="2020-09-09T11:27:29.62" personId="{00000000-0000-0000-0000-000000000000}" id="{5DEA6F22-3E19-4B12-AF4D-FCFD7AC91B05}">
    <text>Integreret i andel fra løbe og drægtighedsstald</text>
  </threadedComment>
  <threadedComment ref="Q205" dT="2019-11-06T09:01:06.63" personId="{00000000-0000-0000-0000-000000000000}" id="{B9317D5D-E0BE-4679-A6BD-7E8BC8325571}">
    <text>Tal fra klimarådet</text>
  </threadedComment>
  <threadedComment ref="Q206" dT="2019-11-06T09:01:06.63" personId="{00000000-0000-0000-0000-000000000000}" id="{19CF7167-05A6-4137-AB9B-1424B5DB044A}">
    <text>Tal fra klimarådet</text>
  </threadedComment>
  <threadedComment ref="Q207" dT="2019-11-06T09:01:06.63" personId="{00000000-0000-0000-0000-000000000000}" id="{F95EC6E1-E78D-41ED-A87A-500F4257D3C7}">
    <text>Tal fra klimarådet</text>
  </threadedComment>
  <threadedComment ref="Q208" dT="2019-11-06T09:01:06.63" personId="{00000000-0000-0000-0000-000000000000}" id="{08D8C4B8-ED50-4E47-9C51-5250540E692E}">
    <text>Tal fra klimarådet</text>
  </threadedComment>
  <threadedComment ref="Q210" dT="2019-11-06T09:01:06.63" personId="{00000000-0000-0000-0000-000000000000}" id="{4AA82914-A3A4-4742-86F0-5BE66A86C9D9}">
    <text>Tal fra klimarådet</text>
  </threadedComment>
  <threadedComment ref="Q211" dT="2019-11-06T09:01:06.63" personId="{00000000-0000-0000-0000-000000000000}" id="{B39B074F-8B4B-4898-9D71-78E2A398A8A4}">
    <text>Tal fra klimarådet</text>
  </threadedComment>
  <threadedComment ref="Q212" dT="2019-11-06T09:01:06.63" personId="{00000000-0000-0000-0000-000000000000}" id="{FC30EF7B-BB9E-456E-970D-6B38413A8AD2}">
    <text>Tal fra klimarådet</text>
  </threadedComment>
  <threadedComment ref="Q214" dT="2019-11-06T09:01:06.63" personId="{00000000-0000-0000-0000-000000000000}" id="{BAF0D6B8-EB92-4E43-A795-2BB072CDA835}">
    <text>Tal fra klimarådet</text>
  </threadedComment>
  <threadedComment ref="Q215" dT="2019-11-06T09:01:06.63" personId="{00000000-0000-0000-0000-000000000000}" id="{EECE2985-1DB7-48B6-839B-9759F9D08995}">
    <text>Tal fra klimarådet</text>
  </threadedComment>
  <threadedComment ref="Q216" dT="2019-11-06T09:01:06.63" personId="{00000000-0000-0000-0000-000000000000}" id="{AD42F18F-8FAC-4B3E-9D24-165A116A3ACE}">
    <text>Tal fra klimarådet</text>
  </threadedComment>
  <threadedComment ref="Q217" dT="2019-11-06T09:01:06.63" personId="{00000000-0000-0000-0000-000000000000}" id="{31821712-EF91-496D-B3A6-B20736EB0343}">
    <text>Tal fra klimarådet</text>
  </threadedComment>
  <threadedComment ref="Q218" dT="2019-11-06T09:01:06.63" personId="{00000000-0000-0000-0000-000000000000}" id="{CE70F2C4-4885-4D44-8D31-D6D5D35992F5}">
    <text>Tal fra klimarådet</text>
  </threadedComment>
</ThreadedComments>
</file>

<file path=xl/threadedComments/threadedComment3.xml><?xml version="1.0" encoding="utf-8"?>
<ThreadedComments xmlns="http://schemas.microsoft.com/office/spreadsheetml/2018/threadedcomments" xmlns:x="http://schemas.openxmlformats.org/spreadsheetml/2006/main">
  <threadedComment ref="C171" dT="2019-11-05T12:55:17.59" personId="{00000000-0000-0000-0000-000000000000}" id="{C74F2DE4-BB58-4AE3-B3CD-88D27C61251E}">
    <text>Har fået tons gødning og tørstofprocent som slagtesvin</text>
  </threadedComment>
  <threadedComment ref="D171" dT="2021-11-26T12:56:42.49" personId="{00000000-0000-0000-0000-000000000000}" id="{E19BF7D4-7A63-46EE-8AAE-93C26310BE3D}">
    <text>Sum af slagtesvin og smågrise i samme staldsystem</text>
  </threadedComment>
  <threadedComment ref="C172" dT="2019-11-05T12:55:22.32" personId="{00000000-0000-0000-0000-000000000000}" id="{47D56DB4-3CEC-405C-A7E7-90A8669C9AE0}">
    <text>Har fået tons gødning og tørstofprocent som slagtesvin</text>
  </threadedComment>
  <threadedComment ref="C173" dT="2019-11-05T12:55:26.03" personId="{00000000-0000-0000-0000-000000000000}" id="{E9B09CD9-6339-44A6-AEA9-392440073D71}">
    <text>Har fået tons gødning og tørstofprocent som slagtesvin</text>
  </threadedComment>
  <threadedComment ref="C174" dT="2019-11-05T12:55:46.40" personId="{00000000-0000-0000-0000-000000000000}" id="{57A9198F-792F-423E-97E8-A945663F29A8}">
    <text>Har fået tons gødning og tørstofprocent som slagtesvin</text>
  </threadedComment>
  <threadedComment ref="C175" dT="2019-11-05T12:55:36.07" personId="{00000000-0000-0000-0000-000000000000}" id="{E93245F1-CC92-4CFB-9EAB-AC256C2630BE}">
    <text>Har fået tons gødning og tørstofprocent som slagtesvin</text>
  </threadedComment>
  <threadedComment ref="C176" dT="2019-11-05T12:55:30.28" personId="{00000000-0000-0000-0000-000000000000}" id="{75274D77-544D-4239-8308-B1F9A58E8B28}">
    <text>Har fået tons gødning og tørstofprocent som slagtesvin</text>
  </threadedComment>
  <threadedComment ref="C275" dT="2019-11-05T12:55:41.41" personId="{00000000-0000-0000-0000-000000000000}" id="{DDF33D29-202A-477D-A8D6-F8127CB1CED9}">
    <text>Har fået tons gødning og tørstofprocent som slagtesvin</text>
  </threadedComment>
  <threadedComment ref="C279" dT="2019-11-05T12:55:50.81" personId="{00000000-0000-0000-0000-000000000000}" id="{C339ACBD-19FB-46FC-9298-9627292E8E8E}">
    <text>Har fået tons gødning og tørstofprocent som slagtesvin</text>
  </threadedComment>
</ThreadedComments>
</file>

<file path=xl/threadedComments/threadedComment4.xml><?xml version="1.0" encoding="utf-8"?>
<ThreadedComments xmlns="http://schemas.microsoft.com/office/spreadsheetml/2018/threadedcomments" xmlns:x="http://schemas.openxmlformats.org/spreadsheetml/2006/main">
  <threadedComment ref="L48" dT="2020-09-09T11:08:47.80" personId="{00000000-0000-0000-0000-000000000000}" id="{F121EDC1-2A97-4951-B622-0DCD1058C6C0}">
    <text>Kg N ab dyr for avlstyre er sat som stude, da der ikke findes N-normer for avlsyre i normtabel</text>
  </threadedComment>
  <threadedComment ref="L49" dT="2020-09-09T11:08:55.52" personId="{00000000-0000-0000-0000-000000000000}" id="{5015968A-45A2-4A77-9063-B7E59C0BF6F6}">
    <text>Kg N ab dyr for avlstyre er sat som stude, da der ikke findes N-normer for avlsyre i normtabel</text>
  </threadedComment>
  <threadedComment ref="L50" dT="2020-09-09T11:09:06.48" personId="{00000000-0000-0000-0000-000000000000}" id="{140E2BA8-C4FE-403C-9FFF-1C7916D36BF9}">
    <text>Kg N ab dyr for avlstyre er sat som stude, da der ikke findes N-normer for avlsyre i normtabel</text>
  </threadedComment>
  <threadedComment ref="L51" dT="2020-09-09T11:09:02.05" personId="{00000000-0000-0000-0000-000000000000}" id="{00806996-8BDC-4281-87D6-6642A5BDAF8A}">
    <text>Kg N ab dyr for avlstyre er sat som stude, da der ikke findes N-normer for avlsyre i normtabel</text>
  </threadedComment>
  <threadedComment ref="L52" dT="2021-12-20T09:51:10.27" personId="{00000000-0000-0000-0000-000000000000}" id="{7F634339-9142-4ECD-8212-39D80BA8F040}">
    <text>Kg N ab dyr for avlstyre er sat som stude, da der ikke findes N-normer for avlsyre i normtabel</text>
  </threadedComment>
  <threadedComment ref="L53" dT="2020-09-09T11:09:11.39" personId="{00000000-0000-0000-0000-000000000000}" id="{873021C8-8D32-456D-B4AC-C768574AD192}">
    <text>Kg N ab dyr for avlstyre er sat som stude, da der ikke findes N-normer for avlsyre i normtabel</text>
  </threadedComment>
  <threadedComment ref="L54" dT="2021-12-20T09:51:15.81" personId="{00000000-0000-0000-0000-000000000000}" id="{35CA3EA5-E412-4D76-99B6-A276FD6CCB4A}">
    <text>Kg N ab dyr for avlstyre er sat som stude, da der ikke findes N-normer for avlsyre i normtabel</text>
  </threadedComment>
  <threadedComment ref="L55" dT="2020-09-09T11:09:36.43" personId="{00000000-0000-0000-0000-000000000000}" id="{AA07ECC0-8E27-417F-8538-81F198390CBA}">
    <text>Kg N ab dyr for avlstyre er sat som stude, da der ikke findes N-normer for avlsyre i normtabel</text>
  </threadedComment>
  <threadedComment ref="L56" dT="2020-09-09T11:09:18.07" personId="{00000000-0000-0000-0000-000000000000}" id="{512794F7-8A3E-4EEC-9719-6BA5E6AC20AA}">
    <text>Kg N ab dyr for avlstyre er sat som stude, da der ikke findes N-normer for avlsyre i normtabel</text>
  </threadedComment>
  <threadedComment ref="L57" dT="2020-09-09T11:09:31.09" personId="{00000000-0000-0000-0000-000000000000}" id="{4762065E-464B-4F5F-86AB-75282B87C136}">
    <text>Kg N ab dyr for avlstyre er sat som stude, da der ikke findes N-normer for avlsyre i normtabel</text>
  </threadedComment>
  <threadedComment ref="L58" dT="2020-09-09T11:09:25.61" personId="{00000000-0000-0000-0000-000000000000}" id="{C733E4C2-DF8A-48C3-A7A2-99A0B555C00A}">
    <text>Kg N ab dyr for avlstyre er sat som stude, da der ikke findes N-normer for avlsyre i normtabel</text>
  </threadedComment>
  <threadedComment ref="L59" dT="2021-12-20T12:16:37.14" personId="{00000000-0000-0000-0000-000000000000}" id="{033F0629-18A5-4C68-B16C-A119937CA5B9}">
    <text>Kg N ab dyr for avlstyre er sat som stude, da der ikke findes N-normer for avlsyre i normtabel</text>
  </threadedComment>
  <threadedComment ref="L98" dT="2020-09-09T11:08:26.55" personId="{00000000-0000-0000-0000-000000000000}" id="{AD618575-D821-437B-A0D2-1F24130D2B9A}">
    <text>Kg N ab dyr for avlstyre er sat som stude, da der ikke findes N-normer for avlsyre i normtabel</text>
  </threadedComment>
  <threadedComment ref="L99" dT="2020-09-09T11:08:26.55" personId="{00000000-0000-0000-0000-000000000000}" id="{EA24A20A-0FE1-45A4-AB3A-63912F372408}">
    <text>Kg N ab dyr for avlstyre er sat som stude, da der ikke findes N-normer for avlsyre i normtabel</text>
  </threadedComment>
  <threadedComment ref="L100" dT="2020-09-09T11:08:26.55" personId="{00000000-0000-0000-0000-000000000000}" id="{E9D79B21-CE22-48CC-AE45-68497CADFDD6}">
    <text>Kg N ab dyr for avlstyre er sat som stude, da der ikke findes N-normer for avlsyre i normtabel</text>
  </threadedComment>
  <threadedComment ref="L101" dT="2020-09-09T11:08:26.55" personId="{00000000-0000-0000-0000-000000000000}" id="{3A39BA28-419A-4C08-A4D3-8DAFE670013E}">
    <text>Kg N ab dyr for avlstyre er sat som stude, da der ikke findes N-normer for avlsyre i normtabel</text>
  </threadedComment>
  <threadedComment ref="L102" dT="2020-09-09T11:08:26.55" personId="{00000000-0000-0000-0000-000000000000}" id="{278CAB49-C3B0-4752-A713-52DF66B9A070}">
    <text>Kg N ab dyr for avlstyre er sat som stude, da der ikke findes N-normer for avlsyre i normtabel</text>
  </threadedComment>
  <threadedComment ref="L103" dT="2020-09-09T11:08:26.55" personId="{00000000-0000-0000-0000-000000000000}" id="{37588C50-7E42-4727-9986-F8D31C8672AA}">
    <text>Kg N ab dyr for avlstyre er sat som stude, da der ikke findes N-normer for avlsyre i normtabel</text>
  </threadedComment>
  <threadedComment ref="L104" dT="2020-09-09T11:08:26.55" personId="{00000000-0000-0000-0000-000000000000}" id="{88BAFF7E-8FFE-4ECA-8DE4-5160F4AE3D5C}">
    <text>Kg N ab dyr for avlstyre er sat som stude, da der ikke findes N-normer for avlsyre i normtabel</text>
  </threadedComment>
  <threadedComment ref="L105" dT="2020-09-09T11:08:26.55" personId="{00000000-0000-0000-0000-000000000000}" id="{32F65A35-9CE0-4757-8214-F39190C03FBD}">
    <text>Kg N ab dyr for avlstyre er sat som stude, da der ikke findes N-normer for avlsyre i normtabel</text>
  </threadedComment>
  <threadedComment ref="L106" dT="2020-09-09T11:08:34.28" personId="{00000000-0000-0000-0000-000000000000}" id="{10B879A4-0A33-43C1-9548-7215B28797F5}">
    <text>Kg N ab dyr for avlstyre er sat som stude, da der ikke findes N-normer for avlsyre i normtabel</text>
  </threadedComment>
  <threadedComment ref="L107" dT="2020-09-09T11:08:26.55" personId="{00000000-0000-0000-0000-000000000000}" id="{11728BEF-829C-479F-A524-17A847A02C58}">
    <text>Kg N ab dyr for avlstyre er sat som stude, da der ikke findes N-normer for avlsyre i normtabel</text>
  </threadedComment>
  <threadedComment ref="L108" dT="2020-09-09T11:08:26.55" personId="{00000000-0000-0000-0000-000000000000}" id="{E02D88FB-600D-4051-9A54-AD40F5CFCAE2}">
    <text>Kg N ab dyr for avlstyre er sat som stude, da der ikke findes N-normer for avlsyre i normtabel</text>
  </threadedComment>
  <threadedComment ref="L109" dT="2020-09-09T11:08:26.55" personId="{00000000-0000-0000-0000-000000000000}" id="{67892720-4462-48D2-9452-BE73DB452CB2}">
    <text>Kg N ab dyr for avlstyre er sat som stude, da der ikke findes N-normer for avlsyre i normtabel</text>
  </threadedComment>
  <threadedComment ref="L148" dT="2020-09-09T11:27:45.38" personId="{00000000-0000-0000-0000-000000000000}" id="{0F1CEB67-41C1-418B-A995-E4B25EF3ABDD}">
    <text>Integreret i andel fra løbe og drægtighedsstald</text>
  </threadedComment>
  <threadedComment ref="L149" dT="2020-09-09T11:27:29.62" personId="{00000000-0000-0000-0000-000000000000}" id="{DFADCAA1-B71B-4C10-AD04-2CFD94D10E7C}">
    <text>Integreret i andel fra løbe og drægtighedsstald</text>
  </threadedComment>
  <threadedComment ref="L150" dT="2020-09-09T11:27:29.62" personId="{00000000-0000-0000-0000-000000000000}" id="{42C95997-5D60-428A-BF6E-F9DA8B7319D3}">
    <text>Integreret i andel fra løbe og drægtighedsstald</text>
  </threadedComment>
  <threadedComment ref="Q206" dT="2019-11-06T09:01:06.63" personId="{00000000-0000-0000-0000-000000000000}" id="{56FA6D6F-6228-4FAD-A4EF-3068C6874984}">
    <text>Tal fra klimarådet</text>
  </threadedComment>
  <threadedComment ref="Q207" dT="2019-11-06T09:01:06.63" personId="{00000000-0000-0000-0000-000000000000}" id="{01EF67C4-D132-4960-A138-4AB7FE230E05}">
    <text>Tal fra klimarådet</text>
  </threadedComment>
  <threadedComment ref="Q208" dT="2019-11-06T09:01:06.63" personId="{00000000-0000-0000-0000-000000000000}" id="{5D592BBD-5DBB-4F7C-B35D-0A6DE939E57A}">
    <text>Tal fra klimarådet</text>
  </threadedComment>
  <threadedComment ref="Q209" dT="2019-11-06T09:01:06.63" personId="{00000000-0000-0000-0000-000000000000}" id="{A2C44AF2-CED7-4E7F-A4B3-3BE05447C1F7}">
    <text>Tal fra klimarådet</text>
  </threadedComment>
  <threadedComment ref="Q211" dT="2019-11-06T09:01:06.63" personId="{00000000-0000-0000-0000-000000000000}" id="{45AD8C3E-74D1-4E19-8A6C-FC0608D93ECC}">
    <text>Tal fra klimarådet</text>
  </threadedComment>
  <threadedComment ref="Q212" dT="2019-11-06T09:01:06.63" personId="{00000000-0000-0000-0000-000000000000}" id="{DDB726D3-BF90-470C-990B-30AE34A5ABE5}">
    <text>Tal fra klimarådet</text>
  </threadedComment>
  <threadedComment ref="Q213" dT="2019-11-06T09:01:06.63" personId="{00000000-0000-0000-0000-000000000000}" id="{3CCBBA2F-D3E4-4F3A-9FBD-77E360EAD75D}">
    <text>Tal fra klimarådet</text>
  </threadedComment>
  <threadedComment ref="Q215" dT="2019-11-06T09:01:06.63" personId="{00000000-0000-0000-0000-000000000000}" id="{E619ECAD-E660-4854-8DAF-96DDBE698E23}">
    <text>Tal fra klimarådet</text>
  </threadedComment>
  <threadedComment ref="Q216" dT="2019-11-06T09:01:06.63" personId="{00000000-0000-0000-0000-000000000000}" id="{E3F87795-705D-486B-90CD-664C5AAC95DC}">
    <text>Tal fra klimarådet</text>
  </threadedComment>
  <threadedComment ref="Q217" dT="2019-11-06T09:01:06.63" personId="{00000000-0000-0000-0000-000000000000}" id="{94035431-8B9D-4B19-ACD4-793B31BF1551}">
    <text>Tal fra klimarådet</text>
  </threadedComment>
  <threadedComment ref="Q218" dT="2019-11-06T09:01:06.63" personId="{00000000-0000-0000-0000-000000000000}" id="{2340E5BA-D042-48E7-968D-80AA21B55AA3}">
    <text>Tal fra klimarådet</text>
  </threadedComment>
  <threadedComment ref="Q219" dT="2019-11-06T09:01:06.63" personId="{00000000-0000-0000-0000-000000000000}" id="{59229A57-7C1C-430D-893B-2FE6ADEA98F0}">
    <text>Tal fra klimarådet</text>
  </threadedComment>
</ThreadedComments>
</file>

<file path=xl/threadedComments/threadedComment5.xml><?xml version="1.0" encoding="utf-8"?>
<ThreadedComments xmlns="http://schemas.microsoft.com/office/spreadsheetml/2018/threadedcomments" xmlns:x="http://schemas.openxmlformats.org/spreadsheetml/2006/main">
  <threadedComment ref="IS4" dT="2020-12-18T09:47:16.42" personId="{0E5F973D-5711-44CA-93D2-583558DCFC54}" id="{C7E3A197-F6CE-4E46-AD41-1A36F3AD428F}">
    <text>GFLI-databasen er genereret af Global Feed Lifecycle Institute. Global Feed LCA Institute er et uafhængigt foderindustriinitiativ, der udvikler og formidler Feed Life Cycle Analysis (LCA) database og værktøjer. Formålet med GFLI er at støtte meningsfuld miljøvurdering af husdyrprodukter og at stimulere kontinuerlig forbedring af bæredygtighed i foderstofindustrien. Databasen er udviklet i forbindelse med Agri-footprint-databasen og i henhold til GFLI-metoden.</text>
  </threadedComment>
  <threadedComment ref="IJ5" dT="2020-11-02T10:03:49.96" personId="{0E5F973D-5711-44CA-93D2-583558DCFC54}" id="{8559D340-3410-48AD-8A7A-559D4C73636B}">
    <text>LUC = Land Use Change (tilnærmet forklaring: (Ny)opdyrkning af regnskov og tilsvarende tidligere udyrket landområde)</text>
  </threadedComment>
  <threadedComment ref="IK5" dT="2020-11-02T15:21:52.00" personId="{0E5F973D-5711-44CA-93D2-583558DCFC54}" id="{5D0452E4-BCB4-43D5-8106-DE0A84FB30DE}">
    <text>LUC = Land Use Change (tilnærmet forklaring: (Ny)opdyrkning af regnskov og tilsvarende tidligere udyrket landområde)</text>
  </threadedComment>
  <threadedComment ref="IS5" dT="2020-11-02T10:01:33.43" personId="{0E5F973D-5711-44CA-93D2-583558DCFC54}" id="{47EEF6ED-3D89-4B4B-A6C2-B095C9373616}">
    <text>LUC = Land Use Change (tilnærmet forklaring: (Ny)opdyrkning af regnskov og tilsvarende tidligere udyrket landområde)</text>
  </threadedComment>
  <threadedComment ref="JO5" dT="2020-10-12T09:11:02.75" personId="{0E5F973D-5711-44CA-93D2-583558DCFC54}" id="{24BAAEA2-DB8B-4669-B3BF-BBD50CA5F177}">
    <text>(lægges til FEFAC, hvorved de er sammenlignelige med NorFors klimaaftryksværdier)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4.xml"/></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8.xml"/><Relationship Id="rId1" Type="http://schemas.openxmlformats.org/officeDocument/2006/relationships/printerSettings" Target="../printerSettings/printerSettings21.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9.xml"/><Relationship Id="rId1" Type="http://schemas.openxmlformats.org/officeDocument/2006/relationships/printerSettings" Target="../printerSettings/printerSettings22.bin"/><Relationship Id="rId4"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0.xml"/><Relationship Id="rId1" Type="http://schemas.openxmlformats.org/officeDocument/2006/relationships/printerSettings" Target="../printerSettings/printerSettings23.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1.xml"/><Relationship Id="rId1" Type="http://schemas.openxmlformats.org/officeDocument/2006/relationships/printerSettings" Target="../printerSettings/printerSettings24.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26.bin"/><Relationship Id="rId4"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4.xml"/><Relationship Id="rId1" Type="http://schemas.openxmlformats.org/officeDocument/2006/relationships/printerSettings" Target="../printerSettings/printerSettings27.bin"/><Relationship Id="rId4"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ivotTable" Target="../pivotTables/pivotTable4.xml"/><Relationship Id="rId1" Type="http://schemas.openxmlformats.org/officeDocument/2006/relationships/pivotTable" Target="../pivotTables/pivotTable3.xml"/><Relationship Id="rId4"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ivotTable" Target="../pivotTables/pivotTable8.xml"/><Relationship Id="rId1" Type="http://schemas.openxmlformats.org/officeDocument/2006/relationships/pivotTable" Target="../pivotTables/pivotTable7.xml"/><Relationship Id="rId4"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14.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2.xml"/><Relationship Id="rId1" Type="http://schemas.openxmlformats.org/officeDocument/2006/relationships/printerSettings" Target="../printerSettings/printerSettings34.bin"/><Relationship Id="rId4"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6.vml"/><Relationship Id="rId1" Type="http://schemas.openxmlformats.org/officeDocument/2006/relationships/drawing" Target="../drawings/drawing57.xml"/><Relationship Id="rId5" Type="http://schemas.microsoft.com/office/2017/10/relationships/threadedComment" Target="../threadedComments/threadedComment1.xml"/><Relationship Id="rId4" Type="http://schemas.openxmlformats.org/officeDocument/2006/relationships/comments" Target="../comments16.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58.xml"/><Relationship Id="rId1" Type="http://schemas.openxmlformats.org/officeDocument/2006/relationships/printerSettings" Target="../printerSettings/printerSettings59.bin"/><Relationship Id="rId6" Type="http://schemas.microsoft.com/office/2017/10/relationships/threadedComment" Target="../threadedComments/threadedComment2.xml"/><Relationship Id="rId5" Type="http://schemas.openxmlformats.org/officeDocument/2006/relationships/comments" Target="../comments17.xml"/><Relationship Id="rId4" Type="http://schemas.openxmlformats.org/officeDocument/2006/relationships/table" Target="../tables/table2.xm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59.xml"/><Relationship Id="rId1" Type="http://schemas.openxmlformats.org/officeDocument/2006/relationships/printerSettings" Target="../printerSettings/printerSettings65.bin"/><Relationship Id="rId6" Type="http://schemas.microsoft.com/office/2017/10/relationships/threadedComment" Target="../threadedComments/threadedComment3.xml"/><Relationship Id="rId5" Type="http://schemas.openxmlformats.org/officeDocument/2006/relationships/comments" Target="../comments18.xml"/><Relationship Id="rId4" Type="http://schemas.openxmlformats.org/officeDocument/2006/relationships/table" Target="../tables/table3.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60.xml"/><Relationship Id="rId1" Type="http://schemas.openxmlformats.org/officeDocument/2006/relationships/printerSettings" Target="../printerSettings/printerSettings66.bin"/><Relationship Id="rId6" Type="http://schemas.microsoft.com/office/2017/10/relationships/threadedComment" Target="../threadedComments/threadedComment4.xml"/><Relationship Id="rId5" Type="http://schemas.openxmlformats.org/officeDocument/2006/relationships/comments" Target="../comments19.xml"/><Relationship Id="rId4" Type="http://schemas.openxmlformats.org/officeDocument/2006/relationships/table" Target="../tables/table4.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vmlDrawing" Target="../drawings/vmlDrawing20.vml"/><Relationship Id="rId1" Type="http://schemas.openxmlformats.org/officeDocument/2006/relationships/printerSettings" Target="../printerSettings/printerSettings74.bin"/><Relationship Id="rId5" Type="http://schemas.microsoft.com/office/2017/10/relationships/threadedComment" Target="../threadedComments/threadedComment5.xml"/><Relationship Id="rId4" Type="http://schemas.openxmlformats.org/officeDocument/2006/relationships/comments" Target="../comments20.xml"/></Relationships>
</file>

<file path=xl/worksheets/_rels/sheet89.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6.bin"/></Relationships>
</file>

<file path=xl/worksheets/_rels/sheet9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281FE-7071-444D-99E3-5888E8B25837}">
  <sheetPr codeName="Ark117"/>
  <dimension ref="A1:E169"/>
  <sheetViews>
    <sheetView showGridLines="0" zoomScaleNormal="100" workbookViewId="0">
      <selection activeCell="C1" sqref="C1"/>
    </sheetView>
  </sheetViews>
  <sheetFormatPr defaultColWidth="9.140625" defaultRowHeight="12.75" x14ac:dyDescent="0.2"/>
  <cols>
    <col min="1" max="1" width="23.28515625" style="375" customWidth="1"/>
    <col min="2" max="2" width="32.5703125" style="375" bestFit="1" customWidth="1"/>
    <col min="3" max="5" width="3.7109375" style="375" customWidth="1"/>
    <col min="6" max="16384" width="9.140625" style="375"/>
  </cols>
  <sheetData>
    <row r="1" spans="1:5" ht="39" customHeight="1" thickBot="1" x14ac:dyDescent="0.4">
      <c r="A1" s="5001" t="s">
        <v>2205</v>
      </c>
      <c r="B1" s="5001"/>
    </row>
    <row r="2" spans="1:5" ht="15" customHeight="1" thickBot="1" x14ac:dyDescent="0.3">
      <c r="A2" s="3914" t="s">
        <v>2205</v>
      </c>
      <c r="B2" s="3949" t="s">
        <v>5252</v>
      </c>
      <c r="C2" s="3884"/>
      <c r="D2" s="3884"/>
      <c r="E2" s="3885"/>
    </row>
    <row r="3" spans="1:5" ht="15" x14ac:dyDescent="0.25">
      <c r="A3" s="4998" t="s">
        <v>2735</v>
      </c>
      <c r="B3" s="3916" t="s">
        <v>2660</v>
      </c>
      <c r="C3" s="3889"/>
      <c r="D3" s="3889"/>
      <c r="E3" s="3950"/>
    </row>
    <row r="4" spans="1:5" ht="15.75" thickBot="1" x14ac:dyDescent="0.3">
      <c r="A4" s="4999"/>
      <c r="B4" s="3917" t="s">
        <v>4220</v>
      </c>
      <c r="C4" s="3896"/>
      <c r="D4" s="3896"/>
      <c r="E4" s="3951"/>
    </row>
    <row r="5" spans="1:5" ht="15.75" thickBot="1" x14ac:dyDescent="0.3">
      <c r="A5" s="3915" t="s">
        <v>2734</v>
      </c>
      <c r="B5" s="3919" t="s">
        <v>4218</v>
      </c>
      <c r="C5" s="3884"/>
      <c r="D5" s="3884"/>
      <c r="E5" s="3885"/>
    </row>
    <row r="6" spans="1:5" ht="15.75" thickBot="1" x14ac:dyDescent="0.3">
      <c r="A6" s="3914" t="s">
        <v>648</v>
      </c>
      <c r="B6" s="3920" t="s">
        <v>648</v>
      </c>
      <c r="C6" s="3884"/>
      <c r="D6" s="3884"/>
      <c r="E6" s="3885"/>
    </row>
    <row r="7" spans="1:5" ht="15" x14ac:dyDescent="0.25">
      <c r="A7" s="3909"/>
      <c r="B7" s="3918" t="s">
        <v>590</v>
      </c>
      <c r="C7" s="1739"/>
      <c r="D7" s="1739"/>
      <c r="E7" s="3952"/>
    </row>
    <row r="8" spans="1:5" ht="15" x14ac:dyDescent="0.25">
      <c r="A8" s="3909"/>
      <c r="B8" s="3910" t="s">
        <v>4724</v>
      </c>
      <c r="C8" s="2453"/>
      <c r="D8" s="2453"/>
      <c r="E8" s="3953"/>
    </row>
    <row r="9" spans="1:5" ht="15" x14ac:dyDescent="0.25">
      <c r="A9" s="3909"/>
      <c r="B9" s="3910" t="s">
        <v>4727</v>
      </c>
      <c r="C9" s="2453"/>
      <c r="D9" s="2453"/>
      <c r="E9" s="3953"/>
    </row>
    <row r="10" spans="1:5" ht="15" x14ac:dyDescent="0.25">
      <c r="A10" s="3909"/>
      <c r="B10" s="3911" t="s">
        <v>4725</v>
      </c>
      <c r="C10" s="2453"/>
      <c r="D10" s="2453"/>
      <c r="E10" s="3953"/>
    </row>
    <row r="11" spans="1:5" ht="15" x14ac:dyDescent="0.25">
      <c r="A11" s="3909"/>
      <c r="B11" s="3911" t="s">
        <v>4726</v>
      </c>
      <c r="C11" s="2453"/>
      <c r="D11" s="2453"/>
      <c r="E11" s="3953"/>
    </row>
    <row r="12" spans="1:5" ht="15" x14ac:dyDescent="0.25">
      <c r="A12" s="3909"/>
      <c r="B12" s="3911" t="s">
        <v>2661</v>
      </c>
      <c r="C12" s="2453"/>
      <c r="D12" s="2453"/>
      <c r="E12" s="3953"/>
    </row>
    <row r="13" spans="1:5" ht="15.75" thickBot="1" x14ac:dyDescent="0.3">
      <c r="A13" s="3912"/>
      <c r="B13" s="3913" t="s">
        <v>2662</v>
      </c>
      <c r="C13" s="3895"/>
      <c r="D13" s="3895"/>
      <c r="E13" s="3954"/>
    </row>
    <row r="14" spans="1:5" ht="15" customHeight="1" x14ac:dyDescent="0.25">
      <c r="A14" s="3905"/>
      <c r="B14" s="3906" t="s">
        <v>4202</v>
      </c>
      <c r="C14" s="3889"/>
      <c r="D14" s="3889"/>
      <c r="E14" s="3950"/>
    </row>
    <row r="15" spans="1:5" ht="15" x14ac:dyDescent="0.25">
      <c r="A15" s="3890" t="s">
        <v>2733</v>
      </c>
      <c r="B15" s="3907" t="s">
        <v>4208</v>
      </c>
      <c r="C15" s="2453"/>
      <c r="D15" s="2453"/>
      <c r="E15" s="3953"/>
    </row>
    <row r="16" spans="1:5" ht="15" customHeight="1" thickBot="1" x14ac:dyDescent="0.3">
      <c r="A16" s="3891"/>
      <c r="B16" s="3908" t="s">
        <v>2663</v>
      </c>
      <c r="C16" s="3895"/>
      <c r="D16" s="3895"/>
      <c r="E16" s="3954"/>
    </row>
    <row r="17" spans="1:5" ht="15" x14ac:dyDescent="0.25">
      <c r="A17" s="5002" t="s">
        <v>4244</v>
      </c>
      <c r="B17" s="3898" t="s">
        <v>4239</v>
      </c>
      <c r="C17" s="3899"/>
      <c r="D17" s="3899"/>
      <c r="E17" s="3950"/>
    </row>
    <row r="18" spans="1:5" ht="15" x14ac:dyDescent="0.25">
      <c r="A18" s="4999"/>
      <c r="B18" s="3900" t="s">
        <v>4240</v>
      </c>
      <c r="C18" s="3901"/>
      <c r="D18" s="3901"/>
      <c r="E18" s="3953"/>
    </row>
    <row r="19" spans="1:5" ht="15" x14ac:dyDescent="0.25">
      <c r="A19" s="4999"/>
      <c r="B19" s="3900" t="s">
        <v>4241</v>
      </c>
      <c r="C19" s="3901"/>
      <c r="D19" s="3901"/>
      <c r="E19" s="3955"/>
    </row>
    <row r="20" spans="1:5" ht="15" x14ac:dyDescent="0.25">
      <c r="A20" s="4999"/>
      <c r="B20" s="3900" t="s">
        <v>4243</v>
      </c>
      <c r="C20" s="3901"/>
      <c r="D20" s="3901"/>
      <c r="E20" s="3953"/>
    </row>
    <row r="21" spans="1:5" ht="15.75" thickBot="1" x14ac:dyDescent="0.3">
      <c r="A21" s="5000"/>
      <c r="B21" s="3903" t="s">
        <v>4242</v>
      </c>
      <c r="C21" s="3904"/>
      <c r="D21" s="3904"/>
      <c r="E21" s="3954"/>
    </row>
    <row r="22" spans="1:5" ht="15" x14ac:dyDescent="0.25">
      <c r="A22" s="5002" t="s">
        <v>5360</v>
      </c>
      <c r="B22" s="4142" t="s">
        <v>5351</v>
      </c>
      <c r="C22" s="3888"/>
      <c r="D22" s="3888"/>
      <c r="E22" s="3950"/>
    </row>
    <row r="23" spans="1:5" ht="15" x14ac:dyDescent="0.25">
      <c r="A23" s="4999"/>
      <c r="B23" s="4143" t="s">
        <v>5352</v>
      </c>
      <c r="C23" s="3897"/>
      <c r="D23" s="3897"/>
      <c r="E23" s="3953"/>
    </row>
    <row r="24" spans="1:5" ht="15" x14ac:dyDescent="0.25">
      <c r="A24" s="4999"/>
      <c r="B24" s="4143" t="s">
        <v>5353</v>
      </c>
      <c r="C24" s="3897"/>
      <c r="D24" s="3897"/>
      <c r="E24" s="3953"/>
    </row>
    <row r="25" spans="1:5" ht="15" x14ac:dyDescent="0.25">
      <c r="A25" s="4999"/>
      <c r="B25" s="4143" t="s">
        <v>5354</v>
      </c>
      <c r="C25" s="3897"/>
      <c r="D25" s="3897"/>
      <c r="E25" s="3953"/>
    </row>
    <row r="26" spans="1:5" ht="15.75" thickBot="1" x14ac:dyDescent="0.3">
      <c r="A26" s="5000"/>
      <c r="B26" s="4144" t="s">
        <v>5355</v>
      </c>
      <c r="C26" s="3894"/>
      <c r="D26" s="3894"/>
      <c r="E26" s="3954"/>
    </row>
    <row r="27" spans="1:5" ht="15" x14ac:dyDescent="0.25">
      <c r="A27" s="4998" t="s">
        <v>4245</v>
      </c>
      <c r="B27" s="3886" t="s">
        <v>4222</v>
      </c>
      <c r="C27" s="3887"/>
      <c r="D27" s="3888"/>
      <c r="E27" s="3950"/>
    </row>
    <row r="28" spans="1:5" ht="15" x14ac:dyDescent="0.25">
      <c r="A28" s="4999"/>
      <c r="B28" s="3956" t="s">
        <v>4223</v>
      </c>
      <c r="C28" s="3957"/>
      <c r="D28" s="3897"/>
      <c r="E28" s="3953"/>
    </row>
    <row r="29" spans="1:5" ht="15" x14ac:dyDescent="0.25">
      <c r="A29" s="4999"/>
      <c r="B29" s="3956" t="s">
        <v>4224</v>
      </c>
      <c r="C29" s="3957"/>
      <c r="D29" s="3897"/>
      <c r="E29" s="3953"/>
    </row>
    <row r="30" spans="1:5" ht="15" x14ac:dyDescent="0.25">
      <c r="A30" s="4999"/>
      <c r="B30" s="3956" t="s">
        <v>4225</v>
      </c>
      <c r="C30" s="3957"/>
      <c r="D30" s="3897"/>
      <c r="E30" s="3953"/>
    </row>
    <row r="31" spans="1:5" ht="15" x14ac:dyDescent="0.25">
      <c r="A31" s="4999"/>
      <c r="B31" s="3956" t="s">
        <v>4226</v>
      </c>
      <c r="C31" s="3957"/>
      <c r="D31" s="3897"/>
      <c r="E31" s="3953"/>
    </row>
    <row r="32" spans="1:5" ht="15" x14ac:dyDescent="0.25">
      <c r="A32" s="4999"/>
      <c r="B32" s="3956" t="s">
        <v>4227</v>
      </c>
      <c r="C32" s="3957"/>
      <c r="D32" s="3897"/>
      <c r="E32" s="3953"/>
    </row>
    <row r="33" spans="1:5" ht="15" x14ac:dyDescent="0.25">
      <c r="A33" s="4999"/>
      <c r="B33" s="3956" t="s">
        <v>4228</v>
      </c>
      <c r="C33" s="3957"/>
      <c r="D33" s="3897"/>
      <c r="E33" s="3953"/>
    </row>
    <row r="34" spans="1:5" ht="15" x14ac:dyDescent="0.25">
      <c r="A34" s="4999"/>
      <c r="B34" s="3956" t="s">
        <v>4229</v>
      </c>
      <c r="C34" s="3957"/>
      <c r="D34" s="3897"/>
      <c r="E34" s="3953"/>
    </row>
    <row r="35" spans="1:5" ht="15" x14ac:dyDescent="0.25">
      <c r="A35" s="4999"/>
      <c r="B35" s="3956" t="s">
        <v>4230</v>
      </c>
      <c r="C35" s="3957"/>
      <c r="D35" s="3897"/>
      <c r="E35" s="3953"/>
    </row>
    <row r="36" spans="1:5" ht="15" x14ac:dyDescent="0.25">
      <c r="A36" s="4999"/>
      <c r="B36" s="3956" t="s">
        <v>4231</v>
      </c>
      <c r="C36" s="3957"/>
      <c r="D36" s="3897"/>
      <c r="E36" s="3953"/>
    </row>
    <row r="37" spans="1:5" ht="15" x14ac:dyDescent="0.25">
      <c r="A37" s="4999"/>
      <c r="B37" s="3956" t="s">
        <v>4232</v>
      </c>
      <c r="C37" s="3957"/>
      <c r="D37" s="3897"/>
      <c r="E37" s="3953"/>
    </row>
    <row r="38" spans="1:5" ht="15" x14ac:dyDescent="0.25">
      <c r="A38" s="4999"/>
      <c r="B38" s="3956" t="s">
        <v>4233</v>
      </c>
      <c r="C38" s="3957"/>
      <c r="D38" s="3897"/>
      <c r="E38" s="3953"/>
    </row>
    <row r="39" spans="1:5" ht="15" x14ac:dyDescent="0.25">
      <c r="A39" s="4999"/>
      <c r="B39" s="3956" t="s">
        <v>4234</v>
      </c>
      <c r="C39" s="3957"/>
      <c r="D39" s="3897"/>
      <c r="E39" s="3953"/>
    </row>
    <row r="40" spans="1:5" ht="15" x14ac:dyDescent="0.25">
      <c r="A40" s="4999"/>
      <c r="B40" s="3956" t="s">
        <v>4235</v>
      </c>
      <c r="C40" s="3957"/>
      <c r="D40" s="3897"/>
      <c r="E40" s="3953"/>
    </row>
    <row r="41" spans="1:5" ht="15" x14ac:dyDescent="0.25">
      <c r="A41" s="4999"/>
      <c r="B41" s="3956" t="s">
        <v>4236</v>
      </c>
      <c r="C41" s="3957"/>
      <c r="D41" s="3897"/>
      <c r="E41" s="3953"/>
    </row>
    <row r="42" spans="1:5" ht="15" x14ac:dyDescent="0.25">
      <c r="A42" s="4999"/>
      <c r="B42" s="3956" t="s">
        <v>4237</v>
      </c>
      <c r="C42" s="3957"/>
      <c r="D42" s="3897"/>
      <c r="E42" s="3953"/>
    </row>
    <row r="43" spans="1:5" ht="15.75" thickBot="1" x14ac:dyDescent="0.3">
      <c r="A43" s="5000"/>
      <c r="B43" s="3892" t="s">
        <v>4238</v>
      </c>
      <c r="C43" s="3893"/>
      <c r="D43" s="3894"/>
      <c r="E43" s="3954"/>
    </row>
    <row r="44" spans="1:5" ht="15" x14ac:dyDescent="0.25">
      <c r="A44" s="4998" t="s">
        <v>5357</v>
      </c>
      <c r="B44" s="4142" t="s">
        <v>5324</v>
      </c>
      <c r="C44" s="3921"/>
      <c r="D44" s="3889"/>
      <c r="E44" s="3950"/>
    </row>
    <row r="45" spans="1:5" ht="15" x14ac:dyDescent="0.25">
      <c r="A45" s="4999"/>
      <c r="B45" s="4143" t="s">
        <v>5325</v>
      </c>
      <c r="C45" s="3922"/>
      <c r="D45" s="2453"/>
      <c r="E45" s="3953"/>
    </row>
    <row r="46" spans="1:5" ht="15" x14ac:dyDescent="0.25">
      <c r="A46" s="4999"/>
      <c r="B46" s="4143" t="s">
        <v>5326</v>
      </c>
      <c r="C46" s="3922"/>
      <c r="D46" s="2453"/>
      <c r="E46" s="3953"/>
    </row>
    <row r="47" spans="1:5" ht="15" x14ac:dyDescent="0.25">
      <c r="A47" s="4999"/>
      <c r="B47" s="4143" t="s">
        <v>5327</v>
      </c>
      <c r="C47" s="3922"/>
      <c r="D47" s="2453"/>
      <c r="E47" s="3953"/>
    </row>
    <row r="48" spans="1:5" ht="15" x14ac:dyDescent="0.25">
      <c r="A48" s="4999"/>
      <c r="B48" s="4143" t="s">
        <v>5328</v>
      </c>
      <c r="C48" s="3922"/>
      <c r="D48" s="2453"/>
      <c r="E48" s="3953"/>
    </row>
    <row r="49" spans="1:5" ht="15" x14ac:dyDescent="0.25">
      <c r="A49" s="4999"/>
      <c r="B49" s="4143" t="s">
        <v>5329</v>
      </c>
      <c r="C49" s="3922"/>
      <c r="D49" s="2453"/>
      <c r="E49" s="3953"/>
    </row>
    <row r="50" spans="1:5" ht="15" x14ac:dyDescent="0.25">
      <c r="A50" s="4999"/>
      <c r="B50" s="4143" t="s">
        <v>5330</v>
      </c>
      <c r="C50" s="3922"/>
      <c r="D50" s="2453"/>
      <c r="E50" s="3953"/>
    </row>
    <row r="51" spans="1:5" ht="15" x14ac:dyDescent="0.25">
      <c r="A51" s="4999"/>
      <c r="B51" s="4143" t="s">
        <v>5331</v>
      </c>
      <c r="C51" s="3922"/>
      <c r="D51" s="2453"/>
      <c r="E51" s="3953"/>
    </row>
    <row r="52" spans="1:5" ht="15" x14ac:dyDescent="0.25">
      <c r="A52" s="4999"/>
      <c r="B52" s="4143" t="s">
        <v>5332</v>
      </c>
      <c r="C52" s="3922"/>
      <c r="D52" s="2453"/>
      <c r="E52" s="3953"/>
    </row>
    <row r="53" spans="1:5" ht="15" x14ac:dyDescent="0.25">
      <c r="A53" s="4999"/>
      <c r="B53" s="4143" t="s">
        <v>5333</v>
      </c>
      <c r="C53" s="3922"/>
      <c r="D53" s="2453"/>
      <c r="E53" s="3953"/>
    </row>
    <row r="54" spans="1:5" ht="15" x14ac:dyDescent="0.25">
      <c r="A54" s="4999"/>
      <c r="B54" s="4143" t="s">
        <v>5334</v>
      </c>
      <c r="C54" s="3922"/>
      <c r="D54" s="2453"/>
      <c r="E54" s="3953"/>
    </row>
    <row r="55" spans="1:5" ht="15" x14ac:dyDescent="0.25">
      <c r="A55" s="4999"/>
      <c r="B55" s="4143" t="s">
        <v>5335</v>
      </c>
      <c r="C55" s="3922"/>
      <c r="D55" s="2453"/>
      <c r="E55" s="3953"/>
    </row>
    <row r="56" spans="1:5" ht="15" x14ac:dyDescent="0.25">
      <c r="A56" s="4999"/>
      <c r="B56" s="4143" t="s">
        <v>5336</v>
      </c>
      <c r="C56" s="3922"/>
      <c r="D56" s="2453"/>
      <c r="E56" s="3953"/>
    </row>
    <row r="57" spans="1:5" ht="15" x14ac:dyDescent="0.25">
      <c r="A57" s="4999"/>
      <c r="B57" s="4143" t="s">
        <v>5337</v>
      </c>
      <c r="C57" s="3922"/>
      <c r="D57" s="2453"/>
      <c r="E57" s="3953"/>
    </row>
    <row r="58" spans="1:5" ht="15" x14ac:dyDescent="0.25">
      <c r="A58" s="4999"/>
      <c r="B58" s="4143" t="s">
        <v>5338</v>
      </c>
      <c r="C58" s="3922"/>
      <c r="D58" s="2453"/>
      <c r="E58" s="3953"/>
    </row>
    <row r="59" spans="1:5" ht="15" x14ac:dyDescent="0.25">
      <c r="A59" s="4999"/>
      <c r="B59" s="4143" t="s">
        <v>5339</v>
      </c>
      <c r="C59" s="3922"/>
      <c r="D59" s="2453"/>
      <c r="E59" s="3953"/>
    </row>
    <row r="60" spans="1:5" ht="15.75" thickBot="1" x14ac:dyDescent="0.3">
      <c r="A60" s="5000"/>
      <c r="B60" s="4144" t="s">
        <v>5340</v>
      </c>
      <c r="C60" s="3923"/>
      <c r="D60" s="3895"/>
      <c r="E60" s="3954"/>
    </row>
    <row r="61" spans="1:5" ht="14.45" customHeight="1" x14ac:dyDescent="0.25">
      <c r="A61" s="5002" t="s">
        <v>5231</v>
      </c>
      <c r="B61" s="3924" t="s">
        <v>4262</v>
      </c>
      <c r="C61" s="3925"/>
      <c r="D61" s="3889"/>
      <c r="E61" s="3950"/>
    </row>
    <row r="62" spans="1:5" ht="15" x14ac:dyDescent="0.25">
      <c r="A62" s="5003"/>
      <c r="B62" s="3926" t="s">
        <v>4263</v>
      </c>
      <c r="C62" s="3927"/>
      <c r="D62" s="2453"/>
      <c r="E62" s="3953"/>
    </row>
    <row r="63" spans="1:5" ht="15" x14ac:dyDescent="0.25">
      <c r="A63" s="5003"/>
      <c r="B63" s="3926" t="s">
        <v>4247</v>
      </c>
      <c r="C63" s="3927"/>
      <c r="D63" s="2453"/>
      <c r="E63" s="3953"/>
    </row>
    <row r="64" spans="1:5" ht="15" x14ac:dyDescent="0.25">
      <c r="A64" s="5003"/>
      <c r="B64" s="3926" t="s">
        <v>4248</v>
      </c>
      <c r="C64" s="3927"/>
      <c r="D64" s="2453"/>
      <c r="E64" s="3953"/>
    </row>
    <row r="65" spans="1:5" ht="15" x14ac:dyDescent="0.25">
      <c r="A65" s="5003"/>
      <c r="B65" s="3926" t="s">
        <v>4249</v>
      </c>
      <c r="C65" s="3927"/>
      <c r="D65" s="2453"/>
      <c r="E65" s="3953"/>
    </row>
    <row r="66" spans="1:5" ht="15" x14ac:dyDescent="0.25">
      <c r="A66" s="5003"/>
      <c r="B66" s="3926" t="s">
        <v>4250</v>
      </c>
      <c r="C66" s="3927"/>
      <c r="D66" s="2453"/>
      <c r="E66" s="3953"/>
    </row>
    <row r="67" spans="1:5" ht="15" x14ac:dyDescent="0.25">
      <c r="A67" s="5003"/>
      <c r="B67" s="3926" t="s">
        <v>4251</v>
      </c>
      <c r="C67" s="3927"/>
      <c r="D67" s="2453"/>
      <c r="E67" s="3953"/>
    </row>
    <row r="68" spans="1:5" ht="15" x14ac:dyDescent="0.25">
      <c r="A68" s="5003"/>
      <c r="B68" s="3926" t="s">
        <v>4280</v>
      </c>
      <c r="C68" s="3927"/>
      <c r="D68" s="2453"/>
      <c r="E68" s="3953"/>
    </row>
    <row r="69" spans="1:5" ht="15" x14ac:dyDescent="0.25">
      <c r="A69" s="5003"/>
      <c r="B69" s="3926" t="s">
        <v>4281</v>
      </c>
      <c r="C69" s="3927"/>
      <c r="D69" s="2453"/>
      <c r="E69" s="3953"/>
    </row>
    <row r="70" spans="1:5" ht="15" x14ac:dyDescent="0.25">
      <c r="A70" s="5003"/>
      <c r="B70" s="3926" t="s">
        <v>4252</v>
      </c>
      <c r="C70" s="3927"/>
      <c r="D70" s="3902"/>
      <c r="E70" s="3953"/>
    </row>
    <row r="71" spans="1:5" ht="15" x14ac:dyDescent="0.25">
      <c r="A71" s="5003"/>
      <c r="B71" s="3926" t="s">
        <v>4253</v>
      </c>
      <c r="C71" s="3927"/>
      <c r="D71" s="2453"/>
      <c r="E71" s="3953"/>
    </row>
    <row r="72" spans="1:5" ht="15.75" thickBot="1" x14ac:dyDescent="0.3">
      <c r="A72" s="5004"/>
      <c r="B72" s="3928" t="s">
        <v>4254</v>
      </c>
      <c r="C72" s="3929"/>
      <c r="D72" s="3895"/>
      <c r="E72" s="3954"/>
    </row>
    <row r="73" spans="1:5" ht="14.45" customHeight="1" x14ac:dyDescent="0.25">
      <c r="A73" s="5002" t="s">
        <v>5358</v>
      </c>
      <c r="B73" s="4142" t="s">
        <v>5341</v>
      </c>
      <c r="C73" s="3930"/>
      <c r="D73" s="3930"/>
      <c r="E73" s="3950"/>
    </row>
    <row r="74" spans="1:5" ht="15" x14ac:dyDescent="0.25">
      <c r="A74" s="5003"/>
      <c r="B74" s="4143" t="s">
        <v>5342</v>
      </c>
      <c r="C74" s="3931"/>
      <c r="D74" s="3931"/>
      <c r="E74" s="3953"/>
    </row>
    <row r="75" spans="1:5" ht="15" x14ac:dyDescent="0.25">
      <c r="A75" s="5003"/>
      <c r="B75" s="4143" t="s">
        <v>5343</v>
      </c>
      <c r="C75" s="3931"/>
      <c r="D75" s="3931"/>
      <c r="E75" s="3953"/>
    </row>
    <row r="76" spans="1:5" ht="15" x14ac:dyDescent="0.25">
      <c r="A76" s="5003"/>
      <c r="B76" s="4143" t="s">
        <v>5344</v>
      </c>
      <c r="C76" s="3931"/>
      <c r="D76" s="3931"/>
      <c r="E76" s="3953"/>
    </row>
    <row r="77" spans="1:5" ht="15" x14ac:dyDescent="0.25">
      <c r="A77" s="5003"/>
      <c r="B77" s="4143" t="s">
        <v>5345</v>
      </c>
      <c r="C77" s="3931"/>
      <c r="D77" s="3931"/>
      <c r="E77" s="3953"/>
    </row>
    <row r="78" spans="1:5" ht="15" x14ac:dyDescent="0.25">
      <c r="A78" s="5003"/>
      <c r="B78" s="4143" t="s">
        <v>5346</v>
      </c>
      <c r="C78" s="3931"/>
      <c r="D78" s="3931"/>
      <c r="E78" s="3953"/>
    </row>
    <row r="79" spans="1:5" ht="15" x14ac:dyDescent="0.25">
      <c r="A79" s="5003"/>
      <c r="B79" s="4143" t="s">
        <v>5347</v>
      </c>
      <c r="C79" s="3931"/>
      <c r="D79" s="3931"/>
      <c r="E79" s="3953"/>
    </row>
    <row r="80" spans="1:5" ht="15" x14ac:dyDescent="0.25">
      <c r="A80" s="5003"/>
      <c r="B80" s="4143" t="s">
        <v>5450</v>
      </c>
      <c r="C80" s="3931"/>
      <c r="D80" s="3931"/>
      <c r="E80" s="3953"/>
    </row>
    <row r="81" spans="1:5" ht="15" x14ac:dyDescent="0.25">
      <c r="A81" s="5003"/>
      <c r="B81" s="4143" t="s">
        <v>5449</v>
      </c>
      <c r="C81" s="3931"/>
      <c r="D81" s="3931"/>
      <c r="E81" s="3953"/>
    </row>
    <row r="82" spans="1:5" ht="15" x14ac:dyDescent="0.25">
      <c r="A82" s="5003"/>
      <c r="B82" s="4143" t="s">
        <v>5348</v>
      </c>
      <c r="C82" s="3931"/>
      <c r="D82" s="3931"/>
      <c r="E82" s="3953"/>
    </row>
    <row r="83" spans="1:5" ht="15" x14ac:dyDescent="0.25">
      <c r="A83" s="5003"/>
      <c r="B83" s="4143" t="s">
        <v>5349</v>
      </c>
      <c r="C83" s="3931"/>
      <c r="D83" s="3931"/>
      <c r="E83" s="3953"/>
    </row>
    <row r="84" spans="1:5" ht="15.75" thickBot="1" x14ac:dyDescent="0.3">
      <c r="A84" s="5004"/>
      <c r="B84" s="4144" t="s">
        <v>5350</v>
      </c>
      <c r="C84" s="3933"/>
      <c r="D84" s="3933"/>
      <c r="E84" s="3954"/>
    </row>
    <row r="85" spans="1:5" ht="15" x14ac:dyDescent="0.25">
      <c r="A85" s="4998" t="s">
        <v>4728</v>
      </c>
      <c r="B85" s="3934" t="s">
        <v>4282</v>
      </c>
      <c r="C85" s="3889"/>
      <c r="D85" s="3930"/>
      <c r="E85" s="3950"/>
    </row>
    <row r="86" spans="1:5" ht="15" x14ac:dyDescent="0.25">
      <c r="A86" s="4999"/>
      <c r="B86" s="3935" t="s">
        <v>2542</v>
      </c>
      <c r="C86" s="2453"/>
      <c r="D86" s="3931"/>
      <c r="E86" s="3953"/>
    </row>
    <row r="87" spans="1:5" ht="15" x14ac:dyDescent="0.25">
      <c r="A87" s="4999"/>
      <c r="B87" s="3935" t="s">
        <v>4283</v>
      </c>
      <c r="C87" s="2453"/>
      <c r="D87" s="3931"/>
      <c r="E87" s="3953"/>
    </row>
    <row r="88" spans="1:5" ht="15" x14ac:dyDescent="0.25">
      <c r="A88" s="4999"/>
      <c r="B88" s="3935" t="s">
        <v>4284</v>
      </c>
      <c r="C88" s="2453"/>
      <c r="D88" s="3931"/>
      <c r="E88" s="3953"/>
    </row>
    <row r="89" spans="1:5" ht="15" x14ac:dyDescent="0.25">
      <c r="A89" s="4999"/>
      <c r="B89" s="3935" t="s">
        <v>4285</v>
      </c>
      <c r="C89" s="2453"/>
      <c r="D89" s="3931"/>
      <c r="E89" s="3953"/>
    </row>
    <row r="90" spans="1:5" ht="15" x14ac:dyDescent="0.25">
      <c r="A90" s="4999"/>
      <c r="B90" s="3935" t="s">
        <v>4203</v>
      </c>
      <c r="C90" s="2453"/>
      <c r="D90" s="3931"/>
      <c r="E90" s="3953"/>
    </row>
    <row r="91" spans="1:5" ht="15" x14ac:dyDescent="0.25">
      <c r="A91" s="4999"/>
      <c r="B91" s="3935" t="s">
        <v>2664</v>
      </c>
      <c r="C91" s="2453"/>
      <c r="D91" s="3931"/>
      <c r="E91" s="3953"/>
    </row>
    <row r="92" spans="1:5" ht="15" x14ac:dyDescent="0.25">
      <c r="A92" s="4999"/>
      <c r="B92" s="3926" t="s">
        <v>4258</v>
      </c>
      <c r="C92" s="2453"/>
      <c r="D92" s="3931"/>
      <c r="E92" s="3953"/>
    </row>
    <row r="93" spans="1:5" ht="15.75" thickBot="1" x14ac:dyDescent="0.3">
      <c r="A93" s="5000"/>
      <c r="B93" s="3932" t="s">
        <v>4286</v>
      </c>
      <c r="C93" s="3895"/>
      <c r="D93" s="3933"/>
      <c r="E93" s="3954"/>
    </row>
    <row r="94" spans="1:5" ht="15" x14ac:dyDescent="0.25">
      <c r="A94" s="4998" t="s">
        <v>2736</v>
      </c>
      <c r="B94" s="3936" t="s">
        <v>2665</v>
      </c>
      <c r="C94" s="3889"/>
      <c r="D94" s="3889"/>
      <c r="E94" s="3950"/>
    </row>
    <row r="95" spans="1:5" ht="15" x14ac:dyDescent="0.25">
      <c r="A95" s="4999"/>
      <c r="B95" s="3937" t="s">
        <v>2666</v>
      </c>
      <c r="C95" s="2453"/>
      <c r="D95" s="2453"/>
      <c r="E95" s="3953"/>
    </row>
    <row r="96" spans="1:5" ht="15" x14ac:dyDescent="0.25">
      <c r="A96" s="4999"/>
      <c r="B96" s="3937" t="s">
        <v>2667</v>
      </c>
      <c r="C96" s="3938"/>
      <c r="D96" s="2453"/>
      <c r="E96" s="3953"/>
    </row>
    <row r="97" spans="1:5" ht="15" x14ac:dyDescent="0.25">
      <c r="A97" s="4999"/>
      <c r="B97" s="3937" t="s">
        <v>2668</v>
      </c>
      <c r="C97" s="3938"/>
      <c r="D97" s="2453"/>
      <c r="E97" s="3953"/>
    </row>
    <row r="98" spans="1:5" ht="15" x14ac:dyDescent="0.25">
      <c r="A98" s="4999"/>
      <c r="B98" s="3937" t="s">
        <v>2669</v>
      </c>
      <c r="C98" s="3938"/>
      <c r="D98" s="2453"/>
      <c r="E98" s="3953"/>
    </row>
    <row r="99" spans="1:5" ht="15" x14ac:dyDescent="0.25">
      <c r="A99" s="4999"/>
      <c r="B99" s="3937" t="s">
        <v>2670</v>
      </c>
      <c r="C99" s="3938"/>
      <c r="D99" s="2453"/>
      <c r="E99" s="3953"/>
    </row>
    <row r="100" spans="1:5" ht="15" x14ac:dyDescent="0.25">
      <c r="A100" s="4999"/>
      <c r="B100" s="3937" t="s">
        <v>2671</v>
      </c>
      <c r="C100" s="3938"/>
      <c r="D100" s="2453"/>
      <c r="E100" s="3953"/>
    </row>
    <row r="101" spans="1:5" ht="15" x14ac:dyDescent="0.25">
      <c r="A101" s="4999"/>
      <c r="B101" s="3937" t="s">
        <v>2672</v>
      </c>
      <c r="C101" s="3938"/>
      <c r="D101" s="2453"/>
      <c r="E101" s="3953"/>
    </row>
    <row r="102" spans="1:5" ht="15" x14ac:dyDescent="0.25">
      <c r="A102" s="4999"/>
      <c r="B102" s="3937" t="s">
        <v>2673</v>
      </c>
      <c r="C102" s="3938"/>
      <c r="D102" s="2453"/>
      <c r="E102" s="3953"/>
    </row>
    <row r="103" spans="1:5" ht="15" x14ac:dyDescent="0.25">
      <c r="A103" s="4999"/>
      <c r="B103" s="3937" t="s">
        <v>2674</v>
      </c>
      <c r="C103" s="3938"/>
      <c r="D103" s="2453"/>
      <c r="E103" s="3953"/>
    </row>
    <row r="104" spans="1:5" ht="15" x14ac:dyDescent="0.25">
      <c r="A104" s="4999"/>
      <c r="B104" s="3937" t="s">
        <v>2675</v>
      </c>
      <c r="C104" s="3938"/>
      <c r="D104" s="2453"/>
      <c r="E104" s="3953"/>
    </row>
    <row r="105" spans="1:5" ht="15" x14ac:dyDescent="0.25">
      <c r="A105" s="4999"/>
      <c r="B105" s="3937" t="s">
        <v>2676</v>
      </c>
      <c r="C105" s="3938"/>
      <c r="D105" s="2453"/>
      <c r="E105" s="3953"/>
    </row>
    <row r="106" spans="1:5" ht="15" x14ac:dyDescent="0.25">
      <c r="A106" s="4999"/>
      <c r="B106" s="3937" t="s">
        <v>2677</v>
      </c>
      <c r="C106" s="3938"/>
      <c r="D106" s="2453"/>
      <c r="E106" s="3953"/>
    </row>
    <row r="107" spans="1:5" ht="15" x14ac:dyDescent="0.25">
      <c r="A107" s="4999"/>
      <c r="B107" s="3937" t="s">
        <v>2678</v>
      </c>
      <c r="C107" s="3938"/>
      <c r="D107" s="2453"/>
      <c r="E107" s="3953"/>
    </row>
    <row r="108" spans="1:5" ht="15" x14ac:dyDescent="0.25">
      <c r="A108" s="4999"/>
      <c r="B108" s="3937" t="s">
        <v>2679</v>
      </c>
      <c r="C108" s="3938"/>
      <c r="D108" s="2453"/>
      <c r="E108" s="3953"/>
    </row>
    <row r="109" spans="1:5" ht="15" x14ac:dyDescent="0.25">
      <c r="A109" s="4999"/>
      <c r="B109" s="3937" t="s">
        <v>2680</v>
      </c>
      <c r="C109" s="3938"/>
      <c r="D109" s="2453"/>
      <c r="E109" s="3953"/>
    </row>
    <row r="110" spans="1:5" ht="15" x14ac:dyDescent="0.25">
      <c r="A110" s="4999"/>
      <c r="B110" s="3937" t="s">
        <v>2681</v>
      </c>
      <c r="C110" s="3938"/>
      <c r="D110" s="2453"/>
      <c r="E110" s="3953"/>
    </row>
    <row r="111" spans="1:5" ht="15" x14ac:dyDescent="0.25">
      <c r="A111" s="4999"/>
      <c r="B111" s="3937" t="s">
        <v>2682</v>
      </c>
      <c r="C111" s="3938"/>
      <c r="D111" s="2453"/>
      <c r="E111" s="3953"/>
    </row>
    <row r="112" spans="1:5" ht="15" x14ac:dyDescent="0.25">
      <c r="A112" s="4999"/>
      <c r="B112" s="3937" t="s">
        <v>2683</v>
      </c>
      <c r="C112" s="3938"/>
      <c r="D112" s="2453"/>
      <c r="E112" s="3953"/>
    </row>
    <row r="113" spans="1:5" ht="15" x14ac:dyDescent="0.25">
      <c r="A113" s="4999"/>
      <c r="B113" s="3937" t="s">
        <v>2684</v>
      </c>
      <c r="C113" s="3938"/>
      <c r="D113" s="2453"/>
      <c r="E113" s="3953"/>
    </row>
    <row r="114" spans="1:5" ht="15" x14ac:dyDescent="0.25">
      <c r="A114" s="4999"/>
      <c r="B114" s="3937" t="s">
        <v>2685</v>
      </c>
      <c r="C114" s="3938"/>
      <c r="D114" s="2453"/>
      <c r="E114" s="3953"/>
    </row>
    <row r="115" spans="1:5" ht="15" x14ac:dyDescent="0.25">
      <c r="A115" s="4999"/>
      <c r="B115" s="3939" t="s">
        <v>2686</v>
      </c>
      <c r="C115" s="3938"/>
      <c r="D115" s="2453"/>
      <c r="E115" s="3953"/>
    </row>
    <row r="116" spans="1:5" ht="15" x14ac:dyDescent="0.25">
      <c r="A116" s="4999"/>
      <c r="B116" s="3939" t="s">
        <v>2687</v>
      </c>
      <c r="C116" s="3938"/>
      <c r="D116" s="2453"/>
      <c r="E116" s="3953"/>
    </row>
    <row r="117" spans="1:5" ht="15" x14ac:dyDescent="0.25">
      <c r="A117" s="4999"/>
      <c r="B117" s="3939" t="s">
        <v>2688</v>
      </c>
      <c r="C117" s="3940"/>
      <c r="D117" s="2453"/>
      <c r="E117" s="3953"/>
    </row>
    <row r="118" spans="1:5" ht="15" x14ac:dyDescent="0.25">
      <c r="A118" s="4999"/>
      <c r="B118" s="3939" t="s">
        <v>2689</v>
      </c>
      <c r="C118" s="3940"/>
      <c r="D118" s="2453"/>
      <c r="E118" s="3953"/>
    </row>
    <row r="119" spans="1:5" ht="15" x14ac:dyDescent="0.25">
      <c r="A119" s="4999"/>
      <c r="B119" s="3939" t="s">
        <v>2690</v>
      </c>
      <c r="C119" s="3940"/>
      <c r="D119" s="2453"/>
      <c r="E119" s="3953"/>
    </row>
    <row r="120" spans="1:5" ht="15" x14ac:dyDescent="0.25">
      <c r="A120" s="4999"/>
      <c r="B120" s="3939" t="s">
        <v>2691</v>
      </c>
      <c r="C120" s="3940"/>
      <c r="D120" s="2453"/>
      <c r="E120" s="3953"/>
    </row>
    <row r="121" spans="1:5" ht="15" x14ac:dyDescent="0.25">
      <c r="A121" s="4999"/>
      <c r="B121" s="3939" t="s">
        <v>2692</v>
      </c>
      <c r="C121" s="3940"/>
      <c r="D121" s="2453"/>
      <c r="E121" s="3953"/>
    </row>
    <row r="122" spans="1:5" ht="15" x14ac:dyDescent="0.25">
      <c r="A122" s="4999"/>
      <c r="B122" s="3939" t="s">
        <v>2693</v>
      </c>
      <c r="C122" s="3940"/>
      <c r="D122" s="2453"/>
      <c r="E122" s="3953"/>
    </row>
    <row r="123" spans="1:5" ht="15" x14ac:dyDescent="0.25">
      <c r="A123" s="4999"/>
      <c r="B123" s="3939" t="s">
        <v>2694</v>
      </c>
      <c r="C123" s="3940"/>
      <c r="D123" s="2453"/>
      <c r="E123" s="3953"/>
    </row>
    <row r="124" spans="1:5" ht="15" x14ac:dyDescent="0.25">
      <c r="A124" s="4999"/>
      <c r="B124" s="3939" t="s">
        <v>2695</v>
      </c>
      <c r="C124" s="3940"/>
      <c r="D124" s="2453"/>
      <c r="E124" s="3953"/>
    </row>
    <row r="125" spans="1:5" ht="15" x14ac:dyDescent="0.25">
      <c r="A125" s="4999"/>
      <c r="B125" s="3939" t="s">
        <v>2696</v>
      </c>
      <c r="C125" s="3940"/>
      <c r="D125" s="2453"/>
      <c r="E125" s="3953"/>
    </row>
    <row r="126" spans="1:5" ht="15" x14ac:dyDescent="0.25">
      <c r="A126" s="4999"/>
      <c r="B126" s="3939" t="s">
        <v>2697</v>
      </c>
      <c r="C126" s="3940"/>
      <c r="D126" s="2453"/>
      <c r="E126" s="3953"/>
    </row>
    <row r="127" spans="1:5" ht="15" x14ac:dyDescent="0.25">
      <c r="A127" s="4999"/>
      <c r="B127" s="3939" t="s">
        <v>2698</v>
      </c>
      <c r="C127" s="3940"/>
      <c r="D127" s="2453"/>
      <c r="E127" s="3953"/>
    </row>
    <row r="128" spans="1:5" ht="15" x14ac:dyDescent="0.25">
      <c r="A128" s="4999"/>
      <c r="B128" s="3939" t="s">
        <v>2699</v>
      </c>
      <c r="C128" s="3940"/>
      <c r="D128" s="2453"/>
      <c r="E128" s="3953"/>
    </row>
    <row r="129" spans="1:5" ht="15" x14ac:dyDescent="0.25">
      <c r="A129" s="4999"/>
      <c r="B129" s="3939" t="s">
        <v>2700</v>
      </c>
      <c r="C129" s="3940"/>
      <c r="D129" s="2453"/>
      <c r="E129" s="3953"/>
    </row>
    <row r="130" spans="1:5" ht="15" x14ac:dyDescent="0.25">
      <c r="A130" s="4999"/>
      <c r="B130" s="3939" t="s">
        <v>2701</v>
      </c>
      <c r="C130" s="3940"/>
      <c r="D130" s="2453"/>
      <c r="E130" s="3953"/>
    </row>
    <row r="131" spans="1:5" ht="15" x14ac:dyDescent="0.25">
      <c r="A131" s="4999"/>
      <c r="B131" s="3939" t="s">
        <v>2702</v>
      </c>
      <c r="C131" s="3940"/>
      <c r="D131" s="2453"/>
      <c r="E131" s="3953"/>
    </row>
    <row r="132" spans="1:5" ht="15" x14ac:dyDescent="0.25">
      <c r="A132" s="4999"/>
      <c r="B132" s="3939" t="s">
        <v>2703</v>
      </c>
      <c r="C132" s="3940"/>
      <c r="D132" s="2453"/>
      <c r="E132" s="3953"/>
    </row>
    <row r="133" spans="1:5" ht="15" x14ac:dyDescent="0.25">
      <c r="A133" s="4999"/>
      <c r="B133" s="3939" t="s">
        <v>2704</v>
      </c>
      <c r="C133" s="3940"/>
      <c r="D133" s="2453"/>
      <c r="E133" s="3953"/>
    </row>
    <row r="134" spans="1:5" ht="15" x14ac:dyDescent="0.25">
      <c r="A134" s="4999"/>
      <c r="B134" s="3939" t="s">
        <v>2705</v>
      </c>
      <c r="C134" s="3940"/>
      <c r="D134" s="2453"/>
      <c r="E134" s="3953"/>
    </row>
    <row r="135" spans="1:5" ht="15" x14ac:dyDescent="0.25">
      <c r="A135" s="4999"/>
      <c r="B135" s="3939" t="s">
        <v>2706</v>
      </c>
      <c r="C135" s="3940"/>
      <c r="D135" s="2453"/>
      <c r="E135" s="3953"/>
    </row>
    <row r="136" spans="1:5" ht="15" x14ac:dyDescent="0.25">
      <c r="A136" s="4999"/>
      <c r="B136" s="3941" t="s">
        <v>2707</v>
      </c>
      <c r="C136" s="3940"/>
      <c r="D136" s="2453"/>
      <c r="E136" s="3953"/>
    </row>
    <row r="137" spans="1:5" ht="15" x14ac:dyDescent="0.25">
      <c r="A137" s="4999"/>
      <c r="B137" s="3941" t="s">
        <v>2708</v>
      </c>
      <c r="C137" s="3940"/>
      <c r="D137" s="2453"/>
      <c r="E137" s="3953"/>
    </row>
    <row r="138" spans="1:5" ht="15" x14ac:dyDescent="0.25">
      <c r="A138" s="4999"/>
      <c r="B138" s="3941" t="s">
        <v>2709</v>
      </c>
      <c r="C138" s="3942"/>
      <c r="D138" s="2453"/>
      <c r="E138" s="3953"/>
    </row>
    <row r="139" spans="1:5" ht="15" x14ac:dyDescent="0.25">
      <c r="A139" s="4999"/>
      <c r="B139" s="3941" t="s">
        <v>2710</v>
      </c>
      <c r="C139" s="3942"/>
      <c r="D139" s="2453"/>
      <c r="E139" s="3953"/>
    </row>
    <row r="140" spans="1:5" ht="15" x14ac:dyDescent="0.25">
      <c r="A140" s="4999"/>
      <c r="B140" s="3941" t="s">
        <v>2711</v>
      </c>
      <c r="C140" s="3942"/>
      <c r="D140" s="2453"/>
      <c r="E140" s="3953"/>
    </row>
    <row r="141" spans="1:5" ht="15" x14ac:dyDescent="0.25">
      <c r="A141" s="4999"/>
      <c r="B141" s="3941" t="s">
        <v>2712</v>
      </c>
      <c r="C141" s="3942"/>
      <c r="D141" s="2453"/>
      <c r="E141" s="3953"/>
    </row>
    <row r="142" spans="1:5" ht="15" x14ac:dyDescent="0.25">
      <c r="A142" s="4999"/>
      <c r="B142" s="3941" t="s">
        <v>2713</v>
      </c>
      <c r="C142" s="3942"/>
      <c r="D142" s="2453"/>
      <c r="E142" s="3953"/>
    </row>
    <row r="143" spans="1:5" ht="15" x14ac:dyDescent="0.25">
      <c r="A143" s="4999"/>
      <c r="B143" s="3941" t="s">
        <v>2714</v>
      </c>
      <c r="C143" s="3942"/>
      <c r="D143" s="2453"/>
      <c r="E143" s="3953"/>
    </row>
    <row r="144" spans="1:5" ht="15" x14ac:dyDescent="0.25">
      <c r="A144" s="4999"/>
      <c r="B144" s="3941" t="s">
        <v>2715</v>
      </c>
      <c r="C144" s="3942"/>
      <c r="D144" s="2453"/>
      <c r="E144" s="3953"/>
    </row>
    <row r="145" spans="1:5" ht="15" x14ac:dyDescent="0.25">
      <c r="A145" s="4999"/>
      <c r="B145" s="3941" t="s">
        <v>2716</v>
      </c>
      <c r="C145" s="3942"/>
      <c r="D145" s="2453"/>
      <c r="E145" s="3953"/>
    </row>
    <row r="146" spans="1:5" ht="15" x14ac:dyDescent="0.25">
      <c r="A146" s="4999"/>
      <c r="B146" s="3941" t="s">
        <v>2717</v>
      </c>
      <c r="C146" s="3942"/>
      <c r="D146" s="2453"/>
      <c r="E146" s="3953"/>
    </row>
    <row r="147" spans="1:5" ht="15" x14ac:dyDescent="0.25">
      <c r="A147" s="4999"/>
      <c r="B147" s="3941" t="s">
        <v>2718</v>
      </c>
      <c r="C147" s="3942"/>
      <c r="D147" s="2453"/>
      <c r="E147" s="3953"/>
    </row>
    <row r="148" spans="1:5" ht="15" x14ac:dyDescent="0.25">
      <c r="A148" s="4999"/>
      <c r="B148" s="3941" t="s">
        <v>2719</v>
      </c>
      <c r="C148" s="3942"/>
      <c r="D148" s="2453"/>
      <c r="E148" s="3953"/>
    </row>
    <row r="149" spans="1:5" ht="15" x14ac:dyDescent="0.25">
      <c r="A149" s="4999"/>
      <c r="B149" s="3941" t="s">
        <v>2720</v>
      </c>
      <c r="C149" s="3942"/>
      <c r="D149" s="2453"/>
      <c r="E149" s="3953"/>
    </row>
    <row r="150" spans="1:5" ht="15" x14ac:dyDescent="0.25">
      <c r="A150" s="4999"/>
      <c r="B150" s="3941" t="s">
        <v>2721</v>
      </c>
      <c r="C150" s="3942"/>
      <c r="D150" s="2453"/>
      <c r="E150" s="3953"/>
    </row>
    <row r="151" spans="1:5" ht="15" x14ac:dyDescent="0.25">
      <c r="A151" s="4999"/>
      <c r="B151" s="3941" t="s">
        <v>2722</v>
      </c>
      <c r="C151" s="3942"/>
      <c r="D151" s="2453"/>
      <c r="E151" s="3953"/>
    </row>
    <row r="152" spans="1:5" ht="15" x14ac:dyDescent="0.25">
      <c r="A152" s="4999"/>
      <c r="B152" s="3941" t="s">
        <v>2723</v>
      </c>
      <c r="C152" s="3942"/>
      <c r="D152" s="2453"/>
      <c r="E152" s="3953"/>
    </row>
    <row r="153" spans="1:5" ht="15" x14ac:dyDescent="0.25">
      <c r="A153" s="4999"/>
      <c r="B153" s="3941" t="s">
        <v>2724</v>
      </c>
      <c r="C153" s="3942"/>
      <c r="D153" s="2453"/>
      <c r="E153" s="3953"/>
    </row>
    <row r="154" spans="1:5" ht="15" x14ac:dyDescent="0.25">
      <c r="A154" s="4999"/>
      <c r="B154" s="3941" t="s">
        <v>2725</v>
      </c>
      <c r="C154" s="3942"/>
      <c r="D154" s="2453"/>
      <c r="E154" s="3953"/>
    </row>
    <row r="155" spans="1:5" ht="15" x14ac:dyDescent="0.25">
      <c r="A155" s="4999"/>
      <c r="B155" s="3941" t="s">
        <v>2726</v>
      </c>
      <c r="C155" s="3942"/>
      <c r="D155" s="2453"/>
      <c r="E155" s="3953"/>
    </row>
    <row r="156" spans="1:5" ht="15" x14ac:dyDescent="0.25">
      <c r="A156" s="4999"/>
      <c r="B156" s="3941" t="s">
        <v>2727</v>
      </c>
      <c r="C156" s="3942"/>
      <c r="D156" s="2453"/>
      <c r="E156" s="3953"/>
    </row>
    <row r="157" spans="1:5" ht="15" x14ac:dyDescent="0.25">
      <c r="A157" s="4999"/>
      <c r="B157" s="4143" t="s">
        <v>4205</v>
      </c>
      <c r="C157" s="3942"/>
      <c r="D157" s="2453"/>
      <c r="E157" s="3953"/>
    </row>
    <row r="158" spans="1:5" ht="15" x14ac:dyDescent="0.25">
      <c r="A158" s="4999"/>
      <c r="B158" s="4143" t="s">
        <v>5224</v>
      </c>
      <c r="C158" s="3942"/>
      <c r="D158" s="2453"/>
      <c r="E158" s="3953"/>
    </row>
    <row r="159" spans="1:5" ht="15.75" thickBot="1" x14ac:dyDescent="0.3">
      <c r="A159" s="5000"/>
      <c r="B159" s="4144" t="s">
        <v>4204</v>
      </c>
      <c r="C159" s="3945"/>
      <c r="D159" s="3895"/>
      <c r="E159" s="3954"/>
    </row>
    <row r="160" spans="1:5" ht="15" x14ac:dyDescent="0.25">
      <c r="A160" s="4998" t="s">
        <v>2737</v>
      </c>
      <c r="B160" s="3946" t="s">
        <v>2728</v>
      </c>
      <c r="C160" s="3889"/>
      <c r="D160" s="3889"/>
      <c r="E160" s="3950"/>
    </row>
    <row r="161" spans="1:5" ht="15" x14ac:dyDescent="0.25">
      <c r="A161" s="4999"/>
      <c r="B161" s="3947" t="s">
        <v>2729</v>
      </c>
      <c r="C161" s="2453"/>
      <c r="D161" s="2453"/>
      <c r="E161" s="3953"/>
    </row>
    <row r="162" spans="1:5" ht="15" x14ac:dyDescent="0.25">
      <c r="A162" s="4999"/>
      <c r="B162" s="3947" t="s">
        <v>2730</v>
      </c>
      <c r="C162" s="2453"/>
      <c r="D162" s="2453"/>
      <c r="E162" s="3953"/>
    </row>
    <row r="163" spans="1:5" ht="15" x14ac:dyDescent="0.25">
      <c r="A163" s="4999"/>
      <c r="B163" s="3947" t="s">
        <v>2731</v>
      </c>
      <c r="C163" s="2453"/>
      <c r="D163" s="2453"/>
      <c r="E163" s="3953"/>
    </row>
    <row r="164" spans="1:5" ht="15.75" thickBot="1" x14ac:dyDescent="0.3">
      <c r="A164" s="5000"/>
      <c r="B164" s="3948" t="s">
        <v>2732</v>
      </c>
      <c r="C164" s="3895"/>
      <c r="D164" s="3895"/>
      <c r="E164" s="3954"/>
    </row>
    <row r="165" spans="1:5" ht="15" x14ac:dyDescent="0.25">
      <c r="A165" s="4998" t="s">
        <v>5146</v>
      </c>
      <c r="B165" s="4036" t="s">
        <v>5253</v>
      </c>
      <c r="C165" s="3889"/>
      <c r="D165" s="3889"/>
      <c r="E165" s="3950"/>
    </row>
    <row r="166" spans="1:5" ht="15" x14ac:dyDescent="0.25">
      <c r="A166" s="4999"/>
      <c r="B166" s="3943" t="s">
        <v>5225</v>
      </c>
      <c r="C166" s="3942"/>
      <c r="D166" s="3942"/>
      <c r="E166" s="3958"/>
    </row>
    <row r="167" spans="1:5" ht="15" x14ac:dyDescent="0.25">
      <c r="A167" s="4999"/>
      <c r="B167" s="3943" t="s">
        <v>5226</v>
      </c>
      <c r="C167" s="3942"/>
      <c r="D167" s="3942"/>
      <c r="E167" s="3958"/>
    </row>
    <row r="168" spans="1:5" ht="15" x14ac:dyDescent="0.25">
      <c r="A168" s="4999"/>
      <c r="B168" s="3943" t="s">
        <v>5227</v>
      </c>
      <c r="C168" s="3942"/>
      <c r="D168" s="3942"/>
      <c r="E168" s="3958"/>
    </row>
    <row r="169" spans="1:5" ht="15.75" thickBot="1" x14ac:dyDescent="0.3">
      <c r="A169" s="5000"/>
      <c r="B169" s="3944" t="s">
        <v>5228</v>
      </c>
      <c r="C169" s="3945"/>
      <c r="D169" s="3945"/>
      <c r="E169" s="3959"/>
    </row>
  </sheetData>
  <mergeCells count="12">
    <mergeCell ref="A165:A169"/>
    <mergeCell ref="A160:A164"/>
    <mergeCell ref="A1:B1"/>
    <mergeCell ref="A44:A60"/>
    <mergeCell ref="A3:A4"/>
    <mergeCell ref="A94:A159"/>
    <mergeCell ref="A17:A21"/>
    <mergeCell ref="A22:A26"/>
    <mergeCell ref="A27:A43"/>
    <mergeCell ref="A61:A72"/>
    <mergeCell ref="A73:A84"/>
    <mergeCell ref="A85:A93"/>
  </mergeCells>
  <phoneticPr fontId="51" type="noConversion"/>
  <hyperlinks>
    <hyperlink ref="A1" location="'Index'!A1" display="Index" xr:uid="{CCD4FD02-818C-41F9-B1EB-8739EEAEF9E3}"/>
    <hyperlink ref="B3" location="'Grafer-energi'!A1" display="Grafer-energi" xr:uid="{84AE78BA-E734-4D5E-A606-6B697B3D0610}"/>
    <hyperlink ref="B4" location="'Grafer-klima-&gt;VÆLG GWP og NIR&lt;-'!A1" display="Grafer-klima -&gt;VÆLG GWP og NIR&lt;-" xr:uid="{9D17EF08-B70C-4FBE-B227-629282F7F306}"/>
    <hyperlink ref="B15" location="'E2020'!A1" display="E2020" xr:uid="{F65294AA-B2D3-42D2-848A-77094CF7698D}"/>
    <hyperlink ref="B16" location="'E1990'!A1" display="E1990" xr:uid="{D9272B25-7D1F-4B40-8A0C-A16C2BFABF5D}"/>
    <hyperlink ref="B5" location="'NIR faktorer'!A1" display="NIR faktorer " xr:uid="{BA95ECDE-844D-4F9D-B909-83F21EBC6F04}"/>
    <hyperlink ref="B161" location="'Annex 3F-6.1 20'!A1" display="Annex 3F-6.1 20" xr:uid="{BE5AC65A-4946-463C-BD8D-9A6A1F1E93DD}"/>
    <hyperlink ref="B162" location="'Annex 3D-9 20'!A1" display="Annex 3D-9 20" xr:uid="{9D146DE4-27E2-41F4-815D-DD121B3175F9}"/>
    <hyperlink ref="B163" location="'Annex 3D-11 20'!A1" display="Annex 3D-11 20" xr:uid="{42131058-29CA-41EE-8814-2711E2B1613B}"/>
    <hyperlink ref="B164" location="'Annex 3D-20 20'!A1" display="Annex 3D-20 20" xr:uid="{C07532A5-CE5D-4F38-8AFB-7B76F9CDDE92}"/>
    <hyperlink ref="B44" location="'K1 2018G'!A1" display="K1 2018G" xr:uid="{CBD8E38A-EEE4-409F-879A-C9124DF062E2}"/>
    <hyperlink ref="B45" location="'K2 2018G'!A1" display="K2 2018G" xr:uid="{BBBDD5C1-6277-43EF-BDFB-EC03C7131D05}"/>
    <hyperlink ref="B46" location="'K2a 2018G'!A1" display="K2a 2018G" xr:uid="{C85184A2-C398-4548-BCD7-5BBAAB7697A4}"/>
    <hyperlink ref="B47" location="'K3 2018G'!A1" display="K3 2018G" xr:uid="{100E6F90-C5C6-46B5-871B-1536058DB6F5}"/>
    <hyperlink ref="B48" location="'K4 2018G'!A1" display="K4 2018G" xr:uid="{03856D42-4F56-4EA7-B828-33786C4C9902}"/>
    <hyperlink ref="B49" location="'K5 2018G'!A1" display="K5 2018G" xr:uid="{27385A5B-EA41-4764-9394-FD767F4F31AD}"/>
    <hyperlink ref="B50" location="'K5a 2018G'!A1" display="K5a 2018G" xr:uid="{CBAB3E6E-A7A1-416B-B94A-D00FA3BBEAB1}"/>
    <hyperlink ref="B51" location="'K6 2018G'!A1" display="K6 2018G" xr:uid="{6AF027AD-906F-4DD3-9E64-52D2EEA663E9}"/>
    <hyperlink ref="B52" location="'K7 2018G'!A1" display="K7 2018G" xr:uid="{48C2C483-B8C4-4F47-9C39-0ED2A5DF8E3E}"/>
    <hyperlink ref="B53" location="'K8 2018G'!A1" display="K8 2018G" xr:uid="{19F7DA1C-8936-4D92-ACFF-2BB9083648F6}"/>
    <hyperlink ref="B54" location="'K9 2018G'!A1" display="K9 2018G" xr:uid="{4E806DD2-4C88-4930-816B-D8495B6847A3}"/>
    <hyperlink ref="B55" location="'K10 2018G'!A1" display="K10 2018G" xr:uid="{B69903FB-D492-42D4-B301-6089AC44C119}"/>
    <hyperlink ref="B56" location="'K11 2018G'!A1" display="K11 2018G" xr:uid="{F6F2AF03-25E9-45FD-8FEF-99EE0F7338DE}"/>
    <hyperlink ref="B57" location="'K12 2018G'!A1" display="K12 2018G" xr:uid="{5EB0048F-046C-4616-817D-1980A9FBD0C1}"/>
    <hyperlink ref="B58" location="'K13 2018G'!A1" display="K13 2018G" xr:uid="{393720D4-BD27-48FD-A1C8-EDD9B6315906}"/>
    <hyperlink ref="B59" location="'K14 2018G'!A1" display="K14 2018G" xr:uid="{DC3494C0-B9F0-44EB-A72A-EDA758E7A5CF}"/>
    <hyperlink ref="B60" location="'K15 2018G'!A1" display="K15 2018G" xr:uid="{1D07ECF3-A0A8-4327-B86A-38F502404A9F}"/>
    <hyperlink ref="B22" location="'Dyrehold 2018G'!A1" display="Dyrehold 2018G" xr:uid="{BB03B888-CEAC-4503-8A44-BE9669B36BF0}"/>
    <hyperlink ref="B23" location="'Planteavl 2018G'!A1" display="Planteavl 2018G" xr:uid="{5E9DF4BB-B0DC-4E01-9F19-D9EFDF1EA80A}"/>
    <hyperlink ref="B24" location="'Arealanvendelse 2018G'!A1" display="Arealanvendelse 2018G" xr:uid="{6D53FAFC-7884-430D-95DC-134436F767A7}"/>
    <hyperlink ref="B26" location="'Industrielle processer 2018G'!A1" display="Industrielle processer 2018G" xr:uid="{B6F92B3D-5C65-455E-BFA4-4DE3B67406A9}"/>
    <hyperlink ref="B25" location="'Affald og spildevand 2018G'!A1" display="Affald og spildevand 2018G" xr:uid="{5BBD5F8B-22DB-4885-BB18-D56DA50B1939}"/>
    <hyperlink ref="B17" location="'Dyrehold 2018'!A1" display="Dyrehold 2018" xr:uid="{A2993B87-3559-46A7-8BE2-16CC80D17CFB}"/>
    <hyperlink ref="B18" location="'Planteavl 2018'!A1" display="Planteavl 2018" xr:uid="{70EED37C-379F-4A01-B9EA-3B37A9A2AC2C}"/>
    <hyperlink ref="B19" location="'Arealanvendelse 2018'!A1" display="Arealanvendelse 2018" xr:uid="{92E51971-C9E9-48D4-94C7-29C37274D1D9}"/>
    <hyperlink ref="B20" location="'Affald og spildevand 2018'!A1" display="Affald og spildevand 2018" xr:uid="{78295A24-C4A4-42AD-A0A5-FC5C990ECAB5}"/>
    <hyperlink ref="B21" location="'Industrielle processer 2018'!A1" display="Industrielle processer 2018" xr:uid="{0900525B-FF59-4562-9A22-3D2D1820BE17}"/>
    <hyperlink ref="B27" location="'K1 2018'!A1" display="K1 2018" xr:uid="{5ADD0E07-402F-4D34-8711-34F13FCE1398}"/>
    <hyperlink ref="B28" location="'K2 2018'!A1" display="K2 2018" xr:uid="{29E1DF7B-F662-434B-A0C5-9395639FC609}"/>
    <hyperlink ref="B29" location="'K2a 2018'!A1" display="K2a 2018" xr:uid="{0D64186C-2775-4E01-8490-F85988CF937E}"/>
    <hyperlink ref="B30" location="'K3 2018'!A1" display="K3 2018" xr:uid="{256402B1-2FFD-4BD9-94FF-58C673585DB5}"/>
    <hyperlink ref="B31" location="'K4 2018'!A1" display="K4 2018" xr:uid="{D9B4E59C-7DED-4964-AC5F-EFB3AB7A1B81}"/>
    <hyperlink ref="B32" location="'K5 2018'!A1" display="K5 2018" xr:uid="{8A6B1DDC-8103-4A33-8A0F-0641E7F4BA09}"/>
    <hyperlink ref="B33" location="'K5a 2018'!A1" display="K5a 2018" xr:uid="{AA0CC8CD-9DD1-4C33-8773-086E17647083}"/>
    <hyperlink ref="B34" location="'K6 2018'!A1" display="K6 2018" xr:uid="{F7E6D7DF-A526-40BA-84F0-9F6948C39F64}"/>
    <hyperlink ref="B35" location="'K7 2018'!A1" display="K7 2018" xr:uid="{BACF0AFC-2102-41DA-B4B0-C2B0C93F40FA}"/>
    <hyperlink ref="B36" location="'K8 2018'!A1" display="K8 2018" xr:uid="{53578D41-98C5-4774-8760-EA30535E900D}"/>
    <hyperlink ref="B37" location="'K9 2018'!A1" display="K9 2018" xr:uid="{B564ED7D-4D20-48D9-B206-483980B8826E}"/>
    <hyperlink ref="B38" location="'K10 2018'!A1" display="K10 2018" xr:uid="{ABE459D9-EF21-4466-AD57-842A60798016}"/>
    <hyperlink ref="B39" location="'K11 2018'!A1" display="K11 2018" xr:uid="{39D8ABFC-2BBB-47CF-BC8D-DCC7D47F6699}"/>
    <hyperlink ref="B40" location="'K12 2018'!A1" display="K12 2018" xr:uid="{AEAB1A94-1BD0-452D-AF2C-16A498B88E76}"/>
    <hyperlink ref="B41" location="'K13 2018'!A1" display="K13 2018" xr:uid="{B7262CD3-A338-442C-A4E5-9D155D3A82EE}"/>
    <hyperlink ref="B42" location="'K14 2018'!A1" display="K14 2018" xr:uid="{A0634769-D6C3-4502-9B6D-65F8659ACF49}"/>
    <hyperlink ref="B43" location="'K15 2018'!A1" display="K15 2018" xr:uid="{DD84C869-B6B2-4FA1-A2BF-5F2DAF96A64B}"/>
    <hyperlink ref="B61" location="'Dataark til bilag 2_18'!A1" display="Dataark til bilag 2_18" xr:uid="{137EF00E-BB63-4880-A982-BC48B33B4CAC}"/>
    <hyperlink ref="B62" location="'Dataark til bilag 3_18'!A1" display="Dataark til bilag 3_18" xr:uid="{4AB76CFA-71F2-410F-8A70-7452E466B857}"/>
    <hyperlink ref="B63" location="'biogas_18'!A1" display="biogas_18" xr:uid="{E257BE89-9FAE-4D9E-B2E8-E5931A0C8F82}"/>
    <hyperlink ref="B64" location="'staldtype_total_18'!A1" display="staldtype_total_18" xr:uid="{6A963A54-57D3-4C45-BC09-D54335F063BF}"/>
    <hyperlink ref="B65" location="'planteavl_18'!A1" display="planteavl_18" xr:uid="{5867CC39-C2C7-4F5E-A975-F6FCA2FE080E}"/>
    <hyperlink ref="B66" location="'Planteavl_EA_18'!A1" display="Planteavl_EA_18" xr:uid="{099F7E56-8031-493E-BD3C-25B07E63631C}"/>
    <hyperlink ref="B67" location="'gødning_mv_18'!A1" display="gødning_mv_18" xr:uid="{D9EC8479-D782-4AF3-A58F-0D3EDFF1C3AF}"/>
    <hyperlink ref="B68" location="'1990-2018 ha_18'!A1" display="1990-2018 ha_18" xr:uid="{6E0BD12A-1119-4293-8BFF-8A7865B76941}"/>
    <hyperlink ref="B69" location="'2005-2018 ha_18'!A1" display="2005-2018 ha_18" xr:uid="{70EA772F-8978-4A79-90A1-5B4208F85CFC}"/>
    <hyperlink ref="B70" location="'draeninfo_18'!A1" display="draeninfo_18" xr:uid="{2544D0F2-C50A-47CD-8B7B-4E91F7447CEA}"/>
    <hyperlink ref="B71" location="'rewetinfo_18'!A1" display="rewetinfo_18" xr:uid="{1DCACD62-95F5-4FC5-ACD6-F0829350D8D7}"/>
    <hyperlink ref="B72" location="'ArealFordelingPaaKulstof_Ha 18'!A1" display="ArealFordelingPaaKulstof_Ha 18" xr:uid="{6C8A1938-39FA-4097-BE1E-6E4DB711696F}"/>
    <hyperlink ref="B73" location="'Dataark til bilag 2_18G'!A1" display="Dataark til bilag 2_18G" xr:uid="{B871A652-9C83-416B-A7C7-9E9C5C852E65}"/>
    <hyperlink ref="B74" location="'Dataark til bilag 3_18G'!A1" display="Dataark til bilag 3_18G" xr:uid="{3160784A-D68D-4BB3-9D07-EED0955E805C}"/>
    <hyperlink ref="B75" location="biogas_18G!A1" display="biogas_18G" xr:uid="{3CAE5978-282D-4689-9FBB-1FCD7993BC14}"/>
    <hyperlink ref="B76" location="staldtype_total_18G!A1" display="staldtype_total_18G" xr:uid="{1B63F875-8046-4293-A94D-37C691271DE5}"/>
    <hyperlink ref="B77" location="planteavl_18G!A1" display="planteavl_18G" xr:uid="{C65C1477-D339-4576-B42E-AB9F8792C4E9}"/>
    <hyperlink ref="B78" location="Planteavl_EA_18G!A1" display="Planteavl_EA_18G" xr:uid="{29994FA5-1A74-4208-8401-50881721B0E2}"/>
    <hyperlink ref="B79" location="gødning_mv_18G!A1" display="gødning_mv_18G" xr:uid="{8A7B9064-3DED-4080-84F2-7D57DE9D86C9}"/>
    <hyperlink ref="B80" location="'1990-2018 ha_18G'!A1" display="1990-2018 ha_18G" xr:uid="{AEBC04E2-5E0A-4C8F-9979-93C1CE2D37B2}"/>
    <hyperlink ref="B81" location="'2005-2018 ha_18G'!A1" display="2005-2018 ha_18G" xr:uid="{16CE3FBC-1EAA-4C81-9377-9CEF92B8752B}"/>
    <hyperlink ref="B82" location="draeninfo_18G!A1" display="draeninfo_18G" xr:uid="{24BF61C8-3027-4774-B3E0-BD094053D4E8}"/>
    <hyperlink ref="B83" location="rewetinfo_18G!A1" display="rewetinfo_18G" xr:uid="{B1700E9E-D516-4AB4-BDE5-EFF2BB78A45A}"/>
    <hyperlink ref="B84" location="'ArealFordelingPaaKulstof_Ha 18G'!A1" display="ArealFordelingPaaKulstof_Ha 18G" xr:uid="{8BD256FE-4996-4D3F-A125-0CD3E340A949}"/>
    <hyperlink ref="B85" location="'BYGB34'!A1" display="BYGB34" xr:uid="{BB54030C-6F17-4086-A615-D0D86C708FA5}"/>
    <hyperlink ref="B86" location="'FOLK1A'!A1" display="FOLK1A" xr:uid="{F861CB70-AE4E-413C-92C2-D15FA67CA53C}"/>
    <hyperlink ref="B87" location="'HST77'!A1" display="HST77" xr:uid="{5ED49119-980B-409E-859A-43ADB13A6A3C}"/>
    <hyperlink ref="B88" location="'ARE207'!A1" display="ARE207" xr:uid="{D926F963-CD5B-4ECB-81A4-AFAD6517EDA3}"/>
    <hyperlink ref="B89" location="'Fodermiddeltabel'!A1" display="Fodermiddeltabel" xr:uid="{964BCB6A-8DBE-43DB-AC67-347EFCC07425}"/>
    <hyperlink ref="B90" location="'BNP'!A1" display="BNP" xr:uid="{4CFA201A-E697-43CF-8B20-6788E032C1BE}"/>
    <hyperlink ref="B91" location="'NST'!A1" display="NST" xr:uid="{9F5678CE-4E04-47B3-AA4D-0C27D6F33E41}"/>
    <hyperlink ref="B92" location="'PUNKTKILDELISTE pr værk 18'!A1" display="PUNKTKILDELISTE pr værk 18" xr:uid="{91079FF1-97E4-4204-9902-9A0851A5E7DE}"/>
    <hyperlink ref="B93" location="'PUNKTKILDELISTE pr værk 20'!A1" display="PUNKTKILDELISTE pr værk 20" xr:uid="{D62AF1EB-8BC4-43B8-A10B-238863E43CEB}"/>
    <hyperlink ref="B14" location="'E2018'!A1" display="E2018" xr:uid="{71F8DA4F-7285-4AFD-8013-20FC5ECED549}"/>
    <hyperlink ref="B6" location="'Sammenfatning'!A1" display="Sammenfatning" xr:uid="{A1E3F785-D850-4FD3-B4B0-125C07119F39}"/>
    <hyperlink ref="B7" location="'Reduktionsstiberegner'!A1" display="Reduktionsstiberegner" xr:uid="{04748C28-D4CC-4F9B-95B5-7642D8633778}"/>
    <hyperlink ref="B8" location="'K-tiltag'!A1" display="K-tiltag" xr:uid="{8243D28D-42F6-443B-A906-7FE6A74C0CB5}"/>
    <hyperlink ref="B9" location="Index_!A1" display="E-Tiltag" xr:uid="{7D8CE959-006A-457F-9EDB-5D8F42D2A7E4}"/>
    <hyperlink ref="B10" location="'ESTI2050'!A1" display="ESTI2050" xr:uid="{315A77B0-86CD-4F42-B9B1-C5E0BBD87D81}"/>
    <hyperlink ref="B11" location="'ESTI2030'!A1" display="ESTI2030" xr:uid="{E83A9854-CF57-45F1-8B7D-A4A265C2AA87}"/>
    <hyperlink ref="B12" location="'EBAU2050'!A1" display="EBAU2050" xr:uid="{0E430439-9ACF-4E04-A4CE-9B8BA33A7BC1}"/>
    <hyperlink ref="B13" location="'EBAU2030'!A1" display="EBAU2030" xr:uid="{26AE5471-0E85-4F72-887D-E3C0B6A627E4}"/>
    <hyperlink ref="B165" location="'Table LULUCF_arealer'!A1" display="Table LULUCF_arealer" xr:uid="{0FDE2948-42A8-412D-84CA-75AC5389CCA6}"/>
    <hyperlink ref="B166" location="Index!A1" display="Table 6 Gødningsmængder" xr:uid="{6C44BB20-7E25-411F-92D0-2A290616A970}"/>
    <hyperlink ref="B167" location="Index!A1" display="Table 7 Miljøteknologi" xr:uid="{785F8B83-1CC8-4763-BD09-E852A3ED8688}"/>
    <hyperlink ref="B168" location="Index!A1" display="Table 9 Gylle afsat til biogas" xr:uid="{95991B7E-1050-4C6C-943A-5A78D8726394}"/>
    <hyperlink ref="B169" location="Index!A1" display="Table 12 Handelsgødning" xr:uid="{C2B4AED2-B4E8-4007-827B-F8F1D76F2D16}"/>
    <hyperlink ref="B160" location="'Annex 3F-6.2 20'!A1" display="Annex 3F-6.2 20" xr:uid="{A9EA3F73-2DF6-4FD4-8F75-F34B5B1F069D}"/>
    <hyperlink ref="B94" location="'Table2(I)s2_2018'!A1" display="Table2(I)s2_2018" xr:uid="{C2C5ED09-986D-4018-BB50-B4D22C247BDD}"/>
    <hyperlink ref="B95" location="'Table2(I).A-Hs1_2018'!A1" display="Table2(I).A-Hs1_2018" xr:uid="{CAABF84E-05E5-4C94-891F-4B2A827B3B06}"/>
    <hyperlink ref="B96" location="'Table2(I).A-Hs2_2018'!A1" display="Table2(I).A-Hs2_2018" xr:uid="{F4BAFB43-2209-4E85-8D2A-4FED6D4FD223}"/>
    <hyperlink ref="B97" location="'Table2(II)_2018'!A1" display="Table2(II)_2018" xr:uid="{A1244E46-D8D5-4A7F-993A-50861D2DC147}"/>
    <hyperlink ref="B98" location="'Table3.As1_2018'!A1" display="Table3.As1_2018" xr:uid="{3F77C18A-01FE-4CB8-B427-3B51D1290F44}"/>
    <hyperlink ref="B99" location="'Table3.D_2018'!A1" display="Table3.D_2018" xr:uid="{D950E3F8-1368-41ED-ABEE-F7C114DC373F}"/>
    <hyperlink ref="B100" location="'Table3.G-I_2018'!A1" display="Table3.G-I_2018" xr:uid="{713B6E0A-7F20-4187-8CF1-FEF969B34C91}"/>
    <hyperlink ref="B101" location="'Table4.A_2018'!A1" display="Table4.A_2018" xr:uid="{2F8A5DF7-63E9-4C04-9A7B-A3E92E791AFC}"/>
    <hyperlink ref="B102" location="'Table4.B_2018'!A1" display="Table4.B_2018" xr:uid="{BF82F7C9-2838-4193-9859-752D04D7D2A8}"/>
    <hyperlink ref="B103" location="'Table4.C_2018'!A1" display="Table4.C_2018" xr:uid="{2302A7F0-409E-49BB-8945-EAB531165A2E}"/>
    <hyperlink ref="B104" location="'Table4.D_2018'!A1" display="Table4.D_2018" xr:uid="{404EB9FF-C6EC-4E47-97BD-10A0AE2BA805}"/>
    <hyperlink ref="B105" location="'Table4.E_2018'!A1" display="Table4.E_2018" xr:uid="{FC841F27-59AB-455A-B559-724CC395088B}"/>
    <hyperlink ref="B106" location="'Table4.F_2018'!A1" display="Table4.F_2018" xr:uid="{7BE77B90-85BD-4AAD-A548-0421F5518DB5}"/>
    <hyperlink ref="B107" location="'Table4(II)_2018'!A1" display="Table4(II)_2018" xr:uid="{98D1995F-4C9A-4218-B5E3-6DA0AF8D3926}"/>
    <hyperlink ref="B108" location="'Table4(III)_2018'!A1" display="Table4(III)_2018" xr:uid="{FABA493D-8266-45C9-B37D-6D5971C67C49}"/>
    <hyperlink ref="B109" location="'Table4(V)_2018'!A1" display="Table4(V)_2018" xr:uid="{7CB33D1F-7081-44F3-BC83-506B4B3E8577}"/>
    <hyperlink ref="B110" location="'Table4.Gs2_2018'!A1" display="Table4.Gs2_2018" xr:uid="{02454A50-49D7-4734-9DC2-D262BC112036}"/>
    <hyperlink ref="B111" location="'Table5.A_2018'!A1" display="Table5.A_2018" xr:uid="{9BDFF395-7868-4FB5-A6FE-B8C2AA51B6A5}"/>
    <hyperlink ref="B112" location="'Table5.B_2018'!A1" display="Table5.B_2018" xr:uid="{95529E02-A8BE-4DDB-85AA-A321F0E456AB}"/>
    <hyperlink ref="B113" location="'Table5.C_2018'!A1" display="Table5.C_2018" xr:uid="{E928CBB1-368E-426E-B6C8-619B9E1C1687}"/>
    <hyperlink ref="B114" location="'Table5.D_2018'!A1" display="Table5.D_2018" xr:uid="{AA0A60CA-2D06-4C7D-9158-B09C35573B30}"/>
    <hyperlink ref="B115" location="'Table2(I)s2_2019'!A1" display="Table2(I)s2_2019" xr:uid="{DC84429C-6A3C-40DC-9B5E-0FF237A6DB52}"/>
    <hyperlink ref="B116" location="'Table2(I).A-Hs1_2019'!A1" display="Table2(I).A-Hs1_2019" xr:uid="{4EFF1B04-5FB8-45D2-84AD-CF7E67FAB12A}"/>
    <hyperlink ref="B117" location="'Table2(I).A-Hs2_2019'!A1" display="Table2(I).A-Hs2_2019" xr:uid="{86B77BDF-F2AF-4D39-BE52-D950663200AD}"/>
    <hyperlink ref="B118" location="'Table2(II)_2019'!A1" display="Table2(II)_2019" xr:uid="{16515746-07E5-4D8F-A3AA-EAF3696C5AEF}"/>
    <hyperlink ref="B119" location="'Table3.As1_2019'!A1" display="Table3.As1_2019" xr:uid="{675FC13B-4C2F-42BC-8FA7-8AC88A0A405D}"/>
    <hyperlink ref="B120" location="'Table3.D_2019'!A1" display="Table3.D_2019" xr:uid="{E7C8D957-F277-4F1E-8CEE-8519D5DA5023}"/>
    <hyperlink ref="B121" location="'Table3.G-I_2019'!A1" display="Table3.G-I_2019" xr:uid="{E937B783-252F-467A-9D83-7B05B23B9392}"/>
    <hyperlink ref="B122" location="'Table4.A_2019'!A1" display="Table4.A_2019" xr:uid="{96258C58-2073-44CA-8614-B3199E9804CF}"/>
    <hyperlink ref="B123" location="'Table4.B_2019'!A1" display="Table4.B_2019" xr:uid="{FF0FADB3-7897-4550-9BFB-2162CAF6EF98}"/>
    <hyperlink ref="B124" location="'Table4.C_2019'!A1" display="Table4.C_2019" xr:uid="{C8133F2D-1F61-4DFD-9440-9C75AECEC45F}"/>
    <hyperlink ref="B125" location="'Table4.D_2019'!A1" display="Table4.D_2019" xr:uid="{52D7640F-DAD0-4415-B6C3-75D6BEEA84CB}"/>
    <hyperlink ref="B126" location="'Table4.E_2019'!A1" display="Table4.E_2019" xr:uid="{E8B7439B-351F-4170-A28A-CF317FF85DB6}"/>
    <hyperlink ref="B127" location="'Table4.F_2019'!A1" display="Table4.F_2019" xr:uid="{6A30CCAA-FA9D-4936-B624-916FEDA890F1}"/>
    <hyperlink ref="B128" location="'Table4(II)_2019'!A1" display="Table4(II)_2019" xr:uid="{77BCB56C-D7BF-4877-B4B2-92FF21FBA035}"/>
    <hyperlink ref="B129" location="'Table4(III)_2019'!A1" display="Table4(III)_2019" xr:uid="{997F1E6D-CBCA-4CAC-9E15-324B6CB059E6}"/>
    <hyperlink ref="B130" location="'Table4(V)_2019'!A1" display="Table4(V)_2019" xr:uid="{FC482AC9-0760-4CAF-A28A-0CB0850076F2}"/>
    <hyperlink ref="B131" location="'Table4.Gs2_2019'!A1" display="Table4.Gs2_2019" xr:uid="{B2545D06-18A9-4161-BB4B-7539C5316302}"/>
    <hyperlink ref="B132" location="'Table5.A_2019'!A1" display="Table5.A_2019" xr:uid="{300BBD43-42C2-4AA1-9C16-1933602CF56C}"/>
    <hyperlink ref="B133" location="'Table5.B_2019'!A1" display="Table5.B_2019" xr:uid="{3B7DF1D2-D79D-40D7-A10D-C4AA830BFDC2}"/>
    <hyperlink ref="B134" location="'Table5.C_2019'!A1" display="Table5.C_2019" xr:uid="{8F50B274-15CF-4FC7-9AB0-01F3C313C813}"/>
    <hyperlink ref="B135" location="'Table5.D_2019'!A1" display="Table5.D_2019" xr:uid="{3CA7F3F1-260B-4BD8-8AF6-8DD549785063}"/>
    <hyperlink ref="B136" location="'Table2(I)s2_2020'!A1" display="Table2(I)s2_2020" xr:uid="{88E6D30A-1FC6-4C0F-932C-565A54DC16F1}"/>
    <hyperlink ref="B137" location="'Table2(I).A-Hs1_2020'!A1" display="Table2(I).A-Hs1_2020" xr:uid="{940DA97A-70D4-49BE-A2B6-15E740055874}"/>
    <hyperlink ref="B138" location="'Table2(I).A-Hs2_2020'!A1" display="Table2(I).A-Hs2_2020" xr:uid="{E0FB259F-D868-4654-937D-12732924C0CF}"/>
    <hyperlink ref="B139" location="'Table2(II)_2020'!A1" display="Table2(II)_2020" xr:uid="{98D0BFE7-E68B-49D8-B8FF-11CB8DF1523B}"/>
    <hyperlink ref="B140" location="'Table3.As1_2020'!A1" display="Table3.As1_2020" xr:uid="{246B9C9C-3FE7-4EAD-A934-585566D9977D}"/>
    <hyperlink ref="B141" location="'Table3.D_2020'!A1" display="Table3.D_2020" xr:uid="{0CB3190B-8090-48E3-B587-4E37C3EDD9A5}"/>
    <hyperlink ref="B142" location="'Table3.G-I_2020'!A1" display="Table3.G-I_2020" xr:uid="{79728F4C-8714-453E-BC65-2D9A94D30486}"/>
    <hyperlink ref="B143" location="'Table4.A_2020'!A1" display="Table4.A_2020" xr:uid="{B6E5787A-123E-4DB0-BF9A-4D5A7AC3FFFF}"/>
    <hyperlink ref="B144" location="'Table4.B_2020'!A1" display="Table4.B_2020" xr:uid="{85125A40-8A3E-42DE-A936-FD5AC31D8BB4}"/>
    <hyperlink ref="B145" location="'Table4.C_2020'!A1" display="Table4.C_2020" xr:uid="{CC476C24-FC8A-4207-9EBD-72B5A7497819}"/>
    <hyperlink ref="B146" location="'Table4.D_2020'!A1" display="Table4.D_2020" xr:uid="{5A23CD44-6D79-4CA8-8026-B0C675A3080D}"/>
    <hyperlink ref="B147" location="'Table4.E_2020'!A1" display="Table4.E_2020" xr:uid="{9E59D465-AF4D-48BA-8D62-5475B90419A8}"/>
    <hyperlink ref="B148" location="'Table4.F_2020'!A1" display="Table4.F_2020" xr:uid="{EA52C77E-D42E-4496-92D7-691503CCCAD3}"/>
    <hyperlink ref="B149" location="'Table4(II)_2020'!A1" display="Table4(II)_2020" xr:uid="{FB5562BD-F29C-4B2C-A148-F7EC866B7362}"/>
    <hyperlink ref="B150" location="'Table4(III)_2020'!A1" display="Table4(III)_2020" xr:uid="{89A07BED-5935-4D4A-99DB-BFF06AEFBFD0}"/>
    <hyperlink ref="B151" location="'Table4(V)_2020'!A1" display="Table4(V)_2020" xr:uid="{0EA83A7F-7DE4-4C7D-859A-D7DFABDAED6D}"/>
    <hyperlink ref="B152" location="'Table4.Gs2_2020'!A1" display="Table4.Gs2_2020" xr:uid="{868FE43D-AADB-4A7A-9BB7-DFC00DA88F43}"/>
    <hyperlink ref="B153" location="'Table5.A_2020'!A1" display="Table5.A_2020" xr:uid="{F3E31653-B7E6-4B7B-9D1E-256AC873DB7A}"/>
    <hyperlink ref="B154" location="'Table5.B_2020'!A1" display="Table5.B_2020" xr:uid="{CD53D67E-5F29-47F2-96C4-4040AD72AF0A}"/>
    <hyperlink ref="B155" location="'Table5.C_2020'!A1" display="Table5.C_2020" xr:uid="{FC94FFDA-C104-4E24-A3F7-EA7A3981B95D}"/>
    <hyperlink ref="B159" location="Summary2_2020!A1" display="Summary2_2020" xr:uid="{33F6F21D-D022-454D-A0D5-6198C4D59B6A}"/>
    <hyperlink ref="B158" location="'Table 7 Miljøteknologi'!A1" display="Summary2_2018" xr:uid="{276AF21F-7148-45EC-A3A8-5F6ED48183EC}"/>
    <hyperlink ref="B156" location="'Table5.D_2020'!A1" display="Table5.D_2020" xr:uid="{3F22306D-2800-45A1-8816-29F99455C326}"/>
    <hyperlink ref="B157" location="Summary2_1990!A1" display="Summary2_1990" xr:uid="{3878F3B9-53FB-4BE8-9F5A-446489B5139E}"/>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BB4AF-5AC1-41D0-8119-422A6FCE70E7}">
  <sheetPr codeName="Ark159">
    <tabColor rgb="FF7030A0"/>
    <pageSetUpPr fitToPage="1"/>
  </sheetPr>
  <dimension ref="A1:AY95"/>
  <sheetViews>
    <sheetView topLeftCell="A57" zoomScale="70" zoomScaleNormal="70" workbookViewId="0">
      <selection activeCell="AH64" sqref="AH64"/>
    </sheetView>
  </sheetViews>
  <sheetFormatPr defaultColWidth="9.140625" defaultRowHeight="12.75" x14ac:dyDescent="0.2"/>
  <cols>
    <col min="1" max="3" width="7.140625" style="12" customWidth="1"/>
    <col min="4" max="4" width="9" style="12" customWidth="1"/>
    <col min="5" max="5" width="7.140625" style="12" customWidth="1"/>
    <col min="6" max="6" width="8.85546875" style="12" customWidth="1"/>
    <col min="7" max="9" width="7.140625" style="12" customWidth="1"/>
    <col min="10" max="12" width="7.140625" style="32" customWidth="1"/>
    <col min="13" max="18" width="7.140625" style="12" customWidth="1"/>
    <col min="19" max="19" width="10.42578125" style="12" customWidth="1"/>
    <col min="20" max="26" width="7.140625" style="12" customWidth="1"/>
    <col min="27" max="27" width="8.7109375" style="12" customWidth="1"/>
    <col min="28" max="28" width="52.140625" style="12" bestFit="1" customWidth="1"/>
    <col min="29" max="32" width="5.7109375" style="12" customWidth="1"/>
    <col min="33" max="37" width="8.7109375" style="12" customWidth="1"/>
    <col min="38" max="46" width="7.140625" style="12" customWidth="1"/>
    <col min="47" max="16384" width="9.140625" style="12"/>
  </cols>
  <sheetData>
    <row r="1" spans="1:51" ht="15" customHeight="1" x14ac:dyDescent="0.25">
      <c r="A1" s="112" t="s">
        <v>17</v>
      </c>
      <c r="B1" s="9"/>
      <c r="C1" s="9"/>
      <c r="D1" s="2688">
        <f>'E-Tiltag'!I27</f>
        <v>1786</v>
      </c>
      <c r="E1" s="2689"/>
      <c r="F1" s="10"/>
      <c r="G1" s="10"/>
      <c r="H1" s="10"/>
      <c r="I1" s="10"/>
      <c r="J1" s="10"/>
      <c r="K1" s="10"/>
      <c r="L1" s="10"/>
      <c r="N1" s="10"/>
      <c r="O1" s="10"/>
      <c r="P1" s="10"/>
      <c r="Q1" s="10"/>
      <c r="R1" s="10"/>
      <c r="S1" s="10"/>
      <c r="T1" s="10"/>
      <c r="U1" s="10"/>
      <c r="V1" s="10"/>
      <c r="W1" s="10"/>
      <c r="X1" s="10"/>
      <c r="Y1" s="11"/>
      <c r="Z1" s="11"/>
      <c r="AA1" s="11"/>
      <c r="AB1" s="2276" t="s">
        <v>30</v>
      </c>
      <c r="AC1" s="11"/>
      <c r="AD1" s="11"/>
      <c r="AE1" s="11"/>
      <c r="AF1" s="11"/>
      <c r="AG1" s="10"/>
      <c r="AH1" s="10"/>
      <c r="AI1" s="10"/>
      <c r="AJ1" s="10"/>
      <c r="AK1" s="10"/>
      <c r="AL1" s="10"/>
      <c r="AM1" s="10"/>
      <c r="AN1" s="10"/>
      <c r="AO1" s="10"/>
      <c r="AP1" s="10"/>
      <c r="AQ1" s="10"/>
      <c r="AR1" s="10"/>
      <c r="AS1" s="10"/>
      <c r="AT1" s="10"/>
    </row>
    <row r="2" spans="1:51" ht="15" customHeight="1" x14ac:dyDescent="0.25">
      <c r="A2" s="113" t="s">
        <v>19</v>
      </c>
      <c r="B2" s="10"/>
      <c r="C2" s="10"/>
      <c r="D2" s="296">
        <v>92.09</v>
      </c>
      <c r="E2" s="114" t="s">
        <v>18</v>
      </c>
      <c r="F2" s="10"/>
      <c r="G2" s="10"/>
      <c r="H2" s="115"/>
      <c r="I2" s="10"/>
      <c r="J2" s="10"/>
      <c r="K2" s="10"/>
      <c r="L2" s="10"/>
      <c r="M2" s="10"/>
      <c r="N2" s="10"/>
      <c r="O2" s="10"/>
      <c r="P2" s="10"/>
      <c r="Q2" s="10"/>
      <c r="R2" s="10"/>
      <c r="S2" s="10"/>
      <c r="T2" s="10"/>
      <c r="U2" s="10"/>
      <c r="V2" s="10"/>
      <c r="W2" s="10"/>
      <c r="X2" s="10"/>
      <c r="Y2" s="11"/>
      <c r="Z2" s="11"/>
      <c r="AA2" s="11"/>
      <c r="AB2" s="2276"/>
      <c r="AC2" s="11"/>
      <c r="AD2" s="11"/>
      <c r="AE2" s="11"/>
      <c r="AF2" s="11"/>
      <c r="AG2" s="10"/>
      <c r="AH2" s="10"/>
      <c r="AI2" s="10"/>
      <c r="AJ2" s="10"/>
      <c r="AK2" s="10"/>
      <c r="AL2" s="10"/>
      <c r="AM2" s="10"/>
      <c r="AN2" s="10"/>
      <c r="AO2" s="10"/>
      <c r="AP2" s="10"/>
      <c r="AQ2" s="10"/>
      <c r="AR2" s="10"/>
      <c r="AS2" s="10"/>
      <c r="AT2" s="10"/>
    </row>
    <row r="3" spans="1:51" ht="27" thickBot="1" x14ac:dyDescent="0.25">
      <c r="A3" s="116" t="s">
        <v>15</v>
      </c>
      <c r="B3" s="13"/>
      <c r="C3" s="13"/>
      <c r="D3" s="13" t="s">
        <v>16</v>
      </c>
      <c r="E3" s="14"/>
      <c r="F3" s="10"/>
      <c r="G3" s="10"/>
      <c r="H3" s="10"/>
      <c r="I3" s="10"/>
      <c r="J3" s="10"/>
      <c r="K3" s="10"/>
      <c r="L3" s="10"/>
      <c r="M3" s="10"/>
      <c r="N3" s="10"/>
      <c r="O3" s="10"/>
      <c r="P3" s="10"/>
      <c r="Q3" s="10"/>
      <c r="R3" s="10"/>
      <c r="S3" s="10"/>
      <c r="T3" s="10"/>
      <c r="U3" s="10"/>
      <c r="V3" s="10"/>
      <c r="W3" s="10"/>
      <c r="X3" s="10"/>
      <c r="Y3" s="11"/>
      <c r="Z3" s="11"/>
      <c r="AA3" s="11"/>
      <c r="AB3" s="2670" t="str">
        <f>'E-Tiltag'!I24</f>
        <v>STI2030</v>
      </c>
      <c r="AC3" s="11"/>
      <c r="AD3" s="11"/>
      <c r="AE3" s="11"/>
      <c r="AF3" s="11"/>
      <c r="AG3" s="10"/>
      <c r="AH3" s="10"/>
      <c r="AI3" s="10"/>
      <c r="AJ3" s="10"/>
      <c r="AK3" s="10"/>
      <c r="AL3" s="10"/>
      <c r="AM3" s="10"/>
      <c r="AN3" s="10"/>
      <c r="AO3" s="10"/>
      <c r="AP3" s="10"/>
      <c r="AQ3" s="10"/>
      <c r="AR3" s="10"/>
      <c r="AS3" s="10"/>
      <c r="AT3" s="10"/>
    </row>
    <row r="4" spans="1:51" ht="15" customHeight="1" x14ac:dyDescent="0.2">
      <c r="A4" s="10"/>
      <c r="B4" s="10"/>
      <c r="C4" s="10"/>
      <c r="D4" s="10"/>
      <c r="E4" s="10"/>
      <c r="F4" s="10"/>
      <c r="G4" s="10"/>
      <c r="H4" s="10"/>
      <c r="I4" s="10"/>
      <c r="J4" s="10"/>
      <c r="K4" s="10"/>
      <c r="L4" s="10"/>
      <c r="M4" s="10"/>
      <c r="N4" s="10"/>
      <c r="O4" s="10"/>
      <c r="P4" s="10"/>
      <c r="Q4" s="10"/>
      <c r="R4" s="10"/>
      <c r="S4" s="10"/>
      <c r="T4" s="10"/>
      <c r="U4" s="10"/>
      <c r="V4" s="10"/>
      <c r="W4" s="10"/>
      <c r="X4" s="10"/>
      <c r="Y4" s="11"/>
      <c r="Z4" s="11"/>
      <c r="AA4" s="11"/>
      <c r="AB4" s="2669"/>
      <c r="AC4" s="11"/>
      <c r="AD4" s="11"/>
      <c r="AE4" s="11"/>
      <c r="AF4" s="11"/>
      <c r="AG4" s="10"/>
      <c r="AH4" s="10"/>
      <c r="AI4" s="10"/>
      <c r="AJ4" s="10"/>
      <c r="AK4" s="10"/>
      <c r="AL4" s="10"/>
      <c r="AM4" s="10"/>
      <c r="AN4" s="10"/>
      <c r="AO4" s="10"/>
      <c r="AP4" s="10"/>
      <c r="AQ4" s="10"/>
      <c r="AR4" s="10"/>
      <c r="AS4" s="10"/>
      <c r="AT4" s="10"/>
    </row>
    <row r="5" spans="1:51" ht="15" customHeight="1" x14ac:dyDescent="0.2">
      <c r="A5" s="10"/>
      <c r="B5" s="10"/>
      <c r="C5" s="10"/>
      <c r="D5" s="10"/>
      <c r="E5" s="10"/>
      <c r="F5" s="10"/>
      <c r="G5" s="10"/>
      <c r="H5" s="10"/>
      <c r="I5" s="10"/>
      <c r="J5" s="10"/>
      <c r="K5" s="10"/>
      <c r="L5" s="10"/>
      <c r="M5" s="10"/>
      <c r="N5" s="10"/>
      <c r="O5" s="10"/>
      <c r="P5" s="10"/>
      <c r="Q5" s="10"/>
      <c r="R5" s="10"/>
      <c r="S5" s="10"/>
      <c r="T5" s="10"/>
      <c r="U5" s="10"/>
      <c r="V5" s="10"/>
      <c r="W5" s="10"/>
      <c r="X5" s="10"/>
      <c r="Y5" s="10"/>
      <c r="Z5" s="10"/>
      <c r="AA5" s="10"/>
      <c r="AC5" s="10"/>
      <c r="AD5" s="10"/>
      <c r="AE5" s="10"/>
      <c r="AF5" s="10"/>
      <c r="AG5" s="10"/>
      <c r="AH5" s="10"/>
      <c r="AI5" s="10"/>
      <c r="AJ5" s="10"/>
      <c r="AK5" s="10"/>
      <c r="AL5" s="10"/>
      <c r="AM5" s="10"/>
      <c r="AN5" s="10"/>
      <c r="AO5" s="10"/>
      <c r="AP5" s="10"/>
      <c r="AQ5" s="10"/>
      <c r="AR5" s="10"/>
      <c r="AS5" s="10"/>
      <c r="AT5" s="10"/>
    </row>
    <row r="6" spans="1:51" ht="15" customHeight="1" x14ac:dyDescent="0.25">
      <c r="A6" s="304" t="s">
        <v>0</v>
      </c>
      <c r="B6" s="304"/>
      <c r="C6" s="304"/>
      <c r="D6" s="304"/>
      <c r="E6" s="304"/>
      <c r="F6" s="304"/>
      <c r="G6" s="304"/>
      <c r="H6" s="304"/>
      <c r="I6" s="304"/>
      <c r="J6" s="304"/>
      <c r="K6" s="304"/>
      <c r="L6" s="304"/>
      <c r="M6" s="304"/>
      <c r="N6" s="304"/>
      <c r="O6" s="304"/>
      <c r="P6" s="304"/>
      <c r="Q6" s="304"/>
      <c r="R6" s="304"/>
      <c r="S6" s="304"/>
      <c r="T6" s="304"/>
      <c r="U6" s="304"/>
      <c r="V6" s="304"/>
      <c r="W6" s="304"/>
      <c r="X6" s="304"/>
      <c r="Y6" s="304"/>
      <c r="Z6" s="304"/>
      <c r="AA6" s="304"/>
      <c r="AB6" s="304" t="s">
        <v>20</v>
      </c>
      <c r="AC6" s="304" t="s">
        <v>61</v>
      </c>
      <c r="AD6" s="304"/>
      <c r="AE6" s="304"/>
      <c r="AF6" s="304"/>
      <c r="AG6" s="304" t="s">
        <v>22</v>
      </c>
      <c r="AH6" s="304"/>
      <c r="AI6" s="304" t="s">
        <v>21</v>
      </c>
      <c r="AJ6" s="304"/>
      <c r="AK6" s="117"/>
      <c r="AL6" s="304" t="s">
        <v>507</v>
      </c>
      <c r="AM6" s="304"/>
      <c r="AN6" s="304"/>
      <c r="AO6" s="304"/>
      <c r="AP6" s="304"/>
      <c r="AQ6" s="304"/>
      <c r="AR6" s="304"/>
      <c r="AS6" s="304"/>
      <c r="AT6" s="304"/>
    </row>
    <row r="7" spans="1:51" s="18" customFormat="1" ht="159.94999999999999" customHeight="1" thickBot="1" x14ac:dyDescent="0.65">
      <c r="A7" s="15" t="s">
        <v>31</v>
      </c>
      <c r="B7" s="16" t="s">
        <v>32</v>
      </c>
      <c r="C7" s="16" t="s">
        <v>33</v>
      </c>
      <c r="D7" s="16" t="s">
        <v>34</v>
      </c>
      <c r="E7" s="16" t="s">
        <v>35</v>
      </c>
      <c r="F7" s="16" t="s">
        <v>36</v>
      </c>
      <c r="G7" s="16" t="s">
        <v>37</v>
      </c>
      <c r="H7" s="16" t="s">
        <v>38</v>
      </c>
      <c r="I7" s="16" t="s">
        <v>39</v>
      </c>
      <c r="J7" s="287" t="s">
        <v>175</v>
      </c>
      <c r="K7" s="287" t="s">
        <v>176</v>
      </c>
      <c r="L7" s="287" t="s">
        <v>177</v>
      </c>
      <c r="M7" s="16" t="s">
        <v>40</v>
      </c>
      <c r="N7" s="16" t="s">
        <v>41</v>
      </c>
      <c r="O7" s="16" t="s">
        <v>42</v>
      </c>
      <c r="P7" s="16" t="s">
        <v>43</v>
      </c>
      <c r="Q7" s="16" t="s">
        <v>44</v>
      </c>
      <c r="R7" s="16" t="s">
        <v>45</v>
      </c>
      <c r="S7" s="16" t="s">
        <v>46</v>
      </c>
      <c r="T7" s="16" t="s">
        <v>47</v>
      </c>
      <c r="U7" s="16" t="s">
        <v>48</v>
      </c>
      <c r="V7" s="16" t="s">
        <v>49</v>
      </c>
      <c r="W7" s="16" t="s">
        <v>50</v>
      </c>
      <c r="X7" s="16" t="s">
        <v>51</v>
      </c>
      <c r="Y7" s="16" t="s">
        <v>52</v>
      </c>
      <c r="Z7" s="16" t="s">
        <v>53</v>
      </c>
      <c r="AA7" s="118" t="s">
        <v>54</v>
      </c>
      <c r="AB7" s="103"/>
      <c r="AC7" s="119" t="s">
        <v>55</v>
      </c>
      <c r="AD7" s="16" t="s">
        <v>56</v>
      </c>
      <c r="AE7" s="16" t="s">
        <v>57</v>
      </c>
      <c r="AF7" s="118" t="s">
        <v>58</v>
      </c>
      <c r="AG7" s="15" t="s">
        <v>59</v>
      </c>
      <c r="AH7" s="118" t="s">
        <v>60</v>
      </c>
      <c r="AI7" s="15" t="s">
        <v>59</v>
      </c>
      <c r="AJ7" s="118" t="s">
        <v>60</v>
      </c>
      <c r="AK7" s="17" t="s">
        <v>62</v>
      </c>
      <c r="AL7" s="120" t="s">
        <v>63</v>
      </c>
      <c r="AM7" s="16" t="s">
        <v>64</v>
      </c>
      <c r="AN7" s="16" t="s">
        <v>65</v>
      </c>
      <c r="AO7" s="16" t="s">
        <v>66</v>
      </c>
      <c r="AP7" s="16" t="s">
        <v>67</v>
      </c>
      <c r="AQ7" s="16" t="s">
        <v>68</v>
      </c>
      <c r="AR7" s="121" t="s">
        <v>69</v>
      </c>
      <c r="AS7" s="121" t="s">
        <v>70</v>
      </c>
      <c r="AT7" s="118" t="s">
        <v>71</v>
      </c>
    </row>
    <row r="8" spans="1:51" ht="15" customHeight="1" x14ac:dyDescent="0.2">
      <c r="A8" s="2633"/>
      <c r="B8" s="2339"/>
      <c r="C8" s="2339"/>
      <c r="D8" s="2339"/>
      <c r="E8" s="2339"/>
      <c r="F8" s="2339"/>
      <c r="G8" s="2339"/>
      <c r="H8" s="2339"/>
      <c r="I8" s="2339"/>
      <c r="J8" s="2531"/>
      <c r="K8" s="2531"/>
      <c r="L8" s="2531"/>
      <c r="M8" s="2339"/>
      <c r="N8" s="2339"/>
      <c r="O8" s="2339"/>
      <c r="P8" s="2339"/>
      <c r="Q8" s="2339"/>
      <c r="R8" s="2339"/>
      <c r="S8" s="2339"/>
      <c r="T8" s="2339"/>
      <c r="U8" s="2339"/>
      <c r="V8" s="2339"/>
      <c r="W8" s="2339"/>
      <c r="X8" s="2339"/>
      <c r="Y8" s="2339"/>
      <c r="Z8" s="2339"/>
      <c r="AA8" s="2348">
        <f t="shared" ref="AA8:AA27" si="0">SUM(A8:Z8)</f>
        <v>0</v>
      </c>
      <c r="AB8" s="2653" t="s">
        <v>178</v>
      </c>
      <c r="AC8" s="2633"/>
      <c r="AD8" s="2632">
        <v>84.9</v>
      </c>
      <c r="AE8" s="2339"/>
      <c r="AF8" s="2348"/>
      <c r="AG8" s="2633">
        <f>-AH8/$D$2%</f>
        <v>-48.539088547192456</v>
      </c>
      <c r="AH8" s="2648">
        <f>AK8/AD8%</f>
        <v>44.699646643109539</v>
      </c>
      <c r="AI8" s="2646"/>
      <c r="AJ8" s="2648"/>
      <c r="AK8" s="2664">
        <f t="shared" ref="AK8:AK39" si="1">SUM(AL8:AT8)</f>
        <v>37.950000000000003</v>
      </c>
      <c r="AL8" s="2685">
        <f>'E2020'!AL8+'E-Tiltag'!I35</f>
        <v>22.19</v>
      </c>
      <c r="AM8" s="298">
        <f>'E2020'!AM8</f>
        <v>3.03</v>
      </c>
      <c r="AN8" s="298">
        <f>'E2020'!AN8</f>
        <v>3.43</v>
      </c>
      <c r="AO8" s="298">
        <f>'E2020'!AO8</f>
        <v>3.93</v>
      </c>
      <c r="AP8" s="2684">
        <f>'E2020'!AP8+'E-Tiltag'!I121/AD8%</f>
        <v>0</v>
      </c>
      <c r="AQ8" s="298">
        <f>'E2020'!AQ8</f>
        <v>0</v>
      </c>
      <c r="AR8" s="298">
        <f>'E2020'!AR8</f>
        <v>0</v>
      </c>
      <c r="AS8" s="298">
        <f>'E2020'!AS8</f>
        <v>5.37</v>
      </c>
      <c r="AT8" s="299">
        <f>'E2020'!AT8</f>
        <v>0</v>
      </c>
    </row>
    <row r="9" spans="1:51" ht="15" customHeight="1" x14ac:dyDescent="0.2">
      <c r="A9" s="2633"/>
      <c r="B9" s="2339"/>
      <c r="C9" s="2339"/>
      <c r="D9" s="2339"/>
      <c r="E9" s="2339"/>
      <c r="F9" s="2339"/>
      <c r="G9" s="2339"/>
      <c r="H9" s="2339"/>
      <c r="I9" s="2339"/>
      <c r="J9" s="2531"/>
      <c r="K9" s="2531"/>
      <c r="L9" s="2531"/>
      <c r="M9" s="2339"/>
      <c r="N9" s="2339"/>
      <c r="O9" s="2339"/>
      <c r="P9" s="2339"/>
      <c r="Q9" s="2339"/>
      <c r="R9" s="2339"/>
      <c r="S9" s="2339"/>
      <c r="T9" s="2339"/>
      <c r="U9" s="2339"/>
      <c r="V9" s="2339"/>
      <c r="W9" s="2339"/>
      <c r="X9" s="2339"/>
      <c r="Y9" s="2339"/>
      <c r="Z9" s="2339"/>
      <c r="AA9" s="2348">
        <f t="shared" si="0"/>
        <v>0</v>
      </c>
      <c r="AB9" s="2653" t="s">
        <v>2</v>
      </c>
      <c r="AC9" s="2633"/>
      <c r="AD9" s="2339"/>
      <c r="AE9" s="2339">
        <v>90</v>
      </c>
      <c r="AF9" s="2348"/>
      <c r="AG9" s="2633">
        <f>-AH9/$D$2%</f>
        <v>-1.0641763492235856</v>
      </c>
      <c r="AH9" s="2648">
        <f>AK9/AE9%</f>
        <v>0.98</v>
      </c>
      <c r="AI9" s="2646"/>
      <c r="AJ9" s="2648"/>
      <c r="AK9" s="2664">
        <f t="shared" si="1"/>
        <v>0.88200000000000001</v>
      </c>
      <c r="AL9" s="2665">
        <f>'E2020'!AL9</f>
        <v>0.88200000000000001</v>
      </c>
      <c r="AM9" s="2531"/>
      <c r="AN9" s="2531"/>
      <c r="AO9" s="2531"/>
      <c r="AP9" s="2531"/>
      <c r="AQ9" s="2531"/>
      <c r="AR9" s="2531"/>
      <c r="AS9" s="2531"/>
      <c r="AT9" s="2648"/>
    </row>
    <row r="10" spans="1:51" ht="15" customHeight="1" x14ac:dyDescent="0.2">
      <c r="A10" s="2633"/>
      <c r="B10" s="2339"/>
      <c r="C10" s="2339"/>
      <c r="D10" s="2339"/>
      <c r="E10" s="2339"/>
      <c r="F10" s="2339"/>
      <c r="G10" s="2339"/>
      <c r="H10" s="2339"/>
      <c r="I10" s="2339"/>
      <c r="J10" s="2531"/>
      <c r="K10" s="2531"/>
      <c r="L10" s="2531"/>
      <c r="M10" s="2339"/>
      <c r="N10" s="2339"/>
      <c r="O10" s="2339"/>
      <c r="P10" s="2339"/>
      <c r="Q10" s="2339"/>
      <c r="R10" s="2339"/>
      <c r="S10" s="2339"/>
      <c r="T10" s="2339"/>
      <c r="U10" s="2339"/>
      <c r="V10" s="2339"/>
      <c r="W10" s="2339"/>
      <c r="X10" s="2339"/>
      <c r="Y10" s="2339"/>
      <c r="Z10" s="2339"/>
      <c r="AA10" s="2348">
        <f t="shared" si="0"/>
        <v>0</v>
      </c>
      <c r="AB10" s="2653" t="s">
        <v>3</v>
      </c>
      <c r="AC10" s="2633"/>
      <c r="AD10" s="2339"/>
      <c r="AE10" s="2339">
        <v>100</v>
      </c>
      <c r="AF10" s="2348"/>
      <c r="AG10" s="2633">
        <f>-AH10/$D$2%</f>
        <v>-5.0276903029644906</v>
      </c>
      <c r="AH10" s="2648">
        <f>AK10/AE10%</f>
        <v>4.63</v>
      </c>
      <c r="AI10" s="2646"/>
      <c r="AJ10" s="2648"/>
      <c r="AK10" s="2664">
        <f t="shared" si="1"/>
        <v>4.63</v>
      </c>
      <c r="AL10" s="2665">
        <f>'E2020'!AL10</f>
        <v>4.63</v>
      </c>
      <c r="AM10" s="2531"/>
      <c r="AN10" s="2531"/>
      <c r="AO10" s="2531"/>
      <c r="AP10" s="2531"/>
      <c r="AQ10" s="2531"/>
      <c r="AR10" s="2531"/>
      <c r="AS10" s="2531"/>
      <c r="AT10" s="2648"/>
    </row>
    <row r="11" spans="1:51" ht="15" customHeight="1" x14ac:dyDescent="0.2">
      <c r="A11" s="2633"/>
      <c r="B11" s="2531"/>
      <c r="C11" s="2339"/>
      <c r="D11" s="2339"/>
      <c r="E11" s="2339"/>
      <c r="F11" s="2339"/>
      <c r="G11" s="2339"/>
      <c r="H11" s="2339"/>
      <c r="I11" s="2339"/>
      <c r="J11" s="2531"/>
      <c r="K11" s="2531"/>
      <c r="L11" s="2531"/>
      <c r="M11" s="2339"/>
      <c r="N11" s="2339"/>
      <c r="O11" s="2339"/>
      <c r="P11" s="2339"/>
      <c r="Q11" s="2679">
        <f>AK11-AH11</f>
        <v>14.812288000000002</v>
      </c>
      <c r="R11" s="2339"/>
      <c r="S11" s="2339"/>
      <c r="T11" s="2339"/>
      <c r="U11" s="2339"/>
      <c r="V11" s="2339"/>
      <c r="W11" s="2339"/>
      <c r="X11" s="2339"/>
      <c r="Y11" s="2339"/>
      <c r="Z11" s="2339"/>
      <c r="AA11" s="2348">
        <f t="shared" si="0"/>
        <v>14.812288000000002</v>
      </c>
      <c r="AB11" s="2653" t="s">
        <v>23</v>
      </c>
      <c r="AC11" s="2633"/>
      <c r="AD11" s="2339"/>
      <c r="AE11" s="2339">
        <v>300</v>
      </c>
      <c r="AF11" s="2348"/>
      <c r="AG11" s="2633">
        <f>-AH11/$D$2%</f>
        <v>-8.0422890650450647</v>
      </c>
      <c r="AH11" s="2676">
        <f>'E2020'!AH11*(1+'E-Tiltag'!$I$47)+(('E-Tiltag'!I59+'E-Tiltag'!I78)/AE11%)</f>
        <v>7.4061440000000012</v>
      </c>
      <c r="AI11" s="2646"/>
      <c r="AJ11" s="2648"/>
      <c r="AK11" s="2664">
        <f t="shared" si="1"/>
        <v>22.218432000000004</v>
      </c>
      <c r="AL11" s="2683">
        <f>AH11*AE11%</f>
        <v>22.218432000000004</v>
      </c>
      <c r="AM11" s="2531"/>
      <c r="AN11" s="2531"/>
      <c r="AO11" s="2531"/>
      <c r="AP11" s="2531"/>
      <c r="AQ11" s="2531"/>
      <c r="AR11" s="2531"/>
      <c r="AS11" s="2531"/>
      <c r="AT11" s="2648"/>
    </row>
    <row r="12" spans="1:51" ht="15" customHeight="1" x14ac:dyDescent="0.2">
      <c r="A12" s="2665">
        <f>AC12%*AG12</f>
        <v>74.488076754844627</v>
      </c>
      <c r="B12" s="2531"/>
      <c r="C12" s="2339"/>
      <c r="D12" s="2339"/>
      <c r="E12" s="2339"/>
      <c r="F12" s="2339"/>
      <c r="G12" s="2339"/>
      <c r="H12" s="2339"/>
      <c r="I12" s="2339"/>
      <c r="J12" s="2531"/>
      <c r="K12" s="2531"/>
      <c r="L12" s="2531"/>
      <c r="M12" s="2339"/>
      <c r="N12" s="2339"/>
      <c r="O12" s="2339"/>
      <c r="P12" s="2339"/>
      <c r="Q12" s="2339"/>
      <c r="R12" s="2339"/>
      <c r="S12" s="2339"/>
      <c r="T12" s="2339"/>
      <c r="U12" s="2339"/>
      <c r="V12" s="2339"/>
      <c r="W12" s="2339"/>
      <c r="X12" s="2339"/>
      <c r="Y12" s="2339"/>
      <c r="Z12" s="2339"/>
      <c r="AA12" s="2348">
        <f t="shared" si="0"/>
        <v>74.488076754844627</v>
      </c>
      <c r="AB12" s="2653" t="s">
        <v>10</v>
      </c>
      <c r="AC12" s="2633">
        <v>100</v>
      </c>
      <c r="AD12" s="2339"/>
      <c r="AE12" s="2339"/>
      <c r="AF12" s="2348"/>
      <c r="AG12" s="2633">
        <f>-SUM(AG13:AG80,AG8:AG11)</f>
        <v>74.488076754844627</v>
      </c>
      <c r="AH12" s="2648"/>
      <c r="AI12" s="2646"/>
      <c r="AJ12" s="2648"/>
      <c r="AK12" s="2664">
        <f t="shared" si="1"/>
        <v>0</v>
      </c>
      <c r="AL12" s="2646"/>
      <c r="AM12" s="2531"/>
      <c r="AN12" s="2531"/>
      <c r="AO12" s="2531"/>
      <c r="AP12" s="2531"/>
      <c r="AQ12" s="2531"/>
      <c r="AR12" s="2531"/>
      <c r="AS12" s="2531"/>
      <c r="AT12" s="2648"/>
    </row>
    <row r="13" spans="1:51" ht="15" customHeight="1" x14ac:dyDescent="0.2">
      <c r="A13" s="122"/>
      <c r="B13" s="1679">
        <f>'E2020'!B13</f>
        <v>0.81</v>
      </c>
      <c r="C13" s="1679"/>
      <c r="D13" s="1679"/>
      <c r="E13" s="26"/>
      <c r="F13" s="26"/>
      <c r="G13" s="26"/>
      <c r="H13" s="26"/>
      <c r="I13" s="26"/>
      <c r="J13" s="2531"/>
      <c r="K13" s="2531"/>
      <c r="L13" s="2531"/>
      <c r="M13" s="1679"/>
      <c r="N13" s="1679"/>
      <c r="O13" s="1679"/>
      <c r="P13" s="1679"/>
      <c r="Q13" s="1679"/>
      <c r="R13" s="1679"/>
      <c r="S13" s="1679"/>
      <c r="T13" s="1679"/>
      <c r="U13" s="1679"/>
      <c r="V13" s="1679"/>
      <c r="W13" s="1679"/>
      <c r="X13" s="1679"/>
      <c r="Y13" s="1679"/>
      <c r="Z13" s="1679"/>
      <c r="AA13" s="2348">
        <f t="shared" si="0"/>
        <v>0.81</v>
      </c>
      <c r="AB13" s="123" t="s">
        <v>29</v>
      </c>
      <c r="AC13" s="513"/>
      <c r="AD13" s="1679"/>
      <c r="AE13" s="26">
        <v>38</v>
      </c>
      <c r="AF13" s="27"/>
      <c r="AG13" s="513"/>
      <c r="AH13" s="27"/>
      <c r="AI13" s="513"/>
      <c r="AJ13" s="27"/>
      <c r="AK13" s="2631">
        <f t="shared" si="1"/>
        <v>0.30780000000000002</v>
      </c>
      <c r="AL13" s="2663">
        <f>AA13*AE13%*20%</f>
        <v>6.1560000000000004E-2</v>
      </c>
      <c r="AM13" s="26"/>
      <c r="AN13" s="26"/>
      <c r="AO13" s="26"/>
      <c r="AP13" s="26"/>
      <c r="AQ13" s="26">
        <f>AA13*AE13%*60%</f>
        <v>0.18468000000000001</v>
      </c>
      <c r="AR13" s="26"/>
      <c r="AS13" s="26"/>
      <c r="AT13" s="300">
        <f>AA13*AE13%*20%</f>
        <v>6.1560000000000004E-2</v>
      </c>
    </row>
    <row r="14" spans="1:51" ht="15" customHeight="1" x14ac:dyDescent="0.2">
      <c r="A14" s="2633"/>
      <c r="B14" s="2531"/>
      <c r="C14" s="2339"/>
      <c r="D14" s="2339"/>
      <c r="E14" s="2680">
        <f>'E-Tiltag'!I52*(1+'E-Tiltag'!$I$47)</f>
        <v>2.7737731999999995</v>
      </c>
      <c r="F14" s="2531"/>
      <c r="G14" s="2531"/>
      <c r="H14" s="2531"/>
      <c r="I14" s="2531"/>
      <c r="J14" s="2531"/>
      <c r="K14" s="2531"/>
      <c r="L14" s="2531"/>
      <c r="M14" s="2339"/>
      <c r="N14" s="2339"/>
      <c r="O14" s="2339"/>
      <c r="P14" s="2339"/>
      <c r="Q14" s="2531"/>
      <c r="R14" s="2531"/>
      <c r="S14" s="2531"/>
      <c r="T14" s="2531"/>
      <c r="U14" s="2531"/>
      <c r="V14" s="2531"/>
      <c r="W14" s="2531"/>
      <c r="X14" s="2531"/>
      <c r="Y14" s="2531"/>
      <c r="Z14" s="2531"/>
      <c r="AA14" s="2348">
        <f t="shared" si="0"/>
        <v>2.7737731999999995</v>
      </c>
      <c r="AB14" s="2653" t="s">
        <v>209</v>
      </c>
      <c r="AC14" s="2633"/>
      <c r="AD14" s="2339"/>
      <c r="AE14" s="2531">
        <v>80</v>
      </c>
      <c r="AF14" s="2348"/>
      <c r="AG14" s="2633"/>
      <c r="AH14" s="2348"/>
      <c r="AI14" s="2633"/>
      <c r="AJ14" s="2348"/>
      <c r="AK14" s="2631">
        <f t="shared" si="1"/>
        <v>2.2190185599999999</v>
      </c>
      <c r="AL14" s="2346">
        <f t="shared" ref="AL14:AL19" si="2">AA14*AE14%</f>
        <v>2.2190185599999999</v>
      </c>
      <c r="AM14" s="2339"/>
      <c r="AN14" s="2339"/>
      <c r="AO14" s="2339"/>
      <c r="AP14" s="2339"/>
      <c r="AQ14" s="2339"/>
      <c r="AR14" s="2339"/>
      <c r="AS14" s="2339"/>
      <c r="AT14" s="2348"/>
      <c r="AY14" s="23"/>
    </row>
    <row r="15" spans="1:51" ht="15" customHeight="1" x14ac:dyDescent="0.2">
      <c r="A15" s="2633"/>
      <c r="B15" s="2531"/>
      <c r="C15" s="2339"/>
      <c r="D15" s="2339"/>
      <c r="E15" s="2531"/>
      <c r="F15" s="2531"/>
      <c r="G15" s="2531"/>
      <c r="H15" s="2531"/>
      <c r="I15" s="2680">
        <f>'E-Tiltag'!I66*(1+'E-Tiltag'!$I$47)</f>
        <v>0</v>
      </c>
      <c r="J15" s="2632"/>
      <c r="K15" s="2632"/>
      <c r="L15" s="2632"/>
      <c r="M15" s="2339"/>
      <c r="N15" s="2339"/>
      <c r="O15" s="2339"/>
      <c r="P15" s="2339"/>
      <c r="Q15" s="2531"/>
      <c r="R15" s="2531"/>
      <c r="S15" s="2531"/>
      <c r="T15" s="2531"/>
      <c r="U15" s="2531"/>
      <c r="V15" s="2531"/>
      <c r="W15" s="2531"/>
      <c r="X15" s="2531"/>
      <c r="Y15" s="2531"/>
      <c r="Z15" s="2531"/>
      <c r="AA15" s="2348">
        <f t="shared" si="0"/>
        <v>0</v>
      </c>
      <c r="AB15" s="2653" t="s">
        <v>210</v>
      </c>
      <c r="AC15" s="2633"/>
      <c r="AD15" s="2339"/>
      <c r="AE15" s="2531">
        <v>85</v>
      </c>
      <c r="AF15" s="2348"/>
      <c r="AG15" s="2633"/>
      <c r="AH15" s="2348"/>
      <c r="AI15" s="2633"/>
      <c r="AJ15" s="2348"/>
      <c r="AK15" s="2631">
        <f t="shared" si="1"/>
        <v>0</v>
      </c>
      <c r="AL15" s="2346">
        <f t="shared" si="2"/>
        <v>0</v>
      </c>
      <c r="AM15" s="2339"/>
      <c r="AN15" s="2339"/>
      <c r="AO15" s="2339"/>
      <c r="AP15" s="2339"/>
      <c r="AQ15" s="2339"/>
      <c r="AR15" s="2339"/>
      <c r="AS15" s="2339"/>
      <c r="AT15" s="2348"/>
      <c r="AY15" s="23"/>
    </row>
    <row r="16" spans="1:51" ht="15" customHeight="1" x14ac:dyDescent="0.2">
      <c r="A16" s="2633"/>
      <c r="B16" s="2339"/>
      <c r="C16" s="2339"/>
      <c r="D16" s="2339"/>
      <c r="E16" s="2339"/>
      <c r="F16" s="2339"/>
      <c r="G16" s="2339"/>
      <c r="H16" s="2339"/>
      <c r="I16" s="2531"/>
      <c r="J16" s="2531"/>
      <c r="K16" s="2531"/>
      <c r="L16" s="2531"/>
      <c r="M16" s="2339"/>
      <c r="N16" s="2339"/>
      <c r="O16" s="2339"/>
      <c r="P16" s="2339"/>
      <c r="Q16" s="2531"/>
      <c r="R16" s="2531"/>
      <c r="S16" s="2531"/>
      <c r="T16" s="2531"/>
      <c r="U16" s="2531"/>
      <c r="V16" s="2679">
        <f>'E2020'!V16*(1+'E-Tiltag'!$I$47)+('E-Tiltag'!$I$60)/AE16%</f>
        <v>17.295099999999998</v>
      </c>
      <c r="W16" s="2531"/>
      <c r="X16" s="2531"/>
      <c r="Y16" s="2531"/>
      <c r="Z16" s="2531"/>
      <c r="AA16" s="2348">
        <f t="shared" si="0"/>
        <v>17.295099999999998</v>
      </c>
      <c r="AB16" s="2653" t="s">
        <v>211</v>
      </c>
      <c r="AC16" s="2633"/>
      <c r="AD16" s="2339"/>
      <c r="AE16" s="2531">
        <v>75</v>
      </c>
      <c r="AF16" s="2348"/>
      <c r="AG16" s="2633"/>
      <c r="AH16" s="2348"/>
      <c r="AI16" s="2633"/>
      <c r="AJ16" s="2348"/>
      <c r="AK16" s="2631">
        <f t="shared" si="1"/>
        <v>12.971324999999998</v>
      </c>
      <c r="AL16" s="2346">
        <f t="shared" si="2"/>
        <v>12.971324999999998</v>
      </c>
      <c r="AM16" s="2339"/>
      <c r="AN16" s="2339"/>
      <c r="AO16" s="2339"/>
      <c r="AP16" s="2339"/>
      <c r="AQ16" s="2339"/>
      <c r="AR16" s="2339"/>
      <c r="AS16" s="2339"/>
      <c r="AT16" s="2348"/>
      <c r="AY16" s="23"/>
    </row>
    <row r="17" spans="1:51" ht="15" customHeight="1" x14ac:dyDescent="0.2">
      <c r="A17" s="2633"/>
      <c r="B17" s="2339"/>
      <c r="C17" s="2339"/>
      <c r="D17" s="2339"/>
      <c r="E17" s="2339"/>
      <c r="F17" s="2339"/>
      <c r="G17" s="2339"/>
      <c r="H17" s="2339"/>
      <c r="I17" s="2531"/>
      <c r="J17" s="2531"/>
      <c r="K17" s="2531"/>
      <c r="L17" s="2531"/>
      <c r="M17" s="2339"/>
      <c r="N17" s="2339"/>
      <c r="O17" s="2339"/>
      <c r="P17" s="2339"/>
      <c r="Q17" s="2531"/>
      <c r="R17" s="2531"/>
      <c r="S17" s="2531"/>
      <c r="T17" s="2531"/>
      <c r="U17" s="2675">
        <f>'E2020'!U17*(1+'E-Tiltag'!$I$47)</f>
        <v>48.247799999999998</v>
      </c>
      <c r="V17" s="2531"/>
      <c r="W17" s="2531"/>
      <c r="X17" s="2531"/>
      <c r="Y17" s="2531"/>
      <c r="Z17" s="2531"/>
      <c r="AA17" s="2348">
        <f t="shared" si="0"/>
        <v>48.247799999999998</v>
      </c>
      <c r="AB17" s="2653" t="s">
        <v>212</v>
      </c>
      <c r="AC17" s="2633"/>
      <c r="AD17" s="2339"/>
      <c r="AE17" s="2531">
        <v>65</v>
      </c>
      <c r="AF17" s="2348"/>
      <c r="AG17" s="2633"/>
      <c r="AH17" s="2348"/>
      <c r="AI17" s="2633"/>
      <c r="AJ17" s="2348"/>
      <c r="AK17" s="2631">
        <f t="shared" si="1"/>
        <v>31.361070000000002</v>
      </c>
      <c r="AL17" s="2346">
        <f t="shared" si="2"/>
        <v>31.361070000000002</v>
      </c>
      <c r="AM17" s="2339"/>
      <c r="AN17" s="2339"/>
      <c r="AO17" s="2339"/>
      <c r="AP17" s="2339"/>
      <c r="AQ17" s="2339"/>
      <c r="AR17" s="2339"/>
      <c r="AS17" s="2339"/>
      <c r="AT17" s="2348"/>
      <c r="AV17" s="23"/>
    </row>
    <row r="18" spans="1:51" ht="15" customHeight="1" x14ac:dyDescent="0.2">
      <c r="A18" s="2633"/>
      <c r="B18" s="2339"/>
      <c r="C18" s="2339"/>
      <c r="D18" s="2339"/>
      <c r="E18" s="2339"/>
      <c r="F18" s="2339"/>
      <c r="G18" s="2339"/>
      <c r="H18" s="2339"/>
      <c r="I18" s="2531"/>
      <c r="J18" s="2531"/>
      <c r="K18" s="2531"/>
      <c r="L18" s="2531"/>
      <c r="M18" s="2339"/>
      <c r="N18" s="2339"/>
      <c r="O18" s="2339"/>
      <c r="P18" s="2339"/>
      <c r="Q18" s="2531"/>
      <c r="R18" s="2531"/>
      <c r="S18" s="2531"/>
      <c r="T18" s="2675">
        <f>'E2020'!T18*(1+'E-Tiltag'!$I$47)</f>
        <v>8.8366999999999987</v>
      </c>
      <c r="U18" s="2531"/>
      <c r="V18" s="2531"/>
      <c r="W18" s="2531"/>
      <c r="X18" s="2531"/>
      <c r="Y18" s="2531"/>
      <c r="Z18" s="2531"/>
      <c r="AA18" s="2348">
        <f t="shared" si="0"/>
        <v>8.8366999999999987</v>
      </c>
      <c r="AB18" s="2653" t="s">
        <v>213</v>
      </c>
      <c r="AC18" s="2633"/>
      <c r="AD18" s="2339"/>
      <c r="AE18" s="2531">
        <v>65</v>
      </c>
      <c r="AF18" s="2348"/>
      <c r="AG18" s="2633"/>
      <c r="AH18" s="2348"/>
      <c r="AI18" s="2633"/>
      <c r="AJ18" s="2348"/>
      <c r="AK18" s="2631">
        <f t="shared" si="1"/>
        <v>5.743854999999999</v>
      </c>
      <c r="AL18" s="2346">
        <f t="shared" si="2"/>
        <v>5.743854999999999</v>
      </c>
      <c r="AM18" s="2339"/>
      <c r="AN18" s="2339"/>
      <c r="AO18" s="2339"/>
      <c r="AP18" s="2339"/>
      <c r="AQ18" s="2339"/>
      <c r="AR18" s="2339"/>
      <c r="AS18" s="2339"/>
      <c r="AT18" s="2348"/>
      <c r="AV18" s="23"/>
    </row>
    <row r="19" spans="1:51" ht="15" customHeight="1" x14ac:dyDescent="0.2">
      <c r="A19" s="2633"/>
      <c r="B19" s="2339"/>
      <c r="C19" s="2339"/>
      <c r="D19" s="2339"/>
      <c r="E19" s="2339"/>
      <c r="F19" s="2339"/>
      <c r="G19" s="2339"/>
      <c r="H19" s="2339"/>
      <c r="I19" s="2531"/>
      <c r="J19" s="2531"/>
      <c r="K19" s="2531"/>
      <c r="L19" s="2531"/>
      <c r="M19" s="2339"/>
      <c r="N19" s="2339"/>
      <c r="O19" s="2675">
        <f>'E2020'!O19*(1+'E-Tiltag'!$I$47)</f>
        <v>0.91179999999999994</v>
      </c>
      <c r="P19" s="2339"/>
      <c r="Q19" s="2531"/>
      <c r="R19" s="2531"/>
      <c r="S19" s="2531"/>
      <c r="T19" s="2531"/>
      <c r="U19" s="2531"/>
      <c r="V19" s="2531"/>
      <c r="W19" s="2531"/>
      <c r="X19" s="2531"/>
      <c r="Y19" s="2531"/>
      <c r="Z19" s="2531"/>
      <c r="AA19" s="2348">
        <f t="shared" si="0"/>
        <v>0.91179999999999994</v>
      </c>
      <c r="AB19" s="2653" t="s">
        <v>214</v>
      </c>
      <c r="AC19" s="2633"/>
      <c r="AD19" s="2339"/>
      <c r="AE19" s="2339">
        <v>100</v>
      </c>
      <c r="AF19" s="2348"/>
      <c r="AG19" s="2633"/>
      <c r="AH19" s="2348"/>
      <c r="AI19" s="2633"/>
      <c r="AJ19" s="2348"/>
      <c r="AK19" s="2631">
        <f t="shared" si="1"/>
        <v>0.91179999999999994</v>
      </c>
      <c r="AL19" s="2346">
        <f t="shared" si="2"/>
        <v>0.91179999999999994</v>
      </c>
      <c r="AM19" s="2339"/>
      <c r="AN19" s="2339"/>
      <c r="AO19" s="2339"/>
      <c r="AP19" s="2339"/>
      <c r="AQ19" s="2339"/>
      <c r="AR19" s="2339"/>
      <c r="AS19" s="2339"/>
      <c r="AT19" s="2348"/>
      <c r="AY19" s="23"/>
    </row>
    <row r="20" spans="1:51" ht="15" customHeight="1" x14ac:dyDescent="0.2">
      <c r="A20" s="2633"/>
      <c r="B20" s="2339"/>
      <c r="C20" s="2531"/>
      <c r="D20" s="2339"/>
      <c r="E20" s="2679">
        <f>'E2020'!E20*(1-'E-Tiltag'!$I$112)</f>
        <v>0</v>
      </c>
      <c r="F20" s="2339"/>
      <c r="G20" s="2339"/>
      <c r="H20" s="2531"/>
      <c r="I20" s="2531"/>
      <c r="J20" s="2531"/>
      <c r="K20" s="2531"/>
      <c r="L20" s="2531"/>
      <c r="M20" s="2531"/>
      <c r="N20" s="1679"/>
      <c r="O20" s="2531"/>
      <c r="P20" s="2531"/>
      <c r="Q20" s="2531"/>
      <c r="R20" s="2531"/>
      <c r="S20" s="2531"/>
      <c r="T20" s="2531"/>
      <c r="U20" s="2531"/>
      <c r="V20" s="2531"/>
      <c r="W20" s="2531"/>
      <c r="X20" s="2531"/>
      <c r="Y20" s="2531"/>
      <c r="Z20" s="2531"/>
      <c r="AA20" s="2348">
        <f t="shared" si="0"/>
        <v>0</v>
      </c>
      <c r="AB20" s="2653" t="s">
        <v>24</v>
      </c>
      <c r="AC20" s="2633"/>
      <c r="AD20" s="2339">
        <v>90</v>
      </c>
      <c r="AE20" s="2339"/>
      <c r="AF20" s="2348"/>
      <c r="AG20" s="2633"/>
      <c r="AH20" s="2348"/>
      <c r="AI20" s="2633"/>
      <c r="AJ20" s="2348"/>
      <c r="AK20" s="2631">
        <f t="shared" si="1"/>
        <v>0</v>
      </c>
      <c r="AL20" s="2346"/>
      <c r="AM20" s="2339"/>
      <c r="AN20" s="2339"/>
      <c r="AO20" s="2339"/>
      <c r="AP20" s="2339"/>
      <c r="AQ20" s="2339">
        <f>AA20*AD20%</f>
        <v>0</v>
      </c>
      <c r="AR20" s="2339"/>
      <c r="AS20" s="2339"/>
      <c r="AT20" s="2348"/>
      <c r="AV20" s="23"/>
    </row>
    <row r="21" spans="1:51" ht="15" customHeight="1" x14ac:dyDescent="0.2">
      <c r="A21" s="2633"/>
      <c r="B21" s="2339"/>
      <c r="C21" s="2531"/>
      <c r="D21" s="2339"/>
      <c r="E21" s="2339"/>
      <c r="F21" s="2339"/>
      <c r="G21" s="2339"/>
      <c r="H21" s="2339"/>
      <c r="I21" s="2680">
        <f>'E-Tiltag'!I89</f>
        <v>0</v>
      </c>
      <c r="J21" s="2531"/>
      <c r="K21" s="2531"/>
      <c r="L21" s="2531"/>
      <c r="M21" s="2531"/>
      <c r="N21" s="2531"/>
      <c r="O21" s="2531"/>
      <c r="P21" s="2531"/>
      <c r="Q21" s="2531"/>
      <c r="R21" s="2531"/>
      <c r="S21" s="2531"/>
      <c r="T21" s="2531"/>
      <c r="U21" s="2531"/>
      <c r="V21" s="2531"/>
      <c r="W21" s="2531"/>
      <c r="X21" s="2531"/>
      <c r="Y21" s="2531"/>
      <c r="Z21" s="2531"/>
      <c r="AA21" s="2348">
        <f t="shared" si="0"/>
        <v>0</v>
      </c>
      <c r="AB21" s="2653" t="s">
        <v>25</v>
      </c>
      <c r="AC21" s="2633"/>
      <c r="AD21" s="2339">
        <v>90</v>
      </c>
      <c r="AE21" s="2339"/>
      <c r="AF21" s="2348"/>
      <c r="AG21" s="2633"/>
      <c r="AH21" s="2348"/>
      <c r="AI21" s="2633"/>
      <c r="AJ21" s="2348"/>
      <c r="AK21" s="2631">
        <f t="shared" si="1"/>
        <v>0</v>
      </c>
      <c r="AL21" s="2346"/>
      <c r="AM21" s="2339"/>
      <c r="AN21" s="2339"/>
      <c r="AO21" s="2339"/>
      <c r="AP21" s="2339"/>
      <c r="AQ21" s="2339">
        <f>AA21*AD21%</f>
        <v>0</v>
      </c>
      <c r="AR21" s="2339"/>
      <c r="AS21" s="2339"/>
      <c r="AT21" s="2348"/>
      <c r="AV21" s="23"/>
    </row>
    <row r="22" spans="1:51" ht="15" customHeight="1" x14ac:dyDescent="0.2">
      <c r="A22" s="2633"/>
      <c r="B22" s="2680">
        <f>'E2020'!B22*(1-'E-Tiltag'!$I$113)</f>
        <v>0</v>
      </c>
      <c r="C22" s="2680">
        <f>'E2020'!C22*(1-'E-Tiltag'!$I$113)</f>
        <v>0</v>
      </c>
      <c r="D22" s="2680">
        <f>'E2020'!D22*(1-'E-Tiltag'!$I$113)</f>
        <v>0</v>
      </c>
      <c r="E22" s="2680">
        <f>'E2020'!E22*(1-'E-Tiltag'!$I$113)</f>
        <v>0</v>
      </c>
      <c r="F22" s="2680">
        <f>'E2020'!F22*(1-'E-Tiltag'!$I$113)</f>
        <v>0</v>
      </c>
      <c r="G22" s="2680">
        <f>'E2020'!G22*(1-'E-Tiltag'!$I$113)</f>
        <v>0</v>
      </c>
      <c r="H22" s="2680">
        <f>'E2020'!H22*(1-'E-Tiltag'!$I$113)</f>
        <v>0</v>
      </c>
      <c r="I22" s="2680">
        <f>'E2020'!I22*(1-'E-Tiltag'!$I$113)+'E-Tiltag'!$I$123</f>
        <v>0</v>
      </c>
      <c r="J22" s="2531"/>
      <c r="K22" s="2531"/>
      <c r="L22" s="2531"/>
      <c r="M22" s="2531"/>
      <c r="N22" s="2531"/>
      <c r="O22" s="2531"/>
      <c r="P22" s="2531"/>
      <c r="Q22" s="2531"/>
      <c r="R22" s="2531">
        <v>0</v>
      </c>
      <c r="S22" s="2531">
        <v>0</v>
      </c>
      <c r="T22" s="2531">
        <v>0</v>
      </c>
      <c r="U22" s="2675">
        <f>'E2020'!U22+'E-Tiltag'!$I$122</f>
        <v>0</v>
      </c>
      <c r="V22" s="2531">
        <f>'E2020'!V22</f>
        <v>10</v>
      </c>
      <c r="W22" s="2632">
        <v>0</v>
      </c>
      <c r="X22" s="2632">
        <v>0</v>
      </c>
      <c r="Y22" s="2632">
        <v>0</v>
      </c>
      <c r="Z22" s="2632">
        <v>0</v>
      </c>
      <c r="AA22" s="2348">
        <f t="shared" si="0"/>
        <v>10</v>
      </c>
      <c r="AB22" s="2653" t="s">
        <v>512</v>
      </c>
      <c r="AC22" s="2633"/>
      <c r="AD22" s="2339">
        <v>90</v>
      </c>
      <c r="AE22" s="2339"/>
      <c r="AF22" s="2348"/>
      <c r="AG22" s="2633"/>
      <c r="AH22" s="2348"/>
      <c r="AI22" s="2633"/>
      <c r="AJ22" s="2348"/>
      <c r="AK22" s="2631">
        <f t="shared" si="1"/>
        <v>9</v>
      </c>
      <c r="AL22" s="2655"/>
      <c r="AM22" s="2531"/>
      <c r="AN22" s="2531"/>
      <c r="AO22" s="2531"/>
      <c r="AP22" s="2531"/>
      <c r="AQ22" s="2531">
        <f>AA22*AD22%</f>
        <v>9</v>
      </c>
      <c r="AR22" s="2531"/>
      <c r="AS22" s="2531"/>
      <c r="AT22" s="2348"/>
      <c r="AY22" s="23"/>
    </row>
    <row r="23" spans="1:51" ht="15" customHeight="1" x14ac:dyDescent="0.2">
      <c r="A23" s="2633"/>
      <c r="B23" s="2339"/>
      <c r="C23" s="2339"/>
      <c r="D23" s="2339"/>
      <c r="E23" s="2339"/>
      <c r="F23" s="2339"/>
      <c r="G23" s="2339"/>
      <c r="H23" s="2531"/>
      <c r="I23" s="2531"/>
      <c r="J23" s="2531"/>
      <c r="K23" s="2531"/>
      <c r="L23" s="2531"/>
      <c r="M23" s="2531"/>
      <c r="N23" s="2531"/>
      <c r="O23" s="2680">
        <f>'E2020'!O23+'E-Tiltag'!U40</f>
        <v>26.16</v>
      </c>
      <c r="P23" s="2531"/>
      <c r="Q23" s="2531"/>
      <c r="R23" s="2531"/>
      <c r="S23" s="2531"/>
      <c r="T23" s="2531"/>
      <c r="U23" s="2531"/>
      <c r="V23" s="2531"/>
      <c r="W23" s="2531"/>
      <c r="X23" s="2531"/>
      <c r="Y23" s="2531"/>
      <c r="Z23" s="2531"/>
      <c r="AA23" s="2348">
        <f t="shared" si="0"/>
        <v>26.16</v>
      </c>
      <c r="AB23" s="2653" t="s">
        <v>14</v>
      </c>
      <c r="AC23" s="2339">
        <v>100</v>
      </c>
      <c r="AD23" s="2339"/>
      <c r="AE23" s="2339"/>
      <c r="AF23" s="2348"/>
      <c r="AG23" s="2633">
        <f>AA23*AC23/100</f>
        <v>26.16</v>
      </c>
      <c r="AH23" s="2348"/>
      <c r="AI23" s="2633"/>
      <c r="AJ23" s="2348"/>
      <c r="AK23" s="2631">
        <f t="shared" si="1"/>
        <v>0</v>
      </c>
      <c r="AL23" s="2655"/>
      <c r="AM23" s="2531"/>
      <c r="AN23" s="2531"/>
      <c r="AO23" s="2531"/>
      <c r="AP23" s="2531"/>
      <c r="AQ23" s="2531"/>
      <c r="AR23" s="2531"/>
      <c r="AS23" s="2531"/>
      <c r="AT23" s="2348"/>
      <c r="AV23" s="23"/>
    </row>
    <row r="24" spans="1:51" ht="15" customHeight="1" x14ac:dyDescent="0.2">
      <c r="A24" s="2633"/>
      <c r="B24" s="2339"/>
      <c r="C24" s="2339"/>
      <c r="D24" s="2339"/>
      <c r="E24" s="2339"/>
      <c r="F24" s="2339"/>
      <c r="G24" s="2339"/>
      <c r="H24" s="2531"/>
      <c r="I24" s="2531"/>
      <c r="J24" s="2658"/>
      <c r="K24" s="2531"/>
      <c r="L24" s="2531"/>
      <c r="M24" s="2675">
        <f>'E-Tiltag'!U12+'E-Tiltag'!U21</f>
        <v>0</v>
      </c>
      <c r="N24" s="2531"/>
      <c r="O24" s="2531"/>
      <c r="P24" s="2531"/>
      <c r="Q24" s="2531"/>
      <c r="R24" s="2531"/>
      <c r="S24" s="2531"/>
      <c r="T24" s="2531"/>
      <c r="U24" s="2531"/>
      <c r="V24" s="2531"/>
      <c r="W24" s="2531"/>
      <c r="X24" s="2531"/>
      <c r="Y24" s="2531"/>
      <c r="Z24" s="2531"/>
      <c r="AA24" s="2348">
        <f t="shared" si="0"/>
        <v>0</v>
      </c>
      <c r="AB24" s="2653" t="s">
        <v>26</v>
      </c>
      <c r="AC24" s="2339">
        <v>100</v>
      </c>
      <c r="AD24" s="2339"/>
      <c r="AE24" s="2339"/>
      <c r="AF24" s="2348"/>
      <c r="AG24" s="2633">
        <f>AC24*AA24/100</f>
        <v>0</v>
      </c>
      <c r="AH24" s="2348"/>
      <c r="AI24" s="2633"/>
      <c r="AJ24" s="2348"/>
      <c r="AK24" s="2631">
        <f t="shared" si="1"/>
        <v>0</v>
      </c>
      <c r="AL24" s="2655"/>
      <c r="AM24" s="2531"/>
      <c r="AN24" s="2531"/>
      <c r="AO24" s="2531"/>
      <c r="AP24" s="2531"/>
      <c r="AQ24" s="2531"/>
      <c r="AR24" s="2531"/>
      <c r="AS24" s="2531"/>
      <c r="AT24" s="2348"/>
      <c r="AU24" s="29"/>
      <c r="AV24" s="23"/>
    </row>
    <row r="25" spans="1:51" ht="15" customHeight="1" x14ac:dyDescent="0.2">
      <c r="A25" s="2633"/>
      <c r="B25" s="2339"/>
      <c r="C25" s="2339"/>
      <c r="D25" s="2339"/>
      <c r="E25" s="2339"/>
      <c r="F25" s="2339"/>
      <c r="G25" s="2339"/>
      <c r="H25" s="2531"/>
      <c r="I25" s="2531"/>
      <c r="J25" s="2531"/>
      <c r="K25" s="2531"/>
      <c r="L25" s="2531"/>
      <c r="M25" s="2675">
        <f>+'E-Tiltag'!U28*50%</f>
        <v>0</v>
      </c>
      <c r="N25" s="2531"/>
      <c r="O25" s="2531"/>
      <c r="P25" s="2531"/>
      <c r="Q25" s="2531"/>
      <c r="R25" s="2531"/>
      <c r="S25" s="2531"/>
      <c r="T25" s="2531"/>
      <c r="U25" s="2531"/>
      <c r="V25" s="2531"/>
      <c r="W25" s="2531"/>
      <c r="X25" s="2531"/>
      <c r="Y25" s="2531"/>
      <c r="Z25" s="2531"/>
      <c r="AA25" s="2348">
        <f t="shared" si="0"/>
        <v>0</v>
      </c>
      <c r="AB25" s="2653" t="s">
        <v>74</v>
      </c>
      <c r="AC25" s="2646">
        <v>100</v>
      </c>
      <c r="AD25" s="2531"/>
      <c r="AE25" s="2531"/>
      <c r="AF25" s="2648"/>
      <c r="AG25" s="2646">
        <f>AC25*AA25/100</f>
        <v>0</v>
      </c>
      <c r="AH25" s="2648"/>
      <c r="AI25" s="2633"/>
      <c r="AJ25" s="2348"/>
      <c r="AK25" s="2631">
        <f t="shared" si="1"/>
        <v>0</v>
      </c>
      <c r="AL25" s="2655"/>
      <c r="AM25" s="2531"/>
      <c r="AN25" s="2531"/>
      <c r="AO25" s="2531"/>
      <c r="AP25" s="2531"/>
      <c r="AQ25" s="2531"/>
      <c r="AR25" s="2531"/>
      <c r="AS25" s="2531"/>
      <c r="AT25" s="2348"/>
      <c r="AY25" s="23"/>
    </row>
    <row r="26" spans="1:51" ht="15" customHeight="1" x14ac:dyDescent="0.2">
      <c r="A26" s="2633"/>
      <c r="B26" s="2339"/>
      <c r="C26" s="2339"/>
      <c r="D26" s="2339"/>
      <c r="E26" s="2339"/>
      <c r="F26" s="2339"/>
      <c r="G26" s="2339"/>
      <c r="H26" s="2531"/>
      <c r="I26" s="2531"/>
      <c r="J26" s="2531"/>
      <c r="K26" s="2531"/>
      <c r="L26" s="2531"/>
      <c r="M26" s="2531"/>
      <c r="N26" s="1679">
        <f>'E2020'!N26</f>
        <v>0</v>
      </c>
      <c r="O26" s="2531"/>
      <c r="P26" s="2531"/>
      <c r="Q26" s="2531"/>
      <c r="R26" s="2531"/>
      <c r="S26" s="2531"/>
      <c r="T26" s="2531"/>
      <c r="U26" s="2531"/>
      <c r="V26" s="2531"/>
      <c r="W26" s="2531"/>
      <c r="X26" s="2531"/>
      <c r="Y26" s="2531"/>
      <c r="Z26" s="2531"/>
      <c r="AA26" s="2348">
        <f t="shared" si="0"/>
        <v>0</v>
      </c>
      <c r="AB26" s="2653" t="s">
        <v>513</v>
      </c>
      <c r="AC26" s="2632">
        <v>100</v>
      </c>
      <c r="AD26" s="2531"/>
      <c r="AE26" s="2531"/>
      <c r="AF26" s="2648"/>
      <c r="AG26" s="2646">
        <f>AC26*AA26/100</f>
        <v>0</v>
      </c>
      <c r="AH26" s="2648"/>
      <c r="AI26" s="2633"/>
      <c r="AJ26" s="2348"/>
      <c r="AK26" s="2631">
        <f t="shared" si="1"/>
        <v>0</v>
      </c>
      <c r="AL26" s="2655"/>
      <c r="AM26" s="2531"/>
      <c r="AN26" s="2531"/>
      <c r="AO26" s="2531"/>
      <c r="AP26" s="2531"/>
      <c r="AQ26" s="2531"/>
      <c r="AR26" s="2531"/>
      <c r="AS26" s="2531"/>
      <c r="AT26" s="2348"/>
      <c r="AY26" s="23"/>
    </row>
    <row r="27" spans="1:51" ht="15" customHeight="1" x14ac:dyDescent="0.2">
      <c r="A27" s="2346"/>
      <c r="B27" s="2339"/>
      <c r="C27" s="2339"/>
      <c r="D27" s="2339"/>
      <c r="E27" s="2339"/>
      <c r="F27" s="2339"/>
      <c r="G27" s="2339"/>
      <c r="H27" s="2531"/>
      <c r="I27" s="2675">
        <f>'E2020'!I27-'E-Tiltag'!U51</f>
        <v>0</v>
      </c>
      <c r="J27" s="2632"/>
      <c r="K27" s="2632"/>
      <c r="L27" s="2632"/>
      <c r="M27" s="2531"/>
      <c r="N27" s="2531"/>
      <c r="O27" s="2531"/>
      <c r="P27" s="2531"/>
      <c r="Q27" s="2531"/>
      <c r="R27" s="2531">
        <f>-(I27*33.3%)/AD27%</f>
        <v>0</v>
      </c>
      <c r="S27" s="2531">
        <f>-(I27*10.5%)/AD27%</f>
        <v>0</v>
      </c>
      <c r="T27" s="2531">
        <f>-(I27*6.6%)/AD27%</f>
        <v>0</v>
      </c>
      <c r="U27" s="2531"/>
      <c r="V27" s="2531"/>
      <c r="W27" s="2531">
        <f>-(I27*49.6%)/AD27%</f>
        <v>0</v>
      </c>
      <c r="X27" s="2531"/>
      <c r="Y27" s="2531"/>
      <c r="Z27" s="2531"/>
      <c r="AA27" s="2348">
        <f t="shared" si="0"/>
        <v>0</v>
      </c>
      <c r="AB27" s="2653" t="s">
        <v>170</v>
      </c>
      <c r="AC27" s="2655"/>
      <c r="AD27" s="2531">
        <v>100</v>
      </c>
      <c r="AE27" s="2531"/>
      <c r="AF27" s="2648"/>
      <c r="AG27" s="2646"/>
      <c r="AH27" s="2648"/>
      <c r="AI27" s="2633"/>
      <c r="AJ27" s="2348"/>
      <c r="AK27" s="2631">
        <f t="shared" si="1"/>
        <v>0</v>
      </c>
      <c r="AL27" s="2655"/>
      <c r="AM27" s="2531"/>
      <c r="AN27" s="2531"/>
      <c r="AO27" s="2531"/>
      <c r="AP27" s="2531"/>
      <c r="AQ27" s="2531"/>
      <c r="AR27" s="2531"/>
      <c r="AS27" s="2531"/>
      <c r="AT27" s="2348"/>
    </row>
    <row r="28" spans="1:51" ht="15" customHeight="1" x14ac:dyDescent="0.2">
      <c r="A28" s="2339"/>
      <c r="B28" s="2339"/>
      <c r="C28" s="2339"/>
      <c r="D28" s="2339"/>
      <c r="E28" s="2339"/>
      <c r="F28" s="2339"/>
      <c r="G28" s="2339"/>
      <c r="H28" s="2531"/>
      <c r="I28" s="2632"/>
      <c r="J28" s="2632"/>
      <c r="K28" s="2632"/>
      <c r="L28" s="2632"/>
      <c r="M28" s="2531"/>
      <c r="N28" s="2531"/>
      <c r="O28" s="2531"/>
      <c r="P28" s="2531"/>
      <c r="Q28" s="2531"/>
      <c r="R28" s="2632">
        <f>AA28*33.3%</f>
        <v>0</v>
      </c>
      <c r="S28" s="2531">
        <f>AA28*10.5%</f>
        <v>0</v>
      </c>
      <c r="T28" s="2531">
        <f>AA28*6.6%</f>
        <v>0</v>
      </c>
      <c r="U28" s="2531"/>
      <c r="V28" s="2531"/>
      <c r="W28" s="2632">
        <f>AA28*49.6%</f>
        <v>0</v>
      </c>
      <c r="X28" s="2531"/>
      <c r="Y28" s="2531"/>
      <c r="Z28" s="2531"/>
      <c r="AA28" s="2348">
        <f>'E2020'!AA28</f>
        <v>0</v>
      </c>
      <c r="AB28" s="2653" t="s">
        <v>169</v>
      </c>
      <c r="AC28" s="2632">
        <v>34.200000000000003</v>
      </c>
      <c r="AD28" s="2531"/>
      <c r="AE28" s="2531"/>
      <c r="AF28" s="2648"/>
      <c r="AG28" s="2646">
        <f>AA28*AC28/100</f>
        <v>0</v>
      </c>
      <c r="AH28" s="2648"/>
      <c r="AI28" s="2646">
        <f>AA28*AE28/100</f>
        <v>0</v>
      </c>
      <c r="AJ28" s="2648"/>
      <c r="AK28" s="2631">
        <f t="shared" si="1"/>
        <v>0</v>
      </c>
      <c r="AL28" s="2655"/>
      <c r="AM28" s="2531"/>
      <c r="AN28" s="2531"/>
      <c r="AO28" s="2531"/>
      <c r="AP28" s="2531"/>
      <c r="AQ28" s="2531"/>
      <c r="AR28" s="2531"/>
      <c r="AS28" s="2531"/>
      <c r="AT28" s="2348"/>
    </row>
    <row r="29" spans="1:51" ht="15" customHeight="1" x14ac:dyDescent="0.2">
      <c r="A29" s="2339"/>
      <c r="B29" s="2632">
        <v>0</v>
      </c>
      <c r="C29" s="2632">
        <v>0</v>
      </c>
      <c r="D29" s="2632">
        <v>0</v>
      </c>
      <c r="E29" s="2632">
        <v>0</v>
      </c>
      <c r="F29" s="2632">
        <v>0</v>
      </c>
      <c r="G29" s="2632">
        <v>0</v>
      </c>
      <c r="H29" s="2632">
        <v>0</v>
      </c>
      <c r="I29" s="2632">
        <v>0</v>
      </c>
      <c r="J29" s="2658"/>
      <c r="K29" s="2632"/>
      <c r="L29" s="2632"/>
      <c r="M29" s="2632">
        <v>0</v>
      </c>
      <c r="N29" s="2632">
        <v>0</v>
      </c>
      <c r="O29" s="2632">
        <v>0</v>
      </c>
      <c r="P29" s="2632">
        <v>0</v>
      </c>
      <c r="Q29" s="2632">
        <v>0</v>
      </c>
      <c r="R29" s="2632">
        <v>0</v>
      </c>
      <c r="S29" s="2632">
        <v>0</v>
      </c>
      <c r="T29" s="2632">
        <v>0</v>
      </c>
      <c r="U29" s="2632">
        <v>0</v>
      </c>
      <c r="V29" s="2632">
        <v>0</v>
      </c>
      <c r="W29" s="2632">
        <v>0</v>
      </c>
      <c r="X29" s="2632">
        <v>0</v>
      </c>
      <c r="Y29" s="2632">
        <v>0</v>
      </c>
      <c r="Z29" s="2632">
        <v>0</v>
      </c>
      <c r="AA29" s="2348">
        <f t="shared" ref="AA29:AA60" si="3">SUM(A29:Z29)</f>
        <v>0</v>
      </c>
      <c r="AB29" s="2653" t="s">
        <v>179</v>
      </c>
      <c r="AC29" s="2632">
        <v>0</v>
      </c>
      <c r="AD29" s="2531"/>
      <c r="AE29" s="2632">
        <v>0</v>
      </c>
      <c r="AF29" s="2648"/>
      <c r="AG29" s="2646">
        <f>AA29*AC29/100</f>
        <v>0</v>
      </c>
      <c r="AH29" s="2648"/>
      <c r="AI29" s="2633">
        <f>AA29*AE29/100</f>
        <v>0</v>
      </c>
      <c r="AJ29" s="2348"/>
      <c r="AK29" s="2631">
        <f t="shared" si="1"/>
        <v>0</v>
      </c>
      <c r="AL29" s="2655"/>
      <c r="AM29" s="2531"/>
      <c r="AN29" s="2531"/>
      <c r="AO29" s="2531"/>
      <c r="AP29" s="2531"/>
      <c r="AQ29" s="2531"/>
      <c r="AR29" s="2531"/>
      <c r="AS29" s="2531"/>
      <c r="AT29" s="2348"/>
    </row>
    <row r="30" spans="1:51" ht="15" customHeight="1" x14ac:dyDescent="0.2">
      <c r="A30" s="2339"/>
      <c r="B30" s="2632">
        <v>0</v>
      </c>
      <c r="C30" s="2632">
        <v>0</v>
      </c>
      <c r="D30" s="2632">
        <v>0</v>
      </c>
      <c r="E30" s="2632">
        <v>0</v>
      </c>
      <c r="F30" s="2632">
        <v>0</v>
      </c>
      <c r="G30" s="2632">
        <v>0</v>
      </c>
      <c r="H30" s="2632">
        <v>0</v>
      </c>
      <c r="I30" s="2632">
        <v>0</v>
      </c>
      <c r="J30" s="2658"/>
      <c r="K30" s="2531"/>
      <c r="L30" s="2531"/>
      <c r="M30" s="2632">
        <v>0</v>
      </c>
      <c r="N30" s="2632">
        <v>0</v>
      </c>
      <c r="O30" s="2632">
        <v>0</v>
      </c>
      <c r="P30" s="2632">
        <v>0</v>
      </c>
      <c r="Q30" s="2632">
        <v>0</v>
      </c>
      <c r="R30" s="2632">
        <v>0</v>
      </c>
      <c r="S30" s="2632">
        <v>0</v>
      </c>
      <c r="T30" s="2632">
        <v>0</v>
      </c>
      <c r="U30" s="2632">
        <v>0</v>
      </c>
      <c r="V30" s="2632">
        <v>0</v>
      </c>
      <c r="W30" s="2632">
        <v>0</v>
      </c>
      <c r="X30" s="2632">
        <v>0</v>
      </c>
      <c r="Y30" s="2632">
        <v>0</v>
      </c>
      <c r="Z30" s="2632">
        <v>0</v>
      </c>
      <c r="AA30" s="2348">
        <f t="shared" si="3"/>
        <v>0</v>
      </c>
      <c r="AB30" s="2653" t="s">
        <v>13</v>
      </c>
      <c r="AC30" s="2646"/>
      <c r="AD30" s="2531"/>
      <c r="AE30" s="2632">
        <v>0</v>
      </c>
      <c r="AF30" s="2648"/>
      <c r="AG30" s="2646"/>
      <c r="AH30" s="2648"/>
      <c r="AI30" s="2633">
        <f>AA30*AE30/100</f>
        <v>0</v>
      </c>
      <c r="AJ30" s="2348"/>
      <c r="AK30" s="2631">
        <f t="shared" si="1"/>
        <v>0</v>
      </c>
      <c r="AL30" s="2655"/>
      <c r="AM30" s="2531"/>
      <c r="AN30" s="2531"/>
      <c r="AO30" s="2531"/>
      <c r="AP30" s="2531"/>
      <c r="AQ30" s="2531"/>
      <c r="AR30" s="2531"/>
      <c r="AS30" s="2531"/>
      <c r="AT30" s="2348"/>
    </row>
    <row r="31" spans="1:51" ht="15" customHeight="1" x14ac:dyDescent="0.2">
      <c r="A31" s="2339"/>
      <c r="B31" s="2339"/>
      <c r="C31" s="2339"/>
      <c r="D31" s="2531"/>
      <c r="E31" s="2531"/>
      <c r="F31" s="2531"/>
      <c r="G31" s="2531"/>
      <c r="H31" s="2531"/>
      <c r="I31" s="2531"/>
      <c r="J31" s="2531"/>
      <c r="K31" s="2531"/>
      <c r="L31" s="2531"/>
      <c r="M31" s="2531"/>
      <c r="N31" s="2531"/>
      <c r="O31" s="2531"/>
      <c r="P31" s="2531"/>
      <c r="Q31" s="2632">
        <f>AI31-AH31</f>
        <v>0</v>
      </c>
      <c r="R31" s="2531"/>
      <c r="S31" s="2531"/>
      <c r="T31" s="2531"/>
      <c r="U31" s="2531"/>
      <c r="V31" s="2531"/>
      <c r="W31" s="2531"/>
      <c r="X31" s="2531"/>
      <c r="Y31" s="2531"/>
      <c r="Z31" s="2531"/>
      <c r="AA31" s="2348">
        <f t="shared" si="3"/>
        <v>0</v>
      </c>
      <c r="AB31" s="2653" t="s">
        <v>167</v>
      </c>
      <c r="AC31" s="2646"/>
      <c r="AD31" s="2531"/>
      <c r="AE31" s="2675">
        <f>'E-Tiltag'!I137</f>
        <v>600</v>
      </c>
      <c r="AF31" s="2648"/>
      <c r="AG31" s="2646">
        <f>-AH31/$D$2%</f>
        <v>0</v>
      </c>
      <c r="AH31" s="2632">
        <v>0</v>
      </c>
      <c r="AI31" s="2659">
        <f>AH31*AE31%</f>
        <v>0</v>
      </c>
      <c r="AJ31" s="2348"/>
      <c r="AK31" s="2631">
        <f t="shared" si="1"/>
        <v>0</v>
      </c>
      <c r="AL31" s="2655"/>
      <c r="AM31" s="2655"/>
      <c r="AN31" s="2531"/>
      <c r="AO31" s="2531"/>
      <c r="AP31" s="2531"/>
      <c r="AQ31" s="2531"/>
      <c r="AR31" s="2531"/>
      <c r="AS31" s="2531"/>
      <c r="AT31" s="2348"/>
    </row>
    <row r="32" spans="1:51" ht="15" customHeight="1" x14ac:dyDescent="0.2">
      <c r="A32" s="2339"/>
      <c r="B32" s="2339"/>
      <c r="C32" s="2339"/>
      <c r="D32" s="2531"/>
      <c r="E32" s="2531"/>
      <c r="F32" s="2531"/>
      <c r="G32" s="2662"/>
      <c r="H32" s="2531"/>
      <c r="I32" s="2531"/>
      <c r="J32" s="2531"/>
      <c r="K32" s="2531"/>
      <c r="L32" s="2531"/>
      <c r="M32" s="2531"/>
      <c r="N32" s="2531"/>
      <c r="O32" s="2531"/>
      <c r="P32" s="2531"/>
      <c r="Q32" s="2531"/>
      <c r="R32" s="2531"/>
      <c r="S32" s="2531"/>
      <c r="T32" s="2531"/>
      <c r="U32" s="2531"/>
      <c r="V32" s="2531"/>
      <c r="W32" s="2531"/>
      <c r="X32" s="2531"/>
      <c r="Y32" s="2531"/>
      <c r="Z32" s="2531"/>
      <c r="AA32" s="2348">
        <f t="shared" si="3"/>
        <v>0</v>
      </c>
      <c r="AB32" s="2653" t="s">
        <v>168</v>
      </c>
      <c r="AC32" s="2646"/>
      <c r="AD32" s="2531"/>
      <c r="AE32" s="2632">
        <v>100</v>
      </c>
      <c r="AF32" s="2648"/>
      <c r="AG32" s="2646">
        <f>-AH32/$D$2%</f>
        <v>0</v>
      </c>
      <c r="AH32" s="2632">
        <v>0</v>
      </c>
      <c r="AI32" s="2646">
        <f>AH32*AE32%</f>
        <v>0</v>
      </c>
      <c r="AJ32" s="2348"/>
      <c r="AK32" s="2631">
        <f t="shared" si="1"/>
        <v>0</v>
      </c>
      <c r="AL32" s="2655"/>
      <c r="AM32" s="2655"/>
      <c r="AN32" s="2531"/>
      <c r="AO32" s="2531"/>
      <c r="AP32" s="2531"/>
      <c r="AQ32" s="2531"/>
      <c r="AR32" s="2531"/>
      <c r="AS32" s="2531"/>
      <c r="AT32" s="2348"/>
    </row>
    <row r="33" spans="1:47" ht="15" customHeight="1" x14ac:dyDescent="0.2">
      <c r="A33" s="2339"/>
      <c r="B33" s="2339"/>
      <c r="C33" s="2531"/>
      <c r="D33" s="2531"/>
      <c r="E33" s="2531"/>
      <c r="F33" s="2531"/>
      <c r="G33" s="2531"/>
      <c r="H33" s="2531"/>
      <c r="I33" s="2531"/>
      <c r="J33" s="2531"/>
      <c r="K33" s="2531"/>
      <c r="L33" s="2531"/>
      <c r="M33" s="2531"/>
      <c r="N33" s="2531"/>
      <c r="O33" s="2531"/>
      <c r="P33" s="2531"/>
      <c r="Q33" s="2531"/>
      <c r="R33" s="2531"/>
      <c r="S33" s="2531"/>
      <c r="T33" s="2531"/>
      <c r="U33" s="2531"/>
      <c r="V33" s="2531"/>
      <c r="W33" s="2531"/>
      <c r="X33" s="2531"/>
      <c r="Y33" s="2531"/>
      <c r="Z33" s="2531"/>
      <c r="AA33" s="2348">
        <f t="shared" si="3"/>
        <v>0</v>
      </c>
      <c r="AB33" s="2653" t="s">
        <v>27</v>
      </c>
      <c r="AC33" s="2646"/>
      <c r="AD33" s="2531"/>
      <c r="AE33" s="2531"/>
      <c r="AF33" s="2632">
        <f>100-'E-Tiltag'!$J$19</f>
        <v>99.75</v>
      </c>
      <c r="AG33" s="2646"/>
      <c r="AH33" s="2648"/>
      <c r="AI33" s="2633">
        <f>-SUM(AI29:AI32)</f>
        <v>0</v>
      </c>
      <c r="AJ33" s="2348">
        <f>-AI33*AF33%</f>
        <v>0</v>
      </c>
      <c r="AK33" s="2631">
        <f t="shared" si="1"/>
        <v>0</v>
      </c>
      <c r="AL33" s="2654">
        <f>AJ33*64.9%</f>
        <v>0</v>
      </c>
      <c r="AM33" s="2654">
        <f>AJ33*9.8%</f>
        <v>0</v>
      </c>
      <c r="AN33" s="2632">
        <f>AJ33*13.2%</f>
        <v>0</v>
      </c>
      <c r="AO33" s="2632">
        <f>AJ33*7%</f>
        <v>0</v>
      </c>
      <c r="AP33" s="2632"/>
      <c r="AQ33" s="2632">
        <f>AJ33*3.6%</f>
        <v>0</v>
      </c>
      <c r="AR33" s="2632">
        <f>AJ33*1.5%</f>
        <v>0</v>
      </c>
      <c r="AS33" s="2632"/>
      <c r="AT33" s="2348"/>
    </row>
    <row r="34" spans="1:47" ht="15" customHeight="1" x14ac:dyDescent="0.2">
      <c r="A34" s="2339"/>
      <c r="B34" s="2632">
        <v>0</v>
      </c>
      <c r="C34" s="2632">
        <v>0</v>
      </c>
      <c r="D34" s="2632">
        <v>0</v>
      </c>
      <c r="E34" s="2632">
        <v>0</v>
      </c>
      <c r="F34" s="2632">
        <v>0</v>
      </c>
      <c r="G34" s="2632">
        <v>0</v>
      </c>
      <c r="H34" s="2632">
        <v>0</v>
      </c>
      <c r="I34" s="2632">
        <v>0</v>
      </c>
      <c r="J34" s="2658"/>
      <c r="K34" s="2632"/>
      <c r="L34" s="2632"/>
      <c r="M34" s="2632">
        <v>0</v>
      </c>
      <c r="N34" s="2632">
        <v>0</v>
      </c>
      <c r="O34" s="2632">
        <v>0</v>
      </c>
      <c r="P34" s="2632">
        <v>0</v>
      </c>
      <c r="Q34" s="2632">
        <v>0</v>
      </c>
      <c r="R34" s="2632">
        <v>0</v>
      </c>
      <c r="S34" s="2632">
        <v>0</v>
      </c>
      <c r="T34" s="2632">
        <v>0</v>
      </c>
      <c r="U34" s="2632">
        <v>0</v>
      </c>
      <c r="V34" s="2632">
        <v>0</v>
      </c>
      <c r="W34" s="2632">
        <v>0</v>
      </c>
      <c r="X34" s="2632">
        <v>0</v>
      </c>
      <c r="Y34" s="2632">
        <v>0</v>
      </c>
      <c r="Z34" s="2632">
        <v>0</v>
      </c>
      <c r="AA34" s="2348">
        <f t="shared" si="3"/>
        <v>0</v>
      </c>
      <c r="AB34" s="2653" t="s">
        <v>180</v>
      </c>
      <c r="AC34" s="2632">
        <v>0</v>
      </c>
      <c r="AD34" s="2531"/>
      <c r="AE34" s="2632">
        <v>0</v>
      </c>
      <c r="AF34" s="2648"/>
      <c r="AG34" s="2646">
        <f>AA34*AC34/100</f>
        <v>0</v>
      </c>
      <c r="AH34" s="2648"/>
      <c r="AI34" s="2633">
        <f>AA34*AE34/100</f>
        <v>0</v>
      </c>
      <c r="AJ34" s="2348"/>
      <c r="AK34" s="2631">
        <f t="shared" si="1"/>
        <v>0</v>
      </c>
      <c r="AL34" s="2655"/>
      <c r="AM34" s="2531"/>
      <c r="AN34" s="2531"/>
      <c r="AO34" s="2531"/>
      <c r="AP34" s="2531"/>
      <c r="AQ34" s="2531"/>
      <c r="AR34" s="2531"/>
      <c r="AS34" s="2531"/>
      <c r="AT34" s="2348"/>
    </row>
    <row r="35" spans="1:47" ht="15" customHeight="1" x14ac:dyDescent="0.2">
      <c r="A35" s="2339"/>
      <c r="B35" s="2632">
        <v>0</v>
      </c>
      <c r="C35" s="2632">
        <v>0</v>
      </c>
      <c r="D35" s="2632">
        <v>0</v>
      </c>
      <c r="E35" s="2632">
        <v>0</v>
      </c>
      <c r="F35" s="2632">
        <v>0</v>
      </c>
      <c r="G35" s="2632">
        <v>0</v>
      </c>
      <c r="H35" s="2632">
        <v>0</v>
      </c>
      <c r="I35" s="2632">
        <v>0</v>
      </c>
      <c r="J35" s="2658"/>
      <c r="K35" s="2531"/>
      <c r="L35" s="2531"/>
      <c r="M35" s="2632">
        <v>0</v>
      </c>
      <c r="N35" s="2632">
        <v>0</v>
      </c>
      <c r="O35" s="2632">
        <v>0</v>
      </c>
      <c r="P35" s="2632">
        <v>0</v>
      </c>
      <c r="Q35" s="2632">
        <v>0</v>
      </c>
      <c r="R35" s="2632">
        <v>0</v>
      </c>
      <c r="S35" s="2632">
        <v>0</v>
      </c>
      <c r="T35" s="2632">
        <v>0</v>
      </c>
      <c r="U35" s="2632">
        <v>0</v>
      </c>
      <c r="V35" s="2632">
        <v>0</v>
      </c>
      <c r="W35" s="2632">
        <v>0</v>
      </c>
      <c r="X35" s="2632">
        <v>0</v>
      </c>
      <c r="Y35" s="2632">
        <v>0</v>
      </c>
      <c r="Z35" s="2632">
        <v>0</v>
      </c>
      <c r="AA35" s="2348">
        <f t="shared" si="3"/>
        <v>0</v>
      </c>
      <c r="AB35" s="2653" t="s">
        <v>7</v>
      </c>
      <c r="AC35" s="2646"/>
      <c r="AD35" s="2531"/>
      <c r="AE35" s="2632">
        <v>0</v>
      </c>
      <c r="AF35" s="2648"/>
      <c r="AG35" s="2646">
        <f>AA35*AC35/100</f>
        <v>0</v>
      </c>
      <c r="AH35" s="2648"/>
      <c r="AI35" s="2633">
        <f>AA35*AE35/100</f>
        <v>0</v>
      </c>
      <c r="AJ35" s="2348"/>
      <c r="AK35" s="2631">
        <f t="shared" si="1"/>
        <v>0</v>
      </c>
      <c r="AL35" s="2655"/>
      <c r="AM35" s="2531"/>
      <c r="AN35" s="2531"/>
      <c r="AO35" s="2531"/>
      <c r="AP35" s="2531"/>
      <c r="AQ35" s="2531"/>
      <c r="AR35" s="2531"/>
      <c r="AS35" s="2531"/>
      <c r="AT35" s="2348"/>
    </row>
    <row r="36" spans="1:47" ht="15" customHeight="1" x14ac:dyDescent="0.2">
      <c r="A36" s="2339"/>
      <c r="B36" s="2339"/>
      <c r="C36" s="2531"/>
      <c r="D36" s="2531"/>
      <c r="E36" s="2531"/>
      <c r="F36" s="2531"/>
      <c r="G36" s="2531"/>
      <c r="H36" s="2531"/>
      <c r="I36" s="2531"/>
      <c r="J36" s="2531"/>
      <c r="K36" s="2531"/>
      <c r="L36" s="2531"/>
      <c r="M36" s="2531"/>
      <c r="N36" s="2531"/>
      <c r="O36" s="2531"/>
      <c r="P36" s="2531"/>
      <c r="Q36" s="2531"/>
      <c r="R36" s="2531"/>
      <c r="S36" s="2531"/>
      <c r="T36" s="2531"/>
      <c r="U36" s="2531"/>
      <c r="V36" s="2531"/>
      <c r="W36" s="2531"/>
      <c r="X36" s="2531"/>
      <c r="Y36" s="2531"/>
      <c r="Z36" s="2531"/>
      <c r="AA36" s="2348">
        <f t="shared" si="3"/>
        <v>0</v>
      </c>
      <c r="AB36" s="2653" t="s">
        <v>28</v>
      </c>
      <c r="AC36" s="2646"/>
      <c r="AD36" s="2531"/>
      <c r="AE36" s="2531"/>
      <c r="AF36" s="2632">
        <f>100-'E-Tiltag'!$J$19</f>
        <v>99.75</v>
      </c>
      <c r="AG36" s="2646"/>
      <c r="AH36" s="2648"/>
      <c r="AI36" s="2633">
        <f>-SUM(AI34:AI35)</f>
        <v>0</v>
      </c>
      <c r="AJ36" s="2348">
        <f>-AI36*AF36%</f>
        <v>0</v>
      </c>
      <c r="AK36" s="2631">
        <f t="shared" si="1"/>
        <v>0</v>
      </c>
      <c r="AL36" s="2654">
        <f>AJ36*64.9%</f>
        <v>0</v>
      </c>
      <c r="AM36" s="2654">
        <f>AJ36*9.8%</f>
        <v>0</v>
      </c>
      <c r="AN36" s="2632">
        <f>AJ36*13.2%</f>
        <v>0</v>
      </c>
      <c r="AO36" s="2632">
        <f>AJ36*7%</f>
        <v>0</v>
      </c>
      <c r="AP36" s="2632"/>
      <c r="AQ36" s="2632">
        <f>AJ36*3.6%</f>
        <v>0</v>
      </c>
      <c r="AR36" s="2632">
        <f>AJ36*1.5%</f>
        <v>0</v>
      </c>
      <c r="AS36" s="2632"/>
      <c r="AT36" s="2348"/>
    </row>
    <row r="37" spans="1:47" ht="15" customHeight="1" x14ac:dyDescent="0.2">
      <c r="A37" s="2339"/>
      <c r="B37" s="2632">
        <v>0</v>
      </c>
      <c r="C37" s="2632">
        <v>0</v>
      </c>
      <c r="D37" s="2632">
        <v>0</v>
      </c>
      <c r="E37" s="2531"/>
      <c r="F37" s="2632">
        <v>0</v>
      </c>
      <c r="G37" s="2632">
        <v>0</v>
      </c>
      <c r="H37" s="2632">
        <v>0</v>
      </c>
      <c r="I37" s="2675">
        <f>AI37/AC37%</f>
        <v>0</v>
      </c>
      <c r="J37" s="2658"/>
      <c r="K37" s="2632"/>
      <c r="L37" s="2632"/>
      <c r="M37" s="2632">
        <v>0</v>
      </c>
      <c r="N37" s="2632">
        <v>0</v>
      </c>
      <c r="O37" s="2632">
        <v>0</v>
      </c>
      <c r="P37" s="2632">
        <v>0</v>
      </c>
      <c r="Q37" s="2632">
        <v>0</v>
      </c>
      <c r="R37" s="2632">
        <v>0</v>
      </c>
      <c r="S37" s="2632">
        <v>0</v>
      </c>
      <c r="T37" s="2632">
        <v>0</v>
      </c>
      <c r="U37" s="2632">
        <v>0</v>
      </c>
      <c r="V37" s="2632">
        <v>0</v>
      </c>
      <c r="W37" s="2632">
        <v>0</v>
      </c>
      <c r="X37" s="2632">
        <v>0</v>
      </c>
      <c r="Y37" s="2632">
        <v>0</v>
      </c>
      <c r="Z37" s="2632">
        <v>0</v>
      </c>
      <c r="AA37" s="2348">
        <f t="shared" si="3"/>
        <v>0</v>
      </c>
      <c r="AB37" s="2653" t="s">
        <v>181</v>
      </c>
      <c r="AC37" s="2632">
        <v>45.1</v>
      </c>
      <c r="AD37" s="2531"/>
      <c r="AE37" s="2632">
        <v>50.9</v>
      </c>
      <c r="AF37" s="2648"/>
      <c r="AG37" s="2633">
        <f>AA37*AC37/100</f>
        <v>0</v>
      </c>
      <c r="AH37" s="2348"/>
      <c r="AI37" s="2681">
        <f>SUMPRODUCT('E-Tiltag'!$D$163:$D$167,'E-Tiltag'!$K$163:$K$167)</f>
        <v>0</v>
      </c>
      <c r="AJ37" s="2348"/>
      <c r="AK37" s="2631">
        <f t="shared" si="1"/>
        <v>0</v>
      </c>
      <c r="AL37" s="2655"/>
      <c r="AM37" s="2531"/>
      <c r="AN37" s="2531"/>
      <c r="AO37" s="2531"/>
      <c r="AP37" s="2531"/>
      <c r="AQ37" s="2531"/>
      <c r="AR37" s="2531"/>
      <c r="AS37" s="2531"/>
      <c r="AT37" s="2348"/>
    </row>
    <row r="38" spans="1:47" ht="15" customHeight="1" x14ac:dyDescent="0.2">
      <c r="A38" s="2339"/>
      <c r="B38" s="2632">
        <v>0</v>
      </c>
      <c r="C38" s="2632">
        <v>0</v>
      </c>
      <c r="D38" s="2632">
        <v>0</v>
      </c>
      <c r="E38" s="2632">
        <v>0</v>
      </c>
      <c r="F38" s="2632">
        <v>0</v>
      </c>
      <c r="G38" s="2632">
        <v>0</v>
      </c>
      <c r="H38" s="2632">
        <v>0</v>
      </c>
      <c r="I38" s="2675">
        <f>SUMPRODUCT('E-Tiltag'!$D$163:$D$167,'E-Tiltag'!$L$163:$L$167)/$AE$38%</f>
        <v>0</v>
      </c>
      <c r="J38" s="2658"/>
      <c r="K38" s="2531"/>
      <c r="L38" s="2531"/>
      <c r="M38" s="2632">
        <v>0</v>
      </c>
      <c r="N38" s="2632">
        <v>0</v>
      </c>
      <c r="O38" s="2632">
        <v>0</v>
      </c>
      <c r="P38" s="2632">
        <v>0</v>
      </c>
      <c r="Q38" s="2632">
        <v>0</v>
      </c>
      <c r="R38" s="2632">
        <v>0</v>
      </c>
      <c r="S38" s="2632">
        <v>0</v>
      </c>
      <c r="T38" s="2632">
        <v>0</v>
      </c>
      <c r="U38" s="2675">
        <f>SUMPRODUCT('E-Tiltag'!$D$163:$D$167,'E-Tiltag'!$H$163:$H$167)/$AE$38%</f>
        <v>19.272020436705876</v>
      </c>
      <c r="V38" s="2632">
        <v>0</v>
      </c>
      <c r="W38" s="2632">
        <v>0</v>
      </c>
      <c r="X38" s="2675">
        <f>SUMPRODUCT('E-Tiltag'!$D$163:$D$167,'E-Tiltag'!$I$163:$I$167)/$AE$38%*(1-'E-Tiltag'!$I$140)</f>
        <v>0</v>
      </c>
      <c r="Y38" s="2632">
        <v>0</v>
      </c>
      <c r="Z38" s="2675">
        <f>SUMPRODUCT('E-Tiltag'!$D$163:$D$167,'E-Tiltag'!$I$163:$I$167)/$AE$38%*'E-Tiltag'!$I$140</f>
        <v>0</v>
      </c>
      <c r="AA38" s="2348">
        <f t="shared" si="3"/>
        <v>19.272020436705876</v>
      </c>
      <c r="AB38" s="2653" t="s">
        <v>203</v>
      </c>
      <c r="AC38" s="2646"/>
      <c r="AD38" s="2531"/>
      <c r="AE38" s="2675">
        <f>'E-Tiltag'!S167</f>
        <v>102</v>
      </c>
      <c r="AF38" s="2648"/>
      <c r="AG38" s="2633">
        <f>AA38*AC38/100</f>
        <v>0</v>
      </c>
      <c r="AH38" s="2348"/>
      <c r="AI38" s="2633">
        <f>AA38*AE38/100</f>
        <v>19.657460845439992</v>
      </c>
      <c r="AJ38" s="2348"/>
      <c r="AK38" s="2631">
        <f t="shared" si="1"/>
        <v>0</v>
      </c>
      <c r="AL38" s="2655"/>
      <c r="AM38" s="2531"/>
      <c r="AN38" s="2531"/>
      <c r="AO38" s="2531"/>
      <c r="AP38" s="2531"/>
      <c r="AQ38" s="2531"/>
      <c r="AR38" s="2531"/>
      <c r="AS38" s="2531"/>
      <c r="AT38" s="2348"/>
      <c r="AU38" s="33"/>
    </row>
    <row r="39" spans="1:47" ht="15" customHeight="1" x14ac:dyDescent="0.2">
      <c r="A39" s="2339"/>
      <c r="B39" s="2531"/>
      <c r="C39" s="2531"/>
      <c r="D39" s="2531"/>
      <c r="E39" s="2531"/>
      <c r="F39" s="2531"/>
      <c r="G39" s="2531"/>
      <c r="H39" s="2531"/>
      <c r="I39" s="2632">
        <v>0</v>
      </c>
      <c r="J39" s="2531"/>
      <c r="K39" s="2531"/>
      <c r="L39" s="2531"/>
      <c r="M39" s="2531"/>
      <c r="N39" s="2531"/>
      <c r="O39" s="2531"/>
      <c r="P39" s="2531"/>
      <c r="Q39" s="2632">
        <f>AI39-AH39</f>
        <v>0</v>
      </c>
      <c r="R39" s="2531"/>
      <c r="S39" s="2531"/>
      <c r="T39" s="2531"/>
      <c r="U39" s="2531"/>
      <c r="V39" s="2531"/>
      <c r="W39" s="2531"/>
      <c r="X39" s="2531"/>
      <c r="Y39" s="2531"/>
      <c r="Z39" s="2531"/>
      <c r="AA39" s="2348">
        <f t="shared" si="3"/>
        <v>0</v>
      </c>
      <c r="AB39" s="2653" t="s">
        <v>204</v>
      </c>
      <c r="AC39" s="2646"/>
      <c r="AD39" s="2531"/>
      <c r="AE39" s="2675">
        <f>'E-Tiltag'!I136</f>
        <v>333</v>
      </c>
      <c r="AF39" s="2648"/>
      <c r="AG39" s="2646">
        <f>-AH39/$D$2%</f>
        <v>0</v>
      </c>
      <c r="AH39" s="2675">
        <f>SUMPRODUCT('E-Tiltag'!$D$163:$D$167,'E-Tiltag'!$E$163:$E$167)/AE39%+SUMPRODUCT('E-Tiltag'!$D$163:$D$167,'E-Tiltag'!$F$163:$F$167)/AE31%</f>
        <v>0</v>
      </c>
      <c r="AI39" s="2681">
        <f>SUMPRODUCT('E-Tiltag'!$D$163:$D$167,'E-Tiltag'!$E$163:$E$167)+SUMPRODUCT('E-Tiltag'!$D$163:$D$167,'E-Tiltag'!$F$163:$F$167)</f>
        <v>0</v>
      </c>
      <c r="AJ39" s="2648"/>
      <c r="AK39" s="2631">
        <f t="shared" si="1"/>
        <v>0</v>
      </c>
      <c r="AL39" s="2655"/>
      <c r="AM39" s="2531"/>
      <c r="AN39" s="2531"/>
      <c r="AO39" s="2531"/>
      <c r="AP39" s="2531"/>
      <c r="AQ39" s="2531"/>
      <c r="AR39" s="2531"/>
      <c r="AS39" s="2531"/>
      <c r="AT39" s="2348"/>
    </row>
    <row r="40" spans="1:47" ht="15" customHeight="1" x14ac:dyDescent="0.2">
      <c r="A40" s="2339"/>
      <c r="B40" s="2531"/>
      <c r="C40" s="2531"/>
      <c r="D40" s="2531"/>
      <c r="E40" s="2531"/>
      <c r="F40" s="2531"/>
      <c r="G40" s="2531"/>
      <c r="H40" s="2531"/>
      <c r="I40" s="2531"/>
      <c r="J40" s="2531"/>
      <c r="K40" s="2531"/>
      <c r="L40" s="2531"/>
      <c r="M40" s="2531"/>
      <c r="N40" s="2531"/>
      <c r="O40" s="2531"/>
      <c r="P40" s="2531"/>
      <c r="Q40" s="2531"/>
      <c r="R40" s="2531"/>
      <c r="S40" s="2531"/>
      <c r="T40" s="2531"/>
      <c r="U40" s="2531"/>
      <c r="V40" s="2531"/>
      <c r="W40" s="2531"/>
      <c r="X40" s="2531"/>
      <c r="Y40" s="2531"/>
      <c r="Z40" s="2531"/>
      <c r="AA40" s="2348">
        <f t="shared" si="3"/>
        <v>0</v>
      </c>
      <c r="AB40" s="2653" t="s">
        <v>205</v>
      </c>
      <c r="AC40" s="2646"/>
      <c r="AD40" s="2531"/>
      <c r="AE40" s="2632">
        <v>99.690829694323099</v>
      </c>
      <c r="AF40" s="2648"/>
      <c r="AG40" s="2646">
        <f>-AH40/$D$2%</f>
        <v>0</v>
      </c>
      <c r="AH40" s="2675">
        <f>AI40/AE40%</f>
        <v>0</v>
      </c>
      <c r="AI40" s="2681">
        <f>SUMPRODUCT('E-Tiltag'!$D$163:$D$167,'E-Tiltag'!$G$163:$G$167)</f>
        <v>0</v>
      </c>
      <c r="AJ40" s="2648"/>
      <c r="AK40" s="2631">
        <f t="shared" ref="AK40:AK71" si="4">SUM(AL40:AT40)</f>
        <v>0</v>
      </c>
      <c r="AL40" s="2655"/>
      <c r="AM40" s="2531"/>
      <c r="AN40" s="2531"/>
      <c r="AO40" s="2531"/>
      <c r="AP40" s="2531"/>
      <c r="AQ40" s="2531"/>
      <c r="AR40" s="2531"/>
      <c r="AS40" s="2531"/>
      <c r="AT40" s="2348"/>
    </row>
    <row r="41" spans="1:47" ht="15" customHeight="1" x14ac:dyDescent="0.2">
      <c r="A41" s="2339"/>
      <c r="B41" s="2531"/>
      <c r="C41" s="2531"/>
      <c r="D41" s="2531"/>
      <c r="E41" s="2531"/>
      <c r="F41" s="2531"/>
      <c r="G41" s="2531"/>
      <c r="H41" s="2531"/>
      <c r="I41" s="2531"/>
      <c r="J41" s="2531"/>
      <c r="K41" s="2531"/>
      <c r="L41" s="2531"/>
      <c r="M41" s="2531"/>
      <c r="N41" s="2531"/>
      <c r="O41" s="2675">
        <f>AI41</f>
        <v>0</v>
      </c>
      <c r="P41" s="2531"/>
      <c r="Q41" s="2531"/>
      <c r="R41" s="2531"/>
      <c r="S41" s="2531"/>
      <c r="T41" s="2531"/>
      <c r="U41" s="2531"/>
      <c r="V41" s="2531"/>
      <c r="W41" s="2531"/>
      <c r="X41" s="2531"/>
      <c r="Y41" s="2531"/>
      <c r="Z41" s="2531"/>
      <c r="AA41" s="2348">
        <f t="shared" si="3"/>
        <v>0</v>
      </c>
      <c r="AB41" s="2653" t="s">
        <v>206</v>
      </c>
      <c r="AC41" s="2646"/>
      <c r="AD41" s="2531"/>
      <c r="AE41" s="2632">
        <v>100</v>
      </c>
      <c r="AF41" s="2648"/>
      <c r="AG41" s="2633"/>
      <c r="AH41" s="2348"/>
      <c r="AI41" s="2681">
        <f>SUMPRODUCT('E-Tiltag'!$D$163:$D$167,'E-Tiltag'!$J$163:$J$167)</f>
        <v>0</v>
      </c>
      <c r="AJ41" s="2348"/>
      <c r="AK41" s="2631">
        <f t="shared" si="4"/>
        <v>0</v>
      </c>
      <c r="AL41" s="2655"/>
      <c r="AM41" s="2531"/>
      <c r="AN41" s="2531"/>
      <c r="AO41" s="2531"/>
      <c r="AP41" s="2531"/>
      <c r="AQ41" s="2531"/>
      <c r="AR41" s="2531"/>
      <c r="AS41" s="2531"/>
      <c r="AT41" s="2348"/>
    </row>
    <row r="42" spans="1:47" ht="15" customHeight="1" x14ac:dyDescent="0.2">
      <c r="A42" s="2339"/>
      <c r="B42" s="2531"/>
      <c r="C42" s="2531"/>
      <c r="D42" s="2531"/>
      <c r="E42" s="2531"/>
      <c r="F42" s="2531"/>
      <c r="G42" s="2531"/>
      <c r="H42" s="2531"/>
      <c r="I42" s="2531"/>
      <c r="J42" s="2531"/>
      <c r="K42" s="2531"/>
      <c r="L42" s="2531"/>
      <c r="M42" s="2531"/>
      <c r="N42" s="2531"/>
      <c r="O42" s="2632"/>
      <c r="P42" s="2632">
        <v>0</v>
      </c>
      <c r="Q42" s="2531"/>
      <c r="R42" s="2531"/>
      <c r="S42" s="2531"/>
      <c r="T42" s="2531"/>
      <c r="U42" s="2531"/>
      <c r="V42" s="2531"/>
      <c r="W42" s="2531"/>
      <c r="X42" s="2531"/>
      <c r="Y42" s="2531"/>
      <c r="Z42" s="2531"/>
      <c r="AA42" s="2348">
        <f t="shared" si="3"/>
        <v>0</v>
      </c>
      <c r="AB42" s="2682" t="s">
        <v>4722</v>
      </c>
      <c r="AC42" s="2646"/>
      <c r="AD42" s="2531"/>
      <c r="AE42" s="2632">
        <v>100</v>
      </c>
      <c r="AF42" s="2648"/>
      <c r="AG42" s="2633">
        <f>AA42*AC42/100</f>
        <v>0</v>
      </c>
      <c r="AH42" s="2348"/>
      <c r="AI42" s="2681">
        <f>SUMPRODUCT('E-Tiltag'!$D$163:$D$167,'E-Tiltag'!$M$163:$M$167)+SUMPRODUCT('E-Tiltag'!$D$163:$D$167,'E-Tiltag'!$N$163:$N$167)</f>
        <v>0.7862984338175999</v>
      </c>
      <c r="AJ42" s="2348"/>
      <c r="AK42" s="2631">
        <f t="shared" si="4"/>
        <v>0</v>
      </c>
      <c r="AL42" s="2655"/>
      <c r="AM42" s="2655"/>
      <c r="AN42" s="2531"/>
      <c r="AO42" s="2531"/>
      <c r="AP42" s="2531"/>
      <c r="AQ42" s="2531"/>
      <c r="AR42" s="2531"/>
      <c r="AS42" s="2531"/>
      <c r="AT42" s="2348"/>
    </row>
    <row r="43" spans="1:47" ht="15" customHeight="1" x14ac:dyDescent="0.2">
      <c r="A43" s="2339"/>
      <c r="B43" s="2339"/>
      <c r="C43" s="2339"/>
      <c r="D43" s="2339"/>
      <c r="E43" s="2339"/>
      <c r="F43" s="2339"/>
      <c r="G43" s="2339"/>
      <c r="H43" s="2339"/>
      <c r="I43" s="2339"/>
      <c r="J43" s="2531"/>
      <c r="K43" s="2531"/>
      <c r="L43" s="2531"/>
      <c r="M43" s="2339"/>
      <c r="N43" s="2339"/>
      <c r="O43" s="2339"/>
      <c r="P43" s="2339"/>
      <c r="Q43" s="2531"/>
      <c r="R43" s="2531"/>
      <c r="S43" s="2531"/>
      <c r="T43" s="2531"/>
      <c r="U43" s="2531"/>
      <c r="V43" s="2531"/>
      <c r="W43" s="2531"/>
      <c r="X43" s="2531"/>
      <c r="Y43" s="2531"/>
      <c r="Z43" s="2531"/>
      <c r="AA43" s="2348">
        <f t="shared" si="3"/>
        <v>0</v>
      </c>
      <c r="AB43" s="2653" t="s">
        <v>208</v>
      </c>
      <c r="AC43" s="2646"/>
      <c r="AD43" s="2531"/>
      <c r="AE43" s="2531"/>
      <c r="AF43" s="2632">
        <f>100-'E-Tiltag'!$J$19</f>
        <v>99.75</v>
      </c>
      <c r="AG43" s="2646"/>
      <c r="AH43" s="2648"/>
      <c r="AI43" s="2646">
        <f>-SUM(AI37:AI42)</f>
        <v>-20.443759279257591</v>
      </c>
      <c r="AJ43" s="2648">
        <f>-AI43*AF43%</f>
        <v>20.392649881059448</v>
      </c>
      <c r="AK43" s="2631">
        <f t="shared" si="4"/>
        <v>20.392649881059452</v>
      </c>
      <c r="AL43" s="2654">
        <f>AJ43*64.9%</f>
        <v>13.234829772807583</v>
      </c>
      <c r="AM43" s="2654">
        <f>AJ43*9.8%</f>
        <v>1.9984796883438261</v>
      </c>
      <c r="AN43" s="2632">
        <f>AJ43*13.2%</f>
        <v>2.6918297842998471</v>
      </c>
      <c r="AO43" s="2632">
        <f>AJ43*7%</f>
        <v>1.4274854916741615</v>
      </c>
      <c r="AP43" s="2632"/>
      <c r="AQ43" s="2632">
        <f>AJ43*3.6%</f>
        <v>0.73413539571814024</v>
      </c>
      <c r="AR43" s="2632">
        <f>AJ43*1.5%</f>
        <v>0.30588974821589171</v>
      </c>
      <c r="AS43" s="2632"/>
      <c r="AT43" s="2348"/>
    </row>
    <row r="44" spans="1:47" ht="15" customHeight="1" x14ac:dyDescent="0.2">
      <c r="A44" s="2339"/>
      <c r="B44" s="2632">
        <v>0</v>
      </c>
      <c r="C44" s="2632">
        <v>0</v>
      </c>
      <c r="D44" s="2632">
        <v>0</v>
      </c>
      <c r="E44" s="2632">
        <v>0</v>
      </c>
      <c r="F44" s="2632">
        <v>0</v>
      </c>
      <c r="G44" s="2632">
        <v>0</v>
      </c>
      <c r="H44" s="2632">
        <v>0</v>
      </c>
      <c r="I44" s="2339"/>
      <c r="J44" s="2658"/>
      <c r="K44" s="2632"/>
      <c r="L44" s="2632"/>
      <c r="M44" s="2632">
        <v>0</v>
      </c>
      <c r="N44" s="2632">
        <v>0</v>
      </c>
      <c r="O44" s="2632">
        <v>0</v>
      </c>
      <c r="P44" s="2632">
        <v>0</v>
      </c>
      <c r="Q44" s="2632">
        <v>0</v>
      </c>
      <c r="R44" s="2632">
        <v>0</v>
      </c>
      <c r="S44" s="2632">
        <v>0</v>
      </c>
      <c r="T44" s="2632">
        <v>0</v>
      </c>
      <c r="U44" s="2632">
        <v>0</v>
      </c>
      <c r="V44" s="2632">
        <v>0</v>
      </c>
      <c r="W44" s="2632">
        <v>0</v>
      </c>
      <c r="X44" s="2632">
        <v>0</v>
      </c>
      <c r="Y44" s="2632">
        <v>0</v>
      </c>
      <c r="Z44" s="2632">
        <v>0</v>
      </c>
      <c r="AA44" s="2348">
        <f t="shared" si="3"/>
        <v>0</v>
      </c>
      <c r="AB44" s="2653" t="s">
        <v>182</v>
      </c>
      <c r="AC44" s="2632">
        <v>21.3</v>
      </c>
      <c r="AD44" s="2531"/>
      <c r="AE44" s="2632">
        <v>60.1</v>
      </c>
      <c r="AF44" s="2657"/>
      <c r="AG44" s="2633">
        <f>AA44*AC44/100</f>
        <v>0</v>
      </c>
      <c r="AH44" s="2648"/>
      <c r="AI44" s="2646">
        <v>0</v>
      </c>
      <c r="AJ44" s="2648"/>
      <c r="AK44" s="2631">
        <f t="shared" si="4"/>
        <v>0</v>
      </c>
      <c r="AL44" s="2654"/>
      <c r="AM44" s="2654"/>
      <c r="AN44" s="2632"/>
      <c r="AO44" s="2632"/>
      <c r="AP44" s="2632"/>
      <c r="AQ44" s="2632"/>
      <c r="AR44" s="2632"/>
      <c r="AS44" s="2632"/>
      <c r="AT44" s="2348"/>
    </row>
    <row r="45" spans="1:47" ht="15" customHeight="1" x14ac:dyDescent="0.2">
      <c r="A45" s="2339"/>
      <c r="B45" s="2632">
        <v>0</v>
      </c>
      <c r="C45" s="2632">
        <v>0</v>
      </c>
      <c r="D45" s="2632">
        <v>0</v>
      </c>
      <c r="E45" s="2632">
        <v>0</v>
      </c>
      <c r="F45" s="2632">
        <v>0</v>
      </c>
      <c r="G45" s="2632">
        <v>0</v>
      </c>
      <c r="H45" s="2632">
        <v>0</v>
      </c>
      <c r="I45" s="2339"/>
      <c r="J45" s="2658"/>
      <c r="K45" s="2531"/>
      <c r="L45" s="2531"/>
      <c r="M45" s="2632">
        <v>0</v>
      </c>
      <c r="N45" s="2632">
        <v>0</v>
      </c>
      <c r="O45" s="2632">
        <v>0</v>
      </c>
      <c r="P45" s="2632">
        <v>0</v>
      </c>
      <c r="Q45" s="2632">
        <v>0</v>
      </c>
      <c r="R45" s="2632">
        <v>0</v>
      </c>
      <c r="S45" s="2632">
        <v>0</v>
      </c>
      <c r="T45" s="2632">
        <v>0</v>
      </c>
      <c r="U45" s="2632">
        <v>0</v>
      </c>
      <c r="V45" s="2632">
        <v>0</v>
      </c>
      <c r="W45" s="2632">
        <v>0</v>
      </c>
      <c r="X45" s="2632">
        <v>0</v>
      </c>
      <c r="Y45" s="2632">
        <v>0</v>
      </c>
      <c r="Z45" s="2632">
        <v>0</v>
      </c>
      <c r="AA45" s="27">
        <f t="shared" si="3"/>
        <v>0</v>
      </c>
      <c r="AB45" s="2653" t="s">
        <v>183</v>
      </c>
      <c r="AC45" s="2646"/>
      <c r="AD45" s="2531"/>
      <c r="AE45" s="2632">
        <v>109.6</v>
      </c>
      <c r="AF45" s="2648"/>
      <c r="AG45" s="2646">
        <f>-AH45/$D$2%</f>
        <v>0</v>
      </c>
      <c r="AH45" s="2648"/>
      <c r="AI45" s="2646">
        <v>0</v>
      </c>
      <c r="AJ45" s="2648"/>
      <c r="AK45" s="2631">
        <f t="shared" si="4"/>
        <v>0</v>
      </c>
      <c r="AL45" s="2655"/>
      <c r="AM45" s="2531"/>
      <c r="AN45" s="2531"/>
      <c r="AO45" s="2531"/>
      <c r="AP45" s="2531"/>
      <c r="AQ45" s="2531"/>
      <c r="AR45" s="2531"/>
      <c r="AS45" s="2531"/>
      <c r="AT45" s="2348"/>
    </row>
    <row r="46" spans="1:47" ht="15" customHeight="1" x14ac:dyDescent="0.2">
      <c r="A46" s="2339"/>
      <c r="B46" s="2531"/>
      <c r="C46" s="2531"/>
      <c r="D46" s="2531"/>
      <c r="E46" s="2531"/>
      <c r="F46" s="2531"/>
      <c r="G46" s="2531"/>
      <c r="H46" s="2531"/>
      <c r="I46" s="2632">
        <v>0</v>
      </c>
      <c r="J46" s="2531"/>
      <c r="K46" s="2531"/>
      <c r="L46" s="2531"/>
      <c r="M46" s="2531"/>
      <c r="N46" s="2531"/>
      <c r="O46" s="2531"/>
      <c r="P46" s="2531"/>
      <c r="Q46" s="2632">
        <f>AI46-AH46</f>
        <v>0</v>
      </c>
      <c r="R46" s="2531"/>
      <c r="S46" s="2531"/>
      <c r="T46" s="2531"/>
      <c r="U46" s="2531"/>
      <c r="V46" s="2531"/>
      <c r="W46" s="2531"/>
      <c r="X46" s="2531"/>
      <c r="Y46" s="2531"/>
      <c r="Z46" s="2531"/>
      <c r="AA46" s="27">
        <f t="shared" si="3"/>
        <v>0</v>
      </c>
      <c r="AB46" s="2653" t="s">
        <v>184</v>
      </c>
      <c r="AC46" s="2646"/>
      <c r="AD46" s="2531"/>
      <c r="AE46" s="2632">
        <v>332.5</v>
      </c>
      <c r="AF46" s="2648"/>
      <c r="AG46" s="2646">
        <f>-AH46/$D$2%</f>
        <v>0</v>
      </c>
      <c r="AH46" s="2648"/>
      <c r="AI46" s="2646">
        <v>0</v>
      </c>
      <c r="AJ46" s="2348"/>
      <c r="AK46" s="2631">
        <f t="shared" si="4"/>
        <v>0</v>
      </c>
      <c r="AL46" s="2655"/>
      <c r="AM46" s="2531"/>
      <c r="AN46" s="2531"/>
      <c r="AO46" s="2531"/>
      <c r="AP46" s="2531"/>
      <c r="AQ46" s="2531"/>
      <c r="AR46" s="2531"/>
      <c r="AS46" s="2531"/>
      <c r="AT46" s="2348"/>
    </row>
    <row r="47" spans="1:47" ht="15" customHeight="1" x14ac:dyDescent="0.2">
      <c r="A47" s="2531"/>
      <c r="B47" s="2531"/>
      <c r="C47" s="2531"/>
      <c r="D47" s="2531"/>
      <c r="E47" s="2531"/>
      <c r="F47" s="2531"/>
      <c r="G47" s="2531"/>
      <c r="H47" s="2531"/>
      <c r="I47" s="2531"/>
      <c r="J47" s="2531"/>
      <c r="K47" s="2531"/>
      <c r="L47" s="2531"/>
      <c r="M47" s="2531"/>
      <c r="N47" s="2531"/>
      <c r="O47" s="2531"/>
      <c r="P47" s="2531"/>
      <c r="Q47" s="2531"/>
      <c r="R47" s="2531"/>
      <c r="S47" s="2531"/>
      <c r="T47" s="2531"/>
      <c r="U47" s="2531"/>
      <c r="V47" s="2531"/>
      <c r="W47" s="2531"/>
      <c r="X47" s="2531"/>
      <c r="Y47" s="2531"/>
      <c r="Z47" s="2531"/>
      <c r="AA47" s="27">
        <f t="shared" si="3"/>
        <v>0</v>
      </c>
      <c r="AB47" s="2653" t="s">
        <v>185</v>
      </c>
      <c r="AC47" s="2646"/>
      <c r="AD47" s="2531"/>
      <c r="AE47" s="2632">
        <v>100</v>
      </c>
      <c r="AF47" s="2648"/>
      <c r="AG47" s="2646">
        <f>-AH47/$D$2%</f>
        <v>0</v>
      </c>
      <c r="AH47" s="2648"/>
      <c r="AI47" s="2646">
        <v>0</v>
      </c>
      <c r="AJ47" s="2648"/>
      <c r="AK47" s="2631">
        <f t="shared" si="4"/>
        <v>0</v>
      </c>
      <c r="AL47" s="2655"/>
      <c r="AM47" s="2531"/>
      <c r="AN47" s="2531"/>
      <c r="AO47" s="2531"/>
      <c r="AP47" s="2531"/>
      <c r="AQ47" s="2531"/>
      <c r="AR47" s="2531"/>
      <c r="AS47" s="2531"/>
      <c r="AT47" s="2348"/>
    </row>
    <row r="48" spans="1:47" ht="15" customHeight="1" x14ac:dyDescent="0.2">
      <c r="A48" s="2339"/>
      <c r="B48" s="2531"/>
      <c r="C48" s="2531"/>
      <c r="D48" s="2531"/>
      <c r="E48" s="2531"/>
      <c r="F48" s="2531"/>
      <c r="G48" s="2531"/>
      <c r="H48" s="2531"/>
      <c r="I48" s="2531"/>
      <c r="J48" s="2531"/>
      <c r="K48" s="2531"/>
      <c r="L48" s="2531"/>
      <c r="M48" s="2531"/>
      <c r="N48" s="2531"/>
      <c r="O48" s="2632">
        <v>0</v>
      </c>
      <c r="P48" s="2531"/>
      <c r="Q48" s="2531"/>
      <c r="R48" s="2531"/>
      <c r="S48" s="2531"/>
      <c r="T48" s="2531"/>
      <c r="U48" s="2531"/>
      <c r="V48" s="2531"/>
      <c r="W48" s="2531"/>
      <c r="X48" s="2531"/>
      <c r="Y48" s="2531"/>
      <c r="Z48" s="2531"/>
      <c r="AA48" s="27">
        <f t="shared" si="3"/>
        <v>0</v>
      </c>
      <c r="AB48" s="2653" t="s">
        <v>186</v>
      </c>
      <c r="AC48" s="2646"/>
      <c r="AD48" s="2531"/>
      <c r="AE48" s="2632">
        <v>100</v>
      </c>
      <c r="AF48" s="2648"/>
      <c r="AG48" s="2646"/>
      <c r="AH48" s="2648"/>
      <c r="AI48" s="2646">
        <v>0</v>
      </c>
      <c r="AJ48" s="2648"/>
      <c r="AK48" s="2631">
        <f t="shared" si="4"/>
        <v>0</v>
      </c>
      <c r="AL48" s="2655"/>
      <c r="AM48" s="2531"/>
      <c r="AN48" s="2531"/>
      <c r="AO48" s="2531"/>
      <c r="AP48" s="2531"/>
      <c r="AQ48" s="2531"/>
      <c r="AR48" s="2531"/>
      <c r="AS48" s="2531"/>
      <c r="AT48" s="2348"/>
    </row>
    <row r="49" spans="1:46" ht="15" customHeight="1" x14ac:dyDescent="0.2">
      <c r="A49" s="2339"/>
      <c r="B49" s="2531"/>
      <c r="C49" s="2531"/>
      <c r="D49" s="2531"/>
      <c r="E49" s="2531"/>
      <c r="F49" s="2531"/>
      <c r="G49" s="2531"/>
      <c r="H49" s="2531"/>
      <c r="I49" s="2531"/>
      <c r="J49" s="2531"/>
      <c r="K49" s="2531"/>
      <c r="L49" s="2531"/>
      <c r="M49" s="2531"/>
      <c r="N49" s="2531"/>
      <c r="O49" s="2632"/>
      <c r="P49" s="2632">
        <v>0</v>
      </c>
      <c r="Q49" s="2531"/>
      <c r="R49" s="2531"/>
      <c r="S49" s="2531"/>
      <c r="T49" s="2531"/>
      <c r="U49" s="2531"/>
      <c r="V49" s="2531"/>
      <c r="W49" s="2531"/>
      <c r="X49" s="2531"/>
      <c r="Y49" s="2531"/>
      <c r="Z49" s="2531"/>
      <c r="AA49" s="27">
        <f t="shared" si="3"/>
        <v>0</v>
      </c>
      <c r="AB49" s="2653" t="s">
        <v>187</v>
      </c>
      <c r="AC49" s="2646"/>
      <c r="AD49" s="2531"/>
      <c r="AE49" s="2632">
        <v>100</v>
      </c>
      <c r="AF49" s="2648"/>
      <c r="AG49" s="2646">
        <f>AA49*AC49%</f>
        <v>0</v>
      </c>
      <c r="AH49" s="2648"/>
      <c r="AI49" s="2646">
        <f>AA49*AE49%</f>
        <v>0</v>
      </c>
      <c r="AJ49" s="2648"/>
      <c r="AK49" s="2631">
        <f t="shared" si="4"/>
        <v>0</v>
      </c>
      <c r="AL49" s="2655"/>
      <c r="AM49" s="2531"/>
      <c r="AN49" s="2531"/>
      <c r="AO49" s="2531"/>
      <c r="AP49" s="2531"/>
      <c r="AQ49" s="2531"/>
      <c r="AR49" s="2531"/>
      <c r="AS49" s="2531"/>
      <c r="AT49" s="2348"/>
    </row>
    <row r="50" spans="1:46" ht="15" customHeight="1" x14ac:dyDescent="0.2">
      <c r="A50" s="2633"/>
      <c r="B50" s="2339"/>
      <c r="C50" s="2339"/>
      <c r="D50" s="2339"/>
      <c r="E50" s="2339"/>
      <c r="F50" s="2339"/>
      <c r="G50" s="2339"/>
      <c r="H50" s="2339"/>
      <c r="I50" s="2632"/>
      <c r="J50" s="2632"/>
      <c r="K50" s="2632"/>
      <c r="L50" s="2632"/>
      <c r="M50" s="2339"/>
      <c r="N50" s="2339"/>
      <c r="O50" s="2339"/>
      <c r="P50" s="2339"/>
      <c r="Q50" s="2531"/>
      <c r="R50" s="2531"/>
      <c r="S50" s="2531"/>
      <c r="T50" s="2531"/>
      <c r="U50" s="2531"/>
      <c r="V50" s="2531"/>
      <c r="W50" s="2531"/>
      <c r="X50" s="2531"/>
      <c r="Y50" s="2531"/>
      <c r="Z50" s="2531"/>
      <c r="AA50" s="27">
        <f t="shared" si="3"/>
        <v>0</v>
      </c>
      <c r="AB50" s="2653" t="s">
        <v>188</v>
      </c>
      <c r="AC50" s="2646"/>
      <c r="AD50" s="2531"/>
      <c r="AE50" s="2632">
        <v>100</v>
      </c>
      <c r="AF50" s="2648"/>
      <c r="AG50" s="2646"/>
      <c r="AH50" s="2648"/>
      <c r="AI50" s="2646">
        <f>AA50*AE50%</f>
        <v>0</v>
      </c>
      <c r="AJ50" s="2648"/>
      <c r="AK50" s="2631">
        <f t="shared" si="4"/>
        <v>0</v>
      </c>
      <c r="AL50" s="2655"/>
      <c r="AM50" s="2531"/>
      <c r="AN50" s="2531"/>
      <c r="AO50" s="2531"/>
      <c r="AP50" s="2531"/>
      <c r="AQ50" s="2531"/>
      <c r="AR50" s="2531"/>
      <c r="AS50" s="2531"/>
      <c r="AT50" s="2348"/>
    </row>
    <row r="51" spans="1:46" ht="15" customHeight="1" x14ac:dyDescent="0.2">
      <c r="A51" s="2339"/>
      <c r="B51" s="2339"/>
      <c r="C51" s="2339"/>
      <c r="D51" s="2339"/>
      <c r="E51" s="2339"/>
      <c r="F51" s="2339"/>
      <c r="G51" s="2339"/>
      <c r="H51" s="2339"/>
      <c r="I51" s="2339"/>
      <c r="J51" s="2531"/>
      <c r="K51" s="2531"/>
      <c r="L51" s="2531"/>
      <c r="M51" s="2339"/>
      <c r="N51" s="2339"/>
      <c r="O51" s="2339"/>
      <c r="P51" s="2339"/>
      <c r="Q51" s="2531"/>
      <c r="R51" s="2339"/>
      <c r="S51" s="2339"/>
      <c r="T51" s="2339"/>
      <c r="U51" s="2339"/>
      <c r="V51" s="2339"/>
      <c r="W51" s="2339"/>
      <c r="X51" s="2339"/>
      <c r="Y51" s="2339"/>
      <c r="Z51" s="2339"/>
      <c r="AA51" s="27">
        <f t="shared" si="3"/>
        <v>0</v>
      </c>
      <c r="AB51" s="2653" t="s">
        <v>189</v>
      </c>
      <c r="AC51" s="2646"/>
      <c r="AD51" s="2531"/>
      <c r="AE51" s="2531"/>
      <c r="AF51" s="2632">
        <f>100-'E-Tiltag'!$J$19</f>
        <v>99.75</v>
      </c>
      <c r="AG51" s="2646"/>
      <c r="AH51" s="2648"/>
      <c r="AI51" s="2646">
        <f>AA51*AE51%</f>
        <v>0</v>
      </c>
      <c r="AJ51" s="2648">
        <f>-AI51*AF51/100</f>
        <v>0</v>
      </c>
      <c r="AK51" s="2631">
        <f t="shared" si="4"/>
        <v>0</v>
      </c>
      <c r="AL51" s="2654">
        <f>AJ51*64.9%</f>
        <v>0</v>
      </c>
      <c r="AM51" s="2654">
        <f>AJ51*9.8%</f>
        <v>0</v>
      </c>
      <c r="AN51" s="2632">
        <f>AJ51*13.2%</f>
        <v>0</v>
      </c>
      <c r="AO51" s="2632">
        <f>AJ51*7%</f>
        <v>0</v>
      </c>
      <c r="AP51" s="2632"/>
      <c r="AQ51" s="2632">
        <f>AJ51*3.6%</f>
        <v>0</v>
      </c>
      <c r="AR51" s="2632">
        <f>AJ51*1.5%</f>
        <v>0</v>
      </c>
      <c r="AS51" s="2632"/>
      <c r="AT51" s="2348"/>
    </row>
    <row r="52" spans="1:46" ht="15" customHeight="1" x14ac:dyDescent="0.2">
      <c r="A52" s="2339"/>
      <c r="B52" s="2632">
        <v>0</v>
      </c>
      <c r="C52" s="2632">
        <v>0</v>
      </c>
      <c r="D52" s="2632">
        <v>0</v>
      </c>
      <c r="E52" s="2632">
        <v>0</v>
      </c>
      <c r="F52" s="2632">
        <v>0</v>
      </c>
      <c r="G52" s="2632">
        <v>0</v>
      </c>
      <c r="H52" s="2632">
        <v>0</v>
      </c>
      <c r="I52" s="2632">
        <v>0</v>
      </c>
      <c r="J52" s="2658"/>
      <c r="K52" s="2531"/>
      <c r="L52" s="2531"/>
      <c r="M52" s="2632">
        <v>0</v>
      </c>
      <c r="N52" s="2632">
        <v>0</v>
      </c>
      <c r="O52" s="2632">
        <v>0</v>
      </c>
      <c r="P52" s="2632">
        <v>0</v>
      </c>
      <c r="Q52" s="2632">
        <v>0</v>
      </c>
      <c r="R52" s="2632">
        <v>0</v>
      </c>
      <c r="S52" s="2632">
        <v>0</v>
      </c>
      <c r="T52" s="2632">
        <v>0</v>
      </c>
      <c r="U52" s="2632">
        <v>0</v>
      </c>
      <c r="V52" s="2632">
        <v>0</v>
      </c>
      <c r="W52" s="2632">
        <v>0</v>
      </c>
      <c r="X52" s="2632">
        <v>0</v>
      </c>
      <c r="Y52" s="2632">
        <v>0</v>
      </c>
      <c r="Z52" s="2632">
        <v>0</v>
      </c>
      <c r="AA52" s="27">
        <f t="shared" si="3"/>
        <v>0</v>
      </c>
      <c r="AB52" s="2653" t="s">
        <v>190</v>
      </c>
      <c r="AC52" s="2632">
        <v>0</v>
      </c>
      <c r="AD52" s="2531"/>
      <c r="AE52" s="2632">
        <v>0</v>
      </c>
      <c r="AF52" s="2648"/>
      <c r="AG52" s="2633">
        <f>AC52/100*AA52</f>
        <v>0</v>
      </c>
      <c r="AH52" s="2348"/>
      <c r="AI52" s="2633">
        <f>AA52*AE52/100</f>
        <v>0</v>
      </c>
      <c r="AJ52" s="2348"/>
      <c r="AK52" s="2631">
        <f t="shared" si="4"/>
        <v>0</v>
      </c>
      <c r="AL52" s="2655"/>
      <c r="AM52" s="2531"/>
      <c r="AN52" s="2531"/>
      <c r="AO52" s="2531"/>
      <c r="AP52" s="2531"/>
      <c r="AQ52" s="2531"/>
      <c r="AR52" s="2531"/>
      <c r="AS52" s="2531"/>
      <c r="AT52" s="2348"/>
    </row>
    <row r="53" spans="1:46" ht="15" customHeight="1" x14ac:dyDescent="0.2">
      <c r="A53" s="2339"/>
      <c r="B53" s="2632">
        <v>0</v>
      </c>
      <c r="C53" s="2632">
        <v>0</v>
      </c>
      <c r="D53" s="2632">
        <v>0</v>
      </c>
      <c r="E53" s="2632">
        <v>0</v>
      </c>
      <c r="F53" s="2632">
        <v>0</v>
      </c>
      <c r="G53" s="2632">
        <v>0</v>
      </c>
      <c r="H53" s="2632">
        <v>0</v>
      </c>
      <c r="I53" s="2632">
        <v>0</v>
      </c>
      <c r="J53" s="2658"/>
      <c r="K53" s="2632"/>
      <c r="L53" s="2632"/>
      <c r="M53" s="2632">
        <v>0</v>
      </c>
      <c r="N53" s="2632">
        <v>0</v>
      </c>
      <c r="O53" s="2632">
        <v>0</v>
      </c>
      <c r="P53" s="2632">
        <v>0</v>
      </c>
      <c r="Q53" s="2632">
        <v>0</v>
      </c>
      <c r="R53" s="2632">
        <v>0</v>
      </c>
      <c r="S53" s="2632">
        <v>0</v>
      </c>
      <c r="T53" s="2632">
        <v>0</v>
      </c>
      <c r="U53" s="2632">
        <v>0</v>
      </c>
      <c r="V53" s="2632">
        <v>0</v>
      </c>
      <c r="W53" s="2632">
        <v>0</v>
      </c>
      <c r="X53" s="2632">
        <v>0</v>
      </c>
      <c r="Y53" s="2632">
        <v>0</v>
      </c>
      <c r="Z53" s="2632">
        <v>0</v>
      </c>
      <c r="AA53" s="27">
        <f t="shared" si="3"/>
        <v>0</v>
      </c>
      <c r="AB53" s="2653" t="s">
        <v>191</v>
      </c>
      <c r="AC53" s="2646"/>
      <c r="AD53" s="2531"/>
      <c r="AE53" s="2632">
        <v>0</v>
      </c>
      <c r="AF53" s="2648"/>
      <c r="AG53" s="2633">
        <f>AC53/100*AA53</f>
        <v>0</v>
      </c>
      <c r="AH53" s="2348"/>
      <c r="AI53" s="2633">
        <f>AA53*AE53/100</f>
        <v>0</v>
      </c>
      <c r="AJ53" s="2348"/>
      <c r="AK53" s="2631">
        <f t="shared" si="4"/>
        <v>0</v>
      </c>
      <c r="AL53" s="2655"/>
      <c r="AM53" s="2531"/>
      <c r="AN53" s="2531"/>
      <c r="AO53" s="2531"/>
      <c r="AP53" s="2531"/>
      <c r="AQ53" s="2531"/>
      <c r="AR53" s="2531"/>
      <c r="AS53" s="2531"/>
      <c r="AT53" s="2348"/>
    </row>
    <row r="54" spans="1:46" ht="15" customHeight="1" x14ac:dyDescent="0.2">
      <c r="A54" s="2339"/>
      <c r="B54" s="2339"/>
      <c r="C54" s="2531"/>
      <c r="D54" s="2531"/>
      <c r="E54" s="2531"/>
      <c r="F54" s="2531"/>
      <c r="G54" s="2531"/>
      <c r="H54" s="2531"/>
      <c r="I54" s="2531"/>
      <c r="J54" s="2531"/>
      <c r="K54" s="2531"/>
      <c r="L54" s="2531"/>
      <c r="M54" s="2339"/>
      <c r="N54" s="2339"/>
      <c r="O54" s="2339"/>
      <c r="P54" s="2339"/>
      <c r="Q54" s="2531"/>
      <c r="R54" s="2339"/>
      <c r="S54" s="2531"/>
      <c r="T54" s="2339"/>
      <c r="U54" s="2632"/>
      <c r="V54" s="2531"/>
      <c r="W54" s="2339"/>
      <c r="X54" s="2339"/>
      <c r="Y54" s="2531"/>
      <c r="Z54" s="2339"/>
      <c r="AA54" s="27">
        <f t="shared" si="3"/>
        <v>0</v>
      </c>
      <c r="AB54" s="2653" t="s">
        <v>192</v>
      </c>
      <c r="AC54" s="2646"/>
      <c r="AD54" s="2531"/>
      <c r="AE54" s="2632">
        <v>100</v>
      </c>
      <c r="AF54" s="2648"/>
      <c r="AG54" s="2633">
        <f>AC54/100*AA54</f>
        <v>0</v>
      </c>
      <c r="AH54" s="2657"/>
      <c r="AI54" s="2632">
        <v>0</v>
      </c>
      <c r="AJ54" s="2348"/>
      <c r="AK54" s="2631">
        <f t="shared" si="4"/>
        <v>0</v>
      </c>
      <c r="AL54" s="2655"/>
      <c r="AM54" s="2531"/>
      <c r="AN54" s="2531"/>
      <c r="AO54" s="2531"/>
      <c r="AP54" s="2531"/>
      <c r="AQ54" s="2531"/>
      <c r="AR54" s="2531"/>
      <c r="AS54" s="2531"/>
      <c r="AT54" s="2348"/>
    </row>
    <row r="55" spans="1:46" ht="15" customHeight="1" x14ac:dyDescent="0.2">
      <c r="A55" s="2339"/>
      <c r="B55" s="2339"/>
      <c r="C55" s="2339"/>
      <c r="D55" s="2339"/>
      <c r="E55" s="2339"/>
      <c r="F55" s="2339"/>
      <c r="G55" s="2339"/>
      <c r="H55" s="2339"/>
      <c r="I55" s="2339"/>
      <c r="J55" s="2531"/>
      <c r="K55" s="2531"/>
      <c r="L55" s="2531"/>
      <c r="M55" s="2339"/>
      <c r="N55" s="2339"/>
      <c r="O55" s="2339"/>
      <c r="P55" s="2339"/>
      <c r="Q55" s="2339"/>
      <c r="R55" s="2339"/>
      <c r="S55" s="2339"/>
      <c r="T55" s="2339"/>
      <c r="U55" s="2339"/>
      <c r="V55" s="2339"/>
      <c r="W55" s="2339"/>
      <c r="X55" s="2339"/>
      <c r="Y55" s="2531"/>
      <c r="Z55" s="2339"/>
      <c r="AA55" s="27">
        <f t="shared" si="3"/>
        <v>0</v>
      </c>
      <c r="AB55" s="2656" t="s">
        <v>193</v>
      </c>
      <c r="AC55" s="2633"/>
      <c r="AD55" s="2339"/>
      <c r="AE55" s="2339"/>
      <c r="AF55" s="64"/>
      <c r="AG55" s="2633">
        <f>-AH55</f>
        <v>0</v>
      </c>
      <c r="AH55" s="2632">
        <v>0</v>
      </c>
      <c r="AI55" s="2646"/>
      <c r="AJ55" s="2348"/>
      <c r="AK55" s="2631">
        <f t="shared" si="4"/>
        <v>0</v>
      </c>
      <c r="AL55" s="2655"/>
      <c r="AM55" s="2531"/>
      <c r="AN55" s="2531"/>
      <c r="AO55" s="2531"/>
      <c r="AP55" s="2531"/>
      <c r="AQ55" s="2531">
        <f>AH55</f>
        <v>0</v>
      </c>
      <c r="AR55" s="2531"/>
      <c r="AS55" s="2531"/>
      <c r="AT55" s="2348"/>
    </row>
    <row r="56" spans="1:46" ht="15" customHeight="1" x14ac:dyDescent="0.2">
      <c r="A56" s="2339"/>
      <c r="B56" s="2339"/>
      <c r="C56" s="2339"/>
      <c r="D56" s="2339"/>
      <c r="E56" s="2339"/>
      <c r="F56" s="2339"/>
      <c r="G56" s="2339"/>
      <c r="H56" s="2339"/>
      <c r="I56" s="2339"/>
      <c r="J56" s="2531"/>
      <c r="K56" s="2531"/>
      <c r="L56" s="2531"/>
      <c r="M56" s="2339"/>
      <c r="N56" s="2339"/>
      <c r="O56" s="2339"/>
      <c r="P56" s="2339"/>
      <c r="Q56" s="2339"/>
      <c r="R56" s="2339"/>
      <c r="S56" s="2339"/>
      <c r="T56" s="2339"/>
      <c r="U56" s="2339"/>
      <c r="V56" s="2339"/>
      <c r="W56" s="2339"/>
      <c r="X56" s="2339"/>
      <c r="Y56" s="2339"/>
      <c r="Z56" s="2339"/>
      <c r="AA56" s="27">
        <f t="shared" si="3"/>
        <v>0</v>
      </c>
      <c r="AB56" s="2656" t="s">
        <v>530</v>
      </c>
      <c r="AC56" s="2633"/>
      <c r="AD56" s="2339"/>
      <c r="AE56" s="2339"/>
      <c r="AF56" s="2648"/>
      <c r="AG56" s="2633"/>
      <c r="AH56" s="2648"/>
      <c r="AI56" s="2632">
        <v>0</v>
      </c>
      <c r="AJ56" s="2348"/>
      <c r="AK56" s="2631">
        <f t="shared" si="4"/>
        <v>0</v>
      </c>
      <c r="AL56" s="2655"/>
      <c r="AM56" s="2531"/>
      <c r="AN56" s="2531"/>
      <c r="AO56" s="2531"/>
      <c r="AP56" s="2531"/>
      <c r="AQ56" s="2531">
        <f>-AI56</f>
        <v>0</v>
      </c>
      <c r="AR56" s="2531"/>
      <c r="AS56" s="2531"/>
      <c r="AT56" s="2348"/>
    </row>
    <row r="57" spans="1:46" ht="15" customHeight="1" x14ac:dyDescent="0.2">
      <c r="A57" s="2339"/>
      <c r="B57" s="2339"/>
      <c r="C57" s="2339"/>
      <c r="D57" s="2339"/>
      <c r="E57" s="2339"/>
      <c r="F57" s="2339"/>
      <c r="G57" s="2339"/>
      <c r="H57" s="2339"/>
      <c r="I57" s="2339"/>
      <c r="J57" s="2678">
        <f>-'E-Tiltag'!U53</f>
        <v>0</v>
      </c>
      <c r="K57" s="2531"/>
      <c r="L57" s="2531"/>
      <c r="M57" s="2339"/>
      <c r="N57" s="2339"/>
      <c r="O57" s="2339"/>
      <c r="P57" s="2339"/>
      <c r="Q57" s="2339"/>
      <c r="R57" s="2531"/>
      <c r="S57" s="2531"/>
      <c r="T57" s="2531"/>
      <c r="U57" s="2339"/>
      <c r="V57" s="2339"/>
      <c r="W57" s="2339"/>
      <c r="X57" s="2339"/>
      <c r="Y57" s="2339"/>
      <c r="Z57" s="2339"/>
      <c r="AA57" s="27">
        <f t="shared" si="3"/>
        <v>0</v>
      </c>
      <c r="AB57" s="2653" t="s">
        <v>194</v>
      </c>
      <c r="AC57" s="2633">
        <v>65</v>
      </c>
      <c r="AD57" s="2339"/>
      <c r="AE57" s="2339">
        <v>15</v>
      </c>
      <c r="AF57" s="2648"/>
      <c r="AG57" s="2633">
        <f>-AH57/$D$2%</f>
        <v>0</v>
      </c>
      <c r="AH57" s="2648"/>
      <c r="AI57" s="2646">
        <f>AH57*AE57%</f>
        <v>0</v>
      </c>
      <c r="AJ57" s="2348">
        <f>AI57*AF60%</f>
        <v>0</v>
      </c>
      <c r="AK57" s="2631">
        <f t="shared" si="4"/>
        <v>0</v>
      </c>
      <c r="AL57" s="2655"/>
      <c r="AM57" s="2655"/>
      <c r="AN57" s="2531"/>
      <c r="AO57" s="2531"/>
      <c r="AP57" s="2531"/>
      <c r="AQ57" s="2531"/>
      <c r="AR57" s="2531"/>
      <c r="AS57" s="2531"/>
      <c r="AT57" s="2348"/>
    </row>
    <row r="58" spans="1:46" ht="15" customHeight="1" x14ac:dyDescent="0.2">
      <c r="A58" s="2339"/>
      <c r="B58" s="2339"/>
      <c r="C58" s="2339"/>
      <c r="D58" s="2339"/>
      <c r="E58" s="2339"/>
      <c r="F58" s="2531"/>
      <c r="G58" s="2531"/>
      <c r="H58" s="2531"/>
      <c r="I58" s="2339"/>
      <c r="J58" s="2531"/>
      <c r="K58" s="2531"/>
      <c r="L58" s="2531"/>
      <c r="M58" s="2339"/>
      <c r="N58" s="2339"/>
      <c r="O58" s="2339"/>
      <c r="P58" s="2339"/>
      <c r="Q58" s="2339"/>
      <c r="R58" s="2531"/>
      <c r="S58" s="2531"/>
      <c r="T58" s="2531"/>
      <c r="U58" s="2339"/>
      <c r="V58" s="2339"/>
      <c r="W58" s="2339"/>
      <c r="X58" s="2339"/>
      <c r="Y58" s="2339"/>
      <c r="Z58" s="2339"/>
      <c r="AA58" s="27">
        <f t="shared" si="3"/>
        <v>0</v>
      </c>
      <c r="AB58" s="2653" t="s">
        <v>195</v>
      </c>
      <c r="AC58" s="2633">
        <v>630</v>
      </c>
      <c r="AD58" s="2339"/>
      <c r="AE58" s="2339"/>
      <c r="AF58" s="2648"/>
      <c r="AG58" s="2633">
        <f>-AH58/$D$2%</f>
        <v>0</v>
      </c>
      <c r="AH58" s="2676">
        <f>'E-Tiltag'!$U$50</f>
        <v>0</v>
      </c>
      <c r="AI58" s="2646">
        <f>AH58*AE58%</f>
        <v>0</v>
      </c>
      <c r="AJ58" s="2348">
        <f>AI58*AF61%</f>
        <v>0</v>
      </c>
      <c r="AK58" s="2631">
        <f t="shared" si="4"/>
        <v>0</v>
      </c>
      <c r="AL58" s="2655"/>
      <c r="AM58" s="2655"/>
      <c r="AN58" s="2531"/>
      <c r="AO58" s="2531"/>
      <c r="AP58" s="2531"/>
      <c r="AQ58" s="2531"/>
      <c r="AR58" s="2531"/>
      <c r="AS58" s="2531"/>
      <c r="AT58" s="2348"/>
    </row>
    <row r="59" spans="1:46" ht="15" customHeight="1" x14ac:dyDescent="0.2">
      <c r="A59" s="2339"/>
      <c r="B59" s="2339"/>
      <c r="C59" s="2339"/>
      <c r="D59" s="2339"/>
      <c r="E59" s="2339"/>
      <c r="F59" s="2531"/>
      <c r="G59" s="2531"/>
      <c r="H59" s="2531"/>
      <c r="I59" s="2339"/>
      <c r="J59" s="2531"/>
      <c r="K59" s="2531"/>
      <c r="L59" s="2531"/>
      <c r="M59" s="2339"/>
      <c r="N59" s="2339"/>
      <c r="O59" s="2339"/>
      <c r="P59" s="2339"/>
      <c r="Q59" s="2339"/>
      <c r="R59" s="2531"/>
      <c r="S59" s="2531"/>
      <c r="T59" s="2531"/>
      <c r="U59" s="2339"/>
      <c r="V59" s="2339"/>
      <c r="W59" s="2339"/>
      <c r="X59" s="2339"/>
      <c r="Y59" s="2339"/>
      <c r="Z59" s="2339"/>
      <c r="AA59" s="27">
        <f t="shared" si="3"/>
        <v>0</v>
      </c>
      <c r="AB59" s="2653" t="s">
        <v>196</v>
      </c>
      <c r="AC59" s="2633"/>
      <c r="AD59" s="2339"/>
      <c r="AE59" s="2339"/>
      <c r="AF59" s="2648"/>
      <c r="AG59" s="2633">
        <f>-AH59/$D$2%</f>
        <v>0</v>
      </c>
      <c r="AH59" s="2648"/>
      <c r="AI59" s="2646">
        <f>AH59*AE59%</f>
        <v>0</v>
      </c>
      <c r="AJ59" s="2348">
        <f>AI59*AF62%</f>
        <v>0</v>
      </c>
      <c r="AK59" s="2631">
        <f t="shared" si="4"/>
        <v>0</v>
      </c>
      <c r="AL59" s="2655"/>
      <c r="AM59" s="2655"/>
      <c r="AN59" s="2531"/>
      <c r="AO59" s="2531"/>
      <c r="AP59" s="2531"/>
      <c r="AQ59" s="2531"/>
      <c r="AR59" s="2531"/>
      <c r="AS59" s="2531"/>
      <c r="AT59" s="2348"/>
    </row>
    <row r="60" spans="1:46" ht="15" customHeight="1" x14ac:dyDescent="0.2">
      <c r="A60" s="2339"/>
      <c r="B60" s="2339"/>
      <c r="C60" s="2339"/>
      <c r="D60" s="2339"/>
      <c r="E60" s="2339"/>
      <c r="F60" s="2531"/>
      <c r="G60" s="2531"/>
      <c r="H60" s="2531"/>
      <c r="I60" s="2339"/>
      <c r="J60" s="2531"/>
      <c r="K60" s="2531"/>
      <c r="L60" s="2531"/>
      <c r="M60" s="2339"/>
      <c r="N60" s="2339"/>
      <c r="O60" s="2339"/>
      <c r="P60" s="2339"/>
      <c r="Q60" s="2339"/>
      <c r="R60" s="2531"/>
      <c r="S60" s="2531"/>
      <c r="T60" s="2531"/>
      <c r="U60" s="2339"/>
      <c r="V60" s="2339"/>
      <c r="W60" s="2339"/>
      <c r="X60" s="2339"/>
      <c r="Y60" s="2339"/>
      <c r="Z60" s="2339"/>
      <c r="AA60" s="27">
        <f t="shared" si="3"/>
        <v>0</v>
      </c>
      <c r="AB60" s="2653" t="s">
        <v>197</v>
      </c>
      <c r="AC60" s="2633"/>
      <c r="AD60" s="2339"/>
      <c r="AE60" s="2339"/>
      <c r="AF60" s="2632">
        <f>100-'E-Tiltag'!$J$19</f>
        <v>99.75</v>
      </c>
      <c r="AG60" s="2633"/>
      <c r="AH60" s="2348"/>
      <c r="AI60" s="2633">
        <f>-SUM(AI52:AI59)</f>
        <v>0</v>
      </c>
      <c r="AJ60" s="2348">
        <f>-AI60*AF60/100</f>
        <v>0</v>
      </c>
      <c r="AK60" s="2631">
        <f t="shared" si="4"/>
        <v>0</v>
      </c>
      <c r="AL60" s="2654">
        <f>AJ60*64.9%</f>
        <v>0</v>
      </c>
      <c r="AM60" s="2654">
        <f>AJ60*9.8%</f>
        <v>0</v>
      </c>
      <c r="AN60" s="2632">
        <f>AJ60*13.2%</f>
        <v>0</v>
      </c>
      <c r="AO60" s="2632">
        <f>AJ60*7%</f>
        <v>0</v>
      </c>
      <c r="AP60" s="2632"/>
      <c r="AQ60" s="2632">
        <f>AJ60*3.6%</f>
        <v>0</v>
      </c>
      <c r="AR60" s="2632">
        <f>AJ60*1.5%</f>
        <v>0</v>
      </c>
      <c r="AS60" s="2632"/>
      <c r="AT60" s="2348"/>
    </row>
    <row r="61" spans="1:46" ht="15" customHeight="1" x14ac:dyDescent="0.2">
      <c r="A61" s="2633"/>
      <c r="B61" s="2339"/>
      <c r="C61" s="2339"/>
      <c r="D61" s="2339">
        <v>0</v>
      </c>
      <c r="E61" s="2339">
        <v>0</v>
      </c>
      <c r="F61" s="2531">
        <v>0</v>
      </c>
      <c r="G61" s="2531">
        <v>0</v>
      </c>
      <c r="H61" s="2675">
        <f>AA61-S61</f>
        <v>4.5894723332661291</v>
      </c>
      <c r="I61" s="2531"/>
      <c r="J61" s="2531"/>
      <c r="K61" s="2531"/>
      <c r="L61" s="2531"/>
      <c r="M61" s="2531"/>
      <c r="N61" s="2531"/>
      <c r="O61" s="2531"/>
      <c r="P61" s="2531"/>
      <c r="Q61" s="2531"/>
      <c r="R61" s="2531"/>
      <c r="S61" s="2675">
        <f>AA61*'E-Tiltag'!$AG$4</f>
        <v>0.3295762554435484</v>
      </c>
      <c r="T61" s="2531"/>
      <c r="U61" s="2339"/>
      <c r="V61" s="2339"/>
      <c r="W61" s="2339"/>
      <c r="X61" s="2339"/>
      <c r="Y61" s="2339"/>
      <c r="Z61" s="2339"/>
      <c r="AA61" s="2676">
        <f>'E-Tiltag'!AG44</f>
        <v>4.9190485887096775</v>
      </c>
      <c r="AB61" s="2653" t="s">
        <v>198</v>
      </c>
      <c r="AC61" s="2646"/>
      <c r="AD61" s="2531">
        <v>19</v>
      </c>
      <c r="AE61" s="2531"/>
      <c r="AF61" s="2348"/>
      <c r="AG61" s="2633"/>
      <c r="AH61" s="2348"/>
      <c r="AI61" s="2633"/>
      <c r="AJ61" s="2348"/>
      <c r="AK61" s="2631">
        <f t="shared" si="4"/>
        <v>0.93461923185483864</v>
      </c>
      <c r="AL61" s="2346"/>
      <c r="AM61" s="2339"/>
      <c r="AN61" s="2339"/>
      <c r="AO61" s="2339"/>
      <c r="AP61" s="2339"/>
      <c r="AQ61" s="2339"/>
      <c r="AR61" s="2339"/>
      <c r="AS61" s="2339"/>
      <c r="AT61" s="2348">
        <f>AA61*AD61/100</f>
        <v>0.93461923185483864</v>
      </c>
    </row>
    <row r="62" spans="1:46" ht="15" customHeight="1" x14ac:dyDescent="0.2">
      <c r="A62" s="2633"/>
      <c r="B62" s="2339"/>
      <c r="C62" s="2339"/>
      <c r="D62" s="2339">
        <v>0</v>
      </c>
      <c r="E62" s="2339">
        <v>0</v>
      </c>
      <c r="F62" s="2678">
        <f>AA62-S62-K62</f>
        <v>3.0371942524286166</v>
      </c>
      <c r="G62" s="2339">
        <v>0</v>
      </c>
      <c r="H62" s="2339">
        <v>0</v>
      </c>
      <c r="I62" s="2531"/>
      <c r="J62" s="2531"/>
      <c r="K62" s="2678">
        <f>'E-Tiltag'!$U$52*('E2020'!F62/SUM('E2020'!$F$62:$F$75))</f>
        <v>0</v>
      </c>
      <c r="L62" s="2531"/>
      <c r="M62" s="2531"/>
      <c r="N62" s="2531"/>
      <c r="O62" s="2531"/>
      <c r="P62" s="2531"/>
      <c r="Q62" s="2531"/>
      <c r="R62" s="2531"/>
      <c r="S62" s="2675">
        <f>AA62*'E-Tiltag'!$AG$5</f>
        <v>0.3639191321499014</v>
      </c>
      <c r="T62" s="2531"/>
      <c r="U62" s="2339"/>
      <c r="V62" s="2339"/>
      <c r="W62" s="2339"/>
      <c r="X62" s="2339"/>
      <c r="Y62" s="2339"/>
      <c r="Z62" s="2339"/>
      <c r="AA62" s="2676">
        <f>'E-Tiltag'!AG45</f>
        <v>3.401113384578518</v>
      </c>
      <c r="AB62" s="2653" t="s">
        <v>199</v>
      </c>
      <c r="AC62" s="2646"/>
      <c r="AD62" s="2531">
        <v>24.3</v>
      </c>
      <c r="AE62" s="2531"/>
      <c r="AF62" s="2348"/>
      <c r="AG62" s="2633"/>
      <c r="AH62" s="2348"/>
      <c r="AI62" s="2633"/>
      <c r="AJ62" s="2348"/>
      <c r="AK62" s="2631">
        <f t="shared" si="4"/>
        <v>0.82647055245257983</v>
      </c>
      <c r="AL62" s="2346"/>
      <c r="AM62" s="2339"/>
      <c r="AN62" s="2339"/>
      <c r="AO62" s="2339"/>
      <c r="AP62" s="2339"/>
      <c r="AQ62" s="2339"/>
      <c r="AR62" s="2339"/>
      <c r="AS62" s="2339"/>
      <c r="AT62" s="2348">
        <f>AA62*AD62/100</f>
        <v>0.82647055245257983</v>
      </c>
    </row>
    <row r="63" spans="1:46" ht="15" customHeight="1" x14ac:dyDescent="0.2">
      <c r="A63" s="2633"/>
      <c r="B63" s="2339"/>
      <c r="C63" s="2339"/>
      <c r="D63" s="2339">
        <v>0</v>
      </c>
      <c r="E63" s="2339">
        <v>0</v>
      </c>
      <c r="F63" s="2339">
        <v>0</v>
      </c>
      <c r="G63" s="2339">
        <v>0</v>
      </c>
      <c r="H63" s="2339">
        <v>0</v>
      </c>
      <c r="I63" s="26">
        <f>'E2020'!I63</f>
        <v>0</v>
      </c>
      <c r="J63" s="2531"/>
      <c r="K63" s="2531"/>
      <c r="L63" s="2531"/>
      <c r="M63" s="2531"/>
      <c r="N63" s="2531"/>
      <c r="O63" s="2531"/>
      <c r="P63" s="2531"/>
      <c r="Q63" s="2531"/>
      <c r="R63" s="2531"/>
      <c r="S63" s="2632"/>
      <c r="T63" s="2531"/>
      <c r="U63" s="2339"/>
      <c r="V63" s="2339"/>
      <c r="W63" s="2339"/>
      <c r="X63" s="2339"/>
      <c r="Y63" s="2339"/>
      <c r="Z63" s="2339"/>
      <c r="AA63" s="2348">
        <f>SUM(A63:Z63)</f>
        <v>0</v>
      </c>
      <c r="AB63" s="2653" t="s">
        <v>524</v>
      </c>
      <c r="AC63" s="2646"/>
      <c r="AD63" s="2531">
        <v>22.6</v>
      </c>
      <c r="AE63" s="2531"/>
      <c r="AF63" s="2348"/>
      <c r="AG63" s="2633"/>
      <c r="AH63" s="2348"/>
      <c r="AI63" s="2633"/>
      <c r="AJ63" s="2348"/>
      <c r="AK63" s="2631">
        <f t="shared" si="4"/>
        <v>0</v>
      </c>
      <c r="AL63" s="2346"/>
      <c r="AM63" s="2339"/>
      <c r="AN63" s="2339"/>
      <c r="AO63" s="2339"/>
      <c r="AP63" s="2339"/>
      <c r="AQ63" s="2339"/>
      <c r="AR63" s="2339"/>
      <c r="AS63" s="2339"/>
      <c r="AT63" s="2348">
        <f>AA63*AD63/100</f>
        <v>0</v>
      </c>
    </row>
    <row r="64" spans="1:46" ht="15" customHeight="1" x14ac:dyDescent="0.2">
      <c r="A64" s="2633"/>
      <c r="B64" s="2339"/>
      <c r="C64" s="2339"/>
      <c r="D64" s="2339">
        <v>0</v>
      </c>
      <c r="E64" s="2339">
        <v>0</v>
      </c>
      <c r="F64" s="2339">
        <v>0</v>
      </c>
      <c r="G64" s="2339">
        <v>0</v>
      </c>
      <c r="H64" s="2339">
        <v>0</v>
      </c>
      <c r="I64" s="2531"/>
      <c r="J64" s="2531"/>
      <c r="K64" s="2531"/>
      <c r="L64" s="2531"/>
      <c r="M64" s="2531"/>
      <c r="N64" s="2531"/>
      <c r="O64" s="2531"/>
      <c r="P64" s="2531"/>
      <c r="Q64" s="2531"/>
      <c r="R64" s="2531"/>
      <c r="S64" s="2632"/>
      <c r="T64" s="2531"/>
      <c r="U64" s="2339"/>
      <c r="V64" s="2339"/>
      <c r="W64" s="2339"/>
      <c r="X64" s="2339"/>
      <c r="Y64" s="2339"/>
      <c r="Z64" s="2339"/>
      <c r="AA64" s="2348">
        <f>SUM(A64:Z64)</f>
        <v>0</v>
      </c>
      <c r="AB64" s="2653" t="s">
        <v>525</v>
      </c>
      <c r="AC64" s="2646">
        <v>70</v>
      </c>
      <c r="AD64" s="2531"/>
      <c r="AE64" s="2531"/>
      <c r="AF64" s="2348"/>
      <c r="AG64" s="2633">
        <f>-AH64/$D$2%</f>
        <v>-14.599881549483023</v>
      </c>
      <c r="AH64" s="2676">
        <f>'E-Tiltag'!AG43</f>
        <v>13.445030918918917</v>
      </c>
      <c r="AI64" s="2633"/>
      <c r="AJ64" s="2348"/>
      <c r="AK64" s="2631">
        <f t="shared" si="4"/>
        <v>9.4115216432432405</v>
      </c>
      <c r="AL64" s="2346"/>
      <c r="AM64" s="2339"/>
      <c r="AN64" s="2339"/>
      <c r="AO64" s="2339"/>
      <c r="AP64" s="2339"/>
      <c r="AQ64" s="2339"/>
      <c r="AR64" s="2339"/>
      <c r="AS64" s="2339"/>
      <c r="AT64" s="2348">
        <f>AH64*AC64%</f>
        <v>9.4115216432432405</v>
      </c>
    </row>
    <row r="65" spans="1:46" ht="15" customHeight="1" x14ac:dyDescent="0.2">
      <c r="A65" s="2633"/>
      <c r="B65" s="2339"/>
      <c r="C65" s="2339"/>
      <c r="D65" s="2339">
        <v>0</v>
      </c>
      <c r="E65" s="2339">
        <v>0</v>
      </c>
      <c r="F65" s="2339">
        <v>0</v>
      </c>
      <c r="G65" s="2339">
        <v>0</v>
      </c>
      <c r="H65" s="2679">
        <f>AA65-S65</f>
        <v>0</v>
      </c>
      <c r="I65" s="2531"/>
      <c r="J65" s="2531"/>
      <c r="K65" s="2531"/>
      <c r="L65" s="2531"/>
      <c r="M65" s="2531"/>
      <c r="N65" s="2531"/>
      <c r="O65" s="2531"/>
      <c r="P65" s="2531"/>
      <c r="Q65" s="2531"/>
      <c r="R65" s="2531"/>
      <c r="S65" s="2675">
        <f>AA65*'E-Tiltag'!$AG$4</f>
        <v>0</v>
      </c>
      <c r="T65" s="2531"/>
      <c r="U65" s="2339"/>
      <c r="V65" s="2339"/>
      <c r="W65" s="2339"/>
      <c r="X65" s="2339"/>
      <c r="Y65" s="2339"/>
      <c r="Z65" s="2339"/>
      <c r="AA65" s="2676">
        <v>0</v>
      </c>
      <c r="AB65" s="2653" t="s">
        <v>520</v>
      </c>
      <c r="AC65" s="2646">
        <v>70</v>
      </c>
      <c r="AD65" s="2531">
        <v>19</v>
      </c>
      <c r="AE65" s="2531"/>
      <c r="AF65" s="2348"/>
      <c r="AG65" s="2633">
        <f>-AH65/$D$2%</f>
        <v>0</v>
      </c>
      <c r="AH65" s="2632">
        <f>AA65*AD65%/AC65%</f>
        <v>0</v>
      </c>
      <c r="AI65" s="2633"/>
      <c r="AJ65" s="2348"/>
      <c r="AK65" s="2631">
        <f t="shared" si="4"/>
        <v>0</v>
      </c>
      <c r="AL65" s="2346"/>
      <c r="AM65" s="2339"/>
      <c r="AN65" s="2339"/>
      <c r="AO65" s="2339"/>
      <c r="AP65" s="2339"/>
      <c r="AQ65" s="2339"/>
      <c r="AR65" s="2339"/>
      <c r="AS65" s="2339"/>
      <c r="AT65" s="2348">
        <f>AH65*AC65%+AA65*AD65%</f>
        <v>0</v>
      </c>
    </row>
    <row r="66" spans="1:46" ht="15" customHeight="1" x14ac:dyDescent="0.2">
      <c r="A66" s="2633"/>
      <c r="B66" s="2339"/>
      <c r="C66" s="2339"/>
      <c r="D66" s="2339">
        <v>0</v>
      </c>
      <c r="E66" s="2339">
        <v>0</v>
      </c>
      <c r="F66" s="2339">
        <v>0</v>
      </c>
      <c r="G66" s="2339">
        <v>0</v>
      </c>
      <c r="H66" s="2339">
        <v>0</v>
      </c>
      <c r="I66" s="2531"/>
      <c r="J66" s="2531"/>
      <c r="K66" s="2531"/>
      <c r="L66" s="2531"/>
      <c r="M66" s="2531"/>
      <c r="N66" s="2531"/>
      <c r="O66" s="2531"/>
      <c r="P66" s="2531"/>
      <c r="Q66" s="2531"/>
      <c r="R66" s="2531"/>
      <c r="S66" s="2632"/>
      <c r="T66" s="2531"/>
      <c r="U66" s="2339"/>
      <c r="V66" s="2339"/>
      <c r="W66" s="2339"/>
      <c r="X66" s="2339"/>
      <c r="Y66" s="2339"/>
      <c r="Z66" s="2339"/>
      <c r="AA66" s="2348">
        <f>SUM(A66:Z66)</f>
        <v>0</v>
      </c>
      <c r="AB66" s="2653" t="s">
        <v>519</v>
      </c>
      <c r="AC66" s="2646"/>
      <c r="AD66" s="2531">
        <v>40</v>
      </c>
      <c r="AE66" s="2531"/>
      <c r="AF66" s="2348"/>
      <c r="AG66" s="2633"/>
      <c r="AH66" s="2348"/>
      <c r="AI66" s="2633"/>
      <c r="AJ66" s="2348"/>
      <c r="AK66" s="2631">
        <f t="shared" si="4"/>
        <v>0</v>
      </c>
      <c r="AL66" s="2346"/>
      <c r="AM66" s="2339"/>
      <c r="AN66" s="2339"/>
      <c r="AO66" s="2339"/>
      <c r="AP66" s="2339"/>
      <c r="AQ66" s="2339"/>
      <c r="AR66" s="2339"/>
      <c r="AS66" s="2339"/>
      <c r="AT66" s="2348">
        <f>AA66*AD66%</f>
        <v>0</v>
      </c>
    </row>
    <row r="67" spans="1:46" ht="15" customHeight="1" x14ac:dyDescent="0.2">
      <c r="A67" s="2633"/>
      <c r="B67" s="2339"/>
      <c r="C67" s="2339"/>
      <c r="D67" s="2339">
        <v>0</v>
      </c>
      <c r="E67" s="2339">
        <v>0</v>
      </c>
      <c r="F67" s="2678">
        <f>AA67-S67-K67</f>
        <v>0.18353731318452796</v>
      </c>
      <c r="G67" s="2339">
        <v>0</v>
      </c>
      <c r="H67" s="2339">
        <v>0</v>
      </c>
      <c r="I67" s="2531"/>
      <c r="J67" s="2531"/>
      <c r="K67" s="2678">
        <f>'E-Tiltag'!$U$52*('E2020'!F67/SUM('E2020'!$F$62:$F$75))</f>
        <v>0</v>
      </c>
      <c r="L67" s="2531"/>
      <c r="M67" s="2531"/>
      <c r="N67" s="2531"/>
      <c r="O67" s="2531"/>
      <c r="P67" s="2531"/>
      <c r="Q67" s="2531"/>
      <c r="R67" s="2531"/>
      <c r="S67" s="2675">
        <f>AA67*'E-Tiltag'!$AG$5</f>
        <v>2.1991592957160685E-2</v>
      </c>
      <c r="T67" s="2531"/>
      <c r="U67" s="2339"/>
      <c r="V67" s="2339"/>
      <c r="W67" s="2339"/>
      <c r="X67" s="2339"/>
      <c r="Y67" s="2339"/>
      <c r="Z67" s="2339"/>
      <c r="AA67" s="2676">
        <f>'E-Tiltag'!$AG$85</f>
        <v>0.20552890614168864</v>
      </c>
      <c r="AB67" s="2644" t="s">
        <v>200</v>
      </c>
      <c r="AC67" s="2646"/>
      <c r="AD67" s="2531">
        <v>29.6</v>
      </c>
      <c r="AE67" s="2531"/>
      <c r="AF67" s="2348"/>
      <c r="AG67" s="2633">
        <f>-AH67/$D$2%</f>
        <v>0</v>
      </c>
      <c r="AH67" s="2348"/>
      <c r="AI67" s="2633"/>
      <c r="AJ67" s="2348"/>
      <c r="AK67" s="2631">
        <f t="shared" si="4"/>
        <v>6.0836556217939847E-2</v>
      </c>
      <c r="AL67" s="2346"/>
      <c r="AM67" s="2339"/>
      <c r="AN67" s="2339"/>
      <c r="AO67" s="2339"/>
      <c r="AP67" s="2339"/>
      <c r="AQ67" s="2339"/>
      <c r="AR67" s="2339"/>
      <c r="AS67" s="2339"/>
      <c r="AT67" s="2348">
        <f>AA67*AD67%</f>
        <v>6.0836556217939847E-2</v>
      </c>
    </row>
    <row r="68" spans="1:46" ht="15" customHeight="1" x14ac:dyDescent="0.2">
      <c r="A68" s="2633"/>
      <c r="B68" s="2339"/>
      <c r="C68" s="2339"/>
      <c r="D68" s="2339">
        <v>0</v>
      </c>
      <c r="E68" s="2339">
        <v>0</v>
      </c>
      <c r="F68" s="2339">
        <v>0</v>
      </c>
      <c r="G68" s="2339">
        <v>0</v>
      </c>
      <c r="H68" s="2339">
        <v>0</v>
      </c>
      <c r="I68" s="2675">
        <f>+'E-Tiltag'!$AG$87</f>
        <v>0</v>
      </c>
      <c r="J68" s="2531"/>
      <c r="K68" s="2531"/>
      <c r="L68" s="2531"/>
      <c r="M68" s="2531"/>
      <c r="N68" s="2531"/>
      <c r="O68" s="2531"/>
      <c r="P68" s="2531"/>
      <c r="Q68" s="2531"/>
      <c r="R68" s="2531"/>
      <c r="S68" s="2632"/>
      <c r="T68" s="2531"/>
      <c r="U68" s="2339"/>
      <c r="V68" s="2339"/>
      <c r="W68" s="2339"/>
      <c r="X68" s="2339"/>
      <c r="Y68" s="2339"/>
      <c r="Z68" s="2339"/>
      <c r="AA68" s="27">
        <f>SUM(A68:Z68)</f>
        <v>0</v>
      </c>
      <c r="AB68" s="2644" t="s">
        <v>515</v>
      </c>
      <c r="AC68" s="2646"/>
      <c r="AD68" s="2531">
        <v>26.1</v>
      </c>
      <c r="AE68" s="2531"/>
      <c r="AF68" s="2348"/>
      <c r="AG68" s="2633"/>
      <c r="AH68" s="2348"/>
      <c r="AI68" s="2633"/>
      <c r="AJ68" s="2348"/>
      <c r="AK68" s="2631">
        <f t="shared" si="4"/>
        <v>0</v>
      </c>
      <c r="AL68" s="2346"/>
      <c r="AM68" s="2339"/>
      <c r="AN68" s="2339"/>
      <c r="AO68" s="2339"/>
      <c r="AP68" s="2339"/>
      <c r="AQ68" s="2339"/>
      <c r="AR68" s="2339"/>
      <c r="AS68" s="2339"/>
      <c r="AT68" s="2348">
        <f>AA68*AD68%</f>
        <v>0</v>
      </c>
    </row>
    <row r="69" spans="1:46" ht="15" customHeight="1" x14ac:dyDescent="0.2">
      <c r="A69" s="2633"/>
      <c r="B69" s="2339"/>
      <c r="C69" s="2339"/>
      <c r="D69" s="2339">
        <v>0</v>
      </c>
      <c r="E69" s="2339">
        <v>0</v>
      </c>
      <c r="F69" s="2339">
        <v>0</v>
      </c>
      <c r="G69" s="2339">
        <v>0</v>
      </c>
      <c r="H69" s="2339">
        <v>0</v>
      </c>
      <c r="I69" s="2531"/>
      <c r="J69" s="2679">
        <f>'E-Tiltag'!$AG$88</f>
        <v>0</v>
      </c>
      <c r="K69" s="2531"/>
      <c r="L69" s="2531"/>
      <c r="M69" s="2531"/>
      <c r="N69" s="2531"/>
      <c r="O69" s="2531"/>
      <c r="P69" s="2531"/>
      <c r="Q69" s="2531"/>
      <c r="R69" s="2531"/>
      <c r="S69" s="2632"/>
      <c r="T69" s="2531"/>
      <c r="U69" s="2339"/>
      <c r="V69" s="2339"/>
      <c r="W69" s="2339"/>
      <c r="X69" s="2339"/>
      <c r="Y69" s="2339"/>
      <c r="Z69" s="2339"/>
      <c r="AA69" s="27">
        <f>SUM(A69:Z69)</f>
        <v>0</v>
      </c>
      <c r="AB69" s="2644" t="s">
        <v>516</v>
      </c>
      <c r="AC69" s="2646"/>
      <c r="AD69" s="2531">
        <v>40</v>
      </c>
      <c r="AE69" s="2531"/>
      <c r="AF69" s="2348"/>
      <c r="AG69" s="2633"/>
      <c r="AH69" s="2348"/>
      <c r="AI69" s="2633"/>
      <c r="AJ69" s="2348"/>
      <c r="AK69" s="2631">
        <f t="shared" si="4"/>
        <v>0</v>
      </c>
      <c r="AL69" s="2346"/>
      <c r="AM69" s="2339"/>
      <c r="AN69" s="2339"/>
      <c r="AO69" s="2339"/>
      <c r="AP69" s="2339"/>
      <c r="AQ69" s="2339"/>
      <c r="AR69" s="2339"/>
      <c r="AS69" s="2339"/>
      <c r="AT69" s="2348">
        <f>AA69*AD69%</f>
        <v>0</v>
      </c>
    </row>
    <row r="70" spans="1:46" ht="15" customHeight="1" x14ac:dyDescent="0.2">
      <c r="A70" s="2633"/>
      <c r="B70" s="2339"/>
      <c r="C70" s="2339"/>
      <c r="D70" s="2339">
        <v>0</v>
      </c>
      <c r="E70" s="2339">
        <v>0</v>
      </c>
      <c r="F70" s="2339">
        <v>0</v>
      </c>
      <c r="G70" s="2339">
        <v>0</v>
      </c>
      <c r="H70" s="2339">
        <v>0</v>
      </c>
      <c r="I70" s="2531"/>
      <c r="J70" s="2531"/>
      <c r="K70" s="2531"/>
      <c r="L70" s="2531"/>
      <c r="M70" s="2531"/>
      <c r="N70" s="2531"/>
      <c r="O70" s="2531"/>
      <c r="P70" s="2531"/>
      <c r="Q70" s="2531"/>
      <c r="R70" s="2531"/>
      <c r="S70" s="2632"/>
      <c r="T70" s="2531"/>
      <c r="U70" s="2339"/>
      <c r="V70" s="2339"/>
      <c r="W70" s="2339"/>
      <c r="X70" s="2339"/>
      <c r="Y70" s="2339"/>
      <c r="Z70" s="2339"/>
      <c r="AA70" s="27">
        <f>SUM(A70:Z70)</f>
        <v>0</v>
      </c>
      <c r="AB70" s="2644" t="s">
        <v>526</v>
      </c>
      <c r="AC70" s="2646">
        <v>70</v>
      </c>
      <c r="AD70" s="2531"/>
      <c r="AE70" s="2531"/>
      <c r="AF70" s="2348"/>
      <c r="AG70" s="2633">
        <f>-AH70/$D$2%</f>
        <v>-0.28312313831782504</v>
      </c>
      <c r="AH70" s="2675">
        <f>+'E-Tiltag'!$AG$86</f>
        <v>0.26072809807688507</v>
      </c>
      <c r="AI70" s="2633"/>
      <c r="AJ70" s="2348"/>
      <c r="AK70" s="2631">
        <f t="shared" si="4"/>
        <v>0.18250966865381954</v>
      </c>
      <c r="AL70" s="2346"/>
      <c r="AM70" s="2339"/>
      <c r="AN70" s="2339"/>
      <c r="AO70" s="2339"/>
      <c r="AP70" s="2339"/>
      <c r="AQ70" s="2339"/>
      <c r="AR70" s="2339"/>
      <c r="AS70" s="2339"/>
      <c r="AT70" s="2348">
        <f>AH70*AC70%</f>
        <v>0.18250966865381954</v>
      </c>
    </row>
    <row r="71" spans="1:46" ht="15" customHeight="1" x14ac:dyDescent="0.2">
      <c r="A71" s="2633"/>
      <c r="B71" s="2339"/>
      <c r="C71" s="2339"/>
      <c r="D71" s="2339">
        <v>0</v>
      </c>
      <c r="E71" s="2339">
        <v>0</v>
      </c>
      <c r="F71" s="2678">
        <f>AA71-S71-K71</f>
        <v>24.149692627770236</v>
      </c>
      <c r="G71" s="2339">
        <v>0</v>
      </c>
      <c r="H71" s="2339">
        <v>0</v>
      </c>
      <c r="I71" s="2531"/>
      <c r="J71" s="2531"/>
      <c r="K71" s="2678">
        <f>'E-Tiltag'!$U$52*('E2020'!F71/SUM('E2020'!$F$62:$F$75))</f>
        <v>0</v>
      </c>
      <c r="L71" s="2531"/>
      <c r="M71" s="2531"/>
      <c r="N71" s="2531"/>
      <c r="O71" s="2531"/>
      <c r="P71" s="2531"/>
      <c r="Q71" s="2531"/>
      <c r="R71" s="2531"/>
      <c r="S71" s="2675">
        <f>AA71*'E-Tiltag'!$AG$5</f>
        <v>2.8936361827227497</v>
      </c>
      <c r="T71" s="2531"/>
      <c r="U71" s="2339"/>
      <c r="V71" s="2339"/>
      <c r="W71" s="2339"/>
      <c r="X71" s="2339"/>
      <c r="Y71" s="2339"/>
      <c r="Z71" s="2339"/>
      <c r="AA71" s="2676">
        <f>+'E-Tiltag'!$AG$64</f>
        <v>27.043328810492987</v>
      </c>
      <c r="AB71" s="2644" t="s">
        <v>201</v>
      </c>
      <c r="AC71" s="2646"/>
      <c r="AD71" s="2531">
        <v>36.5</v>
      </c>
      <c r="AE71" s="2531"/>
      <c r="AF71" s="2348"/>
      <c r="AG71" s="2633"/>
      <c r="AH71" s="2648"/>
      <c r="AI71" s="2633"/>
      <c r="AJ71" s="2348"/>
      <c r="AK71" s="2631">
        <f t="shared" si="4"/>
        <v>9.8708150158299404</v>
      </c>
      <c r="AL71" s="2346"/>
      <c r="AM71" s="2339"/>
      <c r="AN71" s="2339"/>
      <c r="AO71" s="2339"/>
      <c r="AP71" s="2339"/>
      <c r="AQ71" s="2339"/>
      <c r="AR71" s="2339"/>
      <c r="AS71" s="2339"/>
      <c r="AT71" s="2348">
        <f>AA71*AD71%</f>
        <v>9.8708150158299404</v>
      </c>
    </row>
    <row r="72" spans="1:46" ht="15" customHeight="1" x14ac:dyDescent="0.2">
      <c r="A72" s="2633"/>
      <c r="B72" s="2339"/>
      <c r="C72" s="2339"/>
      <c r="D72" s="2339">
        <v>0</v>
      </c>
      <c r="E72" s="2339">
        <v>0</v>
      </c>
      <c r="F72" s="2339">
        <v>0</v>
      </c>
      <c r="G72" s="2339">
        <v>0</v>
      </c>
      <c r="H72" s="2339">
        <v>0</v>
      </c>
      <c r="I72" s="2680">
        <f>+'E-Tiltag'!$AG$66</f>
        <v>0.90160897112074712</v>
      </c>
      <c r="J72" s="2531"/>
      <c r="K72" s="2531"/>
      <c r="L72" s="2531"/>
      <c r="M72" s="2531"/>
      <c r="N72" s="2531"/>
      <c r="O72" s="2531"/>
      <c r="P72" s="2531"/>
      <c r="Q72" s="2531"/>
      <c r="R72" s="2531"/>
      <c r="S72" s="2632"/>
      <c r="T72" s="2531"/>
      <c r="U72" s="2339"/>
      <c r="V72" s="2339"/>
      <c r="W72" s="2339"/>
      <c r="X72" s="2339"/>
      <c r="Y72" s="2339"/>
      <c r="Z72" s="2339"/>
      <c r="AA72" s="27">
        <f>SUM(A72:Z72)</f>
        <v>0.90160897112074712</v>
      </c>
      <c r="AB72" s="2644" t="s">
        <v>517</v>
      </c>
      <c r="AC72" s="2646"/>
      <c r="AD72" s="2531">
        <v>32.200000000000003</v>
      </c>
      <c r="AE72" s="2531"/>
      <c r="AF72" s="2348"/>
      <c r="AG72" s="2633"/>
      <c r="AH72" s="2648"/>
      <c r="AI72" s="2633"/>
      <c r="AJ72" s="2348"/>
      <c r="AK72" s="2631">
        <f t="shared" ref="AK72:AK80" si="5">SUM(AL72:AT72)</f>
        <v>0.29031808870088061</v>
      </c>
      <c r="AL72" s="2346"/>
      <c r="AM72" s="2339"/>
      <c r="AN72" s="2339"/>
      <c r="AO72" s="2339"/>
      <c r="AP72" s="2339"/>
      <c r="AQ72" s="2339"/>
      <c r="AR72" s="2339"/>
      <c r="AS72" s="2339"/>
      <c r="AT72" s="2348">
        <f>AA72*AD72%</f>
        <v>0.29031808870088061</v>
      </c>
    </row>
    <row r="73" spans="1:46" ht="15" customHeight="1" x14ac:dyDescent="0.2">
      <c r="A73" s="2633"/>
      <c r="B73" s="2339"/>
      <c r="C73" s="2339"/>
      <c r="D73" s="2339">
        <v>0</v>
      </c>
      <c r="E73" s="2339">
        <v>0</v>
      </c>
      <c r="F73" s="2339">
        <v>0</v>
      </c>
      <c r="G73" s="2339">
        <v>0</v>
      </c>
      <c r="H73" s="2339">
        <v>0</v>
      </c>
      <c r="I73" s="2531"/>
      <c r="J73" s="2679">
        <f>+'E-Tiltag'!$AG$67</f>
        <v>0</v>
      </c>
      <c r="K73" s="2531"/>
      <c r="L73" s="2531"/>
      <c r="M73" s="2531"/>
      <c r="N73" s="2531"/>
      <c r="O73" s="2531"/>
      <c r="P73" s="2531"/>
      <c r="Q73" s="2531"/>
      <c r="R73" s="2531"/>
      <c r="S73" s="2632"/>
      <c r="T73" s="2531"/>
      <c r="U73" s="2339"/>
      <c r="V73" s="2339"/>
      <c r="W73" s="2339"/>
      <c r="X73" s="2339"/>
      <c r="Y73" s="2339"/>
      <c r="Z73" s="2339"/>
      <c r="AA73" s="27">
        <f>SUM(A73:Z73)</f>
        <v>0</v>
      </c>
      <c r="AB73" s="2644" t="s">
        <v>518</v>
      </c>
      <c r="AC73" s="2646"/>
      <c r="AD73" s="2531">
        <v>40</v>
      </c>
      <c r="AE73" s="2531"/>
      <c r="AF73" s="2348"/>
      <c r="AG73" s="2633"/>
      <c r="AH73" s="2648"/>
      <c r="AI73" s="2633"/>
      <c r="AJ73" s="2348"/>
      <c r="AK73" s="2631">
        <f t="shared" si="5"/>
        <v>0</v>
      </c>
      <c r="AL73" s="2346"/>
      <c r="AM73" s="2339"/>
      <c r="AN73" s="2339"/>
      <c r="AO73" s="2339"/>
      <c r="AP73" s="2339"/>
      <c r="AQ73" s="2339"/>
      <c r="AR73" s="2339"/>
      <c r="AS73" s="2339"/>
      <c r="AT73" s="2348">
        <f>AA73*AD73%</f>
        <v>0</v>
      </c>
    </row>
    <row r="74" spans="1:46" ht="15" customHeight="1" x14ac:dyDescent="0.2">
      <c r="A74" s="2633"/>
      <c r="B74" s="2339"/>
      <c r="C74" s="2339"/>
      <c r="D74" s="2339">
        <v>0</v>
      </c>
      <c r="E74" s="2339">
        <v>0</v>
      </c>
      <c r="F74" s="2339">
        <v>0</v>
      </c>
      <c r="G74" s="2339">
        <v>0</v>
      </c>
      <c r="H74" s="2339">
        <v>0</v>
      </c>
      <c r="I74" s="2531"/>
      <c r="J74" s="2531"/>
      <c r="K74" s="2531"/>
      <c r="L74" s="2531"/>
      <c r="M74" s="2531"/>
      <c r="N74" s="2531"/>
      <c r="O74" s="2531"/>
      <c r="P74" s="2531"/>
      <c r="Q74" s="2531"/>
      <c r="R74" s="2531"/>
      <c r="S74" s="2632"/>
      <c r="T74" s="2531"/>
      <c r="U74" s="2339"/>
      <c r="V74" s="2339"/>
      <c r="W74" s="2339"/>
      <c r="X74" s="2339"/>
      <c r="Y74" s="2339"/>
      <c r="Z74" s="2339"/>
      <c r="AA74" s="27">
        <f>SUM(A74:Z74)</f>
        <v>0</v>
      </c>
      <c r="AB74" s="2644" t="s">
        <v>527</v>
      </c>
      <c r="AC74" s="2646">
        <v>70</v>
      </c>
      <c r="AD74" s="2531"/>
      <c r="AE74" s="2531"/>
      <c r="AF74" s="2348"/>
      <c r="AG74" s="2633">
        <f>-AH74/$D$2%</f>
        <v>-0.90072782433607057</v>
      </c>
      <c r="AH74" s="2675">
        <f>+'E-Tiltag'!$AG$65</f>
        <v>0.82948025343108744</v>
      </c>
      <c r="AI74" s="2633"/>
      <c r="AJ74" s="2348"/>
      <c r="AK74" s="2631">
        <f t="shared" si="5"/>
        <v>0.58063617740176121</v>
      </c>
      <c r="AL74" s="2346"/>
      <c r="AM74" s="2339"/>
      <c r="AN74" s="2339"/>
      <c r="AO74" s="2339"/>
      <c r="AP74" s="2339"/>
      <c r="AQ74" s="2339"/>
      <c r="AR74" s="2339"/>
      <c r="AS74" s="2339"/>
      <c r="AT74" s="2348">
        <f>AH74*AC74%</f>
        <v>0.58063617740176121</v>
      </c>
    </row>
    <row r="75" spans="1:46" ht="15" customHeight="1" x14ac:dyDescent="0.2">
      <c r="A75" s="2633"/>
      <c r="B75" s="2339"/>
      <c r="C75" s="2339"/>
      <c r="D75" s="2339">
        <v>0</v>
      </c>
      <c r="E75" s="2339">
        <v>0</v>
      </c>
      <c r="F75" s="2678">
        <f>AA75-S75-K75</f>
        <v>7.1</v>
      </c>
      <c r="G75" s="2339">
        <v>0</v>
      </c>
      <c r="H75" s="2339">
        <v>0</v>
      </c>
      <c r="I75" s="2531"/>
      <c r="J75" s="2531"/>
      <c r="K75" s="2678">
        <f>'E-Tiltag'!$U$52*('E2020'!F75/SUM('E2020'!$F$62:$F$75))</f>
        <v>0</v>
      </c>
      <c r="L75" s="2531"/>
      <c r="M75" s="2531"/>
      <c r="N75" s="2531"/>
      <c r="O75" s="2531"/>
      <c r="P75" s="2531"/>
      <c r="Q75" s="2531"/>
      <c r="R75" s="2531"/>
      <c r="S75" s="2632"/>
      <c r="T75" s="2531"/>
      <c r="U75" s="2339"/>
      <c r="V75" s="2339"/>
      <c r="W75" s="2339"/>
      <c r="X75" s="2339"/>
      <c r="Y75" s="2339"/>
      <c r="Z75" s="2339"/>
      <c r="AA75" s="2677">
        <f>'E2020'!AA75</f>
        <v>7.1</v>
      </c>
      <c r="AB75" s="2644" t="s">
        <v>202</v>
      </c>
      <c r="AC75" s="2646"/>
      <c r="AD75" s="2531">
        <v>36.5</v>
      </c>
      <c r="AE75" s="2531"/>
      <c r="AF75" s="2348"/>
      <c r="AG75" s="2633"/>
      <c r="AH75" s="2348"/>
      <c r="AI75" s="2633"/>
      <c r="AJ75" s="2348"/>
      <c r="AK75" s="2631">
        <f t="shared" si="5"/>
        <v>2.5914999999999999</v>
      </c>
      <c r="AL75" s="2346"/>
      <c r="AM75" s="2339"/>
      <c r="AN75" s="2339"/>
      <c r="AO75" s="2339"/>
      <c r="AP75" s="2339"/>
      <c r="AQ75" s="2339"/>
      <c r="AR75" s="2339"/>
      <c r="AS75" s="2339">
        <f>AA75*AD75%</f>
        <v>2.5914999999999999</v>
      </c>
      <c r="AT75" s="2348"/>
    </row>
    <row r="76" spans="1:46" ht="15" customHeight="1" x14ac:dyDescent="0.2">
      <c r="A76" s="2633"/>
      <c r="B76" s="2339"/>
      <c r="C76" s="2339"/>
      <c r="D76" s="2339">
        <v>0</v>
      </c>
      <c r="E76" s="2339">
        <v>0</v>
      </c>
      <c r="F76" s="2632">
        <f>AA76-S76</f>
        <v>0</v>
      </c>
      <c r="G76" s="2339">
        <v>0</v>
      </c>
      <c r="H76" s="2339">
        <v>0</v>
      </c>
      <c r="I76" s="2531"/>
      <c r="J76" s="2531"/>
      <c r="K76" s="2531"/>
      <c r="L76" s="2531"/>
      <c r="M76" s="2531"/>
      <c r="N76" s="2531"/>
      <c r="O76" s="2531"/>
      <c r="P76" s="2531"/>
      <c r="Q76" s="2531"/>
      <c r="R76" s="2531"/>
      <c r="S76" s="2675">
        <f>AA76*'E-Tiltag'!$AG$5</f>
        <v>0</v>
      </c>
      <c r="T76" s="2531"/>
      <c r="U76" s="2339"/>
      <c r="V76" s="2339"/>
      <c r="W76" s="2339"/>
      <c r="X76" s="2339"/>
      <c r="Y76" s="2339"/>
      <c r="Z76" s="2339"/>
      <c r="AA76" s="2648"/>
      <c r="AB76" s="2644" t="s">
        <v>4259</v>
      </c>
      <c r="AC76" s="2646"/>
      <c r="AD76" s="2531">
        <v>12</v>
      </c>
      <c r="AE76" s="2531"/>
      <c r="AF76" s="2348"/>
      <c r="AG76" s="2633"/>
      <c r="AH76" s="2348"/>
      <c r="AI76" s="2633"/>
      <c r="AJ76" s="2348"/>
      <c r="AK76" s="2631">
        <f t="shared" si="5"/>
        <v>0</v>
      </c>
      <c r="AL76" s="2346"/>
      <c r="AM76" s="2339"/>
      <c r="AN76" s="2339"/>
      <c r="AO76" s="2339"/>
      <c r="AP76" s="2339"/>
      <c r="AQ76" s="2339"/>
      <c r="AR76" s="2339"/>
      <c r="AS76" s="2339"/>
      <c r="AT76" s="2348">
        <f>AA76*AD76%</f>
        <v>0</v>
      </c>
    </row>
    <row r="77" spans="1:46" ht="15" customHeight="1" x14ac:dyDescent="0.2">
      <c r="A77" s="2633"/>
      <c r="B77" s="2339"/>
      <c r="C77" s="2339"/>
      <c r="D77" s="2339">
        <v>0</v>
      </c>
      <c r="E77" s="2339">
        <v>0</v>
      </c>
      <c r="F77" s="2675">
        <f>AA77-S77</f>
        <v>0.13395164016149103</v>
      </c>
      <c r="G77" s="2339">
        <v>0</v>
      </c>
      <c r="H77" s="2339">
        <v>0</v>
      </c>
      <c r="I77" s="2531"/>
      <c r="J77" s="2531"/>
      <c r="K77" s="2531"/>
      <c r="L77" s="2531"/>
      <c r="M77" s="2531"/>
      <c r="N77" s="2531"/>
      <c r="O77" s="2531"/>
      <c r="P77" s="2531"/>
      <c r="Q77" s="2531"/>
      <c r="R77" s="2531"/>
      <c r="S77" s="2675">
        <f>AA77*'E-Tiltag'!$AG$5</f>
        <v>1.6050196525509E-2</v>
      </c>
      <c r="T77" s="2531"/>
      <c r="U77" s="2339"/>
      <c r="V77" s="2339"/>
      <c r="W77" s="2339"/>
      <c r="X77" s="2339"/>
      <c r="Y77" s="2339"/>
      <c r="Z77" s="2339"/>
      <c r="AA77" s="2676">
        <f>'E-Tiltag'!AG96</f>
        <v>0.15000183668700001</v>
      </c>
      <c r="AB77" s="2644" t="s">
        <v>4260</v>
      </c>
      <c r="AC77" s="2646"/>
      <c r="AD77" s="2531">
        <v>25</v>
      </c>
      <c r="AE77" s="2531"/>
      <c r="AF77" s="2348"/>
      <c r="AG77" s="2633"/>
      <c r="AH77" s="2348"/>
      <c r="AI77" s="2633"/>
      <c r="AJ77" s="2348"/>
      <c r="AK77" s="2631">
        <f t="shared" si="5"/>
        <v>3.7500459171750003E-2</v>
      </c>
      <c r="AL77" s="2346"/>
      <c r="AM77" s="2339"/>
      <c r="AN77" s="2339"/>
      <c r="AO77" s="2339"/>
      <c r="AP77" s="2339"/>
      <c r="AQ77" s="2339"/>
      <c r="AR77" s="2339"/>
      <c r="AS77" s="2339"/>
      <c r="AT77" s="2348">
        <f>AA77*AD77%</f>
        <v>3.7500459171750003E-2</v>
      </c>
    </row>
    <row r="78" spans="1:46" ht="15" customHeight="1" x14ac:dyDescent="0.2">
      <c r="A78" s="2641"/>
      <c r="B78" s="2639"/>
      <c r="C78" s="2639"/>
      <c r="D78" s="2339">
        <v>0</v>
      </c>
      <c r="E78" s="2339">
        <v>0</v>
      </c>
      <c r="F78" s="2339">
        <v>0</v>
      </c>
      <c r="G78" s="2339">
        <v>0</v>
      </c>
      <c r="H78" s="2339">
        <v>0</v>
      </c>
      <c r="I78" s="2640"/>
      <c r="J78" s="2640"/>
      <c r="K78" s="2640"/>
      <c r="L78" s="2640"/>
      <c r="M78" s="2640"/>
      <c r="N78" s="2639"/>
      <c r="O78" s="2639"/>
      <c r="P78" s="2639"/>
      <c r="Q78" s="2639"/>
      <c r="R78" s="2640"/>
      <c r="S78" s="2640"/>
      <c r="T78" s="2640"/>
      <c r="U78" s="2639"/>
      <c r="V78" s="2639"/>
      <c r="W78" s="2639"/>
      <c r="X78" s="2639"/>
      <c r="Y78" s="2639"/>
      <c r="Z78" s="2639"/>
      <c r="AA78" s="2348">
        <f>SUM(A78:Z78)</f>
        <v>0</v>
      </c>
      <c r="AB78" s="2644" t="s">
        <v>4261</v>
      </c>
      <c r="AC78" s="2643">
        <v>67</v>
      </c>
      <c r="AD78" s="2531"/>
      <c r="AE78" s="2640"/>
      <c r="AF78" s="2638"/>
      <c r="AG78" s="2633">
        <f>-AH78/$D$2%</f>
        <v>-0.53692471495276362</v>
      </c>
      <c r="AH78" s="2675">
        <f>'E-Tiltag'!AG97</f>
        <v>0.49445397000000008</v>
      </c>
      <c r="AI78" s="2641"/>
      <c r="AJ78" s="2638"/>
      <c r="AK78" s="2631">
        <f t="shared" si="5"/>
        <v>0.3312841599000001</v>
      </c>
      <c r="AL78" s="2642"/>
      <c r="AM78" s="2639"/>
      <c r="AN78" s="2639"/>
      <c r="AO78" s="2639"/>
      <c r="AP78" s="2639"/>
      <c r="AQ78" s="2639"/>
      <c r="AR78" s="2639"/>
      <c r="AS78" s="2639"/>
      <c r="AT78" s="2348">
        <f>AC78*AH78%</f>
        <v>0.3312841599000001</v>
      </c>
    </row>
    <row r="79" spans="1:46" ht="15" customHeight="1" x14ac:dyDescent="0.2">
      <c r="A79" s="2641"/>
      <c r="B79" s="2639"/>
      <c r="C79" s="2639"/>
      <c r="D79" s="2339">
        <v>0</v>
      </c>
      <c r="E79" s="2339">
        <v>0</v>
      </c>
      <c r="F79" s="2339">
        <v>0</v>
      </c>
      <c r="G79" s="2675">
        <f>'E2020'!G79*(1+'E-Tiltag'!$AG$101)</f>
        <v>5.4450000000000003</v>
      </c>
      <c r="H79" s="2675">
        <f>'E2020'!H79*(1+'E-Tiltag'!$AG$101)</f>
        <v>1.1000000000000001E-2</v>
      </c>
      <c r="I79" s="2640"/>
      <c r="J79" s="2640"/>
      <c r="K79" s="2640"/>
      <c r="L79" s="2640"/>
      <c r="M79" s="2640"/>
      <c r="N79" s="2639"/>
      <c r="O79" s="2639"/>
      <c r="P79" s="2639"/>
      <c r="Q79" s="2639"/>
      <c r="R79" s="2639"/>
      <c r="S79" s="2639"/>
      <c r="T79" s="2639"/>
      <c r="U79" s="2639"/>
      <c r="V79" s="2639"/>
      <c r="W79" s="2639"/>
      <c r="X79" s="2639"/>
      <c r="Y79" s="2639"/>
      <c r="Z79" s="2639"/>
      <c r="AA79" s="2348">
        <f>SUM(A79:Z79)</f>
        <v>5.4560000000000004</v>
      </c>
      <c r="AB79" s="2644" t="s">
        <v>9</v>
      </c>
      <c r="AC79" s="2643"/>
      <c r="AD79" s="2531">
        <v>13.5</v>
      </c>
      <c r="AE79" s="2640"/>
      <c r="AF79" s="2638"/>
      <c r="AG79" s="2641"/>
      <c r="AH79" s="2638"/>
      <c r="AI79" s="2641"/>
      <c r="AJ79" s="2638"/>
      <c r="AK79" s="2631">
        <f t="shared" si="5"/>
        <v>0.7365600000000001</v>
      </c>
      <c r="AL79" s="2642"/>
      <c r="AM79" s="2639"/>
      <c r="AN79" s="2639"/>
      <c r="AO79" s="2639"/>
      <c r="AP79" s="2639"/>
      <c r="AQ79" s="2639"/>
      <c r="AR79" s="2639"/>
      <c r="AS79" s="2639"/>
      <c r="AT79" s="2348">
        <f>AD79*AA79%</f>
        <v>0.7365600000000001</v>
      </c>
    </row>
    <row r="80" spans="1:46" ht="15" customHeight="1" thickBot="1" x14ac:dyDescent="0.25">
      <c r="A80" s="2641"/>
      <c r="B80" s="2639"/>
      <c r="C80" s="2639"/>
      <c r="D80" s="2675">
        <f>'E2020'!D80*(1+'E-Tiltag'!$AG$100)</f>
        <v>0.128024</v>
      </c>
      <c r="E80" s="2339">
        <v>0</v>
      </c>
      <c r="F80" s="2675">
        <f>'E2020'!F80*(1+'E-Tiltag'!$AG$100)</f>
        <v>1.3491760000000002</v>
      </c>
      <c r="G80" s="2339">
        <v>0</v>
      </c>
      <c r="H80" s="2339">
        <v>0</v>
      </c>
      <c r="I80" s="2640"/>
      <c r="J80" s="2640"/>
      <c r="K80" s="2640"/>
      <c r="L80" s="2640"/>
      <c r="M80" s="2640"/>
      <c r="N80" s="2639"/>
      <c r="O80" s="2639"/>
      <c r="P80" s="2639"/>
      <c r="Q80" s="2639"/>
      <c r="R80" s="2639"/>
      <c r="S80" s="2639"/>
      <c r="T80" s="2639"/>
      <c r="U80" s="2639"/>
      <c r="V80" s="2639"/>
      <c r="W80" s="2639"/>
      <c r="X80" s="2639"/>
      <c r="Y80" s="2639"/>
      <c r="Z80" s="2639"/>
      <c r="AA80" s="2638">
        <f>SUM(A80:Z80)</f>
        <v>1.4772000000000001</v>
      </c>
      <c r="AB80" s="2637" t="s">
        <v>5</v>
      </c>
      <c r="AC80" s="2636"/>
      <c r="AD80" s="2531">
        <v>20</v>
      </c>
      <c r="AE80" s="2627"/>
      <c r="AF80" s="2350"/>
      <c r="AG80" s="2633">
        <f>-AH80/$D$2%</f>
        <v>-21.65417526332935</v>
      </c>
      <c r="AH80" s="2675">
        <f>'E2020'!AA80*'E-Tiltag'!$AG$105+'E-Tiltag'!AG114</f>
        <v>19.941330000000001</v>
      </c>
      <c r="AI80" s="2628"/>
      <c r="AJ80" s="2350"/>
      <c r="AK80" s="2626">
        <f t="shared" si="5"/>
        <v>0.29544000000000004</v>
      </c>
      <c r="AL80" s="2634"/>
      <c r="AM80" s="2349"/>
      <c r="AN80" s="2349"/>
      <c r="AO80" s="2349"/>
      <c r="AP80" s="2349"/>
      <c r="AQ80" s="2349"/>
      <c r="AR80" s="2349"/>
      <c r="AS80" s="2349"/>
      <c r="AT80" s="2348">
        <f>AA80*AD80%</f>
        <v>0.29544000000000004</v>
      </c>
    </row>
    <row r="81" spans="1:47" ht="15" customHeight="1" thickBot="1" x14ac:dyDescent="0.25">
      <c r="A81" s="1676">
        <f t="shared" ref="A81:AA81" si="6">SUM(A8:A80)</f>
        <v>74.488076754844627</v>
      </c>
      <c r="B81" s="1678">
        <f t="shared" si="6"/>
        <v>0.81</v>
      </c>
      <c r="C81" s="1678">
        <f t="shared" si="6"/>
        <v>0</v>
      </c>
      <c r="D81" s="1678">
        <f t="shared" si="6"/>
        <v>0.128024</v>
      </c>
      <c r="E81" s="1678">
        <f t="shared" si="6"/>
        <v>2.7737731999999995</v>
      </c>
      <c r="F81" s="1678">
        <f t="shared" si="6"/>
        <v>35.953551833544871</v>
      </c>
      <c r="G81" s="1678">
        <f t="shared" si="6"/>
        <v>5.4450000000000003</v>
      </c>
      <c r="H81" s="1678">
        <f t="shared" si="6"/>
        <v>4.6004723332661293</v>
      </c>
      <c r="I81" s="1678">
        <f t="shared" si="6"/>
        <v>0.90160897112074712</v>
      </c>
      <c r="J81" s="1678">
        <f t="shared" si="6"/>
        <v>0</v>
      </c>
      <c r="K81" s="1678">
        <f t="shared" si="6"/>
        <v>0</v>
      </c>
      <c r="L81" s="1678">
        <f t="shared" si="6"/>
        <v>0</v>
      </c>
      <c r="M81" s="1678">
        <f t="shared" si="6"/>
        <v>0</v>
      </c>
      <c r="N81" s="1678">
        <f t="shared" si="6"/>
        <v>0</v>
      </c>
      <c r="O81" s="1678">
        <f t="shared" si="6"/>
        <v>27.0718</v>
      </c>
      <c r="P81" s="1678">
        <f t="shared" si="6"/>
        <v>0</v>
      </c>
      <c r="Q81" s="1678">
        <f t="shared" si="6"/>
        <v>14.812288000000002</v>
      </c>
      <c r="R81" s="1678">
        <f t="shared" si="6"/>
        <v>0</v>
      </c>
      <c r="S81" s="1678">
        <f t="shared" si="6"/>
        <v>3.6251733597988691</v>
      </c>
      <c r="T81" s="1678">
        <f t="shared" si="6"/>
        <v>8.8366999999999987</v>
      </c>
      <c r="U81" s="1678">
        <f t="shared" si="6"/>
        <v>67.519820436705871</v>
      </c>
      <c r="V81" s="1678">
        <f t="shared" si="6"/>
        <v>27.295099999999998</v>
      </c>
      <c r="W81" s="1678">
        <f t="shared" si="6"/>
        <v>0</v>
      </c>
      <c r="X81" s="1678">
        <f t="shared" si="6"/>
        <v>0</v>
      </c>
      <c r="Y81" s="1678">
        <f t="shared" si="6"/>
        <v>0</v>
      </c>
      <c r="Z81" s="1678">
        <f t="shared" si="6"/>
        <v>0</v>
      </c>
      <c r="AA81" s="41">
        <f t="shared" si="6"/>
        <v>274.26138888928114</v>
      </c>
      <c r="AB81" s="42" t="s">
        <v>1</v>
      </c>
      <c r="AC81" s="43"/>
      <c r="AD81" s="43"/>
      <c r="AE81" s="43"/>
      <c r="AF81" s="43"/>
      <c r="AG81" s="1676">
        <f t="shared" ref="AG81:AT81" si="7">SUM(AG8:AG80)</f>
        <v>0</v>
      </c>
      <c r="AH81" s="41">
        <f t="shared" si="7"/>
        <v>92.686813883536416</v>
      </c>
      <c r="AI81" s="1676">
        <f t="shared" si="7"/>
        <v>0</v>
      </c>
      <c r="AJ81" s="41">
        <f t="shared" si="7"/>
        <v>20.392649881059448</v>
      </c>
      <c r="AK81" s="42">
        <f t="shared" si="7"/>
        <v>174.7379619944862</v>
      </c>
      <c r="AL81" s="1677">
        <f t="shared" si="7"/>
        <v>116.42389033280759</v>
      </c>
      <c r="AM81" s="1678">
        <f t="shared" si="7"/>
        <v>5.0284796883438254</v>
      </c>
      <c r="AN81" s="1678">
        <f t="shared" si="7"/>
        <v>6.1218297842998473</v>
      </c>
      <c r="AO81" s="1678">
        <f t="shared" si="7"/>
        <v>5.3574854916741614</v>
      </c>
      <c r="AP81" s="1678">
        <f t="shared" si="7"/>
        <v>0</v>
      </c>
      <c r="AQ81" s="1678">
        <f t="shared" si="7"/>
        <v>9.9188153957181413</v>
      </c>
      <c r="AR81" s="1678">
        <f t="shared" si="7"/>
        <v>0.30588974821589171</v>
      </c>
      <c r="AS81" s="1678">
        <f t="shared" si="7"/>
        <v>7.9615</v>
      </c>
      <c r="AT81" s="41">
        <f t="shared" si="7"/>
        <v>23.620071553426754</v>
      </c>
    </row>
    <row r="82" spans="1:47" ht="15" customHeight="1" x14ac:dyDescent="0.2">
      <c r="A82" s="513">
        <f t="shared" ref="A82:I82" si="8">A81*A89/1000</f>
        <v>0</v>
      </c>
      <c r="B82" s="1679">
        <f t="shared" si="8"/>
        <v>5.2488E-2</v>
      </c>
      <c r="C82" s="1679">
        <f t="shared" si="8"/>
        <v>0</v>
      </c>
      <c r="D82" s="1679">
        <f t="shared" si="8"/>
        <v>1.0117736719999999E-2</v>
      </c>
      <c r="E82" s="1679">
        <f t="shared" si="8"/>
        <v>0.20553659411999994</v>
      </c>
      <c r="F82" s="1679">
        <f t="shared" si="8"/>
        <v>2.6641581908656748</v>
      </c>
      <c r="G82" s="1679">
        <f t="shared" si="8"/>
        <v>0.39204</v>
      </c>
      <c r="H82" s="1679">
        <f t="shared" si="8"/>
        <v>0.33583448032842744</v>
      </c>
      <c r="I82" s="1679">
        <f t="shared" si="8"/>
        <v>5.0057330076623885E-2</v>
      </c>
      <c r="J82" s="26"/>
      <c r="K82" s="26"/>
      <c r="L82" s="26"/>
      <c r="M82" s="1679">
        <f>M81*M89/1000</f>
        <v>0</v>
      </c>
      <c r="N82" s="1679">
        <f>N81*N89/1000</f>
        <v>0</v>
      </c>
      <c r="O82" s="1679">
        <f>O81*O89/1000</f>
        <v>0</v>
      </c>
      <c r="P82" s="1679">
        <f>P81*P89/1000</f>
        <v>0</v>
      </c>
      <c r="Q82" s="1679">
        <v>0</v>
      </c>
      <c r="R82" s="1679">
        <f t="shared" ref="R82:Z82" si="9">R81*R89/1000</f>
        <v>0</v>
      </c>
      <c r="S82" s="1679">
        <f t="shared" si="9"/>
        <v>0</v>
      </c>
      <c r="T82" s="1679">
        <f t="shared" si="9"/>
        <v>0</v>
      </c>
      <c r="U82" s="1679">
        <f t="shared" si="9"/>
        <v>0</v>
      </c>
      <c r="V82" s="1679">
        <f t="shared" si="9"/>
        <v>0</v>
      </c>
      <c r="W82" s="1679">
        <f t="shared" si="9"/>
        <v>0</v>
      </c>
      <c r="X82" s="1679">
        <f t="shared" si="9"/>
        <v>0</v>
      </c>
      <c r="Y82" s="1679">
        <f t="shared" si="9"/>
        <v>0</v>
      </c>
      <c r="Z82" s="1679">
        <f t="shared" si="9"/>
        <v>0</v>
      </c>
      <c r="AA82" s="27">
        <f>SUM(A82:Z82)</f>
        <v>3.7102323321107264</v>
      </c>
      <c r="AB82" s="44" t="s">
        <v>4723</v>
      </c>
      <c r="AC82" s="45">
        <f>AA82*1000/D1</f>
        <v>2.0773977223464315</v>
      </c>
      <c r="AD82" s="46" t="s">
        <v>6</v>
      </c>
      <c r="AE82" s="46"/>
      <c r="AF82" s="47"/>
      <c r="AG82" s="33"/>
      <c r="AH82" s="33"/>
      <c r="AI82" s="33"/>
      <c r="AJ82" s="33"/>
      <c r="AK82" s="33"/>
      <c r="AL82" s="33"/>
      <c r="AM82" s="33"/>
      <c r="AN82" s="33"/>
      <c r="AO82" s="33"/>
      <c r="AP82" s="33"/>
      <c r="AQ82" s="33"/>
      <c r="AR82" s="33"/>
      <c r="AS82" s="33"/>
      <c r="AT82" s="33"/>
    </row>
    <row r="83" spans="1:47" ht="15" customHeight="1" x14ac:dyDescent="0.2">
      <c r="A83" s="2633"/>
      <c r="B83" s="2339"/>
      <c r="C83" s="2339"/>
      <c r="D83" s="2339"/>
      <c r="E83" s="2339"/>
      <c r="F83" s="2339"/>
      <c r="G83" s="2339"/>
      <c r="H83" s="2339"/>
      <c r="I83" s="2339"/>
      <c r="J83" s="2531"/>
      <c r="K83" s="2531"/>
      <c r="L83" s="2531"/>
      <c r="M83" s="2339"/>
      <c r="N83" s="2339"/>
      <c r="O83" s="2339"/>
      <c r="P83" s="2339"/>
      <c r="Q83" s="2339"/>
      <c r="R83" s="2632">
        <f>'E2020'!R83</f>
        <v>17.62</v>
      </c>
      <c r="S83" s="2632">
        <f>'E2020'!S83</f>
        <v>28.26</v>
      </c>
      <c r="T83" s="2632">
        <f>'E2020'!T83</f>
        <v>3.58</v>
      </c>
      <c r="U83" s="2632">
        <f>'E2020'!U83</f>
        <v>129.81</v>
      </c>
      <c r="V83" s="2339"/>
      <c r="W83" s="2339"/>
      <c r="X83" s="2339"/>
      <c r="Y83" s="2339"/>
      <c r="Z83" s="2339"/>
      <c r="AA83" s="2348">
        <f>SUM(A83:Z83)</f>
        <v>179.27</v>
      </c>
      <c r="AB83" s="2631" t="s">
        <v>528</v>
      </c>
      <c r="AC83" s="2630">
        <f>(SUM(M11:Y11)+AG12*A87%+SUM(M16:Y16)+SUM(M17:Y17)+SUM(M18:Y18)+SUM(M19:Y19)+SUM(M22:Y22)+SUM(M61:Y61)+SUM(M62:Y62)+SUM(M63:Y63)+SUM(M65:Y65)+SUM(M66:Y66)+SUM(M67:Y67)+SUM(M68:Y68)+SUM(M69:Y69)+SUM(M71:Y71)+SUM(M72:Y72)+SUM(M73:Y73)+SUM(M75:Y75)+SUM(M76:Y76)+SUM(M77:Y77)+SUM(M79:Y79)+SUM(M80:Y80)+SUM(M23:Y23)*(AC23%+AE23%)+SUM(M24:Y24)*(AC24%+AE24%)+SUM(M25:Y25)*(AC25%+AE25%)+SUM(M26:Y26)*(AC26%+AE26%)+SUM(M28:Y28)*(AC28%+AD28%+AE28%)+SUM(M27:Y27)*(AD27%)+SUM(M29:Y29)*(AC29%+AE29%)+SUM(M30:Y30)*(AC30%+AE30%)+SUM(M31:Y31)*(AC31%+AE31%)+SUM(M34:Y34)*(AC34%+AE34%)+SUM(M35:Y35)*(AC35%+AE35%)+SUM(M37:Y37)*(AC37%+AE37%)+SUM(M38:Y38)*(AC38%+AE38%)+SUM(M39:Y39)*(AC39%+AE39%)+SUM(M41:Y41)*(AC41%+AE41%)+SUM(M42:Y42)*(AC42%+AE42%)+SUM(M44:Y44)*(AC44%+AE44%)+SUM(M45:Y45)*(AC45%+AE45%)+SUM(M46:Y46)*(AC47%+AE47%)+SUM(M48:Y48)*(AC48%+AE48%)+SUM(M49:Y49)*(AC49%+AE49%)+SUM(M50:Y50)*(AC50%+AE50%)+SUM(M52:Y52)*(AC52%+AE52%)+SUM(M53:Y53)*(AC53%+AE53%)+SUM(M54:Y54)*(AC54%+AE54%))/(SUM(AA8:AA11)+SUM(AA13:AA22)+SUM(AA61:AA80)+(AJ33/AF33%+AJ36/AF36%+AJ43/AF43%+AJ51/AF51%+AJ60/AF60%)+AH81+SUM(AH8:AH11)*(1-D2%)+(-AI56))*100</f>
        <v>82.354329561841382</v>
      </c>
      <c r="AD83" s="2345" t="s">
        <v>163</v>
      </c>
      <c r="AE83" s="2345"/>
      <c r="AF83" s="2629"/>
      <c r="AG83" s="33"/>
      <c r="AH83" s="33"/>
      <c r="AI83" s="33"/>
      <c r="AJ83" s="33"/>
      <c r="AK83" s="33"/>
      <c r="AL83" s="33"/>
      <c r="AM83" s="33"/>
      <c r="AN83" s="33"/>
      <c r="AO83" s="33"/>
      <c r="AP83" s="33"/>
      <c r="AQ83" s="33"/>
      <c r="AR83" s="33"/>
      <c r="AS83" s="33"/>
      <c r="AT83" s="33"/>
    </row>
    <row r="84" spans="1:47" ht="15" customHeight="1" thickBot="1" x14ac:dyDescent="0.25">
      <c r="A84" s="2628"/>
      <c r="B84" s="2349"/>
      <c r="C84" s="2349"/>
      <c r="D84" s="2349"/>
      <c r="E84" s="2349"/>
      <c r="F84" s="2349"/>
      <c r="G84" s="2349"/>
      <c r="H84" s="2349"/>
      <c r="I84" s="2349"/>
      <c r="J84" s="2627"/>
      <c r="K84" s="2627"/>
      <c r="L84" s="2627"/>
      <c r="M84" s="2349" t="str">
        <f t="shared" ref="M84:Z84" si="10">IF(M83&gt;0,M81/M83*100,"")</f>
        <v/>
      </c>
      <c r="N84" s="2349" t="str">
        <f t="shared" si="10"/>
        <v/>
      </c>
      <c r="O84" s="2349" t="str">
        <f t="shared" si="10"/>
        <v/>
      </c>
      <c r="P84" s="2349" t="str">
        <f t="shared" si="10"/>
        <v/>
      </c>
      <c r="Q84" s="2349" t="str">
        <f t="shared" si="10"/>
        <v/>
      </c>
      <c r="R84" s="2349">
        <f t="shared" si="10"/>
        <v>0</v>
      </c>
      <c r="S84" s="2349">
        <f t="shared" si="10"/>
        <v>12.827931209479365</v>
      </c>
      <c r="T84" s="2349">
        <f t="shared" si="10"/>
        <v>246.83519553072622</v>
      </c>
      <c r="U84" s="2349">
        <f t="shared" si="10"/>
        <v>52.014344377710401</v>
      </c>
      <c r="V84" s="2349" t="str">
        <f t="shared" si="10"/>
        <v/>
      </c>
      <c r="W84" s="2349" t="str">
        <f t="shared" si="10"/>
        <v/>
      </c>
      <c r="X84" s="2349" t="str">
        <f t="shared" si="10"/>
        <v/>
      </c>
      <c r="Y84" s="2349" t="str">
        <f t="shared" si="10"/>
        <v/>
      </c>
      <c r="Z84" s="2349" t="str">
        <f t="shared" si="10"/>
        <v/>
      </c>
      <c r="AA84" s="2350">
        <f>SUMIF(M83:Z83,"&gt;0",M81:Z81)/SUM(M83:Z83)%</f>
        <v>44.615213809619419</v>
      </c>
      <c r="AB84" s="2626" t="s">
        <v>12</v>
      </c>
      <c r="AC84" s="2625">
        <f>SUM(M81:Y81)/AA81*100</f>
        <v>54.386394818674511</v>
      </c>
      <c r="AD84" s="2624" t="s">
        <v>164</v>
      </c>
      <c r="AE84" s="2624"/>
      <c r="AF84" s="2623"/>
      <c r="AG84" s="33"/>
      <c r="AH84" s="33"/>
      <c r="AI84" s="33"/>
      <c r="AJ84" s="33"/>
      <c r="AK84" s="33"/>
      <c r="AL84" s="33"/>
      <c r="AM84" s="33"/>
      <c r="AN84" s="33"/>
      <c r="AO84" s="33"/>
      <c r="AP84" s="33"/>
      <c r="AQ84" s="33"/>
      <c r="AR84" s="33"/>
      <c r="AS84" s="33"/>
      <c r="AT84" s="33"/>
    </row>
    <row r="85" spans="1:47" ht="15" customHeight="1" thickBot="1" x14ac:dyDescent="0.25">
      <c r="A85" s="10"/>
      <c r="B85" s="10"/>
      <c r="C85" s="10"/>
      <c r="D85" s="10"/>
      <c r="E85" s="10"/>
      <c r="F85" s="10"/>
      <c r="G85" s="10"/>
      <c r="H85" s="10"/>
      <c r="I85" s="10"/>
      <c r="J85" s="31"/>
      <c r="K85" s="31"/>
      <c r="L85" s="31"/>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row>
    <row r="86" spans="1:47" ht="17.25" customHeight="1" x14ac:dyDescent="0.2">
      <c r="A86" s="2674" t="s">
        <v>72</v>
      </c>
      <c r="B86" s="2277" t="str">
        <f t="shared" ref="B86:I86" si="11">B7</f>
        <v xml:space="preserve">  LPG og petroleum</v>
      </c>
      <c r="C86" s="2277" t="str">
        <f t="shared" si="11"/>
        <v xml:space="preserve">  Kul</v>
      </c>
      <c r="D86" s="2277" t="str">
        <f t="shared" si="11"/>
        <v xml:space="preserve">  Fuelolie</v>
      </c>
      <c r="E86" s="2277" t="str">
        <f t="shared" si="11"/>
        <v xml:space="preserve">  Brændselsolie</v>
      </c>
      <c r="F86" s="2277" t="str">
        <f t="shared" si="11"/>
        <v xml:space="preserve">  Dieselolie</v>
      </c>
      <c r="G86" s="2277" t="str">
        <f t="shared" si="11"/>
        <v xml:space="preserve">  JP1</v>
      </c>
      <c r="H86" s="2277" t="str">
        <f t="shared" si="11"/>
        <v xml:space="preserve">  Benzin</v>
      </c>
      <c r="I86" s="2277" t="str">
        <f t="shared" si="11"/>
        <v xml:space="preserve">  Naturgas</v>
      </c>
      <c r="J86" s="289"/>
      <c r="K86" s="289"/>
      <c r="L86" s="289"/>
      <c r="M86" s="2277" t="str">
        <f t="shared" ref="M86:Z86" si="12">M7</f>
        <v xml:space="preserve">  Vindenergi</v>
      </c>
      <c r="N86" s="2277" t="str">
        <f t="shared" si="12"/>
        <v xml:space="preserve">  Vandenergi</v>
      </c>
      <c r="O86" s="2277" t="str">
        <f t="shared" si="12"/>
        <v xml:space="preserve">  Solenergi</v>
      </c>
      <c r="P86" s="2277" t="str">
        <f t="shared" si="12"/>
        <v xml:space="preserve">  Geotermi</v>
      </c>
      <c r="Q86" s="2277" t="str">
        <f t="shared" si="12"/>
        <v xml:space="preserve">  Varmekilder til varmepumper</v>
      </c>
      <c r="R86" s="2277" t="str">
        <f t="shared" si="12"/>
        <v xml:space="preserve">  Husdyrsgødning</v>
      </c>
      <c r="S86" s="2277" t="str">
        <f t="shared" si="12"/>
        <v xml:space="preserve">  Biobrændstof og energiafgrøder</v>
      </c>
      <c r="T86" s="2277" t="str">
        <f t="shared" si="12"/>
        <v xml:space="preserve">  Halm</v>
      </c>
      <c r="U86" s="2277" t="str">
        <f t="shared" si="12"/>
        <v xml:space="preserve">  Brænde og træflis</v>
      </c>
      <c r="V86" s="2277" t="str">
        <f t="shared" si="12"/>
        <v xml:space="preserve">  Træpiller og træaffald</v>
      </c>
      <c r="W86" s="2277" t="str">
        <f t="shared" si="12"/>
        <v xml:space="preserve">  Organisk affald, industri</v>
      </c>
      <c r="X86" s="2277" t="str">
        <f t="shared" si="12"/>
        <v xml:space="preserve">  Organisk affald, husholdninger</v>
      </c>
      <c r="Y86" s="2277" t="str">
        <f t="shared" si="12"/>
        <v xml:space="preserve">  Deponi, slam, renseanlæg</v>
      </c>
      <c r="Z86" s="2280" t="str">
        <f t="shared" si="12"/>
        <v xml:space="preserve">  Affald, ikke bionedbrydeligt</v>
      </c>
      <c r="AA86" s="10"/>
      <c r="AB86" s="10"/>
      <c r="AC86" s="10"/>
      <c r="AD86" s="10"/>
      <c r="AE86" s="10"/>
      <c r="AF86" s="10"/>
      <c r="AG86" s="10"/>
      <c r="AH86" s="10"/>
      <c r="AI86" s="10"/>
      <c r="AJ86" s="10"/>
      <c r="AK86" s="10"/>
      <c r="AL86" s="10"/>
      <c r="AM86" s="10"/>
      <c r="AN86" s="10"/>
      <c r="AO86" s="10"/>
      <c r="AP86" s="10"/>
      <c r="AQ86" s="10"/>
      <c r="AR86" s="10"/>
      <c r="AS86" s="10"/>
      <c r="AT86" s="10"/>
    </row>
    <row r="87" spans="1:47" ht="29.25" customHeight="1" x14ac:dyDescent="0.2">
      <c r="A87" s="2673">
        <f>'E-Tiltag'!U4</f>
        <v>100</v>
      </c>
      <c r="B87" s="2278"/>
      <c r="C87" s="2278"/>
      <c r="D87" s="2278"/>
      <c r="E87" s="2278"/>
      <c r="F87" s="2278"/>
      <c r="G87" s="2278"/>
      <c r="H87" s="2278"/>
      <c r="I87" s="2278"/>
      <c r="J87" s="290"/>
      <c r="K87" s="290"/>
      <c r="L87" s="290"/>
      <c r="M87" s="2278"/>
      <c r="N87" s="2278"/>
      <c r="O87" s="2278"/>
      <c r="P87" s="2278"/>
      <c r="Q87" s="2278"/>
      <c r="R87" s="2278"/>
      <c r="S87" s="2278"/>
      <c r="T87" s="2278"/>
      <c r="U87" s="2278"/>
      <c r="V87" s="2278"/>
      <c r="W87" s="2278"/>
      <c r="X87" s="2278"/>
      <c r="Y87" s="2278"/>
      <c r="Z87" s="2281"/>
      <c r="AA87" s="10"/>
      <c r="AB87" s="10"/>
      <c r="AC87" s="10"/>
      <c r="AD87" s="10"/>
      <c r="AE87" s="10"/>
      <c r="AF87" s="10"/>
      <c r="AG87" s="10"/>
      <c r="AH87" s="10"/>
      <c r="AI87" s="10"/>
      <c r="AJ87" s="10"/>
      <c r="AK87" s="10"/>
      <c r="AL87" s="10"/>
      <c r="AM87" s="10"/>
      <c r="AN87" s="10"/>
      <c r="AO87" s="10"/>
      <c r="AP87" s="10"/>
      <c r="AQ87" s="10"/>
      <c r="AR87" s="10"/>
      <c r="AS87" s="10"/>
      <c r="AT87" s="10"/>
    </row>
    <row r="88" spans="1:47" ht="123" customHeight="1" thickBot="1" x14ac:dyDescent="0.25">
      <c r="A88" s="2672" t="s">
        <v>73</v>
      </c>
      <c r="B88" s="2279"/>
      <c r="C88" s="2279"/>
      <c r="D88" s="2279"/>
      <c r="E88" s="2279"/>
      <c r="F88" s="2279"/>
      <c r="G88" s="2279"/>
      <c r="H88" s="2279"/>
      <c r="I88" s="2279"/>
      <c r="J88" s="287" t="s">
        <v>175</v>
      </c>
      <c r="K88" s="287" t="s">
        <v>176</v>
      </c>
      <c r="L88" s="287" t="s">
        <v>177</v>
      </c>
      <c r="M88" s="2279"/>
      <c r="N88" s="2279"/>
      <c r="O88" s="2279"/>
      <c r="P88" s="2279"/>
      <c r="Q88" s="2279"/>
      <c r="R88" s="2279"/>
      <c r="S88" s="2279"/>
      <c r="T88" s="2279"/>
      <c r="U88" s="2279"/>
      <c r="V88" s="2279"/>
      <c r="W88" s="2279"/>
      <c r="X88" s="2279"/>
      <c r="Y88" s="2279"/>
      <c r="Z88" s="2282"/>
      <c r="AA88" s="10"/>
      <c r="AB88" s="10"/>
      <c r="AC88" s="10"/>
      <c r="AD88" s="10"/>
      <c r="AE88" s="10"/>
      <c r="AF88" s="10"/>
      <c r="AG88" s="10"/>
      <c r="AH88" s="10"/>
      <c r="AI88" s="10"/>
      <c r="AJ88" s="10"/>
      <c r="AK88" s="10"/>
      <c r="AL88" s="10"/>
      <c r="AM88" s="10"/>
      <c r="AN88" s="10"/>
      <c r="AO88" s="10"/>
      <c r="AP88" s="10"/>
      <c r="AQ88" s="10"/>
      <c r="AR88" s="10"/>
      <c r="AS88" s="10"/>
      <c r="AT88" s="10"/>
    </row>
    <row r="89" spans="1:47" s="52" customFormat="1" ht="15" customHeight="1" thickBot="1" x14ac:dyDescent="0.25">
      <c r="A89" s="2671">
        <f>'E-Tiltag'!U5</f>
        <v>0</v>
      </c>
      <c r="B89" s="49">
        <v>64.8</v>
      </c>
      <c r="C89" s="49">
        <v>94.2</v>
      </c>
      <c r="D89" s="49">
        <v>79.03</v>
      </c>
      <c r="E89" s="49">
        <v>74.099999999999994</v>
      </c>
      <c r="F89" s="49">
        <v>74.099999999999994</v>
      </c>
      <c r="G89" s="49">
        <v>72</v>
      </c>
      <c r="H89" s="49">
        <v>73</v>
      </c>
      <c r="I89" s="49">
        <v>55.52</v>
      </c>
      <c r="J89" s="49"/>
      <c r="K89" s="49"/>
      <c r="L89" s="49"/>
      <c r="M89" s="49"/>
      <c r="N89" s="49"/>
      <c r="O89" s="49"/>
      <c r="P89" s="49"/>
      <c r="Q89" s="295"/>
      <c r="R89" s="49"/>
      <c r="S89" s="49"/>
      <c r="T89" s="49"/>
      <c r="U89" s="49"/>
      <c r="V89" s="49"/>
      <c r="W89" s="49"/>
      <c r="X89" s="49"/>
      <c r="Y89" s="295"/>
      <c r="Z89" s="295">
        <v>94.44</v>
      </c>
      <c r="AA89" s="125" t="s">
        <v>174</v>
      </c>
      <c r="AB89" s="50"/>
      <c r="AC89" s="51"/>
      <c r="AD89" s="51"/>
      <c r="AE89" s="51"/>
      <c r="AF89" s="51"/>
      <c r="AG89" s="51"/>
      <c r="AH89" s="51"/>
      <c r="AI89" s="51"/>
      <c r="AJ89" s="51"/>
      <c r="AK89" s="51"/>
      <c r="AL89" s="51"/>
      <c r="AM89" s="51"/>
      <c r="AN89" s="51"/>
      <c r="AO89" s="51"/>
      <c r="AP89" s="51"/>
      <c r="AQ89" s="51"/>
      <c r="AR89" s="51"/>
      <c r="AS89" s="51"/>
      <c r="AT89" s="51"/>
    </row>
    <row r="90" spans="1:47" x14ac:dyDescent="0.2">
      <c r="A90" s="29"/>
      <c r="B90" s="29"/>
      <c r="C90" s="29"/>
      <c r="D90" s="29"/>
      <c r="E90" s="29"/>
      <c r="F90" s="29"/>
      <c r="G90" s="29"/>
      <c r="H90" s="29"/>
      <c r="I90" s="29"/>
      <c r="J90" s="73"/>
      <c r="K90" s="73"/>
      <c r="L90" s="73"/>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row>
    <row r="91" spans="1:47" x14ac:dyDescent="0.2">
      <c r="AB91" s="10"/>
    </row>
    <row r="92" spans="1:47" ht="12.75" customHeight="1" x14ac:dyDescent="0.3">
      <c r="A92" s="48"/>
      <c r="AB92" s="29"/>
    </row>
    <row r="94" spans="1:47" x14ac:dyDescent="0.2">
      <c r="AB94" s="29"/>
    </row>
    <row r="95" spans="1:47" x14ac:dyDescent="0.2">
      <c r="AB95" s="29"/>
    </row>
  </sheetData>
  <conditionalFormatting sqref="AA57:AA59">
    <cfRule type="cellIs" dxfId="615" priority="1" operator="notEqual">
      <formula>0</formula>
    </cfRule>
  </conditionalFormatting>
  <printOptions horizontalCentered="1" verticalCentered="1" gridLines="1"/>
  <pageMargins left="0.19685039370078741" right="0.19685039370078741" top="0.98425196850393704" bottom="0.55118110236220474" header="0" footer="0"/>
  <pageSetup paperSize="8" scale="48" orientation="landscape" r:id="rId1"/>
  <headerFooter alignWithMargins="0">
    <oddFooter>&amp;R&amp;F &amp;T &amp;D</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8D456-BB2A-44E6-986F-7F3C69A531AE}">
  <sheetPr codeName="Ark23">
    <tabColor theme="0" tint="-0.14999847407452621"/>
    <pageSetUpPr fitToPage="1"/>
  </sheetPr>
  <dimension ref="A1:U37"/>
  <sheetViews>
    <sheetView showGridLines="0" workbookViewId="0"/>
  </sheetViews>
  <sheetFormatPr defaultColWidth="8" defaultRowHeight="12" customHeight="1" x14ac:dyDescent="0.2"/>
  <cols>
    <col min="1" max="1" width="35.28515625" style="659" customWidth="1"/>
    <col min="2" max="2" width="21" style="659" customWidth="1"/>
    <col min="3" max="4" width="7.7109375" style="659" customWidth="1"/>
    <col min="5" max="5" width="7.140625" style="659" customWidth="1"/>
    <col min="6" max="12" width="9" style="659" customWidth="1"/>
    <col min="13" max="16" width="6.28515625" style="659" customWidth="1"/>
    <col min="17" max="17" width="7.7109375" style="659" customWidth="1"/>
    <col min="18" max="19" width="6.85546875" style="659" customWidth="1"/>
    <col min="20" max="20" width="9" style="659" customWidth="1"/>
    <col min="21" max="21" width="2.140625" style="659" customWidth="1"/>
    <col min="22" max="16384" width="8" style="659"/>
  </cols>
  <sheetData>
    <row r="1" spans="1:21" ht="15.75" x14ac:dyDescent="0.25">
      <c r="A1" s="671" t="s">
        <v>1353</v>
      </c>
      <c r="B1" s="671"/>
      <c r="C1" s="660"/>
      <c r="D1" s="660"/>
      <c r="E1" s="660"/>
      <c r="F1" s="660"/>
      <c r="G1" s="660"/>
      <c r="H1" s="660"/>
      <c r="I1" s="660"/>
      <c r="J1" s="660"/>
      <c r="K1" s="660"/>
      <c r="L1" s="660"/>
      <c r="M1" s="660"/>
      <c r="N1" s="660"/>
      <c r="O1" s="660"/>
      <c r="P1" s="660"/>
      <c r="Q1" s="660"/>
      <c r="R1" s="660"/>
      <c r="S1" s="660"/>
      <c r="T1" s="668" t="s">
        <v>1028</v>
      </c>
      <c r="U1" s="660"/>
    </row>
    <row r="2" spans="1:21" ht="15.75" x14ac:dyDescent="0.25">
      <c r="A2" s="671" t="s">
        <v>1352</v>
      </c>
      <c r="B2" s="671"/>
      <c r="C2" s="660"/>
      <c r="D2" s="660"/>
      <c r="E2" s="660"/>
      <c r="F2" s="660"/>
      <c r="G2" s="660"/>
      <c r="H2" s="660"/>
      <c r="I2" s="660"/>
      <c r="J2" s="660"/>
      <c r="K2" s="660"/>
      <c r="L2" s="660"/>
      <c r="M2" s="660"/>
      <c r="N2" s="660"/>
      <c r="O2" s="660"/>
      <c r="P2" s="660"/>
      <c r="Q2" s="660"/>
      <c r="R2" s="660"/>
      <c r="S2" s="660"/>
      <c r="T2" s="668" t="s">
        <v>5183</v>
      </c>
      <c r="U2" s="660"/>
    </row>
    <row r="3" spans="1:21" ht="15.75" x14ac:dyDescent="0.25">
      <c r="A3" s="671" t="s">
        <v>1197</v>
      </c>
      <c r="B3" s="671"/>
      <c r="C3" s="660"/>
      <c r="D3" s="660"/>
      <c r="E3" s="660"/>
      <c r="F3" s="660"/>
      <c r="G3" s="660"/>
      <c r="H3" s="660"/>
      <c r="I3" s="660"/>
      <c r="J3" s="660"/>
      <c r="K3" s="660"/>
      <c r="L3" s="660"/>
      <c r="M3" s="660"/>
      <c r="N3" s="660"/>
      <c r="O3" s="660"/>
      <c r="P3" s="660"/>
      <c r="Q3" s="660"/>
      <c r="R3" s="660"/>
      <c r="S3" s="660"/>
      <c r="T3" s="668" t="s">
        <v>1789</v>
      </c>
      <c r="U3" s="660"/>
    </row>
    <row r="4" spans="1:21" ht="12" customHeight="1" x14ac:dyDescent="0.2">
      <c r="A4" s="660"/>
      <c r="B4" s="660"/>
      <c r="C4" s="660"/>
      <c r="D4" s="660"/>
      <c r="E4" s="660"/>
      <c r="F4" s="660"/>
      <c r="G4" s="660"/>
      <c r="H4" s="660"/>
      <c r="I4" s="660"/>
      <c r="J4" s="660"/>
      <c r="K4" s="660"/>
      <c r="L4" s="660"/>
      <c r="M4" s="660"/>
      <c r="N4" s="660"/>
      <c r="O4" s="660"/>
      <c r="P4" s="660"/>
      <c r="Q4" s="660"/>
      <c r="R4" s="660"/>
      <c r="S4" s="660"/>
      <c r="T4" s="731"/>
      <c r="U4" s="660"/>
    </row>
    <row r="5" spans="1:21" ht="30" customHeight="1" x14ac:dyDescent="0.2">
      <c r="A5" s="5534" t="s">
        <v>1025</v>
      </c>
      <c r="B5" s="5535"/>
      <c r="C5" s="5528" t="s">
        <v>1083</v>
      </c>
      <c r="D5" s="5529"/>
      <c r="E5" s="5530"/>
      <c r="F5" s="5528" t="s">
        <v>1351</v>
      </c>
      <c r="G5" s="5529"/>
      <c r="H5" s="5529"/>
      <c r="I5" s="5529"/>
      <c r="J5" s="5529"/>
      <c r="K5" s="5529"/>
      <c r="L5" s="5530"/>
      <c r="M5" s="5528" t="s">
        <v>1350</v>
      </c>
      <c r="N5" s="5529"/>
      <c r="O5" s="5529"/>
      <c r="P5" s="5529"/>
      <c r="Q5" s="5529"/>
      <c r="R5" s="5529"/>
      <c r="S5" s="5530"/>
      <c r="T5" s="5531" t="s">
        <v>1349</v>
      </c>
      <c r="U5" s="660"/>
    </row>
    <row r="6" spans="1:21" ht="47.25" customHeight="1" x14ac:dyDescent="0.2">
      <c r="A6" s="5519" t="s">
        <v>1348</v>
      </c>
      <c r="B6" s="5531" t="s">
        <v>1347</v>
      </c>
      <c r="C6" s="5531" t="s">
        <v>1346</v>
      </c>
      <c r="D6" s="5531" t="s">
        <v>1345</v>
      </c>
      <c r="E6" s="5538" t="s">
        <v>1344</v>
      </c>
      <c r="F6" s="5537" t="s">
        <v>1343</v>
      </c>
      <c r="G6" s="5544"/>
      <c r="H6" s="5538"/>
      <c r="I6" s="5531" t="s">
        <v>1342</v>
      </c>
      <c r="J6" s="5531" t="s">
        <v>1341</v>
      </c>
      <c r="K6" s="5537" t="s">
        <v>1340</v>
      </c>
      <c r="L6" s="5538"/>
      <c r="M6" s="5537" t="s">
        <v>1339</v>
      </c>
      <c r="N6" s="5544"/>
      <c r="O6" s="5538"/>
      <c r="P6" s="5531" t="s">
        <v>1338</v>
      </c>
      <c r="Q6" s="5531" t="s">
        <v>1337</v>
      </c>
      <c r="R6" s="5537" t="s">
        <v>1336</v>
      </c>
      <c r="S6" s="5538"/>
      <c r="T6" s="5532"/>
      <c r="U6" s="660"/>
    </row>
    <row r="7" spans="1:21" ht="12.75" customHeight="1" x14ac:dyDescent="0.2">
      <c r="A7" s="5520"/>
      <c r="B7" s="5532"/>
      <c r="C7" s="5532"/>
      <c r="D7" s="5532"/>
      <c r="E7" s="5542"/>
      <c r="F7" s="5539"/>
      <c r="G7" s="5545"/>
      <c r="H7" s="5540"/>
      <c r="I7" s="5532"/>
      <c r="J7" s="5532"/>
      <c r="K7" s="5539"/>
      <c r="L7" s="5540"/>
      <c r="M7" s="5539"/>
      <c r="N7" s="5545"/>
      <c r="O7" s="5540"/>
      <c r="P7" s="5532"/>
      <c r="Q7" s="5532"/>
      <c r="R7" s="5539"/>
      <c r="S7" s="5540"/>
      <c r="T7" s="5532"/>
      <c r="U7" s="660"/>
    </row>
    <row r="8" spans="1:21" ht="53.25" customHeight="1" x14ac:dyDescent="0.2">
      <c r="A8" s="5520"/>
      <c r="B8" s="5532"/>
      <c r="C8" s="5532"/>
      <c r="D8" s="5532"/>
      <c r="E8" s="5542"/>
      <c r="F8" s="3411" t="s">
        <v>1334</v>
      </c>
      <c r="G8" s="3411" t="s">
        <v>1333</v>
      </c>
      <c r="H8" s="3411" t="s">
        <v>1332</v>
      </c>
      <c r="I8" s="5533"/>
      <c r="J8" s="5533"/>
      <c r="K8" s="3309" t="s">
        <v>1335</v>
      </c>
      <c r="L8" s="3311" t="s">
        <v>1330</v>
      </c>
      <c r="M8" s="3411" t="s">
        <v>1334</v>
      </c>
      <c r="N8" s="3411" t="s">
        <v>1333</v>
      </c>
      <c r="O8" s="3411" t="s">
        <v>1332</v>
      </c>
      <c r="P8" s="5533"/>
      <c r="Q8" s="5533"/>
      <c r="R8" s="3309" t="s">
        <v>1331</v>
      </c>
      <c r="S8" s="3311" t="s">
        <v>1330</v>
      </c>
      <c r="T8" s="5533"/>
      <c r="U8" s="660"/>
    </row>
    <row r="9" spans="1:21" ht="21.75" customHeight="1" thickBot="1" x14ac:dyDescent="0.25">
      <c r="A9" s="5556"/>
      <c r="B9" s="5541"/>
      <c r="C9" s="5541"/>
      <c r="D9" s="5541"/>
      <c r="E9" s="5543"/>
      <c r="F9" s="5546" t="s">
        <v>1329</v>
      </c>
      <c r="G9" s="5547"/>
      <c r="H9" s="5547"/>
      <c r="I9" s="5547"/>
      <c r="J9" s="5547"/>
      <c r="K9" s="5547"/>
      <c r="L9" s="5548"/>
      <c r="M9" s="5546" t="s">
        <v>1328</v>
      </c>
      <c r="N9" s="5547"/>
      <c r="O9" s="5547"/>
      <c r="P9" s="5547"/>
      <c r="Q9" s="5547"/>
      <c r="R9" s="5547"/>
      <c r="S9" s="5548"/>
      <c r="T9" s="734" t="s">
        <v>1011</v>
      </c>
      <c r="U9" s="660"/>
    </row>
    <row r="10" spans="1:21" ht="12.75" thickTop="1" x14ac:dyDescent="0.2">
      <c r="A10" s="733" t="s">
        <v>1327</v>
      </c>
      <c r="B10" s="3363" t="s">
        <v>986</v>
      </c>
      <c r="C10" s="3388">
        <v>639.10618749956996</v>
      </c>
      <c r="D10" s="3388">
        <v>602.14686419990005</v>
      </c>
      <c r="E10" s="3388">
        <v>36.959323299669997</v>
      </c>
      <c r="F10" s="3388">
        <v>1.2069952228230001</v>
      </c>
      <c r="G10" s="3388">
        <v>-1.7183886347539999E-2</v>
      </c>
      <c r="H10" s="3388">
        <v>1.1898113364754599</v>
      </c>
      <c r="I10" s="3388">
        <v>-8.7140891408660007E-2</v>
      </c>
      <c r="J10" s="3388">
        <v>-1.19303960725141</v>
      </c>
      <c r="K10" s="3388">
        <v>1.7156732538540002E-2</v>
      </c>
      <c r="L10" s="3388">
        <v>-1.2900941990319299</v>
      </c>
      <c r="M10" s="3388">
        <v>771.39811518859995</v>
      </c>
      <c r="N10" s="3388">
        <v>-10.982328089999999</v>
      </c>
      <c r="O10" s="3388">
        <v>760.41578709860005</v>
      </c>
      <c r="P10" s="3388">
        <v>-55.692282883504099</v>
      </c>
      <c r="Q10" s="3388">
        <v>-762.47899492643603</v>
      </c>
      <c r="R10" s="3388">
        <v>10.330872698</v>
      </c>
      <c r="S10" s="3388">
        <v>-47.681008589050002</v>
      </c>
      <c r="T10" s="3388">
        <v>348.72063087543069</v>
      </c>
      <c r="U10" s="679"/>
    </row>
    <row r="11" spans="1:21" x14ac:dyDescent="0.2">
      <c r="A11" s="3418" t="s">
        <v>1326</v>
      </c>
      <c r="B11" s="3363"/>
      <c r="C11" s="3388">
        <v>566.41287096500002</v>
      </c>
      <c r="D11" s="3388">
        <v>536.74279863000004</v>
      </c>
      <c r="E11" s="3388">
        <v>29.670072335</v>
      </c>
      <c r="F11" s="3388">
        <v>1.2553517570647501</v>
      </c>
      <c r="G11" s="3388" t="s">
        <v>259</v>
      </c>
      <c r="H11" s="3388">
        <v>1.2553517570647501</v>
      </c>
      <c r="I11" s="3388">
        <v>-9.7953953314079995E-2</v>
      </c>
      <c r="J11" s="3388">
        <v>-1.3358945644382401</v>
      </c>
      <c r="K11" s="3388" t="s">
        <v>799</v>
      </c>
      <c r="L11" s="3388">
        <v>-1.29999999998315</v>
      </c>
      <c r="M11" s="3388">
        <v>711.04739279</v>
      </c>
      <c r="N11" s="3388" t="s">
        <v>259</v>
      </c>
      <c r="O11" s="3388">
        <v>711.04739279</v>
      </c>
      <c r="P11" s="3388">
        <v>-55.482379919000003</v>
      </c>
      <c r="Q11" s="3388">
        <v>-756.66787554999996</v>
      </c>
      <c r="R11" s="3388" t="s">
        <v>799</v>
      </c>
      <c r="S11" s="3388">
        <v>-38.571094035000002</v>
      </c>
      <c r="T11" s="3388">
        <v>512.13784128466716</v>
      </c>
      <c r="U11" s="660"/>
    </row>
    <row r="12" spans="1:21" x14ac:dyDescent="0.2">
      <c r="A12" s="3390" t="s">
        <v>1319</v>
      </c>
      <c r="B12" s="3387" t="s">
        <v>1319</v>
      </c>
      <c r="C12" s="3388">
        <v>566.41287096500002</v>
      </c>
      <c r="D12" s="3387">
        <v>536.74279863000004</v>
      </c>
      <c r="E12" s="3387">
        <v>29.670072335</v>
      </c>
      <c r="F12" s="3388">
        <v>1.2553517570647501</v>
      </c>
      <c r="G12" s="3388" t="s">
        <v>259</v>
      </c>
      <c r="H12" s="3388">
        <v>1.2553517570647501</v>
      </c>
      <c r="I12" s="3388">
        <v>-9.7953953314079995E-2</v>
      </c>
      <c r="J12" s="3388">
        <v>-1.3358945644382401</v>
      </c>
      <c r="K12" s="3388" t="s">
        <v>799</v>
      </c>
      <c r="L12" s="3388">
        <v>-1.29999999998315</v>
      </c>
      <c r="M12" s="3387">
        <v>711.04739279</v>
      </c>
      <c r="N12" s="3387" t="s">
        <v>259</v>
      </c>
      <c r="O12" s="3388">
        <v>711.04739279</v>
      </c>
      <c r="P12" s="3387">
        <v>-55.482379919000003</v>
      </c>
      <c r="Q12" s="3387">
        <v>-756.66787554999996</v>
      </c>
      <c r="R12" s="3387" t="s">
        <v>799</v>
      </c>
      <c r="S12" s="3387">
        <v>-38.571094035000002</v>
      </c>
      <c r="T12" s="3388">
        <v>512.13784128466716</v>
      </c>
      <c r="U12" s="660"/>
    </row>
    <row r="13" spans="1:21" ht="13.5" x14ac:dyDescent="0.2">
      <c r="A13" s="3419" t="s">
        <v>1325</v>
      </c>
      <c r="B13" s="3363" t="s">
        <v>986</v>
      </c>
      <c r="C13" s="3388">
        <v>72.693316534570002</v>
      </c>
      <c r="D13" s="3388">
        <v>65.404065569899998</v>
      </c>
      <c r="E13" s="3388">
        <v>7.2892509646699999</v>
      </c>
      <c r="F13" s="3388">
        <v>0.83021005610467002</v>
      </c>
      <c r="G13" s="3388">
        <v>-0.15107754899004</v>
      </c>
      <c r="H13" s="3388">
        <v>0.67913250711463002</v>
      </c>
      <c r="I13" s="3388">
        <v>-2.8875139354000001E-3</v>
      </c>
      <c r="J13" s="3388">
        <v>-7.9940215324640004E-2</v>
      </c>
      <c r="K13" s="3388">
        <v>0.15795459514606</v>
      </c>
      <c r="L13" s="3388">
        <v>-1.2497737556580899</v>
      </c>
      <c r="M13" s="3388">
        <v>60.350722398599999</v>
      </c>
      <c r="N13" s="3388">
        <v>-10.982328089999999</v>
      </c>
      <c r="O13" s="3388">
        <v>49.368394308600003</v>
      </c>
      <c r="P13" s="3388">
        <v>-0.20990296450410001</v>
      </c>
      <c r="Q13" s="3388">
        <v>-5.8111193764360003</v>
      </c>
      <c r="R13" s="3388">
        <v>10.330872698</v>
      </c>
      <c r="S13" s="3388">
        <v>-9.1099145540500004</v>
      </c>
      <c r="T13" s="3388">
        <v>-163.41721040923645</v>
      </c>
      <c r="U13" s="660"/>
    </row>
    <row r="14" spans="1:21" x14ac:dyDescent="0.2">
      <c r="A14" s="3418" t="s">
        <v>1324</v>
      </c>
      <c r="B14" s="3363"/>
      <c r="C14" s="3388">
        <v>66.048551286800006</v>
      </c>
      <c r="D14" s="3388">
        <v>59.351233243999999</v>
      </c>
      <c r="E14" s="3388">
        <v>6.6973180428000001</v>
      </c>
      <c r="F14" s="3388">
        <v>0.82247632357768996</v>
      </c>
      <c r="G14" s="3388">
        <v>-0.15331466993166001</v>
      </c>
      <c r="H14" s="3388">
        <v>0.66916165364602997</v>
      </c>
      <c r="I14" s="3388">
        <v>-2.8575816589899998E-3</v>
      </c>
      <c r="J14" s="3388">
        <v>-7.9111546554760007E-2</v>
      </c>
      <c r="K14" s="3388">
        <v>0.17406331988971999</v>
      </c>
      <c r="L14" s="3388">
        <v>-1.2638168035934101</v>
      </c>
      <c r="M14" s="3388">
        <v>54.323369640000003</v>
      </c>
      <c r="N14" s="3388">
        <v>-10.12621184</v>
      </c>
      <c r="O14" s="3388">
        <v>44.197157799999999</v>
      </c>
      <c r="P14" s="3388">
        <v>-0.18873912876000001</v>
      </c>
      <c r="Q14" s="3388">
        <v>-5.2252030400000002</v>
      </c>
      <c r="R14" s="3388">
        <v>10.330872698</v>
      </c>
      <c r="S14" s="3388">
        <v>-8.4641830814999999</v>
      </c>
      <c r="T14" s="3388">
        <v>-149.04965257504679</v>
      </c>
      <c r="U14" s="660"/>
    </row>
    <row r="15" spans="1:21" x14ac:dyDescent="0.2">
      <c r="A15" s="3390" t="s">
        <v>1319</v>
      </c>
      <c r="B15" s="3387" t="s">
        <v>1319</v>
      </c>
      <c r="C15" s="3388">
        <v>66.048551286800006</v>
      </c>
      <c r="D15" s="3387">
        <v>59.351233243999999</v>
      </c>
      <c r="E15" s="3387">
        <v>6.6973180428000001</v>
      </c>
      <c r="F15" s="3388">
        <v>0.82247632357768996</v>
      </c>
      <c r="G15" s="3388">
        <v>-0.15331466993166001</v>
      </c>
      <c r="H15" s="3388">
        <v>0.66916165364602997</v>
      </c>
      <c r="I15" s="3388">
        <v>-2.8575816589899998E-3</v>
      </c>
      <c r="J15" s="3388">
        <v>-7.9111546554760007E-2</v>
      </c>
      <c r="K15" s="3388">
        <v>0.17406331988971999</v>
      </c>
      <c r="L15" s="3388">
        <v>-1.2638168035934101</v>
      </c>
      <c r="M15" s="3387">
        <v>54.323369640000003</v>
      </c>
      <c r="N15" s="3387">
        <v>-10.12621184</v>
      </c>
      <c r="O15" s="3388">
        <v>44.197157799999999</v>
      </c>
      <c r="P15" s="3387">
        <v>-0.18873912876000001</v>
      </c>
      <c r="Q15" s="3387">
        <v>-5.2252030400000002</v>
      </c>
      <c r="R15" s="3387">
        <v>10.330872698</v>
      </c>
      <c r="S15" s="3387">
        <v>-8.4641830814999999</v>
      </c>
      <c r="T15" s="3388">
        <v>-149.04965257504679</v>
      </c>
      <c r="U15" s="660"/>
    </row>
    <row r="16" spans="1:21" x14ac:dyDescent="0.2">
      <c r="A16" s="3418" t="s">
        <v>1323</v>
      </c>
      <c r="B16" s="3363"/>
      <c r="C16" s="3388">
        <v>5.2556942660599999</v>
      </c>
      <c r="D16" s="3388">
        <v>4.7732088666000001</v>
      </c>
      <c r="E16" s="3388">
        <v>0.48248539946000002</v>
      </c>
      <c r="F16" s="3388">
        <v>0.95216711824668998</v>
      </c>
      <c r="G16" s="3388">
        <v>-0.16289308446433001</v>
      </c>
      <c r="H16" s="3388">
        <v>0.78927403378236005</v>
      </c>
      <c r="I16" s="3388">
        <v>-3.34165038412E-3</v>
      </c>
      <c r="J16" s="3388">
        <v>-9.2512887284920006E-2</v>
      </c>
      <c r="K16" s="3388" t="s">
        <v>259</v>
      </c>
      <c r="L16" s="3388">
        <v>-1.1206322829978701</v>
      </c>
      <c r="M16" s="3388">
        <v>5.0042992637000001</v>
      </c>
      <c r="N16" s="3388">
        <v>-0.85611625000000002</v>
      </c>
      <c r="O16" s="3388">
        <v>4.1481830136999998</v>
      </c>
      <c r="P16" s="3388">
        <v>-1.7562692763000001E-2</v>
      </c>
      <c r="Q16" s="3388">
        <v>-0.48621945123999999</v>
      </c>
      <c r="R16" s="3388" t="s">
        <v>259</v>
      </c>
      <c r="S16" s="3388">
        <v>-0.54068871471000002</v>
      </c>
      <c r="T16" s="3388">
        <v>-11.38027790161901</v>
      </c>
      <c r="U16" s="660"/>
    </row>
    <row r="17" spans="1:21" x14ac:dyDescent="0.2">
      <c r="A17" s="3390" t="s">
        <v>1319</v>
      </c>
      <c r="B17" s="3387" t="s">
        <v>1319</v>
      </c>
      <c r="C17" s="3388">
        <v>5.2556942660599999</v>
      </c>
      <c r="D17" s="3387">
        <v>4.7732088666000001</v>
      </c>
      <c r="E17" s="3387">
        <v>0.48248539946000002</v>
      </c>
      <c r="F17" s="3388">
        <v>0.95216711824668998</v>
      </c>
      <c r="G17" s="3388">
        <v>-0.16289308446433001</v>
      </c>
      <c r="H17" s="3388">
        <v>0.78927403378236005</v>
      </c>
      <c r="I17" s="3388">
        <v>-3.34165038412E-3</v>
      </c>
      <c r="J17" s="3388">
        <v>-9.2512887284920006E-2</v>
      </c>
      <c r="K17" s="3388" t="s">
        <v>259</v>
      </c>
      <c r="L17" s="3388">
        <v>-1.1206322829978701</v>
      </c>
      <c r="M17" s="3387">
        <v>5.0042992637000001</v>
      </c>
      <c r="N17" s="3387">
        <v>-0.85611625000000002</v>
      </c>
      <c r="O17" s="3388">
        <v>4.1481830136999998</v>
      </c>
      <c r="P17" s="3387">
        <v>-1.7562692763000001E-2</v>
      </c>
      <c r="Q17" s="3387">
        <v>-0.48621945123999999</v>
      </c>
      <c r="R17" s="3387" t="s">
        <v>259</v>
      </c>
      <c r="S17" s="3387">
        <v>-0.54068871471000002</v>
      </c>
      <c r="T17" s="3388">
        <v>-11.38027790161901</v>
      </c>
      <c r="U17" s="660"/>
    </row>
    <row r="18" spans="1:21" x14ac:dyDescent="0.2">
      <c r="A18" s="3418" t="s">
        <v>1322</v>
      </c>
      <c r="B18" s="3363"/>
      <c r="C18" s="3388">
        <v>1.38907098171</v>
      </c>
      <c r="D18" s="3388">
        <v>1.2796234593</v>
      </c>
      <c r="E18" s="3388">
        <v>0.10944752241</v>
      </c>
      <c r="F18" s="3388">
        <v>0.73650195589039003</v>
      </c>
      <c r="G18" s="3388" t="s">
        <v>259</v>
      </c>
      <c r="H18" s="3388">
        <v>0.73650195589039003</v>
      </c>
      <c r="I18" s="3388">
        <v>-2.59248305415E-3</v>
      </c>
      <c r="J18" s="3388">
        <v>-7.1772347496070005E-2</v>
      </c>
      <c r="K18" s="3388" t="s">
        <v>259</v>
      </c>
      <c r="L18" s="3388">
        <v>-0.95975455201717996</v>
      </c>
      <c r="M18" s="3388">
        <v>1.0230534949000001</v>
      </c>
      <c r="N18" s="3388" t="s">
        <v>259</v>
      </c>
      <c r="O18" s="3388">
        <v>1.0230534949000001</v>
      </c>
      <c r="P18" s="3388">
        <v>-3.6011429811000002E-3</v>
      </c>
      <c r="Q18" s="3388">
        <v>-9.9696885196000007E-2</v>
      </c>
      <c r="R18" s="3388" t="s">
        <v>259</v>
      </c>
      <c r="S18" s="3388">
        <v>-0.10504275784</v>
      </c>
      <c r="T18" s="3388">
        <v>-2.9872799325706398</v>
      </c>
      <c r="U18" s="660"/>
    </row>
    <row r="19" spans="1:21" x14ac:dyDescent="0.2">
      <c r="A19" s="3390" t="s">
        <v>1319</v>
      </c>
      <c r="B19" s="3387" t="s">
        <v>1319</v>
      </c>
      <c r="C19" s="3388">
        <v>1.38907098171</v>
      </c>
      <c r="D19" s="3387">
        <v>1.2796234593</v>
      </c>
      <c r="E19" s="3387">
        <v>0.10944752241</v>
      </c>
      <c r="F19" s="3388">
        <v>0.73650195589039003</v>
      </c>
      <c r="G19" s="3388" t="s">
        <v>259</v>
      </c>
      <c r="H19" s="3388">
        <v>0.73650195589039003</v>
      </c>
      <c r="I19" s="3388">
        <v>-2.59248305415E-3</v>
      </c>
      <c r="J19" s="3388">
        <v>-7.1772347496070005E-2</v>
      </c>
      <c r="K19" s="3388" t="s">
        <v>259</v>
      </c>
      <c r="L19" s="3388">
        <v>-0.95975455201717996</v>
      </c>
      <c r="M19" s="3387">
        <v>1.0230534949000001</v>
      </c>
      <c r="N19" s="3387" t="s">
        <v>259</v>
      </c>
      <c r="O19" s="3388">
        <v>1.0230534949000001</v>
      </c>
      <c r="P19" s="3387">
        <v>-3.6011429811000002E-3</v>
      </c>
      <c r="Q19" s="3387">
        <v>-9.9696885196000007E-2</v>
      </c>
      <c r="R19" s="3387" t="s">
        <v>259</v>
      </c>
      <c r="S19" s="3387">
        <v>-0.10504275784</v>
      </c>
      <c r="T19" s="3388">
        <v>-2.9872799325706398</v>
      </c>
      <c r="U19" s="660"/>
    </row>
    <row r="20" spans="1:21" x14ac:dyDescent="0.2">
      <c r="A20" s="3417" t="s">
        <v>1321</v>
      </c>
      <c r="B20" s="3363"/>
      <c r="C20" s="3388" t="s">
        <v>259</v>
      </c>
      <c r="D20" s="3388" t="s">
        <v>259</v>
      </c>
      <c r="E20" s="3388" t="s">
        <v>259</v>
      </c>
      <c r="F20" s="3388" t="s">
        <v>259</v>
      </c>
      <c r="G20" s="3388" t="s">
        <v>259</v>
      </c>
      <c r="H20" s="3388" t="s">
        <v>259</v>
      </c>
      <c r="I20" s="3388" t="s">
        <v>259</v>
      </c>
      <c r="J20" s="3388" t="s">
        <v>259</v>
      </c>
      <c r="K20" s="3388" t="s">
        <v>259</v>
      </c>
      <c r="L20" s="3388" t="s">
        <v>259</v>
      </c>
      <c r="M20" s="3388" t="s">
        <v>259</v>
      </c>
      <c r="N20" s="3388" t="s">
        <v>259</v>
      </c>
      <c r="O20" s="3388" t="s">
        <v>259</v>
      </c>
      <c r="P20" s="3388" t="s">
        <v>259</v>
      </c>
      <c r="Q20" s="3388" t="s">
        <v>259</v>
      </c>
      <c r="R20" s="3388" t="s">
        <v>259</v>
      </c>
      <c r="S20" s="3388" t="s">
        <v>259</v>
      </c>
      <c r="T20" s="3388" t="s">
        <v>259</v>
      </c>
      <c r="U20" s="660"/>
    </row>
    <row r="21" spans="1:21" x14ac:dyDescent="0.2">
      <c r="A21" s="3390" t="s">
        <v>1319</v>
      </c>
      <c r="B21" s="3387" t="s">
        <v>1319</v>
      </c>
      <c r="C21" s="3388" t="s">
        <v>259</v>
      </c>
      <c r="D21" s="3387" t="s">
        <v>259</v>
      </c>
      <c r="E21" s="3387" t="s">
        <v>259</v>
      </c>
      <c r="F21" s="3388" t="s">
        <v>259</v>
      </c>
      <c r="G21" s="3388" t="s">
        <v>259</v>
      </c>
      <c r="H21" s="3388" t="s">
        <v>259</v>
      </c>
      <c r="I21" s="3388" t="s">
        <v>259</v>
      </c>
      <c r="J21" s="3388" t="s">
        <v>259</v>
      </c>
      <c r="K21" s="3388" t="s">
        <v>259</v>
      </c>
      <c r="L21" s="3388" t="s">
        <v>259</v>
      </c>
      <c r="M21" s="3387" t="s">
        <v>259</v>
      </c>
      <c r="N21" s="3387" t="s">
        <v>259</v>
      </c>
      <c r="O21" s="3388" t="s">
        <v>259</v>
      </c>
      <c r="P21" s="3387" t="s">
        <v>259</v>
      </c>
      <c r="Q21" s="3387" t="s">
        <v>259</v>
      </c>
      <c r="R21" s="3387" t="s">
        <v>259</v>
      </c>
      <c r="S21" s="3387" t="s">
        <v>259</v>
      </c>
      <c r="T21" s="3388" t="s">
        <v>259</v>
      </c>
      <c r="U21" s="660"/>
    </row>
    <row r="22" spans="1:21" x14ac:dyDescent="0.2">
      <c r="A22" s="3417" t="s">
        <v>1320</v>
      </c>
      <c r="B22" s="3363"/>
      <c r="C22" s="3388" t="s">
        <v>259</v>
      </c>
      <c r="D22" s="3388" t="s">
        <v>259</v>
      </c>
      <c r="E22" s="3388" t="s">
        <v>259</v>
      </c>
      <c r="F22" s="3388" t="s">
        <v>259</v>
      </c>
      <c r="G22" s="3388" t="s">
        <v>259</v>
      </c>
      <c r="H22" s="3388" t="s">
        <v>259</v>
      </c>
      <c r="I22" s="3388" t="s">
        <v>259</v>
      </c>
      <c r="J22" s="3388" t="s">
        <v>259</v>
      </c>
      <c r="K22" s="3388" t="s">
        <v>259</v>
      </c>
      <c r="L22" s="3388" t="s">
        <v>259</v>
      </c>
      <c r="M22" s="3388" t="s">
        <v>259</v>
      </c>
      <c r="N22" s="3388" t="s">
        <v>259</v>
      </c>
      <c r="O22" s="3388" t="s">
        <v>259</v>
      </c>
      <c r="P22" s="3388" t="s">
        <v>259</v>
      </c>
      <c r="Q22" s="3388" t="s">
        <v>259</v>
      </c>
      <c r="R22" s="3388" t="s">
        <v>259</v>
      </c>
      <c r="S22" s="3388" t="s">
        <v>259</v>
      </c>
      <c r="T22" s="3388" t="s">
        <v>259</v>
      </c>
      <c r="U22" s="660"/>
    </row>
    <row r="23" spans="1:21" x14ac:dyDescent="0.2">
      <c r="A23" s="3390" t="s">
        <v>1319</v>
      </c>
      <c r="B23" s="3387" t="s">
        <v>1319</v>
      </c>
      <c r="C23" s="3388" t="s">
        <v>259</v>
      </c>
      <c r="D23" s="3387" t="s">
        <v>259</v>
      </c>
      <c r="E23" s="3387" t="s">
        <v>259</v>
      </c>
      <c r="F23" s="3388" t="s">
        <v>259</v>
      </c>
      <c r="G23" s="3388" t="s">
        <v>259</v>
      </c>
      <c r="H23" s="3388" t="s">
        <v>259</v>
      </c>
      <c r="I23" s="3388" t="s">
        <v>259</v>
      </c>
      <c r="J23" s="3388" t="s">
        <v>259</v>
      </c>
      <c r="K23" s="3388" t="s">
        <v>259</v>
      </c>
      <c r="L23" s="3388" t="s">
        <v>259</v>
      </c>
      <c r="M23" s="3387" t="s">
        <v>259</v>
      </c>
      <c r="N23" s="3387" t="s">
        <v>259</v>
      </c>
      <c r="O23" s="3388" t="s">
        <v>259</v>
      </c>
      <c r="P23" s="3387" t="s">
        <v>259</v>
      </c>
      <c r="Q23" s="3387" t="s">
        <v>259</v>
      </c>
      <c r="R23" s="3387" t="s">
        <v>259</v>
      </c>
      <c r="S23" s="3387" t="s">
        <v>259</v>
      </c>
      <c r="T23" s="3388" t="s">
        <v>259</v>
      </c>
      <c r="U23" s="660"/>
    </row>
    <row r="24" spans="1:21" ht="12" customHeight="1" x14ac:dyDescent="0.2">
      <c r="A24" s="732" t="s">
        <v>564</v>
      </c>
      <c r="B24" s="731"/>
      <c r="C24" s="731"/>
      <c r="D24" s="731"/>
      <c r="E24" s="731"/>
      <c r="F24" s="731"/>
      <c r="G24" s="731"/>
      <c r="H24" s="731"/>
      <c r="I24" s="731"/>
      <c r="J24" s="731"/>
      <c r="K24" s="731"/>
      <c r="L24" s="731"/>
      <c r="M24" s="731"/>
      <c r="N24" s="731"/>
      <c r="O24" s="731"/>
      <c r="P24" s="731"/>
      <c r="Q24" s="731"/>
      <c r="R24" s="731"/>
      <c r="S24" s="731"/>
      <c r="T24" s="731"/>
      <c r="U24" s="660"/>
    </row>
    <row r="25" spans="1:21" ht="29.25" customHeight="1" x14ac:dyDescent="0.2">
      <c r="A25" s="5554" t="s">
        <v>1318</v>
      </c>
      <c r="B25" s="5554"/>
      <c r="C25" s="5554"/>
      <c r="D25" s="5554"/>
      <c r="E25" s="5554"/>
      <c r="F25" s="5554"/>
      <c r="G25" s="5554"/>
      <c r="H25" s="5554"/>
      <c r="I25" s="5554"/>
      <c r="J25" s="5554"/>
      <c r="K25" s="5554"/>
      <c r="L25" s="5554"/>
      <c r="M25" s="5554"/>
      <c r="N25" s="5554"/>
      <c r="O25" s="5554"/>
      <c r="P25" s="5554"/>
      <c r="Q25" s="5554"/>
      <c r="R25" s="5554"/>
      <c r="S25" s="5554"/>
      <c r="T25" s="5554"/>
      <c r="U25" s="660"/>
    </row>
    <row r="26" spans="1:21" ht="15" customHeight="1" x14ac:dyDescent="0.2">
      <c r="A26" s="5536" t="s">
        <v>1317</v>
      </c>
      <c r="B26" s="5536"/>
      <c r="C26" s="5536"/>
      <c r="D26" s="5536"/>
      <c r="E26" s="5536"/>
      <c r="F26" s="5536"/>
      <c r="G26" s="5536"/>
      <c r="H26" s="5536"/>
      <c r="I26" s="5536"/>
      <c r="J26" s="5536"/>
      <c r="K26" s="5536"/>
      <c r="L26" s="5536"/>
      <c r="M26" s="5536"/>
      <c r="N26" s="5536"/>
      <c r="O26" s="5536"/>
      <c r="P26" s="5536"/>
      <c r="Q26" s="5536"/>
      <c r="R26" s="5536"/>
      <c r="S26" s="5536"/>
      <c r="T26" s="5536"/>
      <c r="U26" s="660"/>
    </row>
    <row r="27" spans="1:21" ht="15" customHeight="1" x14ac:dyDescent="0.2">
      <c r="A27" s="5536" t="s">
        <v>1316</v>
      </c>
      <c r="B27" s="5536"/>
      <c r="C27" s="5536"/>
      <c r="D27" s="5536"/>
      <c r="E27" s="5536"/>
      <c r="F27" s="5536"/>
      <c r="G27" s="5536"/>
      <c r="H27" s="5536"/>
      <c r="I27" s="5536"/>
      <c r="J27" s="5536"/>
      <c r="K27" s="5536"/>
      <c r="L27" s="5536"/>
      <c r="M27" s="5536"/>
      <c r="N27" s="5536"/>
      <c r="O27" s="5536"/>
      <c r="P27" s="5536"/>
      <c r="Q27" s="5536"/>
      <c r="R27" s="5536"/>
      <c r="S27" s="5536"/>
      <c r="T27" s="5536"/>
      <c r="U27" s="660"/>
    </row>
    <row r="28" spans="1:21" ht="15" customHeight="1" x14ac:dyDescent="0.2">
      <c r="A28" s="5536" t="s">
        <v>1315</v>
      </c>
      <c r="B28" s="5536"/>
      <c r="C28" s="5536"/>
      <c r="D28" s="5536"/>
      <c r="E28" s="5536"/>
      <c r="F28" s="5536"/>
      <c r="G28" s="5536"/>
      <c r="H28" s="5536"/>
      <c r="I28" s="5536"/>
      <c r="J28" s="5536"/>
      <c r="K28" s="5536"/>
      <c r="L28" s="5536"/>
      <c r="M28" s="5536"/>
      <c r="N28" s="5536"/>
      <c r="O28" s="5536"/>
      <c r="P28" s="5536"/>
      <c r="Q28" s="5536"/>
      <c r="R28" s="5536"/>
      <c r="S28" s="5536"/>
      <c r="T28" s="3314"/>
      <c r="U28" s="660"/>
    </row>
    <row r="29" spans="1:21" ht="15" customHeight="1" x14ac:dyDescent="0.2">
      <c r="A29" s="5553" t="s">
        <v>1314</v>
      </c>
      <c r="B29" s="5553"/>
      <c r="C29" s="5553"/>
      <c r="D29" s="5553"/>
      <c r="E29" s="5553"/>
      <c r="F29" s="5553"/>
      <c r="G29" s="5553"/>
      <c r="H29" s="5553"/>
      <c r="I29" s="5553"/>
      <c r="J29" s="5553"/>
      <c r="K29" s="5553"/>
      <c r="L29" s="5553"/>
      <c r="M29" s="5553"/>
      <c r="N29" s="5553"/>
      <c r="O29" s="5553"/>
      <c r="P29" s="5553"/>
      <c r="Q29" s="5553"/>
      <c r="R29" s="5553"/>
      <c r="S29" s="5553"/>
      <c r="T29" s="5553"/>
      <c r="U29" s="660"/>
    </row>
    <row r="30" spans="1:21" ht="15" customHeight="1" x14ac:dyDescent="0.2">
      <c r="A30" s="5553" t="s">
        <v>1313</v>
      </c>
      <c r="B30" s="5553"/>
      <c r="C30" s="5553"/>
      <c r="D30" s="5553"/>
      <c r="E30" s="5553"/>
      <c r="F30" s="5553"/>
      <c r="G30" s="5553"/>
      <c r="H30" s="5553"/>
      <c r="I30" s="5553"/>
      <c r="J30" s="5553"/>
      <c r="K30" s="5553"/>
      <c r="L30" s="5553"/>
      <c r="M30" s="5553"/>
      <c r="N30" s="5553"/>
      <c r="O30" s="5553"/>
      <c r="P30" s="5553"/>
      <c r="Q30" s="5553"/>
      <c r="R30" s="5553"/>
      <c r="S30" s="5553"/>
      <c r="T30" s="5553"/>
      <c r="U30" s="660"/>
    </row>
    <row r="31" spans="1:21" ht="13.5" x14ac:dyDescent="0.2">
      <c r="A31" s="5554" t="s">
        <v>1312</v>
      </c>
      <c r="B31" s="5554"/>
      <c r="C31" s="5555"/>
      <c r="D31" s="5555"/>
      <c r="E31" s="5555"/>
      <c r="F31" s="5555"/>
      <c r="G31" s="5555"/>
      <c r="H31" s="5555"/>
      <c r="I31" s="5555"/>
      <c r="J31" s="5555"/>
      <c r="K31" s="5555"/>
      <c r="L31" s="5555"/>
      <c r="M31" s="5555"/>
      <c r="N31" s="5555"/>
      <c r="O31" s="5555"/>
      <c r="P31" s="5555"/>
      <c r="Q31" s="5555"/>
      <c r="R31" s="5555"/>
      <c r="S31" s="5555"/>
      <c r="T31" s="5555"/>
      <c r="U31" s="660"/>
    </row>
    <row r="32" spans="1:21" ht="13.5" x14ac:dyDescent="0.2">
      <c r="A32" s="5553" t="s">
        <v>1311</v>
      </c>
      <c r="B32" s="5553"/>
      <c r="C32" s="5553"/>
      <c r="D32" s="5553"/>
      <c r="E32" s="5553"/>
      <c r="F32" s="5553"/>
      <c r="G32" s="5553"/>
      <c r="H32" s="5553"/>
      <c r="I32" s="5553"/>
      <c r="J32" s="5553"/>
      <c r="K32" s="5553"/>
      <c r="L32" s="5553"/>
      <c r="M32" s="5553"/>
      <c r="N32" s="5553"/>
      <c r="O32" s="5553"/>
      <c r="P32" s="5553"/>
      <c r="Q32" s="5553"/>
      <c r="R32" s="5553"/>
      <c r="S32" s="5553"/>
      <c r="T32" s="5553"/>
      <c r="U32" s="660"/>
    </row>
    <row r="33" spans="1:21" x14ac:dyDescent="0.2">
      <c r="A33" s="660"/>
      <c r="B33" s="660"/>
      <c r="C33" s="731"/>
      <c r="D33" s="731"/>
      <c r="E33" s="731"/>
      <c r="F33" s="731"/>
      <c r="G33" s="731"/>
      <c r="H33" s="731"/>
      <c r="I33" s="731"/>
      <c r="J33" s="731"/>
      <c r="K33" s="731"/>
      <c r="L33" s="731"/>
      <c r="M33" s="731"/>
      <c r="N33" s="731"/>
      <c r="O33" s="731"/>
      <c r="P33" s="731"/>
      <c r="Q33" s="731"/>
      <c r="R33" s="731"/>
      <c r="S33" s="731"/>
      <c r="T33" s="731"/>
      <c r="U33" s="660"/>
    </row>
    <row r="34" spans="1:21" ht="15.75" customHeight="1" x14ac:dyDescent="0.2">
      <c r="A34" s="3416" t="s">
        <v>982</v>
      </c>
      <c r="B34" s="3415"/>
      <c r="C34" s="3414"/>
      <c r="D34" s="3414"/>
      <c r="E34" s="3414"/>
      <c r="F34" s="3414"/>
      <c r="G34" s="3414"/>
      <c r="H34" s="3414"/>
      <c r="I34" s="3414"/>
      <c r="J34" s="3414"/>
      <c r="K34" s="3414"/>
      <c r="L34" s="3414"/>
      <c r="M34" s="3414"/>
      <c r="N34" s="3414"/>
      <c r="O34" s="3414"/>
      <c r="P34" s="3414"/>
      <c r="Q34" s="3414"/>
      <c r="R34" s="3414"/>
      <c r="S34" s="3414"/>
      <c r="T34" s="3413"/>
      <c r="U34" s="660"/>
    </row>
    <row r="35" spans="1:21" ht="28.5" customHeight="1" x14ac:dyDescent="0.2">
      <c r="A35" s="5549" t="s">
        <v>1310</v>
      </c>
      <c r="B35" s="5550"/>
      <c r="C35" s="5551"/>
      <c r="D35" s="5551"/>
      <c r="E35" s="5551"/>
      <c r="F35" s="5551"/>
      <c r="G35" s="5551"/>
      <c r="H35" s="5551"/>
      <c r="I35" s="5551"/>
      <c r="J35" s="5551"/>
      <c r="K35" s="5551"/>
      <c r="L35" s="5551"/>
      <c r="M35" s="5551"/>
      <c r="N35" s="5551"/>
      <c r="O35" s="5551"/>
      <c r="P35" s="5551"/>
      <c r="Q35" s="5551"/>
      <c r="R35" s="5551"/>
      <c r="S35" s="5551"/>
      <c r="T35" s="5552"/>
      <c r="U35" s="660"/>
    </row>
    <row r="36" spans="1:21" ht="12" customHeight="1" x14ac:dyDescent="0.2">
      <c r="A36" s="3412" t="s">
        <v>980</v>
      </c>
      <c r="B36" s="5473" t="s">
        <v>986</v>
      </c>
      <c r="C36" s="5527"/>
      <c r="D36" s="5527"/>
      <c r="E36" s="5527"/>
      <c r="F36" s="5527"/>
      <c r="G36" s="5527"/>
      <c r="H36" s="5527"/>
      <c r="I36" s="5527"/>
      <c r="J36" s="5527"/>
      <c r="K36" s="5527"/>
      <c r="L36" s="5527"/>
      <c r="M36" s="5527"/>
      <c r="N36" s="5527"/>
      <c r="O36" s="5527"/>
      <c r="P36" s="5527"/>
      <c r="Q36" s="5527"/>
      <c r="R36" s="5527"/>
      <c r="S36" s="5527"/>
      <c r="T36" s="5527"/>
      <c r="U36" s="660"/>
    </row>
    <row r="37" spans="1:21" ht="12" customHeight="1" x14ac:dyDescent="0.2">
      <c r="A37" s="3412" t="s">
        <v>980</v>
      </c>
      <c r="B37" s="5473" t="s">
        <v>986</v>
      </c>
      <c r="C37" s="5527"/>
      <c r="D37" s="5527"/>
      <c r="E37" s="5527"/>
      <c r="F37" s="5527"/>
      <c r="G37" s="5527"/>
      <c r="H37" s="5527"/>
      <c r="I37" s="5527"/>
      <c r="J37" s="5527"/>
      <c r="K37" s="5527"/>
      <c r="L37" s="5527"/>
      <c r="M37" s="5527"/>
      <c r="N37" s="5527"/>
      <c r="O37" s="5527"/>
      <c r="P37" s="5527"/>
      <c r="Q37" s="5527"/>
      <c r="R37" s="5527"/>
      <c r="S37" s="5527"/>
      <c r="T37" s="5527"/>
    </row>
  </sheetData>
  <sheetProtection password="A754" sheet="1" objects="1" scenarios="1"/>
  <mergeCells count="31">
    <mergeCell ref="A26:T26"/>
    <mergeCell ref="B6:B9"/>
    <mergeCell ref="A35:T35"/>
    <mergeCell ref="A28:S28"/>
    <mergeCell ref="A29:T29"/>
    <mergeCell ref="A30:T30"/>
    <mergeCell ref="A31:T31"/>
    <mergeCell ref="A32:T32"/>
    <mergeCell ref="A6:A9"/>
    <mergeCell ref="M9:S9"/>
    <mergeCell ref="M6:O7"/>
    <mergeCell ref="P6:P8"/>
    <mergeCell ref="Q6:Q8"/>
    <mergeCell ref="R6:S7"/>
    <mergeCell ref="A25:T25"/>
    <mergeCell ref="B37:T37"/>
    <mergeCell ref="C5:E5"/>
    <mergeCell ref="F5:L5"/>
    <mergeCell ref="M5:S5"/>
    <mergeCell ref="T5:T8"/>
    <mergeCell ref="A5:B5"/>
    <mergeCell ref="A27:T27"/>
    <mergeCell ref="I6:I8"/>
    <mergeCell ref="J6:J8"/>
    <mergeCell ref="K6:L7"/>
    <mergeCell ref="C6:C9"/>
    <mergeCell ref="E6:E9"/>
    <mergeCell ref="F6:H7"/>
    <mergeCell ref="D6:D9"/>
    <mergeCell ref="F9:L9"/>
    <mergeCell ref="B36:T36"/>
  </mergeCells>
  <printOptions horizontalCentered="1" verticalCentered="1"/>
  <pageMargins left="0.39370078740157483" right="0.39370078740157483" top="0.39370078740157483" bottom="0.39370078740157483" header="0.19685039370078741" footer="0.19685039370078741"/>
  <pageSetup paperSize="9" scale="44"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735B5-4ADB-4647-9E25-9EA0F7A272D3}">
  <sheetPr codeName="Ark24">
    <tabColor theme="0" tint="-0.14999847407452621"/>
    <pageSetUpPr fitToPage="1"/>
  </sheetPr>
  <dimension ref="A1:T39"/>
  <sheetViews>
    <sheetView showGridLines="0" workbookViewId="0"/>
  </sheetViews>
  <sheetFormatPr defaultColWidth="8" defaultRowHeight="12" customHeight="1" x14ac:dyDescent="0.2"/>
  <cols>
    <col min="1" max="1" width="45.7109375" style="659" customWidth="1"/>
    <col min="2" max="2" width="14.7109375" style="659" customWidth="1"/>
    <col min="3" max="18" width="11.7109375" style="659" customWidth="1"/>
    <col min="19" max="19" width="1.28515625" style="659" customWidth="1"/>
    <col min="20" max="16384" width="8" style="659"/>
  </cols>
  <sheetData>
    <row r="1" spans="1:20" ht="20.100000000000001" customHeight="1" x14ac:dyDescent="0.25">
      <c r="A1" s="671" t="s">
        <v>1378</v>
      </c>
      <c r="B1" s="660"/>
      <c r="C1" s="660"/>
      <c r="D1" s="660"/>
      <c r="E1" s="660"/>
      <c r="F1" s="660"/>
      <c r="G1" s="660"/>
      <c r="H1" s="660"/>
      <c r="I1" s="660"/>
      <c r="J1" s="660"/>
      <c r="K1" s="660"/>
      <c r="L1" s="660"/>
      <c r="M1" s="660"/>
      <c r="N1" s="660"/>
      <c r="O1" s="660"/>
      <c r="P1" s="660"/>
      <c r="Q1" s="660"/>
      <c r="R1" s="668" t="s">
        <v>1028</v>
      </c>
      <c r="S1" s="660"/>
      <c r="T1" s="660"/>
    </row>
    <row r="2" spans="1:20" ht="15.75" x14ac:dyDescent="0.25">
      <c r="A2" s="671" t="s">
        <v>1377</v>
      </c>
      <c r="B2" s="660"/>
      <c r="C2" s="660"/>
      <c r="D2" s="660"/>
      <c r="E2" s="660"/>
      <c r="F2" s="660"/>
      <c r="G2" s="660"/>
      <c r="H2" s="660"/>
      <c r="I2" s="660"/>
      <c r="J2" s="660"/>
      <c r="K2" s="660"/>
      <c r="L2" s="660"/>
      <c r="M2" s="660"/>
      <c r="N2" s="660"/>
      <c r="O2" s="660"/>
      <c r="P2" s="660"/>
      <c r="Q2" s="660"/>
      <c r="R2" s="668" t="s">
        <v>5183</v>
      </c>
      <c r="S2" s="660"/>
      <c r="T2" s="660"/>
    </row>
    <row r="3" spans="1:20" ht="15.75" x14ac:dyDescent="0.25">
      <c r="A3" s="671" t="s">
        <v>1197</v>
      </c>
      <c r="B3" s="660"/>
      <c r="C3" s="660"/>
      <c r="D3" s="660"/>
      <c r="E3" s="660"/>
      <c r="F3" s="660"/>
      <c r="G3" s="660"/>
      <c r="H3" s="660"/>
      <c r="I3" s="660"/>
      <c r="J3" s="660"/>
      <c r="K3" s="660"/>
      <c r="L3" s="660"/>
      <c r="M3" s="660"/>
      <c r="N3" s="660"/>
      <c r="O3" s="660"/>
      <c r="P3" s="660"/>
      <c r="Q3" s="660"/>
      <c r="R3" s="668" t="s">
        <v>1789</v>
      </c>
      <c r="S3" s="660"/>
      <c r="T3" s="660"/>
    </row>
    <row r="4" spans="1:20" ht="12" customHeight="1" x14ac:dyDescent="0.2">
      <c r="A4" s="736"/>
      <c r="B4" s="731"/>
      <c r="C4" s="731"/>
      <c r="D4" s="731"/>
      <c r="E4" s="731"/>
      <c r="F4" s="731"/>
      <c r="G4" s="731"/>
      <c r="H4" s="731"/>
      <c r="I4" s="731"/>
      <c r="J4" s="731"/>
      <c r="K4" s="731"/>
      <c r="L4" s="731"/>
      <c r="M4" s="731"/>
      <c r="N4" s="731"/>
      <c r="O4" s="3315"/>
      <c r="P4" s="3315"/>
      <c r="Q4" s="3315"/>
      <c r="R4" s="3315"/>
      <c r="S4" s="660"/>
      <c r="T4" s="660"/>
    </row>
    <row r="5" spans="1:20" ht="30" customHeight="1" x14ac:dyDescent="0.2">
      <c r="A5" s="5534" t="s">
        <v>1025</v>
      </c>
      <c r="B5" s="5535"/>
      <c r="C5" s="5528" t="s">
        <v>1083</v>
      </c>
      <c r="D5" s="5529"/>
      <c r="E5" s="5530"/>
      <c r="F5" s="5528" t="s">
        <v>1351</v>
      </c>
      <c r="G5" s="5529"/>
      <c r="H5" s="5529"/>
      <c r="I5" s="5529"/>
      <c r="J5" s="5529"/>
      <c r="K5" s="5530"/>
      <c r="L5" s="5528" t="s">
        <v>1350</v>
      </c>
      <c r="M5" s="5529"/>
      <c r="N5" s="5529"/>
      <c r="O5" s="5529"/>
      <c r="P5" s="5529"/>
      <c r="Q5" s="5530"/>
      <c r="R5" s="5531" t="s">
        <v>1376</v>
      </c>
      <c r="S5" s="660"/>
      <c r="T5" s="660"/>
    </row>
    <row r="6" spans="1:20" ht="47.25" customHeight="1" x14ac:dyDescent="0.2">
      <c r="A6" s="5519" t="s">
        <v>1348</v>
      </c>
      <c r="B6" s="5531" t="s">
        <v>1347</v>
      </c>
      <c r="C6" s="5531" t="s">
        <v>1346</v>
      </c>
      <c r="D6" s="5531" t="s">
        <v>1345</v>
      </c>
      <c r="E6" s="5538" t="s">
        <v>1344</v>
      </c>
      <c r="F6" s="5537" t="s">
        <v>1343</v>
      </c>
      <c r="G6" s="5544"/>
      <c r="H6" s="5538"/>
      <c r="I6" s="5531" t="s">
        <v>1375</v>
      </c>
      <c r="J6" s="5537" t="s">
        <v>1340</v>
      </c>
      <c r="K6" s="5538"/>
      <c r="L6" s="5537" t="s">
        <v>1374</v>
      </c>
      <c r="M6" s="5544"/>
      <c r="N6" s="5538"/>
      <c r="O6" s="5531" t="s">
        <v>1373</v>
      </c>
      <c r="P6" s="5537" t="s">
        <v>1372</v>
      </c>
      <c r="Q6" s="5538"/>
      <c r="R6" s="5532"/>
      <c r="S6" s="660"/>
      <c r="T6" s="660"/>
    </row>
    <row r="7" spans="1:20" ht="12.75" customHeight="1" x14ac:dyDescent="0.2">
      <c r="A7" s="5520"/>
      <c r="B7" s="5532"/>
      <c r="C7" s="5532"/>
      <c r="D7" s="5532"/>
      <c r="E7" s="5542"/>
      <c r="F7" s="5539"/>
      <c r="G7" s="5545"/>
      <c r="H7" s="5540"/>
      <c r="I7" s="5532"/>
      <c r="J7" s="5539"/>
      <c r="K7" s="5540"/>
      <c r="L7" s="5539"/>
      <c r="M7" s="5545"/>
      <c r="N7" s="5540"/>
      <c r="O7" s="5532"/>
      <c r="P7" s="5539"/>
      <c r="Q7" s="5540"/>
      <c r="R7" s="5532"/>
      <c r="S7" s="660"/>
      <c r="T7" s="660"/>
    </row>
    <row r="8" spans="1:20" ht="25.5" customHeight="1" x14ac:dyDescent="0.2">
      <c r="A8" s="5520"/>
      <c r="B8" s="5532"/>
      <c r="C8" s="5532"/>
      <c r="D8" s="5532"/>
      <c r="E8" s="5542"/>
      <c r="F8" s="3411" t="s">
        <v>1334</v>
      </c>
      <c r="G8" s="3411" t="s">
        <v>1333</v>
      </c>
      <c r="H8" s="3411" t="s">
        <v>1332</v>
      </c>
      <c r="I8" s="5533"/>
      <c r="J8" s="3309" t="s">
        <v>1331</v>
      </c>
      <c r="K8" s="3311" t="s">
        <v>1330</v>
      </c>
      <c r="L8" s="3411" t="s">
        <v>1334</v>
      </c>
      <c r="M8" s="3411" t="s">
        <v>1333</v>
      </c>
      <c r="N8" s="3411" t="s">
        <v>1332</v>
      </c>
      <c r="O8" s="5533"/>
      <c r="P8" s="3309" t="s">
        <v>1331</v>
      </c>
      <c r="Q8" s="3311" t="s">
        <v>1330</v>
      </c>
      <c r="R8" s="5533"/>
      <c r="S8" s="660"/>
      <c r="T8" s="660"/>
    </row>
    <row r="9" spans="1:20" ht="15.95" customHeight="1" thickBot="1" x14ac:dyDescent="0.25">
      <c r="A9" s="5556"/>
      <c r="B9" s="5541"/>
      <c r="C9" s="5541"/>
      <c r="D9" s="5541"/>
      <c r="E9" s="5543"/>
      <c r="F9" s="5546" t="s">
        <v>1329</v>
      </c>
      <c r="G9" s="5547"/>
      <c r="H9" s="5547"/>
      <c r="I9" s="5547"/>
      <c r="J9" s="5547"/>
      <c r="K9" s="5548"/>
      <c r="L9" s="5546" t="s">
        <v>1328</v>
      </c>
      <c r="M9" s="5547"/>
      <c r="N9" s="5547"/>
      <c r="O9" s="5547"/>
      <c r="P9" s="5547"/>
      <c r="Q9" s="5548"/>
      <c r="R9" s="734" t="s">
        <v>1011</v>
      </c>
      <c r="S9" s="660"/>
      <c r="T9" s="660"/>
    </row>
    <row r="10" spans="1:20" ht="12.75" thickTop="1" x14ac:dyDescent="0.2">
      <c r="A10" s="733" t="s">
        <v>1371</v>
      </c>
      <c r="B10" s="3363" t="s">
        <v>986</v>
      </c>
      <c r="C10" s="3388">
        <v>2816.9304687199801</v>
      </c>
      <c r="D10" s="3388">
        <v>2690.0531375623</v>
      </c>
      <c r="E10" s="3388">
        <v>126.87733115768</v>
      </c>
      <c r="F10" s="3388">
        <v>2.7155453394830002E-2</v>
      </c>
      <c r="G10" s="3388">
        <v>-3.1666477965829998E-2</v>
      </c>
      <c r="H10" s="3388">
        <v>-4.5110245709999996E-3</v>
      </c>
      <c r="I10" s="3388">
        <v>-3.45849517281E-3</v>
      </c>
      <c r="J10" s="3388">
        <v>-8.1929441843519996E-2</v>
      </c>
      <c r="K10" s="3388">
        <v>-7.5770888579398399</v>
      </c>
      <c r="L10" s="3388">
        <v>76.495024059800002</v>
      </c>
      <c r="M10" s="3388">
        <v>-89.202266619</v>
      </c>
      <c r="N10" s="3388">
        <v>-12.707242559199999</v>
      </c>
      <c r="O10" s="3388">
        <v>-9.7423404282000003</v>
      </c>
      <c r="P10" s="3388">
        <v>-220.3945520899</v>
      </c>
      <c r="Q10" s="3388">
        <v>-961.36081223999997</v>
      </c>
      <c r="R10" s="3388">
        <v>4415.4181401634378</v>
      </c>
      <c r="S10" s="660"/>
      <c r="T10" s="660"/>
    </row>
    <row r="11" spans="1:20" x14ac:dyDescent="0.2">
      <c r="A11" s="3417" t="s">
        <v>1370</v>
      </c>
      <c r="B11" s="3363"/>
      <c r="C11" s="3388">
        <v>2779.0147687200001</v>
      </c>
      <c r="D11" s="3388">
        <v>2652.4297489</v>
      </c>
      <c r="E11" s="3388">
        <v>126.58501982</v>
      </c>
      <c r="F11" s="3388">
        <v>1.4941326769239999E-2</v>
      </c>
      <c r="G11" s="3388">
        <v>-1.9678227297509999E-2</v>
      </c>
      <c r="H11" s="3388">
        <v>-4.7369005282599996E-3</v>
      </c>
      <c r="I11" s="3388" t="s">
        <v>259</v>
      </c>
      <c r="J11" s="3388">
        <v>-8.1809917974260002E-2</v>
      </c>
      <c r="K11" s="3388">
        <v>-7.5945859439531302</v>
      </c>
      <c r="L11" s="3388">
        <v>41.522167756000002</v>
      </c>
      <c r="M11" s="3388">
        <v>-54.686084282000003</v>
      </c>
      <c r="N11" s="3388">
        <v>-13.163916526</v>
      </c>
      <c r="O11" s="3388" t="s">
        <v>259</v>
      </c>
      <c r="P11" s="3388">
        <v>-216.99506019</v>
      </c>
      <c r="Q11" s="3388">
        <v>-961.36081223999997</v>
      </c>
      <c r="R11" s="3388">
        <v>4368.9058928386703</v>
      </c>
      <c r="S11" s="660"/>
      <c r="T11" s="660"/>
    </row>
    <row r="12" spans="1:20" x14ac:dyDescent="0.2">
      <c r="A12" s="3390" t="s">
        <v>1319</v>
      </c>
      <c r="B12" s="3387" t="s">
        <v>1319</v>
      </c>
      <c r="C12" s="3388">
        <v>2779.0147687200001</v>
      </c>
      <c r="D12" s="3387">
        <v>2652.4297489</v>
      </c>
      <c r="E12" s="3387">
        <v>126.58501982</v>
      </c>
      <c r="F12" s="3388">
        <v>1.4941326769239999E-2</v>
      </c>
      <c r="G12" s="3388">
        <v>-1.9678227297509999E-2</v>
      </c>
      <c r="H12" s="3388">
        <v>-4.7369005282599996E-3</v>
      </c>
      <c r="I12" s="3388" t="s">
        <v>259</v>
      </c>
      <c r="J12" s="3388">
        <v>-8.1809917974260002E-2</v>
      </c>
      <c r="K12" s="3388">
        <v>-7.5945859439531302</v>
      </c>
      <c r="L12" s="3387">
        <v>41.522167756000002</v>
      </c>
      <c r="M12" s="3387">
        <v>-54.686084282000003</v>
      </c>
      <c r="N12" s="3388">
        <v>-13.163916526</v>
      </c>
      <c r="O12" s="3387" t="s">
        <v>259</v>
      </c>
      <c r="P12" s="3387">
        <v>-216.99506019</v>
      </c>
      <c r="Q12" s="3387">
        <v>-961.36081223999997</v>
      </c>
      <c r="R12" s="3388">
        <v>4368.9058928386703</v>
      </c>
      <c r="S12" s="660"/>
      <c r="T12" s="660"/>
    </row>
    <row r="13" spans="1:20" ht="13.5" x14ac:dyDescent="0.2">
      <c r="A13" s="3419" t="s">
        <v>1369</v>
      </c>
      <c r="B13" s="3363" t="s">
        <v>986</v>
      </c>
      <c r="C13" s="3388">
        <v>37.915699999979999</v>
      </c>
      <c r="D13" s="3388">
        <v>37.623388662300002</v>
      </c>
      <c r="E13" s="3388">
        <v>0.29231133768000001</v>
      </c>
      <c r="F13" s="3388">
        <v>0.92238456111369005</v>
      </c>
      <c r="G13" s="3388">
        <v>-0.91034010547129995</v>
      </c>
      <c r="H13" s="3388">
        <v>1.204445564239E-2</v>
      </c>
      <c r="I13" s="3388">
        <v>-0.25694739720498999</v>
      </c>
      <c r="J13" s="3388">
        <v>-9.0355813784159994E-2</v>
      </c>
      <c r="K13" s="3388" t="s">
        <v>1366</v>
      </c>
      <c r="L13" s="3388">
        <v>34.9728563038</v>
      </c>
      <c r="M13" s="3388">
        <v>-34.516182336999996</v>
      </c>
      <c r="N13" s="3388">
        <v>0.4566739668</v>
      </c>
      <c r="O13" s="3388">
        <v>-9.7423404282000003</v>
      </c>
      <c r="P13" s="3388">
        <v>-3.3994918999000001</v>
      </c>
      <c r="Q13" s="3388" t="s">
        <v>1366</v>
      </c>
      <c r="R13" s="3388">
        <v>46.512247324766712</v>
      </c>
      <c r="S13" s="660"/>
      <c r="T13" s="660"/>
    </row>
    <row r="14" spans="1:20" x14ac:dyDescent="0.2">
      <c r="A14" s="3418" t="s">
        <v>1368</v>
      </c>
      <c r="B14" s="3363"/>
      <c r="C14" s="3388">
        <v>5.9928874999800001</v>
      </c>
      <c r="D14" s="3388">
        <v>5.7005761623</v>
      </c>
      <c r="E14" s="3388">
        <v>0.29231133768000001</v>
      </c>
      <c r="F14" s="3388">
        <v>0.84401652238873004</v>
      </c>
      <c r="G14" s="3388">
        <v>-2.2454215246064502</v>
      </c>
      <c r="H14" s="3388">
        <v>-1.40140500221772</v>
      </c>
      <c r="I14" s="3388">
        <v>-1.6256504778760701</v>
      </c>
      <c r="J14" s="3388">
        <v>-0.38204713756886</v>
      </c>
      <c r="K14" s="3388" t="s">
        <v>455</v>
      </c>
      <c r="L14" s="3388">
        <v>5.0580960668000001</v>
      </c>
      <c r="M14" s="3388">
        <v>-13.456558587</v>
      </c>
      <c r="N14" s="3388">
        <v>-8.3984625202000007</v>
      </c>
      <c r="O14" s="3388">
        <v>-9.7423404282000003</v>
      </c>
      <c r="P14" s="3388">
        <v>-2.1778888052999998</v>
      </c>
      <c r="Q14" s="3388" t="s">
        <v>455</v>
      </c>
      <c r="R14" s="3388">
        <v>74.501869763566731</v>
      </c>
      <c r="S14" s="660"/>
      <c r="T14" s="660"/>
    </row>
    <row r="15" spans="1:20" x14ac:dyDescent="0.2">
      <c r="A15" s="3390" t="s">
        <v>1319</v>
      </c>
      <c r="B15" s="3387" t="s">
        <v>1319</v>
      </c>
      <c r="C15" s="3388">
        <v>5.9928874999800001</v>
      </c>
      <c r="D15" s="3387">
        <v>5.7005761623</v>
      </c>
      <c r="E15" s="3387">
        <v>0.29231133768000001</v>
      </c>
      <c r="F15" s="3388">
        <v>0.84401652238873004</v>
      </c>
      <c r="G15" s="3388">
        <v>-2.2454215246064502</v>
      </c>
      <c r="H15" s="3388">
        <v>-1.40140500221772</v>
      </c>
      <c r="I15" s="3388">
        <v>-1.6256504778760701</v>
      </c>
      <c r="J15" s="3388">
        <v>-0.38204713756886</v>
      </c>
      <c r="K15" s="3388" t="s">
        <v>455</v>
      </c>
      <c r="L15" s="3387">
        <v>5.0580960668000001</v>
      </c>
      <c r="M15" s="3387">
        <v>-13.456558587</v>
      </c>
      <c r="N15" s="3388">
        <v>-8.3984625202000007</v>
      </c>
      <c r="O15" s="3387">
        <v>-9.7423404282000003</v>
      </c>
      <c r="P15" s="3387">
        <v>-2.1778888052999998</v>
      </c>
      <c r="Q15" s="3387" t="s">
        <v>455</v>
      </c>
      <c r="R15" s="3388">
        <v>74.501869763566731</v>
      </c>
      <c r="S15" s="660"/>
      <c r="T15" s="660"/>
    </row>
    <row r="16" spans="1:20" x14ac:dyDescent="0.2">
      <c r="A16" s="3417" t="s">
        <v>1367</v>
      </c>
      <c r="B16" s="3363"/>
      <c r="C16" s="3388">
        <v>31.265912499999999</v>
      </c>
      <c r="D16" s="3388">
        <v>31.265912499999999</v>
      </c>
      <c r="E16" s="3388" t="s">
        <v>455</v>
      </c>
      <c r="F16" s="3388">
        <v>0.95678513259447995</v>
      </c>
      <c r="G16" s="3388">
        <v>-0.67356498071182003</v>
      </c>
      <c r="H16" s="3388">
        <v>0.28322015188265998</v>
      </c>
      <c r="I16" s="3388" t="s">
        <v>799</v>
      </c>
      <c r="J16" s="3388" t="s">
        <v>455</v>
      </c>
      <c r="K16" s="3388" t="s">
        <v>455</v>
      </c>
      <c r="L16" s="3388">
        <v>29.914760236999999</v>
      </c>
      <c r="M16" s="3388">
        <v>-21.05962375</v>
      </c>
      <c r="N16" s="3388">
        <v>8.8551364869999993</v>
      </c>
      <c r="O16" s="3388" t="s">
        <v>799</v>
      </c>
      <c r="P16" s="3388" t="s">
        <v>455</v>
      </c>
      <c r="Q16" s="3388" t="s">
        <v>455</v>
      </c>
      <c r="R16" s="3388">
        <v>-32.468833785666703</v>
      </c>
      <c r="S16" s="660"/>
      <c r="T16" s="660"/>
    </row>
    <row r="17" spans="1:20" x14ac:dyDescent="0.2">
      <c r="A17" s="3390" t="s">
        <v>1319</v>
      </c>
      <c r="B17" s="3387" t="s">
        <v>1319</v>
      </c>
      <c r="C17" s="3388">
        <v>31.265912499999999</v>
      </c>
      <c r="D17" s="3387">
        <v>31.265912499999999</v>
      </c>
      <c r="E17" s="3387" t="s">
        <v>455</v>
      </c>
      <c r="F17" s="3388">
        <v>0.95678513259447995</v>
      </c>
      <c r="G17" s="3388">
        <v>-0.67356498071182003</v>
      </c>
      <c r="H17" s="3388">
        <v>0.28322015188265998</v>
      </c>
      <c r="I17" s="3388" t="s">
        <v>799</v>
      </c>
      <c r="J17" s="3388" t="s">
        <v>455</v>
      </c>
      <c r="K17" s="3388" t="s">
        <v>455</v>
      </c>
      <c r="L17" s="3387">
        <v>29.914760236999999</v>
      </c>
      <c r="M17" s="3387">
        <v>-21.05962375</v>
      </c>
      <c r="N17" s="3388">
        <v>8.8551364869999993</v>
      </c>
      <c r="O17" s="3387" t="s">
        <v>799</v>
      </c>
      <c r="P17" s="3387" t="s">
        <v>455</v>
      </c>
      <c r="Q17" s="3387" t="s">
        <v>455</v>
      </c>
      <c r="R17" s="3388">
        <v>-32.468833785666703</v>
      </c>
      <c r="S17" s="660"/>
      <c r="T17" s="660"/>
    </row>
    <row r="18" spans="1:20" x14ac:dyDescent="0.2">
      <c r="A18" s="3417" t="s">
        <v>1365</v>
      </c>
      <c r="B18" s="3363"/>
      <c r="C18" s="3388">
        <v>0.65690000000000004</v>
      </c>
      <c r="D18" s="3388">
        <v>0.65690000000000004</v>
      </c>
      <c r="E18" s="3388" t="s">
        <v>455</v>
      </c>
      <c r="F18" s="3388" t="s">
        <v>259</v>
      </c>
      <c r="G18" s="3388" t="s">
        <v>259</v>
      </c>
      <c r="H18" s="3388" t="s">
        <v>259</v>
      </c>
      <c r="I18" s="3388" t="s">
        <v>259</v>
      </c>
      <c r="J18" s="3388">
        <v>-1.8596484923123799</v>
      </c>
      <c r="K18" s="3388" t="s">
        <v>455</v>
      </c>
      <c r="L18" s="3388" t="s">
        <v>259</v>
      </c>
      <c r="M18" s="3388" t="s">
        <v>259</v>
      </c>
      <c r="N18" s="3388" t="s">
        <v>259</v>
      </c>
      <c r="O18" s="3388" t="s">
        <v>259</v>
      </c>
      <c r="P18" s="3388">
        <v>-1.2216030946000001</v>
      </c>
      <c r="Q18" s="3388" t="s">
        <v>455</v>
      </c>
      <c r="R18" s="3388">
        <v>4.4792113468666699</v>
      </c>
      <c r="S18" s="660"/>
      <c r="T18" s="660"/>
    </row>
    <row r="19" spans="1:20" x14ac:dyDescent="0.2">
      <c r="A19" s="3390" t="s">
        <v>1319</v>
      </c>
      <c r="B19" s="3387" t="s">
        <v>1319</v>
      </c>
      <c r="C19" s="3388">
        <v>0.65690000000000004</v>
      </c>
      <c r="D19" s="3387">
        <v>0.65690000000000004</v>
      </c>
      <c r="E19" s="3387" t="s">
        <v>455</v>
      </c>
      <c r="F19" s="3388" t="s">
        <v>259</v>
      </c>
      <c r="G19" s="3388" t="s">
        <v>259</v>
      </c>
      <c r="H19" s="3388" t="s">
        <v>259</v>
      </c>
      <c r="I19" s="3388" t="s">
        <v>259</v>
      </c>
      <c r="J19" s="3388">
        <v>-1.8596484923123799</v>
      </c>
      <c r="K19" s="3388" t="s">
        <v>455</v>
      </c>
      <c r="L19" s="3387" t="s">
        <v>259</v>
      </c>
      <c r="M19" s="3387" t="s">
        <v>259</v>
      </c>
      <c r="N19" s="3388" t="s">
        <v>259</v>
      </c>
      <c r="O19" s="3387" t="s">
        <v>259</v>
      </c>
      <c r="P19" s="3387">
        <v>-1.2216030946000001</v>
      </c>
      <c r="Q19" s="3387" t="s">
        <v>455</v>
      </c>
      <c r="R19" s="3388">
        <v>4.4792113468666699</v>
      </c>
      <c r="S19" s="660"/>
      <c r="T19" s="660"/>
    </row>
    <row r="20" spans="1:20" x14ac:dyDescent="0.2">
      <c r="A20" s="3417" t="s">
        <v>1364</v>
      </c>
      <c r="B20" s="3363"/>
      <c r="C20" s="3388" t="s">
        <v>259</v>
      </c>
      <c r="D20" s="3388" t="s">
        <v>259</v>
      </c>
      <c r="E20" s="3388" t="s">
        <v>259</v>
      </c>
      <c r="F20" s="3388" t="s">
        <v>259</v>
      </c>
      <c r="G20" s="3388" t="s">
        <v>259</v>
      </c>
      <c r="H20" s="3388" t="s">
        <v>259</v>
      </c>
      <c r="I20" s="3388" t="s">
        <v>259</v>
      </c>
      <c r="J20" s="3388" t="s">
        <v>259</v>
      </c>
      <c r="K20" s="3388" t="s">
        <v>259</v>
      </c>
      <c r="L20" s="3388" t="s">
        <v>259</v>
      </c>
      <c r="M20" s="3388" t="s">
        <v>259</v>
      </c>
      <c r="N20" s="3388" t="s">
        <v>259</v>
      </c>
      <c r="O20" s="3388" t="s">
        <v>259</v>
      </c>
      <c r="P20" s="3388" t="s">
        <v>259</v>
      </c>
      <c r="Q20" s="3388" t="s">
        <v>259</v>
      </c>
      <c r="R20" s="3388" t="s">
        <v>259</v>
      </c>
      <c r="S20" s="660"/>
      <c r="T20" s="660"/>
    </row>
    <row r="21" spans="1:20" x14ac:dyDescent="0.2">
      <c r="A21" s="3390" t="s">
        <v>1319</v>
      </c>
      <c r="B21" s="3387" t="s">
        <v>1319</v>
      </c>
      <c r="C21" s="3388" t="s">
        <v>259</v>
      </c>
      <c r="D21" s="3387" t="s">
        <v>259</v>
      </c>
      <c r="E21" s="3387" t="s">
        <v>259</v>
      </c>
      <c r="F21" s="3388" t="s">
        <v>259</v>
      </c>
      <c r="G21" s="3388" t="s">
        <v>259</v>
      </c>
      <c r="H21" s="3388" t="s">
        <v>259</v>
      </c>
      <c r="I21" s="3388" t="s">
        <v>259</v>
      </c>
      <c r="J21" s="3388" t="s">
        <v>259</v>
      </c>
      <c r="K21" s="3388" t="s">
        <v>259</v>
      </c>
      <c r="L21" s="3387" t="s">
        <v>259</v>
      </c>
      <c r="M21" s="3387" t="s">
        <v>259</v>
      </c>
      <c r="N21" s="3388" t="s">
        <v>259</v>
      </c>
      <c r="O21" s="3387" t="s">
        <v>259</v>
      </c>
      <c r="P21" s="3387" t="s">
        <v>259</v>
      </c>
      <c r="Q21" s="3387" t="s">
        <v>259</v>
      </c>
      <c r="R21" s="3388" t="s">
        <v>259</v>
      </c>
      <c r="S21" s="660"/>
      <c r="T21" s="660"/>
    </row>
    <row r="22" spans="1:20" x14ac:dyDescent="0.2">
      <c r="A22" s="3420" t="s">
        <v>1363</v>
      </c>
      <c r="B22" s="3363"/>
      <c r="C22" s="3388" t="s">
        <v>259</v>
      </c>
      <c r="D22" s="3388" t="s">
        <v>259</v>
      </c>
      <c r="E22" s="3388" t="s">
        <v>259</v>
      </c>
      <c r="F22" s="3388" t="s">
        <v>259</v>
      </c>
      <c r="G22" s="3388" t="s">
        <v>259</v>
      </c>
      <c r="H22" s="3388" t="s">
        <v>259</v>
      </c>
      <c r="I22" s="3388" t="s">
        <v>259</v>
      </c>
      <c r="J22" s="3388" t="s">
        <v>259</v>
      </c>
      <c r="K22" s="3388" t="s">
        <v>259</v>
      </c>
      <c r="L22" s="3388" t="s">
        <v>259</v>
      </c>
      <c r="M22" s="3388" t="s">
        <v>259</v>
      </c>
      <c r="N22" s="3388" t="s">
        <v>259</v>
      </c>
      <c r="O22" s="3388" t="s">
        <v>259</v>
      </c>
      <c r="P22" s="3388" t="s">
        <v>259</v>
      </c>
      <c r="Q22" s="3388" t="s">
        <v>259</v>
      </c>
      <c r="R22" s="3388" t="s">
        <v>259</v>
      </c>
      <c r="S22" s="660"/>
      <c r="T22" s="660"/>
    </row>
    <row r="23" spans="1:20" x14ac:dyDescent="0.2">
      <c r="A23" s="3390" t="s">
        <v>1319</v>
      </c>
      <c r="B23" s="3387" t="s">
        <v>1319</v>
      </c>
      <c r="C23" s="3388" t="s">
        <v>259</v>
      </c>
      <c r="D23" s="3387" t="s">
        <v>259</v>
      </c>
      <c r="E23" s="3387" t="s">
        <v>259</v>
      </c>
      <c r="F23" s="3388" t="s">
        <v>259</v>
      </c>
      <c r="G23" s="3388" t="s">
        <v>259</v>
      </c>
      <c r="H23" s="3388" t="s">
        <v>259</v>
      </c>
      <c r="I23" s="3388" t="s">
        <v>259</v>
      </c>
      <c r="J23" s="3388" t="s">
        <v>259</v>
      </c>
      <c r="K23" s="3388" t="s">
        <v>259</v>
      </c>
      <c r="L23" s="3387" t="s">
        <v>259</v>
      </c>
      <c r="M23" s="3387" t="s">
        <v>259</v>
      </c>
      <c r="N23" s="3388" t="s">
        <v>259</v>
      </c>
      <c r="O23" s="3387" t="s">
        <v>259</v>
      </c>
      <c r="P23" s="3387" t="s">
        <v>259</v>
      </c>
      <c r="Q23" s="3387" t="s">
        <v>259</v>
      </c>
      <c r="R23" s="3388" t="s">
        <v>259</v>
      </c>
      <c r="S23" s="660"/>
      <c r="T23" s="660"/>
    </row>
    <row r="24" spans="1:20" x14ac:dyDescent="0.2">
      <c r="A24" s="678" t="s">
        <v>564</v>
      </c>
      <c r="B24" s="663"/>
      <c r="C24" s="663"/>
      <c r="D24" s="663"/>
      <c r="E24" s="663"/>
      <c r="F24" s="663"/>
      <c r="G24" s="663"/>
      <c r="H24" s="663"/>
      <c r="I24" s="663"/>
      <c r="J24" s="663"/>
      <c r="K24" s="663"/>
      <c r="L24" s="663"/>
      <c r="M24" s="663"/>
      <c r="N24" s="663"/>
      <c r="O24" s="663"/>
      <c r="P24" s="663"/>
      <c r="Q24" s="663"/>
      <c r="R24" s="663"/>
      <c r="S24" s="660"/>
      <c r="T24" s="660"/>
    </row>
    <row r="25" spans="1:20" ht="13.5" x14ac:dyDescent="0.2">
      <c r="A25" s="5558" t="s">
        <v>1362</v>
      </c>
      <c r="B25" s="5558"/>
      <c r="C25" s="5558"/>
      <c r="D25" s="5558"/>
      <c r="E25" s="5558"/>
      <c r="F25" s="5558"/>
      <c r="G25" s="5558"/>
      <c r="H25" s="5558"/>
      <c r="I25" s="5558"/>
      <c r="J25" s="5558"/>
      <c r="K25" s="5558"/>
      <c r="L25" s="5558"/>
      <c r="M25" s="663"/>
      <c r="N25" s="663"/>
      <c r="O25" s="663"/>
      <c r="P25" s="663"/>
      <c r="Q25" s="663"/>
      <c r="R25" s="663"/>
      <c r="S25" s="660"/>
      <c r="T25" s="660"/>
    </row>
    <row r="26" spans="1:20" ht="13.5" x14ac:dyDescent="0.2">
      <c r="A26" s="5559" t="s">
        <v>1361</v>
      </c>
      <c r="B26" s="5559"/>
      <c r="C26" s="5559"/>
      <c r="D26" s="5559"/>
      <c r="E26" s="5559"/>
      <c r="F26" s="5559"/>
      <c r="G26" s="5559"/>
      <c r="H26" s="5559"/>
      <c r="I26" s="5559"/>
      <c r="J26" s="5559"/>
      <c r="K26" s="5559"/>
      <c r="L26" s="5559"/>
      <c r="M26" s="5559"/>
      <c r="N26" s="663"/>
      <c r="O26" s="663"/>
      <c r="P26" s="663"/>
      <c r="Q26" s="663"/>
      <c r="R26" s="663"/>
      <c r="S26" s="660"/>
      <c r="T26" s="660"/>
    </row>
    <row r="27" spans="1:20" ht="13.5" x14ac:dyDescent="0.2">
      <c r="A27" s="5560" t="s">
        <v>1316</v>
      </c>
      <c r="B27" s="5560"/>
      <c r="C27" s="5560"/>
      <c r="D27" s="5560"/>
      <c r="E27" s="5560"/>
      <c r="F27" s="5560"/>
      <c r="G27" s="5560"/>
      <c r="H27" s="5560"/>
      <c r="I27" s="5560"/>
      <c r="J27" s="5560"/>
      <c r="K27" s="5560"/>
      <c r="L27" s="5560"/>
      <c r="M27" s="5560"/>
      <c r="N27" s="663"/>
      <c r="O27" s="663"/>
      <c r="P27" s="663"/>
      <c r="Q27" s="663"/>
      <c r="R27" s="663"/>
      <c r="S27" s="660"/>
      <c r="T27" s="660"/>
    </row>
    <row r="28" spans="1:20" ht="13.5" x14ac:dyDescent="0.2">
      <c r="A28" s="5557" t="s">
        <v>1360</v>
      </c>
      <c r="B28" s="5557"/>
      <c r="C28" s="5557"/>
      <c r="D28" s="5557"/>
      <c r="E28" s="5557"/>
      <c r="F28" s="5557"/>
      <c r="G28" s="5557"/>
      <c r="H28" s="5557"/>
      <c r="I28" s="5557"/>
      <c r="J28" s="5557"/>
      <c r="K28" s="5557"/>
      <c r="L28" s="5557"/>
      <c r="M28" s="663"/>
      <c r="N28" s="663"/>
      <c r="O28" s="663"/>
      <c r="P28" s="663"/>
      <c r="Q28" s="663"/>
      <c r="R28" s="663"/>
      <c r="S28" s="660"/>
      <c r="T28" s="660"/>
    </row>
    <row r="29" spans="1:20" ht="13.5" x14ac:dyDescent="0.2">
      <c r="A29" s="5561" t="s">
        <v>1359</v>
      </c>
      <c r="B29" s="5561"/>
      <c r="C29" s="5561"/>
      <c r="D29" s="5561"/>
      <c r="E29" s="5561"/>
      <c r="F29" s="5561"/>
      <c r="G29" s="5561"/>
      <c r="H29" s="5561"/>
      <c r="I29" s="5561"/>
      <c r="J29" s="5561"/>
      <c r="K29" s="5561"/>
      <c r="L29" s="5561"/>
      <c r="M29" s="663"/>
      <c r="N29" s="663"/>
      <c r="O29" s="663"/>
      <c r="P29" s="663"/>
      <c r="Q29" s="663"/>
      <c r="R29" s="663"/>
      <c r="S29" s="660"/>
      <c r="T29" s="660"/>
    </row>
    <row r="30" spans="1:20" ht="13.5" x14ac:dyDescent="0.2">
      <c r="A30" s="5557" t="s">
        <v>1358</v>
      </c>
      <c r="B30" s="5557"/>
      <c r="C30" s="5557"/>
      <c r="D30" s="5557"/>
      <c r="E30" s="5557"/>
      <c r="F30" s="5557"/>
      <c r="G30" s="5557"/>
      <c r="H30" s="5557"/>
      <c r="I30" s="5557"/>
      <c r="J30" s="5557"/>
      <c r="K30" s="5557"/>
      <c r="L30" s="663"/>
      <c r="M30" s="663"/>
      <c r="N30" s="663"/>
      <c r="O30" s="663"/>
      <c r="P30" s="663"/>
      <c r="Q30" s="663"/>
      <c r="R30" s="663"/>
      <c r="S30" s="660"/>
      <c r="T30" s="660"/>
    </row>
    <row r="31" spans="1:20" ht="13.5" x14ac:dyDescent="0.2">
      <c r="A31" s="5557" t="s">
        <v>1357</v>
      </c>
      <c r="B31" s="5557"/>
      <c r="C31" s="5557"/>
      <c r="D31" s="5557"/>
      <c r="E31" s="5557"/>
      <c r="F31" s="5557"/>
      <c r="G31" s="5557"/>
      <c r="H31" s="5557"/>
      <c r="I31" s="5557"/>
      <c r="J31" s="5557"/>
      <c r="K31" s="5557"/>
      <c r="L31" s="5557"/>
      <c r="M31" s="663"/>
      <c r="N31" s="663"/>
      <c r="O31" s="663"/>
      <c r="P31" s="663"/>
      <c r="Q31" s="663"/>
      <c r="R31" s="663"/>
      <c r="S31" s="660"/>
      <c r="T31" s="660"/>
    </row>
    <row r="32" spans="1:20" ht="13.5" x14ac:dyDescent="0.2">
      <c r="A32" s="5553" t="s">
        <v>1356</v>
      </c>
      <c r="B32" s="5553"/>
      <c r="C32" s="5553"/>
      <c r="D32" s="5553"/>
      <c r="E32" s="5553"/>
      <c r="F32" s="5553"/>
      <c r="G32" s="5553"/>
      <c r="H32" s="5553"/>
      <c r="I32" s="5553"/>
      <c r="J32" s="5553"/>
      <c r="K32" s="5553"/>
      <c r="L32" s="5553"/>
      <c r="M32" s="663"/>
      <c r="N32" s="663"/>
      <c r="O32" s="663"/>
      <c r="P32" s="663"/>
      <c r="Q32" s="663"/>
      <c r="R32" s="663"/>
      <c r="S32" s="660"/>
      <c r="T32" s="660"/>
    </row>
    <row r="33" spans="1:20" ht="12.75" customHeight="1" x14ac:dyDescent="0.2">
      <c r="A33" s="5554" t="s">
        <v>1355</v>
      </c>
      <c r="B33" s="5554"/>
      <c r="C33" s="5554"/>
      <c r="D33" s="5554"/>
      <c r="E33" s="5554"/>
      <c r="F33" s="5554"/>
      <c r="G33" s="5554"/>
      <c r="H33" s="5554"/>
      <c r="I33" s="5554"/>
      <c r="J33" s="5554"/>
      <c r="K33" s="5554"/>
      <c r="L33" s="5554"/>
      <c r="M33" s="5554"/>
      <c r="N33" s="735"/>
      <c r="O33" s="735"/>
      <c r="P33" s="735"/>
      <c r="Q33" s="735"/>
      <c r="R33" s="735"/>
      <c r="S33" s="735"/>
      <c r="T33" s="735"/>
    </row>
    <row r="34" spans="1:20" ht="13.5" x14ac:dyDescent="0.2">
      <c r="A34" s="5561" t="s">
        <v>1354</v>
      </c>
      <c r="B34" s="5561"/>
      <c r="C34" s="5561"/>
      <c r="D34" s="5561"/>
      <c r="E34" s="5561"/>
      <c r="F34" s="5561"/>
      <c r="G34" s="5561"/>
      <c r="H34" s="5561"/>
      <c r="I34" s="5561"/>
      <c r="J34" s="5561"/>
      <c r="K34" s="5561"/>
      <c r="L34" s="5561"/>
      <c r="M34" s="5561"/>
      <c r="N34" s="663"/>
      <c r="O34" s="663"/>
      <c r="P34" s="663"/>
      <c r="Q34" s="663"/>
      <c r="R34" s="663"/>
      <c r="S34" s="660"/>
      <c r="T34" s="660"/>
    </row>
    <row r="35" spans="1:20" x14ac:dyDescent="0.2">
      <c r="A35" s="660"/>
      <c r="B35" s="660"/>
      <c r="C35" s="660"/>
      <c r="D35" s="660"/>
      <c r="E35" s="660"/>
      <c r="F35" s="660"/>
      <c r="G35" s="660"/>
      <c r="H35" s="660"/>
      <c r="I35" s="660"/>
      <c r="J35" s="660"/>
      <c r="K35" s="660"/>
      <c r="L35" s="660"/>
      <c r="M35" s="660"/>
      <c r="N35" s="660"/>
      <c r="O35" s="660"/>
      <c r="P35" s="660"/>
      <c r="Q35" s="660"/>
      <c r="R35" s="660"/>
      <c r="S35" s="660"/>
      <c r="T35" s="660"/>
    </row>
    <row r="36" spans="1:20" ht="18" customHeight="1" x14ac:dyDescent="0.2">
      <c r="A36" s="3416" t="s">
        <v>982</v>
      </c>
      <c r="B36" s="3414"/>
      <c r="C36" s="3414"/>
      <c r="D36" s="3414"/>
      <c r="E36" s="3414"/>
      <c r="F36" s="3414"/>
      <c r="G36" s="3414"/>
      <c r="H36" s="3414"/>
      <c r="I36" s="3414"/>
      <c r="J36" s="3414"/>
      <c r="K36" s="3414"/>
      <c r="L36" s="3414"/>
      <c r="M36" s="3414"/>
      <c r="N36" s="3414"/>
      <c r="O36" s="3414"/>
      <c r="P36" s="3414"/>
      <c r="Q36" s="3414"/>
      <c r="R36" s="3413"/>
      <c r="S36" s="660"/>
      <c r="T36" s="660"/>
    </row>
    <row r="37" spans="1:20" ht="26.25" customHeight="1" x14ac:dyDescent="0.2">
      <c r="A37" s="5562" t="s">
        <v>1310</v>
      </c>
      <c r="B37" s="5563"/>
      <c r="C37" s="5563"/>
      <c r="D37" s="5563"/>
      <c r="E37" s="5563"/>
      <c r="F37" s="5563"/>
      <c r="G37" s="5563"/>
      <c r="H37" s="5563"/>
      <c r="I37" s="5563"/>
      <c r="J37" s="5563"/>
      <c r="K37" s="5563"/>
      <c r="L37" s="5563"/>
      <c r="M37" s="5563"/>
      <c r="N37" s="5563"/>
      <c r="O37" s="5563"/>
      <c r="P37" s="5563"/>
      <c r="Q37" s="5563"/>
      <c r="R37" s="5564"/>
      <c r="S37" s="660"/>
      <c r="T37" s="660"/>
    </row>
    <row r="38" spans="1:20" ht="12" customHeight="1" x14ac:dyDescent="0.2">
      <c r="A38" s="3412" t="s">
        <v>980</v>
      </c>
      <c r="B38" s="5473" t="s">
        <v>986</v>
      </c>
      <c r="C38" s="5527"/>
      <c r="D38" s="5527"/>
      <c r="E38" s="5527"/>
      <c r="F38" s="5527"/>
      <c r="G38" s="5527"/>
      <c r="H38" s="5527"/>
      <c r="I38" s="5527"/>
      <c r="J38" s="5527"/>
      <c r="K38" s="5527"/>
      <c r="L38" s="5527"/>
      <c r="M38" s="5527"/>
      <c r="N38" s="5527"/>
      <c r="O38" s="5527"/>
      <c r="P38" s="5527"/>
      <c r="Q38" s="5527"/>
      <c r="R38" s="5527"/>
      <c r="S38" s="660"/>
      <c r="T38" s="660"/>
    </row>
    <row r="39" spans="1:20" ht="12" customHeight="1" x14ac:dyDescent="0.2">
      <c r="A39" s="3412" t="s">
        <v>980</v>
      </c>
      <c r="B39" s="5473" t="s">
        <v>986</v>
      </c>
      <c r="C39" s="5527"/>
      <c r="D39" s="5527"/>
      <c r="E39" s="5527"/>
      <c r="F39" s="5527"/>
      <c r="G39" s="5527"/>
      <c r="H39" s="5527"/>
      <c r="I39" s="5527"/>
      <c r="J39" s="5527"/>
      <c r="K39" s="5527"/>
      <c r="L39" s="5527"/>
      <c r="M39" s="5527"/>
      <c r="N39" s="5527"/>
      <c r="O39" s="5527"/>
      <c r="P39" s="5527"/>
      <c r="Q39" s="5527"/>
      <c r="R39" s="5527"/>
    </row>
  </sheetData>
  <sheetProtection password="A754" sheet="1" objects="1" scenarios="1"/>
  <mergeCells count="31">
    <mergeCell ref="B38:R38"/>
    <mergeCell ref="B39:R39"/>
    <mergeCell ref="A31:L31"/>
    <mergeCell ref="A32:L32"/>
    <mergeCell ref="A33:M33"/>
    <mergeCell ref="A34:M34"/>
    <mergeCell ref="A37:R37"/>
    <mergeCell ref="A5:B5"/>
    <mergeCell ref="A30:K30"/>
    <mergeCell ref="I6:I8"/>
    <mergeCell ref="J6:K7"/>
    <mergeCell ref="L6:N7"/>
    <mergeCell ref="A25:L25"/>
    <mergeCell ref="A26:M26"/>
    <mergeCell ref="A27:M27"/>
    <mergeCell ref="A28:L28"/>
    <mergeCell ref="A29:L29"/>
    <mergeCell ref="A6:A9"/>
    <mergeCell ref="B6:B9"/>
    <mergeCell ref="C6:C9"/>
    <mergeCell ref="E6:E9"/>
    <mergeCell ref="F6:H7"/>
    <mergeCell ref="F9:K9"/>
    <mergeCell ref="C5:E5"/>
    <mergeCell ref="F5:K5"/>
    <mergeCell ref="L5:Q5"/>
    <mergeCell ref="D6:D9"/>
    <mergeCell ref="R5:R8"/>
    <mergeCell ref="P6:Q7"/>
    <mergeCell ref="L9:Q9"/>
    <mergeCell ref="O6:O8"/>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E8238-8C96-43B5-8C2E-FA75A3EF9AD7}">
  <sheetPr codeName="Ark25">
    <tabColor theme="0" tint="-0.14999847407452621"/>
    <pageSetUpPr fitToPage="1"/>
  </sheetPr>
  <dimension ref="A1:T38"/>
  <sheetViews>
    <sheetView showGridLines="0" workbookViewId="0"/>
  </sheetViews>
  <sheetFormatPr defaultColWidth="8" defaultRowHeight="12" customHeight="1" x14ac:dyDescent="0.2"/>
  <cols>
    <col min="1" max="1" width="45.7109375" style="659" customWidth="1"/>
    <col min="2" max="2" width="14.7109375" style="659" customWidth="1"/>
    <col min="3" max="18" width="11.7109375" style="659" customWidth="1"/>
    <col min="19" max="19" width="1.28515625" style="659" customWidth="1"/>
    <col min="20" max="24" width="13.7109375" style="659" customWidth="1"/>
    <col min="25" max="16384" width="8" style="659"/>
  </cols>
  <sheetData>
    <row r="1" spans="1:20" ht="15.75" x14ac:dyDescent="0.25">
      <c r="A1" s="671" t="s">
        <v>1400</v>
      </c>
      <c r="B1" s="660"/>
      <c r="C1" s="660"/>
      <c r="D1" s="660"/>
      <c r="E1" s="660"/>
      <c r="F1" s="660"/>
      <c r="G1" s="660"/>
      <c r="H1" s="660"/>
      <c r="I1" s="660"/>
      <c r="J1" s="660"/>
      <c r="K1" s="660"/>
      <c r="L1" s="660"/>
      <c r="M1" s="660"/>
      <c r="N1" s="660"/>
      <c r="O1" s="660"/>
      <c r="P1" s="660"/>
      <c r="Q1" s="660"/>
      <c r="R1" s="668" t="s">
        <v>1028</v>
      </c>
      <c r="S1" s="660"/>
      <c r="T1" s="660"/>
    </row>
    <row r="2" spans="1:20" ht="15.75" x14ac:dyDescent="0.25">
      <c r="A2" s="671" t="s">
        <v>1399</v>
      </c>
      <c r="B2" s="660"/>
      <c r="C2" s="660"/>
      <c r="D2" s="660"/>
      <c r="E2" s="660"/>
      <c r="F2" s="660"/>
      <c r="G2" s="660"/>
      <c r="H2" s="660"/>
      <c r="I2" s="660"/>
      <c r="J2" s="660"/>
      <c r="K2" s="660"/>
      <c r="L2" s="660"/>
      <c r="M2" s="660"/>
      <c r="N2" s="660"/>
      <c r="O2" s="660"/>
      <c r="P2" s="660"/>
      <c r="Q2" s="660"/>
      <c r="R2" s="668" t="s">
        <v>5183</v>
      </c>
      <c r="S2" s="660"/>
      <c r="T2" s="660"/>
    </row>
    <row r="3" spans="1:20" ht="15.75" x14ac:dyDescent="0.25">
      <c r="A3" s="671" t="s">
        <v>1197</v>
      </c>
      <c r="B3" s="660"/>
      <c r="C3" s="660"/>
      <c r="D3" s="660"/>
      <c r="E3" s="660"/>
      <c r="F3" s="660"/>
      <c r="G3" s="660"/>
      <c r="H3" s="660"/>
      <c r="I3" s="660"/>
      <c r="J3" s="660"/>
      <c r="K3" s="660"/>
      <c r="L3" s="660"/>
      <c r="M3" s="660"/>
      <c r="N3" s="660"/>
      <c r="O3" s="660"/>
      <c r="P3" s="660"/>
      <c r="Q3" s="660"/>
      <c r="R3" s="668" t="s">
        <v>1789</v>
      </c>
      <c r="S3" s="660"/>
      <c r="T3" s="660"/>
    </row>
    <row r="4" spans="1:20" ht="12" customHeight="1" x14ac:dyDescent="0.2">
      <c r="A4" s="660"/>
      <c r="B4" s="660"/>
      <c r="C4" s="660"/>
      <c r="D4" s="660"/>
      <c r="E4" s="660"/>
      <c r="F4" s="660"/>
      <c r="G4" s="660"/>
      <c r="H4" s="660"/>
      <c r="I4" s="660"/>
      <c r="J4" s="660"/>
      <c r="K4" s="660"/>
      <c r="L4" s="660"/>
      <c r="M4" s="660"/>
      <c r="N4" s="660"/>
      <c r="O4" s="660"/>
      <c r="P4" s="660"/>
      <c r="Q4" s="660"/>
      <c r="R4" s="3315"/>
      <c r="S4" s="660"/>
      <c r="T4" s="660"/>
    </row>
    <row r="5" spans="1:20" ht="30" customHeight="1" x14ac:dyDescent="0.2">
      <c r="A5" s="5534" t="s">
        <v>1025</v>
      </c>
      <c r="B5" s="5535"/>
      <c r="C5" s="5528" t="s">
        <v>1083</v>
      </c>
      <c r="D5" s="5529"/>
      <c r="E5" s="5530"/>
      <c r="F5" s="5528" t="s">
        <v>1351</v>
      </c>
      <c r="G5" s="5529"/>
      <c r="H5" s="5529"/>
      <c r="I5" s="5529"/>
      <c r="J5" s="5529"/>
      <c r="K5" s="5530"/>
      <c r="L5" s="5528" t="s">
        <v>1350</v>
      </c>
      <c r="M5" s="5529"/>
      <c r="N5" s="5529"/>
      <c r="O5" s="5529"/>
      <c r="P5" s="5529"/>
      <c r="Q5" s="5529"/>
      <c r="R5" s="5531" t="s">
        <v>1398</v>
      </c>
      <c r="S5" s="660"/>
      <c r="T5" s="660"/>
    </row>
    <row r="6" spans="1:20" ht="47.25" customHeight="1" x14ac:dyDescent="0.2">
      <c r="A6" s="5519" t="s">
        <v>1348</v>
      </c>
      <c r="B6" s="5531" t="s">
        <v>1347</v>
      </c>
      <c r="C6" s="5531" t="s">
        <v>1346</v>
      </c>
      <c r="D6" s="5531" t="s">
        <v>1345</v>
      </c>
      <c r="E6" s="5538" t="s">
        <v>1344</v>
      </c>
      <c r="F6" s="5537" t="s">
        <v>1343</v>
      </c>
      <c r="G6" s="5544"/>
      <c r="H6" s="5538"/>
      <c r="I6" s="5531" t="s">
        <v>1375</v>
      </c>
      <c r="J6" s="5537" t="s">
        <v>1340</v>
      </c>
      <c r="K6" s="5538"/>
      <c r="L6" s="5537" t="s">
        <v>1397</v>
      </c>
      <c r="M6" s="5544"/>
      <c r="N6" s="5538"/>
      <c r="O6" s="5531" t="s">
        <v>1396</v>
      </c>
      <c r="P6" s="5537" t="s">
        <v>1395</v>
      </c>
      <c r="Q6" s="5544"/>
      <c r="R6" s="5532"/>
      <c r="S6" s="660"/>
      <c r="T6" s="660"/>
    </row>
    <row r="7" spans="1:20" ht="12.75" customHeight="1" x14ac:dyDescent="0.2">
      <c r="A7" s="5520"/>
      <c r="B7" s="5532"/>
      <c r="C7" s="5532"/>
      <c r="D7" s="5532"/>
      <c r="E7" s="5542"/>
      <c r="F7" s="5539"/>
      <c r="G7" s="5545"/>
      <c r="H7" s="5540"/>
      <c r="I7" s="5532"/>
      <c r="J7" s="5539"/>
      <c r="K7" s="5540"/>
      <c r="L7" s="5539"/>
      <c r="M7" s="5545"/>
      <c r="N7" s="5540"/>
      <c r="O7" s="5532"/>
      <c r="P7" s="5539"/>
      <c r="Q7" s="5545"/>
      <c r="R7" s="5532"/>
      <c r="S7" s="660"/>
      <c r="T7" s="660"/>
    </row>
    <row r="8" spans="1:20" ht="36" customHeight="1" x14ac:dyDescent="0.2">
      <c r="A8" s="5520"/>
      <c r="B8" s="5532"/>
      <c r="C8" s="5532"/>
      <c r="D8" s="5532"/>
      <c r="E8" s="5542"/>
      <c r="F8" s="3411" t="s">
        <v>1334</v>
      </c>
      <c r="G8" s="3411" t="s">
        <v>1333</v>
      </c>
      <c r="H8" s="3411" t="s">
        <v>1332</v>
      </c>
      <c r="I8" s="5533"/>
      <c r="J8" s="3309" t="s">
        <v>1331</v>
      </c>
      <c r="K8" s="3311" t="s">
        <v>1330</v>
      </c>
      <c r="L8" s="3411" t="s">
        <v>1334</v>
      </c>
      <c r="M8" s="3411" t="s">
        <v>1333</v>
      </c>
      <c r="N8" s="3411" t="s">
        <v>1332</v>
      </c>
      <c r="O8" s="5533"/>
      <c r="P8" s="3309" t="s">
        <v>1331</v>
      </c>
      <c r="Q8" s="3309" t="s">
        <v>1330</v>
      </c>
      <c r="R8" s="5533"/>
      <c r="S8" s="660"/>
      <c r="T8" s="660"/>
    </row>
    <row r="9" spans="1:20" ht="18.75" customHeight="1" thickBot="1" x14ac:dyDescent="0.25">
      <c r="A9" s="5556"/>
      <c r="B9" s="5541"/>
      <c r="C9" s="5541"/>
      <c r="D9" s="5541"/>
      <c r="E9" s="5543"/>
      <c r="F9" s="5546" t="s">
        <v>1329</v>
      </c>
      <c r="G9" s="5547"/>
      <c r="H9" s="5547"/>
      <c r="I9" s="5547"/>
      <c r="J9" s="5547"/>
      <c r="K9" s="5548"/>
      <c r="L9" s="5546" t="s">
        <v>1328</v>
      </c>
      <c r="M9" s="5547"/>
      <c r="N9" s="5547"/>
      <c r="O9" s="5547"/>
      <c r="P9" s="5547"/>
      <c r="Q9" s="5547"/>
      <c r="R9" s="734" t="s">
        <v>1011</v>
      </c>
      <c r="S9" s="660"/>
      <c r="T9" s="660"/>
    </row>
    <row r="10" spans="1:20" ht="12.75" thickTop="1" x14ac:dyDescent="0.2">
      <c r="A10" s="733" t="s">
        <v>1394</v>
      </c>
      <c r="B10" s="3363" t="s">
        <v>986</v>
      </c>
      <c r="C10" s="3388">
        <v>175.02915625014001</v>
      </c>
      <c r="D10" s="3388">
        <v>123.6980165089</v>
      </c>
      <c r="E10" s="3388">
        <v>51.331139741240001</v>
      </c>
      <c r="F10" s="3388">
        <v>0.17782689839981999</v>
      </c>
      <c r="G10" s="3388">
        <v>-0.39548801503946002</v>
      </c>
      <c r="H10" s="3388">
        <v>-0.21766111663964</v>
      </c>
      <c r="I10" s="3388">
        <v>-3.2340548163929998E-2</v>
      </c>
      <c r="J10" s="3388">
        <v>6.0272006605900002E-3</v>
      </c>
      <c r="K10" s="3388">
        <v>-6.4777719391949704</v>
      </c>
      <c r="L10" s="3388">
        <v>31.1248919855</v>
      </c>
      <c r="M10" s="3388">
        <v>-69.221933579400002</v>
      </c>
      <c r="N10" s="3388">
        <v>-38.097041593900002</v>
      </c>
      <c r="O10" s="3388">
        <v>-5.6605388577999998</v>
      </c>
      <c r="P10" s="3388">
        <v>0.74555276681670002</v>
      </c>
      <c r="Q10" s="3388">
        <v>-332.51141662269998</v>
      </c>
      <c r="R10" s="3388">
        <v>1376.9192957944733</v>
      </c>
      <c r="S10" s="660"/>
      <c r="T10" s="660"/>
    </row>
    <row r="11" spans="1:20" x14ac:dyDescent="0.2">
      <c r="A11" s="3418" t="s">
        <v>1393</v>
      </c>
      <c r="B11" s="3363"/>
      <c r="C11" s="3388">
        <v>97.797014540000006</v>
      </c>
      <c r="D11" s="3388">
        <v>46.857176176999999</v>
      </c>
      <c r="E11" s="3388">
        <v>50.939838363</v>
      </c>
      <c r="F11" s="3388">
        <v>0.14583697996391001</v>
      </c>
      <c r="G11" s="3388">
        <v>-0.42244234340203002</v>
      </c>
      <c r="H11" s="3388">
        <v>-0.27660536343811998</v>
      </c>
      <c r="I11" s="3388" t="s">
        <v>259</v>
      </c>
      <c r="J11" s="3388" t="s">
        <v>455</v>
      </c>
      <c r="K11" s="3388">
        <v>-6.4588602016251704</v>
      </c>
      <c r="L11" s="3388">
        <v>14.262421249999999</v>
      </c>
      <c r="M11" s="3388">
        <v>-41.313600000000001</v>
      </c>
      <c r="N11" s="3388">
        <v>-27.051178749999998</v>
      </c>
      <c r="O11" s="3388" t="s">
        <v>259</v>
      </c>
      <c r="P11" s="3388" t="s">
        <v>455</v>
      </c>
      <c r="Q11" s="3388">
        <v>-329.01329468</v>
      </c>
      <c r="R11" s="3388">
        <v>1305.5697359100011</v>
      </c>
      <c r="S11" s="660"/>
      <c r="T11" s="660"/>
    </row>
    <row r="12" spans="1:20" x14ac:dyDescent="0.2">
      <c r="A12" s="3390" t="s">
        <v>1319</v>
      </c>
      <c r="B12" s="3387" t="s">
        <v>1319</v>
      </c>
      <c r="C12" s="3388">
        <v>97.797014540000006</v>
      </c>
      <c r="D12" s="3387">
        <v>46.857176176999999</v>
      </c>
      <c r="E12" s="3387">
        <v>50.939838363</v>
      </c>
      <c r="F12" s="3388">
        <v>0.14583697996391001</v>
      </c>
      <c r="G12" s="3388">
        <v>-0.42244234340203002</v>
      </c>
      <c r="H12" s="3388">
        <v>-0.27660536343811998</v>
      </c>
      <c r="I12" s="3388" t="s">
        <v>259</v>
      </c>
      <c r="J12" s="3388" t="s">
        <v>455</v>
      </c>
      <c r="K12" s="3388">
        <v>-6.4588602016251704</v>
      </c>
      <c r="L12" s="3387">
        <v>14.262421249999999</v>
      </c>
      <c r="M12" s="3387">
        <v>-41.313600000000001</v>
      </c>
      <c r="N12" s="3388">
        <v>-27.051178749999998</v>
      </c>
      <c r="O12" s="3387" t="s">
        <v>259</v>
      </c>
      <c r="P12" s="3387" t="s">
        <v>455</v>
      </c>
      <c r="Q12" s="3387">
        <v>-329.01329468</v>
      </c>
      <c r="R12" s="3388">
        <v>1305.5697359100011</v>
      </c>
      <c r="S12" s="660"/>
      <c r="T12" s="660"/>
    </row>
    <row r="13" spans="1:20" ht="13.5" x14ac:dyDescent="0.2">
      <c r="A13" s="3422" t="s">
        <v>1392</v>
      </c>
      <c r="B13" s="3363" t="s">
        <v>986</v>
      </c>
      <c r="C13" s="3388">
        <v>77.232141710139999</v>
      </c>
      <c r="D13" s="3388">
        <v>76.840840331899997</v>
      </c>
      <c r="E13" s="3388">
        <v>0.39130137824</v>
      </c>
      <c r="F13" s="3388">
        <v>0.21833488444210999</v>
      </c>
      <c r="G13" s="3388">
        <v>-0.36135646327331999</v>
      </c>
      <c r="H13" s="3388">
        <v>-0.14302157883121</v>
      </c>
      <c r="I13" s="3388">
        <v>-7.3292527339780006E-2</v>
      </c>
      <c r="J13" s="3388">
        <v>9.7025587382499993E-3</v>
      </c>
      <c r="K13" s="3388">
        <v>-8.9397128076417598</v>
      </c>
      <c r="L13" s="3388">
        <v>16.862470735500001</v>
      </c>
      <c r="M13" s="3388">
        <v>-27.908333579400001</v>
      </c>
      <c r="N13" s="3388">
        <v>-11.0458628439</v>
      </c>
      <c r="O13" s="3388">
        <v>-5.6605388577999998</v>
      </c>
      <c r="P13" s="3388">
        <v>0.74555276681670002</v>
      </c>
      <c r="Q13" s="3388">
        <v>-3.4981219427000001</v>
      </c>
      <c r="R13" s="3388">
        <v>71.349559884472157</v>
      </c>
      <c r="S13" s="660"/>
      <c r="T13" s="660"/>
    </row>
    <row r="14" spans="1:20" x14ac:dyDescent="0.2">
      <c r="A14" s="3418" t="s">
        <v>1391</v>
      </c>
      <c r="B14" s="3363"/>
      <c r="C14" s="3388">
        <v>3.8118917101399998</v>
      </c>
      <c r="D14" s="3388">
        <v>3.4205903319000002</v>
      </c>
      <c r="E14" s="3388">
        <v>0.39130137824</v>
      </c>
      <c r="F14" s="3388">
        <v>0.34181013905354002</v>
      </c>
      <c r="G14" s="3388">
        <v>-1.5232191310562599</v>
      </c>
      <c r="H14" s="3388">
        <v>-1.18140899200271</v>
      </c>
      <c r="I14" s="3388">
        <v>-1.4849684325350601</v>
      </c>
      <c r="J14" s="3388">
        <v>0.22074730584020999</v>
      </c>
      <c r="K14" s="3388">
        <v>-8.9397128076417598</v>
      </c>
      <c r="L14" s="3388">
        <v>1.3029432354999999</v>
      </c>
      <c r="M14" s="3388">
        <v>-5.8063463783999998</v>
      </c>
      <c r="N14" s="3388">
        <v>-4.5034031428999999</v>
      </c>
      <c r="O14" s="3388">
        <v>-5.6605388577999998</v>
      </c>
      <c r="P14" s="3388">
        <v>0.75508610014999999</v>
      </c>
      <c r="Q14" s="3388">
        <v>-3.4981219427000001</v>
      </c>
      <c r="R14" s="3388">
        <v>47.32558542525004</v>
      </c>
      <c r="S14" s="660"/>
      <c r="T14" s="660"/>
    </row>
    <row r="15" spans="1:20" x14ac:dyDescent="0.2">
      <c r="A15" s="3390" t="s">
        <v>1319</v>
      </c>
      <c r="B15" s="3387" t="s">
        <v>1319</v>
      </c>
      <c r="C15" s="3388">
        <v>3.8118917101399998</v>
      </c>
      <c r="D15" s="3387">
        <v>3.4205903319000002</v>
      </c>
      <c r="E15" s="3387">
        <v>0.39130137824</v>
      </c>
      <c r="F15" s="3388">
        <v>0.34181013905354002</v>
      </c>
      <c r="G15" s="3388">
        <v>-1.5232191310562599</v>
      </c>
      <c r="H15" s="3388">
        <v>-1.18140899200271</v>
      </c>
      <c r="I15" s="3388">
        <v>-1.4849684325350601</v>
      </c>
      <c r="J15" s="3388">
        <v>0.22074730584020999</v>
      </c>
      <c r="K15" s="3388">
        <v>-8.9397128076417598</v>
      </c>
      <c r="L15" s="3387">
        <v>1.3029432354999999</v>
      </c>
      <c r="M15" s="3387">
        <v>-5.8063463783999998</v>
      </c>
      <c r="N15" s="3388">
        <v>-4.5034031428999999</v>
      </c>
      <c r="O15" s="3387">
        <v>-5.6605388577999998</v>
      </c>
      <c r="P15" s="3387">
        <v>0.75508610014999999</v>
      </c>
      <c r="Q15" s="3387">
        <v>-3.4981219427000001</v>
      </c>
      <c r="R15" s="3388">
        <v>47.32558542525004</v>
      </c>
      <c r="S15" s="660"/>
      <c r="T15" s="660"/>
    </row>
    <row r="16" spans="1:20" x14ac:dyDescent="0.2">
      <c r="A16" s="3418" t="s">
        <v>1390</v>
      </c>
      <c r="B16" s="3363"/>
      <c r="C16" s="3388">
        <v>73.420249999999996</v>
      </c>
      <c r="D16" s="3388">
        <v>73.420249999999996</v>
      </c>
      <c r="E16" s="3388" t="s">
        <v>455</v>
      </c>
      <c r="F16" s="3388">
        <v>0.21192419666236001</v>
      </c>
      <c r="G16" s="3388">
        <v>-0.30103394092229002</v>
      </c>
      <c r="H16" s="3388">
        <v>-8.9109744259929999E-2</v>
      </c>
      <c r="I16" s="3388" t="s">
        <v>259</v>
      </c>
      <c r="J16" s="3388" t="s">
        <v>455</v>
      </c>
      <c r="K16" s="3388" t="s">
        <v>455</v>
      </c>
      <c r="L16" s="3388">
        <v>15.5595275</v>
      </c>
      <c r="M16" s="3388">
        <v>-22.101987201</v>
      </c>
      <c r="N16" s="3388">
        <v>-6.5424597010000003</v>
      </c>
      <c r="O16" s="3388" t="s">
        <v>259</v>
      </c>
      <c r="P16" s="3388" t="s">
        <v>455</v>
      </c>
      <c r="Q16" s="3388" t="s">
        <v>455</v>
      </c>
      <c r="R16" s="3388">
        <v>23.98901890366669</v>
      </c>
      <c r="S16" s="660"/>
      <c r="T16" s="660"/>
    </row>
    <row r="17" spans="1:20" x14ac:dyDescent="0.2">
      <c r="A17" s="3390" t="s">
        <v>1319</v>
      </c>
      <c r="B17" s="3387" t="s">
        <v>1319</v>
      </c>
      <c r="C17" s="3388">
        <v>73.420249999999996</v>
      </c>
      <c r="D17" s="3387">
        <v>73.420249999999996</v>
      </c>
      <c r="E17" s="3387" t="s">
        <v>455</v>
      </c>
      <c r="F17" s="3388">
        <v>0.21192419666236001</v>
      </c>
      <c r="G17" s="3388">
        <v>-0.30103394092229002</v>
      </c>
      <c r="H17" s="3388">
        <v>-8.9109744259929999E-2</v>
      </c>
      <c r="I17" s="3388" t="s">
        <v>259</v>
      </c>
      <c r="J17" s="3388" t="s">
        <v>455</v>
      </c>
      <c r="K17" s="3388" t="s">
        <v>455</v>
      </c>
      <c r="L17" s="3387">
        <v>15.5595275</v>
      </c>
      <c r="M17" s="3387">
        <v>-22.101987201</v>
      </c>
      <c r="N17" s="3388">
        <v>-6.5424597010000003</v>
      </c>
      <c r="O17" s="3387" t="s">
        <v>259</v>
      </c>
      <c r="P17" s="3387" t="s">
        <v>455</v>
      </c>
      <c r="Q17" s="3387" t="s">
        <v>455</v>
      </c>
      <c r="R17" s="3388">
        <v>23.98901890366669</v>
      </c>
      <c r="S17" s="660"/>
      <c r="T17" s="660"/>
    </row>
    <row r="18" spans="1:20" x14ac:dyDescent="0.2">
      <c r="A18" s="3418" t="s">
        <v>1389</v>
      </c>
      <c r="B18" s="3363"/>
      <c r="C18" s="3388" t="s">
        <v>259</v>
      </c>
      <c r="D18" s="3388" t="s">
        <v>259</v>
      </c>
      <c r="E18" s="3388" t="s">
        <v>259</v>
      </c>
      <c r="F18" s="3388" t="s">
        <v>259</v>
      </c>
      <c r="G18" s="3388" t="s">
        <v>259</v>
      </c>
      <c r="H18" s="3388" t="s">
        <v>259</v>
      </c>
      <c r="I18" s="3388" t="s">
        <v>259</v>
      </c>
      <c r="J18" s="3388" t="s">
        <v>259</v>
      </c>
      <c r="K18" s="3388" t="s">
        <v>259</v>
      </c>
      <c r="L18" s="3388" t="s">
        <v>259</v>
      </c>
      <c r="M18" s="3388" t="s">
        <v>259</v>
      </c>
      <c r="N18" s="3388" t="s">
        <v>259</v>
      </c>
      <c r="O18" s="3388" t="s">
        <v>259</v>
      </c>
      <c r="P18" s="3388">
        <v>-9.5333333333000002E-3</v>
      </c>
      <c r="Q18" s="3388" t="s">
        <v>259</v>
      </c>
      <c r="R18" s="3388">
        <v>3.495555555543E-2</v>
      </c>
      <c r="S18" s="660"/>
      <c r="T18" s="660"/>
    </row>
    <row r="19" spans="1:20" x14ac:dyDescent="0.2">
      <c r="A19" s="3390" t="s">
        <v>1319</v>
      </c>
      <c r="B19" s="3387" t="s">
        <v>1319</v>
      </c>
      <c r="C19" s="3388" t="s">
        <v>259</v>
      </c>
      <c r="D19" s="3387" t="s">
        <v>259</v>
      </c>
      <c r="E19" s="3387" t="s">
        <v>259</v>
      </c>
      <c r="F19" s="3388" t="s">
        <v>259</v>
      </c>
      <c r="G19" s="3388" t="s">
        <v>259</v>
      </c>
      <c r="H19" s="3388" t="s">
        <v>259</v>
      </c>
      <c r="I19" s="3388" t="s">
        <v>259</v>
      </c>
      <c r="J19" s="3388" t="s">
        <v>259</v>
      </c>
      <c r="K19" s="3388" t="s">
        <v>259</v>
      </c>
      <c r="L19" s="3387" t="s">
        <v>259</v>
      </c>
      <c r="M19" s="3387" t="s">
        <v>259</v>
      </c>
      <c r="N19" s="3388" t="s">
        <v>259</v>
      </c>
      <c r="O19" s="3387" t="s">
        <v>259</v>
      </c>
      <c r="P19" s="3387">
        <v>-9.5333333333000002E-3</v>
      </c>
      <c r="Q19" s="3387" t="s">
        <v>259</v>
      </c>
      <c r="R19" s="3388">
        <v>3.495555555543E-2</v>
      </c>
      <c r="S19" s="660"/>
      <c r="T19" s="660"/>
    </row>
    <row r="20" spans="1:20" x14ac:dyDescent="0.2">
      <c r="A20" s="3418" t="s">
        <v>1388</v>
      </c>
      <c r="B20" s="3363"/>
      <c r="C20" s="3388" t="s">
        <v>259</v>
      </c>
      <c r="D20" s="3388" t="s">
        <v>259</v>
      </c>
      <c r="E20" s="3388" t="s">
        <v>259</v>
      </c>
      <c r="F20" s="3388" t="s">
        <v>259</v>
      </c>
      <c r="G20" s="3388" t="s">
        <v>259</v>
      </c>
      <c r="H20" s="3388" t="s">
        <v>259</v>
      </c>
      <c r="I20" s="3388" t="s">
        <v>259</v>
      </c>
      <c r="J20" s="3388" t="s">
        <v>259</v>
      </c>
      <c r="K20" s="3388" t="s">
        <v>259</v>
      </c>
      <c r="L20" s="3388" t="s">
        <v>259</v>
      </c>
      <c r="M20" s="3388" t="s">
        <v>259</v>
      </c>
      <c r="N20" s="3388" t="s">
        <v>259</v>
      </c>
      <c r="O20" s="3388" t="s">
        <v>259</v>
      </c>
      <c r="P20" s="3388" t="s">
        <v>259</v>
      </c>
      <c r="Q20" s="3388" t="s">
        <v>259</v>
      </c>
      <c r="R20" s="3388" t="s">
        <v>259</v>
      </c>
      <c r="S20" s="660"/>
      <c r="T20" s="660"/>
    </row>
    <row r="21" spans="1:20" x14ac:dyDescent="0.2">
      <c r="A21" s="3390" t="s">
        <v>1319</v>
      </c>
      <c r="B21" s="3387" t="s">
        <v>1319</v>
      </c>
      <c r="C21" s="3388" t="s">
        <v>259</v>
      </c>
      <c r="D21" s="3387" t="s">
        <v>259</v>
      </c>
      <c r="E21" s="3387" t="s">
        <v>259</v>
      </c>
      <c r="F21" s="3388" t="s">
        <v>259</v>
      </c>
      <c r="G21" s="3388" t="s">
        <v>259</v>
      </c>
      <c r="H21" s="3388" t="s">
        <v>259</v>
      </c>
      <c r="I21" s="3388" t="s">
        <v>259</v>
      </c>
      <c r="J21" s="3388" t="s">
        <v>259</v>
      </c>
      <c r="K21" s="3388" t="s">
        <v>259</v>
      </c>
      <c r="L21" s="3387" t="s">
        <v>259</v>
      </c>
      <c r="M21" s="3387" t="s">
        <v>259</v>
      </c>
      <c r="N21" s="3388" t="s">
        <v>259</v>
      </c>
      <c r="O21" s="3387" t="s">
        <v>259</v>
      </c>
      <c r="P21" s="3387" t="s">
        <v>259</v>
      </c>
      <c r="Q21" s="3387" t="s">
        <v>259</v>
      </c>
      <c r="R21" s="3388" t="s">
        <v>259</v>
      </c>
      <c r="S21" s="660"/>
      <c r="T21" s="660"/>
    </row>
    <row r="22" spans="1:20" x14ac:dyDescent="0.2">
      <c r="A22" s="3421" t="s">
        <v>1387</v>
      </c>
      <c r="B22" s="3363"/>
      <c r="C22" s="3388" t="s">
        <v>259</v>
      </c>
      <c r="D22" s="3388" t="s">
        <v>259</v>
      </c>
      <c r="E22" s="3388" t="s">
        <v>259</v>
      </c>
      <c r="F22" s="3388" t="s">
        <v>259</v>
      </c>
      <c r="G22" s="3388" t="s">
        <v>259</v>
      </c>
      <c r="H22" s="3388" t="s">
        <v>259</v>
      </c>
      <c r="I22" s="3388" t="s">
        <v>259</v>
      </c>
      <c r="J22" s="3388" t="s">
        <v>259</v>
      </c>
      <c r="K22" s="3388" t="s">
        <v>259</v>
      </c>
      <c r="L22" s="3388" t="s">
        <v>259</v>
      </c>
      <c r="M22" s="3388" t="s">
        <v>259</v>
      </c>
      <c r="N22" s="3388" t="s">
        <v>259</v>
      </c>
      <c r="O22" s="3388" t="s">
        <v>259</v>
      </c>
      <c r="P22" s="3388" t="s">
        <v>259</v>
      </c>
      <c r="Q22" s="3388" t="s">
        <v>259</v>
      </c>
      <c r="R22" s="3388" t="s">
        <v>259</v>
      </c>
      <c r="S22" s="660"/>
      <c r="T22" s="660"/>
    </row>
    <row r="23" spans="1:20" x14ac:dyDescent="0.2">
      <c r="A23" s="3390" t="s">
        <v>1319</v>
      </c>
      <c r="B23" s="3387" t="s">
        <v>1319</v>
      </c>
      <c r="C23" s="3388" t="s">
        <v>259</v>
      </c>
      <c r="D23" s="3387" t="s">
        <v>259</v>
      </c>
      <c r="E23" s="3387" t="s">
        <v>259</v>
      </c>
      <c r="F23" s="3388" t="s">
        <v>259</v>
      </c>
      <c r="G23" s="3388" t="s">
        <v>259</v>
      </c>
      <c r="H23" s="3388" t="s">
        <v>259</v>
      </c>
      <c r="I23" s="3388" t="s">
        <v>259</v>
      </c>
      <c r="J23" s="3388" t="s">
        <v>259</v>
      </c>
      <c r="K23" s="3388" t="s">
        <v>259</v>
      </c>
      <c r="L23" s="3387" t="s">
        <v>259</v>
      </c>
      <c r="M23" s="3387" t="s">
        <v>259</v>
      </c>
      <c r="N23" s="3388" t="s">
        <v>259</v>
      </c>
      <c r="O23" s="3387" t="s">
        <v>259</v>
      </c>
      <c r="P23" s="3387" t="s">
        <v>259</v>
      </c>
      <c r="Q23" s="3387" t="s">
        <v>259</v>
      </c>
      <c r="R23" s="3388" t="s">
        <v>259</v>
      </c>
      <c r="S23" s="660"/>
      <c r="T23" s="660"/>
    </row>
    <row r="24" spans="1:20" ht="12" customHeight="1" x14ac:dyDescent="0.2">
      <c r="A24" s="678" t="s">
        <v>564</v>
      </c>
      <c r="B24" s="663"/>
      <c r="C24" s="663"/>
      <c r="D24" s="663"/>
      <c r="E24" s="663"/>
      <c r="F24" s="663"/>
      <c r="G24" s="663"/>
      <c r="H24" s="663"/>
      <c r="I24" s="663"/>
      <c r="J24" s="663"/>
      <c r="K24" s="663"/>
      <c r="L24" s="663"/>
      <c r="M24" s="663"/>
      <c r="N24" s="663"/>
      <c r="O24" s="663"/>
      <c r="P24" s="663"/>
      <c r="Q24" s="663"/>
      <c r="R24" s="663"/>
      <c r="S24" s="660"/>
      <c r="T24" s="660"/>
    </row>
    <row r="25" spans="1:20" ht="13.5" x14ac:dyDescent="0.2">
      <c r="A25" s="5507" t="s">
        <v>1386</v>
      </c>
      <c r="B25" s="5507"/>
      <c r="C25" s="5507"/>
      <c r="D25" s="5507"/>
      <c r="E25" s="5507"/>
      <c r="F25" s="5507"/>
      <c r="G25" s="5507"/>
      <c r="H25" s="5507"/>
      <c r="I25" s="5507"/>
      <c r="J25" s="5507"/>
      <c r="K25" s="5507"/>
      <c r="L25" s="5507"/>
      <c r="M25" s="5507"/>
      <c r="N25" s="5507"/>
      <c r="O25" s="5507"/>
      <c r="P25" s="5507"/>
      <c r="Q25" s="663"/>
      <c r="R25" s="663"/>
      <c r="S25" s="660"/>
      <c r="T25" s="660"/>
    </row>
    <row r="26" spans="1:20" ht="13.5" x14ac:dyDescent="0.2">
      <c r="A26" s="5559" t="s">
        <v>1385</v>
      </c>
      <c r="B26" s="5559"/>
      <c r="C26" s="5559"/>
      <c r="D26" s="5559"/>
      <c r="E26" s="5559"/>
      <c r="F26" s="5559"/>
      <c r="G26" s="5559"/>
      <c r="H26" s="5559"/>
      <c r="I26" s="5559"/>
      <c r="J26" s="5559"/>
      <c r="K26" s="5559"/>
      <c r="L26" s="5559"/>
      <c r="M26" s="5559"/>
      <c r="N26" s="5559"/>
      <c r="O26" s="5559"/>
      <c r="P26" s="5559"/>
      <c r="Q26" s="663"/>
      <c r="R26" s="663"/>
      <c r="S26" s="660"/>
      <c r="T26" s="660"/>
    </row>
    <row r="27" spans="1:20" ht="13.5" x14ac:dyDescent="0.2">
      <c r="A27" s="5560" t="s">
        <v>1384</v>
      </c>
      <c r="B27" s="5560"/>
      <c r="C27" s="5560"/>
      <c r="D27" s="5560"/>
      <c r="E27" s="5560"/>
      <c r="F27" s="5560"/>
      <c r="G27" s="5560"/>
      <c r="H27" s="5560"/>
      <c r="I27" s="5560"/>
      <c r="J27" s="5560"/>
      <c r="K27" s="5560"/>
      <c r="L27" s="5560"/>
      <c r="M27" s="5560"/>
      <c r="N27" s="5560"/>
      <c r="O27" s="5560"/>
      <c r="P27" s="663"/>
      <c r="Q27" s="663"/>
      <c r="R27" s="663"/>
      <c r="S27" s="660"/>
      <c r="T27" s="660"/>
    </row>
    <row r="28" spans="1:20" ht="13.5" x14ac:dyDescent="0.2">
      <c r="A28" s="5565" t="s">
        <v>1315</v>
      </c>
      <c r="B28" s="5565"/>
      <c r="C28" s="5565"/>
      <c r="D28" s="5565"/>
      <c r="E28" s="5565"/>
      <c r="F28" s="5565"/>
      <c r="G28" s="5565"/>
      <c r="H28" s="5565"/>
      <c r="I28" s="5565"/>
      <c r="J28" s="5565"/>
      <c r="K28" s="5565"/>
      <c r="L28" s="5565"/>
      <c r="M28" s="5565"/>
      <c r="N28" s="663"/>
      <c r="O28" s="663"/>
      <c r="P28" s="663"/>
      <c r="Q28" s="663"/>
      <c r="R28" s="663"/>
      <c r="S28" s="660"/>
      <c r="T28" s="660"/>
    </row>
    <row r="29" spans="1:20" ht="13.5" x14ac:dyDescent="0.2">
      <c r="A29" s="5561" t="s">
        <v>1383</v>
      </c>
      <c r="B29" s="5561"/>
      <c r="C29" s="5561"/>
      <c r="D29" s="5561"/>
      <c r="E29" s="5561"/>
      <c r="F29" s="5561"/>
      <c r="G29" s="5561"/>
      <c r="H29" s="5561"/>
      <c r="I29" s="5561"/>
      <c r="J29" s="5561"/>
      <c r="K29" s="5561"/>
      <c r="L29" s="5561"/>
      <c r="M29" s="5561"/>
      <c r="N29" s="663"/>
      <c r="O29" s="663"/>
      <c r="P29" s="663"/>
      <c r="Q29" s="663"/>
      <c r="R29" s="663"/>
      <c r="S29" s="660"/>
      <c r="T29" s="660"/>
    </row>
    <row r="30" spans="1:20" ht="13.5" x14ac:dyDescent="0.2">
      <c r="A30" s="5565" t="s">
        <v>1382</v>
      </c>
      <c r="B30" s="5565"/>
      <c r="C30" s="5565"/>
      <c r="D30" s="5565"/>
      <c r="E30" s="5565"/>
      <c r="F30" s="5565"/>
      <c r="G30" s="5565"/>
      <c r="H30" s="5565"/>
      <c r="I30" s="5565"/>
      <c r="J30" s="5565"/>
      <c r="K30" s="663"/>
      <c r="L30" s="663"/>
      <c r="M30" s="663"/>
      <c r="N30" s="663"/>
      <c r="O30" s="663"/>
      <c r="P30" s="663"/>
      <c r="Q30" s="663"/>
      <c r="R30" s="663"/>
      <c r="S30" s="660"/>
      <c r="T30" s="660"/>
    </row>
    <row r="31" spans="1:20" ht="13.5" x14ac:dyDescent="0.2">
      <c r="A31" s="5553" t="s">
        <v>1381</v>
      </c>
      <c r="B31" s="5553"/>
      <c r="C31" s="5553"/>
      <c r="D31" s="5553"/>
      <c r="E31" s="5553"/>
      <c r="F31" s="5553"/>
      <c r="G31" s="5553"/>
      <c r="H31" s="5553"/>
      <c r="I31" s="5553"/>
      <c r="J31" s="5553"/>
      <c r="K31" s="5553"/>
      <c r="L31" s="5553"/>
      <c r="M31" s="5553"/>
      <c r="N31" s="663"/>
      <c r="O31" s="663"/>
      <c r="P31" s="663"/>
      <c r="Q31" s="663"/>
      <c r="R31" s="663"/>
      <c r="S31" s="660"/>
      <c r="T31" s="660"/>
    </row>
    <row r="32" spans="1:20" ht="14.25" customHeight="1" x14ac:dyDescent="0.2">
      <c r="A32" s="5554" t="s">
        <v>1380</v>
      </c>
      <c r="B32" s="5554"/>
      <c r="C32" s="5554"/>
      <c r="D32" s="5554"/>
      <c r="E32" s="5554"/>
      <c r="F32" s="5554"/>
      <c r="G32" s="5554"/>
      <c r="H32" s="5554"/>
      <c r="I32" s="5554"/>
      <c r="J32" s="5554"/>
      <c r="K32" s="5554"/>
      <c r="L32" s="5554"/>
      <c r="M32" s="5554"/>
      <c r="N32" s="663"/>
      <c r="O32" s="663"/>
      <c r="P32" s="663"/>
      <c r="Q32" s="663"/>
      <c r="R32" s="663"/>
      <c r="S32" s="660"/>
      <c r="T32" s="660"/>
    </row>
    <row r="33" spans="1:20" ht="13.5" x14ac:dyDescent="0.2">
      <c r="A33" s="5561" t="s">
        <v>1379</v>
      </c>
      <c r="B33" s="5561"/>
      <c r="C33" s="5561"/>
      <c r="D33" s="5561"/>
      <c r="E33" s="5561"/>
      <c r="F33" s="5561"/>
      <c r="G33" s="5561"/>
      <c r="H33" s="5561"/>
      <c r="I33" s="5561"/>
      <c r="J33" s="5561"/>
      <c r="K33" s="5561"/>
      <c r="L33" s="5561"/>
      <c r="M33" s="5561"/>
      <c r="N33" s="660"/>
      <c r="O33" s="660"/>
      <c r="P33" s="660"/>
      <c r="Q33" s="660"/>
      <c r="R33" s="660"/>
      <c r="S33" s="660"/>
      <c r="T33" s="660"/>
    </row>
    <row r="34" spans="1:20" ht="9" customHeight="1" x14ac:dyDescent="0.2">
      <c r="A34" s="737"/>
      <c r="B34" s="731"/>
      <c r="C34" s="731"/>
      <c r="D34" s="731"/>
      <c r="E34" s="731"/>
      <c r="F34" s="731"/>
      <c r="G34" s="731"/>
      <c r="H34" s="731"/>
      <c r="I34" s="731"/>
      <c r="J34" s="731"/>
      <c r="K34" s="731"/>
      <c r="L34" s="731"/>
      <c r="M34" s="731"/>
      <c r="N34" s="731"/>
      <c r="O34" s="731"/>
      <c r="P34" s="731"/>
      <c r="Q34" s="731"/>
      <c r="R34" s="731"/>
      <c r="S34" s="660"/>
      <c r="T34" s="660"/>
    </row>
    <row r="35" spans="1:20" ht="15.75" customHeight="1" x14ac:dyDescent="0.2">
      <c r="A35" s="3416" t="s">
        <v>982</v>
      </c>
      <c r="B35" s="3414"/>
      <c r="C35" s="3414"/>
      <c r="D35" s="3414"/>
      <c r="E35" s="3414"/>
      <c r="F35" s="3414"/>
      <c r="G35" s="3414"/>
      <c r="H35" s="3414"/>
      <c r="I35" s="3414"/>
      <c r="J35" s="3414"/>
      <c r="K35" s="3414"/>
      <c r="L35" s="3414"/>
      <c r="M35" s="3414"/>
      <c r="N35" s="3414"/>
      <c r="O35" s="3414"/>
      <c r="P35" s="3414"/>
      <c r="Q35" s="3414"/>
      <c r="R35" s="3413"/>
      <c r="S35" s="660"/>
      <c r="T35" s="660"/>
    </row>
    <row r="36" spans="1:20" ht="29.25" customHeight="1" x14ac:dyDescent="0.2">
      <c r="A36" s="5562" t="s">
        <v>1310</v>
      </c>
      <c r="B36" s="5563"/>
      <c r="C36" s="5563"/>
      <c r="D36" s="5563"/>
      <c r="E36" s="5563"/>
      <c r="F36" s="5563"/>
      <c r="G36" s="5563"/>
      <c r="H36" s="5563"/>
      <c r="I36" s="5563"/>
      <c r="J36" s="5563"/>
      <c r="K36" s="5563"/>
      <c r="L36" s="5563"/>
      <c r="M36" s="5563"/>
      <c r="N36" s="5563"/>
      <c r="O36" s="5563"/>
      <c r="P36" s="5563"/>
      <c r="Q36" s="5563"/>
      <c r="R36" s="5564"/>
      <c r="S36" s="660"/>
      <c r="T36" s="660"/>
    </row>
    <row r="37" spans="1:20" ht="12" customHeight="1" x14ac:dyDescent="0.2">
      <c r="A37" s="3412" t="s">
        <v>980</v>
      </c>
      <c r="B37" s="5473" t="s">
        <v>986</v>
      </c>
      <c r="C37" s="5527"/>
      <c r="D37" s="5527"/>
      <c r="E37" s="5527"/>
      <c r="F37" s="5527"/>
      <c r="G37" s="5527"/>
      <c r="H37" s="5527"/>
      <c r="I37" s="5527"/>
      <c r="J37" s="5527"/>
      <c r="K37" s="5527"/>
      <c r="L37" s="5527"/>
      <c r="M37" s="5527"/>
      <c r="N37" s="5527"/>
      <c r="O37" s="5527"/>
      <c r="P37" s="5527"/>
      <c r="Q37" s="5527"/>
      <c r="R37" s="5527"/>
      <c r="S37" s="660"/>
      <c r="T37" s="660"/>
    </row>
    <row r="38" spans="1:20" ht="12" customHeight="1" x14ac:dyDescent="0.2">
      <c r="A38" s="3412" t="s">
        <v>980</v>
      </c>
      <c r="B38" s="5473" t="s">
        <v>986</v>
      </c>
      <c r="C38" s="5527"/>
      <c r="D38" s="5527"/>
      <c r="E38" s="5527"/>
      <c r="F38" s="5527"/>
      <c r="G38" s="5527"/>
      <c r="H38" s="5527"/>
      <c r="I38" s="5527"/>
      <c r="J38" s="5527"/>
      <c r="K38" s="5527"/>
      <c r="L38" s="5527"/>
      <c r="M38" s="5527"/>
      <c r="N38" s="5527"/>
      <c r="O38" s="5527"/>
      <c r="P38" s="5527"/>
      <c r="Q38" s="5527"/>
      <c r="R38" s="5527"/>
    </row>
  </sheetData>
  <sheetProtection password="A754" sheet="1" objects="1" scenarios="1"/>
  <mergeCells count="30">
    <mergeCell ref="B37:R37"/>
    <mergeCell ref="B38:R38"/>
    <mergeCell ref="C6:C9"/>
    <mergeCell ref="E6:E9"/>
    <mergeCell ref="F6:H7"/>
    <mergeCell ref="F9:K9"/>
    <mergeCell ref="A36:R36"/>
    <mergeCell ref="A6:A9"/>
    <mergeCell ref="B6:B9"/>
    <mergeCell ref="A25:P25"/>
    <mergeCell ref="A26:P26"/>
    <mergeCell ref="A27:O27"/>
    <mergeCell ref="P6:Q7"/>
    <mergeCell ref="D6:D9"/>
    <mergeCell ref="R5:R8"/>
    <mergeCell ref="A28:M28"/>
    <mergeCell ref="A31:M31"/>
    <mergeCell ref="A32:M32"/>
    <mergeCell ref="A33:M33"/>
    <mergeCell ref="L9:Q9"/>
    <mergeCell ref="A5:B5"/>
    <mergeCell ref="C5:E5"/>
    <mergeCell ref="F5:K5"/>
    <mergeCell ref="L5:Q5"/>
    <mergeCell ref="A30:J30"/>
    <mergeCell ref="A29:M29"/>
    <mergeCell ref="I6:I8"/>
    <mergeCell ref="J6:K7"/>
    <mergeCell ref="L6:N7"/>
    <mergeCell ref="O6:O8"/>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colBreaks count="1" manualBreakCount="1">
    <brk id="19" max="49" man="1"/>
  </col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85720-9213-4D29-9D2E-F2C1686650F1}">
  <sheetPr codeName="Ark26">
    <tabColor theme="0" tint="-0.14999847407452621"/>
    <pageSetUpPr fitToPage="1"/>
  </sheetPr>
  <dimension ref="A1:T48"/>
  <sheetViews>
    <sheetView showGridLines="0" topLeftCell="B1" workbookViewId="0">
      <selection activeCell="R3" sqref="R3"/>
    </sheetView>
  </sheetViews>
  <sheetFormatPr defaultColWidth="8" defaultRowHeight="12" customHeight="1" x14ac:dyDescent="0.2"/>
  <cols>
    <col min="1" max="1" width="44.42578125" style="659" customWidth="1"/>
    <col min="2" max="2" width="14" style="659" customWidth="1"/>
    <col min="3" max="5" width="11.42578125" style="659" customWidth="1"/>
    <col min="6" max="8" width="8.28515625" style="659" customWidth="1"/>
    <col min="9" max="11" width="9.7109375" style="659" customWidth="1"/>
    <col min="12" max="15" width="11.7109375" style="659" customWidth="1"/>
    <col min="16" max="17" width="11.42578125" style="659" customWidth="1"/>
    <col min="18" max="18" width="13.7109375" style="659" customWidth="1"/>
    <col min="19" max="16384" width="8" style="659"/>
  </cols>
  <sheetData>
    <row r="1" spans="1:20" ht="15.75" customHeight="1" x14ac:dyDescent="0.25">
      <c r="A1" s="671" t="s">
        <v>1432</v>
      </c>
      <c r="B1" s="660"/>
      <c r="C1" s="660"/>
      <c r="D1" s="660"/>
      <c r="E1" s="660"/>
      <c r="F1" s="660"/>
      <c r="G1" s="660"/>
      <c r="H1" s="660"/>
      <c r="I1" s="660"/>
      <c r="J1" s="660"/>
      <c r="K1" s="660"/>
      <c r="L1" s="660"/>
      <c r="M1" s="660"/>
      <c r="N1" s="660"/>
      <c r="O1" s="660"/>
      <c r="P1" s="660"/>
      <c r="Q1" s="660"/>
      <c r="R1" s="668" t="s">
        <v>1028</v>
      </c>
      <c r="S1" s="660"/>
      <c r="T1" s="660"/>
    </row>
    <row r="2" spans="1:20" ht="12" customHeight="1" x14ac:dyDescent="0.25">
      <c r="A2" s="671" t="s">
        <v>1431</v>
      </c>
      <c r="B2" s="660"/>
      <c r="C2" s="660"/>
      <c r="D2" s="660"/>
      <c r="E2" s="660"/>
      <c r="F2" s="660"/>
      <c r="G2" s="660"/>
      <c r="H2" s="660"/>
      <c r="I2" s="660"/>
      <c r="J2" s="660"/>
      <c r="K2" s="660"/>
      <c r="L2" s="660"/>
      <c r="M2" s="660"/>
      <c r="N2" s="660"/>
      <c r="O2" s="660"/>
      <c r="P2" s="660"/>
      <c r="Q2" s="660"/>
      <c r="R2" s="668" t="s">
        <v>5183</v>
      </c>
      <c r="S2" s="660"/>
      <c r="T2" s="660"/>
    </row>
    <row r="3" spans="1:20" ht="12" customHeight="1" x14ac:dyDescent="0.25">
      <c r="A3" s="671" t="s">
        <v>1197</v>
      </c>
      <c r="B3" s="660"/>
      <c r="C3" s="660"/>
      <c r="D3" s="660"/>
      <c r="E3" s="660"/>
      <c r="F3" s="660"/>
      <c r="G3" s="660"/>
      <c r="H3" s="660"/>
      <c r="I3" s="660"/>
      <c r="J3" s="660"/>
      <c r="K3" s="660"/>
      <c r="L3" s="660"/>
      <c r="M3" s="660"/>
      <c r="N3" s="660"/>
      <c r="O3" s="660"/>
      <c r="P3" s="660"/>
      <c r="Q3" s="660"/>
      <c r="R3" s="668" t="s">
        <v>1789</v>
      </c>
      <c r="S3" s="660"/>
      <c r="T3" s="660"/>
    </row>
    <row r="4" spans="1:20" ht="12" customHeight="1" x14ac:dyDescent="0.2">
      <c r="A4" s="660"/>
      <c r="B4" s="660"/>
      <c r="C4" s="660"/>
      <c r="D4" s="660"/>
      <c r="E4" s="660"/>
      <c r="F4" s="660"/>
      <c r="G4" s="660"/>
      <c r="H4" s="660"/>
      <c r="I4" s="660"/>
      <c r="J4" s="660"/>
      <c r="K4" s="660"/>
      <c r="L4" s="660"/>
      <c r="M4" s="660"/>
      <c r="N4" s="660"/>
      <c r="O4" s="660"/>
      <c r="P4" s="660"/>
      <c r="Q4" s="660"/>
      <c r="R4" s="660"/>
      <c r="S4" s="660"/>
      <c r="T4" s="660"/>
    </row>
    <row r="5" spans="1:20" ht="42.75" customHeight="1" x14ac:dyDescent="0.2">
      <c r="A5" s="5534" t="s">
        <v>1025</v>
      </c>
      <c r="B5" s="5535"/>
      <c r="C5" s="5528" t="s">
        <v>1083</v>
      </c>
      <c r="D5" s="5529"/>
      <c r="E5" s="5530"/>
      <c r="F5" s="5528" t="s">
        <v>1351</v>
      </c>
      <c r="G5" s="5529"/>
      <c r="H5" s="5529"/>
      <c r="I5" s="5529"/>
      <c r="J5" s="5529"/>
      <c r="K5" s="5530"/>
      <c r="L5" s="5528" t="s">
        <v>1350</v>
      </c>
      <c r="M5" s="5529"/>
      <c r="N5" s="5529"/>
      <c r="O5" s="5529"/>
      <c r="P5" s="5529"/>
      <c r="Q5" s="5530"/>
      <c r="R5" s="5566" t="s">
        <v>1430</v>
      </c>
      <c r="S5" s="660"/>
      <c r="T5" s="660"/>
    </row>
    <row r="6" spans="1:20" ht="23.25" customHeight="1" x14ac:dyDescent="0.2">
      <c r="A6" s="5519" t="s">
        <v>1348</v>
      </c>
      <c r="B6" s="5531" t="s">
        <v>1429</v>
      </c>
      <c r="C6" s="5531" t="s">
        <v>1428</v>
      </c>
      <c r="D6" s="5531" t="s">
        <v>1427</v>
      </c>
      <c r="E6" s="5531" t="s">
        <v>1426</v>
      </c>
      <c r="F6" s="5537" t="s">
        <v>1343</v>
      </c>
      <c r="G6" s="5544"/>
      <c r="H6" s="5538"/>
      <c r="I6" s="5531" t="s">
        <v>1375</v>
      </c>
      <c r="J6" s="5537" t="s">
        <v>1340</v>
      </c>
      <c r="K6" s="5538"/>
      <c r="L6" s="5537" t="s">
        <v>1339</v>
      </c>
      <c r="M6" s="5544"/>
      <c r="N6" s="5538"/>
      <c r="O6" s="5531" t="s">
        <v>1425</v>
      </c>
      <c r="P6" s="5537" t="s">
        <v>1424</v>
      </c>
      <c r="Q6" s="5538"/>
      <c r="R6" s="5567"/>
      <c r="S6" s="660"/>
      <c r="T6" s="660"/>
    </row>
    <row r="7" spans="1:20" ht="16.5" customHeight="1" x14ac:dyDescent="0.2">
      <c r="A7" s="5520"/>
      <c r="B7" s="5532"/>
      <c r="C7" s="5532"/>
      <c r="D7" s="5532"/>
      <c r="E7" s="5532"/>
      <c r="F7" s="5539"/>
      <c r="G7" s="5545"/>
      <c r="H7" s="5540"/>
      <c r="I7" s="5532"/>
      <c r="J7" s="5539"/>
      <c r="K7" s="5540"/>
      <c r="L7" s="5539"/>
      <c r="M7" s="5545"/>
      <c r="N7" s="5540"/>
      <c r="O7" s="5532"/>
      <c r="P7" s="5539"/>
      <c r="Q7" s="5540"/>
      <c r="R7" s="5567"/>
      <c r="S7" s="660"/>
      <c r="T7" s="660"/>
    </row>
    <row r="8" spans="1:20" ht="68.25" customHeight="1" x14ac:dyDescent="0.2">
      <c r="A8" s="5520"/>
      <c r="B8" s="5532"/>
      <c r="C8" s="5532"/>
      <c r="D8" s="5532"/>
      <c r="E8" s="5532"/>
      <c r="F8" s="3411" t="s">
        <v>1334</v>
      </c>
      <c r="G8" s="3411" t="s">
        <v>1333</v>
      </c>
      <c r="H8" s="3411" t="s">
        <v>1332</v>
      </c>
      <c r="I8" s="5533"/>
      <c r="J8" s="3309" t="s">
        <v>1331</v>
      </c>
      <c r="K8" s="744" t="s">
        <v>1330</v>
      </c>
      <c r="L8" s="3411" t="s">
        <v>1334</v>
      </c>
      <c r="M8" s="3411" t="s">
        <v>1333</v>
      </c>
      <c r="N8" s="3411" t="s">
        <v>1332</v>
      </c>
      <c r="O8" s="5533"/>
      <c r="P8" s="3309" t="s">
        <v>1331</v>
      </c>
      <c r="Q8" s="744" t="s">
        <v>1330</v>
      </c>
      <c r="R8" s="5568"/>
      <c r="S8" s="660"/>
      <c r="T8" s="660"/>
    </row>
    <row r="9" spans="1:20" ht="14.25" customHeight="1" thickBot="1" x14ac:dyDescent="0.25">
      <c r="A9" s="5556"/>
      <c r="B9" s="5541"/>
      <c r="C9" s="5541"/>
      <c r="D9" s="5541"/>
      <c r="E9" s="5541"/>
      <c r="F9" s="5546" t="s">
        <v>1329</v>
      </c>
      <c r="G9" s="5547"/>
      <c r="H9" s="5547"/>
      <c r="I9" s="5547"/>
      <c r="J9" s="5547"/>
      <c r="K9" s="5548"/>
      <c r="L9" s="5546" t="s">
        <v>1328</v>
      </c>
      <c r="M9" s="5547"/>
      <c r="N9" s="5547"/>
      <c r="O9" s="5547"/>
      <c r="P9" s="5547"/>
      <c r="Q9" s="5548"/>
      <c r="R9" s="743" t="s">
        <v>1011</v>
      </c>
      <c r="S9" s="660"/>
      <c r="T9" s="660"/>
    </row>
    <row r="10" spans="1:20" ht="15" customHeight="1" thickTop="1" x14ac:dyDescent="0.2">
      <c r="A10" s="742" t="s">
        <v>1423</v>
      </c>
      <c r="B10" s="3363" t="s">
        <v>986</v>
      </c>
      <c r="C10" s="3388">
        <v>118.4831249995116</v>
      </c>
      <c r="D10" s="3388">
        <v>104.52568907728001</v>
      </c>
      <c r="E10" s="3388">
        <v>13.9574359222316</v>
      </c>
      <c r="F10" s="3388" t="s">
        <v>259</v>
      </c>
      <c r="G10" s="3388" t="s">
        <v>259</v>
      </c>
      <c r="H10" s="3388" t="s">
        <v>259</v>
      </c>
      <c r="I10" s="3388" t="s">
        <v>259</v>
      </c>
      <c r="J10" s="3388" t="s">
        <v>259</v>
      </c>
      <c r="K10" s="3388">
        <v>-1.0279051309953</v>
      </c>
      <c r="L10" s="3388" t="s">
        <v>259</v>
      </c>
      <c r="M10" s="3388" t="s">
        <v>259</v>
      </c>
      <c r="N10" s="3388" t="s">
        <v>259</v>
      </c>
      <c r="O10" s="3388" t="s">
        <v>259</v>
      </c>
      <c r="P10" s="3388" t="s">
        <v>259</v>
      </c>
      <c r="Q10" s="3388">
        <v>-14.346920000000001</v>
      </c>
      <c r="R10" s="3388">
        <v>52.605373333333382</v>
      </c>
      <c r="S10" s="660"/>
      <c r="T10" s="660"/>
    </row>
    <row r="11" spans="1:20" x14ac:dyDescent="0.2">
      <c r="A11" s="3418" t="s">
        <v>1422</v>
      </c>
      <c r="B11" s="3363" t="s">
        <v>986</v>
      </c>
      <c r="C11" s="3388">
        <v>103.75838259367561</v>
      </c>
      <c r="D11" s="3388">
        <v>100.100961059</v>
      </c>
      <c r="E11" s="3388">
        <v>3.6574215346756</v>
      </c>
      <c r="F11" s="3388" t="s">
        <v>259</v>
      </c>
      <c r="G11" s="3388" t="s">
        <v>259</v>
      </c>
      <c r="H11" s="3388" t="s">
        <v>259</v>
      </c>
      <c r="I11" s="3388" t="s">
        <v>259</v>
      </c>
      <c r="J11" s="3388" t="s">
        <v>259</v>
      </c>
      <c r="K11" s="3388">
        <v>-3.9226870252658799</v>
      </c>
      <c r="L11" s="3388" t="s">
        <v>259</v>
      </c>
      <c r="M11" s="3388" t="s">
        <v>259</v>
      </c>
      <c r="N11" s="3388" t="s">
        <v>259</v>
      </c>
      <c r="O11" s="3388" t="s">
        <v>259</v>
      </c>
      <c r="P11" s="3388" t="s">
        <v>259</v>
      </c>
      <c r="Q11" s="3388">
        <v>-14.346920000000001</v>
      </c>
      <c r="R11" s="3388">
        <v>52.605373333333382</v>
      </c>
      <c r="S11" s="660"/>
      <c r="T11" s="660"/>
    </row>
    <row r="12" spans="1:20" x14ac:dyDescent="0.2">
      <c r="A12" s="3424" t="s">
        <v>1421</v>
      </c>
      <c r="B12" s="3363"/>
      <c r="C12" s="3388">
        <v>0.8</v>
      </c>
      <c r="D12" s="3388" t="s">
        <v>259</v>
      </c>
      <c r="E12" s="3388">
        <v>0.8</v>
      </c>
      <c r="F12" s="3388" t="s">
        <v>259</v>
      </c>
      <c r="G12" s="3388" t="s">
        <v>259</v>
      </c>
      <c r="H12" s="3388" t="s">
        <v>259</v>
      </c>
      <c r="I12" s="3388" t="s">
        <v>259</v>
      </c>
      <c r="J12" s="3388" t="s">
        <v>259</v>
      </c>
      <c r="K12" s="3388">
        <v>-17.93365</v>
      </c>
      <c r="L12" s="3388" t="s">
        <v>259</v>
      </c>
      <c r="M12" s="3388" t="s">
        <v>259</v>
      </c>
      <c r="N12" s="3388" t="s">
        <v>259</v>
      </c>
      <c r="O12" s="3388" t="s">
        <v>259</v>
      </c>
      <c r="P12" s="3388" t="s">
        <v>259</v>
      </c>
      <c r="Q12" s="3388">
        <v>-14.346920000000001</v>
      </c>
      <c r="R12" s="3388">
        <v>52.605373333333382</v>
      </c>
      <c r="S12" s="660"/>
      <c r="T12" s="660"/>
    </row>
    <row r="13" spans="1:20" x14ac:dyDescent="0.2">
      <c r="A13" s="3425" t="s">
        <v>1319</v>
      </c>
      <c r="B13" s="3387" t="s">
        <v>1319</v>
      </c>
      <c r="C13" s="3388">
        <v>0.8</v>
      </c>
      <c r="D13" s="3387" t="s">
        <v>259</v>
      </c>
      <c r="E13" s="3387">
        <v>0.8</v>
      </c>
      <c r="F13" s="3388" t="s">
        <v>259</v>
      </c>
      <c r="G13" s="3388" t="s">
        <v>259</v>
      </c>
      <c r="H13" s="3388" t="s">
        <v>259</v>
      </c>
      <c r="I13" s="3388" t="s">
        <v>259</v>
      </c>
      <c r="J13" s="3388" t="s">
        <v>259</v>
      </c>
      <c r="K13" s="3388">
        <v>-17.93365</v>
      </c>
      <c r="L13" s="3387" t="s">
        <v>259</v>
      </c>
      <c r="M13" s="3387" t="s">
        <v>259</v>
      </c>
      <c r="N13" s="3388" t="s">
        <v>259</v>
      </c>
      <c r="O13" s="3387" t="s">
        <v>259</v>
      </c>
      <c r="P13" s="3387" t="s">
        <v>259</v>
      </c>
      <c r="Q13" s="3387">
        <v>-14.346920000000001</v>
      </c>
      <c r="R13" s="3388">
        <v>52.605373333333382</v>
      </c>
      <c r="S13" s="660"/>
      <c r="T13" s="660"/>
    </row>
    <row r="14" spans="1:20" x14ac:dyDescent="0.2">
      <c r="A14" s="3424" t="s">
        <v>1420</v>
      </c>
      <c r="B14" s="3363"/>
      <c r="C14" s="3388">
        <v>53.137307593675601</v>
      </c>
      <c r="D14" s="3388">
        <v>53.135789506999998</v>
      </c>
      <c r="E14" s="3388">
        <v>1.5180866756000001E-3</v>
      </c>
      <c r="F14" s="3388" t="s">
        <v>259</v>
      </c>
      <c r="G14" s="3388" t="s">
        <v>259</v>
      </c>
      <c r="H14" s="3388" t="s">
        <v>259</v>
      </c>
      <c r="I14" s="3388" t="s">
        <v>259</v>
      </c>
      <c r="J14" s="3388" t="s">
        <v>259</v>
      </c>
      <c r="K14" s="3388" t="s">
        <v>259</v>
      </c>
      <c r="L14" s="3388" t="s">
        <v>259</v>
      </c>
      <c r="M14" s="3388" t="s">
        <v>259</v>
      </c>
      <c r="N14" s="3388" t="s">
        <v>259</v>
      </c>
      <c r="O14" s="3388" t="s">
        <v>259</v>
      </c>
      <c r="P14" s="3388" t="s">
        <v>259</v>
      </c>
      <c r="Q14" s="3388" t="s">
        <v>259</v>
      </c>
      <c r="R14" s="3388" t="s">
        <v>259</v>
      </c>
      <c r="S14" s="660"/>
      <c r="T14" s="660"/>
    </row>
    <row r="15" spans="1:20" x14ac:dyDescent="0.2">
      <c r="A15" s="3425" t="s">
        <v>1319</v>
      </c>
      <c r="B15" s="3387" t="s">
        <v>1319</v>
      </c>
      <c r="C15" s="3388">
        <v>53.137307593675601</v>
      </c>
      <c r="D15" s="3387">
        <v>53.135789506999998</v>
      </c>
      <c r="E15" s="3387">
        <v>1.5180866756000001E-3</v>
      </c>
      <c r="F15" s="3388" t="s">
        <v>259</v>
      </c>
      <c r="G15" s="3388" t="s">
        <v>259</v>
      </c>
      <c r="H15" s="3388" t="s">
        <v>259</v>
      </c>
      <c r="I15" s="3388" t="s">
        <v>259</v>
      </c>
      <c r="J15" s="3388" t="s">
        <v>259</v>
      </c>
      <c r="K15" s="3388" t="s">
        <v>259</v>
      </c>
      <c r="L15" s="3387" t="s">
        <v>259</v>
      </c>
      <c r="M15" s="3387" t="s">
        <v>259</v>
      </c>
      <c r="N15" s="3388" t="s">
        <v>259</v>
      </c>
      <c r="O15" s="3387" t="s">
        <v>259</v>
      </c>
      <c r="P15" s="3387" t="s">
        <v>259</v>
      </c>
      <c r="Q15" s="3387" t="s">
        <v>259</v>
      </c>
      <c r="R15" s="3388" t="s">
        <v>259</v>
      </c>
      <c r="S15" s="660"/>
      <c r="T15" s="660"/>
    </row>
    <row r="16" spans="1:20" ht="13.5" x14ac:dyDescent="0.2">
      <c r="A16" s="3424" t="s">
        <v>1418</v>
      </c>
      <c r="B16" s="3363"/>
      <c r="C16" s="3388">
        <v>49.821075</v>
      </c>
      <c r="D16" s="3388">
        <v>46.965171552000001</v>
      </c>
      <c r="E16" s="3388">
        <v>2.8559034479999998</v>
      </c>
      <c r="F16" s="3388" t="s">
        <v>259</v>
      </c>
      <c r="G16" s="3388" t="s">
        <v>259</v>
      </c>
      <c r="H16" s="3388" t="s">
        <v>259</v>
      </c>
      <c r="I16" s="3388" t="s">
        <v>259</v>
      </c>
      <c r="J16" s="3388" t="s">
        <v>259</v>
      </c>
      <c r="K16" s="3388" t="s">
        <v>259</v>
      </c>
      <c r="L16" s="3388" t="s">
        <v>259</v>
      </c>
      <c r="M16" s="3388" t="s">
        <v>259</v>
      </c>
      <c r="N16" s="3388" t="s">
        <v>259</v>
      </c>
      <c r="O16" s="3388" t="s">
        <v>259</v>
      </c>
      <c r="P16" s="3388" t="s">
        <v>259</v>
      </c>
      <c r="Q16" s="3388" t="s">
        <v>259</v>
      </c>
      <c r="R16" s="3388" t="s">
        <v>259</v>
      </c>
      <c r="S16" s="660"/>
      <c r="T16" s="660"/>
    </row>
    <row r="17" spans="1:20" x14ac:dyDescent="0.2">
      <c r="A17" s="3425" t="s">
        <v>1319</v>
      </c>
      <c r="B17" s="3387" t="s">
        <v>1319</v>
      </c>
      <c r="C17" s="3388">
        <v>49.821075</v>
      </c>
      <c r="D17" s="3387">
        <v>46.965171552000001</v>
      </c>
      <c r="E17" s="3387">
        <v>2.8559034479999998</v>
      </c>
      <c r="F17" s="3388" t="s">
        <v>259</v>
      </c>
      <c r="G17" s="3388" t="s">
        <v>259</v>
      </c>
      <c r="H17" s="3388" t="s">
        <v>259</v>
      </c>
      <c r="I17" s="3388" t="s">
        <v>259</v>
      </c>
      <c r="J17" s="3388" t="s">
        <v>259</v>
      </c>
      <c r="K17" s="3388" t="s">
        <v>259</v>
      </c>
      <c r="L17" s="3387" t="s">
        <v>259</v>
      </c>
      <c r="M17" s="3387" t="s">
        <v>259</v>
      </c>
      <c r="N17" s="3388" t="s">
        <v>259</v>
      </c>
      <c r="O17" s="3387" t="s">
        <v>259</v>
      </c>
      <c r="P17" s="3387" t="s">
        <v>259</v>
      </c>
      <c r="Q17" s="3387" t="s">
        <v>259</v>
      </c>
      <c r="R17" s="3388" t="s">
        <v>259</v>
      </c>
      <c r="S17" s="660"/>
      <c r="T17" s="660"/>
    </row>
    <row r="18" spans="1:20" ht="13.5" x14ac:dyDescent="0.2">
      <c r="A18" s="3421" t="s">
        <v>1417</v>
      </c>
      <c r="B18" s="3363" t="s">
        <v>986</v>
      </c>
      <c r="C18" s="3388">
        <v>14.724742405836</v>
      </c>
      <c r="D18" s="3388">
        <v>4.4247280182799997</v>
      </c>
      <c r="E18" s="3388">
        <v>10.300014387556001</v>
      </c>
      <c r="F18" s="3388" t="s">
        <v>259</v>
      </c>
      <c r="G18" s="3388" t="s">
        <v>259</v>
      </c>
      <c r="H18" s="3388" t="s">
        <v>259</v>
      </c>
      <c r="I18" s="3388" t="s">
        <v>259</v>
      </c>
      <c r="J18" s="3388" t="s">
        <v>259</v>
      </c>
      <c r="K18" s="3388" t="s">
        <v>259</v>
      </c>
      <c r="L18" s="3388" t="s">
        <v>259</v>
      </c>
      <c r="M18" s="3388" t="s">
        <v>259</v>
      </c>
      <c r="N18" s="3388" t="s">
        <v>259</v>
      </c>
      <c r="O18" s="3388" t="s">
        <v>259</v>
      </c>
      <c r="P18" s="3388" t="s">
        <v>259</v>
      </c>
      <c r="Q18" s="3388" t="s">
        <v>259</v>
      </c>
      <c r="R18" s="3388" t="s">
        <v>259</v>
      </c>
      <c r="S18" s="660"/>
      <c r="T18" s="660"/>
    </row>
    <row r="19" spans="1:20" x14ac:dyDescent="0.2">
      <c r="A19" s="3424" t="s">
        <v>1416</v>
      </c>
      <c r="B19" s="3363"/>
      <c r="C19" s="3388" t="s">
        <v>259</v>
      </c>
      <c r="D19" s="3388" t="s">
        <v>259</v>
      </c>
      <c r="E19" s="3388" t="s">
        <v>259</v>
      </c>
      <c r="F19" s="3388" t="s">
        <v>259</v>
      </c>
      <c r="G19" s="3388" t="s">
        <v>259</v>
      </c>
      <c r="H19" s="3388" t="s">
        <v>259</v>
      </c>
      <c r="I19" s="3388" t="s">
        <v>259</v>
      </c>
      <c r="J19" s="3388" t="s">
        <v>259</v>
      </c>
      <c r="K19" s="3388" t="s">
        <v>259</v>
      </c>
      <c r="L19" s="3388" t="s">
        <v>259</v>
      </c>
      <c r="M19" s="3388" t="s">
        <v>259</v>
      </c>
      <c r="N19" s="3388" t="s">
        <v>259</v>
      </c>
      <c r="O19" s="3388" t="s">
        <v>259</v>
      </c>
      <c r="P19" s="3388" t="s">
        <v>259</v>
      </c>
      <c r="Q19" s="3388" t="s">
        <v>259</v>
      </c>
      <c r="R19" s="3388" t="s">
        <v>259</v>
      </c>
      <c r="S19" s="660"/>
      <c r="T19" s="660"/>
    </row>
    <row r="20" spans="1:20" x14ac:dyDescent="0.2">
      <c r="A20" s="3425" t="s">
        <v>1319</v>
      </c>
      <c r="B20" s="3387" t="s">
        <v>1319</v>
      </c>
      <c r="C20" s="3388" t="s">
        <v>259</v>
      </c>
      <c r="D20" s="3387" t="s">
        <v>259</v>
      </c>
      <c r="E20" s="3387" t="s">
        <v>259</v>
      </c>
      <c r="F20" s="3388" t="s">
        <v>259</v>
      </c>
      <c r="G20" s="3388" t="s">
        <v>259</v>
      </c>
      <c r="H20" s="3388" t="s">
        <v>259</v>
      </c>
      <c r="I20" s="3388" t="s">
        <v>259</v>
      </c>
      <c r="J20" s="3388" t="s">
        <v>259</v>
      </c>
      <c r="K20" s="3388" t="s">
        <v>259</v>
      </c>
      <c r="L20" s="3387" t="s">
        <v>259</v>
      </c>
      <c r="M20" s="3387" t="s">
        <v>259</v>
      </c>
      <c r="N20" s="3388" t="s">
        <v>259</v>
      </c>
      <c r="O20" s="3387" t="s">
        <v>259</v>
      </c>
      <c r="P20" s="3387" t="s">
        <v>259</v>
      </c>
      <c r="Q20" s="3387" t="s">
        <v>259</v>
      </c>
      <c r="R20" s="3388" t="s">
        <v>259</v>
      </c>
      <c r="S20" s="660"/>
      <c r="T20" s="660"/>
    </row>
    <row r="21" spans="1:20" x14ac:dyDescent="0.2">
      <c r="A21" s="3424" t="s">
        <v>1415</v>
      </c>
      <c r="B21" s="3363"/>
      <c r="C21" s="3388">
        <v>4.0853174058370003</v>
      </c>
      <c r="D21" s="3388">
        <v>1.7192314174000001</v>
      </c>
      <c r="E21" s="3388">
        <v>2.3660859884369998</v>
      </c>
      <c r="F21" s="3388" t="s">
        <v>259</v>
      </c>
      <c r="G21" s="3388" t="s">
        <v>259</v>
      </c>
      <c r="H21" s="3388" t="s">
        <v>259</v>
      </c>
      <c r="I21" s="3388" t="s">
        <v>259</v>
      </c>
      <c r="J21" s="3388" t="s">
        <v>259</v>
      </c>
      <c r="K21" s="3388" t="s">
        <v>259</v>
      </c>
      <c r="L21" s="3388" t="s">
        <v>259</v>
      </c>
      <c r="M21" s="3388" t="s">
        <v>259</v>
      </c>
      <c r="N21" s="3388" t="s">
        <v>259</v>
      </c>
      <c r="O21" s="3388" t="s">
        <v>259</v>
      </c>
      <c r="P21" s="3388" t="s">
        <v>259</v>
      </c>
      <c r="Q21" s="3388" t="s">
        <v>259</v>
      </c>
      <c r="R21" s="3388" t="s">
        <v>259</v>
      </c>
      <c r="S21" s="660"/>
      <c r="T21" s="660"/>
    </row>
    <row r="22" spans="1:20" x14ac:dyDescent="0.2">
      <c r="A22" s="3389" t="s">
        <v>1414</v>
      </c>
      <c r="B22" s="3363"/>
      <c r="C22" s="3388">
        <v>0.22106249999700001</v>
      </c>
      <c r="D22" s="3388">
        <v>0.21028042656000001</v>
      </c>
      <c r="E22" s="3388">
        <v>1.0782073437E-2</v>
      </c>
      <c r="F22" s="3388" t="s">
        <v>259</v>
      </c>
      <c r="G22" s="3388" t="s">
        <v>259</v>
      </c>
      <c r="H22" s="3388" t="s">
        <v>259</v>
      </c>
      <c r="I22" s="3388" t="s">
        <v>259</v>
      </c>
      <c r="J22" s="3388" t="s">
        <v>259</v>
      </c>
      <c r="K22" s="3388" t="s">
        <v>259</v>
      </c>
      <c r="L22" s="3388" t="s">
        <v>259</v>
      </c>
      <c r="M22" s="3388" t="s">
        <v>259</v>
      </c>
      <c r="N22" s="3388" t="s">
        <v>259</v>
      </c>
      <c r="O22" s="3388" t="s">
        <v>259</v>
      </c>
      <c r="P22" s="3388" t="s">
        <v>259</v>
      </c>
      <c r="Q22" s="3388" t="s">
        <v>259</v>
      </c>
      <c r="R22" s="3388" t="s">
        <v>259</v>
      </c>
      <c r="S22" s="660"/>
      <c r="T22" s="660"/>
    </row>
    <row r="23" spans="1:20" x14ac:dyDescent="0.2">
      <c r="A23" s="3423" t="s">
        <v>1319</v>
      </c>
      <c r="B23" s="3387" t="s">
        <v>1319</v>
      </c>
      <c r="C23" s="3388">
        <v>0.22106249999700001</v>
      </c>
      <c r="D23" s="3387">
        <v>0.21028042656000001</v>
      </c>
      <c r="E23" s="3387">
        <v>1.0782073437E-2</v>
      </c>
      <c r="F23" s="3388" t="s">
        <v>259</v>
      </c>
      <c r="G23" s="3388" t="s">
        <v>259</v>
      </c>
      <c r="H23" s="3388" t="s">
        <v>259</v>
      </c>
      <c r="I23" s="3388" t="s">
        <v>259</v>
      </c>
      <c r="J23" s="3388" t="s">
        <v>259</v>
      </c>
      <c r="K23" s="3388" t="s">
        <v>259</v>
      </c>
      <c r="L23" s="3387" t="s">
        <v>259</v>
      </c>
      <c r="M23" s="3387" t="s">
        <v>259</v>
      </c>
      <c r="N23" s="3388" t="s">
        <v>259</v>
      </c>
      <c r="O23" s="3387" t="s">
        <v>259</v>
      </c>
      <c r="P23" s="3387" t="s">
        <v>259</v>
      </c>
      <c r="Q23" s="3387" t="s">
        <v>259</v>
      </c>
      <c r="R23" s="3388" t="s">
        <v>259</v>
      </c>
    </row>
    <row r="24" spans="1:20" x14ac:dyDescent="0.2">
      <c r="A24" s="3389" t="s">
        <v>1413</v>
      </c>
      <c r="B24" s="3363"/>
      <c r="C24" s="3388">
        <v>3.2679339745</v>
      </c>
      <c r="D24" s="3388">
        <v>1.3913518812000001</v>
      </c>
      <c r="E24" s="3388">
        <v>1.8765820932999999</v>
      </c>
      <c r="F24" s="3388" t="s">
        <v>259</v>
      </c>
      <c r="G24" s="3388" t="s">
        <v>259</v>
      </c>
      <c r="H24" s="3388" t="s">
        <v>259</v>
      </c>
      <c r="I24" s="3388" t="s">
        <v>259</v>
      </c>
      <c r="J24" s="3388" t="s">
        <v>259</v>
      </c>
      <c r="K24" s="3388" t="s">
        <v>259</v>
      </c>
      <c r="L24" s="3388" t="s">
        <v>259</v>
      </c>
      <c r="M24" s="3388" t="s">
        <v>259</v>
      </c>
      <c r="N24" s="3388" t="s">
        <v>259</v>
      </c>
      <c r="O24" s="3388" t="s">
        <v>259</v>
      </c>
      <c r="P24" s="3388" t="s">
        <v>259</v>
      </c>
      <c r="Q24" s="3388" t="s">
        <v>259</v>
      </c>
      <c r="R24" s="3388" t="s">
        <v>259</v>
      </c>
    </row>
    <row r="25" spans="1:20" x14ac:dyDescent="0.2">
      <c r="A25" s="3423" t="s">
        <v>1319</v>
      </c>
      <c r="B25" s="3387" t="s">
        <v>1319</v>
      </c>
      <c r="C25" s="3388">
        <v>3.2679339745</v>
      </c>
      <c r="D25" s="3387">
        <v>1.3913518812000001</v>
      </c>
      <c r="E25" s="3387">
        <v>1.8765820932999999</v>
      </c>
      <c r="F25" s="3388" t="s">
        <v>259</v>
      </c>
      <c r="G25" s="3388" t="s">
        <v>259</v>
      </c>
      <c r="H25" s="3388" t="s">
        <v>259</v>
      </c>
      <c r="I25" s="3388" t="s">
        <v>259</v>
      </c>
      <c r="J25" s="3388" t="s">
        <v>259</v>
      </c>
      <c r="K25" s="3388" t="s">
        <v>259</v>
      </c>
      <c r="L25" s="3387" t="s">
        <v>259</v>
      </c>
      <c r="M25" s="3387" t="s">
        <v>259</v>
      </c>
      <c r="N25" s="3388" t="s">
        <v>259</v>
      </c>
      <c r="O25" s="3387" t="s">
        <v>259</v>
      </c>
      <c r="P25" s="3387" t="s">
        <v>259</v>
      </c>
      <c r="Q25" s="3387" t="s">
        <v>259</v>
      </c>
      <c r="R25" s="3388" t="s">
        <v>259</v>
      </c>
    </row>
    <row r="26" spans="1:20" x14ac:dyDescent="0.2">
      <c r="A26" s="3389" t="s">
        <v>1412</v>
      </c>
      <c r="B26" s="3363"/>
      <c r="C26" s="3388">
        <v>0.59632093133999997</v>
      </c>
      <c r="D26" s="3388">
        <v>0.11759910964</v>
      </c>
      <c r="E26" s="3388">
        <v>0.47872182169999999</v>
      </c>
      <c r="F26" s="3388" t="s">
        <v>259</v>
      </c>
      <c r="G26" s="3388" t="s">
        <v>259</v>
      </c>
      <c r="H26" s="3388" t="s">
        <v>259</v>
      </c>
      <c r="I26" s="3388" t="s">
        <v>259</v>
      </c>
      <c r="J26" s="3388" t="s">
        <v>259</v>
      </c>
      <c r="K26" s="3388" t="s">
        <v>259</v>
      </c>
      <c r="L26" s="3388" t="s">
        <v>259</v>
      </c>
      <c r="M26" s="3388" t="s">
        <v>259</v>
      </c>
      <c r="N26" s="3388" t="s">
        <v>259</v>
      </c>
      <c r="O26" s="3388" t="s">
        <v>259</v>
      </c>
      <c r="P26" s="3388" t="s">
        <v>259</v>
      </c>
      <c r="Q26" s="3388" t="s">
        <v>259</v>
      </c>
      <c r="R26" s="3388" t="s">
        <v>259</v>
      </c>
    </row>
    <row r="27" spans="1:20" x14ac:dyDescent="0.2">
      <c r="A27" s="3423" t="s">
        <v>1319</v>
      </c>
      <c r="B27" s="3387" t="s">
        <v>1319</v>
      </c>
      <c r="C27" s="3388">
        <v>0.59632093133999997</v>
      </c>
      <c r="D27" s="3387">
        <v>0.11759910964</v>
      </c>
      <c r="E27" s="3387">
        <v>0.47872182169999999</v>
      </c>
      <c r="F27" s="3388" t="s">
        <v>259</v>
      </c>
      <c r="G27" s="3388" t="s">
        <v>259</v>
      </c>
      <c r="H27" s="3388" t="s">
        <v>259</v>
      </c>
      <c r="I27" s="3388" t="s">
        <v>259</v>
      </c>
      <c r="J27" s="3388" t="s">
        <v>259</v>
      </c>
      <c r="K27" s="3388" t="s">
        <v>259</v>
      </c>
      <c r="L27" s="3387" t="s">
        <v>259</v>
      </c>
      <c r="M27" s="3387" t="s">
        <v>259</v>
      </c>
      <c r="N27" s="3388" t="s">
        <v>259</v>
      </c>
      <c r="O27" s="3387" t="s">
        <v>259</v>
      </c>
      <c r="P27" s="3387" t="s">
        <v>259</v>
      </c>
      <c r="Q27" s="3387" t="s">
        <v>259</v>
      </c>
      <c r="R27" s="3388" t="s">
        <v>259</v>
      </c>
    </row>
    <row r="28" spans="1:20" x14ac:dyDescent="0.2">
      <c r="A28" s="3424" t="s">
        <v>1411</v>
      </c>
      <c r="B28" s="3363"/>
      <c r="C28" s="3388">
        <v>10.639424999998999</v>
      </c>
      <c r="D28" s="3388">
        <v>2.7054966008800001</v>
      </c>
      <c r="E28" s="3388">
        <v>7.9339283991189999</v>
      </c>
      <c r="F28" s="3388" t="s">
        <v>259</v>
      </c>
      <c r="G28" s="3388" t="s">
        <v>259</v>
      </c>
      <c r="H28" s="3388" t="s">
        <v>259</v>
      </c>
      <c r="I28" s="3388" t="s">
        <v>259</v>
      </c>
      <c r="J28" s="3388" t="s">
        <v>259</v>
      </c>
      <c r="K28" s="3388" t="s">
        <v>259</v>
      </c>
      <c r="L28" s="3388" t="s">
        <v>259</v>
      </c>
      <c r="M28" s="3388" t="s">
        <v>259</v>
      </c>
      <c r="N28" s="3388" t="s">
        <v>259</v>
      </c>
      <c r="O28" s="3388" t="s">
        <v>259</v>
      </c>
      <c r="P28" s="3388" t="s">
        <v>259</v>
      </c>
      <c r="Q28" s="3388" t="s">
        <v>259</v>
      </c>
      <c r="R28" s="3388" t="s">
        <v>259</v>
      </c>
      <c r="S28" s="660"/>
      <c r="T28" s="660"/>
    </row>
    <row r="29" spans="1:20" x14ac:dyDescent="0.2">
      <c r="A29" s="3389" t="s">
        <v>1410</v>
      </c>
      <c r="B29" s="3363"/>
      <c r="C29" s="3388">
        <v>0.70189999999899999</v>
      </c>
      <c r="D29" s="3388">
        <v>0.66766562127999995</v>
      </c>
      <c r="E29" s="3388">
        <v>3.4234378719000001E-2</v>
      </c>
      <c r="F29" s="3388" t="s">
        <v>259</v>
      </c>
      <c r="G29" s="3388" t="s">
        <v>259</v>
      </c>
      <c r="H29" s="3388" t="s">
        <v>259</v>
      </c>
      <c r="I29" s="3388" t="s">
        <v>259</v>
      </c>
      <c r="J29" s="3388" t="s">
        <v>259</v>
      </c>
      <c r="K29" s="3388" t="s">
        <v>259</v>
      </c>
      <c r="L29" s="3388" t="s">
        <v>259</v>
      </c>
      <c r="M29" s="3388" t="s">
        <v>259</v>
      </c>
      <c r="N29" s="3388" t="s">
        <v>259</v>
      </c>
      <c r="O29" s="3388" t="s">
        <v>259</v>
      </c>
      <c r="P29" s="3388" t="s">
        <v>259</v>
      </c>
      <c r="Q29" s="3388" t="s">
        <v>259</v>
      </c>
      <c r="R29" s="3388" t="s">
        <v>259</v>
      </c>
      <c r="S29" s="660"/>
      <c r="T29" s="660"/>
    </row>
    <row r="30" spans="1:20" x14ac:dyDescent="0.2">
      <c r="A30" s="3423" t="s">
        <v>1319</v>
      </c>
      <c r="B30" s="3387" t="s">
        <v>1319</v>
      </c>
      <c r="C30" s="3388">
        <v>0.70189999999899999</v>
      </c>
      <c r="D30" s="3387">
        <v>0.66766562127999995</v>
      </c>
      <c r="E30" s="3387">
        <v>3.4234378719000001E-2</v>
      </c>
      <c r="F30" s="3388" t="s">
        <v>259</v>
      </c>
      <c r="G30" s="3388" t="s">
        <v>259</v>
      </c>
      <c r="H30" s="3388" t="s">
        <v>259</v>
      </c>
      <c r="I30" s="3388" t="s">
        <v>259</v>
      </c>
      <c r="J30" s="3388" t="s">
        <v>259</v>
      </c>
      <c r="K30" s="3388" t="s">
        <v>259</v>
      </c>
      <c r="L30" s="3387" t="s">
        <v>259</v>
      </c>
      <c r="M30" s="3387" t="s">
        <v>259</v>
      </c>
      <c r="N30" s="3388" t="s">
        <v>259</v>
      </c>
      <c r="O30" s="3387" t="s">
        <v>259</v>
      </c>
      <c r="P30" s="3387" t="s">
        <v>259</v>
      </c>
      <c r="Q30" s="3387" t="s">
        <v>259</v>
      </c>
      <c r="R30" s="3388" t="s">
        <v>259</v>
      </c>
    </row>
    <row r="31" spans="1:20" x14ac:dyDescent="0.2">
      <c r="A31" s="3389" t="s">
        <v>1409</v>
      </c>
      <c r="B31" s="3363"/>
      <c r="C31" s="3388">
        <v>5.306</v>
      </c>
      <c r="D31" s="3388" t="s">
        <v>259</v>
      </c>
      <c r="E31" s="3388">
        <v>5.306</v>
      </c>
      <c r="F31" s="3388" t="s">
        <v>259</v>
      </c>
      <c r="G31" s="3388" t="s">
        <v>259</v>
      </c>
      <c r="H31" s="3388" t="s">
        <v>259</v>
      </c>
      <c r="I31" s="3388" t="s">
        <v>259</v>
      </c>
      <c r="J31" s="3388" t="s">
        <v>259</v>
      </c>
      <c r="K31" s="3388" t="s">
        <v>259</v>
      </c>
      <c r="L31" s="3388" t="s">
        <v>259</v>
      </c>
      <c r="M31" s="3388" t="s">
        <v>259</v>
      </c>
      <c r="N31" s="3388" t="s">
        <v>259</v>
      </c>
      <c r="O31" s="3388" t="s">
        <v>259</v>
      </c>
      <c r="P31" s="3388" t="s">
        <v>259</v>
      </c>
      <c r="Q31" s="3388" t="s">
        <v>259</v>
      </c>
      <c r="R31" s="3388" t="s">
        <v>259</v>
      </c>
    </row>
    <row r="32" spans="1:20" x14ac:dyDescent="0.2">
      <c r="A32" s="3423" t="s">
        <v>1319</v>
      </c>
      <c r="B32" s="3387" t="s">
        <v>1319</v>
      </c>
      <c r="C32" s="3388">
        <v>5.306</v>
      </c>
      <c r="D32" s="3387" t="s">
        <v>259</v>
      </c>
      <c r="E32" s="3387">
        <v>5.306</v>
      </c>
      <c r="F32" s="3388" t="s">
        <v>259</v>
      </c>
      <c r="G32" s="3388" t="s">
        <v>259</v>
      </c>
      <c r="H32" s="3388" t="s">
        <v>259</v>
      </c>
      <c r="I32" s="3388" t="s">
        <v>259</v>
      </c>
      <c r="J32" s="3388" t="s">
        <v>259</v>
      </c>
      <c r="K32" s="3388" t="s">
        <v>259</v>
      </c>
      <c r="L32" s="3387" t="s">
        <v>259</v>
      </c>
      <c r="M32" s="3387" t="s">
        <v>259</v>
      </c>
      <c r="N32" s="3388" t="s">
        <v>259</v>
      </c>
      <c r="O32" s="3387" t="s">
        <v>259</v>
      </c>
      <c r="P32" s="3387" t="s">
        <v>259</v>
      </c>
      <c r="Q32" s="3387" t="s">
        <v>259</v>
      </c>
      <c r="R32" s="3388" t="s">
        <v>259</v>
      </c>
    </row>
    <row r="33" spans="1:20" x14ac:dyDescent="0.2">
      <c r="A33" s="3389" t="s">
        <v>1408</v>
      </c>
      <c r="B33" s="3363"/>
      <c r="C33" s="3388">
        <v>4.6315249999999999</v>
      </c>
      <c r="D33" s="3388">
        <v>2.0378309795999998</v>
      </c>
      <c r="E33" s="3388">
        <v>2.5936940204000001</v>
      </c>
      <c r="F33" s="3388" t="s">
        <v>259</v>
      </c>
      <c r="G33" s="3388" t="s">
        <v>259</v>
      </c>
      <c r="H33" s="3388" t="s">
        <v>259</v>
      </c>
      <c r="I33" s="3388" t="s">
        <v>259</v>
      </c>
      <c r="J33" s="3388" t="s">
        <v>259</v>
      </c>
      <c r="K33" s="3388" t="s">
        <v>259</v>
      </c>
      <c r="L33" s="3388" t="s">
        <v>259</v>
      </c>
      <c r="M33" s="3388" t="s">
        <v>259</v>
      </c>
      <c r="N33" s="3388" t="s">
        <v>259</v>
      </c>
      <c r="O33" s="3388" t="s">
        <v>259</v>
      </c>
      <c r="P33" s="3388" t="s">
        <v>259</v>
      </c>
      <c r="Q33" s="3388" t="s">
        <v>259</v>
      </c>
      <c r="R33" s="3388" t="s">
        <v>259</v>
      </c>
    </row>
    <row r="34" spans="1:20" x14ac:dyDescent="0.2">
      <c r="A34" s="3423" t="s">
        <v>1319</v>
      </c>
      <c r="B34" s="3387" t="s">
        <v>1319</v>
      </c>
      <c r="C34" s="3388">
        <v>4.6315249999999999</v>
      </c>
      <c r="D34" s="3387">
        <v>2.0378309795999998</v>
      </c>
      <c r="E34" s="3387">
        <v>2.5936940204000001</v>
      </c>
      <c r="F34" s="3388" t="s">
        <v>259</v>
      </c>
      <c r="G34" s="3388" t="s">
        <v>259</v>
      </c>
      <c r="H34" s="3388" t="s">
        <v>259</v>
      </c>
      <c r="I34" s="3388" t="s">
        <v>259</v>
      </c>
      <c r="J34" s="3388" t="s">
        <v>259</v>
      </c>
      <c r="K34" s="3388" t="s">
        <v>259</v>
      </c>
      <c r="L34" s="3387" t="s">
        <v>259</v>
      </c>
      <c r="M34" s="3387" t="s">
        <v>259</v>
      </c>
      <c r="N34" s="3388" t="s">
        <v>259</v>
      </c>
      <c r="O34" s="3387" t="s">
        <v>259</v>
      </c>
      <c r="P34" s="3387" t="s">
        <v>259</v>
      </c>
      <c r="Q34" s="3387" t="s">
        <v>259</v>
      </c>
      <c r="R34" s="3388" t="s">
        <v>259</v>
      </c>
    </row>
    <row r="35" spans="1:20" ht="12" customHeight="1" x14ac:dyDescent="0.2">
      <c r="A35" s="741" t="s">
        <v>564</v>
      </c>
      <c r="B35" s="660"/>
      <c r="C35" s="660"/>
      <c r="D35" s="660"/>
      <c r="E35" s="660"/>
      <c r="F35" s="660"/>
      <c r="G35" s="660"/>
      <c r="H35" s="660"/>
      <c r="I35" s="660"/>
      <c r="J35" s="660"/>
      <c r="K35" s="660"/>
      <c r="L35" s="660"/>
      <c r="M35" s="660"/>
      <c r="N35" s="660"/>
      <c r="O35" s="660"/>
      <c r="P35" s="660"/>
      <c r="Q35" s="660"/>
      <c r="R35" s="660"/>
      <c r="S35" s="660"/>
      <c r="T35" s="660"/>
    </row>
    <row r="36" spans="1:20" ht="13.5" x14ac:dyDescent="0.2">
      <c r="A36" s="5558" t="s">
        <v>1407</v>
      </c>
      <c r="B36" s="5558"/>
      <c r="C36" s="5558"/>
      <c r="D36" s="5558"/>
      <c r="E36" s="5558"/>
      <c r="F36" s="5558"/>
      <c r="G36" s="5558"/>
      <c r="H36" s="5558"/>
      <c r="I36" s="5558"/>
      <c r="J36" s="5558"/>
      <c r="K36" s="5558"/>
      <c r="L36" s="5558"/>
      <c r="M36" s="5558"/>
      <c r="N36" s="5558"/>
      <c r="O36" s="5558"/>
      <c r="P36" s="5558"/>
      <c r="Q36" s="5558"/>
      <c r="R36" s="5558"/>
      <c r="S36" s="660"/>
      <c r="T36" s="660"/>
    </row>
    <row r="37" spans="1:20" ht="12" customHeight="1" x14ac:dyDescent="0.2">
      <c r="A37" s="738" t="s">
        <v>1406</v>
      </c>
      <c r="B37" s="660"/>
      <c r="C37" s="660"/>
      <c r="D37" s="660"/>
      <c r="E37" s="660"/>
      <c r="F37" s="660"/>
      <c r="G37" s="660"/>
      <c r="H37" s="660"/>
      <c r="I37" s="660"/>
      <c r="J37" s="660"/>
      <c r="K37" s="660"/>
      <c r="L37" s="660"/>
      <c r="M37" s="660"/>
      <c r="N37" s="660"/>
      <c r="O37" s="660"/>
      <c r="P37" s="660"/>
      <c r="Q37" s="660"/>
      <c r="R37" s="660"/>
      <c r="S37" s="660"/>
      <c r="T37" s="660"/>
    </row>
    <row r="38" spans="1:20" ht="12" customHeight="1" x14ac:dyDescent="0.2">
      <c r="A38" s="740" t="s">
        <v>1316</v>
      </c>
      <c r="B38" s="660"/>
      <c r="C38" s="660"/>
      <c r="D38" s="660"/>
      <c r="E38" s="660"/>
      <c r="F38" s="660"/>
      <c r="G38" s="660"/>
      <c r="H38" s="660"/>
      <c r="I38" s="660"/>
      <c r="J38" s="660"/>
      <c r="K38" s="660"/>
      <c r="L38" s="660"/>
      <c r="M38" s="660"/>
      <c r="N38" s="660"/>
      <c r="O38" s="660"/>
      <c r="P38" s="660"/>
      <c r="Q38" s="660"/>
      <c r="R38" s="660"/>
      <c r="S38" s="660"/>
      <c r="T38" s="660"/>
    </row>
    <row r="39" spans="1:20" ht="12" customHeight="1" x14ac:dyDescent="0.2">
      <c r="A39" s="740" t="s">
        <v>1405</v>
      </c>
      <c r="B39" s="660"/>
      <c r="C39" s="660"/>
      <c r="D39" s="660"/>
      <c r="E39" s="660"/>
      <c r="F39" s="660"/>
      <c r="G39" s="660"/>
      <c r="H39" s="660"/>
      <c r="I39" s="660"/>
      <c r="J39" s="660"/>
      <c r="K39" s="660"/>
      <c r="L39" s="660"/>
      <c r="M39" s="660"/>
      <c r="N39" s="660"/>
      <c r="O39" s="660"/>
      <c r="P39" s="660"/>
      <c r="Q39" s="660"/>
      <c r="R39" s="660"/>
      <c r="S39" s="660"/>
      <c r="T39" s="660"/>
    </row>
    <row r="40" spans="1:20" x14ac:dyDescent="0.2">
      <c r="A40" s="5575" t="s">
        <v>1404</v>
      </c>
      <c r="B40" s="5575"/>
      <c r="C40" s="5575"/>
      <c r="D40" s="5575"/>
      <c r="E40" s="5575"/>
      <c r="F40" s="5575"/>
      <c r="G40" s="5575"/>
      <c r="H40" s="5575"/>
      <c r="I40" s="5575"/>
      <c r="J40" s="5575"/>
      <c r="K40" s="5575"/>
      <c r="L40" s="5575"/>
      <c r="M40" s="5575"/>
      <c r="N40" s="5575"/>
      <c r="O40" s="5575"/>
      <c r="P40" s="3315"/>
      <c r="Q40" s="660"/>
      <c r="R40" s="660"/>
      <c r="S40" s="660"/>
      <c r="T40" s="660"/>
    </row>
    <row r="41" spans="1:20" ht="12" customHeight="1" x14ac:dyDescent="0.2">
      <c r="A41" s="739" t="s">
        <v>1403</v>
      </c>
      <c r="B41" s="660"/>
      <c r="C41" s="660"/>
      <c r="D41" s="660"/>
      <c r="E41" s="660"/>
      <c r="F41" s="660"/>
      <c r="G41" s="660"/>
      <c r="H41" s="660"/>
      <c r="I41" s="660"/>
      <c r="J41" s="660"/>
      <c r="K41" s="660"/>
      <c r="L41" s="660"/>
      <c r="M41" s="660"/>
      <c r="N41" s="660"/>
      <c r="O41" s="660"/>
      <c r="P41" s="660"/>
      <c r="Q41" s="660"/>
      <c r="R41" s="660"/>
      <c r="S41" s="660"/>
      <c r="T41" s="660"/>
    </row>
    <row r="42" spans="1:20" ht="12" customHeight="1" x14ac:dyDescent="0.2">
      <c r="A42" s="738" t="s">
        <v>1402</v>
      </c>
      <c r="B42" s="660"/>
      <c r="C42" s="660"/>
      <c r="D42" s="660"/>
      <c r="E42" s="660"/>
      <c r="F42" s="660"/>
      <c r="G42" s="660"/>
      <c r="H42" s="660"/>
      <c r="I42" s="660"/>
      <c r="J42" s="660"/>
      <c r="K42" s="660"/>
      <c r="L42" s="660"/>
      <c r="M42" s="660"/>
      <c r="N42" s="660"/>
      <c r="O42" s="660"/>
      <c r="P42" s="660"/>
      <c r="Q42" s="660"/>
      <c r="R42" s="660"/>
      <c r="S42" s="660"/>
      <c r="T42" s="660"/>
    </row>
    <row r="43" spans="1:20" ht="13.5" x14ac:dyDescent="0.2">
      <c r="A43" s="5576" t="s">
        <v>1401</v>
      </c>
      <c r="B43" s="5576"/>
      <c r="C43" s="5576"/>
      <c r="D43" s="5576"/>
      <c r="E43" s="5576"/>
      <c r="F43" s="5576"/>
      <c r="G43" s="5576"/>
      <c r="H43" s="5576"/>
      <c r="I43" s="5576"/>
      <c r="J43" s="5576"/>
      <c r="K43" s="5576"/>
      <c r="L43" s="5513"/>
      <c r="M43" s="5513"/>
      <c r="N43" s="5513"/>
      <c r="O43" s="5513"/>
      <c r="P43" s="735"/>
      <c r="Q43" s="660"/>
      <c r="R43" s="660"/>
      <c r="S43" s="660"/>
      <c r="T43" s="660"/>
    </row>
    <row r="44" spans="1:20" ht="13.5" customHeight="1" x14ac:dyDescent="0.2">
      <c r="A44" s="660"/>
      <c r="B44" s="660"/>
      <c r="C44" s="660"/>
      <c r="D44" s="660"/>
      <c r="E44" s="660"/>
      <c r="F44" s="660"/>
      <c r="G44" s="660"/>
      <c r="H44" s="660"/>
      <c r="I44" s="660"/>
      <c r="J44" s="660"/>
      <c r="K44" s="660"/>
      <c r="L44" s="660"/>
      <c r="M44" s="660"/>
      <c r="N44" s="660"/>
      <c r="O44" s="660"/>
      <c r="P44" s="660"/>
      <c r="Q44" s="660"/>
      <c r="R44" s="660"/>
      <c r="S44" s="660"/>
      <c r="T44" s="660"/>
    </row>
    <row r="45" spans="1:20" ht="16.5" customHeight="1" x14ac:dyDescent="0.2">
      <c r="A45" s="5572" t="s">
        <v>982</v>
      </c>
      <c r="B45" s="5573"/>
      <c r="C45" s="5573"/>
      <c r="D45" s="5573"/>
      <c r="E45" s="5573"/>
      <c r="F45" s="5573"/>
      <c r="G45" s="5573"/>
      <c r="H45" s="5573"/>
      <c r="I45" s="5573"/>
      <c r="J45" s="5573"/>
      <c r="K45" s="5573"/>
      <c r="L45" s="5573"/>
      <c r="M45" s="5573"/>
      <c r="N45" s="5573"/>
      <c r="O45" s="5574"/>
      <c r="P45" s="731"/>
      <c r="Q45" s="660"/>
      <c r="R45" s="660"/>
      <c r="S45" s="660"/>
      <c r="T45" s="660"/>
    </row>
    <row r="46" spans="1:20" ht="18.75" customHeight="1" x14ac:dyDescent="0.2">
      <c r="A46" s="5569" t="s">
        <v>1310</v>
      </c>
      <c r="B46" s="5570"/>
      <c r="C46" s="5570"/>
      <c r="D46" s="5570"/>
      <c r="E46" s="5570"/>
      <c r="F46" s="5570"/>
      <c r="G46" s="5570"/>
      <c r="H46" s="5570"/>
      <c r="I46" s="5570"/>
      <c r="J46" s="5570"/>
      <c r="K46" s="5570"/>
      <c r="L46" s="5570"/>
      <c r="M46" s="5570"/>
      <c r="N46" s="5570"/>
      <c r="O46" s="5571"/>
      <c r="P46" s="3298"/>
      <c r="Q46" s="3298"/>
      <c r="R46" s="3298"/>
      <c r="S46" s="660"/>
      <c r="T46" s="660"/>
    </row>
    <row r="47" spans="1:20" ht="12" customHeight="1" x14ac:dyDescent="0.2">
      <c r="A47" s="3412" t="s">
        <v>980</v>
      </c>
      <c r="B47" s="5473" t="s">
        <v>986</v>
      </c>
      <c r="C47" s="5527"/>
      <c r="D47" s="5527"/>
      <c r="E47" s="5527"/>
      <c r="F47" s="5527"/>
      <c r="G47" s="5527"/>
      <c r="H47" s="5527"/>
      <c r="I47" s="5527"/>
      <c r="J47" s="5527"/>
      <c r="K47" s="5527"/>
      <c r="L47" s="5527"/>
      <c r="M47" s="5527"/>
      <c r="N47" s="5527"/>
      <c r="O47" s="5527"/>
      <c r="P47" s="3315"/>
      <c r="Q47" s="3315"/>
      <c r="R47" s="3315"/>
    </row>
    <row r="48" spans="1:20" ht="12" customHeight="1" x14ac:dyDescent="0.2">
      <c r="A48" s="3412" t="s">
        <v>980</v>
      </c>
      <c r="B48" s="5473" t="s">
        <v>986</v>
      </c>
      <c r="C48" s="5527"/>
      <c r="D48" s="5527"/>
      <c r="E48" s="5527"/>
      <c r="F48" s="5527"/>
      <c r="G48" s="5527"/>
      <c r="H48" s="5527"/>
      <c r="I48" s="5527"/>
      <c r="J48" s="5527"/>
      <c r="K48" s="5527"/>
      <c r="L48" s="5527"/>
      <c r="M48" s="5527"/>
      <c r="N48" s="5527"/>
      <c r="O48" s="5527"/>
      <c r="P48" s="3315"/>
      <c r="Q48" s="3315"/>
      <c r="R48" s="3315"/>
    </row>
  </sheetData>
  <sheetProtection password="A754" sheet="1" objects="1" scenarios="1"/>
  <mergeCells count="25">
    <mergeCell ref="A36:R36"/>
    <mergeCell ref="B48:O48"/>
    <mergeCell ref="B47:O47"/>
    <mergeCell ref="A46:O46"/>
    <mergeCell ref="A45:O45"/>
    <mergeCell ref="A40:O40"/>
    <mergeCell ref="A43:O43"/>
    <mergeCell ref="A5:B5"/>
    <mergeCell ref="F5:K5"/>
    <mergeCell ref="A6:A9"/>
    <mergeCell ref="B6:B9"/>
    <mergeCell ref="C6:C9"/>
    <mergeCell ref="F6:H7"/>
    <mergeCell ref="C5:E5"/>
    <mergeCell ref="D6:D9"/>
    <mergeCell ref="E6:E9"/>
    <mergeCell ref="J6:K7"/>
    <mergeCell ref="L5:Q5"/>
    <mergeCell ref="R5:R8"/>
    <mergeCell ref="F9:K9"/>
    <mergeCell ref="L9:Q9"/>
    <mergeCell ref="I6:I8"/>
    <mergeCell ref="P6:Q7"/>
    <mergeCell ref="L6:N7"/>
    <mergeCell ref="O6:O8"/>
  </mergeCells>
  <printOptions horizontalCentered="1" verticalCentered="1"/>
  <pageMargins left="0.39370078740157483" right="0.39370078740157483" top="0.39370078740157483" bottom="0.39370078740157483" header="0.19685039370078741" footer="0.19685039370078741"/>
  <pageSetup paperSize="9" scale="26"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4EF21-2D3F-4A00-86E2-B67688DBF173}">
  <sheetPr codeName="Ark27">
    <tabColor theme="0" tint="-0.14999847407452621"/>
    <pageSetUpPr fitToPage="1"/>
  </sheetPr>
  <dimension ref="A1:AH34"/>
  <sheetViews>
    <sheetView showGridLines="0" workbookViewId="0"/>
  </sheetViews>
  <sheetFormatPr defaultColWidth="8" defaultRowHeight="12" customHeight="1" x14ac:dyDescent="0.2"/>
  <cols>
    <col min="1" max="1" width="27" style="659" customWidth="1"/>
    <col min="2" max="2" width="13.85546875" style="659" customWidth="1"/>
    <col min="3" max="5" width="11" style="659" customWidth="1"/>
    <col min="6" max="9" width="8" style="659" customWidth="1"/>
    <col min="10" max="10" width="8.5703125" style="659" customWidth="1"/>
    <col min="11" max="11" width="9.28515625" style="659" customWidth="1"/>
    <col min="12" max="17" width="10.5703125" style="659" customWidth="1"/>
    <col min="18" max="18" width="12.42578125" style="659" customWidth="1"/>
    <col min="19" max="19" width="1.28515625" style="659" customWidth="1"/>
    <col min="20" max="24" width="13.7109375" style="659" customWidth="1"/>
    <col min="25" max="16384" width="8" style="659"/>
  </cols>
  <sheetData>
    <row r="1" spans="1:34" ht="15.75" x14ac:dyDescent="0.25">
      <c r="A1" s="671" t="s">
        <v>1447</v>
      </c>
      <c r="B1" s="660"/>
      <c r="C1" s="660"/>
      <c r="D1" s="660"/>
      <c r="E1" s="660"/>
      <c r="F1" s="660"/>
      <c r="G1" s="660"/>
      <c r="H1" s="660"/>
      <c r="I1" s="660"/>
      <c r="J1" s="660"/>
      <c r="K1" s="660"/>
      <c r="L1" s="660"/>
      <c r="M1" s="660"/>
      <c r="N1" s="660"/>
      <c r="O1" s="660"/>
      <c r="P1" s="660"/>
      <c r="Q1" s="660"/>
      <c r="R1" s="668" t="s">
        <v>1028</v>
      </c>
      <c r="S1" s="660"/>
      <c r="T1" s="660"/>
      <c r="U1" s="660"/>
      <c r="V1" s="660"/>
      <c r="W1" s="660"/>
      <c r="X1" s="660"/>
      <c r="Y1" s="660"/>
      <c r="Z1" s="660"/>
      <c r="AA1" s="660"/>
      <c r="AB1" s="660"/>
      <c r="AC1" s="660"/>
      <c r="AD1" s="660"/>
      <c r="AE1" s="660"/>
      <c r="AF1" s="660"/>
      <c r="AG1" s="660"/>
      <c r="AH1" s="660"/>
    </row>
    <row r="2" spans="1:34" ht="15.75" x14ac:dyDescent="0.25">
      <c r="A2" s="671" t="s">
        <v>1446</v>
      </c>
      <c r="B2" s="660"/>
      <c r="C2" s="660"/>
      <c r="D2" s="660"/>
      <c r="E2" s="660"/>
      <c r="F2" s="660"/>
      <c r="G2" s="660"/>
      <c r="H2" s="660"/>
      <c r="I2" s="660"/>
      <c r="J2" s="660"/>
      <c r="K2" s="660"/>
      <c r="L2" s="660"/>
      <c r="M2" s="660"/>
      <c r="N2" s="660"/>
      <c r="O2" s="660"/>
      <c r="P2" s="660"/>
      <c r="Q2" s="660"/>
      <c r="R2" s="668" t="s">
        <v>5183</v>
      </c>
      <c r="S2" s="660"/>
      <c r="T2" s="660"/>
      <c r="U2" s="660"/>
      <c r="V2" s="660"/>
      <c r="W2" s="660"/>
      <c r="X2" s="660"/>
      <c r="Y2" s="660"/>
      <c r="Z2" s="660"/>
      <c r="AA2" s="660"/>
      <c r="AB2" s="660"/>
      <c r="AC2" s="660"/>
      <c r="AD2" s="660"/>
      <c r="AE2" s="660"/>
      <c r="AF2" s="660"/>
      <c r="AG2" s="660"/>
      <c r="AH2" s="660"/>
    </row>
    <row r="3" spans="1:34" ht="15.75" x14ac:dyDescent="0.25">
      <c r="A3" s="671" t="s">
        <v>1197</v>
      </c>
      <c r="B3" s="660"/>
      <c r="C3" s="660"/>
      <c r="D3" s="660"/>
      <c r="E3" s="660"/>
      <c r="F3" s="660"/>
      <c r="G3" s="660"/>
      <c r="H3" s="660"/>
      <c r="I3" s="660"/>
      <c r="J3" s="660"/>
      <c r="K3" s="660"/>
      <c r="L3" s="660"/>
      <c r="M3" s="660"/>
      <c r="N3" s="660"/>
      <c r="O3" s="660"/>
      <c r="P3" s="660"/>
      <c r="Q3" s="660"/>
      <c r="R3" s="668" t="s">
        <v>1789</v>
      </c>
      <c r="S3" s="660"/>
      <c r="T3" s="660"/>
      <c r="U3" s="660"/>
      <c r="V3" s="660"/>
      <c r="W3" s="660"/>
      <c r="X3" s="660"/>
      <c r="Y3" s="660"/>
      <c r="Z3" s="660"/>
      <c r="AA3" s="660"/>
      <c r="AB3" s="660"/>
      <c r="AC3" s="660"/>
      <c r="AD3" s="660"/>
      <c r="AE3" s="660"/>
      <c r="AF3" s="660"/>
      <c r="AG3" s="660"/>
      <c r="AH3" s="660"/>
    </row>
    <row r="4" spans="1:34" ht="12" customHeight="1" x14ac:dyDescent="0.2">
      <c r="A4" s="660"/>
      <c r="B4" s="660"/>
      <c r="C4" s="660"/>
      <c r="D4" s="660"/>
      <c r="E4" s="660"/>
      <c r="F4" s="660"/>
      <c r="G4" s="660"/>
      <c r="H4" s="660"/>
      <c r="I4" s="660"/>
      <c r="J4" s="660"/>
      <c r="K4" s="660"/>
      <c r="L4" s="660"/>
      <c r="M4" s="660"/>
      <c r="N4" s="660"/>
      <c r="O4" s="660"/>
      <c r="P4" s="660"/>
      <c r="Q4" s="660"/>
      <c r="R4" s="3315"/>
      <c r="S4" s="660"/>
      <c r="T4" s="660"/>
      <c r="U4" s="660"/>
      <c r="V4" s="660"/>
      <c r="W4" s="660"/>
      <c r="X4" s="660"/>
      <c r="Y4" s="660"/>
      <c r="Z4" s="660"/>
      <c r="AA4" s="660"/>
      <c r="AB4" s="660"/>
      <c r="AC4" s="660"/>
      <c r="AD4" s="660"/>
      <c r="AE4" s="660"/>
      <c r="AF4" s="660"/>
      <c r="AG4" s="660"/>
      <c r="AH4" s="660"/>
    </row>
    <row r="5" spans="1:34" ht="48" customHeight="1" x14ac:dyDescent="0.2">
      <c r="A5" s="5534" t="s">
        <v>1025</v>
      </c>
      <c r="B5" s="5535"/>
      <c r="C5" s="5528" t="s">
        <v>1083</v>
      </c>
      <c r="D5" s="5529"/>
      <c r="E5" s="5530"/>
      <c r="F5" s="5528" t="s">
        <v>1351</v>
      </c>
      <c r="G5" s="5529"/>
      <c r="H5" s="5529"/>
      <c r="I5" s="5529"/>
      <c r="J5" s="5529"/>
      <c r="K5" s="5530"/>
      <c r="L5" s="5528" t="s">
        <v>1350</v>
      </c>
      <c r="M5" s="5529"/>
      <c r="N5" s="5529"/>
      <c r="O5" s="5529"/>
      <c r="P5" s="5529"/>
      <c r="Q5" s="5530"/>
      <c r="R5" s="5531" t="s">
        <v>1445</v>
      </c>
      <c r="S5" s="660"/>
      <c r="T5" s="660"/>
      <c r="U5" s="660"/>
      <c r="V5" s="660"/>
      <c r="W5" s="660"/>
      <c r="X5" s="660"/>
      <c r="Y5" s="660"/>
      <c r="Z5" s="660"/>
      <c r="AA5" s="660"/>
      <c r="AB5" s="660"/>
      <c r="AC5" s="660"/>
      <c r="AD5" s="660"/>
      <c r="AE5" s="660"/>
      <c r="AF5" s="660"/>
      <c r="AG5" s="660"/>
      <c r="AH5" s="660"/>
    </row>
    <row r="6" spans="1:34" ht="47.25" customHeight="1" x14ac:dyDescent="0.2">
      <c r="A6" s="5519" t="s">
        <v>1348</v>
      </c>
      <c r="B6" s="5531" t="s">
        <v>1347</v>
      </c>
      <c r="C6" s="5531" t="s">
        <v>1346</v>
      </c>
      <c r="D6" s="5531" t="s">
        <v>1427</v>
      </c>
      <c r="E6" s="5531" t="s">
        <v>1426</v>
      </c>
      <c r="F6" s="5537" t="s">
        <v>1343</v>
      </c>
      <c r="G6" s="5544"/>
      <c r="H6" s="5538"/>
      <c r="I6" s="5531" t="s">
        <v>1375</v>
      </c>
      <c r="J6" s="5537" t="s">
        <v>1340</v>
      </c>
      <c r="K6" s="5538"/>
      <c r="L6" s="5537" t="s">
        <v>1397</v>
      </c>
      <c r="M6" s="5544"/>
      <c r="N6" s="5538"/>
      <c r="O6" s="5531" t="s">
        <v>1425</v>
      </c>
      <c r="P6" s="5537" t="s">
        <v>1424</v>
      </c>
      <c r="Q6" s="5538"/>
      <c r="R6" s="5532"/>
      <c r="S6" s="660"/>
      <c r="T6" s="660"/>
      <c r="U6" s="660"/>
      <c r="V6" s="660"/>
      <c r="W6" s="660"/>
      <c r="X6" s="660"/>
      <c r="Y6" s="660"/>
      <c r="Z6" s="660"/>
      <c r="AA6" s="660"/>
      <c r="AB6" s="660"/>
      <c r="AC6" s="660"/>
      <c r="AD6" s="660"/>
      <c r="AE6" s="660"/>
      <c r="AF6" s="660"/>
      <c r="AG6" s="660"/>
      <c r="AH6" s="660"/>
    </row>
    <row r="7" spans="1:34" ht="12.75" customHeight="1" x14ac:dyDescent="0.2">
      <c r="A7" s="5520"/>
      <c r="B7" s="5532"/>
      <c r="C7" s="5532"/>
      <c r="D7" s="5532"/>
      <c r="E7" s="5532"/>
      <c r="F7" s="5539"/>
      <c r="G7" s="5545"/>
      <c r="H7" s="5540"/>
      <c r="I7" s="5532"/>
      <c r="J7" s="5539"/>
      <c r="K7" s="5540"/>
      <c r="L7" s="5539"/>
      <c r="M7" s="5545"/>
      <c r="N7" s="5540"/>
      <c r="O7" s="5532"/>
      <c r="P7" s="5539"/>
      <c r="Q7" s="5540"/>
      <c r="R7" s="5532"/>
      <c r="S7" s="660"/>
      <c r="T7" s="660"/>
      <c r="U7" s="660"/>
      <c r="V7" s="660"/>
      <c r="W7" s="660"/>
      <c r="X7" s="660"/>
      <c r="Y7" s="660"/>
      <c r="Z7" s="660"/>
      <c r="AA7" s="660"/>
      <c r="AB7" s="660"/>
      <c r="AC7" s="660"/>
      <c r="AD7" s="660"/>
      <c r="AE7" s="660"/>
      <c r="AF7" s="660"/>
      <c r="AG7" s="660"/>
      <c r="AH7" s="660"/>
    </row>
    <row r="8" spans="1:34" ht="53.25" customHeight="1" x14ac:dyDescent="0.2">
      <c r="A8" s="5520"/>
      <c r="B8" s="5532"/>
      <c r="C8" s="5532"/>
      <c r="D8" s="5532"/>
      <c r="E8" s="5532"/>
      <c r="F8" s="3411" t="s">
        <v>1334</v>
      </c>
      <c r="G8" s="3411" t="s">
        <v>1333</v>
      </c>
      <c r="H8" s="3411" t="s">
        <v>1332</v>
      </c>
      <c r="I8" s="5533"/>
      <c r="J8" s="3411" t="s">
        <v>1331</v>
      </c>
      <c r="K8" s="3310" t="s">
        <v>1330</v>
      </c>
      <c r="L8" s="3411" t="s">
        <v>1334</v>
      </c>
      <c r="M8" s="3411" t="s">
        <v>1333</v>
      </c>
      <c r="N8" s="3411" t="s">
        <v>1332</v>
      </c>
      <c r="O8" s="5533"/>
      <c r="P8" s="3311" t="s">
        <v>1331</v>
      </c>
      <c r="Q8" s="3310" t="s">
        <v>1330</v>
      </c>
      <c r="R8" s="5533"/>
      <c r="S8" s="660"/>
      <c r="T8" s="660"/>
      <c r="U8" s="660"/>
      <c r="V8" s="660"/>
      <c r="W8" s="660"/>
      <c r="X8" s="660"/>
      <c r="Y8" s="660"/>
      <c r="Z8" s="660"/>
      <c r="AA8" s="660"/>
      <c r="AB8" s="660"/>
      <c r="AC8" s="660"/>
      <c r="AD8" s="660"/>
      <c r="AE8" s="660"/>
      <c r="AF8" s="660"/>
      <c r="AG8" s="660"/>
      <c r="AH8" s="660"/>
    </row>
    <row r="9" spans="1:34" ht="12.75" thickBot="1" x14ac:dyDescent="0.25">
      <c r="A9" s="5556"/>
      <c r="B9" s="5541"/>
      <c r="C9" s="5541"/>
      <c r="D9" s="5541"/>
      <c r="E9" s="5541"/>
      <c r="F9" s="5546" t="s">
        <v>1329</v>
      </c>
      <c r="G9" s="5547"/>
      <c r="H9" s="5547"/>
      <c r="I9" s="5547"/>
      <c r="J9" s="5547"/>
      <c r="K9" s="5548"/>
      <c r="L9" s="5546" t="s">
        <v>1328</v>
      </c>
      <c r="M9" s="5547"/>
      <c r="N9" s="5547"/>
      <c r="O9" s="5547"/>
      <c r="P9" s="5547"/>
      <c r="Q9" s="5548"/>
      <c r="R9" s="734" t="s">
        <v>1011</v>
      </c>
      <c r="S9" s="660"/>
      <c r="T9" s="660"/>
      <c r="U9" s="660"/>
      <c r="V9" s="660"/>
      <c r="W9" s="660"/>
      <c r="X9" s="660"/>
      <c r="Y9" s="660"/>
      <c r="Z9" s="660"/>
      <c r="AA9" s="660"/>
      <c r="AB9" s="660"/>
      <c r="AC9" s="660"/>
      <c r="AD9" s="660"/>
      <c r="AE9" s="660"/>
      <c r="AF9" s="660"/>
      <c r="AG9" s="660"/>
      <c r="AH9" s="660"/>
    </row>
    <row r="10" spans="1:34" ht="12.75" thickTop="1" x14ac:dyDescent="0.2">
      <c r="A10" s="733" t="s">
        <v>1444</v>
      </c>
      <c r="B10" s="3363" t="s">
        <v>986</v>
      </c>
      <c r="C10" s="3388">
        <v>529.57081249999999</v>
      </c>
      <c r="D10" s="3388">
        <v>529.57081249999999</v>
      </c>
      <c r="E10" s="3388" t="s">
        <v>259</v>
      </c>
      <c r="F10" s="3388">
        <v>6.2047179006900002E-3</v>
      </c>
      <c r="G10" s="3388">
        <v>-2.0383534684509999E-2</v>
      </c>
      <c r="H10" s="3388">
        <v>-1.417881678383E-2</v>
      </c>
      <c r="I10" s="3388">
        <v>-7.2875202178899999E-3</v>
      </c>
      <c r="J10" s="3388">
        <v>-7.1093389623260006E-2</v>
      </c>
      <c r="K10" s="3388" t="s">
        <v>259</v>
      </c>
      <c r="L10" s="3388">
        <v>3.2858375</v>
      </c>
      <c r="M10" s="3388">
        <v>-10.7945250245</v>
      </c>
      <c r="N10" s="3388">
        <v>-7.5086875245</v>
      </c>
      <c r="O10" s="3388">
        <v>-3.8592580028999999</v>
      </c>
      <c r="P10" s="3388">
        <v>-37.648984106169031</v>
      </c>
      <c r="Q10" s="3388" t="s">
        <v>259</v>
      </c>
      <c r="R10" s="3388">
        <v>179.72874198975327</v>
      </c>
      <c r="S10" s="660"/>
      <c r="T10" s="660"/>
      <c r="U10" s="660"/>
      <c r="V10" s="660"/>
      <c r="W10" s="660"/>
      <c r="X10" s="660"/>
      <c r="Y10" s="660"/>
      <c r="Z10" s="660"/>
      <c r="AA10" s="660"/>
      <c r="AB10" s="660"/>
      <c r="AC10" s="660"/>
      <c r="AD10" s="660"/>
      <c r="AE10" s="660"/>
      <c r="AF10" s="660"/>
      <c r="AG10" s="660"/>
      <c r="AH10" s="660"/>
    </row>
    <row r="11" spans="1:34" x14ac:dyDescent="0.2">
      <c r="A11" s="3418" t="s">
        <v>1443</v>
      </c>
      <c r="B11" s="3363"/>
      <c r="C11" s="3388">
        <v>494.32661250000001</v>
      </c>
      <c r="D11" s="3388">
        <v>494.32661250000001</v>
      </c>
      <c r="E11" s="3388" t="s">
        <v>259</v>
      </c>
      <c r="F11" s="3388" t="s">
        <v>259</v>
      </c>
      <c r="G11" s="3388" t="s">
        <v>259</v>
      </c>
      <c r="H11" s="3388" t="s">
        <v>259</v>
      </c>
      <c r="I11" s="3388" t="s">
        <v>259</v>
      </c>
      <c r="J11" s="3388" t="s">
        <v>259</v>
      </c>
      <c r="K11" s="3388" t="s">
        <v>259</v>
      </c>
      <c r="L11" s="3388" t="s">
        <v>259</v>
      </c>
      <c r="M11" s="3388" t="s">
        <v>259</v>
      </c>
      <c r="N11" s="3388" t="s">
        <v>259</v>
      </c>
      <c r="O11" s="3388" t="s">
        <v>259</v>
      </c>
      <c r="P11" s="3388" t="s">
        <v>259</v>
      </c>
      <c r="Q11" s="3388" t="s">
        <v>259</v>
      </c>
      <c r="R11" s="3388" t="s">
        <v>259</v>
      </c>
      <c r="S11" s="660"/>
      <c r="T11" s="660"/>
      <c r="U11" s="660"/>
      <c r="V11" s="660"/>
      <c r="W11" s="660"/>
      <c r="X11" s="660"/>
      <c r="Y11" s="660"/>
      <c r="Z11" s="660"/>
      <c r="AA11" s="660"/>
      <c r="AB11" s="660"/>
      <c r="AC11" s="660"/>
      <c r="AD11" s="660"/>
      <c r="AE11" s="660"/>
      <c r="AF11" s="660"/>
      <c r="AG11" s="660"/>
      <c r="AH11" s="660"/>
    </row>
    <row r="12" spans="1:34" x14ac:dyDescent="0.2">
      <c r="A12" s="3390" t="s">
        <v>1319</v>
      </c>
      <c r="B12" s="3387" t="s">
        <v>1319</v>
      </c>
      <c r="C12" s="3388">
        <v>494.32661250000001</v>
      </c>
      <c r="D12" s="3387">
        <v>494.32661250000001</v>
      </c>
      <c r="E12" s="3387" t="s">
        <v>259</v>
      </c>
      <c r="F12" s="3388" t="s">
        <v>259</v>
      </c>
      <c r="G12" s="3388" t="s">
        <v>259</v>
      </c>
      <c r="H12" s="3388" t="s">
        <v>259</v>
      </c>
      <c r="I12" s="3388" t="s">
        <v>259</v>
      </c>
      <c r="J12" s="3388" t="s">
        <v>259</v>
      </c>
      <c r="K12" s="3388" t="s">
        <v>259</v>
      </c>
      <c r="L12" s="3387" t="s">
        <v>259</v>
      </c>
      <c r="M12" s="3387" t="s">
        <v>259</v>
      </c>
      <c r="N12" s="3388" t="s">
        <v>259</v>
      </c>
      <c r="O12" s="3387" t="s">
        <v>259</v>
      </c>
      <c r="P12" s="3387" t="s">
        <v>259</v>
      </c>
      <c r="Q12" s="3387" t="s">
        <v>259</v>
      </c>
      <c r="R12" s="3388" t="s">
        <v>259</v>
      </c>
      <c r="S12" s="660"/>
      <c r="T12" s="660"/>
      <c r="U12" s="660"/>
      <c r="V12" s="660"/>
      <c r="W12" s="660"/>
      <c r="X12" s="660"/>
      <c r="Y12" s="660"/>
      <c r="Z12" s="660"/>
      <c r="AA12" s="660"/>
      <c r="AB12" s="660"/>
      <c r="AC12" s="660"/>
      <c r="AD12" s="660"/>
      <c r="AE12" s="660"/>
      <c r="AF12" s="660"/>
      <c r="AG12" s="660"/>
      <c r="AH12" s="660"/>
    </row>
    <row r="13" spans="1:34" x14ac:dyDescent="0.2">
      <c r="A13" s="748" t="s">
        <v>1442</v>
      </c>
      <c r="B13" s="3363" t="s">
        <v>986</v>
      </c>
      <c r="C13" s="3388">
        <v>35.244199999999999</v>
      </c>
      <c r="D13" s="3388">
        <v>35.244199999999999</v>
      </c>
      <c r="E13" s="3388" t="s">
        <v>259</v>
      </c>
      <c r="F13" s="3388">
        <v>9.3230588295380001E-2</v>
      </c>
      <c r="G13" s="3388">
        <v>-0.30627805495656002</v>
      </c>
      <c r="H13" s="3388">
        <v>-0.21304746666117999</v>
      </c>
      <c r="I13" s="3388">
        <v>-0.10950051364196001</v>
      </c>
      <c r="J13" s="3388">
        <v>-1.0682320525411</v>
      </c>
      <c r="K13" s="3388" t="s">
        <v>259</v>
      </c>
      <c r="L13" s="3388">
        <v>3.2858375</v>
      </c>
      <c r="M13" s="3388">
        <v>-10.7945250245</v>
      </c>
      <c r="N13" s="3388">
        <v>-7.5086875245</v>
      </c>
      <c r="O13" s="3388">
        <v>-3.8592580028999999</v>
      </c>
      <c r="P13" s="3388">
        <v>-37.648984106169031</v>
      </c>
      <c r="Q13" s="3388" t="s">
        <v>259</v>
      </c>
      <c r="R13" s="3388">
        <v>179.72874198975327</v>
      </c>
      <c r="S13" s="660"/>
      <c r="T13" s="660"/>
      <c r="U13" s="660"/>
      <c r="V13" s="660"/>
      <c r="W13" s="660"/>
      <c r="X13" s="660"/>
      <c r="Y13" s="660"/>
      <c r="Z13" s="660"/>
      <c r="AA13" s="660"/>
      <c r="AB13" s="660"/>
      <c r="AC13" s="660"/>
      <c r="AD13" s="660"/>
      <c r="AE13" s="660"/>
      <c r="AF13" s="660"/>
      <c r="AG13" s="660"/>
      <c r="AH13" s="660"/>
    </row>
    <row r="14" spans="1:34" ht="24" x14ac:dyDescent="0.2">
      <c r="A14" s="3418" t="s">
        <v>1441</v>
      </c>
      <c r="B14" s="3363"/>
      <c r="C14" s="3388">
        <v>1.4276500000000001</v>
      </c>
      <c r="D14" s="3388">
        <v>1.4276500000000001</v>
      </c>
      <c r="E14" s="3388" t="s">
        <v>259</v>
      </c>
      <c r="F14" s="3388">
        <v>0.34258221552902002</v>
      </c>
      <c r="G14" s="3388">
        <v>-2.7654025116800298</v>
      </c>
      <c r="H14" s="3388">
        <v>-2.4228202961510199</v>
      </c>
      <c r="I14" s="3388">
        <v>-2.7032241816271498</v>
      </c>
      <c r="J14" s="3388">
        <v>-1.65936449577978</v>
      </c>
      <c r="K14" s="3388" t="s">
        <v>259</v>
      </c>
      <c r="L14" s="3388">
        <v>0.48908750000000001</v>
      </c>
      <c r="M14" s="3388">
        <v>-3.9480268958</v>
      </c>
      <c r="N14" s="3388">
        <v>-3.4589393957999999</v>
      </c>
      <c r="O14" s="3388">
        <v>-3.8592580028999999</v>
      </c>
      <c r="P14" s="3388">
        <v>-2.3689917224000001</v>
      </c>
      <c r="Q14" s="3388" t="s">
        <v>259</v>
      </c>
      <c r="R14" s="3388">
        <v>35.519693444033372</v>
      </c>
      <c r="S14" s="660"/>
      <c r="T14" s="660"/>
      <c r="U14" s="660"/>
      <c r="V14" s="660"/>
      <c r="W14" s="660"/>
      <c r="X14" s="660"/>
      <c r="Y14" s="660"/>
      <c r="Z14" s="660"/>
      <c r="AA14" s="660"/>
      <c r="AB14" s="660"/>
      <c r="AC14" s="660"/>
      <c r="AD14" s="660"/>
      <c r="AE14" s="660"/>
      <c r="AF14" s="660"/>
      <c r="AG14" s="660"/>
      <c r="AH14" s="660"/>
    </row>
    <row r="15" spans="1:34" x14ac:dyDescent="0.2">
      <c r="A15" s="3390" t="s">
        <v>1319</v>
      </c>
      <c r="B15" s="3387" t="s">
        <v>1319</v>
      </c>
      <c r="C15" s="3388">
        <v>1.4276500000000001</v>
      </c>
      <c r="D15" s="3387">
        <v>1.4276500000000001</v>
      </c>
      <c r="E15" s="3387" t="s">
        <v>259</v>
      </c>
      <c r="F15" s="3388">
        <v>0.34258221552902002</v>
      </c>
      <c r="G15" s="3388">
        <v>-2.7654025116800298</v>
      </c>
      <c r="H15" s="3388">
        <v>-2.4228202961510199</v>
      </c>
      <c r="I15" s="3388">
        <v>-2.7032241816271498</v>
      </c>
      <c r="J15" s="3388">
        <v>-1.65936449577978</v>
      </c>
      <c r="K15" s="3388" t="s">
        <v>259</v>
      </c>
      <c r="L15" s="3387">
        <v>0.48908750000000001</v>
      </c>
      <c r="M15" s="3387">
        <v>-3.9480268958</v>
      </c>
      <c r="N15" s="3388">
        <v>-3.4589393957999999</v>
      </c>
      <c r="O15" s="3387">
        <v>-3.8592580028999999</v>
      </c>
      <c r="P15" s="3387">
        <v>-2.3689917224000001</v>
      </c>
      <c r="Q15" s="3387" t="s">
        <v>259</v>
      </c>
      <c r="R15" s="3388">
        <v>35.519693444033372</v>
      </c>
      <c r="S15" s="660"/>
      <c r="T15" s="660"/>
      <c r="U15" s="660"/>
      <c r="V15" s="660"/>
      <c r="W15" s="660"/>
      <c r="X15" s="660"/>
      <c r="Y15" s="660"/>
      <c r="Z15" s="660"/>
      <c r="AA15" s="660"/>
      <c r="AB15" s="660"/>
      <c r="AC15" s="660"/>
      <c r="AD15" s="660"/>
      <c r="AE15" s="660"/>
      <c r="AF15" s="660"/>
      <c r="AG15" s="660"/>
      <c r="AH15" s="660"/>
    </row>
    <row r="16" spans="1:34" ht="24" x14ac:dyDescent="0.2">
      <c r="A16" s="3418" t="s">
        <v>1440</v>
      </c>
      <c r="B16" s="3363"/>
      <c r="C16" s="3388">
        <v>31.19096875</v>
      </c>
      <c r="D16" s="3388">
        <v>31.19096875</v>
      </c>
      <c r="E16" s="3388" t="s">
        <v>259</v>
      </c>
      <c r="F16" s="3388">
        <v>6.0319142860860001E-2</v>
      </c>
      <c r="G16" s="3388">
        <v>-0.16279598172788001</v>
      </c>
      <c r="H16" s="3388">
        <v>-0.10247683886702</v>
      </c>
      <c r="I16" s="3388" t="s">
        <v>259</v>
      </c>
      <c r="J16" s="3388">
        <v>-0.98965242825296995</v>
      </c>
      <c r="K16" s="3388" t="s">
        <v>259</v>
      </c>
      <c r="L16" s="3388">
        <v>1.8814124999999999</v>
      </c>
      <c r="M16" s="3388">
        <v>-5.0777643787000004</v>
      </c>
      <c r="N16" s="3388">
        <v>-3.1963518786999998</v>
      </c>
      <c r="O16" s="3388" t="s">
        <v>259</v>
      </c>
      <c r="P16" s="3388">
        <v>-30.868217962999999</v>
      </c>
      <c r="Q16" s="3388" t="s">
        <v>259</v>
      </c>
      <c r="R16" s="3388">
        <v>124.90342275290011</v>
      </c>
      <c r="S16" s="660"/>
      <c r="T16" s="660"/>
      <c r="U16" s="660"/>
      <c r="V16" s="660"/>
      <c r="W16" s="660"/>
      <c r="X16" s="660"/>
      <c r="Y16" s="660"/>
      <c r="Z16" s="660"/>
      <c r="AA16" s="660"/>
      <c r="AB16" s="660"/>
      <c r="AC16" s="660"/>
      <c r="AD16" s="660"/>
      <c r="AE16" s="660"/>
      <c r="AF16" s="660"/>
      <c r="AG16" s="660"/>
      <c r="AH16" s="660"/>
    </row>
    <row r="17" spans="1:34" x14ac:dyDescent="0.2">
      <c r="A17" s="3390" t="s">
        <v>1319</v>
      </c>
      <c r="B17" s="3387" t="s">
        <v>1319</v>
      </c>
      <c r="C17" s="3388">
        <v>31.19096875</v>
      </c>
      <c r="D17" s="3387">
        <v>31.19096875</v>
      </c>
      <c r="E17" s="3387" t="s">
        <v>259</v>
      </c>
      <c r="F17" s="3388">
        <v>6.0319142860860001E-2</v>
      </c>
      <c r="G17" s="3388">
        <v>-0.16279598172788001</v>
      </c>
      <c r="H17" s="3388">
        <v>-0.10247683886702</v>
      </c>
      <c r="I17" s="3388" t="s">
        <v>259</v>
      </c>
      <c r="J17" s="3388">
        <v>-0.98965242825296995</v>
      </c>
      <c r="K17" s="3388" t="s">
        <v>259</v>
      </c>
      <c r="L17" s="3387">
        <v>1.8814124999999999</v>
      </c>
      <c r="M17" s="3387">
        <v>-5.0777643787000004</v>
      </c>
      <c r="N17" s="3388">
        <v>-3.1963518786999998</v>
      </c>
      <c r="O17" s="3387" t="s">
        <v>259</v>
      </c>
      <c r="P17" s="3387">
        <v>-30.868217962999999</v>
      </c>
      <c r="Q17" s="3387" t="s">
        <v>259</v>
      </c>
      <c r="R17" s="3388">
        <v>124.90342275290011</v>
      </c>
      <c r="S17" s="660"/>
      <c r="T17" s="660"/>
      <c r="U17" s="660"/>
      <c r="V17" s="660"/>
      <c r="W17" s="660"/>
      <c r="X17" s="660"/>
      <c r="Y17" s="660"/>
      <c r="Z17" s="660"/>
      <c r="AA17" s="660"/>
      <c r="AB17" s="660"/>
      <c r="AC17" s="660"/>
      <c r="AD17" s="660"/>
      <c r="AE17" s="660"/>
      <c r="AF17" s="660"/>
      <c r="AG17" s="660"/>
      <c r="AH17" s="660"/>
    </row>
    <row r="18" spans="1:34" ht="24" x14ac:dyDescent="0.2">
      <c r="A18" s="3418" t="s">
        <v>1439</v>
      </c>
      <c r="B18" s="3363"/>
      <c r="C18" s="3388">
        <v>2.5317937499999998</v>
      </c>
      <c r="D18" s="3388">
        <v>2.5317937499999998</v>
      </c>
      <c r="E18" s="3388" t="s">
        <v>259</v>
      </c>
      <c r="F18" s="3388">
        <v>0.35187009210366998</v>
      </c>
      <c r="G18" s="3388">
        <v>-0.66855317499697997</v>
      </c>
      <c r="H18" s="3388">
        <v>-0.31668308289329999</v>
      </c>
      <c r="I18" s="3388" t="s">
        <v>259</v>
      </c>
      <c r="J18" s="3388">
        <v>-1.74265663188402</v>
      </c>
      <c r="K18" s="3388" t="s">
        <v>259</v>
      </c>
      <c r="L18" s="3388">
        <v>0.8908625</v>
      </c>
      <c r="M18" s="3388">
        <v>-1.69263875</v>
      </c>
      <c r="N18" s="3388">
        <v>-0.80177624999999997</v>
      </c>
      <c r="O18" s="3388" t="s">
        <v>259</v>
      </c>
      <c r="P18" s="3388">
        <v>-4.412047169</v>
      </c>
      <c r="Q18" s="3388" t="s">
        <v>259</v>
      </c>
      <c r="R18" s="3388">
        <v>19.11735253633335</v>
      </c>
      <c r="S18" s="660"/>
      <c r="T18" s="660"/>
      <c r="U18" s="660"/>
      <c r="V18" s="660"/>
      <c r="W18" s="660"/>
      <c r="X18" s="660"/>
      <c r="Y18" s="660"/>
      <c r="Z18" s="660"/>
      <c r="AA18" s="660"/>
      <c r="AB18" s="660"/>
      <c r="AC18" s="660"/>
      <c r="AD18" s="660"/>
      <c r="AE18" s="660"/>
      <c r="AF18" s="660"/>
      <c r="AG18" s="660"/>
      <c r="AH18" s="660"/>
    </row>
    <row r="19" spans="1:34" x14ac:dyDescent="0.2">
      <c r="A19" s="3390" t="s">
        <v>1319</v>
      </c>
      <c r="B19" s="3387" t="s">
        <v>1319</v>
      </c>
      <c r="C19" s="3388">
        <v>2.5317937499999998</v>
      </c>
      <c r="D19" s="3387">
        <v>2.5317937499999998</v>
      </c>
      <c r="E19" s="3387" t="s">
        <v>259</v>
      </c>
      <c r="F19" s="3388">
        <v>0.35187009210366998</v>
      </c>
      <c r="G19" s="3388">
        <v>-0.66855317499697997</v>
      </c>
      <c r="H19" s="3388">
        <v>-0.31668308289329999</v>
      </c>
      <c r="I19" s="3388" t="s">
        <v>259</v>
      </c>
      <c r="J19" s="3388">
        <v>-1.74265663188402</v>
      </c>
      <c r="K19" s="3388" t="s">
        <v>259</v>
      </c>
      <c r="L19" s="3387">
        <v>0.8908625</v>
      </c>
      <c r="M19" s="3387">
        <v>-1.69263875</v>
      </c>
      <c r="N19" s="3388">
        <v>-0.80177624999999997</v>
      </c>
      <c r="O19" s="3387" t="s">
        <v>259</v>
      </c>
      <c r="P19" s="3387">
        <v>-4.412047169</v>
      </c>
      <c r="Q19" s="3387" t="s">
        <v>259</v>
      </c>
      <c r="R19" s="3388">
        <v>19.11735253633335</v>
      </c>
      <c r="S19" s="660"/>
      <c r="T19" s="660"/>
      <c r="U19" s="660"/>
      <c r="V19" s="660"/>
      <c r="W19" s="660"/>
      <c r="X19" s="660"/>
      <c r="Y19" s="660"/>
      <c r="Z19" s="660"/>
      <c r="AA19" s="660"/>
      <c r="AB19" s="660"/>
      <c r="AC19" s="660"/>
      <c r="AD19" s="660"/>
      <c r="AE19" s="660"/>
      <c r="AF19" s="660"/>
      <c r="AG19" s="660"/>
      <c r="AH19" s="660"/>
    </row>
    <row r="20" spans="1:34" ht="24" x14ac:dyDescent="0.2">
      <c r="A20" s="3418" t="s">
        <v>1438</v>
      </c>
      <c r="B20" s="3363"/>
      <c r="C20" s="3388">
        <v>9.3787499999999996E-2</v>
      </c>
      <c r="D20" s="3388">
        <v>9.3787499999999996E-2</v>
      </c>
      <c r="E20" s="3388" t="s">
        <v>259</v>
      </c>
      <c r="F20" s="3388">
        <v>0.26096228175397002</v>
      </c>
      <c r="G20" s="3388">
        <v>-0.81135545781687002</v>
      </c>
      <c r="H20" s="3388">
        <v>-0.55039317606291005</v>
      </c>
      <c r="I20" s="3388" t="s">
        <v>259</v>
      </c>
      <c r="J20" s="3388">
        <v>2.9081512032000001E-3</v>
      </c>
      <c r="K20" s="3388" t="s">
        <v>259</v>
      </c>
      <c r="L20" s="3388">
        <v>2.4475E-2</v>
      </c>
      <c r="M20" s="3388">
        <v>-7.6094999999999996E-2</v>
      </c>
      <c r="N20" s="3388">
        <v>-5.1619999999999999E-2</v>
      </c>
      <c r="O20" s="3388" t="s">
        <v>259</v>
      </c>
      <c r="P20" s="3388">
        <v>2.7274823096999997E-4</v>
      </c>
      <c r="Q20" s="3388" t="s">
        <v>259</v>
      </c>
      <c r="R20" s="3388">
        <v>0.18827325648644</v>
      </c>
      <c r="S20" s="660"/>
      <c r="T20" s="660"/>
      <c r="U20" s="660"/>
      <c r="V20" s="660"/>
      <c r="W20" s="660"/>
      <c r="X20" s="660"/>
      <c r="Y20" s="660"/>
      <c r="Z20" s="660"/>
      <c r="AA20" s="660"/>
      <c r="AB20" s="660"/>
      <c r="AC20" s="660"/>
      <c r="AD20" s="660"/>
      <c r="AE20" s="660"/>
      <c r="AF20" s="660"/>
      <c r="AG20" s="660"/>
      <c r="AH20" s="660"/>
    </row>
    <row r="21" spans="1:34" x14ac:dyDescent="0.2">
      <c r="A21" s="3390" t="s">
        <v>1319</v>
      </c>
      <c r="B21" s="3387" t="s">
        <v>1319</v>
      </c>
      <c r="C21" s="3388">
        <v>9.3787499999999996E-2</v>
      </c>
      <c r="D21" s="3387">
        <v>9.3787499999999996E-2</v>
      </c>
      <c r="E21" s="3387" t="s">
        <v>259</v>
      </c>
      <c r="F21" s="3388">
        <v>0.26096228175397002</v>
      </c>
      <c r="G21" s="3388">
        <v>-0.81135545781687002</v>
      </c>
      <c r="H21" s="3388">
        <v>-0.55039317606291005</v>
      </c>
      <c r="I21" s="3388" t="s">
        <v>259</v>
      </c>
      <c r="J21" s="3388">
        <v>2.9081512032000001E-3</v>
      </c>
      <c r="K21" s="3388" t="s">
        <v>259</v>
      </c>
      <c r="L21" s="3387">
        <v>2.4475E-2</v>
      </c>
      <c r="M21" s="3387">
        <v>-7.6094999999999996E-2</v>
      </c>
      <c r="N21" s="3388">
        <v>-5.1619999999999999E-2</v>
      </c>
      <c r="O21" s="3387" t="s">
        <v>259</v>
      </c>
      <c r="P21" s="3387">
        <v>2.7274823096999997E-4</v>
      </c>
      <c r="Q21" s="3387" t="s">
        <v>259</v>
      </c>
      <c r="R21" s="3388">
        <v>0.18827325648644</v>
      </c>
      <c r="S21" s="660"/>
      <c r="T21" s="660"/>
      <c r="U21" s="660"/>
      <c r="V21" s="660"/>
      <c r="W21" s="660"/>
      <c r="X21" s="660"/>
      <c r="Y21" s="660"/>
      <c r="Z21" s="660"/>
      <c r="AA21" s="660"/>
      <c r="AB21" s="660"/>
      <c r="AC21" s="660"/>
      <c r="AD21" s="660"/>
      <c r="AE21" s="660"/>
      <c r="AF21" s="660"/>
      <c r="AG21" s="660"/>
      <c r="AH21" s="660"/>
    </row>
    <row r="22" spans="1:34" ht="24" x14ac:dyDescent="0.2">
      <c r="A22" s="3418" t="s">
        <v>1437</v>
      </c>
      <c r="B22" s="3363"/>
      <c r="C22" s="3388" t="s">
        <v>259</v>
      </c>
      <c r="D22" s="3388" t="s">
        <v>259</v>
      </c>
      <c r="E22" s="3388" t="s">
        <v>259</v>
      </c>
      <c r="F22" s="3388" t="s">
        <v>259</v>
      </c>
      <c r="G22" s="3388" t="s">
        <v>259</v>
      </c>
      <c r="H22" s="3388" t="s">
        <v>259</v>
      </c>
      <c r="I22" s="3388" t="s">
        <v>259</v>
      </c>
      <c r="J22" s="3388" t="s">
        <v>259</v>
      </c>
      <c r="K22" s="3388" t="s">
        <v>259</v>
      </c>
      <c r="L22" s="3388" t="s">
        <v>259</v>
      </c>
      <c r="M22" s="3388" t="s">
        <v>259</v>
      </c>
      <c r="N22" s="3388" t="s">
        <v>259</v>
      </c>
      <c r="O22" s="3388" t="s">
        <v>259</v>
      </c>
      <c r="P22" s="3388" t="s">
        <v>259</v>
      </c>
      <c r="Q22" s="3388" t="s">
        <v>259</v>
      </c>
      <c r="R22" s="3388" t="s">
        <v>259</v>
      </c>
      <c r="S22" s="660"/>
      <c r="T22" s="660"/>
      <c r="U22" s="660"/>
      <c r="V22" s="660"/>
      <c r="W22" s="660"/>
      <c r="X22" s="660"/>
      <c r="Y22" s="660"/>
      <c r="Z22" s="660"/>
      <c r="AA22" s="660"/>
      <c r="AB22" s="660"/>
      <c r="AC22" s="660"/>
      <c r="AD22" s="660"/>
      <c r="AE22" s="660"/>
      <c r="AF22" s="660"/>
      <c r="AG22" s="660"/>
      <c r="AH22" s="660"/>
    </row>
    <row r="23" spans="1:34" x14ac:dyDescent="0.2">
      <c r="A23" s="3390" t="s">
        <v>1319</v>
      </c>
      <c r="B23" s="3387" t="s">
        <v>1319</v>
      </c>
      <c r="C23" s="3388" t="s">
        <v>259</v>
      </c>
      <c r="D23" s="3387" t="s">
        <v>259</v>
      </c>
      <c r="E23" s="3387" t="s">
        <v>259</v>
      </c>
      <c r="F23" s="3388" t="s">
        <v>259</v>
      </c>
      <c r="G23" s="3388" t="s">
        <v>259</v>
      </c>
      <c r="H23" s="3388" t="s">
        <v>259</v>
      </c>
      <c r="I23" s="3388" t="s">
        <v>259</v>
      </c>
      <c r="J23" s="3388" t="s">
        <v>259</v>
      </c>
      <c r="K23" s="3388" t="s">
        <v>259</v>
      </c>
      <c r="L23" s="3387" t="s">
        <v>259</v>
      </c>
      <c r="M23" s="3387" t="s">
        <v>259</v>
      </c>
      <c r="N23" s="3388" t="s">
        <v>259</v>
      </c>
      <c r="O23" s="3387" t="s">
        <v>259</v>
      </c>
      <c r="P23" s="3387" t="s">
        <v>259</v>
      </c>
      <c r="Q23" s="3387" t="s">
        <v>259</v>
      </c>
      <c r="R23" s="3388" t="s">
        <v>259</v>
      </c>
      <c r="S23" s="660"/>
      <c r="T23" s="660"/>
      <c r="U23" s="660"/>
      <c r="V23" s="660"/>
      <c r="W23" s="660"/>
      <c r="X23" s="660"/>
      <c r="Y23" s="660"/>
      <c r="Z23" s="660"/>
      <c r="AA23" s="660"/>
      <c r="AB23" s="660"/>
      <c r="AC23" s="660"/>
      <c r="AD23" s="660"/>
      <c r="AE23" s="660"/>
      <c r="AF23" s="660"/>
      <c r="AG23" s="660"/>
      <c r="AH23" s="660"/>
    </row>
    <row r="24" spans="1:34" ht="15.75" customHeight="1" x14ac:dyDescent="0.2">
      <c r="A24" s="747" t="s">
        <v>564</v>
      </c>
      <c r="B24" s="3315"/>
      <c r="C24" s="3315"/>
      <c r="D24" s="3315"/>
      <c r="E24" s="3315"/>
      <c r="F24" s="3315"/>
      <c r="G24" s="3315"/>
      <c r="H24" s="3315"/>
      <c r="I24" s="3315"/>
      <c r="J24" s="3315"/>
      <c r="K24" s="3315"/>
      <c r="L24" s="3315"/>
      <c r="M24" s="3315"/>
      <c r="N24" s="3315"/>
      <c r="O24" s="3315"/>
      <c r="P24" s="3315"/>
      <c r="Q24" s="3315"/>
      <c r="R24" s="3315"/>
      <c r="S24" s="660"/>
      <c r="T24" s="660"/>
      <c r="U24" s="660"/>
      <c r="V24" s="660"/>
      <c r="W24" s="660"/>
      <c r="X24" s="660"/>
      <c r="Y24" s="660"/>
      <c r="Z24" s="660"/>
      <c r="AA24" s="660"/>
      <c r="AB24" s="660"/>
      <c r="AC24" s="660"/>
      <c r="AD24" s="660"/>
      <c r="AE24" s="660"/>
      <c r="AF24" s="660"/>
      <c r="AG24" s="660"/>
      <c r="AH24" s="660"/>
    </row>
    <row r="25" spans="1:34" ht="39.75" customHeight="1" x14ac:dyDescent="0.25">
      <c r="A25" s="5554" t="s">
        <v>1436</v>
      </c>
      <c r="B25" s="5554"/>
      <c r="C25" s="5554"/>
      <c r="D25" s="5554"/>
      <c r="E25" s="5554"/>
      <c r="F25" s="5554"/>
      <c r="G25" s="5554"/>
      <c r="H25" s="5554"/>
      <c r="I25" s="5554"/>
      <c r="J25" s="5554"/>
      <c r="K25" s="5554"/>
      <c r="L25" s="5554"/>
      <c r="M25" s="5554"/>
      <c r="N25" s="5554"/>
      <c r="O25" s="5579"/>
      <c r="P25" s="5579"/>
      <c r="Q25" s="5579"/>
      <c r="R25" s="5579"/>
      <c r="S25" s="660"/>
      <c r="T25" s="660"/>
      <c r="U25" s="660"/>
      <c r="V25" s="660"/>
      <c r="W25" s="660"/>
      <c r="X25" s="660"/>
      <c r="Y25" s="660"/>
      <c r="Z25" s="660"/>
      <c r="AA25" s="660"/>
      <c r="AB25" s="660"/>
      <c r="AC25" s="660"/>
      <c r="AD25" s="660"/>
      <c r="AE25" s="660"/>
      <c r="AF25" s="660"/>
      <c r="AG25" s="660"/>
      <c r="AH25" s="660"/>
    </row>
    <row r="26" spans="1:34" ht="24" customHeight="1" x14ac:dyDescent="0.2">
      <c r="A26" s="5554" t="s">
        <v>1435</v>
      </c>
      <c r="B26" s="5554"/>
      <c r="C26" s="5554"/>
      <c r="D26" s="5554"/>
      <c r="E26" s="5554"/>
      <c r="F26" s="5554"/>
      <c r="G26" s="5554"/>
      <c r="H26" s="5554"/>
      <c r="I26" s="5554"/>
      <c r="J26" s="5554"/>
      <c r="K26" s="5554"/>
      <c r="L26" s="5554"/>
      <c r="M26" s="5554"/>
      <c r="N26" s="5554"/>
      <c r="O26" s="5554"/>
      <c r="P26" s="5554"/>
      <c r="Q26" s="5554"/>
      <c r="R26" s="5554"/>
      <c r="S26" s="660"/>
      <c r="T26" s="660"/>
      <c r="U26" s="660"/>
      <c r="V26" s="660"/>
      <c r="W26" s="660"/>
      <c r="X26" s="660"/>
      <c r="Y26" s="660"/>
      <c r="Z26" s="660"/>
      <c r="AA26" s="660"/>
      <c r="AB26" s="660"/>
      <c r="AC26" s="660"/>
      <c r="AD26" s="660"/>
      <c r="AE26" s="660"/>
      <c r="AF26" s="660"/>
      <c r="AG26" s="660"/>
      <c r="AH26" s="660"/>
    </row>
    <row r="27" spans="1:34" ht="15" x14ac:dyDescent="0.2">
      <c r="A27" s="5577" t="s">
        <v>1316</v>
      </c>
      <c r="B27" s="5578"/>
      <c r="C27" s="5578"/>
      <c r="D27" s="5578"/>
      <c r="E27" s="5578"/>
      <c r="F27" s="5578"/>
      <c r="G27" s="5578"/>
      <c r="H27" s="5578"/>
      <c r="I27" s="5578"/>
      <c r="J27" s="5578"/>
      <c r="K27" s="5578"/>
      <c r="L27" s="746"/>
      <c r="M27" s="746"/>
      <c r="N27" s="746"/>
      <c r="O27" s="3315"/>
      <c r="P27" s="3315"/>
      <c r="Q27" s="3315"/>
      <c r="R27" s="3315"/>
      <c r="S27" s="660"/>
      <c r="T27" s="660"/>
      <c r="U27" s="5558"/>
      <c r="V27" s="5558"/>
      <c r="W27" s="5558"/>
      <c r="X27" s="5558"/>
      <c r="Y27" s="5558"/>
      <c r="Z27" s="5558"/>
      <c r="AA27" s="5558"/>
      <c r="AB27" s="5558"/>
      <c r="AC27" s="5558"/>
      <c r="AD27" s="5558"/>
      <c r="AE27" s="5558"/>
      <c r="AF27" s="5558"/>
      <c r="AG27" s="5558"/>
      <c r="AH27" s="5558"/>
    </row>
    <row r="28" spans="1:34" ht="13.5" x14ac:dyDescent="0.2">
      <c r="A28" s="5554" t="s">
        <v>1434</v>
      </c>
      <c r="B28" s="5554"/>
      <c r="C28" s="5554"/>
      <c r="D28" s="5554"/>
      <c r="E28" s="5554"/>
      <c r="F28" s="5554"/>
      <c r="G28" s="5554"/>
      <c r="H28" s="5554"/>
      <c r="I28" s="5554"/>
      <c r="J28" s="3312"/>
      <c r="K28" s="3315"/>
      <c r="L28" s="3315"/>
      <c r="M28" s="3315"/>
      <c r="N28" s="3315"/>
      <c r="O28" s="3315"/>
      <c r="P28" s="3315"/>
      <c r="Q28" s="3315"/>
      <c r="R28" s="3315"/>
      <c r="S28" s="660"/>
      <c r="T28" s="660"/>
      <c r="U28" s="660"/>
      <c r="V28" s="660"/>
      <c r="W28" s="660"/>
      <c r="X28" s="660"/>
      <c r="Y28" s="660"/>
      <c r="Z28" s="660"/>
      <c r="AA28" s="660"/>
      <c r="AB28" s="660"/>
      <c r="AC28" s="660"/>
      <c r="AD28" s="660"/>
      <c r="AE28" s="660"/>
      <c r="AF28" s="660"/>
      <c r="AG28" s="660"/>
      <c r="AH28" s="660"/>
    </row>
    <row r="29" spans="1:34" ht="13.5" customHeight="1" x14ac:dyDescent="0.2">
      <c r="A29" s="5554" t="s">
        <v>1433</v>
      </c>
      <c r="B29" s="5554"/>
      <c r="C29" s="5554"/>
      <c r="D29" s="5554"/>
      <c r="E29" s="5554"/>
      <c r="F29" s="5554"/>
      <c r="G29" s="5554"/>
      <c r="H29" s="5554"/>
      <c r="I29" s="5554"/>
      <c r="J29" s="5554"/>
      <c r="K29" s="5554"/>
      <c r="L29" s="5554"/>
      <c r="M29" s="5554"/>
      <c r="N29" s="5554"/>
      <c r="O29" s="5554"/>
      <c r="P29" s="5554"/>
      <c r="Q29" s="5554"/>
      <c r="R29" s="5554"/>
      <c r="S29" s="660"/>
      <c r="T29" s="660"/>
      <c r="U29" s="660"/>
      <c r="V29" s="660"/>
      <c r="W29" s="660"/>
      <c r="X29" s="660"/>
      <c r="Y29" s="660"/>
      <c r="Z29" s="660"/>
      <c r="AA29" s="660"/>
      <c r="AB29" s="660"/>
      <c r="AC29" s="660"/>
      <c r="AD29" s="660"/>
      <c r="AE29" s="660"/>
      <c r="AF29" s="660"/>
      <c r="AG29" s="660"/>
      <c r="AH29" s="660"/>
    </row>
    <row r="30" spans="1:34" x14ac:dyDescent="0.2">
      <c r="A30" s="745"/>
      <c r="B30" s="660"/>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row>
    <row r="31" spans="1:34" x14ac:dyDescent="0.2">
      <c r="A31" s="3416" t="s">
        <v>982</v>
      </c>
      <c r="B31" s="3414"/>
      <c r="C31" s="3414"/>
      <c r="D31" s="3414"/>
      <c r="E31" s="3414"/>
      <c r="F31" s="3414"/>
      <c r="G31" s="3414"/>
      <c r="H31" s="3414"/>
      <c r="I31" s="3414"/>
      <c r="J31" s="3414"/>
      <c r="K31" s="3414"/>
      <c r="L31" s="3414"/>
      <c r="M31" s="3414"/>
      <c r="N31" s="3414"/>
      <c r="O31" s="3414"/>
      <c r="P31" s="3414"/>
      <c r="Q31" s="3414"/>
      <c r="R31" s="3413"/>
      <c r="S31" s="660"/>
      <c r="T31" s="660"/>
      <c r="U31" s="660"/>
      <c r="V31" s="660"/>
      <c r="W31" s="660"/>
      <c r="X31" s="660"/>
      <c r="Y31" s="660"/>
      <c r="Z31" s="660"/>
      <c r="AA31" s="660"/>
      <c r="AB31" s="660"/>
      <c r="AC31" s="660"/>
      <c r="AD31" s="660"/>
      <c r="AE31" s="660"/>
      <c r="AF31" s="660"/>
      <c r="AG31" s="660"/>
      <c r="AH31" s="660"/>
    </row>
    <row r="32" spans="1:34" ht="30.75" customHeight="1" x14ac:dyDescent="0.2">
      <c r="A32" s="5580" t="s">
        <v>1310</v>
      </c>
      <c r="B32" s="5563"/>
      <c r="C32" s="5563"/>
      <c r="D32" s="5563"/>
      <c r="E32" s="5563"/>
      <c r="F32" s="5563"/>
      <c r="G32" s="5563"/>
      <c r="H32" s="5563"/>
      <c r="I32" s="5563"/>
      <c r="J32" s="5563"/>
      <c r="K32" s="5563"/>
      <c r="L32" s="5563"/>
      <c r="M32" s="5563"/>
      <c r="N32" s="5563"/>
      <c r="O32" s="5563"/>
      <c r="P32" s="5563"/>
      <c r="Q32" s="5563"/>
      <c r="R32" s="5564"/>
      <c r="S32" s="660"/>
      <c r="T32" s="660"/>
      <c r="U32" s="660"/>
      <c r="V32" s="660"/>
      <c r="W32" s="660"/>
      <c r="X32" s="660"/>
      <c r="Y32" s="660"/>
      <c r="Z32" s="660"/>
      <c r="AA32" s="660"/>
      <c r="AB32" s="660"/>
      <c r="AC32" s="660"/>
      <c r="AD32" s="660"/>
      <c r="AE32" s="660"/>
      <c r="AF32" s="660"/>
      <c r="AG32" s="660"/>
      <c r="AH32" s="660"/>
    </row>
    <row r="33" spans="1:34" ht="12" customHeight="1" x14ac:dyDescent="0.2">
      <c r="A33" s="3412" t="s">
        <v>980</v>
      </c>
      <c r="B33" s="5473" t="s">
        <v>986</v>
      </c>
      <c r="C33" s="5527"/>
      <c r="D33" s="5527"/>
      <c r="E33" s="5527"/>
      <c r="F33" s="5527"/>
      <c r="G33" s="5527"/>
      <c r="H33" s="5527"/>
      <c r="I33" s="5527"/>
      <c r="J33" s="5527"/>
      <c r="K33" s="5527"/>
      <c r="L33" s="5527"/>
      <c r="M33" s="5527"/>
      <c r="N33" s="5527"/>
      <c r="O33" s="5527"/>
      <c r="P33" s="5527"/>
      <c r="Q33" s="5527"/>
      <c r="R33" s="5527"/>
      <c r="S33" s="660"/>
      <c r="T33" s="660"/>
      <c r="U33" s="660"/>
      <c r="V33" s="660"/>
      <c r="W33" s="660"/>
      <c r="X33" s="660"/>
      <c r="Y33" s="660"/>
      <c r="Z33" s="660"/>
      <c r="AA33" s="660"/>
      <c r="AB33" s="660"/>
      <c r="AC33" s="660"/>
      <c r="AD33" s="660"/>
      <c r="AE33" s="660"/>
      <c r="AF33" s="660"/>
      <c r="AG33" s="660"/>
      <c r="AH33" s="660"/>
    </row>
    <row r="34" spans="1:34" ht="12" customHeight="1" x14ac:dyDescent="0.2">
      <c r="A34" s="3412" t="s">
        <v>980</v>
      </c>
      <c r="B34" s="5473" t="s">
        <v>986</v>
      </c>
      <c r="C34" s="5527"/>
      <c r="D34" s="5527"/>
      <c r="E34" s="5527"/>
      <c r="F34" s="5527"/>
      <c r="G34" s="5527"/>
      <c r="H34" s="5527"/>
      <c r="I34" s="5527"/>
      <c r="J34" s="5527"/>
      <c r="K34" s="5527"/>
      <c r="L34" s="5527"/>
      <c r="M34" s="5527"/>
      <c r="N34" s="5527"/>
      <c r="O34" s="5527"/>
      <c r="P34" s="5527"/>
      <c r="Q34" s="5527"/>
      <c r="R34" s="5527"/>
    </row>
  </sheetData>
  <sheetProtection password="A754" sheet="1" objects="1" scenarios="1"/>
  <mergeCells count="27">
    <mergeCell ref="B33:R33"/>
    <mergeCell ref="B34:R34"/>
    <mergeCell ref="U27:AH27"/>
    <mergeCell ref="A28:I28"/>
    <mergeCell ref="A29:R29"/>
    <mergeCell ref="A32:R32"/>
    <mergeCell ref="F9:K9"/>
    <mergeCell ref="C5:E5"/>
    <mergeCell ref="A26:R26"/>
    <mergeCell ref="A27:K27"/>
    <mergeCell ref="L9:Q9"/>
    <mergeCell ref="D6:D9"/>
    <mergeCell ref="E6:E9"/>
    <mergeCell ref="A25:R25"/>
    <mergeCell ref="A5:B5"/>
    <mergeCell ref="F5:K5"/>
    <mergeCell ref="L5:Q5"/>
    <mergeCell ref="R5:R8"/>
    <mergeCell ref="A6:A9"/>
    <mergeCell ref="B6:B9"/>
    <mergeCell ref="C6:C9"/>
    <mergeCell ref="F6:H7"/>
    <mergeCell ref="I6:I8"/>
    <mergeCell ref="J6:K7"/>
    <mergeCell ref="P6:Q7"/>
    <mergeCell ref="L6:N7"/>
    <mergeCell ref="O6:O8"/>
  </mergeCells>
  <printOptions horizontalCentered="1" verticalCentered="1"/>
  <pageMargins left="0.39370078740157483" right="0.39370078740157483" top="0.39370078740157483" bottom="0.39370078740157483" header="0.19685039370078741" footer="0.19685039370078741"/>
  <pageSetup paperSize="9" scale="28"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65553-B4EF-41E1-A35D-4324200AE6F2}">
  <sheetPr codeName="Ark28">
    <tabColor theme="0" tint="-0.14999847407452621"/>
    <pageSetUpPr fitToPage="1"/>
  </sheetPr>
  <dimension ref="A1:T35"/>
  <sheetViews>
    <sheetView showGridLines="0" workbookViewId="0">
      <selection activeCell="B38" sqref="B38"/>
    </sheetView>
  </sheetViews>
  <sheetFormatPr defaultColWidth="8" defaultRowHeight="12" customHeight="1" x14ac:dyDescent="0.2"/>
  <cols>
    <col min="1" max="1" width="31" style="659" customWidth="1"/>
    <col min="2" max="2" width="14.7109375" style="659" customWidth="1"/>
    <col min="3" max="3" width="11.7109375" style="659" customWidth="1"/>
    <col min="4" max="4" width="10.7109375" style="659" customWidth="1"/>
    <col min="5" max="5" width="9.5703125" style="659" customWidth="1"/>
    <col min="6" max="11" width="7.85546875" style="659" customWidth="1"/>
    <col min="12" max="17" width="7.28515625" style="659" customWidth="1"/>
    <col min="18" max="18" width="10.42578125" style="659" customWidth="1"/>
    <col min="19" max="19" width="1.28515625" style="659" customWidth="1"/>
    <col min="20" max="24" width="13.7109375" style="659" customWidth="1"/>
    <col min="25" max="16384" width="8" style="659"/>
  </cols>
  <sheetData>
    <row r="1" spans="1:20" ht="15.75" x14ac:dyDescent="0.25">
      <c r="A1" s="671" t="s">
        <v>1462</v>
      </c>
      <c r="B1" s="660"/>
      <c r="C1" s="660"/>
      <c r="D1" s="660"/>
      <c r="E1" s="660"/>
      <c r="F1" s="660"/>
      <c r="G1" s="660"/>
      <c r="H1" s="660"/>
      <c r="I1" s="660"/>
      <c r="J1" s="660"/>
      <c r="K1" s="660"/>
      <c r="L1" s="660"/>
      <c r="M1" s="660"/>
      <c r="N1" s="660"/>
      <c r="O1" s="660"/>
      <c r="P1" s="660"/>
      <c r="Q1" s="660"/>
      <c r="R1" s="668" t="s">
        <v>1028</v>
      </c>
      <c r="S1" s="660"/>
      <c r="T1" s="660"/>
    </row>
    <row r="2" spans="1:20" ht="15.75" x14ac:dyDescent="0.25">
      <c r="A2" s="671" t="s">
        <v>1461</v>
      </c>
      <c r="B2" s="660"/>
      <c r="C2" s="660"/>
      <c r="D2" s="660"/>
      <c r="E2" s="660"/>
      <c r="F2" s="660"/>
      <c r="G2" s="660"/>
      <c r="H2" s="660"/>
      <c r="I2" s="660"/>
      <c r="J2" s="660"/>
      <c r="K2" s="660"/>
      <c r="L2" s="660"/>
      <c r="M2" s="660"/>
      <c r="N2" s="660"/>
      <c r="O2" s="660"/>
      <c r="P2" s="660"/>
      <c r="Q2" s="660"/>
      <c r="R2" s="668" t="s">
        <v>5183</v>
      </c>
      <c r="S2" s="660"/>
      <c r="T2" s="660"/>
    </row>
    <row r="3" spans="1:20" ht="15.75" x14ac:dyDescent="0.25">
      <c r="A3" s="671" t="s">
        <v>1197</v>
      </c>
      <c r="B3" s="660"/>
      <c r="C3" s="660"/>
      <c r="D3" s="660"/>
      <c r="E3" s="660"/>
      <c r="F3" s="660"/>
      <c r="G3" s="660"/>
      <c r="H3" s="660"/>
      <c r="I3" s="660"/>
      <c r="J3" s="660"/>
      <c r="K3" s="660"/>
      <c r="L3" s="660"/>
      <c r="M3" s="660"/>
      <c r="N3" s="660"/>
      <c r="O3" s="660"/>
      <c r="P3" s="660"/>
      <c r="Q3" s="660"/>
      <c r="R3" s="668" t="s">
        <v>1789</v>
      </c>
      <c r="S3" s="660"/>
      <c r="T3" s="660"/>
    </row>
    <row r="4" spans="1:20" ht="12" customHeight="1" x14ac:dyDescent="0.2">
      <c r="A4" s="660"/>
      <c r="B4" s="660"/>
      <c r="C4" s="660"/>
      <c r="D4" s="660"/>
      <c r="E4" s="660"/>
      <c r="F4" s="660"/>
      <c r="G4" s="660"/>
      <c r="H4" s="660"/>
      <c r="I4" s="660"/>
      <c r="J4" s="660"/>
      <c r="K4" s="660"/>
      <c r="L4" s="660"/>
      <c r="M4" s="660"/>
      <c r="N4" s="660"/>
      <c r="O4" s="660"/>
      <c r="P4" s="660"/>
      <c r="Q4" s="660"/>
      <c r="R4" s="660"/>
      <c r="S4" s="660"/>
      <c r="T4" s="660"/>
    </row>
    <row r="5" spans="1:20" ht="48" customHeight="1" x14ac:dyDescent="0.2">
      <c r="A5" s="5534" t="s">
        <v>1025</v>
      </c>
      <c r="B5" s="5535"/>
      <c r="C5" s="5528" t="s">
        <v>1083</v>
      </c>
      <c r="D5" s="5529"/>
      <c r="E5" s="5530"/>
      <c r="F5" s="5528" t="s">
        <v>1351</v>
      </c>
      <c r="G5" s="5529"/>
      <c r="H5" s="5529"/>
      <c r="I5" s="5529"/>
      <c r="J5" s="5529"/>
      <c r="K5" s="5530"/>
      <c r="L5" s="5528" t="s">
        <v>1350</v>
      </c>
      <c r="M5" s="5529"/>
      <c r="N5" s="5529"/>
      <c r="O5" s="5529"/>
      <c r="P5" s="5529"/>
      <c r="Q5" s="5530"/>
      <c r="R5" s="5531" t="s">
        <v>1445</v>
      </c>
      <c r="S5" s="660"/>
      <c r="T5" s="660"/>
    </row>
    <row r="6" spans="1:20" ht="47.25" customHeight="1" x14ac:dyDescent="0.2">
      <c r="A6" s="5519" t="s">
        <v>1348</v>
      </c>
      <c r="B6" s="5531" t="s">
        <v>1347</v>
      </c>
      <c r="C6" s="5531" t="s">
        <v>1346</v>
      </c>
      <c r="D6" s="5531" t="s">
        <v>1427</v>
      </c>
      <c r="E6" s="5531" t="s">
        <v>1426</v>
      </c>
      <c r="F6" s="5537" t="s">
        <v>1343</v>
      </c>
      <c r="G6" s="5544"/>
      <c r="H6" s="5538"/>
      <c r="I6" s="5531" t="s">
        <v>1375</v>
      </c>
      <c r="J6" s="5537" t="s">
        <v>1340</v>
      </c>
      <c r="K6" s="5538"/>
      <c r="L6" s="5537" t="s">
        <v>1339</v>
      </c>
      <c r="M6" s="5544"/>
      <c r="N6" s="5538"/>
      <c r="O6" s="5531" t="s">
        <v>1425</v>
      </c>
      <c r="P6" s="5537" t="s">
        <v>1424</v>
      </c>
      <c r="Q6" s="5538"/>
      <c r="R6" s="5532"/>
      <c r="S6" s="660"/>
      <c r="T6" s="660"/>
    </row>
    <row r="7" spans="1:20" ht="12.75" customHeight="1" x14ac:dyDescent="0.2">
      <c r="A7" s="5520"/>
      <c r="B7" s="5532"/>
      <c r="C7" s="5532"/>
      <c r="D7" s="5532"/>
      <c r="E7" s="5532"/>
      <c r="F7" s="5539"/>
      <c r="G7" s="5545"/>
      <c r="H7" s="5540"/>
      <c r="I7" s="5532"/>
      <c r="J7" s="5539"/>
      <c r="K7" s="5540"/>
      <c r="L7" s="5539"/>
      <c r="M7" s="5545"/>
      <c r="N7" s="5540"/>
      <c r="O7" s="5532"/>
      <c r="P7" s="5539"/>
      <c r="Q7" s="5540"/>
      <c r="R7" s="5532"/>
      <c r="S7" s="660"/>
      <c r="T7" s="660"/>
    </row>
    <row r="8" spans="1:20" ht="54.75" customHeight="1" x14ac:dyDescent="0.2">
      <c r="A8" s="5520"/>
      <c r="B8" s="5532"/>
      <c r="C8" s="5532"/>
      <c r="D8" s="5532"/>
      <c r="E8" s="5532"/>
      <c r="F8" s="3411" t="s">
        <v>1334</v>
      </c>
      <c r="G8" s="3411" t="s">
        <v>1333</v>
      </c>
      <c r="H8" s="3411" t="s">
        <v>1332</v>
      </c>
      <c r="I8" s="5533"/>
      <c r="J8" s="3311" t="s">
        <v>1331</v>
      </c>
      <c r="K8" s="3311" t="s">
        <v>1330</v>
      </c>
      <c r="L8" s="3411" t="s">
        <v>1334</v>
      </c>
      <c r="M8" s="3411" t="s">
        <v>1333</v>
      </c>
      <c r="N8" s="3411" t="s">
        <v>1332</v>
      </c>
      <c r="O8" s="5533"/>
      <c r="P8" s="3311" t="s">
        <v>1331</v>
      </c>
      <c r="Q8" s="3311" t="s">
        <v>1330</v>
      </c>
      <c r="R8" s="5533"/>
      <c r="S8" s="660"/>
      <c r="T8" s="660"/>
    </row>
    <row r="9" spans="1:20" ht="15.95" customHeight="1" thickBot="1" x14ac:dyDescent="0.25">
      <c r="A9" s="5556"/>
      <c r="B9" s="5541"/>
      <c r="C9" s="5541"/>
      <c r="D9" s="5541"/>
      <c r="E9" s="5541"/>
      <c r="F9" s="5546" t="s">
        <v>1329</v>
      </c>
      <c r="G9" s="5547"/>
      <c r="H9" s="5547"/>
      <c r="I9" s="5547"/>
      <c r="J9" s="5547"/>
      <c r="K9" s="5548"/>
      <c r="L9" s="5546" t="s">
        <v>1328</v>
      </c>
      <c r="M9" s="5547"/>
      <c r="N9" s="5547"/>
      <c r="O9" s="5547"/>
      <c r="P9" s="5547"/>
      <c r="Q9" s="5548"/>
      <c r="R9" s="734" t="s">
        <v>1011</v>
      </c>
      <c r="S9" s="660"/>
      <c r="T9" s="660"/>
    </row>
    <row r="10" spans="1:20" ht="12.75" thickTop="1" x14ac:dyDescent="0.2">
      <c r="A10" s="733" t="s">
        <v>1460</v>
      </c>
      <c r="B10" s="3363" t="s">
        <v>986</v>
      </c>
      <c r="C10" s="3388">
        <v>26.432625000000002</v>
      </c>
      <c r="D10" s="3388">
        <v>26.432625000000002</v>
      </c>
      <c r="E10" s="3388" t="s">
        <v>259</v>
      </c>
      <c r="F10" s="3388" t="s">
        <v>259</v>
      </c>
      <c r="G10" s="3388" t="s">
        <v>259</v>
      </c>
      <c r="H10" s="3388" t="s">
        <v>259</v>
      </c>
      <c r="I10" s="3388" t="s">
        <v>259</v>
      </c>
      <c r="J10" s="3388" t="s">
        <v>259</v>
      </c>
      <c r="K10" s="3388" t="s">
        <v>259</v>
      </c>
      <c r="L10" s="3388" t="s">
        <v>259</v>
      </c>
      <c r="M10" s="3388" t="s">
        <v>259</v>
      </c>
      <c r="N10" s="3388" t="s">
        <v>259</v>
      </c>
      <c r="O10" s="3388" t="s">
        <v>259</v>
      </c>
      <c r="P10" s="3388" t="s">
        <v>259</v>
      </c>
      <c r="Q10" s="3388" t="s">
        <v>259</v>
      </c>
      <c r="R10" s="3388" t="s">
        <v>259</v>
      </c>
      <c r="S10" s="660"/>
      <c r="T10" s="660"/>
    </row>
    <row r="11" spans="1:20" ht="13.5" x14ac:dyDescent="0.2">
      <c r="A11" s="3417" t="s">
        <v>1459</v>
      </c>
      <c r="B11" s="3363" t="s">
        <v>986</v>
      </c>
      <c r="C11" s="3388">
        <v>26.432625000000002</v>
      </c>
      <c r="D11" s="3387">
        <v>26.432625000000002</v>
      </c>
      <c r="E11" s="3387" t="s">
        <v>259</v>
      </c>
      <c r="F11" s="3363" t="s">
        <v>986</v>
      </c>
      <c r="G11" s="3363" t="s">
        <v>986</v>
      </c>
      <c r="H11" s="3363" t="s">
        <v>986</v>
      </c>
      <c r="I11" s="3363" t="s">
        <v>986</v>
      </c>
      <c r="J11" s="3363" t="s">
        <v>986</v>
      </c>
      <c r="K11" s="3363" t="s">
        <v>986</v>
      </c>
      <c r="L11" s="3363" t="s">
        <v>986</v>
      </c>
      <c r="M11" s="3363" t="s">
        <v>986</v>
      </c>
      <c r="N11" s="3363" t="s">
        <v>986</v>
      </c>
      <c r="O11" s="3363" t="s">
        <v>986</v>
      </c>
      <c r="P11" s="3363" t="s">
        <v>986</v>
      </c>
      <c r="Q11" s="3363" t="s">
        <v>986</v>
      </c>
      <c r="R11" s="3363" t="s">
        <v>986</v>
      </c>
      <c r="S11" s="660"/>
      <c r="T11" s="660"/>
    </row>
    <row r="12" spans="1:20" ht="13.5" x14ac:dyDescent="0.2">
      <c r="A12" s="3422" t="s">
        <v>1458</v>
      </c>
      <c r="B12" s="3363" t="s">
        <v>986</v>
      </c>
      <c r="C12" s="3388" t="s">
        <v>259</v>
      </c>
      <c r="D12" s="3388" t="s">
        <v>259</v>
      </c>
      <c r="E12" s="3388" t="s">
        <v>259</v>
      </c>
      <c r="F12" s="3388" t="s">
        <v>259</v>
      </c>
      <c r="G12" s="3388" t="s">
        <v>259</v>
      </c>
      <c r="H12" s="3388" t="s">
        <v>259</v>
      </c>
      <c r="I12" s="3388" t="s">
        <v>259</v>
      </c>
      <c r="J12" s="3388" t="s">
        <v>259</v>
      </c>
      <c r="K12" s="3388" t="s">
        <v>259</v>
      </c>
      <c r="L12" s="3388" t="s">
        <v>259</v>
      </c>
      <c r="M12" s="3388" t="s">
        <v>259</v>
      </c>
      <c r="N12" s="3388" t="s">
        <v>259</v>
      </c>
      <c r="O12" s="3388" t="s">
        <v>259</v>
      </c>
      <c r="P12" s="3388" t="s">
        <v>259</v>
      </c>
      <c r="Q12" s="3388" t="s">
        <v>259</v>
      </c>
      <c r="R12" s="3388" t="s">
        <v>259</v>
      </c>
      <c r="S12" s="660"/>
      <c r="T12" s="660"/>
    </row>
    <row r="13" spans="1:20" x14ac:dyDescent="0.2">
      <c r="A13" s="3418" t="s">
        <v>1457</v>
      </c>
      <c r="B13" s="3363"/>
      <c r="C13" s="3388" t="s">
        <v>259</v>
      </c>
      <c r="D13" s="3388" t="s">
        <v>259</v>
      </c>
      <c r="E13" s="3388" t="s">
        <v>259</v>
      </c>
      <c r="F13" s="3388" t="s">
        <v>259</v>
      </c>
      <c r="G13" s="3388" t="s">
        <v>259</v>
      </c>
      <c r="H13" s="3388" t="s">
        <v>259</v>
      </c>
      <c r="I13" s="3388" t="s">
        <v>259</v>
      </c>
      <c r="J13" s="3388" t="s">
        <v>259</v>
      </c>
      <c r="K13" s="3388" t="s">
        <v>259</v>
      </c>
      <c r="L13" s="3388" t="s">
        <v>259</v>
      </c>
      <c r="M13" s="3388" t="s">
        <v>259</v>
      </c>
      <c r="N13" s="3388" t="s">
        <v>259</v>
      </c>
      <c r="O13" s="3388" t="s">
        <v>259</v>
      </c>
      <c r="P13" s="3388" t="s">
        <v>259</v>
      </c>
      <c r="Q13" s="3388" t="s">
        <v>259</v>
      </c>
      <c r="R13" s="3388" t="s">
        <v>259</v>
      </c>
      <c r="S13" s="660"/>
      <c r="T13" s="660"/>
    </row>
    <row r="14" spans="1:20" x14ac:dyDescent="0.2">
      <c r="A14" s="3390" t="s">
        <v>1319</v>
      </c>
      <c r="B14" s="3387" t="s">
        <v>1319</v>
      </c>
      <c r="C14" s="3388" t="s">
        <v>259</v>
      </c>
      <c r="D14" s="3387" t="s">
        <v>259</v>
      </c>
      <c r="E14" s="3387" t="s">
        <v>259</v>
      </c>
      <c r="F14" s="3388" t="s">
        <v>259</v>
      </c>
      <c r="G14" s="3388" t="s">
        <v>259</v>
      </c>
      <c r="H14" s="3388" t="s">
        <v>259</v>
      </c>
      <c r="I14" s="3388" t="s">
        <v>259</v>
      </c>
      <c r="J14" s="3388" t="s">
        <v>259</v>
      </c>
      <c r="K14" s="3388" t="s">
        <v>259</v>
      </c>
      <c r="L14" s="3387" t="s">
        <v>259</v>
      </c>
      <c r="M14" s="3387" t="s">
        <v>259</v>
      </c>
      <c r="N14" s="3388" t="s">
        <v>259</v>
      </c>
      <c r="O14" s="3387" t="s">
        <v>259</v>
      </c>
      <c r="P14" s="3387" t="s">
        <v>259</v>
      </c>
      <c r="Q14" s="3387" t="s">
        <v>259</v>
      </c>
      <c r="R14" s="3388" t="s">
        <v>259</v>
      </c>
      <c r="S14" s="660"/>
      <c r="T14" s="660"/>
    </row>
    <row r="15" spans="1:20" x14ac:dyDescent="0.2">
      <c r="A15" s="3418" t="s">
        <v>1456</v>
      </c>
      <c r="B15" s="3363"/>
      <c r="C15" s="3388" t="s">
        <v>259</v>
      </c>
      <c r="D15" s="3388" t="s">
        <v>259</v>
      </c>
      <c r="E15" s="3388" t="s">
        <v>259</v>
      </c>
      <c r="F15" s="3388" t="s">
        <v>259</v>
      </c>
      <c r="G15" s="3388" t="s">
        <v>259</v>
      </c>
      <c r="H15" s="3388" t="s">
        <v>259</v>
      </c>
      <c r="I15" s="3388" t="s">
        <v>259</v>
      </c>
      <c r="J15" s="3388" t="s">
        <v>259</v>
      </c>
      <c r="K15" s="3388" t="s">
        <v>259</v>
      </c>
      <c r="L15" s="3388" t="s">
        <v>259</v>
      </c>
      <c r="M15" s="3388" t="s">
        <v>259</v>
      </c>
      <c r="N15" s="3388" t="s">
        <v>259</v>
      </c>
      <c r="O15" s="3388" t="s">
        <v>259</v>
      </c>
      <c r="P15" s="3388" t="s">
        <v>259</v>
      </c>
      <c r="Q15" s="3388" t="s">
        <v>259</v>
      </c>
      <c r="R15" s="3388" t="s">
        <v>259</v>
      </c>
      <c r="S15" s="660"/>
      <c r="T15" s="660"/>
    </row>
    <row r="16" spans="1:20" x14ac:dyDescent="0.2">
      <c r="A16" s="3390" t="s">
        <v>1319</v>
      </c>
      <c r="B16" s="3387" t="s">
        <v>1319</v>
      </c>
      <c r="C16" s="3388" t="s">
        <v>259</v>
      </c>
      <c r="D16" s="3387" t="s">
        <v>259</v>
      </c>
      <c r="E16" s="3387" t="s">
        <v>259</v>
      </c>
      <c r="F16" s="3388" t="s">
        <v>259</v>
      </c>
      <c r="G16" s="3388" t="s">
        <v>259</v>
      </c>
      <c r="H16" s="3388" t="s">
        <v>259</v>
      </c>
      <c r="I16" s="3388" t="s">
        <v>259</v>
      </c>
      <c r="J16" s="3388" t="s">
        <v>259</v>
      </c>
      <c r="K16" s="3388" t="s">
        <v>259</v>
      </c>
      <c r="L16" s="3387" t="s">
        <v>259</v>
      </c>
      <c r="M16" s="3387" t="s">
        <v>259</v>
      </c>
      <c r="N16" s="3388" t="s">
        <v>259</v>
      </c>
      <c r="O16" s="3387" t="s">
        <v>259</v>
      </c>
      <c r="P16" s="3387" t="s">
        <v>259</v>
      </c>
      <c r="Q16" s="3387" t="s">
        <v>259</v>
      </c>
      <c r="R16" s="3388" t="s">
        <v>259</v>
      </c>
      <c r="S16" s="660"/>
      <c r="T16" s="660"/>
    </row>
    <row r="17" spans="1:20" x14ac:dyDescent="0.2">
      <c r="A17" s="3418" t="s">
        <v>1455</v>
      </c>
      <c r="B17" s="3363"/>
      <c r="C17" s="3388" t="s">
        <v>259</v>
      </c>
      <c r="D17" s="3388" t="s">
        <v>259</v>
      </c>
      <c r="E17" s="3388" t="s">
        <v>259</v>
      </c>
      <c r="F17" s="3388" t="s">
        <v>259</v>
      </c>
      <c r="G17" s="3388" t="s">
        <v>259</v>
      </c>
      <c r="H17" s="3388" t="s">
        <v>259</v>
      </c>
      <c r="I17" s="3388" t="s">
        <v>259</v>
      </c>
      <c r="J17" s="3388" t="s">
        <v>259</v>
      </c>
      <c r="K17" s="3388" t="s">
        <v>259</v>
      </c>
      <c r="L17" s="3388" t="s">
        <v>259</v>
      </c>
      <c r="M17" s="3388" t="s">
        <v>259</v>
      </c>
      <c r="N17" s="3388" t="s">
        <v>259</v>
      </c>
      <c r="O17" s="3388" t="s">
        <v>259</v>
      </c>
      <c r="P17" s="3388" t="s">
        <v>259</v>
      </c>
      <c r="Q17" s="3388" t="s">
        <v>259</v>
      </c>
      <c r="R17" s="3388" t="s">
        <v>259</v>
      </c>
      <c r="S17" s="660"/>
      <c r="T17" s="660"/>
    </row>
    <row r="18" spans="1:20" x14ac:dyDescent="0.2">
      <c r="A18" s="3390" t="s">
        <v>1319</v>
      </c>
      <c r="B18" s="3387" t="s">
        <v>1319</v>
      </c>
      <c r="C18" s="3388" t="s">
        <v>259</v>
      </c>
      <c r="D18" s="3387" t="s">
        <v>259</v>
      </c>
      <c r="E18" s="3387" t="s">
        <v>259</v>
      </c>
      <c r="F18" s="3388" t="s">
        <v>259</v>
      </c>
      <c r="G18" s="3388" t="s">
        <v>259</v>
      </c>
      <c r="H18" s="3388" t="s">
        <v>259</v>
      </c>
      <c r="I18" s="3388" t="s">
        <v>259</v>
      </c>
      <c r="J18" s="3388" t="s">
        <v>259</v>
      </c>
      <c r="K18" s="3388" t="s">
        <v>259</v>
      </c>
      <c r="L18" s="3387" t="s">
        <v>259</v>
      </c>
      <c r="M18" s="3387" t="s">
        <v>259</v>
      </c>
      <c r="N18" s="3388" t="s">
        <v>259</v>
      </c>
      <c r="O18" s="3387" t="s">
        <v>259</v>
      </c>
      <c r="P18" s="3387" t="s">
        <v>259</v>
      </c>
      <c r="Q18" s="3387" t="s">
        <v>259</v>
      </c>
      <c r="R18" s="3388" t="s">
        <v>259</v>
      </c>
      <c r="S18" s="660"/>
      <c r="T18" s="660"/>
    </row>
    <row r="19" spans="1:20" x14ac:dyDescent="0.2">
      <c r="A19" s="3418" t="s">
        <v>1454</v>
      </c>
      <c r="B19" s="3363"/>
      <c r="C19" s="3388" t="s">
        <v>259</v>
      </c>
      <c r="D19" s="3388" t="s">
        <v>259</v>
      </c>
      <c r="E19" s="3388" t="s">
        <v>259</v>
      </c>
      <c r="F19" s="3388" t="s">
        <v>259</v>
      </c>
      <c r="G19" s="3388" t="s">
        <v>259</v>
      </c>
      <c r="H19" s="3388" t="s">
        <v>259</v>
      </c>
      <c r="I19" s="3388" t="s">
        <v>259</v>
      </c>
      <c r="J19" s="3388" t="s">
        <v>259</v>
      </c>
      <c r="K19" s="3388" t="s">
        <v>259</v>
      </c>
      <c r="L19" s="3388" t="s">
        <v>259</v>
      </c>
      <c r="M19" s="3388" t="s">
        <v>259</v>
      </c>
      <c r="N19" s="3388" t="s">
        <v>259</v>
      </c>
      <c r="O19" s="3388" t="s">
        <v>259</v>
      </c>
      <c r="P19" s="3388" t="s">
        <v>259</v>
      </c>
      <c r="Q19" s="3388" t="s">
        <v>259</v>
      </c>
      <c r="R19" s="3388" t="s">
        <v>259</v>
      </c>
      <c r="S19" s="660"/>
      <c r="T19" s="660"/>
    </row>
    <row r="20" spans="1:20" x14ac:dyDescent="0.2">
      <c r="A20" s="3390" t="s">
        <v>1319</v>
      </c>
      <c r="B20" s="3387" t="s">
        <v>1319</v>
      </c>
      <c r="C20" s="3388" t="s">
        <v>259</v>
      </c>
      <c r="D20" s="3387" t="s">
        <v>259</v>
      </c>
      <c r="E20" s="3387" t="s">
        <v>259</v>
      </c>
      <c r="F20" s="3388" t="s">
        <v>259</v>
      </c>
      <c r="G20" s="3388" t="s">
        <v>259</v>
      </c>
      <c r="H20" s="3388" t="s">
        <v>259</v>
      </c>
      <c r="I20" s="3388" t="s">
        <v>259</v>
      </c>
      <c r="J20" s="3388" t="s">
        <v>259</v>
      </c>
      <c r="K20" s="3388" t="s">
        <v>259</v>
      </c>
      <c r="L20" s="3387" t="s">
        <v>259</v>
      </c>
      <c r="M20" s="3387" t="s">
        <v>259</v>
      </c>
      <c r="N20" s="3388" t="s">
        <v>259</v>
      </c>
      <c r="O20" s="3387" t="s">
        <v>259</v>
      </c>
      <c r="P20" s="3387" t="s">
        <v>259</v>
      </c>
      <c r="Q20" s="3387" t="s">
        <v>259</v>
      </c>
      <c r="R20" s="3388" t="s">
        <v>259</v>
      </c>
      <c r="S20" s="660"/>
      <c r="T20" s="660"/>
    </row>
    <row r="21" spans="1:20" x14ac:dyDescent="0.2">
      <c r="A21" s="3418" t="s">
        <v>1453</v>
      </c>
      <c r="B21" s="3363"/>
      <c r="C21" s="3388" t="s">
        <v>259</v>
      </c>
      <c r="D21" s="3388" t="s">
        <v>259</v>
      </c>
      <c r="E21" s="3388" t="s">
        <v>259</v>
      </c>
      <c r="F21" s="3388" t="s">
        <v>259</v>
      </c>
      <c r="G21" s="3388" t="s">
        <v>259</v>
      </c>
      <c r="H21" s="3388" t="s">
        <v>259</v>
      </c>
      <c r="I21" s="3388" t="s">
        <v>259</v>
      </c>
      <c r="J21" s="3388" t="s">
        <v>259</v>
      </c>
      <c r="K21" s="3388" t="s">
        <v>259</v>
      </c>
      <c r="L21" s="3388" t="s">
        <v>259</v>
      </c>
      <c r="M21" s="3388" t="s">
        <v>259</v>
      </c>
      <c r="N21" s="3388" t="s">
        <v>259</v>
      </c>
      <c r="O21" s="3388" t="s">
        <v>259</v>
      </c>
      <c r="P21" s="3388" t="s">
        <v>259</v>
      </c>
      <c r="Q21" s="3388" t="s">
        <v>259</v>
      </c>
      <c r="R21" s="3388" t="s">
        <v>259</v>
      </c>
      <c r="S21" s="660"/>
      <c r="T21" s="660"/>
    </row>
    <row r="22" spans="1:20" x14ac:dyDescent="0.2">
      <c r="A22" s="3390" t="s">
        <v>1319</v>
      </c>
      <c r="B22" s="3387" t="s">
        <v>1319</v>
      </c>
      <c r="C22" s="3388" t="s">
        <v>259</v>
      </c>
      <c r="D22" s="3387" t="s">
        <v>259</v>
      </c>
      <c r="E22" s="3387" t="s">
        <v>259</v>
      </c>
      <c r="F22" s="3388" t="s">
        <v>259</v>
      </c>
      <c r="G22" s="3388" t="s">
        <v>259</v>
      </c>
      <c r="H22" s="3388" t="s">
        <v>259</v>
      </c>
      <c r="I22" s="3388" t="s">
        <v>259</v>
      </c>
      <c r="J22" s="3388" t="s">
        <v>259</v>
      </c>
      <c r="K22" s="3388" t="s">
        <v>259</v>
      </c>
      <c r="L22" s="3387" t="s">
        <v>259</v>
      </c>
      <c r="M22" s="3387" t="s">
        <v>259</v>
      </c>
      <c r="N22" s="3388" t="s">
        <v>259</v>
      </c>
      <c r="O22" s="3387" t="s">
        <v>259</v>
      </c>
      <c r="P22" s="3387" t="s">
        <v>259</v>
      </c>
      <c r="Q22" s="3387" t="s">
        <v>259</v>
      </c>
      <c r="R22" s="3388" t="s">
        <v>259</v>
      </c>
      <c r="S22" s="660"/>
      <c r="T22" s="660"/>
    </row>
    <row r="23" spans="1:20" ht="13.5" customHeight="1" x14ac:dyDescent="0.2">
      <c r="A23" s="678" t="s">
        <v>564</v>
      </c>
      <c r="B23" s="663"/>
      <c r="C23" s="663"/>
      <c r="D23" s="663"/>
      <c r="E23" s="663"/>
      <c r="F23" s="663"/>
      <c r="G23" s="663"/>
      <c r="H23" s="663"/>
      <c r="I23" s="663"/>
      <c r="J23" s="663"/>
      <c r="K23" s="663"/>
      <c r="L23" s="663"/>
      <c r="M23" s="663"/>
      <c r="N23" s="663"/>
      <c r="O23" s="663"/>
      <c r="P23" s="663"/>
      <c r="Q23" s="663"/>
      <c r="R23" s="663"/>
      <c r="S23" s="660"/>
      <c r="T23" s="660"/>
    </row>
    <row r="24" spans="1:20" ht="28.5" customHeight="1" x14ac:dyDescent="0.2">
      <c r="A24" s="5558" t="s">
        <v>1452</v>
      </c>
      <c r="B24" s="5558"/>
      <c r="C24" s="5558"/>
      <c r="D24" s="5558"/>
      <c r="E24" s="5558"/>
      <c r="F24" s="5558"/>
      <c r="G24" s="5558"/>
      <c r="H24" s="5558"/>
      <c r="I24" s="5558"/>
      <c r="J24" s="5558"/>
      <c r="K24" s="5558"/>
      <c r="L24" s="5558"/>
      <c r="M24" s="5558"/>
      <c r="N24" s="5558"/>
      <c r="O24" s="5558"/>
      <c r="P24" s="5558"/>
      <c r="Q24" s="5558"/>
      <c r="R24" s="663"/>
      <c r="S24" s="660"/>
      <c r="T24" s="660"/>
    </row>
    <row r="25" spans="1:20" x14ac:dyDescent="0.2">
      <c r="A25" s="5582" t="s">
        <v>1451</v>
      </c>
      <c r="B25" s="5555"/>
      <c r="C25" s="5555"/>
      <c r="D25" s="5555"/>
      <c r="E25" s="5555"/>
      <c r="F25" s="5555"/>
      <c r="G25" s="5555"/>
      <c r="H25" s="5555"/>
      <c r="I25" s="5555"/>
      <c r="J25" s="5555"/>
      <c r="K25" s="5555"/>
      <c r="L25" s="5555"/>
      <c r="M25" s="5555"/>
      <c r="N25" s="5555"/>
      <c r="O25" s="5555"/>
      <c r="P25" s="5555"/>
      <c r="Q25" s="5555"/>
      <c r="R25" s="5555"/>
      <c r="S25" s="660"/>
      <c r="T25" s="660"/>
    </row>
    <row r="26" spans="1:20" ht="13.5" x14ac:dyDescent="0.2">
      <c r="A26" s="5560" t="s">
        <v>1316</v>
      </c>
      <c r="B26" s="5560"/>
      <c r="C26" s="5560"/>
      <c r="D26" s="5560"/>
      <c r="E26" s="5560"/>
      <c r="F26" s="5560"/>
      <c r="G26" s="5560"/>
      <c r="H26" s="5560"/>
      <c r="I26" s="5560"/>
      <c r="J26" s="5560"/>
      <c r="K26" s="5560"/>
      <c r="L26" s="5560"/>
      <c r="M26" s="5560"/>
      <c r="N26" s="5560"/>
      <c r="O26" s="5560"/>
      <c r="P26" s="3313"/>
      <c r="Q26" s="663"/>
      <c r="R26" s="663"/>
      <c r="S26" s="660"/>
      <c r="T26" s="660"/>
    </row>
    <row r="27" spans="1:20" ht="13.5" x14ac:dyDescent="0.2">
      <c r="A27" s="5557" t="s">
        <v>1405</v>
      </c>
      <c r="B27" s="5557"/>
      <c r="C27" s="5557"/>
      <c r="D27" s="5557"/>
      <c r="E27" s="5557"/>
      <c r="F27" s="5557"/>
      <c r="G27" s="5557"/>
      <c r="H27" s="5557"/>
      <c r="I27" s="5557"/>
      <c r="J27" s="3312"/>
      <c r="K27" s="663"/>
      <c r="L27" s="663"/>
      <c r="M27" s="663"/>
      <c r="N27" s="663"/>
      <c r="O27" s="663"/>
      <c r="P27" s="663"/>
      <c r="Q27" s="663"/>
      <c r="R27" s="663"/>
      <c r="S27" s="660"/>
      <c r="T27" s="660"/>
    </row>
    <row r="28" spans="1:20" ht="13.5" x14ac:dyDescent="0.2">
      <c r="A28" s="5554" t="s">
        <v>1433</v>
      </c>
      <c r="B28" s="5554"/>
      <c r="C28" s="5554"/>
      <c r="D28" s="5554"/>
      <c r="E28" s="5554"/>
      <c r="F28" s="5554"/>
      <c r="G28" s="5554"/>
      <c r="H28" s="5554"/>
      <c r="I28" s="5554"/>
      <c r="J28" s="5554"/>
      <c r="K28" s="5554"/>
      <c r="L28" s="5554"/>
      <c r="M28" s="5554"/>
      <c r="N28" s="5554"/>
      <c r="O28" s="5554"/>
      <c r="P28" s="5554"/>
      <c r="Q28" s="5554"/>
      <c r="R28" s="5554"/>
      <c r="S28" s="660"/>
      <c r="T28" s="660"/>
    </row>
    <row r="29" spans="1:20" ht="13.5" x14ac:dyDescent="0.2">
      <c r="A29" s="5583" t="s">
        <v>1450</v>
      </c>
      <c r="B29" s="5583"/>
      <c r="C29" s="5583"/>
      <c r="D29" s="5583"/>
      <c r="E29" s="5583"/>
      <c r="F29" s="5583"/>
      <c r="G29" s="5583"/>
      <c r="H29" s="5583"/>
      <c r="I29" s="5583"/>
      <c r="J29" s="5583"/>
      <c r="K29" s="5583"/>
      <c r="L29" s="5583"/>
      <c r="M29" s="5583"/>
      <c r="N29" s="5583"/>
      <c r="O29" s="5583"/>
      <c r="P29" s="5583"/>
      <c r="Q29" s="5583"/>
      <c r="R29" s="5583"/>
      <c r="S29" s="660"/>
      <c r="T29" s="660"/>
    </row>
    <row r="30" spans="1:20" ht="13.5" x14ac:dyDescent="0.2">
      <c r="A30" s="749" t="s">
        <v>1449</v>
      </c>
      <c r="B30" s="749"/>
      <c r="C30" s="749"/>
      <c r="D30" s="749"/>
      <c r="E30" s="749"/>
      <c r="F30" s="749"/>
      <c r="G30" s="749"/>
      <c r="H30" s="749"/>
      <c r="I30" s="749"/>
      <c r="J30" s="749"/>
      <c r="K30" s="749"/>
      <c r="L30" s="749"/>
      <c r="M30" s="749"/>
      <c r="N30" s="749"/>
      <c r="O30" s="749"/>
      <c r="P30" s="749"/>
      <c r="Q30" s="749"/>
      <c r="R30" s="749"/>
      <c r="S30" s="660"/>
      <c r="T30" s="660"/>
    </row>
    <row r="31" spans="1:20" ht="10.5" customHeight="1" x14ac:dyDescent="0.2">
      <c r="A31" s="749"/>
      <c r="B31" s="731"/>
      <c r="C31" s="731"/>
      <c r="D31" s="731"/>
      <c r="E31" s="731"/>
      <c r="F31" s="731"/>
      <c r="G31" s="731"/>
      <c r="H31" s="731"/>
      <c r="I31" s="731"/>
      <c r="J31" s="731"/>
      <c r="K31" s="731"/>
      <c r="L31" s="731"/>
      <c r="M31" s="731"/>
      <c r="N31" s="731"/>
      <c r="O31" s="731"/>
      <c r="P31" s="731"/>
      <c r="Q31" s="731"/>
      <c r="R31" s="731"/>
      <c r="S31" s="660"/>
      <c r="T31" s="660"/>
    </row>
    <row r="32" spans="1:20" ht="15.75" customHeight="1" x14ac:dyDescent="0.2">
      <c r="A32" s="3416" t="s">
        <v>982</v>
      </c>
      <c r="B32" s="3414"/>
      <c r="C32" s="3414"/>
      <c r="D32" s="3414"/>
      <c r="E32" s="3414"/>
      <c r="F32" s="3414"/>
      <c r="G32" s="3414"/>
      <c r="H32" s="3414"/>
      <c r="I32" s="3414"/>
      <c r="J32" s="3414"/>
      <c r="K32" s="3414"/>
      <c r="L32" s="3414"/>
      <c r="M32" s="3414"/>
      <c r="N32" s="3414"/>
      <c r="O32" s="3414"/>
      <c r="P32" s="3414"/>
      <c r="Q32" s="3414"/>
      <c r="R32" s="3413"/>
      <c r="S32" s="660"/>
      <c r="T32" s="660"/>
    </row>
    <row r="33" spans="1:20" ht="33.75" customHeight="1" x14ac:dyDescent="0.2">
      <c r="A33" s="5581" t="s">
        <v>1448</v>
      </c>
      <c r="B33" s="5563"/>
      <c r="C33" s="5563"/>
      <c r="D33" s="5563"/>
      <c r="E33" s="5563"/>
      <c r="F33" s="5563"/>
      <c r="G33" s="5563"/>
      <c r="H33" s="5563"/>
      <c r="I33" s="5563"/>
      <c r="J33" s="5563"/>
      <c r="K33" s="5563"/>
      <c r="L33" s="5563"/>
      <c r="M33" s="5563"/>
      <c r="N33" s="5563"/>
      <c r="O33" s="5563"/>
      <c r="P33" s="5563"/>
      <c r="Q33" s="5563"/>
      <c r="R33" s="5564"/>
      <c r="S33" s="660"/>
      <c r="T33" s="660"/>
    </row>
    <row r="34" spans="1:20" ht="12" customHeight="1" x14ac:dyDescent="0.2">
      <c r="A34" s="3412" t="s">
        <v>980</v>
      </c>
      <c r="B34" s="5473" t="s">
        <v>986</v>
      </c>
      <c r="C34" s="5527"/>
      <c r="D34" s="5527"/>
      <c r="E34" s="5527"/>
      <c r="F34" s="5527"/>
      <c r="G34" s="5527"/>
      <c r="H34" s="5527"/>
      <c r="I34" s="5527"/>
      <c r="J34" s="5527"/>
      <c r="K34" s="5527"/>
      <c r="L34" s="5527"/>
      <c r="M34" s="5527"/>
      <c r="N34" s="5527"/>
      <c r="O34" s="5527"/>
      <c r="P34" s="5527"/>
      <c r="Q34" s="5527"/>
      <c r="R34" s="5527"/>
      <c r="S34" s="660"/>
      <c r="T34" s="660"/>
    </row>
    <row r="35" spans="1:20" ht="12" customHeight="1" x14ac:dyDescent="0.2">
      <c r="A35" s="3412" t="s">
        <v>980</v>
      </c>
      <c r="B35" s="5473" t="s">
        <v>986</v>
      </c>
      <c r="C35" s="5527"/>
      <c r="D35" s="5527"/>
      <c r="E35" s="5527"/>
      <c r="F35" s="5527"/>
      <c r="G35" s="5527"/>
      <c r="H35" s="5527"/>
      <c r="I35" s="5527"/>
      <c r="J35" s="5527"/>
      <c r="K35" s="5527"/>
      <c r="L35" s="5527"/>
      <c r="M35" s="5527"/>
      <c r="N35" s="5527"/>
      <c r="O35" s="5527"/>
      <c r="P35" s="5527"/>
      <c r="Q35" s="5527"/>
      <c r="R35" s="5527"/>
    </row>
  </sheetData>
  <sheetProtection password="A754" sheet="1" objects="1" scenarios="1"/>
  <mergeCells count="27">
    <mergeCell ref="A26:O26"/>
    <mergeCell ref="A27:I27"/>
    <mergeCell ref="A28:R28"/>
    <mergeCell ref="A29:R29"/>
    <mergeCell ref="A24:Q24"/>
    <mergeCell ref="B34:R34"/>
    <mergeCell ref="B35:R35"/>
    <mergeCell ref="A5:B5"/>
    <mergeCell ref="F5:K5"/>
    <mergeCell ref="L5:Q5"/>
    <mergeCell ref="R5:R8"/>
    <mergeCell ref="A6:A9"/>
    <mergeCell ref="B6:B9"/>
    <mergeCell ref="C6:C9"/>
    <mergeCell ref="C5:E5"/>
    <mergeCell ref="D6:D9"/>
    <mergeCell ref="E6:E9"/>
    <mergeCell ref="J6:K7"/>
    <mergeCell ref="A33:R33"/>
    <mergeCell ref="A25:R25"/>
    <mergeCell ref="F6:H7"/>
    <mergeCell ref="I6:I8"/>
    <mergeCell ref="L6:N7"/>
    <mergeCell ref="O6:O8"/>
    <mergeCell ref="F9:K9"/>
    <mergeCell ref="L9:Q9"/>
    <mergeCell ref="P6:Q7"/>
  </mergeCells>
  <printOptions horizontalCentered="1" verticalCentered="1"/>
  <pageMargins left="0.39370078740157483" right="0.39370078740157483" top="0.39370078740157483" bottom="0.39370078740157483" header="0.19685039370078741" footer="0.19685039370078741"/>
  <pageSetup paperSize="9" scale="49" orientation="landscape" r:id="rId1"/>
  <headerFooter alignWithMargins="0"/>
  <colBreaks count="1" manualBreakCount="1">
    <brk id="18" max="1048575" man="1"/>
  </col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DAE46-D4AF-4768-83DF-61BFE0EA7AFF}">
  <sheetPr codeName="Ark29">
    <tabColor theme="0" tint="-0.14999847407452621"/>
    <pageSetUpPr fitToPage="1"/>
  </sheetPr>
  <dimension ref="A1:J81"/>
  <sheetViews>
    <sheetView showGridLines="0" workbookViewId="0"/>
  </sheetViews>
  <sheetFormatPr defaultColWidth="9.140625" defaultRowHeight="12" x14ac:dyDescent="0.2"/>
  <cols>
    <col min="1" max="1" width="46.42578125" style="3426" customWidth="1"/>
    <col min="2" max="2" width="13.7109375" style="3426" customWidth="1"/>
    <col min="3" max="3" width="20" style="3426" customWidth="1"/>
    <col min="4" max="6" width="16.85546875" style="3426" customWidth="1"/>
    <col min="7" max="9" width="17.5703125" style="3426" customWidth="1"/>
    <col min="10" max="16384" width="9.140625" style="3426"/>
  </cols>
  <sheetData>
    <row r="1" spans="1:10" ht="15.75" x14ac:dyDescent="0.25">
      <c r="A1" s="671" t="s">
        <v>1497</v>
      </c>
      <c r="B1" s="670"/>
      <c r="C1" s="670"/>
      <c r="D1" s="660"/>
      <c r="E1" s="660"/>
      <c r="F1" s="660"/>
      <c r="G1" s="660"/>
      <c r="H1" s="660"/>
      <c r="I1" s="668" t="s">
        <v>1028</v>
      </c>
      <c r="J1" s="3429"/>
    </row>
    <row r="2" spans="1:10" ht="15.75" x14ac:dyDescent="0.25">
      <c r="A2" s="5430" t="s">
        <v>1496</v>
      </c>
      <c r="B2" s="5430"/>
      <c r="C2" s="5430"/>
      <c r="D2" s="753"/>
      <c r="E2" s="660"/>
      <c r="F2" s="660"/>
      <c r="G2" s="660"/>
      <c r="H2" s="660"/>
      <c r="I2" s="668" t="s">
        <v>5183</v>
      </c>
      <c r="J2" s="3429"/>
    </row>
    <row r="3" spans="1:10" ht="15.75" x14ac:dyDescent="0.25">
      <c r="A3" s="671" t="s">
        <v>1197</v>
      </c>
      <c r="B3" s="670"/>
      <c r="C3" s="670"/>
      <c r="D3" s="660"/>
      <c r="E3" s="660"/>
      <c r="F3" s="660"/>
      <c r="G3" s="660"/>
      <c r="H3" s="660"/>
      <c r="I3" s="668" t="s">
        <v>1789</v>
      </c>
      <c r="J3" s="3429"/>
    </row>
    <row r="4" spans="1:10" x14ac:dyDescent="0.2">
      <c r="A4" s="660"/>
      <c r="B4" s="660"/>
      <c r="C4" s="660"/>
      <c r="D4" s="660"/>
      <c r="E4" s="660"/>
      <c r="F4" s="660"/>
      <c r="G4" s="660"/>
      <c r="H4" s="660"/>
      <c r="I4" s="660"/>
      <c r="J4" s="3429"/>
    </row>
    <row r="5" spans="1:10" ht="15" customHeight="1" x14ac:dyDescent="0.2">
      <c r="A5" s="3445" t="s">
        <v>1025</v>
      </c>
      <c r="B5" s="5544" t="s">
        <v>1495</v>
      </c>
      <c r="C5" s="3444" t="s">
        <v>1083</v>
      </c>
      <c r="D5" s="5544" t="s">
        <v>1494</v>
      </c>
      <c r="E5" s="5544"/>
      <c r="F5" s="5544"/>
      <c r="G5" s="5537" t="s">
        <v>1081</v>
      </c>
      <c r="H5" s="5544"/>
      <c r="I5" s="5538"/>
      <c r="J5" s="3429"/>
    </row>
    <row r="6" spans="1:10" ht="15" x14ac:dyDescent="0.25">
      <c r="A6" s="5519" t="s">
        <v>1493</v>
      </c>
      <c r="B6" s="5587"/>
      <c r="C6" s="3442" t="s">
        <v>1492</v>
      </c>
      <c r="D6" s="3443" t="s">
        <v>1491</v>
      </c>
      <c r="E6" s="3443" t="s">
        <v>1490</v>
      </c>
      <c r="F6" s="3442" t="s">
        <v>1489</v>
      </c>
      <c r="G6" s="3441" t="s">
        <v>1488</v>
      </c>
      <c r="H6" s="3441" t="s">
        <v>1022</v>
      </c>
      <c r="I6" s="3441" t="s">
        <v>1023</v>
      </c>
      <c r="J6" s="3429"/>
    </row>
    <row r="7" spans="1:10" ht="14.25" thickBot="1" x14ac:dyDescent="0.3">
      <c r="A7" s="5556"/>
      <c r="B7" s="5588"/>
      <c r="C7" s="752" t="s">
        <v>1487</v>
      </c>
      <c r="D7" s="752" t="s">
        <v>1486</v>
      </c>
      <c r="E7" s="751" t="s">
        <v>1485</v>
      </c>
      <c r="F7" s="750" t="s">
        <v>1484</v>
      </c>
      <c r="G7" s="5584" t="s">
        <v>1011</v>
      </c>
      <c r="H7" s="5585"/>
      <c r="I7" s="5586"/>
      <c r="J7" s="3429"/>
    </row>
    <row r="8" spans="1:10" ht="12" customHeight="1" thickTop="1" x14ac:dyDescent="0.2">
      <c r="A8" s="3306" t="s">
        <v>1483</v>
      </c>
      <c r="B8" s="3363" t="s">
        <v>986</v>
      </c>
      <c r="C8" s="3363" t="s">
        <v>986</v>
      </c>
      <c r="D8" s="3363" t="s">
        <v>986</v>
      </c>
      <c r="E8" s="3363" t="s">
        <v>986</v>
      </c>
      <c r="F8" s="3363" t="s">
        <v>986</v>
      </c>
      <c r="G8" s="3388">
        <v>39.829740563999998</v>
      </c>
      <c r="H8" s="3388">
        <v>8.1067982580879994E-2</v>
      </c>
      <c r="I8" s="3388">
        <v>12.04942519089</v>
      </c>
      <c r="J8" s="3429"/>
    </row>
    <row r="9" spans="1:10" ht="12" customHeight="1" x14ac:dyDescent="0.2">
      <c r="A9" s="3430" t="s">
        <v>1482</v>
      </c>
      <c r="B9" s="3363" t="s">
        <v>986</v>
      </c>
      <c r="C9" s="3363" t="s">
        <v>986</v>
      </c>
      <c r="D9" s="3363" t="s">
        <v>986</v>
      </c>
      <c r="E9" s="3363" t="s">
        <v>986</v>
      </c>
      <c r="F9" s="3363" t="s">
        <v>986</v>
      </c>
      <c r="G9" s="3388" t="s">
        <v>1366</v>
      </c>
      <c r="H9" s="3388">
        <v>8.0690937613000002E-2</v>
      </c>
      <c r="I9" s="3388">
        <v>1.1768829986</v>
      </c>
      <c r="J9" s="3429"/>
    </row>
    <row r="10" spans="1:10" ht="12" customHeight="1" x14ac:dyDescent="0.2">
      <c r="A10" s="3439" t="s">
        <v>1476</v>
      </c>
      <c r="B10" s="3363"/>
      <c r="C10" s="3388">
        <v>18.338849456999998</v>
      </c>
      <c r="D10" s="3388" t="s">
        <v>1366</v>
      </c>
      <c r="E10" s="3388">
        <v>2.8000000000763401</v>
      </c>
      <c r="F10" s="3388">
        <v>64.174309373087723</v>
      </c>
      <c r="G10" s="3388" t="s">
        <v>1366</v>
      </c>
      <c r="H10" s="3388">
        <v>8.0690937613000002E-2</v>
      </c>
      <c r="I10" s="3388">
        <v>1.1768829986</v>
      </c>
      <c r="J10" s="3429"/>
    </row>
    <row r="11" spans="1:10" ht="12" customHeight="1" x14ac:dyDescent="0.2">
      <c r="A11" s="3440" t="s">
        <v>1475</v>
      </c>
      <c r="B11" s="3363"/>
      <c r="C11" s="3388">
        <v>18.338849456999998</v>
      </c>
      <c r="D11" s="3388" t="s">
        <v>455</v>
      </c>
      <c r="E11" s="3388">
        <v>2.8000000000763401</v>
      </c>
      <c r="F11" s="3388">
        <v>64.174309373087723</v>
      </c>
      <c r="G11" s="3388" t="s">
        <v>455</v>
      </c>
      <c r="H11" s="3388">
        <v>8.0690937613000002E-2</v>
      </c>
      <c r="I11" s="3388">
        <v>1.1768829986</v>
      </c>
      <c r="J11" s="3429"/>
    </row>
    <row r="12" spans="1:10" ht="12" customHeight="1" x14ac:dyDescent="0.2">
      <c r="A12" s="3438" t="s">
        <v>1319</v>
      </c>
      <c r="B12" s="3387" t="s">
        <v>1319</v>
      </c>
      <c r="C12" s="3387">
        <v>18.338849456999998</v>
      </c>
      <c r="D12" s="3388" t="s">
        <v>455</v>
      </c>
      <c r="E12" s="3388">
        <v>2.8000000000763401</v>
      </c>
      <c r="F12" s="3388">
        <v>64.174309373087723</v>
      </c>
      <c r="G12" s="3387" t="s">
        <v>455</v>
      </c>
      <c r="H12" s="3387">
        <v>8.0690937613000002E-2</v>
      </c>
      <c r="I12" s="3387">
        <v>1.1768829986</v>
      </c>
      <c r="J12" s="3429"/>
    </row>
    <row r="13" spans="1:10" ht="12" customHeight="1" x14ac:dyDescent="0.2">
      <c r="A13" s="3440" t="s">
        <v>1474</v>
      </c>
      <c r="B13" s="3363"/>
      <c r="C13" s="3388" t="s">
        <v>455</v>
      </c>
      <c r="D13" s="3388" t="s">
        <v>455</v>
      </c>
      <c r="E13" s="3388" t="s">
        <v>455</v>
      </c>
      <c r="F13" s="3388" t="s">
        <v>455</v>
      </c>
      <c r="G13" s="3388" t="s">
        <v>455</v>
      </c>
      <c r="H13" s="3388" t="s">
        <v>455</v>
      </c>
      <c r="I13" s="3388" t="s">
        <v>455</v>
      </c>
      <c r="J13" s="3429"/>
    </row>
    <row r="14" spans="1:10" ht="12" customHeight="1" x14ac:dyDescent="0.2">
      <c r="A14" s="3438" t="s">
        <v>1319</v>
      </c>
      <c r="B14" s="3387" t="s">
        <v>1319</v>
      </c>
      <c r="C14" s="3387" t="s">
        <v>455</v>
      </c>
      <c r="D14" s="3388" t="s">
        <v>455</v>
      </c>
      <c r="E14" s="3388" t="s">
        <v>455</v>
      </c>
      <c r="F14" s="3388" t="s">
        <v>455</v>
      </c>
      <c r="G14" s="3387" t="s">
        <v>455</v>
      </c>
      <c r="H14" s="3387" t="s">
        <v>455</v>
      </c>
      <c r="I14" s="3387" t="s">
        <v>455</v>
      </c>
      <c r="J14" s="3429"/>
    </row>
    <row r="15" spans="1:10" ht="12" customHeight="1" x14ac:dyDescent="0.2">
      <c r="A15" s="3437" t="s">
        <v>1218</v>
      </c>
      <c r="B15" s="3363"/>
      <c r="C15" s="3388" t="s">
        <v>259</v>
      </c>
      <c r="D15" s="3388" t="s">
        <v>259</v>
      </c>
      <c r="E15" s="3388" t="s">
        <v>259</v>
      </c>
      <c r="F15" s="3388" t="s">
        <v>259</v>
      </c>
      <c r="G15" s="3388" t="s">
        <v>259</v>
      </c>
      <c r="H15" s="3388" t="s">
        <v>259</v>
      </c>
      <c r="I15" s="3388" t="s">
        <v>259</v>
      </c>
      <c r="J15" s="3429"/>
    </row>
    <row r="16" spans="1:10" ht="12" customHeight="1" x14ac:dyDescent="0.2">
      <c r="A16" s="3439" t="s">
        <v>1473</v>
      </c>
      <c r="B16" s="3363"/>
      <c r="C16" s="3388" t="s">
        <v>259</v>
      </c>
      <c r="D16" s="3388" t="s">
        <v>259</v>
      </c>
      <c r="E16" s="3388" t="s">
        <v>259</v>
      </c>
      <c r="F16" s="3388" t="s">
        <v>259</v>
      </c>
      <c r="G16" s="3388" t="s">
        <v>259</v>
      </c>
      <c r="H16" s="3388" t="s">
        <v>259</v>
      </c>
      <c r="I16" s="3388" t="s">
        <v>259</v>
      </c>
      <c r="J16" s="3429"/>
    </row>
    <row r="17" spans="1:10" ht="12" customHeight="1" x14ac:dyDescent="0.2">
      <c r="A17" s="3437" t="s">
        <v>1472</v>
      </c>
      <c r="B17" s="3363"/>
      <c r="C17" s="3388" t="s">
        <v>259</v>
      </c>
      <c r="D17" s="3388" t="s">
        <v>259</v>
      </c>
      <c r="E17" s="3388" t="s">
        <v>259</v>
      </c>
      <c r="F17" s="3388" t="s">
        <v>259</v>
      </c>
      <c r="G17" s="3388" t="s">
        <v>259</v>
      </c>
      <c r="H17" s="3388" t="s">
        <v>259</v>
      </c>
      <c r="I17" s="3388" t="s">
        <v>259</v>
      </c>
      <c r="J17" s="3429"/>
    </row>
    <row r="18" spans="1:10" ht="12" customHeight="1" x14ac:dyDescent="0.2">
      <c r="A18" s="3438" t="s">
        <v>1319</v>
      </c>
      <c r="B18" s="3387" t="s">
        <v>1319</v>
      </c>
      <c r="C18" s="3387" t="s">
        <v>259</v>
      </c>
      <c r="D18" s="3388" t="s">
        <v>259</v>
      </c>
      <c r="E18" s="3388" t="s">
        <v>259</v>
      </c>
      <c r="F18" s="3388" t="s">
        <v>259</v>
      </c>
      <c r="G18" s="3387" t="s">
        <v>259</v>
      </c>
      <c r="H18" s="3387" t="s">
        <v>259</v>
      </c>
      <c r="I18" s="3387" t="s">
        <v>259</v>
      </c>
      <c r="J18" s="3429"/>
    </row>
    <row r="19" spans="1:10" ht="12" customHeight="1" x14ac:dyDescent="0.2">
      <c r="A19" s="3437" t="s">
        <v>1218</v>
      </c>
      <c r="B19" s="3363"/>
      <c r="C19" s="3388" t="s">
        <v>259</v>
      </c>
      <c r="D19" s="3388" t="s">
        <v>259</v>
      </c>
      <c r="E19" s="3388" t="s">
        <v>259</v>
      </c>
      <c r="F19" s="3388" t="s">
        <v>259</v>
      </c>
      <c r="G19" s="3388" t="s">
        <v>259</v>
      </c>
      <c r="H19" s="3388" t="s">
        <v>259</v>
      </c>
      <c r="I19" s="3388" t="s">
        <v>259</v>
      </c>
      <c r="J19" s="3429"/>
    </row>
    <row r="20" spans="1:10" ht="12" customHeight="1" x14ac:dyDescent="0.2">
      <c r="A20" s="3430" t="s">
        <v>1481</v>
      </c>
      <c r="B20" s="3363" t="s">
        <v>986</v>
      </c>
      <c r="C20" s="3363" t="s">
        <v>986</v>
      </c>
      <c r="D20" s="3363" t="s">
        <v>986</v>
      </c>
      <c r="E20" s="3363" t="s">
        <v>986</v>
      </c>
      <c r="F20" s="3363" t="s">
        <v>986</v>
      </c>
      <c r="G20" s="3388">
        <v>27.558485903000001</v>
      </c>
      <c r="H20" s="3388" t="s">
        <v>259</v>
      </c>
      <c r="I20" s="3388">
        <v>5.6416247365899999</v>
      </c>
      <c r="J20" s="3429"/>
    </row>
    <row r="21" spans="1:10" ht="12" customHeight="1" x14ac:dyDescent="0.2">
      <c r="A21" s="3439" t="s">
        <v>1476</v>
      </c>
      <c r="B21" s="3363"/>
      <c r="C21" s="3388">
        <v>127.42256845630899</v>
      </c>
      <c r="D21" s="3388">
        <v>216.27633343813289</v>
      </c>
      <c r="E21" s="3363" t="s">
        <v>986</v>
      </c>
      <c r="F21" s="3388">
        <v>44.274925587647502</v>
      </c>
      <c r="G21" s="3388">
        <v>27.558485903000001</v>
      </c>
      <c r="H21" s="3363" t="s">
        <v>986</v>
      </c>
      <c r="I21" s="3388">
        <v>5.6416247365899999</v>
      </c>
      <c r="J21" s="3429"/>
    </row>
    <row r="22" spans="1:10" ht="12" customHeight="1" x14ac:dyDescent="0.2">
      <c r="A22" s="3440" t="s">
        <v>1475</v>
      </c>
      <c r="B22" s="3363"/>
      <c r="C22" s="3388">
        <v>127.40305578</v>
      </c>
      <c r="D22" s="3388">
        <v>216.30945768355886</v>
      </c>
      <c r="E22" s="3363" t="s">
        <v>986</v>
      </c>
      <c r="F22" s="3388">
        <v>43.007760527829937</v>
      </c>
      <c r="G22" s="3388">
        <v>27.558485903000001</v>
      </c>
      <c r="H22" s="3363" t="s">
        <v>986</v>
      </c>
      <c r="I22" s="3388">
        <v>5.4793201135</v>
      </c>
      <c r="J22" s="3429"/>
    </row>
    <row r="23" spans="1:10" ht="12" customHeight="1" x14ac:dyDescent="0.2">
      <c r="A23" s="3438" t="s">
        <v>1319</v>
      </c>
      <c r="B23" s="3387" t="s">
        <v>1319</v>
      </c>
      <c r="C23" s="3387">
        <v>127.40305578</v>
      </c>
      <c r="D23" s="3388">
        <v>216.30945768355886</v>
      </c>
      <c r="E23" s="3363" t="s">
        <v>986</v>
      </c>
      <c r="F23" s="3388">
        <v>43.007760527829937</v>
      </c>
      <c r="G23" s="3387">
        <v>27.558485903000001</v>
      </c>
      <c r="H23" s="3363" t="s">
        <v>986</v>
      </c>
      <c r="I23" s="3387">
        <v>5.4793201135</v>
      </c>
      <c r="J23" s="3429"/>
    </row>
    <row r="24" spans="1:10" ht="12" customHeight="1" x14ac:dyDescent="0.2">
      <c r="A24" s="3440" t="s">
        <v>1474</v>
      </c>
      <c r="B24" s="3363"/>
      <c r="C24" s="3388">
        <v>1.9512676308999999E-2</v>
      </c>
      <c r="D24" s="3388" t="s">
        <v>455</v>
      </c>
      <c r="E24" s="3363" t="s">
        <v>986</v>
      </c>
      <c r="F24" s="3388">
        <v>8317.9068068247943</v>
      </c>
      <c r="G24" s="3388" t="s">
        <v>455</v>
      </c>
      <c r="H24" s="3363" t="s">
        <v>986</v>
      </c>
      <c r="I24" s="3388">
        <v>0.16230462308999999</v>
      </c>
      <c r="J24" s="3429"/>
    </row>
    <row r="25" spans="1:10" ht="12" customHeight="1" x14ac:dyDescent="0.2">
      <c r="A25" s="3438" t="s">
        <v>1319</v>
      </c>
      <c r="B25" s="3387" t="s">
        <v>1319</v>
      </c>
      <c r="C25" s="3387">
        <v>1.9512676308999999E-2</v>
      </c>
      <c r="D25" s="3388" t="s">
        <v>455</v>
      </c>
      <c r="E25" s="3363" t="s">
        <v>986</v>
      </c>
      <c r="F25" s="3388">
        <v>8317.9068068247943</v>
      </c>
      <c r="G25" s="3387" t="s">
        <v>455</v>
      </c>
      <c r="H25" s="3363" t="s">
        <v>986</v>
      </c>
      <c r="I25" s="3387">
        <v>0.16230462308999999</v>
      </c>
      <c r="J25" s="3429"/>
    </row>
    <row r="26" spans="1:10" ht="12" customHeight="1" x14ac:dyDescent="0.2">
      <c r="A26" s="3437" t="s">
        <v>1218</v>
      </c>
      <c r="B26" s="3363"/>
      <c r="C26" s="3388" t="s">
        <v>259</v>
      </c>
      <c r="D26" s="3388" t="s">
        <v>259</v>
      </c>
      <c r="E26" s="3363" t="s">
        <v>986</v>
      </c>
      <c r="F26" s="3388" t="s">
        <v>259</v>
      </c>
      <c r="G26" s="3388" t="s">
        <v>259</v>
      </c>
      <c r="H26" s="3363" t="s">
        <v>986</v>
      </c>
      <c r="I26" s="3388" t="s">
        <v>259</v>
      </c>
      <c r="J26" s="3429"/>
    </row>
    <row r="27" spans="1:10" ht="12" customHeight="1" x14ac:dyDescent="0.2">
      <c r="A27" s="3439" t="s">
        <v>1473</v>
      </c>
      <c r="B27" s="3363"/>
      <c r="C27" s="3388" t="s">
        <v>259</v>
      </c>
      <c r="D27" s="3388" t="s">
        <v>259</v>
      </c>
      <c r="E27" s="3388" t="s">
        <v>259</v>
      </c>
      <c r="F27" s="3388" t="s">
        <v>259</v>
      </c>
      <c r="G27" s="3388" t="s">
        <v>259</v>
      </c>
      <c r="H27" s="3388" t="s">
        <v>259</v>
      </c>
      <c r="I27" s="3388" t="s">
        <v>259</v>
      </c>
      <c r="J27" s="3429"/>
    </row>
    <row r="28" spans="1:10" ht="12" customHeight="1" x14ac:dyDescent="0.2">
      <c r="A28" s="3437" t="s">
        <v>1472</v>
      </c>
      <c r="B28" s="3363"/>
      <c r="C28" s="3388" t="s">
        <v>259</v>
      </c>
      <c r="D28" s="3388" t="s">
        <v>259</v>
      </c>
      <c r="E28" s="3363" t="s">
        <v>986</v>
      </c>
      <c r="F28" s="3388" t="s">
        <v>259</v>
      </c>
      <c r="G28" s="3388" t="s">
        <v>259</v>
      </c>
      <c r="H28" s="3363" t="s">
        <v>986</v>
      </c>
      <c r="I28" s="3388" t="s">
        <v>259</v>
      </c>
      <c r="J28" s="3429"/>
    </row>
    <row r="29" spans="1:10" ht="12" customHeight="1" x14ac:dyDescent="0.2">
      <c r="A29" s="3438" t="s">
        <v>1319</v>
      </c>
      <c r="B29" s="3387" t="s">
        <v>1319</v>
      </c>
      <c r="C29" s="3387" t="s">
        <v>259</v>
      </c>
      <c r="D29" s="3388" t="s">
        <v>259</v>
      </c>
      <c r="E29" s="3363" t="s">
        <v>986</v>
      </c>
      <c r="F29" s="3388" t="s">
        <v>259</v>
      </c>
      <c r="G29" s="3387" t="s">
        <v>259</v>
      </c>
      <c r="H29" s="3363" t="s">
        <v>986</v>
      </c>
      <c r="I29" s="3387" t="s">
        <v>259</v>
      </c>
      <c r="J29" s="3429"/>
    </row>
    <row r="30" spans="1:10" ht="12" customHeight="1" x14ac:dyDescent="0.2">
      <c r="A30" s="3437" t="s">
        <v>1218</v>
      </c>
      <c r="B30" s="3363"/>
      <c r="C30" s="3388" t="s">
        <v>259</v>
      </c>
      <c r="D30" s="3388" t="s">
        <v>259</v>
      </c>
      <c r="E30" s="3388" t="s">
        <v>259</v>
      </c>
      <c r="F30" s="3388" t="s">
        <v>259</v>
      </c>
      <c r="G30" s="3388" t="s">
        <v>259</v>
      </c>
      <c r="H30" s="3388" t="s">
        <v>259</v>
      </c>
      <c r="I30" s="3388" t="s">
        <v>259</v>
      </c>
      <c r="J30" s="3429"/>
    </row>
    <row r="31" spans="1:10" ht="12" customHeight="1" x14ac:dyDescent="0.2">
      <c r="A31" s="3430" t="s">
        <v>1480</v>
      </c>
      <c r="B31" s="3363" t="s">
        <v>986</v>
      </c>
      <c r="C31" s="3363" t="s">
        <v>986</v>
      </c>
      <c r="D31" s="3363" t="s">
        <v>986</v>
      </c>
      <c r="E31" s="3363" t="s">
        <v>986</v>
      </c>
      <c r="F31" s="3363" t="s">
        <v>986</v>
      </c>
      <c r="G31" s="3388">
        <v>12.271254661</v>
      </c>
      <c r="H31" s="3388" t="s">
        <v>259</v>
      </c>
      <c r="I31" s="3388">
        <v>2.9391634147999999</v>
      </c>
      <c r="J31" s="3429"/>
    </row>
    <row r="32" spans="1:10" ht="12" customHeight="1" x14ac:dyDescent="0.2">
      <c r="A32" s="3439" t="s">
        <v>1476</v>
      </c>
      <c r="B32" s="3363"/>
      <c r="C32" s="3388">
        <v>51.331139741000001</v>
      </c>
      <c r="D32" s="3388">
        <v>239.0606310889784</v>
      </c>
      <c r="E32" s="3363" t="s">
        <v>986</v>
      </c>
      <c r="F32" s="3388">
        <v>57.258876962990669</v>
      </c>
      <c r="G32" s="3388">
        <v>12.271254661</v>
      </c>
      <c r="H32" s="3363" t="s">
        <v>986</v>
      </c>
      <c r="I32" s="3388">
        <v>2.9391634147999999</v>
      </c>
      <c r="J32" s="3429"/>
    </row>
    <row r="33" spans="1:10" ht="12" customHeight="1" x14ac:dyDescent="0.2">
      <c r="A33" s="3440" t="s">
        <v>1475</v>
      </c>
      <c r="B33" s="3363"/>
      <c r="C33" s="3388">
        <v>51.331139741000001</v>
      </c>
      <c r="D33" s="3388">
        <v>239.0606310889784</v>
      </c>
      <c r="E33" s="3363" t="s">
        <v>986</v>
      </c>
      <c r="F33" s="3388">
        <v>57.258876962990669</v>
      </c>
      <c r="G33" s="3388">
        <v>12.271254661</v>
      </c>
      <c r="H33" s="3363" t="s">
        <v>986</v>
      </c>
      <c r="I33" s="3388">
        <v>2.9391634147999999</v>
      </c>
      <c r="J33" s="3429"/>
    </row>
    <row r="34" spans="1:10" ht="12" customHeight="1" x14ac:dyDescent="0.2">
      <c r="A34" s="3438" t="s">
        <v>1319</v>
      </c>
      <c r="B34" s="3387" t="s">
        <v>1319</v>
      </c>
      <c r="C34" s="3387">
        <v>51.331139741000001</v>
      </c>
      <c r="D34" s="3388">
        <v>239.0606310889784</v>
      </c>
      <c r="E34" s="3363" t="s">
        <v>986</v>
      </c>
      <c r="F34" s="3388">
        <v>57.258876962990669</v>
      </c>
      <c r="G34" s="3387">
        <v>12.271254661</v>
      </c>
      <c r="H34" s="3363" t="s">
        <v>986</v>
      </c>
      <c r="I34" s="3387">
        <v>2.9391634147999999</v>
      </c>
      <c r="J34" s="3429"/>
    </row>
    <row r="35" spans="1:10" ht="12" customHeight="1" x14ac:dyDescent="0.2">
      <c r="A35" s="3440" t="s">
        <v>1474</v>
      </c>
      <c r="B35" s="3363"/>
      <c r="C35" s="3388" t="s">
        <v>455</v>
      </c>
      <c r="D35" s="3388" t="s">
        <v>455</v>
      </c>
      <c r="E35" s="3363" t="s">
        <v>986</v>
      </c>
      <c r="F35" s="3388" t="s">
        <v>455</v>
      </c>
      <c r="G35" s="3388" t="s">
        <v>455</v>
      </c>
      <c r="H35" s="3363" t="s">
        <v>986</v>
      </c>
      <c r="I35" s="3388" t="s">
        <v>455</v>
      </c>
      <c r="J35" s="3429"/>
    </row>
    <row r="36" spans="1:10" ht="12" customHeight="1" x14ac:dyDescent="0.2">
      <c r="A36" s="3438" t="s">
        <v>1319</v>
      </c>
      <c r="B36" s="3387" t="s">
        <v>1319</v>
      </c>
      <c r="C36" s="3387" t="s">
        <v>455</v>
      </c>
      <c r="D36" s="3388" t="s">
        <v>455</v>
      </c>
      <c r="E36" s="3363" t="s">
        <v>986</v>
      </c>
      <c r="F36" s="3388" t="s">
        <v>455</v>
      </c>
      <c r="G36" s="3387" t="s">
        <v>455</v>
      </c>
      <c r="H36" s="3363" t="s">
        <v>986</v>
      </c>
      <c r="I36" s="3387" t="s">
        <v>455</v>
      </c>
      <c r="J36" s="3429"/>
    </row>
    <row r="37" spans="1:10" ht="12" customHeight="1" x14ac:dyDescent="0.2">
      <c r="A37" s="3437" t="s">
        <v>1218</v>
      </c>
      <c r="B37" s="3363"/>
      <c r="C37" s="3388" t="s">
        <v>259</v>
      </c>
      <c r="D37" s="3388" t="s">
        <v>259</v>
      </c>
      <c r="E37" s="3363" t="s">
        <v>986</v>
      </c>
      <c r="F37" s="3388" t="s">
        <v>259</v>
      </c>
      <c r="G37" s="3388" t="s">
        <v>259</v>
      </c>
      <c r="H37" s="3363" t="s">
        <v>986</v>
      </c>
      <c r="I37" s="3388" t="s">
        <v>259</v>
      </c>
      <c r="J37" s="3429"/>
    </row>
    <row r="38" spans="1:10" ht="12" customHeight="1" x14ac:dyDescent="0.2">
      <c r="A38" s="3439" t="s">
        <v>1473</v>
      </c>
      <c r="B38" s="3363"/>
      <c r="C38" s="3388" t="s">
        <v>1366</v>
      </c>
      <c r="D38" s="3388" t="s">
        <v>1366</v>
      </c>
      <c r="E38" s="3388" t="s">
        <v>259</v>
      </c>
      <c r="F38" s="3388" t="s">
        <v>1366</v>
      </c>
      <c r="G38" s="3388" t="s">
        <v>1366</v>
      </c>
      <c r="H38" s="3388" t="s">
        <v>259</v>
      </c>
      <c r="I38" s="3388" t="s">
        <v>1366</v>
      </c>
      <c r="J38" s="3429"/>
    </row>
    <row r="39" spans="1:10" ht="12" customHeight="1" x14ac:dyDescent="0.2">
      <c r="A39" s="3437" t="s">
        <v>1472</v>
      </c>
      <c r="B39" s="3363"/>
      <c r="C39" s="3388" t="s">
        <v>455</v>
      </c>
      <c r="D39" s="3388" t="s">
        <v>455</v>
      </c>
      <c r="E39" s="3363" t="s">
        <v>986</v>
      </c>
      <c r="F39" s="3388" t="s">
        <v>455</v>
      </c>
      <c r="G39" s="3388" t="s">
        <v>455</v>
      </c>
      <c r="H39" s="3363" t="s">
        <v>986</v>
      </c>
      <c r="I39" s="3388" t="s">
        <v>455</v>
      </c>
      <c r="J39" s="3429"/>
    </row>
    <row r="40" spans="1:10" ht="12" customHeight="1" x14ac:dyDescent="0.2">
      <c r="A40" s="3438" t="s">
        <v>1319</v>
      </c>
      <c r="B40" s="3387" t="s">
        <v>1319</v>
      </c>
      <c r="C40" s="3387" t="s">
        <v>455</v>
      </c>
      <c r="D40" s="3388" t="s">
        <v>455</v>
      </c>
      <c r="E40" s="3363" t="s">
        <v>986</v>
      </c>
      <c r="F40" s="3388" t="s">
        <v>455</v>
      </c>
      <c r="G40" s="3387" t="s">
        <v>455</v>
      </c>
      <c r="H40" s="3363" t="s">
        <v>986</v>
      </c>
      <c r="I40" s="3387" t="s">
        <v>455</v>
      </c>
      <c r="J40" s="3429"/>
    </row>
    <row r="41" spans="1:10" ht="12" customHeight="1" x14ac:dyDescent="0.2">
      <c r="A41" s="3437" t="s">
        <v>1218</v>
      </c>
      <c r="B41" s="3363"/>
      <c r="C41" s="3388" t="s">
        <v>259</v>
      </c>
      <c r="D41" s="3388" t="s">
        <v>259</v>
      </c>
      <c r="E41" s="3388" t="s">
        <v>259</v>
      </c>
      <c r="F41" s="3388" t="s">
        <v>259</v>
      </c>
      <c r="G41" s="3388" t="s">
        <v>259</v>
      </c>
      <c r="H41" s="3388" t="s">
        <v>259</v>
      </c>
      <c r="I41" s="3388" t="s">
        <v>259</v>
      </c>
      <c r="J41" s="3429"/>
    </row>
    <row r="42" spans="1:10" ht="12" customHeight="1" x14ac:dyDescent="0.2">
      <c r="A42" s="3430" t="s">
        <v>1479</v>
      </c>
      <c r="B42" s="3363" t="s">
        <v>986</v>
      </c>
      <c r="C42" s="3363" t="s">
        <v>986</v>
      </c>
      <c r="D42" s="3363" t="s">
        <v>986</v>
      </c>
      <c r="E42" s="3363" t="s">
        <v>986</v>
      </c>
      <c r="F42" s="3363" t="s">
        <v>986</v>
      </c>
      <c r="G42" s="3388" t="s">
        <v>1366</v>
      </c>
      <c r="H42" s="3388">
        <v>3.7704496787999999E-4</v>
      </c>
      <c r="I42" s="3388">
        <v>2.2917540408999999</v>
      </c>
      <c r="J42" s="3429"/>
    </row>
    <row r="43" spans="1:10" ht="12" customHeight="1" x14ac:dyDescent="0.2">
      <c r="A43" s="3432" t="s">
        <v>1478</v>
      </c>
      <c r="B43" s="3363" t="s">
        <v>986</v>
      </c>
      <c r="C43" s="3363" t="s">
        <v>986</v>
      </c>
      <c r="D43" s="3363" t="s">
        <v>986</v>
      </c>
      <c r="E43" s="3363" t="s">
        <v>986</v>
      </c>
      <c r="F43" s="3363" t="s">
        <v>986</v>
      </c>
      <c r="G43" s="3388" t="s">
        <v>1366</v>
      </c>
      <c r="H43" s="3388">
        <v>3.7704496787999999E-4</v>
      </c>
      <c r="I43" s="3388">
        <v>2.656E-2</v>
      </c>
      <c r="J43" s="3429"/>
    </row>
    <row r="44" spans="1:10" ht="12" customHeight="1" x14ac:dyDescent="0.2">
      <c r="A44" s="3435" t="s">
        <v>1476</v>
      </c>
      <c r="B44" s="3363"/>
      <c r="C44" s="3388">
        <v>0.8</v>
      </c>
      <c r="D44" s="3388" t="s">
        <v>1366</v>
      </c>
      <c r="E44" s="3388">
        <v>0.29992213354091002</v>
      </c>
      <c r="F44" s="3388">
        <v>33.200000000000003</v>
      </c>
      <c r="G44" s="3388" t="s">
        <v>1366</v>
      </c>
      <c r="H44" s="3388">
        <v>3.7704496787999999E-4</v>
      </c>
      <c r="I44" s="3388">
        <v>2.656E-2</v>
      </c>
      <c r="J44" s="3429"/>
    </row>
    <row r="45" spans="1:10" ht="12" customHeight="1" x14ac:dyDescent="0.2">
      <c r="A45" s="3436" t="s">
        <v>1475</v>
      </c>
      <c r="B45" s="3363"/>
      <c r="C45" s="3388">
        <v>0.8</v>
      </c>
      <c r="D45" s="3388" t="s">
        <v>455</v>
      </c>
      <c r="E45" s="3388">
        <v>0.29992213354091002</v>
      </c>
      <c r="F45" s="3388">
        <v>33.200000000000003</v>
      </c>
      <c r="G45" s="3388" t="s">
        <v>455</v>
      </c>
      <c r="H45" s="3388">
        <v>3.7704496787999999E-4</v>
      </c>
      <c r="I45" s="3388">
        <v>2.656E-2</v>
      </c>
      <c r="J45" s="3429"/>
    </row>
    <row r="46" spans="1:10" ht="12" customHeight="1" x14ac:dyDescent="0.2">
      <c r="A46" s="3434" t="s">
        <v>1319</v>
      </c>
      <c r="B46" s="3387" t="s">
        <v>1319</v>
      </c>
      <c r="C46" s="3387">
        <v>0.8</v>
      </c>
      <c r="D46" s="3388" t="s">
        <v>455</v>
      </c>
      <c r="E46" s="3388">
        <v>0.29992213354091002</v>
      </c>
      <c r="F46" s="3388">
        <v>33.200000000000003</v>
      </c>
      <c r="G46" s="3387" t="s">
        <v>455</v>
      </c>
      <c r="H46" s="3387">
        <v>3.7704496787999999E-4</v>
      </c>
      <c r="I46" s="3387">
        <v>2.656E-2</v>
      </c>
      <c r="J46" s="3429"/>
    </row>
    <row r="47" spans="1:10" ht="12" customHeight="1" x14ac:dyDescent="0.2">
      <c r="A47" s="3436" t="s">
        <v>1474</v>
      </c>
      <c r="B47" s="3363"/>
      <c r="C47" s="3388" t="s">
        <v>259</v>
      </c>
      <c r="D47" s="3388" t="s">
        <v>259</v>
      </c>
      <c r="E47" s="3388" t="s">
        <v>259</v>
      </c>
      <c r="F47" s="3388" t="s">
        <v>259</v>
      </c>
      <c r="G47" s="3388" t="s">
        <v>259</v>
      </c>
      <c r="H47" s="3388" t="s">
        <v>259</v>
      </c>
      <c r="I47" s="3388" t="s">
        <v>259</v>
      </c>
      <c r="J47" s="3429"/>
    </row>
    <row r="48" spans="1:10" ht="12" customHeight="1" x14ac:dyDescent="0.2">
      <c r="A48" s="3434" t="s">
        <v>1319</v>
      </c>
      <c r="B48" s="3387" t="s">
        <v>1319</v>
      </c>
      <c r="C48" s="3387" t="s">
        <v>259</v>
      </c>
      <c r="D48" s="3388" t="s">
        <v>259</v>
      </c>
      <c r="E48" s="3388" t="s">
        <v>259</v>
      </c>
      <c r="F48" s="3388" t="s">
        <v>259</v>
      </c>
      <c r="G48" s="3387" t="s">
        <v>259</v>
      </c>
      <c r="H48" s="3387" t="s">
        <v>259</v>
      </c>
      <c r="I48" s="3387" t="s">
        <v>259</v>
      </c>
      <c r="J48" s="3429"/>
    </row>
    <row r="49" spans="1:10" ht="12" customHeight="1" x14ac:dyDescent="0.2">
      <c r="A49" s="3433" t="s">
        <v>1218</v>
      </c>
      <c r="B49" s="3363"/>
      <c r="C49" s="3388" t="s">
        <v>259</v>
      </c>
      <c r="D49" s="3388" t="s">
        <v>259</v>
      </c>
      <c r="E49" s="3388" t="s">
        <v>259</v>
      </c>
      <c r="F49" s="3388" t="s">
        <v>259</v>
      </c>
      <c r="G49" s="3388" t="s">
        <v>259</v>
      </c>
      <c r="H49" s="3388" t="s">
        <v>259</v>
      </c>
      <c r="I49" s="3388" t="s">
        <v>259</v>
      </c>
      <c r="J49" s="3429"/>
    </row>
    <row r="50" spans="1:10" ht="12" customHeight="1" x14ac:dyDescent="0.2">
      <c r="A50" s="3435" t="s">
        <v>1473</v>
      </c>
      <c r="B50" s="3363"/>
      <c r="C50" s="3388" t="s">
        <v>1006</v>
      </c>
      <c r="D50" s="3388" t="s">
        <v>259</v>
      </c>
      <c r="E50" s="3388" t="s">
        <v>259</v>
      </c>
      <c r="F50" s="3388" t="s">
        <v>259</v>
      </c>
      <c r="G50" s="3388" t="s">
        <v>259</v>
      </c>
      <c r="H50" s="3388" t="s">
        <v>259</v>
      </c>
      <c r="I50" s="3388" t="s">
        <v>259</v>
      </c>
      <c r="J50" s="3429"/>
    </row>
    <row r="51" spans="1:10" ht="12" customHeight="1" x14ac:dyDescent="0.2">
      <c r="A51" s="3433" t="s">
        <v>1472</v>
      </c>
      <c r="B51" s="3363"/>
      <c r="C51" s="3388" t="s">
        <v>799</v>
      </c>
      <c r="D51" s="3388" t="s">
        <v>259</v>
      </c>
      <c r="E51" s="3388" t="s">
        <v>259</v>
      </c>
      <c r="F51" s="3388" t="s">
        <v>259</v>
      </c>
      <c r="G51" s="3388" t="s">
        <v>259</v>
      </c>
      <c r="H51" s="3388" t="s">
        <v>259</v>
      </c>
      <c r="I51" s="3388" t="s">
        <v>259</v>
      </c>
      <c r="J51" s="3429"/>
    </row>
    <row r="52" spans="1:10" ht="12" customHeight="1" x14ac:dyDescent="0.2">
      <c r="A52" s="3434" t="s">
        <v>1319</v>
      </c>
      <c r="B52" s="3387" t="s">
        <v>1319</v>
      </c>
      <c r="C52" s="3387" t="s">
        <v>799</v>
      </c>
      <c r="D52" s="3388" t="s">
        <v>259</v>
      </c>
      <c r="E52" s="3388" t="s">
        <v>259</v>
      </c>
      <c r="F52" s="3388" t="s">
        <v>259</v>
      </c>
      <c r="G52" s="3387" t="s">
        <v>259</v>
      </c>
      <c r="H52" s="3387" t="s">
        <v>259</v>
      </c>
      <c r="I52" s="3387" t="s">
        <v>259</v>
      </c>
      <c r="J52" s="3429"/>
    </row>
    <row r="53" spans="1:10" ht="12" customHeight="1" x14ac:dyDescent="0.2">
      <c r="A53" s="3433" t="s">
        <v>1218</v>
      </c>
      <c r="B53" s="3363"/>
      <c r="C53" s="3388" t="s">
        <v>259</v>
      </c>
      <c r="D53" s="3388" t="s">
        <v>259</v>
      </c>
      <c r="E53" s="3388" t="s">
        <v>259</v>
      </c>
      <c r="F53" s="3388" t="s">
        <v>259</v>
      </c>
      <c r="G53" s="3388" t="s">
        <v>259</v>
      </c>
      <c r="H53" s="3388" t="s">
        <v>259</v>
      </c>
      <c r="I53" s="3388" t="s">
        <v>259</v>
      </c>
      <c r="J53" s="3429"/>
    </row>
    <row r="54" spans="1:10" ht="12" customHeight="1" x14ac:dyDescent="0.2">
      <c r="A54" s="3432" t="s">
        <v>1477</v>
      </c>
      <c r="B54" s="3363" t="s">
        <v>986</v>
      </c>
      <c r="C54" s="3363" t="s">
        <v>986</v>
      </c>
      <c r="D54" s="3363" t="s">
        <v>986</v>
      </c>
      <c r="E54" s="3363" t="s">
        <v>986</v>
      </c>
      <c r="F54" s="3363" t="s">
        <v>986</v>
      </c>
      <c r="G54" s="3388" t="s">
        <v>259</v>
      </c>
      <c r="H54" s="3388" t="s">
        <v>259</v>
      </c>
      <c r="I54" s="3388" t="s">
        <v>259</v>
      </c>
      <c r="J54" s="3429"/>
    </row>
    <row r="55" spans="1:10" ht="12" customHeight="1" x14ac:dyDescent="0.2">
      <c r="A55" s="3435" t="s">
        <v>1476</v>
      </c>
      <c r="B55" s="3363"/>
      <c r="C55" s="3388" t="s">
        <v>1419</v>
      </c>
      <c r="D55" s="3388" t="s">
        <v>259</v>
      </c>
      <c r="E55" s="3388" t="s">
        <v>259</v>
      </c>
      <c r="F55" s="3388" t="s">
        <v>259</v>
      </c>
      <c r="G55" s="3388" t="s">
        <v>259</v>
      </c>
      <c r="H55" s="3388" t="s">
        <v>259</v>
      </c>
      <c r="I55" s="3388" t="s">
        <v>259</v>
      </c>
      <c r="J55" s="3429"/>
    </row>
    <row r="56" spans="1:10" ht="12" customHeight="1" x14ac:dyDescent="0.2">
      <c r="A56" s="3436" t="s">
        <v>1475</v>
      </c>
      <c r="B56" s="3363"/>
      <c r="C56" s="3388" t="s">
        <v>1209</v>
      </c>
      <c r="D56" s="3388" t="s">
        <v>259</v>
      </c>
      <c r="E56" s="3388" t="s">
        <v>259</v>
      </c>
      <c r="F56" s="3388" t="s">
        <v>259</v>
      </c>
      <c r="G56" s="3388" t="s">
        <v>259</v>
      </c>
      <c r="H56" s="3388" t="s">
        <v>259</v>
      </c>
      <c r="I56" s="3388" t="s">
        <v>259</v>
      </c>
      <c r="J56" s="3429"/>
    </row>
    <row r="57" spans="1:10" ht="12" customHeight="1" x14ac:dyDescent="0.2">
      <c r="A57" s="3434" t="s">
        <v>1319</v>
      </c>
      <c r="B57" s="3387" t="s">
        <v>1319</v>
      </c>
      <c r="C57" s="3387" t="s">
        <v>1209</v>
      </c>
      <c r="D57" s="3388" t="s">
        <v>259</v>
      </c>
      <c r="E57" s="3388" t="s">
        <v>259</v>
      </c>
      <c r="F57" s="3388" t="s">
        <v>259</v>
      </c>
      <c r="G57" s="3387" t="s">
        <v>259</v>
      </c>
      <c r="H57" s="3387" t="s">
        <v>259</v>
      </c>
      <c r="I57" s="3387" t="s">
        <v>259</v>
      </c>
      <c r="J57" s="3429"/>
    </row>
    <row r="58" spans="1:10" ht="12" customHeight="1" x14ac:dyDescent="0.2">
      <c r="A58" s="3436" t="s">
        <v>1474</v>
      </c>
      <c r="B58" s="3363"/>
      <c r="C58" s="3388" t="s">
        <v>1209</v>
      </c>
      <c r="D58" s="3388" t="s">
        <v>259</v>
      </c>
      <c r="E58" s="3388" t="s">
        <v>259</v>
      </c>
      <c r="F58" s="3388" t="s">
        <v>259</v>
      </c>
      <c r="G58" s="3388" t="s">
        <v>259</v>
      </c>
      <c r="H58" s="3388" t="s">
        <v>259</v>
      </c>
      <c r="I58" s="3388" t="s">
        <v>259</v>
      </c>
      <c r="J58" s="3429"/>
    </row>
    <row r="59" spans="1:10" ht="12" customHeight="1" x14ac:dyDescent="0.2">
      <c r="A59" s="3434" t="s">
        <v>1319</v>
      </c>
      <c r="B59" s="3387" t="s">
        <v>1319</v>
      </c>
      <c r="C59" s="3387" t="s">
        <v>1209</v>
      </c>
      <c r="D59" s="3388" t="s">
        <v>259</v>
      </c>
      <c r="E59" s="3388" t="s">
        <v>259</v>
      </c>
      <c r="F59" s="3388" t="s">
        <v>259</v>
      </c>
      <c r="G59" s="3387" t="s">
        <v>259</v>
      </c>
      <c r="H59" s="3387" t="s">
        <v>259</v>
      </c>
      <c r="I59" s="3387" t="s">
        <v>259</v>
      </c>
      <c r="J59" s="3429"/>
    </row>
    <row r="60" spans="1:10" ht="12" customHeight="1" x14ac:dyDescent="0.2">
      <c r="A60" s="3433" t="s">
        <v>1218</v>
      </c>
      <c r="B60" s="3363"/>
      <c r="C60" s="3388" t="s">
        <v>259</v>
      </c>
      <c r="D60" s="3388" t="s">
        <v>259</v>
      </c>
      <c r="E60" s="3388" t="s">
        <v>259</v>
      </c>
      <c r="F60" s="3388" t="s">
        <v>259</v>
      </c>
      <c r="G60" s="3388" t="s">
        <v>259</v>
      </c>
      <c r="H60" s="3388" t="s">
        <v>259</v>
      </c>
      <c r="I60" s="3388" t="s">
        <v>259</v>
      </c>
      <c r="J60" s="3429"/>
    </row>
    <row r="61" spans="1:10" ht="12" customHeight="1" x14ac:dyDescent="0.2">
      <c r="A61" s="3435" t="s">
        <v>1473</v>
      </c>
      <c r="B61" s="3363"/>
      <c r="C61" s="3388" t="s">
        <v>1419</v>
      </c>
      <c r="D61" s="3388" t="s">
        <v>259</v>
      </c>
      <c r="E61" s="3388" t="s">
        <v>259</v>
      </c>
      <c r="F61" s="3388" t="s">
        <v>259</v>
      </c>
      <c r="G61" s="3388" t="s">
        <v>259</v>
      </c>
      <c r="H61" s="3388" t="s">
        <v>259</v>
      </c>
      <c r="I61" s="3388" t="s">
        <v>259</v>
      </c>
      <c r="J61" s="3429"/>
    </row>
    <row r="62" spans="1:10" ht="12" customHeight="1" x14ac:dyDescent="0.2">
      <c r="A62" s="3433" t="s">
        <v>1472</v>
      </c>
      <c r="B62" s="3363"/>
      <c r="C62" s="3388" t="s">
        <v>1209</v>
      </c>
      <c r="D62" s="3388" t="s">
        <v>259</v>
      </c>
      <c r="E62" s="3388" t="s">
        <v>259</v>
      </c>
      <c r="F62" s="3388" t="s">
        <v>259</v>
      </c>
      <c r="G62" s="3388" t="s">
        <v>259</v>
      </c>
      <c r="H62" s="3388" t="s">
        <v>259</v>
      </c>
      <c r="I62" s="3388" t="s">
        <v>259</v>
      </c>
      <c r="J62" s="3429"/>
    </row>
    <row r="63" spans="1:10" ht="12" customHeight="1" x14ac:dyDescent="0.2">
      <c r="A63" s="3434" t="s">
        <v>1319</v>
      </c>
      <c r="B63" s="3387" t="s">
        <v>1319</v>
      </c>
      <c r="C63" s="3387" t="s">
        <v>1209</v>
      </c>
      <c r="D63" s="3388" t="s">
        <v>259</v>
      </c>
      <c r="E63" s="3388" t="s">
        <v>259</v>
      </c>
      <c r="F63" s="3388" t="s">
        <v>259</v>
      </c>
      <c r="G63" s="3387" t="s">
        <v>259</v>
      </c>
      <c r="H63" s="3387" t="s">
        <v>259</v>
      </c>
      <c r="I63" s="3387" t="s">
        <v>259</v>
      </c>
      <c r="J63" s="3429"/>
    </row>
    <row r="64" spans="1:10" ht="12" customHeight="1" x14ac:dyDescent="0.2">
      <c r="A64" s="3433" t="s">
        <v>1218</v>
      </c>
      <c r="B64" s="3363"/>
      <c r="C64" s="3388" t="s">
        <v>259</v>
      </c>
      <c r="D64" s="3388" t="s">
        <v>259</v>
      </c>
      <c r="E64" s="3388" t="s">
        <v>259</v>
      </c>
      <c r="F64" s="3388" t="s">
        <v>259</v>
      </c>
      <c r="G64" s="3388" t="s">
        <v>259</v>
      </c>
      <c r="H64" s="3388" t="s">
        <v>259</v>
      </c>
      <c r="I64" s="3388" t="s">
        <v>259</v>
      </c>
      <c r="J64" s="3429"/>
    </row>
    <row r="65" spans="1:10" ht="12" customHeight="1" x14ac:dyDescent="0.2">
      <c r="A65" s="3432" t="s">
        <v>1471</v>
      </c>
      <c r="B65" s="3363"/>
      <c r="C65" s="3363" t="s">
        <v>986</v>
      </c>
      <c r="D65" s="3363" t="s">
        <v>986</v>
      </c>
      <c r="E65" s="3363" t="s">
        <v>986</v>
      </c>
      <c r="F65" s="3363" t="s">
        <v>986</v>
      </c>
      <c r="G65" s="3388" t="s">
        <v>259</v>
      </c>
      <c r="H65" s="3388" t="s">
        <v>259</v>
      </c>
      <c r="I65" s="3388">
        <v>2.2651940409</v>
      </c>
      <c r="J65" s="3429"/>
    </row>
    <row r="66" spans="1:10" ht="12" customHeight="1" x14ac:dyDescent="0.2">
      <c r="A66" s="3431" t="s">
        <v>1470</v>
      </c>
      <c r="B66" s="3363"/>
      <c r="C66" s="3388">
        <v>7.8775572465000003</v>
      </c>
      <c r="D66" s="3388" t="s">
        <v>259</v>
      </c>
      <c r="E66" s="3388" t="s">
        <v>259</v>
      </c>
      <c r="F66" s="3388">
        <v>287.55031160280379</v>
      </c>
      <c r="G66" s="3388" t="s">
        <v>259</v>
      </c>
      <c r="H66" s="3388" t="s">
        <v>259</v>
      </c>
      <c r="I66" s="3388">
        <v>2.2651940409</v>
      </c>
      <c r="J66" s="3429"/>
    </row>
    <row r="67" spans="1:10" ht="12" customHeight="1" x14ac:dyDescent="0.2">
      <c r="A67" s="3430" t="s">
        <v>1469</v>
      </c>
      <c r="B67" s="3363"/>
      <c r="C67" s="3363" t="s">
        <v>986</v>
      </c>
      <c r="D67" s="3363" t="s">
        <v>986</v>
      </c>
      <c r="E67" s="3363" t="s">
        <v>986</v>
      </c>
      <c r="F67" s="3363" t="s">
        <v>986</v>
      </c>
      <c r="G67" s="3388" t="s">
        <v>259</v>
      </c>
      <c r="H67" s="3388" t="s">
        <v>259</v>
      </c>
      <c r="I67" s="3388" t="s">
        <v>259</v>
      </c>
      <c r="J67" s="3429"/>
    </row>
    <row r="68" spans="1:10" x14ac:dyDescent="0.2">
      <c r="A68" s="678" t="s">
        <v>564</v>
      </c>
      <c r="B68" s="663"/>
      <c r="C68" s="663"/>
      <c r="D68" s="663"/>
      <c r="E68" s="663"/>
      <c r="F68" s="663"/>
      <c r="G68" s="663"/>
      <c r="H68" s="663"/>
      <c r="I68" s="663"/>
      <c r="J68" s="3429"/>
    </row>
    <row r="69" spans="1:10" ht="13.5" x14ac:dyDescent="0.2">
      <c r="A69" s="5536" t="s">
        <v>1468</v>
      </c>
      <c r="B69" s="5536"/>
      <c r="C69" s="5536"/>
      <c r="D69" s="5536"/>
      <c r="E69" s="5536"/>
      <c r="F69" s="663"/>
      <c r="G69" s="663"/>
      <c r="H69" s="663"/>
      <c r="I69" s="663"/>
      <c r="J69" s="3429"/>
    </row>
    <row r="70" spans="1:10" ht="13.5" x14ac:dyDescent="0.2">
      <c r="A70" s="5504" t="s">
        <v>1467</v>
      </c>
      <c r="B70" s="5504"/>
      <c r="C70" s="5504"/>
      <c r="D70" s="5504"/>
      <c r="E70" s="5504"/>
      <c r="F70" s="5504"/>
      <c r="G70" s="5504"/>
      <c r="H70" s="5504"/>
      <c r="I70" s="5504"/>
      <c r="J70" s="3429"/>
    </row>
    <row r="71" spans="1:10" ht="13.5" x14ac:dyDescent="0.2">
      <c r="A71" s="5536" t="s">
        <v>1466</v>
      </c>
      <c r="B71" s="5536"/>
      <c r="C71" s="5536"/>
      <c r="D71" s="3307"/>
      <c r="E71" s="663"/>
      <c r="F71" s="663"/>
      <c r="G71" s="663"/>
      <c r="H71" s="663"/>
      <c r="I71" s="663"/>
      <c r="J71" s="3429"/>
    </row>
    <row r="72" spans="1:10" x14ac:dyDescent="0.2">
      <c r="A72" s="5554" t="s">
        <v>1465</v>
      </c>
      <c r="B72" s="5555"/>
      <c r="C72" s="5555"/>
      <c r="D72" s="5555"/>
      <c r="E72" s="5555"/>
      <c r="F72" s="5555"/>
      <c r="G72" s="5555"/>
      <c r="H72" s="663"/>
      <c r="I72" s="663"/>
      <c r="J72" s="3429"/>
    </row>
    <row r="73" spans="1:10" ht="13.5" x14ac:dyDescent="0.2">
      <c r="A73" s="5536" t="s">
        <v>1464</v>
      </c>
      <c r="B73" s="5536"/>
      <c r="C73" s="5536"/>
      <c r="D73" s="660"/>
      <c r="E73" s="660"/>
      <c r="F73" s="660"/>
      <c r="G73" s="660"/>
      <c r="H73" s="660"/>
      <c r="I73" s="660"/>
      <c r="J73" s="3429"/>
    </row>
    <row r="74" spans="1:10" ht="14.25" x14ac:dyDescent="0.25">
      <c r="A74" s="660" t="s">
        <v>1463</v>
      </c>
      <c r="B74" s="660"/>
      <c r="C74" s="660"/>
      <c r="D74" s="660"/>
      <c r="E74" s="660"/>
      <c r="F74" s="660"/>
      <c r="G74" s="660"/>
      <c r="H74" s="660"/>
      <c r="I74" s="660"/>
      <c r="J74" s="3429"/>
    </row>
    <row r="75" spans="1:10" x14ac:dyDescent="0.2">
      <c r="A75" s="5534" t="s">
        <v>982</v>
      </c>
      <c r="B75" s="5590"/>
      <c r="C75" s="5590"/>
      <c r="D75" s="3415"/>
      <c r="E75" s="3428"/>
      <c r="F75" s="3428"/>
      <c r="G75" s="3428"/>
      <c r="H75" s="3428"/>
      <c r="I75" s="3427"/>
      <c r="J75" s="660"/>
    </row>
    <row r="76" spans="1:10" ht="33" customHeight="1" x14ac:dyDescent="0.2">
      <c r="A76" s="5591" t="s">
        <v>1310</v>
      </c>
      <c r="B76" s="5563"/>
      <c r="C76" s="5563"/>
      <c r="D76" s="5563"/>
      <c r="E76" s="5563"/>
      <c r="F76" s="5563"/>
      <c r="G76" s="5563"/>
      <c r="H76" s="5563"/>
      <c r="I76" s="5564"/>
      <c r="J76" s="660"/>
    </row>
    <row r="77" spans="1:10" x14ac:dyDescent="0.2">
      <c r="A77" s="3361" t="s">
        <v>980</v>
      </c>
      <c r="B77" s="5473" t="s">
        <v>986</v>
      </c>
      <c r="C77" s="5589"/>
      <c r="D77" s="5589"/>
      <c r="E77" s="5589"/>
      <c r="F77" s="5589"/>
      <c r="G77" s="5589"/>
      <c r="H77" s="5589"/>
      <c r="I77" s="5589"/>
      <c r="J77" s="660"/>
    </row>
    <row r="78" spans="1:10" x14ac:dyDescent="0.2">
      <c r="A78" s="3361" t="s">
        <v>980</v>
      </c>
      <c r="B78" s="5473" t="s">
        <v>986</v>
      </c>
      <c r="C78" s="5589"/>
      <c r="D78" s="5589"/>
      <c r="E78" s="5589"/>
      <c r="F78" s="5589"/>
      <c r="G78" s="5589"/>
      <c r="H78" s="5589"/>
      <c r="I78" s="5589"/>
    </row>
    <row r="79" spans="1:10" x14ac:dyDescent="0.2">
      <c r="A79" s="3361" t="s">
        <v>980</v>
      </c>
      <c r="B79" s="5473" t="s">
        <v>986</v>
      </c>
      <c r="C79" s="5589"/>
      <c r="D79" s="5589"/>
      <c r="E79" s="5589"/>
      <c r="F79" s="5589"/>
      <c r="G79" s="5589"/>
      <c r="H79" s="5589"/>
      <c r="I79" s="5589"/>
    </row>
    <row r="80" spans="1:10" x14ac:dyDescent="0.2">
      <c r="A80" s="3361" t="s">
        <v>980</v>
      </c>
      <c r="B80" s="5473" t="s">
        <v>986</v>
      </c>
      <c r="C80" s="5589"/>
      <c r="D80" s="5589"/>
      <c r="E80" s="5589"/>
      <c r="F80" s="5589"/>
      <c r="G80" s="5589"/>
      <c r="H80" s="5589"/>
      <c r="I80" s="5589"/>
    </row>
    <row r="81" spans="1:9" x14ac:dyDescent="0.2">
      <c r="A81" s="3361" t="s">
        <v>980</v>
      </c>
      <c r="B81" s="5473" t="s">
        <v>986</v>
      </c>
      <c r="C81" s="5589"/>
      <c r="D81" s="5589"/>
      <c r="E81" s="5589"/>
      <c r="F81" s="5589"/>
      <c r="G81" s="5589"/>
      <c r="H81" s="5589"/>
      <c r="I81" s="5589"/>
    </row>
  </sheetData>
  <sheetProtection password="A754" sheet="1" objects="1" scenarios="1"/>
  <mergeCells count="18">
    <mergeCell ref="A69:E69"/>
    <mergeCell ref="A70:I70"/>
    <mergeCell ref="A71:C71"/>
    <mergeCell ref="A75:C75"/>
    <mergeCell ref="A76:I76"/>
    <mergeCell ref="A72:G72"/>
    <mergeCell ref="B78:I78"/>
    <mergeCell ref="B79:I79"/>
    <mergeCell ref="B80:I80"/>
    <mergeCell ref="B81:I81"/>
    <mergeCell ref="A73:C73"/>
    <mergeCell ref="B77:I77"/>
    <mergeCell ref="A2:C2"/>
    <mergeCell ref="D5:F5"/>
    <mergeCell ref="G5:I5"/>
    <mergeCell ref="A6:A7"/>
    <mergeCell ref="G7:I7"/>
    <mergeCell ref="B5:B7"/>
  </mergeCells>
  <pageMargins left="0.7" right="0.7" top="0.75" bottom="0.75" header="0.3" footer="0.3"/>
  <pageSetup paperSize="9" scale="72" fitToHeight="0"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F5635-7393-4EDC-9F1E-909D9C541AEF}">
  <sheetPr codeName="Ark30">
    <tabColor theme="0" tint="-0.14999847407452621"/>
    <pageSetUpPr fitToPage="1"/>
  </sheetPr>
  <dimension ref="A1:G54"/>
  <sheetViews>
    <sheetView showGridLines="0" workbookViewId="0"/>
  </sheetViews>
  <sheetFormatPr defaultColWidth="8" defaultRowHeight="12" x14ac:dyDescent="0.2"/>
  <cols>
    <col min="1" max="1" width="65.85546875" style="659" customWidth="1"/>
    <col min="2" max="2" width="30.7109375" style="659" customWidth="1"/>
    <col min="3" max="3" width="33.28515625" style="659" customWidth="1"/>
    <col min="4" max="4" width="30.7109375" style="659" customWidth="1"/>
    <col min="5" max="5" width="1.28515625" style="659" customWidth="1"/>
    <col min="6" max="9" width="11" style="659" customWidth="1"/>
    <col min="10" max="16384" width="8" style="659"/>
  </cols>
  <sheetData>
    <row r="1" spans="1:7" ht="15.75" x14ac:dyDescent="0.25">
      <c r="A1" s="671" t="s">
        <v>1530</v>
      </c>
      <c r="B1" s="670"/>
      <c r="C1" s="670"/>
      <c r="D1" s="668" t="s">
        <v>1028</v>
      </c>
      <c r="E1" s="668"/>
      <c r="F1" s="668"/>
      <c r="G1" s="668"/>
    </row>
    <row r="2" spans="1:7" ht="15.75" x14ac:dyDescent="0.2">
      <c r="A2" s="5592" t="s">
        <v>1529</v>
      </c>
      <c r="B2" s="5593"/>
      <c r="C2" s="5593"/>
      <c r="D2" s="668" t="s">
        <v>5183</v>
      </c>
      <c r="E2" s="668"/>
      <c r="F2" s="668"/>
      <c r="G2" s="668"/>
    </row>
    <row r="3" spans="1:7" ht="18.75" x14ac:dyDescent="0.2">
      <c r="A3" s="761" t="s">
        <v>1528</v>
      </c>
      <c r="B3" s="760"/>
      <c r="C3" s="760"/>
      <c r="D3" s="759" t="s">
        <v>1789</v>
      </c>
      <c r="E3" s="668"/>
      <c r="F3" s="668"/>
      <c r="G3" s="668"/>
    </row>
    <row r="4" spans="1:7" ht="15.75" x14ac:dyDescent="0.25">
      <c r="A4" s="758" t="s">
        <v>1197</v>
      </c>
      <c r="B4" s="670"/>
      <c r="C4" s="670"/>
      <c r="D4" s="660"/>
      <c r="E4" s="668"/>
      <c r="F4" s="668"/>
      <c r="G4" s="668"/>
    </row>
    <row r="5" spans="1:7" x14ac:dyDescent="0.2">
      <c r="A5" s="660"/>
      <c r="B5" s="660"/>
      <c r="C5" s="660"/>
      <c r="D5" s="660"/>
      <c r="E5" s="660"/>
      <c r="F5" s="660"/>
      <c r="G5" s="660"/>
    </row>
    <row r="6" spans="1:7" x14ac:dyDescent="0.2">
      <c r="A6" s="3416" t="s">
        <v>1025</v>
      </c>
      <c r="B6" s="3444" t="s">
        <v>1083</v>
      </c>
      <c r="C6" s="3444" t="s">
        <v>1238</v>
      </c>
      <c r="D6" s="3451" t="s">
        <v>1307</v>
      </c>
      <c r="E6" s="660"/>
      <c r="F6" s="660"/>
      <c r="G6" s="660"/>
    </row>
    <row r="7" spans="1:7" ht="18" customHeight="1" x14ac:dyDescent="0.2">
      <c r="A7" s="5572" t="s">
        <v>1527</v>
      </c>
      <c r="B7" s="3444" t="s">
        <v>1526</v>
      </c>
      <c r="C7" s="3444" t="s">
        <v>1525</v>
      </c>
      <c r="D7" s="3444" t="s">
        <v>1022</v>
      </c>
      <c r="E7" s="660"/>
      <c r="F7" s="660"/>
      <c r="G7" s="660"/>
    </row>
    <row r="8" spans="1:7" ht="20.25" customHeight="1" thickBot="1" x14ac:dyDescent="0.25">
      <c r="A8" s="5594"/>
      <c r="B8" s="3308" t="s">
        <v>1524</v>
      </c>
      <c r="C8" s="3308" t="s">
        <v>1485</v>
      </c>
      <c r="D8" s="757" t="s">
        <v>1011</v>
      </c>
      <c r="E8" s="660"/>
      <c r="F8" s="660"/>
      <c r="G8" s="660"/>
    </row>
    <row r="9" spans="1:7" ht="12.75" thickTop="1" x14ac:dyDescent="0.2">
      <c r="A9" s="756" t="s">
        <v>1523</v>
      </c>
      <c r="B9" s="3388">
        <v>794.84541368420003</v>
      </c>
      <c r="C9" s="3388">
        <v>4.5742422216110003E-2</v>
      </c>
      <c r="D9" s="3388">
        <v>5.7134242800300002E-2</v>
      </c>
      <c r="E9" s="660"/>
      <c r="F9" s="660"/>
      <c r="G9" s="660"/>
    </row>
    <row r="10" spans="1:7" x14ac:dyDescent="0.2">
      <c r="A10" s="3430" t="s">
        <v>1522</v>
      </c>
      <c r="B10" s="3388">
        <v>635.99536112999999</v>
      </c>
      <c r="C10" s="3388" t="s">
        <v>259</v>
      </c>
      <c r="D10" s="3388" t="s">
        <v>259</v>
      </c>
      <c r="E10" s="660"/>
      <c r="F10" s="660"/>
      <c r="G10" s="660"/>
    </row>
    <row r="11" spans="1:7" x14ac:dyDescent="0.2">
      <c r="A11" s="3432" t="s">
        <v>1326</v>
      </c>
      <c r="B11" s="3387">
        <v>536.74279863000004</v>
      </c>
      <c r="C11" s="3388" t="s">
        <v>259</v>
      </c>
      <c r="D11" s="3387" t="s">
        <v>259</v>
      </c>
      <c r="E11" s="660"/>
      <c r="F11" s="660"/>
      <c r="G11" s="660"/>
    </row>
    <row r="12" spans="1:7" ht="13.5" x14ac:dyDescent="0.2">
      <c r="A12" s="3432" t="s">
        <v>1521</v>
      </c>
      <c r="B12" s="3388">
        <v>99.252562499999996</v>
      </c>
      <c r="C12" s="3388" t="s">
        <v>259</v>
      </c>
      <c r="D12" s="3388" t="s">
        <v>259</v>
      </c>
      <c r="E12" s="660"/>
      <c r="F12" s="660"/>
      <c r="G12" s="660"/>
    </row>
    <row r="13" spans="1:7" x14ac:dyDescent="0.2">
      <c r="A13" s="3431" t="s">
        <v>1520</v>
      </c>
      <c r="B13" s="3387">
        <v>99.252562499999996</v>
      </c>
      <c r="C13" s="3388" t="s">
        <v>259</v>
      </c>
      <c r="D13" s="3387" t="s">
        <v>259</v>
      </c>
      <c r="E13" s="660"/>
      <c r="F13" s="660"/>
      <c r="G13" s="660"/>
    </row>
    <row r="14" spans="1:7" ht="14.25" x14ac:dyDescent="0.2">
      <c r="A14" s="3430" t="s">
        <v>1519</v>
      </c>
      <c r="B14" s="3388">
        <v>36.966488662300002</v>
      </c>
      <c r="C14" s="3388">
        <v>0.11521186384752</v>
      </c>
      <c r="D14" s="3388">
        <v>6.6926798064999996E-3</v>
      </c>
      <c r="E14" s="660"/>
      <c r="F14" s="660"/>
      <c r="G14" s="660"/>
    </row>
    <row r="15" spans="1:7" ht="13.5" x14ac:dyDescent="0.2">
      <c r="A15" s="3432" t="s">
        <v>1518</v>
      </c>
      <c r="B15" s="3388">
        <v>36.966488662300002</v>
      </c>
      <c r="C15" s="3388">
        <v>0.11521186384752</v>
      </c>
      <c r="D15" s="3388">
        <v>6.6926798064999996E-3</v>
      </c>
      <c r="E15" s="660"/>
      <c r="F15" s="660"/>
      <c r="G15" s="660"/>
    </row>
    <row r="16" spans="1:7" x14ac:dyDescent="0.2">
      <c r="A16" s="3431" t="s">
        <v>1517</v>
      </c>
      <c r="B16" s="3387">
        <v>5.7005761623</v>
      </c>
      <c r="C16" s="3388">
        <v>0.74711361403220999</v>
      </c>
      <c r="D16" s="3387">
        <v>6.6926798064999996E-3</v>
      </c>
      <c r="E16" s="660"/>
      <c r="F16" s="660"/>
      <c r="G16" s="660"/>
    </row>
    <row r="17" spans="1:7" x14ac:dyDescent="0.2">
      <c r="A17" s="3431" t="s">
        <v>1516</v>
      </c>
      <c r="B17" s="3387">
        <v>31.265912499999999</v>
      </c>
      <c r="C17" s="3388" t="s">
        <v>455</v>
      </c>
      <c r="D17" s="3387" t="s">
        <v>455</v>
      </c>
    </row>
    <row r="18" spans="1:7" x14ac:dyDescent="0.2">
      <c r="A18" s="3430" t="s">
        <v>1515</v>
      </c>
      <c r="B18" s="3388">
        <v>3.4205903319000002</v>
      </c>
      <c r="C18" s="3388">
        <v>0.48160436946711999</v>
      </c>
      <c r="D18" s="3388">
        <v>2.5887262499999998E-3</v>
      </c>
      <c r="E18" s="660"/>
      <c r="F18" s="660"/>
      <c r="G18" s="660"/>
    </row>
    <row r="19" spans="1:7" x14ac:dyDescent="0.2">
      <c r="A19" s="3432" t="s">
        <v>1514</v>
      </c>
      <c r="B19" s="3387" t="s">
        <v>455</v>
      </c>
      <c r="C19" s="3388" t="s">
        <v>455</v>
      </c>
      <c r="D19" s="3387" t="s">
        <v>455</v>
      </c>
      <c r="E19" s="660"/>
      <c r="F19" s="660"/>
      <c r="G19" s="660"/>
    </row>
    <row r="20" spans="1:7" ht="13.5" x14ac:dyDescent="0.2">
      <c r="A20" s="3432" t="s">
        <v>1513</v>
      </c>
      <c r="B20" s="3388">
        <v>3.4205903319000002</v>
      </c>
      <c r="C20" s="3388">
        <v>0.48160436946711999</v>
      </c>
      <c r="D20" s="3388">
        <v>2.5887262499999998E-3</v>
      </c>
      <c r="E20" s="660"/>
      <c r="F20" s="660"/>
      <c r="G20" s="660"/>
    </row>
    <row r="21" spans="1:7" x14ac:dyDescent="0.2">
      <c r="A21" s="3431" t="s">
        <v>1512</v>
      </c>
      <c r="B21" s="3387">
        <v>3.4205903319000002</v>
      </c>
      <c r="C21" s="3388">
        <v>0.48160436946711999</v>
      </c>
      <c r="D21" s="3387">
        <v>2.5887262499999998E-3</v>
      </c>
      <c r="E21" s="660"/>
      <c r="F21" s="660"/>
      <c r="G21" s="660"/>
    </row>
    <row r="22" spans="1:7" x14ac:dyDescent="0.2">
      <c r="A22" s="3431" t="s">
        <v>1511</v>
      </c>
      <c r="B22" s="3387" t="s">
        <v>455</v>
      </c>
      <c r="C22" s="3388" t="s">
        <v>455</v>
      </c>
      <c r="D22" s="3387" t="s">
        <v>455</v>
      </c>
    </row>
    <row r="23" spans="1:7" x14ac:dyDescent="0.2">
      <c r="A23" s="3430" t="s">
        <v>1510</v>
      </c>
      <c r="B23" s="3388">
        <v>115.60434856000001</v>
      </c>
      <c r="C23" s="3388" t="s">
        <v>259</v>
      </c>
      <c r="D23" s="3388" t="s">
        <v>259</v>
      </c>
      <c r="E23" s="660"/>
      <c r="F23" s="660"/>
      <c r="G23" s="660"/>
    </row>
    <row r="24" spans="1:7" x14ac:dyDescent="0.2">
      <c r="A24" s="3432" t="s">
        <v>1422</v>
      </c>
      <c r="B24" s="3387">
        <v>104.74386106</v>
      </c>
      <c r="C24" s="3388" t="s">
        <v>259</v>
      </c>
      <c r="D24" s="3387" t="s">
        <v>259</v>
      </c>
      <c r="E24" s="660"/>
      <c r="F24" s="660"/>
      <c r="G24" s="660"/>
    </row>
    <row r="25" spans="1:7" ht="13.5" x14ac:dyDescent="0.2">
      <c r="A25" s="3432" t="s">
        <v>1509</v>
      </c>
      <c r="B25" s="3388">
        <v>10.8604875</v>
      </c>
      <c r="C25" s="3388" t="s">
        <v>259</v>
      </c>
      <c r="D25" s="3388" t="s">
        <v>259</v>
      </c>
      <c r="E25" s="660"/>
      <c r="F25" s="660"/>
      <c r="G25" s="660"/>
    </row>
    <row r="26" spans="1:7" x14ac:dyDescent="0.2">
      <c r="A26" s="3431" t="s">
        <v>5194</v>
      </c>
      <c r="B26" s="3387">
        <v>0.92296250000000002</v>
      </c>
      <c r="C26" s="3388" t="s">
        <v>259</v>
      </c>
      <c r="D26" s="3387" t="s">
        <v>259</v>
      </c>
      <c r="E26" s="660"/>
      <c r="F26" s="660"/>
      <c r="G26" s="660"/>
    </row>
    <row r="27" spans="1:7" x14ac:dyDescent="0.2">
      <c r="A27" s="3431" t="s">
        <v>5193</v>
      </c>
      <c r="B27" s="3387">
        <v>5.306</v>
      </c>
      <c r="C27" s="3388" t="s">
        <v>259</v>
      </c>
      <c r="D27" s="3387" t="s">
        <v>259</v>
      </c>
    </row>
    <row r="28" spans="1:7" x14ac:dyDescent="0.2">
      <c r="A28" s="3431" t="s">
        <v>5192</v>
      </c>
      <c r="B28" s="3387">
        <v>4.6315249999999999</v>
      </c>
      <c r="C28" s="3388" t="s">
        <v>259</v>
      </c>
      <c r="D28" s="3387" t="s">
        <v>259</v>
      </c>
    </row>
    <row r="29" spans="1:7" x14ac:dyDescent="0.2">
      <c r="A29" s="3450" t="s">
        <v>1508</v>
      </c>
      <c r="B29" s="3388">
        <v>2.858625</v>
      </c>
      <c r="C29" s="3388">
        <v>10.65260578096119</v>
      </c>
      <c r="D29" s="3388">
        <v>4.7852836743799997E-2</v>
      </c>
      <c r="E29" s="660"/>
      <c r="F29" s="660"/>
      <c r="G29" s="660"/>
    </row>
    <row r="30" spans="1:7" x14ac:dyDescent="0.2">
      <c r="A30" s="3432" t="s">
        <v>1443</v>
      </c>
      <c r="B30" s="3387" t="s">
        <v>259</v>
      </c>
      <c r="C30" s="3388" t="s">
        <v>259</v>
      </c>
      <c r="D30" s="3387" t="s">
        <v>259</v>
      </c>
      <c r="E30" s="660"/>
      <c r="F30" s="660"/>
      <c r="G30" s="660"/>
    </row>
    <row r="31" spans="1:7" ht="13.5" x14ac:dyDescent="0.2">
      <c r="A31" s="3432" t="s">
        <v>1507</v>
      </c>
      <c r="B31" s="3388">
        <v>2.858625</v>
      </c>
      <c r="C31" s="3388">
        <v>10.65260578096119</v>
      </c>
      <c r="D31" s="3388">
        <v>4.7852836743799997E-2</v>
      </c>
      <c r="E31" s="660"/>
      <c r="F31" s="660"/>
      <c r="G31" s="660"/>
    </row>
    <row r="32" spans="1:7" x14ac:dyDescent="0.2">
      <c r="A32" s="3431" t="s">
        <v>1506</v>
      </c>
      <c r="B32" s="3387">
        <v>1.5985</v>
      </c>
      <c r="C32" s="3388">
        <v>0.65785690130520003</v>
      </c>
      <c r="D32" s="3387">
        <v>1.6524895463000001E-3</v>
      </c>
      <c r="E32" s="660"/>
      <c r="F32" s="660"/>
      <c r="G32" s="660"/>
    </row>
    <row r="33" spans="1:7" x14ac:dyDescent="0.2">
      <c r="A33" s="3431" t="s">
        <v>1505</v>
      </c>
      <c r="B33" s="3387">
        <v>0.85518749999999999</v>
      </c>
      <c r="C33" s="3388">
        <v>30.07938606414081</v>
      </c>
      <c r="D33" s="3387">
        <v>4.0422666380999998E-2</v>
      </c>
    </row>
    <row r="34" spans="1:7" x14ac:dyDescent="0.2">
      <c r="A34" s="3431" t="s">
        <v>1504</v>
      </c>
      <c r="B34" s="3387">
        <v>0.40493750000000001</v>
      </c>
      <c r="C34" s="3388">
        <v>9.0796875422414196</v>
      </c>
      <c r="D34" s="3387">
        <v>5.7776808164999999E-3</v>
      </c>
    </row>
    <row r="35" spans="1:7" x14ac:dyDescent="0.2">
      <c r="A35" s="3450" t="s">
        <v>1503</v>
      </c>
      <c r="B35" s="3387" t="s">
        <v>259</v>
      </c>
      <c r="C35" s="3388" t="s">
        <v>259</v>
      </c>
      <c r="D35" s="3387" t="s">
        <v>259</v>
      </c>
      <c r="E35" s="660"/>
      <c r="F35" s="660"/>
      <c r="G35" s="660"/>
    </row>
    <row r="36" spans="1:7" x14ac:dyDescent="0.2">
      <c r="A36" s="755" t="s">
        <v>564</v>
      </c>
      <c r="B36" s="3449"/>
      <c r="C36" s="3449"/>
      <c r="D36" s="3449"/>
      <c r="E36" s="660"/>
      <c r="F36" s="660"/>
      <c r="G36" s="660"/>
    </row>
    <row r="37" spans="1:7" ht="33" customHeight="1" x14ac:dyDescent="0.2">
      <c r="A37" s="5504" t="s">
        <v>1502</v>
      </c>
      <c r="B37" s="5504"/>
      <c r="C37" s="5504"/>
      <c r="D37" s="5504"/>
      <c r="E37" s="660"/>
      <c r="F37" s="660"/>
      <c r="G37" s="660"/>
    </row>
    <row r="38" spans="1:7" ht="14.25" x14ac:dyDescent="0.25">
      <c r="A38" s="754" t="s">
        <v>1501</v>
      </c>
      <c r="B38" s="663"/>
      <c r="C38" s="663"/>
      <c r="D38" s="663"/>
      <c r="E38" s="660"/>
      <c r="F38" s="660"/>
      <c r="G38" s="660"/>
    </row>
    <row r="39" spans="1:7" ht="13.5" x14ac:dyDescent="0.2">
      <c r="A39" s="5536" t="s">
        <v>1500</v>
      </c>
      <c r="B39" s="5536"/>
      <c r="C39" s="663"/>
      <c r="D39" s="663"/>
      <c r="E39" s="660"/>
      <c r="F39" s="660"/>
      <c r="G39" s="660"/>
    </row>
    <row r="40" spans="1:7" ht="13.5" x14ac:dyDescent="0.2">
      <c r="A40" s="5554" t="s">
        <v>1499</v>
      </c>
      <c r="B40" s="5554"/>
      <c r="C40" s="5554"/>
      <c r="D40" s="5554"/>
      <c r="E40" s="660"/>
      <c r="F40" s="660"/>
      <c r="G40" s="660"/>
    </row>
    <row r="41" spans="1:7" ht="27.75" customHeight="1" x14ac:dyDescent="0.2">
      <c r="A41" s="5554" t="s">
        <v>1498</v>
      </c>
      <c r="B41" s="5554"/>
      <c r="C41" s="5554"/>
      <c r="D41" s="5554"/>
      <c r="E41" s="660"/>
      <c r="F41" s="660"/>
      <c r="G41" s="660"/>
    </row>
    <row r="42" spans="1:7" ht="13.5" x14ac:dyDescent="0.2">
      <c r="A42" s="5554"/>
      <c r="B42" s="5554"/>
      <c r="C42" s="5554"/>
      <c r="D42" s="5554"/>
      <c r="E42" s="660"/>
      <c r="F42" s="660"/>
      <c r="G42" s="660"/>
    </row>
    <row r="43" spans="1:7" x14ac:dyDescent="0.2">
      <c r="A43" s="3448" t="s">
        <v>982</v>
      </c>
      <c r="B43" s="3447"/>
      <c r="C43" s="3447"/>
      <c r="D43" s="3446"/>
      <c r="E43" s="660"/>
      <c r="F43" s="660"/>
      <c r="G43" s="660"/>
    </row>
    <row r="44" spans="1:7" ht="12.75" customHeight="1" x14ac:dyDescent="0.2">
      <c r="A44" s="5591" t="s">
        <v>1310</v>
      </c>
      <c r="B44" s="5596"/>
      <c r="C44" s="5596"/>
      <c r="D44" s="5597"/>
      <c r="E44" s="3299"/>
      <c r="F44" s="3299"/>
      <c r="G44" s="3299"/>
    </row>
    <row r="45" spans="1:7" x14ac:dyDescent="0.2">
      <c r="A45" s="3412" t="s">
        <v>980</v>
      </c>
      <c r="B45" s="5473" t="s">
        <v>5191</v>
      </c>
      <c r="C45" s="5598"/>
      <c r="D45" s="5598"/>
      <c r="E45" s="660"/>
      <c r="F45" s="660"/>
      <c r="G45" s="660"/>
    </row>
    <row r="46" spans="1:7" x14ac:dyDescent="0.2">
      <c r="A46" s="3412" t="s">
        <v>980</v>
      </c>
      <c r="B46" s="5473" t="s">
        <v>5190</v>
      </c>
      <c r="C46" s="5598"/>
      <c r="D46" s="5598"/>
    </row>
    <row r="47" spans="1:7" ht="12" customHeight="1" x14ac:dyDescent="0.2">
      <c r="A47" s="3412" t="s">
        <v>980</v>
      </c>
      <c r="B47" s="5473" t="s">
        <v>5189</v>
      </c>
      <c r="C47" s="5595"/>
      <c r="D47" s="5595"/>
    </row>
    <row r="48" spans="1:7" ht="12" customHeight="1" x14ac:dyDescent="0.2">
      <c r="A48" s="3412" t="s">
        <v>980</v>
      </c>
      <c r="B48" s="5473" t="s">
        <v>986</v>
      </c>
      <c r="C48" s="5595"/>
      <c r="D48" s="5595"/>
    </row>
    <row r="49" spans="1:4" ht="12" customHeight="1" x14ac:dyDescent="0.2">
      <c r="A49" s="3412" t="s">
        <v>980</v>
      </c>
      <c r="B49" s="5473" t="s">
        <v>986</v>
      </c>
      <c r="C49" s="5598"/>
      <c r="D49" s="5598"/>
    </row>
    <row r="50" spans="1:4" ht="15" x14ac:dyDescent="0.2">
      <c r="A50" s="3412" t="s">
        <v>980</v>
      </c>
      <c r="B50" s="5473" t="s">
        <v>986</v>
      </c>
      <c r="C50" s="5595"/>
      <c r="D50" s="5595"/>
    </row>
    <row r="51" spans="1:4" ht="12" customHeight="1" x14ac:dyDescent="0.2">
      <c r="A51" s="3412" t="s">
        <v>980</v>
      </c>
      <c r="B51" s="5473" t="s">
        <v>5188</v>
      </c>
      <c r="C51" s="5595"/>
      <c r="D51" s="5595"/>
    </row>
    <row r="52" spans="1:4" ht="12" customHeight="1" x14ac:dyDescent="0.2">
      <c r="A52" s="3412" t="s">
        <v>980</v>
      </c>
      <c r="B52" s="5473" t="s">
        <v>5187</v>
      </c>
      <c r="C52" s="5595"/>
      <c r="D52" s="5595"/>
    </row>
    <row r="53" spans="1:4" ht="12" customHeight="1" x14ac:dyDescent="0.2">
      <c r="A53" s="3412" t="s">
        <v>980</v>
      </c>
      <c r="B53" s="5473" t="s">
        <v>986</v>
      </c>
      <c r="C53" s="5595"/>
      <c r="D53" s="5595"/>
    </row>
    <row r="54" spans="1:4" ht="12" customHeight="1" x14ac:dyDescent="0.2">
      <c r="A54" s="3412" t="s">
        <v>980</v>
      </c>
      <c r="B54" s="5473" t="s">
        <v>5186</v>
      </c>
      <c r="C54" s="5595"/>
      <c r="D54" s="5595"/>
    </row>
  </sheetData>
  <sheetProtection password="A754" sheet="1" objects="1" scenarios="1"/>
  <mergeCells count="18">
    <mergeCell ref="B53:D53"/>
    <mergeCell ref="B54:D54"/>
    <mergeCell ref="B45:D45"/>
    <mergeCell ref="B46:D46"/>
    <mergeCell ref="B47:D47"/>
    <mergeCell ref="B48:D48"/>
    <mergeCell ref="B49:D49"/>
    <mergeCell ref="B52:D52"/>
    <mergeCell ref="A2:C2"/>
    <mergeCell ref="A7:A8"/>
    <mergeCell ref="B50:D50"/>
    <mergeCell ref="B51:D51"/>
    <mergeCell ref="A42:D42"/>
    <mergeCell ref="A44:D44"/>
    <mergeCell ref="A41:D41"/>
    <mergeCell ref="A37:D37"/>
    <mergeCell ref="A39:B39"/>
    <mergeCell ref="A40:D40"/>
  </mergeCells>
  <printOptions horizontalCentered="1" verticalCentered="1"/>
  <pageMargins left="0.39370078740157483" right="0.39370078740157483" top="0.39370078740157483" bottom="0.39370078740157483" header="0.19685039370078741" footer="0.19685039370078741"/>
  <pageSetup paperSize="9" scale="47" orientation="landscape" r:id="rId1"/>
  <headerFooter alignWithMargins="0"/>
  <colBreaks count="1" manualBreakCount="1">
    <brk id="4" min="5" max="40" man="1"/>
  </col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15F33-FD81-4BBD-A876-3FC204DDB421}">
  <sheetPr codeName="Ark31">
    <tabColor theme="0" tint="-0.14999847407452621"/>
    <pageSetUpPr fitToPage="1"/>
  </sheetPr>
  <dimension ref="A1:O80"/>
  <sheetViews>
    <sheetView showGridLines="0" workbookViewId="0"/>
  </sheetViews>
  <sheetFormatPr defaultColWidth="9.140625" defaultRowHeight="12" x14ac:dyDescent="0.2"/>
  <cols>
    <col min="1" max="1" width="49.42578125" style="659" customWidth="1"/>
    <col min="2" max="2" width="20.42578125" style="659" customWidth="1"/>
    <col min="3" max="3" width="13.7109375" style="659" customWidth="1"/>
    <col min="4" max="4" width="11.7109375" style="659" customWidth="1"/>
    <col min="5" max="5" width="11" style="659" customWidth="1"/>
    <col min="6" max="8" width="8.7109375" style="659" customWidth="1"/>
    <col min="9" max="11" width="10.5703125" style="659" customWidth="1"/>
    <col min="12" max="12" width="1.28515625" style="659" customWidth="1"/>
    <col min="13" max="16384" width="9.140625" style="659"/>
  </cols>
  <sheetData>
    <row r="1" spans="1:15" ht="15.75" customHeight="1" x14ac:dyDescent="0.25">
      <c r="A1" s="671" t="s">
        <v>1565</v>
      </c>
      <c r="B1" s="763"/>
      <c r="C1" s="660"/>
      <c r="D1" s="660"/>
      <c r="E1" s="660"/>
      <c r="F1" s="660"/>
      <c r="G1" s="660"/>
      <c r="H1" s="660"/>
      <c r="I1" s="660"/>
      <c r="J1" s="660"/>
      <c r="K1" s="668" t="s">
        <v>1028</v>
      </c>
      <c r="L1" s="660"/>
      <c r="M1" s="660"/>
      <c r="N1" s="660"/>
      <c r="O1" s="660"/>
    </row>
    <row r="2" spans="1:15" ht="18.75" x14ac:dyDescent="0.25">
      <c r="A2" s="671" t="s">
        <v>1564</v>
      </c>
      <c r="B2" s="763"/>
      <c r="C2" s="660"/>
      <c r="D2" s="660"/>
      <c r="E2" s="660"/>
      <c r="F2" s="660"/>
      <c r="G2" s="660"/>
      <c r="H2" s="660"/>
      <c r="I2" s="660"/>
      <c r="J2" s="660"/>
      <c r="K2" s="668" t="s">
        <v>5183</v>
      </c>
      <c r="L2" s="660"/>
      <c r="M2" s="660"/>
      <c r="N2" s="660"/>
      <c r="O2" s="660"/>
    </row>
    <row r="3" spans="1:15" ht="15.75" x14ac:dyDescent="0.25">
      <c r="A3" s="671" t="s">
        <v>1197</v>
      </c>
      <c r="B3" s="763"/>
      <c r="C3" s="660"/>
      <c r="D3" s="660"/>
      <c r="E3" s="660"/>
      <c r="F3" s="660"/>
      <c r="G3" s="660"/>
      <c r="H3" s="660"/>
      <c r="I3" s="660"/>
      <c r="J3" s="660"/>
      <c r="K3" s="668" t="s">
        <v>1789</v>
      </c>
      <c r="L3" s="660"/>
      <c r="M3" s="660"/>
      <c r="N3" s="660"/>
      <c r="O3" s="660"/>
    </row>
    <row r="4" spans="1:15" x14ac:dyDescent="0.2">
      <c r="A4" s="660"/>
      <c r="B4" s="660"/>
      <c r="C4" s="660"/>
      <c r="D4" s="660"/>
      <c r="E4" s="660"/>
      <c r="F4" s="660"/>
      <c r="G4" s="660"/>
      <c r="H4" s="660"/>
      <c r="I4" s="660"/>
      <c r="J4" s="660"/>
      <c r="K4" s="660"/>
      <c r="L4" s="660"/>
      <c r="M4" s="660"/>
      <c r="N4" s="660"/>
      <c r="O4" s="660"/>
    </row>
    <row r="5" spans="1:15" ht="20.25" customHeight="1" x14ac:dyDescent="0.2">
      <c r="A5" s="5604" t="s">
        <v>1025</v>
      </c>
      <c r="B5" s="5599"/>
      <c r="C5" s="5599" t="s">
        <v>1083</v>
      </c>
      <c r="D5" s="5599"/>
      <c r="E5" s="5599"/>
      <c r="F5" s="5599" t="s">
        <v>1563</v>
      </c>
      <c r="G5" s="5599"/>
      <c r="H5" s="5599"/>
      <c r="I5" s="5599" t="s">
        <v>1081</v>
      </c>
      <c r="J5" s="5599"/>
      <c r="K5" s="5599"/>
      <c r="L5" s="660"/>
      <c r="M5" s="660"/>
      <c r="N5" s="660"/>
      <c r="O5" s="660"/>
    </row>
    <row r="6" spans="1:15" ht="19.5" customHeight="1" x14ac:dyDescent="0.2">
      <c r="A6" s="5604"/>
      <c r="B6" s="5599"/>
      <c r="C6" s="3463" t="s">
        <v>1562</v>
      </c>
      <c r="D6" s="3463" t="s">
        <v>1561</v>
      </c>
      <c r="E6" s="3463" t="s">
        <v>1560</v>
      </c>
      <c r="F6" s="3463" t="s">
        <v>1024</v>
      </c>
      <c r="G6" s="3463" t="s">
        <v>1023</v>
      </c>
      <c r="H6" s="3463" t="s">
        <v>1022</v>
      </c>
      <c r="I6" s="3463" t="s">
        <v>1559</v>
      </c>
      <c r="J6" s="3463" t="s">
        <v>1023</v>
      </c>
      <c r="K6" s="3463" t="s">
        <v>1022</v>
      </c>
      <c r="L6" s="660"/>
      <c r="M6" s="660"/>
      <c r="N6" s="660"/>
      <c r="O6" s="660"/>
    </row>
    <row r="7" spans="1:15" ht="15" thickBot="1" x14ac:dyDescent="0.25">
      <c r="A7" s="3462" t="s">
        <v>1527</v>
      </c>
      <c r="B7" s="762" t="s">
        <v>1558</v>
      </c>
      <c r="C7" s="3317"/>
      <c r="D7" s="3317" t="s">
        <v>1557</v>
      </c>
      <c r="E7" s="3461"/>
      <c r="F7" s="5605" t="s">
        <v>1556</v>
      </c>
      <c r="G7" s="5605"/>
      <c r="H7" s="5605"/>
      <c r="I7" s="5605" t="s">
        <v>1011</v>
      </c>
      <c r="J7" s="5605"/>
      <c r="K7" s="5605"/>
      <c r="L7" s="660"/>
      <c r="M7" s="660"/>
      <c r="N7" s="660"/>
      <c r="O7" s="660"/>
    </row>
    <row r="8" spans="1:15" ht="12.75" thickTop="1" x14ac:dyDescent="0.2">
      <c r="A8" s="756" t="s">
        <v>1555</v>
      </c>
      <c r="B8" s="3363"/>
      <c r="C8" s="3363" t="s">
        <v>986</v>
      </c>
      <c r="D8" s="3388" t="s">
        <v>1542</v>
      </c>
      <c r="E8" s="3388" t="s">
        <v>799</v>
      </c>
      <c r="F8" s="3388" t="s">
        <v>1366</v>
      </c>
      <c r="G8" s="3388" t="s">
        <v>799</v>
      </c>
      <c r="H8" s="3388" t="s">
        <v>799</v>
      </c>
      <c r="I8" s="3388" t="s">
        <v>1366</v>
      </c>
      <c r="J8" s="3388">
        <v>9.5091770400000002E-4</v>
      </c>
      <c r="K8" s="3388">
        <v>8.6822920799999999E-5</v>
      </c>
      <c r="L8" s="660"/>
      <c r="M8" s="660"/>
      <c r="N8" s="660"/>
      <c r="O8" s="660"/>
    </row>
    <row r="9" spans="1:15" x14ac:dyDescent="0.2">
      <c r="A9" s="3457" t="s">
        <v>1522</v>
      </c>
      <c r="B9" s="3363"/>
      <c r="C9" s="3363" t="s">
        <v>986</v>
      </c>
      <c r="D9" s="3388" t="s">
        <v>392</v>
      </c>
      <c r="E9" s="3388" t="s">
        <v>259</v>
      </c>
      <c r="F9" s="3388" t="s">
        <v>259</v>
      </c>
      <c r="G9" s="3388" t="s">
        <v>259</v>
      </c>
      <c r="H9" s="3388" t="s">
        <v>259</v>
      </c>
      <c r="I9" s="3388" t="s">
        <v>259</v>
      </c>
      <c r="J9" s="3388" t="s">
        <v>259</v>
      </c>
      <c r="K9" s="3388" t="s">
        <v>259</v>
      </c>
      <c r="L9" s="679"/>
      <c r="M9" s="660"/>
      <c r="N9" s="660"/>
      <c r="O9" s="660"/>
    </row>
    <row r="10" spans="1:15" ht="13.5" x14ac:dyDescent="0.2">
      <c r="A10" s="3459" t="s">
        <v>1554</v>
      </c>
      <c r="B10" s="3363"/>
      <c r="C10" s="3363" t="s">
        <v>986</v>
      </c>
      <c r="D10" s="3388" t="s">
        <v>392</v>
      </c>
      <c r="E10" s="3388" t="s">
        <v>259</v>
      </c>
      <c r="F10" s="3388" t="s">
        <v>259</v>
      </c>
      <c r="G10" s="3388" t="s">
        <v>259</v>
      </c>
      <c r="H10" s="3388" t="s">
        <v>259</v>
      </c>
      <c r="I10" s="3388" t="s">
        <v>259</v>
      </c>
      <c r="J10" s="3388" t="s">
        <v>259</v>
      </c>
      <c r="K10" s="3388" t="s">
        <v>259</v>
      </c>
      <c r="L10" s="660"/>
      <c r="M10" s="660"/>
      <c r="N10" s="660"/>
      <c r="O10" s="660"/>
    </row>
    <row r="11" spans="1:15" x14ac:dyDescent="0.2">
      <c r="A11" s="3458" t="s">
        <v>1545</v>
      </c>
      <c r="B11" s="3363"/>
      <c r="C11" s="3363" t="s">
        <v>986</v>
      </c>
      <c r="D11" s="3388" t="s">
        <v>392</v>
      </c>
      <c r="E11" s="3388" t="s">
        <v>259</v>
      </c>
      <c r="F11" s="3388" t="s">
        <v>259</v>
      </c>
      <c r="G11" s="3388" t="s">
        <v>259</v>
      </c>
      <c r="H11" s="3388" t="s">
        <v>259</v>
      </c>
      <c r="I11" s="3388" t="s">
        <v>259</v>
      </c>
      <c r="J11" s="3388" t="s">
        <v>259</v>
      </c>
      <c r="K11" s="3388" t="s">
        <v>259</v>
      </c>
      <c r="L11" s="679"/>
      <c r="M11" s="660"/>
      <c r="N11" s="660"/>
      <c r="O11" s="660"/>
    </row>
    <row r="12" spans="1:15" x14ac:dyDescent="0.2">
      <c r="A12" s="3431" t="s">
        <v>1319</v>
      </c>
      <c r="B12" s="3387" t="s">
        <v>1319</v>
      </c>
      <c r="C12" s="3387" t="s">
        <v>1541</v>
      </c>
      <c r="D12" s="3387" t="s">
        <v>986</v>
      </c>
      <c r="E12" s="3387" t="s">
        <v>259</v>
      </c>
      <c r="F12" s="3388" t="s">
        <v>259</v>
      </c>
      <c r="G12" s="3388" t="s">
        <v>259</v>
      </c>
      <c r="H12" s="3388" t="s">
        <v>259</v>
      </c>
      <c r="I12" s="3387" t="s">
        <v>259</v>
      </c>
      <c r="J12" s="3387" t="s">
        <v>259</v>
      </c>
      <c r="K12" s="3387" t="s">
        <v>259</v>
      </c>
      <c r="L12" s="679"/>
      <c r="M12" s="660"/>
      <c r="N12" s="660"/>
      <c r="O12" s="660"/>
    </row>
    <row r="13" spans="1:15" x14ac:dyDescent="0.2">
      <c r="A13" s="3458" t="s">
        <v>1544</v>
      </c>
      <c r="B13" s="3363"/>
      <c r="C13" s="3363" t="s">
        <v>986</v>
      </c>
      <c r="D13" s="3388" t="s">
        <v>392</v>
      </c>
      <c r="E13" s="3388" t="s">
        <v>259</v>
      </c>
      <c r="F13" s="3388" t="s">
        <v>259</v>
      </c>
      <c r="G13" s="3388" t="s">
        <v>259</v>
      </c>
      <c r="H13" s="3388" t="s">
        <v>259</v>
      </c>
      <c r="I13" s="3388" t="s">
        <v>259</v>
      </c>
      <c r="J13" s="3388" t="s">
        <v>259</v>
      </c>
      <c r="K13" s="3388" t="s">
        <v>259</v>
      </c>
      <c r="L13" s="679"/>
      <c r="M13" s="660"/>
      <c r="N13" s="660"/>
      <c r="O13" s="660"/>
    </row>
    <row r="14" spans="1:15" x14ac:dyDescent="0.2">
      <c r="A14" s="3431" t="s">
        <v>1319</v>
      </c>
      <c r="B14" s="3387" t="s">
        <v>1319</v>
      </c>
      <c r="C14" s="3387" t="s">
        <v>1541</v>
      </c>
      <c r="D14" s="3387" t="s">
        <v>986</v>
      </c>
      <c r="E14" s="3387" t="s">
        <v>259</v>
      </c>
      <c r="F14" s="3388" t="s">
        <v>259</v>
      </c>
      <c r="G14" s="3388" t="s">
        <v>259</v>
      </c>
      <c r="H14" s="3388" t="s">
        <v>259</v>
      </c>
      <c r="I14" s="3387" t="s">
        <v>259</v>
      </c>
      <c r="J14" s="3387" t="s">
        <v>259</v>
      </c>
      <c r="K14" s="3387" t="s">
        <v>259</v>
      </c>
      <c r="L14" s="679"/>
      <c r="M14" s="660"/>
      <c r="N14" s="660"/>
      <c r="O14" s="660"/>
    </row>
    <row r="15" spans="1:15" x14ac:dyDescent="0.2">
      <c r="A15" s="3459" t="s">
        <v>1553</v>
      </c>
      <c r="B15" s="3363"/>
      <c r="C15" s="3363" t="s">
        <v>986</v>
      </c>
      <c r="D15" s="3388" t="s">
        <v>392</v>
      </c>
      <c r="E15" s="3388" t="s">
        <v>259</v>
      </c>
      <c r="F15" s="3388" t="s">
        <v>259</v>
      </c>
      <c r="G15" s="3388" t="s">
        <v>259</v>
      </c>
      <c r="H15" s="3388" t="s">
        <v>259</v>
      </c>
      <c r="I15" s="3388" t="s">
        <v>259</v>
      </c>
      <c r="J15" s="3388" t="s">
        <v>259</v>
      </c>
      <c r="K15" s="3388" t="s">
        <v>259</v>
      </c>
      <c r="L15" s="660"/>
      <c r="M15" s="660"/>
      <c r="N15" s="660"/>
      <c r="O15" s="660"/>
    </row>
    <row r="16" spans="1:15" x14ac:dyDescent="0.2">
      <c r="A16" s="3458" t="s">
        <v>1545</v>
      </c>
      <c r="B16" s="3363"/>
      <c r="C16" s="3363" t="s">
        <v>986</v>
      </c>
      <c r="D16" s="3388" t="s">
        <v>392</v>
      </c>
      <c r="E16" s="3388" t="s">
        <v>259</v>
      </c>
      <c r="F16" s="3388" t="s">
        <v>259</v>
      </c>
      <c r="G16" s="3388" t="s">
        <v>259</v>
      </c>
      <c r="H16" s="3388" t="s">
        <v>259</v>
      </c>
      <c r="I16" s="3388" t="s">
        <v>259</v>
      </c>
      <c r="J16" s="3388" t="s">
        <v>259</v>
      </c>
      <c r="K16" s="3388" t="s">
        <v>259</v>
      </c>
      <c r="L16" s="679"/>
      <c r="M16" s="660"/>
      <c r="N16" s="660"/>
      <c r="O16" s="660"/>
    </row>
    <row r="17" spans="1:15" x14ac:dyDescent="0.2">
      <c r="A17" s="3431" t="s">
        <v>1319</v>
      </c>
      <c r="B17" s="3387" t="s">
        <v>1319</v>
      </c>
      <c r="C17" s="3387" t="s">
        <v>1541</v>
      </c>
      <c r="D17" s="3387" t="s">
        <v>986</v>
      </c>
      <c r="E17" s="3387" t="s">
        <v>259</v>
      </c>
      <c r="F17" s="3388" t="s">
        <v>259</v>
      </c>
      <c r="G17" s="3388" t="s">
        <v>259</v>
      </c>
      <c r="H17" s="3388" t="s">
        <v>259</v>
      </c>
      <c r="I17" s="3387" t="s">
        <v>259</v>
      </c>
      <c r="J17" s="3387" t="s">
        <v>259</v>
      </c>
      <c r="K17" s="3387" t="s">
        <v>259</v>
      </c>
      <c r="L17" s="679"/>
      <c r="M17" s="660"/>
      <c r="N17" s="660"/>
      <c r="O17" s="660"/>
    </row>
    <row r="18" spans="1:15" x14ac:dyDescent="0.2">
      <c r="A18" s="3458" t="s">
        <v>1544</v>
      </c>
      <c r="B18" s="3363"/>
      <c r="C18" s="3363" t="s">
        <v>986</v>
      </c>
      <c r="D18" s="3388" t="s">
        <v>392</v>
      </c>
      <c r="E18" s="3388" t="s">
        <v>259</v>
      </c>
      <c r="F18" s="3388" t="s">
        <v>259</v>
      </c>
      <c r="G18" s="3388" t="s">
        <v>259</v>
      </c>
      <c r="H18" s="3388" t="s">
        <v>259</v>
      </c>
      <c r="I18" s="3388" t="s">
        <v>259</v>
      </c>
      <c r="J18" s="3388" t="s">
        <v>259</v>
      </c>
      <c r="K18" s="3388" t="s">
        <v>259</v>
      </c>
      <c r="L18" s="679"/>
      <c r="M18" s="660"/>
      <c r="N18" s="660"/>
      <c r="O18" s="660"/>
    </row>
    <row r="19" spans="1:15" x14ac:dyDescent="0.2">
      <c r="A19" s="3431" t="s">
        <v>1319</v>
      </c>
      <c r="B19" s="3387" t="s">
        <v>1319</v>
      </c>
      <c r="C19" s="3387" t="s">
        <v>1541</v>
      </c>
      <c r="D19" s="3387" t="s">
        <v>986</v>
      </c>
      <c r="E19" s="3387" t="s">
        <v>259</v>
      </c>
      <c r="F19" s="3388" t="s">
        <v>259</v>
      </c>
      <c r="G19" s="3388" t="s">
        <v>259</v>
      </c>
      <c r="H19" s="3388" t="s">
        <v>259</v>
      </c>
      <c r="I19" s="3387" t="s">
        <v>259</v>
      </c>
      <c r="J19" s="3387" t="s">
        <v>259</v>
      </c>
      <c r="K19" s="3387" t="s">
        <v>259</v>
      </c>
      <c r="L19" s="679"/>
      <c r="M19" s="660"/>
      <c r="N19" s="660"/>
      <c r="O19" s="660"/>
    </row>
    <row r="20" spans="1:15" x14ac:dyDescent="0.2">
      <c r="A20" s="3457" t="s">
        <v>1552</v>
      </c>
      <c r="B20" s="3363"/>
      <c r="C20" s="3363" t="s">
        <v>986</v>
      </c>
      <c r="D20" s="3388" t="s">
        <v>1542</v>
      </c>
      <c r="E20" s="3388" t="s">
        <v>799</v>
      </c>
      <c r="F20" s="3388" t="s">
        <v>259</v>
      </c>
      <c r="G20" s="3388" t="s">
        <v>259</v>
      </c>
      <c r="H20" s="3388" t="s">
        <v>259</v>
      </c>
      <c r="I20" s="3388" t="s">
        <v>259</v>
      </c>
      <c r="J20" s="3388" t="s">
        <v>259</v>
      </c>
      <c r="K20" s="3388" t="s">
        <v>259</v>
      </c>
      <c r="L20" s="679"/>
      <c r="M20" s="660"/>
      <c r="N20" s="660"/>
      <c r="O20" s="660"/>
    </row>
    <row r="21" spans="1:15" ht="13.5" x14ac:dyDescent="0.2">
      <c r="A21" s="3459" t="s">
        <v>1551</v>
      </c>
      <c r="B21" s="3363"/>
      <c r="C21" s="3363" t="s">
        <v>986</v>
      </c>
      <c r="D21" s="3388" t="s">
        <v>392</v>
      </c>
      <c r="E21" s="3388" t="s">
        <v>259</v>
      </c>
      <c r="F21" s="3388" t="s">
        <v>259</v>
      </c>
      <c r="G21" s="3388" t="s">
        <v>259</v>
      </c>
      <c r="H21" s="3388" t="s">
        <v>259</v>
      </c>
      <c r="I21" s="3388" t="s">
        <v>259</v>
      </c>
      <c r="J21" s="3388" t="s">
        <v>259</v>
      </c>
      <c r="K21" s="3388" t="s">
        <v>259</v>
      </c>
      <c r="L21" s="660"/>
      <c r="M21" s="660"/>
      <c r="N21" s="660"/>
      <c r="O21" s="660"/>
    </row>
    <row r="22" spans="1:15" x14ac:dyDescent="0.2">
      <c r="A22" s="3458" t="s">
        <v>1545</v>
      </c>
      <c r="B22" s="3363"/>
      <c r="C22" s="3363" t="s">
        <v>986</v>
      </c>
      <c r="D22" s="3388" t="s">
        <v>392</v>
      </c>
      <c r="E22" s="3388" t="s">
        <v>259</v>
      </c>
      <c r="F22" s="3388" t="s">
        <v>259</v>
      </c>
      <c r="G22" s="3388" t="s">
        <v>259</v>
      </c>
      <c r="H22" s="3388" t="s">
        <v>259</v>
      </c>
      <c r="I22" s="3388" t="s">
        <v>259</v>
      </c>
      <c r="J22" s="3388" t="s">
        <v>259</v>
      </c>
      <c r="K22" s="3388" t="s">
        <v>259</v>
      </c>
      <c r="L22" s="660"/>
      <c r="M22" s="660"/>
      <c r="N22" s="660"/>
      <c r="O22" s="660"/>
    </row>
    <row r="23" spans="1:15" x14ac:dyDescent="0.2">
      <c r="A23" s="3431" t="s">
        <v>1319</v>
      </c>
      <c r="B23" s="3387" t="s">
        <v>1319</v>
      </c>
      <c r="C23" s="3387" t="s">
        <v>1541</v>
      </c>
      <c r="D23" s="3387" t="s">
        <v>986</v>
      </c>
      <c r="E23" s="3387" t="s">
        <v>259</v>
      </c>
      <c r="F23" s="3388" t="s">
        <v>259</v>
      </c>
      <c r="G23" s="3388" t="s">
        <v>259</v>
      </c>
      <c r="H23" s="3388" t="s">
        <v>259</v>
      </c>
      <c r="I23" s="3387" t="s">
        <v>259</v>
      </c>
      <c r="J23" s="3387" t="s">
        <v>259</v>
      </c>
      <c r="K23" s="3387" t="s">
        <v>259</v>
      </c>
      <c r="L23" s="679"/>
      <c r="M23" s="660"/>
      <c r="N23" s="660"/>
      <c r="O23" s="660"/>
    </row>
    <row r="24" spans="1:15" x14ac:dyDescent="0.2">
      <c r="A24" s="3458" t="s">
        <v>1544</v>
      </c>
      <c r="B24" s="3363"/>
      <c r="C24" s="3363" t="s">
        <v>986</v>
      </c>
      <c r="D24" s="3388" t="s">
        <v>392</v>
      </c>
      <c r="E24" s="3388" t="s">
        <v>259</v>
      </c>
      <c r="F24" s="3388" t="s">
        <v>259</v>
      </c>
      <c r="G24" s="3388" t="s">
        <v>259</v>
      </c>
      <c r="H24" s="3388" t="s">
        <v>259</v>
      </c>
      <c r="I24" s="3388" t="s">
        <v>259</v>
      </c>
      <c r="J24" s="3388" t="s">
        <v>259</v>
      </c>
      <c r="K24" s="3388" t="s">
        <v>259</v>
      </c>
      <c r="L24" s="660"/>
      <c r="M24" s="660"/>
      <c r="N24" s="660"/>
      <c r="O24" s="660"/>
    </row>
    <row r="25" spans="1:15" x14ac:dyDescent="0.2">
      <c r="A25" s="3431" t="s">
        <v>1319</v>
      </c>
      <c r="B25" s="3387" t="s">
        <v>1319</v>
      </c>
      <c r="C25" s="3387" t="s">
        <v>1541</v>
      </c>
      <c r="D25" s="3387" t="s">
        <v>986</v>
      </c>
      <c r="E25" s="3387" t="s">
        <v>259</v>
      </c>
      <c r="F25" s="3388" t="s">
        <v>259</v>
      </c>
      <c r="G25" s="3388" t="s">
        <v>259</v>
      </c>
      <c r="H25" s="3388" t="s">
        <v>259</v>
      </c>
      <c r="I25" s="3387" t="s">
        <v>259</v>
      </c>
      <c r="J25" s="3387" t="s">
        <v>259</v>
      </c>
      <c r="K25" s="3387" t="s">
        <v>259</v>
      </c>
      <c r="L25" s="679"/>
      <c r="M25" s="660"/>
      <c r="N25" s="660"/>
      <c r="O25" s="660"/>
    </row>
    <row r="26" spans="1:15" x14ac:dyDescent="0.2">
      <c r="A26" s="3459" t="s">
        <v>1550</v>
      </c>
      <c r="B26" s="3363"/>
      <c r="C26" s="3363" t="s">
        <v>986</v>
      </c>
      <c r="D26" s="3388" t="s">
        <v>1542</v>
      </c>
      <c r="E26" s="3388" t="s">
        <v>986</v>
      </c>
      <c r="F26" s="3388" t="s">
        <v>986</v>
      </c>
      <c r="G26" s="3388" t="s">
        <v>986</v>
      </c>
      <c r="H26" s="3388" t="s">
        <v>986</v>
      </c>
      <c r="I26" s="3388" t="s">
        <v>259</v>
      </c>
      <c r="J26" s="3388" t="s">
        <v>259</v>
      </c>
      <c r="K26" s="3388" t="s">
        <v>259</v>
      </c>
      <c r="L26" s="660"/>
      <c r="M26" s="660"/>
      <c r="N26" s="660"/>
      <c r="O26" s="660"/>
    </row>
    <row r="27" spans="1:15" x14ac:dyDescent="0.2">
      <c r="A27" s="3458" t="s">
        <v>1545</v>
      </c>
      <c r="B27" s="3363"/>
      <c r="C27" s="3363" t="s">
        <v>986</v>
      </c>
      <c r="D27" s="3388" t="s">
        <v>392</v>
      </c>
      <c r="E27" s="3388" t="s">
        <v>259</v>
      </c>
      <c r="F27" s="3388" t="s">
        <v>259</v>
      </c>
      <c r="G27" s="3388" t="s">
        <v>259</v>
      </c>
      <c r="H27" s="3388" t="s">
        <v>259</v>
      </c>
      <c r="I27" s="3388" t="s">
        <v>259</v>
      </c>
      <c r="J27" s="3388" t="s">
        <v>259</v>
      </c>
      <c r="K27" s="3388" t="s">
        <v>259</v>
      </c>
      <c r="L27" s="679"/>
      <c r="M27" s="660"/>
      <c r="N27" s="660"/>
      <c r="O27" s="660"/>
    </row>
    <row r="28" spans="1:15" x14ac:dyDescent="0.2">
      <c r="A28" s="3431" t="s">
        <v>1319</v>
      </c>
      <c r="B28" s="3387" t="s">
        <v>1319</v>
      </c>
      <c r="C28" s="3387" t="s">
        <v>1541</v>
      </c>
      <c r="D28" s="3387" t="s">
        <v>986</v>
      </c>
      <c r="E28" s="3387" t="s">
        <v>259</v>
      </c>
      <c r="F28" s="3388" t="s">
        <v>259</v>
      </c>
      <c r="G28" s="3388" t="s">
        <v>259</v>
      </c>
      <c r="H28" s="3388" t="s">
        <v>259</v>
      </c>
      <c r="I28" s="3387" t="s">
        <v>259</v>
      </c>
      <c r="J28" s="3387" t="s">
        <v>259</v>
      </c>
      <c r="K28" s="3387" t="s">
        <v>259</v>
      </c>
      <c r="L28" s="679"/>
      <c r="M28" s="660"/>
      <c r="N28" s="660"/>
      <c r="O28" s="660"/>
    </row>
    <row r="29" spans="1:15" x14ac:dyDescent="0.2">
      <c r="A29" s="3458" t="s">
        <v>1544</v>
      </c>
      <c r="B29" s="3363"/>
      <c r="C29" s="3363" t="s">
        <v>986</v>
      </c>
      <c r="D29" s="3388" t="s">
        <v>1542</v>
      </c>
      <c r="E29" s="3388" t="s">
        <v>986</v>
      </c>
      <c r="F29" s="3388" t="s">
        <v>986</v>
      </c>
      <c r="G29" s="3388" t="s">
        <v>986</v>
      </c>
      <c r="H29" s="3388" t="s">
        <v>986</v>
      </c>
      <c r="I29" s="3388" t="s">
        <v>259</v>
      </c>
      <c r="J29" s="3388" t="s">
        <v>259</v>
      </c>
      <c r="K29" s="3388" t="s">
        <v>259</v>
      </c>
      <c r="L29" s="679"/>
      <c r="M29" s="660"/>
      <c r="N29" s="660"/>
      <c r="O29" s="660"/>
    </row>
    <row r="30" spans="1:15" x14ac:dyDescent="0.2">
      <c r="A30" s="3431" t="s">
        <v>1319</v>
      </c>
      <c r="B30" s="3387" t="s">
        <v>1319</v>
      </c>
      <c r="C30" s="3387" t="s">
        <v>1541</v>
      </c>
      <c r="D30" s="3387" t="s">
        <v>986</v>
      </c>
      <c r="E30" s="3387" t="s">
        <v>259</v>
      </c>
      <c r="F30" s="3388" t="s">
        <v>259</v>
      </c>
      <c r="G30" s="3388" t="s">
        <v>259</v>
      </c>
      <c r="H30" s="3388" t="s">
        <v>259</v>
      </c>
      <c r="I30" s="3387" t="s">
        <v>259</v>
      </c>
      <c r="J30" s="3387" t="s">
        <v>259</v>
      </c>
      <c r="K30" s="3387" t="s">
        <v>259</v>
      </c>
      <c r="L30" s="679"/>
      <c r="M30" s="660"/>
      <c r="N30" s="660"/>
      <c r="O30" s="660"/>
    </row>
    <row r="31" spans="1:15" x14ac:dyDescent="0.2">
      <c r="A31" s="3460" t="s">
        <v>1549</v>
      </c>
      <c r="B31" s="3363"/>
      <c r="C31" s="3363" t="s">
        <v>986</v>
      </c>
      <c r="D31" s="3388" t="s">
        <v>392</v>
      </c>
      <c r="E31" s="3388">
        <v>0.56947999999999999</v>
      </c>
      <c r="F31" s="3388" t="s">
        <v>1366</v>
      </c>
      <c r="G31" s="3388">
        <v>1.6698</v>
      </c>
      <c r="H31" s="3388">
        <v>0.15246000000000001</v>
      </c>
      <c r="I31" s="3388" t="s">
        <v>1366</v>
      </c>
      <c r="J31" s="3388">
        <v>9.5091770400000002E-4</v>
      </c>
      <c r="K31" s="3388">
        <v>8.6822920799999999E-5</v>
      </c>
      <c r="L31" s="679"/>
      <c r="M31" s="660"/>
      <c r="N31" s="660"/>
      <c r="O31" s="660"/>
    </row>
    <row r="32" spans="1:15" ht="13.5" x14ac:dyDescent="0.2">
      <c r="A32" s="3459" t="s">
        <v>1548</v>
      </c>
      <c r="B32" s="3363"/>
      <c r="C32" s="3363" t="s">
        <v>986</v>
      </c>
      <c r="D32" s="3388" t="s">
        <v>392</v>
      </c>
      <c r="E32" s="3388">
        <v>0.56947999999999999</v>
      </c>
      <c r="F32" s="3388" t="s">
        <v>1366</v>
      </c>
      <c r="G32" s="3388">
        <v>1.6698</v>
      </c>
      <c r="H32" s="3388">
        <v>0.15246000000000001</v>
      </c>
      <c r="I32" s="3388" t="s">
        <v>1366</v>
      </c>
      <c r="J32" s="3388">
        <v>9.5091770400000002E-4</v>
      </c>
      <c r="K32" s="3388">
        <v>8.6822920799999999E-5</v>
      </c>
      <c r="L32" s="660"/>
      <c r="M32" s="660"/>
      <c r="N32" s="660"/>
      <c r="O32" s="660"/>
    </row>
    <row r="33" spans="1:15" x14ac:dyDescent="0.2">
      <c r="A33" s="3458" t="s">
        <v>1545</v>
      </c>
      <c r="B33" s="3363"/>
      <c r="C33" s="3363" t="s">
        <v>986</v>
      </c>
      <c r="D33" s="3388" t="s">
        <v>392</v>
      </c>
      <c r="E33" s="3388">
        <v>0.56947999999999999</v>
      </c>
      <c r="F33" s="3388" t="s">
        <v>455</v>
      </c>
      <c r="G33" s="3388">
        <v>1.6698</v>
      </c>
      <c r="H33" s="3388">
        <v>0.15246000000000001</v>
      </c>
      <c r="I33" s="3388" t="s">
        <v>455</v>
      </c>
      <c r="J33" s="3388">
        <v>9.5091770400000002E-4</v>
      </c>
      <c r="K33" s="3388">
        <v>8.6822920799999999E-5</v>
      </c>
      <c r="L33" s="679"/>
      <c r="M33" s="660"/>
      <c r="N33" s="660"/>
      <c r="O33" s="660"/>
    </row>
    <row r="34" spans="1:15" x14ac:dyDescent="0.2">
      <c r="A34" s="3431" t="s">
        <v>1319</v>
      </c>
      <c r="B34" s="3387" t="s">
        <v>1319</v>
      </c>
      <c r="C34" s="3387" t="s">
        <v>1541</v>
      </c>
      <c r="D34" s="3387" t="s">
        <v>986</v>
      </c>
      <c r="E34" s="3387">
        <v>0.56947999999999999</v>
      </c>
      <c r="F34" s="3388" t="s">
        <v>455</v>
      </c>
      <c r="G34" s="3388">
        <v>1.6698</v>
      </c>
      <c r="H34" s="3388">
        <v>0.15246000000000001</v>
      </c>
      <c r="I34" s="3387" t="s">
        <v>455</v>
      </c>
      <c r="J34" s="3387">
        <v>9.5091770400000002E-4</v>
      </c>
      <c r="K34" s="3387">
        <v>8.6822920799999999E-5</v>
      </c>
      <c r="L34" s="679"/>
      <c r="M34" s="660"/>
      <c r="N34" s="660"/>
      <c r="O34" s="660"/>
    </row>
    <row r="35" spans="1:15" x14ac:dyDescent="0.2">
      <c r="A35" s="3458" t="s">
        <v>1544</v>
      </c>
      <c r="B35" s="3363"/>
      <c r="C35" s="3363" t="s">
        <v>986</v>
      </c>
      <c r="D35" s="3388" t="s">
        <v>392</v>
      </c>
      <c r="E35" s="3388" t="s">
        <v>259</v>
      </c>
      <c r="F35" s="3388" t="s">
        <v>259</v>
      </c>
      <c r="G35" s="3388" t="s">
        <v>259</v>
      </c>
      <c r="H35" s="3388" t="s">
        <v>259</v>
      </c>
      <c r="I35" s="3388" t="s">
        <v>259</v>
      </c>
      <c r="J35" s="3388" t="s">
        <v>259</v>
      </c>
      <c r="K35" s="3388" t="s">
        <v>259</v>
      </c>
      <c r="L35" s="679"/>
      <c r="M35" s="660"/>
      <c r="N35" s="660"/>
      <c r="O35" s="660"/>
    </row>
    <row r="36" spans="1:15" x14ac:dyDescent="0.2">
      <c r="A36" s="3431" t="s">
        <v>1319</v>
      </c>
      <c r="B36" s="3387" t="s">
        <v>1319</v>
      </c>
      <c r="C36" s="3387" t="s">
        <v>1541</v>
      </c>
      <c r="D36" s="3387" t="s">
        <v>986</v>
      </c>
      <c r="E36" s="3387" t="s">
        <v>259</v>
      </c>
      <c r="F36" s="3388" t="s">
        <v>259</v>
      </c>
      <c r="G36" s="3388" t="s">
        <v>259</v>
      </c>
      <c r="H36" s="3388" t="s">
        <v>259</v>
      </c>
      <c r="I36" s="3387" t="s">
        <v>259</v>
      </c>
      <c r="J36" s="3387" t="s">
        <v>259</v>
      </c>
      <c r="K36" s="3387" t="s">
        <v>259</v>
      </c>
      <c r="L36" s="679"/>
      <c r="M36" s="660"/>
      <c r="N36" s="660"/>
      <c r="O36" s="660"/>
    </row>
    <row r="37" spans="1:15" x14ac:dyDescent="0.2">
      <c r="A37" s="3459" t="s">
        <v>1547</v>
      </c>
      <c r="B37" s="3363"/>
      <c r="C37" s="3363" t="s">
        <v>986</v>
      </c>
      <c r="D37" s="3388" t="s">
        <v>392</v>
      </c>
      <c r="E37" s="3388" t="s">
        <v>455</v>
      </c>
      <c r="F37" s="3388" t="s">
        <v>455</v>
      </c>
      <c r="G37" s="3388" t="s">
        <v>455</v>
      </c>
      <c r="H37" s="3388" t="s">
        <v>455</v>
      </c>
      <c r="I37" s="3388" t="s">
        <v>455</v>
      </c>
      <c r="J37" s="3388" t="s">
        <v>455</v>
      </c>
      <c r="K37" s="3388" t="s">
        <v>455</v>
      </c>
      <c r="L37" s="660"/>
      <c r="M37" s="660"/>
      <c r="N37" s="660"/>
      <c r="O37" s="660"/>
    </row>
    <row r="38" spans="1:15" x14ac:dyDescent="0.2">
      <c r="A38" s="3458" t="s">
        <v>1545</v>
      </c>
      <c r="B38" s="3363"/>
      <c r="C38" s="3363" t="s">
        <v>986</v>
      </c>
      <c r="D38" s="3388" t="s">
        <v>392</v>
      </c>
      <c r="E38" s="3388" t="s">
        <v>455</v>
      </c>
      <c r="F38" s="3388" t="s">
        <v>455</v>
      </c>
      <c r="G38" s="3388" t="s">
        <v>455</v>
      </c>
      <c r="H38" s="3388" t="s">
        <v>455</v>
      </c>
      <c r="I38" s="3388" t="s">
        <v>455</v>
      </c>
      <c r="J38" s="3388" t="s">
        <v>455</v>
      </c>
      <c r="K38" s="3388" t="s">
        <v>455</v>
      </c>
      <c r="L38" s="679"/>
      <c r="M38" s="660"/>
      <c r="N38" s="660"/>
      <c r="O38" s="660"/>
    </row>
    <row r="39" spans="1:15" x14ac:dyDescent="0.2">
      <c r="A39" s="3431" t="s">
        <v>1319</v>
      </c>
      <c r="B39" s="3387" t="s">
        <v>1319</v>
      </c>
      <c r="C39" s="3387" t="s">
        <v>1541</v>
      </c>
      <c r="D39" s="3387" t="s">
        <v>986</v>
      </c>
      <c r="E39" s="3387" t="s">
        <v>455</v>
      </c>
      <c r="F39" s="3388" t="s">
        <v>455</v>
      </c>
      <c r="G39" s="3388" t="s">
        <v>455</v>
      </c>
      <c r="H39" s="3388" t="s">
        <v>455</v>
      </c>
      <c r="I39" s="3387" t="s">
        <v>455</v>
      </c>
      <c r="J39" s="3387" t="s">
        <v>455</v>
      </c>
      <c r="K39" s="3387" t="s">
        <v>455</v>
      </c>
      <c r="L39" s="679"/>
      <c r="M39" s="660"/>
      <c r="N39" s="660"/>
      <c r="O39" s="660"/>
    </row>
    <row r="40" spans="1:15" x14ac:dyDescent="0.2">
      <c r="A40" s="3458" t="s">
        <v>1544</v>
      </c>
      <c r="B40" s="3363"/>
      <c r="C40" s="3363" t="s">
        <v>986</v>
      </c>
      <c r="D40" s="3388" t="s">
        <v>392</v>
      </c>
      <c r="E40" s="3388" t="s">
        <v>455</v>
      </c>
      <c r="F40" s="3388" t="s">
        <v>455</v>
      </c>
      <c r="G40" s="3388" t="s">
        <v>455</v>
      </c>
      <c r="H40" s="3388" t="s">
        <v>455</v>
      </c>
      <c r="I40" s="3388" t="s">
        <v>455</v>
      </c>
      <c r="J40" s="3388" t="s">
        <v>455</v>
      </c>
      <c r="K40" s="3388" t="s">
        <v>455</v>
      </c>
      <c r="L40" s="679"/>
      <c r="M40" s="660"/>
      <c r="N40" s="660"/>
      <c r="O40" s="660"/>
    </row>
    <row r="41" spans="1:15" x14ac:dyDescent="0.2">
      <c r="A41" s="3431" t="s">
        <v>1319</v>
      </c>
      <c r="B41" s="3387" t="s">
        <v>1319</v>
      </c>
      <c r="C41" s="3387" t="s">
        <v>1541</v>
      </c>
      <c r="D41" s="3387" t="s">
        <v>986</v>
      </c>
      <c r="E41" s="3387" t="s">
        <v>455</v>
      </c>
      <c r="F41" s="3388" t="s">
        <v>455</v>
      </c>
      <c r="G41" s="3388" t="s">
        <v>455</v>
      </c>
      <c r="H41" s="3388" t="s">
        <v>455</v>
      </c>
      <c r="I41" s="3387" t="s">
        <v>455</v>
      </c>
      <c r="J41" s="3387" t="s">
        <v>455</v>
      </c>
      <c r="K41" s="3387" t="s">
        <v>455</v>
      </c>
      <c r="L41" s="679"/>
      <c r="M41" s="660"/>
      <c r="N41" s="660"/>
      <c r="O41" s="660"/>
    </row>
    <row r="42" spans="1:15" x14ac:dyDescent="0.2">
      <c r="A42" s="3457" t="s">
        <v>1510</v>
      </c>
      <c r="B42" s="3363"/>
      <c r="C42" s="3363" t="s">
        <v>986</v>
      </c>
      <c r="D42" s="3388" t="s">
        <v>392</v>
      </c>
      <c r="E42" s="3388" t="s">
        <v>259</v>
      </c>
      <c r="F42" s="3388" t="s">
        <v>1366</v>
      </c>
      <c r="G42" s="3388" t="s">
        <v>1366</v>
      </c>
      <c r="H42" s="3388" t="s">
        <v>1366</v>
      </c>
      <c r="I42" s="3388" t="s">
        <v>1366</v>
      </c>
      <c r="J42" s="3388" t="s">
        <v>1366</v>
      </c>
      <c r="K42" s="3388" t="s">
        <v>1366</v>
      </c>
      <c r="L42" s="679"/>
      <c r="M42" s="660"/>
      <c r="N42" s="660"/>
      <c r="O42" s="660"/>
    </row>
    <row r="43" spans="1:15" x14ac:dyDescent="0.2">
      <c r="A43" s="3459" t="s">
        <v>1422</v>
      </c>
      <c r="B43" s="3363"/>
      <c r="C43" s="3363" t="s">
        <v>986</v>
      </c>
      <c r="D43" s="3388" t="s">
        <v>392</v>
      </c>
      <c r="E43" s="3388" t="s">
        <v>259</v>
      </c>
      <c r="F43" s="3388" t="s">
        <v>259</v>
      </c>
      <c r="G43" s="3388" t="s">
        <v>259</v>
      </c>
      <c r="H43" s="3388" t="s">
        <v>259</v>
      </c>
      <c r="I43" s="3388" t="s">
        <v>259</v>
      </c>
      <c r="J43" s="3388" t="s">
        <v>259</v>
      </c>
      <c r="K43" s="3388" t="s">
        <v>259</v>
      </c>
      <c r="L43" s="660"/>
      <c r="M43" s="660"/>
      <c r="N43" s="660"/>
      <c r="O43" s="660"/>
    </row>
    <row r="44" spans="1:15" x14ac:dyDescent="0.2">
      <c r="A44" s="3458" t="s">
        <v>1545</v>
      </c>
      <c r="B44" s="3363"/>
      <c r="C44" s="3363" t="s">
        <v>986</v>
      </c>
      <c r="D44" s="3388" t="s">
        <v>392</v>
      </c>
      <c r="E44" s="3388" t="s">
        <v>259</v>
      </c>
      <c r="F44" s="3388" t="s">
        <v>259</v>
      </c>
      <c r="G44" s="3388" t="s">
        <v>259</v>
      </c>
      <c r="H44" s="3388" t="s">
        <v>259</v>
      </c>
      <c r="I44" s="3388" t="s">
        <v>259</v>
      </c>
      <c r="J44" s="3388" t="s">
        <v>259</v>
      </c>
      <c r="K44" s="3388" t="s">
        <v>259</v>
      </c>
      <c r="L44" s="679"/>
      <c r="M44" s="660"/>
      <c r="N44" s="660"/>
      <c r="O44" s="660"/>
    </row>
    <row r="45" spans="1:15" x14ac:dyDescent="0.2">
      <c r="A45" s="3431" t="s">
        <v>1319</v>
      </c>
      <c r="B45" s="3387" t="s">
        <v>1319</v>
      </c>
      <c r="C45" s="3387" t="s">
        <v>1541</v>
      </c>
      <c r="D45" s="3387" t="s">
        <v>986</v>
      </c>
      <c r="E45" s="3387" t="s">
        <v>259</v>
      </c>
      <c r="F45" s="3388" t="s">
        <v>259</v>
      </c>
      <c r="G45" s="3388" t="s">
        <v>259</v>
      </c>
      <c r="H45" s="3388" t="s">
        <v>259</v>
      </c>
      <c r="I45" s="3387" t="s">
        <v>259</v>
      </c>
      <c r="J45" s="3387" t="s">
        <v>259</v>
      </c>
      <c r="K45" s="3387" t="s">
        <v>259</v>
      </c>
      <c r="L45" s="679"/>
      <c r="M45" s="660"/>
      <c r="N45" s="660"/>
      <c r="O45" s="660"/>
    </row>
    <row r="46" spans="1:15" x14ac:dyDescent="0.2">
      <c r="A46" s="3458" t="s">
        <v>1544</v>
      </c>
      <c r="B46" s="3363"/>
      <c r="C46" s="3363" t="s">
        <v>986</v>
      </c>
      <c r="D46" s="3388" t="s">
        <v>392</v>
      </c>
      <c r="E46" s="3388" t="s">
        <v>259</v>
      </c>
      <c r="F46" s="3388" t="s">
        <v>259</v>
      </c>
      <c r="G46" s="3388" t="s">
        <v>259</v>
      </c>
      <c r="H46" s="3388" t="s">
        <v>259</v>
      </c>
      <c r="I46" s="3388" t="s">
        <v>259</v>
      </c>
      <c r="J46" s="3388" t="s">
        <v>259</v>
      </c>
      <c r="K46" s="3388" t="s">
        <v>259</v>
      </c>
      <c r="L46" s="679"/>
      <c r="M46" s="660"/>
      <c r="N46" s="660"/>
      <c r="O46" s="660"/>
    </row>
    <row r="47" spans="1:15" x14ac:dyDescent="0.2">
      <c r="A47" s="3431" t="s">
        <v>1319</v>
      </c>
      <c r="B47" s="3387" t="s">
        <v>1319</v>
      </c>
      <c r="C47" s="3387" t="s">
        <v>1541</v>
      </c>
      <c r="D47" s="3387" t="s">
        <v>986</v>
      </c>
      <c r="E47" s="3387" t="s">
        <v>259</v>
      </c>
      <c r="F47" s="3388" t="s">
        <v>259</v>
      </c>
      <c r="G47" s="3388" t="s">
        <v>259</v>
      </c>
      <c r="H47" s="3388" t="s">
        <v>259</v>
      </c>
      <c r="I47" s="3387" t="s">
        <v>259</v>
      </c>
      <c r="J47" s="3387" t="s">
        <v>259</v>
      </c>
      <c r="K47" s="3387" t="s">
        <v>259</v>
      </c>
      <c r="L47" s="679"/>
      <c r="M47" s="660"/>
      <c r="N47" s="660"/>
      <c r="O47" s="660"/>
    </row>
    <row r="48" spans="1:15" x14ac:dyDescent="0.2">
      <c r="A48" s="3459" t="s">
        <v>1546</v>
      </c>
      <c r="B48" s="3363"/>
      <c r="C48" s="3363" t="s">
        <v>986</v>
      </c>
      <c r="D48" s="3388" t="s">
        <v>392</v>
      </c>
      <c r="E48" s="3388" t="s">
        <v>259</v>
      </c>
      <c r="F48" s="3388" t="s">
        <v>1366</v>
      </c>
      <c r="G48" s="3388" t="s">
        <v>1366</v>
      </c>
      <c r="H48" s="3388" t="s">
        <v>1366</v>
      </c>
      <c r="I48" s="3388" t="s">
        <v>1366</v>
      </c>
      <c r="J48" s="3388" t="s">
        <v>1366</v>
      </c>
      <c r="K48" s="3388" t="s">
        <v>1366</v>
      </c>
      <c r="L48" s="660"/>
      <c r="M48" s="660"/>
      <c r="N48" s="660"/>
      <c r="O48" s="660"/>
    </row>
    <row r="49" spans="1:15" x14ac:dyDescent="0.2">
      <c r="A49" s="3458" t="s">
        <v>1545</v>
      </c>
      <c r="B49" s="3363"/>
      <c r="C49" s="3363" t="s">
        <v>986</v>
      </c>
      <c r="D49" s="3388" t="s">
        <v>392</v>
      </c>
      <c r="E49" s="3388" t="s">
        <v>259</v>
      </c>
      <c r="F49" s="3388" t="s">
        <v>259</v>
      </c>
      <c r="G49" s="3388" t="s">
        <v>259</v>
      </c>
      <c r="H49" s="3388" t="s">
        <v>259</v>
      </c>
      <c r="I49" s="3388" t="s">
        <v>259</v>
      </c>
      <c r="J49" s="3388" t="s">
        <v>259</v>
      </c>
      <c r="K49" s="3388" t="s">
        <v>259</v>
      </c>
      <c r="L49" s="679"/>
      <c r="M49" s="660"/>
      <c r="N49" s="660"/>
      <c r="O49" s="660"/>
    </row>
    <row r="50" spans="1:15" x14ac:dyDescent="0.2">
      <c r="A50" s="3431" t="s">
        <v>1319</v>
      </c>
      <c r="B50" s="3387" t="s">
        <v>1319</v>
      </c>
      <c r="C50" s="3387" t="s">
        <v>1541</v>
      </c>
      <c r="D50" s="3387" t="s">
        <v>986</v>
      </c>
      <c r="E50" s="3387" t="s">
        <v>259</v>
      </c>
      <c r="F50" s="3388" t="s">
        <v>259</v>
      </c>
      <c r="G50" s="3388" t="s">
        <v>259</v>
      </c>
      <c r="H50" s="3388" t="s">
        <v>259</v>
      </c>
      <c r="I50" s="3387" t="s">
        <v>259</v>
      </c>
      <c r="J50" s="3387" t="s">
        <v>259</v>
      </c>
      <c r="K50" s="3387" t="s">
        <v>259</v>
      </c>
      <c r="L50" s="679"/>
      <c r="M50" s="660"/>
      <c r="N50" s="660"/>
      <c r="O50" s="660"/>
    </row>
    <row r="51" spans="1:15" x14ac:dyDescent="0.2">
      <c r="A51" s="3458" t="s">
        <v>1544</v>
      </c>
      <c r="B51" s="3363"/>
      <c r="C51" s="3363" t="s">
        <v>986</v>
      </c>
      <c r="D51" s="3388" t="s">
        <v>392</v>
      </c>
      <c r="E51" s="3388" t="s">
        <v>259</v>
      </c>
      <c r="F51" s="3388" t="s">
        <v>455</v>
      </c>
      <c r="G51" s="3388" t="s">
        <v>455</v>
      </c>
      <c r="H51" s="3388" t="s">
        <v>455</v>
      </c>
      <c r="I51" s="3388" t="s">
        <v>455</v>
      </c>
      <c r="J51" s="3388" t="s">
        <v>455</v>
      </c>
      <c r="K51" s="3388" t="s">
        <v>455</v>
      </c>
      <c r="L51" s="679"/>
      <c r="M51" s="660"/>
      <c r="N51" s="660"/>
      <c r="O51" s="660"/>
    </row>
    <row r="52" spans="1:15" x14ac:dyDescent="0.2">
      <c r="A52" s="3431" t="s">
        <v>1319</v>
      </c>
      <c r="B52" s="3387" t="s">
        <v>1319</v>
      </c>
      <c r="C52" s="3387" t="s">
        <v>1541</v>
      </c>
      <c r="D52" s="3387" t="s">
        <v>986</v>
      </c>
      <c r="E52" s="3387" t="s">
        <v>259</v>
      </c>
      <c r="F52" s="3388" t="s">
        <v>455</v>
      </c>
      <c r="G52" s="3388" t="s">
        <v>455</v>
      </c>
      <c r="H52" s="3388" t="s">
        <v>455</v>
      </c>
      <c r="I52" s="3387" t="s">
        <v>455</v>
      </c>
      <c r="J52" s="3387" t="s">
        <v>455</v>
      </c>
      <c r="K52" s="3387" t="s">
        <v>455</v>
      </c>
      <c r="L52" s="679"/>
      <c r="M52" s="660"/>
      <c r="N52" s="660"/>
      <c r="O52" s="660"/>
    </row>
    <row r="53" spans="1:15" x14ac:dyDescent="0.2">
      <c r="A53" s="3457" t="s">
        <v>1543</v>
      </c>
      <c r="B53" s="3363"/>
      <c r="C53" s="3363" t="s">
        <v>986</v>
      </c>
      <c r="D53" s="3388" t="s">
        <v>1542</v>
      </c>
      <c r="E53" s="3388" t="s">
        <v>986</v>
      </c>
      <c r="F53" s="3388" t="s">
        <v>986</v>
      </c>
      <c r="G53" s="3388" t="s">
        <v>986</v>
      </c>
      <c r="H53" s="3388" t="s">
        <v>986</v>
      </c>
      <c r="I53" s="3388" t="s">
        <v>259</v>
      </c>
      <c r="J53" s="3388" t="s">
        <v>259</v>
      </c>
      <c r="K53" s="3388" t="s">
        <v>259</v>
      </c>
      <c r="L53" s="660"/>
      <c r="M53" s="660"/>
      <c r="N53" s="660"/>
      <c r="O53" s="660"/>
    </row>
    <row r="54" spans="1:15" x14ac:dyDescent="0.2">
      <c r="A54" s="3391" t="s">
        <v>1319</v>
      </c>
      <c r="B54" s="3387" t="s">
        <v>1319</v>
      </c>
      <c r="C54" s="3387" t="s">
        <v>1541</v>
      </c>
      <c r="D54" s="3387" t="s">
        <v>986</v>
      </c>
      <c r="E54" s="3387" t="s">
        <v>259</v>
      </c>
      <c r="F54" s="3388" t="s">
        <v>259</v>
      </c>
      <c r="G54" s="3388" t="s">
        <v>259</v>
      </c>
      <c r="H54" s="3388" t="s">
        <v>259</v>
      </c>
      <c r="I54" s="3387" t="s">
        <v>259</v>
      </c>
      <c r="J54" s="3387" t="s">
        <v>259</v>
      </c>
      <c r="K54" s="3387" t="s">
        <v>259</v>
      </c>
      <c r="L54" s="679"/>
      <c r="M54" s="660"/>
      <c r="N54" s="660"/>
      <c r="O54" s="660"/>
    </row>
    <row r="55" spans="1:15" x14ac:dyDescent="0.2">
      <c r="A55" s="3457" t="s">
        <v>1503</v>
      </c>
      <c r="B55" s="3363"/>
      <c r="C55" s="3363" t="s">
        <v>986</v>
      </c>
      <c r="D55" s="3388" t="s">
        <v>392</v>
      </c>
      <c r="E55" s="3388" t="s">
        <v>259</v>
      </c>
      <c r="F55" s="3388" t="s">
        <v>259</v>
      </c>
      <c r="G55" s="3388" t="s">
        <v>259</v>
      </c>
      <c r="H55" s="3388" t="s">
        <v>259</v>
      </c>
      <c r="I55" s="3388" t="s">
        <v>259</v>
      </c>
      <c r="J55" s="3388" t="s">
        <v>259</v>
      </c>
      <c r="K55" s="3388" t="s">
        <v>259</v>
      </c>
      <c r="L55" s="660"/>
      <c r="M55" s="660"/>
      <c r="N55" s="660"/>
      <c r="O55" s="660"/>
    </row>
    <row r="56" spans="1:15" x14ac:dyDescent="0.2">
      <c r="A56" s="3391" t="s">
        <v>1319</v>
      </c>
      <c r="B56" s="3387" t="s">
        <v>1319</v>
      </c>
      <c r="C56" s="3387" t="s">
        <v>1541</v>
      </c>
      <c r="D56" s="3387" t="s">
        <v>986</v>
      </c>
      <c r="E56" s="3387" t="s">
        <v>259</v>
      </c>
      <c r="F56" s="3388" t="s">
        <v>259</v>
      </c>
      <c r="G56" s="3388" t="s">
        <v>259</v>
      </c>
      <c r="H56" s="3388" t="s">
        <v>259</v>
      </c>
      <c r="I56" s="3387" t="s">
        <v>259</v>
      </c>
      <c r="J56" s="3387" t="s">
        <v>259</v>
      </c>
      <c r="K56" s="3387" t="s">
        <v>259</v>
      </c>
      <c r="L56" s="679"/>
      <c r="M56" s="660"/>
      <c r="N56" s="660"/>
      <c r="O56" s="660"/>
    </row>
    <row r="57" spans="1:15" x14ac:dyDescent="0.2">
      <c r="A57" s="3457" t="s">
        <v>1540</v>
      </c>
      <c r="B57" s="3363"/>
      <c r="C57" s="3363" t="s">
        <v>986</v>
      </c>
      <c r="D57" s="3363" t="s">
        <v>986</v>
      </c>
      <c r="E57" s="3363" t="s">
        <v>986</v>
      </c>
      <c r="F57" s="3363" t="s">
        <v>986</v>
      </c>
      <c r="G57" s="3363" t="s">
        <v>986</v>
      </c>
      <c r="H57" s="3363" t="s">
        <v>986</v>
      </c>
      <c r="I57" s="3363" t="s">
        <v>986</v>
      </c>
      <c r="J57" s="3363" t="s">
        <v>986</v>
      </c>
      <c r="K57" s="3363" t="s">
        <v>986</v>
      </c>
      <c r="L57" s="660"/>
      <c r="M57" s="660"/>
      <c r="N57" s="660"/>
      <c r="O57" s="660"/>
    </row>
    <row r="58" spans="1:15" ht="13.5" customHeight="1" x14ac:dyDescent="0.2">
      <c r="A58" s="678" t="s">
        <v>564</v>
      </c>
      <c r="B58" s="663"/>
      <c r="C58" s="663"/>
      <c r="D58" s="663"/>
      <c r="E58" s="663"/>
      <c r="F58" s="663"/>
      <c r="G58" s="663"/>
      <c r="H58" s="663"/>
      <c r="I58" s="663"/>
      <c r="J58" s="663"/>
      <c r="K58" s="663"/>
      <c r="L58" s="660"/>
      <c r="M58" s="660"/>
      <c r="N58" s="660"/>
      <c r="O58" s="660"/>
    </row>
    <row r="59" spans="1:15" ht="15" customHeight="1" x14ac:dyDescent="0.25">
      <c r="A59" s="5607" t="s">
        <v>1539</v>
      </c>
      <c r="B59" s="5607"/>
      <c r="C59" s="5607"/>
      <c r="D59" s="5607"/>
      <c r="E59" s="5607"/>
      <c r="F59" s="5607"/>
      <c r="G59" s="5607"/>
      <c r="H59" s="5607"/>
      <c r="I59" s="3318"/>
      <c r="J59" s="3318"/>
      <c r="K59" s="3318"/>
      <c r="L59" s="660"/>
      <c r="M59" s="660"/>
      <c r="N59" s="660"/>
      <c r="O59" s="660"/>
    </row>
    <row r="60" spans="1:15" ht="13.5" x14ac:dyDescent="0.2">
      <c r="A60" s="5607" t="s">
        <v>1538</v>
      </c>
      <c r="B60" s="5607"/>
      <c r="C60" s="5607"/>
      <c r="D60" s="5607"/>
      <c r="E60" s="5607"/>
      <c r="F60" s="5607"/>
      <c r="G60" s="3318"/>
      <c r="H60" s="3318"/>
      <c r="I60" s="3318"/>
      <c r="J60" s="3318"/>
      <c r="K60" s="3318"/>
      <c r="L60" s="660"/>
      <c r="M60" s="660"/>
      <c r="N60" s="660"/>
      <c r="O60" s="660"/>
    </row>
    <row r="61" spans="1:15" ht="13.5" x14ac:dyDescent="0.2">
      <c r="A61" s="5606" t="s">
        <v>1537</v>
      </c>
      <c r="B61" s="5606"/>
      <c r="C61" s="5606"/>
      <c r="D61" s="5606"/>
      <c r="E61" s="5606"/>
      <c r="F61" s="5606"/>
      <c r="G61" s="5606"/>
      <c r="H61" s="5606"/>
      <c r="I61" s="5606"/>
      <c r="J61" s="5606"/>
      <c r="K61" s="5606"/>
      <c r="L61" s="660"/>
      <c r="M61" s="660"/>
      <c r="N61" s="660"/>
      <c r="O61" s="660"/>
    </row>
    <row r="62" spans="1:15" ht="13.5" x14ac:dyDescent="0.2">
      <c r="A62" s="5606" t="s">
        <v>1536</v>
      </c>
      <c r="B62" s="5606"/>
      <c r="C62" s="5606"/>
      <c r="D62" s="5606"/>
      <c r="E62" s="5606"/>
      <c r="F62" s="5606"/>
      <c r="G62" s="5606"/>
      <c r="H62" s="5606"/>
      <c r="I62" s="5606"/>
      <c r="J62" s="5606"/>
      <c r="K62" s="5606"/>
      <c r="L62" s="660"/>
      <c r="M62" s="660"/>
      <c r="N62" s="660"/>
      <c r="O62" s="660"/>
    </row>
    <row r="63" spans="1:15" ht="26.25" customHeight="1" x14ac:dyDescent="0.2">
      <c r="A63" s="5507" t="s">
        <v>1535</v>
      </c>
      <c r="B63" s="5507"/>
      <c r="C63" s="5507"/>
      <c r="D63" s="5507"/>
      <c r="E63" s="5507"/>
      <c r="F63" s="5507"/>
      <c r="G63" s="5507"/>
      <c r="H63" s="3318"/>
      <c r="I63" s="3318"/>
      <c r="J63" s="3318"/>
      <c r="K63" s="3318"/>
      <c r="L63" s="660"/>
      <c r="M63" s="660"/>
      <c r="N63" s="660"/>
      <c r="O63" s="660"/>
    </row>
    <row r="64" spans="1:15" ht="13.5" x14ac:dyDescent="0.2">
      <c r="A64" s="5606" t="s">
        <v>1534</v>
      </c>
      <c r="B64" s="5606"/>
      <c r="C64" s="5606"/>
      <c r="D64" s="5606"/>
      <c r="E64" s="5606"/>
      <c r="F64" s="5606"/>
      <c r="G64" s="5606"/>
      <c r="H64" s="5606"/>
      <c r="I64" s="5606"/>
      <c r="J64" s="5606"/>
      <c r="K64" s="5606"/>
      <c r="L64" s="660"/>
      <c r="M64" s="660"/>
      <c r="N64" s="660"/>
      <c r="O64" s="660"/>
    </row>
    <row r="65" spans="1:15" ht="13.5" x14ac:dyDescent="0.2">
      <c r="A65" s="5606" t="s">
        <v>1533</v>
      </c>
      <c r="B65" s="5606"/>
      <c r="C65" s="5606"/>
      <c r="D65" s="5606"/>
      <c r="E65" s="5606"/>
      <c r="F65" s="5606"/>
      <c r="G65" s="5606"/>
      <c r="H65" s="3316"/>
      <c r="I65" s="3316"/>
      <c r="J65" s="3316"/>
      <c r="K65" s="3316"/>
      <c r="L65" s="660"/>
      <c r="M65" s="660"/>
      <c r="N65" s="660"/>
      <c r="O65" s="660"/>
    </row>
    <row r="66" spans="1:15" ht="13.5" x14ac:dyDescent="0.2">
      <c r="A66" s="5606" t="s">
        <v>1532</v>
      </c>
      <c r="B66" s="5606"/>
      <c r="C66" s="5606"/>
      <c r="D66" s="3316"/>
      <c r="E66" s="3316"/>
      <c r="F66" s="3316"/>
      <c r="G66" s="3316"/>
      <c r="H66" s="3316"/>
      <c r="I66" s="3316"/>
      <c r="J66" s="3316"/>
      <c r="K66" s="3316"/>
      <c r="L66" s="660"/>
      <c r="M66" s="660"/>
      <c r="N66" s="660"/>
      <c r="O66" s="660"/>
    </row>
    <row r="67" spans="1:15" ht="10.5" customHeight="1" x14ac:dyDescent="0.2">
      <c r="A67" s="660"/>
      <c r="B67" s="660"/>
      <c r="C67" s="660"/>
      <c r="D67" s="660"/>
      <c r="E67" s="660"/>
      <c r="F67" s="660"/>
      <c r="G67" s="660"/>
      <c r="H67" s="660"/>
      <c r="I67" s="660"/>
      <c r="J67" s="660"/>
      <c r="K67" s="660"/>
      <c r="L67" s="660"/>
      <c r="M67" s="660"/>
      <c r="N67" s="660"/>
      <c r="O67" s="660"/>
    </row>
    <row r="68" spans="1:15" x14ac:dyDescent="0.2">
      <c r="A68" s="3456" t="s">
        <v>982</v>
      </c>
      <c r="B68" s="3455"/>
      <c r="C68" s="3453"/>
      <c r="D68" s="3453"/>
      <c r="E68" s="3454"/>
      <c r="F68" s="3453"/>
      <c r="G68" s="3453"/>
      <c r="H68" s="3453"/>
      <c r="I68" s="3453"/>
      <c r="J68" s="3453"/>
      <c r="K68" s="3452"/>
      <c r="L68" s="660"/>
      <c r="M68" s="660"/>
      <c r="N68" s="660"/>
      <c r="O68" s="660"/>
    </row>
    <row r="69" spans="1:15" x14ac:dyDescent="0.2">
      <c r="A69" s="5600" t="s">
        <v>1531</v>
      </c>
      <c r="B69" s="5601"/>
      <c r="C69" s="5602"/>
      <c r="D69" s="5602"/>
      <c r="E69" s="5602"/>
      <c r="F69" s="5602"/>
      <c r="G69" s="5602"/>
      <c r="H69" s="5602"/>
      <c r="I69" s="5602"/>
      <c r="J69" s="5602"/>
      <c r="K69" s="5603"/>
      <c r="L69" s="660"/>
      <c r="M69" s="660"/>
      <c r="N69" s="660"/>
      <c r="O69" s="660"/>
    </row>
    <row r="70" spans="1:15" x14ac:dyDescent="0.2">
      <c r="A70" s="3361" t="s">
        <v>980</v>
      </c>
      <c r="B70" s="5473" t="s">
        <v>5196</v>
      </c>
      <c r="C70" s="5589"/>
      <c r="D70" s="5589"/>
      <c r="E70" s="5589"/>
      <c r="F70" s="5589"/>
      <c r="G70" s="5589"/>
      <c r="H70" s="5589"/>
      <c r="I70" s="5589"/>
      <c r="J70" s="5589"/>
      <c r="K70" s="5589"/>
      <c r="L70" s="660"/>
      <c r="M70" s="660"/>
      <c r="N70" s="660"/>
      <c r="O70" s="660"/>
    </row>
    <row r="71" spans="1:15" ht="12" customHeight="1" x14ac:dyDescent="0.2">
      <c r="A71" s="3361" t="s">
        <v>980</v>
      </c>
      <c r="B71" s="5473" t="s">
        <v>986</v>
      </c>
      <c r="C71" s="5595"/>
      <c r="D71" s="5595"/>
      <c r="E71" s="5595"/>
      <c r="F71" s="5595"/>
      <c r="G71" s="5595"/>
      <c r="H71" s="5595"/>
      <c r="I71" s="5595"/>
      <c r="J71" s="5595"/>
      <c r="K71" s="5595"/>
      <c r="L71" s="660"/>
      <c r="M71" s="660"/>
      <c r="N71" s="660"/>
      <c r="O71" s="660"/>
    </row>
    <row r="72" spans="1:15" ht="12" customHeight="1" x14ac:dyDescent="0.2">
      <c r="A72" s="3361" t="s">
        <v>980</v>
      </c>
      <c r="B72" s="5473" t="s">
        <v>5195</v>
      </c>
      <c r="C72" s="5595"/>
      <c r="D72" s="5595"/>
      <c r="E72" s="5595"/>
      <c r="F72" s="5595"/>
      <c r="G72" s="5595"/>
      <c r="H72" s="5595"/>
      <c r="I72" s="5595"/>
      <c r="J72" s="5595"/>
      <c r="K72" s="5595"/>
      <c r="L72" s="660"/>
      <c r="M72" s="660"/>
      <c r="N72" s="660"/>
      <c r="O72" s="660"/>
    </row>
    <row r="73" spans="1:15" ht="13.5" customHeight="1" x14ac:dyDescent="0.2">
      <c r="A73" s="3361" t="s">
        <v>980</v>
      </c>
      <c r="B73" s="5473" t="s">
        <v>986</v>
      </c>
      <c r="C73" s="5589"/>
      <c r="D73" s="5589"/>
      <c r="E73" s="5589"/>
      <c r="F73" s="5589"/>
      <c r="G73" s="5589"/>
      <c r="H73" s="5589"/>
      <c r="I73" s="5589"/>
      <c r="J73" s="5589"/>
      <c r="K73" s="5589"/>
      <c r="L73" s="660"/>
      <c r="M73" s="660"/>
      <c r="N73" s="660"/>
      <c r="O73" s="660"/>
    </row>
    <row r="74" spans="1:15" x14ac:dyDescent="0.2">
      <c r="A74" s="3361" t="s">
        <v>980</v>
      </c>
      <c r="B74" s="5473" t="s">
        <v>986</v>
      </c>
      <c r="C74" s="5589"/>
      <c r="D74" s="5589"/>
      <c r="E74" s="5589"/>
      <c r="F74" s="5589"/>
      <c r="G74" s="5589"/>
      <c r="H74" s="5589"/>
      <c r="I74" s="5589"/>
      <c r="J74" s="5589"/>
      <c r="K74" s="5589"/>
    </row>
    <row r="75" spans="1:15" x14ac:dyDescent="0.2">
      <c r="A75" s="3361" t="s">
        <v>980</v>
      </c>
      <c r="B75" s="5473" t="s">
        <v>986</v>
      </c>
      <c r="C75" s="5589"/>
      <c r="D75" s="5589"/>
      <c r="E75" s="5589"/>
      <c r="F75" s="5589"/>
      <c r="G75" s="5589"/>
      <c r="H75" s="5589"/>
      <c r="I75" s="5589"/>
      <c r="J75" s="5589"/>
      <c r="K75" s="5589"/>
    </row>
    <row r="76" spans="1:15" x14ac:dyDescent="0.2">
      <c r="A76" s="3361" t="s">
        <v>980</v>
      </c>
      <c r="B76" s="5473" t="s">
        <v>986</v>
      </c>
      <c r="C76" s="5589"/>
      <c r="D76" s="5589"/>
      <c r="E76" s="5589"/>
      <c r="F76" s="5589"/>
      <c r="G76" s="5589"/>
      <c r="H76" s="5589"/>
      <c r="I76" s="5589"/>
      <c r="J76" s="5589"/>
      <c r="K76" s="5589"/>
    </row>
    <row r="77" spans="1:15" x14ac:dyDescent="0.2">
      <c r="A77" s="3361" t="s">
        <v>980</v>
      </c>
      <c r="B77" s="5473" t="s">
        <v>986</v>
      </c>
      <c r="C77" s="5589"/>
      <c r="D77" s="5589"/>
      <c r="E77" s="5589"/>
      <c r="F77" s="5589"/>
      <c r="G77" s="5589"/>
      <c r="H77" s="5589"/>
      <c r="I77" s="5589"/>
      <c r="J77" s="5589"/>
      <c r="K77" s="5589"/>
    </row>
    <row r="78" spans="1:15" x14ac:dyDescent="0.2">
      <c r="A78" s="3361" t="s">
        <v>980</v>
      </c>
      <c r="B78" s="5473" t="s">
        <v>986</v>
      </c>
      <c r="C78" s="5589"/>
      <c r="D78" s="5589"/>
      <c r="E78" s="5589"/>
      <c r="F78" s="5589"/>
      <c r="G78" s="5589"/>
      <c r="H78" s="5589"/>
      <c r="I78" s="5589"/>
      <c r="J78" s="5589"/>
      <c r="K78" s="5589"/>
    </row>
    <row r="79" spans="1:15" x14ac:dyDescent="0.2">
      <c r="A79" s="3361" t="s">
        <v>980</v>
      </c>
      <c r="B79" s="5473" t="s">
        <v>986</v>
      </c>
      <c r="C79" s="5589"/>
      <c r="D79" s="5589"/>
      <c r="E79" s="5589"/>
      <c r="F79" s="5589"/>
      <c r="G79" s="5589"/>
      <c r="H79" s="5589"/>
      <c r="I79" s="5589"/>
      <c r="J79" s="5589"/>
      <c r="K79" s="5589"/>
    </row>
    <row r="80" spans="1:15" x14ac:dyDescent="0.2">
      <c r="A80" s="3361" t="s">
        <v>980</v>
      </c>
      <c r="B80" s="5473" t="s">
        <v>986</v>
      </c>
      <c r="C80" s="5589"/>
      <c r="D80" s="5589"/>
      <c r="E80" s="5589"/>
      <c r="F80" s="5589"/>
      <c r="G80" s="5589"/>
      <c r="H80" s="5589"/>
      <c r="I80" s="5589"/>
      <c r="J80" s="5589"/>
      <c r="K80" s="5589"/>
    </row>
  </sheetData>
  <sheetProtection password="A754" sheet="1" objects="1" scenarios="1"/>
  <mergeCells count="27">
    <mergeCell ref="A61:K61"/>
    <mergeCell ref="A62:K62"/>
    <mergeCell ref="A63:G63"/>
    <mergeCell ref="A64:K64"/>
    <mergeCell ref="B79:K79"/>
    <mergeCell ref="B80:K80"/>
    <mergeCell ref="B74:K74"/>
    <mergeCell ref="B75:K75"/>
    <mergeCell ref="B76:K76"/>
    <mergeCell ref="B77:K77"/>
    <mergeCell ref="B78:K78"/>
    <mergeCell ref="B5:B6"/>
    <mergeCell ref="B71:K71"/>
    <mergeCell ref="B72:K72"/>
    <mergeCell ref="B73:K73"/>
    <mergeCell ref="A69:K69"/>
    <mergeCell ref="A5:A6"/>
    <mergeCell ref="C5:E5"/>
    <mergeCell ref="F5:H5"/>
    <mergeCell ref="I5:K5"/>
    <mergeCell ref="F7:H7"/>
    <mergeCell ref="I7:K7"/>
    <mergeCell ref="A65:G65"/>
    <mergeCell ref="A66:C66"/>
    <mergeCell ref="B70:K70"/>
    <mergeCell ref="A59:H59"/>
    <mergeCell ref="A60:F60"/>
  </mergeCells>
  <printOptions horizontalCentered="1" verticalCentered="1"/>
  <pageMargins left="0.39370078740157483" right="0.39370078740157483" top="0.39370078740157483" bottom="0.39370078740157483" header="0.19685039370078741" footer="0.19685039370078741"/>
  <pageSetup paperSize="9" scale="52"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9A810-4268-4444-96E9-D13F5B7279B5}">
  <sheetPr codeName="Ark32">
    <tabColor theme="0" tint="-0.14999847407452621"/>
  </sheetPr>
  <dimension ref="A1:P85"/>
  <sheetViews>
    <sheetView showGridLines="0" workbookViewId="0">
      <selection activeCell="H9" sqref="H9"/>
    </sheetView>
  </sheetViews>
  <sheetFormatPr defaultColWidth="11.42578125" defaultRowHeight="12" x14ac:dyDescent="0.2"/>
  <cols>
    <col min="1" max="1" width="21.85546875" style="659" customWidth="1"/>
    <col min="2" max="10" width="11.42578125" style="659" customWidth="1"/>
    <col min="11" max="16384" width="11.42578125" style="659"/>
  </cols>
  <sheetData>
    <row r="1" spans="1:16" ht="15.75" x14ac:dyDescent="0.25">
      <c r="A1" s="671" t="s">
        <v>1646</v>
      </c>
      <c r="B1" s="660"/>
      <c r="C1" s="660"/>
      <c r="D1" s="660"/>
      <c r="E1" s="660"/>
      <c r="F1" s="660"/>
      <c r="G1" s="660"/>
      <c r="H1" s="660"/>
      <c r="I1" s="660"/>
      <c r="J1" s="660" t="s">
        <v>1028</v>
      </c>
      <c r="K1" s="660"/>
      <c r="L1" s="660"/>
      <c r="M1" s="660"/>
      <c r="N1" s="660"/>
      <c r="O1" s="660"/>
      <c r="P1" s="660"/>
    </row>
    <row r="2" spans="1:16" ht="18.75" x14ac:dyDescent="0.25">
      <c r="A2" s="671" t="s">
        <v>1645</v>
      </c>
      <c r="B2" s="660"/>
      <c r="C2" s="660"/>
      <c r="D2" s="660"/>
      <c r="E2" s="660"/>
      <c r="F2" s="660"/>
      <c r="G2" s="660"/>
      <c r="H2" s="660"/>
      <c r="I2" s="660"/>
      <c r="J2" s="660" t="s">
        <v>5183</v>
      </c>
      <c r="K2" s="660"/>
      <c r="L2" s="660"/>
      <c r="M2" s="660"/>
      <c r="N2" s="660"/>
      <c r="O2" s="660"/>
      <c r="P2" s="660"/>
    </row>
    <row r="3" spans="1:16" ht="15.75" x14ac:dyDescent="0.25">
      <c r="A3" s="671" t="s">
        <v>1027</v>
      </c>
      <c r="B3" s="660"/>
      <c r="C3" s="660"/>
      <c r="D3" s="660"/>
      <c r="E3" s="660"/>
      <c r="F3" s="660"/>
      <c r="G3" s="660"/>
      <c r="H3" s="660"/>
      <c r="I3" s="660"/>
      <c r="J3" s="660" t="s">
        <v>1789</v>
      </c>
      <c r="K3" s="660"/>
      <c r="L3" s="660"/>
      <c r="M3" s="660"/>
      <c r="N3" s="660"/>
      <c r="O3" s="660"/>
      <c r="P3" s="660"/>
    </row>
    <row r="4" spans="1:16" x14ac:dyDescent="0.2">
      <c r="A4" s="763"/>
      <c r="B4" s="660"/>
      <c r="C4" s="660"/>
      <c r="D4" s="660"/>
      <c r="E4" s="660"/>
      <c r="F4" s="660"/>
      <c r="G4" s="660"/>
      <c r="H4" s="660"/>
      <c r="I4" s="660"/>
      <c r="J4" s="660"/>
      <c r="K4" s="660"/>
      <c r="L4" s="660"/>
      <c r="M4" s="660"/>
      <c r="N4" s="660"/>
      <c r="O4" s="660"/>
      <c r="P4" s="660"/>
    </row>
    <row r="5" spans="1:16" ht="14.25" x14ac:dyDescent="0.2">
      <c r="A5" s="763" t="s">
        <v>1644</v>
      </c>
      <c r="B5" s="660"/>
      <c r="C5" s="660"/>
      <c r="D5" s="660"/>
      <c r="E5" s="660"/>
      <c r="F5" s="660"/>
      <c r="G5" s="660"/>
      <c r="H5" s="660"/>
      <c r="I5" s="660"/>
      <c r="J5" s="660"/>
      <c r="K5" s="660"/>
      <c r="L5" s="660"/>
      <c r="M5" s="660"/>
      <c r="N5" s="660"/>
      <c r="O5" s="660"/>
      <c r="P5" s="660"/>
    </row>
    <row r="6" spans="1:16" x14ac:dyDescent="0.2">
      <c r="A6" s="5608" t="s">
        <v>1028</v>
      </c>
      <c r="B6" s="5599" t="s">
        <v>1643</v>
      </c>
      <c r="C6" s="5599"/>
      <c r="D6" s="5599"/>
      <c r="E6" s="5599" t="s">
        <v>1569</v>
      </c>
      <c r="F6" s="5599"/>
      <c r="G6" s="5599"/>
      <c r="H6" s="5599" t="s">
        <v>1642</v>
      </c>
      <c r="I6" s="5599"/>
      <c r="J6" s="5599"/>
      <c r="K6" s="660"/>
      <c r="L6" s="660"/>
      <c r="M6" s="660"/>
      <c r="N6" s="660"/>
      <c r="O6" s="660"/>
      <c r="P6" s="660"/>
    </row>
    <row r="7" spans="1:16" ht="22.9" customHeight="1" x14ac:dyDescent="0.2">
      <c r="A7" s="5608"/>
      <c r="B7" s="3463" t="s">
        <v>1047</v>
      </c>
      <c r="C7" s="3463" t="s">
        <v>1641</v>
      </c>
      <c r="D7" s="3463" t="s">
        <v>1640</v>
      </c>
      <c r="E7" s="3463" t="s">
        <v>1047</v>
      </c>
      <c r="F7" s="3463" t="s">
        <v>1641</v>
      </c>
      <c r="G7" s="3463" t="s">
        <v>1640</v>
      </c>
      <c r="H7" s="3463" t="s">
        <v>1047</v>
      </c>
      <c r="I7" s="3463" t="s">
        <v>1641</v>
      </c>
      <c r="J7" s="3463" t="s">
        <v>1640</v>
      </c>
      <c r="K7" s="660"/>
      <c r="L7" s="660"/>
      <c r="M7" s="660"/>
      <c r="N7" s="660"/>
      <c r="O7" s="660"/>
      <c r="P7" s="660"/>
    </row>
    <row r="8" spans="1:16" ht="15" thickBot="1" x14ac:dyDescent="0.25">
      <c r="A8" s="5609"/>
      <c r="B8" s="768" t="s">
        <v>1639</v>
      </c>
      <c r="C8" s="768" t="s">
        <v>1639</v>
      </c>
      <c r="D8" s="768" t="s">
        <v>1639</v>
      </c>
      <c r="E8" s="768" t="s">
        <v>1639</v>
      </c>
      <c r="F8" s="768" t="s">
        <v>1639</v>
      </c>
      <c r="G8" s="768" t="s">
        <v>1639</v>
      </c>
      <c r="H8" s="768" t="s">
        <v>1638</v>
      </c>
      <c r="I8" s="768" t="s">
        <v>1638</v>
      </c>
      <c r="J8" s="768" t="s">
        <v>1638</v>
      </c>
      <c r="K8" s="660"/>
      <c r="L8" s="660"/>
      <c r="M8" s="660"/>
      <c r="N8" s="660"/>
      <c r="O8" s="660"/>
      <c r="P8" s="660"/>
    </row>
    <row r="9" spans="1:16" ht="14.25" thickTop="1" x14ac:dyDescent="0.2">
      <c r="A9" s="767" t="s">
        <v>1637</v>
      </c>
      <c r="B9" s="3466"/>
      <c r="C9" s="3466"/>
      <c r="D9" s="3466"/>
      <c r="E9" s="3466"/>
      <c r="F9" s="3466"/>
      <c r="G9" s="3466"/>
      <c r="H9" s="3466"/>
      <c r="I9" s="3466"/>
      <c r="J9" s="3466"/>
      <c r="K9" s="660"/>
      <c r="L9" s="660"/>
      <c r="M9" s="660"/>
      <c r="N9" s="660"/>
      <c r="O9" s="660"/>
      <c r="P9" s="660"/>
    </row>
    <row r="10" spans="1:16" x14ac:dyDescent="0.2">
      <c r="A10" s="3465" t="s">
        <v>1636</v>
      </c>
      <c r="B10" s="3387" t="s">
        <v>986</v>
      </c>
      <c r="C10" s="3387" t="s">
        <v>986</v>
      </c>
      <c r="D10" s="3387" t="s">
        <v>986</v>
      </c>
      <c r="E10" s="3387" t="s">
        <v>986</v>
      </c>
      <c r="F10" s="3387" t="s">
        <v>986</v>
      </c>
      <c r="G10" s="3387" t="s">
        <v>986</v>
      </c>
      <c r="H10" s="3387" t="s">
        <v>986</v>
      </c>
      <c r="I10" s="3387" t="s">
        <v>986</v>
      </c>
      <c r="J10" s="3387" t="s">
        <v>986</v>
      </c>
    </row>
    <row r="11" spans="1:16" x14ac:dyDescent="0.2">
      <c r="A11" s="3465" t="s">
        <v>1635</v>
      </c>
      <c r="B11" s="3387" t="s">
        <v>986</v>
      </c>
      <c r="C11" s="3387" t="s">
        <v>986</v>
      </c>
      <c r="D11" s="3387" t="s">
        <v>986</v>
      </c>
      <c r="E11" s="3387" t="s">
        <v>986</v>
      </c>
      <c r="F11" s="3387" t="s">
        <v>986</v>
      </c>
      <c r="G11" s="3387" t="s">
        <v>986</v>
      </c>
      <c r="H11" s="3387" t="s">
        <v>986</v>
      </c>
      <c r="I11" s="3387" t="s">
        <v>986</v>
      </c>
      <c r="J11" s="3387" t="s">
        <v>986</v>
      </c>
    </row>
    <row r="12" spans="1:16" x14ac:dyDescent="0.2">
      <c r="A12" s="3465" t="s">
        <v>1634</v>
      </c>
      <c r="B12" s="3387" t="s">
        <v>986</v>
      </c>
      <c r="C12" s="3387" t="s">
        <v>986</v>
      </c>
      <c r="D12" s="3387" t="s">
        <v>986</v>
      </c>
      <c r="E12" s="3387" t="s">
        <v>986</v>
      </c>
      <c r="F12" s="3387" t="s">
        <v>986</v>
      </c>
      <c r="G12" s="3387" t="s">
        <v>986</v>
      </c>
      <c r="H12" s="3387" t="s">
        <v>986</v>
      </c>
      <c r="I12" s="3387" t="s">
        <v>986</v>
      </c>
      <c r="J12" s="3387" t="s">
        <v>986</v>
      </c>
    </row>
    <row r="13" spans="1:16" x14ac:dyDescent="0.2">
      <c r="A13" s="3465" t="s">
        <v>1633</v>
      </c>
      <c r="B13" s="3387" t="s">
        <v>986</v>
      </c>
      <c r="C13" s="3387" t="s">
        <v>986</v>
      </c>
      <c r="D13" s="3387" t="s">
        <v>986</v>
      </c>
      <c r="E13" s="3387" t="s">
        <v>986</v>
      </c>
      <c r="F13" s="3387" t="s">
        <v>986</v>
      </c>
      <c r="G13" s="3387" t="s">
        <v>986</v>
      </c>
      <c r="H13" s="3387" t="s">
        <v>986</v>
      </c>
      <c r="I13" s="3387" t="s">
        <v>986</v>
      </c>
      <c r="J13" s="3387" t="s">
        <v>986</v>
      </c>
    </row>
    <row r="14" spans="1:16" x14ac:dyDescent="0.2">
      <c r="A14" s="3465" t="s">
        <v>1632</v>
      </c>
      <c r="B14" s="3387" t="s">
        <v>986</v>
      </c>
      <c r="C14" s="3387" t="s">
        <v>986</v>
      </c>
      <c r="D14" s="3387" t="s">
        <v>986</v>
      </c>
      <c r="E14" s="3387" t="s">
        <v>986</v>
      </c>
      <c r="F14" s="3387" t="s">
        <v>986</v>
      </c>
      <c r="G14" s="3387" t="s">
        <v>986</v>
      </c>
      <c r="H14" s="3387" t="s">
        <v>986</v>
      </c>
      <c r="I14" s="3387" t="s">
        <v>986</v>
      </c>
      <c r="J14" s="3387" t="s">
        <v>986</v>
      </c>
    </row>
    <row r="15" spans="1:16" x14ac:dyDescent="0.2">
      <c r="A15" s="3465" t="s">
        <v>1631</v>
      </c>
      <c r="B15" s="3387" t="s">
        <v>986</v>
      </c>
      <c r="C15" s="3387" t="s">
        <v>986</v>
      </c>
      <c r="D15" s="3387" t="s">
        <v>986</v>
      </c>
      <c r="E15" s="3387" t="s">
        <v>986</v>
      </c>
      <c r="F15" s="3387" t="s">
        <v>986</v>
      </c>
      <c r="G15" s="3387" t="s">
        <v>986</v>
      </c>
      <c r="H15" s="3387" t="s">
        <v>986</v>
      </c>
      <c r="I15" s="3387" t="s">
        <v>986</v>
      </c>
      <c r="J15" s="3387" t="s">
        <v>986</v>
      </c>
    </row>
    <row r="16" spans="1:16" x14ac:dyDescent="0.2">
      <c r="A16" s="3465" t="s">
        <v>1630</v>
      </c>
      <c r="B16" s="3387" t="s">
        <v>986</v>
      </c>
      <c r="C16" s="3387" t="s">
        <v>986</v>
      </c>
      <c r="D16" s="3387" t="s">
        <v>986</v>
      </c>
      <c r="E16" s="3387" t="s">
        <v>986</v>
      </c>
      <c r="F16" s="3387" t="s">
        <v>986</v>
      </c>
      <c r="G16" s="3387" t="s">
        <v>986</v>
      </c>
      <c r="H16" s="3387" t="s">
        <v>986</v>
      </c>
      <c r="I16" s="3387" t="s">
        <v>986</v>
      </c>
      <c r="J16" s="3387" t="s">
        <v>986</v>
      </c>
    </row>
    <row r="17" spans="1:10" x14ac:dyDescent="0.2">
      <c r="A17" s="3465" t="s">
        <v>1629</v>
      </c>
      <c r="B17" s="3387" t="s">
        <v>986</v>
      </c>
      <c r="C17" s="3387" t="s">
        <v>986</v>
      </c>
      <c r="D17" s="3387" t="s">
        <v>986</v>
      </c>
      <c r="E17" s="3387" t="s">
        <v>986</v>
      </c>
      <c r="F17" s="3387" t="s">
        <v>986</v>
      </c>
      <c r="G17" s="3387" t="s">
        <v>986</v>
      </c>
      <c r="H17" s="3387" t="s">
        <v>986</v>
      </c>
      <c r="I17" s="3387" t="s">
        <v>986</v>
      </c>
      <c r="J17" s="3387" t="s">
        <v>986</v>
      </c>
    </row>
    <row r="18" spans="1:10" x14ac:dyDescent="0.2">
      <c r="A18" s="3465" t="s">
        <v>1628</v>
      </c>
      <c r="B18" s="3387" t="s">
        <v>986</v>
      </c>
      <c r="C18" s="3387" t="s">
        <v>986</v>
      </c>
      <c r="D18" s="3387" t="s">
        <v>986</v>
      </c>
      <c r="E18" s="3387" t="s">
        <v>986</v>
      </c>
      <c r="F18" s="3387" t="s">
        <v>986</v>
      </c>
      <c r="G18" s="3387" t="s">
        <v>986</v>
      </c>
      <c r="H18" s="3387" t="s">
        <v>986</v>
      </c>
      <c r="I18" s="3387" t="s">
        <v>986</v>
      </c>
      <c r="J18" s="3387" t="s">
        <v>986</v>
      </c>
    </row>
    <row r="19" spans="1:10" x14ac:dyDescent="0.2">
      <c r="A19" s="3465" t="s">
        <v>1627</v>
      </c>
      <c r="B19" s="3387" t="s">
        <v>986</v>
      </c>
      <c r="C19" s="3387" t="s">
        <v>986</v>
      </c>
      <c r="D19" s="3387" t="s">
        <v>986</v>
      </c>
      <c r="E19" s="3387" t="s">
        <v>986</v>
      </c>
      <c r="F19" s="3387" t="s">
        <v>986</v>
      </c>
      <c r="G19" s="3387" t="s">
        <v>986</v>
      </c>
      <c r="H19" s="3387" t="s">
        <v>986</v>
      </c>
      <c r="I19" s="3387" t="s">
        <v>986</v>
      </c>
      <c r="J19" s="3387" t="s">
        <v>986</v>
      </c>
    </row>
    <row r="20" spans="1:10" x14ac:dyDescent="0.2">
      <c r="A20" s="3465" t="s">
        <v>1626</v>
      </c>
      <c r="B20" s="3387" t="s">
        <v>986</v>
      </c>
      <c r="C20" s="3387" t="s">
        <v>986</v>
      </c>
      <c r="D20" s="3387" t="s">
        <v>986</v>
      </c>
      <c r="E20" s="3387" t="s">
        <v>986</v>
      </c>
      <c r="F20" s="3387" t="s">
        <v>986</v>
      </c>
      <c r="G20" s="3387" t="s">
        <v>986</v>
      </c>
      <c r="H20" s="3387" t="s">
        <v>986</v>
      </c>
      <c r="I20" s="3387" t="s">
        <v>986</v>
      </c>
      <c r="J20" s="3387" t="s">
        <v>986</v>
      </c>
    </row>
    <row r="21" spans="1:10" x14ac:dyDescent="0.2">
      <c r="A21" s="3465" t="s">
        <v>1625</v>
      </c>
      <c r="B21" s="3387" t="s">
        <v>986</v>
      </c>
      <c r="C21" s="3387" t="s">
        <v>986</v>
      </c>
      <c r="D21" s="3387" t="s">
        <v>986</v>
      </c>
      <c r="E21" s="3387" t="s">
        <v>986</v>
      </c>
      <c r="F21" s="3387" t="s">
        <v>986</v>
      </c>
      <c r="G21" s="3387" t="s">
        <v>986</v>
      </c>
      <c r="H21" s="3387" t="s">
        <v>986</v>
      </c>
      <c r="I21" s="3387" t="s">
        <v>986</v>
      </c>
      <c r="J21" s="3387" t="s">
        <v>986</v>
      </c>
    </row>
    <row r="22" spans="1:10" x14ac:dyDescent="0.2">
      <c r="A22" s="3465" t="s">
        <v>1624</v>
      </c>
      <c r="B22" s="3387" t="s">
        <v>986</v>
      </c>
      <c r="C22" s="3387" t="s">
        <v>986</v>
      </c>
      <c r="D22" s="3387" t="s">
        <v>986</v>
      </c>
      <c r="E22" s="3387" t="s">
        <v>986</v>
      </c>
      <c r="F22" s="3387" t="s">
        <v>986</v>
      </c>
      <c r="G22" s="3387" t="s">
        <v>986</v>
      </c>
      <c r="H22" s="3387" t="s">
        <v>986</v>
      </c>
      <c r="I22" s="3387" t="s">
        <v>986</v>
      </c>
      <c r="J22" s="3387" t="s">
        <v>986</v>
      </c>
    </row>
    <row r="23" spans="1:10" x14ac:dyDescent="0.2">
      <c r="A23" s="3465" t="s">
        <v>1623</v>
      </c>
      <c r="B23" s="3387" t="s">
        <v>986</v>
      </c>
      <c r="C23" s="3387" t="s">
        <v>986</v>
      </c>
      <c r="D23" s="3387" t="s">
        <v>986</v>
      </c>
      <c r="E23" s="3387" t="s">
        <v>986</v>
      </c>
      <c r="F23" s="3387" t="s">
        <v>986</v>
      </c>
      <c r="G23" s="3387" t="s">
        <v>986</v>
      </c>
      <c r="H23" s="3387" t="s">
        <v>986</v>
      </c>
      <c r="I23" s="3387" t="s">
        <v>986</v>
      </c>
      <c r="J23" s="3387" t="s">
        <v>986</v>
      </c>
    </row>
    <row r="24" spans="1:10" x14ac:dyDescent="0.2">
      <c r="A24" s="3465" t="s">
        <v>1622</v>
      </c>
      <c r="B24" s="3387" t="s">
        <v>986</v>
      </c>
      <c r="C24" s="3387" t="s">
        <v>986</v>
      </c>
      <c r="D24" s="3387" t="s">
        <v>986</v>
      </c>
      <c r="E24" s="3387" t="s">
        <v>986</v>
      </c>
      <c r="F24" s="3387" t="s">
        <v>986</v>
      </c>
      <c r="G24" s="3387" t="s">
        <v>986</v>
      </c>
      <c r="H24" s="3387" t="s">
        <v>986</v>
      </c>
      <c r="I24" s="3387" t="s">
        <v>986</v>
      </c>
      <c r="J24" s="3387" t="s">
        <v>986</v>
      </c>
    </row>
    <row r="25" spans="1:10" x14ac:dyDescent="0.2">
      <c r="A25" s="3465" t="s">
        <v>1621</v>
      </c>
      <c r="B25" s="3387" t="s">
        <v>986</v>
      </c>
      <c r="C25" s="3387" t="s">
        <v>986</v>
      </c>
      <c r="D25" s="3387" t="s">
        <v>986</v>
      </c>
      <c r="E25" s="3387" t="s">
        <v>986</v>
      </c>
      <c r="F25" s="3387" t="s">
        <v>986</v>
      </c>
      <c r="G25" s="3387" t="s">
        <v>986</v>
      </c>
      <c r="H25" s="3387" t="s">
        <v>986</v>
      </c>
      <c r="I25" s="3387" t="s">
        <v>986</v>
      </c>
      <c r="J25" s="3387" t="s">
        <v>986</v>
      </c>
    </row>
    <row r="26" spans="1:10" x14ac:dyDescent="0.2">
      <c r="A26" s="3465" t="s">
        <v>1620</v>
      </c>
      <c r="B26" s="3387" t="s">
        <v>986</v>
      </c>
      <c r="C26" s="3387" t="s">
        <v>986</v>
      </c>
      <c r="D26" s="3387" t="s">
        <v>986</v>
      </c>
      <c r="E26" s="3387" t="s">
        <v>986</v>
      </c>
      <c r="F26" s="3387" t="s">
        <v>986</v>
      </c>
      <c r="G26" s="3387" t="s">
        <v>986</v>
      </c>
      <c r="H26" s="3387" t="s">
        <v>986</v>
      </c>
      <c r="I26" s="3387" t="s">
        <v>986</v>
      </c>
      <c r="J26" s="3387" t="s">
        <v>986</v>
      </c>
    </row>
    <row r="27" spans="1:10" x14ac:dyDescent="0.2">
      <c r="A27" s="3465" t="s">
        <v>1619</v>
      </c>
      <c r="B27" s="3387" t="s">
        <v>986</v>
      </c>
      <c r="C27" s="3387" t="s">
        <v>986</v>
      </c>
      <c r="D27" s="3387" t="s">
        <v>986</v>
      </c>
      <c r="E27" s="3387" t="s">
        <v>986</v>
      </c>
      <c r="F27" s="3387" t="s">
        <v>986</v>
      </c>
      <c r="G27" s="3387" t="s">
        <v>986</v>
      </c>
      <c r="H27" s="3387" t="s">
        <v>986</v>
      </c>
      <c r="I27" s="3387" t="s">
        <v>986</v>
      </c>
      <c r="J27" s="3387" t="s">
        <v>986</v>
      </c>
    </row>
    <row r="28" spans="1:10" x14ac:dyDescent="0.2">
      <c r="A28" s="3465" t="s">
        <v>1618</v>
      </c>
      <c r="B28" s="3387" t="s">
        <v>986</v>
      </c>
      <c r="C28" s="3387" t="s">
        <v>986</v>
      </c>
      <c r="D28" s="3387" t="s">
        <v>986</v>
      </c>
      <c r="E28" s="3387" t="s">
        <v>986</v>
      </c>
      <c r="F28" s="3387" t="s">
        <v>986</v>
      </c>
      <c r="G28" s="3387" t="s">
        <v>986</v>
      </c>
      <c r="H28" s="3387" t="s">
        <v>986</v>
      </c>
      <c r="I28" s="3387" t="s">
        <v>986</v>
      </c>
      <c r="J28" s="3387" t="s">
        <v>986</v>
      </c>
    </row>
    <row r="29" spans="1:10" x14ac:dyDescent="0.2">
      <c r="A29" s="3465" t="s">
        <v>1617</v>
      </c>
      <c r="B29" s="3387" t="s">
        <v>986</v>
      </c>
      <c r="C29" s="3387" t="s">
        <v>986</v>
      </c>
      <c r="D29" s="3387" t="s">
        <v>986</v>
      </c>
      <c r="E29" s="3387" t="s">
        <v>986</v>
      </c>
      <c r="F29" s="3387" t="s">
        <v>986</v>
      </c>
      <c r="G29" s="3387" t="s">
        <v>986</v>
      </c>
      <c r="H29" s="3387" t="s">
        <v>986</v>
      </c>
      <c r="I29" s="3387" t="s">
        <v>986</v>
      </c>
      <c r="J29" s="3387" t="s">
        <v>986</v>
      </c>
    </row>
    <row r="30" spans="1:10" x14ac:dyDescent="0.2">
      <c r="A30" s="3465" t="s">
        <v>1616</v>
      </c>
      <c r="B30" s="3387" t="s">
        <v>986</v>
      </c>
      <c r="C30" s="3387" t="s">
        <v>986</v>
      </c>
      <c r="D30" s="3387" t="s">
        <v>986</v>
      </c>
      <c r="E30" s="3387" t="s">
        <v>986</v>
      </c>
      <c r="F30" s="3387" t="s">
        <v>986</v>
      </c>
      <c r="G30" s="3387" t="s">
        <v>986</v>
      </c>
      <c r="H30" s="3387" t="s">
        <v>986</v>
      </c>
      <c r="I30" s="3387" t="s">
        <v>986</v>
      </c>
      <c r="J30" s="3387" t="s">
        <v>986</v>
      </c>
    </row>
    <row r="31" spans="1:10" x14ac:dyDescent="0.2">
      <c r="A31" s="3465" t="s">
        <v>1615</v>
      </c>
      <c r="B31" s="3387" t="s">
        <v>986</v>
      </c>
      <c r="C31" s="3387" t="s">
        <v>986</v>
      </c>
      <c r="D31" s="3387" t="s">
        <v>986</v>
      </c>
      <c r="E31" s="3387" t="s">
        <v>986</v>
      </c>
      <c r="F31" s="3387" t="s">
        <v>986</v>
      </c>
      <c r="G31" s="3387" t="s">
        <v>986</v>
      </c>
      <c r="H31" s="3387" t="s">
        <v>986</v>
      </c>
      <c r="I31" s="3387" t="s">
        <v>986</v>
      </c>
      <c r="J31" s="3387" t="s">
        <v>986</v>
      </c>
    </row>
    <row r="32" spans="1:10" x14ac:dyDescent="0.2">
      <c r="A32" s="3465" t="s">
        <v>1614</v>
      </c>
      <c r="B32" s="3387" t="s">
        <v>986</v>
      </c>
      <c r="C32" s="3387" t="s">
        <v>986</v>
      </c>
      <c r="D32" s="3387" t="s">
        <v>986</v>
      </c>
      <c r="E32" s="3387" t="s">
        <v>986</v>
      </c>
      <c r="F32" s="3387" t="s">
        <v>986</v>
      </c>
      <c r="G32" s="3387" t="s">
        <v>986</v>
      </c>
      <c r="H32" s="3387" t="s">
        <v>986</v>
      </c>
      <c r="I32" s="3387" t="s">
        <v>986</v>
      </c>
      <c r="J32" s="3387" t="s">
        <v>986</v>
      </c>
    </row>
    <row r="33" spans="1:10" x14ac:dyDescent="0.2">
      <c r="A33" s="3465" t="s">
        <v>1613</v>
      </c>
      <c r="B33" s="3387" t="s">
        <v>986</v>
      </c>
      <c r="C33" s="3387" t="s">
        <v>986</v>
      </c>
      <c r="D33" s="3387" t="s">
        <v>986</v>
      </c>
      <c r="E33" s="3387" t="s">
        <v>986</v>
      </c>
      <c r="F33" s="3387" t="s">
        <v>986</v>
      </c>
      <c r="G33" s="3387" t="s">
        <v>986</v>
      </c>
      <c r="H33" s="3387" t="s">
        <v>986</v>
      </c>
      <c r="I33" s="3387" t="s">
        <v>986</v>
      </c>
      <c r="J33" s="3387" t="s">
        <v>986</v>
      </c>
    </row>
    <row r="34" spans="1:10" x14ac:dyDescent="0.2">
      <c r="A34" s="3465" t="s">
        <v>1612</v>
      </c>
      <c r="B34" s="3387" t="s">
        <v>986</v>
      </c>
      <c r="C34" s="3387" t="s">
        <v>986</v>
      </c>
      <c r="D34" s="3387" t="s">
        <v>986</v>
      </c>
      <c r="E34" s="3387" t="s">
        <v>986</v>
      </c>
      <c r="F34" s="3387" t="s">
        <v>986</v>
      </c>
      <c r="G34" s="3387" t="s">
        <v>986</v>
      </c>
      <c r="H34" s="3387" t="s">
        <v>986</v>
      </c>
      <c r="I34" s="3387" t="s">
        <v>986</v>
      </c>
      <c r="J34" s="3387" t="s">
        <v>986</v>
      </c>
    </row>
    <row r="35" spans="1:10" x14ac:dyDescent="0.2">
      <c r="A35" s="3465" t="s">
        <v>1611</v>
      </c>
      <c r="B35" s="3387" t="s">
        <v>986</v>
      </c>
      <c r="C35" s="3387" t="s">
        <v>986</v>
      </c>
      <c r="D35" s="3387" t="s">
        <v>986</v>
      </c>
      <c r="E35" s="3387" t="s">
        <v>986</v>
      </c>
      <c r="F35" s="3387" t="s">
        <v>986</v>
      </c>
      <c r="G35" s="3387" t="s">
        <v>986</v>
      </c>
      <c r="H35" s="3387" t="s">
        <v>986</v>
      </c>
      <c r="I35" s="3387" t="s">
        <v>986</v>
      </c>
      <c r="J35" s="3387" t="s">
        <v>986</v>
      </c>
    </row>
    <row r="36" spans="1:10" x14ac:dyDescent="0.2">
      <c r="A36" s="3465" t="s">
        <v>1610</v>
      </c>
      <c r="B36" s="3387" t="s">
        <v>986</v>
      </c>
      <c r="C36" s="3387" t="s">
        <v>986</v>
      </c>
      <c r="D36" s="3387" t="s">
        <v>986</v>
      </c>
      <c r="E36" s="3387" t="s">
        <v>986</v>
      </c>
      <c r="F36" s="3387" t="s">
        <v>986</v>
      </c>
      <c r="G36" s="3387" t="s">
        <v>986</v>
      </c>
      <c r="H36" s="3387" t="s">
        <v>986</v>
      </c>
      <c r="I36" s="3387" t="s">
        <v>986</v>
      </c>
      <c r="J36" s="3387" t="s">
        <v>986</v>
      </c>
    </row>
    <row r="37" spans="1:10" x14ac:dyDescent="0.2">
      <c r="A37" s="3465" t="s">
        <v>1609</v>
      </c>
      <c r="B37" s="3387" t="s">
        <v>986</v>
      </c>
      <c r="C37" s="3387" t="s">
        <v>986</v>
      </c>
      <c r="D37" s="3387" t="s">
        <v>986</v>
      </c>
      <c r="E37" s="3387" t="s">
        <v>986</v>
      </c>
      <c r="F37" s="3387" t="s">
        <v>986</v>
      </c>
      <c r="G37" s="3387" t="s">
        <v>986</v>
      </c>
      <c r="H37" s="3387" t="s">
        <v>986</v>
      </c>
      <c r="I37" s="3387" t="s">
        <v>986</v>
      </c>
      <c r="J37" s="3387" t="s">
        <v>986</v>
      </c>
    </row>
    <row r="38" spans="1:10" x14ac:dyDescent="0.2">
      <c r="A38" s="3465" t="s">
        <v>1608</v>
      </c>
      <c r="B38" s="3387" t="s">
        <v>986</v>
      </c>
      <c r="C38" s="3387" t="s">
        <v>986</v>
      </c>
      <c r="D38" s="3387" t="s">
        <v>986</v>
      </c>
      <c r="E38" s="3387" t="s">
        <v>986</v>
      </c>
      <c r="F38" s="3387" t="s">
        <v>986</v>
      </c>
      <c r="G38" s="3387" t="s">
        <v>986</v>
      </c>
      <c r="H38" s="3387" t="s">
        <v>986</v>
      </c>
      <c r="I38" s="3387" t="s">
        <v>986</v>
      </c>
      <c r="J38" s="3387" t="s">
        <v>986</v>
      </c>
    </row>
    <row r="39" spans="1:10" x14ac:dyDescent="0.2">
      <c r="A39" s="3465" t="s">
        <v>1607</v>
      </c>
      <c r="B39" s="3387" t="s">
        <v>986</v>
      </c>
      <c r="C39" s="3387" t="s">
        <v>986</v>
      </c>
      <c r="D39" s="3387" t="s">
        <v>986</v>
      </c>
      <c r="E39" s="3387" t="s">
        <v>986</v>
      </c>
      <c r="F39" s="3387" t="s">
        <v>986</v>
      </c>
      <c r="G39" s="3387" t="s">
        <v>986</v>
      </c>
      <c r="H39" s="3387" t="s">
        <v>986</v>
      </c>
      <c r="I39" s="3387" t="s">
        <v>986</v>
      </c>
      <c r="J39" s="3387" t="s">
        <v>986</v>
      </c>
    </row>
    <row r="40" spans="1:10" x14ac:dyDescent="0.2">
      <c r="A40" s="3465" t="s">
        <v>1606</v>
      </c>
      <c r="B40" s="3387">
        <v>339361.22093000001</v>
      </c>
      <c r="C40" s="3387" t="s">
        <v>799</v>
      </c>
      <c r="D40" s="3387">
        <v>33857.630601999997</v>
      </c>
      <c r="E40" s="3387">
        <v>306200</v>
      </c>
      <c r="F40" s="3387">
        <v>589200</v>
      </c>
      <c r="G40" s="3387">
        <v>105500</v>
      </c>
      <c r="H40" s="3387">
        <v>335000</v>
      </c>
      <c r="I40" s="3387">
        <v>1165700</v>
      </c>
      <c r="J40" s="3387">
        <v>218100</v>
      </c>
    </row>
    <row r="41" spans="1:10" x14ac:dyDescent="0.2">
      <c r="A41" s="3465" t="s">
        <v>1605</v>
      </c>
      <c r="B41" s="3387">
        <v>264951.14730999997</v>
      </c>
      <c r="C41" s="3387">
        <v>1483000</v>
      </c>
      <c r="D41" s="3387">
        <v>16743.903237999999</v>
      </c>
      <c r="E41" s="3387">
        <v>264200</v>
      </c>
      <c r="F41" s="3387">
        <v>556000</v>
      </c>
      <c r="G41" s="3387">
        <v>102200</v>
      </c>
      <c r="H41" s="3387">
        <v>356000</v>
      </c>
      <c r="I41" s="3387">
        <v>1203700</v>
      </c>
      <c r="J41" s="3387">
        <v>223300</v>
      </c>
    </row>
    <row r="42" spans="1:10" x14ac:dyDescent="0.2">
      <c r="A42" s="3465" t="s">
        <v>1604</v>
      </c>
      <c r="B42" s="3387">
        <v>293062.29751</v>
      </c>
      <c r="C42" s="3387">
        <v>1735833</v>
      </c>
      <c r="D42" s="3387">
        <v>81816.536814000006</v>
      </c>
      <c r="E42" s="3387">
        <v>287000</v>
      </c>
      <c r="F42" s="3387">
        <v>536718</v>
      </c>
      <c r="G42" s="3387">
        <v>110747</v>
      </c>
      <c r="H42" s="3387">
        <v>317000</v>
      </c>
      <c r="I42" s="3387">
        <v>1034124</v>
      </c>
      <c r="J42" s="3387">
        <v>189060</v>
      </c>
    </row>
    <row r="43" spans="1:10" x14ac:dyDescent="0.2">
      <c r="A43" s="3465" t="s">
        <v>1603</v>
      </c>
      <c r="B43" s="3387">
        <v>362455.97227999999</v>
      </c>
      <c r="C43" s="3387">
        <v>1722000</v>
      </c>
      <c r="D43" s="3387">
        <v>75586.562791999997</v>
      </c>
      <c r="E43" s="3387">
        <v>414000</v>
      </c>
      <c r="F43" s="3387">
        <v>476600</v>
      </c>
      <c r="G43" s="3387">
        <v>107959</v>
      </c>
      <c r="H43" s="3387">
        <v>339000</v>
      </c>
      <c r="I43" s="3387">
        <v>880000</v>
      </c>
      <c r="J43" s="3387">
        <v>129765</v>
      </c>
    </row>
    <row r="44" spans="1:10" x14ac:dyDescent="0.2">
      <c r="A44" s="3465" t="s">
        <v>1602</v>
      </c>
      <c r="B44" s="3387">
        <v>384594.23787999997</v>
      </c>
      <c r="C44" s="3387">
        <v>2326000</v>
      </c>
      <c r="D44" s="3387">
        <v>67431.594259999998</v>
      </c>
      <c r="E44" s="3387">
        <v>432000</v>
      </c>
      <c r="F44" s="3387">
        <v>576000</v>
      </c>
      <c r="G44" s="3387">
        <v>126000</v>
      </c>
      <c r="H44" s="3387">
        <v>345000</v>
      </c>
      <c r="I44" s="3387">
        <v>1091000</v>
      </c>
      <c r="J44" s="3387">
        <v>242300</v>
      </c>
    </row>
    <row r="45" spans="1:10" x14ac:dyDescent="0.2">
      <c r="A45" s="3465" t="s">
        <v>1601</v>
      </c>
      <c r="B45" s="3387">
        <v>398208.91083000001</v>
      </c>
      <c r="C45" s="3387">
        <v>1921000</v>
      </c>
      <c r="D45" s="3387">
        <v>67950.787117999993</v>
      </c>
      <c r="E45" s="3387">
        <v>432000</v>
      </c>
      <c r="F45" s="3387">
        <v>570000</v>
      </c>
      <c r="G45" s="3387">
        <v>118000</v>
      </c>
      <c r="H45" s="3387">
        <v>345000</v>
      </c>
      <c r="I45" s="3387">
        <v>1044000</v>
      </c>
      <c r="J45" s="3387">
        <v>241500</v>
      </c>
    </row>
    <row r="46" spans="1:10" x14ac:dyDescent="0.2">
      <c r="A46" s="3465" t="s">
        <v>1600</v>
      </c>
      <c r="B46" s="3387">
        <v>456925.52717999998</v>
      </c>
      <c r="C46" s="3387">
        <v>1630000</v>
      </c>
      <c r="D46" s="3387">
        <v>69897.61937</v>
      </c>
      <c r="E46" s="3387">
        <v>432000</v>
      </c>
      <c r="F46" s="3387">
        <v>525100</v>
      </c>
      <c r="G46" s="3387">
        <v>124000</v>
      </c>
      <c r="H46" s="3387">
        <v>345000</v>
      </c>
      <c r="I46" s="3387">
        <v>1047000</v>
      </c>
      <c r="J46" s="3387">
        <v>241000</v>
      </c>
    </row>
    <row r="47" spans="1:10" x14ac:dyDescent="0.2">
      <c r="A47" s="3465" t="s">
        <v>1599</v>
      </c>
      <c r="B47" s="3387">
        <v>500541.25858000002</v>
      </c>
      <c r="C47" s="3387">
        <v>2354000</v>
      </c>
      <c r="D47" s="3387">
        <v>147676.93231</v>
      </c>
      <c r="E47" s="3387">
        <v>417000</v>
      </c>
      <c r="F47" s="3387">
        <v>724700</v>
      </c>
      <c r="G47" s="3387">
        <v>238800</v>
      </c>
      <c r="H47" s="3387">
        <v>391000</v>
      </c>
      <c r="I47" s="3387">
        <v>1147300</v>
      </c>
      <c r="J47" s="3387">
        <v>251500</v>
      </c>
    </row>
    <row r="48" spans="1:10" x14ac:dyDescent="0.2">
      <c r="A48" s="3465" t="s">
        <v>1598</v>
      </c>
      <c r="B48" s="3387">
        <v>443284.67806000001</v>
      </c>
      <c r="C48" s="3387">
        <v>4383000</v>
      </c>
      <c r="D48" s="3387">
        <v>125233.00418</v>
      </c>
      <c r="E48" s="3387">
        <v>405000</v>
      </c>
      <c r="F48" s="3387">
        <v>990000</v>
      </c>
      <c r="G48" s="3387">
        <v>199500</v>
      </c>
      <c r="H48" s="3387">
        <v>393000</v>
      </c>
      <c r="I48" s="3387">
        <v>1154000</v>
      </c>
      <c r="J48" s="3387">
        <v>236000</v>
      </c>
    </row>
    <row r="49" spans="1:10" x14ac:dyDescent="0.2">
      <c r="A49" s="3465" t="s">
        <v>1597</v>
      </c>
      <c r="B49" s="3387">
        <v>441924.20535</v>
      </c>
      <c r="C49" s="3387">
        <v>4744000</v>
      </c>
      <c r="D49" s="3387">
        <v>120037.53537</v>
      </c>
      <c r="E49" s="3387">
        <v>352000</v>
      </c>
      <c r="F49" s="3387">
        <v>1036000</v>
      </c>
      <c r="G49" s="3387">
        <v>207000</v>
      </c>
      <c r="H49" s="3387">
        <v>397000</v>
      </c>
      <c r="I49" s="3387">
        <v>1185000</v>
      </c>
      <c r="J49" s="3387">
        <v>254000</v>
      </c>
    </row>
    <row r="50" spans="1:10" x14ac:dyDescent="0.2">
      <c r="A50" s="3465" t="s">
        <v>1596</v>
      </c>
      <c r="B50" s="3387">
        <v>411572.85252999997</v>
      </c>
      <c r="C50" s="3387">
        <v>2925000</v>
      </c>
      <c r="D50" s="3387">
        <v>105434.24169</v>
      </c>
      <c r="E50" s="3387">
        <v>448000</v>
      </c>
      <c r="F50" s="3387">
        <v>1032000</v>
      </c>
      <c r="G50" s="3387">
        <v>144000</v>
      </c>
      <c r="H50" s="3387">
        <v>263000</v>
      </c>
      <c r="I50" s="3387">
        <v>1151000</v>
      </c>
      <c r="J50" s="3387">
        <v>239270</v>
      </c>
    </row>
    <row r="51" spans="1:10" x14ac:dyDescent="0.2">
      <c r="A51" s="3465" t="s">
        <v>1595</v>
      </c>
      <c r="B51" s="3387">
        <v>328396.21136999998</v>
      </c>
      <c r="C51" s="3387">
        <v>2659000</v>
      </c>
      <c r="D51" s="3387">
        <v>80012.220799999996</v>
      </c>
      <c r="E51" s="3387">
        <v>378000</v>
      </c>
      <c r="F51" s="3387">
        <v>1088000</v>
      </c>
      <c r="G51" s="3387">
        <v>94018</v>
      </c>
      <c r="H51" s="3387">
        <v>389000</v>
      </c>
      <c r="I51" s="3387">
        <v>1139150</v>
      </c>
      <c r="J51" s="3387">
        <v>200170</v>
      </c>
    </row>
    <row r="52" spans="1:10" x14ac:dyDescent="0.2">
      <c r="A52" s="3465" t="s">
        <v>1594</v>
      </c>
      <c r="B52" s="3387">
        <v>270229.17060000001</v>
      </c>
      <c r="C52" s="3387">
        <v>2679269</v>
      </c>
      <c r="D52" s="3387">
        <v>62093.014913999999</v>
      </c>
      <c r="E52" s="3387">
        <v>350000</v>
      </c>
      <c r="F52" s="3387">
        <v>1184198</v>
      </c>
      <c r="G52" s="3387">
        <v>108652</v>
      </c>
      <c r="H52" s="3387">
        <v>383728</v>
      </c>
      <c r="I52" s="3387">
        <v>1138274</v>
      </c>
      <c r="J52" s="3387">
        <v>239011</v>
      </c>
    </row>
    <row r="53" spans="1:10" x14ac:dyDescent="0.2">
      <c r="A53" s="3465" t="s">
        <v>1593</v>
      </c>
      <c r="B53" s="3387">
        <v>309128.22749000002</v>
      </c>
      <c r="C53" s="3387">
        <v>2301681</v>
      </c>
      <c r="D53" s="3387">
        <v>66907.330585000003</v>
      </c>
      <c r="E53" s="3387">
        <v>401000</v>
      </c>
      <c r="F53" s="3387">
        <v>1298779</v>
      </c>
      <c r="G53" s="3387">
        <v>151792</v>
      </c>
      <c r="H53" s="3387">
        <v>388331</v>
      </c>
      <c r="I53" s="3387">
        <v>1165920</v>
      </c>
      <c r="J53" s="3387">
        <v>230331</v>
      </c>
    </row>
    <row r="54" spans="1:10" x14ac:dyDescent="0.2">
      <c r="A54" s="3465" t="s">
        <v>1592</v>
      </c>
      <c r="B54" s="3387">
        <v>275317.00290999998</v>
      </c>
      <c r="C54" s="3387">
        <v>2350616</v>
      </c>
      <c r="D54" s="3387">
        <v>55286.340595000001</v>
      </c>
      <c r="E54" s="3387">
        <v>360000</v>
      </c>
      <c r="F54" s="3387">
        <v>1467745</v>
      </c>
      <c r="G54" s="3387">
        <v>172841</v>
      </c>
      <c r="H54" s="3387">
        <v>402043</v>
      </c>
      <c r="I54" s="3387">
        <v>1219631</v>
      </c>
      <c r="J54" s="3387">
        <v>275522</v>
      </c>
    </row>
    <row r="55" spans="1:10" x14ac:dyDescent="0.2">
      <c r="A55" s="3465" t="s">
        <v>1591</v>
      </c>
      <c r="B55" s="3387">
        <v>312454.51329999999</v>
      </c>
      <c r="C55" s="3387">
        <v>2200547</v>
      </c>
      <c r="D55" s="3387">
        <v>58496.597637999999</v>
      </c>
      <c r="E55" s="3387">
        <v>345000</v>
      </c>
      <c r="F55" s="3387">
        <v>1490074</v>
      </c>
      <c r="G55" s="3387">
        <v>115850</v>
      </c>
      <c r="H55" s="3387">
        <v>422624</v>
      </c>
      <c r="I55" s="3387">
        <v>1207876</v>
      </c>
      <c r="J55" s="3387">
        <v>307525</v>
      </c>
    </row>
    <row r="56" spans="1:10" x14ac:dyDescent="0.2">
      <c r="A56" s="3465" t="s">
        <v>1590</v>
      </c>
      <c r="B56" s="3387">
        <v>314735.21117000002</v>
      </c>
      <c r="C56" s="3387">
        <v>2650861</v>
      </c>
      <c r="D56" s="3387">
        <v>54256.905804000002</v>
      </c>
      <c r="E56" s="3387">
        <v>350500</v>
      </c>
      <c r="F56" s="3387">
        <v>1612722</v>
      </c>
      <c r="G56" s="3387">
        <v>169412</v>
      </c>
      <c r="H56" s="3387">
        <v>441917</v>
      </c>
      <c r="I56" s="3387">
        <v>1205837</v>
      </c>
      <c r="J56" s="3387">
        <v>266551</v>
      </c>
    </row>
    <row r="57" spans="1:10" x14ac:dyDescent="0.2">
      <c r="A57" s="3465" t="s">
        <v>1589</v>
      </c>
      <c r="B57" s="3387">
        <v>317015.90904</v>
      </c>
      <c r="C57" s="3387">
        <v>2298201</v>
      </c>
      <c r="D57" s="3387">
        <v>49827.584876000001</v>
      </c>
      <c r="E57" s="3387">
        <v>356000</v>
      </c>
      <c r="F57" s="3387">
        <v>1916925</v>
      </c>
      <c r="G57" s="3387">
        <v>160117</v>
      </c>
      <c r="H57" s="3387">
        <v>416936</v>
      </c>
      <c r="I57" s="3387">
        <v>1302009</v>
      </c>
      <c r="J57" s="3387">
        <v>264939</v>
      </c>
    </row>
    <row r="58" spans="1:10" x14ac:dyDescent="0.2">
      <c r="A58" s="3465" t="s">
        <v>1588</v>
      </c>
      <c r="B58" s="3387">
        <v>324759.82900999999</v>
      </c>
      <c r="C58" s="3387">
        <v>1775438</v>
      </c>
      <c r="D58" s="3387">
        <v>45991.036334999997</v>
      </c>
      <c r="E58" s="3387">
        <v>446000</v>
      </c>
      <c r="F58" s="3387">
        <v>1876119</v>
      </c>
      <c r="G58" s="3387">
        <v>224095</v>
      </c>
      <c r="H58" s="3387">
        <v>417936</v>
      </c>
      <c r="I58" s="3387">
        <v>1208739</v>
      </c>
      <c r="J58" s="3387">
        <v>253737</v>
      </c>
    </row>
    <row r="59" spans="1:10" x14ac:dyDescent="0.2">
      <c r="A59" s="3465" t="s">
        <v>1587</v>
      </c>
      <c r="B59" s="3387">
        <v>332503.74897999997</v>
      </c>
      <c r="C59" s="3387">
        <v>1246520</v>
      </c>
      <c r="D59" s="3387">
        <v>41839.527127000001</v>
      </c>
      <c r="E59" s="3387">
        <v>446000</v>
      </c>
      <c r="F59" s="3387">
        <v>1009395</v>
      </c>
      <c r="G59" s="3387">
        <v>169400</v>
      </c>
      <c r="H59" s="3387">
        <v>518936</v>
      </c>
      <c r="I59" s="3387">
        <v>980856</v>
      </c>
      <c r="J59" s="3387">
        <v>238827</v>
      </c>
    </row>
    <row r="60" spans="1:10" x14ac:dyDescent="0.2">
      <c r="A60" s="3465" t="s">
        <v>1586</v>
      </c>
      <c r="B60" s="3387">
        <v>340247.66895000002</v>
      </c>
      <c r="C60" s="3387">
        <v>1310706</v>
      </c>
      <c r="D60" s="3387">
        <v>37373.057250999998</v>
      </c>
      <c r="E60" s="3387">
        <v>435414</v>
      </c>
      <c r="F60" s="3387">
        <v>882935</v>
      </c>
      <c r="G60" s="3387">
        <v>158193</v>
      </c>
      <c r="H60" s="3387">
        <v>534932</v>
      </c>
      <c r="I60" s="3387">
        <v>1026095</v>
      </c>
      <c r="J60" s="3387">
        <v>233427</v>
      </c>
    </row>
    <row r="61" spans="1:10" x14ac:dyDescent="0.2">
      <c r="A61" s="3465" t="s">
        <v>1585</v>
      </c>
      <c r="B61" s="3387">
        <v>357748.5</v>
      </c>
      <c r="C61" s="3387">
        <v>1356124</v>
      </c>
      <c r="D61" s="3387">
        <v>33653.188562000003</v>
      </c>
      <c r="E61" s="3387">
        <v>367000</v>
      </c>
      <c r="F61" s="3387">
        <v>1027444</v>
      </c>
      <c r="G61" s="3387">
        <v>25690</v>
      </c>
      <c r="H61" s="3387">
        <v>522699</v>
      </c>
      <c r="I61" s="3387">
        <v>993767</v>
      </c>
      <c r="J61" s="3387">
        <v>254882</v>
      </c>
    </row>
    <row r="62" spans="1:10" x14ac:dyDescent="0.2">
      <c r="A62" s="3465" t="s">
        <v>1584</v>
      </c>
      <c r="B62" s="3387">
        <v>353762</v>
      </c>
      <c r="C62" s="3387">
        <v>1370738</v>
      </c>
      <c r="D62" s="3387">
        <v>43304.341958999998</v>
      </c>
      <c r="E62" s="3387">
        <v>340000</v>
      </c>
      <c r="F62" s="3387">
        <v>745524</v>
      </c>
      <c r="G62" s="3387">
        <v>37400</v>
      </c>
      <c r="H62" s="3387">
        <v>522110</v>
      </c>
      <c r="I62" s="3387">
        <v>727965</v>
      </c>
      <c r="J62" s="3387">
        <v>155479</v>
      </c>
    </row>
    <row r="63" spans="1:10" x14ac:dyDescent="0.2">
      <c r="A63" s="3465" t="s">
        <v>1583</v>
      </c>
      <c r="B63" s="3387">
        <v>357602</v>
      </c>
      <c r="C63" s="3387">
        <v>1886000</v>
      </c>
      <c r="D63" s="3387">
        <v>55307.922826000002</v>
      </c>
      <c r="E63" s="3387">
        <v>346000</v>
      </c>
      <c r="F63" s="3387">
        <v>749612</v>
      </c>
      <c r="G63" s="3387">
        <v>41520</v>
      </c>
      <c r="H63" s="3387">
        <v>522110</v>
      </c>
      <c r="I63" s="3387">
        <v>761665</v>
      </c>
      <c r="J63" s="3387">
        <v>127898</v>
      </c>
    </row>
    <row r="64" spans="1:10" x14ac:dyDescent="0.2">
      <c r="A64" s="3465" t="s">
        <v>1582</v>
      </c>
      <c r="B64" s="3387">
        <v>415219.66126000002</v>
      </c>
      <c r="C64" s="3387">
        <v>1878000</v>
      </c>
      <c r="D64" s="3387">
        <v>69046.117394000001</v>
      </c>
      <c r="E64" s="3387">
        <v>367000</v>
      </c>
      <c r="F64" s="3387">
        <v>749612</v>
      </c>
      <c r="G64" s="3387">
        <v>51380</v>
      </c>
      <c r="H64" s="3387">
        <v>522110</v>
      </c>
      <c r="I64" s="3387">
        <v>761665</v>
      </c>
      <c r="J64" s="3387">
        <v>127898</v>
      </c>
    </row>
    <row r="65" spans="1:16" x14ac:dyDescent="0.2">
      <c r="A65" s="3465" t="s">
        <v>1581</v>
      </c>
      <c r="B65" s="3387">
        <v>427699.74852000002</v>
      </c>
      <c r="C65" s="3387">
        <v>2199000</v>
      </c>
      <c r="D65" s="3387">
        <v>87222.290177999996</v>
      </c>
      <c r="E65" s="3387">
        <v>387000</v>
      </c>
      <c r="F65" s="3387">
        <v>749612</v>
      </c>
      <c r="G65" s="3387">
        <v>51380</v>
      </c>
      <c r="H65" s="3387">
        <v>481520</v>
      </c>
      <c r="I65" s="3387">
        <v>761665</v>
      </c>
      <c r="J65" s="3387">
        <v>127898</v>
      </c>
    </row>
    <row r="66" spans="1:16" x14ac:dyDescent="0.2">
      <c r="A66" s="3465" t="s">
        <v>1580</v>
      </c>
      <c r="B66" s="3387">
        <v>448401.01948999998</v>
      </c>
      <c r="C66" s="3387">
        <v>1634000</v>
      </c>
      <c r="D66" s="3387">
        <v>58647.385440999999</v>
      </c>
      <c r="E66" s="3387">
        <v>387000</v>
      </c>
      <c r="F66" s="3387">
        <v>749612</v>
      </c>
      <c r="G66" s="3387">
        <v>51380</v>
      </c>
      <c r="H66" s="3387">
        <v>481520</v>
      </c>
      <c r="I66" s="3387">
        <v>761665</v>
      </c>
      <c r="J66" s="3387">
        <v>127898</v>
      </c>
    </row>
    <row r="67" spans="1:16" x14ac:dyDescent="0.2">
      <c r="A67" s="3465" t="s">
        <v>1579</v>
      </c>
      <c r="B67" s="3387">
        <v>382000</v>
      </c>
      <c r="C67" s="3387">
        <v>1634000</v>
      </c>
      <c r="D67" s="3387">
        <v>56440</v>
      </c>
      <c r="E67" s="3387">
        <v>428300</v>
      </c>
      <c r="F67" s="3387">
        <v>877554</v>
      </c>
      <c r="G67" s="3387">
        <v>55679</v>
      </c>
      <c r="H67" s="3387">
        <v>147000</v>
      </c>
      <c r="I67" s="3387">
        <v>873067</v>
      </c>
      <c r="J67" s="3387">
        <v>115996</v>
      </c>
    </row>
    <row r="68" spans="1:16" x14ac:dyDescent="0.2">
      <c r="A68" s="3465" t="s">
        <v>1578</v>
      </c>
      <c r="B68" s="3387">
        <v>270315</v>
      </c>
      <c r="C68" s="3387">
        <v>1634000</v>
      </c>
      <c r="D68" s="3387">
        <v>36792</v>
      </c>
      <c r="E68" s="3387">
        <v>428300</v>
      </c>
      <c r="F68" s="3387">
        <v>877554</v>
      </c>
      <c r="G68" s="3387">
        <v>55679</v>
      </c>
      <c r="H68" s="3387">
        <v>147000</v>
      </c>
      <c r="I68" s="3387">
        <v>873067</v>
      </c>
      <c r="J68" s="3387">
        <v>115996</v>
      </c>
    </row>
    <row r="69" spans="1:16" x14ac:dyDescent="0.2">
      <c r="A69" s="766" t="s">
        <v>1577</v>
      </c>
      <c r="B69" s="660"/>
      <c r="C69" s="660"/>
      <c r="D69" s="660"/>
      <c r="E69" s="660"/>
      <c r="F69" s="660"/>
      <c r="G69" s="660"/>
      <c r="H69" s="660"/>
      <c r="I69" s="660"/>
      <c r="J69" s="660"/>
      <c r="K69" s="660"/>
      <c r="L69" s="660"/>
      <c r="M69" s="660"/>
      <c r="N69" s="660"/>
      <c r="O69" s="660"/>
      <c r="P69" s="660"/>
    </row>
    <row r="70" spans="1:16" ht="13.5" x14ac:dyDescent="0.2">
      <c r="A70" s="5610" t="s">
        <v>1576</v>
      </c>
      <c r="B70" s="5610"/>
      <c r="C70" s="5610"/>
      <c r="D70" s="5610"/>
      <c r="E70" s="5610"/>
      <c r="F70" s="5610"/>
      <c r="G70" s="5610"/>
      <c r="H70" s="5610"/>
      <c r="I70" s="5610"/>
      <c r="J70" s="5610"/>
      <c r="K70" s="660"/>
      <c r="L70" s="660"/>
      <c r="M70" s="660"/>
      <c r="N70" s="660"/>
      <c r="O70" s="660"/>
      <c r="P70" s="660"/>
    </row>
    <row r="71" spans="1:16" ht="13.5" x14ac:dyDescent="0.2">
      <c r="A71" s="5610" t="s">
        <v>1575</v>
      </c>
      <c r="B71" s="5610"/>
      <c r="C71" s="5610"/>
      <c r="D71" s="5610"/>
      <c r="E71" s="5610"/>
      <c r="F71" s="5610"/>
      <c r="G71" s="5610"/>
      <c r="H71" s="5610"/>
      <c r="I71" s="5610"/>
      <c r="J71" s="5610"/>
      <c r="K71" s="660"/>
      <c r="L71" s="660"/>
      <c r="M71" s="660"/>
      <c r="N71" s="660"/>
      <c r="O71" s="660"/>
      <c r="P71" s="660"/>
    </row>
    <row r="72" spans="1:16" ht="13.5" x14ac:dyDescent="0.2">
      <c r="A72" s="5610" t="s">
        <v>1574</v>
      </c>
      <c r="B72" s="5610"/>
      <c r="C72" s="5610"/>
      <c r="D72" s="5610"/>
      <c r="E72" s="5610"/>
      <c r="F72" s="5610"/>
      <c r="G72" s="5610"/>
      <c r="H72" s="5610"/>
      <c r="I72" s="5610"/>
      <c r="J72" s="5610"/>
      <c r="K72" s="660"/>
      <c r="L72" s="660"/>
      <c r="M72" s="660"/>
      <c r="N72" s="660"/>
      <c r="O72" s="660"/>
      <c r="P72" s="660"/>
    </row>
    <row r="73" spans="1:16" x14ac:dyDescent="0.2">
      <c r="A73" s="5611" t="s">
        <v>1573</v>
      </c>
      <c r="B73" s="5611"/>
      <c r="C73" s="5611"/>
      <c r="D73" s="5611"/>
      <c r="E73" s="5611"/>
      <c r="F73" s="5611"/>
      <c r="G73" s="5611"/>
      <c r="H73" s="5611"/>
      <c r="I73" s="5611"/>
      <c r="J73" s="5611"/>
      <c r="K73" s="660"/>
      <c r="L73" s="660"/>
      <c r="M73" s="660"/>
      <c r="N73" s="660"/>
      <c r="O73" s="660"/>
      <c r="P73" s="660"/>
    </row>
    <row r="74" spans="1:16" x14ac:dyDescent="0.2">
      <c r="A74" s="3319"/>
      <c r="B74" s="3319"/>
      <c r="C74" s="3319"/>
      <c r="D74" s="3319"/>
      <c r="E74" s="3319"/>
      <c r="F74" s="3319"/>
      <c r="G74" s="3319"/>
      <c r="H74" s="3319"/>
      <c r="I74" s="3319"/>
      <c r="J74" s="3319"/>
      <c r="K74" s="660"/>
      <c r="L74" s="660"/>
      <c r="M74" s="660"/>
      <c r="N74" s="660"/>
      <c r="O74" s="660"/>
      <c r="P74" s="660"/>
    </row>
    <row r="75" spans="1:16" ht="12.75" x14ac:dyDescent="0.2">
      <c r="A75" s="765" t="s">
        <v>1256</v>
      </c>
      <c r="B75" s="3319"/>
      <c r="C75" s="3319"/>
      <c r="D75" s="3319"/>
      <c r="E75" s="3319"/>
      <c r="F75" s="3319"/>
      <c r="G75" s="3319"/>
      <c r="H75" s="3319"/>
      <c r="I75" s="3319"/>
      <c r="J75" s="3319"/>
      <c r="K75" s="660"/>
      <c r="L75" s="660"/>
      <c r="M75" s="660"/>
      <c r="N75" s="660"/>
      <c r="O75" s="660"/>
      <c r="P75" s="660"/>
    </row>
    <row r="76" spans="1:16" x14ac:dyDescent="0.2">
      <c r="A76" s="764" t="s">
        <v>1572</v>
      </c>
      <c r="B76" s="3319"/>
      <c r="C76" s="3319"/>
      <c r="D76" s="3319"/>
      <c r="E76" s="3319"/>
      <c r="F76" s="3319"/>
      <c r="G76" s="3319"/>
      <c r="H76" s="3319"/>
      <c r="I76" s="3319"/>
      <c r="J76" s="3319"/>
      <c r="K76" s="660"/>
      <c r="L76" s="660"/>
      <c r="M76" s="660"/>
      <c r="N76" s="660"/>
      <c r="O76" s="660"/>
      <c r="P76" s="660"/>
    </row>
    <row r="77" spans="1:16" ht="14.25" customHeight="1" x14ac:dyDescent="0.2">
      <c r="A77" s="3464" t="s">
        <v>1571</v>
      </c>
      <c r="B77" s="3387">
        <v>0.38600000000000001</v>
      </c>
      <c r="C77" s="3319"/>
      <c r="D77" s="3319"/>
      <c r="E77" s="3319"/>
      <c r="F77" s="3319"/>
      <c r="G77" s="3319"/>
      <c r="H77" s="3319"/>
      <c r="I77" s="3319"/>
      <c r="J77" s="3319"/>
      <c r="K77" s="660"/>
      <c r="L77" s="660"/>
      <c r="M77" s="660"/>
      <c r="N77" s="660"/>
      <c r="O77" s="660"/>
      <c r="P77" s="660"/>
    </row>
    <row r="78" spans="1:16" ht="15.75" customHeight="1" x14ac:dyDescent="0.2">
      <c r="A78" s="3390" t="s">
        <v>1570</v>
      </c>
      <c r="B78" s="3387">
        <v>0.26088466967000001</v>
      </c>
      <c r="C78" s="3319"/>
      <c r="D78" s="3319"/>
      <c r="E78" s="3319"/>
      <c r="F78" s="3319"/>
      <c r="G78" s="3319"/>
      <c r="H78" s="3319"/>
      <c r="I78" s="3319"/>
      <c r="J78" s="3319"/>
      <c r="K78" s="660"/>
      <c r="L78" s="660"/>
      <c r="M78" s="660"/>
      <c r="N78" s="660"/>
      <c r="O78" s="660"/>
      <c r="P78" s="660"/>
    </row>
    <row r="79" spans="1:16" x14ac:dyDescent="0.2">
      <c r="A79" s="3390" t="s">
        <v>1569</v>
      </c>
      <c r="B79" s="3387">
        <v>0.26900000000000002</v>
      </c>
    </row>
    <row r="80" spans="1:16" ht="11.25" customHeight="1" x14ac:dyDescent="0.2">
      <c r="A80" s="3464" t="s">
        <v>1568</v>
      </c>
      <c r="B80" s="3387" t="s">
        <v>986</v>
      </c>
      <c r="C80" s="3319"/>
      <c r="D80" s="3319"/>
      <c r="E80" s="3319"/>
      <c r="F80" s="3319"/>
      <c r="G80" s="3319"/>
      <c r="H80" s="3319"/>
      <c r="I80" s="3319"/>
      <c r="J80" s="3319"/>
      <c r="K80" s="660"/>
      <c r="L80" s="660"/>
      <c r="M80" s="660"/>
      <c r="N80" s="660"/>
      <c r="O80" s="660"/>
      <c r="P80" s="660"/>
    </row>
    <row r="81" spans="1:16" x14ac:dyDescent="0.2">
      <c r="A81" s="3464" t="s">
        <v>1567</v>
      </c>
      <c r="B81" s="3387" t="s">
        <v>986</v>
      </c>
      <c r="C81" s="3319"/>
      <c r="D81" s="3319"/>
      <c r="E81" s="3319"/>
      <c r="F81" s="3319"/>
      <c r="G81" s="3319"/>
      <c r="H81" s="3319"/>
      <c r="I81" s="3319"/>
      <c r="J81" s="3319"/>
      <c r="K81" s="660"/>
      <c r="L81" s="660"/>
      <c r="M81" s="660"/>
      <c r="N81" s="660"/>
      <c r="O81" s="660"/>
      <c r="P81" s="660"/>
    </row>
    <row r="82" spans="1:16" x14ac:dyDescent="0.2">
      <c r="A82" s="660"/>
      <c r="B82" s="3319"/>
      <c r="C82" s="3319"/>
      <c r="D82" s="3319"/>
      <c r="E82" s="3319"/>
      <c r="F82" s="3319"/>
      <c r="G82" s="3319"/>
      <c r="H82" s="3319"/>
      <c r="I82" s="3319"/>
      <c r="J82" s="3319"/>
      <c r="K82" s="660"/>
      <c r="L82" s="660"/>
      <c r="M82" s="660"/>
      <c r="N82" s="660"/>
      <c r="O82" s="660"/>
      <c r="P82" s="660"/>
    </row>
    <row r="83" spans="1:16" ht="13.5" x14ac:dyDescent="0.2">
      <c r="A83" s="5612" t="s">
        <v>1566</v>
      </c>
      <c r="B83" s="5612"/>
      <c r="C83" s="5612"/>
      <c r="D83" s="5612"/>
      <c r="E83" s="5612"/>
      <c r="F83" s="5612"/>
      <c r="G83" s="5612"/>
      <c r="H83" s="5612"/>
      <c r="I83" s="5612"/>
      <c r="J83" s="5612"/>
      <c r="K83" s="660"/>
      <c r="L83" s="660"/>
      <c r="M83" s="660"/>
      <c r="N83" s="660"/>
      <c r="O83" s="660"/>
      <c r="P83" s="660"/>
    </row>
    <row r="84" spans="1:16" x14ac:dyDescent="0.2">
      <c r="A84" s="5534" t="s">
        <v>982</v>
      </c>
      <c r="B84" s="5590"/>
      <c r="C84" s="5590"/>
      <c r="D84" s="5590"/>
      <c r="E84" s="5590"/>
      <c r="F84" s="5590"/>
      <c r="G84" s="5590"/>
      <c r="H84" s="5590"/>
      <c r="I84" s="5590"/>
      <c r="J84" s="5535"/>
      <c r="K84" s="660"/>
      <c r="L84" s="660"/>
      <c r="M84" s="660"/>
      <c r="N84" s="660"/>
      <c r="O84" s="660"/>
      <c r="P84" s="660"/>
    </row>
    <row r="85" spans="1:16" x14ac:dyDescent="0.2">
      <c r="A85" s="3398" t="s">
        <v>980</v>
      </c>
      <c r="B85" s="5473" t="s">
        <v>986</v>
      </c>
      <c r="C85" s="5508"/>
      <c r="D85" s="5508"/>
      <c r="E85" s="5508"/>
      <c r="F85" s="5508"/>
      <c r="G85" s="5508"/>
      <c r="H85" s="5508"/>
      <c r="I85" s="5508"/>
      <c r="J85" s="5508"/>
    </row>
  </sheetData>
  <sheetProtection password="A754" sheet="1" objects="1" scenarios="1"/>
  <mergeCells count="11">
    <mergeCell ref="A71:J71"/>
    <mergeCell ref="A72:J72"/>
    <mergeCell ref="A73:J73"/>
    <mergeCell ref="B85:J85"/>
    <mergeCell ref="A84:J84"/>
    <mergeCell ref="A83:J83"/>
    <mergeCell ref="A6:A8"/>
    <mergeCell ref="B6:D6"/>
    <mergeCell ref="E6:G6"/>
    <mergeCell ref="H6:J6"/>
    <mergeCell ref="A70:J70"/>
  </mergeCells>
  <pageMargins left="0.75" right="0.75" top="1" bottom="1" header="0.5" footer="0.5"/>
  <pageSetup paperSize="9" scale="48"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C03A0-EB50-428C-80F3-9893411D0302}">
  <sheetPr codeName="Ark7">
    <tabColor rgb="FF7030A0"/>
    <pageSetUpPr fitToPage="1"/>
  </sheetPr>
  <dimension ref="A1:AY125"/>
  <sheetViews>
    <sheetView showGridLines="0" showZeros="0" topLeftCell="A4" zoomScale="70" zoomScaleNormal="70" workbookViewId="0">
      <selection activeCell="A4" sqref="A4"/>
    </sheetView>
  </sheetViews>
  <sheetFormatPr defaultColWidth="9.140625" defaultRowHeight="12.75" x14ac:dyDescent="0.2"/>
  <cols>
    <col min="1" max="9" width="7.140625" style="12" customWidth="1"/>
    <col min="10" max="12" width="7.140625" style="32" customWidth="1"/>
    <col min="13" max="26" width="7.140625" style="12" customWidth="1"/>
    <col min="27" max="27" width="8.7109375" style="12" customWidth="1"/>
    <col min="28" max="28" width="52.140625" style="12" bestFit="1" customWidth="1"/>
    <col min="29" max="32" width="5.7109375" style="12" customWidth="1"/>
    <col min="33" max="37" width="8.7109375" style="12" customWidth="1"/>
    <col min="38" max="46" width="7.140625" style="12" customWidth="1"/>
    <col min="47" max="16384" width="9.140625" style="12"/>
  </cols>
  <sheetData>
    <row r="1" spans="1:51" ht="15" customHeight="1" x14ac:dyDescent="0.2">
      <c r="A1" s="112" t="s">
        <v>17</v>
      </c>
      <c r="B1" s="9"/>
      <c r="C1" s="9"/>
      <c r="D1" s="5147">
        <f>'E2020'!D1</f>
        <v>1786</v>
      </c>
      <c r="E1" s="5148"/>
      <c r="F1" s="10"/>
      <c r="G1" s="10"/>
      <c r="H1" s="10"/>
      <c r="I1" s="10"/>
      <c r="J1" s="31"/>
      <c r="K1" s="31"/>
      <c r="L1" s="31"/>
      <c r="N1" s="10"/>
      <c r="O1" s="10"/>
      <c r="P1" s="10"/>
      <c r="Q1" s="10"/>
      <c r="R1" s="10"/>
      <c r="S1" s="10"/>
      <c r="T1" s="10"/>
      <c r="U1" s="10"/>
      <c r="V1" s="10"/>
      <c r="W1" s="10"/>
      <c r="X1" s="10"/>
      <c r="Y1" s="11"/>
      <c r="Z1" s="11"/>
      <c r="AA1" s="11"/>
      <c r="AB1" s="5149" t="s">
        <v>30</v>
      </c>
      <c r="AC1" s="11"/>
      <c r="AD1" s="11"/>
      <c r="AE1" s="11"/>
      <c r="AF1" s="11"/>
      <c r="AG1" s="10"/>
      <c r="AH1" s="10"/>
      <c r="AI1" s="10"/>
      <c r="AJ1" s="10"/>
      <c r="AK1" s="10"/>
      <c r="AL1" s="10"/>
      <c r="AM1" s="10"/>
      <c r="AN1" s="10"/>
      <c r="AO1" s="10"/>
      <c r="AP1" s="10"/>
      <c r="AQ1" s="10"/>
      <c r="AR1" s="10"/>
      <c r="AS1" s="10"/>
      <c r="AT1" s="10"/>
    </row>
    <row r="2" spans="1:51" ht="15" customHeight="1" x14ac:dyDescent="0.25">
      <c r="A2" s="113" t="s">
        <v>19</v>
      </c>
      <c r="B2" s="10"/>
      <c r="C2" s="10"/>
      <c r="D2" s="296">
        <f>'E2020'!D2</f>
        <v>92.09</v>
      </c>
      <c r="E2" s="114" t="s">
        <v>18</v>
      </c>
      <c r="F2" s="10"/>
      <c r="G2" s="10"/>
      <c r="H2" s="115"/>
      <c r="I2" s="10"/>
      <c r="J2" s="31"/>
      <c r="K2" s="31"/>
      <c r="L2" s="31"/>
      <c r="M2" s="10"/>
      <c r="N2" s="10"/>
      <c r="O2" s="10"/>
      <c r="P2" s="10"/>
      <c r="Q2" s="10"/>
      <c r="R2" s="10"/>
      <c r="S2" s="10"/>
      <c r="T2" s="10"/>
      <c r="U2" s="10"/>
      <c r="V2" s="10"/>
      <c r="W2" s="10"/>
      <c r="X2" s="10"/>
      <c r="Y2" s="11"/>
      <c r="Z2" s="11"/>
      <c r="AA2" s="11"/>
      <c r="AB2" s="5149"/>
      <c r="AC2" s="11"/>
      <c r="AD2" s="11"/>
      <c r="AE2" s="11"/>
      <c r="AF2" s="11"/>
      <c r="AG2" s="10"/>
      <c r="AH2" s="10"/>
      <c r="AI2" s="10"/>
      <c r="AJ2" s="10"/>
      <c r="AK2" s="10"/>
      <c r="AL2" s="10"/>
      <c r="AM2" s="10"/>
      <c r="AN2" s="10"/>
      <c r="AO2" s="10"/>
      <c r="AP2" s="10"/>
      <c r="AQ2" s="10"/>
      <c r="AR2" s="10"/>
      <c r="AS2" s="10"/>
      <c r="AT2" s="10"/>
    </row>
    <row r="3" spans="1:51" ht="15" customHeight="1" thickBot="1" x14ac:dyDescent="0.25">
      <c r="A3" s="116" t="s">
        <v>15</v>
      </c>
      <c r="B3" s="13"/>
      <c r="C3" s="13"/>
      <c r="D3" s="13" t="s">
        <v>16</v>
      </c>
      <c r="E3" s="14"/>
      <c r="F3" s="10"/>
      <c r="G3" s="10"/>
      <c r="H3" s="10"/>
      <c r="I3" s="10"/>
      <c r="J3" s="31"/>
      <c r="K3" s="31"/>
      <c r="L3" s="31"/>
      <c r="M3" s="10"/>
      <c r="N3" s="10"/>
      <c r="O3" s="10"/>
      <c r="P3" s="10"/>
      <c r="Q3" s="10"/>
      <c r="R3" s="10"/>
      <c r="S3" s="10"/>
      <c r="T3" s="10"/>
      <c r="U3" s="10"/>
      <c r="V3" s="10"/>
      <c r="W3" s="10"/>
      <c r="X3" s="10"/>
      <c r="Y3" s="11"/>
      <c r="Z3" s="5151" t="str">
        <f>"BAU 2050"&amp; " " &amp;'E2020'!AB3</f>
        <v xml:space="preserve">BAU 2050 </v>
      </c>
      <c r="AA3" s="5151"/>
      <c r="AB3" s="5151"/>
      <c r="AC3" s="5151"/>
      <c r="AD3" s="5151"/>
      <c r="AE3" s="11"/>
      <c r="AF3" s="11"/>
      <c r="AG3" s="10"/>
      <c r="AH3" s="10"/>
      <c r="AI3" s="10"/>
      <c r="AJ3" s="10"/>
      <c r="AK3" s="10"/>
      <c r="AL3" s="10"/>
      <c r="AM3" s="10"/>
      <c r="AN3" s="10"/>
      <c r="AO3" s="10"/>
      <c r="AP3" s="10"/>
      <c r="AQ3" s="10"/>
      <c r="AR3" s="10"/>
      <c r="AS3" s="10"/>
      <c r="AT3" s="10"/>
    </row>
    <row r="4" spans="1:51" ht="23.25" x14ac:dyDescent="0.35">
      <c r="A4" s="1740" t="s">
        <v>4206</v>
      </c>
      <c r="B4" s="10"/>
      <c r="C4" s="10"/>
      <c r="D4" s="10"/>
      <c r="E4" s="10"/>
      <c r="F4" s="10"/>
      <c r="G4" s="10"/>
      <c r="H4" s="10"/>
      <c r="I4" s="10"/>
      <c r="J4" s="31"/>
      <c r="K4" s="31"/>
      <c r="L4" s="31"/>
      <c r="M4" s="10"/>
      <c r="N4" s="10"/>
      <c r="O4" s="10"/>
      <c r="P4" s="10"/>
      <c r="Q4" s="10"/>
      <c r="R4" s="10"/>
      <c r="S4" s="10"/>
      <c r="T4" s="10"/>
      <c r="U4" s="10"/>
      <c r="V4" s="10"/>
      <c r="W4" s="10"/>
      <c r="X4" s="10"/>
      <c r="Y4" s="11"/>
      <c r="Z4" s="5151"/>
      <c r="AA4" s="5151"/>
      <c r="AB4" s="5151"/>
      <c r="AC4" s="5151"/>
      <c r="AD4" s="5151"/>
      <c r="AE4" s="11"/>
      <c r="AF4" s="11"/>
      <c r="AG4" s="10"/>
      <c r="AH4" s="10"/>
      <c r="AI4" s="10"/>
      <c r="AJ4" s="10"/>
      <c r="AK4" s="10"/>
      <c r="AL4" s="10"/>
      <c r="AM4" s="10"/>
      <c r="AN4" s="10"/>
      <c r="AO4" s="10"/>
      <c r="AP4" s="10"/>
      <c r="AQ4" s="10"/>
      <c r="AR4" s="10"/>
      <c r="AS4" s="10"/>
      <c r="AT4" s="10"/>
    </row>
    <row r="5" spans="1:51" ht="15" customHeight="1" x14ac:dyDescent="0.2">
      <c r="A5" s="10"/>
      <c r="B5" s="10"/>
      <c r="C5" s="10"/>
      <c r="D5" s="10"/>
      <c r="E5" s="10"/>
      <c r="F5" s="10"/>
      <c r="G5" s="10"/>
      <c r="H5" s="10"/>
      <c r="I5" s="10"/>
      <c r="J5" s="31"/>
      <c r="K5" s="31"/>
      <c r="L5" s="31"/>
      <c r="M5" s="10"/>
      <c r="N5" s="10"/>
      <c r="O5" s="10"/>
      <c r="P5" s="10"/>
      <c r="Q5" s="10"/>
      <c r="R5" s="10"/>
      <c r="S5" s="10"/>
      <c r="T5" s="10"/>
      <c r="U5" s="10"/>
      <c r="V5" s="10"/>
      <c r="W5" s="10"/>
      <c r="X5" s="10"/>
      <c r="Y5" s="10"/>
      <c r="Z5" s="10"/>
      <c r="AA5" s="10"/>
      <c r="AC5" s="10"/>
      <c r="AD5" s="10"/>
      <c r="AE5" s="10"/>
      <c r="AF5" s="10"/>
      <c r="AG5" s="10"/>
      <c r="AH5" s="10"/>
      <c r="AI5" s="10"/>
      <c r="AJ5" s="10"/>
      <c r="AK5" s="10"/>
      <c r="AL5" s="10"/>
      <c r="AM5" s="10"/>
      <c r="AN5" s="10"/>
      <c r="AO5" s="10"/>
      <c r="AP5" s="10"/>
      <c r="AQ5" s="10"/>
      <c r="AR5" s="10"/>
      <c r="AS5" s="10"/>
      <c r="AT5" s="10"/>
    </row>
    <row r="6" spans="1:51" ht="15" customHeight="1" x14ac:dyDescent="0.25">
      <c r="A6" s="5150" t="s">
        <v>0</v>
      </c>
      <c r="B6" s="5150"/>
      <c r="C6" s="5150"/>
      <c r="D6" s="5150"/>
      <c r="E6" s="5150"/>
      <c r="F6" s="5150"/>
      <c r="G6" s="5150"/>
      <c r="H6" s="5150"/>
      <c r="I6" s="5150"/>
      <c r="J6" s="5150"/>
      <c r="K6" s="5150"/>
      <c r="L6" s="5150"/>
      <c r="M6" s="5150"/>
      <c r="N6" s="5150"/>
      <c r="O6" s="5150"/>
      <c r="P6" s="5150"/>
      <c r="Q6" s="5150"/>
      <c r="R6" s="5150"/>
      <c r="S6" s="5150"/>
      <c r="T6" s="5150"/>
      <c r="U6" s="5150"/>
      <c r="V6" s="5150"/>
      <c r="W6" s="5150"/>
      <c r="X6" s="5150"/>
      <c r="Y6" s="5150"/>
      <c r="Z6" s="5150"/>
      <c r="AA6" s="5150"/>
      <c r="AB6" s="304" t="s">
        <v>20</v>
      </c>
      <c r="AC6" s="5150" t="s">
        <v>61</v>
      </c>
      <c r="AD6" s="5150"/>
      <c r="AE6" s="5150"/>
      <c r="AF6" s="5150"/>
      <c r="AG6" s="5150" t="s">
        <v>22</v>
      </c>
      <c r="AH6" s="5150"/>
      <c r="AI6" s="5150" t="s">
        <v>21</v>
      </c>
      <c r="AJ6" s="5150"/>
      <c r="AK6" s="117"/>
      <c r="AL6" s="5150" t="s">
        <v>507</v>
      </c>
      <c r="AM6" s="5150"/>
      <c r="AN6" s="5150"/>
      <c r="AO6" s="5150"/>
      <c r="AP6" s="5150"/>
      <c r="AQ6" s="5150"/>
      <c r="AR6" s="5150"/>
      <c r="AS6" s="5150"/>
      <c r="AT6" s="5150"/>
    </row>
    <row r="7" spans="1:51" s="18" customFormat="1" ht="159.94999999999999" customHeight="1" thickBot="1" x14ac:dyDescent="0.65">
      <c r="A7" s="15" t="s">
        <v>31</v>
      </c>
      <c r="B7" s="16" t="s">
        <v>32</v>
      </c>
      <c r="C7" s="16" t="s">
        <v>33</v>
      </c>
      <c r="D7" s="16" t="s">
        <v>34</v>
      </c>
      <c r="E7" s="16" t="s">
        <v>35</v>
      </c>
      <c r="F7" s="16" t="s">
        <v>36</v>
      </c>
      <c r="G7" s="16" t="s">
        <v>37</v>
      </c>
      <c r="H7" s="16" t="s">
        <v>38</v>
      </c>
      <c r="I7" s="16" t="s">
        <v>39</v>
      </c>
      <c r="J7" s="287" t="s">
        <v>175</v>
      </c>
      <c r="K7" s="287" t="s">
        <v>176</v>
      </c>
      <c r="L7" s="287" t="s">
        <v>177</v>
      </c>
      <c r="M7" s="16" t="s">
        <v>40</v>
      </c>
      <c r="N7" s="16" t="s">
        <v>41</v>
      </c>
      <c r="O7" s="16" t="s">
        <v>42</v>
      </c>
      <c r="P7" s="16" t="s">
        <v>43</v>
      </c>
      <c r="Q7" s="16" t="s">
        <v>44</v>
      </c>
      <c r="R7" s="16" t="s">
        <v>45</v>
      </c>
      <c r="S7" s="16" t="s">
        <v>46</v>
      </c>
      <c r="T7" s="16" t="s">
        <v>47</v>
      </c>
      <c r="U7" s="16" t="s">
        <v>48</v>
      </c>
      <c r="V7" s="16" t="s">
        <v>49</v>
      </c>
      <c r="W7" s="16" t="s">
        <v>50</v>
      </c>
      <c r="X7" s="16" t="s">
        <v>51</v>
      </c>
      <c r="Y7" s="16" t="s">
        <v>52</v>
      </c>
      <c r="Z7" s="16" t="s">
        <v>53</v>
      </c>
      <c r="AA7" s="118" t="s">
        <v>54</v>
      </c>
      <c r="AB7" s="103"/>
      <c r="AC7" s="119" t="s">
        <v>55</v>
      </c>
      <c r="AD7" s="16" t="s">
        <v>56</v>
      </c>
      <c r="AE7" s="16" t="s">
        <v>57</v>
      </c>
      <c r="AF7" s="118" t="s">
        <v>58</v>
      </c>
      <c r="AG7" s="15" t="s">
        <v>59</v>
      </c>
      <c r="AH7" s="118" t="s">
        <v>60</v>
      </c>
      <c r="AI7" s="15" t="s">
        <v>59</v>
      </c>
      <c r="AJ7" s="118" t="s">
        <v>60</v>
      </c>
      <c r="AK7" s="17" t="s">
        <v>62</v>
      </c>
      <c r="AL7" s="120" t="s">
        <v>63</v>
      </c>
      <c r="AM7" s="16" t="s">
        <v>64</v>
      </c>
      <c r="AN7" s="16" t="s">
        <v>65</v>
      </c>
      <c r="AO7" s="16" t="s">
        <v>66</v>
      </c>
      <c r="AP7" s="16" t="s">
        <v>67</v>
      </c>
      <c r="AQ7" s="16" t="s">
        <v>68</v>
      </c>
      <c r="AR7" s="121" t="s">
        <v>69</v>
      </c>
      <c r="AS7" s="121" t="s">
        <v>70</v>
      </c>
      <c r="AT7" s="118" t="s">
        <v>71</v>
      </c>
    </row>
    <row r="8" spans="1:51" ht="15" customHeight="1" x14ac:dyDescent="0.2">
      <c r="A8" s="20"/>
      <c r="B8" s="20"/>
      <c r="C8" s="20"/>
      <c r="D8" s="20"/>
      <c r="E8" s="20"/>
      <c r="F8" s="20"/>
      <c r="G8" s="20"/>
      <c r="H8" s="20"/>
      <c r="I8" s="20"/>
      <c r="J8" s="20"/>
      <c r="K8" s="20"/>
      <c r="L8" s="20"/>
      <c r="M8" s="20"/>
      <c r="N8" s="20"/>
      <c r="O8" s="20"/>
      <c r="P8" s="20"/>
      <c r="Q8" s="20"/>
      <c r="R8" s="20"/>
      <c r="S8" s="20"/>
      <c r="T8" s="20"/>
      <c r="U8" s="20"/>
      <c r="V8" s="20"/>
      <c r="W8" s="20"/>
      <c r="X8" s="20"/>
      <c r="Y8" s="20"/>
      <c r="Z8" s="20"/>
      <c r="AA8" s="25">
        <f t="shared" ref="AA8:AA80" si="0">SUM(A8:Z8)</f>
        <v>0</v>
      </c>
      <c r="AB8" s="93" t="s">
        <v>178</v>
      </c>
      <c r="AC8" s="20"/>
      <c r="AD8" s="20">
        <v>84.9</v>
      </c>
      <c r="AE8" s="20"/>
      <c r="AF8" s="197"/>
      <c r="AG8" s="356">
        <f t="shared" ref="AG8:AG11" si="1">-AH8/$D$2%</f>
        <v>-48.539088547192456</v>
      </c>
      <c r="AH8" s="357">
        <f>AK8/AD8%</f>
        <v>44.699646643109539</v>
      </c>
      <c r="AI8" s="30"/>
      <c r="AJ8" s="25"/>
      <c r="AK8" s="111">
        <f t="shared" ref="AK8:AK11" si="2">SUM(AL8:AT8)</f>
        <v>37.950000000000003</v>
      </c>
      <c r="AL8" s="431">
        <f>'E2020'!AL8*(1+'E-Tiltag'!H26)</f>
        <v>22.19</v>
      </c>
      <c r="AM8" s="24">
        <f>'E2020'!AM8</f>
        <v>3.03</v>
      </c>
      <c r="AN8" s="24">
        <f>'E2020'!AN8</f>
        <v>3.43</v>
      </c>
      <c r="AO8" s="24">
        <f>'E2020'!AO8</f>
        <v>3.93</v>
      </c>
      <c r="AP8" s="24">
        <f>'E2020'!AP8+'E-Tiltag'!H121/AD8%</f>
        <v>0</v>
      </c>
      <c r="AQ8" s="24">
        <f>'E2020'!AQ8</f>
        <v>0</v>
      </c>
      <c r="AR8" s="24">
        <f>'E2020'!AR8</f>
        <v>0</v>
      </c>
      <c r="AS8" s="24">
        <f>'E2020'!AS8</f>
        <v>5.37</v>
      </c>
      <c r="AT8" s="24">
        <f>'E2020'!AT8</f>
        <v>0</v>
      </c>
    </row>
    <row r="9" spans="1:51" ht="15" customHeight="1" x14ac:dyDescent="0.2">
      <c r="A9" s="20"/>
      <c r="B9" s="35"/>
      <c r="C9" s="35"/>
      <c r="D9" s="35"/>
      <c r="E9" s="35"/>
      <c r="F9" s="35"/>
      <c r="G9" s="35"/>
      <c r="H9" s="35"/>
      <c r="I9" s="35"/>
      <c r="J9" s="35"/>
      <c r="K9" s="35"/>
      <c r="L9" s="35"/>
      <c r="M9" s="35"/>
      <c r="N9" s="35"/>
      <c r="O9" s="35"/>
      <c r="P9" s="35"/>
      <c r="Q9" s="35"/>
      <c r="R9" s="35"/>
      <c r="S9" s="35"/>
      <c r="T9" s="35"/>
      <c r="U9" s="35"/>
      <c r="V9" s="35"/>
      <c r="W9" s="35"/>
      <c r="X9" s="35"/>
      <c r="Y9" s="35"/>
      <c r="Z9" s="35"/>
      <c r="AA9" s="25">
        <f t="shared" si="0"/>
        <v>0</v>
      </c>
      <c r="AB9" s="93" t="s">
        <v>2</v>
      </c>
      <c r="AC9" s="35"/>
      <c r="AD9" s="35"/>
      <c r="AE9" s="35">
        <v>90</v>
      </c>
      <c r="AF9" s="177"/>
      <c r="AG9" s="30">
        <f t="shared" si="1"/>
        <v>-1.0641763492235856</v>
      </c>
      <c r="AH9" s="25">
        <f>AK9/AE9%</f>
        <v>0.98</v>
      </c>
      <c r="AI9" s="30"/>
      <c r="AJ9" s="25"/>
      <c r="AK9" s="111">
        <f t="shared" si="2"/>
        <v>0.88200000000000001</v>
      </c>
      <c r="AL9" s="35">
        <f>'E2020'!AL9</f>
        <v>0.88200000000000001</v>
      </c>
      <c r="AM9" s="2"/>
      <c r="AN9" s="2"/>
      <c r="AO9" s="2"/>
      <c r="AP9" s="2"/>
      <c r="AQ9" s="2"/>
      <c r="AR9" s="2"/>
      <c r="AS9" s="2"/>
      <c r="AT9" s="8"/>
    </row>
    <row r="10" spans="1:51" ht="15" customHeight="1" x14ac:dyDescent="0.2">
      <c r="A10" s="24"/>
      <c r="B10" s="36"/>
      <c r="C10" s="36"/>
      <c r="D10" s="36"/>
      <c r="E10" s="36"/>
      <c r="F10" s="36"/>
      <c r="G10" s="36"/>
      <c r="H10" s="36"/>
      <c r="I10" s="36"/>
      <c r="J10" s="36"/>
      <c r="K10" s="36"/>
      <c r="L10" s="36"/>
      <c r="M10" s="36"/>
      <c r="N10" s="36"/>
      <c r="O10" s="36"/>
      <c r="P10" s="36"/>
      <c r="Q10" s="36"/>
      <c r="R10" s="35"/>
      <c r="S10" s="35"/>
      <c r="T10" s="35"/>
      <c r="U10" s="35"/>
      <c r="V10" s="35"/>
      <c r="W10" s="35"/>
      <c r="X10" s="35"/>
      <c r="Y10" s="35"/>
      <c r="Z10" s="35"/>
      <c r="AA10" s="25">
        <f t="shared" si="0"/>
        <v>0</v>
      </c>
      <c r="AB10" s="93" t="s">
        <v>3</v>
      </c>
      <c r="AC10" s="35"/>
      <c r="AD10" s="35"/>
      <c r="AE10" s="35">
        <v>100</v>
      </c>
      <c r="AF10" s="177"/>
      <c r="AG10" s="30">
        <f t="shared" si="1"/>
        <v>-5.0276903029644906</v>
      </c>
      <c r="AH10" s="25">
        <f>AK10/AE10%</f>
        <v>4.63</v>
      </c>
      <c r="AI10" s="30"/>
      <c r="AJ10" s="25"/>
      <c r="AK10" s="111">
        <f t="shared" si="2"/>
        <v>4.63</v>
      </c>
      <c r="AL10" s="36">
        <f>'E2020'!AL10</f>
        <v>4.63</v>
      </c>
      <c r="AM10" s="2"/>
      <c r="AN10" s="2"/>
      <c r="AO10" s="2"/>
      <c r="AP10" s="2"/>
      <c r="AQ10" s="2"/>
      <c r="AR10" s="2"/>
      <c r="AS10" s="2"/>
      <c r="AT10" s="8"/>
    </row>
    <row r="11" spans="1:51" ht="15" customHeight="1" x14ac:dyDescent="0.2">
      <c r="A11" s="24"/>
      <c r="B11" s="36"/>
      <c r="C11" s="36"/>
      <c r="D11" s="36"/>
      <c r="E11" s="36"/>
      <c r="F11" s="36"/>
      <c r="G11" s="36"/>
      <c r="H11" s="36"/>
      <c r="I11" s="36"/>
      <c r="J11" s="36"/>
      <c r="K11" s="36"/>
      <c r="L11" s="36"/>
      <c r="M11" s="36"/>
      <c r="N11" s="36"/>
      <c r="O11" s="36"/>
      <c r="P11" s="36"/>
      <c r="Q11" s="1">
        <f>AK11-AH11</f>
        <v>11.818304000000001</v>
      </c>
      <c r="R11" s="35"/>
      <c r="S11" s="35"/>
      <c r="T11" s="35"/>
      <c r="U11" s="35"/>
      <c r="V11" s="35"/>
      <c r="W11" s="35"/>
      <c r="X11" s="35"/>
      <c r="Y11" s="35"/>
      <c r="Z11" s="35"/>
      <c r="AA11" s="25">
        <f t="shared" si="0"/>
        <v>11.818304000000001</v>
      </c>
      <c r="AB11" s="93" t="s">
        <v>23</v>
      </c>
      <c r="AC11" s="35"/>
      <c r="AD11" s="35"/>
      <c r="AE11" s="35">
        <v>300</v>
      </c>
      <c r="AF11" s="177"/>
      <c r="AG11" s="30">
        <f t="shared" si="1"/>
        <v>-6.4167140840482153</v>
      </c>
      <c r="AH11" s="2647">
        <f>'E2020'!AH11*(1+'E-Tiltag'!$H$47)+(('E-Tiltag'!H59+'E-Tiltag'!H78)/AE11%)</f>
        <v>5.9091520000000015</v>
      </c>
      <c r="AI11" s="30"/>
      <c r="AJ11" s="25"/>
      <c r="AK11" s="111">
        <f t="shared" si="2"/>
        <v>17.727456000000004</v>
      </c>
      <c r="AL11" s="432">
        <f>AH11*AE11%</f>
        <v>17.727456000000004</v>
      </c>
      <c r="AM11" s="24"/>
      <c r="AN11" s="24"/>
      <c r="AO11" s="24"/>
      <c r="AP11" s="24"/>
      <c r="AQ11" s="24"/>
      <c r="AR11" s="24"/>
      <c r="AS11" s="24"/>
      <c r="AT11" s="25"/>
    </row>
    <row r="12" spans="1:51" ht="15" customHeight="1" x14ac:dyDescent="0.2">
      <c r="A12" s="108">
        <f>AC12%*AG12</f>
        <v>41.679280920983622</v>
      </c>
      <c r="B12" s="36"/>
      <c r="C12" s="36"/>
      <c r="D12" s="36"/>
      <c r="E12" s="36"/>
      <c r="F12" s="36"/>
      <c r="G12" s="36"/>
      <c r="H12" s="36"/>
      <c r="I12" s="36"/>
      <c r="J12" s="36"/>
      <c r="K12" s="36"/>
      <c r="L12" s="36"/>
      <c r="M12" s="36"/>
      <c r="N12" s="36"/>
      <c r="O12" s="36"/>
      <c r="P12" s="36"/>
      <c r="Q12" s="36"/>
      <c r="R12" s="35"/>
      <c r="S12" s="35"/>
      <c r="T12" s="35"/>
      <c r="U12" s="35"/>
      <c r="V12" s="35"/>
      <c r="W12" s="35"/>
      <c r="X12" s="35"/>
      <c r="Y12" s="35"/>
      <c r="Z12" s="35"/>
      <c r="AA12" s="25">
        <f t="shared" si="0"/>
        <v>41.679280920983622</v>
      </c>
      <c r="AB12" s="93" t="s">
        <v>10</v>
      </c>
      <c r="AC12" s="35">
        <v>100</v>
      </c>
      <c r="AD12" s="35"/>
      <c r="AE12" s="35"/>
      <c r="AF12" s="177"/>
      <c r="AG12" s="30">
        <f>-SUM(AG13:AG80,AG8:AG11)</f>
        <v>41.679280920983622</v>
      </c>
      <c r="AH12" s="303"/>
      <c r="AI12" s="30"/>
      <c r="AJ12" s="25"/>
      <c r="AK12" s="111">
        <f t="shared" ref="AK12:AK43" si="3">SUM(AL12:AT12)</f>
        <v>0</v>
      </c>
      <c r="AL12" s="30"/>
      <c r="AM12" s="24"/>
      <c r="AN12" s="24"/>
      <c r="AO12" s="24"/>
      <c r="AP12" s="24"/>
      <c r="AQ12" s="24"/>
      <c r="AR12" s="24"/>
      <c r="AS12" s="24"/>
      <c r="AT12" s="25"/>
    </row>
    <row r="13" spans="1:51" ht="15" customHeight="1" x14ac:dyDescent="0.2">
      <c r="A13" s="20"/>
      <c r="B13" s="35">
        <f>'E2020'!B13</f>
        <v>0.81</v>
      </c>
      <c r="C13" s="35"/>
      <c r="D13" s="35"/>
      <c r="E13" s="35"/>
      <c r="F13" s="35"/>
      <c r="G13" s="35"/>
      <c r="H13" s="35"/>
      <c r="I13" s="35"/>
      <c r="J13" s="35"/>
      <c r="K13" s="35"/>
      <c r="L13" s="35"/>
      <c r="M13" s="35"/>
      <c r="N13" s="35"/>
      <c r="O13" s="35"/>
      <c r="P13" s="35"/>
      <c r="Q13" s="35"/>
      <c r="R13" s="35"/>
      <c r="S13" s="35"/>
      <c r="T13" s="35"/>
      <c r="U13" s="35"/>
      <c r="V13" s="35"/>
      <c r="W13" s="35"/>
      <c r="X13" s="35"/>
      <c r="Y13" s="35"/>
      <c r="Z13" s="35"/>
      <c r="AA13" s="25">
        <f t="shared" si="0"/>
        <v>0.81</v>
      </c>
      <c r="AB13" s="123" t="s">
        <v>29</v>
      </c>
      <c r="AC13" s="35"/>
      <c r="AD13" s="35"/>
      <c r="AE13" s="35">
        <v>38</v>
      </c>
      <c r="AF13" s="177"/>
      <c r="AG13" s="293"/>
      <c r="AH13" s="303"/>
      <c r="AI13" s="122"/>
      <c r="AJ13" s="300"/>
      <c r="AK13" s="111">
        <f t="shared" si="3"/>
        <v>0.30780000000000002</v>
      </c>
      <c r="AL13" s="364">
        <f>AA13*AE13%*20%</f>
        <v>6.1560000000000004E-2</v>
      </c>
      <c r="AM13" s="365"/>
      <c r="AN13" s="365"/>
      <c r="AO13" s="365"/>
      <c r="AP13" s="365"/>
      <c r="AQ13" s="365">
        <f>AA13*AE13%*60%</f>
        <v>0.18468000000000001</v>
      </c>
      <c r="AR13" s="365"/>
      <c r="AS13" s="365"/>
      <c r="AT13" s="366">
        <f>AA13*AE13%*20%</f>
        <v>6.1560000000000004E-2</v>
      </c>
    </row>
    <row r="14" spans="1:51" ht="15" customHeight="1" x14ac:dyDescent="0.2">
      <c r="A14" s="20"/>
      <c r="B14" s="35"/>
      <c r="C14" s="35"/>
      <c r="D14" s="35"/>
      <c r="E14" s="432">
        <f>'E-Tiltag'!H52*(1+'E-Tiltag'!$H$47)</f>
        <v>2.6605699999999994</v>
      </c>
      <c r="F14" s="35"/>
      <c r="G14" s="35"/>
      <c r="H14" s="35"/>
      <c r="I14" s="35"/>
      <c r="J14" s="35"/>
      <c r="K14" s="35"/>
      <c r="L14" s="35"/>
      <c r="M14" s="35"/>
      <c r="N14" s="35"/>
      <c r="O14" s="35"/>
      <c r="P14" s="35"/>
      <c r="Q14" s="35"/>
      <c r="R14" s="35"/>
      <c r="S14" s="35"/>
      <c r="T14" s="35"/>
      <c r="U14" s="35"/>
      <c r="V14" s="35"/>
      <c r="W14" s="35"/>
      <c r="X14" s="35"/>
      <c r="Y14" s="35"/>
      <c r="Z14" s="35"/>
      <c r="AA14" s="25">
        <f t="shared" si="0"/>
        <v>2.6605699999999994</v>
      </c>
      <c r="AB14" s="93" t="s">
        <v>209</v>
      </c>
      <c r="AC14" s="35"/>
      <c r="AD14" s="35"/>
      <c r="AE14" s="35">
        <v>80</v>
      </c>
      <c r="AF14" s="177"/>
      <c r="AG14" s="293"/>
      <c r="AH14" s="303"/>
      <c r="AI14" s="30"/>
      <c r="AJ14" s="25"/>
      <c r="AK14" s="111">
        <f t="shared" si="3"/>
        <v>2.1284559999999995</v>
      </c>
      <c r="AL14" s="302">
        <f t="shared" ref="AL14:AL19" si="4">AA14*AE14%</f>
        <v>2.1284559999999995</v>
      </c>
      <c r="AM14" s="24"/>
      <c r="AN14" s="24"/>
      <c r="AO14" s="24"/>
      <c r="AP14" s="24"/>
      <c r="AQ14" s="24"/>
      <c r="AR14" s="24"/>
      <c r="AS14" s="24"/>
      <c r="AT14" s="25"/>
      <c r="AY14" s="23"/>
    </row>
    <row r="15" spans="1:51" ht="15" customHeight="1" x14ac:dyDescent="0.2">
      <c r="A15" s="20"/>
      <c r="B15" s="35"/>
      <c r="C15" s="35"/>
      <c r="D15" s="35"/>
      <c r="E15" s="35"/>
      <c r="F15" s="35"/>
      <c r="G15" s="35"/>
      <c r="H15" s="35"/>
      <c r="I15" s="36">
        <f>'E-Tiltag'!G66*(1+'E-Tiltag'!$G$47)</f>
        <v>0</v>
      </c>
      <c r="J15" s="35"/>
      <c r="K15" s="35"/>
      <c r="L15" s="35"/>
      <c r="M15" s="35"/>
      <c r="N15" s="35"/>
      <c r="O15" s="35"/>
      <c r="P15" s="35"/>
      <c r="Q15" s="35"/>
      <c r="R15" s="35"/>
      <c r="S15" s="35"/>
      <c r="T15" s="35"/>
      <c r="U15" s="35"/>
      <c r="V15" s="35"/>
      <c r="W15" s="35"/>
      <c r="X15" s="35"/>
      <c r="Y15" s="35"/>
      <c r="Z15" s="35"/>
      <c r="AA15" s="25">
        <f t="shared" si="0"/>
        <v>0</v>
      </c>
      <c r="AB15" s="93" t="s">
        <v>210</v>
      </c>
      <c r="AC15" s="35"/>
      <c r="AD15" s="35"/>
      <c r="AE15" s="35">
        <v>85</v>
      </c>
      <c r="AF15" s="177"/>
      <c r="AG15" s="293"/>
      <c r="AH15" s="303"/>
      <c r="AI15" s="30"/>
      <c r="AJ15" s="25"/>
      <c r="AK15" s="111">
        <f t="shared" si="3"/>
        <v>0</v>
      </c>
      <c r="AL15" s="302">
        <f t="shared" si="4"/>
        <v>0</v>
      </c>
      <c r="AM15" s="24"/>
      <c r="AN15" s="24"/>
      <c r="AO15" s="24"/>
      <c r="AP15" s="24"/>
      <c r="AQ15" s="24"/>
      <c r="AR15" s="24"/>
      <c r="AS15" s="24"/>
      <c r="AT15" s="25"/>
      <c r="AY15" s="23"/>
    </row>
    <row r="16" spans="1:51" ht="15" customHeight="1" x14ac:dyDescent="0.2">
      <c r="A16" s="20"/>
      <c r="B16" s="35"/>
      <c r="C16" s="35"/>
      <c r="D16" s="35"/>
      <c r="E16" s="35"/>
      <c r="F16" s="35"/>
      <c r="G16" s="35"/>
      <c r="H16" s="35"/>
      <c r="I16" s="35"/>
      <c r="J16" s="35"/>
      <c r="K16" s="35"/>
      <c r="L16" s="35"/>
      <c r="M16" s="35"/>
      <c r="N16" s="35"/>
      <c r="O16" s="35"/>
      <c r="P16" s="35"/>
      <c r="Q16" s="35"/>
      <c r="R16" s="35"/>
      <c r="S16" s="35"/>
      <c r="T16" s="35"/>
      <c r="U16" s="35"/>
      <c r="V16" s="432">
        <f>'E2020'!V16*(1+'E-Tiltag'!$H$47)+('E-Tiltag'!$H$60)/AE16%</f>
        <v>22.315652</v>
      </c>
      <c r="W16" s="35"/>
      <c r="X16" s="35"/>
      <c r="Y16" s="35"/>
      <c r="Z16" s="35"/>
      <c r="AA16" s="25">
        <f t="shared" si="0"/>
        <v>22.315652</v>
      </c>
      <c r="AB16" s="93" t="s">
        <v>211</v>
      </c>
      <c r="AC16" s="35"/>
      <c r="AD16" s="35"/>
      <c r="AE16" s="35">
        <v>75</v>
      </c>
      <c r="AF16" s="177"/>
      <c r="AG16" s="293"/>
      <c r="AH16" s="303"/>
      <c r="AI16" s="30"/>
      <c r="AJ16" s="25"/>
      <c r="AK16" s="111">
        <f t="shared" si="3"/>
        <v>16.736739</v>
      </c>
      <c r="AL16" s="302">
        <f t="shared" si="4"/>
        <v>16.736739</v>
      </c>
      <c r="AM16" s="24"/>
      <c r="AN16" s="24"/>
      <c r="AO16" s="24"/>
      <c r="AP16" s="24"/>
      <c r="AQ16" s="24"/>
      <c r="AR16" s="24"/>
      <c r="AS16" s="24"/>
      <c r="AT16" s="25"/>
      <c r="AY16" s="23"/>
    </row>
    <row r="17" spans="1:51" ht="15" customHeight="1" x14ac:dyDescent="0.2">
      <c r="A17" s="20"/>
      <c r="B17" s="35"/>
      <c r="C17" s="35"/>
      <c r="D17" s="35"/>
      <c r="E17" s="35"/>
      <c r="F17" s="35"/>
      <c r="G17" s="35"/>
      <c r="H17" s="35"/>
      <c r="I17" s="35"/>
      <c r="J17" s="35"/>
      <c r="K17" s="35"/>
      <c r="L17" s="35"/>
      <c r="M17" s="35"/>
      <c r="N17" s="35"/>
      <c r="O17" s="35"/>
      <c r="P17" s="35"/>
      <c r="Q17" s="35"/>
      <c r="R17" s="35"/>
      <c r="S17" s="35"/>
      <c r="T17" s="35"/>
      <c r="U17" s="432">
        <f>'E2020'!U17*(1+'E-Tiltag'!$H$47)</f>
        <v>47.253</v>
      </c>
      <c r="V17" s="35"/>
      <c r="W17" s="35"/>
      <c r="X17" s="35"/>
      <c r="Y17" s="35"/>
      <c r="Z17" s="35"/>
      <c r="AA17" s="25">
        <f t="shared" si="0"/>
        <v>47.253</v>
      </c>
      <c r="AB17" s="93" t="s">
        <v>212</v>
      </c>
      <c r="AC17" s="35"/>
      <c r="AD17" s="35"/>
      <c r="AE17" s="35">
        <v>65</v>
      </c>
      <c r="AF17" s="177"/>
      <c r="AG17" s="293"/>
      <c r="AH17" s="303"/>
      <c r="AI17" s="30"/>
      <c r="AJ17" s="25"/>
      <c r="AK17" s="111">
        <f t="shared" si="3"/>
        <v>30.714449999999999</v>
      </c>
      <c r="AL17" s="302">
        <f t="shared" si="4"/>
        <v>30.714449999999999</v>
      </c>
      <c r="AM17" s="24"/>
      <c r="AN17" s="24"/>
      <c r="AO17" s="24"/>
      <c r="AP17" s="24"/>
      <c r="AQ17" s="24"/>
      <c r="AR17" s="24"/>
      <c r="AS17" s="24"/>
      <c r="AT17" s="25"/>
      <c r="AV17" s="23"/>
    </row>
    <row r="18" spans="1:51" ht="15" customHeight="1" x14ac:dyDescent="0.2">
      <c r="A18" s="20"/>
      <c r="B18" s="35"/>
      <c r="C18" s="35"/>
      <c r="D18" s="35"/>
      <c r="E18" s="35"/>
      <c r="F18" s="35"/>
      <c r="G18" s="35"/>
      <c r="H18" s="35"/>
      <c r="I18" s="35"/>
      <c r="J18" s="35"/>
      <c r="K18" s="35"/>
      <c r="L18" s="35"/>
      <c r="M18" s="35"/>
      <c r="N18" s="35"/>
      <c r="O18" s="35"/>
      <c r="P18" s="35"/>
      <c r="Q18" s="35"/>
      <c r="R18" s="35"/>
      <c r="S18" s="35"/>
      <c r="T18" s="35">
        <f>'E2020'!T18*(1+'E-Tiltag'!$H$47)</f>
        <v>8.6544999999999987</v>
      </c>
      <c r="U18" s="35"/>
      <c r="V18" s="35"/>
      <c r="W18" s="35"/>
      <c r="X18" s="35"/>
      <c r="Y18" s="35"/>
      <c r="Z18" s="35"/>
      <c r="AA18" s="25">
        <f t="shared" si="0"/>
        <v>8.6544999999999987</v>
      </c>
      <c r="AB18" s="93" t="s">
        <v>213</v>
      </c>
      <c r="AC18" s="35"/>
      <c r="AD18" s="35"/>
      <c r="AE18" s="35">
        <v>65</v>
      </c>
      <c r="AF18" s="177"/>
      <c r="AG18" s="293"/>
      <c r="AH18" s="303"/>
      <c r="AI18" s="30"/>
      <c r="AJ18" s="25"/>
      <c r="AK18" s="111">
        <f t="shared" si="3"/>
        <v>5.625424999999999</v>
      </c>
      <c r="AL18" s="302">
        <f t="shared" si="4"/>
        <v>5.625424999999999</v>
      </c>
      <c r="AM18" s="24"/>
      <c r="AN18" s="24"/>
      <c r="AO18" s="24"/>
      <c r="AP18" s="24"/>
      <c r="AQ18" s="24"/>
      <c r="AR18" s="24"/>
      <c r="AS18" s="24"/>
      <c r="AT18" s="25"/>
      <c r="AV18" s="23"/>
    </row>
    <row r="19" spans="1:51" ht="15" customHeight="1" x14ac:dyDescent="0.2">
      <c r="A19" s="20"/>
      <c r="B19" s="35"/>
      <c r="C19" s="35"/>
      <c r="D19" s="35"/>
      <c r="E19" s="35"/>
      <c r="F19" s="35"/>
      <c r="G19" s="35"/>
      <c r="H19" s="35"/>
      <c r="I19" s="35"/>
      <c r="J19" s="35"/>
      <c r="K19" s="35"/>
      <c r="L19" s="35"/>
      <c r="M19" s="35"/>
      <c r="N19" s="35"/>
      <c r="O19" s="432">
        <f>'E2020'!O19*(1+'E-Tiltag'!$H$47)</f>
        <v>0.8929999999999999</v>
      </c>
      <c r="P19" s="35"/>
      <c r="Q19" s="35"/>
      <c r="R19" s="35"/>
      <c r="S19" s="35"/>
      <c r="T19" s="35"/>
      <c r="U19" s="35"/>
      <c r="V19" s="35"/>
      <c r="W19" s="35"/>
      <c r="X19" s="35"/>
      <c r="Y19" s="35"/>
      <c r="Z19" s="35"/>
      <c r="AA19" s="25">
        <f t="shared" si="0"/>
        <v>0.8929999999999999</v>
      </c>
      <c r="AB19" s="93" t="s">
        <v>214</v>
      </c>
      <c r="AC19" s="35"/>
      <c r="AD19" s="35"/>
      <c r="AE19" s="35">
        <v>100</v>
      </c>
      <c r="AF19" s="177"/>
      <c r="AG19" s="293"/>
      <c r="AH19" s="303"/>
      <c r="AI19" s="30"/>
      <c r="AJ19" s="25"/>
      <c r="AK19" s="111">
        <f t="shared" si="3"/>
        <v>0.8929999999999999</v>
      </c>
      <c r="AL19" s="302">
        <f t="shared" si="4"/>
        <v>0.8929999999999999</v>
      </c>
      <c r="AM19" s="24"/>
      <c r="AN19" s="24"/>
      <c r="AO19" s="24"/>
      <c r="AP19" s="24"/>
      <c r="AQ19" s="24"/>
      <c r="AR19" s="24"/>
      <c r="AS19" s="24"/>
      <c r="AT19" s="25"/>
      <c r="AY19" s="23"/>
    </row>
    <row r="20" spans="1:51" ht="15" customHeight="1" x14ac:dyDescent="0.2">
      <c r="A20" s="20"/>
      <c r="B20" s="35"/>
      <c r="C20" s="35"/>
      <c r="D20" s="35"/>
      <c r="E20" s="35">
        <f>'E2020'!E20*(1-'E-Tiltag'!$G$112)</f>
        <v>0</v>
      </c>
      <c r="F20" s="35"/>
      <c r="G20" s="35"/>
      <c r="H20" s="35"/>
      <c r="I20" s="35"/>
      <c r="J20" s="35"/>
      <c r="K20" s="35"/>
      <c r="L20" s="35"/>
      <c r="M20" s="35"/>
      <c r="N20" s="35"/>
      <c r="O20" s="35"/>
      <c r="P20" s="35"/>
      <c r="Q20" s="35"/>
      <c r="R20" s="35"/>
      <c r="S20" s="35"/>
      <c r="T20" s="35"/>
      <c r="U20" s="35"/>
      <c r="V20" s="35"/>
      <c r="W20" s="35"/>
      <c r="X20" s="35"/>
      <c r="Y20" s="35"/>
      <c r="Z20" s="35"/>
      <c r="AA20" s="25">
        <f t="shared" si="0"/>
        <v>0</v>
      </c>
      <c r="AB20" s="93" t="s">
        <v>24</v>
      </c>
      <c r="AC20" s="35"/>
      <c r="AD20" s="35">
        <v>90</v>
      </c>
      <c r="AE20" s="35"/>
      <c r="AF20" s="177"/>
      <c r="AG20" s="293"/>
      <c r="AH20" s="303"/>
      <c r="AI20" s="30"/>
      <c r="AJ20" s="25"/>
      <c r="AK20" s="111">
        <f t="shared" si="3"/>
        <v>0</v>
      </c>
      <c r="AL20" s="302"/>
      <c r="AM20" s="24"/>
      <c r="AN20" s="24"/>
      <c r="AO20" s="24"/>
      <c r="AP20" s="24"/>
      <c r="AQ20" s="24">
        <f>AA20*AD20%</f>
        <v>0</v>
      </c>
      <c r="AR20" s="24"/>
      <c r="AS20" s="24"/>
      <c r="AT20" s="25"/>
      <c r="AV20" s="23"/>
    </row>
    <row r="21" spans="1:51" ht="15" customHeight="1" x14ac:dyDescent="0.2">
      <c r="A21" s="20"/>
      <c r="B21" s="35"/>
      <c r="C21" s="35"/>
      <c r="D21" s="35"/>
      <c r="E21" s="35"/>
      <c r="F21" s="35"/>
      <c r="G21" s="35"/>
      <c r="H21" s="35"/>
      <c r="I21" s="35">
        <f>'E-Tiltag'!G89</f>
        <v>0</v>
      </c>
      <c r="J21" s="35"/>
      <c r="K21" s="35"/>
      <c r="L21" s="35"/>
      <c r="M21" s="35"/>
      <c r="N21" s="35"/>
      <c r="O21" s="35"/>
      <c r="P21" s="35"/>
      <c r="Q21" s="35"/>
      <c r="R21" s="35"/>
      <c r="S21" s="35"/>
      <c r="T21" s="35"/>
      <c r="U21" s="35"/>
      <c r="V21" s="35"/>
      <c r="W21" s="35"/>
      <c r="X21" s="35"/>
      <c r="Y21" s="35"/>
      <c r="Z21" s="35"/>
      <c r="AA21" s="25">
        <f t="shared" si="0"/>
        <v>0</v>
      </c>
      <c r="AB21" s="93" t="s">
        <v>25</v>
      </c>
      <c r="AC21" s="35"/>
      <c r="AD21" s="35">
        <v>90</v>
      </c>
      <c r="AE21" s="35"/>
      <c r="AF21" s="177"/>
      <c r="AG21" s="293"/>
      <c r="AH21" s="303"/>
      <c r="AI21" s="30"/>
      <c r="AJ21" s="25"/>
      <c r="AK21" s="111">
        <f t="shared" si="3"/>
        <v>0</v>
      </c>
      <c r="AL21" s="302"/>
      <c r="AM21" s="24"/>
      <c r="AN21" s="24"/>
      <c r="AO21" s="24"/>
      <c r="AP21" s="24"/>
      <c r="AQ21" s="24">
        <f>AA21*AD21%</f>
        <v>0</v>
      </c>
      <c r="AR21" s="24"/>
      <c r="AS21" s="24"/>
      <c r="AT21" s="25"/>
      <c r="AV21" s="23"/>
    </row>
    <row r="22" spans="1:51" ht="15" customHeight="1" x14ac:dyDescent="0.2">
      <c r="A22" s="20"/>
      <c r="B22" s="35">
        <f>'E2020'!B22*(1-'E-Tiltag'!$G$113)</f>
        <v>0</v>
      </c>
      <c r="C22" s="35">
        <f>'E2020'!C22*(1-'E-Tiltag'!$G$113)</f>
        <v>0</v>
      </c>
      <c r="D22" s="35">
        <f>'E2020'!D22*(1-'E-Tiltag'!$G$113)</f>
        <v>0</v>
      </c>
      <c r="E22" s="35">
        <f>'E2020'!E22*(1-'E-Tiltag'!$G$113)</f>
        <v>0</v>
      </c>
      <c r="F22" s="35">
        <f>'E2020'!F22*(1-'E-Tiltag'!$G$113)</f>
        <v>0</v>
      </c>
      <c r="G22" s="35">
        <f>'E2020'!G22*(1-'E-Tiltag'!$G$113)</f>
        <v>0</v>
      </c>
      <c r="H22" s="35">
        <f>'E2020'!H22*(1-'E-Tiltag'!$G$113)</f>
        <v>0</v>
      </c>
      <c r="I22" s="35">
        <f>'E2020'!I22*(1-'E-Tiltag'!$G$113)+'E-Tiltag'!$G$123</f>
        <v>0</v>
      </c>
      <c r="J22" s="35"/>
      <c r="K22" s="35"/>
      <c r="L22" s="35"/>
      <c r="M22" s="35"/>
      <c r="N22" s="35"/>
      <c r="O22" s="35"/>
      <c r="P22" s="35"/>
      <c r="Q22" s="35"/>
      <c r="R22" s="35">
        <v>0</v>
      </c>
      <c r="S22" s="35">
        <v>0</v>
      </c>
      <c r="T22" s="35">
        <v>0</v>
      </c>
      <c r="U22" s="35">
        <f>'E2020'!U22+'E-Tiltag'!$G$122</f>
        <v>0</v>
      </c>
      <c r="V22" s="35">
        <f>'E2020'!V22</f>
        <v>10</v>
      </c>
      <c r="W22" s="35">
        <v>0</v>
      </c>
      <c r="X22" s="35">
        <v>0</v>
      </c>
      <c r="Y22" s="35">
        <v>0</v>
      </c>
      <c r="Z22" s="35">
        <v>0</v>
      </c>
      <c r="AA22" s="25">
        <f t="shared" si="0"/>
        <v>10</v>
      </c>
      <c r="AB22" s="93" t="s">
        <v>512</v>
      </c>
      <c r="AC22" s="35"/>
      <c r="AD22" s="35">
        <v>90</v>
      </c>
      <c r="AE22" s="35"/>
      <c r="AF22" s="177"/>
      <c r="AG22" s="293"/>
      <c r="AH22" s="303"/>
      <c r="AI22" s="30"/>
      <c r="AJ22" s="25"/>
      <c r="AK22" s="111">
        <f t="shared" si="3"/>
        <v>9</v>
      </c>
      <c r="AL22" s="302"/>
      <c r="AM22" s="24"/>
      <c r="AN22" s="24"/>
      <c r="AO22" s="24"/>
      <c r="AP22" s="24"/>
      <c r="AQ22" s="24">
        <f>AA22*AD22%</f>
        <v>9</v>
      </c>
      <c r="AR22" s="24"/>
      <c r="AS22" s="24"/>
      <c r="AT22" s="25"/>
      <c r="AY22" s="23"/>
    </row>
    <row r="23" spans="1:51" ht="15" customHeight="1" x14ac:dyDescent="0.2">
      <c r="A23" s="20"/>
      <c r="B23" s="35"/>
      <c r="C23" s="35"/>
      <c r="D23" s="35"/>
      <c r="E23" s="35"/>
      <c r="F23" s="35"/>
      <c r="G23" s="35"/>
      <c r="H23" s="35"/>
      <c r="I23" s="35"/>
      <c r="J23" s="35"/>
      <c r="K23" s="35"/>
      <c r="L23" s="35"/>
      <c r="M23" s="35"/>
      <c r="N23" s="35"/>
      <c r="O23" s="432">
        <f>'E2020'!O23+'E-Tiltag'!T40</f>
        <v>26.16</v>
      </c>
      <c r="P23" s="35"/>
      <c r="Q23" s="35"/>
      <c r="R23" s="35"/>
      <c r="S23" s="35"/>
      <c r="T23" s="35"/>
      <c r="U23" s="35"/>
      <c r="V23" s="35"/>
      <c r="W23" s="35"/>
      <c r="X23" s="35"/>
      <c r="Y23" s="35"/>
      <c r="Z23" s="35"/>
      <c r="AA23" s="25">
        <f t="shared" si="0"/>
        <v>26.16</v>
      </c>
      <c r="AB23" s="93" t="s">
        <v>14</v>
      </c>
      <c r="AC23" s="35">
        <v>100</v>
      </c>
      <c r="AD23" s="35"/>
      <c r="AE23" s="35"/>
      <c r="AF23" s="177"/>
      <c r="AG23" s="30">
        <f>AA23*AC23/100</f>
        <v>26.16</v>
      </c>
      <c r="AH23" s="303"/>
      <c r="AI23" s="30"/>
      <c r="AJ23" s="25"/>
      <c r="AK23" s="111">
        <f t="shared" si="3"/>
        <v>0</v>
      </c>
      <c r="AL23" s="302"/>
      <c r="AM23" s="24"/>
      <c r="AN23" s="24"/>
      <c r="AO23" s="24"/>
      <c r="AP23" s="24"/>
      <c r="AQ23" s="24"/>
      <c r="AR23" s="24"/>
      <c r="AS23" s="24"/>
      <c r="AT23" s="25"/>
      <c r="AV23" s="23"/>
    </row>
    <row r="24" spans="1:51" ht="15" customHeight="1" x14ac:dyDescent="0.2">
      <c r="A24" s="20"/>
      <c r="B24" s="35"/>
      <c r="C24" s="35"/>
      <c r="D24" s="35"/>
      <c r="E24" s="35"/>
      <c r="F24" s="35"/>
      <c r="G24" s="35"/>
      <c r="H24" s="35"/>
      <c r="I24" s="35"/>
      <c r="J24" s="35"/>
      <c r="K24" s="35"/>
      <c r="L24" s="35"/>
      <c r="M24" s="432">
        <f>'E-Tiltag'!T12+'E-Tiltag'!T21</f>
        <v>0</v>
      </c>
      <c r="N24" s="35"/>
      <c r="O24" s="35"/>
      <c r="P24" s="35"/>
      <c r="Q24" s="35"/>
      <c r="R24" s="35"/>
      <c r="S24" s="35"/>
      <c r="T24" s="35"/>
      <c r="U24" s="35"/>
      <c r="V24" s="35"/>
      <c r="W24" s="35"/>
      <c r="X24" s="35"/>
      <c r="Y24" s="35"/>
      <c r="Z24" s="35"/>
      <c r="AA24" s="25">
        <f t="shared" si="0"/>
        <v>0</v>
      </c>
      <c r="AB24" s="93" t="s">
        <v>26</v>
      </c>
      <c r="AC24" s="35">
        <v>100</v>
      </c>
      <c r="AD24" s="35"/>
      <c r="AE24" s="35"/>
      <c r="AF24" s="177"/>
      <c r="AG24" s="30">
        <f>AC24*AA24/100</f>
        <v>0</v>
      </c>
      <c r="AH24" s="303"/>
      <c r="AI24" s="30"/>
      <c r="AJ24" s="25"/>
      <c r="AK24" s="111">
        <f t="shared" si="3"/>
        <v>0</v>
      </c>
      <c r="AL24" s="302"/>
      <c r="AM24" s="24"/>
      <c r="AN24" s="24"/>
      <c r="AO24" s="24"/>
      <c r="AP24" s="24"/>
      <c r="AQ24" s="24"/>
      <c r="AR24" s="24"/>
      <c r="AS24" s="24"/>
      <c r="AT24" s="25"/>
      <c r="AU24" s="29"/>
      <c r="AV24" s="23"/>
    </row>
    <row r="25" spans="1:51" ht="15" customHeight="1" x14ac:dyDescent="0.2">
      <c r="A25" s="20"/>
      <c r="B25" s="35"/>
      <c r="C25" s="35"/>
      <c r="D25" s="35"/>
      <c r="E25" s="35"/>
      <c r="F25" s="35"/>
      <c r="G25" s="35"/>
      <c r="H25" s="35"/>
      <c r="I25" s="35"/>
      <c r="J25" s="35"/>
      <c r="K25" s="35"/>
      <c r="L25" s="35"/>
      <c r="M25" s="35">
        <f>+'E-Tiltag'!S28*50%</f>
        <v>0</v>
      </c>
      <c r="N25" s="35"/>
      <c r="O25" s="35"/>
      <c r="P25" s="35"/>
      <c r="Q25" s="35"/>
      <c r="R25" s="35"/>
      <c r="S25" s="35"/>
      <c r="T25" s="35"/>
      <c r="U25" s="35"/>
      <c r="V25" s="35"/>
      <c r="W25" s="35"/>
      <c r="X25" s="35"/>
      <c r="Y25" s="35"/>
      <c r="Z25" s="35"/>
      <c r="AA25" s="25">
        <f t="shared" si="0"/>
        <v>0</v>
      </c>
      <c r="AB25" s="93" t="s">
        <v>74</v>
      </c>
      <c r="AC25" s="35">
        <v>100</v>
      </c>
      <c r="AD25" s="35"/>
      <c r="AE25" s="35"/>
      <c r="AF25" s="177"/>
      <c r="AG25" s="30">
        <f>AC25*AA25/100</f>
        <v>0</v>
      </c>
      <c r="AH25" s="303"/>
      <c r="AI25" s="30"/>
      <c r="AJ25" s="25"/>
      <c r="AK25" s="111">
        <f t="shared" si="3"/>
        <v>0</v>
      </c>
      <c r="AL25" s="302"/>
      <c r="AM25" s="24"/>
      <c r="AN25" s="24"/>
      <c r="AO25" s="24"/>
      <c r="AP25" s="24"/>
      <c r="AQ25" s="24"/>
      <c r="AR25" s="24"/>
      <c r="AS25" s="24"/>
      <c r="AT25" s="25"/>
      <c r="AY25" s="23"/>
    </row>
    <row r="26" spans="1:51" ht="15" customHeight="1" x14ac:dyDescent="0.2">
      <c r="A26" s="20"/>
      <c r="B26" s="35"/>
      <c r="C26" s="35"/>
      <c r="D26" s="35"/>
      <c r="E26" s="35"/>
      <c r="F26" s="35"/>
      <c r="G26" s="35"/>
      <c r="H26" s="35"/>
      <c r="I26" s="35"/>
      <c r="J26" s="35"/>
      <c r="K26" s="35"/>
      <c r="L26" s="35"/>
      <c r="M26" s="35"/>
      <c r="N26" s="35">
        <f>'E2020'!N26</f>
        <v>0</v>
      </c>
      <c r="O26" s="35"/>
      <c r="P26" s="35"/>
      <c r="Q26" s="35"/>
      <c r="R26" s="35"/>
      <c r="S26" s="35"/>
      <c r="T26" s="35"/>
      <c r="U26" s="35"/>
      <c r="V26" s="35"/>
      <c r="W26" s="35"/>
      <c r="X26" s="35"/>
      <c r="Y26" s="35"/>
      <c r="Z26" s="35"/>
      <c r="AA26" s="25">
        <f t="shared" si="0"/>
        <v>0</v>
      </c>
      <c r="AB26" s="93" t="s">
        <v>513</v>
      </c>
      <c r="AC26" s="35">
        <v>100</v>
      </c>
      <c r="AD26" s="35"/>
      <c r="AE26" s="35"/>
      <c r="AF26" s="177"/>
      <c r="AG26" s="30">
        <f>AC26*AA26/100</f>
        <v>0</v>
      </c>
      <c r="AH26" s="303"/>
      <c r="AI26" s="30"/>
      <c r="AJ26" s="25"/>
      <c r="AK26" s="111">
        <f t="shared" si="3"/>
        <v>0</v>
      </c>
      <c r="AL26" s="302"/>
      <c r="AM26" s="24"/>
      <c r="AN26" s="24"/>
      <c r="AO26" s="24"/>
      <c r="AP26" s="24"/>
      <c r="AQ26" s="24"/>
      <c r="AR26" s="24"/>
      <c r="AS26" s="24"/>
      <c r="AT26" s="25"/>
      <c r="AY26" s="23"/>
    </row>
    <row r="27" spans="1:51" ht="15" customHeight="1" x14ac:dyDescent="0.2">
      <c r="A27" s="20"/>
      <c r="B27" s="35"/>
      <c r="C27" s="35"/>
      <c r="D27" s="35"/>
      <c r="E27" s="35"/>
      <c r="F27" s="35"/>
      <c r="G27" s="35"/>
      <c r="H27" s="35"/>
      <c r="I27" s="35">
        <f>'E2020'!I27-'E-Tiltag'!S51</f>
        <v>0</v>
      </c>
      <c r="J27" s="35"/>
      <c r="K27" s="35"/>
      <c r="L27" s="35"/>
      <c r="M27" s="35"/>
      <c r="N27" s="35"/>
      <c r="O27" s="35"/>
      <c r="P27" s="35"/>
      <c r="Q27" s="35"/>
      <c r="R27" s="20">
        <f>-(I27*33.3%)/AD27%</f>
        <v>0</v>
      </c>
      <c r="S27" s="20">
        <f>-(I27*10.5%)/AD27%</f>
        <v>0</v>
      </c>
      <c r="T27" s="20">
        <f>-(I27*6.6%)/AD27%</f>
        <v>0</v>
      </c>
      <c r="U27" s="35"/>
      <c r="V27" s="35"/>
      <c r="W27" s="20">
        <f>-(I27*49.6%)/AD27%</f>
        <v>0</v>
      </c>
      <c r="X27" s="35"/>
      <c r="Y27" s="35"/>
      <c r="Z27" s="35"/>
      <c r="AA27" s="25">
        <f t="shared" si="0"/>
        <v>0</v>
      </c>
      <c r="AB27" s="93" t="s">
        <v>170</v>
      </c>
      <c r="AC27" s="35"/>
      <c r="AD27" s="35">
        <v>100</v>
      </c>
      <c r="AE27" s="35"/>
      <c r="AF27" s="177"/>
      <c r="AG27" s="293"/>
      <c r="AH27" s="303"/>
      <c r="AI27" s="100"/>
      <c r="AJ27" s="8"/>
      <c r="AK27" s="111">
        <f t="shared" si="3"/>
        <v>0</v>
      </c>
      <c r="AL27" s="367"/>
      <c r="AM27" s="2"/>
      <c r="AN27" s="2"/>
      <c r="AO27" s="2"/>
      <c r="AP27" s="2"/>
      <c r="AQ27" s="2"/>
      <c r="AR27" s="2"/>
      <c r="AS27" s="2"/>
      <c r="AT27" s="8"/>
    </row>
    <row r="28" spans="1:51" ht="15" customHeight="1" x14ac:dyDescent="0.2">
      <c r="A28" s="20"/>
      <c r="B28" s="35"/>
      <c r="C28" s="35"/>
      <c r="D28" s="35"/>
      <c r="E28" s="35"/>
      <c r="F28" s="35"/>
      <c r="G28" s="35"/>
      <c r="H28" s="35"/>
      <c r="I28" s="35"/>
      <c r="J28" s="35"/>
      <c r="K28" s="35"/>
      <c r="L28" s="36"/>
      <c r="M28" s="36"/>
      <c r="N28" s="36"/>
      <c r="O28" s="36"/>
      <c r="P28" s="36"/>
      <c r="Q28" s="36"/>
      <c r="R28" s="107">
        <f>AA28*33.3%</f>
        <v>0</v>
      </c>
      <c r="S28" s="2">
        <f>AA28*10.5%</f>
        <v>0</v>
      </c>
      <c r="T28" s="2">
        <f>AA28*6.6%</f>
        <v>0</v>
      </c>
      <c r="U28" s="36"/>
      <c r="V28" s="36"/>
      <c r="W28" s="107">
        <f>AA28*49.6%</f>
        <v>0</v>
      </c>
      <c r="X28" s="36"/>
      <c r="Y28" s="36"/>
      <c r="Z28" s="36"/>
      <c r="AA28" s="36">
        <f>'E2020'!AA28</f>
        <v>0</v>
      </c>
      <c r="AB28" s="93" t="s">
        <v>169</v>
      </c>
      <c r="AC28" s="35">
        <v>34.200000000000003</v>
      </c>
      <c r="AD28" s="35"/>
      <c r="AE28" s="35"/>
      <c r="AF28" s="177"/>
      <c r="AG28" s="30">
        <f>AA28*AC28/100</f>
        <v>0</v>
      </c>
      <c r="AH28" s="303"/>
      <c r="AI28" s="30">
        <f>AA28*AE28/100</f>
        <v>0</v>
      </c>
      <c r="AJ28" s="25"/>
      <c r="AK28" s="111">
        <f t="shared" si="3"/>
        <v>0</v>
      </c>
      <c r="AL28" s="302"/>
      <c r="AM28" s="2"/>
      <c r="AN28" s="2"/>
      <c r="AO28" s="2"/>
      <c r="AP28" s="2"/>
      <c r="AQ28" s="2"/>
      <c r="AR28" s="2"/>
      <c r="AS28" s="2"/>
      <c r="AT28" s="25"/>
    </row>
    <row r="29" spans="1:51" ht="15" customHeight="1" x14ac:dyDescent="0.2">
      <c r="A29" s="20"/>
      <c r="B29" s="35">
        <v>0</v>
      </c>
      <c r="C29" s="36">
        <v>0</v>
      </c>
      <c r="D29" s="36">
        <v>0</v>
      </c>
      <c r="E29" s="36">
        <v>0</v>
      </c>
      <c r="F29" s="35">
        <v>0</v>
      </c>
      <c r="G29" s="35">
        <v>0</v>
      </c>
      <c r="H29" s="35">
        <v>0</v>
      </c>
      <c r="I29" s="35">
        <v>0</v>
      </c>
      <c r="J29" s="35"/>
      <c r="K29" s="35"/>
      <c r="L29" s="36"/>
      <c r="M29" s="36">
        <v>0</v>
      </c>
      <c r="N29" s="36">
        <v>0</v>
      </c>
      <c r="O29" s="36">
        <v>0</v>
      </c>
      <c r="P29" s="36">
        <v>0</v>
      </c>
      <c r="Q29" s="36">
        <v>0</v>
      </c>
      <c r="R29" s="36">
        <v>0</v>
      </c>
      <c r="S29" s="36">
        <v>0</v>
      </c>
      <c r="T29" s="36">
        <v>0</v>
      </c>
      <c r="U29" s="36">
        <v>0</v>
      </c>
      <c r="V29" s="36">
        <v>0</v>
      </c>
      <c r="W29" s="24">
        <v>0</v>
      </c>
      <c r="X29" s="36">
        <v>0</v>
      </c>
      <c r="Y29" s="36">
        <v>0</v>
      </c>
      <c r="Z29" s="35">
        <v>0</v>
      </c>
      <c r="AA29" s="25">
        <f t="shared" si="0"/>
        <v>0</v>
      </c>
      <c r="AB29" s="93" t="s">
        <v>179</v>
      </c>
      <c r="AC29" s="35">
        <v>0</v>
      </c>
      <c r="AD29" s="35"/>
      <c r="AE29" s="35">
        <v>0</v>
      </c>
      <c r="AF29" s="177"/>
      <c r="AG29" s="30">
        <f>AA29*AC29/100</f>
        <v>0</v>
      </c>
      <c r="AH29" s="303"/>
      <c r="AI29" s="30">
        <f>AA29*AE29/100</f>
        <v>0</v>
      </c>
      <c r="AJ29" s="25"/>
      <c r="AK29" s="111">
        <f t="shared" si="3"/>
        <v>0</v>
      </c>
      <c r="AL29" s="302"/>
      <c r="AM29" s="24"/>
      <c r="AN29" s="24"/>
      <c r="AO29" s="24"/>
      <c r="AP29" s="24"/>
      <c r="AQ29" s="24"/>
      <c r="AR29" s="24"/>
      <c r="AS29" s="24"/>
      <c r="AT29" s="25"/>
    </row>
    <row r="30" spans="1:51" s="3" customFormat="1" ht="15" customHeight="1" x14ac:dyDescent="0.2">
      <c r="A30" s="20"/>
      <c r="B30" s="35">
        <v>0</v>
      </c>
      <c r="C30" s="36">
        <v>0</v>
      </c>
      <c r="D30" s="36">
        <v>0</v>
      </c>
      <c r="E30" s="36">
        <v>0</v>
      </c>
      <c r="F30" s="35">
        <v>0</v>
      </c>
      <c r="G30" s="35">
        <v>0</v>
      </c>
      <c r="H30" s="35">
        <v>0</v>
      </c>
      <c r="I30" s="35">
        <v>0</v>
      </c>
      <c r="J30" s="35"/>
      <c r="K30" s="35"/>
      <c r="L30" s="36"/>
      <c r="M30" s="36">
        <v>0</v>
      </c>
      <c r="N30" s="36">
        <v>0</v>
      </c>
      <c r="O30" s="36">
        <v>0</v>
      </c>
      <c r="P30" s="36">
        <v>0</v>
      </c>
      <c r="Q30" s="36">
        <v>0</v>
      </c>
      <c r="R30" s="36">
        <v>0</v>
      </c>
      <c r="S30" s="36">
        <v>0</v>
      </c>
      <c r="T30" s="36">
        <v>0</v>
      </c>
      <c r="U30" s="36">
        <v>0</v>
      </c>
      <c r="V30" s="36">
        <v>0</v>
      </c>
      <c r="W30" s="24">
        <v>0</v>
      </c>
      <c r="X30" s="36">
        <v>0</v>
      </c>
      <c r="Y30" s="36">
        <v>0</v>
      </c>
      <c r="Z30" s="35">
        <v>0</v>
      </c>
      <c r="AA30" s="25">
        <f t="shared" si="0"/>
        <v>0</v>
      </c>
      <c r="AB30" s="93" t="s">
        <v>13</v>
      </c>
      <c r="AC30" s="35"/>
      <c r="AD30" s="35"/>
      <c r="AE30" s="35">
        <v>0</v>
      </c>
      <c r="AF30" s="177"/>
      <c r="AG30" s="293"/>
      <c r="AH30" s="303"/>
      <c r="AI30" s="30">
        <f>AA30*AE30/100</f>
        <v>0</v>
      </c>
      <c r="AJ30" s="25"/>
      <c r="AK30" s="111">
        <f t="shared" si="3"/>
        <v>0</v>
      </c>
      <c r="AL30" s="302"/>
      <c r="AM30" s="24"/>
      <c r="AN30" s="24"/>
      <c r="AO30" s="24"/>
      <c r="AP30" s="24"/>
      <c r="AQ30" s="24"/>
      <c r="AR30" s="24"/>
      <c r="AS30" s="24"/>
      <c r="AT30" s="25"/>
    </row>
    <row r="31" spans="1:51" ht="15" customHeight="1" x14ac:dyDescent="0.2">
      <c r="A31" s="20"/>
      <c r="B31" s="35"/>
      <c r="C31" s="35"/>
      <c r="D31" s="35"/>
      <c r="E31" s="35"/>
      <c r="F31" s="35"/>
      <c r="G31" s="35"/>
      <c r="H31" s="35"/>
      <c r="I31" s="35"/>
      <c r="J31" s="35"/>
      <c r="K31" s="35"/>
      <c r="L31" s="36"/>
      <c r="M31" s="36"/>
      <c r="N31" s="36"/>
      <c r="O31" s="36"/>
      <c r="P31" s="36"/>
      <c r="Q31" s="107">
        <f>AI31-AH31</f>
        <v>0</v>
      </c>
      <c r="R31" s="36"/>
      <c r="S31" s="36"/>
      <c r="T31" s="36"/>
      <c r="U31" s="36"/>
      <c r="V31" s="36"/>
      <c r="W31" s="2"/>
      <c r="X31" s="36"/>
      <c r="Y31" s="36"/>
      <c r="Z31" s="35"/>
      <c r="AA31" s="25">
        <f t="shared" si="0"/>
        <v>0</v>
      </c>
      <c r="AB31" s="93" t="s">
        <v>167</v>
      </c>
      <c r="AC31" s="35"/>
      <c r="AD31" s="35"/>
      <c r="AE31" s="35">
        <f>'E-Tiltag'!G137</f>
        <v>600</v>
      </c>
      <c r="AF31" s="177"/>
      <c r="AG31" s="100">
        <f>-AH31/$D$2%</f>
        <v>0</v>
      </c>
      <c r="AH31" s="303">
        <v>0</v>
      </c>
      <c r="AI31" s="358">
        <f>AH31*AE31%</f>
        <v>0</v>
      </c>
      <c r="AJ31" s="8"/>
      <c r="AK31" s="111">
        <f t="shared" si="3"/>
        <v>0</v>
      </c>
      <c r="AL31" s="367"/>
      <c r="AM31" s="367"/>
      <c r="AN31" s="2"/>
      <c r="AO31" s="2"/>
      <c r="AP31" s="2"/>
      <c r="AQ31" s="2"/>
      <c r="AR31" s="2"/>
      <c r="AS31" s="2"/>
      <c r="AT31" s="8"/>
    </row>
    <row r="32" spans="1:51" ht="15" customHeight="1" x14ac:dyDescent="0.2">
      <c r="A32" s="20"/>
      <c r="B32" s="35"/>
      <c r="C32" s="35"/>
      <c r="D32" s="35"/>
      <c r="E32" s="35"/>
      <c r="F32" s="35"/>
      <c r="G32" s="35"/>
      <c r="H32" s="35"/>
      <c r="I32" s="35"/>
      <c r="J32" s="35"/>
      <c r="K32" s="35"/>
      <c r="L32" s="36"/>
      <c r="M32" s="36"/>
      <c r="N32" s="36"/>
      <c r="O32" s="36"/>
      <c r="P32" s="36"/>
      <c r="Q32" s="36"/>
      <c r="R32" s="36"/>
      <c r="S32" s="36"/>
      <c r="T32" s="36"/>
      <c r="U32" s="36"/>
      <c r="V32" s="36"/>
      <c r="W32" s="36"/>
      <c r="X32" s="36"/>
      <c r="Y32" s="36"/>
      <c r="Z32" s="35"/>
      <c r="AA32" s="25">
        <f t="shared" si="0"/>
        <v>0</v>
      </c>
      <c r="AB32" s="93" t="s">
        <v>168</v>
      </c>
      <c r="AC32" s="35"/>
      <c r="AD32" s="35"/>
      <c r="AE32" s="35">
        <v>100</v>
      </c>
      <c r="AF32" s="177"/>
      <c r="AG32" s="100">
        <f>-AH32/$D$2%</f>
        <v>0</v>
      </c>
      <c r="AH32" s="303">
        <v>0</v>
      </c>
      <c r="AI32" s="30">
        <f>AH32*AE32%</f>
        <v>0</v>
      </c>
      <c r="AJ32" s="8"/>
      <c r="AK32" s="111">
        <f t="shared" si="3"/>
        <v>0</v>
      </c>
      <c r="AL32" s="367"/>
      <c r="AM32" s="367"/>
      <c r="AN32" s="2"/>
      <c r="AO32" s="2"/>
      <c r="AP32" s="2"/>
      <c r="AQ32" s="2"/>
      <c r="AR32" s="2"/>
      <c r="AS32" s="2"/>
      <c r="AT32" s="8"/>
    </row>
    <row r="33" spans="1:47" ht="15" customHeight="1" x14ac:dyDescent="0.2">
      <c r="A33" s="20"/>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25">
        <f t="shared" si="0"/>
        <v>0</v>
      </c>
      <c r="AB33" s="93" t="s">
        <v>27</v>
      </c>
      <c r="AC33" s="35"/>
      <c r="AD33" s="35"/>
      <c r="AE33" s="35"/>
      <c r="AF33" s="177">
        <f>100-'E-Tiltag'!$J$19</f>
        <v>99.75</v>
      </c>
      <c r="AG33" s="293"/>
      <c r="AH33" s="303"/>
      <c r="AI33" s="30">
        <f>-SUM(AI29:AI32)</f>
        <v>0</v>
      </c>
      <c r="AJ33" s="25">
        <f>-AI33*AF33%</f>
        <v>0</v>
      </c>
      <c r="AK33" s="111">
        <f>SUM(AL33:AT33)</f>
        <v>0</v>
      </c>
      <c r="AL33" s="110">
        <f>AJ33*64.9%</f>
        <v>0</v>
      </c>
      <c r="AM33" s="110">
        <f>AJ33*9.8%</f>
        <v>0</v>
      </c>
      <c r="AN33" s="107">
        <f>AJ33*13.2%</f>
        <v>0</v>
      </c>
      <c r="AO33" s="107">
        <f>AJ33*7%</f>
        <v>0</v>
      </c>
      <c r="AP33" s="107"/>
      <c r="AQ33" s="107">
        <f>AJ33*3.6%</f>
        <v>0</v>
      </c>
      <c r="AR33" s="107">
        <f>AJ33*1.5%</f>
        <v>0</v>
      </c>
      <c r="AS33" s="107"/>
      <c r="AT33" s="25"/>
    </row>
    <row r="34" spans="1:47" ht="15" customHeight="1" x14ac:dyDescent="0.2">
      <c r="A34" s="20"/>
      <c r="B34" s="35">
        <v>0</v>
      </c>
      <c r="C34" s="35">
        <v>0</v>
      </c>
      <c r="D34" s="35">
        <v>0</v>
      </c>
      <c r="E34" s="35">
        <v>0</v>
      </c>
      <c r="F34" s="35">
        <v>0</v>
      </c>
      <c r="G34" s="35">
        <v>0</v>
      </c>
      <c r="H34" s="35">
        <v>0</v>
      </c>
      <c r="I34" s="35">
        <v>0</v>
      </c>
      <c r="J34" s="35"/>
      <c r="K34" s="35"/>
      <c r="L34" s="35"/>
      <c r="M34" s="35">
        <v>0</v>
      </c>
      <c r="N34" s="35">
        <v>0</v>
      </c>
      <c r="O34" s="35">
        <v>0</v>
      </c>
      <c r="P34" s="35">
        <v>0</v>
      </c>
      <c r="Q34" s="35">
        <v>0</v>
      </c>
      <c r="R34" s="35">
        <v>0</v>
      </c>
      <c r="S34" s="35">
        <v>0</v>
      </c>
      <c r="T34" s="35">
        <v>0</v>
      </c>
      <c r="U34" s="35">
        <v>0</v>
      </c>
      <c r="V34" s="35">
        <v>0</v>
      </c>
      <c r="W34" s="35">
        <v>0</v>
      </c>
      <c r="X34" s="35">
        <v>0</v>
      </c>
      <c r="Y34" s="35">
        <v>0</v>
      </c>
      <c r="Z34" s="35">
        <v>0</v>
      </c>
      <c r="AA34" s="25">
        <f t="shared" si="0"/>
        <v>0</v>
      </c>
      <c r="AB34" s="93" t="s">
        <v>180</v>
      </c>
      <c r="AC34" s="35">
        <v>0</v>
      </c>
      <c r="AD34" s="35"/>
      <c r="AE34" s="35">
        <v>0</v>
      </c>
      <c r="AF34" s="177"/>
      <c r="AG34" s="30">
        <f>AA34*AC34/100</f>
        <v>0</v>
      </c>
      <c r="AH34" s="303"/>
      <c r="AI34" s="30">
        <f>AA34*AE34/100</f>
        <v>0</v>
      </c>
      <c r="AJ34" s="25"/>
      <c r="AK34" s="111">
        <f t="shared" si="3"/>
        <v>0</v>
      </c>
      <c r="AL34" s="367"/>
      <c r="AM34" s="2"/>
      <c r="AN34" s="2"/>
      <c r="AO34" s="2"/>
      <c r="AP34" s="2"/>
      <c r="AQ34" s="2"/>
      <c r="AR34" s="2"/>
      <c r="AS34" s="24"/>
      <c r="AT34" s="25"/>
    </row>
    <row r="35" spans="1:47" ht="15" customHeight="1" x14ac:dyDescent="0.2">
      <c r="A35" s="20"/>
      <c r="B35" s="35">
        <v>0</v>
      </c>
      <c r="C35" s="35">
        <v>0</v>
      </c>
      <c r="D35" s="35">
        <v>0</v>
      </c>
      <c r="E35" s="35">
        <v>0</v>
      </c>
      <c r="F35" s="35">
        <v>0</v>
      </c>
      <c r="G35" s="35">
        <v>0</v>
      </c>
      <c r="H35" s="35">
        <v>0</v>
      </c>
      <c r="I35" s="35">
        <v>0</v>
      </c>
      <c r="J35" s="35"/>
      <c r="K35" s="35"/>
      <c r="L35" s="35"/>
      <c r="M35" s="35">
        <v>0</v>
      </c>
      <c r="N35" s="35">
        <v>0</v>
      </c>
      <c r="O35" s="35">
        <v>0</v>
      </c>
      <c r="P35" s="35">
        <v>0</v>
      </c>
      <c r="Q35" s="35">
        <v>0</v>
      </c>
      <c r="R35" s="35">
        <v>0</v>
      </c>
      <c r="S35" s="35">
        <v>0</v>
      </c>
      <c r="T35" s="35">
        <v>0</v>
      </c>
      <c r="U35" s="35">
        <v>0</v>
      </c>
      <c r="V35" s="35">
        <v>0</v>
      </c>
      <c r="W35" s="35">
        <v>0</v>
      </c>
      <c r="X35" s="35">
        <v>0</v>
      </c>
      <c r="Y35" s="35">
        <v>0</v>
      </c>
      <c r="Z35" s="35">
        <v>0</v>
      </c>
      <c r="AA35" s="25">
        <f t="shared" si="0"/>
        <v>0</v>
      </c>
      <c r="AB35" s="93" t="s">
        <v>7</v>
      </c>
      <c r="AC35" s="35"/>
      <c r="AD35" s="35"/>
      <c r="AE35" s="35">
        <v>0</v>
      </c>
      <c r="AF35" s="177"/>
      <c r="AG35" s="30">
        <f>AA35*AC35/100</f>
        <v>0</v>
      </c>
      <c r="AH35" s="303"/>
      <c r="AI35" s="30">
        <f>AA35*AE35/100</f>
        <v>0</v>
      </c>
      <c r="AJ35" s="25"/>
      <c r="AK35" s="111">
        <f t="shared" si="3"/>
        <v>0</v>
      </c>
      <c r="AL35" s="367"/>
      <c r="AM35" s="2"/>
      <c r="AN35" s="2"/>
      <c r="AO35" s="2"/>
      <c r="AP35" s="2"/>
      <c r="AQ35" s="2"/>
      <c r="AR35" s="2"/>
      <c r="AS35" s="24"/>
      <c r="AT35" s="25"/>
    </row>
    <row r="36" spans="1:47" s="3" customFormat="1" ht="15" customHeight="1" x14ac:dyDescent="0.2">
      <c r="A36" s="20"/>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25">
        <f t="shared" si="0"/>
        <v>0</v>
      </c>
      <c r="AB36" s="93" t="s">
        <v>28</v>
      </c>
      <c r="AC36" s="35"/>
      <c r="AD36" s="35"/>
      <c r="AE36" s="35"/>
      <c r="AF36" s="177">
        <f>100-'E-Tiltag'!$J$19</f>
        <v>99.75</v>
      </c>
      <c r="AG36" s="293"/>
      <c r="AH36" s="303"/>
      <c r="AI36" s="30">
        <f>-SUM(AI34:AI35)</f>
        <v>0</v>
      </c>
      <c r="AJ36" s="25">
        <f>-AI36*AF36%</f>
        <v>0</v>
      </c>
      <c r="AK36" s="111">
        <f t="shared" si="3"/>
        <v>0</v>
      </c>
      <c r="AL36" s="110">
        <f>AJ36*64.9%</f>
        <v>0</v>
      </c>
      <c r="AM36" s="110">
        <f>AJ36*9.8%</f>
        <v>0</v>
      </c>
      <c r="AN36" s="107">
        <f>AJ36*13.2%</f>
        <v>0</v>
      </c>
      <c r="AO36" s="107">
        <f>AJ36*7%</f>
        <v>0</v>
      </c>
      <c r="AP36" s="107"/>
      <c r="AQ36" s="107">
        <f>AJ36*3.6%</f>
        <v>0</v>
      </c>
      <c r="AR36" s="107">
        <f>AJ36*1.5%</f>
        <v>0</v>
      </c>
      <c r="AS36" s="107"/>
      <c r="AT36" s="25"/>
    </row>
    <row r="37" spans="1:47" ht="15" customHeight="1" x14ac:dyDescent="0.2">
      <c r="A37" s="20">
        <v>0</v>
      </c>
      <c r="B37" s="35">
        <v>0</v>
      </c>
      <c r="C37" s="35">
        <v>0</v>
      </c>
      <c r="D37" s="35">
        <v>0</v>
      </c>
      <c r="E37" s="35">
        <v>0</v>
      </c>
      <c r="F37" s="35">
        <v>0</v>
      </c>
      <c r="G37" s="35">
        <v>0</v>
      </c>
      <c r="H37" s="35">
        <v>0</v>
      </c>
      <c r="I37" s="35">
        <f>AI37/AC37%</f>
        <v>0</v>
      </c>
      <c r="J37" s="35">
        <v>0</v>
      </c>
      <c r="K37" s="35">
        <v>0</v>
      </c>
      <c r="L37" s="35">
        <v>0</v>
      </c>
      <c r="M37" s="35">
        <v>0</v>
      </c>
      <c r="N37" s="35">
        <v>0</v>
      </c>
      <c r="O37" s="35">
        <v>0</v>
      </c>
      <c r="P37" s="35">
        <v>0</v>
      </c>
      <c r="Q37" s="35">
        <v>0</v>
      </c>
      <c r="R37" s="36">
        <v>0</v>
      </c>
      <c r="S37" s="36">
        <v>0</v>
      </c>
      <c r="T37" s="36">
        <v>0</v>
      </c>
      <c r="U37" s="36">
        <v>0</v>
      </c>
      <c r="V37" s="36">
        <v>0</v>
      </c>
      <c r="W37" s="36">
        <v>0</v>
      </c>
      <c r="X37" s="36">
        <v>0</v>
      </c>
      <c r="Y37" s="36">
        <v>0</v>
      </c>
      <c r="Z37" s="35">
        <v>0</v>
      </c>
      <c r="AA37" s="25">
        <f t="shared" si="0"/>
        <v>0</v>
      </c>
      <c r="AB37" s="93" t="s">
        <v>181</v>
      </c>
      <c r="AC37" s="35">
        <v>45.1</v>
      </c>
      <c r="AD37" s="35"/>
      <c r="AE37" s="35">
        <v>50.9</v>
      </c>
      <c r="AF37" s="177"/>
      <c r="AG37" s="30">
        <f>AA37*AC37/100</f>
        <v>0</v>
      </c>
      <c r="AH37" s="303"/>
      <c r="AI37" s="30">
        <f>SUMPRODUCT('E-Tiltag'!$E$145:$E$148,'E-Tiltag'!$L$145:$L$148)</f>
        <v>0</v>
      </c>
      <c r="AJ37" s="25"/>
      <c r="AK37" s="111">
        <f t="shared" si="3"/>
        <v>0</v>
      </c>
      <c r="AL37" s="302"/>
      <c r="AM37" s="24"/>
      <c r="AN37" s="24"/>
      <c r="AO37" s="24"/>
      <c r="AP37" s="24"/>
      <c r="AQ37" s="24"/>
      <c r="AR37" s="24"/>
      <c r="AS37" s="24"/>
      <c r="AT37" s="25"/>
    </row>
    <row r="38" spans="1:47" ht="15" customHeight="1" x14ac:dyDescent="0.2">
      <c r="A38" s="20"/>
      <c r="B38" s="35">
        <v>0</v>
      </c>
      <c r="C38" s="35">
        <v>0</v>
      </c>
      <c r="D38" s="35">
        <v>0</v>
      </c>
      <c r="E38" s="36">
        <v>0</v>
      </c>
      <c r="F38" s="36">
        <v>0</v>
      </c>
      <c r="G38" s="36">
        <v>0</v>
      </c>
      <c r="H38" s="36">
        <v>0</v>
      </c>
      <c r="I38" s="36">
        <f>SUMPRODUCT('E-Tiltag'!$D$145:$D$148,'E-Tiltag'!$L$145:$L$148)/$AE$38%</f>
        <v>0</v>
      </c>
      <c r="J38" s="36"/>
      <c r="K38" s="36"/>
      <c r="L38" s="36"/>
      <c r="M38" s="36">
        <v>0</v>
      </c>
      <c r="N38" s="36">
        <v>0</v>
      </c>
      <c r="O38" s="36">
        <v>0</v>
      </c>
      <c r="P38" s="36">
        <v>0</v>
      </c>
      <c r="Q38" s="36">
        <v>0</v>
      </c>
      <c r="R38" s="36">
        <v>0</v>
      </c>
      <c r="S38" s="36">
        <v>0</v>
      </c>
      <c r="T38" s="36">
        <v>0</v>
      </c>
      <c r="U38" s="36">
        <f>SUMPRODUCT('E-Tiltag'!$D$145:$D$148,'E-Tiltag'!$H$145:$H$148)/$AE$38%</f>
        <v>19.272020436705876</v>
      </c>
      <c r="V38" s="36">
        <v>0</v>
      </c>
      <c r="W38" s="36">
        <v>0</v>
      </c>
      <c r="X38" s="35">
        <f>SUMPRODUCT('E-Tiltag'!$D$145:$D$148,'E-Tiltag'!$I$145:$I$148)/$AE$38%*(1-'E-Tiltag'!$G$140)</f>
        <v>0</v>
      </c>
      <c r="Y38" s="35">
        <v>0</v>
      </c>
      <c r="Z38" s="35">
        <f>SUMPRODUCT('E-Tiltag'!$D$145:$D$148,'E-Tiltag'!$I$145:$I$148)/$AE$38%*'E-Tiltag'!$G$140</f>
        <v>0</v>
      </c>
      <c r="AA38" s="25">
        <f t="shared" si="0"/>
        <v>19.272020436705876</v>
      </c>
      <c r="AB38" s="93" t="s">
        <v>203</v>
      </c>
      <c r="AC38" s="35"/>
      <c r="AD38" s="35"/>
      <c r="AE38" s="35">
        <f>'E-Tiltag'!S149</f>
        <v>102</v>
      </c>
      <c r="AF38" s="177"/>
      <c r="AG38" s="30">
        <f>AA38*AC38/100</f>
        <v>0</v>
      </c>
      <c r="AH38" s="303"/>
      <c r="AI38" s="30">
        <f>AA38*AE38/100</f>
        <v>19.657460845439992</v>
      </c>
      <c r="AJ38" s="25"/>
      <c r="AK38" s="111">
        <f t="shared" si="3"/>
        <v>0</v>
      </c>
      <c r="AL38" s="302"/>
      <c r="AM38" s="24"/>
      <c r="AN38" s="24"/>
      <c r="AO38" s="24"/>
      <c r="AP38" s="24"/>
      <c r="AQ38" s="24"/>
      <c r="AR38" s="24"/>
      <c r="AS38" s="24"/>
      <c r="AT38" s="25"/>
      <c r="AU38" s="33"/>
    </row>
    <row r="39" spans="1:47" ht="15" customHeight="1" x14ac:dyDescent="0.2">
      <c r="A39" s="20"/>
      <c r="B39" s="35"/>
      <c r="C39" s="35"/>
      <c r="D39" s="35"/>
      <c r="E39" s="36"/>
      <c r="F39" s="36"/>
      <c r="G39" s="36"/>
      <c r="H39" s="36"/>
      <c r="I39" s="36">
        <v>0</v>
      </c>
      <c r="J39" s="36"/>
      <c r="K39" s="36"/>
      <c r="L39" s="36"/>
      <c r="M39" s="36"/>
      <c r="N39" s="36"/>
      <c r="O39" s="36"/>
      <c r="P39" s="36"/>
      <c r="Q39" s="107">
        <f>AI39-AH39</f>
        <v>0</v>
      </c>
      <c r="R39" s="36"/>
      <c r="S39" s="36"/>
      <c r="T39" s="36"/>
      <c r="U39" s="36"/>
      <c r="V39" s="36"/>
      <c r="W39" s="35"/>
      <c r="X39" s="35"/>
      <c r="Y39" s="35"/>
      <c r="Z39" s="35"/>
      <c r="AA39" s="25">
        <f t="shared" si="0"/>
        <v>0</v>
      </c>
      <c r="AB39" s="93" t="s">
        <v>204</v>
      </c>
      <c r="AC39" s="35"/>
      <c r="AD39" s="35"/>
      <c r="AE39" s="35">
        <f>'E-Tiltag'!G136</f>
        <v>300</v>
      </c>
      <c r="AF39" s="177"/>
      <c r="AG39" s="100">
        <f>-AH39/$D$2%</f>
        <v>0</v>
      </c>
      <c r="AH39" s="303">
        <f>SUMPRODUCT('E-Tiltag'!$E$145:$E$148,'E-Tiltag'!$F$145:$F$148)/AE39%+SUMPRODUCT('E-Tiltag'!$E$145:$E$148,'E-Tiltag'!$G$145:$G$148)/AE31%</f>
        <v>0</v>
      </c>
      <c r="AI39" s="30">
        <f>SUMPRODUCT('E-Tiltag'!$D$145:$D$148,'E-Tiltag'!$E$145:$E$148)+SUMPRODUCT('E-Tiltag'!$D$145:$D$148,'E-Tiltag'!$F$145:$F$148)</f>
        <v>0</v>
      </c>
      <c r="AJ39" s="8"/>
      <c r="AK39" s="111">
        <f t="shared" si="3"/>
        <v>0</v>
      </c>
      <c r="AL39" s="367"/>
      <c r="AM39" s="2"/>
      <c r="AN39" s="2"/>
      <c r="AO39" s="2"/>
      <c r="AP39" s="2"/>
      <c r="AQ39" s="2"/>
      <c r="AR39" s="2"/>
      <c r="AS39" s="2"/>
      <c r="AT39" s="8"/>
    </row>
    <row r="40" spans="1:47" ht="15" customHeight="1" x14ac:dyDescent="0.2">
      <c r="A40" s="20"/>
      <c r="B40" s="35"/>
      <c r="C40" s="35"/>
      <c r="D40" s="35"/>
      <c r="E40" s="36"/>
      <c r="F40" s="36"/>
      <c r="G40" s="36"/>
      <c r="H40" s="36"/>
      <c r="I40" s="36"/>
      <c r="J40" s="36"/>
      <c r="K40" s="36"/>
      <c r="L40" s="36"/>
      <c r="M40" s="36"/>
      <c r="N40" s="36"/>
      <c r="O40" s="36"/>
      <c r="P40" s="36"/>
      <c r="Q40" s="36"/>
      <c r="R40" s="36"/>
      <c r="S40" s="36"/>
      <c r="T40" s="36"/>
      <c r="U40" s="36"/>
      <c r="V40" s="36"/>
      <c r="W40" s="35"/>
      <c r="X40" s="35"/>
      <c r="Y40" s="35"/>
      <c r="Z40" s="35"/>
      <c r="AA40" s="25">
        <f t="shared" si="0"/>
        <v>0</v>
      </c>
      <c r="AB40" s="93" t="s">
        <v>205</v>
      </c>
      <c r="AC40" s="35"/>
      <c r="AD40" s="35"/>
      <c r="AE40" s="35">
        <v>99.690829694323142</v>
      </c>
      <c r="AF40" s="177"/>
      <c r="AG40" s="100">
        <f>-AH40/$D$2%</f>
        <v>0</v>
      </c>
      <c r="AH40" s="37">
        <f>AI40/AE40%</f>
        <v>0</v>
      </c>
      <c r="AI40" s="100">
        <f>SUMPRODUCT('E-Tiltag'!$D$145:$D$148,'E-Tiltag'!$G$145:$G$148)</f>
        <v>0</v>
      </c>
      <c r="AJ40" s="8"/>
      <c r="AK40" s="111">
        <f t="shared" si="3"/>
        <v>0</v>
      </c>
      <c r="AL40" s="367"/>
      <c r="AM40" s="2"/>
      <c r="AN40" s="2"/>
      <c r="AO40" s="2"/>
      <c r="AP40" s="2"/>
      <c r="AQ40" s="2"/>
      <c r="AR40" s="2"/>
      <c r="AS40" s="2"/>
      <c r="AT40" s="8"/>
    </row>
    <row r="41" spans="1:47" ht="15" customHeight="1" x14ac:dyDescent="0.2">
      <c r="A41" s="20"/>
      <c r="B41" s="35"/>
      <c r="C41" s="35"/>
      <c r="D41" s="35"/>
      <c r="E41" s="36"/>
      <c r="F41" s="36"/>
      <c r="G41" s="36"/>
      <c r="H41" s="36"/>
      <c r="I41" s="36"/>
      <c r="J41" s="36"/>
      <c r="K41" s="36"/>
      <c r="L41" s="36"/>
      <c r="M41" s="36"/>
      <c r="N41" s="36"/>
      <c r="O41" s="36">
        <f>AI41</f>
        <v>0</v>
      </c>
      <c r="P41" s="36"/>
      <c r="Q41" s="36"/>
      <c r="R41" s="36"/>
      <c r="S41" s="36"/>
      <c r="T41" s="36"/>
      <c r="U41" s="36"/>
      <c r="V41" s="36"/>
      <c r="W41" s="35"/>
      <c r="X41" s="35"/>
      <c r="Y41" s="35"/>
      <c r="Z41" s="35"/>
      <c r="AA41" s="25">
        <f t="shared" si="0"/>
        <v>0</v>
      </c>
      <c r="AB41" s="93" t="s">
        <v>206</v>
      </c>
      <c r="AC41" s="35"/>
      <c r="AD41" s="35"/>
      <c r="AE41" s="35">
        <v>100</v>
      </c>
      <c r="AF41" s="177"/>
      <c r="AG41" s="293"/>
      <c r="AH41" s="37"/>
      <c r="AI41" s="30">
        <f>SUMPRODUCT('E-Tiltag'!$D$145:$D$148,'E-Tiltag'!$J$145:$J$148)</f>
        <v>0</v>
      </c>
      <c r="AJ41" s="25"/>
      <c r="AK41" s="111">
        <f t="shared" si="3"/>
        <v>0</v>
      </c>
      <c r="AL41" s="302"/>
      <c r="AM41" s="24"/>
      <c r="AN41" s="24"/>
      <c r="AO41" s="24"/>
      <c r="AP41" s="24"/>
      <c r="AQ41" s="24"/>
      <c r="AR41" s="24"/>
      <c r="AS41" s="24"/>
      <c r="AT41" s="25"/>
    </row>
    <row r="42" spans="1:47" ht="15" customHeight="1" x14ac:dyDescent="0.2">
      <c r="A42" s="20"/>
      <c r="B42" s="35"/>
      <c r="C42" s="35"/>
      <c r="D42" s="35"/>
      <c r="E42" s="35"/>
      <c r="F42" s="35"/>
      <c r="G42" s="35"/>
      <c r="H42" s="35"/>
      <c r="I42" s="35"/>
      <c r="J42" s="35"/>
      <c r="K42" s="35"/>
      <c r="L42" s="35"/>
      <c r="M42" s="35"/>
      <c r="N42" s="35"/>
      <c r="O42" s="35"/>
      <c r="P42" s="35">
        <v>0</v>
      </c>
      <c r="Q42" s="35"/>
      <c r="R42" s="35"/>
      <c r="S42" s="35"/>
      <c r="T42" s="35"/>
      <c r="U42" s="35"/>
      <c r="V42" s="35"/>
      <c r="W42" s="35"/>
      <c r="X42" s="35"/>
      <c r="Y42" s="35"/>
      <c r="Z42" s="35"/>
      <c r="AA42" s="25">
        <f t="shared" si="0"/>
        <v>0</v>
      </c>
      <c r="AB42" s="93" t="s">
        <v>4722</v>
      </c>
      <c r="AC42" s="35"/>
      <c r="AD42" s="35"/>
      <c r="AE42" s="35">
        <v>100</v>
      </c>
      <c r="AF42" s="177"/>
      <c r="AG42" s="30">
        <f>AA42*AC42/100</f>
        <v>0</v>
      </c>
      <c r="AH42" s="37"/>
      <c r="AI42" s="30">
        <f>SUMPRODUCT('E-Tiltag'!$D$145:$D$148,'E-Tiltag'!$M$145:$M$148)+SUMPRODUCT('E-Tiltag'!$D$145:$D$148,'E-Tiltag'!$N$145:$N$148)</f>
        <v>0</v>
      </c>
      <c r="AJ42" s="25"/>
      <c r="AK42" s="111">
        <f t="shared" si="3"/>
        <v>0</v>
      </c>
      <c r="AL42" s="302"/>
      <c r="AM42" s="302"/>
      <c r="AN42" s="24"/>
      <c r="AO42" s="24"/>
      <c r="AP42" s="24"/>
      <c r="AQ42" s="24"/>
      <c r="AR42" s="24"/>
      <c r="AS42" s="24"/>
      <c r="AT42" s="25"/>
    </row>
    <row r="43" spans="1:47" ht="15" customHeight="1" x14ac:dyDescent="0.2">
      <c r="A43" s="20"/>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25">
        <f t="shared" si="0"/>
        <v>0</v>
      </c>
      <c r="AB43" s="93" t="s">
        <v>208</v>
      </c>
      <c r="AC43" s="35"/>
      <c r="AD43" s="35"/>
      <c r="AE43" s="35"/>
      <c r="AF43" s="177">
        <f>100-'E-Tiltag'!$J$19</f>
        <v>99.75</v>
      </c>
      <c r="AG43" s="293"/>
      <c r="AH43" s="37"/>
      <c r="AI43" s="30">
        <f>-SUM(AI37:AI42)</f>
        <v>-19.657460845439992</v>
      </c>
      <c r="AJ43" s="25">
        <f>-AI43*AF43%</f>
        <v>19.608317193326393</v>
      </c>
      <c r="AK43" s="111">
        <f t="shared" si="3"/>
        <v>19.608317193326393</v>
      </c>
      <c r="AL43" s="110">
        <f>AJ43*64.9%</f>
        <v>12.725797858468828</v>
      </c>
      <c r="AM43" s="110">
        <f>AJ43*9.8%</f>
        <v>1.9216150849459865</v>
      </c>
      <c r="AN43" s="107">
        <f>AJ43*13.2%</f>
        <v>2.5882978695190841</v>
      </c>
      <c r="AO43" s="107">
        <f>AJ43*7%</f>
        <v>1.3725822035328477</v>
      </c>
      <c r="AP43" s="107"/>
      <c r="AQ43" s="107">
        <f>AJ43*3.6%</f>
        <v>0.70589941895975017</v>
      </c>
      <c r="AR43" s="107">
        <f>AJ43*1.5%</f>
        <v>0.29412475789989589</v>
      </c>
      <c r="AS43" s="107"/>
      <c r="AT43" s="25"/>
    </row>
    <row r="44" spans="1:47" ht="15" customHeight="1" x14ac:dyDescent="0.2">
      <c r="A44" s="20"/>
      <c r="B44" s="35">
        <v>0</v>
      </c>
      <c r="C44" s="35">
        <v>0</v>
      </c>
      <c r="D44" s="35">
        <v>0</v>
      </c>
      <c r="E44" s="35">
        <v>0</v>
      </c>
      <c r="F44" s="35">
        <v>0</v>
      </c>
      <c r="G44" s="35">
        <v>0</v>
      </c>
      <c r="H44" s="35">
        <v>0</v>
      </c>
      <c r="I44" s="35">
        <f>AI44/AE44%</f>
        <v>0</v>
      </c>
      <c r="J44" s="35"/>
      <c r="K44" s="35"/>
      <c r="L44" s="35"/>
      <c r="M44" s="35">
        <v>0</v>
      </c>
      <c r="N44" s="35">
        <v>0</v>
      </c>
      <c r="O44" s="35">
        <v>0</v>
      </c>
      <c r="P44" s="35">
        <v>0</v>
      </c>
      <c r="Q44" s="35">
        <v>0</v>
      </c>
      <c r="R44" s="35">
        <v>0</v>
      </c>
      <c r="S44" s="35">
        <v>0</v>
      </c>
      <c r="T44" s="35">
        <v>0</v>
      </c>
      <c r="U44" s="35">
        <v>0</v>
      </c>
      <c r="V44" s="35">
        <v>0</v>
      </c>
      <c r="W44" s="35">
        <v>0</v>
      </c>
      <c r="X44" s="35">
        <v>0</v>
      </c>
      <c r="Y44" s="35">
        <v>0</v>
      </c>
      <c r="Z44" s="35">
        <v>0</v>
      </c>
      <c r="AA44" s="25">
        <f t="shared" si="0"/>
        <v>0</v>
      </c>
      <c r="AB44" s="93" t="s">
        <v>182</v>
      </c>
      <c r="AC44" s="35">
        <v>21.3</v>
      </c>
      <c r="AD44" s="35"/>
      <c r="AE44" s="35">
        <v>60.1</v>
      </c>
      <c r="AF44" s="177"/>
      <c r="AG44" s="30">
        <f>AA44*AC44/100</f>
        <v>0</v>
      </c>
      <c r="AH44" s="37"/>
      <c r="AI44" s="30">
        <f>'E-Tiltag'!$D$149*'E-Tiltag'!$K$149</f>
        <v>0</v>
      </c>
      <c r="AJ44" s="25"/>
      <c r="AK44" s="111">
        <f t="shared" ref="AK44:AK59" si="5">SUM(AL44:AT44)</f>
        <v>0</v>
      </c>
      <c r="AL44" s="110"/>
      <c r="AM44" s="110"/>
      <c r="AN44" s="107"/>
      <c r="AO44" s="107"/>
      <c r="AP44" s="107"/>
      <c r="AQ44" s="107"/>
      <c r="AR44" s="107"/>
      <c r="AS44" s="107"/>
      <c r="AT44" s="25"/>
    </row>
    <row r="45" spans="1:47" ht="15" customHeight="1" x14ac:dyDescent="0.2">
      <c r="A45" s="20"/>
      <c r="B45" s="35"/>
      <c r="C45" s="35">
        <v>0</v>
      </c>
      <c r="D45" s="35">
        <v>0</v>
      </c>
      <c r="E45" s="35"/>
      <c r="F45" s="35">
        <v>0</v>
      </c>
      <c r="G45" s="35">
        <v>0</v>
      </c>
      <c r="H45" s="35">
        <v>0</v>
      </c>
      <c r="I45" s="35">
        <f>('E-Tiltag'!$D$149*'E-Tiltag'!$L$149)/$AE$45%</f>
        <v>0</v>
      </c>
      <c r="J45" s="35"/>
      <c r="K45" s="35"/>
      <c r="L45" s="35"/>
      <c r="M45" s="35">
        <v>0</v>
      </c>
      <c r="N45" s="35">
        <v>0</v>
      </c>
      <c r="O45" s="35">
        <v>0</v>
      </c>
      <c r="P45" s="35">
        <v>0</v>
      </c>
      <c r="Q45" s="35">
        <v>0</v>
      </c>
      <c r="R45" s="35">
        <v>0</v>
      </c>
      <c r="S45" s="35">
        <v>0</v>
      </c>
      <c r="T45" s="35"/>
      <c r="U45" s="35">
        <f>('E-Tiltag'!$D$149*'E-Tiltag'!$H$149)/$AE$45%</f>
        <v>0</v>
      </c>
      <c r="V45" s="35"/>
      <c r="W45" s="35">
        <v>0</v>
      </c>
      <c r="X45" s="35">
        <f>('E-Tiltag'!$D$149*'E-Tiltag'!$I$149)/$AE$45%*(1-'E-Tiltag'!$G$140)</f>
        <v>0</v>
      </c>
      <c r="Y45" s="35">
        <v>0</v>
      </c>
      <c r="Z45" s="35">
        <f>('E-Tiltag'!$D$149*'E-Tiltag'!$I$149)/$AE$45%*'E-Tiltag'!$G$140</f>
        <v>0</v>
      </c>
      <c r="AA45" s="300">
        <f t="shared" si="0"/>
        <v>0</v>
      </c>
      <c r="AB45" s="93" t="s">
        <v>183</v>
      </c>
      <c r="AC45" s="35"/>
      <c r="AD45" s="35"/>
      <c r="AE45" s="35">
        <v>109.6</v>
      </c>
      <c r="AF45" s="177"/>
      <c r="AG45" s="30">
        <f>-AH45/$D$2%</f>
        <v>0</v>
      </c>
      <c r="AH45" s="37"/>
      <c r="AI45" s="30">
        <f>'E-Tiltag'!$D$149*('E-Tiltag'!$H$149+'E-Tiltag'!$I$149+'E-Tiltag'!$L$149)</f>
        <v>0</v>
      </c>
      <c r="AJ45" s="25"/>
      <c r="AK45" s="111">
        <f t="shared" si="5"/>
        <v>0</v>
      </c>
      <c r="AL45" s="302"/>
      <c r="AM45" s="24"/>
      <c r="AN45" s="24"/>
      <c r="AO45" s="24"/>
      <c r="AP45" s="24"/>
      <c r="AQ45" s="24"/>
      <c r="AR45" s="24"/>
      <c r="AS45" s="24"/>
      <c r="AT45" s="25"/>
    </row>
    <row r="46" spans="1:47" ht="15" customHeight="1" x14ac:dyDescent="0.2">
      <c r="A46" s="20"/>
      <c r="B46" s="35"/>
      <c r="C46" s="35"/>
      <c r="D46" s="35"/>
      <c r="E46" s="35"/>
      <c r="F46" s="35"/>
      <c r="G46" s="35"/>
      <c r="H46" s="35"/>
      <c r="I46" s="35">
        <v>0</v>
      </c>
      <c r="J46" s="35"/>
      <c r="K46" s="35"/>
      <c r="L46" s="35"/>
      <c r="M46" s="35"/>
      <c r="N46" s="35"/>
      <c r="O46" s="36"/>
      <c r="P46" s="36"/>
      <c r="Q46" s="107">
        <f>AI46-AH46</f>
        <v>0</v>
      </c>
      <c r="R46" s="36"/>
      <c r="S46" s="36"/>
      <c r="T46" s="35"/>
      <c r="U46" s="35"/>
      <c r="V46" s="35"/>
      <c r="W46" s="35"/>
      <c r="X46" s="35"/>
      <c r="Y46" s="35"/>
      <c r="Z46" s="35"/>
      <c r="AA46" s="300">
        <f t="shared" si="0"/>
        <v>0</v>
      </c>
      <c r="AB46" s="93" t="s">
        <v>184</v>
      </c>
      <c r="AC46" s="35"/>
      <c r="AD46" s="35"/>
      <c r="AE46" s="35">
        <v>332.5</v>
      </c>
      <c r="AF46" s="177"/>
      <c r="AG46" s="30">
        <f>-AH46/$D$2%</f>
        <v>0</v>
      </c>
      <c r="AH46" s="37">
        <f>('E-Tiltag'!$D$149*'E-Tiltag'!$E$149)/AE46%+('E-Tiltag'!$D$149*'E-Tiltag'!$F$149)/AE31%</f>
        <v>0</v>
      </c>
      <c r="AI46" s="30">
        <f>'E-Tiltag'!$D$149*'E-Tiltag'!$E$149+'E-Tiltag'!$D$149*'E-Tiltag'!$F$149</f>
        <v>0</v>
      </c>
      <c r="AJ46" s="25"/>
      <c r="AK46" s="111">
        <f t="shared" si="5"/>
        <v>0</v>
      </c>
      <c r="AL46" s="302"/>
      <c r="AM46" s="24"/>
      <c r="AN46" s="24"/>
      <c r="AO46" s="24"/>
      <c r="AP46" s="24"/>
      <c r="AQ46" s="24"/>
      <c r="AR46" s="24"/>
      <c r="AS46" s="24"/>
      <c r="AT46" s="25"/>
    </row>
    <row r="47" spans="1:47" s="3" customFormat="1" ht="15" customHeight="1" x14ac:dyDescent="0.2">
      <c r="A47" s="20"/>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00">
        <f t="shared" si="0"/>
        <v>0</v>
      </c>
      <c r="AB47" s="93" t="s">
        <v>185</v>
      </c>
      <c r="AC47" s="35"/>
      <c r="AD47" s="35"/>
      <c r="AE47" s="35">
        <v>100</v>
      </c>
      <c r="AF47" s="177"/>
      <c r="AG47" s="30">
        <f>-AH47/$D$2%</f>
        <v>0</v>
      </c>
      <c r="AH47" s="37">
        <f>AI47/AE47%</f>
        <v>0</v>
      </c>
      <c r="AI47" s="100">
        <f>'E-Tiltag'!$D$149*'E-Tiltag'!$G$149</f>
        <v>0</v>
      </c>
      <c r="AJ47" s="25"/>
      <c r="AK47" s="111">
        <f t="shared" si="5"/>
        <v>0</v>
      </c>
      <c r="AL47" s="302"/>
      <c r="AM47" s="24"/>
      <c r="AN47" s="24"/>
      <c r="AO47" s="24"/>
      <c r="AP47" s="24"/>
      <c r="AQ47" s="24"/>
      <c r="AR47" s="24"/>
      <c r="AS47" s="24"/>
      <c r="AT47" s="25"/>
    </row>
    <row r="48" spans="1:47" s="3" customFormat="1" ht="15" customHeight="1" x14ac:dyDescent="0.2">
      <c r="A48" s="20"/>
      <c r="B48" s="35"/>
      <c r="C48" s="35"/>
      <c r="D48" s="35"/>
      <c r="E48" s="35"/>
      <c r="F48" s="35"/>
      <c r="G48" s="35"/>
      <c r="H48" s="35"/>
      <c r="I48" s="35"/>
      <c r="J48" s="35"/>
      <c r="K48" s="35"/>
      <c r="L48" s="35"/>
      <c r="M48" s="35"/>
      <c r="N48" s="35"/>
      <c r="O48" s="35">
        <v>0</v>
      </c>
      <c r="P48" s="35"/>
      <c r="Q48" s="35"/>
      <c r="R48" s="35"/>
      <c r="S48" s="35"/>
      <c r="T48" s="35"/>
      <c r="U48" s="35"/>
      <c r="V48" s="35"/>
      <c r="W48" s="35"/>
      <c r="X48" s="35"/>
      <c r="Y48" s="35"/>
      <c r="Z48" s="35"/>
      <c r="AA48" s="300">
        <f t="shared" si="0"/>
        <v>0</v>
      </c>
      <c r="AB48" s="93" t="s">
        <v>186</v>
      </c>
      <c r="AC48" s="35"/>
      <c r="AD48" s="35"/>
      <c r="AE48" s="35">
        <v>100</v>
      </c>
      <c r="AF48" s="177"/>
      <c r="AG48" s="293"/>
      <c r="AH48" s="37"/>
      <c r="AI48" s="30">
        <f>'E-Tiltag'!$D$149*'E-Tiltag'!$J$149</f>
        <v>0</v>
      </c>
      <c r="AJ48" s="25"/>
      <c r="AK48" s="111">
        <f t="shared" si="5"/>
        <v>0</v>
      </c>
      <c r="AL48" s="302"/>
      <c r="AM48" s="24"/>
      <c r="AN48" s="24"/>
      <c r="AO48" s="24"/>
      <c r="AP48" s="24"/>
      <c r="AQ48" s="24"/>
      <c r="AR48" s="24"/>
      <c r="AS48" s="24"/>
      <c r="AT48" s="25"/>
    </row>
    <row r="49" spans="1:46" ht="15" customHeight="1" x14ac:dyDescent="0.2">
      <c r="A49" s="20"/>
      <c r="B49" s="35"/>
      <c r="C49" s="35"/>
      <c r="D49" s="35"/>
      <c r="E49" s="35"/>
      <c r="F49" s="35"/>
      <c r="G49" s="35"/>
      <c r="H49" s="35"/>
      <c r="I49" s="35"/>
      <c r="J49" s="35"/>
      <c r="K49" s="35"/>
      <c r="L49" s="35"/>
      <c r="M49" s="35"/>
      <c r="N49" s="35"/>
      <c r="O49" s="35"/>
      <c r="P49" s="35">
        <v>0</v>
      </c>
      <c r="Q49" s="35"/>
      <c r="R49" s="35"/>
      <c r="S49" s="35"/>
      <c r="T49" s="35"/>
      <c r="U49" s="35"/>
      <c r="V49" s="35"/>
      <c r="W49" s="35"/>
      <c r="X49" s="35"/>
      <c r="Y49" s="35"/>
      <c r="Z49" s="35"/>
      <c r="AA49" s="300">
        <f t="shared" si="0"/>
        <v>0</v>
      </c>
      <c r="AB49" s="93" t="s">
        <v>187</v>
      </c>
      <c r="AC49" s="35"/>
      <c r="AD49" s="35"/>
      <c r="AE49" s="35">
        <v>100</v>
      </c>
      <c r="AF49" s="177"/>
      <c r="AG49" s="30">
        <f>AA49*AC49%</f>
        <v>0</v>
      </c>
      <c r="AH49" s="37"/>
      <c r="AI49" s="30"/>
      <c r="AJ49" s="25"/>
      <c r="AK49" s="111">
        <f t="shared" si="5"/>
        <v>0</v>
      </c>
      <c r="AL49" s="302"/>
      <c r="AM49" s="24"/>
      <c r="AN49" s="24"/>
      <c r="AO49" s="24"/>
      <c r="AP49" s="24"/>
      <c r="AQ49" s="24"/>
      <c r="AR49" s="24"/>
      <c r="AS49" s="24"/>
      <c r="AT49" s="25"/>
    </row>
    <row r="50" spans="1:46" ht="15" customHeight="1" x14ac:dyDescent="0.2">
      <c r="A50" s="20"/>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00">
        <f t="shared" si="0"/>
        <v>0</v>
      </c>
      <c r="AB50" s="93" t="s">
        <v>188</v>
      </c>
      <c r="AC50" s="35"/>
      <c r="AD50" s="35"/>
      <c r="AE50" s="35">
        <v>100</v>
      </c>
      <c r="AF50" s="177"/>
      <c r="AG50" s="293"/>
      <c r="AH50" s="37"/>
      <c r="AI50" s="30">
        <f>'E-Tiltag'!$D$149*'E-Tiltag'!$M$149</f>
        <v>0</v>
      </c>
      <c r="AJ50" s="25"/>
      <c r="AK50" s="111">
        <f t="shared" si="5"/>
        <v>0</v>
      </c>
      <c r="AL50" s="302"/>
      <c r="AM50" s="24"/>
      <c r="AN50" s="24"/>
      <c r="AO50" s="24"/>
      <c r="AP50" s="24"/>
      <c r="AQ50" s="24"/>
      <c r="AR50" s="24"/>
      <c r="AS50" s="24"/>
      <c r="AT50" s="25"/>
    </row>
    <row r="51" spans="1:46" ht="15" customHeight="1" x14ac:dyDescent="0.2">
      <c r="A51" s="20"/>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00">
        <f t="shared" si="0"/>
        <v>0</v>
      </c>
      <c r="AB51" s="93" t="s">
        <v>189</v>
      </c>
      <c r="AC51" s="35"/>
      <c r="AD51" s="35"/>
      <c r="AE51" s="35"/>
      <c r="AF51" s="177">
        <f>100-'E-Tiltag'!$J$19</f>
        <v>99.75</v>
      </c>
      <c r="AG51" s="293"/>
      <c r="AH51" s="37"/>
      <c r="AI51" s="100">
        <f>-'E-Tiltag'!D149</f>
        <v>0</v>
      </c>
      <c r="AJ51" s="25">
        <f>-AI51*AF51/100</f>
        <v>0</v>
      </c>
      <c r="AK51" s="111">
        <f t="shared" si="5"/>
        <v>0</v>
      </c>
      <c r="AL51" s="110">
        <f>AJ51*64.9%</f>
        <v>0</v>
      </c>
      <c r="AM51" s="110">
        <f>AJ51*9.8%</f>
        <v>0</v>
      </c>
      <c r="AN51" s="107">
        <f>AJ51*13.2%</f>
        <v>0</v>
      </c>
      <c r="AO51" s="107">
        <f>AJ51*7%</f>
        <v>0</v>
      </c>
      <c r="AP51" s="107"/>
      <c r="AQ51" s="107">
        <f>AJ51*3.6%</f>
        <v>0</v>
      </c>
      <c r="AR51" s="107">
        <f>AJ51*1.5%</f>
        <v>0</v>
      </c>
      <c r="AS51" s="107"/>
      <c r="AT51" s="25"/>
    </row>
    <row r="52" spans="1:46" ht="15" customHeight="1" x14ac:dyDescent="0.2">
      <c r="A52" s="20"/>
      <c r="B52" s="35">
        <v>0</v>
      </c>
      <c r="C52" s="35">
        <v>0</v>
      </c>
      <c r="D52" s="35">
        <v>0</v>
      </c>
      <c r="E52" s="35">
        <v>0</v>
      </c>
      <c r="F52" s="35">
        <v>0</v>
      </c>
      <c r="G52" s="35">
        <v>0</v>
      </c>
      <c r="H52" s="35">
        <v>0</v>
      </c>
      <c r="I52" s="35">
        <v>0</v>
      </c>
      <c r="J52" s="35"/>
      <c r="K52" s="35"/>
      <c r="L52" s="35"/>
      <c r="M52" s="35">
        <v>0</v>
      </c>
      <c r="N52" s="35">
        <v>0</v>
      </c>
      <c r="O52" s="35">
        <v>0</v>
      </c>
      <c r="P52" s="35">
        <v>0</v>
      </c>
      <c r="Q52" s="35">
        <v>0</v>
      </c>
      <c r="R52" s="35">
        <v>0</v>
      </c>
      <c r="S52" s="35">
        <v>0</v>
      </c>
      <c r="T52" s="35">
        <v>0</v>
      </c>
      <c r="U52" s="35">
        <v>0</v>
      </c>
      <c r="V52" s="35">
        <v>0</v>
      </c>
      <c r="W52" s="35">
        <v>0</v>
      </c>
      <c r="X52" s="35">
        <v>0</v>
      </c>
      <c r="Y52" s="36">
        <v>0</v>
      </c>
      <c r="Z52" s="35">
        <v>0</v>
      </c>
      <c r="AA52" s="300">
        <f t="shared" si="0"/>
        <v>0</v>
      </c>
      <c r="AB52" s="93" t="s">
        <v>190</v>
      </c>
      <c r="AC52" s="35">
        <v>0</v>
      </c>
      <c r="AD52" s="35"/>
      <c r="AE52" s="35">
        <v>0</v>
      </c>
      <c r="AF52" s="177"/>
      <c r="AG52" s="30">
        <f t="shared" ref="AG52:AG54" si="6">AC52/100*AA52</f>
        <v>0</v>
      </c>
      <c r="AH52" s="37"/>
      <c r="AI52" s="30">
        <f>AA52*AE52/100</f>
        <v>0</v>
      </c>
      <c r="AJ52" s="25"/>
      <c r="AK52" s="111">
        <f t="shared" si="5"/>
        <v>0</v>
      </c>
      <c r="AL52" s="302"/>
      <c r="AM52" s="24"/>
      <c r="AN52" s="24"/>
      <c r="AO52" s="24"/>
      <c r="AP52" s="24"/>
      <c r="AQ52" s="24"/>
      <c r="AR52" s="24"/>
      <c r="AS52" s="24"/>
      <c r="AT52" s="25"/>
    </row>
    <row r="53" spans="1:46" ht="15" customHeight="1" x14ac:dyDescent="0.2">
      <c r="A53" s="20"/>
      <c r="B53" s="35">
        <v>0</v>
      </c>
      <c r="C53" s="35">
        <v>0</v>
      </c>
      <c r="D53" s="35">
        <v>0</v>
      </c>
      <c r="E53" s="35">
        <v>0</v>
      </c>
      <c r="F53" s="35">
        <v>0</v>
      </c>
      <c r="G53" s="35">
        <v>0</v>
      </c>
      <c r="H53" s="35">
        <v>0</v>
      </c>
      <c r="I53" s="35">
        <v>0</v>
      </c>
      <c r="J53" s="35"/>
      <c r="K53" s="35"/>
      <c r="L53" s="35"/>
      <c r="M53" s="35">
        <v>0</v>
      </c>
      <c r="N53" s="35">
        <v>0</v>
      </c>
      <c r="O53" s="35">
        <v>0</v>
      </c>
      <c r="P53" s="35">
        <v>0</v>
      </c>
      <c r="Q53" s="35">
        <v>0</v>
      </c>
      <c r="R53" s="35">
        <v>0</v>
      </c>
      <c r="S53" s="35">
        <v>0</v>
      </c>
      <c r="T53" s="35">
        <v>0</v>
      </c>
      <c r="U53" s="35">
        <v>0</v>
      </c>
      <c r="V53" s="35">
        <v>0</v>
      </c>
      <c r="W53" s="35">
        <v>0</v>
      </c>
      <c r="X53" s="35">
        <v>0</v>
      </c>
      <c r="Y53" s="35">
        <v>0</v>
      </c>
      <c r="Z53" s="35">
        <v>0</v>
      </c>
      <c r="AA53" s="300">
        <f t="shared" si="0"/>
        <v>0</v>
      </c>
      <c r="AB53" s="93" t="s">
        <v>191</v>
      </c>
      <c r="AC53" s="35"/>
      <c r="AD53" s="35"/>
      <c r="AE53" s="35">
        <v>0</v>
      </c>
      <c r="AF53" s="177"/>
      <c r="AG53" s="30">
        <f t="shared" si="6"/>
        <v>0</v>
      </c>
      <c r="AH53" s="37"/>
      <c r="AI53" s="30">
        <f>AA53*AE53/100</f>
        <v>0</v>
      </c>
      <c r="AJ53" s="25"/>
      <c r="AK53" s="111">
        <f t="shared" si="5"/>
        <v>0</v>
      </c>
      <c r="AL53" s="302"/>
      <c r="AM53" s="24"/>
      <c r="AN53" s="24"/>
      <c r="AO53" s="24"/>
      <c r="AP53" s="24"/>
      <c r="AQ53" s="24"/>
      <c r="AR53" s="24"/>
      <c r="AS53" s="24"/>
      <c r="AT53" s="25"/>
    </row>
    <row r="54" spans="1:46" ht="15" customHeight="1" x14ac:dyDescent="0.2">
      <c r="A54" s="20"/>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00">
        <f t="shared" si="0"/>
        <v>0</v>
      </c>
      <c r="AB54" s="93" t="s">
        <v>192</v>
      </c>
      <c r="AC54" s="35"/>
      <c r="AD54" s="35"/>
      <c r="AE54" s="35">
        <v>100</v>
      </c>
      <c r="AF54" s="177"/>
      <c r="AG54" s="30">
        <f t="shared" si="6"/>
        <v>0</v>
      </c>
      <c r="AH54" s="37"/>
      <c r="AI54" s="30">
        <v>0</v>
      </c>
      <c r="AJ54" s="25"/>
      <c r="AK54" s="111">
        <f t="shared" si="5"/>
        <v>0</v>
      </c>
      <c r="AL54" s="302"/>
      <c r="AM54" s="24"/>
      <c r="AN54" s="24"/>
      <c r="AO54" s="24"/>
      <c r="AP54" s="24"/>
      <c r="AQ54" s="24"/>
      <c r="AR54" s="24"/>
      <c r="AS54" s="24"/>
      <c r="AT54" s="25"/>
    </row>
    <row r="55" spans="1:46" ht="15" customHeight="1" x14ac:dyDescent="0.2">
      <c r="A55" s="20"/>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00">
        <f t="shared" si="0"/>
        <v>0</v>
      </c>
      <c r="AB55" s="368" t="s">
        <v>193</v>
      </c>
      <c r="AC55" s="35"/>
      <c r="AD55" s="35"/>
      <c r="AE55" s="35"/>
      <c r="AF55" s="177"/>
      <c r="AG55" s="30">
        <f>-AH55</f>
        <v>0</v>
      </c>
      <c r="AH55" s="37">
        <v>0</v>
      </c>
      <c r="AI55" s="100"/>
      <c r="AJ55" s="21"/>
      <c r="AK55" s="111">
        <f t="shared" si="5"/>
        <v>0</v>
      </c>
      <c r="AL55" s="302"/>
      <c r="AM55" s="24"/>
      <c r="AN55" s="24"/>
      <c r="AO55" s="24"/>
      <c r="AP55" s="24"/>
      <c r="AQ55" s="24">
        <f>AH55</f>
        <v>0</v>
      </c>
      <c r="AR55" s="24"/>
      <c r="AS55" s="24"/>
      <c r="AT55" s="25"/>
    </row>
    <row r="56" spans="1:46" ht="15" customHeight="1" x14ac:dyDescent="0.2">
      <c r="A56" s="20"/>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00">
        <f t="shared" si="0"/>
        <v>0</v>
      </c>
      <c r="AB56" s="368" t="s">
        <v>530</v>
      </c>
      <c r="AC56" s="35"/>
      <c r="AD56" s="35"/>
      <c r="AE56" s="35"/>
      <c r="AF56" s="177"/>
      <c r="AG56" s="293"/>
      <c r="AH56" s="37"/>
      <c r="AI56" s="432">
        <v>0</v>
      </c>
      <c r="AJ56" s="21"/>
      <c r="AK56" s="111">
        <f t="shared" si="5"/>
        <v>0</v>
      </c>
      <c r="AL56" s="302"/>
      <c r="AM56" s="24"/>
      <c r="AN56" s="24"/>
      <c r="AO56" s="24"/>
      <c r="AP56" s="24"/>
      <c r="AQ56" s="24">
        <f>-AI56</f>
        <v>0</v>
      </c>
      <c r="AR56" s="24"/>
      <c r="AS56" s="24"/>
      <c r="AT56" s="25"/>
    </row>
    <row r="57" spans="1:46" ht="15" customHeight="1" x14ac:dyDescent="0.2">
      <c r="A57" s="20"/>
      <c r="B57" s="35"/>
      <c r="C57" s="35"/>
      <c r="D57" s="35"/>
      <c r="E57" s="35"/>
      <c r="F57" s="35"/>
      <c r="G57" s="35"/>
      <c r="H57" s="35"/>
      <c r="I57" s="35"/>
      <c r="J57" s="35">
        <f>-'E-Tiltag'!S53</f>
        <v>0</v>
      </c>
      <c r="K57" s="35"/>
      <c r="L57" s="35"/>
      <c r="M57" s="35"/>
      <c r="N57" s="35"/>
      <c r="O57" s="35"/>
      <c r="P57" s="35"/>
      <c r="Q57" s="35"/>
      <c r="R57" s="35"/>
      <c r="S57" s="35"/>
      <c r="T57" s="35"/>
      <c r="U57" s="35"/>
      <c r="V57" s="35"/>
      <c r="W57" s="35"/>
      <c r="X57" s="35"/>
      <c r="Y57" s="35"/>
      <c r="Z57" s="35"/>
      <c r="AA57" s="300">
        <f t="shared" si="0"/>
        <v>0</v>
      </c>
      <c r="AB57" s="93" t="s">
        <v>194</v>
      </c>
      <c r="AC57" s="35">
        <v>65</v>
      </c>
      <c r="AD57" s="35"/>
      <c r="AE57" s="35">
        <v>15</v>
      </c>
      <c r="AF57" s="177"/>
      <c r="AG57" s="30">
        <f>-AH57/$D$2%</f>
        <v>0</v>
      </c>
      <c r="AH57" s="37"/>
      <c r="AI57" s="100">
        <f>AH57*AE57%</f>
        <v>0</v>
      </c>
      <c r="AJ57" s="25">
        <f>AI57*AF60%</f>
        <v>0</v>
      </c>
      <c r="AK57" s="111">
        <f t="shared" si="5"/>
        <v>0</v>
      </c>
      <c r="AL57" s="302"/>
      <c r="AM57" s="302"/>
      <c r="AN57" s="24"/>
      <c r="AO57" s="24"/>
      <c r="AP57" s="24"/>
      <c r="AQ57" s="24"/>
      <c r="AR57" s="24"/>
      <c r="AS57" s="24"/>
      <c r="AT57" s="25"/>
    </row>
    <row r="58" spans="1:46" ht="15" customHeight="1" x14ac:dyDescent="0.2">
      <c r="A58" s="20"/>
      <c r="B58" s="35"/>
      <c r="C58" s="35"/>
      <c r="D58" s="35"/>
      <c r="E58" s="35"/>
      <c r="F58" s="35"/>
      <c r="G58" s="35"/>
      <c r="H58" s="35"/>
      <c r="I58" s="35"/>
      <c r="J58" s="35"/>
      <c r="K58" s="35">
        <f>-'E-Tiltag'!S52</f>
        <v>0</v>
      </c>
      <c r="L58" s="35"/>
      <c r="M58" s="35"/>
      <c r="N58" s="35"/>
      <c r="O58" s="35"/>
      <c r="P58" s="35"/>
      <c r="Q58" s="35"/>
      <c r="R58" s="35"/>
      <c r="S58" s="35"/>
      <c r="T58" s="35"/>
      <c r="U58" s="35"/>
      <c r="V58" s="35"/>
      <c r="W58" s="35"/>
      <c r="X58" s="35"/>
      <c r="Y58" s="35"/>
      <c r="Z58" s="35"/>
      <c r="AA58" s="300">
        <f t="shared" si="0"/>
        <v>0</v>
      </c>
      <c r="AB58" s="93" t="s">
        <v>195</v>
      </c>
      <c r="AC58" s="35">
        <v>630</v>
      </c>
      <c r="AD58" s="35"/>
      <c r="AE58" s="35"/>
      <c r="AF58" s="177"/>
      <c r="AG58" s="30">
        <f>-AH58/$D$2%</f>
        <v>0</v>
      </c>
      <c r="AH58" s="37">
        <f>'E-Tiltag'!$S$50</f>
        <v>0</v>
      </c>
      <c r="AI58" s="100">
        <f t="shared" ref="AI58:AI59" si="7">AH58*AE58%</f>
        <v>0</v>
      </c>
      <c r="AJ58" s="25">
        <f t="shared" ref="AJ58:AJ59" si="8">AI58*AF61%</f>
        <v>0</v>
      </c>
      <c r="AK58" s="111">
        <f t="shared" si="5"/>
        <v>0</v>
      </c>
      <c r="AL58" s="302"/>
      <c r="AM58" s="302"/>
      <c r="AN58" s="24"/>
      <c r="AO58" s="24"/>
      <c r="AP58" s="24"/>
      <c r="AQ58" s="24"/>
      <c r="AR58" s="24"/>
      <c r="AS58" s="24"/>
      <c r="AT58" s="25"/>
    </row>
    <row r="59" spans="1:46" ht="15" customHeight="1" x14ac:dyDescent="0.2">
      <c r="A59" s="20"/>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00">
        <f t="shared" si="0"/>
        <v>0</v>
      </c>
      <c r="AB59" s="93" t="s">
        <v>196</v>
      </c>
      <c r="AC59" s="35"/>
      <c r="AD59" s="35"/>
      <c r="AE59" s="35"/>
      <c r="AF59" s="177"/>
      <c r="AG59" s="30">
        <f>-AH59/$D$2%</f>
        <v>0</v>
      </c>
      <c r="AH59" s="37"/>
      <c r="AI59" s="100">
        <f t="shared" si="7"/>
        <v>0</v>
      </c>
      <c r="AJ59" s="25">
        <f t="shared" si="8"/>
        <v>0</v>
      </c>
      <c r="AK59" s="111">
        <f t="shared" si="5"/>
        <v>0</v>
      </c>
      <c r="AL59" s="302"/>
      <c r="AM59" s="302"/>
      <c r="AN59" s="24"/>
      <c r="AO59" s="24"/>
      <c r="AP59" s="24"/>
      <c r="AQ59" s="24"/>
      <c r="AR59" s="24"/>
      <c r="AS59" s="24"/>
      <c r="AT59" s="25"/>
    </row>
    <row r="60" spans="1:46" ht="15" customHeight="1" x14ac:dyDescent="0.2">
      <c r="A60" s="20"/>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00">
        <f t="shared" si="0"/>
        <v>0</v>
      </c>
      <c r="AB60" s="93" t="s">
        <v>197</v>
      </c>
      <c r="AC60" s="35"/>
      <c r="AD60" s="35"/>
      <c r="AE60" s="35"/>
      <c r="AF60" s="177">
        <f>100-'E-Tiltag'!$J$19</f>
        <v>99.75</v>
      </c>
      <c r="AG60" s="293"/>
      <c r="AH60" s="37"/>
      <c r="AI60" s="30">
        <f>-SUM(AI52:AI59)</f>
        <v>0</v>
      </c>
      <c r="AJ60" s="25">
        <f>-AI60*AF60/100</f>
        <v>0</v>
      </c>
      <c r="AK60" s="111">
        <f t="shared" ref="AK60:AK61" si="9">SUM(AL60:AT60)</f>
        <v>0</v>
      </c>
      <c r="AL60" s="110">
        <f>AJ60*64.9%</f>
        <v>0</v>
      </c>
      <c r="AM60" s="110">
        <f>AJ60*9.8%</f>
        <v>0</v>
      </c>
      <c r="AN60" s="107">
        <f>AJ60*13.2%</f>
        <v>0</v>
      </c>
      <c r="AO60" s="107">
        <f>AJ60*7%</f>
        <v>0</v>
      </c>
      <c r="AP60" s="107"/>
      <c r="AQ60" s="107">
        <f>AJ60*3.6%</f>
        <v>0</v>
      </c>
      <c r="AR60" s="107">
        <f>AJ60*1.5%</f>
        <v>0</v>
      </c>
      <c r="AS60" s="107"/>
      <c r="AT60" s="25"/>
    </row>
    <row r="61" spans="1:46" ht="15" customHeight="1" x14ac:dyDescent="0.2">
      <c r="A61" s="20"/>
      <c r="B61" s="35"/>
      <c r="C61" s="35"/>
      <c r="D61" s="35"/>
      <c r="E61" s="35"/>
      <c r="F61" s="2"/>
      <c r="G61" s="35"/>
      <c r="H61" s="346">
        <f>AA61-S61</f>
        <v>8.0673279213892979</v>
      </c>
      <c r="I61" s="35"/>
      <c r="J61" s="35"/>
      <c r="K61" s="35"/>
      <c r="L61" s="35"/>
      <c r="M61" s="35"/>
      <c r="N61" s="35"/>
      <c r="O61" s="35"/>
      <c r="P61" s="35"/>
      <c r="Q61" s="35"/>
      <c r="R61" s="35"/>
      <c r="S61" s="346">
        <f>AA61*'E-Tiltag'!$AE$4</f>
        <v>0.57932579928519068</v>
      </c>
      <c r="T61" s="35"/>
      <c r="U61" s="35"/>
      <c r="V61" s="35"/>
      <c r="W61" s="35"/>
      <c r="X61" s="35"/>
      <c r="Y61" s="35"/>
      <c r="Z61" s="35"/>
      <c r="AA61" s="432">
        <f>'E-Tiltag'!AF44</f>
        <v>8.6466537206744878</v>
      </c>
      <c r="AB61" s="93" t="s">
        <v>198</v>
      </c>
      <c r="AC61" s="35"/>
      <c r="AD61" s="35">
        <v>19</v>
      </c>
      <c r="AE61" s="35"/>
      <c r="AF61" s="177"/>
      <c r="AG61" s="293"/>
      <c r="AH61" s="37"/>
      <c r="AI61" s="19"/>
      <c r="AJ61" s="21"/>
      <c r="AK61" s="111">
        <f t="shared" si="9"/>
        <v>1.6428642069281525</v>
      </c>
      <c r="AL61" s="302"/>
      <c r="AM61" s="24"/>
      <c r="AN61" s="24"/>
      <c r="AO61" s="24"/>
      <c r="AP61" s="24"/>
      <c r="AQ61" s="24"/>
      <c r="AR61" s="24"/>
      <c r="AS61" s="24"/>
      <c r="AT61" s="25">
        <f>AA61*AD61/100</f>
        <v>1.6428642069281525</v>
      </c>
    </row>
    <row r="62" spans="1:46" ht="15" customHeight="1" x14ac:dyDescent="0.2">
      <c r="A62" s="20"/>
      <c r="B62" s="35"/>
      <c r="C62" s="35"/>
      <c r="D62" s="35"/>
      <c r="E62" s="35"/>
      <c r="F62" s="346">
        <f>AA62-S62-K62</f>
        <v>6.1161499258281253</v>
      </c>
      <c r="G62" s="35"/>
      <c r="H62" s="2"/>
      <c r="I62" s="35"/>
      <c r="J62" s="35"/>
      <c r="K62" s="35"/>
      <c r="L62" s="35"/>
      <c r="M62" s="35"/>
      <c r="N62" s="35"/>
      <c r="O62" s="35"/>
      <c r="P62" s="35"/>
      <c r="Q62" s="35"/>
      <c r="R62" s="35"/>
      <c r="S62" s="346">
        <f>AA62*'E-Tiltag'!$AE$5</f>
        <v>0.73284215236686379</v>
      </c>
      <c r="T62" s="35"/>
      <c r="U62" s="35"/>
      <c r="V62" s="35"/>
      <c r="W62" s="35"/>
      <c r="X62" s="35"/>
      <c r="Y62" s="35"/>
      <c r="Z62" s="35"/>
      <c r="AA62" s="432">
        <f>'E-Tiltag'!AF45</f>
        <v>6.8489920781949891</v>
      </c>
      <c r="AB62" s="93" t="s">
        <v>199</v>
      </c>
      <c r="AC62" s="35"/>
      <c r="AD62" s="35">
        <v>24.3</v>
      </c>
      <c r="AE62" s="35"/>
      <c r="AF62" s="177"/>
      <c r="AG62" s="293"/>
      <c r="AH62" s="37"/>
      <c r="AI62" s="19"/>
      <c r="AJ62" s="21"/>
      <c r="AK62" s="111">
        <f t="shared" ref="AK62:AK80" si="10">SUM(AL62:AT62)</f>
        <v>1.6643050750013826</v>
      </c>
      <c r="AL62" s="302"/>
      <c r="AM62" s="24"/>
      <c r="AN62" s="24"/>
      <c r="AO62" s="24"/>
      <c r="AP62" s="24"/>
      <c r="AQ62" s="24"/>
      <c r="AR62" s="24"/>
      <c r="AS62" s="24"/>
      <c r="AT62" s="25">
        <f>AA62*AD62/100</f>
        <v>1.6643050750013826</v>
      </c>
    </row>
    <row r="63" spans="1:46" ht="15" customHeight="1" x14ac:dyDescent="0.2">
      <c r="A63" s="20"/>
      <c r="B63" s="35"/>
      <c r="C63" s="35"/>
      <c r="D63" s="35"/>
      <c r="E63" s="35"/>
      <c r="F63" s="35"/>
      <c r="G63" s="35"/>
      <c r="H63" s="35"/>
      <c r="I63" s="35">
        <f>'E2020'!I63</f>
        <v>0</v>
      </c>
      <c r="J63" s="35"/>
      <c r="K63" s="35"/>
      <c r="L63" s="35"/>
      <c r="M63" s="35"/>
      <c r="N63" s="35"/>
      <c r="O63" s="35"/>
      <c r="P63" s="35"/>
      <c r="Q63" s="35"/>
      <c r="R63" s="35"/>
      <c r="S63" s="35"/>
      <c r="T63" s="35"/>
      <c r="U63" s="35"/>
      <c r="V63" s="35"/>
      <c r="W63" s="35"/>
      <c r="X63" s="35"/>
      <c r="Y63" s="35"/>
      <c r="Z63" s="35"/>
      <c r="AA63" s="4">
        <f t="shared" ref="AA63:AA66" si="11">SUM(A63:Z63)</f>
        <v>0</v>
      </c>
      <c r="AB63" s="93" t="s">
        <v>524</v>
      </c>
      <c r="AC63" s="35"/>
      <c r="AD63" s="35">
        <v>22.6</v>
      </c>
      <c r="AE63" s="35"/>
      <c r="AF63" s="177"/>
      <c r="AG63" s="293"/>
      <c r="AH63" s="37"/>
      <c r="AI63" s="19"/>
      <c r="AJ63" s="21"/>
      <c r="AK63" s="111">
        <f t="shared" si="10"/>
        <v>0</v>
      </c>
      <c r="AL63" s="302"/>
      <c r="AM63" s="24"/>
      <c r="AN63" s="24"/>
      <c r="AO63" s="24"/>
      <c r="AP63" s="24"/>
      <c r="AQ63" s="24"/>
      <c r="AR63" s="24"/>
      <c r="AS63" s="24"/>
      <c r="AT63" s="25">
        <f>AA63*AD63/100</f>
        <v>0</v>
      </c>
    </row>
    <row r="64" spans="1:46" ht="15" customHeight="1" x14ac:dyDescent="0.2">
      <c r="A64" s="20"/>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27">
        <f t="shared" si="11"/>
        <v>0</v>
      </c>
      <c r="AB64" s="93" t="s">
        <v>525</v>
      </c>
      <c r="AC64" s="35">
        <v>70</v>
      </c>
      <c r="AD64" s="35"/>
      <c r="AE64" s="35"/>
      <c r="AF64" s="177"/>
      <c r="AG64" s="30">
        <f t="shared" ref="AG64:AG65" si="12">-AH64/$D$2%</f>
        <v>-5.2843431073597209</v>
      </c>
      <c r="AH64" s="433">
        <f>'E-Tiltag'!AE43</f>
        <v>4.866351567567567</v>
      </c>
      <c r="AI64" s="19"/>
      <c r="AJ64" s="21"/>
      <c r="AK64" s="111">
        <f t="shared" ref="AK64" si="13">SUM(AL64:AT64)</f>
        <v>3.4064460972972967</v>
      </c>
      <c r="AL64" s="302"/>
      <c r="AM64" s="24"/>
      <c r="AN64" s="24"/>
      <c r="AO64" s="24"/>
      <c r="AP64" s="24"/>
      <c r="AQ64" s="24"/>
      <c r="AR64" s="24"/>
      <c r="AS64" s="24"/>
      <c r="AT64" s="25">
        <f>AH64*AC64%</f>
        <v>3.4064460972972967</v>
      </c>
    </row>
    <row r="65" spans="1:46" ht="15" customHeight="1" x14ac:dyDescent="0.2">
      <c r="A65" s="20"/>
      <c r="B65" s="35"/>
      <c r="C65" s="35"/>
      <c r="D65" s="35"/>
      <c r="E65" s="35"/>
      <c r="F65" s="107"/>
      <c r="G65" s="35"/>
      <c r="H65" s="104">
        <f>AA65-S65</f>
        <v>0</v>
      </c>
      <c r="I65" s="35"/>
      <c r="J65" s="35"/>
      <c r="K65" s="35"/>
      <c r="L65" s="35"/>
      <c r="M65" s="35"/>
      <c r="N65" s="35"/>
      <c r="O65" s="35"/>
      <c r="P65" s="35"/>
      <c r="Q65" s="35"/>
      <c r="R65" s="35"/>
      <c r="S65" s="346">
        <f>AA65*'E-Tiltag'!$AE$4</f>
        <v>0</v>
      </c>
      <c r="T65" s="35"/>
      <c r="U65" s="35"/>
      <c r="V65" s="35"/>
      <c r="W65" s="35"/>
      <c r="X65" s="35"/>
      <c r="Y65" s="35"/>
      <c r="Z65" s="35"/>
      <c r="AA65" s="346">
        <v>0</v>
      </c>
      <c r="AB65" s="93" t="s">
        <v>520</v>
      </c>
      <c r="AC65" s="35">
        <v>70</v>
      </c>
      <c r="AD65" s="35">
        <v>19</v>
      </c>
      <c r="AE65" s="35"/>
      <c r="AF65" s="177"/>
      <c r="AG65" s="30">
        <f t="shared" si="12"/>
        <v>0</v>
      </c>
      <c r="AH65" s="109">
        <f>AA65*AD65%/AC65%</f>
        <v>0</v>
      </c>
      <c r="AI65" s="19"/>
      <c r="AJ65" s="21"/>
      <c r="AK65" s="111">
        <f t="shared" si="10"/>
        <v>0</v>
      </c>
      <c r="AL65" s="302"/>
      <c r="AM65" s="24"/>
      <c r="AN65" s="24"/>
      <c r="AO65" s="24"/>
      <c r="AP65" s="24"/>
      <c r="AQ65" s="24"/>
      <c r="AR65" s="24"/>
      <c r="AS65" s="24"/>
      <c r="AT65" s="25">
        <f>AH65*AC65%+AA65*AD65%</f>
        <v>0</v>
      </c>
    </row>
    <row r="66" spans="1:46" ht="15" customHeight="1" x14ac:dyDescent="0.2">
      <c r="A66" s="20"/>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f t="shared" si="11"/>
        <v>0</v>
      </c>
      <c r="AB66" s="93" t="s">
        <v>519</v>
      </c>
      <c r="AC66" s="35"/>
      <c r="AD66" s="35">
        <v>40</v>
      </c>
      <c r="AE66" s="35"/>
      <c r="AF66" s="177"/>
      <c r="AG66" s="293"/>
      <c r="AH66" s="303"/>
      <c r="AI66" s="19"/>
      <c r="AJ66" s="21"/>
      <c r="AK66" s="111">
        <f t="shared" si="10"/>
        <v>0</v>
      </c>
      <c r="AL66" s="302"/>
      <c r="AM66" s="24"/>
      <c r="AN66" s="24"/>
      <c r="AO66" s="24"/>
      <c r="AP66" s="24"/>
      <c r="AQ66" s="24"/>
      <c r="AR66" s="24"/>
      <c r="AS66" s="24"/>
      <c r="AT66" s="25">
        <f>AA66*AD66%</f>
        <v>0</v>
      </c>
    </row>
    <row r="67" spans="1:46" ht="15" customHeight="1" x14ac:dyDescent="0.2">
      <c r="A67" s="20"/>
      <c r="B67" s="35"/>
      <c r="C67" s="35"/>
      <c r="D67" s="35"/>
      <c r="E67" s="35"/>
      <c r="F67" s="346">
        <f>AA67-S67-K67</f>
        <v>0.36707462636905591</v>
      </c>
      <c r="G67" s="35"/>
      <c r="H67" s="2"/>
      <c r="I67" s="35"/>
      <c r="J67" s="35"/>
      <c r="K67" s="35"/>
      <c r="L67" s="35"/>
      <c r="M67" s="35"/>
      <c r="N67" s="35"/>
      <c r="O67" s="35"/>
      <c r="P67" s="35"/>
      <c r="Q67" s="35"/>
      <c r="R67" s="35"/>
      <c r="S67" s="346">
        <f>AA67*'E-Tiltag'!$AE$5</f>
        <v>4.398318591432137E-2</v>
      </c>
      <c r="T67" s="35"/>
      <c r="U67" s="35"/>
      <c r="V67" s="35"/>
      <c r="W67" s="35"/>
      <c r="X67" s="35"/>
      <c r="Y67" s="35"/>
      <c r="Z67" s="35"/>
      <c r="AA67" s="432">
        <f>'E-Tiltag'!AF85</f>
        <v>0.41105781228337729</v>
      </c>
      <c r="AB67" s="94" t="s">
        <v>200</v>
      </c>
      <c r="AC67" s="35"/>
      <c r="AD67" s="35">
        <v>29.6</v>
      </c>
      <c r="AE67" s="35"/>
      <c r="AF67" s="177"/>
      <c r="AG67" s="30">
        <f>-AH67/$D$2%</f>
        <v>0</v>
      </c>
      <c r="AH67" s="303"/>
      <c r="AI67" s="19"/>
      <c r="AJ67" s="21"/>
      <c r="AK67" s="111">
        <f t="shared" si="10"/>
        <v>0.12167311243587969</v>
      </c>
      <c r="AL67" s="302"/>
      <c r="AM67" s="24"/>
      <c r="AN67" s="24"/>
      <c r="AO67" s="24"/>
      <c r="AP67" s="24"/>
      <c r="AQ67" s="24"/>
      <c r="AR67" s="24"/>
      <c r="AS67" s="24"/>
      <c r="AT67" s="25">
        <f>AA67*AD67%</f>
        <v>0.12167311243587969</v>
      </c>
    </row>
    <row r="68" spans="1:46" ht="15" customHeight="1" x14ac:dyDescent="0.2">
      <c r="A68" s="20"/>
      <c r="B68" s="35"/>
      <c r="C68" s="35"/>
      <c r="D68" s="35"/>
      <c r="E68" s="35"/>
      <c r="F68" s="35"/>
      <c r="G68" s="35"/>
      <c r="H68" s="35"/>
      <c r="I68" s="35">
        <f>'E-Tiltag'!$AE$87</f>
        <v>0</v>
      </c>
      <c r="J68" s="35"/>
      <c r="K68" s="35"/>
      <c r="L68" s="35"/>
      <c r="M68" s="35"/>
      <c r="N68" s="35"/>
      <c r="O68" s="35"/>
      <c r="P68" s="35"/>
      <c r="Q68" s="35"/>
      <c r="R68" s="35"/>
      <c r="S68" s="35"/>
      <c r="T68" s="35"/>
      <c r="U68" s="35"/>
      <c r="V68" s="35"/>
      <c r="W68" s="35"/>
      <c r="X68" s="35"/>
      <c r="Y68" s="35"/>
      <c r="Z68" s="35"/>
      <c r="AA68" s="25">
        <f t="shared" ref="AA68:AA70" si="14">SUM(A68:Z68)</f>
        <v>0</v>
      </c>
      <c r="AB68" s="94" t="s">
        <v>515</v>
      </c>
      <c r="AC68" s="35"/>
      <c r="AD68" s="35">
        <v>26.1</v>
      </c>
      <c r="AE68" s="35"/>
      <c r="AF68" s="177"/>
      <c r="AG68" s="293"/>
      <c r="AH68" s="303"/>
      <c r="AI68" s="19"/>
      <c r="AJ68" s="21"/>
      <c r="AK68" s="111">
        <f t="shared" si="10"/>
        <v>0</v>
      </c>
      <c r="AL68" s="302"/>
      <c r="AM68" s="24"/>
      <c r="AN68" s="24"/>
      <c r="AO68" s="24"/>
      <c r="AP68" s="24"/>
      <c r="AQ68" s="24"/>
      <c r="AR68" s="24"/>
      <c r="AS68" s="24"/>
      <c r="AT68" s="25">
        <f>AA68*AD68%</f>
        <v>0</v>
      </c>
    </row>
    <row r="69" spans="1:46" ht="15" customHeight="1" x14ac:dyDescent="0.2">
      <c r="A69" s="20"/>
      <c r="B69" s="35"/>
      <c r="C69" s="35"/>
      <c r="D69" s="35"/>
      <c r="E69" s="35"/>
      <c r="F69" s="35"/>
      <c r="G69" s="35"/>
      <c r="H69" s="35"/>
      <c r="I69" s="35"/>
      <c r="J69" s="35">
        <f>'E-Tiltag'!$AE$88</f>
        <v>0</v>
      </c>
      <c r="K69" s="35"/>
      <c r="L69" s="35"/>
      <c r="M69" s="35"/>
      <c r="N69" s="35"/>
      <c r="O69" s="35"/>
      <c r="P69" s="35"/>
      <c r="Q69" s="35"/>
      <c r="R69" s="35"/>
      <c r="S69" s="35"/>
      <c r="T69" s="35"/>
      <c r="U69" s="35"/>
      <c r="V69" s="35"/>
      <c r="W69" s="35"/>
      <c r="X69" s="35"/>
      <c r="Y69" s="35"/>
      <c r="Z69" s="35"/>
      <c r="AA69" s="300">
        <f t="shared" si="14"/>
        <v>0</v>
      </c>
      <c r="AB69" s="94" t="s">
        <v>516</v>
      </c>
      <c r="AC69" s="35"/>
      <c r="AD69" s="35">
        <v>40</v>
      </c>
      <c r="AE69" s="35"/>
      <c r="AF69" s="177"/>
      <c r="AG69" s="293"/>
      <c r="AH69" s="303"/>
      <c r="AI69" s="19"/>
      <c r="AJ69" s="21"/>
      <c r="AK69" s="111">
        <f t="shared" si="10"/>
        <v>0</v>
      </c>
      <c r="AL69" s="302"/>
      <c r="AM69" s="24"/>
      <c r="AN69" s="24"/>
      <c r="AO69" s="24"/>
      <c r="AP69" s="24"/>
      <c r="AQ69" s="24"/>
      <c r="AR69" s="24"/>
      <c r="AS69" s="24"/>
      <c r="AT69" s="25">
        <f t="shared" ref="AT69" si="15">AA69*AD69%</f>
        <v>0</v>
      </c>
    </row>
    <row r="70" spans="1:46" ht="15" customHeight="1" x14ac:dyDescent="0.2">
      <c r="A70" s="20"/>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00">
        <f t="shared" si="14"/>
        <v>0</v>
      </c>
      <c r="AB70" s="94" t="s">
        <v>526</v>
      </c>
      <c r="AC70" s="35">
        <v>70</v>
      </c>
      <c r="AD70" s="35"/>
      <c r="AE70" s="35"/>
      <c r="AF70" s="177"/>
      <c r="AG70" s="30">
        <f t="shared" ref="AG70" si="16">-AH70/$D$2%</f>
        <v>-9.4374379439275013E-2</v>
      </c>
      <c r="AH70" s="303">
        <f>'E-Tiltag'!$AE$86</f>
        <v>8.6909366025628362E-2</v>
      </c>
      <c r="AI70" s="19"/>
      <c r="AJ70" s="21"/>
      <c r="AK70" s="111">
        <f t="shared" ref="AK70:AK79" si="17">SUM(AL70:AT70)</f>
        <v>6.0836556217939847E-2</v>
      </c>
      <c r="AL70" s="302"/>
      <c r="AM70" s="24"/>
      <c r="AN70" s="24"/>
      <c r="AO70" s="24"/>
      <c r="AP70" s="24"/>
      <c r="AQ70" s="24"/>
      <c r="AR70" s="24"/>
      <c r="AS70" s="24"/>
      <c r="AT70" s="25">
        <f>AH70*AC70%</f>
        <v>6.0836556217939847E-2</v>
      </c>
    </row>
    <row r="71" spans="1:46" ht="15" customHeight="1" x14ac:dyDescent="0.2">
      <c r="A71" s="20"/>
      <c r="B71" s="35"/>
      <c r="C71" s="35"/>
      <c r="D71" s="35"/>
      <c r="E71" s="35"/>
      <c r="F71" s="346">
        <f>AA71-S71-K71</f>
        <v>22.72912247319552</v>
      </c>
      <c r="G71" s="35"/>
      <c r="H71" s="2"/>
      <c r="I71" s="35"/>
      <c r="J71" s="35"/>
      <c r="K71" s="35"/>
      <c r="L71" s="35"/>
      <c r="M71" s="35"/>
      <c r="N71" s="35"/>
      <c r="O71" s="35"/>
      <c r="P71" s="35"/>
      <c r="Q71" s="35"/>
      <c r="R71" s="35"/>
      <c r="S71" s="346">
        <f>AA71*'E-Tiltag'!$AE$5</f>
        <v>2.7234222896214115</v>
      </c>
      <c r="T71" s="35"/>
      <c r="U71" s="35"/>
      <c r="V71" s="35"/>
      <c r="W71" s="35"/>
      <c r="X71" s="35"/>
      <c r="Y71" s="35"/>
      <c r="Z71" s="35"/>
      <c r="AA71" s="432">
        <f>'E-Tiltag'!$AF$64</f>
        <v>25.452544762816931</v>
      </c>
      <c r="AB71" s="94" t="s">
        <v>201</v>
      </c>
      <c r="AC71" s="35"/>
      <c r="AD71" s="35">
        <v>36.5</v>
      </c>
      <c r="AE71" s="35"/>
      <c r="AF71" s="177"/>
      <c r="AG71" s="293"/>
      <c r="AH71" s="303"/>
      <c r="AI71" s="19"/>
      <c r="AJ71" s="21"/>
      <c r="AK71" s="111">
        <f t="shared" si="17"/>
        <v>9.2901788384281794</v>
      </c>
      <c r="AL71" s="302"/>
      <c r="AM71" s="24"/>
      <c r="AN71" s="24"/>
      <c r="AO71" s="24"/>
      <c r="AP71" s="24"/>
      <c r="AQ71" s="24"/>
      <c r="AR71" s="24"/>
      <c r="AS71" s="24"/>
      <c r="AT71" s="25">
        <f>AA71*AD71%</f>
        <v>9.2901788384281794</v>
      </c>
    </row>
    <row r="72" spans="1:46" ht="15" customHeight="1" x14ac:dyDescent="0.2">
      <c r="A72" s="20"/>
      <c r="B72" s="35"/>
      <c r="C72" s="35"/>
      <c r="D72" s="35"/>
      <c r="E72" s="35"/>
      <c r="F72" s="35"/>
      <c r="G72" s="35"/>
      <c r="H72" s="35"/>
      <c r="I72" s="35">
        <f>'E2020'!I72+'E-Tiltag'!$AE$66</f>
        <v>0.90160897112074712</v>
      </c>
      <c r="J72" s="35"/>
      <c r="K72" s="35"/>
      <c r="L72" s="35"/>
      <c r="M72" s="35"/>
      <c r="N72" s="35"/>
      <c r="O72" s="35"/>
      <c r="P72" s="35"/>
      <c r="Q72" s="35"/>
      <c r="R72" s="35"/>
      <c r="S72" s="35"/>
      <c r="T72" s="35"/>
      <c r="U72" s="35"/>
      <c r="V72" s="35"/>
      <c r="W72" s="35"/>
      <c r="X72" s="35"/>
      <c r="Y72" s="35"/>
      <c r="Z72" s="35"/>
      <c r="AA72" s="25">
        <f t="shared" ref="AA72:AA74" si="18">SUM(A72:Z72)</f>
        <v>0.90160897112074712</v>
      </c>
      <c r="AB72" s="94" t="s">
        <v>517</v>
      </c>
      <c r="AC72" s="35"/>
      <c r="AD72" s="35">
        <v>32.200000000000003</v>
      </c>
      <c r="AE72" s="35"/>
      <c r="AF72" s="177"/>
      <c r="AG72" s="293"/>
      <c r="AH72" s="303"/>
      <c r="AI72" s="19"/>
      <c r="AJ72" s="21"/>
      <c r="AK72" s="111">
        <f t="shared" si="17"/>
        <v>0.29031808870088061</v>
      </c>
      <c r="AL72" s="302"/>
      <c r="AM72" s="24"/>
      <c r="AN72" s="24"/>
      <c r="AO72" s="24"/>
      <c r="AP72" s="24"/>
      <c r="AQ72" s="24"/>
      <c r="AR72" s="24"/>
      <c r="AS72" s="24"/>
      <c r="AT72" s="25">
        <f>AA72*AD72%</f>
        <v>0.29031808870088061</v>
      </c>
    </row>
    <row r="73" spans="1:46" ht="15" customHeight="1" x14ac:dyDescent="0.2">
      <c r="A73" s="20"/>
      <c r="B73" s="35"/>
      <c r="C73" s="35"/>
      <c r="D73" s="35"/>
      <c r="E73" s="35"/>
      <c r="F73" s="35"/>
      <c r="G73" s="35"/>
      <c r="H73" s="35"/>
      <c r="I73" s="35"/>
      <c r="J73" s="35">
        <f>'E-Tiltag'!$AE$67</f>
        <v>0</v>
      </c>
      <c r="K73" s="35"/>
      <c r="L73" s="35"/>
      <c r="M73" s="35"/>
      <c r="N73" s="35"/>
      <c r="O73" s="35"/>
      <c r="P73" s="35"/>
      <c r="Q73" s="35"/>
      <c r="R73" s="35"/>
      <c r="S73" s="35"/>
      <c r="T73" s="35"/>
      <c r="U73" s="35"/>
      <c r="V73" s="35"/>
      <c r="W73" s="35"/>
      <c r="X73" s="35"/>
      <c r="Y73" s="35"/>
      <c r="Z73" s="35"/>
      <c r="AA73" s="300">
        <f t="shared" si="18"/>
        <v>0</v>
      </c>
      <c r="AB73" s="94" t="s">
        <v>518</v>
      </c>
      <c r="AC73" s="35"/>
      <c r="AD73" s="35">
        <v>40</v>
      </c>
      <c r="AE73" s="35"/>
      <c r="AF73" s="177"/>
      <c r="AG73" s="293"/>
      <c r="AH73" s="303"/>
      <c r="AI73" s="19"/>
      <c r="AJ73" s="21"/>
      <c r="AK73" s="111">
        <f t="shared" si="17"/>
        <v>0</v>
      </c>
      <c r="AL73" s="302"/>
      <c r="AM73" s="24"/>
      <c r="AN73" s="24"/>
      <c r="AO73" s="24"/>
      <c r="AP73" s="24"/>
      <c r="AQ73" s="24"/>
      <c r="AR73" s="24"/>
      <c r="AS73" s="24"/>
      <c r="AT73" s="25">
        <f t="shared" ref="AT73" si="19">AA73*AD73%</f>
        <v>0</v>
      </c>
    </row>
    <row r="74" spans="1:46" ht="15" customHeight="1" x14ac:dyDescent="0.2">
      <c r="A74" s="20"/>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00">
        <f t="shared" si="18"/>
        <v>0</v>
      </c>
      <c r="AB74" s="94" t="s">
        <v>527</v>
      </c>
      <c r="AC74" s="35">
        <v>70</v>
      </c>
      <c r="AD74" s="35"/>
      <c r="AE74" s="35"/>
      <c r="AF74" s="177"/>
      <c r="AG74" s="30">
        <f t="shared" ref="AG74" si="20">-AH74/$D$2%</f>
        <v>-0.90072782433607057</v>
      </c>
      <c r="AH74" s="303">
        <f>+'E-Tiltag'!AE65</f>
        <v>0.82948025343108744</v>
      </c>
      <c r="AI74" s="19"/>
      <c r="AJ74" s="21"/>
      <c r="AK74" s="111">
        <f t="shared" si="17"/>
        <v>0.58063617740176121</v>
      </c>
      <c r="AL74" s="302"/>
      <c r="AM74" s="24"/>
      <c r="AN74" s="24"/>
      <c r="AO74" s="24"/>
      <c r="AP74" s="24"/>
      <c r="AQ74" s="24"/>
      <c r="AR74" s="24"/>
      <c r="AS74" s="24"/>
      <c r="AT74" s="25">
        <f>AH74*AC74%</f>
        <v>0.58063617740176121</v>
      </c>
    </row>
    <row r="75" spans="1:46" ht="15" customHeight="1" x14ac:dyDescent="0.2">
      <c r="A75" s="20"/>
      <c r="B75" s="35"/>
      <c r="C75" s="35"/>
      <c r="D75" s="35"/>
      <c r="E75" s="35"/>
      <c r="F75" s="35">
        <f>AA75-S75-K75</f>
        <v>7.1</v>
      </c>
      <c r="G75" s="35"/>
      <c r="H75" s="35"/>
      <c r="I75" s="35"/>
      <c r="J75" s="35"/>
      <c r="K75" s="35"/>
      <c r="L75" s="35"/>
      <c r="M75" s="35"/>
      <c r="N75" s="35"/>
      <c r="O75" s="35"/>
      <c r="P75" s="35"/>
      <c r="Q75" s="35"/>
      <c r="R75" s="35"/>
      <c r="S75" s="35"/>
      <c r="T75" s="35"/>
      <c r="U75" s="35"/>
      <c r="V75" s="35"/>
      <c r="W75" s="35"/>
      <c r="X75" s="35"/>
      <c r="Y75" s="35"/>
      <c r="Z75" s="35"/>
      <c r="AA75" s="300">
        <f>'E2020'!AA75</f>
        <v>7.1</v>
      </c>
      <c r="AB75" s="94" t="s">
        <v>202</v>
      </c>
      <c r="AC75" s="35"/>
      <c r="AD75" s="35">
        <v>36.5</v>
      </c>
      <c r="AE75" s="35"/>
      <c r="AF75" s="177"/>
      <c r="AG75" s="293"/>
      <c r="AH75" s="303"/>
      <c r="AI75" s="19"/>
      <c r="AJ75" s="21"/>
      <c r="AK75" s="111">
        <f t="shared" si="17"/>
        <v>2.5914999999999999</v>
      </c>
      <c r="AL75" s="302"/>
      <c r="AM75" s="24"/>
      <c r="AN75" s="24"/>
      <c r="AO75" s="24"/>
      <c r="AP75" s="24"/>
      <c r="AQ75" s="24"/>
      <c r="AR75" s="24"/>
      <c r="AS75" s="24">
        <f>AA75*AD75%</f>
        <v>2.5914999999999999</v>
      </c>
      <c r="AT75" s="25"/>
    </row>
    <row r="76" spans="1:46" ht="15" customHeight="1" x14ac:dyDescent="0.2">
      <c r="A76" s="20"/>
      <c r="B76" s="35"/>
      <c r="C76" s="35"/>
      <c r="D76" s="35"/>
      <c r="E76" s="35"/>
      <c r="F76" s="107">
        <f>AA76-S76</f>
        <v>0</v>
      </c>
      <c r="G76" s="35"/>
      <c r="H76" s="2"/>
      <c r="I76" s="35"/>
      <c r="J76" s="35"/>
      <c r="K76" s="35"/>
      <c r="L76" s="35"/>
      <c r="M76" s="35"/>
      <c r="N76" s="35"/>
      <c r="O76" s="35"/>
      <c r="P76" s="35"/>
      <c r="Q76" s="35"/>
      <c r="R76" s="35"/>
      <c r="S76" s="346">
        <f>AA76*'E-Tiltag'!$AE$5</f>
        <v>0</v>
      </c>
      <c r="T76" s="35"/>
      <c r="U76" s="35"/>
      <c r="V76" s="35"/>
      <c r="W76" s="35"/>
      <c r="X76" s="35"/>
      <c r="Y76" s="35"/>
      <c r="Z76" s="35"/>
      <c r="AA76" s="27"/>
      <c r="AB76" s="94" t="s">
        <v>4259</v>
      </c>
      <c r="AC76" s="35"/>
      <c r="AD76" s="35">
        <v>12</v>
      </c>
      <c r="AE76" s="35"/>
      <c r="AF76" s="177"/>
      <c r="AG76" s="293"/>
      <c r="AH76" s="303"/>
      <c r="AI76" s="19"/>
      <c r="AJ76" s="21"/>
      <c r="AK76" s="111">
        <f t="shared" si="17"/>
        <v>0</v>
      </c>
      <c r="AL76" s="302"/>
      <c r="AM76" s="24"/>
      <c r="AN76" s="24"/>
      <c r="AO76" s="24"/>
      <c r="AP76" s="24"/>
      <c r="AQ76" s="24"/>
      <c r="AR76" s="24"/>
      <c r="AS76" s="24"/>
      <c r="AT76" s="25">
        <f>AA76*AD76%</f>
        <v>0</v>
      </c>
    </row>
    <row r="77" spans="1:46" ht="15" customHeight="1" x14ac:dyDescent="0.2">
      <c r="A77" s="20"/>
      <c r="B77" s="35"/>
      <c r="C77" s="35"/>
      <c r="D77" s="35"/>
      <c r="E77" s="35"/>
      <c r="F77" s="430">
        <f>AA77-S77</f>
        <v>0.13395164016149103</v>
      </c>
      <c r="G77" s="35"/>
      <c r="H77" s="2"/>
      <c r="I77" s="35"/>
      <c r="J77" s="35"/>
      <c r="K77" s="35"/>
      <c r="L77" s="35"/>
      <c r="M77" s="35"/>
      <c r="N77" s="35"/>
      <c r="O77" s="35"/>
      <c r="P77" s="35"/>
      <c r="Q77" s="35"/>
      <c r="R77" s="35"/>
      <c r="S77" s="346">
        <f>AA77*'E-Tiltag'!$AF$5</f>
        <v>1.6050196525509E-2</v>
      </c>
      <c r="T77" s="35"/>
      <c r="U77" s="35"/>
      <c r="V77" s="35"/>
      <c r="W77" s="35"/>
      <c r="X77" s="35"/>
      <c r="Y77" s="35"/>
      <c r="Z77" s="35"/>
      <c r="AA77" s="27">
        <f>'E-Tiltag'!AF96</f>
        <v>0.15000183668700001</v>
      </c>
      <c r="AB77" s="94" t="s">
        <v>4260</v>
      </c>
      <c r="AC77" s="35"/>
      <c r="AD77" s="35">
        <v>25</v>
      </c>
      <c r="AE77" s="35"/>
      <c r="AF77" s="177"/>
      <c r="AG77" s="293"/>
      <c r="AH77" s="303"/>
      <c r="AI77" s="19"/>
      <c r="AJ77" s="21"/>
      <c r="AK77" s="111">
        <f t="shared" si="17"/>
        <v>3.7500459171750003E-2</v>
      </c>
      <c r="AL77" s="302"/>
      <c r="AM77" s="24"/>
      <c r="AN77" s="24"/>
      <c r="AO77" s="24"/>
      <c r="AP77" s="24"/>
      <c r="AQ77" s="24"/>
      <c r="AR77" s="24"/>
      <c r="AS77" s="24"/>
      <c r="AT77" s="25">
        <f>AA77*AD77%</f>
        <v>3.7500459171750003E-2</v>
      </c>
    </row>
    <row r="78" spans="1:46" ht="15" customHeight="1" x14ac:dyDescent="0.2">
      <c r="A78" s="20"/>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25">
        <f>SUM(A78:Z78)</f>
        <v>0</v>
      </c>
      <c r="AB78" s="94" t="s">
        <v>4261</v>
      </c>
      <c r="AC78" s="35">
        <v>67</v>
      </c>
      <c r="AD78" s="35"/>
      <c r="AE78" s="35"/>
      <c r="AF78" s="177"/>
      <c r="AG78" s="30">
        <f t="shared" ref="AG78:AG80" si="21">-AH78/$D$2%</f>
        <v>-0.53692471495276362</v>
      </c>
      <c r="AH78" s="433">
        <f>'E-Tiltag'!AE97</f>
        <v>0.49445397000000008</v>
      </c>
      <c r="AI78" s="34"/>
      <c r="AJ78" s="37"/>
      <c r="AK78" s="111">
        <f t="shared" si="17"/>
        <v>0.3312841599000001</v>
      </c>
      <c r="AL78" s="359"/>
      <c r="AM78" s="36"/>
      <c r="AN78" s="36"/>
      <c r="AO78" s="36"/>
      <c r="AP78" s="36"/>
      <c r="AQ78" s="36"/>
      <c r="AR78" s="36"/>
      <c r="AS78" s="36"/>
      <c r="AT78" s="25">
        <f>AC78*AH78%</f>
        <v>0.3312841599000001</v>
      </c>
    </row>
    <row r="79" spans="1:46" ht="15" customHeight="1" x14ac:dyDescent="0.2">
      <c r="A79" s="20"/>
      <c r="B79" s="35"/>
      <c r="C79" s="35"/>
      <c r="D79" s="35"/>
      <c r="E79" s="35"/>
      <c r="F79" s="35"/>
      <c r="G79" s="431">
        <f>'E2020'!G79*(1+'E-Tiltag'!$AF$101)</f>
        <v>5.4450000000000003</v>
      </c>
      <c r="H79" s="20">
        <f>'E2020'!H79*(1+'E-Tiltag'!$AF$101)</f>
        <v>1.1000000000000001E-2</v>
      </c>
      <c r="I79" s="35"/>
      <c r="J79" s="35"/>
      <c r="K79" s="35"/>
      <c r="L79" s="35"/>
      <c r="M79" s="35"/>
      <c r="N79" s="35"/>
      <c r="O79" s="35"/>
      <c r="P79" s="35"/>
      <c r="Q79" s="35"/>
      <c r="R79" s="35"/>
      <c r="S79" s="35"/>
      <c r="T79" s="35"/>
      <c r="U79" s="35"/>
      <c r="V79" s="35"/>
      <c r="W79" s="35"/>
      <c r="X79" s="35"/>
      <c r="Y79" s="35"/>
      <c r="Z79" s="35"/>
      <c r="AA79" s="21">
        <f>SUM(A79:Z79)</f>
        <v>5.4560000000000004</v>
      </c>
      <c r="AB79" s="94" t="s">
        <v>9</v>
      </c>
      <c r="AC79" s="35"/>
      <c r="AD79" s="35">
        <v>13.5</v>
      </c>
      <c r="AE79" s="35"/>
      <c r="AF79" s="177"/>
      <c r="AG79" s="293"/>
      <c r="AH79" s="303"/>
      <c r="AI79" s="293"/>
      <c r="AJ79" s="303"/>
      <c r="AK79" s="111">
        <f t="shared" si="17"/>
        <v>0.7365600000000001</v>
      </c>
      <c r="AL79" s="359"/>
      <c r="AM79" s="36"/>
      <c r="AN79" s="36"/>
      <c r="AO79" s="36"/>
      <c r="AP79" s="36"/>
      <c r="AQ79" s="36"/>
      <c r="AR79" s="36"/>
      <c r="AS79" s="36"/>
      <c r="AT79" s="25">
        <f>AD79*AA79%</f>
        <v>0.7365600000000001</v>
      </c>
    </row>
    <row r="80" spans="1:46" ht="15" customHeight="1" thickBot="1" x14ac:dyDescent="0.25">
      <c r="A80" s="20"/>
      <c r="B80" s="20"/>
      <c r="C80" s="20"/>
      <c r="D80" s="20">
        <f>'E2020'!D80*(1+'E-Tiltag'!$AE$95)</f>
        <v>0.13</v>
      </c>
      <c r="E80" s="20"/>
      <c r="F80" s="431">
        <f>'E2020'!F80*(1+'E-Tiltag'!$AF$100)-'E-Tiltag'!AF105</f>
        <v>1.3192760000000001</v>
      </c>
      <c r="G80" s="35"/>
      <c r="H80" s="20"/>
      <c r="I80" s="20"/>
      <c r="J80" s="20"/>
      <c r="K80" s="20"/>
      <c r="L80" s="20"/>
      <c r="M80" s="20"/>
      <c r="N80" s="20"/>
      <c r="O80" s="20"/>
      <c r="P80" s="20"/>
      <c r="Q80" s="20"/>
      <c r="R80" s="20"/>
      <c r="S80" s="20"/>
      <c r="T80" s="20"/>
      <c r="U80" s="20"/>
      <c r="V80" s="20"/>
      <c r="W80" s="20"/>
      <c r="X80" s="20"/>
      <c r="Y80" s="20"/>
      <c r="Z80" s="20"/>
      <c r="AA80" s="37">
        <f t="shared" si="0"/>
        <v>1.4492760000000002</v>
      </c>
      <c r="AB80" s="95" t="s">
        <v>5</v>
      </c>
      <c r="AC80" s="35"/>
      <c r="AD80" s="35">
        <v>20</v>
      </c>
      <c r="AE80" s="35"/>
      <c r="AF80" s="177"/>
      <c r="AG80" s="294">
        <f t="shared" si="21"/>
        <v>2.475838853295689E-2</v>
      </c>
      <c r="AH80" s="353">
        <f>'E2020'!AA80*'E-Tiltag'!$AE$100+'E-Tiltag'!AE104</f>
        <v>-2.2800000000000001E-2</v>
      </c>
      <c r="AI80" s="294"/>
      <c r="AJ80" s="353"/>
      <c r="AK80" s="360">
        <f t="shared" si="10"/>
        <v>0.28985520000000004</v>
      </c>
      <c r="AL80" s="361"/>
      <c r="AM80" s="288"/>
      <c r="AN80" s="288"/>
      <c r="AO80" s="288"/>
      <c r="AP80" s="288"/>
      <c r="AQ80" s="288"/>
      <c r="AR80" s="288"/>
      <c r="AS80" s="288"/>
      <c r="AT80" s="25">
        <f>AA80*AD80%</f>
        <v>0.28985520000000004</v>
      </c>
    </row>
    <row r="81" spans="1:47" ht="15" customHeight="1" thickBot="1" x14ac:dyDescent="0.25">
      <c r="A81" s="350">
        <f t="shared" ref="A81:AA81" si="22">SUM(A8:A80)</f>
        <v>41.679280920983622</v>
      </c>
      <c r="B81" s="351">
        <f t="shared" si="22"/>
        <v>0.81</v>
      </c>
      <c r="C81" s="351">
        <f t="shared" si="22"/>
        <v>0</v>
      </c>
      <c r="D81" s="351">
        <f t="shared" si="22"/>
        <v>0.13</v>
      </c>
      <c r="E81" s="351">
        <f t="shared" si="22"/>
        <v>2.6605699999999994</v>
      </c>
      <c r="F81" s="351">
        <f t="shared" si="22"/>
        <v>37.765574665554198</v>
      </c>
      <c r="G81" s="351">
        <f t="shared" si="22"/>
        <v>5.4450000000000003</v>
      </c>
      <c r="H81" s="351">
        <f t="shared" si="22"/>
        <v>8.0783279213892971</v>
      </c>
      <c r="I81" s="351">
        <f t="shared" si="22"/>
        <v>0.90160897112074712</v>
      </c>
      <c r="J81" s="351">
        <f t="shared" si="22"/>
        <v>0</v>
      </c>
      <c r="K81" s="351">
        <f t="shared" si="22"/>
        <v>0</v>
      </c>
      <c r="L81" s="351">
        <f t="shared" si="22"/>
        <v>0</v>
      </c>
      <c r="M81" s="351">
        <f t="shared" si="22"/>
        <v>0</v>
      </c>
      <c r="N81" s="351">
        <f t="shared" si="22"/>
        <v>0</v>
      </c>
      <c r="O81" s="351">
        <f t="shared" si="22"/>
        <v>27.053000000000001</v>
      </c>
      <c r="P81" s="351">
        <f t="shared" si="22"/>
        <v>0</v>
      </c>
      <c r="Q81" s="351">
        <f t="shared" si="22"/>
        <v>11.818304000000001</v>
      </c>
      <c r="R81" s="351">
        <f t="shared" si="22"/>
        <v>0</v>
      </c>
      <c r="S81" s="351">
        <f t="shared" si="22"/>
        <v>4.0956236237132959</v>
      </c>
      <c r="T81" s="351">
        <f t="shared" si="22"/>
        <v>8.6544999999999987</v>
      </c>
      <c r="U81" s="351">
        <f t="shared" si="22"/>
        <v>66.525020436705873</v>
      </c>
      <c r="V81" s="351">
        <f t="shared" si="22"/>
        <v>32.315652</v>
      </c>
      <c r="W81" s="351">
        <f t="shared" si="22"/>
        <v>0</v>
      </c>
      <c r="X81" s="351">
        <f t="shared" si="22"/>
        <v>0</v>
      </c>
      <c r="Y81" s="351">
        <f t="shared" si="22"/>
        <v>0</v>
      </c>
      <c r="Z81" s="351">
        <f t="shared" si="22"/>
        <v>0</v>
      </c>
      <c r="AA81" s="352">
        <f t="shared" si="22"/>
        <v>247.93246253946702</v>
      </c>
      <c r="AB81" s="42" t="s">
        <v>1</v>
      </c>
      <c r="AC81" s="43"/>
      <c r="AD81" s="43"/>
      <c r="AE81" s="43"/>
      <c r="AF81" s="43"/>
      <c r="AG81" s="350">
        <f t="shared" ref="AG81:AT81" si="23">SUM(AG8:AG80)</f>
        <v>-4.3055836673744352E-15</v>
      </c>
      <c r="AH81" s="352">
        <f t="shared" si="23"/>
        <v>62.473193800133828</v>
      </c>
      <c r="AI81" s="350">
        <f t="shared" si="23"/>
        <v>0</v>
      </c>
      <c r="AJ81" s="352">
        <f t="shared" si="23"/>
        <v>19.608317193326393</v>
      </c>
      <c r="AK81" s="362">
        <f t="shared" si="23"/>
        <v>167.24760116480962</v>
      </c>
      <c r="AL81" s="363">
        <f t="shared" si="23"/>
        <v>114.31488385846882</v>
      </c>
      <c r="AM81" s="351">
        <f t="shared" si="23"/>
        <v>4.9516150849459866</v>
      </c>
      <c r="AN81" s="351">
        <f t="shared" si="23"/>
        <v>6.0182978695190847</v>
      </c>
      <c r="AO81" s="351">
        <f t="shared" si="23"/>
        <v>5.3025822035328476</v>
      </c>
      <c r="AP81" s="351">
        <f t="shared" si="23"/>
        <v>0</v>
      </c>
      <c r="AQ81" s="351">
        <f t="shared" si="23"/>
        <v>9.8905794189597511</v>
      </c>
      <c r="AR81" s="351">
        <f t="shared" si="23"/>
        <v>0.29412475789989589</v>
      </c>
      <c r="AS81" s="351">
        <f t="shared" si="23"/>
        <v>7.9615</v>
      </c>
      <c r="AT81" s="352">
        <f t="shared" si="23"/>
        <v>18.514017971483227</v>
      </c>
    </row>
    <row r="82" spans="1:47" ht="15" customHeight="1" x14ac:dyDescent="0.2">
      <c r="A82" s="122">
        <f t="shared" ref="A82:Y82" si="24">A81*A89/1000</f>
        <v>0</v>
      </c>
      <c r="B82" s="26">
        <f t="shared" si="24"/>
        <v>5.2488E-2</v>
      </c>
      <c r="C82" s="26">
        <f t="shared" si="24"/>
        <v>0</v>
      </c>
      <c r="D82" s="26">
        <f t="shared" si="24"/>
        <v>1.0273900000000001E-2</v>
      </c>
      <c r="E82" s="26">
        <f t="shared" si="24"/>
        <v>0.19693539139999991</v>
      </c>
      <c r="F82" s="26">
        <f t="shared" si="24"/>
        <v>2.7425903976435313</v>
      </c>
      <c r="G82" s="26">
        <f t="shared" si="24"/>
        <v>0.39604703068749753</v>
      </c>
      <c r="H82" s="26">
        <f t="shared" si="24"/>
        <v>0.5731907223994458</v>
      </c>
      <c r="I82" s="26">
        <f t="shared" si="24"/>
        <v>5.0976971227167038E-2</v>
      </c>
      <c r="J82" s="26"/>
      <c r="K82" s="26"/>
      <c r="L82" s="26"/>
      <c r="M82" s="26">
        <f t="shared" si="24"/>
        <v>0</v>
      </c>
      <c r="N82" s="26">
        <f t="shared" si="24"/>
        <v>0</v>
      </c>
      <c r="O82" s="26">
        <f t="shared" si="24"/>
        <v>0</v>
      </c>
      <c r="P82" s="26">
        <f t="shared" si="24"/>
        <v>0</v>
      </c>
      <c r="Q82" s="26">
        <v>0</v>
      </c>
      <c r="R82" s="26">
        <f t="shared" si="24"/>
        <v>0</v>
      </c>
      <c r="S82" s="26">
        <f t="shared" si="24"/>
        <v>0</v>
      </c>
      <c r="T82" s="26">
        <f t="shared" si="24"/>
        <v>0</v>
      </c>
      <c r="U82" s="26">
        <f t="shared" si="24"/>
        <v>0</v>
      </c>
      <c r="V82" s="26">
        <f t="shared" si="24"/>
        <v>0</v>
      </c>
      <c r="W82" s="26">
        <f t="shared" si="24"/>
        <v>0</v>
      </c>
      <c r="X82" s="26">
        <f t="shared" si="24"/>
        <v>0</v>
      </c>
      <c r="Y82" s="26">
        <f t="shared" si="24"/>
        <v>0</v>
      </c>
      <c r="Z82" s="26">
        <f>Z81*Z89/1000</f>
        <v>0</v>
      </c>
      <c r="AA82" s="300">
        <f>SUM(A82:Z82)</f>
        <v>4.0225024133576417</v>
      </c>
      <c r="AB82" s="44" t="s">
        <v>4723</v>
      </c>
      <c r="AC82" s="354">
        <f>AA82*1000/D1</f>
        <v>2.2522409929214118</v>
      </c>
      <c r="AD82" s="46" t="s">
        <v>6</v>
      </c>
      <c r="AE82" s="46"/>
      <c r="AF82" s="47"/>
      <c r="AG82" s="33"/>
      <c r="AH82" s="33"/>
      <c r="AI82" s="33"/>
      <c r="AJ82" s="33"/>
      <c r="AK82" s="33"/>
      <c r="AL82" s="33"/>
      <c r="AM82" s="33"/>
      <c r="AN82" s="33"/>
      <c r="AO82" s="33"/>
      <c r="AP82" s="33"/>
      <c r="AQ82" s="33"/>
      <c r="AR82" s="33"/>
      <c r="AS82" s="33"/>
      <c r="AT82" s="33"/>
    </row>
    <row r="83" spans="1:47" ht="15" customHeight="1" x14ac:dyDescent="0.2">
      <c r="A83" s="30"/>
      <c r="B83" s="24"/>
      <c r="C83" s="24"/>
      <c r="D83" s="24"/>
      <c r="E83" s="24"/>
      <c r="F83" s="24"/>
      <c r="G83" s="24"/>
      <c r="H83" s="24"/>
      <c r="I83" s="24"/>
      <c r="J83" s="24"/>
      <c r="K83" s="24"/>
      <c r="L83" s="24"/>
      <c r="M83" s="24"/>
      <c r="N83" s="24"/>
      <c r="O83" s="24"/>
      <c r="P83" s="24"/>
      <c r="Q83" s="24"/>
      <c r="R83" s="36">
        <f>'E2020'!R83</f>
        <v>17.62</v>
      </c>
      <c r="S83" s="36">
        <f>'E2020'!S83</f>
        <v>28.26</v>
      </c>
      <c r="T83" s="36">
        <f>'E2020'!T83</f>
        <v>3.58</v>
      </c>
      <c r="U83" s="36">
        <f>'E2020'!U83</f>
        <v>129.81</v>
      </c>
      <c r="V83" s="24"/>
      <c r="W83" s="24"/>
      <c r="X83" s="24"/>
      <c r="Y83" s="24"/>
      <c r="Z83" s="24"/>
      <c r="AA83" s="25">
        <f>SUM(A83:Z83)</f>
        <v>179.27</v>
      </c>
      <c r="AB83" s="22" t="s">
        <v>528</v>
      </c>
      <c r="AC83" s="291">
        <f>(SUM(M11:Y11)+AG12*A87%+SUM(M16:Y16)+SUM(M17:Y17)+SUM(M18:Y18)+SUM(M19:Y19)+SUM(M22:Y22)+SUM(M61:Y61)+SUM(M62:Y62)+SUM(M63:Y63)+SUM(M65:Y65)+SUM(M66:Y66)+SUM(M67:Y67)+SUM(M68:Y68)+SUM(M69:Y69)+SUM(M71:Y71)+SUM(M72:Y72)+SUM(M73:Y73)+SUM(M75:Y75)+SUM(M76:Y76)+SUM(M77:Y77)+SUM(M79:Y79)+SUM(M80:Y80)+SUM(M23:Y23)*(AC23%+AE23%)+SUM(M24:Y24)*(AC24%+AE24%)+SUM(M25:Y25)*(AC25%+AE25%)+SUM(M26:Y26)*(AC26%+AE26%)+SUM(M28:Y28)*(AC28%+AD28%+AE28%)+SUM(M27:Y27)*(AD27%)+SUM(M29:Y29)*(AC29%+AE29%)+SUM(M30:Y30)*(AC30%+AE30%)+SUM(M31:Y31)*(AC31%+AE31%)+SUM(M34:Y34)*(AC34%+AE34%)+SUM(M35:Y35)*(AC35%+AE35%)+SUM(M37:Y37)*(AC37%+AE37%)+SUM(M38:Y38)*(AC38%+AE38%)+SUM(M39:Y39)*(AC39%+AE39%)+SUM(M41:Y41)*(AC41%+AE41%)+SUM(M42:Y42)*(AC42%+AE42%)+SUM(M44:Y44)*(AC44%+AE44%)+SUM(M45:Y45)*(AC45%+AE45%)+SUM(M46:Y46)*(AC47%+AE47%)+SUM(M48:Y48)*(AC48%+AE48%)+SUM(M49:Y49)*(AC49%+AE49%)+SUM(M50:Y50)*(AC50%+AE50%)+SUM(M52:Y52)*(AC52%+AE52%)+SUM(M53:Y53)*(AC53%+AE53%)+SUM(M54:Y54)*(AC54%+AE54%))/(SUM(AA8:AA11)+SUM(AA13:AA22)+SUM(AA61:AA80)+(AJ33/AF33%+AJ36/AF36%+AJ43/AF43%+AJ51/AF51%+AJ60/AF60%)+AH81+SUM(AH8:AH11)*(1-D2%)+(-AI56))*100</f>
        <v>77.820458897745098</v>
      </c>
      <c r="AD83" s="5" t="s">
        <v>163</v>
      </c>
      <c r="AE83" s="5"/>
      <c r="AF83" s="105"/>
      <c r="AG83" s="33"/>
      <c r="AH83" s="33"/>
      <c r="AI83" s="33"/>
      <c r="AJ83" s="33"/>
      <c r="AK83" s="33"/>
      <c r="AL83" s="33"/>
      <c r="AM83" s="33"/>
      <c r="AN83" s="33"/>
      <c r="AO83" s="33"/>
      <c r="AP83" s="33"/>
      <c r="AQ83" s="33"/>
      <c r="AR83" s="33"/>
      <c r="AS83" s="33"/>
      <c r="AT83" s="33"/>
    </row>
    <row r="84" spans="1:47" ht="15" customHeight="1" thickBot="1" x14ac:dyDescent="0.25">
      <c r="A84" s="294"/>
      <c r="B84" s="288"/>
      <c r="C84" s="288"/>
      <c r="D84" s="288"/>
      <c r="E84" s="288"/>
      <c r="F84" s="288"/>
      <c r="G84" s="288"/>
      <c r="H84" s="288"/>
      <c r="I84" s="288"/>
      <c r="J84" s="288"/>
      <c r="K84" s="288"/>
      <c r="L84" s="288"/>
      <c r="M84" s="288" t="str">
        <f>IF(M83&gt;0,M81/M83*100,"")</f>
        <v/>
      </c>
      <c r="N84" s="288" t="str">
        <f t="shared" ref="N84:Z84" si="25">IF(N83&gt;0,N81/N83*100,"")</f>
        <v/>
      </c>
      <c r="O84" s="288" t="str">
        <f t="shared" si="25"/>
        <v/>
      </c>
      <c r="P84" s="288" t="str">
        <f t="shared" si="25"/>
        <v/>
      </c>
      <c r="Q84" s="288" t="str">
        <f t="shared" si="25"/>
        <v/>
      </c>
      <c r="R84" s="288">
        <f t="shared" si="25"/>
        <v>0</v>
      </c>
      <c r="S84" s="288">
        <f t="shared" si="25"/>
        <v>14.492652596296162</v>
      </c>
      <c r="T84" s="288">
        <f t="shared" si="25"/>
        <v>241.74581005586586</v>
      </c>
      <c r="U84" s="288">
        <f t="shared" si="25"/>
        <v>51.247993557280545</v>
      </c>
      <c r="V84" s="288" t="str">
        <f t="shared" si="25"/>
        <v/>
      </c>
      <c r="W84" s="288" t="str">
        <f t="shared" si="25"/>
        <v/>
      </c>
      <c r="X84" s="288" t="str">
        <f t="shared" si="25"/>
        <v/>
      </c>
      <c r="Y84" s="288" t="str">
        <f>IF(Y83&gt;0,Y81/Y83*100,"")</f>
        <v/>
      </c>
      <c r="Z84" s="288" t="str">
        <f t="shared" si="25"/>
        <v/>
      </c>
      <c r="AA84" s="353">
        <f>SUMIF(M83:Z83,"&gt;0",M81:Z81)/SUM(M83:Z83)%</f>
        <v>44.221087778445451</v>
      </c>
      <c r="AB84" s="40" t="s">
        <v>12</v>
      </c>
      <c r="AC84" s="355">
        <f>SUM(M81:Y81)/AA81*100</f>
        <v>60.686728361143082</v>
      </c>
      <c r="AD84" s="90" t="s">
        <v>164</v>
      </c>
      <c r="AE84" s="90"/>
      <c r="AF84" s="106"/>
      <c r="AG84" s="33"/>
      <c r="AH84" s="33"/>
      <c r="AI84" s="33"/>
      <c r="AJ84" s="33"/>
      <c r="AK84" s="33"/>
      <c r="AL84" s="33"/>
      <c r="AM84" s="33"/>
      <c r="AN84" s="33"/>
      <c r="AO84" s="33"/>
      <c r="AP84" s="33"/>
      <c r="AQ84" s="33"/>
      <c r="AR84" s="33"/>
      <c r="AS84" s="33"/>
      <c r="AT84" s="33"/>
    </row>
    <row r="85" spans="1:47" ht="15" customHeight="1" thickBot="1" x14ac:dyDescent="0.25">
      <c r="A85" s="10"/>
      <c r="B85" s="10"/>
      <c r="C85" s="10"/>
      <c r="D85" s="10"/>
      <c r="E85" s="10"/>
      <c r="F85" s="10"/>
      <c r="G85" s="10"/>
      <c r="H85" s="10"/>
      <c r="I85" s="10"/>
      <c r="J85" s="31"/>
      <c r="K85" s="31"/>
      <c r="L85" s="31"/>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row>
    <row r="86" spans="1:47" ht="17.25" customHeight="1" x14ac:dyDescent="0.2">
      <c r="A86" s="124" t="s">
        <v>72</v>
      </c>
      <c r="B86" s="5152" t="str">
        <f t="shared" ref="B86:I86" si="26">B7</f>
        <v xml:space="preserve">  LPG og petroleum</v>
      </c>
      <c r="C86" s="5152" t="str">
        <f t="shared" si="26"/>
        <v xml:space="preserve">  Kul</v>
      </c>
      <c r="D86" s="5152" t="str">
        <f t="shared" si="26"/>
        <v xml:space="preserve">  Fuelolie</v>
      </c>
      <c r="E86" s="5152" t="str">
        <f t="shared" si="26"/>
        <v xml:space="preserve">  Brændselsolie</v>
      </c>
      <c r="F86" s="5152" t="str">
        <f t="shared" si="26"/>
        <v xml:space="preserve">  Dieselolie</v>
      </c>
      <c r="G86" s="5152" t="str">
        <f t="shared" si="26"/>
        <v xml:space="preserve">  JP1</v>
      </c>
      <c r="H86" s="5152" t="str">
        <f t="shared" si="26"/>
        <v xml:space="preserve">  Benzin</v>
      </c>
      <c r="I86" s="5152" t="str">
        <f t="shared" si="26"/>
        <v xml:space="preserve">  Naturgas</v>
      </c>
      <c r="J86" s="289"/>
      <c r="K86" s="289"/>
      <c r="L86" s="289"/>
      <c r="M86" s="5152" t="str">
        <f t="shared" ref="M86:Z86" si="27">M7</f>
        <v xml:space="preserve">  Vindenergi</v>
      </c>
      <c r="N86" s="5152" t="str">
        <f t="shared" si="27"/>
        <v xml:space="preserve">  Vandenergi</v>
      </c>
      <c r="O86" s="5152" t="str">
        <f t="shared" si="27"/>
        <v xml:space="preserve">  Solenergi</v>
      </c>
      <c r="P86" s="5152" t="str">
        <f t="shared" si="27"/>
        <v xml:space="preserve">  Geotermi</v>
      </c>
      <c r="Q86" s="5152" t="str">
        <f t="shared" si="27"/>
        <v xml:space="preserve">  Varmekilder til varmepumper</v>
      </c>
      <c r="R86" s="5152" t="str">
        <f t="shared" si="27"/>
        <v xml:space="preserve">  Husdyrsgødning</v>
      </c>
      <c r="S86" s="5152" t="str">
        <f t="shared" si="27"/>
        <v xml:space="preserve">  Biobrændstof og energiafgrøder</v>
      </c>
      <c r="T86" s="5152" t="str">
        <f t="shared" si="27"/>
        <v xml:space="preserve">  Halm</v>
      </c>
      <c r="U86" s="5152" t="str">
        <f t="shared" si="27"/>
        <v xml:space="preserve">  Brænde og træflis</v>
      </c>
      <c r="V86" s="5152" t="str">
        <f t="shared" si="27"/>
        <v xml:space="preserve">  Træpiller og træaffald</v>
      </c>
      <c r="W86" s="5152" t="str">
        <f t="shared" si="27"/>
        <v xml:space="preserve">  Organisk affald, industri</v>
      </c>
      <c r="X86" s="5152" t="str">
        <f t="shared" si="27"/>
        <v xml:space="preserve">  Organisk affald, husholdninger</v>
      </c>
      <c r="Y86" s="5152" t="str">
        <f t="shared" si="27"/>
        <v xml:space="preserve">  Deponi, slam, renseanlæg</v>
      </c>
      <c r="Z86" s="5155" t="str">
        <f t="shared" si="27"/>
        <v xml:space="preserve">  Affald, ikke bionedbrydeligt</v>
      </c>
      <c r="AA86" s="10"/>
      <c r="AB86" s="10"/>
      <c r="AC86" s="10"/>
      <c r="AD86" s="10"/>
      <c r="AE86" s="10"/>
      <c r="AF86" s="10"/>
      <c r="AG86" s="10"/>
      <c r="AH86" s="10"/>
      <c r="AI86" s="10"/>
      <c r="AJ86" s="10"/>
      <c r="AK86" s="10"/>
      <c r="AL86" s="10"/>
      <c r="AM86" s="10"/>
      <c r="AN86" s="10"/>
      <c r="AO86" s="10"/>
      <c r="AP86" s="10"/>
      <c r="AQ86" s="10"/>
      <c r="AR86" s="10"/>
      <c r="AS86" s="10"/>
      <c r="AT86" s="10"/>
    </row>
    <row r="87" spans="1:47" ht="29.25" x14ac:dyDescent="0.2">
      <c r="A87" s="428">
        <v>100</v>
      </c>
      <c r="B87" s="5153"/>
      <c r="C87" s="5153"/>
      <c r="D87" s="5153"/>
      <c r="E87" s="5153"/>
      <c r="F87" s="5153"/>
      <c r="G87" s="5153"/>
      <c r="H87" s="5153"/>
      <c r="I87" s="5153"/>
      <c r="J87" s="290"/>
      <c r="K87" s="290"/>
      <c r="L87" s="290"/>
      <c r="M87" s="5153"/>
      <c r="N87" s="5153"/>
      <c r="O87" s="5153"/>
      <c r="P87" s="5153"/>
      <c r="Q87" s="5153"/>
      <c r="R87" s="5153"/>
      <c r="S87" s="5153"/>
      <c r="T87" s="5153"/>
      <c r="U87" s="5153"/>
      <c r="V87" s="5153"/>
      <c r="W87" s="5153"/>
      <c r="X87" s="5153"/>
      <c r="Y87" s="5153"/>
      <c r="Z87" s="5156"/>
      <c r="AA87" s="10"/>
      <c r="AB87" s="10"/>
      <c r="AC87" s="10"/>
      <c r="AD87" s="10"/>
      <c r="AE87" s="10"/>
      <c r="AF87" s="10"/>
      <c r="AG87" s="10"/>
      <c r="AH87" s="10"/>
      <c r="AI87" s="10"/>
      <c r="AJ87" s="10"/>
      <c r="AK87" s="10"/>
      <c r="AL87" s="10"/>
      <c r="AM87" s="10"/>
      <c r="AN87" s="10"/>
      <c r="AO87" s="10"/>
      <c r="AP87" s="10"/>
      <c r="AQ87" s="10"/>
      <c r="AR87" s="10"/>
      <c r="AS87" s="10"/>
      <c r="AT87" s="10"/>
    </row>
    <row r="88" spans="1:47" ht="123" customHeight="1" thickBot="1" x14ac:dyDescent="0.25">
      <c r="A88" s="92" t="s">
        <v>73</v>
      </c>
      <c r="B88" s="5154"/>
      <c r="C88" s="5154"/>
      <c r="D88" s="5154"/>
      <c r="E88" s="5154"/>
      <c r="F88" s="5154"/>
      <c r="G88" s="5154"/>
      <c r="H88" s="5154"/>
      <c r="I88" s="5154"/>
      <c r="J88" s="287" t="s">
        <v>175</v>
      </c>
      <c r="K88" s="287" t="s">
        <v>176</v>
      </c>
      <c r="L88" s="287" t="s">
        <v>177</v>
      </c>
      <c r="M88" s="5154"/>
      <c r="N88" s="5154"/>
      <c r="O88" s="5154"/>
      <c r="P88" s="5154"/>
      <c r="Q88" s="5154"/>
      <c r="R88" s="5154"/>
      <c r="S88" s="5154"/>
      <c r="T88" s="5154"/>
      <c r="U88" s="5154"/>
      <c r="V88" s="5154"/>
      <c r="W88" s="5154"/>
      <c r="X88" s="5154"/>
      <c r="Y88" s="5154"/>
      <c r="Z88" s="5157"/>
      <c r="AA88" s="10"/>
      <c r="AB88" s="10"/>
      <c r="AC88" s="10"/>
      <c r="AD88" s="10"/>
      <c r="AE88" s="10"/>
      <c r="AF88" s="10"/>
      <c r="AG88" s="10"/>
      <c r="AH88" s="10"/>
      <c r="AI88" s="10"/>
      <c r="AJ88" s="10"/>
      <c r="AK88" s="10"/>
      <c r="AL88" s="10"/>
      <c r="AM88" s="10"/>
      <c r="AN88" s="10"/>
      <c r="AO88" s="10"/>
      <c r="AP88" s="10"/>
      <c r="AQ88" s="10"/>
      <c r="AR88" s="10"/>
      <c r="AS88" s="10"/>
      <c r="AT88" s="10"/>
    </row>
    <row r="89" spans="1:47" s="52" customFormat="1" ht="15" customHeight="1" thickBot="1" x14ac:dyDescent="0.25">
      <c r="A89" s="429">
        <v>0</v>
      </c>
      <c r="B89" s="49">
        <v>64.8</v>
      </c>
      <c r="C89" s="49">
        <v>94.04000000000002</v>
      </c>
      <c r="D89" s="49">
        <v>79.03</v>
      </c>
      <c r="E89" s="49">
        <v>74.019999999999982</v>
      </c>
      <c r="F89" s="49">
        <v>72.621439549946388</v>
      </c>
      <c r="G89" s="49">
        <v>72.735910135444897</v>
      </c>
      <c r="H89" s="49">
        <v>70.954129118946369</v>
      </c>
      <c r="I89" s="49">
        <v>56.54</v>
      </c>
      <c r="J89" s="49"/>
      <c r="K89" s="49"/>
      <c r="L89" s="49"/>
      <c r="M89" s="53"/>
      <c r="N89" s="53"/>
      <c r="O89" s="53"/>
      <c r="P89" s="53"/>
      <c r="Q89" s="54"/>
      <c r="R89" s="53"/>
      <c r="S89" s="53"/>
      <c r="T89" s="53"/>
      <c r="U89" s="53"/>
      <c r="V89" s="53"/>
      <c r="W89" s="53"/>
      <c r="X89" s="53"/>
      <c r="Y89" s="54"/>
      <c r="Z89" s="295">
        <v>94.44</v>
      </c>
      <c r="AA89" s="125" t="s">
        <v>174</v>
      </c>
      <c r="AB89" s="50"/>
      <c r="AC89" s="51"/>
      <c r="AD89" s="51"/>
      <c r="AE89" s="51"/>
      <c r="AF89" s="51"/>
      <c r="AG89" s="51"/>
      <c r="AH89" s="51"/>
      <c r="AI89" s="51"/>
      <c r="AJ89" s="51"/>
      <c r="AK89" s="51"/>
      <c r="AL89" s="51"/>
      <c r="AM89" s="51"/>
      <c r="AN89" s="51"/>
      <c r="AO89" s="51"/>
      <c r="AP89" s="51"/>
      <c r="AQ89" s="51"/>
      <c r="AR89" s="51"/>
      <c r="AS89" s="51"/>
      <c r="AT89" s="51"/>
    </row>
    <row r="90" spans="1:47" x14ac:dyDescent="0.2">
      <c r="A90" s="29"/>
      <c r="B90" s="29"/>
      <c r="C90" s="29"/>
      <c r="D90" s="29"/>
      <c r="E90" s="29"/>
      <c r="F90" s="29"/>
      <c r="G90" s="29"/>
      <c r="H90" s="29"/>
      <c r="I90" s="29"/>
      <c r="J90" s="73"/>
      <c r="K90" s="73"/>
      <c r="L90" s="73"/>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row>
    <row r="91" spans="1:47" x14ac:dyDescent="0.2">
      <c r="AB91" s="10"/>
    </row>
    <row r="92" spans="1:47" ht="37.5" customHeight="1" x14ac:dyDescent="0.4">
      <c r="A92" s="410"/>
      <c r="B92" s="331"/>
      <c r="C92" s="331"/>
      <c r="D92" s="331"/>
      <c r="E92" s="331"/>
      <c r="F92" s="331"/>
      <c r="G92" s="331"/>
      <c r="H92" s="331"/>
      <c r="I92" s="331"/>
      <c r="J92" s="331"/>
      <c r="K92" s="331"/>
      <c r="L92" s="331"/>
      <c r="M92" s="331"/>
      <c r="N92" s="331"/>
      <c r="O92" s="331"/>
      <c r="P92" s="331"/>
      <c r="Q92" s="331"/>
      <c r="R92" s="331"/>
      <c r="S92" s="331"/>
      <c r="T92" s="331"/>
      <c r="U92" s="331"/>
      <c r="V92" s="331"/>
      <c r="AB92" s="29"/>
    </row>
    <row r="93" spans="1:47" x14ac:dyDescent="0.2">
      <c r="A93" s="331"/>
      <c r="B93" s="331"/>
      <c r="C93" s="331"/>
      <c r="D93" s="331"/>
      <c r="E93" s="331"/>
      <c r="F93" s="331"/>
      <c r="G93" s="331"/>
      <c r="H93" s="331"/>
      <c r="I93" s="331"/>
      <c r="J93" s="331"/>
      <c r="K93" s="331"/>
      <c r="L93" s="331"/>
      <c r="M93" s="331"/>
      <c r="N93" s="331"/>
      <c r="O93" s="331"/>
      <c r="P93" s="331"/>
      <c r="Q93" s="331"/>
      <c r="R93" s="3"/>
      <c r="S93" s="3"/>
      <c r="T93" s="3"/>
      <c r="U93" s="3"/>
      <c r="V93" s="3"/>
    </row>
    <row r="94" spans="1:47" ht="15.75" x14ac:dyDescent="0.25">
      <c r="A94" s="332"/>
      <c r="B94" s="331"/>
      <c r="C94" s="331"/>
      <c r="D94" s="331"/>
      <c r="E94" s="331"/>
      <c r="F94" s="331"/>
      <c r="G94" s="331"/>
      <c r="H94" s="331"/>
      <c r="I94" s="331"/>
      <c r="J94" s="332"/>
      <c r="K94" s="331"/>
      <c r="L94" s="331"/>
      <c r="M94" s="331"/>
      <c r="N94" s="331"/>
      <c r="O94" s="331"/>
      <c r="P94" s="331"/>
      <c r="Q94" s="331"/>
      <c r="R94" s="3"/>
      <c r="S94" s="3"/>
      <c r="T94" s="3"/>
      <c r="U94" s="3"/>
      <c r="V94" s="3"/>
      <c r="AB94" s="29"/>
    </row>
    <row r="95" spans="1:47" x14ac:dyDescent="0.2">
      <c r="A95" s="328"/>
      <c r="B95" s="3"/>
      <c r="C95" s="3"/>
      <c r="D95" s="33"/>
      <c r="E95" s="3"/>
      <c r="F95" s="3"/>
      <c r="G95" s="411"/>
      <c r="H95" s="3"/>
      <c r="I95" s="3"/>
      <c r="J95" s="328"/>
      <c r="K95" s="3"/>
      <c r="L95" s="3"/>
      <c r="M95" s="3"/>
      <c r="N95" s="3"/>
      <c r="O95" s="3"/>
      <c r="P95" s="3"/>
      <c r="Q95" s="3"/>
      <c r="R95" s="3"/>
      <c r="S95" s="3"/>
      <c r="T95" s="3"/>
      <c r="U95" s="3"/>
      <c r="V95" s="3"/>
      <c r="AB95" s="29"/>
    </row>
    <row r="96" spans="1:47" x14ac:dyDescent="0.2">
      <c r="A96" s="3"/>
      <c r="B96" s="3"/>
      <c r="C96" s="3"/>
      <c r="D96" s="33"/>
      <c r="E96" s="331"/>
      <c r="F96" s="335"/>
      <c r="G96" s="412"/>
      <c r="H96" s="3"/>
      <c r="I96" s="3"/>
      <c r="J96" s="328"/>
      <c r="K96" s="3"/>
      <c r="L96" s="3"/>
      <c r="M96" s="3"/>
      <c r="N96" s="3"/>
      <c r="O96" s="413"/>
      <c r="P96" s="334"/>
      <c r="Q96" s="3"/>
      <c r="R96" s="3"/>
      <c r="S96" s="3"/>
      <c r="T96" s="3"/>
      <c r="U96" s="3"/>
      <c r="V96" s="3"/>
    </row>
    <row r="97" spans="1:23" x14ac:dyDescent="0.2">
      <c r="A97" s="3"/>
      <c r="B97" s="3"/>
      <c r="C97" s="3"/>
      <c r="D97" s="33"/>
      <c r="E97" s="331"/>
      <c r="F97" s="335"/>
      <c r="G97" s="412"/>
      <c r="H97" s="3"/>
      <c r="I97" s="3"/>
      <c r="J97" s="328"/>
      <c r="K97" s="3"/>
      <c r="L97" s="3"/>
      <c r="M97" s="414"/>
      <c r="N97" s="3"/>
      <c r="O97" s="413"/>
      <c r="P97" s="334"/>
      <c r="Q97" s="3"/>
      <c r="R97" s="3"/>
      <c r="S97" s="3"/>
      <c r="T97" s="3"/>
      <c r="U97" s="3"/>
      <c r="V97" s="3"/>
    </row>
    <row r="98" spans="1:23" x14ac:dyDescent="0.2">
      <c r="A98" s="328"/>
      <c r="B98" s="3"/>
      <c r="C98" s="3"/>
      <c r="D98" s="330"/>
      <c r="E98" s="335"/>
      <c r="F98" s="415"/>
      <c r="G98" s="339"/>
      <c r="H98" s="3"/>
      <c r="I98" s="3"/>
      <c r="J98" s="328"/>
      <c r="K98" s="3"/>
      <c r="L98" s="3"/>
      <c r="M98" s="414"/>
      <c r="N98" s="3"/>
      <c r="O98" s="416"/>
      <c r="P98" s="3"/>
      <c r="Q98" s="3"/>
      <c r="R98" s="3"/>
      <c r="S98" s="3"/>
      <c r="T98" s="3"/>
      <c r="U98" s="3"/>
      <c r="V98" s="3"/>
    </row>
    <row r="99" spans="1:23" x14ac:dyDescent="0.2">
      <c r="A99" s="329"/>
      <c r="B99" s="3"/>
      <c r="C99" s="3"/>
      <c r="D99" s="33"/>
      <c r="E99" s="335"/>
      <c r="F99" s="415"/>
      <c r="G99" s="417"/>
      <c r="H99" s="336"/>
      <c r="I99" s="336"/>
      <c r="J99" s="328"/>
      <c r="K99" s="3"/>
      <c r="L99" s="3"/>
      <c r="M99" s="418"/>
      <c r="N99" s="3"/>
      <c r="O99" s="419"/>
      <c r="P99" s="3"/>
      <c r="Q99" s="3"/>
      <c r="R99" s="3"/>
      <c r="S99" s="3"/>
      <c r="T99" s="336"/>
      <c r="U99" s="3"/>
      <c r="V99" s="3"/>
    </row>
    <row r="100" spans="1:23" x14ac:dyDescent="0.2">
      <c r="A100" s="329"/>
      <c r="B100" s="3"/>
      <c r="C100" s="3"/>
      <c r="D100" s="33"/>
      <c r="E100" s="335"/>
      <c r="F100" s="415"/>
      <c r="G100" s="417"/>
      <c r="H100" s="3"/>
      <c r="I100" s="3"/>
      <c r="J100" s="328"/>
      <c r="K100" s="3"/>
      <c r="L100" s="3"/>
      <c r="M100" s="418"/>
      <c r="N100" s="3"/>
      <c r="O100" s="419"/>
      <c r="P100" s="3"/>
      <c r="Q100" s="3"/>
      <c r="R100" s="3"/>
      <c r="S100" s="3"/>
      <c r="T100" s="3"/>
      <c r="U100" s="3"/>
      <c r="V100" s="3"/>
    </row>
    <row r="101" spans="1:23" x14ac:dyDescent="0.2">
      <c r="A101" s="3"/>
      <c r="B101" s="3"/>
      <c r="C101" s="3"/>
      <c r="D101" s="3"/>
      <c r="E101" s="335"/>
      <c r="F101" s="338"/>
      <c r="G101" s="339"/>
      <c r="H101" s="3"/>
      <c r="I101" s="3"/>
      <c r="J101" s="328"/>
      <c r="K101" s="3"/>
      <c r="L101" s="3"/>
      <c r="M101" s="418"/>
      <c r="N101" s="3"/>
      <c r="O101" s="419"/>
      <c r="P101" s="3"/>
      <c r="Q101" s="3"/>
      <c r="R101" s="3"/>
      <c r="S101" s="3"/>
      <c r="T101" s="3"/>
      <c r="U101" s="3"/>
      <c r="V101" s="3"/>
    </row>
    <row r="102" spans="1:23" x14ac:dyDescent="0.2">
      <c r="A102" s="328"/>
      <c r="B102" s="3"/>
      <c r="C102" s="3"/>
      <c r="D102" s="33"/>
      <c r="E102" s="335"/>
      <c r="F102" s="338"/>
      <c r="G102" s="420"/>
      <c r="H102" s="3"/>
      <c r="I102" s="3"/>
      <c r="J102" s="328"/>
      <c r="K102" s="3"/>
      <c r="L102" s="3"/>
      <c r="M102" s="418"/>
      <c r="N102" s="3"/>
      <c r="O102" s="419"/>
      <c r="P102" s="3"/>
      <c r="Q102" s="3"/>
      <c r="R102" s="3"/>
      <c r="S102" s="3"/>
      <c r="T102" s="3"/>
      <c r="U102" s="3"/>
      <c r="V102" s="3"/>
    </row>
    <row r="103" spans="1:23" x14ac:dyDescent="0.2">
      <c r="A103" s="3"/>
      <c r="B103" s="3"/>
      <c r="C103" s="3"/>
      <c r="D103" s="33"/>
      <c r="E103" s="331"/>
      <c r="F103" s="338"/>
      <c r="G103" s="339"/>
      <c r="H103" s="3"/>
      <c r="I103" s="3"/>
      <c r="J103" s="328"/>
      <c r="K103" s="3"/>
      <c r="L103" s="3"/>
      <c r="M103" s="3"/>
      <c r="N103" s="3"/>
      <c r="O103" s="3"/>
      <c r="P103" s="3"/>
      <c r="Q103" s="3"/>
      <c r="R103" s="3"/>
      <c r="S103" s="3"/>
      <c r="T103" s="3"/>
      <c r="U103" s="3"/>
      <c r="V103" s="3"/>
    </row>
    <row r="104" spans="1:23" x14ac:dyDescent="0.2">
      <c r="A104" s="3"/>
      <c r="B104" s="3"/>
      <c r="C104" s="3"/>
      <c r="D104" s="33"/>
      <c r="E104" s="331"/>
      <c r="F104" s="338"/>
      <c r="G104" s="339"/>
      <c r="H104" s="3"/>
      <c r="I104" s="3"/>
      <c r="J104" s="12"/>
      <c r="K104" s="12"/>
      <c r="L104" s="12"/>
      <c r="P104" s="3"/>
      <c r="Q104" s="3"/>
      <c r="R104" s="3"/>
      <c r="S104" s="3"/>
      <c r="T104" s="3"/>
      <c r="U104" s="3"/>
      <c r="V104" s="3"/>
    </row>
    <row r="105" spans="1:23" x14ac:dyDescent="0.2">
      <c r="A105" s="328"/>
      <c r="B105" s="3"/>
      <c r="C105" s="3"/>
      <c r="D105" s="330"/>
      <c r="E105" s="335"/>
      <c r="F105" s="415"/>
      <c r="G105" s="339"/>
      <c r="H105" s="3"/>
      <c r="I105" s="3"/>
      <c r="J105" s="3"/>
      <c r="K105" s="3"/>
      <c r="L105" s="3"/>
      <c r="M105" s="3"/>
      <c r="N105" s="3"/>
      <c r="O105" s="3"/>
      <c r="P105" s="3"/>
      <c r="Q105" s="3"/>
      <c r="R105" s="3"/>
      <c r="S105" s="3"/>
      <c r="T105" s="3"/>
      <c r="U105" s="3"/>
      <c r="V105" s="3"/>
    </row>
    <row r="106" spans="1:23" x14ac:dyDescent="0.2">
      <c r="A106" s="3"/>
      <c r="B106" s="3"/>
      <c r="C106" s="3"/>
      <c r="D106" s="33"/>
      <c r="E106" s="335"/>
      <c r="F106" s="415"/>
      <c r="G106" s="417"/>
      <c r="H106" s="3"/>
      <c r="I106" s="3"/>
      <c r="J106" s="328"/>
      <c r="K106" s="3"/>
      <c r="L106" s="3"/>
      <c r="M106" s="3"/>
      <c r="N106" s="3"/>
      <c r="O106" s="421"/>
      <c r="P106" s="3"/>
      <c r="Q106" s="3"/>
      <c r="R106" s="3"/>
      <c r="S106" s="3"/>
      <c r="T106" s="3"/>
      <c r="U106" s="3"/>
      <c r="V106" s="3"/>
    </row>
    <row r="107" spans="1:23" x14ac:dyDescent="0.2">
      <c r="A107" s="329"/>
      <c r="B107" s="3"/>
      <c r="C107" s="3"/>
      <c r="D107" s="33"/>
      <c r="E107" s="335"/>
      <c r="F107" s="415"/>
      <c r="G107" s="417"/>
      <c r="H107" s="3"/>
      <c r="I107" s="3"/>
      <c r="J107" s="328"/>
      <c r="K107" s="3"/>
      <c r="L107" s="3"/>
      <c r="M107" s="3"/>
      <c r="N107" s="421"/>
      <c r="O107" s="422"/>
      <c r="P107" s="3"/>
      <c r="Q107" s="3"/>
      <c r="R107" s="3"/>
      <c r="S107" s="3"/>
      <c r="T107" s="3"/>
      <c r="U107" s="3"/>
      <c r="V107" s="3"/>
    </row>
    <row r="108" spans="1:23" x14ac:dyDescent="0.2">
      <c r="A108" s="3"/>
      <c r="B108" s="3"/>
      <c r="C108" s="3"/>
      <c r="D108" s="3"/>
      <c r="E108" s="335"/>
      <c r="F108" s="338"/>
      <c r="G108" s="339"/>
      <c r="H108" s="3"/>
      <c r="I108" s="3"/>
      <c r="J108" s="328"/>
      <c r="K108" s="3"/>
      <c r="L108" s="3"/>
      <c r="M108" s="3"/>
      <c r="N108" s="3"/>
      <c r="O108" s="422"/>
      <c r="P108" s="3"/>
      <c r="Q108" s="3"/>
      <c r="R108" s="3"/>
      <c r="S108"/>
      <c r="T108"/>
      <c r="U108"/>
      <c r="V108"/>
      <c r="W108" s="32"/>
    </row>
    <row r="109" spans="1:23" x14ac:dyDescent="0.2">
      <c r="A109" s="328"/>
      <c r="B109" s="3"/>
      <c r="C109" s="3"/>
      <c r="D109" s="33"/>
      <c r="E109" s="335"/>
      <c r="F109" s="338"/>
      <c r="G109" s="420"/>
      <c r="H109" s="3"/>
      <c r="I109" s="3"/>
      <c r="J109" s="3"/>
      <c r="K109" s="3"/>
      <c r="L109" s="3"/>
      <c r="M109" s="3"/>
      <c r="N109" s="3"/>
      <c r="O109" s="3"/>
      <c r="P109" s="3"/>
      <c r="Q109" s="3"/>
      <c r="R109" s="3"/>
      <c r="S109"/>
      <c r="T109"/>
      <c r="U109"/>
      <c r="V109"/>
      <c r="W109" s="32"/>
    </row>
    <row r="110" spans="1:23" x14ac:dyDescent="0.2">
      <c r="A110" s="3"/>
      <c r="B110" s="3"/>
      <c r="C110" s="3"/>
      <c r="D110" s="33"/>
      <c r="E110" s="331"/>
      <c r="F110" s="328"/>
      <c r="G110" s="339"/>
      <c r="H110" s="3"/>
      <c r="I110" s="3"/>
      <c r="J110" s="329"/>
      <c r="K110" s="3"/>
      <c r="L110" s="3"/>
      <c r="M110" s="3"/>
      <c r="N110" s="3"/>
      <c r="O110" s="3"/>
      <c r="P110" s="3"/>
      <c r="Q110" s="329"/>
      <c r="R110" s="3"/>
      <c r="S110"/>
      <c r="T110"/>
      <c r="U110"/>
      <c r="V110"/>
      <c r="W110" s="32"/>
    </row>
    <row r="111" spans="1:23" x14ac:dyDescent="0.2">
      <c r="A111" s="3"/>
      <c r="B111" s="3"/>
      <c r="C111" s="3"/>
      <c r="D111" s="33"/>
      <c r="E111" s="331"/>
      <c r="F111" s="328"/>
      <c r="G111" s="339"/>
      <c r="H111" s="3"/>
      <c r="I111" s="3"/>
      <c r="J111" s="328"/>
      <c r="K111" s="3"/>
      <c r="L111" s="3"/>
      <c r="M111" s="3"/>
      <c r="N111" s="3"/>
      <c r="O111" s="421"/>
      <c r="P111" s="3"/>
      <c r="Q111" s="328"/>
      <c r="R111" s="3"/>
      <c r="S111"/>
      <c r="T111"/>
      <c r="U111"/>
      <c r="V111" s="347"/>
      <c r="W111" s="32"/>
    </row>
    <row r="112" spans="1:23" x14ac:dyDescent="0.2">
      <c r="A112" s="328"/>
      <c r="B112" s="3"/>
      <c r="C112" s="3"/>
      <c r="D112" s="330"/>
      <c r="E112" s="330"/>
      <c r="F112" s="415"/>
      <c r="G112" s="339"/>
      <c r="H112" s="3"/>
      <c r="I112" s="3"/>
      <c r="J112" s="328"/>
      <c r="K112" s="3"/>
      <c r="L112" s="3"/>
      <c r="M112" s="3"/>
      <c r="N112" s="421"/>
      <c r="O112" s="421"/>
      <c r="P112" s="3"/>
      <c r="Q112" s="328"/>
      <c r="R112" s="3"/>
      <c r="S112"/>
      <c r="T112"/>
      <c r="U112" s="347"/>
      <c r="V112" s="348"/>
      <c r="W112" s="32"/>
    </row>
    <row r="113" spans="1:23" x14ac:dyDescent="0.2">
      <c r="A113" s="3"/>
      <c r="B113" s="3"/>
      <c r="C113" s="3"/>
      <c r="D113" s="33"/>
      <c r="E113" s="3"/>
      <c r="F113" s="415"/>
      <c r="G113" s="417"/>
      <c r="H113" s="3"/>
      <c r="I113" s="3"/>
      <c r="J113" s="328"/>
      <c r="K113" s="3"/>
      <c r="L113" s="3"/>
      <c r="M113" s="3"/>
      <c r="N113" s="3"/>
      <c r="O113" s="421"/>
      <c r="P113" s="3"/>
      <c r="Q113" s="328"/>
      <c r="R113" s="3"/>
      <c r="S113"/>
      <c r="T113"/>
      <c r="U113"/>
      <c r="V113" s="347"/>
      <c r="W113" s="32"/>
    </row>
    <row r="114" spans="1:23" x14ac:dyDescent="0.2">
      <c r="A114" s="329"/>
      <c r="B114" s="3"/>
      <c r="C114" s="3"/>
      <c r="D114" s="33"/>
      <c r="E114" s="3"/>
      <c r="F114" s="415"/>
      <c r="G114" s="417"/>
      <c r="H114" s="3"/>
      <c r="I114" s="3"/>
      <c r="J114" s="328"/>
      <c r="K114" s="3"/>
      <c r="L114" s="3"/>
      <c r="M114" s="3"/>
      <c r="N114" s="3"/>
      <c r="O114" s="421"/>
      <c r="P114" s="3"/>
      <c r="Q114" s="328"/>
      <c r="R114" s="3"/>
      <c r="S114"/>
      <c r="T114"/>
      <c r="U114"/>
      <c r="V114" s="347"/>
      <c r="W114" s="32"/>
    </row>
    <row r="115" spans="1:23" x14ac:dyDescent="0.2">
      <c r="A115" s="3"/>
      <c r="B115" s="3"/>
      <c r="C115" s="3"/>
      <c r="D115" s="3"/>
      <c r="E115" s="3"/>
      <c r="F115" s="328"/>
      <c r="G115" s="3"/>
      <c r="H115" s="3"/>
      <c r="I115" s="3"/>
      <c r="J115" s="328"/>
      <c r="K115" s="3"/>
      <c r="L115" s="3"/>
      <c r="M115" s="3"/>
      <c r="N115" s="3"/>
      <c r="O115" s="421"/>
      <c r="P115" s="3"/>
      <c r="Q115" s="328"/>
      <c r="R115" s="3"/>
      <c r="S115"/>
      <c r="T115"/>
      <c r="U115"/>
      <c r="V115" s="347"/>
      <c r="W115" s="32"/>
    </row>
    <row r="116" spans="1:23" x14ac:dyDescent="0.2">
      <c r="A116" s="3"/>
      <c r="B116" s="3"/>
      <c r="C116" s="3"/>
      <c r="D116" s="3"/>
      <c r="E116" s="3"/>
      <c r="F116" s="3"/>
      <c r="G116" s="3"/>
      <c r="H116" s="3"/>
      <c r="I116" s="3"/>
      <c r="J116" s="328"/>
      <c r="K116" s="3"/>
      <c r="L116" s="3"/>
      <c r="M116" s="3"/>
      <c r="N116" s="3"/>
      <c r="O116" s="423"/>
      <c r="P116" s="3"/>
      <c r="Q116" s="328"/>
      <c r="R116" s="3"/>
      <c r="S116"/>
      <c r="T116"/>
      <c r="U116"/>
      <c r="V116" s="349"/>
      <c r="W116" s="32"/>
    </row>
    <row r="117" spans="1:23" x14ac:dyDescent="0.2">
      <c r="A117" s="3"/>
      <c r="B117" s="3"/>
      <c r="C117" s="3"/>
      <c r="D117" s="3"/>
      <c r="E117" s="3"/>
      <c r="F117" s="3"/>
      <c r="G117" s="3"/>
      <c r="H117" s="3"/>
      <c r="I117" s="3"/>
      <c r="J117" s="3"/>
      <c r="K117" s="3"/>
      <c r="L117" s="3"/>
      <c r="M117" s="3"/>
      <c r="N117" s="3"/>
      <c r="O117" s="3"/>
      <c r="P117" s="3"/>
      <c r="Q117" s="3"/>
      <c r="R117" s="3"/>
      <c r="S117"/>
      <c r="T117"/>
      <c r="U117"/>
      <c r="V117"/>
      <c r="W117" s="32"/>
    </row>
    <row r="118" spans="1:23" x14ac:dyDescent="0.2">
      <c r="A118" s="3"/>
      <c r="B118" s="3"/>
      <c r="C118" s="3"/>
      <c r="D118" s="3"/>
      <c r="E118" s="3"/>
      <c r="F118" s="3"/>
      <c r="G118" s="3"/>
      <c r="H118" s="3"/>
      <c r="I118" s="3"/>
      <c r="J118" s="329"/>
      <c r="K118" s="3"/>
      <c r="L118" s="3"/>
      <c r="M118" s="3"/>
      <c r="N118" s="3"/>
      <c r="O118" s="3"/>
      <c r="P118" s="3"/>
      <c r="Q118" s="3"/>
      <c r="R118" s="3"/>
      <c r="S118"/>
      <c r="T118"/>
      <c r="U118"/>
      <c r="V118"/>
      <c r="W118" s="32"/>
    </row>
    <row r="119" spans="1:23" x14ac:dyDescent="0.2">
      <c r="A119" s="3"/>
      <c r="B119" s="3"/>
      <c r="C119" s="3"/>
      <c r="D119" s="3"/>
      <c r="E119" s="3"/>
      <c r="F119" s="3"/>
      <c r="G119" s="3"/>
      <c r="H119" s="3"/>
      <c r="I119" s="3"/>
      <c r="J119" s="328"/>
      <c r="K119" s="3"/>
      <c r="L119" s="3"/>
      <c r="M119" s="328"/>
      <c r="N119" s="3"/>
      <c r="O119" s="330"/>
      <c r="P119" s="3"/>
      <c r="Q119" s="3"/>
      <c r="R119" s="3"/>
      <c r="S119"/>
      <c r="T119"/>
      <c r="U119"/>
      <c r="V119"/>
      <c r="W119" s="32"/>
    </row>
    <row r="120" spans="1:23" x14ac:dyDescent="0.2">
      <c r="A120" s="3"/>
      <c r="B120" s="3"/>
      <c r="C120" s="3"/>
      <c r="D120" s="3"/>
      <c r="E120" s="3"/>
      <c r="F120" s="3"/>
      <c r="G120" s="3"/>
      <c r="H120" s="3"/>
      <c r="I120" s="3"/>
      <c r="J120" s="328"/>
      <c r="K120" s="3"/>
      <c r="L120" s="3"/>
      <c r="M120" s="413"/>
      <c r="N120" s="3"/>
      <c r="O120" s="330"/>
      <c r="P120" s="3"/>
      <c r="Q120" s="3"/>
      <c r="R120" s="3"/>
      <c r="S120"/>
      <c r="T120"/>
      <c r="U120"/>
      <c r="V120"/>
      <c r="W120" s="32"/>
    </row>
    <row r="121" spans="1:23" x14ac:dyDescent="0.2">
      <c r="A121" s="3"/>
      <c r="B121" s="3"/>
      <c r="C121" s="3"/>
      <c r="D121" s="3"/>
      <c r="E121" s="3"/>
      <c r="F121" s="3"/>
      <c r="G121" s="3"/>
      <c r="H121" s="3"/>
      <c r="I121" s="3"/>
      <c r="J121" s="424"/>
      <c r="K121" s="3"/>
      <c r="L121" s="3"/>
      <c r="M121" s="425"/>
      <c r="N121" s="3"/>
      <c r="O121" s="426"/>
      <c r="P121" s="3"/>
      <c r="Q121" s="3"/>
      <c r="R121" s="3"/>
      <c r="S121" s="3"/>
      <c r="T121" s="3"/>
      <c r="U121" s="3"/>
      <c r="V121" s="3"/>
    </row>
    <row r="122" spans="1:23" x14ac:dyDescent="0.2">
      <c r="A122" s="3"/>
      <c r="B122" s="3"/>
      <c r="C122" s="3"/>
      <c r="D122" s="3"/>
      <c r="E122" s="3"/>
      <c r="F122" s="3"/>
      <c r="G122" s="3"/>
      <c r="H122" s="3"/>
      <c r="I122" s="3"/>
      <c r="J122" s="424"/>
      <c r="K122" s="3"/>
      <c r="L122" s="3"/>
      <c r="M122" s="425"/>
      <c r="N122" s="3"/>
      <c r="O122" s="426"/>
      <c r="P122" s="3"/>
      <c r="Q122" s="3"/>
      <c r="R122" s="3"/>
      <c r="S122" s="3"/>
      <c r="T122" s="3"/>
      <c r="U122" s="3"/>
      <c r="V122" s="3"/>
    </row>
    <row r="123" spans="1:23" x14ac:dyDescent="0.2">
      <c r="A123" s="3"/>
      <c r="B123" s="3"/>
      <c r="C123" s="3"/>
      <c r="D123" s="3"/>
      <c r="E123" s="3"/>
      <c r="F123" s="3"/>
      <c r="G123" s="3"/>
      <c r="H123" s="3"/>
      <c r="I123" s="3"/>
      <c r="J123" s="3"/>
      <c r="K123" s="3"/>
      <c r="L123" s="3"/>
      <c r="M123" s="3"/>
      <c r="N123" s="3"/>
      <c r="O123" s="3"/>
      <c r="P123" s="3"/>
      <c r="Q123" s="3"/>
      <c r="R123" s="3"/>
      <c r="S123" s="3"/>
      <c r="T123" s="3"/>
      <c r="U123" s="3"/>
      <c r="V123" s="3"/>
    </row>
    <row r="124" spans="1:23" x14ac:dyDescent="0.2">
      <c r="A124" s="3"/>
      <c r="B124" s="3"/>
      <c r="C124" s="3"/>
      <c r="D124" s="3"/>
      <c r="E124" s="3"/>
      <c r="F124" s="3"/>
      <c r="G124" s="3"/>
      <c r="H124" s="3"/>
      <c r="I124" s="3"/>
      <c r="J124" s="3"/>
      <c r="K124" s="3"/>
      <c r="L124" s="3"/>
      <c r="M124" s="3"/>
      <c r="N124" s="3"/>
      <c r="O124" s="3"/>
      <c r="P124" s="3"/>
      <c r="Q124" s="3"/>
      <c r="R124" s="3"/>
      <c r="S124" s="3"/>
      <c r="T124" s="3"/>
      <c r="U124" s="3"/>
      <c r="V124" s="3"/>
    </row>
    <row r="125" spans="1:23" x14ac:dyDescent="0.2">
      <c r="A125" s="3"/>
      <c r="B125" s="3"/>
      <c r="C125" s="3"/>
      <c r="D125" s="3"/>
      <c r="E125" s="3"/>
      <c r="F125" s="3"/>
      <c r="G125" s="3"/>
      <c r="H125" s="3"/>
      <c r="I125" s="3"/>
      <c r="J125" s="3"/>
      <c r="K125" s="3"/>
      <c r="L125" s="3"/>
      <c r="M125" s="3"/>
      <c r="N125" s="3"/>
      <c r="O125" s="3"/>
      <c r="P125" s="3"/>
      <c r="Q125" s="3"/>
      <c r="R125" s="3"/>
      <c r="S125" s="3"/>
      <c r="T125" s="3"/>
      <c r="U125" s="3"/>
      <c r="V125" s="3"/>
    </row>
  </sheetData>
  <mergeCells count="30">
    <mergeCell ref="R86:R88"/>
    <mergeCell ref="Y86:Y88"/>
    <mergeCell ref="Z86:Z88"/>
    <mergeCell ref="S86:S88"/>
    <mergeCell ref="T86:T88"/>
    <mergeCell ref="U86:U88"/>
    <mergeCell ref="V86:V88"/>
    <mergeCell ref="W86:W88"/>
    <mergeCell ref="X86:X88"/>
    <mergeCell ref="AI6:AJ6"/>
    <mergeCell ref="AL6:AT6"/>
    <mergeCell ref="B86:B88"/>
    <mergeCell ref="C86:C88"/>
    <mergeCell ref="D86:D88"/>
    <mergeCell ref="E86:E88"/>
    <mergeCell ref="F86:F88"/>
    <mergeCell ref="G86:G88"/>
    <mergeCell ref="H86:H88"/>
    <mergeCell ref="I86:I88"/>
    <mergeCell ref="AG6:AH6"/>
    <mergeCell ref="M86:M88"/>
    <mergeCell ref="N86:N88"/>
    <mergeCell ref="O86:O88"/>
    <mergeCell ref="P86:P88"/>
    <mergeCell ref="Q86:Q88"/>
    <mergeCell ref="D1:E1"/>
    <mergeCell ref="AB1:AB2"/>
    <mergeCell ref="A6:AA6"/>
    <mergeCell ref="AC6:AF6"/>
    <mergeCell ref="Z3:AD4"/>
  </mergeCells>
  <conditionalFormatting sqref="AA57:AA59">
    <cfRule type="cellIs" dxfId="614" priority="1" operator="notEqual">
      <formula>0</formula>
    </cfRule>
  </conditionalFormatting>
  <hyperlinks>
    <hyperlink ref="A4" location="Index!A1" display="Til index" xr:uid="{15388F3B-2FB2-45BC-AD90-F603BB44A9C7}"/>
  </hyperlinks>
  <printOptions horizontalCentered="1" verticalCentered="1" gridLines="1"/>
  <pageMargins left="0.19685039370078741" right="0.19685039370078741" top="0.98425196850393704" bottom="0.55118110236220474" header="0" footer="0"/>
  <pageSetup paperSize="8" scale="48" orientation="landscape" r:id="rId1"/>
  <headerFooter alignWithMargins="0">
    <oddFooter>&amp;R&amp;F &amp;T &amp;D</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0B179-264B-4F50-95F1-4C0F65F680FC}">
  <sheetPr codeName="Ark33">
    <tabColor theme="0" tint="-0.14999847407452621"/>
    <pageSetUpPr fitToPage="1"/>
  </sheetPr>
  <dimension ref="A1:L33"/>
  <sheetViews>
    <sheetView showGridLines="0" workbookViewId="0">
      <selection sqref="A1:C1"/>
    </sheetView>
  </sheetViews>
  <sheetFormatPr defaultColWidth="8" defaultRowHeight="12" customHeight="1" x14ac:dyDescent="0.2"/>
  <cols>
    <col min="1" max="1" width="37.85546875" style="769" customWidth="1"/>
    <col min="2" max="2" width="21.28515625" style="769" customWidth="1"/>
    <col min="3" max="3" width="16.7109375" style="769" customWidth="1"/>
    <col min="4" max="4" width="17.85546875" style="769" customWidth="1"/>
    <col min="5" max="9" width="16.7109375" style="769" customWidth="1"/>
    <col min="10" max="10" width="13.5703125" style="769" customWidth="1"/>
    <col min="11" max="11" width="3.28515625" style="769" customWidth="1"/>
    <col min="12" max="12" width="14.85546875" style="769" customWidth="1"/>
    <col min="13" max="13" width="1.28515625" style="769" customWidth="1"/>
    <col min="14" max="16384" width="8" style="769"/>
  </cols>
  <sheetData>
    <row r="1" spans="1:12" ht="15.75" customHeight="1" x14ac:dyDescent="0.2">
      <c r="A1" s="5640" t="s">
        <v>1679</v>
      </c>
      <c r="B1" s="5640"/>
      <c r="C1" s="5640"/>
      <c r="D1" s="771"/>
      <c r="E1" s="771"/>
      <c r="F1" s="771"/>
      <c r="G1" s="771"/>
      <c r="H1" s="771"/>
      <c r="I1" s="771"/>
      <c r="J1" s="782" t="s">
        <v>1028</v>
      </c>
      <c r="K1" s="771"/>
      <c r="L1" s="771"/>
    </row>
    <row r="2" spans="1:12" ht="15.75" customHeight="1" x14ac:dyDescent="0.25">
      <c r="A2" s="784" t="s">
        <v>1678</v>
      </c>
      <c r="B2" s="783"/>
      <c r="C2" s="783"/>
      <c r="D2" s="771"/>
      <c r="E2" s="771"/>
      <c r="F2" s="771"/>
      <c r="G2" s="771"/>
      <c r="H2" s="771"/>
      <c r="I2" s="771"/>
      <c r="J2" s="782" t="s">
        <v>5183</v>
      </c>
      <c r="K2" s="771"/>
      <c r="L2" s="771"/>
    </row>
    <row r="3" spans="1:12" ht="15.75" customHeight="1" x14ac:dyDescent="0.25">
      <c r="A3" s="784" t="s">
        <v>1197</v>
      </c>
      <c r="B3" s="783"/>
      <c r="C3" s="783"/>
      <c r="D3" s="771"/>
      <c r="E3" s="771"/>
      <c r="F3" s="771"/>
      <c r="G3" s="771"/>
      <c r="H3" s="771"/>
      <c r="I3" s="771"/>
      <c r="J3" s="782" t="s">
        <v>1789</v>
      </c>
      <c r="K3" s="771"/>
      <c r="L3" s="771"/>
    </row>
    <row r="4" spans="1:12" x14ac:dyDescent="0.2">
      <c r="A4" s="771"/>
      <c r="B4" s="771"/>
      <c r="C4" s="771"/>
      <c r="D4" s="771"/>
      <c r="E4" s="771"/>
      <c r="F4" s="771"/>
      <c r="G4" s="771"/>
      <c r="H4" s="771"/>
      <c r="I4" s="771"/>
      <c r="J4" s="771"/>
      <c r="K4" s="771"/>
      <c r="L4" s="781"/>
    </row>
    <row r="5" spans="1:12" ht="12.75" customHeight="1" x14ac:dyDescent="0.2">
      <c r="A5" s="771"/>
      <c r="B5" s="771"/>
      <c r="C5" s="771"/>
      <c r="D5" s="771"/>
      <c r="E5" s="771"/>
      <c r="F5" s="771"/>
      <c r="G5" s="771"/>
      <c r="H5" s="771"/>
      <c r="I5" s="771"/>
      <c r="J5" s="771"/>
      <c r="K5" s="772"/>
      <c r="L5" s="771"/>
    </row>
    <row r="6" spans="1:12" x14ac:dyDescent="0.2">
      <c r="A6" s="3471" t="s">
        <v>1677</v>
      </c>
      <c r="B6" s="5641" t="s">
        <v>1239</v>
      </c>
      <c r="C6" s="5642"/>
      <c r="D6" s="5643"/>
      <c r="E6" s="5641" t="s">
        <v>1563</v>
      </c>
      <c r="F6" s="5643"/>
      <c r="G6" s="5641" t="s">
        <v>1081</v>
      </c>
      <c r="H6" s="5642"/>
      <c r="I6" s="5642"/>
      <c r="J6" s="5643"/>
      <c r="K6" s="5623"/>
      <c r="L6" s="771"/>
    </row>
    <row r="7" spans="1:12" x14ac:dyDescent="0.2">
      <c r="A7" s="780" t="s">
        <v>1080</v>
      </c>
      <c r="B7" s="779"/>
      <c r="C7" s="778"/>
      <c r="D7" s="777"/>
      <c r="E7" s="779"/>
      <c r="F7" s="777"/>
      <c r="G7" s="779"/>
      <c r="H7" s="778"/>
      <c r="I7" s="778"/>
      <c r="J7" s="777"/>
      <c r="K7" s="5623"/>
      <c r="L7" s="771"/>
    </row>
    <row r="8" spans="1:12" ht="15" x14ac:dyDescent="0.2">
      <c r="A8" s="3471"/>
      <c r="B8" s="5624" t="s">
        <v>1676</v>
      </c>
      <c r="C8" s="5624" t="s">
        <v>1675</v>
      </c>
      <c r="D8" s="5624" t="s">
        <v>1674</v>
      </c>
      <c r="E8" s="3470" t="s">
        <v>1673</v>
      </c>
      <c r="F8" s="3470" t="s">
        <v>1672</v>
      </c>
      <c r="G8" s="5627" t="s">
        <v>1671</v>
      </c>
      <c r="H8" s="5628"/>
      <c r="I8" s="5629"/>
      <c r="J8" s="3469" t="s">
        <v>1670</v>
      </c>
      <c r="K8" s="5623"/>
      <c r="L8" s="771"/>
    </row>
    <row r="9" spans="1:12" ht="41.25" customHeight="1" x14ac:dyDescent="0.2">
      <c r="A9" s="776"/>
      <c r="B9" s="5625"/>
      <c r="C9" s="5625"/>
      <c r="D9" s="5625"/>
      <c r="E9" s="775"/>
      <c r="F9" s="775"/>
      <c r="G9" s="775" t="s">
        <v>1669</v>
      </c>
      <c r="H9" s="775" t="s">
        <v>1668</v>
      </c>
      <c r="I9" s="775" t="s">
        <v>1667</v>
      </c>
      <c r="J9" s="774"/>
      <c r="K9" s="5623"/>
      <c r="L9" s="771"/>
    </row>
    <row r="10" spans="1:12" ht="13.5" customHeight="1" thickBot="1" x14ac:dyDescent="0.25">
      <c r="A10" s="773"/>
      <c r="B10" s="3320" t="s">
        <v>1666</v>
      </c>
      <c r="C10" s="5626"/>
      <c r="D10" s="3320" t="s">
        <v>18</v>
      </c>
      <c r="E10" s="5630" t="s">
        <v>1665</v>
      </c>
      <c r="F10" s="5631"/>
      <c r="G10" s="5630" t="s">
        <v>1011</v>
      </c>
      <c r="H10" s="5644"/>
      <c r="I10" s="5644"/>
      <c r="J10" s="5631"/>
      <c r="K10" s="5623"/>
      <c r="L10" s="771"/>
    </row>
    <row r="11" spans="1:12" ht="13.5" customHeight="1" thickTop="1" x14ac:dyDescent="0.2">
      <c r="A11" s="3468" t="s">
        <v>1664</v>
      </c>
      <c r="B11" s="3388">
        <v>700.40714869999999</v>
      </c>
      <c r="C11" s="3363" t="s">
        <v>986</v>
      </c>
      <c r="D11" s="3363" t="s">
        <v>986</v>
      </c>
      <c r="E11" s="3388">
        <v>3.2003725344999998E-2</v>
      </c>
      <c r="F11" s="3388" t="s">
        <v>1006</v>
      </c>
      <c r="G11" s="3388">
        <v>22.415638016669401</v>
      </c>
      <c r="H11" s="3388" t="s">
        <v>259</v>
      </c>
      <c r="I11" s="3388">
        <v>3.6023443321999999</v>
      </c>
      <c r="J11" s="3388" t="s">
        <v>1006</v>
      </c>
      <c r="K11" s="5623"/>
      <c r="L11" s="771"/>
    </row>
    <row r="12" spans="1:12" ht="14.25" customHeight="1" x14ac:dyDescent="0.2">
      <c r="A12" s="3468" t="s">
        <v>1663</v>
      </c>
      <c r="B12" s="3387">
        <v>700.40714869999999</v>
      </c>
      <c r="C12" s="3387">
        <v>1</v>
      </c>
      <c r="D12" s="3387">
        <v>4.0160650920999998</v>
      </c>
      <c r="E12" s="3388">
        <v>3.2003725344999998E-2</v>
      </c>
      <c r="F12" s="3388" t="s">
        <v>799</v>
      </c>
      <c r="G12" s="3387">
        <v>22.415638016669401</v>
      </c>
      <c r="H12" s="3387" t="s">
        <v>259</v>
      </c>
      <c r="I12" s="3387">
        <v>3.6023443321999999</v>
      </c>
      <c r="J12" s="3387" t="s">
        <v>799</v>
      </c>
      <c r="K12" s="5623"/>
      <c r="L12" s="771"/>
    </row>
    <row r="13" spans="1:12" ht="13.5" customHeight="1" x14ac:dyDescent="0.2">
      <c r="A13" s="3468" t="s">
        <v>1662</v>
      </c>
      <c r="B13" s="3387" t="s">
        <v>259</v>
      </c>
      <c r="C13" s="3387" t="s">
        <v>259</v>
      </c>
      <c r="D13" s="3387" t="s">
        <v>259</v>
      </c>
      <c r="E13" s="3388" t="s">
        <v>259</v>
      </c>
      <c r="F13" s="3388" t="s">
        <v>259</v>
      </c>
      <c r="G13" s="3387" t="s">
        <v>259</v>
      </c>
      <c r="H13" s="3387" t="s">
        <v>259</v>
      </c>
      <c r="I13" s="3387" t="s">
        <v>259</v>
      </c>
      <c r="J13" s="3387" t="s">
        <v>259</v>
      </c>
      <c r="K13" s="5623"/>
      <c r="L13" s="771"/>
    </row>
    <row r="14" spans="1:12" ht="14.25" customHeight="1" x14ac:dyDescent="0.2">
      <c r="A14" s="3468" t="s">
        <v>1661</v>
      </c>
      <c r="B14" s="3387" t="s">
        <v>259</v>
      </c>
      <c r="C14" s="3387" t="s">
        <v>259</v>
      </c>
      <c r="D14" s="3387" t="s">
        <v>259</v>
      </c>
      <c r="E14" s="3388" t="s">
        <v>259</v>
      </c>
      <c r="F14" s="3388" t="s">
        <v>259</v>
      </c>
      <c r="G14" s="3387" t="s">
        <v>259</v>
      </c>
      <c r="H14" s="3387" t="s">
        <v>259</v>
      </c>
      <c r="I14" s="3387" t="s">
        <v>259</v>
      </c>
      <c r="J14" s="3387" t="s">
        <v>259</v>
      </c>
      <c r="K14" s="5623"/>
      <c r="L14" s="771"/>
    </row>
    <row r="15" spans="1:12" ht="12" customHeight="1" x14ac:dyDescent="0.2">
      <c r="A15" s="3468" t="s">
        <v>1660</v>
      </c>
      <c r="B15" s="3387" t="s">
        <v>259</v>
      </c>
      <c r="C15" s="3387" t="s">
        <v>259</v>
      </c>
      <c r="D15" s="3387" t="s">
        <v>259</v>
      </c>
      <c r="E15" s="3388" t="s">
        <v>259</v>
      </c>
      <c r="F15" s="3388" t="s">
        <v>259</v>
      </c>
      <c r="G15" s="3387" t="s">
        <v>259</v>
      </c>
      <c r="H15" s="3387" t="s">
        <v>259</v>
      </c>
      <c r="I15" s="3387" t="s">
        <v>259</v>
      </c>
      <c r="J15" s="3387" t="s">
        <v>259</v>
      </c>
      <c r="K15" s="5623"/>
      <c r="L15" s="771"/>
    </row>
    <row r="16" spans="1:12" ht="13.5" customHeight="1" x14ac:dyDescent="0.2">
      <c r="A16" s="770"/>
      <c r="B16" s="770"/>
      <c r="C16" s="770"/>
      <c r="D16" s="770"/>
      <c r="E16" s="770"/>
      <c r="F16" s="770"/>
      <c r="G16" s="770"/>
      <c r="H16" s="770"/>
      <c r="I16" s="770"/>
      <c r="J16" s="770"/>
      <c r="K16" s="5623"/>
      <c r="L16" s="771"/>
    </row>
    <row r="17" spans="1:12" x14ac:dyDescent="0.2">
      <c r="A17" s="5633" t="s">
        <v>1659</v>
      </c>
      <c r="B17" s="5621"/>
      <c r="C17" s="5621"/>
      <c r="D17" s="5621"/>
      <c r="E17" s="5621"/>
      <c r="F17" s="5621"/>
      <c r="G17" s="5621"/>
      <c r="H17" s="5621"/>
      <c r="I17" s="5621"/>
      <c r="J17" s="5621"/>
      <c r="K17" s="5623"/>
      <c r="L17" s="771"/>
    </row>
    <row r="18" spans="1:12" x14ac:dyDescent="0.2">
      <c r="A18" s="5634" t="s">
        <v>1658</v>
      </c>
      <c r="B18" s="5460"/>
      <c r="C18" s="5460"/>
      <c r="D18" s="5460"/>
      <c r="E18" s="5460"/>
      <c r="F18" s="5460"/>
      <c r="G18" s="5460"/>
      <c r="H18" s="5460"/>
      <c r="I18" s="5460"/>
      <c r="J18" s="5460"/>
      <c r="K18" s="5623"/>
      <c r="L18" s="771"/>
    </row>
    <row r="19" spans="1:12" x14ac:dyDescent="0.2">
      <c r="A19" s="5633" t="s">
        <v>1657</v>
      </c>
      <c r="B19" s="5621"/>
      <c r="C19" s="5621"/>
      <c r="D19" s="5621"/>
      <c r="E19" s="5621"/>
      <c r="F19" s="5621"/>
      <c r="G19" s="5621"/>
      <c r="H19" s="5621"/>
      <c r="I19" s="5621"/>
      <c r="J19" s="5621"/>
      <c r="K19" s="5623"/>
      <c r="L19" s="771"/>
    </row>
    <row r="20" spans="1:12" x14ac:dyDescent="0.2">
      <c r="A20" s="771"/>
      <c r="B20" s="771"/>
      <c r="C20" s="771"/>
      <c r="D20" s="771"/>
      <c r="E20" s="771"/>
      <c r="F20" s="771"/>
      <c r="G20" s="771"/>
      <c r="H20" s="771"/>
      <c r="I20" s="771"/>
      <c r="J20" s="771"/>
      <c r="K20" s="5623"/>
      <c r="L20" s="771"/>
    </row>
    <row r="21" spans="1:12" ht="13.5" customHeight="1" x14ac:dyDescent="0.2">
      <c r="A21" s="5613" t="s">
        <v>1656</v>
      </c>
      <c r="B21" s="5613"/>
      <c r="C21" s="5613"/>
      <c r="D21" s="5613"/>
      <c r="E21" s="5613"/>
      <c r="F21" s="5613"/>
      <c r="G21" s="771"/>
      <c r="H21" s="771"/>
      <c r="I21" s="771"/>
      <c r="J21" s="771"/>
      <c r="K21" s="5623"/>
      <c r="L21" s="771"/>
    </row>
    <row r="22" spans="1:12" ht="13.5" customHeight="1" x14ac:dyDescent="0.2">
      <c r="A22" s="5632" t="s">
        <v>1655</v>
      </c>
      <c r="B22" s="5632"/>
      <c r="C22" s="771"/>
      <c r="D22" s="771"/>
      <c r="E22" s="771"/>
      <c r="F22" s="771"/>
      <c r="G22" s="771"/>
      <c r="H22" s="771"/>
      <c r="I22" s="771"/>
      <c r="J22" s="771"/>
      <c r="K22" s="5623"/>
      <c r="L22" s="771"/>
    </row>
    <row r="23" spans="1:12" ht="13.5" customHeight="1" x14ac:dyDescent="0.2">
      <c r="A23" s="5620" t="s">
        <v>1654</v>
      </c>
      <c r="B23" s="5621"/>
      <c r="C23" s="5621"/>
      <c r="D23" s="5621"/>
      <c r="E23" s="5621"/>
      <c r="F23" s="5621"/>
      <c r="G23" s="5621"/>
      <c r="H23" s="5621"/>
      <c r="I23" s="5621"/>
      <c r="J23" s="5621"/>
      <c r="K23" s="5623"/>
      <c r="L23" s="771"/>
    </row>
    <row r="24" spans="1:12" ht="24" customHeight="1" x14ac:dyDescent="0.2">
      <c r="A24" s="5635" t="s">
        <v>1653</v>
      </c>
      <c r="B24" s="5636"/>
      <c r="C24" s="5636"/>
      <c r="D24" s="5636"/>
      <c r="E24" s="5636"/>
      <c r="F24" s="5636"/>
      <c r="G24" s="5636"/>
      <c r="H24" s="5636"/>
      <c r="I24" s="5636"/>
      <c r="J24" s="5636"/>
      <c r="K24" s="5623"/>
      <c r="L24" s="771"/>
    </row>
    <row r="25" spans="1:12" x14ac:dyDescent="0.2">
      <c r="A25" s="771"/>
      <c r="B25" s="771"/>
      <c r="C25" s="771"/>
      <c r="D25" s="771"/>
      <c r="E25" s="771"/>
      <c r="F25" s="771"/>
      <c r="G25" s="771"/>
      <c r="H25" s="771"/>
      <c r="I25" s="771"/>
      <c r="J25" s="771"/>
      <c r="K25" s="771"/>
      <c r="L25" s="771"/>
    </row>
    <row r="26" spans="1:12" ht="13.5" customHeight="1" x14ac:dyDescent="0.2">
      <c r="A26" s="5637" t="s">
        <v>1652</v>
      </c>
      <c r="B26" s="5638"/>
      <c r="C26" s="5638"/>
      <c r="D26" s="5638"/>
      <c r="E26" s="5638"/>
      <c r="F26" s="5638"/>
      <c r="G26" s="5638"/>
      <c r="H26" s="5638"/>
      <c r="I26" s="5639"/>
      <c r="J26" s="771"/>
      <c r="K26" s="772"/>
      <c r="L26" s="771"/>
    </row>
    <row r="27" spans="1:12" ht="24" customHeight="1" x14ac:dyDescent="0.2">
      <c r="A27" s="5614" t="s">
        <v>1651</v>
      </c>
      <c r="B27" s="5615"/>
      <c r="C27" s="5615"/>
      <c r="D27" s="5615"/>
      <c r="E27" s="5615"/>
      <c r="F27" s="5615"/>
      <c r="G27" s="5615"/>
      <c r="H27" s="5615"/>
      <c r="I27" s="5616"/>
      <c r="J27" s="771"/>
      <c r="K27" s="772"/>
      <c r="L27" s="771"/>
    </row>
    <row r="28" spans="1:12" ht="12" customHeight="1" x14ac:dyDescent="0.2">
      <c r="A28" s="5614" t="s">
        <v>1650</v>
      </c>
      <c r="B28" s="5615"/>
      <c r="C28" s="5615"/>
      <c r="D28" s="5615"/>
      <c r="E28" s="5615"/>
      <c r="F28" s="5615"/>
      <c r="G28" s="5615"/>
      <c r="H28" s="5615"/>
      <c r="I28" s="5616"/>
      <c r="J28" s="771"/>
      <c r="K28" s="772"/>
      <c r="L28" s="771"/>
    </row>
    <row r="29" spans="1:12" ht="12" customHeight="1" x14ac:dyDescent="0.2">
      <c r="A29" s="5614" t="s">
        <v>1201</v>
      </c>
      <c r="B29" s="5615"/>
      <c r="C29" s="5615"/>
      <c r="D29" s="5615"/>
      <c r="E29" s="5615"/>
      <c r="F29" s="5615"/>
      <c r="G29" s="5615"/>
      <c r="H29" s="5615"/>
      <c r="I29" s="5616"/>
      <c r="J29" s="771"/>
      <c r="K29" s="772"/>
      <c r="L29" s="771"/>
    </row>
    <row r="30" spans="1:12" ht="12" customHeight="1" x14ac:dyDescent="0.2">
      <c r="A30" s="5614" t="s">
        <v>1649</v>
      </c>
      <c r="B30" s="5615"/>
      <c r="C30" s="5615"/>
      <c r="D30" s="5615"/>
      <c r="E30" s="5615"/>
      <c r="F30" s="5615"/>
      <c r="G30" s="5615"/>
      <c r="H30" s="5615"/>
      <c r="I30" s="5616"/>
      <c r="J30" s="771"/>
      <c r="K30" s="772"/>
      <c r="L30" s="771"/>
    </row>
    <row r="31" spans="1:12" ht="12" customHeight="1" x14ac:dyDescent="0.2">
      <c r="A31" s="5614" t="s">
        <v>1648</v>
      </c>
      <c r="B31" s="5615"/>
      <c r="C31" s="5615"/>
      <c r="D31" s="5615"/>
      <c r="E31" s="5615"/>
      <c r="F31" s="5615"/>
      <c r="G31" s="5615"/>
      <c r="H31" s="5615"/>
      <c r="I31" s="5616"/>
      <c r="J31" s="771"/>
      <c r="K31" s="772"/>
      <c r="L31" s="771"/>
    </row>
    <row r="32" spans="1:12" ht="12" customHeight="1" x14ac:dyDescent="0.2">
      <c r="A32" s="5617" t="s">
        <v>1647</v>
      </c>
      <c r="B32" s="5618"/>
      <c r="C32" s="5618"/>
      <c r="D32" s="5618"/>
      <c r="E32" s="5618"/>
      <c r="F32" s="5618"/>
      <c r="G32" s="5618"/>
      <c r="H32" s="5618"/>
      <c r="I32" s="5619"/>
      <c r="J32" s="771"/>
      <c r="K32" s="772"/>
      <c r="L32" s="771"/>
    </row>
    <row r="33" spans="1:10" ht="12" customHeight="1" x14ac:dyDescent="0.2">
      <c r="A33" s="3467" t="s">
        <v>980</v>
      </c>
      <c r="B33" s="5473" t="s">
        <v>986</v>
      </c>
      <c r="C33" s="5622"/>
      <c r="D33" s="5622"/>
      <c r="E33" s="5622"/>
      <c r="F33" s="5622"/>
      <c r="G33" s="5622"/>
      <c r="H33" s="5622"/>
      <c r="I33" s="5622"/>
      <c r="J33" s="770"/>
    </row>
  </sheetData>
  <sheetProtection password="A754" sheet="1" objects="1" scenarios="1"/>
  <mergeCells count="26">
    <mergeCell ref="A1:C1"/>
    <mergeCell ref="B6:D6"/>
    <mergeCell ref="E6:F6"/>
    <mergeCell ref="G6:J6"/>
    <mergeCell ref="G10:J10"/>
    <mergeCell ref="B33:I33"/>
    <mergeCell ref="K6:K24"/>
    <mergeCell ref="B8:B9"/>
    <mergeCell ref="C8:C10"/>
    <mergeCell ref="D8:D9"/>
    <mergeCell ref="G8:I8"/>
    <mergeCell ref="E10:F10"/>
    <mergeCell ref="A22:B22"/>
    <mergeCell ref="A17:J17"/>
    <mergeCell ref="A18:J18"/>
    <mergeCell ref="A24:J24"/>
    <mergeCell ref="A26:I26"/>
    <mergeCell ref="A27:I27"/>
    <mergeCell ref="A28:I28"/>
    <mergeCell ref="A29:I29"/>
    <mergeCell ref="A19:J19"/>
    <mergeCell ref="A21:F21"/>
    <mergeCell ref="A30:I30"/>
    <mergeCell ref="A31:I31"/>
    <mergeCell ref="A32:I32"/>
    <mergeCell ref="A23:J23"/>
  </mergeCells>
  <dataValidations count="1">
    <dataValidation allowBlank="1" showInputMessage="1" showErrorMessage="1" sqref="K33:L65510 A34:J65510 M1:IV65510" xr:uid="{00000000-0002-0000-3100-000000000000}"/>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374C3-4682-49A6-A692-912EE902DD9E}">
  <sheetPr codeName="Ark34">
    <tabColor theme="0" tint="-0.14999847407452621"/>
    <pageSetUpPr fitToPage="1"/>
  </sheetPr>
  <dimension ref="A1:I25"/>
  <sheetViews>
    <sheetView showGridLines="0" workbookViewId="0">
      <selection sqref="A1:D1"/>
    </sheetView>
  </sheetViews>
  <sheetFormatPr defaultColWidth="9.140625" defaultRowHeight="12" x14ac:dyDescent="0.2"/>
  <cols>
    <col min="1" max="1" width="31.28515625" style="785" customWidth="1"/>
    <col min="2" max="2" width="22.140625" style="659" customWidth="1"/>
    <col min="3" max="4" width="9.140625" style="659"/>
    <col min="5" max="5" width="11.85546875" style="659" customWidth="1"/>
    <col min="6" max="6" width="11" style="659" customWidth="1"/>
    <col min="7" max="7" width="11.5703125" style="659" customWidth="1"/>
    <col min="8" max="16384" width="9.140625" style="659"/>
  </cols>
  <sheetData>
    <row r="1" spans="1:9" ht="15.75" x14ac:dyDescent="0.2">
      <c r="A1" s="5471" t="s">
        <v>1700</v>
      </c>
      <c r="B1" s="5471"/>
      <c r="C1" s="5471"/>
      <c r="D1" s="5471"/>
      <c r="E1" s="660"/>
      <c r="F1" s="660"/>
      <c r="G1" s="660"/>
      <c r="H1" s="668" t="s">
        <v>1028</v>
      </c>
      <c r="I1" s="660"/>
    </row>
    <row r="2" spans="1:9" ht="15.75" x14ac:dyDescent="0.25">
      <c r="A2" s="5471" t="s">
        <v>1699</v>
      </c>
      <c r="B2" s="5471"/>
      <c r="C2" s="670"/>
      <c r="D2" s="670"/>
      <c r="E2" s="660"/>
      <c r="F2" s="660"/>
      <c r="G2" s="660"/>
      <c r="H2" s="668" t="s">
        <v>5183</v>
      </c>
      <c r="I2" s="660"/>
    </row>
    <row r="3" spans="1:9" ht="15.75" x14ac:dyDescent="0.25">
      <c r="A3" s="760" t="s">
        <v>1197</v>
      </c>
      <c r="B3" s="670"/>
      <c r="C3" s="670"/>
      <c r="D3" s="670"/>
      <c r="E3" s="660"/>
      <c r="F3" s="660"/>
      <c r="G3" s="660"/>
      <c r="H3" s="668" t="s">
        <v>1789</v>
      </c>
      <c r="I3" s="660"/>
    </row>
    <row r="4" spans="1:9" x14ac:dyDescent="0.2">
      <c r="A4" s="735"/>
      <c r="B4" s="660"/>
      <c r="C4" s="660"/>
      <c r="D4" s="660"/>
      <c r="E4" s="660"/>
      <c r="F4" s="660"/>
      <c r="G4" s="660"/>
      <c r="H4" s="660"/>
      <c r="I4" s="660"/>
    </row>
    <row r="5" spans="1:9" ht="36" x14ac:dyDescent="0.2">
      <c r="A5" s="3477" t="s">
        <v>1025</v>
      </c>
      <c r="B5" s="3476" t="s">
        <v>1239</v>
      </c>
      <c r="C5" s="5646" t="s">
        <v>1563</v>
      </c>
      <c r="D5" s="5647"/>
      <c r="E5" s="5646" t="s">
        <v>1081</v>
      </c>
      <c r="F5" s="5648"/>
      <c r="G5" s="5648"/>
      <c r="H5" s="5647"/>
      <c r="I5" s="660"/>
    </row>
    <row r="6" spans="1:9" ht="15" x14ac:dyDescent="0.2">
      <c r="A6" s="3475"/>
      <c r="B6" s="5649" t="s">
        <v>1698</v>
      </c>
      <c r="C6" s="3474" t="s">
        <v>1697</v>
      </c>
      <c r="D6" s="3474" t="s">
        <v>1022</v>
      </c>
      <c r="E6" s="5646" t="s">
        <v>1696</v>
      </c>
      <c r="F6" s="5648"/>
      <c r="G6" s="5647"/>
      <c r="H6" s="3474" t="s">
        <v>1022</v>
      </c>
      <c r="I6" s="660"/>
    </row>
    <row r="7" spans="1:9" ht="51.75" x14ac:dyDescent="0.2">
      <c r="A7" s="790"/>
      <c r="B7" s="5650"/>
      <c r="C7" s="3474"/>
      <c r="D7" s="3474"/>
      <c r="E7" s="3474" t="s">
        <v>1695</v>
      </c>
      <c r="F7" s="3324" t="s">
        <v>1694</v>
      </c>
      <c r="G7" s="3324" t="s">
        <v>1693</v>
      </c>
      <c r="H7" s="3474"/>
      <c r="I7" s="660"/>
    </row>
    <row r="8" spans="1:9" ht="12.75" thickBot="1" x14ac:dyDescent="0.25">
      <c r="A8" s="789"/>
      <c r="B8" s="788" t="s">
        <v>1692</v>
      </c>
      <c r="C8" s="5660" t="s">
        <v>1691</v>
      </c>
      <c r="D8" s="5661"/>
      <c r="E8" s="5660" t="s">
        <v>1011</v>
      </c>
      <c r="F8" s="5486"/>
      <c r="G8" s="5486"/>
      <c r="H8" s="5487"/>
      <c r="I8" s="660"/>
    </row>
    <row r="9" spans="1:9" ht="12.75" thickTop="1" x14ac:dyDescent="0.2">
      <c r="A9" s="787" t="s">
        <v>1690</v>
      </c>
      <c r="B9" s="3388" t="s">
        <v>259</v>
      </c>
      <c r="C9" s="3388" t="s">
        <v>259</v>
      </c>
      <c r="D9" s="3388" t="s">
        <v>259</v>
      </c>
      <c r="E9" s="3388">
        <v>4.2720944004752202</v>
      </c>
      <c r="F9" s="3388" t="s">
        <v>259</v>
      </c>
      <c r="G9" s="3363" t="s">
        <v>986</v>
      </c>
      <c r="H9" s="3388">
        <v>0.28018111305512999</v>
      </c>
      <c r="I9" s="660"/>
    </row>
    <row r="10" spans="1:9" x14ac:dyDescent="0.2">
      <c r="A10" s="3473" t="s">
        <v>1687</v>
      </c>
      <c r="B10" s="3387" t="s">
        <v>259</v>
      </c>
      <c r="C10" s="3388" t="s">
        <v>259</v>
      </c>
      <c r="D10" s="3388" t="s">
        <v>259</v>
      </c>
      <c r="E10" s="3387" t="s">
        <v>259</v>
      </c>
      <c r="F10" s="3387" t="s">
        <v>259</v>
      </c>
      <c r="G10" s="3363" t="s">
        <v>986</v>
      </c>
      <c r="H10" s="3387" t="s">
        <v>259</v>
      </c>
      <c r="I10" s="660"/>
    </row>
    <row r="11" spans="1:9" ht="13.5" x14ac:dyDescent="0.2">
      <c r="A11" s="3473" t="s">
        <v>1686</v>
      </c>
      <c r="B11" s="3388" t="s">
        <v>259</v>
      </c>
      <c r="C11" s="3388" t="s">
        <v>259</v>
      </c>
      <c r="D11" s="3388" t="s">
        <v>259</v>
      </c>
      <c r="E11" s="3388">
        <v>4.2720944004752202</v>
      </c>
      <c r="F11" s="3388" t="s">
        <v>259</v>
      </c>
      <c r="G11" s="3363" t="s">
        <v>986</v>
      </c>
      <c r="H11" s="3388">
        <v>0.28018111305512999</v>
      </c>
      <c r="I11" s="660"/>
    </row>
    <row r="12" spans="1:9" x14ac:dyDescent="0.2">
      <c r="A12" s="3391" t="s">
        <v>1689</v>
      </c>
      <c r="B12" s="3387" t="s">
        <v>259</v>
      </c>
      <c r="C12" s="3388" t="s">
        <v>259</v>
      </c>
      <c r="D12" s="3388" t="s">
        <v>259</v>
      </c>
      <c r="E12" s="3387">
        <v>4.2720944004752202</v>
      </c>
      <c r="F12" s="3387" t="s">
        <v>259</v>
      </c>
      <c r="G12" s="3363" t="s">
        <v>986</v>
      </c>
      <c r="H12" s="3387">
        <v>0.28018111305512999</v>
      </c>
      <c r="I12" s="660"/>
    </row>
    <row r="13" spans="1:9" ht="13.5" x14ac:dyDescent="0.2">
      <c r="A13" s="3473" t="s">
        <v>1688</v>
      </c>
      <c r="B13" s="3388" t="s">
        <v>1419</v>
      </c>
      <c r="C13" s="3388" t="s">
        <v>1419</v>
      </c>
      <c r="D13" s="3388" t="s">
        <v>1006</v>
      </c>
      <c r="E13" s="3388">
        <v>10.083260693753401</v>
      </c>
      <c r="F13" s="3388" t="s">
        <v>259</v>
      </c>
      <c r="G13" s="3388" t="s">
        <v>259</v>
      </c>
      <c r="H13" s="3388" t="s">
        <v>1006</v>
      </c>
      <c r="I13" s="660"/>
    </row>
    <row r="14" spans="1:9" x14ac:dyDescent="0.2">
      <c r="A14" s="3473" t="s">
        <v>1687</v>
      </c>
      <c r="B14" s="3387" t="s">
        <v>259</v>
      </c>
      <c r="C14" s="3388" t="s">
        <v>259</v>
      </c>
      <c r="D14" s="3388" t="s">
        <v>259</v>
      </c>
      <c r="E14" s="3387" t="s">
        <v>259</v>
      </c>
      <c r="F14" s="3387" t="s">
        <v>259</v>
      </c>
      <c r="G14" s="3387" t="s">
        <v>259</v>
      </c>
      <c r="H14" s="3387" t="s">
        <v>259</v>
      </c>
      <c r="I14" s="660"/>
    </row>
    <row r="15" spans="1:9" ht="13.5" x14ac:dyDescent="0.2">
      <c r="A15" s="3473" t="s">
        <v>1686</v>
      </c>
      <c r="B15" s="3388" t="s">
        <v>1209</v>
      </c>
      <c r="C15" s="3388" t="s">
        <v>1209</v>
      </c>
      <c r="D15" s="3388" t="s">
        <v>799</v>
      </c>
      <c r="E15" s="3388">
        <v>10.083260693753401</v>
      </c>
      <c r="F15" s="3388" t="s">
        <v>259</v>
      </c>
      <c r="G15" s="3388" t="s">
        <v>259</v>
      </c>
      <c r="H15" s="3388" t="s">
        <v>799</v>
      </c>
      <c r="I15" s="660"/>
    </row>
    <row r="16" spans="1:9" x14ac:dyDescent="0.2">
      <c r="A16" s="3391" t="s">
        <v>1685</v>
      </c>
      <c r="B16" s="3387" t="s">
        <v>1209</v>
      </c>
      <c r="C16" s="3388" t="s">
        <v>1209</v>
      </c>
      <c r="D16" s="3388" t="s">
        <v>799</v>
      </c>
      <c r="E16" s="3387">
        <v>10.083260693753401</v>
      </c>
      <c r="F16" s="3387" t="s">
        <v>259</v>
      </c>
      <c r="G16" s="3387" t="s">
        <v>259</v>
      </c>
      <c r="H16" s="3387" t="s">
        <v>799</v>
      </c>
      <c r="I16" s="660"/>
    </row>
    <row r="17" spans="1:9" x14ac:dyDescent="0.2">
      <c r="A17" s="786" t="s">
        <v>564</v>
      </c>
      <c r="B17" s="660"/>
      <c r="C17" s="660"/>
      <c r="D17" s="660"/>
      <c r="E17" s="660"/>
      <c r="F17" s="660"/>
      <c r="G17" s="660"/>
      <c r="H17" s="660"/>
      <c r="I17" s="660"/>
    </row>
    <row r="18" spans="1:9" ht="21.75" customHeight="1" x14ac:dyDescent="0.2">
      <c r="A18" s="5662" t="s">
        <v>1684</v>
      </c>
      <c r="B18" s="5662"/>
      <c r="C18" s="5662"/>
      <c r="D18" s="5662"/>
      <c r="E18" s="5662"/>
      <c r="F18" s="5662"/>
      <c r="G18" s="5662"/>
      <c r="H18" s="5662"/>
      <c r="I18" s="735"/>
    </row>
    <row r="19" spans="1:9" x14ac:dyDescent="0.2">
      <c r="A19" s="5645" t="s">
        <v>1683</v>
      </c>
      <c r="B19" s="5460"/>
      <c r="C19" s="5460"/>
      <c r="D19" s="5460"/>
      <c r="E19" s="5460"/>
      <c r="F19" s="5460"/>
      <c r="G19" s="5460"/>
      <c r="H19" s="5460"/>
      <c r="I19" s="5460"/>
    </row>
    <row r="20" spans="1:9" x14ac:dyDescent="0.2">
      <c r="A20" s="5645" t="s">
        <v>1682</v>
      </c>
      <c r="B20" s="5460"/>
      <c r="C20" s="5460"/>
      <c r="D20" s="5460"/>
      <c r="E20" s="5460"/>
      <c r="F20" s="5460"/>
      <c r="G20" s="5460"/>
      <c r="H20" s="5460"/>
      <c r="I20" s="5460"/>
    </row>
    <row r="21" spans="1:9" x14ac:dyDescent="0.2">
      <c r="A21" s="5645" t="s">
        <v>1681</v>
      </c>
      <c r="B21" s="5460"/>
      <c r="C21" s="5460"/>
      <c r="D21" s="5460"/>
      <c r="E21" s="5460"/>
      <c r="F21" s="5460"/>
      <c r="G21" s="5460"/>
      <c r="H21" s="5460"/>
      <c r="I21" s="5460"/>
    </row>
    <row r="22" spans="1:9" x14ac:dyDescent="0.2">
      <c r="A22" s="5651" t="s">
        <v>1652</v>
      </c>
      <c r="B22" s="5652"/>
      <c r="C22" s="5652"/>
      <c r="D22" s="5652"/>
      <c r="E22" s="5652"/>
      <c r="F22" s="5652"/>
      <c r="G22" s="5652"/>
      <c r="H22" s="5653"/>
      <c r="I22" s="660"/>
    </row>
    <row r="23" spans="1:9" ht="25.5" customHeight="1" x14ac:dyDescent="0.2">
      <c r="A23" s="5654" t="s">
        <v>1680</v>
      </c>
      <c r="B23" s="5655"/>
      <c r="C23" s="5655"/>
      <c r="D23" s="5655"/>
      <c r="E23" s="5655"/>
      <c r="F23" s="5655"/>
      <c r="G23" s="5655"/>
      <c r="H23" s="5656"/>
      <c r="I23" s="660"/>
    </row>
    <row r="24" spans="1:9" x14ac:dyDescent="0.2">
      <c r="A24" s="5657" t="s">
        <v>1647</v>
      </c>
      <c r="B24" s="5658"/>
      <c r="C24" s="5658"/>
      <c r="D24" s="5658"/>
      <c r="E24" s="5658"/>
      <c r="F24" s="5658"/>
      <c r="G24" s="5658"/>
      <c r="H24" s="5659"/>
      <c r="I24" s="660"/>
    </row>
    <row r="25" spans="1:9" x14ac:dyDescent="0.2">
      <c r="A25" s="3472" t="s">
        <v>980</v>
      </c>
      <c r="B25" s="5473" t="s">
        <v>986</v>
      </c>
      <c r="C25" s="5508"/>
      <c r="D25" s="5508"/>
      <c r="E25" s="5508"/>
      <c r="F25" s="5508"/>
      <c r="G25" s="5508"/>
      <c r="H25" s="5508"/>
    </row>
  </sheetData>
  <sheetProtection password="A754" sheet="1" objects="1" scenarios="1"/>
  <mergeCells count="16">
    <mergeCell ref="A21:I21"/>
    <mergeCell ref="B25:H25"/>
    <mergeCell ref="A1:D1"/>
    <mergeCell ref="A2:B2"/>
    <mergeCell ref="C5:D5"/>
    <mergeCell ref="E5:H5"/>
    <mergeCell ref="B6:B7"/>
    <mergeCell ref="E6:G6"/>
    <mergeCell ref="A22:H22"/>
    <mergeCell ref="A23:H23"/>
    <mergeCell ref="A24:H24"/>
    <mergeCell ref="C8:D8"/>
    <mergeCell ref="E8:H8"/>
    <mergeCell ref="A18:H18"/>
    <mergeCell ref="A19:I19"/>
    <mergeCell ref="A20:I20"/>
  </mergeCells>
  <printOptions horizontalCentered="1" verticalCentered="1"/>
  <pageMargins left="0.39370078740157483" right="0.39370078740157483" top="0.39370078740157483" bottom="0.39370078740157483" header="0.19685039370078741" footer="0.19685039370078741"/>
  <pageSetup paperSize="9" scale="52"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B2BE-6AE0-4FCC-B0B4-E727B91FFE76}">
  <sheetPr codeName="Ark35">
    <tabColor theme="0" tint="-0.14999847407452621"/>
    <pageSetUpPr fitToPage="1"/>
  </sheetPr>
  <dimension ref="A1:H38"/>
  <sheetViews>
    <sheetView showGridLines="0" workbookViewId="0">
      <selection sqref="A1:D1"/>
    </sheetView>
  </sheetViews>
  <sheetFormatPr defaultColWidth="9.140625" defaultRowHeight="12" x14ac:dyDescent="0.2"/>
  <cols>
    <col min="1" max="1" width="40" style="659" customWidth="1"/>
    <col min="2" max="2" width="16" style="659" customWidth="1"/>
    <col min="3" max="16384" width="9.140625" style="659"/>
  </cols>
  <sheetData>
    <row r="1" spans="1:8" ht="15.75" x14ac:dyDescent="0.25">
      <c r="A1" s="5663" t="s">
        <v>1722</v>
      </c>
      <c r="B1" s="5663"/>
      <c r="C1" s="5663"/>
      <c r="D1" s="5663"/>
      <c r="E1" s="803"/>
      <c r="F1" s="803"/>
      <c r="G1" s="803" t="s">
        <v>270</v>
      </c>
      <c r="H1" s="800" t="s">
        <v>1028</v>
      </c>
    </row>
    <row r="2" spans="1:8" ht="15.75" x14ac:dyDescent="0.2">
      <c r="A2" s="5664" t="s">
        <v>1721</v>
      </c>
      <c r="B2" s="5664"/>
      <c r="C2" s="5664"/>
      <c r="D2" s="5664"/>
      <c r="E2" s="5664"/>
      <c r="F2" s="5664"/>
      <c r="G2" s="5664"/>
      <c r="H2" s="800" t="s">
        <v>5183</v>
      </c>
    </row>
    <row r="3" spans="1:8" ht="15.75" x14ac:dyDescent="0.25">
      <c r="A3" s="804" t="s">
        <v>1197</v>
      </c>
      <c r="B3" s="803"/>
      <c r="C3" s="803"/>
      <c r="D3" s="803"/>
      <c r="E3" s="803"/>
      <c r="F3" s="803"/>
      <c r="G3" s="803"/>
      <c r="H3" s="800" t="s">
        <v>1789</v>
      </c>
    </row>
    <row r="4" spans="1:8" x14ac:dyDescent="0.2">
      <c r="A4" s="802"/>
      <c r="B4" s="801"/>
      <c r="C4" s="801"/>
      <c r="D4" s="801"/>
      <c r="E4" s="801"/>
      <c r="F4" s="801"/>
      <c r="G4" s="801"/>
      <c r="H4" s="800"/>
    </row>
    <row r="5" spans="1:8" x14ac:dyDescent="0.2">
      <c r="A5" s="3485" t="s">
        <v>1677</v>
      </c>
      <c r="B5" s="3484" t="s">
        <v>1083</v>
      </c>
      <c r="C5" s="5665" t="s">
        <v>1563</v>
      </c>
      <c r="D5" s="5666"/>
      <c r="E5" s="5667"/>
      <c r="F5" s="5665" t="s">
        <v>1081</v>
      </c>
      <c r="G5" s="5668"/>
      <c r="H5" s="5669"/>
    </row>
    <row r="6" spans="1:8" x14ac:dyDescent="0.2">
      <c r="A6" s="793" t="s">
        <v>1080</v>
      </c>
      <c r="B6" s="5670" t="s">
        <v>1720</v>
      </c>
      <c r="C6" s="799"/>
      <c r="D6" s="798"/>
      <c r="E6" s="798"/>
      <c r="F6" s="799"/>
      <c r="G6" s="798"/>
      <c r="H6" s="797"/>
    </row>
    <row r="7" spans="1:8" ht="20.25" customHeight="1" x14ac:dyDescent="0.2">
      <c r="A7" s="796"/>
      <c r="B7" s="5670"/>
      <c r="C7" s="3474" t="s">
        <v>1719</v>
      </c>
      <c r="D7" s="3474" t="s">
        <v>1023</v>
      </c>
      <c r="E7" s="3483" t="s">
        <v>1022</v>
      </c>
      <c r="F7" s="3482" t="s">
        <v>1024</v>
      </c>
      <c r="G7" s="3482" t="s">
        <v>1023</v>
      </c>
      <c r="H7" s="3481" t="s">
        <v>1022</v>
      </c>
    </row>
    <row r="8" spans="1:8" ht="12.75" thickBot="1" x14ac:dyDescent="0.25">
      <c r="A8" s="795"/>
      <c r="B8" s="794" t="s">
        <v>1718</v>
      </c>
      <c r="C8" s="5660" t="s">
        <v>1717</v>
      </c>
      <c r="D8" s="5671"/>
      <c r="E8" s="5661"/>
      <c r="F8" s="5660" t="s">
        <v>1011</v>
      </c>
      <c r="G8" s="5486"/>
      <c r="H8" s="5487"/>
    </row>
    <row r="9" spans="1:8" ht="12.75" thickTop="1" x14ac:dyDescent="0.2">
      <c r="A9" s="793" t="s">
        <v>1716</v>
      </c>
      <c r="B9" s="3388">
        <v>1.169</v>
      </c>
      <c r="C9" s="3388" t="s">
        <v>259</v>
      </c>
      <c r="D9" s="3388">
        <v>0.64707485029940004</v>
      </c>
      <c r="E9" s="3388">
        <v>0.80887236287425002</v>
      </c>
      <c r="F9" s="3388" t="s">
        <v>259</v>
      </c>
      <c r="G9" s="3388">
        <v>7.5643049999999995E-4</v>
      </c>
      <c r="H9" s="3388">
        <v>9.4557179220000002E-4</v>
      </c>
    </row>
    <row r="10" spans="1:8" ht="14.25" x14ac:dyDescent="0.2">
      <c r="A10" s="3480" t="s">
        <v>1710</v>
      </c>
      <c r="B10" s="3388">
        <v>1.169</v>
      </c>
      <c r="C10" s="3388">
        <v>2754.0179640718561</v>
      </c>
      <c r="D10" s="3388">
        <v>0.64707485029940004</v>
      </c>
      <c r="E10" s="3388">
        <v>0.80887236287425002</v>
      </c>
      <c r="F10" s="3388">
        <v>3.2194470000000002</v>
      </c>
      <c r="G10" s="3388">
        <v>7.5643049999999995E-4</v>
      </c>
      <c r="H10" s="3388">
        <v>9.4557179220000002E-4</v>
      </c>
    </row>
    <row r="11" spans="1:8" x14ac:dyDescent="0.2">
      <c r="A11" s="3473" t="s">
        <v>1687</v>
      </c>
      <c r="B11" s="3387" t="s">
        <v>259</v>
      </c>
      <c r="C11" s="3388" t="s">
        <v>259</v>
      </c>
      <c r="D11" s="3388" t="s">
        <v>259</v>
      </c>
      <c r="E11" s="3388" t="s">
        <v>259</v>
      </c>
      <c r="F11" s="3387" t="s">
        <v>259</v>
      </c>
      <c r="G11" s="3387" t="s">
        <v>259</v>
      </c>
      <c r="H11" s="3387" t="s">
        <v>259</v>
      </c>
    </row>
    <row r="12" spans="1:8" ht="13.5" x14ac:dyDescent="0.2">
      <c r="A12" s="3473" t="s">
        <v>1715</v>
      </c>
      <c r="B12" s="3388">
        <v>1.169</v>
      </c>
      <c r="C12" s="3388">
        <v>2754.0179640718561</v>
      </c>
      <c r="D12" s="3388">
        <v>0.64707485029940004</v>
      </c>
      <c r="E12" s="3388">
        <v>0.80887236287425002</v>
      </c>
      <c r="F12" s="3388">
        <v>3.2194470000000002</v>
      </c>
      <c r="G12" s="3388">
        <v>7.5643049999999995E-4</v>
      </c>
      <c r="H12" s="3388">
        <v>9.4557179220000002E-4</v>
      </c>
    </row>
    <row r="13" spans="1:8" x14ac:dyDescent="0.2">
      <c r="A13" s="3391" t="s">
        <v>1111</v>
      </c>
      <c r="B13" s="3388">
        <v>1.169</v>
      </c>
      <c r="C13" s="3388">
        <v>2754.0179640718561</v>
      </c>
      <c r="D13" s="3388">
        <v>0.64707485029940004</v>
      </c>
      <c r="E13" s="3388">
        <v>0.80887236287425002</v>
      </c>
      <c r="F13" s="3388">
        <v>3.2194470000000002</v>
      </c>
      <c r="G13" s="3388">
        <v>7.5643049999999995E-4</v>
      </c>
      <c r="H13" s="3388">
        <v>9.4557179220000002E-4</v>
      </c>
    </row>
    <row r="14" spans="1:8" x14ac:dyDescent="0.2">
      <c r="A14" s="3389" t="s">
        <v>1714</v>
      </c>
      <c r="B14" s="3387">
        <v>1.169</v>
      </c>
      <c r="C14" s="3388">
        <v>770</v>
      </c>
      <c r="D14" s="3388">
        <v>0.18090000000000001</v>
      </c>
      <c r="E14" s="3388">
        <v>0.22615379999999999</v>
      </c>
      <c r="F14" s="3387">
        <v>0.90012999999999999</v>
      </c>
      <c r="G14" s="3387">
        <v>2.1147209999999999E-4</v>
      </c>
      <c r="H14" s="3387">
        <v>2.6437379219999997E-4</v>
      </c>
    </row>
    <row r="15" spans="1:8" x14ac:dyDescent="0.2">
      <c r="A15" s="3389" t="s">
        <v>1713</v>
      </c>
      <c r="B15" s="3387" t="s">
        <v>259</v>
      </c>
      <c r="C15" s="3388" t="s">
        <v>259</v>
      </c>
      <c r="D15" s="3388" t="s">
        <v>259</v>
      </c>
      <c r="E15" s="3388" t="s">
        <v>259</v>
      </c>
      <c r="F15" s="3387">
        <v>2.3193169999999999</v>
      </c>
      <c r="G15" s="3387">
        <v>5.4495840000000004E-4</v>
      </c>
      <c r="H15" s="3387">
        <v>6.8119800000000005E-4</v>
      </c>
    </row>
    <row r="16" spans="1:8" x14ac:dyDescent="0.2">
      <c r="A16" s="3480" t="s">
        <v>1709</v>
      </c>
      <c r="B16" s="3388" t="s">
        <v>259</v>
      </c>
      <c r="C16" s="3388" t="s">
        <v>259</v>
      </c>
      <c r="D16" s="3388" t="s">
        <v>259</v>
      </c>
      <c r="E16" s="3388" t="s">
        <v>259</v>
      </c>
      <c r="F16" s="3388" t="s">
        <v>259</v>
      </c>
      <c r="G16" s="3388" t="s">
        <v>259</v>
      </c>
      <c r="H16" s="3388" t="s">
        <v>259</v>
      </c>
    </row>
    <row r="17" spans="1:8" x14ac:dyDescent="0.2">
      <c r="A17" s="3473" t="s">
        <v>1687</v>
      </c>
      <c r="B17" s="3387" t="s">
        <v>259</v>
      </c>
      <c r="C17" s="3388" t="s">
        <v>259</v>
      </c>
      <c r="D17" s="3388" t="s">
        <v>259</v>
      </c>
      <c r="E17" s="3388" t="s">
        <v>259</v>
      </c>
      <c r="F17" s="3387" t="s">
        <v>259</v>
      </c>
      <c r="G17" s="3387" t="s">
        <v>259</v>
      </c>
      <c r="H17" s="3387" t="s">
        <v>259</v>
      </c>
    </row>
    <row r="18" spans="1:8" ht="13.5" x14ac:dyDescent="0.2">
      <c r="A18" s="3473" t="s">
        <v>1712</v>
      </c>
      <c r="B18" s="3388" t="s">
        <v>259</v>
      </c>
      <c r="C18" s="3388" t="s">
        <v>259</v>
      </c>
      <c r="D18" s="3388" t="s">
        <v>259</v>
      </c>
      <c r="E18" s="3388" t="s">
        <v>259</v>
      </c>
      <c r="F18" s="3388" t="s">
        <v>259</v>
      </c>
      <c r="G18" s="3388" t="s">
        <v>259</v>
      </c>
      <c r="H18" s="3388" t="s">
        <v>259</v>
      </c>
    </row>
    <row r="19" spans="1:8" x14ac:dyDescent="0.2">
      <c r="A19" s="3480" t="s">
        <v>1711</v>
      </c>
      <c r="B19" s="3388" t="s">
        <v>259</v>
      </c>
      <c r="C19" s="3388" t="s">
        <v>259</v>
      </c>
      <c r="D19" s="3388" t="s">
        <v>259</v>
      </c>
      <c r="E19" s="3388" t="s">
        <v>259</v>
      </c>
      <c r="F19" s="3388" t="s">
        <v>259</v>
      </c>
      <c r="G19" s="3388" t="s">
        <v>259</v>
      </c>
      <c r="H19" s="3388" t="s">
        <v>259</v>
      </c>
    </row>
    <row r="20" spans="1:8" ht="14.25" x14ac:dyDescent="0.2">
      <c r="A20" s="3480" t="s">
        <v>1710</v>
      </c>
      <c r="B20" s="3388" t="s">
        <v>259</v>
      </c>
      <c r="C20" s="3388" t="s">
        <v>259</v>
      </c>
      <c r="D20" s="3388" t="s">
        <v>259</v>
      </c>
      <c r="E20" s="3388" t="s">
        <v>259</v>
      </c>
      <c r="F20" s="3388" t="s">
        <v>259</v>
      </c>
      <c r="G20" s="3388" t="s">
        <v>259</v>
      </c>
      <c r="H20" s="3388" t="s">
        <v>259</v>
      </c>
    </row>
    <row r="21" spans="1:8" x14ac:dyDescent="0.2">
      <c r="A21" s="3479" t="s">
        <v>1687</v>
      </c>
      <c r="B21" s="3387" t="s">
        <v>259</v>
      </c>
      <c r="C21" s="3388" t="s">
        <v>259</v>
      </c>
      <c r="D21" s="3388" t="s">
        <v>259</v>
      </c>
      <c r="E21" s="3388" t="s">
        <v>259</v>
      </c>
      <c r="F21" s="3387" t="s">
        <v>259</v>
      </c>
      <c r="G21" s="3387" t="s">
        <v>259</v>
      </c>
      <c r="H21" s="3387" t="s">
        <v>259</v>
      </c>
    </row>
    <row r="22" spans="1:8" x14ac:dyDescent="0.2">
      <c r="A22" s="3479" t="s">
        <v>1218</v>
      </c>
      <c r="B22" s="3388" t="s">
        <v>259</v>
      </c>
      <c r="C22" s="3388" t="s">
        <v>259</v>
      </c>
      <c r="D22" s="3388" t="s">
        <v>259</v>
      </c>
      <c r="E22" s="3388" t="s">
        <v>259</v>
      </c>
      <c r="F22" s="3388" t="s">
        <v>259</v>
      </c>
      <c r="G22" s="3388" t="s">
        <v>259</v>
      </c>
      <c r="H22" s="3388" t="s">
        <v>259</v>
      </c>
    </row>
    <row r="23" spans="1:8" x14ac:dyDescent="0.2">
      <c r="A23" s="3480" t="s">
        <v>1709</v>
      </c>
      <c r="B23" s="3388" t="s">
        <v>259</v>
      </c>
      <c r="C23" s="3388" t="s">
        <v>259</v>
      </c>
      <c r="D23" s="3388" t="s">
        <v>259</v>
      </c>
      <c r="E23" s="3388" t="s">
        <v>259</v>
      </c>
      <c r="F23" s="3388" t="s">
        <v>259</v>
      </c>
      <c r="G23" s="3388" t="s">
        <v>259</v>
      </c>
      <c r="H23" s="3388" t="s">
        <v>259</v>
      </c>
    </row>
    <row r="24" spans="1:8" x14ac:dyDescent="0.2">
      <c r="A24" s="3479" t="s">
        <v>1687</v>
      </c>
      <c r="B24" s="3387" t="s">
        <v>259</v>
      </c>
      <c r="C24" s="3388" t="s">
        <v>259</v>
      </c>
      <c r="D24" s="3388" t="s">
        <v>259</v>
      </c>
      <c r="E24" s="3388" t="s">
        <v>259</v>
      </c>
      <c r="F24" s="3387" t="s">
        <v>259</v>
      </c>
      <c r="G24" s="3387" t="s">
        <v>259</v>
      </c>
      <c r="H24" s="3387" t="s">
        <v>259</v>
      </c>
    </row>
    <row r="25" spans="1:8" x14ac:dyDescent="0.2">
      <c r="A25" s="3479" t="s">
        <v>1218</v>
      </c>
      <c r="B25" s="3388" t="s">
        <v>259</v>
      </c>
      <c r="C25" s="3388" t="s">
        <v>259</v>
      </c>
      <c r="D25" s="3388" t="s">
        <v>259</v>
      </c>
      <c r="E25" s="3388" t="s">
        <v>259</v>
      </c>
      <c r="F25" s="3388" t="s">
        <v>259</v>
      </c>
      <c r="G25" s="3388" t="s">
        <v>259</v>
      </c>
      <c r="H25" s="3388" t="s">
        <v>259</v>
      </c>
    </row>
    <row r="26" spans="1:8" x14ac:dyDescent="0.2">
      <c r="A26" s="792" t="s">
        <v>564</v>
      </c>
      <c r="B26" s="663"/>
      <c r="C26" s="663"/>
      <c r="D26" s="663"/>
      <c r="E26" s="663"/>
      <c r="F26" s="663"/>
      <c r="G26" s="663"/>
      <c r="H26" s="663"/>
    </row>
    <row r="27" spans="1:8" x14ac:dyDescent="0.2">
      <c r="A27" s="5672" t="s">
        <v>1708</v>
      </c>
      <c r="B27" s="5672"/>
      <c r="C27" s="5672"/>
      <c r="D27" s="5672"/>
      <c r="E27" s="5672"/>
      <c r="F27" s="5672"/>
      <c r="G27" s="5672"/>
      <c r="H27" s="5672"/>
    </row>
    <row r="28" spans="1:8" x14ac:dyDescent="0.2">
      <c r="A28" s="3322"/>
      <c r="B28" s="3322"/>
      <c r="C28" s="3322"/>
      <c r="D28" s="3322"/>
      <c r="E28" s="3322"/>
      <c r="F28" s="3322"/>
      <c r="G28" s="3322"/>
      <c r="H28" s="3322"/>
    </row>
    <row r="29" spans="1:8" ht="13.5" x14ac:dyDescent="0.2">
      <c r="A29" s="5645" t="s">
        <v>1707</v>
      </c>
      <c r="B29" s="5645"/>
      <c r="C29" s="5645"/>
      <c r="D29" s="5645"/>
      <c r="E29" s="5645"/>
      <c r="F29" s="5645"/>
      <c r="G29" s="5645"/>
      <c r="H29" s="5645"/>
    </row>
    <row r="30" spans="1:8" ht="25.5" customHeight="1" x14ac:dyDescent="0.2">
      <c r="A30" s="5645" t="s">
        <v>1706</v>
      </c>
      <c r="B30" s="5645"/>
      <c r="C30" s="5645"/>
      <c r="D30" s="5645"/>
      <c r="E30" s="5645"/>
      <c r="F30" s="5645"/>
      <c r="G30" s="5645"/>
      <c r="H30" s="5645"/>
    </row>
    <row r="31" spans="1:8" ht="25.5" customHeight="1" x14ac:dyDescent="0.2">
      <c r="A31" s="5645" t="s">
        <v>1705</v>
      </c>
      <c r="B31" s="5645"/>
      <c r="C31" s="5645"/>
      <c r="D31" s="5645"/>
      <c r="E31" s="5645"/>
      <c r="F31" s="5645"/>
      <c r="G31" s="5645"/>
      <c r="H31" s="5645"/>
    </row>
    <row r="32" spans="1:8" ht="13.5" x14ac:dyDescent="0.2">
      <c r="A32" s="5645" t="s">
        <v>1704</v>
      </c>
      <c r="B32" s="5645"/>
      <c r="C32" s="5645"/>
      <c r="D32" s="5645"/>
      <c r="E32" s="5645"/>
      <c r="F32" s="5645"/>
      <c r="G32" s="5645"/>
      <c r="H32" s="5645"/>
    </row>
    <row r="33" spans="1:8" x14ac:dyDescent="0.2">
      <c r="A33" s="735"/>
      <c r="B33" s="660"/>
      <c r="C33" s="660"/>
      <c r="D33" s="660"/>
      <c r="E33" s="660"/>
      <c r="F33" s="660"/>
      <c r="G33" s="660"/>
      <c r="H33" s="660"/>
    </row>
    <row r="34" spans="1:8" x14ac:dyDescent="0.2">
      <c r="A34" s="5651" t="s">
        <v>1652</v>
      </c>
      <c r="B34" s="5652"/>
      <c r="C34" s="5652"/>
      <c r="D34" s="5652"/>
      <c r="E34" s="5652"/>
      <c r="F34" s="5652"/>
      <c r="G34" s="5652"/>
      <c r="H34" s="5653"/>
    </row>
    <row r="35" spans="1:8" x14ac:dyDescent="0.2">
      <c r="A35" s="5654" t="s">
        <v>1703</v>
      </c>
      <c r="B35" s="5655"/>
      <c r="C35" s="5655"/>
      <c r="D35" s="5655"/>
      <c r="E35" s="5655"/>
      <c r="F35" s="5655"/>
      <c r="G35" s="5655"/>
      <c r="H35" s="5656"/>
    </row>
    <row r="36" spans="1:8" x14ac:dyDescent="0.2">
      <c r="A36" s="5654" t="s">
        <v>1702</v>
      </c>
      <c r="B36" s="5655"/>
      <c r="C36" s="5655"/>
      <c r="D36" s="5655"/>
      <c r="E36" s="5655"/>
      <c r="F36" s="5655"/>
      <c r="G36" s="5655"/>
      <c r="H36" s="5656"/>
    </row>
    <row r="37" spans="1:8" x14ac:dyDescent="0.2">
      <c r="A37" s="5657" t="s">
        <v>1701</v>
      </c>
      <c r="B37" s="5658"/>
      <c r="C37" s="5658"/>
      <c r="D37" s="5658"/>
      <c r="E37" s="5658"/>
      <c r="F37" s="5658"/>
      <c r="G37" s="5658"/>
      <c r="H37" s="5659"/>
    </row>
    <row r="38" spans="1:8" s="791" customFormat="1" x14ac:dyDescent="0.2">
      <c r="A38" s="3478" t="s">
        <v>980</v>
      </c>
      <c r="B38" s="5473" t="s">
        <v>986</v>
      </c>
      <c r="C38" s="5589"/>
      <c r="D38" s="5589"/>
      <c r="E38" s="5589"/>
      <c r="F38" s="5589"/>
      <c r="G38" s="5589"/>
      <c r="H38" s="5589"/>
    </row>
  </sheetData>
  <sheetProtection password="A754" sheet="1" objects="1" scenarios="1"/>
  <mergeCells count="17">
    <mergeCell ref="B38:H38"/>
    <mergeCell ref="A35:H35"/>
    <mergeCell ref="A36:H36"/>
    <mergeCell ref="A37:H37"/>
    <mergeCell ref="C8:E8"/>
    <mergeCell ref="F8:H8"/>
    <mergeCell ref="A27:H27"/>
    <mergeCell ref="A29:H29"/>
    <mergeCell ref="A30:H30"/>
    <mergeCell ref="A31:H31"/>
    <mergeCell ref="A32:H32"/>
    <mergeCell ref="A34:H34"/>
    <mergeCell ref="A1:D1"/>
    <mergeCell ref="A2:G2"/>
    <mergeCell ref="C5:E5"/>
    <mergeCell ref="F5:H5"/>
    <mergeCell ref="B6:B7"/>
  </mergeCells>
  <pageMargins left="0.7" right="0.7" top="0.75" bottom="0.75" header="0.3" footer="0.3"/>
  <pageSetup paperSize="9" scale="34" fitToHeight="0"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F61F8-7A72-4F9F-9C4F-70F870572D4D}">
  <sheetPr codeName="Ark36">
    <tabColor theme="0" tint="-0.14999847407452621"/>
    <pageSetUpPr fitToPage="1"/>
  </sheetPr>
  <dimension ref="A1:Q37"/>
  <sheetViews>
    <sheetView showGridLines="0" workbookViewId="0">
      <selection sqref="A1:D1"/>
    </sheetView>
  </sheetViews>
  <sheetFormatPr defaultColWidth="8" defaultRowHeight="12" customHeight="1" x14ac:dyDescent="0.2"/>
  <cols>
    <col min="1" max="1" width="34.140625" style="659" customWidth="1"/>
    <col min="2" max="2" width="16.28515625" style="659" customWidth="1"/>
    <col min="3" max="3" width="12.28515625" style="659" customWidth="1"/>
    <col min="4" max="4" width="12.5703125" style="659" customWidth="1"/>
    <col min="5" max="6" width="12.85546875" style="659" customWidth="1"/>
    <col min="7" max="8" width="15.7109375" style="659" customWidth="1"/>
    <col min="9" max="9" width="12.7109375" style="659" customWidth="1"/>
    <col min="10" max="10" width="13.42578125" style="659" customWidth="1"/>
    <col min="11" max="11" width="3" style="659" customWidth="1"/>
    <col min="12" max="12" width="14.140625" style="659" customWidth="1"/>
    <col min="13" max="17" width="8" style="659"/>
    <col min="18" max="18" width="4.5703125" style="659" customWidth="1"/>
    <col min="19" max="19" width="8" style="659"/>
    <col min="20" max="20" width="6.85546875" style="659" customWidth="1"/>
    <col min="21" max="16384" width="8" style="659"/>
  </cols>
  <sheetData>
    <row r="1" spans="1:17" ht="15.75" customHeight="1" x14ac:dyDescent="0.2">
      <c r="A1" s="5471" t="s">
        <v>1760</v>
      </c>
      <c r="B1" s="5471"/>
      <c r="C1" s="5471"/>
      <c r="D1" s="5471"/>
      <c r="E1" s="660"/>
      <c r="F1" s="660"/>
      <c r="G1" s="660"/>
      <c r="H1" s="660"/>
      <c r="I1" s="660"/>
      <c r="J1" s="668" t="s">
        <v>1028</v>
      </c>
      <c r="K1" s="660"/>
      <c r="L1" s="660"/>
      <c r="M1" s="660"/>
      <c r="N1" s="660"/>
      <c r="O1" s="660"/>
      <c r="P1" s="660"/>
      <c r="Q1" s="660"/>
    </row>
    <row r="2" spans="1:17" ht="15.75" customHeight="1" x14ac:dyDescent="0.25">
      <c r="A2" s="5471" t="s">
        <v>1759</v>
      </c>
      <c r="B2" s="5471"/>
      <c r="C2" s="670"/>
      <c r="D2" s="670"/>
      <c r="E2" s="660"/>
      <c r="F2" s="660"/>
      <c r="G2" s="660"/>
      <c r="H2" s="660"/>
      <c r="I2" s="660"/>
      <c r="J2" s="668" t="s">
        <v>5183</v>
      </c>
      <c r="K2" s="660"/>
      <c r="L2" s="660"/>
      <c r="M2" s="660"/>
      <c r="N2" s="660"/>
      <c r="O2" s="660"/>
      <c r="P2" s="660"/>
      <c r="Q2" s="660"/>
    </row>
    <row r="3" spans="1:17" ht="15.75" customHeight="1" x14ac:dyDescent="0.25">
      <c r="A3" s="687" t="s">
        <v>1197</v>
      </c>
      <c r="B3" s="670"/>
      <c r="C3" s="670"/>
      <c r="D3" s="670"/>
      <c r="E3" s="660"/>
      <c r="F3" s="660"/>
      <c r="G3" s="660"/>
      <c r="H3" s="660"/>
      <c r="I3" s="660"/>
      <c r="J3" s="668" t="s">
        <v>1789</v>
      </c>
      <c r="K3" s="660"/>
      <c r="L3" s="660"/>
      <c r="M3" s="660"/>
      <c r="N3" s="660"/>
      <c r="O3" s="660"/>
      <c r="P3" s="660"/>
      <c r="Q3" s="660"/>
    </row>
    <row r="4" spans="1:17" ht="12.75" customHeight="1" x14ac:dyDescent="0.2">
      <c r="A4" s="660"/>
      <c r="B4" s="660"/>
      <c r="C4" s="660"/>
      <c r="D4" s="660"/>
      <c r="E4" s="660"/>
      <c r="F4" s="660"/>
      <c r="G4" s="660"/>
      <c r="H4" s="660"/>
      <c r="I4" s="660"/>
      <c r="J4" s="660"/>
      <c r="K4" s="660"/>
      <c r="L4" s="660"/>
      <c r="M4" s="660"/>
      <c r="N4" s="660"/>
      <c r="O4" s="660"/>
      <c r="P4" s="660"/>
      <c r="Q4" s="660"/>
    </row>
    <row r="5" spans="1:17" ht="12" customHeight="1" x14ac:dyDescent="0.2">
      <c r="A5" s="5673" t="s">
        <v>1758</v>
      </c>
      <c r="B5" s="5496" t="s">
        <v>1757</v>
      </c>
      <c r="C5" s="5497"/>
      <c r="D5" s="5676"/>
      <c r="E5" s="5496" t="s">
        <v>1756</v>
      </c>
      <c r="F5" s="5498"/>
      <c r="G5" s="5680" t="s">
        <v>1081</v>
      </c>
      <c r="H5" s="5681"/>
      <c r="I5" s="5681"/>
      <c r="J5" s="5682"/>
      <c r="K5" s="660"/>
      <c r="L5" s="660"/>
      <c r="M5" s="660"/>
      <c r="N5" s="660"/>
      <c r="O5" s="660"/>
      <c r="P5" s="660"/>
      <c r="Q5" s="660"/>
    </row>
    <row r="6" spans="1:17" ht="12" customHeight="1" x14ac:dyDescent="0.2">
      <c r="A6" s="5674"/>
      <c r="B6" s="5677" t="s">
        <v>1755</v>
      </c>
      <c r="C6" s="5649" t="s">
        <v>1754</v>
      </c>
      <c r="D6" s="3493"/>
      <c r="E6" s="5677" t="s">
        <v>1753</v>
      </c>
      <c r="F6" s="5677" t="s">
        <v>1752</v>
      </c>
      <c r="G6" s="5496" t="s">
        <v>1023</v>
      </c>
      <c r="H6" s="5497"/>
      <c r="I6" s="5498"/>
      <c r="J6" s="5683" t="s">
        <v>1752</v>
      </c>
      <c r="K6" s="660"/>
      <c r="L6" s="660"/>
      <c r="M6" s="660"/>
      <c r="N6" s="660"/>
      <c r="O6" s="660"/>
      <c r="P6" s="660"/>
      <c r="Q6" s="660"/>
    </row>
    <row r="7" spans="1:17" ht="12" customHeight="1" x14ac:dyDescent="0.2">
      <c r="A7" s="5674"/>
      <c r="B7" s="5678"/>
      <c r="C7" s="5670"/>
      <c r="D7" s="809" t="s">
        <v>1751</v>
      </c>
      <c r="E7" s="5678"/>
      <c r="F7" s="5678"/>
      <c r="G7" s="5677" t="s">
        <v>1750</v>
      </c>
      <c r="H7" s="5677" t="s">
        <v>1694</v>
      </c>
      <c r="I7" s="5677" t="s">
        <v>1749</v>
      </c>
      <c r="J7" s="5684"/>
      <c r="K7" s="660"/>
      <c r="L7" s="660"/>
      <c r="M7" s="660"/>
      <c r="N7" s="660"/>
      <c r="O7" s="660"/>
      <c r="P7" s="660"/>
      <c r="Q7" s="660"/>
    </row>
    <row r="8" spans="1:17" ht="39.75" customHeight="1" x14ac:dyDescent="0.2">
      <c r="A8" s="5674"/>
      <c r="B8" s="5679"/>
      <c r="C8" s="5650"/>
      <c r="D8" s="799"/>
      <c r="E8" s="5679"/>
      <c r="F8" s="5679"/>
      <c r="G8" s="5679"/>
      <c r="H8" s="5679"/>
      <c r="I8" s="5679"/>
      <c r="J8" s="5685"/>
      <c r="K8" s="660"/>
      <c r="L8" s="660"/>
      <c r="M8" s="660"/>
      <c r="N8" s="660"/>
      <c r="O8" s="660"/>
      <c r="P8" s="660"/>
      <c r="Q8" s="660"/>
    </row>
    <row r="9" spans="1:17" ht="36" customHeight="1" thickBot="1" x14ac:dyDescent="0.25">
      <c r="A9" s="5675"/>
      <c r="B9" s="5453" t="s">
        <v>1748</v>
      </c>
      <c r="C9" s="5455"/>
      <c r="D9" s="808" t="s">
        <v>1747</v>
      </c>
      <c r="E9" s="808" t="s">
        <v>1746</v>
      </c>
      <c r="F9" s="3301" t="s">
        <v>1745</v>
      </c>
      <c r="G9" s="5450" t="s">
        <v>1744</v>
      </c>
      <c r="H9" s="5451"/>
      <c r="I9" s="5451"/>
      <c r="J9" s="5452"/>
      <c r="K9" s="660"/>
      <c r="L9" s="660"/>
      <c r="M9" s="660"/>
      <c r="N9" s="660"/>
      <c r="O9" s="660"/>
      <c r="P9" s="660"/>
      <c r="Q9" s="660"/>
    </row>
    <row r="10" spans="1:17" ht="12.75" thickTop="1" x14ac:dyDescent="0.2">
      <c r="A10" s="807" t="s">
        <v>1743</v>
      </c>
      <c r="B10" s="3387">
        <v>398.27049038000001</v>
      </c>
      <c r="C10" s="3387">
        <v>65.624678951000007</v>
      </c>
      <c r="D10" s="3387">
        <v>3.1267286780000001</v>
      </c>
      <c r="E10" s="3388">
        <v>7.2940561421719993E-2</v>
      </c>
      <c r="F10" s="3388">
        <v>3.9942173863819999E-2</v>
      </c>
      <c r="G10" s="3387">
        <v>2.0302402248190701</v>
      </c>
      <c r="H10" s="3387">
        <v>2.4563484492000001</v>
      </c>
      <c r="I10" s="3387">
        <v>24.563484492000001</v>
      </c>
      <c r="J10" s="3387">
        <v>0.19625310647117999</v>
      </c>
      <c r="K10" s="660"/>
      <c r="L10" s="660"/>
      <c r="M10" s="660"/>
      <c r="N10" s="660"/>
      <c r="O10" s="660"/>
      <c r="P10" s="660"/>
      <c r="Q10" s="660"/>
    </row>
    <row r="11" spans="1:17" x14ac:dyDescent="0.2">
      <c r="A11" s="3492" t="s">
        <v>1742</v>
      </c>
      <c r="B11" s="3387" t="s">
        <v>455</v>
      </c>
      <c r="C11" s="3387" t="s">
        <v>455</v>
      </c>
      <c r="D11" s="3387">
        <v>4.6363058207999996</v>
      </c>
      <c r="E11" s="3388" t="s">
        <v>1366</v>
      </c>
      <c r="F11" s="3388">
        <v>3.1750000000300002E-3</v>
      </c>
      <c r="G11" s="3387" t="s">
        <v>455</v>
      </c>
      <c r="H11" s="3387" t="s">
        <v>259</v>
      </c>
      <c r="I11" s="3387" t="s">
        <v>455</v>
      </c>
      <c r="J11" s="3387">
        <v>2.313185439897E-2</v>
      </c>
      <c r="K11" s="660"/>
      <c r="L11" s="660"/>
      <c r="M11" s="660"/>
      <c r="N11" s="660"/>
      <c r="O11" s="660"/>
      <c r="P11" s="660"/>
      <c r="Q11" s="660"/>
    </row>
    <row r="12" spans="1:17" x14ac:dyDescent="0.2">
      <c r="A12" s="3492" t="s">
        <v>1567</v>
      </c>
      <c r="B12" s="3388" t="s">
        <v>259</v>
      </c>
      <c r="C12" s="3388" t="s">
        <v>259</v>
      </c>
      <c r="D12" s="3388" t="s">
        <v>259</v>
      </c>
      <c r="E12" s="3388" t="s">
        <v>259</v>
      </c>
      <c r="F12" s="3388" t="s">
        <v>259</v>
      </c>
      <c r="G12" s="3388" t="s">
        <v>259</v>
      </c>
      <c r="H12" s="3388" t="s">
        <v>259</v>
      </c>
      <c r="I12" s="3388" t="s">
        <v>259</v>
      </c>
      <c r="J12" s="3388" t="s">
        <v>259</v>
      </c>
      <c r="K12" s="660"/>
      <c r="L12" s="660"/>
      <c r="M12" s="660"/>
      <c r="N12" s="660"/>
      <c r="O12" s="660"/>
      <c r="P12" s="660"/>
      <c r="Q12" s="660"/>
    </row>
    <row r="13" spans="1:17" ht="12" customHeight="1" x14ac:dyDescent="0.2">
      <c r="A13" s="3491" t="s">
        <v>564</v>
      </c>
      <c r="B13" s="689"/>
      <c r="C13" s="689"/>
      <c r="D13" s="806"/>
      <c r="E13" s="806"/>
      <c r="F13" s="689"/>
      <c r="G13" s="3490"/>
      <c r="H13" s="3490"/>
      <c r="I13" s="3489"/>
      <c r="J13" s="3489"/>
      <c r="K13" s="660"/>
      <c r="L13" s="660"/>
      <c r="M13" s="660"/>
      <c r="N13" s="660"/>
      <c r="O13" s="660"/>
      <c r="P13" s="660"/>
      <c r="Q13" s="660"/>
    </row>
    <row r="14" spans="1:17" ht="12" customHeight="1" x14ac:dyDescent="0.2">
      <c r="A14" s="5686" t="s">
        <v>1740</v>
      </c>
      <c r="B14" s="5687"/>
      <c r="C14" s="5687"/>
      <c r="D14" s="5687"/>
      <c r="E14" s="5687"/>
      <c r="F14" s="5687"/>
      <c r="G14" s="5687"/>
      <c r="H14" s="5687"/>
      <c r="I14" s="5687"/>
      <c r="J14" s="3488"/>
      <c r="K14" s="3489"/>
      <c r="L14" s="660"/>
      <c r="M14" s="660"/>
      <c r="N14" s="660"/>
      <c r="O14" s="660"/>
      <c r="P14" s="660"/>
      <c r="Q14" s="660"/>
    </row>
    <row r="15" spans="1:17" ht="12" customHeight="1" x14ac:dyDescent="0.2">
      <c r="A15" s="5456" t="s">
        <v>1739</v>
      </c>
      <c r="B15" s="5456"/>
      <c r="C15" s="5456"/>
      <c r="D15" s="5456"/>
      <c r="E15" s="5456"/>
      <c r="F15" s="5456"/>
      <c r="G15" s="5456"/>
      <c r="H15" s="5456"/>
      <c r="I15" s="660"/>
      <c r="J15" s="660"/>
      <c r="K15" s="3488"/>
      <c r="L15" s="660"/>
      <c r="M15" s="660"/>
      <c r="N15" s="660"/>
      <c r="O15" s="660"/>
      <c r="P15" s="660"/>
      <c r="Q15" s="660"/>
    </row>
    <row r="16" spans="1:17" ht="13.5" x14ac:dyDescent="0.2">
      <c r="A16" s="5456" t="s">
        <v>1738</v>
      </c>
      <c r="B16" s="5456"/>
      <c r="C16" s="5456"/>
      <c r="D16" s="5456"/>
      <c r="E16" s="5456"/>
      <c r="F16" s="5456"/>
      <c r="G16" s="5456"/>
      <c r="H16" s="5456"/>
      <c r="I16" s="660"/>
      <c r="J16" s="660"/>
      <c r="K16" s="660"/>
      <c r="L16" s="660"/>
      <c r="M16" s="660"/>
      <c r="N16" s="660"/>
      <c r="O16" s="660"/>
      <c r="P16" s="660"/>
      <c r="Q16" s="660"/>
    </row>
    <row r="17" spans="1:17" ht="12" customHeight="1" x14ac:dyDescent="0.2">
      <c r="A17" s="5456" t="s">
        <v>1737</v>
      </c>
      <c r="B17" s="5456"/>
      <c r="C17" s="5456"/>
      <c r="D17" s="660"/>
      <c r="E17" s="660"/>
      <c r="F17" s="660"/>
      <c r="G17" s="660"/>
      <c r="H17" s="660"/>
      <c r="I17" s="660"/>
      <c r="J17" s="660"/>
      <c r="K17" s="660"/>
      <c r="L17" s="660"/>
      <c r="M17" s="660"/>
      <c r="N17" s="660"/>
      <c r="O17" s="660"/>
      <c r="P17" s="660"/>
      <c r="Q17" s="660"/>
    </row>
    <row r="18" spans="1:17" ht="12" customHeight="1" x14ac:dyDescent="0.2">
      <c r="A18" s="5456" t="s">
        <v>1736</v>
      </c>
      <c r="B18" s="5456"/>
      <c r="C18" s="5456"/>
      <c r="D18" s="5456"/>
      <c r="E18" s="5456"/>
      <c r="F18" s="660"/>
      <c r="G18" s="660"/>
      <c r="H18" s="660"/>
      <c r="I18" s="660"/>
      <c r="J18" s="660"/>
      <c r="K18" s="660"/>
      <c r="L18" s="660"/>
      <c r="M18" s="660"/>
      <c r="N18" s="660"/>
      <c r="O18" s="660"/>
      <c r="P18" s="660"/>
      <c r="Q18" s="660"/>
    </row>
    <row r="19" spans="1:17" x14ac:dyDescent="0.2">
      <c r="A19" s="5692" t="s">
        <v>1735</v>
      </c>
      <c r="B19" s="5460"/>
      <c r="C19" s="5460"/>
      <c r="D19" s="5460"/>
      <c r="E19" s="5460"/>
      <c r="F19" s="5460"/>
      <c r="G19" s="5460"/>
      <c r="H19" s="5460"/>
      <c r="I19" s="5460"/>
      <c r="J19" s="5460"/>
      <c r="K19" s="660"/>
      <c r="L19" s="660"/>
      <c r="M19" s="660"/>
      <c r="N19" s="660"/>
      <c r="O19" s="660"/>
      <c r="P19" s="660"/>
      <c r="Q19" s="660"/>
    </row>
    <row r="20" spans="1:17" ht="13.5" x14ac:dyDescent="0.2">
      <c r="A20" s="3488"/>
      <c r="B20" s="3299"/>
      <c r="C20" s="3299"/>
      <c r="D20" s="3299"/>
      <c r="E20" s="3299"/>
      <c r="F20" s="3299"/>
      <c r="G20" s="3299"/>
      <c r="H20" s="3299"/>
      <c r="I20" s="3299"/>
      <c r="J20" s="3299"/>
      <c r="K20" s="660"/>
      <c r="L20" s="660"/>
      <c r="M20" s="660"/>
      <c r="N20" s="660"/>
      <c r="O20" s="660"/>
      <c r="P20" s="660"/>
      <c r="Q20" s="660"/>
    </row>
    <row r="21" spans="1:17" x14ac:dyDescent="0.2">
      <c r="A21" s="805" t="s">
        <v>1256</v>
      </c>
      <c r="B21" s="3299"/>
      <c r="C21" s="3299"/>
      <c r="D21" s="3299"/>
      <c r="E21" s="3299"/>
      <c r="F21" s="3299"/>
      <c r="G21" s="3299"/>
      <c r="H21" s="3299"/>
      <c r="I21" s="3299"/>
      <c r="J21" s="3299"/>
      <c r="K21" s="660"/>
      <c r="L21" s="660"/>
      <c r="M21" s="660"/>
      <c r="N21" s="660"/>
      <c r="O21" s="660"/>
      <c r="P21" s="660"/>
      <c r="Q21" s="660"/>
    </row>
    <row r="22" spans="1:17" x14ac:dyDescent="0.2">
      <c r="A22" s="3404" t="s">
        <v>1734</v>
      </c>
      <c r="B22" s="3387">
        <v>5781.19</v>
      </c>
      <c r="C22" s="3299"/>
      <c r="D22" s="3299"/>
      <c r="E22" s="3299"/>
      <c r="F22" s="3299"/>
      <c r="G22" s="3299"/>
      <c r="H22" s="3299"/>
      <c r="I22" s="3299"/>
      <c r="J22" s="3299"/>
      <c r="K22" s="660"/>
      <c r="L22" s="660"/>
      <c r="M22" s="660"/>
      <c r="N22" s="660"/>
      <c r="O22" s="660"/>
      <c r="P22" s="660"/>
      <c r="Q22" s="660"/>
    </row>
    <row r="23" spans="1:17" x14ac:dyDescent="0.2">
      <c r="A23" s="3487" t="s">
        <v>1733</v>
      </c>
      <c r="B23" s="3387">
        <v>39.310499999999998</v>
      </c>
      <c r="C23" s="3299"/>
      <c r="D23" s="3299"/>
      <c r="E23" s="3299"/>
      <c r="F23" s="3299"/>
      <c r="G23" s="3299"/>
      <c r="H23" s="3299"/>
      <c r="I23" s="3299"/>
      <c r="J23" s="3299"/>
      <c r="K23" s="660"/>
      <c r="L23" s="660"/>
      <c r="M23" s="660"/>
      <c r="N23" s="660"/>
      <c r="O23" s="660"/>
      <c r="P23" s="660"/>
      <c r="Q23" s="660"/>
    </row>
    <row r="24" spans="1:17" x14ac:dyDescent="0.2">
      <c r="A24" s="3487" t="s">
        <v>1732</v>
      </c>
      <c r="B24" s="3387">
        <v>0.16</v>
      </c>
      <c r="C24" s="3299"/>
      <c r="D24" s="3299"/>
      <c r="E24" s="3299"/>
      <c r="F24" s="3299"/>
      <c r="G24" s="3299"/>
      <c r="H24" s="3299"/>
      <c r="I24" s="3299"/>
      <c r="J24" s="3299"/>
      <c r="K24" s="660"/>
      <c r="L24" s="660"/>
      <c r="M24" s="660"/>
      <c r="N24" s="660"/>
      <c r="O24" s="660"/>
      <c r="P24" s="660"/>
      <c r="Q24" s="660"/>
    </row>
    <row r="25" spans="1:17" ht="13.5" x14ac:dyDescent="0.2">
      <c r="A25" s="3487" t="s">
        <v>1731</v>
      </c>
      <c r="B25" s="3387">
        <v>1.4</v>
      </c>
      <c r="C25" s="3299"/>
      <c r="D25" s="3299"/>
      <c r="E25" s="3299"/>
      <c r="F25" s="3299"/>
      <c r="G25" s="3299"/>
      <c r="H25" s="3299"/>
      <c r="I25" s="3299"/>
      <c r="J25" s="3299"/>
      <c r="K25" s="660"/>
      <c r="L25" s="660"/>
      <c r="M25" s="660"/>
      <c r="N25" s="660"/>
      <c r="O25" s="660"/>
      <c r="P25" s="660"/>
      <c r="Q25" s="660"/>
    </row>
    <row r="26" spans="1:17" ht="13.5" x14ac:dyDescent="0.2">
      <c r="A26" s="3404" t="s">
        <v>1730</v>
      </c>
      <c r="B26" s="3387">
        <v>1.25</v>
      </c>
      <c r="C26" s="3299"/>
      <c r="D26" s="3299"/>
      <c r="E26" s="3299"/>
      <c r="F26" s="3299"/>
      <c r="G26" s="3299"/>
      <c r="H26" s="3299"/>
      <c r="I26" s="3299"/>
      <c r="J26" s="3299"/>
      <c r="K26" s="660"/>
      <c r="L26" s="660"/>
      <c r="M26" s="660"/>
      <c r="N26" s="660"/>
      <c r="O26" s="660"/>
      <c r="P26" s="660"/>
      <c r="Q26" s="660"/>
    </row>
    <row r="27" spans="1:17" ht="13.5" x14ac:dyDescent="0.2">
      <c r="A27" s="3404" t="s">
        <v>1729</v>
      </c>
      <c r="B27" s="3387">
        <v>91.3</v>
      </c>
      <c r="C27" s="3299"/>
      <c r="D27" s="3299"/>
      <c r="E27" s="3299"/>
      <c r="F27" s="3299"/>
      <c r="G27" s="3299"/>
      <c r="H27" s="3299"/>
      <c r="I27" s="3299"/>
      <c r="J27" s="3299"/>
      <c r="K27" s="660"/>
      <c r="L27" s="660"/>
      <c r="M27" s="660"/>
      <c r="N27" s="660"/>
      <c r="O27" s="660"/>
      <c r="P27" s="660"/>
      <c r="Q27" s="660"/>
    </row>
    <row r="28" spans="1:17" x14ac:dyDescent="0.2">
      <c r="A28" s="660"/>
      <c r="B28" s="3299"/>
      <c r="C28" s="3299"/>
      <c r="D28" s="3299"/>
      <c r="E28" s="3299"/>
      <c r="F28" s="3299"/>
      <c r="G28" s="3299"/>
      <c r="H28" s="3299"/>
      <c r="I28" s="3299"/>
      <c r="J28" s="3299"/>
      <c r="K28" s="660"/>
      <c r="L28" s="660"/>
      <c r="M28" s="660"/>
      <c r="N28" s="660"/>
      <c r="O28" s="660"/>
      <c r="P28" s="660"/>
      <c r="Q28" s="660"/>
    </row>
    <row r="29" spans="1:17" x14ac:dyDescent="0.2">
      <c r="A29" s="686" t="s">
        <v>1728</v>
      </c>
      <c r="B29" s="3299"/>
      <c r="C29" s="3299"/>
      <c r="D29" s="3299"/>
      <c r="E29" s="3299"/>
      <c r="F29" s="3299"/>
      <c r="G29" s="3299"/>
      <c r="H29" s="3299"/>
      <c r="I29" s="3299"/>
      <c r="J29" s="3299"/>
      <c r="K29" s="660"/>
      <c r="L29" s="660"/>
      <c r="M29" s="660"/>
      <c r="N29" s="660"/>
      <c r="O29" s="660"/>
      <c r="P29" s="660"/>
      <c r="Q29" s="660"/>
    </row>
    <row r="30" spans="1:17" ht="13.5" x14ac:dyDescent="0.25">
      <c r="A30" s="3305" t="s">
        <v>1727</v>
      </c>
      <c r="B30" s="3299"/>
      <c r="C30" s="3299"/>
      <c r="D30" s="3299"/>
      <c r="E30" s="3299"/>
      <c r="F30" s="3299"/>
      <c r="G30" s="3299"/>
      <c r="H30" s="3299"/>
      <c r="I30" s="3299"/>
      <c r="J30" s="3299"/>
      <c r="K30" s="660"/>
      <c r="L30" s="660"/>
      <c r="M30" s="660"/>
      <c r="N30" s="660"/>
      <c r="O30" s="660"/>
      <c r="P30" s="660"/>
      <c r="Q30" s="660"/>
    </row>
    <row r="31" spans="1:17" ht="13.5" customHeight="1" x14ac:dyDescent="0.2">
      <c r="A31" s="3304" t="s">
        <v>1726</v>
      </c>
      <c r="B31" s="3299"/>
      <c r="C31" s="3299"/>
      <c r="D31" s="3299"/>
      <c r="E31" s="3299"/>
      <c r="F31" s="3299"/>
      <c r="G31" s="3299"/>
      <c r="H31" s="3299"/>
      <c r="I31" s="3299"/>
      <c r="J31" s="3299"/>
      <c r="K31" s="660"/>
      <c r="L31" s="660"/>
      <c r="M31" s="660"/>
      <c r="N31" s="660"/>
      <c r="O31" s="660"/>
      <c r="P31" s="660"/>
      <c r="Q31" s="660"/>
    </row>
    <row r="32" spans="1:17" ht="13.5" x14ac:dyDescent="0.25">
      <c r="A32" s="660" t="s">
        <v>1725</v>
      </c>
      <c r="B32" s="3299"/>
      <c r="C32" s="3299"/>
      <c r="D32" s="3299"/>
      <c r="E32" s="3299"/>
      <c r="F32" s="3299"/>
      <c r="G32" s="3299"/>
      <c r="H32" s="3299"/>
      <c r="I32" s="3299"/>
      <c r="J32" s="3299"/>
      <c r="K32" s="660"/>
      <c r="L32" s="660"/>
      <c r="M32" s="660"/>
      <c r="N32" s="660"/>
      <c r="O32" s="660"/>
      <c r="P32" s="660"/>
      <c r="Q32" s="660"/>
    </row>
    <row r="33" spans="1:17" x14ac:dyDescent="0.2">
      <c r="A33" s="661"/>
      <c r="B33" s="661"/>
      <c r="C33" s="661"/>
      <c r="D33" s="661"/>
      <c r="E33" s="661"/>
      <c r="F33" s="661"/>
      <c r="G33" s="661"/>
      <c r="H33" s="661"/>
      <c r="I33" s="661"/>
      <c r="J33" s="660"/>
      <c r="K33" s="3323"/>
      <c r="L33" s="660"/>
      <c r="M33" s="660"/>
      <c r="N33" s="660"/>
      <c r="O33" s="660"/>
      <c r="P33" s="660"/>
      <c r="Q33" s="660"/>
    </row>
    <row r="34" spans="1:17" ht="15" customHeight="1" x14ac:dyDescent="0.2">
      <c r="A34" s="5693" t="s">
        <v>1652</v>
      </c>
      <c r="B34" s="5694"/>
      <c r="C34" s="5694"/>
      <c r="D34" s="5694"/>
      <c r="E34" s="5694"/>
      <c r="F34" s="5694"/>
      <c r="G34" s="5694"/>
      <c r="H34" s="5694"/>
      <c r="I34" s="5694"/>
      <c r="J34" s="5695"/>
      <c r="K34" s="660"/>
      <c r="L34" s="660"/>
      <c r="M34" s="660"/>
      <c r="N34" s="660"/>
      <c r="O34" s="660"/>
      <c r="P34" s="660"/>
      <c r="Q34" s="660"/>
    </row>
    <row r="35" spans="1:17" x14ac:dyDescent="0.2">
      <c r="A35" s="5689" t="s">
        <v>1724</v>
      </c>
      <c r="B35" s="5460"/>
      <c r="C35" s="5460"/>
      <c r="D35" s="5460"/>
      <c r="E35" s="5460"/>
      <c r="F35" s="5460"/>
      <c r="G35" s="5460"/>
      <c r="H35" s="5460"/>
      <c r="I35" s="5460"/>
      <c r="J35" s="5690"/>
      <c r="K35" s="660"/>
      <c r="L35" s="660"/>
      <c r="M35" s="660"/>
      <c r="N35" s="660"/>
      <c r="O35" s="660"/>
      <c r="P35" s="660"/>
      <c r="Q35" s="660"/>
    </row>
    <row r="36" spans="1:17" x14ac:dyDescent="0.2">
      <c r="A36" s="5691" t="s">
        <v>1723</v>
      </c>
      <c r="B36" s="5551"/>
      <c r="C36" s="5551"/>
      <c r="D36" s="5551"/>
      <c r="E36" s="5551"/>
      <c r="F36" s="5551"/>
      <c r="G36" s="5551"/>
      <c r="H36" s="5551"/>
      <c r="I36" s="5551"/>
      <c r="J36" s="5552"/>
      <c r="K36" s="660"/>
      <c r="L36" s="660"/>
      <c r="M36" s="660"/>
      <c r="N36" s="660"/>
      <c r="O36" s="660"/>
      <c r="P36" s="660"/>
      <c r="Q36" s="660"/>
    </row>
    <row r="37" spans="1:17" ht="12" customHeight="1" x14ac:dyDescent="0.2">
      <c r="A37" s="3486" t="s">
        <v>980</v>
      </c>
      <c r="B37" s="5473" t="s">
        <v>986</v>
      </c>
      <c r="C37" s="5688"/>
      <c r="D37" s="5688"/>
      <c r="E37" s="5688"/>
      <c r="F37" s="5688"/>
      <c r="G37" s="5688"/>
      <c r="H37" s="5688"/>
      <c r="I37" s="5688"/>
      <c r="J37" s="5688"/>
    </row>
  </sheetData>
  <sheetProtection password="A754" sheet="1" objects="1" scenarios="1"/>
  <mergeCells count="27">
    <mergeCell ref="A14:I14"/>
    <mergeCell ref="A15:H15"/>
    <mergeCell ref="B37:J37"/>
    <mergeCell ref="A35:J35"/>
    <mergeCell ref="A36:J36"/>
    <mergeCell ref="A16:H16"/>
    <mergeCell ref="A18:E18"/>
    <mergeCell ref="A19:J19"/>
    <mergeCell ref="A34:J34"/>
    <mergeCell ref="A17:C17"/>
    <mergeCell ref="H7:H8"/>
    <mergeCell ref="I7:I8"/>
    <mergeCell ref="G5:J5"/>
    <mergeCell ref="G9:J9"/>
    <mergeCell ref="G6:I6"/>
    <mergeCell ref="J6:J8"/>
    <mergeCell ref="G7:G8"/>
    <mergeCell ref="A1:D1"/>
    <mergeCell ref="A2:B2"/>
    <mergeCell ref="A5:A9"/>
    <mergeCell ref="B5:D5"/>
    <mergeCell ref="E5:F5"/>
    <mergeCell ref="B9:C9"/>
    <mergeCell ref="B6:B8"/>
    <mergeCell ref="C6:C8"/>
    <mergeCell ref="E6:E8"/>
    <mergeCell ref="F6:F8"/>
  </mergeCells>
  <dataValidations count="1">
    <dataValidation allowBlank="1" showInputMessage="1" showErrorMessage="1" sqref="K38:Q65548 A39:J65548 R1:IV65548" xr:uid="{00000000-0002-0000-3400-000000000000}"/>
  </dataValidations>
  <printOptions horizontalCentered="1" verticalCentered="1"/>
  <pageMargins left="0.39370078740157483" right="0.39370078740157483" top="0.39370078740157483" bottom="0.39370078740157483" header="0.19685039370078741" footer="0.19685039370078741"/>
  <pageSetup paperSize="9" scale="41"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230F3-D16E-4F8C-B093-932F4C409B9C}">
  <sheetPr codeName="Ark37">
    <tabColor theme="0" tint="-0.249977111117893"/>
  </sheetPr>
  <dimension ref="A1:N37"/>
  <sheetViews>
    <sheetView showGridLines="0" workbookViewId="0">
      <selection sqref="A1:E1"/>
    </sheetView>
  </sheetViews>
  <sheetFormatPr defaultColWidth="8" defaultRowHeight="12" customHeight="1" x14ac:dyDescent="0.2"/>
  <cols>
    <col min="1" max="1" width="54.5703125" style="659" customWidth="1"/>
    <col min="2" max="13" width="10.28515625" style="659" customWidth="1"/>
    <col min="14" max="14" width="1.28515625" style="659" customWidth="1"/>
    <col min="15" max="16384" width="8" style="659"/>
  </cols>
  <sheetData>
    <row r="1" spans="1:14" ht="15.75" customHeight="1" x14ac:dyDescent="0.25">
      <c r="A1" s="5430" t="s">
        <v>1029</v>
      </c>
      <c r="B1" s="5430"/>
      <c r="C1" s="5430"/>
      <c r="D1" s="5430"/>
      <c r="E1" s="5430"/>
      <c r="F1" s="660"/>
      <c r="G1" s="660"/>
      <c r="H1" s="660"/>
      <c r="I1" s="660"/>
      <c r="J1" s="660"/>
      <c r="K1" s="660"/>
      <c r="L1" s="660"/>
      <c r="M1" s="668" t="s">
        <v>1791</v>
      </c>
      <c r="N1" s="660"/>
    </row>
    <row r="2" spans="1:14" ht="15.75" customHeight="1" x14ac:dyDescent="0.25">
      <c r="A2" s="671" t="s">
        <v>1027</v>
      </c>
      <c r="B2" s="670"/>
      <c r="C2" s="670"/>
      <c r="D2" s="670"/>
      <c r="E2" s="670"/>
      <c r="F2" s="660" t="s">
        <v>1026</v>
      </c>
      <c r="G2" s="660"/>
      <c r="H2" s="660"/>
      <c r="I2" s="660"/>
      <c r="J2" s="660"/>
      <c r="K2" s="660"/>
      <c r="L2" s="660"/>
      <c r="M2" s="668" t="s">
        <v>1790</v>
      </c>
      <c r="N2" s="660"/>
    </row>
    <row r="3" spans="1:14" ht="15.75" customHeight="1" x14ac:dyDescent="0.2">
      <c r="A3" s="669"/>
      <c r="B3" s="660"/>
      <c r="C3" s="660"/>
      <c r="D3" s="660"/>
      <c r="E3" s="660"/>
      <c r="F3" s="660"/>
      <c r="G3" s="660"/>
      <c r="H3" s="660"/>
      <c r="I3" s="660"/>
      <c r="J3" s="660"/>
      <c r="K3" s="660"/>
      <c r="L3" s="668"/>
      <c r="M3" s="668" t="s">
        <v>1789</v>
      </c>
      <c r="N3" s="660"/>
    </row>
    <row r="4" spans="1:14" ht="12.75" customHeight="1" x14ac:dyDescent="0.2">
      <c r="A4" s="660"/>
      <c r="B4" s="660"/>
      <c r="C4" s="660"/>
      <c r="D4" s="660"/>
      <c r="E4" s="660"/>
      <c r="F4" s="660"/>
      <c r="G4" s="660"/>
      <c r="H4" s="660"/>
      <c r="I4" s="660"/>
      <c r="J4" s="660"/>
      <c r="K4" s="660"/>
      <c r="L4" s="660"/>
      <c r="M4" s="667"/>
      <c r="N4" s="660"/>
    </row>
    <row r="5" spans="1:14" ht="50.25" x14ac:dyDescent="0.2">
      <c r="A5" s="3506" t="s">
        <v>1025</v>
      </c>
      <c r="B5" s="3503" t="s">
        <v>1024</v>
      </c>
      <c r="C5" s="3503" t="s">
        <v>1023</v>
      </c>
      <c r="D5" s="3503" t="s">
        <v>1022</v>
      </c>
      <c r="E5" s="3502" t="s">
        <v>1021</v>
      </c>
      <c r="F5" s="3502" t="s">
        <v>1020</v>
      </c>
      <c r="G5" s="3505" t="s">
        <v>1019</v>
      </c>
      <c r="H5" s="3503" t="s">
        <v>1018</v>
      </c>
      <c r="I5" s="3504" t="s">
        <v>1017</v>
      </c>
      <c r="J5" s="3503" t="s">
        <v>1016</v>
      </c>
      <c r="K5" s="3502" t="s">
        <v>1015</v>
      </c>
      <c r="L5" s="3502" t="s">
        <v>1014</v>
      </c>
      <c r="M5" s="3501" t="s">
        <v>1013</v>
      </c>
      <c r="N5" s="660"/>
    </row>
    <row r="6" spans="1:14" ht="14.25" customHeight="1" thickBot="1" x14ac:dyDescent="0.25">
      <c r="A6" s="666"/>
      <c r="B6" s="5431" t="s">
        <v>1011</v>
      </c>
      <c r="C6" s="5432"/>
      <c r="D6" s="5433"/>
      <c r="E6" s="5431" t="s">
        <v>1012</v>
      </c>
      <c r="F6" s="5432"/>
      <c r="G6" s="5433"/>
      <c r="H6" s="5431" t="s">
        <v>1011</v>
      </c>
      <c r="I6" s="5432"/>
      <c r="J6" s="5432"/>
      <c r="K6" s="5432"/>
      <c r="L6" s="5432"/>
      <c r="M6" s="5433"/>
      <c r="N6" s="660"/>
    </row>
    <row r="7" spans="1:14" ht="14.25" customHeight="1" thickTop="1" x14ac:dyDescent="0.2">
      <c r="A7" s="664" t="s">
        <v>1010</v>
      </c>
      <c r="B7" s="3495">
        <v>158.66375119844091</v>
      </c>
      <c r="C7" s="3495">
        <v>1.7891508800000001E-2</v>
      </c>
      <c r="D7" s="3495">
        <v>4.8720000000000002E-4</v>
      </c>
      <c r="E7" s="3497" t="s">
        <v>986</v>
      </c>
      <c r="F7" s="3497" t="s">
        <v>986</v>
      </c>
      <c r="G7" s="3497" t="s">
        <v>986</v>
      </c>
      <c r="H7" s="3497" t="s">
        <v>986</v>
      </c>
      <c r="I7" s="3497" t="s">
        <v>986</v>
      </c>
      <c r="J7" s="3495" t="s">
        <v>799</v>
      </c>
      <c r="K7" s="3495">
        <v>0.62522750839999996</v>
      </c>
      <c r="L7" s="3495">
        <v>25.152107411999999</v>
      </c>
      <c r="M7" s="3495" t="s">
        <v>799</v>
      </c>
      <c r="N7" s="660"/>
    </row>
    <row r="8" spans="1:14" ht="14.25" customHeight="1" x14ac:dyDescent="0.2">
      <c r="A8" s="3496" t="s">
        <v>1009</v>
      </c>
      <c r="B8" s="3495">
        <v>31.673164400000001</v>
      </c>
      <c r="C8" s="3495" t="s">
        <v>799</v>
      </c>
      <c r="D8" s="3495" t="s">
        <v>799</v>
      </c>
      <c r="E8" s="3497" t="s">
        <v>986</v>
      </c>
      <c r="F8" s="3497" t="s">
        <v>986</v>
      </c>
      <c r="G8" s="3497" t="s">
        <v>986</v>
      </c>
      <c r="H8" s="3497" t="s">
        <v>986</v>
      </c>
      <c r="I8" s="3497" t="s">
        <v>986</v>
      </c>
      <c r="J8" s="3500" t="s">
        <v>799</v>
      </c>
      <c r="K8" s="3500" t="s">
        <v>799</v>
      </c>
      <c r="L8" s="3500" t="s">
        <v>799</v>
      </c>
      <c r="M8" s="3500" t="s">
        <v>799</v>
      </c>
      <c r="N8" s="660"/>
    </row>
    <row r="9" spans="1:14" ht="14.25" customHeight="1" x14ac:dyDescent="0.2">
      <c r="A9" s="3496" t="s">
        <v>1008</v>
      </c>
      <c r="B9" s="3495">
        <v>59.073</v>
      </c>
      <c r="C9" s="3495">
        <v>2.4562999999999998E-3</v>
      </c>
      <c r="D9" s="3495">
        <v>4.8720000000000002E-4</v>
      </c>
      <c r="E9" s="3497" t="s">
        <v>986</v>
      </c>
      <c r="F9" s="3497" t="s">
        <v>986</v>
      </c>
      <c r="G9" s="3497" t="s">
        <v>986</v>
      </c>
      <c r="H9" s="3497" t="s">
        <v>986</v>
      </c>
      <c r="I9" s="3497" t="s">
        <v>986</v>
      </c>
      <c r="J9" s="3500" t="s">
        <v>799</v>
      </c>
      <c r="K9" s="3500">
        <v>0.20300000000000001</v>
      </c>
      <c r="L9" s="3500" t="s">
        <v>799</v>
      </c>
      <c r="M9" s="3500" t="s">
        <v>799</v>
      </c>
      <c r="N9" s="660"/>
    </row>
    <row r="10" spans="1:14" ht="13.5" customHeight="1" x14ac:dyDescent="0.2">
      <c r="A10" s="3499" t="s">
        <v>1007</v>
      </c>
      <c r="B10" s="3495">
        <v>67.917586798440922</v>
      </c>
      <c r="C10" s="3495">
        <v>1.5435208799999999E-2</v>
      </c>
      <c r="D10" s="3495" t="s">
        <v>799</v>
      </c>
      <c r="E10" s="3497" t="s">
        <v>986</v>
      </c>
      <c r="F10" s="3497" t="s">
        <v>986</v>
      </c>
      <c r="G10" s="3497" t="s">
        <v>986</v>
      </c>
      <c r="H10" s="3497" t="s">
        <v>986</v>
      </c>
      <c r="I10" s="3497" t="s">
        <v>986</v>
      </c>
      <c r="J10" s="3495" t="s">
        <v>799</v>
      </c>
      <c r="K10" s="3495">
        <v>0.42222750840000001</v>
      </c>
      <c r="L10" s="3495">
        <v>25.152107411999999</v>
      </c>
      <c r="M10" s="3495" t="s">
        <v>799</v>
      </c>
      <c r="N10" s="660"/>
    </row>
    <row r="11" spans="1:14" ht="12" customHeight="1" x14ac:dyDescent="0.2">
      <c r="A11" s="3498" t="s">
        <v>1005</v>
      </c>
      <c r="B11" s="3497" t="s">
        <v>986</v>
      </c>
      <c r="C11" s="3497" t="s">
        <v>986</v>
      </c>
      <c r="D11" s="3497" t="s">
        <v>986</v>
      </c>
      <c r="E11" s="3495" t="s">
        <v>259</v>
      </c>
      <c r="F11" s="3495">
        <v>1.10111</v>
      </c>
      <c r="G11" s="3495" t="s">
        <v>259</v>
      </c>
      <c r="H11" s="3495" t="s">
        <v>259</v>
      </c>
      <c r="I11" s="3495" t="s">
        <v>259</v>
      </c>
      <c r="J11" s="3497" t="s">
        <v>986</v>
      </c>
      <c r="K11" s="3497" t="s">
        <v>986</v>
      </c>
      <c r="L11" s="3497" t="s">
        <v>986</v>
      </c>
      <c r="M11" s="3497" t="s">
        <v>986</v>
      </c>
      <c r="N11" s="660"/>
    </row>
    <row r="12" spans="1:14" ht="12" customHeight="1" x14ac:dyDescent="0.2">
      <c r="A12" s="3496" t="s">
        <v>1004</v>
      </c>
      <c r="B12" s="3497" t="s">
        <v>986</v>
      </c>
      <c r="C12" s="3497" t="s">
        <v>986</v>
      </c>
      <c r="D12" s="3497" t="s">
        <v>986</v>
      </c>
      <c r="E12" s="3495" t="s">
        <v>259</v>
      </c>
      <c r="F12" s="3495" t="s">
        <v>259</v>
      </c>
      <c r="G12" s="3495" t="s">
        <v>259</v>
      </c>
      <c r="H12" s="3495" t="s">
        <v>259</v>
      </c>
      <c r="I12" s="3495" t="s">
        <v>259</v>
      </c>
      <c r="J12" s="3497" t="s">
        <v>986</v>
      </c>
      <c r="K12" s="3497" t="s">
        <v>986</v>
      </c>
      <c r="L12" s="3497" t="s">
        <v>986</v>
      </c>
      <c r="M12" s="3497" t="s">
        <v>986</v>
      </c>
      <c r="N12" s="660"/>
    </row>
    <row r="13" spans="1:14" ht="12" customHeight="1" x14ac:dyDescent="0.2">
      <c r="A13" s="3496" t="s">
        <v>1003</v>
      </c>
      <c r="B13" s="3497" t="s">
        <v>986</v>
      </c>
      <c r="C13" s="3497" t="s">
        <v>986</v>
      </c>
      <c r="D13" s="3497" t="s">
        <v>986</v>
      </c>
      <c r="E13" s="3495" t="s">
        <v>259</v>
      </c>
      <c r="F13" s="3495" t="s">
        <v>259</v>
      </c>
      <c r="G13" s="3495" t="s">
        <v>259</v>
      </c>
      <c r="H13" s="3495" t="s">
        <v>259</v>
      </c>
      <c r="I13" s="3495" t="s">
        <v>259</v>
      </c>
      <c r="J13" s="3497" t="s">
        <v>986</v>
      </c>
      <c r="K13" s="3497" t="s">
        <v>986</v>
      </c>
      <c r="L13" s="3497" t="s">
        <v>986</v>
      </c>
      <c r="M13" s="3497" t="s">
        <v>986</v>
      </c>
      <c r="N13" s="660"/>
    </row>
    <row r="14" spans="1:14" ht="12" customHeight="1" x14ac:dyDescent="0.2">
      <c r="A14" s="3496" t="s">
        <v>1002</v>
      </c>
      <c r="B14" s="3497" t="s">
        <v>986</v>
      </c>
      <c r="C14" s="3497" t="s">
        <v>986</v>
      </c>
      <c r="D14" s="3497" t="s">
        <v>986</v>
      </c>
      <c r="E14" s="3495" t="s">
        <v>259</v>
      </c>
      <c r="F14" s="3495" t="s">
        <v>259</v>
      </c>
      <c r="G14" s="3495" t="s">
        <v>259</v>
      </c>
      <c r="H14" s="3495" t="s">
        <v>259</v>
      </c>
      <c r="I14" s="3495" t="s">
        <v>259</v>
      </c>
      <c r="J14" s="3497" t="s">
        <v>986</v>
      </c>
      <c r="K14" s="3497" t="s">
        <v>986</v>
      </c>
      <c r="L14" s="3497" t="s">
        <v>986</v>
      </c>
      <c r="M14" s="3497" t="s">
        <v>986</v>
      </c>
      <c r="N14" s="660"/>
    </row>
    <row r="15" spans="1:14" ht="12" customHeight="1" x14ac:dyDescent="0.2">
      <c r="A15" s="3496" t="s">
        <v>1001</v>
      </c>
      <c r="B15" s="3497" t="s">
        <v>986</v>
      </c>
      <c r="C15" s="3497" t="s">
        <v>986</v>
      </c>
      <c r="D15" s="3497" t="s">
        <v>986</v>
      </c>
      <c r="E15" s="3495" t="s">
        <v>259</v>
      </c>
      <c r="F15" s="3495" t="s">
        <v>259</v>
      </c>
      <c r="G15" s="3495" t="s">
        <v>259</v>
      </c>
      <c r="H15" s="3495" t="s">
        <v>259</v>
      </c>
      <c r="I15" s="3495" t="s">
        <v>259</v>
      </c>
      <c r="J15" s="3497" t="s">
        <v>986</v>
      </c>
      <c r="K15" s="3497" t="s">
        <v>986</v>
      </c>
      <c r="L15" s="3497" t="s">
        <v>986</v>
      </c>
      <c r="M15" s="3497" t="s">
        <v>986</v>
      </c>
      <c r="N15" s="660"/>
    </row>
    <row r="16" spans="1:14" ht="12.75" customHeight="1" x14ac:dyDescent="0.2">
      <c r="A16" s="3496" t="s">
        <v>1000</v>
      </c>
      <c r="B16" s="3497" t="s">
        <v>986</v>
      </c>
      <c r="C16" s="3497" t="s">
        <v>986</v>
      </c>
      <c r="D16" s="3497" t="s">
        <v>986</v>
      </c>
      <c r="E16" s="3495" t="s">
        <v>259</v>
      </c>
      <c r="F16" s="3495">
        <v>1.10111</v>
      </c>
      <c r="G16" s="3495" t="s">
        <v>259</v>
      </c>
      <c r="H16" s="3495" t="s">
        <v>259</v>
      </c>
      <c r="I16" s="3495" t="s">
        <v>259</v>
      </c>
      <c r="J16" s="3497" t="s">
        <v>986</v>
      </c>
      <c r="K16" s="3497" t="s">
        <v>986</v>
      </c>
      <c r="L16" s="3497" t="s">
        <v>986</v>
      </c>
      <c r="M16" s="3497" t="s">
        <v>986</v>
      </c>
      <c r="N16" s="660"/>
    </row>
    <row r="17" spans="1:14" ht="14.25" x14ac:dyDescent="0.2">
      <c r="A17" s="665" t="s">
        <v>999</v>
      </c>
      <c r="B17" s="3497" t="s">
        <v>986</v>
      </c>
      <c r="C17" s="3497" t="s">
        <v>986</v>
      </c>
      <c r="D17" s="3497" t="s">
        <v>986</v>
      </c>
      <c r="E17" s="3495">
        <v>335.79478383318059</v>
      </c>
      <c r="F17" s="3495">
        <v>6.9670148750000001E-3</v>
      </c>
      <c r="G17" s="3495" t="s">
        <v>259</v>
      </c>
      <c r="H17" s="3495" t="s">
        <v>259</v>
      </c>
      <c r="I17" s="3495" t="s">
        <v>259</v>
      </c>
      <c r="J17" s="3497" t="s">
        <v>986</v>
      </c>
      <c r="K17" s="3497" t="s">
        <v>986</v>
      </c>
      <c r="L17" s="3497" t="s">
        <v>986</v>
      </c>
      <c r="M17" s="3497" t="s">
        <v>986</v>
      </c>
      <c r="N17" s="660"/>
    </row>
    <row r="18" spans="1:14" ht="12" customHeight="1" x14ac:dyDescent="0.2">
      <c r="A18" s="3496" t="s">
        <v>998</v>
      </c>
      <c r="B18" s="3497" t="s">
        <v>986</v>
      </c>
      <c r="C18" s="3497" t="s">
        <v>986</v>
      </c>
      <c r="D18" s="3497" t="s">
        <v>986</v>
      </c>
      <c r="E18" s="3495">
        <v>322.81658955886058</v>
      </c>
      <c r="F18" s="3495">
        <v>6.9670148750000001E-3</v>
      </c>
      <c r="G18" s="3495" t="s">
        <v>259</v>
      </c>
      <c r="H18" s="3495" t="s">
        <v>259</v>
      </c>
      <c r="I18" s="3495" t="s">
        <v>259</v>
      </c>
      <c r="J18" s="3497" t="s">
        <v>986</v>
      </c>
      <c r="K18" s="3497" t="s">
        <v>986</v>
      </c>
      <c r="L18" s="3497" t="s">
        <v>986</v>
      </c>
      <c r="M18" s="3497" t="s">
        <v>986</v>
      </c>
      <c r="N18" s="660"/>
    </row>
    <row r="19" spans="1:14" ht="12" customHeight="1" x14ac:dyDescent="0.2">
      <c r="A19" s="3496" t="s">
        <v>997</v>
      </c>
      <c r="B19" s="3497" t="s">
        <v>986</v>
      </c>
      <c r="C19" s="3497" t="s">
        <v>986</v>
      </c>
      <c r="D19" s="3497" t="s">
        <v>986</v>
      </c>
      <c r="E19" s="3495">
        <v>0.70754552999999998</v>
      </c>
      <c r="F19" s="3495" t="s">
        <v>259</v>
      </c>
      <c r="G19" s="3495" t="s">
        <v>259</v>
      </c>
      <c r="H19" s="3495" t="s">
        <v>259</v>
      </c>
      <c r="I19" s="3495" t="s">
        <v>259</v>
      </c>
      <c r="J19" s="3497" t="s">
        <v>986</v>
      </c>
      <c r="K19" s="3497" t="s">
        <v>986</v>
      </c>
      <c r="L19" s="3497" t="s">
        <v>986</v>
      </c>
      <c r="M19" s="3497" t="s">
        <v>986</v>
      </c>
      <c r="N19" s="660"/>
    </row>
    <row r="20" spans="1:14" ht="12" customHeight="1" x14ac:dyDescent="0.2">
      <c r="A20" s="3496" t="s">
        <v>996</v>
      </c>
      <c r="B20" s="3497" t="s">
        <v>986</v>
      </c>
      <c r="C20" s="3497" t="s">
        <v>986</v>
      </c>
      <c r="D20" s="3497" t="s">
        <v>986</v>
      </c>
      <c r="E20" s="3495" t="s">
        <v>259</v>
      </c>
      <c r="F20" s="3495" t="s">
        <v>259</v>
      </c>
      <c r="G20" s="3495" t="s">
        <v>259</v>
      </c>
      <c r="H20" s="3495" t="s">
        <v>259</v>
      </c>
      <c r="I20" s="3495" t="s">
        <v>259</v>
      </c>
      <c r="J20" s="3497" t="s">
        <v>986</v>
      </c>
      <c r="K20" s="3497" t="s">
        <v>986</v>
      </c>
      <c r="L20" s="3497" t="s">
        <v>986</v>
      </c>
      <c r="M20" s="3497" t="s">
        <v>986</v>
      </c>
      <c r="N20" s="660"/>
    </row>
    <row r="21" spans="1:14" ht="12" customHeight="1" x14ac:dyDescent="0.2">
      <c r="A21" s="3496" t="s">
        <v>995</v>
      </c>
      <c r="B21" s="3497" t="s">
        <v>986</v>
      </c>
      <c r="C21" s="3497" t="s">
        <v>986</v>
      </c>
      <c r="D21" s="3497" t="s">
        <v>986</v>
      </c>
      <c r="E21" s="3495">
        <v>12.270648744320001</v>
      </c>
      <c r="F21" s="3495" t="s">
        <v>259</v>
      </c>
      <c r="G21" s="3495" t="s">
        <v>259</v>
      </c>
      <c r="H21" s="3495" t="s">
        <v>259</v>
      </c>
      <c r="I21" s="3495" t="s">
        <v>259</v>
      </c>
      <c r="J21" s="3497" t="s">
        <v>986</v>
      </c>
      <c r="K21" s="3497" t="s">
        <v>986</v>
      </c>
      <c r="L21" s="3497" t="s">
        <v>986</v>
      </c>
      <c r="M21" s="3497" t="s">
        <v>986</v>
      </c>
      <c r="N21" s="660"/>
    </row>
    <row r="22" spans="1:14" ht="12" customHeight="1" x14ac:dyDescent="0.2">
      <c r="A22" s="3496" t="s">
        <v>994</v>
      </c>
      <c r="B22" s="3497" t="s">
        <v>986</v>
      </c>
      <c r="C22" s="3497" t="s">
        <v>986</v>
      </c>
      <c r="D22" s="3497" t="s">
        <v>986</v>
      </c>
      <c r="E22" s="3495" t="s">
        <v>259</v>
      </c>
      <c r="F22" s="3495" t="s">
        <v>259</v>
      </c>
      <c r="G22" s="3495" t="s">
        <v>259</v>
      </c>
      <c r="H22" s="3495" t="s">
        <v>259</v>
      </c>
      <c r="I22" s="3495" t="s">
        <v>259</v>
      </c>
      <c r="J22" s="3497" t="s">
        <v>986</v>
      </c>
      <c r="K22" s="3497" t="s">
        <v>986</v>
      </c>
      <c r="L22" s="3497" t="s">
        <v>986</v>
      </c>
      <c r="M22" s="3497" t="s">
        <v>986</v>
      </c>
      <c r="N22" s="660"/>
    </row>
    <row r="23" spans="1:14" ht="13.5" customHeight="1" x14ac:dyDescent="0.2">
      <c r="A23" s="3499" t="s">
        <v>993</v>
      </c>
      <c r="B23" s="3497" t="s">
        <v>986</v>
      </c>
      <c r="C23" s="3497" t="s">
        <v>986</v>
      </c>
      <c r="D23" s="3497" t="s">
        <v>986</v>
      </c>
      <c r="E23" s="3495" t="s">
        <v>259</v>
      </c>
      <c r="F23" s="3495" t="s">
        <v>259</v>
      </c>
      <c r="G23" s="3495" t="s">
        <v>259</v>
      </c>
      <c r="H23" s="3495" t="s">
        <v>259</v>
      </c>
      <c r="I23" s="3495" t="s">
        <v>259</v>
      </c>
      <c r="J23" s="3497" t="s">
        <v>986</v>
      </c>
      <c r="K23" s="3497" t="s">
        <v>986</v>
      </c>
      <c r="L23" s="3497" t="s">
        <v>986</v>
      </c>
      <c r="M23" s="3497" t="s">
        <v>986</v>
      </c>
      <c r="N23" s="660"/>
    </row>
    <row r="24" spans="1:14" ht="12.75" customHeight="1" x14ac:dyDescent="0.2">
      <c r="A24" s="3498" t="s">
        <v>992</v>
      </c>
      <c r="B24" s="3495">
        <v>0.18334539999999999</v>
      </c>
      <c r="C24" s="3495">
        <v>8.2278179000000007E-2</v>
      </c>
      <c r="D24" s="3495">
        <v>6.3350667469999997E-2</v>
      </c>
      <c r="E24" s="3495" t="s">
        <v>1006</v>
      </c>
      <c r="F24" s="3495" t="s">
        <v>1006</v>
      </c>
      <c r="G24" s="3495" t="s">
        <v>1006</v>
      </c>
      <c r="H24" s="3495">
        <v>3.1246195091699999E-3</v>
      </c>
      <c r="I24" s="3495" t="s">
        <v>1006</v>
      </c>
      <c r="J24" s="3495">
        <v>4.1869374000000001E-2</v>
      </c>
      <c r="K24" s="3495">
        <v>2.4120739050000002</v>
      </c>
      <c r="L24" s="3495">
        <v>6.0911041999999999E-2</v>
      </c>
      <c r="M24" s="3495">
        <v>4.1159603000000003E-2</v>
      </c>
      <c r="N24" s="660"/>
    </row>
    <row r="25" spans="1:14" ht="12.75" customHeight="1" x14ac:dyDescent="0.2">
      <c r="A25" s="3496" t="s">
        <v>991</v>
      </c>
      <c r="B25" s="3497" t="s">
        <v>986</v>
      </c>
      <c r="C25" s="3497" t="s">
        <v>986</v>
      </c>
      <c r="D25" s="3497" t="s">
        <v>986</v>
      </c>
      <c r="E25" s="3495" t="s">
        <v>259</v>
      </c>
      <c r="F25" s="3495" t="s">
        <v>259</v>
      </c>
      <c r="G25" s="3495" t="s">
        <v>259</v>
      </c>
      <c r="H25" s="3495">
        <v>5.5837744667000002E-4</v>
      </c>
      <c r="I25" s="3495" t="s">
        <v>259</v>
      </c>
      <c r="J25" s="3497" t="s">
        <v>986</v>
      </c>
      <c r="K25" s="3497" t="s">
        <v>986</v>
      </c>
      <c r="L25" s="3497" t="s">
        <v>986</v>
      </c>
      <c r="M25" s="3497" t="s">
        <v>986</v>
      </c>
      <c r="N25" s="660"/>
    </row>
    <row r="26" spans="1:14" ht="12.75" customHeight="1" x14ac:dyDescent="0.2">
      <c r="A26" s="3496" t="s">
        <v>990</v>
      </c>
      <c r="B26" s="3497" t="s">
        <v>986</v>
      </c>
      <c r="C26" s="3497" t="s">
        <v>986</v>
      </c>
      <c r="D26" s="3497" t="s">
        <v>986</v>
      </c>
      <c r="E26" s="3497" t="s">
        <v>986</v>
      </c>
      <c r="F26" s="3495" t="s">
        <v>259</v>
      </c>
      <c r="G26" s="3495" t="s">
        <v>986</v>
      </c>
      <c r="H26" s="3495">
        <v>2.5662420624999998E-3</v>
      </c>
      <c r="I26" s="3497" t="s">
        <v>986</v>
      </c>
      <c r="J26" s="3497" t="s">
        <v>986</v>
      </c>
      <c r="K26" s="3497" t="s">
        <v>986</v>
      </c>
      <c r="L26" s="3497" t="s">
        <v>986</v>
      </c>
      <c r="M26" s="3497" t="s">
        <v>986</v>
      </c>
      <c r="N26" s="660"/>
    </row>
    <row r="27" spans="1:14" ht="12.75" customHeight="1" x14ac:dyDescent="0.2">
      <c r="A27" s="3496" t="s">
        <v>989</v>
      </c>
      <c r="B27" s="3497" t="s">
        <v>986</v>
      </c>
      <c r="C27" s="3497" t="s">
        <v>986</v>
      </c>
      <c r="D27" s="3495">
        <v>5.4434999999999997E-2</v>
      </c>
      <c r="E27" s="3497" t="s">
        <v>986</v>
      </c>
      <c r="F27" s="3497" t="s">
        <v>986</v>
      </c>
      <c r="G27" s="3497" t="s">
        <v>986</v>
      </c>
      <c r="H27" s="3497" t="s">
        <v>986</v>
      </c>
      <c r="I27" s="3497" t="s">
        <v>986</v>
      </c>
      <c r="J27" s="3497" t="s">
        <v>986</v>
      </c>
      <c r="K27" s="3497" t="s">
        <v>986</v>
      </c>
      <c r="L27" s="3497" t="s">
        <v>986</v>
      </c>
      <c r="M27" s="3497" t="s">
        <v>986</v>
      </c>
      <c r="N27" s="660"/>
    </row>
    <row r="28" spans="1:14" ht="12.75" customHeight="1" x14ac:dyDescent="0.2">
      <c r="A28" s="3496" t="s">
        <v>988</v>
      </c>
      <c r="B28" s="3495">
        <v>0.18334539999999999</v>
      </c>
      <c r="C28" s="3495">
        <v>8.2278179000000007E-2</v>
      </c>
      <c r="D28" s="3495">
        <v>8.9156674699999994E-3</v>
      </c>
      <c r="E28" s="3495" t="s">
        <v>799</v>
      </c>
      <c r="F28" s="3495" t="s">
        <v>799</v>
      </c>
      <c r="G28" s="3495" t="s">
        <v>799</v>
      </c>
      <c r="H28" s="3495" t="s">
        <v>799</v>
      </c>
      <c r="I28" s="3495" t="s">
        <v>799</v>
      </c>
      <c r="J28" s="3495">
        <v>4.1869374000000001E-2</v>
      </c>
      <c r="K28" s="3495">
        <v>2.4120739050000002</v>
      </c>
      <c r="L28" s="3495">
        <v>6.0911041999999999E-2</v>
      </c>
      <c r="M28" s="3495">
        <v>4.1159603000000003E-2</v>
      </c>
      <c r="N28" s="660"/>
    </row>
    <row r="29" spans="1:14" ht="14.25" x14ac:dyDescent="0.2">
      <c r="A29" s="664" t="s">
        <v>987</v>
      </c>
      <c r="B29" s="3495" t="s">
        <v>986</v>
      </c>
      <c r="C29" s="3495" t="s">
        <v>986</v>
      </c>
      <c r="D29" s="3495" t="s">
        <v>986</v>
      </c>
      <c r="E29" s="3495" t="s">
        <v>799</v>
      </c>
      <c r="F29" s="3495" t="s">
        <v>799</v>
      </c>
      <c r="G29" s="3495" t="s">
        <v>799</v>
      </c>
      <c r="H29" s="3495" t="s">
        <v>799</v>
      </c>
      <c r="I29" s="3495" t="s">
        <v>799</v>
      </c>
      <c r="J29" s="3495" t="s">
        <v>986</v>
      </c>
      <c r="K29" s="3495" t="s">
        <v>986</v>
      </c>
      <c r="L29" s="3495">
        <v>2.4108510600000002</v>
      </c>
      <c r="M29" s="3495" t="s">
        <v>986</v>
      </c>
      <c r="N29" s="660"/>
    </row>
    <row r="30" spans="1:14" ht="12" customHeight="1" x14ac:dyDescent="0.2">
      <c r="A30" s="663"/>
      <c r="B30" s="663"/>
      <c r="C30" s="663"/>
      <c r="D30" s="663"/>
      <c r="E30" s="663"/>
      <c r="F30" s="663"/>
      <c r="G30" s="663"/>
      <c r="H30" s="663"/>
      <c r="I30" s="663"/>
      <c r="J30" s="663"/>
      <c r="K30" s="663"/>
      <c r="L30" s="663"/>
      <c r="M30" s="663"/>
      <c r="N30" s="660"/>
    </row>
    <row r="31" spans="1:14" x14ac:dyDescent="0.2">
      <c r="A31" s="5434" t="s">
        <v>985</v>
      </c>
      <c r="B31" s="5435"/>
      <c r="C31" s="5435"/>
      <c r="D31" s="5435"/>
      <c r="E31" s="5435"/>
      <c r="F31" s="5435"/>
      <c r="G31" s="5435"/>
      <c r="H31" s="5435"/>
      <c r="I31" s="5435"/>
      <c r="J31" s="5435"/>
      <c r="K31" s="5435"/>
      <c r="L31" s="5435"/>
      <c r="M31" s="5435"/>
      <c r="N31" s="660"/>
    </row>
    <row r="32" spans="1:14" ht="13.5" customHeight="1" x14ac:dyDescent="0.2">
      <c r="A32" s="662" t="s">
        <v>984</v>
      </c>
      <c r="B32" s="661"/>
      <c r="C32" s="661"/>
      <c r="D32" s="661"/>
      <c r="E32" s="661"/>
      <c r="F32" s="661"/>
      <c r="G32" s="661"/>
      <c r="H32" s="661"/>
      <c r="I32" s="661"/>
      <c r="J32" s="661"/>
      <c r="K32" s="661"/>
      <c r="L32" s="661"/>
      <c r="M32" s="661"/>
      <c r="N32" s="660"/>
    </row>
    <row r="33" spans="1:14" ht="13.5" customHeight="1" x14ac:dyDescent="0.2">
      <c r="A33" s="662" t="s">
        <v>983</v>
      </c>
      <c r="B33" s="662"/>
      <c r="C33" s="662"/>
      <c r="D33" s="662"/>
      <c r="E33" s="662"/>
      <c r="F33" s="662"/>
      <c r="G33" s="662"/>
      <c r="H33" s="662"/>
      <c r="I33" s="661"/>
      <c r="J33" s="661"/>
      <c r="K33" s="661"/>
      <c r="L33" s="661"/>
      <c r="M33" s="661"/>
      <c r="N33" s="660"/>
    </row>
    <row r="34" spans="1:14" ht="12.75" customHeight="1" x14ac:dyDescent="0.2">
      <c r="A34" s="660"/>
      <c r="B34" s="660"/>
      <c r="C34" s="660"/>
      <c r="D34" s="660"/>
      <c r="E34" s="660"/>
      <c r="F34" s="660"/>
      <c r="G34" s="660"/>
      <c r="H34" s="660"/>
      <c r="I34" s="660"/>
      <c r="J34" s="660"/>
      <c r="K34" s="660"/>
      <c r="L34" s="660"/>
      <c r="M34" s="660"/>
      <c r="N34" s="660"/>
    </row>
    <row r="35" spans="1:14" ht="12" customHeight="1" x14ac:dyDescent="0.2">
      <c r="A35" s="5698" t="s">
        <v>982</v>
      </c>
      <c r="B35" s="5699"/>
      <c r="C35" s="5699"/>
      <c r="D35" s="5699"/>
      <c r="E35" s="5699"/>
      <c r="F35" s="5699"/>
      <c r="G35" s="5699"/>
      <c r="H35" s="5699"/>
      <c r="I35" s="5699"/>
      <c r="J35" s="5699"/>
      <c r="K35" s="5699"/>
      <c r="L35" s="5699"/>
      <c r="M35" s="5700"/>
      <c r="N35" s="660"/>
    </row>
    <row r="36" spans="1:14" ht="26.25" customHeight="1" x14ac:dyDescent="0.2">
      <c r="A36" s="5427" t="s">
        <v>981</v>
      </c>
      <c r="B36" s="5428"/>
      <c r="C36" s="5428"/>
      <c r="D36" s="5428"/>
      <c r="E36" s="5428"/>
      <c r="F36" s="5428"/>
      <c r="G36" s="5428"/>
      <c r="H36" s="5428"/>
      <c r="I36" s="5428"/>
      <c r="J36" s="5428"/>
      <c r="K36" s="5428"/>
      <c r="L36" s="5428"/>
      <c r="M36" s="5429"/>
      <c r="N36" s="660"/>
    </row>
    <row r="37" spans="1:14" ht="12" customHeight="1" x14ac:dyDescent="0.2">
      <c r="A37" s="3494" t="s">
        <v>980</v>
      </c>
      <c r="B37" s="5696" t="s">
        <v>5197</v>
      </c>
      <c r="C37" s="5697"/>
      <c r="D37" s="5697"/>
      <c r="E37" s="5697"/>
      <c r="F37" s="5697"/>
      <c r="G37" s="5697"/>
      <c r="H37" s="5697"/>
      <c r="I37" s="5697"/>
      <c r="J37" s="5697"/>
      <c r="K37" s="5697"/>
      <c r="L37" s="5697"/>
      <c r="M37" s="5697"/>
      <c r="N37" s="660"/>
    </row>
  </sheetData>
  <sheetProtection password="A754" sheet="1" objects="1" scenarios="1"/>
  <mergeCells count="8">
    <mergeCell ref="B37:M37"/>
    <mergeCell ref="A36:M36"/>
    <mergeCell ref="A1:E1"/>
    <mergeCell ref="B6:D6"/>
    <mergeCell ref="E6:G6"/>
    <mergeCell ref="H6:M6"/>
    <mergeCell ref="A31:M31"/>
    <mergeCell ref="A35:M35"/>
  </mergeCells>
  <dataValidations count="1">
    <dataValidation allowBlank="1" showInputMessage="1" showErrorMessage="1" sqref="I38:N65533 O1:IV65533" xr:uid="{00000000-0002-0000-0F00-000000000000}"/>
  </dataValidations>
  <printOptions horizontalCentered="1" verticalCentered="1"/>
  <pageMargins left="0.39370078740157483" right="0.39370078740157483" top="0.39370078740157483" bottom="0.39370078740157483" header="0.19685039370078741" footer="0.19685039370078741"/>
  <pageSetup paperSize="9" scale="74"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6F7EF-4E32-44DD-84B7-3DEAF65305B7}">
  <sheetPr codeName="Ark38">
    <tabColor theme="0" tint="-0.249977111117893"/>
    <pageSetUpPr fitToPage="1"/>
  </sheetPr>
  <dimension ref="A1:N53"/>
  <sheetViews>
    <sheetView showGridLines="0" topLeftCell="D1" workbookViewId="0">
      <selection sqref="A1:G1"/>
    </sheetView>
  </sheetViews>
  <sheetFormatPr defaultColWidth="9.140625" defaultRowHeight="12" customHeight="1" x14ac:dyDescent="0.2"/>
  <cols>
    <col min="1" max="1" width="44.85546875" style="659" customWidth="1"/>
    <col min="2" max="2" width="31.5703125" style="659" customWidth="1"/>
    <col min="3" max="3" width="10.42578125" style="659" customWidth="1"/>
    <col min="4" max="4" width="13.140625" style="659" customWidth="1"/>
    <col min="5" max="6" width="12.140625" style="659" customWidth="1"/>
    <col min="7" max="7" width="13" style="659" customWidth="1"/>
    <col min="8" max="8" width="12" style="659" customWidth="1"/>
    <col min="9" max="9" width="14.7109375" style="659" customWidth="1"/>
    <col min="10" max="10" width="12.42578125" style="659" customWidth="1"/>
    <col min="11" max="11" width="13.85546875" style="659" customWidth="1"/>
    <col min="12" max="12" width="13" style="659" customWidth="1"/>
    <col min="13" max="13" width="1.28515625" style="659" customWidth="1"/>
    <col min="14" max="16384" width="9.140625" style="659"/>
  </cols>
  <sheetData>
    <row r="1" spans="1:14" ht="15.75" customHeight="1" x14ac:dyDescent="0.25">
      <c r="A1" s="5430" t="s">
        <v>1087</v>
      </c>
      <c r="B1" s="5430"/>
      <c r="C1" s="5430"/>
      <c r="D1" s="5430"/>
      <c r="E1" s="5430"/>
      <c r="F1" s="5430"/>
      <c r="G1" s="5430"/>
      <c r="H1" s="660"/>
      <c r="I1" s="660"/>
      <c r="J1" s="660"/>
      <c r="K1" s="660"/>
      <c r="L1" s="668" t="s">
        <v>1791</v>
      </c>
      <c r="M1" s="660"/>
      <c r="N1" s="660"/>
    </row>
    <row r="2" spans="1:14" ht="17.25" customHeight="1" x14ac:dyDescent="0.3">
      <c r="A2" s="671" t="s">
        <v>1086</v>
      </c>
      <c r="B2" s="670"/>
      <c r="C2" s="670"/>
      <c r="D2" s="670"/>
      <c r="E2" s="670"/>
      <c r="F2" s="670"/>
      <c r="G2" s="670"/>
      <c r="H2" s="660"/>
      <c r="I2" s="660"/>
      <c r="J2" s="660"/>
      <c r="K2" s="660"/>
      <c r="L2" s="668" t="s">
        <v>1790</v>
      </c>
      <c r="M2" s="660"/>
      <c r="N2" s="660"/>
    </row>
    <row r="3" spans="1:14" ht="15.75" customHeight="1" x14ac:dyDescent="0.25">
      <c r="A3" s="671" t="s">
        <v>1085</v>
      </c>
      <c r="B3" s="670"/>
      <c r="C3" s="670"/>
      <c r="D3" s="670"/>
      <c r="E3" s="670"/>
      <c r="F3" s="670"/>
      <c r="G3" s="670"/>
      <c r="H3" s="660"/>
      <c r="I3" s="660"/>
      <c r="J3" s="660"/>
      <c r="K3" s="668"/>
      <c r="L3" s="668" t="s">
        <v>1789</v>
      </c>
      <c r="M3" s="660"/>
      <c r="N3" s="660"/>
    </row>
    <row r="4" spans="1:14" ht="12.75" customHeight="1" x14ac:dyDescent="0.2">
      <c r="A4" s="677"/>
      <c r="B4" s="677"/>
      <c r="C4" s="661"/>
      <c r="D4" s="661"/>
      <c r="E4" s="661"/>
      <c r="F4" s="661"/>
      <c r="G4" s="661"/>
      <c r="H4" s="661"/>
      <c r="I4" s="661"/>
      <c r="J4" s="661"/>
      <c r="K4" s="661"/>
      <c r="L4" s="661"/>
      <c r="M4" s="660"/>
      <c r="N4" s="660"/>
    </row>
    <row r="5" spans="1:14" ht="14.25" customHeight="1" x14ac:dyDescent="0.2">
      <c r="A5" s="3518" t="s">
        <v>1084</v>
      </c>
      <c r="B5" s="5703" t="s">
        <v>1083</v>
      </c>
      <c r="C5" s="5704"/>
      <c r="D5" s="5703" t="s">
        <v>1082</v>
      </c>
      <c r="E5" s="5705"/>
      <c r="F5" s="5704"/>
      <c r="G5" s="5703" t="s">
        <v>1081</v>
      </c>
      <c r="H5" s="5705"/>
      <c r="I5" s="5705"/>
      <c r="J5" s="5705"/>
      <c r="K5" s="5705"/>
      <c r="L5" s="5704"/>
      <c r="M5" s="660"/>
      <c r="N5" s="660"/>
    </row>
    <row r="6" spans="1:14" ht="13.5" customHeight="1" x14ac:dyDescent="0.2">
      <c r="A6" s="676" t="s">
        <v>1080</v>
      </c>
      <c r="B6" s="5706" t="s">
        <v>1079</v>
      </c>
      <c r="C6" s="5707"/>
      <c r="D6" s="5708" t="s">
        <v>1024</v>
      </c>
      <c r="E6" s="5708" t="s">
        <v>1023</v>
      </c>
      <c r="F6" s="5708" t="s">
        <v>1022</v>
      </c>
      <c r="G6" s="5701" t="s">
        <v>1024</v>
      </c>
      <c r="H6" s="5702"/>
      <c r="I6" s="5701" t="s">
        <v>1023</v>
      </c>
      <c r="J6" s="5702"/>
      <c r="K6" s="5701" t="s">
        <v>1022</v>
      </c>
      <c r="L6" s="5702"/>
      <c r="M6" s="660"/>
      <c r="N6" s="660"/>
    </row>
    <row r="7" spans="1:14" ht="14.25" x14ac:dyDescent="0.2">
      <c r="A7" s="676"/>
      <c r="B7" s="5446"/>
      <c r="C7" s="5447"/>
      <c r="D7" s="5449"/>
      <c r="E7" s="5449"/>
      <c r="F7" s="5449"/>
      <c r="G7" s="3516" t="s">
        <v>1078</v>
      </c>
      <c r="H7" s="3517" t="s">
        <v>1077</v>
      </c>
      <c r="I7" s="3516" t="s">
        <v>1078</v>
      </c>
      <c r="J7" s="3517" t="s">
        <v>1077</v>
      </c>
      <c r="K7" s="3516" t="s">
        <v>1078</v>
      </c>
      <c r="L7" s="3515" t="s">
        <v>1077</v>
      </c>
      <c r="M7" s="660"/>
      <c r="N7" s="660"/>
    </row>
    <row r="8" spans="1:14" ht="15" customHeight="1" thickBot="1" x14ac:dyDescent="0.25">
      <c r="A8" s="675"/>
      <c r="B8" s="674" t="s">
        <v>1076</v>
      </c>
      <c r="C8" s="673" t="s">
        <v>1011</v>
      </c>
      <c r="D8" s="5450" t="s">
        <v>1075</v>
      </c>
      <c r="E8" s="5451"/>
      <c r="F8" s="5452"/>
      <c r="G8" s="5453" t="s">
        <v>1011</v>
      </c>
      <c r="H8" s="5454"/>
      <c r="I8" s="5454"/>
      <c r="J8" s="5454"/>
      <c r="K8" s="5454"/>
      <c r="L8" s="5455"/>
      <c r="M8" s="660"/>
      <c r="N8" s="660"/>
    </row>
    <row r="9" spans="1:14" ht="12.75" customHeight="1" thickTop="1" x14ac:dyDescent="0.2">
      <c r="A9" s="672" t="s">
        <v>1074</v>
      </c>
      <c r="B9" s="3497" t="s">
        <v>986</v>
      </c>
      <c r="C9" s="3497" t="s">
        <v>986</v>
      </c>
      <c r="D9" s="3497" t="s">
        <v>986</v>
      </c>
      <c r="E9" s="3497" t="s">
        <v>986</v>
      </c>
      <c r="F9" s="3497" t="s">
        <v>986</v>
      </c>
      <c r="G9" s="3507">
        <v>1249.9652661770201</v>
      </c>
      <c r="H9" s="3507" t="s">
        <v>259</v>
      </c>
      <c r="I9" s="3497" t="s">
        <v>986</v>
      </c>
      <c r="J9" s="3497" t="s">
        <v>986</v>
      </c>
      <c r="K9" s="3497" t="s">
        <v>986</v>
      </c>
      <c r="L9" s="3497" t="s">
        <v>986</v>
      </c>
      <c r="M9" s="660"/>
      <c r="N9" s="660"/>
    </row>
    <row r="10" spans="1:14" x14ac:dyDescent="0.2">
      <c r="A10" s="3509" t="s">
        <v>1073</v>
      </c>
      <c r="B10" s="3500" t="s">
        <v>1072</v>
      </c>
      <c r="C10" s="3500">
        <v>2146.3200000000002</v>
      </c>
      <c r="D10" s="3507">
        <v>0.52610934063885995</v>
      </c>
      <c r="E10" s="3497" t="s">
        <v>986</v>
      </c>
      <c r="F10" s="3497" t="s">
        <v>986</v>
      </c>
      <c r="G10" s="3500">
        <v>1129.1990000000001</v>
      </c>
      <c r="H10" s="3500" t="s">
        <v>259</v>
      </c>
      <c r="I10" s="3497" t="s">
        <v>986</v>
      </c>
      <c r="J10" s="3497" t="s">
        <v>986</v>
      </c>
      <c r="K10" s="3497" t="s">
        <v>986</v>
      </c>
      <c r="L10" s="3497" t="s">
        <v>986</v>
      </c>
      <c r="M10" s="660"/>
      <c r="N10" s="660"/>
    </row>
    <row r="11" spans="1:14" ht="12" customHeight="1" x14ac:dyDescent="0.2">
      <c r="A11" s="3509" t="s">
        <v>1071</v>
      </c>
      <c r="B11" s="3500" t="s">
        <v>1070</v>
      </c>
      <c r="C11" s="3500">
        <v>42.77</v>
      </c>
      <c r="D11" s="3507">
        <v>0.78770989010989001</v>
      </c>
      <c r="E11" s="3497" t="s">
        <v>986</v>
      </c>
      <c r="F11" s="3497" t="s">
        <v>986</v>
      </c>
      <c r="G11" s="3500">
        <v>33.690351999999997</v>
      </c>
      <c r="H11" s="3500" t="s">
        <v>259</v>
      </c>
      <c r="I11" s="3497" t="s">
        <v>986</v>
      </c>
      <c r="J11" s="3497" t="s">
        <v>986</v>
      </c>
      <c r="K11" s="3497" t="s">
        <v>986</v>
      </c>
      <c r="L11" s="3497" t="s">
        <v>986</v>
      </c>
      <c r="M11" s="660"/>
      <c r="N11" s="660"/>
    </row>
    <row r="12" spans="1:14" x14ac:dyDescent="0.2">
      <c r="A12" s="3509" t="s">
        <v>1069</v>
      </c>
      <c r="B12" s="3500" t="s">
        <v>1068</v>
      </c>
      <c r="C12" s="3500">
        <v>202.61799999999999</v>
      </c>
      <c r="D12" s="3507">
        <v>4.8184267932759997E-2</v>
      </c>
      <c r="E12" s="3497" t="s">
        <v>986</v>
      </c>
      <c r="F12" s="3497" t="s">
        <v>986</v>
      </c>
      <c r="G12" s="3500">
        <v>9.7629999999999999</v>
      </c>
      <c r="H12" s="3500" t="s">
        <v>259</v>
      </c>
      <c r="I12" s="3497" t="s">
        <v>986</v>
      </c>
      <c r="J12" s="3497" t="s">
        <v>986</v>
      </c>
      <c r="K12" s="3497" t="s">
        <v>986</v>
      </c>
      <c r="L12" s="3497" t="s">
        <v>986</v>
      </c>
      <c r="M12" s="660"/>
      <c r="N12" s="660"/>
    </row>
    <row r="13" spans="1:14" x14ac:dyDescent="0.2">
      <c r="A13" s="3509" t="s">
        <v>1067</v>
      </c>
      <c r="B13" s="3497" t="s">
        <v>986</v>
      </c>
      <c r="C13" s="3497" t="s">
        <v>986</v>
      </c>
      <c r="D13" s="3497" t="s">
        <v>986</v>
      </c>
      <c r="E13" s="3497" t="s">
        <v>986</v>
      </c>
      <c r="F13" s="3497" t="s">
        <v>986</v>
      </c>
      <c r="G13" s="3507">
        <v>77.312914177020005</v>
      </c>
      <c r="H13" s="3507" t="s">
        <v>259</v>
      </c>
      <c r="I13" s="3497" t="s">
        <v>986</v>
      </c>
      <c r="J13" s="3497" t="s">
        <v>986</v>
      </c>
      <c r="K13" s="3497" t="s">
        <v>986</v>
      </c>
      <c r="L13" s="3497" t="s">
        <v>986</v>
      </c>
      <c r="M13" s="660"/>
      <c r="N13" s="660"/>
    </row>
    <row r="14" spans="1:14" x14ac:dyDescent="0.2">
      <c r="A14" s="3510" t="s">
        <v>1066</v>
      </c>
      <c r="B14" s="3500" t="s">
        <v>1061</v>
      </c>
      <c r="C14" s="3500">
        <v>106.298</v>
      </c>
      <c r="D14" s="3507">
        <v>0.43970999999999999</v>
      </c>
      <c r="E14" s="3497" t="s">
        <v>986</v>
      </c>
      <c r="F14" s="3497" t="s">
        <v>986</v>
      </c>
      <c r="G14" s="3500">
        <v>46.740293579999999</v>
      </c>
      <c r="H14" s="3500" t="s">
        <v>259</v>
      </c>
      <c r="I14" s="3497" t="s">
        <v>986</v>
      </c>
      <c r="J14" s="3497" t="s">
        <v>986</v>
      </c>
      <c r="K14" s="3497" t="s">
        <v>986</v>
      </c>
      <c r="L14" s="3497" t="s">
        <v>986</v>
      </c>
      <c r="M14" s="660"/>
      <c r="N14" s="660"/>
    </row>
    <row r="15" spans="1:14" x14ac:dyDescent="0.2">
      <c r="A15" s="3510" t="s">
        <v>1065</v>
      </c>
      <c r="B15" s="3500" t="s">
        <v>1064</v>
      </c>
      <c r="C15" s="3500">
        <v>41.23</v>
      </c>
      <c r="D15" s="3507">
        <v>0.41492000000000001</v>
      </c>
      <c r="E15" s="3497" t="s">
        <v>986</v>
      </c>
      <c r="F15" s="3497" t="s">
        <v>986</v>
      </c>
      <c r="G15" s="3500">
        <v>17.107151600000002</v>
      </c>
      <c r="H15" s="3500" t="s">
        <v>259</v>
      </c>
      <c r="I15" s="3497" t="s">
        <v>986</v>
      </c>
      <c r="J15" s="3497" t="s">
        <v>986</v>
      </c>
      <c r="K15" s="3497" t="s">
        <v>986</v>
      </c>
      <c r="L15" s="3497" t="s">
        <v>986</v>
      </c>
      <c r="M15" s="660"/>
      <c r="N15" s="660"/>
    </row>
    <row r="16" spans="1:14" x14ac:dyDescent="0.2">
      <c r="A16" s="3511" t="s">
        <v>1063</v>
      </c>
      <c r="B16" s="3500" t="s">
        <v>1036</v>
      </c>
      <c r="C16" s="3500" t="s">
        <v>259</v>
      </c>
      <c r="D16" s="3507" t="s">
        <v>259</v>
      </c>
      <c r="E16" s="3497" t="s">
        <v>986</v>
      </c>
      <c r="F16" s="3497" t="s">
        <v>986</v>
      </c>
      <c r="G16" s="3500" t="s">
        <v>259</v>
      </c>
      <c r="H16" s="3500" t="s">
        <v>259</v>
      </c>
      <c r="I16" s="3497" t="s">
        <v>986</v>
      </c>
      <c r="J16" s="3497" t="s">
        <v>986</v>
      </c>
      <c r="K16" s="3497" t="s">
        <v>986</v>
      </c>
      <c r="L16" s="3497" t="s">
        <v>986</v>
      </c>
      <c r="M16" s="660"/>
      <c r="N16" s="660"/>
    </row>
    <row r="17" spans="1:14" x14ac:dyDescent="0.2">
      <c r="A17" s="3514" t="s">
        <v>1062</v>
      </c>
      <c r="B17" s="3500" t="s">
        <v>1061</v>
      </c>
      <c r="C17" s="3500">
        <v>30.622561999999999</v>
      </c>
      <c r="D17" s="3507">
        <v>0.43972378917936</v>
      </c>
      <c r="E17" s="3497" t="s">
        <v>986</v>
      </c>
      <c r="F17" s="3497" t="s">
        <v>986</v>
      </c>
      <c r="G17" s="3500">
        <v>13.46546899702</v>
      </c>
      <c r="H17" s="3500" t="s">
        <v>259</v>
      </c>
      <c r="I17" s="3497" t="s">
        <v>986</v>
      </c>
      <c r="J17" s="3497" t="s">
        <v>986</v>
      </c>
      <c r="K17" s="3497" t="s">
        <v>986</v>
      </c>
      <c r="L17" s="3497" t="s">
        <v>986</v>
      </c>
      <c r="M17" s="660"/>
      <c r="N17" s="660"/>
    </row>
    <row r="18" spans="1:14" x14ac:dyDescent="0.2">
      <c r="A18" s="3513" t="s">
        <v>1060</v>
      </c>
      <c r="B18" s="3497" t="s">
        <v>986</v>
      </c>
      <c r="C18" s="3497" t="s">
        <v>986</v>
      </c>
      <c r="D18" s="3497" t="s">
        <v>986</v>
      </c>
      <c r="E18" s="3497" t="s">
        <v>986</v>
      </c>
      <c r="F18" s="3497" t="s">
        <v>986</v>
      </c>
      <c r="G18" s="3507">
        <v>1.4913562</v>
      </c>
      <c r="H18" s="3507" t="s">
        <v>1006</v>
      </c>
      <c r="I18" s="3507" t="s">
        <v>1006</v>
      </c>
      <c r="J18" s="3507" t="s">
        <v>1006</v>
      </c>
      <c r="K18" s="3507" t="s">
        <v>1006</v>
      </c>
      <c r="L18" s="3507" t="s">
        <v>1006</v>
      </c>
      <c r="M18" s="660"/>
      <c r="N18" s="660"/>
    </row>
    <row r="19" spans="1:14" ht="12" customHeight="1" x14ac:dyDescent="0.2">
      <c r="A19" s="3509" t="s">
        <v>1059</v>
      </c>
      <c r="B19" s="3500" t="s">
        <v>1047</v>
      </c>
      <c r="C19" s="3500" t="s">
        <v>259</v>
      </c>
      <c r="D19" s="3507" t="s">
        <v>259</v>
      </c>
      <c r="E19" s="3507" t="s">
        <v>259</v>
      </c>
      <c r="F19" s="3507" t="s">
        <v>259</v>
      </c>
      <c r="G19" s="3500" t="s">
        <v>259</v>
      </c>
      <c r="H19" s="3500" t="s">
        <v>259</v>
      </c>
      <c r="I19" s="3500" t="s">
        <v>259</v>
      </c>
      <c r="J19" s="3500" t="s">
        <v>259</v>
      </c>
      <c r="K19" s="3500" t="s">
        <v>259</v>
      </c>
      <c r="L19" s="3500" t="s">
        <v>259</v>
      </c>
      <c r="M19" s="660"/>
      <c r="N19" s="660"/>
    </row>
    <row r="20" spans="1:14" ht="13.5" customHeight="1" x14ac:dyDescent="0.2">
      <c r="A20" s="3509" t="s">
        <v>1058</v>
      </c>
      <c r="B20" s="3500" t="s">
        <v>1036</v>
      </c>
      <c r="C20" s="3500" t="s">
        <v>259</v>
      </c>
      <c r="D20" s="3497" t="s">
        <v>986</v>
      </c>
      <c r="E20" s="3497" t="s">
        <v>986</v>
      </c>
      <c r="F20" s="3507" t="s">
        <v>259</v>
      </c>
      <c r="G20" s="3497" t="s">
        <v>986</v>
      </c>
      <c r="H20" s="3497" t="s">
        <v>986</v>
      </c>
      <c r="I20" s="3497" t="s">
        <v>986</v>
      </c>
      <c r="J20" s="3497" t="s">
        <v>986</v>
      </c>
      <c r="K20" s="3500" t="s">
        <v>259</v>
      </c>
      <c r="L20" s="3500" t="s">
        <v>259</v>
      </c>
      <c r="M20" s="660"/>
      <c r="N20" s="660"/>
    </row>
    <row r="21" spans="1:14" ht="12" customHeight="1" x14ac:dyDescent="0.2">
      <c r="A21" s="3509" t="s">
        <v>1057</v>
      </c>
      <c r="B21" s="3500" t="s">
        <v>1036</v>
      </c>
      <c r="C21" s="3500" t="s">
        <v>259</v>
      </c>
      <c r="D21" s="3507" t="s">
        <v>259</v>
      </c>
      <c r="E21" s="3497" t="s">
        <v>986</v>
      </c>
      <c r="F21" s="3507" t="s">
        <v>259</v>
      </c>
      <c r="G21" s="3500" t="s">
        <v>259</v>
      </c>
      <c r="H21" s="3500" t="s">
        <v>259</v>
      </c>
      <c r="I21" s="3497" t="s">
        <v>986</v>
      </c>
      <c r="J21" s="3497" t="s">
        <v>986</v>
      </c>
      <c r="K21" s="3500" t="s">
        <v>259</v>
      </c>
      <c r="L21" s="3500" t="s">
        <v>259</v>
      </c>
      <c r="M21" s="660"/>
      <c r="N21" s="660"/>
    </row>
    <row r="22" spans="1:14" ht="11.25" customHeight="1" x14ac:dyDescent="0.2">
      <c r="A22" s="3512" t="s">
        <v>1056</v>
      </c>
      <c r="B22" s="3497" t="s">
        <v>986</v>
      </c>
      <c r="C22" s="3497" t="s">
        <v>986</v>
      </c>
      <c r="D22" s="3497" t="s">
        <v>986</v>
      </c>
      <c r="E22" s="3497" t="s">
        <v>986</v>
      </c>
      <c r="F22" s="3497" t="s">
        <v>986</v>
      </c>
      <c r="G22" s="3507" t="s">
        <v>259</v>
      </c>
      <c r="H22" s="3507" t="s">
        <v>259</v>
      </c>
      <c r="I22" s="3497" t="s">
        <v>986</v>
      </c>
      <c r="J22" s="3497" t="s">
        <v>986</v>
      </c>
      <c r="K22" s="3507" t="s">
        <v>259</v>
      </c>
      <c r="L22" s="3507" t="s">
        <v>259</v>
      </c>
      <c r="M22" s="660"/>
      <c r="N22" s="660"/>
    </row>
    <row r="23" spans="1:14" ht="12" customHeight="1" x14ac:dyDescent="0.2">
      <c r="A23" s="3510" t="s">
        <v>1055</v>
      </c>
      <c r="B23" s="3500" t="s">
        <v>1036</v>
      </c>
      <c r="C23" s="3500" t="s">
        <v>259</v>
      </c>
      <c r="D23" s="3507" t="s">
        <v>259</v>
      </c>
      <c r="E23" s="3497" t="s">
        <v>986</v>
      </c>
      <c r="F23" s="3507" t="s">
        <v>259</v>
      </c>
      <c r="G23" s="3500" t="s">
        <v>259</v>
      </c>
      <c r="H23" s="3500" t="s">
        <v>259</v>
      </c>
      <c r="I23" s="3497" t="s">
        <v>986</v>
      </c>
      <c r="J23" s="3497" t="s">
        <v>986</v>
      </c>
      <c r="K23" s="3500" t="s">
        <v>259</v>
      </c>
      <c r="L23" s="3500" t="s">
        <v>259</v>
      </c>
      <c r="M23" s="660"/>
      <c r="N23" s="660"/>
    </row>
    <row r="24" spans="1:14" ht="12" customHeight="1" x14ac:dyDescent="0.2">
      <c r="A24" s="3510" t="s">
        <v>1054</v>
      </c>
      <c r="B24" s="3500" t="s">
        <v>1036</v>
      </c>
      <c r="C24" s="3500" t="s">
        <v>259</v>
      </c>
      <c r="D24" s="3507" t="s">
        <v>259</v>
      </c>
      <c r="E24" s="3497" t="s">
        <v>986</v>
      </c>
      <c r="F24" s="3507" t="s">
        <v>259</v>
      </c>
      <c r="G24" s="3500" t="s">
        <v>259</v>
      </c>
      <c r="H24" s="3500" t="s">
        <v>259</v>
      </c>
      <c r="I24" s="3497" t="s">
        <v>986</v>
      </c>
      <c r="J24" s="3497" t="s">
        <v>986</v>
      </c>
      <c r="K24" s="3500" t="s">
        <v>259</v>
      </c>
      <c r="L24" s="3500" t="s">
        <v>259</v>
      </c>
      <c r="M24" s="660"/>
      <c r="N24" s="660"/>
    </row>
    <row r="25" spans="1:14" ht="12" customHeight="1" x14ac:dyDescent="0.2">
      <c r="A25" s="3510" t="s">
        <v>1053</v>
      </c>
      <c r="B25" s="3500" t="s">
        <v>1036</v>
      </c>
      <c r="C25" s="3500" t="s">
        <v>259</v>
      </c>
      <c r="D25" s="3507" t="s">
        <v>259</v>
      </c>
      <c r="E25" s="3497" t="s">
        <v>986</v>
      </c>
      <c r="F25" s="3507" t="s">
        <v>259</v>
      </c>
      <c r="G25" s="3500" t="s">
        <v>259</v>
      </c>
      <c r="H25" s="3500" t="s">
        <v>259</v>
      </c>
      <c r="I25" s="3497" t="s">
        <v>986</v>
      </c>
      <c r="J25" s="3497" t="s">
        <v>986</v>
      </c>
      <c r="K25" s="3500" t="s">
        <v>259</v>
      </c>
      <c r="L25" s="3500" t="s">
        <v>259</v>
      </c>
      <c r="M25" s="660"/>
      <c r="N25" s="660"/>
    </row>
    <row r="26" spans="1:14" ht="12" customHeight="1" x14ac:dyDescent="0.2">
      <c r="A26" s="3509" t="s">
        <v>1052</v>
      </c>
      <c r="B26" s="3500" t="s">
        <v>1036</v>
      </c>
      <c r="C26" s="3500" t="s">
        <v>259</v>
      </c>
      <c r="D26" s="3507" t="s">
        <v>259</v>
      </c>
      <c r="E26" s="3507" t="s">
        <v>259</v>
      </c>
      <c r="F26" s="3497" t="s">
        <v>986</v>
      </c>
      <c r="G26" s="3507" t="s">
        <v>259</v>
      </c>
      <c r="H26" s="3507" t="s">
        <v>259</v>
      </c>
      <c r="I26" s="3507" t="s">
        <v>259</v>
      </c>
      <c r="J26" s="3507" t="s">
        <v>259</v>
      </c>
      <c r="K26" s="3497" t="s">
        <v>986</v>
      </c>
      <c r="L26" s="3497" t="s">
        <v>986</v>
      </c>
      <c r="M26" s="660"/>
      <c r="N26" s="660"/>
    </row>
    <row r="27" spans="1:14" ht="12" customHeight="1" x14ac:dyDescent="0.2">
      <c r="A27" s="3510" t="s">
        <v>1051</v>
      </c>
      <c r="B27" s="3500" t="s">
        <v>1036</v>
      </c>
      <c r="C27" s="3500" t="s">
        <v>259</v>
      </c>
      <c r="D27" s="3507" t="s">
        <v>259</v>
      </c>
      <c r="E27" s="3507" t="s">
        <v>259</v>
      </c>
      <c r="F27" s="3497" t="s">
        <v>986</v>
      </c>
      <c r="G27" s="3500" t="s">
        <v>259</v>
      </c>
      <c r="H27" s="3500" t="s">
        <v>259</v>
      </c>
      <c r="I27" s="3500" t="s">
        <v>259</v>
      </c>
      <c r="J27" s="3500" t="s">
        <v>259</v>
      </c>
      <c r="K27" s="3497" t="s">
        <v>986</v>
      </c>
      <c r="L27" s="3497" t="s">
        <v>986</v>
      </c>
      <c r="M27" s="660"/>
      <c r="N27" s="660"/>
    </row>
    <row r="28" spans="1:14" ht="12" customHeight="1" x14ac:dyDescent="0.2">
      <c r="A28" s="3510" t="s">
        <v>1050</v>
      </c>
      <c r="B28" s="3500" t="s">
        <v>1036</v>
      </c>
      <c r="C28" s="3500" t="s">
        <v>259</v>
      </c>
      <c r="D28" s="3507" t="s">
        <v>259</v>
      </c>
      <c r="E28" s="3507" t="s">
        <v>259</v>
      </c>
      <c r="F28" s="3497" t="s">
        <v>986</v>
      </c>
      <c r="G28" s="3500" t="s">
        <v>259</v>
      </c>
      <c r="H28" s="3500" t="s">
        <v>259</v>
      </c>
      <c r="I28" s="3500" t="s">
        <v>259</v>
      </c>
      <c r="J28" s="3500" t="s">
        <v>259</v>
      </c>
      <c r="K28" s="3497" t="s">
        <v>986</v>
      </c>
      <c r="L28" s="3497" t="s">
        <v>986</v>
      </c>
      <c r="M28" s="660"/>
      <c r="N28" s="660"/>
    </row>
    <row r="29" spans="1:14" ht="12" customHeight="1" x14ac:dyDescent="0.2">
      <c r="A29" s="3509" t="s">
        <v>1049</v>
      </c>
      <c r="B29" s="3500" t="s">
        <v>1036</v>
      </c>
      <c r="C29" s="3500" t="s">
        <v>259</v>
      </c>
      <c r="D29" s="3507" t="s">
        <v>259</v>
      </c>
      <c r="E29" s="3497" t="s">
        <v>986</v>
      </c>
      <c r="F29" s="3497" t="s">
        <v>986</v>
      </c>
      <c r="G29" s="3500" t="s">
        <v>259</v>
      </c>
      <c r="H29" s="3500" t="s">
        <v>259</v>
      </c>
      <c r="I29" s="3497" t="s">
        <v>986</v>
      </c>
      <c r="J29" s="3497" t="s">
        <v>986</v>
      </c>
      <c r="K29" s="3497" t="s">
        <v>986</v>
      </c>
      <c r="L29" s="3497" t="s">
        <v>986</v>
      </c>
      <c r="M29" s="660"/>
      <c r="N29" s="660"/>
    </row>
    <row r="30" spans="1:14" ht="12" customHeight="1" x14ac:dyDescent="0.2">
      <c r="A30" s="3509" t="s">
        <v>1048</v>
      </c>
      <c r="B30" s="3500" t="s">
        <v>1047</v>
      </c>
      <c r="C30" s="3500" t="s">
        <v>259</v>
      </c>
      <c r="D30" s="3507" t="s">
        <v>259</v>
      </c>
      <c r="E30" s="3497" t="s">
        <v>986</v>
      </c>
      <c r="F30" s="3497" t="s">
        <v>986</v>
      </c>
      <c r="G30" s="3500" t="s">
        <v>259</v>
      </c>
      <c r="H30" s="3500" t="s">
        <v>259</v>
      </c>
      <c r="I30" s="3497" t="s">
        <v>986</v>
      </c>
      <c r="J30" s="3497" t="s">
        <v>986</v>
      </c>
      <c r="K30" s="3497" t="s">
        <v>986</v>
      </c>
      <c r="L30" s="3497" t="s">
        <v>986</v>
      </c>
      <c r="M30" s="660"/>
      <c r="N30" s="660"/>
    </row>
    <row r="31" spans="1:14" ht="12" customHeight="1" x14ac:dyDescent="0.2">
      <c r="A31" s="3509" t="s">
        <v>1046</v>
      </c>
      <c r="B31" s="3497" t="s">
        <v>986</v>
      </c>
      <c r="C31" s="3497" t="s">
        <v>986</v>
      </c>
      <c r="D31" s="3497" t="s">
        <v>986</v>
      </c>
      <c r="E31" s="3497" t="s">
        <v>986</v>
      </c>
      <c r="F31" s="3497" t="s">
        <v>986</v>
      </c>
      <c r="G31" s="3507" t="s">
        <v>259</v>
      </c>
      <c r="H31" s="3507" t="s">
        <v>259</v>
      </c>
      <c r="I31" s="3507" t="s">
        <v>259</v>
      </c>
      <c r="J31" s="3507" t="s">
        <v>259</v>
      </c>
      <c r="K31" s="3497" t="s">
        <v>986</v>
      </c>
      <c r="L31" s="3497" t="s">
        <v>986</v>
      </c>
      <c r="M31" s="660"/>
      <c r="N31" s="660"/>
    </row>
    <row r="32" spans="1:14" ht="12" customHeight="1" x14ac:dyDescent="0.2">
      <c r="A32" s="3510" t="s">
        <v>1045</v>
      </c>
      <c r="B32" s="3500" t="s">
        <v>1036</v>
      </c>
      <c r="C32" s="3500" t="s">
        <v>259</v>
      </c>
      <c r="D32" s="3507" t="s">
        <v>259</v>
      </c>
      <c r="E32" s="3507" t="s">
        <v>259</v>
      </c>
      <c r="F32" s="3497" t="s">
        <v>986</v>
      </c>
      <c r="G32" s="3500" t="s">
        <v>259</v>
      </c>
      <c r="H32" s="3500" t="s">
        <v>259</v>
      </c>
      <c r="I32" s="3500" t="s">
        <v>259</v>
      </c>
      <c r="J32" s="3500" t="s">
        <v>259</v>
      </c>
      <c r="K32" s="3497" t="s">
        <v>986</v>
      </c>
      <c r="L32" s="3497" t="s">
        <v>986</v>
      </c>
      <c r="M32" s="660"/>
      <c r="N32" s="660"/>
    </row>
    <row r="33" spans="1:14" ht="12" customHeight="1" x14ac:dyDescent="0.2">
      <c r="A33" s="3510" t="s">
        <v>1044</v>
      </c>
      <c r="B33" s="3500" t="s">
        <v>1036</v>
      </c>
      <c r="C33" s="3500" t="s">
        <v>259</v>
      </c>
      <c r="D33" s="3507" t="s">
        <v>259</v>
      </c>
      <c r="E33" s="3507" t="s">
        <v>259</v>
      </c>
      <c r="F33" s="3497" t="s">
        <v>986</v>
      </c>
      <c r="G33" s="3500" t="s">
        <v>259</v>
      </c>
      <c r="H33" s="3500" t="s">
        <v>259</v>
      </c>
      <c r="I33" s="3500" t="s">
        <v>259</v>
      </c>
      <c r="J33" s="3500" t="s">
        <v>259</v>
      </c>
      <c r="K33" s="3497" t="s">
        <v>986</v>
      </c>
      <c r="L33" s="3497" t="s">
        <v>986</v>
      </c>
      <c r="M33" s="660"/>
      <c r="N33" s="660"/>
    </row>
    <row r="34" spans="1:14" ht="17.25" customHeight="1" x14ac:dyDescent="0.2">
      <c r="A34" s="3511" t="s">
        <v>1043</v>
      </c>
      <c r="B34" s="3500" t="s">
        <v>1036</v>
      </c>
      <c r="C34" s="3500" t="s">
        <v>259</v>
      </c>
      <c r="D34" s="3507" t="s">
        <v>259</v>
      </c>
      <c r="E34" s="3507" t="s">
        <v>259</v>
      </c>
      <c r="F34" s="3497" t="s">
        <v>986</v>
      </c>
      <c r="G34" s="3500" t="s">
        <v>259</v>
      </c>
      <c r="H34" s="3500" t="s">
        <v>259</v>
      </c>
      <c r="I34" s="3500" t="s">
        <v>259</v>
      </c>
      <c r="J34" s="3500" t="s">
        <v>259</v>
      </c>
      <c r="K34" s="3497" t="s">
        <v>986</v>
      </c>
      <c r="L34" s="3497" t="s">
        <v>986</v>
      </c>
      <c r="M34" s="660"/>
      <c r="N34" s="660"/>
    </row>
    <row r="35" spans="1:14" ht="12" customHeight="1" x14ac:dyDescent="0.2">
      <c r="A35" s="3510" t="s">
        <v>1042</v>
      </c>
      <c r="B35" s="3500" t="s">
        <v>1036</v>
      </c>
      <c r="C35" s="3500" t="s">
        <v>259</v>
      </c>
      <c r="D35" s="3507" t="s">
        <v>259</v>
      </c>
      <c r="E35" s="3507" t="s">
        <v>259</v>
      </c>
      <c r="F35" s="3497" t="s">
        <v>986</v>
      </c>
      <c r="G35" s="3500" t="s">
        <v>259</v>
      </c>
      <c r="H35" s="3500" t="s">
        <v>259</v>
      </c>
      <c r="I35" s="3500" t="s">
        <v>259</v>
      </c>
      <c r="J35" s="3500" t="s">
        <v>259</v>
      </c>
      <c r="K35" s="3497" t="s">
        <v>986</v>
      </c>
      <c r="L35" s="3497" t="s">
        <v>986</v>
      </c>
      <c r="M35" s="660"/>
      <c r="N35" s="660"/>
    </row>
    <row r="36" spans="1:14" ht="12" customHeight="1" x14ac:dyDescent="0.2">
      <c r="A36" s="3510" t="s">
        <v>1041</v>
      </c>
      <c r="B36" s="3500" t="s">
        <v>1036</v>
      </c>
      <c r="C36" s="3500" t="s">
        <v>259</v>
      </c>
      <c r="D36" s="3507" t="s">
        <v>259</v>
      </c>
      <c r="E36" s="3507" t="s">
        <v>259</v>
      </c>
      <c r="F36" s="3497" t="s">
        <v>986</v>
      </c>
      <c r="G36" s="3500" t="s">
        <v>259</v>
      </c>
      <c r="H36" s="3500" t="s">
        <v>259</v>
      </c>
      <c r="I36" s="3500" t="s">
        <v>259</v>
      </c>
      <c r="J36" s="3500" t="s">
        <v>259</v>
      </c>
      <c r="K36" s="3497" t="s">
        <v>986</v>
      </c>
      <c r="L36" s="3497" t="s">
        <v>986</v>
      </c>
      <c r="M36" s="660"/>
      <c r="N36" s="660"/>
    </row>
    <row r="37" spans="1:14" ht="12" customHeight="1" x14ac:dyDescent="0.2">
      <c r="A37" s="3510" t="s">
        <v>1040</v>
      </c>
      <c r="B37" s="3500" t="s">
        <v>1036</v>
      </c>
      <c r="C37" s="3500" t="s">
        <v>259</v>
      </c>
      <c r="D37" s="3507" t="s">
        <v>259</v>
      </c>
      <c r="E37" s="3507" t="s">
        <v>259</v>
      </c>
      <c r="F37" s="3497" t="s">
        <v>986</v>
      </c>
      <c r="G37" s="3500" t="s">
        <v>259</v>
      </c>
      <c r="H37" s="3500" t="s">
        <v>259</v>
      </c>
      <c r="I37" s="3500" t="s">
        <v>259</v>
      </c>
      <c r="J37" s="3500" t="s">
        <v>259</v>
      </c>
      <c r="K37" s="3497" t="s">
        <v>986</v>
      </c>
      <c r="L37" s="3497" t="s">
        <v>986</v>
      </c>
      <c r="M37" s="660"/>
      <c r="N37" s="660"/>
    </row>
    <row r="38" spans="1:14" ht="12" customHeight="1" x14ac:dyDescent="0.2">
      <c r="A38" s="3510" t="s">
        <v>1039</v>
      </c>
      <c r="B38" s="3497" t="s">
        <v>986</v>
      </c>
      <c r="C38" s="3497" t="s">
        <v>986</v>
      </c>
      <c r="D38" s="3497" t="s">
        <v>986</v>
      </c>
      <c r="E38" s="3497" t="s">
        <v>986</v>
      </c>
      <c r="F38" s="3497" t="s">
        <v>986</v>
      </c>
      <c r="G38" s="3507" t="s">
        <v>259</v>
      </c>
      <c r="H38" s="3507" t="s">
        <v>259</v>
      </c>
      <c r="I38" s="3507" t="s">
        <v>259</v>
      </c>
      <c r="J38" s="3507" t="s">
        <v>259</v>
      </c>
      <c r="K38" s="3497" t="s">
        <v>986</v>
      </c>
      <c r="L38" s="3497" t="s">
        <v>986</v>
      </c>
      <c r="M38" s="660"/>
      <c r="N38" s="660"/>
    </row>
    <row r="39" spans="1:14" ht="12" customHeight="1" x14ac:dyDescent="0.2">
      <c r="A39" s="3509" t="s">
        <v>1038</v>
      </c>
      <c r="B39" s="3497" t="s">
        <v>986</v>
      </c>
      <c r="C39" s="3497" t="s">
        <v>986</v>
      </c>
      <c r="D39" s="3497" t="s">
        <v>986</v>
      </c>
      <c r="E39" s="3497" t="s">
        <v>986</v>
      </c>
      <c r="F39" s="3497" t="s">
        <v>986</v>
      </c>
      <c r="G39" s="3507">
        <v>1.4913562</v>
      </c>
      <c r="H39" s="3507" t="s">
        <v>799</v>
      </c>
      <c r="I39" s="3507" t="s">
        <v>799</v>
      </c>
      <c r="J39" s="3507" t="s">
        <v>799</v>
      </c>
      <c r="K39" s="3507" t="s">
        <v>799</v>
      </c>
      <c r="L39" s="3507" t="s">
        <v>799</v>
      </c>
      <c r="M39" s="660"/>
      <c r="N39" s="660"/>
    </row>
    <row r="40" spans="1:14" ht="12" customHeight="1" x14ac:dyDescent="0.2">
      <c r="A40" s="3508" t="s">
        <v>1037</v>
      </c>
      <c r="B40" s="3500" t="s">
        <v>1036</v>
      </c>
      <c r="C40" s="3500">
        <v>61.881999999999998</v>
      </c>
      <c r="D40" s="3507">
        <v>2.41E-2</v>
      </c>
      <c r="E40" s="3507" t="s">
        <v>799</v>
      </c>
      <c r="F40" s="3507" t="s">
        <v>799</v>
      </c>
      <c r="G40" s="3500">
        <v>1.4913562</v>
      </c>
      <c r="H40" s="3500" t="s">
        <v>799</v>
      </c>
      <c r="I40" s="3500" t="s">
        <v>799</v>
      </c>
      <c r="J40" s="3500" t="s">
        <v>799</v>
      </c>
      <c r="K40" s="3500" t="s">
        <v>799</v>
      </c>
      <c r="L40" s="3500" t="s">
        <v>799</v>
      </c>
      <c r="M40" s="660"/>
      <c r="N40" s="660"/>
    </row>
    <row r="41" spans="1:14" ht="12" customHeight="1" x14ac:dyDescent="0.2">
      <c r="A41" s="663"/>
      <c r="B41" s="663"/>
      <c r="C41" s="663"/>
      <c r="D41" s="663"/>
      <c r="E41" s="663"/>
      <c r="F41" s="663"/>
      <c r="G41" s="663"/>
      <c r="H41" s="663"/>
      <c r="I41" s="663"/>
      <c r="J41" s="663"/>
      <c r="K41" s="663"/>
      <c r="L41" s="663"/>
      <c r="M41" s="660"/>
      <c r="N41" s="660"/>
    </row>
    <row r="42" spans="1:14" ht="13.5" x14ac:dyDescent="0.2">
      <c r="A42" s="5434" t="s">
        <v>1035</v>
      </c>
      <c r="B42" s="5434"/>
      <c r="C42" s="5434"/>
      <c r="D42" s="5434"/>
      <c r="E42" s="5434"/>
      <c r="F42" s="5434"/>
      <c r="G42" s="5434"/>
      <c r="H42" s="5434"/>
      <c r="I42" s="5434"/>
      <c r="J42" s="5434"/>
      <c r="K42" s="5434"/>
      <c r="L42" s="5434"/>
      <c r="M42" s="660"/>
      <c r="N42" s="660"/>
    </row>
    <row r="43" spans="1:14" ht="12" customHeight="1" x14ac:dyDescent="0.2">
      <c r="A43" s="5456" t="s">
        <v>1034</v>
      </c>
      <c r="B43" s="5456"/>
      <c r="C43" s="5456"/>
      <c r="D43" s="5456"/>
      <c r="E43" s="5456"/>
      <c r="F43" s="5456"/>
      <c r="G43" s="5456"/>
      <c r="H43" s="5456"/>
      <c r="I43" s="660"/>
      <c r="J43" s="660"/>
      <c r="K43" s="660"/>
      <c r="L43" s="660"/>
      <c r="M43" s="660"/>
      <c r="N43" s="660"/>
    </row>
    <row r="44" spans="1:14" ht="12" customHeight="1" x14ac:dyDescent="0.2">
      <c r="A44" s="5456" t="s">
        <v>1033</v>
      </c>
      <c r="B44" s="5456"/>
      <c r="C44" s="5456"/>
      <c r="D44" s="5456"/>
      <c r="E44" s="660"/>
      <c r="F44" s="660"/>
      <c r="G44" s="660"/>
      <c r="H44" s="660"/>
      <c r="I44" s="660"/>
      <c r="J44" s="660"/>
      <c r="K44" s="660"/>
      <c r="L44" s="660"/>
      <c r="M44" s="660"/>
      <c r="N44" s="660"/>
    </row>
    <row r="45" spans="1:14" ht="12" customHeight="1" x14ac:dyDescent="0.2">
      <c r="A45" s="5456" t="s">
        <v>1032</v>
      </c>
      <c r="B45" s="5456"/>
      <c r="C45" s="5456"/>
      <c r="D45" s="660"/>
      <c r="E45" s="660"/>
      <c r="F45" s="660"/>
      <c r="G45" s="660"/>
      <c r="H45" s="660"/>
      <c r="I45" s="660"/>
      <c r="J45" s="660"/>
      <c r="K45" s="660"/>
      <c r="L45" s="660"/>
      <c r="M45" s="660"/>
      <c r="N45" s="660"/>
    </row>
    <row r="46" spans="1:14" ht="39.75" customHeight="1" x14ac:dyDescent="0.2">
      <c r="A46" s="5457" t="s">
        <v>1031</v>
      </c>
      <c r="B46" s="5457"/>
      <c r="C46" s="5457"/>
      <c r="D46" s="5457"/>
      <c r="E46" s="5457"/>
      <c r="F46" s="5457"/>
      <c r="G46" s="5457"/>
      <c r="H46" s="5457"/>
      <c r="I46" s="5457"/>
      <c r="J46" s="5458"/>
      <c r="K46" s="5458"/>
      <c r="L46" s="5458"/>
      <c r="M46" s="660"/>
      <c r="N46" s="660"/>
    </row>
    <row r="47" spans="1:14" ht="26.25" customHeight="1" x14ac:dyDescent="0.2">
      <c r="A47" s="5459" t="s">
        <v>1030</v>
      </c>
      <c r="B47" s="5459"/>
      <c r="C47" s="5459"/>
      <c r="D47" s="5459"/>
      <c r="E47" s="5459"/>
      <c r="F47" s="5459"/>
      <c r="G47" s="5459"/>
      <c r="H47" s="5459"/>
      <c r="I47" s="5459"/>
      <c r="J47" s="5460"/>
      <c r="K47" s="5460"/>
      <c r="L47" s="5460"/>
      <c r="M47" s="660"/>
      <c r="N47" s="660"/>
    </row>
    <row r="48" spans="1:14" ht="12" customHeight="1" x14ac:dyDescent="0.2">
      <c r="A48" s="660"/>
      <c r="B48" s="660"/>
      <c r="C48" s="660"/>
      <c r="D48" s="660"/>
      <c r="E48" s="660"/>
      <c r="F48" s="660"/>
      <c r="G48" s="660"/>
      <c r="H48" s="660"/>
      <c r="I48" s="660"/>
      <c r="J48" s="660"/>
      <c r="K48" s="660"/>
      <c r="L48" s="660"/>
      <c r="M48" s="660"/>
      <c r="N48" s="660"/>
    </row>
    <row r="49" spans="1:14" ht="25.5" customHeight="1" x14ac:dyDescent="0.2">
      <c r="A49" s="660"/>
      <c r="B49" s="660"/>
      <c r="C49" s="660"/>
      <c r="D49" s="660"/>
      <c r="E49" s="660"/>
      <c r="F49" s="660"/>
      <c r="G49" s="660"/>
      <c r="H49" s="660"/>
      <c r="I49" s="660"/>
      <c r="J49" s="660"/>
      <c r="K49" s="660"/>
      <c r="L49" s="660"/>
      <c r="M49" s="660"/>
      <c r="N49" s="660"/>
    </row>
    <row r="50" spans="1:14" ht="13.5" customHeight="1" x14ac:dyDescent="0.2">
      <c r="A50" s="660"/>
      <c r="B50" s="660"/>
      <c r="C50" s="660"/>
      <c r="D50" s="660"/>
      <c r="E50" s="660"/>
      <c r="F50" s="660"/>
      <c r="G50" s="660"/>
      <c r="H50" s="660"/>
      <c r="I50" s="660"/>
      <c r="J50" s="660"/>
      <c r="K50" s="660"/>
      <c r="L50" s="660"/>
      <c r="M50" s="660"/>
      <c r="N50" s="660"/>
    </row>
    <row r="51" spans="1:14" ht="13.5" customHeight="1" x14ac:dyDescent="0.2">
      <c r="A51" s="660"/>
      <c r="B51" s="660"/>
      <c r="C51" s="660"/>
      <c r="D51" s="660"/>
      <c r="E51" s="660"/>
      <c r="F51" s="660"/>
      <c r="G51" s="660"/>
      <c r="H51" s="660"/>
      <c r="I51" s="660"/>
      <c r="J51" s="660"/>
      <c r="K51" s="660"/>
      <c r="L51" s="660"/>
      <c r="M51" s="660"/>
      <c r="N51" s="660"/>
    </row>
    <row r="52" spans="1:14" ht="13.5" customHeight="1" x14ac:dyDescent="0.2">
      <c r="A52" s="660"/>
      <c r="B52" s="660"/>
      <c r="C52" s="660"/>
      <c r="D52" s="660"/>
      <c r="E52" s="660"/>
      <c r="F52" s="660"/>
      <c r="G52" s="660"/>
      <c r="H52" s="660"/>
      <c r="I52" s="660"/>
      <c r="J52" s="660"/>
      <c r="K52" s="660"/>
      <c r="L52" s="660"/>
      <c r="M52" s="660"/>
      <c r="N52" s="660"/>
    </row>
    <row r="53" spans="1:14" ht="13.5" customHeight="1" x14ac:dyDescent="0.2">
      <c r="A53" s="660"/>
      <c r="B53" s="660"/>
      <c r="C53" s="660"/>
      <c r="D53" s="660"/>
      <c r="E53" s="660"/>
      <c r="F53" s="660"/>
      <c r="G53" s="660"/>
      <c r="H53" s="660"/>
      <c r="I53" s="660"/>
      <c r="J53" s="660"/>
      <c r="K53" s="660"/>
      <c r="L53" s="660"/>
      <c r="M53" s="660"/>
      <c r="N53" s="660"/>
    </row>
  </sheetData>
  <sheetProtection password="A754" sheet="1" objects="1" scenarios="1"/>
  <mergeCells count="19">
    <mergeCell ref="D8:F8"/>
    <mergeCell ref="G8:L8"/>
    <mergeCell ref="A45:C45"/>
    <mergeCell ref="A46:L46"/>
    <mergeCell ref="A47:L47"/>
    <mergeCell ref="A42:L42"/>
    <mergeCell ref="A43:H43"/>
    <mergeCell ref="A44:D44"/>
    <mergeCell ref="K6:L6"/>
    <mergeCell ref="A1:G1"/>
    <mergeCell ref="B5:C5"/>
    <mergeCell ref="D5:F5"/>
    <mergeCell ref="G5:L5"/>
    <mergeCell ref="B6:C7"/>
    <mergeCell ref="D6:D7"/>
    <mergeCell ref="E6:E7"/>
    <mergeCell ref="F6:F7"/>
    <mergeCell ref="G6:H6"/>
    <mergeCell ref="I6:J6"/>
  </mergeCells>
  <printOptions horizontalCentered="1" verticalCentered="1"/>
  <pageMargins left="0.39370078740157483" right="0.39370078740157483" top="0.39370078740157483" bottom="0.39370078740157483" header="0.19685039370078741" footer="0.19685039370078741"/>
  <pageSetup paperSize="9" scale="31" fitToHeight="0" orientation="portrait" r:id="rId1"/>
  <headerFooter alignWithMargins="0">
    <oddFooter>&amp;L&amp;"Times New Roman,Italic"Common Reporting Format for the provision of inventory information by Annex I Parties to the UNFCCC&amp;R&amp;P+24</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60199-4B48-49E0-B7E8-69E9131FAEE9}">
  <sheetPr codeName="Ark39">
    <tabColor theme="0" tint="-0.249977111117893"/>
  </sheetPr>
  <dimension ref="A1:O85"/>
  <sheetViews>
    <sheetView showGridLines="0" workbookViewId="0">
      <selection sqref="A1:F1"/>
    </sheetView>
  </sheetViews>
  <sheetFormatPr defaultColWidth="9.140625" defaultRowHeight="12" customHeight="1" x14ac:dyDescent="0.2"/>
  <cols>
    <col min="1" max="1" width="45.85546875" style="659" customWidth="1"/>
    <col min="2" max="2" width="20.42578125" style="659" customWidth="1"/>
    <col min="3" max="3" width="14" style="659" customWidth="1"/>
    <col min="4" max="4" width="13.140625" style="659" customWidth="1"/>
    <col min="5" max="5" width="11.28515625" style="659" customWidth="1"/>
    <col min="6" max="6" width="12.140625" style="659" customWidth="1"/>
    <col min="7" max="7" width="16.140625" style="659" customWidth="1"/>
    <col min="8" max="8" width="11.7109375" style="659" customWidth="1"/>
    <col min="9" max="9" width="13.140625" style="659" customWidth="1"/>
    <col min="10" max="10" width="11.42578125" style="659" customWidth="1"/>
    <col min="11" max="11" width="14.140625" style="659" customWidth="1"/>
    <col min="12" max="12" width="12.5703125" style="659" customWidth="1"/>
    <col min="13" max="13" width="1.28515625" style="659" customWidth="1"/>
    <col min="14" max="16384" width="9.140625" style="659"/>
  </cols>
  <sheetData>
    <row r="1" spans="1:15" ht="15.75" customHeight="1" x14ac:dyDescent="0.2">
      <c r="A1" s="5471" t="s">
        <v>1136</v>
      </c>
      <c r="B1" s="5471"/>
      <c r="C1" s="5471"/>
      <c r="D1" s="5471"/>
      <c r="E1" s="5471"/>
      <c r="F1" s="5471"/>
      <c r="G1" s="660"/>
      <c r="H1" s="660"/>
      <c r="I1" s="660"/>
      <c r="J1" s="660"/>
      <c r="K1" s="660"/>
      <c r="L1" s="668" t="s">
        <v>1791</v>
      </c>
      <c r="M1" s="660"/>
      <c r="N1" s="660"/>
      <c r="O1" s="660"/>
    </row>
    <row r="2" spans="1:15" ht="17.25" customHeight="1" x14ac:dyDescent="0.25">
      <c r="A2" s="687" t="s">
        <v>1086</v>
      </c>
      <c r="B2" s="670"/>
      <c r="C2" s="670"/>
      <c r="D2" s="670"/>
      <c r="E2" s="670"/>
      <c r="F2" s="670"/>
      <c r="G2" s="660"/>
      <c r="H2" s="660"/>
      <c r="I2" s="660"/>
      <c r="J2" s="660"/>
      <c r="K2" s="660"/>
      <c r="L2" s="668" t="s">
        <v>1790</v>
      </c>
      <c r="M2" s="660"/>
      <c r="N2" s="660"/>
      <c r="O2" s="660"/>
    </row>
    <row r="3" spans="1:15" ht="15.75" customHeight="1" x14ac:dyDescent="0.25">
      <c r="A3" s="687" t="s">
        <v>1027</v>
      </c>
      <c r="B3" s="670"/>
      <c r="C3" s="670"/>
      <c r="D3" s="670"/>
      <c r="E3" s="670"/>
      <c r="F3" s="670"/>
      <c r="G3" s="660"/>
      <c r="H3" s="660"/>
      <c r="I3" s="660"/>
      <c r="J3" s="660"/>
      <c r="K3" s="668"/>
      <c r="L3" s="668" t="s">
        <v>1789</v>
      </c>
      <c r="M3" s="660"/>
      <c r="N3" s="660"/>
      <c r="O3" s="660"/>
    </row>
    <row r="4" spans="1:15" ht="12.75" customHeight="1" x14ac:dyDescent="0.2">
      <c r="A4" s="677"/>
      <c r="B4" s="686"/>
      <c r="C4" s="661"/>
      <c r="D4" s="685"/>
      <c r="E4" s="685"/>
      <c r="F4" s="684"/>
      <c r="G4" s="684"/>
      <c r="H4" s="684"/>
      <c r="I4" s="685"/>
      <c r="J4" s="685"/>
      <c r="K4" s="684"/>
      <c r="L4" s="684"/>
      <c r="M4" s="660"/>
      <c r="N4" s="660"/>
      <c r="O4" s="660"/>
    </row>
    <row r="5" spans="1:15" ht="14.25" customHeight="1" x14ac:dyDescent="0.2">
      <c r="A5" s="3518" t="s">
        <v>1084</v>
      </c>
      <c r="B5" s="5703" t="s">
        <v>1083</v>
      </c>
      <c r="C5" s="5704"/>
      <c r="D5" s="5703" t="s">
        <v>1135</v>
      </c>
      <c r="E5" s="5705"/>
      <c r="F5" s="5704"/>
      <c r="G5" s="5703" t="s">
        <v>1081</v>
      </c>
      <c r="H5" s="5705"/>
      <c r="I5" s="5705"/>
      <c r="J5" s="5705"/>
      <c r="K5" s="5705"/>
      <c r="L5" s="5704"/>
      <c r="M5" s="660"/>
      <c r="N5" s="660"/>
      <c r="O5" s="660"/>
    </row>
    <row r="6" spans="1:15" ht="13.5" customHeight="1" x14ac:dyDescent="0.2">
      <c r="A6" s="676" t="s">
        <v>1080</v>
      </c>
      <c r="B6" s="5706" t="s">
        <v>1079</v>
      </c>
      <c r="C6" s="5707"/>
      <c r="D6" s="5708" t="s">
        <v>1024</v>
      </c>
      <c r="E6" s="5708" t="s">
        <v>1023</v>
      </c>
      <c r="F6" s="5708" t="s">
        <v>1022</v>
      </c>
      <c r="G6" s="5701" t="s">
        <v>1024</v>
      </c>
      <c r="H6" s="5702"/>
      <c r="I6" s="5701" t="s">
        <v>1023</v>
      </c>
      <c r="J6" s="5702"/>
      <c r="K6" s="5701" t="s">
        <v>1022</v>
      </c>
      <c r="L6" s="5702"/>
      <c r="M6" s="660"/>
      <c r="N6" s="660"/>
      <c r="O6" s="660"/>
    </row>
    <row r="7" spans="1:15" ht="14.25" customHeight="1" x14ac:dyDescent="0.2">
      <c r="A7" s="676"/>
      <c r="B7" s="5446"/>
      <c r="C7" s="5447"/>
      <c r="D7" s="5449"/>
      <c r="E7" s="5449"/>
      <c r="F7" s="5449"/>
      <c r="G7" s="3516" t="s">
        <v>1078</v>
      </c>
      <c r="H7" s="3517" t="s">
        <v>1077</v>
      </c>
      <c r="I7" s="3516" t="s">
        <v>1078</v>
      </c>
      <c r="J7" s="3517" t="s">
        <v>1077</v>
      </c>
      <c r="K7" s="3516" t="s">
        <v>1078</v>
      </c>
      <c r="L7" s="3515" t="s">
        <v>1077</v>
      </c>
      <c r="M7" s="660"/>
      <c r="N7" s="660"/>
      <c r="O7" s="660"/>
    </row>
    <row r="8" spans="1:15" ht="15" customHeight="1" thickBot="1" x14ac:dyDescent="0.25">
      <c r="A8" s="675"/>
      <c r="B8" s="674" t="s">
        <v>1134</v>
      </c>
      <c r="C8" s="673" t="s">
        <v>1011</v>
      </c>
      <c r="D8" s="5450" t="s">
        <v>1075</v>
      </c>
      <c r="E8" s="5451"/>
      <c r="F8" s="5452"/>
      <c r="G8" s="5453" t="s">
        <v>1011</v>
      </c>
      <c r="H8" s="5454"/>
      <c r="I8" s="5454"/>
      <c r="J8" s="5454"/>
      <c r="K8" s="5454"/>
      <c r="L8" s="5455"/>
      <c r="M8" s="660"/>
      <c r="N8" s="660"/>
      <c r="O8" s="660"/>
    </row>
    <row r="9" spans="1:15" ht="12.75" customHeight="1" thickTop="1" x14ac:dyDescent="0.2">
      <c r="A9" s="680" t="s">
        <v>1133</v>
      </c>
      <c r="B9" s="3497" t="s">
        <v>986</v>
      </c>
      <c r="C9" s="3497" t="s">
        <v>986</v>
      </c>
      <c r="D9" s="3497" t="s">
        <v>986</v>
      </c>
      <c r="E9" s="3497" t="s">
        <v>986</v>
      </c>
      <c r="F9" s="3497" t="s">
        <v>986</v>
      </c>
      <c r="G9" s="3507">
        <v>0.1144</v>
      </c>
      <c r="H9" s="3507" t="s">
        <v>259</v>
      </c>
      <c r="I9" s="3507" t="s">
        <v>259</v>
      </c>
      <c r="J9" s="3507" t="s">
        <v>259</v>
      </c>
      <c r="K9" s="3507" t="s">
        <v>259</v>
      </c>
      <c r="L9" s="3507" t="s">
        <v>259</v>
      </c>
      <c r="M9" s="660"/>
      <c r="N9" s="660"/>
      <c r="O9" s="660"/>
    </row>
    <row r="10" spans="1:15" ht="12" customHeight="1" x14ac:dyDescent="0.2">
      <c r="A10" s="3521" t="s">
        <v>1132</v>
      </c>
      <c r="B10" s="3497" t="s">
        <v>986</v>
      </c>
      <c r="C10" s="3497" t="s">
        <v>986</v>
      </c>
      <c r="D10" s="3497" t="s">
        <v>986</v>
      </c>
      <c r="E10" s="3497" t="s">
        <v>986</v>
      </c>
      <c r="F10" s="3497" t="s">
        <v>986</v>
      </c>
      <c r="G10" s="3507" t="s">
        <v>259</v>
      </c>
      <c r="H10" s="3507" t="s">
        <v>259</v>
      </c>
      <c r="I10" s="3507" t="s">
        <v>259</v>
      </c>
      <c r="J10" s="3507" t="s">
        <v>259</v>
      </c>
      <c r="K10" s="3497" t="s">
        <v>986</v>
      </c>
      <c r="L10" s="3497" t="s">
        <v>986</v>
      </c>
      <c r="M10" s="660"/>
      <c r="N10" s="660"/>
      <c r="O10" s="660"/>
    </row>
    <row r="11" spans="1:15" ht="12" customHeight="1" x14ac:dyDescent="0.2">
      <c r="A11" s="3526" t="s">
        <v>1131</v>
      </c>
      <c r="B11" s="3500" t="s">
        <v>1047</v>
      </c>
      <c r="C11" s="3500" t="s">
        <v>259</v>
      </c>
      <c r="D11" s="3507" t="s">
        <v>259</v>
      </c>
      <c r="E11" s="3507" t="s">
        <v>259</v>
      </c>
      <c r="F11" s="3497" t="s">
        <v>986</v>
      </c>
      <c r="G11" s="3500" t="s">
        <v>259</v>
      </c>
      <c r="H11" s="3500" t="s">
        <v>259</v>
      </c>
      <c r="I11" s="3500" t="s">
        <v>259</v>
      </c>
      <c r="J11" s="3500" t="s">
        <v>259</v>
      </c>
      <c r="K11" s="3497" t="s">
        <v>986</v>
      </c>
      <c r="L11" s="3497" t="s">
        <v>986</v>
      </c>
      <c r="M11" s="660"/>
      <c r="N11" s="660"/>
      <c r="O11" s="660"/>
    </row>
    <row r="12" spans="1:15" ht="12" customHeight="1" x14ac:dyDescent="0.2">
      <c r="A12" s="3526" t="s">
        <v>1130</v>
      </c>
      <c r="B12" s="3500" t="s">
        <v>1047</v>
      </c>
      <c r="C12" s="3500" t="s">
        <v>259</v>
      </c>
      <c r="D12" s="3507" t="s">
        <v>259</v>
      </c>
      <c r="E12" s="3507" t="s">
        <v>259</v>
      </c>
      <c r="F12" s="3497" t="s">
        <v>986</v>
      </c>
      <c r="G12" s="3500" t="s">
        <v>259</v>
      </c>
      <c r="H12" s="3500" t="s">
        <v>259</v>
      </c>
      <c r="I12" s="3500" t="s">
        <v>259</v>
      </c>
      <c r="J12" s="3500" t="s">
        <v>259</v>
      </c>
      <c r="K12" s="3497" t="s">
        <v>986</v>
      </c>
      <c r="L12" s="3497" t="s">
        <v>986</v>
      </c>
      <c r="M12" s="660"/>
      <c r="N12" s="660"/>
      <c r="O12" s="660"/>
    </row>
    <row r="13" spans="1:15" ht="12" customHeight="1" x14ac:dyDescent="0.2">
      <c r="A13" s="3526" t="s">
        <v>1129</v>
      </c>
      <c r="B13" s="3500" t="s">
        <v>1047</v>
      </c>
      <c r="C13" s="3500" t="s">
        <v>259</v>
      </c>
      <c r="D13" s="3507" t="s">
        <v>259</v>
      </c>
      <c r="E13" s="3507" t="s">
        <v>259</v>
      </c>
      <c r="F13" s="3497" t="s">
        <v>986</v>
      </c>
      <c r="G13" s="3500" t="s">
        <v>259</v>
      </c>
      <c r="H13" s="3500" t="s">
        <v>259</v>
      </c>
      <c r="I13" s="3500" t="s">
        <v>259</v>
      </c>
      <c r="J13" s="3500" t="s">
        <v>259</v>
      </c>
      <c r="K13" s="3497" t="s">
        <v>986</v>
      </c>
      <c r="L13" s="3497" t="s">
        <v>986</v>
      </c>
      <c r="M13" s="660"/>
      <c r="N13" s="660"/>
      <c r="O13" s="660"/>
    </row>
    <row r="14" spans="1:15" ht="12" customHeight="1" x14ac:dyDescent="0.2">
      <c r="A14" s="3526" t="s">
        <v>1128</v>
      </c>
      <c r="B14" s="3500" t="s">
        <v>1047</v>
      </c>
      <c r="C14" s="3500" t="s">
        <v>259</v>
      </c>
      <c r="D14" s="3507" t="s">
        <v>259</v>
      </c>
      <c r="E14" s="3507" t="s">
        <v>259</v>
      </c>
      <c r="F14" s="3497" t="s">
        <v>986</v>
      </c>
      <c r="G14" s="3500" t="s">
        <v>259</v>
      </c>
      <c r="H14" s="3500" t="s">
        <v>259</v>
      </c>
      <c r="I14" s="3500" t="s">
        <v>259</v>
      </c>
      <c r="J14" s="3500" t="s">
        <v>259</v>
      </c>
      <c r="K14" s="3497" t="s">
        <v>986</v>
      </c>
      <c r="L14" s="3497" t="s">
        <v>986</v>
      </c>
      <c r="M14" s="660"/>
      <c r="N14" s="660"/>
      <c r="O14" s="660"/>
    </row>
    <row r="15" spans="1:15" ht="12" customHeight="1" x14ac:dyDescent="0.2">
      <c r="A15" s="3526" t="s">
        <v>1127</v>
      </c>
      <c r="B15" s="3500" t="s">
        <v>1047</v>
      </c>
      <c r="C15" s="3500" t="s">
        <v>259</v>
      </c>
      <c r="D15" s="3507" t="s">
        <v>259</v>
      </c>
      <c r="E15" s="3507" t="s">
        <v>259</v>
      </c>
      <c r="F15" s="3497" t="s">
        <v>986</v>
      </c>
      <c r="G15" s="3500" t="s">
        <v>259</v>
      </c>
      <c r="H15" s="3500" t="s">
        <v>259</v>
      </c>
      <c r="I15" s="3500" t="s">
        <v>259</v>
      </c>
      <c r="J15" s="3500" t="s">
        <v>259</v>
      </c>
      <c r="K15" s="3497" t="s">
        <v>986</v>
      </c>
      <c r="L15" s="3497" t="s">
        <v>986</v>
      </c>
      <c r="M15" s="660"/>
      <c r="N15" s="660"/>
      <c r="O15" s="660"/>
    </row>
    <row r="16" spans="1:15" ht="12" customHeight="1" x14ac:dyDescent="0.2">
      <c r="A16" s="3526" t="s">
        <v>1126</v>
      </c>
      <c r="B16" s="3497" t="s">
        <v>986</v>
      </c>
      <c r="C16" s="3497" t="s">
        <v>986</v>
      </c>
      <c r="D16" s="3497" t="s">
        <v>986</v>
      </c>
      <c r="E16" s="3497" t="s">
        <v>986</v>
      </c>
      <c r="F16" s="3497" t="s">
        <v>986</v>
      </c>
      <c r="G16" s="3507" t="s">
        <v>259</v>
      </c>
      <c r="H16" s="3507" t="s">
        <v>259</v>
      </c>
      <c r="I16" s="3507" t="s">
        <v>259</v>
      </c>
      <c r="J16" s="3507" t="s">
        <v>259</v>
      </c>
      <c r="K16" s="3497" t="s">
        <v>986</v>
      </c>
      <c r="L16" s="3497" t="s">
        <v>986</v>
      </c>
      <c r="M16" s="660"/>
      <c r="N16" s="660"/>
      <c r="O16" s="660"/>
    </row>
    <row r="17" spans="1:15" ht="12" customHeight="1" x14ac:dyDescent="0.2">
      <c r="A17" s="3521" t="s">
        <v>1125</v>
      </c>
      <c r="B17" s="3500" t="s">
        <v>1047</v>
      </c>
      <c r="C17" s="3500" t="s">
        <v>259</v>
      </c>
      <c r="D17" s="3507" t="s">
        <v>259</v>
      </c>
      <c r="E17" s="3507" t="s">
        <v>259</v>
      </c>
      <c r="F17" s="3497" t="s">
        <v>986</v>
      </c>
      <c r="G17" s="3500" t="s">
        <v>259</v>
      </c>
      <c r="H17" s="3500" t="s">
        <v>259</v>
      </c>
      <c r="I17" s="3500" t="s">
        <v>259</v>
      </c>
      <c r="J17" s="3500" t="s">
        <v>259</v>
      </c>
      <c r="K17" s="3497" t="s">
        <v>986</v>
      </c>
      <c r="L17" s="3497" t="s">
        <v>986</v>
      </c>
      <c r="M17" s="660"/>
      <c r="N17" s="660"/>
      <c r="O17" s="660"/>
    </row>
    <row r="18" spans="1:15" ht="12" customHeight="1" x14ac:dyDescent="0.2">
      <c r="A18" s="3521" t="s">
        <v>1124</v>
      </c>
      <c r="B18" s="3500" t="s">
        <v>1047</v>
      </c>
      <c r="C18" s="3500" t="s">
        <v>259</v>
      </c>
      <c r="D18" s="3507" t="s">
        <v>259</v>
      </c>
      <c r="E18" s="3497" t="s">
        <v>986</v>
      </c>
      <c r="F18" s="3497" t="s">
        <v>986</v>
      </c>
      <c r="G18" s="3500" t="s">
        <v>259</v>
      </c>
      <c r="H18" s="3500" t="s">
        <v>259</v>
      </c>
      <c r="I18" s="3497" t="s">
        <v>986</v>
      </c>
      <c r="J18" s="3497" t="s">
        <v>986</v>
      </c>
      <c r="K18" s="3497" t="s">
        <v>986</v>
      </c>
      <c r="L18" s="3497" t="s">
        <v>986</v>
      </c>
      <c r="M18" s="660"/>
      <c r="N18" s="660"/>
      <c r="O18" s="660"/>
    </row>
    <row r="19" spans="1:15" ht="12" customHeight="1" x14ac:dyDescent="0.2">
      <c r="A19" s="3525" t="s">
        <v>1123</v>
      </c>
      <c r="B19" s="3500" t="s">
        <v>1036</v>
      </c>
      <c r="C19" s="3500" t="s">
        <v>259</v>
      </c>
      <c r="D19" s="3507" t="s">
        <v>259</v>
      </c>
      <c r="E19" s="3497" t="s">
        <v>986</v>
      </c>
      <c r="F19" s="3497" t="s">
        <v>986</v>
      </c>
      <c r="G19" s="3500" t="s">
        <v>259</v>
      </c>
      <c r="H19" s="3500" t="s">
        <v>259</v>
      </c>
      <c r="I19" s="3497" t="s">
        <v>986</v>
      </c>
      <c r="J19" s="3497" t="s">
        <v>986</v>
      </c>
      <c r="K19" s="3497" t="s">
        <v>986</v>
      </c>
      <c r="L19" s="3497" t="s">
        <v>986</v>
      </c>
      <c r="M19" s="660"/>
      <c r="N19" s="660"/>
      <c r="O19" s="660"/>
    </row>
    <row r="20" spans="1:15" x14ac:dyDescent="0.2">
      <c r="A20" s="3524" t="s">
        <v>1122</v>
      </c>
      <c r="B20" s="3500" t="s">
        <v>1121</v>
      </c>
      <c r="C20" s="3500">
        <v>0.57199999999999995</v>
      </c>
      <c r="D20" s="3507">
        <v>0.2</v>
      </c>
      <c r="E20" s="3497" t="s">
        <v>986</v>
      </c>
      <c r="F20" s="3497" t="s">
        <v>986</v>
      </c>
      <c r="G20" s="3500">
        <v>0.1144</v>
      </c>
      <c r="H20" s="3500" t="s">
        <v>259</v>
      </c>
      <c r="I20" s="3497" t="s">
        <v>986</v>
      </c>
      <c r="J20" s="3497" t="s">
        <v>986</v>
      </c>
      <c r="K20" s="3497" t="s">
        <v>986</v>
      </c>
      <c r="L20" s="3497" t="s">
        <v>986</v>
      </c>
      <c r="M20" s="660"/>
      <c r="N20" s="660"/>
      <c r="O20" s="660" t="s">
        <v>270</v>
      </c>
    </row>
    <row r="21" spans="1:15" x14ac:dyDescent="0.2">
      <c r="A21" s="3524" t="s">
        <v>1120</v>
      </c>
      <c r="B21" s="3500" t="s">
        <v>1036</v>
      </c>
      <c r="C21" s="3500" t="s">
        <v>259</v>
      </c>
      <c r="D21" s="3507" t="s">
        <v>259</v>
      </c>
      <c r="E21" s="3497" t="s">
        <v>986</v>
      </c>
      <c r="F21" s="3497" t="s">
        <v>986</v>
      </c>
      <c r="G21" s="3500" t="s">
        <v>259</v>
      </c>
      <c r="H21" s="3500" t="s">
        <v>259</v>
      </c>
      <c r="I21" s="3497" t="s">
        <v>986</v>
      </c>
      <c r="J21" s="3497" t="s">
        <v>986</v>
      </c>
      <c r="K21" s="3497" t="s">
        <v>986</v>
      </c>
      <c r="L21" s="3497" t="s">
        <v>986</v>
      </c>
      <c r="M21" s="660"/>
      <c r="N21" s="660"/>
      <c r="O21" s="660"/>
    </row>
    <row r="22" spans="1:15" ht="12" customHeight="1" x14ac:dyDescent="0.2">
      <c r="A22" s="3521" t="s">
        <v>1119</v>
      </c>
      <c r="B22" s="3497" t="s">
        <v>986</v>
      </c>
      <c r="C22" s="3497" t="s">
        <v>986</v>
      </c>
      <c r="D22" s="3497" t="s">
        <v>986</v>
      </c>
      <c r="E22" s="3497" t="s">
        <v>986</v>
      </c>
      <c r="F22" s="3497" t="s">
        <v>986</v>
      </c>
      <c r="G22" s="3507" t="s">
        <v>259</v>
      </c>
      <c r="H22" s="3507" t="s">
        <v>259</v>
      </c>
      <c r="I22" s="3507" t="s">
        <v>259</v>
      </c>
      <c r="J22" s="3507" t="s">
        <v>259</v>
      </c>
      <c r="K22" s="3507" t="s">
        <v>259</v>
      </c>
      <c r="L22" s="3507" t="s">
        <v>259</v>
      </c>
      <c r="M22" s="660"/>
      <c r="N22" s="660"/>
      <c r="O22" s="660"/>
    </row>
    <row r="23" spans="1:15" ht="24" customHeight="1" x14ac:dyDescent="0.2">
      <c r="A23" s="683" t="s">
        <v>1118</v>
      </c>
      <c r="B23" s="3497" t="s">
        <v>986</v>
      </c>
      <c r="C23" s="3497" t="s">
        <v>986</v>
      </c>
      <c r="D23" s="3497" t="s">
        <v>986</v>
      </c>
      <c r="E23" s="3497" t="s">
        <v>986</v>
      </c>
      <c r="F23" s="3497" t="s">
        <v>986</v>
      </c>
      <c r="G23" s="3507">
        <v>158.66375119844091</v>
      </c>
      <c r="H23" s="3507" t="s">
        <v>799</v>
      </c>
      <c r="I23" s="3507">
        <v>1.7891508800000001E-2</v>
      </c>
      <c r="J23" s="3507" t="s">
        <v>799</v>
      </c>
      <c r="K23" s="3507">
        <v>4.8720000000000002E-4</v>
      </c>
      <c r="L23" s="3507" t="s">
        <v>799</v>
      </c>
      <c r="M23" s="660"/>
      <c r="N23" s="660"/>
      <c r="O23" s="660"/>
    </row>
    <row r="24" spans="1:15" ht="12" customHeight="1" x14ac:dyDescent="0.2">
      <c r="A24" s="3521" t="s">
        <v>1009</v>
      </c>
      <c r="B24" s="3500" t="s">
        <v>1117</v>
      </c>
      <c r="C24" s="3500">
        <v>51.32</v>
      </c>
      <c r="D24" s="3507">
        <v>0.61717</v>
      </c>
      <c r="E24" s="3507" t="s">
        <v>799</v>
      </c>
      <c r="F24" s="3507" t="s">
        <v>799</v>
      </c>
      <c r="G24" s="3500">
        <v>31.673164400000001</v>
      </c>
      <c r="H24" s="3500" t="s">
        <v>799</v>
      </c>
      <c r="I24" s="3500" t="s">
        <v>799</v>
      </c>
      <c r="J24" s="3500" t="s">
        <v>799</v>
      </c>
      <c r="K24" s="3500" t="s">
        <v>799</v>
      </c>
      <c r="L24" s="3500" t="s">
        <v>799</v>
      </c>
      <c r="M24" s="660"/>
      <c r="N24" s="660"/>
      <c r="O24" s="660"/>
    </row>
    <row r="25" spans="1:15" ht="12" customHeight="1" x14ac:dyDescent="0.2">
      <c r="A25" s="3521" t="s">
        <v>1008</v>
      </c>
      <c r="B25" s="3500" t="s">
        <v>1116</v>
      </c>
      <c r="C25" s="3500">
        <v>20.3</v>
      </c>
      <c r="D25" s="3507">
        <v>2.91</v>
      </c>
      <c r="E25" s="3507">
        <v>1.21E-4</v>
      </c>
      <c r="F25" s="3507">
        <v>2.4000000000000001E-5</v>
      </c>
      <c r="G25" s="3500">
        <v>59.073</v>
      </c>
      <c r="H25" s="3500" t="s">
        <v>799</v>
      </c>
      <c r="I25" s="3500">
        <v>2.4562999999999998E-3</v>
      </c>
      <c r="J25" s="3500" t="s">
        <v>799</v>
      </c>
      <c r="K25" s="3500">
        <v>4.8720000000000002E-4</v>
      </c>
      <c r="L25" s="3500" t="s">
        <v>799</v>
      </c>
      <c r="M25" s="660"/>
      <c r="N25" s="660"/>
      <c r="O25" s="660"/>
    </row>
    <row r="26" spans="1:15" ht="12" customHeight="1" x14ac:dyDescent="0.2">
      <c r="A26" s="3521" t="s">
        <v>1115</v>
      </c>
      <c r="B26" s="3497" t="s">
        <v>986</v>
      </c>
      <c r="C26" s="3497" t="s">
        <v>986</v>
      </c>
      <c r="D26" s="3497" t="s">
        <v>986</v>
      </c>
      <c r="E26" s="3497" t="s">
        <v>986</v>
      </c>
      <c r="F26" s="3497" t="s">
        <v>986</v>
      </c>
      <c r="G26" s="3507">
        <v>67.917586798440922</v>
      </c>
      <c r="H26" s="3507" t="s">
        <v>799</v>
      </c>
      <c r="I26" s="3507">
        <v>1.5435208799999999E-2</v>
      </c>
      <c r="J26" s="3507" t="s">
        <v>799</v>
      </c>
      <c r="K26" s="3507" t="s">
        <v>799</v>
      </c>
      <c r="L26" s="3507" t="s">
        <v>799</v>
      </c>
      <c r="M26" s="660"/>
      <c r="N26" s="660"/>
      <c r="O26" s="660"/>
    </row>
    <row r="27" spans="1:15" ht="12" customHeight="1" x14ac:dyDescent="0.2">
      <c r="A27" s="3520" t="s">
        <v>1114</v>
      </c>
      <c r="B27" s="3500" t="s">
        <v>1114</v>
      </c>
      <c r="C27" s="3500">
        <v>721.50689999999997</v>
      </c>
      <c r="D27" s="3507">
        <v>8.0297164852479994E-2</v>
      </c>
      <c r="E27" s="3507" t="s">
        <v>799</v>
      </c>
      <c r="F27" s="3507" t="s">
        <v>799</v>
      </c>
      <c r="G27" s="3500">
        <v>57.934958491499998</v>
      </c>
      <c r="H27" s="3500" t="s">
        <v>799</v>
      </c>
      <c r="I27" s="3500" t="s">
        <v>799</v>
      </c>
      <c r="J27" s="3500" t="s">
        <v>799</v>
      </c>
      <c r="K27" s="3500" t="s">
        <v>799</v>
      </c>
      <c r="L27" s="3500" t="s">
        <v>799</v>
      </c>
      <c r="M27" s="660"/>
      <c r="N27" s="660"/>
      <c r="O27" s="660"/>
    </row>
    <row r="28" spans="1:15" x14ac:dyDescent="0.2">
      <c r="A28" s="3520" t="s">
        <v>1113</v>
      </c>
      <c r="B28" s="3500" t="s">
        <v>1100</v>
      </c>
      <c r="C28" s="3500">
        <v>3508.002</v>
      </c>
      <c r="D28" s="3507">
        <v>2.3000000000000001E-4</v>
      </c>
      <c r="E28" s="3507">
        <v>4.4000000000000002E-6</v>
      </c>
      <c r="F28" s="3507" t="s">
        <v>799</v>
      </c>
      <c r="G28" s="3500">
        <v>0.80684045999999998</v>
      </c>
      <c r="H28" s="3500" t="s">
        <v>799</v>
      </c>
      <c r="I28" s="3500">
        <v>1.5435208799999999E-2</v>
      </c>
      <c r="J28" s="3500" t="s">
        <v>799</v>
      </c>
      <c r="K28" s="3500" t="s">
        <v>799</v>
      </c>
      <c r="L28" s="3500" t="s">
        <v>799</v>
      </c>
    </row>
    <row r="29" spans="1:15" x14ac:dyDescent="0.2">
      <c r="A29" s="3520" t="s">
        <v>1112</v>
      </c>
      <c r="B29" s="3500" t="s">
        <v>1100</v>
      </c>
      <c r="C29" s="3500">
        <v>59.543999999999997</v>
      </c>
      <c r="D29" s="3507">
        <v>4.0000000000000002E-4</v>
      </c>
      <c r="E29" s="3507" t="s">
        <v>799</v>
      </c>
      <c r="F29" s="3507" t="s">
        <v>799</v>
      </c>
      <c r="G29" s="3500">
        <v>2.3817600000000001E-2</v>
      </c>
      <c r="H29" s="3500" t="s">
        <v>799</v>
      </c>
      <c r="I29" s="3500" t="s">
        <v>799</v>
      </c>
      <c r="J29" s="3500" t="s">
        <v>799</v>
      </c>
      <c r="K29" s="3500" t="s">
        <v>799</v>
      </c>
      <c r="L29" s="3500" t="s">
        <v>799</v>
      </c>
    </row>
    <row r="30" spans="1:15" x14ac:dyDescent="0.2">
      <c r="A30" s="3520" t="s">
        <v>1111</v>
      </c>
      <c r="B30" s="3497" t="s">
        <v>986</v>
      </c>
      <c r="C30" s="3497" t="s">
        <v>986</v>
      </c>
      <c r="D30" s="3497" t="s">
        <v>986</v>
      </c>
      <c r="E30" s="3497" t="s">
        <v>986</v>
      </c>
      <c r="F30" s="3497" t="s">
        <v>986</v>
      </c>
      <c r="G30" s="3507">
        <v>9.1519702469409197</v>
      </c>
      <c r="H30" s="3507" t="s">
        <v>799</v>
      </c>
      <c r="I30" s="3507" t="s">
        <v>799</v>
      </c>
      <c r="J30" s="3507" t="s">
        <v>799</v>
      </c>
      <c r="K30" s="3507" t="s">
        <v>799</v>
      </c>
      <c r="L30" s="3507" t="s">
        <v>799</v>
      </c>
    </row>
    <row r="31" spans="1:15" x14ac:dyDescent="0.2">
      <c r="A31" s="3522" t="s">
        <v>1110</v>
      </c>
      <c r="B31" s="3500" t="s">
        <v>1108</v>
      </c>
      <c r="C31" s="3500">
        <v>38.3678752660215</v>
      </c>
      <c r="D31" s="3507">
        <v>0.23853211009174</v>
      </c>
      <c r="E31" s="3507" t="s">
        <v>799</v>
      </c>
      <c r="F31" s="3507" t="s">
        <v>799</v>
      </c>
      <c r="G31" s="3500">
        <v>9.1519702469409197</v>
      </c>
      <c r="H31" s="3500" t="s">
        <v>799</v>
      </c>
      <c r="I31" s="3500" t="s">
        <v>799</v>
      </c>
      <c r="J31" s="3500" t="s">
        <v>799</v>
      </c>
      <c r="K31" s="3500" t="s">
        <v>799</v>
      </c>
      <c r="L31" s="3500" t="s">
        <v>799</v>
      </c>
    </row>
    <row r="32" spans="1:15" ht="12" customHeight="1" x14ac:dyDescent="0.2">
      <c r="A32" s="682" t="s">
        <v>992</v>
      </c>
      <c r="B32" s="3497" t="s">
        <v>986</v>
      </c>
      <c r="C32" s="3497" t="s">
        <v>986</v>
      </c>
      <c r="D32" s="3497" t="s">
        <v>986</v>
      </c>
      <c r="E32" s="3497" t="s">
        <v>986</v>
      </c>
      <c r="F32" s="3497" t="s">
        <v>986</v>
      </c>
      <c r="G32" s="3507">
        <v>0.18334539999999999</v>
      </c>
      <c r="H32" s="3507" t="s">
        <v>1006</v>
      </c>
      <c r="I32" s="3507">
        <v>8.2278179000000007E-2</v>
      </c>
      <c r="J32" s="3507" t="s">
        <v>259</v>
      </c>
      <c r="K32" s="3507">
        <v>6.3350667469999997E-2</v>
      </c>
      <c r="L32" s="3507" t="s">
        <v>259</v>
      </c>
      <c r="M32" s="660"/>
      <c r="N32" s="660"/>
      <c r="O32" s="660"/>
    </row>
    <row r="33" spans="1:15" ht="12" customHeight="1" x14ac:dyDescent="0.2">
      <c r="A33" s="681" t="s">
        <v>989</v>
      </c>
      <c r="B33" s="3497" t="s">
        <v>986</v>
      </c>
      <c r="C33" s="3497" t="s">
        <v>986</v>
      </c>
      <c r="D33" s="3497" t="s">
        <v>986</v>
      </c>
      <c r="E33" s="3497" t="s">
        <v>986</v>
      </c>
      <c r="F33" s="3497" t="s">
        <v>986</v>
      </c>
      <c r="G33" s="3497" t="s">
        <v>986</v>
      </c>
      <c r="H33" s="3497" t="s">
        <v>986</v>
      </c>
      <c r="I33" s="3497" t="s">
        <v>986</v>
      </c>
      <c r="J33" s="3497" t="s">
        <v>986</v>
      </c>
      <c r="K33" s="3507">
        <v>5.4434999999999997E-2</v>
      </c>
      <c r="L33" s="3507" t="s">
        <v>259</v>
      </c>
      <c r="M33" s="660"/>
      <c r="N33" s="660"/>
      <c r="O33" s="660"/>
    </row>
    <row r="34" spans="1:15" ht="12" customHeight="1" x14ac:dyDescent="0.2">
      <c r="A34" s="3523" t="s">
        <v>1109</v>
      </c>
      <c r="B34" s="3500" t="s">
        <v>1108</v>
      </c>
      <c r="C34" s="3500">
        <v>3.7999999999999999E-2</v>
      </c>
      <c r="D34" s="3497" t="s">
        <v>986</v>
      </c>
      <c r="E34" s="3497" t="s">
        <v>986</v>
      </c>
      <c r="F34" s="3507">
        <v>1</v>
      </c>
      <c r="G34" s="3497" t="s">
        <v>986</v>
      </c>
      <c r="H34" s="3497" t="s">
        <v>986</v>
      </c>
      <c r="I34" s="3497" t="s">
        <v>986</v>
      </c>
      <c r="J34" s="3497" t="s">
        <v>986</v>
      </c>
      <c r="K34" s="3500">
        <v>3.7999999999999999E-2</v>
      </c>
      <c r="L34" s="3500" t="s">
        <v>259</v>
      </c>
      <c r="M34" s="660"/>
      <c r="N34" s="660"/>
      <c r="O34" s="660"/>
    </row>
    <row r="35" spans="1:15" ht="12" customHeight="1" x14ac:dyDescent="0.2">
      <c r="A35" s="3523" t="s">
        <v>1107</v>
      </c>
      <c r="B35" s="3497" t="s">
        <v>986</v>
      </c>
      <c r="C35" s="3497" t="s">
        <v>986</v>
      </c>
      <c r="D35" s="3497" t="s">
        <v>986</v>
      </c>
      <c r="E35" s="3497" t="s">
        <v>986</v>
      </c>
      <c r="F35" s="3497" t="s">
        <v>986</v>
      </c>
      <c r="G35" s="3497" t="s">
        <v>986</v>
      </c>
      <c r="H35" s="3497" t="s">
        <v>986</v>
      </c>
      <c r="I35" s="3497" t="s">
        <v>986</v>
      </c>
      <c r="J35" s="3497" t="s">
        <v>986</v>
      </c>
      <c r="K35" s="3507">
        <v>1.6435000000000002E-2</v>
      </c>
      <c r="L35" s="3507" t="s">
        <v>259</v>
      </c>
      <c r="M35" s="660"/>
      <c r="N35" s="660"/>
      <c r="O35" s="660"/>
    </row>
    <row r="36" spans="1:15" ht="12" customHeight="1" x14ac:dyDescent="0.2">
      <c r="A36" s="3522" t="s">
        <v>1106</v>
      </c>
      <c r="B36" s="3500" t="s">
        <v>1105</v>
      </c>
      <c r="C36" s="3500">
        <v>0.34599999999999997</v>
      </c>
      <c r="D36" s="3497" t="s">
        <v>986</v>
      </c>
      <c r="E36" s="3497" t="s">
        <v>986</v>
      </c>
      <c r="F36" s="3507">
        <v>4.7500000000000001E-2</v>
      </c>
      <c r="G36" s="3497" t="s">
        <v>986</v>
      </c>
      <c r="H36" s="3497" t="s">
        <v>986</v>
      </c>
      <c r="I36" s="3497" t="s">
        <v>986</v>
      </c>
      <c r="J36" s="3497" t="s">
        <v>986</v>
      </c>
      <c r="K36" s="3500">
        <v>1.6435000000000002E-2</v>
      </c>
      <c r="L36" s="3500" t="s">
        <v>259</v>
      </c>
      <c r="M36" s="660"/>
      <c r="N36" s="660"/>
      <c r="O36" s="660"/>
    </row>
    <row r="37" spans="1:15" ht="12" customHeight="1" x14ac:dyDescent="0.2">
      <c r="A37" s="3521" t="s">
        <v>988</v>
      </c>
      <c r="B37" s="3497" t="s">
        <v>986</v>
      </c>
      <c r="C37" s="3497" t="s">
        <v>986</v>
      </c>
      <c r="D37" s="3497" t="s">
        <v>986</v>
      </c>
      <c r="E37" s="3497" t="s">
        <v>986</v>
      </c>
      <c r="F37" s="3497" t="s">
        <v>986</v>
      </c>
      <c r="G37" s="3507">
        <v>0.18334539999999999</v>
      </c>
      <c r="H37" s="3507" t="s">
        <v>1006</v>
      </c>
      <c r="I37" s="3507">
        <v>8.2278179000000007E-2</v>
      </c>
      <c r="J37" s="3507" t="s">
        <v>259</v>
      </c>
      <c r="K37" s="3507">
        <v>8.9156674699999994E-3</v>
      </c>
      <c r="L37" s="3507" t="s">
        <v>259</v>
      </c>
      <c r="M37" s="660"/>
      <c r="N37" s="660"/>
      <c r="O37" s="660"/>
    </row>
    <row r="38" spans="1:15" ht="12" customHeight="1" x14ac:dyDescent="0.2">
      <c r="A38" s="3520" t="s">
        <v>1103</v>
      </c>
      <c r="B38" s="3500" t="s">
        <v>1102</v>
      </c>
      <c r="C38" s="3500">
        <v>9.7686600000000006</v>
      </c>
      <c r="D38" s="3507" t="s">
        <v>799</v>
      </c>
      <c r="E38" s="3507">
        <v>5.8999999999999999E-3</v>
      </c>
      <c r="F38" s="3507">
        <v>2.9499999999999999E-5</v>
      </c>
      <c r="G38" s="3500" t="s">
        <v>799</v>
      </c>
      <c r="H38" s="3500" t="s">
        <v>799</v>
      </c>
      <c r="I38" s="3500">
        <v>5.7635093999999998E-2</v>
      </c>
      <c r="J38" s="3500" t="s">
        <v>259</v>
      </c>
      <c r="K38" s="3500">
        <v>2.8817547000000002E-4</v>
      </c>
      <c r="L38" s="3500" t="s">
        <v>259</v>
      </c>
      <c r="M38" s="660"/>
      <c r="N38" s="660"/>
      <c r="O38" s="660"/>
    </row>
    <row r="39" spans="1:15" x14ac:dyDescent="0.2">
      <c r="A39" s="3520" t="s">
        <v>1104</v>
      </c>
      <c r="B39" s="3500" t="s">
        <v>1102</v>
      </c>
      <c r="C39" s="3500">
        <v>6.6349999999999998</v>
      </c>
      <c r="D39" s="3507" t="s">
        <v>799</v>
      </c>
      <c r="E39" s="3507">
        <v>3.1870000000000002E-3</v>
      </c>
      <c r="F39" s="3507">
        <v>6.3999999999999997E-5</v>
      </c>
      <c r="G39" s="3500" t="s">
        <v>799</v>
      </c>
      <c r="H39" s="3500" t="s">
        <v>799</v>
      </c>
      <c r="I39" s="3500">
        <v>2.1145745000000001E-2</v>
      </c>
      <c r="J39" s="3500" t="s">
        <v>259</v>
      </c>
      <c r="K39" s="3500">
        <v>4.2464E-4</v>
      </c>
      <c r="L39" s="3500" t="s">
        <v>259</v>
      </c>
    </row>
    <row r="40" spans="1:15" x14ac:dyDescent="0.2">
      <c r="A40" s="3520" t="s">
        <v>1101</v>
      </c>
      <c r="B40" s="3500" t="s">
        <v>1100</v>
      </c>
      <c r="C40" s="3500">
        <v>4.2392000000000003</v>
      </c>
      <c r="D40" s="3507">
        <v>4.3249999999999997E-2</v>
      </c>
      <c r="E40" s="3507">
        <v>8.25E-4</v>
      </c>
      <c r="F40" s="3507">
        <v>1.9350000000000001E-3</v>
      </c>
      <c r="G40" s="3500">
        <v>0.18334539999999999</v>
      </c>
      <c r="H40" s="3500" t="s">
        <v>259</v>
      </c>
      <c r="I40" s="3500">
        <v>3.4973399999999998E-3</v>
      </c>
      <c r="J40" s="3500" t="s">
        <v>259</v>
      </c>
      <c r="K40" s="3500">
        <v>8.2028520000000001E-3</v>
      </c>
      <c r="L40" s="3500" t="s">
        <v>259</v>
      </c>
    </row>
    <row r="41" spans="1:15" ht="12" customHeight="1" x14ac:dyDescent="0.2">
      <c r="A41" s="680" t="s">
        <v>1099</v>
      </c>
      <c r="B41" s="3497" t="s">
        <v>986</v>
      </c>
      <c r="C41" s="3497" t="s">
        <v>986</v>
      </c>
      <c r="D41" s="3497" t="s">
        <v>986</v>
      </c>
      <c r="E41" s="3497" t="s">
        <v>986</v>
      </c>
      <c r="F41" s="3497" t="s">
        <v>986</v>
      </c>
      <c r="G41" s="3507" t="s">
        <v>986</v>
      </c>
      <c r="H41" s="3507" t="s">
        <v>986</v>
      </c>
      <c r="I41" s="3507" t="s">
        <v>986</v>
      </c>
      <c r="J41" s="3507" t="s">
        <v>986</v>
      </c>
      <c r="K41" s="3507" t="s">
        <v>986</v>
      </c>
      <c r="L41" s="3507" t="s">
        <v>986</v>
      </c>
      <c r="M41" s="660"/>
      <c r="N41" s="660"/>
      <c r="O41" s="660"/>
    </row>
    <row r="42" spans="1:15" ht="12.75" customHeight="1" x14ac:dyDescent="0.2">
      <c r="A42" s="3519" t="s">
        <v>1098</v>
      </c>
      <c r="B42" s="3500" t="s">
        <v>986</v>
      </c>
      <c r="C42" s="3500" t="s">
        <v>986</v>
      </c>
      <c r="D42" s="3507" t="s">
        <v>986</v>
      </c>
      <c r="E42" s="3507" t="s">
        <v>986</v>
      </c>
      <c r="F42" s="3507" t="s">
        <v>986</v>
      </c>
      <c r="G42" s="3500" t="s">
        <v>986</v>
      </c>
      <c r="H42" s="3500" t="s">
        <v>986</v>
      </c>
      <c r="I42" s="3500" t="s">
        <v>986</v>
      </c>
      <c r="J42" s="3500" t="s">
        <v>986</v>
      </c>
      <c r="K42" s="3500" t="s">
        <v>986</v>
      </c>
      <c r="L42" s="3500" t="s">
        <v>986</v>
      </c>
      <c r="M42" s="679"/>
      <c r="N42" s="660"/>
      <c r="O42" s="660"/>
    </row>
    <row r="43" spans="1:15" ht="12" customHeight="1" x14ac:dyDescent="0.2">
      <c r="A43" s="678" t="s">
        <v>564</v>
      </c>
      <c r="B43" s="663"/>
      <c r="C43" s="663"/>
      <c r="D43" s="663"/>
      <c r="E43" s="663"/>
      <c r="F43" s="663"/>
      <c r="G43" s="663"/>
      <c r="H43" s="663"/>
      <c r="I43" s="663"/>
      <c r="J43" s="663"/>
      <c r="K43" s="663"/>
      <c r="L43" s="663"/>
      <c r="M43" s="660"/>
      <c r="N43" s="660"/>
      <c r="O43" s="660"/>
    </row>
    <row r="44" spans="1:15" ht="13.5" x14ac:dyDescent="0.2">
      <c r="A44" s="5434" t="s">
        <v>1097</v>
      </c>
      <c r="B44" s="5434"/>
      <c r="C44" s="5434"/>
      <c r="D44" s="5434"/>
      <c r="E44" s="5434"/>
      <c r="F44" s="5434"/>
      <c r="G44" s="5434"/>
      <c r="H44" s="5434"/>
      <c r="I44" s="5434"/>
      <c r="J44" s="5434"/>
      <c r="K44" s="5434"/>
      <c r="L44" s="5434"/>
      <c r="M44" s="660"/>
      <c r="N44" s="660"/>
      <c r="O44" s="660"/>
    </row>
    <row r="45" spans="1:15" ht="13.5" x14ac:dyDescent="0.2">
      <c r="A45" s="5456" t="s">
        <v>1096</v>
      </c>
      <c r="B45" s="5456"/>
      <c r="C45" s="5456"/>
      <c r="D45" s="5456"/>
      <c r="E45" s="5456"/>
      <c r="F45" s="5456"/>
      <c r="G45" s="5456"/>
      <c r="H45" s="661"/>
      <c r="I45" s="661"/>
      <c r="J45" s="661"/>
      <c r="K45" s="661"/>
      <c r="L45" s="661"/>
      <c r="M45" s="660"/>
      <c r="N45" s="660"/>
      <c r="O45" s="660"/>
    </row>
    <row r="46" spans="1:15" ht="13.5" customHeight="1" x14ac:dyDescent="0.2">
      <c r="A46" s="5456" t="s">
        <v>1033</v>
      </c>
      <c r="B46" s="5456"/>
      <c r="C46" s="5456"/>
      <c r="D46" s="5456"/>
      <c r="E46" s="5456"/>
      <c r="F46" s="661"/>
      <c r="G46" s="661"/>
      <c r="H46" s="661"/>
      <c r="I46" s="661"/>
      <c r="J46" s="661"/>
      <c r="K46" s="661"/>
      <c r="L46" s="661"/>
      <c r="M46" s="660"/>
      <c r="N46" s="660"/>
      <c r="O46" s="660"/>
    </row>
    <row r="47" spans="1:15" ht="13.5" customHeight="1" x14ac:dyDescent="0.2">
      <c r="A47" s="5456" t="s">
        <v>1032</v>
      </c>
      <c r="B47" s="5456"/>
      <c r="C47" s="661"/>
      <c r="D47" s="661"/>
      <c r="E47" s="661"/>
      <c r="F47" s="661"/>
      <c r="G47" s="661"/>
      <c r="H47" s="661"/>
      <c r="I47" s="661"/>
      <c r="J47" s="661"/>
      <c r="K47" s="661"/>
      <c r="L47" s="661"/>
      <c r="M47" s="660"/>
      <c r="N47" s="660"/>
      <c r="O47" s="660"/>
    </row>
    <row r="48" spans="1:15" ht="29.25" customHeight="1" x14ac:dyDescent="0.2">
      <c r="A48" s="5459" t="s">
        <v>1095</v>
      </c>
      <c r="B48" s="5459"/>
      <c r="C48" s="5459"/>
      <c r="D48" s="5459"/>
      <c r="E48" s="5459"/>
      <c r="F48" s="5459"/>
      <c r="G48" s="5459"/>
      <c r="H48" s="5459"/>
      <c r="I48" s="5459"/>
      <c r="J48" s="5459"/>
      <c r="K48" s="5459"/>
      <c r="L48" s="5459"/>
      <c r="M48" s="660"/>
      <c r="N48" s="660"/>
      <c r="O48" s="660"/>
    </row>
    <row r="49" spans="1:15" ht="13.5" x14ac:dyDescent="0.2">
      <c r="A49" s="5459" t="s">
        <v>1094</v>
      </c>
      <c r="B49" s="5459"/>
      <c r="C49" s="5459"/>
      <c r="D49" s="5459"/>
      <c r="E49" s="5459"/>
      <c r="F49" s="5459"/>
      <c r="G49" s="5459"/>
      <c r="H49" s="5459"/>
      <c r="I49" s="5459"/>
      <c r="J49" s="5459"/>
      <c r="K49" s="5459"/>
      <c r="L49" s="5459"/>
      <c r="M49" s="660"/>
      <c r="N49" s="660"/>
      <c r="O49" s="660"/>
    </row>
    <row r="50" spans="1:15" ht="31.5" customHeight="1" x14ac:dyDescent="0.2">
      <c r="A50" s="5459" t="s">
        <v>1093</v>
      </c>
      <c r="B50" s="5459"/>
      <c r="C50" s="5459"/>
      <c r="D50" s="5459"/>
      <c r="E50" s="5459"/>
      <c r="F50" s="5459"/>
      <c r="G50" s="5459"/>
      <c r="H50" s="5459"/>
      <c r="I50" s="5459"/>
      <c r="J50" s="5459"/>
      <c r="K50" s="5459"/>
      <c r="L50" s="5459"/>
      <c r="M50" s="660"/>
      <c r="N50" s="660"/>
      <c r="O50" s="660"/>
    </row>
    <row r="51" spans="1:15" ht="30" customHeight="1" x14ac:dyDescent="0.2">
      <c r="A51" s="5434" t="s">
        <v>1092</v>
      </c>
      <c r="B51" s="5435"/>
      <c r="C51" s="5435"/>
      <c r="D51" s="5435"/>
      <c r="E51" s="5435"/>
      <c r="F51" s="5435"/>
      <c r="G51" s="5435"/>
      <c r="H51" s="5435"/>
      <c r="I51" s="5435"/>
      <c r="J51" s="5435"/>
      <c r="K51" s="5435"/>
      <c r="L51" s="5435"/>
      <c r="M51" s="660"/>
      <c r="N51" s="660"/>
      <c r="O51" s="660"/>
    </row>
    <row r="52" spans="1:15" ht="12.75" customHeight="1" x14ac:dyDescent="0.2">
      <c r="A52" s="661"/>
      <c r="B52" s="661"/>
      <c r="C52" s="661"/>
      <c r="D52" s="661"/>
      <c r="E52" s="661"/>
      <c r="F52" s="661"/>
      <c r="G52" s="661"/>
      <c r="H52" s="661"/>
      <c r="I52" s="661"/>
      <c r="J52" s="661"/>
      <c r="K52" s="661"/>
      <c r="L52" s="661"/>
      <c r="M52" s="660"/>
      <c r="N52" s="660"/>
      <c r="O52" s="660"/>
    </row>
    <row r="53" spans="1:15" ht="12" customHeight="1" x14ac:dyDescent="0.2">
      <c r="A53" s="5710" t="s">
        <v>1091</v>
      </c>
      <c r="B53" s="5711"/>
      <c r="C53" s="5711"/>
      <c r="D53" s="5711"/>
      <c r="E53" s="5711"/>
      <c r="F53" s="5711"/>
      <c r="G53" s="5711"/>
      <c r="H53" s="5711"/>
      <c r="I53" s="5711"/>
      <c r="J53" s="5711"/>
      <c r="K53" s="5711"/>
      <c r="L53" s="5712"/>
      <c r="M53" s="660"/>
      <c r="N53" s="660"/>
      <c r="O53" s="660"/>
    </row>
    <row r="54" spans="1:15" ht="27" customHeight="1" x14ac:dyDescent="0.2">
      <c r="A54" s="5462" t="s">
        <v>1090</v>
      </c>
      <c r="B54" s="5463"/>
      <c r="C54" s="5463"/>
      <c r="D54" s="5463"/>
      <c r="E54" s="5463"/>
      <c r="F54" s="5463"/>
      <c r="G54" s="5463"/>
      <c r="H54" s="5463"/>
      <c r="I54" s="5463"/>
      <c r="J54" s="5463"/>
      <c r="K54" s="5463"/>
      <c r="L54" s="5464"/>
      <c r="M54" s="660"/>
      <c r="N54" s="660"/>
      <c r="O54" s="660"/>
    </row>
    <row r="55" spans="1:15" ht="15.75" customHeight="1" x14ac:dyDescent="0.2">
      <c r="A55" s="5462" t="s">
        <v>1089</v>
      </c>
      <c r="B55" s="5463"/>
      <c r="C55" s="5463"/>
      <c r="D55" s="5463"/>
      <c r="E55" s="5463"/>
      <c r="F55" s="5463"/>
      <c r="G55" s="5463"/>
      <c r="H55" s="5463"/>
      <c r="I55" s="5463"/>
      <c r="J55" s="5463"/>
      <c r="K55" s="5463"/>
      <c r="L55" s="5464"/>
      <c r="M55" s="660"/>
      <c r="N55" s="660"/>
      <c r="O55" s="660"/>
    </row>
    <row r="56" spans="1:15" ht="12" customHeight="1" x14ac:dyDescent="0.2">
      <c r="A56" s="5465" t="s">
        <v>1088</v>
      </c>
      <c r="B56" s="5466"/>
      <c r="C56" s="5466"/>
      <c r="D56" s="5466"/>
      <c r="E56" s="5466"/>
      <c r="F56" s="5466"/>
      <c r="G56" s="5466"/>
      <c r="H56" s="5466"/>
      <c r="I56" s="5466"/>
      <c r="J56" s="5466"/>
      <c r="K56" s="5466"/>
      <c r="L56" s="5467"/>
      <c r="M56" s="660"/>
      <c r="N56" s="660"/>
      <c r="O56" s="660"/>
    </row>
    <row r="57" spans="1:15" ht="12" customHeight="1" x14ac:dyDescent="0.2">
      <c r="A57" s="3494" t="s">
        <v>980</v>
      </c>
      <c r="B57" s="5696" t="s">
        <v>986</v>
      </c>
      <c r="C57" s="5697"/>
      <c r="D57" s="5697"/>
      <c r="E57" s="5697"/>
      <c r="F57" s="5697"/>
      <c r="G57" s="5697"/>
      <c r="H57" s="5697"/>
      <c r="I57" s="5697"/>
      <c r="J57" s="5697"/>
      <c r="K57" s="5697"/>
      <c r="L57" s="5697"/>
      <c r="M57" s="660"/>
      <c r="N57" s="660"/>
      <c r="O57" s="660"/>
    </row>
    <row r="58" spans="1:15" ht="12" customHeight="1" x14ac:dyDescent="0.2">
      <c r="A58" s="3494" t="s">
        <v>980</v>
      </c>
      <c r="B58" s="5696" t="s">
        <v>986</v>
      </c>
      <c r="C58" s="5709"/>
      <c r="D58" s="5709"/>
      <c r="E58" s="5709"/>
      <c r="F58" s="5709"/>
      <c r="G58" s="5709"/>
      <c r="H58" s="5709"/>
      <c r="I58" s="5709"/>
      <c r="J58" s="5709"/>
      <c r="K58" s="5709"/>
      <c r="L58" s="5709"/>
    </row>
    <row r="59" spans="1:15" ht="12" customHeight="1" x14ac:dyDescent="0.2">
      <c r="A59" s="3494" t="s">
        <v>980</v>
      </c>
      <c r="B59" s="5696" t="s">
        <v>986</v>
      </c>
      <c r="C59" s="5709"/>
      <c r="D59" s="5709"/>
      <c r="E59" s="5709"/>
      <c r="F59" s="5709"/>
      <c r="G59" s="5709"/>
      <c r="H59" s="5709"/>
      <c r="I59" s="5709"/>
      <c r="J59" s="5709"/>
      <c r="K59" s="5709"/>
      <c r="L59" s="5709"/>
    </row>
    <row r="60" spans="1:15" ht="12" customHeight="1" x14ac:dyDescent="0.2">
      <c r="A60" s="3494" t="s">
        <v>980</v>
      </c>
      <c r="B60" s="5696" t="s">
        <v>5198</v>
      </c>
      <c r="C60" s="5709"/>
      <c r="D60" s="5709"/>
      <c r="E60" s="5709"/>
      <c r="F60" s="5709"/>
      <c r="G60" s="5709"/>
      <c r="H60" s="5709"/>
      <c r="I60" s="5709"/>
      <c r="J60" s="5709"/>
      <c r="K60" s="5709"/>
      <c r="L60" s="5709"/>
    </row>
    <row r="61" spans="1:15" ht="12" customHeight="1" x14ac:dyDescent="0.2">
      <c r="A61" s="3494" t="s">
        <v>980</v>
      </c>
      <c r="B61" s="5696" t="s">
        <v>986</v>
      </c>
      <c r="C61" s="5709"/>
      <c r="D61" s="5709"/>
      <c r="E61" s="5709"/>
      <c r="F61" s="5709"/>
      <c r="G61" s="5709"/>
      <c r="H61" s="5709"/>
      <c r="I61" s="5709"/>
      <c r="J61" s="5709"/>
      <c r="K61" s="5709"/>
      <c r="L61" s="5709"/>
    </row>
    <row r="62" spans="1:15" ht="12" customHeight="1" x14ac:dyDescent="0.2">
      <c r="A62" s="3494" t="s">
        <v>980</v>
      </c>
      <c r="B62" s="5696" t="s">
        <v>986</v>
      </c>
      <c r="C62" s="5709"/>
      <c r="D62" s="5709"/>
      <c r="E62" s="5709"/>
      <c r="F62" s="5709"/>
      <c r="G62" s="5709"/>
      <c r="H62" s="5709"/>
      <c r="I62" s="5709"/>
      <c r="J62" s="5709"/>
      <c r="K62" s="5709"/>
      <c r="L62" s="5709"/>
    </row>
    <row r="63" spans="1:15" ht="12" customHeight="1" x14ac:dyDescent="0.2">
      <c r="A63" s="3494" t="s">
        <v>980</v>
      </c>
      <c r="B63" s="5696" t="s">
        <v>986</v>
      </c>
      <c r="C63" s="5709"/>
      <c r="D63" s="5709"/>
      <c r="E63" s="5709"/>
      <c r="F63" s="5709"/>
      <c r="G63" s="5709"/>
      <c r="H63" s="5709"/>
      <c r="I63" s="5709"/>
      <c r="J63" s="5709"/>
      <c r="K63" s="5709"/>
      <c r="L63" s="5709"/>
    </row>
    <row r="64" spans="1:15" ht="12" customHeight="1" x14ac:dyDescent="0.2">
      <c r="A64" s="3494" t="s">
        <v>980</v>
      </c>
      <c r="B64" s="5696" t="s">
        <v>986</v>
      </c>
      <c r="C64" s="5709"/>
      <c r="D64" s="5709"/>
      <c r="E64" s="5709"/>
      <c r="F64" s="5709"/>
      <c r="G64" s="5709"/>
      <c r="H64" s="5709"/>
      <c r="I64" s="5709"/>
      <c r="J64" s="5709"/>
      <c r="K64" s="5709"/>
      <c r="L64" s="5709"/>
    </row>
    <row r="65" spans="1:12" ht="12" customHeight="1" x14ac:dyDescent="0.2">
      <c r="A65" s="3494" t="s">
        <v>980</v>
      </c>
      <c r="B65" s="5696" t="s">
        <v>986</v>
      </c>
      <c r="C65" s="5709"/>
      <c r="D65" s="5709"/>
      <c r="E65" s="5709"/>
      <c r="F65" s="5709"/>
      <c r="G65" s="5709"/>
      <c r="H65" s="5709"/>
      <c r="I65" s="5709"/>
      <c r="J65" s="5709"/>
      <c r="K65" s="5709"/>
      <c r="L65" s="5709"/>
    </row>
    <row r="66" spans="1:12" ht="12" customHeight="1" x14ac:dyDescent="0.2">
      <c r="A66" s="3494" t="s">
        <v>980</v>
      </c>
      <c r="B66" s="5696" t="s">
        <v>986</v>
      </c>
      <c r="C66" s="5709"/>
      <c r="D66" s="5709"/>
      <c r="E66" s="5709"/>
      <c r="F66" s="5709"/>
      <c r="G66" s="5709"/>
      <c r="H66" s="5709"/>
      <c r="I66" s="5709"/>
      <c r="J66" s="5709"/>
      <c r="K66" s="5709"/>
      <c r="L66" s="5709"/>
    </row>
    <row r="67" spans="1:12" ht="12" customHeight="1" x14ac:dyDescent="0.2">
      <c r="A67" s="3494" t="s">
        <v>980</v>
      </c>
      <c r="B67" s="5696" t="s">
        <v>986</v>
      </c>
      <c r="C67" s="5709"/>
      <c r="D67" s="5709"/>
      <c r="E67" s="5709"/>
      <c r="F67" s="5709"/>
      <c r="G67" s="5709"/>
      <c r="H67" s="5709"/>
      <c r="I67" s="5709"/>
      <c r="J67" s="5709"/>
      <c r="K67" s="5709"/>
      <c r="L67" s="5709"/>
    </row>
    <row r="68" spans="1:12" ht="12" customHeight="1" x14ac:dyDescent="0.2">
      <c r="A68" s="3494" t="s">
        <v>980</v>
      </c>
      <c r="B68" s="5696" t="s">
        <v>986</v>
      </c>
      <c r="C68" s="5709"/>
      <c r="D68" s="5709"/>
      <c r="E68" s="5709"/>
      <c r="F68" s="5709"/>
      <c r="G68" s="5709"/>
      <c r="H68" s="5709"/>
      <c r="I68" s="5709"/>
      <c r="J68" s="5709"/>
      <c r="K68" s="5709"/>
      <c r="L68" s="5709"/>
    </row>
    <row r="69" spans="1:12" ht="12" customHeight="1" x14ac:dyDescent="0.2">
      <c r="A69" s="3494" t="s">
        <v>980</v>
      </c>
      <c r="B69" s="5696" t="s">
        <v>986</v>
      </c>
      <c r="C69" s="5709"/>
      <c r="D69" s="5709"/>
      <c r="E69" s="5709"/>
      <c r="F69" s="5709"/>
      <c r="G69" s="5709"/>
      <c r="H69" s="5709"/>
      <c r="I69" s="5709"/>
      <c r="J69" s="5709"/>
      <c r="K69" s="5709"/>
      <c r="L69" s="5709"/>
    </row>
    <row r="70" spans="1:12" ht="12" customHeight="1" x14ac:dyDescent="0.2">
      <c r="A70" s="3494" t="s">
        <v>980</v>
      </c>
      <c r="B70" s="5696" t="s">
        <v>986</v>
      </c>
      <c r="C70" s="5709"/>
      <c r="D70" s="5709"/>
      <c r="E70" s="5709"/>
      <c r="F70" s="5709"/>
      <c r="G70" s="5709"/>
      <c r="H70" s="5709"/>
      <c r="I70" s="5709"/>
      <c r="J70" s="5709"/>
      <c r="K70" s="5709"/>
      <c r="L70" s="5709"/>
    </row>
    <row r="71" spans="1:12" ht="12" customHeight="1" x14ac:dyDescent="0.2">
      <c r="A71" s="3494" t="s">
        <v>980</v>
      </c>
      <c r="B71" s="5696" t="s">
        <v>986</v>
      </c>
      <c r="C71" s="5709"/>
      <c r="D71" s="5709"/>
      <c r="E71" s="5709"/>
      <c r="F71" s="5709"/>
      <c r="G71" s="5709"/>
      <c r="H71" s="5709"/>
      <c r="I71" s="5709"/>
      <c r="J71" s="5709"/>
      <c r="K71" s="5709"/>
      <c r="L71" s="5709"/>
    </row>
    <row r="72" spans="1:12" ht="12" customHeight="1" x14ac:dyDescent="0.2">
      <c r="A72" s="3494" t="s">
        <v>980</v>
      </c>
      <c r="B72" s="5696" t="s">
        <v>986</v>
      </c>
      <c r="C72" s="5709"/>
      <c r="D72" s="5709"/>
      <c r="E72" s="5709"/>
      <c r="F72" s="5709"/>
      <c r="G72" s="5709"/>
      <c r="H72" s="5709"/>
      <c r="I72" s="5709"/>
      <c r="J72" s="5709"/>
      <c r="K72" s="5709"/>
      <c r="L72" s="5709"/>
    </row>
    <row r="73" spans="1:12" ht="12" customHeight="1" x14ac:dyDescent="0.2">
      <c r="A73" s="3494" t="s">
        <v>980</v>
      </c>
      <c r="B73" s="5696" t="s">
        <v>986</v>
      </c>
      <c r="C73" s="5709"/>
      <c r="D73" s="5709"/>
      <c r="E73" s="5709"/>
      <c r="F73" s="5709"/>
      <c r="G73" s="5709"/>
      <c r="H73" s="5709"/>
      <c r="I73" s="5709"/>
      <c r="J73" s="5709"/>
      <c r="K73" s="5709"/>
      <c r="L73" s="5709"/>
    </row>
    <row r="74" spans="1:12" ht="12" customHeight="1" x14ac:dyDescent="0.2">
      <c r="A74" s="3494" t="s">
        <v>980</v>
      </c>
      <c r="B74" s="5696" t="s">
        <v>986</v>
      </c>
      <c r="C74" s="5709"/>
      <c r="D74" s="5709"/>
      <c r="E74" s="5709"/>
      <c r="F74" s="5709"/>
      <c r="G74" s="5709"/>
      <c r="H74" s="5709"/>
      <c r="I74" s="5709"/>
      <c r="J74" s="5709"/>
      <c r="K74" s="5709"/>
      <c r="L74" s="5709"/>
    </row>
    <row r="75" spans="1:12" ht="12" customHeight="1" x14ac:dyDescent="0.2">
      <c r="A75" s="3494" t="s">
        <v>980</v>
      </c>
      <c r="B75" s="5696" t="s">
        <v>986</v>
      </c>
      <c r="C75" s="5709"/>
      <c r="D75" s="5709"/>
      <c r="E75" s="5709"/>
      <c r="F75" s="5709"/>
      <c r="G75" s="5709"/>
      <c r="H75" s="5709"/>
      <c r="I75" s="5709"/>
      <c r="J75" s="5709"/>
      <c r="K75" s="5709"/>
      <c r="L75" s="5709"/>
    </row>
    <row r="76" spans="1:12" ht="12" customHeight="1" x14ac:dyDescent="0.2">
      <c r="A76" s="3494" t="s">
        <v>980</v>
      </c>
      <c r="B76" s="5696" t="s">
        <v>986</v>
      </c>
      <c r="C76" s="5709"/>
      <c r="D76" s="5709"/>
      <c r="E76" s="5709"/>
      <c r="F76" s="5709"/>
      <c r="G76" s="5709"/>
      <c r="H76" s="5709"/>
      <c r="I76" s="5709"/>
      <c r="J76" s="5709"/>
      <c r="K76" s="5709"/>
      <c r="L76" s="5709"/>
    </row>
    <row r="77" spans="1:12" ht="12" customHeight="1" x14ac:dyDescent="0.2">
      <c r="A77" s="3494" t="s">
        <v>980</v>
      </c>
      <c r="B77" s="5696" t="s">
        <v>986</v>
      </c>
      <c r="C77" s="5709"/>
      <c r="D77" s="5709"/>
      <c r="E77" s="5709"/>
      <c r="F77" s="5709"/>
      <c r="G77" s="5709"/>
      <c r="H77" s="5709"/>
      <c r="I77" s="5709"/>
      <c r="J77" s="5709"/>
      <c r="K77" s="5709"/>
      <c r="L77" s="5709"/>
    </row>
    <row r="78" spans="1:12" ht="12" customHeight="1" x14ac:dyDescent="0.2">
      <c r="A78" s="3494" t="s">
        <v>980</v>
      </c>
      <c r="B78" s="5696" t="s">
        <v>986</v>
      </c>
      <c r="C78" s="5709"/>
      <c r="D78" s="5709"/>
      <c r="E78" s="5709"/>
      <c r="F78" s="5709"/>
      <c r="G78" s="5709"/>
      <c r="H78" s="5709"/>
      <c r="I78" s="5709"/>
      <c r="J78" s="5709"/>
      <c r="K78" s="5709"/>
      <c r="L78" s="5709"/>
    </row>
    <row r="79" spans="1:12" ht="12" customHeight="1" x14ac:dyDescent="0.2">
      <c r="A79" s="3494" t="s">
        <v>980</v>
      </c>
      <c r="B79" s="5696" t="s">
        <v>986</v>
      </c>
      <c r="C79" s="5709"/>
      <c r="D79" s="5709"/>
      <c r="E79" s="5709"/>
      <c r="F79" s="5709"/>
      <c r="G79" s="5709"/>
      <c r="H79" s="5709"/>
      <c r="I79" s="5709"/>
      <c r="J79" s="5709"/>
      <c r="K79" s="5709"/>
      <c r="L79" s="5709"/>
    </row>
    <row r="80" spans="1:12" ht="12" customHeight="1" x14ac:dyDescent="0.2">
      <c r="A80" s="3494" t="s">
        <v>980</v>
      </c>
      <c r="B80" s="5696" t="s">
        <v>986</v>
      </c>
      <c r="C80" s="5709"/>
      <c r="D80" s="5709"/>
      <c r="E80" s="5709"/>
      <c r="F80" s="5709"/>
      <c r="G80" s="5709"/>
      <c r="H80" s="5709"/>
      <c r="I80" s="5709"/>
      <c r="J80" s="5709"/>
      <c r="K80" s="5709"/>
      <c r="L80" s="5709"/>
    </row>
    <row r="81" spans="1:12" ht="12" customHeight="1" x14ac:dyDescent="0.2">
      <c r="A81" s="3494" t="s">
        <v>980</v>
      </c>
      <c r="B81" s="5696" t="s">
        <v>986</v>
      </c>
      <c r="C81" s="5709"/>
      <c r="D81" s="5709"/>
      <c r="E81" s="5709"/>
      <c r="F81" s="5709"/>
      <c r="G81" s="5709"/>
      <c r="H81" s="5709"/>
      <c r="I81" s="5709"/>
      <c r="J81" s="5709"/>
      <c r="K81" s="5709"/>
      <c r="L81" s="5709"/>
    </row>
    <row r="82" spans="1:12" ht="12" customHeight="1" x14ac:dyDescent="0.2">
      <c r="A82" s="3494" t="s">
        <v>980</v>
      </c>
      <c r="B82" s="5696" t="s">
        <v>986</v>
      </c>
      <c r="C82" s="5709"/>
      <c r="D82" s="5709"/>
      <c r="E82" s="5709"/>
      <c r="F82" s="5709"/>
      <c r="G82" s="5709"/>
      <c r="H82" s="5709"/>
      <c r="I82" s="5709"/>
      <c r="J82" s="5709"/>
      <c r="K82" s="5709"/>
      <c r="L82" s="5709"/>
    </row>
    <row r="83" spans="1:12" ht="12" customHeight="1" x14ac:dyDescent="0.2">
      <c r="A83" s="3494" t="s">
        <v>980</v>
      </c>
      <c r="B83" s="5696" t="s">
        <v>986</v>
      </c>
      <c r="C83" s="5709"/>
      <c r="D83" s="5709"/>
      <c r="E83" s="5709"/>
      <c r="F83" s="5709"/>
      <c r="G83" s="5709"/>
      <c r="H83" s="5709"/>
      <c r="I83" s="5709"/>
      <c r="J83" s="5709"/>
      <c r="K83" s="5709"/>
      <c r="L83" s="5709"/>
    </row>
    <row r="84" spans="1:12" ht="12" customHeight="1" x14ac:dyDescent="0.2">
      <c r="A84" s="3494" t="s">
        <v>980</v>
      </c>
      <c r="B84" s="5696" t="s">
        <v>986</v>
      </c>
      <c r="C84" s="5713"/>
      <c r="D84" s="5713"/>
      <c r="E84" s="5713"/>
      <c r="F84" s="5713"/>
      <c r="G84" s="5713"/>
      <c r="H84" s="5713"/>
      <c r="I84" s="5713"/>
      <c r="J84" s="5713"/>
      <c r="K84" s="5713"/>
      <c r="L84" s="5713"/>
    </row>
    <row r="85" spans="1:12" ht="12" customHeight="1" x14ac:dyDescent="0.2">
      <c r="A85" s="663"/>
    </row>
  </sheetData>
  <sheetProtection password="A754" sheet="1" objects="1" scenarios="1"/>
  <mergeCells count="53">
    <mergeCell ref="B70:L70"/>
    <mergeCell ref="B71:L71"/>
    <mergeCell ref="B57:L57"/>
    <mergeCell ref="B58:L58"/>
    <mergeCell ref="B59:L59"/>
    <mergeCell ref="B60:L60"/>
    <mergeCell ref="B61:L61"/>
    <mergeCell ref="B64:L64"/>
    <mergeCell ref="B69:L69"/>
    <mergeCell ref="B65:L65"/>
    <mergeCell ref="B66:L66"/>
    <mergeCell ref="B67:L67"/>
    <mergeCell ref="B68:L68"/>
    <mergeCell ref="B83:L83"/>
    <mergeCell ref="B84:L84"/>
    <mergeCell ref="B77:L77"/>
    <mergeCell ref="B78:L78"/>
    <mergeCell ref="B79:L79"/>
    <mergeCell ref="B80:L80"/>
    <mergeCell ref="B81:L81"/>
    <mergeCell ref="B75:L75"/>
    <mergeCell ref="B76:L76"/>
    <mergeCell ref="B82:L82"/>
    <mergeCell ref="B72:L72"/>
    <mergeCell ref="B73:L73"/>
    <mergeCell ref="B74:L74"/>
    <mergeCell ref="A1:F1"/>
    <mergeCell ref="B5:C5"/>
    <mergeCell ref="D5:F5"/>
    <mergeCell ref="G5:L5"/>
    <mergeCell ref="B6:C7"/>
    <mergeCell ref="K6:L6"/>
    <mergeCell ref="D6:D7"/>
    <mergeCell ref="E6:E7"/>
    <mergeCell ref="F6:F7"/>
    <mergeCell ref="G6:H6"/>
    <mergeCell ref="I6:J6"/>
    <mergeCell ref="D8:F8"/>
    <mergeCell ref="G8:L8"/>
    <mergeCell ref="B62:L62"/>
    <mergeCell ref="B63:L63"/>
    <mergeCell ref="A54:L54"/>
    <mergeCell ref="A50:L50"/>
    <mergeCell ref="A46:E46"/>
    <mergeCell ref="A44:L44"/>
    <mergeCell ref="A45:G45"/>
    <mergeCell ref="A55:L55"/>
    <mergeCell ref="A56:L56"/>
    <mergeCell ref="A47:B47"/>
    <mergeCell ref="A48:L48"/>
    <mergeCell ref="A49:L49"/>
    <mergeCell ref="A51:L51"/>
    <mergeCell ref="A53:L53"/>
  </mergeCells>
  <printOptions horizontalCentered="1" verticalCentered="1"/>
  <pageMargins left="0.39370078740157483" right="0.39370078740157483" top="0.39370078740157483" bottom="0.39370078740157483" header="0.19685039370078741" footer="0.19685039370078741"/>
  <pageSetup paperSize="9" scale="61"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8E88F-8A30-45E4-9AC5-72FB3D68353B}">
  <sheetPr codeName="Ark40">
    <tabColor theme="0" tint="-0.249977111117893"/>
    <pageSetUpPr fitToPage="1"/>
  </sheetPr>
  <dimension ref="A1:AJ93"/>
  <sheetViews>
    <sheetView showGridLines="0" workbookViewId="0">
      <selection sqref="A1:Q1"/>
    </sheetView>
  </sheetViews>
  <sheetFormatPr defaultColWidth="8" defaultRowHeight="15.75" customHeight="1" x14ac:dyDescent="0.2"/>
  <cols>
    <col min="1" max="1" width="40.85546875" style="659" customWidth="1"/>
    <col min="2" max="20" width="8.42578125" style="659" customWidth="1"/>
    <col min="21" max="22" width="9.7109375" style="659" customWidth="1"/>
    <col min="23" max="31" width="8.42578125" style="659" customWidth="1"/>
    <col min="32" max="33" width="9.7109375" style="659" customWidth="1"/>
    <col min="34" max="34" width="10.5703125" style="659" customWidth="1"/>
    <col min="35" max="36" width="8.42578125" style="659" customWidth="1"/>
    <col min="37" max="16384" width="8" style="659"/>
  </cols>
  <sheetData>
    <row r="1" spans="1:36" ht="17.25" customHeight="1" x14ac:dyDescent="0.2">
      <c r="A1" s="5483" t="s">
        <v>1198</v>
      </c>
      <c r="B1" s="5483"/>
      <c r="C1" s="5483"/>
      <c r="D1" s="5483"/>
      <c r="E1" s="5483"/>
      <c r="F1" s="5483"/>
      <c r="G1" s="5483"/>
      <c r="H1" s="5483"/>
      <c r="I1" s="5483"/>
      <c r="J1" s="5483"/>
      <c r="K1" s="5483"/>
      <c r="L1" s="5483"/>
      <c r="M1" s="5483"/>
      <c r="N1" s="5483"/>
      <c r="O1" s="5483"/>
      <c r="P1" s="5483"/>
      <c r="Q1" s="5483"/>
      <c r="R1" s="661"/>
      <c r="S1" s="661"/>
      <c r="T1" s="661"/>
      <c r="U1" s="661"/>
      <c r="V1" s="661"/>
      <c r="W1" s="661"/>
      <c r="X1" s="661"/>
      <c r="Y1" s="661"/>
      <c r="Z1" s="661"/>
      <c r="AA1" s="661"/>
      <c r="AB1" s="661"/>
      <c r="AC1" s="661"/>
      <c r="AD1" s="661"/>
      <c r="AE1" s="661"/>
      <c r="AF1" s="695"/>
      <c r="AG1" s="661"/>
      <c r="AH1" s="661"/>
      <c r="AI1" s="668" t="s">
        <v>1791</v>
      </c>
      <c r="AJ1" s="668"/>
    </row>
    <row r="2" spans="1:36" ht="15.75" customHeight="1" x14ac:dyDescent="0.2">
      <c r="A2" s="687" t="s">
        <v>1197</v>
      </c>
      <c r="B2" s="697"/>
      <c r="C2" s="697"/>
      <c r="D2" s="697"/>
      <c r="E2" s="697"/>
      <c r="F2" s="697"/>
      <c r="G2" s="697"/>
      <c r="H2" s="697"/>
      <c r="I2" s="697"/>
      <c r="J2" s="697"/>
      <c r="K2" s="697"/>
      <c r="L2" s="697"/>
      <c r="M2" s="697"/>
      <c r="N2" s="697"/>
      <c r="O2" s="697"/>
      <c r="P2" s="697"/>
      <c r="Q2" s="697"/>
      <c r="R2" s="661"/>
      <c r="S2" s="661"/>
      <c r="T2" s="661"/>
      <c r="U2" s="661"/>
      <c r="V2" s="661"/>
      <c r="W2" s="661"/>
      <c r="X2" s="661"/>
      <c r="Y2" s="661"/>
      <c r="Z2" s="661"/>
      <c r="AA2" s="661"/>
      <c r="AB2" s="661"/>
      <c r="AC2" s="661"/>
      <c r="AD2" s="661"/>
      <c r="AE2" s="661"/>
      <c r="AF2" s="695"/>
      <c r="AG2" s="668"/>
      <c r="AH2" s="668"/>
      <c r="AI2" s="668" t="s">
        <v>1790</v>
      </c>
      <c r="AJ2" s="668"/>
    </row>
    <row r="3" spans="1:36" ht="15.75" customHeight="1" x14ac:dyDescent="0.2">
      <c r="A3" s="696"/>
      <c r="B3" s="661"/>
      <c r="C3" s="661"/>
      <c r="D3" s="661"/>
      <c r="E3" s="661"/>
      <c r="F3" s="661"/>
      <c r="G3" s="661"/>
      <c r="H3" s="661"/>
      <c r="I3" s="661"/>
      <c r="J3" s="661"/>
      <c r="K3" s="661"/>
      <c r="L3" s="661"/>
      <c r="M3" s="661"/>
      <c r="N3" s="661"/>
      <c r="O3" s="661"/>
      <c r="P3" s="661"/>
      <c r="Q3" s="661"/>
      <c r="R3" s="661"/>
      <c r="S3" s="661"/>
      <c r="T3" s="661"/>
      <c r="U3" s="661"/>
      <c r="V3" s="661"/>
      <c r="W3" s="661"/>
      <c r="X3" s="661"/>
      <c r="Y3" s="661"/>
      <c r="Z3" s="661"/>
      <c r="AA3" s="661"/>
      <c r="AB3" s="661"/>
      <c r="AC3" s="661"/>
      <c r="AD3" s="661"/>
      <c r="AE3" s="661"/>
      <c r="AF3" s="695"/>
      <c r="AG3" s="668"/>
      <c r="AH3" s="668"/>
      <c r="AI3" s="668" t="s">
        <v>1789</v>
      </c>
      <c r="AJ3" s="668"/>
    </row>
    <row r="4" spans="1:36" ht="16.5" customHeight="1" x14ac:dyDescent="0.2">
      <c r="A4" s="677"/>
      <c r="B4" s="661"/>
      <c r="C4" s="661"/>
      <c r="D4" s="661"/>
      <c r="E4" s="661"/>
      <c r="F4" s="661"/>
      <c r="G4" s="661"/>
      <c r="H4" s="661"/>
      <c r="I4" s="661"/>
      <c r="J4" s="661"/>
      <c r="K4" s="661"/>
      <c r="L4" s="661"/>
      <c r="M4" s="661"/>
      <c r="N4" s="661"/>
      <c r="O4" s="661"/>
      <c r="P4" s="661"/>
      <c r="Q4" s="661"/>
      <c r="R4" s="661"/>
      <c r="S4" s="661"/>
      <c r="T4" s="661"/>
      <c r="U4" s="661"/>
      <c r="V4" s="661"/>
      <c r="W4" s="661"/>
      <c r="X4" s="661"/>
      <c r="Y4" s="661"/>
      <c r="Z4" s="661"/>
      <c r="AA4" s="661"/>
      <c r="AB4" s="661"/>
      <c r="AC4" s="661"/>
      <c r="AD4" s="661"/>
      <c r="AE4" s="661"/>
      <c r="AF4" s="661"/>
      <c r="AG4" s="661"/>
      <c r="AH4" s="661"/>
      <c r="AI4" s="661"/>
      <c r="AJ4" s="661"/>
    </row>
    <row r="5" spans="1:36" ht="78" customHeight="1" x14ac:dyDescent="0.2">
      <c r="A5" s="5716" t="s">
        <v>1025</v>
      </c>
      <c r="B5" s="3542" t="s">
        <v>1196</v>
      </c>
      <c r="C5" s="3539" t="s">
        <v>1195</v>
      </c>
      <c r="D5" s="3539" t="s">
        <v>1194</v>
      </c>
      <c r="E5" s="3539" t="s">
        <v>1193</v>
      </c>
      <c r="F5" s="3539" t="s">
        <v>1192</v>
      </c>
      <c r="G5" s="3539" t="s">
        <v>1191</v>
      </c>
      <c r="H5" s="3539" t="s">
        <v>1190</v>
      </c>
      <c r="I5" s="3539" t="s">
        <v>1189</v>
      </c>
      <c r="J5" s="3539" t="s">
        <v>1188</v>
      </c>
      <c r="K5" s="3539" t="s">
        <v>1187</v>
      </c>
      <c r="L5" s="3539" t="s">
        <v>1186</v>
      </c>
      <c r="M5" s="3539" t="s">
        <v>1185</v>
      </c>
      <c r="N5" s="3539" t="s">
        <v>1184</v>
      </c>
      <c r="O5" s="3539" t="s">
        <v>1183</v>
      </c>
      <c r="P5" s="3539" t="s">
        <v>1182</v>
      </c>
      <c r="Q5" s="3539" t="s">
        <v>1181</v>
      </c>
      <c r="R5" s="3539" t="s">
        <v>1180</v>
      </c>
      <c r="S5" s="3537" t="s">
        <v>1179</v>
      </c>
      <c r="T5" s="3537" t="s">
        <v>1178</v>
      </c>
      <c r="U5" s="3538" t="s">
        <v>1177</v>
      </c>
      <c r="V5" s="3539" t="s">
        <v>1176</v>
      </c>
      <c r="W5" s="3541" t="s">
        <v>1175</v>
      </c>
      <c r="X5" s="3541" t="s">
        <v>1174</v>
      </c>
      <c r="Y5" s="3541" t="s">
        <v>1173</v>
      </c>
      <c r="Z5" s="3541" t="s">
        <v>1172</v>
      </c>
      <c r="AA5" s="3541" t="s">
        <v>1171</v>
      </c>
      <c r="AB5" s="3541" t="s">
        <v>1170</v>
      </c>
      <c r="AC5" s="3541" t="s">
        <v>1169</v>
      </c>
      <c r="AD5" s="3540" t="s">
        <v>1168</v>
      </c>
      <c r="AE5" s="3540" t="s">
        <v>1167</v>
      </c>
      <c r="AF5" s="3538" t="s">
        <v>1166</v>
      </c>
      <c r="AG5" s="3539" t="s">
        <v>1165</v>
      </c>
      <c r="AH5" s="3538" t="s">
        <v>1019</v>
      </c>
      <c r="AI5" s="3537" t="s">
        <v>1018</v>
      </c>
      <c r="AJ5" s="3536" t="s">
        <v>1164</v>
      </c>
    </row>
    <row r="6" spans="1:36" ht="40.5" customHeight="1" thickBot="1" x14ac:dyDescent="0.25">
      <c r="A6" s="5485"/>
      <c r="B6" s="5431" t="s">
        <v>1163</v>
      </c>
      <c r="C6" s="5432"/>
      <c r="D6" s="5432"/>
      <c r="E6" s="5432"/>
      <c r="F6" s="5432"/>
      <c r="G6" s="5432"/>
      <c r="H6" s="5432"/>
      <c r="I6" s="5432"/>
      <c r="J6" s="5432"/>
      <c r="K6" s="5432"/>
      <c r="L6" s="5432"/>
      <c r="M6" s="5432"/>
      <c r="N6" s="5432"/>
      <c r="O6" s="5432"/>
      <c r="P6" s="5432"/>
      <c r="Q6" s="5432"/>
      <c r="R6" s="5433"/>
      <c r="S6" s="3297"/>
      <c r="T6" s="3297"/>
      <c r="U6" s="5481" t="s">
        <v>1151</v>
      </c>
      <c r="V6" s="5482"/>
      <c r="W6" s="5431" t="s">
        <v>1163</v>
      </c>
      <c r="X6" s="5432"/>
      <c r="Y6" s="5432"/>
      <c r="Z6" s="5432"/>
      <c r="AA6" s="5432"/>
      <c r="AB6" s="5432"/>
      <c r="AC6" s="5433"/>
      <c r="AD6" s="3297"/>
      <c r="AE6" s="3297"/>
      <c r="AF6" s="5481" t="s">
        <v>1151</v>
      </c>
      <c r="AG6" s="5482"/>
      <c r="AH6" s="694" t="s">
        <v>1012</v>
      </c>
      <c r="AI6" s="3296" t="s">
        <v>1163</v>
      </c>
      <c r="AJ6" s="693" t="s">
        <v>1163</v>
      </c>
    </row>
    <row r="7" spans="1:36" ht="26.25" thickTop="1" x14ac:dyDescent="0.2">
      <c r="A7" s="690" t="s">
        <v>1162</v>
      </c>
      <c r="B7" s="3495" t="s">
        <v>1006</v>
      </c>
      <c r="C7" s="3495">
        <v>15.166105237769999</v>
      </c>
      <c r="D7" s="3495" t="s">
        <v>1006</v>
      </c>
      <c r="E7" s="3495" t="s">
        <v>1006</v>
      </c>
      <c r="F7" s="3495">
        <v>32.704597623129999</v>
      </c>
      <c r="G7" s="3495" t="s">
        <v>1006</v>
      </c>
      <c r="H7" s="3495">
        <v>87.789528054353994</v>
      </c>
      <c r="I7" s="3495" t="s">
        <v>1006</v>
      </c>
      <c r="J7" s="3495">
        <v>18.481701300179999</v>
      </c>
      <c r="K7" s="3495" t="s">
        <v>1006</v>
      </c>
      <c r="L7" s="3495">
        <v>5.3557199999999998</v>
      </c>
      <c r="M7" s="3495" t="s">
        <v>1006</v>
      </c>
      <c r="N7" s="3495">
        <v>0.70659375999999996</v>
      </c>
      <c r="O7" s="3495" t="s">
        <v>1006</v>
      </c>
      <c r="P7" s="3495" t="s">
        <v>1006</v>
      </c>
      <c r="Q7" s="3495" t="s">
        <v>1006</v>
      </c>
      <c r="R7" s="3495" t="s">
        <v>1006</v>
      </c>
      <c r="S7" s="3495" t="s">
        <v>1006</v>
      </c>
      <c r="T7" s="3495" t="s">
        <v>1006</v>
      </c>
      <c r="U7" s="3495" t="s">
        <v>1006</v>
      </c>
      <c r="V7" s="3497" t="s">
        <v>986</v>
      </c>
      <c r="W7" s="3495">
        <v>0.14994276249999999</v>
      </c>
      <c r="X7" s="3495" t="s">
        <v>1006</v>
      </c>
      <c r="Y7" s="3495" t="s">
        <v>1006</v>
      </c>
      <c r="Z7" s="3495" t="s">
        <v>1006</v>
      </c>
      <c r="AA7" s="3495" t="s">
        <v>1006</v>
      </c>
      <c r="AB7" s="3495" t="s">
        <v>1006</v>
      </c>
      <c r="AC7" s="3495" t="s">
        <v>1006</v>
      </c>
      <c r="AD7" s="3495" t="s">
        <v>1006</v>
      </c>
      <c r="AE7" s="3495" t="s">
        <v>1006</v>
      </c>
      <c r="AF7" s="3495" t="s">
        <v>1006</v>
      </c>
      <c r="AG7" s="3497" t="s">
        <v>986</v>
      </c>
      <c r="AH7" s="3495" t="s">
        <v>1006</v>
      </c>
      <c r="AI7" s="3495">
        <v>3.12461950917</v>
      </c>
      <c r="AJ7" s="3495" t="s">
        <v>1006</v>
      </c>
    </row>
    <row r="8" spans="1:36" ht="12" x14ac:dyDescent="0.2">
      <c r="A8" s="690" t="s">
        <v>1161</v>
      </c>
      <c r="B8" s="3495" t="s">
        <v>1006</v>
      </c>
      <c r="C8" s="3495" t="s">
        <v>1006</v>
      </c>
      <c r="D8" s="3495" t="s">
        <v>1006</v>
      </c>
      <c r="E8" s="3495" t="s">
        <v>1006</v>
      </c>
      <c r="F8" s="3495" t="s">
        <v>1006</v>
      </c>
      <c r="G8" s="3495" t="s">
        <v>1006</v>
      </c>
      <c r="H8" s="3495" t="s">
        <v>1006</v>
      </c>
      <c r="I8" s="3495" t="s">
        <v>1006</v>
      </c>
      <c r="J8" s="3495" t="s">
        <v>1006</v>
      </c>
      <c r="K8" s="3495" t="s">
        <v>1006</v>
      </c>
      <c r="L8" s="3495" t="s">
        <v>1006</v>
      </c>
      <c r="M8" s="3495" t="s">
        <v>1006</v>
      </c>
      <c r="N8" s="3495" t="s">
        <v>1006</v>
      </c>
      <c r="O8" s="3495" t="s">
        <v>1006</v>
      </c>
      <c r="P8" s="3495" t="s">
        <v>1006</v>
      </c>
      <c r="Q8" s="3495" t="s">
        <v>1006</v>
      </c>
      <c r="R8" s="3495" t="s">
        <v>1006</v>
      </c>
      <c r="S8" s="3495" t="s">
        <v>1006</v>
      </c>
      <c r="T8" s="3495" t="s">
        <v>1006</v>
      </c>
      <c r="U8" s="3495" t="s">
        <v>1006</v>
      </c>
      <c r="V8" s="3497" t="s">
        <v>986</v>
      </c>
      <c r="W8" s="3495" t="s">
        <v>1006</v>
      </c>
      <c r="X8" s="3495" t="s">
        <v>1006</v>
      </c>
      <c r="Y8" s="3495" t="s">
        <v>1006</v>
      </c>
      <c r="Z8" s="3495" t="s">
        <v>1006</v>
      </c>
      <c r="AA8" s="3495" t="s">
        <v>1006</v>
      </c>
      <c r="AB8" s="3495" t="s">
        <v>1006</v>
      </c>
      <c r="AC8" s="3495" t="s">
        <v>1006</v>
      </c>
      <c r="AD8" s="3495" t="s">
        <v>1006</v>
      </c>
      <c r="AE8" s="3495" t="s">
        <v>1006</v>
      </c>
      <c r="AF8" s="3495" t="s">
        <v>1006</v>
      </c>
      <c r="AG8" s="3497" t="s">
        <v>986</v>
      </c>
      <c r="AH8" s="3495" t="s">
        <v>1006</v>
      </c>
      <c r="AI8" s="3495" t="s">
        <v>1006</v>
      </c>
      <c r="AJ8" s="3495" t="s">
        <v>1006</v>
      </c>
    </row>
    <row r="9" spans="1:36" ht="12" x14ac:dyDescent="0.2">
      <c r="A9" s="3496" t="s">
        <v>1160</v>
      </c>
      <c r="B9" s="3495" t="s">
        <v>259</v>
      </c>
      <c r="C9" s="3495" t="s">
        <v>259</v>
      </c>
      <c r="D9" s="3495" t="s">
        <v>259</v>
      </c>
      <c r="E9" s="3495" t="s">
        <v>259</v>
      </c>
      <c r="F9" s="3495" t="s">
        <v>259</v>
      </c>
      <c r="G9" s="3495" t="s">
        <v>259</v>
      </c>
      <c r="H9" s="3495" t="s">
        <v>259</v>
      </c>
      <c r="I9" s="3495" t="s">
        <v>259</v>
      </c>
      <c r="J9" s="3495" t="s">
        <v>259</v>
      </c>
      <c r="K9" s="3495" t="s">
        <v>259</v>
      </c>
      <c r="L9" s="3495" t="s">
        <v>259</v>
      </c>
      <c r="M9" s="3495" t="s">
        <v>259</v>
      </c>
      <c r="N9" s="3495" t="s">
        <v>259</v>
      </c>
      <c r="O9" s="3495" t="s">
        <v>259</v>
      </c>
      <c r="P9" s="3495" t="s">
        <v>259</v>
      </c>
      <c r="Q9" s="3495" t="s">
        <v>259</v>
      </c>
      <c r="R9" s="3495" t="s">
        <v>259</v>
      </c>
      <c r="S9" s="3495" t="s">
        <v>259</v>
      </c>
      <c r="T9" s="3495" t="s">
        <v>259</v>
      </c>
      <c r="U9" s="3495" t="s">
        <v>259</v>
      </c>
      <c r="V9" s="3497" t="s">
        <v>986</v>
      </c>
      <c r="W9" s="3495" t="s">
        <v>259</v>
      </c>
      <c r="X9" s="3495" t="s">
        <v>259</v>
      </c>
      <c r="Y9" s="3495" t="s">
        <v>259</v>
      </c>
      <c r="Z9" s="3495" t="s">
        <v>259</v>
      </c>
      <c r="AA9" s="3495" t="s">
        <v>259</v>
      </c>
      <c r="AB9" s="3495" t="s">
        <v>259</v>
      </c>
      <c r="AC9" s="3495" t="s">
        <v>259</v>
      </c>
      <c r="AD9" s="3495" t="s">
        <v>259</v>
      </c>
      <c r="AE9" s="3495" t="s">
        <v>259</v>
      </c>
      <c r="AF9" s="3495" t="s">
        <v>259</v>
      </c>
      <c r="AG9" s="3497" t="s">
        <v>986</v>
      </c>
      <c r="AH9" s="3495" t="s">
        <v>259</v>
      </c>
      <c r="AI9" s="3495" t="s">
        <v>259</v>
      </c>
      <c r="AJ9" s="3495" t="s">
        <v>259</v>
      </c>
    </row>
    <row r="10" spans="1:36" ht="12" x14ac:dyDescent="0.2">
      <c r="A10" s="3535" t="s">
        <v>1159</v>
      </c>
      <c r="B10" s="3495" t="s">
        <v>259</v>
      </c>
      <c r="C10" s="3495" t="s">
        <v>259</v>
      </c>
      <c r="D10" s="3495" t="s">
        <v>259</v>
      </c>
      <c r="E10" s="3495" t="s">
        <v>259</v>
      </c>
      <c r="F10" s="3495" t="s">
        <v>259</v>
      </c>
      <c r="G10" s="3495" t="s">
        <v>259</v>
      </c>
      <c r="H10" s="3495" t="s">
        <v>259</v>
      </c>
      <c r="I10" s="3495" t="s">
        <v>259</v>
      </c>
      <c r="J10" s="3495" t="s">
        <v>259</v>
      </c>
      <c r="K10" s="3495" t="s">
        <v>259</v>
      </c>
      <c r="L10" s="3495" t="s">
        <v>259</v>
      </c>
      <c r="M10" s="3495" t="s">
        <v>259</v>
      </c>
      <c r="N10" s="3495" t="s">
        <v>259</v>
      </c>
      <c r="O10" s="3495" t="s">
        <v>259</v>
      </c>
      <c r="P10" s="3495" t="s">
        <v>259</v>
      </c>
      <c r="Q10" s="3495" t="s">
        <v>259</v>
      </c>
      <c r="R10" s="3495" t="s">
        <v>259</v>
      </c>
      <c r="S10" s="3495" t="s">
        <v>259</v>
      </c>
      <c r="T10" s="3495" t="s">
        <v>259</v>
      </c>
      <c r="U10" s="3495" t="s">
        <v>259</v>
      </c>
      <c r="V10" s="3497" t="s">
        <v>986</v>
      </c>
      <c r="W10" s="3495" t="s">
        <v>259</v>
      </c>
      <c r="X10" s="3495" t="s">
        <v>259</v>
      </c>
      <c r="Y10" s="3495" t="s">
        <v>259</v>
      </c>
      <c r="Z10" s="3495" t="s">
        <v>259</v>
      </c>
      <c r="AA10" s="3495" t="s">
        <v>259</v>
      </c>
      <c r="AB10" s="3495" t="s">
        <v>259</v>
      </c>
      <c r="AC10" s="3495" t="s">
        <v>259</v>
      </c>
      <c r="AD10" s="3495" t="s">
        <v>259</v>
      </c>
      <c r="AE10" s="3495" t="s">
        <v>259</v>
      </c>
      <c r="AF10" s="3495" t="s">
        <v>259</v>
      </c>
      <c r="AG10" s="3497" t="s">
        <v>986</v>
      </c>
      <c r="AH10" s="3495" t="s">
        <v>259</v>
      </c>
      <c r="AI10" s="3495" t="s">
        <v>259</v>
      </c>
      <c r="AJ10" s="3495" t="s">
        <v>259</v>
      </c>
    </row>
    <row r="11" spans="1:36" ht="12" x14ac:dyDescent="0.2">
      <c r="A11" s="3535" t="s">
        <v>1158</v>
      </c>
      <c r="B11" s="3495" t="s">
        <v>259</v>
      </c>
      <c r="C11" s="3495" t="s">
        <v>259</v>
      </c>
      <c r="D11" s="3495" t="s">
        <v>259</v>
      </c>
      <c r="E11" s="3495" t="s">
        <v>259</v>
      </c>
      <c r="F11" s="3495" t="s">
        <v>259</v>
      </c>
      <c r="G11" s="3495" t="s">
        <v>259</v>
      </c>
      <c r="H11" s="3495" t="s">
        <v>259</v>
      </c>
      <c r="I11" s="3495" t="s">
        <v>259</v>
      </c>
      <c r="J11" s="3495" t="s">
        <v>259</v>
      </c>
      <c r="K11" s="3495" t="s">
        <v>259</v>
      </c>
      <c r="L11" s="3495" t="s">
        <v>259</v>
      </c>
      <c r="M11" s="3495" t="s">
        <v>259</v>
      </c>
      <c r="N11" s="3495" t="s">
        <v>259</v>
      </c>
      <c r="O11" s="3495" t="s">
        <v>259</v>
      </c>
      <c r="P11" s="3495" t="s">
        <v>259</v>
      </c>
      <c r="Q11" s="3495" t="s">
        <v>259</v>
      </c>
      <c r="R11" s="3495" t="s">
        <v>259</v>
      </c>
      <c r="S11" s="3495" t="s">
        <v>259</v>
      </c>
      <c r="T11" s="3495" t="s">
        <v>259</v>
      </c>
      <c r="U11" s="3495" t="s">
        <v>259</v>
      </c>
      <c r="V11" s="3497" t="s">
        <v>986</v>
      </c>
      <c r="W11" s="3495" t="s">
        <v>259</v>
      </c>
      <c r="X11" s="3495" t="s">
        <v>259</v>
      </c>
      <c r="Y11" s="3495" t="s">
        <v>259</v>
      </c>
      <c r="Z11" s="3495" t="s">
        <v>259</v>
      </c>
      <c r="AA11" s="3495" t="s">
        <v>259</v>
      </c>
      <c r="AB11" s="3495" t="s">
        <v>259</v>
      </c>
      <c r="AC11" s="3495" t="s">
        <v>259</v>
      </c>
      <c r="AD11" s="3495" t="s">
        <v>259</v>
      </c>
      <c r="AE11" s="3495" t="s">
        <v>259</v>
      </c>
      <c r="AF11" s="3495" t="s">
        <v>259</v>
      </c>
      <c r="AG11" s="3497" t="s">
        <v>986</v>
      </c>
      <c r="AH11" s="3495" t="s">
        <v>259</v>
      </c>
      <c r="AI11" s="3495" t="s">
        <v>259</v>
      </c>
      <c r="AJ11" s="3495" t="s">
        <v>259</v>
      </c>
    </row>
    <row r="12" spans="1:36" ht="12" x14ac:dyDescent="0.2">
      <c r="A12" s="3496" t="s">
        <v>1157</v>
      </c>
      <c r="B12" s="3495" t="s">
        <v>799</v>
      </c>
      <c r="C12" s="3495" t="s">
        <v>799</v>
      </c>
      <c r="D12" s="3495" t="s">
        <v>799</v>
      </c>
      <c r="E12" s="3495" t="s">
        <v>799</v>
      </c>
      <c r="F12" s="3495" t="s">
        <v>799</v>
      </c>
      <c r="G12" s="3495" t="s">
        <v>799</v>
      </c>
      <c r="H12" s="3495" t="s">
        <v>799</v>
      </c>
      <c r="I12" s="3495" t="s">
        <v>799</v>
      </c>
      <c r="J12" s="3495" t="s">
        <v>799</v>
      </c>
      <c r="K12" s="3495" t="s">
        <v>799</v>
      </c>
      <c r="L12" s="3495" t="s">
        <v>799</v>
      </c>
      <c r="M12" s="3495" t="s">
        <v>799</v>
      </c>
      <c r="N12" s="3495" t="s">
        <v>799</v>
      </c>
      <c r="O12" s="3495" t="s">
        <v>799</v>
      </c>
      <c r="P12" s="3495" t="s">
        <v>799</v>
      </c>
      <c r="Q12" s="3495" t="s">
        <v>799</v>
      </c>
      <c r="R12" s="3495" t="s">
        <v>799</v>
      </c>
      <c r="S12" s="3495" t="s">
        <v>799</v>
      </c>
      <c r="T12" s="3495" t="s">
        <v>799</v>
      </c>
      <c r="U12" s="3495" t="s">
        <v>799</v>
      </c>
      <c r="V12" s="3497" t="s">
        <v>986</v>
      </c>
      <c r="W12" s="3495" t="s">
        <v>799</v>
      </c>
      <c r="X12" s="3495" t="s">
        <v>799</v>
      </c>
      <c r="Y12" s="3495" t="s">
        <v>799</v>
      </c>
      <c r="Z12" s="3495" t="s">
        <v>799</v>
      </c>
      <c r="AA12" s="3495" t="s">
        <v>799</v>
      </c>
      <c r="AB12" s="3495" t="s">
        <v>799</v>
      </c>
      <c r="AC12" s="3495" t="s">
        <v>799</v>
      </c>
      <c r="AD12" s="3495" t="s">
        <v>799</v>
      </c>
      <c r="AE12" s="3495" t="s">
        <v>799</v>
      </c>
      <c r="AF12" s="3495" t="s">
        <v>799</v>
      </c>
      <c r="AG12" s="3497" t="s">
        <v>986</v>
      </c>
      <c r="AH12" s="3495" t="s">
        <v>799</v>
      </c>
      <c r="AI12" s="3495" t="s">
        <v>799</v>
      </c>
      <c r="AJ12" s="3495" t="s">
        <v>799</v>
      </c>
    </row>
    <row r="13" spans="1:36" ht="12" x14ac:dyDescent="0.2">
      <c r="A13" s="690" t="s">
        <v>1156</v>
      </c>
      <c r="B13" s="3495" t="s">
        <v>259</v>
      </c>
      <c r="C13" s="3495" t="s">
        <v>259</v>
      </c>
      <c r="D13" s="3495" t="s">
        <v>259</v>
      </c>
      <c r="E13" s="3495" t="s">
        <v>259</v>
      </c>
      <c r="F13" s="3495" t="s">
        <v>259</v>
      </c>
      <c r="G13" s="3495" t="s">
        <v>259</v>
      </c>
      <c r="H13" s="3495" t="s">
        <v>259</v>
      </c>
      <c r="I13" s="3495" t="s">
        <v>259</v>
      </c>
      <c r="J13" s="3495" t="s">
        <v>259</v>
      </c>
      <c r="K13" s="3495" t="s">
        <v>259</v>
      </c>
      <c r="L13" s="3495" t="s">
        <v>259</v>
      </c>
      <c r="M13" s="3495" t="s">
        <v>259</v>
      </c>
      <c r="N13" s="3495" t="s">
        <v>259</v>
      </c>
      <c r="O13" s="3495" t="s">
        <v>259</v>
      </c>
      <c r="P13" s="3495" t="s">
        <v>259</v>
      </c>
      <c r="Q13" s="3495" t="s">
        <v>259</v>
      </c>
      <c r="R13" s="3495" t="s">
        <v>259</v>
      </c>
      <c r="S13" s="3495" t="s">
        <v>259</v>
      </c>
      <c r="T13" s="3495" t="s">
        <v>259</v>
      </c>
      <c r="U13" s="3495" t="s">
        <v>259</v>
      </c>
      <c r="V13" s="3497" t="s">
        <v>986</v>
      </c>
      <c r="W13" s="3495" t="s">
        <v>259</v>
      </c>
      <c r="X13" s="3495" t="s">
        <v>259</v>
      </c>
      <c r="Y13" s="3495" t="s">
        <v>259</v>
      </c>
      <c r="Z13" s="3495" t="s">
        <v>259</v>
      </c>
      <c r="AA13" s="3495" t="s">
        <v>259</v>
      </c>
      <c r="AB13" s="3495" t="s">
        <v>259</v>
      </c>
      <c r="AC13" s="3495" t="s">
        <v>259</v>
      </c>
      <c r="AD13" s="3495" t="s">
        <v>259</v>
      </c>
      <c r="AE13" s="3495" t="s">
        <v>259</v>
      </c>
      <c r="AF13" s="3495" t="s">
        <v>259</v>
      </c>
      <c r="AG13" s="3497" t="s">
        <v>986</v>
      </c>
      <c r="AH13" s="3495" t="s">
        <v>259</v>
      </c>
      <c r="AI13" s="3495" t="s">
        <v>259</v>
      </c>
      <c r="AJ13" s="3495" t="s">
        <v>259</v>
      </c>
    </row>
    <row r="14" spans="1:36" ht="12" x14ac:dyDescent="0.2">
      <c r="A14" s="3496" t="s">
        <v>1155</v>
      </c>
      <c r="B14" s="3497" t="s">
        <v>986</v>
      </c>
      <c r="C14" s="3497" t="s">
        <v>986</v>
      </c>
      <c r="D14" s="3497" t="s">
        <v>986</v>
      </c>
      <c r="E14" s="3497" t="s">
        <v>986</v>
      </c>
      <c r="F14" s="3497" t="s">
        <v>986</v>
      </c>
      <c r="G14" s="3497" t="s">
        <v>986</v>
      </c>
      <c r="H14" s="3497" t="s">
        <v>986</v>
      </c>
      <c r="I14" s="3497" t="s">
        <v>986</v>
      </c>
      <c r="J14" s="3497" t="s">
        <v>986</v>
      </c>
      <c r="K14" s="3497" t="s">
        <v>986</v>
      </c>
      <c r="L14" s="3497" t="s">
        <v>986</v>
      </c>
      <c r="M14" s="3497" t="s">
        <v>986</v>
      </c>
      <c r="N14" s="3497" t="s">
        <v>986</v>
      </c>
      <c r="O14" s="3497" t="s">
        <v>986</v>
      </c>
      <c r="P14" s="3497" t="s">
        <v>986</v>
      </c>
      <c r="Q14" s="3497" t="s">
        <v>986</v>
      </c>
      <c r="R14" s="3497" t="s">
        <v>986</v>
      </c>
      <c r="S14" s="3497" t="s">
        <v>986</v>
      </c>
      <c r="T14" s="3497" t="s">
        <v>986</v>
      </c>
      <c r="U14" s="3497" t="s">
        <v>986</v>
      </c>
      <c r="V14" s="3497" t="s">
        <v>986</v>
      </c>
      <c r="W14" s="3495" t="s">
        <v>259</v>
      </c>
      <c r="X14" s="3495" t="s">
        <v>259</v>
      </c>
      <c r="Y14" s="3495" t="s">
        <v>259</v>
      </c>
      <c r="Z14" s="3495" t="s">
        <v>259</v>
      </c>
      <c r="AA14" s="3495" t="s">
        <v>259</v>
      </c>
      <c r="AB14" s="3495" t="s">
        <v>259</v>
      </c>
      <c r="AC14" s="3495" t="s">
        <v>259</v>
      </c>
      <c r="AD14" s="3495" t="s">
        <v>259</v>
      </c>
      <c r="AE14" s="3495" t="s">
        <v>259</v>
      </c>
      <c r="AF14" s="3495" t="s">
        <v>259</v>
      </c>
      <c r="AG14" s="3497" t="s">
        <v>986</v>
      </c>
      <c r="AH14" s="3497" t="s">
        <v>986</v>
      </c>
      <c r="AI14" s="3495" t="s">
        <v>259</v>
      </c>
      <c r="AJ14" s="3497" t="s">
        <v>986</v>
      </c>
    </row>
    <row r="15" spans="1:36" ht="12" x14ac:dyDescent="0.2">
      <c r="A15" s="3496" t="s">
        <v>1154</v>
      </c>
      <c r="B15" s="3495" t="s">
        <v>986</v>
      </c>
      <c r="C15" s="3495" t="s">
        <v>986</v>
      </c>
      <c r="D15" s="3495" t="s">
        <v>986</v>
      </c>
      <c r="E15" s="3495" t="s">
        <v>986</v>
      </c>
      <c r="F15" s="3495" t="s">
        <v>986</v>
      </c>
      <c r="G15" s="3495" t="s">
        <v>986</v>
      </c>
      <c r="H15" s="3495" t="s">
        <v>986</v>
      </c>
      <c r="I15" s="3495" t="s">
        <v>986</v>
      </c>
      <c r="J15" s="3495" t="s">
        <v>986</v>
      </c>
      <c r="K15" s="3495" t="s">
        <v>986</v>
      </c>
      <c r="L15" s="3495" t="s">
        <v>986</v>
      </c>
      <c r="M15" s="3495" t="s">
        <v>986</v>
      </c>
      <c r="N15" s="3495" t="s">
        <v>986</v>
      </c>
      <c r="O15" s="3495" t="s">
        <v>986</v>
      </c>
      <c r="P15" s="3495" t="s">
        <v>986</v>
      </c>
      <c r="Q15" s="3495" t="s">
        <v>986</v>
      </c>
      <c r="R15" s="3495" t="s">
        <v>986</v>
      </c>
      <c r="S15" s="3495" t="s">
        <v>986</v>
      </c>
      <c r="T15" s="3495" t="s">
        <v>986</v>
      </c>
      <c r="U15" s="3495" t="s">
        <v>986</v>
      </c>
      <c r="V15" s="3497" t="s">
        <v>986</v>
      </c>
      <c r="W15" s="3495" t="s">
        <v>986</v>
      </c>
      <c r="X15" s="3495" t="s">
        <v>986</v>
      </c>
      <c r="Y15" s="3495" t="s">
        <v>986</v>
      </c>
      <c r="Z15" s="3495" t="s">
        <v>986</v>
      </c>
      <c r="AA15" s="3495" t="s">
        <v>986</v>
      </c>
      <c r="AB15" s="3495" t="s">
        <v>986</v>
      </c>
      <c r="AC15" s="3495" t="s">
        <v>986</v>
      </c>
      <c r="AD15" s="3495" t="s">
        <v>986</v>
      </c>
      <c r="AE15" s="3495" t="s">
        <v>986</v>
      </c>
      <c r="AF15" s="3495" t="s">
        <v>986</v>
      </c>
      <c r="AG15" s="3497" t="s">
        <v>986</v>
      </c>
      <c r="AH15" s="3495" t="s">
        <v>259</v>
      </c>
      <c r="AI15" s="3495" t="s">
        <v>259</v>
      </c>
      <c r="AJ15" s="3497" t="s">
        <v>986</v>
      </c>
    </row>
    <row r="16" spans="1:36" ht="12" x14ac:dyDescent="0.2">
      <c r="A16" s="3499" t="s">
        <v>1153</v>
      </c>
      <c r="B16" s="3495" t="s">
        <v>259</v>
      </c>
      <c r="C16" s="3495" t="s">
        <v>259</v>
      </c>
      <c r="D16" s="3495" t="s">
        <v>259</v>
      </c>
      <c r="E16" s="3495" t="s">
        <v>259</v>
      </c>
      <c r="F16" s="3495" t="s">
        <v>259</v>
      </c>
      <c r="G16" s="3495" t="s">
        <v>259</v>
      </c>
      <c r="H16" s="3495" t="s">
        <v>259</v>
      </c>
      <c r="I16" s="3495" t="s">
        <v>259</v>
      </c>
      <c r="J16" s="3495" t="s">
        <v>259</v>
      </c>
      <c r="K16" s="3495" t="s">
        <v>259</v>
      </c>
      <c r="L16" s="3495" t="s">
        <v>259</v>
      </c>
      <c r="M16" s="3495" t="s">
        <v>259</v>
      </c>
      <c r="N16" s="3495" t="s">
        <v>259</v>
      </c>
      <c r="O16" s="3495" t="s">
        <v>259</v>
      </c>
      <c r="P16" s="3495" t="s">
        <v>259</v>
      </c>
      <c r="Q16" s="3495" t="s">
        <v>259</v>
      </c>
      <c r="R16" s="3495" t="s">
        <v>259</v>
      </c>
      <c r="S16" s="3495" t="s">
        <v>259</v>
      </c>
      <c r="T16" s="3495" t="s">
        <v>259</v>
      </c>
      <c r="U16" s="3495" t="s">
        <v>259</v>
      </c>
      <c r="V16" s="3497" t="s">
        <v>986</v>
      </c>
      <c r="W16" s="3495" t="s">
        <v>259</v>
      </c>
      <c r="X16" s="3495" t="s">
        <v>259</v>
      </c>
      <c r="Y16" s="3495" t="s">
        <v>259</v>
      </c>
      <c r="Z16" s="3495" t="s">
        <v>259</v>
      </c>
      <c r="AA16" s="3495" t="s">
        <v>259</v>
      </c>
      <c r="AB16" s="3495" t="s">
        <v>259</v>
      </c>
      <c r="AC16" s="3495" t="s">
        <v>259</v>
      </c>
      <c r="AD16" s="3495" t="s">
        <v>259</v>
      </c>
      <c r="AE16" s="3495" t="s">
        <v>259</v>
      </c>
      <c r="AF16" s="3495" t="s">
        <v>259</v>
      </c>
      <c r="AG16" s="3497" t="s">
        <v>986</v>
      </c>
      <c r="AH16" s="3495" t="s">
        <v>259</v>
      </c>
      <c r="AI16" s="3495" t="s">
        <v>259</v>
      </c>
      <c r="AJ16" s="3495" t="s">
        <v>259</v>
      </c>
    </row>
    <row r="17" spans="1:36" ht="12" x14ac:dyDescent="0.2">
      <c r="A17" s="3534" t="s">
        <v>1005</v>
      </c>
      <c r="B17" s="3495" t="s">
        <v>259</v>
      </c>
      <c r="C17" s="3495" t="s">
        <v>259</v>
      </c>
      <c r="D17" s="3495" t="s">
        <v>259</v>
      </c>
      <c r="E17" s="3495" t="s">
        <v>259</v>
      </c>
      <c r="F17" s="3495" t="s">
        <v>259</v>
      </c>
      <c r="G17" s="3495" t="s">
        <v>259</v>
      </c>
      <c r="H17" s="3495" t="s">
        <v>259</v>
      </c>
      <c r="I17" s="3495" t="s">
        <v>259</v>
      </c>
      <c r="J17" s="3495" t="s">
        <v>259</v>
      </c>
      <c r="K17" s="3495" t="s">
        <v>259</v>
      </c>
      <c r="L17" s="3495" t="s">
        <v>259</v>
      </c>
      <c r="M17" s="3495" t="s">
        <v>259</v>
      </c>
      <c r="N17" s="3495" t="s">
        <v>259</v>
      </c>
      <c r="O17" s="3495" t="s">
        <v>259</v>
      </c>
      <c r="P17" s="3495" t="s">
        <v>259</v>
      </c>
      <c r="Q17" s="3495" t="s">
        <v>259</v>
      </c>
      <c r="R17" s="3495" t="s">
        <v>259</v>
      </c>
      <c r="S17" s="3495" t="s">
        <v>259</v>
      </c>
      <c r="T17" s="3495" t="s">
        <v>259</v>
      </c>
      <c r="U17" s="3495" t="s">
        <v>259</v>
      </c>
      <c r="V17" s="3497" t="s">
        <v>986</v>
      </c>
      <c r="W17" s="3495">
        <v>0.14899999999999999</v>
      </c>
      <c r="X17" s="3495" t="s">
        <v>259</v>
      </c>
      <c r="Y17" s="3495" t="s">
        <v>259</v>
      </c>
      <c r="Z17" s="3495" t="s">
        <v>259</v>
      </c>
      <c r="AA17" s="3495" t="s">
        <v>259</v>
      </c>
      <c r="AB17" s="3495" t="s">
        <v>259</v>
      </c>
      <c r="AC17" s="3495" t="s">
        <v>259</v>
      </c>
      <c r="AD17" s="3495" t="s">
        <v>259</v>
      </c>
      <c r="AE17" s="3495" t="s">
        <v>259</v>
      </c>
      <c r="AF17" s="3495" t="s">
        <v>259</v>
      </c>
      <c r="AG17" s="3497" t="s">
        <v>986</v>
      </c>
      <c r="AH17" s="3495" t="s">
        <v>259</v>
      </c>
      <c r="AI17" s="3495" t="s">
        <v>259</v>
      </c>
      <c r="AJ17" s="3495" t="s">
        <v>259</v>
      </c>
    </row>
    <row r="18" spans="1:36" ht="12" x14ac:dyDescent="0.2">
      <c r="A18" s="3496" t="s">
        <v>1004</v>
      </c>
      <c r="B18" s="3495" t="s">
        <v>259</v>
      </c>
      <c r="C18" s="3495" t="s">
        <v>259</v>
      </c>
      <c r="D18" s="3495" t="s">
        <v>259</v>
      </c>
      <c r="E18" s="3495" t="s">
        <v>259</v>
      </c>
      <c r="F18" s="3495" t="s">
        <v>259</v>
      </c>
      <c r="G18" s="3495" t="s">
        <v>259</v>
      </c>
      <c r="H18" s="3495" t="s">
        <v>259</v>
      </c>
      <c r="I18" s="3495" t="s">
        <v>259</v>
      </c>
      <c r="J18" s="3495" t="s">
        <v>259</v>
      </c>
      <c r="K18" s="3495" t="s">
        <v>259</v>
      </c>
      <c r="L18" s="3495" t="s">
        <v>259</v>
      </c>
      <c r="M18" s="3495" t="s">
        <v>259</v>
      </c>
      <c r="N18" s="3495" t="s">
        <v>259</v>
      </c>
      <c r="O18" s="3495" t="s">
        <v>259</v>
      </c>
      <c r="P18" s="3495" t="s">
        <v>259</v>
      </c>
      <c r="Q18" s="3495" t="s">
        <v>259</v>
      </c>
      <c r="R18" s="3495" t="s">
        <v>259</v>
      </c>
      <c r="S18" s="3495" t="s">
        <v>259</v>
      </c>
      <c r="T18" s="3495" t="s">
        <v>259</v>
      </c>
      <c r="U18" s="3495" t="s">
        <v>259</v>
      </c>
      <c r="V18" s="3497" t="s">
        <v>986</v>
      </c>
      <c r="W18" s="3495" t="s">
        <v>259</v>
      </c>
      <c r="X18" s="3495" t="s">
        <v>259</v>
      </c>
      <c r="Y18" s="3495" t="s">
        <v>259</v>
      </c>
      <c r="Z18" s="3495" t="s">
        <v>259</v>
      </c>
      <c r="AA18" s="3495" t="s">
        <v>259</v>
      </c>
      <c r="AB18" s="3495" t="s">
        <v>259</v>
      </c>
      <c r="AC18" s="3495" t="s">
        <v>259</v>
      </c>
      <c r="AD18" s="3495" t="s">
        <v>259</v>
      </c>
      <c r="AE18" s="3495" t="s">
        <v>259</v>
      </c>
      <c r="AF18" s="3495" t="s">
        <v>259</v>
      </c>
      <c r="AG18" s="3497" t="s">
        <v>986</v>
      </c>
      <c r="AH18" s="3495" t="s">
        <v>259</v>
      </c>
      <c r="AI18" s="3495" t="s">
        <v>259</v>
      </c>
      <c r="AJ18" s="3495" t="s">
        <v>259</v>
      </c>
    </row>
    <row r="19" spans="1:36" ht="12" x14ac:dyDescent="0.2">
      <c r="A19" s="3496" t="s">
        <v>1003</v>
      </c>
      <c r="B19" s="3495" t="s">
        <v>259</v>
      </c>
      <c r="C19" s="3495" t="s">
        <v>259</v>
      </c>
      <c r="D19" s="3495" t="s">
        <v>259</v>
      </c>
      <c r="E19" s="3495" t="s">
        <v>259</v>
      </c>
      <c r="F19" s="3495" t="s">
        <v>259</v>
      </c>
      <c r="G19" s="3495" t="s">
        <v>259</v>
      </c>
      <c r="H19" s="3495" t="s">
        <v>259</v>
      </c>
      <c r="I19" s="3495" t="s">
        <v>259</v>
      </c>
      <c r="J19" s="3495" t="s">
        <v>259</v>
      </c>
      <c r="K19" s="3495" t="s">
        <v>259</v>
      </c>
      <c r="L19" s="3495" t="s">
        <v>259</v>
      </c>
      <c r="M19" s="3495" t="s">
        <v>259</v>
      </c>
      <c r="N19" s="3495" t="s">
        <v>259</v>
      </c>
      <c r="O19" s="3495" t="s">
        <v>259</v>
      </c>
      <c r="P19" s="3495" t="s">
        <v>259</v>
      </c>
      <c r="Q19" s="3495" t="s">
        <v>259</v>
      </c>
      <c r="R19" s="3495" t="s">
        <v>259</v>
      </c>
      <c r="S19" s="3495" t="s">
        <v>259</v>
      </c>
      <c r="T19" s="3495" t="s">
        <v>259</v>
      </c>
      <c r="U19" s="3495" t="s">
        <v>259</v>
      </c>
      <c r="V19" s="3497" t="s">
        <v>986</v>
      </c>
      <c r="W19" s="3495" t="s">
        <v>259</v>
      </c>
      <c r="X19" s="3495" t="s">
        <v>259</v>
      </c>
      <c r="Y19" s="3495" t="s">
        <v>259</v>
      </c>
      <c r="Z19" s="3495" t="s">
        <v>259</v>
      </c>
      <c r="AA19" s="3495" t="s">
        <v>259</v>
      </c>
      <c r="AB19" s="3495" t="s">
        <v>259</v>
      </c>
      <c r="AC19" s="3495" t="s">
        <v>259</v>
      </c>
      <c r="AD19" s="3495" t="s">
        <v>259</v>
      </c>
      <c r="AE19" s="3495" t="s">
        <v>259</v>
      </c>
      <c r="AF19" s="3495" t="s">
        <v>259</v>
      </c>
      <c r="AG19" s="3497" t="s">
        <v>986</v>
      </c>
      <c r="AH19" s="3495" t="s">
        <v>259</v>
      </c>
      <c r="AI19" s="3495" t="s">
        <v>259</v>
      </c>
      <c r="AJ19" s="3495" t="s">
        <v>259</v>
      </c>
    </row>
    <row r="20" spans="1:36" ht="12" x14ac:dyDescent="0.2">
      <c r="A20" s="3496" t="s">
        <v>1002</v>
      </c>
      <c r="B20" s="3495" t="s">
        <v>259</v>
      </c>
      <c r="C20" s="3495" t="s">
        <v>259</v>
      </c>
      <c r="D20" s="3495" t="s">
        <v>259</v>
      </c>
      <c r="E20" s="3495" t="s">
        <v>259</v>
      </c>
      <c r="F20" s="3495" t="s">
        <v>259</v>
      </c>
      <c r="G20" s="3495" t="s">
        <v>259</v>
      </c>
      <c r="H20" s="3495" t="s">
        <v>259</v>
      </c>
      <c r="I20" s="3495" t="s">
        <v>259</v>
      </c>
      <c r="J20" s="3495" t="s">
        <v>259</v>
      </c>
      <c r="K20" s="3495" t="s">
        <v>259</v>
      </c>
      <c r="L20" s="3495" t="s">
        <v>259</v>
      </c>
      <c r="M20" s="3495" t="s">
        <v>259</v>
      </c>
      <c r="N20" s="3495" t="s">
        <v>259</v>
      </c>
      <c r="O20" s="3495" t="s">
        <v>259</v>
      </c>
      <c r="P20" s="3495" t="s">
        <v>259</v>
      </c>
      <c r="Q20" s="3495" t="s">
        <v>259</v>
      </c>
      <c r="R20" s="3495" t="s">
        <v>259</v>
      </c>
      <c r="S20" s="3495" t="s">
        <v>259</v>
      </c>
      <c r="T20" s="3495" t="s">
        <v>259</v>
      </c>
      <c r="U20" s="3495" t="s">
        <v>259</v>
      </c>
      <c r="V20" s="3497" t="s">
        <v>986</v>
      </c>
      <c r="W20" s="3495" t="s">
        <v>259</v>
      </c>
      <c r="X20" s="3495" t="s">
        <v>259</v>
      </c>
      <c r="Y20" s="3495" t="s">
        <v>259</v>
      </c>
      <c r="Z20" s="3495" t="s">
        <v>259</v>
      </c>
      <c r="AA20" s="3495" t="s">
        <v>259</v>
      </c>
      <c r="AB20" s="3495" t="s">
        <v>259</v>
      </c>
      <c r="AC20" s="3495" t="s">
        <v>259</v>
      </c>
      <c r="AD20" s="3495" t="s">
        <v>259</v>
      </c>
      <c r="AE20" s="3495" t="s">
        <v>259</v>
      </c>
      <c r="AF20" s="3495" t="s">
        <v>259</v>
      </c>
      <c r="AG20" s="3497" t="s">
        <v>986</v>
      </c>
      <c r="AH20" s="3495" t="s">
        <v>259</v>
      </c>
      <c r="AI20" s="3495" t="s">
        <v>259</v>
      </c>
      <c r="AJ20" s="3495" t="s">
        <v>259</v>
      </c>
    </row>
    <row r="21" spans="1:36" ht="12" x14ac:dyDescent="0.2">
      <c r="A21" s="3496" t="s">
        <v>1001</v>
      </c>
      <c r="B21" s="3495" t="s">
        <v>259</v>
      </c>
      <c r="C21" s="3495" t="s">
        <v>259</v>
      </c>
      <c r="D21" s="3495" t="s">
        <v>259</v>
      </c>
      <c r="E21" s="3495" t="s">
        <v>259</v>
      </c>
      <c r="F21" s="3495" t="s">
        <v>259</v>
      </c>
      <c r="G21" s="3495" t="s">
        <v>259</v>
      </c>
      <c r="H21" s="3495" t="s">
        <v>259</v>
      </c>
      <c r="I21" s="3495" t="s">
        <v>259</v>
      </c>
      <c r="J21" s="3495" t="s">
        <v>259</v>
      </c>
      <c r="K21" s="3495" t="s">
        <v>259</v>
      </c>
      <c r="L21" s="3495" t="s">
        <v>259</v>
      </c>
      <c r="M21" s="3495" t="s">
        <v>259</v>
      </c>
      <c r="N21" s="3495" t="s">
        <v>259</v>
      </c>
      <c r="O21" s="3495" t="s">
        <v>259</v>
      </c>
      <c r="P21" s="3495" t="s">
        <v>259</v>
      </c>
      <c r="Q21" s="3495" t="s">
        <v>259</v>
      </c>
      <c r="R21" s="3495" t="s">
        <v>259</v>
      </c>
      <c r="S21" s="3495" t="s">
        <v>259</v>
      </c>
      <c r="T21" s="3495" t="s">
        <v>259</v>
      </c>
      <c r="U21" s="3495" t="s">
        <v>259</v>
      </c>
      <c r="V21" s="3497" t="s">
        <v>986</v>
      </c>
      <c r="W21" s="3495" t="s">
        <v>259</v>
      </c>
      <c r="X21" s="3495" t="s">
        <v>259</v>
      </c>
      <c r="Y21" s="3495" t="s">
        <v>259</v>
      </c>
      <c r="Z21" s="3495" t="s">
        <v>259</v>
      </c>
      <c r="AA21" s="3495" t="s">
        <v>259</v>
      </c>
      <c r="AB21" s="3495" t="s">
        <v>259</v>
      </c>
      <c r="AC21" s="3495" t="s">
        <v>259</v>
      </c>
      <c r="AD21" s="3495" t="s">
        <v>259</v>
      </c>
      <c r="AE21" s="3495" t="s">
        <v>259</v>
      </c>
      <c r="AF21" s="3495" t="s">
        <v>259</v>
      </c>
      <c r="AG21" s="3497" t="s">
        <v>986</v>
      </c>
      <c r="AH21" s="3495" t="s">
        <v>259</v>
      </c>
      <c r="AI21" s="3495" t="s">
        <v>259</v>
      </c>
      <c r="AJ21" s="3495" t="s">
        <v>259</v>
      </c>
    </row>
    <row r="22" spans="1:36" ht="12" x14ac:dyDescent="0.2">
      <c r="A22" s="3496" t="s">
        <v>1000</v>
      </c>
      <c r="B22" s="3495" t="s">
        <v>259</v>
      </c>
      <c r="C22" s="3495" t="s">
        <v>259</v>
      </c>
      <c r="D22" s="3495" t="s">
        <v>259</v>
      </c>
      <c r="E22" s="3495" t="s">
        <v>259</v>
      </c>
      <c r="F22" s="3495" t="s">
        <v>259</v>
      </c>
      <c r="G22" s="3495" t="s">
        <v>259</v>
      </c>
      <c r="H22" s="3495" t="s">
        <v>259</v>
      </c>
      <c r="I22" s="3495" t="s">
        <v>259</v>
      </c>
      <c r="J22" s="3495" t="s">
        <v>259</v>
      </c>
      <c r="K22" s="3495" t="s">
        <v>259</v>
      </c>
      <c r="L22" s="3495" t="s">
        <v>259</v>
      </c>
      <c r="M22" s="3495" t="s">
        <v>259</v>
      </c>
      <c r="N22" s="3495" t="s">
        <v>259</v>
      </c>
      <c r="O22" s="3495" t="s">
        <v>259</v>
      </c>
      <c r="P22" s="3495" t="s">
        <v>259</v>
      </c>
      <c r="Q22" s="3495" t="s">
        <v>259</v>
      </c>
      <c r="R22" s="3495" t="s">
        <v>259</v>
      </c>
      <c r="S22" s="3495" t="s">
        <v>259</v>
      </c>
      <c r="T22" s="3495" t="s">
        <v>259</v>
      </c>
      <c r="U22" s="3495" t="s">
        <v>259</v>
      </c>
      <c r="V22" s="3497" t="s">
        <v>986</v>
      </c>
      <c r="W22" s="3495">
        <v>0.14899999999999999</v>
      </c>
      <c r="X22" s="3495" t="s">
        <v>259</v>
      </c>
      <c r="Y22" s="3495" t="s">
        <v>259</v>
      </c>
      <c r="Z22" s="3495" t="s">
        <v>259</v>
      </c>
      <c r="AA22" s="3495" t="s">
        <v>259</v>
      </c>
      <c r="AB22" s="3495" t="s">
        <v>259</v>
      </c>
      <c r="AC22" s="3495" t="s">
        <v>259</v>
      </c>
      <c r="AD22" s="3495" t="s">
        <v>259</v>
      </c>
      <c r="AE22" s="3495" t="s">
        <v>259</v>
      </c>
      <c r="AF22" s="3495" t="s">
        <v>259</v>
      </c>
      <c r="AG22" s="3497" t="s">
        <v>986</v>
      </c>
      <c r="AH22" s="3495" t="s">
        <v>259</v>
      </c>
      <c r="AI22" s="3495" t="s">
        <v>259</v>
      </c>
      <c r="AJ22" s="3495" t="s">
        <v>259</v>
      </c>
    </row>
    <row r="23" spans="1:36" ht="14.25" x14ac:dyDescent="0.2">
      <c r="A23" s="665" t="s">
        <v>999</v>
      </c>
      <c r="B23" s="3495" t="s">
        <v>259</v>
      </c>
      <c r="C23" s="3495">
        <v>15.166105237769999</v>
      </c>
      <c r="D23" s="3495" t="s">
        <v>259</v>
      </c>
      <c r="E23" s="3495" t="s">
        <v>259</v>
      </c>
      <c r="F23" s="3495">
        <v>32.704597623129999</v>
      </c>
      <c r="G23" s="3495" t="s">
        <v>259</v>
      </c>
      <c r="H23" s="3495">
        <v>87.789528054353994</v>
      </c>
      <c r="I23" s="3495" t="s">
        <v>259</v>
      </c>
      <c r="J23" s="3495">
        <v>18.481701300179999</v>
      </c>
      <c r="K23" s="3495" t="s">
        <v>259</v>
      </c>
      <c r="L23" s="3495">
        <v>5.3557199999999998</v>
      </c>
      <c r="M23" s="3495" t="s">
        <v>259</v>
      </c>
      <c r="N23" s="3495">
        <v>0.70659375999999996</v>
      </c>
      <c r="O23" s="3495" t="s">
        <v>259</v>
      </c>
      <c r="P23" s="3495" t="s">
        <v>259</v>
      </c>
      <c r="Q23" s="3495" t="s">
        <v>259</v>
      </c>
      <c r="R23" s="3495" t="s">
        <v>259</v>
      </c>
      <c r="S23" s="3495" t="s">
        <v>259</v>
      </c>
      <c r="T23" s="3495" t="s">
        <v>259</v>
      </c>
      <c r="U23" s="3495" t="s">
        <v>259</v>
      </c>
      <c r="V23" s="3497" t="s">
        <v>986</v>
      </c>
      <c r="W23" s="3495">
        <v>9.4276250000000005E-4</v>
      </c>
      <c r="X23" s="3495" t="s">
        <v>259</v>
      </c>
      <c r="Y23" s="3495" t="s">
        <v>259</v>
      </c>
      <c r="Z23" s="3495" t="s">
        <v>259</v>
      </c>
      <c r="AA23" s="3495" t="s">
        <v>259</v>
      </c>
      <c r="AB23" s="3495" t="s">
        <v>259</v>
      </c>
      <c r="AC23" s="3495" t="s">
        <v>259</v>
      </c>
      <c r="AD23" s="3495" t="s">
        <v>259</v>
      </c>
      <c r="AE23" s="3495" t="s">
        <v>259</v>
      </c>
      <c r="AF23" s="3495" t="s">
        <v>259</v>
      </c>
      <c r="AG23" s="3497" t="s">
        <v>986</v>
      </c>
      <c r="AH23" s="3495" t="s">
        <v>259</v>
      </c>
      <c r="AI23" s="3495" t="s">
        <v>259</v>
      </c>
      <c r="AJ23" s="3495" t="s">
        <v>259</v>
      </c>
    </row>
    <row r="24" spans="1:36" ht="12" x14ac:dyDescent="0.2">
      <c r="A24" s="3496" t="s">
        <v>998</v>
      </c>
      <c r="B24" s="3495" t="s">
        <v>259</v>
      </c>
      <c r="C24" s="3495">
        <v>15.166105237769999</v>
      </c>
      <c r="D24" s="3495" t="s">
        <v>259</v>
      </c>
      <c r="E24" s="3495" t="s">
        <v>259</v>
      </c>
      <c r="F24" s="3495">
        <v>32.704597623129999</v>
      </c>
      <c r="G24" s="3495" t="s">
        <v>259</v>
      </c>
      <c r="H24" s="3495">
        <v>80.769351070354006</v>
      </c>
      <c r="I24" s="3495" t="s">
        <v>259</v>
      </c>
      <c r="J24" s="3495">
        <v>18.481701300179999</v>
      </c>
      <c r="K24" s="3495" t="s">
        <v>259</v>
      </c>
      <c r="L24" s="3495" t="s">
        <v>259</v>
      </c>
      <c r="M24" s="3495" t="s">
        <v>259</v>
      </c>
      <c r="N24" s="3495" t="s">
        <v>259</v>
      </c>
      <c r="O24" s="3495" t="s">
        <v>259</v>
      </c>
      <c r="P24" s="3495" t="s">
        <v>259</v>
      </c>
      <c r="Q24" s="3495" t="s">
        <v>259</v>
      </c>
      <c r="R24" s="3495" t="s">
        <v>259</v>
      </c>
      <c r="S24" s="3495" t="s">
        <v>259</v>
      </c>
      <c r="T24" s="3495" t="s">
        <v>259</v>
      </c>
      <c r="U24" s="3495" t="s">
        <v>259</v>
      </c>
      <c r="V24" s="3497" t="s">
        <v>986</v>
      </c>
      <c r="W24" s="3495">
        <v>9.4276250000000005E-4</v>
      </c>
      <c r="X24" s="3495" t="s">
        <v>259</v>
      </c>
      <c r="Y24" s="3495" t="s">
        <v>259</v>
      </c>
      <c r="Z24" s="3495" t="s">
        <v>259</v>
      </c>
      <c r="AA24" s="3495" t="s">
        <v>259</v>
      </c>
      <c r="AB24" s="3495" t="s">
        <v>259</v>
      </c>
      <c r="AC24" s="3495" t="s">
        <v>259</v>
      </c>
      <c r="AD24" s="3495" t="s">
        <v>259</v>
      </c>
      <c r="AE24" s="3495" t="s">
        <v>259</v>
      </c>
      <c r="AF24" s="3495" t="s">
        <v>259</v>
      </c>
      <c r="AG24" s="3497" t="s">
        <v>986</v>
      </c>
      <c r="AH24" s="3495" t="s">
        <v>259</v>
      </c>
      <c r="AI24" s="3495" t="s">
        <v>259</v>
      </c>
      <c r="AJ24" s="3495" t="s">
        <v>259</v>
      </c>
    </row>
    <row r="25" spans="1:36" ht="12" x14ac:dyDescent="0.2">
      <c r="A25" s="3496" t="s">
        <v>997</v>
      </c>
      <c r="B25" s="3495" t="s">
        <v>259</v>
      </c>
      <c r="C25" s="3495" t="s">
        <v>259</v>
      </c>
      <c r="D25" s="3495" t="s">
        <v>259</v>
      </c>
      <c r="E25" s="3495" t="s">
        <v>259</v>
      </c>
      <c r="F25" s="3495" t="s">
        <v>259</v>
      </c>
      <c r="G25" s="3495" t="s">
        <v>259</v>
      </c>
      <c r="H25" s="3495">
        <v>3.0374999999999999E-2</v>
      </c>
      <c r="I25" s="3495" t="s">
        <v>259</v>
      </c>
      <c r="J25" s="3495" t="s">
        <v>259</v>
      </c>
      <c r="K25" s="3495" t="s">
        <v>259</v>
      </c>
      <c r="L25" s="3495">
        <v>5.3557199999999998</v>
      </c>
      <c r="M25" s="3495" t="s">
        <v>259</v>
      </c>
      <c r="N25" s="3495" t="s">
        <v>259</v>
      </c>
      <c r="O25" s="3495" t="s">
        <v>259</v>
      </c>
      <c r="P25" s="3495" t="s">
        <v>259</v>
      </c>
      <c r="Q25" s="3495" t="s">
        <v>259</v>
      </c>
      <c r="R25" s="3495" t="s">
        <v>259</v>
      </c>
      <c r="S25" s="3495" t="s">
        <v>259</v>
      </c>
      <c r="T25" s="3495" t="s">
        <v>259</v>
      </c>
      <c r="U25" s="3495" t="s">
        <v>259</v>
      </c>
      <c r="V25" s="3497" t="s">
        <v>986</v>
      </c>
      <c r="W25" s="3495" t="s">
        <v>259</v>
      </c>
      <c r="X25" s="3495" t="s">
        <v>259</v>
      </c>
      <c r="Y25" s="3495" t="s">
        <v>259</v>
      </c>
      <c r="Z25" s="3495" t="s">
        <v>259</v>
      </c>
      <c r="AA25" s="3495" t="s">
        <v>259</v>
      </c>
      <c r="AB25" s="3495" t="s">
        <v>259</v>
      </c>
      <c r="AC25" s="3495" t="s">
        <v>259</v>
      </c>
      <c r="AD25" s="3495" t="s">
        <v>259</v>
      </c>
      <c r="AE25" s="3495" t="s">
        <v>259</v>
      </c>
      <c r="AF25" s="3495" t="s">
        <v>259</v>
      </c>
      <c r="AG25" s="3497" t="s">
        <v>986</v>
      </c>
      <c r="AH25" s="3495" t="s">
        <v>259</v>
      </c>
      <c r="AI25" s="3495" t="s">
        <v>259</v>
      </c>
      <c r="AJ25" s="3495" t="s">
        <v>259</v>
      </c>
    </row>
    <row r="26" spans="1:36" ht="12" x14ac:dyDescent="0.2">
      <c r="A26" s="3496" t="s">
        <v>996</v>
      </c>
      <c r="B26" s="3495" t="s">
        <v>259</v>
      </c>
      <c r="C26" s="3495" t="s">
        <v>986</v>
      </c>
      <c r="D26" s="3495" t="s">
        <v>259</v>
      </c>
      <c r="E26" s="3495" t="s">
        <v>259</v>
      </c>
      <c r="F26" s="3495" t="s">
        <v>259</v>
      </c>
      <c r="G26" s="3495" t="s">
        <v>259</v>
      </c>
      <c r="H26" s="3495" t="s">
        <v>259</v>
      </c>
      <c r="I26" s="3495" t="s">
        <v>259</v>
      </c>
      <c r="J26" s="3495" t="s">
        <v>259</v>
      </c>
      <c r="K26" s="3495" t="s">
        <v>259</v>
      </c>
      <c r="L26" s="3495" t="s">
        <v>259</v>
      </c>
      <c r="M26" s="3495" t="s">
        <v>259</v>
      </c>
      <c r="N26" s="3495" t="s">
        <v>259</v>
      </c>
      <c r="O26" s="3495" t="s">
        <v>259</v>
      </c>
      <c r="P26" s="3495" t="s">
        <v>259</v>
      </c>
      <c r="Q26" s="3495" t="s">
        <v>259</v>
      </c>
      <c r="R26" s="3495" t="s">
        <v>259</v>
      </c>
      <c r="S26" s="3495" t="s">
        <v>259</v>
      </c>
      <c r="T26" s="3495" t="s">
        <v>259</v>
      </c>
      <c r="U26" s="3495" t="s">
        <v>259</v>
      </c>
      <c r="V26" s="3497" t="s">
        <v>986</v>
      </c>
      <c r="W26" s="3495" t="s">
        <v>259</v>
      </c>
      <c r="X26" s="3495" t="s">
        <v>259</v>
      </c>
      <c r="Y26" s="3495" t="s">
        <v>259</v>
      </c>
      <c r="Z26" s="3495" t="s">
        <v>259</v>
      </c>
      <c r="AA26" s="3495" t="s">
        <v>259</v>
      </c>
      <c r="AB26" s="3495" t="s">
        <v>259</v>
      </c>
      <c r="AC26" s="3495" t="s">
        <v>259</v>
      </c>
      <c r="AD26" s="3495" t="s">
        <v>259</v>
      </c>
      <c r="AE26" s="3495" t="s">
        <v>259</v>
      </c>
      <c r="AF26" s="3495" t="s">
        <v>259</v>
      </c>
      <c r="AG26" s="3497" t="s">
        <v>986</v>
      </c>
      <c r="AH26" s="3495" t="s">
        <v>259</v>
      </c>
      <c r="AI26" s="3495" t="s">
        <v>259</v>
      </c>
      <c r="AJ26" s="3495" t="s">
        <v>259</v>
      </c>
    </row>
    <row r="27" spans="1:36" ht="12" x14ac:dyDescent="0.2">
      <c r="A27" s="3496" t="s">
        <v>995</v>
      </c>
      <c r="B27" s="3495" t="s">
        <v>259</v>
      </c>
      <c r="C27" s="3495" t="s">
        <v>259</v>
      </c>
      <c r="D27" s="3495" t="s">
        <v>259</v>
      </c>
      <c r="E27" s="3495" t="s">
        <v>259</v>
      </c>
      <c r="F27" s="3495" t="s">
        <v>259</v>
      </c>
      <c r="G27" s="3495" t="s">
        <v>259</v>
      </c>
      <c r="H27" s="3495">
        <v>6.9898019839999996</v>
      </c>
      <c r="I27" s="3495" t="s">
        <v>259</v>
      </c>
      <c r="J27" s="3495" t="s">
        <v>259</v>
      </c>
      <c r="K27" s="3495" t="s">
        <v>259</v>
      </c>
      <c r="L27" s="3495" t="s">
        <v>259</v>
      </c>
      <c r="M27" s="3495" t="s">
        <v>259</v>
      </c>
      <c r="N27" s="3495">
        <v>0.70659375999999996</v>
      </c>
      <c r="O27" s="3495" t="s">
        <v>259</v>
      </c>
      <c r="P27" s="3495" t="s">
        <v>259</v>
      </c>
      <c r="Q27" s="3495" t="s">
        <v>259</v>
      </c>
      <c r="R27" s="3495" t="s">
        <v>259</v>
      </c>
      <c r="S27" s="3495" t="s">
        <v>259</v>
      </c>
      <c r="T27" s="3495" t="s">
        <v>259</v>
      </c>
      <c r="U27" s="3495" t="s">
        <v>259</v>
      </c>
      <c r="V27" s="3497" t="s">
        <v>986</v>
      </c>
      <c r="W27" s="3495" t="s">
        <v>259</v>
      </c>
      <c r="X27" s="3495" t="s">
        <v>259</v>
      </c>
      <c r="Y27" s="3495" t="s">
        <v>259</v>
      </c>
      <c r="Z27" s="3495" t="s">
        <v>259</v>
      </c>
      <c r="AA27" s="3495" t="s">
        <v>259</v>
      </c>
      <c r="AB27" s="3495" t="s">
        <v>259</v>
      </c>
      <c r="AC27" s="3495" t="s">
        <v>259</v>
      </c>
      <c r="AD27" s="3495" t="s">
        <v>259</v>
      </c>
      <c r="AE27" s="3495" t="s">
        <v>259</v>
      </c>
      <c r="AF27" s="3495" t="s">
        <v>259</v>
      </c>
      <c r="AG27" s="3497" t="s">
        <v>986</v>
      </c>
      <c r="AH27" s="3495" t="s">
        <v>259</v>
      </c>
      <c r="AI27" s="3495" t="s">
        <v>259</v>
      </c>
      <c r="AJ27" s="3495" t="s">
        <v>259</v>
      </c>
    </row>
    <row r="28" spans="1:36" ht="12" x14ac:dyDescent="0.2">
      <c r="A28" s="3496" t="s">
        <v>994</v>
      </c>
      <c r="B28" s="3495" t="s">
        <v>259</v>
      </c>
      <c r="C28" s="3495" t="s">
        <v>259</v>
      </c>
      <c r="D28" s="3495" t="s">
        <v>259</v>
      </c>
      <c r="E28" s="3495" t="s">
        <v>259</v>
      </c>
      <c r="F28" s="3495" t="s">
        <v>259</v>
      </c>
      <c r="G28" s="3495" t="s">
        <v>259</v>
      </c>
      <c r="H28" s="3495" t="s">
        <v>259</v>
      </c>
      <c r="I28" s="3495" t="s">
        <v>259</v>
      </c>
      <c r="J28" s="3495" t="s">
        <v>259</v>
      </c>
      <c r="K28" s="3495" t="s">
        <v>259</v>
      </c>
      <c r="L28" s="3495" t="s">
        <v>259</v>
      </c>
      <c r="M28" s="3495" t="s">
        <v>259</v>
      </c>
      <c r="N28" s="3495" t="s">
        <v>259</v>
      </c>
      <c r="O28" s="3495" t="s">
        <v>259</v>
      </c>
      <c r="P28" s="3495" t="s">
        <v>259</v>
      </c>
      <c r="Q28" s="3495" t="s">
        <v>259</v>
      </c>
      <c r="R28" s="3495" t="s">
        <v>259</v>
      </c>
      <c r="S28" s="3495" t="s">
        <v>259</v>
      </c>
      <c r="T28" s="3495" t="s">
        <v>259</v>
      </c>
      <c r="U28" s="3495" t="s">
        <v>259</v>
      </c>
      <c r="V28" s="3497" t="s">
        <v>986</v>
      </c>
      <c r="W28" s="3495" t="s">
        <v>259</v>
      </c>
      <c r="X28" s="3495" t="s">
        <v>259</v>
      </c>
      <c r="Y28" s="3495" t="s">
        <v>259</v>
      </c>
      <c r="Z28" s="3495" t="s">
        <v>259</v>
      </c>
      <c r="AA28" s="3495" t="s">
        <v>259</v>
      </c>
      <c r="AB28" s="3495" t="s">
        <v>259</v>
      </c>
      <c r="AC28" s="3495" t="s">
        <v>259</v>
      </c>
      <c r="AD28" s="3495" t="s">
        <v>259</v>
      </c>
      <c r="AE28" s="3495" t="s">
        <v>259</v>
      </c>
      <c r="AF28" s="3495" t="s">
        <v>259</v>
      </c>
      <c r="AG28" s="3497" t="s">
        <v>986</v>
      </c>
      <c r="AH28" s="3495" t="s">
        <v>259</v>
      </c>
      <c r="AI28" s="3495" t="s">
        <v>259</v>
      </c>
      <c r="AJ28" s="3495" t="s">
        <v>259</v>
      </c>
    </row>
    <row r="29" spans="1:36" ht="12" x14ac:dyDescent="0.2">
      <c r="A29" s="3499" t="s">
        <v>993</v>
      </c>
      <c r="B29" s="3495" t="s">
        <v>259</v>
      </c>
      <c r="C29" s="3495" t="s">
        <v>259</v>
      </c>
      <c r="D29" s="3495" t="s">
        <v>259</v>
      </c>
      <c r="E29" s="3495" t="s">
        <v>259</v>
      </c>
      <c r="F29" s="3495" t="s">
        <v>259</v>
      </c>
      <c r="G29" s="3495" t="s">
        <v>259</v>
      </c>
      <c r="H29" s="3495" t="s">
        <v>259</v>
      </c>
      <c r="I29" s="3495" t="s">
        <v>259</v>
      </c>
      <c r="J29" s="3495" t="s">
        <v>259</v>
      </c>
      <c r="K29" s="3495" t="s">
        <v>259</v>
      </c>
      <c r="L29" s="3495" t="s">
        <v>259</v>
      </c>
      <c r="M29" s="3495" t="s">
        <v>259</v>
      </c>
      <c r="N29" s="3495" t="s">
        <v>259</v>
      </c>
      <c r="O29" s="3495" t="s">
        <v>259</v>
      </c>
      <c r="P29" s="3495" t="s">
        <v>259</v>
      </c>
      <c r="Q29" s="3495" t="s">
        <v>259</v>
      </c>
      <c r="R29" s="3495" t="s">
        <v>259</v>
      </c>
      <c r="S29" s="3495" t="s">
        <v>259</v>
      </c>
      <c r="T29" s="3495" t="s">
        <v>259</v>
      </c>
      <c r="U29" s="3495" t="s">
        <v>259</v>
      </c>
      <c r="V29" s="3497" t="s">
        <v>986</v>
      </c>
      <c r="W29" s="3495" t="s">
        <v>259</v>
      </c>
      <c r="X29" s="3495" t="s">
        <v>259</v>
      </c>
      <c r="Y29" s="3495" t="s">
        <v>259</v>
      </c>
      <c r="Z29" s="3495" t="s">
        <v>259</v>
      </c>
      <c r="AA29" s="3495" t="s">
        <v>259</v>
      </c>
      <c r="AB29" s="3495" t="s">
        <v>259</v>
      </c>
      <c r="AC29" s="3495" t="s">
        <v>259</v>
      </c>
      <c r="AD29" s="3495" t="s">
        <v>259</v>
      </c>
      <c r="AE29" s="3495" t="s">
        <v>259</v>
      </c>
      <c r="AF29" s="3495" t="s">
        <v>259</v>
      </c>
      <c r="AG29" s="3497" t="s">
        <v>986</v>
      </c>
      <c r="AH29" s="3495" t="s">
        <v>259</v>
      </c>
      <c r="AI29" s="3495" t="s">
        <v>259</v>
      </c>
      <c r="AJ29" s="3495" t="s">
        <v>259</v>
      </c>
    </row>
    <row r="30" spans="1:36" ht="12" x14ac:dyDescent="0.2">
      <c r="A30" s="3498" t="s">
        <v>992</v>
      </c>
      <c r="B30" s="3495" t="s">
        <v>1006</v>
      </c>
      <c r="C30" s="3495" t="s">
        <v>1006</v>
      </c>
      <c r="D30" s="3495" t="s">
        <v>1006</v>
      </c>
      <c r="E30" s="3495" t="s">
        <v>1006</v>
      </c>
      <c r="F30" s="3495" t="s">
        <v>1006</v>
      </c>
      <c r="G30" s="3495" t="s">
        <v>1006</v>
      </c>
      <c r="H30" s="3495" t="s">
        <v>1006</v>
      </c>
      <c r="I30" s="3495" t="s">
        <v>1006</v>
      </c>
      <c r="J30" s="3495" t="s">
        <v>1006</v>
      </c>
      <c r="K30" s="3495" t="s">
        <v>1006</v>
      </c>
      <c r="L30" s="3495" t="s">
        <v>1006</v>
      </c>
      <c r="M30" s="3495" t="s">
        <v>1006</v>
      </c>
      <c r="N30" s="3495" t="s">
        <v>1006</v>
      </c>
      <c r="O30" s="3495" t="s">
        <v>1006</v>
      </c>
      <c r="P30" s="3495" t="s">
        <v>1006</v>
      </c>
      <c r="Q30" s="3495" t="s">
        <v>1006</v>
      </c>
      <c r="R30" s="3495" t="s">
        <v>1006</v>
      </c>
      <c r="S30" s="3495" t="s">
        <v>1006</v>
      </c>
      <c r="T30" s="3495" t="s">
        <v>1006</v>
      </c>
      <c r="U30" s="3495" t="s">
        <v>1006</v>
      </c>
      <c r="V30" s="3497" t="s">
        <v>986</v>
      </c>
      <c r="W30" s="3495" t="s">
        <v>1006</v>
      </c>
      <c r="X30" s="3495" t="s">
        <v>1006</v>
      </c>
      <c r="Y30" s="3495" t="s">
        <v>1006</v>
      </c>
      <c r="Z30" s="3495" t="s">
        <v>1006</v>
      </c>
      <c r="AA30" s="3495" t="s">
        <v>1006</v>
      </c>
      <c r="AB30" s="3495" t="s">
        <v>1006</v>
      </c>
      <c r="AC30" s="3495" t="s">
        <v>1006</v>
      </c>
      <c r="AD30" s="3495" t="s">
        <v>1006</v>
      </c>
      <c r="AE30" s="3495" t="s">
        <v>1006</v>
      </c>
      <c r="AF30" s="3495" t="s">
        <v>1006</v>
      </c>
      <c r="AG30" s="3497" t="s">
        <v>986</v>
      </c>
      <c r="AH30" s="3495" t="s">
        <v>1006</v>
      </c>
      <c r="AI30" s="3495">
        <v>3.12461950917</v>
      </c>
      <c r="AJ30" s="3495" t="s">
        <v>1006</v>
      </c>
    </row>
    <row r="31" spans="1:36" ht="12" x14ac:dyDescent="0.2">
      <c r="A31" s="3496" t="s">
        <v>991</v>
      </c>
      <c r="B31" s="3495" t="s">
        <v>259</v>
      </c>
      <c r="C31" s="3495" t="s">
        <v>259</v>
      </c>
      <c r="D31" s="3495" t="s">
        <v>259</v>
      </c>
      <c r="E31" s="3495" t="s">
        <v>259</v>
      </c>
      <c r="F31" s="3495" t="s">
        <v>259</v>
      </c>
      <c r="G31" s="3495" t="s">
        <v>259</v>
      </c>
      <c r="H31" s="3495" t="s">
        <v>259</v>
      </c>
      <c r="I31" s="3495" t="s">
        <v>259</v>
      </c>
      <c r="J31" s="3495" t="s">
        <v>259</v>
      </c>
      <c r="K31" s="3495" t="s">
        <v>259</v>
      </c>
      <c r="L31" s="3495" t="s">
        <v>259</v>
      </c>
      <c r="M31" s="3495" t="s">
        <v>259</v>
      </c>
      <c r="N31" s="3495" t="s">
        <v>259</v>
      </c>
      <c r="O31" s="3495" t="s">
        <v>259</v>
      </c>
      <c r="P31" s="3495" t="s">
        <v>259</v>
      </c>
      <c r="Q31" s="3495" t="s">
        <v>259</v>
      </c>
      <c r="R31" s="3495" t="s">
        <v>259</v>
      </c>
      <c r="S31" s="3495" t="s">
        <v>259</v>
      </c>
      <c r="T31" s="3495" t="s">
        <v>259</v>
      </c>
      <c r="U31" s="3495" t="s">
        <v>259</v>
      </c>
      <c r="V31" s="3497" t="s">
        <v>986</v>
      </c>
      <c r="W31" s="3495" t="s">
        <v>259</v>
      </c>
      <c r="X31" s="3495" t="s">
        <v>259</v>
      </c>
      <c r="Y31" s="3495" t="s">
        <v>259</v>
      </c>
      <c r="Z31" s="3495" t="s">
        <v>259</v>
      </c>
      <c r="AA31" s="3495" t="s">
        <v>259</v>
      </c>
      <c r="AB31" s="3495" t="s">
        <v>259</v>
      </c>
      <c r="AC31" s="3495" t="s">
        <v>259</v>
      </c>
      <c r="AD31" s="3495" t="s">
        <v>259</v>
      </c>
      <c r="AE31" s="3495" t="s">
        <v>259</v>
      </c>
      <c r="AF31" s="3495" t="s">
        <v>259</v>
      </c>
      <c r="AG31" s="3497" t="s">
        <v>986</v>
      </c>
      <c r="AH31" s="3495" t="s">
        <v>259</v>
      </c>
      <c r="AI31" s="3495">
        <v>0.55837744667</v>
      </c>
      <c r="AJ31" s="3495" t="s">
        <v>259</v>
      </c>
    </row>
    <row r="32" spans="1:36" ht="13.5" x14ac:dyDescent="0.2">
      <c r="A32" s="3496" t="s">
        <v>990</v>
      </c>
      <c r="B32" s="3497" t="s">
        <v>986</v>
      </c>
      <c r="C32" s="3497" t="s">
        <v>986</v>
      </c>
      <c r="D32" s="3497" t="s">
        <v>986</v>
      </c>
      <c r="E32" s="3497" t="s">
        <v>986</v>
      </c>
      <c r="F32" s="3497" t="s">
        <v>986</v>
      </c>
      <c r="G32" s="3497" t="s">
        <v>986</v>
      </c>
      <c r="H32" s="3497" t="s">
        <v>986</v>
      </c>
      <c r="I32" s="3497" t="s">
        <v>986</v>
      </c>
      <c r="J32" s="3497" t="s">
        <v>986</v>
      </c>
      <c r="K32" s="3497" t="s">
        <v>986</v>
      </c>
      <c r="L32" s="3497" t="s">
        <v>986</v>
      </c>
      <c r="M32" s="3497" t="s">
        <v>986</v>
      </c>
      <c r="N32" s="3497" t="s">
        <v>986</v>
      </c>
      <c r="O32" s="3497" t="s">
        <v>986</v>
      </c>
      <c r="P32" s="3497" t="s">
        <v>986</v>
      </c>
      <c r="Q32" s="3497" t="s">
        <v>986</v>
      </c>
      <c r="R32" s="3497" t="s">
        <v>986</v>
      </c>
      <c r="S32" s="3497" t="s">
        <v>986</v>
      </c>
      <c r="T32" s="3497" t="s">
        <v>986</v>
      </c>
      <c r="U32" s="3497" t="s">
        <v>986</v>
      </c>
      <c r="V32" s="3497" t="s">
        <v>986</v>
      </c>
      <c r="W32" s="3495" t="s">
        <v>259</v>
      </c>
      <c r="X32" s="3495" t="s">
        <v>259</v>
      </c>
      <c r="Y32" s="3495" t="s">
        <v>259</v>
      </c>
      <c r="Z32" s="3495" t="s">
        <v>259</v>
      </c>
      <c r="AA32" s="3495" t="s">
        <v>259</v>
      </c>
      <c r="AB32" s="3495" t="s">
        <v>259</v>
      </c>
      <c r="AC32" s="3495" t="s">
        <v>259</v>
      </c>
      <c r="AD32" s="3495" t="s">
        <v>259</v>
      </c>
      <c r="AE32" s="3495" t="s">
        <v>259</v>
      </c>
      <c r="AF32" s="3495" t="s">
        <v>259</v>
      </c>
      <c r="AG32" s="3497" t="s">
        <v>986</v>
      </c>
      <c r="AH32" s="3497" t="s">
        <v>986</v>
      </c>
      <c r="AI32" s="3495">
        <v>2.5662420625000002</v>
      </c>
      <c r="AJ32" s="3497" t="s">
        <v>986</v>
      </c>
    </row>
    <row r="33" spans="1:36" ht="12" x14ac:dyDescent="0.2">
      <c r="A33" s="3496" t="s">
        <v>988</v>
      </c>
      <c r="B33" s="3495" t="s">
        <v>799</v>
      </c>
      <c r="C33" s="3495" t="s">
        <v>799</v>
      </c>
      <c r="D33" s="3495" t="s">
        <v>799</v>
      </c>
      <c r="E33" s="3495" t="s">
        <v>799</v>
      </c>
      <c r="F33" s="3495" t="s">
        <v>799</v>
      </c>
      <c r="G33" s="3495" t="s">
        <v>799</v>
      </c>
      <c r="H33" s="3495" t="s">
        <v>799</v>
      </c>
      <c r="I33" s="3495" t="s">
        <v>799</v>
      </c>
      <c r="J33" s="3495" t="s">
        <v>799</v>
      </c>
      <c r="K33" s="3495" t="s">
        <v>799</v>
      </c>
      <c r="L33" s="3495" t="s">
        <v>799</v>
      </c>
      <c r="M33" s="3495" t="s">
        <v>799</v>
      </c>
      <c r="N33" s="3495" t="s">
        <v>799</v>
      </c>
      <c r="O33" s="3495" t="s">
        <v>799</v>
      </c>
      <c r="P33" s="3495" t="s">
        <v>799</v>
      </c>
      <c r="Q33" s="3495" t="s">
        <v>799</v>
      </c>
      <c r="R33" s="3495" t="s">
        <v>799</v>
      </c>
      <c r="S33" s="3495" t="s">
        <v>799</v>
      </c>
      <c r="T33" s="3495" t="s">
        <v>799</v>
      </c>
      <c r="U33" s="3495" t="s">
        <v>799</v>
      </c>
      <c r="V33" s="3497" t="s">
        <v>986</v>
      </c>
      <c r="W33" s="3495" t="s">
        <v>799</v>
      </c>
      <c r="X33" s="3495" t="s">
        <v>799</v>
      </c>
      <c r="Y33" s="3495" t="s">
        <v>799</v>
      </c>
      <c r="Z33" s="3495" t="s">
        <v>799</v>
      </c>
      <c r="AA33" s="3495" t="s">
        <v>799</v>
      </c>
      <c r="AB33" s="3495" t="s">
        <v>799</v>
      </c>
      <c r="AC33" s="3495" t="s">
        <v>799</v>
      </c>
      <c r="AD33" s="3495" t="s">
        <v>799</v>
      </c>
      <c r="AE33" s="3495" t="s">
        <v>799</v>
      </c>
      <c r="AF33" s="3495" t="s">
        <v>799</v>
      </c>
      <c r="AG33" s="3497" t="s">
        <v>986</v>
      </c>
      <c r="AH33" s="3495" t="s">
        <v>799</v>
      </c>
      <c r="AI33" s="3495" t="s">
        <v>799</v>
      </c>
      <c r="AJ33" s="3495" t="s">
        <v>799</v>
      </c>
    </row>
    <row r="34" spans="1:36" ht="12" x14ac:dyDescent="0.2">
      <c r="A34" s="692" t="s">
        <v>1152</v>
      </c>
      <c r="B34" s="3495" t="s">
        <v>799</v>
      </c>
      <c r="C34" s="3495" t="s">
        <v>799</v>
      </c>
      <c r="D34" s="3495" t="s">
        <v>799</v>
      </c>
      <c r="E34" s="3495" t="s">
        <v>799</v>
      </c>
      <c r="F34" s="3495" t="s">
        <v>799</v>
      </c>
      <c r="G34" s="3495" t="s">
        <v>799</v>
      </c>
      <c r="H34" s="3495" t="s">
        <v>799</v>
      </c>
      <c r="I34" s="3495" t="s">
        <v>799</v>
      </c>
      <c r="J34" s="3495" t="s">
        <v>799</v>
      </c>
      <c r="K34" s="3495" t="s">
        <v>799</v>
      </c>
      <c r="L34" s="3495" t="s">
        <v>799</v>
      </c>
      <c r="M34" s="3495" t="s">
        <v>799</v>
      </c>
      <c r="N34" s="3495" t="s">
        <v>799</v>
      </c>
      <c r="O34" s="3495" t="s">
        <v>799</v>
      </c>
      <c r="P34" s="3495" t="s">
        <v>799</v>
      </c>
      <c r="Q34" s="3495" t="s">
        <v>799</v>
      </c>
      <c r="R34" s="3495" t="s">
        <v>799</v>
      </c>
      <c r="S34" s="3495" t="s">
        <v>799</v>
      </c>
      <c r="T34" s="3495" t="s">
        <v>799</v>
      </c>
      <c r="U34" s="3495" t="s">
        <v>799</v>
      </c>
      <c r="V34" s="3497" t="s">
        <v>986</v>
      </c>
      <c r="W34" s="3495" t="s">
        <v>799</v>
      </c>
      <c r="X34" s="3495" t="s">
        <v>799</v>
      </c>
      <c r="Y34" s="3495" t="s">
        <v>799</v>
      </c>
      <c r="Z34" s="3495" t="s">
        <v>799</v>
      </c>
      <c r="AA34" s="3495" t="s">
        <v>799</v>
      </c>
      <c r="AB34" s="3495" t="s">
        <v>799</v>
      </c>
      <c r="AC34" s="3495" t="s">
        <v>799</v>
      </c>
      <c r="AD34" s="3495" t="s">
        <v>799</v>
      </c>
      <c r="AE34" s="3495" t="s">
        <v>799</v>
      </c>
      <c r="AF34" s="3495" t="s">
        <v>799</v>
      </c>
      <c r="AG34" s="3497" t="s">
        <v>986</v>
      </c>
      <c r="AH34" s="3495" t="s">
        <v>799</v>
      </c>
      <c r="AI34" s="3495" t="s">
        <v>799</v>
      </c>
      <c r="AJ34" s="3495" t="s">
        <v>799</v>
      </c>
    </row>
    <row r="35" spans="1:36" ht="12" x14ac:dyDescent="0.2">
      <c r="A35" s="3533" t="s">
        <v>1098</v>
      </c>
      <c r="B35" s="3495" t="s">
        <v>799</v>
      </c>
      <c r="C35" s="3495" t="s">
        <v>799</v>
      </c>
      <c r="D35" s="3495" t="s">
        <v>799</v>
      </c>
      <c r="E35" s="3495" t="s">
        <v>799</v>
      </c>
      <c r="F35" s="3495" t="s">
        <v>799</v>
      </c>
      <c r="G35" s="3495" t="s">
        <v>799</v>
      </c>
      <c r="H35" s="3495" t="s">
        <v>799</v>
      </c>
      <c r="I35" s="3495" t="s">
        <v>799</v>
      </c>
      <c r="J35" s="3495" t="s">
        <v>799</v>
      </c>
      <c r="K35" s="3495" t="s">
        <v>799</v>
      </c>
      <c r="L35" s="3495" t="s">
        <v>799</v>
      </c>
      <c r="M35" s="3495" t="s">
        <v>799</v>
      </c>
      <c r="N35" s="3495" t="s">
        <v>799</v>
      </c>
      <c r="O35" s="3495" t="s">
        <v>799</v>
      </c>
      <c r="P35" s="3495" t="s">
        <v>799</v>
      </c>
      <c r="Q35" s="3495" t="s">
        <v>799</v>
      </c>
      <c r="R35" s="3495" t="s">
        <v>799</v>
      </c>
      <c r="S35" s="3495" t="s">
        <v>799</v>
      </c>
      <c r="T35" s="3495" t="s">
        <v>799</v>
      </c>
      <c r="U35" s="3495" t="s">
        <v>799</v>
      </c>
      <c r="V35" s="3497" t="s">
        <v>986</v>
      </c>
      <c r="W35" s="3495" t="s">
        <v>799</v>
      </c>
      <c r="X35" s="3495" t="s">
        <v>799</v>
      </c>
      <c r="Y35" s="3495" t="s">
        <v>799</v>
      </c>
      <c r="Z35" s="3495" t="s">
        <v>799</v>
      </c>
      <c r="AA35" s="3495" t="s">
        <v>799</v>
      </c>
      <c r="AB35" s="3495" t="s">
        <v>799</v>
      </c>
      <c r="AC35" s="3495" t="s">
        <v>799</v>
      </c>
      <c r="AD35" s="3495" t="s">
        <v>799</v>
      </c>
      <c r="AE35" s="3495" t="s">
        <v>799</v>
      </c>
      <c r="AF35" s="3495" t="s">
        <v>799</v>
      </c>
      <c r="AG35" s="3497" t="s">
        <v>986</v>
      </c>
      <c r="AH35" s="3495" t="s">
        <v>799</v>
      </c>
      <c r="AI35" s="3495" t="s">
        <v>799</v>
      </c>
      <c r="AJ35" s="3495" t="s">
        <v>799</v>
      </c>
    </row>
    <row r="36" spans="1:36" ht="13.5" customHeight="1" thickBot="1" x14ac:dyDescent="0.25">
      <c r="A36" s="691" t="s">
        <v>564</v>
      </c>
      <c r="B36" s="5481" t="s">
        <v>1151</v>
      </c>
      <c r="C36" s="5486"/>
      <c r="D36" s="5486"/>
      <c r="E36" s="5486"/>
      <c r="F36" s="5486"/>
      <c r="G36" s="5486"/>
      <c r="H36" s="5486"/>
      <c r="I36" s="5486"/>
      <c r="J36" s="5486"/>
      <c r="K36" s="5486"/>
      <c r="L36" s="5486"/>
      <c r="M36" s="5486"/>
      <c r="N36" s="5486"/>
      <c r="O36" s="5486"/>
      <c r="P36" s="5486"/>
      <c r="Q36" s="5486"/>
      <c r="R36" s="5486"/>
      <c r="S36" s="5486"/>
      <c r="T36" s="5486"/>
      <c r="U36" s="5486"/>
      <c r="V36" s="5486"/>
      <c r="W36" s="5486"/>
      <c r="X36" s="5486"/>
      <c r="Y36" s="5486"/>
      <c r="Z36" s="5486"/>
      <c r="AA36" s="5486"/>
      <c r="AB36" s="5486"/>
      <c r="AC36" s="5486"/>
      <c r="AD36" s="5486"/>
      <c r="AE36" s="5486"/>
      <c r="AF36" s="5486"/>
      <c r="AG36" s="5486"/>
      <c r="AH36" s="5486"/>
      <c r="AI36" s="5486"/>
      <c r="AJ36" s="5487"/>
    </row>
    <row r="37" spans="1:36" ht="15" thickTop="1" x14ac:dyDescent="0.2">
      <c r="A37" s="690" t="s">
        <v>1150</v>
      </c>
      <c r="B37" s="3495" t="s">
        <v>1006</v>
      </c>
      <c r="C37" s="3495">
        <v>10.23712103549475</v>
      </c>
      <c r="D37" s="3495" t="s">
        <v>1006</v>
      </c>
      <c r="E37" s="3495" t="s">
        <v>1006</v>
      </c>
      <c r="F37" s="3495">
        <v>114.466091680955</v>
      </c>
      <c r="G37" s="3495" t="s">
        <v>1006</v>
      </c>
      <c r="H37" s="3495">
        <v>125.53902511772623</v>
      </c>
      <c r="I37" s="3495" t="s">
        <v>1006</v>
      </c>
      <c r="J37" s="3495">
        <v>82.613204811804593</v>
      </c>
      <c r="K37" s="3495" t="s">
        <v>1006</v>
      </c>
      <c r="L37" s="3495">
        <v>0.66410928000000002</v>
      </c>
      <c r="M37" s="3495" t="s">
        <v>1006</v>
      </c>
      <c r="N37" s="3495">
        <v>2.2752319071999998</v>
      </c>
      <c r="O37" s="3495" t="s">
        <v>1006</v>
      </c>
      <c r="P37" s="3495" t="s">
        <v>1006</v>
      </c>
      <c r="Q37" s="3495" t="s">
        <v>1006</v>
      </c>
      <c r="R37" s="3495" t="s">
        <v>1006</v>
      </c>
      <c r="S37" s="3495" t="s">
        <v>1006</v>
      </c>
      <c r="T37" s="3495" t="s">
        <v>1006</v>
      </c>
      <c r="U37" s="3495" t="s">
        <v>1006</v>
      </c>
      <c r="V37" s="3497" t="s">
        <v>986</v>
      </c>
      <c r="W37" s="3495">
        <v>1.1080770148750001</v>
      </c>
      <c r="X37" s="3495" t="s">
        <v>1006</v>
      </c>
      <c r="Y37" s="3495" t="s">
        <v>1006</v>
      </c>
      <c r="Z37" s="3495" t="s">
        <v>1006</v>
      </c>
      <c r="AA37" s="3495" t="s">
        <v>1006</v>
      </c>
      <c r="AB37" s="3495" t="s">
        <v>1006</v>
      </c>
      <c r="AC37" s="3495" t="s">
        <v>1006</v>
      </c>
      <c r="AD37" s="3495" t="s">
        <v>1006</v>
      </c>
      <c r="AE37" s="3495" t="s">
        <v>1006</v>
      </c>
      <c r="AF37" s="3495" t="s">
        <v>1006</v>
      </c>
      <c r="AG37" s="3497" t="s">
        <v>986</v>
      </c>
      <c r="AH37" s="3495" t="s">
        <v>1006</v>
      </c>
      <c r="AI37" s="3495">
        <v>71.241324809076005</v>
      </c>
      <c r="AJ37" s="3495" t="s">
        <v>1006</v>
      </c>
    </row>
    <row r="38" spans="1:36" ht="12" x14ac:dyDescent="0.2">
      <c r="A38" s="3532" t="s">
        <v>1149</v>
      </c>
      <c r="B38" s="3495" t="s">
        <v>1006</v>
      </c>
      <c r="C38" s="3495" t="s">
        <v>1006</v>
      </c>
      <c r="D38" s="3495" t="s">
        <v>1006</v>
      </c>
      <c r="E38" s="3495" t="s">
        <v>1006</v>
      </c>
      <c r="F38" s="3495" t="s">
        <v>1006</v>
      </c>
      <c r="G38" s="3495" t="s">
        <v>1006</v>
      </c>
      <c r="H38" s="3495" t="s">
        <v>1006</v>
      </c>
      <c r="I38" s="3495" t="s">
        <v>1006</v>
      </c>
      <c r="J38" s="3495" t="s">
        <v>1006</v>
      </c>
      <c r="K38" s="3495" t="s">
        <v>1006</v>
      </c>
      <c r="L38" s="3495" t="s">
        <v>1006</v>
      </c>
      <c r="M38" s="3495" t="s">
        <v>1006</v>
      </c>
      <c r="N38" s="3495" t="s">
        <v>1006</v>
      </c>
      <c r="O38" s="3495" t="s">
        <v>1006</v>
      </c>
      <c r="P38" s="3495" t="s">
        <v>1006</v>
      </c>
      <c r="Q38" s="3495" t="s">
        <v>1006</v>
      </c>
      <c r="R38" s="3495" t="s">
        <v>1006</v>
      </c>
      <c r="S38" s="3495" t="s">
        <v>1006</v>
      </c>
      <c r="T38" s="3495" t="s">
        <v>1006</v>
      </c>
      <c r="U38" s="3495" t="s">
        <v>1006</v>
      </c>
      <c r="V38" s="3497" t="s">
        <v>986</v>
      </c>
      <c r="W38" s="3495" t="s">
        <v>1006</v>
      </c>
      <c r="X38" s="3495" t="s">
        <v>1006</v>
      </c>
      <c r="Y38" s="3495" t="s">
        <v>1006</v>
      </c>
      <c r="Z38" s="3495" t="s">
        <v>1006</v>
      </c>
      <c r="AA38" s="3495" t="s">
        <v>1006</v>
      </c>
      <c r="AB38" s="3495" t="s">
        <v>1006</v>
      </c>
      <c r="AC38" s="3495" t="s">
        <v>1006</v>
      </c>
      <c r="AD38" s="3495" t="s">
        <v>1006</v>
      </c>
      <c r="AE38" s="3495" t="s">
        <v>1006</v>
      </c>
      <c r="AF38" s="3495" t="s">
        <v>1006</v>
      </c>
      <c r="AG38" s="3497" t="s">
        <v>986</v>
      </c>
      <c r="AH38" s="3495" t="s">
        <v>1006</v>
      </c>
      <c r="AI38" s="3495" t="s">
        <v>1006</v>
      </c>
      <c r="AJ38" s="3495" t="s">
        <v>1006</v>
      </c>
    </row>
    <row r="39" spans="1:36" ht="12" x14ac:dyDescent="0.2">
      <c r="A39" s="3531" t="s">
        <v>1148</v>
      </c>
      <c r="B39" s="3495" t="s">
        <v>259</v>
      </c>
      <c r="C39" s="3495" t="s">
        <v>259</v>
      </c>
      <c r="D39" s="3495" t="s">
        <v>259</v>
      </c>
      <c r="E39" s="3495" t="s">
        <v>259</v>
      </c>
      <c r="F39" s="3495" t="s">
        <v>259</v>
      </c>
      <c r="G39" s="3495" t="s">
        <v>259</v>
      </c>
      <c r="H39" s="3495" t="s">
        <v>259</v>
      </c>
      <c r="I39" s="3495" t="s">
        <v>259</v>
      </c>
      <c r="J39" s="3495" t="s">
        <v>259</v>
      </c>
      <c r="K39" s="3495" t="s">
        <v>259</v>
      </c>
      <c r="L39" s="3495" t="s">
        <v>259</v>
      </c>
      <c r="M39" s="3495" t="s">
        <v>259</v>
      </c>
      <c r="N39" s="3495" t="s">
        <v>259</v>
      </c>
      <c r="O39" s="3495" t="s">
        <v>259</v>
      </c>
      <c r="P39" s="3495" t="s">
        <v>259</v>
      </c>
      <c r="Q39" s="3495" t="s">
        <v>259</v>
      </c>
      <c r="R39" s="3495" t="s">
        <v>259</v>
      </c>
      <c r="S39" s="3495" t="s">
        <v>259</v>
      </c>
      <c r="T39" s="3495" t="s">
        <v>259</v>
      </c>
      <c r="U39" s="3495" t="s">
        <v>259</v>
      </c>
      <c r="V39" s="3497" t="s">
        <v>986</v>
      </c>
      <c r="W39" s="3495" t="s">
        <v>259</v>
      </c>
      <c r="X39" s="3495" t="s">
        <v>259</v>
      </c>
      <c r="Y39" s="3495" t="s">
        <v>259</v>
      </c>
      <c r="Z39" s="3495" t="s">
        <v>259</v>
      </c>
      <c r="AA39" s="3495" t="s">
        <v>259</v>
      </c>
      <c r="AB39" s="3495" t="s">
        <v>259</v>
      </c>
      <c r="AC39" s="3495" t="s">
        <v>259</v>
      </c>
      <c r="AD39" s="3495" t="s">
        <v>259</v>
      </c>
      <c r="AE39" s="3495" t="s">
        <v>259</v>
      </c>
      <c r="AF39" s="3495" t="s">
        <v>259</v>
      </c>
      <c r="AG39" s="3497" t="s">
        <v>986</v>
      </c>
      <c r="AH39" s="3495" t="s">
        <v>259</v>
      </c>
      <c r="AI39" s="3495" t="s">
        <v>259</v>
      </c>
      <c r="AJ39" s="3495" t="s">
        <v>259</v>
      </c>
    </row>
    <row r="40" spans="1:36" ht="12" x14ac:dyDescent="0.2">
      <c r="A40" s="3529" t="s">
        <v>1147</v>
      </c>
      <c r="B40" s="3495" t="s">
        <v>259</v>
      </c>
      <c r="C40" s="3495" t="s">
        <v>259</v>
      </c>
      <c r="D40" s="3495" t="s">
        <v>259</v>
      </c>
      <c r="E40" s="3495" t="s">
        <v>259</v>
      </c>
      <c r="F40" s="3495" t="s">
        <v>259</v>
      </c>
      <c r="G40" s="3495" t="s">
        <v>259</v>
      </c>
      <c r="H40" s="3495" t="s">
        <v>259</v>
      </c>
      <c r="I40" s="3495" t="s">
        <v>259</v>
      </c>
      <c r="J40" s="3495" t="s">
        <v>259</v>
      </c>
      <c r="K40" s="3495" t="s">
        <v>259</v>
      </c>
      <c r="L40" s="3495" t="s">
        <v>259</v>
      </c>
      <c r="M40" s="3495" t="s">
        <v>259</v>
      </c>
      <c r="N40" s="3495" t="s">
        <v>259</v>
      </c>
      <c r="O40" s="3495" t="s">
        <v>259</v>
      </c>
      <c r="P40" s="3495" t="s">
        <v>259</v>
      </c>
      <c r="Q40" s="3495" t="s">
        <v>259</v>
      </c>
      <c r="R40" s="3495" t="s">
        <v>259</v>
      </c>
      <c r="S40" s="3495" t="s">
        <v>259</v>
      </c>
      <c r="T40" s="3495" t="s">
        <v>259</v>
      </c>
      <c r="U40" s="3495" t="s">
        <v>259</v>
      </c>
      <c r="V40" s="3497" t="s">
        <v>986</v>
      </c>
      <c r="W40" s="3495">
        <v>1.10111</v>
      </c>
      <c r="X40" s="3495" t="s">
        <v>259</v>
      </c>
      <c r="Y40" s="3495" t="s">
        <v>259</v>
      </c>
      <c r="Z40" s="3495" t="s">
        <v>259</v>
      </c>
      <c r="AA40" s="3495" t="s">
        <v>259</v>
      </c>
      <c r="AB40" s="3495" t="s">
        <v>259</v>
      </c>
      <c r="AC40" s="3495" t="s">
        <v>259</v>
      </c>
      <c r="AD40" s="3495" t="s">
        <v>259</v>
      </c>
      <c r="AE40" s="3495" t="s">
        <v>259</v>
      </c>
      <c r="AF40" s="3495" t="s">
        <v>259</v>
      </c>
      <c r="AG40" s="3497" t="s">
        <v>986</v>
      </c>
      <c r="AH40" s="3495" t="s">
        <v>259</v>
      </c>
      <c r="AI40" s="3495" t="s">
        <v>259</v>
      </c>
      <c r="AJ40" s="3495" t="s">
        <v>259</v>
      </c>
    </row>
    <row r="41" spans="1:36" ht="12" x14ac:dyDescent="0.2">
      <c r="A41" s="3530" t="s">
        <v>1146</v>
      </c>
      <c r="B41" s="3495" t="s">
        <v>259</v>
      </c>
      <c r="C41" s="3495">
        <v>10.23712103549475</v>
      </c>
      <c r="D41" s="3495" t="s">
        <v>259</v>
      </c>
      <c r="E41" s="3495" t="s">
        <v>259</v>
      </c>
      <c r="F41" s="3495">
        <v>114.466091680955</v>
      </c>
      <c r="G41" s="3495" t="s">
        <v>259</v>
      </c>
      <c r="H41" s="3495">
        <v>125.53902511772623</v>
      </c>
      <c r="I41" s="3495" t="s">
        <v>259</v>
      </c>
      <c r="J41" s="3495">
        <v>82.613204811804593</v>
      </c>
      <c r="K41" s="3495" t="s">
        <v>259</v>
      </c>
      <c r="L41" s="3495">
        <v>0.66410928000000002</v>
      </c>
      <c r="M41" s="3495" t="s">
        <v>259</v>
      </c>
      <c r="N41" s="3495">
        <v>2.2752319071999998</v>
      </c>
      <c r="O41" s="3495" t="s">
        <v>259</v>
      </c>
      <c r="P41" s="3495" t="s">
        <v>259</v>
      </c>
      <c r="Q41" s="3495" t="s">
        <v>259</v>
      </c>
      <c r="R41" s="3495" t="s">
        <v>259</v>
      </c>
      <c r="S41" s="3495" t="s">
        <v>259</v>
      </c>
      <c r="T41" s="3495" t="s">
        <v>259</v>
      </c>
      <c r="U41" s="3495" t="s">
        <v>259</v>
      </c>
      <c r="V41" s="3497" t="s">
        <v>986</v>
      </c>
      <c r="W41" s="3495">
        <v>6.9670148750000001E-3</v>
      </c>
      <c r="X41" s="3495" t="s">
        <v>259</v>
      </c>
      <c r="Y41" s="3495" t="s">
        <v>259</v>
      </c>
      <c r="Z41" s="3495" t="s">
        <v>259</v>
      </c>
      <c r="AA41" s="3495" t="s">
        <v>259</v>
      </c>
      <c r="AB41" s="3495" t="s">
        <v>259</v>
      </c>
      <c r="AC41" s="3495" t="s">
        <v>259</v>
      </c>
      <c r="AD41" s="3495" t="s">
        <v>259</v>
      </c>
      <c r="AE41" s="3495" t="s">
        <v>259</v>
      </c>
      <c r="AF41" s="3495" t="s">
        <v>259</v>
      </c>
      <c r="AG41" s="3497" t="s">
        <v>986</v>
      </c>
      <c r="AH41" s="3495" t="s">
        <v>259</v>
      </c>
      <c r="AI41" s="3495" t="s">
        <v>259</v>
      </c>
      <c r="AJ41" s="3495" t="s">
        <v>259</v>
      </c>
    </row>
    <row r="42" spans="1:36" ht="12" x14ac:dyDescent="0.2">
      <c r="A42" s="3529" t="s">
        <v>1145</v>
      </c>
      <c r="B42" s="3495" t="s">
        <v>1006</v>
      </c>
      <c r="C42" s="3495" t="s">
        <v>1006</v>
      </c>
      <c r="D42" s="3495" t="s">
        <v>1006</v>
      </c>
      <c r="E42" s="3495" t="s">
        <v>1006</v>
      </c>
      <c r="F42" s="3495" t="s">
        <v>1006</v>
      </c>
      <c r="G42" s="3495" t="s">
        <v>1006</v>
      </c>
      <c r="H42" s="3495" t="s">
        <v>1006</v>
      </c>
      <c r="I42" s="3495" t="s">
        <v>1006</v>
      </c>
      <c r="J42" s="3495" t="s">
        <v>1006</v>
      </c>
      <c r="K42" s="3495" t="s">
        <v>1006</v>
      </c>
      <c r="L42" s="3495" t="s">
        <v>1006</v>
      </c>
      <c r="M42" s="3495" t="s">
        <v>1006</v>
      </c>
      <c r="N42" s="3495" t="s">
        <v>1006</v>
      </c>
      <c r="O42" s="3495" t="s">
        <v>1006</v>
      </c>
      <c r="P42" s="3495" t="s">
        <v>1006</v>
      </c>
      <c r="Q42" s="3495" t="s">
        <v>1006</v>
      </c>
      <c r="R42" s="3495" t="s">
        <v>1006</v>
      </c>
      <c r="S42" s="3495" t="s">
        <v>1006</v>
      </c>
      <c r="T42" s="3495" t="s">
        <v>1006</v>
      </c>
      <c r="U42" s="3495" t="s">
        <v>1006</v>
      </c>
      <c r="V42" s="3497" t="s">
        <v>986</v>
      </c>
      <c r="W42" s="3495" t="s">
        <v>1006</v>
      </c>
      <c r="X42" s="3495" t="s">
        <v>1006</v>
      </c>
      <c r="Y42" s="3495" t="s">
        <v>1006</v>
      </c>
      <c r="Z42" s="3495" t="s">
        <v>1006</v>
      </c>
      <c r="AA42" s="3495" t="s">
        <v>1006</v>
      </c>
      <c r="AB42" s="3495" t="s">
        <v>1006</v>
      </c>
      <c r="AC42" s="3495" t="s">
        <v>1006</v>
      </c>
      <c r="AD42" s="3495" t="s">
        <v>1006</v>
      </c>
      <c r="AE42" s="3495" t="s">
        <v>1006</v>
      </c>
      <c r="AF42" s="3495" t="s">
        <v>1006</v>
      </c>
      <c r="AG42" s="3497" t="s">
        <v>986</v>
      </c>
      <c r="AH42" s="3495" t="s">
        <v>1006</v>
      </c>
      <c r="AI42" s="3495">
        <v>71.241324809076005</v>
      </c>
      <c r="AJ42" s="3495" t="s">
        <v>1006</v>
      </c>
    </row>
    <row r="43" spans="1:36" ht="14.25" customHeight="1" x14ac:dyDescent="0.2">
      <c r="A43" s="3528" t="s">
        <v>1144</v>
      </c>
      <c r="B43" s="3495" t="s">
        <v>799</v>
      </c>
      <c r="C43" s="3495" t="s">
        <v>799</v>
      </c>
      <c r="D43" s="3495" t="s">
        <v>799</v>
      </c>
      <c r="E43" s="3495" t="s">
        <v>799</v>
      </c>
      <c r="F43" s="3495" t="s">
        <v>799</v>
      </c>
      <c r="G43" s="3495" t="s">
        <v>799</v>
      </c>
      <c r="H43" s="3495" t="s">
        <v>799</v>
      </c>
      <c r="I43" s="3495" t="s">
        <v>799</v>
      </c>
      <c r="J43" s="3495" t="s">
        <v>799</v>
      </c>
      <c r="K43" s="3495" t="s">
        <v>799</v>
      </c>
      <c r="L43" s="3495" t="s">
        <v>799</v>
      </c>
      <c r="M43" s="3495" t="s">
        <v>799</v>
      </c>
      <c r="N43" s="3495" t="s">
        <v>799</v>
      </c>
      <c r="O43" s="3495" t="s">
        <v>799</v>
      </c>
      <c r="P43" s="3495" t="s">
        <v>799</v>
      </c>
      <c r="Q43" s="3495" t="s">
        <v>799</v>
      </c>
      <c r="R43" s="3495" t="s">
        <v>799</v>
      </c>
      <c r="S43" s="3495" t="s">
        <v>799</v>
      </c>
      <c r="T43" s="3495" t="s">
        <v>799</v>
      </c>
      <c r="U43" s="3495" t="s">
        <v>799</v>
      </c>
      <c r="V43" s="3497" t="s">
        <v>986</v>
      </c>
      <c r="W43" s="3495" t="s">
        <v>799</v>
      </c>
      <c r="X43" s="3495" t="s">
        <v>799</v>
      </c>
      <c r="Y43" s="3495" t="s">
        <v>799</v>
      </c>
      <c r="Z43" s="3495" t="s">
        <v>799</v>
      </c>
      <c r="AA43" s="3495" t="s">
        <v>799</v>
      </c>
      <c r="AB43" s="3495" t="s">
        <v>799</v>
      </c>
      <c r="AC43" s="3495" t="s">
        <v>799</v>
      </c>
      <c r="AD43" s="3495" t="s">
        <v>799</v>
      </c>
      <c r="AE43" s="3495" t="s">
        <v>799</v>
      </c>
      <c r="AF43" s="3495" t="s">
        <v>799</v>
      </c>
      <c r="AG43" s="3497" t="s">
        <v>986</v>
      </c>
      <c r="AH43" s="3495" t="s">
        <v>799</v>
      </c>
      <c r="AI43" s="3495" t="s">
        <v>799</v>
      </c>
      <c r="AJ43" s="3495" t="s">
        <v>799</v>
      </c>
    </row>
    <row r="44" spans="1:36" ht="15.75" customHeight="1" x14ac:dyDescent="0.2">
      <c r="A44" s="663"/>
      <c r="B44" s="663"/>
      <c r="C44" s="663"/>
      <c r="D44" s="663"/>
      <c r="E44" s="663"/>
      <c r="F44" s="663"/>
      <c r="G44" s="663"/>
      <c r="H44" s="663"/>
      <c r="I44" s="663"/>
      <c r="J44" s="663"/>
      <c r="K44" s="663"/>
      <c r="L44" s="663"/>
      <c r="M44" s="663"/>
      <c r="N44" s="663"/>
      <c r="O44" s="663"/>
      <c r="P44" s="663"/>
      <c r="Q44" s="663"/>
      <c r="R44" s="663"/>
      <c r="S44" s="663"/>
      <c r="T44" s="663"/>
      <c r="U44" s="663"/>
      <c r="V44" s="663"/>
      <c r="W44" s="663"/>
      <c r="X44" s="663"/>
      <c r="Y44" s="663"/>
      <c r="Z44" s="663"/>
      <c r="AA44" s="663"/>
      <c r="AB44" s="663"/>
      <c r="AC44" s="663"/>
      <c r="AD44" s="663"/>
      <c r="AE44" s="663"/>
      <c r="AF44" s="663"/>
      <c r="AG44" s="663"/>
      <c r="AH44" s="663"/>
      <c r="AI44" s="663"/>
      <c r="AJ44" s="660"/>
    </row>
    <row r="45" spans="1:36" ht="27.75" customHeight="1" x14ac:dyDescent="0.2">
      <c r="A45" s="5459" t="s">
        <v>1143</v>
      </c>
      <c r="B45" s="5459"/>
      <c r="C45" s="5459"/>
      <c r="D45" s="5459"/>
      <c r="E45" s="5459"/>
      <c r="F45" s="5459"/>
      <c r="G45" s="5459"/>
      <c r="H45" s="5459"/>
      <c r="I45" s="5459"/>
      <c r="J45" s="5459"/>
      <c r="K45" s="5459"/>
      <c r="L45" s="5459"/>
      <c r="M45" s="5459"/>
      <c r="N45" s="5459"/>
      <c r="O45" s="5459"/>
      <c r="P45" s="5459"/>
      <c r="Q45" s="5459"/>
      <c r="R45" s="5459"/>
      <c r="S45" s="5459"/>
      <c r="T45" s="5459"/>
      <c r="U45" s="5459"/>
      <c r="V45" s="5459"/>
      <c r="W45" s="5459"/>
      <c r="X45" s="5459"/>
      <c r="Y45" s="5459"/>
      <c r="Z45" s="5459"/>
      <c r="AA45" s="5459"/>
      <c r="AB45" s="5459"/>
      <c r="AC45" s="5459"/>
      <c r="AD45" s="5459"/>
      <c r="AE45" s="5459"/>
      <c r="AF45" s="5459"/>
      <c r="AG45" s="5459"/>
      <c r="AH45" s="5459"/>
      <c r="AI45" s="5459"/>
      <c r="AJ45" s="660"/>
    </row>
    <row r="46" spans="1:36" ht="13.5" x14ac:dyDescent="0.2">
      <c r="A46" s="5456" t="s">
        <v>1142</v>
      </c>
      <c r="B46" s="5456"/>
      <c r="C46" s="5456"/>
      <c r="D46" s="5456"/>
      <c r="E46" s="5456"/>
      <c r="F46" s="5456"/>
      <c r="G46" s="5456"/>
      <c r="H46" s="661"/>
      <c r="I46" s="661"/>
      <c r="J46" s="661"/>
      <c r="K46" s="661"/>
      <c r="L46" s="661"/>
      <c r="M46" s="661"/>
      <c r="N46" s="661"/>
      <c r="O46" s="661"/>
      <c r="P46" s="661"/>
      <c r="Q46" s="661"/>
      <c r="R46" s="661"/>
      <c r="S46" s="661"/>
      <c r="T46" s="661"/>
      <c r="U46" s="661"/>
      <c r="V46" s="661"/>
      <c r="W46" s="661"/>
      <c r="X46" s="661"/>
      <c r="Y46" s="661"/>
      <c r="Z46" s="661"/>
      <c r="AA46" s="661"/>
      <c r="AB46" s="661"/>
      <c r="AC46" s="661"/>
      <c r="AD46" s="661"/>
      <c r="AE46" s="661"/>
      <c r="AF46" s="661"/>
      <c r="AG46" s="661"/>
      <c r="AH46" s="661"/>
      <c r="AI46" s="661"/>
      <c r="AJ46" s="660"/>
    </row>
    <row r="47" spans="1:36" ht="13.5" x14ac:dyDescent="0.2">
      <c r="A47" s="5489" t="s">
        <v>1141</v>
      </c>
      <c r="B47" s="5489"/>
      <c r="C47" s="5489"/>
      <c r="D47" s="5489"/>
      <c r="E47" s="5489"/>
      <c r="F47" s="5489"/>
      <c r="G47" s="5489"/>
      <c r="H47" s="5489"/>
      <c r="I47" s="5489"/>
      <c r="J47" s="5489"/>
      <c r="K47" s="5489"/>
      <c r="L47" s="5489"/>
      <c r="M47" s="5489"/>
      <c r="N47" s="5489"/>
      <c r="O47" s="5489"/>
      <c r="P47" s="5489"/>
      <c r="Q47" s="5489"/>
      <c r="R47" s="5489"/>
      <c r="S47" s="5489"/>
      <c r="T47" s="5489"/>
      <c r="U47" s="5489"/>
      <c r="V47" s="5489"/>
      <c r="W47" s="5489"/>
      <c r="X47" s="661"/>
      <c r="Y47" s="661"/>
      <c r="Z47" s="661"/>
      <c r="AA47" s="661"/>
      <c r="AB47" s="661"/>
      <c r="AC47" s="661"/>
      <c r="AD47" s="661"/>
      <c r="AE47" s="661"/>
      <c r="AF47" s="661"/>
      <c r="AG47" s="661"/>
      <c r="AH47" s="661"/>
      <c r="AI47" s="661"/>
      <c r="AJ47" s="660"/>
    </row>
    <row r="48" spans="1:36" ht="15" customHeight="1" x14ac:dyDescent="0.2">
      <c r="A48" s="3302"/>
      <c r="B48" s="3300"/>
      <c r="C48" s="3300"/>
      <c r="D48" s="3300"/>
      <c r="E48" s="3300"/>
      <c r="F48" s="3300"/>
      <c r="G48" s="3300"/>
      <c r="H48" s="3300"/>
      <c r="I48" s="3300"/>
      <c r="J48" s="3300"/>
      <c r="K48" s="661"/>
      <c r="L48" s="661"/>
      <c r="M48" s="661"/>
      <c r="N48" s="661"/>
      <c r="O48" s="661"/>
      <c r="P48" s="661"/>
      <c r="Q48" s="661"/>
      <c r="R48" s="661"/>
      <c r="S48" s="661"/>
      <c r="T48" s="661"/>
      <c r="U48" s="661"/>
      <c r="V48" s="661"/>
      <c r="W48" s="661"/>
      <c r="X48" s="661"/>
      <c r="Y48" s="661"/>
      <c r="Z48" s="661"/>
      <c r="AA48" s="661"/>
      <c r="AB48" s="661"/>
      <c r="AC48" s="661"/>
      <c r="AD48" s="661"/>
      <c r="AE48" s="661"/>
      <c r="AF48" s="661"/>
      <c r="AG48" s="661"/>
      <c r="AH48" s="661"/>
      <c r="AI48" s="661"/>
      <c r="AJ48" s="660"/>
    </row>
    <row r="49" spans="1:36" ht="12" x14ac:dyDescent="0.2">
      <c r="A49" s="5490" t="s">
        <v>1140</v>
      </c>
      <c r="B49" s="5490"/>
      <c r="C49" s="5490"/>
      <c r="D49" s="5490"/>
      <c r="E49" s="5490"/>
      <c r="F49" s="5490"/>
      <c r="G49" s="5490"/>
      <c r="H49" s="5490"/>
      <c r="I49" s="5490"/>
      <c r="J49" s="5490"/>
      <c r="K49" s="5490"/>
      <c r="L49" s="5490"/>
      <c r="M49" s="5490"/>
      <c r="N49" s="5490"/>
      <c r="O49" s="5490"/>
      <c r="P49" s="5490"/>
      <c r="Q49" s="5490"/>
      <c r="R49" s="5490"/>
      <c r="S49" s="5490"/>
      <c r="T49" s="5490"/>
      <c r="U49" s="5490"/>
      <c r="V49" s="5490"/>
      <c r="W49" s="5490"/>
      <c r="X49" s="5490"/>
      <c r="Y49" s="5490"/>
      <c r="Z49" s="5490"/>
      <c r="AA49" s="5490"/>
      <c r="AB49" s="5490"/>
      <c r="AC49" s="5490"/>
      <c r="AD49" s="5490"/>
      <c r="AE49" s="5490"/>
      <c r="AF49" s="5490"/>
      <c r="AG49" s="5490"/>
      <c r="AH49" s="5490"/>
      <c r="AI49" s="5490"/>
      <c r="AJ49" s="660"/>
    </row>
    <row r="50" spans="1:36" ht="5.25" customHeight="1" x14ac:dyDescent="0.2">
      <c r="A50" s="5490"/>
      <c r="B50" s="5490"/>
      <c r="C50" s="5490"/>
      <c r="D50" s="5490"/>
      <c r="E50" s="5490"/>
      <c r="F50" s="5490"/>
      <c r="G50" s="5490"/>
      <c r="H50" s="5490"/>
      <c r="I50" s="5490"/>
      <c r="J50" s="5490"/>
      <c r="K50" s="5490"/>
      <c r="L50" s="5490"/>
      <c r="M50" s="5490"/>
      <c r="N50" s="5490"/>
      <c r="O50" s="5490"/>
      <c r="P50" s="5490"/>
      <c r="Q50" s="5490"/>
      <c r="R50" s="5490"/>
      <c r="S50" s="5490"/>
      <c r="T50" s="5490"/>
      <c r="U50" s="5490"/>
      <c r="V50" s="5490"/>
      <c r="W50" s="5490"/>
      <c r="X50" s="5490"/>
      <c r="Y50" s="5490"/>
      <c r="Z50" s="5490"/>
      <c r="AA50" s="5490"/>
      <c r="AB50" s="5490"/>
      <c r="AC50" s="5490"/>
      <c r="AD50" s="5490"/>
      <c r="AE50" s="5490"/>
      <c r="AF50" s="5490"/>
      <c r="AG50" s="5490"/>
      <c r="AH50" s="5490"/>
      <c r="AI50" s="5490"/>
      <c r="AJ50" s="660"/>
    </row>
    <row r="51" spans="1:36" ht="8.25" customHeight="1" x14ac:dyDescent="0.2">
      <c r="A51" s="661"/>
      <c r="B51" s="689"/>
      <c r="C51" s="689"/>
      <c r="D51" s="689"/>
      <c r="E51" s="689"/>
      <c r="F51" s="689"/>
      <c r="G51" s="689"/>
      <c r="H51" s="689"/>
      <c r="I51" s="689"/>
      <c r="J51" s="689"/>
      <c r="K51" s="689"/>
      <c r="L51" s="689"/>
      <c r="M51" s="689"/>
      <c r="N51" s="689"/>
      <c r="O51" s="689"/>
      <c r="P51" s="689"/>
      <c r="Q51" s="689"/>
      <c r="R51" s="689"/>
      <c r="S51" s="689"/>
      <c r="T51" s="689"/>
      <c r="U51" s="689"/>
      <c r="V51" s="689"/>
      <c r="W51" s="689"/>
      <c r="X51" s="689"/>
      <c r="Y51" s="689"/>
      <c r="Z51" s="689"/>
      <c r="AA51" s="689"/>
      <c r="AB51" s="689"/>
      <c r="AC51" s="689"/>
      <c r="AD51" s="689"/>
      <c r="AE51" s="689"/>
      <c r="AF51" s="689"/>
      <c r="AG51" s="689"/>
      <c r="AH51" s="689"/>
      <c r="AI51" s="689"/>
      <c r="AJ51" s="660"/>
    </row>
    <row r="52" spans="1:36" ht="12" x14ac:dyDescent="0.2">
      <c r="A52" s="5698" t="s">
        <v>982</v>
      </c>
      <c r="B52" s="5699"/>
      <c r="C52" s="5699"/>
      <c r="D52" s="5699"/>
      <c r="E52" s="5699"/>
      <c r="F52" s="5699"/>
      <c r="G52" s="5699"/>
      <c r="H52" s="5699"/>
      <c r="I52" s="5699"/>
      <c r="J52" s="5699"/>
      <c r="K52" s="5699"/>
      <c r="L52" s="5699"/>
      <c r="M52" s="5699"/>
      <c r="N52" s="5699"/>
      <c r="O52" s="5699"/>
      <c r="P52" s="5699"/>
      <c r="Q52" s="5699"/>
      <c r="R52" s="5699"/>
      <c r="S52" s="5699"/>
      <c r="T52" s="5699"/>
      <c r="U52" s="5699"/>
      <c r="V52" s="5699"/>
      <c r="W52" s="5699"/>
      <c r="X52" s="5699"/>
      <c r="Y52" s="5699"/>
      <c r="Z52" s="5699"/>
      <c r="AA52" s="5699"/>
      <c r="AB52" s="5699"/>
      <c r="AC52" s="5699"/>
      <c r="AD52" s="5699"/>
      <c r="AE52" s="5699"/>
      <c r="AF52" s="5699"/>
      <c r="AG52" s="5699"/>
      <c r="AH52" s="5699"/>
      <c r="AI52" s="5700"/>
      <c r="AJ52" s="660"/>
    </row>
    <row r="53" spans="1:36" ht="12.75" customHeight="1" x14ac:dyDescent="0.2">
      <c r="A53" s="5476" t="s">
        <v>1139</v>
      </c>
      <c r="B53" s="5435"/>
      <c r="C53" s="5435"/>
      <c r="D53" s="5435"/>
      <c r="E53" s="5435"/>
      <c r="F53" s="5435"/>
      <c r="G53" s="5435"/>
      <c r="H53" s="5435"/>
      <c r="I53" s="5435"/>
      <c r="J53" s="5435"/>
      <c r="K53" s="5435"/>
      <c r="L53" s="5435"/>
      <c r="M53" s="5435"/>
      <c r="N53" s="5435"/>
      <c r="O53" s="5435"/>
      <c r="P53" s="5435"/>
      <c r="Q53" s="5435"/>
      <c r="R53" s="5435"/>
      <c r="S53" s="5435"/>
      <c r="T53" s="5435"/>
      <c r="U53" s="5435"/>
      <c r="V53" s="5435"/>
      <c r="W53" s="5435"/>
      <c r="X53" s="5435"/>
      <c r="Y53" s="5435"/>
      <c r="Z53" s="5435"/>
      <c r="AA53" s="5435"/>
      <c r="AB53" s="5435"/>
      <c r="AC53" s="5435"/>
      <c r="AD53" s="5435"/>
      <c r="AE53" s="5435"/>
      <c r="AF53" s="5435"/>
      <c r="AG53" s="5435"/>
      <c r="AH53" s="5435"/>
      <c r="AI53" s="5477"/>
      <c r="AJ53" s="660"/>
    </row>
    <row r="54" spans="1:36" ht="12" x14ac:dyDescent="0.2">
      <c r="A54" s="5478" t="s">
        <v>1138</v>
      </c>
      <c r="B54" s="5479"/>
      <c r="C54" s="5479"/>
      <c r="D54" s="5479"/>
      <c r="E54" s="5479"/>
      <c r="F54" s="5479"/>
      <c r="G54" s="5479"/>
      <c r="H54" s="5479"/>
      <c r="I54" s="5479"/>
      <c r="J54" s="5479"/>
      <c r="K54" s="5479"/>
      <c r="L54" s="5479"/>
      <c r="M54" s="5479"/>
      <c r="N54" s="5479"/>
      <c r="O54" s="5479"/>
      <c r="P54" s="5479"/>
      <c r="Q54" s="5479"/>
      <c r="R54" s="5479"/>
      <c r="S54" s="5479"/>
      <c r="T54" s="5479"/>
      <c r="U54" s="5479"/>
      <c r="V54" s="5479"/>
      <c r="W54" s="5479"/>
      <c r="X54" s="5479"/>
      <c r="Y54" s="5479"/>
      <c r="Z54" s="5479"/>
      <c r="AA54" s="5479"/>
      <c r="AB54" s="5479"/>
      <c r="AC54" s="5479"/>
      <c r="AD54" s="5479"/>
      <c r="AE54" s="5479"/>
      <c r="AF54" s="5479"/>
      <c r="AG54" s="5479"/>
      <c r="AH54" s="5479"/>
      <c r="AI54" s="5480"/>
      <c r="AJ54" s="660"/>
    </row>
    <row r="55" spans="1:36" ht="15.75" customHeight="1" x14ac:dyDescent="0.2">
      <c r="A55" s="3494" t="s">
        <v>980</v>
      </c>
      <c r="B55" s="5696" t="s">
        <v>986</v>
      </c>
      <c r="C55" s="5709"/>
      <c r="D55" s="5709"/>
      <c r="E55" s="5709"/>
      <c r="F55" s="5709"/>
      <c r="G55" s="5709"/>
      <c r="H55" s="5709"/>
      <c r="I55" s="5709"/>
      <c r="J55" s="5709"/>
      <c r="K55" s="5709"/>
      <c r="L55" s="5709"/>
      <c r="M55" s="5709"/>
      <c r="N55" s="5709"/>
      <c r="O55" s="5709"/>
      <c r="P55" s="5709"/>
      <c r="Q55" s="5709"/>
      <c r="R55" s="5709"/>
      <c r="S55" s="5709"/>
      <c r="T55" s="5709"/>
      <c r="U55" s="5709"/>
      <c r="V55" s="5709"/>
      <c r="W55" s="5709"/>
      <c r="X55" s="5709"/>
      <c r="Y55" s="5709"/>
      <c r="Z55" s="5709"/>
      <c r="AA55" s="5709"/>
      <c r="AB55" s="5709"/>
      <c r="AC55" s="5709"/>
      <c r="AD55" s="5709"/>
      <c r="AE55" s="5709"/>
      <c r="AF55" s="5709"/>
      <c r="AG55" s="5709"/>
      <c r="AH55" s="5709"/>
      <c r="AI55" s="5709"/>
    </row>
    <row r="56" spans="1:36" ht="15.75" customHeight="1" x14ac:dyDescent="0.2">
      <c r="A56" s="3494" t="s">
        <v>980</v>
      </c>
      <c r="B56" s="5696" t="s">
        <v>986</v>
      </c>
      <c r="C56" s="5709"/>
      <c r="D56" s="5709"/>
      <c r="E56" s="5709"/>
      <c r="F56" s="5709"/>
      <c r="G56" s="5709"/>
      <c r="H56" s="5709"/>
      <c r="I56" s="5709"/>
      <c r="J56" s="5709"/>
      <c r="K56" s="5709"/>
      <c r="L56" s="5709"/>
      <c r="M56" s="5709"/>
      <c r="N56" s="5709"/>
      <c r="O56" s="5709"/>
      <c r="P56" s="5709"/>
      <c r="Q56" s="5709"/>
      <c r="R56" s="5709"/>
      <c r="S56" s="5709"/>
      <c r="T56" s="5709"/>
      <c r="U56" s="5709"/>
      <c r="V56" s="5709"/>
      <c r="W56" s="5709"/>
      <c r="X56" s="5709"/>
      <c r="Y56" s="5709"/>
      <c r="Z56" s="5709"/>
      <c r="AA56" s="5709"/>
      <c r="AB56" s="5709"/>
      <c r="AC56" s="5709"/>
      <c r="AD56" s="5709"/>
      <c r="AE56" s="5709"/>
      <c r="AF56" s="5709"/>
      <c r="AG56" s="5709"/>
      <c r="AH56" s="5709"/>
      <c r="AI56" s="5709"/>
    </row>
    <row r="57" spans="1:36" ht="15.75" customHeight="1" x14ac:dyDescent="0.2">
      <c r="A57" s="3494" t="s">
        <v>980</v>
      </c>
      <c r="B57" s="5696" t="s">
        <v>986</v>
      </c>
      <c r="C57" s="5709"/>
      <c r="D57" s="5709"/>
      <c r="E57" s="5709"/>
      <c r="F57" s="5709"/>
      <c r="G57" s="5709"/>
      <c r="H57" s="5709"/>
      <c r="I57" s="5709"/>
      <c r="J57" s="5709"/>
      <c r="K57" s="5709"/>
      <c r="L57" s="5709"/>
      <c r="M57" s="5709"/>
      <c r="N57" s="5709"/>
      <c r="O57" s="5709"/>
      <c r="P57" s="5709"/>
      <c r="Q57" s="5709"/>
      <c r="R57" s="5709"/>
      <c r="S57" s="5709"/>
      <c r="T57" s="5709"/>
      <c r="U57" s="5709"/>
      <c r="V57" s="5709"/>
      <c r="W57" s="5709"/>
      <c r="X57" s="5709"/>
      <c r="Y57" s="5709"/>
      <c r="Z57" s="5709"/>
      <c r="AA57" s="5709"/>
      <c r="AB57" s="5709"/>
      <c r="AC57" s="5709"/>
      <c r="AD57" s="5709"/>
      <c r="AE57" s="5709"/>
      <c r="AF57" s="5709"/>
      <c r="AG57" s="5709"/>
      <c r="AH57" s="5709"/>
      <c r="AI57" s="5709"/>
    </row>
    <row r="58" spans="1:36" ht="15.75" customHeight="1" x14ac:dyDescent="0.2">
      <c r="A58" s="3494" t="s">
        <v>980</v>
      </c>
      <c r="B58" s="5696" t="s">
        <v>986</v>
      </c>
      <c r="C58" s="5709"/>
      <c r="D58" s="5709"/>
      <c r="E58" s="5709"/>
      <c r="F58" s="5709"/>
      <c r="G58" s="5709"/>
      <c r="H58" s="5709"/>
      <c r="I58" s="5709"/>
      <c r="J58" s="5709"/>
      <c r="K58" s="5709"/>
      <c r="L58" s="5709"/>
      <c r="M58" s="5709"/>
      <c r="N58" s="5709"/>
      <c r="O58" s="5709"/>
      <c r="P58" s="5709"/>
      <c r="Q58" s="5709"/>
      <c r="R58" s="5709"/>
      <c r="S58" s="5709"/>
      <c r="T58" s="5709"/>
      <c r="U58" s="5709"/>
      <c r="V58" s="5709"/>
      <c r="W58" s="5709"/>
      <c r="X58" s="5709"/>
      <c r="Y58" s="5709"/>
      <c r="Z58" s="5709"/>
      <c r="AA58" s="5709"/>
      <c r="AB58" s="5709"/>
      <c r="AC58" s="5709"/>
      <c r="AD58" s="5709"/>
      <c r="AE58" s="5709"/>
      <c r="AF58" s="5709"/>
      <c r="AG58" s="5709"/>
      <c r="AH58" s="5709"/>
      <c r="AI58" s="5709"/>
    </row>
    <row r="59" spans="1:36" ht="15.75" customHeight="1" x14ac:dyDescent="0.2">
      <c r="A59" s="3494" t="s">
        <v>980</v>
      </c>
      <c r="B59" s="5696" t="s">
        <v>986</v>
      </c>
      <c r="C59" s="5709"/>
      <c r="D59" s="5709"/>
      <c r="E59" s="5709"/>
      <c r="F59" s="5709"/>
      <c r="G59" s="5709"/>
      <c r="H59" s="5709"/>
      <c r="I59" s="5709"/>
      <c r="J59" s="5709"/>
      <c r="K59" s="5709"/>
      <c r="L59" s="5709"/>
      <c r="M59" s="5709"/>
      <c r="N59" s="5709"/>
      <c r="O59" s="5709"/>
      <c r="P59" s="5709"/>
      <c r="Q59" s="5709"/>
      <c r="R59" s="5709"/>
      <c r="S59" s="5709"/>
      <c r="T59" s="5709"/>
      <c r="U59" s="5709"/>
      <c r="V59" s="5709"/>
      <c r="W59" s="5709"/>
      <c r="X59" s="5709"/>
      <c r="Y59" s="5709"/>
      <c r="Z59" s="5709"/>
      <c r="AA59" s="5709"/>
      <c r="AB59" s="5709"/>
      <c r="AC59" s="5709"/>
      <c r="AD59" s="5709"/>
      <c r="AE59" s="5709"/>
      <c r="AF59" s="5709"/>
      <c r="AG59" s="5709"/>
      <c r="AH59" s="5709"/>
      <c r="AI59" s="5709"/>
    </row>
    <row r="60" spans="1:36" ht="15.75" customHeight="1" x14ac:dyDescent="0.2">
      <c r="A60" s="3494" t="s">
        <v>980</v>
      </c>
      <c r="B60" s="5696" t="s">
        <v>986</v>
      </c>
      <c r="C60" s="5714"/>
      <c r="D60" s="5714"/>
      <c r="E60" s="5714"/>
      <c r="F60" s="5714"/>
      <c r="G60" s="5714"/>
      <c r="H60" s="5714"/>
      <c r="I60" s="5714"/>
      <c r="J60" s="5714"/>
      <c r="K60" s="5714"/>
      <c r="L60" s="5714"/>
      <c r="M60" s="5714"/>
      <c r="N60" s="5714"/>
      <c r="O60" s="5714"/>
      <c r="P60" s="5714"/>
      <c r="Q60" s="5714"/>
      <c r="R60" s="5714"/>
      <c r="S60" s="5714"/>
      <c r="T60" s="5714"/>
      <c r="U60" s="5714"/>
      <c r="V60" s="5714"/>
      <c r="W60" s="5714"/>
      <c r="X60" s="5714"/>
      <c r="Y60" s="5714"/>
      <c r="Z60" s="5714"/>
      <c r="AA60" s="5714"/>
      <c r="AB60" s="5714"/>
      <c r="AC60" s="5714"/>
      <c r="AD60" s="5714"/>
      <c r="AE60" s="5714"/>
      <c r="AF60" s="5714"/>
      <c r="AG60" s="5714"/>
      <c r="AH60" s="5714"/>
      <c r="AI60" s="5715"/>
    </row>
    <row r="61" spans="1:36" ht="15" x14ac:dyDescent="0.25">
      <c r="A61" s="3527" t="s">
        <v>1137</v>
      </c>
      <c r="B61" s="5696" t="s">
        <v>986</v>
      </c>
      <c r="C61" s="5717"/>
      <c r="D61" s="5717"/>
      <c r="E61" s="5717"/>
      <c r="F61" s="5717"/>
      <c r="G61" s="5717"/>
      <c r="H61" s="5717"/>
      <c r="I61" s="5717"/>
      <c r="J61" s="5717"/>
      <c r="K61" s="5717"/>
      <c r="L61" s="5717"/>
      <c r="M61" s="5717"/>
      <c r="N61" s="5717"/>
      <c r="O61" s="5717"/>
      <c r="P61" s="5717"/>
      <c r="Q61" s="5717"/>
      <c r="R61" s="5717"/>
      <c r="S61" s="5717"/>
      <c r="T61" s="5717"/>
      <c r="U61" s="5717"/>
      <c r="V61" s="5717"/>
      <c r="W61" s="5717"/>
      <c r="X61" s="5717"/>
      <c r="Y61" s="5717"/>
      <c r="Z61" s="5717"/>
      <c r="AA61" s="5717"/>
      <c r="AB61" s="5717"/>
      <c r="AC61" s="5717"/>
      <c r="AD61" s="5717"/>
      <c r="AE61" s="5717"/>
      <c r="AF61" s="5717"/>
      <c r="AG61" s="5717"/>
      <c r="AH61" s="5717"/>
      <c r="AI61" s="5718"/>
    </row>
    <row r="62" spans="1:36" ht="15" x14ac:dyDescent="0.25">
      <c r="A62" s="3527" t="s">
        <v>1137</v>
      </c>
      <c r="B62" s="5696" t="s">
        <v>986</v>
      </c>
      <c r="C62" s="5717"/>
      <c r="D62" s="5717"/>
      <c r="E62" s="5717"/>
      <c r="F62" s="5717"/>
      <c r="G62" s="5717"/>
      <c r="H62" s="5717"/>
      <c r="I62" s="5717"/>
      <c r="J62" s="5717"/>
      <c r="K62" s="5717"/>
      <c r="L62" s="5717"/>
      <c r="M62" s="5717"/>
      <c r="N62" s="5717"/>
      <c r="O62" s="5717"/>
      <c r="P62" s="5717"/>
      <c r="Q62" s="5717"/>
      <c r="R62" s="5717"/>
      <c r="S62" s="5717"/>
      <c r="T62" s="5717"/>
      <c r="U62" s="5717"/>
      <c r="V62" s="5717"/>
      <c r="W62" s="5717"/>
      <c r="X62" s="5717"/>
      <c r="Y62" s="5717"/>
      <c r="Z62" s="5717"/>
      <c r="AA62" s="5717"/>
      <c r="AB62" s="5717"/>
      <c r="AC62" s="5717"/>
      <c r="AD62" s="5717"/>
      <c r="AE62" s="5717"/>
      <c r="AF62" s="5717"/>
      <c r="AG62" s="5717"/>
      <c r="AH62" s="5717"/>
      <c r="AI62" s="5718"/>
    </row>
    <row r="63" spans="1:36" ht="15" x14ac:dyDescent="0.25">
      <c r="A63" s="3527" t="s">
        <v>1137</v>
      </c>
      <c r="B63" s="5696" t="s">
        <v>986</v>
      </c>
      <c r="C63" s="5717"/>
      <c r="D63" s="5717"/>
      <c r="E63" s="5717"/>
      <c r="F63" s="5717"/>
      <c r="G63" s="5717"/>
      <c r="H63" s="5717"/>
      <c r="I63" s="5717"/>
      <c r="J63" s="5717"/>
      <c r="K63" s="5717"/>
      <c r="L63" s="5717"/>
      <c r="M63" s="5717"/>
      <c r="N63" s="5717"/>
      <c r="O63" s="5717"/>
      <c r="P63" s="5717"/>
      <c r="Q63" s="5717"/>
      <c r="R63" s="5717"/>
      <c r="S63" s="5717"/>
      <c r="T63" s="5717"/>
      <c r="U63" s="5717"/>
      <c r="V63" s="5717"/>
      <c r="W63" s="5717"/>
      <c r="X63" s="5717"/>
      <c r="Y63" s="5717"/>
      <c r="Z63" s="5717"/>
      <c r="AA63" s="5717"/>
      <c r="AB63" s="5717"/>
      <c r="AC63" s="5717"/>
      <c r="AD63" s="5717"/>
      <c r="AE63" s="5717"/>
      <c r="AF63" s="5717"/>
      <c r="AG63" s="5717"/>
      <c r="AH63" s="5717"/>
      <c r="AI63" s="5718"/>
    </row>
    <row r="64" spans="1:36" ht="15" x14ac:dyDescent="0.25">
      <c r="A64" s="3527" t="s">
        <v>1137</v>
      </c>
      <c r="B64" s="5696" t="s">
        <v>986</v>
      </c>
      <c r="C64" s="5717"/>
      <c r="D64" s="5717"/>
      <c r="E64" s="5717"/>
      <c r="F64" s="5717"/>
      <c r="G64" s="5717"/>
      <c r="H64" s="5717"/>
      <c r="I64" s="5717"/>
      <c r="J64" s="5717"/>
      <c r="K64" s="5717"/>
      <c r="L64" s="5717"/>
      <c r="M64" s="5717"/>
      <c r="N64" s="5717"/>
      <c r="O64" s="5717"/>
      <c r="P64" s="5717"/>
      <c r="Q64" s="5717"/>
      <c r="R64" s="5717"/>
      <c r="S64" s="5717"/>
      <c r="T64" s="5717"/>
      <c r="U64" s="5717"/>
      <c r="V64" s="5717"/>
      <c r="W64" s="5717"/>
      <c r="X64" s="5717"/>
      <c r="Y64" s="5717"/>
      <c r="Z64" s="5717"/>
      <c r="AA64" s="5717"/>
      <c r="AB64" s="5717"/>
      <c r="AC64" s="5717"/>
      <c r="AD64" s="5717"/>
      <c r="AE64" s="5717"/>
      <c r="AF64" s="5717"/>
      <c r="AG64" s="5717"/>
      <c r="AH64" s="5717"/>
      <c r="AI64" s="5718"/>
    </row>
    <row r="65" spans="1:35" ht="15" x14ac:dyDescent="0.25">
      <c r="A65" s="3527" t="s">
        <v>1137</v>
      </c>
      <c r="B65" s="5696" t="s">
        <v>986</v>
      </c>
      <c r="C65" s="5717"/>
      <c r="D65" s="5717"/>
      <c r="E65" s="5717"/>
      <c r="F65" s="5717"/>
      <c r="G65" s="5717"/>
      <c r="H65" s="5717"/>
      <c r="I65" s="5717"/>
      <c r="J65" s="5717"/>
      <c r="K65" s="5717"/>
      <c r="L65" s="5717"/>
      <c r="M65" s="5717"/>
      <c r="N65" s="5717"/>
      <c r="O65" s="5717"/>
      <c r="P65" s="5717"/>
      <c r="Q65" s="5717"/>
      <c r="R65" s="5717"/>
      <c r="S65" s="5717"/>
      <c r="T65" s="5717"/>
      <c r="U65" s="5717"/>
      <c r="V65" s="5717"/>
      <c r="W65" s="5717"/>
      <c r="X65" s="5717"/>
      <c r="Y65" s="5717"/>
      <c r="Z65" s="5717"/>
      <c r="AA65" s="5717"/>
      <c r="AB65" s="5717"/>
      <c r="AC65" s="5717"/>
      <c r="AD65" s="5717"/>
      <c r="AE65" s="5717"/>
      <c r="AF65" s="5717"/>
      <c r="AG65" s="5717"/>
      <c r="AH65" s="5717"/>
      <c r="AI65" s="5718"/>
    </row>
    <row r="66" spans="1:35" ht="15" x14ac:dyDescent="0.25">
      <c r="A66" s="3527" t="s">
        <v>1137</v>
      </c>
      <c r="B66" s="5696" t="s">
        <v>986</v>
      </c>
      <c r="C66" s="5717"/>
      <c r="D66" s="5717"/>
      <c r="E66" s="5717"/>
      <c r="F66" s="5717"/>
      <c r="G66" s="5717"/>
      <c r="H66" s="5717"/>
      <c r="I66" s="5717"/>
      <c r="J66" s="5717"/>
      <c r="K66" s="5717"/>
      <c r="L66" s="5717"/>
      <c r="M66" s="5717"/>
      <c r="N66" s="5717"/>
      <c r="O66" s="5717"/>
      <c r="P66" s="5717"/>
      <c r="Q66" s="5717"/>
      <c r="R66" s="5717"/>
      <c r="S66" s="5717"/>
      <c r="T66" s="5717"/>
      <c r="U66" s="5717"/>
      <c r="V66" s="5717"/>
      <c r="W66" s="5717"/>
      <c r="X66" s="5717"/>
      <c r="Y66" s="5717"/>
      <c r="Z66" s="5717"/>
      <c r="AA66" s="5717"/>
      <c r="AB66" s="5717"/>
      <c r="AC66" s="5717"/>
      <c r="AD66" s="5717"/>
      <c r="AE66" s="5717"/>
      <c r="AF66" s="5717"/>
      <c r="AG66" s="5717"/>
      <c r="AH66" s="5717"/>
      <c r="AI66" s="5718"/>
    </row>
    <row r="67" spans="1:35" ht="15" x14ac:dyDescent="0.25">
      <c r="A67" s="3527" t="s">
        <v>1137</v>
      </c>
      <c r="B67" s="5696" t="s">
        <v>986</v>
      </c>
      <c r="C67" s="5717"/>
      <c r="D67" s="5717"/>
      <c r="E67" s="5717"/>
      <c r="F67" s="5717"/>
      <c r="G67" s="5717"/>
      <c r="H67" s="5717"/>
      <c r="I67" s="5717"/>
      <c r="J67" s="5717"/>
      <c r="K67" s="5717"/>
      <c r="L67" s="5717"/>
      <c r="M67" s="5717"/>
      <c r="N67" s="5717"/>
      <c r="O67" s="5717"/>
      <c r="P67" s="5717"/>
      <c r="Q67" s="5717"/>
      <c r="R67" s="5717"/>
      <c r="S67" s="5717"/>
      <c r="T67" s="5717"/>
      <c r="U67" s="5717"/>
      <c r="V67" s="5717"/>
      <c r="W67" s="5717"/>
      <c r="X67" s="5717"/>
      <c r="Y67" s="5717"/>
      <c r="Z67" s="5717"/>
      <c r="AA67" s="5717"/>
      <c r="AB67" s="5717"/>
      <c r="AC67" s="5717"/>
      <c r="AD67" s="5717"/>
      <c r="AE67" s="5717"/>
      <c r="AF67" s="5717"/>
      <c r="AG67" s="5717"/>
      <c r="AH67" s="5717"/>
      <c r="AI67" s="5718"/>
    </row>
    <row r="68" spans="1:35" ht="15" x14ac:dyDescent="0.25">
      <c r="A68" s="3527" t="s">
        <v>1137</v>
      </c>
      <c r="B68" s="5696" t="s">
        <v>986</v>
      </c>
      <c r="C68" s="5717"/>
      <c r="D68" s="5717"/>
      <c r="E68" s="5717"/>
      <c r="F68" s="5717"/>
      <c r="G68" s="5717"/>
      <c r="H68" s="5717"/>
      <c r="I68" s="5717"/>
      <c r="J68" s="5717"/>
      <c r="K68" s="5717"/>
      <c r="L68" s="5717"/>
      <c r="M68" s="5717"/>
      <c r="N68" s="5717"/>
      <c r="O68" s="5717"/>
      <c r="P68" s="5717"/>
      <c r="Q68" s="5717"/>
      <c r="R68" s="5717"/>
      <c r="S68" s="5717"/>
      <c r="T68" s="5717"/>
      <c r="U68" s="5717"/>
      <c r="V68" s="5717"/>
      <c r="W68" s="5717"/>
      <c r="X68" s="5717"/>
      <c r="Y68" s="5717"/>
      <c r="Z68" s="5717"/>
      <c r="AA68" s="5717"/>
      <c r="AB68" s="5717"/>
      <c r="AC68" s="5717"/>
      <c r="AD68" s="5717"/>
      <c r="AE68" s="5717"/>
      <c r="AF68" s="5717"/>
      <c r="AG68" s="5717"/>
      <c r="AH68" s="5717"/>
      <c r="AI68" s="5718"/>
    </row>
    <row r="69" spans="1:35" ht="15" x14ac:dyDescent="0.25">
      <c r="A69" s="3527" t="s">
        <v>1137</v>
      </c>
      <c r="B69" s="5696" t="s">
        <v>986</v>
      </c>
      <c r="C69" s="5717"/>
      <c r="D69" s="5717"/>
      <c r="E69" s="5717"/>
      <c r="F69" s="5717"/>
      <c r="G69" s="5717"/>
      <c r="H69" s="5717"/>
      <c r="I69" s="5717"/>
      <c r="J69" s="5717"/>
      <c r="K69" s="5717"/>
      <c r="L69" s="5717"/>
      <c r="M69" s="5717"/>
      <c r="N69" s="5717"/>
      <c r="O69" s="5717"/>
      <c r="P69" s="5717"/>
      <c r="Q69" s="5717"/>
      <c r="R69" s="5717"/>
      <c r="S69" s="5717"/>
      <c r="T69" s="5717"/>
      <c r="U69" s="5717"/>
      <c r="V69" s="5717"/>
      <c r="W69" s="5717"/>
      <c r="X69" s="5717"/>
      <c r="Y69" s="5717"/>
      <c r="Z69" s="5717"/>
      <c r="AA69" s="5717"/>
      <c r="AB69" s="5717"/>
      <c r="AC69" s="5717"/>
      <c r="AD69" s="5717"/>
      <c r="AE69" s="5717"/>
      <c r="AF69" s="5717"/>
      <c r="AG69" s="5717"/>
      <c r="AH69" s="5717"/>
      <c r="AI69" s="5718"/>
    </row>
    <row r="70" spans="1:35" ht="15" x14ac:dyDescent="0.25">
      <c r="A70" s="3527" t="s">
        <v>1137</v>
      </c>
      <c r="B70" s="5696" t="s">
        <v>986</v>
      </c>
      <c r="C70" s="5717"/>
      <c r="D70" s="5717"/>
      <c r="E70" s="5717"/>
      <c r="F70" s="5717"/>
      <c r="G70" s="5717"/>
      <c r="H70" s="5717"/>
      <c r="I70" s="5717"/>
      <c r="J70" s="5717"/>
      <c r="K70" s="5717"/>
      <c r="L70" s="5717"/>
      <c r="M70" s="5717"/>
      <c r="N70" s="5717"/>
      <c r="O70" s="5717"/>
      <c r="P70" s="5717"/>
      <c r="Q70" s="5717"/>
      <c r="R70" s="5717"/>
      <c r="S70" s="5717"/>
      <c r="T70" s="5717"/>
      <c r="U70" s="5717"/>
      <c r="V70" s="5717"/>
      <c r="W70" s="5717"/>
      <c r="X70" s="5717"/>
      <c r="Y70" s="5717"/>
      <c r="Z70" s="5717"/>
      <c r="AA70" s="5717"/>
      <c r="AB70" s="5717"/>
      <c r="AC70" s="5717"/>
      <c r="AD70" s="5717"/>
      <c r="AE70" s="5717"/>
      <c r="AF70" s="5717"/>
      <c r="AG70" s="5717"/>
      <c r="AH70" s="5717"/>
      <c r="AI70" s="5718"/>
    </row>
    <row r="71" spans="1:35" ht="15" x14ac:dyDescent="0.25">
      <c r="A71" s="3527" t="s">
        <v>1137</v>
      </c>
      <c r="B71" s="5696" t="s">
        <v>986</v>
      </c>
      <c r="C71" s="5717"/>
      <c r="D71" s="5717"/>
      <c r="E71" s="5717"/>
      <c r="F71" s="5717"/>
      <c r="G71" s="5717"/>
      <c r="H71" s="5717"/>
      <c r="I71" s="5717"/>
      <c r="J71" s="5717"/>
      <c r="K71" s="5717"/>
      <c r="L71" s="5717"/>
      <c r="M71" s="5717"/>
      <c r="N71" s="5717"/>
      <c r="O71" s="5717"/>
      <c r="P71" s="5717"/>
      <c r="Q71" s="5717"/>
      <c r="R71" s="5717"/>
      <c r="S71" s="5717"/>
      <c r="T71" s="5717"/>
      <c r="U71" s="5717"/>
      <c r="V71" s="5717"/>
      <c r="W71" s="5717"/>
      <c r="X71" s="5717"/>
      <c r="Y71" s="5717"/>
      <c r="Z71" s="5717"/>
      <c r="AA71" s="5717"/>
      <c r="AB71" s="5717"/>
      <c r="AC71" s="5717"/>
      <c r="AD71" s="5717"/>
      <c r="AE71" s="5717"/>
      <c r="AF71" s="5717"/>
      <c r="AG71" s="5717"/>
      <c r="AH71" s="5717"/>
      <c r="AI71" s="5718"/>
    </row>
    <row r="72" spans="1:35" ht="15" x14ac:dyDescent="0.25">
      <c r="A72" s="3527" t="s">
        <v>1137</v>
      </c>
      <c r="B72" s="5696" t="s">
        <v>986</v>
      </c>
      <c r="C72" s="5717"/>
      <c r="D72" s="5717"/>
      <c r="E72" s="5717"/>
      <c r="F72" s="5717"/>
      <c r="G72" s="5717"/>
      <c r="H72" s="5717"/>
      <c r="I72" s="5717"/>
      <c r="J72" s="5717"/>
      <c r="K72" s="5717"/>
      <c r="L72" s="5717"/>
      <c r="M72" s="5717"/>
      <c r="N72" s="5717"/>
      <c r="O72" s="5717"/>
      <c r="P72" s="5717"/>
      <c r="Q72" s="5717"/>
      <c r="R72" s="5717"/>
      <c r="S72" s="5717"/>
      <c r="T72" s="5717"/>
      <c r="U72" s="5717"/>
      <c r="V72" s="5717"/>
      <c r="W72" s="5717"/>
      <c r="X72" s="5717"/>
      <c r="Y72" s="5717"/>
      <c r="Z72" s="5717"/>
      <c r="AA72" s="5717"/>
      <c r="AB72" s="5717"/>
      <c r="AC72" s="5717"/>
      <c r="AD72" s="5717"/>
      <c r="AE72" s="5717"/>
      <c r="AF72" s="5717"/>
      <c r="AG72" s="5717"/>
      <c r="AH72" s="5717"/>
      <c r="AI72" s="5718"/>
    </row>
    <row r="73" spans="1:35" ht="15" x14ac:dyDescent="0.25">
      <c r="A73" s="3527" t="s">
        <v>1137</v>
      </c>
      <c r="B73" s="5696" t="s">
        <v>986</v>
      </c>
      <c r="C73" s="5717"/>
      <c r="D73" s="5717"/>
      <c r="E73" s="5717"/>
      <c r="F73" s="5717"/>
      <c r="G73" s="5717"/>
      <c r="H73" s="5717"/>
      <c r="I73" s="5717"/>
      <c r="J73" s="5717"/>
      <c r="K73" s="5717"/>
      <c r="L73" s="5717"/>
      <c r="M73" s="5717"/>
      <c r="N73" s="5717"/>
      <c r="O73" s="5717"/>
      <c r="P73" s="5717"/>
      <c r="Q73" s="5717"/>
      <c r="R73" s="5717"/>
      <c r="S73" s="5717"/>
      <c r="T73" s="5717"/>
      <c r="U73" s="5717"/>
      <c r="V73" s="5717"/>
      <c r="W73" s="5717"/>
      <c r="X73" s="5717"/>
      <c r="Y73" s="5717"/>
      <c r="Z73" s="5717"/>
      <c r="AA73" s="5717"/>
      <c r="AB73" s="5717"/>
      <c r="AC73" s="5717"/>
      <c r="AD73" s="5717"/>
      <c r="AE73" s="5717"/>
      <c r="AF73" s="5717"/>
      <c r="AG73" s="5717"/>
      <c r="AH73" s="5717"/>
      <c r="AI73" s="5718"/>
    </row>
    <row r="74" spans="1:35" ht="15" x14ac:dyDescent="0.25">
      <c r="A74" s="3527" t="s">
        <v>1137</v>
      </c>
      <c r="B74" s="5696" t="s">
        <v>986</v>
      </c>
      <c r="C74" s="5717"/>
      <c r="D74" s="5717"/>
      <c r="E74" s="5717"/>
      <c r="F74" s="5717"/>
      <c r="G74" s="5717"/>
      <c r="H74" s="5717"/>
      <c r="I74" s="5717"/>
      <c r="J74" s="5717"/>
      <c r="K74" s="5717"/>
      <c r="L74" s="5717"/>
      <c r="M74" s="5717"/>
      <c r="N74" s="5717"/>
      <c r="O74" s="5717"/>
      <c r="P74" s="5717"/>
      <c r="Q74" s="5717"/>
      <c r="R74" s="5717"/>
      <c r="S74" s="5717"/>
      <c r="T74" s="5717"/>
      <c r="U74" s="5717"/>
      <c r="V74" s="5717"/>
      <c r="W74" s="5717"/>
      <c r="X74" s="5717"/>
      <c r="Y74" s="5717"/>
      <c r="Z74" s="5717"/>
      <c r="AA74" s="5717"/>
      <c r="AB74" s="5717"/>
      <c r="AC74" s="5717"/>
      <c r="AD74" s="5717"/>
      <c r="AE74" s="5717"/>
      <c r="AF74" s="5717"/>
      <c r="AG74" s="5717"/>
      <c r="AH74" s="5717"/>
      <c r="AI74" s="5718"/>
    </row>
    <row r="75" spans="1:35" ht="15" x14ac:dyDescent="0.25">
      <c r="A75" s="3527" t="s">
        <v>1137</v>
      </c>
      <c r="B75" s="5696" t="s">
        <v>986</v>
      </c>
      <c r="C75" s="5717"/>
      <c r="D75" s="5717"/>
      <c r="E75" s="5717"/>
      <c r="F75" s="5717"/>
      <c r="G75" s="5717"/>
      <c r="H75" s="5717"/>
      <c r="I75" s="5717"/>
      <c r="J75" s="5717"/>
      <c r="K75" s="5717"/>
      <c r="L75" s="5717"/>
      <c r="M75" s="5717"/>
      <c r="N75" s="5717"/>
      <c r="O75" s="5717"/>
      <c r="P75" s="5717"/>
      <c r="Q75" s="5717"/>
      <c r="R75" s="5717"/>
      <c r="S75" s="5717"/>
      <c r="T75" s="5717"/>
      <c r="U75" s="5717"/>
      <c r="V75" s="5717"/>
      <c r="W75" s="5717"/>
      <c r="X75" s="5717"/>
      <c r="Y75" s="5717"/>
      <c r="Z75" s="5717"/>
      <c r="AA75" s="5717"/>
      <c r="AB75" s="5717"/>
      <c r="AC75" s="5717"/>
      <c r="AD75" s="5717"/>
      <c r="AE75" s="5717"/>
      <c r="AF75" s="5717"/>
      <c r="AG75" s="5717"/>
      <c r="AH75" s="5717"/>
      <c r="AI75" s="5718"/>
    </row>
    <row r="76" spans="1:35" ht="15" x14ac:dyDescent="0.25">
      <c r="A76" s="3527" t="s">
        <v>1137</v>
      </c>
      <c r="B76" s="5696" t="s">
        <v>986</v>
      </c>
      <c r="C76" s="5717"/>
      <c r="D76" s="5717"/>
      <c r="E76" s="5717"/>
      <c r="F76" s="5717"/>
      <c r="G76" s="5717"/>
      <c r="H76" s="5717"/>
      <c r="I76" s="5717"/>
      <c r="J76" s="5717"/>
      <c r="K76" s="5717"/>
      <c r="L76" s="5717"/>
      <c r="M76" s="5717"/>
      <c r="N76" s="5717"/>
      <c r="O76" s="5717"/>
      <c r="P76" s="5717"/>
      <c r="Q76" s="5717"/>
      <c r="R76" s="5717"/>
      <c r="S76" s="5717"/>
      <c r="T76" s="5717"/>
      <c r="U76" s="5717"/>
      <c r="V76" s="5717"/>
      <c r="W76" s="5717"/>
      <c r="X76" s="5717"/>
      <c r="Y76" s="5717"/>
      <c r="Z76" s="5717"/>
      <c r="AA76" s="5717"/>
      <c r="AB76" s="5717"/>
      <c r="AC76" s="5717"/>
      <c r="AD76" s="5717"/>
      <c r="AE76" s="5717"/>
      <c r="AF76" s="5717"/>
      <c r="AG76" s="5717"/>
      <c r="AH76" s="5717"/>
      <c r="AI76" s="5718"/>
    </row>
    <row r="77" spans="1:35" ht="15.75" customHeight="1" x14ac:dyDescent="0.2">
      <c r="A77" s="3494" t="s">
        <v>980</v>
      </c>
      <c r="B77" s="5709"/>
      <c r="C77" s="5709"/>
      <c r="D77" s="5709"/>
      <c r="E77" s="5709"/>
      <c r="F77" s="5709"/>
      <c r="G77" s="5709"/>
      <c r="H77" s="5709"/>
      <c r="I77" s="5709"/>
      <c r="J77" s="5709"/>
      <c r="K77" s="5709"/>
      <c r="L77" s="5709"/>
      <c r="M77" s="5709"/>
      <c r="N77" s="5709"/>
      <c r="O77" s="5709"/>
      <c r="P77" s="5709"/>
      <c r="Q77" s="5709"/>
      <c r="R77" s="5709"/>
      <c r="S77" s="5709"/>
      <c r="T77" s="5709"/>
      <c r="U77" s="5709"/>
      <c r="V77" s="5709"/>
      <c r="W77" s="5709"/>
      <c r="X77" s="5709"/>
      <c r="Y77" s="5709"/>
      <c r="Z77" s="5709"/>
      <c r="AA77" s="5709"/>
      <c r="AB77" s="5709"/>
      <c r="AC77" s="5709"/>
      <c r="AD77" s="5709"/>
      <c r="AE77" s="5709"/>
      <c r="AF77" s="5709"/>
      <c r="AG77" s="5709"/>
      <c r="AH77" s="5709"/>
      <c r="AI77" s="5709"/>
    </row>
    <row r="78" spans="1:35" ht="15.75" customHeight="1" x14ac:dyDescent="0.2">
      <c r="A78" s="3494" t="s">
        <v>980</v>
      </c>
      <c r="B78" s="5709"/>
      <c r="C78" s="5709"/>
      <c r="D78" s="5709"/>
      <c r="E78" s="5709"/>
      <c r="F78" s="5709"/>
      <c r="G78" s="5709"/>
      <c r="H78" s="5709"/>
      <c r="I78" s="5709"/>
      <c r="J78" s="5709"/>
      <c r="K78" s="5709"/>
      <c r="L78" s="5709"/>
      <c r="M78" s="5709"/>
      <c r="N78" s="5709"/>
      <c r="O78" s="5709"/>
      <c r="P78" s="5709"/>
      <c r="Q78" s="5709"/>
      <c r="R78" s="5709"/>
      <c r="S78" s="5709"/>
      <c r="T78" s="5709"/>
      <c r="U78" s="5709"/>
      <c r="V78" s="5709"/>
      <c r="W78" s="5709"/>
      <c r="X78" s="5709"/>
      <c r="Y78" s="5709"/>
      <c r="Z78" s="5709"/>
      <c r="AA78" s="5709"/>
      <c r="AB78" s="5709"/>
      <c r="AC78" s="5709"/>
      <c r="AD78" s="5709"/>
      <c r="AE78" s="5709"/>
      <c r="AF78" s="5709"/>
      <c r="AG78" s="5709"/>
      <c r="AH78" s="5709"/>
      <c r="AI78" s="5709"/>
    </row>
    <row r="79" spans="1:35" ht="15.75" customHeight="1" x14ac:dyDescent="0.2">
      <c r="A79" s="3494" t="s">
        <v>980</v>
      </c>
      <c r="B79" s="5709"/>
      <c r="C79" s="5709"/>
      <c r="D79" s="5709"/>
      <c r="E79" s="5709"/>
      <c r="F79" s="5709"/>
      <c r="G79" s="5709"/>
      <c r="H79" s="5709"/>
      <c r="I79" s="5709"/>
      <c r="J79" s="5709"/>
      <c r="K79" s="5709"/>
      <c r="L79" s="5709"/>
      <c r="M79" s="5709"/>
      <c r="N79" s="5709"/>
      <c r="O79" s="5709"/>
      <c r="P79" s="5709"/>
      <c r="Q79" s="5709"/>
      <c r="R79" s="5709"/>
      <c r="S79" s="5709"/>
      <c r="T79" s="5709"/>
      <c r="U79" s="5709"/>
      <c r="V79" s="5709"/>
      <c r="W79" s="5709"/>
      <c r="X79" s="5709"/>
      <c r="Y79" s="5709"/>
      <c r="Z79" s="5709"/>
      <c r="AA79" s="5709"/>
      <c r="AB79" s="5709"/>
      <c r="AC79" s="5709"/>
      <c r="AD79" s="5709"/>
      <c r="AE79" s="5709"/>
      <c r="AF79" s="5709"/>
      <c r="AG79" s="5709"/>
      <c r="AH79" s="5709"/>
      <c r="AI79" s="5709"/>
    </row>
    <row r="80" spans="1:35" ht="15.75" customHeight="1" x14ac:dyDescent="0.2">
      <c r="A80" s="3494" t="s">
        <v>980</v>
      </c>
      <c r="B80" s="5709"/>
      <c r="C80" s="5709"/>
      <c r="D80" s="5709"/>
      <c r="E80" s="5709"/>
      <c r="F80" s="5709"/>
      <c r="G80" s="5709"/>
      <c r="H80" s="5709"/>
      <c r="I80" s="5709"/>
      <c r="J80" s="5709"/>
      <c r="K80" s="5709"/>
      <c r="L80" s="5709"/>
      <c r="M80" s="5709"/>
      <c r="N80" s="5709"/>
      <c r="O80" s="5709"/>
      <c r="P80" s="5709"/>
      <c r="Q80" s="5709"/>
      <c r="R80" s="5709"/>
      <c r="S80" s="5709"/>
      <c r="T80" s="5709"/>
      <c r="U80" s="5709"/>
      <c r="V80" s="5709"/>
      <c r="W80" s="5709"/>
      <c r="X80" s="5709"/>
      <c r="Y80" s="5709"/>
      <c r="Z80" s="5709"/>
      <c r="AA80" s="5709"/>
      <c r="AB80" s="5709"/>
      <c r="AC80" s="5709"/>
      <c r="AD80" s="5709"/>
      <c r="AE80" s="5709"/>
      <c r="AF80" s="5709"/>
      <c r="AG80" s="5709"/>
      <c r="AH80" s="5709"/>
      <c r="AI80" s="5709"/>
    </row>
    <row r="81" spans="1:35" ht="15.75" customHeight="1" x14ac:dyDescent="0.2">
      <c r="A81" s="3494" t="s">
        <v>980</v>
      </c>
      <c r="B81" s="5709"/>
      <c r="C81" s="5709"/>
      <c r="D81" s="5709"/>
      <c r="E81" s="5709"/>
      <c r="F81" s="5709"/>
      <c r="G81" s="5709"/>
      <c r="H81" s="5709"/>
      <c r="I81" s="5709"/>
      <c r="J81" s="5709"/>
      <c r="K81" s="5709"/>
      <c r="L81" s="5709"/>
      <c r="M81" s="5709"/>
      <c r="N81" s="5709"/>
      <c r="O81" s="5709"/>
      <c r="P81" s="5709"/>
      <c r="Q81" s="5709"/>
      <c r="R81" s="5709"/>
      <c r="S81" s="5709"/>
      <c r="T81" s="5709"/>
      <c r="U81" s="5709"/>
      <c r="V81" s="5709"/>
      <c r="W81" s="5709"/>
      <c r="X81" s="5709"/>
      <c r="Y81" s="5709"/>
      <c r="Z81" s="5709"/>
      <c r="AA81" s="5709"/>
      <c r="AB81" s="5709"/>
      <c r="AC81" s="5709"/>
      <c r="AD81" s="5709"/>
      <c r="AE81" s="5709"/>
      <c r="AF81" s="5709"/>
      <c r="AG81" s="5709"/>
      <c r="AH81" s="5709"/>
      <c r="AI81" s="5709"/>
    </row>
    <row r="82" spans="1:35" ht="15.75" customHeight="1" x14ac:dyDescent="0.2">
      <c r="A82" s="3494" t="s">
        <v>980</v>
      </c>
      <c r="B82" s="5709"/>
      <c r="C82" s="5709"/>
      <c r="D82" s="5709"/>
      <c r="E82" s="5709"/>
      <c r="F82" s="5709"/>
      <c r="G82" s="5709"/>
      <c r="H82" s="5709"/>
      <c r="I82" s="5709"/>
      <c r="J82" s="5709"/>
      <c r="K82" s="5709"/>
      <c r="L82" s="5709"/>
      <c r="M82" s="5709"/>
      <c r="N82" s="5709"/>
      <c r="O82" s="5709"/>
      <c r="P82" s="5709"/>
      <c r="Q82" s="5709"/>
      <c r="R82" s="5709"/>
      <c r="S82" s="5709"/>
      <c r="T82" s="5709"/>
      <c r="U82" s="5709"/>
      <c r="V82" s="5709"/>
      <c r="W82" s="5709"/>
      <c r="X82" s="5709"/>
      <c r="Y82" s="5709"/>
      <c r="Z82" s="5709"/>
      <c r="AA82" s="5709"/>
      <c r="AB82" s="5709"/>
      <c r="AC82" s="5709"/>
      <c r="AD82" s="5709"/>
      <c r="AE82" s="5709"/>
      <c r="AF82" s="5709"/>
      <c r="AG82" s="5709"/>
      <c r="AH82" s="5709"/>
      <c r="AI82" s="5709"/>
    </row>
    <row r="83" spans="1:35" ht="15.75" customHeight="1" x14ac:dyDescent="0.2">
      <c r="A83" s="3494" t="s">
        <v>980</v>
      </c>
      <c r="B83" s="5709"/>
      <c r="C83" s="5709"/>
      <c r="D83" s="5709"/>
      <c r="E83" s="5709"/>
      <c r="F83" s="5709"/>
      <c r="G83" s="5709"/>
      <c r="H83" s="5709"/>
      <c r="I83" s="5709"/>
      <c r="J83" s="5709"/>
      <c r="K83" s="5709"/>
      <c r="L83" s="5709"/>
      <c r="M83" s="5709"/>
      <c r="N83" s="5709"/>
      <c r="O83" s="5709"/>
      <c r="P83" s="5709"/>
      <c r="Q83" s="5709"/>
      <c r="R83" s="5709"/>
      <c r="S83" s="5709"/>
      <c r="T83" s="5709"/>
      <c r="U83" s="5709"/>
      <c r="V83" s="5709"/>
      <c r="W83" s="5709"/>
      <c r="X83" s="5709"/>
      <c r="Y83" s="5709"/>
      <c r="Z83" s="5709"/>
      <c r="AA83" s="5709"/>
      <c r="AB83" s="5709"/>
      <c r="AC83" s="5709"/>
      <c r="AD83" s="5709"/>
      <c r="AE83" s="5709"/>
      <c r="AF83" s="5709"/>
      <c r="AG83" s="5709"/>
      <c r="AH83" s="5709"/>
      <c r="AI83" s="5709"/>
    </row>
    <row r="84" spans="1:35" ht="15.75" customHeight="1" x14ac:dyDescent="0.2">
      <c r="A84" s="3494" t="s">
        <v>980</v>
      </c>
      <c r="B84" s="5709"/>
      <c r="C84" s="5709"/>
      <c r="D84" s="5709"/>
      <c r="E84" s="5709"/>
      <c r="F84" s="5709"/>
      <c r="G84" s="5709"/>
      <c r="H84" s="5709"/>
      <c r="I84" s="5709"/>
      <c r="J84" s="5709"/>
      <c r="K84" s="5709"/>
      <c r="L84" s="5709"/>
      <c r="M84" s="5709"/>
      <c r="N84" s="5709"/>
      <c r="O84" s="5709"/>
      <c r="P84" s="5709"/>
      <c r="Q84" s="5709"/>
      <c r="R84" s="5709"/>
      <c r="S84" s="5709"/>
      <c r="T84" s="5709"/>
      <c r="U84" s="5709"/>
      <c r="V84" s="5709"/>
      <c r="W84" s="5709"/>
      <c r="X84" s="5709"/>
      <c r="Y84" s="5709"/>
      <c r="Z84" s="5709"/>
      <c r="AA84" s="5709"/>
      <c r="AB84" s="5709"/>
      <c r="AC84" s="5709"/>
      <c r="AD84" s="5709"/>
      <c r="AE84" s="5709"/>
      <c r="AF84" s="5709"/>
      <c r="AG84" s="5709"/>
      <c r="AH84" s="5709"/>
      <c r="AI84" s="5709"/>
    </row>
    <row r="85" spans="1:35" ht="15.75" customHeight="1" x14ac:dyDescent="0.2">
      <c r="A85" s="3494" t="s">
        <v>980</v>
      </c>
      <c r="B85" s="5709"/>
      <c r="C85" s="5709"/>
      <c r="D85" s="5709"/>
      <c r="E85" s="5709"/>
      <c r="F85" s="5709"/>
      <c r="G85" s="5709"/>
      <c r="H85" s="5709"/>
      <c r="I85" s="5709"/>
      <c r="J85" s="5709"/>
      <c r="K85" s="5709"/>
      <c r="L85" s="5709"/>
      <c r="M85" s="5709"/>
      <c r="N85" s="5709"/>
      <c r="O85" s="5709"/>
      <c r="P85" s="5709"/>
      <c r="Q85" s="5709"/>
      <c r="R85" s="5709"/>
      <c r="S85" s="5709"/>
      <c r="T85" s="5709"/>
      <c r="U85" s="5709"/>
      <c r="V85" s="5709"/>
      <c r="W85" s="5709"/>
      <c r="X85" s="5709"/>
      <c r="Y85" s="5709"/>
      <c r="Z85" s="5709"/>
      <c r="AA85" s="5709"/>
      <c r="AB85" s="5709"/>
      <c r="AC85" s="5709"/>
      <c r="AD85" s="5709"/>
      <c r="AE85" s="5709"/>
      <c r="AF85" s="5709"/>
      <c r="AG85" s="5709"/>
      <c r="AH85" s="5709"/>
      <c r="AI85" s="5709"/>
    </row>
    <row r="86" spans="1:35" ht="15.75" customHeight="1" x14ac:dyDescent="0.2">
      <c r="A86" s="3494" t="s">
        <v>980</v>
      </c>
      <c r="B86" s="5709"/>
      <c r="C86" s="5709"/>
      <c r="D86" s="5709"/>
      <c r="E86" s="5709"/>
      <c r="F86" s="5709"/>
      <c r="G86" s="5709"/>
      <c r="H86" s="5709"/>
      <c r="I86" s="5709"/>
      <c r="J86" s="5709"/>
      <c r="K86" s="5709"/>
      <c r="L86" s="5709"/>
      <c r="M86" s="5709"/>
      <c r="N86" s="5709"/>
      <c r="O86" s="5709"/>
      <c r="P86" s="5709"/>
      <c r="Q86" s="5709"/>
      <c r="R86" s="5709"/>
      <c r="S86" s="5709"/>
      <c r="T86" s="5709"/>
      <c r="U86" s="5709"/>
      <c r="V86" s="5709"/>
      <c r="W86" s="5709"/>
      <c r="X86" s="5709"/>
      <c r="Y86" s="5709"/>
      <c r="Z86" s="5709"/>
      <c r="AA86" s="5709"/>
      <c r="AB86" s="5709"/>
      <c r="AC86" s="5709"/>
      <c r="AD86" s="5709"/>
      <c r="AE86" s="5709"/>
      <c r="AF86" s="5709"/>
      <c r="AG86" s="5709"/>
      <c r="AH86" s="5709"/>
      <c r="AI86" s="5709"/>
    </row>
    <row r="87" spans="1:35" ht="15.75" customHeight="1" x14ac:dyDescent="0.2">
      <c r="A87" s="3494" t="s">
        <v>980</v>
      </c>
      <c r="B87" s="5709"/>
      <c r="C87" s="5709"/>
      <c r="D87" s="5709"/>
      <c r="E87" s="5709"/>
      <c r="F87" s="5709"/>
      <c r="G87" s="5709"/>
      <c r="H87" s="5709"/>
      <c r="I87" s="5709"/>
      <c r="J87" s="5709"/>
      <c r="K87" s="5709"/>
      <c r="L87" s="5709"/>
      <c r="M87" s="5709"/>
      <c r="N87" s="5709"/>
      <c r="O87" s="5709"/>
      <c r="P87" s="5709"/>
      <c r="Q87" s="5709"/>
      <c r="R87" s="5709"/>
      <c r="S87" s="5709"/>
      <c r="T87" s="5709"/>
      <c r="U87" s="5709"/>
      <c r="V87" s="5709"/>
      <c r="W87" s="5709"/>
      <c r="X87" s="5709"/>
      <c r="Y87" s="5709"/>
      <c r="Z87" s="5709"/>
      <c r="AA87" s="5709"/>
      <c r="AB87" s="5709"/>
      <c r="AC87" s="5709"/>
      <c r="AD87" s="5709"/>
      <c r="AE87" s="5709"/>
      <c r="AF87" s="5709"/>
      <c r="AG87" s="5709"/>
      <c r="AH87" s="5709"/>
      <c r="AI87" s="5709"/>
    </row>
    <row r="88" spans="1:35" ht="15.75" customHeight="1" x14ac:dyDescent="0.2">
      <c r="A88" s="3494" t="s">
        <v>980</v>
      </c>
      <c r="B88" s="5709"/>
      <c r="C88" s="5709"/>
      <c r="D88" s="5709"/>
      <c r="E88" s="5709"/>
      <c r="F88" s="5709"/>
      <c r="G88" s="5709"/>
      <c r="H88" s="5709"/>
      <c r="I88" s="5709"/>
      <c r="J88" s="5709"/>
      <c r="K88" s="5709"/>
      <c r="L88" s="5709"/>
      <c r="M88" s="5709"/>
      <c r="N88" s="5709"/>
      <c r="O88" s="5709"/>
      <c r="P88" s="5709"/>
      <c r="Q88" s="5709"/>
      <c r="R88" s="5709"/>
      <c r="S88" s="5709"/>
      <c r="T88" s="5709"/>
      <c r="U88" s="5709"/>
      <c r="V88" s="5709"/>
      <c r="W88" s="5709"/>
      <c r="X88" s="5709"/>
      <c r="Y88" s="5709"/>
      <c r="Z88" s="5709"/>
      <c r="AA88" s="5709"/>
      <c r="AB88" s="5709"/>
      <c r="AC88" s="5709"/>
      <c r="AD88" s="5709"/>
      <c r="AE88" s="5709"/>
      <c r="AF88" s="5709"/>
      <c r="AG88" s="5709"/>
      <c r="AH88" s="5709"/>
      <c r="AI88" s="5709"/>
    </row>
    <row r="89" spans="1:35" ht="15.75" customHeight="1" x14ac:dyDescent="0.2">
      <c r="A89" s="3494" t="s">
        <v>980</v>
      </c>
      <c r="B89" s="5709"/>
      <c r="C89" s="5709"/>
      <c r="D89" s="5709"/>
      <c r="E89" s="5709"/>
      <c r="F89" s="5709"/>
      <c r="G89" s="5709"/>
      <c r="H89" s="5709"/>
      <c r="I89" s="5709"/>
      <c r="J89" s="5709"/>
      <c r="K89" s="5709"/>
      <c r="L89" s="5709"/>
      <c r="M89" s="5709"/>
      <c r="N89" s="5709"/>
      <c r="O89" s="5709"/>
      <c r="P89" s="5709"/>
      <c r="Q89" s="5709"/>
      <c r="R89" s="5709"/>
      <c r="S89" s="5709"/>
      <c r="T89" s="5709"/>
      <c r="U89" s="5709"/>
      <c r="V89" s="5709"/>
      <c r="W89" s="5709"/>
      <c r="X89" s="5709"/>
      <c r="Y89" s="5709"/>
      <c r="Z89" s="5709"/>
      <c r="AA89" s="5709"/>
      <c r="AB89" s="5709"/>
      <c r="AC89" s="5709"/>
      <c r="AD89" s="5709"/>
      <c r="AE89" s="5709"/>
      <c r="AF89" s="5709"/>
      <c r="AG89" s="5709"/>
      <c r="AH89" s="5709"/>
      <c r="AI89" s="5709"/>
    </row>
    <row r="90" spans="1:35" ht="15.75" customHeight="1" x14ac:dyDescent="0.2">
      <c r="A90" s="3494" t="s">
        <v>980</v>
      </c>
      <c r="B90" s="5709"/>
      <c r="C90" s="5709"/>
      <c r="D90" s="5709"/>
      <c r="E90" s="5709"/>
      <c r="F90" s="5709"/>
      <c r="G90" s="5709"/>
      <c r="H90" s="5709"/>
      <c r="I90" s="5709"/>
      <c r="J90" s="5709"/>
      <c r="K90" s="5709"/>
      <c r="L90" s="5709"/>
      <c r="M90" s="5709"/>
      <c r="N90" s="5709"/>
      <c r="O90" s="5709"/>
      <c r="P90" s="5709"/>
      <c r="Q90" s="5709"/>
      <c r="R90" s="5709"/>
      <c r="S90" s="5709"/>
      <c r="T90" s="5709"/>
      <c r="U90" s="5709"/>
      <c r="V90" s="5709"/>
      <c r="W90" s="5709"/>
      <c r="X90" s="5709"/>
      <c r="Y90" s="5709"/>
      <c r="Z90" s="5709"/>
      <c r="AA90" s="5709"/>
      <c r="AB90" s="5709"/>
      <c r="AC90" s="5709"/>
      <c r="AD90" s="5709"/>
      <c r="AE90" s="5709"/>
      <c r="AF90" s="5709"/>
      <c r="AG90" s="5709"/>
      <c r="AH90" s="5709"/>
      <c r="AI90" s="5709"/>
    </row>
    <row r="91" spans="1:35" ht="15.75" customHeight="1" x14ac:dyDescent="0.2">
      <c r="A91" s="3494" t="s">
        <v>980</v>
      </c>
      <c r="B91" s="5709"/>
      <c r="C91" s="5709"/>
      <c r="D91" s="5709"/>
      <c r="E91" s="5709"/>
      <c r="F91" s="5709"/>
      <c r="G91" s="5709"/>
      <c r="H91" s="5709"/>
      <c r="I91" s="5709"/>
      <c r="J91" s="5709"/>
      <c r="K91" s="5709"/>
      <c r="L91" s="5709"/>
      <c r="M91" s="5709"/>
      <c r="N91" s="5709"/>
      <c r="O91" s="5709"/>
      <c r="P91" s="5709"/>
      <c r="Q91" s="5709"/>
      <c r="R91" s="5709"/>
      <c r="S91" s="5709"/>
      <c r="T91" s="5709"/>
      <c r="U91" s="5709"/>
      <c r="V91" s="5709"/>
      <c r="W91" s="5709"/>
      <c r="X91" s="5709"/>
      <c r="Y91" s="5709"/>
      <c r="Z91" s="5709"/>
      <c r="AA91" s="5709"/>
      <c r="AB91" s="5709"/>
      <c r="AC91" s="5709"/>
      <c r="AD91" s="5709"/>
      <c r="AE91" s="5709"/>
      <c r="AF91" s="5709"/>
      <c r="AG91" s="5709"/>
      <c r="AH91" s="5709"/>
      <c r="AI91" s="5709"/>
    </row>
    <row r="92" spans="1:35" ht="15.75" customHeight="1" x14ac:dyDescent="0.2">
      <c r="A92" s="3494" t="s">
        <v>980</v>
      </c>
      <c r="B92" s="5709"/>
      <c r="C92" s="5709"/>
      <c r="D92" s="5709"/>
      <c r="E92" s="5709"/>
      <c r="F92" s="5709"/>
      <c r="G92" s="5709"/>
      <c r="H92" s="5709"/>
      <c r="I92" s="5709"/>
      <c r="J92" s="5709"/>
      <c r="K92" s="5709"/>
      <c r="L92" s="5709"/>
      <c r="M92" s="5709"/>
      <c r="N92" s="5709"/>
      <c r="O92" s="5709"/>
      <c r="P92" s="5709"/>
      <c r="Q92" s="5709"/>
      <c r="R92" s="5709"/>
      <c r="S92" s="5709"/>
      <c r="T92" s="5709"/>
      <c r="U92" s="5709"/>
      <c r="V92" s="5709"/>
      <c r="W92" s="5709"/>
      <c r="X92" s="5709"/>
      <c r="Y92" s="5709"/>
      <c r="Z92" s="5709"/>
      <c r="AA92" s="5709"/>
      <c r="AB92" s="5709"/>
      <c r="AC92" s="5709"/>
      <c r="AD92" s="5709"/>
      <c r="AE92" s="5709"/>
      <c r="AF92" s="5709"/>
      <c r="AG92" s="5709"/>
      <c r="AH92" s="5709"/>
      <c r="AI92" s="5709"/>
    </row>
    <row r="93" spans="1:35" ht="15.75" customHeight="1" x14ac:dyDescent="0.2">
      <c r="B93" s="688"/>
      <c r="C93" s="688"/>
      <c r="D93" s="688"/>
      <c r="E93" s="688"/>
      <c r="F93" s="688"/>
      <c r="G93" s="688"/>
      <c r="H93" s="688"/>
      <c r="I93" s="688"/>
      <c r="J93" s="688"/>
      <c r="K93" s="688"/>
      <c r="L93" s="688"/>
      <c r="M93" s="688"/>
      <c r="N93" s="688"/>
      <c r="O93" s="688"/>
      <c r="P93" s="688"/>
      <c r="Q93" s="688"/>
      <c r="R93" s="688"/>
      <c r="S93" s="688"/>
      <c r="T93" s="688"/>
      <c r="U93" s="688"/>
      <c r="V93" s="688"/>
      <c r="W93" s="688"/>
      <c r="X93" s="688"/>
      <c r="Y93" s="688"/>
      <c r="Z93" s="688"/>
      <c r="AA93" s="688"/>
      <c r="AB93" s="688"/>
      <c r="AC93" s="688"/>
      <c r="AD93" s="688"/>
      <c r="AE93" s="688"/>
      <c r="AF93" s="688"/>
      <c r="AG93" s="688"/>
      <c r="AH93" s="688"/>
      <c r="AI93" s="688"/>
    </row>
  </sheetData>
  <sheetProtection password="A754" sheet="1" objects="1" scenarios="1"/>
  <mergeCells count="52">
    <mergeCell ref="B91:AI91"/>
    <mergeCell ref="B92:AI92"/>
    <mergeCell ref="B77:AI77"/>
    <mergeCell ref="B78:AI78"/>
    <mergeCell ref="B79:AI79"/>
    <mergeCell ref="B80:AI80"/>
    <mergeCell ref="B81:AI81"/>
    <mergeCell ref="B82:AI82"/>
    <mergeCell ref="B89:AI89"/>
    <mergeCell ref="B83:AI83"/>
    <mergeCell ref="B84:AI84"/>
    <mergeCell ref="B85:AI85"/>
    <mergeCell ref="B86:AI86"/>
    <mergeCell ref="B87:AI87"/>
    <mergeCell ref="B88:AI88"/>
    <mergeCell ref="B72:AI72"/>
    <mergeCell ref="B73:AI73"/>
    <mergeCell ref="B74:AI74"/>
    <mergeCell ref="B75:AI75"/>
    <mergeCell ref="B90:AI90"/>
    <mergeCell ref="A47:W47"/>
    <mergeCell ref="A49:AI50"/>
    <mergeCell ref="A52:AI52"/>
    <mergeCell ref="B58:AI58"/>
    <mergeCell ref="B76:AI76"/>
    <mergeCell ref="B61:AI61"/>
    <mergeCell ref="B62:AI62"/>
    <mergeCell ref="B63:AI63"/>
    <mergeCell ref="B64:AI64"/>
    <mergeCell ref="B65:AI65"/>
    <mergeCell ref="B66:AI66"/>
    <mergeCell ref="B67:AI67"/>
    <mergeCell ref="B68:AI68"/>
    <mergeCell ref="B69:AI69"/>
    <mergeCell ref="B70:AI70"/>
    <mergeCell ref="B71:AI71"/>
    <mergeCell ref="B60:AI60"/>
    <mergeCell ref="A53:AI53"/>
    <mergeCell ref="A54:AI54"/>
    <mergeCell ref="AF6:AG6"/>
    <mergeCell ref="A1:Q1"/>
    <mergeCell ref="A5:A6"/>
    <mergeCell ref="B6:R6"/>
    <mergeCell ref="U6:V6"/>
    <mergeCell ref="W6:AC6"/>
    <mergeCell ref="B36:AJ36"/>
    <mergeCell ref="B59:AI59"/>
    <mergeCell ref="B55:AI55"/>
    <mergeCell ref="B56:AI56"/>
    <mergeCell ref="B57:AI57"/>
    <mergeCell ref="A45:AI45"/>
    <mergeCell ref="A46:G46"/>
  </mergeCells>
  <dataValidations count="1">
    <dataValidation allowBlank="1" showInputMessage="1" showErrorMessage="1" sqref="V77:V65535 AK1:IV44 AJ55:IV65535 AI77:AI65535" xr:uid="{00000000-0002-0000-1200-000000000000}"/>
  </dataValidations>
  <printOptions horizontalCentered="1" verticalCentered="1"/>
  <pageMargins left="0.39370078740157483" right="0.39370078740157483" top="0.39370078740157483" bottom="0.39370078740157483" header="0.19685039370078741" footer="0.19685039370078741"/>
  <pageSetup paperSize="9" scale="30"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02F48-B51A-4CB2-AC0B-BA2164996E19}">
  <sheetPr codeName="Ark41">
    <tabColor theme="0" tint="-0.249977111117893"/>
    <pageSetUpPr fitToPage="1"/>
  </sheetPr>
  <dimension ref="A1:F46"/>
  <sheetViews>
    <sheetView showGridLines="0" workbookViewId="0"/>
  </sheetViews>
  <sheetFormatPr defaultColWidth="8" defaultRowHeight="12" customHeight="1" x14ac:dyDescent="0.2"/>
  <cols>
    <col min="1" max="1" width="39" style="659" customWidth="1"/>
    <col min="2" max="2" width="24.85546875" style="659" customWidth="1"/>
    <col min="3" max="3" width="26.28515625" style="659" customWidth="1"/>
    <col min="4" max="4" width="28.42578125" style="659" customWidth="1"/>
    <col min="5" max="6" width="27.5703125" style="659" customWidth="1"/>
    <col min="7" max="16384" width="8" style="659"/>
  </cols>
  <sheetData>
    <row r="1" spans="1:6" ht="15.75" customHeight="1" x14ac:dyDescent="0.2">
      <c r="A1" s="687" t="s">
        <v>1241</v>
      </c>
      <c r="B1" s="660"/>
      <c r="C1" s="660"/>
      <c r="D1" s="660"/>
      <c r="E1" s="660"/>
      <c r="F1" s="668" t="s">
        <v>1791</v>
      </c>
    </row>
    <row r="2" spans="1:6" ht="15.75" customHeight="1" x14ac:dyDescent="0.2">
      <c r="A2" s="687" t="s">
        <v>1240</v>
      </c>
      <c r="B2" s="660"/>
      <c r="C2" s="660"/>
      <c r="D2" s="660"/>
      <c r="E2" s="660"/>
      <c r="F2" s="668" t="s">
        <v>1790</v>
      </c>
    </row>
    <row r="3" spans="1:6" ht="15.75" customHeight="1" x14ac:dyDescent="0.2">
      <c r="A3" s="687" t="s">
        <v>1085</v>
      </c>
      <c r="B3" s="660"/>
      <c r="C3" s="660"/>
      <c r="D3" s="660"/>
      <c r="E3" s="660"/>
      <c r="F3" s="668" t="s">
        <v>1789</v>
      </c>
    </row>
    <row r="4" spans="1:6" x14ac:dyDescent="0.2">
      <c r="A4" s="696"/>
      <c r="B4" s="660"/>
      <c r="C4" s="660"/>
      <c r="D4" s="660"/>
      <c r="E4" s="660"/>
      <c r="F4" s="660"/>
    </row>
    <row r="5" spans="1:6" ht="12.75" customHeight="1" x14ac:dyDescent="0.2">
      <c r="A5" s="677"/>
      <c r="B5" s="661"/>
      <c r="C5" s="661"/>
      <c r="D5" s="661"/>
      <c r="E5" s="661"/>
      <c r="F5" s="661"/>
    </row>
    <row r="6" spans="1:6" ht="40.5" customHeight="1" x14ac:dyDescent="0.2">
      <c r="A6" s="3553" t="s">
        <v>1025</v>
      </c>
      <c r="B6" s="5719" t="s">
        <v>1239</v>
      </c>
      <c r="C6" s="5720"/>
      <c r="D6" s="5721"/>
      <c r="E6" s="3552" t="s">
        <v>1238</v>
      </c>
      <c r="F6" s="3516" t="s">
        <v>1081</v>
      </c>
    </row>
    <row r="7" spans="1:6" ht="24" x14ac:dyDescent="0.2">
      <c r="A7" s="676"/>
      <c r="B7" s="711" t="s">
        <v>1237</v>
      </c>
      <c r="C7" s="712" t="s">
        <v>1236</v>
      </c>
      <c r="D7" s="3326" t="s">
        <v>1235</v>
      </c>
      <c r="E7" s="711" t="s">
        <v>1023</v>
      </c>
      <c r="F7" s="3325" t="s">
        <v>1023</v>
      </c>
    </row>
    <row r="8" spans="1:6" ht="14.25" thickBot="1" x14ac:dyDescent="0.25">
      <c r="A8" s="710"/>
      <c r="B8" s="674" t="s">
        <v>1234</v>
      </c>
      <c r="C8" s="673" t="s">
        <v>1233</v>
      </c>
      <c r="D8" s="709" t="s">
        <v>1232</v>
      </c>
      <c r="E8" s="709" t="s">
        <v>1231</v>
      </c>
      <c r="F8" s="673" t="s">
        <v>1011</v>
      </c>
    </row>
    <row r="9" spans="1:6" ht="12.75" customHeight="1" thickTop="1" x14ac:dyDescent="0.2">
      <c r="A9" s="708" t="s">
        <v>1230</v>
      </c>
      <c r="B9" s="3507">
        <v>1491.434</v>
      </c>
      <c r="C9" s="3497" t="s">
        <v>986</v>
      </c>
      <c r="D9" s="3497" t="s">
        <v>986</v>
      </c>
      <c r="E9" s="3507">
        <v>87.179905903125174</v>
      </c>
      <c r="F9" s="3507">
        <v>130.0230757807216</v>
      </c>
    </row>
    <row r="10" spans="1:6" ht="13.5" customHeight="1" x14ac:dyDescent="0.2">
      <c r="A10" s="3551" t="s">
        <v>1229</v>
      </c>
      <c r="B10" s="3497" t="s">
        <v>986</v>
      </c>
      <c r="C10" s="3497" t="s">
        <v>986</v>
      </c>
      <c r="D10" s="3497" t="s">
        <v>986</v>
      </c>
      <c r="E10" s="3497" t="s">
        <v>986</v>
      </c>
      <c r="F10" s="3497" t="s">
        <v>986</v>
      </c>
    </row>
    <row r="11" spans="1:6" ht="13.5" customHeight="1" x14ac:dyDescent="0.2">
      <c r="A11" s="3550" t="s">
        <v>1228</v>
      </c>
      <c r="B11" s="3500">
        <v>566.63900000000001</v>
      </c>
      <c r="C11" s="3500">
        <v>412.64810136986301</v>
      </c>
      <c r="D11" s="3500">
        <v>6</v>
      </c>
      <c r="E11" s="3507">
        <v>162.38981886792456</v>
      </c>
      <c r="F11" s="3500">
        <v>92.016404573501902</v>
      </c>
    </row>
    <row r="12" spans="1:6" ht="12" customHeight="1" x14ac:dyDescent="0.2">
      <c r="A12" s="3550" t="s">
        <v>1227</v>
      </c>
      <c r="B12" s="3500">
        <v>924.79499999999996</v>
      </c>
      <c r="C12" s="3500">
        <v>129.939155314982</v>
      </c>
      <c r="D12" s="3500">
        <v>6.5</v>
      </c>
      <c r="E12" s="3507">
        <v>41.097401269708101</v>
      </c>
      <c r="F12" s="3500">
        <v>38.006671207219703</v>
      </c>
    </row>
    <row r="13" spans="1:6" ht="12" customHeight="1" x14ac:dyDescent="0.2">
      <c r="A13" s="3551" t="s">
        <v>1226</v>
      </c>
      <c r="B13" s="3497" t="s">
        <v>986</v>
      </c>
      <c r="C13" s="3497" t="s">
        <v>986</v>
      </c>
      <c r="D13" s="3497" t="s">
        <v>986</v>
      </c>
      <c r="E13" s="3497" t="s">
        <v>986</v>
      </c>
      <c r="F13" s="3497" t="s">
        <v>986</v>
      </c>
    </row>
    <row r="14" spans="1:6" ht="12" customHeight="1" x14ac:dyDescent="0.2">
      <c r="A14" s="3550" t="s">
        <v>1225</v>
      </c>
      <c r="B14" s="3500" t="s">
        <v>986</v>
      </c>
      <c r="C14" s="3500" t="s">
        <v>986</v>
      </c>
      <c r="D14" s="3500" t="s">
        <v>986</v>
      </c>
      <c r="E14" s="3507" t="s">
        <v>986</v>
      </c>
      <c r="F14" s="3500" t="s">
        <v>986</v>
      </c>
    </row>
    <row r="15" spans="1:6" ht="12.75" customHeight="1" x14ac:dyDescent="0.2">
      <c r="A15" s="3550" t="s">
        <v>1224</v>
      </c>
      <c r="B15" s="3500" t="s">
        <v>986</v>
      </c>
      <c r="C15" s="3500" t="s">
        <v>986</v>
      </c>
      <c r="D15" s="3500" t="s">
        <v>986</v>
      </c>
      <c r="E15" s="3507" t="s">
        <v>986</v>
      </c>
      <c r="F15" s="3500" t="s">
        <v>986</v>
      </c>
    </row>
    <row r="16" spans="1:6" ht="13.5" customHeight="1" x14ac:dyDescent="0.2">
      <c r="A16" s="3550" t="s">
        <v>1223</v>
      </c>
      <c r="B16" s="3500" t="s">
        <v>986</v>
      </c>
      <c r="C16" s="3500" t="s">
        <v>986</v>
      </c>
      <c r="D16" s="3500" t="s">
        <v>986</v>
      </c>
      <c r="E16" s="3507" t="s">
        <v>986</v>
      </c>
      <c r="F16" s="3500" t="s">
        <v>986</v>
      </c>
    </row>
    <row r="17" spans="1:6" ht="29.25" customHeight="1" x14ac:dyDescent="0.2">
      <c r="A17" s="3551" t="s">
        <v>1222</v>
      </c>
      <c r="B17" s="3497" t="s">
        <v>986</v>
      </c>
      <c r="C17" s="3497" t="s">
        <v>986</v>
      </c>
      <c r="D17" s="3497" t="s">
        <v>986</v>
      </c>
      <c r="E17" s="3497" t="s">
        <v>986</v>
      </c>
      <c r="F17" s="3497" t="s">
        <v>986</v>
      </c>
    </row>
    <row r="18" spans="1:6" ht="13.5" customHeight="1" x14ac:dyDescent="0.2">
      <c r="A18" s="3549" t="s">
        <v>1218</v>
      </c>
      <c r="B18" s="3497" t="s">
        <v>986</v>
      </c>
      <c r="C18" s="3497" t="s">
        <v>986</v>
      </c>
      <c r="D18" s="3497" t="s">
        <v>986</v>
      </c>
      <c r="E18" s="3497" t="s">
        <v>986</v>
      </c>
      <c r="F18" s="3507" t="s">
        <v>986</v>
      </c>
    </row>
    <row r="19" spans="1:6" ht="12.75" customHeight="1" x14ac:dyDescent="0.2">
      <c r="A19" s="3549" t="s">
        <v>1221</v>
      </c>
      <c r="B19" s="3507">
        <v>219.5325</v>
      </c>
      <c r="C19" s="3497" t="s">
        <v>986</v>
      </c>
      <c r="D19" s="3497" t="s">
        <v>986</v>
      </c>
      <c r="E19" s="3507">
        <v>6.7139268692537604</v>
      </c>
      <c r="F19" s="3507">
        <v>1.4739251504244499</v>
      </c>
    </row>
    <row r="20" spans="1:6" ht="12.75" customHeight="1" x14ac:dyDescent="0.2">
      <c r="A20" s="3550" t="s">
        <v>1218</v>
      </c>
      <c r="B20" s="3507">
        <v>219.5325</v>
      </c>
      <c r="C20" s="3497" t="s">
        <v>986</v>
      </c>
      <c r="D20" s="3497" t="s">
        <v>986</v>
      </c>
      <c r="E20" s="3507">
        <v>6.7139268692537604</v>
      </c>
      <c r="F20" s="3507">
        <v>1.4739251504244499</v>
      </c>
    </row>
    <row r="21" spans="1:6" ht="12.75" customHeight="1" x14ac:dyDescent="0.2">
      <c r="A21" s="3519" t="s">
        <v>1220</v>
      </c>
      <c r="B21" s="3500">
        <v>219.5325</v>
      </c>
      <c r="C21" s="3500">
        <v>20.192378720210201</v>
      </c>
      <c r="D21" s="3500">
        <v>6.5</v>
      </c>
      <c r="E21" s="3507">
        <v>6.7139268692537604</v>
      </c>
      <c r="F21" s="3500">
        <v>1.4739251504244499</v>
      </c>
    </row>
    <row r="22" spans="1:6" ht="13.5" customHeight="1" x14ac:dyDescent="0.2">
      <c r="A22" s="3549" t="s">
        <v>1219</v>
      </c>
      <c r="B22" s="3507">
        <v>12298.993</v>
      </c>
      <c r="C22" s="3497" t="s">
        <v>986</v>
      </c>
      <c r="D22" s="3497" t="s">
        <v>986</v>
      </c>
      <c r="E22" s="3507">
        <v>1.0675799525335301</v>
      </c>
      <c r="F22" s="3507">
        <v>13.130158363150199</v>
      </c>
    </row>
    <row r="23" spans="1:6" ht="13.5" customHeight="1" x14ac:dyDescent="0.2">
      <c r="A23" s="3550" t="s">
        <v>1218</v>
      </c>
      <c r="B23" s="3507">
        <v>12298.993</v>
      </c>
      <c r="C23" s="3497" t="s">
        <v>986</v>
      </c>
      <c r="D23" s="3497" t="s">
        <v>986</v>
      </c>
      <c r="E23" s="3507">
        <v>1.0675799525335301</v>
      </c>
      <c r="F23" s="3507">
        <v>13.130158363150199</v>
      </c>
    </row>
    <row r="24" spans="1:6" ht="12.75" customHeight="1" x14ac:dyDescent="0.2">
      <c r="A24" s="3519" t="s">
        <v>1217</v>
      </c>
      <c r="B24" s="3500">
        <v>12298.993</v>
      </c>
      <c r="C24" s="3500">
        <v>38.035371404059397</v>
      </c>
      <c r="D24" s="3500">
        <v>0.6</v>
      </c>
      <c r="E24" s="3507">
        <v>1.0675799525335301</v>
      </c>
      <c r="F24" s="3500">
        <v>13.130158363150199</v>
      </c>
    </row>
    <row r="25" spans="1:6" ht="13.5" customHeight="1" x14ac:dyDescent="0.2">
      <c r="A25" s="3549" t="s">
        <v>1216</v>
      </c>
      <c r="B25" s="3507">
        <v>24316.924999999999</v>
      </c>
      <c r="C25" s="3497" t="s">
        <v>986</v>
      </c>
      <c r="D25" s="3497" t="s">
        <v>986</v>
      </c>
      <c r="E25" s="3507">
        <v>0.16975224083894999</v>
      </c>
      <c r="F25" s="3507">
        <v>4.1278525090627198</v>
      </c>
    </row>
    <row r="26" spans="1:6" ht="12" customHeight="1" x14ac:dyDescent="0.2">
      <c r="A26" s="3519" t="s">
        <v>1215</v>
      </c>
      <c r="B26" s="3500">
        <v>7.7709999999999999</v>
      </c>
      <c r="C26" s="3500">
        <v>34.461479452054803</v>
      </c>
      <c r="D26" s="3500">
        <v>5</v>
      </c>
      <c r="E26" s="3507">
        <v>11.30138364779822</v>
      </c>
      <c r="F26" s="3500">
        <v>8.7823052327040005E-2</v>
      </c>
    </row>
    <row r="27" spans="1:6" x14ac:dyDescent="0.2">
      <c r="A27" s="3519" t="s">
        <v>1214</v>
      </c>
      <c r="B27" s="3500">
        <v>11.679</v>
      </c>
      <c r="C27" s="3500">
        <v>39.897718943891903</v>
      </c>
      <c r="D27" s="3500">
        <v>5</v>
      </c>
      <c r="E27" s="3507">
        <v>13.084157605139991</v>
      </c>
      <c r="F27" s="3500">
        <v>0.15280987667043</v>
      </c>
    </row>
    <row r="28" spans="1:6" x14ac:dyDescent="0.2">
      <c r="A28" s="3519" t="s">
        <v>1213</v>
      </c>
      <c r="B28" s="3500">
        <v>175</v>
      </c>
      <c r="C28" s="3500">
        <v>133.01211000000001</v>
      </c>
      <c r="D28" s="3500">
        <v>2.5</v>
      </c>
      <c r="E28" s="3507">
        <v>21.81016179245286</v>
      </c>
      <c r="F28" s="3500">
        <v>3.8167783136792499</v>
      </c>
    </row>
    <row r="29" spans="1:6" x14ac:dyDescent="0.2">
      <c r="A29" s="3519" t="s">
        <v>1212</v>
      </c>
      <c r="B29" s="3500">
        <v>23059.881000000001</v>
      </c>
      <c r="C29" s="3500">
        <v>1.3988358374187499</v>
      </c>
      <c r="D29" s="3500" t="s">
        <v>1209</v>
      </c>
      <c r="E29" s="3507">
        <v>3.0416942628199999E-3</v>
      </c>
      <c r="F29" s="3500">
        <v>7.0141107738999994E-2</v>
      </c>
    </row>
    <row r="30" spans="1:6" x14ac:dyDescent="0.2">
      <c r="A30" s="3548" t="s">
        <v>1111</v>
      </c>
      <c r="B30" s="3507">
        <v>1062.5940000000001</v>
      </c>
      <c r="C30" s="3497" t="s">
        <v>986</v>
      </c>
      <c r="D30" s="3497" t="s">
        <v>986</v>
      </c>
      <c r="E30" s="3507">
        <v>2.8247726507000002E-4</v>
      </c>
      <c r="F30" s="3507">
        <v>3.0015864699999998E-4</v>
      </c>
    </row>
    <row r="31" spans="1:6" x14ac:dyDescent="0.2">
      <c r="A31" s="3520" t="s">
        <v>1211</v>
      </c>
      <c r="B31" s="3500">
        <v>9.4E-2</v>
      </c>
      <c r="C31" s="3500" t="s">
        <v>1209</v>
      </c>
      <c r="D31" s="3500" t="s">
        <v>1209</v>
      </c>
      <c r="E31" s="3507">
        <v>2.2964329787229999E-2</v>
      </c>
      <c r="F31" s="3500">
        <v>2.1586470000000002E-6</v>
      </c>
    </row>
    <row r="32" spans="1:6" x14ac:dyDescent="0.2">
      <c r="A32" s="3520" t="s">
        <v>1210</v>
      </c>
      <c r="B32" s="3500">
        <v>1062.5</v>
      </c>
      <c r="C32" s="3500" t="s">
        <v>1209</v>
      </c>
      <c r="D32" s="3500" t="s">
        <v>1209</v>
      </c>
      <c r="E32" s="3507">
        <v>2.8047058824000001E-4</v>
      </c>
      <c r="F32" s="3500">
        <v>2.9799999999999998E-4</v>
      </c>
    </row>
    <row r="33" spans="1:6" x14ac:dyDescent="0.2">
      <c r="A33" s="678" t="s">
        <v>564</v>
      </c>
      <c r="B33" s="663"/>
      <c r="C33" s="663"/>
      <c r="D33" s="663"/>
      <c r="E33" s="663"/>
      <c r="F33" s="663"/>
    </row>
    <row r="34" spans="1:6" ht="13.5" x14ac:dyDescent="0.2">
      <c r="A34" s="5459" t="s">
        <v>1208</v>
      </c>
      <c r="B34" s="5459"/>
      <c r="C34" s="5459"/>
      <c r="D34" s="5459"/>
      <c r="E34" s="5459"/>
      <c r="F34" s="5459"/>
    </row>
    <row r="35" spans="1:6" ht="13.5" x14ac:dyDescent="0.2">
      <c r="A35" s="5459" t="s">
        <v>1207</v>
      </c>
      <c r="B35" s="5459"/>
      <c r="C35" s="5459"/>
      <c r="D35" s="5459"/>
      <c r="E35" s="5459"/>
      <c r="F35" s="5459"/>
    </row>
    <row r="36" spans="1:6" ht="13.5" x14ac:dyDescent="0.2">
      <c r="A36" s="5459" t="s">
        <v>1206</v>
      </c>
      <c r="B36" s="5459"/>
      <c r="C36" s="5459"/>
      <c r="D36" s="5459"/>
      <c r="E36" s="5459"/>
      <c r="F36" s="5459"/>
    </row>
    <row r="37" spans="1:6" ht="13.5" x14ac:dyDescent="0.2">
      <c r="A37" s="5459" t="s">
        <v>1205</v>
      </c>
      <c r="B37" s="5459"/>
      <c r="C37" s="5459"/>
      <c r="D37" s="5459"/>
      <c r="E37" s="5459"/>
      <c r="F37" s="5459"/>
    </row>
    <row r="38" spans="1:6" ht="36.75" customHeight="1" x14ac:dyDescent="0.2">
      <c r="A38" s="5459" t="s">
        <v>1204</v>
      </c>
      <c r="B38" s="5459"/>
      <c r="C38" s="5459"/>
      <c r="D38" s="5459"/>
      <c r="E38" s="5459"/>
      <c r="F38" s="5459"/>
    </row>
    <row r="39" spans="1:6" ht="13.5" x14ac:dyDescent="0.2">
      <c r="A39" s="5459" t="s">
        <v>1203</v>
      </c>
      <c r="B39" s="5459"/>
      <c r="C39" s="5459"/>
      <c r="D39" s="5459"/>
      <c r="E39" s="5459"/>
      <c r="F39" s="5459"/>
    </row>
    <row r="40" spans="1:6" ht="13.5" x14ac:dyDescent="0.2">
      <c r="A40" s="662"/>
      <c r="B40" s="661"/>
      <c r="C40" s="661"/>
      <c r="D40" s="661"/>
      <c r="E40" s="661"/>
      <c r="F40" s="661"/>
    </row>
    <row r="41" spans="1:6" ht="17.25" customHeight="1" x14ac:dyDescent="0.2">
      <c r="A41" s="3547" t="s">
        <v>982</v>
      </c>
      <c r="B41" s="3546"/>
      <c r="C41" s="3546"/>
      <c r="D41" s="3546"/>
      <c r="E41" s="3545"/>
      <c r="F41" s="661"/>
    </row>
    <row r="42" spans="1:6" ht="24.75" customHeight="1" x14ac:dyDescent="0.2">
      <c r="A42" s="5500" t="s">
        <v>1202</v>
      </c>
      <c r="B42" s="5435"/>
      <c r="C42" s="5435"/>
      <c r="D42" s="5435"/>
      <c r="E42" s="5477"/>
      <c r="F42" s="707"/>
    </row>
    <row r="43" spans="1:6" ht="12" customHeight="1" x14ac:dyDescent="0.2">
      <c r="A43" s="706" t="s">
        <v>1201</v>
      </c>
      <c r="B43" s="705"/>
      <c r="C43" s="705"/>
      <c r="D43" s="705"/>
      <c r="E43" s="704"/>
      <c r="F43" s="703"/>
    </row>
    <row r="44" spans="1:6" x14ac:dyDescent="0.2">
      <c r="A44" s="5501" t="s">
        <v>1200</v>
      </c>
      <c r="B44" s="5502"/>
      <c r="C44" s="5502"/>
      <c r="D44" s="5502"/>
      <c r="E44" s="5503"/>
      <c r="F44" s="702"/>
    </row>
    <row r="45" spans="1:6" ht="12" customHeight="1" x14ac:dyDescent="0.2">
      <c r="A45" s="701" t="s">
        <v>1199</v>
      </c>
      <c r="B45" s="700"/>
      <c r="C45" s="700"/>
      <c r="D45" s="700"/>
      <c r="E45" s="699"/>
      <c r="F45" s="698"/>
    </row>
    <row r="46" spans="1:6" ht="12" customHeight="1" x14ac:dyDescent="0.2">
      <c r="A46" s="3544" t="s">
        <v>980</v>
      </c>
      <c r="B46" s="5696" t="s">
        <v>986</v>
      </c>
      <c r="C46" s="5722"/>
      <c r="D46" s="5722"/>
      <c r="E46" s="5722"/>
      <c r="F46" s="3543"/>
    </row>
  </sheetData>
  <sheetProtection password="A754" sheet="1" objects="1" scenarios="1"/>
  <mergeCells count="10">
    <mergeCell ref="B6:D6"/>
    <mergeCell ref="B46:E46"/>
    <mergeCell ref="A34:F34"/>
    <mergeCell ref="A35:F35"/>
    <mergeCell ref="A36:F36"/>
    <mergeCell ref="A37:F37"/>
    <mergeCell ref="A38:F38"/>
    <mergeCell ref="A39:F39"/>
    <mergeCell ref="A42:E42"/>
    <mergeCell ref="A44:E44"/>
  </mergeCells>
  <dataValidations count="1">
    <dataValidation allowBlank="1" showInputMessage="1" showErrorMessage="1" sqref="A44:A65522 A42 B42:F65522 G1:IL65522" xr:uid="{00000000-0002-0000-1700-000000000000}"/>
  </dataValidations>
  <printOptions horizontalCentered="1" verticalCentered="1"/>
  <pageMargins left="0.39370078740157483" right="0.39370078740157483" top="0.39370078740157483" bottom="0.39370078740157483" header="0.19685039370078741" footer="0.19685039370078741"/>
  <pageSetup paperSize="9" scale="40" orientation="landscape"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B1553-87A7-4F45-A7AF-358680107E9D}">
  <sheetPr codeName="Ark42">
    <tabColor theme="0" tint="-0.249977111117893"/>
    <pageSetUpPr fitToPage="1"/>
  </sheetPr>
  <dimension ref="A1:E43"/>
  <sheetViews>
    <sheetView showGridLines="0" workbookViewId="0">
      <selection sqref="A1:B1"/>
    </sheetView>
  </sheetViews>
  <sheetFormatPr defaultColWidth="8" defaultRowHeight="12" customHeight="1" x14ac:dyDescent="0.2"/>
  <cols>
    <col min="1" max="1" width="44.28515625" style="659" customWidth="1"/>
    <col min="2" max="2" width="61" style="659" customWidth="1"/>
    <col min="3" max="3" width="16.5703125" style="659" customWidth="1"/>
    <col min="4" max="4" width="22.28515625" style="659" customWidth="1"/>
    <col min="5" max="5" width="16.7109375" style="659" customWidth="1"/>
    <col min="6" max="16384" width="8" style="659"/>
  </cols>
  <sheetData>
    <row r="1" spans="1:5" ht="15.75" x14ac:dyDescent="0.2">
      <c r="A1" s="5471" t="s">
        <v>1293</v>
      </c>
      <c r="B1" s="5471"/>
      <c r="C1" s="660"/>
      <c r="D1" s="660"/>
      <c r="E1" s="668" t="s">
        <v>1791</v>
      </c>
    </row>
    <row r="2" spans="1:5" ht="17.25" x14ac:dyDescent="0.2">
      <c r="A2" s="5471" t="s">
        <v>1292</v>
      </c>
      <c r="B2" s="5471"/>
      <c r="C2" s="660"/>
      <c r="D2" s="660"/>
      <c r="E2" s="668" t="s">
        <v>1790</v>
      </c>
    </row>
    <row r="3" spans="1:5" ht="15.75" x14ac:dyDescent="0.25">
      <c r="A3" s="687" t="s">
        <v>1197</v>
      </c>
      <c r="B3" s="670"/>
      <c r="C3" s="660"/>
      <c r="D3" s="660"/>
      <c r="E3" s="668" t="s">
        <v>1789</v>
      </c>
    </row>
    <row r="4" spans="1:5" ht="12" customHeight="1" x14ac:dyDescent="0.2">
      <c r="A4" s="660"/>
      <c r="B4" s="660"/>
      <c r="C4" s="660"/>
      <c r="D4" s="660"/>
      <c r="E4" s="660"/>
    </row>
    <row r="5" spans="1:5" ht="27" customHeight="1" x14ac:dyDescent="0.2">
      <c r="A5" s="3553" t="s">
        <v>1025</v>
      </c>
      <c r="B5" s="5719" t="s">
        <v>1291</v>
      </c>
      <c r="C5" s="5721"/>
      <c r="D5" s="3561" t="s">
        <v>1238</v>
      </c>
      <c r="E5" s="3562" t="s">
        <v>1081</v>
      </c>
    </row>
    <row r="6" spans="1:5" ht="12" customHeight="1" x14ac:dyDescent="0.2">
      <c r="A6" s="676"/>
      <c r="B6" s="3326" t="s">
        <v>1254</v>
      </c>
      <c r="C6" s="3561" t="s">
        <v>1253</v>
      </c>
      <c r="D6" s="3326"/>
      <c r="E6" s="726" t="s">
        <v>1022</v>
      </c>
    </row>
    <row r="7" spans="1:5" ht="29.25" customHeight="1" thickBot="1" x14ac:dyDescent="0.25">
      <c r="A7" s="675"/>
      <c r="B7" s="674"/>
      <c r="C7" s="725" t="s">
        <v>1290</v>
      </c>
      <c r="D7" s="725" t="s">
        <v>1289</v>
      </c>
      <c r="E7" s="724" t="s">
        <v>1011</v>
      </c>
    </row>
    <row r="8" spans="1:5" ht="29.25" customHeight="1" thickTop="1" x14ac:dyDescent="0.2">
      <c r="A8" s="723" t="s">
        <v>1288</v>
      </c>
      <c r="B8" s="3497" t="s">
        <v>986</v>
      </c>
      <c r="C8" s="3497" t="s">
        <v>986</v>
      </c>
      <c r="D8" s="3497" t="s">
        <v>986</v>
      </c>
      <c r="E8" s="3507">
        <v>12.308738746871249</v>
      </c>
    </row>
    <row r="9" spans="1:5" ht="29.25" customHeight="1" x14ac:dyDescent="0.2">
      <c r="A9" s="3560" t="s">
        <v>1287</v>
      </c>
      <c r="B9" s="3507" t="s">
        <v>1286</v>
      </c>
      <c r="C9" s="3500">
        <v>237784000</v>
      </c>
      <c r="D9" s="3507">
        <v>0.01</v>
      </c>
      <c r="E9" s="3500">
        <v>3.7366057142857101</v>
      </c>
    </row>
    <row r="10" spans="1:5" ht="29.25" customHeight="1" x14ac:dyDescent="0.2">
      <c r="A10" s="3560" t="s">
        <v>1285</v>
      </c>
      <c r="B10" s="3507" t="s">
        <v>1284</v>
      </c>
      <c r="C10" s="3507">
        <v>218136674.33246964</v>
      </c>
      <c r="D10" s="3507">
        <v>0.01</v>
      </c>
      <c r="E10" s="3507">
        <v>3.42786202522452</v>
      </c>
    </row>
    <row r="11" spans="1:5" ht="25.5" customHeight="1" x14ac:dyDescent="0.2">
      <c r="A11" s="3560" t="s">
        <v>1283</v>
      </c>
      <c r="B11" s="3507" t="s">
        <v>1282</v>
      </c>
      <c r="C11" s="3500">
        <v>208675207.32960099</v>
      </c>
      <c r="D11" s="3507">
        <v>0.01</v>
      </c>
      <c r="E11" s="3500">
        <v>3.27918182946516</v>
      </c>
    </row>
    <row r="12" spans="1:5" ht="22.5" customHeight="1" x14ac:dyDescent="0.2">
      <c r="A12" s="3560" t="s">
        <v>1281</v>
      </c>
      <c r="B12" s="3507" t="s">
        <v>1280</v>
      </c>
      <c r="C12" s="3500">
        <v>3673000</v>
      </c>
      <c r="D12" s="3507">
        <v>0.01</v>
      </c>
      <c r="E12" s="3500">
        <v>5.7718571428570002E-2</v>
      </c>
    </row>
    <row r="13" spans="1:5" ht="20.25" customHeight="1" x14ac:dyDescent="0.2">
      <c r="A13" s="722" t="s">
        <v>1279</v>
      </c>
      <c r="B13" s="3507" t="s">
        <v>1278</v>
      </c>
      <c r="C13" s="3500">
        <v>5788467.0028686495</v>
      </c>
      <c r="D13" s="3507">
        <v>0.01</v>
      </c>
      <c r="E13" s="3500">
        <v>9.0961624330789997E-2</v>
      </c>
    </row>
    <row r="14" spans="1:5" ht="14.25" customHeight="1" x14ac:dyDescent="0.2">
      <c r="A14" s="3560" t="s">
        <v>1277</v>
      </c>
      <c r="B14" s="3507" t="s">
        <v>1276</v>
      </c>
      <c r="C14" s="3500">
        <v>20834107.129750099</v>
      </c>
      <c r="D14" s="3507">
        <v>1.7702793650169999E-2</v>
      </c>
      <c r="E14" s="3500">
        <v>0.57957727049120999</v>
      </c>
    </row>
    <row r="15" spans="1:5" ht="14.25" customHeight="1" x14ac:dyDescent="0.2">
      <c r="A15" s="3560" t="s">
        <v>1275</v>
      </c>
      <c r="B15" s="3507" t="s">
        <v>1274</v>
      </c>
      <c r="C15" s="3500">
        <v>147782000</v>
      </c>
      <c r="D15" s="3507">
        <v>0.01</v>
      </c>
      <c r="E15" s="3500">
        <v>2.3222885714285701</v>
      </c>
    </row>
    <row r="16" spans="1:5" ht="25.5" customHeight="1" x14ac:dyDescent="0.2">
      <c r="A16" s="3560" t="s">
        <v>1273</v>
      </c>
      <c r="B16" s="3507" t="s">
        <v>1272</v>
      </c>
      <c r="C16" s="3500">
        <v>13365420.528078601</v>
      </c>
      <c r="D16" s="3507">
        <v>0.01</v>
      </c>
      <c r="E16" s="3500">
        <v>0.21002803686981</v>
      </c>
    </row>
    <row r="17" spans="1:5" ht="14.25" customHeight="1" x14ac:dyDescent="0.2">
      <c r="A17" s="3560" t="s">
        <v>1271</v>
      </c>
      <c r="B17" s="3507" t="s">
        <v>1270</v>
      </c>
      <c r="C17" s="3500">
        <v>173082</v>
      </c>
      <c r="D17" s="3507">
        <v>7.4723593441259197</v>
      </c>
      <c r="E17" s="3500">
        <v>2.0323771285714298</v>
      </c>
    </row>
    <row r="18" spans="1:5" ht="14.25" customHeight="1" x14ac:dyDescent="0.2">
      <c r="A18" s="3560" t="s">
        <v>1269</v>
      </c>
      <c r="B18" s="3507" t="s">
        <v>1268</v>
      </c>
      <c r="C18" s="3500" t="s">
        <v>259</v>
      </c>
      <c r="D18" s="3507" t="s">
        <v>259</v>
      </c>
      <c r="E18" s="3500" t="s">
        <v>259</v>
      </c>
    </row>
    <row r="19" spans="1:5" ht="27" customHeight="1" x14ac:dyDescent="0.2">
      <c r="A19" s="721" t="s">
        <v>1267</v>
      </c>
      <c r="B19" s="3497" t="s">
        <v>986</v>
      </c>
      <c r="C19" s="3497" t="s">
        <v>986</v>
      </c>
      <c r="D19" s="3497" t="s">
        <v>986</v>
      </c>
      <c r="E19" s="3507">
        <v>1.8214526994195299</v>
      </c>
    </row>
    <row r="20" spans="1:5" ht="24" customHeight="1" x14ac:dyDescent="0.2">
      <c r="A20" s="3559" t="s">
        <v>1266</v>
      </c>
      <c r="B20" s="3507" t="s">
        <v>1265</v>
      </c>
      <c r="C20" s="3500">
        <v>37511376.326697797</v>
      </c>
      <c r="D20" s="3507">
        <v>0.01</v>
      </c>
      <c r="E20" s="3500">
        <v>0.58946448513381999</v>
      </c>
    </row>
    <row r="21" spans="1:5" x14ac:dyDescent="0.2">
      <c r="A21" s="3559" t="s">
        <v>1264</v>
      </c>
      <c r="B21" s="3507" t="s">
        <v>1263</v>
      </c>
      <c r="C21" s="3500">
        <v>162597000</v>
      </c>
      <c r="D21" s="3507">
        <v>4.8216910521099998E-3</v>
      </c>
      <c r="E21" s="3500">
        <v>1.2319882142857099</v>
      </c>
    </row>
    <row r="22" spans="1:5" ht="12" customHeight="1" x14ac:dyDescent="0.2">
      <c r="A22" s="660"/>
      <c r="B22" s="660"/>
      <c r="C22" s="660"/>
      <c r="D22" s="660"/>
      <c r="E22" s="660"/>
    </row>
    <row r="23" spans="1:5" ht="11.25" customHeight="1" x14ac:dyDescent="0.2">
      <c r="A23" s="5434" t="s">
        <v>1262</v>
      </c>
      <c r="B23" s="5434"/>
      <c r="C23" s="5434"/>
      <c r="D23" s="5434"/>
      <c r="E23" s="5434"/>
    </row>
    <row r="24" spans="1:5" ht="13.5" x14ac:dyDescent="0.2">
      <c r="A24" s="5504" t="s">
        <v>1261</v>
      </c>
      <c r="B24" s="5504"/>
      <c r="C24" s="5504"/>
      <c r="D24" s="5504"/>
      <c r="E24" s="5504"/>
    </row>
    <row r="25" spans="1:5" x14ac:dyDescent="0.2">
      <c r="A25" s="5505" t="s">
        <v>1260</v>
      </c>
      <c r="B25" s="5506"/>
      <c r="C25" s="5506"/>
      <c r="D25" s="5506"/>
      <c r="E25" s="5506"/>
    </row>
    <row r="26" spans="1:5" ht="14.25" customHeight="1" x14ac:dyDescent="0.2">
      <c r="A26" s="5507" t="s">
        <v>1259</v>
      </c>
      <c r="B26" s="5507"/>
      <c r="C26" s="5507"/>
      <c r="D26" s="5507"/>
      <c r="E26" s="5507"/>
    </row>
    <row r="27" spans="1:5" ht="14.25" customHeight="1" x14ac:dyDescent="0.2">
      <c r="A27" s="5507" t="s">
        <v>1258</v>
      </c>
      <c r="B27" s="5507"/>
      <c r="C27" s="5507"/>
      <c r="D27" s="5507"/>
      <c r="E27" s="5507"/>
    </row>
    <row r="28" spans="1:5" ht="13.5" x14ac:dyDescent="0.2">
      <c r="A28" s="5507" t="s">
        <v>1257</v>
      </c>
      <c r="B28" s="5507"/>
      <c r="C28" s="5507"/>
      <c r="D28" s="5507"/>
      <c r="E28" s="5507"/>
    </row>
    <row r="29" spans="1:5" ht="13.5" x14ac:dyDescent="0.2">
      <c r="A29" s="3303"/>
      <c r="B29" s="3303"/>
      <c r="C29" s="3303"/>
      <c r="D29" s="3303"/>
      <c r="E29" s="3303"/>
    </row>
    <row r="30" spans="1:5" ht="13.5" x14ac:dyDescent="0.2">
      <c r="A30" s="720" t="s">
        <v>1256</v>
      </c>
      <c r="B30" s="3303"/>
      <c r="C30" s="3303"/>
      <c r="D30" s="3303"/>
      <c r="E30" s="3303"/>
    </row>
    <row r="31" spans="1:5" ht="14.25" x14ac:dyDescent="0.2">
      <c r="A31" s="3558" t="s">
        <v>1255</v>
      </c>
      <c r="B31" s="3558" t="s">
        <v>1254</v>
      </c>
      <c r="C31" s="3557" t="s">
        <v>1253</v>
      </c>
      <c r="D31" s="3303"/>
      <c r="E31" s="3303"/>
    </row>
    <row r="32" spans="1:5" ht="13.5" x14ac:dyDescent="0.2">
      <c r="A32" s="3556" t="s">
        <v>1252</v>
      </c>
      <c r="B32" s="3556" t="s">
        <v>1251</v>
      </c>
      <c r="C32" s="3500">
        <v>6.0668830699839998E-2</v>
      </c>
      <c r="D32" s="3303"/>
      <c r="E32" s="3303"/>
    </row>
    <row r="33" spans="1:5" ht="13.5" x14ac:dyDescent="0.2">
      <c r="A33" s="3556" t="s">
        <v>1250</v>
      </c>
      <c r="B33" s="3556" t="s">
        <v>1249</v>
      </c>
      <c r="C33" s="3500">
        <v>7.535430977193E-2</v>
      </c>
      <c r="D33" s="3303"/>
      <c r="E33" s="3303"/>
    </row>
    <row r="34" spans="1:5" ht="13.5" x14ac:dyDescent="0.2">
      <c r="A34" s="3556" t="s">
        <v>1248</v>
      </c>
      <c r="B34" s="3556" t="s">
        <v>1247</v>
      </c>
      <c r="C34" s="3500">
        <v>0.25489330416588002</v>
      </c>
      <c r="D34" s="3303"/>
      <c r="E34" s="3303"/>
    </row>
    <row r="35" spans="1:5" ht="13.5" x14ac:dyDescent="0.2">
      <c r="A35" s="3555" t="s">
        <v>1246</v>
      </c>
      <c r="B35" s="719"/>
      <c r="C35" s="3497" t="s">
        <v>986</v>
      </c>
      <c r="D35" s="3303"/>
      <c r="E35" s="3303"/>
    </row>
    <row r="36" spans="1:5" ht="13.5" x14ac:dyDescent="0.2">
      <c r="A36" s="3314" t="s">
        <v>1245</v>
      </c>
      <c r="B36" s="3303"/>
      <c r="C36" s="3303"/>
      <c r="D36" s="3303"/>
      <c r="E36" s="3303"/>
    </row>
    <row r="37" spans="1:5" ht="13.5" x14ac:dyDescent="0.2">
      <c r="A37" s="3321"/>
      <c r="B37" s="3303"/>
      <c r="C37" s="3303"/>
      <c r="D37" s="3303"/>
      <c r="E37" s="3303"/>
    </row>
    <row r="38" spans="1:5" ht="12" customHeight="1" x14ac:dyDescent="0.2">
      <c r="A38" s="5724" t="s">
        <v>982</v>
      </c>
      <c r="B38" s="5725"/>
      <c r="C38" s="5725"/>
      <c r="D38" s="5725"/>
      <c r="E38" s="5726"/>
    </row>
    <row r="39" spans="1:5" ht="27" customHeight="1" x14ac:dyDescent="0.2">
      <c r="A39" s="5512" t="s">
        <v>1244</v>
      </c>
      <c r="B39" s="5513"/>
      <c r="C39" s="5513"/>
      <c r="D39" s="5513"/>
      <c r="E39" s="5514"/>
    </row>
    <row r="40" spans="1:5" ht="12" customHeight="1" x14ac:dyDescent="0.2">
      <c r="A40" s="5515" t="s">
        <v>1201</v>
      </c>
      <c r="B40" s="5516"/>
      <c r="C40" s="5516"/>
      <c r="D40" s="5516"/>
      <c r="E40" s="5517"/>
    </row>
    <row r="41" spans="1:5" ht="12" customHeight="1" x14ac:dyDescent="0.25">
      <c r="A41" s="718" t="s">
        <v>1243</v>
      </c>
      <c r="B41" s="717"/>
      <c r="C41" s="717"/>
      <c r="D41" s="717"/>
      <c r="E41" s="716"/>
    </row>
    <row r="42" spans="1:5" ht="12" customHeight="1" x14ac:dyDescent="0.2">
      <c r="A42" s="715" t="s">
        <v>1242</v>
      </c>
      <c r="B42" s="714"/>
      <c r="C42" s="714"/>
      <c r="D42" s="714"/>
      <c r="E42" s="713"/>
    </row>
    <row r="43" spans="1:5" ht="12" customHeight="1" x14ac:dyDescent="0.2">
      <c r="A43" s="3554" t="s">
        <v>980</v>
      </c>
      <c r="B43" s="5696" t="s">
        <v>5199</v>
      </c>
      <c r="C43" s="5723"/>
      <c r="D43" s="5723"/>
      <c r="E43" s="5723"/>
    </row>
  </sheetData>
  <sheetProtection password="A754" sheet="1" objects="1" scenarios="1"/>
  <mergeCells count="13">
    <mergeCell ref="A25:E25"/>
    <mergeCell ref="A26:E26"/>
    <mergeCell ref="A27:E27"/>
    <mergeCell ref="A28:E28"/>
    <mergeCell ref="B43:E43"/>
    <mergeCell ref="A38:E38"/>
    <mergeCell ref="A39:E39"/>
    <mergeCell ref="A40:E40"/>
    <mergeCell ref="A1:B1"/>
    <mergeCell ref="A2:B2"/>
    <mergeCell ref="B5:C5"/>
    <mergeCell ref="A23:E23"/>
    <mergeCell ref="A24:E24"/>
  </mergeCells>
  <dataValidations count="1">
    <dataValidation allowBlank="1" showInputMessage="1" showErrorMessage="1" sqref="A45:E65509 F1:IN65509" xr:uid="{00000000-0002-0000-1D00-000000000000}"/>
  </dataValidations>
  <printOptions horizontalCentered="1" verticalCentered="1"/>
  <pageMargins left="0.39370078740157483" right="0.39370078740157483" top="0.39370078740157483" bottom="0.39370078740157483" header="0.19685039370078741" footer="0.19685039370078741"/>
  <pageSetup paperSize="9" scale="2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08C25-4081-47CA-925F-70057475AE26}">
  <sheetPr codeName="Ark8">
    <tabColor rgb="FF7030A0"/>
    <pageSetUpPr fitToPage="1"/>
  </sheetPr>
  <dimension ref="A1:AY125"/>
  <sheetViews>
    <sheetView showGridLines="0" showZeros="0" topLeftCell="A8" zoomScale="70" zoomScaleNormal="70" workbookViewId="0">
      <selection activeCell="U17" sqref="U17"/>
    </sheetView>
  </sheetViews>
  <sheetFormatPr defaultColWidth="9.140625" defaultRowHeight="12.75" x14ac:dyDescent="0.2"/>
  <cols>
    <col min="1" max="9" width="7.140625" style="12" customWidth="1"/>
    <col min="10" max="12" width="7.140625" style="32" customWidth="1"/>
    <col min="13" max="26" width="7.140625" style="12" customWidth="1"/>
    <col min="27" max="27" width="8.7109375" style="12" customWidth="1"/>
    <col min="28" max="28" width="52.140625" style="12" bestFit="1" customWidth="1"/>
    <col min="29" max="32" width="5.7109375" style="12" customWidth="1"/>
    <col min="33" max="37" width="8.7109375" style="12" customWidth="1"/>
    <col min="38" max="46" width="7.140625" style="12" customWidth="1"/>
    <col min="47" max="16384" width="9.140625" style="12"/>
  </cols>
  <sheetData>
    <row r="1" spans="1:51" ht="15" customHeight="1" x14ac:dyDescent="0.2">
      <c r="A1" s="112" t="s">
        <v>17</v>
      </c>
      <c r="B1" s="9"/>
      <c r="C1" s="9"/>
      <c r="D1" s="5147">
        <f>'E2020'!D1</f>
        <v>1786</v>
      </c>
      <c r="E1" s="5148"/>
      <c r="F1" s="10"/>
      <c r="G1" s="10"/>
      <c r="H1" s="10"/>
      <c r="I1" s="10"/>
      <c r="J1" s="31"/>
      <c r="K1" s="31"/>
      <c r="L1" s="31"/>
      <c r="N1" s="10"/>
      <c r="O1" s="10"/>
      <c r="P1" s="10"/>
      <c r="Q1" s="10"/>
      <c r="R1" s="10"/>
      <c r="S1" s="10"/>
      <c r="T1" s="10"/>
      <c r="U1" s="10"/>
      <c r="V1" s="10"/>
      <c r="W1" s="10"/>
      <c r="X1" s="10"/>
      <c r="Y1" s="11"/>
      <c r="Z1" s="11"/>
      <c r="AA1" s="11"/>
      <c r="AB1" s="5149" t="s">
        <v>30</v>
      </c>
      <c r="AC1" s="11"/>
      <c r="AD1" s="11"/>
      <c r="AE1" s="11"/>
      <c r="AF1" s="11"/>
      <c r="AG1" s="10"/>
      <c r="AH1" s="10"/>
      <c r="AI1" s="10"/>
      <c r="AJ1" s="10"/>
      <c r="AK1" s="10"/>
      <c r="AL1" s="10"/>
      <c r="AM1" s="10"/>
      <c r="AN1" s="10"/>
      <c r="AO1" s="10"/>
      <c r="AP1" s="10"/>
      <c r="AQ1" s="10"/>
      <c r="AR1" s="10"/>
      <c r="AS1" s="10"/>
      <c r="AT1" s="10"/>
    </row>
    <row r="2" spans="1:51" ht="15" customHeight="1" x14ac:dyDescent="0.25">
      <c r="A2" s="113" t="s">
        <v>19</v>
      </c>
      <c r="B2" s="10"/>
      <c r="C2" s="10"/>
      <c r="D2" s="296">
        <f>'E2020'!D2</f>
        <v>92.09</v>
      </c>
      <c r="E2" s="114" t="s">
        <v>18</v>
      </c>
      <c r="F2" s="10"/>
      <c r="G2" s="10"/>
      <c r="H2" s="115"/>
      <c r="I2" s="10"/>
      <c r="J2" s="31"/>
      <c r="K2" s="31"/>
      <c r="L2" s="31"/>
      <c r="M2" s="10"/>
      <c r="N2" s="10"/>
      <c r="O2" s="10"/>
      <c r="P2" s="10"/>
      <c r="Q2" s="10"/>
      <c r="R2" s="10"/>
      <c r="S2" s="10"/>
      <c r="T2" s="10"/>
      <c r="U2" s="10"/>
      <c r="V2" s="10"/>
      <c r="W2" s="10"/>
      <c r="X2" s="10"/>
      <c r="Y2" s="11"/>
      <c r="Z2" s="11"/>
      <c r="AA2" s="11"/>
      <c r="AB2" s="5149"/>
      <c r="AC2" s="11"/>
      <c r="AD2" s="11"/>
      <c r="AE2" s="11"/>
      <c r="AF2" s="11"/>
      <c r="AG2" s="10"/>
      <c r="AH2" s="10"/>
      <c r="AI2" s="10"/>
      <c r="AJ2" s="10"/>
      <c r="AK2" s="10"/>
      <c r="AL2" s="10"/>
      <c r="AM2" s="10"/>
      <c r="AN2" s="10"/>
      <c r="AO2" s="10"/>
      <c r="AP2" s="10"/>
      <c r="AQ2" s="10"/>
      <c r="AR2" s="10"/>
      <c r="AS2" s="10"/>
      <c r="AT2" s="10"/>
    </row>
    <row r="3" spans="1:51" ht="15" customHeight="1" thickBot="1" x14ac:dyDescent="0.25">
      <c r="A3" s="116" t="s">
        <v>15</v>
      </c>
      <c r="B3" s="13"/>
      <c r="C3" s="13"/>
      <c r="D3" s="13" t="s">
        <v>16</v>
      </c>
      <c r="E3" s="14"/>
      <c r="F3" s="10"/>
      <c r="G3" s="10"/>
      <c r="H3" s="10"/>
      <c r="I3" s="10"/>
      <c r="J3" s="31"/>
      <c r="K3" s="31"/>
      <c r="L3" s="31"/>
      <c r="M3" s="10"/>
      <c r="N3" s="10"/>
      <c r="O3" s="10"/>
      <c r="P3" s="10"/>
      <c r="Q3" s="10"/>
      <c r="R3" s="10"/>
      <c r="S3" s="10"/>
      <c r="T3" s="10"/>
      <c r="U3" s="10"/>
      <c r="V3" s="10"/>
      <c r="W3" s="10"/>
      <c r="X3" s="10"/>
      <c r="Y3" s="11"/>
      <c r="Z3" s="5151" t="str">
        <f>"BAU 2030"&amp; " " &amp;'E2020'!AB3</f>
        <v xml:space="preserve">BAU 2030 </v>
      </c>
      <c r="AA3" s="5151"/>
      <c r="AB3" s="5151"/>
      <c r="AC3" s="5151"/>
      <c r="AD3" s="5151"/>
      <c r="AE3" s="11"/>
      <c r="AF3" s="11"/>
      <c r="AG3" s="10"/>
      <c r="AH3" s="10"/>
      <c r="AI3" s="10"/>
      <c r="AJ3" s="10"/>
      <c r="AK3" s="10"/>
      <c r="AL3" s="10"/>
      <c r="AM3" s="10"/>
      <c r="AN3" s="10"/>
      <c r="AO3" s="10"/>
      <c r="AP3" s="10"/>
      <c r="AQ3" s="10"/>
      <c r="AR3" s="10"/>
      <c r="AS3" s="10"/>
      <c r="AT3" s="10"/>
    </row>
    <row r="4" spans="1:51" ht="23.25" x14ac:dyDescent="0.35">
      <c r="A4" s="1740" t="s">
        <v>4206</v>
      </c>
      <c r="B4" s="10"/>
      <c r="C4" s="10"/>
      <c r="D4" s="10"/>
      <c r="E4" s="10"/>
      <c r="F4" s="10"/>
      <c r="G4" s="10"/>
      <c r="H4" s="10"/>
      <c r="I4" s="10"/>
      <c r="J4" s="31"/>
      <c r="K4" s="31"/>
      <c r="L4" s="31"/>
      <c r="M4" s="10"/>
      <c r="N4" s="10"/>
      <c r="O4" s="10"/>
      <c r="P4" s="10"/>
      <c r="Q4" s="10"/>
      <c r="R4" s="10"/>
      <c r="S4" s="10"/>
      <c r="T4" s="10"/>
      <c r="U4" s="10"/>
      <c r="V4" s="10"/>
      <c r="W4" s="10"/>
      <c r="X4" s="10"/>
      <c r="Y4" s="11"/>
      <c r="Z4" s="5151"/>
      <c r="AA4" s="5151"/>
      <c r="AB4" s="5151"/>
      <c r="AC4" s="5151"/>
      <c r="AD4" s="5151"/>
      <c r="AE4" s="11"/>
      <c r="AF4" s="11"/>
      <c r="AG4" s="10"/>
      <c r="AH4" s="10"/>
      <c r="AI4" s="10"/>
      <c r="AJ4" s="10"/>
      <c r="AK4" s="10"/>
      <c r="AL4" s="10"/>
      <c r="AM4" s="10"/>
      <c r="AN4" s="10"/>
      <c r="AO4" s="10"/>
      <c r="AP4" s="10"/>
      <c r="AQ4" s="10"/>
      <c r="AR4" s="10"/>
      <c r="AS4" s="10"/>
      <c r="AT4" s="10"/>
    </row>
    <row r="5" spans="1:51" ht="15" customHeight="1" x14ac:dyDescent="0.2">
      <c r="A5" s="10"/>
      <c r="B5" s="10"/>
      <c r="C5" s="10"/>
      <c r="D5" s="10"/>
      <c r="E5" s="10"/>
      <c r="F5" s="10"/>
      <c r="G5" s="10"/>
      <c r="H5" s="10"/>
      <c r="I5" s="10"/>
      <c r="J5" s="31"/>
      <c r="K5" s="31"/>
      <c r="L5" s="31"/>
      <c r="M5" s="10"/>
      <c r="N5" s="10"/>
      <c r="O5" s="10"/>
      <c r="P5" s="10"/>
      <c r="Q5" s="10"/>
      <c r="R5" s="10"/>
      <c r="S5" s="10"/>
      <c r="T5" s="10"/>
      <c r="U5" s="10"/>
      <c r="V5" s="10"/>
      <c r="W5" s="10"/>
      <c r="X5" s="10"/>
      <c r="Y5" s="10"/>
      <c r="Z5" s="10"/>
      <c r="AA5" s="10"/>
      <c r="AC5" s="10"/>
      <c r="AD5" s="10"/>
      <c r="AE5" s="10"/>
      <c r="AF5" s="10"/>
      <c r="AG5" s="10"/>
      <c r="AH5" s="10"/>
      <c r="AI5" s="10"/>
      <c r="AJ5" s="10"/>
      <c r="AK5" s="10"/>
      <c r="AL5" s="10"/>
      <c r="AM5" s="10"/>
      <c r="AN5" s="10"/>
      <c r="AO5" s="10"/>
      <c r="AP5" s="10"/>
      <c r="AQ5" s="10"/>
      <c r="AR5" s="10"/>
      <c r="AS5" s="10"/>
      <c r="AT5" s="10"/>
    </row>
    <row r="6" spans="1:51" ht="15" customHeight="1" x14ac:dyDescent="0.25">
      <c r="A6" s="5150" t="s">
        <v>0</v>
      </c>
      <c r="B6" s="5150"/>
      <c r="C6" s="5150"/>
      <c r="D6" s="5150"/>
      <c r="E6" s="5150"/>
      <c r="F6" s="5150"/>
      <c r="G6" s="5150"/>
      <c r="H6" s="5150"/>
      <c r="I6" s="5150"/>
      <c r="J6" s="5150"/>
      <c r="K6" s="5150"/>
      <c r="L6" s="5150"/>
      <c r="M6" s="5150"/>
      <c r="N6" s="5150"/>
      <c r="O6" s="5150"/>
      <c r="P6" s="5150"/>
      <c r="Q6" s="5150"/>
      <c r="R6" s="5150"/>
      <c r="S6" s="5150"/>
      <c r="T6" s="5150"/>
      <c r="U6" s="5150"/>
      <c r="V6" s="5150"/>
      <c r="W6" s="5150"/>
      <c r="X6" s="5150"/>
      <c r="Y6" s="5150"/>
      <c r="Z6" s="5150"/>
      <c r="AA6" s="5150"/>
      <c r="AB6" s="304" t="s">
        <v>20</v>
      </c>
      <c r="AC6" s="5150" t="s">
        <v>61</v>
      </c>
      <c r="AD6" s="5150"/>
      <c r="AE6" s="5150"/>
      <c r="AF6" s="5150"/>
      <c r="AG6" s="5150" t="s">
        <v>22</v>
      </c>
      <c r="AH6" s="5150"/>
      <c r="AI6" s="5150" t="s">
        <v>21</v>
      </c>
      <c r="AJ6" s="5150"/>
      <c r="AK6" s="117"/>
      <c r="AL6" s="5150" t="s">
        <v>507</v>
      </c>
      <c r="AM6" s="5150"/>
      <c r="AN6" s="5150"/>
      <c r="AO6" s="5150"/>
      <c r="AP6" s="5150"/>
      <c r="AQ6" s="5150"/>
      <c r="AR6" s="5150"/>
      <c r="AS6" s="5150"/>
      <c r="AT6" s="5150"/>
    </row>
    <row r="7" spans="1:51" s="18" customFormat="1" ht="159.94999999999999" customHeight="1" thickBot="1" x14ac:dyDescent="0.65">
      <c r="A7" s="15" t="s">
        <v>31</v>
      </c>
      <c r="B7" s="16" t="s">
        <v>32</v>
      </c>
      <c r="C7" s="16" t="s">
        <v>33</v>
      </c>
      <c r="D7" s="16" t="s">
        <v>34</v>
      </c>
      <c r="E7" s="16" t="s">
        <v>35</v>
      </c>
      <c r="F7" s="16" t="s">
        <v>36</v>
      </c>
      <c r="G7" s="16" t="s">
        <v>37</v>
      </c>
      <c r="H7" s="16" t="s">
        <v>38</v>
      </c>
      <c r="I7" s="16" t="s">
        <v>39</v>
      </c>
      <c r="J7" s="287" t="s">
        <v>175</v>
      </c>
      <c r="K7" s="287" t="s">
        <v>176</v>
      </c>
      <c r="L7" s="287" t="s">
        <v>177</v>
      </c>
      <c r="M7" s="16" t="s">
        <v>40</v>
      </c>
      <c r="N7" s="16" t="s">
        <v>41</v>
      </c>
      <c r="O7" s="16" t="s">
        <v>42</v>
      </c>
      <c r="P7" s="16" t="s">
        <v>43</v>
      </c>
      <c r="Q7" s="16" t="s">
        <v>44</v>
      </c>
      <c r="R7" s="16" t="s">
        <v>45</v>
      </c>
      <c r="S7" s="16" t="s">
        <v>46</v>
      </c>
      <c r="T7" s="16" t="s">
        <v>47</v>
      </c>
      <c r="U7" s="16" t="s">
        <v>48</v>
      </c>
      <c r="V7" s="16" t="s">
        <v>49</v>
      </c>
      <c r="W7" s="16" t="s">
        <v>50</v>
      </c>
      <c r="X7" s="16" t="s">
        <v>51</v>
      </c>
      <c r="Y7" s="16" t="s">
        <v>52</v>
      </c>
      <c r="Z7" s="16" t="s">
        <v>53</v>
      </c>
      <c r="AA7" s="118" t="s">
        <v>54</v>
      </c>
      <c r="AB7" s="103"/>
      <c r="AC7" s="119" t="s">
        <v>55</v>
      </c>
      <c r="AD7" s="16" t="s">
        <v>56</v>
      </c>
      <c r="AE7" s="16" t="s">
        <v>57</v>
      </c>
      <c r="AF7" s="118" t="s">
        <v>58</v>
      </c>
      <c r="AG7" s="15" t="s">
        <v>59</v>
      </c>
      <c r="AH7" s="118" t="s">
        <v>60</v>
      </c>
      <c r="AI7" s="15" t="s">
        <v>59</v>
      </c>
      <c r="AJ7" s="118" t="s">
        <v>60</v>
      </c>
      <c r="AK7" s="17" t="s">
        <v>62</v>
      </c>
      <c r="AL7" s="120" t="s">
        <v>63</v>
      </c>
      <c r="AM7" s="16" t="s">
        <v>64</v>
      </c>
      <c r="AN7" s="16" t="s">
        <v>65</v>
      </c>
      <c r="AO7" s="16" t="s">
        <v>66</v>
      </c>
      <c r="AP7" s="16" t="s">
        <v>67</v>
      </c>
      <c r="AQ7" s="16" t="s">
        <v>68</v>
      </c>
      <c r="AR7" s="121" t="s">
        <v>69</v>
      </c>
      <c r="AS7" s="121" t="s">
        <v>70</v>
      </c>
      <c r="AT7" s="118" t="s">
        <v>71</v>
      </c>
    </row>
    <row r="8" spans="1:51" ht="15" customHeight="1" x14ac:dyDescent="0.2">
      <c r="A8" s="20"/>
      <c r="B8" s="20"/>
      <c r="C8" s="20"/>
      <c r="D8" s="20"/>
      <c r="E8" s="20"/>
      <c r="F8" s="20"/>
      <c r="G8" s="20"/>
      <c r="H8" s="20"/>
      <c r="I8" s="20"/>
      <c r="J8" s="20"/>
      <c r="K8" s="20"/>
      <c r="L8" s="20"/>
      <c r="M8" s="20"/>
      <c r="N8" s="20"/>
      <c r="O8" s="20"/>
      <c r="P8" s="20"/>
      <c r="Q8" s="20"/>
      <c r="R8" s="20"/>
      <c r="S8" s="20"/>
      <c r="T8" s="20"/>
      <c r="U8" s="20"/>
      <c r="V8" s="20"/>
      <c r="W8" s="20"/>
      <c r="X8" s="20"/>
      <c r="Y8" s="20"/>
      <c r="Z8" s="20"/>
      <c r="AA8" s="25">
        <f t="shared" ref="AA8:AA80" si="0">SUM(A8:Z8)</f>
        <v>0</v>
      </c>
      <c r="AB8" s="93" t="s">
        <v>178</v>
      </c>
      <c r="AC8" s="20"/>
      <c r="AD8" s="20">
        <v>84.9</v>
      </c>
      <c r="AE8" s="20"/>
      <c r="AF8" s="197"/>
      <c r="AG8" s="356">
        <f t="shared" ref="AG8:AG11" si="1">-AH8/$D$2%</f>
        <v>-48.539088547192456</v>
      </c>
      <c r="AH8" s="357">
        <f>AK8/AD8%</f>
        <v>44.699646643109539</v>
      </c>
      <c r="AI8" s="30"/>
      <c r="AJ8" s="25"/>
      <c r="AK8" s="111">
        <f t="shared" ref="AK8:AK11" si="2">SUM(AL8:AT8)</f>
        <v>37.950000000000003</v>
      </c>
      <c r="AL8" s="342">
        <f>'E2020'!AL8*(1+'E-Tiltag'!G26)</f>
        <v>22.19</v>
      </c>
      <c r="AM8" s="24">
        <f>'E2020'!AM8</f>
        <v>3.03</v>
      </c>
      <c r="AN8" s="24">
        <f>'E2020'!AN8</f>
        <v>3.43</v>
      </c>
      <c r="AO8" s="24">
        <f>'E2020'!AO8</f>
        <v>3.93</v>
      </c>
      <c r="AP8" s="24">
        <f>'E2020'!AP8+'E-Tiltag'!G121/AD8%</f>
        <v>0</v>
      </c>
      <c r="AQ8" s="24">
        <f>'E2020'!AQ8</f>
        <v>0</v>
      </c>
      <c r="AR8" s="24">
        <f>'E2020'!AR8</f>
        <v>0</v>
      </c>
      <c r="AS8" s="24">
        <f>'E2020'!AS8</f>
        <v>5.37</v>
      </c>
      <c r="AT8" s="24">
        <f>'E2020'!AT8</f>
        <v>0</v>
      </c>
    </row>
    <row r="9" spans="1:51" ht="15" customHeight="1" x14ac:dyDescent="0.2">
      <c r="A9" s="20"/>
      <c r="B9" s="35"/>
      <c r="C9" s="35"/>
      <c r="D9" s="35"/>
      <c r="E9" s="35"/>
      <c r="F9" s="35"/>
      <c r="G9" s="35"/>
      <c r="H9" s="35"/>
      <c r="I9" s="35"/>
      <c r="J9" s="35"/>
      <c r="K9" s="35"/>
      <c r="L9" s="35"/>
      <c r="M9" s="35"/>
      <c r="N9" s="35"/>
      <c r="O9" s="35"/>
      <c r="P9" s="35"/>
      <c r="Q9" s="35"/>
      <c r="R9" s="35"/>
      <c r="S9" s="35"/>
      <c r="T9" s="35"/>
      <c r="U9" s="35"/>
      <c r="V9" s="35"/>
      <c r="W9" s="35"/>
      <c r="X9" s="35"/>
      <c r="Y9" s="35"/>
      <c r="Z9" s="35"/>
      <c r="AA9" s="25">
        <f t="shared" si="0"/>
        <v>0</v>
      </c>
      <c r="AB9" s="93" t="s">
        <v>2</v>
      </c>
      <c r="AC9" s="35"/>
      <c r="AD9" s="35"/>
      <c r="AE9" s="35">
        <v>90</v>
      </c>
      <c r="AF9" s="177"/>
      <c r="AG9" s="30">
        <f t="shared" si="1"/>
        <v>-1.0641763492235856</v>
      </c>
      <c r="AH9" s="25">
        <f>AK9/AE9%</f>
        <v>0.98</v>
      </c>
      <c r="AI9" s="30"/>
      <c r="AJ9" s="25"/>
      <c r="AK9" s="111">
        <f t="shared" si="2"/>
        <v>0.88200000000000001</v>
      </c>
      <c r="AL9" s="35">
        <f>'E2020'!AL9</f>
        <v>0.88200000000000001</v>
      </c>
      <c r="AM9" s="2"/>
      <c r="AN9" s="2"/>
      <c r="AO9" s="2"/>
      <c r="AP9" s="2"/>
      <c r="AQ9" s="2"/>
      <c r="AR9" s="2"/>
      <c r="AS9" s="2"/>
      <c r="AT9" s="8"/>
    </row>
    <row r="10" spans="1:51" ht="15" customHeight="1" x14ac:dyDescent="0.2">
      <c r="A10" s="24"/>
      <c r="B10" s="36"/>
      <c r="C10" s="36"/>
      <c r="D10" s="36"/>
      <c r="E10" s="36"/>
      <c r="F10" s="36"/>
      <c r="G10" s="36"/>
      <c r="H10" s="36"/>
      <c r="I10" s="36"/>
      <c r="J10" s="36"/>
      <c r="K10" s="36"/>
      <c r="L10" s="36"/>
      <c r="M10" s="36"/>
      <c r="N10" s="36"/>
      <c r="O10" s="36"/>
      <c r="P10" s="36"/>
      <c r="Q10" s="36"/>
      <c r="R10" s="35"/>
      <c r="S10" s="35"/>
      <c r="T10" s="35"/>
      <c r="U10" s="35"/>
      <c r="V10" s="35"/>
      <c r="W10" s="35"/>
      <c r="X10" s="35"/>
      <c r="Y10" s="35"/>
      <c r="Z10" s="35"/>
      <c r="AA10" s="25">
        <f t="shared" si="0"/>
        <v>0</v>
      </c>
      <c r="AB10" s="93" t="s">
        <v>3</v>
      </c>
      <c r="AC10" s="35"/>
      <c r="AD10" s="35"/>
      <c r="AE10" s="35">
        <v>100</v>
      </c>
      <c r="AF10" s="177"/>
      <c r="AG10" s="30">
        <f t="shared" si="1"/>
        <v>-5.0276903029644906</v>
      </c>
      <c r="AH10" s="25">
        <f>AK10/AE10%</f>
        <v>4.63</v>
      </c>
      <c r="AI10" s="30"/>
      <c r="AJ10" s="25"/>
      <c r="AK10" s="111">
        <f t="shared" si="2"/>
        <v>4.63</v>
      </c>
      <c r="AL10" s="36">
        <f>'E2020'!AL10</f>
        <v>4.63</v>
      </c>
      <c r="AM10" s="2"/>
      <c r="AN10" s="2"/>
      <c r="AO10" s="2"/>
      <c r="AP10" s="2"/>
      <c r="AQ10" s="2"/>
      <c r="AR10" s="2"/>
      <c r="AS10" s="2"/>
      <c r="AT10" s="8"/>
    </row>
    <row r="11" spans="1:51" ht="15" customHeight="1" x14ac:dyDescent="0.2">
      <c r="A11" s="24"/>
      <c r="B11" s="36"/>
      <c r="C11" s="36"/>
      <c r="D11" s="36"/>
      <c r="E11" s="36"/>
      <c r="F11" s="36"/>
      <c r="G11" s="36"/>
      <c r="H11" s="36"/>
      <c r="I11" s="36"/>
      <c r="J11" s="36"/>
      <c r="K11" s="36"/>
      <c r="L11" s="36"/>
      <c r="M11" s="36"/>
      <c r="N11" s="36"/>
      <c r="O11" s="36"/>
      <c r="P11" s="36"/>
      <c r="Q11" s="1">
        <f>AK11-AH11</f>
        <v>11.213055146666665</v>
      </c>
      <c r="R11" s="35"/>
      <c r="S11" s="35"/>
      <c r="T11" s="35"/>
      <c r="U11" s="35"/>
      <c r="V11" s="35"/>
      <c r="W11" s="35"/>
      <c r="X11" s="35"/>
      <c r="Y11" s="35"/>
      <c r="Z11" s="35"/>
      <c r="AA11" s="25">
        <f t="shared" si="0"/>
        <v>11.213055146666665</v>
      </c>
      <c r="AB11" s="93" t="s">
        <v>23</v>
      </c>
      <c r="AC11" s="35"/>
      <c r="AD11" s="35"/>
      <c r="AE11" s="35">
        <v>300</v>
      </c>
      <c r="AF11" s="177"/>
      <c r="AG11" s="30">
        <f t="shared" si="1"/>
        <v>-6.0880959640930969</v>
      </c>
      <c r="AH11" s="4314">
        <f>'E2020'!AH11*(1+'E-Tiltag'!$G$47)+(('E-Tiltag'!G59+'E-Tiltag'!G78)/AE11%)</f>
        <v>5.6065275733333335</v>
      </c>
      <c r="AI11" s="30"/>
      <c r="AJ11" s="25"/>
      <c r="AK11" s="111">
        <f t="shared" si="2"/>
        <v>16.81958272</v>
      </c>
      <c r="AL11" s="345">
        <f>AH11*AE11%</f>
        <v>16.81958272</v>
      </c>
      <c r="AM11" s="24"/>
      <c r="AN11" s="24"/>
      <c r="AO11" s="24"/>
      <c r="AP11" s="24"/>
      <c r="AQ11" s="24"/>
      <c r="AR11" s="24"/>
      <c r="AS11" s="24"/>
      <c r="AT11" s="25"/>
    </row>
    <row r="12" spans="1:51" ht="15" customHeight="1" x14ac:dyDescent="0.2">
      <c r="A12" s="108">
        <f>AC12%*AG12</f>
        <v>41.350662801028506</v>
      </c>
      <c r="B12" s="36"/>
      <c r="C12" s="36"/>
      <c r="D12" s="36"/>
      <c r="E12" s="36"/>
      <c r="F12" s="36"/>
      <c r="G12" s="36"/>
      <c r="H12" s="36"/>
      <c r="I12" s="36"/>
      <c r="J12" s="36"/>
      <c r="K12" s="36"/>
      <c r="L12" s="36"/>
      <c r="M12" s="36"/>
      <c r="N12" s="36"/>
      <c r="O12" s="36"/>
      <c r="P12" s="36"/>
      <c r="Q12" s="36"/>
      <c r="R12" s="35"/>
      <c r="S12" s="35"/>
      <c r="T12" s="35"/>
      <c r="U12" s="35"/>
      <c r="V12" s="35"/>
      <c r="W12" s="35"/>
      <c r="X12" s="35"/>
      <c r="Y12" s="35"/>
      <c r="Z12" s="35"/>
      <c r="AA12" s="25">
        <f t="shared" si="0"/>
        <v>41.350662801028506</v>
      </c>
      <c r="AB12" s="93" t="s">
        <v>10</v>
      </c>
      <c r="AC12" s="35">
        <v>100</v>
      </c>
      <c r="AD12" s="35"/>
      <c r="AE12" s="35"/>
      <c r="AF12" s="177"/>
      <c r="AG12" s="30">
        <f>-SUM(AG13:AG80,AG8:AG11)</f>
        <v>41.350662801028506</v>
      </c>
      <c r="AH12" s="303"/>
      <c r="AI12" s="30"/>
      <c r="AJ12" s="25"/>
      <c r="AK12" s="111">
        <f t="shared" ref="AK12:AK43" si="3">SUM(AL12:AT12)</f>
        <v>0</v>
      </c>
      <c r="AL12" s="30"/>
      <c r="AM12" s="24"/>
      <c r="AN12" s="24"/>
      <c r="AO12" s="24"/>
      <c r="AP12" s="24"/>
      <c r="AQ12" s="24"/>
      <c r="AR12" s="24"/>
      <c r="AS12" s="24"/>
      <c r="AT12" s="25"/>
    </row>
    <row r="13" spans="1:51" ht="15" customHeight="1" x14ac:dyDescent="0.2">
      <c r="A13" s="20"/>
      <c r="B13" s="35">
        <f>'E2020'!B13</f>
        <v>0.81</v>
      </c>
      <c r="C13" s="35"/>
      <c r="D13" s="35"/>
      <c r="E13" s="35"/>
      <c r="F13" s="35"/>
      <c r="G13" s="35"/>
      <c r="H13" s="35"/>
      <c r="I13" s="35"/>
      <c r="J13" s="35"/>
      <c r="K13" s="35"/>
      <c r="L13" s="35"/>
      <c r="M13" s="35"/>
      <c r="N13" s="35"/>
      <c r="O13" s="35"/>
      <c r="P13" s="35"/>
      <c r="Q13" s="35"/>
      <c r="R13" s="35"/>
      <c r="S13" s="35"/>
      <c r="T13" s="35"/>
      <c r="U13" s="35"/>
      <c r="V13" s="35"/>
      <c r="W13" s="35"/>
      <c r="X13" s="35"/>
      <c r="Y13" s="35"/>
      <c r="Z13" s="35"/>
      <c r="AA13" s="25">
        <f t="shared" si="0"/>
        <v>0.81</v>
      </c>
      <c r="AB13" s="123" t="s">
        <v>29</v>
      </c>
      <c r="AC13" s="35"/>
      <c r="AD13" s="35"/>
      <c r="AE13" s="35">
        <v>38</v>
      </c>
      <c r="AF13" s="177"/>
      <c r="AG13" s="293"/>
      <c r="AH13" s="303"/>
      <c r="AI13" s="122"/>
      <c r="AJ13" s="300"/>
      <c r="AK13" s="111">
        <f t="shared" si="3"/>
        <v>0.30780000000000002</v>
      </c>
      <c r="AL13" s="364">
        <f>AA13*AE13%*20%</f>
        <v>6.1560000000000004E-2</v>
      </c>
      <c r="AM13" s="365"/>
      <c r="AN13" s="365"/>
      <c r="AO13" s="365"/>
      <c r="AP13" s="365"/>
      <c r="AQ13" s="365">
        <f>AA13*AE13%*60%</f>
        <v>0.18468000000000001</v>
      </c>
      <c r="AR13" s="365"/>
      <c r="AS13" s="365"/>
      <c r="AT13" s="366">
        <f>AA13*AE13%*20%</f>
        <v>6.1560000000000004E-2</v>
      </c>
    </row>
    <row r="14" spans="1:51" ht="15" customHeight="1" x14ac:dyDescent="0.2">
      <c r="A14" s="20"/>
      <c r="B14" s="35"/>
      <c r="C14" s="35"/>
      <c r="D14" s="35"/>
      <c r="E14" s="345">
        <f>'E-Tiltag'!G52*(1+'E-Tiltag'!$G$47)</f>
        <v>4.7154144400000009</v>
      </c>
      <c r="F14" s="35"/>
      <c r="G14" s="35"/>
      <c r="H14" s="35"/>
      <c r="I14" s="35"/>
      <c r="J14" s="35"/>
      <c r="K14" s="35"/>
      <c r="L14" s="35"/>
      <c r="M14" s="35"/>
      <c r="N14" s="35"/>
      <c r="O14" s="35"/>
      <c r="P14" s="35"/>
      <c r="Q14" s="35"/>
      <c r="R14" s="35"/>
      <c r="S14" s="35"/>
      <c r="T14" s="35"/>
      <c r="U14" s="35"/>
      <c r="V14" s="35"/>
      <c r="W14" s="35"/>
      <c r="X14" s="35"/>
      <c r="Y14" s="35"/>
      <c r="Z14" s="35"/>
      <c r="AA14" s="25">
        <f t="shared" si="0"/>
        <v>4.7154144400000009</v>
      </c>
      <c r="AB14" s="93" t="s">
        <v>209</v>
      </c>
      <c r="AC14" s="35"/>
      <c r="AD14" s="35"/>
      <c r="AE14" s="35">
        <v>80</v>
      </c>
      <c r="AF14" s="177"/>
      <c r="AG14" s="293"/>
      <c r="AH14" s="303"/>
      <c r="AI14" s="30"/>
      <c r="AJ14" s="25"/>
      <c r="AK14" s="111">
        <f t="shared" si="3"/>
        <v>3.7723315520000007</v>
      </c>
      <c r="AL14" s="302">
        <f t="shared" ref="AL14:AL19" si="4">AA14*AE14%</f>
        <v>3.7723315520000007</v>
      </c>
      <c r="AM14" s="24"/>
      <c r="AN14" s="24"/>
      <c r="AO14" s="24"/>
      <c r="AP14" s="24"/>
      <c r="AQ14" s="24"/>
      <c r="AR14" s="24"/>
      <c r="AS14" s="24"/>
      <c r="AT14" s="25"/>
      <c r="AY14" s="23"/>
    </row>
    <row r="15" spans="1:51" ht="15" customHeight="1" x14ac:dyDescent="0.2">
      <c r="A15" s="20"/>
      <c r="B15" s="35"/>
      <c r="C15" s="35"/>
      <c r="D15" s="35"/>
      <c r="E15" s="35"/>
      <c r="F15" s="35"/>
      <c r="G15" s="35"/>
      <c r="H15" s="35"/>
      <c r="I15" s="36">
        <f>'E-Tiltag'!G66*(1+'E-Tiltag'!$G$47)</f>
        <v>0</v>
      </c>
      <c r="J15" s="35"/>
      <c r="K15" s="35"/>
      <c r="L15" s="35"/>
      <c r="M15" s="35"/>
      <c r="N15" s="35"/>
      <c r="O15" s="35"/>
      <c r="P15" s="35"/>
      <c r="Q15" s="35"/>
      <c r="R15" s="35"/>
      <c r="S15" s="35"/>
      <c r="T15" s="35"/>
      <c r="U15" s="35"/>
      <c r="V15" s="35"/>
      <c r="W15" s="35"/>
      <c r="X15" s="35"/>
      <c r="Y15" s="35"/>
      <c r="Z15" s="35"/>
      <c r="AA15" s="25">
        <f t="shared" si="0"/>
        <v>0</v>
      </c>
      <c r="AB15" s="93" t="s">
        <v>210</v>
      </c>
      <c r="AC15" s="35"/>
      <c r="AD15" s="35"/>
      <c r="AE15" s="35">
        <v>85</v>
      </c>
      <c r="AF15" s="177"/>
      <c r="AG15" s="293"/>
      <c r="AH15" s="303"/>
      <c r="AI15" s="30"/>
      <c r="AJ15" s="25"/>
      <c r="AK15" s="111">
        <f t="shared" si="3"/>
        <v>0</v>
      </c>
      <c r="AL15" s="302">
        <f t="shared" si="4"/>
        <v>0</v>
      </c>
      <c r="AM15" s="24"/>
      <c r="AN15" s="24"/>
      <c r="AO15" s="24"/>
      <c r="AP15" s="24"/>
      <c r="AQ15" s="24"/>
      <c r="AR15" s="24"/>
      <c r="AS15" s="24"/>
      <c r="AT15" s="25"/>
      <c r="AY15" s="23"/>
    </row>
    <row r="16" spans="1:51" ht="15" customHeight="1" x14ac:dyDescent="0.2">
      <c r="A16" s="20"/>
      <c r="B16" s="35"/>
      <c r="C16" s="35"/>
      <c r="D16" s="35"/>
      <c r="E16" s="35"/>
      <c r="F16" s="35"/>
      <c r="G16" s="35"/>
      <c r="H16" s="35"/>
      <c r="I16" s="35"/>
      <c r="J16" s="35"/>
      <c r="K16" s="35"/>
      <c r="L16" s="35"/>
      <c r="M16" s="35"/>
      <c r="N16" s="35"/>
      <c r="O16" s="35"/>
      <c r="P16" s="35"/>
      <c r="Q16" s="35"/>
      <c r="R16" s="35"/>
      <c r="S16" s="35"/>
      <c r="T16" s="35"/>
      <c r="U16" s="35"/>
      <c r="V16" s="345">
        <f>'E2020'!V16*(1+'E-Tiltag'!$G$47)+('E-Tiltag'!$G$60)/AE16%</f>
        <v>22.35842757333333</v>
      </c>
      <c r="W16" s="35"/>
      <c r="X16" s="35"/>
      <c r="Y16" s="35"/>
      <c r="Z16" s="35"/>
      <c r="AA16" s="25">
        <f t="shared" si="0"/>
        <v>22.35842757333333</v>
      </c>
      <c r="AB16" s="93" t="s">
        <v>211</v>
      </c>
      <c r="AC16" s="35"/>
      <c r="AD16" s="35"/>
      <c r="AE16" s="35">
        <v>75</v>
      </c>
      <c r="AF16" s="177"/>
      <c r="AG16" s="293"/>
      <c r="AH16" s="303"/>
      <c r="AI16" s="30"/>
      <c r="AJ16" s="25"/>
      <c r="AK16" s="111">
        <f t="shared" si="3"/>
        <v>16.768820679999997</v>
      </c>
      <c r="AL16" s="302">
        <f t="shared" si="4"/>
        <v>16.768820679999997</v>
      </c>
      <c r="AM16" s="24"/>
      <c r="AN16" s="24"/>
      <c r="AO16" s="24"/>
      <c r="AP16" s="24"/>
      <c r="AQ16" s="24"/>
      <c r="AR16" s="24"/>
      <c r="AS16" s="24"/>
      <c r="AT16" s="25"/>
      <c r="AY16" s="23"/>
    </row>
    <row r="17" spans="1:51" ht="15" customHeight="1" x14ac:dyDescent="0.2">
      <c r="A17" s="20"/>
      <c r="B17" s="35"/>
      <c r="C17" s="35"/>
      <c r="D17" s="35"/>
      <c r="E17" s="35"/>
      <c r="F17" s="35"/>
      <c r="G17" s="35"/>
      <c r="H17" s="35"/>
      <c r="I17" s="35"/>
      <c r="J17" s="35"/>
      <c r="K17" s="35"/>
      <c r="L17" s="35"/>
      <c r="M17" s="35"/>
      <c r="N17" s="35"/>
      <c r="O17" s="35"/>
      <c r="P17" s="35"/>
      <c r="Q17" s="35"/>
      <c r="R17" s="35"/>
      <c r="S17" s="35"/>
      <c r="T17" s="35"/>
      <c r="U17" s="345">
        <f>'E2020'!U17*(1+'E-Tiltag'!$G$47)</f>
        <v>48.247799999999998</v>
      </c>
      <c r="V17" s="35"/>
      <c r="W17" s="35"/>
      <c r="X17" s="35"/>
      <c r="Y17" s="35"/>
      <c r="Z17" s="35"/>
      <c r="AA17" s="25">
        <f t="shared" si="0"/>
        <v>48.247799999999998</v>
      </c>
      <c r="AB17" s="93" t="s">
        <v>212</v>
      </c>
      <c r="AC17" s="35"/>
      <c r="AD17" s="35"/>
      <c r="AE17" s="35">
        <v>65</v>
      </c>
      <c r="AF17" s="177"/>
      <c r="AG17" s="293"/>
      <c r="AH17" s="303"/>
      <c r="AI17" s="30"/>
      <c r="AJ17" s="25"/>
      <c r="AK17" s="111">
        <f t="shared" si="3"/>
        <v>31.361070000000002</v>
      </c>
      <c r="AL17" s="302">
        <f t="shared" si="4"/>
        <v>31.361070000000002</v>
      </c>
      <c r="AM17" s="24"/>
      <c r="AN17" s="24"/>
      <c r="AO17" s="24"/>
      <c r="AP17" s="24"/>
      <c r="AQ17" s="24"/>
      <c r="AR17" s="24"/>
      <c r="AS17" s="24"/>
      <c r="AT17" s="25"/>
      <c r="AV17" s="23"/>
    </row>
    <row r="18" spans="1:51" ht="15" customHeight="1" x14ac:dyDescent="0.2">
      <c r="A18" s="20"/>
      <c r="B18" s="35"/>
      <c r="C18" s="35"/>
      <c r="D18" s="35"/>
      <c r="E18" s="35"/>
      <c r="F18" s="35"/>
      <c r="G18" s="35"/>
      <c r="H18" s="35"/>
      <c r="I18" s="35"/>
      <c r="J18" s="35"/>
      <c r="K18" s="35"/>
      <c r="L18" s="35"/>
      <c r="M18" s="35"/>
      <c r="N18" s="35"/>
      <c r="O18" s="35"/>
      <c r="P18" s="35"/>
      <c r="Q18" s="35"/>
      <c r="R18" s="35"/>
      <c r="S18" s="35"/>
      <c r="T18" s="345">
        <f>'E2020'!T18*(1+'E-Tiltag'!$G$47)</f>
        <v>8.8366999999999987</v>
      </c>
      <c r="U18" s="35"/>
      <c r="V18" s="35"/>
      <c r="W18" s="35"/>
      <c r="X18" s="35"/>
      <c r="Y18" s="35"/>
      <c r="Z18" s="35"/>
      <c r="AA18" s="25">
        <f t="shared" si="0"/>
        <v>8.8366999999999987</v>
      </c>
      <c r="AB18" s="93" t="s">
        <v>213</v>
      </c>
      <c r="AC18" s="35"/>
      <c r="AD18" s="35"/>
      <c r="AE18" s="35">
        <v>65</v>
      </c>
      <c r="AF18" s="177"/>
      <c r="AG18" s="293"/>
      <c r="AH18" s="303"/>
      <c r="AI18" s="30"/>
      <c r="AJ18" s="25"/>
      <c r="AK18" s="111">
        <f t="shared" si="3"/>
        <v>5.743854999999999</v>
      </c>
      <c r="AL18" s="302">
        <f t="shared" si="4"/>
        <v>5.743854999999999</v>
      </c>
      <c r="AM18" s="24"/>
      <c r="AN18" s="24"/>
      <c r="AO18" s="24"/>
      <c r="AP18" s="24"/>
      <c r="AQ18" s="24"/>
      <c r="AR18" s="24"/>
      <c r="AS18" s="24"/>
      <c r="AT18" s="25"/>
      <c r="AV18" s="23"/>
    </row>
    <row r="19" spans="1:51" ht="15" customHeight="1" x14ac:dyDescent="0.2">
      <c r="A19" s="20"/>
      <c r="B19" s="35"/>
      <c r="C19" s="35"/>
      <c r="D19" s="35"/>
      <c r="E19" s="35"/>
      <c r="F19" s="35"/>
      <c r="G19" s="35"/>
      <c r="H19" s="35"/>
      <c r="I19" s="35"/>
      <c r="J19" s="35"/>
      <c r="K19" s="35"/>
      <c r="L19" s="35"/>
      <c r="M19" s="35"/>
      <c r="N19" s="35"/>
      <c r="O19" s="345">
        <f>'E2020'!O19*(1+'E-Tiltag'!$G$47)</f>
        <v>0.91179999999999994</v>
      </c>
      <c r="P19" s="35"/>
      <c r="Q19" s="35"/>
      <c r="R19" s="35"/>
      <c r="S19" s="35"/>
      <c r="T19" s="35"/>
      <c r="U19" s="35"/>
      <c r="V19" s="35"/>
      <c r="W19" s="35"/>
      <c r="X19" s="35"/>
      <c r="Y19" s="35"/>
      <c r="Z19" s="35"/>
      <c r="AA19" s="25">
        <f t="shared" si="0"/>
        <v>0.91179999999999994</v>
      </c>
      <c r="AB19" s="93" t="s">
        <v>214</v>
      </c>
      <c r="AC19" s="35"/>
      <c r="AD19" s="35"/>
      <c r="AE19" s="35">
        <v>100</v>
      </c>
      <c r="AF19" s="177"/>
      <c r="AG19" s="293"/>
      <c r="AH19" s="303"/>
      <c r="AI19" s="30"/>
      <c r="AJ19" s="25"/>
      <c r="AK19" s="111">
        <f t="shared" si="3"/>
        <v>0.91179999999999994</v>
      </c>
      <c r="AL19" s="302">
        <f t="shared" si="4"/>
        <v>0.91179999999999994</v>
      </c>
      <c r="AM19" s="24"/>
      <c r="AN19" s="24"/>
      <c r="AO19" s="24"/>
      <c r="AP19" s="24"/>
      <c r="AQ19" s="24"/>
      <c r="AR19" s="24"/>
      <c r="AS19" s="24"/>
      <c r="AT19" s="25"/>
      <c r="AY19" s="23"/>
    </row>
    <row r="20" spans="1:51" ht="15" customHeight="1" x14ac:dyDescent="0.2">
      <c r="A20" s="20"/>
      <c r="B20" s="35"/>
      <c r="C20" s="35"/>
      <c r="D20" s="35"/>
      <c r="E20" s="35">
        <f>'E2020'!E20*(1-'E-Tiltag'!$G$112)</f>
        <v>0</v>
      </c>
      <c r="F20" s="35"/>
      <c r="G20" s="35"/>
      <c r="H20" s="35"/>
      <c r="I20" s="35"/>
      <c r="J20" s="35"/>
      <c r="K20" s="35"/>
      <c r="L20" s="35"/>
      <c r="M20" s="35"/>
      <c r="N20" s="35"/>
      <c r="O20" s="35"/>
      <c r="P20" s="35"/>
      <c r="Q20" s="35"/>
      <c r="R20" s="35"/>
      <c r="S20" s="35"/>
      <c r="T20" s="35"/>
      <c r="U20" s="35"/>
      <c r="V20" s="35"/>
      <c r="W20" s="35"/>
      <c r="X20" s="35"/>
      <c r="Y20" s="35"/>
      <c r="Z20" s="35"/>
      <c r="AA20" s="25">
        <f t="shared" si="0"/>
        <v>0</v>
      </c>
      <c r="AB20" s="93" t="s">
        <v>24</v>
      </c>
      <c r="AC20" s="35"/>
      <c r="AD20" s="35">
        <v>90</v>
      </c>
      <c r="AE20" s="35"/>
      <c r="AF20" s="177"/>
      <c r="AG20" s="293"/>
      <c r="AH20" s="303"/>
      <c r="AI20" s="30"/>
      <c r="AJ20" s="25"/>
      <c r="AK20" s="111">
        <f t="shared" si="3"/>
        <v>0</v>
      </c>
      <c r="AL20" s="302"/>
      <c r="AM20" s="24"/>
      <c r="AN20" s="24"/>
      <c r="AO20" s="24"/>
      <c r="AP20" s="24"/>
      <c r="AQ20" s="24">
        <f>AA20*AD20%</f>
        <v>0</v>
      </c>
      <c r="AR20" s="24"/>
      <c r="AS20" s="24"/>
      <c r="AT20" s="25"/>
      <c r="AV20" s="23"/>
    </row>
    <row r="21" spans="1:51" ht="15" customHeight="1" x14ac:dyDescent="0.2">
      <c r="A21" s="20"/>
      <c r="B21" s="35"/>
      <c r="C21" s="35"/>
      <c r="D21" s="35"/>
      <c r="E21" s="35"/>
      <c r="F21" s="35"/>
      <c r="G21" s="35"/>
      <c r="H21" s="35"/>
      <c r="I21" s="35">
        <f>'E-Tiltag'!G89</f>
        <v>0</v>
      </c>
      <c r="J21" s="35"/>
      <c r="K21" s="35"/>
      <c r="L21" s="35"/>
      <c r="M21" s="35"/>
      <c r="N21" s="35"/>
      <c r="O21" s="35"/>
      <c r="P21" s="35"/>
      <c r="Q21" s="35"/>
      <c r="R21" s="35"/>
      <c r="S21" s="35"/>
      <c r="T21" s="35"/>
      <c r="U21" s="35"/>
      <c r="V21" s="35"/>
      <c r="W21" s="35"/>
      <c r="X21" s="35"/>
      <c r="Y21" s="35"/>
      <c r="Z21" s="35"/>
      <c r="AA21" s="25">
        <f t="shared" si="0"/>
        <v>0</v>
      </c>
      <c r="AB21" s="93" t="s">
        <v>25</v>
      </c>
      <c r="AC21" s="35"/>
      <c r="AD21" s="35">
        <v>90</v>
      </c>
      <c r="AE21" s="35"/>
      <c r="AF21" s="177"/>
      <c r="AG21" s="293"/>
      <c r="AH21" s="303"/>
      <c r="AI21" s="30"/>
      <c r="AJ21" s="25"/>
      <c r="AK21" s="111">
        <f t="shared" si="3"/>
        <v>0</v>
      </c>
      <c r="AL21" s="302"/>
      <c r="AM21" s="24"/>
      <c r="AN21" s="24"/>
      <c r="AO21" s="24"/>
      <c r="AP21" s="24"/>
      <c r="AQ21" s="24">
        <f>AA21*AD21%</f>
        <v>0</v>
      </c>
      <c r="AR21" s="24"/>
      <c r="AS21" s="24"/>
      <c r="AT21" s="25"/>
      <c r="AV21" s="23"/>
    </row>
    <row r="22" spans="1:51" ht="15" customHeight="1" x14ac:dyDescent="0.2">
      <c r="A22" s="20"/>
      <c r="B22" s="35">
        <f>'E2020'!B22*(1-'E-Tiltag'!$G$113)</f>
        <v>0</v>
      </c>
      <c r="C22" s="35">
        <f>'E2020'!C22*(1-'E-Tiltag'!$G$113)</f>
        <v>0</v>
      </c>
      <c r="D22" s="35">
        <f>'E2020'!D22*(1-'E-Tiltag'!$G$113)</f>
        <v>0</v>
      </c>
      <c r="E22" s="35">
        <f>'E2020'!E22*(1-'E-Tiltag'!$G$113)</f>
        <v>0</v>
      </c>
      <c r="F22" s="35">
        <f>'E2020'!F22*(1-'E-Tiltag'!$G$113)</f>
        <v>0</v>
      </c>
      <c r="G22" s="35">
        <f>'E2020'!G22*(1-'E-Tiltag'!$G$113)</f>
        <v>0</v>
      </c>
      <c r="H22" s="35">
        <f>'E2020'!H22*(1-'E-Tiltag'!$G$113)</f>
        <v>0</v>
      </c>
      <c r="I22" s="35">
        <f>'E2020'!I22*(1-'E-Tiltag'!$G$113)+'E-Tiltag'!$G$123</f>
        <v>0</v>
      </c>
      <c r="J22" s="35"/>
      <c r="K22" s="35"/>
      <c r="L22" s="35"/>
      <c r="M22" s="35"/>
      <c r="N22" s="35"/>
      <c r="O22" s="35"/>
      <c r="P22" s="35"/>
      <c r="Q22" s="35"/>
      <c r="R22" s="35">
        <v>0</v>
      </c>
      <c r="S22" s="35">
        <v>0</v>
      </c>
      <c r="T22" s="35">
        <v>0</v>
      </c>
      <c r="U22" s="35">
        <f>'E2020'!U22+'E-Tiltag'!$G$122</f>
        <v>0</v>
      </c>
      <c r="V22" s="35">
        <f>'E2020'!V22</f>
        <v>10</v>
      </c>
      <c r="W22" s="35">
        <v>0</v>
      </c>
      <c r="X22" s="35">
        <v>0</v>
      </c>
      <c r="Y22" s="35">
        <v>0</v>
      </c>
      <c r="Z22" s="35">
        <v>0</v>
      </c>
      <c r="AA22" s="25">
        <f t="shared" si="0"/>
        <v>10</v>
      </c>
      <c r="AB22" s="93" t="s">
        <v>512</v>
      </c>
      <c r="AC22" s="35"/>
      <c r="AD22" s="35">
        <v>90</v>
      </c>
      <c r="AE22" s="35"/>
      <c r="AF22" s="177"/>
      <c r="AG22" s="293"/>
      <c r="AH22" s="303"/>
      <c r="AI22" s="30"/>
      <c r="AJ22" s="25"/>
      <c r="AK22" s="111">
        <f t="shared" si="3"/>
        <v>9</v>
      </c>
      <c r="AL22" s="302"/>
      <c r="AM22" s="24"/>
      <c r="AN22" s="24"/>
      <c r="AO22" s="24"/>
      <c r="AP22" s="24"/>
      <c r="AQ22" s="24">
        <f>AA22*AD22%</f>
        <v>9</v>
      </c>
      <c r="AR22" s="24"/>
      <c r="AS22" s="24"/>
      <c r="AT22" s="25"/>
      <c r="AY22" s="23"/>
    </row>
    <row r="23" spans="1:51" ht="15" customHeight="1" x14ac:dyDescent="0.2">
      <c r="A23" s="20"/>
      <c r="B23" s="35"/>
      <c r="C23" s="35"/>
      <c r="D23" s="35"/>
      <c r="E23" s="35"/>
      <c r="F23" s="35"/>
      <c r="G23" s="35"/>
      <c r="H23" s="35"/>
      <c r="I23" s="35"/>
      <c r="J23" s="35"/>
      <c r="K23" s="35"/>
      <c r="L23" s="35"/>
      <c r="M23" s="35"/>
      <c r="N23" s="35"/>
      <c r="O23" s="345">
        <f>'E2020'!O23+'E-Tiltag'!S40</f>
        <v>26.16</v>
      </c>
      <c r="P23" s="35"/>
      <c r="Q23" s="35"/>
      <c r="R23" s="35"/>
      <c r="S23" s="35"/>
      <c r="T23" s="35"/>
      <c r="U23" s="35"/>
      <c r="V23" s="35"/>
      <c r="W23" s="35"/>
      <c r="X23" s="35"/>
      <c r="Y23" s="35"/>
      <c r="Z23" s="35"/>
      <c r="AA23" s="25">
        <f t="shared" si="0"/>
        <v>26.16</v>
      </c>
      <c r="AB23" s="93" t="s">
        <v>14</v>
      </c>
      <c r="AC23" s="35">
        <v>100</v>
      </c>
      <c r="AD23" s="35"/>
      <c r="AE23" s="35"/>
      <c r="AF23" s="177"/>
      <c r="AG23" s="30">
        <f>AA23*AC23/100</f>
        <v>26.16</v>
      </c>
      <c r="AH23" s="303"/>
      <c r="AI23" s="30"/>
      <c r="AJ23" s="25"/>
      <c r="AK23" s="111">
        <f t="shared" si="3"/>
        <v>0</v>
      </c>
      <c r="AL23" s="302"/>
      <c r="AM23" s="24"/>
      <c r="AN23" s="24"/>
      <c r="AO23" s="24"/>
      <c r="AP23" s="24"/>
      <c r="AQ23" s="24"/>
      <c r="AR23" s="24"/>
      <c r="AS23" s="24"/>
      <c r="AT23" s="25"/>
      <c r="AV23" s="23"/>
    </row>
    <row r="24" spans="1:51" ht="15" customHeight="1" x14ac:dyDescent="0.2">
      <c r="A24" s="20"/>
      <c r="B24" s="35"/>
      <c r="C24" s="35"/>
      <c r="D24" s="35"/>
      <c r="E24" s="35"/>
      <c r="F24" s="35"/>
      <c r="G24" s="35"/>
      <c r="H24" s="35"/>
      <c r="I24" s="35"/>
      <c r="J24" s="35"/>
      <c r="K24" s="35"/>
      <c r="L24" s="35"/>
      <c r="M24" s="345">
        <f>'E-Tiltag'!S12+'E-Tiltag'!S21</f>
        <v>0</v>
      </c>
      <c r="N24" s="35"/>
      <c r="O24" s="35"/>
      <c r="P24" s="35"/>
      <c r="Q24" s="35"/>
      <c r="R24" s="35"/>
      <c r="S24" s="35"/>
      <c r="T24" s="35"/>
      <c r="U24" s="35"/>
      <c r="V24" s="35"/>
      <c r="W24" s="35"/>
      <c r="X24" s="35"/>
      <c r="Y24" s="35"/>
      <c r="Z24" s="35"/>
      <c r="AA24" s="25">
        <f t="shared" si="0"/>
        <v>0</v>
      </c>
      <c r="AB24" s="93" t="s">
        <v>26</v>
      </c>
      <c r="AC24" s="35">
        <v>100</v>
      </c>
      <c r="AD24" s="35"/>
      <c r="AE24" s="35"/>
      <c r="AF24" s="177"/>
      <c r="AG24" s="30">
        <f>AC24*AA24/100</f>
        <v>0</v>
      </c>
      <c r="AH24" s="303"/>
      <c r="AI24" s="30"/>
      <c r="AJ24" s="25"/>
      <c r="AK24" s="111">
        <f t="shared" si="3"/>
        <v>0</v>
      </c>
      <c r="AL24" s="302"/>
      <c r="AM24" s="24"/>
      <c r="AN24" s="24"/>
      <c r="AO24" s="24"/>
      <c r="AP24" s="24"/>
      <c r="AQ24" s="24"/>
      <c r="AR24" s="24"/>
      <c r="AS24" s="24"/>
      <c r="AT24" s="25"/>
      <c r="AU24" s="29"/>
      <c r="AV24" s="23"/>
    </row>
    <row r="25" spans="1:51" ht="15" customHeight="1" x14ac:dyDescent="0.2">
      <c r="A25" s="20"/>
      <c r="B25" s="35"/>
      <c r="C25" s="35"/>
      <c r="D25" s="35"/>
      <c r="E25" s="35"/>
      <c r="F25" s="35"/>
      <c r="G25" s="35"/>
      <c r="H25" s="35"/>
      <c r="I25" s="35"/>
      <c r="J25" s="35"/>
      <c r="K25" s="35"/>
      <c r="L25" s="35"/>
      <c r="M25" s="35">
        <f>+'E-Tiltag'!S28*50%</f>
        <v>0</v>
      </c>
      <c r="N25" s="35"/>
      <c r="O25" s="35"/>
      <c r="P25" s="35"/>
      <c r="Q25" s="35"/>
      <c r="R25" s="35"/>
      <c r="S25" s="35"/>
      <c r="T25" s="35"/>
      <c r="U25" s="35"/>
      <c r="V25" s="35"/>
      <c r="W25" s="35"/>
      <c r="X25" s="35"/>
      <c r="Y25" s="35"/>
      <c r="Z25" s="35"/>
      <c r="AA25" s="25">
        <f t="shared" si="0"/>
        <v>0</v>
      </c>
      <c r="AB25" s="93" t="s">
        <v>74</v>
      </c>
      <c r="AC25" s="35">
        <v>100</v>
      </c>
      <c r="AD25" s="35"/>
      <c r="AE25" s="35"/>
      <c r="AF25" s="177"/>
      <c r="AG25" s="30">
        <f>AC25*AA25/100</f>
        <v>0</v>
      </c>
      <c r="AH25" s="303"/>
      <c r="AI25" s="30"/>
      <c r="AJ25" s="25"/>
      <c r="AK25" s="111">
        <f t="shared" si="3"/>
        <v>0</v>
      </c>
      <c r="AL25" s="302"/>
      <c r="AM25" s="24"/>
      <c r="AN25" s="24"/>
      <c r="AO25" s="24"/>
      <c r="AP25" s="24"/>
      <c r="AQ25" s="24"/>
      <c r="AR25" s="24"/>
      <c r="AS25" s="24"/>
      <c r="AT25" s="25"/>
      <c r="AY25" s="23"/>
    </row>
    <row r="26" spans="1:51" ht="15" customHeight="1" x14ac:dyDescent="0.2">
      <c r="A26" s="20"/>
      <c r="B26" s="35"/>
      <c r="C26" s="35"/>
      <c r="D26" s="35"/>
      <c r="E26" s="35"/>
      <c r="F26" s="35"/>
      <c r="G26" s="35"/>
      <c r="H26" s="35"/>
      <c r="I26" s="35"/>
      <c r="J26" s="35"/>
      <c r="K26" s="35"/>
      <c r="L26" s="35"/>
      <c r="M26" s="35"/>
      <c r="N26" s="35">
        <f>'E2020'!N26</f>
        <v>0</v>
      </c>
      <c r="O26" s="35"/>
      <c r="P26" s="35"/>
      <c r="Q26" s="35"/>
      <c r="R26" s="35"/>
      <c r="S26" s="35"/>
      <c r="T26" s="35"/>
      <c r="U26" s="35"/>
      <c r="V26" s="35"/>
      <c r="W26" s="35"/>
      <c r="X26" s="35"/>
      <c r="Y26" s="35"/>
      <c r="Z26" s="35"/>
      <c r="AA26" s="25">
        <f t="shared" si="0"/>
        <v>0</v>
      </c>
      <c r="AB26" s="93" t="s">
        <v>513</v>
      </c>
      <c r="AC26" s="35">
        <v>100</v>
      </c>
      <c r="AD26" s="35"/>
      <c r="AE26" s="35"/>
      <c r="AF26" s="177"/>
      <c r="AG26" s="30">
        <f>AC26*AA26/100</f>
        <v>0</v>
      </c>
      <c r="AH26" s="303"/>
      <c r="AI26" s="30"/>
      <c r="AJ26" s="25"/>
      <c r="AK26" s="111">
        <f t="shared" si="3"/>
        <v>0</v>
      </c>
      <c r="AL26" s="302"/>
      <c r="AM26" s="24"/>
      <c r="AN26" s="24"/>
      <c r="AO26" s="24"/>
      <c r="AP26" s="24"/>
      <c r="AQ26" s="24"/>
      <c r="AR26" s="24"/>
      <c r="AS26" s="24"/>
      <c r="AT26" s="25"/>
      <c r="AY26" s="23"/>
    </row>
    <row r="27" spans="1:51" ht="15" customHeight="1" x14ac:dyDescent="0.2">
      <c r="A27" s="20"/>
      <c r="B27" s="35"/>
      <c r="C27" s="35"/>
      <c r="D27" s="35"/>
      <c r="E27" s="35"/>
      <c r="F27" s="35"/>
      <c r="G27" s="35"/>
      <c r="H27" s="35"/>
      <c r="I27" s="35">
        <f>'E2020'!I27-'E-Tiltag'!S51</f>
        <v>0</v>
      </c>
      <c r="J27" s="35"/>
      <c r="K27" s="35"/>
      <c r="L27" s="35"/>
      <c r="M27" s="35"/>
      <c r="N27" s="35"/>
      <c r="O27" s="35"/>
      <c r="P27" s="35"/>
      <c r="Q27" s="35"/>
      <c r="R27" s="20">
        <f>-(I27*33.3%)/AD27%</f>
        <v>0</v>
      </c>
      <c r="S27" s="20">
        <f>-(I27*10.5%)/AD27%</f>
        <v>0</v>
      </c>
      <c r="T27" s="20">
        <f>-(I27*6.6%)/AD27%</f>
        <v>0</v>
      </c>
      <c r="U27" s="35"/>
      <c r="V27" s="35"/>
      <c r="W27" s="20">
        <f>-(I27*49.6%)/AD27%</f>
        <v>0</v>
      </c>
      <c r="X27" s="35"/>
      <c r="Y27" s="35"/>
      <c r="Z27" s="35"/>
      <c r="AA27" s="25">
        <f t="shared" si="0"/>
        <v>0</v>
      </c>
      <c r="AB27" s="93" t="s">
        <v>170</v>
      </c>
      <c r="AC27" s="35"/>
      <c r="AD27" s="35">
        <v>100</v>
      </c>
      <c r="AE27" s="35"/>
      <c r="AF27" s="177"/>
      <c r="AG27" s="293"/>
      <c r="AH27" s="303"/>
      <c r="AI27" s="100"/>
      <c r="AJ27" s="8"/>
      <c r="AK27" s="111">
        <f t="shared" si="3"/>
        <v>0</v>
      </c>
      <c r="AL27" s="367"/>
      <c r="AM27" s="2"/>
      <c r="AN27" s="2"/>
      <c r="AO27" s="2"/>
      <c r="AP27" s="2"/>
      <c r="AQ27" s="2"/>
      <c r="AR27" s="2"/>
      <c r="AS27" s="2"/>
      <c r="AT27" s="8"/>
    </row>
    <row r="28" spans="1:51" ht="15" customHeight="1" x14ac:dyDescent="0.2">
      <c r="A28" s="20"/>
      <c r="B28" s="35"/>
      <c r="C28" s="35"/>
      <c r="D28" s="35"/>
      <c r="E28" s="35"/>
      <c r="F28" s="35"/>
      <c r="G28" s="35"/>
      <c r="H28" s="35"/>
      <c r="I28" s="35"/>
      <c r="J28" s="35"/>
      <c r="K28" s="35"/>
      <c r="L28" s="36"/>
      <c r="M28" s="36"/>
      <c r="N28" s="36"/>
      <c r="O28" s="36"/>
      <c r="P28" s="36"/>
      <c r="Q28" s="36"/>
      <c r="R28" s="107">
        <f>AA28*33.3%</f>
        <v>0</v>
      </c>
      <c r="S28" s="2">
        <f>AA28*10.5%</f>
        <v>0</v>
      </c>
      <c r="T28" s="2">
        <f>AA28*6.6%</f>
        <v>0</v>
      </c>
      <c r="U28" s="36"/>
      <c r="V28" s="36"/>
      <c r="W28" s="107">
        <f>AA28*49.6%</f>
        <v>0</v>
      </c>
      <c r="X28" s="36"/>
      <c r="Y28" s="36"/>
      <c r="Z28" s="36"/>
      <c r="AA28" s="36">
        <f>'E2020'!AA28</f>
        <v>0</v>
      </c>
      <c r="AB28" s="93" t="s">
        <v>169</v>
      </c>
      <c r="AC28" s="35">
        <v>34.200000000000003</v>
      </c>
      <c r="AD28" s="35"/>
      <c r="AE28" s="35"/>
      <c r="AF28" s="177"/>
      <c r="AG28" s="30">
        <f>AA28*AC28/100</f>
        <v>0</v>
      </c>
      <c r="AH28" s="303"/>
      <c r="AI28" s="30">
        <f>AA28*AE28/100</f>
        <v>0</v>
      </c>
      <c r="AJ28" s="25"/>
      <c r="AK28" s="111">
        <f t="shared" si="3"/>
        <v>0</v>
      </c>
      <c r="AL28" s="302"/>
      <c r="AM28" s="2"/>
      <c r="AN28" s="2"/>
      <c r="AO28" s="2"/>
      <c r="AP28" s="2"/>
      <c r="AQ28" s="2"/>
      <c r="AR28" s="2"/>
      <c r="AS28" s="2"/>
      <c r="AT28" s="25"/>
    </row>
    <row r="29" spans="1:51" ht="15" customHeight="1" x14ac:dyDescent="0.2">
      <c r="A29" s="20"/>
      <c r="B29" s="35">
        <v>0</v>
      </c>
      <c r="C29" s="36">
        <v>0</v>
      </c>
      <c r="D29" s="36">
        <v>0</v>
      </c>
      <c r="E29" s="36">
        <v>0</v>
      </c>
      <c r="F29" s="35">
        <v>0</v>
      </c>
      <c r="G29" s="35">
        <v>0</v>
      </c>
      <c r="H29" s="35">
        <v>0</v>
      </c>
      <c r="I29" s="35">
        <v>0</v>
      </c>
      <c r="J29" s="35"/>
      <c r="K29" s="35"/>
      <c r="L29" s="36"/>
      <c r="M29" s="36">
        <v>0</v>
      </c>
      <c r="N29" s="36">
        <v>0</v>
      </c>
      <c r="O29" s="36">
        <v>0</v>
      </c>
      <c r="P29" s="36">
        <v>0</v>
      </c>
      <c r="Q29" s="36">
        <v>0</v>
      </c>
      <c r="R29" s="36">
        <v>0</v>
      </c>
      <c r="S29" s="36">
        <v>0</v>
      </c>
      <c r="T29" s="36">
        <v>0</v>
      </c>
      <c r="U29" s="36">
        <v>0</v>
      </c>
      <c r="V29" s="36">
        <v>0</v>
      </c>
      <c r="W29" s="24">
        <v>0</v>
      </c>
      <c r="X29" s="36">
        <v>0</v>
      </c>
      <c r="Y29" s="36">
        <v>0</v>
      </c>
      <c r="Z29" s="36">
        <v>0</v>
      </c>
      <c r="AA29" s="25">
        <f t="shared" si="0"/>
        <v>0</v>
      </c>
      <c r="AB29" s="93" t="s">
        <v>179</v>
      </c>
      <c r="AC29" s="35">
        <v>0</v>
      </c>
      <c r="AD29" s="35"/>
      <c r="AE29" s="35">
        <v>0</v>
      </c>
      <c r="AF29" s="177"/>
      <c r="AG29" s="30">
        <f>AA29*AC29/100</f>
        <v>0</v>
      </c>
      <c r="AH29" s="303"/>
      <c r="AI29" s="30">
        <f>AA29*AE29/100</f>
        <v>0</v>
      </c>
      <c r="AJ29" s="25"/>
      <c r="AK29" s="111">
        <f t="shared" si="3"/>
        <v>0</v>
      </c>
      <c r="AL29" s="302"/>
      <c r="AM29" s="24"/>
      <c r="AN29" s="24"/>
      <c r="AO29" s="24"/>
      <c r="AP29" s="24"/>
      <c r="AQ29" s="24"/>
      <c r="AR29" s="24"/>
      <c r="AS29" s="24"/>
      <c r="AT29" s="25"/>
    </row>
    <row r="30" spans="1:51" s="3" customFormat="1" ht="15" customHeight="1" x14ac:dyDescent="0.2">
      <c r="A30" s="20"/>
      <c r="B30" s="35">
        <v>0</v>
      </c>
      <c r="C30" s="36">
        <v>0</v>
      </c>
      <c r="D30" s="36">
        <v>0</v>
      </c>
      <c r="E30" s="36">
        <v>0</v>
      </c>
      <c r="F30" s="35">
        <v>0</v>
      </c>
      <c r="G30" s="35">
        <v>0</v>
      </c>
      <c r="H30" s="35">
        <v>0</v>
      </c>
      <c r="I30" s="35">
        <v>0</v>
      </c>
      <c r="J30" s="35"/>
      <c r="K30" s="35"/>
      <c r="L30" s="36"/>
      <c r="M30" s="36">
        <v>0</v>
      </c>
      <c r="N30" s="36">
        <v>0</v>
      </c>
      <c r="O30" s="36">
        <v>0</v>
      </c>
      <c r="P30" s="36">
        <v>0</v>
      </c>
      <c r="Q30" s="36">
        <v>0</v>
      </c>
      <c r="R30" s="36">
        <v>0</v>
      </c>
      <c r="S30" s="36">
        <v>0</v>
      </c>
      <c r="T30" s="36">
        <v>0</v>
      </c>
      <c r="U30" s="36">
        <v>0</v>
      </c>
      <c r="V30" s="36">
        <v>0</v>
      </c>
      <c r="W30" s="24">
        <v>0</v>
      </c>
      <c r="X30" s="36">
        <v>0</v>
      </c>
      <c r="Y30" s="36">
        <v>0</v>
      </c>
      <c r="Z30" s="35">
        <v>0</v>
      </c>
      <c r="AA30" s="25">
        <f t="shared" si="0"/>
        <v>0</v>
      </c>
      <c r="AB30" s="93" t="s">
        <v>13</v>
      </c>
      <c r="AC30" s="35"/>
      <c r="AD30" s="35"/>
      <c r="AE30" s="35">
        <v>0</v>
      </c>
      <c r="AF30" s="177"/>
      <c r="AG30" s="293"/>
      <c r="AH30" s="303"/>
      <c r="AI30" s="30">
        <f>AA30*AE30/100</f>
        <v>0</v>
      </c>
      <c r="AJ30" s="25"/>
      <c r="AK30" s="111">
        <f t="shared" si="3"/>
        <v>0</v>
      </c>
      <c r="AL30" s="302"/>
      <c r="AM30" s="24"/>
      <c r="AN30" s="24"/>
      <c r="AO30" s="24"/>
      <c r="AP30" s="24"/>
      <c r="AQ30" s="24"/>
      <c r="AR30" s="24"/>
      <c r="AS30" s="24"/>
      <c r="AT30" s="25"/>
    </row>
    <row r="31" spans="1:51" ht="15" customHeight="1" x14ac:dyDescent="0.2">
      <c r="A31" s="20"/>
      <c r="B31" s="35"/>
      <c r="C31" s="35"/>
      <c r="D31" s="35"/>
      <c r="E31" s="35"/>
      <c r="F31" s="35"/>
      <c r="G31" s="35"/>
      <c r="H31" s="35"/>
      <c r="I31" s="35"/>
      <c r="J31" s="35"/>
      <c r="K31" s="35"/>
      <c r="L31" s="36"/>
      <c r="M31" s="36"/>
      <c r="N31" s="36"/>
      <c r="O31" s="36"/>
      <c r="P31" s="36"/>
      <c r="Q31" s="107">
        <f>AI31-AH31</f>
        <v>0</v>
      </c>
      <c r="R31" s="36"/>
      <c r="S31" s="36"/>
      <c r="T31" s="36"/>
      <c r="U31" s="36"/>
      <c r="V31" s="36"/>
      <c r="W31" s="2"/>
      <c r="X31" s="36"/>
      <c r="Y31" s="36"/>
      <c r="Z31" s="35"/>
      <c r="AA31" s="25">
        <f t="shared" si="0"/>
        <v>0</v>
      </c>
      <c r="AB31" s="93" t="s">
        <v>167</v>
      </c>
      <c r="AC31" s="35"/>
      <c r="AD31" s="35"/>
      <c r="AE31" s="35">
        <f>'E-Tiltag'!G137</f>
        <v>600</v>
      </c>
      <c r="AF31" s="177"/>
      <c r="AG31" s="100">
        <f>-AH31/$D$2%</f>
        <v>0</v>
      </c>
      <c r="AH31" s="303">
        <v>0</v>
      </c>
      <c r="AI31" s="358">
        <f>AH31*AE31%</f>
        <v>0</v>
      </c>
      <c r="AJ31" s="8"/>
      <c r="AK31" s="111">
        <f t="shared" si="3"/>
        <v>0</v>
      </c>
      <c r="AL31" s="367"/>
      <c r="AM31" s="367"/>
      <c r="AN31" s="2"/>
      <c r="AO31" s="2"/>
      <c r="AP31" s="2"/>
      <c r="AQ31" s="2"/>
      <c r="AR31" s="2"/>
      <c r="AS31" s="2"/>
      <c r="AT31" s="8"/>
    </row>
    <row r="32" spans="1:51" ht="15" customHeight="1" x14ac:dyDescent="0.2">
      <c r="A32" s="20"/>
      <c r="B32" s="35"/>
      <c r="C32" s="35"/>
      <c r="D32" s="35"/>
      <c r="E32" s="35"/>
      <c r="F32" s="35"/>
      <c r="G32" s="35"/>
      <c r="H32" s="35"/>
      <c r="I32" s="35"/>
      <c r="J32" s="35"/>
      <c r="K32" s="35"/>
      <c r="L32" s="36"/>
      <c r="M32" s="36"/>
      <c r="N32" s="36"/>
      <c r="O32" s="36"/>
      <c r="P32" s="36"/>
      <c r="Q32" s="36"/>
      <c r="R32" s="36"/>
      <c r="S32" s="36"/>
      <c r="T32" s="36"/>
      <c r="U32" s="36"/>
      <c r="V32" s="36"/>
      <c r="W32" s="36"/>
      <c r="X32" s="36"/>
      <c r="Y32" s="36"/>
      <c r="Z32" s="35"/>
      <c r="AA32" s="25">
        <f t="shared" si="0"/>
        <v>0</v>
      </c>
      <c r="AB32" s="93" t="s">
        <v>168</v>
      </c>
      <c r="AC32" s="35"/>
      <c r="AD32" s="35"/>
      <c r="AE32" s="35">
        <v>100</v>
      </c>
      <c r="AF32" s="177"/>
      <c r="AG32" s="100">
        <f>-AH32/$D$2%</f>
        <v>0</v>
      </c>
      <c r="AH32" s="303">
        <v>0</v>
      </c>
      <c r="AI32" s="30">
        <f>AH32*AE32%</f>
        <v>0</v>
      </c>
      <c r="AJ32" s="8"/>
      <c r="AK32" s="111">
        <f t="shared" si="3"/>
        <v>0</v>
      </c>
      <c r="AL32" s="367"/>
      <c r="AM32" s="367"/>
      <c r="AN32" s="2"/>
      <c r="AO32" s="2"/>
      <c r="AP32" s="2"/>
      <c r="AQ32" s="2"/>
      <c r="AR32" s="2"/>
      <c r="AS32" s="2"/>
      <c r="AT32" s="8"/>
    </row>
    <row r="33" spans="1:47" ht="15" customHeight="1" x14ac:dyDescent="0.2">
      <c r="A33" s="20"/>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25">
        <f t="shared" si="0"/>
        <v>0</v>
      </c>
      <c r="AB33" s="93" t="s">
        <v>27</v>
      </c>
      <c r="AC33" s="35"/>
      <c r="AD33" s="35"/>
      <c r="AE33" s="35"/>
      <c r="AF33" s="177">
        <f>100-'E-Tiltag'!$J$19</f>
        <v>99.75</v>
      </c>
      <c r="AG33" s="293"/>
      <c r="AH33" s="303"/>
      <c r="AI33" s="30">
        <f>-SUM(AI29:AI32)</f>
        <v>0</v>
      </c>
      <c r="AJ33" s="25">
        <f>-AI33*AF33%</f>
        <v>0</v>
      </c>
      <c r="AK33" s="111">
        <f>SUM(AL33:AT33)</f>
        <v>0</v>
      </c>
      <c r="AL33" s="110">
        <f>AJ33*64.9%</f>
        <v>0</v>
      </c>
      <c r="AM33" s="110">
        <f>AJ33*9.8%</f>
        <v>0</v>
      </c>
      <c r="AN33" s="107">
        <f>AJ33*13.2%</f>
        <v>0</v>
      </c>
      <c r="AO33" s="107">
        <f>AJ33*7%</f>
        <v>0</v>
      </c>
      <c r="AP33" s="107"/>
      <c r="AQ33" s="107">
        <f>AJ33*3.6%</f>
        <v>0</v>
      </c>
      <c r="AR33" s="107">
        <f>AJ33*1.5%</f>
        <v>0</v>
      </c>
      <c r="AS33" s="107"/>
      <c r="AT33" s="25"/>
    </row>
    <row r="34" spans="1:47" ht="15" customHeight="1" x14ac:dyDescent="0.2">
      <c r="A34" s="20"/>
      <c r="B34" s="35">
        <v>0</v>
      </c>
      <c r="C34" s="35">
        <v>0</v>
      </c>
      <c r="D34" s="35">
        <v>0</v>
      </c>
      <c r="E34" s="35">
        <v>0</v>
      </c>
      <c r="F34" s="35">
        <v>0</v>
      </c>
      <c r="G34" s="35">
        <v>0</v>
      </c>
      <c r="H34" s="35">
        <v>0</v>
      </c>
      <c r="I34" s="35">
        <v>0</v>
      </c>
      <c r="J34" s="35"/>
      <c r="K34" s="35"/>
      <c r="L34" s="35"/>
      <c r="M34" s="35">
        <v>0</v>
      </c>
      <c r="N34" s="35">
        <v>0</v>
      </c>
      <c r="O34" s="35">
        <v>0</v>
      </c>
      <c r="P34" s="35">
        <v>0</v>
      </c>
      <c r="Q34" s="35">
        <v>0</v>
      </c>
      <c r="R34" s="35">
        <v>0</v>
      </c>
      <c r="S34" s="35">
        <v>0</v>
      </c>
      <c r="T34" s="35">
        <v>0</v>
      </c>
      <c r="U34" s="35">
        <v>0</v>
      </c>
      <c r="V34" s="35">
        <v>0</v>
      </c>
      <c r="W34" s="35">
        <v>0</v>
      </c>
      <c r="X34" s="35">
        <v>0</v>
      </c>
      <c r="Y34" s="35">
        <v>0</v>
      </c>
      <c r="Z34" s="35">
        <v>0</v>
      </c>
      <c r="AA34" s="25">
        <f t="shared" si="0"/>
        <v>0</v>
      </c>
      <c r="AB34" s="93" t="s">
        <v>180</v>
      </c>
      <c r="AC34" s="35">
        <v>0</v>
      </c>
      <c r="AD34" s="35"/>
      <c r="AE34" s="35">
        <v>0</v>
      </c>
      <c r="AF34" s="177"/>
      <c r="AG34" s="30">
        <f>AA34*AC34/100</f>
        <v>0</v>
      </c>
      <c r="AH34" s="303"/>
      <c r="AI34" s="30">
        <f>AA34*AE34/100</f>
        <v>0</v>
      </c>
      <c r="AJ34" s="25"/>
      <c r="AK34" s="111">
        <f t="shared" si="3"/>
        <v>0</v>
      </c>
      <c r="AL34" s="367"/>
      <c r="AM34" s="2"/>
      <c r="AN34" s="2"/>
      <c r="AO34" s="2"/>
      <c r="AP34" s="2"/>
      <c r="AQ34" s="2"/>
      <c r="AR34" s="2"/>
      <c r="AS34" s="24"/>
      <c r="AT34" s="25"/>
    </row>
    <row r="35" spans="1:47" ht="15" customHeight="1" x14ac:dyDescent="0.2">
      <c r="A35" s="20"/>
      <c r="B35" s="35">
        <v>0</v>
      </c>
      <c r="C35" s="35">
        <v>0</v>
      </c>
      <c r="D35" s="35">
        <v>0</v>
      </c>
      <c r="E35" s="35">
        <v>0</v>
      </c>
      <c r="F35" s="35">
        <v>0</v>
      </c>
      <c r="G35" s="35">
        <v>0</v>
      </c>
      <c r="H35" s="35">
        <v>0</v>
      </c>
      <c r="I35" s="35">
        <v>0</v>
      </c>
      <c r="J35" s="35"/>
      <c r="K35" s="35"/>
      <c r="L35" s="35"/>
      <c r="M35" s="35">
        <v>0</v>
      </c>
      <c r="N35" s="35">
        <v>0</v>
      </c>
      <c r="O35" s="35">
        <v>0</v>
      </c>
      <c r="P35" s="35">
        <v>0</v>
      </c>
      <c r="Q35" s="35">
        <v>0</v>
      </c>
      <c r="R35" s="35">
        <v>0</v>
      </c>
      <c r="S35" s="35">
        <v>0</v>
      </c>
      <c r="T35" s="35">
        <v>0</v>
      </c>
      <c r="U35" s="35">
        <v>0</v>
      </c>
      <c r="V35" s="35">
        <v>0</v>
      </c>
      <c r="W35" s="35">
        <v>0</v>
      </c>
      <c r="X35" s="35">
        <v>0</v>
      </c>
      <c r="Y35" s="35">
        <v>0</v>
      </c>
      <c r="Z35" s="35">
        <v>0</v>
      </c>
      <c r="AA35" s="25">
        <f t="shared" si="0"/>
        <v>0</v>
      </c>
      <c r="AB35" s="93" t="s">
        <v>7</v>
      </c>
      <c r="AC35" s="35"/>
      <c r="AD35" s="35"/>
      <c r="AE35" s="35">
        <v>0</v>
      </c>
      <c r="AF35" s="177"/>
      <c r="AG35" s="30">
        <f>AA35*AC35/100</f>
        <v>0</v>
      </c>
      <c r="AH35" s="303"/>
      <c r="AI35" s="30">
        <f>AA35*AE35/100</f>
        <v>0</v>
      </c>
      <c r="AJ35" s="25"/>
      <c r="AK35" s="111">
        <f t="shared" si="3"/>
        <v>0</v>
      </c>
      <c r="AL35" s="367"/>
      <c r="AM35" s="2"/>
      <c r="AN35" s="2"/>
      <c r="AO35" s="2"/>
      <c r="AP35" s="2"/>
      <c r="AQ35" s="2"/>
      <c r="AR35" s="2"/>
      <c r="AS35" s="24"/>
      <c r="AT35" s="25"/>
    </row>
    <row r="36" spans="1:47" s="3" customFormat="1" ht="15" customHeight="1" x14ac:dyDescent="0.2">
      <c r="A36" s="20"/>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25">
        <f t="shared" si="0"/>
        <v>0</v>
      </c>
      <c r="AB36" s="93" t="s">
        <v>28</v>
      </c>
      <c r="AC36" s="35"/>
      <c r="AD36" s="35"/>
      <c r="AE36" s="35"/>
      <c r="AF36" s="177">
        <f>100-'E-Tiltag'!$J$19</f>
        <v>99.75</v>
      </c>
      <c r="AG36" s="293"/>
      <c r="AH36" s="303"/>
      <c r="AI36" s="30">
        <f>-SUM(AI34:AI35)</f>
        <v>0</v>
      </c>
      <c r="AJ36" s="25">
        <f>-AI36*AF36%</f>
        <v>0</v>
      </c>
      <c r="AK36" s="111">
        <f t="shared" si="3"/>
        <v>0</v>
      </c>
      <c r="AL36" s="110">
        <f>AJ36*64.9%</f>
        <v>0</v>
      </c>
      <c r="AM36" s="110">
        <f>AJ36*9.8%</f>
        <v>0</v>
      </c>
      <c r="AN36" s="107">
        <f>AJ36*13.2%</f>
        <v>0</v>
      </c>
      <c r="AO36" s="107">
        <f>AJ36*7%</f>
        <v>0</v>
      </c>
      <c r="AP36" s="107"/>
      <c r="AQ36" s="107">
        <f>AJ36*3.6%</f>
        <v>0</v>
      </c>
      <c r="AR36" s="107">
        <f>AJ36*1.5%</f>
        <v>0</v>
      </c>
      <c r="AS36" s="107"/>
      <c r="AT36" s="25"/>
    </row>
    <row r="37" spans="1:47" ht="15" customHeight="1" x14ac:dyDescent="0.2">
      <c r="A37" s="20">
        <v>0</v>
      </c>
      <c r="B37" s="35">
        <v>0</v>
      </c>
      <c r="C37" s="35">
        <v>0</v>
      </c>
      <c r="D37" s="35">
        <v>0</v>
      </c>
      <c r="E37" s="35">
        <v>0</v>
      </c>
      <c r="F37" s="35">
        <v>0</v>
      </c>
      <c r="G37" s="35">
        <v>0</v>
      </c>
      <c r="H37" s="35">
        <v>0</v>
      </c>
      <c r="I37" s="35">
        <f>AI37/AC37%</f>
        <v>0</v>
      </c>
      <c r="J37" s="35">
        <v>0</v>
      </c>
      <c r="K37" s="35">
        <v>0</v>
      </c>
      <c r="L37" s="35">
        <v>0</v>
      </c>
      <c r="M37" s="35">
        <v>0</v>
      </c>
      <c r="N37" s="35">
        <v>0</v>
      </c>
      <c r="O37" s="35">
        <v>0</v>
      </c>
      <c r="P37" s="35">
        <v>0</v>
      </c>
      <c r="Q37" s="35">
        <v>0</v>
      </c>
      <c r="R37" s="36">
        <v>0</v>
      </c>
      <c r="S37" s="36">
        <v>0</v>
      </c>
      <c r="T37" s="36">
        <v>0</v>
      </c>
      <c r="U37" s="35">
        <v>0</v>
      </c>
      <c r="V37" s="35">
        <v>0</v>
      </c>
      <c r="W37" s="36">
        <v>0</v>
      </c>
      <c r="X37" s="36">
        <v>0</v>
      </c>
      <c r="Y37" s="36">
        <v>0</v>
      </c>
      <c r="Z37" s="35">
        <v>0</v>
      </c>
      <c r="AA37" s="25">
        <f t="shared" si="0"/>
        <v>0</v>
      </c>
      <c r="AB37" s="93" t="s">
        <v>181</v>
      </c>
      <c r="AC37" s="35">
        <v>45.1</v>
      </c>
      <c r="AD37" s="35"/>
      <c r="AE37" s="35">
        <v>50.9</v>
      </c>
      <c r="AF37" s="177"/>
      <c r="AG37" s="30">
        <f>AA37*AC37/100</f>
        <v>0</v>
      </c>
      <c r="AH37" s="303"/>
      <c r="AI37" s="30">
        <f>SUMPRODUCT('E-Tiltag'!$D$145:$D$148,'E-Tiltag'!$K$145:$K$148)</f>
        <v>0</v>
      </c>
      <c r="AJ37" s="25"/>
      <c r="AK37" s="111">
        <f t="shared" si="3"/>
        <v>0</v>
      </c>
      <c r="AL37" s="302"/>
      <c r="AM37" s="24"/>
      <c r="AN37" s="24"/>
      <c r="AO37" s="24"/>
      <c r="AP37" s="24"/>
      <c r="AQ37" s="24"/>
      <c r="AR37" s="24"/>
      <c r="AS37" s="24"/>
      <c r="AT37" s="25"/>
    </row>
    <row r="38" spans="1:47" ht="15" customHeight="1" x14ac:dyDescent="0.2">
      <c r="A38" s="20"/>
      <c r="B38" s="35">
        <v>0</v>
      </c>
      <c r="C38" s="35">
        <v>0</v>
      </c>
      <c r="D38" s="35">
        <v>0</v>
      </c>
      <c r="E38" s="36">
        <v>0</v>
      </c>
      <c r="F38" s="35">
        <v>0</v>
      </c>
      <c r="G38" s="35">
        <v>0</v>
      </c>
      <c r="H38" s="35">
        <v>0</v>
      </c>
      <c r="I38" s="35">
        <f>SUMPRODUCT('E-Tiltag'!$D$145:$D$148,'E-Tiltag'!$L$145:$L$148)/$AE$38%</f>
        <v>0</v>
      </c>
      <c r="J38" s="35"/>
      <c r="K38" s="35"/>
      <c r="L38" s="35"/>
      <c r="M38" s="35">
        <v>0</v>
      </c>
      <c r="N38" s="35">
        <v>0</v>
      </c>
      <c r="O38" s="35">
        <v>0</v>
      </c>
      <c r="P38" s="35">
        <v>0</v>
      </c>
      <c r="Q38" s="35">
        <v>0</v>
      </c>
      <c r="R38" s="36">
        <v>0</v>
      </c>
      <c r="S38" s="36">
        <v>0</v>
      </c>
      <c r="T38" s="36">
        <v>0</v>
      </c>
      <c r="U38" s="345">
        <f>SUMPRODUCT('E-Tiltag'!$D$145:$D$148,'E-Tiltag'!$H$145:$H$148)/$AE$38%</f>
        <v>19.272020436705876</v>
      </c>
      <c r="V38" s="35">
        <v>0</v>
      </c>
      <c r="W38" s="36">
        <v>0</v>
      </c>
      <c r="X38" s="36">
        <f>SUMPRODUCT('E-Tiltag'!$D$145:$D$148,'E-Tiltag'!$I$145:$I$148)/$AE$38%*(1-'E-Tiltag'!$G$140)</f>
        <v>0</v>
      </c>
      <c r="Y38" s="36">
        <v>0</v>
      </c>
      <c r="Z38" s="35">
        <f>SUMPRODUCT('E-Tiltag'!$D$145:$D$148,'E-Tiltag'!$I$145:$I$148)/$AE$38%*'E-Tiltag'!$G$140</f>
        <v>0</v>
      </c>
      <c r="AA38" s="25">
        <f t="shared" si="0"/>
        <v>19.272020436705876</v>
      </c>
      <c r="AB38" s="93" t="s">
        <v>203</v>
      </c>
      <c r="AC38" s="35"/>
      <c r="AD38" s="35"/>
      <c r="AE38" s="35">
        <f>'E-Tiltag'!S149</f>
        <v>102</v>
      </c>
      <c r="AF38" s="177"/>
      <c r="AG38" s="30">
        <f>AA38*AC38/100</f>
        <v>0</v>
      </c>
      <c r="AH38" s="303"/>
      <c r="AI38" s="30">
        <f>AA38*AE38/100</f>
        <v>19.657460845439992</v>
      </c>
      <c r="AJ38" s="25"/>
      <c r="AK38" s="111">
        <f t="shared" si="3"/>
        <v>0</v>
      </c>
      <c r="AL38" s="302"/>
      <c r="AM38" s="24"/>
      <c r="AN38" s="24"/>
      <c r="AO38" s="24"/>
      <c r="AP38" s="24"/>
      <c r="AQ38" s="24"/>
      <c r="AR38" s="24"/>
      <c r="AS38" s="24"/>
      <c r="AT38" s="25"/>
      <c r="AU38" s="33"/>
    </row>
    <row r="39" spans="1:47" ht="15" customHeight="1" x14ac:dyDescent="0.2">
      <c r="A39" s="20"/>
      <c r="B39" s="35"/>
      <c r="C39" s="35"/>
      <c r="D39" s="35"/>
      <c r="E39" s="35"/>
      <c r="F39" s="35"/>
      <c r="G39" s="35"/>
      <c r="H39" s="35"/>
      <c r="I39" s="35">
        <v>0</v>
      </c>
      <c r="J39" s="35"/>
      <c r="K39" s="35"/>
      <c r="L39" s="35"/>
      <c r="M39" s="35"/>
      <c r="N39" s="35"/>
      <c r="O39" s="35"/>
      <c r="P39" s="35"/>
      <c r="Q39" s="107">
        <f>AI39-AH39</f>
        <v>0</v>
      </c>
      <c r="R39" s="35"/>
      <c r="S39" s="35"/>
      <c r="T39" s="35"/>
      <c r="U39" s="35"/>
      <c r="V39" s="35"/>
      <c r="W39" s="36"/>
      <c r="X39" s="36"/>
      <c r="Y39" s="36"/>
      <c r="Z39" s="35"/>
      <c r="AA39" s="25">
        <f t="shared" si="0"/>
        <v>0</v>
      </c>
      <c r="AB39" s="93" t="s">
        <v>204</v>
      </c>
      <c r="AC39" s="35"/>
      <c r="AD39" s="35"/>
      <c r="AE39" s="35">
        <f>'E-Tiltag'!G136</f>
        <v>300</v>
      </c>
      <c r="AF39" s="177"/>
      <c r="AG39" s="100">
        <f>-AH39/$D$2%</f>
        <v>0</v>
      </c>
      <c r="AH39" s="303">
        <f>SUMPRODUCT('E-Tiltag'!$D$145:$D$148,'E-Tiltag'!$E$145:$E$148)/AE39%+SUMPRODUCT('E-Tiltag'!$D$145:$D$148,'E-Tiltag'!$F$145:$F$148)/AE31%</f>
        <v>0</v>
      </c>
      <c r="AI39" s="30">
        <f>SUMPRODUCT('E-Tiltag'!$D$145:$D$148,'E-Tiltag'!$E$145:$E$148)+SUMPRODUCT('E-Tiltag'!$D$145:$D$148,'E-Tiltag'!$F$145:$F$148)</f>
        <v>0</v>
      </c>
      <c r="AJ39" s="8"/>
      <c r="AK39" s="111">
        <f t="shared" si="3"/>
        <v>0</v>
      </c>
      <c r="AL39" s="367"/>
      <c r="AM39" s="2"/>
      <c r="AN39" s="2"/>
      <c r="AO39" s="2"/>
      <c r="AP39" s="2"/>
      <c r="AQ39" s="2"/>
      <c r="AR39" s="2"/>
      <c r="AS39" s="2"/>
      <c r="AT39" s="8"/>
    </row>
    <row r="40" spans="1:47" ht="15" customHeight="1" x14ac:dyDescent="0.2">
      <c r="A40" s="20"/>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25">
        <f t="shared" si="0"/>
        <v>0</v>
      </c>
      <c r="AB40" s="93" t="s">
        <v>205</v>
      </c>
      <c r="AC40" s="35"/>
      <c r="AD40" s="35"/>
      <c r="AE40" s="35">
        <v>99.690829694323142</v>
      </c>
      <c r="AF40" s="177"/>
      <c r="AG40" s="100">
        <f>-AH40/$D$2%</f>
        <v>0</v>
      </c>
      <c r="AH40" s="37">
        <f>AI40/AE40%</f>
        <v>0</v>
      </c>
      <c r="AI40" s="100">
        <f>SUMPRODUCT('E-Tiltag'!$D$145:$D$148,'E-Tiltag'!$G$145:$G$148)</f>
        <v>0</v>
      </c>
      <c r="AJ40" s="8"/>
      <c r="AK40" s="111">
        <f t="shared" si="3"/>
        <v>0</v>
      </c>
      <c r="AL40" s="367"/>
      <c r="AM40" s="2"/>
      <c r="AN40" s="2"/>
      <c r="AO40" s="2"/>
      <c r="AP40" s="2"/>
      <c r="AQ40" s="2"/>
      <c r="AR40" s="2"/>
      <c r="AS40" s="2"/>
      <c r="AT40" s="8"/>
    </row>
    <row r="41" spans="1:47" ht="15" customHeight="1" x14ac:dyDescent="0.2">
      <c r="A41" s="20"/>
      <c r="B41" s="35"/>
      <c r="C41" s="35"/>
      <c r="D41" s="35"/>
      <c r="E41" s="35"/>
      <c r="F41" s="35"/>
      <c r="G41" s="35"/>
      <c r="H41" s="35"/>
      <c r="I41" s="35"/>
      <c r="J41" s="35"/>
      <c r="K41" s="35"/>
      <c r="L41" s="35"/>
      <c r="M41" s="35"/>
      <c r="N41" s="35"/>
      <c r="O41" s="36">
        <f>AI41</f>
        <v>0</v>
      </c>
      <c r="P41" s="35"/>
      <c r="Q41" s="35"/>
      <c r="R41" s="35"/>
      <c r="S41" s="35"/>
      <c r="T41" s="35"/>
      <c r="U41" s="35"/>
      <c r="V41" s="35"/>
      <c r="W41" s="35"/>
      <c r="X41" s="35"/>
      <c r="Y41" s="35"/>
      <c r="Z41" s="35"/>
      <c r="AA41" s="25">
        <f t="shared" si="0"/>
        <v>0</v>
      </c>
      <c r="AB41" s="93" t="s">
        <v>206</v>
      </c>
      <c r="AC41" s="35"/>
      <c r="AD41" s="35"/>
      <c r="AE41" s="35">
        <v>100</v>
      </c>
      <c r="AF41" s="177"/>
      <c r="AG41" s="293"/>
      <c r="AH41" s="37"/>
      <c r="AI41" s="30">
        <f>SUMPRODUCT('E-Tiltag'!$D$145:$D$148,'E-Tiltag'!$J$145:$J$148)</f>
        <v>0</v>
      </c>
      <c r="AJ41" s="25"/>
      <c r="AK41" s="111">
        <f t="shared" si="3"/>
        <v>0</v>
      </c>
      <c r="AL41" s="302"/>
      <c r="AM41" s="24"/>
      <c r="AN41" s="24"/>
      <c r="AO41" s="24"/>
      <c r="AP41" s="24"/>
      <c r="AQ41" s="24"/>
      <c r="AR41" s="24"/>
      <c r="AS41" s="24"/>
      <c r="AT41" s="25"/>
    </row>
    <row r="42" spans="1:47" ht="15" customHeight="1" x14ac:dyDescent="0.2">
      <c r="A42" s="20"/>
      <c r="B42" s="35"/>
      <c r="C42" s="35"/>
      <c r="D42" s="35"/>
      <c r="E42" s="35"/>
      <c r="F42" s="35"/>
      <c r="G42" s="35"/>
      <c r="H42" s="35"/>
      <c r="I42" s="35"/>
      <c r="J42" s="35"/>
      <c r="K42" s="35"/>
      <c r="L42" s="35"/>
      <c r="M42" s="35"/>
      <c r="N42" s="35"/>
      <c r="O42" s="35"/>
      <c r="P42" s="35">
        <v>0</v>
      </c>
      <c r="Q42" s="35"/>
      <c r="R42" s="35"/>
      <c r="S42" s="35"/>
      <c r="T42" s="35"/>
      <c r="U42" s="35"/>
      <c r="V42" s="35"/>
      <c r="W42" s="35"/>
      <c r="X42" s="35"/>
      <c r="Y42" s="35"/>
      <c r="Z42" s="35"/>
      <c r="AA42" s="25">
        <f t="shared" si="0"/>
        <v>0</v>
      </c>
      <c r="AB42" s="93" t="s">
        <v>4722</v>
      </c>
      <c r="AC42" s="35"/>
      <c r="AD42" s="35"/>
      <c r="AE42" s="35">
        <v>100</v>
      </c>
      <c r="AF42" s="177"/>
      <c r="AG42" s="30">
        <f>AA42*AC42/100</f>
        <v>0</v>
      </c>
      <c r="AH42" s="37"/>
      <c r="AI42" s="30">
        <f>SUMPRODUCT('E-Tiltag'!$D$145:$D$148,'E-Tiltag'!$M$145:$M$148)+SUMPRODUCT('E-Tiltag'!$D$145:$D$148,'E-Tiltag'!$N$145:$N$148)</f>
        <v>0</v>
      </c>
      <c r="AJ42" s="25"/>
      <c r="AK42" s="111">
        <f t="shared" si="3"/>
        <v>0</v>
      </c>
      <c r="AL42" s="302"/>
      <c r="AM42" s="302"/>
      <c r="AN42" s="24"/>
      <c r="AO42" s="24"/>
      <c r="AP42" s="24"/>
      <c r="AQ42" s="24"/>
      <c r="AR42" s="24"/>
      <c r="AS42" s="24"/>
      <c r="AT42" s="25"/>
    </row>
    <row r="43" spans="1:47" ht="15" customHeight="1" x14ac:dyDescent="0.2">
      <c r="A43" s="20"/>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25">
        <f t="shared" si="0"/>
        <v>0</v>
      </c>
      <c r="AB43" s="93" t="s">
        <v>208</v>
      </c>
      <c r="AC43" s="35"/>
      <c r="AD43" s="35"/>
      <c r="AE43" s="35"/>
      <c r="AF43" s="177">
        <f>100-'E-Tiltag'!$J$19</f>
        <v>99.75</v>
      </c>
      <c r="AG43" s="293"/>
      <c r="AH43" s="37"/>
      <c r="AI43" s="30">
        <f>-SUM(AI37:AI42)</f>
        <v>-19.657460845439992</v>
      </c>
      <c r="AJ43" s="25">
        <f>-AI43*AF43%</f>
        <v>19.608317193326393</v>
      </c>
      <c r="AK43" s="111">
        <f t="shared" si="3"/>
        <v>19.608317193326393</v>
      </c>
      <c r="AL43" s="110">
        <f>AJ43*64.9%</f>
        <v>12.725797858468828</v>
      </c>
      <c r="AM43" s="110">
        <f>AJ43*9.8%</f>
        <v>1.9216150849459865</v>
      </c>
      <c r="AN43" s="107">
        <f>AJ43*13.2%</f>
        <v>2.5882978695190841</v>
      </c>
      <c r="AO43" s="107">
        <f>AJ43*7%</f>
        <v>1.3725822035328477</v>
      </c>
      <c r="AP43" s="107"/>
      <c r="AQ43" s="107">
        <f>AJ43*3.6%</f>
        <v>0.70589941895975017</v>
      </c>
      <c r="AR43" s="107">
        <f>AJ43*1.5%</f>
        <v>0.29412475789989589</v>
      </c>
      <c r="AS43" s="107"/>
      <c r="AT43" s="25"/>
    </row>
    <row r="44" spans="1:47" ht="15" customHeight="1" x14ac:dyDescent="0.2">
      <c r="A44" s="20"/>
      <c r="B44" s="35">
        <v>0</v>
      </c>
      <c r="C44" s="35">
        <v>0</v>
      </c>
      <c r="D44" s="35">
        <v>0</v>
      </c>
      <c r="E44" s="35">
        <v>0</v>
      </c>
      <c r="F44" s="35">
        <v>0</v>
      </c>
      <c r="G44" s="35">
        <v>0</v>
      </c>
      <c r="H44" s="35">
        <v>0</v>
      </c>
      <c r="I44" s="35">
        <f>AI44/AE44%</f>
        <v>0</v>
      </c>
      <c r="J44" s="35"/>
      <c r="K44" s="35"/>
      <c r="L44" s="35"/>
      <c r="M44" s="35">
        <v>0</v>
      </c>
      <c r="N44" s="35">
        <v>0</v>
      </c>
      <c r="O44" s="35">
        <v>0</v>
      </c>
      <c r="P44" s="35">
        <v>0</v>
      </c>
      <c r="Q44" s="35">
        <v>0</v>
      </c>
      <c r="R44" s="35">
        <v>0</v>
      </c>
      <c r="S44" s="35">
        <v>0</v>
      </c>
      <c r="T44" s="35">
        <v>0</v>
      </c>
      <c r="U44" s="35">
        <v>0</v>
      </c>
      <c r="V44" s="35">
        <v>0</v>
      </c>
      <c r="W44" s="35">
        <v>0</v>
      </c>
      <c r="X44" s="35">
        <v>0</v>
      </c>
      <c r="Y44" s="35">
        <v>0</v>
      </c>
      <c r="Z44" s="35">
        <v>0</v>
      </c>
      <c r="AA44" s="25">
        <f t="shared" si="0"/>
        <v>0</v>
      </c>
      <c r="AB44" s="93" t="s">
        <v>182</v>
      </c>
      <c r="AC44" s="35">
        <v>21.3</v>
      </c>
      <c r="AD44" s="35"/>
      <c r="AE44" s="35">
        <v>60.1</v>
      </c>
      <c r="AF44" s="177"/>
      <c r="AG44" s="30">
        <f>AA44*AC44/100</f>
        <v>0</v>
      </c>
      <c r="AH44" s="37"/>
      <c r="AI44" s="30">
        <f>'E-Tiltag'!$D$149*'E-Tiltag'!$K$149</f>
        <v>0</v>
      </c>
      <c r="AJ44" s="25"/>
      <c r="AK44" s="111">
        <f t="shared" ref="AK44:AK59" si="5">SUM(AL44:AT44)</f>
        <v>0</v>
      </c>
      <c r="AL44" s="110"/>
      <c r="AM44" s="110"/>
      <c r="AN44" s="107"/>
      <c r="AO44" s="107"/>
      <c r="AP44" s="107"/>
      <c r="AQ44" s="107"/>
      <c r="AR44" s="107"/>
      <c r="AS44" s="107"/>
      <c r="AT44" s="25"/>
    </row>
    <row r="45" spans="1:47" ht="15" customHeight="1" x14ac:dyDescent="0.2">
      <c r="A45" s="20"/>
      <c r="B45" s="35"/>
      <c r="C45" s="35">
        <v>0</v>
      </c>
      <c r="D45" s="35">
        <v>0</v>
      </c>
      <c r="E45" s="35"/>
      <c r="F45" s="35">
        <v>0</v>
      </c>
      <c r="G45" s="35">
        <v>0</v>
      </c>
      <c r="H45" s="35">
        <v>0</v>
      </c>
      <c r="I45" s="35">
        <f>('E-Tiltag'!$D$149*'E-Tiltag'!$L$149)/$AE$45%</f>
        <v>0</v>
      </c>
      <c r="J45" s="35"/>
      <c r="K45" s="35"/>
      <c r="L45" s="35"/>
      <c r="M45" s="35">
        <v>0</v>
      </c>
      <c r="N45" s="35">
        <v>0</v>
      </c>
      <c r="O45" s="35">
        <v>0</v>
      </c>
      <c r="P45" s="35">
        <v>0</v>
      </c>
      <c r="Q45" s="35">
        <v>0</v>
      </c>
      <c r="R45" s="35">
        <v>0</v>
      </c>
      <c r="S45" s="35">
        <v>0</v>
      </c>
      <c r="T45" s="35"/>
      <c r="U45" s="35">
        <f>('E-Tiltag'!$D$149*'E-Tiltag'!$H$149)/$AE$45%</f>
        <v>0</v>
      </c>
      <c r="V45" s="35"/>
      <c r="W45" s="35">
        <v>0</v>
      </c>
      <c r="X45" s="35">
        <f>('E-Tiltag'!$D$149*'E-Tiltag'!$I$149)/$AE$45%*(1-'E-Tiltag'!$G$140)</f>
        <v>0</v>
      </c>
      <c r="Y45" s="35">
        <v>0</v>
      </c>
      <c r="Z45" s="35">
        <f>('E-Tiltag'!$D$149*'E-Tiltag'!$I$149)/$AE$45%*'E-Tiltag'!$G$140</f>
        <v>0</v>
      </c>
      <c r="AA45" s="300">
        <f t="shared" si="0"/>
        <v>0</v>
      </c>
      <c r="AB45" s="93" t="s">
        <v>183</v>
      </c>
      <c r="AC45" s="35"/>
      <c r="AD45" s="35"/>
      <c r="AE45" s="35">
        <v>109.6</v>
      </c>
      <c r="AF45" s="177"/>
      <c r="AG45" s="30">
        <f>-AH45/$D$2%</f>
        <v>0</v>
      </c>
      <c r="AH45" s="37"/>
      <c r="AI45" s="30">
        <f>'E-Tiltag'!$D$149*('E-Tiltag'!$H$149+'E-Tiltag'!$I$149+'E-Tiltag'!$L$149)</f>
        <v>0</v>
      </c>
      <c r="AJ45" s="25"/>
      <c r="AK45" s="111">
        <f t="shared" si="5"/>
        <v>0</v>
      </c>
      <c r="AL45" s="302"/>
      <c r="AM45" s="24"/>
      <c r="AN45" s="24"/>
      <c r="AO45" s="24"/>
      <c r="AP45" s="24"/>
      <c r="AQ45" s="24"/>
      <c r="AR45" s="24"/>
      <c r="AS45" s="24"/>
      <c r="AT45" s="25"/>
    </row>
    <row r="46" spans="1:47" ht="15" customHeight="1" x14ac:dyDescent="0.2">
      <c r="A46" s="20"/>
      <c r="B46" s="35"/>
      <c r="C46" s="35"/>
      <c r="D46" s="35"/>
      <c r="E46" s="35"/>
      <c r="F46" s="35"/>
      <c r="G46" s="35"/>
      <c r="H46" s="35"/>
      <c r="I46" s="35">
        <v>0</v>
      </c>
      <c r="J46" s="35"/>
      <c r="K46" s="35"/>
      <c r="L46" s="35"/>
      <c r="M46" s="35"/>
      <c r="N46" s="35"/>
      <c r="O46" s="36"/>
      <c r="P46" s="36"/>
      <c r="Q46" s="107">
        <f>AI46-AH46</f>
        <v>0</v>
      </c>
      <c r="R46" s="36"/>
      <c r="S46" s="36"/>
      <c r="T46" s="35"/>
      <c r="U46" s="35"/>
      <c r="V46" s="35"/>
      <c r="W46" s="35"/>
      <c r="X46" s="35"/>
      <c r="Y46" s="35"/>
      <c r="Z46" s="35"/>
      <c r="AA46" s="300">
        <f t="shared" si="0"/>
        <v>0</v>
      </c>
      <c r="AB46" s="93" t="s">
        <v>184</v>
      </c>
      <c r="AC46" s="35"/>
      <c r="AD46" s="35"/>
      <c r="AE46" s="35">
        <v>332.5</v>
      </c>
      <c r="AF46" s="177"/>
      <c r="AG46" s="30">
        <f>-AH46/$D$2%</f>
        <v>0</v>
      </c>
      <c r="AH46" s="37">
        <f>('E-Tiltag'!$D$149*'E-Tiltag'!$E$149)/AE46%+('E-Tiltag'!$D$149*'E-Tiltag'!$F$149)/AE31%</f>
        <v>0</v>
      </c>
      <c r="AI46" s="30">
        <f>'E-Tiltag'!$D$149*'E-Tiltag'!$E$149+'E-Tiltag'!$D$149*'E-Tiltag'!$F$149</f>
        <v>0</v>
      </c>
      <c r="AJ46" s="25"/>
      <c r="AK46" s="111">
        <f t="shared" si="5"/>
        <v>0</v>
      </c>
      <c r="AL46" s="302"/>
      <c r="AM46" s="24"/>
      <c r="AN46" s="24"/>
      <c r="AO46" s="24"/>
      <c r="AP46" s="24"/>
      <c r="AQ46" s="24"/>
      <c r="AR46" s="24"/>
      <c r="AS46" s="24"/>
      <c r="AT46" s="25"/>
    </row>
    <row r="47" spans="1:47" s="3" customFormat="1" ht="15" customHeight="1" x14ac:dyDescent="0.2">
      <c r="A47" s="20"/>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00">
        <f t="shared" si="0"/>
        <v>0</v>
      </c>
      <c r="AB47" s="93" t="s">
        <v>185</v>
      </c>
      <c r="AC47" s="35"/>
      <c r="AD47" s="35"/>
      <c r="AE47" s="35">
        <v>100</v>
      </c>
      <c r="AF47" s="177"/>
      <c r="AG47" s="30">
        <f>-AH47/$D$2%</f>
        <v>0</v>
      </c>
      <c r="AH47" s="37">
        <f>AI47/AE47%</f>
        <v>0</v>
      </c>
      <c r="AI47" s="100">
        <f>'E-Tiltag'!$D$149*'E-Tiltag'!$G$149</f>
        <v>0</v>
      </c>
      <c r="AJ47" s="25"/>
      <c r="AK47" s="111">
        <f t="shared" si="5"/>
        <v>0</v>
      </c>
      <c r="AL47" s="302"/>
      <c r="AM47" s="24"/>
      <c r="AN47" s="24"/>
      <c r="AO47" s="24"/>
      <c r="AP47" s="24"/>
      <c r="AQ47" s="24"/>
      <c r="AR47" s="24"/>
      <c r="AS47" s="24"/>
      <c r="AT47" s="25"/>
    </row>
    <row r="48" spans="1:47" s="3" customFormat="1" ht="15" customHeight="1" x14ac:dyDescent="0.2">
      <c r="A48" s="20"/>
      <c r="B48" s="35"/>
      <c r="C48" s="35"/>
      <c r="D48" s="35"/>
      <c r="E48" s="35"/>
      <c r="F48" s="35"/>
      <c r="G48" s="35"/>
      <c r="H48" s="35"/>
      <c r="I48" s="35"/>
      <c r="J48" s="35"/>
      <c r="K48" s="35"/>
      <c r="L48" s="35"/>
      <c r="M48" s="35"/>
      <c r="N48" s="35"/>
      <c r="O48" s="35">
        <v>0</v>
      </c>
      <c r="P48" s="35"/>
      <c r="Q48" s="35"/>
      <c r="R48" s="35"/>
      <c r="S48" s="35"/>
      <c r="T48" s="35"/>
      <c r="U48" s="35"/>
      <c r="V48" s="35"/>
      <c r="W48" s="35"/>
      <c r="X48" s="35"/>
      <c r="Y48" s="35"/>
      <c r="Z48" s="35"/>
      <c r="AA48" s="300">
        <f t="shared" si="0"/>
        <v>0</v>
      </c>
      <c r="AB48" s="93" t="s">
        <v>186</v>
      </c>
      <c r="AC48" s="35"/>
      <c r="AD48" s="35"/>
      <c r="AE48" s="35">
        <v>100</v>
      </c>
      <c r="AF48" s="177"/>
      <c r="AG48" s="293"/>
      <c r="AH48" s="37"/>
      <c r="AI48" s="30">
        <f>'E-Tiltag'!$D$149*'E-Tiltag'!$J$149</f>
        <v>0</v>
      </c>
      <c r="AJ48" s="25"/>
      <c r="AK48" s="111">
        <f t="shared" si="5"/>
        <v>0</v>
      </c>
      <c r="AL48" s="302"/>
      <c r="AM48" s="24"/>
      <c r="AN48" s="24"/>
      <c r="AO48" s="24"/>
      <c r="AP48" s="24"/>
      <c r="AQ48" s="24"/>
      <c r="AR48" s="24"/>
      <c r="AS48" s="24"/>
      <c r="AT48" s="25"/>
    </row>
    <row r="49" spans="1:46" ht="15" customHeight="1" x14ac:dyDescent="0.2">
      <c r="A49" s="20"/>
      <c r="B49" s="35"/>
      <c r="C49" s="35"/>
      <c r="D49" s="35"/>
      <c r="E49" s="35"/>
      <c r="F49" s="35"/>
      <c r="G49" s="35"/>
      <c r="H49" s="35"/>
      <c r="I49" s="35"/>
      <c r="J49" s="35"/>
      <c r="K49" s="35"/>
      <c r="L49" s="35"/>
      <c r="M49" s="35"/>
      <c r="N49" s="35"/>
      <c r="O49" s="35"/>
      <c r="P49" s="35">
        <v>0</v>
      </c>
      <c r="Q49" s="35"/>
      <c r="R49" s="35"/>
      <c r="S49" s="35"/>
      <c r="T49" s="35"/>
      <c r="U49" s="35"/>
      <c r="V49" s="35"/>
      <c r="W49" s="35"/>
      <c r="X49" s="35"/>
      <c r="Y49" s="35"/>
      <c r="Z49" s="35"/>
      <c r="AA49" s="300">
        <f t="shared" si="0"/>
        <v>0</v>
      </c>
      <c r="AB49" s="93" t="s">
        <v>187</v>
      </c>
      <c r="AC49" s="35"/>
      <c r="AD49" s="35"/>
      <c r="AE49" s="35">
        <v>100</v>
      </c>
      <c r="AF49" s="177"/>
      <c r="AG49" s="30">
        <f>AA49*AC49%</f>
        <v>0</v>
      </c>
      <c r="AH49" s="37"/>
      <c r="AI49" s="30"/>
      <c r="AJ49" s="25"/>
      <c r="AK49" s="111">
        <f t="shared" si="5"/>
        <v>0</v>
      </c>
      <c r="AL49" s="302"/>
      <c r="AM49" s="24"/>
      <c r="AN49" s="24"/>
      <c r="AO49" s="24"/>
      <c r="AP49" s="24"/>
      <c r="AQ49" s="24"/>
      <c r="AR49" s="24"/>
      <c r="AS49" s="24"/>
      <c r="AT49" s="25"/>
    </row>
    <row r="50" spans="1:46" ht="15" customHeight="1" x14ac:dyDescent="0.2">
      <c r="A50" s="20"/>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00">
        <f t="shared" si="0"/>
        <v>0</v>
      </c>
      <c r="AB50" s="93" t="s">
        <v>188</v>
      </c>
      <c r="AC50" s="35"/>
      <c r="AD50" s="35"/>
      <c r="AE50" s="35">
        <v>100</v>
      </c>
      <c r="AF50" s="177"/>
      <c r="AG50" s="293"/>
      <c r="AH50" s="37"/>
      <c r="AI50" s="30">
        <f>'E-Tiltag'!$D$149*'E-Tiltag'!$M$149</f>
        <v>0</v>
      </c>
      <c r="AJ50" s="25"/>
      <c r="AK50" s="111">
        <f t="shared" si="5"/>
        <v>0</v>
      </c>
      <c r="AL50" s="302"/>
      <c r="AM50" s="24"/>
      <c r="AN50" s="24"/>
      <c r="AO50" s="24"/>
      <c r="AP50" s="24"/>
      <c r="AQ50" s="24"/>
      <c r="AR50" s="24"/>
      <c r="AS50" s="24"/>
      <c r="AT50" s="25"/>
    </row>
    <row r="51" spans="1:46" ht="15" customHeight="1" x14ac:dyDescent="0.2">
      <c r="A51" s="20"/>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00">
        <f t="shared" si="0"/>
        <v>0</v>
      </c>
      <c r="AB51" s="93" t="s">
        <v>189</v>
      </c>
      <c r="AC51" s="35"/>
      <c r="AD51" s="35"/>
      <c r="AE51" s="35"/>
      <c r="AF51" s="177">
        <f>100-'E-Tiltag'!$J$19</f>
        <v>99.75</v>
      </c>
      <c r="AG51" s="293"/>
      <c r="AH51" s="37"/>
      <c r="AI51" s="100">
        <f>-'E-Tiltag'!D149</f>
        <v>0</v>
      </c>
      <c r="AJ51" s="25">
        <f>-AI51*AF51/100</f>
        <v>0</v>
      </c>
      <c r="AK51" s="111">
        <f t="shared" si="5"/>
        <v>0</v>
      </c>
      <c r="AL51" s="110">
        <f>AJ51*64.9%</f>
        <v>0</v>
      </c>
      <c r="AM51" s="110">
        <f>AJ51*9.8%</f>
        <v>0</v>
      </c>
      <c r="AN51" s="107">
        <f>AJ51*13.2%</f>
        <v>0</v>
      </c>
      <c r="AO51" s="107">
        <f>AJ51*7%</f>
        <v>0</v>
      </c>
      <c r="AP51" s="107"/>
      <c r="AQ51" s="107">
        <f>AJ51*3.6%</f>
        <v>0</v>
      </c>
      <c r="AR51" s="107">
        <f>AJ51*1.5%</f>
        <v>0</v>
      </c>
      <c r="AS51" s="107"/>
      <c r="AT51" s="25"/>
    </row>
    <row r="52" spans="1:46" ht="15" customHeight="1" x14ac:dyDescent="0.2">
      <c r="A52" s="20"/>
      <c r="B52" s="35">
        <v>0</v>
      </c>
      <c r="C52" s="35">
        <v>0</v>
      </c>
      <c r="D52" s="35">
        <v>0</v>
      </c>
      <c r="E52" s="35">
        <v>0</v>
      </c>
      <c r="F52" s="35">
        <v>0</v>
      </c>
      <c r="G52" s="35">
        <v>0</v>
      </c>
      <c r="H52" s="35">
        <v>0</v>
      </c>
      <c r="I52" s="35">
        <v>0</v>
      </c>
      <c r="J52" s="35"/>
      <c r="K52" s="35"/>
      <c r="L52" s="35"/>
      <c r="M52" s="35">
        <v>0</v>
      </c>
      <c r="N52" s="35">
        <v>0</v>
      </c>
      <c r="O52" s="35">
        <v>0</v>
      </c>
      <c r="P52" s="35">
        <v>0</v>
      </c>
      <c r="Q52" s="35">
        <v>0</v>
      </c>
      <c r="R52" s="35">
        <v>0</v>
      </c>
      <c r="S52" s="35">
        <v>0</v>
      </c>
      <c r="T52" s="35">
        <v>0</v>
      </c>
      <c r="U52" s="35">
        <v>0</v>
      </c>
      <c r="V52" s="35">
        <v>0</v>
      </c>
      <c r="W52" s="35">
        <v>0</v>
      </c>
      <c r="X52" s="35">
        <v>0</v>
      </c>
      <c r="Y52" s="36">
        <v>0</v>
      </c>
      <c r="Z52" s="35">
        <v>0</v>
      </c>
      <c r="AA52" s="300">
        <f t="shared" si="0"/>
        <v>0</v>
      </c>
      <c r="AB52" s="93" t="s">
        <v>190</v>
      </c>
      <c r="AC52" s="35">
        <v>0</v>
      </c>
      <c r="AD52" s="35"/>
      <c r="AE52" s="35">
        <v>0</v>
      </c>
      <c r="AF52" s="177"/>
      <c r="AG52" s="30">
        <f t="shared" ref="AG52:AG54" si="6">AC52/100*AA52</f>
        <v>0</v>
      </c>
      <c r="AH52" s="37"/>
      <c r="AI52" s="30">
        <f>AA52*AE52/100</f>
        <v>0</v>
      </c>
      <c r="AJ52" s="25"/>
      <c r="AK52" s="111">
        <f t="shared" si="5"/>
        <v>0</v>
      </c>
      <c r="AL52" s="302"/>
      <c r="AM52" s="24"/>
      <c r="AN52" s="24"/>
      <c r="AO52" s="24"/>
      <c r="AP52" s="24"/>
      <c r="AQ52" s="24"/>
      <c r="AR52" s="24"/>
      <c r="AS52" s="24"/>
      <c r="AT52" s="25"/>
    </row>
    <row r="53" spans="1:46" ht="15" customHeight="1" x14ac:dyDescent="0.2">
      <c r="A53" s="20"/>
      <c r="B53" s="35">
        <v>0</v>
      </c>
      <c r="C53" s="35">
        <v>0</v>
      </c>
      <c r="D53" s="35">
        <v>0</v>
      </c>
      <c r="E53" s="35">
        <v>0</v>
      </c>
      <c r="F53" s="35">
        <v>0</v>
      </c>
      <c r="G53" s="35">
        <v>0</v>
      </c>
      <c r="H53" s="35">
        <v>0</v>
      </c>
      <c r="I53" s="35">
        <v>0</v>
      </c>
      <c r="J53" s="35"/>
      <c r="K53" s="35"/>
      <c r="L53" s="35"/>
      <c r="M53" s="35">
        <v>0</v>
      </c>
      <c r="N53" s="35">
        <v>0</v>
      </c>
      <c r="O53" s="35">
        <v>0</v>
      </c>
      <c r="P53" s="35">
        <v>0</v>
      </c>
      <c r="Q53" s="35">
        <v>0</v>
      </c>
      <c r="R53" s="35">
        <v>0</v>
      </c>
      <c r="S53" s="35">
        <v>0</v>
      </c>
      <c r="T53" s="35">
        <v>0</v>
      </c>
      <c r="U53" s="35">
        <v>0</v>
      </c>
      <c r="V53" s="35">
        <v>0</v>
      </c>
      <c r="W53" s="35">
        <v>0</v>
      </c>
      <c r="X53" s="35">
        <v>0</v>
      </c>
      <c r="Y53" s="35">
        <v>0</v>
      </c>
      <c r="Z53" s="35">
        <v>0</v>
      </c>
      <c r="AA53" s="300">
        <f t="shared" si="0"/>
        <v>0</v>
      </c>
      <c r="AB53" s="93" t="s">
        <v>191</v>
      </c>
      <c r="AC53" s="35"/>
      <c r="AD53" s="35"/>
      <c r="AE53" s="35">
        <v>0</v>
      </c>
      <c r="AF53" s="177"/>
      <c r="AG53" s="30">
        <f t="shared" si="6"/>
        <v>0</v>
      </c>
      <c r="AH53" s="37"/>
      <c r="AI53" s="30">
        <f>AA53*AE53/100</f>
        <v>0</v>
      </c>
      <c r="AJ53" s="25"/>
      <c r="AK53" s="111">
        <f t="shared" si="5"/>
        <v>0</v>
      </c>
      <c r="AL53" s="302"/>
      <c r="AM53" s="24"/>
      <c r="AN53" s="24"/>
      <c r="AO53" s="24"/>
      <c r="AP53" s="24"/>
      <c r="AQ53" s="24"/>
      <c r="AR53" s="24"/>
      <c r="AS53" s="24"/>
      <c r="AT53" s="25"/>
    </row>
    <row r="54" spans="1:46" ht="15" customHeight="1" x14ac:dyDescent="0.2">
      <c r="A54" s="20"/>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00">
        <f t="shared" si="0"/>
        <v>0</v>
      </c>
      <c r="AB54" s="93" t="s">
        <v>192</v>
      </c>
      <c r="AC54" s="35"/>
      <c r="AD54" s="35"/>
      <c r="AE54" s="35">
        <v>100</v>
      </c>
      <c r="AF54" s="177"/>
      <c r="AG54" s="30">
        <f t="shared" si="6"/>
        <v>0</v>
      </c>
      <c r="AH54" s="37"/>
      <c r="AI54" s="30">
        <v>0</v>
      </c>
      <c r="AJ54" s="25"/>
      <c r="AK54" s="111">
        <f t="shared" si="5"/>
        <v>0</v>
      </c>
      <c r="AL54" s="302"/>
      <c r="AM54" s="24"/>
      <c r="AN54" s="24"/>
      <c r="AO54" s="24"/>
      <c r="AP54" s="24"/>
      <c r="AQ54" s="24"/>
      <c r="AR54" s="24"/>
      <c r="AS54" s="24"/>
      <c r="AT54" s="25"/>
    </row>
    <row r="55" spans="1:46" ht="15" customHeight="1" x14ac:dyDescent="0.2">
      <c r="A55" s="20"/>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00">
        <f t="shared" si="0"/>
        <v>0</v>
      </c>
      <c r="AB55" s="368" t="s">
        <v>193</v>
      </c>
      <c r="AC55" s="35"/>
      <c r="AD55" s="35"/>
      <c r="AE55" s="35"/>
      <c r="AF55" s="177"/>
      <c r="AG55" s="30">
        <f>-AH55</f>
        <v>0</v>
      </c>
      <c r="AH55" s="37">
        <v>0</v>
      </c>
      <c r="AI55" s="100"/>
      <c r="AJ55" s="21"/>
      <c r="AK55" s="111">
        <f t="shared" si="5"/>
        <v>0</v>
      </c>
      <c r="AL55" s="302"/>
      <c r="AM55" s="24"/>
      <c r="AN55" s="24"/>
      <c r="AO55" s="24"/>
      <c r="AP55" s="24"/>
      <c r="AQ55" s="24">
        <f>AH55</f>
        <v>0</v>
      </c>
      <c r="AR55" s="24"/>
      <c r="AS55" s="24"/>
      <c r="AT55" s="25"/>
    </row>
    <row r="56" spans="1:46" ht="15" customHeight="1" x14ac:dyDescent="0.2">
      <c r="A56" s="20"/>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00">
        <f t="shared" si="0"/>
        <v>0</v>
      </c>
      <c r="AB56" s="368" t="s">
        <v>530</v>
      </c>
      <c r="AC56" s="35"/>
      <c r="AD56" s="35"/>
      <c r="AE56" s="35"/>
      <c r="AF56" s="177"/>
      <c r="AG56" s="293"/>
      <c r="AH56" s="37"/>
      <c r="AI56" s="100">
        <v>0</v>
      </c>
      <c r="AJ56" s="21"/>
      <c r="AK56" s="111">
        <f t="shared" si="5"/>
        <v>0</v>
      </c>
      <c r="AL56" s="302"/>
      <c r="AM56" s="24"/>
      <c r="AN56" s="24"/>
      <c r="AO56" s="24"/>
      <c r="AP56" s="24"/>
      <c r="AQ56" s="24">
        <f>-AI56</f>
        <v>0</v>
      </c>
      <c r="AR56" s="24"/>
      <c r="AS56" s="24"/>
      <c r="AT56" s="25"/>
    </row>
    <row r="57" spans="1:46" ht="15" customHeight="1" x14ac:dyDescent="0.2">
      <c r="A57" s="20"/>
      <c r="B57" s="35"/>
      <c r="C57" s="35"/>
      <c r="D57" s="35"/>
      <c r="E57" s="35"/>
      <c r="F57" s="35"/>
      <c r="G57" s="35"/>
      <c r="H57" s="35"/>
      <c r="I57" s="35"/>
      <c r="J57" s="35">
        <f>-'E-Tiltag'!S53</f>
        <v>0</v>
      </c>
      <c r="K57" s="35"/>
      <c r="L57" s="35"/>
      <c r="M57" s="35"/>
      <c r="N57" s="35"/>
      <c r="O57" s="35"/>
      <c r="P57" s="35"/>
      <c r="Q57" s="35"/>
      <c r="R57" s="35"/>
      <c r="S57" s="35"/>
      <c r="T57" s="35"/>
      <c r="U57" s="35"/>
      <c r="V57" s="35"/>
      <c r="W57" s="35"/>
      <c r="X57" s="35"/>
      <c r="Y57" s="35"/>
      <c r="Z57" s="35"/>
      <c r="AA57" s="300">
        <f t="shared" si="0"/>
        <v>0</v>
      </c>
      <c r="AB57" s="93" t="s">
        <v>194</v>
      </c>
      <c r="AC57" s="35">
        <v>65</v>
      </c>
      <c r="AD57" s="35"/>
      <c r="AE57" s="35">
        <v>15</v>
      </c>
      <c r="AF57" s="177"/>
      <c r="AG57" s="30">
        <f>-AH57/$D$2%</f>
        <v>0</v>
      </c>
      <c r="AH57" s="37"/>
      <c r="AI57" s="100">
        <f>AH57*AE57%</f>
        <v>0</v>
      </c>
      <c r="AJ57" s="25">
        <f>AI57*AF60%</f>
        <v>0</v>
      </c>
      <c r="AK57" s="111">
        <f t="shared" si="5"/>
        <v>0</v>
      </c>
      <c r="AL57" s="302"/>
      <c r="AM57" s="302"/>
      <c r="AN57" s="24"/>
      <c r="AO57" s="24"/>
      <c r="AP57" s="24"/>
      <c r="AQ57" s="24"/>
      <c r="AR57" s="24"/>
      <c r="AS57" s="24"/>
      <c r="AT57" s="25"/>
    </row>
    <row r="58" spans="1:46" ht="15" customHeight="1" x14ac:dyDescent="0.2">
      <c r="A58" s="20"/>
      <c r="B58" s="35"/>
      <c r="C58" s="35"/>
      <c r="D58" s="35"/>
      <c r="E58" s="35"/>
      <c r="F58" s="35"/>
      <c r="G58" s="35"/>
      <c r="H58" s="35"/>
      <c r="I58" s="35"/>
      <c r="J58" s="35"/>
      <c r="K58" s="35">
        <f>-'E-Tiltag'!S52</f>
        <v>0</v>
      </c>
      <c r="L58" s="35"/>
      <c r="M58" s="35"/>
      <c r="N58" s="35"/>
      <c r="O58" s="35"/>
      <c r="P58" s="35"/>
      <c r="Q58" s="35"/>
      <c r="R58" s="35"/>
      <c r="S58" s="35"/>
      <c r="T58" s="35"/>
      <c r="U58" s="35"/>
      <c r="V58" s="35"/>
      <c r="W58" s="35"/>
      <c r="X58" s="35"/>
      <c r="Y58" s="35"/>
      <c r="Z58" s="35"/>
      <c r="AA58" s="300">
        <f t="shared" si="0"/>
        <v>0</v>
      </c>
      <c r="AB58" s="93" t="s">
        <v>195</v>
      </c>
      <c r="AC58" s="35">
        <v>630</v>
      </c>
      <c r="AD58" s="35"/>
      <c r="AE58" s="35"/>
      <c r="AF58" s="177"/>
      <c r="AG58" s="30">
        <f>-AH58/$D$2%</f>
        <v>0</v>
      </c>
      <c r="AH58" s="37">
        <f>'E-Tiltag'!$S$50</f>
        <v>0</v>
      </c>
      <c r="AI58" s="100">
        <f t="shared" ref="AI58:AI59" si="7">AH58*AE58%</f>
        <v>0</v>
      </c>
      <c r="AJ58" s="25">
        <f t="shared" ref="AJ58:AJ59" si="8">AI58*AF61%</f>
        <v>0</v>
      </c>
      <c r="AK58" s="111">
        <f t="shared" si="5"/>
        <v>0</v>
      </c>
      <c r="AL58" s="302"/>
      <c r="AM58" s="302"/>
      <c r="AN58" s="24"/>
      <c r="AO58" s="24"/>
      <c r="AP58" s="24"/>
      <c r="AQ58" s="24"/>
      <c r="AR58" s="24"/>
      <c r="AS58" s="24"/>
      <c r="AT58" s="25"/>
    </row>
    <row r="59" spans="1:46" ht="15" customHeight="1" x14ac:dyDescent="0.2">
      <c r="A59" s="20"/>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00">
        <f t="shared" si="0"/>
        <v>0</v>
      </c>
      <c r="AB59" s="93" t="s">
        <v>196</v>
      </c>
      <c r="AC59" s="35"/>
      <c r="AD59" s="35"/>
      <c r="AE59" s="35"/>
      <c r="AF59" s="177"/>
      <c r="AG59" s="30">
        <f>-AH59/$D$2%</f>
        <v>0</v>
      </c>
      <c r="AH59" s="37"/>
      <c r="AI59" s="100">
        <f t="shared" si="7"/>
        <v>0</v>
      </c>
      <c r="AJ59" s="25">
        <f t="shared" si="8"/>
        <v>0</v>
      </c>
      <c r="AK59" s="111">
        <f t="shared" si="5"/>
        <v>0</v>
      </c>
      <c r="AL59" s="302"/>
      <c r="AM59" s="302"/>
      <c r="AN59" s="24"/>
      <c r="AO59" s="24"/>
      <c r="AP59" s="24"/>
      <c r="AQ59" s="24"/>
      <c r="AR59" s="24"/>
      <c r="AS59" s="24"/>
      <c r="AT59" s="25"/>
    </row>
    <row r="60" spans="1:46" ht="15" customHeight="1" x14ac:dyDescent="0.2">
      <c r="A60" s="20"/>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00">
        <f t="shared" si="0"/>
        <v>0</v>
      </c>
      <c r="AB60" s="93" t="s">
        <v>197</v>
      </c>
      <c r="AC60" s="35"/>
      <c r="AD60" s="35"/>
      <c r="AE60" s="35"/>
      <c r="AF60" s="177">
        <f>100-'E-Tiltag'!$J$19</f>
        <v>99.75</v>
      </c>
      <c r="AG60" s="293"/>
      <c r="AH60" s="37"/>
      <c r="AI60" s="30">
        <f>-SUM(AI52:AI59)</f>
        <v>0</v>
      </c>
      <c r="AJ60" s="25">
        <f>-AI60*AF60/100</f>
        <v>0</v>
      </c>
      <c r="AK60" s="111">
        <f t="shared" ref="AK60:AK61" si="9">SUM(AL60:AT60)</f>
        <v>0</v>
      </c>
      <c r="AL60" s="110">
        <f>AJ60*64.9%</f>
        <v>0</v>
      </c>
      <c r="AM60" s="110">
        <f>AJ60*9.8%</f>
        <v>0</v>
      </c>
      <c r="AN60" s="107">
        <f>AJ60*13.2%</f>
        <v>0</v>
      </c>
      <c r="AO60" s="107">
        <f>AJ60*7%</f>
        <v>0</v>
      </c>
      <c r="AP60" s="107"/>
      <c r="AQ60" s="107">
        <f>AJ60*3.6%</f>
        <v>0</v>
      </c>
      <c r="AR60" s="107">
        <f>AJ60*1.5%</f>
        <v>0</v>
      </c>
      <c r="AS60" s="107"/>
      <c r="AT60" s="25"/>
    </row>
    <row r="61" spans="1:46" ht="15" customHeight="1" x14ac:dyDescent="0.2">
      <c r="A61" s="20"/>
      <c r="B61" s="35"/>
      <c r="C61" s="35"/>
      <c r="D61" s="35"/>
      <c r="E61" s="35"/>
      <c r="F61" s="2"/>
      <c r="G61" s="35"/>
      <c r="H61" s="346">
        <f>AA61-S61</f>
        <v>12.05695321330645</v>
      </c>
      <c r="I61" s="35"/>
      <c r="J61" s="35"/>
      <c r="K61" s="35"/>
      <c r="L61" s="35"/>
      <c r="M61" s="35"/>
      <c r="N61" s="35"/>
      <c r="O61" s="35"/>
      <c r="P61" s="35"/>
      <c r="Q61" s="35"/>
      <c r="R61" s="35"/>
      <c r="S61" s="346">
        <f>AA61*'E-Tiltag'!$AE$4</f>
        <v>0.86582622217741934</v>
      </c>
      <c r="T61" s="35"/>
      <c r="U61" s="35"/>
      <c r="V61" s="35"/>
      <c r="W61" s="35"/>
      <c r="X61" s="35"/>
      <c r="Y61" s="35"/>
      <c r="Z61" s="35"/>
      <c r="AA61" s="345">
        <f>'E-Tiltag'!AE44</f>
        <v>12.92277943548387</v>
      </c>
      <c r="AB61" s="93" t="s">
        <v>198</v>
      </c>
      <c r="AC61" s="35"/>
      <c r="AD61" s="35">
        <v>19</v>
      </c>
      <c r="AE61" s="35"/>
      <c r="AF61" s="177"/>
      <c r="AG61" s="293"/>
      <c r="AH61" s="37"/>
      <c r="AI61" s="19"/>
      <c r="AJ61" s="21"/>
      <c r="AK61" s="111">
        <f t="shared" si="9"/>
        <v>2.4553280927419352</v>
      </c>
      <c r="AL61" s="302"/>
      <c r="AM61" s="24"/>
      <c r="AN61" s="24"/>
      <c r="AO61" s="24"/>
      <c r="AP61" s="24"/>
      <c r="AQ61" s="24"/>
      <c r="AR61" s="24"/>
      <c r="AS61" s="24"/>
      <c r="AT61" s="25">
        <f>AA61*AD61/100</f>
        <v>2.4553280927419352</v>
      </c>
    </row>
    <row r="62" spans="1:46" ht="15" customHeight="1" x14ac:dyDescent="0.2">
      <c r="A62" s="20"/>
      <c r="B62" s="35"/>
      <c r="C62" s="35"/>
      <c r="D62" s="35"/>
      <c r="E62" s="35"/>
      <c r="F62" s="346">
        <f>AA62-S62-K62</f>
        <v>9.4532671106840702</v>
      </c>
      <c r="G62" s="35"/>
      <c r="H62" s="2"/>
      <c r="I62" s="35"/>
      <c r="J62" s="35"/>
      <c r="K62" s="35"/>
      <c r="L62" s="35"/>
      <c r="M62" s="35"/>
      <c r="N62" s="35"/>
      <c r="O62" s="35"/>
      <c r="P62" s="35"/>
      <c r="Q62" s="35"/>
      <c r="R62" s="35"/>
      <c r="S62" s="346">
        <f>AA62*'E-Tiltag'!$AE$5</f>
        <v>1.1326982988165681</v>
      </c>
      <c r="T62" s="35"/>
      <c r="U62" s="35"/>
      <c r="V62" s="35"/>
      <c r="W62" s="35"/>
      <c r="X62" s="35"/>
      <c r="Y62" s="35"/>
      <c r="Z62" s="35"/>
      <c r="AA62" s="345">
        <f>'E-Tiltag'!AE45</f>
        <v>10.585965409500638</v>
      </c>
      <c r="AB62" s="93" t="s">
        <v>199</v>
      </c>
      <c r="AC62" s="35"/>
      <c r="AD62" s="35">
        <v>24.3</v>
      </c>
      <c r="AE62" s="35"/>
      <c r="AF62" s="177"/>
      <c r="AG62" s="293"/>
      <c r="AH62" s="37"/>
      <c r="AI62" s="19"/>
      <c r="AJ62" s="21"/>
      <c r="AK62" s="111">
        <f t="shared" ref="AK62:AK80" si="10">SUM(AL62:AT62)</f>
        <v>2.572389594508655</v>
      </c>
      <c r="AL62" s="302"/>
      <c r="AM62" s="24"/>
      <c r="AN62" s="24"/>
      <c r="AO62" s="24"/>
      <c r="AP62" s="24"/>
      <c r="AQ62" s="24"/>
      <c r="AR62" s="24"/>
      <c r="AS62" s="24"/>
      <c r="AT62" s="25">
        <f>AA62*AD62/100</f>
        <v>2.572389594508655</v>
      </c>
    </row>
    <row r="63" spans="1:46" ht="15" customHeight="1" x14ac:dyDescent="0.2">
      <c r="A63" s="20"/>
      <c r="B63" s="35"/>
      <c r="C63" s="35"/>
      <c r="D63" s="35"/>
      <c r="E63" s="35"/>
      <c r="F63" s="35"/>
      <c r="G63" s="35"/>
      <c r="H63" s="35"/>
      <c r="I63" s="35">
        <f>'E2020'!I63</f>
        <v>0</v>
      </c>
      <c r="J63" s="35"/>
      <c r="K63" s="35"/>
      <c r="L63" s="35"/>
      <c r="M63" s="35"/>
      <c r="N63" s="35"/>
      <c r="O63" s="35"/>
      <c r="P63" s="35"/>
      <c r="Q63" s="35"/>
      <c r="R63" s="35"/>
      <c r="S63" s="35"/>
      <c r="T63" s="35"/>
      <c r="U63" s="35"/>
      <c r="V63" s="35"/>
      <c r="W63" s="35"/>
      <c r="X63" s="35"/>
      <c r="Y63" s="35"/>
      <c r="Z63" s="35"/>
      <c r="AA63" s="4">
        <f t="shared" ref="AA63:AA66" si="11">SUM(A63:Z63)</f>
        <v>0</v>
      </c>
      <c r="AB63" s="93" t="s">
        <v>524</v>
      </c>
      <c r="AC63" s="35"/>
      <c r="AD63" s="35">
        <v>22.6</v>
      </c>
      <c r="AE63" s="35"/>
      <c r="AF63" s="177"/>
      <c r="AG63" s="293"/>
      <c r="AH63" s="37"/>
      <c r="AI63" s="19"/>
      <c r="AJ63" s="21"/>
      <c r="AK63" s="111">
        <f t="shared" si="10"/>
        <v>0</v>
      </c>
      <c r="AL63" s="302"/>
      <c r="AM63" s="24"/>
      <c r="AN63" s="24"/>
      <c r="AO63" s="24"/>
      <c r="AP63" s="24"/>
      <c r="AQ63" s="24"/>
      <c r="AR63" s="24"/>
      <c r="AS63" s="24"/>
      <c r="AT63" s="25">
        <f>AA63*AD63/100</f>
        <v>0</v>
      </c>
    </row>
    <row r="64" spans="1:46" ht="15" customHeight="1" x14ac:dyDescent="0.2">
      <c r="A64" s="20"/>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27">
        <f t="shared" si="11"/>
        <v>0</v>
      </c>
      <c r="AB64" s="93" t="s">
        <v>525</v>
      </c>
      <c r="AC64" s="35">
        <v>70</v>
      </c>
      <c r="AD64" s="35"/>
      <c r="AE64" s="35"/>
      <c r="AF64" s="177"/>
      <c r="AG64" s="30">
        <f t="shared" ref="AG64:AG65" si="12">-AH64/$D$2%</f>
        <v>-5.2843431073597209</v>
      </c>
      <c r="AH64" s="343">
        <f>'E-Tiltag'!AE43</f>
        <v>4.866351567567567</v>
      </c>
      <c r="AI64" s="19"/>
      <c r="AJ64" s="21"/>
      <c r="AK64" s="111">
        <f t="shared" ref="AK64" si="13">SUM(AL64:AT64)</f>
        <v>3.4064460972972967</v>
      </c>
      <c r="AL64" s="302"/>
      <c r="AM64" s="24"/>
      <c r="AN64" s="24"/>
      <c r="AO64" s="24"/>
      <c r="AP64" s="24"/>
      <c r="AQ64" s="24"/>
      <c r="AR64" s="24"/>
      <c r="AS64" s="24"/>
      <c r="AT64" s="25">
        <f>AH64*AC64%</f>
        <v>3.4064460972972967</v>
      </c>
    </row>
    <row r="65" spans="1:46" ht="15" customHeight="1" x14ac:dyDescent="0.2">
      <c r="A65" s="20"/>
      <c r="B65" s="35"/>
      <c r="C65" s="35"/>
      <c r="D65" s="35"/>
      <c r="E65" s="35"/>
      <c r="F65" s="107"/>
      <c r="G65" s="35"/>
      <c r="H65" s="104">
        <f>AA65-S65</f>
        <v>0</v>
      </c>
      <c r="I65" s="35"/>
      <c r="J65" s="35"/>
      <c r="K65" s="35"/>
      <c r="L65" s="35"/>
      <c r="M65" s="35"/>
      <c r="N65" s="35"/>
      <c r="O65" s="35"/>
      <c r="P65" s="35"/>
      <c r="Q65" s="35"/>
      <c r="R65" s="35"/>
      <c r="S65" s="346">
        <f>AA65*'E-Tiltag'!$AE$4</f>
        <v>0</v>
      </c>
      <c r="T65" s="35"/>
      <c r="U65" s="35"/>
      <c r="V65" s="35"/>
      <c r="W65" s="35"/>
      <c r="X65" s="35"/>
      <c r="Y65" s="35"/>
      <c r="Z65" s="35"/>
      <c r="AA65" s="346">
        <v>0</v>
      </c>
      <c r="AB65" s="93" t="s">
        <v>520</v>
      </c>
      <c r="AC65" s="35">
        <v>70</v>
      </c>
      <c r="AD65" s="35">
        <v>19</v>
      </c>
      <c r="AE65" s="35"/>
      <c r="AF65" s="177"/>
      <c r="AG65" s="30">
        <f t="shared" si="12"/>
        <v>0</v>
      </c>
      <c r="AH65" s="109">
        <f>AA65*AD65%/AC65%</f>
        <v>0</v>
      </c>
      <c r="AI65" s="19"/>
      <c r="AJ65" s="21"/>
      <c r="AK65" s="111">
        <f t="shared" si="10"/>
        <v>0</v>
      </c>
      <c r="AL65" s="302"/>
      <c r="AM65" s="24"/>
      <c r="AN65" s="24"/>
      <c r="AO65" s="24"/>
      <c r="AP65" s="24"/>
      <c r="AQ65" s="24"/>
      <c r="AR65" s="24"/>
      <c r="AS65" s="24"/>
      <c r="AT65" s="25">
        <f>AH65*AC65%+AA65*AD65%</f>
        <v>0</v>
      </c>
    </row>
    <row r="66" spans="1:46" ht="15" customHeight="1" x14ac:dyDescent="0.2">
      <c r="A66" s="20"/>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f t="shared" si="11"/>
        <v>0</v>
      </c>
      <c r="AB66" s="93" t="s">
        <v>519</v>
      </c>
      <c r="AC66" s="35"/>
      <c r="AD66" s="35">
        <v>40</v>
      </c>
      <c r="AE66" s="35"/>
      <c r="AF66" s="177"/>
      <c r="AG66" s="293"/>
      <c r="AH66" s="303"/>
      <c r="AI66" s="19"/>
      <c r="AJ66" s="21"/>
      <c r="AK66" s="111">
        <f t="shared" si="10"/>
        <v>0</v>
      </c>
      <c r="AL66" s="302"/>
      <c r="AM66" s="24"/>
      <c r="AN66" s="24"/>
      <c r="AO66" s="24"/>
      <c r="AP66" s="24"/>
      <c r="AQ66" s="24"/>
      <c r="AR66" s="24"/>
      <c r="AS66" s="24"/>
      <c r="AT66" s="25">
        <f>AA66*AD66%</f>
        <v>0</v>
      </c>
    </row>
    <row r="67" spans="1:46" ht="15" customHeight="1" x14ac:dyDescent="0.2">
      <c r="A67" s="20"/>
      <c r="B67" s="35"/>
      <c r="C67" s="35"/>
      <c r="D67" s="35"/>
      <c r="E67" s="35"/>
      <c r="F67" s="346">
        <f>AA67-S67-K67</f>
        <v>0.5506119395535839</v>
      </c>
      <c r="G67" s="35"/>
      <c r="H67" s="2"/>
      <c r="I67" s="35"/>
      <c r="J67" s="35"/>
      <c r="K67" s="35"/>
      <c r="L67" s="35"/>
      <c r="M67" s="35"/>
      <c r="N67" s="35"/>
      <c r="O67" s="35"/>
      <c r="P67" s="35"/>
      <c r="Q67" s="35"/>
      <c r="R67" s="35"/>
      <c r="S67" s="346">
        <f>AA67*'E-Tiltag'!$AE$5</f>
        <v>6.5974778871482051E-2</v>
      </c>
      <c r="T67" s="35"/>
      <c r="U67" s="35"/>
      <c r="V67" s="35"/>
      <c r="W67" s="35"/>
      <c r="X67" s="35"/>
      <c r="Y67" s="35"/>
      <c r="Z67" s="35"/>
      <c r="AA67" s="345">
        <f>'E-Tiltag'!AE85</f>
        <v>0.61658671842506596</v>
      </c>
      <c r="AB67" s="94" t="s">
        <v>200</v>
      </c>
      <c r="AC67" s="35"/>
      <c r="AD67" s="35">
        <v>29.6</v>
      </c>
      <c r="AE67" s="35"/>
      <c r="AF67" s="177"/>
      <c r="AG67" s="30">
        <f>-AH67/$D$2%</f>
        <v>0</v>
      </c>
      <c r="AH67" s="303"/>
      <c r="AI67" s="19"/>
      <c r="AJ67" s="21"/>
      <c r="AK67" s="111">
        <f t="shared" si="10"/>
        <v>0.18250966865381954</v>
      </c>
      <c r="AL67" s="302"/>
      <c r="AM67" s="24"/>
      <c r="AN67" s="24"/>
      <c r="AO67" s="24"/>
      <c r="AP67" s="24"/>
      <c r="AQ67" s="24"/>
      <c r="AR67" s="24"/>
      <c r="AS67" s="24"/>
      <c r="AT67" s="25">
        <f>AA67*AD67%</f>
        <v>0.18250966865381954</v>
      </c>
    </row>
    <row r="68" spans="1:46" ht="15" customHeight="1" x14ac:dyDescent="0.2">
      <c r="A68" s="20"/>
      <c r="B68" s="35"/>
      <c r="C68" s="35"/>
      <c r="D68" s="35"/>
      <c r="E68" s="35"/>
      <c r="F68" s="35"/>
      <c r="G68" s="35"/>
      <c r="H68" s="35"/>
      <c r="I68" s="35">
        <f>'E-Tiltag'!$AE$87</f>
        <v>0</v>
      </c>
      <c r="J68" s="35"/>
      <c r="K68" s="35"/>
      <c r="L68" s="35"/>
      <c r="M68" s="35"/>
      <c r="N68" s="35"/>
      <c r="O68" s="35"/>
      <c r="P68" s="35"/>
      <c r="Q68" s="35"/>
      <c r="R68" s="35"/>
      <c r="S68" s="35"/>
      <c r="T68" s="35"/>
      <c r="U68" s="35"/>
      <c r="V68" s="35"/>
      <c r="W68" s="35"/>
      <c r="X68" s="35"/>
      <c r="Y68" s="35"/>
      <c r="Z68" s="35"/>
      <c r="AA68" s="25">
        <f t="shared" ref="AA68:AA70" si="14">SUM(A68:Z68)</f>
        <v>0</v>
      </c>
      <c r="AB68" s="94" t="s">
        <v>515</v>
      </c>
      <c r="AC68" s="35"/>
      <c r="AD68" s="35">
        <v>26.1</v>
      </c>
      <c r="AE68" s="35"/>
      <c r="AF68" s="177"/>
      <c r="AG68" s="293"/>
      <c r="AH68" s="303"/>
      <c r="AI68" s="19"/>
      <c r="AJ68" s="21"/>
      <c r="AK68" s="111">
        <f t="shared" si="10"/>
        <v>0</v>
      </c>
      <c r="AL68" s="302"/>
      <c r="AM68" s="24"/>
      <c r="AN68" s="24"/>
      <c r="AO68" s="24"/>
      <c r="AP68" s="24"/>
      <c r="AQ68" s="24"/>
      <c r="AR68" s="24"/>
      <c r="AS68" s="24"/>
      <c r="AT68" s="25">
        <f>AA68*AD68%</f>
        <v>0</v>
      </c>
    </row>
    <row r="69" spans="1:46" ht="15" customHeight="1" x14ac:dyDescent="0.2">
      <c r="A69" s="20"/>
      <c r="B69" s="35"/>
      <c r="C69" s="35"/>
      <c r="D69" s="35"/>
      <c r="E69" s="35"/>
      <c r="F69" s="35"/>
      <c r="G69" s="35"/>
      <c r="H69" s="35"/>
      <c r="I69" s="35"/>
      <c r="J69" s="35">
        <f>'E-Tiltag'!$AE$88</f>
        <v>0</v>
      </c>
      <c r="K69" s="35"/>
      <c r="L69" s="35"/>
      <c r="M69" s="35"/>
      <c r="N69" s="35"/>
      <c r="O69" s="35"/>
      <c r="P69" s="35"/>
      <c r="Q69" s="35"/>
      <c r="R69" s="35"/>
      <c r="S69" s="35"/>
      <c r="T69" s="35"/>
      <c r="U69" s="35"/>
      <c r="V69" s="35"/>
      <c r="W69" s="35"/>
      <c r="X69" s="35"/>
      <c r="Y69" s="35"/>
      <c r="Z69" s="35"/>
      <c r="AA69" s="300">
        <f t="shared" si="14"/>
        <v>0</v>
      </c>
      <c r="AB69" s="94" t="s">
        <v>516</v>
      </c>
      <c r="AC69" s="35"/>
      <c r="AD69" s="35">
        <v>40</v>
      </c>
      <c r="AE69" s="35"/>
      <c r="AF69" s="177"/>
      <c r="AG69" s="293"/>
      <c r="AH69" s="303"/>
      <c r="AI69" s="19"/>
      <c r="AJ69" s="21"/>
      <c r="AK69" s="111">
        <f t="shared" si="10"/>
        <v>0</v>
      </c>
      <c r="AL69" s="302"/>
      <c r="AM69" s="24"/>
      <c r="AN69" s="24"/>
      <c r="AO69" s="24"/>
      <c r="AP69" s="24"/>
      <c r="AQ69" s="24"/>
      <c r="AR69" s="24"/>
      <c r="AS69" s="24"/>
      <c r="AT69" s="25">
        <f t="shared" ref="AT69" si="15">AA69*AD69%</f>
        <v>0</v>
      </c>
    </row>
    <row r="70" spans="1:46" ht="15" customHeight="1" x14ac:dyDescent="0.2">
      <c r="A70" s="20"/>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00">
        <f t="shared" si="14"/>
        <v>0</v>
      </c>
      <c r="AB70" s="94" t="s">
        <v>526</v>
      </c>
      <c r="AC70" s="35">
        <v>70</v>
      </c>
      <c r="AD70" s="35"/>
      <c r="AE70" s="35"/>
      <c r="AF70" s="177"/>
      <c r="AG70" s="30">
        <f t="shared" ref="AG70" si="16">-AH70/$D$2%</f>
        <v>-9.4374379439275013E-2</v>
      </c>
      <c r="AH70" s="303">
        <f>'E-Tiltag'!$AE$86</f>
        <v>8.6909366025628362E-2</v>
      </c>
      <c r="AI70" s="19"/>
      <c r="AJ70" s="21"/>
      <c r="AK70" s="111">
        <f t="shared" ref="AK70:AK79" si="17">SUM(AL70:AT70)</f>
        <v>6.0836556217939847E-2</v>
      </c>
      <c r="AL70" s="302"/>
      <c r="AM70" s="24"/>
      <c r="AN70" s="24"/>
      <c r="AO70" s="24"/>
      <c r="AP70" s="24"/>
      <c r="AQ70" s="24"/>
      <c r="AR70" s="24"/>
      <c r="AS70" s="24"/>
      <c r="AT70" s="25">
        <f>AH70*AC70%</f>
        <v>6.0836556217939847E-2</v>
      </c>
    </row>
    <row r="71" spans="1:46" ht="15" customHeight="1" x14ac:dyDescent="0.2">
      <c r="A71" s="20"/>
      <c r="B71" s="35"/>
      <c r="C71" s="35"/>
      <c r="D71" s="35"/>
      <c r="E71" s="35"/>
      <c r="F71" s="346">
        <f>AA71-S71-K71</f>
        <v>24.149692627770236</v>
      </c>
      <c r="G71" s="35"/>
      <c r="H71" s="2"/>
      <c r="I71" s="35"/>
      <c r="J71" s="35"/>
      <c r="K71" s="35"/>
      <c r="L71" s="35"/>
      <c r="M71" s="35"/>
      <c r="N71" s="35"/>
      <c r="O71" s="35"/>
      <c r="P71" s="35"/>
      <c r="Q71" s="35"/>
      <c r="R71" s="35"/>
      <c r="S71" s="346">
        <f>AA71*'E-Tiltag'!$AE$5</f>
        <v>2.8936361827227497</v>
      </c>
      <c r="T71" s="35"/>
      <c r="U71" s="35"/>
      <c r="V71" s="35"/>
      <c r="W71" s="35"/>
      <c r="X71" s="35"/>
      <c r="Y71" s="35"/>
      <c r="Z71" s="35"/>
      <c r="AA71" s="345">
        <f>'E-Tiltag'!$AE$64</f>
        <v>27.043328810492987</v>
      </c>
      <c r="AB71" s="94" t="s">
        <v>201</v>
      </c>
      <c r="AC71" s="35"/>
      <c r="AD71" s="35">
        <v>36.5</v>
      </c>
      <c r="AE71" s="35"/>
      <c r="AF71" s="177"/>
      <c r="AG71" s="293"/>
      <c r="AH71" s="303"/>
      <c r="AI71" s="19"/>
      <c r="AJ71" s="21"/>
      <c r="AK71" s="111">
        <f t="shared" si="17"/>
        <v>9.8708150158299404</v>
      </c>
      <c r="AL71" s="302"/>
      <c r="AM71" s="24"/>
      <c r="AN71" s="24"/>
      <c r="AO71" s="24"/>
      <c r="AP71" s="24"/>
      <c r="AQ71" s="24"/>
      <c r="AR71" s="24"/>
      <c r="AS71" s="24"/>
      <c r="AT71" s="25">
        <f>AA71*AD71%</f>
        <v>9.8708150158299404</v>
      </c>
    </row>
    <row r="72" spans="1:46" ht="15" customHeight="1" x14ac:dyDescent="0.2">
      <c r="A72" s="20"/>
      <c r="B72" s="35"/>
      <c r="C72" s="35"/>
      <c r="D72" s="35"/>
      <c r="E72" s="35"/>
      <c r="F72" s="35"/>
      <c r="G72" s="35"/>
      <c r="H72" s="35"/>
      <c r="I72" s="35">
        <f>'E2020'!I72+'E-Tiltag'!$AE$66</f>
        <v>0.90160897112074712</v>
      </c>
      <c r="J72" s="35"/>
      <c r="K72" s="35"/>
      <c r="L72" s="35"/>
      <c r="M72" s="35"/>
      <c r="N72" s="35"/>
      <c r="O72" s="35"/>
      <c r="P72" s="35"/>
      <c r="Q72" s="35"/>
      <c r="R72" s="35"/>
      <c r="S72" s="35"/>
      <c r="T72" s="35"/>
      <c r="U72" s="35"/>
      <c r="V72" s="35"/>
      <c r="W72" s="35"/>
      <c r="X72" s="35"/>
      <c r="Y72" s="35"/>
      <c r="Z72" s="35"/>
      <c r="AA72" s="25">
        <f t="shared" ref="AA72:AA74" si="18">SUM(A72:Z72)</f>
        <v>0.90160897112074712</v>
      </c>
      <c r="AB72" s="94" t="s">
        <v>517</v>
      </c>
      <c r="AC72" s="35"/>
      <c r="AD72" s="35">
        <v>32.200000000000003</v>
      </c>
      <c r="AE72" s="35"/>
      <c r="AF72" s="177"/>
      <c r="AG72" s="293"/>
      <c r="AH72" s="303"/>
      <c r="AI72" s="19"/>
      <c r="AJ72" s="21"/>
      <c r="AK72" s="111">
        <f t="shared" si="17"/>
        <v>0.29031808870088061</v>
      </c>
      <c r="AL72" s="302"/>
      <c r="AM72" s="24"/>
      <c r="AN72" s="24"/>
      <c r="AO72" s="24"/>
      <c r="AP72" s="24"/>
      <c r="AQ72" s="24"/>
      <c r="AR72" s="24"/>
      <c r="AS72" s="24"/>
      <c r="AT72" s="25">
        <f>AA72*AD72%</f>
        <v>0.29031808870088061</v>
      </c>
    </row>
    <row r="73" spans="1:46" ht="15" customHeight="1" x14ac:dyDescent="0.2">
      <c r="A73" s="20"/>
      <c r="B73" s="35"/>
      <c r="C73" s="35"/>
      <c r="D73" s="35"/>
      <c r="E73" s="35"/>
      <c r="F73" s="35"/>
      <c r="G73" s="35"/>
      <c r="H73" s="35"/>
      <c r="I73" s="35"/>
      <c r="J73" s="35">
        <f>'E-Tiltag'!$AE$67</f>
        <v>0</v>
      </c>
      <c r="K73" s="35"/>
      <c r="L73" s="35"/>
      <c r="M73" s="35"/>
      <c r="N73" s="35"/>
      <c r="O73" s="35"/>
      <c r="P73" s="35"/>
      <c r="Q73" s="35"/>
      <c r="R73" s="35"/>
      <c r="S73" s="35"/>
      <c r="T73" s="35"/>
      <c r="U73" s="35"/>
      <c r="V73" s="35"/>
      <c r="W73" s="35"/>
      <c r="X73" s="35"/>
      <c r="Y73" s="35"/>
      <c r="Z73" s="35"/>
      <c r="AA73" s="300">
        <f t="shared" si="18"/>
        <v>0</v>
      </c>
      <c r="AB73" s="94" t="s">
        <v>518</v>
      </c>
      <c r="AC73" s="35"/>
      <c r="AD73" s="35">
        <v>40</v>
      </c>
      <c r="AE73" s="35"/>
      <c r="AF73" s="177"/>
      <c r="AG73" s="293"/>
      <c r="AH73" s="303"/>
      <c r="AI73" s="19"/>
      <c r="AJ73" s="21"/>
      <c r="AK73" s="111">
        <f t="shared" si="17"/>
        <v>0</v>
      </c>
      <c r="AL73" s="302"/>
      <c r="AM73" s="24"/>
      <c r="AN73" s="24"/>
      <c r="AO73" s="24"/>
      <c r="AP73" s="24"/>
      <c r="AQ73" s="24"/>
      <c r="AR73" s="24"/>
      <c r="AS73" s="24"/>
      <c r="AT73" s="25">
        <f t="shared" ref="AT73" si="19">AA73*AD73%</f>
        <v>0</v>
      </c>
    </row>
    <row r="74" spans="1:46" ht="15" customHeight="1" x14ac:dyDescent="0.2">
      <c r="A74" s="20"/>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00">
        <f t="shared" si="18"/>
        <v>0</v>
      </c>
      <c r="AB74" s="94" t="s">
        <v>527</v>
      </c>
      <c r="AC74" s="35">
        <v>70</v>
      </c>
      <c r="AD74" s="35"/>
      <c r="AE74" s="35"/>
      <c r="AF74" s="177"/>
      <c r="AG74" s="30">
        <f t="shared" ref="AG74" si="20">-AH74/$D$2%</f>
        <v>-0.90072782433607057</v>
      </c>
      <c r="AH74" s="303">
        <f>+'E-Tiltag'!AE65</f>
        <v>0.82948025343108744</v>
      </c>
      <c r="AI74" s="19"/>
      <c r="AJ74" s="21"/>
      <c r="AK74" s="111">
        <f t="shared" si="17"/>
        <v>0.58063617740176121</v>
      </c>
      <c r="AL74" s="302"/>
      <c r="AM74" s="24"/>
      <c r="AN74" s="24"/>
      <c r="AO74" s="24"/>
      <c r="AP74" s="24"/>
      <c r="AQ74" s="24"/>
      <c r="AR74" s="24"/>
      <c r="AS74" s="24"/>
      <c r="AT74" s="25">
        <f>AH74*AC74%</f>
        <v>0.58063617740176121</v>
      </c>
    </row>
    <row r="75" spans="1:46" ht="15" customHeight="1" x14ac:dyDescent="0.2">
      <c r="A75" s="20"/>
      <c r="B75" s="35"/>
      <c r="C75" s="35"/>
      <c r="D75" s="35"/>
      <c r="E75" s="35"/>
      <c r="F75" s="35">
        <f>AA75-S75-K75</f>
        <v>7.1</v>
      </c>
      <c r="G75" s="35"/>
      <c r="H75" s="35"/>
      <c r="I75" s="35"/>
      <c r="J75" s="35"/>
      <c r="K75" s="35"/>
      <c r="L75" s="35"/>
      <c r="M75" s="35"/>
      <c r="N75" s="35"/>
      <c r="O75" s="35"/>
      <c r="P75" s="35"/>
      <c r="Q75" s="35"/>
      <c r="R75" s="35"/>
      <c r="S75" s="35"/>
      <c r="T75" s="35"/>
      <c r="U75" s="35"/>
      <c r="V75" s="35"/>
      <c r="W75" s="35"/>
      <c r="X75" s="35"/>
      <c r="Y75" s="35"/>
      <c r="Z75" s="35"/>
      <c r="AA75" s="300">
        <f>'E2020'!AA75</f>
        <v>7.1</v>
      </c>
      <c r="AB75" s="94" t="s">
        <v>202</v>
      </c>
      <c r="AC75" s="35"/>
      <c r="AD75" s="35">
        <v>36.5</v>
      </c>
      <c r="AE75" s="35"/>
      <c r="AF75" s="177"/>
      <c r="AG75" s="293"/>
      <c r="AH75" s="303"/>
      <c r="AI75" s="19"/>
      <c r="AJ75" s="21"/>
      <c r="AK75" s="111">
        <f t="shared" si="17"/>
        <v>2.5914999999999999</v>
      </c>
      <c r="AL75" s="302"/>
      <c r="AM75" s="24"/>
      <c r="AN75" s="24"/>
      <c r="AO75" s="24"/>
      <c r="AP75" s="24"/>
      <c r="AQ75" s="24"/>
      <c r="AR75" s="24"/>
      <c r="AS75" s="24">
        <f>AA75*AD75%</f>
        <v>2.5914999999999999</v>
      </c>
      <c r="AT75" s="25"/>
    </row>
    <row r="76" spans="1:46" ht="15" customHeight="1" x14ac:dyDescent="0.2">
      <c r="A76" s="20"/>
      <c r="B76" s="35"/>
      <c r="C76" s="35"/>
      <c r="D76" s="35"/>
      <c r="E76" s="35"/>
      <c r="F76" s="344">
        <f>AA76-S76</f>
        <v>0</v>
      </c>
      <c r="G76" s="35"/>
      <c r="H76" s="2"/>
      <c r="I76" s="35"/>
      <c r="J76" s="35"/>
      <c r="K76" s="35"/>
      <c r="L76" s="35"/>
      <c r="M76" s="35"/>
      <c r="N76" s="35"/>
      <c r="O76" s="35"/>
      <c r="P76" s="35"/>
      <c r="Q76" s="35"/>
      <c r="R76" s="35"/>
      <c r="S76" s="346">
        <f>AA76*'E-Tiltag'!$AE$5</f>
        <v>0</v>
      </c>
      <c r="T76" s="35"/>
      <c r="U76" s="35"/>
      <c r="V76" s="35"/>
      <c r="W76" s="35"/>
      <c r="X76" s="35"/>
      <c r="Y76" s="35"/>
      <c r="Z76" s="35"/>
      <c r="AA76" s="27"/>
      <c r="AB76" s="94" t="s">
        <v>4259</v>
      </c>
      <c r="AC76" s="35"/>
      <c r="AD76" s="35">
        <v>12</v>
      </c>
      <c r="AE76" s="35"/>
      <c r="AF76" s="177"/>
      <c r="AG76" s="293"/>
      <c r="AH76" s="303"/>
      <c r="AI76" s="19"/>
      <c r="AJ76" s="21"/>
      <c r="AK76" s="111">
        <f t="shared" si="17"/>
        <v>0</v>
      </c>
      <c r="AL76" s="302"/>
      <c r="AM76" s="24"/>
      <c r="AN76" s="24"/>
      <c r="AO76" s="24"/>
      <c r="AP76" s="24"/>
      <c r="AQ76" s="24"/>
      <c r="AR76" s="24"/>
      <c r="AS76" s="24"/>
      <c r="AT76" s="25">
        <f>AA76*AD76%</f>
        <v>0</v>
      </c>
    </row>
    <row r="77" spans="1:46" ht="15" customHeight="1" x14ac:dyDescent="0.2">
      <c r="A77" s="20"/>
      <c r="B77" s="35"/>
      <c r="C77" s="35"/>
      <c r="D77" s="35"/>
      <c r="E77" s="35"/>
      <c r="F77" s="344">
        <f>AA77-S77</f>
        <v>0.13395164016149103</v>
      </c>
      <c r="G77" s="35"/>
      <c r="H77" s="2"/>
      <c r="I77" s="35"/>
      <c r="J77" s="35"/>
      <c r="K77" s="35"/>
      <c r="L77" s="35"/>
      <c r="M77" s="35"/>
      <c r="N77" s="35"/>
      <c r="O77" s="35"/>
      <c r="P77" s="35"/>
      <c r="Q77" s="35"/>
      <c r="R77" s="35"/>
      <c r="S77" s="346">
        <f>AA77*'E-Tiltag'!$AE$5</f>
        <v>1.6050196525509E-2</v>
      </c>
      <c r="T77" s="35"/>
      <c r="U77" s="35"/>
      <c r="V77" s="35"/>
      <c r="W77" s="35"/>
      <c r="X77" s="35"/>
      <c r="Y77" s="35"/>
      <c r="Z77" s="35"/>
      <c r="AA77" s="27">
        <f>'E-Tiltag'!AE96</f>
        <v>0.15000183668700001</v>
      </c>
      <c r="AB77" s="94" t="s">
        <v>4260</v>
      </c>
      <c r="AC77" s="35"/>
      <c r="AD77" s="35">
        <v>25</v>
      </c>
      <c r="AE77" s="35"/>
      <c r="AF77" s="177"/>
      <c r="AG77" s="293"/>
      <c r="AH77" s="303"/>
      <c r="AI77" s="19"/>
      <c r="AJ77" s="21"/>
      <c r="AK77" s="111">
        <f t="shared" si="17"/>
        <v>3.7500459171750003E-2</v>
      </c>
      <c r="AL77" s="302"/>
      <c r="AM77" s="24"/>
      <c r="AN77" s="24"/>
      <c r="AO77" s="24"/>
      <c r="AP77" s="24"/>
      <c r="AQ77" s="24"/>
      <c r="AR77" s="24"/>
      <c r="AS77" s="24"/>
      <c r="AT77" s="25">
        <f>AA77*AD77%</f>
        <v>3.7500459171750003E-2</v>
      </c>
    </row>
    <row r="78" spans="1:46" ht="15" customHeight="1" x14ac:dyDescent="0.2">
      <c r="A78" s="20"/>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25">
        <f>SUM(A78:Z78)</f>
        <v>0</v>
      </c>
      <c r="AB78" s="94" t="s">
        <v>4261</v>
      </c>
      <c r="AC78" s="35">
        <v>67</v>
      </c>
      <c r="AD78" s="35"/>
      <c r="AE78" s="35"/>
      <c r="AF78" s="177"/>
      <c r="AG78" s="30">
        <f t="shared" ref="AG78:AG80" si="21">-AH78/$D$2%</f>
        <v>-0.53692471495276362</v>
      </c>
      <c r="AH78" s="343">
        <f>'E-Tiltag'!AE97</f>
        <v>0.49445397000000008</v>
      </c>
      <c r="AI78" s="34"/>
      <c r="AJ78" s="37"/>
      <c r="AK78" s="111">
        <f t="shared" si="17"/>
        <v>0.3312841599000001</v>
      </c>
      <c r="AL78" s="359"/>
      <c r="AM78" s="36"/>
      <c r="AN78" s="36"/>
      <c r="AO78" s="36"/>
      <c r="AP78" s="36"/>
      <c r="AQ78" s="36"/>
      <c r="AR78" s="36"/>
      <c r="AS78" s="36"/>
      <c r="AT78" s="25">
        <f>AC78*AH78%</f>
        <v>0.3312841599000001</v>
      </c>
    </row>
    <row r="79" spans="1:46" ht="15" customHeight="1" x14ac:dyDescent="0.2">
      <c r="A79" s="20"/>
      <c r="B79" s="35"/>
      <c r="C79" s="35"/>
      <c r="D79" s="35"/>
      <c r="E79" s="35"/>
      <c r="F79" s="35"/>
      <c r="G79" s="342">
        <f>'E2020'!G79*(1+'E-Tiltag'!$AE$101)</f>
        <v>5.4450000000000003</v>
      </c>
      <c r="H79" s="20">
        <f>'E2020'!H79*(1+'E-Tiltag'!$AE$101)</f>
        <v>1.1000000000000001E-2</v>
      </c>
      <c r="I79" s="35"/>
      <c r="J79" s="35"/>
      <c r="K79" s="35"/>
      <c r="L79" s="35"/>
      <c r="M79" s="35"/>
      <c r="N79" s="35"/>
      <c r="O79" s="35"/>
      <c r="P79" s="35"/>
      <c r="Q79" s="35"/>
      <c r="R79" s="35"/>
      <c r="S79" s="35"/>
      <c r="T79" s="35"/>
      <c r="U79" s="35"/>
      <c r="V79" s="35"/>
      <c r="W79" s="35"/>
      <c r="X79" s="35"/>
      <c r="Y79" s="35"/>
      <c r="Z79" s="35"/>
      <c r="AA79" s="21">
        <f>SUM(A79:Z79)</f>
        <v>5.4560000000000004</v>
      </c>
      <c r="AB79" s="94" t="s">
        <v>9</v>
      </c>
      <c r="AC79" s="35"/>
      <c r="AD79" s="35">
        <v>13.5</v>
      </c>
      <c r="AE79" s="35"/>
      <c r="AF79" s="177"/>
      <c r="AG79" s="293"/>
      <c r="AH79" s="303"/>
      <c r="AI79" s="293"/>
      <c r="AJ79" s="303"/>
      <c r="AK79" s="111">
        <f t="shared" si="17"/>
        <v>0.7365600000000001</v>
      </c>
      <c r="AL79" s="359"/>
      <c r="AM79" s="36"/>
      <c r="AN79" s="36"/>
      <c r="AO79" s="36"/>
      <c r="AP79" s="36"/>
      <c r="AQ79" s="36"/>
      <c r="AR79" s="36"/>
      <c r="AS79" s="36"/>
      <c r="AT79" s="25">
        <f>AD79*AA79%</f>
        <v>0.7365600000000001</v>
      </c>
    </row>
    <row r="80" spans="1:46" ht="15" customHeight="1" thickBot="1" x14ac:dyDescent="0.25">
      <c r="A80" s="20"/>
      <c r="B80" s="20"/>
      <c r="C80" s="20"/>
      <c r="D80" s="20">
        <f>'E2020'!D80*(1+'E-Tiltag'!$AE$95)</f>
        <v>0.13</v>
      </c>
      <c r="E80" s="20"/>
      <c r="F80" s="342">
        <f>'E2020'!F80*(1+'E-Tiltag'!$AE$100)-'E-Tiltag'!AE105</f>
        <v>1.3192760000000001</v>
      </c>
      <c r="G80" s="35"/>
      <c r="H80" s="20"/>
      <c r="I80" s="20"/>
      <c r="J80" s="20"/>
      <c r="K80" s="20"/>
      <c r="L80" s="20"/>
      <c r="M80" s="20"/>
      <c r="N80" s="20"/>
      <c r="O80" s="20"/>
      <c r="P80" s="20"/>
      <c r="Q80" s="20"/>
      <c r="R80" s="20"/>
      <c r="S80" s="20"/>
      <c r="T80" s="20"/>
      <c r="U80" s="20"/>
      <c r="V80" s="20"/>
      <c r="W80" s="20"/>
      <c r="X80" s="20"/>
      <c r="Y80" s="20"/>
      <c r="Z80" s="20"/>
      <c r="AA80" s="37">
        <f t="shared" si="0"/>
        <v>1.4492760000000002</v>
      </c>
      <c r="AB80" s="95" t="s">
        <v>5</v>
      </c>
      <c r="AC80" s="35"/>
      <c r="AD80" s="35">
        <v>20</v>
      </c>
      <c r="AE80" s="35"/>
      <c r="AF80" s="177"/>
      <c r="AG80" s="294">
        <f t="shared" si="21"/>
        <v>2.475838853295689E-2</v>
      </c>
      <c r="AH80" s="353">
        <f>'E2020'!AA80*'E-Tiltag'!$AE$100+'E-Tiltag'!AE104</f>
        <v>-2.2800000000000001E-2</v>
      </c>
      <c r="AI80" s="294"/>
      <c r="AJ80" s="353"/>
      <c r="AK80" s="360">
        <f t="shared" si="10"/>
        <v>0.28985520000000004</v>
      </c>
      <c r="AL80" s="361"/>
      <c r="AM80" s="288"/>
      <c r="AN80" s="288"/>
      <c r="AO80" s="288"/>
      <c r="AP80" s="288"/>
      <c r="AQ80" s="288"/>
      <c r="AR80" s="288"/>
      <c r="AS80" s="288"/>
      <c r="AT80" s="25">
        <f>AA80*AD80%</f>
        <v>0.28985520000000004</v>
      </c>
    </row>
    <row r="81" spans="1:47" ht="15" customHeight="1" thickBot="1" x14ac:dyDescent="0.25">
      <c r="A81" s="350">
        <f t="shared" ref="A81:AA81" si="22">SUM(A8:A80)</f>
        <v>41.350662801028506</v>
      </c>
      <c r="B81" s="351">
        <f t="shared" si="22"/>
        <v>0.81</v>
      </c>
      <c r="C81" s="351">
        <f t="shared" si="22"/>
        <v>0</v>
      </c>
      <c r="D81" s="351">
        <f t="shared" si="22"/>
        <v>0.13</v>
      </c>
      <c r="E81" s="351">
        <f t="shared" si="22"/>
        <v>4.7154144400000009</v>
      </c>
      <c r="F81" s="351">
        <f t="shared" si="22"/>
        <v>42.706799318169388</v>
      </c>
      <c r="G81" s="351">
        <f t="shared" si="22"/>
        <v>5.4450000000000003</v>
      </c>
      <c r="H81" s="351">
        <f t="shared" si="22"/>
        <v>12.067953213306449</v>
      </c>
      <c r="I81" s="351">
        <f t="shared" si="22"/>
        <v>0.90160897112074712</v>
      </c>
      <c r="J81" s="351">
        <f t="shared" si="22"/>
        <v>0</v>
      </c>
      <c r="K81" s="351">
        <f t="shared" si="22"/>
        <v>0</v>
      </c>
      <c r="L81" s="351">
        <f t="shared" si="22"/>
        <v>0</v>
      </c>
      <c r="M81" s="351">
        <f t="shared" si="22"/>
        <v>0</v>
      </c>
      <c r="N81" s="351">
        <f t="shared" si="22"/>
        <v>0</v>
      </c>
      <c r="O81" s="351">
        <f t="shared" si="22"/>
        <v>27.0718</v>
      </c>
      <c r="P81" s="351">
        <f t="shared" si="22"/>
        <v>0</v>
      </c>
      <c r="Q81" s="351">
        <f t="shared" si="22"/>
        <v>11.213055146666665</v>
      </c>
      <c r="R81" s="351">
        <f t="shared" si="22"/>
        <v>0</v>
      </c>
      <c r="S81" s="351">
        <f t="shared" si="22"/>
        <v>4.9741856791137273</v>
      </c>
      <c r="T81" s="351">
        <f t="shared" si="22"/>
        <v>8.8366999999999987</v>
      </c>
      <c r="U81" s="351">
        <f t="shared" si="22"/>
        <v>67.519820436705871</v>
      </c>
      <c r="V81" s="351">
        <f t="shared" si="22"/>
        <v>32.35842757333333</v>
      </c>
      <c r="W81" s="351">
        <f t="shared" si="22"/>
        <v>0</v>
      </c>
      <c r="X81" s="351">
        <f t="shared" si="22"/>
        <v>0</v>
      </c>
      <c r="Y81" s="351">
        <f t="shared" si="22"/>
        <v>0</v>
      </c>
      <c r="Z81" s="351">
        <f t="shared" si="22"/>
        <v>0</v>
      </c>
      <c r="AA81" s="352">
        <f t="shared" si="22"/>
        <v>260.10142757944465</v>
      </c>
      <c r="AB81" s="42" t="s">
        <v>1</v>
      </c>
      <c r="AC81" s="43"/>
      <c r="AD81" s="43"/>
      <c r="AE81" s="43"/>
      <c r="AF81" s="43"/>
      <c r="AG81" s="350">
        <f t="shared" ref="AG81:AT81" si="23">SUM(AG8:AG80)</f>
        <v>-4.3055836673744352E-15</v>
      </c>
      <c r="AH81" s="352">
        <f t="shared" si="23"/>
        <v>62.17056937346716</v>
      </c>
      <c r="AI81" s="350">
        <f t="shared" si="23"/>
        <v>0</v>
      </c>
      <c r="AJ81" s="352">
        <f t="shared" si="23"/>
        <v>19.608317193326393</v>
      </c>
      <c r="AK81" s="362">
        <f t="shared" si="23"/>
        <v>171.16155625575038</v>
      </c>
      <c r="AL81" s="363">
        <f t="shared" si="23"/>
        <v>115.8668178104688</v>
      </c>
      <c r="AM81" s="351">
        <f t="shared" si="23"/>
        <v>4.9516150849459866</v>
      </c>
      <c r="AN81" s="351">
        <f t="shared" si="23"/>
        <v>6.0182978695190847</v>
      </c>
      <c r="AO81" s="351">
        <f t="shared" si="23"/>
        <v>5.3025822035328476</v>
      </c>
      <c r="AP81" s="351">
        <f t="shared" si="23"/>
        <v>0</v>
      </c>
      <c r="AQ81" s="351">
        <f t="shared" si="23"/>
        <v>9.8905794189597511</v>
      </c>
      <c r="AR81" s="351">
        <f t="shared" si="23"/>
        <v>0.29412475789989589</v>
      </c>
      <c r="AS81" s="351">
        <f t="shared" si="23"/>
        <v>7.9615</v>
      </c>
      <c r="AT81" s="352">
        <f t="shared" si="23"/>
        <v>20.876039110423982</v>
      </c>
    </row>
    <row r="82" spans="1:47" ht="15" customHeight="1" x14ac:dyDescent="0.2">
      <c r="A82" s="122">
        <f t="shared" ref="A82:Y82" si="24">A81*A89/1000</f>
        <v>0</v>
      </c>
      <c r="B82" s="26">
        <f t="shared" si="24"/>
        <v>5.2488E-2</v>
      </c>
      <c r="C82" s="26">
        <f t="shared" si="24"/>
        <v>0</v>
      </c>
      <c r="D82" s="26">
        <f t="shared" si="24"/>
        <v>1.0273900000000001E-2</v>
      </c>
      <c r="E82" s="26">
        <f t="shared" si="24"/>
        <v>0.34903497684880003</v>
      </c>
      <c r="F82" s="26">
        <f t="shared" si="24"/>
        <v>3.1014292450561296</v>
      </c>
      <c r="G82" s="26">
        <f t="shared" si="24"/>
        <v>0.39604703068749753</v>
      </c>
      <c r="H82" s="26">
        <f t="shared" si="24"/>
        <v>0.85627111049834959</v>
      </c>
      <c r="I82" s="26">
        <f t="shared" si="24"/>
        <v>5.0976971227167038E-2</v>
      </c>
      <c r="J82" s="26"/>
      <c r="K82" s="26"/>
      <c r="L82" s="26"/>
      <c r="M82" s="26">
        <f t="shared" si="24"/>
        <v>0</v>
      </c>
      <c r="N82" s="26">
        <f t="shared" si="24"/>
        <v>0</v>
      </c>
      <c r="O82" s="26">
        <f t="shared" si="24"/>
        <v>0</v>
      </c>
      <c r="P82" s="26">
        <f t="shared" si="24"/>
        <v>0</v>
      </c>
      <c r="Q82" s="26">
        <v>0</v>
      </c>
      <c r="R82" s="26">
        <f t="shared" si="24"/>
        <v>0</v>
      </c>
      <c r="S82" s="26">
        <f t="shared" si="24"/>
        <v>0</v>
      </c>
      <c r="T82" s="26">
        <f t="shared" si="24"/>
        <v>0</v>
      </c>
      <c r="U82" s="26">
        <f t="shared" si="24"/>
        <v>0</v>
      </c>
      <c r="V82" s="26">
        <f t="shared" si="24"/>
        <v>0</v>
      </c>
      <c r="W82" s="26">
        <f t="shared" si="24"/>
        <v>0</v>
      </c>
      <c r="X82" s="26">
        <f t="shared" si="24"/>
        <v>0</v>
      </c>
      <c r="Y82" s="26">
        <f t="shared" si="24"/>
        <v>0</v>
      </c>
      <c r="Z82" s="26">
        <f>Z81*Z89/1000</f>
        <v>0</v>
      </c>
      <c r="AA82" s="300">
        <f>SUM(A82:Z82)</f>
        <v>4.8165212343179435</v>
      </c>
      <c r="AB82" s="44" t="s">
        <v>4723</v>
      </c>
      <c r="AC82" s="354">
        <f>AA82*1000/D1</f>
        <v>2.6968203999540559</v>
      </c>
      <c r="AD82" s="46" t="s">
        <v>6</v>
      </c>
      <c r="AE82" s="46"/>
      <c r="AF82" s="47"/>
      <c r="AG82" s="33"/>
      <c r="AH82" s="33"/>
      <c r="AI82" s="33"/>
      <c r="AJ82" s="33"/>
      <c r="AK82" s="33"/>
      <c r="AL82" s="33"/>
      <c r="AM82" s="33"/>
      <c r="AN82" s="33"/>
      <c r="AO82" s="33"/>
      <c r="AP82" s="33"/>
      <c r="AQ82" s="33"/>
      <c r="AR82" s="33"/>
      <c r="AS82" s="33"/>
      <c r="AT82" s="33"/>
    </row>
    <row r="83" spans="1:47" ht="15" customHeight="1" x14ac:dyDescent="0.2">
      <c r="A83" s="30"/>
      <c r="B83" s="24"/>
      <c r="C83" s="24"/>
      <c r="D83" s="24"/>
      <c r="E83" s="24"/>
      <c r="F83" s="24"/>
      <c r="G83" s="24"/>
      <c r="H83" s="24"/>
      <c r="I83" s="24"/>
      <c r="J83" s="24"/>
      <c r="K83" s="24"/>
      <c r="L83" s="24"/>
      <c r="M83" s="24"/>
      <c r="N83" s="24"/>
      <c r="O83" s="24"/>
      <c r="P83" s="24"/>
      <c r="Q83" s="24"/>
      <c r="R83" s="36">
        <f>'E2020'!R83</f>
        <v>17.62</v>
      </c>
      <c r="S83" s="36">
        <f>'E2020'!S83</f>
        <v>28.26</v>
      </c>
      <c r="T83" s="36">
        <f>'E2020'!T83</f>
        <v>3.58</v>
      </c>
      <c r="U83" s="36">
        <f>'E2020'!U83</f>
        <v>129.81</v>
      </c>
      <c r="V83" s="24"/>
      <c r="W83" s="24"/>
      <c r="X83" s="24"/>
      <c r="Y83" s="24"/>
      <c r="Z83" s="24"/>
      <c r="AA83" s="25">
        <f>SUM(A83:Z83)</f>
        <v>179.27</v>
      </c>
      <c r="AB83" s="22" t="s">
        <v>528</v>
      </c>
      <c r="AC83" s="291">
        <f>(SUM(M11:Y11)+AG12*A87%+SUM(M16:Y16)+SUM(M17:Y17)+SUM(M18:Y18)+SUM(M19:Y19)+SUM(M22:Y22)+SUM(M61:Y61)+SUM(M62:Y62)+SUM(M63:Y63)+SUM(M65:Y65)+SUM(M66:Y66)+SUM(M67:Y67)+SUM(M68:Y68)+SUM(M69:Y69)+SUM(M71:Y71)+SUM(M72:Y72)+SUM(M73:Y73)+SUM(M75:Y75)+SUM(M76:Y76)+SUM(M77:Y77)+SUM(M79:Y79)+SUM(M80:Y80)+SUM(M23:Y23)*(AC23%+AE23%)+SUM(M24:Y24)*(AC24%+AE24%)+SUM(M25:Y25)*(AC25%+AE25%)+SUM(M26:Y26)*(AC26%+AE26%)+SUM(M28:Y28)*(AC28%+AD28%+AE28%)+SUM(M27:Y27)*(AD27%)+SUM(M29:Y29)*(AC29%+AE29%)+SUM(M30:Y30)*(AC30%+AE30%)+SUM(M31:Y31)*(AC31%+AE31%)+SUM(M34:Y34)*(AC34%+AE34%)+SUM(M35:Y35)*(AC35%+AE35%)+SUM(M37:Y37)*(AC37%+AE37%)+SUM(M38:Y38)*(AC38%+AE38%)+SUM(M39:Y39)*(AC39%+AE39%)+SUM(M41:Y41)*(AC41%+AE41%)+SUM(M42:Y42)*(AC42%+AE42%)+SUM(M44:Y44)*(AC44%+AE44%)+SUM(M45:Y45)*(AC45%+AE45%)+SUM(M46:Y46)*(AC47%+AE47%)+SUM(M48:Y48)*(AC48%+AE48%)+SUM(M49:Y49)*(AC49%+AE49%)+SUM(M50:Y50)*(AC50%+AE50%)+SUM(M52:Y52)*(AC52%+AE52%)+SUM(M53:Y53)*(AC53%+AE53%)+SUM(M54:Y54)*(AC54%+AE54%))/(SUM(AA8:AA11)+SUM(AA13:AA22)+SUM(AA61:AA80)+(AJ33/AF33%+AJ36/AF36%+AJ43/AF43%+AJ51/AF51%+AJ60/AF60%)+AH81+SUM(AH8:AH11)*(1-D2%)+(-AI56))*100</f>
        <v>74.627377252993469</v>
      </c>
      <c r="AD83" s="5" t="s">
        <v>163</v>
      </c>
      <c r="AE83" s="5"/>
      <c r="AF83" s="105"/>
      <c r="AG83" s="33"/>
      <c r="AH83" s="33"/>
      <c r="AI83" s="33"/>
      <c r="AJ83" s="33"/>
      <c r="AK83" s="33"/>
      <c r="AL83" s="33"/>
      <c r="AM83" s="33"/>
      <c r="AN83" s="33"/>
      <c r="AO83" s="33"/>
      <c r="AP83" s="33"/>
      <c r="AQ83" s="33"/>
      <c r="AR83" s="33"/>
      <c r="AS83" s="33"/>
      <c r="AT83" s="33"/>
    </row>
    <row r="84" spans="1:47" ht="15" customHeight="1" thickBot="1" x14ac:dyDescent="0.25">
      <c r="A84" s="294"/>
      <c r="B84" s="288"/>
      <c r="C84" s="288"/>
      <c r="D84" s="288"/>
      <c r="E84" s="288"/>
      <c r="F84" s="288"/>
      <c r="G84" s="288"/>
      <c r="H84" s="288"/>
      <c r="I84" s="288"/>
      <c r="J84" s="288"/>
      <c r="K84" s="288"/>
      <c r="L84" s="288"/>
      <c r="M84" s="288" t="str">
        <f>IF(M83&gt;0,M81/M83*100,"")</f>
        <v/>
      </c>
      <c r="N84" s="288" t="str">
        <f t="shared" ref="N84:Z84" si="25">IF(N83&gt;0,N81/N83*100,"")</f>
        <v/>
      </c>
      <c r="O84" s="288" t="str">
        <f t="shared" si="25"/>
        <v/>
      </c>
      <c r="P84" s="288" t="str">
        <f t="shared" si="25"/>
        <v/>
      </c>
      <c r="Q84" s="288" t="str">
        <f t="shared" si="25"/>
        <v/>
      </c>
      <c r="R84" s="288">
        <f t="shared" si="25"/>
        <v>0</v>
      </c>
      <c r="S84" s="288">
        <f t="shared" si="25"/>
        <v>17.601506295519204</v>
      </c>
      <c r="T84" s="288">
        <f t="shared" si="25"/>
        <v>246.83519553072622</v>
      </c>
      <c r="U84" s="288">
        <f t="shared" si="25"/>
        <v>52.014344377710401</v>
      </c>
      <c r="V84" s="288" t="str">
        <f t="shared" si="25"/>
        <v/>
      </c>
      <c r="W84" s="288" t="str">
        <f t="shared" si="25"/>
        <v/>
      </c>
      <c r="X84" s="288" t="str">
        <f t="shared" si="25"/>
        <v/>
      </c>
      <c r="Y84" s="288" t="str">
        <f>IF(Y83&gt;0,Y81/Y83*100,"")</f>
        <v/>
      </c>
      <c r="Z84" s="288" t="str">
        <f t="shared" si="25"/>
        <v/>
      </c>
      <c r="AA84" s="353">
        <f>SUMIF(M83:Z83,"&gt;0",M81:Z81)/SUM(M83:Z83)%</f>
        <v>45.367716916282468</v>
      </c>
      <c r="AB84" s="40" t="s">
        <v>12</v>
      </c>
      <c r="AC84" s="355">
        <f>SUM(M81:Y81)/AA81*100</f>
        <v>58.428740760909925</v>
      </c>
      <c r="AD84" s="90" t="s">
        <v>164</v>
      </c>
      <c r="AE84" s="90"/>
      <c r="AF84" s="106"/>
      <c r="AG84" s="33"/>
      <c r="AH84" s="33"/>
      <c r="AI84" s="33"/>
      <c r="AJ84" s="33"/>
      <c r="AK84" s="33"/>
      <c r="AL84" s="33"/>
      <c r="AM84" s="33"/>
      <c r="AN84" s="33"/>
      <c r="AO84" s="33"/>
      <c r="AP84" s="33"/>
      <c r="AQ84" s="33"/>
      <c r="AR84" s="33"/>
      <c r="AS84" s="33"/>
      <c r="AT84" s="33"/>
    </row>
    <row r="85" spans="1:47" ht="15" customHeight="1" thickBot="1" x14ac:dyDescent="0.25">
      <c r="A85" s="10"/>
      <c r="B85" s="10"/>
      <c r="C85" s="10"/>
      <c r="D85" s="10"/>
      <c r="E85" s="10"/>
      <c r="F85" s="10"/>
      <c r="G85" s="10"/>
      <c r="H85" s="10"/>
      <c r="I85" s="10"/>
      <c r="J85" s="31"/>
      <c r="K85" s="31"/>
      <c r="L85" s="31"/>
      <c r="M85" s="10">
        <v>0</v>
      </c>
      <c r="N85" s="10">
        <v>0</v>
      </c>
      <c r="O85" s="10">
        <v>0</v>
      </c>
      <c r="P85" s="10">
        <v>0</v>
      </c>
      <c r="Q85" s="10">
        <v>0</v>
      </c>
      <c r="R85" s="10">
        <v>0</v>
      </c>
      <c r="S85" s="10">
        <v>0</v>
      </c>
      <c r="T85" s="10">
        <v>0</v>
      </c>
      <c r="U85" s="10">
        <v>0</v>
      </c>
      <c r="V85" s="10">
        <v>0</v>
      </c>
      <c r="W85" s="10">
        <v>0</v>
      </c>
      <c r="X85" s="10">
        <v>0</v>
      </c>
      <c r="Y85" s="10">
        <v>0</v>
      </c>
      <c r="Z85" s="10">
        <v>0</v>
      </c>
      <c r="AA85" s="10"/>
      <c r="AB85" s="10"/>
      <c r="AC85" s="10"/>
      <c r="AD85" s="10"/>
      <c r="AE85" s="10"/>
      <c r="AF85" s="10"/>
      <c r="AG85" s="10"/>
      <c r="AH85" s="10"/>
      <c r="AI85" s="10"/>
      <c r="AJ85" s="10"/>
      <c r="AK85" s="10"/>
      <c r="AL85" s="10"/>
      <c r="AM85" s="10"/>
      <c r="AN85" s="10"/>
      <c r="AO85" s="10"/>
      <c r="AP85" s="10"/>
      <c r="AQ85" s="10"/>
      <c r="AR85" s="10"/>
      <c r="AS85" s="10"/>
      <c r="AT85" s="10"/>
    </row>
    <row r="86" spans="1:47" ht="17.25" customHeight="1" x14ac:dyDescent="0.2">
      <c r="A86" s="124" t="s">
        <v>72</v>
      </c>
      <c r="B86" s="5152" t="str">
        <f t="shared" ref="B86:I86" si="26">B7</f>
        <v xml:space="preserve">  LPG og petroleum</v>
      </c>
      <c r="C86" s="5152" t="str">
        <f t="shared" si="26"/>
        <v xml:space="preserve">  Kul</v>
      </c>
      <c r="D86" s="5152" t="str">
        <f t="shared" si="26"/>
        <v xml:space="preserve">  Fuelolie</v>
      </c>
      <c r="E86" s="5152" t="str">
        <f t="shared" si="26"/>
        <v xml:space="preserve">  Brændselsolie</v>
      </c>
      <c r="F86" s="5152" t="str">
        <f t="shared" si="26"/>
        <v xml:space="preserve">  Dieselolie</v>
      </c>
      <c r="G86" s="5152" t="str">
        <f t="shared" si="26"/>
        <v xml:space="preserve">  JP1</v>
      </c>
      <c r="H86" s="5152" t="str">
        <f t="shared" si="26"/>
        <v xml:space="preserve">  Benzin</v>
      </c>
      <c r="I86" s="5152" t="str">
        <f t="shared" si="26"/>
        <v xml:space="preserve">  Naturgas</v>
      </c>
      <c r="J86" s="289"/>
      <c r="K86" s="289"/>
      <c r="L86" s="289"/>
      <c r="M86" s="5152" t="str">
        <f t="shared" ref="M86:Z86" si="27">M7</f>
        <v xml:space="preserve">  Vindenergi</v>
      </c>
      <c r="N86" s="5152" t="str">
        <f t="shared" si="27"/>
        <v xml:space="preserve">  Vandenergi</v>
      </c>
      <c r="O86" s="5152" t="str">
        <f t="shared" si="27"/>
        <v xml:space="preserve">  Solenergi</v>
      </c>
      <c r="P86" s="5152" t="str">
        <f t="shared" si="27"/>
        <v xml:space="preserve">  Geotermi</v>
      </c>
      <c r="Q86" s="5152" t="str">
        <f t="shared" si="27"/>
        <v xml:space="preserve">  Varmekilder til varmepumper</v>
      </c>
      <c r="R86" s="5152" t="str">
        <f t="shared" si="27"/>
        <v xml:space="preserve">  Husdyrsgødning</v>
      </c>
      <c r="S86" s="5152" t="str">
        <f t="shared" si="27"/>
        <v xml:space="preserve">  Biobrændstof og energiafgrøder</v>
      </c>
      <c r="T86" s="5152" t="str">
        <f t="shared" si="27"/>
        <v xml:space="preserve">  Halm</v>
      </c>
      <c r="U86" s="5152" t="str">
        <f t="shared" si="27"/>
        <v xml:space="preserve">  Brænde og træflis</v>
      </c>
      <c r="V86" s="5152" t="str">
        <f t="shared" si="27"/>
        <v xml:space="preserve">  Træpiller og træaffald</v>
      </c>
      <c r="W86" s="5152" t="str">
        <f t="shared" si="27"/>
        <v xml:space="preserve">  Organisk affald, industri</v>
      </c>
      <c r="X86" s="5152" t="str">
        <f t="shared" si="27"/>
        <v xml:space="preserve">  Organisk affald, husholdninger</v>
      </c>
      <c r="Y86" s="5152" t="str">
        <f t="shared" si="27"/>
        <v xml:space="preserve">  Deponi, slam, renseanlæg</v>
      </c>
      <c r="Z86" s="5155" t="str">
        <f t="shared" si="27"/>
        <v xml:space="preserve">  Affald, ikke bionedbrydeligt</v>
      </c>
      <c r="AA86" s="10"/>
      <c r="AB86" s="10"/>
      <c r="AC86" s="10"/>
      <c r="AD86" s="10"/>
      <c r="AE86" s="10"/>
      <c r="AF86" s="10"/>
      <c r="AG86" s="10"/>
      <c r="AH86" s="10"/>
      <c r="AI86" s="10"/>
      <c r="AJ86" s="10"/>
      <c r="AK86" s="10"/>
      <c r="AL86" s="10"/>
      <c r="AM86" s="10"/>
      <c r="AN86" s="10"/>
      <c r="AO86" s="10"/>
      <c r="AP86" s="10"/>
      <c r="AQ86" s="10"/>
      <c r="AR86" s="10"/>
      <c r="AS86" s="10"/>
      <c r="AT86" s="10"/>
    </row>
    <row r="87" spans="1:47" ht="29.25" x14ac:dyDescent="0.2">
      <c r="A87" s="341">
        <v>100</v>
      </c>
      <c r="B87" s="5153"/>
      <c r="C87" s="5153"/>
      <c r="D87" s="5153"/>
      <c r="E87" s="5153"/>
      <c r="F87" s="5153"/>
      <c r="G87" s="5153"/>
      <c r="H87" s="5153"/>
      <c r="I87" s="5153"/>
      <c r="J87" s="290"/>
      <c r="K87" s="290"/>
      <c r="L87" s="290"/>
      <c r="M87" s="5153"/>
      <c r="N87" s="5153"/>
      <c r="O87" s="5153"/>
      <c r="P87" s="5153"/>
      <c r="Q87" s="5153"/>
      <c r="R87" s="5153"/>
      <c r="S87" s="5153"/>
      <c r="T87" s="5153"/>
      <c r="U87" s="5153"/>
      <c r="V87" s="5153"/>
      <c r="W87" s="5153"/>
      <c r="X87" s="5153"/>
      <c r="Y87" s="5153"/>
      <c r="Z87" s="5156"/>
      <c r="AA87" s="10"/>
      <c r="AB87" s="10"/>
      <c r="AC87" s="10"/>
      <c r="AD87" s="10"/>
      <c r="AE87" s="10"/>
      <c r="AF87" s="10"/>
      <c r="AG87" s="10"/>
      <c r="AH87" s="10"/>
      <c r="AI87" s="10"/>
      <c r="AJ87" s="10"/>
      <c r="AK87" s="10"/>
      <c r="AL87" s="10"/>
      <c r="AM87" s="10"/>
      <c r="AN87" s="10"/>
      <c r="AO87" s="10"/>
      <c r="AP87" s="10"/>
      <c r="AQ87" s="10"/>
      <c r="AR87" s="10"/>
      <c r="AS87" s="10"/>
      <c r="AT87" s="10"/>
    </row>
    <row r="88" spans="1:47" ht="123" customHeight="1" thickBot="1" x14ac:dyDescent="0.25">
      <c r="A88" s="92" t="s">
        <v>73</v>
      </c>
      <c r="B88" s="5154"/>
      <c r="C88" s="5154"/>
      <c r="D88" s="5154"/>
      <c r="E88" s="5154"/>
      <c r="F88" s="5154"/>
      <c r="G88" s="5154"/>
      <c r="H88" s="5154"/>
      <c r="I88" s="5154"/>
      <c r="J88" s="287" t="s">
        <v>175</v>
      </c>
      <c r="K88" s="287" t="s">
        <v>176</v>
      </c>
      <c r="L88" s="287" t="s">
        <v>177</v>
      </c>
      <c r="M88" s="5154"/>
      <c r="N88" s="5154"/>
      <c r="O88" s="5154"/>
      <c r="P88" s="5154"/>
      <c r="Q88" s="5154"/>
      <c r="R88" s="5154"/>
      <c r="S88" s="5154"/>
      <c r="T88" s="5154"/>
      <c r="U88" s="5154"/>
      <c r="V88" s="5154"/>
      <c r="W88" s="5154"/>
      <c r="X88" s="5154"/>
      <c r="Y88" s="5154"/>
      <c r="Z88" s="5157"/>
      <c r="AA88" s="10"/>
      <c r="AB88" s="10"/>
      <c r="AC88" s="10"/>
      <c r="AD88" s="10"/>
      <c r="AE88" s="10"/>
      <c r="AF88" s="10"/>
      <c r="AG88" s="10"/>
      <c r="AH88" s="10"/>
      <c r="AI88" s="10"/>
      <c r="AJ88" s="10"/>
      <c r="AK88" s="10"/>
      <c r="AL88" s="10"/>
      <c r="AM88" s="10"/>
      <c r="AN88" s="10"/>
      <c r="AO88" s="10"/>
      <c r="AP88" s="10"/>
      <c r="AQ88" s="10"/>
      <c r="AR88" s="10"/>
      <c r="AS88" s="10"/>
      <c r="AT88" s="10"/>
    </row>
    <row r="89" spans="1:47" s="52" customFormat="1" ht="15" customHeight="1" thickBot="1" x14ac:dyDescent="0.25">
      <c r="A89" s="340">
        <v>0</v>
      </c>
      <c r="B89" s="49">
        <v>64.8</v>
      </c>
      <c r="C89" s="49">
        <v>94.04000000000002</v>
      </c>
      <c r="D89" s="49">
        <v>79.03</v>
      </c>
      <c r="E89" s="49">
        <v>74.019999999999982</v>
      </c>
      <c r="F89" s="49">
        <v>72.621439549946388</v>
      </c>
      <c r="G89" s="49">
        <v>72.735910135444897</v>
      </c>
      <c r="H89" s="49">
        <v>70.954129118946369</v>
      </c>
      <c r="I89" s="49">
        <v>56.54</v>
      </c>
      <c r="J89" s="49"/>
      <c r="K89" s="49"/>
      <c r="L89" s="49"/>
      <c r="M89" s="53"/>
      <c r="N89" s="53"/>
      <c r="O89" s="53"/>
      <c r="P89" s="53"/>
      <c r="Q89" s="54"/>
      <c r="R89" s="53"/>
      <c r="S89" s="53"/>
      <c r="T89" s="53"/>
      <c r="U89" s="53"/>
      <c r="V89" s="53"/>
      <c r="W89" s="53"/>
      <c r="X89" s="53"/>
      <c r="Y89" s="54"/>
      <c r="Z89" s="295">
        <v>94.44</v>
      </c>
      <c r="AA89" s="125" t="s">
        <v>174</v>
      </c>
      <c r="AB89" s="50"/>
      <c r="AC89" s="51"/>
      <c r="AD89" s="51"/>
      <c r="AE89" s="51"/>
      <c r="AF89" s="51"/>
      <c r="AG89" s="51"/>
      <c r="AH89" s="51"/>
      <c r="AI89" s="51"/>
      <c r="AJ89" s="51"/>
      <c r="AK89" s="51"/>
      <c r="AL89" s="51"/>
      <c r="AM89" s="51"/>
      <c r="AN89" s="51"/>
      <c r="AO89" s="51"/>
      <c r="AP89" s="51"/>
      <c r="AQ89" s="51"/>
      <c r="AR89" s="51"/>
      <c r="AS89" s="51"/>
      <c r="AT89" s="51"/>
    </row>
    <row r="90" spans="1:47" x14ac:dyDescent="0.2">
      <c r="A90" s="29"/>
      <c r="B90" s="29"/>
      <c r="C90" s="29"/>
      <c r="D90" s="29"/>
      <c r="E90" s="29"/>
      <c r="F90" s="29"/>
      <c r="G90" s="29"/>
      <c r="H90" s="29"/>
      <c r="I90" s="29"/>
      <c r="J90" s="73"/>
      <c r="K90" s="73"/>
      <c r="L90" s="73"/>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row>
    <row r="91" spans="1:47" x14ac:dyDescent="0.2">
      <c r="A91" s="624"/>
      <c r="B91" s="624"/>
      <c r="C91" s="624"/>
      <c r="D91" s="624"/>
      <c r="E91" s="624"/>
      <c r="F91" s="624"/>
      <c r="G91" s="624"/>
      <c r="AB91" s="10"/>
    </row>
    <row r="92" spans="1:47" ht="37.5" customHeight="1" x14ac:dyDescent="0.4">
      <c r="A92" s="410"/>
      <c r="B92" s="331"/>
      <c r="C92" s="331"/>
      <c r="D92" s="331"/>
      <c r="E92" s="331"/>
      <c r="F92" s="331"/>
      <c r="G92" s="331"/>
      <c r="H92" s="331"/>
      <c r="I92" s="331"/>
      <c r="J92" s="331"/>
      <c r="K92" s="331"/>
      <c r="L92" s="331"/>
      <c r="M92" s="331"/>
      <c r="N92" s="331"/>
      <c r="O92" s="331"/>
      <c r="P92" s="331"/>
      <c r="Q92" s="331"/>
      <c r="R92" s="331"/>
      <c r="S92" s="331"/>
      <c r="T92" s="331"/>
      <c r="U92" s="331"/>
      <c r="V92" s="331"/>
      <c r="AB92" s="29"/>
    </row>
    <row r="93" spans="1:47" x14ac:dyDescent="0.2">
      <c r="A93" s="331"/>
      <c r="B93" s="331"/>
      <c r="C93" s="331"/>
      <c r="D93" s="331"/>
      <c r="E93" s="331"/>
      <c r="F93" s="331"/>
      <c r="G93" s="331"/>
      <c r="H93" s="498"/>
      <c r="I93" s="498"/>
      <c r="J93" s="331"/>
      <c r="K93" s="331"/>
      <c r="L93" s="331"/>
      <c r="M93" s="331"/>
      <c r="N93" s="331"/>
      <c r="O93" s="331"/>
      <c r="P93" s="331"/>
      <c r="Q93" s="331"/>
      <c r="R93" s="3"/>
      <c r="S93" s="3"/>
      <c r="T93" s="3"/>
      <c r="U93" s="3"/>
      <c r="V93" s="3"/>
    </row>
    <row r="94" spans="1:47" ht="15.75" x14ac:dyDescent="0.25">
      <c r="A94" s="332"/>
      <c r="B94" s="331"/>
      <c r="C94" s="331"/>
      <c r="D94" s="331"/>
      <c r="E94" s="331"/>
      <c r="F94" s="331"/>
      <c r="G94" s="331"/>
      <c r="H94" s="331"/>
      <c r="I94" s="331"/>
      <c r="J94" s="627"/>
      <c r="K94" s="331"/>
      <c r="L94" s="331"/>
      <c r="M94" s="331"/>
      <c r="N94" s="331"/>
      <c r="O94" s="331"/>
      <c r="P94" s="331"/>
      <c r="Q94" s="331"/>
      <c r="R94" s="3"/>
      <c r="S94" s="3"/>
      <c r="T94" s="3"/>
      <c r="U94" s="3"/>
      <c r="V94" s="3"/>
      <c r="AB94" s="29"/>
    </row>
    <row r="95" spans="1:47" x14ac:dyDescent="0.2">
      <c r="A95" s="328"/>
      <c r="B95" s="3"/>
      <c r="C95" s="3"/>
      <c r="D95" s="33"/>
      <c r="E95" s="3"/>
      <c r="F95" s="3"/>
      <c r="G95" s="411"/>
      <c r="H95" s="3"/>
      <c r="I95" s="3"/>
      <c r="J95" s="328"/>
      <c r="K95" s="3"/>
      <c r="L95" s="3"/>
      <c r="M95" s="3"/>
      <c r="N95" s="3"/>
      <c r="O95" s="3"/>
      <c r="P95" s="3"/>
      <c r="Q95" s="3"/>
      <c r="R95" s="3"/>
      <c r="S95" s="3"/>
      <c r="T95" s="3"/>
      <c r="U95" s="3"/>
      <c r="V95" s="3"/>
      <c r="AB95" s="29"/>
    </row>
    <row r="96" spans="1:47" x14ac:dyDescent="0.2">
      <c r="A96" s="3"/>
      <c r="B96" s="3"/>
      <c r="C96" s="3"/>
      <c r="D96" s="33"/>
      <c r="E96" s="331"/>
      <c r="F96" s="335"/>
      <c r="G96" s="412"/>
      <c r="H96" s="3"/>
      <c r="I96" s="3"/>
      <c r="J96" s="328"/>
      <c r="K96" s="3"/>
      <c r="L96" s="3"/>
      <c r="M96" s="3"/>
      <c r="N96" s="3"/>
      <c r="O96" s="413"/>
      <c r="P96" s="334"/>
      <c r="Q96" s="3"/>
      <c r="R96" s="3"/>
      <c r="S96" s="3"/>
      <c r="T96" s="3"/>
      <c r="U96" s="3"/>
      <c r="V96" s="3"/>
    </row>
    <row r="97" spans="1:23" x14ac:dyDescent="0.2">
      <c r="A97" s="3"/>
      <c r="B97" s="3"/>
      <c r="C97" s="3"/>
      <c r="D97" s="33"/>
      <c r="E97" s="331"/>
      <c r="F97" s="335"/>
      <c r="G97" s="412"/>
      <c r="H97" s="3"/>
      <c r="I97" s="3"/>
      <c r="J97" s="328"/>
      <c r="K97" s="3"/>
      <c r="L97" s="3"/>
      <c r="M97" s="414"/>
      <c r="N97" s="3"/>
      <c r="O97" s="413"/>
      <c r="P97" s="334"/>
      <c r="Q97" s="3"/>
      <c r="R97" s="3"/>
      <c r="S97" s="3"/>
      <c r="T97" s="3"/>
      <c r="U97" s="3"/>
      <c r="V97" s="3"/>
    </row>
    <row r="98" spans="1:23" x14ac:dyDescent="0.2">
      <c r="A98" s="328"/>
      <c r="B98" s="3"/>
      <c r="C98" s="3"/>
      <c r="D98" s="330"/>
      <c r="E98" s="335"/>
      <c r="F98" s="415"/>
      <c r="G98" s="339"/>
      <c r="H98" s="3"/>
      <c r="I98" s="3"/>
      <c r="J98" s="328"/>
      <c r="K98" s="3"/>
      <c r="L98" s="3"/>
      <c r="M98" s="414"/>
      <c r="N98" s="3"/>
      <c r="O98" s="416"/>
      <c r="P98" s="3"/>
      <c r="Q98" s="3"/>
      <c r="R98" s="3"/>
      <c r="S98" s="3"/>
      <c r="T98" s="3"/>
      <c r="U98" s="3"/>
      <c r="V98" s="3"/>
    </row>
    <row r="99" spans="1:23" x14ac:dyDescent="0.2">
      <c r="A99" s="329"/>
      <c r="B99" s="3"/>
      <c r="C99" s="3"/>
      <c r="D99" s="33"/>
      <c r="E99" s="335"/>
      <c r="F99" s="415"/>
      <c r="G99" s="417"/>
      <c r="H99" s="336"/>
      <c r="I99" s="336"/>
      <c r="J99" s="328"/>
      <c r="K99" s="3"/>
      <c r="L99" s="3"/>
      <c r="M99" s="418"/>
      <c r="N99" s="3"/>
      <c r="O99" s="419"/>
      <c r="P99" s="3"/>
      <c r="Q99" s="3"/>
      <c r="R99" s="3"/>
      <c r="S99" s="3"/>
      <c r="T99" s="336"/>
      <c r="U99" s="3"/>
      <c r="V99" s="3"/>
    </row>
    <row r="100" spans="1:23" x14ac:dyDescent="0.2">
      <c r="A100" s="329"/>
      <c r="B100" s="3"/>
      <c r="C100" s="3"/>
      <c r="D100" s="33"/>
      <c r="E100" s="335"/>
      <c r="F100" s="415"/>
      <c r="G100" s="417"/>
      <c r="H100" s="3"/>
      <c r="I100" s="3"/>
      <c r="J100" s="328"/>
      <c r="K100" s="3"/>
      <c r="L100" s="3"/>
      <c r="M100" s="418"/>
      <c r="N100" s="3"/>
      <c r="O100" s="419"/>
      <c r="P100" s="3"/>
      <c r="Q100" s="3"/>
      <c r="R100" s="3"/>
      <c r="S100" s="3"/>
      <c r="T100" s="3"/>
      <c r="U100" s="3"/>
      <c r="V100" s="3"/>
    </row>
    <row r="101" spans="1:23" x14ac:dyDescent="0.2">
      <c r="A101" s="3"/>
      <c r="B101" s="3"/>
      <c r="C101" s="3"/>
      <c r="D101" s="3"/>
      <c r="E101" s="335"/>
      <c r="F101" s="338"/>
      <c r="G101" s="339"/>
      <c r="H101" s="3"/>
      <c r="I101" s="3"/>
      <c r="J101" s="328"/>
      <c r="K101" s="3"/>
      <c r="L101" s="3"/>
      <c r="M101" s="418"/>
      <c r="N101" s="3"/>
      <c r="O101" s="419"/>
      <c r="P101" s="3"/>
      <c r="Q101" s="3"/>
      <c r="R101" s="3"/>
      <c r="S101" s="3"/>
      <c r="T101" s="3"/>
      <c r="U101" s="3"/>
      <c r="V101" s="3"/>
    </row>
    <row r="102" spans="1:23" x14ac:dyDescent="0.2">
      <c r="A102" s="328"/>
      <c r="B102" s="3"/>
      <c r="C102" s="3"/>
      <c r="D102" s="33"/>
      <c r="E102" s="335"/>
      <c r="F102" s="338"/>
      <c r="G102" s="420"/>
      <c r="H102" s="3"/>
      <c r="I102" s="3"/>
      <c r="J102" s="328"/>
      <c r="K102" s="3"/>
      <c r="L102" s="3"/>
      <c r="M102" s="418"/>
      <c r="N102" s="3"/>
      <c r="O102" s="419"/>
      <c r="P102" s="3"/>
      <c r="Q102" s="3"/>
      <c r="R102" s="3"/>
      <c r="S102" s="3"/>
      <c r="T102" s="3"/>
      <c r="U102" s="3"/>
      <c r="V102" s="3"/>
    </row>
    <row r="103" spans="1:23" x14ac:dyDescent="0.2">
      <c r="A103" s="3"/>
      <c r="B103" s="3"/>
      <c r="C103" s="3"/>
      <c r="D103" s="33"/>
      <c r="E103" s="331"/>
      <c r="F103" s="338"/>
      <c r="G103" s="339"/>
      <c r="H103" s="3"/>
      <c r="I103" s="3"/>
      <c r="J103" s="328"/>
      <c r="K103" s="3"/>
      <c r="L103" s="3"/>
      <c r="M103" s="3"/>
      <c r="N103" s="3"/>
      <c r="O103" s="3"/>
      <c r="P103" s="3"/>
      <c r="Q103" s="3"/>
      <c r="R103" s="3"/>
      <c r="S103" s="3"/>
      <c r="T103" s="3"/>
      <c r="U103" s="3"/>
      <c r="V103" s="3"/>
    </row>
    <row r="104" spans="1:23" x14ac:dyDescent="0.2">
      <c r="A104" s="3"/>
      <c r="B104" s="3"/>
      <c r="C104" s="3"/>
      <c r="D104" s="33"/>
      <c r="E104" s="331"/>
      <c r="F104" s="338"/>
      <c r="G104" s="339"/>
      <c r="H104" s="3"/>
      <c r="I104" s="3"/>
      <c r="J104" s="12"/>
      <c r="K104" s="12"/>
      <c r="L104" s="12"/>
      <c r="P104" s="3"/>
      <c r="Q104" s="3"/>
      <c r="R104" s="3"/>
      <c r="S104" s="3"/>
      <c r="T104" s="3"/>
      <c r="U104" s="3"/>
      <c r="V104" s="3"/>
    </row>
    <row r="105" spans="1:23" x14ac:dyDescent="0.2">
      <c r="A105" s="328"/>
      <c r="B105" s="3"/>
      <c r="C105" s="3"/>
      <c r="D105" s="330"/>
      <c r="E105" s="335"/>
      <c r="F105" s="415"/>
      <c r="G105" s="339"/>
      <c r="H105" s="3"/>
      <c r="I105" s="3"/>
      <c r="J105" s="3"/>
      <c r="K105" s="3"/>
      <c r="L105" s="3"/>
      <c r="M105" s="3"/>
      <c r="N105" s="3"/>
      <c r="O105" s="3"/>
      <c r="P105" s="3"/>
      <c r="Q105" s="3"/>
      <c r="R105" s="3"/>
      <c r="S105" s="3"/>
      <c r="T105" s="3"/>
      <c r="U105" s="3"/>
      <c r="V105" s="3"/>
    </row>
    <row r="106" spans="1:23" x14ac:dyDescent="0.2">
      <c r="A106" s="3"/>
      <c r="B106" s="3"/>
      <c r="C106" s="3"/>
      <c r="D106" s="33"/>
      <c r="E106" s="335"/>
      <c r="F106" s="415"/>
      <c r="G106" s="417"/>
      <c r="H106" s="3"/>
      <c r="I106" s="3"/>
      <c r="J106" s="328"/>
      <c r="K106" s="3"/>
      <c r="L106" s="3"/>
      <c r="M106" s="3"/>
      <c r="N106" s="3"/>
      <c r="O106" s="421"/>
      <c r="P106" s="3"/>
      <c r="Q106" s="3"/>
      <c r="R106" s="3"/>
      <c r="S106" s="3"/>
      <c r="T106" s="3"/>
      <c r="U106" s="3"/>
      <c r="V106" s="3"/>
    </row>
    <row r="107" spans="1:23" x14ac:dyDescent="0.2">
      <c r="A107" s="329"/>
      <c r="B107" s="3"/>
      <c r="C107" s="3"/>
      <c r="D107" s="33"/>
      <c r="E107" s="335"/>
      <c r="F107" s="415"/>
      <c r="G107" s="417"/>
      <c r="H107" s="3"/>
      <c r="I107" s="3"/>
      <c r="J107" s="328"/>
      <c r="K107" s="3"/>
      <c r="L107" s="3"/>
      <c r="M107" s="3"/>
      <c r="N107" s="421"/>
      <c r="O107" s="422"/>
      <c r="P107" s="3"/>
      <c r="Q107" s="3"/>
      <c r="R107" s="3"/>
      <c r="S107" s="3"/>
      <c r="T107" s="3"/>
      <c r="U107" s="3"/>
      <c r="V107" s="3"/>
    </row>
    <row r="108" spans="1:23" x14ac:dyDescent="0.2">
      <c r="A108" s="3"/>
      <c r="B108" s="3"/>
      <c r="C108" s="3"/>
      <c r="D108" s="3"/>
      <c r="E108" s="335"/>
      <c r="F108" s="338"/>
      <c r="G108" s="339"/>
      <c r="H108" s="3"/>
      <c r="I108" s="3"/>
      <c r="J108" s="328"/>
      <c r="K108" s="3"/>
      <c r="L108" s="3"/>
      <c r="M108" s="3"/>
      <c r="N108" s="3"/>
      <c r="O108" s="422"/>
      <c r="P108" s="3"/>
      <c r="Q108" s="3"/>
      <c r="R108" s="3"/>
      <c r="S108"/>
      <c r="T108"/>
      <c r="U108"/>
      <c r="V108"/>
      <c r="W108" s="32"/>
    </row>
    <row r="109" spans="1:23" x14ac:dyDescent="0.2">
      <c r="A109" s="328"/>
      <c r="B109" s="3"/>
      <c r="C109" s="3"/>
      <c r="D109" s="33"/>
      <c r="E109" s="335"/>
      <c r="F109" s="338"/>
      <c r="G109" s="420"/>
      <c r="H109" s="3"/>
      <c r="I109" s="3"/>
      <c r="J109" s="3"/>
      <c r="K109" s="3"/>
      <c r="L109" s="3"/>
      <c r="M109" s="3"/>
      <c r="N109" s="3"/>
      <c r="O109" s="3"/>
      <c r="P109" s="3"/>
      <c r="Q109" s="3"/>
      <c r="R109" s="3"/>
      <c r="S109"/>
      <c r="T109"/>
      <c r="U109"/>
      <c r="V109"/>
      <c r="W109" s="32"/>
    </row>
    <row r="110" spans="1:23" x14ac:dyDescent="0.2">
      <c r="A110" s="3"/>
      <c r="B110" s="3"/>
      <c r="C110" s="3"/>
      <c r="D110" s="33"/>
      <c r="E110" s="331"/>
      <c r="F110" s="328"/>
      <c r="G110" s="339"/>
      <c r="H110" s="3"/>
      <c r="I110" s="3"/>
      <c r="J110" s="329"/>
      <c r="K110" s="3"/>
      <c r="L110" s="3"/>
      <c r="M110" s="3"/>
      <c r="N110" s="3"/>
      <c r="O110" s="3"/>
      <c r="P110" s="3"/>
      <c r="Q110" s="329"/>
      <c r="R110" s="3"/>
      <c r="S110"/>
      <c r="T110"/>
      <c r="U110"/>
      <c r="V110"/>
      <c r="W110" s="32"/>
    </row>
    <row r="111" spans="1:23" x14ac:dyDescent="0.2">
      <c r="A111" s="3"/>
      <c r="B111" s="3"/>
      <c r="C111" s="3"/>
      <c r="D111" s="33"/>
      <c r="E111" s="331"/>
      <c r="F111" s="328"/>
      <c r="G111" s="339"/>
      <c r="H111" s="3"/>
      <c r="I111" s="3"/>
      <c r="J111" s="328"/>
      <c r="K111" s="3"/>
      <c r="L111" s="3"/>
      <c r="M111" s="3"/>
      <c r="N111" s="3"/>
      <c r="O111" s="421"/>
      <c r="P111" s="3"/>
      <c r="Q111" s="328"/>
      <c r="R111" s="3"/>
      <c r="S111"/>
      <c r="T111"/>
      <c r="U111"/>
      <c r="V111" s="347"/>
      <c r="W111" s="32"/>
    </row>
    <row r="112" spans="1:23" x14ac:dyDescent="0.2">
      <c r="A112" s="328"/>
      <c r="B112" s="3"/>
      <c r="C112" s="3"/>
      <c r="D112" s="330"/>
      <c r="E112" s="330"/>
      <c r="F112" s="415"/>
      <c r="G112" s="339"/>
      <c r="H112" s="3"/>
      <c r="I112" s="3"/>
      <c r="J112" s="328"/>
      <c r="K112" s="3"/>
      <c r="L112" s="3"/>
      <c r="M112" s="3"/>
      <c r="N112" s="421"/>
      <c r="O112" s="421"/>
      <c r="P112" s="3"/>
      <c r="Q112" s="328"/>
      <c r="R112" s="3"/>
      <c r="S112"/>
      <c r="T112"/>
      <c r="U112" s="347"/>
      <c r="V112" s="348"/>
      <c r="W112" s="32"/>
    </row>
    <row r="113" spans="1:23" x14ac:dyDescent="0.2">
      <c r="A113" s="3"/>
      <c r="B113" s="3"/>
      <c r="C113" s="3"/>
      <c r="D113" s="33"/>
      <c r="E113" s="3"/>
      <c r="F113" s="415"/>
      <c r="G113" s="417"/>
      <c r="H113" s="3"/>
      <c r="I113" s="3"/>
      <c r="J113" s="328"/>
      <c r="K113" s="3"/>
      <c r="L113" s="3"/>
      <c r="M113" s="3"/>
      <c r="N113" s="3"/>
      <c r="O113" s="421"/>
      <c r="P113" s="3"/>
      <c r="Q113" s="328"/>
      <c r="R113" s="3"/>
      <c r="S113"/>
      <c r="T113"/>
      <c r="U113"/>
      <c r="V113" s="347"/>
      <c r="W113" s="32"/>
    </row>
    <row r="114" spans="1:23" x14ac:dyDescent="0.2">
      <c r="A114" s="329"/>
      <c r="B114" s="3"/>
      <c r="C114" s="3"/>
      <c r="D114" s="33"/>
      <c r="E114" s="3"/>
      <c r="F114" s="415"/>
      <c r="G114" s="417"/>
      <c r="H114" s="3"/>
      <c r="I114" s="3"/>
      <c r="J114" s="328"/>
      <c r="K114" s="3"/>
      <c r="L114" s="3"/>
      <c r="M114" s="3"/>
      <c r="N114" s="3"/>
      <c r="O114" s="421"/>
      <c r="P114" s="3"/>
      <c r="Q114" s="328"/>
      <c r="R114" s="3"/>
      <c r="S114"/>
      <c r="T114"/>
      <c r="U114"/>
      <c r="V114" s="347"/>
      <c r="W114" s="32"/>
    </row>
    <row r="115" spans="1:23" x14ac:dyDescent="0.2">
      <c r="A115" s="3"/>
      <c r="B115" s="3"/>
      <c r="C115" s="3"/>
      <c r="D115" s="3"/>
      <c r="E115" s="3"/>
      <c r="F115" s="328"/>
      <c r="G115" s="3"/>
      <c r="H115" s="3"/>
      <c r="I115" s="3"/>
      <c r="J115" s="328"/>
      <c r="K115" s="3"/>
      <c r="L115" s="3"/>
      <c r="M115" s="3"/>
      <c r="N115" s="3"/>
      <c r="O115" s="421"/>
      <c r="P115" s="3"/>
      <c r="Q115" s="328"/>
      <c r="R115" s="3"/>
      <c r="S115"/>
      <c r="T115"/>
      <c r="U115"/>
      <c r="V115" s="347"/>
      <c r="W115" s="32"/>
    </row>
    <row r="116" spans="1:23" x14ac:dyDescent="0.2">
      <c r="A116" s="3"/>
      <c r="B116" s="3"/>
      <c r="C116" s="3"/>
      <c r="D116" s="3"/>
      <c r="E116" s="3"/>
      <c r="F116" s="3"/>
      <c r="G116" s="3"/>
      <c r="H116" s="3"/>
      <c r="I116" s="3"/>
      <c r="J116" s="328"/>
      <c r="K116" s="3"/>
      <c r="L116" s="3"/>
      <c r="M116" s="3"/>
      <c r="N116" s="3"/>
      <c r="O116" s="423"/>
      <c r="P116" s="3"/>
      <c r="Q116" s="328"/>
      <c r="R116" s="3"/>
      <c r="S116"/>
      <c r="T116"/>
      <c r="U116"/>
      <c r="V116" s="349"/>
      <c r="W116" s="32"/>
    </row>
    <row r="117" spans="1:23" x14ac:dyDescent="0.2">
      <c r="A117" s="3"/>
      <c r="B117" s="3"/>
      <c r="C117" s="3"/>
      <c r="D117" s="3"/>
      <c r="E117" s="3"/>
      <c r="F117" s="3"/>
      <c r="G117" s="3"/>
      <c r="H117" s="3"/>
      <c r="I117" s="3"/>
      <c r="J117" s="3"/>
      <c r="K117" s="3"/>
      <c r="L117" s="3"/>
      <c r="M117" s="3"/>
      <c r="N117" s="3"/>
      <c r="O117" s="3"/>
      <c r="P117" s="3"/>
      <c r="Q117" s="3"/>
      <c r="R117" s="3"/>
      <c r="S117"/>
      <c r="T117"/>
      <c r="U117"/>
      <c r="V117"/>
      <c r="W117" s="32"/>
    </row>
    <row r="118" spans="1:23" x14ac:dyDescent="0.2">
      <c r="A118" s="3"/>
      <c r="B118" s="3"/>
      <c r="C118" s="3"/>
      <c r="D118" s="3"/>
      <c r="E118" s="3"/>
      <c r="F118" s="3"/>
      <c r="G118" s="3"/>
      <c r="H118" s="3"/>
      <c r="I118" s="3"/>
      <c r="J118" s="329"/>
      <c r="K118" s="3"/>
      <c r="L118" s="3"/>
      <c r="M118" s="3"/>
      <c r="N118" s="3"/>
      <c r="O118" s="3"/>
      <c r="P118" s="3"/>
      <c r="Q118" s="3"/>
      <c r="R118" s="3"/>
      <c r="S118"/>
      <c r="T118"/>
      <c r="U118"/>
      <c r="V118"/>
      <c r="W118" s="32"/>
    </row>
    <row r="119" spans="1:23" x14ac:dyDescent="0.2">
      <c r="A119" s="3"/>
      <c r="B119" s="3"/>
      <c r="C119" s="3"/>
      <c r="D119" s="3"/>
      <c r="E119" s="3"/>
      <c r="F119" s="3"/>
      <c r="G119" s="3"/>
      <c r="H119" s="3"/>
      <c r="I119" s="3"/>
      <c r="J119" s="328"/>
      <c r="K119" s="3"/>
      <c r="L119" s="3"/>
      <c r="M119" s="328"/>
      <c r="N119" s="3"/>
      <c r="O119" s="330"/>
      <c r="P119" s="3"/>
      <c r="Q119" s="3"/>
      <c r="R119" s="3"/>
      <c r="S119"/>
      <c r="T119"/>
      <c r="U119"/>
      <c r="V119"/>
      <c r="W119" s="32"/>
    </row>
    <row r="120" spans="1:23" x14ac:dyDescent="0.2">
      <c r="A120" s="3"/>
      <c r="B120" s="3"/>
      <c r="C120" s="3"/>
      <c r="D120" s="3"/>
      <c r="E120" s="3"/>
      <c r="F120" s="3"/>
      <c r="G120" s="3"/>
      <c r="H120" s="3"/>
      <c r="I120" s="3"/>
      <c r="J120" s="328"/>
      <c r="K120" s="3"/>
      <c r="L120" s="3"/>
      <c r="M120" s="413"/>
      <c r="N120" s="3"/>
      <c r="O120" s="330"/>
      <c r="P120" s="3"/>
      <c r="Q120" s="3"/>
      <c r="R120" s="3"/>
      <c r="S120"/>
      <c r="T120"/>
      <c r="U120"/>
      <c r="V120"/>
      <c r="W120" s="32"/>
    </row>
    <row r="121" spans="1:23" x14ac:dyDescent="0.2">
      <c r="A121" s="3"/>
      <c r="B121" s="3"/>
      <c r="C121" s="3"/>
      <c r="D121" s="3"/>
      <c r="E121" s="3"/>
      <c r="F121" s="3"/>
      <c r="G121" s="3"/>
      <c r="H121" s="3"/>
      <c r="I121" s="3"/>
      <c r="J121" s="424"/>
      <c r="K121" s="3"/>
      <c r="L121" s="3"/>
      <c r="M121" s="425"/>
      <c r="N121" s="3"/>
      <c r="O121" s="426"/>
      <c r="P121" s="3"/>
      <c r="Q121" s="3"/>
      <c r="R121" s="3"/>
      <c r="S121" s="3"/>
      <c r="T121" s="3"/>
      <c r="U121" s="3"/>
      <c r="V121" s="3"/>
    </row>
    <row r="122" spans="1:23" x14ac:dyDescent="0.2">
      <c r="A122" s="3"/>
      <c r="B122" s="3"/>
      <c r="C122" s="3"/>
      <c r="D122" s="3"/>
      <c r="E122" s="3"/>
      <c r="F122" s="3"/>
      <c r="G122" s="3"/>
      <c r="H122" s="3"/>
      <c r="I122" s="3"/>
      <c r="J122" s="424"/>
      <c r="K122" s="3"/>
      <c r="L122" s="3"/>
      <c r="M122" s="425"/>
      <c r="N122" s="3"/>
      <c r="O122" s="426"/>
      <c r="P122" s="3"/>
      <c r="Q122" s="3"/>
      <c r="R122" s="3"/>
      <c r="S122" s="3"/>
      <c r="T122" s="3"/>
      <c r="U122" s="3"/>
      <c r="V122" s="3"/>
    </row>
    <row r="123" spans="1:23" x14ac:dyDescent="0.2">
      <c r="A123" s="3"/>
      <c r="B123" s="3"/>
      <c r="C123" s="3"/>
      <c r="D123" s="3"/>
      <c r="E123" s="3"/>
      <c r="F123" s="3"/>
      <c r="G123" s="3"/>
      <c r="H123" s="3"/>
      <c r="I123" s="3"/>
      <c r="J123" s="3"/>
      <c r="K123" s="3"/>
      <c r="L123" s="3"/>
      <c r="M123" s="3"/>
      <c r="N123" s="3"/>
      <c r="O123" s="3"/>
      <c r="P123" s="3"/>
      <c r="Q123" s="3"/>
      <c r="R123" s="3"/>
      <c r="S123" s="3"/>
      <c r="T123" s="3"/>
      <c r="U123" s="3"/>
      <c r="V123" s="3"/>
    </row>
    <row r="124" spans="1:23" x14ac:dyDescent="0.2">
      <c r="A124" s="3"/>
      <c r="B124" s="3"/>
      <c r="C124" s="3"/>
      <c r="D124" s="3"/>
      <c r="E124" s="3"/>
      <c r="F124" s="3"/>
      <c r="G124" s="3"/>
      <c r="H124" s="3"/>
      <c r="I124" s="3"/>
      <c r="J124" s="3"/>
      <c r="K124" s="3"/>
      <c r="L124" s="3"/>
      <c r="M124" s="3"/>
      <c r="N124" s="3"/>
      <c r="O124" s="3"/>
      <c r="P124" s="3"/>
      <c r="Q124" s="3"/>
      <c r="R124" s="3"/>
      <c r="S124" s="3"/>
      <c r="T124" s="3"/>
      <c r="U124" s="3"/>
      <c r="V124" s="3"/>
    </row>
    <row r="125" spans="1:23" x14ac:dyDescent="0.2">
      <c r="A125" s="3"/>
      <c r="B125" s="3"/>
      <c r="C125" s="3"/>
      <c r="D125" s="3"/>
      <c r="E125" s="3"/>
      <c r="F125" s="3"/>
      <c r="G125" s="3"/>
      <c r="H125" s="3"/>
      <c r="I125" s="3"/>
      <c r="J125" s="3"/>
      <c r="K125" s="3"/>
      <c r="L125" s="3"/>
      <c r="M125" s="3"/>
      <c r="N125" s="3"/>
      <c r="O125" s="3"/>
      <c r="P125" s="3"/>
      <c r="Q125" s="3"/>
      <c r="R125" s="3"/>
      <c r="S125" s="3"/>
      <c r="T125" s="3"/>
      <c r="U125" s="3"/>
      <c r="V125" s="3"/>
    </row>
  </sheetData>
  <mergeCells count="30">
    <mergeCell ref="Y86:Y88"/>
    <mergeCell ref="Z86:Z88"/>
    <mergeCell ref="S86:S88"/>
    <mergeCell ref="T86:T88"/>
    <mergeCell ref="U86:U88"/>
    <mergeCell ref="V86:V88"/>
    <mergeCell ref="W86:W88"/>
    <mergeCell ref="X86:X88"/>
    <mergeCell ref="R86:R88"/>
    <mergeCell ref="AI6:AJ6"/>
    <mergeCell ref="AL6:AT6"/>
    <mergeCell ref="B86:B88"/>
    <mergeCell ref="C86:C88"/>
    <mergeCell ref="D86:D88"/>
    <mergeCell ref="E86:E88"/>
    <mergeCell ref="F86:F88"/>
    <mergeCell ref="G86:G88"/>
    <mergeCell ref="H86:H88"/>
    <mergeCell ref="I86:I88"/>
    <mergeCell ref="M86:M88"/>
    <mergeCell ref="N86:N88"/>
    <mergeCell ref="O86:O88"/>
    <mergeCell ref="P86:P88"/>
    <mergeCell ref="Q86:Q88"/>
    <mergeCell ref="D1:E1"/>
    <mergeCell ref="AB1:AB2"/>
    <mergeCell ref="A6:AA6"/>
    <mergeCell ref="AC6:AF6"/>
    <mergeCell ref="AG6:AH6"/>
    <mergeCell ref="Z3:AD4"/>
  </mergeCells>
  <conditionalFormatting sqref="AA57:AA59">
    <cfRule type="cellIs" dxfId="613" priority="1" operator="notEqual">
      <formula>0</formula>
    </cfRule>
  </conditionalFormatting>
  <hyperlinks>
    <hyperlink ref="A4" location="Index!A1" display="Til index" xr:uid="{CB33F49B-55B2-4940-8200-91AEB0D7D9EF}"/>
  </hyperlinks>
  <printOptions horizontalCentered="1" verticalCentered="1" gridLines="1"/>
  <pageMargins left="0.19685039370078741" right="0.19685039370078741" top="0.98425196850393704" bottom="0.55118110236220474" header="0" footer="0"/>
  <pageSetup paperSize="8" scale="48" orientation="landscape" r:id="rId1"/>
  <headerFooter alignWithMargins="0">
    <oddFooter>&amp;R&amp;F &amp;T &amp;D</oddFoot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07780-5BDF-4561-B540-FC79B4B9EC0F}">
  <sheetPr codeName="Ark43">
    <tabColor theme="0" tint="-0.249977111117893"/>
  </sheetPr>
  <dimension ref="A1:D22"/>
  <sheetViews>
    <sheetView showGridLines="0" workbookViewId="0"/>
  </sheetViews>
  <sheetFormatPr defaultColWidth="9.140625" defaultRowHeight="12" x14ac:dyDescent="0.2"/>
  <cols>
    <col min="1" max="1" width="52" style="659" customWidth="1"/>
    <col min="2" max="2" width="27.7109375" style="659" customWidth="1"/>
    <col min="3" max="3" width="27.42578125" style="659" customWidth="1"/>
    <col min="4" max="4" width="20.85546875" style="659" customWidth="1"/>
    <col min="5" max="16384" width="9.140625" style="659"/>
  </cols>
  <sheetData>
    <row r="1" spans="1:4" ht="15.75" x14ac:dyDescent="0.25">
      <c r="A1" s="671" t="s">
        <v>1309</v>
      </c>
      <c r="B1" s="670"/>
      <c r="C1" s="660"/>
      <c r="D1" s="668" t="s">
        <v>1791</v>
      </c>
    </row>
    <row r="2" spans="1:4" ht="17.25" x14ac:dyDescent="0.3">
      <c r="A2" s="5430" t="s">
        <v>1308</v>
      </c>
      <c r="B2" s="5430"/>
      <c r="C2" s="660"/>
      <c r="D2" s="668" t="s">
        <v>1790</v>
      </c>
    </row>
    <row r="3" spans="1:4" ht="15.75" x14ac:dyDescent="0.25">
      <c r="A3" s="671" t="s">
        <v>1197</v>
      </c>
      <c r="B3" s="670"/>
      <c r="C3" s="660"/>
      <c r="D3" s="668" t="s">
        <v>1789</v>
      </c>
    </row>
    <row r="4" spans="1:4" x14ac:dyDescent="0.2">
      <c r="A4" s="660"/>
      <c r="B4" s="660"/>
      <c r="C4" s="660"/>
      <c r="D4" s="660"/>
    </row>
    <row r="5" spans="1:4" ht="24" customHeight="1" x14ac:dyDescent="0.2">
      <c r="A5" s="5728" t="s">
        <v>1025</v>
      </c>
      <c r="B5" s="3566" t="s">
        <v>1083</v>
      </c>
      <c r="C5" s="3566" t="s">
        <v>1238</v>
      </c>
      <c r="D5" s="3566" t="s">
        <v>1307</v>
      </c>
    </row>
    <row r="6" spans="1:4" ht="25.5" customHeight="1" x14ac:dyDescent="0.2">
      <c r="A6" s="5520"/>
      <c r="B6" s="3566" t="s">
        <v>1306</v>
      </c>
      <c r="C6" s="3566" t="s">
        <v>1305</v>
      </c>
      <c r="D6" s="3566" t="s">
        <v>1024</v>
      </c>
    </row>
    <row r="7" spans="1:4" ht="14.25" thickBot="1" x14ac:dyDescent="0.25">
      <c r="A7" s="3308"/>
      <c r="B7" s="3308" t="s">
        <v>1304</v>
      </c>
      <c r="C7" s="3308" t="s">
        <v>1303</v>
      </c>
      <c r="D7" s="3308" t="s">
        <v>1011</v>
      </c>
    </row>
    <row r="8" spans="1:4" ht="15" thickTop="1" x14ac:dyDescent="0.2">
      <c r="A8" s="730" t="s">
        <v>1302</v>
      </c>
      <c r="B8" s="3497" t="s">
        <v>986</v>
      </c>
      <c r="C8" s="3497" t="s">
        <v>986</v>
      </c>
      <c r="D8" s="3507">
        <v>181.39991674159899</v>
      </c>
    </row>
    <row r="9" spans="1:4" ht="13.5" x14ac:dyDescent="0.2">
      <c r="A9" s="3565" t="s">
        <v>1301</v>
      </c>
      <c r="B9" s="3500">
        <v>412300</v>
      </c>
      <c r="C9" s="3507">
        <v>0.11999200719353</v>
      </c>
      <c r="D9" s="3500">
        <v>181.39991674159899</v>
      </c>
    </row>
    <row r="10" spans="1:4" ht="13.5" x14ac:dyDescent="0.2">
      <c r="A10" s="3565" t="s">
        <v>1300</v>
      </c>
      <c r="B10" s="3500" t="s">
        <v>455</v>
      </c>
      <c r="C10" s="3507" t="s">
        <v>455</v>
      </c>
      <c r="D10" s="3500" t="s">
        <v>455</v>
      </c>
    </row>
    <row r="11" spans="1:4" x14ac:dyDescent="0.2">
      <c r="A11" s="3564" t="s">
        <v>1299</v>
      </c>
      <c r="B11" s="3500">
        <v>981</v>
      </c>
      <c r="C11" s="3507">
        <v>0.2</v>
      </c>
      <c r="D11" s="3500">
        <v>0.71940000000000004</v>
      </c>
    </row>
    <row r="12" spans="1:4" x14ac:dyDescent="0.2">
      <c r="A12" s="3564" t="s">
        <v>1298</v>
      </c>
      <c r="B12" s="3500">
        <v>28100</v>
      </c>
      <c r="C12" s="3507">
        <v>0.03</v>
      </c>
      <c r="D12" s="3500">
        <v>3.0910000000000002</v>
      </c>
    </row>
    <row r="13" spans="1:4" x14ac:dyDescent="0.2">
      <c r="A13" s="3564" t="s">
        <v>1297</v>
      </c>
      <c r="B13" s="3507" t="s">
        <v>799</v>
      </c>
      <c r="C13" s="3507" t="s">
        <v>799</v>
      </c>
      <c r="D13" s="3507" t="s">
        <v>799</v>
      </c>
    </row>
    <row r="14" spans="1:4" x14ac:dyDescent="0.2">
      <c r="A14" s="3519" t="s">
        <v>1296</v>
      </c>
      <c r="B14" s="3500" t="s">
        <v>799</v>
      </c>
      <c r="C14" s="3507" t="s">
        <v>799</v>
      </c>
      <c r="D14" s="3500" t="s">
        <v>799</v>
      </c>
    </row>
    <row r="15" spans="1:4" x14ac:dyDescent="0.2">
      <c r="A15" s="729" t="s">
        <v>564</v>
      </c>
      <c r="B15" s="3408"/>
      <c r="C15" s="728"/>
      <c r="D15" s="728"/>
    </row>
    <row r="16" spans="1:4" ht="13.5" x14ac:dyDescent="0.2">
      <c r="A16" s="727" t="s">
        <v>1295</v>
      </c>
      <c r="B16" s="660"/>
      <c r="C16" s="660"/>
      <c r="D16" s="660"/>
    </row>
    <row r="17" spans="1:4" x14ac:dyDescent="0.2">
      <c r="A17" s="5729" t="s">
        <v>982</v>
      </c>
      <c r="B17" s="5730"/>
      <c r="C17" s="5730"/>
      <c r="D17" s="5731"/>
    </row>
    <row r="18" spans="1:4" ht="36" customHeight="1" x14ac:dyDescent="0.2">
      <c r="A18" s="5732" t="s">
        <v>1294</v>
      </c>
      <c r="B18" s="5733"/>
      <c r="C18" s="5733"/>
      <c r="D18" s="5734"/>
    </row>
    <row r="19" spans="1:4" x14ac:dyDescent="0.2">
      <c r="A19" s="3563" t="s">
        <v>980</v>
      </c>
      <c r="B19" s="5696" t="s">
        <v>986</v>
      </c>
      <c r="C19" s="5727"/>
      <c r="D19" s="5727"/>
    </row>
    <row r="20" spans="1:4" x14ac:dyDescent="0.2">
      <c r="A20" s="3563" t="s">
        <v>980</v>
      </c>
      <c r="B20" s="5696" t="s">
        <v>986</v>
      </c>
      <c r="C20" s="5727"/>
      <c r="D20" s="5727"/>
    </row>
    <row r="21" spans="1:4" x14ac:dyDescent="0.2">
      <c r="A21" s="3563" t="s">
        <v>980</v>
      </c>
      <c r="B21" s="5696" t="s">
        <v>986</v>
      </c>
      <c r="C21" s="5727"/>
      <c r="D21" s="5727"/>
    </row>
    <row r="22" spans="1:4" x14ac:dyDescent="0.2">
      <c r="A22" s="3563" t="s">
        <v>980</v>
      </c>
      <c r="B22" s="5696" t="s">
        <v>986</v>
      </c>
      <c r="C22" s="5727"/>
      <c r="D22" s="5727"/>
    </row>
  </sheetData>
  <sheetProtection password="A754" sheet="1" objects="1" scenarios="1"/>
  <mergeCells count="8">
    <mergeCell ref="B19:D19"/>
    <mergeCell ref="B20:D20"/>
    <mergeCell ref="B21:D21"/>
    <mergeCell ref="B22:D22"/>
    <mergeCell ref="A2:B2"/>
    <mergeCell ref="A5:A6"/>
    <mergeCell ref="A17:D17"/>
    <mergeCell ref="A18:D18"/>
  </mergeCells>
  <pageMargins left="0.7" right="0.7" top="0.75" bottom="0.75" header="0.3" footer="0.3"/>
  <pageSetup paperSize="9" scale="74"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A9336-2BFD-4E72-AA4C-5BEEA313EBDC}">
  <sheetPr codeName="Ark45">
    <tabColor theme="0" tint="-0.249977111117893"/>
    <pageSetUpPr fitToPage="1"/>
  </sheetPr>
  <dimension ref="A1:U37"/>
  <sheetViews>
    <sheetView showGridLines="0" workbookViewId="0"/>
  </sheetViews>
  <sheetFormatPr defaultColWidth="8" defaultRowHeight="12" customHeight="1" x14ac:dyDescent="0.2"/>
  <cols>
    <col min="1" max="1" width="35.28515625" style="659" customWidth="1"/>
    <col min="2" max="2" width="21" style="659" customWidth="1"/>
    <col min="3" max="4" width="7.7109375" style="659" customWidth="1"/>
    <col min="5" max="5" width="7.140625" style="659" customWidth="1"/>
    <col min="6" max="12" width="9" style="659" customWidth="1"/>
    <col min="13" max="16" width="6.28515625" style="659" customWidth="1"/>
    <col min="17" max="17" width="7.7109375" style="659" customWidth="1"/>
    <col min="18" max="19" width="6.85546875" style="659" customWidth="1"/>
    <col min="20" max="20" width="9" style="659" customWidth="1"/>
    <col min="21" max="21" width="2.140625" style="659" customWidth="1"/>
    <col min="22" max="16384" width="8" style="659"/>
  </cols>
  <sheetData>
    <row r="1" spans="1:21" ht="15.75" x14ac:dyDescent="0.25">
      <c r="A1" s="671" t="s">
        <v>1353</v>
      </c>
      <c r="B1" s="671"/>
      <c r="C1" s="660"/>
      <c r="D1" s="660"/>
      <c r="E1" s="660"/>
      <c r="F1" s="660"/>
      <c r="G1" s="660"/>
      <c r="H1" s="660"/>
      <c r="I1" s="660"/>
      <c r="J1" s="660"/>
      <c r="K1" s="660"/>
      <c r="L1" s="660"/>
      <c r="M1" s="660"/>
      <c r="N1" s="660"/>
      <c r="O1" s="660"/>
      <c r="P1" s="660"/>
      <c r="Q1" s="660"/>
      <c r="R1" s="660"/>
      <c r="S1" s="660"/>
      <c r="T1" s="668" t="s">
        <v>1791</v>
      </c>
      <c r="U1" s="660"/>
    </row>
    <row r="2" spans="1:21" ht="15.75" x14ac:dyDescent="0.25">
      <c r="A2" s="671" t="s">
        <v>1352</v>
      </c>
      <c r="B2" s="671"/>
      <c r="C2" s="660"/>
      <c r="D2" s="660"/>
      <c r="E2" s="660"/>
      <c r="F2" s="660"/>
      <c r="G2" s="660"/>
      <c r="H2" s="660"/>
      <c r="I2" s="660"/>
      <c r="J2" s="660"/>
      <c r="K2" s="660"/>
      <c r="L2" s="660"/>
      <c r="M2" s="660"/>
      <c r="N2" s="660"/>
      <c r="O2" s="660"/>
      <c r="P2" s="660"/>
      <c r="Q2" s="660"/>
      <c r="R2" s="660"/>
      <c r="S2" s="660"/>
      <c r="T2" s="668" t="s">
        <v>1790</v>
      </c>
      <c r="U2" s="660"/>
    </row>
    <row r="3" spans="1:21" ht="15.75" x14ac:dyDescent="0.25">
      <c r="A3" s="671" t="s">
        <v>1197</v>
      </c>
      <c r="B3" s="671"/>
      <c r="C3" s="660"/>
      <c r="D3" s="660"/>
      <c r="E3" s="660"/>
      <c r="F3" s="660"/>
      <c r="G3" s="660"/>
      <c r="H3" s="660"/>
      <c r="I3" s="660"/>
      <c r="J3" s="660"/>
      <c r="K3" s="660"/>
      <c r="L3" s="660"/>
      <c r="M3" s="660"/>
      <c r="N3" s="660"/>
      <c r="O3" s="660"/>
      <c r="P3" s="660"/>
      <c r="Q3" s="660"/>
      <c r="R3" s="660"/>
      <c r="S3" s="660"/>
      <c r="T3" s="668" t="s">
        <v>1789</v>
      </c>
      <c r="U3" s="660"/>
    </row>
    <row r="4" spans="1:21" ht="12" customHeight="1" x14ac:dyDescent="0.2">
      <c r="A4" s="660"/>
      <c r="B4" s="660"/>
      <c r="C4" s="660"/>
      <c r="D4" s="660"/>
      <c r="E4" s="660"/>
      <c r="F4" s="660"/>
      <c r="G4" s="660"/>
      <c r="H4" s="660"/>
      <c r="I4" s="660"/>
      <c r="J4" s="660"/>
      <c r="K4" s="660"/>
      <c r="L4" s="660"/>
      <c r="M4" s="660"/>
      <c r="N4" s="660"/>
      <c r="O4" s="660"/>
      <c r="P4" s="660"/>
      <c r="Q4" s="660"/>
      <c r="R4" s="660"/>
      <c r="S4" s="660"/>
      <c r="T4" s="731"/>
      <c r="U4" s="660"/>
    </row>
    <row r="5" spans="1:21" ht="30" customHeight="1" x14ac:dyDescent="0.2">
      <c r="A5" s="5740" t="s">
        <v>1025</v>
      </c>
      <c r="B5" s="5741"/>
      <c r="C5" s="5736" t="s">
        <v>1083</v>
      </c>
      <c r="D5" s="5737"/>
      <c r="E5" s="5738"/>
      <c r="F5" s="5736" t="s">
        <v>1351</v>
      </c>
      <c r="G5" s="5737"/>
      <c r="H5" s="5737"/>
      <c r="I5" s="5737"/>
      <c r="J5" s="5737"/>
      <c r="K5" s="5737"/>
      <c r="L5" s="5738"/>
      <c r="M5" s="5736" t="s">
        <v>1350</v>
      </c>
      <c r="N5" s="5737"/>
      <c r="O5" s="5737"/>
      <c r="P5" s="5737"/>
      <c r="Q5" s="5737"/>
      <c r="R5" s="5737"/>
      <c r="S5" s="5738"/>
      <c r="T5" s="5739" t="s">
        <v>1349</v>
      </c>
      <c r="U5" s="660"/>
    </row>
    <row r="6" spans="1:21" ht="47.25" customHeight="1" x14ac:dyDescent="0.2">
      <c r="A6" s="5728" t="s">
        <v>1348</v>
      </c>
      <c r="B6" s="5739" t="s">
        <v>1347</v>
      </c>
      <c r="C6" s="5739" t="s">
        <v>1346</v>
      </c>
      <c r="D6" s="5739" t="s">
        <v>1345</v>
      </c>
      <c r="E6" s="5743" t="s">
        <v>1344</v>
      </c>
      <c r="F6" s="5742" t="s">
        <v>1343</v>
      </c>
      <c r="G6" s="5744"/>
      <c r="H6" s="5743"/>
      <c r="I6" s="5739" t="s">
        <v>1342</v>
      </c>
      <c r="J6" s="5739" t="s">
        <v>1341</v>
      </c>
      <c r="K6" s="5742" t="s">
        <v>1340</v>
      </c>
      <c r="L6" s="5743"/>
      <c r="M6" s="5742" t="s">
        <v>1339</v>
      </c>
      <c r="N6" s="5744"/>
      <c r="O6" s="5743"/>
      <c r="P6" s="5739" t="s">
        <v>1338</v>
      </c>
      <c r="Q6" s="5739" t="s">
        <v>1337</v>
      </c>
      <c r="R6" s="5742" t="s">
        <v>1336</v>
      </c>
      <c r="S6" s="5743"/>
      <c r="T6" s="5532"/>
      <c r="U6" s="660"/>
    </row>
    <row r="7" spans="1:21" ht="12.75" customHeight="1" x14ac:dyDescent="0.2">
      <c r="A7" s="5520"/>
      <c r="B7" s="5532"/>
      <c r="C7" s="5532"/>
      <c r="D7" s="5532"/>
      <c r="E7" s="5542"/>
      <c r="F7" s="5539"/>
      <c r="G7" s="5545"/>
      <c r="H7" s="5540"/>
      <c r="I7" s="5532"/>
      <c r="J7" s="5532"/>
      <c r="K7" s="5539"/>
      <c r="L7" s="5540"/>
      <c r="M7" s="5539"/>
      <c r="N7" s="5545"/>
      <c r="O7" s="5540"/>
      <c r="P7" s="5532"/>
      <c r="Q7" s="5532"/>
      <c r="R7" s="5539"/>
      <c r="S7" s="5540"/>
      <c r="T7" s="5532"/>
      <c r="U7" s="660"/>
    </row>
    <row r="8" spans="1:21" ht="53.25" customHeight="1" x14ac:dyDescent="0.2">
      <c r="A8" s="5520"/>
      <c r="B8" s="5532"/>
      <c r="C8" s="5532"/>
      <c r="D8" s="5532"/>
      <c r="E8" s="5542"/>
      <c r="F8" s="3566" t="s">
        <v>1334</v>
      </c>
      <c r="G8" s="3566" t="s">
        <v>1333</v>
      </c>
      <c r="H8" s="3566" t="s">
        <v>1332</v>
      </c>
      <c r="I8" s="5533"/>
      <c r="J8" s="5533"/>
      <c r="K8" s="3309" t="s">
        <v>1335</v>
      </c>
      <c r="L8" s="3311" t="s">
        <v>1330</v>
      </c>
      <c r="M8" s="3566" t="s">
        <v>1334</v>
      </c>
      <c r="N8" s="3566" t="s">
        <v>1333</v>
      </c>
      <c r="O8" s="3566" t="s">
        <v>1332</v>
      </c>
      <c r="P8" s="5533"/>
      <c r="Q8" s="5533"/>
      <c r="R8" s="3309" t="s">
        <v>1331</v>
      </c>
      <c r="S8" s="3311" t="s">
        <v>1330</v>
      </c>
      <c r="T8" s="5533"/>
      <c r="U8" s="660"/>
    </row>
    <row r="9" spans="1:21" ht="21.75" customHeight="1" thickBot="1" x14ac:dyDescent="0.25">
      <c r="A9" s="5556"/>
      <c r="B9" s="5541"/>
      <c r="C9" s="5541"/>
      <c r="D9" s="5541"/>
      <c r="E9" s="5543"/>
      <c r="F9" s="5546" t="s">
        <v>1329</v>
      </c>
      <c r="G9" s="5547"/>
      <c r="H9" s="5547"/>
      <c r="I9" s="5547"/>
      <c r="J9" s="5547"/>
      <c r="K9" s="5547"/>
      <c r="L9" s="5548"/>
      <c r="M9" s="5546" t="s">
        <v>1328</v>
      </c>
      <c r="N9" s="5547"/>
      <c r="O9" s="5547"/>
      <c r="P9" s="5547"/>
      <c r="Q9" s="5547"/>
      <c r="R9" s="5547"/>
      <c r="S9" s="5548"/>
      <c r="T9" s="734" t="s">
        <v>1011</v>
      </c>
      <c r="U9" s="660"/>
    </row>
    <row r="10" spans="1:21" ht="12.75" thickTop="1" x14ac:dyDescent="0.2">
      <c r="A10" s="733" t="s">
        <v>1327</v>
      </c>
      <c r="B10" s="3497" t="s">
        <v>986</v>
      </c>
      <c r="C10" s="3507">
        <v>640.110500002957</v>
      </c>
      <c r="D10" s="3507">
        <v>608.88983426799996</v>
      </c>
      <c r="E10" s="3507">
        <v>31.220665734956999</v>
      </c>
      <c r="F10" s="3507">
        <v>0.64756076417882003</v>
      </c>
      <c r="G10" s="3507">
        <v>-1.3929490528209999E-2</v>
      </c>
      <c r="H10" s="3507">
        <v>0.63363127365061001</v>
      </c>
      <c r="I10" s="3507">
        <v>5.8838307949779997E-2</v>
      </c>
      <c r="J10" s="3507">
        <v>0.44462771000680001</v>
      </c>
      <c r="K10" s="3507">
        <v>2.7410588968139998E-2</v>
      </c>
      <c r="L10" s="3507">
        <v>-1.3000000000062699</v>
      </c>
      <c r="M10" s="3507">
        <v>414.51044454079999</v>
      </c>
      <c r="N10" s="3507">
        <v>-8.9164131468000001</v>
      </c>
      <c r="O10" s="3507">
        <v>405.59403139400001</v>
      </c>
      <c r="P10" s="3507">
        <v>37.663018721058599</v>
      </c>
      <c r="Q10" s="3507">
        <v>284.61086576762</v>
      </c>
      <c r="R10" s="3507">
        <v>16.690028974000001</v>
      </c>
      <c r="S10" s="3507">
        <v>-40.586865455640002</v>
      </c>
      <c r="T10" s="3507">
        <v>-2581.2272911371438</v>
      </c>
      <c r="U10" s="679"/>
    </row>
    <row r="11" spans="1:21" x14ac:dyDescent="0.2">
      <c r="A11" s="3574" t="s">
        <v>1326</v>
      </c>
      <c r="B11" s="3497"/>
      <c r="C11" s="3507">
        <v>530.79525000299998</v>
      </c>
      <c r="D11" s="3507">
        <v>505.07228638999999</v>
      </c>
      <c r="E11" s="3507">
        <v>25.722963613000001</v>
      </c>
      <c r="F11" s="3507">
        <v>0.13941526258303999</v>
      </c>
      <c r="G11" s="3507" t="s">
        <v>259</v>
      </c>
      <c r="H11" s="3507">
        <v>0.13941526258303999</v>
      </c>
      <c r="I11" s="3507">
        <v>6.9938276129620003E-2</v>
      </c>
      <c r="J11" s="3507">
        <v>0.47464340967364999</v>
      </c>
      <c r="K11" s="3507" t="s">
        <v>799</v>
      </c>
      <c r="L11" s="3507">
        <v>-1.30000000000389</v>
      </c>
      <c r="M11" s="3507">
        <v>74.000959156999997</v>
      </c>
      <c r="N11" s="3507" t="s">
        <v>259</v>
      </c>
      <c r="O11" s="3507">
        <v>74.000959156999997</v>
      </c>
      <c r="P11" s="3507">
        <v>37.122904763000001</v>
      </c>
      <c r="Q11" s="3507">
        <v>251.93846730000001</v>
      </c>
      <c r="R11" s="3507" t="s">
        <v>799</v>
      </c>
      <c r="S11" s="3507">
        <v>-33.439852696999999</v>
      </c>
      <c r="T11" s="3507">
        <v>-1208.6157545843344</v>
      </c>
      <c r="U11" s="660"/>
    </row>
    <row r="12" spans="1:21" x14ac:dyDescent="0.2">
      <c r="A12" s="3548" t="s">
        <v>1319</v>
      </c>
      <c r="B12" s="3500" t="s">
        <v>1319</v>
      </c>
      <c r="C12" s="3507">
        <v>530.79525000299998</v>
      </c>
      <c r="D12" s="3500">
        <v>505.07228638999999</v>
      </c>
      <c r="E12" s="3500">
        <v>25.722963613000001</v>
      </c>
      <c r="F12" s="3507">
        <v>0.13941526258303999</v>
      </c>
      <c r="G12" s="3507" t="s">
        <v>259</v>
      </c>
      <c r="H12" s="3507">
        <v>0.13941526258303999</v>
      </c>
      <c r="I12" s="3507">
        <v>6.9938276129620003E-2</v>
      </c>
      <c r="J12" s="3507">
        <v>0.47464340967364999</v>
      </c>
      <c r="K12" s="3507" t="s">
        <v>799</v>
      </c>
      <c r="L12" s="3507">
        <v>-1.30000000000389</v>
      </c>
      <c r="M12" s="3500">
        <v>74.000959156999997</v>
      </c>
      <c r="N12" s="3500" t="s">
        <v>259</v>
      </c>
      <c r="O12" s="3507">
        <v>74.000959156999997</v>
      </c>
      <c r="P12" s="3500">
        <v>37.122904763000001</v>
      </c>
      <c r="Q12" s="3500">
        <v>251.93846730000001</v>
      </c>
      <c r="R12" s="3500" t="s">
        <v>799</v>
      </c>
      <c r="S12" s="3500">
        <v>-33.439852696999999</v>
      </c>
      <c r="T12" s="3507">
        <v>-1208.6157545843344</v>
      </c>
      <c r="U12" s="660"/>
    </row>
    <row r="13" spans="1:21" ht="13.5" x14ac:dyDescent="0.2">
      <c r="A13" s="3575" t="s">
        <v>1325</v>
      </c>
      <c r="B13" s="3497" t="s">
        <v>986</v>
      </c>
      <c r="C13" s="3507">
        <v>109.315249999957</v>
      </c>
      <c r="D13" s="3507">
        <v>103.817547878</v>
      </c>
      <c r="E13" s="3507">
        <v>5.4977021219570004</v>
      </c>
      <c r="F13" s="3507">
        <v>3.11493122308126</v>
      </c>
      <c r="G13" s="3507">
        <v>-8.15660499958E-2</v>
      </c>
      <c r="H13" s="3507">
        <v>3.0333651730854601</v>
      </c>
      <c r="I13" s="3507">
        <v>4.9408838936799999E-3</v>
      </c>
      <c r="J13" s="3507">
        <v>0.29888234686040999</v>
      </c>
      <c r="K13" s="3507">
        <v>0.16076308211029</v>
      </c>
      <c r="L13" s="3507">
        <v>-1.3000000000174401</v>
      </c>
      <c r="M13" s="3507">
        <v>340.50948538379998</v>
      </c>
      <c r="N13" s="3507">
        <v>-8.9164131468000001</v>
      </c>
      <c r="O13" s="3507">
        <v>331.593072237</v>
      </c>
      <c r="P13" s="3507">
        <v>0.54011395805859996</v>
      </c>
      <c r="Q13" s="3507">
        <v>32.672398467619999</v>
      </c>
      <c r="R13" s="3507">
        <v>16.690028974000001</v>
      </c>
      <c r="S13" s="3507">
        <v>-7.1470127586399999</v>
      </c>
      <c r="T13" s="3507">
        <v>-1372.6115365528094</v>
      </c>
      <c r="U13" s="660"/>
    </row>
    <row r="14" spans="1:21" x14ac:dyDescent="0.2">
      <c r="A14" s="3574" t="s">
        <v>1324</v>
      </c>
      <c r="B14" s="3497"/>
      <c r="C14" s="3507">
        <v>100.69612499999999</v>
      </c>
      <c r="D14" s="3507">
        <v>95.627750741</v>
      </c>
      <c r="E14" s="3507">
        <v>5.0683742589999996</v>
      </c>
      <c r="F14" s="3507">
        <v>3.0874346417004599</v>
      </c>
      <c r="G14" s="3507">
        <v>-8.5120474067890001E-2</v>
      </c>
      <c r="H14" s="3507">
        <v>3.0023141676325702</v>
      </c>
      <c r="I14" s="3507">
        <v>4.8916457425700003E-3</v>
      </c>
      <c r="J14" s="3507">
        <v>0.29590384858404001</v>
      </c>
      <c r="K14" s="3507">
        <v>0.17453123015728</v>
      </c>
      <c r="L14" s="3507">
        <v>-1.30000000001973</v>
      </c>
      <c r="M14" s="3507">
        <v>310.89270461000001</v>
      </c>
      <c r="N14" s="3507">
        <v>-8.5713018967999997</v>
      </c>
      <c r="O14" s="3507">
        <v>302.32140271319997</v>
      </c>
      <c r="P14" s="3507">
        <v>0.49256977115</v>
      </c>
      <c r="Q14" s="3507">
        <v>29.796370925000002</v>
      </c>
      <c r="R14" s="3507">
        <v>16.690028974000001</v>
      </c>
      <c r="S14" s="3507">
        <v>-6.5888865367999996</v>
      </c>
      <c r="T14" s="3507">
        <v>-1256.6087814373511</v>
      </c>
      <c r="U14" s="660"/>
    </row>
    <row r="15" spans="1:21" x14ac:dyDescent="0.2">
      <c r="A15" s="3548" t="s">
        <v>1319</v>
      </c>
      <c r="B15" s="3500" t="s">
        <v>1319</v>
      </c>
      <c r="C15" s="3507">
        <v>100.69612499999999</v>
      </c>
      <c r="D15" s="3500">
        <v>95.627750741</v>
      </c>
      <c r="E15" s="3500">
        <v>5.0683742589999996</v>
      </c>
      <c r="F15" s="3507">
        <v>3.0874346417004599</v>
      </c>
      <c r="G15" s="3507">
        <v>-8.5120474067890001E-2</v>
      </c>
      <c r="H15" s="3507">
        <v>3.0023141676325702</v>
      </c>
      <c r="I15" s="3507">
        <v>4.8916457425700003E-3</v>
      </c>
      <c r="J15" s="3507">
        <v>0.29590384858404001</v>
      </c>
      <c r="K15" s="3507">
        <v>0.17453123015728</v>
      </c>
      <c r="L15" s="3507">
        <v>-1.30000000001973</v>
      </c>
      <c r="M15" s="3500">
        <v>310.89270461000001</v>
      </c>
      <c r="N15" s="3500">
        <v>-8.5713018967999997</v>
      </c>
      <c r="O15" s="3507">
        <v>302.32140271319997</v>
      </c>
      <c r="P15" s="3500">
        <v>0.49256977115</v>
      </c>
      <c r="Q15" s="3500">
        <v>29.796370925000002</v>
      </c>
      <c r="R15" s="3500">
        <v>16.690028974000001</v>
      </c>
      <c r="S15" s="3500">
        <v>-6.5888865367999996</v>
      </c>
      <c r="T15" s="3507">
        <v>-1256.6087814373511</v>
      </c>
      <c r="U15" s="660"/>
    </row>
    <row r="16" spans="1:21" x14ac:dyDescent="0.2">
      <c r="A16" s="3574" t="s">
        <v>1323</v>
      </c>
      <c r="B16" s="3497"/>
      <c r="C16" s="3507">
        <v>7.0606875000000002</v>
      </c>
      <c r="D16" s="3507">
        <v>6.7085539713999998</v>
      </c>
      <c r="E16" s="3507">
        <v>0.35213352860000002</v>
      </c>
      <c r="F16" s="3507">
        <v>3.3952123070168501</v>
      </c>
      <c r="G16" s="3507">
        <v>-4.8877853608449998E-2</v>
      </c>
      <c r="H16" s="3507">
        <v>3.3463344534083999</v>
      </c>
      <c r="I16" s="3507">
        <v>5.44278346337E-3</v>
      </c>
      <c r="J16" s="3507">
        <v>0.32924309294243997</v>
      </c>
      <c r="K16" s="3507" t="s">
        <v>259</v>
      </c>
      <c r="L16" s="3507">
        <v>-1.3</v>
      </c>
      <c r="M16" s="3507">
        <v>23.972533095999999</v>
      </c>
      <c r="N16" s="3507">
        <v>-0.34511124999999998</v>
      </c>
      <c r="O16" s="3507">
        <v>23.627421846000001</v>
      </c>
      <c r="P16" s="3507">
        <v>3.8429793164999997E-2</v>
      </c>
      <c r="Q16" s="3507">
        <v>2.3246825908000002</v>
      </c>
      <c r="R16" s="3507" t="s">
        <v>259</v>
      </c>
      <c r="S16" s="3507">
        <v>-0.45777358718</v>
      </c>
      <c r="T16" s="3507">
        <v>-93.620122356878426</v>
      </c>
      <c r="U16" s="660"/>
    </row>
    <row r="17" spans="1:21" x14ac:dyDescent="0.2">
      <c r="A17" s="3548" t="s">
        <v>1319</v>
      </c>
      <c r="B17" s="3500" t="s">
        <v>1319</v>
      </c>
      <c r="C17" s="3507">
        <v>7.0606875000000002</v>
      </c>
      <c r="D17" s="3500">
        <v>6.7085539713999998</v>
      </c>
      <c r="E17" s="3500">
        <v>0.35213352860000002</v>
      </c>
      <c r="F17" s="3507">
        <v>3.3952123070168501</v>
      </c>
      <c r="G17" s="3507">
        <v>-4.8877853608449998E-2</v>
      </c>
      <c r="H17" s="3507">
        <v>3.3463344534083999</v>
      </c>
      <c r="I17" s="3507">
        <v>5.44278346337E-3</v>
      </c>
      <c r="J17" s="3507">
        <v>0.32924309294243997</v>
      </c>
      <c r="K17" s="3507" t="s">
        <v>259</v>
      </c>
      <c r="L17" s="3507">
        <v>-1.3</v>
      </c>
      <c r="M17" s="3500">
        <v>23.972533095999999</v>
      </c>
      <c r="N17" s="3500">
        <v>-0.34511124999999998</v>
      </c>
      <c r="O17" s="3507">
        <v>23.627421846000001</v>
      </c>
      <c r="P17" s="3500">
        <v>3.8429793164999997E-2</v>
      </c>
      <c r="Q17" s="3500">
        <v>2.3246825908000002</v>
      </c>
      <c r="R17" s="3500" t="s">
        <v>259</v>
      </c>
      <c r="S17" s="3500">
        <v>-0.45777358718</v>
      </c>
      <c r="T17" s="3507">
        <v>-93.620122356878426</v>
      </c>
      <c r="U17" s="660"/>
    </row>
    <row r="18" spans="1:21" x14ac:dyDescent="0.2">
      <c r="A18" s="3574" t="s">
        <v>1322</v>
      </c>
      <c r="B18" s="3497"/>
      <c r="C18" s="3507">
        <v>1.5584374999570001</v>
      </c>
      <c r="D18" s="3507">
        <v>1.4812431656</v>
      </c>
      <c r="E18" s="3507">
        <v>7.7194334357000002E-2</v>
      </c>
      <c r="F18" s="3507">
        <v>3.6217350249565601</v>
      </c>
      <c r="G18" s="3507" t="s">
        <v>259</v>
      </c>
      <c r="H18" s="3507">
        <v>3.6217350249565601</v>
      </c>
      <c r="I18" s="3507">
        <v>5.8484178825599998E-3</v>
      </c>
      <c r="J18" s="3507">
        <v>0.35378059873124001</v>
      </c>
      <c r="K18" s="3507" t="s">
        <v>259</v>
      </c>
      <c r="L18" s="3507">
        <v>-1.2999999999468901</v>
      </c>
      <c r="M18" s="3507">
        <v>5.6442476778000001</v>
      </c>
      <c r="N18" s="3507" t="s">
        <v>259</v>
      </c>
      <c r="O18" s="3507">
        <v>5.6442476778000001</v>
      </c>
      <c r="P18" s="3507">
        <v>9.1143937435999994E-3</v>
      </c>
      <c r="Q18" s="3507">
        <v>0.55134495181999998</v>
      </c>
      <c r="R18" s="3507" t="s">
        <v>259</v>
      </c>
      <c r="S18" s="3507">
        <v>-0.10035263466</v>
      </c>
      <c r="T18" s="3507">
        <v>-22.382632758579891</v>
      </c>
      <c r="U18" s="660"/>
    </row>
    <row r="19" spans="1:21" x14ac:dyDescent="0.2">
      <c r="A19" s="3548" t="s">
        <v>1319</v>
      </c>
      <c r="B19" s="3500" t="s">
        <v>1319</v>
      </c>
      <c r="C19" s="3507">
        <v>1.5584374999570001</v>
      </c>
      <c r="D19" s="3500">
        <v>1.4812431656</v>
      </c>
      <c r="E19" s="3500">
        <v>7.7194334357000002E-2</v>
      </c>
      <c r="F19" s="3507">
        <v>3.6217350249565601</v>
      </c>
      <c r="G19" s="3507" t="s">
        <v>259</v>
      </c>
      <c r="H19" s="3507">
        <v>3.6217350249565601</v>
      </c>
      <c r="I19" s="3507">
        <v>5.8484178825599998E-3</v>
      </c>
      <c r="J19" s="3507">
        <v>0.35378059873124001</v>
      </c>
      <c r="K19" s="3507" t="s">
        <v>259</v>
      </c>
      <c r="L19" s="3507">
        <v>-1.2999999999468901</v>
      </c>
      <c r="M19" s="3500">
        <v>5.6442476778000001</v>
      </c>
      <c r="N19" s="3500" t="s">
        <v>259</v>
      </c>
      <c r="O19" s="3507">
        <v>5.6442476778000001</v>
      </c>
      <c r="P19" s="3500">
        <v>9.1143937435999994E-3</v>
      </c>
      <c r="Q19" s="3500">
        <v>0.55134495181999998</v>
      </c>
      <c r="R19" s="3500" t="s">
        <v>259</v>
      </c>
      <c r="S19" s="3500">
        <v>-0.10035263466</v>
      </c>
      <c r="T19" s="3507">
        <v>-22.382632758579891</v>
      </c>
      <c r="U19" s="660"/>
    </row>
    <row r="20" spans="1:21" x14ac:dyDescent="0.2">
      <c r="A20" s="3573" t="s">
        <v>1321</v>
      </c>
      <c r="B20" s="3497"/>
      <c r="C20" s="3507" t="s">
        <v>259</v>
      </c>
      <c r="D20" s="3507" t="s">
        <v>259</v>
      </c>
      <c r="E20" s="3507" t="s">
        <v>259</v>
      </c>
      <c r="F20" s="3507" t="s">
        <v>259</v>
      </c>
      <c r="G20" s="3507" t="s">
        <v>259</v>
      </c>
      <c r="H20" s="3507" t="s">
        <v>259</v>
      </c>
      <c r="I20" s="3507" t="s">
        <v>259</v>
      </c>
      <c r="J20" s="3507" t="s">
        <v>259</v>
      </c>
      <c r="K20" s="3507" t="s">
        <v>259</v>
      </c>
      <c r="L20" s="3507" t="s">
        <v>259</v>
      </c>
      <c r="M20" s="3507" t="s">
        <v>259</v>
      </c>
      <c r="N20" s="3507" t="s">
        <v>259</v>
      </c>
      <c r="O20" s="3507" t="s">
        <v>259</v>
      </c>
      <c r="P20" s="3507" t="s">
        <v>259</v>
      </c>
      <c r="Q20" s="3507" t="s">
        <v>259</v>
      </c>
      <c r="R20" s="3507" t="s">
        <v>259</v>
      </c>
      <c r="S20" s="3507" t="s">
        <v>259</v>
      </c>
      <c r="T20" s="3507" t="s">
        <v>259</v>
      </c>
      <c r="U20" s="660"/>
    </row>
    <row r="21" spans="1:21" x14ac:dyDescent="0.2">
      <c r="A21" s="3548" t="s">
        <v>1319</v>
      </c>
      <c r="B21" s="3500" t="s">
        <v>1319</v>
      </c>
      <c r="C21" s="3507" t="s">
        <v>259</v>
      </c>
      <c r="D21" s="3500" t="s">
        <v>259</v>
      </c>
      <c r="E21" s="3500" t="s">
        <v>259</v>
      </c>
      <c r="F21" s="3507" t="s">
        <v>259</v>
      </c>
      <c r="G21" s="3507" t="s">
        <v>259</v>
      </c>
      <c r="H21" s="3507" t="s">
        <v>259</v>
      </c>
      <c r="I21" s="3507" t="s">
        <v>259</v>
      </c>
      <c r="J21" s="3507" t="s">
        <v>259</v>
      </c>
      <c r="K21" s="3507" t="s">
        <v>259</v>
      </c>
      <c r="L21" s="3507" t="s">
        <v>259</v>
      </c>
      <c r="M21" s="3500" t="s">
        <v>259</v>
      </c>
      <c r="N21" s="3500" t="s">
        <v>259</v>
      </c>
      <c r="O21" s="3507" t="s">
        <v>259</v>
      </c>
      <c r="P21" s="3500" t="s">
        <v>259</v>
      </c>
      <c r="Q21" s="3500" t="s">
        <v>259</v>
      </c>
      <c r="R21" s="3500" t="s">
        <v>259</v>
      </c>
      <c r="S21" s="3500" t="s">
        <v>259</v>
      </c>
      <c r="T21" s="3507" t="s">
        <v>259</v>
      </c>
      <c r="U21" s="660"/>
    </row>
    <row r="22" spans="1:21" x14ac:dyDescent="0.2">
      <c r="A22" s="3573" t="s">
        <v>1320</v>
      </c>
      <c r="B22" s="3497"/>
      <c r="C22" s="3507" t="s">
        <v>259</v>
      </c>
      <c r="D22" s="3507" t="s">
        <v>259</v>
      </c>
      <c r="E22" s="3507" t="s">
        <v>259</v>
      </c>
      <c r="F22" s="3507" t="s">
        <v>259</v>
      </c>
      <c r="G22" s="3507" t="s">
        <v>259</v>
      </c>
      <c r="H22" s="3507" t="s">
        <v>259</v>
      </c>
      <c r="I22" s="3507" t="s">
        <v>259</v>
      </c>
      <c r="J22" s="3507" t="s">
        <v>259</v>
      </c>
      <c r="K22" s="3507" t="s">
        <v>259</v>
      </c>
      <c r="L22" s="3507" t="s">
        <v>259</v>
      </c>
      <c r="M22" s="3507" t="s">
        <v>259</v>
      </c>
      <c r="N22" s="3507" t="s">
        <v>259</v>
      </c>
      <c r="O22" s="3507" t="s">
        <v>259</v>
      </c>
      <c r="P22" s="3507" t="s">
        <v>259</v>
      </c>
      <c r="Q22" s="3507" t="s">
        <v>259</v>
      </c>
      <c r="R22" s="3507" t="s">
        <v>259</v>
      </c>
      <c r="S22" s="3507" t="s">
        <v>259</v>
      </c>
      <c r="T22" s="3507" t="s">
        <v>259</v>
      </c>
      <c r="U22" s="660"/>
    </row>
    <row r="23" spans="1:21" x14ac:dyDescent="0.2">
      <c r="A23" s="3548" t="s">
        <v>1319</v>
      </c>
      <c r="B23" s="3500" t="s">
        <v>1319</v>
      </c>
      <c r="C23" s="3507" t="s">
        <v>259</v>
      </c>
      <c r="D23" s="3500" t="s">
        <v>259</v>
      </c>
      <c r="E23" s="3500" t="s">
        <v>259</v>
      </c>
      <c r="F23" s="3507" t="s">
        <v>259</v>
      </c>
      <c r="G23" s="3507" t="s">
        <v>259</v>
      </c>
      <c r="H23" s="3507" t="s">
        <v>259</v>
      </c>
      <c r="I23" s="3507" t="s">
        <v>259</v>
      </c>
      <c r="J23" s="3507" t="s">
        <v>259</v>
      </c>
      <c r="K23" s="3507" t="s">
        <v>259</v>
      </c>
      <c r="L23" s="3507" t="s">
        <v>259</v>
      </c>
      <c r="M23" s="3500" t="s">
        <v>259</v>
      </c>
      <c r="N23" s="3500" t="s">
        <v>259</v>
      </c>
      <c r="O23" s="3507" t="s">
        <v>259</v>
      </c>
      <c r="P23" s="3500" t="s">
        <v>259</v>
      </c>
      <c r="Q23" s="3500" t="s">
        <v>259</v>
      </c>
      <c r="R23" s="3500" t="s">
        <v>259</v>
      </c>
      <c r="S23" s="3500" t="s">
        <v>259</v>
      </c>
      <c r="T23" s="3507" t="s">
        <v>259</v>
      </c>
      <c r="U23" s="660"/>
    </row>
    <row r="24" spans="1:21" ht="12" customHeight="1" x14ac:dyDescent="0.2">
      <c r="A24" s="732" t="s">
        <v>564</v>
      </c>
      <c r="B24" s="731"/>
      <c r="C24" s="731"/>
      <c r="D24" s="731"/>
      <c r="E24" s="731"/>
      <c r="F24" s="731"/>
      <c r="G24" s="731"/>
      <c r="H24" s="731"/>
      <c r="I24" s="731"/>
      <c r="J24" s="731"/>
      <c r="K24" s="731"/>
      <c r="L24" s="731"/>
      <c r="M24" s="731"/>
      <c r="N24" s="731"/>
      <c r="O24" s="731"/>
      <c r="P24" s="731"/>
      <c r="Q24" s="731"/>
      <c r="R24" s="731"/>
      <c r="S24" s="731"/>
      <c r="T24" s="731"/>
      <c r="U24" s="660"/>
    </row>
    <row r="25" spans="1:21" ht="29.25" customHeight="1" x14ac:dyDescent="0.2">
      <c r="A25" s="5554" t="s">
        <v>1318</v>
      </c>
      <c r="B25" s="5554"/>
      <c r="C25" s="5554"/>
      <c r="D25" s="5554"/>
      <c r="E25" s="5554"/>
      <c r="F25" s="5554"/>
      <c r="G25" s="5554"/>
      <c r="H25" s="5554"/>
      <c r="I25" s="5554"/>
      <c r="J25" s="5554"/>
      <c r="K25" s="5554"/>
      <c r="L25" s="5554"/>
      <c r="M25" s="5554"/>
      <c r="N25" s="5554"/>
      <c r="O25" s="5554"/>
      <c r="P25" s="5554"/>
      <c r="Q25" s="5554"/>
      <c r="R25" s="5554"/>
      <c r="S25" s="5554"/>
      <c r="T25" s="5554"/>
      <c r="U25" s="660"/>
    </row>
    <row r="26" spans="1:21" ht="15" customHeight="1" x14ac:dyDescent="0.2">
      <c r="A26" s="5536" t="s">
        <v>1317</v>
      </c>
      <c r="B26" s="5536"/>
      <c r="C26" s="5536"/>
      <c r="D26" s="5536"/>
      <c r="E26" s="5536"/>
      <c r="F26" s="5536"/>
      <c r="G26" s="5536"/>
      <c r="H26" s="5536"/>
      <c r="I26" s="5536"/>
      <c r="J26" s="5536"/>
      <c r="K26" s="5536"/>
      <c r="L26" s="5536"/>
      <c r="M26" s="5536"/>
      <c r="N26" s="5536"/>
      <c r="O26" s="5536"/>
      <c r="P26" s="5536"/>
      <c r="Q26" s="5536"/>
      <c r="R26" s="5536"/>
      <c r="S26" s="5536"/>
      <c r="T26" s="5536"/>
      <c r="U26" s="660"/>
    </row>
    <row r="27" spans="1:21" ht="15" customHeight="1" x14ac:dyDescent="0.2">
      <c r="A27" s="5536" t="s">
        <v>1316</v>
      </c>
      <c r="B27" s="5536"/>
      <c r="C27" s="5536"/>
      <c r="D27" s="5536"/>
      <c r="E27" s="5536"/>
      <c r="F27" s="5536"/>
      <c r="G27" s="5536"/>
      <c r="H27" s="5536"/>
      <c r="I27" s="5536"/>
      <c r="J27" s="5536"/>
      <c r="K27" s="5536"/>
      <c r="L27" s="5536"/>
      <c r="M27" s="5536"/>
      <c r="N27" s="5536"/>
      <c r="O27" s="5536"/>
      <c r="P27" s="5536"/>
      <c r="Q27" s="5536"/>
      <c r="R27" s="5536"/>
      <c r="S27" s="5536"/>
      <c r="T27" s="5536"/>
      <c r="U27" s="660"/>
    </row>
    <row r="28" spans="1:21" ht="15" customHeight="1" x14ac:dyDescent="0.2">
      <c r="A28" s="5536" t="s">
        <v>1315</v>
      </c>
      <c r="B28" s="5536"/>
      <c r="C28" s="5536"/>
      <c r="D28" s="5536"/>
      <c r="E28" s="5536"/>
      <c r="F28" s="5536"/>
      <c r="G28" s="5536"/>
      <c r="H28" s="5536"/>
      <c r="I28" s="5536"/>
      <c r="J28" s="5536"/>
      <c r="K28" s="5536"/>
      <c r="L28" s="5536"/>
      <c r="M28" s="5536"/>
      <c r="N28" s="5536"/>
      <c r="O28" s="5536"/>
      <c r="P28" s="5536"/>
      <c r="Q28" s="5536"/>
      <c r="R28" s="5536"/>
      <c r="S28" s="5536"/>
      <c r="T28" s="3314"/>
      <c r="U28" s="660"/>
    </row>
    <row r="29" spans="1:21" ht="15" customHeight="1" x14ac:dyDescent="0.2">
      <c r="A29" s="5553" t="s">
        <v>1314</v>
      </c>
      <c r="B29" s="5553"/>
      <c r="C29" s="5553"/>
      <c r="D29" s="5553"/>
      <c r="E29" s="5553"/>
      <c r="F29" s="5553"/>
      <c r="G29" s="5553"/>
      <c r="H29" s="5553"/>
      <c r="I29" s="5553"/>
      <c r="J29" s="5553"/>
      <c r="K29" s="5553"/>
      <c r="L29" s="5553"/>
      <c r="M29" s="5553"/>
      <c r="N29" s="5553"/>
      <c r="O29" s="5553"/>
      <c r="P29" s="5553"/>
      <c r="Q29" s="5553"/>
      <c r="R29" s="5553"/>
      <c r="S29" s="5553"/>
      <c r="T29" s="5553"/>
      <c r="U29" s="660"/>
    </row>
    <row r="30" spans="1:21" ht="15" customHeight="1" x14ac:dyDescent="0.2">
      <c r="A30" s="5553" t="s">
        <v>1313</v>
      </c>
      <c r="B30" s="5553"/>
      <c r="C30" s="5553"/>
      <c r="D30" s="5553"/>
      <c r="E30" s="5553"/>
      <c r="F30" s="5553"/>
      <c r="G30" s="5553"/>
      <c r="H30" s="5553"/>
      <c r="I30" s="5553"/>
      <c r="J30" s="5553"/>
      <c r="K30" s="5553"/>
      <c r="L30" s="5553"/>
      <c r="M30" s="5553"/>
      <c r="N30" s="5553"/>
      <c r="O30" s="5553"/>
      <c r="P30" s="5553"/>
      <c r="Q30" s="5553"/>
      <c r="R30" s="5553"/>
      <c r="S30" s="5553"/>
      <c r="T30" s="5553"/>
      <c r="U30" s="660"/>
    </row>
    <row r="31" spans="1:21" ht="13.5" x14ac:dyDescent="0.2">
      <c r="A31" s="5554" t="s">
        <v>1312</v>
      </c>
      <c r="B31" s="5554"/>
      <c r="C31" s="5555"/>
      <c r="D31" s="5555"/>
      <c r="E31" s="5555"/>
      <c r="F31" s="5555"/>
      <c r="G31" s="5555"/>
      <c r="H31" s="5555"/>
      <c r="I31" s="5555"/>
      <c r="J31" s="5555"/>
      <c r="K31" s="5555"/>
      <c r="L31" s="5555"/>
      <c r="M31" s="5555"/>
      <c r="N31" s="5555"/>
      <c r="O31" s="5555"/>
      <c r="P31" s="5555"/>
      <c r="Q31" s="5555"/>
      <c r="R31" s="5555"/>
      <c r="S31" s="5555"/>
      <c r="T31" s="5555"/>
      <c r="U31" s="660"/>
    </row>
    <row r="32" spans="1:21" ht="13.5" x14ac:dyDescent="0.2">
      <c r="A32" s="5553" t="s">
        <v>1311</v>
      </c>
      <c r="B32" s="5553"/>
      <c r="C32" s="5553"/>
      <c r="D32" s="5553"/>
      <c r="E32" s="5553"/>
      <c r="F32" s="5553"/>
      <c r="G32" s="5553"/>
      <c r="H32" s="5553"/>
      <c r="I32" s="5553"/>
      <c r="J32" s="5553"/>
      <c r="K32" s="5553"/>
      <c r="L32" s="5553"/>
      <c r="M32" s="5553"/>
      <c r="N32" s="5553"/>
      <c r="O32" s="5553"/>
      <c r="P32" s="5553"/>
      <c r="Q32" s="5553"/>
      <c r="R32" s="5553"/>
      <c r="S32" s="5553"/>
      <c r="T32" s="5553"/>
      <c r="U32" s="660"/>
    </row>
    <row r="33" spans="1:21" x14ac:dyDescent="0.2">
      <c r="A33" s="660"/>
      <c r="B33" s="660"/>
      <c r="C33" s="731"/>
      <c r="D33" s="731"/>
      <c r="E33" s="731"/>
      <c r="F33" s="731"/>
      <c r="G33" s="731"/>
      <c r="H33" s="731"/>
      <c r="I33" s="731"/>
      <c r="J33" s="731"/>
      <c r="K33" s="731"/>
      <c r="L33" s="731"/>
      <c r="M33" s="731"/>
      <c r="N33" s="731"/>
      <c r="O33" s="731"/>
      <c r="P33" s="731"/>
      <c r="Q33" s="731"/>
      <c r="R33" s="731"/>
      <c r="S33" s="731"/>
      <c r="T33" s="731"/>
      <c r="U33" s="660"/>
    </row>
    <row r="34" spans="1:21" ht="15.75" customHeight="1" x14ac:dyDescent="0.2">
      <c r="A34" s="3572" t="s">
        <v>982</v>
      </c>
      <c r="B34" s="3571"/>
      <c r="C34" s="3570"/>
      <c r="D34" s="3570"/>
      <c r="E34" s="3570"/>
      <c r="F34" s="3570"/>
      <c r="G34" s="3570"/>
      <c r="H34" s="3570"/>
      <c r="I34" s="3570"/>
      <c r="J34" s="3570"/>
      <c r="K34" s="3570"/>
      <c r="L34" s="3570"/>
      <c r="M34" s="3570"/>
      <c r="N34" s="3570"/>
      <c r="O34" s="3570"/>
      <c r="P34" s="3570"/>
      <c r="Q34" s="3570"/>
      <c r="R34" s="3570"/>
      <c r="S34" s="3570"/>
      <c r="T34" s="3569"/>
      <c r="U34" s="660"/>
    </row>
    <row r="35" spans="1:21" ht="28.5" customHeight="1" x14ac:dyDescent="0.2">
      <c r="A35" s="5549" t="s">
        <v>1310</v>
      </c>
      <c r="B35" s="5550"/>
      <c r="C35" s="5551"/>
      <c r="D35" s="5551"/>
      <c r="E35" s="5551"/>
      <c r="F35" s="5551"/>
      <c r="G35" s="5551"/>
      <c r="H35" s="5551"/>
      <c r="I35" s="5551"/>
      <c r="J35" s="5551"/>
      <c r="K35" s="5551"/>
      <c r="L35" s="5551"/>
      <c r="M35" s="5551"/>
      <c r="N35" s="5551"/>
      <c r="O35" s="5551"/>
      <c r="P35" s="5551"/>
      <c r="Q35" s="5551"/>
      <c r="R35" s="5551"/>
      <c r="S35" s="5551"/>
      <c r="T35" s="5552"/>
      <c r="U35" s="660"/>
    </row>
    <row r="36" spans="1:21" ht="12" customHeight="1" x14ac:dyDescent="0.2">
      <c r="A36" s="3568" t="s">
        <v>980</v>
      </c>
      <c r="B36" s="5696" t="s">
        <v>986</v>
      </c>
      <c r="C36" s="5735"/>
      <c r="D36" s="5735"/>
      <c r="E36" s="5735"/>
      <c r="F36" s="5735"/>
      <c r="G36" s="5735"/>
      <c r="H36" s="5735"/>
      <c r="I36" s="5735"/>
      <c r="J36" s="5735"/>
      <c r="K36" s="5735"/>
      <c r="L36" s="5735"/>
      <c r="M36" s="5735"/>
      <c r="N36" s="5735"/>
      <c r="O36" s="5735"/>
      <c r="P36" s="5735"/>
      <c r="Q36" s="5735"/>
      <c r="R36" s="5735"/>
      <c r="S36" s="5735"/>
      <c r="T36" s="5735"/>
      <c r="U36" s="660"/>
    </row>
    <row r="37" spans="1:21" ht="12" customHeight="1" x14ac:dyDescent="0.2">
      <c r="A37" s="3568" t="s">
        <v>980</v>
      </c>
      <c r="B37" s="5696" t="s">
        <v>986</v>
      </c>
      <c r="C37" s="5735"/>
      <c r="D37" s="5735"/>
      <c r="E37" s="5735"/>
      <c r="F37" s="5735"/>
      <c r="G37" s="5735"/>
      <c r="H37" s="5735"/>
      <c r="I37" s="5735"/>
      <c r="J37" s="5735"/>
      <c r="K37" s="5735"/>
      <c r="L37" s="5735"/>
      <c r="M37" s="5735"/>
      <c r="N37" s="5735"/>
      <c r="O37" s="5735"/>
      <c r="P37" s="5735"/>
      <c r="Q37" s="5735"/>
      <c r="R37" s="5735"/>
      <c r="S37" s="5735"/>
      <c r="T37" s="5735"/>
    </row>
  </sheetData>
  <sheetProtection password="A754" sheet="1" objects="1" scenarios="1"/>
  <mergeCells count="31">
    <mergeCell ref="A26:T26"/>
    <mergeCell ref="B6:B9"/>
    <mergeCell ref="A35:T35"/>
    <mergeCell ref="A28:S28"/>
    <mergeCell ref="A29:T29"/>
    <mergeCell ref="A30:T30"/>
    <mergeCell ref="A31:T31"/>
    <mergeCell ref="A32:T32"/>
    <mergeCell ref="A6:A9"/>
    <mergeCell ref="M9:S9"/>
    <mergeCell ref="M6:O7"/>
    <mergeCell ref="P6:P8"/>
    <mergeCell ref="Q6:Q8"/>
    <mergeCell ref="R6:S7"/>
    <mergeCell ref="A25:T25"/>
    <mergeCell ref="B37:T37"/>
    <mergeCell ref="C5:E5"/>
    <mergeCell ref="F5:L5"/>
    <mergeCell ref="M5:S5"/>
    <mergeCell ref="T5:T8"/>
    <mergeCell ref="A5:B5"/>
    <mergeCell ref="A27:T27"/>
    <mergeCell ref="I6:I8"/>
    <mergeCell ref="J6:J8"/>
    <mergeCell ref="K6:L7"/>
    <mergeCell ref="C6:C9"/>
    <mergeCell ref="E6:E9"/>
    <mergeCell ref="F6:H7"/>
    <mergeCell ref="D6:D9"/>
    <mergeCell ref="F9:L9"/>
    <mergeCell ref="B36:T36"/>
  </mergeCells>
  <printOptions horizontalCentered="1" verticalCentered="1"/>
  <pageMargins left="0.39370078740157483" right="0.39370078740157483" top="0.39370078740157483" bottom="0.39370078740157483" header="0.19685039370078741" footer="0.19685039370078741"/>
  <pageSetup paperSize="9" scale="44" orientation="landscape"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DE29D-B300-4EF3-9E42-C6BD9E38D4AC}">
  <sheetPr codeName="Ark46">
    <tabColor theme="0" tint="-0.249977111117893"/>
    <pageSetUpPr fitToPage="1"/>
  </sheetPr>
  <dimension ref="A1:T39"/>
  <sheetViews>
    <sheetView showGridLines="0" workbookViewId="0"/>
  </sheetViews>
  <sheetFormatPr defaultColWidth="8" defaultRowHeight="12" customHeight="1" x14ac:dyDescent="0.2"/>
  <cols>
    <col min="1" max="1" width="45.7109375" style="659" customWidth="1"/>
    <col min="2" max="2" width="14.7109375" style="659" customWidth="1"/>
    <col min="3" max="18" width="11.7109375" style="659" customWidth="1"/>
    <col min="19" max="19" width="1.28515625" style="659" customWidth="1"/>
    <col min="20" max="16384" width="8" style="659"/>
  </cols>
  <sheetData>
    <row r="1" spans="1:20" ht="20.100000000000001" customHeight="1" x14ac:dyDescent="0.25">
      <c r="A1" s="671" t="s">
        <v>1378</v>
      </c>
      <c r="B1" s="660"/>
      <c r="C1" s="660"/>
      <c r="D1" s="660"/>
      <c r="E1" s="660"/>
      <c r="F1" s="660"/>
      <c r="G1" s="660"/>
      <c r="H1" s="660"/>
      <c r="I1" s="660"/>
      <c r="J1" s="660"/>
      <c r="K1" s="660"/>
      <c r="L1" s="660"/>
      <c r="M1" s="660"/>
      <c r="N1" s="660"/>
      <c r="O1" s="660"/>
      <c r="P1" s="660"/>
      <c r="Q1" s="660"/>
      <c r="R1" s="668" t="s">
        <v>1791</v>
      </c>
      <c r="S1" s="660"/>
      <c r="T1" s="660"/>
    </row>
    <row r="2" spans="1:20" ht="15.75" x14ac:dyDescent="0.25">
      <c r="A2" s="671" t="s">
        <v>1377</v>
      </c>
      <c r="B2" s="660"/>
      <c r="C2" s="660"/>
      <c r="D2" s="660"/>
      <c r="E2" s="660"/>
      <c r="F2" s="660"/>
      <c r="G2" s="660"/>
      <c r="H2" s="660"/>
      <c r="I2" s="660"/>
      <c r="J2" s="660"/>
      <c r="K2" s="660"/>
      <c r="L2" s="660"/>
      <c r="M2" s="660"/>
      <c r="N2" s="660"/>
      <c r="O2" s="660"/>
      <c r="P2" s="660"/>
      <c r="Q2" s="660"/>
      <c r="R2" s="668" t="s">
        <v>1790</v>
      </c>
      <c r="S2" s="660"/>
      <c r="T2" s="660"/>
    </row>
    <row r="3" spans="1:20" ht="15.75" x14ac:dyDescent="0.25">
      <c r="A3" s="671" t="s">
        <v>1197</v>
      </c>
      <c r="B3" s="660"/>
      <c r="C3" s="660"/>
      <c r="D3" s="660"/>
      <c r="E3" s="660"/>
      <c r="F3" s="660"/>
      <c r="G3" s="660"/>
      <c r="H3" s="660"/>
      <c r="I3" s="660"/>
      <c r="J3" s="660"/>
      <c r="K3" s="660"/>
      <c r="L3" s="660"/>
      <c r="M3" s="660"/>
      <c r="N3" s="660"/>
      <c r="O3" s="660"/>
      <c r="P3" s="660"/>
      <c r="Q3" s="660"/>
      <c r="R3" s="668" t="s">
        <v>1789</v>
      </c>
      <c r="S3" s="660"/>
      <c r="T3" s="660"/>
    </row>
    <row r="4" spans="1:20" ht="12" customHeight="1" x14ac:dyDescent="0.2">
      <c r="A4" s="736"/>
      <c r="B4" s="731"/>
      <c r="C4" s="731"/>
      <c r="D4" s="731"/>
      <c r="E4" s="731"/>
      <c r="F4" s="731"/>
      <c r="G4" s="731"/>
      <c r="H4" s="731"/>
      <c r="I4" s="731"/>
      <c r="J4" s="731"/>
      <c r="K4" s="731"/>
      <c r="L4" s="731"/>
      <c r="M4" s="731"/>
      <c r="N4" s="731"/>
      <c r="O4" s="3315"/>
      <c r="P4" s="3315"/>
      <c r="Q4" s="3315"/>
      <c r="R4" s="3315"/>
      <c r="S4" s="660"/>
      <c r="T4" s="660"/>
    </row>
    <row r="5" spans="1:20" ht="30" customHeight="1" x14ac:dyDescent="0.2">
      <c r="A5" s="5740" t="s">
        <v>1025</v>
      </c>
      <c r="B5" s="5741"/>
      <c r="C5" s="5736" t="s">
        <v>1083</v>
      </c>
      <c r="D5" s="5737"/>
      <c r="E5" s="5738"/>
      <c r="F5" s="5736" t="s">
        <v>1351</v>
      </c>
      <c r="G5" s="5737"/>
      <c r="H5" s="5737"/>
      <c r="I5" s="5737"/>
      <c r="J5" s="5737"/>
      <c r="K5" s="5738"/>
      <c r="L5" s="5736" t="s">
        <v>1350</v>
      </c>
      <c r="M5" s="5737"/>
      <c r="N5" s="5737"/>
      <c r="O5" s="5737"/>
      <c r="P5" s="5737"/>
      <c r="Q5" s="5738"/>
      <c r="R5" s="5739" t="s">
        <v>1376</v>
      </c>
      <c r="S5" s="660"/>
      <c r="T5" s="660"/>
    </row>
    <row r="6" spans="1:20" ht="47.25" customHeight="1" x14ac:dyDescent="0.2">
      <c r="A6" s="5728" t="s">
        <v>1348</v>
      </c>
      <c r="B6" s="5739" t="s">
        <v>1347</v>
      </c>
      <c r="C6" s="5739" t="s">
        <v>1346</v>
      </c>
      <c r="D6" s="5739" t="s">
        <v>1345</v>
      </c>
      <c r="E6" s="5743" t="s">
        <v>1344</v>
      </c>
      <c r="F6" s="5742" t="s">
        <v>1343</v>
      </c>
      <c r="G6" s="5744"/>
      <c r="H6" s="5743"/>
      <c r="I6" s="5739" t="s">
        <v>1375</v>
      </c>
      <c r="J6" s="5742" t="s">
        <v>1340</v>
      </c>
      <c r="K6" s="5743"/>
      <c r="L6" s="5742" t="s">
        <v>1374</v>
      </c>
      <c r="M6" s="5744"/>
      <c r="N6" s="5743"/>
      <c r="O6" s="5739" t="s">
        <v>1373</v>
      </c>
      <c r="P6" s="5742" t="s">
        <v>1372</v>
      </c>
      <c r="Q6" s="5743"/>
      <c r="R6" s="5532"/>
      <c r="S6" s="660"/>
      <c r="T6" s="660"/>
    </row>
    <row r="7" spans="1:20" ht="12.75" customHeight="1" x14ac:dyDescent="0.2">
      <c r="A7" s="5520"/>
      <c r="B7" s="5532"/>
      <c r="C7" s="5532"/>
      <c r="D7" s="5532"/>
      <c r="E7" s="5542"/>
      <c r="F7" s="5539"/>
      <c r="G7" s="5545"/>
      <c r="H7" s="5540"/>
      <c r="I7" s="5532"/>
      <c r="J7" s="5539"/>
      <c r="K7" s="5540"/>
      <c r="L7" s="5539"/>
      <c r="M7" s="5545"/>
      <c r="N7" s="5540"/>
      <c r="O7" s="5532"/>
      <c r="P7" s="5539"/>
      <c r="Q7" s="5540"/>
      <c r="R7" s="5532"/>
      <c r="S7" s="660"/>
      <c r="T7" s="660"/>
    </row>
    <row r="8" spans="1:20" ht="25.5" customHeight="1" x14ac:dyDescent="0.2">
      <c r="A8" s="5520"/>
      <c r="B8" s="5532"/>
      <c r="C8" s="5532"/>
      <c r="D8" s="5532"/>
      <c r="E8" s="5542"/>
      <c r="F8" s="3566" t="s">
        <v>1334</v>
      </c>
      <c r="G8" s="3566" t="s">
        <v>1333</v>
      </c>
      <c r="H8" s="3566" t="s">
        <v>1332</v>
      </c>
      <c r="I8" s="5533"/>
      <c r="J8" s="3309" t="s">
        <v>1331</v>
      </c>
      <c r="K8" s="3311" t="s">
        <v>1330</v>
      </c>
      <c r="L8" s="3566" t="s">
        <v>1334</v>
      </c>
      <c r="M8" s="3566" t="s">
        <v>1333</v>
      </c>
      <c r="N8" s="3566" t="s">
        <v>1332</v>
      </c>
      <c r="O8" s="5533"/>
      <c r="P8" s="3309" t="s">
        <v>1331</v>
      </c>
      <c r="Q8" s="3311" t="s">
        <v>1330</v>
      </c>
      <c r="R8" s="5533"/>
      <c r="S8" s="660"/>
      <c r="T8" s="660"/>
    </row>
    <row r="9" spans="1:20" ht="15.95" customHeight="1" thickBot="1" x14ac:dyDescent="0.25">
      <c r="A9" s="5556"/>
      <c r="B9" s="5541"/>
      <c r="C9" s="5541"/>
      <c r="D9" s="5541"/>
      <c r="E9" s="5543"/>
      <c r="F9" s="5546" t="s">
        <v>1329</v>
      </c>
      <c r="G9" s="5547"/>
      <c r="H9" s="5547"/>
      <c r="I9" s="5547"/>
      <c r="J9" s="5547"/>
      <c r="K9" s="5548"/>
      <c r="L9" s="5546" t="s">
        <v>1328</v>
      </c>
      <c r="M9" s="5547"/>
      <c r="N9" s="5547"/>
      <c r="O9" s="5547"/>
      <c r="P9" s="5547"/>
      <c r="Q9" s="5548"/>
      <c r="R9" s="734" t="s">
        <v>1011</v>
      </c>
      <c r="S9" s="660"/>
      <c r="T9" s="660"/>
    </row>
    <row r="10" spans="1:20" ht="12.75" thickTop="1" x14ac:dyDescent="0.2">
      <c r="A10" s="733" t="s">
        <v>1371</v>
      </c>
      <c r="B10" s="3497" t="s">
        <v>986</v>
      </c>
      <c r="C10" s="3507">
        <v>2805.7915624599859</v>
      </c>
      <c r="D10" s="3507">
        <v>2711.3578139601</v>
      </c>
      <c r="E10" s="3507">
        <v>94.433748499885994</v>
      </c>
      <c r="F10" s="3507">
        <v>1.6876388851600001E-2</v>
      </c>
      <c r="G10" s="3507">
        <v>-1.8296828081120001E-2</v>
      </c>
      <c r="H10" s="3507">
        <v>-1.4204392295299999E-3</v>
      </c>
      <c r="I10" s="3507">
        <v>-1.32499675908E-3</v>
      </c>
      <c r="J10" s="3507">
        <v>-6.2071822421000001E-3</v>
      </c>
      <c r="K10" s="3507">
        <v>-7.5505117033542399</v>
      </c>
      <c r="L10" s="3507">
        <v>47.3516294446</v>
      </c>
      <c r="M10" s="3507">
        <v>-51.337085849799998</v>
      </c>
      <c r="N10" s="3507">
        <v>-3.9854564051999999</v>
      </c>
      <c r="O10" s="3507">
        <v>-3.7176647268999998</v>
      </c>
      <c r="P10" s="3507">
        <v>-16.8298920748</v>
      </c>
      <c r="Q10" s="3507">
        <v>-713.02312324000002</v>
      </c>
      <c r="R10" s="3507">
        <v>2704.3725003053023</v>
      </c>
      <c r="S10" s="660"/>
      <c r="T10" s="660"/>
    </row>
    <row r="11" spans="1:20" x14ac:dyDescent="0.2">
      <c r="A11" s="3573" t="s">
        <v>1370</v>
      </c>
      <c r="B11" s="3497"/>
      <c r="C11" s="3507">
        <v>2760.8725624600002</v>
      </c>
      <c r="D11" s="3507">
        <v>2666.4512451999999</v>
      </c>
      <c r="E11" s="3507">
        <v>94.421317259999995</v>
      </c>
      <c r="F11" s="3507">
        <v>8.1887701552800004E-3</v>
      </c>
      <c r="G11" s="3507">
        <v>-1.171129647041E-2</v>
      </c>
      <c r="H11" s="3507">
        <v>-3.5225263151399998E-3</v>
      </c>
      <c r="I11" s="3507" t="s">
        <v>259</v>
      </c>
      <c r="J11" s="3507">
        <v>-4.9885985614600004E-3</v>
      </c>
      <c r="K11" s="3507">
        <v>-7.5515057820746998</v>
      </c>
      <c r="L11" s="3507">
        <v>22.608150842000001</v>
      </c>
      <c r="M11" s="3507">
        <v>-32.333397095999999</v>
      </c>
      <c r="N11" s="3507">
        <v>-9.725246254</v>
      </c>
      <c r="O11" s="3507" t="s">
        <v>259</v>
      </c>
      <c r="P11" s="3507">
        <v>-13.301854845999999</v>
      </c>
      <c r="Q11" s="3507">
        <v>-713.02312324000002</v>
      </c>
      <c r="R11" s="3507">
        <v>2698.8508225800024</v>
      </c>
      <c r="S11" s="660"/>
      <c r="T11" s="660"/>
    </row>
    <row r="12" spans="1:20" x14ac:dyDescent="0.2">
      <c r="A12" s="3548" t="s">
        <v>1319</v>
      </c>
      <c r="B12" s="3500" t="s">
        <v>1319</v>
      </c>
      <c r="C12" s="3507">
        <v>2760.8725624600002</v>
      </c>
      <c r="D12" s="3500">
        <v>2666.4512451999999</v>
      </c>
      <c r="E12" s="3500">
        <v>94.421317259999995</v>
      </c>
      <c r="F12" s="3507">
        <v>8.1887701552800004E-3</v>
      </c>
      <c r="G12" s="3507">
        <v>-1.171129647041E-2</v>
      </c>
      <c r="H12" s="3507">
        <v>-3.5225263151399998E-3</v>
      </c>
      <c r="I12" s="3507" t="s">
        <v>259</v>
      </c>
      <c r="J12" s="3507">
        <v>-4.9885985614600004E-3</v>
      </c>
      <c r="K12" s="3507">
        <v>-7.5515057820746998</v>
      </c>
      <c r="L12" s="3500">
        <v>22.608150842000001</v>
      </c>
      <c r="M12" s="3500">
        <v>-32.333397095999999</v>
      </c>
      <c r="N12" s="3507">
        <v>-9.725246254</v>
      </c>
      <c r="O12" s="3500" t="s">
        <v>259</v>
      </c>
      <c r="P12" s="3500">
        <v>-13.301854845999999</v>
      </c>
      <c r="Q12" s="3500">
        <v>-713.02312324000002</v>
      </c>
      <c r="R12" s="3507">
        <v>2698.8508225800024</v>
      </c>
      <c r="S12" s="660"/>
      <c r="T12" s="660"/>
    </row>
    <row r="13" spans="1:20" ht="13.5" x14ac:dyDescent="0.2">
      <c r="A13" s="3575" t="s">
        <v>1369</v>
      </c>
      <c r="B13" s="3497" t="s">
        <v>986</v>
      </c>
      <c r="C13" s="3507">
        <v>44.918999999985999</v>
      </c>
      <c r="D13" s="3507">
        <v>44.906568760100001</v>
      </c>
      <c r="E13" s="3507">
        <v>1.2431239885999999E-2</v>
      </c>
      <c r="F13" s="3507">
        <v>0.55084660394505003</v>
      </c>
      <c r="G13" s="3507">
        <v>-0.42306571281208</v>
      </c>
      <c r="H13" s="3507">
        <v>0.12778089113297</v>
      </c>
      <c r="I13" s="3507">
        <v>-8.2763746452529999E-2</v>
      </c>
      <c r="J13" s="3507">
        <v>-7.8563945681249997E-2</v>
      </c>
      <c r="K13" s="3507" t="s">
        <v>1366</v>
      </c>
      <c r="L13" s="3507">
        <v>24.7434786026</v>
      </c>
      <c r="M13" s="3507">
        <v>-19.003688753799999</v>
      </c>
      <c r="N13" s="3507">
        <v>5.7397898488000001</v>
      </c>
      <c r="O13" s="3507">
        <v>-3.7176647268999998</v>
      </c>
      <c r="P13" s="3507">
        <v>-3.5280372288000001</v>
      </c>
      <c r="Q13" s="3507" t="s">
        <v>1366</v>
      </c>
      <c r="R13" s="3507">
        <v>5.5216777253000098</v>
      </c>
      <c r="S13" s="660"/>
      <c r="T13" s="660"/>
    </row>
    <row r="14" spans="1:20" x14ac:dyDescent="0.2">
      <c r="A14" s="3574" t="s">
        <v>1368</v>
      </c>
      <c r="B14" s="3497"/>
      <c r="C14" s="3507">
        <v>6.8034999999860002</v>
      </c>
      <c r="D14" s="3507">
        <v>6.7910687600999999</v>
      </c>
      <c r="E14" s="3507">
        <v>1.2431239885999999E-2</v>
      </c>
      <c r="F14" s="3507">
        <v>0.22243649850857999</v>
      </c>
      <c r="G14" s="3507">
        <v>-0.38949970659299998</v>
      </c>
      <c r="H14" s="3507">
        <v>-0.16706320808441999</v>
      </c>
      <c r="I14" s="3507">
        <v>-0.54643414814545999</v>
      </c>
      <c r="J14" s="3507">
        <v>-0.33998674296532999</v>
      </c>
      <c r="K14" s="3507" t="s">
        <v>455</v>
      </c>
      <c r="L14" s="3507">
        <v>1.5133467175999999</v>
      </c>
      <c r="M14" s="3507">
        <v>-2.6499612537999999</v>
      </c>
      <c r="N14" s="3507">
        <v>-1.1366145362</v>
      </c>
      <c r="O14" s="3507">
        <v>-3.7176647268999998</v>
      </c>
      <c r="P14" s="3507">
        <v>-2.3088733490000002</v>
      </c>
      <c r="Q14" s="3507" t="s">
        <v>455</v>
      </c>
      <c r="R14" s="3507">
        <v>26.26489291103336</v>
      </c>
      <c r="S14" s="660"/>
      <c r="T14" s="660"/>
    </row>
    <row r="15" spans="1:20" x14ac:dyDescent="0.2">
      <c r="A15" s="3548" t="s">
        <v>1319</v>
      </c>
      <c r="B15" s="3500" t="s">
        <v>1319</v>
      </c>
      <c r="C15" s="3507">
        <v>6.8034999999860002</v>
      </c>
      <c r="D15" s="3500">
        <v>6.7910687600999999</v>
      </c>
      <c r="E15" s="3500">
        <v>1.2431239885999999E-2</v>
      </c>
      <c r="F15" s="3507">
        <v>0.22243649850857999</v>
      </c>
      <c r="G15" s="3507">
        <v>-0.38949970659299998</v>
      </c>
      <c r="H15" s="3507">
        <v>-0.16706320808441999</v>
      </c>
      <c r="I15" s="3507">
        <v>-0.54643414814545999</v>
      </c>
      <c r="J15" s="3507">
        <v>-0.33998674296532999</v>
      </c>
      <c r="K15" s="3507" t="s">
        <v>455</v>
      </c>
      <c r="L15" s="3500">
        <v>1.5133467175999999</v>
      </c>
      <c r="M15" s="3500">
        <v>-2.6499612537999999</v>
      </c>
      <c r="N15" s="3507">
        <v>-1.1366145362</v>
      </c>
      <c r="O15" s="3500">
        <v>-3.7176647268999998</v>
      </c>
      <c r="P15" s="3500">
        <v>-2.3088733490000002</v>
      </c>
      <c r="Q15" s="3500" t="s">
        <v>455</v>
      </c>
      <c r="R15" s="3507">
        <v>26.26489291103336</v>
      </c>
      <c r="S15" s="660"/>
      <c r="T15" s="660"/>
    </row>
    <row r="16" spans="1:20" x14ac:dyDescent="0.2">
      <c r="A16" s="3573" t="s">
        <v>1367</v>
      </c>
      <c r="B16" s="3497"/>
      <c r="C16" s="3507">
        <v>37.428249999999998</v>
      </c>
      <c r="D16" s="3507">
        <v>37.428249999999998</v>
      </c>
      <c r="E16" s="3507" t="s">
        <v>455</v>
      </c>
      <c r="F16" s="3507">
        <v>0.62065770868261005</v>
      </c>
      <c r="G16" s="3507">
        <v>-0.43693540307120998</v>
      </c>
      <c r="H16" s="3507">
        <v>0.18372230561139999</v>
      </c>
      <c r="I16" s="3507" t="s">
        <v>799</v>
      </c>
      <c r="J16" s="3507" t="s">
        <v>455</v>
      </c>
      <c r="K16" s="3507" t="s">
        <v>455</v>
      </c>
      <c r="L16" s="3507">
        <v>23.230131884999999</v>
      </c>
      <c r="M16" s="3507">
        <v>-16.353727500000002</v>
      </c>
      <c r="N16" s="3507">
        <v>6.8764043849999998</v>
      </c>
      <c r="O16" s="3507" t="s">
        <v>799</v>
      </c>
      <c r="P16" s="3507" t="s">
        <v>455</v>
      </c>
      <c r="Q16" s="3507" t="s">
        <v>455</v>
      </c>
      <c r="R16" s="3507">
        <v>-25.213482745000022</v>
      </c>
      <c r="S16" s="660"/>
      <c r="T16" s="660"/>
    </row>
    <row r="17" spans="1:20" x14ac:dyDescent="0.2">
      <c r="A17" s="3548" t="s">
        <v>1319</v>
      </c>
      <c r="B17" s="3500" t="s">
        <v>1319</v>
      </c>
      <c r="C17" s="3507">
        <v>37.428249999999998</v>
      </c>
      <c r="D17" s="3500">
        <v>37.428249999999998</v>
      </c>
      <c r="E17" s="3500" t="s">
        <v>455</v>
      </c>
      <c r="F17" s="3507">
        <v>0.62065770868261005</v>
      </c>
      <c r="G17" s="3507">
        <v>-0.43693540307120998</v>
      </c>
      <c r="H17" s="3507">
        <v>0.18372230561139999</v>
      </c>
      <c r="I17" s="3507" t="s">
        <v>799</v>
      </c>
      <c r="J17" s="3507" t="s">
        <v>455</v>
      </c>
      <c r="K17" s="3507" t="s">
        <v>455</v>
      </c>
      <c r="L17" s="3500">
        <v>23.230131884999999</v>
      </c>
      <c r="M17" s="3500">
        <v>-16.353727500000002</v>
      </c>
      <c r="N17" s="3507">
        <v>6.8764043849999998</v>
      </c>
      <c r="O17" s="3500" t="s">
        <v>799</v>
      </c>
      <c r="P17" s="3500" t="s">
        <v>455</v>
      </c>
      <c r="Q17" s="3500" t="s">
        <v>455</v>
      </c>
      <c r="R17" s="3507">
        <v>-25.213482745000022</v>
      </c>
      <c r="S17" s="660"/>
      <c r="T17" s="660"/>
    </row>
    <row r="18" spans="1:20" x14ac:dyDescent="0.2">
      <c r="A18" s="3573" t="s">
        <v>1365</v>
      </c>
      <c r="B18" s="3497"/>
      <c r="C18" s="3507">
        <v>0.68725000000000003</v>
      </c>
      <c r="D18" s="3507">
        <v>0.68725000000000003</v>
      </c>
      <c r="E18" s="3507" t="s">
        <v>455</v>
      </c>
      <c r="F18" s="3507" t="s">
        <v>259</v>
      </c>
      <c r="G18" s="3507" t="s">
        <v>259</v>
      </c>
      <c r="H18" s="3507" t="s">
        <v>259</v>
      </c>
      <c r="I18" s="3507" t="s">
        <v>259</v>
      </c>
      <c r="J18" s="3507">
        <v>-1.7739743612950201</v>
      </c>
      <c r="K18" s="3507" t="s">
        <v>455</v>
      </c>
      <c r="L18" s="3507" t="s">
        <v>259</v>
      </c>
      <c r="M18" s="3507" t="s">
        <v>259</v>
      </c>
      <c r="N18" s="3507" t="s">
        <v>259</v>
      </c>
      <c r="O18" s="3507" t="s">
        <v>259</v>
      </c>
      <c r="P18" s="3507">
        <v>-1.2191638798</v>
      </c>
      <c r="Q18" s="3507" t="s">
        <v>455</v>
      </c>
      <c r="R18" s="3507">
        <v>4.4702675592666701</v>
      </c>
      <c r="S18" s="660"/>
      <c r="T18" s="660"/>
    </row>
    <row r="19" spans="1:20" x14ac:dyDescent="0.2">
      <c r="A19" s="3548" t="s">
        <v>1319</v>
      </c>
      <c r="B19" s="3500" t="s">
        <v>1319</v>
      </c>
      <c r="C19" s="3507">
        <v>0.68725000000000003</v>
      </c>
      <c r="D19" s="3500">
        <v>0.68725000000000003</v>
      </c>
      <c r="E19" s="3500" t="s">
        <v>455</v>
      </c>
      <c r="F19" s="3507" t="s">
        <v>259</v>
      </c>
      <c r="G19" s="3507" t="s">
        <v>259</v>
      </c>
      <c r="H19" s="3507" t="s">
        <v>259</v>
      </c>
      <c r="I19" s="3507" t="s">
        <v>259</v>
      </c>
      <c r="J19" s="3507">
        <v>-1.7739743612950201</v>
      </c>
      <c r="K19" s="3507" t="s">
        <v>455</v>
      </c>
      <c r="L19" s="3500" t="s">
        <v>259</v>
      </c>
      <c r="M19" s="3500" t="s">
        <v>259</v>
      </c>
      <c r="N19" s="3507" t="s">
        <v>259</v>
      </c>
      <c r="O19" s="3500" t="s">
        <v>259</v>
      </c>
      <c r="P19" s="3500">
        <v>-1.2191638798</v>
      </c>
      <c r="Q19" s="3500" t="s">
        <v>455</v>
      </c>
      <c r="R19" s="3507">
        <v>4.4702675592666701</v>
      </c>
      <c r="S19" s="660"/>
      <c r="T19" s="660"/>
    </row>
    <row r="20" spans="1:20" x14ac:dyDescent="0.2">
      <c r="A20" s="3573" t="s">
        <v>1364</v>
      </c>
      <c r="B20" s="3497"/>
      <c r="C20" s="3507" t="s">
        <v>259</v>
      </c>
      <c r="D20" s="3507" t="s">
        <v>259</v>
      </c>
      <c r="E20" s="3507" t="s">
        <v>259</v>
      </c>
      <c r="F20" s="3507" t="s">
        <v>259</v>
      </c>
      <c r="G20" s="3507" t="s">
        <v>259</v>
      </c>
      <c r="H20" s="3507" t="s">
        <v>259</v>
      </c>
      <c r="I20" s="3507" t="s">
        <v>259</v>
      </c>
      <c r="J20" s="3507" t="s">
        <v>259</v>
      </c>
      <c r="K20" s="3507" t="s">
        <v>259</v>
      </c>
      <c r="L20" s="3507" t="s">
        <v>259</v>
      </c>
      <c r="M20" s="3507" t="s">
        <v>259</v>
      </c>
      <c r="N20" s="3507" t="s">
        <v>259</v>
      </c>
      <c r="O20" s="3507" t="s">
        <v>259</v>
      </c>
      <c r="P20" s="3507" t="s">
        <v>259</v>
      </c>
      <c r="Q20" s="3507" t="s">
        <v>259</v>
      </c>
      <c r="R20" s="3507" t="s">
        <v>259</v>
      </c>
      <c r="S20" s="660"/>
      <c r="T20" s="660"/>
    </row>
    <row r="21" spans="1:20" x14ac:dyDescent="0.2">
      <c r="A21" s="3548" t="s">
        <v>1319</v>
      </c>
      <c r="B21" s="3500" t="s">
        <v>1319</v>
      </c>
      <c r="C21" s="3507" t="s">
        <v>259</v>
      </c>
      <c r="D21" s="3500" t="s">
        <v>259</v>
      </c>
      <c r="E21" s="3500" t="s">
        <v>259</v>
      </c>
      <c r="F21" s="3507" t="s">
        <v>259</v>
      </c>
      <c r="G21" s="3507" t="s">
        <v>259</v>
      </c>
      <c r="H21" s="3507" t="s">
        <v>259</v>
      </c>
      <c r="I21" s="3507" t="s">
        <v>259</v>
      </c>
      <c r="J21" s="3507" t="s">
        <v>259</v>
      </c>
      <c r="K21" s="3507" t="s">
        <v>259</v>
      </c>
      <c r="L21" s="3500" t="s">
        <v>259</v>
      </c>
      <c r="M21" s="3500" t="s">
        <v>259</v>
      </c>
      <c r="N21" s="3507" t="s">
        <v>259</v>
      </c>
      <c r="O21" s="3500" t="s">
        <v>259</v>
      </c>
      <c r="P21" s="3500" t="s">
        <v>259</v>
      </c>
      <c r="Q21" s="3500" t="s">
        <v>259</v>
      </c>
      <c r="R21" s="3507" t="s">
        <v>259</v>
      </c>
      <c r="S21" s="660"/>
      <c r="T21" s="660"/>
    </row>
    <row r="22" spans="1:20" x14ac:dyDescent="0.2">
      <c r="A22" s="3576" t="s">
        <v>1363</v>
      </c>
      <c r="B22" s="3497"/>
      <c r="C22" s="3507" t="s">
        <v>259</v>
      </c>
      <c r="D22" s="3507" t="s">
        <v>259</v>
      </c>
      <c r="E22" s="3507" t="s">
        <v>259</v>
      </c>
      <c r="F22" s="3507" t="s">
        <v>259</v>
      </c>
      <c r="G22" s="3507" t="s">
        <v>259</v>
      </c>
      <c r="H22" s="3507" t="s">
        <v>259</v>
      </c>
      <c r="I22" s="3507" t="s">
        <v>259</v>
      </c>
      <c r="J22" s="3507" t="s">
        <v>259</v>
      </c>
      <c r="K22" s="3507" t="s">
        <v>259</v>
      </c>
      <c r="L22" s="3507" t="s">
        <v>259</v>
      </c>
      <c r="M22" s="3507" t="s">
        <v>259</v>
      </c>
      <c r="N22" s="3507" t="s">
        <v>259</v>
      </c>
      <c r="O22" s="3507" t="s">
        <v>259</v>
      </c>
      <c r="P22" s="3507" t="s">
        <v>259</v>
      </c>
      <c r="Q22" s="3507" t="s">
        <v>259</v>
      </c>
      <c r="R22" s="3507" t="s">
        <v>259</v>
      </c>
      <c r="S22" s="660"/>
      <c r="T22" s="660"/>
    </row>
    <row r="23" spans="1:20" x14ac:dyDescent="0.2">
      <c r="A23" s="3548" t="s">
        <v>1319</v>
      </c>
      <c r="B23" s="3500" t="s">
        <v>1319</v>
      </c>
      <c r="C23" s="3507" t="s">
        <v>259</v>
      </c>
      <c r="D23" s="3500" t="s">
        <v>259</v>
      </c>
      <c r="E23" s="3500" t="s">
        <v>259</v>
      </c>
      <c r="F23" s="3507" t="s">
        <v>259</v>
      </c>
      <c r="G23" s="3507" t="s">
        <v>259</v>
      </c>
      <c r="H23" s="3507" t="s">
        <v>259</v>
      </c>
      <c r="I23" s="3507" t="s">
        <v>259</v>
      </c>
      <c r="J23" s="3507" t="s">
        <v>259</v>
      </c>
      <c r="K23" s="3507" t="s">
        <v>259</v>
      </c>
      <c r="L23" s="3500" t="s">
        <v>259</v>
      </c>
      <c r="M23" s="3500" t="s">
        <v>259</v>
      </c>
      <c r="N23" s="3507" t="s">
        <v>259</v>
      </c>
      <c r="O23" s="3500" t="s">
        <v>259</v>
      </c>
      <c r="P23" s="3500" t="s">
        <v>259</v>
      </c>
      <c r="Q23" s="3500" t="s">
        <v>259</v>
      </c>
      <c r="R23" s="3507" t="s">
        <v>259</v>
      </c>
      <c r="S23" s="660"/>
      <c r="T23" s="660"/>
    </row>
    <row r="24" spans="1:20" x14ac:dyDescent="0.2">
      <c r="A24" s="678" t="s">
        <v>564</v>
      </c>
      <c r="B24" s="663"/>
      <c r="C24" s="663"/>
      <c r="D24" s="663"/>
      <c r="E24" s="663"/>
      <c r="F24" s="663"/>
      <c r="G24" s="663"/>
      <c r="H24" s="663"/>
      <c r="I24" s="663"/>
      <c r="J24" s="663"/>
      <c r="K24" s="663"/>
      <c r="L24" s="663"/>
      <c r="M24" s="663"/>
      <c r="N24" s="663"/>
      <c r="O24" s="663"/>
      <c r="P24" s="663"/>
      <c r="Q24" s="663"/>
      <c r="R24" s="663"/>
      <c r="S24" s="660"/>
      <c r="T24" s="660"/>
    </row>
    <row r="25" spans="1:20" ht="13.5" x14ac:dyDescent="0.2">
      <c r="A25" s="5558" t="s">
        <v>1362</v>
      </c>
      <c r="B25" s="5558"/>
      <c r="C25" s="5558"/>
      <c r="D25" s="5558"/>
      <c r="E25" s="5558"/>
      <c r="F25" s="5558"/>
      <c r="G25" s="5558"/>
      <c r="H25" s="5558"/>
      <c r="I25" s="5558"/>
      <c r="J25" s="5558"/>
      <c r="K25" s="5558"/>
      <c r="L25" s="5558"/>
      <c r="M25" s="663"/>
      <c r="N25" s="663"/>
      <c r="O25" s="663"/>
      <c r="P25" s="663"/>
      <c r="Q25" s="663"/>
      <c r="R25" s="663"/>
      <c r="S25" s="660"/>
      <c r="T25" s="660"/>
    </row>
    <row r="26" spans="1:20" ht="13.5" x14ac:dyDescent="0.2">
      <c r="A26" s="5559" t="s">
        <v>1361</v>
      </c>
      <c r="B26" s="5559"/>
      <c r="C26" s="5559"/>
      <c r="D26" s="5559"/>
      <c r="E26" s="5559"/>
      <c r="F26" s="5559"/>
      <c r="G26" s="5559"/>
      <c r="H26" s="5559"/>
      <c r="I26" s="5559"/>
      <c r="J26" s="5559"/>
      <c r="K26" s="5559"/>
      <c r="L26" s="5559"/>
      <c r="M26" s="5559"/>
      <c r="N26" s="663"/>
      <c r="O26" s="663"/>
      <c r="P26" s="663"/>
      <c r="Q26" s="663"/>
      <c r="R26" s="663"/>
      <c r="S26" s="660"/>
      <c r="T26" s="660"/>
    </row>
    <row r="27" spans="1:20" ht="13.5" x14ac:dyDescent="0.2">
      <c r="A27" s="5560" t="s">
        <v>1316</v>
      </c>
      <c r="B27" s="5560"/>
      <c r="C27" s="5560"/>
      <c r="D27" s="5560"/>
      <c r="E27" s="5560"/>
      <c r="F27" s="5560"/>
      <c r="G27" s="5560"/>
      <c r="H27" s="5560"/>
      <c r="I27" s="5560"/>
      <c r="J27" s="5560"/>
      <c r="K27" s="5560"/>
      <c r="L27" s="5560"/>
      <c r="M27" s="5560"/>
      <c r="N27" s="663"/>
      <c r="O27" s="663"/>
      <c r="P27" s="663"/>
      <c r="Q27" s="663"/>
      <c r="R27" s="663"/>
      <c r="S27" s="660"/>
      <c r="T27" s="660"/>
    </row>
    <row r="28" spans="1:20" ht="13.5" x14ac:dyDescent="0.2">
      <c r="A28" s="5557" t="s">
        <v>1360</v>
      </c>
      <c r="B28" s="5557"/>
      <c r="C28" s="5557"/>
      <c r="D28" s="5557"/>
      <c r="E28" s="5557"/>
      <c r="F28" s="5557"/>
      <c r="G28" s="5557"/>
      <c r="H28" s="5557"/>
      <c r="I28" s="5557"/>
      <c r="J28" s="5557"/>
      <c r="K28" s="5557"/>
      <c r="L28" s="5557"/>
      <c r="M28" s="663"/>
      <c r="N28" s="663"/>
      <c r="O28" s="663"/>
      <c r="P28" s="663"/>
      <c r="Q28" s="663"/>
      <c r="R28" s="663"/>
      <c r="S28" s="660"/>
      <c r="T28" s="660"/>
    </row>
    <row r="29" spans="1:20" ht="13.5" x14ac:dyDescent="0.2">
      <c r="A29" s="5561" t="s">
        <v>1359</v>
      </c>
      <c r="B29" s="5561"/>
      <c r="C29" s="5561"/>
      <c r="D29" s="5561"/>
      <c r="E29" s="5561"/>
      <c r="F29" s="5561"/>
      <c r="G29" s="5561"/>
      <c r="H29" s="5561"/>
      <c r="I29" s="5561"/>
      <c r="J29" s="5561"/>
      <c r="K29" s="5561"/>
      <c r="L29" s="5561"/>
      <c r="M29" s="663"/>
      <c r="N29" s="663"/>
      <c r="O29" s="663"/>
      <c r="P29" s="663"/>
      <c r="Q29" s="663"/>
      <c r="R29" s="663"/>
      <c r="S29" s="660"/>
      <c r="T29" s="660"/>
    </row>
    <row r="30" spans="1:20" ht="13.5" x14ac:dyDescent="0.2">
      <c r="A30" s="5557" t="s">
        <v>1358</v>
      </c>
      <c r="B30" s="5557"/>
      <c r="C30" s="5557"/>
      <c r="D30" s="5557"/>
      <c r="E30" s="5557"/>
      <c r="F30" s="5557"/>
      <c r="G30" s="5557"/>
      <c r="H30" s="5557"/>
      <c r="I30" s="5557"/>
      <c r="J30" s="5557"/>
      <c r="K30" s="5557"/>
      <c r="L30" s="663"/>
      <c r="M30" s="663"/>
      <c r="N30" s="663"/>
      <c r="O30" s="663"/>
      <c r="P30" s="663"/>
      <c r="Q30" s="663"/>
      <c r="R30" s="663"/>
      <c r="S30" s="660"/>
      <c r="T30" s="660"/>
    </row>
    <row r="31" spans="1:20" ht="13.5" x14ac:dyDescent="0.2">
      <c r="A31" s="5557" t="s">
        <v>1357</v>
      </c>
      <c r="B31" s="5557"/>
      <c r="C31" s="5557"/>
      <c r="D31" s="5557"/>
      <c r="E31" s="5557"/>
      <c r="F31" s="5557"/>
      <c r="G31" s="5557"/>
      <c r="H31" s="5557"/>
      <c r="I31" s="5557"/>
      <c r="J31" s="5557"/>
      <c r="K31" s="5557"/>
      <c r="L31" s="5557"/>
      <c r="M31" s="663"/>
      <c r="N31" s="663"/>
      <c r="O31" s="663"/>
      <c r="P31" s="663"/>
      <c r="Q31" s="663"/>
      <c r="R31" s="663"/>
      <c r="S31" s="660"/>
      <c r="T31" s="660"/>
    </row>
    <row r="32" spans="1:20" ht="13.5" x14ac:dyDescent="0.2">
      <c r="A32" s="5553" t="s">
        <v>1356</v>
      </c>
      <c r="B32" s="5553"/>
      <c r="C32" s="5553"/>
      <c r="D32" s="5553"/>
      <c r="E32" s="5553"/>
      <c r="F32" s="5553"/>
      <c r="G32" s="5553"/>
      <c r="H32" s="5553"/>
      <c r="I32" s="5553"/>
      <c r="J32" s="5553"/>
      <c r="K32" s="5553"/>
      <c r="L32" s="5553"/>
      <c r="M32" s="663"/>
      <c r="N32" s="663"/>
      <c r="O32" s="663"/>
      <c r="P32" s="663"/>
      <c r="Q32" s="663"/>
      <c r="R32" s="663"/>
      <c r="S32" s="660"/>
      <c r="T32" s="660"/>
    </row>
    <row r="33" spans="1:20" ht="12.75" customHeight="1" x14ac:dyDescent="0.2">
      <c r="A33" s="5554" t="s">
        <v>1355</v>
      </c>
      <c r="B33" s="5554"/>
      <c r="C33" s="5554"/>
      <c r="D33" s="5554"/>
      <c r="E33" s="5554"/>
      <c r="F33" s="5554"/>
      <c r="G33" s="5554"/>
      <c r="H33" s="5554"/>
      <c r="I33" s="5554"/>
      <c r="J33" s="5554"/>
      <c r="K33" s="5554"/>
      <c r="L33" s="5554"/>
      <c r="M33" s="5554"/>
      <c r="N33" s="735"/>
      <c r="O33" s="735"/>
      <c r="P33" s="735"/>
      <c r="Q33" s="735"/>
      <c r="R33" s="735"/>
      <c r="S33" s="735"/>
      <c r="T33" s="735"/>
    </row>
    <row r="34" spans="1:20" ht="13.5" x14ac:dyDescent="0.2">
      <c r="A34" s="5561" t="s">
        <v>1354</v>
      </c>
      <c r="B34" s="5561"/>
      <c r="C34" s="5561"/>
      <c r="D34" s="5561"/>
      <c r="E34" s="5561"/>
      <c r="F34" s="5561"/>
      <c r="G34" s="5561"/>
      <c r="H34" s="5561"/>
      <c r="I34" s="5561"/>
      <c r="J34" s="5561"/>
      <c r="K34" s="5561"/>
      <c r="L34" s="5561"/>
      <c r="M34" s="5561"/>
      <c r="N34" s="663"/>
      <c r="O34" s="663"/>
      <c r="P34" s="663"/>
      <c r="Q34" s="663"/>
      <c r="R34" s="663"/>
      <c r="S34" s="660"/>
      <c r="T34" s="660"/>
    </row>
    <row r="35" spans="1:20" x14ac:dyDescent="0.2">
      <c r="A35" s="660"/>
      <c r="B35" s="660"/>
      <c r="C35" s="660"/>
      <c r="D35" s="660"/>
      <c r="E35" s="660"/>
      <c r="F35" s="660"/>
      <c r="G35" s="660"/>
      <c r="H35" s="660"/>
      <c r="I35" s="660"/>
      <c r="J35" s="660"/>
      <c r="K35" s="660"/>
      <c r="L35" s="660"/>
      <c r="M35" s="660"/>
      <c r="N35" s="660"/>
      <c r="O35" s="660"/>
      <c r="P35" s="660"/>
      <c r="Q35" s="660"/>
      <c r="R35" s="660"/>
      <c r="S35" s="660"/>
      <c r="T35" s="660"/>
    </row>
    <row r="36" spans="1:20" ht="18" customHeight="1" x14ac:dyDescent="0.2">
      <c r="A36" s="3572" t="s">
        <v>982</v>
      </c>
      <c r="B36" s="3570"/>
      <c r="C36" s="3570"/>
      <c r="D36" s="3570"/>
      <c r="E36" s="3570"/>
      <c r="F36" s="3570"/>
      <c r="G36" s="3570"/>
      <c r="H36" s="3570"/>
      <c r="I36" s="3570"/>
      <c r="J36" s="3570"/>
      <c r="K36" s="3570"/>
      <c r="L36" s="3570"/>
      <c r="M36" s="3570"/>
      <c r="N36" s="3570"/>
      <c r="O36" s="3570"/>
      <c r="P36" s="3570"/>
      <c r="Q36" s="3570"/>
      <c r="R36" s="3569"/>
      <c r="S36" s="660"/>
      <c r="T36" s="660"/>
    </row>
    <row r="37" spans="1:20" ht="26.25" customHeight="1" x14ac:dyDescent="0.2">
      <c r="A37" s="5745" t="s">
        <v>1310</v>
      </c>
      <c r="B37" s="5746"/>
      <c r="C37" s="5746"/>
      <c r="D37" s="5746"/>
      <c r="E37" s="5746"/>
      <c r="F37" s="5746"/>
      <c r="G37" s="5746"/>
      <c r="H37" s="5746"/>
      <c r="I37" s="5746"/>
      <c r="J37" s="5746"/>
      <c r="K37" s="5746"/>
      <c r="L37" s="5746"/>
      <c r="M37" s="5746"/>
      <c r="N37" s="5746"/>
      <c r="O37" s="5746"/>
      <c r="P37" s="5746"/>
      <c r="Q37" s="5746"/>
      <c r="R37" s="5747"/>
      <c r="S37" s="660"/>
      <c r="T37" s="660"/>
    </row>
    <row r="38" spans="1:20" ht="12" customHeight="1" x14ac:dyDescent="0.2">
      <c r="A38" s="3568" t="s">
        <v>980</v>
      </c>
      <c r="B38" s="5696" t="s">
        <v>986</v>
      </c>
      <c r="C38" s="5735"/>
      <c r="D38" s="5735"/>
      <c r="E38" s="5735"/>
      <c r="F38" s="5735"/>
      <c r="G38" s="5735"/>
      <c r="H38" s="5735"/>
      <c r="I38" s="5735"/>
      <c r="J38" s="5735"/>
      <c r="K38" s="5735"/>
      <c r="L38" s="5735"/>
      <c r="M38" s="5735"/>
      <c r="N38" s="5735"/>
      <c r="O38" s="5735"/>
      <c r="P38" s="5735"/>
      <c r="Q38" s="5735"/>
      <c r="R38" s="5735"/>
      <c r="S38" s="660"/>
      <c r="T38" s="660"/>
    </row>
    <row r="39" spans="1:20" ht="12" customHeight="1" x14ac:dyDescent="0.2">
      <c r="A39" s="3568" t="s">
        <v>980</v>
      </c>
      <c r="B39" s="5696" t="s">
        <v>986</v>
      </c>
      <c r="C39" s="5735"/>
      <c r="D39" s="5735"/>
      <c r="E39" s="5735"/>
      <c r="F39" s="5735"/>
      <c r="G39" s="5735"/>
      <c r="H39" s="5735"/>
      <c r="I39" s="5735"/>
      <c r="J39" s="5735"/>
      <c r="K39" s="5735"/>
      <c r="L39" s="5735"/>
      <c r="M39" s="5735"/>
      <c r="N39" s="5735"/>
      <c r="O39" s="5735"/>
      <c r="P39" s="5735"/>
      <c r="Q39" s="5735"/>
      <c r="R39" s="5735"/>
    </row>
  </sheetData>
  <sheetProtection password="A754" sheet="1" objects="1" scenarios="1"/>
  <mergeCells count="31">
    <mergeCell ref="B38:R38"/>
    <mergeCell ref="B39:R39"/>
    <mergeCell ref="A31:L31"/>
    <mergeCell ref="A32:L32"/>
    <mergeCell ref="A33:M33"/>
    <mergeCell ref="A34:M34"/>
    <mergeCell ref="A37:R37"/>
    <mergeCell ref="A5:B5"/>
    <mergeCell ref="A30:K30"/>
    <mergeCell ref="I6:I8"/>
    <mergeCell ref="J6:K7"/>
    <mergeCell ref="L6:N7"/>
    <mergeCell ref="A25:L25"/>
    <mergeCell ref="A26:M26"/>
    <mergeCell ref="A27:M27"/>
    <mergeCell ref="A28:L28"/>
    <mergeCell ref="A29:L29"/>
    <mergeCell ref="A6:A9"/>
    <mergeCell ref="B6:B9"/>
    <mergeCell ref="C6:C9"/>
    <mergeCell ref="E6:E9"/>
    <mergeCell ref="F6:H7"/>
    <mergeCell ref="F9:K9"/>
    <mergeCell ref="C5:E5"/>
    <mergeCell ref="F5:K5"/>
    <mergeCell ref="L5:Q5"/>
    <mergeCell ref="D6:D9"/>
    <mergeCell ref="R5:R8"/>
    <mergeCell ref="P6:Q7"/>
    <mergeCell ref="L9:Q9"/>
    <mergeCell ref="O6:O8"/>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48D3B-DF40-4A58-9CB0-E422D95B3886}">
  <sheetPr codeName="Ark47">
    <tabColor theme="0" tint="-0.249977111117893"/>
    <pageSetUpPr fitToPage="1"/>
  </sheetPr>
  <dimension ref="A1:T38"/>
  <sheetViews>
    <sheetView showGridLines="0" workbookViewId="0"/>
  </sheetViews>
  <sheetFormatPr defaultColWidth="8" defaultRowHeight="12" customHeight="1" x14ac:dyDescent="0.2"/>
  <cols>
    <col min="1" max="1" width="45.7109375" style="659" customWidth="1"/>
    <col min="2" max="2" width="14.7109375" style="659" customWidth="1"/>
    <col min="3" max="18" width="11.7109375" style="659" customWidth="1"/>
    <col min="19" max="19" width="1.28515625" style="659" customWidth="1"/>
    <col min="20" max="24" width="13.7109375" style="659" customWidth="1"/>
    <col min="25" max="16384" width="8" style="659"/>
  </cols>
  <sheetData>
    <row r="1" spans="1:20" ht="15.75" x14ac:dyDescent="0.25">
      <c r="A1" s="671" t="s">
        <v>1400</v>
      </c>
      <c r="B1" s="660"/>
      <c r="C1" s="660"/>
      <c r="D1" s="660"/>
      <c r="E1" s="660"/>
      <c r="F1" s="660"/>
      <c r="G1" s="660"/>
      <c r="H1" s="660"/>
      <c r="I1" s="660"/>
      <c r="J1" s="660"/>
      <c r="K1" s="660"/>
      <c r="L1" s="660"/>
      <c r="M1" s="660"/>
      <c r="N1" s="660"/>
      <c r="O1" s="660"/>
      <c r="P1" s="660"/>
      <c r="Q1" s="660"/>
      <c r="R1" s="668" t="s">
        <v>1791</v>
      </c>
      <c r="S1" s="660"/>
      <c r="T1" s="660"/>
    </row>
    <row r="2" spans="1:20" ht="15.75" x14ac:dyDescent="0.25">
      <c r="A2" s="671" t="s">
        <v>1399</v>
      </c>
      <c r="B2" s="660"/>
      <c r="C2" s="660"/>
      <c r="D2" s="660"/>
      <c r="E2" s="660"/>
      <c r="F2" s="660"/>
      <c r="G2" s="660"/>
      <c r="H2" s="660"/>
      <c r="I2" s="660"/>
      <c r="J2" s="660"/>
      <c r="K2" s="660"/>
      <c r="L2" s="660"/>
      <c r="M2" s="660"/>
      <c r="N2" s="660"/>
      <c r="O2" s="660"/>
      <c r="P2" s="660"/>
      <c r="Q2" s="660"/>
      <c r="R2" s="668" t="s">
        <v>1790</v>
      </c>
      <c r="S2" s="660"/>
      <c r="T2" s="660"/>
    </row>
    <row r="3" spans="1:20" ht="15.75" x14ac:dyDescent="0.25">
      <c r="A3" s="671" t="s">
        <v>1197</v>
      </c>
      <c r="B3" s="660"/>
      <c r="C3" s="660"/>
      <c r="D3" s="660"/>
      <c r="E3" s="660"/>
      <c r="F3" s="660"/>
      <c r="G3" s="660"/>
      <c r="H3" s="660"/>
      <c r="I3" s="660"/>
      <c r="J3" s="660"/>
      <c r="K3" s="660"/>
      <c r="L3" s="660"/>
      <c r="M3" s="660"/>
      <c r="N3" s="660"/>
      <c r="O3" s="660"/>
      <c r="P3" s="660"/>
      <c r="Q3" s="660"/>
      <c r="R3" s="668" t="s">
        <v>1789</v>
      </c>
      <c r="S3" s="660"/>
      <c r="T3" s="660"/>
    </row>
    <row r="4" spans="1:20" ht="12" customHeight="1" x14ac:dyDescent="0.2">
      <c r="A4" s="660"/>
      <c r="B4" s="660"/>
      <c r="C4" s="660"/>
      <c r="D4" s="660"/>
      <c r="E4" s="660"/>
      <c r="F4" s="660"/>
      <c r="G4" s="660"/>
      <c r="H4" s="660"/>
      <c r="I4" s="660"/>
      <c r="J4" s="660"/>
      <c r="K4" s="660"/>
      <c r="L4" s="660"/>
      <c r="M4" s="660"/>
      <c r="N4" s="660"/>
      <c r="O4" s="660"/>
      <c r="P4" s="660"/>
      <c r="Q4" s="660"/>
      <c r="R4" s="3315"/>
      <c r="S4" s="660"/>
      <c r="T4" s="660"/>
    </row>
    <row r="5" spans="1:20" ht="30" customHeight="1" x14ac:dyDescent="0.2">
      <c r="A5" s="5740" t="s">
        <v>1025</v>
      </c>
      <c r="B5" s="5741"/>
      <c r="C5" s="5736" t="s">
        <v>1083</v>
      </c>
      <c r="D5" s="5737"/>
      <c r="E5" s="5738"/>
      <c r="F5" s="5736" t="s">
        <v>1351</v>
      </c>
      <c r="G5" s="5737"/>
      <c r="H5" s="5737"/>
      <c r="I5" s="5737"/>
      <c r="J5" s="5737"/>
      <c r="K5" s="5738"/>
      <c r="L5" s="5736" t="s">
        <v>1350</v>
      </c>
      <c r="M5" s="5737"/>
      <c r="N5" s="5737"/>
      <c r="O5" s="5737"/>
      <c r="P5" s="5737"/>
      <c r="Q5" s="5737"/>
      <c r="R5" s="5739" t="s">
        <v>1398</v>
      </c>
      <c r="S5" s="660"/>
      <c r="T5" s="660"/>
    </row>
    <row r="6" spans="1:20" ht="47.25" customHeight="1" x14ac:dyDescent="0.2">
      <c r="A6" s="5728" t="s">
        <v>1348</v>
      </c>
      <c r="B6" s="5739" t="s">
        <v>1347</v>
      </c>
      <c r="C6" s="5739" t="s">
        <v>1346</v>
      </c>
      <c r="D6" s="5739" t="s">
        <v>1345</v>
      </c>
      <c r="E6" s="5743" t="s">
        <v>1344</v>
      </c>
      <c r="F6" s="5742" t="s">
        <v>1343</v>
      </c>
      <c r="G6" s="5744"/>
      <c r="H6" s="5743"/>
      <c r="I6" s="5739" t="s">
        <v>1375</v>
      </c>
      <c r="J6" s="5742" t="s">
        <v>1340</v>
      </c>
      <c r="K6" s="5743"/>
      <c r="L6" s="5742" t="s">
        <v>1397</v>
      </c>
      <c r="M6" s="5744"/>
      <c r="N6" s="5743"/>
      <c r="O6" s="5739" t="s">
        <v>1396</v>
      </c>
      <c r="P6" s="5742" t="s">
        <v>1395</v>
      </c>
      <c r="Q6" s="5744"/>
      <c r="R6" s="5532"/>
      <c r="S6" s="660"/>
      <c r="T6" s="660"/>
    </row>
    <row r="7" spans="1:20" ht="12.75" customHeight="1" x14ac:dyDescent="0.2">
      <c r="A7" s="5520"/>
      <c r="B7" s="5532"/>
      <c r="C7" s="5532"/>
      <c r="D7" s="5532"/>
      <c r="E7" s="5542"/>
      <c r="F7" s="5539"/>
      <c r="G7" s="5545"/>
      <c r="H7" s="5540"/>
      <c r="I7" s="5532"/>
      <c r="J7" s="5539"/>
      <c r="K7" s="5540"/>
      <c r="L7" s="5539"/>
      <c r="M7" s="5545"/>
      <c r="N7" s="5540"/>
      <c r="O7" s="5532"/>
      <c r="P7" s="5539"/>
      <c r="Q7" s="5545"/>
      <c r="R7" s="5532"/>
      <c r="S7" s="660"/>
      <c r="T7" s="660"/>
    </row>
    <row r="8" spans="1:20" ht="36" customHeight="1" x14ac:dyDescent="0.2">
      <c r="A8" s="5520"/>
      <c r="B8" s="5532"/>
      <c r="C8" s="5532"/>
      <c r="D8" s="5532"/>
      <c r="E8" s="5542"/>
      <c r="F8" s="3566" t="s">
        <v>1334</v>
      </c>
      <c r="G8" s="3566" t="s">
        <v>1333</v>
      </c>
      <c r="H8" s="3566" t="s">
        <v>1332</v>
      </c>
      <c r="I8" s="5533"/>
      <c r="J8" s="3309" t="s">
        <v>1331</v>
      </c>
      <c r="K8" s="3311" t="s">
        <v>1330</v>
      </c>
      <c r="L8" s="3566" t="s">
        <v>1334</v>
      </c>
      <c r="M8" s="3566" t="s">
        <v>1333</v>
      </c>
      <c r="N8" s="3566" t="s">
        <v>1332</v>
      </c>
      <c r="O8" s="5533"/>
      <c r="P8" s="3309" t="s">
        <v>1331</v>
      </c>
      <c r="Q8" s="3309" t="s">
        <v>1330</v>
      </c>
      <c r="R8" s="5533"/>
      <c r="S8" s="660"/>
      <c r="T8" s="660"/>
    </row>
    <row r="9" spans="1:20" ht="18.75" customHeight="1" thickBot="1" x14ac:dyDescent="0.25">
      <c r="A9" s="5556"/>
      <c r="B9" s="5541"/>
      <c r="C9" s="5541"/>
      <c r="D9" s="5541"/>
      <c r="E9" s="5543"/>
      <c r="F9" s="5546" t="s">
        <v>1329</v>
      </c>
      <c r="G9" s="5547"/>
      <c r="H9" s="5547"/>
      <c r="I9" s="5547"/>
      <c r="J9" s="5547"/>
      <c r="K9" s="5548"/>
      <c r="L9" s="5546" t="s">
        <v>1328</v>
      </c>
      <c r="M9" s="5547"/>
      <c r="N9" s="5547"/>
      <c r="O9" s="5547"/>
      <c r="P9" s="5547"/>
      <c r="Q9" s="5547"/>
      <c r="R9" s="734" t="s">
        <v>1011</v>
      </c>
      <c r="S9" s="660"/>
      <c r="T9" s="660"/>
    </row>
    <row r="10" spans="1:20" ht="12.75" thickTop="1" x14ac:dyDescent="0.2">
      <c r="A10" s="733" t="s">
        <v>1394</v>
      </c>
      <c r="B10" s="3497" t="s">
        <v>986</v>
      </c>
      <c r="C10" s="3507">
        <v>170.7555000001</v>
      </c>
      <c r="D10" s="3507">
        <v>92.117800983899997</v>
      </c>
      <c r="E10" s="3507">
        <v>78.637699016200003</v>
      </c>
      <c r="F10" s="3507">
        <v>0.38896643153492</v>
      </c>
      <c r="G10" s="3507">
        <v>-0.54895334224944003</v>
      </c>
      <c r="H10" s="3507">
        <v>-0.15998691071452001</v>
      </c>
      <c r="I10" s="3507">
        <v>-4.3950036421100003E-3</v>
      </c>
      <c r="J10" s="3507">
        <v>8.47506069643E-3</v>
      </c>
      <c r="K10" s="3507">
        <v>-6.4249252414305298</v>
      </c>
      <c r="L10" s="3507">
        <v>66.418157500000007</v>
      </c>
      <c r="M10" s="3507">
        <v>-93.736802432529998</v>
      </c>
      <c r="N10" s="3507">
        <v>-27.318644932529999</v>
      </c>
      <c r="O10" s="3507">
        <v>-0.75047104441000001</v>
      </c>
      <c r="P10" s="3507">
        <v>0.78070395455999997</v>
      </c>
      <c r="Q10" s="3507">
        <v>-505.24133733719998</v>
      </c>
      <c r="R10" s="3507">
        <v>1952.6090809851285</v>
      </c>
      <c r="S10" s="660"/>
      <c r="T10" s="660"/>
    </row>
    <row r="11" spans="1:20" x14ac:dyDescent="0.2">
      <c r="A11" s="3574" t="s">
        <v>1393</v>
      </c>
      <c r="B11" s="3497"/>
      <c r="C11" s="3507">
        <v>86.638375000099998</v>
      </c>
      <c r="D11" s="3507">
        <v>8.1405269091000001</v>
      </c>
      <c r="E11" s="3507">
        <v>78.497848090999994</v>
      </c>
      <c r="F11" s="3507">
        <v>0.47685104897169001</v>
      </c>
      <c r="G11" s="3507">
        <v>-0.66844353489931996</v>
      </c>
      <c r="H11" s="3507">
        <v>-0.19159248592764</v>
      </c>
      <c r="I11" s="3507" t="s">
        <v>259</v>
      </c>
      <c r="J11" s="3507" t="s">
        <v>455</v>
      </c>
      <c r="K11" s="3507">
        <v>-6.4178284247483797</v>
      </c>
      <c r="L11" s="3507">
        <v>41.313600000000001</v>
      </c>
      <c r="M11" s="3507">
        <v>-57.912861642999999</v>
      </c>
      <c r="N11" s="3507">
        <v>-16.599261642999998</v>
      </c>
      <c r="O11" s="3507" t="s">
        <v>259</v>
      </c>
      <c r="P11" s="3507" t="s">
        <v>455</v>
      </c>
      <c r="Q11" s="3507">
        <v>-503.78572076</v>
      </c>
      <c r="R11" s="3507">
        <v>1908.0782688110016</v>
      </c>
      <c r="S11" s="660"/>
      <c r="T11" s="660"/>
    </row>
    <row r="12" spans="1:20" x14ac:dyDescent="0.2">
      <c r="A12" s="3548" t="s">
        <v>1319</v>
      </c>
      <c r="B12" s="3500" t="s">
        <v>1319</v>
      </c>
      <c r="C12" s="3507">
        <v>86.638375000099998</v>
      </c>
      <c r="D12" s="3500">
        <v>8.1405269091000001</v>
      </c>
      <c r="E12" s="3500">
        <v>78.497848090999994</v>
      </c>
      <c r="F12" s="3507">
        <v>0.47685104897169001</v>
      </c>
      <c r="G12" s="3507">
        <v>-0.66844353489931996</v>
      </c>
      <c r="H12" s="3507">
        <v>-0.19159248592764</v>
      </c>
      <c r="I12" s="3507" t="s">
        <v>259</v>
      </c>
      <c r="J12" s="3507" t="s">
        <v>455</v>
      </c>
      <c r="K12" s="3507">
        <v>-6.4178284247483797</v>
      </c>
      <c r="L12" s="3500">
        <v>41.313600000000001</v>
      </c>
      <c r="M12" s="3500">
        <v>-57.912861642999999</v>
      </c>
      <c r="N12" s="3507">
        <v>-16.599261642999998</v>
      </c>
      <c r="O12" s="3500" t="s">
        <v>259</v>
      </c>
      <c r="P12" s="3500" t="s">
        <v>455</v>
      </c>
      <c r="Q12" s="3500">
        <v>-503.78572076</v>
      </c>
      <c r="R12" s="3507">
        <v>1908.0782688110016</v>
      </c>
      <c r="S12" s="660"/>
      <c r="T12" s="660"/>
    </row>
    <row r="13" spans="1:20" ht="13.5" x14ac:dyDescent="0.2">
      <c r="A13" s="3578" t="s">
        <v>1392</v>
      </c>
      <c r="B13" s="3497" t="s">
        <v>986</v>
      </c>
      <c r="C13" s="3507">
        <v>84.117125000000001</v>
      </c>
      <c r="D13" s="3507">
        <v>83.977274074799993</v>
      </c>
      <c r="E13" s="3507">
        <v>0.1398509252</v>
      </c>
      <c r="F13" s="3507">
        <v>0.29844764071524998</v>
      </c>
      <c r="G13" s="3507">
        <v>-0.42588165952569002</v>
      </c>
      <c r="H13" s="3507">
        <v>-0.12743401881044</v>
      </c>
      <c r="I13" s="3507">
        <v>-8.9217391156699993E-3</v>
      </c>
      <c r="J13" s="3507">
        <v>9.2966098645300005E-3</v>
      </c>
      <c r="K13" s="3507">
        <v>-10.408344278869309</v>
      </c>
      <c r="L13" s="3507">
        <v>25.104557499999999</v>
      </c>
      <c r="M13" s="3507">
        <v>-35.823940789529999</v>
      </c>
      <c r="N13" s="3507">
        <v>-10.719383289530001</v>
      </c>
      <c r="O13" s="3507">
        <v>-0.75047104441000001</v>
      </c>
      <c r="P13" s="3507">
        <v>0.78070395455999997</v>
      </c>
      <c r="Q13" s="3507">
        <v>-1.4556165772</v>
      </c>
      <c r="R13" s="3507">
        <v>44.530812174126709</v>
      </c>
      <c r="S13" s="660"/>
      <c r="T13" s="660"/>
    </row>
    <row r="14" spans="1:20" x14ac:dyDescent="0.2">
      <c r="A14" s="3574" t="s">
        <v>1391</v>
      </c>
      <c r="B14" s="3497"/>
      <c r="C14" s="3507">
        <v>4.1298124999999999</v>
      </c>
      <c r="D14" s="3507">
        <v>3.9899615748000001</v>
      </c>
      <c r="E14" s="3507">
        <v>0.1398509252</v>
      </c>
      <c r="F14" s="3507">
        <v>4.1055435325450002E-2</v>
      </c>
      <c r="G14" s="3507">
        <v>-9.7893019242400001E-2</v>
      </c>
      <c r="H14" s="3507">
        <v>-5.6837583916949999E-2</v>
      </c>
      <c r="I14" s="3507">
        <v>-0.18172036730723001</v>
      </c>
      <c r="J14" s="3507">
        <v>0.19802294827854</v>
      </c>
      <c r="K14" s="3507">
        <v>-10.408344278869309</v>
      </c>
      <c r="L14" s="3507">
        <v>0.16955124999999999</v>
      </c>
      <c r="M14" s="3507">
        <v>-0.40427981453</v>
      </c>
      <c r="N14" s="3507">
        <v>-0.23472856452999999</v>
      </c>
      <c r="O14" s="3507">
        <v>-0.75047104441000001</v>
      </c>
      <c r="P14" s="3507">
        <v>0.79010395456000004</v>
      </c>
      <c r="Q14" s="3507">
        <v>-1.4556165772</v>
      </c>
      <c r="R14" s="3507">
        <v>6.0526115157933402</v>
      </c>
      <c r="S14" s="660"/>
      <c r="T14" s="660"/>
    </row>
    <row r="15" spans="1:20" x14ac:dyDescent="0.2">
      <c r="A15" s="3548" t="s">
        <v>1319</v>
      </c>
      <c r="B15" s="3500" t="s">
        <v>1319</v>
      </c>
      <c r="C15" s="3507">
        <v>4.1298124999999999</v>
      </c>
      <c r="D15" s="3500">
        <v>3.9899615748000001</v>
      </c>
      <c r="E15" s="3500">
        <v>0.1398509252</v>
      </c>
      <c r="F15" s="3507">
        <v>4.1055435325450002E-2</v>
      </c>
      <c r="G15" s="3507">
        <v>-9.7893019242400001E-2</v>
      </c>
      <c r="H15" s="3507">
        <v>-5.6837583916949999E-2</v>
      </c>
      <c r="I15" s="3507">
        <v>-0.18172036730723001</v>
      </c>
      <c r="J15" s="3507">
        <v>0.19802294827854</v>
      </c>
      <c r="K15" s="3507">
        <v>-10.408344278869309</v>
      </c>
      <c r="L15" s="3500">
        <v>0.16955124999999999</v>
      </c>
      <c r="M15" s="3500">
        <v>-0.40427981453</v>
      </c>
      <c r="N15" s="3507">
        <v>-0.23472856452999999</v>
      </c>
      <c r="O15" s="3500">
        <v>-0.75047104441000001</v>
      </c>
      <c r="P15" s="3500">
        <v>0.79010395456000004</v>
      </c>
      <c r="Q15" s="3500">
        <v>-1.4556165772</v>
      </c>
      <c r="R15" s="3507">
        <v>6.0526115157933402</v>
      </c>
      <c r="S15" s="660"/>
      <c r="T15" s="660"/>
    </row>
    <row r="16" spans="1:20" x14ac:dyDescent="0.2">
      <c r="A16" s="3574" t="s">
        <v>1390</v>
      </c>
      <c r="B16" s="3497"/>
      <c r="C16" s="3507">
        <v>79.978499999999997</v>
      </c>
      <c r="D16" s="3507">
        <v>79.978499999999997</v>
      </c>
      <c r="E16" s="3507" t="s">
        <v>455</v>
      </c>
      <c r="F16" s="3507">
        <v>0.31177136667979999</v>
      </c>
      <c r="G16" s="3507">
        <v>-0.44286478209768998</v>
      </c>
      <c r="H16" s="3507">
        <v>-0.13109341541788999</v>
      </c>
      <c r="I16" s="3507" t="s">
        <v>259</v>
      </c>
      <c r="J16" s="3507" t="s">
        <v>455</v>
      </c>
      <c r="K16" s="3507" t="s">
        <v>455</v>
      </c>
      <c r="L16" s="3507">
        <v>24.935006250000001</v>
      </c>
      <c r="M16" s="3507">
        <v>-35.419660974999999</v>
      </c>
      <c r="N16" s="3507">
        <v>-10.484654725</v>
      </c>
      <c r="O16" s="3507" t="s">
        <v>259</v>
      </c>
      <c r="P16" s="3507" t="s">
        <v>455</v>
      </c>
      <c r="Q16" s="3507" t="s">
        <v>455</v>
      </c>
      <c r="R16" s="3507">
        <v>38.443733991666697</v>
      </c>
      <c r="S16" s="660"/>
      <c r="T16" s="660"/>
    </row>
    <row r="17" spans="1:20" x14ac:dyDescent="0.2">
      <c r="A17" s="3548" t="s">
        <v>1319</v>
      </c>
      <c r="B17" s="3500" t="s">
        <v>1319</v>
      </c>
      <c r="C17" s="3507">
        <v>79.978499999999997</v>
      </c>
      <c r="D17" s="3500">
        <v>79.978499999999997</v>
      </c>
      <c r="E17" s="3500" t="s">
        <v>455</v>
      </c>
      <c r="F17" s="3507">
        <v>0.31177136667979999</v>
      </c>
      <c r="G17" s="3507">
        <v>-0.44286478209768998</v>
      </c>
      <c r="H17" s="3507">
        <v>-0.13109341541788999</v>
      </c>
      <c r="I17" s="3507" t="s">
        <v>259</v>
      </c>
      <c r="J17" s="3507" t="s">
        <v>455</v>
      </c>
      <c r="K17" s="3507" t="s">
        <v>455</v>
      </c>
      <c r="L17" s="3500">
        <v>24.935006250000001</v>
      </c>
      <c r="M17" s="3500">
        <v>-35.419660974999999</v>
      </c>
      <c r="N17" s="3507">
        <v>-10.484654725</v>
      </c>
      <c r="O17" s="3500" t="s">
        <v>259</v>
      </c>
      <c r="P17" s="3500" t="s">
        <v>455</v>
      </c>
      <c r="Q17" s="3500" t="s">
        <v>455</v>
      </c>
      <c r="R17" s="3507">
        <v>38.443733991666697</v>
      </c>
      <c r="S17" s="660"/>
      <c r="T17" s="660"/>
    </row>
    <row r="18" spans="1:20" x14ac:dyDescent="0.2">
      <c r="A18" s="3574" t="s">
        <v>1389</v>
      </c>
      <c r="B18" s="3497"/>
      <c r="C18" s="3507">
        <v>8.8124999999999992E-3</v>
      </c>
      <c r="D18" s="3507">
        <v>8.8124999999999992E-3</v>
      </c>
      <c r="E18" s="3507" t="s">
        <v>259</v>
      </c>
      <c r="F18" s="3507" t="s">
        <v>259</v>
      </c>
      <c r="G18" s="3507" t="s">
        <v>259</v>
      </c>
      <c r="H18" s="3507" t="s">
        <v>259</v>
      </c>
      <c r="I18" s="3507" t="s">
        <v>259</v>
      </c>
      <c r="J18" s="3507">
        <v>-1.06666666666667</v>
      </c>
      <c r="K18" s="3507" t="s">
        <v>259</v>
      </c>
      <c r="L18" s="3507" t="s">
        <v>259</v>
      </c>
      <c r="M18" s="3507" t="s">
        <v>259</v>
      </c>
      <c r="N18" s="3507" t="s">
        <v>259</v>
      </c>
      <c r="O18" s="3507" t="s">
        <v>259</v>
      </c>
      <c r="P18" s="3507">
        <v>-9.4000000000000004E-3</v>
      </c>
      <c r="Q18" s="3507" t="s">
        <v>259</v>
      </c>
      <c r="R18" s="3507">
        <v>3.4466666666669997E-2</v>
      </c>
      <c r="S18" s="660"/>
      <c r="T18" s="660"/>
    </row>
    <row r="19" spans="1:20" x14ac:dyDescent="0.2">
      <c r="A19" s="3548" t="s">
        <v>1319</v>
      </c>
      <c r="B19" s="3500" t="s">
        <v>1319</v>
      </c>
      <c r="C19" s="3507">
        <v>8.8124999999999992E-3</v>
      </c>
      <c r="D19" s="3500">
        <v>8.8124999999999992E-3</v>
      </c>
      <c r="E19" s="3500" t="s">
        <v>259</v>
      </c>
      <c r="F19" s="3507" t="s">
        <v>259</v>
      </c>
      <c r="G19" s="3507" t="s">
        <v>259</v>
      </c>
      <c r="H19" s="3507" t="s">
        <v>259</v>
      </c>
      <c r="I19" s="3507" t="s">
        <v>259</v>
      </c>
      <c r="J19" s="3507">
        <v>-1.06666666666667</v>
      </c>
      <c r="K19" s="3507" t="s">
        <v>259</v>
      </c>
      <c r="L19" s="3500" t="s">
        <v>259</v>
      </c>
      <c r="M19" s="3500" t="s">
        <v>259</v>
      </c>
      <c r="N19" s="3507" t="s">
        <v>259</v>
      </c>
      <c r="O19" s="3500" t="s">
        <v>259</v>
      </c>
      <c r="P19" s="3500">
        <v>-9.4000000000000004E-3</v>
      </c>
      <c r="Q19" s="3500" t="s">
        <v>259</v>
      </c>
      <c r="R19" s="3507">
        <v>3.4466666666669997E-2</v>
      </c>
      <c r="S19" s="660"/>
      <c r="T19" s="660"/>
    </row>
    <row r="20" spans="1:20" x14ac:dyDescent="0.2">
      <c r="A20" s="3574" t="s">
        <v>1388</v>
      </c>
      <c r="B20" s="3497"/>
      <c r="C20" s="3507" t="s">
        <v>259</v>
      </c>
      <c r="D20" s="3507" t="s">
        <v>259</v>
      </c>
      <c r="E20" s="3507" t="s">
        <v>259</v>
      </c>
      <c r="F20" s="3507" t="s">
        <v>259</v>
      </c>
      <c r="G20" s="3507" t="s">
        <v>259</v>
      </c>
      <c r="H20" s="3507" t="s">
        <v>259</v>
      </c>
      <c r="I20" s="3507" t="s">
        <v>259</v>
      </c>
      <c r="J20" s="3507" t="s">
        <v>259</v>
      </c>
      <c r="K20" s="3507" t="s">
        <v>259</v>
      </c>
      <c r="L20" s="3507" t="s">
        <v>259</v>
      </c>
      <c r="M20" s="3507" t="s">
        <v>259</v>
      </c>
      <c r="N20" s="3507" t="s">
        <v>259</v>
      </c>
      <c r="O20" s="3507" t="s">
        <v>259</v>
      </c>
      <c r="P20" s="3507" t="s">
        <v>259</v>
      </c>
      <c r="Q20" s="3507" t="s">
        <v>259</v>
      </c>
      <c r="R20" s="3507" t="s">
        <v>259</v>
      </c>
      <c r="S20" s="660"/>
      <c r="T20" s="660"/>
    </row>
    <row r="21" spans="1:20" x14ac:dyDescent="0.2">
      <c r="A21" s="3548" t="s">
        <v>1319</v>
      </c>
      <c r="B21" s="3500" t="s">
        <v>1319</v>
      </c>
      <c r="C21" s="3507" t="s">
        <v>259</v>
      </c>
      <c r="D21" s="3500" t="s">
        <v>259</v>
      </c>
      <c r="E21" s="3500" t="s">
        <v>259</v>
      </c>
      <c r="F21" s="3507" t="s">
        <v>259</v>
      </c>
      <c r="G21" s="3507" t="s">
        <v>259</v>
      </c>
      <c r="H21" s="3507" t="s">
        <v>259</v>
      </c>
      <c r="I21" s="3507" t="s">
        <v>259</v>
      </c>
      <c r="J21" s="3507" t="s">
        <v>259</v>
      </c>
      <c r="K21" s="3507" t="s">
        <v>259</v>
      </c>
      <c r="L21" s="3500" t="s">
        <v>259</v>
      </c>
      <c r="M21" s="3500" t="s">
        <v>259</v>
      </c>
      <c r="N21" s="3507" t="s">
        <v>259</v>
      </c>
      <c r="O21" s="3500" t="s">
        <v>259</v>
      </c>
      <c r="P21" s="3500" t="s">
        <v>259</v>
      </c>
      <c r="Q21" s="3500" t="s">
        <v>259</v>
      </c>
      <c r="R21" s="3507" t="s">
        <v>259</v>
      </c>
      <c r="S21" s="660"/>
      <c r="T21" s="660"/>
    </row>
    <row r="22" spans="1:20" x14ac:dyDescent="0.2">
      <c r="A22" s="3577" t="s">
        <v>1387</v>
      </c>
      <c r="B22" s="3497"/>
      <c r="C22" s="3507" t="s">
        <v>259</v>
      </c>
      <c r="D22" s="3507" t="s">
        <v>259</v>
      </c>
      <c r="E22" s="3507" t="s">
        <v>259</v>
      </c>
      <c r="F22" s="3507" t="s">
        <v>259</v>
      </c>
      <c r="G22" s="3507" t="s">
        <v>259</v>
      </c>
      <c r="H22" s="3507" t="s">
        <v>259</v>
      </c>
      <c r="I22" s="3507" t="s">
        <v>259</v>
      </c>
      <c r="J22" s="3507" t="s">
        <v>259</v>
      </c>
      <c r="K22" s="3507" t="s">
        <v>259</v>
      </c>
      <c r="L22" s="3507" t="s">
        <v>259</v>
      </c>
      <c r="M22" s="3507" t="s">
        <v>259</v>
      </c>
      <c r="N22" s="3507" t="s">
        <v>259</v>
      </c>
      <c r="O22" s="3507" t="s">
        <v>259</v>
      </c>
      <c r="P22" s="3507" t="s">
        <v>259</v>
      </c>
      <c r="Q22" s="3507" t="s">
        <v>259</v>
      </c>
      <c r="R22" s="3507" t="s">
        <v>259</v>
      </c>
      <c r="S22" s="660"/>
      <c r="T22" s="660"/>
    </row>
    <row r="23" spans="1:20" x14ac:dyDescent="0.2">
      <c r="A23" s="3548" t="s">
        <v>1319</v>
      </c>
      <c r="B23" s="3500" t="s">
        <v>1319</v>
      </c>
      <c r="C23" s="3507" t="s">
        <v>259</v>
      </c>
      <c r="D23" s="3500" t="s">
        <v>259</v>
      </c>
      <c r="E23" s="3500" t="s">
        <v>259</v>
      </c>
      <c r="F23" s="3507" t="s">
        <v>259</v>
      </c>
      <c r="G23" s="3507" t="s">
        <v>259</v>
      </c>
      <c r="H23" s="3507" t="s">
        <v>259</v>
      </c>
      <c r="I23" s="3507" t="s">
        <v>259</v>
      </c>
      <c r="J23" s="3507" t="s">
        <v>259</v>
      </c>
      <c r="K23" s="3507" t="s">
        <v>259</v>
      </c>
      <c r="L23" s="3500" t="s">
        <v>259</v>
      </c>
      <c r="M23" s="3500" t="s">
        <v>259</v>
      </c>
      <c r="N23" s="3507" t="s">
        <v>259</v>
      </c>
      <c r="O23" s="3500" t="s">
        <v>259</v>
      </c>
      <c r="P23" s="3500" t="s">
        <v>259</v>
      </c>
      <c r="Q23" s="3500" t="s">
        <v>259</v>
      </c>
      <c r="R23" s="3507" t="s">
        <v>259</v>
      </c>
      <c r="S23" s="660"/>
      <c r="T23" s="660"/>
    </row>
    <row r="24" spans="1:20" ht="12" customHeight="1" x14ac:dyDescent="0.2">
      <c r="A24" s="678" t="s">
        <v>564</v>
      </c>
      <c r="B24" s="663"/>
      <c r="C24" s="663"/>
      <c r="D24" s="663"/>
      <c r="E24" s="663"/>
      <c r="F24" s="663"/>
      <c r="G24" s="663"/>
      <c r="H24" s="663"/>
      <c r="I24" s="663"/>
      <c r="J24" s="663"/>
      <c r="K24" s="663"/>
      <c r="L24" s="663"/>
      <c r="M24" s="663"/>
      <c r="N24" s="663"/>
      <c r="O24" s="663"/>
      <c r="P24" s="663"/>
      <c r="Q24" s="663"/>
      <c r="R24" s="663"/>
      <c r="S24" s="660"/>
      <c r="T24" s="660"/>
    </row>
    <row r="25" spans="1:20" ht="13.5" x14ac:dyDescent="0.2">
      <c r="A25" s="5507" t="s">
        <v>1386</v>
      </c>
      <c r="B25" s="5507"/>
      <c r="C25" s="5507"/>
      <c r="D25" s="5507"/>
      <c r="E25" s="5507"/>
      <c r="F25" s="5507"/>
      <c r="G25" s="5507"/>
      <c r="H25" s="5507"/>
      <c r="I25" s="5507"/>
      <c r="J25" s="5507"/>
      <c r="K25" s="5507"/>
      <c r="L25" s="5507"/>
      <c r="M25" s="5507"/>
      <c r="N25" s="5507"/>
      <c r="O25" s="5507"/>
      <c r="P25" s="5507"/>
      <c r="Q25" s="663"/>
      <c r="R25" s="663"/>
      <c r="S25" s="660"/>
      <c r="T25" s="660"/>
    </row>
    <row r="26" spans="1:20" ht="13.5" x14ac:dyDescent="0.2">
      <c r="A26" s="5559" t="s">
        <v>1385</v>
      </c>
      <c r="B26" s="5559"/>
      <c r="C26" s="5559"/>
      <c r="D26" s="5559"/>
      <c r="E26" s="5559"/>
      <c r="F26" s="5559"/>
      <c r="G26" s="5559"/>
      <c r="H26" s="5559"/>
      <c r="I26" s="5559"/>
      <c r="J26" s="5559"/>
      <c r="K26" s="5559"/>
      <c r="L26" s="5559"/>
      <c r="M26" s="5559"/>
      <c r="N26" s="5559"/>
      <c r="O26" s="5559"/>
      <c r="P26" s="5559"/>
      <c r="Q26" s="663"/>
      <c r="R26" s="663"/>
      <c r="S26" s="660"/>
      <c r="T26" s="660"/>
    </row>
    <row r="27" spans="1:20" ht="13.5" x14ac:dyDescent="0.2">
      <c r="A27" s="5560" t="s">
        <v>1384</v>
      </c>
      <c r="B27" s="5560"/>
      <c r="C27" s="5560"/>
      <c r="D27" s="5560"/>
      <c r="E27" s="5560"/>
      <c r="F27" s="5560"/>
      <c r="G27" s="5560"/>
      <c r="H27" s="5560"/>
      <c r="I27" s="5560"/>
      <c r="J27" s="5560"/>
      <c r="K27" s="5560"/>
      <c r="L27" s="5560"/>
      <c r="M27" s="5560"/>
      <c r="N27" s="5560"/>
      <c r="O27" s="5560"/>
      <c r="P27" s="663"/>
      <c r="Q27" s="663"/>
      <c r="R27" s="663"/>
      <c r="S27" s="660"/>
      <c r="T27" s="660"/>
    </row>
    <row r="28" spans="1:20" ht="13.5" x14ac:dyDescent="0.2">
      <c r="A28" s="5565" t="s">
        <v>1315</v>
      </c>
      <c r="B28" s="5565"/>
      <c r="C28" s="5565"/>
      <c r="D28" s="5565"/>
      <c r="E28" s="5565"/>
      <c r="F28" s="5565"/>
      <c r="G28" s="5565"/>
      <c r="H28" s="5565"/>
      <c r="I28" s="5565"/>
      <c r="J28" s="5565"/>
      <c r="K28" s="5565"/>
      <c r="L28" s="5565"/>
      <c r="M28" s="5565"/>
      <c r="N28" s="663"/>
      <c r="O28" s="663"/>
      <c r="P28" s="663"/>
      <c r="Q28" s="663"/>
      <c r="R28" s="663"/>
      <c r="S28" s="660"/>
      <c r="T28" s="660"/>
    </row>
    <row r="29" spans="1:20" ht="13.5" x14ac:dyDescent="0.2">
      <c r="A29" s="5561" t="s">
        <v>1383</v>
      </c>
      <c r="B29" s="5561"/>
      <c r="C29" s="5561"/>
      <c r="D29" s="5561"/>
      <c r="E29" s="5561"/>
      <c r="F29" s="5561"/>
      <c r="G29" s="5561"/>
      <c r="H29" s="5561"/>
      <c r="I29" s="5561"/>
      <c r="J29" s="5561"/>
      <c r="K29" s="5561"/>
      <c r="L29" s="5561"/>
      <c r="M29" s="5561"/>
      <c r="N29" s="663"/>
      <c r="O29" s="663"/>
      <c r="P29" s="663"/>
      <c r="Q29" s="663"/>
      <c r="R29" s="663"/>
      <c r="S29" s="660"/>
      <c r="T29" s="660"/>
    </row>
    <row r="30" spans="1:20" ht="13.5" x14ac:dyDescent="0.2">
      <c r="A30" s="5565" t="s">
        <v>1382</v>
      </c>
      <c r="B30" s="5565"/>
      <c r="C30" s="5565"/>
      <c r="D30" s="5565"/>
      <c r="E30" s="5565"/>
      <c r="F30" s="5565"/>
      <c r="G30" s="5565"/>
      <c r="H30" s="5565"/>
      <c r="I30" s="5565"/>
      <c r="J30" s="5565"/>
      <c r="K30" s="663"/>
      <c r="L30" s="663"/>
      <c r="M30" s="663"/>
      <c r="N30" s="663"/>
      <c r="O30" s="663"/>
      <c r="P30" s="663"/>
      <c r="Q30" s="663"/>
      <c r="R30" s="663"/>
      <c r="S30" s="660"/>
      <c r="T30" s="660"/>
    </row>
    <row r="31" spans="1:20" ht="13.5" x14ac:dyDescent="0.2">
      <c r="A31" s="5553" t="s">
        <v>1381</v>
      </c>
      <c r="B31" s="5553"/>
      <c r="C31" s="5553"/>
      <c r="D31" s="5553"/>
      <c r="E31" s="5553"/>
      <c r="F31" s="5553"/>
      <c r="G31" s="5553"/>
      <c r="H31" s="5553"/>
      <c r="I31" s="5553"/>
      <c r="J31" s="5553"/>
      <c r="K31" s="5553"/>
      <c r="L31" s="5553"/>
      <c r="M31" s="5553"/>
      <c r="N31" s="663"/>
      <c r="O31" s="663"/>
      <c r="P31" s="663"/>
      <c r="Q31" s="663"/>
      <c r="R31" s="663"/>
      <c r="S31" s="660"/>
      <c r="T31" s="660"/>
    </row>
    <row r="32" spans="1:20" ht="14.25" customHeight="1" x14ac:dyDescent="0.2">
      <c r="A32" s="5554" t="s">
        <v>1380</v>
      </c>
      <c r="B32" s="5554"/>
      <c r="C32" s="5554"/>
      <c r="D32" s="5554"/>
      <c r="E32" s="5554"/>
      <c r="F32" s="5554"/>
      <c r="G32" s="5554"/>
      <c r="H32" s="5554"/>
      <c r="I32" s="5554"/>
      <c r="J32" s="5554"/>
      <c r="K32" s="5554"/>
      <c r="L32" s="5554"/>
      <c r="M32" s="5554"/>
      <c r="N32" s="663"/>
      <c r="O32" s="663"/>
      <c r="P32" s="663"/>
      <c r="Q32" s="663"/>
      <c r="R32" s="663"/>
      <c r="S32" s="660"/>
      <c r="T32" s="660"/>
    </row>
    <row r="33" spans="1:20" ht="13.5" x14ac:dyDescent="0.2">
      <c r="A33" s="5561" t="s">
        <v>1379</v>
      </c>
      <c r="B33" s="5561"/>
      <c r="C33" s="5561"/>
      <c r="D33" s="5561"/>
      <c r="E33" s="5561"/>
      <c r="F33" s="5561"/>
      <c r="G33" s="5561"/>
      <c r="H33" s="5561"/>
      <c r="I33" s="5561"/>
      <c r="J33" s="5561"/>
      <c r="K33" s="5561"/>
      <c r="L33" s="5561"/>
      <c r="M33" s="5561"/>
      <c r="N33" s="660"/>
      <c r="O33" s="660"/>
      <c r="P33" s="660"/>
      <c r="Q33" s="660"/>
      <c r="R33" s="660"/>
      <c r="S33" s="660"/>
      <c r="T33" s="660"/>
    </row>
    <row r="34" spans="1:20" ht="9" customHeight="1" x14ac:dyDescent="0.2">
      <c r="A34" s="737"/>
      <c r="B34" s="731"/>
      <c r="C34" s="731"/>
      <c r="D34" s="731"/>
      <c r="E34" s="731"/>
      <c r="F34" s="731"/>
      <c r="G34" s="731"/>
      <c r="H34" s="731"/>
      <c r="I34" s="731"/>
      <c r="J34" s="731"/>
      <c r="K34" s="731"/>
      <c r="L34" s="731"/>
      <c r="M34" s="731"/>
      <c r="N34" s="731"/>
      <c r="O34" s="731"/>
      <c r="P34" s="731"/>
      <c r="Q34" s="731"/>
      <c r="R34" s="731"/>
      <c r="S34" s="660"/>
      <c r="T34" s="660"/>
    </row>
    <row r="35" spans="1:20" ht="15.75" customHeight="1" x14ac:dyDescent="0.2">
      <c r="A35" s="3572" t="s">
        <v>982</v>
      </c>
      <c r="B35" s="3570"/>
      <c r="C35" s="3570"/>
      <c r="D35" s="3570"/>
      <c r="E35" s="3570"/>
      <c r="F35" s="3570"/>
      <c r="G35" s="3570"/>
      <c r="H35" s="3570"/>
      <c r="I35" s="3570"/>
      <c r="J35" s="3570"/>
      <c r="K35" s="3570"/>
      <c r="L35" s="3570"/>
      <c r="M35" s="3570"/>
      <c r="N35" s="3570"/>
      <c r="O35" s="3570"/>
      <c r="P35" s="3570"/>
      <c r="Q35" s="3570"/>
      <c r="R35" s="3569"/>
      <c r="S35" s="660"/>
      <c r="T35" s="660"/>
    </row>
    <row r="36" spans="1:20" ht="29.25" customHeight="1" x14ac:dyDescent="0.2">
      <c r="A36" s="5745" t="s">
        <v>1310</v>
      </c>
      <c r="B36" s="5746"/>
      <c r="C36" s="5746"/>
      <c r="D36" s="5746"/>
      <c r="E36" s="5746"/>
      <c r="F36" s="5746"/>
      <c r="G36" s="5746"/>
      <c r="H36" s="5746"/>
      <c r="I36" s="5746"/>
      <c r="J36" s="5746"/>
      <c r="K36" s="5746"/>
      <c r="L36" s="5746"/>
      <c r="M36" s="5746"/>
      <c r="N36" s="5746"/>
      <c r="O36" s="5746"/>
      <c r="P36" s="5746"/>
      <c r="Q36" s="5746"/>
      <c r="R36" s="5747"/>
      <c r="S36" s="660"/>
      <c r="T36" s="660"/>
    </row>
    <row r="37" spans="1:20" ht="12" customHeight="1" x14ac:dyDescent="0.2">
      <c r="A37" s="3568" t="s">
        <v>980</v>
      </c>
      <c r="B37" s="5696" t="s">
        <v>986</v>
      </c>
      <c r="C37" s="5735"/>
      <c r="D37" s="5735"/>
      <c r="E37" s="5735"/>
      <c r="F37" s="5735"/>
      <c r="G37" s="5735"/>
      <c r="H37" s="5735"/>
      <c r="I37" s="5735"/>
      <c r="J37" s="5735"/>
      <c r="K37" s="5735"/>
      <c r="L37" s="5735"/>
      <c r="M37" s="5735"/>
      <c r="N37" s="5735"/>
      <c r="O37" s="5735"/>
      <c r="P37" s="5735"/>
      <c r="Q37" s="5735"/>
      <c r="R37" s="5735"/>
      <c r="S37" s="660"/>
      <c r="T37" s="660"/>
    </row>
    <row r="38" spans="1:20" ht="12" customHeight="1" x14ac:dyDescent="0.2">
      <c r="A38" s="3568" t="s">
        <v>980</v>
      </c>
      <c r="B38" s="5696" t="s">
        <v>986</v>
      </c>
      <c r="C38" s="5735"/>
      <c r="D38" s="5735"/>
      <c r="E38" s="5735"/>
      <c r="F38" s="5735"/>
      <c r="G38" s="5735"/>
      <c r="H38" s="5735"/>
      <c r="I38" s="5735"/>
      <c r="J38" s="5735"/>
      <c r="K38" s="5735"/>
      <c r="L38" s="5735"/>
      <c r="M38" s="5735"/>
      <c r="N38" s="5735"/>
      <c r="O38" s="5735"/>
      <c r="P38" s="5735"/>
      <c r="Q38" s="5735"/>
      <c r="R38" s="5735"/>
    </row>
  </sheetData>
  <sheetProtection password="A754" sheet="1" objects="1" scenarios="1"/>
  <mergeCells count="30">
    <mergeCell ref="B37:R37"/>
    <mergeCell ref="B38:R38"/>
    <mergeCell ref="C6:C9"/>
    <mergeCell ref="E6:E9"/>
    <mergeCell ref="F6:H7"/>
    <mergeCell ref="F9:K9"/>
    <mergeCell ref="A36:R36"/>
    <mergeCell ref="A6:A9"/>
    <mergeCell ref="B6:B9"/>
    <mergeCell ref="A25:P25"/>
    <mergeCell ref="A26:P26"/>
    <mergeCell ref="A27:O27"/>
    <mergeCell ref="P6:Q7"/>
    <mergeCell ref="D6:D9"/>
    <mergeCell ref="R5:R8"/>
    <mergeCell ref="A28:M28"/>
    <mergeCell ref="A31:M31"/>
    <mergeCell ref="A32:M32"/>
    <mergeCell ref="A33:M33"/>
    <mergeCell ref="L9:Q9"/>
    <mergeCell ref="A5:B5"/>
    <mergeCell ref="C5:E5"/>
    <mergeCell ref="F5:K5"/>
    <mergeCell ref="L5:Q5"/>
    <mergeCell ref="A30:J30"/>
    <mergeCell ref="A29:M29"/>
    <mergeCell ref="I6:I8"/>
    <mergeCell ref="J6:K7"/>
    <mergeCell ref="L6:N7"/>
    <mergeCell ref="O6:O8"/>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colBreaks count="1" manualBreakCount="1">
    <brk id="19" max="49" man="1"/>
  </col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DFCEB-989F-4803-9711-ACAD59048EB9}">
  <sheetPr codeName="Ark48">
    <tabColor theme="0" tint="-0.249977111117893"/>
    <pageSetUpPr fitToPage="1"/>
  </sheetPr>
  <dimension ref="A1:T48"/>
  <sheetViews>
    <sheetView showGridLines="0" topLeftCell="A7" workbookViewId="0"/>
  </sheetViews>
  <sheetFormatPr defaultColWidth="8" defaultRowHeight="12" customHeight="1" x14ac:dyDescent="0.2"/>
  <cols>
    <col min="1" max="1" width="44.42578125" style="659" customWidth="1"/>
    <col min="2" max="2" width="14" style="659" customWidth="1"/>
    <col min="3" max="5" width="11.42578125" style="659" customWidth="1"/>
    <col min="6" max="8" width="8.28515625" style="659" customWidth="1"/>
    <col min="9" max="11" width="9.7109375" style="659" customWidth="1"/>
    <col min="12" max="15" width="11.7109375" style="659" customWidth="1"/>
    <col min="16" max="17" width="11.42578125" style="659" customWidth="1"/>
    <col min="18" max="18" width="13.7109375" style="659" customWidth="1"/>
    <col min="19" max="16384" width="8" style="659"/>
  </cols>
  <sheetData>
    <row r="1" spans="1:20" ht="15.75" customHeight="1" x14ac:dyDescent="0.25">
      <c r="A1" s="671" t="s">
        <v>1432</v>
      </c>
      <c r="B1" s="660"/>
      <c r="C1" s="660"/>
      <c r="D1" s="660"/>
      <c r="E1" s="660"/>
      <c r="F1" s="660"/>
      <c r="G1" s="660"/>
      <c r="H1" s="660"/>
      <c r="I1" s="660"/>
      <c r="J1" s="660"/>
      <c r="K1" s="660"/>
      <c r="L1" s="660"/>
      <c r="M1" s="660"/>
      <c r="N1" s="660"/>
      <c r="O1" s="660"/>
      <c r="P1" s="660"/>
      <c r="Q1" s="660"/>
      <c r="R1" s="668" t="s">
        <v>1791</v>
      </c>
      <c r="S1" s="660"/>
      <c r="T1" s="660"/>
    </row>
    <row r="2" spans="1:20" ht="12" customHeight="1" x14ac:dyDescent="0.25">
      <c r="A2" s="671" t="s">
        <v>1431</v>
      </c>
      <c r="B2" s="660"/>
      <c r="C2" s="660"/>
      <c r="D2" s="660"/>
      <c r="E2" s="660"/>
      <c r="F2" s="660"/>
      <c r="G2" s="660"/>
      <c r="H2" s="660"/>
      <c r="I2" s="660"/>
      <c r="J2" s="660"/>
      <c r="K2" s="660"/>
      <c r="L2" s="660"/>
      <c r="M2" s="660"/>
      <c r="N2" s="660"/>
      <c r="O2" s="660"/>
      <c r="P2" s="660"/>
      <c r="Q2" s="660"/>
      <c r="R2" s="668" t="s">
        <v>1790</v>
      </c>
      <c r="S2" s="660"/>
      <c r="T2" s="660"/>
    </row>
    <row r="3" spans="1:20" ht="12" customHeight="1" x14ac:dyDescent="0.25">
      <c r="A3" s="671" t="s">
        <v>1197</v>
      </c>
      <c r="B3" s="660"/>
      <c r="C3" s="660"/>
      <c r="D3" s="660"/>
      <c r="E3" s="660"/>
      <c r="F3" s="660"/>
      <c r="G3" s="660"/>
      <c r="H3" s="660"/>
      <c r="I3" s="660"/>
      <c r="J3" s="660"/>
      <c r="K3" s="660"/>
      <c r="L3" s="660"/>
      <c r="M3" s="660"/>
      <c r="N3" s="660"/>
      <c r="O3" s="660"/>
      <c r="P3" s="660"/>
      <c r="Q3" s="660"/>
      <c r="R3" s="668" t="s">
        <v>1789</v>
      </c>
      <c r="S3" s="660"/>
      <c r="T3" s="660"/>
    </row>
    <row r="4" spans="1:20" ht="12" customHeight="1" x14ac:dyDescent="0.2">
      <c r="A4" s="660"/>
      <c r="B4" s="660"/>
      <c r="C4" s="660"/>
      <c r="D4" s="660"/>
      <c r="E4" s="660"/>
      <c r="F4" s="660"/>
      <c r="G4" s="660"/>
      <c r="H4" s="660"/>
      <c r="I4" s="660"/>
      <c r="J4" s="660"/>
      <c r="K4" s="660"/>
      <c r="L4" s="660"/>
      <c r="M4" s="660"/>
      <c r="N4" s="660"/>
      <c r="O4" s="660"/>
      <c r="P4" s="660"/>
      <c r="Q4" s="660"/>
      <c r="R4" s="660"/>
      <c r="S4" s="660"/>
      <c r="T4" s="660"/>
    </row>
    <row r="5" spans="1:20" ht="42.75" customHeight="1" x14ac:dyDescent="0.2">
      <c r="A5" s="5740" t="s">
        <v>1025</v>
      </c>
      <c r="B5" s="5741"/>
      <c r="C5" s="5736" t="s">
        <v>1083</v>
      </c>
      <c r="D5" s="5737"/>
      <c r="E5" s="5738"/>
      <c r="F5" s="5736" t="s">
        <v>1351</v>
      </c>
      <c r="G5" s="5737"/>
      <c r="H5" s="5737"/>
      <c r="I5" s="5737"/>
      <c r="J5" s="5737"/>
      <c r="K5" s="5738"/>
      <c r="L5" s="5736" t="s">
        <v>1350</v>
      </c>
      <c r="M5" s="5737"/>
      <c r="N5" s="5737"/>
      <c r="O5" s="5737"/>
      <c r="P5" s="5737"/>
      <c r="Q5" s="5738"/>
      <c r="R5" s="5748" t="s">
        <v>1430</v>
      </c>
      <c r="S5" s="660"/>
      <c r="T5" s="660"/>
    </row>
    <row r="6" spans="1:20" ht="23.25" customHeight="1" x14ac:dyDescent="0.2">
      <c r="A6" s="5728" t="s">
        <v>1348</v>
      </c>
      <c r="B6" s="5739" t="s">
        <v>1429</v>
      </c>
      <c r="C6" s="5739" t="s">
        <v>1428</v>
      </c>
      <c r="D6" s="5739" t="s">
        <v>1427</v>
      </c>
      <c r="E6" s="5739" t="s">
        <v>1426</v>
      </c>
      <c r="F6" s="5742" t="s">
        <v>1343</v>
      </c>
      <c r="G6" s="5744"/>
      <c r="H6" s="5743"/>
      <c r="I6" s="5739" t="s">
        <v>1375</v>
      </c>
      <c r="J6" s="5742" t="s">
        <v>1340</v>
      </c>
      <c r="K6" s="5743"/>
      <c r="L6" s="5742" t="s">
        <v>1339</v>
      </c>
      <c r="M6" s="5744"/>
      <c r="N6" s="5743"/>
      <c r="O6" s="5739" t="s">
        <v>1425</v>
      </c>
      <c r="P6" s="5742" t="s">
        <v>1424</v>
      </c>
      <c r="Q6" s="5743"/>
      <c r="R6" s="5567"/>
      <c r="S6" s="660"/>
      <c r="T6" s="660"/>
    </row>
    <row r="7" spans="1:20" ht="16.5" customHeight="1" x14ac:dyDescent="0.2">
      <c r="A7" s="5520"/>
      <c r="B7" s="5532"/>
      <c r="C7" s="5532"/>
      <c r="D7" s="5532"/>
      <c r="E7" s="5532"/>
      <c r="F7" s="5539"/>
      <c r="G7" s="5545"/>
      <c r="H7" s="5540"/>
      <c r="I7" s="5532"/>
      <c r="J7" s="5539"/>
      <c r="K7" s="5540"/>
      <c r="L7" s="5539"/>
      <c r="M7" s="5545"/>
      <c r="N7" s="5540"/>
      <c r="O7" s="5532"/>
      <c r="P7" s="5539"/>
      <c r="Q7" s="5540"/>
      <c r="R7" s="5567"/>
      <c r="S7" s="660"/>
      <c r="T7" s="660"/>
    </row>
    <row r="8" spans="1:20" ht="68.25" customHeight="1" x14ac:dyDescent="0.2">
      <c r="A8" s="5520"/>
      <c r="B8" s="5532"/>
      <c r="C8" s="5532"/>
      <c r="D8" s="5532"/>
      <c r="E8" s="5532"/>
      <c r="F8" s="3566" t="s">
        <v>1334</v>
      </c>
      <c r="G8" s="3566" t="s">
        <v>1333</v>
      </c>
      <c r="H8" s="3566" t="s">
        <v>1332</v>
      </c>
      <c r="I8" s="5533"/>
      <c r="J8" s="3309" t="s">
        <v>1331</v>
      </c>
      <c r="K8" s="744" t="s">
        <v>1330</v>
      </c>
      <c r="L8" s="3566" t="s">
        <v>1334</v>
      </c>
      <c r="M8" s="3566" t="s">
        <v>1333</v>
      </c>
      <c r="N8" s="3566" t="s">
        <v>1332</v>
      </c>
      <c r="O8" s="5533"/>
      <c r="P8" s="3309" t="s">
        <v>1331</v>
      </c>
      <c r="Q8" s="744" t="s">
        <v>1330</v>
      </c>
      <c r="R8" s="5568"/>
      <c r="S8" s="660"/>
      <c r="T8" s="660"/>
    </row>
    <row r="9" spans="1:20" ht="14.25" customHeight="1" thickBot="1" x14ac:dyDescent="0.25">
      <c r="A9" s="5556"/>
      <c r="B9" s="5541"/>
      <c r="C9" s="5541"/>
      <c r="D9" s="5541"/>
      <c r="E9" s="5541"/>
      <c r="F9" s="5546" t="s">
        <v>1329</v>
      </c>
      <c r="G9" s="5547"/>
      <c r="H9" s="5547"/>
      <c r="I9" s="5547"/>
      <c r="J9" s="5547"/>
      <c r="K9" s="5548"/>
      <c r="L9" s="5546" t="s">
        <v>1328</v>
      </c>
      <c r="M9" s="5547"/>
      <c r="N9" s="5547"/>
      <c r="O9" s="5547"/>
      <c r="P9" s="5547"/>
      <c r="Q9" s="5548"/>
      <c r="R9" s="743" t="s">
        <v>1011</v>
      </c>
      <c r="S9" s="660"/>
      <c r="T9" s="660"/>
    </row>
    <row r="10" spans="1:20" ht="15" customHeight="1" thickTop="1" x14ac:dyDescent="0.2">
      <c r="A10" s="742" t="s">
        <v>1423</v>
      </c>
      <c r="B10" s="3497" t="s">
        <v>986</v>
      </c>
      <c r="C10" s="3507">
        <v>125.92949999974491</v>
      </c>
      <c r="D10" s="3507">
        <v>120.4001025907</v>
      </c>
      <c r="E10" s="3507">
        <v>5.5293974090448996</v>
      </c>
      <c r="F10" s="3507">
        <v>5.6329196097930002E-2</v>
      </c>
      <c r="G10" s="3507">
        <v>-8.7372809438239996E-2</v>
      </c>
      <c r="H10" s="3507">
        <v>-3.1043613340300001E-2</v>
      </c>
      <c r="I10" s="3507" t="s">
        <v>259</v>
      </c>
      <c r="J10" s="3507" t="s">
        <v>259</v>
      </c>
      <c r="K10" s="3507">
        <v>-1.4639063538386901</v>
      </c>
      <c r="L10" s="3507">
        <v>7.0935075000000003</v>
      </c>
      <c r="M10" s="3507">
        <v>-11.002814206129999</v>
      </c>
      <c r="N10" s="3507">
        <v>-3.9093067061300002</v>
      </c>
      <c r="O10" s="3507" t="s">
        <v>259</v>
      </c>
      <c r="P10" s="3507" t="s">
        <v>259</v>
      </c>
      <c r="Q10" s="3507">
        <v>-8.0945199999999993</v>
      </c>
      <c r="R10" s="3507">
        <v>44.014031255810039</v>
      </c>
      <c r="S10" s="660"/>
      <c r="T10" s="660"/>
    </row>
    <row r="11" spans="1:20" x14ac:dyDescent="0.2">
      <c r="A11" s="3574" t="s">
        <v>1422</v>
      </c>
      <c r="B11" s="3497" t="s">
        <v>986</v>
      </c>
      <c r="C11" s="3507">
        <v>100.4444374998029</v>
      </c>
      <c r="D11" s="3507">
        <v>99.000710892000001</v>
      </c>
      <c r="E11" s="3507">
        <v>1.4437266078029001</v>
      </c>
      <c r="F11" s="3507" t="s">
        <v>259</v>
      </c>
      <c r="G11" s="3507" t="s">
        <v>259</v>
      </c>
      <c r="H11" s="3507" t="s">
        <v>259</v>
      </c>
      <c r="I11" s="3507" t="s">
        <v>259</v>
      </c>
      <c r="J11" s="3507" t="s">
        <v>259</v>
      </c>
      <c r="K11" s="3507">
        <v>-5.6066847810739198</v>
      </c>
      <c r="L11" s="3507" t="s">
        <v>259</v>
      </c>
      <c r="M11" s="3507" t="s">
        <v>259</v>
      </c>
      <c r="N11" s="3507" t="s">
        <v>259</v>
      </c>
      <c r="O11" s="3507" t="s">
        <v>259</v>
      </c>
      <c r="P11" s="3507" t="s">
        <v>259</v>
      </c>
      <c r="Q11" s="3507">
        <v>-8.0945199999999993</v>
      </c>
      <c r="R11" s="3507">
        <v>29.679906666666689</v>
      </c>
      <c r="S11" s="660"/>
      <c r="T11" s="660"/>
    </row>
    <row r="12" spans="1:20" x14ac:dyDescent="0.2">
      <c r="A12" s="3579" t="s">
        <v>1421</v>
      </c>
      <c r="B12" s="3497"/>
      <c r="C12" s="3507">
        <v>0.8</v>
      </c>
      <c r="D12" s="3507" t="s">
        <v>259</v>
      </c>
      <c r="E12" s="3507">
        <v>0.8</v>
      </c>
      <c r="F12" s="3507" t="s">
        <v>259</v>
      </c>
      <c r="G12" s="3507" t="s">
        <v>259</v>
      </c>
      <c r="H12" s="3507" t="s">
        <v>259</v>
      </c>
      <c r="I12" s="3507" t="s">
        <v>259</v>
      </c>
      <c r="J12" s="3507" t="s">
        <v>259</v>
      </c>
      <c r="K12" s="3507">
        <v>-10.11815</v>
      </c>
      <c r="L12" s="3507" t="s">
        <v>259</v>
      </c>
      <c r="M12" s="3507" t="s">
        <v>259</v>
      </c>
      <c r="N12" s="3507" t="s">
        <v>259</v>
      </c>
      <c r="O12" s="3507" t="s">
        <v>259</v>
      </c>
      <c r="P12" s="3507" t="s">
        <v>259</v>
      </c>
      <c r="Q12" s="3507">
        <v>-8.0945199999999993</v>
      </c>
      <c r="R12" s="3507">
        <v>29.679906666666689</v>
      </c>
      <c r="S12" s="660"/>
      <c r="T12" s="660"/>
    </row>
    <row r="13" spans="1:20" x14ac:dyDescent="0.2">
      <c r="A13" s="3508" t="s">
        <v>1319</v>
      </c>
      <c r="B13" s="3500" t="s">
        <v>1319</v>
      </c>
      <c r="C13" s="3507">
        <v>0.8</v>
      </c>
      <c r="D13" s="3500" t="s">
        <v>259</v>
      </c>
      <c r="E13" s="3500">
        <v>0.8</v>
      </c>
      <c r="F13" s="3507" t="s">
        <v>259</v>
      </c>
      <c r="G13" s="3507" t="s">
        <v>259</v>
      </c>
      <c r="H13" s="3507" t="s">
        <v>259</v>
      </c>
      <c r="I13" s="3507" t="s">
        <v>259</v>
      </c>
      <c r="J13" s="3507" t="s">
        <v>259</v>
      </c>
      <c r="K13" s="3507">
        <v>-10.11815</v>
      </c>
      <c r="L13" s="3500" t="s">
        <v>259</v>
      </c>
      <c r="M13" s="3500" t="s">
        <v>259</v>
      </c>
      <c r="N13" s="3507" t="s">
        <v>259</v>
      </c>
      <c r="O13" s="3500" t="s">
        <v>259</v>
      </c>
      <c r="P13" s="3500" t="s">
        <v>259</v>
      </c>
      <c r="Q13" s="3500">
        <v>-8.0945199999999993</v>
      </c>
      <c r="R13" s="3507">
        <v>29.679906666666689</v>
      </c>
      <c r="S13" s="660"/>
      <c r="T13" s="660"/>
    </row>
    <row r="14" spans="1:20" x14ac:dyDescent="0.2">
      <c r="A14" s="3579" t="s">
        <v>1420</v>
      </c>
      <c r="B14" s="3497"/>
      <c r="C14" s="3507">
        <v>52.950624999972902</v>
      </c>
      <c r="D14" s="3507">
        <v>52.948938237</v>
      </c>
      <c r="E14" s="3507">
        <v>1.6867629729E-3</v>
      </c>
      <c r="F14" s="3507" t="s">
        <v>259</v>
      </c>
      <c r="G14" s="3507" t="s">
        <v>259</v>
      </c>
      <c r="H14" s="3507" t="s">
        <v>259</v>
      </c>
      <c r="I14" s="3507" t="s">
        <v>259</v>
      </c>
      <c r="J14" s="3507" t="s">
        <v>259</v>
      </c>
      <c r="K14" s="3507" t="s">
        <v>259</v>
      </c>
      <c r="L14" s="3507" t="s">
        <v>259</v>
      </c>
      <c r="M14" s="3507" t="s">
        <v>259</v>
      </c>
      <c r="N14" s="3507" t="s">
        <v>259</v>
      </c>
      <c r="O14" s="3507" t="s">
        <v>259</v>
      </c>
      <c r="P14" s="3507" t="s">
        <v>259</v>
      </c>
      <c r="Q14" s="3507" t="s">
        <v>259</v>
      </c>
      <c r="R14" s="3507" t="s">
        <v>259</v>
      </c>
      <c r="S14" s="660"/>
      <c r="T14" s="660"/>
    </row>
    <row r="15" spans="1:20" x14ac:dyDescent="0.2">
      <c r="A15" s="3508" t="s">
        <v>1319</v>
      </c>
      <c r="B15" s="3500" t="s">
        <v>1319</v>
      </c>
      <c r="C15" s="3507">
        <v>52.950624999972902</v>
      </c>
      <c r="D15" s="3500">
        <v>52.948938237</v>
      </c>
      <c r="E15" s="3500">
        <v>1.6867629729E-3</v>
      </c>
      <c r="F15" s="3507" t="s">
        <v>259</v>
      </c>
      <c r="G15" s="3507" t="s">
        <v>259</v>
      </c>
      <c r="H15" s="3507" t="s">
        <v>259</v>
      </c>
      <c r="I15" s="3507" t="s">
        <v>259</v>
      </c>
      <c r="J15" s="3507" t="s">
        <v>259</v>
      </c>
      <c r="K15" s="3507" t="s">
        <v>259</v>
      </c>
      <c r="L15" s="3500" t="s">
        <v>259</v>
      </c>
      <c r="M15" s="3500" t="s">
        <v>259</v>
      </c>
      <c r="N15" s="3507" t="s">
        <v>259</v>
      </c>
      <c r="O15" s="3500" t="s">
        <v>259</v>
      </c>
      <c r="P15" s="3500" t="s">
        <v>259</v>
      </c>
      <c r="Q15" s="3500" t="s">
        <v>259</v>
      </c>
      <c r="R15" s="3507" t="s">
        <v>259</v>
      </c>
      <c r="S15" s="660"/>
      <c r="T15" s="660"/>
    </row>
    <row r="16" spans="1:20" ht="13.5" x14ac:dyDescent="0.2">
      <c r="A16" s="3579" t="s">
        <v>1418</v>
      </c>
      <c r="B16" s="3497"/>
      <c r="C16" s="3507">
        <v>46.693812499830003</v>
      </c>
      <c r="D16" s="3507">
        <v>46.051772655000001</v>
      </c>
      <c r="E16" s="3507">
        <v>0.64203984482999998</v>
      </c>
      <c r="F16" s="3507" t="s">
        <v>259</v>
      </c>
      <c r="G16" s="3507" t="s">
        <v>259</v>
      </c>
      <c r="H16" s="3507" t="s">
        <v>259</v>
      </c>
      <c r="I16" s="3507" t="s">
        <v>259</v>
      </c>
      <c r="J16" s="3507" t="s">
        <v>259</v>
      </c>
      <c r="K16" s="3507" t="s">
        <v>259</v>
      </c>
      <c r="L16" s="3507" t="s">
        <v>259</v>
      </c>
      <c r="M16" s="3507" t="s">
        <v>259</v>
      </c>
      <c r="N16" s="3507" t="s">
        <v>259</v>
      </c>
      <c r="O16" s="3507" t="s">
        <v>259</v>
      </c>
      <c r="P16" s="3507" t="s">
        <v>259</v>
      </c>
      <c r="Q16" s="3507" t="s">
        <v>259</v>
      </c>
      <c r="R16" s="3507" t="s">
        <v>259</v>
      </c>
      <c r="S16" s="660"/>
      <c r="T16" s="660"/>
    </row>
    <row r="17" spans="1:20" x14ac:dyDescent="0.2">
      <c r="A17" s="3508" t="s">
        <v>1319</v>
      </c>
      <c r="B17" s="3500" t="s">
        <v>1319</v>
      </c>
      <c r="C17" s="3507">
        <v>46.693812499830003</v>
      </c>
      <c r="D17" s="3500">
        <v>46.051772655000001</v>
      </c>
      <c r="E17" s="3500">
        <v>0.64203984482999998</v>
      </c>
      <c r="F17" s="3507" t="s">
        <v>259</v>
      </c>
      <c r="G17" s="3507" t="s">
        <v>259</v>
      </c>
      <c r="H17" s="3507" t="s">
        <v>259</v>
      </c>
      <c r="I17" s="3507" t="s">
        <v>259</v>
      </c>
      <c r="J17" s="3507" t="s">
        <v>259</v>
      </c>
      <c r="K17" s="3507" t="s">
        <v>259</v>
      </c>
      <c r="L17" s="3500" t="s">
        <v>259</v>
      </c>
      <c r="M17" s="3500" t="s">
        <v>259</v>
      </c>
      <c r="N17" s="3507" t="s">
        <v>259</v>
      </c>
      <c r="O17" s="3500" t="s">
        <v>259</v>
      </c>
      <c r="P17" s="3500" t="s">
        <v>259</v>
      </c>
      <c r="Q17" s="3500" t="s">
        <v>259</v>
      </c>
      <c r="R17" s="3507" t="s">
        <v>259</v>
      </c>
      <c r="S17" s="660"/>
      <c r="T17" s="660"/>
    </row>
    <row r="18" spans="1:20" ht="13.5" x14ac:dyDescent="0.2">
      <c r="A18" s="3577" t="s">
        <v>1417</v>
      </c>
      <c r="B18" s="3497" t="s">
        <v>986</v>
      </c>
      <c r="C18" s="3507">
        <v>25.485062499942</v>
      </c>
      <c r="D18" s="3507">
        <v>21.399391698700001</v>
      </c>
      <c r="E18" s="3507">
        <v>4.0856708012420002</v>
      </c>
      <c r="F18" s="3507">
        <v>0.27833981180215001</v>
      </c>
      <c r="G18" s="3507">
        <v>-0.43173581411287998</v>
      </c>
      <c r="H18" s="3507">
        <v>-0.15339600231072001</v>
      </c>
      <c r="I18" s="3507" t="s">
        <v>259</v>
      </c>
      <c r="J18" s="3507" t="s">
        <v>259</v>
      </c>
      <c r="K18" s="3507" t="s">
        <v>259</v>
      </c>
      <c r="L18" s="3507">
        <v>7.0935075000000003</v>
      </c>
      <c r="M18" s="3507">
        <v>-11.002814206129999</v>
      </c>
      <c r="N18" s="3507">
        <v>-3.9093067061300002</v>
      </c>
      <c r="O18" s="3507" t="s">
        <v>259</v>
      </c>
      <c r="P18" s="3507" t="s">
        <v>259</v>
      </c>
      <c r="Q18" s="3507" t="s">
        <v>259</v>
      </c>
      <c r="R18" s="3507">
        <v>14.33412458914335</v>
      </c>
      <c r="S18" s="660"/>
      <c r="T18" s="660"/>
    </row>
    <row r="19" spans="1:20" x14ac:dyDescent="0.2">
      <c r="A19" s="3579" t="s">
        <v>1416</v>
      </c>
      <c r="B19" s="3497"/>
      <c r="C19" s="3507" t="s">
        <v>259</v>
      </c>
      <c r="D19" s="3507" t="s">
        <v>259</v>
      </c>
      <c r="E19" s="3507" t="s">
        <v>259</v>
      </c>
      <c r="F19" s="3507" t="s">
        <v>259</v>
      </c>
      <c r="G19" s="3507" t="s">
        <v>259</v>
      </c>
      <c r="H19" s="3507" t="s">
        <v>259</v>
      </c>
      <c r="I19" s="3507" t="s">
        <v>259</v>
      </c>
      <c r="J19" s="3507" t="s">
        <v>259</v>
      </c>
      <c r="K19" s="3507" t="s">
        <v>259</v>
      </c>
      <c r="L19" s="3507" t="s">
        <v>259</v>
      </c>
      <c r="M19" s="3507" t="s">
        <v>259</v>
      </c>
      <c r="N19" s="3507" t="s">
        <v>259</v>
      </c>
      <c r="O19" s="3507" t="s">
        <v>259</v>
      </c>
      <c r="P19" s="3507" t="s">
        <v>259</v>
      </c>
      <c r="Q19" s="3507" t="s">
        <v>259</v>
      </c>
      <c r="R19" s="3507" t="s">
        <v>259</v>
      </c>
      <c r="S19" s="660"/>
      <c r="T19" s="660"/>
    </row>
    <row r="20" spans="1:20" x14ac:dyDescent="0.2">
      <c r="A20" s="3508" t="s">
        <v>1319</v>
      </c>
      <c r="B20" s="3500" t="s">
        <v>1319</v>
      </c>
      <c r="C20" s="3507" t="s">
        <v>259</v>
      </c>
      <c r="D20" s="3500" t="s">
        <v>259</v>
      </c>
      <c r="E20" s="3500" t="s">
        <v>259</v>
      </c>
      <c r="F20" s="3507" t="s">
        <v>259</v>
      </c>
      <c r="G20" s="3507" t="s">
        <v>259</v>
      </c>
      <c r="H20" s="3507" t="s">
        <v>259</v>
      </c>
      <c r="I20" s="3507" t="s">
        <v>259</v>
      </c>
      <c r="J20" s="3507" t="s">
        <v>259</v>
      </c>
      <c r="K20" s="3507" t="s">
        <v>259</v>
      </c>
      <c r="L20" s="3500" t="s">
        <v>259</v>
      </c>
      <c r="M20" s="3500" t="s">
        <v>259</v>
      </c>
      <c r="N20" s="3507" t="s">
        <v>259</v>
      </c>
      <c r="O20" s="3500" t="s">
        <v>259</v>
      </c>
      <c r="P20" s="3500" t="s">
        <v>259</v>
      </c>
      <c r="Q20" s="3500" t="s">
        <v>259</v>
      </c>
      <c r="R20" s="3507" t="s">
        <v>259</v>
      </c>
      <c r="S20" s="660"/>
      <c r="T20" s="660"/>
    </row>
    <row r="21" spans="1:20" x14ac:dyDescent="0.2">
      <c r="A21" s="3579" t="s">
        <v>1415</v>
      </c>
      <c r="B21" s="3497"/>
      <c r="C21" s="3507">
        <v>5.3476874999390001</v>
      </c>
      <c r="D21" s="3507">
        <v>4.9070487857499998</v>
      </c>
      <c r="E21" s="3507">
        <v>0.44063871418900002</v>
      </c>
      <c r="F21" s="3507" t="s">
        <v>259</v>
      </c>
      <c r="G21" s="3507">
        <v>-1.0140144698417499</v>
      </c>
      <c r="H21" s="3507">
        <v>-1.0140144698417499</v>
      </c>
      <c r="I21" s="3507" t="s">
        <v>259</v>
      </c>
      <c r="J21" s="3507" t="s">
        <v>259</v>
      </c>
      <c r="K21" s="3507" t="s">
        <v>259</v>
      </c>
      <c r="L21" s="3507" t="s">
        <v>259</v>
      </c>
      <c r="M21" s="3507">
        <v>-5.4226325051300002</v>
      </c>
      <c r="N21" s="3507">
        <v>-5.4226325051300002</v>
      </c>
      <c r="O21" s="3507" t="s">
        <v>259</v>
      </c>
      <c r="P21" s="3507" t="s">
        <v>259</v>
      </c>
      <c r="Q21" s="3507" t="s">
        <v>259</v>
      </c>
      <c r="R21" s="3507">
        <v>19.882985852143349</v>
      </c>
      <c r="S21" s="660"/>
      <c r="T21" s="660"/>
    </row>
    <row r="22" spans="1:20" x14ac:dyDescent="0.2">
      <c r="A22" s="3520" t="s">
        <v>1414</v>
      </c>
      <c r="B22" s="3497"/>
      <c r="C22" s="3507">
        <v>0.252187499998</v>
      </c>
      <c r="D22" s="3507">
        <v>0.24052444854999999</v>
      </c>
      <c r="E22" s="3507">
        <v>1.1663051448000001E-2</v>
      </c>
      <c r="F22" s="3507" t="s">
        <v>259</v>
      </c>
      <c r="G22" s="3507">
        <v>-2.5665427509497198</v>
      </c>
      <c r="H22" s="3507">
        <v>-2.5665427509497198</v>
      </c>
      <c r="I22" s="3507" t="s">
        <v>259</v>
      </c>
      <c r="J22" s="3507" t="s">
        <v>259</v>
      </c>
      <c r="K22" s="3507" t="s">
        <v>259</v>
      </c>
      <c r="L22" s="3507" t="s">
        <v>259</v>
      </c>
      <c r="M22" s="3507">
        <v>-0.64724999999999999</v>
      </c>
      <c r="N22" s="3507">
        <v>-0.64724999999999999</v>
      </c>
      <c r="O22" s="3507" t="s">
        <v>259</v>
      </c>
      <c r="P22" s="3507" t="s">
        <v>259</v>
      </c>
      <c r="Q22" s="3507" t="s">
        <v>259</v>
      </c>
      <c r="R22" s="3507">
        <v>2.3732500000000001</v>
      </c>
      <c r="S22" s="660"/>
      <c r="T22" s="660"/>
    </row>
    <row r="23" spans="1:20" x14ac:dyDescent="0.2">
      <c r="A23" s="3567" t="s">
        <v>1319</v>
      </c>
      <c r="B23" s="3500" t="s">
        <v>1319</v>
      </c>
      <c r="C23" s="3507">
        <v>0.252187499998</v>
      </c>
      <c r="D23" s="3500">
        <v>0.24052444854999999</v>
      </c>
      <c r="E23" s="3500">
        <v>1.1663051448000001E-2</v>
      </c>
      <c r="F23" s="3507" t="s">
        <v>259</v>
      </c>
      <c r="G23" s="3507">
        <v>-2.5665427509497198</v>
      </c>
      <c r="H23" s="3507">
        <v>-2.5665427509497198</v>
      </c>
      <c r="I23" s="3507" t="s">
        <v>259</v>
      </c>
      <c r="J23" s="3507" t="s">
        <v>259</v>
      </c>
      <c r="K23" s="3507" t="s">
        <v>259</v>
      </c>
      <c r="L23" s="3500" t="s">
        <v>259</v>
      </c>
      <c r="M23" s="3500">
        <v>-0.64724999999999999</v>
      </c>
      <c r="N23" s="3507">
        <v>-0.64724999999999999</v>
      </c>
      <c r="O23" s="3500" t="s">
        <v>259</v>
      </c>
      <c r="P23" s="3500" t="s">
        <v>259</v>
      </c>
      <c r="Q23" s="3500" t="s">
        <v>259</v>
      </c>
      <c r="R23" s="3507">
        <v>2.3732500000000001</v>
      </c>
    </row>
    <row r="24" spans="1:20" x14ac:dyDescent="0.2">
      <c r="A24" s="3520" t="s">
        <v>1413</v>
      </c>
      <c r="B24" s="3497"/>
      <c r="C24" s="3507">
        <v>3.5222499999600001</v>
      </c>
      <c r="D24" s="3507">
        <v>3.1451610453000001</v>
      </c>
      <c r="E24" s="3507">
        <v>0.37708895465999998</v>
      </c>
      <c r="F24" s="3507" t="s">
        <v>259</v>
      </c>
      <c r="G24" s="3507">
        <v>-0.23653062818921</v>
      </c>
      <c r="H24" s="3507">
        <v>-0.23653062818921</v>
      </c>
      <c r="I24" s="3507" t="s">
        <v>259</v>
      </c>
      <c r="J24" s="3507" t="s">
        <v>259</v>
      </c>
      <c r="K24" s="3507" t="s">
        <v>259</v>
      </c>
      <c r="L24" s="3507" t="s">
        <v>259</v>
      </c>
      <c r="M24" s="3507">
        <v>-0.83312000512999995</v>
      </c>
      <c r="N24" s="3507">
        <v>-0.83312000512999995</v>
      </c>
      <c r="O24" s="3507" t="s">
        <v>259</v>
      </c>
      <c r="P24" s="3507" t="s">
        <v>259</v>
      </c>
      <c r="Q24" s="3507" t="s">
        <v>259</v>
      </c>
      <c r="R24" s="3507">
        <v>3.0547733521433398</v>
      </c>
    </row>
    <row r="25" spans="1:20" x14ac:dyDescent="0.2">
      <c r="A25" s="3567" t="s">
        <v>1319</v>
      </c>
      <c r="B25" s="3500" t="s">
        <v>1319</v>
      </c>
      <c r="C25" s="3507">
        <v>3.5222499999600001</v>
      </c>
      <c r="D25" s="3500">
        <v>3.1451610453000001</v>
      </c>
      <c r="E25" s="3500">
        <v>0.37708895465999998</v>
      </c>
      <c r="F25" s="3507" t="s">
        <v>259</v>
      </c>
      <c r="G25" s="3507" t="s">
        <v>259</v>
      </c>
      <c r="H25" s="3507" t="s">
        <v>259</v>
      </c>
      <c r="I25" s="3507" t="s">
        <v>259</v>
      </c>
      <c r="J25" s="3507" t="s">
        <v>259</v>
      </c>
      <c r="K25" s="3507" t="s">
        <v>259</v>
      </c>
      <c r="L25" s="3500" t="s">
        <v>259</v>
      </c>
      <c r="M25" s="3500">
        <v>-0.83312000512999995</v>
      </c>
      <c r="N25" s="3507">
        <v>-0.83312000512999995</v>
      </c>
      <c r="O25" s="3500" t="s">
        <v>259</v>
      </c>
      <c r="P25" s="3500" t="s">
        <v>259</v>
      </c>
      <c r="Q25" s="3500" t="s">
        <v>259</v>
      </c>
      <c r="R25" s="3507">
        <v>3.0547733521433398</v>
      </c>
    </row>
    <row r="26" spans="1:20" x14ac:dyDescent="0.2">
      <c r="A26" s="3520" t="s">
        <v>1412</v>
      </c>
      <c r="B26" s="3497"/>
      <c r="C26" s="3507">
        <v>1.5732499999809999</v>
      </c>
      <c r="D26" s="3507">
        <v>1.5213632919</v>
      </c>
      <c r="E26" s="3507">
        <v>5.1886708081000002E-2</v>
      </c>
      <c r="F26" s="3507" t="s">
        <v>259</v>
      </c>
      <c r="G26" s="3507">
        <v>-2.50580804071038</v>
      </c>
      <c r="H26" s="3507">
        <v>-2.50580804071038</v>
      </c>
      <c r="I26" s="3507" t="s">
        <v>259</v>
      </c>
      <c r="J26" s="3507" t="s">
        <v>259</v>
      </c>
      <c r="K26" s="3507" t="s">
        <v>259</v>
      </c>
      <c r="L26" s="3507" t="s">
        <v>259</v>
      </c>
      <c r="M26" s="3507">
        <v>-3.9422625</v>
      </c>
      <c r="N26" s="3507">
        <v>-3.9422625</v>
      </c>
      <c r="O26" s="3507" t="s">
        <v>259</v>
      </c>
      <c r="P26" s="3507" t="s">
        <v>259</v>
      </c>
      <c r="Q26" s="3507" t="s">
        <v>259</v>
      </c>
      <c r="R26" s="3507">
        <v>14.454962500000009</v>
      </c>
    </row>
    <row r="27" spans="1:20" x14ac:dyDescent="0.2">
      <c r="A27" s="3567" t="s">
        <v>1319</v>
      </c>
      <c r="B27" s="3500" t="s">
        <v>1319</v>
      </c>
      <c r="C27" s="3507">
        <v>1.5732499999809999</v>
      </c>
      <c r="D27" s="3500">
        <v>1.5213632919</v>
      </c>
      <c r="E27" s="3500">
        <v>5.1886708081000002E-2</v>
      </c>
      <c r="F27" s="3507" t="s">
        <v>259</v>
      </c>
      <c r="G27" s="3507">
        <v>-2.50580804071038</v>
      </c>
      <c r="H27" s="3507">
        <v>-2.50580804071038</v>
      </c>
      <c r="I27" s="3507" t="s">
        <v>259</v>
      </c>
      <c r="J27" s="3507" t="s">
        <v>259</v>
      </c>
      <c r="K27" s="3507" t="s">
        <v>259</v>
      </c>
      <c r="L27" s="3500" t="s">
        <v>259</v>
      </c>
      <c r="M27" s="3500">
        <v>-3.9422625</v>
      </c>
      <c r="N27" s="3507">
        <v>-3.9422625</v>
      </c>
      <c r="O27" s="3500" t="s">
        <v>259</v>
      </c>
      <c r="P27" s="3500" t="s">
        <v>259</v>
      </c>
      <c r="Q27" s="3500" t="s">
        <v>259</v>
      </c>
      <c r="R27" s="3507">
        <v>14.454962500000009</v>
      </c>
    </row>
    <row r="28" spans="1:20" x14ac:dyDescent="0.2">
      <c r="A28" s="3579" t="s">
        <v>1411</v>
      </c>
      <c r="B28" s="3497"/>
      <c r="C28" s="3507">
        <v>20.137375000003001</v>
      </c>
      <c r="D28" s="3507">
        <v>16.492342912950001</v>
      </c>
      <c r="E28" s="3507">
        <v>3.645032087053</v>
      </c>
      <c r="F28" s="3507">
        <v>0.35225581785108001</v>
      </c>
      <c r="G28" s="3507">
        <v>-0.27710571516888999</v>
      </c>
      <c r="H28" s="3507">
        <v>7.5150102682189995E-2</v>
      </c>
      <c r="I28" s="3507" t="s">
        <v>259</v>
      </c>
      <c r="J28" s="3507" t="s">
        <v>259</v>
      </c>
      <c r="K28" s="3507" t="s">
        <v>259</v>
      </c>
      <c r="L28" s="3507">
        <v>7.0935075000000003</v>
      </c>
      <c r="M28" s="3507">
        <v>-5.5801817009999999</v>
      </c>
      <c r="N28" s="3507">
        <v>1.513325799</v>
      </c>
      <c r="O28" s="3507" t="s">
        <v>259</v>
      </c>
      <c r="P28" s="3507" t="s">
        <v>259</v>
      </c>
      <c r="Q28" s="3507" t="s">
        <v>259</v>
      </c>
      <c r="R28" s="3507">
        <v>-5.5488612630000098</v>
      </c>
      <c r="S28" s="660"/>
      <c r="T28" s="660"/>
    </row>
    <row r="29" spans="1:20" x14ac:dyDescent="0.2">
      <c r="A29" s="3520" t="s">
        <v>1410</v>
      </c>
      <c r="B29" s="3497"/>
      <c r="C29" s="3507">
        <v>0.72325000000299999</v>
      </c>
      <c r="D29" s="3507">
        <v>0.68940093484999998</v>
      </c>
      <c r="E29" s="3507">
        <v>3.3849065152999999E-2</v>
      </c>
      <c r="F29" s="3507">
        <v>0.27662633943887999</v>
      </c>
      <c r="G29" s="3507" t="s">
        <v>259</v>
      </c>
      <c r="H29" s="3507">
        <v>0.27662633943887999</v>
      </c>
      <c r="I29" s="3507" t="s">
        <v>259</v>
      </c>
      <c r="J29" s="3507" t="s">
        <v>259</v>
      </c>
      <c r="K29" s="3507" t="s">
        <v>259</v>
      </c>
      <c r="L29" s="3507">
        <v>0.20007</v>
      </c>
      <c r="M29" s="3507" t="s">
        <v>259</v>
      </c>
      <c r="N29" s="3507">
        <v>0.20007</v>
      </c>
      <c r="O29" s="3507" t="s">
        <v>259</v>
      </c>
      <c r="P29" s="3507" t="s">
        <v>259</v>
      </c>
      <c r="Q29" s="3507" t="s">
        <v>259</v>
      </c>
      <c r="R29" s="3507">
        <v>-0.73358999999999996</v>
      </c>
      <c r="S29" s="660"/>
      <c r="T29" s="660"/>
    </row>
    <row r="30" spans="1:20" x14ac:dyDescent="0.2">
      <c r="A30" s="3567" t="s">
        <v>1319</v>
      </c>
      <c r="B30" s="3500" t="s">
        <v>1319</v>
      </c>
      <c r="C30" s="3507">
        <v>0.72325000000299999</v>
      </c>
      <c r="D30" s="3500">
        <v>0.68940093484999998</v>
      </c>
      <c r="E30" s="3500">
        <v>3.3849065152999999E-2</v>
      </c>
      <c r="F30" s="3507" t="s">
        <v>259</v>
      </c>
      <c r="G30" s="3507">
        <v>-2.5665427509497198</v>
      </c>
      <c r="H30" s="3507">
        <v>-2.5665427509497198</v>
      </c>
      <c r="I30" s="3507" t="s">
        <v>259</v>
      </c>
      <c r="J30" s="3507" t="s">
        <v>259</v>
      </c>
      <c r="K30" s="3507" t="s">
        <v>259</v>
      </c>
      <c r="L30" s="3500">
        <v>0.20007</v>
      </c>
      <c r="M30" s="3500" t="s">
        <v>259</v>
      </c>
      <c r="N30" s="3507">
        <v>0.20007</v>
      </c>
      <c r="O30" s="3500" t="s">
        <v>259</v>
      </c>
      <c r="P30" s="3500" t="s">
        <v>259</v>
      </c>
      <c r="Q30" s="3500" t="s">
        <v>259</v>
      </c>
      <c r="R30" s="3507">
        <v>-0.73358999999999996</v>
      </c>
    </row>
    <row r="31" spans="1:20" x14ac:dyDescent="0.2">
      <c r="A31" s="3520" t="s">
        <v>1409</v>
      </c>
      <c r="B31" s="3497"/>
      <c r="C31" s="3507">
        <v>9.7135625000000001</v>
      </c>
      <c r="D31" s="3507">
        <v>7.7464760521000002</v>
      </c>
      <c r="E31" s="3507">
        <v>1.9670864479000001</v>
      </c>
      <c r="F31" s="3507">
        <v>0.54788832624488004</v>
      </c>
      <c r="G31" s="3507">
        <v>-0.47560580384384998</v>
      </c>
      <c r="H31" s="3507">
        <v>7.2282522401019997E-2</v>
      </c>
      <c r="I31" s="3507" t="s">
        <v>259</v>
      </c>
      <c r="J31" s="3507" t="s">
        <v>259</v>
      </c>
      <c r="K31" s="3507" t="s">
        <v>259</v>
      </c>
      <c r="L31" s="3507">
        <v>5.3219475000000003</v>
      </c>
      <c r="M31" s="3507">
        <v>-4.619826701</v>
      </c>
      <c r="N31" s="3507">
        <v>0.70212079900000002</v>
      </c>
      <c r="O31" s="3507" t="s">
        <v>259</v>
      </c>
      <c r="P31" s="3507" t="s">
        <v>259</v>
      </c>
      <c r="Q31" s="3507" t="s">
        <v>259</v>
      </c>
      <c r="R31" s="3507">
        <v>-2.5744429296666702</v>
      </c>
    </row>
    <row r="32" spans="1:20" x14ac:dyDescent="0.2">
      <c r="A32" s="3567" t="s">
        <v>1319</v>
      </c>
      <c r="B32" s="3500" t="s">
        <v>1319</v>
      </c>
      <c r="C32" s="3507">
        <v>9.7135625000000001</v>
      </c>
      <c r="D32" s="3500">
        <v>7.7464760521000002</v>
      </c>
      <c r="E32" s="3500">
        <v>1.9670864479000001</v>
      </c>
      <c r="F32" s="3507" t="s">
        <v>259</v>
      </c>
      <c r="G32" s="3507" t="s">
        <v>259</v>
      </c>
      <c r="H32" s="3507" t="s">
        <v>259</v>
      </c>
      <c r="I32" s="3507" t="s">
        <v>259</v>
      </c>
      <c r="J32" s="3507" t="s">
        <v>259</v>
      </c>
      <c r="K32" s="3507" t="s">
        <v>259</v>
      </c>
      <c r="L32" s="3500">
        <v>5.3219475000000003</v>
      </c>
      <c r="M32" s="3500">
        <v>-4.619826701</v>
      </c>
      <c r="N32" s="3507">
        <v>0.70212079900000002</v>
      </c>
      <c r="O32" s="3500" t="s">
        <v>259</v>
      </c>
      <c r="P32" s="3500" t="s">
        <v>259</v>
      </c>
      <c r="Q32" s="3500" t="s">
        <v>259</v>
      </c>
      <c r="R32" s="3507">
        <v>-2.5744429296666702</v>
      </c>
    </row>
    <row r="33" spans="1:20" x14ac:dyDescent="0.2">
      <c r="A33" s="3520" t="s">
        <v>1408</v>
      </c>
      <c r="B33" s="3497"/>
      <c r="C33" s="3507">
        <v>9.7005625000000002</v>
      </c>
      <c r="D33" s="3507">
        <v>8.0564659259999996</v>
      </c>
      <c r="E33" s="3507">
        <v>1.644096574</v>
      </c>
      <c r="F33" s="3507">
        <v>0.16199988402734</v>
      </c>
      <c r="G33" s="3507">
        <v>-9.8999929127820005E-2</v>
      </c>
      <c r="H33" s="3507">
        <v>6.2999954899519997E-2</v>
      </c>
      <c r="I33" s="3507" t="s">
        <v>259</v>
      </c>
      <c r="J33" s="3507" t="s">
        <v>259</v>
      </c>
      <c r="K33" s="3507" t="s">
        <v>259</v>
      </c>
      <c r="L33" s="3507">
        <v>1.5714900000000001</v>
      </c>
      <c r="M33" s="3507">
        <v>-0.96035499999999996</v>
      </c>
      <c r="N33" s="3507">
        <v>0.61113499999999998</v>
      </c>
      <c r="O33" s="3507" t="s">
        <v>259</v>
      </c>
      <c r="P33" s="3507" t="s">
        <v>259</v>
      </c>
      <c r="Q33" s="3507" t="s">
        <v>259</v>
      </c>
      <c r="R33" s="3507">
        <v>-2.2408283333333401</v>
      </c>
    </row>
    <row r="34" spans="1:20" x14ac:dyDescent="0.2">
      <c r="A34" s="3567" t="s">
        <v>1319</v>
      </c>
      <c r="B34" s="3500" t="s">
        <v>1319</v>
      </c>
      <c r="C34" s="3507">
        <v>9.7005625000000002</v>
      </c>
      <c r="D34" s="3500">
        <v>8.0564659259999996</v>
      </c>
      <c r="E34" s="3500">
        <v>1.644096574</v>
      </c>
      <c r="F34" s="3507" t="s">
        <v>259</v>
      </c>
      <c r="G34" s="3507">
        <v>-2.50580804071038</v>
      </c>
      <c r="H34" s="3507">
        <v>-2.50580804071038</v>
      </c>
      <c r="I34" s="3507" t="s">
        <v>259</v>
      </c>
      <c r="J34" s="3507" t="s">
        <v>259</v>
      </c>
      <c r="K34" s="3507" t="s">
        <v>259</v>
      </c>
      <c r="L34" s="3500">
        <v>1.5714900000000001</v>
      </c>
      <c r="M34" s="3500">
        <v>-0.96035499999999996</v>
      </c>
      <c r="N34" s="3507">
        <v>0.61113499999999998</v>
      </c>
      <c r="O34" s="3500" t="s">
        <v>259</v>
      </c>
      <c r="P34" s="3500" t="s">
        <v>259</v>
      </c>
      <c r="Q34" s="3500" t="s">
        <v>259</v>
      </c>
      <c r="R34" s="3507">
        <v>-2.2408283333333401</v>
      </c>
    </row>
    <row r="35" spans="1:20" ht="12" customHeight="1" x14ac:dyDescent="0.2">
      <c r="A35" s="741" t="s">
        <v>564</v>
      </c>
      <c r="B35" s="660"/>
      <c r="C35" s="660"/>
      <c r="D35" s="660"/>
      <c r="E35" s="660"/>
      <c r="F35" s="660"/>
      <c r="G35" s="660"/>
      <c r="H35" s="660"/>
      <c r="I35" s="660"/>
      <c r="J35" s="660"/>
      <c r="K35" s="660"/>
      <c r="L35" s="660"/>
      <c r="M35" s="660"/>
      <c r="N35" s="660"/>
      <c r="O35" s="660"/>
      <c r="P35" s="660"/>
      <c r="Q35" s="660"/>
      <c r="R35" s="660"/>
      <c r="S35" s="660"/>
      <c r="T35" s="660"/>
    </row>
    <row r="36" spans="1:20" ht="13.5" x14ac:dyDescent="0.2">
      <c r="A36" s="5558" t="s">
        <v>1407</v>
      </c>
      <c r="B36" s="5558"/>
      <c r="C36" s="5558"/>
      <c r="D36" s="5558"/>
      <c r="E36" s="5558"/>
      <c r="F36" s="5558"/>
      <c r="G36" s="5558"/>
      <c r="H36" s="5558"/>
      <c r="I36" s="5558"/>
      <c r="J36" s="5558"/>
      <c r="K36" s="5558"/>
      <c r="L36" s="5558"/>
      <c r="M36" s="5558"/>
      <c r="N36" s="5558"/>
      <c r="O36" s="5558"/>
      <c r="P36" s="5558"/>
      <c r="Q36" s="5558"/>
      <c r="R36" s="5558"/>
      <c r="S36" s="660"/>
      <c r="T36" s="660"/>
    </row>
    <row r="37" spans="1:20" ht="12" customHeight="1" x14ac:dyDescent="0.2">
      <c r="A37" s="738" t="s">
        <v>1406</v>
      </c>
      <c r="B37" s="660"/>
      <c r="C37" s="660"/>
      <c r="D37" s="660"/>
      <c r="E37" s="660"/>
      <c r="F37" s="660"/>
      <c r="G37" s="660"/>
      <c r="H37" s="660"/>
      <c r="I37" s="660"/>
      <c r="J37" s="660"/>
      <c r="K37" s="660"/>
      <c r="L37" s="660"/>
      <c r="M37" s="660"/>
      <c r="N37" s="660"/>
      <c r="O37" s="660"/>
      <c r="P37" s="660"/>
      <c r="Q37" s="660"/>
      <c r="R37" s="660"/>
      <c r="S37" s="660"/>
      <c r="T37" s="660"/>
    </row>
    <row r="38" spans="1:20" ht="12" customHeight="1" x14ac:dyDescent="0.2">
      <c r="A38" s="740" t="s">
        <v>1316</v>
      </c>
      <c r="B38" s="660"/>
      <c r="C38" s="660"/>
      <c r="D38" s="660"/>
      <c r="E38" s="660"/>
      <c r="F38" s="660"/>
      <c r="G38" s="660"/>
      <c r="H38" s="660"/>
      <c r="I38" s="660"/>
      <c r="J38" s="660"/>
      <c r="K38" s="660"/>
      <c r="L38" s="660"/>
      <c r="M38" s="660"/>
      <c r="N38" s="660"/>
      <c r="O38" s="660"/>
      <c r="P38" s="660"/>
      <c r="Q38" s="660"/>
      <c r="R38" s="660"/>
      <c r="S38" s="660"/>
      <c r="T38" s="660"/>
    </row>
    <row r="39" spans="1:20" ht="12" customHeight="1" x14ac:dyDescent="0.2">
      <c r="A39" s="740" t="s">
        <v>1405</v>
      </c>
      <c r="B39" s="660"/>
      <c r="C39" s="660"/>
      <c r="D39" s="660"/>
      <c r="E39" s="660"/>
      <c r="F39" s="660"/>
      <c r="G39" s="660"/>
      <c r="H39" s="660"/>
      <c r="I39" s="660"/>
      <c r="J39" s="660"/>
      <c r="K39" s="660"/>
      <c r="L39" s="660"/>
      <c r="M39" s="660"/>
      <c r="N39" s="660"/>
      <c r="O39" s="660"/>
      <c r="P39" s="660"/>
      <c r="Q39" s="660"/>
      <c r="R39" s="660"/>
      <c r="S39" s="660"/>
      <c r="T39" s="660"/>
    </row>
    <row r="40" spans="1:20" x14ac:dyDescent="0.2">
      <c r="A40" s="5575" t="s">
        <v>1404</v>
      </c>
      <c r="B40" s="5575"/>
      <c r="C40" s="5575"/>
      <c r="D40" s="5575"/>
      <c r="E40" s="5575"/>
      <c r="F40" s="5575"/>
      <c r="G40" s="5575"/>
      <c r="H40" s="5575"/>
      <c r="I40" s="5575"/>
      <c r="J40" s="5575"/>
      <c r="K40" s="5575"/>
      <c r="L40" s="5575"/>
      <c r="M40" s="5575"/>
      <c r="N40" s="5575"/>
      <c r="O40" s="5575"/>
      <c r="P40" s="3315"/>
      <c r="Q40" s="660"/>
      <c r="R40" s="660"/>
      <c r="S40" s="660"/>
      <c r="T40" s="660"/>
    </row>
    <row r="41" spans="1:20" ht="12" customHeight="1" x14ac:dyDescent="0.2">
      <c r="A41" s="739" t="s">
        <v>1403</v>
      </c>
      <c r="B41" s="660"/>
      <c r="C41" s="660"/>
      <c r="D41" s="660"/>
      <c r="E41" s="660"/>
      <c r="F41" s="660"/>
      <c r="G41" s="660"/>
      <c r="H41" s="660"/>
      <c r="I41" s="660"/>
      <c r="J41" s="660"/>
      <c r="K41" s="660"/>
      <c r="L41" s="660"/>
      <c r="M41" s="660"/>
      <c r="N41" s="660"/>
      <c r="O41" s="660"/>
      <c r="P41" s="660"/>
      <c r="Q41" s="660"/>
      <c r="R41" s="660"/>
      <c r="S41" s="660"/>
      <c r="T41" s="660"/>
    </row>
    <row r="42" spans="1:20" ht="12" customHeight="1" x14ac:dyDescent="0.2">
      <c r="A42" s="738" t="s">
        <v>1402</v>
      </c>
      <c r="B42" s="660"/>
      <c r="C42" s="660"/>
      <c r="D42" s="660"/>
      <c r="E42" s="660"/>
      <c r="F42" s="660"/>
      <c r="G42" s="660"/>
      <c r="H42" s="660"/>
      <c r="I42" s="660"/>
      <c r="J42" s="660"/>
      <c r="K42" s="660"/>
      <c r="L42" s="660"/>
      <c r="M42" s="660"/>
      <c r="N42" s="660"/>
      <c r="O42" s="660"/>
      <c r="P42" s="660"/>
      <c r="Q42" s="660"/>
      <c r="R42" s="660"/>
      <c r="S42" s="660"/>
      <c r="T42" s="660"/>
    </row>
    <row r="43" spans="1:20" ht="13.5" x14ac:dyDescent="0.2">
      <c r="A43" s="5576" t="s">
        <v>1401</v>
      </c>
      <c r="B43" s="5576"/>
      <c r="C43" s="5576"/>
      <c r="D43" s="5576"/>
      <c r="E43" s="5576"/>
      <c r="F43" s="5576"/>
      <c r="G43" s="5576"/>
      <c r="H43" s="5576"/>
      <c r="I43" s="5576"/>
      <c r="J43" s="5576"/>
      <c r="K43" s="5576"/>
      <c r="L43" s="5513"/>
      <c r="M43" s="5513"/>
      <c r="N43" s="5513"/>
      <c r="O43" s="5513"/>
      <c r="P43" s="735"/>
      <c r="Q43" s="660"/>
      <c r="R43" s="660"/>
      <c r="S43" s="660"/>
      <c r="T43" s="660"/>
    </row>
    <row r="44" spans="1:20" ht="13.5" customHeight="1" x14ac:dyDescent="0.2">
      <c r="A44" s="660"/>
      <c r="B44" s="660"/>
      <c r="C44" s="660"/>
      <c r="D44" s="660"/>
      <c r="E44" s="660"/>
      <c r="F44" s="660"/>
      <c r="G44" s="660"/>
      <c r="H44" s="660"/>
      <c r="I44" s="660"/>
      <c r="J44" s="660"/>
      <c r="K44" s="660"/>
      <c r="L44" s="660"/>
      <c r="M44" s="660"/>
      <c r="N44" s="660"/>
      <c r="O44" s="660"/>
      <c r="P44" s="660"/>
      <c r="Q44" s="660"/>
      <c r="R44" s="660"/>
      <c r="S44" s="660"/>
      <c r="T44" s="660"/>
    </row>
    <row r="45" spans="1:20" ht="16.5" customHeight="1" x14ac:dyDescent="0.2">
      <c r="A45" s="5752" t="s">
        <v>982</v>
      </c>
      <c r="B45" s="5753"/>
      <c r="C45" s="5753"/>
      <c r="D45" s="5753"/>
      <c r="E45" s="5753"/>
      <c r="F45" s="5753"/>
      <c r="G45" s="5753"/>
      <c r="H45" s="5753"/>
      <c r="I45" s="5753"/>
      <c r="J45" s="5753"/>
      <c r="K45" s="5753"/>
      <c r="L45" s="5753"/>
      <c r="M45" s="5753"/>
      <c r="N45" s="5753"/>
      <c r="O45" s="5754"/>
      <c r="P45" s="731"/>
      <c r="Q45" s="660"/>
      <c r="R45" s="660"/>
      <c r="S45" s="660"/>
      <c r="T45" s="660"/>
    </row>
    <row r="46" spans="1:20" ht="18.75" customHeight="1" x14ac:dyDescent="0.2">
      <c r="A46" s="5749" t="s">
        <v>1310</v>
      </c>
      <c r="B46" s="5750"/>
      <c r="C46" s="5750"/>
      <c r="D46" s="5750"/>
      <c r="E46" s="5750"/>
      <c r="F46" s="5750"/>
      <c r="G46" s="5750"/>
      <c r="H46" s="5750"/>
      <c r="I46" s="5750"/>
      <c r="J46" s="5750"/>
      <c r="K46" s="5750"/>
      <c r="L46" s="5750"/>
      <c r="M46" s="5750"/>
      <c r="N46" s="5750"/>
      <c r="O46" s="5751"/>
      <c r="P46" s="3298"/>
      <c r="Q46" s="3298"/>
      <c r="R46" s="3298"/>
      <c r="S46" s="660"/>
      <c r="T46" s="660"/>
    </row>
    <row r="47" spans="1:20" ht="12" customHeight="1" x14ac:dyDescent="0.2">
      <c r="A47" s="3568" t="s">
        <v>980</v>
      </c>
      <c r="B47" s="5696" t="s">
        <v>986</v>
      </c>
      <c r="C47" s="5735"/>
      <c r="D47" s="5735"/>
      <c r="E47" s="5735"/>
      <c r="F47" s="5735"/>
      <c r="G47" s="5735"/>
      <c r="H47" s="5735"/>
      <c r="I47" s="5735"/>
      <c r="J47" s="5735"/>
      <c r="K47" s="5735"/>
      <c r="L47" s="5735"/>
      <c r="M47" s="5735"/>
      <c r="N47" s="5735"/>
      <c r="O47" s="5735"/>
      <c r="P47" s="3315"/>
      <c r="Q47" s="3315"/>
      <c r="R47" s="3315"/>
    </row>
    <row r="48" spans="1:20" ht="12" customHeight="1" x14ac:dyDescent="0.2">
      <c r="A48" s="3568" t="s">
        <v>980</v>
      </c>
      <c r="B48" s="5696" t="s">
        <v>986</v>
      </c>
      <c r="C48" s="5735"/>
      <c r="D48" s="5735"/>
      <c r="E48" s="5735"/>
      <c r="F48" s="5735"/>
      <c r="G48" s="5735"/>
      <c r="H48" s="5735"/>
      <c r="I48" s="5735"/>
      <c r="J48" s="5735"/>
      <c r="K48" s="5735"/>
      <c r="L48" s="5735"/>
      <c r="M48" s="5735"/>
      <c r="N48" s="5735"/>
      <c r="O48" s="5735"/>
      <c r="P48" s="3315"/>
      <c r="Q48" s="3315"/>
      <c r="R48" s="3315"/>
    </row>
  </sheetData>
  <sheetProtection password="A754" sheet="1" objects="1" scenarios="1"/>
  <mergeCells count="25">
    <mergeCell ref="A36:R36"/>
    <mergeCell ref="B48:O48"/>
    <mergeCell ref="B47:O47"/>
    <mergeCell ref="A46:O46"/>
    <mergeCell ref="A45:O45"/>
    <mergeCell ref="A40:O40"/>
    <mergeCell ref="A43:O43"/>
    <mergeCell ref="A5:B5"/>
    <mergeCell ref="F5:K5"/>
    <mergeCell ref="A6:A9"/>
    <mergeCell ref="B6:B9"/>
    <mergeCell ref="C6:C9"/>
    <mergeCell ref="F6:H7"/>
    <mergeCell ref="C5:E5"/>
    <mergeCell ref="D6:D9"/>
    <mergeCell ref="E6:E9"/>
    <mergeCell ref="J6:K7"/>
    <mergeCell ref="L5:Q5"/>
    <mergeCell ref="R5:R8"/>
    <mergeCell ref="F9:K9"/>
    <mergeCell ref="L9:Q9"/>
    <mergeCell ref="I6:I8"/>
    <mergeCell ref="P6:Q7"/>
    <mergeCell ref="L6:N7"/>
    <mergeCell ref="O6:O8"/>
  </mergeCells>
  <printOptions horizontalCentered="1" verticalCentered="1"/>
  <pageMargins left="0.39370078740157483" right="0.39370078740157483" top="0.39370078740157483" bottom="0.39370078740157483" header="0.19685039370078741" footer="0.19685039370078741"/>
  <pageSetup paperSize="9" scale="26"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9C803-90DA-46BB-BBDE-75B933ACB037}">
  <sheetPr codeName="Ark49">
    <tabColor theme="0" tint="-0.249977111117893"/>
    <pageSetUpPr fitToPage="1"/>
  </sheetPr>
  <dimension ref="A1:AH34"/>
  <sheetViews>
    <sheetView showGridLines="0" workbookViewId="0"/>
  </sheetViews>
  <sheetFormatPr defaultColWidth="8" defaultRowHeight="12" customHeight="1" x14ac:dyDescent="0.2"/>
  <cols>
    <col min="1" max="1" width="27" style="659" customWidth="1"/>
    <col min="2" max="2" width="13.85546875" style="659" customWidth="1"/>
    <col min="3" max="5" width="11" style="659" customWidth="1"/>
    <col min="6" max="9" width="8" style="659" customWidth="1"/>
    <col min="10" max="10" width="8.5703125" style="659" customWidth="1"/>
    <col min="11" max="11" width="9.28515625" style="659" customWidth="1"/>
    <col min="12" max="17" width="10.5703125" style="659" customWidth="1"/>
    <col min="18" max="18" width="12.42578125" style="659" customWidth="1"/>
    <col min="19" max="19" width="1.28515625" style="659" customWidth="1"/>
    <col min="20" max="24" width="13.7109375" style="659" customWidth="1"/>
    <col min="25" max="16384" width="8" style="659"/>
  </cols>
  <sheetData>
    <row r="1" spans="1:34" ht="15.75" x14ac:dyDescent="0.25">
      <c r="A1" s="671" t="s">
        <v>1447</v>
      </c>
      <c r="B1" s="660"/>
      <c r="C1" s="660"/>
      <c r="D1" s="660"/>
      <c r="E1" s="660"/>
      <c r="F1" s="660"/>
      <c r="G1" s="660"/>
      <c r="H1" s="660"/>
      <c r="I1" s="660"/>
      <c r="J1" s="660"/>
      <c r="K1" s="660"/>
      <c r="L1" s="660"/>
      <c r="M1" s="660"/>
      <c r="N1" s="660"/>
      <c r="O1" s="660"/>
      <c r="P1" s="660"/>
      <c r="Q1" s="660"/>
      <c r="R1" s="668" t="s">
        <v>1791</v>
      </c>
      <c r="S1" s="660"/>
      <c r="T1" s="660"/>
      <c r="U1" s="660"/>
      <c r="V1" s="660"/>
      <c r="W1" s="660"/>
      <c r="X1" s="660"/>
      <c r="Y1" s="660"/>
      <c r="Z1" s="660"/>
      <c r="AA1" s="660"/>
      <c r="AB1" s="660"/>
      <c r="AC1" s="660"/>
      <c r="AD1" s="660"/>
      <c r="AE1" s="660"/>
      <c r="AF1" s="660"/>
      <c r="AG1" s="660"/>
      <c r="AH1" s="660"/>
    </row>
    <row r="2" spans="1:34" ht="15.75" x14ac:dyDescent="0.25">
      <c r="A2" s="671" t="s">
        <v>1446</v>
      </c>
      <c r="B2" s="660"/>
      <c r="C2" s="660"/>
      <c r="D2" s="660"/>
      <c r="E2" s="660"/>
      <c r="F2" s="660"/>
      <c r="G2" s="660"/>
      <c r="H2" s="660"/>
      <c r="I2" s="660"/>
      <c r="J2" s="660"/>
      <c r="K2" s="660"/>
      <c r="L2" s="660"/>
      <c r="M2" s="660"/>
      <c r="N2" s="660"/>
      <c r="O2" s="660"/>
      <c r="P2" s="660"/>
      <c r="Q2" s="660"/>
      <c r="R2" s="668" t="s">
        <v>1790</v>
      </c>
      <c r="S2" s="660"/>
      <c r="T2" s="660"/>
      <c r="U2" s="660"/>
      <c r="V2" s="660"/>
      <c r="W2" s="660"/>
      <c r="X2" s="660"/>
      <c r="Y2" s="660"/>
      <c r="Z2" s="660"/>
      <c r="AA2" s="660"/>
      <c r="AB2" s="660"/>
      <c r="AC2" s="660"/>
      <c r="AD2" s="660"/>
      <c r="AE2" s="660"/>
      <c r="AF2" s="660"/>
      <c r="AG2" s="660"/>
      <c r="AH2" s="660"/>
    </row>
    <row r="3" spans="1:34" ht="15.75" x14ac:dyDescent="0.25">
      <c r="A3" s="671" t="s">
        <v>1197</v>
      </c>
      <c r="B3" s="660"/>
      <c r="C3" s="660"/>
      <c r="D3" s="660"/>
      <c r="E3" s="660"/>
      <c r="F3" s="660"/>
      <c r="G3" s="660"/>
      <c r="H3" s="660"/>
      <c r="I3" s="660"/>
      <c r="J3" s="660"/>
      <c r="K3" s="660"/>
      <c r="L3" s="660"/>
      <c r="M3" s="660"/>
      <c r="N3" s="660"/>
      <c r="O3" s="660"/>
      <c r="P3" s="660"/>
      <c r="Q3" s="660"/>
      <c r="R3" s="668" t="s">
        <v>1789</v>
      </c>
      <c r="S3" s="660"/>
      <c r="T3" s="660"/>
      <c r="U3" s="660"/>
      <c r="V3" s="660"/>
      <c r="W3" s="660"/>
      <c r="X3" s="660"/>
      <c r="Y3" s="660"/>
      <c r="Z3" s="660"/>
      <c r="AA3" s="660"/>
      <c r="AB3" s="660"/>
      <c r="AC3" s="660"/>
      <c r="AD3" s="660"/>
      <c r="AE3" s="660"/>
      <c r="AF3" s="660"/>
      <c r="AG3" s="660"/>
      <c r="AH3" s="660"/>
    </row>
    <row r="4" spans="1:34" ht="12" customHeight="1" x14ac:dyDescent="0.2">
      <c r="A4" s="660"/>
      <c r="B4" s="660"/>
      <c r="C4" s="660"/>
      <c r="D4" s="660"/>
      <c r="E4" s="660"/>
      <c r="F4" s="660"/>
      <c r="G4" s="660"/>
      <c r="H4" s="660"/>
      <c r="I4" s="660"/>
      <c r="J4" s="660"/>
      <c r="K4" s="660"/>
      <c r="L4" s="660"/>
      <c r="M4" s="660"/>
      <c r="N4" s="660"/>
      <c r="O4" s="660"/>
      <c r="P4" s="660"/>
      <c r="Q4" s="660"/>
      <c r="R4" s="3315"/>
      <c r="S4" s="660"/>
      <c r="T4" s="660"/>
      <c r="U4" s="660"/>
      <c r="V4" s="660"/>
      <c r="W4" s="660"/>
      <c r="X4" s="660"/>
      <c r="Y4" s="660"/>
      <c r="Z4" s="660"/>
      <c r="AA4" s="660"/>
      <c r="AB4" s="660"/>
      <c r="AC4" s="660"/>
      <c r="AD4" s="660"/>
      <c r="AE4" s="660"/>
      <c r="AF4" s="660"/>
      <c r="AG4" s="660"/>
      <c r="AH4" s="660"/>
    </row>
    <row r="5" spans="1:34" ht="48" customHeight="1" x14ac:dyDescent="0.2">
      <c r="A5" s="5740" t="s">
        <v>1025</v>
      </c>
      <c r="B5" s="5741"/>
      <c r="C5" s="5736" t="s">
        <v>1083</v>
      </c>
      <c r="D5" s="5737"/>
      <c r="E5" s="5738"/>
      <c r="F5" s="5736" t="s">
        <v>1351</v>
      </c>
      <c r="G5" s="5737"/>
      <c r="H5" s="5737"/>
      <c r="I5" s="5737"/>
      <c r="J5" s="5737"/>
      <c r="K5" s="5738"/>
      <c r="L5" s="5736" t="s">
        <v>1350</v>
      </c>
      <c r="M5" s="5737"/>
      <c r="N5" s="5737"/>
      <c r="O5" s="5737"/>
      <c r="P5" s="5737"/>
      <c r="Q5" s="5738"/>
      <c r="R5" s="5739" t="s">
        <v>1445</v>
      </c>
      <c r="S5" s="660"/>
      <c r="T5" s="660"/>
      <c r="U5" s="660"/>
      <c r="V5" s="660"/>
      <c r="W5" s="660"/>
      <c r="X5" s="660"/>
      <c r="Y5" s="660"/>
      <c r="Z5" s="660"/>
      <c r="AA5" s="660"/>
      <c r="AB5" s="660"/>
      <c r="AC5" s="660"/>
      <c r="AD5" s="660"/>
      <c r="AE5" s="660"/>
      <c r="AF5" s="660"/>
      <c r="AG5" s="660"/>
      <c r="AH5" s="660"/>
    </row>
    <row r="6" spans="1:34" ht="47.25" customHeight="1" x14ac:dyDescent="0.2">
      <c r="A6" s="5728" t="s">
        <v>1348</v>
      </c>
      <c r="B6" s="5739" t="s">
        <v>1347</v>
      </c>
      <c r="C6" s="5739" t="s">
        <v>1346</v>
      </c>
      <c r="D6" s="5739" t="s">
        <v>1427</v>
      </c>
      <c r="E6" s="5739" t="s">
        <v>1426</v>
      </c>
      <c r="F6" s="5742" t="s">
        <v>1343</v>
      </c>
      <c r="G6" s="5744"/>
      <c r="H6" s="5743"/>
      <c r="I6" s="5739" t="s">
        <v>1375</v>
      </c>
      <c r="J6" s="5742" t="s">
        <v>1340</v>
      </c>
      <c r="K6" s="5743"/>
      <c r="L6" s="5742" t="s">
        <v>1397</v>
      </c>
      <c r="M6" s="5744"/>
      <c r="N6" s="5743"/>
      <c r="O6" s="5739" t="s">
        <v>1425</v>
      </c>
      <c r="P6" s="5742" t="s">
        <v>1424</v>
      </c>
      <c r="Q6" s="5743"/>
      <c r="R6" s="5532"/>
      <c r="S6" s="660"/>
      <c r="T6" s="660"/>
      <c r="U6" s="660"/>
      <c r="V6" s="660"/>
      <c r="W6" s="660"/>
      <c r="X6" s="660"/>
      <c r="Y6" s="660"/>
      <c r="Z6" s="660"/>
      <c r="AA6" s="660"/>
      <c r="AB6" s="660"/>
      <c r="AC6" s="660"/>
      <c r="AD6" s="660"/>
      <c r="AE6" s="660"/>
      <c r="AF6" s="660"/>
      <c r="AG6" s="660"/>
      <c r="AH6" s="660"/>
    </row>
    <row r="7" spans="1:34" ht="12.75" customHeight="1" x14ac:dyDescent="0.2">
      <c r="A7" s="5520"/>
      <c r="B7" s="5532"/>
      <c r="C7" s="5532"/>
      <c r="D7" s="5532"/>
      <c r="E7" s="5532"/>
      <c r="F7" s="5539"/>
      <c r="G7" s="5545"/>
      <c r="H7" s="5540"/>
      <c r="I7" s="5532"/>
      <c r="J7" s="5539"/>
      <c r="K7" s="5540"/>
      <c r="L7" s="5539"/>
      <c r="M7" s="5545"/>
      <c r="N7" s="5540"/>
      <c r="O7" s="5532"/>
      <c r="P7" s="5539"/>
      <c r="Q7" s="5540"/>
      <c r="R7" s="5532"/>
      <c r="S7" s="660"/>
      <c r="T7" s="660"/>
      <c r="U7" s="660"/>
      <c r="V7" s="660"/>
      <c r="W7" s="660"/>
      <c r="X7" s="660"/>
      <c r="Y7" s="660"/>
      <c r="Z7" s="660"/>
      <c r="AA7" s="660"/>
      <c r="AB7" s="660"/>
      <c r="AC7" s="660"/>
      <c r="AD7" s="660"/>
      <c r="AE7" s="660"/>
      <c r="AF7" s="660"/>
      <c r="AG7" s="660"/>
      <c r="AH7" s="660"/>
    </row>
    <row r="8" spans="1:34" ht="53.25" customHeight="1" x14ac:dyDescent="0.2">
      <c r="A8" s="5520"/>
      <c r="B8" s="5532"/>
      <c r="C8" s="5532"/>
      <c r="D8" s="5532"/>
      <c r="E8" s="5532"/>
      <c r="F8" s="3566" t="s">
        <v>1334</v>
      </c>
      <c r="G8" s="3566" t="s">
        <v>1333</v>
      </c>
      <c r="H8" s="3566" t="s">
        <v>1332</v>
      </c>
      <c r="I8" s="5533"/>
      <c r="J8" s="3566" t="s">
        <v>1331</v>
      </c>
      <c r="K8" s="3310" t="s">
        <v>1330</v>
      </c>
      <c r="L8" s="3566" t="s">
        <v>1334</v>
      </c>
      <c r="M8" s="3566" t="s">
        <v>1333</v>
      </c>
      <c r="N8" s="3566" t="s">
        <v>1332</v>
      </c>
      <c r="O8" s="5533"/>
      <c r="P8" s="3311" t="s">
        <v>1331</v>
      </c>
      <c r="Q8" s="3310" t="s">
        <v>1330</v>
      </c>
      <c r="R8" s="5533"/>
      <c r="S8" s="660"/>
      <c r="T8" s="660"/>
      <c r="U8" s="660"/>
      <c r="V8" s="660"/>
      <c r="W8" s="660"/>
      <c r="X8" s="660"/>
      <c r="Y8" s="660"/>
      <c r="Z8" s="660"/>
      <c r="AA8" s="660"/>
      <c r="AB8" s="660"/>
      <c r="AC8" s="660"/>
      <c r="AD8" s="660"/>
      <c r="AE8" s="660"/>
      <c r="AF8" s="660"/>
      <c r="AG8" s="660"/>
      <c r="AH8" s="660"/>
    </row>
    <row r="9" spans="1:34" ht="12.75" thickBot="1" x14ac:dyDescent="0.25">
      <c r="A9" s="5556"/>
      <c r="B9" s="5541"/>
      <c r="C9" s="5541"/>
      <c r="D9" s="5541"/>
      <c r="E9" s="5541"/>
      <c r="F9" s="5546" t="s">
        <v>1329</v>
      </c>
      <c r="G9" s="5547"/>
      <c r="H9" s="5547"/>
      <c r="I9" s="5547"/>
      <c r="J9" s="5547"/>
      <c r="K9" s="5548"/>
      <c r="L9" s="5546" t="s">
        <v>1328</v>
      </c>
      <c r="M9" s="5547"/>
      <c r="N9" s="5547"/>
      <c r="O9" s="5547"/>
      <c r="P9" s="5547"/>
      <c r="Q9" s="5548"/>
      <c r="R9" s="734" t="s">
        <v>1011</v>
      </c>
      <c r="S9" s="660"/>
      <c r="T9" s="660"/>
      <c r="U9" s="660"/>
      <c r="V9" s="660"/>
      <c r="W9" s="660"/>
      <c r="X9" s="660"/>
      <c r="Y9" s="660"/>
      <c r="Z9" s="660"/>
      <c r="AA9" s="660"/>
      <c r="AB9" s="660"/>
      <c r="AC9" s="660"/>
      <c r="AD9" s="660"/>
      <c r="AE9" s="660"/>
      <c r="AF9" s="660"/>
      <c r="AG9" s="660"/>
      <c r="AH9" s="660"/>
    </row>
    <row r="10" spans="1:34" ht="12.75" thickTop="1" x14ac:dyDescent="0.2">
      <c r="A10" s="733" t="s">
        <v>1444</v>
      </c>
      <c r="B10" s="3497" t="s">
        <v>986</v>
      </c>
      <c r="C10" s="3507">
        <v>536.53268749999995</v>
      </c>
      <c r="D10" s="3507">
        <v>536.53268749999995</v>
      </c>
      <c r="E10" s="3507" t="s">
        <v>259</v>
      </c>
      <c r="F10" s="3507">
        <v>7.4863374136899998E-3</v>
      </c>
      <c r="G10" s="3507">
        <v>-2.156394366429E-2</v>
      </c>
      <c r="H10" s="3507">
        <v>-1.40776062506E-2</v>
      </c>
      <c r="I10" s="3507">
        <v>-7.5519160794800004E-3</v>
      </c>
      <c r="J10" s="3507">
        <v>-8.3120900670320005E-2</v>
      </c>
      <c r="K10" s="3507" t="s">
        <v>259</v>
      </c>
      <c r="L10" s="3507">
        <v>4.0166647320999997</v>
      </c>
      <c r="M10" s="3507">
        <v>-11.569760647300001</v>
      </c>
      <c r="N10" s="3507">
        <v>-7.5530959152000001</v>
      </c>
      <c r="O10" s="3507">
        <v>-4.0518498299000001</v>
      </c>
      <c r="P10" s="3507">
        <v>-44.597080224067732</v>
      </c>
      <c r="Q10" s="3507" t="s">
        <v>259</v>
      </c>
      <c r="R10" s="3507">
        <v>206.07409522028186</v>
      </c>
      <c r="S10" s="660"/>
      <c r="T10" s="660"/>
      <c r="U10" s="660"/>
      <c r="V10" s="660"/>
      <c r="W10" s="660"/>
      <c r="X10" s="660"/>
      <c r="Y10" s="660"/>
      <c r="Z10" s="660"/>
      <c r="AA10" s="660"/>
      <c r="AB10" s="660"/>
      <c r="AC10" s="660"/>
      <c r="AD10" s="660"/>
      <c r="AE10" s="660"/>
      <c r="AF10" s="660"/>
      <c r="AG10" s="660"/>
      <c r="AH10" s="660"/>
    </row>
    <row r="11" spans="1:34" x14ac:dyDescent="0.2">
      <c r="A11" s="3574" t="s">
        <v>1443</v>
      </c>
      <c r="B11" s="3497"/>
      <c r="C11" s="3507">
        <v>486.61368750000003</v>
      </c>
      <c r="D11" s="3507">
        <v>486.61368750000003</v>
      </c>
      <c r="E11" s="3507" t="s">
        <v>259</v>
      </c>
      <c r="F11" s="3507" t="s">
        <v>259</v>
      </c>
      <c r="G11" s="3507" t="s">
        <v>259</v>
      </c>
      <c r="H11" s="3507" t="s">
        <v>259</v>
      </c>
      <c r="I11" s="3507" t="s">
        <v>259</v>
      </c>
      <c r="J11" s="3507" t="s">
        <v>259</v>
      </c>
      <c r="K11" s="3507" t="s">
        <v>259</v>
      </c>
      <c r="L11" s="3507" t="s">
        <v>259</v>
      </c>
      <c r="M11" s="3507" t="s">
        <v>259</v>
      </c>
      <c r="N11" s="3507" t="s">
        <v>259</v>
      </c>
      <c r="O11" s="3507" t="s">
        <v>259</v>
      </c>
      <c r="P11" s="3507" t="s">
        <v>259</v>
      </c>
      <c r="Q11" s="3507" t="s">
        <v>259</v>
      </c>
      <c r="R11" s="3507" t="s">
        <v>259</v>
      </c>
      <c r="S11" s="660"/>
      <c r="T11" s="660"/>
      <c r="U11" s="660"/>
      <c r="V11" s="660"/>
      <c r="W11" s="660"/>
      <c r="X11" s="660"/>
      <c r="Y11" s="660"/>
      <c r="Z11" s="660"/>
      <c r="AA11" s="660"/>
      <c r="AB11" s="660"/>
      <c r="AC11" s="660"/>
      <c r="AD11" s="660"/>
      <c r="AE11" s="660"/>
      <c r="AF11" s="660"/>
      <c r="AG11" s="660"/>
      <c r="AH11" s="660"/>
    </row>
    <row r="12" spans="1:34" x14ac:dyDescent="0.2">
      <c r="A12" s="3548" t="s">
        <v>1319</v>
      </c>
      <c r="B12" s="3500" t="s">
        <v>1319</v>
      </c>
      <c r="C12" s="3507">
        <v>486.61368750000003</v>
      </c>
      <c r="D12" s="3500">
        <v>486.61368750000003</v>
      </c>
      <c r="E12" s="3500" t="s">
        <v>259</v>
      </c>
      <c r="F12" s="3507" t="s">
        <v>259</v>
      </c>
      <c r="G12" s="3507" t="s">
        <v>259</v>
      </c>
      <c r="H12" s="3507" t="s">
        <v>259</v>
      </c>
      <c r="I12" s="3507" t="s">
        <v>259</v>
      </c>
      <c r="J12" s="3507" t="s">
        <v>259</v>
      </c>
      <c r="K12" s="3507" t="s">
        <v>259</v>
      </c>
      <c r="L12" s="3500" t="s">
        <v>259</v>
      </c>
      <c r="M12" s="3500" t="s">
        <v>259</v>
      </c>
      <c r="N12" s="3507" t="s">
        <v>259</v>
      </c>
      <c r="O12" s="3500" t="s">
        <v>259</v>
      </c>
      <c r="P12" s="3500" t="s">
        <v>259</v>
      </c>
      <c r="Q12" s="3500" t="s">
        <v>259</v>
      </c>
      <c r="R12" s="3507" t="s">
        <v>259</v>
      </c>
      <c r="S12" s="660"/>
      <c r="T12" s="660"/>
      <c r="U12" s="660"/>
      <c r="V12" s="660"/>
      <c r="W12" s="660"/>
      <c r="X12" s="660"/>
      <c r="Y12" s="660"/>
      <c r="Z12" s="660"/>
      <c r="AA12" s="660"/>
      <c r="AB12" s="660"/>
      <c r="AC12" s="660"/>
      <c r="AD12" s="660"/>
      <c r="AE12" s="660"/>
      <c r="AF12" s="660"/>
      <c r="AG12" s="660"/>
      <c r="AH12" s="660"/>
    </row>
    <row r="13" spans="1:34" x14ac:dyDescent="0.2">
      <c r="A13" s="748" t="s">
        <v>1442</v>
      </c>
      <c r="B13" s="3497" t="s">
        <v>986</v>
      </c>
      <c r="C13" s="3507">
        <v>49.918999999999997</v>
      </c>
      <c r="D13" s="3507">
        <v>49.918999999999997</v>
      </c>
      <c r="E13" s="3507" t="s">
        <v>259</v>
      </c>
      <c r="F13" s="3507">
        <v>8.0463645748110005E-2</v>
      </c>
      <c r="G13" s="3507">
        <v>-0.23177068144995</v>
      </c>
      <c r="H13" s="3507">
        <v>-0.15130703570184001</v>
      </c>
      <c r="I13" s="3507">
        <v>-8.1168489551070006E-2</v>
      </c>
      <c r="J13" s="3507">
        <v>-0.89338889449043002</v>
      </c>
      <c r="K13" s="3507" t="s">
        <v>259</v>
      </c>
      <c r="L13" s="3507">
        <v>4.0166647320999997</v>
      </c>
      <c r="M13" s="3507">
        <v>-11.569760647300001</v>
      </c>
      <c r="N13" s="3507">
        <v>-7.5530959152000001</v>
      </c>
      <c r="O13" s="3507">
        <v>-4.0518498299000001</v>
      </c>
      <c r="P13" s="3507">
        <v>-44.597080224067732</v>
      </c>
      <c r="Q13" s="3507" t="s">
        <v>259</v>
      </c>
      <c r="R13" s="3507">
        <v>206.07409522028186</v>
      </c>
      <c r="S13" s="660"/>
      <c r="T13" s="660"/>
      <c r="U13" s="660"/>
      <c r="V13" s="660"/>
      <c r="W13" s="660"/>
      <c r="X13" s="660"/>
      <c r="Y13" s="660"/>
      <c r="Z13" s="660"/>
      <c r="AA13" s="660"/>
      <c r="AB13" s="660"/>
      <c r="AC13" s="660"/>
      <c r="AD13" s="660"/>
      <c r="AE13" s="660"/>
      <c r="AF13" s="660"/>
      <c r="AG13" s="660"/>
      <c r="AH13" s="660"/>
    </row>
    <row r="14" spans="1:34" ht="24" x14ac:dyDescent="0.2">
      <c r="A14" s="3574" t="s">
        <v>1441</v>
      </c>
      <c r="B14" s="3497"/>
      <c r="C14" s="3507">
        <v>1.8338125000000001</v>
      </c>
      <c r="D14" s="3507">
        <v>1.8338125000000001</v>
      </c>
      <c r="E14" s="3507" t="s">
        <v>259</v>
      </c>
      <c r="F14" s="3507">
        <v>0.27157901911999999</v>
      </c>
      <c r="G14" s="3507">
        <v>-1.2385329700282901</v>
      </c>
      <c r="H14" s="3507">
        <v>-0.96695395090828995</v>
      </c>
      <c r="I14" s="3507">
        <v>-2.2095224184042799</v>
      </c>
      <c r="J14" s="3507">
        <v>-1.48307883259603</v>
      </c>
      <c r="K14" s="3507" t="s">
        <v>259</v>
      </c>
      <c r="L14" s="3507">
        <v>0.498025</v>
      </c>
      <c r="M14" s="3507">
        <v>-2.2712372421000002</v>
      </c>
      <c r="N14" s="3507">
        <v>-1.7732122421000001</v>
      </c>
      <c r="O14" s="3507">
        <v>-4.0518498299000001</v>
      </c>
      <c r="P14" s="3507">
        <v>-2.7196885016999999</v>
      </c>
      <c r="Q14" s="3507" t="s">
        <v>259</v>
      </c>
      <c r="R14" s="3507">
        <v>31.330752103566699</v>
      </c>
      <c r="S14" s="660"/>
      <c r="T14" s="660"/>
      <c r="U14" s="660"/>
      <c r="V14" s="660"/>
      <c r="W14" s="660"/>
      <c r="X14" s="660"/>
      <c r="Y14" s="660"/>
      <c r="Z14" s="660"/>
      <c r="AA14" s="660"/>
      <c r="AB14" s="660"/>
      <c r="AC14" s="660"/>
      <c r="AD14" s="660"/>
      <c r="AE14" s="660"/>
      <c r="AF14" s="660"/>
      <c r="AG14" s="660"/>
      <c r="AH14" s="660"/>
    </row>
    <row r="15" spans="1:34" x14ac:dyDescent="0.2">
      <c r="A15" s="3548" t="s">
        <v>1319</v>
      </c>
      <c r="B15" s="3500" t="s">
        <v>1319</v>
      </c>
      <c r="C15" s="3507">
        <v>1.8338125000000001</v>
      </c>
      <c r="D15" s="3500">
        <v>1.8338125000000001</v>
      </c>
      <c r="E15" s="3500" t="s">
        <v>259</v>
      </c>
      <c r="F15" s="3507">
        <v>0.27157901911999999</v>
      </c>
      <c r="G15" s="3507">
        <v>-1.2385329700282901</v>
      </c>
      <c r="H15" s="3507">
        <v>-0.96695395090828995</v>
      </c>
      <c r="I15" s="3507">
        <v>-2.2095224184042799</v>
      </c>
      <c r="J15" s="3507">
        <v>-1.48307883259603</v>
      </c>
      <c r="K15" s="3507" t="s">
        <v>259</v>
      </c>
      <c r="L15" s="3500">
        <v>0.498025</v>
      </c>
      <c r="M15" s="3500">
        <v>-2.2712372421000002</v>
      </c>
      <c r="N15" s="3507">
        <v>-1.7732122421000001</v>
      </c>
      <c r="O15" s="3500">
        <v>-4.0518498299000001</v>
      </c>
      <c r="P15" s="3500">
        <v>-2.7196885016999999</v>
      </c>
      <c r="Q15" s="3500" t="s">
        <v>259</v>
      </c>
      <c r="R15" s="3507">
        <v>31.330752103566699</v>
      </c>
      <c r="S15" s="660"/>
      <c r="T15" s="660"/>
      <c r="U15" s="660"/>
      <c r="V15" s="660"/>
      <c r="W15" s="660"/>
      <c r="X15" s="660"/>
      <c r="Y15" s="660"/>
      <c r="Z15" s="660"/>
      <c r="AA15" s="660"/>
      <c r="AB15" s="660"/>
      <c r="AC15" s="660"/>
      <c r="AD15" s="660"/>
      <c r="AE15" s="660"/>
      <c r="AF15" s="660"/>
      <c r="AG15" s="660"/>
      <c r="AH15" s="660"/>
    </row>
    <row r="16" spans="1:34" ht="24" x14ac:dyDescent="0.2">
      <c r="A16" s="3574" t="s">
        <v>1440</v>
      </c>
      <c r="B16" s="3497"/>
      <c r="C16" s="3507">
        <v>43.371749999999999</v>
      </c>
      <c r="D16" s="3507">
        <v>43.371749999999999</v>
      </c>
      <c r="E16" s="3507" t="s">
        <v>259</v>
      </c>
      <c r="F16" s="3507">
        <v>7.5303676519849996E-2</v>
      </c>
      <c r="G16" s="3507">
        <v>-0.20323790036601999</v>
      </c>
      <c r="H16" s="3507">
        <v>-0.12793422384617001</v>
      </c>
      <c r="I16" s="3507" t="s">
        <v>259</v>
      </c>
      <c r="J16" s="3507">
        <v>-0.80520512773868003</v>
      </c>
      <c r="K16" s="3507" t="s">
        <v>259</v>
      </c>
      <c r="L16" s="3507">
        <v>3.2660522320999998</v>
      </c>
      <c r="M16" s="3507">
        <v>-8.8147834052</v>
      </c>
      <c r="N16" s="3507">
        <v>-5.5487311731000002</v>
      </c>
      <c r="O16" s="3507" t="s">
        <v>259</v>
      </c>
      <c r="P16" s="3507">
        <v>-34.923155499000003</v>
      </c>
      <c r="Q16" s="3507" t="s">
        <v>259</v>
      </c>
      <c r="R16" s="3507">
        <v>148.39691779770013</v>
      </c>
      <c r="S16" s="660"/>
      <c r="T16" s="660"/>
      <c r="U16" s="660"/>
      <c r="V16" s="660"/>
      <c r="W16" s="660"/>
      <c r="X16" s="660"/>
      <c r="Y16" s="660"/>
      <c r="Z16" s="660"/>
      <c r="AA16" s="660"/>
      <c r="AB16" s="660"/>
      <c r="AC16" s="660"/>
      <c r="AD16" s="660"/>
      <c r="AE16" s="660"/>
      <c r="AF16" s="660"/>
      <c r="AG16" s="660"/>
      <c r="AH16" s="660"/>
    </row>
    <row r="17" spans="1:34" x14ac:dyDescent="0.2">
      <c r="A17" s="3548" t="s">
        <v>1319</v>
      </c>
      <c r="B17" s="3500" t="s">
        <v>1319</v>
      </c>
      <c r="C17" s="3507">
        <v>43.371749999999999</v>
      </c>
      <c r="D17" s="3500">
        <v>43.371749999999999</v>
      </c>
      <c r="E17" s="3500" t="s">
        <v>259</v>
      </c>
      <c r="F17" s="3507">
        <v>7.5303676519849996E-2</v>
      </c>
      <c r="G17" s="3507">
        <v>-0.20323790036601999</v>
      </c>
      <c r="H17" s="3507">
        <v>-0.12793422384617001</v>
      </c>
      <c r="I17" s="3507" t="s">
        <v>259</v>
      </c>
      <c r="J17" s="3507">
        <v>-0.80520512773868003</v>
      </c>
      <c r="K17" s="3507" t="s">
        <v>259</v>
      </c>
      <c r="L17" s="3500">
        <v>3.2660522320999998</v>
      </c>
      <c r="M17" s="3500">
        <v>-8.8147834052</v>
      </c>
      <c r="N17" s="3507">
        <v>-5.5487311731000002</v>
      </c>
      <c r="O17" s="3500" t="s">
        <v>259</v>
      </c>
      <c r="P17" s="3500">
        <v>-34.923155499000003</v>
      </c>
      <c r="Q17" s="3500" t="s">
        <v>259</v>
      </c>
      <c r="R17" s="3507">
        <v>148.39691779770013</v>
      </c>
      <c r="S17" s="660"/>
      <c r="T17" s="660"/>
      <c r="U17" s="660"/>
      <c r="V17" s="660"/>
      <c r="W17" s="660"/>
      <c r="X17" s="660"/>
      <c r="Y17" s="660"/>
      <c r="Z17" s="660"/>
      <c r="AA17" s="660"/>
      <c r="AB17" s="660"/>
      <c r="AC17" s="660"/>
      <c r="AD17" s="660"/>
      <c r="AE17" s="660"/>
      <c r="AF17" s="660"/>
      <c r="AG17" s="660"/>
      <c r="AH17" s="660"/>
    </row>
    <row r="18" spans="1:34" ht="24" x14ac:dyDescent="0.2">
      <c r="A18" s="3574" t="s">
        <v>1439</v>
      </c>
      <c r="B18" s="3497"/>
      <c r="C18" s="3507">
        <v>4.5979999999999999</v>
      </c>
      <c r="D18" s="3507">
        <v>4.5979999999999999</v>
      </c>
      <c r="E18" s="3507" t="s">
        <v>259</v>
      </c>
      <c r="F18" s="3507">
        <v>5.4246411483249997E-2</v>
      </c>
      <c r="G18" s="3507">
        <v>-0.10306818181818</v>
      </c>
      <c r="H18" s="3507">
        <v>-4.8821770334930001E-2</v>
      </c>
      <c r="I18" s="3507" t="s">
        <v>259</v>
      </c>
      <c r="J18" s="3507">
        <v>-1.51251282240104</v>
      </c>
      <c r="K18" s="3507" t="s">
        <v>259</v>
      </c>
      <c r="L18" s="3507">
        <v>0.24942500000000001</v>
      </c>
      <c r="M18" s="3507">
        <v>-0.47390749999999998</v>
      </c>
      <c r="N18" s="3507">
        <v>-0.2244825</v>
      </c>
      <c r="O18" s="3507" t="s">
        <v>259</v>
      </c>
      <c r="P18" s="3507">
        <v>-6.9545339573999998</v>
      </c>
      <c r="Q18" s="3507" t="s">
        <v>259</v>
      </c>
      <c r="R18" s="3507">
        <v>26.323060343800019</v>
      </c>
      <c r="S18" s="660"/>
      <c r="T18" s="660"/>
      <c r="U18" s="660"/>
      <c r="V18" s="660"/>
      <c r="W18" s="660"/>
      <c r="X18" s="660"/>
      <c r="Y18" s="660"/>
      <c r="Z18" s="660"/>
      <c r="AA18" s="660"/>
      <c r="AB18" s="660"/>
      <c r="AC18" s="660"/>
      <c r="AD18" s="660"/>
      <c r="AE18" s="660"/>
      <c r="AF18" s="660"/>
      <c r="AG18" s="660"/>
      <c r="AH18" s="660"/>
    </row>
    <row r="19" spans="1:34" x14ac:dyDescent="0.2">
      <c r="A19" s="3548" t="s">
        <v>1319</v>
      </c>
      <c r="B19" s="3500" t="s">
        <v>1319</v>
      </c>
      <c r="C19" s="3507">
        <v>4.5979999999999999</v>
      </c>
      <c r="D19" s="3500">
        <v>4.5979999999999999</v>
      </c>
      <c r="E19" s="3500" t="s">
        <v>259</v>
      </c>
      <c r="F19" s="3507">
        <v>5.4246411483249997E-2</v>
      </c>
      <c r="G19" s="3507">
        <v>-0.10306818181818</v>
      </c>
      <c r="H19" s="3507">
        <v>-4.8821770334930001E-2</v>
      </c>
      <c r="I19" s="3507" t="s">
        <v>259</v>
      </c>
      <c r="J19" s="3507">
        <v>-1.51251282240104</v>
      </c>
      <c r="K19" s="3507" t="s">
        <v>259</v>
      </c>
      <c r="L19" s="3500">
        <v>0.24942500000000001</v>
      </c>
      <c r="M19" s="3500">
        <v>-0.47390749999999998</v>
      </c>
      <c r="N19" s="3507">
        <v>-0.2244825</v>
      </c>
      <c r="O19" s="3500" t="s">
        <v>259</v>
      </c>
      <c r="P19" s="3500">
        <v>-6.9545339573999998</v>
      </c>
      <c r="Q19" s="3500" t="s">
        <v>259</v>
      </c>
      <c r="R19" s="3507">
        <v>26.323060343800019</v>
      </c>
      <c r="S19" s="660"/>
      <c r="T19" s="660"/>
      <c r="U19" s="660"/>
      <c r="V19" s="660"/>
      <c r="W19" s="660"/>
      <c r="X19" s="660"/>
      <c r="Y19" s="660"/>
      <c r="Z19" s="660"/>
      <c r="AA19" s="660"/>
      <c r="AB19" s="660"/>
      <c r="AC19" s="660"/>
      <c r="AD19" s="660"/>
      <c r="AE19" s="660"/>
      <c r="AF19" s="660"/>
      <c r="AG19" s="660"/>
      <c r="AH19" s="660"/>
    </row>
    <row r="20" spans="1:34" ht="24" x14ac:dyDescent="0.2">
      <c r="A20" s="3574" t="s">
        <v>1438</v>
      </c>
      <c r="B20" s="3497"/>
      <c r="C20" s="3507">
        <v>0.1154375</v>
      </c>
      <c r="D20" s="3507">
        <v>0.1154375</v>
      </c>
      <c r="E20" s="3507" t="s">
        <v>259</v>
      </c>
      <c r="F20" s="3507">
        <v>2.739577693557E-2</v>
      </c>
      <c r="G20" s="3507">
        <v>-8.5175961017870006E-2</v>
      </c>
      <c r="H20" s="3507">
        <v>-5.7780184082299998E-2</v>
      </c>
      <c r="I20" s="3507" t="s">
        <v>259</v>
      </c>
      <c r="J20" s="3507">
        <v>2.5791794890699998E-3</v>
      </c>
      <c r="K20" s="3507" t="s">
        <v>259</v>
      </c>
      <c r="L20" s="3507">
        <v>3.1624999999999999E-3</v>
      </c>
      <c r="M20" s="3507">
        <v>-9.8324999999999992E-3</v>
      </c>
      <c r="N20" s="3507">
        <v>-6.6699999999999997E-3</v>
      </c>
      <c r="O20" s="3507" t="s">
        <v>259</v>
      </c>
      <c r="P20" s="3507">
        <v>2.9773403227000001E-4</v>
      </c>
      <c r="Q20" s="3507" t="s">
        <v>259</v>
      </c>
      <c r="R20" s="3507">
        <v>2.3364975215009999E-2</v>
      </c>
      <c r="S20" s="660"/>
      <c r="T20" s="660"/>
      <c r="U20" s="660"/>
      <c r="V20" s="660"/>
      <c r="W20" s="660"/>
      <c r="X20" s="660"/>
      <c r="Y20" s="660"/>
      <c r="Z20" s="660"/>
      <c r="AA20" s="660"/>
      <c r="AB20" s="660"/>
      <c r="AC20" s="660"/>
      <c r="AD20" s="660"/>
      <c r="AE20" s="660"/>
      <c r="AF20" s="660"/>
      <c r="AG20" s="660"/>
      <c r="AH20" s="660"/>
    </row>
    <row r="21" spans="1:34" x14ac:dyDescent="0.2">
      <c r="A21" s="3548" t="s">
        <v>1319</v>
      </c>
      <c r="B21" s="3500" t="s">
        <v>1319</v>
      </c>
      <c r="C21" s="3507">
        <v>0.1154375</v>
      </c>
      <c r="D21" s="3500">
        <v>0.1154375</v>
      </c>
      <c r="E21" s="3500" t="s">
        <v>259</v>
      </c>
      <c r="F21" s="3507">
        <v>2.739577693557E-2</v>
      </c>
      <c r="G21" s="3507">
        <v>-8.5175961017870006E-2</v>
      </c>
      <c r="H21" s="3507">
        <v>-5.7780184082299998E-2</v>
      </c>
      <c r="I21" s="3507" t="s">
        <v>259</v>
      </c>
      <c r="J21" s="3507">
        <v>2.5791794890699998E-3</v>
      </c>
      <c r="K21" s="3507" t="s">
        <v>259</v>
      </c>
      <c r="L21" s="3500">
        <v>3.1624999999999999E-3</v>
      </c>
      <c r="M21" s="3500">
        <v>-9.8324999999999992E-3</v>
      </c>
      <c r="N21" s="3507">
        <v>-6.6699999999999997E-3</v>
      </c>
      <c r="O21" s="3500" t="s">
        <v>259</v>
      </c>
      <c r="P21" s="3500">
        <v>2.9773403227000001E-4</v>
      </c>
      <c r="Q21" s="3500" t="s">
        <v>259</v>
      </c>
      <c r="R21" s="3507">
        <v>2.3364975215009999E-2</v>
      </c>
      <c r="S21" s="660"/>
      <c r="T21" s="660"/>
      <c r="U21" s="660"/>
      <c r="V21" s="660"/>
      <c r="W21" s="660"/>
      <c r="X21" s="660"/>
      <c r="Y21" s="660"/>
      <c r="Z21" s="660"/>
      <c r="AA21" s="660"/>
      <c r="AB21" s="660"/>
      <c r="AC21" s="660"/>
      <c r="AD21" s="660"/>
      <c r="AE21" s="660"/>
      <c r="AF21" s="660"/>
      <c r="AG21" s="660"/>
      <c r="AH21" s="660"/>
    </row>
    <row r="22" spans="1:34" ht="24" x14ac:dyDescent="0.2">
      <c r="A22" s="3574" t="s">
        <v>1437</v>
      </c>
      <c r="B22" s="3497"/>
      <c r="C22" s="3507" t="s">
        <v>259</v>
      </c>
      <c r="D22" s="3507" t="s">
        <v>259</v>
      </c>
      <c r="E22" s="3507" t="s">
        <v>259</v>
      </c>
      <c r="F22" s="3507" t="s">
        <v>259</v>
      </c>
      <c r="G22" s="3507" t="s">
        <v>259</v>
      </c>
      <c r="H22" s="3507" t="s">
        <v>259</v>
      </c>
      <c r="I22" s="3507" t="s">
        <v>259</v>
      </c>
      <c r="J22" s="3507" t="s">
        <v>259</v>
      </c>
      <c r="K22" s="3507" t="s">
        <v>259</v>
      </c>
      <c r="L22" s="3507" t="s">
        <v>259</v>
      </c>
      <c r="M22" s="3507" t="s">
        <v>259</v>
      </c>
      <c r="N22" s="3507" t="s">
        <v>259</v>
      </c>
      <c r="O22" s="3507" t="s">
        <v>259</v>
      </c>
      <c r="P22" s="3507" t="s">
        <v>259</v>
      </c>
      <c r="Q22" s="3507" t="s">
        <v>259</v>
      </c>
      <c r="R22" s="3507" t="s">
        <v>259</v>
      </c>
      <c r="S22" s="660"/>
      <c r="T22" s="660"/>
      <c r="U22" s="660"/>
      <c r="V22" s="660"/>
      <c r="W22" s="660"/>
      <c r="X22" s="660"/>
      <c r="Y22" s="660"/>
      <c r="Z22" s="660"/>
      <c r="AA22" s="660"/>
      <c r="AB22" s="660"/>
      <c r="AC22" s="660"/>
      <c r="AD22" s="660"/>
      <c r="AE22" s="660"/>
      <c r="AF22" s="660"/>
      <c r="AG22" s="660"/>
      <c r="AH22" s="660"/>
    </row>
    <row r="23" spans="1:34" x14ac:dyDescent="0.2">
      <c r="A23" s="3548" t="s">
        <v>1319</v>
      </c>
      <c r="B23" s="3500" t="s">
        <v>1319</v>
      </c>
      <c r="C23" s="3507" t="s">
        <v>259</v>
      </c>
      <c r="D23" s="3500" t="s">
        <v>259</v>
      </c>
      <c r="E23" s="3500" t="s">
        <v>259</v>
      </c>
      <c r="F23" s="3507" t="s">
        <v>259</v>
      </c>
      <c r="G23" s="3507" t="s">
        <v>259</v>
      </c>
      <c r="H23" s="3507" t="s">
        <v>259</v>
      </c>
      <c r="I23" s="3507" t="s">
        <v>259</v>
      </c>
      <c r="J23" s="3507" t="s">
        <v>259</v>
      </c>
      <c r="K23" s="3507" t="s">
        <v>259</v>
      </c>
      <c r="L23" s="3500" t="s">
        <v>259</v>
      </c>
      <c r="M23" s="3500" t="s">
        <v>259</v>
      </c>
      <c r="N23" s="3507" t="s">
        <v>259</v>
      </c>
      <c r="O23" s="3500" t="s">
        <v>259</v>
      </c>
      <c r="P23" s="3500" t="s">
        <v>259</v>
      </c>
      <c r="Q23" s="3500" t="s">
        <v>259</v>
      </c>
      <c r="R23" s="3507" t="s">
        <v>259</v>
      </c>
      <c r="S23" s="660"/>
      <c r="T23" s="660"/>
      <c r="U23" s="660"/>
      <c r="V23" s="660"/>
      <c r="W23" s="660"/>
      <c r="X23" s="660"/>
      <c r="Y23" s="660"/>
      <c r="Z23" s="660"/>
      <c r="AA23" s="660"/>
      <c r="AB23" s="660"/>
      <c r="AC23" s="660"/>
      <c r="AD23" s="660"/>
      <c r="AE23" s="660"/>
      <c r="AF23" s="660"/>
      <c r="AG23" s="660"/>
      <c r="AH23" s="660"/>
    </row>
    <row r="24" spans="1:34" ht="15.75" customHeight="1" x14ac:dyDescent="0.2">
      <c r="A24" s="747" t="s">
        <v>564</v>
      </c>
      <c r="B24" s="3315"/>
      <c r="C24" s="3315"/>
      <c r="D24" s="3315"/>
      <c r="E24" s="3315"/>
      <c r="F24" s="3315"/>
      <c r="G24" s="3315"/>
      <c r="H24" s="3315"/>
      <c r="I24" s="3315"/>
      <c r="J24" s="3315"/>
      <c r="K24" s="3315"/>
      <c r="L24" s="3315"/>
      <c r="M24" s="3315"/>
      <c r="N24" s="3315"/>
      <c r="O24" s="3315"/>
      <c r="P24" s="3315"/>
      <c r="Q24" s="3315"/>
      <c r="R24" s="3315"/>
      <c r="S24" s="660"/>
      <c r="T24" s="660"/>
      <c r="U24" s="660"/>
      <c r="V24" s="660"/>
      <c r="W24" s="660"/>
      <c r="X24" s="660"/>
      <c r="Y24" s="660"/>
      <c r="Z24" s="660"/>
      <c r="AA24" s="660"/>
      <c r="AB24" s="660"/>
      <c r="AC24" s="660"/>
      <c r="AD24" s="660"/>
      <c r="AE24" s="660"/>
      <c r="AF24" s="660"/>
      <c r="AG24" s="660"/>
      <c r="AH24" s="660"/>
    </row>
    <row r="25" spans="1:34" ht="39.75" customHeight="1" x14ac:dyDescent="0.25">
      <c r="A25" s="5554" t="s">
        <v>1436</v>
      </c>
      <c r="B25" s="5554"/>
      <c r="C25" s="5554"/>
      <c r="D25" s="5554"/>
      <c r="E25" s="5554"/>
      <c r="F25" s="5554"/>
      <c r="G25" s="5554"/>
      <c r="H25" s="5554"/>
      <c r="I25" s="5554"/>
      <c r="J25" s="5554"/>
      <c r="K25" s="5554"/>
      <c r="L25" s="5554"/>
      <c r="M25" s="5554"/>
      <c r="N25" s="5554"/>
      <c r="O25" s="5579"/>
      <c r="P25" s="5579"/>
      <c r="Q25" s="5579"/>
      <c r="R25" s="5579"/>
      <c r="S25" s="660"/>
      <c r="T25" s="660"/>
      <c r="U25" s="660"/>
      <c r="V25" s="660"/>
      <c r="W25" s="660"/>
      <c r="X25" s="660"/>
      <c r="Y25" s="660"/>
      <c r="Z25" s="660"/>
      <c r="AA25" s="660"/>
      <c r="AB25" s="660"/>
      <c r="AC25" s="660"/>
      <c r="AD25" s="660"/>
      <c r="AE25" s="660"/>
      <c r="AF25" s="660"/>
      <c r="AG25" s="660"/>
      <c r="AH25" s="660"/>
    </row>
    <row r="26" spans="1:34" ht="24" customHeight="1" x14ac:dyDescent="0.2">
      <c r="A26" s="5554" t="s">
        <v>1435</v>
      </c>
      <c r="B26" s="5554"/>
      <c r="C26" s="5554"/>
      <c r="D26" s="5554"/>
      <c r="E26" s="5554"/>
      <c r="F26" s="5554"/>
      <c r="G26" s="5554"/>
      <c r="H26" s="5554"/>
      <c r="I26" s="5554"/>
      <c r="J26" s="5554"/>
      <c r="K26" s="5554"/>
      <c r="L26" s="5554"/>
      <c r="M26" s="5554"/>
      <c r="N26" s="5554"/>
      <c r="O26" s="5554"/>
      <c r="P26" s="5554"/>
      <c r="Q26" s="5554"/>
      <c r="R26" s="5554"/>
      <c r="S26" s="660"/>
      <c r="T26" s="660"/>
      <c r="U26" s="660"/>
      <c r="V26" s="660"/>
      <c r="W26" s="660"/>
      <c r="X26" s="660"/>
      <c r="Y26" s="660"/>
      <c r="Z26" s="660"/>
      <c r="AA26" s="660"/>
      <c r="AB26" s="660"/>
      <c r="AC26" s="660"/>
      <c r="AD26" s="660"/>
      <c r="AE26" s="660"/>
      <c r="AF26" s="660"/>
      <c r="AG26" s="660"/>
      <c r="AH26" s="660"/>
    </row>
    <row r="27" spans="1:34" ht="15" x14ac:dyDescent="0.2">
      <c r="A27" s="5577" t="s">
        <v>1316</v>
      </c>
      <c r="B27" s="5578"/>
      <c r="C27" s="5578"/>
      <c r="D27" s="5578"/>
      <c r="E27" s="5578"/>
      <c r="F27" s="5578"/>
      <c r="G27" s="5578"/>
      <c r="H27" s="5578"/>
      <c r="I27" s="5578"/>
      <c r="J27" s="5578"/>
      <c r="K27" s="5578"/>
      <c r="L27" s="746"/>
      <c r="M27" s="746"/>
      <c r="N27" s="746"/>
      <c r="O27" s="3315"/>
      <c r="P27" s="3315"/>
      <c r="Q27" s="3315"/>
      <c r="R27" s="3315"/>
      <c r="S27" s="660"/>
      <c r="T27" s="660"/>
      <c r="U27" s="5558"/>
      <c r="V27" s="5558"/>
      <c r="W27" s="5558"/>
      <c r="X27" s="5558"/>
      <c r="Y27" s="5558"/>
      <c r="Z27" s="5558"/>
      <c r="AA27" s="5558"/>
      <c r="AB27" s="5558"/>
      <c r="AC27" s="5558"/>
      <c r="AD27" s="5558"/>
      <c r="AE27" s="5558"/>
      <c r="AF27" s="5558"/>
      <c r="AG27" s="5558"/>
      <c r="AH27" s="5558"/>
    </row>
    <row r="28" spans="1:34" ht="13.5" x14ac:dyDescent="0.2">
      <c r="A28" s="5554" t="s">
        <v>1434</v>
      </c>
      <c r="B28" s="5554"/>
      <c r="C28" s="5554"/>
      <c r="D28" s="5554"/>
      <c r="E28" s="5554"/>
      <c r="F28" s="5554"/>
      <c r="G28" s="5554"/>
      <c r="H28" s="5554"/>
      <c r="I28" s="5554"/>
      <c r="J28" s="3312"/>
      <c r="K28" s="3315"/>
      <c r="L28" s="3315"/>
      <c r="M28" s="3315"/>
      <c r="N28" s="3315"/>
      <c r="O28" s="3315"/>
      <c r="P28" s="3315"/>
      <c r="Q28" s="3315"/>
      <c r="R28" s="3315"/>
      <c r="S28" s="660"/>
      <c r="T28" s="660"/>
      <c r="U28" s="660"/>
      <c r="V28" s="660"/>
      <c r="W28" s="660"/>
      <c r="X28" s="660"/>
      <c r="Y28" s="660"/>
      <c r="Z28" s="660"/>
      <c r="AA28" s="660"/>
      <c r="AB28" s="660"/>
      <c r="AC28" s="660"/>
      <c r="AD28" s="660"/>
      <c r="AE28" s="660"/>
      <c r="AF28" s="660"/>
      <c r="AG28" s="660"/>
      <c r="AH28" s="660"/>
    </row>
    <row r="29" spans="1:34" ht="13.5" customHeight="1" x14ac:dyDescent="0.2">
      <c r="A29" s="5554" t="s">
        <v>1433</v>
      </c>
      <c r="B29" s="5554"/>
      <c r="C29" s="5554"/>
      <c r="D29" s="5554"/>
      <c r="E29" s="5554"/>
      <c r="F29" s="5554"/>
      <c r="G29" s="5554"/>
      <c r="H29" s="5554"/>
      <c r="I29" s="5554"/>
      <c r="J29" s="5554"/>
      <c r="K29" s="5554"/>
      <c r="L29" s="5554"/>
      <c r="M29" s="5554"/>
      <c r="N29" s="5554"/>
      <c r="O29" s="5554"/>
      <c r="P29" s="5554"/>
      <c r="Q29" s="5554"/>
      <c r="R29" s="5554"/>
      <c r="S29" s="660"/>
      <c r="T29" s="660"/>
      <c r="U29" s="660"/>
      <c r="V29" s="660"/>
      <c r="W29" s="660"/>
      <c r="X29" s="660"/>
      <c r="Y29" s="660"/>
      <c r="Z29" s="660"/>
      <c r="AA29" s="660"/>
      <c r="AB29" s="660"/>
      <c r="AC29" s="660"/>
      <c r="AD29" s="660"/>
      <c r="AE29" s="660"/>
      <c r="AF29" s="660"/>
      <c r="AG29" s="660"/>
      <c r="AH29" s="660"/>
    </row>
    <row r="30" spans="1:34" x14ac:dyDescent="0.2">
      <c r="A30" s="745"/>
      <c r="B30" s="660"/>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row>
    <row r="31" spans="1:34" x14ac:dyDescent="0.2">
      <c r="A31" s="3572" t="s">
        <v>982</v>
      </c>
      <c r="B31" s="3570"/>
      <c r="C31" s="3570"/>
      <c r="D31" s="3570"/>
      <c r="E31" s="3570"/>
      <c r="F31" s="3570"/>
      <c r="G31" s="3570"/>
      <c r="H31" s="3570"/>
      <c r="I31" s="3570"/>
      <c r="J31" s="3570"/>
      <c r="K31" s="3570"/>
      <c r="L31" s="3570"/>
      <c r="M31" s="3570"/>
      <c r="N31" s="3570"/>
      <c r="O31" s="3570"/>
      <c r="P31" s="3570"/>
      <c r="Q31" s="3570"/>
      <c r="R31" s="3569"/>
      <c r="S31" s="660"/>
      <c r="T31" s="660"/>
      <c r="U31" s="660"/>
      <c r="V31" s="660"/>
      <c r="W31" s="660"/>
      <c r="X31" s="660"/>
      <c r="Y31" s="660"/>
      <c r="Z31" s="660"/>
      <c r="AA31" s="660"/>
      <c r="AB31" s="660"/>
      <c r="AC31" s="660"/>
      <c r="AD31" s="660"/>
      <c r="AE31" s="660"/>
      <c r="AF31" s="660"/>
      <c r="AG31" s="660"/>
      <c r="AH31" s="660"/>
    </row>
    <row r="32" spans="1:34" ht="30.75" customHeight="1" x14ac:dyDescent="0.2">
      <c r="A32" s="5755" t="s">
        <v>1310</v>
      </c>
      <c r="B32" s="5746"/>
      <c r="C32" s="5746"/>
      <c r="D32" s="5746"/>
      <c r="E32" s="5746"/>
      <c r="F32" s="5746"/>
      <c r="G32" s="5746"/>
      <c r="H32" s="5746"/>
      <c r="I32" s="5746"/>
      <c r="J32" s="5746"/>
      <c r="K32" s="5746"/>
      <c r="L32" s="5746"/>
      <c r="M32" s="5746"/>
      <c r="N32" s="5746"/>
      <c r="O32" s="5746"/>
      <c r="P32" s="5746"/>
      <c r="Q32" s="5746"/>
      <c r="R32" s="5747"/>
      <c r="S32" s="660"/>
      <c r="T32" s="660"/>
      <c r="U32" s="660"/>
      <c r="V32" s="660"/>
      <c r="W32" s="660"/>
      <c r="X32" s="660"/>
      <c r="Y32" s="660"/>
      <c r="Z32" s="660"/>
      <c r="AA32" s="660"/>
      <c r="AB32" s="660"/>
      <c r="AC32" s="660"/>
      <c r="AD32" s="660"/>
      <c r="AE32" s="660"/>
      <c r="AF32" s="660"/>
      <c r="AG32" s="660"/>
      <c r="AH32" s="660"/>
    </row>
    <row r="33" spans="1:34" ht="12" customHeight="1" x14ac:dyDescent="0.2">
      <c r="A33" s="3568" t="s">
        <v>980</v>
      </c>
      <c r="B33" s="5696" t="s">
        <v>986</v>
      </c>
      <c r="C33" s="5735"/>
      <c r="D33" s="5735"/>
      <c r="E33" s="5735"/>
      <c r="F33" s="5735"/>
      <c r="G33" s="5735"/>
      <c r="H33" s="5735"/>
      <c r="I33" s="5735"/>
      <c r="J33" s="5735"/>
      <c r="K33" s="5735"/>
      <c r="L33" s="5735"/>
      <c r="M33" s="5735"/>
      <c r="N33" s="5735"/>
      <c r="O33" s="5735"/>
      <c r="P33" s="5735"/>
      <c r="Q33" s="5735"/>
      <c r="R33" s="5735"/>
      <c r="S33" s="660"/>
      <c r="T33" s="660"/>
      <c r="U33" s="660"/>
      <c r="V33" s="660"/>
      <c r="W33" s="660"/>
      <c r="X33" s="660"/>
      <c r="Y33" s="660"/>
      <c r="Z33" s="660"/>
      <c r="AA33" s="660"/>
      <c r="AB33" s="660"/>
      <c r="AC33" s="660"/>
      <c r="AD33" s="660"/>
      <c r="AE33" s="660"/>
      <c r="AF33" s="660"/>
      <c r="AG33" s="660"/>
      <c r="AH33" s="660"/>
    </row>
    <row r="34" spans="1:34" ht="12" customHeight="1" x14ac:dyDescent="0.2">
      <c r="A34" s="3568" t="s">
        <v>980</v>
      </c>
      <c r="B34" s="5696" t="s">
        <v>986</v>
      </c>
      <c r="C34" s="5735"/>
      <c r="D34" s="5735"/>
      <c r="E34" s="5735"/>
      <c r="F34" s="5735"/>
      <c r="G34" s="5735"/>
      <c r="H34" s="5735"/>
      <c r="I34" s="5735"/>
      <c r="J34" s="5735"/>
      <c r="K34" s="5735"/>
      <c r="L34" s="5735"/>
      <c r="M34" s="5735"/>
      <c r="N34" s="5735"/>
      <c r="O34" s="5735"/>
      <c r="P34" s="5735"/>
      <c r="Q34" s="5735"/>
      <c r="R34" s="5735"/>
    </row>
  </sheetData>
  <sheetProtection password="A754" sheet="1" objects="1" scenarios="1"/>
  <mergeCells count="27">
    <mergeCell ref="B33:R33"/>
    <mergeCell ref="B34:R34"/>
    <mergeCell ref="U27:AH27"/>
    <mergeCell ref="A28:I28"/>
    <mergeCell ref="A29:R29"/>
    <mergeCell ref="A32:R32"/>
    <mergeCell ref="F9:K9"/>
    <mergeCell ref="C5:E5"/>
    <mergeCell ref="A26:R26"/>
    <mergeCell ref="A27:K27"/>
    <mergeCell ref="L9:Q9"/>
    <mergeCell ref="D6:D9"/>
    <mergeCell ref="E6:E9"/>
    <mergeCell ref="A25:R25"/>
    <mergeCell ref="A5:B5"/>
    <mergeCell ref="F5:K5"/>
    <mergeCell ref="L5:Q5"/>
    <mergeCell ref="R5:R8"/>
    <mergeCell ref="A6:A9"/>
    <mergeCell ref="B6:B9"/>
    <mergeCell ref="C6:C9"/>
    <mergeCell ref="F6:H7"/>
    <mergeCell ref="I6:I8"/>
    <mergeCell ref="J6:K7"/>
    <mergeCell ref="P6:Q7"/>
    <mergeCell ref="L6:N7"/>
    <mergeCell ref="O6:O8"/>
  </mergeCells>
  <printOptions horizontalCentered="1" verticalCentered="1"/>
  <pageMargins left="0.39370078740157483" right="0.39370078740157483" top="0.39370078740157483" bottom="0.39370078740157483" header="0.19685039370078741" footer="0.19685039370078741"/>
  <pageSetup paperSize="9" scale="28" orientation="landscape"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C9D06-9DA7-4321-8F17-A9609E47492F}">
  <sheetPr codeName="Ark50">
    <tabColor theme="0" tint="-0.249977111117893"/>
    <pageSetUpPr fitToPage="1"/>
  </sheetPr>
  <dimension ref="A1:T35"/>
  <sheetViews>
    <sheetView showGridLines="0" workbookViewId="0"/>
  </sheetViews>
  <sheetFormatPr defaultColWidth="8" defaultRowHeight="12" customHeight="1" x14ac:dyDescent="0.2"/>
  <cols>
    <col min="1" max="1" width="31" style="659" customWidth="1"/>
    <col min="2" max="2" width="14.7109375" style="659" customWidth="1"/>
    <col min="3" max="3" width="11.7109375" style="659" customWidth="1"/>
    <col min="4" max="4" width="10.7109375" style="659" customWidth="1"/>
    <col min="5" max="5" width="9.5703125" style="659" customWidth="1"/>
    <col min="6" max="11" width="7.85546875" style="659" customWidth="1"/>
    <col min="12" max="17" width="7.28515625" style="659" customWidth="1"/>
    <col min="18" max="18" width="10.42578125" style="659" customWidth="1"/>
    <col min="19" max="19" width="1.28515625" style="659" customWidth="1"/>
    <col min="20" max="24" width="13.7109375" style="659" customWidth="1"/>
    <col min="25" max="16384" width="8" style="659"/>
  </cols>
  <sheetData>
    <row r="1" spans="1:20" ht="15.75" x14ac:dyDescent="0.25">
      <c r="A1" s="671" t="s">
        <v>1462</v>
      </c>
      <c r="B1" s="660"/>
      <c r="C1" s="660"/>
      <c r="D1" s="660"/>
      <c r="E1" s="660"/>
      <c r="F1" s="660"/>
      <c r="G1" s="660"/>
      <c r="H1" s="660"/>
      <c r="I1" s="660"/>
      <c r="J1" s="660"/>
      <c r="K1" s="660"/>
      <c r="L1" s="660"/>
      <c r="M1" s="660"/>
      <c r="N1" s="660"/>
      <c r="O1" s="660"/>
      <c r="P1" s="660"/>
      <c r="Q1" s="660"/>
      <c r="R1" s="668" t="s">
        <v>1791</v>
      </c>
      <c r="S1" s="660"/>
      <c r="T1" s="660"/>
    </row>
    <row r="2" spans="1:20" ht="15.75" x14ac:dyDescent="0.25">
      <c r="A2" s="671" t="s">
        <v>1461</v>
      </c>
      <c r="B2" s="660"/>
      <c r="C2" s="660"/>
      <c r="D2" s="660"/>
      <c r="E2" s="660"/>
      <c r="F2" s="660"/>
      <c r="G2" s="660"/>
      <c r="H2" s="660"/>
      <c r="I2" s="660"/>
      <c r="J2" s="660"/>
      <c r="K2" s="660"/>
      <c r="L2" s="660"/>
      <c r="M2" s="660"/>
      <c r="N2" s="660"/>
      <c r="O2" s="660"/>
      <c r="P2" s="660"/>
      <c r="Q2" s="660"/>
      <c r="R2" s="668" t="s">
        <v>1790</v>
      </c>
      <c r="S2" s="660"/>
      <c r="T2" s="660"/>
    </row>
    <row r="3" spans="1:20" ht="15.75" x14ac:dyDescent="0.25">
      <c r="A3" s="671" t="s">
        <v>1197</v>
      </c>
      <c r="B3" s="660"/>
      <c r="C3" s="660"/>
      <c r="D3" s="660"/>
      <c r="E3" s="660"/>
      <c r="F3" s="660"/>
      <c r="G3" s="660"/>
      <c r="H3" s="660"/>
      <c r="I3" s="660"/>
      <c r="J3" s="660"/>
      <c r="K3" s="660"/>
      <c r="L3" s="660"/>
      <c r="M3" s="660"/>
      <c r="N3" s="660"/>
      <c r="O3" s="660"/>
      <c r="P3" s="660"/>
      <c r="Q3" s="660"/>
      <c r="R3" s="668" t="s">
        <v>1789</v>
      </c>
      <c r="S3" s="660"/>
      <c r="T3" s="660"/>
    </row>
    <row r="4" spans="1:20" ht="12" customHeight="1" x14ac:dyDescent="0.2">
      <c r="A4" s="660"/>
      <c r="B4" s="660"/>
      <c r="C4" s="660"/>
      <c r="D4" s="660"/>
      <c r="E4" s="660"/>
      <c r="F4" s="660"/>
      <c r="G4" s="660"/>
      <c r="H4" s="660"/>
      <c r="I4" s="660"/>
      <c r="J4" s="660"/>
      <c r="K4" s="660"/>
      <c r="L4" s="660"/>
      <c r="M4" s="660"/>
      <c r="N4" s="660"/>
      <c r="O4" s="660"/>
      <c r="P4" s="660"/>
      <c r="Q4" s="660"/>
      <c r="R4" s="660"/>
      <c r="S4" s="660"/>
      <c r="T4" s="660"/>
    </row>
    <row r="5" spans="1:20" ht="48" customHeight="1" x14ac:dyDescent="0.2">
      <c r="A5" s="5740" t="s">
        <v>1025</v>
      </c>
      <c r="B5" s="5741"/>
      <c r="C5" s="5736" t="s">
        <v>1083</v>
      </c>
      <c r="D5" s="5737"/>
      <c r="E5" s="5738"/>
      <c r="F5" s="5736" t="s">
        <v>1351</v>
      </c>
      <c r="G5" s="5737"/>
      <c r="H5" s="5737"/>
      <c r="I5" s="5737"/>
      <c r="J5" s="5737"/>
      <c r="K5" s="5738"/>
      <c r="L5" s="5736" t="s">
        <v>1350</v>
      </c>
      <c r="M5" s="5737"/>
      <c r="N5" s="5737"/>
      <c r="O5" s="5737"/>
      <c r="P5" s="5737"/>
      <c r="Q5" s="5738"/>
      <c r="R5" s="5739" t="s">
        <v>1445</v>
      </c>
      <c r="S5" s="660"/>
      <c r="T5" s="660"/>
    </row>
    <row r="6" spans="1:20" ht="47.25" customHeight="1" x14ac:dyDescent="0.2">
      <c r="A6" s="5728" t="s">
        <v>1348</v>
      </c>
      <c r="B6" s="5739" t="s">
        <v>1347</v>
      </c>
      <c r="C6" s="5739" t="s">
        <v>1346</v>
      </c>
      <c r="D6" s="5739" t="s">
        <v>1427</v>
      </c>
      <c r="E6" s="5739" t="s">
        <v>1426</v>
      </c>
      <c r="F6" s="5742" t="s">
        <v>1343</v>
      </c>
      <c r="G6" s="5744"/>
      <c r="H6" s="5743"/>
      <c r="I6" s="5739" t="s">
        <v>1375</v>
      </c>
      <c r="J6" s="5742" t="s">
        <v>1340</v>
      </c>
      <c r="K6" s="5743"/>
      <c r="L6" s="5742" t="s">
        <v>1339</v>
      </c>
      <c r="M6" s="5744"/>
      <c r="N6" s="5743"/>
      <c r="O6" s="5739" t="s">
        <v>1425</v>
      </c>
      <c r="P6" s="5742" t="s">
        <v>1424</v>
      </c>
      <c r="Q6" s="5743"/>
      <c r="R6" s="5532"/>
      <c r="S6" s="660"/>
      <c r="T6" s="660"/>
    </row>
    <row r="7" spans="1:20" ht="12.75" customHeight="1" x14ac:dyDescent="0.2">
      <c r="A7" s="5520"/>
      <c r="B7" s="5532"/>
      <c r="C7" s="5532"/>
      <c r="D7" s="5532"/>
      <c r="E7" s="5532"/>
      <c r="F7" s="5539"/>
      <c r="G7" s="5545"/>
      <c r="H7" s="5540"/>
      <c r="I7" s="5532"/>
      <c r="J7" s="5539"/>
      <c r="K7" s="5540"/>
      <c r="L7" s="5539"/>
      <c r="M7" s="5545"/>
      <c r="N7" s="5540"/>
      <c r="O7" s="5532"/>
      <c r="P7" s="5539"/>
      <c r="Q7" s="5540"/>
      <c r="R7" s="5532"/>
      <c r="S7" s="660"/>
      <c r="T7" s="660"/>
    </row>
    <row r="8" spans="1:20" ht="54.75" customHeight="1" x14ac:dyDescent="0.2">
      <c r="A8" s="5520"/>
      <c r="B8" s="5532"/>
      <c r="C8" s="5532"/>
      <c r="D8" s="5532"/>
      <c r="E8" s="5532"/>
      <c r="F8" s="3566" t="s">
        <v>1334</v>
      </c>
      <c r="G8" s="3566" t="s">
        <v>1333</v>
      </c>
      <c r="H8" s="3566" t="s">
        <v>1332</v>
      </c>
      <c r="I8" s="5533"/>
      <c r="J8" s="3311" t="s">
        <v>1331</v>
      </c>
      <c r="K8" s="3311" t="s">
        <v>1330</v>
      </c>
      <c r="L8" s="3566" t="s">
        <v>1334</v>
      </c>
      <c r="M8" s="3566" t="s">
        <v>1333</v>
      </c>
      <c r="N8" s="3566" t="s">
        <v>1332</v>
      </c>
      <c r="O8" s="5533"/>
      <c r="P8" s="3311" t="s">
        <v>1331</v>
      </c>
      <c r="Q8" s="3311" t="s">
        <v>1330</v>
      </c>
      <c r="R8" s="5533"/>
      <c r="S8" s="660"/>
      <c r="T8" s="660"/>
    </row>
    <row r="9" spans="1:20" ht="15.95" customHeight="1" thickBot="1" x14ac:dyDescent="0.25">
      <c r="A9" s="5556"/>
      <c r="B9" s="5541"/>
      <c r="C9" s="5541"/>
      <c r="D9" s="5541"/>
      <c r="E9" s="5541"/>
      <c r="F9" s="5546" t="s">
        <v>1329</v>
      </c>
      <c r="G9" s="5547"/>
      <c r="H9" s="5547"/>
      <c r="I9" s="5547"/>
      <c r="J9" s="5547"/>
      <c r="K9" s="5548"/>
      <c r="L9" s="5546" t="s">
        <v>1328</v>
      </c>
      <c r="M9" s="5547"/>
      <c r="N9" s="5547"/>
      <c r="O9" s="5547"/>
      <c r="P9" s="5547"/>
      <c r="Q9" s="5548"/>
      <c r="R9" s="734" t="s">
        <v>1011</v>
      </c>
      <c r="S9" s="660"/>
      <c r="T9" s="660"/>
    </row>
    <row r="10" spans="1:20" ht="12.75" thickTop="1" x14ac:dyDescent="0.2">
      <c r="A10" s="733" t="s">
        <v>1460</v>
      </c>
      <c r="B10" s="3497" t="s">
        <v>986</v>
      </c>
      <c r="C10" s="3507">
        <v>26.432625000000002</v>
      </c>
      <c r="D10" s="3507">
        <v>26.432625000000002</v>
      </c>
      <c r="E10" s="3507" t="s">
        <v>259</v>
      </c>
      <c r="F10" s="3507" t="s">
        <v>259</v>
      </c>
      <c r="G10" s="3507" t="s">
        <v>259</v>
      </c>
      <c r="H10" s="3507" t="s">
        <v>259</v>
      </c>
      <c r="I10" s="3507" t="s">
        <v>259</v>
      </c>
      <c r="J10" s="3507" t="s">
        <v>259</v>
      </c>
      <c r="K10" s="3507" t="s">
        <v>259</v>
      </c>
      <c r="L10" s="3507" t="s">
        <v>259</v>
      </c>
      <c r="M10" s="3507" t="s">
        <v>259</v>
      </c>
      <c r="N10" s="3507" t="s">
        <v>259</v>
      </c>
      <c r="O10" s="3507" t="s">
        <v>259</v>
      </c>
      <c r="P10" s="3507" t="s">
        <v>259</v>
      </c>
      <c r="Q10" s="3507" t="s">
        <v>259</v>
      </c>
      <c r="R10" s="3507" t="s">
        <v>259</v>
      </c>
      <c r="S10" s="660"/>
      <c r="T10" s="660"/>
    </row>
    <row r="11" spans="1:20" ht="13.5" x14ac:dyDescent="0.2">
      <c r="A11" s="3573" t="s">
        <v>1459</v>
      </c>
      <c r="B11" s="3497" t="s">
        <v>986</v>
      </c>
      <c r="C11" s="3507">
        <v>26.432625000000002</v>
      </c>
      <c r="D11" s="3500">
        <v>26.432625000000002</v>
      </c>
      <c r="E11" s="3500" t="s">
        <v>259</v>
      </c>
      <c r="F11" s="3497" t="s">
        <v>986</v>
      </c>
      <c r="G11" s="3497" t="s">
        <v>986</v>
      </c>
      <c r="H11" s="3497" t="s">
        <v>986</v>
      </c>
      <c r="I11" s="3497" t="s">
        <v>986</v>
      </c>
      <c r="J11" s="3497" t="s">
        <v>986</v>
      </c>
      <c r="K11" s="3497" t="s">
        <v>986</v>
      </c>
      <c r="L11" s="3497" t="s">
        <v>986</v>
      </c>
      <c r="M11" s="3497" t="s">
        <v>986</v>
      </c>
      <c r="N11" s="3497" t="s">
        <v>986</v>
      </c>
      <c r="O11" s="3497" t="s">
        <v>986</v>
      </c>
      <c r="P11" s="3497" t="s">
        <v>986</v>
      </c>
      <c r="Q11" s="3497" t="s">
        <v>986</v>
      </c>
      <c r="R11" s="3497" t="s">
        <v>986</v>
      </c>
      <c r="S11" s="660"/>
      <c r="T11" s="660"/>
    </row>
    <row r="12" spans="1:20" ht="13.5" x14ac:dyDescent="0.2">
      <c r="A12" s="3578" t="s">
        <v>1458</v>
      </c>
      <c r="B12" s="3497" t="s">
        <v>986</v>
      </c>
      <c r="C12" s="3507" t="s">
        <v>259</v>
      </c>
      <c r="D12" s="3507" t="s">
        <v>259</v>
      </c>
      <c r="E12" s="3507" t="s">
        <v>259</v>
      </c>
      <c r="F12" s="3507" t="s">
        <v>259</v>
      </c>
      <c r="G12" s="3507" t="s">
        <v>259</v>
      </c>
      <c r="H12" s="3507" t="s">
        <v>259</v>
      </c>
      <c r="I12" s="3507" t="s">
        <v>259</v>
      </c>
      <c r="J12" s="3507" t="s">
        <v>259</v>
      </c>
      <c r="K12" s="3507" t="s">
        <v>259</v>
      </c>
      <c r="L12" s="3507" t="s">
        <v>259</v>
      </c>
      <c r="M12" s="3507" t="s">
        <v>259</v>
      </c>
      <c r="N12" s="3507" t="s">
        <v>259</v>
      </c>
      <c r="O12" s="3507" t="s">
        <v>259</v>
      </c>
      <c r="P12" s="3507" t="s">
        <v>259</v>
      </c>
      <c r="Q12" s="3507" t="s">
        <v>259</v>
      </c>
      <c r="R12" s="3507" t="s">
        <v>259</v>
      </c>
      <c r="S12" s="660"/>
      <c r="T12" s="660"/>
    </row>
    <row r="13" spans="1:20" x14ac:dyDescent="0.2">
      <c r="A13" s="3574" t="s">
        <v>1457</v>
      </c>
      <c r="B13" s="3497"/>
      <c r="C13" s="3507" t="s">
        <v>259</v>
      </c>
      <c r="D13" s="3507" t="s">
        <v>259</v>
      </c>
      <c r="E13" s="3507" t="s">
        <v>259</v>
      </c>
      <c r="F13" s="3507" t="s">
        <v>259</v>
      </c>
      <c r="G13" s="3507" t="s">
        <v>259</v>
      </c>
      <c r="H13" s="3507" t="s">
        <v>259</v>
      </c>
      <c r="I13" s="3507" t="s">
        <v>259</v>
      </c>
      <c r="J13" s="3507" t="s">
        <v>259</v>
      </c>
      <c r="K13" s="3507" t="s">
        <v>259</v>
      </c>
      <c r="L13" s="3507" t="s">
        <v>259</v>
      </c>
      <c r="M13" s="3507" t="s">
        <v>259</v>
      </c>
      <c r="N13" s="3507" t="s">
        <v>259</v>
      </c>
      <c r="O13" s="3507" t="s">
        <v>259</v>
      </c>
      <c r="P13" s="3507" t="s">
        <v>259</v>
      </c>
      <c r="Q13" s="3507" t="s">
        <v>259</v>
      </c>
      <c r="R13" s="3507" t="s">
        <v>259</v>
      </c>
      <c r="S13" s="660"/>
      <c r="T13" s="660"/>
    </row>
    <row r="14" spans="1:20" x14ac:dyDescent="0.2">
      <c r="A14" s="3548" t="s">
        <v>1319</v>
      </c>
      <c r="B14" s="3500" t="s">
        <v>1319</v>
      </c>
      <c r="C14" s="3507" t="s">
        <v>259</v>
      </c>
      <c r="D14" s="3500" t="s">
        <v>259</v>
      </c>
      <c r="E14" s="3500" t="s">
        <v>259</v>
      </c>
      <c r="F14" s="3507" t="s">
        <v>259</v>
      </c>
      <c r="G14" s="3507" t="s">
        <v>259</v>
      </c>
      <c r="H14" s="3507" t="s">
        <v>259</v>
      </c>
      <c r="I14" s="3507" t="s">
        <v>259</v>
      </c>
      <c r="J14" s="3507" t="s">
        <v>259</v>
      </c>
      <c r="K14" s="3507" t="s">
        <v>259</v>
      </c>
      <c r="L14" s="3500" t="s">
        <v>259</v>
      </c>
      <c r="M14" s="3500" t="s">
        <v>259</v>
      </c>
      <c r="N14" s="3507" t="s">
        <v>259</v>
      </c>
      <c r="O14" s="3500" t="s">
        <v>259</v>
      </c>
      <c r="P14" s="3500" t="s">
        <v>259</v>
      </c>
      <c r="Q14" s="3500" t="s">
        <v>259</v>
      </c>
      <c r="R14" s="3507" t="s">
        <v>259</v>
      </c>
      <c r="S14" s="660"/>
      <c r="T14" s="660"/>
    </row>
    <row r="15" spans="1:20" x14ac:dyDescent="0.2">
      <c r="A15" s="3574" t="s">
        <v>1456</v>
      </c>
      <c r="B15" s="3497"/>
      <c r="C15" s="3507" t="s">
        <v>259</v>
      </c>
      <c r="D15" s="3507" t="s">
        <v>259</v>
      </c>
      <c r="E15" s="3507" t="s">
        <v>259</v>
      </c>
      <c r="F15" s="3507" t="s">
        <v>259</v>
      </c>
      <c r="G15" s="3507" t="s">
        <v>259</v>
      </c>
      <c r="H15" s="3507" t="s">
        <v>259</v>
      </c>
      <c r="I15" s="3507" t="s">
        <v>259</v>
      </c>
      <c r="J15" s="3507" t="s">
        <v>259</v>
      </c>
      <c r="K15" s="3507" t="s">
        <v>259</v>
      </c>
      <c r="L15" s="3507" t="s">
        <v>259</v>
      </c>
      <c r="M15" s="3507" t="s">
        <v>259</v>
      </c>
      <c r="N15" s="3507" t="s">
        <v>259</v>
      </c>
      <c r="O15" s="3507" t="s">
        <v>259</v>
      </c>
      <c r="P15" s="3507" t="s">
        <v>259</v>
      </c>
      <c r="Q15" s="3507" t="s">
        <v>259</v>
      </c>
      <c r="R15" s="3507" t="s">
        <v>259</v>
      </c>
      <c r="S15" s="660"/>
      <c r="T15" s="660"/>
    </row>
    <row r="16" spans="1:20" x14ac:dyDescent="0.2">
      <c r="A16" s="3548" t="s">
        <v>1319</v>
      </c>
      <c r="B16" s="3500" t="s">
        <v>1319</v>
      </c>
      <c r="C16" s="3507" t="s">
        <v>259</v>
      </c>
      <c r="D16" s="3500" t="s">
        <v>259</v>
      </c>
      <c r="E16" s="3500" t="s">
        <v>259</v>
      </c>
      <c r="F16" s="3507" t="s">
        <v>259</v>
      </c>
      <c r="G16" s="3507" t="s">
        <v>259</v>
      </c>
      <c r="H16" s="3507" t="s">
        <v>259</v>
      </c>
      <c r="I16" s="3507" t="s">
        <v>259</v>
      </c>
      <c r="J16" s="3507" t="s">
        <v>259</v>
      </c>
      <c r="K16" s="3507" t="s">
        <v>259</v>
      </c>
      <c r="L16" s="3500" t="s">
        <v>259</v>
      </c>
      <c r="M16" s="3500" t="s">
        <v>259</v>
      </c>
      <c r="N16" s="3507" t="s">
        <v>259</v>
      </c>
      <c r="O16" s="3500" t="s">
        <v>259</v>
      </c>
      <c r="P16" s="3500" t="s">
        <v>259</v>
      </c>
      <c r="Q16" s="3500" t="s">
        <v>259</v>
      </c>
      <c r="R16" s="3507" t="s">
        <v>259</v>
      </c>
      <c r="S16" s="660"/>
      <c r="T16" s="660"/>
    </row>
    <row r="17" spans="1:20" x14ac:dyDescent="0.2">
      <c r="A17" s="3574" t="s">
        <v>1455</v>
      </c>
      <c r="B17" s="3497"/>
      <c r="C17" s="3507" t="s">
        <v>259</v>
      </c>
      <c r="D17" s="3507" t="s">
        <v>259</v>
      </c>
      <c r="E17" s="3507" t="s">
        <v>259</v>
      </c>
      <c r="F17" s="3507" t="s">
        <v>259</v>
      </c>
      <c r="G17" s="3507" t="s">
        <v>259</v>
      </c>
      <c r="H17" s="3507" t="s">
        <v>259</v>
      </c>
      <c r="I17" s="3507" t="s">
        <v>259</v>
      </c>
      <c r="J17" s="3507" t="s">
        <v>259</v>
      </c>
      <c r="K17" s="3507" t="s">
        <v>259</v>
      </c>
      <c r="L17" s="3507" t="s">
        <v>259</v>
      </c>
      <c r="M17" s="3507" t="s">
        <v>259</v>
      </c>
      <c r="N17" s="3507" t="s">
        <v>259</v>
      </c>
      <c r="O17" s="3507" t="s">
        <v>259</v>
      </c>
      <c r="P17" s="3507" t="s">
        <v>259</v>
      </c>
      <c r="Q17" s="3507" t="s">
        <v>259</v>
      </c>
      <c r="R17" s="3507" t="s">
        <v>259</v>
      </c>
      <c r="S17" s="660"/>
      <c r="T17" s="660"/>
    </row>
    <row r="18" spans="1:20" x14ac:dyDescent="0.2">
      <c r="A18" s="3548" t="s">
        <v>1319</v>
      </c>
      <c r="B18" s="3500" t="s">
        <v>1319</v>
      </c>
      <c r="C18" s="3507" t="s">
        <v>259</v>
      </c>
      <c r="D18" s="3500" t="s">
        <v>259</v>
      </c>
      <c r="E18" s="3500" t="s">
        <v>259</v>
      </c>
      <c r="F18" s="3507" t="s">
        <v>259</v>
      </c>
      <c r="G18" s="3507" t="s">
        <v>259</v>
      </c>
      <c r="H18" s="3507" t="s">
        <v>259</v>
      </c>
      <c r="I18" s="3507" t="s">
        <v>259</v>
      </c>
      <c r="J18" s="3507" t="s">
        <v>259</v>
      </c>
      <c r="K18" s="3507" t="s">
        <v>259</v>
      </c>
      <c r="L18" s="3500" t="s">
        <v>259</v>
      </c>
      <c r="M18" s="3500" t="s">
        <v>259</v>
      </c>
      <c r="N18" s="3507" t="s">
        <v>259</v>
      </c>
      <c r="O18" s="3500" t="s">
        <v>259</v>
      </c>
      <c r="P18" s="3500" t="s">
        <v>259</v>
      </c>
      <c r="Q18" s="3500" t="s">
        <v>259</v>
      </c>
      <c r="R18" s="3507" t="s">
        <v>259</v>
      </c>
      <c r="S18" s="660"/>
      <c r="T18" s="660"/>
    </row>
    <row r="19" spans="1:20" x14ac:dyDescent="0.2">
      <c r="A19" s="3574" t="s">
        <v>1454</v>
      </c>
      <c r="B19" s="3497"/>
      <c r="C19" s="3507" t="s">
        <v>259</v>
      </c>
      <c r="D19" s="3507" t="s">
        <v>259</v>
      </c>
      <c r="E19" s="3507" t="s">
        <v>259</v>
      </c>
      <c r="F19" s="3507" t="s">
        <v>259</v>
      </c>
      <c r="G19" s="3507" t="s">
        <v>259</v>
      </c>
      <c r="H19" s="3507" t="s">
        <v>259</v>
      </c>
      <c r="I19" s="3507" t="s">
        <v>259</v>
      </c>
      <c r="J19" s="3507" t="s">
        <v>259</v>
      </c>
      <c r="K19" s="3507" t="s">
        <v>259</v>
      </c>
      <c r="L19" s="3507" t="s">
        <v>259</v>
      </c>
      <c r="M19" s="3507" t="s">
        <v>259</v>
      </c>
      <c r="N19" s="3507" t="s">
        <v>259</v>
      </c>
      <c r="O19" s="3507" t="s">
        <v>259</v>
      </c>
      <c r="P19" s="3507" t="s">
        <v>259</v>
      </c>
      <c r="Q19" s="3507" t="s">
        <v>259</v>
      </c>
      <c r="R19" s="3507" t="s">
        <v>259</v>
      </c>
      <c r="S19" s="660"/>
      <c r="T19" s="660"/>
    </row>
    <row r="20" spans="1:20" x14ac:dyDescent="0.2">
      <c r="A20" s="3548" t="s">
        <v>1319</v>
      </c>
      <c r="B20" s="3500" t="s">
        <v>1319</v>
      </c>
      <c r="C20" s="3507" t="s">
        <v>259</v>
      </c>
      <c r="D20" s="3500" t="s">
        <v>259</v>
      </c>
      <c r="E20" s="3500" t="s">
        <v>259</v>
      </c>
      <c r="F20" s="3507" t="s">
        <v>259</v>
      </c>
      <c r="G20" s="3507" t="s">
        <v>259</v>
      </c>
      <c r="H20" s="3507" t="s">
        <v>259</v>
      </c>
      <c r="I20" s="3507" t="s">
        <v>259</v>
      </c>
      <c r="J20" s="3507" t="s">
        <v>259</v>
      </c>
      <c r="K20" s="3507" t="s">
        <v>259</v>
      </c>
      <c r="L20" s="3500" t="s">
        <v>259</v>
      </c>
      <c r="M20" s="3500" t="s">
        <v>259</v>
      </c>
      <c r="N20" s="3507" t="s">
        <v>259</v>
      </c>
      <c r="O20" s="3500" t="s">
        <v>259</v>
      </c>
      <c r="P20" s="3500" t="s">
        <v>259</v>
      </c>
      <c r="Q20" s="3500" t="s">
        <v>259</v>
      </c>
      <c r="R20" s="3507" t="s">
        <v>259</v>
      </c>
      <c r="S20" s="660"/>
      <c r="T20" s="660"/>
    </row>
    <row r="21" spans="1:20" x14ac:dyDescent="0.2">
      <c r="A21" s="3574" t="s">
        <v>1453</v>
      </c>
      <c r="B21" s="3497"/>
      <c r="C21" s="3507" t="s">
        <v>259</v>
      </c>
      <c r="D21" s="3507" t="s">
        <v>259</v>
      </c>
      <c r="E21" s="3507" t="s">
        <v>259</v>
      </c>
      <c r="F21" s="3507" t="s">
        <v>259</v>
      </c>
      <c r="G21" s="3507" t="s">
        <v>259</v>
      </c>
      <c r="H21" s="3507" t="s">
        <v>259</v>
      </c>
      <c r="I21" s="3507" t="s">
        <v>259</v>
      </c>
      <c r="J21" s="3507" t="s">
        <v>259</v>
      </c>
      <c r="K21" s="3507" t="s">
        <v>259</v>
      </c>
      <c r="L21" s="3507" t="s">
        <v>259</v>
      </c>
      <c r="M21" s="3507" t="s">
        <v>259</v>
      </c>
      <c r="N21" s="3507" t="s">
        <v>259</v>
      </c>
      <c r="O21" s="3507" t="s">
        <v>259</v>
      </c>
      <c r="P21" s="3507" t="s">
        <v>259</v>
      </c>
      <c r="Q21" s="3507" t="s">
        <v>259</v>
      </c>
      <c r="R21" s="3507" t="s">
        <v>259</v>
      </c>
      <c r="S21" s="660"/>
      <c r="T21" s="660"/>
    </row>
    <row r="22" spans="1:20" x14ac:dyDescent="0.2">
      <c r="A22" s="3548" t="s">
        <v>1319</v>
      </c>
      <c r="B22" s="3500" t="s">
        <v>1319</v>
      </c>
      <c r="C22" s="3507" t="s">
        <v>259</v>
      </c>
      <c r="D22" s="3500" t="s">
        <v>259</v>
      </c>
      <c r="E22" s="3500" t="s">
        <v>259</v>
      </c>
      <c r="F22" s="3507" t="s">
        <v>259</v>
      </c>
      <c r="G22" s="3507" t="s">
        <v>259</v>
      </c>
      <c r="H22" s="3507" t="s">
        <v>259</v>
      </c>
      <c r="I22" s="3507" t="s">
        <v>259</v>
      </c>
      <c r="J22" s="3507" t="s">
        <v>259</v>
      </c>
      <c r="K22" s="3507" t="s">
        <v>259</v>
      </c>
      <c r="L22" s="3500" t="s">
        <v>259</v>
      </c>
      <c r="M22" s="3500" t="s">
        <v>259</v>
      </c>
      <c r="N22" s="3507" t="s">
        <v>259</v>
      </c>
      <c r="O22" s="3500" t="s">
        <v>259</v>
      </c>
      <c r="P22" s="3500" t="s">
        <v>259</v>
      </c>
      <c r="Q22" s="3500" t="s">
        <v>259</v>
      </c>
      <c r="R22" s="3507" t="s">
        <v>259</v>
      </c>
      <c r="S22" s="660"/>
      <c r="T22" s="660"/>
    </row>
    <row r="23" spans="1:20" ht="13.5" customHeight="1" x14ac:dyDescent="0.2">
      <c r="A23" s="678" t="s">
        <v>564</v>
      </c>
      <c r="B23" s="663"/>
      <c r="C23" s="663"/>
      <c r="D23" s="663"/>
      <c r="E23" s="663"/>
      <c r="F23" s="663"/>
      <c r="G23" s="663"/>
      <c r="H23" s="663"/>
      <c r="I23" s="663"/>
      <c r="J23" s="663"/>
      <c r="K23" s="663"/>
      <c r="L23" s="663"/>
      <c r="M23" s="663"/>
      <c r="N23" s="663"/>
      <c r="O23" s="663"/>
      <c r="P23" s="663"/>
      <c r="Q23" s="663"/>
      <c r="R23" s="663"/>
      <c r="S23" s="660"/>
      <c r="T23" s="660"/>
    </row>
    <row r="24" spans="1:20" ht="28.5" customHeight="1" x14ac:dyDescent="0.2">
      <c r="A24" s="5558" t="s">
        <v>1452</v>
      </c>
      <c r="B24" s="5558"/>
      <c r="C24" s="5558"/>
      <c r="D24" s="5558"/>
      <c r="E24" s="5558"/>
      <c r="F24" s="5558"/>
      <c r="G24" s="5558"/>
      <c r="H24" s="5558"/>
      <c r="I24" s="5558"/>
      <c r="J24" s="5558"/>
      <c r="K24" s="5558"/>
      <c r="L24" s="5558"/>
      <c r="M24" s="5558"/>
      <c r="N24" s="5558"/>
      <c r="O24" s="5558"/>
      <c r="P24" s="5558"/>
      <c r="Q24" s="5558"/>
      <c r="R24" s="663"/>
      <c r="S24" s="660"/>
      <c r="T24" s="660"/>
    </row>
    <row r="25" spans="1:20" x14ac:dyDescent="0.2">
      <c r="A25" s="5582" t="s">
        <v>1451</v>
      </c>
      <c r="B25" s="5555"/>
      <c r="C25" s="5555"/>
      <c r="D25" s="5555"/>
      <c r="E25" s="5555"/>
      <c r="F25" s="5555"/>
      <c r="G25" s="5555"/>
      <c r="H25" s="5555"/>
      <c r="I25" s="5555"/>
      <c r="J25" s="5555"/>
      <c r="K25" s="5555"/>
      <c r="L25" s="5555"/>
      <c r="M25" s="5555"/>
      <c r="N25" s="5555"/>
      <c r="O25" s="5555"/>
      <c r="P25" s="5555"/>
      <c r="Q25" s="5555"/>
      <c r="R25" s="5555"/>
      <c r="S25" s="660"/>
      <c r="T25" s="660"/>
    </row>
    <row r="26" spans="1:20" ht="13.5" x14ac:dyDescent="0.2">
      <c r="A26" s="5560" t="s">
        <v>1316</v>
      </c>
      <c r="B26" s="5560"/>
      <c r="C26" s="5560"/>
      <c r="D26" s="5560"/>
      <c r="E26" s="5560"/>
      <c r="F26" s="5560"/>
      <c r="G26" s="5560"/>
      <c r="H26" s="5560"/>
      <c r="I26" s="5560"/>
      <c r="J26" s="5560"/>
      <c r="K26" s="5560"/>
      <c r="L26" s="5560"/>
      <c r="M26" s="5560"/>
      <c r="N26" s="5560"/>
      <c r="O26" s="5560"/>
      <c r="P26" s="3313"/>
      <c r="Q26" s="663"/>
      <c r="R26" s="663"/>
      <c r="S26" s="660"/>
      <c r="T26" s="660"/>
    </row>
    <row r="27" spans="1:20" ht="13.5" x14ac:dyDescent="0.2">
      <c r="A27" s="5557" t="s">
        <v>1405</v>
      </c>
      <c r="B27" s="5557"/>
      <c r="C27" s="5557"/>
      <c r="D27" s="5557"/>
      <c r="E27" s="5557"/>
      <c r="F27" s="5557"/>
      <c r="G27" s="5557"/>
      <c r="H27" s="5557"/>
      <c r="I27" s="5557"/>
      <c r="J27" s="3312"/>
      <c r="K27" s="663"/>
      <c r="L27" s="663"/>
      <c r="M27" s="663"/>
      <c r="N27" s="663"/>
      <c r="O27" s="663"/>
      <c r="P27" s="663"/>
      <c r="Q27" s="663"/>
      <c r="R27" s="663"/>
      <c r="S27" s="660"/>
      <c r="T27" s="660"/>
    </row>
    <row r="28" spans="1:20" ht="13.5" x14ac:dyDescent="0.2">
      <c r="A28" s="5554" t="s">
        <v>1433</v>
      </c>
      <c r="B28" s="5554"/>
      <c r="C28" s="5554"/>
      <c r="D28" s="5554"/>
      <c r="E28" s="5554"/>
      <c r="F28" s="5554"/>
      <c r="G28" s="5554"/>
      <c r="H28" s="5554"/>
      <c r="I28" s="5554"/>
      <c r="J28" s="5554"/>
      <c r="K28" s="5554"/>
      <c r="L28" s="5554"/>
      <c r="M28" s="5554"/>
      <c r="N28" s="5554"/>
      <c r="O28" s="5554"/>
      <c r="P28" s="5554"/>
      <c r="Q28" s="5554"/>
      <c r="R28" s="5554"/>
      <c r="S28" s="660"/>
      <c r="T28" s="660"/>
    </row>
    <row r="29" spans="1:20" ht="13.5" x14ac:dyDescent="0.2">
      <c r="A29" s="5583" t="s">
        <v>1450</v>
      </c>
      <c r="B29" s="5583"/>
      <c r="C29" s="5583"/>
      <c r="D29" s="5583"/>
      <c r="E29" s="5583"/>
      <c r="F29" s="5583"/>
      <c r="G29" s="5583"/>
      <c r="H29" s="5583"/>
      <c r="I29" s="5583"/>
      <c r="J29" s="5583"/>
      <c r="K29" s="5583"/>
      <c r="L29" s="5583"/>
      <c r="M29" s="5583"/>
      <c r="N29" s="5583"/>
      <c r="O29" s="5583"/>
      <c r="P29" s="5583"/>
      <c r="Q29" s="5583"/>
      <c r="R29" s="5583"/>
      <c r="S29" s="660"/>
      <c r="T29" s="660"/>
    </row>
    <row r="30" spans="1:20" ht="13.5" x14ac:dyDescent="0.2">
      <c r="A30" s="749" t="s">
        <v>1449</v>
      </c>
      <c r="B30" s="749"/>
      <c r="C30" s="749"/>
      <c r="D30" s="749"/>
      <c r="E30" s="749"/>
      <c r="F30" s="749"/>
      <c r="G30" s="749"/>
      <c r="H30" s="749"/>
      <c r="I30" s="749"/>
      <c r="J30" s="749"/>
      <c r="K30" s="749"/>
      <c r="L30" s="749"/>
      <c r="M30" s="749"/>
      <c r="N30" s="749"/>
      <c r="O30" s="749"/>
      <c r="P30" s="749"/>
      <c r="Q30" s="749"/>
      <c r="R30" s="749"/>
      <c r="S30" s="660"/>
      <c r="T30" s="660"/>
    </row>
    <row r="31" spans="1:20" ht="10.5" customHeight="1" x14ac:dyDescent="0.2">
      <c r="A31" s="749"/>
      <c r="B31" s="731"/>
      <c r="C31" s="731"/>
      <c r="D31" s="731"/>
      <c r="E31" s="731"/>
      <c r="F31" s="731"/>
      <c r="G31" s="731"/>
      <c r="H31" s="731"/>
      <c r="I31" s="731"/>
      <c r="J31" s="731"/>
      <c r="K31" s="731"/>
      <c r="L31" s="731"/>
      <c r="M31" s="731"/>
      <c r="N31" s="731"/>
      <c r="O31" s="731"/>
      <c r="P31" s="731"/>
      <c r="Q31" s="731"/>
      <c r="R31" s="731"/>
      <c r="S31" s="660"/>
      <c r="T31" s="660"/>
    </row>
    <row r="32" spans="1:20" ht="15.75" customHeight="1" x14ac:dyDescent="0.2">
      <c r="A32" s="3572" t="s">
        <v>982</v>
      </c>
      <c r="B32" s="3570"/>
      <c r="C32" s="3570"/>
      <c r="D32" s="3570"/>
      <c r="E32" s="3570"/>
      <c r="F32" s="3570"/>
      <c r="G32" s="3570"/>
      <c r="H32" s="3570"/>
      <c r="I32" s="3570"/>
      <c r="J32" s="3570"/>
      <c r="K32" s="3570"/>
      <c r="L32" s="3570"/>
      <c r="M32" s="3570"/>
      <c r="N32" s="3570"/>
      <c r="O32" s="3570"/>
      <c r="P32" s="3570"/>
      <c r="Q32" s="3570"/>
      <c r="R32" s="3569"/>
      <c r="S32" s="660"/>
      <c r="T32" s="660"/>
    </row>
    <row r="33" spans="1:20" ht="33.75" customHeight="1" x14ac:dyDescent="0.2">
      <c r="A33" s="5756" t="s">
        <v>1448</v>
      </c>
      <c r="B33" s="5746"/>
      <c r="C33" s="5746"/>
      <c r="D33" s="5746"/>
      <c r="E33" s="5746"/>
      <c r="F33" s="5746"/>
      <c r="G33" s="5746"/>
      <c r="H33" s="5746"/>
      <c r="I33" s="5746"/>
      <c r="J33" s="5746"/>
      <c r="K33" s="5746"/>
      <c r="L33" s="5746"/>
      <c r="M33" s="5746"/>
      <c r="N33" s="5746"/>
      <c r="O33" s="5746"/>
      <c r="P33" s="5746"/>
      <c r="Q33" s="5746"/>
      <c r="R33" s="5747"/>
      <c r="S33" s="660"/>
      <c r="T33" s="660"/>
    </row>
    <row r="34" spans="1:20" ht="12" customHeight="1" x14ac:dyDescent="0.2">
      <c r="A34" s="3568" t="s">
        <v>980</v>
      </c>
      <c r="B34" s="5696" t="s">
        <v>986</v>
      </c>
      <c r="C34" s="5735"/>
      <c r="D34" s="5735"/>
      <c r="E34" s="5735"/>
      <c r="F34" s="5735"/>
      <c r="G34" s="5735"/>
      <c r="H34" s="5735"/>
      <c r="I34" s="5735"/>
      <c r="J34" s="5735"/>
      <c r="K34" s="5735"/>
      <c r="L34" s="5735"/>
      <c r="M34" s="5735"/>
      <c r="N34" s="5735"/>
      <c r="O34" s="5735"/>
      <c r="P34" s="5735"/>
      <c r="Q34" s="5735"/>
      <c r="R34" s="5735"/>
      <c r="S34" s="660"/>
      <c r="T34" s="660"/>
    </row>
    <row r="35" spans="1:20" ht="12" customHeight="1" x14ac:dyDescent="0.2">
      <c r="A35" s="3568" t="s">
        <v>980</v>
      </c>
      <c r="B35" s="5696" t="s">
        <v>986</v>
      </c>
      <c r="C35" s="5735"/>
      <c r="D35" s="5735"/>
      <c r="E35" s="5735"/>
      <c r="F35" s="5735"/>
      <c r="G35" s="5735"/>
      <c r="H35" s="5735"/>
      <c r="I35" s="5735"/>
      <c r="J35" s="5735"/>
      <c r="K35" s="5735"/>
      <c r="L35" s="5735"/>
      <c r="M35" s="5735"/>
      <c r="N35" s="5735"/>
      <c r="O35" s="5735"/>
      <c r="P35" s="5735"/>
      <c r="Q35" s="5735"/>
      <c r="R35" s="5735"/>
    </row>
  </sheetData>
  <sheetProtection password="A754" sheet="1" objects="1" scenarios="1"/>
  <mergeCells count="27">
    <mergeCell ref="A26:O26"/>
    <mergeCell ref="A27:I27"/>
    <mergeCell ref="A28:R28"/>
    <mergeCell ref="A29:R29"/>
    <mergeCell ref="A24:Q24"/>
    <mergeCell ref="B34:R34"/>
    <mergeCell ref="B35:R35"/>
    <mergeCell ref="A5:B5"/>
    <mergeCell ref="F5:K5"/>
    <mergeCell ref="L5:Q5"/>
    <mergeCell ref="R5:R8"/>
    <mergeCell ref="A6:A9"/>
    <mergeCell ref="B6:B9"/>
    <mergeCell ref="C6:C9"/>
    <mergeCell ref="C5:E5"/>
    <mergeCell ref="D6:D9"/>
    <mergeCell ref="E6:E9"/>
    <mergeCell ref="J6:K7"/>
    <mergeCell ref="A33:R33"/>
    <mergeCell ref="A25:R25"/>
    <mergeCell ref="F6:H7"/>
    <mergeCell ref="I6:I8"/>
    <mergeCell ref="L6:N7"/>
    <mergeCell ref="O6:O8"/>
    <mergeCell ref="F9:K9"/>
    <mergeCell ref="L9:Q9"/>
    <mergeCell ref="P6:Q7"/>
  </mergeCells>
  <printOptions horizontalCentered="1" verticalCentered="1"/>
  <pageMargins left="0.39370078740157483" right="0.39370078740157483" top="0.39370078740157483" bottom="0.39370078740157483" header="0.19685039370078741" footer="0.19685039370078741"/>
  <pageSetup paperSize="9" scale="49" orientation="landscape" r:id="rId1"/>
  <headerFooter alignWithMargins="0"/>
  <colBreaks count="1" manualBreakCount="1">
    <brk id="18" max="1048575" man="1"/>
  </col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C124B-7202-4BE8-9EA9-52FD71E67767}">
  <sheetPr codeName="Ark51">
    <tabColor theme="0" tint="-0.249977111117893"/>
    <pageSetUpPr fitToPage="1"/>
  </sheetPr>
  <dimension ref="A1:J81"/>
  <sheetViews>
    <sheetView showGridLines="0" workbookViewId="0"/>
  </sheetViews>
  <sheetFormatPr defaultColWidth="9.140625" defaultRowHeight="12" x14ac:dyDescent="0.2"/>
  <cols>
    <col min="1" max="1" width="46.42578125" style="3426" customWidth="1"/>
    <col min="2" max="2" width="13.7109375" style="3426" customWidth="1"/>
    <col min="3" max="3" width="20" style="3426" customWidth="1"/>
    <col min="4" max="6" width="16.85546875" style="3426" customWidth="1"/>
    <col min="7" max="9" width="17.5703125" style="3426" customWidth="1"/>
    <col min="10" max="16384" width="9.140625" style="3426"/>
  </cols>
  <sheetData>
    <row r="1" spans="1:10" ht="15.75" x14ac:dyDescent="0.25">
      <c r="A1" s="671" t="s">
        <v>1497</v>
      </c>
      <c r="B1" s="670"/>
      <c r="C1" s="670"/>
      <c r="D1" s="660"/>
      <c r="E1" s="660"/>
      <c r="F1" s="660"/>
      <c r="G1" s="660"/>
      <c r="H1" s="660"/>
      <c r="I1" s="668" t="s">
        <v>1791</v>
      </c>
      <c r="J1" s="3429"/>
    </row>
    <row r="2" spans="1:10" ht="15.75" x14ac:dyDescent="0.25">
      <c r="A2" s="5430" t="s">
        <v>1496</v>
      </c>
      <c r="B2" s="5430"/>
      <c r="C2" s="5430"/>
      <c r="D2" s="753"/>
      <c r="E2" s="660"/>
      <c r="F2" s="660"/>
      <c r="G2" s="660"/>
      <c r="H2" s="660"/>
      <c r="I2" s="668" t="s">
        <v>1790</v>
      </c>
      <c r="J2" s="3429"/>
    </row>
    <row r="3" spans="1:10" ht="15.75" x14ac:dyDescent="0.25">
      <c r="A3" s="671" t="s">
        <v>1197</v>
      </c>
      <c r="B3" s="670"/>
      <c r="C3" s="670"/>
      <c r="D3" s="660"/>
      <c r="E3" s="660"/>
      <c r="F3" s="660"/>
      <c r="G3" s="660"/>
      <c r="H3" s="660"/>
      <c r="I3" s="668" t="s">
        <v>1789</v>
      </c>
      <c r="J3" s="3429"/>
    </row>
    <row r="4" spans="1:10" x14ac:dyDescent="0.2">
      <c r="A4" s="660"/>
      <c r="B4" s="660"/>
      <c r="C4" s="660"/>
      <c r="D4" s="660"/>
      <c r="E4" s="660"/>
      <c r="F4" s="660"/>
      <c r="G4" s="660"/>
      <c r="H4" s="660"/>
      <c r="I4" s="660"/>
      <c r="J4" s="3429"/>
    </row>
    <row r="5" spans="1:10" ht="15" customHeight="1" x14ac:dyDescent="0.2">
      <c r="A5" s="3596" t="s">
        <v>1025</v>
      </c>
      <c r="B5" s="5744" t="s">
        <v>1495</v>
      </c>
      <c r="C5" s="3595" t="s">
        <v>1083</v>
      </c>
      <c r="D5" s="5744" t="s">
        <v>1494</v>
      </c>
      <c r="E5" s="5744"/>
      <c r="F5" s="5744"/>
      <c r="G5" s="5742" t="s">
        <v>1081</v>
      </c>
      <c r="H5" s="5744"/>
      <c r="I5" s="5743"/>
      <c r="J5" s="3429"/>
    </row>
    <row r="6" spans="1:10" ht="15" x14ac:dyDescent="0.25">
      <c r="A6" s="5728" t="s">
        <v>1493</v>
      </c>
      <c r="B6" s="5587"/>
      <c r="C6" s="3593" t="s">
        <v>1492</v>
      </c>
      <c r="D6" s="3594" t="s">
        <v>1491</v>
      </c>
      <c r="E6" s="3594" t="s">
        <v>1490</v>
      </c>
      <c r="F6" s="3593" t="s">
        <v>1489</v>
      </c>
      <c r="G6" s="3592" t="s">
        <v>1488</v>
      </c>
      <c r="H6" s="3592" t="s">
        <v>1022</v>
      </c>
      <c r="I6" s="3592" t="s">
        <v>1023</v>
      </c>
      <c r="J6" s="3429"/>
    </row>
    <row r="7" spans="1:10" ht="14.25" thickBot="1" x14ac:dyDescent="0.3">
      <c r="A7" s="5556"/>
      <c r="B7" s="5588"/>
      <c r="C7" s="752" t="s">
        <v>1487</v>
      </c>
      <c r="D7" s="752" t="s">
        <v>1486</v>
      </c>
      <c r="E7" s="751" t="s">
        <v>1485</v>
      </c>
      <c r="F7" s="750" t="s">
        <v>1484</v>
      </c>
      <c r="G7" s="5584" t="s">
        <v>1011</v>
      </c>
      <c r="H7" s="5585"/>
      <c r="I7" s="5586"/>
      <c r="J7" s="3429"/>
    </row>
    <row r="8" spans="1:10" ht="12" customHeight="1" thickTop="1" x14ac:dyDescent="0.2">
      <c r="A8" s="3306" t="s">
        <v>1483</v>
      </c>
      <c r="B8" s="3497" t="s">
        <v>986</v>
      </c>
      <c r="C8" s="3497" t="s">
        <v>986</v>
      </c>
      <c r="D8" s="3497" t="s">
        <v>986</v>
      </c>
      <c r="E8" s="3497" t="s">
        <v>986</v>
      </c>
      <c r="F8" s="3497" t="s">
        <v>986</v>
      </c>
      <c r="G8" s="3507">
        <v>140.658523605</v>
      </c>
      <c r="H8" s="3507">
        <v>6.9062509583879994E-2</v>
      </c>
      <c r="I8" s="3507">
        <v>9.5519369412350006</v>
      </c>
      <c r="J8" s="3429"/>
    </row>
    <row r="9" spans="1:10" ht="12" customHeight="1" x14ac:dyDescent="0.2">
      <c r="A9" s="3582" t="s">
        <v>1482</v>
      </c>
      <c r="B9" s="3497" t="s">
        <v>986</v>
      </c>
      <c r="C9" s="3497" t="s">
        <v>986</v>
      </c>
      <c r="D9" s="3497" t="s">
        <v>986</v>
      </c>
      <c r="E9" s="3497" t="s">
        <v>986</v>
      </c>
      <c r="F9" s="3497" t="s">
        <v>986</v>
      </c>
      <c r="G9" s="3507" t="s">
        <v>1366</v>
      </c>
      <c r="H9" s="3507">
        <v>6.8685464616000003E-2</v>
      </c>
      <c r="I9" s="3507">
        <v>0.12371188797</v>
      </c>
      <c r="J9" s="3429"/>
    </row>
    <row r="10" spans="1:10" ht="12" customHeight="1" x14ac:dyDescent="0.2">
      <c r="A10" s="3590" t="s">
        <v>1476</v>
      </c>
      <c r="B10" s="3497"/>
      <c r="C10" s="3507">
        <v>31.220665734000001</v>
      </c>
      <c r="D10" s="3507" t="s">
        <v>1366</v>
      </c>
      <c r="E10" s="3507">
        <v>1.4000000000244599</v>
      </c>
      <c r="F10" s="3507">
        <v>3.9624999999687698</v>
      </c>
      <c r="G10" s="3507" t="s">
        <v>1366</v>
      </c>
      <c r="H10" s="3507">
        <v>6.8685464616000003E-2</v>
      </c>
      <c r="I10" s="3507">
        <v>0.12371188797</v>
      </c>
      <c r="J10" s="3429"/>
    </row>
    <row r="11" spans="1:10" ht="12" customHeight="1" x14ac:dyDescent="0.2">
      <c r="A11" s="3591" t="s">
        <v>1475</v>
      </c>
      <c r="B11" s="3497"/>
      <c r="C11" s="3507">
        <v>15.610332867</v>
      </c>
      <c r="D11" s="3507" t="s">
        <v>455</v>
      </c>
      <c r="E11" s="3507">
        <v>2.8000000000489198</v>
      </c>
      <c r="F11" s="3507">
        <v>7.9249999999375396</v>
      </c>
      <c r="G11" s="3507" t="s">
        <v>455</v>
      </c>
      <c r="H11" s="3507">
        <v>6.8685464616000003E-2</v>
      </c>
      <c r="I11" s="3507">
        <v>0.12371188797</v>
      </c>
      <c r="J11" s="3429"/>
    </row>
    <row r="12" spans="1:10" ht="12" customHeight="1" x14ac:dyDescent="0.2">
      <c r="A12" s="3589" t="s">
        <v>1319</v>
      </c>
      <c r="B12" s="3500" t="s">
        <v>1319</v>
      </c>
      <c r="C12" s="3500">
        <v>15.610332867</v>
      </c>
      <c r="D12" s="3507" t="s">
        <v>455</v>
      </c>
      <c r="E12" s="3507">
        <v>2.8000000000489198</v>
      </c>
      <c r="F12" s="3507">
        <v>7.9249999999375396</v>
      </c>
      <c r="G12" s="3500" t="s">
        <v>455</v>
      </c>
      <c r="H12" s="3500">
        <v>6.8685464616000003E-2</v>
      </c>
      <c r="I12" s="3500">
        <v>0.12371188797</v>
      </c>
      <c r="J12" s="3429"/>
    </row>
    <row r="13" spans="1:10" ht="12" customHeight="1" x14ac:dyDescent="0.2">
      <c r="A13" s="3591" t="s">
        <v>1474</v>
      </c>
      <c r="B13" s="3497"/>
      <c r="C13" s="3507">
        <v>15.610332867</v>
      </c>
      <c r="D13" s="3507" t="s">
        <v>455</v>
      </c>
      <c r="E13" s="3507" t="s">
        <v>259</v>
      </c>
      <c r="F13" s="3507" t="s">
        <v>259</v>
      </c>
      <c r="G13" s="3507" t="s">
        <v>455</v>
      </c>
      <c r="H13" s="3507" t="s">
        <v>259</v>
      </c>
      <c r="I13" s="3507" t="s">
        <v>259</v>
      </c>
      <c r="J13" s="3429"/>
    </row>
    <row r="14" spans="1:10" ht="12" customHeight="1" x14ac:dyDescent="0.2">
      <c r="A14" s="3589" t="s">
        <v>1319</v>
      </c>
      <c r="B14" s="3500" t="s">
        <v>1319</v>
      </c>
      <c r="C14" s="3500">
        <v>15.610332867</v>
      </c>
      <c r="D14" s="3507" t="s">
        <v>455</v>
      </c>
      <c r="E14" s="3507" t="s">
        <v>259</v>
      </c>
      <c r="F14" s="3507" t="s">
        <v>259</v>
      </c>
      <c r="G14" s="3500" t="s">
        <v>455</v>
      </c>
      <c r="H14" s="3500" t="s">
        <v>259</v>
      </c>
      <c r="I14" s="3500" t="s">
        <v>259</v>
      </c>
      <c r="J14" s="3429"/>
    </row>
    <row r="15" spans="1:10" ht="12" customHeight="1" x14ac:dyDescent="0.2">
      <c r="A15" s="3588" t="s">
        <v>1218</v>
      </c>
      <c r="B15" s="3497"/>
      <c r="C15" s="3507" t="s">
        <v>259</v>
      </c>
      <c r="D15" s="3507" t="s">
        <v>259</v>
      </c>
      <c r="E15" s="3507" t="s">
        <v>259</v>
      </c>
      <c r="F15" s="3507" t="s">
        <v>259</v>
      </c>
      <c r="G15" s="3507" t="s">
        <v>259</v>
      </c>
      <c r="H15" s="3507" t="s">
        <v>259</v>
      </c>
      <c r="I15" s="3507" t="s">
        <v>259</v>
      </c>
      <c r="J15" s="3429"/>
    </row>
    <row r="16" spans="1:10" ht="12" customHeight="1" x14ac:dyDescent="0.2">
      <c r="A16" s="3590" t="s">
        <v>1473</v>
      </c>
      <c r="B16" s="3497"/>
      <c r="C16" s="3507" t="s">
        <v>259</v>
      </c>
      <c r="D16" s="3507" t="s">
        <v>259</v>
      </c>
      <c r="E16" s="3507" t="s">
        <v>259</v>
      </c>
      <c r="F16" s="3507" t="s">
        <v>259</v>
      </c>
      <c r="G16" s="3507" t="s">
        <v>259</v>
      </c>
      <c r="H16" s="3507" t="s">
        <v>259</v>
      </c>
      <c r="I16" s="3507" t="s">
        <v>259</v>
      </c>
      <c r="J16" s="3429"/>
    </row>
    <row r="17" spans="1:10" ht="12" customHeight="1" x14ac:dyDescent="0.2">
      <c r="A17" s="3588" t="s">
        <v>1472</v>
      </c>
      <c r="B17" s="3497"/>
      <c r="C17" s="3507" t="s">
        <v>259</v>
      </c>
      <c r="D17" s="3507" t="s">
        <v>259</v>
      </c>
      <c r="E17" s="3507" t="s">
        <v>259</v>
      </c>
      <c r="F17" s="3507" t="s">
        <v>259</v>
      </c>
      <c r="G17" s="3507" t="s">
        <v>259</v>
      </c>
      <c r="H17" s="3507" t="s">
        <v>259</v>
      </c>
      <c r="I17" s="3507" t="s">
        <v>259</v>
      </c>
      <c r="J17" s="3429"/>
    </row>
    <row r="18" spans="1:10" ht="12" customHeight="1" x14ac:dyDescent="0.2">
      <c r="A18" s="3589" t="s">
        <v>1319</v>
      </c>
      <c r="B18" s="3500" t="s">
        <v>1319</v>
      </c>
      <c r="C18" s="3500" t="s">
        <v>259</v>
      </c>
      <c r="D18" s="3507" t="s">
        <v>259</v>
      </c>
      <c r="E18" s="3507" t="s">
        <v>259</v>
      </c>
      <c r="F18" s="3507" t="s">
        <v>259</v>
      </c>
      <c r="G18" s="3500" t="s">
        <v>259</v>
      </c>
      <c r="H18" s="3500" t="s">
        <v>259</v>
      </c>
      <c r="I18" s="3500" t="s">
        <v>259</v>
      </c>
      <c r="J18" s="3429"/>
    </row>
    <row r="19" spans="1:10" ht="12" customHeight="1" x14ac:dyDescent="0.2">
      <c r="A19" s="3588" t="s">
        <v>1218</v>
      </c>
      <c r="B19" s="3497"/>
      <c r="C19" s="3507" t="s">
        <v>259</v>
      </c>
      <c r="D19" s="3507" t="s">
        <v>259</v>
      </c>
      <c r="E19" s="3507" t="s">
        <v>259</v>
      </c>
      <c r="F19" s="3507" t="s">
        <v>259</v>
      </c>
      <c r="G19" s="3507" t="s">
        <v>259</v>
      </c>
      <c r="H19" s="3507" t="s">
        <v>259</v>
      </c>
      <c r="I19" s="3507" t="s">
        <v>259</v>
      </c>
      <c r="J19" s="3429"/>
    </row>
    <row r="20" spans="1:10" ht="12" customHeight="1" x14ac:dyDescent="0.2">
      <c r="A20" s="3582" t="s">
        <v>1481</v>
      </c>
      <c r="B20" s="3497" t="s">
        <v>986</v>
      </c>
      <c r="C20" s="3497" t="s">
        <v>986</v>
      </c>
      <c r="D20" s="3497" t="s">
        <v>986</v>
      </c>
      <c r="E20" s="3497" t="s">
        <v>986</v>
      </c>
      <c r="F20" s="3497" t="s">
        <v>986</v>
      </c>
      <c r="G20" s="3507">
        <v>72.290548989000001</v>
      </c>
      <c r="H20" s="3507" t="s">
        <v>259</v>
      </c>
      <c r="I20" s="3507">
        <v>3.8859232767649998</v>
      </c>
      <c r="J20" s="3429"/>
    </row>
    <row r="21" spans="1:10" ht="12" customHeight="1" x14ac:dyDescent="0.2">
      <c r="A21" s="3590" t="s">
        <v>1476</v>
      </c>
      <c r="B21" s="3497"/>
      <c r="C21" s="3507">
        <v>97.677347127600001</v>
      </c>
      <c r="D21" s="3507">
        <v>740.09533545750207</v>
      </c>
      <c r="E21" s="3497" t="s">
        <v>986</v>
      </c>
      <c r="F21" s="3507">
        <v>39.783259793989451</v>
      </c>
      <c r="G21" s="3507">
        <v>72.290548989000001</v>
      </c>
      <c r="H21" s="3497" t="s">
        <v>986</v>
      </c>
      <c r="I21" s="3507">
        <v>3.8859232767649998</v>
      </c>
      <c r="J21" s="3429"/>
    </row>
    <row r="22" spans="1:10" ht="12" customHeight="1" x14ac:dyDescent="0.2">
      <c r="A22" s="3591" t="s">
        <v>1475</v>
      </c>
      <c r="B22" s="3497"/>
      <c r="C22" s="3507">
        <v>94.443548999000001</v>
      </c>
      <c r="D22" s="3507">
        <v>765.43659948405195</v>
      </c>
      <c r="E22" s="3497" t="s">
        <v>986</v>
      </c>
      <c r="F22" s="3507">
        <v>40.185639984158001</v>
      </c>
      <c r="G22" s="3507">
        <v>72.290548989000001</v>
      </c>
      <c r="H22" s="3497" t="s">
        <v>986</v>
      </c>
      <c r="I22" s="3507">
        <v>3.7952744588999998</v>
      </c>
      <c r="J22" s="3429"/>
    </row>
    <row r="23" spans="1:10" ht="12" customHeight="1" x14ac:dyDescent="0.2">
      <c r="A23" s="3589" t="s">
        <v>1319</v>
      </c>
      <c r="B23" s="3500" t="s">
        <v>1319</v>
      </c>
      <c r="C23" s="3500">
        <v>94.443548999000001</v>
      </c>
      <c r="D23" s="3507">
        <v>765.43659948405195</v>
      </c>
      <c r="E23" s="3497" t="s">
        <v>986</v>
      </c>
      <c r="F23" s="3507">
        <v>40.185639984158001</v>
      </c>
      <c r="G23" s="3500">
        <v>72.290548989000001</v>
      </c>
      <c r="H23" s="3497" t="s">
        <v>986</v>
      </c>
      <c r="I23" s="3500">
        <v>3.7952744588999998</v>
      </c>
      <c r="J23" s="3429"/>
    </row>
    <row r="24" spans="1:10" ht="12" customHeight="1" x14ac:dyDescent="0.2">
      <c r="A24" s="3591" t="s">
        <v>1474</v>
      </c>
      <c r="B24" s="3497"/>
      <c r="C24" s="3507">
        <v>3.2337981286000002</v>
      </c>
      <c r="D24" s="3507" t="s">
        <v>455</v>
      </c>
      <c r="E24" s="3497" t="s">
        <v>986</v>
      </c>
      <c r="F24" s="3507">
        <v>28.031687279206992</v>
      </c>
      <c r="G24" s="3507" t="s">
        <v>455</v>
      </c>
      <c r="H24" s="3497" t="s">
        <v>986</v>
      </c>
      <c r="I24" s="3507">
        <v>9.0648817864999995E-2</v>
      </c>
      <c r="J24" s="3429"/>
    </row>
    <row r="25" spans="1:10" ht="12" customHeight="1" x14ac:dyDescent="0.2">
      <c r="A25" s="3589" t="s">
        <v>1319</v>
      </c>
      <c r="B25" s="3500" t="s">
        <v>1319</v>
      </c>
      <c r="C25" s="3500">
        <v>3.2337981286000002</v>
      </c>
      <c r="D25" s="3507" t="s">
        <v>455</v>
      </c>
      <c r="E25" s="3497" t="s">
        <v>986</v>
      </c>
      <c r="F25" s="3507">
        <v>28.031687279206992</v>
      </c>
      <c r="G25" s="3500" t="s">
        <v>455</v>
      </c>
      <c r="H25" s="3497" t="s">
        <v>986</v>
      </c>
      <c r="I25" s="3500">
        <v>9.0648817864999995E-2</v>
      </c>
      <c r="J25" s="3429"/>
    </row>
    <row r="26" spans="1:10" ht="12" customHeight="1" x14ac:dyDescent="0.2">
      <c r="A26" s="3588" t="s">
        <v>1218</v>
      </c>
      <c r="B26" s="3497"/>
      <c r="C26" s="3507" t="s">
        <v>259</v>
      </c>
      <c r="D26" s="3507" t="s">
        <v>259</v>
      </c>
      <c r="E26" s="3497" t="s">
        <v>986</v>
      </c>
      <c r="F26" s="3507" t="s">
        <v>259</v>
      </c>
      <c r="G26" s="3507" t="s">
        <v>259</v>
      </c>
      <c r="H26" s="3497" t="s">
        <v>986</v>
      </c>
      <c r="I26" s="3507" t="s">
        <v>259</v>
      </c>
      <c r="J26" s="3429"/>
    </row>
    <row r="27" spans="1:10" ht="12" customHeight="1" x14ac:dyDescent="0.2">
      <c r="A27" s="3590" t="s">
        <v>1473</v>
      </c>
      <c r="B27" s="3497"/>
      <c r="C27" s="3507" t="s">
        <v>259</v>
      </c>
      <c r="D27" s="3507" t="s">
        <v>259</v>
      </c>
      <c r="E27" s="3507" t="s">
        <v>259</v>
      </c>
      <c r="F27" s="3507" t="s">
        <v>259</v>
      </c>
      <c r="G27" s="3507" t="s">
        <v>259</v>
      </c>
      <c r="H27" s="3507" t="s">
        <v>259</v>
      </c>
      <c r="I27" s="3507" t="s">
        <v>259</v>
      </c>
      <c r="J27" s="3429"/>
    </row>
    <row r="28" spans="1:10" ht="12" customHeight="1" x14ac:dyDescent="0.2">
      <c r="A28" s="3588" t="s">
        <v>1472</v>
      </c>
      <c r="B28" s="3497"/>
      <c r="C28" s="3507" t="s">
        <v>259</v>
      </c>
      <c r="D28" s="3507" t="s">
        <v>259</v>
      </c>
      <c r="E28" s="3497" t="s">
        <v>986</v>
      </c>
      <c r="F28" s="3507" t="s">
        <v>259</v>
      </c>
      <c r="G28" s="3507" t="s">
        <v>259</v>
      </c>
      <c r="H28" s="3497" t="s">
        <v>986</v>
      </c>
      <c r="I28" s="3507" t="s">
        <v>259</v>
      </c>
      <c r="J28" s="3429"/>
    </row>
    <row r="29" spans="1:10" ht="12" customHeight="1" x14ac:dyDescent="0.2">
      <c r="A29" s="3589" t="s">
        <v>1319</v>
      </c>
      <c r="B29" s="3500" t="s">
        <v>1319</v>
      </c>
      <c r="C29" s="3500" t="s">
        <v>259</v>
      </c>
      <c r="D29" s="3507" t="s">
        <v>259</v>
      </c>
      <c r="E29" s="3497" t="s">
        <v>986</v>
      </c>
      <c r="F29" s="3507" t="s">
        <v>259</v>
      </c>
      <c r="G29" s="3500" t="s">
        <v>259</v>
      </c>
      <c r="H29" s="3497" t="s">
        <v>986</v>
      </c>
      <c r="I29" s="3500" t="s">
        <v>259</v>
      </c>
      <c r="J29" s="3429"/>
    </row>
    <row r="30" spans="1:10" ht="12" customHeight="1" x14ac:dyDescent="0.2">
      <c r="A30" s="3588" t="s">
        <v>1218</v>
      </c>
      <c r="B30" s="3497"/>
      <c r="C30" s="3507" t="s">
        <v>259</v>
      </c>
      <c r="D30" s="3507" t="s">
        <v>259</v>
      </c>
      <c r="E30" s="3507" t="s">
        <v>259</v>
      </c>
      <c r="F30" s="3507" t="s">
        <v>259</v>
      </c>
      <c r="G30" s="3507" t="s">
        <v>259</v>
      </c>
      <c r="H30" s="3507" t="s">
        <v>259</v>
      </c>
      <c r="I30" s="3507" t="s">
        <v>259</v>
      </c>
      <c r="J30" s="3429"/>
    </row>
    <row r="31" spans="1:10" ht="12" customHeight="1" x14ac:dyDescent="0.2">
      <c r="A31" s="3582" t="s">
        <v>1480</v>
      </c>
      <c r="B31" s="3497" t="s">
        <v>986</v>
      </c>
      <c r="C31" s="3497" t="s">
        <v>986</v>
      </c>
      <c r="D31" s="3497" t="s">
        <v>986</v>
      </c>
      <c r="E31" s="3497" t="s">
        <v>986</v>
      </c>
      <c r="F31" s="3497" t="s">
        <v>986</v>
      </c>
      <c r="G31" s="3507">
        <v>68.367974615999998</v>
      </c>
      <c r="H31" s="3507" t="s">
        <v>259</v>
      </c>
      <c r="I31" s="3507">
        <v>4.4659725353999997</v>
      </c>
      <c r="J31" s="3429"/>
    </row>
    <row r="32" spans="1:10" ht="12" customHeight="1" x14ac:dyDescent="0.2">
      <c r="A32" s="3590" t="s">
        <v>1476</v>
      </c>
      <c r="B32" s="3497"/>
      <c r="C32" s="3507">
        <v>78.637699015999999</v>
      </c>
      <c r="D32" s="3507">
        <v>869.40456640382536</v>
      </c>
      <c r="E32" s="3497" t="s">
        <v>986</v>
      </c>
      <c r="F32" s="3507">
        <v>56.791749902185359</v>
      </c>
      <c r="G32" s="3507">
        <v>68.367974615999998</v>
      </c>
      <c r="H32" s="3497" t="s">
        <v>986</v>
      </c>
      <c r="I32" s="3507">
        <v>4.4659725353999997</v>
      </c>
      <c r="J32" s="3429"/>
    </row>
    <row r="33" spans="1:10" ht="12" customHeight="1" x14ac:dyDescent="0.2">
      <c r="A33" s="3591" t="s">
        <v>1475</v>
      </c>
      <c r="B33" s="3497"/>
      <c r="C33" s="3507">
        <v>78.637699015999999</v>
      </c>
      <c r="D33" s="3507">
        <v>869.40456640382536</v>
      </c>
      <c r="E33" s="3497" t="s">
        <v>986</v>
      </c>
      <c r="F33" s="3507">
        <v>56.791749902185359</v>
      </c>
      <c r="G33" s="3507">
        <v>68.367974615999998</v>
      </c>
      <c r="H33" s="3497" t="s">
        <v>986</v>
      </c>
      <c r="I33" s="3507">
        <v>4.4659725353999997</v>
      </c>
      <c r="J33" s="3429"/>
    </row>
    <row r="34" spans="1:10" ht="12" customHeight="1" x14ac:dyDescent="0.2">
      <c r="A34" s="3589" t="s">
        <v>1319</v>
      </c>
      <c r="B34" s="3500" t="s">
        <v>1319</v>
      </c>
      <c r="C34" s="3500">
        <v>78.637699015999999</v>
      </c>
      <c r="D34" s="3507">
        <v>869.40456640382536</v>
      </c>
      <c r="E34" s="3497" t="s">
        <v>986</v>
      </c>
      <c r="F34" s="3507">
        <v>56.791749902185359</v>
      </c>
      <c r="G34" s="3500">
        <v>68.367974615999998</v>
      </c>
      <c r="H34" s="3497" t="s">
        <v>986</v>
      </c>
      <c r="I34" s="3500">
        <v>4.4659725353999997</v>
      </c>
      <c r="J34" s="3429"/>
    </row>
    <row r="35" spans="1:10" ht="12" customHeight="1" x14ac:dyDescent="0.2">
      <c r="A35" s="3591" t="s">
        <v>1474</v>
      </c>
      <c r="B35" s="3497"/>
      <c r="C35" s="3507" t="s">
        <v>455</v>
      </c>
      <c r="D35" s="3507" t="s">
        <v>455</v>
      </c>
      <c r="E35" s="3497" t="s">
        <v>986</v>
      </c>
      <c r="F35" s="3507" t="s">
        <v>455</v>
      </c>
      <c r="G35" s="3507" t="s">
        <v>455</v>
      </c>
      <c r="H35" s="3497" t="s">
        <v>986</v>
      </c>
      <c r="I35" s="3507" t="s">
        <v>455</v>
      </c>
      <c r="J35" s="3429"/>
    </row>
    <row r="36" spans="1:10" ht="12" customHeight="1" x14ac:dyDescent="0.2">
      <c r="A36" s="3589" t="s">
        <v>1319</v>
      </c>
      <c r="B36" s="3500" t="s">
        <v>1319</v>
      </c>
      <c r="C36" s="3500" t="s">
        <v>455</v>
      </c>
      <c r="D36" s="3507" t="s">
        <v>455</v>
      </c>
      <c r="E36" s="3497" t="s">
        <v>986</v>
      </c>
      <c r="F36" s="3507" t="s">
        <v>455</v>
      </c>
      <c r="G36" s="3500" t="s">
        <v>455</v>
      </c>
      <c r="H36" s="3497" t="s">
        <v>986</v>
      </c>
      <c r="I36" s="3500" t="s">
        <v>455</v>
      </c>
      <c r="J36" s="3429"/>
    </row>
    <row r="37" spans="1:10" ht="12" customHeight="1" x14ac:dyDescent="0.2">
      <c r="A37" s="3588" t="s">
        <v>1218</v>
      </c>
      <c r="B37" s="3497"/>
      <c r="C37" s="3507" t="s">
        <v>259</v>
      </c>
      <c r="D37" s="3507" t="s">
        <v>259</v>
      </c>
      <c r="E37" s="3497" t="s">
        <v>986</v>
      </c>
      <c r="F37" s="3507" t="s">
        <v>259</v>
      </c>
      <c r="G37" s="3507" t="s">
        <v>259</v>
      </c>
      <c r="H37" s="3497" t="s">
        <v>986</v>
      </c>
      <c r="I37" s="3507" t="s">
        <v>259</v>
      </c>
      <c r="J37" s="3429"/>
    </row>
    <row r="38" spans="1:10" ht="12" customHeight="1" x14ac:dyDescent="0.2">
      <c r="A38" s="3590" t="s">
        <v>1473</v>
      </c>
      <c r="B38" s="3497"/>
      <c r="C38" s="3507" t="s">
        <v>1366</v>
      </c>
      <c r="D38" s="3507" t="s">
        <v>1366</v>
      </c>
      <c r="E38" s="3507" t="s">
        <v>259</v>
      </c>
      <c r="F38" s="3507" t="s">
        <v>1366</v>
      </c>
      <c r="G38" s="3507" t="s">
        <v>1366</v>
      </c>
      <c r="H38" s="3507" t="s">
        <v>259</v>
      </c>
      <c r="I38" s="3507" t="s">
        <v>1366</v>
      </c>
      <c r="J38" s="3429"/>
    </row>
    <row r="39" spans="1:10" ht="12" customHeight="1" x14ac:dyDescent="0.2">
      <c r="A39" s="3588" t="s">
        <v>1472</v>
      </c>
      <c r="B39" s="3497"/>
      <c r="C39" s="3507" t="s">
        <v>455</v>
      </c>
      <c r="D39" s="3507" t="s">
        <v>455</v>
      </c>
      <c r="E39" s="3497" t="s">
        <v>986</v>
      </c>
      <c r="F39" s="3507" t="s">
        <v>455</v>
      </c>
      <c r="G39" s="3507" t="s">
        <v>455</v>
      </c>
      <c r="H39" s="3497" t="s">
        <v>986</v>
      </c>
      <c r="I39" s="3507" t="s">
        <v>455</v>
      </c>
      <c r="J39" s="3429"/>
    </row>
    <row r="40" spans="1:10" ht="12" customHeight="1" x14ac:dyDescent="0.2">
      <c r="A40" s="3589" t="s">
        <v>1319</v>
      </c>
      <c r="B40" s="3500" t="s">
        <v>1319</v>
      </c>
      <c r="C40" s="3500" t="s">
        <v>455</v>
      </c>
      <c r="D40" s="3507" t="s">
        <v>455</v>
      </c>
      <c r="E40" s="3497" t="s">
        <v>986</v>
      </c>
      <c r="F40" s="3507" t="s">
        <v>455</v>
      </c>
      <c r="G40" s="3500" t="s">
        <v>455</v>
      </c>
      <c r="H40" s="3497" t="s">
        <v>986</v>
      </c>
      <c r="I40" s="3500" t="s">
        <v>455</v>
      </c>
      <c r="J40" s="3429"/>
    </row>
    <row r="41" spans="1:10" ht="12" customHeight="1" x14ac:dyDescent="0.2">
      <c r="A41" s="3588" t="s">
        <v>1218</v>
      </c>
      <c r="B41" s="3497"/>
      <c r="C41" s="3507" t="s">
        <v>259</v>
      </c>
      <c r="D41" s="3507" t="s">
        <v>259</v>
      </c>
      <c r="E41" s="3507" t="s">
        <v>259</v>
      </c>
      <c r="F41" s="3507" t="s">
        <v>259</v>
      </c>
      <c r="G41" s="3507" t="s">
        <v>259</v>
      </c>
      <c r="H41" s="3507" t="s">
        <v>259</v>
      </c>
      <c r="I41" s="3507" t="s">
        <v>259</v>
      </c>
      <c r="J41" s="3429"/>
    </row>
    <row r="42" spans="1:10" ht="12" customHeight="1" x14ac:dyDescent="0.2">
      <c r="A42" s="3582" t="s">
        <v>1479</v>
      </c>
      <c r="B42" s="3497" t="s">
        <v>986</v>
      </c>
      <c r="C42" s="3497" t="s">
        <v>986</v>
      </c>
      <c r="D42" s="3497" t="s">
        <v>986</v>
      </c>
      <c r="E42" s="3497" t="s">
        <v>986</v>
      </c>
      <c r="F42" s="3497" t="s">
        <v>986</v>
      </c>
      <c r="G42" s="3507" t="s">
        <v>1366</v>
      </c>
      <c r="H42" s="3507">
        <v>3.7704496787999999E-4</v>
      </c>
      <c r="I42" s="3507">
        <v>1.0763292411000001</v>
      </c>
      <c r="J42" s="3429"/>
    </row>
    <row r="43" spans="1:10" ht="12" customHeight="1" x14ac:dyDescent="0.2">
      <c r="A43" s="3583" t="s">
        <v>1478</v>
      </c>
      <c r="B43" s="3497" t="s">
        <v>986</v>
      </c>
      <c r="C43" s="3497" t="s">
        <v>986</v>
      </c>
      <c r="D43" s="3497" t="s">
        <v>986</v>
      </c>
      <c r="E43" s="3497" t="s">
        <v>986</v>
      </c>
      <c r="F43" s="3497" t="s">
        <v>986</v>
      </c>
      <c r="G43" s="3507" t="s">
        <v>1366</v>
      </c>
      <c r="H43" s="3507">
        <v>3.7704496787999999E-4</v>
      </c>
      <c r="I43" s="3507">
        <v>2.656E-2</v>
      </c>
      <c r="J43" s="3429"/>
    </row>
    <row r="44" spans="1:10" ht="12" customHeight="1" x14ac:dyDescent="0.2">
      <c r="A44" s="3586" t="s">
        <v>1476</v>
      </c>
      <c r="B44" s="3497"/>
      <c r="C44" s="3507">
        <v>0.8</v>
      </c>
      <c r="D44" s="3507" t="s">
        <v>1366</v>
      </c>
      <c r="E44" s="3507">
        <v>0.29992213354091002</v>
      </c>
      <c r="F44" s="3507">
        <v>33.200000000000003</v>
      </c>
      <c r="G44" s="3507" t="s">
        <v>1366</v>
      </c>
      <c r="H44" s="3507">
        <v>3.7704496787999999E-4</v>
      </c>
      <c r="I44" s="3507">
        <v>2.656E-2</v>
      </c>
      <c r="J44" s="3429"/>
    </row>
    <row r="45" spans="1:10" ht="12" customHeight="1" x14ac:dyDescent="0.2">
      <c r="A45" s="3587" t="s">
        <v>1475</v>
      </c>
      <c r="B45" s="3497"/>
      <c r="C45" s="3507">
        <v>0.8</v>
      </c>
      <c r="D45" s="3507" t="s">
        <v>455</v>
      </c>
      <c r="E45" s="3507">
        <v>0.29992213354091002</v>
      </c>
      <c r="F45" s="3507">
        <v>33.200000000000003</v>
      </c>
      <c r="G45" s="3507" t="s">
        <v>455</v>
      </c>
      <c r="H45" s="3507">
        <v>3.7704496787999999E-4</v>
      </c>
      <c r="I45" s="3507">
        <v>2.656E-2</v>
      </c>
      <c r="J45" s="3429"/>
    </row>
    <row r="46" spans="1:10" ht="12" customHeight="1" x14ac:dyDescent="0.2">
      <c r="A46" s="3585" t="s">
        <v>1319</v>
      </c>
      <c r="B46" s="3500" t="s">
        <v>1319</v>
      </c>
      <c r="C46" s="3500">
        <v>0.8</v>
      </c>
      <c r="D46" s="3507" t="s">
        <v>455</v>
      </c>
      <c r="E46" s="3507">
        <v>0.29992213354091002</v>
      </c>
      <c r="F46" s="3507">
        <v>33.200000000000003</v>
      </c>
      <c r="G46" s="3500" t="s">
        <v>455</v>
      </c>
      <c r="H46" s="3500">
        <v>3.7704496787999999E-4</v>
      </c>
      <c r="I46" s="3500">
        <v>2.656E-2</v>
      </c>
      <c r="J46" s="3429"/>
    </row>
    <row r="47" spans="1:10" ht="12" customHeight="1" x14ac:dyDescent="0.2">
      <c r="A47" s="3587" t="s">
        <v>1474</v>
      </c>
      <c r="B47" s="3497"/>
      <c r="C47" s="3507" t="s">
        <v>259</v>
      </c>
      <c r="D47" s="3507" t="s">
        <v>259</v>
      </c>
      <c r="E47" s="3507" t="s">
        <v>259</v>
      </c>
      <c r="F47" s="3507" t="s">
        <v>259</v>
      </c>
      <c r="G47" s="3507" t="s">
        <v>259</v>
      </c>
      <c r="H47" s="3507" t="s">
        <v>259</v>
      </c>
      <c r="I47" s="3507" t="s">
        <v>259</v>
      </c>
      <c r="J47" s="3429"/>
    </row>
    <row r="48" spans="1:10" ht="12" customHeight="1" x14ac:dyDescent="0.2">
      <c r="A48" s="3585" t="s">
        <v>1319</v>
      </c>
      <c r="B48" s="3500" t="s">
        <v>1319</v>
      </c>
      <c r="C48" s="3500" t="s">
        <v>259</v>
      </c>
      <c r="D48" s="3507" t="s">
        <v>259</v>
      </c>
      <c r="E48" s="3507" t="s">
        <v>259</v>
      </c>
      <c r="F48" s="3507" t="s">
        <v>259</v>
      </c>
      <c r="G48" s="3500" t="s">
        <v>259</v>
      </c>
      <c r="H48" s="3500" t="s">
        <v>259</v>
      </c>
      <c r="I48" s="3500" t="s">
        <v>259</v>
      </c>
      <c r="J48" s="3429"/>
    </row>
    <row r="49" spans="1:10" ht="12" customHeight="1" x14ac:dyDescent="0.2">
      <c r="A49" s="3584" t="s">
        <v>1218</v>
      </c>
      <c r="B49" s="3497"/>
      <c r="C49" s="3507" t="s">
        <v>259</v>
      </c>
      <c r="D49" s="3507" t="s">
        <v>259</v>
      </c>
      <c r="E49" s="3507" t="s">
        <v>259</v>
      </c>
      <c r="F49" s="3507" t="s">
        <v>259</v>
      </c>
      <c r="G49" s="3507" t="s">
        <v>259</v>
      </c>
      <c r="H49" s="3507" t="s">
        <v>259</v>
      </c>
      <c r="I49" s="3507" t="s">
        <v>259</v>
      </c>
      <c r="J49" s="3429"/>
    </row>
    <row r="50" spans="1:10" ht="12" customHeight="1" x14ac:dyDescent="0.2">
      <c r="A50" s="3586" t="s">
        <v>1473</v>
      </c>
      <c r="B50" s="3497"/>
      <c r="C50" s="3507" t="s">
        <v>1006</v>
      </c>
      <c r="D50" s="3507" t="s">
        <v>259</v>
      </c>
      <c r="E50" s="3507" t="s">
        <v>259</v>
      </c>
      <c r="F50" s="3507" t="s">
        <v>259</v>
      </c>
      <c r="G50" s="3507" t="s">
        <v>259</v>
      </c>
      <c r="H50" s="3507" t="s">
        <v>259</v>
      </c>
      <c r="I50" s="3507" t="s">
        <v>259</v>
      </c>
      <c r="J50" s="3429"/>
    </row>
    <row r="51" spans="1:10" ht="12" customHeight="1" x14ac:dyDescent="0.2">
      <c r="A51" s="3584" t="s">
        <v>1472</v>
      </c>
      <c r="B51" s="3497"/>
      <c r="C51" s="3507" t="s">
        <v>799</v>
      </c>
      <c r="D51" s="3507" t="s">
        <v>259</v>
      </c>
      <c r="E51" s="3507" t="s">
        <v>259</v>
      </c>
      <c r="F51" s="3507" t="s">
        <v>259</v>
      </c>
      <c r="G51" s="3507" t="s">
        <v>259</v>
      </c>
      <c r="H51" s="3507" t="s">
        <v>259</v>
      </c>
      <c r="I51" s="3507" t="s">
        <v>259</v>
      </c>
      <c r="J51" s="3429"/>
    </row>
    <row r="52" spans="1:10" ht="12" customHeight="1" x14ac:dyDescent="0.2">
      <c r="A52" s="3585" t="s">
        <v>1319</v>
      </c>
      <c r="B52" s="3500" t="s">
        <v>1319</v>
      </c>
      <c r="C52" s="3500" t="s">
        <v>799</v>
      </c>
      <c r="D52" s="3507" t="s">
        <v>259</v>
      </c>
      <c r="E52" s="3507" t="s">
        <v>259</v>
      </c>
      <c r="F52" s="3507" t="s">
        <v>259</v>
      </c>
      <c r="G52" s="3500" t="s">
        <v>259</v>
      </c>
      <c r="H52" s="3500" t="s">
        <v>259</v>
      </c>
      <c r="I52" s="3500" t="s">
        <v>259</v>
      </c>
      <c r="J52" s="3429"/>
    </row>
    <row r="53" spans="1:10" ht="12" customHeight="1" x14ac:dyDescent="0.2">
      <c r="A53" s="3584" t="s">
        <v>1218</v>
      </c>
      <c r="B53" s="3497"/>
      <c r="C53" s="3507" t="s">
        <v>259</v>
      </c>
      <c r="D53" s="3507" t="s">
        <v>259</v>
      </c>
      <c r="E53" s="3507" t="s">
        <v>259</v>
      </c>
      <c r="F53" s="3507" t="s">
        <v>259</v>
      </c>
      <c r="G53" s="3507" t="s">
        <v>259</v>
      </c>
      <c r="H53" s="3507" t="s">
        <v>259</v>
      </c>
      <c r="I53" s="3507" t="s">
        <v>259</v>
      </c>
      <c r="J53" s="3429"/>
    </row>
    <row r="54" spans="1:10" ht="12" customHeight="1" x14ac:dyDescent="0.2">
      <c r="A54" s="3583" t="s">
        <v>1477</v>
      </c>
      <c r="B54" s="3497" t="s">
        <v>986</v>
      </c>
      <c r="C54" s="3497" t="s">
        <v>986</v>
      </c>
      <c r="D54" s="3497" t="s">
        <v>986</v>
      </c>
      <c r="E54" s="3497" t="s">
        <v>986</v>
      </c>
      <c r="F54" s="3497" t="s">
        <v>986</v>
      </c>
      <c r="G54" s="3507" t="s">
        <v>259</v>
      </c>
      <c r="H54" s="3507" t="s">
        <v>259</v>
      </c>
      <c r="I54" s="3507" t="s">
        <v>259</v>
      </c>
      <c r="J54" s="3429"/>
    </row>
    <row r="55" spans="1:10" ht="12" customHeight="1" x14ac:dyDescent="0.2">
      <c r="A55" s="3586" t="s">
        <v>1476</v>
      </c>
      <c r="B55" s="3497"/>
      <c r="C55" s="3507">
        <v>4.0872792142999999E-2</v>
      </c>
      <c r="D55" s="3507" t="s">
        <v>259</v>
      </c>
      <c r="E55" s="3507" t="s">
        <v>259</v>
      </c>
      <c r="F55" s="3507" t="s">
        <v>259</v>
      </c>
      <c r="G55" s="3507" t="s">
        <v>259</v>
      </c>
      <c r="H55" s="3507" t="s">
        <v>259</v>
      </c>
      <c r="I55" s="3507" t="s">
        <v>259</v>
      </c>
      <c r="J55" s="3429"/>
    </row>
    <row r="56" spans="1:10" ht="12" customHeight="1" x14ac:dyDescent="0.2">
      <c r="A56" s="3587" t="s">
        <v>1475</v>
      </c>
      <c r="B56" s="3497"/>
      <c r="C56" s="3507" t="s">
        <v>259</v>
      </c>
      <c r="D56" s="3507" t="s">
        <v>259</v>
      </c>
      <c r="E56" s="3507" t="s">
        <v>259</v>
      </c>
      <c r="F56" s="3507" t="s">
        <v>259</v>
      </c>
      <c r="G56" s="3507" t="s">
        <v>259</v>
      </c>
      <c r="H56" s="3507" t="s">
        <v>259</v>
      </c>
      <c r="I56" s="3507" t="s">
        <v>259</v>
      </c>
      <c r="J56" s="3429"/>
    </row>
    <row r="57" spans="1:10" ht="12" customHeight="1" x14ac:dyDescent="0.2">
      <c r="A57" s="3585" t="s">
        <v>1319</v>
      </c>
      <c r="B57" s="3500" t="s">
        <v>1319</v>
      </c>
      <c r="C57" s="3500" t="s">
        <v>259</v>
      </c>
      <c r="D57" s="3507" t="s">
        <v>259</v>
      </c>
      <c r="E57" s="3507" t="s">
        <v>259</v>
      </c>
      <c r="F57" s="3507" t="s">
        <v>259</v>
      </c>
      <c r="G57" s="3500" t="s">
        <v>259</v>
      </c>
      <c r="H57" s="3500" t="s">
        <v>259</v>
      </c>
      <c r="I57" s="3500" t="s">
        <v>259</v>
      </c>
      <c r="J57" s="3429"/>
    </row>
    <row r="58" spans="1:10" ht="12" customHeight="1" x14ac:dyDescent="0.2">
      <c r="A58" s="3587" t="s">
        <v>1474</v>
      </c>
      <c r="B58" s="3497"/>
      <c r="C58" s="3507">
        <v>4.0872792142999999E-2</v>
      </c>
      <c r="D58" s="3507" t="s">
        <v>259</v>
      </c>
      <c r="E58" s="3507" t="s">
        <v>259</v>
      </c>
      <c r="F58" s="3507" t="s">
        <v>259</v>
      </c>
      <c r="G58" s="3507" t="s">
        <v>259</v>
      </c>
      <c r="H58" s="3507" t="s">
        <v>259</v>
      </c>
      <c r="I58" s="3507" t="s">
        <v>259</v>
      </c>
      <c r="J58" s="3429"/>
    </row>
    <row r="59" spans="1:10" ht="12" customHeight="1" x14ac:dyDescent="0.2">
      <c r="A59" s="3585" t="s">
        <v>1319</v>
      </c>
      <c r="B59" s="3500" t="s">
        <v>1319</v>
      </c>
      <c r="C59" s="3500">
        <v>4.0872792142999999E-2</v>
      </c>
      <c r="D59" s="3507" t="s">
        <v>259</v>
      </c>
      <c r="E59" s="3507" t="s">
        <v>259</v>
      </c>
      <c r="F59" s="3507" t="s">
        <v>259</v>
      </c>
      <c r="G59" s="3500" t="s">
        <v>259</v>
      </c>
      <c r="H59" s="3500" t="s">
        <v>259</v>
      </c>
      <c r="I59" s="3500" t="s">
        <v>259</v>
      </c>
      <c r="J59" s="3429"/>
    </row>
    <row r="60" spans="1:10" ht="12" customHeight="1" x14ac:dyDescent="0.2">
      <c r="A60" s="3584" t="s">
        <v>1218</v>
      </c>
      <c r="B60" s="3497"/>
      <c r="C60" s="3507" t="s">
        <v>259</v>
      </c>
      <c r="D60" s="3507" t="s">
        <v>259</v>
      </c>
      <c r="E60" s="3507" t="s">
        <v>259</v>
      </c>
      <c r="F60" s="3507" t="s">
        <v>259</v>
      </c>
      <c r="G60" s="3507" t="s">
        <v>259</v>
      </c>
      <c r="H60" s="3507" t="s">
        <v>259</v>
      </c>
      <c r="I60" s="3507" t="s">
        <v>259</v>
      </c>
      <c r="J60" s="3429"/>
    </row>
    <row r="61" spans="1:10" ht="12" customHeight="1" x14ac:dyDescent="0.2">
      <c r="A61" s="3586" t="s">
        <v>1473</v>
      </c>
      <c r="B61" s="3497"/>
      <c r="C61" s="3507">
        <v>4.9070487857999998</v>
      </c>
      <c r="D61" s="3507" t="s">
        <v>259</v>
      </c>
      <c r="E61" s="3507" t="s">
        <v>259</v>
      </c>
      <c r="F61" s="3507" t="s">
        <v>259</v>
      </c>
      <c r="G61" s="3507" t="s">
        <v>259</v>
      </c>
      <c r="H61" s="3507" t="s">
        <v>259</v>
      </c>
      <c r="I61" s="3507" t="s">
        <v>259</v>
      </c>
      <c r="J61" s="3429"/>
    </row>
    <row r="62" spans="1:10" ht="12" customHeight="1" x14ac:dyDescent="0.2">
      <c r="A62" s="3584" t="s">
        <v>1472</v>
      </c>
      <c r="B62" s="3497"/>
      <c r="C62" s="3507">
        <v>4.9070487857999998</v>
      </c>
      <c r="D62" s="3507" t="s">
        <v>259</v>
      </c>
      <c r="E62" s="3507" t="s">
        <v>259</v>
      </c>
      <c r="F62" s="3507" t="s">
        <v>259</v>
      </c>
      <c r="G62" s="3507" t="s">
        <v>259</v>
      </c>
      <c r="H62" s="3507" t="s">
        <v>259</v>
      </c>
      <c r="I62" s="3507" t="s">
        <v>259</v>
      </c>
      <c r="J62" s="3429"/>
    </row>
    <row r="63" spans="1:10" ht="12" customHeight="1" x14ac:dyDescent="0.2">
      <c r="A63" s="3585" t="s">
        <v>1319</v>
      </c>
      <c r="B63" s="3500" t="s">
        <v>1319</v>
      </c>
      <c r="C63" s="3500">
        <v>4.9070487857999998</v>
      </c>
      <c r="D63" s="3507" t="s">
        <v>259</v>
      </c>
      <c r="E63" s="3507" t="s">
        <v>259</v>
      </c>
      <c r="F63" s="3507" t="s">
        <v>259</v>
      </c>
      <c r="G63" s="3500" t="s">
        <v>259</v>
      </c>
      <c r="H63" s="3500" t="s">
        <v>259</v>
      </c>
      <c r="I63" s="3500" t="s">
        <v>259</v>
      </c>
      <c r="J63" s="3429"/>
    </row>
    <row r="64" spans="1:10" ht="12" customHeight="1" x14ac:dyDescent="0.2">
      <c r="A64" s="3584" t="s">
        <v>1218</v>
      </c>
      <c r="B64" s="3497"/>
      <c r="C64" s="3507" t="s">
        <v>259</v>
      </c>
      <c r="D64" s="3507" t="s">
        <v>259</v>
      </c>
      <c r="E64" s="3507" t="s">
        <v>259</v>
      </c>
      <c r="F64" s="3507" t="s">
        <v>259</v>
      </c>
      <c r="G64" s="3507" t="s">
        <v>259</v>
      </c>
      <c r="H64" s="3507" t="s">
        <v>259</v>
      </c>
      <c r="I64" s="3507" t="s">
        <v>259</v>
      </c>
      <c r="J64" s="3429"/>
    </row>
    <row r="65" spans="1:10" ht="12" customHeight="1" x14ac:dyDescent="0.2">
      <c r="A65" s="3583" t="s">
        <v>1471</v>
      </c>
      <c r="B65" s="3497"/>
      <c r="C65" s="3497" t="s">
        <v>986</v>
      </c>
      <c r="D65" s="3497" t="s">
        <v>986</v>
      </c>
      <c r="E65" s="3497" t="s">
        <v>986</v>
      </c>
      <c r="F65" s="3497" t="s">
        <v>986</v>
      </c>
      <c r="G65" s="3507" t="s">
        <v>259</v>
      </c>
      <c r="H65" s="3507" t="s">
        <v>259</v>
      </c>
      <c r="I65" s="3507">
        <v>1.0497692410999999</v>
      </c>
      <c r="J65" s="3429"/>
    </row>
    <row r="66" spans="1:10" ht="12" customHeight="1" x14ac:dyDescent="0.2">
      <c r="A66" s="3522" t="s">
        <v>1470</v>
      </c>
      <c r="B66" s="3497"/>
      <c r="C66" s="3507">
        <v>20.178999999999998</v>
      </c>
      <c r="D66" s="3507" t="s">
        <v>259</v>
      </c>
      <c r="E66" s="3507" t="s">
        <v>259</v>
      </c>
      <c r="F66" s="3507">
        <v>52.022857480549092</v>
      </c>
      <c r="G66" s="3507" t="s">
        <v>259</v>
      </c>
      <c r="H66" s="3507" t="s">
        <v>259</v>
      </c>
      <c r="I66" s="3507">
        <v>1.0497692410999999</v>
      </c>
      <c r="J66" s="3429"/>
    </row>
    <row r="67" spans="1:10" ht="12" customHeight="1" x14ac:dyDescent="0.2">
      <c r="A67" s="3582" t="s">
        <v>1469</v>
      </c>
      <c r="B67" s="3497"/>
      <c r="C67" s="3497" t="s">
        <v>986</v>
      </c>
      <c r="D67" s="3497" t="s">
        <v>986</v>
      </c>
      <c r="E67" s="3497" t="s">
        <v>986</v>
      </c>
      <c r="F67" s="3497" t="s">
        <v>986</v>
      </c>
      <c r="G67" s="3507" t="s">
        <v>259</v>
      </c>
      <c r="H67" s="3507" t="s">
        <v>259</v>
      </c>
      <c r="I67" s="3507" t="s">
        <v>259</v>
      </c>
      <c r="J67" s="3429"/>
    </row>
    <row r="68" spans="1:10" x14ac:dyDescent="0.2">
      <c r="A68" s="678" t="s">
        <v>564</v>
      </c>
      <c r="B68" s="663"/>
      <c r="C68" s="663"/>
      <c r="D68" s="663"/>
      <c r="E68" s="663"/>
      <c r="F68" s="663"/>
      <c r="G68" s="663"/>
      <c r="H68" s="663"/>
      <c r="I68" s="663"/>
      <c r="J68" s="3429"/>
    </row>
    <row r="69" spans="1:10" ht="13.5" x14ac:dyDescent="0.2">
      <c r="A69" s="5536" t="s">
        <v>1468</v>
      </c>
      <c r="B69" s="5536"/>
      <c r="C69" s="5536"/>
      <c r="D69" s="5536"/>
      <c r="E69" s="5536"/>
      <c r="F69" s="663"/>
      <c r="G69" s="663"/>
      <c r="H69" s="663"/>
      <c r="I69" s="663"/>
      <c r="J69" s="3429"/>
    </row>
    <row r="70" spans="1:10" ht="13.5" x14ac:dyDescent="0.2">
      <c r="A70" s="5504" t="s">
        <v>1467</v>
      </c>
      <c r="B70" s="5504"/>
      <c r="C70" s="5504"/>
      <c r="D70" s="5504"/>
      <c r="E70" s="5504"/>
      <c r="F70" s="5504"/>
      <c r="G70" s="5504"/>
      <c r="H70" s="5504"/>
      <c r="I70" s="5504"/>
      <c r="J70" s="3429"/>
    </row>
    <row r="71" spans="1:10" ht="13.5" x14ac:dyDescent="0.2">
      <c r="A71" s="5536" t="s">
        <v>1466</v>
      </c>
      <c r="B71" s="5536"/>
      <c r="C71" s="5536"/>
      <c r="D71" s="3307"/>
      <c r="E71" s="663"/>
      <c r="F71" s="663"/>
      <c r="G71" s="663"/>
      <c r="H71" s="663"/>
      <c r="I71" s="663"/>
      <c r="J71" s="3429"/>
    </row>
    <row r="72" spans="1:10" x14ac:dyDescent="0.2">
      <c r="A72" s="5554" t="s">
        <v>1465</v>
      </c>
      <c r="B72" s="5555"/>
      <c r="C72" s="5555"/>
      <c r="D72" s="5555"/>
      <c r="E72" s="5555"/>
      <c r="F72" s="5555"/>
      <c r="G72" s="5555"/>
      <c r="H72" s="663"/>
      <c r="I72" s="663"/>
      <c r="J72" s="3429"/>
    </row>
    <row r="73" spans="1:10" ht="13.5" x14ac:dyDescent="0.2">
      <c r="A73" s="5536" t="s">
        <v>1464</v>
      </c>
      <c r="B73" s="5536"/>
      <c r="C73" s="5536"/>
      <c r="D73" s="660"/>
      <c r="E73" s="660"/>
      <c r="F73" s="660"/>
      <c r="G73" s="660"/>
      <c r="H73" s="660"/>
      <c r="I73" s="660"/>
      <c r="J73" s="3429"/>
    </row>
    <row r="74" spans="1:10" ht="14.25" x14ac:dyDescent="0.25">
      <c r="A74" s="660" t="s">
        <v>1463</v>
      </c>
      <c r="B74" s="660"/>
      <c r="C74" s="660"/>
      <c r="D74" s="660"/>
      <c r="E74" s="660"/>
      <c r="F74" s="660"/>
      <c r="G74" s="660"/>
      <c r="H74" s="660"/>
      <c r="I74" s="660"/>
      <c r="J74" s="3429"/>
    </row>
    <row r="75" spans="1:10" x14ac:dyDescent="0.2">
      <c r="A75" s="5740" t="s">
        <v>982</v>
      </c>
      <c r="B75" s="5757"/>
      <c r="C75" s="5757"/>
      <c r="D75" s="3571"/>
      <c r="E75" s="3581"/>
      <c r="F75" s="3581"/>
      <c r="G75" s="3581"/>
      <c r="H75" s="3581"/>
      <c r="I75" s="3580"/>
      <c r="J75" s="660"/>
    </row>
    <row r="76" spans="1:10" ht="33" customHeight="1" x14ac:dyDescent="0.2">
      <c r="A76" s="5758" t="s">
        <v>1310</v>
      </c>
      <c r="B76" s="5746"/>
      <c r="C76" s="5746"/>
      <c r="D76" s="5746"/>
      <c r="E76" s="5746"/>
      <c r="F76" s="5746"/>
      <c r="G76" s="5746"/>
      <c r="H76" s="5746"/>
      <c r="I76" s="5747"/>
      <c r="J76" s="660"/>
    </row>
    <row r="77" spans="1:10" x14ac:dyDescent="0.2">
      <c r="A77" s="3494" t="s">
        <v>980</v>
      </c>
      <c r="B77" s="5696" t="s">
        <v>986</v>
      </c>
      <c r="C77" s="5697"/>
      <c r="D77" s="5697"/>
      <c r="E77" s="5697"/>
      <c r="F77" s="5697"/>
      <c r="G77" s="5697"/>
      <c r="H77" s="5697"/>
      <c r="I77" s="5697"/>
      <c r="J77" s="660"/>
    </row>
    <row r="78" spans="1:10" x14ac:dyDescent="0.2">
      <c r="A78" s="3494" t="s">
        <v>980</v>
      </c>
      <c r="B78" s="5696" t="s">
        <v>986</v>
      </c>
      <c r="C78" s="5697"/>
      <c r="D78" s="5697"/>
      <c r="E78" s="5697"/>
      <c r="F78" s="5697"/>
      <c r="G78" s="5697"/>
      <c r="H78" s="5697"/>
      <c r="I78" s="5697"/>
    </row>
    <row r="79" spans="1:10" x14ac:dyDescent="0.2">
      <c r="A79" s="3494" t="s">
        <v>980</v>
      </c>
      <c r="B79" s="5696" t="s">
        <v>986</v>
      </c>
      <c r="C79" s="5697"/>
      <c r="D79" s="5697"/>
      <c r="E79" s="5697"/>
      <c r="F79" s="5697"/>
      <c r="G79" s="5697"/>
      <c r="H79" s="5697"/>
      <c r="I79" s="5697"/>
    </row>
    <row r="80" spans="1:10" x14ac:dyDescent="0.2">
      <c r="A80" s="3494" t="s">
        <v>980</v>
      </c>
      <c r="B80" s="5696" t="s">
        <v>986</v>
      </c>
      <c r="C80" s="5697"/>
      <c r="D80" s="5697"/>
      <c r="E80" s="5697"/>
      <c r="F80" s="5697"/>
      <c r="G80" s="5697"/>
      <c r="H80" s="5697"/>
      <c r="I80" s="5697"/>
    </row>
    <row r="81" spans="1:9" x14ac:dyDescent="0.2">
      <c r="A81" s="3494" t="s">
        <v>980</v>
      </c>
      <c r="B81" s="5696" t="s">
        <v>986</v>
      </c>
      <c r="C81" s="5697"/>
      <c r="D81" s="5697"/>
      <c r="E81" s="5697"/>
      <c r="F81" s="5697"/>
      <c r="G81" s="5697"/>
      <c r="H81" s="5697"/>
      <c r="I81" s="5697"/>
    </row>
  </sheetData>
  <sheetProtection password="A754" sheet="1" objects="1" scenarios="1"/>
  <mergeCells count="18">
    <mergeCell ref="A69:E69"/>
    <mergeCell ref="A70:I70"/>
    <mergeCell ref="A71:C71"/>
    <mergeCell ref="A75:C75"/>
    <mergeCell ref="A76:I76"/>
    <mergeCell ref="A72:G72"/>
    <mergeCell ref="B78:I78"/>
    <mergeCell ref="B79:I79"/>
    <mergeCell ref="B80:I80"/>
    <mergeCell ref="B81:I81"/>
    <mergeCell ref="A73:C73"/>
    <mergeCell ref="B77:I77"/>
    <mergeCell ref="A2:C2"/>
    <mergeCell ref="D5:F5"/>
    <mergeCell ref="G5:I5"/>
    <mergeCell ref="A6:A7"/>
    <mergeCell ref="G7:I7"/>
    <mergeCell ref="B5:B7"/>
  </mergeCells>
  <pageMargins left="0.7" right="0.7" top="0.75" bottom="0.75" header="0.3" footer="0.3"/>
  <pageSetup paperSize="9" scale="72" fitToHeight="0"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222C0-DCE0-4825-BDFD-4A5AF1F9091A}">
  <sheetPr codeName="Ark52">
    <tabColor theme="0" tint="-0.249977111117893"/>
    <pageSetUpPr fitToPage="1"/>
  </sheetPr>
  <dimension ref="A1:G54"/>
  <sheetViews>
    <sheetView showGridLines="0" zoomScaleNormal="100" workbookViewId="0"/>
  </sheetViews>
  <sheetFormatPr defaultColWidth="8" defaultRowHeight="12" x14ac:dyDescent="0.2"/>
  <cols>
    <col min="1" max="1" width="65.85546875" style="659" customWidth="1"/>
    <col min="2" max="2" width="30.7109375" style="659" customWidth="1"/>
    <col min="3" max="3" width="33.28515625" style="659" customWidth="1"/>
    <col min="4" max="4" width="30.7109375" style="659" customWidth="1"/>
    <col min="5" max="5" width="1.28515625" style="659" customWidth="1"/>
    <col min="6" max="9" width="11" style="659" customWidth="1"/>
    <col min="10" max="16384" width="8" style="659"/>
  </cols>
  <sheetData>
    <row r="1" spans="1:7" ht="15.75" x14ac:dyDescent="0.25">
      <c r="A1" s="671" t="s">
        <v>1530</v>
      </c>
      <c r="B1" s="670"/>
      <c r="C1" s="670"/>
      <c r="D1" s="668" t="s">
        <v>1791</v>
      </c>
      <c r="E1" s="668"/>
      <c r="F1" s="668"/>
      <c r="G1" s="668"/>
    </row>
    <row r="2" spans="1:7" ht="15.75" x14ac:dyDescent="0.2">
      <c r="A2" s="5592" t="s">
        <v>1529</v>
      </c>
      <c r="B2" s="5593"/>
      <c r="C2" s="5593"/>
      <c r="D2" s="668" t="s">
        <v>1790</v>
      </c>
      <c r="E2" s="668"/>
      <c r="F2" s="668"/>
      <c r="G2" s="668"/>
    </row>
    <row r="3" spans="1:7" ht="18.75" x14ac:dyDescent="0.2">
      <c r="A3" s="761" t="s">
        <v>1528</v>
      </c>
      <c r="B3" s="760"/>
      <c r="C3" s="760"/>
      <c r="D3" s="759" t="s">
        <v>1789</v>
      </c>
      <c r="E3" s="668"/>
      <c r="F3" s="668"/>
      <c r="G3" s="668"/>
    </row>
    <row r="4" spans="1:7" ht="15.75" x14ac:dyDescent="0.25">
      <c r="A4" s="758" t="s">
        <v>1197</v>
      </c>
      <c r="B4" s="670"/>
      <c r="C4" s="670"/>
      <c r="D4" s="660"/>
      <c r="E4" s="668"/>
      <c r="F4" s="668"/>
      <c r="G4" s="668"/>
    </row>
    <row r="5" spans="1:7" x14ac:dyDescent="0.2">
      <c r="A5" s="660"/>
      <c r="B5" s="660"/>
      <c r="C5" s="660"/>
      <c r="D5" s="660"/>
      <c r="E5" s="660"/>
      <c r="F5" s="660"/>
      <c r="G5" s="660"/>
    </row>
    <row r="6" spans="1:7" x14ac:dyDescent="0.2">
      <c r="A6" s="3572" t="s">
        <v>1025</v>
      </c>
      <c r="B6" s="3595" t="s">
        <v>1083</v>
      </c>
      <c r="C6" s="3595" t="s">
        <v>1238</v>
      </c>
      <c r="D6" s="3601" t="s">
        <v>1307</v>
      </c>
      <c r="E6" s="660"/>
      <c r="F6" s="660"/>
      <c r="G6" s="660"/>
    </row>
    <row r="7" spans="1:7" ht="18" customHeight="1" x14ac:dyDescent="0.2">
      <c r="A7" s="5752" t="s">
        <v>1527</v>
      </c>
      <c r="B7" s="3595" t="s">
        <v>1526</v>
      </c>
      <c r="C7" s="3595" t="s">
        <v>1525</v>
      </c>
      <c r="D7" s="3595" t="s">
        <v>1022</v>
      </c>
      <c r="E7" s="660"/>
      <c r="F7" s="660"/>
      <c r="G7" s="660"/>
    </row>
    <row r="8" spans="1:7" ht="20.25" customHeight="1" thickBot="1" x14ac:dyDescent="0.25">
      <c r="A8" s="5594"/>
      <c r="B8" s="3308" t="s">
        <v>1524</v>
      </c>
      <c r="C8" s="3308" t="s">
        <v>1485</v>
      </c>
      <c r="D8" s="757" t="s">
        <v>1011</v>
      </c>
      <c r="E8" s="660"/>
      <c r="F8" s="660"/>
      <c r="G8" s="660"/>
    </row>
    <row r="9" spans="1:7" ht="12.75" thickTop="1" x14ac:dyDescent="0.2">
      <c r="A9" s="756" t="s">
        <v>1523</v>
      </c>
      <c r="B9" s="3507">
        <v>833.39029011490004</v>
      </c>
      <c r="C9" s="3507">
        <v>5.2624592805159999E-2</v>
      </c>
      <c r="D9" s="3507">
        <v>6.8917867330829996E-2</v>
      </c>
      <c r="E9" s="660"/>
      <c r="F9" s="660"/>
      <c r="G9" s="660"/>
    </row>
    <row r="10" spans="1:7" x14ac:dyDescent="0.2">
      <c r="A10" s="3582" t="s">
        <v>1522</v>
      </c>
      <c r="B10" s="3507">
        <v>605.76841138999998</v>
      </c>
      <c r="C10" s="3507" t="s">
        <v>259</v>
      </c>
      <c r="D10" s="3507" t="s">
        <v>259</v>
      </c>
      <c r="E10" s="660"/>
      <c r="F10" s="660"/>
      <c r="G10" s="660"/>
    </row>
    <row r="11" spans="1:7" x14ac:dyDescent="0.2">
      <c r="A11" s="3583" t="s">
        <v>1326</v>
      </c>
      <c r="B11" s="3500">
        <v>505.07228638999999</v>
      </c>
      <c r="C11" s="3507" t="s">
        <v>259</v>
      </c>
      <c r="D11" s="3500" t="s">
        <v>259</v>
      </c>
      <c r="E11" s="660"/>
      <c r="F11" s="660"/>
      <c r="G11" s="660"/>
    </row>
    <row r="12" spans="1:7" ht="13.5" x14ac:dyDescent="0.2">
      <c r="A12" s="3583" t="s">
        <v>1521</v>
      </c>
      <c r="B12" s="3507">
        <v>100.69612499999999</v>
      </c>
      <c r="C12" s="3507" t="s">
        <v>259</v>
      </c>
      <c r="D12" s="3507" t="s">
        <v>259</v>
      </c>
      <c r="E12" s="660"/>
      <c r="F12" s="660"/>
      <c r="G12" s="660"/>
    </row>
    <row r="13" spans="1:7" x14ac:dyDescent="0.2">
      <c r="A13" s="3522" t="s">
        <v>1520</v>
      </c>
      <c r="B13" s="3500">
        <v>100.69612499999999</v>
      </c>
      <c r="C13" s="3507" t="s">
        <v>259</v>
      </c>
      <c r="D13" s="3500" t="s">
        <v>259</v>
      </c>
      <c r="E13" s="660"/>
      <c r="F13" s="660"/>
      <c r="G13" s="660"/>
    </row>
    <row r="14" spans="1:7" ht="14.25" x14ac:dyDescent="0.2">
      <c r="A14" s="3582" t="s">
        <v>1519</v>
      </c>
      <c r="B14" s="3507">
        <v>44.219318760100002</v>
      </c>
      <c r="C14" s="3507">
        <v>0.16940916731863001</v>
      </c>
      <c r="D14" s="3507">
        <v>1.1771819668E-2</v>
      </c>
      <c r="E14" s="660"/>
      <c r="F14" s="660"/>
      <c r="G14" s="660"/>
    </row>
    <row r="15" spans="1:7" ht="13.5" x14ac:dyDescent="0.2">
      <c r="A15" s="3583" t="s">
        <v>1518</v>
      </c>
      <c r="B15" s="3507">
        <v>44.219318760100002</v>
      </c>
      <c r="C15" s="3507">
        <v>0.16940916731863001</v>
      </c>
      <c r="D15" s="3507">
        <v>1.1771819668E-2</v>
      </c>
      <c r="E15" s="660"/>
      <c r="F15" s="660"/>
      <c r="G15" s="660"/>
    </row>
    <row r="16" spans="1:7" x14ac:dyDescent="0.2">
      <c r="A16" s="3522" t="s">
        <v>1517</v>
      </c>
      <c r="B16" s="3500">
        <v>6.7910687600999999</v>
      </c>
      <c r="C16" s="3507">
        <v>1.1030896954775</v>
      </c>
      <c r="D16" s="3500">
        <v>1.1771819668E-2</v>
      </c>
      <c r="E16" s="660"/>
      <c r="F16" s="660"/>
      <c r="G16" s="660"/>
    </row>
    <row r="17" spans="1:7" x14ac:dyDescent="0.2">
      <c r="A17" s="3522" t="s">
        <v>1516</v>
      </c>
      <c r="B17" s="3500">
        <v>37.428249999999998</v>
      </c>
      <c r="C17" s="3507" t="s">
        <v>455</v>
      </c>
      <c r="D17" s="3500" t="s">
        <v>455</v>
      </c>
    </row>
    <row r="18" spans="1:7" x14ac:dyDescent="0.2">
      <c r="A18" s="3582" t="s">
        <v>1515</v>
      </c>
      <c r="B18" s="3507">
        <v>3.9899615748000001</v>
      </c>
      <c r="C18" s="3507">
        <v>5.2152287960650003E-2</v>
      </c>
      <c r="D18" s="3507">
        <v>3.2699169642999999E-4</v>
      </c>
      <c r="E18" s="660"/>
      <c r="F18" s="660"/>
      <c r="G18" s="660"/>
    </row>
    <row r="19" spans="1:7" x14ac:dyDescent="0.2">
      <c r="A19" s="3583" t="s">
        <v>1514</v>
      </c>
      <c r="B19" s="3500" t="s">
        <v>455</v>
      </c>
      <c r="C19" s="3507" t="s">
        <v>455</v>
      </c>
      <c r="D19" s="3500" t="s">
        <v>455</v>
      </c>
      <c r="E19" s="660"/>
      <c r="F19" s="660"/>
      <c r="G19" s="660"/>
    </row>
    <row r="20" spans="1:7" ht="13.5" x14ac:dyDescent="0.2">
      <c r="A20" s="3583" t="s">
        <v>1513</v>
      </c>
      <c r="B20" s="3507">
        <v>3.9899615748000001</v>
      </c>
      <c r="C20" s="3507">
        <v>5.2152287960650003E-2</v>
      </c>
      <c r="D20" s="3507">
        <v>3.2699169642999999E-4</v>
      </c>
      <c r="E20" s="660"/>
      <c r="F20" s="660"/>
      <c r="G20" s="660"/>
    </row>
    <row r="21" spans="1:7" x14ac:dyDescent="0.2">
      <c r="A21" s="3522" t="s">
        <v>1512</v>
      </c>
      <c r="B21" s="3500">
        <v>3.9899615748000001</v>
      </c>
      <c r="C21" s="3507">
        <v>5.2152287960650003E-2</v>
      </c>
      <c r="D21" s="3500">
        <v>3.2699169642999999E-4</v>
      </c>
      <c r="E21" s="660"/>
      <c r="F21" s="660"/>
      <c r="G21" s="660"/>
    </row>
    <row r="22" spans="1:7" x14ac:dyDescent="0.2">
      <c r="A22" s="3522" t="s">
        <v>1511</v>
      </c>
      <c r="B22" s="3500" t="s">
        <v>455</v>
      </c>
      <c r="C22" s="3507" t="s">
        <v>455</v>
      </c>
      <c r="D22" s="3500" t="s">
        <v>455</v>
      </c>
    </row>
    <row r="23" spans="1:7" x14ac:dyDescent="0.2">
      <c r="A23" s="3582" t="s">
        <v>1510</v>
      </c>
      <c r="B23" s="3507">
        <v>129.60903589</v>
      </c>
      <c r="C23" s="3507" t="s">
        <v>259</v>
      </c>
      <c r="D23" s="3507" t="s">
        <v>259</v>
      </c>
      <c r="E23" s="660"/>
      <c r="F23" s="660"/>
      <c r="G23" s="660"/>
    </row>
    <row r="24" spans="1:7" x14ac:dyDescent="0.2">
      <c r="A24" s="3583" t="s">
        <v>1422</v>
      </c>
      <c r="B24" s="3500">
        <v>104.12397339</v>
      </c>
      <c r="C24" s="3507" t="s">
        <v>259</v>
      </c>
      <c r="D24" s="3500" t="s">
        <v>259</v>
      </c>
      <c r="E24" s="660"/>
      <c r="F24" s="660"/>
      <c r="G24" s="660"/>
    </row>
    <row r="25" spans="1:7" ht="13.5" x14ac:dyDescent="0.2">
      <c r="A25" s="3583" t="s">
        <v>1509</v>
      </c>
      <c r="B25" s="3507">
        <v>25.485062500000002</v>
      </c>
      <c r="C25" s="3507" t="s">
        <v>259</v>
      </c>
      <c r="D25" s="3507" t="s">
        <v>259</v>
      </c>
      <c r="E25" s="660"/>
      <c r="F25" s="660"/>
      <c r="G25" s="660"/>
    </row>
    <row r="26" spans="1:7" x14ac:dyDescent="0.2">
      <c r="A26" s="3522" t="s">
        <v>5194</v>
      </c>
      <c r="B26" s="3500">
        <v>0.97543749999999996</v>
      </c>
      <c r="C26" s="3507" t="s">
        <v>259</v>
      </c>
      <c r="D26" s="3500" t="s">
        <v>259</v>
      </c>
      <c r="E26" s="660"/>
      <c r="F26" s="660"/>
      <c r="G26" s="660"/>
    </row>
    <row r="27" spans="1:7" x14ac:dyDescent="0.2">
      <c r="A27" s="3522" t="s">
        <v>5193</v>
      </c>
      <c r="B27" s="3500">
        <v>13.2358125</v>
      </c>
      <c r="C27" s="3507" t="s">
        <v>259</v>
      </c>
      <c r="D27" s="3500" t="s">
        <v>259</v>
      </c>
    </row>
    <row r="28" spans="1:7" x14ac:dyDescent="0.2">
      <c r="A28" s="3522" t="s">
        <v>5192</v>
      </c>
      <c r="B28" s="3500">
        <v>11.2738125</v>
      </c>
      <c r="C28" s="3507" t="s">
        <v>259</v>
      </c>
      <c r="D28" s="3500" t="s">
        <v>259</v>
      </c>
    </row>
    <row r="29" spans="1:7" x14ac:dyDescent="0.2">
      <c r="A29" s="3600" t="s">
        <v>1508</v>
      </c>
      <c r="B29" s="3507">
        <v>49.803562499999998</v>
      </c>
      <c r="C29" s="3507">
        <v>0.72600390924901004</v>
      </c>
      <c r="D29" s="3507">
        <v>5.6819055966400002E-2</v>
      </c>
      <c r="E29" s="660"/>
      <c r="F29" s="660"/>
      <c r="G29" s="660"/>
    </row>
    <row r="30" spans="1:7" x14ac:dyDescent="0.2">
      <c r="A30" s="3583" t="s">
        <v>1443</v>
      </c>
      <c r="B30" s="3500" t="s">
        <v>259</v>
      </c>
      <c r="C30" s="3507" t="s">
        <v>259</v>
      </c>
      <c r="D30" s="3500" t="s">
        <v>259</v>
      </c>
      <c r="E30" s="660"/>
      <c r="F30" s="660"/>
      <c r="G30" s="660"/>
    </row>
    <row r="31" spans="1:7" ht="13.5" x14ac:dyDescent="0.2">
      <c r="A31" s="3583" t="s">
        <v>1507</v>
      </c>
      <c r="B31" s="3507">
        <v>49.803562499999998</v>
      </c>
      <c r="C31" s="3507">
        <v>0.72600390924901004</v>
      </c>
      <c r="D31" s="3507">
        <v>5.6819055966400002E-2</v>
      </c>
      <c r="E31" s="660"/>
      <c r="F31" s="660"/>
      <c r="G31" s="660"/>
    </row>
    <row r="32" spans="1:7" x14ac:dyDescent="0.2">
      <c r="A32" s="3522" t="s">
        <v>1506</v>
      </c>
      <c r="B32" s="3500">
        <v>1.8338125000000001</v>
      </c>
      <c r="C32" s="3507">
        <v>0.68682404711991996</v>
      </c>
      <c r="D32" s="3500">
        <v>1.9792245359999999E-3</v>
      </c>
      <c r="E32" s="660"/>
      <c r="F32" s="660"/>
      <c r="G32" s="660"/>
    </row>
    <row r="33" spans="1:7" x14ac:dyDescent="0.2">
      <c r="A33" s="3522" t="s">
        <v>1505</v>
      </c>
      <c r="B33" s="3500">
        <v>43.371749999999999</v>
      </c>
      <c r="C33" s="3507">
        <v>0.67100427310613997</v>
      </c>
      <c r="D33" s="3500">
        <v>4.5732703628999997E-2</v>
      </c>
    </row>
    <row r="34" spans="1:7" x14ac:dyDescent="0.2">
      <c r="A34" s="3522" t="s">
        <v>1504</v>
      </c>
      <c r="B34" s="3500">
        <v>4.5979999999999999</v>
      </c>
      <c r="C34" s="3507">
        <v>1.2604273520068101</v>
      </c>
      <c r="D34" s="3500">
        <v>9.1071278013999998E-3</v>
      </c>
    </row>
    <row r="35" spans="1:7" x14ac:dyDescent="0.2">
      <c r="A35" s="3600" t="s">
        <v>1503</v>
      </c>
      <c r="B35" s="3500" t="s">
        <v>259</v>
      </c>
      <c r="C35" s="3507" t="s">
        <v>259</v>
      </c>
      <c r="D35" s="3500" t="s">
        <v>259</v>
      </c>
      <c r="E35" s="660"/>
      <c r="F35" s="660"/>
      <c r="G35" s="660"/>
    </row>
    <row r="36" spans="1:7" x14ac:dyDescent="0.2">
      <c r="A36" s="755" t="s">
        <v>564</v>
      </c>
      <c r="B36" s="3449"/>
      <c r="C36" s="3449"/>
      <c r="D36" s="3449"/>
      <c r="E36" s="660"/>
      <c r="F36" s="660"/>
      <c r="G36" s="660"/>
    </row>
    <row r="37" spans="1:7" ht="33" customHeight="1" x14ac:dyDescent="0.2">
      <c r="A37" s="5504" t="s">
        <v>1502</v>
      </c>
      <c r="B37" s="5504"/>
      <c r="C37" s="5504"/>
      <c r="D37" s="5504"/>
      <c r="E37" s="660"/>
      <c r="F37" s="660"/>
      <c r="G37" s="660"/>
    </row>
    <row r="38" spans="1:7" ht="14.25" x14ac:dyDescent="0.25">
      <c r="A38" s="754" t="s">
        <v>1501</v>
      </c>
      <c r="B38" s="663"/>
      <c r="C38" s="663"/>
      <c r="D38" s="663"/>
      <c r="E38" s="660"/>
      <c r="F38" s="660"/>
      <c r="G38" s="660"/>
    </row>
    <row r="39" spans="1:7" ht="13.5" x14ac:dyDescent="0.2">
      <c r="A39" s="5536" t="s">
        <v>1500</v>
      </c>
      <c r="B39" s="5536"/>
      <c r="C39" s="663"/>
      <c r="D39" s="663"/>
      <c r="E39" s="660"/>
      <c r="F39" s="660"/>
      <c r="G39" s="660"/>
    </row>
    <row r="40" spans="1:7" ht="13.5" x14ac:dyDescent="0.2">
      <c r="A40" s="5554" t="s">
        <v>1499</v>
      </c>
      <c r="B40" s="5554"/>
      <c r="C40" s="5554"/>
      <c r="D40" s="5554"/>
      <c r="E40" s="660"/>
      <c r="F40" s="660"/>
      <c r="G40" s="660"/>
    </row>
    <row r="41" spans="1:7" ht="27.75" customHeight="1" x14ac:dyDescent="0.2">
      <c r="A41" s="5554" t="s">
        <v>1498</v>
      </c>
      <c r="B41" s="5554"/>
      <c r="C41" s="5554"/>
      <c r="D41" s="5554"/>
      <c r="E41" s="660"/>
      <c r="F41" s="660"/>
      <c r="G41" s="660"/>
    </row>
    <row r="42" spans="1:7" ht="13.5" x14ac:dyDescent="0.2">
      <c r="A42" s="5554"/>
      <c r="B42" s="5554"/>
      <c r="C42" s="5554"/>
      <c r="D42" s="5554"/>
      <c r="E42" s="660"/>
      <c r="F42" s="660"/>
      <c r="G42" s="660"/>
    </row>
    <row r="43" spans="1:7" x14ac:dyDescent="0.2">
      <c r="A43" s="3599" t="s">
        <v>982</v>
      </c>
      <c r="B43" s="3598"/>
      <c r="C43" s="3598"/>
      <c r="D43" s="3597"/>
      <c r="E43" s="660"/>
      <c r="F43" s="660"/>
      <c r="G43" s="660"/>
    </row>
    <row r="44" spans="1:7" ht="12.75" customHeight="1" x14ac:dyDescent="0.2">
      <c r="A44" s="5758" t="s">
        <v>1310</v>
      </c>
      <c r="B44" s="5760"/>
      <c r="C44" s="5760"/>
      <c r="D44" s="5761"/>
      <c r="E44" s="3299"/>
      <c r="F44" s="3299"/>
      <c r="G44" s="3299"/>
    </row>
    <row r="45" spans="1:7" x14ac:dyDescent="0.2">
      <c r="A45" s="3568" t="s">
        <v>980</v>
      </c>
      <c r="B45" s="5696" t="s">
        <v>5205</v>
      </c>
      <c r="C45" s="5762"/>
      <c r="D45" s="5762"/>
      <c r="E45" s="660"/>
      <c r="F45" s="660"/>
      <c r="G45" s="660"/>
    </row>
    <row r="46" spans="1:7" x14ac:dyDescent="0.2">
      <c r="A46" s="3568" t="s">
        <v>980</v>
      </c>
      <c r="B46" s="5696" t="s">
        <v>5204</v>
      </c>
      <c r="C46" s="5762"/>
      <c r="D46" s="5762"/>
    </row>
    <row r="47" spans="1:7" ht="12" customHeight="1" x14ac:dyDescent="0.2">
      <c r="A47" s="3568" t="s">
        <v>980</v>
      </c>
      <c r="B47" s="5696" t="s">
        <v>5203</v>
      </c>
      <c r="C47" s="5759"/>
      <c r="D47" s="5759"/>
    </row>
    <row r="48" spans="1:7" ht="12" customHeight="1" x14ac:dyDescent="0.2">
      <c r="A48" s="3568" t="s">
        <v>980</v>
      </c>
      <c r="B48" s="5696" t="s">
        <v>986</v>
      </c>
      <c r="C48" s="5759"/>
      <c r="D48" s="5759"/>
    </row>
    <row r="49" spans="1:4" ht="12" customHeight="1" x14ac:dyDescent="0.2">
      <c r="A49" s="3568" t="s">
        <v>980</v>
      </c>
      <c r="B49" s="5696" t="s">
        <v>986</v>
      </c>
      <c r="C49" s="5762"/>
      <c r="D49" s="5762"/>
    </row>
    <row r="50" spans="1:4" ht="15" x14ac:dyDescent="0.2">
      <c r="A50" s="3568" t="s">
        <v>980</v>
      </c>
      <c r="B50" s="5696" t="s">
        <v>986</v>
      </c>
      <c r="C50" s="5759"/>
      <c r="D50" s="5759"/>
    </row>
    <row r="51" spans="1:4" ht="12" customHeight="1" x14ac:dyDescent="0.2">
      <c r="A51" s="3568" t="s">
        <v>980</v>
      </c>
      <c r="B51" s="5696" t="s">
        <v>5202</v>
      </c>
      <c r="C51" s="5759"/>
      <c r="D51" s="5759"/>
    </row>
    <row r="52" spans="1:4" ht="12" customHeight="1" x14ac:dyDescent="0.2">
      <c r="A52" s="3568" t="s">
        <v>980</v>
      </c>
      <c r="B52" s="5696" t="s">
        <v>5201</v>
      </c>
      <c r="C52" s="5759"/>
      <c r="D52" s="5759"/>
    </row>
    <row r="53" spans="1:4" ht="12" customHeight="1" x14ac:dyDescent="0.2">
      <c r="A53" s="3568" t="s">
        <v>980</v>
      </c>
      <c r="B53" s="5696" t="s">
        <v>986</v>
      </c>
      <c r="C53" s="5759"/>
      <c r="D53" s="5759"/>
    </row>
    <row r="54" spans="1:4" ht="12" customHeight="1" x14ac:dyDescent="0.2">
      <c r="A54" s="3568" t="s">
        <v>980</v>
      </c>
      <c r="B54" s="5696" t="s">
        <v>5200</v>
      </c>
      <c r="C54" s="5759"/>
      <c r="D54" s="5759"/>
    </row>
  </sheetData>
  <sheetProtection password="A754" sheet="1" objects="1" scenarios="1"/>
  <mergeCells count="18">
    <mergeCell ref="B53:D53"/>
    <mergeCell ref="B54:D54"/>
    <mergeCell ref="B45:D45"/>
    <mergeCell ref="B46:D46"/>
    <mergeCell ref="B47:D47"/>
    <mergeCell ref="B48:D48"/>
    <mergeCell ref="B49:D49"/>
    <mergeCell ref="B52:D52"/>
    <mergeCell ref="A2:C2"/>
    <mergeCell ref="A7:A8"/>
    <mergeCell ref="B50:D50"/>
    <mergeCell ref="B51:D51"/>
    <mergeCell ref="A42:D42"/>
    <mergeCell ref="A44:D44"/>
    <mergeCell ref="A41:D41"/>
    <mergeCell ref="A37:D37"/>
    <mergeCell ref="A39:B39"/>
    <mergeCell ref="A40:D40"/>
  </mergeCells>
  <printOptions horizontalCentered="1" verticalCentered="1"/>
  <pageMargins left="0.39370078740157483" right="0.39370078740157483" top="0.39370078740157483" bottom="0.39370078740157483" header="0.19685039370078741" footer="0.19685039370078741"/>
  <pageSetup paperSize="9" scale="75" orientation="landscape" r:id="rId1"/>
  <headerFooter alignWithMargins="0"/>
  <colBreaks count="1" manualBreakCount="1">
    <brk id="4" min="5" max="40" man="1"/>
  </col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ED01C-72B5-446B-A255-48009BC5110B}">
  <sheetPr codeName="Ark53">
    <tabColor theme="0" tint="-0.249977111117893"/>
    <pageSetUpPr fitToPage="1"/>
  </sheetPr>
  <dimension ref="A1:O80"/>
  <sheetViews>
    <sheetView showGridLines="0" workbookViewId="0"/>
  </sheetViews>
  <sheetFormatPr defaultColWidth="9.140625" defaultRowHeight="12" x14ac:dyDescent="0.2"/>
  <cols>
    <col min="1" max="1" width="49.42578125" style="659" customWidth="1"/>
    <col min="2" max="2" width="20.42578125" style="659" customWidth="1"/>
    <col min="3" max="3" width="13.7109375" style="659" customWidth="1"/>
    <col min="4" max="4" width="11.7109375" style="659" customWidth="1"/>
    <col min="5" max="5" width="11" style="659" customWidth="1"/>
    <col min="6" max="8" width="8.7109375" style="659" customWidth="1"/>
    <col min="9" max="11" width="10.5703125" style="659" customWidth="1"/>
    <col min="12" max="12" width="1.28515625" style="659" customWidth="1"/>
    <col min="13" max="16384" width="9.140625" style="659"/>
  </cols>
  <sheetData>
    <row r="1" spans="1:15" ht="15.75" customHeight="1" x14ac:dyDescent="0.25">
      <c r="A1" s="671" t="s">
        <v>1565</v>
      </c>
      <c r="B1" s="763"/>
      <c r="C1" s="660"/>
      <c r="D1" s="660"/>
      <c r="E1" s="660"/>
      <c r="F1" s="660"/>
      <c r="G1" s="660"/>
      <c r="H1" s="660"/>
      <c r="I1" s="660"/>
      <c r="J1" s="660"/>
      <c r="K1" s="668" t="s">
        <v>1791</v>
      </c>
      <c r="L1" s="660"/>
      <c r="M1" s="660"/>
      <c r="N1" s="660"/>
      <c r="O1" s="660"/>
    </row>
    <row r="2" spans="1:15" ht="18.75" x14ac:dyDescent="0.25">
      <c r="A2" s="671" t="s">
        <v>1564</v>
      </c>
      <c r="B2" s="763"/>
      <c r="C2" s="660"/>
      <c r="D2" s="660"/>
      <c r="E2" s="660"/>
      <c r="F2" s="660"/>
      <c r="G2" s="660"/>
      <c r="H2" s="660"/>
      <c r="I2" s="660"/>
      <c r="J2" s="660"/>
      <c r="K2" s="668" t="s">
        <v>1790</v>
      </c>
      <c r="L2" s="660"/>
      <c r="M2" s="660"/>
      <c r="N2" s="660"/>
      <c r="O2" s="660"/>
    </row>
    <row r="3" spans="1:15" ht="15.75" x14ac:dyDescent="0.25">
      <c r="A3" s="671" t="s">
        <v>1197</v>
      </c>
      <c r="B3" s="763"/>
      <c r="C3" s="660"/>
      <c r="D3" s="660"/>
      <c r="E3" s="660"/>
      <c r="F3" s="660"/>
      <c r="G3" s="660"/>
      <c r="H3" s="660"/>
      <c r="I3" s="660"/>
      <c r="J3" s="660"/>
      <c r="K3" s="668" t="s">
        <v>1789</v>
      </c>
      <c r="L3" s="660"/>
      <c r="M3" s="660"/>
      <c r="N3" s="660"/>
      <c r="O3" s="660"/>
    </row>
    <row r="4" spans="1:15" x14ac:dyDescent="0.2">
      <c r="A4" s="660"/>
      <c r="B4" s="660"/>
      <c r="C4" s="660"/>
      <c r="D4" s="660"/>
      <c r="E4" s="660"/>
      <c r="F4" s="660"/>
      <c r="G4" s="660"/>
      <c r="H4" s="660"/>
      <c r="I4" s="660"/>
      <c r="J4" s="660"/>
      <c r="K4" s="660"/>
      <c r="L4" s="660"/>
      <c r="M4" s="660"/>
      <c r="N4" s="660"/>
      <c r="O4" s="660"/>
    </row>
    <row r="5" spans="1:15" ht="20.25" customHeight="1" x14ac:dyDescent="0.2">
      <c r="A5" s="5764" t="s">
        <v>1025</v>
      </c>
      <c r="B5" s="5763"/>
      <c r="C5" s="5763" t="s">
        <v>1083</v>
      </c>
      <c r="D5" s="5763"/>
      <c r="E5" s="5763"/>
      <c r="F5" s="5763" t="s">
        <v>1563</v>
      </c>
      <c r="G5" s="5763"/>
      <c r="H5" s="5763"/>
      <c r="I5" s="5763" t="s">
        <v>1081</v>
      </c>
      <c r="J5" s="5763"/>
      <c r="K5" s="5763"/>
      <c r="L5" s="660"/>
      <c r="M5" s="660"/>
      <c r="N5" s="660"/>
      <c r="O5" s="660"/>
    </row>
    <row r="6" spans="1:15" ht="19.5" customHeight="1" x14ac:dyDescent="0.2">
      <c r="A6" s="5764"/>
      <c r="B6" s="5763"/>
      <c r="C6" s="3611" t="s">
        <v>1562</v>
      </c>
      <c r="D6" s="3611" t="s">
        <v>1561</v>
      </c>
      <c r="E6" s="3611" t="s">
        <v>1560</v>
      </c>
      <c r="F6" s="3611" t="s">
        <v>1024</v>
      </c>
      <c r="G6" s="3611" t="s">
        <v>1023</v>
      </c>
      <c r="H6" s="3611" t="s">
        <v>1022</v>
      </c>
      <c r="I6" s="3611" t="s">
        <v>1559</v>
      </c>
      <c r="J6" s="3611" t="s">
        <v>1023</v>
      </c>
      <c r="K6" s="3611" t="s">
        <v>1022</v>
      </c>
      <c r="L6" s="660"/>
      <c r="M6" s="660"/>
      <c r="N6" s="660"/>
      <c r="O6" s="660"/>
    </row>
    <row r="7" spans="1:15" ht="15" thickBot="1" x14ac:dyDescent="0.25">
      <c r="A7" s="3462" t="s">
        <v>1527</v>
      </c>
      <c r="B7" s="762" t="s">
        <v>1558</v>
      </c>
      <c r="C7" s="3317"/>
      <c r="D7" s="3317" t="s">
        <v>1557</v>
      </c>
      <c r="E7" s="3461"/>
      <c r="F7" s="5605" t="s">
        <v>1556</v>
      </c>
      <c r="G7" s="5605"/>
      <c r="H7" s="5605"/>
      <c r="I7" s="5605" t="s">
        <v>1011</v>
      </c>
      <c r="J7" s="5605"/>
      <c r="K7" s="5605"/>
      <c r="L7" s="660"/>
      <c r="M7" s="660"/>
      <c r="N7" s="660"/>
      <c r="O7" s="660"/>
    </row>
    <row r="8" spans="1:15" ht="12.75" thickTop="1" x14ac:dyDescent="0.2">
      <c r="A8" s="756" t="s">
        <v>1555</v>
      </c>
      <c r="B8" s="3497"/>
      <c r="C8" s="3497" t="s">
        <v>986</v>
      </c>
      <c r="D8" s="3507" t="s">
        <v>1542</v>
      </c>
      <c r="E8" s="3507" t="s">
        <v>799</v>
      </c>
      <c r="F8" s="3507" t="s">
        <v>1366</v>
      </c>
      <c r="G8" s="3507" t="s">
        <v>799</v>
      </c>
      <c r="H8" s="3507" t="s">
        <v>799</v>
      </c>
      <c r="I8" s="3507" t="s">
        <v>1366</v>
      </c>
      <c r="J8" s="3507">
        <v>1.1688600000000001E-3</v>
      </c>
      <c r="K8" s="3507">
        <v>1.06722E-4</v>
      </c>
      <c r="L8" s="660"/>
      <c r="M8" s="660"/>
      <c r="N8" s="660"/>
      <c r="O8" s="660"/>
    </row>
    <row r="9" spans="1:15" x14ac:dyDescent="0.2">
      <c r="A9" s="3607" t="s">
        <v>1522</v>
      </c>
      <c r="B9" s="3497"/>
      <c r="C9" s="3497" t="s">
        <v>986</v>
      </c>
      <c r="D9" s="3507" t="s">
        <v>392</v>
      </c>
      <c r="E9" s="3507" t="s">
        <v>259</v>
      </c>
      <c r="F9" s="3507" t="s">
        <v>259</v>
      </c>
      <c r="G9" s="3507" t="s">
        <v>259</v>
      </c>
      <c r="H9" s="3507" t="s">
        <v>259</v>
      </c>
      <c r="I9" s="3507" t="s">
        <v>259</v>
      </c>
      <c r="J9" s="3507" t="s">
        <v>259</v>
      </c>
      <c r="K9" s="3507" t="s">
        <v>259</v>
      </c>
      <c r="L9" s="679"/>
      <c r="M9" s="660"/>
      <c r="N9" s="660"/>
      <c r="O9" s="660"/>
    </row>
    <row r="10" spans="1:15" ht="13.5" x14ac:dyDescent="0.2">
      <c r="A10" s="3609" t="s">
        <v>1554</v>
      </c>
      <c r="B10" s="3497"/>
      <c r="C10" s="3497" t="s">
        <v>986</v>
      </c>
      <c r="D10" s="3507" t="s">
        <v>392</v>
      </c>
      <c r="E10" s="3507" t="s">
        <v>259</v>
      </c>
      <c r="F10" s="3507" t="s">
        <v>259</v>
      </c>
      <c r="G10" s="3507" t="s">
        <v>259</v>
      </c>
      <c r="H10" s="3507" t="s">
        <v>259</v>
      </c>
      <c r="I10" s="3507" t="s">
        <v>259</v>
      </c>
      <c r="J10" s="3507" t="s">
        <v>259</v>
      </c>
      <c r="K10" s="3507" t="s">
        <v>259</v>
      </c>
      <c r="L10" s="660"/>
      <c r="M10" s="660"/>
      <c r="N10" s="660"/>
      <c r="O10" s="660"/>
    </row>
    <row r="11" spans="1:15" x14ac:dyDescent="0.2">
      <c r="A11" s="3608" t="s">
        <v>1545</v>
      </c>
      <c r="B11" s="3497"/>
      <c r="C11" s="3497" t="s">
        <v>986</v>
      </c>
      <c r="D11" s="3507" t="s">
        <v>392</v>
      </c>
      <c r="E11" s="3507" t="s">
        <v>259</v>
      </c>
      <c r="F11" s="3507" t="s">
        <v>259</v>
      </c>
      <c r="G11" s="3507" t="s">
        <v>259</v>
      </c>
      <c r="H11" s="3507" t="s">
        <v>259</v>
      </c>
      <c r="I11" s="3507" t="s">
        <v>259</v>
      </c>
      <c r="J11" s="3507" t="s">
        <v>259</v>
      </c>
      <c r="K11" s="3507" t="s">
        <v>259</v>
      </c>
      <c r="L11" s="679"/>
      <c r="M11" s="660"/>
      <c r="N11" s="660"/>
      <c r="O11" s="660"/>
    </row>
    <row r="12" spans="1:15" x14ac:dyDescent="0.2">
      <c r="A12" s="3522" t="s">
        <v>1319</v>
      </c>
      <c r="B12" s="3500" t="s">
        <v>1319</v>
      </c>
      <c r="C12" s="3500" t="s">
        <v>1541</v>
      </c>
      <c r="D12" s="3500" t="s">
        <v>986</v>
      </c>
      <c r="E12" s="3500" t="s">
        <v>259</v>
      </c>
      <c r="F12" s="3507" t="s">
        <v>259</v>
      </c>
      <c r="G12" s="3507" t="s">
        <v>259</v>
      </c>
      <c r="H12" s="3507" t="s">
        <v>259</v>
      </c>
      <c r="I12" s="3500" t="s">
        <v>259</v>
      </c>
      <c r="J12" s="3500" t="s">
        <v>259</v>
      </c>
      <c r="K12" s="3500" t="s">
        <v>259</v>
      </c>
      <c r="L12" s="679"/>
      <c r="M12" s="660"/>
      <c r="N12" s="660"/>
      <c r="O12" s="660"/>
    </row>
    <row r="13" spans="1:15" x14ac:dyDescent="0.2">
      <c r="A13" s="3608" t="s">
        <v>1544</v>
      </c>
      <c r="B13" s="3497"/>
      <c r="C13" s="3497" t="s">
        <v>986</v>
      </c>
      <c r="D13" s="3507" t="s">
        <v>392</v>
      </c>
      <c r="E13" s="3507" t="s">
        <v>259</v>
      </c>
      <c r="F13" s="3507" t="s">
        <v>259</v>
      </c>
      <c r="G13" s="3507" t="s">
        <v>259</v>
      </c>
      <c r="H13" s="3507" t="s">
        <v>259</v>
      </c>
      <c r="I13" s="3507" t="s">
        <v>259</v>
      </c>
      <c r="J13" s="3507" t="s">
        <v>259</v>
      </c>
      <c r="K13" s="3507" t="s">
        <v>259</v>
      </c>
      <c r="L13" s="679"/>
      <c r="M13" s="660"/>
      <c r="N13" s="660"/>
      <c r="O13" s="660"/>
    </row>
    <row r="14" spans="1:15" x14ac:dyDescent="0.2">
      <c r="A14" s="3522" t="s">
        <v>1319</v>
      </c>
      <c r="B14" s="3500" t="s">
        <v>1319</v>
      </c>
      <c r="C14" s="3500" t="s">
        <v>1541</v>
      </c>
      <c r="D14" s="3500" t="s">
        <v>986</v>
      </c>
      <c r="E14" s="3500" t="s">
        <v>259</v>
      </c>
      <c r="F14" s="3507" t="s">
        <v>259</v>
      </c>
      <c r="G14" s="3507" t="s">
        <v>259</v>
      </c>
      <c r="H14" s="3507" t="s">
        <v>259</v>
      </c>
      <c r="I14" s="3500" t="s">
        <v>259</v>
      </c>
      <c r="J14" s="3500" t="s">
        <v>259</v>
      </c>
      <c r="K14" s="3500" t="s">
        <v>259</v>
      </c>
      <c r="L14" s="679"/>
      <c r="M14" s="660"/>
      <c r="N14" s="660"/>
      <c r="O14" s="660"/>
    </row>
    <row r="15" spans="1:15" x14ac:dyDescent="0.2">
      <c r="A15" s="3609" t="s">
        <v>1553</v>
      </c>
      <c r="B15" s="3497"/>
      <c r="C15" s="3497" t="s">
        <v>986</v>
      </c>
      <c r="D15" s="3507" t="s">
        <v>392</v>
      </c>
      <c r="E15" s="3507" t="s">
        <v>259</v>
      </c>
      <c r="F15" s="3507" t="s">
        <v>259</v>
      </c>
      <c r="G15" s="3507" t="s">
        <v>259</v>
      </c>
      <c r="H15" s="3507" t="s">
        <v>259</v>
      </c>
      <c r="I15" s="3507" t="s">
        <v>259</v>
      </c>
      <c r="J15" s="3507" t="s">
        <v>259</v>
      </c>
      <c r="K15" s="3507" t="s">
        <v>259</v>
      </c>
      <c r="L15" s="660"/>
      <c r="M15" s="660"/>
      <c r="N15" s="660"/>
      <c r="O15" s="660"/>
    </row>
    <row r="16" spans="1:15" x14ac:dyDescent="0.2">
      <c r="A16" s="3608" t="s">
        <v>1545</v>
      </c>
      <c r="B16" s="3497"/>
      <c r="C16" s="3497" t="s">
        <v>986</v>
      </c>
      <c r="D16" s="3507" t="s">
        <v>392</v>
      </c>
      <c r="E16" s="3507" t="s">
        <v>259</v>
      </c>
      <c r="F16" s="3507" t="s">
        <v>259</v>
      </c>
      <c r="G16" s="3507" t="s">
        <v>259</v>
      </c>
      <c r="H16" s="3507" t="s">
        <v>259</v>
      </c>
      <c r="I16" s="3507" t="s">
        <v>259</v>
      </c>
      <c r="J16" s="3507" t="s">
        <v>259</v>
      </c>
      <c r="K16" s="3507" t="s">
        <v>259</v>
      </c>
      <c r="L16" s="679"/>
      <c r="M16" s="660"/>
      <c r="N16" s="660"/>
      <c r="O16" s="660"/>
    </row>
    <row r="17" spans="1:15" x14ac:dyDescent="0.2">
      <c r="A17" s="3522" t="s">
        <v>1319</v>
      </c>
      <c r="B17" s="3500" t="s">
        <v>1319</v>
      </c>
      <c r="C17" s="3500" t="s">
        <v>1541</v>
      </c>
      <c r="D17" s="3500" t="s">
        <v>986</v>
      </c>
      <c r="E17" s="3500" t="s">
        <v>259</v>
      </c>
      <c r="F17" s="3507" t="s">
        <v>259</v>
      </c>
      <c r="G17" s="3507" t="s">
        <v>259</v>
      </c>
      <c r="H17" s="3507" t="s">
        <v>259</v>
      </c>
      <c r="I17" s="3500" t="s">
        <v>259</v>
      </c>
      <c r="J17" s="3500" t="s">
        <v>259</v>
      </c>
      <c r="K17" s="3500" t="s">
        <v>259</v>
      </c>
      <c r="L17" s="679"/>
      <c r="M17" s="660"/>
      <c r="N17" s="660"/>
      <c r="O17" s="660"/>
    </row>
    <row r="18" spans="1:15" x14ac:dyDescent="0.2">
      <c r="A18" s="3608" t="s">
        <v>1544</v>
      </c>
      <c r="B18" s="3497"/>
      <c r="C18" s="3497" t="s">
        <v>986</v>
      </c>
      <c r="D18" s="3507" t="s">
        <v>392</v>
      </c>
      <c r="E18" s="3507" t="s">
        <v>986</v>
      </c>
      <c r="F18" s="3507" t="s">
        <v>986</v>
      </c>
      <c r="G18" s="3507" t="s">
        <v>986</v>
      </c>
      <c r="H18" s="3507" t="s">
        <v>986</v>
      </c>
      <c r="I18" s="3507" t="s">
        <v>259</v>
      </c>
      <c r="J18" s="3507" t="s">
        <v>259</v>
      </c>
      <c r="K18" s="3507" t="s">
        <v>259</v>
      </c>
      <c r="L18" s="679"/>
      <c r="M18" s="660"/>
      <c r="N18" s="660"/>
      <c r="O18" s="660"/>
    </row>
    <row r="19" spans="1:15" x14ac:dyDescent="0.2">
      <c r="A19" s="3522" t="s">
        <v>1319</v>
      </c>
      <c r="B19" s="3500" t="s">
        <v>1319</v>
      </c>
      <c r="C19" s="3500" t="s">
        <v>1541</v>
      </c>
      <c r="D19" s="3500" t="s">
        <v>986</v>
      </c>
      <c r="E19" s="3500" t="s">
        <v>986</v>
      </c>
      <c r="F19" s="3507" t="s">
        <v>986</v>
      </c>
      <c r="G19" s="3507" t="s">
        <v>986</v>
      </c>
      <c r="H19" s="3507" t="s">
        <v>986</v>
      </c>
      <c r="I19" s="3500" t="s">
        <v>259</v>
      </c>
      <c r="J19" s="3500" t="s">
        <v>259</v>
      </c>
      <c r="K19" s="3500" t="s">
        <v>259</v>
      </c>
      <c r="L19" s="679"/>
      <c r="M19" s="660"/>
      <c r="N19" s="660"/>
      <c r="O19" s="660"/>
    </row>
    <row r="20" spans="1:15" x14ac:dyDescent="0.2">
      <c r="A20" s="3607" t="s">
        <v>1552</v>
      </c>
      <c r="B20" s="3497"/>
      <c r="C20" s="3497" t="s">
        <v>986</v>
      </c>
      <c r="D20" s="3507" t="s">
        <v>392</v>
      </c>
      <c r="E20" s="3507" t="s">
        <v>1366</v>
      </c>
      <c r="F20" s="3507" t="s">
        <v>259</v>
      </c>
      <c r="G20" s="3507" t="s">
        <v>259</v>
      </c>
      <c r="H20" s="3507" t="s">
        <v>259</v>
      </c>
      <c r="I20" s="3507" t="s">
        <v>259</v>
      </c>
      <c r="J20" s="3507" t="s">
        <v>259</v>
      </c>
      <c r="K20" s="3507" t="s">
        <v>259</v>
      </c>
      <c r="L20" s="679"/>
      <c r="M20" s="660"/>
      <c r="N20" s="660"/>
      <c r="O20" s="660"/>
    </row>
    <row r="21" spans="1:15" ht="13.5" x14ac:dyDescent="0.2">
      <c r="A21" s="3609" t="s">
        <v>1551</v>
      </c>
      <c r="B21" s="3497"/>
      <c r="C21" s="3497" t="s">
        <v>986</v>
      </c>
      <c r="D21" s="3507" t="s">
        <v>392</v>
      </c>
      <c r="E21" s="3507" t="s">
        <v>259</v>
      </c>
      <c r="F21" s="3507" t="s">
        <v>259</v>
      </c>
      <c r="G21" s="3507" t="s">
        <v>259</v>
      </c>
      <c r="H21" s="3507" t="s">
        <v>259</v>
      </c>
      <c r="I21" s="3507" t="s">
        <v>259</v>
      </c>
      <c r="J21" s="3507" t="s">
        <v>259</v>
      </c>
      <c r="K21" s="3507" t="s">
        <v>259</v>
      </c>
      <c r="L21" s="660"/>
      <c r="M21" s="660"/>
      <c r="N21" s="660"/>
      <c r="O21" s="660"/>
    </row>
    <row r="22" spans="1:15" x14ac:dyDescent="0.2">
      <c r="A22" s="3608" t="s">
        <v>1545</v>
      </c>
      <c r="B22" s="3497"/>
      <c r="C22" s="3497" t="s">
        <v>986</v>
      </c>
      <c r="D22" s="3507" t="s">
        <v>392</v>
      </c>
      <c r="E22" s="3507" t="s">
        <v>259</v>
      </c>
      <c r="F22" s="3507" t="s">
        <v>259</v>
      </c>
      <c r="G22" s="3507" t="s">
        <v>259</v>
      </c>
      <c r="H22" s="3507" t="s">
        <v>259</v>
      </c>
      <c r="I22" s="3507" t="s">
        <v>259</v>
      </c>
      <c r="J22" s="3507" t="s">
        <v>259</v>
      </c>
      <c r="K22" s="3507" t="s">
        <v>259</v>
      </c>
      <c r="L22" s="660"/>
      <c r="M22" s="660"/>
      <c r="N22" s="660"/>
      <c r="O22" s="660"/>
    </row>
    <row r="23" spans="1:15" x14ac:dyDescent="0.2">
      <c r="A23" s="3522" t="s">
        <v>1319</v>
      </c>
      <c r="B23" s="3500" t="s">
        <v>1319</v>
      </c>
      <c r="C23" s="3500" t="s">
        <v>1541</v>
      </c>
      <c r="D23" s="3500" t="s">
        <v>986</v>
      </c>
      <c r="E23" s="3500" t="s">
        <v>259</v>
      </c>
      <c r="F23" s="3507" t="s">
        <v>259</v>
      </c>
      <c r="G23" s="3507" t="s">
        <v>259</v>
      </c>
      <c r="H23" s="3507" t="s">
        <v>259</v>
      </c>
      <c r="I23" s="3500" t="s">
        <v>259</v>
      </c>
      <c r="J23" s="3500" t="s">
        <v>259</v>
      </c>
      <c r="K23" s="3500" t="s">
        <v>259</v>
      </c>
      <c r="L23" s="679"/>
      <c r="M23" s="660"/>
      <c r="N23" s="660"/>
      <c r="O23" s="660"/>
    </row>
    <row r="24" spans="1:15" x14ac:dyDescent="0.2">
      <c r="A24" s="3608" t="s">
        <v>1544</v>
      </c>
      <c r="B24" s="3497"/>
      <c r="C24" s="3497" t="s">
        <v>986</v>
      </c>
      <c r="D24" s="3507" t="s">
        <v>392</v>
      </c>
      <c r="E24" s="3507" t="s">
        <v>259</v>
      </c>
      <c r="F24" s="3507" t="s">
        <v>259</v>
      </c>
      <c r="G24" s="3507" t="s">
        <v>259</v>
      </c>
      <c r="H24" s="3507" t="s">
        <v>259</v>
      </c>
      <c r="I24" s="3507" t="s">
        <v>259</v>
      </c>
      <c r="J24" s="3507" t="s">
        <v>259</v>
      </c>
      <c r="K24" s="3507" t="s">
        <v>259</v>
      </c>
      <c r="L24" s="660"/>
      <c r="M24" s="660"/>
      <c r="N24" s="660"/>
      <c r="O24" s="660"/>
    </row>
    <row r="25" spans="1:15" x14ac:dyDescent="0.2">
      <c r="A25" s="3522" t="s">
        <v>1319</v>
      </c>
      <c r="B25" s="3500" t="s">
        <v>1319</v>
      </c>
      <c r="C25" s="3500" t="s">
        <v>1541</v>
      </c>
      <c r="D25" s="3500" t="s">
        <v>986</v>
      </c>
      <c r="E25" s="3500" t="s">
        <v>259</v>
      </c>
      <c r="F25" s="3507" t="s">
        <v>259</v>
      </c>
      <c r="G25" s="3507" t="s">
        <v>259</v>
      </c>
      <c r="H25" s="3507" t="s">
        <v>259</v>
      </c>
      <c r="I25" s="3500" t="s">
        <v>259</v>
      </c>
      <c r="J25" s="3500" t="s">
        <v>259</v>
      </c>
      <c r="K25" s="3500" t="s">
        <v>259</v>
      </c>
      <c r="L25" s="679"/>
      <c r="M25" s="660"/>
      <c r="N25" s="660"/>
      <c r="O25" s="660"/>
    </row>
    <row r="26" spans="1:15" x14ac:dyDescent="0.2">
      <c r="A26" s="3609" t="s">
        <v>1550</v>
      </c>
      <c r="B26" s="3497"/>
      <c r="C26" s="3497" t="s">
        <v>986</v>
      </c>
      <c r="D26" s="3507" t="s">
        <v>392</v>
      </c>
      <c r="E26" s="3507" t="s">
        <v>455</v>
      </c>
      <c r="F26" s="3507" t="s">
        <v>259</v>
      </c>
      <c r="G26" s="3507" t="s">
        <v>259</v>
      </c>
      <c r="H26" s="3507" t="s">
        <v>259</v>
      </c>
      <c r="I26" s="3507" t="s">
        <v>259</v>
      </c>
      <c r="J26" s="3507" t="s">
        <v>259</v>
      </c>
      <c r="K26" s="3507" t="s">
        <v>259</v>
      </c>
      <c r="L26" s="660"/>
      <c r="M26" s="660"/>
      <c r="N26" s="660"/>
      <c r="O26" s="660"/>
    </row>
    <row r="27" spans="1:15" x14ac:dyDescent="0.2">
      <c r="A27" s="3608" t="s">
        <v>1545</v>
      </c>
      <c r="B27" s="3497"/>
      <c r="C27" s="3497" t="s">
        <v>986</v>
      </c>
      <c r="D27" s="3507" t="s">
        <v>392</v>
      </c>
      <c r="E27" s="3507" t="s">
        <v>986</v>
      </c>
      <c r="F27" s="3507" t="s">
        <v>986</v>
      </c>
      <c r="G27" s="3507" t="s">
        <v>986</v>
      </c>
      <c r="H27" s="3507" t="s">
        <v>986</v>
      </c>
      <c r="I27" s="3507" t="s">
        <v>259</v>
      </c>
      <c r="J27" s="3507" t="s">
        <v>259</v>
      </c>
      <c r="K27" s="3507" t="s">
        <v>259</v>
      </c>
      <c r="L27" s="679"/>
      <c r="M27" s="660"/>
      <c r="N27" s="660"/>
      <c r="O27" s="660"/>
    </row>
    <row r="28" spans="1:15" x14ac:dyDescent="0.2">
      <c r="A28" s="3522" t="s">
        <v>1319</v>
      </c>
      <c r="B28" s="3500" t="s">
        <v>1319</v>
      </c>
      <c r="C28" s="3500" t="s">
        <v>1541</v>
      </c>
      <c r="D28" s="3500" t="s">
        <v>986</v>
      </c>
      <c r="E28" s="3500" t="s">
        <v>986</v>
      </c>
      <c r="F28" s="3507" t="s">
        <v>986</v>
      </c>
      <c r="G28" s="3507" t="s">
        <v>986</v>
      </c>
      <c r="H28" s="3507" t="s">
        <v>986</v>
      </c>
      <c r="I28" s="3500" t="s">
        <v>259</v>
      </c>
      <c r="J28" s="3500" t="s">
        <v>259</v>
      </c>
      <c r="K28" s="3500" t="s">
        <v>259</v>
      </c>
      <c r="L28" s="679"/>
      <c r="M28" s="660"/>
      <c r="N28" s="660"/>
      <c r="O28" s="660"/>
    </row>
    <row r="29" spans="1:15" x14ac:dyDescent="0.2">
      <c r="A29" s="3608" t="s">
        <v>1544</v>
      </c>
      <c r="B29" s="3497"/>
      <c r="C29" s="3497" t="s">
        <v>986</v>
      </c>
      <c r="D29" s="3507" t="s">
        <v>392</v>
      </c>
      <c r="E29" s="3507" t="s">
        <v>455</v>
      </c>
      <c r="F29" s="3507" t="s">
        <v>259</v>
      </c>
      <c r="G29" s="3507" t="s">
        <v>259</v>
      </c>
      <c r="H29" s="3507" t="s">
        <v>259</v>
      </c>
      <c r="I29" s="3507" t="s">
        <v>259</v>
      </c>
      <c r="J29" s="3507" t="s">
        <v>259</v>
      </c>
      <c r="K29" s="3507" t="s">
        <v>259</v>
      </c>
      <c r="L29" s="679"/>
      <c r="M29" s="660"/>
      <c r="N29" s="660"/>
      <c r="O29" s="660"/>
    </row>
    <row r="30" spans="1:15" x14ac:dyDescent="0.2">
      <c r="A30" s="3522" t="s">
        <v>1319</v>
      </c>
      <c r="B30" s="3500" t="s">
        <v>1319</v>
      </c>
      <c r="C30" s="3500" t="s">
        <v>1541</v>
      </c>
      <c r="D30" s="3500" t="s">
        <v>986</v>
      </c>
      <c r="E30" s="3500" t="s">
        <v>455</v>
      </c>
      <c r="F30" s="3507" t="s">
        <v>259</v>
      </c>
      <c r="G30" s="3507" t="s">
        <v>259</v>
      </c>
      <c r="H30" s="3507" t="s">
        <v>259</v>
      </c>
      <c r="I30" s="3500" t="s">
        <v>259</v>
      </c>
      <c r="J30" s="3500" t="s">
        <v>259</v>
      </c>
      <c r="K30" s="3500" t="s">
        <v>259</v>
      </c>
      <c r="L30" s="679"/>
      <c r="M30" s="660"/>
      <c r="N30" s="660"/>
      <c r="O30" s="660"/>
    </row>
    <row r="31" spans="1:15" x14ac:dyDescent="0.2">
      <c r="A31" s="3610" t="s">
        <v>1549</v>
      </c>
      <c r="B31" s="3497"/>
      <c r="C31" s="3497" t="s">
        <v>986</v>
      </c>
      <c r="D31" s="3507" t="s">
        <v>392</v>
      </c>
      <c r="E31" s="3507">
        <v>0.7</v>
      </c>
      <c r="F31" s="3507" t="s">
        <v>455</v>
      </c>
      <c r="G31" s="3507">
        <v>1.6698</v>
      </c>
      <c r="H31" s="3507">
        <v>0.15246000000000001</v>
      </c>
      <c r="I31" s="3507" t="s">
        <v>455</v>
      </c>
      <c r="J31" s="3507">
        <v>1.1688600000000001E-3</v>
      </c>
      <c r="K31" s="3507">
        <v>1.06722E-4</v>
      </c>
      <c r="L31" s="679"/>
      <c r="M31" s="660"/>
      <c r="N31" s="660"/>
      <c r="O31" s="660"/>
    </row>
    <row r="32" spans="1:15" ht="13.5" x14ac:dyDescent="0.2">
      <c r="A32" s="3609" t="s">
        <v>1548</v>
      </c>
      <c r="B32" s="3497"/>
      <c r="C32" s="3497" t="s">
        <v>986</v>
      </c>
      <c r="D32" s="3507" t="s">
        <v>392</v>
      </c>
      <c r="E32" s="3507">
        <v>0.7</v>
      </c>
      <c r="F32" s="3507" t="s">
        <v>455</v>
      </c>
      <c r="G32" s="3507">
        <v>1.6698</v>
      </c>
      <c r="H32" s="3507">
        <v>0.15246000000000001</v>
      </c>
      <c r="I32" s="3507" t="s">
        <v>455</v>
      </c>
      <c r="J32" s="3507">
        <v>1.1688600000000001E-3</v>
      </c>
      <c r="K32" s="3507">
        <v>1.06722E-4</v>
      </c>
      <c r="L32" s="660"/>
      <c r="M32" s="660"/>
      <c r="N32" s="660"/>
      <c r="O32" s="660"/>
    </row>
    <row r="33" spans="1:15" x14ac:dyDescent="0.2">
      <c r="A33" s="3608" t="s">
        <v>1545</v>
      </c>
      <c r="B33" s="3497"/>
      <c r="C33" s="3497" t="s">
        <v>986</v>
      </c>
      <c r="D33" s="3507" t="s">
        <v>392</v>
      </c>
      <c r="E33" s="3507">
        <v>0.7</v>
      </c>
      <c r="F33" s="3507" t="s">
        <v>455</v>
      </c>
      <c r="G33" s="3507">
        <v>1.6698</v>
      </c>
      <c r="H33" s="3507">
        <v>0.15246000000000001</v>
      </c>
      <c r="I33" s="3507" t="s">
        <v>455</v>
      </c>
      <c r="J33" s="3507">
        <v>1.1688600000000001E-3</v>
      </c>
      <c r="K33" s="3507">
        <v>1.06722E-4</v>
      </c>
      <c r="L33" s="679"/>
      <c r="M33" s="660"/>
      <c r="N33" s="660"/>
      <c r="O33" s="660"/>
    </row>
    <row r="34" spans="1:15" x14ac:dyDescent="0.2">
      <c r="A34" s="3522" t="s">
        <v>1319</v>
      </c>
      <c r="B34" s="3500" t="s">
        <v>1319</v>
      </c>
      <c r="C34" s="3500" t="s">
        <v>1541</v>
      </c>
      <c r="D34" s="3500" t="s">
        <v>986</v>
      </c>
      <c r="E34" s="3500">
        <v>0.7</v>
      </c>
      <c r="F34" s="3507" t="s">
        <v>455</v>
      </c>
      <c r="G34" s="3507">
        <v>1.6698</v>
      </c>
      <c r="H34" s="3507">
        <v>0.15246000000000001</v>
      </c>
      <c r="I34" s="3500" t="s">
        <v>455</v>
      </c>
      <c r="J34" s="3500">
        <v>1.1688600000000001E-3</v>
      </c>
      <c r="K34" s="3500">
        <v>1.06722E-4</v>
      </c>
      <c r="L34" s="679"/>
      <c r="M34" s="660"/>
      <c r="N34" s="660"/>
      <c r="O34" s="660"/>
    </row>
    <row r="35" spans="1:15" x14ac:dyDescent="0.2">
      <c r="A35" s="3608" t="s">
        <v>1544</v>
      </c>
      <c r="B35" s="3497"/>
      <c r="C35" s="3497" t="s">
        <v>986</v>
      </c>
      <c r="D35" s="3507" t="s">
        <v>392</v>
      </c>
      <c r="E35" s="3507" t="s">
        <v>455</v>
      </c>
      <c r="F35" s="3507" t="s">
        <v>455</v>
      </c>
      <c r="G35" s="3507" t="s">
        <v>455</v>
      </c>
      <c r="H35" s="3507" t="s">
        <v>455</v>
      </c>
      <c r="I35" s="3507" t="s">
        <v>455</v>
      </c>
      <c r="J35" s="3507" t="s">
        <v>455</v>
      </c>
      <c r="K35" s="3507" t="s">
        <v>455</v>
      </c>
      <c r="L35" s="679"/>
      <c r="M35" s="660"/>
      <c r="N35" s="660"/>
      <c r="O35" s="660"/>
    </row>
    <row r="36" spans="1:15" x14ac:dyDescent="0.2">
      <c r="A36" s="3522" t="s">
        <v>1319</v>
      </c>
      <c r="B36" s="3500" t="s">
        <v>1319</v>
      </c>
      <c r="C36" s="3500" t="s">
        <v>1541</v>
      </c>
      <c r="D36" s="3500" t="s">
        <v>986</v>
      </c>
      <c r="E36" s="3500" t="s">
        <v>455</v>
      </c>
      <c r="F36" s="3507" t="s">
        <v>455</v>
      </c>
      <c r="G36" s="3507" t="s">
        <v>455</v>
      </c>
      <c r="H36" s="3507" t="s">
        <v>455</v>
      </c>
      <c r="I36" s="3500" t="s">
        <v>455</v>
      </c>
      <c r="J36" s="3500" t="s">
        <v>455</v>
      </c>
      <c r="K36" s="3500" t="s">
        <v>455</v>
      </c>
      <c r="L36" s="679"/>
      <c r="M36" s="660"/>
      <c r="N36" s="660"/>
      <c r="O36" s="660"/>
    </row>
    <row r="37" spans="1:15" x14ac:dyDescent="0.2">
      <c r="A37" s="3609" t="s">
        <v>1547</v>
      </c>
      <c r="B37" s="3497"/>
      <c r="C37" s="3497" t="s">
        <v>986</v>
      </c>
      <c r="D37" s="3507" t="s">
        <v>392</v>
      </c>
      <c r="E37" s="3507" t="s">
        <v>455</v>
      </c>
      <c r="F37" s="3507" t="s">
        <v>455</v>
      </c>
      <c r="G37" s="3507" t="s">
        <v>455</v>
      </c>
      <c r="H37" s="3507" t="s">
        <v>455</v>
      </c>
      <c r="I37" s="3507" t="s">
        <v>455</v>
      </c>
      <c r="J37" s="3507" t="s">
        <v>455</v>
      </c>
      <c r="K37" s="3507" t="s">
        <v>455</v>
      </c>
      <c r="L37" s="660"/>
      <c r="M37" s="660"/>
      <c r="N37" s="660"/>
      <c r="O37" s="660"/>
    </row>
    <row r="38" spans="1:15" x14ac:dyDescent="0.2">
      <c r="A38" s="3608" t="s">
        <v>1545</v>
      </c>
      <c r="B38" s="3497"/>
      <c r="C38" s="3497" t="s">
        <v>986</v>
      </c>
      <c r="D38" s="3507" t="s">
        <v>392</v>
      </c>
      <c r="E38" s="3507" t="s">
        <v>455</v>
      </c>
      <c r="F38" s="3507" t="s">
        <v>455</v>
      </c>
      <c r="G38" s="3507" t="s">
        <v>455</v>
      </c>
      <c r="H38" s="3507" t="s">
        <v>455</v>
      </c>
      <c r="I38" s="3507" t="s">
        <v>455</v>
      </c>
      <c r="J38" s="3507" t="s">
        <v>455</v>
      </c>
      <c r="K38" s="3507" t="s">
        <v>455</v>
      </c>
      <c r="L38" s="679"/>
      <c r="M38" s="660"/>
      <c r="N38" s="660"/>
      <c r="O38" s="660"/>
    </row>
    <row r="39" spans="1:15" x14ac:dyDescent="0.2">
      <c r="A39" s="3522" t="s">
        <v>1319</v>
      </c>
      <c r="B39" s="3500" t="s">
        <v>1319</v>
      </c>
      <c r="C39" s="3500" t="s">
        <v>1541</v>
      </c>
      <c r="D39" s="3500" t="s">
        <v>986</v>
      </c>
      <c r="E39" s="3500" t="s">
        <v>455</v>
      </c>
      <c r="F39" s="3507" t="s">
        <v>455</v>
      </c>
      <c r="G39" s="3507" t="s">
        <v>455</v>
      </c>
      <c r="H39" s="3507" t="s">
        <v>455</v>
      </c>
      <c r="I39" s="3500" t="s">
        <v>455</v>
      </c>
      <c r="J39" s="3500" t="s">
        <v>455</v>
      </c>
      <c r="K39" s="3500" t="s">
        <v>455</v>
      </c>
      <c r="L39" s="679"/>
      <c r="M39" s="660"/>
      <c r="N39" s="660"/>
      <c r="O39" s="660"/>
    </row>
    <row r="40" spans="1:15" x14ac:dyDescent="0.2">
      <c r="A40" s="3608" t="s">
        <v>1544</v>
      </c>
      <c r="B40" s="3497"/>
      <c r="C40" s="3497" t="s">
        <v>986</v>
      </c>
      <c r="D40" s="3507" t="s">
        <v>392</v>
      </c>
      <c r="E40" s="3507" t="s">
        <v>986</v>
      </c>
      <c r="F40" s="3507" t="s">
        <v>986</v>
      </c>
      <c r="G40" s="3507" t="s">
        <v>986</v>
      </c>
      <c r="H40" s="3507" t="s">
        <v>986</v>
      </c>
      <c r="I40" s="3507" t="s">
        <v>455</v>
      </c>
      <c r="J40" s="3507" t="s">
        <v>455</v>
      </c>
      <c r="K40" s="3507" t="s">
        <v>455</v>
      </c>
      <c r="L40" s="679"/>
      <c r="M40" s="660"/>
      <c r="N40" s="660"/>
      <c r="O40" s="660"/>
    </row>
    <row r="41" spans="1:15" x14ac:dyDescent="0.2">
      <c r="A41" s="3522" t="s">
        <v>1319</v>
      </c>
      <c r="B41" s="3500" t="s">
        <v>1319</v>
      </c>
      <c r="C41" s="3500" t="s">
        <v>1541</v>
      </c>
      <c r="D41" s="3500" t="s">
        <v>986</v>
      </c>
      <c r="E41" s="3500" t="s">
        <v>986</v>
      </c>
      <c r="F41" s="3507" t="s">
        <v>986</v>
      </c>
      <c r="G41" s="3507" t="s">
        <v>986</v>
      </c>
      <c r="H41" s="3507" t="s">
        <v>986</v>
      </c>
      <c r="I41" s="3500" t="s">
        <v>455</v>
      </c>
      <c r="J41" s="3500" t="s">
        <v>455</v>
      </c>
      <c r="K41" s="3500" t="s">
        <v>455</v>
      </c>
      <c r="L41" s="679"/>
      <c r="M41" s="660"/>
      <c r="N41" s="660"/>
      <c r="O41" s="660"/>
    </row>
    <row r="42" spans="1:15" x14ac:dyDescent="0.2">
      <c r="A42" s="3607" t="s">
        <v>1510</v>
      </c>
      <c r="B42" s="3497"/>
      <c r="C42" s="3497" t="s">
        <v>986</v>
      </c>
      <c r="D42" s="3507" t="s">
        <v>392</v>
      </c>
      <c r="E42" s="3507" t="s">
        <v>259</v>
      </c>
      <c r="F42" s="3507" t="s">
        <v>1366</v>
      </c>
      <c r="G42" s="3507" t="s">
        <v>1366</v>
      </c>
      <c r="H42" s="3507" t="s">
        <v>1366</v>
      </c>
      <c r="I42" s="3507" t="s">
        <v>1366</v>
      </c>
      <c r="J42" s="3507" t="s">
        <v>1366</v>
      </c>
      <c r="K42" s="3507" t="s">
        <v>1366</v>
      </c>
      <c r="L42" s="679"/>
      <c r="M42" s="660"/>
      <c r="N42" s="660"/>
      <c r="O42" s="660"/>
    </row>
    <row r="43" spans="1:15" x14ac:dyDescent="0.2">
      <c r="A43" s="3609" t="s">
        <v>1422</v>
      </c>
      <c r="B43" s="3497"/>
      <c r="C43" s="3497" t="s">
        <v>986</v>
      </c>
      <c r="D43" s="3507" t="s">
        <v>392</v>
      </c>
      <c r="E43" s="3507" t="s">
        <v>259</v>
      </c>
      <c r="F43" s="3507" t="s">
        <v>259</v>
      </c>
      <c r="G43" s="3507" t="s">
        <v>259</v>
      </c>
      <c r="H43" s="3507" t="s">
        <v>259</v>
      </c>
      <c r="I43" s="3507" t="s">
        <v>259</v>
      </c>
      <c r="J43" s="3507" t="s">
        <v>259</v>
      </c>
      <c r="K43" s="3507" t="s">
        <v>259</v>
      </c>
      <c r="L43" s="660"/>
      <c r="M43" s="660"/>
      <c r="N43" s="660"/>
      <c r="O43" s="660"/>
    </row>
    <row r="44" spans="1:15" x14ac:dyDescent="0.2">
      <c r="A44" s="3608" t="s">
        <v>1545</v>
      </c>
      <c r="B44" s="3497"/>
      <c r="C44" s="3497" t="s">
        <v>986</v>
      </c>
      <c r="D44" s="3507" t="s">
        <v>392</v>
      </c>
      <c r="E44" s="3507" t="s">
        <v>259</v>
      </c>
      <c r="F44" s="3507" t="s">
        <v>259</v>
      </c>
      <c r="G44" s="3507" t="s">
        <v>259</v>
      </c>
      <c r="H44" s="3507" t="s">
        <v>259</v>
      </c>
      <c r="I44" s="3507" t="s">
        <v>259</v>
      </c>
      <c r="J44" s="3507" t="s">
        <v>259</v>
      </c>
      <c r="K44" s="3507" t="s">
        <v>259</v>
      </c>
      <c r="L44" s="679"/>
      <c r="M44" s="660"/>
      <c r="N44" s="660"/>
      <c r="O44" s="660"/>
    </row>
    <row r="45" spans="1:15" x14ac:dyDescent="0.2">
      <c r="A45" s="3522" t="s">
        <v>1319</v>
      </c>
      <c r="B45" s="3500" t="s">
        <v>1319</v>
      </c>
      <c r="C45" s="3500" t="s">
        <v>1541</v>
      </c>
      <c r="D45" s="3500" t="s">
        <v>986</v>
      </c>
      <c r="E45" s="3500" t="s">
        <v>259</v>
      </c>
      <c r="F45" s="3507" t="s">
        <v>259</v>
      </c>
      <c r="G45" s="3507" t="s">
        <v>259</v>
      </c>
      <c r="H45" s="3507" t="s">
        <v>259</v>
      </c>
      <c r="I45" s="3500" t="s">
        <v>259</v>
      </c>
      <c r="J45" s="3500" t="s">
        <v>259</v>
      </c>
      <c r="K45" s="3500" t="s">
        <v>259</v>
      </c>
      <c r="L45" s="679"/>
      <c r="M45" s="660"/>
      <c r="N45" s="660"/>
      <c r="O45" s="660"/>
    </row>
    <row r="46" spans="1:15" x14ac:dyDescent="0.2">
      <c r="A46" s="3608" t="s">
        <v>1544</v>
      </c>
      <c r="B46" s="3497"/>
      <c r="C46" s="3497" t="s">
        <v>986</v>
      </c>
      <c r="D46" s="3507" t="s">
        <v>392</v>
      </c>
      <c r="E46" s="3507" t="s">
        <v>986</v>
      </c>
      <c r="F46" s="3507" t="s">
        <v>986</v>
      </c>
      <c r="G46" s="3507" t="s">
        <v>986</v>
      </c>
      <c r="H46" s="3507" t="s">
        <v>986</v>
      </c>
      <c r="I46" s="3507" t="s">
        <v>259</v>
      </c>
      <c r="J46" s="3507" t="s">
        <v>259</v>
      </c>
      <c r="K46" s="3507" t="s">
        <v>259</v>
      </c>
      <c r="L46" s="679"/>
      <c r="M46" s="660"/>
      <c r="N46" s="660"/>
      <c r="O46" s="660"/>
    </row>
    <row r="47" spans="1:15" x14ac:dyDescent="0.2">
      <c r="A47" s="3522" t="s">
        <v>1319</v>
      </c>
      <c r="B47" s="3500" t="s">
        <v>1319</v>
      </c>
      <c r="C47" s="3500" t="s">
        <v>1541</v>
      </c>
      <c r="D47" s="3500" t="s">
        <v>986</v>
      </c>
      <c r="E47" s="3500" t="s">
        <v>986</v>
      </c>
      <c r="F47" s="3507" t="s">
        <v>986</v>
      </c>
      <c r="G47" s="3507" t="s">
        <v>986</v>
      </c>
      <c r="H47" s="3507" t="s">
        <v>986</v>
      </c>
      <c r="I47" s="3500" t="s">
        <v>259</v>
      </c>
      <c r="J47" s="3500" t="s">
        <v>259</v>
      </c>
      <c r="K47" s="3500" t="s">
        <v>259</v>
      </c>
      <c r="L47" s="679"/>
      <c r="M47" s="660"/>
      <c r="N47" s="660"/>
      <c r="O47" s="660"/>
    </row>
    <row r="48" spans="1:15" x14ac:dyDescent="0.2">
      <c r="A48" s="3609" t="s">
        <v>1546</v>
      </c>
      <c r="B48" s="3497"/>
      <c r="C48" s="3497" t="s">
        <v>986</v>
      </c>
      <c r="D48" s="3507" t="s">
        <v>392</v>
      </c>
      <c r="E48" s="3507" t="s">
        <v>259</v>
      </c>
      <c r="F48" s="3507" t="s">
        <v>1366</v>
      </c>
      <c r="G48" s="3507" t="s">
        <v>1366</v>
      </c>
      <c r="H48" s="3507" t="s">
        <v>1366</v>
      </c>
      <c r="I48" s="3507" t="s">
        <v>1366</v>
      </c>
      <c r="J48" s="3507" t="s">
        <v>1366</v>
      </c>
      <c r="K48" s="3507" t="s">
        <v>1366</v>
      </c>
      <c r="L48" s="660"/>
      <c r="M48" s="660"/>
      <c r="N48" s="660"/>
      <c r="O48" s="660"/>
    </row>
    <row r="49" spans="1:15" x14ac:dyDescent="0.2">
      <c r="A49" s="3608" t="s">
        <v>1545</v>
      </c>
      <c r="B49" s="3497"/>
      <c r="C49" s="3497" t="s">
        <v>986</v>
      </c>
      <c r="D49" s="3507" t="s">
        <v>392</v>
      </c>
      <c r="E49" s="3507" t="s">
        <v>986</v>
      </c>
      <c r="F49" s="3507" t="s">
        <v>986</v>
      </c>
      <c r="G49" s="3507" t="s">
        <v>986</v>
      </c>
      <c r="H49" s="3507" t="s">
        <v>986</v>
      </c>
      <c r="I49" s="3507" t="s">
        <v>259</v>
      </c>
      <c r="J49" s="3507" t="s">
        <v>259</v>
      </c>
      <c r="K49" s="3507" t="s">
        <v>259</v>
      </c>
      <c r="L49" s="679"/>
      <c r="M49" s="660"/>
      <c r="N49" s="660"/>
      <c r="O49" s="660"/>
    </row>
    <row r="50" spans="1:15" x14ac:dyDescent="0.2">
      <c r="A50" s="3522" t="s">
        <v>1319</v>
      </c>
      <c r="B50" s="3500" t="s">
        <v>1319</v>
      </c>
      <c r="C50" s="3500" t="s">
        <v>1541</v>
      </c>
      <c r="D50" s="3500" t="s">
        <v>986</v>
      </c>
      <c r="E50" s="3500" t="s">
        <v>986</v>
      </c>
      <c r="F50" s="3507" t="s">
        <v>986</v>
      </c>
      <c r="G50" s="3507" t="s">
        <v>986</v>
      </c>
      <c r="H50" s="3507" t="s">
        <v>986</v>
      </c>
      <c r="I50" s="3500" t="s">
        <v>259</v>
      </c>
      <c r="J50" s="3500" t="s">
        <v>259</v>
      </c>
      <c r="K50" s="3500" t="s">
        <v>259</v>
      </c>
      <c r="L50" s="679"/>
      <c r="M50" s="660"/>
      <c r="N50" s="660"/>
      <c r="O50" s="660"/>
    </row>
    <row r="51" spans="1:15" x14ac:dyDescent="0.2">
      <c r="A51" s="3608" t="s">
        <v>1544</v>
      </c>
      <c r="B51" s="3497"/>
      <c r="C51" s="3497" t="s">
        <v>986</v>
      </c>
      <c r="D51" s="3507" t="s">
        <v>392</v>
      </c>
      <c r="E51" s="3507" t="s">
        <v>259</v>
      </c>
      <c r="F51" s="3507" t="s">
        <v>455</v>
      </c>
      <c r="G51" s="3507" t="s">
        <v>455</v>
      </c>
      <c r="H51" s="3507" t="s">
        <v>455</v>
      </c>
      <c r="I51" s="3507" t="s">
        <v>455</v>
      </c>
      <c r="J51" s="3507" t="s">
        <v>455</v>
      </c>
      <c r="K51" s="3507" t="s">
        <v>455</v>
      </c>
      <c r="L51" s="679"/>
      <c r="M51" s="660"/>
      <c r="N51" s="660"/>
      <c r="O51" s="660"/>
    </row>
    <row r="52" spans="1:15" x14ac:dyDescent="0.2">
      <c r="A52" s="3522" t="s">
        <v>1319</v>
      </c>
      <c r="B52" s="3500" t="s">
        <v>1319</v>
      </c>
      <c r="C52" s="3500" t="s">
        <v>1541</v>
      </c>
      <c r="D52" s="3500" t="s">
        <v>986</v>
      </c>
      <c r="E52" s="3500" t="s">
        <v>259</v>
      </c>
      <c r="F52" s="3507" t="s">
        <v>455</v>
      </c>
      <c r="G52" s="3507" t="s">
        <v>455</v>
      </c>
      <c r="H52" s="3507" t="s">
        <v>455</v>
      </c>
      <c r="I52" s="3500" t="s">
        <v>455</v>
      </c>
      <c r="J52" s="3500" t="s">
        <v>455</v>
      </c>
      <c r="K52" s="3500" t="s">
        <v>455</v>
      </c>
      <c r="L52" s="679"/>
      <c r="M52" s="660"/>
      <c r="N52" s="660"/>
      <c r="O52" s="660"/>
    </row>
    <row r="53" spans="1:15" x14ac:dyDescent="0.2">
      <c r="A53" s="3607" t="s">
        <v>1543</v>
      </c>
      <c r="B53" s="3497"/>
      <c r="C53" s="3497" t="s">
        <v>986</v>
      </c>
      <c r="D53" s="3507" t="s">
        <v>1542</v>
      </c>
      <c r="E53" s="3507" t="s">
        <v>986</v>
      </c>
      <c r="F53" s="3507" t="s">
        <v>986</v>
      </c>
      <c r="G53" s="3507" t="s">
        <v>986</v>
      </c>
      <c r="H53" s="3507" t="s">
        <v>986</v>
      </c>
      <c r="I53" s="3507" t="s">
        <v>259</v>
      </c>
      <c r="J53" s="3507" t="s">
        <v>259</v>
      </c>
      <c r="K53" s="3507" t="s">
        <v>259</v>
      </c>
      <c r="L53" s="660"/>
      <c r="M53" s="660"/>
      <c r="N53" s="660"/>
      <c r="O53" s="660"/>
    </row>
    <row r="54" spans="1:15" x14ac:dyDescent="0.2">
      <c r="A54" s="3519" t="s">
        <v>1319</v>
      </c>
      <c r="B54" s="3500" t="s">
        <v>1319</v>
      </c>
      <c r="C54" s="3500" t="s">
        <v>1541</v>
      </c>
      <c r="D54" s="3500" t="s">
        <v>986</v>
      </c>
      <c r="E54" s="3500" t="s">
        <v>259</v>
      </c>
      <c r="F54" s="3507" t="s">
        <v>259</v>
      </c>
      <c r="G54" s="3507" t="s">
        <v>259</v>
      </c>
      <c r="H54" s="3507" t="s">
        <v>259</v>
      </c>
      <c r="I54" s="3500" t="s">
        <v>259</v>
      </c>
      <c r="J54" s="3500" t="s">
        <v>259</v>
      </c>
      <c r="K54" s="3500" t="s">
        <v>259</v>
      </c>
      <c r="L54" s="679"/>
      <c r="M54" s="660"/>
      <c r="N54" s="660"/>
      <c r="O54" s="660"/>
    </row>
    <row r="55" spans="1:15" x14ac:dyDescent="0.2">
      <c r="A55" s="3607" t="s">
        <v>1503</v>
      </c>
      <c r="B55" s="3497"/>
      <c r="C55" s="3497" t="s">
        <v>986</v>
      </c>
      <c r="D55" s="3507" t="s">
        <v>392</v>
      </c>
      <c r="E55" s="3507" t="s">
        <v>986</v>
      </c>
      <c r="F55" s="3507" t="s">
        <v>986</v>
      </c>
      <c r="G55" s="3507" t="s">
        <v>986</v>
      </c>
      <c r="H55" s="3507" t="s">
        <v>986</v>
      </c>
      <c r="I55" s="3507" t="s">
        <v>259</v>
      </c>
      <c r="J55" s="3507" t="s">
        <v>259</v>
      </c>
      <c r="K55" s="3507" t="s">
        <v>259</v>
      </c>
      <c r="L55" s="660"/>
      <c r="M55" s="660"/>
      <c r="N55" s="660"/>
      <c r="O55" s="660"/>
    </row>
    <row r="56" spans="1:15" x14ac:dyDescent="0.2">
      <c r="A56" s="3519" t="s">
        <v>1319</v>
      </c>
      <c r="B56" s="3500" t="s">
        <v>1319</v>
      </c>
      <c r="C56" s="3500" t="s">
        <v>1541</v>
      </c>
      <c r="D56" s="3500" t="s">
        <v>986</v>
      </c>
      <c r="E56" s="3500" t="s">
        <v>986</v>
      </c>
      <c r="F56" s="3507" t="s">
        <v>986</v>
      </c>
      <c r="G56" s="3507" t="s">
        <v>986</v>
      </c>
      <c r="H56" s="3507" t="s">
        <v>986</v>
      </c>
      <c r="I56" s="3500" t="s">
        <v>259</v>
      </c>
      <c r="J56" s="3500" t="s">
        <v>259</v>
      </c>
      <c r="K56" s="3500" t="s">
        <v>259</v>
      </c>
      <c r="L56" s="679"/>
      <c r="M56" s="660"/>
      <c r="N56" s="660"/>
      <c r="O56" s="660"/>
    </row>
    <row r="57" spans="1:15" x14ac:dyDescent="0.2">
      <c r="A57" s="3607" t="s">
        <v>1540</v>
      </c>
      <c r="B57" s="3497"/>
      <c r="C57" s="3497" t="s">
        <v>986</v>
      </c>
      <c r="D57" s="3497" t="s">
        <v>986</v>
      </c>
      <c r="E57" s="3497" t="s">
        <v>986</v>
      </c>
      <c r="F57" s="3497" t="s">
        <v>986</v>
      </c>
      <c r="G57" s="3497" t="s">
        <v>986</v>
      </c>
      <c r="H57" s="3497" t="s">
        <v>986</v>
      </c>
      <c r="I57" s="3497" t="s">
        <v>986</v>
      </c>
      <c r="J57" s="3497" t="s">
        <v>986</v>
      </c>
      <c r="K57" s="3497" t="s">
        <v>986</v>
      </c>
      <c r="L57" s="660"/>
      <c r="M57" s="660"/>
      <c r="N57" s="660"/>
      <c r="O57" s="660"/>
    </row>
    <row r="58" spans="1:15" ht="13.5" customHeight="1" x14ac:dyDescent="0.2">
      <c r="A58" s="678" t="s">
        <v>564</v>
      </c>
      <c r="B58" s="663"/>
      <c r="C58" s="663"/>
      <c r="D58" s="663"/>
      <c r="E58" s="663"/>
      <c r="F58" s="663"/>
      <c r="G58" s="663"/>
      <c r="H58" s="663"/>
      <c r="I58" s="663"/>
      <c r="J58" s="663"/>
      <c r="K58" s="663"/>
      <c r="L58" s="660"/>
      <c r="M58" s="660"/>
      <c r="N58" s="660"/>
      <c r="O58" s="660"/>
    </row>
    <row r="59" spans="1:15" ht="15" customHeight="1" x14ac:dyDescent="0.25">
      <c r="A59" s="5607" t="s">
        <v>1539</v>
      </c>
      <c r="B59" s="5607"/>
      <c r="C59" s="5607"/>
      <c r="D59" s="5607"/>
      <c r="E59" s="5607"/>
      <c r="F59" s="5607"/>
      <c r="G59" s="5607"/>
      <c r="H59" s="5607"/>
      <c r="I59" s="3318"/>
      <c r="J59" s="3318"/>
      <c r="K59" s="3318"/>
      <c r="L59" s="660"/>
      <c r="M59" s="660"/>
      <c r="N59" s="660"/>
      <c r="O59" s="660"/>
    </row>
    <row r="60" spans="1:15" ht="13.5" x14ac:dyDescent="0.2">
      <c r="A60" s="5607" t="s">
        <v>1538</v>
      </c>
      <c r="B60" s="5607"/>
      <c r="C60" s="5607"/>
      <c r="D60" s="5607"/>
      <c r="E60" s="5607"/>
      <c r="F60" s="5607"/>
      <c r="G60" s="3318"/>
      <c r="H60" s="3318"/>
      <c r="I60" s="3318"/>
      <c r="J60" s="3318"/>
      <c r="K60" s="3318"/>
      <c r="L60" s="660"/>
      <c r="M60" s="660"/>
      <c r="N60" s="660"/>
      <c r="O60" s="660"/>
    </row>
    <row r="61" spans="1:15" ht="13.5" x14ac:dyDescent="0.2">
      <c r="A61" s="5606" t="s">
        <v>1537</v>
      </c>
      <c r="B61" s="5606"/>
      <c r="C61" s="5606"/>
      <c r="D61" s="5606"/>
      <c r="E61" s="5606"/>
      <c r="F61" s="5606"/>
      <c r="G61" s="5606"/>
      <c r="H61" s="5606"/>
      <c r="I61" s="5606"/>
      <c r="J61" s="5606"/>
      <c r="K61" s="5606"/>
      <c r="L61" s="660"/>
      <c r="M61" s="660"/>
      <c r="N61" s="660"/>
      <c r="O61" s="660"/>
    </row>
    <row r="62" spans="1:15" ht="13.5" x14ac:dyDescent="0.2">
      <c r="A62" s="5606" t="s">
        <v>1536</v>
      </c>
      <c r="B62" s="5606"/>
      <c r="C62" s="5606"/>
      <c r="D62" s="5606"/>
      <c r="E62" s="5606"/>
      <c r="F62" s="5606"/>
      <c r="G62" s="5606"/>
      <c r="H62" s="5606"/>
      <c r="I62" s="5606"/>
      <c r="J62" s="5606"/>
      <c r="K62" s="5606"/>
      <c r="L62" s="660"/>
      <c r="M62" s="660"/>
      <c r="N62" s="660"/>
      <c r="O62" s="660"/>
    </row>
    <row r="63" spans="1:15" ht="26.25" customHeight="1" x14ac:dyDescent="0.2">
      <c r="A63" s="5507" t="s">
        <v>1535</v>
      </c>
      <c r="B63" s="5507"/>
      <c r="C63" s="5507"/>
      <c r="D63" s="5507"/>
      <c r="E63" s="5507"/>
      <c r="F63" s="5507"/>
      <c r="G63" s="5507"/>
      <c r="H63" s="3318"/>
      <c r="I63" s="3318"/>
      <c r="J63" s="3318"/>
      <c r="K63" s="3318"/>
      <c r="L63" s="660"/>
      <c r="M63" s="660"/>
      <c r="N63" s="660"/>
      <c r="O63" s="660"/>
    </row>
    <row r="64" spans="1:15" ht="13.5" x14ac:dyDescent="0.2">
      <c r="A64" s="5606" t="s">
        <v>1534</v>
      </c>
      <c r="B64" s="5606"/>
      <c r="C64" s="5606"/>
      <c r="D64" s="5606"/>
      <c r="E64" s="5606"/>
      <c r="F64" s="5606"/>
      <c r="G64" s="5606"/>
      <c r="H64" s="5606"/>
      <c r="I64" s="5606"/>
      <c r="J64" s="5606"/>
      <c r="K64" s="5606"/>
      <c r="L64" s="660"/>
      <c r="M64" s="660"/>
      <c r="N64" s="660"/>
      <c r="O64" s="660"/>
    </row>
    <row r="65" spans="1:15" ht="13.5" x14ac:dyDescent="0.2">
      <c r="A65" s="5606" t="s">
        <v>1533</v>
      </c>
      <c r="B65" s="5606"/>
      <c r="C65" s="5606"/>
      <c r="D65" s="5606"/>
      <c r="E65" s="5606"/>
      <c r="F65" s="5606"/>
      <c r="G65" s="5606"/>
      <c r="H65" s="3316"/>
      <c r="I65" s="3316"/>
      <c r="J65" s="3316"/>
      <c r="K65" s="3316"/>
      <c r="L65" s="660"/>
      <c r="M65" s="660"/>
      <c r="N65" s="660"/>
      <c r="O65" s="660"/>
    </row>
    <row r="66" spans="1:15" ht="13.5" x14ac:dyDescent="0.2">
      <c r="A66" s="5606" t="s">
        <v>1532</v>
      </c>
      <c r="B66" s="5606"/>
      <c r="C66" s="5606"/>
      <c r="D66" s="3316"/>
      <c r="E66" s="3316"/>
      <c r="F66" s="3316"/>
      <c r="G66" s="3316"/>
      <c r="H66" s="3316"/>
      <c r="I66" s="3316"/>
      <c r="J66" s="3316"/>
      <c r="K66" s="3316"/>
      <c r="L66" s="660"/>
      <c r="M66" s="660"/>
      <c r="N66" s="660"/>
      <c r="O66" s="660"/>
    </row>
    <row r="67" spans="1:15" ht="10.5" customHeight="1" x14ac:dyDescent="0.2">
      <c r="A67" s="660"/>
      <c r="B67" s="660"/>
      <c r="C67" s="660"/>
      <c r="D67" s="660"/>
      <c r="E67" s="660"/>
      <c r="F67" s="660"/>
      <c r="G67" s="660"/>
      <c r="H67" s="660"/>
      <c r="I67" s="660"/>
      <c r="J67" s="660"/>
      <c r="K67" s="660"/>
      <c r="L67" s="660"/>
      <c r="M67" s="660"/>
      <c r="N67" s="660"/>
      <c r="O67" s="660"/>
    </row>
    <row r="68" spans="1:15" x14ac:dyDescent="0.2">
      <c r="A68" s="3606" t="s">
        <v>982</v>
      </c>
      <c r="B68" s="3605"/>
      <c r="C68" s="3603"/>
      <c r="D68" s="3603"/>
      <c r="E68" s="3604"/>
      <c r="F68" s="3603"/>
      <c r="G68" s="3603"/>
      <c r="H68" s="3603"/>
      <c r="I68" s="3603"/>
      <c r="J68" s="3603"/>
      <c r="K68" s="3602"/>
      <c r="L68" s="660"/>
      <c r="M68" s="660"/>
      <c r="N68" s="660"/>
      <c r="O68" s="660"/>
    </row>
    <row r="69" spans="1:15" x14ac:dyDescent="0.2">
      <c r="A69" s="5600" t="s">
        <v>1531</v>
      </c>
      <c r="B69" s="5601"/>
      <c r="C69" s="5602"/>
      <c r="D69" s="5602"/>
      <c r="E69" s="5602"/>
      <c r="F69" s="5602"/>
      <c r="G69" s="5602"/>
      <c r="H69" s="5602"/>
      <c r="I69" s="5602"/>
      <c r="J69" s="5602"/>
      <c r="K69" s="5603"/>
      <c r="L69" s="660"/>
      <c r="M69" s="660"/>
      <c r="N69" s="660"/>
      <c r="O69" s="660"/>
    </row>
    <row r="70" spans="1:15" x14ac:dyDescent="0.2">
      <c r="A70" s="3494" t="s">
        <v>980</v>
      </c>
      <c r="B70" s="5696" t="s">
        <v>5207</v>
      </c>
      <c r="C70" s="5697"/>
      <c r="D70" s="5697"/>
      <c r="E70" s="5697"/>
      <c r="F70" s="5697"/>
      <c r="G70" s="5697"/>
      <c r="H70" s="5697"/>
      <c r="I70" s="5697"/>
      <c r="J70" s="5697"/>
      <c r="K70" s="5697"/>
      <c r="L70" s="660"/>
      <c r="M70" s="660"/>
      <c r="N70" s="660"/>
      <c r="O70" s="660"/>
    </row>
    <row r="71" spans="1:15" ht="12" customHeight="1" x14ac:dyDescent="0.2">
      <c r="A71" s="3494" t="s">
        <v>980</v>
      </c>
      <c r="B71" s="5696" t="s">
        <v>986</v>
      </c>
      <c r="C71" s="5759"/>
      <c r="D71" s="5759"/>
      <c r="E71" s="5759"/>
      <c r="F71" s="5759"/>
      <c r="G71" s="5759"/>
      <c r="H71" s="5759"/>
      <c r="I71" s="5759"/>
      <c r="J71" s="5759"/>
      <c r="K71" s="5759"/>
      <c r="L71" s="660"/>
      <c r="M71" s="660"/>
      <c r="N71" s="660"/>
      <c r="O71" s="660"/>
    </row>
    <row r="72" spans="1:15" ht="12" customHeight="1" x14ac:dyDescent="0.2">
      <c r="A72" s="3494" t="s">
        <v>980</v>
      </c>
      <c r="B72" s="5696" t="s">
        <v>5206</v>
      </c>
      <c r="C72" s="5759"/>
      <c r="D72" s="5759"/>
      <c r="E72" s="5759"/>
      <c r="F72" s="5759"/>
      <c r="G72" s="5759"/>
      <c r="H72" s="5759"/>
      <c r="I72" s="5759"/>
      <c r="J72" s="5759"/>
      <c r="K72" s="5759"/>
      <c r="L72" s="660"/>
      <c r="M72" s="660"/>
      <c r="N72" s="660"/>
      <c r="O72" s="660"/>
    </row>
    <row r="73" spans="1:15" ht="13.5" customHeight="1" x14ac:dyDescent="0.2">
      <c r="A73" s="3494" t="s">
        <v>980</v>
      </c>
      <c r="B73" s="5696" t="s">
        <v>986</v>
      </c>
      <c r="C73" s="5697"/>
      <c r="D73" s="5697"/>
      <c r="E73" s="5697"/>
      <c r="F73" s="5697"/>
      <c r="G73" s="5697"/>
      <c r="H73" s="5697"/>
      <c r="I73" s="5697"/>
      <c r="J73" s="5697"/>
      <c r="K73" s="5697"/>
      <c r="L73" s="660"/>
      <c r="M73" s="660"/>
      <c r="N73" s="660"/>
      <c r="O73" s="660"/>
    </row>
    <row r="74" spans="1:15" x14ac:dyDescent="0.2">
      <c r="A74" s="3494" t="s">
        <v>980</v>
      </c>
      <c r="B74" s="5696" t="s">
        <v>986</v>
      </c>
      <c r="C74" s="5697"/>
      <c r="D74" s="5697"/>
      <c r="E74" s="5697"/>
      <c r="F74" s="5697"/>
      <c r="G74" s="5697"/>
      <c r="H74" s="5697"/>
      <c r="I74" s="5697"/>
      <c r="J74" s="5697"/>
      <c r="K74" s="5697"/>
    </row>
    <row r="75" spans="1:15" x14ac:dyDescent="0.2">
      <c r="A75" s="3494" t="s">
        <v>980</v>
      </c>
      <c r="B75" s="5696" t="s">
        <v>986</v>
      </c>
      <c r="C75" s="5697"/>
      <c r="D75" s="5697"/>
      <c r="E75" s="5697"/>
      <c r="F75" s="5697"/>
      <c r="G75" s="5697"/>
      <c r="H75" s="5697"/>
      <c r="I75" s="5697"/>
      <c r="J75" s="5697"/>
      <c r="K75" s="5697"/>
    </row>
    <row r="76" spans="1:15" x14ac:dyDescent="0.2">
      <c r="A76" s="3494" t="s">
        <v>980</v>
      </c>
      <c r="B76" s="5696" t="s">
        <v>986</v>
      </c>
      <c r="C76" s="5697"/>
      <c r="D76" s="5697"/>
      <c r="E76" s="5697"/>
      <c r="F76" s="5697"/>
      <c r="G76" s="5697"/>
      <c r="H76" s="5697"/>
      <c r="I76" s="5697"/>
      <c r="J76" s="5697"/>
      <c r="K76" s="5697"/>
    </row>
    <row r="77" spans="1:15" x14ac:dyDescent="0.2">
      <c r="A77" s="3494" t="s">
        <v>980</v>
      </c>
      <c r="B77" s="5696" t="s">
        <v>986</v>
      </c>
      <c r="C77" s="5697"/>
      <c r="D77" s="5697"/>
      <c r="E77" s="5697"/>
      <c r="F77" s="5697"/>
      <c r="G77" s="5697"/>
      <c r="H77" s="5697"/>
      <c r="I77" s="5697"/>
      <c r="J77" s="5697"/>
      <c r="K77" s="5697"/>
    </row>
    <row r="78" spans="1:15" x14ac:dyDescent="0.2">
      <c r="A78" s="3494" t="s">
        <v>980</v>
      </c>
      <c r="B78" s="5696" t="s">
        <v>986</v>
      </c>
      <c r="C78" s="5697"/>
      <c r="D78" s="5697"/>
      <c r="E78" s="5697"/>
      <c r="F78" s="5697"/>
      <c r="G78" s="5697"/>
      <c r="H78" s="5697"/>
      <c r="I78" s="5697"/>
      <c r="J78" s="5697"/>
      <c r="K78" s="5697"/>
    </row>
    <row r="79" spans="1:15" x14ac:dyDescent="0.2">
      <c r="A79" s="3494" t="s">
        <v>980</v>
      </c>
      <c r="B79" s="5696" t="s">
        <v>986</v>
      </c>
      <c r="C79" s="5697"/>
      <c r="D79" s="5697"/>
      <c r="E79" s="5697"/>
      <c r="F79" s="5697"/>
      <c r="G79" s="5697"/>
      <c r="H79" s="5697"/>
      <c r="I79" s="5697"/>
      <c r="J79" s="5697"/>
      <c r="K79" s="5697"/>
    </row>
    <row r="80" spans="1:15" x14ac:dyDescent="0.2">
      <c r="A80" s="3494" t="s">
        <v>980</v>
      </c>
      <c r="B80" s="5696" t="s">
        <v>986</v>
      </c>
      <c r="C80" s="5697"/>
      <c r="D80" s="5697"/>
      <c r="E80" s="5697"/>
      <c r="F80" s="5697"/>
      <c r="G80" s="5697"/>
      <c r="H80" s="5697"/>
      <c r="I80" s="5697"/>
      <c r="J80" s="5697"/>
      <c r="K80" s="5697"/>
    </row>
  </sheetData>
  <sheetProtection password="A754" sheet="1" objects="1" scenarios="1"/>
  <mergeCells count="27">
    <mergeCell ref="A61:K61"/>
    <mergeCell ref="A62:K62"/>
    <mergeCell ref="A63:G63"/>
    <mergeCell ref="A64:K64"/>
    <mergeCell ref="B79:K79"/>
    <mergeCell ref="B80:K80"/>
    <mergeCell ref="B74:K74"/>
    <mergeCell ref="B75:K75"/>
    <mergeCell ref="B76:K76"/>
    <mergeCell ref="B77:K77"/>
    <mergeCell ref="B78:K78"/>
    <mergeCell ref="B5:B6"/>
    <mergeCell ref="B71:K71"/>
    <mergeCell ref="B72:K72"/>
    <mergeCell ref="B73:K73"/>
    <mergeCell ref="A69:K69"/>
    <mergeCell ref="A5:A6"/>
    <mergeCell ref="C5:E5"/>
    <mergeCell ref="F5:H5"/>
    <mergeCell ref="I5:K5"/>
    <mergeCell ref="F7:H7"/>
    <mergeCell ref="I7:K7"/>
    <mergeCell ref="A65:G65"/>
    <mergeCell ref="A66:C66"/>
    <mergeCell ref="B70:K70"/>
    <mergeCell ref="A59:H59"/>
    <mergeCell ref="A60:F60"/>
  </mergeCells>
  <printOptions horizontalCentered="1" verticalCentered="1"/>
  <pageMargins left="0.39370078740157483" right="0.39370078740157483" top="0.39370078740157483" bottom="0.39370078740157483" header="0.19685039370078741" footer="0.19685039370078741"/>
  <pageSetup paperSize="9" scale="52"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11">
    <tabColor theme="3" tint="0.59999389629810485"/>
    <pageSetUpPr fitToPage="1"/>
  </sheetPr>
  <dimension ref="A1:AY95"/>
  <sheetViews>
    <sheetView showGridLines="0" showZeros="0" zoomScale="55" zoomScaleNormal="55" workbookViewId="0">
      <selection activeCell="F1" sqref="F1"/>
    </sheetView>
  </sheetViews>
  <sheetFormatPr defaultColWidth="9.140625" defaultRowHeight="12.75" x14ac:dyDescent="0.2"/>
  <cols>
    <col min="1" max="9" width="7.140625" style="12" customWidth="1"/>
    <col min="10" max="12" width="7.140625" style="32" customWidth="1"/>
    <col min="13" max="26" width="7.140625" style="12" customWidth="1"/>
    <col min="27" max="27" width="8.7109375" style="12" customWidth="1"/>
    <col min="28" max="28" width="52.140625" style="12" bestFit="1" customWidth="1"/>
    <col min="29" max="32" width="5.7109375" style="12" customWidth="1"/>
    <col min="33" max="37" width="8.7109375" style="12" customWidth="1"/>
    <col min="38" max="46" width="7.140625" style="12" customWidth="1"/>
    <col min="47" max="16384" width="9.140625" style="12"/>
  </cols>
  <sheetData>
    <row r="1" spans="1:51" ht="15" customHeight="1" x14ac:dyDescent="0.2">
      <c r="A1" s="112" t="s">
        <v>17</v>
      </c>
      <c r="B1" s="9"/>
      <c r="C1" s="9"/>
      <c r="D1" s="5147">
        <v>2512</v>
      </c>
      <c r="E1" s="5148"/>
      <c r="F1" s="10"/>
      <c r="G1" s="10"/>
      <c r="H1" s="10"/>
      <c r="I1" s="10"/>
      <c r="J1" s="31"/>
      <c r="K1" s="31"/>
      <c r="L1" s="31"/>
      <c r="N1" s="10"/>
      <c r="O1" s="10"/>
      <c r="P1" s="10"/>
      <c r="Q1" s="10"/>
      <c r="R1" s="10"/>
      <c r="S1" s="10"/>
      <c r="T1" s="10"/>
      <c r="U1" s="10"/>
      <c r="V1" s="10"/>
      <c r="W1" s="10"/>
      <c r="X1" s="10"/>
      <c r="Y1" s="11"/>
      <c r="Z1" s="11"/>
      <c r="AA1" s="11"/>
      <c r="AB1" s="5149" t="s">
        <v>30</v>
      </c>
      <c r="AC1" s="11"/>
      <c r="AD1" s="11"/>
      <c r="AE1" s="11"/>
      <c r="AF1" s="11"/>
      <c r="AG1" s="10"/>
      <c r="AH1" s="10"/>
      <c r="AI1" s="10"/>
      <c r="AJ1" s="10"/>
      <c r="AK1" s="10"/>
      <c r="AL1" s="10"/>
      <c r="AM1" s="10"/>
      <c r="AN1" s="10"/>
      <c r="AO1" s="10"/>
      <c r="AP1" s="10"/>
      <c r="AQ1" s="10"/>
      <c r="AR1" s="10"/>
      <c r="AS1" s="10"/>
      <c r="AT1" s="10"/>
    </row>
    <row r="2" spans="1:51" ht="15" customHeight="1" x14ac:dyDescent="0.25">
      <c r="A2" s="113" t="s">
        <v>19</v>
      </c>
      <c r="B2" s="10"/>
      <c r="C2" s="10"/>
      <c r="D2" s="296">
        <v>92.61</v>
      </c>
      <c r="E2" s="114" t="s">
        <v>18</v>
      </c>
      <c r="F2" s="10"/>
      <c r="G2" s="10"/>
      <c r="H2" s="115"/>
      <c r="I2" s="10"/>
      <c r="J2" s="31"/>
      <c r="K2" s="31"/>
      <c r="L2" s="31"/>
      <c r="M2" s="10"/>
      <c r="N2" s="10"/>
      <c r="O2" s="10"/>
      <c r="P2" s="10"/>
      <c r="Q2" s="10"/>
      <c r="R2" s="10"/>
      <c r="S2" s="10"/>
      <c r="T2" s="10"/>
      <c r="U2" s="10"/>
      <c r="V2" s="10"/>
      <c r="W2" s="10"/>
      <c r="X2" s="10"/>
      <c r="Y2" s="11"/>
      <c r="Z2" s="11"/>
      <c r="AA2" s="11"/>
      <c r="AB2" s="5149"/>
      <c r="AC2" s="11"/>
      <c r="AD2" s="11"/>
      <c r="AE2" s="11"/>
      <c r="AF2" s="11"/>
      <c r="AG2" s="10"/>
      <c r="AH2" s="10"/>
      <c r="AI2" s="10"/>
      <c r="AJ2" s="10"/>
      <c r="AK2" s="10"/>
      <c r="AL2" s="10"/>
      <c r="AM2" s="10"/>
      <c r="AN2" s="10"/>
      <c r="AO2" s="10"/>
      <c r="AP2" s="10"/>
      <c r="AQ2" s="10"/>
      <c r="AR2" s="10"/>
      <c r="AS2" s="10"/>
      <c r="AT2" s="10"/>
    </row>
    <row r="3" spans="1:51" ht="15" customHeight="1" thickBot="1" x14ac:dyDescent="0.25">
      <c r="A3" s="116" t="s">
        <v>15</v>
      </c>
      <c r="B3" s="13"/>
      <c r="C3" s="13"/>
      <c r="D3" s="13" t="s">
        <v>16</v>
      </c>
      <c r="E3" s="14"/>
      <c r="F3" s="10"/>
      <c r="G3" s="10"/>
      <c r="H3" s="10"/>
      <c r="I3" s="10"/>
      <c r="J3" s="31"/>
      <c r="K3" s="31"/>
      <c r="L3" s="31"/>
      <c r="M3" s="10"/>
      <c r="N3" s="10"/>
      <c r="O3" s="10"/>
      <c r="P3" s="10"/>
      <c r="Q3" s="10"/>
      <c r="R3" s="10"/>
      <c r="S3" s="10"/>
      <c r="T3" s="10"/>
      <c r="U3" s="10"/>
      <c r="V3" s="10"/>
      <c r="W3" s="10"/>
      <c r="X3" s="10"/>
      <c r="Y3" s="11"/>
      <c r="Z3" s="11"/>
      <c r="AA3" s="5151" t="s">
        <v>5380</v>
      </c>
      <c r="AB3" s="5151"/>
      <c r="AC3" s="5151"/>
      <c r="AD3" s="11"/>
      <c r="AE3" s="11"/>
      <c r="AF3" s="11"/>
      <c r="AG3" s="10"/>
      <c r="AH3" s="10"/>
      <c r="AI3" s="10"/>
      <c r="AJ3" s="10"/>
      <c r="AK3" s="10"/>
      <c r="AL3" s="10"/>
      <c r="AM3" s="10"/>
      <c r="AN3" s="10"/>
      <c r="AO3" s="10"/>
      <c r="AP3" s="10"/>
      <c r="AQ3" s="10"/>
      <c r="AR3" s="10"/>
      <c r="AS3" s="10"/>
      <c r="AT3" s="10"/>
    </row>
    <row r="4" spans="1:51" ht="15" customHeight="1" x14ac:dyDescent="0.2">
      <c r="A4" s="10"/>
      <c r="B4" s="10"/>
      <c r="C4" s="10"/>
      <c r="D4" s="10"/>
      <c r="E4" s="10"/>
      <c r="F4" s="10"/>
      <c r="G4" s="10"/>
      <c r="H4" s="10"/>
      <c r="I4" s="10"/>
      <c r="J4" s="31"/>
      <c r="K4" s="31"/>
      <c r="L4" s="31"/>
      <c r="M4" s="10"/>
      <c r="N4" s="10"/>
      <c r="O4" s="10"/>
      <c r="P4" s="10"/>
      <c r="Q4" s="10"/>
      <c r="R4" s="10"/>
      <c r="S4" s="10"/>
      <c r="T4" s="10"/>
      <c r="U4" s="10"/>
      <c r="V4" s="10"/>
      <c r="W4" s="10"/>
      <c r="X4" s="10"/>
      <c r="Y4" s="11"/>
      <c r="Z4" s="11"/>
      <c r="AA4" s="5151"/>
      <c r="AB4" s="5151"/>
      <c r="AC4" s="5151"/>
      <c r="AD4" s="11"/>
      <c r="AE4" s="11"/>
      <c r="AF4" s="11"/>
      <c r="AG4" s="10"/>
      <c r="AH4" s="10"/>
      <c r="AI4" s="10"/>
      <c r="AJ4" s="10"/>
      <c r="AK4" s="10"/>
      <c r="AL4" s="10"/>
      <c r="AM4" s="10"/>
      <c r="AN4" s="10"/>
      <c r="AO4" s="10"/>
      <c r="AP4" s="10"/>
      <c r="AQ4" s="10"/>
      <c r="AR4" s="10"/>
      <c r="AS4" s="10"/>
      <c r="AT4" s="10"/>
    </row>
    <row r="5" spans="1:51" ht="15" customHeight="1" x14ac:dyDescent="0.2">
      <c r="A5" s="10"/>
      <c r="B5" s="10"/>
      <c r="C5" s="10"/>
      <c r="D5" s="10"/>
      <c r="E5" s="10"/>
      <c r="F5" s="10"/>
      <c r="G5" s="10"/>
      <c r="H5" s="10"/>
      <c r="I5" s="10"/>
      <c r="J5" s="31"/>
      <c r="K5" s="31"/>
      <c r="L5" s="31"/>
      <c r="M5" s="10"/>
      <c r="N5" s="10"/>
      <c r="O5" s="10"/>
      <c r="P5" s="10"/>
      <c r="Q5" s="10"/>
      <c r="R5" s="10"/>
      <c r="S5" s="10"/>
      <c r="T5" s="10"/>
      <c r="U5" s="10"/>
      <c r="V5" s="10"/>
      <c r="W5" s="10"/>
      <c r="X5" s="10"/>
      <c r="Y5" s="10"/>
      <c r="Z5" s="10"/>
      <c r="AA5" s="10"/>
      <c r="AC5" s="10"/>
      <c r="AD5" s="10"/>
      <c r="AE5" s="10"/>
      <c r="AF5" s="10"/>
      <c r="AG5" s="10"/>
      <c r="AH5" s="10"/>
      <c r="AI5" s="10"/>
      <c r="AJ5" s="10"/>
      <c r="AK5" s="10"/>
      <c r="AL5" s="10"/>
      <c r="AM5" s="10"/>
      <c r="AN5" s="10"/>
      <c r="AO5" s="10"/>
      <c r="AP5" s="10"/>
      <c r="AQ5" s="10"/>
      <c r="AR5" s="10"/>
      <c r="AS5" s="10"/>
      <c r="AT5" s="10"/>
    </row>
    <row r="6" spans="1:51" ht="15" customHeight="1" x14ac:dyDescent="0.25">
      <c r="A6" s="5150" t="s">
        <v>0</v>
      </c>
      <c r="B6" s="5150"/>
      <c r="C6" s="5150"/>
      <c r="D6" s="5150"/>
      <c r="E6" s="5150"/>
      <c r="F6" s="5150"/>
      <c r="G6" s="5150"/>
      <c r="H6" s="5150"/>
      <c r="I6" s="5150"/>
      <c r="J6" s="5150"/>
      <c r="K6" s="5150"/>
      <c r="L6" s="5150"/>
      <c r="M6" s="5150"/>
      <c r="N6" s="5150"/>
      <c r="O6" s="5150"/>
      <c r="P6" s="5150"/>
      <c r="Q6" s="5150"/>
      <c r="R6" s="5150"/>
      <c r="S6" s="5150"/>
      <c r="T6" s="5150"/>
      <c r="U6" s="5150"/>
      <c r="V6" s="5150"/>
      <c r="W6" s="5150"/>
      <c r="X6" s="5150"/>
      <c r="Y6" s="5150"/>
      <c r="Z6" s="5150"/>
      <c r="AA6" s="5150"/>
      <c r="AB6" s="304" t="s">
        <v>20</v>
      </c>
      <c r="AC6" s="5150" t="s">
        <v>61</v>
      </c>
      <c r="AD6" s="5150"/>
      <c r="AE6" s="5150"/>
      <c r="AF6" s="5150"/>
      <c r="AG6" s="5150" t="s">
        <v>22</v>
      </c>
      <c r="AH6" s="5150"/>
      <c r="AI6" s="5150" t="s">
        <v>21</v>
      </c>
      <c r="AJ6" s="5150"/>
      <c r="AK6" s="117"/>
      <c r="AL6" s="5150" t="s">
        <v>507</v>
      </c>
      <c r="AM6" s="5150"/>
      <c r="AN6" s="5150"/>
      <c r="AO6" s="5150"/>
      <c r="AP6" s="5150"/>
      <c r="AQ6" s="5150"/>
      <c r="AR6" s="5150"/>
      <c r="AS6" s="5150"/>
      <c r="AT6" s="5150"/>
    </row>
    <row r="7" spans="1:51" s="18" customFormat="1" ht="159.94999999999999" customHeight="1" thickBot="1" x14ac:dyDescent="0.65">
      <c r="A7" s="15" t="s">
        <v>31</v>
      </c>
      <c r="B7" s="16" t="s">
        <v>32</v>
      </c>
      <c r="C7" s="16" t="s">
        <v>33</v>
      </c>
      <c r="D7" s="16" t="s">
        <v>34</v>
      </c>
      <c r="E7" s="16" t="s">
        <v>35</v>
      </c>
      <c r="F7" s="16" t="s">
        <v>36</v>
      </c>
      <c r="G7" s="16" t="s">
        <v>37</v>
      </c>
      <c r="H7" s="16" t="s">
        <v>38</v>
      </c>
      <c r="I7" s="16" t="s">
        <v>39</v>
      </c>
      <c r="J7" s="287" t="s">
        <v>175</v>
      </c>
      <c r="K7" s="287" t="s">
        <v>176</v>
      </c>
      <c r="L7" s="287" t="s">
        <v>177</v>
      </c>
      <c r="M7" s="16" t="s">
        <v>40</v>
      </c>
      <c r="N7" s="16" t="s">
        <v>41</v>
      </c>
      <c r="O7" s="16" t="s">
        <v>42</v>
      </c>
      <c r="P7" s="16" t="s">
        <v>43</v>
      </c>
      <c r="Q7" s="16" t="s">
        <v>44</v>
      </c>
      <c r="R7" s="16" t="s">
        <v>45</v>
      </c>
      <c r="S7" s="16" t="s">
        <v>46</v>
      </c>
      <c r="T7" s="16" t="s">
        <v>47</v>
      </c>
      <c r="U7" s="16" t="s">
        <v>48</v>
      </c>
      <c r="V7" s="16" t="s">
        <v>49</v>
      </c>
      <c r="W7" s="16" t="s">
        <v>50</v>
      </c>
      <c r="X7" s="16" t="s">
        <v>51</v>
      </c>
      <c r="Y7" s="16" t="s">
        <v>52</v>
      </c>
      <c r="Z7" s="16" t="s">
        <v>53</v>
      </c>
      <c r="AA7" s="118" t="s">
        <v>54</v>
      </c>
      <c r="AB7" s="103"/>
      <c r="AC7" s="119" t="s">
        <v>55</v>
      </c>
      <c r="AD7" s="16" t="s">
        <v>56</v>
      </c>
      <c r="AE7" s="16" t="s">
        <v>57</v>
      </c>
      <c r="AF7" s="118" t="s">
        <v>58</v>
      </c>
      <c r="AG7" s="15" t="s">
        <v>59</v>
      </c>
      <c r="AH7" s="118" t="s">
        <v>60</v>
      </c>
      <c r="AI7" s="15" t="s">
        <v>59</v>
      </c>
      <c r="AJ7" s="118" t="s">
        <v>60</v>
      </c>
      <c r="AK7" s="17" t="s">
        <v>62</v>
      </c>
      <c r="AL7" s="120" t="s">
        <v>63</v>
      </c>
      <c r="AM7" s="16" t="s">
        <v>64</v>
      </c>
      <c r="AN7" s="16" t="s">
        <v>65</v>
      </c>
      <c r="AO7" s="16" t="s">
        <v>66</v>
      </c>
      <c r="AP7" s="16" t="s">
        <v>67</v>
      </c>
      <c r="AQ7" s="16" t="s">
        <v>68</v>
      </c>
      <c r="AR7" s="121" t="s">
        <v>69</v>
      </c>
      <c r="AS7" s="121" t="s">
        <v>70</v>
      </c>
      <c r="AT7" s="118" t="s">
        <v>71</v>
      </c>
    </row>
    <row r="8" spans="1:51" ht="15" customHeight="1" x14ac:dyDescent="0.2">
      <c r="A8" s="4112"/>
      <c r="B8" s="4150"/>
      <c r="C8" s="4150"/>
      <c r="D8" s="4150"/>
      <c r="E8" s="4150"/>
      <c r="F8" s="4150"/>
      <c r="G8" s="4150"/>
      <c r="H8" s="4150"/>
      <c r="I8" s="4150"/>
      <c r="J8" s="4151"/>
      <c r="K8" s="4151"/>
      <c r="L8" s="4151"/>
      <c r="M8" s="4150"/>
      <c r="N8" s="4150"/>
      <c r="O8" s="4150"/>
      <c r="P8" s="4150"/>
      <c r="Q8" s="4150"/>
      <c r="R8" s="4150"/>
      <c r="S8" s="4150"/>
      <c r="T8" s="4150"/>
      <c r="U8" s="4150"/>
      <c r="V8" s="4150"/>
      <c r="W8" s="4150"/>
      <c r="X8" s="4150"/>
      <c r="Y8" s="4150"/>
      <c r="Z8" s="4150"/>
      <c r="AA8" s="4111">
        <f t="shared" ref="AA8:AA80" si="0">SUM(A8:Z8)</f>
        <v>0</v>
      </c>
      <c r="AB8" s="4121" t="s">
        <v>178</v>
      </c>
      <c r="AC8" s="4112"/>
      <c r="AD8" s="4152">
        <v>85.329543685167152</v>
      </c>
      <c r="AE8" s="4150"/>
      <c r="AF8" s="4111"/>
      <c r="AG8" s="4112">
        <f t="shared" ref="AG8:AG11" si="1">-AH8/$D$2%</f>
        <v>-37.709505584567609</v>
      </c>
      <c r="AH8" s="4122">
        <f>AK8/AD8%</f>
        <v>34.922773121868062</v>
      </c>
      <c r="AI8" s="4123"/>
      <c r="AJ8" s="4122"/>
      <c r="AK8" s="4124">
        <f t="shared" ref="AK8:AK11" si="2">SUM(AL8:AT8)</f>
        <v>29.799442947096221</v>
      </c>
      <c r="AL8" s="4153">
        <v>12.015931073181209</v>
      </c>
      <c r="AM8" s="4153">
        <v>3.9292061899308988</v>
      </c>
      <c r="AN8" s="4153">
        <v>2.1327880953277587</v>
      </c>
      <c r="AO8" s="4153">
        <v>4.3664348639669557</v>
      </c>
      <c r="AP8" s="4153">
        <v>0.20231911865652058</v>
      </c>
      <c r="AQ8" s="4153">
        <v>2.9353860599029606</v>
      </c>
      <c r="AR8" s="4153">
        <v>0</v>
      </c>
      <c r="AS8" s="4153">
        <v>4.2173775461299172</v>
      </c>
      <c r="AT8" s="4126">
        <v>0</v>
      </c>
    </row>
    <row r="9" spans="1:51" ht="15" customHeight="1" x14ac:dyDescent="0.2">
      <c r="A9" s="4112"/>
      <c r="B9" s="4150"/>
      <c r="C9" s="4150"/>
      <c r="D9" s="4150"/>
      <c r="E9" s="4150"/>
      <c r="F9" s="4150"/>
      <c r="G9" s="4150"/>
      <c r="H9" s="4150"/>
      <c r="I9" s="4150"/>
      <c r="J9" s="4151"/>
      <c r="K9" s="4151"/>
      <c r="L9" s="4151"/>
      <c r="M9" s="4150"/>
      <c r="N9" s="4150"/>
      <c r="O9" s="4150"/>
      <c r="P9" s="4150"/>
      <c r="Q9" s="4150"/>
      <c r="R9" s="4150"/>
      <c r="S9" s="4150"/>
      <c r="T9" s="4150"/>
      <c r="U9" s="4150"/>
      <c r="V9" s="4150"/>
      <c r="W9" s="4150"/>
      <c r="X9" s="4150"/>
      <c r="Y9" s="4150"/>
      <c r="Z9" s="4150"/>
      <c r="AA9" s="4111">
        <f t="shared" si="0"/>
        <v>0</v>
      </c>
      <c r="AB9" s="4121" t="s">
        <v>2</v>
      </c>
      <c r="AC9" s="4112"/>
      <c r="AD9" s="4150"/>
      <c r="AE9" s="4150">
        <v>90</v>
      </c>
      <c r="AF9" s="4111"/>
      <c r="AG9" s="4112">
        <f t="shared" si="1"/>
        <v>-2.2571178957244702</v>
      </c>
      <c r="AH9" s="4122">
        <f>AK9/AE9%</f>
        <v>2.090316883230432</v>
      </c>
      <c r="AI9" s="4123"/>
      <c r="AJ9" s="4122"/>
      <c r="AK9" s="4124">
        <f t="shared" si="2"/>
        <v>1.8812851949073888</v>
      </c>
      <c r="AL9" s="4101">
        <v>1.8812851949073888</v>
      </c>
      <c r="AM9" s="4154"/>
      <c r="AN9" s="4154"/>
      <c r="AO9" s="4154"/>
      <c r="AP9" s="4154"/>
      <c r="AQ9" s="4154"/>
      <c r="AR9" s="4154"/>
      <c r="AS9" s="4154"/>
      <c r="AT9" s="4126"/>
    </row>
    <row r="10" spans="1:51" ht="15" customHeight="1" x14ac:dyDescent="0.2">
      <c r="A10" s="4112"/>
      <c r="B10" s="4150"/>
      <c r="C10" s="4150"/>
      <c r="D10" s="4150"/>
      <c r="E10" s="4150"/>
      <c r="F10" s="4150"/>
      <c r="G10" s="4150"/>
      <c r="H10" s="4150"/>
      <c r="I10" s="4150"/>
      <c r="J10" s="4151"/>
      <c r="K10" s="4151"/>
      <c r="L10" s="4151"/>
      <c r="M10" s="4150"/>
      <c r="N10" s="4150"/>
      <c r="O10" s="4150"/>
      <c r="P10" s="4150"/>
      <c r="Q10" s="4150"/>
      <c r="R10" s="4150"/>
      <c r="S10" s="4150"/>
      <c r="T10" s="4150"/>
      <c r="U10" s="4150"/>
      <c r="V10" s="4150"/>
      <c r="W10" s="4150"/>
      <c r="X10" s="4150"/>
      <c r="Y10" s="4150"/>
      <c r="Z10" s="4150"/>
      <c r="AA10" s="4111">
        <f t="shared" si="0"/>
        <v>0</v>
      </c>
      <c r="AB10" s="4121" t="s">
        <v>3</v>
      </c>
      <c r="AC10" s="4112"/>
      <c r="AD10" s="4150"/>
      <c r="AE10" s="4150">
        <v>100</v>
      </c>
      <c r="AF10" s="4111"/>
      <c r="AG10" s="4112">
        <f t="shared" si="1"/>
        <v>-9.5766287861452515</v>
      </c>
      <c r="AH10" s="4122">
        <f>AK10/AE10%</f>
        <v>8.8689159188491171</v>
      </c>
      <c r="AI10" s="4123"/>
      <c r="AJ10" s="4122"/>
      <c r="AK10" s="4124">
        <f t="shared" si="2"/>
        <v>8.8689159188491171</v>
      </c>
      <c r="AL10" s="4101">
        <v>8.8689159188491171</v>
      </c>
      <c r="AM10" s="4154"/>
      <c r="AN10" s="4154"/>
      <c r="AO10" s="4154"/>
      <c r="AP10" s="4154"/>
      <c r="AQ10" s="4154"/>
      <c r="AR10" s="4154"/>
      <c r="AS10" s="4154"/>
      <c r="AT10" s="4126"/>
    </row>
    <row r="11" spans="1:51" ht="15" customHeight="1" x14ac:dyDescent="0.2">
      <c r="A11" s="4112"/>
      <c r="B11" s="4151"/>
      <c r="C11" s="4150"/>
      <c r="D11" s="4150"/>
      <c r="E11" s="4150"/>
      <c r="F11" s="4150"/>
      <c r="G11" s="4150"/>
      <c r="H11" s="4150"/>
      <c r="I11" s="4150"/>
      <c r="J11" s="4151"/>
      <c r="K11" s="4151"/>
      <c r="L11" s="4151"/>
      <c r="M11" s="4150"/>
      <c r="N11" s="4150"/>
      <c r="O11" s="4150"/>
      <c r="P11" s="4150"/>
      <c r="Q11" s="4155">
        <f>AK11-AH11</f>
        <v>0</v>
      </c>
      <c r="R11" s="4150"/>
      <c r="S11" s="4150"/>
      <c r="T11" s="4150"/>
      <c r="U11" s="4150"/>
      <c r="V11" s="4150"/>
      <c r="W11" s="4150"/>
      <c r="X11" s="4150"/>
      <c r="Y11" s="4150"/>
      <c r="Z11" s="4150"/>
      <c r="AA11" s="4111">
        <f t="shared" si="0"/>
        <v>0</v>
      </c>
      <c r="AB11" s="4121" t="s">
        <v>23</v>
      </c>
      <c r="AC11" s="4112"/>
      <c r="AD11" s="4150"/>
      <c r="AE11" s="4150">
        <v>300</v>
      </c>
      <c r="AF11" s="4111"/>
      <c r="AG11" s="4112">
        <f t="shared" si="1"/>
        <v>0</v>
      </c>
      <c r="AH11" s="4127">
        <f>AK11/AE11%</f>
        <v>0</v>
      </c>
      <c r="AI11" s="4123"/>
      <c r="AJ11" s="4122"/>
      <c r="AK11" s="4124">
        <f t="shared" si="2"/>
        <v>0</v>
      </c>
      <c r="AL11" s="4102">
        <v>0</v>
      </c>
      <c r="AM11" s="4151"/>
      <c r="AN11" s="4151"/>
      <c r="AO11" s="4151"/>
      <c r="AP11" s="4151"/>
      <c r="AQ11" s="4151"/>
      <c r="AR11" s="4151"/>
      <c r="AS11" s="4151"/>
      <c r="AT11" s="4122"/>
    </row>
    <row r="12" spans="1:51" ht="15" customHeight="1" x14ac:dyDescent="0.2">
      <c r="A12" s="4125">
        <f>AC12%*AG12</f>
        <v>47.766958828937327</v>
      </c>
      <c r="B12" s="4151"/>
      <c r="C12" s="4150"/>
      <c r="D12" s="4150"/>
      <c r="E12" s="4150"/>
      <c r="F12" s="4150"/>
      <c r="G12" s="4150"/>
      <c r="H12" s="4150"/>
      <c r="I12" s="4150"/>
      <c r="J12" s="4151"/>
      <c r="K12" s="4151"/>
      <c r="L12" s="4151"/>
      <c r="M12" s="4150"/>
      <c r="N12" s="4150"/>
      <c r="O12" s="4150"/>
      <c r="P12" s="4150"/>
      <c r="Q12" s="4150"/>
      <c r="R12" s="4150"/>
      <c r="S12" s="4150"/>
      <c r="T12" s="4150"/>
      <c r="U12" s="4150"/>
      <c r="V12" s="4150"/>
      <c r="W12" s="4150"/>
      <c r="X12" s="4150"/>
      <c r="Y12" s="4150"/>
      <c r="Z12" s="4150"/>
      <c r="AA12" s="4111">
        <f t="shared" si="0"/>
        <v>47.766958828937327</v>
      </c>
      <c r="AB12" s="4121" t="s">
        <v>10</v>
      </c>
      <c r="AC12" s="4112">
        <v>100</v>
      </c>
      <c r="AD12" s="4150"/>
      <c r="AE12" s="4150"/>
      <c r="AF12" s="4111"/>
      <c r="AG12" s="4112">
        <f>-SUM(AG13:AG80,AG8:AG11)</f>
        <v>47.766958828937327</v>
      </c>
      <c r="AH12" s="4122"/>
      <c r="AI12" s="4123"/>
      <c r="AJ12" s="4122"/>
      <c r="AK12" s="4124">
        <f t="shared" ref="AK12:AK43" si="3">SUM(AL12:AT12)</f>
        <v>0</v>
      </c>
      <c r="AL12" s="4123"/>
      <c r="AM12" s="4151"/>
      <c r="AN12" s="4151"/>
      <c r="AO12" s="4151"/>
      <c r="AP12" s="4151"/>
      <c r="AQ12" s="4151"/>
      <c r="AR12" s="4151"/>
      <c r="AS12" s="4151"/>
      <c r="AT12" s="4122"/>
    </row>
    <row r="13" spans="1:51" ht="15" customHeight="1" x14ac:dyDescent="0.2">
      <c r="A13" s="122"/>
      <c r="B13" s="4153">
        <v>4.5725275630431774</v>
      </c>
      <c r="C13" s="1679"/>
      <c r="D13" s="1679"/>
      <c r="E13" s="26"/>
      <c r="F13" s="26"/>
      <c r="G13" s="26"/>
      <c r="H13" s="26"/>
      <c r="I13" s="26"/>
      <c r="J13" s="4151"/>
      <c r="K13" s="4151"/>
      <c r="L13" s="4151"/>
      <c r="M13" s="1679"/>
      <c r="N13" s="1679"/>
      <c r="O13" s="1679"/>
      <c r="P13" s="1679"/>
      <c r="Q13" s="1679"/>
      <c r="R13" s="1679"/>
      <c r="S13" s="1679"/>
      <c r="T13" s="1679"/>
      <c r="U13" s="1679"/>
      <c r="V13" s="1679"/>
      <c r="W13" s="1679"/>
      <c r="X13" s="1679"/>
      <c r="Y13" s="1679"/>
      <c r="Z13" s="1679"/>
      <c r="AA13" s="4111">
        <f t="shared" si="0"/>
        <v>4.5725275630431774</v>
      </c>
      <c r="AB13" s="123" t="s">
        <v>29</v>
      </c>
      <c r="AC13" s="513"/>
      <c r="AD13" s="1679"/>
      <c r="AE13" s="26">
        <v>38</v>
      </c>
      <c r="AF13" s="27"/>
      <c r="AG13" s="513"/>
      <c r="AH13" s="27"/>
      <c r="AI13" s="513"/>
      <c r="AJ13" s="27"/>
      <c r="AK13" s="4113">
        <f t="shared" si="3"/>
        <v>1.7375604739564074</v>
      </c>
      <c r="AL13" s="364">
        <f>AA13*AE13%*20%</f>
        <v>0.34751209479128153</v>
      </c>
      <c r="AM13" s="365"/>
      <c r="AN13" s="365"/>
      <c r="AO13" s="365"/>
      <c r="AP13" s="365"/>
      <c r="AQ13" s="365">
        <f>AA13*AE13%*60%</f>
        <v>1.0425362843738444</v>
      </c>
      <c r="AR13" s="365"/>
      <c r="AS13" s="365"/>
      <c r="AT13" s="366">
        <f>AA13*AE13%*20%</f>
        <v>0.34751209479128153</v>
      </c>
    </row>
    <row r="14" spans="1:51" ht="15" customHeight="1" x14ac:dyDescent="0.2">
      <c r="A14" s="4112"/>
      <c r="B14" s="4151"/>
      <c r="C14" s="4150"/>
      <c r="D14" s="4150"/>
      <c r="E14" s="4153">
        <v>93.87</v>
      </c>
      <c r="F14" s="4151"/>
      <c r="G14" s="4151"/>
      <c r="H14" s="4151"/>
      <c r="I14" s="4151"/>
      <c r="J14" s="4151"/>
      <c r="K14" s="4151"/>
      <c r="L14" s="4151"/>
      <c r="M14" s="4150"/>
      <c r="N14" s="4150"/>
      <c r="O14" s="4150"/>
      <c r="P14" s="4150"/>
      <c r="Q14" s="4151"/>
      <c r="R14" s="4151"/>
      <c r="S14" s="4151"/>
      <c r="T14" s="4151"/>
      <c r="U14" s="4151"/>
      <c r="V14" s="4151"/>
      <c r="W14" s="4151"/>
      <c r="X14" s="4151"/>
      <c r="Y14" s="4151"/>
      <c r="Z14" s="4151"/>
      <c r="AA14" s="4111">
        <f t="shared" si="0"/>
        <v>93.87</v>
      </c>
      <c r="AB14" s="4121" t="s">
        <v>209</v>
      </c>
      <c r="AC14" s="4112"/>
      <c r="AD14" s="4150"/>
      <c r="AE14" s="4151">
        <v>80</v>
      </c>
      <c r="AF14" s="4111"/>
      <c r="AG14" s="4112"/>
      <c r="AH14" s="4111"/>
      <c r="AI14" s="4112"/>
      <c r="AJ14" s="4111"/>
      <c r="AK14" s="4113">
        <f t="shared" si="3"/>
        <v>75.096000000000004</v>
      </c>
      <c r="AL14" s="4103">
        <f t="shared" ref="AL14:AL19" si="4">AA14*AE14%</f>
        <v>75.096000000000004</v>
      </c>
      <c r="AM14" s="4150"/>
      <c r="AN14" s="4150"/>
      <c r="AO14" s="4150"/>
      <c r="AP14" s="4150"/>
      <c r="AQ14" s="4150"/>
      <c r="AR14" s="4150"/>
      <c r="AS14" s="4150"/>
      <c r="AT14" s="4111"/>
      <c r="AY14" s="23"/>
    </row>
    <row r="15" spans="1:51" ht="15" customHeight="1" x14ac:dyDescent="0.2">
      <c r="A15" s="4112"/>
      <c r="B15" s="4151"/>
      <c r="C15" s="4150"/>
      <c r="D15" s="4150"/>
      <c r="E15" s="4151"/>
      <c r="F15" s="4151"/>
      <c r="G15" s="4151"/>
      <c r="H15" s="4151"/>
      <c r="I15" s="4153">
        <v>0</v>
      </c>
      <c r="J15" s="4153"/>
      <c r="K15" s="4153"/>
      <c r="L15" s="4153"/>
      <c r="M15" s="4150"/>
      <c r="N15" s="4150"/>
      <c r="O15" s="4150"/>
      <c r="P15" s="4150"/>
      <c r="Q15" s="4151"/>
      <c r="R15" s="4151"/>
      <c r="S15" s="4151"/>
      <c r="T15" s="4151"/>
      <c r="U15" s="4151"/>
      <c r="V15" s="4151"/>
      <c r="W15" s="4151"/>
      <c r="X15" s="4151"/>
      <c r="Y15" s="4151"/>
      <c r="Z15" s="4151"/>
      <c r="AA15" s="4111">
        <f t="shared" si="0"/>
        <v>0</v>
      </c>
      <c r="AB15" s="4121" t="s">
        <v>210</v>
      </c>
      <c r="AC15" s="4112"/>
      <c r="AD15" s="4150"/>
      <c r="AE15" s="4151">
        <v>85</v>
      </c>
      <c r="AF15" s="4111"/>
      <c r="AG15" s="4112"/>
      <c r="AH15" s="4111"/>
      <c r="AI15" s="4112"/>
      <c r="AJ15" s="4111"/>
      <c r="AK15" s="4113">
        <f t="shared" si="3"/>
        <v>0</v>
      </c>
      <c r="AL15" s="4103">
        <f t="shared" si="4"/>
        <v>0</v>
      </c>
      <c r="AM15" s="4150"/>
      <c r="AN15" s="4150"/>
      <c r="AO15" s="4150"/>
      <c r="AP15" s="4150"/>
      <c r="AQ15" s="4150"/>
      <c r="AR15" s="4150"/>
      <c r="AS15" s="4150"/>
      <c r="AT15" s="4111"/>
      <c r="AY15" s="23"/>
    </row>
    <row r="16" spans="1:51" ht="15" customHeight="1" x14ac:dyDescent="0.2">
      <c r="A16" s="4112"/>
      <c r="B16" s="4150"/>
      <c r="C16" s="4150"/>
      <c r="D16" s="4150"/>
      <c r="E16" s="4150"/>
      <c r="F16" s="4150"/>
      <c r="G16" s="4150"/>
      <c r="H16" s="4150"/>
      <c r="I16" s="4154"/>
      <c r="J16" s="4154"/>
      <c r="K16" s="4154"/>
      <c r="L16" s="4154"/>
      <c r="M16" s="4150"/>
      <c r="N16" s="4150"/>
      <c r="O16" s="4150"/>
      <c r="P16" s="4150"/>
      <c r="Q16" s="4151"/>
      <c r="R16" s="4151"/>
      <c r="S16" s="4151"/>
      <c r="T16" s="4154"/>
      <c r="U16" s="4154"/>
      <c r="V16" s="4153">
        <v>0.05</v>
      </c>
      <c r="W16" s="4151"/>
      <c r="X16" s="4151"/>
      <c r="Y16" s="4151"/>
      <c r="Z16" s="4151"/>
      <c r="AA16" s="4111">
        <f t="shared" si="0"/>
        <v>0.05</v>
      </c>
      <c r="AB16" s="4121" t="s">
        <v>211</v>
      </c>
      <c r="AC16" s="4112"/>
      <c r="AD16" s="4150"/>
      <c r="AE16" s="4151">
        <v>75</v>
      </c>
      <c r="AF16" s="4111"/>
      <c r="AG16" s="4112"/>
      <c r="AH16" s="4111"/>
      <c r="AI16" s="4112"/>
      <c r="AJ16" s="4111"/>
      <c r="AK16" s="4113">
        <f t="shared" si="3"/>
        <v>3.7500000000000006E-2</v>
      </c>
      <c r="AL16" s="4103">
        <f t="shared" si="4"/>
        <v>3.7500000000000006E-2</v>
      </c>
      <c r="AM16" s="4150"/>
      <c r="AN16" s="4150"/>
      <c r="AO16" s="4150"/>
      <c r="AP16" s="4150"/>
      <c r="AQ16" s="4150"/>
      <c r="AR16" s="4150"/>
      <c r="AS16" s="4150"/>
      <c r="AT16" s="4111"/>
      <c r="AY16" s="23"/>
    </row>
    <row r="17" spans="1:51" ht="15" customHeight="1" x14ac:dyDescent="0.2">
      <c r="A17" s="4112"/>
      <c r="B17" s="4150"/>
      <c r="C17" s="4150"/>
      <c r="D17" s="4150"/>
      <c r="E17" s="4150"/>
      <c r="F17" s="4150"/>
      <c r="G17" s="4150"/>
      <c r="H17" s="4150"/>
      <c r="I17" s="4154"/>
      <c r="J17" s="4154"/>
      <c r="K17" s="4154"/>
      <c r="L17" s="4154"/>
      <c r="M17" s="4150"/>
      <c r="N17" s="4150"/>
      <c r="O17" s="4150"/>
      <c r="P17" s="4150"/>
      <c r="Q17" s="4151"/>
      <c r="R17" s="4151"/>
      <c r="S17" s="4151"/>
      <c r="T17" s="4154"/>
      <c r="U17" s="4153">
        <v>10.23</v>
      </c>
      <c r="V17" s="4154"/>
      <c r="W17" s="4151"/>
      <c r="X17" s="4151"/>
      <c r="Y17" s="4151"/>
      <c r="Z17" s="4151"/>
      <c r="AA17" s="4111">
        <f t="shared" si="0"/>
        <v>10.23</v>
      </c>
      <c r="AB17" s="4121" t="s">
        <v>212</v>
      </c>
      <c r="AC17" s="4112"/>
      <c r="AD17" s="4150"/>
      <c r="AE17" s="4151">
        <v>65</v>
      </c>
      <c r="AF17" s="4111"/>
      <c r="AG17" s="4112"/>
      <c r="AH17" s="4111"/>
      <c r="AI17" s="4112"/>
      <c r="AJ17" s="4111"/>
      <c r="AK17" s="4113">
        <f t="shared" si="3"/>
        <v>6.6495000000000006</v>
      </c>
      <c r="AL17" s="4103">
        <f t="shared" si="4"/>
        <v>6.6495000000000006</v>
      </c>
      <c r="AM17" s="4150"/>
      <c r="AN17" s="4150"/>
      <c r="AO17" s="4150"/>
      <c r="AP17" s="4150"/>
      <c r="AQ17" s="4150"/>
      <c r="AR17" s="4150"/>
      <c r="AS17" s="4150"/>
      <c r="AT17" s="4111"/>
      <c r="AV17" s="23"/>
    </row>
    <row r="18" spans="1:51" ht="15" customHeight="1" x14ac:dyDescent="0.2">
      <c r="A18" s="4112"/>
      <c r="B18" s="4150"/>
      <c r="C18" s="4150"/>
      <c r="D18" s="4150"/>
      <c r="E18" s="4150"/>
      <c r="F18" s="4150"/>
      <c r="G18" s="4150"/>
      <c r="H18" s="4150"/>
      <c r="I18" s="4154"/>
      <c r="J18" s="4154"/>
      <c r="K18" s="4154"/>
      <c r="L18" s="4154"/>
      <c r="M18" s="4150"/>
      <c r="N18" s="4150"/>
      <c r="O18" s="4150"/>
      <c r="P18" s="4150"/>
      <c r="Q18" s="4151"/>
      <c r="R18" s="4151"/>
      <c r="S18" s="4151"/>
      <c r="T18" s="4153">
        <v>2.13</v>
      </c>
      <c r="U18" s="4154"/>
      <c r="V18" s="4154"/>
      <c r="W18" s="4151"/>
      <c r="X18" s="4151"/>
      <c r="Y18" s="4151"/>
      <c r="Z18" s="4151"/>
      <c r="AA18" s="4111">
        <f t="shared" si="0"/>
        <v>2.13</v>
      </c>
      <c r="AB18" s="4121" t="s">
        <v>213</v>
      </c>
      <c r="AC18" s="4112"/>
      <c r="AD18" s="4150"/>
      <c r="AE18" s="4151">
        <v>65</v>
      </c>
      <c r="AF18" s="4111"/>
      <c r="AG18" s="4112"/>
      <c r="AH18" s="4111"/>
      <c r="AI18" s="4112"/>
      <c r="AJ18" s="4111"/>
      <c r="AK18" s="4113">
        <f t="shared" si="3"/>
        <v>1.3845000000000001</v>
      </c>
      <c r="AL18" s="4103">
        <f t="shared" si="4"/>
        <v>1.3845000000000001</v>
      </c>
      <c r="AM18" s="4150"/>
      <c r="AN18" s="4150"/>
      <c r="AO18" s="4150"/>
      <c r="AP18" s="4150"/>
      <c r="AQ18" s="4150"/>
      <c r="AR18" s="4150"/>
      <c r="AS18" s="4150"/>
      <c r="AT18" s="4111"/>
      <c r="AV18" s="23"/>
    </row>
    <row r="19" spans="1:51" ht="15" customHeight="1" x14ac:dyDescent="0.2">
      <c r="A19" s="4112"/>
      <c r="B19" s="4150"/>
      <c r="C19" s="4150"/>
      <c r="D19" s="4150"/>
      <c r="E19" s="4150"/>
      <c r="F19" s="4150"/>
      <c r="G19" s="4150"/>
      <c r="H19" s="4150"/>
      <c r="I19" s="4154"/>
      <c r="J19" s="4154"/>
      <c r="K19" s="4154"/>
      <c r="L19" s="4154"/>
      <c r="M19" s="4150"/>
      <c r="N19" s="4150"/>
      <c r="O19" s="4153">
        <v>9.0274497405664747E-2</v>
      </c>
      <c r="P19" s="4150"/>
      <c r="Q19" s="4151"/>
      <c r="R19" s="4151"/>
      <c r="S19" s="4151"/>
      <c r="T19" s="4151"/>
      <c r="U19" s="4151"/>
      <c r="V19" s="4151"/>
      <c r="W19" s="4151"/>
      <c r="X19" s="4151"/>
      <c r="Y19" s="4151"/>
      <c r="Z19" s="4151"/>
      <c r="AA19" s="4111">
        <f t="shared" si="0"/>
        <v>9.0274497405664747E-2</v>
      </c>
      <c r="AB19" s="4121" t="s">
        <v>214</v>
      </c>
      <c r="AC19" s="4112"/>
      <c r="AD19" s="4150"/>
      <c r="AE19" s="4150">
        <v>100</v>
      </c>
      <c r="AF19" s="4111"/>
      <c r="AG19" s="4112"/>
      <c r="AH19" s="4111"/>
      <c r="AI19" s="4112"/>
      <c r="AJ19" s="4111"/>
      <c r="AK19" s="4113">
        <f t="shared" si="3"/>
        <v>9.0274497405664747E-2</v>
      </c>
      <c r="AL19" s="4103">
        <f t="shared" si="4"/>
        <v>9.0274497405664747E-2</v>
      </c>
      <c r="AM19" s="4150"/>
      <c r="AN19" s="4150"/>
      <c r="AO19" s="4150"/>
      <c r="AP19" s="4150"/>
      <c r="AQ19" s="4150"/>
      <c r="AR19" s="4150"/>
      <c r="AS19" s="4150"/>
      <c r="AT19" s="4111"/>
      <c r="AY19" s="23"/>
    </row>
    <row r="20" spans="1:51" ht="15" customHeight="1" x14ac:dyDescent="0.2">
      <c r="A20" s="4112"/>
      <c r="B20" s="4150"/>
      <c r="C20" s="4151"/>
      <c r="D20" s="4151"/>
      <c r="E20" s="4153">
        <v>0</v>
      </c>
      <c r="F20" s="4151"/>
      <c r="G20" s="4151"/>
      <c r="H20" s="4151"/>
      <c r="I20" s="4154"/>
      <c r="J20" s="4154"/>
      <c r="K20" s="4154"/>
      <c r="L20" s="4154"/>
      <c r="M20" s="4151"/>
      <c r="N20" s="4151"/>
      <c r="O20" s="4151"/>
      <c r="P20" s="4151"/>
      <c r="Q20" s="4151"/>
      <c r="R20" s="4151"/>
      <c r="S20" s="4151"/>
      <c r="T20" s="4151"/>
      <c r="U20" s="4151"/>
      <c r="V20" s="4151"/>
      <c r="W20" s="4151"/>
      <c r="X20" s="4151"/>
      <c r="Y20" s="4151"/>
      <c r="Z20" s="4151"/>
      <c r="AA20" s="4111">
        <f t="shared" si="0"/>
        <v>0</v>
      </c>
      <c r="AB20" s="4121" t="s">
        <v>24</v>
      </c>
      <c r="AC20" s="4112"/>
      <c r="AD20" s="4150">
        <v>90</v>
      </c>
      <c r="AE20" s="4150"/>
      <c r="AF20" s="4111"/>
      <c r="AG20" s="4112"/>
      <c r="AH20" s="4111"/>
      <c r="AI20" s="4112"/>
      <c r="AJ20" s="4111"/>
      <c r="AK20" s="4113">
        <f t="shared" si="3"/>
        <v>0</v>
      </c>
      <c r="AL20" s="4103"/>
      <c r="AM20" s="4150"/>
      <c r="AN20" s="4150"/>
      <c r="AO20" s="4150"/>
      <c r="AP20" s="4150"/>
      <c r="AQ20" s="4150">
        <f>AA20*AD20%</f>
        <v>0</v>
      </c>
      <c r="AR20" s="4150"/>
      <c r="AS20" s="4150"/>
      <c r="AT20" s="4111"/>
      <c r="AV20" s="23"/>
    </row>
    <row r="21" spans="1:51" ht="15" customHeight="1" x14ac:dyDescent="0.2">
      <c r="A21" s="4112"/>
      <c r="B21" s="4150"/>
      <c r="C21" s="4151"/>
      <c r="D21" s="4151"/>
      <c r="E21" s="4151"/>
      <c r="F21" s="4151"/>
      <c r="G21" s="4151"/>
      <c r="H21" s="4151"/>
      <c r="I21" s="4153">
        <v>0</v>
      </c>
      <c r="J21" s="4153"/>
      <c r="K21" s="4153"/>
      <c r="L21" s="4153"/>
      <c r="M21" s="4151"/>
      <c r="N21" s="4151"/>
      <c r="O21" s="4151"/>
      <c r="P21" s="4151"/>
      <c r="Q21" s="4151"/>
      <c r="R21" s="4151"/>
      <c r="S21" s="4151"/>
      <c r="T21" s="4151"/>
      <c r="U21" s="4151"/>
      <c r="V21" s="4151"/>
      <c r="W21" s="4151"/>
      <c r="X21" s="4151"/>
      <c r="Y21" s="4151"/>
      <c r="Z21" s="4151"/>
      <c r="AA21" s="4111">
        <f t="shared" si="0"/>
        <v>0</v>
      </c>
      <c r="AB21" s="4121" t="s">
        <v>25</v>
      </c>
      <c r="AC21" s="4112"/>
      <c r="AD21" s="4150">
        <v>90</v>
      </c>
      <c r="AE21" s="4150"/>
      <c r="AF21" s="4111"/>
      <c r="AG21" s="4112"/>
      <c r="AH21" s="4111"/>
      <c r="AI21" s="4112"/>
      <c r="AJ21" s="4111"/>
      <c r="AK21" s="4113">
        <f t="shared" si="3"/>
        <v>0</v>
      </c>
      <c r="AL21" s="4103"/>
      <c r="AM21" s="4150"/>
      <c r="AN21" s="4150"/>
      <c r="AO21" s="4150"/>
      <c r="AP21" s="4150"/>
      <c r="AQ21" s="4150">
        <f>AA21*AD21%</f>
        <v>0</v>
      </c>
      <c r="AR21" s="4150"/>
      <c r="AS21" s="4150"/>
      <c r="AT21" s="4111"/>
      <c r="AV21" s="23"/>
    </row>
    <row r="22" spans="1:51" ht="15" customHeight="1" x14ac:dyDescent="0.2">
      <c r="A22" s="4112"/>
      <c r="B22" s="4150"/>
      <c r="C22" s="4153">
        <v>0</v>
      </c>
      <c r="D22" s="4153">
        <v>0</v>
      </c>
      <c r="E22" s="4153">
        <v>0</v>
      </c>
      <c r="F22" s="4153">
        <v>0</v>
      </c>
      <c r="G22" s="4154"/>
      <c r="H22" s="4153">
        <v>0</v>
      </c>
      <c r="I22" s="4153">
        <v>0</v>
      </c>
      <c r="J22" s="4154"/>
      <c r="K22" s="4154"/>
      <c r="L22" s="4154"/>
      <c r="M22" s="4154"/>
      <c r="N22" s="4154"/>
      <c r="O22" s="4154"/>
      <c r="P22" s="4154"/>
      <c r="Q22" s="4154"/>
      <c r="R22" s="4153">
        <v>0</v>
      </c>
      <c r="S22" s="4153">
        <v>0</v>
      </c>
      <c r="T22" s="4153">
        <v>0</v>
      </c>
      <c r="U22" s="4153">
        <v>0</v>
      </c>
      <c r="V22" s="4153">
        <v>12.55</v>
      </c>
      <c r="W22" s="4153">
        <v>0</v>
      </c>
      <c r="X22" s="4153">
        <v>0</v>
      </c>
      <c r="Y22" s="4153">
        <v>0</v>
      </c>
      <c r="Z22" s="4153">
        <v>0</v>
      </c>
      <c r="AA22" s="4111">
        <f t="shared" si="0"/>
        <v>12.55</v>
      </c>
      <c r="AB22" s="4121" t="s">
        <v>512</v>
      </c>
      <c r="AC22" s="4112"/>
      <c r="AD22" s="4150">
        <v>90</v>
      </c>
      <c r="AE22" s="4150"/>
      <c r="AF22" s="4111"/>
      <c r="AG22" s="4112"/>
      <c r="AH22" s="4111"/>
      <c r="AI22" s="4112"/>
      <c r="AJ22" s="4111"/>
      <c r="AK22" s="4113">
        <f t="shared" si="3"/>
        <v>11.295000000000002</v>
      </c>
      <c r="AL22" s="4102"/>
      <c r="AM22" s="4151"/>
      <c r="AN22" s="4151"/>
      <c r="AO22" s="4151"/>
      <c r="AP22" s="4151"/>
      <c r="AQ22" s="4151">
        <f>AA22*AD22%</f>
        <v>11.295000000000002</v>
      </c>
      <c r="AR22" s="4151"/>
      <c r="AS22" s="4151"/>
      <c r="AT22" s="4111"/>
      <c r="AY22" s="23"/>
    </row>
    <row r="23" spans="1:51" ht="15" customHeight="1" x14ac:dyDescent="0.2">
      <c r="A23" s="4112"/>
      <c r="B23" s="4150"/>
      <c r="C23" s="4150"/>
      <c r="D23" s="4150"/>
      <c r="E23" s="4150"/>
      <c r="F23" s="4150"/>
      <c r="G23" s="4150"/>
      <c r="H23" s="4151"/>
      <c r="I23" s="4151"/>
      <c r="J23" s="4151"/>
      <c r="K23" s="4151"/>
      <c r="L23" s="4151"/>
      <c r="M23" s="4151"/>
      <c r="N23" s="4151"/>
      <c r="O23" s="4153">
        <v>0</v>
      </c>
      <c r="P23" s="4151"/>
      <c r="Q23" s="4151"/>
      <c r="R23" s="4151"/>
      <c r="S23" s="4151"/>
      <c r="T23" s="4151"/>
      <c r="U23" s="4151"/>
      <c r="V23" s="4151"/>
      <c r="W23" s="4151"/>
      <c r="X23" s="4151"/>
      <c r="Y23" s="4151"/>
      <c r="Z23" s="4151"/>
      <c r="AA23" s="4111">
        <f t="shared" si="0"/>
        <v>0</v>
      </c>
      <c r="AB23" s="4121" t="s">
        <v>14</v>
      </c>
      <c r="AC23" s="4150">
        <v>100</v>
      </c>
      <c r="AD23" s="4150"/>
      <c r="AE23" s="4150"/>
      <c r="AF23" s="4111"/>
      <c r="AG23" s="4112">
        <f>AA23*AC23/100</f>
        <v>0</v>
      </c>
      <c r="AH23" s="4111"/>
      <c r="AI23" s="4112"/>
      <c r="AJ23" s="4111"/>
      <c r="AK23" s="4113">
        <f t="shared" si="3"/>
        <v>0</v>
      </c>
      <c r="AL23" s="4102"/>
      <c r="AM23" s="4151"/>
      <c r="AN23" s="4151"/>
      <c r="AO23" s="4151"/>
      <c r="AP23" s="4151"/>
      <c r="AQ23" s="4151"/>
      <c r="AR23" s="4151"/>
      <c r="AS23" s="4151"/>
      <c r="AT23" s="4111"/>
      <c r="AV23" s="23"/>
    </row>
    <row r="24" spans="1:51" ht="15" customHeight="1" x14ac:dyDescent="0.2">
      <c r="A24" s="4112"/>
      <c r="B24" s="4150"/>
      <c r="C24" s="4150"/>
      <c r="D24" s="4150"/>
      <c r="E24" s="4150"/>
      <c r="F24" s="4150"/>
      <c r="G24" s="4150"/>
      <c r="H24" s="4151"/>
      <c r="I24" s="4151"/>
      <c r="J24" s="4156"/>
      <c r="K24" s="4151"/>
      <c r="L24" s="4151"/>
      <c r="M24" s="4153">
        <v>1.7762934374999999</v>
      </c>
      <c r="N24" s="4151"/>
      <c r="O24" s="4151"/>
      <c r="P24" s="4151"/>
      <c r="Q24" s="4151"/>
      <c r="R24" s="4151"/>
      <c r="S24" s="4151"/>
      <c r="T24" s="4151"/>
      <c r="U24" s="4151"/>
      <c r="V24" s="4151"/>
      <c r="W24" s="4151"/>
      <c r="X24" s="4151"/>
      <c r="Y24" s="4151"/>
      <c r="Z24" s="4151"/>
      <c r="AA24" s="4111">
        <f t="shared" si="0"/>
        <v>1.7762934374999999</v>
      </c>
      <c r="AB24" s="4121" t="s">
        <v>26</v>
      </c>
      <c r="AC24" s="4150">
        <v>100</v>
      </c>
      <c r="AD24" s="4150"/>
      <c r="AE24" s="4150"/>
      <c r="AF24" s="4111"/>
      <c r="AG24" s="4112">
        <f>AC24*AA24/100</f>
        <v>1.7762934375000001</v>
      </c>
      <c r="AH24" s="4111"/>
      <c r="AI24" s="4112"/>
      <c r="AJ24" s="4111"/>
      <c r="AK24" s="4113">
        <f t="shared" si="3"/>
        <v>0</v>
      </c>
      <c r="AL24" s="4102"/>
      <c r="AM24" s="4151"/>
      <c r="AN24" s="4151"/>
      <c r="AO24" s="4151"/>
      <c r="AP24" s="4151"/>
      <c r="AQ24" s="4151"/>
      <c r="AR24" s="4151"/>
      <c r="AS24" s="4151"/>
      <c r="AT24" s="4111"/>
      <c r="AU24" s="29"/>
      <c r="AV24" s="23"/>
    </row>
    <row r="25" spans="1:51" ht="15" customHeight="1" x14ac:dyDescent="0.2">
      <c r="A25" s="4112"/>
      <c r="B25" s="4150"/>
      <c r="C25" s="4150"/>
      <c r="D25" s="4150"/>
      <c r="E25" s="4150"/>
      <c r="F25" s="4150"/>
      <c r="G25" s="4150"/>
      <c r="H25" s="4151"/>
      <c r="I25" s="4151"/>
      <c r="J25" s="4151"/>
      <c r="K25" s="4151"/>
      <c r="L25" s="4151"/>
      <c r="M25" s="4153">
        <v>0</v>
      </c>
      <c r="N25" s="4151"/>
      <c r="O25" s="4151"/>
      <c r="P25" s="4151"/>
      <c r="Q25" s="4151"/>
      <c r="R25" s="4151"/>
      <c r="S25" s="4151"/>
      <c r="T25" s="4151"/>
      <c r="U25" s="4151"/>
      <c r="V25" s="4151"/>
      <c r="W25" s="4151"/>
      <c r="X25" s="4151"/>
      <c r="Y25" s="4151"/>
      <c r="Z25" s="4151"/>
      <c r="AA25" s="4111">
        <f t="shared" si="0"/>
        <v>0</v>
      </c>
      <c r="AB25" s="4121" t="s">
        <v>74</v>
      </c>
      <c r="AC25" s="4123">
        <v>100</v>
      </c>
      <c r="AD25" s="4151"/>
      <c r="AE25" s="4151"/>
      <c r="AF25" s="4122"/>
      <c r="AG25" s="4123">
        <f>AC25*AA25/100</f>
        <v>0</v>
      </c>
      <c r="AH25" s="4122"/>
      <c r="AI25" s="4112"/>
      <c r="AJ25" s="4111"/>
      <c r="AK25" s="4113">
        <f t="shared" si="3"/>
        <v>0</v>
      </c>
      <c r="AL25" s="4102"/>
      <c r="AM25" s="4151"/>
      <c r="AN25" s="4151"/>
      <c r="AO25" s="4151"/>
      <c r="AP25" s="4151"/>
      <c r="AQ25" s="4151"/>
      <c r="AR25" s="4151"/>
      <c r="AS25" s="4151"/>
      <c r="AT25" s="4111"/>
      <c r="AY25" s="23"/>
    </row>
    <row r="26" spans="1:51" ht="15" customHeight="1" x14ac:dyDescent="0.2">
      <c r="A26" s="4112"/>
      <c r="B26" s="4150"/>
      <c r="C26" s="4150"/>
      <c r="D26" s="4150"/>
      <c r="E26" s="4150"/>
      <c r="F26" s="4150"/>
      <c r="G26" s="4150"/>
      <c r="H26" s="4151"/>
      <c r="I26" s="4151"/>
      <c r="J26" s="4151"/>
      <c r="K26" s="4151"/>
      <c r="L26" s="4151"/>
      <c r="M26" s="4151"/>
      <c r="N26" s="4153">
        <v>0</v>
      </c>
      <c r="O26" s="4151"/>
      <c r="P26" s="4151"/>
      <c r="Q26" s="4151"/>
      <c r="R26" s="4151"/>
      <c r="S26" s="4151"/>
      <c r="T26" s="4151"/>
      <c r="U26" s="4151"/>
      <c r="V26" s="4151"/>
      <c r="W26" s="4151"/>
      <c r="X26" s="4151"/>
      <c r="Y26" s="4151"/>
      <c r="Z26" s="4151"/>
      <c r="AA26" s="4111">
        <f t="shared" si="0"/>
        <v>0</v>
      </c>
      <c r="AB26" s="4121" t="s">
        <v>513</v>
      </c>
      <c r="AC26" s="4153">
        <v>100</v>
      </c>
      <c r="AD26" s="4151"/>
      <c r="AE26" s="4151"/>
      <c r="AF26" s="4122"/>
      <c r="AG26" s="4123">
        <f>AC26*AA26/100</f>
        <v>0</v>
      </c>
      <c r="AH26" s="4122"/>
      <c r="AI26" s="4112"/>
      <c r="AJ26" s="4111"/>
      <c r="AK26" s="4113">
        <f t="shared" si="3"/>
        <v>0</v>
      </c>
      <c r="AL26" s="4102"/>
      <c r="AM26" s="4151"/>
      <c r="AN26" s="4151"/>
      <c r="AO26" s="4151"/>
      <c r="AP26" s="4151"/>
      <c r="AQ26" s="4151"/>
      <c r="AR26" s="4151"/>
      <c r="AS26" s="4151"/>
      <c r="AT26" s="4111"/>
      <c r="AY26" s="23"/>
    </row>
    <row r="27" spans="1:51" ht="15" customHeight="1" x14ac:dyDescent="0.2">
      <c r="A27" s="4104"/>
      <c r="B27" s="4150"/>
      <c r="C27" s="4150"/>
      <c r="D27" s="4150"/>
      <c r="E27" s="4150"/>
      <c r="F27" s="4150"/>
      <c r="G27" s="4150"/>
      <c r="H27" s="4151"/>
      <c r="I27" s="4153">
        <v>0</v>
      </c>
      <c r="J27" s="4153"/>
      <c r="K27" s="4153"/>
      <c r="L27" s="4153"/>
      <c r="M27" s="4151"/>
      <c r="N27" s="4151"/>
      <c r="O27" s="4151"/>
      <c r="P27" s="4151"/>
      <c r="Q27" s="4151"/>
      <c r="R27" s="4151">
        <f>-(I27*33.3%)/AD27%</f>
        <v>0</v>
      </c>
      <c r="S27" s="4151">
        <f>-(I27*10.5%)/AD27%</f>
        <v>0</v>
      </c>
      <c r="T27" s="4151">
        <f>-(I27*6.6%)/AD27%</f>
        <v>0</v>
      </c>
      <c r="U27" s="4151"/>
      <c r="V27" s="4151"/>
      <c r="W27" s="4151">
        <f>-(I27*49.6%)/AD27%</f>
        <v>0</v>
      </c>
      <c r="X27" s="4154"/>
      <c r="Y27" s="4154"/>
      <c r="Z27" s="4154"/>
      <c r="AA27" s="4111">
        <f t="shared" si="0"/>
        <v>0</v>
      </c>
      <c r="AB27" s="4128" t="s">
        <v>170</v>
      </c>
      <c r="AC27" s="4105"/>
      <c r="AD27" s="4154">
        <v>100</v>
      </c>
      <c r="AE27" s="4154"/>
      <c r="AF27" s="4126"/>
      <c r="AG27" s="4129"/>
      <c r="AH27" s="4126"/>
      <c r="AI27" s="4130"/>
      <c r="AJ27" s="4131"/>
      <c r="AK27" s="4113">
        <f t="shared" si="3"/>
        <v>0</v>
      </c>
      <c r="AL27" s="4105"/>
      <c r="AM27" s="4154"/>
      <c r="AN27" s="4154"/>
      <c r="AO27" s="4154"/>
      <c r="AP27" s="4154"/>
      <c r="AQ27" s="4154"/>
      <c r="AR27" s="4154"/>
      <c r="AS27" s="4154"/>
      <c r="AT27" s="4131"/>
    </row>
    <row r="28" spans="1:51" ht="15" customHeight="1" x14ac:dyDescent="0.2">
      <c r="A28" s="4150"/>
      <c r="B28" s="4150"/>
      <c r="C28" s="4157"/>
      <c r="D28" s="4157"/>
      <c r="E28" s="4157"/>
      <c r="F28" s="4157"/>
      <c r="G28" s="4157"/>
      <c r="H28" s="4154"/>
      <c r="I28" s="4153"/>
      <c r="J28" s="4153"/>
      <c r="K28" s="4153"/>
      <c r="L28" s="4153"/>
      <c r="M28" s="4154"/>
      <c r="N28" s="4154"/>
      <c r="O28" s="4154"/>
      <c r="P28" s="4154"/>
      <c r="Q28" s="4154"/>
      <c r="R28" s="4153">
        <f>AA28*46%</f>
        <v>0</v>
      </c>
      <c r="S28" s="4154"/>
      <c r="T28" s="4154"/>
      <c r="U28" s="4154"/>
      <c r="V28" s="4154"/>
      <c r="W28" s="4153">
        <f>AA28*54%</f>
        <v>0</v>
      </c>
      <c r="X28" s="4154"/>
      <c r="Y28" s="4154"/>
      <c r="Z28" s="4154"/>
      <c r="AA28" s="4122">
        <v>0</v>
      </c>
      <c r="AB28" s="4128" t="s">
        <v>169</v>
      </c>
      <c r="AC28" s="4153">
        <v>34.200000000000003</v>
      </c>
      <c r="AD28" s="4154"/>
      <c r="AE28" s="4154"/>
      <c r="AF28" s="4126"/>
      <c r="AG28" s="4123">
        <f>AA28*AC28/100</f>
        <v>0</v>
      </c>
      <c r="AH28" s="4122"/>
      <c r="AI28" s="4123">
        <f>AA28*AE28/100</f>
        <v>0</v>
      </c>
      <c r="AJ28" s="4122"/>
      <c r="AK28" s="4113">
        <f t="shared" si="3"/>
        <v>0</v>
      </c>
      <c r="AL28" s="4102"/>
      <c r="AM28" s="4154"/>
      <c r="AN28" s="4154"/>
      <c r="AO28" s="4154"/>
      <c r="AP28" s="4154"/>
      <c r="AQ28" s="4154"/>
      <c r="AR28" s="4154"/>
      <c r="AS28" s="4154"/>
      <c r="AT28" s="4111"/>
    </row>
    <row r="29" spans="1:51" ht="15" customHeight="1" x14ac:dyDescent="0.2">
      <c r="A29" s="4150"/>
      <c r="B29" s="4151">
        <v>0</v>
      </c>
      <c r="C29" s="4151">
        <v>0</v>
      </c>
      <c r="D29" s="4151">
        <v>0</v>
      </c>
      <c r="E29" s="4151">
        <v>0</v>
      </c>
      <c r="F29" s="4151">
        <v>0</v>
      </c>
      <c r="G29" s="4151">
        <v>0</v>
      </c>
      <c r="H29" s="4151">
        <v>0</v>
      </c>
      <c r="I29" s="4151">
        <v>0</v>
      </c>
      <c r="J29" s="4156"/>
      <c r="K29" s="4153"/>
      <c r="L29" s="4153"/>
      <c r="M29" s="4151">
        <v>0</v>
      </c>
      <c r="N29" s="4151">
        <v>0</v>
      </c>
      <c r="O29" s="4151">
        <v>0</v>
      </c>
      <c r="P29" s="4151">
        <v>0</v>
      </c>
      <c r="Q29" s="4151">
        <v>0</v>
      </c>
      <c r="R29" s="4151">
        <v>0</v>
      </c>
      <c r="S29" s="4151">
        <v>0</v>
      </c>
      <c r="T29" s="4151">
        <v>0</v>
      </c>
      <c r="U29" s="4151">
        <v>0</v>
      </c>
      <c r="V29" s="4151">
        <v>0</v>
      </c>
      <c r="W29" s="4151">
        <v>0</v>
      </c>
      <c r="X29" s="4151">
        <v>0</v>
      </c>
      <c r="Y29" s="4151">
        <v>0</v>
      </c>
      <c r="Z29" s="4151">
        <v>0</v>
      </c>
      <c r="AA29" s="4111">
        <f t="shared" si="0"/>
        <v>0</v>
      </c>
      <c r="AB29" s="4128" t="s">
        <v>179</v>
      </c>
      <c r="AC29" s="4125">
        <v>0</v>
      </c>
      <c r="AD29" s="4154"/>
      <c r="AE29" s="4153">
        <v>0</v>
      </c>
      <c r="AF29" s="4122"/>
      <c r="AG29" s="4123">
        <f>AA29*AC29/100</f>
        <v>0</v>
      </c>
      <c r="AH29" s="4122"/>
      <c r="AI29" s="4112">
        <f>AA29*AE29/100</f>
        <v>0</v>
      </c>
      <c r="AJ29" s="4111"/>
      <c r="AK29" s="4113">
        <f t="shared" si="3"/>
        <v>0</v>
      </c>
      <c r="AL29" s="4102"/>
      <c r="AM29" s="4151"/>
      <c r="AN29" s="4151"/>
      <c r="AO29" s="4151"/>
      <c r="AP29" s="4151"/>
      <c r="AQ29" s="4151"/>
      <c r="AR29" s="4151"/>
      <c r="AS29" s="4151"/>
      <c r="AT29" s="4111"/>
    </row>
    <row r="30" spans="1:51" s="3" customFormat="1" ht="15" customHeight="1" x14ac:dyDescent="0.2">
      <c r="A30" s="4150"/>
      <c r="B30" s="4151">
        <v>0</v>
      </c>
      <c r="C30" s="4151">
        <v>0</v>
      </c>
      <c r="D30" s="4151">
        <v>0</v>
      </c>
      <c r="E30" s="4151">
        <v>0</v>
      </c>
      <c r="F30" s="4151">
        <v>0</v>
      </c>
      <c r="G30" s="4151">
        <v>0</v>
      </c>
      <c r="H30" s="4151">
        <v>0</v>
      </c>
      <c r="I30" s="4151">
        <v>0</v>
      </c>
      <c r="J30" s="2272"/>
      <c r="K30" s="4154"/>
      <c r="L30" s="4154"/>
      <c r="M30" s="4151">
        <v>0</v>
      </c>
      <c r="N30" s="4151">
        <v>0</v>
      </c>
      <c r="O30" s="4151">
        <v>0</v>
      </c>
      <c r="P30" s="4151">
        <v>0</v>
      </c>
      <c r="Q30" s="4151">
        <v>0</v>
      </c>
      <c r="R30" s="4151">
        <v>0</v>
      </c>
      <c r="S30" s="4151">
        <v>0</v>
      </c>
      <c r="T30" s="4151">
        <v>0</v>
      </c>
      <c r="U30" s="4151">
        <v>0</v>
      </c>
      <c r="V30" s="4151">
        <v>0</v>
      </c>
      <c r="W30" s="4151">
        <v>0</v>
      </c>
      <c r="X30" s="4151">
        <v>0</v>
      </c>
      <c r="Y30" s="4151">
        <v>0</v>
      </c>
      <c r="Z30" s="4151">
        <v>0</v>
      </c>
      <c r="AA30" s="4111">
        <f t="shared" si="0"/>
        <v>0</v>
      </c>
      <c r="AB30" s="4128" t="s">
        <v>13</v>
      </c>
      <c r="AC30" s="4129"/>
      <c r="AD30" s="4154"/>
      <c r="AE30" s="4153">
        <v>0</v>
      </c>
      <c r="AF30" s="4122"/>
      <c r="AG30" s="4123"/>
      <c r="AH30" s="4122"/>
      <c r="AI30" s="4112">
        <f>AA30*AE30/100</f>
        <v>0</v>
      </c>
      <c r="AJ30" s="4111"/>
      <c r="AK30" s="4113">
        <f t="shared" si="3"/>
        <v>0</v>
      </c>
      <c r="AL30" s="4102"/>
      <c r="AM30" s="4151"/>
      <c r="AN30" s="4151"/>
      <c r="AO30" s="4151"/>
      <c r="AP30" s="4151"/>
      <c r="AQ30" s="4151"/>
      <c r="AR30" s="4151"/>
      <c r="AS30" s="4151"/>
      <c r="AT30" s="4111"/>
    </row>
    <row r="31" spans="1:51" ht="15" customHeight="1" x14ac:dyDescent="0.2">
      <c r="A31" s="4157"/>
      <c r="B31" s="4157"/>
      <c r="C31" s="4157"/>
      <c r="D31" s="4154"/>
      <c r="E31" s="4154"/>
      <c r="F31" s="4154"/>
      <c r="G31" s="4154"/>
      <c r="H31" s="4154"/>
      <c r="I31" s="4154"/>
      <c r="J31" s="4154"/>
      <c r="K31" s="4154"/>
      <c r="L31" s="4154"/>
      <c r="M31" s="4154"/>
      <c r="N31" s="4154"/>
      <c r="O31" s="4154"/>
      <c r="P31" s="4154"/>
      <c r="Q31" s="4153">
        <f>AI31-AH31</f>
        <v>0</v>
      </c>
      <c r="R31" s="4154"/>
      <c r="S31" s="4154"/>
      <c r="T31" s="4154"/>
      <c r="U31" s="4154"/>
      <c r="V31" s="4154"/>
      <c r="W31" s="4154"/>
      <c r="X31" s="4154"/>
      <c r="Y31" s="4154"/>
      <c r="Z31" s="4154"/>
      <c r="AA31" s="4111">
        <f t="shared" si="0"/>
        <v>0</v>
      </c>
      <c r="AB31" s="4128" t="s">
        <v>167</v>
      </c>
      <c r="AC31" s="4123"/>
      <c r="AD31" s="4151"/>
      <c r="AE31" s="4151">
        <v>300</v>
      </c>
      <c r="AF31" s="4122"/>
      <c r="AG31" s="4129">
        <f>-AH31/$D$2%</f>
        <v>0</v>
      </c>
      <c r="AH31" s="4135">
        <v>0</v>
      </c>
      <c r="AI31" s="4132">
        <f>AH31*AE31%</f>
        <v>0</v>
      </c>
      <c r="AJ31" s="4131"/>
      <c r="AK31" s="4113">
        <f t="shared" si="3"/>
        <v>0</v>
      </c>
      <c r="AL31" s="4105"/>
      <c r="AM31" s="4105"/>
      <c r="AN31" s="4154"/>
      <c r="AO31" s="4154"/>
      <c r="AP31" s="4154"/>
      <c r="AQ31" s="4154"/>
      <c r="AR31" s="4154"/>
      <c r="AS31" s="4154"/>
      <c r="AT31" s="4131"/>
    </row>
    <row r="32" spans="1:51" ht="15" customHeight="1" x14ac:dyDescent="0.2">
      <c r="A32" s="4157"/>
      <c r="B32" s="4157"/>
      <c r="C32" s="4157"/>
      <c r="D32" s="4154"/>
      <c r="E32" s="4154"/>
      <c r="F32" s="4154"/>
      <c r="G32" s="4158"/>
      <c r="H32" s="4154"/>
      <c r="I32" s="4154"/>
      <c r="J32" s="4154"/>
      <c r="K32" s="4154"/>
      <c r="L32" s="4154"/>
      <c r="M32" s="4154"/>
      <c r="N32" s="4154"/>
      <c r="O32" s="4154"/>
      <c r="P32" s="4154"/>
      <c r="Q32" s="4154"/>
      <c r="R32" s="4154"/>
      <c r="S32" s="4154"/>
      <c r="T32" s="4154"/>
      <c r="U32" s="4154"/>
      <c r="V32" s="4154"/>
      <c r="W32" s="4154"/>
      <c r="X32" s="4154"/>
      <c r="Y32" s="4154"/>
      <c r="Z32" s="4154"/>
      <c r="AA32" s="4111">
        <f t="shared" si="0"/>
        <v>0</v>
      </c>
      <c r="AB32" s="4128" t="s">
        <v>168</v>
      </c>
      <c r="AC32" s="4123"/>
      <c r="AD32" s="4151"/>
      <c r="AE32" s="4151">
        <v>100</v>
      </c>
      <c r="AF32" s="4122"/>
      <c r="AG32" s="4129">
        <f>-AH32/$D$2%</f>
        <v>0</v>
      </c>
      <c r="AH32" s="4135">
        <v>0</v>
      </c>
      <c r="AI32" s="4123">
        <f>AH32*AE32%</f>
        <v>0</v>
      </c>
      <c r="AJ32" s="4131"/>
      <c r="AK32" s="4113">
        <f t="shared" si="3"/>
        <v>0</v>
      </c>
      <c r="AL32" s="4105"/>
      <c r="AM32" s="4105"/>
      <c r="AN32" s="4154"/>
      <c r="AO32" s="4154"/>
      <c r="AP32" s="4154"/>
      <c r="AQ32" s="4154"/>
      <c r="AR32" s="4154"/>
      <c r="AS32" s="4154"/>
      <c r="AT32" s="4131"/>
    </row>
    <row r="33" spans="1:47" ht="15" customHeight="1" x14ac:dyDescent="0.2">
      <c r="A33" s="4150"/>
      <c r="B33" s="4150"/>
      <c r="C33" s="4154"/>
      <c r="D33" s="4154"/>
      <c r="E33" s="4154"/>
      <c r="F33" s="4154"/>
      <c r="G33" s="4154"/>
      <c r="H33" s="4154"/>
      <c r="I33" s="4154"/>
      <c r="J33" s="4154"/>
      <c r="K33" s="4154"/>
      <c r="L33" s="4154"/>
      <c r="M33" s="4154"/>
      <c r="N33" s="4154"/>
      <c r="O33" s="4154"/>
      <c r="P33" s="4154"/>
      <c r="Q33" s="4154"/>
      <c r="R33" s="4154"/>
      <c r="S33" s="4154"/>
      <c r="T33" s="4154"/>
      <c r="U33" s="4154"/>
      <c r="V33" s="4154"/>
      <c r="W33" s="4154"/>
      <c r="X33" s="4154"/>
      <c r="Y33" s="4154"/>
      <c r="Z33" s="4154"/>
      <c r="AA33" s="4111">
        <f t="shared" si="0"/>
        <v>0</v>
      </c>
      <c r="AB33" s="4128" t="s">
        <v>27</v>
      </c>
      <c r="AC33" s="4129"/>
      <c r="AD33" s="4154"/>
      <c r="AE33" s="4154"/>
      <c r="AF33" s="4127">
        <v>75</v>
      </c>
      <c r="AG33" s="4123"/>
      <c r="AH33" s="4122"/>
      <c r="AI33" s="4112">
        <f>-SUM(AI29:AI32)</f>
        <v>0</v>
      </c>
      <c r="AJ33" s="4111">
        <f>-AI33*AF33%</f>
        <v>0</v>
      </c>
      <c r="AK33" s="4113">
        <f>SUM(AL33:AT33)</f>
        <v>0</v>
      </c>
      <c r="AL33" s="4101">
        <f>AJ33*64.9%</f>
        <v>0</v>
      </c>
      <c r="AM33" s="4101">
        <f>AJ33*9.8%</f>
        <v>0</v>
      </c>
      <c r="AN33" s="4153">
        <f>AJ33*13.2%</f>
        <v>0</v>
      </c>
      <c r="AO33" s="4153">
        <f>AJ33*7%</f>
        <v>0</v>
      </c>
      <c r="AP33" s="4153"/>
      <c r="AQ33" s="4153">
        <f>AJ33*3.6%</f>
        <v>0</v>
      </c>
      <c r="AR33" s="4153">
        <f>AJ33*1.5%</f>
        <v>0</v>
      </c>
      <c r="AS33" s="4153"/>
      <c r="AT33" s="4111"/>
    </row>
    <row r="34" spans="1:47" ht="15" customHeight="1" x14ac:dyDescent="0.2">
      <c r="A34" s="4150"/>
      <c r="B34" s="4151">
        <v>0</v>
      </c>
      <c r="C34" s="4151">
        <v>0</v>
      </c>
      <c r="D34" s="4151">
        <v>0</v>
      </c>
      <c r="E34" s="4151">
        <v>0</v>
      </c>
      <c r="F34" s="4151">
        <v>0</v>
      </c>
      <c r="G34" s="4151">
        <v>0</v>
      </c>
      <c r="H34" s="4151">
        <v>0</v>
      </c>
      <c r="I34" s="4151">
        <v>0</v>
      </c>
      <c r="J34" s="4156"/>
      <c r="K34" s="4154"/>
      <c r="L34" s="4154"/>
      <c r="M34" s="4151">
        <v>0</v>
      </c>
      <c r="N34" s="4151">
        <v>0</v>
      </c>
      <c r="O34" s="4151">
        <v>0</v>
      </c>
      <c r="P34" s="4151">
        <v>0</v>
      </c>
      <c r="Q34" s="4151">
        <v>0</v>
      </c>
      <c r="R34" s="4151">
        <v>0</v>
      </c>
      <c r="S34" s="4151">
        <v>0</v>
      </c>
      <c r="T34" s="4151">
        <v>0</v>
      </c>
      <c r="U34" s="4151">
        <v>0</v>
      </c>
      <c r="V34" s="4151">
        <v>0</v>
      </c>
      <c r="W34" s="4151">
        <v>0</v>
      </c>
      <c r="X34" s="4151">
        <v>0</v>
      </c>
      <c r="Y34" s="4151">
        <v>0</v>
      </c>
      <c r="Z34" s="4151">
        <v>0</v>
      </c>
      <c r="AA34" s="4111">
        <f t="shared" si="0"/>
        <v>0</v>
      </c>
      <c r="AB34" s="4128" t="s">
        <v>180</v>
      </c>
      <c r="AC34" s="4125">
        <v>0</v>
      </c>
      <c r="AD34" s="4154"/>
      <c r="AE34" s="4153">
        <v>0</v>
      </c>
      <c r="AF34" s="4126"/>
      <c r="AG34" s="4123">
        <f>AA34*AC34/100</f>
        <v>0</v>
      </c>
      <c r="AH34" s="4122"/>
      <c r="AI34" s="4112">
        <f>AA34*AE34/100</f>
        <v>0</v>
      </c>
      <c r="AJ34" s="4111"/>
      <c r="AK34" s="4113">
        <f t="shared" si="3"/>
        <v>0</v>
      </c>
      <c r="AL34" s="4105"/>
      <c r="AM34" s="4154"/>
      <c r="AN34" s="4154"/>
      <c r="AO34" s="4154"/>
      <c r="AP34" s="4154"/>
      <c r="AQ34" s="4154"/>
      <c r="AR34" s="4154"/>
      <c r="AS34" s="4151"/>
      <c r="AT34" s="4111"/>
    </row>
    <row r="35" spans="1:47" ht="15" customHeight="1" x14ac:dyDescent="0.2">
      <c r="A35" s="4150"/>
      <c r="B35" s="4151">
        <v>0</v>
      </c>
      <c r="C35" s="4151">
        <v>0</v>
      </c>
      <c r="D35" s="4151">
        <v>0</v>
      </c>
      <c r="E35" s="4151">
        <v>0</v>
      </c>
      <c r="F35" s="4151">
        <v>0</v>
      </c>
      <c r="G35" s="4151">
        <v>0</v>
      </c>
      <c r="H35" s="4151">
        <v>0</v>
      </c>
      <c r="I35" s="4151">
        <v>0</v>
      </c>
      <c r="J35" s="4156"/>
      <c r="K35" s="4154"/>
      <c r="L35" s="4154"/>
      <c r="M35" s="4151">
        <v>0</v>
      </c>
      <c r="N35" s="4151">
        <v>0</v>
      </c>
      <c r="O35" s="4151">
        <v>0</v>
      </c>
      <c r="P35" s="4151">
        <v>0</v>
      </c>
      <c r="Q35" s="4151">
        <v>0</v>
      </c>
      <c r="R35" s="4151">
        <v>0</v>
      </c>
      <c r="S35" s="4151">
        <v>0</v>
      </c>
      <c r="T35" s="4151">
        <v>0</v>
      </c>
      <c r="U35" s="4151">
        <v>0</v>
      </c>
      <c r="V35" s="4151">
        <v>0</v>
      </c>
      <c r="W35" s="4151">
        <v>0</v>
      </c>
      <c r="X35" s="4151">
        <v>0</v>
      </c>
      <c r="Y35" s="4151">
        <v>0</v>
      </c>
      <c r="Z35" s="4151">
        <v>0</v>
      </c>
      <c r="AA35" s="4111">
        <f t="shared" si="0"/>
        <v>0</v>
      </c>
      <c r="AB35" s="4128" t="s">
        <v>7</v>
      </c>
      <c r="AC35" s="4129"/>
      <c r="AD35" s="4154"/>
      <c r="AE35" s="4153">
        <v>0</v>
      </c>
      <c r="AF35" s="4126"/>
      <c r="AG35" s="4123">
        <f>AA35*AC35/100</f>
        <v>0</v>
      </c>
      <c r="AH35" s="4122"/>
      <c r="AI35" s="4112">
        <f>AA35*AE35/100</f>
        <v>0</v>
      </c>
      <c r="AJ35" s="4111"/>
      <c r="AK35" s="4113">
        <f t="shared" si="3"/>
        <v>0</v>
      </c>
      <c r="AL35" s="4105"/>
      <c r="AM35" s="4154"/>
      <c r="AN35" s="4154"/>
      <c r="AO35" s="4154"/>
      <c r="AP35" s="4154"/>
      <c r="AQ35" s="4154"/>
      <c r="AR35" s="4154"/>
      <c r="AS35" s="4151"/>
      <c r="AT35" s="4111"/>
    </row>
    <row r="36" spans="1:47" s="3" customFormat="1" ht="15" customHeight="1" x14ac:dyDescent="0.2">
      <c r="A36" s="4150"/>
      <c r="B36" s="4150"/>
      <c r="C36" s="4154"/>
      <c r="D36" s="4154"/>
      <c r="E36" s="4154"/>
      <c r="F36" s="4154"/>
      <c r="G36" s="4154"/>
      <c r="H36" s="4154"/>
      <c r="I36" s="4154"/>
      <c r="J36" s="4154"/>
      <c r="K36" s="4154"/>
      <c r="L36" s="4154"/>
      <c r="M36" s="4154"/>
      <c r="N36" s="4154"/>
      <c r="O36" s="4154"/>
      <c r="P36" s="4154"/>
      <c r="Q36" s="4154"/>
      <c r="R36" s="4154"/>
      <c r="S36" s="4154"/>
      <c r="T36" s="4154"/>
      <c r="U36" s="4154"/>
      <c r="V36" s="4154"/>
      <c r="W36" s="4154"/>
      <c r="X36" s="4154"/>
      <c r="Y36" s="4154"/>
      <c r="Z36" s="4154"/>
      <c r="AA36" s="4111">
        <f t="shared" si="0"/>
        <v>0</v>
      </c>
      <c r="AB36" s="4133" t="s">
        <v>28</v>
      </c>
      <c r="AC36" s="4129"/>
      <c r="AD36" s="4154"/>
      <c r="AE36" s="4154"/>
      <c r="AF36" s="4127">
        <v>75</v>
      </c>
      <c r="AG36" s="4123"/>
      <c r="AH36" s="4122"/>
      <c r="AI36" s="4112">
        <f>-SUM(AI34:AI35)</f>
        <v>0</v>
      </c>
      <c r="AJ36" s="4111">
        <f>-AI36*AF36%</f>
        <v>0</v>
      </c>
      <c r="AK36" s="4113">
        <f t="shared" si="3"/>
        <v>0</v>
      </c>
      <c r="AL36" s="4101">
        <f>AJ36*64.9%</f>
        <v>0</v>
      </c>
      <c r="AM36" s="4101">
        <f>AJ36*9.8%</f>
        <v>0</v>
      </c>
      <c r="AN36" s="4153">
        <f>AJ36*13.2%</f>
        <v>0</v>
      </c>
      <c r="AO36" s="4153">
        <f>AJ36*7%</f>
        <v>0</v>
      </c>
      <c r="AP36" s="4153"/>
      <c r="AQ36" s="4153">
        <f>AJ36*3.6%</f>
        <v>0</v>
      </c>
      <c r="AR36" s="4153">
        <f>AJ36*1.5%</f>
        <v>0</v>
      </c>
      <c r="AS36" s="4153"/>
      <c r="AT36" s="4111"/>
    </row>
    <row r="37" spans="1:47" ht="15" customHeight="1" x14ac:dyDescent="0.2">
      <c r="A37" s="4150"/>
      <c r="B37" s="4153">
        <v>0</v>
      </c>
      <c r="C37" s="4153">
        <v>0</v>
      </c>
      <c r="D37" s="4153">
        <v>0</v>
      </c>
      <c r="E37" s="4153">
        <v>0</v>
      </c>
      <c r="F37" s="4153">
        <v>0</v>
      </c>
      <c r="G37" s="4153">
        <v>0</v>
      </c>
      <c r="H37" s="4153">
        <v>0</v>
      </c>
      <c r="I37" s="4153">
        <v>0</v>
      </c>
      <c r="J37" s="4156"/>
      <c r="K37" s="4153"/>
      <c r="L37" s="4153"/>
      <c r="M37" s="4153">
        <v>0</v>
      </c>
      <c r="N37" s="4153">
        <v>0</v>
      </c>
      <c r="O37" s="4153">
        <v>0</v>
      </c>
      <c r="P37" s="4153">
        <v>0</v>
      </c>
      <c r="Q37" s="4153">
        <v>0</v>
      </c>
      <c r="R37" s="4153">
        <v>0</v>
      </c>
      <c r="S37" s="4153">
        <v>0</v>
      </c>
      <c r="T37" s="4153">
        <v>0</v>
      </c>
      <c r="U37" s="4153">
        <v>0</v>
      </c>
      <c r="V37" s="4153">
        <v>0</v>
      </c>
      <c r="W37" s="4153">
        <v>0</v>
      </c>
      <c r="X37" s="4153">
        <v>0</v>
      </c>
      <c r="Y37" s="4153">
        <v>0</v>
      </c>
      <c r="Z37" s="4153">
        <v>0</v>
      </c>
      <c r="AA37" s="4111">
        <f t="shared" si="0"/>
        <v>0</v>
      </c>
      <c r="AB37" s="4133" t="s">
        <v>181</v>
      </c>
      <c r="AC37" s="4125">
        <v>0</v>
      </c>
      <c r="AD37" s="4154"/>
      <c r="AE37" s="4153">
        <v>0</v>
      </c>
      <c r="AF37" s="4126"/>
      <c r="AG37" s="4112">
        <f>AA37*AC37/100</f>
        <v>0</v>
      </c>
      <c r="AH37" s="4111"/>
      <c r="AI37" s="4112">
        <f t="shared" ref="AI37" si="5">AA37*AE37/100</f>
        <v>0</v>
      </c>
      <c r="AJ37" s="4111"/>
      <c r="AK37" s="4113">
        <f t="shared" si="3"/>
        <v>0</v>
      </c>
      <c r="AL37" s="4102"/>
      <c r="AM37" s="4151"/>
      <c r="AN37" s="4151"/>
      <c r="AO37" s="4151"/>
      <c r="AP37" s="4151"/>
      <c r="AQ37" s="4151"/>
      <c r="AR37" s="4151"/>
      <c r="AS37" s="4151"/>
      <c r="AT37" s="4111"/>
    </row>
    <row r="38" spans="1:47" ht="15" customHeight="1" x14ac:dyDescent="0.2">
      <c r="A38" s="4150"/>
      <c r="B38" s="4153">
        <v>0</v>
      </c>
      <c r="C38" s="4153">
        <v>0</v>
      </c>
      <c r="D38" s="4153">
        <v>0</v>
      </c>
      <c r="E38" s="4153">
        <v>0</v>
      </c>
      <c r="F38" s="4153">
        <v>0</v>
      </c>
      <c r="G38" s="4153">
        <v>0</v>
      </c>
      <c r="H38" s="4153">
        <v>0</v>
      </c>
      <c r="I38" s="4153">
        <v>0</v>
      </c>
      <c r="J38" s="4156"/>
      <c r="K38" s="4153"/>
      <c r="L38" s="4153"/>
      <c r="M38" s="4153">
        <v>0</v>
      </c>
      <c r="N38" s="4153">
        <v>0</v>
      </c>
      <c r="O38" s="4153">
        <v>0</v>
      </c>
      <c r="P38" s="4153">
        <v>0</v>
      </c>
      <c r="Q38" s="4153">
        <v>0</v>
      </c>
      <c r="R38" s="4153">
        <v>0</v>
      </c>
      <c r="S38" s="4153">
        <v>0</v>
      </c>
      <c r="T38" s="4153">
        <v>0</v>
      </c>
      <c r="U38" s="4153">
        <v>0</v>
      </c>
      <c r="V38" s="4153">
        <v>0</v>
      </c>
      <c r="W38" s="4153">
        <v>0</v>
      </c>
      <c r="X38" s="4153">
        <v>0</v>
      </c>
      <c r="Y38" s="4153">
        <v>0</v>
      </c>
      <c r="Z38" s="4153">
        <v>0</v>
      </c>
      <c r="AA38" s="4111">
        <f t="shared" si="0"/>
        <v>0</v>
      </c>
      <c r="AB38" s="4133" t="s">
        <v>203</v>
      </c>
      <c r="AC38" s="4129"/>
      <c r="AD38" s="4154"/>
      <c r="AE38" s="4153">
        <v>0</v>
      </c>
      <c r="AF38" s="4126"/>
      <c r="AG38" s="4112">
        <f>AA38*AC38/100</f>
        <v>0</v>
      </c>
      <c r="AH38" s="4111"/>
      <c r="AI38" s="4112">
        <f>AA38*AE38/100</f>
        <v>0</v>
      </c>
      <c r="AJ38" s="4111"/>
      <c r="AK38" s="4113">
        <f t="shared" si="3"/>
        <v>0</v>
      </c>
      <c r="AL38" s="4102"/>
      <c r="AM38" s="4151"/>
      <c r="AN38" s="4151"/>
      <c r="AO38" s="4151"/>
      <c r="AP38" s="4151"/>
      <c r="AQ38" s="4151"/>
      <c r="AR38" s="4151"/>
      <c r="AS38" s="4151"/>
      <c r="AT38" s="4111"/>
      <c r="AU38" s="33"/>
    </row>
    <row r="39" spans="1:47" ht="15" customHeight="1" x14ac:dyDescent="0.2">
      <c r="A39" s="4157"/>
      <c r="B39" s="4154"/>
      <c r="C39" s="4154"/>
      <c r="D39" s="4154"/>
      <c r="E39" s="4154"/>
      <c r="F39" s="4154"/>
      <c r="G39" s="4154"/>
      <c r="H39" s="4154"/>
      <c r="I39" s="4154">
        <v>0</v>
      </c>
      <c r="J39" s="4154"/>
      <c r="K39" s="4154"/>
      <c r="L39" s="4154"/>
      <c r="M39" s="4154"/>
      <c r="N39" s="4154"/>
      <c r="O39" s="4154"/>
      <c r="P39" s="4154"/>
      <c r="Q39" s="4153">
        <f>AI39-AH39</f>
        <v>0</v>
      </c>
      <c r="R39" s="4154"/>
      <c r="S39" s="4154"/>
      <c r="T39" s="4154"/>
      <c r="U39" s="4154"/>
      <c r="V39" s="4154"/>
      <c r="W39" s="4154"/>
      <c r="X39" s="4154"/>
      <c r="Y39" s="4154"/>
      <c r="Z39" s="4154"/>
      <c r="AA39" s="4111">
        <f t="shared" si="0"/>
        <v>0</v>
      </c>
      <c r="AB39" s="4133" t="s">
        <v>204</v>
      </c>
      <c r="AC39" s="4123"/>
      <c r="AD39" s="4151"/>
      <c r="AE39" s="4153">
        <v>0</v>
      </c>
      <c r="AF39" s="4122"/>
      <c r="AG39" s="4129">
        <f>-AH39/$D$2%</f>
        <v>0</v>
      </c>
      <c r="AH39" s="4135">
        <v>0</v>
      </c>
      <c r="AI39" s="4123">
        <f>(AH39+I39)*AE39%</f>
        <v>0</v>
      </c>
      <c r="AJ39" s="4126"/>
      <c r="AK39" s="4113">
        <f t="shared" si="3"/>
        <v>0</v>
      </c>
      <c r="AL39" s="4105"/>
      <c r="AM39" s="4154"/>
      <c r="AN39" s="4154"/>
      <c r="AO39" s="4154"/>
      <c r="AP39" s="4154"/>
      <c r="AQ39" s="4154"/>
      <c r="AR39" s="4154"/>
      <c r="AS39" s="4154"/>
      <c r="AT39" s="4131"/>
    </row>
    <row r="40" spans="1:47" ht="15" customHeight="1" x14ac:dyDescent="0.2">
      <c r="A40" s="4157"/>
      <c r="B40" s="4154"/>
      <c r="C40" s="4154"/>
      <c r="D40" s="4154"/>
      <c r="E40" s="4154"/>
      <c r="F40" s="4154"/>
      <c r="G40" s="4154"/>
      <c r="H40" s="4154"/>
      <c r="I40" s="4154"/>
      <c r="J40" s="4154"/>
      <c r="K40" s="4154"/>
      <c r="L40" s="4154"/>
      <c r="M40" s="4154"/>
      <c r="N40" s="4154"/>
      <c r="O40" s="4154"/>
      <c r="P40" s="4154"/>
      <c r="Q40" s="4151"/>
      <c r="R40" s="4154"/>
      <c r="S40" s="4154"/>
      <c r="T40" s="4154"/>
      <c r="U40" s="4154"/>
      <c r="V40" s="4154"/>
      <c r="W40" s="4154"/>
      <c r="X40" s="4154"/>
      <c r="Y40" s="4154"/>
      <c r="Z40" s="4154"/>
      <c r="AA40" s="4111">
        <f t="shared" si="0"/>
        <v>0</v>
      </c>
      <c r="AB40" s="4133" t="s">
        <v>205</v>
      </c>
      <c r="AC40" s="4123"/>
      <c r="AD40" s="4151"/>
      <c r="AE40" s="4153">
        <v>0</v>
      </c>
      <c r="AF40" s="4122"/>
      <c r="AG40" s="4129">
        <f>-AH40/$D$2%</f>
        <v>0</v>
      </c>
      <c r="AH40" s="4135">
        <v>0</v>
      </c>
      <c r="AI40" s="4129">
        <f>AH40*AE40%</f>
        <v>0</v>
      </c>
      <c r="AJ40" s="4126"/>
      <c r="AK40" s="4113">
        <f t="shared" si="3"/>
        <v>0</v>
      </c>
      <c r="AL40" s="4105"/>
      <c r="AM40" s="4154"/>
      <c r="AN40" s="4154"/>
      <c r="AO40" s="4154"/>
      <c r="AP40" s="4154"/>
      <c r="AQ40" s="4154"/>
      <c r="AR40" s="4154"/>
      <c r="AS40" s="4154"/>
      <c r="AT40" s="4131"/>
    </row>
    <row r="41" spans="1:47" ht="15" customHeight="1" x14ac:dyDescent="0.2">
      <c r="A41" s="4150"/>
      <c r="B41" s="4151"/>
      <c r="C41" s="4154"/>
      <c r="D41" s="4154"/>
      <c r="E41" s="4154"/>
      <c r="F41" s="4154"/>
      <c r="G41" s="4154"/>
      <c r="H41" s="4154"/>
      <c r="I41" s="4154"/>
      <c r="J41" s="4154"/>
      <c r="K41" s="4154"/>
      <c r="L41" s="4154"/>
      <c r="M41" s="4154"/>
      <c r="N41" s="4154"/>
      <c r="O41" s="4153">
        <v>0</v>
      </c>
      <c r="P41" s="4154"/>
      <c r="Q41" s="4154"/>
      <c r="R41" s="4154"/>
      <c r="S41" s="4154"/>
      <c r="T41" s="4154"/>
      <c r="U41" s="4154"/>
      <c r="V41" s="4154"/>
      <c r="W41" s="4154"/>
      <c r="X41" s="4154"/>
      <c r="Y41" s="4154"/>
      <c r="Z41" s="4154"/>
      <c r="AA41" s="4111">
        <f t="shared" si="0"/>
        <v>0</v>
      </c>
      <c r="AB41" s="4133" t="s">
        <v>206</v>
      </c>
      <c r="AC41" s="4129"/>
      <c r="AD41" s="4154"/>
      <c r="AE41" s="4153">
        <v>0</v>
      </c>
      <c r="AF41" s="4126"/>
      <c r="AG41" s="4112"/>
      <c r="AH41" s="4111"/>
      <c r="AI41" s="4112">
        <f t="shared" ref="AI41:AI42" si="6">AA41*AE41/100</f>
        <v>0</v>
      </c>
      <c r="AJ41" s="4111"/>
      <c r="AK41" s="4113">
        <f t="shared" si="3"/>
        <v>0</v>
      </c>
      <c r="AL41" s="4102"/>
      <c r="AM41" s="4151"/>
      <c r="AN41" s="4151"/>
      <c r="AO41" s="4151"/>
      <c r="AP41" s="4151"/>
      <c r="AQ41" s="4151"/>
      <c r="AR41" s="4151"/>
      <c r="AS41" s="4151"/>
      <c r="AT41" s="4111"/>
    </row>
    <row r="42" spans="1:47" ht="15" customHeight="1" x14ac:dyDescent="0.2">
      <c r="A42" s="4150"/>
      <c r="B42" s="4151"/>
      <c r="C42" s="4154"/>
      <c r="D42" s="4154"/>
      <c r="E42" s="4154"/>
      <c r="F42" s="4154"/>
      <c r="G42" s="4154"/>
      <c r="H42" s="4154"/>
      <c r="I42" s="4154"/>
      <c r="J42" s="4154"/>
      <c r="K42" s="4154"/>
      <c r="L42" s="4154"/>
      <c r="M42" s="4154"/>
      <c r="N42" s="4154"/>
      <c r="O42" s="4153"/>
      <c r="P42" s="4153">
        <v>0</v>
      </c>
      <c r="Q42" s="4154"/>
      <c r="R42" s="4154"/>
      <c r="S42" s="4154"/>
      <c r="T42" s="4154"/>
      <c r="U42" s="4154"/>
      <c r="V42" s="4154"/>
      <c r="W42" s="4154"/>
      <c r="X42" s="4154"/>
      <c r="Y42" s="4154"/>
      <c r="Z42" s="4154"/>
      <c r="AA42" s="4111">
        <f t="shared" si="0"/>
        <v>0</v>
      </c>
      <c r="AB42" s="4133" t="s">
        <v>207</v>
      </c>
      <c r="AC42" s="4129"/>
      <c r="AD42" s="4154"/>
      <c r="AE42" s="4153">
        <v>100</v>
      </c>
      <c r="AF42" s="4126"/>
      <c r="AG42" s="4112">
        <f>AA42*AC42/100</f>
        <v>0</v>
      </c>
      <c r="AH42" s="4111"/>
      <c r="AI42" s="4112">
        <f t="shared" si="6"/>
        <v>0</v>
      </c>
      <c r="AJ42" s="4111"/>
      <c r="AK42" s="4113">
        <f t="shared" si="3"/>
        <v>0</v>
      </c>
      <c r="AL42" s="4102"/>
      <c r="AM42" s="4102"/>
      <c r="AN42" s="4151"/>
      <c r="AO42" s="4151"/>
      <c r="AP42" s="4151"/>
      <c r="AQ42" s="4151"/>
      <c r="AR42" s="4151"/>
      <c r="AS42" s="4151"/>
      <c r="AT42" s="4111"/>
    </row>
    <row r="43" spans="1:47" ht="15" customHeight="1" x14ac:dyDescent="0.2">
      <c r="A43" s="4150"/>
      <c r="B43" s="4150"/>
      <c r="C43" s="4157"/>
      <c r="D43" s="4157"/>
      <c r="E43" s="4157"/>
      <c r="F43" s="4157"/>
      <c r="G43" s="4157"/>
      <c r="H43" s="4157"/>
      <c r="I43" s="4157"/>
      <c r="J43" s="4154"/>
      <c r="K43" s="4154"/>
      <c r="L43" s="4154"/>
      <c r="M43" s="4157"/>
      <c r="N43" s="4157"/>
      <c r="O43" s="4157"/>
      <c r="P43" s="4157"/>
      <c r="Q43" s="4154"/>
      <c r="R43" s="4154"/>
      <c r="S43" s="4154"/>
      <c r="T43" s="4154"/>
      <c r="U43" s="4154"/>
      <c r="V43" s="4154"/>
      <c r="W43" s="4154"/>
      <c r="X43" s="4154"/>
      <c r="Y43" s="4154"/>
      <c r="Z43" s="4154"/>
      <c r="AA43" s="4111">
        <f t="shared" si="0"/>
        <v>0</v>
      </c>
      <c r="AB43" s="4133" t="s">
        <v>208</v>
      </c>
      <c r="AC43" s="4129"/>
      <c r="AD43" s="4154"/>
      <c r="AE43" s="4154"/>
      <c r="AF43" s="4127">
        <v>75</v>
      </c>
      <c r="AG43" s="4123"/>
      <c r="AH43" s="4122"/>
      <c r="AI43" s="4123">
        <f>-SUM(AI37:AI42)</f>
        <v>0</v>
      </c>
      <c r="AJ43" s="4122">
        <f>-AI43*AF43%</f>
        <v>0</v>
      </c>
      <c r="AK43" s="4113">
        <f t="shared" si="3"/>
        <v>0</v>
      </c>
      <c r="AL43" s="4101">
        <f>AJ43*64.9%</f>
        <v>0</v>
      </c>
      <c r="AM43" s="4101">
        <f>AJ43*9.8%</f>
        <v>0</v>
      </c>
      <c r="AN43" s="4153">
        <f>AJ43*13.2%</f>
        <v>0</v>
      </c>
      <c r="AO43" s="4153">
        <f>AJ43*7%</f>
        <v>0</v>
      </c>
      <c r="AP43" s="4153"/>
      <c r="AQ43" s="4153">
        <f>AJ43*3.6%</f>
        <v>0</v>
      </c>
      <c r="AR43" s="4153">
        <f>AJ43*1.5%</f>
        <v>0</v>
      </c>
      <c r="AS43" s="4153"/>
      <c r="AT43" s="4111"/>
    </row>
    <row r="44" spans="1:47" ht="15" customHeight="1" x14ac:dyDescent="0.2">
      <c r="A44" s="4150"/>
      <c r="B44" s="4151">
        <v>0</v>
      </c>
      <c r="C44" s="4151">
        <v>0</v>
      </c>
      <c r="D44" s="4151">
        <v>0</v>
      </c>
      <c r="E44" s="4151">
        <v>0</v>
      </c>
      <c r="F44" s="4151">
        <v>0</v>
      </c>
      <c r="G44" s="4151">
        <v>0</v>
      </c>
      <c r="H44" s="4151">
        <v>0</v>
      </c>
      <c r="I44" s="4151">
        <v>0</v>
      </c>
      <c r="J44" s="4156"/>
      <c r="K44" s="4154"/>
      <c r="L44" s="4154"/>
      <c r="M44" s="4151">
        <v>0</v>
      </c>
      <c r="N44" s="4151">
        <v>0</v>
      </c>
      <c r="O44" s="4151">
        <v>0</v>
      </c>
      <c r="P44" s="4151">
        <v>0</v>
      </c>
      <c r="Q44" s="4151">
        <v>0</v>
      </c>
      <c r="R44" s="4151">
        <v>0</v>
      </c>
      <c r="S44" s="4151">
        <v>0</v>
      </c>
      <c r="T44" s="4151">
        <v>0</v>
      </c>
      <c r="U44" s="4151">
        <v>0</v>
      </c>
      <c r="V44" s="4151">
        <v>0</v>
      </c>
      <c r="W44" s="4151">
        <v>0</v>
      </c>
      <c r="X44" s="4151">
        <v>0</v>
      </c>
      <c r="Y44" s="4151">
        <v>0</v>
      </c>
      <c r="Z44" s="4151">
        <v>0</v>
      </c>
      <c r="AA44" s="4111">
        <f t="shared" si="0"/>
        <v>0</v>
      </c>
      <c r="AB44" s="4133" t="s">
        <v>182</v>
      </c>
      <c r="AC44" s="4129">
        <v>0</v>
      </c>
      <c r="AD44" s="4154"/>
      <c r="AE44" s="4154">
        <v>0</v>
      </c>
      <c r="AF44" s="4127"/>
      <c r="AG44" s="4112">
        <f>AA44*AC44/100</f>
        <v>0</v>
      </c>
      <c r="AH44" s="4122"/>
      <c r="AI44" s="4123">
        <f>AA44*AE44/100</f>
        <v>0</v>
      </c>
      <c r="AJ44" s="4122"/>
      <c r="AK44" s="4113">
        <f t="shared" ref="AK44:AK59" si="7">SUM(AL44:AT44)</f>
        <v>0</v>
      </c>
      <c r="AL44" s="4101"/>
      <c r="AM44" s="4101"/>
      <c r="AN44" s="4153"/>
      <c r="AO44" s="4153"/>
      <c r="AP44" s="4153"/>
      <c r="AQ44" s="4153"/>
      <c r="AR44" s="4153"/>
      <c r="AS44" s="4153"/>
      <c r="AT44" s="4111"/>
    </row>
    <row r="45" spans="1:47" ht="15" customHeight="1" x14ac:dyDescent="0.2">
      <c r="A45" s="4150"/>
      <c r="B45" s="4151"/>
      <c r="C45" s="4154"/>
      <c r="D45" s="4153"/>
      <c r="E45" s="4153"/>
      <c r="F45" s="4154"/>
      <c r="G45" s="4154"/>
      <c r="H45" s="4154"/>
      <c r="I45" s="4153"/>
      <c r="J45" s="4153"/>
      <c r="K45" s="4153"/>
      <c r="L45" s="4153"/>
      <c r="M45" s="4154"/>
      <c r="N45" s="4154"/>
      <c r="O45" s="4154"/>
      <c r="P45" s="4154"/>
      <c r="Q45" s="4154"/>
      <c r="R45" s="4153"/>
      <c r="S45" s="4153"/>
      <c r="T45" s="4153"/>
      <c r="U45" s="4153"/>
      <c r="V45" s="4153"/>
      <c r="W45" s="4153"/>
      <c r="X45" s="4154"/>
      <c r="Y45" s="4154"/>
      <c r="Z45" s="4154"/>
      <c r="AA45" s="27">
        <f t="shared" si="0"/>
        <v>0</v>
      </c>
      <c r="AB45" s="4133" t="s">
        <v>183</v>
      </c>
      <c r="AC45" s="4129"/>
      <c r="AD45" s="4154"/>
      <c r="AE45" s="4153">
        <v>99</v>
      </c>
      <c r="AF45" s="4126"/>
      <c r="AG45" s="4123">
        <f>-AH45/$D$2%</f>
        <v>0</v>
      </c>
      <c r="AH45" s="4122"/>
      <c r="AI45" s="4123">
        <f>AA45*AE45%</f>
        <v>0</v>
      </c>
      <c r="AJ45" s="4122"/>
      <c r="AK45" s="4113">
        <f t="shared" si="7"/>
        <v>0</v>
      </c>
      <c r="AL45" s="4102"/>
      <c r="AM45" s="4151"/>
      <c r="AN45" s="4151"/>
      <c r="AO45" s="4151"/>
      <c r="AP45" s="4151"/>
      <c r="AQ45" s="4151"/>
      <c r="AR45" s="4151"/>
      <c r="AS45" s="4151"/>
      <c r="AT45" s="4111"/>
    </row>
    <row r="46" spans="1:47" ht="15" customHeight="1" x14ac:dyDescent="0.2">
      <c r="A46" s="4150"/>
      <c r="B46" s="4151"/>
      <c r="C46" s="4151"/>
      <c r="D46" s="4151"/>
      <c r="E46" s="4151"/>
      <c r="F46" s="4151"/>
      <c r="G46" s="4151"/>
      <c r="H46" s="4151"/>
      <c r="I46" s="4151"/>
      <c r="J46" s="4151"/>
      <c r="K46" s="4151"/>
      <c r="L46" s="4151"/>
      <c r="M46" s="4151"/>
      <c r="N46" s="4151"/>
      <c r="O46" s="4151"/>
      <c r="P46" s="4151"/>
      <c r="Q46" s="4153">
        <f>AI46-AH46</f>
        <v>0</v>
      </c>
      <c r="R46" s="4151"/>
      <c r="S46" s="4151"/>
      <c r="T46" s="4151"/>
      <c r="U46" s="4151"/>
      <c r="V46" s="4151"/>
      <c r="W46" s="4151"/>
      <c r="X46" s="4151"/>
      <c r="Y46" s="4151"/>
      <c r="Z46" s="4151"/>
      <c r="AA46" s="27">
        <f t="shared" si="0"/>
        <v>0</v>
      </c>
      <c r="AB46" s="4133" t="s">
        <v>184</v>
      </c>
      <c r="AC46" s="4123"/>
      <c r="AD46" s="4151"/>
      <c r="AE46" s="4153">
        <v>300</v>
      </c>
      <c r="AF46" s="4122"/>
      <c r="AG46" s="4123">
        <f>-AH46/$D$2%</f>
        <v>0</v>
      </c>
      <c r="AH46" s="4127"/>
      <c r="AI46" s="4123">
        <f>(AH46+I46)*AE46%</f>
        <v>0</v>
      </c>
      <c r="AJ46" s="4111"/>
      <c r="AK46" s="4113">
        <f t="shared" si="7"/>
        <v>0</v>
      </c>
      <c r="AL46" s="4102"/>
      <c r="AM46" s="4151"/>
      <c r="AN46" s="4151"/>
      <c r="AO46" s="4151"/>
      <c r="AP46" s="4151"/>
      <c r="AQ46" s="4151"/>
      <c r="AR46" s="4151"/>
      <c r="AS46" s="4151"/>
      <c r="AT46" s="4111"/>
    </row>
    <row r="47" spans="1:47" s="3" customFormat="1" ht="15" customHeight="1" x14ac:dyDescent="0.2">
      <c r="A47" s="4151"/>
      <c r="B47" s="4151"/>
      <c r="C47" s="4151"/>
      <c r="D47" s="4151"/>
      <c r="E47" s="4151"/>
      <c r="F47" s="4151"/>
      <c r="G47" s="4151"/>
      <c r="H47" s="4151"/>
      <c r="I47" s="4154"/>
      <c r="J47" s="4154"/>
      <c r="K47" s="4154"/>
      <c r="L47" s="4154"/>
      <c r="M47" s="4154"/>
      <c r="N47" s="4151"/>
      <c r="O47" s="4151"/>
      <c r="P47" s="4151"/>
      <c r="Q47" s="4151"/>
      <c r="R47" s="4151"/>
      <c r="S47" s="4151"/>
      <c r="T47" s="4151"/>
      <c r="U47" s="4151"/>
      <c r="V47" s="4151"/>
      <c r="W47" s="4151"/>
      <c r="X47" s="4151"/>
      <c r="Y47" s="4151"/>
      <c r="Z47" s="4151"/>
      <c r="AA47" s="27">
        <f t="shared" si="0"/>
        <v>0</v>
      </c>
      <c r="AB47" s="4133" t="s">
        <v>185</v>
      </c>
      <c r="AC47" s="4123"/>
      <c r="AD47" s="4151"/>
      <c r="AE47" s="4153">
        <v>100</v>
      </c>
      <c r="AF47" s="4122"/>
      <c r="AG47" s="4123">
        <f>-AH47/$D$2%</f>
        <v>0</v>
      </c>
      <c r="AH47" s="4127"/>
      <c r="AI47" s="4129">
        <f>AH47*AE47%</f>
        <v>0</v>
      </c>
      <c r="AJ47" s="4122"/>
      <c r="AK47" s="4113">
        <f t="shared" si="7"/>
        <v>0</v>
      </c>
      <c r="AL47" s="4102"/>
      <c r="AM47" s="4151"/>
      <c r="AN47" s="4151"/>
      <c r="AO47" s="4151"/>
      <c r="AP47" s="4151"/>
      <c r="AQ47" s="4151"/>
      <c r="AR47" s="4151"/>
      <c r="AS47" s="4151"/>
      <c r="AT47" s="4111"/>
    </row>
    <row r="48" spans="1:47" s="3" customFormat="1" ht="15" customHeight="1" x14ac:dyDescent="0.2">
      <c r="A48" s="4150"/>
      <c r="B48" s="4151"/>
      <c r="C48" s="4154"/>
      <c r="D48" s="4154"/>
      <c r="E48" s="4154"/>
      <c r="F48" s="4154"/>
      <c r="G48" s="4154"/>
      <c r="H48" s="4154"/>
      <c r="I48" s="4154"/>
      <c r="J48" s="4154"/>
      <c r="K48" s="4154"/>
      <c r="L48" s="4154"/>
      <c r="M48" s="4154"/>
      <c r="N48" s="4154"/>
      <c r="O48" s="4153"/>
      <c r="P48" s="4154"/>
      <c r="Q48" s="4154"/>
      <c r="R48" s="4154"/>
      <c r="S48" s="4154"/>
      <c r="T48" s="4154"/>
      <c r="U48" s="4154"/>
      <c r="V48" s="4154"/>
      <c r="W48" s="4154"/>
      <c r="X48" s="4154"/>
      <c r="Y48" s="4154"/>
      <c r="Z48" s="4154"/>
      <c r="AA48" s="27">
        <f t="shared" si="0"/>
        <v>0</v>
      </c>
      <c r="AB48" s="4133" t="s">
        <v>186</v>
      </c>
      <c r="AC48" s="4123"/>
      <c r="AD48" s="4151"/>
      <c r="AE48" s="4151">
        <v>100</v>
      </c>
      <c r="AF48" s="4122"/>
      <c r="AG48" s="4123"/>
      <c r="AH48" s="4122"/>
      <c r="AI48" s="4123">
        <f>AA48*AE48/100</f>
        <v>0</v>
      </c>
      <c r="AJ48" s="4122"/>
      <c r="AK48" s="4113">
        <f t="shared" si="7"/>
        <v>0</v>
      </c>
      <c r="AL48" s="4102"/>
      <c r="AM48" s="4151"/>
      <c r="AN48" s="4151"/>
      <c r="AO48" s="4151"/>
      <c r="AP48" s="4151"/>
      <c r="AQ48" s="4151"/>
      <c r="AR48" s="4151"/>
      <c r="AS48" s="4151"/>
      <c r="AT48" s="4111"/>
    </row>
    <row r="49" spans="1:46" ht="15" customHeight="1" x14ac:dyDescent="0.2">
      <c r="A49" s="4150"/>
      <c r="B49" s="4151"/>
      <c r="C49" s="4154"/>
      <c r="D49" s="4154"/>
      <c r="E49" s="4154"/>
      <c r="F49" s="4154"/>
      <c r="G49" s="4154"/>
      <c r="H49" s="4154"/>
      <c r="I49" s="4154"/>
      <c r="J49" s="4154"/>
      <c r="K49" s="4154"/>
      <c r="L49" s="4154"/>
      <c r="M49" s="4154"/>
      <c r="N49" s="4154"/>
      <c r="O49" s="4153"/>
      <c r="P49" s="4154"/>
      <c r="Q49" s="4154"/>
      <c r="R49" s="4154"/>
      <c r="S49" s="4154"/>
      <c r="T49" s="4154"/>
      <c r="U49" s="4154"/>
      <c r="V49" s="4154"/>
      <c r="W49" s="4154"/>
      <c r="X49" s="4154"/>
      <c r="Y49" s="4154"/>
      <c r="Z49" s="4154"/>
      <c r="AA49" s="27">
        <f t="shared" si="0"/>
        <v>0</v>
      </c>
      <c r="AB49" s="4133" t="s">
        <v>187</v>
      </c>
      <c r="AC49" s="4129"/>
      <c r="AD49" s="4154"/>
      <c r="AE49" s="4153">
        <v>100</v>
      </c>
      <c r="AF49" s="4126"/>
      <c r="AG49" s="4123">
        <f>AA49*AC49%</f>
        <v>0</v>
      </c>
      <c r="AH49" s="4122"/>
      <c r="AI49" s="4123">
        <f>AA49*AE49%</f>
        <v>0</v>
      </c>
      <c r="AJ49" s="4122"/>
      <c r="AK49" s="4113">
        <f t="shared" si="7"/>
        <v>0</v>
      </c>
      <c r="AL49" s="4102"/>
      <c r="AM49" s="4151"/>
      <c r="AN49" s="4151"/>
      <c r="AO49" s="4151"/>
      <c r="AP49" s="4151"/>
      <c r="AQ49" s="4151"/>
      <c r="AR49" s="4151"/>
      <c r="AS49" s="4151"/>
      <c r="AT49" s="4111"/>
    </row>
    <row r="50" spans="1:46" ht="15" customHeight="1" x14ac:dyDescent="0.2">
      <c r="A50" s="4112"/>
      <c r="B50" s="4150"/>
      <c r="C50" s="4157"/>
      <c r="D50" s="4157"/>
      <c r="E50" s="4157"/>
      <c r="F50" s="4157"/>
      <c r="G50" s="4157"/>
      <c r="H50" s="4157"/>
      <c r="I50" s="4153"/>
      <c r="J50" s="4153"/>
      <c r="K50" s="4153"/>
      <c r="L50" s="4153"/>
      <c r="M50" s="4157"/>
      <c r="N50" s="4157"/>
      <c r="O50" s="4157"/>
      <c r="P50" s="4157"/>
      <c r="Q50" s="4154"/>
      <c r="R50" s="4154"/>
      <c r="S50" s="4154"/>
      <c r="T50" s="4154"/>
      <c r="U50" s="4154"/>
      <c r="V50" s="4154"/>
      <c r="W50" s="4154"/>
      <c r="X50" s="4154"/>
      <c r="Y50" s="4154"/>
      <c r="Z50" s="4154"/>
      <c r="AA50" s="27">
        <f t="shared" si="0"/>
        <v>0</v>
      </c>
      <c r="AB50" s="4133" t="s">
        <v>188</v>
      </c>
      <c r="AC50" s="4129"/>
      <c r="AD50" s="4154"/>
      <c r="AE50" s="4154">
        <v>100</v>
      </c>
      <c r="AF50" s="4126"/>
      <c r="AG50" s="4123"/>
      <c r="AH50" s="4122"/>
      <c r="AI50" s="4123"/>
      <c r="AJ50" s="4122"/>
      <c r="AK50" s="4113">
        <f t="shared" si="7"/>
        <v>0</v>
      </c>
      <c r="AL50" s="4102"/>
      <c r="AM50" s="4151"/>
      <c r="AN50" s="4151"/>
      <c r="AO50" s="4151"/>
      <c r="AP50" s="4151"/>
      <c r="AQ50" s="4151"/>
      <c r="AR50" s="4151"/>
      <c r="AS50" s="4151"/>
      <c r="AT50" s="4111"/>
    </row>
    <row r="51" spans="1:46" ht="15" customHeight="1" x14ac:dyDescent="0.2">
      <c r="A51" s="4150"/>
      <c r="B51" s="4150"/>
      <c r="C51" s="4157"/>
      <c r="D51" s="4157"/>
      <c r="E51" s="4157"/>
      <c r="F51" s="4157"/>
      <c r="G51" s="4157"/>
      <c r="H51" s="4157"/>
      <c r="I51" s="4157"/>
      <c r="J51" s="4154"/>
      <c r="K51" s="4154"/>
      <c r="L51" s="4154"/>
      <c r="M51" s="4157"/>
      <c r="N51" s="4157"/>
      <c r="O51" s="4157"/>
      <c r="P51" s="4157"/>
      <c r="Q51" s="4154"/>
      <c r="R51" s="4157"/>
      <c r="S51" s="4157"/>
      <c r="T51" s="4157"/>
      <c r="U51" s="4157"/>
      <c r="V51" s="4157"/>
      <c r="W51" s="4157"/>
      <c r="X51" s="4157"/>
      <c r="Y51" s="4157"/>
      <c r="Z51" s="4157"/>
      <c r="AA51" s="27">
        <f t="shared" si="0"/>
        <v>0</v>
      </c>
      <c r="AB51" s="4133" t="s">
        <v>189</v>
      </c>
      <c r="AC51" s="4129"/>
      <c r="AD51" s="4154"/>
      <c r="AE51" s="4154"/>
      <c r="AF51" s="4127">
        <v>75</v>
      </c>
      <c r="AG51" s="4123"/>
      <c r="AH51" s="4122"/>
      <c r="AI51" s="4130">
        <f>-SUM(AI44:AI50)</f>
        <v>0</v>
      </c>
      <c r="AJ51" s="4122">
        <f>-AI51*AF51/100</f>
        <v>0</v>
      </c>
      <c r="AK51" s="4113">
        <f t="shared" si="7"/>
        <v>0</v>
      </c>
      <c r="AL51" s="4101">
        <f>AJ51*64.9%</f>
        <v>0</v>
      </c>
      <c r="AM51" s="4101">
        <f>AJ51*9.8%</f>
        <v>0</v>
      </c>
      <c r="AN51" s="4153">
        <f>AJ51*13.2%</f>
        <v>0</v>
      </c>
      <c r="AO51" s="4153">
        <f>AJ51*7%</f>
        <v>0</v>
      </c>
      <c r="AP51" s="4153"/>
      <c r="AQ51" s="4153">
        <f>AJ51*3.6%</f>
        <v>0</v>
      </c>
      <c r="AR51" s="4153">
        <f>AJ51*1.5%</f>
        <v>0</v>
      </c>
      <c r="AS51" s="4153"/>
      <c r="AT51" s="4111"/>
    </row>
    <row r="52" spans="1:46" ht="15" customHeight="1" x14ac:dyDescent="0.2">
      <c r="A52" s="4150"/>
      <c r="B52" s="4153">
        <v>0</v>
      </c>
      <c r="C52" s="4153">
        <v>0</v>
      </c>
      <c r="D52" s="4153">
        <v>0</v>
      </c>
      <c r="E52" s="4153">
        <v>0</v>
      </c>
      <c r="F52" s="4153">
        <v>0</v>
      </c>
      <c r="G52" s="4153">
        <v>0</v>
      </c>
      <c r="H52" s="4153">
        <v>0</v>
      </c>
      <c r="I52" s="4153">
        <v>0</v>
      </c>
      <c r="J52" s="4156"/>
      <c r="K52" s="4154"/>
      <c r="L52" s="4154"/>
      <c r="M52" s="4153">
        <v>0</v>
      </c>
      <c r="N52" s="4153">
        <v>0</v>
      </c>
      <c r="O52" s="4153">
        <v>0</v>
      </c>
      <c r="P52" s="4153">
        <v>0</v>
      </c>
      <c r="Q52" s="4153">
        <v>0</v>
      </c>
      <c r="R52" s="4153">
        <v>0</v>
      </c>
      <c r="S52" s="4153">
        <v>0</v>
      </c>
      <c r="T52" s="4153">
        <v>0</v>
      </c>
      <c r="U52" s="4153">
        <v>0</v>
      </c>
      <c r="V52" s="4153">
        <v>0</v>
      </c>
      <c r="W52" s="4153">
        <v>0</v>
      </c>
      <c r="X52" s="4153">
        <v>0</v>
      </c>
      <c r="Y52" s="4153">
        <v>0</v>
      </c>
      <c r="Z52" s="4153">
        <v>0</v>
      </c>
      <c r="AA52" s="27">
        <f t="shared" si="0"/>
        <v>0</v>
      </c>
      <c r="AB52" s="4133" t="s">
        <v>190</v>
      </c>
      <c r="AC52" s="4125">
        <v>0</v>
      </c>
      <c r="AD52" s="4154"/>
      <c r="AE52" s="4153">
        <v>0</v>
      </c>
      <c r="AF52" s="4126"/>
      <c r="AG52" s="4112">
        <f t="shared" ref="AG52:AG54" si="8">AC52/100*AA52</f>
        <v>0</v>
      </c>
      <c r="AH52" s="4111"/>
      <c r="AI52" s="4112">
        <f>AA52*AE52/100</f>
        <v>0</v>
      </c>
      <c r="AJ52" s="4111"/>
      <c r="AK52" s="4113">
        <f t="shared" si="7"/>
        <v>0</v>
      </c>
      <c r="AL52" s="4102"/>
      <c r="AM52" s="4151"/>
      <c r="AN52" s="4151"/>
      <c r="AO52" s="4151"/>
      <c r="AP52" s="4151"/>
      <c r="AQ52" s="4151"/>
      <c r="AR52" s="4151"/>
      <c r="AS52" s="4151"/>
      <c r="AT52" s="4111"/>
    </row>
    <row r="53" spans="1:46" ht="15" customHeight="1" x14ac:dyDescent="0.2">
      <c r="A53" s="4150"/>
      <c r="B53" s="4151">
        <v>0</v>
      </c>
      <c r="C53" s="4151">
        <v>0</v>
      </c>
      <c r="D53" s="4151">
        <v>0</v>
      </c>
      <c r="E53" s="4151">
        <v>0</v>
      </c>
      <c r="F53" s="4151">
        <v>0</v>
      </c>
      <c r="G53" s="4151">
        <v>0</v>
      </c>
      <c r="H53" s="4151">
        <v>0</v>
      </c>
      <c r="I53" s="4151">
        <v>0</v>
      </c>
      <c r="J53" s="4156"/>
      <c r="K53" s="4153"/>
      <c r="L53" s="4153"/>
      <c r="M53" s="4151">
        <v>0</v>
      </c>
      <c r="N53" s="4151">
        <v>0</v>
      </c>
      <c r="O53" s="4151">
        <v>0</v>
      </c>
      <c r="P53" s="4151">
        <v>0</v>
      </c>
      <c r="Q53" s="4151">
        <v>0</v>
      </c>
      <c r="R53" s="4151">
        <v>0</v>
      </c>
      <c r="S53" s="4151">
        <v>0</v>
      </c>
      <c r="T53" s="4151">
        <v>0</v>
      </c>
      <c r="U53" s="4151">
        <v>0</v>
      </c>
      <c r="V53" s="4151">
        <v>0</v>
      </c>
      <c r="W53" s="4151">
        <v>0</v>
      </c>
      <c r="X53" s="4151">
        <v>0</v>
      </c>
      <c r="Y53" s="4151">
        <v>0</v>
      </c>
      <c r="Z53" s="4151">
        <v>0</v>
      </c>
      <c r="AA53" s="27">
        <f t="shared" si="0"/>
        <v>0</v>
      </c>
      <c r="AB53" s="4133" t="s">
        <v>191</v>
      </c>
      <c r="AC53" s="4129"/>
      <c r="AD53" s="4154"/>
      <c r="AE53" s="4153">
        <v>0</v>
      </c>
      <c r="AF53" s="4126"/>
      <c r="AG53" s="4112">
        <f t="shared" si="8"/>
        <v>0</v>
      </c>
      <c r="AH53" s="4111"/>
      <c r="AI53" s="4112">
        <f>AA53*AE53/100</f>
        <v>0</v>
      </c>
      <c r="AJ53" s="4111"/>
      <c r="AK53" s="4113">
        <f t="shared" si="7"/>
        <v>0</v>
      </c>
      <c r="AL53" s="4102"/>
      <c r="AM53" s="4151"/>
      <c r="AN53" s="4151"/>
      <c r="AO53" s="4151"/>
      <c r="AP53" s="4151"/>
      <c r="AQ53" s="4151"/>
      <c r="AR53" s="4151"/>
      <c r="AS53" s="4151"/>
      <c r="AT53" s="4111"/>
    </row>
    <row r="54" spans="1:46" ht="15" customHeight="1" x14ac:dyDescent="0.2">
      <c r="A54" s="4150"/>
      <c r="B54" s="4150"/>
      <c r="C54" s="4151"/>
      <c r="D54" s="4151"/>
      <c r="E54" s="4151"/>
      <c r="F54" s="4151"/>
      <c r="G54" s="4151"/>
      <c r="H54" s="4151"/>
      <c r="I54" s="4151"/>
      <c r="J54" s="4151"/>
      <c r="K54" s="4151"/>
      <c r="L54" s="4151"/>
      <c r="M54" s="4150"/>
      <c r="N54" s="4150"/>
      <c r="O54" s="4150"/>
      <c r="P54" s="4150"/>
      <c r="Q54" s="4151"/>
      <c r="R54" s="4150"/>
      <c r="S54" s="4151"/>
      <c r="T54" s="4150"/>
      <c r="U54" s="4153"/>
      <c r="V54" s="4151"/>
      <c r="W54" s="4150"/>
      <c r="X54" s="4150"/>
      <c r="Y54" s="4151"/>
      <c r="Z54" s="4150"/>
      <c r="AA54" s="27">
        <f t="shared" si="0"/>
        <v>0</v>
      </c>
      <c r="AB54" s="4133" t="s">
        <v>192</v>
      </c>
      <c r="AC54" s="4129"/>
      <c r="AD54" s="4154"/>
      <c r="AE54" s="4154">
        <v>100</v>
      </c>
      <c r="AF54" s="4126"/>
      <c r="AG54" s="4112">
        <f t="shared" si="8"/>
        <v>0</v>
      </c>
      <c r="AH54" s="4127"/>
      <c r="AI54" s="4123">
        <v>0</v>
      </c>
      <c r="AJ54" s="4111"/>
      <c r="AK54" s="4113">
        <f t="shared" si="7"/>
        <v>0</v>
      </c>
      <c r="AL54" s="4102"/>
      <c r="AM54" s="4151"/>
      <c r="AN54" s="4151"/>
      <c r="AO54" s="4151"/>
      <c r="AP54" s="4151"/>
      <c r="AQ54" s="4151"/>
      <c r="AR54" s="4151"/>
      <c r="AS54" s="4151"/>
      <c r="AT54" s="4111"/>
    </row>
    <row r="55" spans="1:46" ht="15" customHeight="1" x14ac:dyDescent="0.2">
      <c r="A55" s="4150"/>
      <c r="B55" s="4150"/>
      <c r="C55" s="4150"/>
      <c r="D55" s="4150"/>
      <c r="E55" s="4150"/>
      <c r="F55" s="4150"/>
      <c r="G55" s="4150"/>
      <c r="H55" s="4150"/>
      <c r="I55" s="4150"/>
      <c r="J55" s="4151"/>
      <c r="K55" s="4151"/>
      <c r="L55" s="4151"/>
      <c r="M55" s="4150"/>
      <c r="N55" s="4150"/>
      <c r="O55" s="4150"/>
      <c r="P55" s="4150"/>
      <c r="Q55" s="4150"/>
      <c r="R55" s="4150"/>
      <c r="S55" s="4150"/>
      <c r="T55" s="4150"/>
      <c r="U55" s="4150"/>
      <c r="V55" s="4150"/>
      <c r="W55" s="4150"/>
      <c r="X55" s="4150"/>
      <c r="Y55" s="4151"/>
      <c r="Z55" s="4150"/>
      <c r="AA55" s="27">
        <f t="shared" si="0"/>
        <v>0</v>
      </c>
      <c r="AB55" s="4106" t="s">
        <v>193</v>
      </c>
      <c r="AC55" s="4130"/>
      <c r="AD55" s="4157"/>
      <c r="AE55" s="4157"/>
      <c r="AF55" s="1674"/>
      <c r="AG55" s="4112">
        <f>-AH55</f>
        <v>0</v>
      </c>
      <c r="AH55" s="4126">
        <v>0</v>
      </c>
      <c r="AI55" s="4129"/>
      <c r="AJ55" s="4111"/>
      <c r="AK55" s="4113">
        <f t="shared" si="7"/>
        <v>0</v>
      </c>
      <c r="AL55" s="4102"/>
      <c r="AM55" s="4151"/>
      <c r="AN55" s="4151"/>
      <c r="AO55" s="4151"/>
      <c r="AP55" s="4151"/>
      <c r="AQ55" s="4151">
        <f>AH55</f>
        <v>0</v>
      </c>
      <c r="AR55" s="4151"/>
      <c r="AS55" s="4151"/>
      <c r="AT55" s="4111"/>
    </row>
    <row r="56" spans="1:46" ht="15" customHeight="1" x14ac:dyDescent="0.2">
      <c r="A56" s="4150"/>
      <c r="B56" s="4150"/>
      <c r="C56" s="4150"/>
      <c r="D56" s="4150"/>
      <c r="E56" s="4150"/>
      <c r="F56" s="4150"/>
      <c r="G56" s="4150"/>
      <c r="H56" s="4150"/>
      <c r="I56" s="4150"/>
      <c r="J56" s="4151"/>
      <c r="K56" s="4151"/>
      <c r="L56" s="4151"/>
      <c r="M56" s="4150"/>
      <c r="N56" s="4150"/>
      <c r="O56" s="4150"/>
      <c r="P56" s="4150"/>
      <c r="Q56" s="4150"/>
      <c r="R56" s="4150"/>
      <c r="S56" s="4150"/>
      <c r="T56" s="4150"/>
      <c r="U56" s="4150"/>
      <c r="V56" s="4150"/>
      <c r="W56" s="4150"/>
      <c r="X56" s="4150"/>
      <c r="Y56" s="4150"/>
      <c r="Z56" s="4150"/>
      <c r="AA56" s="27">
        <f t="shared" si="0"/>
        <v>0</v>
      </c>
      <c r="AB56" s="4106" t="s">
        <v>4014</v>
      </c>
      <c r="AC56" s="4130"/>
      <c r="AD56" s="4157"/>
      <c r="AE56" s="4157"/>
      <c r="AF56" s="4126"/>
      <c r="AG56" s="4112"/>
      <c r="AH56" s="4126"/>
      <c r="AI56" s="4129">
        <v>0</v>
      </c>
      <c r="AJ56" s="4111"/>
      <c r="AK56" s="4113">
        <f t="shared" si="7"/>
        <v>0</v>
      </c>
      <c r="AL56" s="4102"/>
      <c r="AM56" s="4151"/>
      <c r="AN56" s="4151"/>
      <c r="AO56" s="4151"/>
      <c r="AP56" s="4151"/>
      <c r="AQ56" s="4151">
        <f>-AI56</f>
        <v>0</v>
      </c>
      <c r="AR56" s="4151"/>
      <c r="AS56" s="4151"/>
      <c r="AT56" s="4111"/>
    </row>
    <row r="57" spans="1:46" ht="15" customHeight="1" x14ac:dyDescent="0.2">
      <c r="A57" s="4150"/>
      <c r="B57" s="4150"/>
      <c r="C57" s="4150"/>
      <c r="D57" s="4150"/>
      <c r="E57" s="4150"/>
      <c r="F57" s="4150"/>
      <c r="G57" s="4150"/>
      <c r="H57" s="4150"/>
      <c r="I57" s="4150"/>
      <c r="J57" s="4151"/>
      <c r="K57" s="4151"/>
      <c r="L57" s="4151"/>
      <c r="M57" s="4150"/>
      <c r="N57" s="4150"/>
      <c r="O57" s="4150"/>
      <c r="P57" s="4150"/>
      <c r="Q57" s="4150"/>
      <c r="R57" s="4150"/>
      <c r="S57" s="4150"/>
      <c r="T57" s="4150"/>
      <c r="U57" s="4150"/>
      <c r="V57" s="4150"/>
      <c r="W57" s="4150"/>
      <c r="X57" s="4150"/>
      <c r="Y57" s="4150"/>
      <c r="Z57" s="4150"/>
      <c r="AA57" s="27">
        <f t="shared" si="0"/>
        <v>0</v>
      </c>
      <c r="AB57" s="4133" t="s">
        <v>194</v>
      </c>
      <c r="AC57" s="4130">
        <v>65</v>
      </c>
      <c r="AD57" s="4157"/>
      <c r="AE57" s="4157">
        <v>15</v>
      </c>
      <c r="AF57" s="4126"/>
      <c r="AG57" s="4112">
        <f>-AH57/$D$2%</f>
        <v>0</v>
      </c>
      <c r="AH57" s="4126"/>
      <c r="AI57" s="4129">
        <f>AH57*AE57%</f>
        <v>0</v>
      </c>
      <c r="AJ57" s="4111">
        <f>AI57*AF60%</f>
        <v>0</v>
      </c>
      <c r="AK57" s="4113">
        <f t="shared" si="7"/>
        <v>0</v>
      </c>
      <c r="AL57" s="4102"/>
      <c r="AM57" s="4102"/>
      <c r="AN57" s="4151"/>
      <c r="AO57" s="4151"/>
      <c r="AP57" s="4151"/>
      <c r="AQ57" s="4151"/>
      <c r="AR57" s="4151"/>
      <c r="AS57" s="4151"/>
      <c r="AT57" s="4111"/>
    </row>
    <row r="58" spans="1:46" ht="15" customHeight="1" x14ac:dyDescent="0.2">
      <c r="A58" s="4150"/>
      <c r="B58" s="4150"/>
      <c r="C58" s="4150"/>
      <c r="D58" s="4150"/>
      <c r="E58" s="4150"/>
      <c r="F58" s="4150"/>
      <c r="G58" s="4150"/>
      <c r="H58" s="4150"/>
      <c r="I58" s="4150"/>
      <c r="J58" s="4151"/>
      <c r="K58" s="4151"/>
      <c r="L58" s="4151"/>
      <c r="M58" s="4150"/>
      <c r="N58" s="4150"/>
      <c r="O58" s="4150"/>
      <c r="P58" s="4150"/>
      <c r="Q58" s="4150"/>
      <c r="R58" s="4150"/>
      <c r="S58" s="4150"/>
      <c r="T58" s="4150"/>
      <c r="U58" s="4150"/>
      <c r="V58" s="4150"/>
      <c r="W58" s="4150"/>
      <c r="X58" s="4150"/>
      <c r="Y58" s="4150"/>
      <c r="Z58" s="4150"/>
      <c r="AA58" s="27">
        <f t="shared" si="0"/>
        <v>0</v>
      </c>
      <c r="AB58" s="4133" t="s">
        <v>195</v>
      </c>
      <c r="AC58" s="4130">
        <v>630</v>
      </c>
      <c r="AD58" s="4157"/>
      <c r="AE58" s="4157"/>
      <c r="AF58" s="4126"/>
      <c r="AG58" s="4112">
        <f>-AH58/$D$2%</f>
        <v>0</v>
      </c>
      <c r="AH58" s="4126"/>
      <c r="AI58" s="4129">
        <f t="shared" ref="AI58:AI59" si="9">AH58*AE58%</f>
        <v>0</v>
      </c>
      <c r="AJ58" s="4111">
        <f t="shared" ref="AJ58:AJ59" si="10">AI58*AF61%</f>
        <v>0</v>
      </c>
      <c r="AK58" s="4113">
        <f t="shared" si="7"/>
        <v>0</v>
      </c>
      <c r="AL58" s="4102"/>
      <c r="AM58" s="4102"/>
      <c r="AN58" s="4151"/>
      <c r="AO58" s="4151"/>
      <c r="AP58" s="4151"/>
      <c r="AQ58" s="4151"/>
      <c r="AR58" s="4151"/>
      <c r="AS58" s="4151"/>
      <c r="AT58" s="4111"/>
    </row>
    <row r="59" spans="1:46" ht="15" customHeight="1" x14ac:dyDescent="0.2">
      <c r="A59" s="4150"/>
      <c r="B59" s="4150"/>
      <c r="C59" s="4150"/>
      <c r="D59" s="4150"/>
      <c r="E59" s="4150"/>
      <c r="F59" s="4150"/>
      <c r="G59" s="4150"/>
      <c r="H59" s="4150"/>
      <c r="I59" s="4150"/>
      <c r="J59" s="4151"/>
      <c r="K59" s="4151"/>
      <c r="L59" s="4151"/>
      <c r="M59" s="4150"/>
      <c r="N59" s="4150"/>
      <c r="O59" s="4150"/>
      <c r="P59" s="4150"/>
      <c r="Q59" s="4150"/>
      <c r="R59" s="4150"/>
      <c r="S59" s="4150"/>
      <c r="T59" s="4150"/>
      <c r="U59" s="4150"/>
      <c r="V59" s="4150"/>
      <c r="W59" s="4150"/>
      <c r="X59" s="4150"/>
      <c r="Y59" s="4150"/>
      <c r="Z59" s="4150"/>
      <c r="AA59" s="27">
        <f t="shared" si="0"/>
        <v>0</v>
      </c>
      <c r="AB59" s="4133" t="s">
        <v>196</v>
      </c>
      <c r="AC59" s="4130"/>
      <c r="AD59" s="4157"/>
      <c r="AE59" s="4157"/>
      <c r="AF59" s="4126"/>
      <c r="AG59" s="4112">
        <f>-AH59/$D$2%</f>
        <v>0</v>
      </c>
      <c r="AH59" s="4126"/>
      <c r="AI59" s="4129">
        <f t="shared" si="9"/>
        <v>0</v>
      </c>
      <c r="AJ59" s="4111">
        <f t="shared" si="10"/>
        <v>0</v>
      </c>
      <c r="AK59" s="4113">
        <f t="shared" si="7"/>
        <v>0</v>
      </c>
      <c r="AL59" s="4102"/>
      <c r="AM59" s="4102"/>
      <c r="AN59" s="4151"/>
      <c r="AO59" s="4151"/>
      <c r="AP59" s="4151"/>
      <c r="AQ59" s="4151"/>
      <c r="AR59" s="4151"/>
      <c r="AS59" s="4151"/>
      <c r="AT59" s="4111"/>
    </row>
    <row r="60" spans="1:46" ht="15" customHeight="1" x14ac:dyDescent="0.2">
      <c r="A60" s="4150"/>
      <c r="B60" s="4150"/>
      <c r="C60" s="4150"/>
      <c r="D60" s="4150"/>
      <c r="E60" s="4150"/>
      <c r="F60" s="4150"/>
      <c r="G60" s="4150"/>
      <c r="H60" s="4150"/>
      <c r="I60" s="4150"/>
      <c r="J60" s="4151"/>
      <c r="K60" s="4151"/>
      <c r="L60" s="4151"/>
      <c r="M60" s="4150"/>
      <c r="N60" s="4150"/>
      <c r="O60" s="4150"/>
      <c r="P60" s="4150"/>
      <c r="Q60" s="4150"/>
      <c r="R60" s="4150"/>
      <c r="S60" s="4151"/>
      <c r="T60" s="4150"/>
      <c r="U60" s="4150"/>
      <c r="V60" s="4150"/>
      <c r="W60" s="4150"/>
      <c r="X60" s="4150"/>
      <c r="Y60" s="4150"/>
      <c r="Z60" s="4150"/>
      <c r="AA60" s="27">
        <f t="shared" si="0"/>
        <v>0</v>
      </c>
      <c r="AB60" s="4133" t="s">
        <v>197</v>
      </c>
      <c r="AC60" s="4130"/>
      <c r="AD60" s="4157"/>
      <c r="AE60" s="4157"/>
      <c r="AF60" s="4127">
        <v>75</v>
      </c>
      <c r="AG60" s="4112"/>
      <c r="AH60" s="4111"/>
      <c r="AI60" s="4112">
        <f>-SUM(AI52:AI59)</f>
        <v>0</v>
      </c>
      <c r="AJ60" s="4111">
        <f>-AI60*AF60/100</f>
        <v>0</v>
      </c>
      <c r="AK60" s="4113">
        <f t="shared" ref="AK60:AK61" si="11">SUM(AL60:AT60)</f>
        <v>0</v>
      </c>
      <c r="AL60" s="4101">
        <f>AJ60*64.9%</f>
        <v>0</v>
      </c>
      <c r="AM60" s="4101">
        <f>AJ60*9.8%</f>
        <v>0</v>
      </c>
      <c r="AN60" s="4153">
        <f>AJ60*13.2%</f>
        <v>0</v>
      </c>
      <c r="AO60" s="4153">
        <f>AJ60*7%</f>
        <v>0</v>
      </c>
      <c r="AP60" s="4153"/>
      <c r="AQ60" s="4153">
        <f>AJ60*3.6%</f>
        <v>0</v>
      </c>
      <c r="AR60" s="4153">
        <f>AJ60*1.5%</f>
        <v>0</v>
      </c>
      <c r="AS60" s="4153"/>
      <c r="AT60" s="4111"/>
    </row>
    <row r="61" spans="1:46" ht="15" customHeight="1" x14ac:dyDescent="0.2">
      <c r="A61" s="4112"/>
      <c r="B61" s="4150"/>
      <c r="C61" s="4150"/>
      <c r="D61" s="4150"/>
      <c r="E61" s="4150"/>
      <c r="F61" s="4154"/>
      <c r="G61" s="4154"/>
      <c r="H61" s="4153">
        <f>AA61-S61</f>
        <v>26.46</v>
      </c>
      <c r="I61" s="4154"/>
      <c r="J61" s="4154"/>
      <c r="K61" s="4154"/>
      <c r="L61" s="4154"/>
      <c r="M61" s="4154"/>
      <c r="N61" s="4154"/>
      <c r="O61" s="4154"/>
      <c r="P61" s="4154"/>
      <c r="Q61" s="4154"/>
      <c r="R61" s="4154"/>
      <c r="S61" s="4153">
        <f>AA61*0%</f>
        <v>0</v>
      </c>
      <c r="T61" s="4151"/>
      <c r="U61" s="4151"/>
      <c r="V61" s="4151"/>
      <c r="W61" s="4151"/>
      <c r="X61" s="4151"/>
      <c r="Y61" s="4151"/>
      <c r="Z61" s="4151"/>
      <c r="AA61" s="4153">
        <v>26.46</v>
      </c>
      <c r="AB61" s="4133" t="s">
        <v>198</v>
      </c>
      <c r="AC61" s="4123"/>
      <c r="AD61" s="4151">
        <v>19</v>
      </c>
      <c r="AE61" s="4151"/>
      <c r="AF61" s="4111"/>
      <c r="AG61" s="4112"/>
      <c r="AH61" s="4111"/>
      <c r="AI61" s="4112"/>
      <c r="AJ61" s="4111"/>
      <c r="AK61" s="4113">
        <f t="shared" si="11"/>
        <v>5.0274000000000001</v>
      </c>
      <c r="AL61" s="4103"/>
      <c r="AM61" s="4150"/>
      <c r="AN61" s="4150"/>
      <c r="AO61" s="4150"/>
      <c r="AP61" s="4150"/>
      <c r="AQ61" s="4150"/>
      <c r="AR61" s="4150"/>
      <c r="AS61" s="4150"/>
      <c r="AT61" s="4111">
        <f>AA61*AD61/100</f>
        <v>5.0274000000000001</v>
      </c>
    </row>
    <row r="62" spans="1:46" ht="15" customHeight="1" x14ac:dyDescent="0.2">
      <c r="A62" s="4112"/>
      <c r="B62" s="4150"/>
      <c r="C62" s="4150"/>
      <c r="D62" s="4150"/>
      <c r="E62" s="4150"/>
      <c r="F62" s="4153">
        <f>AA62-S62</f>
        <v>8.61</v>
      </c>
      <c r="G62" s="4154"/>
      <c r="H62" s="4154"/>
      <c r="I62" s="4154"/>
      <c r="J62" s="4154"/>
      <c r="K62" s="4154"/>
      <c r="L62" s="4154"/>
      <c r="M62" s="4154"/>
      <c r="N62" s="4154"/>
      <c r="O62" s="4154"/>
      <c r="P62" s="4154"/>
      <c r="Q62" s="4154"/>
      <c r="R62" s="4154"/>
      <c r="S62" s="4153">
        <f>AA62*0%</f>
        <v>0</v>
      </c>
      <c r="T62" s="4151"/>
      <c r="U62" s="4151"/>
      <c r="V62" s="4151"/>
      <c r="W62" s="4151"/>
      <c r="X62" s="4151"/>
      <c r="Y62" s="4151"/>
      <c r="Z62" s="4151"/>
      <c r="AA62" s="4153">
        <v>8.61</v>
      </c>
      <c r="AB62" s="4133" t="s">
        <v>199</v>
      </c>
      <c r="AC62" s="4123"/>
      <c r="AD62" s="4151">
        <v>24.3</v>
      </c>
      <c r="AE62" s="4151"/>
      <c r="AF62" s="4111"/>
      <c r="AG62" s="4112"/>
      <c r="AH62" s="4111"/>
      <c r="AI62" s="4112"/>
      <c r="AJ62" s="4111"/>
      <c r="AK62" s="4113">
        <f t="shared" ref="AK62:AK80" si="12">SUM(AL62:AT62)</f>
        <v>2.0922299999999998</v>
      </c>
      <c r="AL62" s="4103"/>
      <c r="AM62" s="4150"/>
      <c r="AN62" s="4150"/>
      <c r="AO62" s="4150"/>
      <c r="AP62" s="4150"/>
      <c r="AQ62" s="4150"/>
      <c r="AR62" s="4150"/>
      <c r="AS62" s="4150"/>
      <c r="AT62" s="4111">
        <f>AA62*AD62/100</f>
        <v>2.0922299999999998</v>
      </c>
    </row>
    <row r="63" spans="1:46" ht="15" customHeight="1" x14ac:dyDescent="0.2">
      <c r="A63" s="4112"/>
      <c r="B63" s="4150"/>
      <c r="C63" s="4150"/>
      <c r="D63" s="4150"/>
      <c r="E63" s="4150"/>
      <c r="F63" s="4153"/>
      <c r="G63" s="4154"/>
      <c r="H63" s="4154"/>
      <c r="I63" s="4153">
        <v>0</v>
      </c>
      <c r="J63" s="4154"/>
      <c r="K63" s="4154"/>
      <c r="L63" s="4154"/>
      <c r="M63" s="4154"/>
      <c r="N63" s="4154"/>
      <c r="O63" s="4154"/>
      <c r="P63" s="4154"/>
      <c r="Q63" s="4154"/>
      <c r="R63" s="4154"/>
      <c r="S63" s="4153"/>
      <c r="T63" s="4151"/>
      <c r="U63" s="4151"/>
      <c r="V63" s="4151"/>
      <c r="W63" s="4151"/>
      <c r="X63" s="4151"/>
      <c r="Y63" s="4151"/>
      <c r="Z63" s="4151"/>
      <c r="AA63" s="4159">
        <f t="shared" ref="AA63:AA66" si="13">SUM(A63:Z63)</f>
        <v>0</v>
      </c>
      <c r="AB63" s="4121" t="s">
        <v>524</v>
      </c>
      <c r="AC63" s="4123"/>
      <c r="AD63" s="4151">
        <v>22.6</v>
      </c>
      <c r="AE63" s="4151"/>
      <c r="AF63" s="4111"/>
      <c r="AG63" s="4112"/>
      <c r="AH63" s="4111"/>
      <c r="AI63" s="4112"/>
      <c r="AJ63" s="4111"/>
      <c r="AK63" s="4113">
        <f t="shared" si="12"/>
        <v>0</v>
      </c>
      <c r="AL63" s="4103"/>
      <c r="AM63" s="4150"/>
      <c r="AN63" s="4150"/>
      <c r="AO63" s="4150"/>
      <c r="AP63" s="4150"/>
      <c r="AQ63" s="4150"/>
      <c r="AR63" s="4150"/>
      <c r="AS63" s="4150"/>
      <c r="AT63" s="4111">
        <f>AA63*AD63/100</f>
        <v>0</v>
      </c>
    </row>
    <row r="64" spans="1:46" ht="15" customHeight="1" x14ac:dyDescent="0.2">
      <c r="A64" s="4112"/>
      <c r="B64" s="4150"/>
      <c r="C64" s="4150"/>
      <c r="D64" s="4150"/>
      <c r="E64" s="4150"/>
      <c r="F64" s="4153"/>
      <c r="G64" s="4154"/>
      <c r="H64" s="4154"/>
      <c r="I64" s="4154"/>
      <c r="J64" s="4154"/>
      <c r="K64" s="4154"/>
      <c r="L64" s="4154"/>
      <c r="M64" s="4154"/>
      <c r="N64" s="4154"/>
      <c r="O64" s="4154"/>
      <c r="P64" s="4154"/>
      <c r="Q64" s="4154"/>
      <c r="R64" s="4154"/>
      <c r="S64" s="4153"/>
      <c r="T64" s="4151"/>
      <c r="U64" s="4151"/>
      <c r="V64" s="4151"/>
      <c r="W64" s="4151"/>
      <c r="X64" s="4151"/>
      <c r="Y64" s="4151"/>
      <c r="Z64" s="4151"/>
      <c r="AA64" s="4159">
        <f t="shared" si="13"/>
        <v>0</v>
      </c>
      <c r="AB64" s="4128" t="s">
        <v>525</v>
      </c>
      <c r="AC64" s="4123">
        <v>67.7</v>
      </c>
      <c r="AD64" s="4151"/>
      <c r="AE64" s="4151"/>
      <c r="AF64" s="4111"/>
      <c r="AG64" s="4112">
        <f t="shared" ref="AG64:AG65" si="14">-AH64/$D$2%</f>
        <v>0</v>
      </c>
      <c r="AH64" s="4153">
        <v>0</v>
      </c>
      <c r="AI64" s="4112"/>
      <c r="AJ64" s="4111"/>
      <c r="AK64" s="4113">
        <f t="shared" ref="AK64" si="15">SUM(AL64:AT64)</f>
        <v>0</v>
      </c>
      <c r="AL64" s="4103"/>
      <c r="AM64" s="4150"/>
      <c r="AN64" s="4150"/>
      <c r="AO64" s="4150"/>
      <c r="AP64" s="4150"/>
      <c r="AQ64" s="4150"/>
      <c r="AR64" s="4150"/>
      <c r="AS64" s="4150"/>
      <c r="AT64" s="4111">
        <f>AH64*AC64%</f>
        <v>0</v>
      </c>
    </row>
    <row r="65" spans="1:46" ht="15" customHeight="1" x14ac:dyDescent="0.2">
      <c r="A65" s="4112"/>
      <c r="B65" s="4150"/>
      <c r="C65" s="4150"/>
      <c r="D65" s="4150"/>
      <c r="E65" s="4150"/>
      <c r="F65" s="4153"/>
      <c r="G65" s="4154"/>
      <c r="H65" s="4154">
        <f>AA65-S65</f>
        <v>0</v>
      </c>
      <c r="I65" s="4154"/>
      <c r="J65" s="4154"/>
      <c r="K65" s="4154"/>
      <c r="L65" s="4154"/>
      <c r="M65" s="4154"/>
      <c r="N65" s="4154"/>
      <c r="O65" s="4154"/>
      <c r="P65" s="4154"/>
      <c r="Q65" s="4154"/>
      <c r="R65" s="4154"/>
      <c r="S65" s="4153">
        <f>AA65*0%</f>
        <v>0</v>
      </c>
      <c r="T65" s="4151"/>
      <c r="U65" s="4151"/>
      <c r="V65" s="4151"/>
      <c r="W65" s="4151"/>
      <c r="X65" s="4151"/>
      <c r="Y65" s="4151"/>
      <c r="Z65" s="4151"/>
      <c r="AA65" s="4153">
        <v>0</v>
      </c>
      <c r="AB65" s="4133" t="s">
        <v>520</v>
      </c>
      <c r="AC65" s="4123">
        <f>AC64</f>
        <v>67.7</v>
      </c>
      <c r="AD65" s="4151">
        <v>19</v>
      </c>
      <c r="AE65" s="4151"/>
      <c r="AF65" s="4111"/>
      <c r="AG65" s="4112">
        <f t="shared" si="14"/>
        <v>0</v>
      </c>
      <c r="AH65" s="4153">
        <f>AA65*AD65%/AC65%</f>
        <v>0</v>
      </c>
      <c r="AI65" s="4112"/>
      <c r="AJ65" s="4111"/>
      <c r="AK65" s="4113">
        <f t="shared" si="12"/>
        <v>0</v>
      </c>
      <c r="AL65" s="4103"/>
      <c r="AM65" s="4150"/>
      <c r="AN65" s="4150"/>
      <c r="AO65" s="4150"/>
      <c r="AP65" s="4150"/>
      <c r="AQ65" s="4150"/>
      <c r="AR65" s="4150"/>
      <c r="AS65" s="4150"/>
      <c r="AT65" s="4111">
        <f>AH65*AC65%+AA65*AD65%</f>
        <v>0</v>
      </c>
    </row>
    <row r="66" spans="1:46" ht="15" customHeight="1" x14ac:dyDescent="0.2">
      <c r="A66" s="4112"/>
      <c r="B66" s="4150"/>
      <c r="C66" s="4150"/>
      <c r="D66" s="4150"/>
      <c r="E66" s="4150"/>
      <c r="F66" s="4153"/>
      <c r="G66" s="4154"/>
      <c r="H66" s="4154"/>
      <c r="I66" s="4154"/>
      <c r="J66" s="4154"/>
      <c r="K66" s="4154"/>
      <c r="L66" s="4154"/>
      <c r="M66" s="4154"/>
      <c r="N66" s="4154"/>
      <c r="O66" s="4154"/>
      <c r="P66" s="4154"/>
      <c r="Q66" s="4154"/>
      <c r="R66" s="4154"/>
      <c r="S66" s="4153"/>
      <c r="T66" s="4151"/>
      <c r="U66" s="4151"/>
      <c r="V66" s="4151"/>
      <c r="W66" s="4151"/>
      <c r="X66" s="4151"/>
      <c r="Y66" s="4151"/>
      <c r="Z66" s="4151"/>
      <c r="AA66" s="4159">
        <f t="shared" si="13"/>
        <v>0</v>
      </c>
      <c r="AB66" s="4121" t="s">
        <v>519</v>
      </c>
      <c r="AC66" s="4123"/>
      <c r="AD66" s="4151">
        <v>36.4</v>
      </c>
      <c r="AE66" s="4151"/>
      <c r="AF66" s="4111"/>
      <c r="AG66" s="4112"/>
      <c r="AH66" s="4111"/>
      <c r="AI66" s="4112"/>
      <c r="AJ66" s="4111"/>
      <c r="AK66" s="4113">
        <f t="shared" si="12"/>
        <v>0</v>
      </c>
      <c r="AL66" s="4103"/>
      <c r="AM66" s="4150"/>
      <c r="AN66" s="4150"/>
      <c r="AO66" s="4150"/>
      <c r="AP66" s="4150"/>
      <c r="AQ66" s="4150"/>
      <c r="AR66" s="4150"/>
      <c r="AS66" s="4150"/>
      <c r="AT66" s="4111">
        <f>AA66*AD66%</f>
        <v>0</v>
      </c>
    </row>
    <row r="67" spans="1:46" ht="15" customHeight="1" x14ac:dyDescent="0.2">
      <c r="A67" s="4112"/>
      <c r="B67" s="4150"/>
      <c r="C67" s="4150"/>
      <c r="D67" s="4150"/>
      <c r="E67" s="4150"/>
      <c r="F67" s="4153">
        <f>AA67-S67</f>
        <v>3.34</v>
      </c>
      <c r="G67" s="4154"/>
      <c r="H67" s="4154"/>
      <c r="I67" s="4154"/>
      <c r="J67" s="4154"/>
      <c r="K67" s="4154"/>
      <c r="L67" s="4154"/>
      <c r="M67" s="4154"/>
      <c r="N67" s="4154"/>
      <c r="O67" s="4154"/>
      <c r="P67" s="4154"/>
      <c r="Q67" s="4154"/>
      <c r="R67" s="4154"/>
      <c r="S67" s="4153">
        <f>AA67*0%</f>
        <v>0</v>
      </c>
      <c r="T67" s="4151"/>
      <c r="U67" s="4151"/>
      <c r="V67" s="4151"/>
      <c r="W67" s="4151"/>
      <c r="X67" s="4151"/>
      <c r="Y67" s="4151"/>
      <c r="Z67" s="4151"/>
      <c r="AA67" s="4153">
        <v>3.34</v>
      </c>
      <c r="AB67" s="4107" t="s">
        <v>200</v>
      </c>
      <c r="AC67" s="4123"/>
      <c r="AD67" s="4151">
        <v>29.6</v>
      </c>
      <c r="AE67" s="4151"/>
      <c r="AF67" s="4111"/>
      <c r="AG67" s="4112">
        <f>-AH67/$D$2%</f>
        <v>0</v>
      </c>
      <c r="AH67" s="4111"/>
      <c r="AI67" s="4112"/>
      <c r="AJ67" s="4111"/>
      <c r="AK67" s="4113">
        <f t="shared" si="12"/>
        <v>0.98864000000000007</v>
      </c>
      <c r="AL67" s="4103"/>
      <c r="AM67" s="4150"/>
      <c r="AN67" s="4150"/>
      <c r="AO67" s="4150"/>
      <c r="AP67" s="4150"/>
      <c r="AQ67" s="4150"/>
      <c r="AR67" s="4150"/>
      <c r="AS67" s="4150"/>
      <c r="AT67" s="4111">
        <f>AA67*AD67%</f>
        <v>0.98864000000000007</v>
      </c>
    </row>
    <row r="68" spans="1:46" ht="15" customHeight="1" x14ac:dyDescent="0.2">
      <c r="A68" s="4112"/>
      <c r="B68" s="4150"/>
      <c r="C68" s="4150"/>
      <c r="D68" s="4150"/>
      <c r="E68" s="4150"/>
      <c r="F68" s="4153"/>
      <c r="G68" s="4154"/>
      <c r="H68" s="4154"/>
      <c r="I68" s="4153">
        <v>0</v>
      </c>
      <c r="J68" s="4154"/>
      <c r="K68" s="4154"/>
      <c r="L68" s="4154"/>
      <c r="M68" s="4154"/>
      <c r="N68" s="4154"/>
      <c r="O68" s="4154"/>
      <c r="P68" s="4154"/>
      <c r="Q68" s="4154"/>
      <c r="R68" s="4154"/>
      <c r="S68" s="4153"/>
      <c r="T68" s="4151"/>
      <c r="U68" s="4151"/>
      <c r="V68" s="4151"/>
      <c r="W68" s="4151"/>
      <c r="X68" s="4151"/>
      <c r="Y68" s="4151"/>
      <c r="Z68" s="4151"/>
      <c r="AA68" s="300">
        <f t="shared" ref="AA68:AA70" si="16">SUM(A68:Z68)</f>
        <v>0</v>
      </c>
      <c r="AB68" s="4108" t="s">
        <v>515</v>
      </c>
      <c r="AC68" s="4123"/>
      <c r="AD68" s="4151">
        <v>26.1</v>
      </c>
      <c r="AE68" s="4151"/>
      <c r="AF68" s="4111"/>
      <c r="AG68" s="4112"/>
      <c r="AH68" s="4111"/>
      <c r="AI68" s="4112"/>
      <c r="AJ68" s="4111"/>
      <c r="AK68" s="4113">
        <f t="shared" si="12"/>
        <v>0</v>
      </c>
      <c r="AL68" s="4103"/>
      <c r="AM68" s="4150"/>
      <c r="AN68" s="4150"/>
      <c r="AO68" s="4150"/>
      <c r="AP68" s="4150"/>
      <c r="AQ68" s="4150"/>
      <c r="AR68" s="4150"/>
      <c r="AS68" s="4150"/>
      <c r="AT68" s="4111">
        <f>AA68*AD68%</f>
        <v>0</v>
      </c>
    </row>
    <row r="69" spans="1:46" ht="15" customHeight="1" x14ac:dyDescent="0.2">
      <c r="A69" s="4112"/>
      <c r="B69" s="4150"/>
      <c r="C69" s="4150"/>
      <c r="D69" s="4150"/>
      <c r="E69" s="4150"/>
      <c r="F69" s="4153"/>
      <c r="G69" s="4154"/>
      <c r="H69" s="4154"/>
      <c r="I69" s="4154"/>
      <c r="J69" s="4154"/>
      <c r="K69" s="4154"/>
      <c r="L69" s="4154"/>
      <c r="M69" s="4154"/>
      <c r="N69" s="4154"/>
      <c r="O69" s="4154"/>
      <c r="P69" s="4154"/>
      <c r="Q69" s="4154"/>
      <c r="R69" s="4154"/>
      <c r="S69" s="4153"/>
      <c r="T69" s="4151"/>
      <c r="U69" s="4151"/>
      <c r="V69" s="4151"/>
      <c r="W69" s="4151"/>
      <c r="X69" s="4151"/>
      <c r="Y69" s="4151"/>
      <c r="Z69" s="4151"/>
      <c r="AA69" s="300">
        <f t="shared" si="16"/>
        <v>0</v>
      </c>
      <c r="AB69" s="4108" t="s">
        <v>516</v>
      </c>
      <c r="AC69" s="4123"/>
      <c r="AD69" s="4151">
        <v>36.4</v>
      </c>
      <c r="AE69" s="4151"/>
      <c r="AF69" s="4111"/>
      <c r="AG69" s="4112"/>
      <c r="AH69" s="4111"/>
      <c r="AI69" s="4112"/>
      <c r="AJ69" s="4111"/>
      <c r="AK69" s="4113">
        <f t="shared" si="12"/>
        <v>0</v>
      </c>
      <c r="AL69" s="4103"/>
      <c r="AM69" s="4150"/>
      <c r="AN69" s="4150"/>
      <c r="AO69" s="4150"/>
      <c r="AP69" s="4150"/>
      <c r="AQ69" s="4150"/>
      <c r="AR69" s="4150"/>
      <c r="AS69" s="4150"/>
      <c r="AT69" s="4111">
        <f t="shared" ref="AT69" si="17">AA69*AD69%</f>
        <v>0</v>
      </c>
    </row>
    <row r="70" spans="1:46" ht="15" customHeight="1" x14ac:dyDescent="0.2">
      <c r="A70" s="4112"/>
      <c r="B70" s="4150"/>
      <c r="C70" s="4150"/>
      <c r="D70" s="4150"/>
      <c r="E70" s="4150"/>
      <c r="F70" s="4153"/>
      <c r="G70" s="4154"/>
      <c r="H70" s="4154"/>
      <c r="I70" s="4154"/>
      <c r="J70" s="4154"/>
      <c r="K70" s="4154"/>
      <c r="L70" s="4154"/>
      <c r="M70" s="4154"/>
      <c r="N70" s="4154"/>
      <c r="O70" s="4154"/>
      <c r="P70" s="4154"/>
      <c r="Q70" s="4154"/>
      <c r="R70" s="4154"/>
      <c r="S70" s="4153"/>
      <c r="T70" s="4151"/>
      <c r="U70" s="4151"/>
      <c r="V70" s="4151"/>
      <c r="W70" s="4151"/>
      <c r="X70" s="4151"/>
      <c r="Y70" s="4151"/>
      <c r="Z70" s="4151"/>
      <c r="AA70" s="300">
        <f t="shared" si="16"/>
        <v>0</v>
      </c>
      <c r="AB70" s="4107" t="s">
        <v>526</v>
      </c>
      <c r="AC70" s="4123">
        <v>67.7</v>
      </c>
      <c r="AD70" s="4151"/>
      <c r="AE70" s="4151"/>
      <c r="AF70" s="4111"/>
      <c r="AG70" s="4112">
        <f t="shared" ref="AG70" si="18">-AH70/$D$2%</f>
        <v>0</v>
      </c>
      <c r="AH70" s="4153"/>
      <c r="AI70" s="4112"/>
      <c r="AJ70" s="4111"/>
      <c r="AK70" s="4113">
        <f t="shared" ref="AK70:AK79" si="19">SUM(AL70:AT70)</f>
        <v>0</v>
      </c>
      <c r="AL70" s="4103"/>
      <c r="AM70" s="4150"/>
      <c r="AN70" s="4150"/>
      <c r="AO70" s="4150"/>
      <c r="AP70" s="4150"/>
      <c r="AQ70" s="4150"/>
      <c r="AR70" s="4150"/>
      <c r="AS70" s="4150"/>
      <c r="AT70" s="4111">
        <f>AH70*AC70%</f>
        <v>0</v>
      </c>
    </row>
    <row r="71" spans="1:46" ht="15" customHeight="1" x14ac:dyDescent="0.2">
      <c r="A71" s="4112"/>
      <c r="B71" s="4150"/>
      <c r="C71" s="4150"/>
      <c r="D71" s="4150"/>
      <c r="E71" s="4150"/>
      <c r="F71" s="4153">
        <f>AA71-S71</f>
        <v>8.5299999999999994</v>
      </c>
      <c r="G71" s="4154"/>
      <c r="H71" s="4154"/>
      <c r="I71" s="4154"/>
      <c r="J71" s="4154"/>
      <c r="K71" s="4154"/>
      <c r="L71" s="4154"/>
      <c r="M71" s="4154"/>
      <c r="N71" s="4154"/>
      <c r="O71" s="4154"/>
      <c r="P71" s="4154"/>
      <c r="Q71" s="4154"/>
      <c r="R71" s="4154"/>
      <c r="S71" s="4153">
        <f>AA71*0%</f>
        <v>0</v>
      </c>
      <c r="T71" s="4151"/>
      <c r="U71" s="4151"/>
      <c r="V71" s="4151"/>
      <c r="W71" s="4151"/>
      <c r="X71" s="4151"/>
      <c r="Y71" s="4151"/>
      <c r="Z71" s="4151"/>
      <c r="AA71" s="300">
        <v>8.5299999999999994</v>
      </c>
      <c r="AB71" s="4107" t="s">
        <v>201</v>
      </c>
      <c r="AC71" s="4123"/>
      <c r="AD71" s="4151">
        <v>36.5</v>
      </c>
      <c r="AE71" s="4151"/>
      <c r="AF71" s="4111"/>
      <c r="AG71" s="4112"/>
      <c r="AH71" s="4122"/>
      <c r="AI71" s="4112"/>
      <c r="AJ71" s="4111"/>
      <c r="AK71" s="4113">
        <f t="shared" si="19"/>
        <v>3.1134499999999998</v>
      </c>
      <c r="AL71" s="4103"/>
      <c r="AM71" s="4150"/>
      <c r="AN71" s="4150"/>
      <c r="AO71" s="4150"/>
      <c r="AP71" s="4150"/>
      <c r="AQ71" s="4150"/>
      <c r="AR71" s="4150"/>
      <c r="AS71" s="4150"/>
      <c r="AT71" s="4111">
        <f>AA71*AD71%</f>
        <v>3.1134499999999998</v>
      </c>
    </row>
    <row r="72" spans="1:46" ht="15" customHeight="1" x14ac:dyDescent="0.2">
      <c r="A72" s="4112"/>
      <c r="B72" s="4150"/>
      <c r="C72" s="4150"/>
      <c r="D72" s="4150"/>
      <c r="E72" s="4150"/>
      <c r="F72" s="4153"/>
      <c r="G72" s="4154"/>
      <c r="H72" s="4154"/>
      <c r="I72" s="4154">
        <v>0</v>
      </c>
      <c r="J72" s="4154"/>
      <c r="K72" s="4154"/>
      <c r="L72" s="4154"/>
      <c r="M72" s="4154"/>
      <c r="N72" s="4154"/>
      <c r="O72" s="4154"/>
      <c r="P72" s="4154"/>
      <c r="Q72" s="4154"/>
      <c r="R72" s="4154"/>
      <c r="S72" s="4153"/>
      <c r="T72" s="4151"/>
      <c r="U72" s="4151"/>
      <c r="V72" s="4151"/>
      <c r="W72" s="4151"/>
      <c r="X72" s="4151"/>
      <c r="Y72" s="4151"/>
      <c r="Z72" s="4151"/>
      <c r="AA72" s="300">
        <f t="shared" ref="AA72:AA74" si="20">SUM(A72:Z72)</f>
        <v>0</v>
      </c>
      <c r="AB72" s="4108" t="s">
        <v>517</v>
      </c>
      <c r="AC72" s="4123"/>
      <c r="AD72" s="4151">
        <v>32.200000000000003</v>
      </c>
      <c r="AE72" s="4151"/>
      <c r="AF72" s="4111"/>
      <c r="AG72" s="4112"/>
      <c r="AH72" s="4122"/>
      <c r="AI72" s="4112"/>
      <c r="AJ72" s="4111"/>
      <c r="AK72" s="4113">
        <f t="shared" si="19"/>
        <v>0</v>
      </c>
      <c r="AL72" s="4103"/>
      <c r="AM72" s="4150"/>
      <c r="AN72" s="4150"/>
      <c r="AO72" s="4150"/>
      <c r="AP72" s="4150"/>
      <c r="AQ72" s="4150"/>
      <c r="AR72" s="4150"/>
      <c r="AS72" s="4150"/>
      <c r="AT72" s="4111">
        <f>AA72*AD72%</f>
        <v>0</v>
      </c>
    </row>
    <row r="73" spans="1:46" ht="15" customHeight="1" x14ac:dyDescent="0.2">
      <c r="A73" s="4112"/>
      <c r="B73" s="4150"/>
      <c r="C73" s="4150"/>
      <c r="D73" s="4150"/>
      <c r="E73" s="4150"/>
      <c r="F73" s="4153"/>
      <c r="G73" s="4154"/>
      <c r="H73" s="4154"/>
      <c r="I73" s="4154"/>
      <c r="J73" s="4154"/>
      <c r="K73" s="4154"/>
      <c r="L73" s="4154"/>
      <c r="M73" s="4154"/>
      <c r="N73" s="4154"/>
      <c r="O73" s="4154"/>
      <c r="P73" s="4154"/>
      <c r="Q73" s="4154"/>
      <c r="R73" s="4154"/>
      <c r="S73" s="4153"/>
      <c r="T73" s="4151"/>
      <c r="U73" s="4150"/>
      <c r="V73" s="4150"/>
      <c r="W73" s="4150"/>
      <c r="X73" s="4150"/>
      <c r="Y73" s="4150"/>
      <c r="Z73" s="4150"/>
      <c r="AA73" s="27">
        <f t="shared" si="20"/>
        <v>0</v>
      </c>
      <c r="AB73" s="4108" t="s">
        <v>518</v>
      </c>
      <c r="AC73" s="4123"/>
      <c r="AD73" s="4151">
        <v>36.4</v>
      </c>
      <c r="AE73" s="4151"/>
      <c r="AF73" s="4111"/>
      <c r="AG73" s="4112"/>
      <c r="AH73" s="4122"/>
      <c r="AI73" s="4112"/>
      <c r="AJ73" s="4111"/>
      <c r="AK73" s="4113">
        <f t="shared" si="19"/>
        <v>0</v>
      </c>
      <c r="AL73" s="4103"/>
      <c r="AM73" s="4150"/>
      <c r="AN73" s="4150"/>
      <c r="AO73" s="4150"/>
      <c r="AP73" s="4150"/>
      <c r="AQ73" s="4150"/>
      <c r="AR73" s="4150"/>
      <c r="AS73" s="4150"/>
      <c r="AT73" s="4111">
        <f t="shared" ref="AT73" si="21">AA73*AD73%</f>
        <v>0</v>
      </c>
    </row>
    <row r="74" spans="1:46" ht="15" customHeight="1" x14ac:dyDescent="0.2">
      <c r="A74" s="4112"/>
      <c r="B74" s="4150"/>
      <c r="C74" s="4150"/>
      <c r="D74" s="4150"/>
      <c r="E74" s="4150"/>
      <c r="F74" s="4153"/>
      <c r="G74" s="4154"/>
      <c r="H74" s="4154"/>
      <c r="I74" s="4154"/>
      <c r="J74" s="4154"/>
      <c r="K74" s="4154"/>
      <c r="L74" s="4154"/>
      <c r="M74" s="4154"/>
      <c r="N74" s="4154"/>
      <c r="O74" s="4154"/>
      <c r="P74" s="4154"/>
      <c r="Q74" s="4154"/>
      <c r="R74" s="4154"/>
      <c r="S74" s="4153"/>
      <c r="T74" s="4151"/>
      <c r="U74" s="4150"/>
      <c r="V74" s="4150"/>
      <c r="W74" s="4150"/>
      <c r="X74" s="4150"/>
      <c r="Y74" s="4150"/>
      <c r="Z74" s="4150"/>
      <c r="AA74" s="27">
        <f t="shared" si="20"/>
        <v>0</v>
      </c>
      <c r="AB74" s="4107" t="s">
        <v>527</v>
      </c>
      <c r="AC74" s="4123">
        <f>AC70</f>
        <v>67.7</v>
      </c>
      <c r="AD74" s="4151"/>
      <c r="AE74" s="4151"/>
      <c r="AF74" s="4111"/>
      <c r="AG74" s="4112">
        <f t="shared" ref="AG74" si="22">-AH74/$D$2%</f>
        <v>0</v>
      </c>
      <c r="AH74" s="4153"/>
      <c r="AI74" s="4112"/>
      <c r="AJ74" s="4111"/>
      <c r="AK74" s="4113">
        <f t="shared" si="19"/>
        <v>0</v>
      </c>
      <c r="AL74" s="4103"/>
      <c r="AM74" s="4150"/>
      <c r="AN74" s="4150"/>
      <c r="AO74" s="4150"/>
      <c r="AP74" s="4150"/>
      <c r="AQ74" s="4150"/>
      <c r="AR74" s="4150"/>
      <c r="AS74" s="4150"/>
      <c r="AT74" s="4111">
        <f>AH74*AC74%</f>
        <v>0</v>
      </c>
    </row>
    <row r="75" spans="1:46" ht="15" customHeight="1" x14ac:dyDescent="0.2">
      <c r="A75" s="4112"/>
      <c r="B75" s="4150"/>
      <c r="C75" s="4150"/>
      <c r="D75" s="4150"/>
      <c r="E75" s="4150"/>
      <c r="F75" s="4153">
        <v>7.0269586273894555</v>
      </c>
      <c r="G75" s="4154"/>
      <c r="H75" s="4154"/>
      <c r="I75" s="4154"/>
      <c r="J75" s="4154"/>
      <c r="K75" s="4154"/>
      <c r="L75" s="4154"/>
      <c r="M75" s="4154"/>
      <c r="N75" s="4154"/>
      <c r="O75" s="4154"/>
      <c r="P75" s="4154"/>
      <c r="Q75" s="4154"/>
      <c r="R75" s="4154"/>
      <c r="S75" s="4153"/>
      <c r="T75" s="4150"/>
      <c r="U75" s="4150"/>
      <c r="V75" s="4150"/>
      <c r="W75" s="4150"/>
      <c r="X75" s="4150"/>
      <c r="Y75" s="4150"/>
      <c r="Z75" s="4150"/>
      <c r="AA75" s="27">
        <f t="shared" si="0"/>
        <v>7.0269586273894555</v>
      </c>
      <c r="AB75" s="4107" t="s">
        <v>202</v>
      </c>
      <c r="AC75" s="4112"/>
      <c r="AD75" s="4150">
        <v>36.5</v>
      </c>
      <c r="AE75" s="4150"/>
      <c r="AF75" s="4111"/>
      <c r="AG75" s="4112"/>
      <c r="AH75" s="4111"/>
      <c r="AI75" s="4112"/>
      <c r="AJ75" s="4111"/>
      <c r="AK75" s="4113">
        <f t="shared" si="19"/>
        <v>2.564839898997151</v>
      </c>
      <c r="AL75" s="4103"/>
      <c r="AM75" s="4150"/>
      <c r="AN75" s="4150"/>
      <c r="AO75" s="4150"/>
      <c r="AP75" s="4150"/>
      <c r="AQ75" s="4150"/>
      <c r="AR75" s="4150"/>
      <c r="AS75" s="4150">
        <f>AA75*AD75%</f>
        <v>2.564839898997151</v>
      </c>
      <c r="AT75" s="4111"/>
    </row>
    <row r="76" spans="1:46" ht="15" customHeight="1" x14ac:dyDescent="0.2">
      <c r="A76" s="4112"/>
      <c r="B76" s="4150"/>
      <c r="C76" s="4150"/>
      <c r="D76" s="4150"/>
      <c r="E76" s="4150"/>
      <c r="F76" s="4153">
        <f>AA76-S76</f>
        <v>0</v>
      </c>
      <c r="G76" s="4154"/>
      <c r="H76" s="4154"/>
      <c r="I76" s="4154"/>
      <c r="J76" s="4154"/>
      <c r="K76" s="4154"/>
      <c r="L76" s="4154"/>
      <c r="M76" s="4154"/>
      <c r="N76" s="4154"/>
      <c r="O76" s="4154"/>
      <c r="P76" s="4154"/>
      <c r="Q76" s="4154"/>
      <c r="R76" s="4154"/>
      <c r="S76" s="4154">
        <f>AA76*0</f>
        <v>0</v>
      </c>
      <c r="T76" s="4150"/>
      <c r="U76" s="4150"/>
      <c r="V76" s="4150"/>
      <c r="W76" s="4150"/>
      <c r="X76" s="4150"/>
      <c r="Y76" s="4150"/>
      <c r="Z76" s="4150"/>
      <c r="AA76" s="4122">
        <v>0</v>
      </c>
      <c r="AB76" s="4107" t="s">
        <v>587</v>
      </c>
      <c r="AC76" s="4112"/>
      <c r="AD76" s="4150">
        <v>10.4</v>
      </c>
      <c r="AE76" s="4150"/>
      <c r="AF76" s="4111"/>
      <c r="AG76" s="4112"/>
      <c r="AH76" s="4111"/>
      <c r="AI76" s="4112"/>
      <c r="AJ76" s="4111"/>
      <c r="AK76" s="4113">
        <f t="shared" si="19"/>
        <v>0</v>
      </c>
      <c r="AL76" s="4103"/>
      <c r="AM76" s="4150"/>
      <c r="AN76" s="4150"/>
      <c r="AO76" s="4150"/>
      <c r="AP76" s="4150"/>
      <c r="AQ76" s="4150"/>
      <c r="AR76" s="4150"/>
      <c r="AS76" s="4150"/>
      <c r="AT76" s="4111">
        <f>AA76*AD76%</f>
        <v>0</v>
      </c>
    </row>
    <row r="77" spans="1:46" ht="15" customHeight="1" x14ac:dyDescent="0.2">
      <c r="A77" s="4112"/>
      <c r="B77" s="4150"/>
      <c r="C77" s="4150"/>
      <c r="D77" s="4150"/>
      <c r="E77" s="4150"/>
      <c r="F77" s="4153">
        <f>AA77-S77</f>
        <v>1.961507860425528</v>
      </c>
      <c r="G77" s="4154"/>
      <c r="H77" s="4154"/>
      <c r="I77" s="4154"/>
      <c r="J77" s="4154"/>
      <c r="K77" s="4154"/>
      <c r="L77" s="4154"/>
      <c r="M77" s="4154"/>
      <c r="N77" s="4154"/>
      <c r="O77" s="4154"/>
      <c r="P77" s="4154"/>
      <c r="Q77" s="4154"/>
      <c r="R77" s="4154"/>
      <c r="S77" s="4154">
        <f>AA77*0</f>
        <v>0</v>
      </c>
      <c r="T77" s="4150"/>
      <c r="U77" s="4150"/>
      <c r="V77" s="4150"/>
      <c r="W77" s="4150"/>
      <c r="X77" s="4150"/>
      <c r="Y77" s="4150"/>
      <c r="Z77" s="4150"/>
      <c r="AA77" s="4122">
        <v>1.961507860425528</v>
      </c>
      <c r="AB77" s="4107" t="s">
        <v>588</v>
      </c>
      <c r="AC77" s="4112"/>
      <c r="AD77" s="4150">
        <v>21.7</v>
      </c>
      <c r="AE77" s="4150"/>
      <c r="AF77" s="4111"/>
      <c r="AG77" s="4112"/>
      <c r="AH77" s="4111"/>
      <c r="AI77" s="4112"/>
      <c r="AJ77" s="4111"/>
      <c r="AK77" s="4113">
        <f t="shared" si="19"/>
        <v>0.4256472057123396</v>
      </c>
      <c r="AL77" s="4103"/>
      <c r="AM77" s="4150"/>
      <c r="AN77" s="4150"/>
      <c r="AO77" s="4150"/>
      <c r="AP77" s="4150"/>
      <c r="AQ77" s="4150"/>
      <c r="AR77" s="4150"/>
      <c r="AS77" s="4150"/>
      <c r="AT77" s="4111">
        <f>AA77*AD77%</f>
        <v>0.4256472057123396</v>
      </c>
    </row>
    <row r="78" spans="1:46" ht="15" customHeight="1" x14ac:dyDescent="0.2">
      <c r="A78" s="4160"/>
      <c r="B78" s="4205"/>
      <c r="C78" s="4205"/>
      <c r="D78" s="4206"/>
      <c r="E78" s="4206"/>
      <c r="F78" s="4161"/>
      <c r="G78" s="4206"/>
      <c r="H78" s="4206"/>
      <c r="I78" s="4206"/>
      <c r="J78" s="4206"/>
      <c r="K78" s="4206"/>
      <c r="L78" s="4206"/>
      <c r="M78" s="4206"/>
      <c r="N78" s="4205"/>
      <c r="O78" s="4205"/>
      <c r="P78" s="4205"/>
      <c r="Q78" s="4205"/>
      <c r="R78" s="4205"/>
      <c r="S78" s="4205"/>
      <c r="T78" s="4205"/>
      <c r="U78" s="4205"/>
      <c r="V78" s="4205"/>
      <c r="W78" s="4205"/>
      <c r="X78" s="4205"/>
      <c r="Y78" s="4205"/>
      <c r="Z78" s="4205"/>
      <c r="AA78" s="4111">
        <f>SUM(A78:Z78)</f>
        <v>0</v>
      </c>
      <c r="AB78" s="4107" t="s">
        <v>589</v>
      </c>
      <c r="AC78" s="4160">
        <v>52.2</v>
      </c>
      <c r="AD78" s="4150"/>
      <c r="AE78" s="4205"/>
      <c r="AF78" s="4207"/>
      <c r="AG78" s="4112">
        <f t="shared" ref="AG78" si="23">-AH78/$D$2%</f>
        <v>0</v>
      </c>
      <c r="AH78" s="4208">
        <v>0</v>
      </c>
      <c r="AI78" s="4160"/>
      <c r="AJ78" s="4207"/>
      <c r="AK78" s="4113">
        <f t="shared" si="19"/>
        <v>0</v>
      </c>
      <c r="AL78" s="4162"/>
      <c r="AM78" s="4205"/>
      <c r="AN78" s="4205"/>
      <c r="AO78" s="4205"/>
      <c r="AP78" s="4205"/>
      <c r="AQ78" s="4205"/>
      <c r="AR78" s="4205"/>
      <c r="AS78" s="4205"/>
      <c r="AT78" s="4111">
        <f>AC78*AH78%</f>
        <v>0</v>
      </c>
    </row>
    <row r="79" spans="1:46" ht="15" customHeight="1" x14ac:dyDescent="0.2">
      <c r="A79" s="4160"/>
      <c r="B79" s="4205"/>
      <c r="C79" s="4205"/>
      <c r="D79" s="4206"/>
      <c r="E79" s="4206"/>
      <c r="F79" s="4206"/>
      <c r="G79" s="4161">
        <v>14.101352457029225</v>
      </c>
      <c r="H79" s="4153">
        <v>7.5706188153660189E-2</v>
      </c>
      <c r="I79" s="4206"/>
      <c r="J79" s="4206"/>
      <c r="K79" s="4206"/>
      <c r="L79" s="4206"/>
      <c r="M79" s="4206"/>
      <c r="N79" s="4205"/>
      <c r="O79" s="4205"/>
      <c r="P79" s="4205"/>
      <c r="Q79" s="4205"/>
      <c r="R79" s="4205"/>
      <c r="S79" s="4205"/>
      <c r="T79" s="4205"/>
      <c r="U79" s="4205"/>
      <c r="V79" s="4205"/>
      <c r="W79" s="4205"/>
      <c r="X79" s="4205"/>
      <c r="Y79" s="4205"/>
      <c r="Z79" s="4205"/>
      <c r="AA79" s="4111">
        <f>SUM(A79:Z79)</f>
        <v>14.177058645182885</v>
      </c>
      <c r="AB79" s="4107" t="s">
        <v>9</v>
      </c>
      <c r="AC79" s="4160"/>
      <c r="AD79" s="4150">
        <v>13.5</v>
      </c>
      <c r="AE79" s="4205"/>
      <c r="AF79" s="4207"/>
      <c r="AG79" s="4160"/>
      <c r="AH79" s="4207"/>
      <c r="AI79" s="4160"/>
      <c r="AJ79" s="4207"/>
      <c r="AK79" s="4113">
        <f t="shared" si="19"/>
        <v>1.9139029170996895</v>
      </c>
      <c r="AL79" s="4162"/>
      <c r="AM79" s="4205"/>
      <c r="AN79" s="4205"/>
      <c r="AO79" s="4205"/>
      <c r="AP79" s="4205"/>
      <c r="AQ79" s="4205"/>
      <c r="AR79" s="4205"/>
      <c r="AS79" s="4205"/>
      <c r="AT79" s="4111">
        <f>AD79*AA79%</f>
        <v>1.9139029170996895</v>
      </c>
    </row>
    <row r="80" spans="1:46" ht="15" customHeight="1" thickBot="1" x14ac:dyDescent="0.25">
      <c r="A80" s="4160"/>
      <c r="B80" s="4205"/>
      <c r="C80" s="4205"/>
      <c r="D80" s="4161">
        <v>1.7412912428201921</v>
      </c>
      <c r="E80" s="4206"/>
      <c r="F80" s="4161">
        <v>1.3610140263414268</v>
      </c>
      <c r="G80" s="4206"/>
      <c r="H80" s="4206"/>
      <c r="I80" s="4206"/>
      <c r="J80" s="4206"/>
      <c r="K80" s="4206"/>
      <c r="L80" s="4206"/>
      <c r="M80" s="4206"/>
      <c r="N80" s="4205"/>
      <c r="O80" s="4205"/>
      <c r="P80" s="4205"/>
      <c r="Q80" s="4205"/>
      <c r="R80" s="4205"/>
      <c r="S80" s="4205"/>
      <c r="T80" s="4205"/>
      <c r="U80" s="4205"/>
      <c r="V80" s="4205"/>
      <c r="W80" s="4205"/>
      <c r="X80" s="4205"/>
      <c r="Y80" s="4205"/>
      <c r="Z80" s="4205"/>
      <c r="AA80" s="4207">
        <f t="shared" si="0"/>
        <v>3.1023052691616186</v>
      </c>
      <c r="AB80" s="1675" t="s">
        <v>5</v>
      </c>
      <c r="AC80" s="38"/>
      <c r="AD80" s="4150">
        <v>20</v>
      </c>
      <c r="AE80" s="4109"/>
      <c r="AF80" s="2273"/>
      <c r="AG80" s="38"/>
      <c r="AH80" s="2273"/>
      <c r="AI80" s="38"/>
      <c r="AJ80" s="2273"/>
      <c r="AK80" s="40">
        <f t="shared" si="12"/>
        <v>0.62046105383232375</v>
      </c>
      <c r="AL80" s="4110"/>
      <c r="AM80" s="4109"/>
      <c r="AN80" s="4109"/>
      <c r="AO80" s="4109"/>
      <c r="AP80" s="4109"/>
      <c r="AQ80" s="4109"/>
      <c r="AR80" s="4109"/>
      <c r="AS80" s="4109"/>
      <c r="AT80" s="4111">
        <f>AA80*AD80%</f>
        <v>0.62046105383232375</v>
      </c>
    </row>
    <row r="81" spans="1:47" ht="15" customHeight="1" thickBot="1" x14ac:dyDescent="0.25">
      <c r="A81" s="1676">
        <f t="shared" ref="A81:AA81" si="24">SUM(A8:A80)</f>
        <v>47.766958828937327</v>
      </c>
      <c r="B81" s="1678">
        <f t="shared" si="24"/>
        <v>4.5725275630431774</v>
      </c>
      <c r="C81" s="1678">
        <f t="shared" si="24"/>
        <v>0</v>
      </c>
      <c r="D81" s="1678">
        <f t="shared" si="24"/>
        <v>1.7412912428201921</v>
      </c>
      <c r="E81" s="1678">
        <f t="shared" si="24"/>
        <v>93.87</v>
      </c>
      <c r="F81" s="1678">
        <f t="shared" si="24"/>
        <v>30.829480514156405</v>
      </c>
      <c r="G81" s="1678">
        <f t="shared" si="24"/>
        <v>14.101352457029225</v>
      </c>
      <c r="H81" s="1678">
        <f t="shared" si="24"/>
        <v>26.535706188153661</v>
      </c>
      <c r="I81" s="1678">
        <f t="shared" si="24"/>
        <v>0</v>
      </c>
      <c r="J81" s="1678">
        <f t="shared" si="24"/>
        <v>0</v>
      </c>
      <c r="K81" s="1678">
        <f t="shared" si="24"/>
        <v>0</v>
      </c>
      <c r="L81" s="1678">
        <f t="shared" si="24"/>
        <v>0</v>
      </c>
      <c r="M81" s="1678">
        <f t="shared" si="24"/>
        <v>1.7762934374999999</v>
      </c>
      <c r="N81" s="1678">
        <f t="shared" si="24"/>
        <v>0</v>
      </c>
      <c r="O81" s="1678">
        <f t="shared" si="24"/>
        <v>9.0274497405664747E-2</v>
      </c>
      <c r="P81" s="1678">
        <f t="shared" si="24"/>
        <v>0</v>
      </c>
      <c r="Q81" s="1678">
        <f t="shared" si="24"/>
        <v>0</v>
      </c>
      <c r="R81" s="1678">
        <f t="shared" si="24"/>
        <v>0</v>
      </c>
      <c r="S81" s="1678">
        <f t="shared" si="24"/>
        <v>0</v>
      </c>
      <c r="T81" s="1678">
        <f t="shared" si="24"/>
        <v>2.13</v>
      </c>
      <c r="U81" s="1678">
        <f t="shared" si="24"/>
        <v>10.23</v>
      </c>
      <c r="V81" s="1678">
        <f t="shared" si="24"/>
        <v>12.600000000000001</v>
      </c>
      <c r="W81" s="1678">
        <f t="shared" si="24"/>
        <v>0</v>
      </c>
      <c r="X81" s="1678">
        <f t="shared" si="24"/>
        <v>0</v>
      </c>
      <c r="Y81" s="1678">
        <f t="shared" si="24"/>
        <v>0</v>
      </c>
      <c r="Z81" s="1678">
        <f t="shared" si="24"/>
        <v>0</v>
      </c>
      <c r="AA81" s="41">
        <f t="shared" si="24"/>
        <v>246.2438847290457</v>
      </c>
      <c r="AB81" s="42" t="s">
        <v>1</v>
      </c>
      <c r="AC81" s="43"/>
      <c r="AD81" s="43"/>
      <c r="AE81" s="43"/>
      <c r="AF81" s="43"/>
      <c r="AG81" s="1676">
        <f t="shared" ref="AG81:AT81" si="25">SUM(AG8:AG80)</f>
        <v>-1.3322676295501878E-15</v>
      </c>
      <c r="AH81" s="41">
        <f t="shared" si="25"/>
        <v>45.882005923947609</v>
      </c>
      <c r="AI81" s="1676">
        <f t="shared" si="25"/>
        <v>0</v>
      </c>
      <c r="AJ81" s="41">
        <f t="shared" si="25"/>
        <v>0</v>
      </c>
      <c r="AK81" s="42">
        <f t="shared" si="25"/>
        <v>153.58655010785628</v>
      </c>
      <c r="AL81" s="1677">
        <f t="shared" si="25"/>
        <v>106.37141877913466</v>
      </c>
      <c r="AM81" s="1678">
        <f t="shared" si="25"/>
        <v>3.9292061899308988</v>
      </c>
      <c r="AN81" s="1678">
        <f t="shared" si="25"/>
        <v>2.1327880953277587</v>
      </c>
      <c r="AO81" s="1678">
        <f t="shared" si="25"/>
        <v>4.3664348639669557</v>
      </c>
      <c r="AP81" s="1678">
        <f t="shared" si="25"/>
        <v>0.20231911865652058</v>
      </c>
      <c r="AQ81" s="1678">
        <f t="shared" si="25"/>
        <v>15.272922344276807</v>
      </c>
      <c r="AR81" s="1678">
        <f t="shared" si="25"/>
        <v>0</v>
      </c>
      <c r="AS81" s="1678">
        <f t="shared" si="25"/>
        <v>6.7822174451270687</v>
      </c>
      <c r="AT81" s="41">
        <f t="shared" si="25"/>
        <v>14.529243271435634</v>
      </c>
    </row>
    <row r="82" spans="1:47" ht="15" customHeight="1" x14ac:dyDescent="0.25">
      <c r="A82" s="513">
        <f t="shared" ref="A82:Y82" si="26">A81*A89/1000</f>
        <v>11.368536201287085</v>
      </c>
      <c r="B82" s="1679">
        <f t="shared" si="26"/>
        <v>0.29629978608519786</v>
      </c>
      <c r="C82" s="1679">
        <f t="shared" si="26"/>
        <v>0</v>
      </c>
      <c r="D82" s="1679">
        <f t="shared" si="26"/>
        <v>0.13761424692007979</v>
      </c>
      <c r="E82" s="1679">
        <f t="shared" si="26"/>
        <v>6.9557669999999998</v>
      </c>
      <c r="F82" s="1679">
        <f t="shared" si="26"/>
        <v>2.2844645060989892</v>
      </c>
      <c r="G82" s="1679">
        <f t="shared" si="26"/>
        <v>1.0152973769061042</v>
      </c>
      <c r="H82" s="1679">
        <f t="shared" si="26"/>
        <v>1.9371065517352173</v>
      </c>
      <c r="I82" s="1679">
        <f t="shared" si="26"/>
        <v>0</v>
      </c>
      <c r="J82" s="26"/>
      <c r="K82" s="26"/>
      <c r="L82" s="26"/>
      <c r="M82" s="1679">
        <f t="shared" si="26"/>
        <v>0</v>
      </c>
      <c r="N82" s="1679">
        <f t="shared" si="26"/>
        <v>0</v>
      </c>
      <c r="O82" s="1679">
        <f t="shared" si="26"/>
        <v>0</v>
      </c>
      <c r="P82" s="1679">
        <f t="shared" si="26"/>
        <v>0</v>
      </c>
      <c r="Q82" s="1679">
        <v>0</v>
      </c>
      <c r="R82" s="1679">
        <f t="shared" si="26"/>
        <v>0</v>
      </c>
      <c r="S82" s="1679">
        <f t="shared" si="26"/>
        <v>0</v>
      </c>
      <c r="T82" s="1679">
        <f t="shared" si="26"/>
        <v>0</v>
      </c>
      <c r="U82" s="1679">
        <f t="shared" si="26"/>
        <v>0</v>
      </c>
      <c r="V82" s="1679">
        <f t="shared" si="26"/>
        <v>0</v>
      </c>
      <c r="W82" s="1679">
        <f t="shared" si="26"/>
        <v>0</v>
      </c>
      <c r="X82" s="1679">
        <f t="shared" si="26"/>
        <v>0</v>
      </c>
      <c r="Y82" s="1679">
        <f t="shared" si="26"/>
        <v>0</v>
      </c>
      <c r="Z82" s="1679">
        <f>Z81*Z89/1000</f>
        <v>0</v>
      </c>
      <c r="AA82" s="27">
        <f>SUM(A82:Z82)</f>
        <v>23.995085669032672</v>
      </c>
      <c r="AB82" s="44" t="s">
        <v>5323</v>
      </c>
      <c r="AC82" s="45">
        <f>AA82*1000/D1</f>
        <v>9.5521837854429421</v>
      </c>
      <c r="AD82" s="46" t="s">
        <v>6</v>
      </c>
      <c r="AE82" s="46"/>
      <c r="AF82" s="47"/>
      <c r="AG82" s="33"/>
      <c r="AH82" s="33"/>
      <c r="AI82" s="33"/>
      <c r="AJ82" s="33"/>
      <c r="AK82" s="33"/>
      <c r="AL82" s="33"/>
      <c r="AM82" s="33"/>
      <c r="AN82" s="33"/>
      <c r="AO82" s="33"/>
      <c r="AP82" s="33"/>
      <c r="AQ82" s="33"/>
      <c r="AR82" s="33"/>
      <c r="AS82" s="33"/>
      <c r="AT82" s="33"/>
    </row>
    <row r="83" spans="1:47" ht="15" customHeight="1" x14ac:dyDescent="0.2">
      <c r="A83" s="4112"/>
      <c r="B83" s="4150"/>
      <c r="C83" s="4150"/>
      <c r="D83" s="4150"/>
      <c r="E83" s="4150"/>
      <c r="F83" s="4150"/>
      <c r="G83" s="4150"/>
      <c r="H83" s="4150"/>
      <c r="I83" s="4150"/>
      <c r="J83" s="4151"/>
      <c r="K83" s="4151"/>
      <c r="L83" s="4151"/>
      <c r="M83" s="4150"/>
      <c r="N83" s="4150"/>
      <c r="O83" s="4150"/>
      <c r="P83" s="4150"/>
      <c r="Q83" s="4150"/>
      <c r="R83" s="4153">
        <v>17.615490081852229</v>
      </c>
      <c r="S83" s="4153">
        <v>28.261805759999998</v>
      </c>
      <c r="T83" s="4153">
        <v>3.5788863076193205</v>
      </c>
      <c r="U83" s="4153">
        <v>129.80679812982115</v>
      </c>
      <c r="V83" s="4150"/>
      <c r="W83" s="4150"/>
      <c r="X83" s="4150"/>
      <c r="Y83" s="4150"/>
      <c r="Z83" s="4150"/>
      <c r="AA83" s="4111">
        <f>SUM(A83:Z83)</f>
        <v>179.26298027929269</v>
      </c>
      <c r="AB83" s="4113" t="s">
        <v>528</v>
      </c>
      <c r="AC83" s="4114">
        <f>(SUM(M11:Y11)+AG12*A87%+SUM(M16:Y16)+SUM(M17:Y17)+SUM(M18:Y18)+SUM(M19:Y19)+SUM(M22:Y22)+SUM(M61:Y61)+SUM(M62:Y62)+SUM(M63:Y63)+SUM(M65:Y65)+SUM(M66:Y66)+SUM(M67:Y67)+SUM(M68:Y68)+SUM(M69:Y69)+SUM(M71:Y71)+SUM(M72:Y72)+SUM(M73:Y73)+SUM(M75:Y75)+SUM(M76:Y76)+SUM(M77:Y77)+SUM(M79:Y79)+SUM(M80:Y80)+SUM(M23:Y23)*(AC23%+AE23%)+SUM(M24:Y24)*(AC24%+AE24%)+SUM(M25:Y25)*(AC25%+AE25%)+SUM(M26:Y26)*(AC26%+AE26%)+SUM(M28:Y28)*(AC28%+AD28%+AE28%)+SUM(M27:Y27)*(AD27%)+SUM(M29:Y29)*(AC29%+AE29%)+SUM(M30:Y30)*(AC30%+AE30%)+SUM(M31:Y31)*(AC31%+AE31%)+SUM(M34:Y34)*(AC34%+AE34%)+SUM(M35:Y35)*(AC35%+AE35%)+SUM(M37:Y37)*(AC37%+AE37%)+SUM(M38:Y38)*(AC38%+AE38%)+SUM(M39:Y39)*(AC39%+AE39%)+SUM(M41:Y41)*(AC41%+AE41%)+SUM(M42:Y42)*(AC42%+AE42%)+SUM(M44:Y44)*(AC44%+AE44%)+SUM(M45:Y45)*(AC45%+AE45%)+SUM(M46:Y46)*(AC47%+AE47%)+SUM(M48:Y48)*(AC48%+AE48%)+SUM(M49:Y49)*(AC49%+AE49%)+SUM(M50:Y50)*(AC50%+AE50%)+SUM(M52:Y52)*(AC52%+AE52%)+SUM(M53:Y53)*(AC53%+AE53%)+SUM(M54:Y54)*(AC54%+AE54%))/(SUM(AA8:AA11)+SUM(AA13:AA22)+SUM(AA61:AA80)+(AJ33/AF33%+AJ36/AF36%+AJ43/AF43%+AJ51/AF51%+AJ60/AF60%)+AH81+SUM(AH8:AH11)*(1-D2%)+(-AI56))*100</f>
        <v>10.906291822600775</v>
      </c>
      <c r="AD83" s="4115" t="s">
        <v>163</v>
      </c>
      <c r="AE83" s="4115"/>
      <c r="AF83" s="4116"/>
      <c r="AG83" s="33"/>
      <c r="AH83" s="33"/>
      <c r="AI83" s="33"/>
      <c r="AJ83" s="33"/>
      <c r="AK83" s="33"/>
      <c r="AL83" s="33"/>
      <c r="AM83" s="33"/>
      <c r="AN83" s="33"/>
      <c r="AO83" s="33"/>
      <c r="AP83" s="33"/>
      <c r="AQ83" s="33"/>
      <c r="AR83" s="33"/>
      <c r="AS83" s="33"/>
      <c r="AT83" s="33"/>
    </row>
    <row r="84" spans="1:47" ht="15" customHeight="1" thickBot="1" x14ac:dyDescent="0.25">
      <c r="A84" s="38"/>
      <c r="B84" s="4109"/>
      <c r="C84" s="4109"/>
      <c r="D84" s="4109"/>
      <c r="E84" s="4109"/>
      <c r="F84" s="4109"/>
      <c r="G84" s="4109"/>
      <c r="H84" s="4109"/>
      <c r="I84" s="4109"/>
      <c r="J84" s="4117"/>
      <c r="K84" s="4117"/>
      <c r="L84" s="4117"/>
      <c r="M84" s="4109" t="str">
        <f>IF(M83&gt;0,M81/M83*100,"")</f>
        <v/>
      </c>
      <c r="N84" s="4109" t="str">
        <f t="shared" ref="N84:Z84" si="27">IF(N83&gt;0,N81/N83*100,"")</f>
        <v/>
      </c>
      <c r="O84" s="4109" t="str">
        <f t="shared" si="27"/>
        <v/>
      </c>
      <c r="P84" s="4109" t="str">
        <f t="shared" si="27"/>
        <v/>
      </c>
      <c r="Q84" s="4109" t="str">
        <f t="shared" si="27"/>
        <v/>
      </c>
      <c r="R84" s="4109">
        <f t="shared" si="27"/>
        <v>0</v>
      </c>
      <c r="S84" s="4109">
        <f t="shared" si="27"/>
        <v>0</v>
      </c>
      <c r="T84" s="4109">
        <f t="shared" si="27"/>
        <v>59.515721286404279</v>
      </c>
      <c r="U84" s="4109">
        <f t="shared" si="27"/>
        <v>7.8809431766192013</v>
      </c>
      <c r="V84" s="4109" t="str">
        <f t="shared" si="27"/>
        <v/>
      </c>
      <c r="W84" s="4109" t="str">
        <f t="shared" si="27"/>
        <v/>
      </c>
      <c r="X84" s="4109" t="str">
        <f t="shared" si="27"/>
        <v/>
      </c>
      <c r="Y84" s="4109" t="str">
        <f>IF(Y83&gt;0,Y81/Y83*100,"")</f>
        <v/>
      </c>
      <c r="Z84" s="4109" t="str">
        <f t="shared" si="27"/>
        <v/>
      </c>
      <c r="AA84" s="2273">
        <f>SUMIF(M83:Z83,"&gt;0",M81:Z81)/SUM(M83:Z83)%</f>
        <v>6.8948981996969216</v>
      </c>
      <c r="AB84" s="40" t="s">
        <v>12</v>
      </c>
      <c r="AC84" s="4118">
        <f>SUM(M81:Y81)/AA81*100</f>
        <v>10.894308284822692</v>
      </c>
      <c r="AD84" s="4119" t="s">
        <v>164</v>
      </c>
      <c r="AE84" s="4119"/>
      <c r="AF84" s="4120"/>
      <c r="AG84" s="33"/>
      <c r="AH84" s="33"/>
      <c r="AI84" s="33"/>
      <c r="AJ84" s="33"/>
      <c r="AK84" s="33"/>
      <c r="AL84" s="33"/>
      <c r="AM84" s="33"/>
      <c r="AN84" s="33"/>
      <c r="AO84" s="33"/>
      <c r="AP84" s="33"/>
      <c r="AQ84" s="33"/>
      <c r="AR84" s="33"/>
      <c r="AS84" s="33"/>
      <c r="AT84" s="33"/>
    </row>
    <row r="85" spans="1:47" ht="15" customHeight="1" thickBot="1" x14ac:dyDescent="0.25">
      <c r="A85" s="10"/>
      <c r="B85" s="10"/>
      <c r="C85" s="10"/>
      <c r="D85" s="10"/>
      <c r="E85" s="10"/>
      <c r="F85" s="10"/>
      <c r="G85" s="10"/>
      <c r="H85" s="10"/>
      <c r="I85" s="10"/>
      <c r="J85" s="31"/>
      <c r="K85" s="31"/>
      <c r="L85" s="31"/>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row>
    <row r="86" spans="1:47" ht="17.25" customHeight="1" x14ac:dyDescent="0.2">
      <c r="A86" s="124" t="s">
        <v>72</v>
      </c>
      <c r="B86" s="5152" t="str">
        <f t="shared" ref="B86:I86" si="28">B7</f>
        <v xml:space="preserve">  LPG og petroleum</v>
      </c>
      <c r="C86" s="5152" t="str">
        <f t="shared" si="28"/>
        <v xml:space="preserve">  Kul</v>
      </c>
      <c r="D86" s="5152" t="str">
        <f t="shared" si="28"/>
        <v xml:space="preserve">  Fuelolie</v>
      </c>
      <c r="E86" s="5152" t="str">
        <f t="shared" si="28"/>
        <v xml:space="preserve">  Brændselsolie</v>
      </c>
      <c r="F86" s="5152" t="str">
        <f t="shared" si="28"/>
        <v xml:space="preserve">  Dieselolie</v>
      </c>
      <c r="G86" s="5152" t="str">
        <f t="shared" si="28"/>
        <v xml:space="preserve">  JP1</v>
      </c>
      <c r="H86" s="5152" t="str">
        <f t="shared" si="28"/>
        <v xml:space="preserve">  Benzin</v>
      </c>
      <c r="I86" s="5152" t="str">
        <f t="shared" si="28"/>
        <v xml:space="preserve">  Naturgas</v>
      </c>
      <c r="J86" s="289"/>
      <c r="K86" s="289"/>
      <c r="L86" s="289"/>
      <c r="M86" s="5152" t="str">
        <f t="shared" ref="M86:Z86" si="29">M7</f>
        <v xml:space="preserve">  Vindenergi</v>
      </c>
      <c r="N86" s="5152" t="str">
        <f t="shared" si="29"/>
        <v xml:space="preserve">  Vandenergi</v>
      </c>
      <c r="O86" s="5152" t="str">
        <f t="shared" si="29"/>
        <v xml:space="preserve">  Solenergi</v>
      </c>
      <c r="P86" s="5152" t="str">
        <f t="shared" si="29"/>
        <v xml:space="preserve">  Geotermi</v>
      </c>
      <c r="Q86" s="5152" t="str">
        <f t="shared" si="29"/>
        <v xml:space="preserve">  Varmekilder til varmepumper</v>
      </c>
      <c r="R86" s="5152" t="str">
        <f t="shared" si="29"/>
        <v xml:space="preserve">  Husdyrsgødning</v>
      </c>
      <c r="S86" s="5152" t="str">
        <f t="shared" si="29"/>
        <v xml:space="preserve">  Biobrændstof og energiafgrøder</v>
      </c>
      <c r="T86" s="5152" t="str">
        <f t="shared" si="29"/>
        <v xml:space="preserve">  Halm</v>
      </c>
      <c r="U86" s="5152" t="str">
        <f t="shared" si="29"/>
        <v xml:space="preserve">  Brænde og træflis</v>
      </c>
      <c r="V86" s="5152" t="str">
        <f t="shared" si="29"/>
        <v xml:space="preserve">  Træpiller og træaffald</v>
      </c>
      <c r="W86" s="5152" t="str">
        <f t="shared" si="29"/>
        <v xml:space="preserve">  Organisk affald, industri</v>
      </c>
      <c r="X86" s="5152" t="str">
        <f t="shared" si="29"/>
        <v xml:space="preserve">  Organisk affald, husholdninger</v>
      </c>
      <c r="Y86" s="5152" t="str">
        <f t="shared" si="29"/>
        <v xml:space="preserve">  Deponi, slam, renseanlæg</v>
      </c>
      <c r="Z86" s="5155" t="str">
        <f t="shared" si="29"/>
        <v xml:space="preserve">  Affald, ikke bionedbrydeligt</v>
      </c>
      <c r="AA86" s="10"/>
      <c r="AB86" s="10"/>
      <c r="AC86" s="10"/>
      <c r="AD86" s="10"/>
      <c r="AE86" s="10"/>
      <c r="AF86" s="10"/>
      <c r="AG86" s="10"/>
      <c r="AH86" s="10"/>
      <c r="AI86" s="10"/>
      <c r="AJ86" s="10"/>
      <c r="AK86" s="10"/>
      <c r="AL86" s="10"/>
      <c r="AM86" s="10"/>
      <c r="AN86" s="10"/>
      <c r="AO86" s="10"/>
      <c r="AP86" s="10"/>
      <c r="AQ86" s="10"/>
      <c r="AR86" s="10"/>
      <c r="AS86" s="10"/>
      <c r="AT86" s="10"/>
    </row>
    <row r="87" spans="1:47" x14ac:dyDescent="0.2">
      <c r="A87" s="301">
        <v>0</v>
      </c>
      <c r="B87" s="5153"/>
      <c r="C87" s="5153"/>
      <c r="D87" s="5153"/>
      <c r="E87" s="5153"/>
      <c r="F87" s="5153"/>
      <c r="G87" s="5153"/>
      <c r="H87" s="5153"/>
      <c r="I87" s="5153"/>
      <c r="J87" s="290"/>
      <c r="K87" s="290"/>
      <c r="L87" s="290"/>
      <c r="M87" s="5153"/>
      <c r="N87" s="5153"/>
      <c r="O87" s="5153"/>
      <c r="P87" s="5153"/>
      <c r="Q87" s="5153"/>
      <c r="R87" s="5153"/>
      <c r="S87" s="5153"/>
      <c r="T87" s="5153"/>
      <c r="U87" s="5153"/>
      <c r="V87" s="5153"/>
      <c r="W87" s="5153"/>
      <c r="X87" s="5153"/>
      <c r="Y87" s="5153"/>
      <c r="Z87" s="5156"/>
      <c r="AA87" s="10"/>
      <c r="AB87" s="10"/>
      <c r="AC87" s="10"/>
      <c r="AD87" s="10"/>
      <c r="AE87" s="10"/>
      <c r="AF87" s="10"/>
      <c r="AG87" s="10"/>
      <c r="AH87" s="10"/>
      <c r="AI87" s="10"/>
      <c r="AJ87" s="10"/>
      <c r="AK87" s="10"/>
      <c r="AL87" s="10"/>
      <c r="AM87" s="10"/>
      <c r="AN87" s="10"/>
      <c r="AO87" s="10"/>
      <c r="AP87" s="10"/>
      <c r="AQ87" s="10"/>
      <c r="AR87" s="10"/>
      <c r="AS87" s="10"/>
      <c r="AT87" s="10"/>
    </row>
    <row r="88" spans="1:47" ht="123" customHeight="1" thickBot="1" x14ac:dyDescent="0.25">
      <c r="A88" s="92" t="s">
        <v>73</v>
      </c>
      <c r="B88" s="5154"/>
      <c r="C88" s="5154"/>
      <c r="D88" s="5154"/>
      <c r="E88" s="5154"/>
      <c r="F88" s="5154"/>
      <c r="G88" s="5154"/>
      <c r="H88" s="5154"/>
      <c r="I88" s="5154"/>
      <c r="J88" s="287" t="s">
        <v>175</v>
      </c>
      <c r="K88" s="287" t="s">
        <v>176</v>
      </c>
      <c r="L88" s="287" t="s">
        <v>177</v>
      </c>
      <c r="M88" s="5154"/>
      <c r="N88" s="5154"/>
      <c r="O88" s="5154"/>
      <c r="P88" s="5154"/>
      <c r="Q88" s="5154"/>
      <c r="R88" s="5154"/>
      <c r="S88" s="5154"/>
      <c r="T88" s="5154"/>
      <c r="U88" s="5154"/>
      <c r="V88" s="5154"/>
      <c r="W88" s="5154"/>
      <c r="X88" s="5154"/>
      <c r="Y88" s="5154"/>
      <c r="Z88" s="5157"/>
      <c r="AA88" s="10"/>
      <c r="AB88" s="10"/>
      <c r="AC88" s="10"/>
      <c r="AD88" s="10"/>
      <c r="AE88" s="10"/>
      <c r="AF88" s="10"/>
      <c r="AG88" s="10"/>
      <c r="AH88" s="10"/>
      <c r="AI88" s="10"/>
      <c r="AJ88" s="10"/>
      <c r="AK88" s="10"/>
      <c r="AL88" s="10"/>
      <c r="AM88" s="10"/>
      <c r="AN88" s="10"/>
      <c r="AO88" s="10"/>
      <c r="AP88" s="10"/>
      <c r="AQ88" s="10"/>
      <c r="AR88" s="10"/>
      <c r="AS88" s="10"/>
      <c r="AT88" s="10"/>
    </row>
    <row r="89" spans="1:47" s="52" customFormat="1" ht="15" customHeight="1" thickBot="1" x14ac:dyDescent="0.25">
      <c r="A89" s="369">
        <v>238</v>
      </c>
      <c r="B89" s="49">
        <v>64.8</v>
      </c>
      <c r="C89" s="49">
        <v>94.2</v>
      </c>
      <c r="D89" s="49">
        <v>79.03</v>
      </c>
      <c r="E89" s="49">
        <v>74.099999999999994</v>
      </c>
      <c r="F89" s="49">
        <f>E89</f>
        <v>74.099999999999994</v>
      </c>
      <c r="G89" s="49">
        <v>72</v>
      </c>
      <c r="H89" s="49">
        <v>73</v>
      </c>
      <c r="I89" s="49">
        <v>56.9</v>
      </c>
      <c r="J89" s="49"/>
      <c r="K89" s="49"/>
      <c r="L89" s="49"/>
      <c r="M89" s="53"/>
      <c r="N89" s="53"/>
      <c r="O89" s="53"/>
      <c r="P89" s="53"/>
      <c r="Q89" s="54"/>
      <c r="R89" s="53"/>
      <c r="S89" s="53"/>
      <c r="T89" s="53"/>
      <c r="U89" s="53"/>
      <c r="V89" s="53"/>
      <c r="W89" s="53"/>
      <c r="X89" s="53"/>
      <c r="Y89" s="54"/>
      <c r="Z89" s="295">
        <v>82.22</v>
      </c>
      <c r="AA89" s="125" t="s">
        <v>5361</v>
      </c>
      <c r="AB89" s="50"/>
      <c r="AC89" s="51"/>
      <c r="AD89" s="51"/>
      <c r="AE89" s="51"/>
      <c r="AF89" s="51"/>
      <c r="AG89" s="51"/>
      <c r="AH89" s="51"/>
      <c r="AI89" s="51"/>
      <c r="AJ89" s="51"/>
      <c r="AK89" s="51"/>
      <c r="AL89" s="51"/>
      <c r="AM89" s="51"/>
      <c r="AN89" s="51"/>
      <c r="AO89" s="51"/>
      <c r="AP89" s="51"/>
      <c r="AQ89" s="51"/>
      <c r="AR89" s="51"/>
      <c r="AS89" s="51"/>
      <c r="AT89" s="51"/>
    </row>
    <row r="90" spans="1:47" x14ac:dyDescent="0.2">
      <c r="A90" s="29"/>
      <c r="B90" s="29"/>
      <c r="C90" s="29"/>
      <c r="D90" s="29"/>
      <c r="E90" s="29"/>
      <c r="F90" s="29"/>
      <c r="G90" s="29"/>
      <c r="H90" s="29"/>
      <c r="I90" s="29"/>
      <c r="J90" s="73"/>
      <c r="K90" s="73"/>
      <c r="L90" s="73"/>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row>
    <row r="91" spans="1:47" x14ac:dyDescent="0.2">
      <c r="AB91" s="10"/>
    </row>
    <row r="92" spans="1:47" ht="12.75" customHeight="1" x14ac:dyDescent="0.3">
      <c r="A92" s="48"/>
      <c r="AB92" s="29"/>
    </row>
    <row r="94" spans="1:47" x14ac:dyDescent="0.2">
      <c r="AB94" s="29"/>
    </row>
    <row r="95" spans="1:47" x14ac:dyDescent="0.2">
      <c r="AB95" s="29"/>
    </row>
  </sheetData>
  <mergeCells count="30">
    <mergeCell ref="AI6:AJ6"/>
    <mergeCell ref="AL6:AT6"/>
    <mergeCell ref="D1:E1"/>
    <mergeCell ref="AB1:AB2"/>
    <mergeCell ref="A6:AA6"/>
    <mergeCell ref="AC6:AF6"/>
    <mergeCell ref="AG6:AH6"/>
    <mergeCell ref="AA3:AC4"/>
    <mergeCell ref="B86:B88"/>
    <mergeCell ref="C86:C88"/>
    <mergeCell ref="D86:D88"/>
    <mergeCell ref="E86:E88"/>
    <mergeCell ref="F86:F88"/>
    <mergeCell ref="G86:G88"/>
    <mergeCell ref="H86:H88"/>
    <mergeCell ref="I86:I88"/>
    <mergeCell ref="M86:M88"/>
    <mergeCell ref="N86:N88"/>
    <mergeCell ref="O86:O88"/>
    <mergeCell ref="P86:P88"/>
    <mergeCell ref="Q86:Q88"/>
    <mergeCell ref="R86:R88"/>
    <mergeCell ref="S86:S88"/>
    <mergeCell ref="Y86:Y88"/>
    <mergeCell ref="Z86:Z88"/>
    <mergeCell ref="T86:T88"/>
    <mergeCell ref="U86:U88"/>
    <mergeCell ref="V86:V88"/>
    <mergeCell ref="W86:W88"/>
    <mergeCell ref="X86:X88"/>
  </mergeCells>
  <conditionalFormatting sqref="AA57:AA59">
    <cfRule type="cellIs" dxfId="612" priority="1" operator="notEqual">
      <formula>0</formula>
    </cfRule>
  </conditionalFormatting>
  <printOptions horizontalCentered="1" verticalCentered="1" gridLines="1"/>
  <pageMargins left="0.19685039370078741" right="0.19685039370078741" top="0.98425196850393704" bottom="0.55118110236220474" header="0" footer="0"/>
  <pageSetup paperSize="8" scale="48" orientation="landscape" r:id="rId1"/>
  <headerFooter alignWithMargins="0">
    <oddFooter>&amp;R&amp;F &amp;T &amp;D</oddFoot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C5124-12DD-4ED8-B800-6DD594BCC8D5}">
  <sheetPr codeName="Ark54">
    <tabColor theme="0" tint="-0.249977111117893"/>
  </sheetPr>
  <dimension ref="A1:P86"/>
  <sheetViews>
    <sheetView showGridLines="0" workbookViewId="0">
      <selection activeCell="B6" sqref="B6:J7"/>
    </sheetView>
  </sheetViews>
  <sheetFormatPr defaultColWidth="11.42578125" defaultRowHeight="12" x14ac:dyDescent="0.2"/>
  <cols>
    <col min="1" max="1" width="21.85546875" style="659" customWidth="1"/>
    <col min="2" max="10" width="11.42578125" style="659" customWidth="1"/>
    <col min="11" max="16384" width="11.42578125" style="659"/>
  </cols>
  <sheetData>
    <row r="1" spans="1:16" ht="15.75" x14ac:dyDescent="0.25">
      <c r="A1" s="671" t="s">
        <v>1646</v>
      </c>
      <c r="B1" s="660"/>
      <c r="C1" s="660"/>
      <c r="D1" s="660"/>
      <c r="E1" s="660"/>
      <c r="F1" s="660"/>
      <c r="G1" s="660"/>
      <c r="H1" s="660"/>
      <c r="I1" s="660"/>
      <c r="J1" s="660" t="s">
        <v>1791</v>
      </c>
      <c r="K1" s="660"/>
      <c r="L1" s="660"/>
      <c r="M1" s="660"/>
      <c r="N1" s="660"/>
      <c r="O1" s="660"/>
      <c r="P1" s="660"/>
    </row>
    <row r="2" spans="1:16" ht="18.75" x14ac:dyDescent="0.25">
      <c r="A2" s="671" t="s">
        <v>1645</v>
      </c>
      <c r="B2" s="660"/>
      <c r="C2" s="660"/>
      <c r="D2" s="660"/>
      <c r="E2" s="660"/>
      <c r="F2" s="660"/>
      <c r="G2" s="660"/>
      <c r="H2" s="660"/>
      <c r="I2" s="660"/>
      <c r="J2" s="660" t="s">
        <v>1790</v>
      </c>
      <c r="K2" s="660"/>
      <c r="L2" s="660"/>
      <c r="M2" s="660"/>
      <c r="N2" s="660"/>
      <c r="O2" s="660"/>
      <c r="P2" s="660"/>
    </row>
    <row r="3" spans="1:16" ht="15.75" x14ac:dyDescent="0.25">
      <c r="A3" s="671" t="s">
        <v>1027</v>
      </c>
      <c r="B3" s="660"/>
      <c r="C3" s="660"/>
      <c r="D3" s="660"/>
      <c r="E3" s="660"/>
      <c r="F3" s="660"/>
      <c r="G3" s="660"/>
      <c r="H3" s="660"/>
      <c r="I3" s="660"/>
      <c r="J3" s="660" t="s">
        <v>1789</v>
      </c>
      <c r="K3" s="660"/>
      <c r="L3" s="660"/>
      <c r="M3" s="660"/>
      <c r="N3" s="660"/>
      <c r="O3" s="660"/>
      <c r="P3" s="660"/>
    </row>
    <row r="4" spans="1:16" x14ac:dyDescent="0.2">
      <c r="A4" s="763"/>
      <c r="B4" s="660"/>
      <c r="C4" s="660"/>
      <c r="D4" s="660"/>
      <c r="E4" s="660"/>
      <c r="F4" s="660"/>
      <c r="G4" s="660"/>
      <c r="H4" s="660"/>
      <c r="I4" s="660"/>
      <c r="J4" s="660"/>
      <c r="K4" s="660"/>
      <c r="L4" s="660"/>
      <c r="M4" s="660"/>
      <c r="N4" s="660"/>
      <c r="O4" s="660"/>
      <c r="P4" s="660"/>
    </row>
    <row r="5" spans="1:16" ht="14.25" x14ac:dyDescent="0.2">
      <c r="A5" s="763" t="s">
        <v>1644</v>
      </c>
      <c r="B5" s="660"/>
      <c r="C5" s="660"/>
      <c r="D5" s="660"/>
      <c r="E5" s="660"/>
      <c r="F5" s="660"/>
      <c r="G5" s="660"/>
      <c r="H5" s="660"/>
      <c r="I5" s="660"/>
      <c r="J5" s="660"/>
      <c r="K5" s="660"/>
      <c r="L5" s="660"/>
      <c r="M5" s="660"/>
      <c r="N5" s="660"/>
      <c r="O5" s="660"/>
      <c r="P5" s="660"/>
    </row>
    <row r="6" spans="1:16" x14ac:dyDescent="0.2">
      <c r="A6" s="5765" t="s">
        <v>1791</v>
      </c>
      <c r="B6" s="5763" t="s">
        <v>1643</v>
      </c>
      <c r="C6" s="5763"/>
      <c r="D6" s="5763"/>
      <c r="E6" s="5763" t="s">
        <v>1569</v>
      </c>
      <c r="F6" s="5763"/>
      <c r="G6" s="5763"/>
      <c r="H6" s="5763" t="s">
        <v>1642</v>
      </c>
      <c r="I6" s="5763"/>
      <c r="J6" s="5763"/>
      <c r="K6" s="660"/>
      <c r="L6" s="660"/>
      <c r="M6" s="660"/>
      <c r="N6" s="660"/>
      <c r="O6" s="660"/>
      <c r="P6" s="660"/>
    </row>
    <row r="7" spans="1:16" ht="22.9" customHeight="1" x14ac:dyDescent="0.2">
      <c r="A7" s="5765"/>
      <c r="B7" s="3611" t="s">
        <v>1047</v>
      </c>
      <c r="C7" s="3611" t="s">
        <v>1641</v>
      </c>
      <c r="D7" s="3611" t="s">
        <v>1640</v>
      </c>
      <c r="E7" s="3611" t="s">
        <v>1047</v>
      </c>
      <c r="F7" s="3611" t="s">
        <v>1641</v>
      </c>
      <c r="G7" s="3611" t="s">
        <v>1640</v>
      </c>
      <c r="H7" s="3611" t="s">
        <v>1047</v>
      </c>
      <c r="I7" s="3611" t="s">
        <v>1641</v>
      </c>
      <c r="J7" s="3611" t="s">
        <v>1640</v>
      </c>
      <c r="K7" s="660"/>
      <c r="L7" s="660"/>
      <c r="M7" s="660"/>
      <c r="N7" s="660"/>
      <c r="O7" s="660"/>
      <c r="P7" s="660"/>
    </row>
    <row r="8" spans="1:16" ht="15" thickBot="1" x14ac:dyDescent="0.25">
      <c r="A8" s="5609"/>
      <c r="B8" s="768" t="s">
        <v>1639</v>
      </c>
      <c r="C8" s="768" t="s">
        <v>1639</v>
      </c>
      <c r="D8" s="768" t="s">
        <v>1639</v>
      </c>
      <c r="E8" s="768" t="s">
        <v>1639</v>
      </c>
      <c r="F8" s="768" t="s">
        <v>1639</v>
      </c>
      <c r="G8" s="768" t="s">
        <v>1639</v>
      </c>
      <c r="H8" s="768" t="s">
        <v>1638</v>
      </c>
      <c r="I8" s="768" t="s">
        <v>1638</v>
      </c>
      <c r="J8" s="768" t="s">
        <v>1638</v>
      </c>
      <c r="K8" s="660"/>
      <c r="L8" s="660"/>
      <c r="M8" s="660"/>
      <c r="N8" s="660"/>
      <c r="O8" s="660"/>
      <c r="P8" s="660"/>
    </row>
    <row r="9" spans="1:16" ht="14.25" thickTop="1" x14ac:dyDescent="0.2">
      <c r="A9" s="767" t="s">
        <v>1637</v>
      </c>
      <c r="B9" s="3614"/>
      <c r="C9" s="3614"/>
      <c r="D9" s="3614"/>
      <c r="E9" s="3614"/>
      <c r="F9" s="3614"/>
      <c r="G9" s="3614"/>
      <c r="H9" s="3614"/>
      <c r="I9" s="3614"/>
      <c r="J9" s="3614"/>
      <c r="K9" s="660"/>
      <c r="L9" s="660"/>
      <c r="M9" s="660"/>
      <c r="N9" s="660"/>
      <c r="O9" s="660"/>
      <c r="P9" s="660"/>
    </row>
    <row r="10" spans="1:16" x14ac:dyDescent="0.2">
      <c r="A10" s="3613" t="s">
        <v>1636</v>
      </c>
      <c r="B10" s="3500" t="s">
        <v>986</v>
      </c>
      <c r="C10" s="3500" t="s">
        <v>986</v>
      </c>
      <c r="D10" s="3500" t="s">
        <v>986</v>
      </c>
      <c r="E10" s="3500" t="s">
        <v>986</v>
      </c>
      <c r="F10" s="3500" t="s">
        <v>986</v>
      </c>
      <c r="G10" s="3500" t="s">
        <v>986</v>
      </c>
      <c r="H10" s="3500" t="s">
        <v>986</v>
      </c>
      <c r="I10" s="3500" t="s">
        <v>986</v>
      </c>
      <c r="J10" s="3500" t="s">
        <v>986</v>
      </c>
    </row>
    <row r="11" spans="1:16" x14ac:dyDescent="0.2">
      <c r="A11" s="3613" t="s">
        <v>1635</v>
      </c>
      <c r="B11" s="3500" t="s">
        <v>986</v>
      </c>
      <c r="C11" s="3500" t="s">
        <v>986</v>
      </c>
      <c r="D11" s="3500" t="s">
        <v>986</v>
      </c>
      <c r="E11" s="3500" t="s">
        <v>986</v>
      </c>
      <c r="F11" s="3500" t="s">
        <v>986</v>
      </c>
      <c r="G11" s="3500" t="s">
        <v>986</v>
      </c>
      <c r="H11" s="3500" t="s">
        <v>986</v>
      </c>
      <c r="I11" s="3500" t="s">
        <v>986</v>
      </c>
      <c r="J11" s="3500" t="s">
        <v>986</v>
      </c>
    </row>
    <row r="12" spans="1:16" x14ac:dyDescent="0.2">
      <c r="A12" s="3613" t="s">
        <v>1634</v>
      </c>
      <c r="B12" s="3500" t="s">
        <v>986</v>
      </c>
      <c r="C12" s="3500" t="s">
        <v>986</v>
      </c>
      <c r="D12" s="3500" t="s">
        <v>986</v>
      </c>
      <c r="E12" s="3500" t="s">
        <v>986</v>
      </c>
      <c r="F12" s="3500" t="s">
        <v>986</v>
      </c>
      <c r="G12" s="3500" t="s">
        <v>986</v>
      </c>
      <c r="H12" s="3500" t="s">
        <v>986</v>
      </c>
      <c r="I12" s="3500" t="s">
        <v>986</v>
      </c>
      <c r="J12" s="3500" t="s">
        <v>986</v>
      </c>
    </row>
    <row r="13" spans="1:16" x14ac:dyDescent="0.2">
      <c r="A13" s="3613" t="s">
        <v>1633</v>
      </c>
      <c r="B13" s="3500" t="s">
        <v>986</v>
      </c>
      <c r="C13" s="3500" t="s">
        <v>986</v>
      </c>
      <c r="D13" s="3500" t="s">
        <v>986</v>
      </c>
      <c r="E13" s="3500" t="s">
        <v>986</v>
      </c>
      <c r="F13" s="3500" t="s">
        <v>986</v>
      </c>
      <c r="G13" s="3500" t="s">
        <v>986</v>
      </c>
      <c r="H13" s="3500" t="s">
        <v>986</v>
      </c>
      <c r="I13" s="3500" t="s">
        <v>986</v>
      </c>
      <c r="J13" s="3500" t="s">
        <v>986</v>
      </c>
    </row>
    <row r="14" spans="1:16" x14ac:dyDescent="0.2">
      <c r="A14" s="3613" t="s">
        <v>1632</v>
      </c>
      <c r="B14" s="3500" t="s">
        <v>986</v>
      </c>
      <c r="C14" s="3500" t="s">
        <v>986</v>
      </c>
      <c r="D14" s="3500" t="s">
        <v>986</v>
      </c>
      <c r="E14" s="3500" t="s">
        <v>986</v>
      </c>
      <c r="F14" s="3500" t="s">
        <v>986</v>
      </c>
      <c r="G14" s="3500" t="s">
        <v>986</v>
      </c>
      <c r="H14" s="3500" t="s">
        <v>986</v>
      </c>
      <c r="I14" s="3500" t="s">
        <v>986</v>
      </c>
      <c r="J14" s="3500" t="s">
        <v>986</v>
      </c>
    </row>
    <row r="15" spans="1:16" x14ac:dyDescent="0.2">
      <c r="A15" s="3613" t="s">
        <v>1631</v>
      </c>
      <c r="B15" s="3500" t="s">
        <v>986</v>
      </c>
      <c r="C15" s="3500" t="s">
        <v>986</v>
      </c>
      <c r="D15" s="3500" t="s">
        <v>986</v>
      </c>
      <c r="E15" s="3500" t="s">
        <v>986</v>
      </c>
      <c r="F15" s="3500" t="s">
        <v>986</v>
      </c>
      <c r="G15" s="3500" t="s">
        <v>986</v>
      </c>
      <c r="H15" s="3500" t="s">
        <v>986</v>
      </c>
      <c r="I15" s="3500" t="s">
        <v>986</v>
      </c>
      <c r="J15" s="3500" t="s">
        <v>986</v>
      </c>
    </row>
    <row r="16" spans="1:16" x14ac:dyDescent="0.2">
      <c r="A16" s="3613" t="s">
        <v>1630</v>
      </c>
      <c r="B16" s="3500" t="s">
        <v>986</v>
      </c>
      <c r="C16" s="3500" t="s">
        <v>986</v>
      </c>
      <c r="D16" s="3500" t="s">
        <v>986</v>
      </c>
      <c r="E16" s="3500" t="s">
        <v>986</v>
      </c>
      <c r="F16" s="3500" t="s">
        <v>986</v>
      </c>
      <c r="G16" s="3500" t="s">
        <v>986</v>
      </c>
      <c r="H16" s="3500" t="s">
        <v>986</v>
      </c>
      <c r="I16" s="3500" t="s">
        <v>986</v>
      </c>
      <c r="J16" s="3500" t="s">
        <v>986</v>
      </c>
    </row>
    <row r="17" spans="1:10" x14ac:dyDescent="0.2">
      <c r="A17" s="3613" t="s">
        <v>1629</v>
      </c>
      <c r="B17" s="3500" t="s">
        <v>986</v>
      </c>
      <c r="C17" s="3500" t="s">
        <v>986</v>
      </c>
      <c r="D17" s="3500" t="s">
        <v>986</v>
      </c>
      <c r="E17" s="3500" t="s">
        <v>986</v>
      </c>
      <c r="F17" s="3500" t="s">
        <v>986</v>
      </c>
      <c r="G17" s="3500" t="s">
        <v>986</v>
      </c>
      <c r="H17" s="3500" t="s">
        <v>986</v>
      </c>
      <c r="I17" s="3500" t="s">
        <v>986</v>
      </c>
      <c r="J17" s="3500" t="s">
        <v>986</v>
      </c>
    </row>
    <row r="18" spans="1:10" x14ac:dyDescent="0.2">
      <c r="A18" s="3613" t="s">
        <v>1628</v>
      </c>
      <c r="B18" s="3500" t="s">
        <v>986</v>
      </c>
      <c r="C18" s="3500" t="s">
        <v>986</v>
      </c>
      <c r="D18" s="3500" t="s">
        <v>986</v>
      </c>
      <c r="E18" s="3500" t="s">
        <v>986</v>
      </c>
      <c r="F18" s="3500" t="s">
        <v>986</v>
      </c>
      <c r="G18" s="3500" t="s">
        <v>986</v>
      </c>
      <c r="H18" s="3500" t="s">
        <v>986</v>
      </c>
      <c r="I18" s="3500" t="s">
        <v>986</v>
      </c>
      <c r="J18" s="3500" t="s">
        <v>986</v>
      </c>
    </row>
    <row r="19" spans="1:10" x14ac:dyDescent="0.2">
      <c r="A19" s="3613" t="s">
        <v>1627</v>
      </c>
      <c r="B19" s="3500" t="s">
        <v>986</v>
      </c>
      <c r="C19" s="3500" t="s">
        <v>986</v>
      </c>
      <c r="D19" s="3500" t="s">
        <v>986</v>
      </c>
      <c r="E19" s="3500" t="s">
        <v>986</v>
      </c>
      <c r="F19" s="3500" t="s">
        <v>986</v>
      </c>
      <c r="G19" s="3500" t="s">
        <v>986</v>
      </c>
      <c r="H19" s="3500" t="s">
        <v>986</v>
      </c>
      <c r="I19" s="3500" t="s">
        <v>986</v>
      </c>
      <c r="J19" s="3500" t="s">
        <v>986</v>
      </c>
    </row>
    <row r="20" spans="1:10" x14ac:dyDescent="0.2">
      <c r="A20" s="3613" t="s">
        <v>1626</v>
      </c>
      <c r="B20" s="3500" t="s">
        <v>986</v>
      </c>
      <c r="C20" s="3500" t="s">
        <v>986</v>
      </c>
      <c r="D20" s="3500" t="s">
        <v>986</v>
      </c>
      <c r="E20" s="3500" t="s">
        <v>986</v>
      </c>
      <c r="F20" s="3500" t="s">
        <v>986</v>
      </c>
      <c r="G20" s="3500" t="s">
        <v>986</v>
      </c>
      <c r="H20" s="3500" t="s">
        <v>986</v>
      </c>
      <c r="I20" s="3500" t="s">
        <v>986</v>
      </c>
      <c r="J20" s="3500" t="s">
        <v>986</v>
      </c>
    </row>
    <row r="21" spans="1:10" x14ac:dyDescent="0.2">
      <c r="A21" s="3613" t="s">
        <v>1625</v>
      </c>
      <c r="B21" s="3500" t="s">
        <v>986</v>
      </c>
      <c r="C21" s="3500" t="s">
        <v>986</v>
      </c>
      <c r="D21" s="3500" t="s">
        <v>986</v>
      </c>
      <c r="E21" s="3500" t="s">
        <v>986</v>
      </c>
      <c r="F21" s="3500" t="s">
        <v>986</v>
      </c>
      <c r="G21" s="3500" t="s">
        <v>986</v>
      </c>
      <c r="H21" s="3500" t="s">
        <v>986</v>
      </c>
      <c r="I21" s="3500" t="s">
        <v>986</v>
      </c>
      <c r="J21" s="3500" t="s">
        <v>986</v>
      </c>
    </row>
    <row r="22" spans="1:10" x14ac:dyDescent="0.2">
      <c r="A22" s="3613" t="s">
        <v>1624</v>
      </c>
      <c r="B22" s="3500" t="s">
        <v>986</v>
      </c>
      <c r="C22" s="3500" t="s">
        <v>986</v>
      </c>
      <c r="D22" s="3500" t="s">
        <v>986</v>
      </c>
      <c r="E22" s="3500" t="s">
        <v>986</v>
      </c>
      <c r="F22" s="3500" t="s">
        <v>986</v>
      </c>
      <c r="G22" s="3500" t="s">
        <v>986</v>
      </c>
      <c r="H22" s="3500" t="s">
        <v>986</v>
      </c>
      <c r="I22" s="3500" t="s">
        <v>986</v>
      </c>
      <c r="J22" s="3500" t="s">
        <v>986</v>
      </c>
    </row>
    <row r="23" spans="1:10" x14ac:dyDescent="0.2">
      <c r="A23" s="3613" t="s">
        <v>1623</v>
      </c>
      <c r="B23" s="3500" t="s">
        <v>986</v>
      </c>
      <c r="C23" s="3500" t="s">
        <v>986</v>
      </c>
      <c r="D23" s="3500" t="s">
        <v>986</v>
      </c>
      <c r="E23" s="3500" t="s">
        <v>986</v>
      </c>
      <c r="F23" s="3500" t="s">
        <v>986</v>
      </c>
      <c r="G23" s="3500" t="s">
        <v>986</v>
      </c>
      <c r="H23" s="3500" t="s">
        <v>986</v>
      </c>
      <c r="I23" s="3500" t="s">
        <v>986</v>
      </c>
      <c r="J23" s="3500" t="s">
        <v>986</v>
      </c>
    </row>
    <row r="24" spans="1:10" x14ac:dyDescent="0.2">
      <c r="A24" s="3613" t="s">
        <v>1622</v>
      </c>
      <c r="B24" s="3500" t="s">
        <v>986</v>
      </c>
      <c r="C24" s="3500" t="s">
        <v>986</v>
      </c>
      <c r="D24" s="3500" t="s">
        <v>986</v>
      </c>
      <c r="E24" s="3500" t="s">
        <v>986</v>
      </c>
      <c r="F24" s="3500" t="s">
        <v>986</v>
      </c>
      <c r="G24" s="3500" t="s">
        <v>986</v>
      </c>
      <c r="H24" s="3500" t="s">
        <v>986</v>
      </c>
      <c r="I24" s="3500" t="s">
        <v>986</v>
      </c>
      <c r="J24" s="3500" t="s">
        <v>986</v>
      </c>
    </row>
    <row r="25" spans="1:10" x14ac:dyDescent="0.2">
      <c r="A25" s="3613" t="s">
        <v>1621</v>
      </c>
      <c r="B25" s="3500" t="s">
        <v>986</v>
      </c>
      <c r="C25" s="3500" t="s">
        <v>986</v>
      </c>
      <c r="D25" s="3500" t="s">
        <v>986</v>
      </c>
      <c r="E25" s="3500" t="s">
        <v>986</v>
      </c>
      <c r="F25" s="3500" t="s">
        <v>986</v>
      </c>
      <c r="G25" s="3500" t="s">
        <v>986</v>
      </c>
      <c r="H25" s="3500" t="s">
        <v>986</v>
      </c>
      <c r="I25" s="3500" t="s">
        <v>986</v>
      </c>
      <c r="J25" s="3500" t="s">
        <v>986</v>
      </c>
    </row>
    <row r="26" spans="1:10" x14ac:dyDescent="0.2">
      <c r="A26" s="3613" t="s">
        <v>1620</v>
      </c>
      <c r="B26" s="3500" t="s">
        <v>986</v>
      </c>
      <c r="C26" s="3500" t="s">
        <v>986</v>
      </c>
      <c r="D26" s="3500" t="s">
        <v>986</v>
      </c>
      <c r="E26" s="3500" t="s">
        <v>986</v>
      </c>
      <c r="F26" s="3500" t="s">
        <v>986</v>
      </c>
      <c r="G26" s="3500" t="s">
        <v>986</v>
      </c>
      <c r="H26" s="3500" t="s">
        <v>986</v>
      </c>
      <c r="I26" s="3500" t="s">
        <v>986</v>
      </c>
      <c r="J26" s="3500" t="s">
        <v>986</v>
      </c>
    </row>
    <row r="27" spans="1:10" x14ac:dyDescent="0.2">
      <c r="A27" s="3613" t="s">
        <v>1619</v>
      </c>
      <c r="B27" s="3500" t="s">
        <v>986</v>
      </c>
      <c r="C27" s="3500" t="s">
        <v>986</v>
      </c>
      <c r="D27" s="3500" t="s">
        <v>986</v>
      </c>
      <c r="E27" s="3500" t="s">
        <v>986</v>
      </c>
      <c r="F27" s="3500" t="s">
        <v>986</v>
      </c>
      <c r="G27" s="3500" t="s">
        <v>986</v>
      </c>
      <c r="H27" s="3500" t="s">
        <v>986</v>
      </c>
      <c r="I27" s="3500" t="s">
        <v>986</v>
      </c>
      <c r="J27" s="3500" t="s">
        <v>986</v>
      </c>
    </row>
    <row r="28" spans="1:10" x14ac:dyDescent="0.2">
      <c r="A28" s="3613" t="s">
        <v>1618</v>
      </c>
      <c r="B28" s="3500" t="s">
        <v>986</v>
      </c>
      <c r="C28" s="3500" t="s">
        <v>986</v>
      </c>
      <c r="D28" s="3500" t="s">
        <v>986</v>
      </c>
      <c r="E28" s="3500" t="s">
        <v>986</v>
      </c>
      <c r="F28" s="3500" t="s">
        <v>986</v>
      </c>
      <c r="G28" s="3500" t="s">
        <v>986</v>
      </c>
      <c r="H28" s="3500" t="s">
        <v>986</v>
      </c>
      <c r="I28" s="3500" t="s">
        <v>986</v>
      </c>
      <c r="J28" s="3500" t="s">
        <v>986</v>
      </c>
    </row>
    <row r="29" spans="1:10" x14ac:dyDescent="0.2">
      <c r="A29" s="3613" t="s">
        <v>1617</v>
      </c>
      <c r="B29" s="3500" t="s">
        <v>986</v>
      </c>
      <c r="C29" s="3500" t="s">
        <v>986</v>
      </c>
      <c r="D29" s="3500" t="s">
        <v>986</v>
      </c>
      <c r="E29" s="3500" t="s">
        <v>986</v>
      </c>
      <c r="F29" s="3500" t="s">
        <v>986</v>
      </c>
      <c r="G29" s="3500" t="s">
        <v>986</v>
      </c>
      <c r="H29" s="3500" t="s">
        <v>986</v>
      </c>
      <c r="I29" s="3500" t="s">
        <v>986</v>
      </c>
      <c r="J29" s="3500" t="s">
        <v>986</v>
      </c>
    </row>
    <row r="30" spans="1:10" x14ac:dyDescent="0.2">
      <c r="A30" s="3613" t="s">
        <v>1616</v>
      </c>
      <c r="B30" s="3500" t="s">
        <v>986</v>
      </c>
      <c r="C30" s="3500" t="s">
        <v>986</v>
      </c>
      <c r="D30" s="3500" t="s">
        <v>986</v>
      </c>
      <c r="E30" s="3500" t="s">
        <v>986</v>
      </c>
      <c r="F30" s="3500" t="s">
        <v>986</v>
      </c>
      <c r="G30" s="3500" t="s">
        <v>986</v>
      </c>
      <c r="H30" s="3500" t="s">
        <v>986</v>
      </c>
      <c r="I30" s="3500" t="s">
        <v>986</v>
      </c>
      <c r="J30" s="3500" t="s">
        <v>986</v>
      </c>
    </row>
    <row r="31" spans="1:10" x14ac:dyDescent="0.2">
      <c r="A31" s="3613" t="s">
        <v>1615</v>
      </c>
      <c r="B31" s="3500" t="s">
        <v>986</v>
      </c>
      <c r="C31" s="3500" t="s">
        <v>986</v>
      </c>
      <c r="D31" s="3500" t="s">
        <v>986</v>
      </c>
      <c r="E31" s="3500" t="s">
        <v>986</v>
      </c>
      <c r="F31" s="3500" t="s">
        <v>986</v>
      </c>
      <c r="G31" s="3500" t="s">
        <v>986</v>
      </c>
      <c r="H31" s="3500" t="s">
        <v>986</v>
      </c>
      <c r="I31" s="3500" t="s">
        <v>986</v>
      </c>
      <c r="J31" s="3500" t="s">
        <v>986</v>
      </c>
    </row>
    <row r="32" spans="1:10" x14ac:dyDescent="0.2">
      <c r="A32" s="3613" t="s">
        <v>1614</v>
      </c>
      <c r="B32" s="3500" t="s">
        <v>986</v>
      </c>
      <c r="C32" s="3500" t="s">
        <v>986</v>
      </c>
      <c r="D32" s="3500" t="s">
        <v>986</v>
      </c>
      <c r="E32" s="3500" t="s">
        <v>986</v>
      </c>
      <c r="F32" s="3500" t="s">
        <v>986</v>
      </c>
      <c r="G32" s="3500" t="s">
        <v>986</v>
      </c>
      <c r="H32" s="3500" t="s">
        <v>986</v>
      </c>
      <c r="I32" s="3500" t="s">
        <v>986</v>
      </c>
      <c r="J32" s="3500" t="s">
        <v>986</v>
      </c>
    </row>
    <row r="33" spans="1:10" x14ac:dyDescent="0.2">
      <c r="A33" s="3613" t="s">
        <v>1613</v>
      </c>
      <c r="B33" s="3500" t="s">
        <v>986</v>
      </c>
      <c r="C33" s="3500" t="s">
        <v>986</v>
      </c>
      <c r="D33" s="3500" t="s">
        <v>986</v>
      </c>
      <c r="E33" s="3500" t="s">
        <v>986</v>
      </c>
      <c r="F33" s="3500" t="s">
        <v>986</v>
      </c>
      <c r="G33" s="3500" t="s">
        <v>986</v>
      </c>
      <c r="H33" s="3500" t="s">
        <v>986</v>
      </c>
      <c r="I33" s="3500" t="s">
        <v>986</v>
      </c>
      <c r="J33" s="3500" t="s">
        <v>986</v>
      </c>
    </row>
    <row r="34" spans="1:10" x14ac:dyDescent="0.2">
      <c r="A34" s="3613" t="s">
        <v>1612</v>
      </c>
      <c r="B34" s="3500" t="s">
        <v>986</v>
      </c>
      <c r="C34" s="3500" t="s">
        <v>986</v>
      </c>
      <c r="D34" s="3500" t="s">
        <v>986</v>
      </c>
      <c r="E34" s="3500" t="s">
        <v>986</v>
      </c>
      <c r="F34" s="3500" t="s">
        <v>986</v>
      </c>
      <c r="G34" s="3500" t="s">
        <v>986</v>
      </c>
      <c r="H34" s="3500" t="s">
        <v>986</v>
      </c>
      <c r="I34" s="3500" t="s">
        <v>986</v>
      </c>
      <c r="J34" s="3500" t="s">
        <v>986</v>
      </c>
    </row>
    <row r="35" spans="1:10" x14ac:dyDescent="0.2">
      <c r="A35" s="3613" t="s">
        <v>1611</v>
      </c>
      <c r="B35" s="3500" t="s">
        <v>986</v>
      </c>
      <c r="C35" s="3500" t="s">
        <v>986</v>
      </c>
      <c r="D35" s="3500" t="s">
        <v>986</v>
      </c>
      <c r="E35" s="3500" t="s">
        <v>986</v>
      </c>
      <c r="F35" s="3500" t="s">
        <v>986</v>
      </c>
      <c r="G35" s="3500" t="s">
        <v>986</v>
      </c>
      <c r="H35" s="3500" t="s">
        <v>986</v>
      </c>
      <c r="I35" s="3500" t="s">
        <v>986</v>
      </c>
      <c r="J35" s="3500" t="s">
        <v>986</v>
      </c>
    </row>
    <row r="36" spans="1:10" x14ac:dyDescent="0.2">
      <c r="A36" s="3613" t="s">
        <v>1610</v>
      </c>
      <c r="B36" s="3500" t="s">
        <v>986</v>
      </c>
      <c r="C36" s="3500" t="s">
        <v>986</v>
      </c>
      <c r="D36" s="3500" t="s">
        <v>986</v>
      </c>
      <c r="E36" s="3500" t="s">
        <v>986</v>
      </c>
      <c r="F36" s="3500" t="s">
        <v>986</v>
      </c>
      <c r="G36" s="3500" t="s">
        <v>986</v>
      </c>
      <c r="H36" s="3500" t="s">
        <v>986</v>
      </c>
      <c r="I36" s="3500" t="s">
        <v>986</v>
      </c>
      <c r="J36" s="3500" t="s">
        <v>986</v>
      </c>
    </row>
    <row r="37" spans="1:10" x14ac:dyDescent="0.2">
      <c r="A37" s="3613" t="s">
        <v>1609</v>
      </c>
      <c r="B37" s="3500" t="s">
        <v>986</v>
      </c>
      <c r="C37" s="3500" t="s">
        <v>986</v>
      </c>
      <c r="D37" s="3500" t="s">
        <v>986</v>
      </c>
      <c r="E37" s="3500" t="s">
        <v>986</v>
      </c>
      <c r="F37" s="3500" t="s">
        <v>986</v>
      </c>
      <c r="G37" s="3500" t="s">
        <v>986</v>
      </c>
      <c r="H37" s="3500" t="s">
        <v>986</v>
      </c>
      <c r="I37" s="3500" t="s">
        <v>986</v>
      </c>
      <c r="J37" s="3500" t="s">
        <v>986</v>
      </c>
    </row>
    <row r="38" spans="1:10" x14ac:dyDescent="0.2">
      <c r="A38" s="3613" t="s">
        <v>1608</v>
      </c>
      <c r="B38" s="3500" t="s">
        <v>986</v>
      </c>
      <c r="C38" s="3500" t="s">
        <v>986</v>
      </c>
      <c r="D38" s="3500" t="s">
        <v>986</v>
      </c>
      <c r="E38" s="3500" t="s">
        <v>986</v>
      </c>
      <c r="F38" s="3500" t="s">
        <v>986</v>
      </c>
      <c r="G38" s="3500" t="s">
        <v>986</v>
      </c>
      <c r="H38" s="3500" t="s">
        <v>986</v>
      </c>
      <c r="I38" s="3500" t="s">
        <v>986</v>
      </c>
      <c r="J38" s="3500" t="s">
        <v>986</v>
      </c>
    </row>
    <row r="39" spans="1:10" x14ac:dyDescent="0.2">
      <c r="A39" s="3613" t="s">
        <v>1607</v>
      </c>
      <c r="B39" s="3500" t="s">
        <v>986</v>
      </c>
      <c r="C39" s="3500" t="s">
        <v>986</v>
      </c>
      <c r="D39" s="3500" t="s">
        <v>986</v>
      </c>
      <c r="E39" s="3500" t="s">
        <v>986</v>
      </c>
      <c r="F39" s="3500" t="s">
        <v>986</v>
      </c>
      <c r="G39" s="3500" t="s">
        <v>986</v>
      </c>
      <c r="H39" s="3500" t="s">
        <v>986</v>
      </c>
      <c r="I39" s="3500" t="s">
        <v>986</v>
      </c>
      <c r="J39" s="3500" t="s">
        <v>986</v>
      </c>
    </row>
    <row r="40" spans="1:10" x14ac:dyDescent="0.2">
      <c r="A40" s="3613" t="s">
        <v>1606</v>
      </c>
      <c r="B40" s="3500">
        <v>339361.22093000001</v>
      </c>
      <c r="C40" s="3500">
        <v>1496000</v>
      </c>
      <c r="D40" s="3500">
        <v>33857.630601999997</v>
      </c>
      <c r="E40" s="3500">
        <v>306200</v>
      </c>
      <c r="F40" s="3500">
        <v>589200</v>
      </c>
      <c r="G40" s="3500">
        <v>105500</v>
      </c>
      <c r="H40" s="3500">
        <v>335000</v>
      </c>
      <c r="I40" s="3500">
        <v>1165700</v>
      </c>
      <c r="J40" s="3500">
        <v>218100</v>
      </c>
    </row>
    <row r="41" spans="1:10" x14ac:dyDescent="0.2">
      <c r="A41" s="3613" t="s">
        <v>1605</v>
      </c>
      <c r="B41" s="3500">
        <v>264951.14730999997</v>
      </c>
      <c r="C41" s="3500">
        <v>1483000</v>
      </c>
      <c r="D41" s="3500">
        <v>16743.903237999999</v>
      </c>
      <c r="E41" s="3500">
        <v>264200</v>
      </c>
      <c r="F41" s="3500">
        <v>556000</v>
      </c>
      <c r="G41" s="3500">
        <v>102200</v>
      </c>
      <c r="H41" s="3500">
        <v>356000</v>
      </c>
      <c r="I41" s="3500">
        <v>1203700</v>
      </c>
      <c r="J41" s="3500">
        <v>223300</v>
      </c>
    </row>
    <row r="42" spans="1:10" x14ac:dyDescent="0.2">
      <c r="A42" s="3613" t="s">
        <v>1604</v>
      </c>
      <c r="B42" s="3500">
        <v>293062.29751</v>
      </c>
      <c r="C42" s="3500">
        <v>1735833</v>
      </c>
      <c r="D42" s="3500">
        <v>81816.536814000006</v>
      </c>
      <c r="E42" s="3500">
        <v>287000</v>
      </c>
      <c r="F42" s="3500">
        <v>536718</v>
      </c>
      <c r="G42" s="3500">
        <v>110747</v>
      </c>
      <c r="H42" s="3500">
        <v>317000</v>
      </c>
      <c r="I42" s="3500">
        <v>1034124</v>
      </c>
      <c r="J42" s="3500">
        <v>189060</v>
      </c>
    </row>
    <row r="43" spans="1:10" x14ac:dyDescent="0.2">
      <c r="A43" s="3613" t="s">
        <v>1603</v>
      </c>
      <c r="B43" s="3500">
        <v>362455.97227999999</v>
      </c>
      <c r="C43" s="3500">
        <v>1722000</v>
      </c>
      <c r="D43" s="3500">
        <v>75586.562791999997</v>
      </c>
      <c r="E43" s="3500">
        <v>414000</v>
      </c>
      <c r="F43" s="3500">
        <v>476600</v>
      </c>
      <c r="G43" s="3500">
        <v>107959</v>
      </c>
      <c r="H43" s="3500">
        <v>339000</v>
      </c>
      <c r="I43" s="3500">
        <v>880000</v>
      </c>
      <c r="J43" s="3500">
        <v>129765</v>
      </c>
    </row>
    <row r="44" spans="1:10" x14ac:dyDescent="0.2">
      <c r="A44" s="3613" t="s">
        <v>1602</v>
      </c>
      <c r="B44" s="3500">
        <v>384594.23787999997</v>
      </c>
      <c r="C44" s="3500">
        <v>2326000</v>
      </c>
      <c r="D44" s="3500">
        <v>67431.594259999998</v>
      </c>
      <c r="E44" s="3500">
        <v>432000</v>
      </c>
      <c r="F44" s="3500">
        <v>576000</v>
      </c>
      <c r="G44" s="3500">
        <v>126000</v>
      </c>
      <c r="H44" s="3500">
        <v>345000</v>
      </c>
      <c r="I44" s="3500">
        <v>1091000</v>
      </c>
      <c r="J44" s="3500">
        <v>242300</v>
      </c>
    </row>
    <row r="45" spans="1:10" x14ac:dyDescent="0.2">
      <c r="A45" s="3613" t="s">
        <v>1601</v>
      </c>
      <c r="B45" s="3500">
        <v>398208.91083000001</v>
      </c>
      <c r="C45" s="3500">
        <v>1921000</v>
      </c>
      <c r="D45" s="3500">
        <v>67950.787117999993</v>
      </c>
      <c r="E45" s="3500">
        <v>432000</v>
      </c>
      <c r="F45" s="3500">
        <v>570000</v>
      </c>
      <c r="G45" s="3500">
        <v>118000</v>
      </c>
      <c r="H45" s="3500">
        <v>345000</v>
      </c>
      <c r="I45" s="3500">
        <v>1044000</v>
      </c>
      <c r="J45" s="3500">
        <v>241500</v>
      </c>
    </row>
    <row r="46" spans="1:10" x14ac:dyDescent="0.2">
      <c r="A46" s="3613" t="s">
        <v>1600</v>
      </c>
      <c r="B46" s="3500">
        <v>456925.52717999998</v>
      </c>
      <c r="C46" s="3500">
        <v>1630000</v>
      </c>
      <c r="D46" s="3500">
        <v>69897.61937</v>
      </c>
      <c r="E46" s="3500">
        <v>432000</v>
      </c>
      <c r="F46" s="3500">
        <v>525100</v>
      </c>
      <c r="G46" s="3500">
        <v>124000</v>
      </c>
      <c r="H46" s="3500">
        <v>345000</v>
      </c>
      <c r="I46" s="3500">
        <v>1047000</v>
      </c>
      <c r="J46" s="3500">
        <v>241000</v>
      </c>
    </row>
    <row r="47" spans="1:10" x14ac:dyDescent="0.2">
      <c r="A47" s="3613" t="s">
        <v>1599</v>
      </c>
      <c r="B47" s="3500">
        <v>500541.25858000002</v>
      </c>
      <c r="C47" s="3500">
        <v>2354000</v>
      </c>
      <c r="D47" s="3500">
        <v>147676.93231</v>
      </c>
      <c r="E47" s="3500">
        <v>417000</v>
      </c>
      <c r="F47" s="3500">
        <v>724700</v>
      </c>
      <c r="G47" s="3500">
        <v>238800</v>
      </c>
      <c r="H47" s="3500">
        <v>391000</v>
      </c>
      <c r="I47" s="3500">
        <v>1147300</v>
      </c>
      <c r="J47" s="3500">
        <v>251500</v>
      </c>
    </row>
    <row r="48" spans="1:10" x14ac:dyDescent="0.2">
      <c r="A48" s="3613" t="s">
        <v>1598</v>
      </c>
      <c r="B48" s="3500">
        <v>443284.67806000001</v>
      </c>
      <c r="C48" s="3500">
        <v>4383000</v>
      </c>
      <c r="D48" s="3500">
        <v>125233.00418</v>
      </c>
      <c r="E48" s="3500">
        <v>405000</v>
      </c>
      <c r="F48" s="3500">
        <v>990000</v>
      </c>
      <c r="G48" s="3500">
        <v>199500</v>
      </c>
      <c r="H48" s="3500">
        <v>393000</v>
      </c>
      <c r="I48" s="3500">
        <v>1154000</v>
      </c>
      <c r="J48" s="3500">
        <v>236000</v>
      </c>
    </row>
    <row r="49" spans="1:10" x14ac:dyDescent="0.2">
      <c r="A49" s="3613" t="s">
        <v>1597</v>
      </c>
      <c r="B49" s="3500">
        <v>441924.20535</v>
      </c>
      <c r="C49" s="3500">
        <v>4744000</v>
      </c>
      <c r="D49" s="3500">
        <v>120037.53537</v>
      </c>
      <c r="E49" s="3500">
        <v>352000</v>
      </c>
      <c r="F49" s="3500">
        <v>1036000</v>
      </c>
      <c r="G49" s="3500">
        <v>207000</v>
      </c>
      <c r="H49" s="3500">
        <v>397000</v>
      </c>
      <c r="I49" s="3500">
        <v>1185000</v>
      </c>
      <c r="J49" s="3500">
        <v>254000</v>
      </c>
    </row>
    <row r="50" spans="1:10" x14ac:dyDescent="0.2">
      <c r="A50" s="3613" t="s">
        <v>1596</v>
      </c>
      <c r="B50" s="3500">
        <v>411572.85252999997</v>
      </c>
      <c r="C50" s="3500">
        <v>2925000</v>
      </c>
      <c r="D50" s="3500">
        <v>105434.24169</v>
      </c>
      <c r="E50" s="3500">
        <v>448000</v>
      </c>
      <c r="F50" s="3500">
        <v>1032000</v>
      </c>
      <c r="G50" s="3500">
        <v>144000</v>
      </c>
      <c r="H50" s="3500">
        <v>263000</v>
      </c>
      <c r="I50" s="3500">
        <v>1151000</v>
      </c>
      <c r="J50" s="3500">
        <v>239270</v>
      </c>
    </row>
    <row r="51" spans="1:10" x14ac:dyDescent="0.2">
      <c r="A51" s="3613" t="s">
        <v>1595</v>
      </c>
      <c r="B51" s="3500">
        <v>328396.21136999998</v>
      </c>
      <c r="C51" s="3500">
        <v>2659000</v>
      </c>
      <c r="D51" s="3500">
        <v>80012.220799999996</v>
      </c>
      <c r="E51" s="3500">
        <v>378000</v>
      </c>
      <c r="F51" s="3500">
        <v>1088000</v>
      </c>
      <c r="G51" s="3500">
        <v>94018</v>
      </c>
      <c r="H51" s="3500">
        <v>389000</v>
      </c>
      <c r="I51" s="3500">
        <v>1139150</v>
      </c>
      <c r="J51" s="3500">
        <v>200170</v>
      </c>
    </row>
    <row r="52" spans="1:10" x14ac:dyDescent="0.2">
      <c r="A52" s="3613" t="s">
        <v>1594</v>
      </c>
      <c r="B52" s="3500">
        <v>270229.17060000001</v>
      </c>
      <c r="C52" s="3500">
        <v>2679269</v>
      </c>
      <c r="D52" s="3500">
        <v>62093.014913999999</v>
      </c>
      <c r="E52" s="3500">
        <v>350000</v>
      </c>
      <c r="F52" s="3500">
        <v>1184198</v>
      </c>
      <c r="G52" s="3500">
        <v>108652</v>
      </c>
      <c r="H52" s="3500">
        <v>383728</v>
      </c>
      <c r="I52" s="3500">
        <v>1138274</v>
      </c>
      <c r="J52" s="3500">
        <v>239011</v>
      </c>
    </row>
    <row r="53" spans="1:10" x14ac:dyDescent="0.2">
      <c r="A53" s="3613" t="s">
        <v>1593</v>
      </c>
      <c r="B53" s="3500">
        <v>309128.22749000002</v>
      </c>
      <c r="C53" s="3500">
        <v>2301681</v>
      </c>
      <c r="D53" s="3500">
        <v>66907.330585000003</v>
      </c>
      <c r="E53" s="3500">
        <v>401000</v>
      </c>
      <c r="F53" s="3500">
        <v>1298779</v>
      </c>
      <c r="G53" s="3500">
        <v>151792</v>
      </c>
      <c r="H53" s="3500">
        <v>388331</v>
      </c>
      <c r="I53" s="3500">
        <v>1165920</v>
      </c>
      <c r="J53" s="3500">
        <v>230331</v>
      </c>
    </row>
    <row r="54" spans="1:10" x14ac:dyDescent="0.2">
      <c r="A54" s="3613" t="s">
        <v>1592</v>
      </c>
      <c r="B54" s="3500">
        <v>275317.00290999998</v>
      </c>
      <c r="C54" s="3500">
        <v>2350616</v>
      </c>
      <c r="D54" s="3500">
        <v>55286.340595000001</v>
      </c>
      <c r="E54" s="3500">
        <v>360000</v>
      </c>
      <c r="F54" s="3500">
        <v>1467745</v>
      </c>
      <c r="G54" s="3500">
        <v>172841</v>
      </c>
      <c r="H54" s="3500">
        <v>402043</v>
      </c>
      <c r="I54" s="3500">
        <v>1219631</v>
      </c>
      <c r="J54" s="3500">
        <v>275522</v>
      </c>
    </row>
    <row r="55" spans="1:10" x14ac:dyDescent="0.2">
      <c r="A55" s="3613" t="s">
        <v>1591</v>
      </c>
      <c r="B55" s="3500">
        <v>312454.51329999999</v>
      </c>
      <c r="C55" s="3500">
        <v>2200547</v>
      </c>
      <c r="D55" s="3500">
        <v>58496.597637999999</v>
      </c>
      <c r="E55" s="3500">
        <v>345000</v>
      </c>
      <c r="F55" s="3500">
        <v>1490074</v>
      </c>
      <c r="G55" s="3500">
        <v>115850</v>
      </c>
      <c r="H55" s="3500">
        <v>422624</v>
      </c>
      <c r="I55" s="3500">
        <v>1207876</v>
      </c>
      <c r="J55" s="3500">
        <v>307525</v>
      </c>
    </row>
    <row r="56" spans="1:10" x14ac:dyDescent="0.2">
      <c r="A56" s="3613" t="s">
        <v>1590</v>
      </c>
      <c r="B56" s="3500">
        <v>314735.21117000002</v>
      </c>
      <c r="C56" s="3500">
        <v>2650861</v>
      </c>
      <c r="D56" s="3500">
        <v>54256.905804000002</v>
      </c>
      <c r="E56" s="3500">
        <v>350500</v>
      </c>
      <c r="F56" s="3500">
        <v>1612722</v>
      </c>
      <c r="G56" s="3500">
        <v>169412</v>
      </c>
      <c r="H56" s="3500">
        <v>441917</v>
      </c>
      <c r="I56" s="3500">
        <v>1205837</v>
      </c>
      <c r="J56" s="3500">
        <v>266551</v>
      </c>
    </row>
    <row r="57" spans="1:10" x14ac:dyDescent="0.2">
      <c r="A57" s="3613" t="s">
        <v>1589</v>
      </c>
      <c r="B57" s="3500">
        <v>317015.90904</v>
      </c>
      <c r="C57" s="3500">
        <v>2298201</v>
      </c>
      <c r="D57" s="3500">
        <v>49827.584876000001</v>
      </c>
      <c r="E57" s="3500">
        <v>356000</v>
      </c>
      <c r="F57" s="3500">
        <v>1916925</v>
      </c>
      <c r="G57" s="3500">
        <v>160117</v>
      </c>
      <c r="H57" s="3500">
        <v>416936</v>
      </c>
      <c r="I57" s="3500">
        <v>1302009</v>
      </c>
      <c r="J57" s="3500">
        <v>264939</v>
      </c>
    </row>
    <row r="58" spans="1:10" x14ac:dyDescent="0.2">
      <c r="A58" s="3613" t="s">
        <v>1588</v>
      </c>
      <c r="B58" s="3500">
        <v>324759.82900999999</v>
      </c>
      <c r="C58" s="3500">
        <v>1775438</v>
      </c>
      <c r="D58" s="3500">
        <v>45991.036334999997</v>
      </c>
      <c r="E58" s="3500">
        <v>446000</v>
      </c>
      <c r="F58" s="3500">
        <v>1876119</v>
      </c>
      <c r="G58" s="3500">
        <v>224095</v>
      </c>
      <c r="H58" s="3500">
        <v>417936</v>
      </c>
      <c r="I58" s="3500">
        <v>1208739</v>
      </c>
      <c r="J58" s="3500">
        <v>253737</v>
      </c>
    </row>
    <row r="59" spans="1:10" x14ac:dyDescent="0.2">
      <c r="A59" s="3613" t="s">
        <v>1587</v>
      </c>
      <c r="B59" s="3500">
        <v>332503.74897999997</v>
      </c>
      <c r="C59" s="3500">
        <v>1246520</v>
      </c>
      <c r="D59" s="3500">
        <v>41839.527127000001</v>
      </c>
      <c r="E59" s="3500">
        <v>446000</v>
      </c>
      <c r="F59" s="3500">
        <v>1009395</v>
      </c>
      <c r="G59" s="3500">
        <v>169400</v>
      </c>
      <c r="H59" s="3500">
        <v>518936</v>
      </c>
      <c r="I59" s="3500">
        <v>980856</v>
      </c>
      <c r="J59" s="3500">
        <v>238827</v>
      </c>
    </row>
    <row r="60" spans="1:10" x14ac:dyDescent="0.2">
      <c r="A60" s="3613" t="s">
        <v>1586</v>
      </c>
      <c r="B60" s="3500">
        <v>340247.66895000002</v>
      </c>
      <c r="C60" s="3500">
        <v>1310706</v>
      </c>
      <c r="D60" s="3500">
        <v>37373.057250999998</v>
      </c>
      <c r="E60" s="3500">
        <v>435414</v>
      </c>
      <c r="F60" s="3500">
        <v>882935</v>
      </c>
      <c r="G60" s="3500">
        <v>158193</v>
      </c>
      <c r="H60" s="3500">
        <v>534932</v>
      </c>
      <c r="I60" s="3500">
        <v>1026095</v>
      </c>
      <c r="J60" s="3500">
        <v>233427</v>
      </c>
    </row>
    <row r="61" spans="1:10" x14ac:dyDescent="0.2">
      <c r="A61" s="3613" t="s">
        <v>1585</v>
      </c>
      <c r="B61" s="3500">
        <v>357748.5</v>
      </c>
      <c r="C61" s="3500">
        <v>1356124</v>
      </c>
      <c r="D61" s="3500">
        <v>33653.188562000003</v>
      </c>
      <c r="E61" s="3500">
        <v>367000</v>
      </c>
      <c r="F61" s="3500">
        <v>1027444</v>
      </c>
      <c r="G61" s="3500">
        <v>25690</v>
      </c>
      <c r="H61" s="3500">
        <v>522699</v>
      </c>
      <c r="I61" s="3500">
        <v>993767</v>
      </c>
      <c r="J61" s="3500">
        <v>254882</v>
      </c>
    </row>
    <row r="62" spans="1:10" x14ac:dyDescent="0.2">
      <c r="A62" s="3613" t="s">
        <v>1584</v>
      </c>
      <c r="B62" s="3500">
        <v>353762</v>
      </c>
      <c r="C62" s="3500">
        <v>1370738</v>
      </c>
      <c r="D62" s="3500">
        <v>43304.341958999998</v>
      </c>
      <c r="E62" s="3500">
        <v>340000</v>
      </c>
      <c r="F62" s="3500">
        <v>745524</v>
      </c>
      <c r="G62" s="3500">
        <v>37400</v>
      </c>
      <c r="H62" s="3500">
        <v>522110</v>
      </c>
      <c r="I62" s="3500">
        <v>727965</v>
      </c>
      <c r="J62" s="3500">
        <v>155479</v>
      </c>
    </row>
    <row r="63" spans="1:10" x14ac:dyDescent="0.2">
      <c r="A63" s="3613" t="s">
        <v>1583</v>
      </c>
      <c r="B63" s="3500">
        <v>357602</v>
      </c>
      <c r="C63" s="3500">
        <v>1886000</v>
      </c>
      <c r="D63" s="3500">
        <v>55307.922826000002</v>
      </c>
      <c r="E63" s="3500">
        <v>346000</v>
      </c>
      <c r="F63" s="3500">
        <v>749612</v>
      </c>
      <c r="G63" s="3500">
        <v>41520</v>
      </c>
      <c r="H63" s="3500">
        <v>522110</v>
      </c>
      <c r="I63" s="3500">
        <v>761665</v>
      </c>
      <c r="J63" s="3500">
        <v>127898</v>
      </c>
    </row>
    <row r="64" spans="1:10" x14ac:dyDescent="0.2">
      <c r="A64" s="3613" t="s">
        <v>1582</v>
      </c>
      <c r="B64" s="3500">
        <v>415219.66126000002</v>
      </c>
      <c r="C64" s="3500">
        <v>1878000</v>
      </c>
      <c r="D64" s="3500">
        <v>69046.117394000001</v>
      </c>
      <c r="E64" s="3500">
        <v>367000</v>
      </c>
      <c r="F64" s="3500">
        <v>749612</v>
      </c>
      <c r="G64" s="3500">
        <v>51380</v>
      </c>
      <c r="H64" s="3500">
        <v>522110</v>
      </c>
      <c r="I64" s="3500">
        <v>761665</v>
      </c>
      <c r="J64" s="3500">
        <v>127898</v>
      </c>
    </row>
    <row r="65" spans="1:16" x14ac:dyDescent="0.2">
      <c r="A65" s="3613" t="s">
        <v>1581</v>
      </c>
      <c r="B65" s="3500">
        <v>427699.74852000002</v>
      </c>
      <c r="C65" s="3500">
        <v>2199000</v>
      </c>
      <c r="D65" s="3500">
        <v>87222.290177999996</v>
      </c>
      <c r="E65" s="3500">
        <v>387000</v>
      </c>
      <c r="F65" s="3500">
        <v>749612</v>
      </c>
      <c r="G65" s="3500">
        <v>51380</v>
      </c>
      <c r="H65" s="3500">
        <v>481520</v>
      </c>
      <c r="I65" s="3500">
        <v>761665</v>
      </c>
      <c r="J65" s="3500">
        <v>127898</v>
      </c>
    </row>
    <row r="66" spans="1:16" x14ac:dyDescent="0.2">
      <c r="A66" s="3613" t="s">
        <v>1580</v>
      </c>
      <c r="B66" s="3500">
        <v>448401.01948999998</v>
      </c>
      <c r="C66" s="3500">
        <v>1634000</v>
      </c>
      <c r="D66" s="3500">
        <v>58647.385440999999</v>
      </c>
      <c r="E66" s="3500">
        <v>387000</v>
      </c>
      <c r="F66" s="3500">
        <v>749612</v>
      </c>
      <c r="G66" s="3500">
        <v>51380</v>
      </c>
      <c r="H66" s="3500">
        <v>481520</v>
      </c>
      <c r="I66" s="3500">
        <v>761665</v>
      </c>
      <c r="J66" s="3500">
        <v>127898</v>
      </c>
    </row>
    <row r="67" spans="1:16" x14ac:dyDescent="0.2">
      <c r="A67" s="3613" t="s">
        <v>1579</v>
      </c>
      <c r="B67" s="3500">
        <v>382000</v>
      </c>
      <c r="C67" s="3500">
        <v>1634000</v>
      </c>
      <c r="D67" s="3500">
        <v>56440</v>
      </c>
      <c r="E67" s="3500">
        <v>428300</v>
      </c>
      <c r="F67" s="3500">
        <v>877554</v>
      </c>
      <c r="G67" s="3500">
        <v>55679</v>
      </c>
      <c r="H67" s="3500">
        <v>147000</v>
      </c>
      <c r="I67" s="3500">
        <v>873067</v>
      </c>
      <c r="J67" s="3500">
        <v>115996</v>
      </c>
    </row>
    <row r="68" spans="1:16" x14ac:dyDescent="0.2">
      <c r="A68" s="3613" t="s">
        <v>1578</v>
      </c>
      <c r="B68" s="3500">
        <v>270315</v>
      </c>
      <c r="C68" s="3500">
        <v>2543653</v>
      </c>
      <c r="D68" s="3500">
        <v>36792</v>
      </c>
      <c r="E68" s="3500">
        <v>428300</v>
      </c>
      <c r="F68" s="3500">
        <v>738521</v>
      </c>
      <c r="G68" s="3500">
        <v>55679</v>
      </c>
      <c r="H68" s="3500">
        <v>147000</v>
      </c>
      <c r="I68" s="3500">
        <v>807522</v>
      </c>
      <c r="J68" s="3500">
        <v>115996</v>
      </c>
    </row>
    <row r="69" spans="1:16" x14ac:dyDescent="0.2">
      <c r="A69" s="3613" t="s">
        <v>1764</v>
      </c>
      <c r="B69" s="3500">
        <v>394267</v>
      </c>
      <c r="C69" s="3500">
        <v>2978046</v>
      </c>
      <c r="D69" s="3500">
        <v>45181</v>
      </c>
      <c r="E69" s="3500">
        <v>349000</v>
      </c>
      <c r="F69" s="3500">
        <v>892728</v>
      </c>
      <c r="G69" s="3500">
        <v>45370</v>
      </c>
      <c r="H69" s="3500">
        <v>152000</v>
      </c>
      <c r="I69" s="3500">
        <v>790151</v>
      </c>
      <c r="J69" s="3500">
        <v>176</v>
      </c>
    </row>
    <row r="70" spans="1:16" x14ac:dyDescent="0.2">
      <c r="A70" s="766" t="s">
        <v>1577</v>
      </c>
      <c r="B70" s="660"/>
      <c r="C70" s="660"/>
      <c r="D70" s="660"/>
      <c r="E70" s="660"/>
      <c r="F70" s="660"/>
      <c r="G70" s="660"/>
      <c r="H70" s="660"/>
      <c r="I70" s="660"/>
      <c r="J70" s="660"/>
      <c r="K70" s="660"/>
      <c r="L70" s="660"/>
      <c r="M70" s="660"/>
      <c r="N70" s="660"/>
      <c r="O70" s="660"/>
      <c r="P70" s="660"/>
    </row>
    <row r="71" spans="1:16" ht="13.5" x14ac:dyDescent="0.2">
      <c r="A71" s="5610" t="s">
        <v>1576</v>
      </c>
      <c r="B71" s="5610"/>
      <c r="C71" s="5610"/>
      <c r="D71" s="5610"/>
      <c r="E71" s="5610"/>
      <c r="F71" s="5610"/>
      <c r="G71" s="5610"/>
      <c r="H71" s="5610"/>
      <c r="I71" s="5610"/>
      <c r="J71" s="5610"/>
      <c r="K71" s="660"/>
      <c r="L71" s="660"/>
      <c r="M71" s="660"/>
      <c r="N71" s="660"/>
      <c r="O71" s="660"/>
      <c r="P71" s="660"/>
    </row>
    <row r="72" spans="1:16" ht="13.5" x14ac:dyDescent="0.2">
      <c r="A72" s="5610" t="s">
        <v>1575</v>
      </c>
      <c r="B72" s="5610"/>
      <c r="C72" s="5610"/>
      <c r="D72" s="5610"/>
      <c r="E72" s="5610"/>
      <c r="F72" s="5610"/>
      <c r="G72" s="5610"/>
      <c r="H72" s="5610"/>
      <c r="I72" s="5610"/>
      <c r="J72" s="5610"/>
      <c r="K72" s="660"/>
      <c r="L72" s="660"/>
      <c r="M72" s="660"/>
      <c r="N72" s="660"/>
      <c r="O72" s="660"/>
      <c r="P72" s="660"/>
    </row>
    <row r="73" spans="1:16" ht="13.5" x14ac:dyDescent="0.2">
      <c r="A73" s="5610" t="s">
        <v>1574</v>
      </c>
      <c r="B73" s="5610"/>
      <c r="C73" s="5610"/>
      <c r="D73" s="5610"/>
      <c r="E73" s="5610"/>
      <c r="F73" s="5610"/>
      <c r="G73" s="5610"/>
      <c r="H73" s="5610"/>
      <c r="I73" s="5610"/>
      <c r="J73" s="5610"/>
      <c r="K73" s="660"/>
      <c r="L73" s="660"/>
      <c r="M73" s="660"/>
      <c r="N73" s="660"/>
      <c r="O73" s="660"/>
      <c r="P73" s="660"/>
    </row>
    <row r="74" spans="1:16" x14ac:dyDescent="0.2">
      <c r="A74" s="5611" t="s">
        <v>1573</v>
      </c>
      <c r="B74" s="5611"/>
      <c r="C74" s="5611"/>
      <c r="D74" s="5611"/>
      <c r="E74" s="5611"/>
      <c r="F74" s="5611"/>
      <c r="G74" s="5611"/>
      <c r="H74" s="5611"/>
      <c r="I74" s="5611"/>
      <c r="J74" s="5611"/>
      <c r="K74" s="660"/>
      <c r="L74" s="660"/>
      <c r="M74" s="660"/>
      <c r="N74" s="660"/>
      <c r="O74" s="660"/>
      <c r="P74" s="660"/>
    </row>
    <row r="75" spans="1:16" x14ac:dyDescent="0.2">
      <c r="A75" s="3319"/>
      <c r="B75" s="3319"/>
      <c r="C75" s="3319"/>
      <c r="D75" s="3319"/>
      <c r="E75" s="3319"/>
      <c r="F75" s="3319"/>
      <c r="G75" s="3319"/>
      <c r="H75" s="3319"/>
      <c r="I75" s="3319"/>
      <c r="J75" s="3319"/>
      <c r="K75" s="660"/>
      <c r="L75" s="660"/>
      <c r="M75" s="660"/>
      <c r="N75" s="660"/>
      <c r="O75" s="660"/>
      <c r="P75" s="660"/>
    </row>
    <row r="76" spans="1:16" ht="12.75" x14ac:dyDescent="0.2">
      <c r="A76" s="765" t="s">
        <v>1256</v>
      </c>
      <c r="B76" s="3319"/>
      <c r="C76" s="3319"/>
      <c r="D76" s="3319"/>
      <c r="E76" s="3319"/>
      <c r="F76" s="3319"/>
      <c r="G76" s="3319"/>
      <c r="H76" s="3319"/>
      <c r="I76" s="3319"/>
      <c r="J76" s="3319"/>
      <c r="K76" s="660"/>
      <c r="L76" s="660"/>
      <c r="M76" s="660"/>
      <c r="N76" s="660"/>
      <c r="O76" s="660"/>
      <c r="P76" s="660"/>
    </row>
    <row r="77" spans="1:16" x14ac:dyDescent="0.2">
      <c r="A77" s="764" t="s">
        <v>1572</v>
      </c>
      <c r="B77" s="3319"/>
      <c r="C77" s="3319"/>
      <c r="D77" s="3319"/>
      <c r="E77" s="3319"/>
      <c r="F77" s="3319"/>
      <c r="G77" s="3319"/>
      <c r="H77" s="3319"/>
      <c r="I77" s="3319"/>
      <c r="J77" s="3319"/>
      <c r="K77" s="660"/>
      <c r="L77" s="660"/>
      <c r="M77" s="660"/>
      <c r="N77" s="660"/>
      <c r="O77" s="660"/>
      <c r="P77" s="660"/>
    </row>
    <row r="78" spans="1:16" ht="14.25" customHeight="1" x14ac:dyDescent="0.2">
      <c r="A78" s="3612" t="s">
        <v>1571</v>
      </c>
      <c r="B78" s="3500">
        <v>0.38600000000000001</v>
      </c>
      <c r="C78" s="3319"/>
      <c r="D78" s="3319"/>
      <c r="E78" s="3319"/>
      <c r="F78" s="3319"/>
      <c r="G78" s="3319"/>
      <c r="H78" s="3319"/>
      <c r="I78" s="3319"/>
      <c r="J78" s="3319"/>
      <c r="K78" s="660"/>
      <c r="L78" s="660"/>
      <c r="M78" s="660"/>
      <c r="N78" s="660"/>
      <c r="O78" s="660"/>
      <c r="P78" s="660"/>
    </row>
    <row r="79" spans="1:16" ht="15.75" customHeight="1" x14ac:dyDescent="0.2">
      <c r="A79" s="3548" t="s">
        <v>1570</v>
      </c>
      <c r="B79" s="3500">
        <v>0.26088466967000001</v>
      </c>
      <c r="C79" s="3319"/>
      <c r="D79" s="3319"/>
      <c r="E79" s="3319"/>
      <c r="F79" s="3319"/>
      <c r="G79" s="3319"/>
      <c r="H79" s="3319"/>
      <c r="I79" s="3319"/>
      <c r="J79" s="3319"/>
      <c r="K79" s="660"/>
      <c r="L79" s="660"/>
      <c r="M79" s="660"/>
      <c r="N79" s="660"/>
      <c r="O79" s="660"/>
      <c r="P79" s="660"/>
    </row>
    <row r="80" spans="1:16" x14ac:dyDescent="0.2">
      <c r="A80" s="3548" t="s">
        <v>1569</v>
      </c>
      <c r="B80" s="3500">
        <v>0.26900000000000002</v>
      </c>
    </row>
    <row r="81" spans="1:16" ht="11.25" customHeight="1" x14ac:dyDescent="0.2">
      <c r="A81" s="3612" t="s">
        <v>1568</v>
      </c>
      <c r="B81" s="3500" t="s">
        <v>986</v>
      </c>
      <c r="C81" s="3319"/>
      <c r="D81" s="3319"/>
      <c r="E81" s="3319"/>
      <c r="F81" s="3319"/>
      <c r="G81" s="3319"/>
      <c r="H81" s="3319"/>
      <c r="I81" s="3319"/>
      <c r="J81" s="3319"/>
      <c r="K81" s="660"/>
      <c r="L81" s="660"/>
      <c r="M81" s="660"/>
      <c r="N81" s="660"/>
      <c r="O81" s="660"/>
      <c r="P81" s="660"/>
    </row>
    <row r="82" spans="1:16" x14ac:dyDescent="0.2">
      <c r="A82" s="3612" t="s">
        <v>1567</v>
      </c>
      <c r="B82" s="3500" t="s">
        <v>986</v>
      </c>
      <c r="C82" s="3319"/>
      <c r="D82" s="3319"/>
      <c r="E82" s="3319"/>
      <c r="F82" s="3319"/>
      <c r="G82" s="3319"/>
      <c r="H82" s="3319"/>
      <c r="I82" s="3319"/>
      <c r="J82" s="3319"/>
      <c r="K82" s="660"/>
      <c r="L82" s="660"/>
      <c r="M82" s="660"/>
      <c r="N82" s="660"/>
      <c r="O82" s="660"/>
      <c r="P82" s="660"/>
    </row>
    <row r="83" spans="1:16" x14ac:dyDescent="0.2">
      <c r="A83" s="660"/>
      <c r="B83" s="3319"/>
      <c r="C83" s="3319"/>
      <c r="D83" s="3319"/>
      <c r="E83" s="3319"/>
      <c r="F83" s="3319"/>
      <c r="G83" s="3319"/>
      <c r="H83" s="3319"/>
      <c r="I83" s="3319"/>
      <c r="J83" s="3319"/>
      <c r="K83" s="660"/>
      <c r="L83" s="660"/>
      <c r="M83" s="660"/>
      <c r="N83" s="660"/>
      <c r="O83" s="660"/>
      <c r="P83" s="660"/>
    </row>
    <row r="84" spans="1:16" ht="13.5" x14ac:dyDescent="0.2">
      <c r="A84" s="5612" t="s">
        <v>1566</v>
      </c>
      <c r="B84" s="5612"/>
      <c r="C84" s="5612"/>
      <c r="D84" s="5612"/>
      <c r="E84" s="5612"/>
      <c r="F84" s="5612"/>
      <c r="G84" s="5612"/>
      <c r="H84" s="5612"/>
      <c r="I84" s="5612"/>
      <c r="J84" s="5612"/>
      <c r="K84" s="660"/>
      <c r="L84" s="660"/>
      <c r="M84" s="660"/>
      <c r="N84" s="660"/>
      <c r="O84" s="660"/>
      <c r="P84" s="660"/>
    </row>
    <row r="85" spans="1:16" x14ac:dyDescent="0.2">
      <c r="A85" s="5740" t="s">
        <v>982</v>
      </c>
      <c r="B85" s="5757"/>
      <c r="C85" s="5757"/>
      <c r="D85" s="5757"/>
      <c r="E85" s="5757"/>
      <c r="F85" s="5757"/>
      <c r="G85" s="5757"/>
      <c r="H85" s="5757"/>
      <c r="I85" s="5757"/>
      <c r="J85" s="5741"/>
      <c r="K85" s="660"/>
      <c r="L85" s="660"/>
      <c r="M85" s="660"/>
      <c r="N85" s="660"/>
      <c r="O85" s="660"/>
      <c r="P85" s="660"/>
    </row>
    <row r="86" spans="1:16" x14ac:dyDescent="0.2">
      <c r="A86" s="3554" t="s">
        <v>980</v>
      </c>
      <c r="B86" s="5696" t="s">
        <v>986</v>
      </c>
      <c r="C86" s="5723"/>
      <c r="D86" s="5723"/>
      <c r="E86" s="5723"/>
      <c r="F86" s="5723"/>
      <c r="G86" s="5723"/>
      <c r="H86" s="5723"/>
      <c r="I86" s="5723"/>
      <c r="J86" s="5723"/>
    </row>
  </sheetData>
  <sheetProtection password="A754" sheet="1" objects="1" scenarios="1"/>
  <mergeCells count="11">
    <mergeCell ref="A72:J72"/>
    <mergeCell ref="A73:J73"/>
    <mergeCell ref="A74:J74"/>
    <mergeCell ref="B86:J86"/>
    <mergeCell ref="A85:J85"/>
    <mergeCell ref="A84:J84"/>
    <mergeCell ref="A6:A8"/>
    <mergeCell ref="B6:D6"/>
    <mergeCell ref="E6:G6"/>
    <mergeCell ref="H6:J6"/>
    <mergeCell ref="A71:J71"/>
  </mergeCells>
  <pageMargins left="0.75" right="0.75" top="1" bottom="1" header="0.5" footer="0.5"/>
  <pageSetup paperSize="9" scale="48" orientation="landscape"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9C405-A559-4757-9ACD-5D7DCC94092C}">
  <sheetPr codeName="Ark55">
    <tabColor theme="0" tint="-0.249977111117893"/>
    <pageSetUpPr fitToPage="1"/>
  </sheetPr>
  <dimension ref="A1:L33"/>
  <sheetViews>
    <sheetView showGridLines="0" workbookViewId="0">
      <selection sqref="A1:C1"/>
    </sheetView>
  </sheetViews>
  <sheetFormatPr defaultColWidth="8" defaultRowHeight="12" customHeight="1" x14ac:dyDescent="0.2"/>
  <cols>
    <col min="1" max="1" width="37.85546875" style="769" customWidth="1"/>
    <col min="2" max="2" width="21.28515625" style="769" customWidth="1"/>
    <col min="3" max="3" width="16.7109375" style="769" customWidth="1"/>
    <col min="4" max="4" width="17.85546875" style="769" customWidth="1"/>
    <col min="5" max="9" width="16.7109375" style="769" customWidth="1"/>
    <col min="10" max="10" width="13.5703125" style="769" customWidth="1"/>
    <col min="11" max="11" width="3.28515625" style="769" customWidth="1"/>
    <col min="12" max="12" width="14.85546875" style="769" customWidth="1"/>
    <col min="13" max="13" width="1.28515625" style="769" customWidth="1"/>
    <col min="14" max="16384" width="8" style="769"/>
  </cols>
  <sheetData>
    <row r="1" spans="1:12" ht="15.75" customHeight="1" x14ac:dyDescent="0.2">
      <c r="A1" s="5640" t="s">
        <v>1679</v>
      </c>
      <c r="B1" s="5640"/>
      <c r="C1" s="5640"/>
      <c r="D1" s="771"/>
      <c r="E1" s="771"/>
      <c r="F1" s="771"/>
      <c r="G1" s="771"/>
      <c r="H1" s="771"/>
      <c r="I1" s="771"/>
      <c r="J1" s="782" t="s">
        <v>1791</v>
      </c>
      <c r="K1" s="771"/>
      <c r="L1" s="771"/>
    </row>
    <row r="2" spans="1:12" ht="15.75" customHeight="1" x14ac:dyDescent="0.25">
      <c r="A2" s="784" t="s">
        <v>1678</v>
      </c>
      <c r="B2" s="783"/>
      <c r="C2" s="783"/>
      <c r="D2" s="771"/>
      <c r="E2" s="771"/>
      <c r="F2" s="771"/>
      <c r="G2" s="771"/>
      <c r="H2" s="771"/>
      <c r="I2" s="771"/>
      <c r="J2" s="782" t="s">
        <v>1790</v>
      </c>
      <c r="K2" s="771"/>
      <c r="L2" s="771"/>
    </row>
    <row r="3" spans="1:12" ht="15.75" customHeight="1" x14ac:dyDescent="0.25">
      <c r="A3" s="784" t="s">
        <v>1197</v>
      </c>
      <c r="B3" s="783"/>
      <c r="C3" s="783"/>
      <c r="D3" s="771"/>
      <c r="E3" s="771"/>
      <c r="F3" s="771"/>
      <c r="G3" s="771"/>
      <c r="H3" s="771"/>
      <c r="I3" s="771"/>
      <c r="J3" s="782" t="s">
        <v>1789</v>
      </c>
      <c r="K3" s="771"/>
      <c r="L3" s="771"/>
    </row>
    <row r="4" spans="1:12" x14ac:dyDescent="0.2">
      <c r="A4" s="771"/>
      <c r="B4" s="771"/>
      <c r="C4" s="771"/>
      <c r="D4" s="771"/>
      <c r="E4" s="771"/>
      <c r="F4" s="771"/>
      <c r="G4" s="771"/>
      <c r="H4" s="771"/>
      <c r="I4" s="771"/>
      <c r="J4" s="771"/>
      <c r="K4" s="771"/>
      <c r="L4" s="781"/>
    </row>
    <row r="5" spans="1:12" ht="12.75" customHeight="1" x14ac:dyDescent="0.2">
      <c r="A5" s="771"/>
      <c r="B5" s="771"/>
      <c r="C5" s="771"/>
      <c r="D5" s="771"/>
      <c r="E5" s="771"/>
      <c r="F5" s="771"/>
      <c r="G5" s="771"/>
      <c r="H5" s="771"/>
      <c r="I5" s="771"/>
      <c r="J5" s="771"/>
      <c r="K5" s="772"/>
      <c r="L5" s="771"/>
    </row>
    <row r="6" spans="1:12" x14ac:dyDescent="0.2">
      <c r="A6" s="3619" t="s">
        <v>1677</v>
      </c>
      <c r="B6" s="5774" t="s">
        <v>1239</v>
      </c>
      <c r="C6" s="5775"/>
      <c r="D6" s="5776"/>
      <c r="E6" s="5774" t="s">
        <v>1563</v>
      </c>
      <c r="F6" s="5776"/>
      <c r="G6" s="5774" t="s">
        <v>1081</v>
      </c>
      <c r="H6" s="5775"/>
      <c r="I6" s="5775"/>
      <c r="J6" s="5776"/>
      <c r="K6" s="5623"/>
      <c r="L6" s="771"/>
    </row>
    <row r="7" spans="1:12" x14ac:dyDescent="0.2">
      <c r="A7" s="780" t="s">
        <v>1080</v>
      </c>
      <c r="B7" s="779"/>
      <c r="C7" s="778"/>
      <c r="D7" s="777"/>
      <c r="E7" s="779"/>
      <c r="F7" s="777"/>
      <c r="G7" s="779"/>
      <c r="H7" s="778"/>
      <c r="I7" s="778"/>
      <c r="J7" s="777"/>
      <c r="K7" s="5623"/>
      <c r="L7" s="771"/>
    </row>
    <row r="8" spans="1:12" ht="15" x14ac:dyDescent="0.2">
      <c r="A8" s="3619"/>
      <c r="B8" s="5767" t="s">
        <v>1676</v>
      </c>
      <c r="C8" s="5767" t="s">
        <v>1675</v>
      </c>
      <c r="D8" s="5767" t="s">
        <v>1674</v>
      </c>
      <c r="E8" s="3618" t="s">
        <v>1673</v>
      </c>
      <c r="F8" s="3618" t="s">
        <v>1672</v>
      </c>
      <c r="G8" s="5768" t="s">
        <v>1671</v>
      </c>
      <c r="H8" s="5769"/>
      <c r="I8" s="5770"/>
      <c r="J8" s="3617" t="s">
        <v>1670</v>
      </c>
      <c r="K8" s="5623"/>
      <c r="L8" s="771"/>
    </row>
    <row r="9" spans="1:12" ht="41.25" customHeight="1" x14ac:dyDescent="0.2">
      <c r="A9" s="776"/>
      <c r="B9" s="5625"/>
      <c r="C9" s="5625"/>
      <c r="D9" s="5625"/>
      <c r="E9" s="775"/>
      <c r="F9" s="775"/>
      <c r="G9" s="775" t="s">
        <v>1669</v>
      </c>
      <c r="H9" s="775" t="s">
        <v>1668</v>
      </c>
      <c r="I9" s="775" t="s">
        <v>1667</v>
      </c>
      <c r="J9" s="774"/>
      <c r="K9" s="5623"/>
      <c r="L9" s="771"/>
    </row>
    <row r="10" spans="1:12" ht="13.5" customHeight="1" thickBot="1" x14ac:dyDescent="0.25">
      <c r="A10" s="773"/>
      <c r="B10" s="3320" t="s">
        <v>1666</v>
      </c>
      <c r="C10" s="5626"/>
      <c r="D10" s="3320" t="s">
        <v>18</v>
      </c>
      <c r="E10" s="5630" t="s">
        <v>1665</v>
      </c>
      <c r="F10" s="5631"/>
      <c r="G10" s="5630" t="s">
        <v>1011</v>
      </c>
      <c r="H10" s="5644"/>
      <c r="I10" s="5644"/>
      <c r="J10" s="5631"/>
      <c r="K10" s="5623"/>
      <c r="L10" s="771"/>
    </row>
    <row r="11" spans="1:12" ht="13.5" customHeight="1" thickTop="1" x14ac:dyDescent="0.2">
      <c r="A11" s="3616" t="s">
        <v>1664</v>
      </c>
      <c r="B11" s="3507">
        <v>2721.2913592333298</v>
      </c>
      <c r="C11" s="3497" t="s">
        <v>986</v>
      </c>
      <c r="D11" s="3497" t="s">
        <v>986</v>
      </c>
      <c r="E11" s="3507">
        <v>7.8522292293499996E-3</v>
      </c>
      <c r="F11" s="3507" t="s">
        <v>1006</v>
      </c>
      <c r="G11" s="3507">
        <v>21.3682035525507</v>
      </c>
      <c r="H11" s="3507" t="s">
        <v>259</v>
      </c>
      <c r="I11" s="3507">
        <v>3.8302514958999998</v>
      </c>
      <c r="J11" s="3507" t="s">
        <v>1006</v>
      </c>
      <c r="K11" s="5623"/>
      <c r="L11" s="771"/>
    </row>
    <row r="12" spans="1:12" ht="14.25" customHeight="1" x14ac:dyDescent="0.2">
      <c r="A12" s="3616" t="s">
        <v>1663</v>
      </c>
      <c r="B12" s="3500">
        <v>2721.2913592333298</v>
      </c>
      <c r="C12" s="3500">
        <v>1</v>
      </c>
      <c r="D12" s="3500">
        <v>0.5</v>
      </c>
      <c r="E12" s="3507">
        <v>7.8522292293499996E-3</v>
      </c>
      <c r="F12" s="3507" t="s">
        <v>799</v>
      </c>
      <c r="G12" s="3500">
        <v>21.3682035525507</v>
      </c>
      <c r="H12" s="3500" t="s">
        <v>259</v>
      </c>
      <c r="I12" s="3500">
        <v>3.8302514958999998</v>
      </c>
      <c r="J12" s="3500" t="s">
        <v>799</v>
      </c>
      <c r="K12" s="5623"/>
      <c r="L12" s="771"/>
    </row>
    <row r="13" spans="1:12" ht="13.5" customHeight="1" x14ac:dyDescent="0.2">
      <c r="A13" s="3616" t="s">
        <v>1662</v>
      </c>
      <c r="B13" s="3500" t="s">
        <v>259</v>
      </c>
      <c r="C13" s="3500" t="s">
        <v>259</v>
      </c>
      <c r="D13" s="3500" t="s">
        <v>259</v>
      </c>
      <c r="E13" s="3507" t="s">
        <v>259</v>
      </c>
      <c r="F13" s="3507" t="s">
        <v>259</v>
      </c>
      <c r="G13" s="3500" t="s">
        <v>259</v>
      </c>
      <c r="H13" s="3500" t="s">
        <v>259</v>
      </c>
      <c r="I13" s="3500" t="s">
        <v>259</v>
      </c>
      <c r="J13" s="3500" t="s">
        <v>259</v>
      </c>
      <c r="K13" s="5623"/>
      <c r="L13" s="771"/>
    </row>
    <row r="14" spans="1:12" ht="14.25" customHeight="1" x14ac:dyDescent="0.2">
      <c r="A14" s="3616" t="s">
        <v>1661</v>
      </c>
      <c r="B14" s="3500" t="s">
        <v>259</v>
      </c>
      <c r="C14" s="3500" t="s">
        <v>259</v>
      </c>
      <c r="D14" s="3500" t="s">
        <v>259</v>
      </c>
      <c r="E14" s="3507" t="s">
        <v>259</v>
      </c>
      <c r="F14" s="3507" t="s">
        <v>259</v>
      </c>
      <c r="G14" s="3500" t="s">
        <v>259</v>
      </c>
      <c r="H14" s="3500" t="s">
        <v>259</v>
      </c>
      <c r="I14" s="3500" t="s">
        <v>259</v>
      </c>
      <c r="J14" s="3500" t="s">
        <v>259</v>
      </c>
      <c r="K14" s="5623"/>
      <c r="L14" s="771"/>
    </row>
    <row r="15" spans="1:12" ht="12" customHeight="1" x14ac:dyDescent="0.2">
      <c r="A15" s="3616" t="s">
        <v>1660</v>
      </c>
      <c r="B15" s="3500" t="s">
        <v>259</v>
      </c>
      <c r="C15" s="3500" t="s">
        <v>259</v>
      </c>
      <c r="D15" s="3500" t="s">
        <v>259</v>
      </c>
      <c r="E15" s="3507" t="s">
        <v>259</v>
      </c>
      <c r="F15" s="3507" t="s">
        <v>259</v>
      </c>
      <c r="G15" s="3500" t="s">
        <v>259</v>
      </c>
      <c r="H15" s="3500" t="s">
        <v>259</v>
      </c>
      <c r="I15" s="3500" t="s">
        <v>259</v>
      </c>
      <c r="J15" s="3500" t="s">
        <v>259</v>
      </c>
      <c r="K15" s="5623"/>
      <c r="L15" s="771"/>
    </row>
    <row r="16" spans="1:12" ht="13.5" customHeight="1" x14ac:dyDescent="0.2">
      <c r="A16" s="770"/>
      <c r="B16" s="770"/>
      <c r="C16" s="770"/>
      <c r="D16" s="770"/>
      <c r="E16" s="770"/>
      <c r="F16" s="770"/>
      <c r="G16" s="770"/>
      <c r="H16" s="770"/>
      <c r="I16" s="770"/>
      <c r="J16" s="770"/>
      <c r="K16" s="5623"/>
      <c r="L16" s="771"/>
    </row>
    <row r="17" spans="1:12" x14ac:dyDescent="0.2">
      <c r="A17" s="5633" t="s">
        <v>1659</v>
      </c>
      <c r="B17" s="5621"/>
      <c r="C17" s="5621"/>
      <c r="D17" s="5621"/>
      <c r="E17" s="5621"/>
      <c r="F17" s="5621"/>
      <c r="G17" s="5621"/>
      <c r="H17" s="5621"/>
      <c r="I17" s="5621"/>
      <c r="J17" s="5621"/>
      <c r="K17" s="5623"/>
      <c r="L17" s="771"/>
    </row>
    <row r="18" spans="1:12" x14ac:dyDescent="0.2">
      <c r="A18" s="5634" t="s">
        <v>1658</v>
      </c>
      <c r="B18" s="5460"/>
      <c r="C18" s="5460"/>
      <c r="D18" s="5460"/>
      <c r="E18" s="5460"/>
      <c r="F18" s="5460"/>
      <c r="G18" s="5460"/>
      <c r="H18" s="5460"/>
      <c r="I18" s="5460"/>
      <c r="J18" s="5460"/>
      <c r="K18" s="5623"/>
      <c r="L18" s="771"/>
    </row>
    <row r="19" spans="1:12" x14ac:dyDescent="0.2">
      <c r="A19" s="5633" t="s">
        <v>1657</v>
      </c>
      <c r="B19" s="5621"/>
      <c r="C19" s="5621"/>
      <c r="D19" s="5621"/>
      <c r="E19" s="5621"/>
      <c r="F19" s="5621"/>
      <c r="G19" s="5621"/>
      <c r="H19" s="5621"/>
      <c r="I19" s="5621"/>
      <c r="J19" s="5621"/>
      <c r="K19" s="5623"/>
      <c r="L19" s="771"/>
    </row>
    <row r="20" spans="1:12" x14ac:dyDescent="0.2">
      <c r="A20" s="771"/>
      <c r="B20" s="771"/>
      <c r="C20" s="771"/>
      <c r="D20" s="771"/>
      <c r="E20" s="771"/>
      <c r="F20" s="771"/>
      <c r="G20" s="771"/>
      <c r="H20" s="771"/>
      <c r="I20" s="771"/>
      <c r="J20" s="771"/>
      <c r="K20" s="5623"/>
      <c r="L20" s="771"/>
    </row>
    <row r="21" spans="1:12" ht="13.5" customHeight="1" x14ac:dyDescent="0.2">
      <c r="A21" s="5613" t="s">
        <v>1656</v>
      </c>
      <c r="B21" s="5613"/>
      <c r="C21" s="5613"/>
      <c r="D21" s="5613"/>
      <c r="E21" s="5613"/>
      <c r="F21" s="5613"/>
      <c r="G21" s="771"/>
      <c r="H21" s="771"/>
      <c r="I21" s="771"/>
      <c r="J21" s="771"/>
      <c r="K21" s="5623"/>
      <c r="L21" s="771"/>
    </row>
    <row r="22" spans="1:12" ht="13.5" customHeight="1" x14ac:dyDescent="0.2">
      <c r="A22" s="5632" t="s">
        <v>1655</v>
      </c>
      <c r="B22" s="5632"/>
      <c r="C22" s="771"/>
      <c r="D22" s="771"/>
      <c r="E22" s="771"/>
      <c r="F22" s="771"/>
      <c r="G22" s="771"/>
      <c r="H22" s="771"/>
      <c r="I22" s="771"/>
      <c r="J22" s="771"/>
      <c r="K22" s="5623"/>
      <c r="L22" s="771"/>
    </row>
    <row r="23" spans="1:12" ht="13.5" customHeight="1" x14ac:dyDescent="0.2">
      <c r="A23" s="5620" t="s">
        <v>1654</v>
      </c>
      <c r="B23" s="5621"/>
      <c r="C23" s="5621"/>
      <c r="D23" s="5621"/>
      <c r="E23" s="5621"/>
      <c r="F23" s="5621"/>
      <c r="G23" s="5621"/>
      <c r="H23" s="5621"/>
      <c r="I23" s="5621"/>
      <c r="J23" s="5621"/>
      <c r="K23" s="5623"/>
      <c r="L23" s="771"/>
    </row>
    <row r="24" spans="1:12" ht="24" customHeight="1" x14ac:dyDescent="0.2">
      <c r="A24" s="5635" t="s">
        <v>1653</v>
      </c>
      <c r="B24" s="5636"/>
      <c r="C24" s="5636"/>
      <c r="D24" s="5636"/>
      <c r="E24" s="5636"/>
      <c r="F24" s="5636"/>
      <c r="G24" s="5636"/>
      <c r="H24" s="5636"/>
      <c r="I24" s="5636"/>
      <c r="J24" s="5636"/>
      <c r="K24" s="5623"/>
      <c r="L24" s="771"/>
    </row>
    <row r="25" spans="1:12" x14ac:dyDescent="0.2">
      <c r="A25" s="771"/>
      <c r="B25" s="771"/>
      <c r="C25" s="771"/>
      <c r="D25" s="771"/>
      <c r="E25" s="771"/>
      <c r="F25" s="771"/>
      <c r="G25" s="771"/>
      <c r="H25" s="771"/>
      <c r="I25" s="771"/>
      <c r="J25" s="771"/>
      <c r="K25" s="771"/>
      <c r="L25" s="771"/>
    </row>
    <row r="26" spans="1:12" ht="13.5" customHeight="1" x14ac:dyDescent="0.2">
      <c r="A26" s="5771" t="s">
        <v>1652</v>
      </c>
      <c r="B26" s="5772"/>
      <c r="C26" s="5772"/>
      <c r="D26" s="5772"/>
      <c r="E26" s="5772"/>
      <c r="F26" s="5772"/>
      <c r="G26" s="5772"/>
      <c r="H26" s="5772"/>
      <c r="I26" s="5773"/>
      <c r="J26" s="771"/>
      <c r="K26" s="772"/>
      <c r="L26" s="771"/>
    </row>
    <row r="27" spans="1:12" ht="24" customHeight="1" x14ac:dyDescent="0.2">
      <c r="A27" s="5614" t="s">
        <v>1651</v>
      </c>
      <c r="B27" s="5615"/>
      <c r="C27" s="5615"/>
      <c r="D27" s="5615"/>
      <c r="E27" s="5615"/>
      <c r="F27" s="5615"/>
      <c r="G27" s="5615"/>
      <c r="H27" s="5615"/>
      <c r="I27" s="5616"/>
      <c r="J27" s="771"/>
      <c r="K27" s="772"/>
      <c r="L27" s="771"/>
    </row>
    <row r="28" spans="1:12" ht="12" customHeight="1" x14ac:dyDescent="0.2">
      <c r="A28" s="5614" t="s">
        <v>1650</v>
      </c>
      <c r="B28" s="5615"/>
      <c r="C28" s="5615"/>
      <c r="D28" s="5615"/>
      <c r="E28" s="5615"/>
      <c r="F28" s="5615"/>
      <c r="G28" s="5615"/>
      <c r="H28" s="5615"/>
      <c r="I28" s="5616"/>
      <c r="J28" s="771"/>
      <c r="K28" s="772"/>
      <c r="L28" s="771"/>
    </row>
    <row r="29" spans="1:12" ht="12" customHeight="1" x14ac:dyDescent="0.2">
      <c r="A29" s="5614" t="s">
        <v>1201</v>
      </c>
      <c r="B29" s="5615"/>
      <c r="C29" s="5615"/>
      <c r="D29" s="5615"/>
      <c r="E29" s="5615"/>
      <c r="F29" s="5615"/>
      <c r="G29" s="5615"/>
      <c r="H29" s="5615"/>
      <c r="I29" s="5616"/>
      <c r="J29" s="771"/>
      <c r="K29" s="772"/>
      <c r="L29" s="771"/>
    </row>
    <row r="30" spans="1:12" ht="12" customHeight="1" x14ac:dyDescent="0.2">
      <c r="A30" s="5614" t="s">
        <v>1649</v>
      </c>
      <c r="B30" s="5615"/>
      <c r="C30" s="5615"/>
      <c r="D30" s="5615"/>
      <c r="E30" s="5615"/>
      <c r="F30" s="5615"/>
      <c r="G30" s="5615"/>
      <c r="H30" s="5615"/>
      <c r="I30" s="5616"/>
      <c r="J30" s="771"/>
      <c r="K30" s="772"/>
      <c r="L30" s="771"/>
    </row>
    <row r="31" spans="1:12" ht="12" customHeight="1" x14ac:dyDescent="0.2">
      <c r="A31" s="5614" t="s">
        <v>1648</v>
      </c>
      <c r="B31" s="5615"/>
      <c r="C31" s="5615"/>
      <c r="D31" s="5615"/>
      <c r="E31" s="5615"/>
      <c r="F31" s="5615"/>
      <c r="G31" s="5615"/>
      <c r="H31" s="5615"/>
      <c r="I31" s="5616"/>
      <c r="J31" s="771"/>
      <c r="K31" s="772"/>
      <c r="L31" s="771"/>
    </row>
    <row r="32" spans="1:12" ht="12" customHeight="1" x14ac:dyDescent="0.2">
      <c r="A32" s="5617" t="s">
        <v>1647</v>
      </c>
      <c r="B32" s="5618"/>
      <c r="C32" s="5618"/>
      <c r="D32" s="5618"/>
      <c r="E32" s="5618"/>
      <c r="F32" s="5618"/>
      <c r="G32" s="5618"/>
      <c r="H32" s="5618"/>
      <c r="I32" s="5619"/>
      <c r="J32" s="771"/>
      <c r="K32" s="772"/>
      <c r="L32" s="771"/>
    </row>
    <row r="33" spans="1:10" ht="12" customHeight="1" x14ac:dyDescent="0.2">
      <c r="A33" s="3615" t="s">
        <v>980</v>
      </c>
      <c r="B33" s="5696" t="s">
        <v>986</v>
      </c>
      <c r="C33" s="5766"/>
      <c r="D33" s="5766"/>
      <c r="E33" s="5766"/>
      <c r="F33" s="5766"/>
      <c r="G33" s="5766"/>
      <c r="H33" s="5766"/>
      <c r="I33" s="5766"/>
      <c r="J33" s="770"/>
    </row>
  </sheetData>
  <sheetProtection password="A754" sheet="1" objects="1" scenarios="1"/>
  <mergeCells count="26">
    <mergeCell ref="A1:C1"/>
    <mergeCell ref="B6:D6"/>
    <mergeCell ref="E6:F6"/>
    <mergeCell ref="G6:J6"/>
    <mergeCell ref="G10:J10"/>
    <mergeCell ref="B33:I33"/>
    <mergeCell ref="K6:K24"/>
    <mergeCell ref="B8:B9"/>
    <mergeCell ref="C8:C10"/>
    <mergeCell ref="D8:D9"/>
    <mergeCell ref="G8:I8"/>
    <mergeCell ref="E10:F10"/>
    <mergeCell ref="A22:B22"/>
    <mergeCell ref="A17:J17"/>
    <mergeCell ref="A18:J18"/>
    <mergeCell ref="A24:J24"/>
    <mergeCell ref="A26:I26"/>
    <mergeCell ref="A27:I27"/>
    <mergeCell ref="A28:I28"/>
    <mergeCell ref="A29:I29"/>
    <mergeCell ref="A19:J19"/>
    <mergeCell ref="A21:F21"/>
    <mergeCell ref="A30:I30"/>
    <mergeCell ref="A31:I31"/>
    <mergeCell ref="A32:I32"/>
    <mergeCell ref="A23:J23"/>
  </mergeCells>
  <dataValidations count="1">
    <dataValidation allowBlank="1" showInputMessage="1" showErrorMessage="1" sqref="K33:L65510 A34:J65510 M1:IV65510" xr:uid="{00000000-0002-0000-3100-000000000000}"/>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EF03C-B084-4044-A773-2DEB41D9B552}">
  <sheetPr codeName="Ark56">
    <tabColor theme="0" tint="-0.249977111117893"/>
    <pageSetUpPr fitToPage="1"/>
  </sheetPr>
  <dimension ref="A1:I25"/>
  <sheetViews>
    <sheetView showGridLines="0" workbookViewId="0">
      <selection sqref="A1:D1"/>
    </sheetView>
  </sheetViews>
  <sheetFormatPr defaultColWidth="9.140625" defaultRowHeight="12" x14ac:dyDescent="0.2"/>
  <cols>
    <col min="1" max="1" width="31.28515625" style="785" customWidth="1"/>
    <col min="2" max="2" width="22.140625" style="659" customWidth="1"/>
    <col min="3" max="4" width="9.140625" style="659"/>
    <col min="5" max="5" width="11.85546875" style="659" customWidth="1"/>
    <col min="6" max="6" width="11" style="659" customWidth="1"/>
    <col min="7" max="7" width="11.5703125" style="659" customWidth="1"/>
    <col min="8" max="16384" width="9.140625" style="659"/>
  </cols>
  <sheetData>
    <row r="1" spans="1:9" ht="15.75" x14ac:dyDescent="0.2">
      <c r="A1" s="5471" t="s">
        <v>1700</v>
      </c>
      <c r="B1" s="5471"/>
      <c r="C1" s="5471"/>
      <c r="D1" s="5471"/>
      <c r="E1" s="660"/>
      <c r="F1" s="660"/>
      <c r="G1" s="660"/>
      <c r="H1" s="668" t="s">
        <v>1791</v>
      </c>
      <c r="I1" s="660"/>
    </row>
    <row r="2" spans="1:9" ht="15.75" x14ac:dyDescent="0.25">
      <c r="A2" s="5471" t="s">
        <v>1699</v>
      </c>
      <c r="B2" s="5471"/>
      <c r="C2" s="670"/>
      <c r="D2" s="670"/>
      <c r="E2" s="660"/>
      <c r="F2" s="660"/>
      <c r="G2" s="660"/>
      <c r="H2" s="668" t="s">
        <v>1790</v>
      </c>
      <c r="I2" s="660"/>
    </row>
    <row r="3" spans="1:9" ht="15.75" x14ac:dyDescent="0.25">
      <c r="A3" s="760" t="s">
        <v>1197</v>
      </c>
      <c r="B3" s="670"/>
      <c r="C3" s="670"/>
      <c r="D3" s="670"/>
      <c r="E3" s="660"/>
      <c r="F3" s="660"/>
      <c r="G3" s="660"/>
      <c r="H3" s="668" t="s">
        <v>1789</v>
      </c>
      <c r="I3" s="660"/>
    </row>
    <row r="4" spans="1:9" x14ac:dyDescent="0.2">
      <c r="A4" s="735"/>
      <c r="B4" s="660"/>
      <c r="C4" s="660"/>
      <c r="D4" s="660"/>
      <c r="E4" s="660"/>
      <c r="F4" s="660"/>
      <c r="G4" s="660"/>
      <c r="H4" s="660"/>
      <c r="I4" s="660"/>
    </row>
    <row r="5" spans="1:9" ht="36" x14ac:dyDescent="0.2">
      <c r="A5" s="3625" t="s">
        <v>1025</v>
      </c>
      <c r="B5" s="3624" t="s">
        <v>1239</v>
      </c>
      <c r="C5" s="5777" t="s">
        <v>1563</v>
      </c>
      <c r="D5" s="5778"/>
      <c r="E5" s="5777" t="s">
        <v>1081</v>
      </c>
      <c r="F5" s="5779"/>
      <c r="G5" s="5779"/>
      <c r="H5" s="5778"/>
      <c r="I5" s="660"/>
    </row>
    <row r="6" spans="1:9" ht="15" x14ac:dyDescent="0.2">
      <c r="A6" s="3623"/>
      <c r="B6" s="5780" t="s">
        <v>1698</v>
      </c>
      <c r="C6" s="3622" t="s">
        <v>1697</v>
      </c>
      <c r="D6" s="3622" t="s">
        <v>1022</v>
      </c>
      <c r="E6" s="5777" t="s">
        <v>1696</v>
      </c>
      <c r="F6" s="5779"/>
      <c r="G6" s="5778"/>
      <c r="H6" s="3622" t="s">
        <v>1022</v>
      </c>
      <c r="I6" s="660"/>
    </row>
    <row r="7" spans="1:9" ht="51.75" x14ac:dyDescent="0.2">
      <c r="A7" s="790"/>
      <c r="B7" s="5650"/>
      <c r="C7" s="3622"/>
      <c r="D7" s="3622"/>
      <c r="E7" s="3622" t="s">
        <v>1695</v>
      </c>
      <c r="F7" s="3324" t="s">
        <v>1694</v>
      </c>
      <c r="G7" s="3324" t="s">
        <v>1693</v>
      </c>
      <c r="H7" s="3622"/>
      <c r="I7" s="660"/>
    </row>
    <row r="8" spans="1:9" ht="12.75" thickBot="1" x14ac:dyDescent="0.25">
      <c r="A8" s="789"/>
      <c r="B8" s="788" t="s">
        <v>1692</v>
      </c>
      <c r="C8" s="5660" t="s">
        <v>1691</v>
      </c>
      <c r="D8" s="5661"/>
      <c r="E8" s="5660" t="s">
        <v>1011</v>
      </c>
      <c r="F8" s="5486"/>
      <c r="G8" s="5486"/>
      <c r="H8" s="5487"/>
      <c r="I8" s="660"/>
    </row>
    <row r="9" spans="1:9" ht="12.75" thickTop="1" x14ac:dyDescent="0.2">
      <c r="A9" s="787" t="s">
        <v>1690</v>
      </c>
      <c r="B9" s="3507" t="s">
        <v>259</v>
      </c>
      <c r="C9" s="3507" t="s">
        <v>259</v>
      </c>
      <c r="D9" s="3507" t="s">
        <v>259</v>
      </c>
      <c r="E9" s="3507">
        <v>3.4574373999999999</v>
      </c>
      <c r="F9" s="3507" t="s">
        <v>259</v>
      </c>
      <c r="G9" s="3497" t="s">
        <v>986</v>
      </c>
      <c r="H9" s="3507">
        <v>0.2493351</v>
      </c>
      <c r="I9" s="660"/>
    </row>
    <row r="10" spans="1:9" x14ac:dyDescent="0.2">
      <c r="A10" s="3621" t="s">
        <v>1687</v>
      </c>
      <c r="B10" s="3500" t="s">
        <v>259</v>
      </c>
      <c r="C10" s="3507" t="s">
        <v>259</v>
      </c>
      <c r="D10" s="3507" t="s">
        <v>259</v>
      </c>
      <c r="E10" s="3500" t="s">
        <v>259</v>
      </c>
      <c r="F10" s="3500" t="s">
        <v>259</v>
      </c>
      <c r="G10" s="3497" t="s">
        <v>986</v>
      </c>
      <c r="H10" s="3500" t="s">
        <v>259</v>
      </c>
      <c r="I10" s="660"/>
    </row>
    <row r="11" spans="1:9" ht="13.5" x14ac:dyDescent="0.2">
      <c r="A11" s="3621" t="s">
        <v>1686</v>
      </c>
      <c r="B11" s="3507" t="s">
        <v>259</v>
      </c>
      <c r="C11" s="3507" t="s">
        <v>259</v>
      </c>
      <c r="D11" s="3507" t="s">
        <v>259</v>
      </c>
      <c r="E11" s="3507">
        <v>3.4574373999999999</v>
      </c>
      <c r="F11" s="3507" t="s">
        <v>259</v>
      </c>
      <c r="G11" s="3497" t="s">
        <v>986</v>
      </c>
      <c r="H11" s="3507">
        <v>0.2493351</v>
      </c>
      <c r="I11" s="660"/>
    </row>
    <row r="12" spans="1:9" x14ac:dyDescent="0.2">
      <c r="A12" s="3519" t="s">
        <v>1689</v>
      </c>
      <c r="B12" s="3500" t="s">
        <v>259</v>
      </c>
      <c r="C12" s="3507" t="s">
        <v>259</v>
      </c>
      <c r="D12" s="3507" t="s">
        <v>259</v>
      </c>
      <c r="E12" s="3500">
        <v>3.4574373999999999</v>
      </c>
      <c r="F12" s="3500" t="s">
        <v>259</v>
      </c>
      <c r="G12" s="3497" t="s">
        <v>986</v>
      </c>
      <c r="H12" s="3500">
        <v>0.2493351</v>
      </c>
      <c r="I12" s="660"/>
    </row>
    <row r="13" spans="1:9" ht="13.5" x14ac:dyDescent="0.2">
      <c r="A13" s="3621" t="s">
        <v>1688</v>
      </c>
      <c r="B13" s="3507" t="s">
        <v>1419</v>
      </c>
      <c r="C13" s="3507" t="s">
        <v>1419</v>
      </c>
      <c r="D13" s="3507" t="s">
        <v>1006</v>
      </c>
      <c r="E13" s="3507">
        <v>12.8333254019214</v>
      </c>
      <c r="F13" s="3507" t="s">
        <v>259</v>
      </c>
      <c r="G13" s="3507" t="s">
        <v>259</v>
      </c>
      <c r="H13" s="3507" t="s">
        <v>1006</v>
      </c>
      <c r="I13" s="660"/>
    </row>
    <row r="14" spans="1:9" x14ac:dyDescent="0.2">
      <c r="A14" s="3621" t="s">
        <v>1687</v>
      </c>
      <c r="B14" s="3500" t="s">
        <v>259</v>
      </c>
      <c r="C14" s="3507" t="s">
        <v>259</v>
      </c>
      <c r="D14" s="3507" t="s">
        <v>259</v>
      </c>
      <c r="E14" s="3500" t="s">
        <v>259</v>
      </c>
      <c r="F14" s="3500" t="s">
        <v>259</v>
      </c>
      <c r="G14" s="3500" t="s">
        <v>259</v>
      </c>
      <c r="H14" s="3500" t="s">
        <v>259</v>
      </c>
      <c r="I14" s="660"/>
    </row>
    <row r="15" spans="1:9" ht="13.5" x14ac:dyDescent="0.2">
      <c r="A15" s="3621" t="s">
        <v>1686</v>
      </c>
      <c r="B15" s="3507" t="s">
        <v>1209</v>
      </c>
      <c r="C15" s="3507" t="s">
        <v>1209</v>
      </c>
      <c r="D15" s="3507" t="s">
        <v>799</v>
      </c>
      <c r="E15" s="3507">
        <v>12.8333254019214</v>
      </c>
      <c r="F15" s="3507" t="s">
        <v>259</v>
      </c>
      <c r="G15" s="3507" t="s">
        <v>259</v>
      </c>
      <c r="H15" s="3507" t="s">
        <v>799</v>
      </c>
      <c r="I15" s="660"/>
    </row>
    <row r="16" spans="1:9" x14ac:dyDescent="0.2">
      <c r="A16" s="3519" t="s">
        <v>1685</v>
      </c>
      <c r="B16" s="3500" t="s">
        <v>1209</v>
      </c>
      <c r="C16" s="3507" t="s">
        <v>1209</v>
      </c>
      <c r="D16" s="3507" t="s">
        <v>799</v>
      </c>
      <c r="E16" s="3500">
        <v>12.8333254019214</v>
      </c>
      <c r="F16" s="3500" t="s">
        <v>259</v>
      </c>
      <c r="G16" s="3500" t="s">
        <v>259</v>
      </c>
      <c r="H16" s="3500" t="s">
        <v>799</v>
      </c>
      <c r="I16" s="660"/>
    </row>
    <row r="17" spans="1:9" x14ac:dyDescent="0.2">
      <c r="A17" s="786" t="s">
        <v>564</v>
      </c>
      <c r="B17" s="660"/>
      <c r="C17" s="660"/>
      <c r="D17" s="660"/>
      <c r="E17" s="660"/>
      <c r="F17" s="660"/>
      <c r="G17" s="660"/>
      <c r="H17" s="660"/>
      <c r="I17" s="660"/>
    </row>
    <row r="18" spans="1:9" ht="21.75" customHeight="1" x14ac:dyDescent="0.2">
      <c r="A18" s="5662" t="s">
        <v>1684</v>
      </c>
      <c r="B18" s="5662"/>
      <c r="C18" s="5662"/>
      <c r="D18" s="5662"/>
      <c r="E18" s="5662"/>
      <c r="F18" s="5662"/>
      <c r="G18" s="5662"/>
      <c r="H18" s="5662"/>
      <c r="I18" s="735"/>
    </row>
    <row r="19" spans="1:9" x14ac:dyDescent="0.2">
      <c r="A19" s="5645" t="s">
        <v>1683</v>
      </c>
      <c r="B19" s="5460"/>
      <c r="C19" s="5460"/>
      <c r="D19" s="5460"/>
      <c r="E19" s="5460"/>
      <c r="F19" s="5460"/>
      <c r="G19" s="5460"/>
      <c r="H19" s="5460"/>
      <c r="I19" s="5460"/>
    </row>
    <row r="20" spans="1:9" x14ac:dyDescent="0.2">
      <c r="A20" s="5645" t="s">
        <v>1682</v>
      </c>
      <c r="B20" s="5460"/>
      <c r="C20" s="5460"/>
      <c r="D20" s="5460"/>
      <c r="E20" s="5460"/>
      <c r="F20" s="5460"/>
      <c r="G20" s="5460"/>
      <c r="H20" s="5460"/>
      <c r="I20" s="5460"/>
    </row>
    <row r="21" spans="1:9" x14ac:dyDescent="0.2">
      <c r="A21" s="5645" t="s">
        <v>1681</v>
      </c>
      <c r="B21" s="5460"/>
      <c r="C21" s="5460"/>
      <c r="D21" s="5460"/>
      <c r="E21" s="5460"/>
      <c r="F21" s="5460"/>
      <c r="G21" s="5460"/>
      <c r="H21" s="5460"/>
      <c r="I21" s="5460"/>
    </row>
    <row r="22" spans="1:9" x14ac:dyDescent="0.2">
      <c r="A22" s="5781" t="s">
        <v>1652</v>
      </c>
      <c r="B22" s="5782"/>
      <c r="C22" s="5782"/>
      <c r="D22" s="5782"/>
      <c r="E22" s="5782"/>
      <c r="F22" s="5782"/>
      <c r="G22" s="5782"/>
      <c r="H22" s="5783"/>
      <c r="I22" s="660"/>
    </row>
    <row r="23" spans="1:9" ht="25.5" customHeight="1" x14ac:dyDescent="0.2">
      <c r="A23" s="5654" t="s">
        <v>1680</v>
      </c>
      <c r="B23" s="5655"/>
      <c r="C23" s="5655"/>
      <c r="D23" s="5655"/>
      <c r="E23" s="5655"/>
      <c r="F23" s="5655"/>
      <c r="G23" s="5655"/>
      <c r="H23" s="5656"/>
      <c r="I23" s="660"/>
    </row>
    <row r="24" spans="1:9" x14ac:dyDescent="0.2">
      <c r="A24" s="5657" t="s">
        <v>1647</v>
      </c>
      <c r="B24" s="5658"/>
      <c r="C24" s="5658"/>
      <c r="D24" s="5658"/>
      <c r="E24" s="5658"/>
      <c r="F24" s="5658"/>
      <c r="G24" s="5658"/>
      <c r="H24" s="5659"/>
      <c r="I24" s="660"/>
    </row>
    <row r="25" spans="1:9" x14ac:dyDescent="0.2">
      <c r="A25" s="3620" t="s">
        <v>980</v>
      </c>
      <c r="B25" s="5696" t="s">
        <v>986</v>
      </c>
      <c r="C25" s="5723"/>
      <c r="D25" s="5723"/>
      <c r="E25" s="5723"/>
      <c r="F25" s="5723"/>
      <c r="G25" s="5723"/>
      <c r="H25" s="5723"/>
    </row>
  </sheetData>
  <sheetProtection password="A754" sheet="1" objects="1" scenarios="1"/>
  <mergeCells count="16">
    <mergeCell ref="A21:I21"/>
    <mergeCell ref="B25:H25"/>
    <mergeCell ref="A1:D1"/>
    <mergeCell ref="A2:B2"/>
    <mergeCell ref="C5:D5"/>
    <mergeCell ref="E5:H5"/>
    <mergeCell ref="B6:B7"/>
    <mergeCell ref="E6:G6"/>
    <mergeCell ref="A22:H22"/>
    <mergeCell ref="A23:H23"/>
    <mergeCell ref="A24:H24"/>
    <mergeCell ref="C8:D8"/>
    <mergeCell ref="E8:H8"/>
    <mergeCell ref="A18:H18"/>
    <mergeCell ref="A19:I19"/>
    <mergeCell ref="A20:I20"/>
  </mergeCells>
  <printOptions horizontalCentered="1" verticalCentered="1"/>
  <pageMargins left="0.39370078740157483" right="0.39370078740157483" top="0.39370078740157483" bottom="0.39370078740157483" header="0.19685039370078741" footer="0.19685039370078741"/>
  <pageSetup paperSize="9" scale="52"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7544D-844C-496B-A1A1-32EA36F62BF4}">
  <sheetPr codeName="Ark57">
    <tabColor theme="0" tint="-0.249977111117893"/>
    <pageSetUpPr fitToPage="1"/>
  </sheetPr>
  <dimension ref="A1:H38"/>
  <sheetViews>
    <sheetView showGridLines="0" topLeftCell="A6" workbookViewId="0">
      <selection sqref="A1:D1"/>
    </sheetView>
  </sheetViews>
  <sheetFormatPr defaultColWidth="9.140625" defaultRowHeight="12" x14ac:dyDescent="0.2"/>
  <cols>
    <col min="1" max="1" width="40" style="659" customWidth="1"/>
    <col min="2" max="2" width="16" style="659" customWidth="1"/>
    <col min="3" max="16384" width="9.140625" style="659"/>
  </cols>
  <sheetData>
    <row r="1" spans="1:8" ht="15.75" x14ac:dyDescent="0.25">
      <c r="A1" s="5663" t="s">
        <v>1722</v>
      </c>
      <c r="B1" s="5663"/>
      <c r="C1" s="5663"/>
      <c r="D1" s="5663"/>
      <c r="E1" s="803"/>
      <c r="F1" s="803"/>
      <c r="G1" s="803" t="s">
        <v>270</v>
      </c>
      <c r="H1" s="800" t="s">
        <v>1791</v>
      </c>
    </row>
    <row r="2" spans="1:8" ht="15.75" x14ac:dyDescent="0.2">
      <c r="A2" s="5664" t="s">
        <v>1721</v>
      </c>
      <c r="B2" s="5664"/>
      <c r="C2" s="5664"/>
      <c r="D2" s="5664"/>
      <c r="E2" s="5664"/>
      <c r="F2" s="5664"/>
      <c r="G2" s="5664"/>
      <c r="H2" s="800" t="s">
        <v>1790</v>
      </c>
    </row>
    <row r="3" spans="1:8" ht="15.75" x14ac:dyDescent="0.25">
      <c r="A3" s="804" t="s">
        <v>1197</v>
      </c>
      <c r="B3" s="803"/>
      <c r="C3" s="803"/>
      <c r="D3" s="803"/>
      <c r="E3" s="803"/>
      <c r="F3" s="803"/>
      <c r="G3" s="803"/>
      <c r="H3" s="800" t="s">
        <v>1789</v>
      </c>
    </row>
    <row r="4" spans="1:8" x14ac:dyDescent="0.2">
      <c r="A4" s="802"/>
      <c r="B4" s="801"/>
      <c r="C4" s="801"/>
      <c r="D4" s="801"/>
      <c r="E4" s="801"/>
      <c r="F4" s="801"/>
      <c r="G4" s="801"/>
      <c r="H4" s="800"/>
    </row>
    <row r="5" spans="1:8" x14ac:dyDescent="0.2">
      <c r="A5" s="3633" t="s">
        <v>1677</v>
      </c>
      <c r="B5" s="3632" t="s">
        <v>1083</v>
      </c>
      <c r="C5" s="5784" t="s">
        <v>1563</v>
      </c>
      <c r="D5" s="5785"/>
      <c r="E5" s="5786"/>
      <c r="F5" s="5784" t="s">
        <v>1081</v>
      </c>
      <c r="G5" s="5787"/>
      <c r="H5" s="5788"/>
    </row>
    <row r="6" spans="1:8" x14ac:dyDescent="0.2">
      <c r="A6" s="793" t="s">
        <v>1080</v>
      </c>
      <c r="B6" s="5670" t="s">
        <v>1720</v>
      </c>
      <c r="C6" s="799"/>
      <c r="D6" s="798"/>
      <c r="E6" s="798"/>
      <c r="F6" s="799"/>
      <c r="G6" s="798"/>
      <c r="H6" s="797"/>
    </row>
    <row r="7" spans="1:8" ht="20.25" customHeight="1" x14ac:dyDescent="0.2">
      <c r="A7" s="796"/>
      <c r="B7" s="5670"/>
      <c r="C7" s="3622" t="s">
        <v>1719</v>
      </c>
      <c r="D7" s="3622" t="s">
        <v>1023</v>
      </c>
      <c r="E7" s="3631" t="s">
        <v>1022</v>
      </c>
      <c r="F7" s="3630" t="s">
        <v>1024</v>
      </c>
      <c r="G7" s="3630" t="s">
        <v>1023</v>
      </c>
      <c r="H7" s="3629" t="s">
        <v>1022</v>
      </c>
    </row>
    <row r="8" spans="1:8" ht="12.75" thickBot="1" x14ac:dyDescent="0.25">
      <c r="A8" s="795"/>
      <c r="B8" s="794" t="s">
        <v>1718</v>
      </c>
      <c r="C8" s="5660" t="s">
        <v>1717</v>
      </c>
      <c r="D8" s="5671"/>
      <c r="E8" s="5661"/>
      <c r="F8" s="5660" t="s">
        <v>1011</v>
      </c>
      <c r="G8" s="5486"/>
      <c r="H8" s="5487"/>
    </row>
    <row r="9" spans="1:8" ht="12.75" thickTop="1" x14ac:dyDescent="0.2">
      <c r="A9" s="793" t="s">
        <v>1716</v>
      </c>
      <c r="B9" s="3507">
        <v>1.131</v>
      </c>
      <c r="C9" s="3507" t="s">
        <v>259</v>
      </c>
      <c r="D9" s="3507">
        <v>0.66274806366048</v>
      </c>
      <c r="E9" s="3507">
        <v>0.82846387957559997</v>
      </c>
      <c r="F9" s="3507" t="s">
        <v>259</v>
      </c>
      <c r="G9" s="3507">
        <v>7.4956806000000002E-4</v>
      </c>
      <c r="H9" s="3507">
        <v>9.3699264780000005E-4</v>
      </c>
    </row>
    <row r="10" spans="1:8" ht="14.25" x14ac:dyDescent="0.2">
      <c r="A10" s="3628" t="s">
        <v>1710</v>
      </c>
      <c r="B10" s="3507">
        <v>1.131</v>
      </c>
      <c r="C10" s="3507">
        <v>2820.7224137931034</v>
      </c>
      <c r="D10" s="3507">
        <v>0.66274806366048</v>
      </c>
      <c r="E10" s="3507">
        <v>0.82846387957559997</v>
      </c>
      <c r="F10" s="3507">
        <v>3.1902370499999999</v>
      </c>
      <c r="G10" s="3507">
        <v>7.4956806000000002E-4</v>
      </c>
      <c r="H10" s="3507">
        <v>9.3699264780000005E-4</v>
      </c>
    </row>
    <row r="11" spans="1:8" x14ac:dyDescent="0.2">
      <c r="A11" s="3621" t="s">
        <v>1687</v>
      </c>
      <c r="B11" s="3500" t="s">
        <v>259</v>
      </c>
      <c r="C11" s="3507" t="s">
        <v>259</v>
      </c>
      <c r="D11" s="3507" t="s">
        <v>259</v>
      </c>
      <c r="E11" s="3507" t="s">
        <v>259</v>
      </c>
      <c r="F11" s="3500" t="s">
        <v>259</v>
      </c>
      <c r="G11" s="3500" t="s">
        <v>259</v>
      </c>
      <c r="H11" s="3500" t="s">
        <v>259</v>
      </c>
    </row>
    <row r="12" spans="1:8" ht="13.5" x14ac:dyDescent="0.2">
      <c r="A12" s="3621" t="s">
        <v>1715</v>
      </c>
      <c r="B12" s="3507">
        <v>1.131</v>
      </c>
      <c r="C12" s="3507">
        <v>2820.7224137931034</v>
      </c>
      <c r="D12" s="3507">
        <v>0.66274806366048</v>
      </c>
      <c r="E12" s="3507">
        <v>0.82846387957559997</v>
      </c>
      <c r="F12" s="3507">
        <v>3.1902370499999999</v>
      </c>
      <c r="G12" s="3507">
        <v>7.4956806000000002E-4</v>
      </c>
      <c r="H12" s="3507">
        <v>9.3699264780000005E-4</v>
      </c>
    </row>
    <row r="13" spans="1:8" x14ac:dyDescent="0.2">
      <c r="A13" s="3519" t="s">
        <v>1111</v>
      </c>
      <c r="B13" s="3507">
        <v>1.131</v>
      </c>
      <c r="C13" s="3507">
        <v>2820.7224137931034</v>
      </c>
      <c r="D13" s="3507">
        <v>0.66274806366048</v>
      </c>
      <c r="E13" s="3507">
        <v>0.82846387957559997</v>
      </c>
      <c r="F13" s="3507">
        <v>3.1902370499999999</v>
      </c>
      <c r="G13" s="3507">
        <v>7.4956806000000002E-4</v>
      </c>
      <c r="H13" s="3507">
        <v>9.3699264780000005E-4</v>
      </c>
    </row>
    <row r="14" spans="1:8" x14ac:dyDescent="0.2">
      <c r="A14" s="3520" t="s">
        <v>1714</v>
      </c>
      <c r="B14" s="3500">
        <v>1.131</v>
      </c>
      <c r="C14" s="3507">
        <v>770</v>
      </c>
      <c r="D14" s="3507">
        <v>0.18090000000000001</v>
      </c>
      <c r="E14" s="3507">
        <v>0.22615379999999999</v>
      </c>
      <c r="F14" s="3500">
        <v>0.87087000000000003</v>
      </c>
      <c r="G14" s="3500">
        <v>2.045979E-4</v>
      </c>
      <c r="H14" s="3500">
        <v>2.5577994779999997E-4</v>
      </c>
    </row>
    <row r="15" spans="1:8" x14ac:dyDescent="0.2">
      <c r="A15" s="3520" t="s">
        <v>1713</v>
      </c>
      <c r="B15" s="3500" t="s">
        <v>259</v>
      </c>
      <c r="C15" s="3507" t="s">
        <v>259</v>
      </c>
      <c r="D15" s="3507" t="s">
        <v>259</v>
      </c>
      <c r="E15" s="3507" t="s">
        <v>259</v>
      </c>
      <c r="F15" s="3500">
        <v>2.3193670499999999</v>
      </c>
      <c r="G15" s="3500">
        <v>5.4497015999999999E-4</v>
      </c>
      <c r="H15" s="3500">
        <v>6.8121269999999996E-4</v>
      </c>
    </row>
    <row r="16" spans="1:8" x14ac:dyDescent="0.2">
      <c r="A16" s="3628" t="s">
        <v>1709</v>
      </c>
      <c r="B16" s="3507" t="s">
        <v>259</v>
      </c>
      <c r="C16" s="3507" t="s">
        <v>259</v>
      </c>
      <c r="D16" s="3507" t="s">
        <v>259</v>
      </c>
      <c r="E16" s="3507" t="s">
        <v>259</v>
      </c>
      <c r="F16" s="3507" t="s">
        <v>259</v>
      </c>
      <c r="G16" s="3507" t="s">
        <v>259</v>
      </c>
      <c r="H16" s="3507" t="s">
        <v>259</v>
      </c>
    </row>
    <row r="17" spans="1:8" x14ac:dyDescent="0.2">
      <c r="A17" s="3621" t="s">
        <v>1687</v>
      </c>
      <c r="B17" s="3500" t="s">
        <v>259</v>
      </c>
      <c r="C17" s="3507" t="s">
        <v>259</v>
      </c>
      <c r="D17" s="3507" t="s">
        <v>259</v>
      </c>
      <c r="E17" s="3507" t="s">
        <v>259</v>
      </c>
      <c r="F17" s="3500" t="s">
        <v>259</v>
      </c>
      <c r="G17" s="3500" t="s">
        <v>259</v>
      </c>
      <c r="H17" s="3500" t="s">
        <v>259</v>
      </c>
    </row>
    <row r="18" spans="1:8" ht="13.5" x14ac:dyDescent="0.2">
      <c r="A18" s="3621" t="s">
        <v>1712</v>
      </c>
      <c r="B18" s="3507" t="s">
        <v>259</v>
      </c>
      <c r="C18" s="3507" t="s">
        <v>259</v>
      </c>
      <c r="D18" s="3507" t="s">
        <v>259</v>
      </c>
      <c r="E18" s="3507" t="s">
        <v>259</v>
      </c>
      <c r="F18" s="3507" t="s">
        <v>259</v>
      </c>
      <c r="G18" s="3507" t="s">
        <v>259</v>
      </c>
      <c r="H18" s="3507" t="s">
        <v>259</v>
      </c>
    </row>
    <row r="19" spans="1:8" x14ac:dyDescent="0.2">
      <c r="A19" s="3628" t="s">
        <v>1711</v>
      </c>
      <c r="B19" s="3507" t="s">
        <v>259</v>
      </c>
      <c r="C19" s="3507" t="s">
        <v>259</v>
      </c>
      <c r="D19" s="3507" t="s">
        <v>259</v>
      </c>
      <c r="E19" s="3507" t="s">
        <v>259</v>
      </c>
      <c r="F19" s="3507" t="s">
        <v>259</v>
      </c>
      <c r="G19" s="3507" t="s">
        <v>259</v>
      </c>
      <c r="H19" s="3507" t="s">
        <v>259</v>
      </c>
    </row>
    <row r="20" spans="1:8" ht="14.25" x14ac:dyDescent="0.2">
      <c r="A20" s="3628" t="s">
        <v>1710</v>
      </c>
      <c r="B20" s="3507" t="s">
        <v>259</v>
      </c>
      <c r="C20" s="3507" t="s">
        <v>259</v>
      </c>
      <c r="D20" s="3507" t="s">
        <v>259</v>
      </c>
      <c r="E20" s="3507" t="s">
        <v>259</v>
      </c>
      <c r="F20" s="3507" t="s">
        <v>259</v>
      </c>
      <c r="G20" s="3507" t="s">
        <v>259</v>
      </c>
      <c r="H20" s="3507" t="s">
        <v>259</v>
      </c>
    </row>
    <row r="21" spans="1:8" x14ac:dyDescent="0.2">
      <c r="A21" s="3627" t="s">
        <v>1687</v>
      </c>
      <c r="B21" s="3500" t="s">
        <v>259</v>
      </c>
      <c r="C21" s="3507" t="s">
        <v>259</v>
      </c>
      <c r="D21" s="3507" t="s">
        <v>259</v>
      </c>
      <c r="E21" s="3507" t="s">
        <v>259</v>
      </c>
      <c r="F21" s="3500" t="s">
        <v>259</v>
      </c>
      <c r="G21" s="3500" t="s">
        <v>259</v>
      </c>
      <c r="H21" s="3500" t="s">
        <v>259</v>
      </c>
    </row>
    <row r="22" spans="1:8" x14ac:dyDescent="0.2">
      <c r="A22" s="3627" t="s">
        <v>1218</v>
      </c>
      <c r="B22" s="3507" t="s">
        <v>259</v>
      </c>
      <c r="C22" s="3507" t="s">
        <v>259</v>
      </c>
      <c r="D22" s="3507" t="s">
        <v>259</v>
      </c>
      <c r="E22" s="3507" t="s">
        <v>259</v>
      </c>
      <c r="F22" s="3507" t="s">
        <v>259</v>
      </c>
      <c r="G22" s="3507" t="s">
        <v>259</v>
      </c>
      <c r="H22" s="3507" t="s">
        <v>259</v>
      </c>
    </row>
    <row r="23" spans="1:8" x14ac:dyDescent="0.2">
      <c r="A23" s="3628" t="s">
        <v>1709</v>
      </c>
      <c r="B23" s="3507" t="s">
        <v>259</v>
      </c>
      <c r="C23" s="3507" t="s">
        <v>259</v>
      </c>
      <c r="D23" s="3507" t="s">
        <v>259</v>
      </c>
      <c r="E23" s="3507" t="s">
        <v>259</v>
      </c>
      <c r="F23" s="3507" t="s">
        <v>259</v>
      </c>
      <c r="G23" s="3507" t="s">
        <v>259</v>
      </c>
      <c r="H23" s="3507" t="s">
        <v>259</v>
      </c>
    </row>
    <row r="24" spans="1:8" x14ac:dyDescent="0.2">
      <c r="A24" s="3627" t="s">
        <v>1687</v>
      </c>
      <c r="B24" s="3500" t="s">
        <v>259</v>
      </c>
      <c r="C24" s="3507" t="s">
        <v>259</v>
      </c>
      <c r="D24" s="3507" t="s">
        <v>259</v>
      </c>
      <c r="E24" s="3507" t="s">
        <v>259</v>
      </c>
      <c r="F24" s="3500" t="s">
        <v>259</v>
      </c>
      <c r="G24" s="3500" t="s">
        <v>259</v>
      </c>
      <c r="H24" s="3500" t="s">
        <v>259</v>
      </c>
    </row>
    <row r="25" spans="1:8" x14ac:dyDescent="0.2">
      <c r="A25" s="3627" t="s">
        <v>1218</v>
      </c>
      <c r="B25" s="3507" t="s">
        <v>259</v>
      </c>
      <c r="C25" s="3507" t="s">
        <v>259</v>
      </c>
      <c r="D25" s="3507" t="s">
        <v>259</v>
      </c>
      <c r="E25" s="3507" t="s">
        <v>259</v>
      </c>
      <c r="F25" s="3507" t="s">
        <v>259</v>
      </c>
      <c r="G25" s="3507" t="s">
        <v>259</v>
      </c>
      <c r="H25" s="3507" t="s">
        <v>259</v>
      </c>
    </row>
    <row r="26" spans="1:8" x14ac:dyDescent="0.2">
      <c r="A26" s="792" t="s">
        <v>564</v>
      </c>
      <c r="B26" s="663"/>
      <c r="C26" s="663"/>
      <c r="D26" s="663"/>
      <c r="E26" s="663"/>
      <c r="F26" s="663"/>
      <c r="G26" s="663"/>
      <c r="H26" s="663"/>
    </row>
    <row r="27" spans="1:8" x14ac:dyDescent="0.2">
      <c r="A27" s="5672" t="s">
        <v>1708</v>
      </c>
      <c r="B27" s="5672"/>
      <c r="C27" s="5672"/>
      <c r="D27" s="5672"/>
      <c r="E27" s="5672"/>
      <c r="F27" s="5672"/>
      <c r="G27" s="5672"/>
      <c r="H27" s="5672"/>
    </row>
    <row r="28" spans="1:8" x14ac:dyDescent="0.2">
      <c r="A28" s="3322"/>
      <c r="B28" s="3322"/>
      <c r="C28" s="3322"/>
      <c r="D28" s="3322"/>
      <c r="E28" s="3322"/>
      <c r="F28" s="3322"/>
      <c r="G28" s="3322"/>
      <c r="H28" s="3322"/>
    </row>
    <row r="29" spans="1:8" ht="13.5" x14ac:dyDescent="0.2">
      <c r="A29" s="5645" t="s">
        <v>1707</v>
      </c>
      <c r="B29" s="5645"/>
      <c r="C29" s="5645"/>
      <c r="D29" s="5645"/>
      <c r="E29" s="5645"/>
      <c r="F29" s="5645"/>
      <c r="G29" s="5645"/>
      <c r="H29" s="5645"/>
    </row>
    <row r="30" spans="1:8" ht="25.5" customHeight="1" x14ac:dyDescent="0.2">
      <c r="A30" s="5645" t="s">
        <v>1706</v>
      </c>
      <c r="B30" s="5645"/>
      <c r="C30" s="5645"/>
      <c r="D30" s="5645"/>
      <c r="E30" s="5645"/>
      <c r="F30" s="5645"/>
      <c r="G30" s="5645"/>
      <c r="H30" s="5645"/>
    </row>
    <row r="31" spans="1:8" ht="25.5" customHeight="1" x14ac:dyDescent="0.2">
      <c r="A31" s="5645" t="s">
        <v>1705</v>
      </c>
      <c r="B31" s="5645"/>
      <c r="C31" s="5645"/>
      <c r="D31" s="5645"/>
      <c r="E31" s="5645"/>
      <c r="F31" s="5645"/>
      <c r="G31" s="5645"/>
      <c r="H31" s="5645"/>
    </row>
    <row r="32" spans="1:8" ht="13.5" x14ac:dyDescent="0.2">
      <c r="A32" s="5645" t="s">
        <v>1704</v>
      </c>
      <c r="B32" s="5645"/>
      <c r="C32" s="5645"/>
      <c r="D32" s="5645"/>
      <c r="E32" s="5645"/>
      <c r="F32" s="5645"/>
      <c r="G32" s="5645"/>
      <c r="H32" s="5645"/>
    </row>
    <row r="33" spans="1:8" x14ac:dyDescent="0.2">
      <c r="A33" s="735"/>
      <c r="B33" s="660"/>
      <c r="C33" s="660"/>
      <c r="D33" s="660"/>
      <c r="E33" s="660"/>
      <c r="F33" s="660"/>
      <c r="G33" s="660"/>
      <c r="H33" s="660"/>
    </row>
    <row r="34" spans="1:8" x14ac:dyDescent="0.2">
      <c r="A34" s="5781" t="s">
        <v>1652</v>
      </c>
      <c r="B34" s="5782"/>
      <c r="C34" s="5782"/>
      <c r="D34" s="5782"/>
      <c r="E34" s="5782"/>
      <c r="F34" s="5782"/>
      <c r="G34" s="5782"/>
      <c r="H34" s="5783"/>
    </row>
    <row r="35" spans="1:8" x14ac:dyDescent="0.2">
      <c r="A35" s="5654" t="s">
        <v>1703</v>
      </c>
      <c r="B35" s="5655"/>
      <c r="C35" s="5655"/>
      <c r="D35" s="5655"/>
      <c r="E35" s="5655"/>
      <c r="F35" s="5655"/>
      <c r="G35" s="5655"/>
      <c r="H35" s="5656"/>
    </row>
    <row r="36" spans="1:8" x14ac:dyDescent="0.2">
      <c r="A36" s="5654" t="s">
        <v>1702</v>
      </c>
      <c r="B36" s="5655"/>
      <c r="C36" s="5655"/>
      <c r="D36" s="5655"/>
      <c r="E36" s="5655"/>
      <c r="F36" s="5655"/>
      <c r="G36" s="5655"/>
      <c r="H36" s="5656"/>
    </row>
    <row r="37" spans="1:8" x14ac:dyDescent="0.2">
      <c r="A37" s="5657" t="s">
        <v>1701</v>
      </c>
      <c r="B37" s="5658"/>
      <c r="C37" s="5658"/>
      <c r="D37" s="5658"/>
      <c r="E37" s="5658"/>
      <c r="F37" s="5658"/>
      <c r="G37" s="5658"/>
      <c r="H37" s="5659"/>
    </row>
    <row r="38" spans="1:8" s="791" customFormat="1" x14ac:dyDescent="0.2">
      <c r="A38" s="3626" t="s">
        <v>980</v>
      </c>
      <c r="B38" s="5696" t="s">
        <v>986</v>
      </c>
      <c r="C38" s="5697"/>
      <c r="D38" s="5697"/>
      <c r="E38" s="5697"/>
      <c r="F38" s="5697"/>
      <c r="G38" s="5697"/>
      <c r="H38" s="5697"/>
    </row>
  </sheetData>
  <sheetProtection password="A754" sheet="1" objects="1" scenarios="1"/>
  <mergeCells count="17">
    <mergeCell ref="B38:H38"/>
    <mergeCell ref="A35:H35"/>
    <mergeCell ref="A36:H36"/>
    <mergeCell ref="A37:H37"/>
    <mergeCell ref="C8:E8"/>
    <mergeCell ref="F8:H8"/>
    <mergeCell ref="A27:H27"/>
    <mergeCell ref="A29:H29"/>
    <mergeCell ref="A30:H30"/>
    <mergeCell ref="A31:H31"/>
    <mergeCell ref="A32:H32"/>
    <mergeCell ref="A34:H34"/>
    <mergeCell ref="A1:D1"/>
    <mergeCell ref="A2:G2"/>
    <mergeCell ref="C5:E5"/>
    <mergeCell ref="F5:H5"/>
    <mergeCell ref="B6:B7"/>
  </mergeCells>
  <pageMargins left="0.7" right="0.7" top="0.75" bottom="0.75" header="0.3" footer="0.3"/>
  <pageSetup paperSize="9" scale="34" fitToHeight="0"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75E88-9C42-4ABD-8AEB-5777CCDC099D}">
  <sheetPr codeName="Ark58">
    <tabColor theme="0" tint="-0.249977111117893"/>
    <pageSetUpPr fitToPage="1"/>
  </sheetPr>
  <dimension ref="A1:Q37"/>
  <sheetViews>
    <sheetView showGridLines="0" workbookViewId="0">
      <selection sqref="A1:D1"/>
    </sheetView>
  </sheetViews>
  <sheetFormatPr defaultColWidth="8" defaultRowHeight="12" customHeight="1" x14ac:dyDescent="0.2"/>
  <cols>
    <col min="1" max="1" width="34.140625" style="659" customWidth="1"/>
    <col min="2" max="2" width="16.28515625" style="659" customWidth="1"/>
    <col min="3" max="3" width="12.28515625" style="659" customWidth="1"/>
    <col min="4" max="4" width="12.5703125" style="659" customWidth="1"/>
    <col min="5" max="6" width="12.85546875" style="659" customWidth="1"/>
    <col min="7" max="8" width="15.7109375" style="659" customWidth="1"/>
    <col min="9" max="9" width="12.7109375" style="659" customWidth="1"/>
    <col min="10" max="10" width="13.42578125" style="659" customWidth="1"/>
    <col min="11" max="11" width="3" style="659" customWidth="1"/>
    <col min="12" max="12" width="14.140625" style="659" customWidth="1"/>
    <col min="13" max="17" width="8" style="659"/>
    <col min="18" max="18" width="4.5703125" style="659" customWidth="1"/>
    <col min="19" max="19" width="8" style="659"/>
    <col min="20" max="20" width="6.85546875" style="659" customWidth="1"/>
    <col min="21" max="16384" width="8" style="659"/>
  </cols>
  <sheetData>
    <row r="1" spans="1:17" ht="15.75" customHeight="1" x14ac:dyDescent="0.2">
      <c r="A1" s="5471" t="s">
        <v>1760</v>
      </c>
      <c r="B1" s="5471"/>
      <c r="C1" s="5471"/>
      <c r="D1" s="5471"/>
      <c r="E1" s="660"/>
      <c r="F1" s="660"/>
      <c r="G1" s="660"/>
      <c r="H1" s="660"/>
      <c r="I1" s="660"/>
      <c r="J1" s="668" t="s">
        <v>1791</v>
      </c>
      <c r="K1" s="660"/>
      <c r="L1" s="660"/>
      <c r="M1" s="660"/>
      <c r="N1" s="660"/>
      <c r="O1" s="660"/>
      <c r="P1" s="660"/>
      <c r="Q1" s="660"/>
    </row>
    <row r="2" spans="1:17" ht="15.75" customHeight="1" x14ac:dyDescent="0.25">
      <c r="A2" s="5471" t="s">
        <v>1759</v>
      </c>
      <c r="B2" s="5471"/>
      <c r="C2" s="670"/>
      <c r="D2" s="670"/>
      <c r="E2" s="660"/>
      <c r="F2" s="660"/>
      <c r="G2" s="660"/>
      <c r="H2" s="660"/>
      <c r="I2" s="660"/>
      <c r="J2" s="668" t="s">
        <v>1790</v>
      </c>
      <c r="K2" s="660"/>
      <c r="L2" s="660"/>
      <c r="M2" s="660"/>
      <c r="N2" s="660"/>
      <c r="O2" s="660"/>
      <c r="P2" s="660"/>
      <c r="Q2" s="660"/>
    </row>
    <row r="3" spans="1:17" ht="15.75" customHeight="1" x14ac:dyDescent="0.25">
      <c r="A3" s="687" t="s">
        <v>1197</v>
      </c>
      <c r="B3" s="670"/>
      <c r="C3" s="670"/>
      <c r="D3" s="670"/>
      <c r="E3" s="660"/>
      <c r="F3" s="660"/>
      <c r="G3" s="660"/>
      <c r="H3" s="660"/>
      <c r="I3" s="660"/>
      <c r="J3" s="668" t="s">
        <v>1789</v>
      </c>
      <c r="K3" s="660"/>
      <c r="L3" s="660"/>
      <c r="M3" s="660"/>
      <c r="N3" s="660"/>
      <c r="O3" s="660"/>
      <c r="P3" s="660"/>
      <c r="Q3" s="660"/>
    </row>
    <row r="4" spans="1:17" ht="12.75" customHeight="1" x14ac:dyDescent="0.2">
      <c r="A4" s="660"/>
      <c r="B4" s="660"/>
      <c r="C4" s="660"/>
      <c r="D4" s="660"/>
      <c r="E4" s="660"/>
      <c r="F4" s="660"/>
      <c r="G4" s="660"/>
      <c r="H4" s="660"/>
      <c r="I4" s="660"/>
      <c r="J4" s="660"/>
      <c r="K4" s="660"/>
      <c r="L4" s="660"/>
      <c r="M4" s="660"/>
      <c r="N4" s="660"/>
      <c r="O4" s="660"/>
      <c r="P4" s="660"/>
      <c r="Q4" s="660"/>
    </row>
    <row r="5" spans="1:17" ht="12" customHeight="1" x14ac:dyDescent="0.2">
      <c r="A5" s="5789" t="s">
        <v>1758</v>
      </c>
      <c r="B5" s="5719" t="s">
        <v>1757</v>
      </c>
      <c r="C5" s="5720"/>
      <c r="D5" s="5790"/>
      <c r="E5" s="5719" t="s">
        <v>1756</v>
      </c>
      <c r="F5" s="5721"/>
      <c r="G5" s="5703" t="s">
        <v>1081</v>
      </c>
      <c r="H5" s="5705"/>
      <c r="I5" s="5705"/>
      <c r="J5" s="5704"/>
      <c r="K5" s="660"/>
      <c r="L5" s="660"/>
      <c r="M5" s="660"/>
      <c r="N5" s="660"/>
      <c r="O5" s="660"/>
      <c r="P5" s="660"/>
      <c r="Q5" s="660"/>
    </row>
    <row r="6" spans="1:17" ht="12" customHeight="1" x14ac:dyDescent="0.2">
      <c r="A6" s="5674"/>
      <c r="B6" s="5791" t="s">
        <v>1755</v>
      </c>
      <c r="C6" s="5780" t="s">
        <v>1754</v>
      </c>
      <c r="D6" s="3639"/>
      <c r="E6" s="5791" t="s">
        <v>1753</v>
      </c>
      <c r="F6" s="5791" t="s">
        <v>1752</v>
      </c>
      <c r="G6" s="5719" t="s">
        <v>1023</v>
      </c>
      <c r="H6" s="5720"/>
      <c r="I6" s="5721"/>
      <c r="J6" s="5792" t="s">
        <v>1752</v>
      </c>
      <c r="K6" s="660"/>
      <c r="L6" s="660"/>
      <c r="M6" s="660"/>
      <c r="N6" s="660"/>
      <c r="O6" s="660"/>
      <c r="P6" s="660"/>
      <c r="Q6" s="660"/>
    </row>
    <row r="7" spans="1:17" ht="12" customHeight="1" x14ac:dyDescent="0.2">
      <c r="A7" s="5674"/>
      <c r="B7" s="5678"/>
      <c r="C7" s="5670"/>
      <c r="D7" s="809" t="s">
        <v>1751</v>
      </c>
      <c r="E7" s="5678"/>
      <c r="F7" s="5678"/>
      <c r="G7" s="5791" t="s">
        <v>1750</v>
      </c>
      <c r="H7" s="5791" t="s">
        <v>1694</v>
      </c>
      <c r="I7" s="5791" t="s">
        <v>1749</v>
      </c>
      <c r="J7" s="5684"/>
      <c r="K7" s="660"/>
      <c r="L7" s="660"/>
      <c r="M7" s="660"/>
      <c r="N7" s="660"/>
      <c r="O7" s="660"/>
      <c r="P7" s="660"/>
      <c r="Q7" s="660"/>
    </row>
    <row r="8" spans="1:17" ht="39.75" customHeight="1" x14ac:dyDescent="0.2">
      <c r="A8" s="5674"/>
      <c r="B8" s="5679"/>
      <c r="C8" s="5650"/>
      <c r="D8" s="799"/>
      <c r="E8" s="5679"/>
      <c r="F8" s="5679"/>
      <c r="G8" s="5679"/>
      <c r="H8" s="5679"/>
      <c r="I8" s="5679"/>
      <c r="J8" s="5685"/>
      <c r="K8" s="660"/>
      <c r="L8" s="660"/>
      <c r="M8" s="660"/>
      <c r="N8" s="660"/>
      <c r="O8" s="660"/>
      <c r="P8" s="660"/>
      <c r="Q8" s="660"/>
    </row>
    <row r="9" spans="1:17" ht="36" customHeight="1" thickBot="1" x14ac:dyDescent="0.25">
      <c r="A9" s="5675"/>
      <c r="B9" s="5453" t="s">
        <v>1748</v>
      </c>
      <c r="C9" s="5455"/>
      <c r="D9" s="808" t="s">
        <v>1747</v>
      </c>
      <c r="E9" s="808" t="s">
        <v>1746</v>
      </c>
      <c r="F9" s="3301" t="s">
        <v>1745</v>
      </c>
      <c r="G9" s="5450" t="s">
        <v>1744</v>
      </c>
      <c r="H9" s="5451"/>
      <c r="I9" s="5451"/>
      <c r="J9" s="5452"/>
      <c r="K9" s="660"/>
      <c r="L9" s="660"/>
      <c r="M9" s="660"/>
      <c r="N9" s="660"/>
      <c r="O9" s="660"/>
      <c r="P9" s="660"/>
      <c r="Q9" s="660"/>
    </row>
    <row r="10" spans="1:17" ht="12.75" thickTop="1" x14ac:dyDescent="0.2">
      <c r="A10" s="807" t="s">
        <v>1743</v>
      </c>
      <c r="B10" s="3500">
        <v>391.92698189999999</v>
      </c>
      <c r="C10" s="3500">
        <v>47.742054262000003</v>
      </c>
      <c r="D10" s="3500">
        <v>3.6541461039000001</v>
      </c>
      <c r="E10" s="3507">
        <v>8.9309705556290003E-2</v>
      </c>
      <c r="F10" s="3507">
        <v>7.7031509190469999E-2</v>
      </c>
      <c r="G10" s="3500">
        <v>2.09482591695377</v>
      </c>
      <c r="H10" s="3500">
        <v>2.9916415851</v>
      </c>
      <c r="I10" s="3500">
        <v>29.916415851</v>
      </c>
      <c r="J10" s="3500">
        <v>0.44233261157782999</v>
      </c>
      <c r="K10" s="660"/>
      <c r="L10" s="660"/>
      <c r="M10" s="660"/>
      <c r="N10" s="660"/>
      <c r="O10" s="660"/>
      <c r="P10" s="660"/>
      <c r="Q10" s="660"/>
    </row>
    <row r="11" spans="1:17" x14ac:dyDescent="0.2">
      <c r="A11" s="3638" t="s">
        <v>1742</v>
      </c>
      <c r="B11" s="3500" t="s">
        <v>455</v>
      </c>
      <c r="C11" s="3500" t="s">
        <v>455</v>
      </c>
      <c r="D11" s="3500">
        <v>0.34</v>
      </c>
      <c r="E11" s="3507" t="s">
        <v>1366</v>
      </c>
      <c r="F11" s="3507">
        <v>7.3585438247409998E-2</v>
      </c>
      <c r="G11" s="3500" t="s">
        <v>455</v>
      </c>
      <c r="H11" s="3500" t="s">
        <v>259</v>
      </c>
      <c r="I11" s="3500" t="s">
        <v>455</v>
      </c>
      <c r="J11" s="3500">
        <v>3.9315648435039999E-2</v>
      </c>
      <c r="K11" s="660"/>
      <c r="L11" s="660"/>
      <c r="M11" s="660"/>
      <c r="N11" s="660"/>
      <c r="O11" s="660"/>
      <c r="P11" s="660"/>
      <c r="Q11" s="660"/>
    </row>
    <row r="12" spans="1:17" x14ac:dyDescent="0.2">
      <c r="A12" s="3638" t="s">
        <v>1567</v>
      </c>
      <c r="B12" s="3507" t="s">
        <v>259</v>
      </c>
      <c r="C12" s="3507" t="s">
        <v>259</v>
      </c>
      <c r="D12" s="3507" t="s">
        <v>259</v>
      </c>
      <c r="E12" s="3507" t="s">
        <v>259</v>
      </c>
      <c r="F12" s="3507" t="s">
        <v>259</v>
      </c>
      <c r="G12" s="3507" t="s">
        <v>259</v>
      </c>
      <c r="H12" s="3507" t="s">
        <v>259</v>
      </c>
      <c r="I12" s="3507" t="s">
        <v>259</v>
      </c>
      <c r="J12" s="3507" t="s">
        <v>259</v>
      </c>
      <c r="K12" s="660"/>
      <c r="L12" s="660"/>
      <c r="M12" s="660"/>
      <c r="N12" s="660"/>
      <c r="O12" s="660"/>
      <c r="P12" s="660"/>
      <c r="Q12" s="660"/>
    </row>
    <row r="13" spans="1:17" ht="12" customHeight="1" x14ac:dyDescent="0.2">
      <c r="A13" s="3491" t="s">
        <v>564</v>
      </c>
      <c r="B13" s="689"/>
      <c r="C13" s="689"/>
      <c r="D13" s="806"/>
      <c r="E13" s="806"/>
      <c r="F13" s="689"/>
      <c r="G13" s="3637"/>
      <c r="H13" s="3637"/>
      <c r="I13" s="3636"/>
      <c r="J13" s="3636"/>
      <c r="K13" s="660"/>
      <c r="L13" s="660"/>
      <c r="M13" s="660"/>
      <c r="N13" s="660"/>
      <c r="O13" s="660"/>
      <c r="P13" s="660"/>
      <c r="Q13" s="660"/>
    </row>
    <row r="14" spans="1:17" ht="12" customHeight="1" x14ac:dyDescent="0.2">
      <c r="A14" s="5686" t="s">
        <v>1740</v>
      </c>
      <c r="B14" s="5687"/>
      <c r="C14" s="5687"/>
      <c r="D14" s="5687"/>
      <c r="E14" s="5687"/>
      <c r="F14" s="5687"/>
      <c r="G14" s="5687"/>
      <c r="H14" s="5687"/>
      <c r="I14" s="5687"/>
      <c r="J14" s="3488"/>
      <c r="K14" s="3636"/>
      <c r="L14" s="660"/>
      <c r="M14" s="660"/>
      <c r="N14" s="660"/>
      <c r="O14" s="660"/>
      <c r="P14" s="660"/>
      <c r="Q14" s="660"/>
    </row>
    <row r="15" spans="1:17" ht="12" customHeight="1" x14ac:dyDescent="0.2">
      <c r="A15" s="5456" t="s">
        <v>1739</v>
      </c>
      <c r="B15" s="5456"/>
      <c r="C15" s="5456"/>
      <c r="D15" s="5456"/>
      <c r="E15" s="5456"/>
      <c r="F15" s="5456"/>
      <c r="G15" s="5456"/>
      <c r="H15" s="5456"/>
      <c r="I15" s="660"/>
      <c r="J15" s="660"/>
      <c r="K15" s="3488"/>
      <c r="L15" s="660"/>
      <c r="M15" s="660"/>
      <c r="N15" s="660"/>
      <c r="O15" s="660"/>
      <c r="P15" s="660"/>
      <c r="Q15" s="660"/>
    </row>
    <row r="16" spans="1:17" ht="13.5" x14ac:dyDescent="0.2">
      <c r="A16" s="5456" t="s">
        <v>1738</v>
      </c>
      <c r="B16" s="5456"/>
      <c r="C16" s="5456"/>
      <c r="D16" s="5456"/>
      <c r="E16" s="5456"/>
      <c r="F16" s="5456"/>
      <c r="G16" s="5456"/>
      <c r="H16" s="5456"/>
      <c r="I16" s="660"/>
      <c r="J16" s="660"/>
      <c r="K16" s="660"/>
      <c r="L16" s="660"/>
      <c r="M16" s="660"/>
      <c r="N16" s="660"/>
      <c r="O16" s="660"/>
      <c r="P16" s="660"/>
      <c r="Q16" s="660"/>
    </row>
    <row r="17" spans="1:17" ht="12" customHeight="1" x14ac:dyDescent="0.2">
      <c r="A17" s="5456" t="s">
        <v>1737</v>
      </c>
      <c r="B17" s="5456"/>
      <c r="C17" s="5456"/>
      <c r="D17" s="660"/>
      <c r="E17" s="660"/>
      <c r="F17" s="660"/>
      <c r="G17" s="660"/>
      <c r="H17" s="660"/>
      <c r="I17" s="660"/>
      <c r="J17" s="660"/>
      <c r="K17" s="660"/>
      <c r="L17" s="660"/>
      <c r="M17" s="660"/>
      <c r="N17" s="660"/>
      <c r="O17" s="660"/>
      <c r="P17" s="660"/>
      <c r="Q17" s="660"/>
    </row>
    <row r="18" spans="1:17" ht="12" customHeight="1" x14ac:dyDescent="0.2">
      <c r="A18" s="5456" t="s">
        <v>1736</v>
      </c>
      <c r="B18" s="5456"/>
      <c r="C18" s="5456"/>
      <c r="D18" s="5456"/>
      <c r="E18" s="5456"/>
      <c r="F18" s="660"/>
      <c r="G18" s="660"/>
      <c r="H18" s="660"/>
      <c r="I18" s="660"/>
      <c r="J18" s="660"/>
      <c r="K18" s="660"/>
      <c r="L18" s="660"/>
      <c r="M18" s="660"/>
      <c r="N18" s="660"/>
      <c r="O18" s="660"/>
      <c r="P18" s="660"/>
      <c r="Q18" s="660"/>
    </row>
    <row r="19" spans="1:17" x14ac:dyDescent="0.2">
      <c r="A19" s="5692" t="s">
        <v>1735</v>
      </c>
      <c r="B19" s="5460"/>
      <c r="C19" s="5460"/>
      <c r="D19" s="5460"/>
      <c r="E19" s="5460"/>
      <c r="F19" s="5460"/>
      <c r="G19" s="5460"/>
      <c r="H19" s="5460"/>
      <c r="I19" s="5460"/>
      <c r="J19" s="5460"/>
      <c r="K19" s="660"/>
      <c r="L19" s="660"/>
      <c r="M19" s="660"/>
      <c r="N19" s="660"/>
      <c r="O19" s="660"/>
      <c r="P19" s="660"/>
      <c r="Q19" s="660"/>
    </row>
    <row r="20" spans="1:17" ht="13.5" x14ac:dyDescent="0.2">
      <c r="A20" s="3488"/>
      <c r="B20" s="3299"/>
      <c r="C20" s="3299"/>
      <c r="D20" s="3299"/>
      <c r="E20" s="3299"/>
      <c r="F20" s="3299"/>
      <c r="G20" s="3299"/>
      <c r="H20" s="3299"/>
      <c r="I20" s="3299"/>
      <c r="J20" s="3299"/>
      <c r="K20" s="660"/>
      <c r="L20" s="660"/>
      <c r="M20" s="660"/>
      <c r="N20" s="660"/>
      <c r="O20" s="660"/>
      <c r="P20" s="660"/>
      <c r="Q20" s="660"/>
    </row>
    <row r="21" spans="1:17" x14ac:dyDescent="0.2">
      <c r="A21" s="805" t="s">
        <v>1256</v>
      </c>
      <c r="B21" s="3299"/>
      <c r="C21" s="3299"/>
      <c r="D21" s="3299"/>
      <c r="E21" s="3299"/>
      <c r="F21" s="3299"/>
      <c r="G21" s="3299"/>
      <c r="H21" s="3299"/>
      <c r="I21" s="3299"/>
      <c r="J21" s="3299"/>
      <c r="K21" s="660"/>
      <c r="L21" s="660"/>
      <c r="M21" s="660"/>
      <c r="N21" s="660"/>
      <c r="O21" s="660"/>
      <c r="P21" s="660"/>
      <c r="Q21" s="660"/>
    </row>
    <row r="22" spans="1:17" x14ac:dyDescent="0.2">
      <c r="A22" s="3560" t="s">
        <v>1734</v>
      </c>
      <c r="B22" s="3500">
        <v>5806.0810000000001</v>
      </c>
      <c r="C22" s="3299"/>
      <c r="D22" s="3299"/>
      <c r="E22" s="3299"/>
      <c r="F22" s="3299"/>
      <c r="G22" s="3299"/>
      <c r="H22" s="3299"/>
      <c r="I22" s="3299"/>
      <c r="J22" s="3299"/>
      <c r="K22" s="660"/>
      <c r="L22" s="660"/>
      <c r="M22" s="660"/>
      <c r="N22" s="660"/>
      <c r="O22" s="660"/>
      <c r="P22" s="660"/>
      <c r="Q22" s="660"/>
    </row>
    <row r="23" spans="1:17" x14ac:dyDescent="0.2">
      <c r="A23" s="3635" t="s">
        <v>1733</v>
      </c>
      <c r="B23" s="3500">
        <v>39.310499999999998</v>
      </c>
      <c r="C23" s="3299"/>
      <c r="D23" s="3299"/>
      <c r="E23" s="3299"/>
      <c r="F23" s="3299"/>
      <c r="G23" s="3299"/>
      <c r="H23" s="3299"/>
      <c r="I23" s="3299"/>
      <c r="J23" s="3299"/>
      <c r="K23" s="660"/>
      <c r="L23" s="660"/>
      <c r="M23" s="660"/>
      <c r="N23" s="660"/>
      <c r="O23" s="660"/>
      <c r="P23" s="660"/>
      <c r="Q23" s="660"/>
    </row>
    <row r="24" spans="1:17" x14ac:dyDescent="0.2">
      <c r="A24" s="3635" t="s">
        <v>1732</v>
      </c>
      <c r="B24" s="3500">
        <v>0.16</v>
      </c>
      <c r="C24" s="3299"/>
      <c r="D24" s="3299"/>
      <c r="E24" s="3299"/>
      <c r="F24" s="3299"/>
      <c r="G24" s="3299"/>
      <c r="H24" s="3299"/>
      <c r="I24" s="3299"/>
      <c r="J24" s="3299"/>
      <c r="K24" s="660"/>
      <c r="L24" s="660"/>
      <c r="M24" s="660"/>
      <c r="N24" s="660"/>
      <c r="O24" s="660"/>
      <c r="P24" s="660"/>
      <c r="Q24" s="660"/>
    </row>
    <row r="25" spans="1:17" ht="13.5" x14ac:dyDescent="0.2">
      <c r="A25" s="3635" t="s">
        <v>1731</v>
      </c>
      <c r="B25" s="3500">
        <v>1.4</v>
      </c>
      <c r="C25" s="3299"/>
      <c r="D25" s="3299"/>
      <c r="E25" s="3299"/>
      <c r="F25" s="3299"/>
      <c r="G25" s="3299"/>
      <c r="H25" s="3299"/>
      <c r="I25" s="3299"/>
      <c r="J25" s="3299"/>
      <c r="K25" s="660"/>
      <c r="L25" s="660"/>
      <c r="M25" s="660"/>
      <c r="N25" s="660"/>
      <c r="O25" s="660"/>
      <c r="P25" s="660"/>
      <c r="Q25" s="660"/>
    </row>
    <row r="26" spans="1:17" ht="13.5" x14ac:dyDescent="0.2">
      <c r="A26" s="3560" t="s">
        <v>1730</v>
      </c>
      <c r="B26" s="3500">
        <v>1.25</v>
      </c>
      <c r="C26" s="3299"/>
      <c r="D26" s="3299"/>
      <c r="E26" s="3299"/>
      <c r="F26" s="3299"/>
      <c r="G26" s="3299"/>
      <c r="H26" s="3299"/>
      <c r="I26" s="3299"/>
      <c r="J26" s="3299"/>
      <c r="K26" s="660"/>
      <c r="L26" s="660"/>
      <c r="M26" s="660"/>
      <c r="N26" s="660"/>
      <c r="O26" s="660"/>
      <c r="P26" s="660"/>
      <c r="Q26" s="660"/>
    </row>
    <row r="27" spans="1:17" ht="13.5" x14ac:dyDescent="0.2">
      <c r="A27" s="3560" t="s">
        <v>1729</v>
      </c>
      <c r="B27" s="3500">
        <v>91.3</v>
      </c>
      <c r="C27" s="3299"/>
      <c r="D27" s="3299"/>
      <c r="E27" s="3299"/>
      <c r="F27" s="3299"/>
      <c r="G27" s="3299"/>
      <c r="H27" s="3299"/>
      <c r="I27" s="3299"/>
      <c r="J27" s="3299"/>
      <c r="K27" s="660"/>
      <c r="L27" s="660"/>
      <c r="M27" s="660"/>
      <c r="N27" s="660"/>
      <c r="O27" s="660"/>
      <c r="P27" s="660"/>
      <c r="Q27" s="660"/>
    </row>
    <row r="28" spans="1:17" x14ac:dyDescent="0.2">
      <c r="A28" s="660"/>
      <c r="B28" s="3299"/>
      <c r="C28" s="3299"/>
      <c r="D28" s="3299"/>
      <c r="E28" s="3299"/>
      <c r="F28" s="3299"/>
      <c r="G28" s="3299"/>
      <c r="H28" s="3299"/>
      <c r="I28" s="3299"/>
      <c r="J28" s="3299"/>
      <c r="K28" s="660"/>
      <c r="L28" s="660"/>
      <c r="M28" s="660"/>
      <c r="N28" s="660"/>
      <c r="O28" s="660"/>
      <c r="P28" s="660"/>
      <c r="Q28" s="660"/>
    </row>
    <row r="29" spans="1:17" x14ac:dyDescent="0.2">
      <c r="A29" s="686" t="s">
        <v>1728</v>
      </c>
      <c r="B29" s="3299"/>
      <c r="C29" s="3299"/>
      <c r="D29" s="3299"/>
      <c r="E29" s="3299"/>
      <c r="F29" s="3299"/>
      <c r="G29" s="3299"/>
      <c r="H29" s="3299"/>
      <c r="I29" s="3299"/>
      <c r="J29" s="3299"/>
      <c r="K29" s="660"/>
      <c r="L29" s="660"/>
      <c r="M29" s="660"/>
      <c r="N29" s="660"/>
      <c r="O29" s="660"/>
      <c r="P29" s="660"/>
      <c r="Q29" s="660"/>
    </row>
    <row r="30" spans="1:17" ht="13.5" x14ac:dyDescent="0.25">
      <c r="A30" s="3305" t="s">
        <v>1727</v>
      </c>
      <c r="B30" s="3299"/>
      <c r="C30" s="3299"/>
      <c r="D30" s="3299"/>
      <c r="E30" s="3299"/>
      <c r="F30" s="3299"/>
      <c r="G30" s="3299"/>
      <c r="H30" s="3299"/>
      <c r="I30" s="3299"/>
      <c r="J30" s="3299"/>
      <c r="K30" s="660"/>
      <c r="L30" s="660"/>
      <c r="M30" s="660"/>
      <c r="N30" s="660"/>
      <c r="O30" s="660"/>
      <c r="P30" s="660"/>
      <c r="Q30" s="660"/>
    </row>
    <row r="31" spans="1:17" ht="13.5" customHeight="1" x14ac:dyDescent="0.2">
      <c r="A31" s="3304" t="s">
        <v>1726</v>
      </c>
      <c r="B31" s="3299"/>
      <c r="C31" s="3299"/>
      <c r="D31" s="3299"/>
      <c r="E31" s="3299"/>
      <c r="F31" s="3299"/>
      <c r="G31" s="3299"/>
      <c r="H31" s="3299"/>
      <c r="I31" s="3299"/>
      <c r="J31" s="3299"/>
      <c r="K31" s="660"/>
      <c r="L31" s="660"/>
      <c r="M31" s="660"/>
      <c r="N31" s="660"/>
      <c r="O31" s="660"/>
      <c r="P31" s="660"/>
      <c r="Q31" s="660"/>
    </row>
    <row r="32" spans="1:17" ht="13.5" x14ac:dyDescent="0.25">
      <c r="A32" s="660" t="s">
        <v>1725</v>
      </c>
      <c r="B32" s="3299"/>
      <c r="C32" s="3299"/>
      <c r="D32" s="3299"/>
      <c r="E32" s="3299"/>
      <c r="F32" s="3299"/>
      <c r="G32" s="3299"/>
      <c r="H32" s="3299"/>
      <c r="I32" s="3299"/>
      <c r="J32" s="3299"/>
      <c r="K32" s="660"/>
      <c r="L32" s="660"/>
      <c r="M32" s="660"/>
      <c r="N32" s="660"/>
      <c r="O32" s="660"/>
      <c r="P32" s="660"/>
      <c r="Q32" s="660"/>
    </row>
    <row r="33" spans="1:17" x14ac:dyDescent="0.2">
      <c r="A33" s="661"/>
      <c r="B33" s="661"/>
      <c r="C33" s="661"/>
      <c r="D33" s="661"/>
      <c r="E33" s="661"/>
      <c r="F33" s="661"/>
      <c r="G33" s="661"/>
      <c r="H33" s="661"/>
      <c r="I33" s="661"/>
      <c r="J33" s="660"/>
      <c r="K33" s="3323"/>
      <c r="L33" s="660"/>
      <c r="M33" s="660"/>
      <c r="N33" s="660"/>
      <c r="O33" s="660"/>
      <c r="P33" s="660"/>
      <c r="Q33" s="660"/>
    </row>
    <row r="34" spans="1:17" ht="15" customHeight="1" x14ac:dyDescent="0.2">
      <c r="A34" s="5710" t="s">
        <v>1652</v>
      </c>
      <c r="B34" s="5794"/>
      <c r="C34" s="5794"/>
      <c r="D34" s="5794"/>
      <c r="E34" s="5794"/>
      <c r="F34" s="5794"/>
      <c r="G34" s="5794"/>
      <c r="H34" s="5794"/>
      <c r="I34" s="5794"/>
      <c r="J34" s="5795"/>
      <c r="K34" s="660"/>
      <c r="L34" s="660"/>
      <c r="M34" s="660"/>
      <c r="N34" s="660"/>
      <c r="O34" s="660"/>
      <c r="P34" s="660"/>
      <c r="Q34" s="660"/>
    </row>
    <row r="35" spans="1:17" x14ac:dyDescent="0.2">
      <c r="A35" s="5689" t="s">
        <v>1724</v>
      </c>
      <c r="B35" s="5460"/>
      <c r="C35" s="5460"/>
      <c r="D35" s="5460"/>
      <c r="E35" s="5460"/>
      <c r="F35" s="5460"/>
      <c r="G35" s="5460"/>
      <c r="H35" s="5460"/>
      <c r="I35" s="5460"/>
      <c r="J35" s="5690"/>
      <c r="K35" s="660"/>
      <c r="L35" s="660"/>
      <c r="M35" s="660"/>
      <c r="N35" s="660"/>
      <c r="O35" s="660"/>
      <c r="P35" s="660"/>
      <c r="Q35" s="660"/>
    </row>
    <row r="36" spans="1:17" x14ac:dyDescent="0.2">
      <c r="A36" s="5691" t="s">
        <v>1723</v>
      </c>
      <c r="B36" s="5551"/>
      <c r="C36" s="5551"/>
      <c r="D36" s="5551"/>
      <c r="E36" s="5551"/>
      <c r="F36" s="5551"/>
      <c r="G36" s="5551"/>
      <c r="H36" s="5551"/>
      <c r="I36" s="5551"/>
      <c r="J36" s="5552"/>
      <c r="K36" s="660"/>
      <c r="L36" s="660"/>
      <c r="M36" s="660"/>
      <c r="N36" s="660"/>
      <c r="O36" s="660"/>
      <c r="P36" s="660"/>
      <c r="Q36" s="660"/>
    </row>
    <row r="37" spans="1:17" ht="12" customHeight="1" x14ac:dyDescent="0.2">
      <c r="A37" s="3634" t="s">
        <v>980</v>
      </c>
      <c r="B37" s="5696" t="s">
        <v>986</v>
      </c>
      <c r="C37" s="5793"/>
      <c r="D37" s="5793"/>
      <c r="E37" s="5793"/>
      <c r="F37" s="5793"/>
      <c r="G37" s="5793"/>
      <c r="H37" s="5793"/>
      <c r="I37" s="5793"/>
      <c r="J37" s="5793"/>
    </row>
  </sheetData>
  <sheetProtection password="A754" sheet="1" objects="1" scenarios="1"/>
  <mergeCells count="27">
    <mergeCell ref="A14:I14"/>
    <mergeCell ref="A15:H15"/>
    <mergeCell ref="B37:J37"/>
    <mergeCell ref="A35:J35"/>
    <mergeCell ref="A36:J36"/>
    <mergeCell ref="A16:H16"/>
    <mergeCell ref="A18:E18"/>
    <mergeCell ref="A19:J19"/>
    <mergeCell ref="A34:J34"/>
    <mergeCell ref="A17:C17"/>
    <mergeCell ref="H7:H8"/>
    <mergeCell ref="I7:I8"/>
    <mergeCell ref="G5:J5"/>
    <mergeCell ref="G9:J9"/>
    <mergeCell ref="G6:I6"/>
    <mergeCell ref="J6:J8"/>
    <mergeCell ref="G7:G8"/>
    <mergeCell ref="A1:D1"/>
    <mergeCell ref="A2:B2"/>
    <mergeCell ref="A5:A9"/>
    <mergeCell ref="B5:D5"/>
    <mergeCell ref="E5:F5"/>
    <mergeCell ref="B9:C9"/>
    <mergeCell ref="B6:B8"/>
    <mergeCell ref="C6:C8"/>
    <mergeCell ref="E6:E8"/>
    <mergeCell ref="F6:F8"/>
  </mergeCells>
  <dataValidations count="1">
    <dataValidation allowBlank="1" showInputMessage="1" showErrorMessage="1" sqref="K38:Q65548 A39:J65548 R1:IV65548" xr:uid="{00000000-0002-0000-3400-000000000000}"/>
  </dataValidations>
  <printOptions horizontalCentered="1" verticalCentered="1"/>
  <pageMargins left="0.39370078740157483" right="0.39370078740157483" top="0.39370078740157483" bottom="0.39370078740157483" header="0.19685039370078741" footer="0.19685039370078741"/>
  <pageSetup paperSize="9" scale="41"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F3FAB-97ED-4547-85B9-1B58A1562B53}">
  <sheetPr codeName="Ark59">
    <tabColor theme="0" tint="-0.34998626667073579"/>
  </sheetPr>
  <dimension ref="A1:N37"/>
  <sheetViews>
    <sheetView showGridLines="0" workbookViewId="0">
      <selection sqref="A1:E1"/>
    </sheetView>
  </sheetViews>
  <sheetFormatPr defaultColWidth="8" defaultRowHeight="12" customHeight="1" x14ac:dyDescent="0.2"/>
  <cols>
    <col min="1" max="1" width="54.5703125" style="659" customWidth="1"/>
    <col min="2" max="13" width="10.28515625" style="659" customWidth="1"/>
    <col min="14" max="14" width="1.28515625" style="659" customWidth="1"/>
    <col min="15" max="16384" width="8" style="659"/>
  </cols>
  <sheetData>
    <row r="1" spans="1:14" ht="15.75" customHeight="1" x14ac:dyDescent="0.25">
      <c r="A1" s="5430" t="s">
        <v>1029</v>
      </c>
      <c r="B1" s="5430"/>
      <c r="C1" s="5430"/>
      <c r="D1" s="5430"/>
      <c r="E1" s="5430"/>
      <c r="F1" s="660"/>
      <c r="G1" s="660"/>
      <c r="H1" s="660"/>
      <c r="I1" s="660"/>
      <c r="J1" s="660"/>
      <c r="K1" s="660"/>
      <c r="L1" s="660"/>
      <c r="M1" s="668" t="s">
        <v>1762</v>
      </c>
      <c r="N1" s="660"/>
    </row>
    <row r="2" spans="1:14" ht="15.75" customHeight="1" x14ac:dyDescent="0.25">
      <c r="A2" s="671" t="s">
        <v>1027</v>
      </c>
      <c r="B2" s="670"/>
      <c r="C2" s="670"/>
      <c r="D2" s="670"/>
      <c r="E2" s="670"/>
      <c r="F2" s="660" t="s">
        <v>1026</v>
      </c>
      <c r="G2" s="660"/>
      <c r="H2" s="660"/>
      <c r="I2" s="660"/>
      <c r="J2" s="660"/>
      <c r="K2" s="660"/>
      <c r="L2" s="660"/>
      <c r="M2" s="668" t="s">
        <v>1761</v>
      </c>
      <c r="N2" s="660"/>
    </row>
    <row r="3" spans="1:14" ht="15.75" customHeight="1" x14ac:dyDescent="0.2">
      <c r="A3" s="669"/>
      <c r="B3" s="660"/>
      <c r="C3" s="660"/>
      <c r="D3" s="660"/>
      <c r="E3" s="660"/>
      <c r="F3" s="660"/>
      <c r="G3" s="660"/>
      <c r="H3" s="660"/>
      <c r="I3" s="660"/>
      <c r="J3" s="660"/>
      <c r="K3" s="660"/>
      <c r="L3" s="668"/>
      <c r="M3" s="668" t="s">
        <v>1789</v>
      </c>
      <c r="N3" s="660"/>
    </row>
    <row r="4" spans="1:14" ht="12.75" customHeight="1" x14ac:dyDescent="0.2">
      <c r="A4" s="660"/>
      <c r="B4" s="660"/>
      <c r="C4" s="660"/>
      <c r="D4" s="660"/>
      <c r="E4" s="660"/>
      <c r="F4" s="660"/>
      <c r="G4" s="660"/>
      <c r="H4" s="660"/>
      <c r="I4" s="660"/>
      <c r="J4" s="660"/>
      <c r="K4" s="660"/>
      <c r="L4" s="660"/>
      <c r="M4" s="667"/>
      <c r="N4" s="660"/>
    </row>
    <row r="5" spans="1:14" ht="50.25" x14ac:dyDescent="0.2">
      <c r="A5" s="3506" t="s">
        <v>1025</v>
      </c>
      <c r="B5" s="3503" t="s">
        <v>1024</v>
      </c>
      <c r="C5" s="3503" t="s">
        <v>1023</v>
      </c>
      <c r="D5" s="3503" t="s">
        <v>1022</v>
      </c>
      <c r="E5" s="3502" t="s">
        <v>1021</v>
      </c>
      <c r="F5" s="3502" t="s">
        <v>1020</v>
      </c>
      <c r="G5" s="3505" t="s">
        <v>1019</v>
      </c>
      <c r="H5" s="3503" t="s">
        <v>1018</v>
      </c>
      <c r="I5" s="3504" t="s">
        <v>1017</v>
      </c>
      <c r="J5" s="3503" t="s">
        <v>1016</v>
      </c>
      <c r="K5" s="3502" t="s">
        <v>1015</v>
      </c>
      <c r="L5" s="3502" t="s">
        <v>1014</v>
      </c>
      <c r="M5" s="3501" t="s">
        <v>1013</v>
      </c>
      <c r="N5" s="660"/>
    </row>
    <row r="6" spans="1:14" ht="14.25" customHeight="1" thickBot="1" x14ac:dyDescent="0.25">
      <c r="A6" s="666"/>
      <c r="B6" s="5431" t="s">
        <v>1011</v>
      </c>
      <c r="C6" s="5432"/>
      <c r="D6" s="5433"/>
      <c r="E6" s="5431" t="s">
        <v>1012</v>
      </c>
      <c r="F6" s="5432"/>
      <c r="G6" s="5433"/>
      <c r="H6" s="5431" t="s">
        <v>1011</v>
      </c>
      <c r="I6" s="5432"/>
      <c r="J6" s="5432"/>
      <c r="K6" s="5432"/>
      <c r="L6" s="5432"/>
      <c r="M6" s="5433"/>
      <c r="N6" s="660"/>
    </row>
    <row r="7" spans="1:14" ht="14.25" customHeight="1" thickTop="1" x14ac:dyDescent="0.2">
      <c r="A7" s="664" t="s">
        <v>1010</v>
      </c>
      <c r="B7" s="3495">
        <v>168.38081238296468</v>
      </c>
      <c r="C7" s="3495">
        <v>1.9260194800000002E-2</v>
      </c>
      <c r="D7" s="3495">
        <v>4.7467199999999998E-4</v>
      </c>
      <c r="E7" s="3497" t="s">
        <v>986</v>
      </c>
      <c r="F7" s="3497" t="s">
        <v>986</v>
      </c>
      <c r="G7" s="3497" t="s">
        <v>986</v>
      </c>
      <c r="H7" s="3497" t="s">
        <v>986</v>
      </c>
      <c r="I7" s="3497" t="s">
        <v>986</v>
      </c>
      <c r="J7" s="3495" t="s">
        <v>799</v>
      </c>
      <c r="K7" s="3495">
        <v>0.65912789439999997</v>
      </c>
      <c r="L7" s="3495">
        <v>30.786012716999998</v>
      </c>
      <c r="M7" s="3495" t="s">
        <v>799</v>
      </c>
      <c r="N7" s="660"/>
    </row>
    <row r="8" spans="1:14" ht="14.25" customHeight="1" x14ac:dyDescent="0.2">
      <c r="A8" s="3496" t="s">
        <v>1009</v>
      </c>
      <c r="B8" s="3495">
        <v>31.673164400000001</v>
      </c>
      <c r="C8" s="3495" t="s">
        <v>799</v>
      </c>
      <c r="D8" s="3495" t="s">
        <v>799</v>
      </c>
      <c r="E8" s="3497" t="s">
        <v>986</v>
      </c>
      <c r="F8" s="3497" t="s">
        <v>986</v>
      </c>
      <c r="G8" s="3497" t="s">
        <v>986</v>
      </c>
      <c r="H8" s="3497" t="s">
        <v>986</v>
      </c>
      <c r="I8" s="3497" t="s">
        <v>986</v>
      </c>
      <c r="J8" s="3500" t="s">
        <v>799</v>
      </c>
      <c r="K8" s="3500" t="s">
        <v>799</v>
      </c>
      <c r="L8" s="3500" t="s">
        <v>799</v>
      </c>
      <c r="M8" s="3500" t="s">
        <v>799</v>
      </c>
      <c r="N8" s="660"/>
    </row>
    <row r="9" spans="1:14" ht="14.25" customHeight="1" x14ac:dyDescent="0.2">
      <c r="A9" s="3496" t="s">
        <v>1008</v>
      </c>
      <c r="B9" s="3495">
        <v>57.553980000000003</v>
      </c>
      <c r="C9" s="3495">
        <v>2.3931379999999999E-3</v>
      </c>
      <c r="D9" s="3495">
        <v>4.7467199999999998E-4</v>
      </c>
      <c r="E9" s="3497" t="s">
        <v>986</v>
      </c>
      <c r="F9" s="3497" t="s">
        <v>986</v>
      </c>
      <c r="G9" s="3497" t="s">
        <v>986</v>
      </c>
      <c r="H9" s="3497" t="s">
        <v>986</v>
      </c>
      <c r="I9" s="3497" t="s">
        <v>986</v>
      </c>
      <c r="J9" s="3500" t="s">
        <v>799</v>
      </c>
      <c r="K9" s="3500">
        <v>0.19778000000000001</v>
      </c>
      <c r="L9" s="3500" t="s">
        <v>799</v>
      </c>
      <c r="M9" s="3500" t="s">
        <v>799</v>
      </c>
      <c r="N9" s="660"/>
    </row>
    <row r="10" spans="1:14" ht="13.5" customHeight="1" x14ac:dyDescent="0.2">
      <c r="A10" s="3499" t="s">
        <v>1007</v>
      </c>
      <c r="B10" s="3495">
        <v>79.153667982964677</v>
      </c>
      <c r="C10" s="3495">
        <v>1.6867056799999999E-2</v>
      </c>
      <c r="D10" s="3495" t="s">
        <v>799</v>
      </c>
      <c r="E10" s="3497" t="s">
        <v>986</v>
      </c>
      <c r="F10" s="3497" t="s">
        <v>986</v>
      </c>
      <c r="G10" s="3497" t="s">
        <v>986</v>
      </c>
      <c r="H10" s="3497" t="s">
        <v>986</v>
      </c>
      <c r="I10" s="3497" t="s">
        <v>986</v>
      </c>
      <c r="J10" s="3495" t="s">
        <v>799</v>
      </c>
      <c r="K10" s="3495">
        <v>0.46134789440000001</v>
      </c>
      <c r="L10" s="3495">
        <v>30.786012716999998</v>
      </c>
      <c r="M10" s="3495" t="s">
        <v>799</v>
      </c>
      <c r="N10" s="660"/>
    </row>
    <row r="11" spans="1:14" ht="12" customHeight="1" x14ac:dyDescent="0.2">
      <c r="A11" s="3498" t="s">
        <v>1005</v>
      </c>
      <c r="B11" s="3497" t="s">
        <v>986</v>
      </c>
      <c r="C11" s="3497" t="s">
        <v>986</v>
      </c>
      <c r="D11" s="3497" t="s">
        <v>986</v>
      </c>
      <c r="E11" s="3495" t="s">
        <v>259</v>
      </c>
      <c r="F11" s="3495" t="s">
        <v>259</v>
      </c>
      <c r="G11" s="3495" t="s">
        <v>259</v>
      </c>
      <c r="H11" s="3495" t="s">
        <v>259</v>
      </c>
      <c r="I11" s="3495" t="s">
        <v>259</v>
      </c>
      <c r="J11" s="3497" t="s">
        <v>986</v>
      </c>
      <c r="K11" s="3497" t="s">
        <v>986</v>
      </c>
      <c r="L11" s="3497" t="s">
        <v>986</v>
      </c>
      <c r="M11" s="3497" t="s">
        <v>986</v>
      </c>
      <c r="N11" s="660"/>
    </row>
    <row r="12" spans="1:14" ht="12" customHeight="1" x14ac:dyDescent="0.2">
      <c r="A12" s="3496" t="s">
        <v>1004</v>
      </c>
      <c r="B12" s="3497" t="s">
        <v>986</v>
      </c>
      <c r="C12" s="3497" t="s">
        <v>986</v>
      </c>
      <c r="D12" s="3497" t="s">
        <v>986</v>
      </c>
      <c r="E12" s="3495" t="s">
        <v>259</v>
      </c>
      <c r="F12" s="3495" t="s">
        <v>259</v>
      </c>
      <c r="G12" s="3495" t="s">
        <v>259</v>
      </c>
      <c r="H12" s="3495" t="s">
        <v>259</v>
      </c>
      <c r="I12" s="3495" t="s">
        <v>259</v>
      </c>
      <c r="J12" s="3497" t="s">
        <v>986</v>
      </c>
      <c r="K12" s="3497" t="s">
        <v>986</v>
      </c>
      <c r="L12" s="3497" t="s">
        <v>986</v>
      </c>
      <c r="M12" s="3497" t="s">
        <v>986</v>
      </c>
      <c r="N12" s="660"/>
    </row>
    <row r="13" spans="1:14" ht="12" customHeight="1" x14ac:dyDescent="0.2">
      <c r="A13" s="3496" t="s">
        <v>1003</v>
      </c>
      <c r="B13" s="3497" t="s">
        <v>986</v>
      </c>
      <c r="C13" s="3497" t="s">
        <v>986</v>
      </c>
      <c r="D13" s="3497" t="s">
        <v>986</v>
      </c>
      <c r="E13" s="3495" t="s">
        <v>259</v>
      </c>
      <c r="F13" s="3495" t="s">
        <v>259</v>
      </c>
      <c r="G13" s="3495" t="s">
        <v>259</v>
      </c>
      <c r="H13" s="3495" t="s">
        <v>259</v>
      </c>
      <c r="I13" s="3495" t="s">
        <v>259</v>
      </c>
      <c r="J13" s="3497" t="s">
        <v>986</v>
      </c>
      <c r="K13" s="3497" t="s">
        <v>986</v>
      </c>
      <c r="L13" s="3497" t="s">
        <v>986</v>
      </c>
      <c r="M13" s="3497" t="s">
        <v>986</v>
      </c>
      <c r="N13" s="660"/>
    </row>
    <row r="14" spans="1:14" ht="12" customHeight="1" x14ac:dyDescent="0.2">
      <c r="A14" s="3496" t="s">
        <v>1002</v>
      </c>
      <c r="B14" s="3497" t="s">
        <v>986</v>
      </c>
      <c r="C14" s="3497" t="s">
        <v>986</v>
      </c>
      <c r="D14" s="3497" t="s">
        <v>986</v>
      </c>
      <c r="E14" s="3495" t="s">
        <v>259</v>
      </c>
      <c r="F14" s="3495" t="s">
        <v>259</v>
      </c>
      <c r="G14" s="3495" t="s">
        <v>259</v>
      </c>
      <c r="H14" s="3495" t="s">
        <v>259</v>
      </c>
      <c r="I14" s="3495" t="s">
        <v>259</v>
      </c>
      <c r="J14" s="3497" t="s">
        <v>986</v>
      </c>
      <c r="K14" s="3497" t="s">
        <v>986</v>
      </c>
      <c r="L14" s="3497" t="s">
        <v>986</v>
      </c>
      <c r="M14" s="3497" t="s">
        <v>986</v>
      </c>
      <c r="N14" s="660"/>
    </row>
    <row r="15" spans="1:14" ht="12" customHeight="1" x14ac:dyDescent="0.2">
      <c r="A15" s="3496" t="s">
        <v>1001</v>
      </c>
      <c r="B15" s="3497" t="s">
        <v>986</v>
      </c>
      <c r="C15" s="3497" t="s">
        <v>986</v>
      </c>
      <c r="D15" s="3497" t="s">
        <v>986</v>
      </c>
      <c r="E15" s="3495" t="s">
        <v>259</v>
      </c>
      <c r="F15" s="3495" t="s">
        <v>259</v>
      </c>
      <c r="G15" s="3495" t="s">
        <v>259</v>
      </c>
      <c r="H15" s="3495" t="s">
        <v>259</v>
      </c>
      <c r="I15" s="3495" t="s">
        <v>259</v>
      </c>
      <c r="J15" s="3497" t="s">
        <v>986</v>
      </c>
      <c r="K15" s="3497" t="s">
        <v>986</v>
      </c>
      <c r="L15" s="3497" t="s">
        <v>986</v>
      </c>
      <c r="M15" s="3497" t="s">
        <v>986</v>
      </c>
      <c r="N15" s="660"/>
    </row>
    <row r="16" spans="1:14" ht="12.75" customHeight="1" x14ac:dyDescent="0.2">
      <c r="A16" s="3496" t="s">
        <v>1000</v>
      </c>
      <c r="B16" s="3497" t="s">
        <v>986</v>
      </c>
      <c r="C16" s="3497" t="s">
        <v>986</v>
      </c>
      <c r="D16" s="3497" t="s">
        <v>986</v>
      </c>
      <c r="E16" s="3495" t="s">
        <v>259</v>
      </c>
      <c r="F16" s="3495" t="s">
        <v>259</v>
      </c>
      <c r="G16" s="3495" t="s">
        <v>259</v>
      </c>
      <c r="H16" s="3495" t="s">
        <v>259</v>
      </c>
      <c r="I16" s="3495" t="s">
        <v>259</v>
      </c>
      <c r="J16" s="3497" t="s">
        <v>986</v>
      </c>
      <c r="K16" s="3497" t="s">
        <v>986</v>
      </c>
      <c r="L16" s="3497" t="s">
        <v>986</v>
      </c>
      <c r="M16" s="3497" t="s">
        <v>986</v>
      </c>
      <c r="N16" s="660"/>
    </row>
    <row r="17" spans="1:14" ht="14.25" x14ac:dyDescent="0.2">
      <c r="A17" s="665" t="s">
        <v>999</v>
      </c>
      <c r="B17" s="3497" t="s">
        <v>986</v>
      </c>
      <c r="C17" s="3497" t="s">
        <v>986</v>
      </c>
      <c r="D17" s="3497" t="s">
        <v>986</v>
      </c>
      <c r="E17" s="3495">
        <v>334.56401932192318</v>
      </c>
      <c r="F17" s="3495">
        <v>6.9670148750000001E-3</v>
      </c>
      <c r="G17" s="3495" t="s">
        <v>259</v>
      </c>
      <c r="H17" s="3495" t="s">
        <v>259</v>
      </c>
      <c r="I17" s="3495" t="s">
        <v>259</v>
      </c>
      <c r="J17" s="3497" t="s">
        <v>986</v>
      </c>
      <c r="K17" s="3497" t="s">
        <v>986</v>
      </c>
      <c r="L17" s="3497" t="s">
        <v>986</v>
      </c>
      <c r="M17" s="3497" t="s">
        <v>986</v>
      </c>
      <c r="N17" s="660"/>
    </row>
    <row r="18" spans="1:14" ht="12" customHeight="1" x14ac:dyDescent="0.2">
      <c r="A18" s="3496" t="s">
        <v>998</v>
      </c>
      <c r="B18" s="3497" t="s">
        <v>986</v>
      </c>
      <c r="C18" s="3497" t="s">
        <v>986</v>
      </c>
      <c r="D18" s="3497" t="s">
        <v>986</v>
      </c>
      <c r="E18" s="3495">
        <v>322.83178604192318</v>
      </c>
      <c r="F18" s="3495">
        <v>6.9670148750000001E-3</v>
      </c>
      <c r="G18" s="3495" t="s">
        <v>259</v>
      </c>
      <c r="H18" s="3495" t="s">
        <v>259</v>
      </c>
      <c r="I18" s="3495" t="s">
        <v>259</v>
      </c>
      <c r="J18" s="3497" t="s">
        <v>986</v>
      </c>
      <c r="K18" s="3497" t="s">
        <v>986</v>
      </c>
      <c r="L18" s="3497" t="s">
        <v>986</v>
      </c>
      <c r="M18" s="3497" t="s">
        <v>986</v>
      </c>
      <c r="N18" s="660"/>
    </row>
    <row r="19" spans="1:14" ht="12" customHeight="1" x14ac:dyDescent="0.2">
      <c r="A19" s="3496" t="s">
        <v>997</v>
      </c>
      <c r="B19" s="3497" t="s">
        <v>986</v>
      </c>
      <c r="C19" s="3497" t="s">
        <v>986</v>
      </c>
      <c r="D19" s="3497" t="s">
        <v>986</v>
      </c>
      <c r="E19" s="3495">
        <v>0.63648828000000002</v>
      </c>
      <c r="F19" s="3495" t="s">
        <v>259</v>
      </c>
      <c r="G19" s="3495" t="s">
        <v>259</v>
      </c>
      <c r="H19" s="3495" t="s">
        <v>259</v>
      </c>
      <c r="I19" s="3495" t="s">
        <v>259</v>
      </c>
      <c r="J19" s="3497" t="s">
        <v>986</v>
      </c>
      <c r="K19" s="3497" t="s">
        <v>986</v>
      </c>
      <c r="L19" s="3497" t="s">
        <v>986</v>
      </c>
      <c r="M19" s="3497" t="s">
        <v>986</v>
      </c>
      <c r="N19" s="660"/>
    </row>
    <row r="20" spans="1:14" ht="12" customHeight="1" x14ac:dyDescent="0.2">
      <c r="A20" s="3496" t="s">
        <v>996</v>
      </c>
      <c r="B20" s="3497" t="s">
        <v>986</v>
      </c>
      <c r="C20" s="3497" t="s">
        <v>986</v>
      </c>
      <c r="D20" s="3497" t="s">
        <v>986</v>
      </c>
      <c r="E20" s="3495" t="s">
        <v>259</v>
      </c>
      <c r="F20" s="3495" t="s">
        <v>259</v>
      </c>
      <c r="G20" s="3495" t="s">
        <v>259</v>
      </c>
      <c r="H20" s="3495" t="s">
        <v>259</v>
      </c>
      <c r="I20" s="3495" t="s">
        <v>259</v>
      </c>
      <c r="J20" s="3497" t="s">
        <v>986</v>
      </c>
      <c r="K20" s="3497" t="s">
        <v>986</v>
      </c>
      <c r="L20" s="3497" t="s">
        <v>986</v>
      </c>
      <c r="M20" s="3497" t="s">
        <v>986</v>
      </c>
      <c r="N20" s="660"/>
    </row>
    <row r="21" spans="1:14" ht="12" customHeight="1" x14ac:dyDescent="0.2">
      <c r="A21" s="3496" t="s">
        <v>995</v>
      </c>
      <c r="B21" s="3497" t="s">
        <v>986</v>
      </c>
      <c r="C21" s="3497" t="s">
        <v>986</v>
      </c>
      <c r="D21" s="3497" t="s">
        <v>986</v>
      </c>
      <c r="E21" s="3495">
        <v>11.095745000000001</v>
      </c>
      <c r="F21" s="3495" t="s">
        <v>259</v>
      </c>
      <c r="G21" s="3495" t="s">
        <v>259</v>
      </c>
      <c r="H21" s="3495" t="s">
        <v>259</v>
      </c>
      <c r="I21" s="3495" t="s">
        <v>259</v>
      </c>
      <c r="J21" s="3497" t="s">
        <v>986</v>
      </c>
      <c r="K21" s="3497" t="s">
        <v>986</v>
      </c>
      <c r="L21" s="3497" t="s">
        <v>986</v>
      </c>
      <c r="M21" s="3497" t="s">
        <v>986</v>
      </c>
      <c r="N21" s="660"/>
    </row>
    <row r="22" spans="1:14" ht="12" customHeight="1" x14ac:dyDescent="0.2">
      <c r="A22" s="3496" t="s">
        <v>994</v>
      </c>
      <c r="B22" s="3497" t="s">
        <v>986</v>
      </c>
      <c r="C22" s="3497" t="s">
        <v>986</v>
      </c>
      <c r="D22" s="3497" t="s">
        <v>986</v>
      </c>
      <c r="E22" s="3495" t="s">
        <v>259</v>
      </c>
      <c r="F22" s="3495" t="s">
        <v>259</v>
      </c>
      <c r="G22" s="3495" t="s">
        <v>259</v>
      </c>
      <c r="H22" s="3495" t="s">
        <v>259</v>
      </c>
      <c r="I22" s="3495" t="s">
        <v>259</v>
      </c>
      <c r="J22" s="3497" t="s">
        <v>986</v>
      </c>
      <c r="K22" s="3497" t="s">
        <v>986</v>
      </c>
      <c r="L22" s="3497" t="s">
        <v>986</v>
      </c>
      <c r="M22" s="3497" t="s">
        <v>986</v>
      </c>
      <c r="N22" s="660"/>
    </row>
    <row r="23" spans="1:14" ht="13.5" customHeight="1" x14ac:dyDescent="0.2">
      <c r="A23" s="3499" t="s">
        <v>993</v>
      </c>
      <c r="B23" s="3497" t="s">
        <v>986</v>
      </c>
      <c r="C23" s="3497" t="s">
        <v>986</v>
      </c>
      <c r="D23" s="3497" t="s">
        <v>986</v>
      </c>
      <c r="E23" s="3495" t="s">
        <v>259</v>
      </c>
      <c r="F23" s="3495" t="s">
        <v>259</v>
      </c>
      <c r="G23" s="3495" t="s">
        <v>259</v>
      </c>
      <c r="H23" s="3495" t="s">
        <v>259</v>
      </c>
      <c r="I23" s="3495" t="s">
        <v>259</v>
      </c>
      <c r="J23" s="3497" t="s">
        <v>986</v>
      </c>
      <c r="K23" s="3497" t="s">
        <v>986</v>
      </c>
      <c r="L23" s="3497" t="s">
        <v>986</v>
      </c>
      <c r="M23" s="3497" t="s">
        <v>986</v>
      </c>
      <c r="N23" s="660"/>
    </row>
    <row r="24" spans="1:14" ht="12.75" customHeight="1" x14ac:dyDescent="0.2">
      <c r="A24" s="3498" t="s">
        <v>992</v>
      </c>
      <c r="B24" s="3495">
        <v>0.18312482499999999</v>
      </c>
      <c r="C24" s="3495">
        <v>6.0565579500000001E-2</v>
      </c>
      <c r="D24" s="3495">
        <v>6.6545637059999996E-2</v>
      </c>
      <c r="E24" s="3495" t="s">
        <v>1006</v>
      </c>
      <c r="F24" s="3495" t="s">
        <v>1006</v>
      </c>
      <c r="G24" s="3495" t="s">
        <v>1006</v>
      </c>
      <c r="H24" s="3495">
        <v>1.99728937193E-3</v>
      </c>
      <c r="I24" s="3495" t="s">
        <v>1006</v>
      </c>
      <c r="J24" s="3495">
        <v>3.0758627E-2</v>
      </c>
      <c r="K24" s="3495">
        <v>1.7216711149999999</v>
      </c>
      <c r="L24" s="3495">
        <v>4.6067340999999998E-2</v>
      </c>
      <c r="M24" s="3495">
        <v>3.1307606500000001E-2</v>
      </c>
      <c r="N24" s="660"/>
    </row>
    <row r="25" spans="1:14" ht="12.75" customHeight="1" x14ac:dyDescent="0.2">
      <c r="A25" s="3496" t="s">
        <v>991</v>
      </c>
      <c r="B25" s="3497" t="s">
        <v>986</v>
      </c>
      <c r="C25" s="3497" t="s">
        <v>986</v>
      </c>
      <c r="D25" s="3497" t="s">
        <v>986</v>
      </c>
      <c r="E25" s="3495" t="s">
        <v>259</v>
      </c>
      <c r="F25" s="3495" t="s">
        <v>259</v>
      </c>
      <c r="G25" s="3495" t="s">
        <v>259</v>
      </c>
      <c r="H25" s="3495">
        <v>5.7473555942999998E-4</v>
      </c>
      <c r="I25" s="3495" t="s">
        <v>259</v>
      </c>
      <c r="J25" s="3497" t="s">
        <v>986</v>
      </c>
      <c r="K25" s="3497" t="s">
        <v>986</v>
      </c>
      <c r="L25" s="3497" t="s">
        <v>986</v>
      </c>
      <c r="M25" s="3497" t="s">
        <v>986</v>
      </c>
      <c r="N25" s="660"/>
    </row>
    <row r="26" spans="1:14" ht="12.75" customHeight="1" x14ac:dyDescent="0.2">
      <c r="A26" s="3496" t="s">
        <v>990</v>
      </c>
      <c r="B26" s="3497" t="s">
        <v>986</v>
      </c>
      <c r="C26" s="3497" t="s">
        <v>986</v>
      </c>
      <c r="D26" s="3497" t="s">
        <v>986</v>
      </c>
      <c r="E26" s="3497" t="s">
        <v>986</v>
      </c>
      <c r="F26" s="3495" t="s">
        <v>259</v>
      </c>
      <c r="G26" s="3495" t="s">
        <v>986</v>
      </c>
      <c r="H26" s="3495">
        <v>1.4225538125E-3</v>
      </c>
      <c r="I26" s="3497" t="s">
        <v>986</v>
      </c>
      <c r="J26" s="3497" t="s">
        <v>986</v>
      </c>
      <c r="K26" s="3497" t="s">
        <v>986</v>
      </c>
      <c r="L26" s="3497" t="s">
        <v>986</v>
      </c>
      <c r="M26" s="3497" t="s">
        <v>986</v>
      </c>
      <c r="N26" s="660"/>
    </row>
    <row r="27" spans="1:14" ht="12.75" customHeight="1" x14ac:dyDescent="0.2">
      <c r="A27" s="3496" t="s">
        <v>989</v>
      </c>
      <c r="B27" s="3497" t="s">
        <v>986</v>
      </c>
      <c r="C27" s="3497" t="s">
        <v>986</v>
      </c>
      <c r="D27" s="3495">
        <v>5.7807499999999998E-2</v>
      </c>
      <c r="E27" s="3497" t="s">
        <v>986</v>
      </c>
      <c r="F27" s="3497" t="s">
        <v>986</v>
      </c>
      <c r="G27" s="3497" t="s">
        <v>986</v>
      </c>
      <c r="H27" s="3497" t="s">
        <v>986</v>
      </c>
      <c r="I27" s="3497" t="s">
        <v>986</v>
      </c>
      <c r="J27" s="3497" t="s">
        <v>986</v>
      </c>
      <c r="K27" s="3497" t="s">
        <v>986</v>
      </c>
      <c r="L27" s="3497" t="s">
        <v>986</v>
      </c>
      <c r="M27" s="3497" t="s">
        <v>986</v>
      </c>
      <c r="N27" s="660"/>
    </row>
    <row r="28" spans="1:14" ht="12.75" customHeight="1" x14ac:dyDescent="0.2">
      <c r="A28" s="3496" t="s">
        <v>988</v>
      </c>
      <c r="B28" s="3495">
        <v>0.18312482499999999</v>
      </c>
      <c r="C28" s="3495">
        <v>6.0565579500000001E-2</v>
      </c>
      <c r="D28" s="3495">
        <v>8.7381370599999997E-3</v>
      </c>
      <c r="E28" s="3495" t="s">
        <v>799</v>
      </c>
      <c r="F28" s="3495" t="s">
        <v>799</v>
      </c>
      <c r="G28" s="3495" t="s">
        <v>799</v>
      </c>
      <c r="H28" s="3495" t="s">
        <v>799</v>
      </c>
      <c r="I28" s="3495" t="s">
        <v>799</v>
      </c>
      <c r="J28" s="3495">
        <v>3.0758627E-2</v>
      </c>
      <c r="K28" s="3495">
        <v>1.7216711149999999</v>
      </c>
      <c r="L28" s="3495">
        <v>4.6067340999999998E-2</v>
      </c>
      <c r="M28" s="3495">
        <v>3.1307606500000001E-2</v>
      </c>
      <c r="N28" s="660"/>
    </row>
    <row r="29" spans="1:14" ht="14.25" x14ac:dyDescent="0.2">
      <c r="A29" s="664" t="s">
        <v>987</v>
      </c>
      <c r="B29" s="3495" t="s">
        <v>986</v>
      </c>
      <c r="C29" s="3495" t="s">
        <v>986</v>
      </c>
      <c r="D29" s="3495" t="s">
        <v>986</v>
      </c>
      <c r="E29" s="3495" t="s">
        <v>799</v>
      </c>
      <c r="F29" s="3495" t="s">
        <v>799</v>
      </c>
      <c r="G29" s="3495" t="s">
        <v>799</v>
      </c>
      <c r="H29" s="3495" t="s">
        <v>799</v>
      </c>
      <c r="I29" s="3495" t="s">
        <v>799</v>
      </c>
      <c r="J29" s="3495" t="s">
        <v>986</v>
      </c>
      <c r="K29" s="3495" t="s">
        <v>986</v>
      </c>
      <c r="L29" s="3495">
        <v>2.23422579</v>
      </c>
      <c r="M29" s="3495" t="s">
        <v>986</v>
      </c>
      <c r="N29" s="660"/>
    </row>
    <row r="30" spans="1:14" ht="12" customHeight="1" x14ac:dyDescent="0.2">
      <c r="A30" s="663"/>
      <c r="B30" s="663"/>
      <c r="C30" s="663"/>
      <c r="D30" s="663"/>
      <c r="E30" s="663"/>
      <c r="F30" s="663"/>
      <c r="G30" s="663"/>
      <c r="H30" s="663"/>
      <c r="I30" s="663"/>
      <c r="J30" s="663"/>
      <c r="K30" s="663"/>
      <c r="L30" s="663"/>
      <c r="M30" s="663"/>
      <c r="N30" s="660"/>
    </row>
    <row r="31" spans="1:14" x14ac:dyDescent="0.2">
      <c r="A31" s="5434" t="s">
        <v>985</v>
      </c>
      <c r="B31" s="5435"/>
      <c r="C31" s="5435"/>
      <c r="D31" s="5435"/>
      <c r="E31" s="5435"/>
      <c r="F31" s="5435"/>
      <c r="G31" s="5435"/>
      <c r="H31" s="5435"/>
      <c r="I31" s="5435"/>
      <c r="J31" s="5435"/>
      <c r="K31" s="5435"/>
      <c r="L31" s="5435"/>
      <c r="M31" s="5435"/>
      <c r="N31" s="660"/>
    </row>
    <row r="32" spans="1:14" ht="13.5" customHeight="1" x14ac:dyDescent="0.2">
      <c r="A32" s="662" t="s">
        <v>984</v>
      </c>
      <c r="B32" s="661"/>
      <c r="C32" s="661"/>
      <c r="D32" s="661"/>
      <c r="E32" s="661"/>
      <c r="F32" s="661"/>
      <c r="G32" s="661"/>
      <c r="H32" s="661"/>
      <c r="I32" s="661"/>
      <c r="J32" s="661"/>
      <c r="K32" s="661"/>
      <c r="L32" s="661"/>
      <c r="M32" s="661"/>
      <c r="N32" s="660"/>
    </row>
    <row r="33" spans="1:14" ht="13.5" customHeight="1" x14ac:dyDescent="0.2">
      <c r="A33" s="662" t="s">
        <v>983</v>
      </c>
      <c r="B33" s="662"/>
      <c r="C33" s="662"/>
      <c r="D33" s="662"/>
      <c r="E33" s="662"/>
      <c r="F33" s="662"/>
      <c r="G33" s="662"/>
      <c r="H33" s="662"/>
      <c r="I33" s="661"/>
      <c r="J33" s="661"/>
      <c r="K33" s="661"/>
      <c r="L33" s="661"/>
      <c r="M33" s="661"/>
      <c r="N33" s="660"/>
    </row>
    <row r="34" spans="1:14" ht="12.75" customHeight="1" x14ac:dyDescent="0.2">
      <c r="A34" s="660"/>
      <c r="B34" s="660"/>
      <c r="C34" s="660"/>
      <c r="D34" s="660"/>
      <c r="E34" s="660"/>
      <c r="F34" s="660"/>
      <c r="G34" s="660"/>
      <c r="H34" s="660"/>
      <c r="I34" s="660"/>
      <c r="J34" s="660"/>
      <c r="K34" s="660"/>
      <c r="L34" s="660"/>
      <c r="M34" s="660"/>
      <c r="N34" s="660"/>
    </row>
    <row r="35" spans="1:14" ht="12" customHeight="1" x14ac:dyDescent="0.2">
      <c r="A35" s="5698" t="s">
        <v>982</v>
      </c>
      <c r="B35" s="5699"/>
      <c r="C35" s="5699"/>
      <c r="D35" s="5699"/>
      <c r="E35" s="5699"/>
      <c r="F35" s="5699"/>
      <c r="G35" s="5699"/>
      <c r="H35" s="5699"/>
      <c r="I35" s="5699"/>
      <c r="J35" s="5699"/>
      <c r="K35" s="5699"/>
      <c r="L35" s="5699"/>
      <c r="M35" s="5700"/>
      <c r="N35" s="660"/>
    </row>
    <row r="36" spans="1:14" ht="26.25" customHeight="1" x14ac:dyDescent="0.2">
      <c r="A36" s="5427" t="s">
        <v>981</v>
      </c>
      <c r="B36" s="5428"/>
      <c r="C36" s="5428"/>
      <c r="D36" s="5428"/>
      <c r="E36" s="5428"/>
      <c r="F36" s="5428"/>
      <c r="G36" s="5428"/>
      <c r="H36" s="5428"/>
      <c r="I36" s="5428"/>
      <c r="J36" s="5428"/>
      <c r="K36" s="5428"/>
      <c r="L36" s="5428"/>
      <c r="M36" s="5429"/>
      <c r="N36" s="660"/>
    </row>
    <row r="37" spans="1:14" ht="12" customHeight="1" x14ac:dyDescent="0.2">
      <c r="A37" s="3494" t="s">
        <v>980</v>
      </c>
      <c r="B37" s="5696" t="s">
        <v>5208</v>
      </c>
      <c r="C37" s="5697"/>
      <c r="D37" s="5697"/>
      <c r="E37" s="5697"/>
      <c r="F37" s="5697"/>
      <c r="G37" s="5697"/>
      <c r="H37" s="5697"/>
      <c r="I37" s="5697"/>
      <c r="J37" s="5697"/>
      <c r="K37" s="5697"/>
      <c r="L37" s="5697"/>
      <c r="M37" s="5697"/>
      <c r="N37" s="660"/>
    </row>
  </sheetData>
  <sheetProtection password="A754" sheet="1" objects="1" scenarios="1"/>
  <mergeCells count="8">
    <mergeCell ref="B37:M37"/>
    <mergeCell ref="A36:M36"/>
    <mergeCell ref="A1:E1"/>
    <mergeCell ref="B6:D6"/>
    <mergeCell ref="E6:G6"/>
    <mergeCell ref="H6:M6"/>
    <mergeCell ref="A31:M31"/>
    <mergeCell ref="A35:M35"/>
  </mergeCells>
  <dataValidations count="1">
    <dataValidation allowBlank="1" showInputMessage="1" showErrorMessage="1" sqref="I38:N65533 O1:IV65533" xr:uid="{00000000-0002-0000-0F00-000000000000}"/>
  </dataValidations>
  <printOptions horizontalCentered="1" verticalCentered="1"/>
  <pageMargins left="0.39370078740157483" right="0.39370078740157483" top="0.39370078740157483" bottom="0.39370078740157483" header="0.19685039370078741" footer="0.19685039370078741"/>
  <pageSetup paperSize="9" scale="74"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A9290-2624-40DB-880F-4BE98710CB9F}">
  <sheetPr codeName="Ark60">
    <tabColor theme="0" tint="-0.34998626667073579"/>
    <pageSetUpPr fitToPage="1"/>
  </sheetPr>
  <dimension ref="A1:N53"/>
  <sheetViews>
    <sheetView showGridLines="0" workbookViewId="0">
      <selection sqref="A1:G1"/>
    </sheetView>
  </sheetViews>
  <sheetFormatPr defaultColWidth="9.140625" defaultRowHeight="12" customHeight="1" x14ac:dyDescent="0.2"/>
  <cols>
    <col min="1" max="1" width="44.85546875" style="659" customWidth="1"/>
    <col min="2" max="2" width="31.5703125" style="659" customWidth="1"/>
    <col min="3" max="3" width="10.42578125" style="659" customWidth="1"/>
    <col min="4" max="4" width="13.140625" style="659" customWidth="1"/>
    <col min="5" max="6" width="12.140625" style="659" customWidth="1"/>
    <col min="7" max="7" width="13" style="659" customWidth="1"/>
    <col min="8" max="8" width="12" style="659" customWidth="1"/>
    <col min="9" max="9" width="14.7109375" style="659" customWidth="1"/>
    <col min="10" max="10" width="12.42578125" style="659" customWidth="1"/>
    <col min="11" max="11" width="13.85546875" style="659" customWidth="1"/>
    <col min="12" max="12" width="13" style="659" customWidth="1"/>
    <col min="13" max="13" width="1.28515625" style="659" customWidth="1"/>
    <col min="14" max="16384" width="9.140625" style="659"/>
  </cols>
  <sheetData>
    <row r="1" spans="1:14" ht="15.75" customHeight="1" x14ac:dyDescent="0.25">
      <c r="A1" s="5430" t="s">
        <v>1087</v>
      </c>
      <c r="B1" s="5430"/>
      <c r="C1" s="5430"/>
      <c r="D1" s="5430"/>
      <c r="E1" s="5430"/>
      <c r="F1" s="5430"/>
      <c r="G1" s="5430"/>
      <c r="H1" s="660"/>
      <c r="I1" s="660"/>
      <c r="J1" s="660"/>
      <c r="K1" s="660"/>
      <c r="L1" s="668" t="s">
        <v>1762</v>
      </c>
      <c r="M1" s="660"/>
      <c r="N1" s="660"/>
    </row>
    <row r="2" spans="1:14" ht="17.25" customHeight="1" x14ac:dyDescent="0.3">
      <c r="A2" s="671" t="s">
        <v>1086</v>
      </c>
      <c r="B2" s="670"/>
      <c r="C2" s="670"/>
      <c r="D2" s="670"/>
      <c r="E2" s="670"/>
      <c r="F2" s="670"/>
      <c r="G2" s="670"/>
      <c r="H2" s="660"/>
      <c r="I2" s="660"/>
      <c r="J2" s="660"/>
      <c r="K2" s="660"/>
      <c r="L2" s="668" t="s">
        <v>1761</v>
      </c>
      <c r="M2" s="660"/>
      <c r="N2" s="660"/>
    </row>
    <row r="3" spans="1:14" ht="15.75" customHeight="1" x14ac:dyDescent="0.25">
      <c r="A3" s="671" t="s">
        <v>1085</v>
      </c>
      <c r="B3" s="670"/>
      <c r="C3" s="670"/>
      <c r="D3" s="670"/>
      <c r="E3" s="670"/>
      <c r="F3" s="670"/>
      <c r="G3" s="670"/>
      <c r="H3" s="660"/>
      <c r="I3" s="660"/>
      <c r="J3" s="660"/>
      <c r="K3" s="668"/>
      <c r="L3" s="668" t="s">
        <v>1789</v>
      </c>
      <c r="M3" s="660"/>
      <c r="N3" s="660"/>
    </row>
    <row r="4" spans="1:14" ht="12.75" customHeight="1" x14ac:dyDescent="0.2">
      <c r="A4" s="677"/>
      <c r="B4" s="677"/>
      <c r="C4" s="661"/>
      <c r="D4" s="661"/>
      <c r="E4" s="661"/>
      <c r="F4" s="661"/>
      <c r="G4" s="661"/>
      <c r="H4" s="661"/>
      <c r="I4" s="661"/>
      <c r="J4" s="661"/>
      <c r="K4" s="661"/>
      <c r="L4" s="661"/>
      <c r="M4" s="660"/>
      <c r="N4" s="660"/>
    </row>
    <row r="5" spans="1:14" ht="14.25" customHeight="1" x14ac:dyDescent="0.2">
      <c r="A5" s="3518" t="s">
        <v>1084</v>
      </c>
      <c r="B5" s="5703" t="s">
        <v>1083</v>
      </c>
      <c r="C5" s="5704"/>
      <c r="D5" s="5703" t="s">
        <v>1082</v>
      </c>
      <c r="E5" s="5705"/>
      <c r="F5" s="5704"/>
      <c r="G5" s="5703" t="s">
        <v>1081</v>
      </c>
      <c r="H5" s="5705"/>
      <c r="I5" s="5705"/>
      <c r="J5" s="5705"/>
      <c r="K5" s="5705"/>
      <c r="L5" s="5704"/>
      <c r="M5" s="660"/>
      <c r="N5" s="660"/>
    </row>
    <row r="6" spans="1:14" ht="13.5" customHeight="1" x14ac:dyDescent="0.2">
      <c r="A6" s="676" t="s">
        <v>1080</v>
      </c>
      <c r="B6" s="5706" t="s">
        <v>1079</v>
      </c>
      <c r="C6" s="5707"/>
      <c r="D6" s="5708" t="s">
        <v>1024</v>
      </c>
      <c r="E6" s="5708" t="s">
        <v>1023</v>
      </c>
      <c r="F6" s="5708" t="s">
        <v>1022</v>
      </c>
      <c r="G6" s="5701" t="s">
        <v>1024</v>
      </c>
      <c r="H6" s="5702"/>
      <c r="I6" s="5701" t="s">
        <v>1023</v>
      </c>
      <c r="J6" s="5702"/>
      <c r="K6" s="5701" t="s">
        <v>1022</v>
      </c>
      <c r="L6" s="5702"/>
      <c r="M6" s="660"/>
      <c r="N6" s="660"/>
    </row>
    <row r="7" spans="1:14" ht="14.25" x14ac:dyDescent="0.2">
      <c r="A7" s="676"/>
      <c r="B7" s="5446"/>
      <c r="C7" s="5447"/>
      <c r="D7" s="5449"/>
      <c r="E7" s="5449"/>
      <c r="F7" s="5449"/>
      <c r="G7" s="3516" t="s">
        <v>1078</v>
      </c>
      <c r="H7" s="3517" t="s">
        <v>1077</v>
      </c>
      <c r="I7" s="3516" t="s">
        <v>1078</v>
      </c>
      <c r="J7" s="3517" t="s">
        <v>1077</v>
      </c>
      <c r="K7" s="3516" t="s">
        <v>1078</v>
      </c>
      <c r="L7" s="3515" t="s">
        <v>1077</v>
      </c>
      <c r="M7" s="660"/>
      <c r="N7" s="660"/>
    </row>
    <row r="8" spans="1:14" ht="15" customHeight="1" thickBot="1" x14ac:dyDescent="0.25">
      <c r="A8" s="675"/>
      <c r="B8" s="674" t="s">
        <v>1076</v>
      </c>
      <c r="C8" s="673" t="s">
        <v>1011</v>
      </c>
      <c r="D8" s="5450" t="s">
        <v>1075</v>
      </c>
      <c r="E8" s="5451"/>
      <c r="F8" s="5452"/>
      <c r="G8" s="5453" t="s">
        <v>1011</v>
      </c>
      <c r="H8" s="5454"/>
      <c r="I8" s="5454"/>
      <c r="J8" s="5454"/>
      <c r="K8" s="5454"/>
      <c r="L8" s="5455"/>
      <c r="M8" s="660"/>
      <c r="N8" s="660"/>
    </row>
    <row r="9" spans="1:14" ht="12.75" customHeight="1" thickTop="1" x14ac:dyDescent="0.2">
      <c r="A9" s="672" t="s">
        <v>1074</v>
      </c>
      <c r="B9" s="3497" t="s">
        <v>986</v>
      </c>
      <c r="C9" s="3497" t="s">
        <v>986</v>
      </c>
      <c r="D9" s="3497" t="s">
        <v>986</v>
      </c>
      <c r="E9" s="3497" t="s">
        <v>986</v>
      </c>
      <c r="F9" s="3497" t="s">
        <v>986</v>
      </c>
      <c r="G9" s="3507">
        <v>1353.3139163656999</v>
      </c>
      <c r="H9" s="3507" t="s">
        <v>259</v>
      </c>
      <c r="I9" s="3497" t="s">
        <v>986</v>
      </c>
      <c r="J9" s="3497" t="s">
        <v>986</v>
      </c>
      <c r="K9" s="3497" t="s">
        <v>986</v>
      </c>
      <c r="L9" s="3497" t="s">
        <v>986</v>
      </c>
      <c r="M9" s="660"/>
      <c r="N9" s="660"/>
    </row>
    <row r="10" spans="1:14" x14ac:dyDescent="0.2">
      <c r="A10" s="3509" t="s">
        <v>1073</v>
      </c>
      <c r="B10" s="3500" t="s">
        <v>1072</v>
      </c>
      <c r="C10" s="3500">
        <v>2240.0880000000002</v>
      </c>
      <c r="D10" s="3507">
        <v>0.54772580362914003</v>
      </c>
      <c r="E10" s="3497" t="s">
        <v>986</v>
      </c>
      <c r="F10" s="3497" t="s">
        <v>986</v>
      </c>
      <c r="G10" s="3500">
        <v>1226.954</v>
      </c>
      <c r="H10" s="3500" t="s">
        <v>259</v>
      </c>
      <c r="I10" s="3497" t="s">
        <v>986</v>
      </c>
      <c r="J10" s="3497" t="s">
        <v>986</v>
      </c>
      <c r="K10" s="3497" t="s">
        <v>986</v>
      </c>
      <c r="L10" s="3497" t="s">
        <v>986</v>
      </c>
      <c r="M10" s="660"/>
      <c r="N10" s="660"/>
    </row>
    <row r="11" spans="1:14" ht="12" customHeight="1" x14ac:dyDescent="0.2">
      <c r="A11" s="3509" t="s">
        <v>1071</v>
      </c>
      <c r="B11" s="3500" t="s">
        <v>1070</v>
      </c>
      <c r="C11" s="3500">
        <v>55.357999999999997</v>
      </c>
      <c r="D11" s="3507">
        <v>0.78035608222840003</v>
      </c>
      <c r="E11" s="3497" t="s">
        <v>986</v>
      </c>
      <c r="F11" s="3497" t="s">
        <v>986</v>
      </c>
      <c r="G11" s="3500">
        <v>43.198951999999998</v>
      </c>
      <c r="H11" s="3500" t="s">
        <v>259</v>
      </c>
      <c r="I11" s="3497" t="s">
        <v>986</v>
      </c>
      <c r="J11" s="3497" t="s">
        <v>986</v>
      </c>
      <c r="K11" s="3497" t="s">
        <v>986</v>
      </c>
      <c r="L11" s="3497" t="s">
        <v>986</v>
      </c>
      <c r="M11" s="660"/>
      <c r="N11" s="660"/>
    </row>
    <row r="12" spans="1:14" x14ac:dyDescent="0.2">
      <c r="A12" s="3509" t="s">
        <v>1069</v>
      </c>
      <c r="B12" s="3500" t="s">
        <v>1068</v>
      </c>
      <c r="C12" s="3500">
        <v>182.5</v>
      </c>
      <c r="D12" s="3507">
        <v>5.3459726027399998E-2</v>
      </c>
      <c r="E12" s="3497" t="s">
        <v>986</v>
      </c>
      <c r="F12" s="3497" t="s">
        <v>986</v>
      </c>
      <c r="G12" s="3500">
        <v>9.7563999999999993</v>
      </c>
      <c r="H12" s="3500" t="s">
        <v>259</v>
      </c>
      <c r="I12" s="3497" t="s">
        <v>986</v>
      </c>
      <c r="J12" s="3497" t="s">
        <v>986</v>
      </c>
      <c r="K12" s="3497" t="s">
        <v>986</v>
      </c>
      <c r="L12" s="3497" t="s">
        <v>986</v>
      </c>
      <c r="M12" s="660"/>
      <c r="N12" s="660"/>
    </row>
    <row r="13" spans="1:14" x14ac:dyDescent="0.2">
      <c r="A13" s="3509" t="s">
        <v>1067</v>
      </c>
      <c r="B13" s="3497" t="s">
        <v>986</v>
      </c>
      <c r="C13" s="3497" t="s">
        <v>986</v>
      </c>
      <c r="D13" s="3497" t="s">
        <v>986</v>
      </c>
      <c r="E13" s="3497" t="s">
        <v>986</v>
      </c>
      <c r="F13" s="3497" t="s">
        <v>986</v>
      </c>
      <c r="G13" s="3507">
        <v>73.404564365699997</v>
      </c>
      <c r="H13" s="3507" t="s">
        <v>259</v>
      </c>
      <c r="I13" s="3497" t="s">
        <v>986</v>
      </c>
      <c r="J13" s="3497" t="s">
        <v>986</v>
      </c>
      <c r="K13" s="3497" t="s">
        <v>986</v>
      </c>
      <c r="L13" s="3497" t="s">
        <v>986</v>
      </c>
      <c r="M13" s="660"/>
      <c r="N13" s="660"/>
    </row>
    <row r="14" spans="1:14" x14ac:dyDescent="0.2">
      <c r="A14" s="3510" t="s">
        <v>1066</v>
      </c>
      <c r="B14" s="3500" t="s">
        <v>1061</v>
      </c>
      <c r="C14" s="3500">
        <v>98.605999999999995</v>
      </c>
      <c r="D14" s="3507">
        <v>0.43970999999999999</v>
      </c>
      <c r="E14" s="3497" t="s">
        <v>986</v>
      </c>
      <c r="F14" s="3497" t="s">
        <v>986</v>
      </c>
      <c r="G14" s="3500">
        <v>43.35804426</v>
      </c>
      <c r="H14" s="3500" t="s">
        <v>259</v>
      </c>
      <c r="I14" s="3497" t="s">
        <v>986</v>
      </c>
      <c r="J14" s="3497" t="s">
        <v>986</v>
      </c>
      <c r="K14" s="3497" t="s">
        <v>986</v>
      </c>
      <c r="L14" s="3497" t="s">
        <v>986</v>
      </c>
      <c r="M14" s="660"/>
      <c r="N14" s="660"/>
    </row>
    <row r="15" spans="1:14" x14ac:dyDescent="0.2">
      <c r="A15" s="3510" t="s">
        <v>1065</v>
      </c>
      <c r="B15" s="3500" t="s">
        <v>1064</v>
      </c>
      <c r="C15" s="3500">
        <v>41.771000000000001</v>
      </c>
      <c r="D15" s="3507">
        <v>0.41492000000000001</v>
      </c>
      <c r="E15" s="3497" t="s">
        <v>986</v>
      </c>
      <c r="F15" s="3497" t="s">
        <v>986</v>
      </c>
      <c r="G15" s="3500">
        <v>17.331623319999999</v>
      </c>
      <c r="H15" s="3500" t="s">
        <v>259</v>
      </c>
      <c r="I15" s="3497" t="s">
        <v>986</v>
      </c>
      <c r="J15" s="3497" t="s">
        <v>986</v>
      </c>
      <c r="K15" s="3497" t="s">
        <v>986</v>
      </c>
      <c r="L15" s="3497" t="s">
        <v>986</v>
      </c>
      <c r="M15" s="660"/>
      <c r="N15" s="660"/>
    </row>
    <row r="16" spans="1:14" x14ac:dyDescent="0.2">
      <c r="A16" s="3511" t="s">
        <v>1063</v>
      </c>
      <c r="B16" s="3500" t="s">
        <v>1036</v>
      </c>
      <c r="C16" s="3500" t="s">
        <v>259</v>
      </c>
      <c r="D16" s="3507" t="s">
        <v>259</v>
      </c>
      <c r="E16" s="3497" t="s">
        <v>986</v>
      </c>
      <c r="F16" s="3497" t="s">
        <v>986</v>
      </c>
      <c r="G16" s="3500" t="s">
        <v>259</v>
      </c>
      <c r="H16" s="3500" t="s">
        <v>259</v>
      </c>
      <c r="I16" s="3497" t="s">
        <v>986</v>
      </c>
      <c r="J16" s="3497" t="s">
        <v>986</v>
      </c>
      <c r="K16" s="3497" t="s">
        <v>986</v>
      </c>
      <c r="L16" s="3497" t="s">
        <v>986</v>
      </c>
      <c r="M16" s="660"/>
      <c r="N16" s="660"/>
    </row>
    <row r="17" spans="1:14" x14ac:dyDescent="0.2">
      <c r="A17" s="3514" t="s">
        <v>1062</v>
      </c>
      <c r="B17" s="3500" t="s">
        <v>1061</v>
      </c>
      <c r="C17" s="3500">
        <v>28.91667</v>
      </c>
      <c r="D17" s="3507">
        <v>0.43970819550453</v>
      </c>
      <c r="E17" s="3497" t="s">
        <v>986</v>
      </c>
      <c r="F17" s="3497" t="s">
        <v>986</v>
      </c>
      <c r="G17" s="3500">
        <v>12.714896785700001</v>
      </c>
      <c r="H17" s="3500" t="s">
        <v>259</v>
      </c>
      <c r="I17" s="3497" t="s">
        <v>986</v>
      </c>
      <c r="J17" s="3497" t="s">
        <v>986</v>
      </c>
      <c r="K17" s="3497" t="s">
        <v>986</v>
      </c>
      <c r="L17" s="3497" t="s">
        <v>986</v>
      </c>
      <c r="M17" s="660"/>
      <c r="N17" s="660"/>
    </row>
    <row r="18" spans="1:14" x14ac:dyDescent="0.2">
      <c r="A18" s="3513" t="s">
        <v>1060</v>
      </c>
      <c r="B18" s="3497" t="s">
        <v>986</v>
      </c>
      <c r="C18" s="3497" t="s">
        <v>986</v>
      </c>
      <c r="D18" s="3497" t="s">
        <v>986</v>
      </c>
      <c r="E18" s="3497" t="s">
        <v>986</v>
      </c>
      <c r="F18" s="3497" t="s">
        <v>986</v>
      </c>
      <c r="G18" s="3507">
        <v>1.4330824</v>
      </c>
      <c r="H18" s="3507" t="s">
        <v>1006</v>
      </c>
      <c r="I18" s="3507" t="s">
        <v>1006</v>
      </c>
      <c r="J18" s="3507" t="s">
        <v>1006</v>
      </c>
      <c r="K18" s="3507" t="s">
        <v>1006</v>
      </c>
      <c r="L18" s="3507" t="s">
        <v>1006</v>
      </c>
      <c r="M18" s="660"/>
      <c r="N18" s="660"/>
    </row>
    <row r="19" spans="1:14" ht="12" customHeight="1" x14ac:dyDescent="0.2">
      <c r="A19" s="3509" t="s">
        <v>1059</v>
      </c>
      <c r="B19" s="3500" t="s">
        <v>1047</v>
      </c>
      <c r="C19" s="3500" t="s">
        <v>259</v>
      </c>
      <c r="D19" s="3507" t="s">
        <v>259</v>
      </c>
      <c r="E19" s="3507" t="s">
        <v>259</v>
      </c>
      <c r="F19" s="3507" t="s">
        <v>259</v>
      </c>
      <c r="G19" s="3500" t="s">
        <v>259</v>
      </c>
      <c r="H19" s="3500" t="s">
        <v>259</v>
      </c>
      <c r="I19" s="3500" t="s">
        <v>259</v>
      </c>
      <c r="J19" s="3500" t="s">
        <v>259</v>
      </c>
      <c r="K19" s="3500" t="s">
        <v>259</v>
      </c>
      <c r="L19" s="3500" t="s">
        <v>259</v>
      </c>
      <c r="M19" s="660"/>
      <c r="N19" s="660"/>
    </row>
    <row r="20" spans="1:14" ht="13.5" customHeight="1" x14ac:dyDescent="0.2">
      <c r="A20" s="3509" t="s">
        <v>1058</v>
      </c>
      <c r="B20" s="3500" t="s">
        <v>1036</v>
      </c>
      <c r="C20" s="3500" t="s">
        <v>259</v>
      </c>
      <c r="D20" s="3497" t="s">
        <v>986</v>
      </c>
      <c r="E20" s="3497" t="s">
        <v>986</v>
      </c>
      <c r="F20" s="3507" t="s">
        <v>259</v>
      </c>
      <c r="G20" s="3497" t="s">
        <v>986</v>
      </c>
      <c r="H20" s="3497" t="s">
        <v>986</v>
      </c>
      <c r="I20" s="3497" t="s">
        <v>986</v>
      </c>
      <c r="J20" s="3497" t="s">
        <v>986</v>
      </c>
      <c r="K20" s="3500" t="s">
        <v>259</v>
      </c>
      <c r="L20" s="3500" t="s">
        <v>259</v>
      </c>
      <c r="M20" s="660"/>
      <c r="N20" s="660"/>
    </row>
    <row r="21" spans="1:14" ht="12" customHeight="1" x14ac:dyDescent="0.2">
      <c r="A21" s="3509" t="s">
        <v>1057</v>
      </c>
      <c r="B21" s="3500" t="s">
        <v>1036</v>
      </c>
      <c r="C21" s="3500" t="s">
        <v>259</v>
      </c>
      <c r="D21" s="3507" t="s">
        <v>259</v>
      </c>
      <c r="E21" s="3497" t="s">
        <v>986</v>
      </c>
      <c r="F21" s="3507" t="s">
        <v>259</v>
      </c>
      <c r="G21" s="3500" t="s">
        <v>259</v>
      </c>
      <c r="H21" s="3500" t="s">
        <v>259</v>
      </c>
      <c r="I21" s="3497" t="s">
        <v>986</v>
      </c>
      <c r="J21" s="3497" t="s">
        <v>986</v>
      </c>
      <c r="K21" s="3500" t="s">
        <v>259</v>
      </c>
      <c r="L21" s="3500" t="s">
        <v>259</v>
      </c>
      <c r="M21" s="660"/>
      <c r="N21" s="660"/>
    </row>
    <row r="22" spans="1:14" ht="11.25" customHeight="1" x14ac:dyDescent="0.2">
      <c r="A22" s="3512" t="s">
        <v>1056</v>
      </c>
      <c r="B22" s="3497" t="s">
        <v>986</v>
      </c>
      <c r="C22" s="3497" t="s">
        <v>986</v>
      </c>
      <c r="D22" s="3497" t="s">
        <v>986</v>
      </c>
      <c r="E22" s="3497" t="s">
        <v>986</v>
      </c>
      <c r="F22" s="3497" t="s">
        <v>986</v>
      </c>
      <c r="G22" s="3507" t="s">
        <v>259</v>
      </c>
      <c r="H22" s="3507" t="s">
        <v>259</v>
      </c>
      <c r="I22" s="3497" t="s">
        <v>986</v>
      </c>
      <c r="J22" s="3497" t="s">
        <v>986</v>
      </c>
      <c r="K22" s="3507" t="s">
        <v>259</v>
      </c>
      <c r="L22" s="3507" t="s">
        <v>259</v>
      </c>
      <c r="M22" s="660"/>
      <c r="N22" s="660"/>
    </row>
    <row r="23" spans="1:14" ht="12" customHeight="1" x14ac:dyDescent="0.2">
      <c r="A23" s="3510" t="s">
        <v>1055</v>
      </c>
      <c r="B23" s="3500" t="s">
        <v>1036</v>
      </c>
      <c r="C23" s="3500" t="s">
        <v>259</v>
      </c>
      <c r="D23" s="3507" t="s">
        <v>259</v>
      </c>
      <c r="E23" s="3497" t="s">
        <v>986</v>
      </c>
      <c r="F23" s="3507" t="s">
        <v>259</v>
      </c>
      <c r="G23" s="3500" t="s">
        <v>259</v>
      </c>
      <c r="H23" s="3500" t="s">
        <v>259</v>
      </c>
      <c r="I23" s="3497" t="s">
        <v>986</v>
      </c>
      <c r="J23" s="3497" t="s">
        <v>986</v>
      </c>
      <c r="K23" s="3500" t="s">
        <v>259</v>
      </c>
      <c r="L23" s="3500" t="s">
        <v>259</v>
      </c>
      <c r="M23" s="660"/>
      <c r="N23" s="660"/>
    </row>
    <row r="24" spans="1:14" ht="12" customHeight="1" x14ac:dyDescent="0.2">
      <c r="A24" s="3510" t="s">
        <v>1054</v>
      </c>
      <c r="B24" s="3500" t="s">
        <v>1036</v>
      </c>
      <c r="C24" s="3500" t="s">
        <v>259</v>
      </c>
      <c r="D24" s="3507" t="s">
        <v>259</v>
      </c>
      <c r="E24" s="3497" t="s">
        <v>986</v>
      </c>
      <c r="F24" s="3507" t="s">
        <v>259</v>
      </c>
      <c r="G24" s="3500" t="s">
        <v>259</v>
      </c>
      <c r="H24" s="3500" t="s">
        <v>259</v>
      </c>
      <c r="I24" s="3497" t="s">
        <v>986</v>
      </c>
      <c r="J24" s="3497" t="s">
        <v>986</v>
      </c>
      <c r="K24" s="3500" t="s">
        <v>259</v>
      </c>
      <c r="L24" s="3500" t="s">
        <v>259</v>
      </c>
      <c r="M24" s="660"/>
      <c r="N24" s="660"/>
    </row>
    <row r="25" spans="1:14" ht="12" customHeight="1" x14ac:dyDescent="0.2">
      <c r="A25" s="3510" t="s">
        <v>1053</v>
      </c>
      <c r="B25" s="3500" t="s">
        <v>1036</v>
      </c>
      <c r="C25" s="3500" t="s">
        <v>259</v>
      </c>
      <c r="D25" s="3507" t="s">
        <v>259</v>
      </c>
      <c r="E25" s="3497" t="s">
        <v>986</v>
      </c>
      <c r="F25" s="3507" t="s">
        <v>259</v>
      </c>
      <c r="G25" s="3500" t="s">
        <v>259</v>
      </c>
      <c r="H25" s="3500" t="s">
        <v>259</v>
      </c>
      <c r="I25" s="3497" t="s">
        <v>986</v>
      </c>
      <c r="J25" s="3497" t="s">
        <v>986</v>
      </c>
      <c r="K25" s="3500" t="s">
        <v>259</v>
      </c>
      <c r="L25" s="3500" t="s">
        <v>259</v>
      </c>
      <c r="M25" s="660"/>
      <c r="N25" s="660"/>
    </row>
    <row r="26" spans="1:14" ht="12" customHeight="1" x14ac:dyDescent="0.2">
      <c r="A26" s="3509" t="s">
        <v>1052</v>
      </c>
      <c r="B26" s="3500" t="s">
        <v>1036</v>
      </c>
      <c r="C26" s="3500" t="s">
        <v>259</v>
      </c>
      <c r="D26" s="3507" t="s">
        <v>259</v>
      </c>
      <c r="E26" s="3507" t="s">
        <v>259</v>
      </c>
      <c r="F26" s="3497" t="s">
        <v>986</v>
      </c>
      <c r="G26" s="3507" t="s">
        <v>259</v>
      </c>
      <c r="H26" s="3507" t="s">
        <v>259</v>
      </c>
      <c r="I26" s="3507" t="s">
        <v>259</v>
      </c>
      <c r="J26" s="3507" t="s">
        <v>259</v>
      </c>
      <c r="K26" s="3497" t="s">
        <v>986</v>
      </c>
      <c r="L26" s="3497" t="s">
        <v>986</v>
      </c>
      <c r="M26" s="660"/>
      <c r="N26" s="660"/>
    </row>
    <row r="27" spans="1:14" ht="12" customHeight="1" x14ac:dyDescent="0.2">
      <c r="A27" s="3510" t="s">
        <v>1051</v>
      </c>
      <c r="B27" s="3500" t="s">
        <v>1036</v>
      </c>
      <c r="C27" s="3500" t="s">
        <v>259</v>
      </c>
      <c r="D27" s="3507" t="s">
        <v>259</v>
      </c>
      <c r="E27" s="3507" t="s">
        <v>259</v>
      </c>
      <c r="F27" s="3497" t="s">
        <v>986</v>
      </c>
      <c r="G27" s="3500" t="s">
        <v>259</v>
      </c>
      <c r="H27" s="3500" t="s">
        <v>259</v>
      </c>
      <c r="I27" s="3500" t="s">
        <v>259</v>
      </c>
      <c r="J27" s="3500" t="s">
        <v>259</v>
      </c>
      <c r="K27" s="3497" t="s">
        <v>986</v>
      </c>
      <c r="L27" s="3497" t="s">
        <v>986</v>
      </c>
      <c r="M27" s="660"/>
      <c r="N27" s="660"/>
    </row>
    <row r="28" spans="1:14" ht="12" customHeight="1" x14ac:dyDescent="0.2">
      <c r="A28" s="3510" t="s">
        <v>1050</v>
      </c>
      <c r="B28" s="3500" t="s">
        <v>1036</v>
      </c>
      <c r="C28" s="3500" t="s">
        <v>259</v>
      </c>
      <c r="D28" s="3507" t="s">
        <v>259</v>
      </c>
      <c r="E28" s="3507" t="s">
        <v>259</v>
      </c>
      <c r="F28" s="3497" t="s">
        <v>986</v>
      </c>
      <c r="G28" s="3500" t="s">
        <v>259</v>
      </c>
      <c r="H28" s="3500" t="s">
        <v>259</v>
      </c>
      <c r="I28" s="3500" t="s">
        <v>259</v>
      </c>
      <c r="J28" s="3500" t="s">
        <v>259</v>
      </c>
      <c r="K28" s="3497" t="s">
        <v>986</v>
      </c>
      <c r="L28" s="3497" t="s">
        <v>986</v>
      </c>
      <c r="M28" s="660"/>
      <c r="N28" s="660"/>
    </row>
    <row r="29" spans="1:14" ht="12" customHeight="1" x14ac:dyDescent="0.2">
      <c r="A29" s="3509" t="s">
        <v>1049</v>
      </c>
      <c r="B29" s="3500" t="s">
        <v>1036</v>
      </c>
      <c r="C29" s="3500" t="s">
        <v>259</v>
      </c>
      <c r="D29" s="3507" t="s">
        <v>259</v>
      </c>
      <c r="E29" s="3497" t="s">
        <v>986</v>
      </c>
      <c r="F29" s="3497" t="s">
        <v>986</v>
      </c>
      <c r="G29" s="3500" t="s">
        <v>259</v>
      </c>
      <c r="H29" s="3500" t="s">
        <v>259</v>
      </c>
      <c r="I29" s="3497" t="s">
        <v>986</v>
      </c>
      <c r="J29" s="3497" t="s">
        <v>986</v>
      </c>
      <c r="K29" s="3497" t="s">
        <v>986</v>
      </c>
      <c r="L29" s="3497" t="s">
        <v>986</v>
      </c>
      <c r="M29" s="660"/>
      <c r="N29" s="660"/>
    </row>
    <row r="30" spans="1:14" ht="12" customHeight="1" x14ac:dyDescent="0.2">
      <c r="A30" s="3509" t="s">
        <v>1048</v>
      </c>
      <c r="B30" s="3500" t="s">
        <v>1047</v>
      </c>
      <c r="C30" s="3500" t="s">
        <v>259</v>
      </c>
      <c r="D30" s="3507" t="s">
        <v>259</v>
      </c>
      <c r="E30" s="3497" t="s">
        <v>986</v>
      </c>
      <c r="F30" s="3497" t="s">
        <v>986</v>
      </c>
      <c r="G30" s="3500" t="s">
        <v>259</v>
      </c>
      <c r="H30" s="3500" t="s">
        <v>259</v>
      </c>
      <c r="I30" s="3497" t="s">
        <v>986</v>
      </c>
      <c r="J30" s="3497" t="s">
        <v>986</v>
      </c>
      <c r="K30" s="3497" t="s">
        <v>986</v>
      </c>
      <c r="L30" s="3497" t="s">
        <v>986</v>
      </c>
      <c r="M30" s="660"/>
      <c r="N30" s="660"/>
    </row>
    <row r="31" spans="1:14" ht="12" customHeight="1" x14ac:dyDescent="0.2">
      <c r="A31" s="3509" t="s">
        <v>1046</v>
      </c>
      <c r="B31" s="3497" t="s">
        <v>986</v>
      </c>
      <c r="C31" s="3497" t="s">
        <v>986</v>
      </c>
      <c r="D31" s="3497" t="s">
        <v>986</v>
      </c>
      <c r="E31" s="3497" t="s">
        <v>986</v>
      </c>
      <c r="F31" s="3497" t="s">
        <v>986</v>
      </c>
      <c r="G31" s="3507" t="s">
        <v>259</v>
      </c>
      <c r="H31" s="3507" t="s">
        <v>259</v>
      </c>
      <c r="I31" s="3507" t="s">
        <v>259</v>
      </c>
      <c r="J31" s="3507" t="s">
        <v>259</v>
      </c>
      <c r="K31" s="3497" t="s">
        <v>986</v>
      </c>
      <c r="L31" s="3497" t="s">
        <v>986</v>
      </c>
      <c r="M31" s="660"/>
      <c r="N31" s="660"/>
    </row>
    <row r="32" spans="1:14" ht="12" customHeight="1" x14ac:dyDescent="0.2">
      <c r="A32" s="3510" t="s">
        <v>1045</v>
      </c>
      <c r="B32" s="3500" t="s">
        <v>1036</v>
      </c>
      <c r="C32" s="3500" t="s">
        <v>259</v>
      </c>
      <c r="D32" s="3507" t="s">
        <v>259</v>
      </c>
      <c r="E32" s="3507" t="s">
        <v>259</v>
      </c>
      <c r="F32" s="3497" t="s">
        <v>986</v>
      </c>
      <c r="G32" s="3500" t="s">
        <v>259</v>
      </c>
      <c r="H32" s="3500" t="s">
        <v>259</v>
      </c>
      <c r="I32" s="3500" t="s">
        <v>259</v>
      </c>
      <c r="J32" s="3500" t="s">
        <v>259</v>
      </c>
      <c r="K32" s="3497" t="s">
        <v>986</v>
      </c>
      <c r="L32" s="3497" t="s">
        <v>986</v>
      </c>
      <c r="M32" s="660"/>
      <c r="N32" s="660"/>
    </row>
    <row r="33" spans="1:14" ht="12" customHeight="1" x14ac:dyDescent="0.2">
      <c r="A33" s="3510" t="s">
        <v>1044</v>
      </c>
      <c r="B33" s="3500" t="s">
        <v>1036</v>
      </c>
      <c r="C33" s="3500" t="s">
        <v>259</v>
      </c>
      <c r="D33" s="3507" t="s">
        <v>259</v>
      </c>
      <c r="E33" s="3507" t="s">
        <v>259</v>
      </c>
      <c r="F33" s="3497" t="s">
        <v>986</v>
      </c>
      <c r="G33" s="3500" t="s">
        <v>259</v>
      </c>
      <c r="H33" s="3500" t="s">
        <v>259</v>
      </c>
      <c r="I33" s="3500" t="s">
        <v>259</v>
      </c>
      <c r="J33" s="3500" t="s">
        <v>259</v>
      </c>
      <c r="K33" s="3497" t="s">
        <v>986</v>
      </c>
      <c r="L33" s="3497" t="s">
        <v>986</v>
      </c>
      <c r="M33" s="660"/>
      <c r="N33" s="660"/>
    </row>
    <row r="34" spans="1:14" ht="17.25" customHeight="1" x14ac:dyDescent="0.2">
      <c r="A34" s="3511" t="s">
        <v>1043</v>
      </c>
      <c r="B34" s="3500" t="s">
        <v>1036</v>
      </c>
      <c r="C34" s="3500" t="s">
        <v>259</v>
      </c>
      <c r="D34" s="3507" t="s">
        <v>259</v>
      </c>
      <c r="E34" s="3507" t="s">
        <v>259</v>
      </c>
      <c r="F34" s="3497" t="s">
        <v>986</v>
      </c>
      <c r="G34" s="3500" t="s">
        <v>259</v>
      </c>
      <c r="H34" s="3500" t="s">
        <v>259</v>
      </c>
      <c r="I34" s="3500" t="s">
        <v>259</v>
      </c>
      <c r="J34" s="3500" t="s">
        <v>259</v>
      </c>
      <c r="K34" s="3497" t="s">
        <v>986</v>
      </c>
      <c r="L34" s="3497" t="s">
        <v>986</v>
      </c>
      <c r="M34" s="660"/>
      <c r="N34" s="660"/>
    </row>
    <row r="35" spans="1:14" ht="12" customHeight="1" x14ac:dyDescent="0.2">
      <c r="A35" s="3510" t="s">
        <v>1042</v>
      </c>
      <c r="B35" s="3500" t="s">
        <v>1036</v>
      </c>
      <c r="C35" s="3500" t="s">
        <v>259</v>
      </c>
      <c r="D35" s="3507" t="s">
        <v>259</v>
      </c>
      <c r="E35" s="3507" t="s">
        <v>259</v>
      </c>
      <c r="F35" s="3497" t="s">
        <v>986</v>
      </c>
      <c r="G35" s="3500" t="s">
        <v>259</v>
      </c>
      <c r="H35" s="3500" t="s">
        <v>259</v>
      </c>
      <c r="I35" s="3500" t="s">
        <v>259</v>
      </c>
      <c r="J35" s="3500" t="s">
        <v>259</v>
      </c>
      <c r="K35" s="3497" t="s">
        <v>986</v>
      </c>
      <c r="L35" s="3497" t="s">
        <v>986</v>
      </c>
      <c r="M35" s="660"/>
      <c r="N35" s="660"/>
    </row>
    <row r="36" spans="1:14" ht="12" customHeight="1" x14ac:dyDescent="0.2">
      <c r="A36" s="3510" t="s">
        <v>1041</v>
      </c>
      <c r="B36" s="3500" t="s">
        <v>1036</v>
      </c>
      <c r="C36" s="3500" t="s">
        <v>259</v>
      </c>
      <c r="D36" s="3507" t="s">
        <v>259</v>
      </c>
      <c r="E36" s="3507" t="s">
        <v>259</v>
      </c>
      <c r="F36" s="3497" t="s">
        <v>986</v>
      </c>
      <c r="G36" s="3500" t="s">
        <v>259</v>
      </c>
      <c r="H36" s="3500" t="s">
        <v>259</v>
      </c>
      <c r="I36" s="3500" t="s">
        <v>259</v>
      </c>
      <c r="J36" s="3500" t="s">
        <v>259</v>
      </c>
      <c r="K36" s="3497" t="s">
        <v>986</v>
      </c>
      <c r="L36" s="3497" t="s">
        <v>986</v>
      </c>
      <c r="M36" s="660"/>
      <c r="N36" s="660"/>
    </row>
    <row r="37" spans="1:14" ht="12" customHeight="1" x14ac:dyDescent="0.2">
      <c r="A37" s="3510" t="s">
        <v>1040</v>
      </c>
      <c r="B37" s="3500" t="s">
        <v>1036</v>
      </c>
      <c r="C37" s="3500" t="s">
        <v>259</v>
      </c>
      <c r="D37" s="3507" t="s">
        <v>259</v>
      </c>
      <c r="E37" s="3507" t="s">
        <v>259</v>
      </c>
      <c r="F37" s="3497" t="s">
        <v>986</v>
      </c>
      <c r="G37" s="3500" t="s">
        <v>259</v>
      </c>
      <c r="H37" s="3500" t="s">
        <v>259</v>
      </c>
      <c r="I37" s="3500" t="s">
        <v>259</v>
      </c>
      <c r="J37" s="3500" t="s">
        <v>259</v>
      </c>
      <c r="K37" s="3497" t="s">
        <v>986</v>
      </c>
      <c r="L37" s="3497" t="s">
        <v>986</v>
      </c>
      <c r="M37" s="660"/>
      <c r="N37" s="660"/>
    </row>
    <row r="38" spans="1:14" ht="12" customHeight="1" x14ac:dyDescent="0.2">
      <c r="A38" s="3510" t="s">
        <v>1039</v>
      </c>
      <c r="B38" s="3497" t="s">
        <v>986</v>
      </c>
      <c r="C38" s="3497" t="s">
        <v>986</v>
      </c>
      <c r="D38" s="3497" t="s">
        <v>986</v>
      </c>
      <c r="E38" s="3497" t="s">
        <v>986</v>
      </c>
      <c r="F38" s="3497" t="s">
        <v>986</v>
      </c>
      <c r="G38" s="3507" t="s">
        <v>259</v>
      </c>
      <c r="H38" s="3507" t="s">
        <v>259</v>
      </c>
      <c r="I38" s="3507" t="s">
        <v>259</v>
      </c>
      <c r="J38" s="3507" t="s">
        <v>259</v>
      </c>
      <c r="K38" s="3497" t="s">
        <v>986</v>
      </c>
      <c r="L38" s="3497" t="s">
        <v>986</v>
      </c>
      <c r="M38" s="660"/>
      <c r="N38" s="660"/>
    </row>
    <row r="39" spans="1:14" ht="12" customHeight="1" x14ac:dyDescent="0.2">
      <c r="A39" s="3509" t="s">
        <v>1038</v>
      </c>
      <c r="B39" s="3497" t="s">
        <v>986</v>
      </c>
      <c r="C39" s="3497" t="s">
        <v>986</v>
      </c>
      <c r="D39" s="3497" t="s">
        <v>986</v>
      </c>
      <c r="E39" s="3497" t="s">
        <v>986</v>
      </c>
      <c r="F39" s="3497" t="s">
        <v>986</v>
      </c>
      <c r="G39" s="3507">
        <v>1.4330824</v>
      </c>
      <c r="H39" s="3507" t="s">
        <v>799</v>
      </c>
      <c r="I39" s="3507" t="s">
        <v>799</v>
      </c>
      <c r="J39" s="3507" t="s">
        <v>799</v>
      </c>
      <c r="K39" s="3507" t="s">
        <v>799</v>
      </c>
      <c r="L39" s="3507" t="s">
        <v>799</v>
      </c>
      <c r="M39" s="660"/>
      <c r="N39" s="660"/>
    </row>
    <row r="40" spans="1:14" ht="12" customHeight="1" x14ac:dyDescent="0.2">
      <c r="A40" s="3508" t="s">
        <v>1037</v>
      </c>
      <c r="B40" s="3500" t="s">
        <v>1036</v>
      </c>
      <c r="C40" s="3500">
        <v>59.463999999999999</v>
      </c>
      <c r="D40" s="3507">
        <v>2.41E-2</v>
      </c>
      <c r="E40" s="3507" t="s">
        <v>799</v>
      </c>
      <c r="F40" s="3507" t="s">
        <v>799</v>
      </c>
      <c r="G40" s="3500">
        <v>1.4330824</v>
      </c>
      <c r="H40" s="3500" t="s">
        <v>799</v>
      </c>
      <c r="I40" s="3500" t="s">
        <v>799</v>
      </c>
      <c r="J40" s="3500" t="s">
        <v>799</v>
      </c>
      <c r="K40" s="3500" t="s">
        <v>799</v>
      </c>
      <c r="L40" s="3500" t="s">
        <v>799</v>
      </c>
      <c r="M40" s="660"/>
      <c r="N40" s="660"/>
    </row>
    <row r="41" spans="1:14" ht="12" customHeight="1" x14ac:dyDescent="0.2">
      <c r="A41" s="663"/>
      <c r="B41" s="663"/>
      <c r="C41" s="663"/>
      <c r="D41" s="663"/>
      <c r="E41" s="663"/>
      <c r="F41" s="663"/>
      <c r="G41" s="663"/>
      <c r="H41" s="663"/>
      <c r="I41" s="663"/>
      <c r="J41" s="663"/>
      <c r="K41" s="663"/>
      <c r="L41" s="663"/>
      <c r="M41" s="660"/>
      <c r="N41" s="660"/>
    </row>
    <row r="42" spans="1:14" ht="13.5" x14ac:dyDescent="0.2">
      <c r="A42" s="5434" t="s">
        <v>1035</v>
      </c>
      <c r="B42" s="5434"/>
      <c r="C42" s="5434"/>
      <c r="D42" s="5434"/>
      <c r="E42" s="5434"/>
      <c r="F42" s="5434"/>
      <c r="G42" s="5434"/>
      <c r="H42" s="5434"/>
      <c r="I42" s="5434"/>
      <c r="J42" s="5434"/>
      <c r="K42" s="5434"/>
      <c r="L42" s="5434"/>
      <c r="M42" s="660"/>
      <c r="N42" s="660"/>
    </row>
    <row r="43" spans="1:14" ht="12" customHeight="1" x14ac:dyDescent="0.2">
      <c r="A43" s="5456" t="s">
        <v>1034</v>
      </c>
      <c r="B43" s="5456"/>
      <c r="C43" s="5456"/>
      <c r="D43" s="5456"/>
      <c r="E43" s="5456"/>
      <c r="F43" s="5456"/>
      <c r="G43" s="5456"/>
      <c r="H43" s="5456"/>
      <c r="I43" s="660"/>
      <c r="J43" s="660"/>
      <c r="K43" s="660"/>
      <c r="L43" s="660"/>
      <c r="M43" s="660"/>
      <c r="N43" s="660"/>
    </row>
    <row r="44" spans="1:14" ht="12" customHeight="1" x14ac:dyDescent="0.2">
      <c r="A44" s="5456" t="s">
        <v>1033</v>
      </c>
      <c r="B44" s="5456"/>
      <c r="C44" s="5456"/>
      <c r="D44" s="5456"/>
      <c r="E44" s="660"/>
      <c r="F44" s="660"/>
      <c r="G44" s="660"/>
      <c r="H44" s="660"/>
      <c r="I44" s="660"/>
      <c r="J44" s="660"/>
      <c r="K44" s="660"/>
      <c r="L44" s="660"/>
      <c r="M44" s="660"/>
      <c r="N44" s="660"/>
    </row>
    <row r="45" spans="1:14" ht="12" customHeight="1" x14ac:dyDescent="0.2">
      <c r="A45" s="5456" t="s">
        <v>1032</v>
      </c>
      <c r="B45" s="5456"/>
      <c r="C45" s="5456"/>
      <c r="D45" s="660"/>
      <c r="E45" s="660"/>
      <c r="F45" s="660"/>
      <c r="G45" s="660"/>
      <c r="H45" s="660"/>
      <c r="I45" s="660"/>
      <c r="J45" s="660"/>
      <c r="K45" s="660"/>
      <c r="L45" s="660"/>
      <c r="M45" s="660"/>
      <c r="N45" s="660"/>
    </row>
    <row r="46" spans="1:14" ht="39.75" customHeight="1" x14ac:dyDescent="0.2">
      <c r="A46" s="5457" t="s">
        <v>1031</v>
      </c>
      <c r="B46" s="5457"/>
      <c r="C46" s="5457"/>
      <c r="D46" s="5457"/>
      <c r="E46" s="5457"/>
      <c r="F46" s="5457"/>
      <c r="G46" s="5457"/>
      <c r="H46" s="5457"/>
      <c r="I46" s="5457"/>
      <c r="J46" s="5458"/>
      <c r="K46" s="5458"/>
      <c r="L46" s="5458"/>
      <c r="M46" s="660"/>
      <c r="N46" s="660"/>
    </row>
    <row r="47" spans="1:14" ht="26.25" customHeight="1" x14ac:dyDescent="0.2">
      <c r="A47" s="5459" t="s">
        <v>1030</v>
      </c>
      <c r="B47" s="5459"/>
      <c r="C47" s="5459"/>
      <c r="D47" s="5459"/>
      <c r="E47" s="5459"/>
      <c r="F47" s="5459"/>
      <c r="G47" s="5459"/>
      <c r="H47" s="5459"/>
      <c r="I47" s="5459"/>
      <c r="J47" s="5460"/>
      <c r="K47" s="5460"/>
      <c r="L47" s="5460"/>
      <c r="M47" s="660"/>
      <c r="N47" s="660"/>
    </row>
    <row r="48" spans="1:14" ht="12" customHeight="1" x14ac:dyDescent="0.2">
      <c r="A48" s="660"/>
      <c r="B48" s="660"/>
      <c r="C48" s="660"/>
      <c r="D48" s="660"/>
      <c r="E48" s="660"/>
      <c r="F48" s="660"/>
      <c r="G48" s="660"/>
      <c r="H48" s="660"/>
      <c r="I48" s="660"/>
      <c r="J48" s="660"/>
      <c r="K48" s="660"/>
      <c r="L48" s="660"/>
      <c r="M48" s="660"/>
      <c r="N48" s="660"/>
    </row>
    <row r="49" spans="1:14" ht="25.5" customHeight="1" x14ac:dyDescent="0.2">
      <c r="A49" s="660"/>
      <c r="B49" s="660"/>
      <c r="C49" s="660"/>
      <c r="D49" s="660"/>
      <c r="E49" s="660"/>
      <c r="F49" s="660"/>
      <c r="G49" s="660"/>
      <c r="H49" s="660"/>
      <c r="I49" s="660"/>
      <c r="J49" s="660"/>
      <c r="K49" s="660"/>
      <c r="L49" s="660"/>
      <c r="M49" s="660"/>
      <c r="N49" s="660"/>
    </row>
    <row r="50" spans="1:14" ht="13.5" customHeight="1" x14ac:dyDescent="0.2">
      <c r="A50" s="660"/>
      <c r="B50" s="660"/>
      <c r="C50" s="660"/>
      <c r="D50" s="660"/>
      <c r="E50" s="660"/>
      <c r="F50" s="660"/>
      <c r="G50" s="660"/>
      <c r="H50" s="660"/>
      <c r="I50" s="660"/>
      <c r="J50" s="660"/>
      <c r="K50" s="660"/>
      <c r="L50" s="660"/>
      <c r="M50" s="660"/>
      <c r="N50" s="660"/>
    </row>
    <row r="51" spans="1:14" ht="13.5" customHeight="1" x14ac:dyDescent="0.2">
      <c r="A51" s="660"/>
      <c r="B51" s="660"/>
      <c r="C51" s="660"/>
      <c r="D51" s="660"/>
      <c r="E51" s="660"/>
      <c r="F51" s="660"/>
      <c r="G51" s="660"/>
      <c r="H51" s="660"/>
      <c r="I51" s="660"/>
      <c r="J51" s="660"/>
      <c r="K51" s="660"/>
      <c r="L51" s="660"/>
      <c r="M51" s="660"/>
      <c r="N51" s="660"/>
    </row>
    <row r="52" spans="1:14" ht="13.5" customHeight="1" x14ac:dyDescent="0.2">
      <c r="A52" s="660"/>
      <c r="B52" s="660"/>
      <c r="C52" s="660"/>
      <c r="D52" s="660"/>
      <c r="E52" s="660"/>
      <c r="F52" s="660"/>
      <c r="G52" s="660"/>
      <c r="H52" s="660"/>
      <c r="I52" s="660"/>
      <c r="J52" s="660"/>
      <c r="K52" s="660"/>
      <c r="L52" s="660"/>
      <c r="M52" s="660"/>
      <c r="N52" s="660"/>
    </row>
    <row r="53" spans="1:14" ht="13.5" customHeight="1" x14ac:dyDescent="0.2">
      <c r="A53" s="660"/>
      <c r="B53" s="660"/>
      <c r="C53" s="660"/>
      <c r="D53" s="660"/>
      <c r="E53" s="660"/>
      <c r="F53" s="660"/>
      <c r="G53" s="660"/>
      <c r="H53" s="660"/>
      <c r="I53" s="660"/>
      <c r="J53" s="660"/>
      <c r="K53" s="660"/>
      <c r="L53" s="660"/>
      <c r="M53" s="660"/>
      <c r="N53" s="660"/>
    </row>
  </sheetData>
  <sheetProtection password="A754" sheet="1" objects="1" scenarios="1"/>
  <mergeCells count="19">
    <mergeCell ref="D8:F8"/>
    <mergeCell ref="G8:L8"/>
    <mergeCell ref="A45:C45"/>
    <mergeCell ref="A46:L46"/>
    <mergeCell ref="A47:L47"/>
    <mergeCell ref="A42:L42"/>
    <mergeCell ref="A43:H43"/>
    <mergeCell ref="A44:D44"/>
    <mergeCell ref="K6:L6"/>
    <mergeCell ref="A1:G1"/>
    <mergeCell ref="B5:C5"/>
    <mergeCell ref="D5:F5"/>
    <mergeCell ref="G5:L5"/>
    <mergeCell ref="B6:C7"/>
    <mergeCell ref="D6:D7"/>
    <mergeCell ref="E6:E7"/>
    <mergeCell ref="F6:F7"/>
    <mergeCell ref="G6:H6"/>
    <mergeCell ref="I6:J6"/>
  </mergeCells>
  <printOptions horizontalCentered="1" verticalCentered="1"/>
  <pageMargins left="0.39370078740157483" right="0.39370078740157483" top="0.39370078740157483" bottom="0.39370078740157483" header="0.19685039370078741" footer="0.19685039370078741"/>
  <pageSetup paperSize="9" scale="31" fitToHeight="0" orientation="portrait" r:id="rId1"/>
  <headerFooter alignWithMargins="0">
    <oddFooter>&amp;L&amp;"Times New Roman,Italic"Common Reporting Format for the provision of inventory information by Annex I Parties to the UNFCCC&amp;R&amp;P+24</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858E4-B24C-43AD-8C80-6F4E08F90454}">
  <sheetPr codeName="Ark61">
    <tabColor theme="0" tint="-0.34998626667073579"/>
  </sheetPr>
  <dimension ref="A1:O85"/>
  <sheetViews>
    <sheetView showGridLines="0" topLeftCell="A11" workbookViewId="0">
      <selection sqref="A1:F1"/>
    </sheetView>
  </sheetViews>
  <sheetFormatPr defaultColWidth="9.140625" defaultRowHeight="12" customHeight="1" x14ac:dyDescent="0.2"/>
  <cols>
    <col min="1" max="1" width="45.85546875" style="659" customWidth="1"/>
    <col min="2" max="2" width="20.42578125" style="659" customWidth="1"/>
    <col min="3" max="3" width="14" style="659" customWidth="1"/>
    <col min="4" max="4" width="13.140625" style="659" customWidth="1"/>
    <col min="5" max="5" width="11.28515625" style="659" customWidth="1"/>
    <col min="6" max="6" width="12.140625" style="659" customWidth="1"/>
    <col min="7" max="7" width="16.140625" style="659" customWidth="1"/>
    <col min="8" max="8" width="11.7109375" style="659" customWidth="1"/>
    <col min="9" max="9" width="13.140625" style="659" customWidth="1"/>
    <col min="10" max="10" width="11.42578125" style="659" customWidth="1"/>
    <col min="11" max="11" width="14.140625" style="659" customWidth="1"/>
    <col min="12" max="12" width="12.5703125" style="659" customWidth="1"/>
    <col min="13" max="13" width="1.28515625" style="659" customWidth="1"/>
    <col min="14" max="16384" width="9.140625" style="659"/>
  </cols>
  <sheetData>
    <row r="1" spans="1:15" ht="15.75" customHeight="1" x14ac:dyDescent="0.2">
      <c r="A1" s="5471" t="s">
        <v>1136</v>
      </c>
      <c r="B1" s="5471"/>
      <c r="C1" s="5471"/>
      <c r="D1" s="5471"/>
      <c r="E1" s="5471"/>
      <c r="F1" s="5471"/>
      <c r="G1" s="660"/>
      <c r="H1" s="660"/>
      <c r="I1" s="660"/>
      <c r="J1" s="660"/>
      <c r="K1" s="660"/>
      <c r="L1" s="668" t="s">
        <v>1762</v>
      </c>
      <c r="M1" s="660"/>
      <c r="N1" s="660"/>
      <c r="O1" s="660"/>
    </row>
    <row r="2" spans="1:15" ht="17.25" customHeight="1" x14ac:dyDescent="0.25">
      <c r="A2" s="687" t="s">
        <v>1086</v>
      </c>
      <c r="B2" s="670"/>
      <c r="C2" s="670"/>
      <c r="D2" s="670"/>
      <c r="E2" s="670"/>
      <c r="F2" s="670"/>
      <c r="G2" s="660"/>
      <c r="H2" s="660"/>
      <c r="I2" s="660"/>
      <c r="J2" s="660"/>
      <c r="K2" s="660"/>
      <c r="L2" s="668" t="s">
        <v>1761</v>
      </c>
      <c r="M2" s="660"/>
      <c r="N2" s="660"/>
      <c r="O2" s="660"/>
    </row>
    <row r="3" spans="1:15" ht="15.75" customHeight="1" x14ac:dyDescent="0.25">
      <c r="A3" s="687" t="s">
        <v>1027</v>
      </c>
      <c r="B3" s="670"/>
      <c r="C3" s="670"/>
      <c r="D3" s="670"/>
      <c r="E3" s="670"/>
      <c r="F3" s="670"/>
      <c r="G3" s="660"/>
      <c r="H3" s="660"/>
      <c r="I3" s="660"/>
      <c r="J3" s="660"/>
      <c r="K3" s="668"/>
      <c r="L3" s="668" t="s">
        <v>1789</v>
      </c>
      <c r="M3" s="660"/>
      <c r="N3" s="660"/>
      <c r="O3" s="660"/>
    </row>
    <row r="4" spans="1:15" ht="12.75" customHeight="1" x14ac:dyDescent="0.2">
      <c r="A4" s="677"/>
      <c r="B4" s="686"/>
      <c r="C4" s="661"/>
      <c r="D4" s="685"/>
      <c r="E4" s="685"/>
      <c r="F4" s="684"/>
      <c r="G4" s="684"/>
      <c r="H4" s="684"/>
      <c r="I4" s="685"/>
      <c r="J4" s="685"/>
      <c r="K4" s="684"/>
      <c r="L4" s="684"/>
      <c r="M4" s="660"/>
      <c r="N4" s="660"/>
      <c r="O4" s="660"/>
    </row>
    <row r="5" spans="1:15" ht="14.25" customHeight="1" x14ac:dyDescent="0.2">
      <c r="A5" s="3518" t="s">
        <v>1084</v>
      </c>
      <c r="B5" s="5703" t="s">
        <v>1083</v>
      </c>
      <c r="C5" s="5704"/>
      <c r="D5" s="5703" t="s">
        <v>1135</v>
      </c>
      <c r="E5" s="5705"/>
      <c r="F5" s="5704"/>
      <c r="G5" s="5703" t="s">
        <v>1081</v>
      </c>
      <c r="H5" s="5705"/>
      <c r="I5" s="5705"/>
      <c r="J5" s="5705"/>
      <c r="K5" s="5705"/>
      <c r="L5" s="5704"/>
      <c r="M5" s="660"/>
      <c r="N5" s="660"/>
      <c r="O5" s="660"/>
    </row>
    <row r="6" spans="1:15" ht="13.5" customHeight="1" x14ac:dyDescent="0.2">
      <c r="A6" s="676" t="s">
        <v>1080</v>
      </c>
      <c r="B6" s="5706" t="s">
        <v>1079</v>
      </c>
      <c r="C6" s="5707"/>
      <c r="D6" s="5708" t="s">
        <v>1024</v>
      </c>
      <c r="E6" s="5708" t="s">
        <v>1023</v>
      </c>
      <c r="F6" s="5708" t="s">
        <v>1022</v>
      </c>
      <c r="G6" s="5701" t="s">
        <v>1024</v>
      </c>
      <c r="H6" s="5702"/>
      <c r="I6" s="5701" t="s">
        <v>1023</v>
      </c>
      <c r="J6" s="5702"/>
      <c r="K6" s="5701" t="s">
        <v>1022</v>
      </c>
      <c r="L6" s="5702"/>
      <c r="M6" s="660"/>
      <c r="N6" s="660"/>
      <c r="O6" s="660"/>
    </row>
    <row r="7" spans="1:15" ht="14.25" customHeight="1" x14ac:dyDescent="0.2">
      <c r="A7" s="676"/>
      <c r="B7" s="5446"/>
      <c r="C7" s="5447"/>
      <c r="D7" s="5449"/>
      <c r="E7" s="5449"/>
      <c r="F7" s="5449"/>
      <c r="G7" s="3516" t="s">
        <v>1078</v>
      </c>
      <c r="H7" s="3517" t="s">
        <v>1077</v>
      </c>
      <c r="I7" s="3516" t="s">
        <v>1078</v>
      </c>
      <c r="J7" s="3517" t="s">
        <v>1077</v>
      </c>
      <c r="K7" s="3516" t="s">
        <v>1078</v>
      </c>
      <c r="L7" s="3515" t="s">
        <v>1077</v>
      </c>
      <c r="M7" s="660"/>
      <c r="N7" s="660"/>
      <c r="O7" s="660"/>
    </row>
    <row r="8" spans="1:15" ht="15" customHeight="1" thickBot="1" x14ac:dyDescent="0.25">
      <c r="A8" s="675"/>
      <c r="B8" s="674" t="s">
        <v>1134</v>
      </c>
      <c r="C8" s="673" t="s">
        <v>1011</v>
      </c>
      <c r="D8" s="5450" t="s">
        <v>1075</v>
      </c>
      <c r="E8" s="5451"/>
      <c r="F8" s="5452"/>
      <c r="G8" s="5453" t="s">
        <v>1011</v>
      </c>
      <c r="H8" s="5454"/>
      <c r="I8" s="5454"/>
      <c r="J8" s="5454"/>
      <c r="K8" s="5454"/>
      <c r="L8" s="5455"/>
      <c r="M8" s="660"/>
      <c r="N8" s="660"/>
      <c r="O8" s="660"/>
    </row>
    <row r="9" spans="1:15" ht="12.75" customHeight="1" thickTop="1" x14ac:dyDescent="0.2">
      <c r="A9" s="680" t="s">
        <v>1133</v>
      </c>
      <c r="B9" s="3497" t="s">
        <v>986</v>
      </c>
      <c r="C9" s="3497" t="s">
        <v>986</v>
      </c>
      <c r="D9" s="3497" t="s">
        <v>986</v>
      </c>
      <c r="E9" s="3497" t="s">
        <v>986</v>
      </c>
      <c r="F9" s="3497" t="s">
        <v>986</v>
      </c>
      <c r="G9" s="3507">
        <v>8.8800000000000004E-2</v>
      </c>
      <c r="H9" s="3507" t="s">
        <v>259</v>
      </c>
      <c r="I9" s="3507" t="s">
        <v>259</v>
      </c>
      <c r="J9" s="3507" t="s">
        <v>259</v>
      </c>
      <c r="K9" s="3507" t="s">
        <v>259</v>
      </c>
      <c r="L9" s="3507" t="s">
        <v>259</v>
      </c>
      <c r="M9" s="660"/>
      <c r="N9" s="660"/>
      <c r="O9" s="660"/>
    </row>
    <row r="10" spans="1:15" ht="12" customHeight="1" x14ac:dyDescent="0.2">
      <c r="A10" s="3521" t="s">
        <v>1132</v>
      </c>
      <c r="B10" s="3497" t="s">
        <v>986</v>
      </c>
      <c r="C10" s="3497" t="s">
        <v>986</v>
      </c>
      <c r="D10" s="3497" t="s">
        <v>986</v>
      </c>
      <c r="E10" s="3497" t="s">
        <v>986</v>
      </c>
      <c r="F10" s="3497" t="s">
        <v>986</v>
      </c>
      <c r="G10" s="3507" t="s">
        <v>259</v>
      </c>
      <c r="H10" s="3507" t="s">
        <v>259</v>
      </c>
      <c r="I10" s="3507" t="s">
        <v>259</v>
      </c>
      <c r="J10" s="3507" t="s">
        <v>259</v>
      </c>
      <c r="K10" s="3497" t="s">
        <v>986</v>
      </c>
      <c r="L10" s="3497" t="s">
        <v>986</v>
      </c>
      <c r="M10" s="660"/>
      <c r="N10" s="660"/>
      <c r="O10" s="660"/>
    </row>
    <row r="11" spans="1:15" ht="12" customHeight="1" x14ac:dyDescent="0.2">
      <c r="A11" s="3526" t="s">
        <v>1131</v>
      </c>
      <c r="B11" s="3500" t="s">
        <v>1047</v>
      </c>
      <c r="C11" s="3500" t="s">
        <v>259</v>
      </c>
      <c r="D11" s="3507" t="s">
        <v>259</v>
      </c>
      <c r="E11" s="3507" t="s">
        <v>259</v>
      </c>
      <c r="F11" s="3497" t="s">
        <v>986</v>
      </c>
      <c r="G11" s="3500" t="s">
        <v>259</v>
      </c>
      <c r="H11" s="3500" t="s">
        <v>259</v>
      </c>
      <c r="I11" s="3500" t="s">
        <v>259</v>
      </c>
      <c r="J11" s="3500" t="s">
        <v>259</v>
      </c>
      <c r="K11" s="3497" t="s">
        <v>986</v>
      </c>
      <c r="L11" s="3497" t="s">
        <v>986</v>
      </c>
      <c r="M11" s="660"/>
      <c r="N11" s="660"/>
      <c r="O11" s="660"/>
    </row>
    <row r="12" spans="1:15" ht="12" customHeight="1" x14ac:dyDescent="0.2">
      <c r="A12" s="3526" t="s">
        <v>1130</v>
      </c>
      <c r="B12" s="3500" t="s">
        <v>1047</v>
      </c>
      <c r="C12" s="3500" t="s">
        <v>259</v>
      </c>
      <c r="D12" s="3507" t="s">
        <v>259</v>
      </c>
      <c r="E12" s="3507" t="s">
        <v>259</v>
      </c>
      <c r="F12" s="3497" t="s">
        <v>986</v>
      </c>
      <c r="G12" s="3500" t="s">
        <v>259</v>
      </c>
      <c r="H12" s="3500" t="s">
        <v>259</v>
      </c>
      <c r="I12" s="3500" t="s">
        <v>259</v>
      </c>
      <c r="J12" s="3500" t="s">
        <v>259</v>
      </c>
      <c r="K12" s="3497" t="s">
        <v>986</v>
      </c>
      <c r="L12" s="3497" t="s">
        <v>986</v>
      </c>
      <c r="M12" s="660"/>
      <c r="N12" s="660"/>
      <c r="O12" s="660"/>
    </row>
    <row r="13" spans="1:15" ht="12" customHeight="1" x14ac:dyDescent="0.2">
      <c r="A13" s="3526" t="s">
        <v>1129</v>
      </c>
      <c r="B13" s="3500" t="s">
        <v>1047</v>
      </c>
      <c r="C13" s="3500" t="s">
        <v>259</v>
      </c>
      <c r="D13" s="3507" t="s">
        <v>259</v>
      </c>
      <c r="E13" s="3507" t="s">
        <v>259</v>
      </c>
      <c r="F13" s="3497" t="s">
        <v>986</v>
      </c>
      <c r="G13" s="3500" t="s">
        <v>259</v>
      </c>
      <c r="H13" s="3500" t="s">
        <v>259</v>
      </c>
      <c r="I13" s="3500" t="s">
        <v>259</v>
      </c>
      <c r="J13" s="3500" t="s">
        <v>259</v>
      </c>
      <c r="K13" s="3497" t="s">
        <v>986</v>
      </c>
      <c r="L13" s="3497" t="s">
        <v>986</v>
      </c>
      <c r="M13" s="660"/>
      <c r="N13" s="660"/>
      <c r="O13" s="660"/>
    </row>
    <row r="14" spans="1:15" ht="12" customHeight="1" x14ac:dyDescent="0.2">
      <c r="A14" s="3526" t="s">
        <v>1128</v>
      </c>
      <c r="B14" s="3500" t="s">
        <v>1047</v>
      </c>
      <c r="C14" s="3500" t="s">
        <v>259</v>
      </c>
      <c r="D14" s="3507" t="s">
        <v>259</v>
      </c>
      <c r="E14" s="3507" t="s">
        <v>259</v>
      </c>
      <c r="F14" s="3497" t="s">
        <v>986</v>
      </c>
      <c r="G14" s="3500" t="s">
        <v>259</v>
      </c>
      <c r="H14" s="3500" t="s">
        <v>259</v>
      </c>
      <c r="I14" s="3500" t="s">
        <v>259</v>
      </c>
      <c r="J14" s="3500" t="s">
        <v>259</v>
      </c>
      <c r="K14" s="3497" t="s">
        <v>986</v>
      </c>
      <c r="L14" s="3497" t="s">
        <v>986</v>
      </c>
      <c r="M14" s="660"/>
      <c r="N14" s="660"/>
      <c r="O14" s="660"/>
    </row>
    <row r="15" spans="1:15" ht="12" customHeight="1" x14ac:dyDescent="0.2">
      <c r="A15" s="3526" t="s">
        <v>1127</v>
      </c>
      <c r="B15" s="3500" t="s">
        <v>1047</v>
      </c>
      <c r="C15" s="3500" t="s">
        <v>259</v>
      </c>
      <c r="D15" s="3507" t="s">
        <v>259</v>
      </c>
      <c r="E15" s="3507" t="s">
        <v>259</v>
      </c>
      <c r="F15" s="3497" t="s">
        <v>986</v>
      </c>
      <c r="G15" s="3500" t="s">
        <v>259</v>
      </c>
      <c r="H15" s="3500" t="s">
        <v>259</v>
      </c>
      <c r="I15" s="3500" t="s">
        <v>259</v>
      </c>
      <c r="J15" s="3500" t="s">
        <v>259</v>
      </c>
      <c r="K15" s="3497" t="s">
        <v>986</v>
      </c>
      <c r="L15" s="3497" t="s">
        <v>986</v>
      </c>
      <c r="M15" s="660"/>
      <c r="N15" s="660"/>
      <c r="O15" s="660"/>
    </row>
    <row r="16" spans="1:15" ht="12" customHeight="1" x14ac:dyDescent="0.2">
      <c r="A16" s="3526" t="s">
        <v>1126</v>
      </c>
      <c r="B16" s="3497" t="s">
        <v>986</v>
      </c>
      <c r="C16" s="3497" t="s">
        <v>986</v>
      </c>
      <c r="D16" s="3497" t="s">
        <v>986</v>
      </c>
      <c r="E16" s="3497" t="s">
        <v>986</v>
      </c>
      <c r="F16" s="3497" t="s">
        <v>986</v>
      </c>
      <c r="G16" s="3507" t="s">
        <v>259</v>
      </c>
      <c r="H16" s="3507" t="s">
        <v>259</v>
      </c>
      <c r="I16" s="3507" t="s">
        <v>259</v>
      </c>
      <c r="J16" s="3507" t="s">
        <v>259</v>
      </c>
      <c r="K16" s="3497" t="s">
        <v>986</v>
      </c>
      <c r="L16" s="3497" t="s">
        <v>986</v>
      </c>
      <c r="M16" s="660"/>
      <c r="N16" s="660"/>
      <c r="O16" s="660"/>
    </row>
    <row r="17" spans="1:15" ht="12" customHeight="1" x14ac:dyDescent="0.2">
      <c r="A17" s="3521" t="s">
        <v>1125</v>
      </c>
      <c r="B17" s="3500" t="s">
        <v>1047</v>
      </c>
      <c r="C17" s="3500" t="s">
        <v>259</v>
      </c>
      <c r="D17" s="3507" t="s">
        <v>259</v>
      </c>
      <c r="E17" s="3507" t="s">
        <v>259</v>
      </c>
      <c r="F17" s="3497" t="s">
        <v>986</v>
      </c>
      <c r="G17" s="3500" t="s">
        <v>259</v>
      </c>
      <c r="H17" s="3500" t="s">
        <v>259</v>
      </c>
      <c r="I17" s="3500" t="s">
        <v>259</v>
      </c>
      <c r="J17" s="3500" t="s">
        <v>259</v>
      </c>
      <c r="K17" s="3497" t="s">
        <v>986</v>
      </c>
      <c r="L17" s="3497" t="s">
        <v>986</v>
      </c>
      <c r="M17" s="660"/>
      <c r="N17" s="660"/>
      <c r="O17" s="660"/>
    </row>
    <row r="18" spans="1:15" ht="12" customHeight="1" x14ac:dyDescent="0.2">
      <c r="A18" s="3521" t="s">
        <v>1124</v>
      </c>
      <c r="B18" s="3500" t="s">
        <v>1047</v>
      </c>
      <c r="C18" s="3500" t="s">
        <v>259</v>
      </c>
      <c r="D18" s="3507" t="s">
        <v>259</v>
      </c>
      <c r="E18" s="3497" t="s">
        <v>986</v>
      </c>
      <c r="F18" s="3497" t="s">
        <v>986</v>
      </c>
      <c r="G18" s="3500" t="s">
        <v>259</v>
      </c>
      <c r="H18" s="3500" t="s">
        <v>259</v>
      </c>
      <c r="I18" s="3497" t="s">
        <v>986</v>
      </c>
      <c r="J18" s="3497" t="s">
        <v>986</v>
      </c>
      <c r="K18" s="3497" t="s">
        <v>986</v>
      </c>
      <c r="L18" s="3497" t="s">
        <v>986</v>
      </c>
      <c r="M18" s="660"/>
      <c r="N18" s="660"/>
      <c r="O18" s="660"/>
    </row>
    <row r="19" spans="1:15" ht="12" customHeight="1" x14ac:dyDescent="0.2">
      <c r="A19" s="3525" t="s">
        <v>1123</v>
      </c>
      <c r="B19" s="3500" t="s">
        <v>1036</v>
      </c>
      <c r="C19" s="3500" t="s">
        <v>259</v>
      </c>
      <c r="D19" s="3507" t="s">
        <v>259</v>
      </c>
      <c r="E19" s="3497" t="s">
        <v>986</v>
      </c>
      <c r="F19" s="3497" t="s">
        <v>986</v>
      </c>
      <c r="G19" s="3500" t="s">
        <v>259</v>
      </c>
      <c r="H19" s="3500" t="s">
        <v>259</v>
      </c>
      <c r="I19" s="3497" t="s">
        <v>986</v>
      </c>
      <c r="J19" s="3497" t="s">
        <v>986</v>
      </c>
      <c r="K19" s="3497" t="s">
        <v>986</v>
      </c>
      <c r="L19" s="3497" t="s">
        <v>986</v>
      </c>
      <c r="M19" s="660"/>
      <c r="N19" s="660"/>
      <c r="O19" s="660"/>
    </row>
    <row r="20" spans="1:15" x14ac:dyDescent="0.2">
      <c r="A20" s="3524" t="s">
        <v>1122</v>
      </c>
      <c r="B20" s="3500" t="s">
        <v>1121</v>
      </c>
      <c r="C20" s="3500">
        <v>0.44400000000000001</v>
      </c>
      <c r="D20" s="3507">
        <v>0.2</v>
      </c>
      <c r="E20" s="3497" t="s">
        <v>986</v>
      </c>
      <c r="F20" s="3497" t="s">
        <v>986</v>
      </c>
      <c r="G20" s="3500">
        <v>8.8800000000000004E-2</v>
      </c>
      <c r="H20" s="3500" t="s">
        <v>259</v>
      </c>
      <c r="I20" s="3497" t="s">
        <v>986</v>
      </c>
      <c r="J20" s="3497" t="s">
        <v>986</v>
      </c>
      <c r="K20" s="3497" t="s">
        <v>986</v>
      </c>
      <c r="L20" s="3497" t="s">
        <v>986</v>
      </c>
      <c r="M20" s="660"/>
      <c r="N20" s="660"/>
      <c r="O20" s="660" t="s">
        <v>270</v>
      </c>
    </row>
    <row r="21" spans="1:15" x14ac:dyDescent="0.2">
      <c r="A21" s="3524" t="s">
        <v>1120</v>
      </c>
      <c r="B21" s="3500" t="s">
        <v>1036</v>
      </c>
      <c r="C21" s="3500" t="s">
        <v>259</v>
      </c>
      <c r="D21" s="3507" t="s">
        <v>259</v>
      </c>
      <c r="E21" s="3497" t="s">
        <v>986</v>
      </c>
      <c r="F21" s="3497" t="s">
        <v>986</v>
      </c>
      <c r="G21" s="3500" t="s">
        <v>259</v>
      </c>
      <c r="H21" s="3500" t="s">
        <v>259</v>
      </c>
      <c r="I21" s="3497" t="s">
        <v>986</v>
      </c>
      <c r="J21" s="3497" t="s">
        <v>986</v>
      </c>
      <c r="K21" s="3497" t="s">
        <v>986</v>
      </c>
      <c r="L21" s="3497" t="s">
        <v>986</v>
      </c>
      <c r="M21" s="660"/>
      <c r="N21" s="660"/>
      <c r="O21" s="660"/>
    </row>
    <row r="22" spans="1:15" ht="12" customHeight="1" x14ac:dyDescent="0.2">
      <c r="A22" s="3521" t="s">
        <v>1119</v>
      </c>
      <c r="B22" s="3497" t="s">
        <v>986</v>
      </c>
      <c r="C22" s="3497" t="s">
        <v>986</v>
      </c>
      <c r="D22" s="3497" t="s">
        <v>986</v>
      </c>
      <c r="E22" s="3497" t="s">
        <v>986</v>
      </c>
      <c r="F22" s="3497" t="s">
        <v>986</v>
      </c>
      <c r="G22" s="3507" t="s">
        <v>259</v>
      </c>
      <c r="H22" s="3507" t="s">
        <v>259</v>
      </c>
      <c r="I22" s="3507" t="s">
        <v>259</v>
      </c>
      <c r="J22" s="3507" t="s">
        <v>259</v>
      </c>
      <c r="K22" s="3507" t="s">
        <v>259</v>
      </c>
      <c r="L22" s="3507" t="s">
        <v>259</v>
      </c>
      <c r="M22" s="660"/>
      <c r="N22" s="660"/>
      <c r="O22" s="660"/>
    </row>
    <row r="23" spans="1:15" ht="24" customHeight="1" x14ac:dyDescent="0.2">
      <c r="A23" s="683" t="s">
        <v>1118</v>
      </c>
      <c r="B23" s="3497" t="s">
        <v>986</v>
      </c>
      <c r="C23" s="3497" t="s">
        <v>986</v>
      </c>
      <c r="D23" s="3497" t="s">
        <v>986</v>
      </c>
      <c r="E23" s="3497" t="s">
        <v>986</v>
      </c>
      <c r="F23" s="3497" t="s">
        <v>986</v>
      </c>
      <c r="G23" s="3507">
        <v>168.38081238296468</v>
      </c>
      <c r="H23" s="3507" t="s">
        <v>799</v>
      </c>
      <c r="I23" s="3507">
        <v>1.9260194800000002E-2</v>
      </c>
      <c r="J23" s="3507" t="s">
        <v>799</v>
      </c>
      <c r="K23" s="3507">
        <v>4.7467199999999998E-4</v>
      </c>
      <c r="L23" s="3507" t="s">
        <v>799</v>
      </c>
      <c r="M23" s="660"/>
      <c r="N23" s="660"/>
      <c r="O23" s="660"/>
    </row>
    <row r="24" spans="1:15" ht="12" customHeight="1" x14ac:dyDescent="0.2">
      <c r="A24" s="3521" t="s">
        <v>1009</v>
      </c>
      <c r="B24" s="3500" t="s">
        <v>1117</v>
      </c>
      <c r="C24" s="3500">
        <v>51.32</v>
      </c>
      <c r="D24" s="3507">
        <v>0.61717</v>
      </c>
      <c r="E24" s="3507" t="s">
        <v>799</v>
      </c>
      <c r="F24" s="3507" t="s">
        <v>799</v>
      </c>
      <c r="G24" s="3500">
        <v>31.673164400000001</v>
      </c>
      <c r="H24" s="3500" t="s">
        <v>799</v>
      </c>
      <c r="I24" s="3500" t="s">
        <v>799</v>
      </c>
      <c r="J24" s="3500" t="s">
        <v>799</v>
      </c>
      <c r="K24" s="3500" t="s">
        <v>799</v>
      </c>
      <c r="L24" s="3500" t="s">
        <v>799</v>
      </c>
      <c r="M24" s="660"/>
      <c r="N24" s="660"/>
      <c r="O24" s="660"/>
    </row>
    <row r="25" spans="1:15" ht="12" customHeight="1" x14ac:dyDescent="0.2">
      <c r="A25" s="3521" t="s">
        <v>1008</v>
      </c>
      <c r="B25" s="3500" t="s">
        <v>1116</v>
      </c>
      <c r="C25" s="3500">
        <v>19.777999999999999</v>
      </c>
      <c r="D25" s="3507">
        <v>2.91</v>
      </c>
      <c r="E25" s="3507">
        <v>1.21E-4</v>
      </c>
      <c r="F25" s="3507">
        <v>2.4000000000000001E-5</v>
      </c>
      <c r="G25" s="3500">
        <v>57.553980000000003</v>
      </c>
      <c r="H25" s="3500" t="s">
        <v>799</v>
      </c>
      <c r="I25" s="3500">
        <v>2.3931379999999999E-3</v>
      </c>
      <c r="J25" s="3500" t="s">
        <v>799</v>
      </c>
      <c r="K25" s="3500">
        <v>4.7467199999999998E-4</v>
      </c>
      <c r="L25" s="3500" t="s">
        <v>799</v>
      </c>
      <c r="M25" s="660"/>
      <c r="N25" s="660"/>
      <c r="O25" s="660"/>
    </row>
    <row r="26" spans="1:15" ht="12" customHeight="1" x14ac:dyDescent="0.2">
      <c r="A26" s="3521" t="s">
        <v>1115</v>
      </c>
      <c r="B26" s="3497" t="s">
        <v>986</v>
      </c>
      <c r="C26" s="3497" t="s">
        <v>986</v>
      </c>
      <c r="D26" s="3497" t="s">
        <v>986</v>
      </c>
      <c r="E26" s="3497" t="s">
        <v>986</v>
      </c>
      <c r="F26" s="3497" t="s">
        <v>986</v>
      </c>
      <c r="G26" s="3507">
        <v>79.153667982964677</v>
      </c>
      <c r="H26" s="3507" t="s">
        <v>799</v>
      </c>
      <c r="I26" s="3507">
        <v>1.6867056799999999E-2</v>
      </c>
      <c r="J26" s="3507" t="s">
        <v>799</v>
      </c>
      <c r="K26" s="3507" t="s">
        <v>799</v>
      </c>
      <c r="L26" s="3507" t="s">
        <v>799</v>
      </c>
      <c r="M26" s="660"/>
      <c r="N26" s="660"/>
      <c r="O26" s="660"/>
    </row>
    <row r="27" spans="1:15" ht="12" customHeight="1" x14ac:dyDescent="0.2">
      <c r="A27" s="3520" t="s">
        <v>1114</v>
      </c>
      <c r="B27" s="3500" t="s">
        <v>1114</v>
      </c>
      <c r="C27" s="3500">
        <v>887.34109999999998</v>
      </c>
      <c r="D27" s="3507">
        <v>7.7938632376380004E-2</v>
      </c>
      <c r="E27" s="3507" t="s">
        <v>799</v>
      </c>
      <c r="F27" s="3507" t="s">
        <v>799</v>
      </c>
      <c r="G27" s="3500">
        <v>69.15815178535</v>
      </c>
      <c r="H27" s="3500" t="s">
        <v>799</v>
      </c>
      <c r="I27" s="3500" t="s">
        <v>799</v>
      </c>
      <c r="J27" s="3500" t="s">
        <v>799</v>
      </c>
      <c r="K27" s="3500" t="s">
        <v>799</v>
      </c>
      <c r="L27" s="3500" t="s">
        <v>799</v>
      </c>
      <c r="M27" s="660"/>
      <c r="N27" s="660"/>
      <c r="O27" s="660"/>
    </row>
    <row r="28" spans="1:15" x14ac:dyDescent="0.2">
      <c r="A28" s="3520" t="s">
        <v>1113</v>
      </c>
      <c r="B28" s="3500" t="s">
        <v>1100</v>
      </c>
      <c r="C28" s="3500">
        <v>3833.422</v>
      </c>
      <c r="D28" s="3507">
        <v>2.3000000000000001E-4</v>
      </c>
      <c r="E28" s="3507">
        <v>4.4000000000000002E-6</v>
      </c>
      <c r="F28" s="3507" t="s">
        <v>799</v>
      </c>
      <c r="G28" s="3500">
        <v>0.88168705999999997</v>
      </c>
      <c r="H28" s="3500" t="s">
        <v>799</v>
      </c>
      <c r="I28" s="3500">
        <v>1.6867056799999999E-2</v>
      </c>
      <c r="J28" s="3500" t="s">
        <v>799</v>
      </c>
      <c r="K28" s="3500" t="s">
        <v>799</v>
      </c>
      <c r="L28" s="3500" t="s">
        <v>799</v>
      </c>
    </row>
    <row r="29" spans="1:15" x14ac:dyDescent="0.2">
      <c r="A29" s="3520" t="s">
        <v>1112</v>
      </c>
      <c r="B29" s="3500" t="s">
        <v>1100</v>
      </c>
      <c r="C29" s="3500">
        <v>60.06</v>
      </c>
      <c r="D29" s="3507">
        <v>4.0000000000000002E-4</v>
      </c>
      <c r="E29" s="3507" t="s">
        <v>799</v>
      </c>
      <c r="F29" s="3507" t="s">
        <v>799</v>
      </c>
      <c r="G29" s="3500">
        <v>2.4024E-2</v>
      </c>
      <c r="H29" s="3500" t="s">
        <v>799</v>
      </c>
      <c r="I29" s="3500" t="s">
        <v>799</v>
      </c>
      <c r="J29" s="3500" t="s">
        <v>799</v>
      </c>
      <c r="K29" s="3500" t="s">
        <v>799</v>
      </c>
      <c r="L29" s="3500" t="s">
        <v>799</v>
      </c>
    </row>
    <row r="30" spans="1:15" x14ac:dyDescent="0.2">
      <c r="A30" s="3520" t="s">
        <v>1111</v>
      </c>
      <c r="B30" s="3497" t="s">
        <v>986</v>
      </c>
      <c r="C30" s="3497" t="s">
        <v>986</v>
      </c>
      <c r="D30" s="3497" t="s">
        <v>986</v>
      </c>
      <c r="E30" s="3497" t="s">
        <v>986</v>
      </c>
      <c r="F30" s="3497" t="s">
        <v>986</v>
      </c>
      <c r="G30" s="3507">
        <v>9.0898051376146807</v>
      </c>
      <c r="H30" s="3507" t="s">
        <v>799</v>
      </c>
      <c r="I30" s="3507" t="s">
        <v>799</v>
      </c>
      <c r="J30" s="3507" t="s">
        <v>799</v>
      </c>
      <c r="K30" s="3507" t="s">
        <v>799</v>
      </c>
      <c r="L30" s="3507" t="s">
        <v>799</v>
      </c>
    </row>
    <row r="31" spans="1:15" x14ac:dyDescent="0.2">
      <c r="A31" s="3522" t="s">
        <v>1110</v>
      </c>
      <c r="B31" s="3500" t="s">
        <v>1108</v>
      </c>
      <c r="C31" s="3500">
        <v>38.107259999999997</v>
      </c>
      <c r="D31" s="3507">
        <v>0.23853211009174</v>
      </c>
      <c r="E31" s="3507" t="s">
        <v>799</v>
      </c>
      <c r="F31" s="3507" t="s">
        <v>799</v>
      </c>
      <c r="G31" s="3500">
        <v>9.0898051376146807</v>
      </c>
      <c r="H31" s="3500" t="s">
        <v>799</v>
      </c>
      <c r="I31" s="3500" t="s">
        <v>799</v>
      </c>
      <c r="J31" s="3500" t="s">
        <v>799</v>
      </c>
      <c r="K31" s="3500" t="s">
        <v>799</v>
      </c>
      <c r="L31" s="3500" t="s">
        <v>799</v>
      </c>
    </row>
    <row r="32" spans="1:15" ht="12" customHeight="1" x14ac:dyDescent="0.2">
      <c r="A32" s="682" t="s">
        <v>992</v>
      </c>
      <c r="B32" s="3497" t="s">
        <v>986</v>
      </c>
      <c r="C32" s="3497" t="s">
        <v>986</v>
      </c>
      <c r="D32" s="3497" t="s">
        <v>986</v>
      </c>
      <c r="E32" s="3497" t="s">
        <v>986</v>
      </c>
      <c r="F32" s="3497" t="s">
        <v>986</v>
      </c>
      <c r="G32" s="3507">
        <v>0.18312482499999999</v>
      </c>
      <c r="H32" s="3507" t="s">
        <v>1006</v>
      </c>
      <c r="I32" s="3507">
        <v>6.0565579500000001E-2</v>
      </c>
      <c r="J32" s="3507" t="s">
        <v>259</v>
      </c>
      <c r="K32" s="3507">
        <v>6.6545637059999996E-2</v>
      </c>
      <c r="L32" s="3507" t="s">
        <v>259</v>
      </c>
      <c r="M32" s="660"/>
      <c r="N32" s="660"/>
      <c r="O32" s="660"/>
    </row>
    <row r="33" spans="1:15" ht="12" customHeight="1" x14ac:dyDescent="0.2">
      <c r="A33" s="681" t="s">
        <v>989</v>
      </c>
      <c r="B33" s="3497" t="s">
        <v>986</v>
      </c>
      <c r="C33" s="3497" t="s">
        <v>986</v>
      </c>
      <c r="D33" s="3497" t="s">
        <v>986</v>
      </c>
      <c r="E33" s="3497" t="s">
        <v>986</v>
      </c>
      <c r="F33" s="3497" t="s">
        <v>986</v>
      </c>
      <c r="G33" s="3497" t="s">
        <v>986</v>
      </c>
      <c r="H33" s="3497" t="s">
        <v>986</v>
      </c>
      <c r="I33" s="3497" t="s">
        <v>986</v>
      </c>
      <c r="J33" s="3497" t="s">
        <v>986</v>
      </c>
      <c r="K33" s="3507">
        <v>5.7807499999999998E-2</v>
      </c>
      <c r="L33" s="3507" t="s">
        <v>259</v>
      </c>
      <c r="M33" s="660"/>
      <c r="N33" s="660"/>
      <c r="O33" s="660"/>
    </row>
    <row r="34" spans="1:15" ht="12" customHeight="1" x14ac:dyDescent="0.2">
      <c r="A34" s="3523" t="s">
        <v>1109</v>
      </c>
      <c r="B34" s="3500" t="s">
        <v>1108</v>
      </c>
      <c r="C34" s="3500">
        <v>3.7999999999999999E-2</v>
      </c>
      <c r="D34" s="3497" t="s">
        <v>986</v>
      </c>
      <c r="E34" s="3497" t="s">
        <v>986</v>
      </c>
      <c r="F34" s="3507">
        <v>1</v>
      </c>
      <c r="G34" s="3497" t="s">
        <v>986</v>
      </c>
      <c r="H34" s="3497" t="s">
        <v>986</v>
      </c>
      <c r="I34" s="3497" t="s">
        <v>986</v>
      </c>
      <c r="J34" s="3497" t="s">
        <v>986</v>
      </c>
      <c r="K34" s="3500">
        <v>3.7999999999999999E-2</v>
      </c>
      <c r="L34" s="3500" t="s">
        <v>259</v>
      </c>
      <c r="M34" s="660"/>
      <c r="N34" s="660"/>
      <c r="O34" s="660"/>
    </row>
    <row r="35" spans="1:15" ht="12" customHeight="1" x14ac:dyDescent="0.2">
      <c r="A35" s="3523" t="s">
        <v>1107</v>
      </c>
      <c r="B35" s="3497" t="s">
        <v>986</v>
      </c>
      <c r="C35" s="3497" t="s">
        <v>986</v>
      </c>
      <c r="D35" s="3497" t="s">
        <v>986</v>
      </c>
      <c r="E35" s="3497" t="s">
        <v>986</v>
      </c>
      <c r="F35" s="3497" t="s">
        <v>986</v>
      </c>
      <c r="G35" s="3497" t="s">
        <v>986</v>
      </c>
      <c r="H35" s="3497" t="s">
        <v>986</v>
      </c>
      <c r="I35" s="3497" t="s">
        <v>986</v>
      </c>
      <c r="J35" s="3497" t="s">
        <v>986</v>
      </c>
      <c r="K35" s="3507">
        <v>1.9807499999999999E-2</v>
      </c>
      <c r="L35" s="3507" t="s">
        <v>259</v>
      </c>
      <c r="M35" s="660"/>
      <c r="N35" s="660"/>
      <c r="O35" s="660"/>
    </row>
    <row r="36" spans="1:15" ht="12" customHeight="1" x14ac:dyDescent="0.2">
      <c r="A36" s="3522" t="s">
        <v>1106</v>
      </c>
      <c r="B36" s="3500" t="s">
        <v>1105</v>
      </c>
      <c r="C36" s="3500">
        <v>0.41699999999999998</v>
      </c>
      <c r="D36" s="3497" t="s">
        <v>986</v>
      </c>
      <c r="E36" s="3497" t="s">
        <v>986</v>
      </c>
      <c r="F36" s="3507">
        <v>4.7500000000000001E-2</v>
      </c>
      <c r="G36" s="3497" t="s">
        <v>986</v>
      </c>
      <c r="H36" s="3497" t="s">
        <v>986</v>
      </c>
      <c r="I36" s="3497" t="s">
        <v>986</v>
      </c>
      <c r="J36" s="3497" t="s">
        <v>986</v>
      </c>
      <c r="K36" s="3500">
        <v>1.9807499999999999E-2</v>
      </c>
      <c r="L36" s="3500" t="s">
        <v>259</v>
      </c>
      <c r="M36" s="660"/>
      <c r="N36" s="660"/>
      <c r="O36" s="660"/>
    </row>
    <row r="37" spans="1:15" ht="12" customHeight="1" x14ac:dyDescent="0.2">
      <c r="A37" s="3521" t="s">
        <v>988</v>
      </c>
      <c r="B37" s="3497" t="s">
        <v>986</v>
      </c>
      <c r="C37" s="3497" t="s">
        <v>986</v>
      </c>
      <c r="D37" s="3497" t="s">
        <v>986</v>
      </c>
      <c r="E37" s="3497" t="s">
        <v>986</v>
      </c>
      <c r="F37" s="3497" t="s">
        <v>986</v>
      </c>
      <c r="G37" s="3507">
        <v>0.18312482499999999</v>
      </c>
      <c r="H37" s="3507" t="s">
        <v>1006</v>
      </c>
      <c r="I37" s="3507">
        <v>6.0565579500000001E-2</v>
      </c>
      <c r="J37" s="3507" t="s">
        <v>259</v>
      </c>
      <c r="K37" s="3507">
        <v>8.7381370599999997E-3</v>
      </c>
      <c r="L37" s="3507" t="s">
        <v>259</v>
      </c>
      <c r="M37" s="660"/>
      <c r="N37" s="660"/>
      <c r="O37" s="660"/>
    </row>
    <row r="38" spans="1:15" ht="12" customHeight="1" x14ac:dyDescent="0.2">
      <c r="A38" s="3520" t="s">
        <v>1103</v>
      </c>
      <c r="B38" s="3500" t="s">
        <v>1102</v>
      </c>
      <c r="C38" s="3500">
        <v>6.7536800000000001</v>
      </c>
      <c r="D38" s="3507" t="s">
        <v>799</v>
      </c>
      <c r="E38" s="3507">
        <v>5.8999999999999999E-3</v>
      </c>
      <c r="F38" s="3507">
        <v>2.9499999999999999E-5</v>
      </c>
      <c r="G38" s="3500" t="s">
        <v>799</v>
      </c>
      <c r="H38" s="3500" t="s">
        <v>799</v>
      </c>
      <c r="I38" s="3500">
        <v>3.9846711999999999E-2</v>
      </c>
      <c r="J38" s="3500" t="s">
        <v>259</v>
      </c>
      <c r="K38" s="3500">
        <v>1.9923356000000001E-4</v>
      </c>
      <c r="L38" s="3500" t="s">
        <v>259</v>
      </c>
      <c r="M38" s="660"/>
      <c r="N38" s="660"/>
      <c r="O38" s="660"/>
    </row>
    <row r="39" spans="1:15" x14ac:dyDescent="0.2">
      <c r="A39" s="3520" t="s">
        <v>1104</v>
      </c>
      <c r="B39" s="3500" t="s">
        <v>1102</v>
      </c>
      <c r="C39" s="3500">
        <v>5.4050000000000002</v>
      </c>
      <c r="D39" s="3507" t="s">
        <v>799</v>
      </c>
      <c r="E39" s="3507">
        <v>3.1870000000000002E-3</v>
      </c>
      <c r="F39" s="3507">
        <v>6.3999999999999997E-5</v>
      </c>
      <c r="G39" s="3500" t="s">
        <v>799</v>
      </c>
      <c r="H39" s="3500" t="s">
        <v>799</v>
      </c>
      <c r="I39" s="3500">
        <v>1.7225734999999999E-2</v>
      </c>
      <c r="J39" s="3500" t="s">
        <v>259</v>
      </c>
      <c r="K39" s="3500">
        <v>3.4591999999999999E-4</v>
      </c>
      <c r="L39" s="3500" t="s">
        <v>259</v>
      </c>
    </row>
    <row r="40" spans="1:15" x14ac:dyDescent="0.2">
      <c r="A40" s="3520" t="s">
        <v>1101</v>
      </c>
      <c r="B40" s="3500" t="s">
        <v>1100</v>
      </c>
      <c r="C40" s="3500">
        <v>4.2340999999999998</v>
      </c>
      <c r="D40" s="3507">
        <v>4.3249999999999997E-2</v>
      </c>
      <c r="E40" s="3507">
        <v>8.25E-4</v>
      </c>
      <c r="F40" s="3507">
        <v>1.9350000000000001E-3</v>
      </c>
      <c r="G40" s="3500">
        <v>0.18312482499999999</v>
      </c>
      <c r="H40" s="3500" t="s">
        <v>259</v>
      </c>
      <c r="I40" s="3500">
        <v>3.4931325000000001E-3</v>
      </c>
      <c r="J40" s="3500" t="s">
        <v>259</v>
      </c>
      <c r="K40" s="3500">
        <v>8.1929835000000006E-3</v>
      </c>
      <c r="L40" s="3500" t="s">
        <v>259</v>
      </c>
    </row>
    <row r="41" spans="1:15" ht="12" customHeight="1" x14ac:dyDescent="0.2">
      <c r="A41" s="680" t="s">
        <v>1099</v>
      </c>
      <c r="B41" s="3497" t="s">
        <v>986</v>
      </c>
      <c r="C41" s="3497" t="s">
        <v>986</v>
      </c>
      <c r="D41" s="3497" t="s">
        <v>986</v>
      </c>
      <c r="E41" s="3497" t="s">
        <v>986</v>
      </c>
      <c r="F41" s="3497" t="s">
        <v>986</v>
      </c>
      <c r="G41" s="3507" t="s">
        <v>986</v>
      </c>
      <c r="H41" s="3507" t="s">
        <v>986</v>
      </c>
      <c r="I41" s="3507" t="s">
        <v>986</v>
      </c>
      <c r="J41" s="3507" t="s">
        <v>986</v>
      </c>
      <c r="K41" s="3507" t="s">
        <v>986</v>
      </c>
      <c r="L41" s="3507" t="s">
        <v>986</v>
      </c>
      <c r="M41" s="660"/>
      <c r="N41" s="660"/>
      <c r="O41" s="660"/>
    </row>
    <row r="42" spans="1:15" ht="12.75" customHeight="1" x14ac:dyDescent="0.2">
      <c r="A42" s="3519" t="s">
        <v>1098</v>
      </c>
      <c r="B42" s="3500" t="s">
        <v>986</v>
      </c>
      <c r="C42" s="3500" t="s">
        <v>986</v>
      </c>
      <c r="D42" s="3507" t="s">
        <v>986</v>
      </c>
      <c r="E42" s="3507" t="s">
        <v>986</v>
      </c>
      <c r="F42" s="3507" t="s">
        <v>986</v>
      </c>
      <c r="G42" s="3500" t="s">
        <v>986</v>
      </c>
      <c r="H42" s="3500" t="s">
        <v>986</v>
      </c>
      <c r="I42" s="3500" t="s">
        <v>986</v>
      </c>
      <c r="J42" s="3500" t="s">
        <v>986</v>
      </c>
      <c r="K42" s="3500" t="s">
        <v>986</v>
      </c>
      <c r="L42" s="3500" t="s">
        <v>986</v>
      </c>
      <c r="M42" s="679"/>
      <c r="N42" s="660"/>
      <c r="O42" s="660"/>
    </row>
    <row r="43" spans="1:15" ht="12" customHeight="1" x14ac:dyDescent="0.2">
      <c r="A43" s="678" t="s">
        <v>564</v>
      </c>
      <c r="B43" s="663"/>
      <c r="C43" s="663"/>
      <c r="D43" s="663"/>
      <c r="E43" s="663"/>
      <c r="F43" s="663"/>
      <c r="G43" s="663"/>
      <c r="H43" s="663"/>
      <c r="I43" s="663"/>
      <c r="J43" s="663"/>
      <c r="K43" s="663"/>
      <c r="L43" s="663"/>
      <c r="M43" s="660"/>
      <c r="N43" s="660"/>
      <c r="O43" s="660"/>
    </row>
    <row r="44" spans="1:15" ht="13.5" x14ac:dyDescent="0.2">
      <c r="A44" s="5434" t="s">
        <v>1097</v>
      </c>
      <c r="B44" s="5434"/>
      <c r="C44" s="5434"/>
      <c r="D44" s="5434"/>
      <c r="E44" s="5434"/>
      <c r="F44" s="5434"/>
      <c r="G44" s="5434"/>
      <c r="H44" s="5434"/>
      <c r="I44" s="5434"/>
      <c r="J44" s="5434"/>
      <c r="K44" s="5434"/>
      <c r="L44" s="5434"/>
      <c r="M44" s="660"/>
      <c r="N44" s="660"/>
      <c r="O44" s="660"/>
    </row>
    <row r="45" spans="1:15" ht="13.5" x14ac:dyDescent="0.2">
      <c r="A45" s="5456" t="s">
        <v>1096</v>
      </c>
      <c r="B45" s="5456"/>
      <c r="C45" s="5456"/>
      <c r="D45" s="5456"/>
      <c r="E45" s="5456"/>
      <c r="F45" s="5456"/>
      <c r="G45" s="5456"/>
      <c r="H45" s="661"/>
      <c r="I45" s="661"/>
      <c r="J45" s="661"/>
      <c r="K45" s="661"/>
      <c r="L45" s="661"/>
      <c r="M45" s="660"/>
      <c r="N45" s="660"/>
      <c r="O45" s="660"/>
    </row>
    <row r="46" spans="1:15" ht="13.5" customHeight="1" x14ac:dyDescent="0.2">
      <c r="A46" s="5456" t="s">
        <v>1033</v>
      </c>
      <c r="B46" s="5456"/>
      <c r="C46" s="5456"/>
      <c r="D46" s="5456"/>
      <c r="E46" s="5456"/>
      <c r="F46" s="661"/>
      <c r="G46" s="661"/>
      <c r="H46" s="661"/>
      <c r="I46" s="661"/>
      <c r="J46" s="661"/>
      <c r="K46" s="661"/>
      <c r="L46" s="661"/>
      <c r="M46" s="660"/>
      <c r="N46" s="660"/>
      <c r="O46" s="660"/>
    </row>
    <row r="47" spans="1:15" ht="13.5" customHeight="1" x14ac:dyDescent="0.2">
      <c r="A47" s="5456" t="s">
        <v>1032</v>
      </c>
      <c r="B47" s="5456"/>
      <c r="C47" s="661"/>
      <c r="D47" s="661"/>
      <c r="E47" s="661"/>
      <c r="F47" s="661"/>
      <c r="G47" s="661"/>
      <c r="H47" s="661"/>
      <c r="I47" s="661"/>
      <c r="J47" s="661"/>
      <c r="K47" s="661"/>
      <c r="L47" s="661"/>
      <c r="M47" s="660"/>
      <c r="N47" s="660"/>
      <c r="O47" s="660"/>
    </row>
    <row r="48" spans="1:15" ht="29.25" customHeight="1" x14ac:dyDescent="0.2">
      <c r="A48" s="5459" t="s">
        <v>1095</v>
      </c>
      <c r="B48" s="5459"/>
      <c r="C48" s="5459"/>
      <c r="D48" s="5459"/>
      <c r="E48" s="5459"/>
      <c r="F48" s="5459"/>
      <c r="G48" s="5459"/>
      <c r="H48" s="5459"/>
      <c r="I48" s="5459"/>
      <c r="J48" s="5459"/>
      <c r="K48" s="5459"/>
      <c r="L48" s="5459"/>
      <c r="M48" s="660"/>
      <c r="N48" s="660"/>
      <c r="O48" s="660"/>
    </row>
    <row r="49" spans="1:15" ht="13.5" x14ac:dyDescent="0.2">
      <c r="A49" s="5459" t="s">
        <v>1094</v>
      </c>
      <c r="B49" s="5459"/>
      <c r="C49" s="5459"/>
      <c r="D49" s="5459"/>
      <c r="E49" s="5459"/>
      <c r="F49" s="5459"/>
      <c r="G49" s="5459"/>
      <c r="H49" s="5459"/>
      <c r="I49" s="5459"/>
      <c r="J49" s="5459"/>
      <c r="K49" s="5459"/>
      <c r="L49" s="5459"/>
      <c r="M49" s="660"/>
      <c r="N49" s="660"/>
      <c r="O49" s="660"/>
    </row>
    <row r="50" spans="1:15" ht="31.5" customHeight="1" x14ac:dyDescent="0.2">
      <c r="A50" s="5459" t="s">
        <v>1093</v>
      </c>
      <c r="B50" s="5459"/>
      <c r="C50" s="5459"/>
      <c r="D50" s="5459"/>
      <c r="E50" s="5459"/>
      <c r="F50" s="5459"/>
      <c r="G50" s="5459"/>
      <c r="H50" s="5459"/>
      <c r="I50" s="5459"/>
      <c r="J50" s="5459"/>
      <c r="K50" s="5459"/>
      <c r="L50" s="5459"/>
      <c r="M50" s="660"/>
      <c r="N50" s="660"/>
      <c r="O50" s="660"/>
    </row>
    <row r="51" spans="1:15" ht="30" customHeight="1" x14ac:dyDescent="0.2">
      <c r="A51" s="5434" t="s">
        <v>1092</v>
      </c>
      <c r="B51" s="5435"/>
      <c r="C51" s="5435"/>
      <c r="D51" s="5435"/>
      <c r="E51" s="5435"/>
      <c r="F51" s="5435"/>
      <c r="G51" s="5435"/>
      <c r="H51" s="5435"/>
      <c r="I51" s="5435"/>
      <c r="J51" s="5435"/>
      <c r="K51" s="5435"/>
      <c r="L51" s="5435"/>
      <c r="M51" s="660"/>
      <c r="N51" s="660"/>
      <c r="O51" s="660"/>
    </row>
    <row r="52" spans="1:15" ht="12.75" customHeight="1" x14ac:dyDescent="0.2">
      <c r="A52" s="661"/>
      <c r="B52" s="661"/>
      <c r="C52" s="661"/>
      <c r="D52" s="661"/>
      <c r="E52" s="661"/>
      <c r="F52" s="661"/>
      <c r="G52" s="661"/>
      <c r="H52" s="661"/>
      <c r="I52" s="661"/>
      <c r="J52" s="661"/>
      <c r="K52" s="661"/>
      <c r="L52" s="661"/>
      <c r="M52" s="660"/>
      <c r="N52" s="660"/>
      <c r="O52" s="660"/>
    </row>
    <row r="53" spans="1:15" ht="12" customHeight="1" x14ac:dyDescent="0.2">
      <c r="A53" s="5710" t="s">
        <v>1091</v>
      </c>
      <c r="B53" s="5711"/>
      <c r="C53" s="5711"/>
      <c r="D53" s="5711"/>
      <c r="E53" s="5711"/>
      <c r="F53" s="5711"/>
      <c r="G53" s="5711"/>
      <c r="H53" s="5711"/>
      <c r="I53" s="5711"/>
      <c r="J53" s="5711"/>
      <c r="K53" s="5711"/>
      <c r="L53" s="5712"/>
      <c r="M53" s="660"/>
      <c r="N53" s="660"/>
      <c r="O53" s="660"/>
    </row>
    <row r="54" spans="1:15" ht="27" customHeight="1" x14ac:dyDescent="0.2">
      <c r="A54" s="5462" t="s">
        <v>1090</v>
      </c>
      <c r="B54" s="5463"/>
      <c r="C54" s="5463"/>
      <c r="D54" s="5463"/>
      <c r="E54" s="5463"/>
      <c r="F54" s="5463"/>
      <c r="G54" s="5463"/>
      <c r="H54" s="5463"/>
      <c r="I54" s="5463"/>
      <c r="J54" s="5463"/>
      <c r="K54" s="5463"/>
      <c r="L54" s="5464"/>
      <c r="M54" s="660"/>
      <c r="N54" s="660"/>
      <c r="O54" s="660"/>
    </row>
    <row r="55" spans="1:15" ht="15.75" customHeight="1" x14ac:dyDescent="0.2">
      <c r="A55" s="5462" t="s">
        <v>1089</v>
      </c>
      <c r="B55" s="5463"/>
      <c r="C55" s="5463"/>
      <c r="D55" s="5463"/>
      <c r="E55" s="5463"/>
      <c r="F55" s="5463"/>
      <c r="G55" s="5463"/>
      <c r="H55" s="5463"/>
      <c r="I55" s="5463"/>
      <c r="J55" s="5463"/>
      <c r="K55" s="5463"/>
      <c r="L55" s="5464"/>
      <c r="M55" s="660"/>
      <c r="N55" s="660"/>
      <c r="O55" s="660"/>
    </row>
    <row r="56" spans="1:15" ht="12" customHeight="1" x14ac:dyDescent="0.2">
      <c r="A56" s="5465" t="s">
        <v>1088</v>
      </c>
      <c r="B56" s="5466"/>
      <c r="C56" s="5466"/>
      <c r="D56" s="5466"/>
      <c r="E56" s="5466"/>
      <c r="F56" s="5466"/>
      <c r="G56" s="5466"/>
      <c r="H56" s="5466"/>
      <c r="I56" s="5466"/>
      <c r="J56" s="5466"/>
      <c r="K56" s="5466"/>
      <c r="L56" s="5467"/>
      <c r="M56" s="660"/>
      <c r="N56" s="660"/>
      <c r="O56" s="660"/>
    </row>
    <row r="57" spans="1:15" ht="12" customHeight="1" x14ac:dyDescent="0.2">
      <c r="A57" s="3494" t="s">
        <v>980</v>
      </c>
      <c r="B57" s="5696" t="s">
        <v>986</v>
      </c>
      <c r="C57" s="5697"/>
      <c r="D57" s="5697"/>
      <c r="E57" s="5697"/>
      <c r="F57" s="5697"/>
      <c r="G57" s="5697"/>
      <c r="H57" s="5697"/>
      <c r="I57" s="5697"/>
      <c r="J57" s="5697"/>
      <c r="K57" s="5697"/>
      <c r="L57" s="5697"/>
      <c r="M57" s="660"/>
      <c r="N57" s="660"/>
      <c r="O57" s="660"/>
    </row>
    <row r="58" spans="1:15" ht="12" customHeight="1" x14ac:dyDescent="0.2">
      <c r="A58" s="3494" t="s">
        <v>980</v>
      </c>
      <c r="B58" s="5696" t="s">
        <v>986</v>
      </c>
      <c r="C58" s="5709"/>
      <c r="D58" s="5709"/>
      <c r="E58" s="5709"/>
      <c r="F58" s="5709"/>
      <c r="G58" s="5709"/>
      <c r="H58" s="5709"/>
      <c r="I58" s="5709"/>
      <c r="J58" s="5709"/>
      <c r="K58" s="5709"/>
      <c r="L58" s="5709"/>
    </row>
    <row r="59" spans="1:15" ht="12" customHeight="1" x14ac:dyDescent="0.2">
      <c r="A59" s="3494" t="s">
        <v>980</v>
      </c>
      <c r="B59" s="5696" t="s">
        <v>986</v>
      </c>
      <c r="C59" s="5709"/>
      <c r="D59" s="5709"/>
      <c r="E59" s="5709"/>
      <c r="F59" s="5709"/>
      <c r="G59" s="5709"/>
      <c r="H59" s="5709"/>
      <c r="I59" s="5709"/>
      <c r="J59" s="5709"/>
      <c r="K59" s="5709"/>
      <c r="L59" s="5709"/>
    </row>
    <row r="60" spans="1:15" ht="12" customHeight="1" x14ac:dyDescent="0.2">
      <c r="A60" s="3494" t="s">
        <v>980</v>
      </c>
      <c r="B60" s="5696" t="s">
        <v>5209</v>
      </c>
      <c r="C60" s="5709"/>
      <c r="D60" s="5709"/>
      <c r="E60" s="5709"/>
      <c r="F60" s="5709"/>
      <c r="G60" s="5709"/>
      <c r="H60" s="5709"/>
      <c r="I60" s="5709"/>
      <c r="J60" s="5709"/>
      <c r="K60" s="5709"/>
      <c r="L60" s="5709"/>
    </row>
    <row r="61" spans="1:15" ht="12" customHeight="1" x14ac:dyDescent="0.2">
      <c r="A61" s="3494" t="s">
        <v>980</v>
      </c>
      <c r="B61" s="5696" t="s">
        <v>986</v>
      </c>
      <c r="C61" s="5709"/>
      <c r="D61" s="5709"/>
      <c r="E61" s="5709"/>
      <c r="F61" s="5709"/>
      <c r="G61" s="5709"/>
      <c r="H61" s="5709"/>
      <c r="I61" s="5709"/>
      <c r="J61" s="5709"/>
      <c r="K61" s="5709"/>
      <c r="L61" s="5709"/>
    </row>
    <row r="62" spans="1:15" ht="12" customHeight="1" x14ac:dyDescent="0.2">
      <c r="A62" s="3494" t="s">
        <v>980</v>
      </c>
      <c r="B62" s="5696" t="s">
        <v>986</v>
      </c>
      <c r="C62" s="5709"/>
      <c r="D62" s="5709"/>
      <c r="E62" s="5709"/>
      <c r="F62" s="5709"/>
      <c r="G62" s="5709"/>
      <c r="H62" s="5709"/>
      <c r="I62" s="5709"/>
      <c r="J62" s="5709"/>
      <c r="K62" s="5709"/>
      <c r="L62" s="5709"/>
    </row>
    <row r="63" spans="1:15" ht="12" customHeight="1" x14ac:dyDescent="0.2">
      <c r="A63" s="3494" t="s">
        <v>980</v>
      </c>
      <c r="B63" s="5696" t="s">
        <v>986</v>
      </c>
      <c r="C63" s="5709"/>
      <c r="D63" s="5709"/>
      <c r="E63" s="5709"/>
      <c r="F63" s="5709"/>
      <c r="G63" s="5709"/>
      <c r="H63" s="5709"/>
      <c r="I63" s="5709"/>
      <c r="J63" s="5709"/>
      <c r="K63" s="5709"/>
      <c r="L63" s="5709"/>
    </row>
    <row r="64" spans="1:15" ht="12" customHeight="1" x14ac:dyDescent="0.2">
      <c r="A64" s="3494" t="s">
        <v>980</v>
      </c>
      <c r="B64" s="5696" t="s">
        <v>986</v>
      </c>
      <c r="C64" s="5709"/>
      <c r="D64" s="5709"/>
      <c r="E64" s="5709"/>
      <c r="F64" s="5709"/>
      <c r="G64" s="5709"/>
      <c r="H64" s="5709"/>
      <c r="I64" s="5709"/>
      <c r="J64" s="5709"/>
      <c r="K64" s="5709"/>
      <c r="L64" s="5709"/>
    </row>
    <row r="65" spans="1:12" ht="12" customHeight="1" x14ac:dyDescent="0.2">
      <c r="A65" s="3494" t="s">
        <v>980</v>
      </c>
      <c r="B65" s="5696" t="s">
        <v>986</v>
      </c>
      <c r="C65" s="5709"/>
      <c r="D65" s="5709"/>
      <c r="E65" s="5709"/>
      <c r="F65" s="5709"/>
      <c r="G65" s="5709"/>
      <c r="H65" s="5709"/>
      <c r="I65" s="5709"/>
      <c r="J65" s="5709"/>
      <c r="K65" s="5709"/>
      <c r="L65" s="5709"/>
    </row>
    <row r="66" spans="1:12" ht="12" customHeight="1" x14ac:dyDescent="0.2">
      <c r="A66" s="3494" t="s">
        <v>980</v>
      </c>
      <c r="B66" s="5696" t="s">
        <v>986</v>
      </c>
      <c r="C66" s="5709"/>
      <c r="D66" s="5709"/>
      <c r="E66" s="5709"/>
      <c r="F66" s="5709"/>
      <c r="G66" s="5709"/>
      <c r="H66" s="5709"/>
      <c r="I66" s="5709"/>
      <c r="J66" s="5709"/>
      <c r="K66" s="5709"/>
      <c r="L66" s="5709"/>
    </row>
    <row r="67" spans="1:12" ht="12" customHeight="1" x14ac:dyDescent="0.2">
      <c r="A67" s="3494" t="s">
        <v>980</v>
      </c>
      <c r="B67" s="5696" t="s">
        <v>986</v>
      </c>
      <c r="C67" s="5709"/>
      <c r="D67" s="5709"/>
      <c r="E67" s="5709"/>
      <c r="F67" s="5709"/>
      <c r="G67" s="5709"/>
      <c r="H67" s="5709"/>
      <c r="I67" s="5709"/>
      <c r="J67" s="5709"/>
      <c r="K67" s="5709"/>
      <c r="L67" s="5709"/>
    </row>
    <row r="68" spans="1:12" ht="12" customHeight="1" x14ac:dyDescent="0.2">
      <c r="A68" s="3494" t="s">
        <v>980</v>
      </c>
      <c r="B68" s="5696" t="s">
        <v>986</v>
      </c>
      <c r="C68" s="5709"/>
      <c r="D68" s="5709"/>
      <c r="E68" s="5709"/>
      <c r="F68" s="5709"/>
      <c r="G68" s="5709"/>
      <c r="H68" s="5709"/>
      <c r="I68" s="5709"/>
      <c r="J68" s="5709"/>
      <c r="K68" s="5709"/>
      <c r="L68" s="5709"/>
    </row>
    <row r="69" spans="1:12" ht="12" customHeight="1" x14ac:dyDescent="0.2">
      <c r="A69" s="3494" t="s">
        <v>980</v>
      </c>
      <c r="B69" s="5696" t="s">
        <v>986</v>
      </c>
      <c r="C69" s="5709"/>
      <c r="D69" s="5709"/>
      <c r="E69" s="5709"/>
      <c r="F69" s="5709"/>
      <c r="G69" s="5709"/>
      <c r="H69" s="5709"/>
      <c r="I69" s="5709"/>
      <c r="J69" s="5709"/>
      <c r="K69" s="5709"/>
      <c r="L69" s="5709"/>
    </row>
    <row r="70" spans="1:12" ht="12" customHeight="1" x14ac:dyDescent="0.2">
      <c r="A70" s="3494" t="s">
        <v>980</v>
      </c>
      <c r="B70" s="5696" t="s">
        <v>986</v>
      </c>
      <c r="C70" s="5709"/>
      <c r="D70" s="5709"/>
      <c r="E70" s="5709"/>
      <c r="F70" s="5709"/>
      <c r="G70" s="5709"/>
      <c r="H70" s="5709"/>
      <c r="I70" s="5709"/>
      <c r="J70" s="5709"/>
      <c r="K70" s="5709"/>
      <c r="L70" s="5709"/>
    </row>
    <row r="71" spans="1:12" ht="12" customHeight="1" x14ac:dyDescent="0.2">
      <c r="A71" s="3494" t="s">
        <v>980</v>
      </c>
      <c r="B71" s="5696" t="s">
        <v>986</v>
      </c>
      <c r="C71" s="5709"/>
      <c r="D71" s="5709"/>
      <c r="E71" s="5709"/>
      <c r="F71" s="5709"/>
      <c r="G71" s="5709"/>
      <c r="H71" s="5709"/>
      <c r="I71" s="5709"/>
      <c r="J71" s="5709"/>
      <c r="K71" s="5709"/>
      <c r="L71" s="5709"/>
    </row>
    <row r="72" spans="1:12" ht="12" customHeight="1" x14ac:dyDescent="0.2">
      <c r="A72" s="3494" t="s">
        <v>980</v>
      </c>
      <c r="B72" s="5696" t="s">
        <v>986</v>
      </c>
      <c r="C72" s="5709"/>
      <c r="D72" s="5709"/>
      <c r="E72" s="5709"/>
      <c r="F72" s="5709"/>
      <c r="G72" s="5709"/>
      <c r="H72" s="5709"/>
      <c r="I72" s="5709"/>
      <c r="J72" s="5709"/>
      <c r="K72" s="5709"/>
      <c r="L72" s="5709"/>
    </row>
    <row r="73" spans="1:12" ht="12" customHeight="1" x14ac:dyDescent="0.2">
      <c r="A73" s="3494" t="s">
        <v>980</v>
      </c>
      <c r="B73" s="5696" t="s">
        <v>986</v>
      </c>
      <c r="C73" s="5709"/>
      <c r="D73" s="5709"/>
      <c r="E73" s="5709"/>
      <c r="F73" s="5709"/>
      <c r="G73" s="5709"/>
      <c r="H73" s="5709"/>
      <c r="I73" s="5709"/>
      <c r="J73" s="5709"/>
      <c r="K73" s="5709"/>
      <c r="L73" s="5709"/>
    </row>
    <row r="74" spans="1:12" ht="12" customHeight="1" x14ac:dyDescent="0.2">
      <c r="A74" s="3494" t="s">
        <v>980</v>
      </c>
      <c r="B74" s="5696" t="s">
        <v>986</v>
      </c>
      <c r="C74" s="5709"/>
      <c r="D74" s="5709"/>
      <c r="E74" s="5709"/>
      <c r="F74" s="5709"/>
      <c r="G74" s="5709"/>
      <c r="H74" s="5709"/>
      <c r="I74" s="5709"/>
      <c r="J74" s="5709"/>
      <c r="K74" s="5709"/>
      <c r="L74" s="5709"/>
    </row>
    <row r="75" spans="1:12" ht="12" customHeight="1" x14ac:dyDescent="0.2">
      <c r="A75" s="3494" t="s">
        <v>980</v>
      </c>
      <c r="B75" s="5696" t="s">
        <v>986</v>
      </c>
      <c r="C75" s="5709"/>
      <c r="D75" s="5709"/>
      <c r="E75" s="5709"/>
      <c r="F75" s="5709"/>
      <c r="G75" s="5709"/>
      <c r="H75" s="5709"/>
      <c r="I75" s="5709"/>
      <c r="J75" s="5709"/>
      <c r="K75" s="5709"/>
      <c r="L75" s="5709"/>
    </row>
    <row r="76" spans="1:12" ht="12" customHeight="1" x14ac:dyDescent="0.2">
      <c r="A76" s="3494" t="s">
        <v>980</v>
      </c>
      <c r="B76" s="5696" t="s">
        <v>986</v>
      </c>
      <c r="C76" s="5709"/>
      <c r="D76" s="5709"/>
      <c r="E76" s="5709"/>
      <c r="F76" s="5709"/>
      <c r="G76" s="5709"/>
      <c r="H76" s="5709"/>
      <c r="I76" s="5709"/>
      <c r="J76" s="5709"/>
      <c r="K76" s="5709"/>
      <c r="L76" s="5709"/>
    </row>
    <row r="77" spans="1:12" ht="12" customHeight="1" x14ac:dyDescent="0.2">
      <c r="A77" s="3494" t="s">
        <v>980</v>
      </c>
      <c r="B77" s="5696" t="s">
        <v>986</v>
      </c>
      <c r="C77" s="5709"/>
      <c r="D77" s="5709"/>
      <c r="E77" s="5709"/>
      <c r="F77" s="5709"/>
      <c r="G77" s="5709"/>
      <c r="H77" s="5709"/>
      <c r="I77" s="5709"/>
      <c r="J77" s="5709"/>
      <c r="K77" s="5709"/>
      <c r="L77" s="5709"/>
    </row>
    <row r="78" spans="1:12" ht="12" customHeight="1" x14ac:dyDescent="0.2">
      <c r="A78" s="3494" t="s">
        <v>980</v>
      </c>
      <c r="B78" s="5696" t="s">
        <v>986</v>
      </c>
      <c r="C78" s="5709"/>
      <c r="D78" s="5709"/>
      <c r="E78" s="5709"/>
      <c r="F78" s="5709"/>
      <c r="G78" s="5709"/>
      <c r="H78" s="5709"/>
      <c r="I78" s="5709"/>
      <c r="J78" s="5709"/>
      <c r="K78" s="5709"/>
      <c r="L78" s="5709"/>
    </row>
    <row r="79" spans="1:12" ht="12" customHeight="1" x14ac:dyDescent="0.2">
      <c r="A79" s="3494" t="s">
        <v>980</v>
      </c>
      <c r="B79" s="5696" t="s">
        <v>986</v>
      </c>
      <c r="C79" s="5709"/>
      <c r="D79" s="5709"/>
      <c r="E79" s="5709"/>
      <c r="F79" s="5709"/>
      <c r="G79" s="5709"/>
      <c r="H79" s="5709"/>
      <c r="I79" s="5709"/>
      <c r="J79" s="5709"/>
      <c r="K79" s="5709"/>
      <c r="L79" s="5709"/>
    </row>
    <row r="80" spans="1:12" ht="12" customHeight="1" x14ac:dyDescent="0.2">
      <c r="A80" s="3494" t="s">
        <v>980</v>
      </c>
      <c r="B80" s="5696" t="s">
        <v>986</v>
      </c>
      <c r="C80" s="5709"/>
      <c r="D80" s="5709"/>
      <c r="E80" s="5709"/>
      <c r="F80" s="5709"/>
      <c r="G80" s="5709"/>
      <c r="H80" s="5709"/>
      <c r="I80" s="5709"/>
      <c r="J80" s="5709"/>
      <c r="K80" s="5709"/>
      <c r="L80" s="5709"/>
    </row>
    <row r="81" spans="1:12" ht="12" customHeight="1" x14ac:dyDescent="0.2">
      <c r="A81" s="3494" t="s">
        <v>980</v>
      </c>
      <c r="B81" s="5696" t="s">
        <v>986</v>
      </c>
      <c r="C81" s="5709"/>
      <c r="D81" s="5709"/>
      <c r="E81" s="5709"/>
      <c r="F81" s="5709"/>
      <c r="G81" s="5709"/>
      <c r="H81" s="5709"/>
      <c r="I81" s="5709"/>
      <c r="J81" s="5709"/>
      <c r="K81" s="5709"/>
      <c r="L81" s="5709"/>
    </row>
    <row r="82" spans="1:12" ht="12" customHeight="1" x14ac:dyDescent="0.2">
      <c r="A82" s="3494" t="s">
        <v>980</v>
      </c>
      <c r="B82" s="5696" t="s">
        <v>986</v>
      </c>
      <c r="C82" s="5709"/>
      <c r="D82" s="5709"/>
      <c r="E82" s="5709"/>
      <c r="F82" s="5709"/>
      <c r="G82" s="5709"/>
      <c r="H82" s="5709"/>
      <c r="I82" s="5709"/>
      <c r="J82" s="5709"/>
      <c r="K82" s="5709"/>
      <c r="L82" s="5709"/>
    </row>
    <row r="83" spans="1:12" ht="12" customHeight="1" x14ac:dyDescent="0.2">
      <c r="A83" s="3494" t="s">
        <v>980</v>
      </c>
      <c r="B83" s="5696" t="s">
        <v>986</v>
      </c>
      <c r="C83" s="5709"/>
      <c r="D83" s="5709"/>
      <c r="E83" s="5709"/>
      <c r="F83" s="5709"/>
      <c r="G83" s="5709"/>
      <c r="H83" s="5709"/>
      <c r="I83" s="5709"/>
      <c r="J83" s="5709"/>
      <c r="K83" s="5709"/>
      <c r="L83" s="5709"/>
    </row>
    <row r="84" spans="1:12" ht="12" customHeight="1" x14ac:dyDescent="0.2">
      <c r="A84" s="3494" t="s">
        <v>980</v>
      </c>
      <c r="B84" s="5696" t="s">
        <v>986</v>
      </c>
      <c r="C84" s="5713"/>
      <c r="D84" s="5713"/>
      <c r="E84" s="5713"/>
      <c r="F84" s="5713"/>
      <c r="G84" s="5713"/>
      <c r="H84" s="5713"/>
      <c r="I84" s="5713"/>
      <c r="J84" s="5713"/>
      <c r="K84" s="5713"/>
      <c r="L84" s="5713"/>
    </row>
    <row r="85" spans="1:12" ht="12" customHeight="1" x14ac:dyDescent="0.2">
      <c r="A85" s="663"/>
    </row>
  </sheetData>
  <sheetProtection password="A754" sheet="1" objects="1" scenarios="1"/>
  <mergeCells count="53">
    <mergeCell ref="B70:L70"/>
    <mergeCell ref="B71:L71"/>
    <mergeCell ref="B57:L57"/>
    <mergeCell ref="B58:L58"/>
    <mergeCell ref="B59:L59"/>
    <mergeCell ref="B60:L60"/>
    <mergeCell ref="B61:L61"/>
    <mergeCell ref="B64:L64"/>
    <mergeCell ref="B69:L69"/>
    <mergeCell ref="B65:L65"/>
    <mergeCell ref="B66:L66"/>
    <mergeCell ref="B67:L67"/>
    <mergeCell ref="B68:L68"/>
    <mergeCell ref="B83:L83"/>
    <mergeCell ref="B84:L84"/>
    <mergeCell ref="B77:L77"/>
    <mergeCell ref="B78:L78"/>
    <mergeCell ref="B79:L79"/>
    <mergeCell ref="B80:L80"/>
    <mergeCell ref="B81:L81"/>
    <mergeCell ref="B75:L75"/>
    <mergeCell ref="B76:L76"/>
    <mergeCell ref="B82:L82"/>
    <mergeCell ref="B72:L72"/>
    <mergeCell ref="B73:L73"/>
    <mergeCell ref="B74:L74"/>
    <mergeCell ref="A1:F1"/>
    <mergeCell ref="B5:C5"/>
    <mergeCell ref="D5:F5"/>
    <mergeCell ref="G5:L5"/>
    <mergeCell ref="B6:C7"/>
    <mergeCell ref="K6:L6"/>
    <mergeCell ref="D6:D7"/>
    <mergeCell ref="E6:E7"/>
    <mergeCell ref="F6:F7"/>
    <mergeCell ref="G6:H6"/>
    <mergeCell ref="I6:J6"/>
    <mergeCell ref="D8:F8"/>
    <mergeCell ref="G8:L8"/>
    <mergeCell ref="B62:L62"/>
    <mergeCell ref="B63:L63"/>
    <mergeCell ref="A54:L54"/>
    <mergeCell ref="A50:L50"/>
    <mergeCell ref="A46:E46"/>
    <mergeCell ref="A44:L44"/>
    <mergeCell ref="A45:G45"/>
    <mergeCell ref="A55:L55"/>
    <mergeCell ref="A56:L56"/>
    <mergeCell ref="A47:B47"/>
    <mergeCell ref="A48:L48"/>
    <mergeCell ref="A49:L49"/>
    <mergeCell ref="A51:L51"/>
    <mergeCell ref="A53:L53"/>
  </mergeCells>
  <printOptions horizontalCentered="1" verticalCentered="1"/>
  <pageMargins left="0.39370078740157483" right="0.39370078740157483" top="0.39370078740157483" bottom="0.39370078740157483" header="0.19685039370078741" footer="0.19685039370078741"/>
  <pageSetup paperSize="9" scale="61"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928DC-EC00-4252-9BBA-FC1A465665CB}">
  <sheetPr codeName="Ark62">
    <tabColor theme="0" tint="-0.34998626667073579"/>
    <pageSetUpPr fitToPage="1"/>
  </sheetPr>
  <dimension ref="A1:AJ93"/>
  <sheetViews>
    <sheetView showGridLines="0" workbookViewId="0">
      <selection sqref="A1:Q1"/>
    </sheetView>
  </sheetViews>
  <sheetFormatPr defaultColWidth="8" defaultRowHeight="15.75" customHeight="1" x14ac:dyDescent="0.2"/>
  <cols>
    <col min="1" max="1" width="40.85546875" style="659" customWidth="1"/>
    <col min="2" max="20" width="8.42578125" style="659" customWidth="1"/>
    <col min="21" max="22" width="9.7109375" style="659" customWidth="1"/>
    <col min="23" max="31" width="8.42578125" style="659" customWidth="1"/>
    <col min="32" max="33" width="9.7109375" style="659" customWidth="1"/>
    <col min="34" max="34" width="10.5703125" style="659" customWidth="1"/>
    <col min="35" max="36" width="8.42578125" style="659" customWidth="1"/>
    <col min="37" max="16384" width="8" style="659"/>
  </cols>
  <sheetData>
    <row r="1" spans="1:36" ht="17.25" customHeight="1" x14ac:dyDescent="0.2">
      <c r="A1" s="5483" t="s">
        <v>1198</v>
      </c>
      <c r="B1" s="5483"/>
      <c r="C1" s="5483"/>
      <c r="D1" s="5483"/>
      <c r="E1" s="5483"/>
      <c r="F1" s="5483"/>
      <c r="G1" s="5483"/>
      <c r="H1" s="5483"/>
      <c r="I1" s="5483"/>
      <c r="J1" s="5483"/>
      <c r="K1" s="5483"/>
      <c r="L1" s="5483"/>
      <c r="M1" s="5483"/>
      <c r="N1" s="5483"/>
      <c r="O1" s="5483"/>
      <c r="P1" s="5483"/>
      <c r="Q1" s="5483"/>
      <c r="R1" s="661"/>
      <c r="S1" s="661"/>
      <c r="T1" s="661"/>
      <c r="U1" s="661"/>
      <c r="V1" s="661"/>
      <c r="W1" s="661"/>
      <c r="X1" s="661"/>
      <c r="Y1" s="661"/>
      <c r="Z1" s="661"/>
      <c r="AA1" s="661"/>
      <c r="AB1" s="661"/>
      <c r="AC1" s="661"/>
      <c r="AD1" s="661"/>
      <c r="AE1" s="661"/>
      <c r="AF1" s="695"/>
      <c r="AG1" s="661"/>
      <c r="AH1" s="661"/>
      <c r="AI1" s="668" t="s">
        <v>1762</v>
      </c>
      <c r="AJ1" s="668"/>
    </row>
    <row r="2" spans="1:36" ht="15.75" customHeight="1" x14ac:dyDescent="0.2">
      <c r="A2" s="687" t="s">
        <v>1197</v>
      </c>
      <c r="B2" s="697"/>
      <c r="C2" s="697"/>
      <c r="D2" s="697"/>
      <c r="E2" s="697"/>
      <c r="F2" s="697"/>
      <c r="G2" s="697"/>
      <c r="H2" s="697"/>
      <c r="I2" s="697"/>
      <c r="J2" s="697"/>
      <c r="K2" s="697"/>
      <c r="L2" s="697"/>
      <c r="M2" s="697"/>
      <c r="N2" s="697"/>
      <c r="O2" s="697"/>
      <c r="P2" s="697"/>
      <c r="Q2" s="697"/>
      <c r="R2" s="661"/>
      <c r="S2" s="661"/>
      <c r="T2" s="661"/>
      <c r="U2" s="661"/>
      <c r="V2" s="661"/>
      <c r="W2" s="661"/>
      <c r="X2" s="661"/>
      <c r="Y2" s="661"/>
      <c r="Z2" s="661"/>
      <c r="AA2" s="661"/>
      <c r="AB2" s="661"/>
      <c r="AC2" s="661"/>
      <c r="AD2" s="661"/>
      <c r="AE2" s="661"/>
      <c r="AF2" s="695"/>
      <c r="AG2" s="668"/>
      <c r="AH2" s="668"/>
      <c r="AI2" s="668" t="s">
        <v>1761</v>
      </c>
      <c r="AJ2" s="668"/>
    </row>
    <row r="3" spans="1:36" ht="15.75" customHeight="1" x14ac:dyDescent="0.2">
      <c r="A3" s="696"/>
      <c r="B3" s="661"/>
      <c r="C3" s="661"/>
      <c r="D3" s="661"/>
      <c r="E3" s="661"/>
      <c r="F3" s="661"/>
      <c r="G3" s="661"/>
      <c r="H3" s="661"/>
      <c r="I3" s="661"/>
      <c r="J3" s="661"/>
      <c r="K3" s="661"/>
      <c r="L3" s="661"/>
      <c r="M3" s="661"/>
      <c r="N3" s="661"/>
      <c r="O3" s="661"/>
      <c r="P3" s="661"/>
      <c r="Q3" s="661"/>
      <c r="R3" s="661"/>
      <c r="S3" s="661"/>
      <c r="T3" s="661"/>
      <c r="U3" s="661"/>
      <c r="V3" s="661"/>
      <c r="W3" s="661"/>
      <c r="X3" s="661"/>
      <c r="Y3" s="661"/>
      <c r="Z3" s="661"/>
      <c r="AA3" s="661"/>
      <c r="AB3" s="661"/>
      <c r="AC3" s="661"/>
      <c r="AD3" s="661"/>
      <c r="AE3" s="661"/>
      <c r="AF3" s="695"/>
      <c r="AG3" s="668"/>
      <c r="AH3" s="668"/>
      <c r="AI3" s="668" t="s">
        <v>1789</v>
      </c>
      <c r="AJ3" s="668"/>
    </row>
    <row r="4" spans="1:36" ht="16.5" customHeight="1" x14ac:dyDescent="0.2">
      <c r="A4" s="677"/>
      <c r="B4" s="661"/>
      <c r="C4" s="661"/>
      <c r="D4" s="661"/>
      <c r="E4" s="661"/>
      <c r="F4" s="661"/>
      <c r="G4" s="661"/>
      <c r="H4" s="661"/>
      <c r="I4" s="661"/>
      <c r="J4" s="661"/>
      <c r="K4" s="661"/>
      <c r="L4" s="661"/>
      <c r="M4" s="661"/>
      <c r="N4" s="661"/>
      <c r="O4" s="661"/>
      <c r="P4" s="661"/>
      <c r="Q4" s="661"/>
      <c r="R4" s="661"/>
      <c r="S4" s="661"/>
      <c r="T4" s="661"/>
      <c r="U4" s="661"/>
      <c r="V4" s="661"/>
      <c r="W4" s="661"/>
      <c r="X4" s="661"/>
      <c r="Y4" s="661"/>
      <c r="Z4" s="661"/>
      <c r="AA4" s="661"/>
      <c r="AB4" s="661"/>
      <c r="AC4" s="661"/>
      <c r="AD4" s="661"/>
      <c r="AE4" s="661"/>
      <c r="AF4" s="661"/>
      <c r="AG4" s="661"/>
      <c r="AH4" s="661"/>
      <c r="AI4" s="661"/>
      <c r="AJ4" s="661"/>
    </row>
    <row r="5" spans="1:36" ht="78" customHeight="1" x14ac:dyDescent="0.2">
      <c r="A5" s="5716" t="s">
        <v>1025</v>
      </c>
      <c r="B5" s="3542" t="s">
        <v>1196</v>
      </c>
      <c r="C5" s="3539" t="s">
        <v>1195</v>
      </c>
      <c r="D5" s="3539" t="s">
        <v>1194</v>
      </c>
      <c r="E5" s="3539" t="s">
        <v>1193</v>
      </c>
      <c r="F5" s="3539" t="s">
        <v>1192</v>
      </c>
      <c r="G5" s="3539" t="s">
        <v>1191</v>
      </c>
      <c r="H5" s="3539" t="s">
        <v>1190</v>
      </c>
      <c r="I5" s="3539" t="s">
        <v>1189</v>
      </c>
      <c r="J5" s="3539" t="s">
        <v>1188</v>
      </c>
      <c r="K5" s="3539" t="s">
        <v>1187</v>
      </c>
      <c r="L5" s="3539" t="s">
        <v>1186</v>
      </c>
      <c r="M5" s="3539" t="s">
        <v>1185</v>
      </c>
      <c r="N5" s="3539" t="s">
        <v>1184</v>
      </c>
      <c r="O5" s="3539" t="s">
        <v>1183</v>
      </c>
      <c r="P5" s="3539" t="s">
        <v>1182</v>
      </c>
      <c r="Q5" s="3539" t="s">
        <v>1181</v>
      </c>
      <c r="R5" s="3539" t="s">
        <v>1180</v>
      </c>
      <c r="S5" s="3537" t="s">
        <v>1179</v>
      </c>
      <c r="T5" s="3537" t="s">
        <v>1178</v>
      </c>
      <c r="U5" s="3538" t="s">
        <v>1177</v>
      </c>
      <c r="V5" s="3539" t="s">
        <v>1176</v>
      </c>
      <c r="W5" s="3541" t="s">
        <v>1175</v>
      </c>
      <c r="X5" s="3541" t="s">
        <v>1174</v>
      </c>
      <c r="Y5" s="3541" t="s">
        <v>1173</v>
      </c>
      <c r="Z5" s="3541" t="s">
        <v>1172</v>
      </c>
      <c r="AA5" s="3541" t="s">
        <v>1171</v>
      </c>
      <c r="AB5" s="3541" t="s">
        <v>1170</v>
      </c>
      <c r="AC5" s="3541" t="s">
        <v>1169</v>
      </c>
      <c r="AD5" s="3540" t="s">
        <v>1168</v>
      </c>
      <c r="AE5" s="3540" t="s">
        <v>1167</v>
      </c>
      <c r="AF5" s="3538" t="s">
        <v>1166</v>
      </c>
      <c r="AG5" s="3539" t="s">
        <v>1165</v>
      </c>
      <c r="AH5" s="3538" t="s">
        <v>1019</v>
      </c>
      <c r="AI5" s="3537" t="s">
        <v>1018</v>
      </c>
      <c r="AJ5" s="3536" t="s">
        <v>1164</v>
      </c>
    </row>
    <row r="6" spans="1:36" ht="40.5" customHeight="1" thickBot="1" x14ac:dyDescent="0.25">
      <c r="A6" s="5485"/>
      <c r="B6" s="5431" t="s">
        <v>1163</v>
      </c>
      <c r="C6" s="5432"/>
      <c r="D6" s="5432"/>
      <c r="E6" s="5432"/>
      <c r="F6" s="5432"/>
      <c r="G6" s="5432"/>
      <c r="H6" s="5432"/>
      <c r="I6" s="5432"/>
      <c r="J6" s="5432"/>
      <c r="K6" s="5432"/>
      <c r="L6" s="5432"/>
      <c r="M6" s="5432"/>
      <c r="N6" s="5432"/>
      <c r="O6" s="5432"/>
      <c r="P6" s="5432"/>
      <c r="Q6" s="5432"/>
      <c r="R6" s="5433"/>
      <c r="S6" s="3297"/>
      <c r="T6" s="3297"/>
      <c r="U6" s="5481" t="s">
        <v>1151</v>
      </c>
      <c r="V6" s="5482"/>
      <c r="W6" s="5431" t="s">
        <v>1163</v>
      </c>
      <c r="X6" s="5432"/>
      <c r="Y6" s="5432"/>
      <c r="Z6" s="5432"/>
      <c r="AA6" s="5432"/>
      <c r="AB6" s="5432"/>
      <c r="AC6" s="5433"/>
      <c r="AD6" s="3297"/>
      <c r="AE6" s="3297"/>
      <c r="AF6" s="5481" t="s">
        <v>1151</v>
      </c>
      <c r="AG6" s="5482"/>
      <c r="AH6" s="694" t="s">
        <v>1012</v>
      </c>
      <c r="AI6" s="3296" t="s">
        <v>1163</v>
      </c>
      <c r="AJ6" s="693" t="s">
        <v>1163</v>
      </c>
    </row>
    <row r="7" spans="1:36" ht="26.25" thickTop="1" x14ac:dyDescent="0.2">
      <c r="A7" s="690" t="s">
        <v>1162</v>
      </c>
      <c r="B7" s="3495" t="s">
        <v>1006</v>
      </c>
      <c r="C7" s="3495">
        <v>17.430542177900001</v>
      </c>
      <c r="D7" s="3495" t="s">
        <v>1006</v>
      </c>
      <c r="E7" s="3495" t="s">
        <v>1006</v>
      </c>
      <c r="F7" s="3495">
        <v>31.830245146380001</v>
      </c>
      <c r="G7" s="3495" t="s">
        <v>1006</v>
      </c>
      <c r="H7" s="3495">
        <v>94.776503642324599</v>
      </c>
      <c r="I7" s="3495" t="s">
        <v>1006</v>
      </c>
      <c r="J7" s="3495">
        <v>16.236799742950002</v>
      </c>
      <c r="K7" s="3495" t="s">
        <v>1006</v>
      </c>
      <c r="L7" s="3495">
        <v>5.1329700000000003</v>
      </c>
      <c r="M7" s="3495" t="s">
        <v>1006</v>
      </c>
      <c r="N7" s="3495">
        <v>0.82210000000000005</v>
      </c>
      <c r="O7" s="3495" t="s">
        <v>1006</v>
      </c>
      <c r="P7" s="3495" t="s">
        <v>1006</v>
      </c>
      <c r="Q7" s="3495" t="s">
        <v>1006</v>
      </c>
      <c r="R7" s="3495" t="s">
        <v>1006</v>
      </c>
      <c r="S7" s="3495" t="s">
        <v>1006</v>
      </c>
      <c r="T7" s="3495" t="s">
        <v>1006</v>
      </c>
      <c r="U7" s="3495" t="s">
        <v>1006</v>
      </c>
      <c r="V7" s="3497" t="s">
        <v>986</v>
      </c>
      <c r="W7" s="3495">
        <v>9.4276250000000005E-4</v>
      </c>
      <c r="X7" s="3495" t="s">
        <v>1006</v>
      </c>
      <c r="Y7" s="3495" t="s">
        <v>1006</v>
      </c>
      <c r="Z7" s="3495" t="s">
        <v>1006</v>
      </c>
      <c r="AA7" s="3495" t="s">
        <v>1006</v>
      </c>
      <c r="AB7" s="3495" t="s">
        <v>1006</v>
      </c>
      <c r="AC7" s="3495" t="s">
        <v>1006</v>
      </c>
      <c r="AD7" s="3495" t="s">
        <v>1006</v>
      </c>
      <c r="AE7" s="3495" t="s">
        <v>1006</v>
      </c>
      <c r="AF7" s="3495" t="s">
        <v>1006</v>
      </c>
      <c r="AG7" s="3497" t="s">
        <v>986</v>
      </c>
      <c r="AH7" s="3495" t="s">
        <v>1006</v>
      </c>
      <c r="AI7" s="3495">
        <v>1.99728937193</v>
      </c>
      <c r="AJ7" s="3495" t="s">
        <v>1006</v>
      </c>
    </row>
    <row r="8" spans="1:36" ht="12" x14ac:dyDescent="0.2">
      <c r="A8" s="690" t="s">
        <v>1161</v>
      </c>
      <c r="B8" s="3495" t="s">
        <v>1006</v>
      </c>
      <c r="C8" s="3495" t="s">
        <v>1006</v>
      </c>
      <c r="D8" s="3495" t="s">
        <v>1006</v>
      </c>
      <c r="E8" s="3495" t="s">
        <v>1006</v>
      </c>
      <c r="F8" s="3495" t="s">
        <v>1006</v>
      </c>
      <c r="G8" s="3495" t="s">
        <v>1006</v>
      </c>
      <c r="H8" s="3495" t="s">
        <v>1006</v>
      </c>
      <c r="I8" s="3495" t="s">
        <v>1006</v>
      </c>
      <c r="J8" s="3495" t="s">
        <v>1006</v>
      </c>
      <c r="K8" s="3495" t="s">
        <v>1006</v>
      </c>
      <c r="L8" s="3495" t="s">
        <v>1006</v>
      </c>
      <c r="M8" s="3495" t="s">
        <v>1006</v>
      </c>
      <c r="N8" s="3495" t="s">
        <v>1006</v>
      </c>
      <c r="O8" s="3495" t="s">
        <v>1006</v>
      </c>
      <c r="P8" s="3495" t="s">
        <v>1006</v>
      </c>
      <c r="Q8" s="3495" t="s">
        <v>1006</v>
      </c>
      <c r="R8" s="3495" t="s">
        <v>1006</v>
      </c>
      <c r="S8" s="3495" t="s">
        <v>1006</v>
      </c>
      <c r="T8" s="3495" t="s">
        <v>1006</v>
      </c>
      <c r="U8" s="3495" t="s">
        <v>1006</v>
      </c>
      <c r="V8" s="3497" t="s">
        <v>986</v>
      </c>
      <c r="W8" s="3495" t="s">
        <v>1006</v>
      </c>
      <c r="X8" s="3495" t="s">
        <v>1006</v>
      </c>
      <c r="Y8" s="3495" t="s">
        <v>1006</v>
      </c>
      <c r="Z8" s="3495" t="s">
        <v>1006</v>
      </c>
      <c r="AA8" s="3495" t="s">
        <v>1006</v>
      </c>
      <c r="AB8" s="3495" t="s">
        <v>1006</v>
      </c>
      <c r="AC8" s="3495" t="s">
        <v>1006</v>
      </c>
      <c r="AD8" s="3495" t="s">
        <v>1006</v>
      </c>
      <c r="AE8" s="3495" t="s">
        <v>1006</v>
      </c>
      <c r="AF8" s="3495" t="s">
        <v>1006</v>
      </c>
      <c r="AG8" s="3497" t="s">
        <v>986</v>
      </c>
      <c r="AH8" s="3495" t="s">
        <v>1006</v>
      </c>
      <c r="AI8" s="3495" t="s">
        <v>1006</v>
      </c>
      <c r="AJ8" s="3495" t="s">
        <v>1006</v>
      </c>
    </row>
    <row r="9" spans="1:36" ht="12" x14ac:dyDescent="0.2">
      <c r="A9" s="3496" t="s">
        <v>1160</v>
      </c>
      <c r="B9" s="3495" t="s">
        <v>259</v>
      </c>
      <c r="C9" s="3495" t="s">
        <v>259</v>
      </c>
      <c r="D9" s="3495" t="s">
        <v>259</v>
      </c>
      <c r="E9" s="3495" t="s">
        <v>259</v>
      </c>
      <c r="F9" s="3495" t="s">
        <v>259</v>
      </c>
      <c r="G9" s="3495" t="s">
        <v>259</v>
      </c>
      <c r="H9" s="3495" t="s">
        <v>259</v>
      </c>
      <c r="I9" s="3495" t="s">
        <v>259</v>
      </c>
      <c r="J9" s="3495" t="s">
        <v>259</v>
      </c>
      <c r="K9" s="3495" t="s">
        <v>259</v>
      </c>
      <c r="L9" s="3495" t="s">
        <v>259</v>
      </c>
      <c r="M9" s="3495" t="s">
        <v>259</v>
      </c>
      <c r="N9" s="3495" t="s">
        <v>259</v>
      </c>
      <c r="O9" s="3495" t="s">
        <v>259</v>
      </c>
      <c r="P9" s="3495" t="s">
        <v>259</v>
      </c>
      <c r="Q9" s="3495" t="s">
        <v>259</v>
      </c>
      <c r="R9" s="3495" t="s">
        <v>259</v>
      </c>
      <c r="S9" s="3495" t="s">
        <v>259</v>
      </c>
      <c r="T9" s="3495" t="s">
        <v>259</v>
      </c>
      <c r="U9" s="3495" t="s">
        <v>259</v>
      </c>
      <c r="V9" s="3497" t="s">
        <v>986</v>
      </c>
      <c r="W9" s="3495" t="s">
        <v>259</v>
      </c>
      <c r="X9" s="3495" t="s">
        <v>259</v>
      </c>
      <c r="Y9" s="3495" t="s">
        <v>259</v>
      </c>
      <c r="Z9" s="3495" t="s">
        <v>259</v>
      </c>
      <c r="AA9" s="3495" t="s">
        <v>259</v>
      </c>
      <c r="AB9" s="3495" t="s">
        <v>259</v>
      </c>
      <c r="AC9" s="3495" t="s">
        <v>259</v>
      </c>
      <c r="AD9" s="3495" t="s">
        <v>259</v>
      </c>
      <c r="AE9" s="3495" t="s">
        <v>259</v>
      </c>
      <c r="AF9" s="3495" t="s">
        <v>259</v>
      </c>
      <c r="AG9" s="3497" t="s">
        <v>986</v>
      </c>
      <c r="AH9" s="3495" t="s">
        <v>259</v>
      </c>
      <c r="AI9" s="3495" t="s">
        <v>259</v>
      </c>
      <c r="AJ9" s="3495" t="s">
        <v>259</v>
      </c>
    </row>
    <row r="10" spans="1:36" ht="12" x14ac:dyDescent="0.2">
      <c r="A10" s="3535" t="s">
        <v>1159</v>
      </c>
      <c r="B10" s="3495" t="s">
        <v>259</v>
      </c>
      <c r="C10" s="3495" t="s">
        <v>259</v>
      </c>
      <c r="D10" s="3495" t="s">
        <v>259</v>
      </c>
      <c r="E10" s="3495" t="s">
        <v>259</v>
      </c>
      <c r="F10" s="3495" t="s">
        <v>259</v>
      </c>
      <c r="G10" s="3495" t="s">
        <v>259</v>
      </c>
      <c r="H10" s="3495" t="s">
        <v>259</v>
      </c>
      <c r="I10" s="3495" t="s">
        <v>259</v>
      </c>
      <c r="J10" s="3495" t="s">
        <v>259</v>
      </c>
      <c r="K10" s="3495" t="s">
        <v>259</v>
      </c>
      <c r="L10" s="3495" t="s">
        <v>259</v>
      </c>
      <c r="M10" s="3495" t="s">
        <v>259</v>
      </c>
      <c r="N10" s="3495" t="s">
        <v>259</v>
      </c>
      <c r="O10" s="3495" t="s">
        <v>259</v>
      </c>
      <c r="P10" s="3495" t="s">
        <v>259</v>
      </c>
      <c r="Q10" s="3495" t="s">
        <v>259</v>
      </c>
      <c r="R10" s="3495" t="s">
        <v>259</v>
      </c>
      <c r="S10" s="3495" t="s">
        <v>259</v>
      </c>
      <c r="T10" s="3495" t="s">
        <v>259</v>
      </c>
      <c r="U10" s="3495" t="s">
        <v>259</v>
      </c>
      <c r="V10" s="3497" t="s">
        <v>986</v>
      </c>
      <c r="W10" s="3495" t="s">
        <v>259</v>
      </c>
      <c r="X10" s="3495" t="s">
        <v>259</v>
      </c>
      <c r="Y10" s="3495" t="s">
        <v>259</v>
      </c>
      <c r="Z10" s="3495" t="s">
        <v>259</v>
      </c>
      <c r="AA10" s="3495" t="s">
        <v>259</v>
      </c>
      <c r="AB10" s="3495" t="s">
        <v>259</v>
      </c>
      <c r="AC10" s="3495" t="s">
        <v>259</v>
      </c>
      <c r="AD10" s="3495" t="s">
        <v>259</v>
      </c>
      <c r="AE10" s="3495" t="s">
        <v>259</v>
      </c>
      <c r="AF10" s="3495" t="s">
        <v>259</v>
      </c>
      <c r="AG10" s="3497" t="s">
        <v>986</v>
      </c>
      <c r="AH10" s="3495" t="s">
        <v>259</v>
      </c>
      <c r="AI10" s="3495" t="s">
        <v>259</v>
      </c>
      <c r="AJ10" s="3495" t="s">
        <v>259</v>
      </c>
    </row>
    <row r="11" spans="1:36" ht="12" x14ac:dyDescent="0.2">
      <c r="A11" s="3535" t="s">
        <v>1158</v>
      </c>
      <c r="B11" s="3495" t="s">
        <v>259</v>
      </c>
      <c r="C11" s="3495" t="s">
        <v>259</v>
      </c>
      <c r="D11" s="3495" t="s">
        <v>259</v>
      </c>
      <c r="E11" s="3495" t="s">
        <v>259</v>
      </c>
      <c r="F11" s="3495" t="s">
        <v>259</v>
      </c>
      <c r="G11" s="3495" t="s">
        <v>259</v>
      </c>
      <c r="H11" s="3495" t="s">
        <v>259</v>
      </c>
      <c r="I11" s="3495" t="s">
        <v>259</v>
      </c>
      <c r="J11" s="3495" t="s">
        <v>259</v>
      </c>
      <c r="K11" s="3495" t="s">
        <v>259</v>
      </c>
      <c r="L11" s="3495" t="s">
        <v>259</v>
      </c>
      <c r="M11" s="3495" t="s">
        <v>259</v>
      </c>
      <c r="N11" s="3495" t="s">
        <v>259</v>
      </c>
      <c r="O11" s="3495" t="s">
        <v>259</v>
      </c>
      <c r="P11" s="3495" t="s">
        <v>259</v>
      </c>
      <c r="Q11" s="3495" t="s">
        <v>259</v>
      </c>
      <c r="R11" s="3495" t="s">
        <v>259</v>
      </c>
      <c r="S11" s="3495" t="s">
        <v>259</v>
      </c>
      <c r="T11" s="3495" t="s">
        <v>259</v>
      </c>
      <c r="U11" s="3495" t="s">
        <v>259</v>
      </c>
      <c r="V11" s="3497" t="s">
        <v>986</v>
      </c>
      <c r="W11" s="3495" t="s">
        <v>259</v>
      </c>
      <c r="X11" s="3495" t="s">
        <v>259</v>
      </c>
      <c r="Y11" s="3495" t="s">
        <v>259</v>
      </c>
      <c r="Z11" s="3495" t="s">
        <v>259</v>
      </c>
      <c r="AA11" s="3495" t="s">
        <v>259</v>
      </c>
      <c r="AB11" s="3495" t="s">
        <v>259</v>
      </c>
      <c r="AC11" s="3495" t="s">
        <v>259</v>
      </c>
      <c r="AD11" s="3495" t="s">
        <v>259</v>
      </c>
      <c r="AE11" s="3495" t="s">
        <v>259</v>
      </c>
      <c r="AF11" s="3495" t="s">
        <v>259</v>
      </c>
      <c r="AG11" s="3497" t="s">
        <v>986</v>
      </c>
      <c r="AH11" s="3495" t="s">
        <v>259</v>
      </c>
      <c r="AI11" s="3495" t="s">
        <v>259</v>
      </c>
      <c r="AJ11" s="3495" t="s">
        <v>259</v>
      </c>
    </row>
    <row r="12" spans="1:36" ht="12" x14ac:dyDescent="0.2">
      <c r="A12" s="3496" t="s">
        <v>1157</v>
      </c>
      <c r="B12" s="3495" t="s">
        <v>799</v>
      </c>
      <c r="C12" s="3495" t="s">
        <v>799</v>
      </c>
      <c r="D12" s="3495" t="s">
        <v>799</v>
      </c>
      <c r="E12" s="3495" t="s">
        <v>799</v>
      </c>
      <c r="F12" s="3495" t="s">
        <v>799</v>
      </c>
      <c r="G12" s="3495" t="s">
        <v>799</v>
      </c>
      <c r="H12" s="3495" t="s">
        <v>799</v>
      </c>
      <c r="I12" s="3495" t="s">
        <v>799</v>
      </c>
      <c r="J12" s="3495" t="s">
        <v>799</v>
      </c>
      <c r="K12" s="3495" t="s">
        <v>799</v>
      </c>
      <c r="L12" s="3495" t="s">
        <v>799</v>
      </c>
      <c r="M12" s="3495" t="s">
        <v>799</v>
      </c>
      <c r="N12" s="3495" t="s">
        <v>799</v>
      </c>
      <c r="O12" s="3495" t="s">
        <v>799</v>
      </c>
      <c r="P12" s="3495" t="s">
        <v>799</v>
      </c>
      <c r="Q12" s="3495" t="s">
        <v>799</v>
      </c>
      <c r="R12" s="3495" t="s">
        <v>799</v>
      </c>
      <c r="S12" s="3495" t="s">
        <v>799</v>
      </c>
      <c r="T12" s="3495" t="s">
        <v>799</v>
      </c>
      <c r="U12" s="3495" t="s">
        <v>799</v>
      </c>
      <c r="V12" s="3497" t="s">
        <v>986</v>
      </c>
      <c r="W12" s="3495" t="s">
        <v>799</v>
      </c>
      <c r="X12" s="3495" t="s">
        <v>799</v>
      </c>
      <c r="Y12" s="3495" t="s">
        <v>799</v>
      </c>
      <c r="Z12" s="3495" t="s">
        <v>799</v>
      </c>
      <c r="AA12" s="3495" t="s">
        <v>799</v>
      </c>
      <c r="AB12" s="3495" t="s">
        <v>799</v>
      </c>
      <c r="AC12" s="3495" t="s">
        <v>799</v>
      </c>
      <c r="AD12" s="3495" t="s">
        <v>799</v>
      </c>
      <c r="AE12" s="3495" t="s">
        <v>799</v>
      </c>
      <c r="AF12" s="3495" t="s">
        <v>799</v>
      </c>
      <c r="AG12" s="3497" t="s">
        <v>986</v>
      </c>
      <c r="AH12" s="3495" t="s">
        <v>799</v>
      </c>
      <c r="AI12" s="3495" t="s">
        <v>799</v>
      </c>
      <c r="AJ12" s="3495" t="s">
        <v>799</v>
      </c>
    </row>
    <row r="13" spans="1:36" ht="12" x14ac:dyDescent="0.2">
      <c r="A13" s="690" t="s">
        <v>1156</v>
      </c>
      <c r="B13" s="3495" t="s">
        <v>259</v>
      </c>
      <c r="C13" s="3495" t="s">
        <v>259</v>
      </c>
      <c r="D13" s="3495" t="s">
        <v>259</v>
      </c>
      <c r="E13" s="3495" t="s">
        <v>259</v>
      </c>
      <c r="F13" s="3495" t="s">
        <v>259</v>
      </c>
      <c r="G13" s="3495" t="s">
        <v>259</v>
      </c>
      <c r="H13" s="3495" t="s">
        <v>259</v>
      </c>
      <c r="I13" s="3495" t="s">
        <v>259</v>
      </c>
      <c r="J13" s="3495" t="s">
        <v>259</v>
      </c>
      <c r="K13" s="3495" t="s">
        <v>259</v>
      </c>
      <c r="L13" s="3495" t="s">
        <v>259</v>
      </c>
      <c r="M13" s="3495" t="s">
        <v>259</v>
      </c>
      <c r="N13" s="3495" t="s">
        <v>259</v>
      </c>
      <c r="O13" s="3495" t="s">
        <v>259</v>
      </c>
      <c r="P13" s="3495" t="s">
        <v>259</v>
      </c>
      <c r="Q13" s="3495" t="s">
        <v>259</v>
      </c>
      <c r="R13" s="3495" t="s">
        <v>259</v>
      </c>
      <c r="S13" s="3495" t="s">
        <v>259</v>
      </c>
      <c r="T13" s="3495" t="s">
        <v>259</v>
      </c>
      <c r="U13" s="3495" t="s">
        <v>259</v>
      </c>
      <c r="V13" s="3497" t="s">
        <v>986</v>
      </c>
      <c r="W13" s="3495" t="s">
        <v>259</v>
      </c>
      <c r="X13" s="3495" t="s">
        <v>259</v>
      </c>
      <c r="Y13" s="3495" t="s">
        <v>259</v>
      </c>
      <c r="Z13" s="3495" t="s">
        <v>259</v>
      </c>
      <c r="AA13" s="3495" t="s">
        <v>259</v>
      </c>
      <c r="AB13" s="3495" t="s">
        <v>259</v>
      </c>
      <c r="AC13" s="3495" t="s">
        <v>259</v>
      </c>
      <c r="AD13" s="3495" t="s">
        <v>259</v>
      </c>
      <c r="AE13" s="3495" t="s">
        <v>259</v>
      </c>
      <c r="AF13" s="3495" t="s">
        <v>259</v>
      </c>
      <c r="AG13" s="3497" t="s">
        <v>986</v>
      </c>
      <c r="AH13" s="3495" t="s">
        <v>259</v>
      </c>
      <c r="AI13" s="3495" t="s">
        <v>259</v>
      </c>
      <c r="AJ13" s="3495" t="s">
        <v>259</v>
      </c>
    </row>
    <row r="14" spans="1:36" ht="12" x14ac:dyDescent="0.2">
      <c r="A14" s="3496" t="s">
        <v>1155</v>
      </c>
      <c r="B14" s="3497" t="s">
        <v>986</v>
      </c>
      <c r="C14" s="3497" t="s">
        <v>986</v>
      </c>
      <c r="D14" s="3497" t="s">
        <v>986</v>
      </c>
      <c r="E14" s="3497" t="s">
        <v>986</v>
      </c>
      <c r="F14" s="3497" t="s">
        <v>986</v>
      </c>
      <c r="G14" s="3497" t="s">
        <v>986</v>
      </c>
      <c r="H14" s="3497" t="s">
        <v>986</v>
      </c>
      <c r="I14" s="3497" t="s">
        <v>986</v>
      </c>
      <c r="J14" s="3497" t="s">
        <v>986</v>
      </c>
      <c r="K14" s="3497" t="s">
        <v>986</v>
      </c>
      <c r="L14" s="3497" t="s">
        <v>986</v>
      </c>
      <c r="M14" s="3497" t="s">
        <v>986</v>
      </c>
      <c r="N14" s="3497" t="s">
        <v>986</v>
      </c>
      <c r="O14" s="3497" t="s">
        <v>986</v>
      </c>
      <c r="P14" s="3497" t="s">
        <v>986</v>
      </c>
      <c r="Q14" s="3497" t="s">
        <v>986</v>
      </c>
      <c r="R14" s="3497" t="s">
        <v>986</v>
      </c>
      <c r="S14" s="3497" t="s">
        <v>986</v>
      </c>
      <c r="T14" s="3497" t="s">
        <v>986</v>
      </c>
      <c r="U14" s="3497" t="s">
        <v>986</v>
      </c>
      <c r="V14" s="3497" t="s">
        <v>986</v>
      </c>
      <c r="W14" s="3495" t="s">
        <v>259</v>
      </c>
      <c r="X14" s="3495" t="s">
        <v>259</v>
      </c>
      <c r="Y14" s="3495" t="s">
        <v>259</v>
      </c>
      <c r="Z14" s="3495" t="s">
        <v>259</v>
      </c>
      <c r="AA14" s="3495" t="s">
        <v>259</v>
      </c>
      <c r="AB14" s="3495" t="s">
        <v>259</v>
      </c>
      <c r="AC14" s="3495" t="s">
        <v>259</v>
      </c>
      <c r="AD14" s="3495" t="s">
        <v>259</v>
      </c>
      <c r="AE14" s="3495" t="s">
        <v>259</v>
      </c>
      <c r="AF14" s="3495" t="s">
        <v>259</v>
      </c>
      <c r="AG14" s="3497" t="s">
        <v>986</v>
      </c>
      <c r="AH14" s="3497" t="s">
        <v>986</v>
      </c>
      <c r="AI14" s="3495" t="s">
        <v>259</v>
      </c>
      <c r="AJ14" s="3497" t="s">
        <v>986</v>
      </c>
    </row>
    <row r="15" spans="1:36" ht="12" x14ac:dyDescent="0.2">
      <c r="A15" s="3496" t="s">
        <v>1154</v>
      </c>
      <c r="B15" s="3495" t="s">
        <v>986</v>
      </c>
      <c r="C15" s="3495" t="s">
        <v>986</v>
      </c>
      <c r="D15" s="3495" t="s">
        <v>986</v>
      </c>
      <c r="E15" s="3495" t="s">
        <v>986</v>
      </c>
      <c r="F15" s="3495" t="s">
        <v>986</v>
      </c>
      <c r="G15" s="3495" t="s">
        <v>986</v>
      </c>
      <c r="H15" s="3495" t="s">
        <v>986</v>
      </c>
      <c r="I15" s="3495" t="s">
        <v>986</v>
      </c>
      <c r="J15" s="3495" t="s">
        <v>986</v>
      </c>
      <c r="K15" s="3495" t="s">
        <v>986</v>
      </c>
      <c r="L15" s="3495" t="s">
        <v>986</v>
      </c>
      <c r="M15" s="3495" t="s">
        <v>986</v>
      </c>
      <c r="N15" s="3495" t="s">
        <v>986</v>
      </c>
      <c r="O15" s="3495" t="s">
        <v>986</v>
      </c>
      <c r="P15" s="3495" t="s">
        <v>986</v>
      </c>
      <c r="Q15" s="3495" t="s">
        <v>986</v>
      </c>
      <c r="R15" s="3495" t="s">
        <v>986</v>
      </c>
      <c r="S15" s="3495" t="s">
        <v>986</v>
      </c>
      <c r="T15" s="3495" t="s">
        <v>986</v>
      </c>
      <c r="U15" s="3495" t="s">
        <v>986</v>
      </c>
      <c r="V15" s="3497" t="s">
        <v>986</v>
      </c>
      <c r="W15" s="3495" t="s">
        <v>986</v>
      </c>
      <c r="X15" s="3495" t="s">
        <v>986</v>
      </c>
      <c r="Y15" s="3495" t="s">
        <v>986</v>
      </c>
      <c r="Z15" s="3495" t="s">
        <v>986</v>
      </c>
      <c r="AA15" s="3495" t="s">
        <v>986</v>
      </c>
      <c r="AB15" s="3495" t="s">
        <v>986</v>
      </c>
      <c r="AC15" s="3495" t="s">
        <v>986</v>
      </c>
      <c r="AD15" s="3495" t="s">
        <v>986</v>
      </c>
      <c r="AE15" s="3495" t="s">
        <v>986</v>
      </c>
      <c r="AF15" s="3495" t="s">
        <v>986</v>
      </c>
      <c r="AG15" s="3497" t="s">
        <v>986</v>
      </c>
      <c r="AH15" s="3495" t="s">
        <v>259</v>
      </c>
      <c r="AI15" s="3495" t="s">
        <v>259</v>
      </c>
      <c r="AJ15" s="3497" t="s">
        <v>986</v>
      </c>
    </row>
    <row r="16" spans="1:36" ht="12" x14ac:dyDescent="0.2">
      <c r="A16" s="3499" t="s">
        <v>1153</v>
      </c>
      <c r="B16" s="3495" t="s">
        <v>259</v>
      </c>
      <c r="C16" s="3495" t="s">
        <v>259</v>
      </c>
      <c r="D16" s="3495" t="s">
        <v>259</v>
      </c>
      <c r="E16" s="3495" t="s">
        <v>259</v>
      </c>
      <c r="F16" s="3495" t="s">
        <v>259</v>
      </c>
      <c r="G16" s="3495" t="s">
        <v>259</v>
      </c>
      <c r="H16" s="3495" t="s">
        <v>259</v>
      </c>
      <c r="I16" s="3495" t="s">
        <v>259</v>
      </c>
      <c r="J16" s="3495" t="s">
        <v>259</v>
      </c>
      <c r="K16" s="3495" t="s">
        <v>259</v>
      </c>
      <c r="L16" s="3495" t="s">
        <v>259</v>
      </c>
      <c r="M16" s="3495" t="s">
        <v>259</v>
      </c>
      <c r="N16" s="3495" t="s">
        <v>259</v>
      </c>
      <c r="O16" s="3495" t="s">
        <v>259</v>
      </c>
      <c r="P16" s="3495" t="s">
        <v>259</v>
      </c>
      <c r="Q16" s="3495" t="s">
        <v>259</v>
      </c>
      <c r="R16" s="3495" t="s">
        <v>259</v>
      </c>
      <c r="S16" s="3495" t="s">
        <v>259</v>
      </c>
      <c r="T16" s="3495" t="s">
        <v>259</v>
      </c>
      <c r="U16" s="3495" t="s">
        <v>259</v>
      </c>
      <c r="V16" s="3497" t="s">
        <v>986</v>
      </c>
      <c r="W16" s="3495" t="s">
        <v>259</v>
      </c>
      <c r="X16" s="3495" t="s">
        <v>259</v>
      </c>
      <c r="Y16" s="3495" t="s">
        <v>259</v>
      </c>
      <c r="Z16" s="3495" t="s">
        <v>259</v>
      </c>
      <c r="AA16" s="3495" t="s">
        <v>259</v>
      </c>
      <c r="AB16" s="3495" t="s">
        <v>259</v>
      </c>
      <c r="AC16" s="3495" t="s">
        <v>259</v>
      </c>
      <c r="AD16" s="3495" t="s">
        <v>259</v>
      </c>
      <c r="AE16" s="3495" t="s">
        <v>259</v>
      </c>
      <c r="AF16" s="3495" t="s">
        <v>259</v>
      </c>
      <c r="AG16" s="3497" t="s">
        <v>986</v>
      </c>
      <c r="AH16" s="3495" t="s">
        <v>259</v>
      </c>
      <c r="AI16" s="3495" t="s">
        <v>259</v>
      </c>
      <c r="AJ16" s="3495" t="s">
        <v>259</v>
      </c>
    </row>
    <row r="17" spans="1:36" ht="12" x14ac:dyDescent="0.2">
      <c r="A17" s="3534" t="s">
        <v>1005</v>
      </c>
      <c r="B17" s="3495" t="s">
        <v>259</v>
      </c>
      <c r="C17" s="3495" t="s">
        <v>259</v>
      </c>
      <c r="D17" s="3495" t="s">
        <v>259</v>
      </c>
      <c r="E17" s="3495" t="s">
        <v>259</v>
      </c>
      <c r="F17" s="3495" t="s">
        <v>259</v>
      </c>
      <c r="G17" s="3495" t="s">
        <v>259</v>
      </c>
      <c r="H17" s="3495" t="s">
        <v>259</v>
      </c>
      <c r="I17" s="3495" t="s">
        <v>259</v>
      </c>
      <c r="J17" s="3495" t="s">
        <v>259</v>
      </c>
      <c r="K17" s="3495" t="s">
        <v>259</v>
      </c>
      <c r="L17" s="3495" t="s">
        <v>259</v>
      </c>
      <c r="M17" s="3495" t="s">
        <v>259</v>
      </c>
      <c r="N17" s="3495" t="s">
        <v>259</v>
      </c>
      <c r="O17" s="3495" t="s">
        <v>259</v>
      </c>
      <c r="P17" s="3495" t="s">
        <v>259</v>
      </c>
      <c r="Q17" s="3495" t="s">
        <v>259</v>
      </c>
      <c r="R17" s="3495" t="s">
        <v>259</v>
      </c>
      <c r="S17" s="3495" t="s">
        <v>259</v>
      </c>
      <c r="T17" s="3495" t="s">
        <v>259</v>
      </c>
      <c r="U17" s="3495" t="s">
        <v>259</v>
      </c>
      <c r="V17" s="3497" t="s">
        <v>986</v>
      </c>
      <c r="W17" s="3495" t="s">
        <v>259</v>
      </c>
      <c r="X17" s="3495" t="s">
        <v>259</v>
      </c>
      <c r="Y17" s="3495" t="s">
        <v>259</v>
      </c>
      <c r="Z17" s="3495" t="s">
        <v>259</v>
      </c>
      <c r="AA17" s="3495" t="s">
        <v>259</v>
      </c>
      <c r="AB17" s="3495" t="s">
        <v>259</v>
      </c>
      <c r="AC17" s="3495" t="s">
        <v>259</v>
      </c>
      <c r="AD17" s="3495" t="s">
        <v>259</v>
      </c>
      <c r="AE17" s="3495" t="s">
        <v>259</v>
      </c>
      <c r="AF17" s="3495" t="s">
        <v>259</v>
      </c>
      <c r="AG17" s="3497" t="s">
        <v>986</v>
      </c>
      <c r="AH17" s="3495" t="s">
        <v>259</v>
      </c>
      <c r="AI17" s="3495" t="s">
        <v>259</v>
      </c>
      <c r="AJ17" s="3495" t="s">
        <v>259</v>
      </c>
    </row>
    <row r="18" spans="1:36" ht="12" x14ac:dyDescent="0.2">
      <c r="A18" s="3496" t="s">
        <v>1004</v>
      </c>
      <c r="B18" s="3495" t="s">
        <v>259</v>
      </c>
      <c r="C18" s="3495" t="s">
        <v>259</v>
      </c>
      <c r="D18" s="3495" t="s">
        <v>259</v>
      </c>
      <c r="E18" s="3495" t="s">
        <v>259</v>
      </c>
      <c r="F18" s="3495" t="s">
        <v>259</v>
      </c>
      <c r="G18" s="3495" t="s">
        <v>259</v>
      </c>
      <c r="H18" s="3495" t="s">
        <v>259</v>
      </c>
      <c r="I18" s="3495" t="s">
        <v>259</v>
      </c>
      <c r="J18" s="3495" t="s">
        <v>259</v>
      </c>
      <c r="K18" s="3495" t="s">
        <v>259</v>
      </c>
      <c r="L18" s="3495" t="s">
        <v>259</v>
      </c>
      <c r="M18" s="3495" t="s">
        <v>259</v>
      </c>
      <c r="N18" s="3495" t="s">
        <v>259</v>
      </c>
      <c r="O18" s="3495" t="s">
        <v>259</v>
      </c>
      <c r="P18" s="3495" t="s">
        <v>259</v>
      </c>
      <c r="Q18" s="3495" t="s">
        <v>259</v>
      </c>
      <c r="R18" s="3495" t="s">
        <v>259</v>
      </c>
      <c r="S18" s="3495" t="s">
        <v>259</v>
      </c>
      <c r="T18" s="3495" t="s">
        <v>259</v>
      </c>
      <c r="U18" s="3495" t="s">
        <v>259</v>
      </c>
      <c r="V18" s="3497" t="s">
        <v>986</v>
      </c>
      <c r="W18" s="3495" t="s">
        <v>259</v>
      </c>
      <c r="X18" s="3495" t="s">
        <v>259</v>
      </c>
      <c r="Y18" s="3495" t="s">
        <v>259</v>
      </c>
      <c r="Z18" s="3495" t="s">
        <v>259</v>
      </c>
      <c r="AA18" s="3495" t="s">
        <v>259</v>
      </c>
      <c r="AB18" s="3495" t="s">
        <v>259</v>
      </c>
      <c r="AC18" s="3495" t="s">
        <v>259</v>
      </c>
      <c r="AD18" s="3495" t="s">
        <v>259</v>
      </c>
      <c r="AE18" s="3495" t="s">
        <v>259</v>
      </c>
      <c r="AF18" s="3495" t="s">
        <v>259</v>
      </c>
      <c r="AG18" s="3497" t="s">
        <v>986</v>
      </c>
      <c r="AH18" s="3495" t="s">
        <v>259</v>
      </c>
      <c r="AI18" s="3495" t="s">
        <v>259</v>
      </c>
      <c r="AJ18" s="3495" t="s">
        <v>259</v>
      </c>
    </row>
    <row r="19" spans="1:36" ht="12" x14ac:dyDescent="0.2">
      <c r="A19" s="3496" t="s">
        <v>1003</v>
      </c>
      <c r="B19" s="3495" t="s">
        <v>259</v>
      </c>
      <c r="C19" s="3495" t="s">
        <v>259</v>
      </c>
      <c r="D19" s="3495" t="s">
        <v>259</v>
      </c>
      <c r="E19" s="3495" t="s">
        <v>259</v>
      </c>
      <c r="F19" s="3495" t="s">
        <v>259</v>
      </c>
      <c r="G19" s="3495" t="s">
        <v>259</v>
      </c>
      <c r="H19" s="3495" t="s">
        <v>259</v>
      </c>
      <c r="I19" s="3495" t="s">
        <v>259</v>
      </c>
      <c r="J19" s="3495" t="s">
        <v>259</v>
      </c>
      <c r="K19" s="3495" t="s">
        <v>259</v>
      </c>
      <c r="L19" s="3495" t="s">
        <v>259</v>
      </c>
      <c r="M19" s="3495" t="s">
        <v>259</v>
      </c>
      <c r="N19" s="3495" t="s">
        <v>259</v>
      </c>
      <c r="O19" s="3495" t="s">
        <v>259</v>
      </c>
      <c r="P19" s="3495" t="s">
        <v>259</v>
      </c>
      <c r="Q19" s="3495" t="s">
        <v>259</v>
      </c>
      <c r="R19" s="3495" t="s">
        <v>259</v>
      </c>
      <c r="S19" s="3495" t="s">
        <v>259</v>
      </c>
      <c r="T19" s="3495" t="s">
        <v>259</v>
      </c>
      <c r="U19" s="3495" t="s">
        <v>259</v>
      </c>
      <c r="V19" s="3497" t="s">
        <v>986</v>
      </c>
      <c r="W19" s="3495" t="s">
        <v>259</v>
      </c>
      <c r="X19" s="3495" t="s">
        <v>259</v>
      </c>
      <c r="Y19" s="3495" t="s">
        <v>259</v>
      </c>
      <c r="Z19" s="3495" t="s">
        <v>259</v>
      </c>
      <c r="AA19" s="3495" t="s">
        <v>259</v>
      </c>
      <c r="AB19" s="3495" t="s">
        <v>259</v>
      </c>
      <c r="AC19" s="3495" t="s">
        <v>259</v>
      </c>
      <c r="AD19" s="3495" t="s">
        <v>259</v>
      </c>
      <c r="AE19" s="3495" t="s">
        <v>259</v>
      </c>
      <c r="AF19" s="3495" t="s">
        <v>259</v>
      </c>
      <c r="AG19" s="3497" t="s">
        <v>986</v>
      </c>
      <c r="AH19" s="3495" t="s">
        <v>259</v>
      </c>
      <c r="AI19" s="3495" t="s">
        <v>259</v>
      </c>
      <c r="AJ19" s="3495" t="s">
        <v>259</v>
      </c>
    </row>
    <row r="20" spans="1:36" ht="12" x14ac:dyDescent="0.2">
      <c r="A20" s="3496" t="s">
        <v>1002</v>
      </c>
      <c r="B20" s="3495" t="s">
        <v>259</v>
      </c>
      <c r="C20" s="3495" t="s">
        <v>259</v>
      </c>
      <c r="D20" s="3495" t="s">
        <v>259</v>
      </c>
      <c r="E20" s="3495" t="s">
        <v>259</v>
      </c>
      <c r="F20" s="3495" t="s">
        <v>259</v>
      </c>
      <c r="G20" s="3495" t="s">
        <v>259</v>
      </c>
      <c r="H20" s="3495" t="s">
        <v>259</v>
      </c>
      <c r="I20" s="3495" t="s">
        <v>259</v>
      </c>
      <c r="J20" s="3495" t="s">
        <v>259</v>
      </c>
      <c r="K20" s="3495" t="s">
        <v>259</v>
      </c>
      <c r="L20" s="3495" t="s">
        <v>259</v>
      </c>
      <c r="M20" s="3495" t="s">
        <v>259</v>
      </c>
      <c r="N20" s="3495" t="s">
        <v>259</v>
      </c>
      <c r="O20" s="3495" t="s">
        <v>259</v>
      </c>
      <c r="P20" s="3495" t="s">
        <v>259</v>
      </c>
      <c r="Q20" s="3495" t="s">
        <v>259</v>
      </c>
      <c r="R20" s="3495" t="s">
        <v>259</v>
      </c>
      <c r="S20" s="3495" t="s">
        <v>259</v>
      </c>
      <c r="T20" s="3495" t="s">
        <v>259</v>
      </c>
      <c r="U20" s="3495" t="s">
        <v>259</v>
      </c>
      <c r="V20" s="3497" t="s">
        <v>986</v>
      </c>
      <c r="W20" s="3495" t="s">
        <v>259</v>
      </c>
      <c r="X20" s="3495" t="s">
        <v>259</v>
      </c>
      <c r="Y20" s="3495" t="s">
        <v>259</v>
      </c>
      <c r="Z20" s="3495" t="s">
        <v>259</v>
      </c>
      <c r="AA20" s="3495" t="s">
        <v>259</v>
      </c>
      <c r="AB20" s="3495" t="s">
        <v>259</v>
      </c>
      <c r="AC20" s="3495" t="s">
        <v>259</v>
      </c>
      <c r="AD20" s="3495" t="s">
        <v>259</v>
      </c>
      <c r="AE20" s="3495" t="s">
        <v>259</v>
      </c>
      <c r="AF20" s="3495" t="s">
        <v>259</v>
      </c>
      <c r="AG20" s="3497" t="s">
        <v>986</v>
      </c>
      <c r="AH20" s="3495" t="s">
        <v>259</v>
      </c>
      <c r="AI20" s="3495" t="s">
        <v>259</v>
      </c>
      <c r="AJ20" s="3495" t="s">
        <v>259</v>
      </c>
    </row>
    <row r="21" spans="1:36" ht="12" x14ac:dyDescent="0.2">
      <c r="A21" s="3496" t="s">
        <v>1001</v>
      </c>
      <c r="B21" s="3495" t="s">
        <v>259</v>
      </c>
      <c r="C21" s="3495" t="s">
        <v>259</v>
      </c>
      <c r="D21" s="3495" t="s">
        <v>259</v>
      </c>
      <c r="E21" s="3495" t="s">
        <v>259</v>
      </c>
      <c r="F21" s="3495" t="s">
        <v>259</v>
      </c>
      <c r="G21" s="3495" t="s">
        <v>259</v>
      </c>
      <c r="H21" s="3495" t="s">
        <v>259</v>
      </c>
      <c r="I21" s="3495" t="s">
        <v>259</v>
      </c>
      <c r="J21" s="3495" t="s">
        <v>259</v>
      </c>
      <c r="K21" s="3495" t="s">
        <v>259</v>
      </c>
      <c r="L21" s="3495" t="s">
        <v>259</v>
      </c>
      <c r="M21" s="3495" t="s">
        <v>259</v>
      </c>
      <c r="N21" s="3495" t="s">
        <v>259</v>
      </c>
      <c r="O21" s="3495" t="s">
        <v>259</v>
      </c>
      <c r="P21" s="3495" t="s">
        <v>259</v>
      </c>
      <c r="Q21" s="3495" t="s">
        <v>259</v>
      </c>
      <c r="R21" s="3495" t="s">
        <v>259</v>
      </c>
      <c r="S21" s="3495" t="s">
        <v>259</v>
      </c>
      <c r="T21" s="3495" t="s">
        <v>259</v>
      </c>
      <c r="U21" s="3495" t="s">
        <v>259</v>
      </c>
      <c r="V21" s="3497" t="s">
        <v>986</v>
      </c>
      <c r="W21" s="3495" t="s">
        <v>259</v>
      </c>
      <c r="X21" s="3495" t="s">
        <v>259</v>
      </c>
      <c r="Y21" s="3495" t="s">
        <v>259</v>
      </c>
      <c r="Z21" s="3495" t="s">
        <v>259</v>
      </c>
      <c r="AA21" s="3495" t="s">
        <v>259</v>
      </c>
      <c r="AB21" s="3495" t="s">
        <v>259</v>
      </c>
      <c r="AC21" s="3495" t="s">
        <v>259</v>
      </c>
      <c r="AD21" s="3495" t="s">
        <v>259</v>
      </c>
      <c r="AE21" s="3495" t="s">
        <v>259</v>
      </c>
      <c r="AF21" s="3495" t="s">
        <v>259</v>
      </c>
      <c r="AG21" s="3497" t="s">
        <v>986</v>
      </c>
      <c r="AH21" s="3495" t="s">
        <v>259</v>
      </c>
      <c r="AI21" s="3495" t="s">
        <v>259</v>
      </c>
      <c r="AJ21" s="3495" t="s">
        <v>259</v>
      </c>
    </row>
    <row r="22" spans="1:36" ht="12" x14ac:dyDescent="0.2">
      <c r="A22" s="3496" t="s">
        <v>1000</v>
      </c>
      <c r="B22" s="3495" t="s">
        <v>259</v>
      </c>
      <c r="C22" s="3495" t="s">
        <v>259</v>
      </c>
      <c r="D22" s="3495" t="s">
        <v>259</v>
      </c>
      <c r="E22" s="3495" t="s">
        <v>259</v>
      </c>
      <c r="F22" s="3495" t="s">
        <v>259</v>
      </c>
      <c r="G22" s="3495" t="s">
        <v>259</v>
      </c>
      <c r="H22" s="3495" t="s">
        <v>259</v>
      </c>
      <c r="I22" s="3495" t="s">
        <v>259</v>
      </c>
      <c r="J22" s="3495" t="s">
        <v>259</v>
      </c>
      <c r="K22" s="3495" t="s">
        <v>259</v>
      </c>
      <c r="L22" s="3495" t="s">
        <v>259</v>
      </c>
      <c r="M22" s="3495" t="s">
        <v>259</v>
      </c>
      <c r="N22" s="3495" t="s">
        <v>259</v>
      </c>
      <c r="O22" s="3495" t="s">
        <v>259</v>
      </c>
      <c r="P22" s="3495" t="s">
        <v>259</v>
      </c>
      <c r="Q22" s="3495" t="s">
        <v>259</v>
      </c>
      <c r="R22" s="3495" t="s">
        <v>259</v>
      </c>
      <c r="S22" s="3495" t="s">
        <v>259</v>
      </c>
      <c r="T22" s="3495" t="s">
        <v>259</v>
      </c>
      <c r="U22" s="3495" t="s">
        <v>259</v>
      </c>
      <c r="V22" s="3497" t="s">
        <v>986</v>
      </c>
      <c r="W22" s="3495" t="s">
        <v>259</v>
      </c>
      <c r="X22" s="3495" t="s">
        <v>259</v>
      </c>
      <c r="Y22" s="3495" t="s">
        <v>259</v>
      </c>
      <c r="Z22" s="3495" t="s">
        <v>259</v>
      </c>
      <c r="AA22" s="3495" t="s">
        <v>259</v>
      </c>
      <c r="AB22" s="3495" t="s">
        <v>259</v>
      </c>
      <c r="AC22" s="3495" t="s">
        <v>259</v>
      </c>
      <c r="AD22" s="3495" t="s">
        <v>259</v>
      </c>
      <c r="AE22" s="3495" t="s">
        <v>259</v>
      </c>
      <c r="AF22" s="3495" t="s">
        <v>259</v>
      </c>
      <c r="AG22" s="3497" t="s">
        <v>986</v>
      </c>
      <c r="AH22" s="3495" t="s">
        <v>259</v>
      </c>
      <c r="AI22" s="3495" t="s">
        <v>259</v>
      </c>
      <c r="AJ22" s="3495" t="s">
        <v>259</v>
      </c>
    </row>
    <row r="23" spans="1:36" ht="14.25" x14ac:dyDescent="0.2">
      <c r="A23" s="665" t="s">
        <v>999</v>
      </c>
      <c r="B23" s="3495" t="s">
        <v>259</v>
      </c>
      <c r="C23" s="3495">
        <v>17.430542177900001</v>
      </c>
      <c r="D23" s="3495" t="s">
        <v>259</v>
      </c>
      <c r="E23" s="3495" t="s">
        <v>259</v>
      </c>
      <c r="F23" s="3495">
        <v>31.830245146380001</v>
      </c>
      <c r="G23" s="3495" t="s">
        <v>259</v>
      </c>
      <c r="H23" s="3495">
        <v>94.776503642324599</v>
      </c>
      <c r="I23" s="3495" t="s">
        <v>259</v>
      </c>
      <c r="J23" s="3495">
        <v>16.236799742950002</v>
      </c>
      <c r="K23" s="3495" t="s">
        <v>259</v>
      </c>
      <c r="L23" s="3495">
        <v>5.1329700000000003</v>
      </c>
      <c r="M23" s="3495" t="s">
        <v>259</v>
      </c>
      <c r="N23" s="3495">
        <v>0.82210000000000005</v>
      </c>
      <c r="O23" s="3495" t="s">
        <v>259</v>
      </c>
      <c r="P23" s="3495" t="s">
        <v>259</v>
      </c>
      <c r="Q23" s="3495" t="s">
        <v>259</v>
      </c>
      <c r="R23" s="3495" t="s">
        <v>259</v>
      </c>
      <c r="S23" s="3495" t="s">
        <v>259</v>
      </c>
      <c r="T23" s="3495" t="s">
        <v>259</v>
      </c>
      <c r="U23" s="3495" t="s">
        <v>259</v>
      </c>
      <c r="V23" s="3497" t="s">
        <v>986</v>
      </c>
      <c r="W23" s="3495">
        <v>9.4276250000000005E-4</v>
      </c>
      <c r="X23" s="3495" t="s">
        <v>259</v>
      </c>
      <c r="Y23" s="3495" t="s">
        <v>259</v>
      </c>
      <c r="Z23" s="3495" t="s">
        <v>259</v>
      </c>
      <c r="AA23" s="3495" t="s">
        <v>259</v>
      </c>
      <c r="AB23" s="3495" t="s">
        <v>259</v>
      </c>
      <c r="AC23" s="3495" t="s">
        <v>259</v>
      </c>
      <c r="AD23" s="3495" t="s">
        <v>259</v>
      </c>
      <c r="AE23" s="3495" t="s">
        <v>259</v>
      </c>
      <c r="AF23" s="3495" t="s">
        <v>259</v>
      </c>
      <c r="AG23" s="3497" t="s">
        <v>986</v>
      </c>
      <c r="AH23" s="3495" t="s">
        <v>259</v>
      </c>
      <c r="AI23" s="3495" t="s">
        <v>259</v>
      </c>
      <c r="AJ23" s="3495" t="s">
        <v>259</v>
      </c>
    </row>
    <row r="24" spans="1:36" ht="12" x14ac:dyDescent="0.2">
      <c r="A24" s="3496" t="s">
        <v>998</v>
      </c>
      <c r="B24" s="3495" t="s">
        <v>259</v>
      </c>
      <c r="C24" s="3495">
        <v>17.430542177900001</v>
      </c>
      <c r="D24" s="3495" t="s">
        <v>259</v>
      </c>
      <c r="E24" s="3495" t="s">
        <v>259</v>
      </c>
      <c r="F24" s="3495">
        <v>31.830245146380001</v>
      </c>
      <c r="G24" s="3495" t="s">
        <v>259</v>
      </c>
      <c r="H24" s="3495">
        <v>88.868403642324594</v>
      </c>
      <c r="I24" s="3495" t="s">
        <v>259</v>
      </c>
      <c r="J24" s="3495">
        <v>16.236799742950002</v>
      </c>
      <c r="K24" s="3495" t="s">
        <v>259</v>
      </c>
      <c r="L24" s="3495" t="s">
        <v>259</v>
      </c>
      <c r="M24" s="3495" t="s">
        <v>259</v>
      </c>
      <c r="N24" s="3495" t="s">
        <v>259</v>
      </c>
      <c r="O24" s="3495" t="s">
        <v>259</v>
      </c>
      <c r="P24" s="3495" t="s">
        <v>259</v>
      </c>
      <c r="Q24" s="3495" t="s">
        <v>259</v>
      </c>
      <c r="R24" s="3495" t="s">
        <v>259</v>
      </c>
      <c r="S24" s="3495" t="s">
        <v>259</v>
      </c>
      <c r="T24" s="3495" t="s">
        <v>259</v>
      </c>
      <c r="U24" s="3495" t="s">
        <v>259</v>
      </c>
      <c r="V24" s="3497" t="s">
        <v>986</v>
      </c>
      <c r="W24" s="3495">
        <v>9.4276250000000005E-4</v>
      </c>
      <c r="X24" s="3495" t="s">
        <v>259</v>
      </c>
      <c r="Y24" s="3495" t="s">
        <v>259</v>
      </c>
      <c r="Z24" s="3495" t="s">
        <v>259</v>
      </c>
      <c r="AA24" s="3495" t="s">
        <v>259</v>
      </c>
      <c r="AB24" s="3495" t="s">
        <v>259</v>
      </c>
      <c r="AC24" s="3495" t="s">
        <v>259</v>
      </c>
      <c r="AD24" s="3495" t="s">
        <v>259</v>
      </c>
      <c r="AE24" s="3495" t="s">
        <v>259</v>
      </c>
      <c r="AF24" s="3495" t="s">
        <v>259</v>
      </c>
      <c r="AG24" s="3497" t="s">
        <v>986</v>
      </c>
      <c r="AH24" s="3495" t="s">
        <v>259</v>
      </c>
      <c r="AI24" s="3495" t="s">
        <v>259</v>
      </c>
      <c r="AJ24" s="3495" t="s">
        <v>259</v>
      </c>
    </row>
    <row r="25" spans="1:36" ht="12" x14ac:dyDescent="0.2">
      <c r="A25" s="3496" t="s">
        <v>997</v>
      </c>
      <c r="B25" s="3495" t="s">
        <v>259</v>
      </c>
      <c r="C25" s="3495" t="s">
        <v>259</v>
      </c>
      <c r="D25" s="3495" t="s">
        <v>259</v>
      </c>
      <c r="E25" s="3495" t="s">
        <v>259</v>
      </c>
      <c r="F25" s="3495" t="s">
        <v>259</v>
      </c>
      <c r="G25" s="3495" t="s">
        <v>259</v>
      </c>
      <c r="H25" s="3495" t="s">
        <v>259</v>
      </c>
      <c r="I25" s="3495" t="s">
        <v>259</v>
      </c>
      <c r="J25" s="3495" t="s">
        <v>259</v>
      </c>
      <c r="K25" s="3495" t="s">
        <v>259</v>
      </c>
      <c r="L25" s="3495">
        <v>5.1329700000000003</v>
      </c>
      <c r="M25" s="3495" t="s">
        <v>259</v>
      </c>
      <c r="N25" s="3495" t="s">
        <v>259</v>
      </c>
      <c r="O25" s="3495" t="s">
        <v>259</v>
      </c>
      <c r="P25" s="3495" t="s">
        <v>259</v>
      </c>
      <c r="Q25" s="3495" t="s">
        <v>259</v>
      </c>
      <c r="R25" s="3495" t="s">
        <v>259</v>
      </c>
      <c r="S25" s="3495" t="s">
        <v>259</v>
      </c>
      <c r="T25" s="3495" t="s">
        <v>259</v>
      </c>
      <c r="U25" s="3495" t="s">
        <v>259</v>
      </c>
      <c r="V25" s="3497" t="s">
        <v>986</v>
      </c>
      <c r="W25" s="3495" t="s">
        <v>259</v>
      </c>
      <c r="X25" s="3495" t="s">
        <v>259</v>
      </c>
      <c r="Y25" s="3495" t="s">
        <v>259</v>
      </c>
      <c r="Z25" s="3495" t="s">
        <v>259</v>
      </c>
      <c r="AA25" s="3495" t="s">
        <v>259</v>
      </c>
      <c r="AB25" s="3495" t="s">
        <v>259</v>
      </c>
      <c r="AC25" s="3495" t="s">
        <v>259</v>
      </c>
      <c r="AD25" s="3495" t="s">
        <v>259</v>
      </c>
      <c r="AE25" s="3495" t="s">
        <v>259</v>
      </c>
      <c r="AF25" s="3495" t="s">
        <v>259</v>
      </c>
      <c r="AG25" s="3497" t="s">
        <v>986</v>
      </c>
      <c r="AH25" s="3495" t="s">
        <v>259</v>
      </c>
      <c r="AI25" s="3495" t="s">
        <v>259</v>
      </c>
      <c r="AJ25" s="3495" t="s">
        <v>259</v>
      </c>
    </row>
    <row r="26" spans="1:36" ht="12" x14ac:dyDescent="0.2">
      <c r="A26" s="3496" t="s">
        <v>996</v>
      </c>
      <c r="B26" s="3495" t="s">
        <v>259</v>
      </c>
      <c r="C26" s="3495" t="s">
        <v>986</v>
      </c>
      <c r="D26" s="3495" t="s">
        <v>259</v>
      </c>
      <c r="E26" s="3495" t="s">
        <v>259</v>
      </c>
      <c r="F26" s="3495" t="s">
        <v>259</v>
      </c>
      <c r="G26" s="3495" t="s">
        <v>259</v>
      </c>
      <c r="H26" s="3495" t="s">
        <v>259</v>
      </c>
      <c r="I26" s="3495" t="s">
        <v>259</v>
      </c>
      <c r="J26" s="3495" t="s">
        <v>259</v>
      </c>
      <c r="K26" s="3495" t="s">
        <v>259</v>
      </c>
      <c r="L26" s="3495" t="s">
        <v>259</v>
      </c>
      <c r="M26" s="3495" t="s">
        <v>259</v>
      </c>
      <c r="N26" s="3495" t="s">
        <v>259</v>
      </c>
      <c r="O26" s="3495" t="s">
        <v>259</v>
      </c>
      <c r="P26" s="3495" t="s">
        <v>259</v>
      </c>
      <c r="Q26" s="3495" t="s">
        <v>259</v>
      </c>
      <c r="R26" s="3495" t="s">
        <v>259</v>
      </c>
      <c r="S26" s="3495" t="s">
        <v>259</v>
      </c>
      <c r="T26" s="3495" t="s">
        <v>259</v>
      </c>
      <c r="U26" s="3495" t="s">
        <v>259</v>
      </c>
      <c r="V26" s="3497" t="s">
        <v>986</v>
      </c>
      <c r="W26" s="3495" t="s">
        <v>259</v>
      </c>
      <c r="X26" s="3495" t="s">
        <v>259</v>
      </c>
      <c r="Y26" s="3495" t="s">
        <v>259</v>
      </c>
      <c r="Z26" s="3495" t="s">
        <v>259</v>
      </c>
      <c r="AA26" s="3495" t="s">
        <v>259</v>
      </c>
      <c r="AB26" s="3495" t="s">
        <v>259</v>
      </c>
      <c r="AC26" s="3495" t="s">
        <v>259</v>
      </c>
      <c r="AD26" s="3495" t="s">
        <v>259</v>
      </c>
      <c r="AE26" s="3495" t="s">
        <v>259</v>
      </c>
      <c r="AF26" s="3495" t="s">
        <v>259</v>
      </c>
      <c r="AG26" s="3497" t="s">
        <v>986</v>
      </c>
      <c r="AH26" s="3495" t="s">
        <v>259</v>
      </c>
      <c r="AI26" s="3495" t="s">
        <v>259</v>
      </c>
      <c r="AJ26" s="3495" t="s">
        <v>259</v>
      </c>
    </row>
    <row r="27" spans="1:36" ht="12" x14ac:dyDescent="0.2">
      <c r="A27" s="3496" t="s">
        <v>995</v>
      </c>
      <c r="B27" s="3495" t="s">
        <v>259</v>
      </c>
      <c r="C27" s="3495" t="s">
        <v>259</v>
      </c>
      <c r="D27" s="3495" t="s">
        <v>259</v>
      </c>
      <c r="E27" s="3495" t="s">
        <v>259</v>
      </c>
      <c r="F27" s="3495" t="s">
        <v>259</v>
      </c>
      <c r="G27" s="3495" t="s">
        <v>259</v>
      </c>
      <c r="H27" s="3495">
        <v>5.9081000000000001</v>
      </c>
      <c r="I27" s="3495" t="s">
        <v>259</v>
      </c>
      <c r="J27" s="3495" t="s">
        <v>259</v>
      </c>
      <c r="K27" s="3495" t="s">
        <v>259</v>
      </c>
      <c r="L27" s="3495" t="s">
        <v>259</v>
      </c>
      <c r="M27" s="3495" t="s">
        <v>259</v>
      </c>
      <c r="N27" s="3495">
        <v>0.82210000000000005</v>
      </c>
      <c r="O27" s="3495" t="s">
        <v>259</v>
      </c>
      <c r="P27" s="3495" t="s">
        <v>259</v>
      </c>
      <c r="Q27" s="3495" t="s">
        <v>259</v>
      </c>
      <c r="R27" s="3495" t="s">
        <v>259</v>
      </c>
      <c r="S27" s="3495" t="s">
        <v>259</v>
      </c>
      <c r="T27" s="3495" t="s">
        <v>259</v>
      </c>
      <c r="U27" s="3495" t="s">
        <v>259</v>
      </c>
      <c r="V27" s="3497" t="s">
        <v>986</v>
      </c>
      <c r="W27" s="3495" t="s">
        <v>259</v>
      </c>
      <c r="X27" s="3495" t="s">
        <v>259</v>
      </c>
      <c r="Y27" s="3495" t="s">
        <v>259</v>
      </c>
      <c r="Z27" s="3495" t="s">
        <v>259</v>
      </c>
      <c r="AA27" s="3495" t="s">
        <v>259</v>
      </c>
      <c r="AB27" s="3495" t="s">
        <v>259</v>
      </c>
      <c r="AC27" s="3495" t="s">
        <v>259</v>
      </c>
      <c r="AD27" s="3495" t="s">
        <v>259</v>
      </c>
      <c r="AE27" s="3495" t="s">
        <v>259</v>
      </c>
      <c r="AF27" s="3495" t="s">
        <v>259</v>
      </c>
      <c r="AG27" s="3497" t="s">
        <v>986</v>
      </c>
      <c r="AH27" s="3495" t="s">
        <v>259</v>
      </c>
      <c r="AI27" s="3495" t="s">
        <v>259</v>
      </c>
      <c r="AJ27" s="3495" t="s">
        <v>259</v>
      </c>
    </row>
    <row r="28" spans="1:36" ht="12" x14ac:dyDescent="0.2">
      <c r="A28" s="3496" t="s">
        <v>994</v>
      </c>
      <c r="B28" s="3495" t="s">
        <v>259</v>
      </c>
      <c r="C28" s="3495" t="s">
        <v>259</v>
      </c>
      <c r="D28" s="3495" t="s">
        <v>259</v>
      </c>
      <c r="E28" s="3495" t="s">
        <v>259</v>
      </c>
      <c r="F28" s="3495" t="s">
        <v>259</v>
      </c>
      <c r="G28" s="3495" t="s">
        <v>259</v>
      </c>
      <c r="H28" s="3495" t="s">
        <v>259</v>
      </c>
      <c r="I28" s="3495" t="s">
        <v>259</v>
      </c>
      <c r="J28" s="3495" t="s">
        <v>259</v>
      </c>
      <c r="K28" s="3495" t="s">
        <v>259</v>
      </c>
      <c r="L28" s="3495" t="s">
        <v>259</v>
      </c>
      <c r="M28" s="3495" t="s">
        <v>259</v>
      </c>
      <c r="N28" s="3495" t="s">
        <v>259</v>
      </c>
      <c r="O28" s="3495" t="s">
        <v>259</v>
      </c>
      <c r="P28" s="3495" t="s">
        <v>259</v>
      </c>
      <c r="Q28" s="3495" t="s">
        <v>259</v>
      </c>
      <c r="R28" s="3495" t="s">
        <v>259</v>
      </c>
      <c r="S28" s="3495" t="s">
        <v>259</v>
      </c>
      <c r="T28" s="3495" t="s">
        <v>259</v>
      </c>
      <c r="U28" s="3495" t="s">
        <v>259</v>
      </c>
      <c r="V28" s="3497" t="s">
        <v>986</v>
      </c>
      <c r="W28" s="3495" t="s">
        <v>259</v>
      </c>
      <c r="X28" s="3495" t="s">
        <v>259</v>
      </c>
      <c r="Y28" s="3495" t="s">
        <v>259</v>
      </c>
      <c r="Z28" s="3495" t="s">
        <v>259</v>
      </c>
      <c r="AA28" s="3495" t="s">
        <v>259</v>
      </c>
      <c r="AB28" s="3495" t="s">
        <v>259</v>
      </c>
      <c r="AC28" s="3495" t="s">
        <v>259</v>
      </c>
      <c r="AD28" s="3495" t="s">
        <v>259</v>
      </c>
      <c r="AE28" s="3495" t="s">
        <v>259</v>
      </c>
      <c r="AF28" s="3495" t="s">
        <v>259</v>
      </c>
      <c r="AG28" s="3497" t="s">
        <v>986</v>
      </c>
      <c r="AH28" s="3495" t="s">
        <v>259</v>
      </c>
      <c r="AI28" s="3495" t="s">
        <v>259</v>
      </c>
      <c r="AJ28" s="3495" t="s">
        <v>259</v>
      </c>
    </row>
    <row r="29" spans="1:36" ht="12" x14ac:dyDescent="0.2">
      <c r="A29" s="3499" t="s">
        <v>993</v>
      </c>
      <c r="B29" s="3495" t="s">
        <v>259</v>
      </c>
      <c r="C29" s="3495" t="s">
        <v>259</v>
      </c>
      <c r="D29" s="3495" t="s">
        <v>259</v>
      </c>
      <c r="E29" s="3495" t="s">
        <v>259</v>
      </c>
      <c r="F29" s="3495" t="s">
        <v>259</v>
      </c>
      <c r="G29" s="3495" t="s">
        <v>259</v>
      </c>
      <c r="H29" s="3495" t="s">
        <v>259</v>
      </c>
      <c r="I29" s="3495" t="s">
        <v>259</v>
      </c>
      <c r="J29" s="3495" t="s">
        <v>259</v>
      </c>
      <c r="K29" s="3495" t="s">
        <v>259</v>
      </c>
      <c r="L29" s="3495" t="s">
        <v>259</v>
      </c>
      <c r="M29" s="3495" t="s">
        <v>259</v>
      </c>
      <c r="N29" s="3495" t="s">
        <v>259</v>
      </c>
      <c r="O29" s="3495" t="s">
        <v>259</v>
      </c>
      <c r="P29" s="3495" t="s">
        <v>259</v>
      </c>
      <c r="Q29" s="3495" t="s">
        <v>259</v>
      </c>
      <c r="R29" s="3495" t="s">
        <v>259</v>
      </c>
      <c r="S29" s="3495" t="s">
        <v>259</v>
      </c>
      <c r="T29" s="3495" t="s">
        <v>259</v>
      </c>
      <c r="U29" s="3495" t="s">
        <v>259</v>
      </c>
      <c r="V29" s="3497" t="s">
        <v>986</v>
      </c>
      <c r="W29" s="3495" t="s">
        <v>259</v>
      </c>
      <c r="X29" s="3495" t="s">
        <v>259</v>
      </c>
      <c r="Y29" s="3495" t="s">
        <v>259</v>
      </c>
      <c r="Z29" s="3495" t="s">
        <v>259</v>
      </c>
      <c r="AA29" s="3495" t="s">
        <v>259</v>
      </c>
      <c r="AB29" s="3495" t="s">
        <v>259</v>
      </c>
      <c r="AC29" s="3495" t="s">
        <v>259</v>
      </c>
      <c r="AD29" s="3495" t="s">
        <v>259</v>
      </c>
      <c r="AE29" s="3495" t="s">
        <v>259</v>
      </c>
      <c r="AF29" s="3495" t="s">
        <v>259</v>
      </c>
      <c r="AG29" s="3497" t="s">
        <v>986</v>
      </c>
      <c r="AH29" s="3495" t="s">
        <v>259</v>
      </c>
      <c r="AI29" s="3495" t="s">
        <v>259</v>
      </c>
      <c r="AJ29" s="3495" t="s">
        <v>259</v>
      </c>
    </row>
    <row r="30" spans="1:36" ht="12" x14ac:dyDescent="0.2">
      <c r="A30" s="3498" t="s">
        <v>992</v>
      </c>
      <c r="B30" s="3495" t="s">
        <v>1006</v>
      </c>
      <c r="C30" s="3495" t="s">
        <v>1006</v>
      </c>
      <c r="D30" s="3495" t="s">
        <v>1006</v>
      </c>
      <c r="E30" s="3495" t="s">
        <v>1006</v>
      </c>
      <c r="F30" s="3495" t="s">
        <v>1006</v>
      </c>
      <c r="G30" s="3495" t="s">
        <v>1006</v>
      </c>
      <c r="H30" s="3495" t="s">
        <v>1006</v>
      </c>
      <c r="I30" s="3495" t="s">
        <v>1006</v>
      </c>
      <c r="J30" s="3495" t="s">
        <v>1006</v>
      </c>
      <c r="K30" s="3495" t="s">
        <v>1006</v>
      </c>
      <c r="L30" s="3495" t="s">
        <v>1006</v>
      </c>
      <c r="M30" s="3495" t="s">
        <v>1006</v>
      </c>
      <c r="N30" s="3495" t="s">
        <v>1006</v>
      </c>
      <c r="O30" s="3495" t="s">
        <v>1006</v>
      </c>
      <c r="P30" s="3495" t="s">
        <v>1006</v>
      </c>
      <c r="Q30" s="3495" t="s">
        <v>1006</v>
      </c>
      <c r="R30" s="3495" t="s">
        <v>1006</v>
      </c>
      <c r="S30" s="3495" t="s">
        <v>1006</v>
      </c>
      <c r="T30" s="3495" t="s">
        <v>1006</v>
      </c>
      <c r="U30" s="3495" t="s">
        <v>1006</v>
      </c>
      <c r="V30" s="3497" t="s">
        <v>986</v>
      </c>
      <c r="W30" s="3495" t="s">
        <v>1006</v>
      </c>
      <c r="X30" s="3495" t="s">
        <v>1006</v>
      </c>
      <c r="Y30" s="3495" t="s">
        <v>1006</v>
      </c>
      <c r="Z30" s="3495" t="s">
        <v>1006</v>
      </c>
      <c r="AA30" s="3495" t="s">
        <v>1006</v>
      </c>
      <c r="AB30" s="3495" t="s">
        <v>1006</v>
      </c>
      <c r="AC30" s="3495" t="s">
        <v>1006</v>
      </c>
      <c r="AD30" s="3495" t="s">
        <v>1006</v>
      </c>
      <c r="AE30" s="3495" t="s">
        <v>1006</v>
      </c>
      <c r="AF30" s="3495" t="s">
        <v>1006</v>
      </c>
      <c r="AG30" s="3497" t="s">
        <v>986</v>
      </c>
      <c r="AH30" s="3495" t="s">
        <v>1006</v>
      </c>
      <c r="AI30" s="3495">
        <v>1.99728937193</v>
      </c>
      <c r="AJ30" s="3495" t="s">
        <v>1006</v>
      </c>
    </row>
    <row r="31" spans="1:36" ht="12" x14ac:dyDescent="0.2">
      <c r="A31" s="3496" t="s">
        <v>991</v>
      </c>
      <c r="B31" s="3495" t="s">
        <v>259</v>
      </c>
      <c r="C31" s="3495" t="s">
        <v>259</v>
      </c>
      <c r="D31" s="3495" t="s">
        <v>259</v>
      </c>
      <c r="E31" s="3495" t="s">
        <v>259</v>
      </c>
      <c r="F31" s="3495" t="s">
        <v>259</v>
      </c>
      <c r="G31" s="3495" t="s">
        <v>259</v>
      </c>
      <c r="H31" s="3495" t="s">
        <v>259</v>
      </c>
      <c r="I31" s="3495" t="s">
        <v>259</v>
      </c>
      <c r="J31" s="3495" t="s">
        <v>259</v>
      </c>
      <c r="K31" s="3495" t="s">
        <v>259</v>
      </c>
      <c r="L31" s="3495" t="s">
        <v>259</v>
      </c>
      <c r="M31" s="3495" t="s">
        <v>259</v>
      </c>
      <c r="N31" s="3495" t="s">
        <v>259</v>
      </c>
      <c r="O31" s="3495" t="s">
        <v>259</v>
      </c>
      <c r="P31" s="3495" t="s">
        <v>259</v>
      </c>
      <c r="Q31" s="3495" t="s">
        <v>259</v>
      </c>
      <c r="R31" s="3495" t="s">
        <v>259</v>
      </c>
      <c r="S31" s="3495" t="s">
        <v>259</v>
      </c>
      <c r="T31" s="3495" t="s">
        <v>259</v>
      </c>
      <c r="U31" s="3495" t="s">
        <v>259</v>
      </c>
      <c r="V31" s="3497" t="s">
        <v>986</v>
      </c>
      <c r="W31" s="3495" t="s">
        <v>259</v>
      </c>
      <c r="X31" s="3495" t="s">
        <v>259</v>
      </c>
      <c r="Y31" s="3495" t="s">
        <v>259</v>
      </c>
      <c r="Z31" s="3495" t="s">
        <v>259</v>
      </c>
      <c r="AA31" s="3495" t="s">
        <v>259</v>
      </c>
      <c r="AB31" s="3495" t="s">
        <v>259</v>
      </c>
      <c r="AC31" s="3495" t="s">
        <v>259</v>
      </c>
      <c r="AD31" s="3495" t="s">
        <v>259</v>
      </c>
      <c r="AE31" s="3495" t="s">
        <v>259</v>
      </c>
      <c r="AF31" s="3495" t="s">
        <v>259</v>
      </c>
      <c r="AG31" s="3497" t="s">
        <v>986</v>
      </c>
      <c r="AH31" s="3495" t="s">
        <v>259</v>
      </c>
      <c r="AI31" s="3495">
        <v>0.57473555942999999</v>
      </c>
      <c r="AJ31" s="3495" t="s">
        <v>259</v>
      </c>
    </row>
    <row r="32" spans="1:36" ht="13.5" x14ac:dyDescent="0.2">
      <c r="A32" s="3496" t="s">
        <v>990</v>
      </c>
      <c r="B32" s="3497" t="s">
        <v>986</v>
      </c>
      <c r="C32" s="3497" t="s">
        <v>986</v>
      </c>
      <c r="D32" s="3497" t="s">
        <v>986</v>
      </c>
      <c r="E32" s="3497" t="s">
        <v>986</v>
      </c>
      <c r="F32" s="3497" t="s">
        <v>986</v>
      </c>
      <c r="G32" s="3497" t="s">
        <v>986</v>
      </c>
      <c r="H32" s="3497" t="s">
        <v>986</v>
      </c>
      <c r="I32" s="3497" t="s">
        <v>986</v>
      </c>
      <c r="J32" s="3497" t="s">
        <v>986</v>
      </c>
      <c r="K32" s="3497" t="s">
        <v>986</v>
      </c>
      <c r="L32" s="3497" t="s">
        <v>986</v>
      </c>
      <c r="M32" s="3497" t="s">
        <v>986</v>
      </c>
      <c r="N32" s="3497" t="s">
        <v>986</v>
      </c>
      <c r="O32" s="3497" t="s">
        <v>986</v>
      </c>
      <c r="P32" s="3497" t="s">
        <v>986</v>
      </c>
      <c r="Q32" s="3497" t="s">
        <v>986</v>
      </c>
      <c r="R32" s="3497" t="s">
        <v>986</v>
      </c>
      <c r="S32" s="3497" t="s">
        <v>986</v>
      </c>
      <c r="T32" s="3497" t="s">
        <v>986</v>
      </c>
      <c r="U32" s="3497" t="s">
        <v>986</v>
      </c>
      <c r="V32" s="3497" t="s">
        <v>986</v>
      </c>
      <c r="W32" s="3495" t="s">
        <v>259</v>
      </c>
      <c r="X32" s="3495" t="s">
        <v>259</v>
      </c>
      <c r="Y32" s="3495" t="s">
        <v>259</v>
      </c>
      <c r="Z32" s="3495" t="s">
        <v>259</v>
      </c>
      <c r="AA32" s="3495" t="s">
        <v>259</v>
      </c>
      <c r="AB32" s="3495" t="s">
        <v>259</v>
      </c>
      <c r="AC32" s="3495" t="s">
        <v>259</v>
      </c>
      <c r="AD32" s="3495" t="s">
        <v>259</v>
      </c>
      <c r="AE32" s="3495" t="s">
        <v>259</v>
      </c>
      <c r="AF32" s="3495" t="s">
        <v>259</v>
      </c>
      <c r="AG32" s="3497" t="s">
        <v>986</v>
      </c>
      <c r="AH32" s="3497" t="s">
        <v>986</v>
      </c>
      <c r="AI32" s="3495">
        <v>1.4225538124999999</v>
      </c>
      <c r="AJ32" s="3497" t="s">
        <v>986</v>
      </c>
    </row>
    <row r="33" spans="1:36" ht="12" x14ac:dyDescent="0.2">
      <c r="A33" s="3496" t="s">
        <v>988</v>
      </c>
      <c r="B33" s="3495" t="s">
        <v>799</v>
      </c>
      <c r="C33" s="3495" t="s">
        <v>799</v>
      </c>
      <c r="D33" s="3495" t="s">
        <v>799</v>
      </c>
      <c r="E33" s="3495" t="s">
        <v>799</v>
      </c>
      <c r="F33" s="3495" t="s">
        <v>799</v>
      </c>
      <c r="G33" s="3495" t="s">
        <v>799</v>
      </c>
      <c r="H33" s="3495" t="s">
        <v>799</v>
      </c>
      <c r="I33" s="3495" t="s">
        <v>799</v>
      </c>
      <c r="J33" s="3495" t="s">
        <v>799</v>
      </c>
      <c r="K33" s="3495" t="s">
        <v>799</v>
      </c>
      <c r="L33" s="3495" t="s">
        <v>799</v>
      </c>
      <c r="M33" s="3495" t="s">
        <v>799</v>
      </c>
      <c r="N33" s="3495" t="s">
        <v>799</v>
      </c>
      <c r="O33" s="3495" t="s">
        <v>799</v>
      </c>
      <c r="P33" s="3495" t="s">
        <v>799</v>
      </c>
      <c r="Q33" s="3495" t="s">
        <v>799</v>
      </c>
      <c r="R33" s="3495" t="s">
        <v>799</v>
      </c>
      <c r="S33" s="3495" t="s">
        <v>799</v>
      </c>
      <c r="T33" s="3495" t="s">
        <v>799</v>
      </c>
      <c r="U33" s="3495" t="s">
        <v>799</v>
      </c>
      <c r="V33" s="3497" t="s">
        <v>986</v>
      </c>
      <c r="W33" s="3495" t="s">
        <v>799</v>
      </c>
      <c r="X33" s="3495" t="s">
        <v>799</v>
      </c>
      <c r="Y33" s="3495" t="s">
        <v>799</v>
      </c>
      <c r="Z33" s="3495" t="s">
        <v>799</v>
      </c>
      <c r="AA33" s="3495" t="s">
        <v>799</v>
      </c>
      <c r="AB33" s="3495" t="s">
        <v>799</v>
      </c>
      <c r="AC33" s="3495" t="s">
        <v>799</v>
      </c>
      <c r="AD33" s="3495" t="s">
        <v>799</v>
      </c>
      <c r="AE33" s="3495" t="s">
        <v>799</v>
      </c>
      <c r="AF33" s="3495" t="s">
        <v>799</v>
      </c>
      <c r="AG33" s="3497" t="s">
        <v>986</v>
      </c>
      <c r="AH33" s="3495" t="s">
        <v>799</v>
      </c>
      <c r="AI33" s="3495" t="s">
        <v>799</v>
      </c>
      <c r="AJ33" s="3495" t="s">
        <v>799</v>
      </c>
    </row>
    <row r="34" spans="1:36" ht="12" x14ac:dyDescent="0.2">
      <c r="A34" s="692" t="s">
        <v>1152</v>
      </c>
      <c r="B34" s="3495" t="s">
        <v>799</v>
      </c>
      <c r="C34" s="3495" t="s">
        <v>799</v>
      </c>
      <c r="D34" s="3495" t="s">
        <v>799</v>
      </c>
      <c r="E34" s="3495" t="s">
        <v>799</v>
      </c>
      <c r="F34" s="3495" t="s">
        <v>799</v>
      </c>
      <c r="G34" s="3495" t="s">
        <v>799</v>
      </c>
      <c r="H34" s="3495" t="s">
        <v>799</v>
      </c>
      <c r="I34" s="3495" t="s">
        <v>799</v>
      </c>
      <c r="J34" s="3495" t="s">
        <v>799</v>
      </c>
      <c r="K34" s="3495" t="s">
        <v>799</v>
      </c>
      <c r="L34" s="3495" t="s">
        <v>799</v>
      </c>
      <c r="M34" s="3495" t="s">
        <v>799</v>
      </c>
      <c r="N34" s="3495" t="s">
        <v>799</v>
      </c>
      <c r="O34" s="3495" t="s">
        <v>799</v>
      </c>
      <c r="P34" s="3495" t="s">
        <v>799</v>
      </c>
      <c r="Q34" s="3495" t="s">
        <v>799</v>
      </c>
      <c r="R34" s="3495" t="s">
        <v>799</v>
      </c>
      <c r="S34" s="3495" t="s">
        <v>799</v>
      </c>
      <c r="T34" s="3495" t="s">
        <v>799</v>
      </c>
      <c r="U34" s="3495" t="s">
        <v>799</v>
      </c>
      <c r="V34" s="3497" t="s">
        <v>986</v>
      </c>
      <c r="W34" s="3495" t="s">
        <v>799</v>
      </c>
      <c r="X34" s="3495" t="s">
        <v>799</v>
      </c>
      <c r="Y34" s="3495" t="s">
        <v>799</v>
      </c>
      <c r="Z34" s="3495" t="s">
        <v>799</v>
      </c>
      <c r="AA34" s="3495" t="s">
        <v>799</v>
      </c>
      <c r="AB34" s="3495" t="s">
        <v>799</v>
      </c>
      <c r="AC34" s="3495" t="s">
        <v>799</v>
      </c>
      <c r="AD34" s="3495" t="s">
        <v>799</v>
      </c>
      <c r="AE34" s="3495" t="s">
        <v>799</v>
      </c>
      <c r="AF34" s="3495" t="s">
        <v>799</v>
      </c>
      <c r="AG34" s="3497" t="s">
        <v>986</v>
      </c>
      <c r="AH34" s="3495" t="s">
        <v>799</v>
      </c>
      <c r="AI34" s="3495" t="s">
        <v>799</v>
      </c>
      <c r="AJ34" s="3495" t="s">
        <v>799</v>
      </c>
    </row>
    <row r="35" spans="1:36" ht="12" x14ac:dyDescent="0.2">
      <c r="A35" s="3533" t="s">
        <v>1098</v>
      </c>
      <c r="B35" s="3495" t="s">
        <v>799</v>
      </c>
      <c r="C35" s="3495" t="s">
        <v>799</v>
      </c>
      <c r="D35" s="3495" t="s">
        <v>799</v>
      </c>
      <c r="E35" s="3495" t="s">
        <v>799</v>
      </c>
      <c r="F35" s="3495" t="s">
        <v>799</v>
      </c>
      <c r="G35" s="3495" t="s">
        <v>799</v>
      </c>
      <c r="H35" s="3495" t="s">
        <v>799</v>
      </c>
      <c r="I35" s="3495" t="s">
        <v>799</v>
      </c>
      <c r="J35" s="3495" t="s">
        <v>799</v>
      </c>
      <c r="K35" s="3495" t="s">
        <v>799</v>
      </c>
      <c r="L35" s="3495" t="s">
        <v>799</v>
      </c>
      <c r="M35" s="3495" t="s">
        <v>799</v>
      </c>
      <c r="N35" s="3495" t="s">
        <v>799</v>
      </c>
      <c r="O35" s="3495" t="s">
        <v>799</v>
      </c>
      <c r="P35" s="3495" t="s">
        <v>799</v>
      </c>
      <c r="Q35" s="3495" t="s">
        <v>799</v>
      </c>
      <c r="R35" s="3495" t="s">
        <v>799</v>
      </c>
      <c r="S35" s="3495" t="s">
        <v>799</v>
      </c>
      <c r="T35" s="3495" t="s">
        <v>799</v>
      </c>
      <c r="U35" s="3495" t="s">
        <v>799</v>
      </c>
      <c r="V35" s="3497" t="s">
        <v>986</v>
      </c>
      <c r="W35" s="3495" t="s">
        <v>799</v>
      </c>
      <c r="X35" s="3495" t="s">
        <v>799</v>
      </c>
      <c r="Y35" s="3495" t="s">
        <v>799</v>
      </c>
      <c r="Z35" s="3495" t="s">
        <v>799</v>
      </c>
      <c r="AA35" s="3495" t="s">
        <v>799</v>
      </c>
      <c r="AB35" s="3495" t="s">
        <v>799</v>
      </c>
      <c r="AC35" s="3495" t="s">
        <v>799</v>
      </c>
      <c r="AD35" s="3495" t="s">
        <v>799</v>
      </c>
      <c r="AE35" s="3495" t="s">
        <v>799</v>
      </c>
      <c r="AF35" s="3495" t="s">
        <v>799</v>
      </c>
      <c r="AG35" s="3497" t="s">
        <v>986</v>
      </c>
      <c r="AH35" s="3495" t="s">
        <v>799</v>
      </c>
      <c r="AI35" s="3495" t="s">
        <v>799</v>
      </c>
      <c r="AJ35" s="3495" t="s">
        <v>799</v>
      </c>
    </row>
    <row r="36" spans="1:36" ht="13.5" customHeight="1" thickBot="1" x14ac:dyDescent="0.25">
      <c r="A36" s="691" t="s">
        <v>564</v>
      </c>
      <c r="B36" s="5481" t="s">
        <v>1151</v>
      </c>
      <c r="C36" s="5486"/>
      <c r="D36" s="5486"/>
      <c r="E36" s="5486"/>
      <c r="F36" s="5486"/>
      <c r="G36" s="5486"/>
      <c r="H36" s="5486"/>
      <c r="I36" s="5486"/>
      <c r="J36" s="5486"/>
      <c r="K36" s="5486"/>
      <c r="L36" s="5486"/>
      <c r="M36" s="5486"/>
      <c r="N36" s="5486"/>
      <c r="O36" s="5486"/>
      <c r="P36" s="5486"/>
      <c r="Q36" s="5486"/>
      <c r="R36" s="5486"/>
      <c r="S36" s="5486"/>
      <c r="T36" s="5486"/>
      <c r="U36" s="5486"/>
      <c r="V36" s="5486"/>
      <c r="W36" s="5486"/>
      <c r="X36" s="5486"/>
      <c r="Y36" s="5486"/>
      <c r="Z36" s="5486"/>
      <c r="AA36" s="5486"/>
      <c r="AB36" s="5486"/>
      <c r="AC36" s="5486"/>
      <c r="AD36" s="5486"/>
      <c r="AE36" s="5486"/>
      <c r="AF36" s="5486"/>
      <c r="AG36" s="5486"/>
      <c r="AH36" s="5486"/>
      <c r="AI36" s="5486"/>
      <c r="AJ36" s="5487"/>
    </row>
    <row r="37" spans="1:36" ht="15" thickTop="1" x14ac:dyDescent="0.2">
      <c r="A37" s="690" t="s">
        <v>1150</v>
      </c>
      <c r="B37" s="3495" t="s">
        <v>1006</v>
      </c>
      <c r="C37" s="3495">
        <v>11.7656159700825</v>
      </c>
      <c r="D37" s="3495" t="s">
        <v>1006</v>
      </c>
      <c r="E37" s="3495" t="s">
        <v>1006</v>
      </c>
      <c r="F37" s="3495">
        <v>111.40585801233</v>
      </c>
      <c r="G37" s="3495" t="s">
        <v>1006</v>
      </c>
      <c r="H37" s="3495">
        <v>135.53040020852418</v>
      </c>
      <c r="I37" s="3495" t="s">
        <v>1006</v>
      </c>
      <c r="J37" s="3495">
        <v>72.578494850986502</v>
      </c>
      <c r="K37" s="3495" t="s">
        <v>1006</v>
      </c>
      <c r="L37" s="3495">
        <v>0.63648828000000002</v>
      </c>
      <c r="M37" s="3495" t="s">
        <v>1006</v>
      </c>
      <c r="N37" s="3495">
        <v>2.6471619999999998</v>
      </c>
      <c r="O37" s="3495" t="s">
        <v>1006</v>
      </c>
      <c r="P37" s="3495" t="s">
        <v>1006</v>
      </c>
      <c r="Q37" s="3495" t="s">
        <v>1006</v>
      </c>
      <c r="R37" s="3495" t="s">
        <v>1006</v>
      </c>
      <c r="S37" s="3495" t="s">
        <v>1006</v>
      </c>
      <c r="T37" s="3495" t="s">
        <v>1006</v>
      </c>
      <c r="U37" s="3495" t="s">
        <v>1006</v>
      </c>
      <c r="V37" s="3497" t="s">
        <v>986</v>
      </c>
      <c r="W37" s="3495">
        <v>6.9670148750000001E-3</v>
      </c>
      <c r="X37" s="3495" t="s">
        <v>1006</v>
      </c>
      <c r="Y37" s="3495" t="s">
        <v>1006</v>
      </c>
      <c r="Z37" s="3495" t="s">
        <v>1006</v>
      </c>
      <c r="AA37" s="3495" t="s">
        <v>1006</v>
      </c>
      <c r="AB37" s="3495" t="s">
        <v>1006</v>
      </c>
      <c r="AC37" s="3495" t="s">
        <v>1006</v>
      </c>
      <c r="AD37" s="3495" t="s">
        <v>1006</v>
      </c>
      <c r="AE37" s="3495" t="s">
        <v>1006</v>
      </c>
      <c r="AF37" s="3495" t="s">
        <v>1006</v>
      </c>
      <c r="AG37" s="3497" t="s">
        <v>986</v>
      </c>
      <c r="AH37" s="3495" t="s">
        <v>1006</v>
      </c>
      <c r="AI37" s="3495">
        <v>45.538197680003996</v>
      </c>
      <c r="AJ37" s="3495" t="s">
        <v>1006</v>
      </c>
    </row>
    <row r="38" spans="1:36" ht="12" x14ac:dyDescent="0.2">
      <c r="A38" s="3532" t="s">
        <v>1149</v>
      </c>
      <c r="B38" s="3495" t="s">
        <v>1006</v>
      </c>
      <c r="C38" s="3495" t="s">
        <v>1006</v>
      </c>
      <c r="D38" s="3495" t="s">
        <v>1006</v>
      </c>
      <c r="E38" s="3495" t="s">
        <v>1006</v>
      </c>
      <c r="F38" s="3495" t="s">
        <v>1006</v>
      </c>
      <c r="G38" s="3495" t="s">
        <v>1006</v>
      </c>
      <c r="H38" s="3495" t="s">
        <v>1006</v>
      </c>
      <c r="I38" s="3495" t="s">
        <v>1006</v>
      </c>
      <c r="J38" s="3495" t="s">
        <v>1006</v>
      </c>
      <c r="K38" s="3495" t="s">
        <v>1006</v>
      </c>
      <c r="L38" s="3495" t="s">
        <v>1006</v>
      </c>
      <c r="M38" s="3495" t="s">
        <v>1006</v>
      </c>
      <c r="N38" s="3495" t="s">
        <v>1006</v>
      </c>
      <c r="O38" s="3495" t="s">
        <v>1006</v>
      </c>
      <c r="P38" s="3495" t="s">
        <v>1006</v>
      </c>
      <c r="Q38" s="3495" t="s">
        <v>1006</v>
      </c>
      <c r="R38" s="3495" t="s">
        <v>1006</v>
      </c>
      <c r="S38" s="3495" t="s">
        <v>1006</v>
      </c>
      <c r="T38" s="3495" t="s">
        <v>1006</v>
      </c>
      <c r="U38" s="3495" t="s">
        <v>1006</v>
      </c>
      <c r="V38" s="3497" t="s">
        <v>986</v>
      </c>
      <c r="W38" s="3495" t="s">
        <v>1006</v>
      </c>
      <c r="X38" s="3495" t="s">
        <v>1006</v>
      </c>
      <c r="Y38" s="3495" t="s">
        <v>1006</v>
      </c>
      <c r="Z38" s="3495" t="s">
        <v>1006</v>
      </c>
      <c r="AA38" s="3495" t="s">
        <v>1006</v>
      </c>
      <c r="AB38" s="3495" t="s">
        <v>1006</v>
      </c>
      <c r="AC38" s="3495" t="s">
        <v>1006</v>
      </c>
      <c r="AD38" s="3495" t="s">
        <v>1006</v>
      </c>
      <c r="AE38" s="3495" t="s">
        <v>1006</v>
      </c>
      <c r="AF38" s="3495" t="s">
        <v>1006</v>
      </c>
      <c r="AG38" s="3497" t="s">
        <v>986</v>
      </c>
      <c r="AH38" s="3495" t="s">
        <v>1006</v>
      </c>
      <c r="AI38" s="3495" t="s">
        <v>1006</v>
      </c>
      <c r="AJ38" s="3495" t="s">
        <v>1006</v>
      </c>
    </row>
    <row r="39" spans="1:36" ht="12" x14ac:dyDescent="0.2">
      <c r="A39" s="3531" t="s">
        <v>1148</v>
      </c>
      <c r="B39" s="3495" t="s">
        <v>259</v>
      </c>
      <c r="C39" s="3495" t="s">
        <v>259</v>
      </c>
      <c r="D39" s="3495" t="s">
        <v>259</v>
      </c>
      <c r="E39" s="3495" t="s">
        <v>259</v>
      </c>
      <c r="F39" s="3495" t="s">
        <v>259</v>
      </c>
      <c r="G39" s="3495" t="s">
        <v>259</v>
      </c>
      <c r="H39" s="3495" t="s">
        <v>259</v>
      </c>
      <c r="I39" s="3495" t="s">
        <v>259</v>
      </c>
      <c r="J39" s="3495" t="s">
        <v>259</v>
      </c>
      <c r="K39" s="3495" t="s">
        <v>259</v>
      </c>
      <c r="L39" s="3495" t="s">
        <v>259</v>
      </c>
      <c r="M39" s="3495" t="s">
        <v>259</v>
      </c>
      <c r="N39" s="3495" t="s">
        <v>259</v>
      </c>
      <c r="O39" s="3495" t="s">
        <v>259</v>
      </c>
      <c r="P39" s="3495" t="s">
        <v>259</v>
      </c>
      <c r="Q39" s="3495" t="s">
        <v>259</v>
      </c>
      <c r="R39" s="3495" t="s">
        <v>259</v>
      </c>
      <c r="S39" s="3495" t="s">
        <v>259</v>
      </c>
      <c r="T39" s="3495" t="s">
        <v>259</v>
      </c>
      <c r="U39" s="3495" t="s">
        <v>259</v>
      </c>
      <c r="V39" s="3497" t="s">
        <v>986</v>
      </c>
      <c r="W39" s="3495" t="s">
        <v>259</v>
      </c>
      <c r="X39" s="3495" t="s">
        <v>259</v>
      </c>
      <c r="Y39" s="3495" t="s">
        <v>259</v>
      </c>
      <c r="Z39" s="3495" t="s">
        <v>259</v>
      </c>
      <c r="AA39" s="3495" t="s">
        <v>259</v>
      </c>
      <c r="AB39" s="3495" t="s">
        <v>259</v>
      </c>
      <c r="AC39" s="3495" t="s">
        <v>259</v>
      </c>
      <c r="AD39" s="3495" t="s">
        <v>259</v>
      </c>
      <c r="AE39" s="3495" t="s">
        <v>259</v>
      </c>
      <c r="AF39" s="3495" t="s">
        <v>259</v>
      </c>
      <c r="AG39" s="3497" t="s">
        <v>986</v>
      </c>
      <c r="AH39" s="3495" t="s">
        <v>259</v>
      </c>
      <c r="AI39" s="3495" t="s">
        <v>259</v>
      </c>
      <c r="AJ39" s="3495" t="s">
        <v>259</v>
      </c>
    </row>
    <row r="40" spans="1:36" ht="12" x14ac:dyDescent="0.2">
      <c r="A40" s="3529" t="s">
        <v>1147</v>
      </c>
      <c r="B40" s="3495" t="s">
        <v>259</v>
      </c>
      <c r="C40" s="3495" t="s">
        <v>259</v>
      </c>
      <c r="D40" s="3495" t="s">
        <v>259</v>
      </c>
      <c r="E40" s="3495" t="s">
        <v>259</v>
      </c>
      <c r="F40" s="3495" t="s">
        <v>259</v>
      </c>
      <c r="G40" s="3495" t="s">
        <v>259</v>
      </c>
      <c r="H40" s="3495" t="s">
        <v>259</v>
      </c>
      <c r="I40" s="3495" t="s">
        <v>259</v>
      </c>
      <c r="J40" s="3495" t="s">
        <v>259</v>
      </c>
      <c r="K40" s="3495" t="s">
        <v>259</v>
      </c>
      <c r="L40" s="3495" t="s">
        <v>259</v>
      </c>
      <c r="M40" s="3495" t="s">
        <v>259</v>
      </c>
      <c r="N40" s="3495" t="s">
        <v>259</v>
      </c>
      <c r="O40" s="3495" t="s">
        <v>259</v>
      </c>
      <c r="P40" s="3495" t="s">
        <v>259</v>
      </c>
      <c r="Q40" s="3495" t="s">
        <v>259</v>
      </c>
      <c r="R40" s="3495" t="s">
        <v>259</v>
      </c>
      <c r="S40" s="3495" t="s">
        <v>259</v>
      </c>
      <c r="T40" s="3495" t="s">
        <v>259</v>
      </c>
      <c r="U40" s="3495" t="s">
        <v>259</v>
      </c>
      <c r="V40" s="3497" t="s">
        <v>986</v>
      </c>
      <c r="W40" s="3495" t="s">
        <v>259</v>
      </c>
      <c r="X40" s="3495" t="s">
        <v>259</v>
      </c>
      <c r="Y40" s="3495" t="s">
        <v>259</v>
      </c>
      <c r="Z40" s="3495" t="s">
        <v>259</v>
      </c>
      <c r="AA40" s="3495" t="s">
        <v>259</v>
      </c>
      <c r="AB40" s="3495" t="s">
        <v>259</v>
      </c>
      <c r="AC40" s="3495" t="s">
        <v>259</v>
      </c>
      <c r="AD40" s="3495" t="s">
        <v>259</v>
      </c>
      <c r="AE40" s="3495" t="s">
        <v>259</v>
      </c>
      <c r="AF40" s="3495" t="s">
        <v>259</v>
      </c>
      <c r="AG40" s="3497" t="s">
        <v>986</v>
      </c>
      <c r="AH40" s="3495" t="s">
        <v>259</v>
      </c>
      <c r="AI40" s="3495" t="s">
        <v>259</v>
      </c>
      <c r="AJ40" s="3495" t="s">
        <v>259</v>
      </c>
    </row>
    <row r="41" spans="1:36" ht="12" x14ac:dyDescent="0.2">
      <c r="A41" s="3530" t="s">
        <v>1146</v>
      </c>
      <c r="B41" s="3495" t="s">
        <v>259</v>
      </c>
      <c r="C41" s="3495">
        <v>11.7656159700825</v>
      </c>
      <c r="D41" s="3495" t="s">
        <v>259</v>
      </c>
      <c r="E41" s="3495" t="s">
        <v>259</v>
      </c>
      <c r="F41" s="3495">
        <v>111.40585801233</v>
      </c>
      <c r="G41" s="3495" t="s">
        <v>259</v>
      </c>
      <c r="H41" s="3495">
        <v>135.53040020852418</v>
      </c>
      <c r="I41" s="3495" t="s">
        <v>259</v>
      </c>
      <c r="J41" s="3495">
        <v>72.578494850986502</v>
      </c>
      <c r="K41" s="3495" t="s">
        <v>259</v>
      </c>
      <c r="L41" s="3495">
        <v>0.63648828000000002</v>
      </c>
      <c r="M41" s="3495" t="s">
        <v>259</v>
      </c>
      <c r="N41" s="3495">
        <v>2.6471619999999998</v>
      </c>
      <c r="O41" s="3495" t="s">
        <v>259</v>
      </c>
      <c r="P41" s="3495" t="s">
        <v>259</v>
      </c>
      <c r="Q41" s="3495" t="s">
        <v>259</v>
      </c>
      <c r="R41" s="3495" t="s">
        <v>259</v>
      </c>
      <c r="S41" s="3495" t="s">
        <v>259</v>
      </c>
      <c r="T41" s="3495" t="s">
        <v>259</v>
      </c>
      <c r="U41" s="3495" t="s">
        <v>259</v>
      </c>
      <c r="V41" s="3497" t="s">
        <v>986</v>
      </c>
      <c r="W41" s="3495">
        <v>6.9670148750000001E-3</v>
      </c>
      <c r="X41" s="3495" t="s">
        <v>259</v>
      </c>
      <c r="Y41" s="3495" t="s">
        <v>259</v>
      </c>
      <c r="Z41" s="3495" t="s">
        <v>259</v>
      </c>
      <c r="AA41" s="3495" t="s">
        <v>259</v>
      </c>
      <c r="AB41" s="3495" t="s">
        <v>259</v>
      </c>
      <c r="AC41" s="3495" t="s">
        <v>259</v>
      </c>
      <c r="AD41" s="3495" t="s">
        <v>259</v>
      </c>
      <c r="AE41" s="3495" t="s">
        <v>259</v>
      </c>
      <c r="AF41" s="3495" t="s">
        <v>259</v>
      </c>
      <c r="AG41" s="3497" t="s">
        <v>986</v>
      </c>
      <c r="AH41" s="3495" t="s">
        <v>259</v>
      </c>
      <c r="AI41" s="3495" t="s">
        <v>259</v>
      </c>
      <c r="AJ41" s="3495" t="s">
        <v>259</v>
      </c>
    </row>
    <row r="42" spans="1:36" ht="12" x14ac:dyDescent="0.2">
      <c r="A42" s="3529" t="s">
        <v>1145</v>
      </c>
      <c r="B42" s="3495" t="s">
        <v>1006</v>
      </c>
      <c r="C42" s="3495" t="s">
        <v>1006</v>
      </c>
      <c r="D42" s="3495" t="s">
        <v>1006</v>
      </c>
      <c r="E42" s="3495" t="s">
        <v>1006</v>
      </c>
      <c r="F42" s="3495" t="s">
        <v>1006</v>
      </c>
      <c r="G42" s="3495" t="s">
        <v>1006</v>
      </c>
      <c r="H42" s="3495" t="s">
        <v>1006</v>
      </c>
      <c r="I42" s="3495" t="s">
        <v>1006</v>
      </c>
      <c r="J42" s="3495" t="s">
        <v>1006</v>
      </c>
      <c r="K42" s="3495" t="s">
        <v>1006</v>
      </c>
      <c r="L42" s="3495" t="s">
        <v>1006</v>
      </c>
      <c r="M42" s="3495" t="s">
        <v>1006</v>
      </c>
      <c r="N42" s="3495" t="s">
        <v>1006</v>
      </c>
      <c r="O42" s="3495" t="s">
        <v>1006</v>
      </c>
      <c r="P42" s="3495" t="s">
        <v>1006</v>
      </c>
      <c r="Q42" s="3495" t="s">
        <v>1006</v>
      </c>
      <c r="R42" s="3495" t="s">
        <v>1006</v>
      </c>
      <c r="S42" s="3495" t="s">
        <v>1006</v>
      </c>
      <c r="T42" s="3495" t="s">
        <v>1006</v>
      </c>
      <c r="U42" s="3495" t="s">
        <v>1006</v>
      </c>
      <c r="V42" s="3497" t="s">
        <v>986</v>
      </c>
      <c r="W42" s="3495" t="s">
        <v>1006</v>
      </c>
      <c r="X42" s="3495" t="s">
        <v>1006</v>
      </c>
      <c r="Y42" s="3495" t="s">
        <v>1006</v>
      </c>
      <c r="Z42" s="3495" t="s">
        <v>1006</v>
      </c>
      <c r="AA42" s="3495" t="s">
        <v>1006</v>
      </c>
      <c r="AB42" s="3495" t="s">
        <v>1006</v>
      </c>
      <c r="AC42" s="3495" t="s">
        <v>1006</v>
      </c>
      <c r="AD42" s="3495" t="s">
        <v>1006</v>
      </c>
      <c r="AE42" s="3495" t="s">
        <v>1006</v>
      </c>
      <c r="AF42" s="3495" t="s">
        <v>1006</v>
      </c>
      <c r="AG42" s="3497" t="s">
        <v>986</v>
      </c>
      <c r="AH42" s="3495" t="s">
        <v>1006</v>
      </c>
      <c r="AI42" s="3495">
        <v>45.538197680003996</v>
      </c>
      <c r="AJ42" s="3495" t="s">
        <v>1006</v>
      </c>
    </row>
    <row r="43" spans="1:36" ht="14.25" customHeight="1" x14ac:dyDescent="0.2">
      <c r="A43" s="3528" t="s">
        <v>1144</v>
      </c>
      <c r="B43" s="3495" t="s">
        <v>799</v>
      </c>
      <c r="C43" s="3495" t="s">
        <v>799</v>
      </c>
      <c r="D43" s="3495" t="s">
        <v>799</v>
      </c>
      <c r="E43" s="3495" t="s">
        <v>799</v>
      </c>
      <c r="F43" s="3495" t="s">
        <v>799</v>
      </c>
      <c r="G43" s="3495" t="s">
        <v>799</v>
      </c>
      <c r="H43" s="3495" t="s">
        <v>799</v>
      </c>
      <c r="I43" s="3495" t="s">
        <v>799</v>
      </c>
      <c r="J43" s="3495" t="s">
        <v>799</v>
      </c>
      <c r="K43" s="3495" t="s">
        <v>799</v>
      </c>
      <c r="L43" s="3495" t="s">
        <v>799</v>
      </c>
      <c r="M43" s="3495" t="s">
        <v>799</v>
      </c>
      <c r="N43" s="3495" t="s">
        <v>799</v>
      </c>
      <c r="O43" s="3495" t="s">
        <v>799</v>
      </c>
      <c r="P43" s="3495" t="s">
        <v>799</v>
      </c>
      <c r="Q43" s="3495" t="s">
        <v>799</v>
      </c>
      <c r="R43" s="3495" t="s">
        <v>799</v>
      </c>
      <c r="S43" s="3495" t="s">
        <v>799</v>
      </c>
      <c r="T43" s="3495" t="s">
        <v>799</v>
      </c>
      <c r="U43" s="3495" t="s">
        <v>799</v>
      </c>
      <c r="V43" s="3497" t="s">
        <v>986</v>
      </c>
      <c r="W43" s="3495" t="s">
        <v>799</v>
      </c>
      <c r="X43" s="3495" t="s">
        <v>799</v>
      </c>
      <c r="Y43" s="3495" t="s">
        <v>799</v>
      </c>
      <c r="Z43" s="3495" t="s">
        <v>799</v>
      </c>
      <c r="AA43" s="3495" t="s">
        <v>799</v>
      </c>
      <c r="AB43" s="3495" t="s">
        <v>799</v>
      </c>
      <c r="AC43" s="3495" t="s">
        <v>799</v>
      </c>
      <c r="AD43" s="3495" t="s">
        <v>799</v>
      </c>
      <c r="AE43" s="3495" t="s">
        <v>799</v>
      </c>
      <c r="AF43" s="3495" t="s">
        <v>799</v>
      </c>
      <c r="AG43" s="3497" t="s">
        <v>986</v>
      </c>
      <c r="AH43" s="3495" t="s">
        <v>799</v>
      </c>
      <c r="AI43" s="3495" t="s">
        <v>799</v>
      </c>
      <c r="AJ43" s="3495" t="s">
        <v>799</v>
      </c>
    </row>
    <row r="44" spans="1:36" ht="15.75" customHeight="1" x14ac:dyDescent="0.2">
      <c r="A44" s="663"/>
      <c r="B44" s="663"/>
      <c r="C44" s="663"/>
      <c r="D44" s="663"/>
      <c r="E44" s="663"/>
      <c r="F44" s="663"/>
      <c r="G44" s="663"/>
      <c r="H44" s="663"/>
      <c r="I44" s="663"/>
      <c r="J44" s="663"/>
      <c r="K44" s="663"/>
      <c r="L44" s="663"/>
      <c r="M44" s="663"/>
      <c r="N44" s="663"/>
      <c r="O44" s="663"/>
      <c r="P44" s="663"/>
      <c r="Q44" s="663"/>
      <c r="R44" s="663"/>
      <c r="S44" s="663"/>
      <c r="T44" s="663"/>
      <c r="U44" s="663"/>
      <c r="V44" s="663"/>
      <c r="W44" s="663"/>
      <c r="X44" s="663"/>
      <c r="Y44" s="663"/>
      <c r="Z44" s="663"/>
      <c r="AA44" s="663"/>
      <c r="AB44" s="663"/>
      <c r="AC44" s="663"/>
      <c r="AD44" s="663"/>
      <c r="AE44" s="663"/>
      <c r="AF44" s="663"/>
      <c r="AG44" s="663"/>
      <c r="AH44" s="663"/>
      <c r="AI44" s="663"/>
      <c r="AJ44" s="660"/>
    </row>
    <row r="45" spans="1:36" ht="27.75" customHeight="1" x14ac:dyDescent="0.2">
      <c r="A45" s="5459" t="s">
        <v>1143</v>
      </c>
      <c r="B45" s="5459"/>
      <c r="C45" s="5459"/>
      <c r="D45" s="5459"/>
      <c r="E45" s="5459"/>
      <c r="F45" s="5459"/>
      <c r="G45" s="5459"/>
      <c r="H45" s="5459"/>
      <c r="I45" s="5459"/>
      <c r="J45" s="5459"/>
      <c r="K45" s="5459"/>
      <c r="L45" s="5459"/>
      <c r="M45" s="5459"/>
      <c r="N45" s="5459"/>
      <c r="O45" s="5459"/>
      <c r="P45" s="5459"/>
      <c r="Q45" s="5459"/>
      <c r="R45" s="5459"/>
      <c r="S45" s="5459"/>
      <c r="T45" s="5459"/>
      <c r="U45" s="5459"/>
      <c r="V45" s="5459"/>
      <c r="W45" s="5459"/>
      <c r="X45" s="5459"/>
      <c r="Y45" s="5459"/>
      <c r="Z45" s="5459"/>
      <c r="AA45" s="5459"/>
      <c r="AB45" s="5459"/>
      <c r="AC45" s="5459"/>
      <c r="AD45" s="5459"/>
      <c r="AE45" s="5459"/>
      <c r="AF45" s="5459"/>
      <c r="AG45" s="5459"/>
      <c r="AH45" s="5459"/>
      <c r="AI45" s="5459"/>
      <c r="AJ45" s="660"/>
    </row>
    <row r="46" spans="1:36" ht="13.5" x14ac:dyDescent="0.2">
      <c r="A46" s="5456" t="s">
        <v>1142</v>
      </c>
      <c r="B46" s="5456"/>
      <c r="C46" s="5456"/>
      <c r="D46" s="5456"/>
      <c r="E46" s="5456"/>
      <c r="F46" s="5456"/>
      <c r="G46" s="5456"/>
      <c r="H46" s="661"/>
      <c r="I46" s="661"/>
      <c r="J46" s="661"/>
      <c r="K46" s="661"/>
      <c r="L46" s="661"/>
      <c r="M46" s="661"/>
      <c r="N46" s="661"/>
      <c r="O46" s="661"/>
      <c r="P46" s="661"/>
      <c r="Q46" s="661"/>
      <c r="R46" s="661"/>
      <c r="S46" s="661"/>
      <c r="T46" s="661"/>
      <c r="U46" s="661"/>
      <c r="V46" s="661"/>
      <c r="W46" s="661"/>
      <c r="X46" s="661"/>
      <c r="Y46" s="661"/>
      <c r="Z46" s="661"/>
      <c r="AA46" s="661"/>
      <c r="AB46" s="661"/>
      <c r="AC46" s="661"/>
      <c r="AD46" s="661"/>
      <c r="AE46" s="661"/>
      <c r="AF46" s="661"/>
      <c r="AG46" s="661"/>
      <c r="AH46" s="661"/>
      <c r="AI46" s="661"/>
      <c r="AJ46" s="660"/>
    </row>
    <row r="47" spans="1:36" ht="13.5" x14ac:dyDescent="0.2">
      <c r="A47" s="5489" t="s">
        <v>1141</v>
      </c>
      <c r="B47" s="5489"/>
      <c r="C47" s="5489"/>
      <c r="D47" s="5489"/>
      <c r="E47" s="5489"/>
      <c r="F47" s="5489"/>
      <c r="G47" s="5489"/>
      <c r="H47" s="5489"/>
      <c r="I47" s="5489"/>
      <c r="J47" s="5489"/>
      <c r="K47" s="5489"/>
      <c r="L47" s="5489"/>
      <c r="M47" s="5489"/>
      <c r="N47" s="5489"/>
      <c r="O47" s="5489"/>
      <c r="P47" s="5489"/>
      <c r="Q47" s="5489"/>
      <c r="R47" s="5489"/>
      <c r="S47" s="5489"/>
      <c r="T47" s="5489"/>
      <c r="U47" s="5489"/>
      <c r="V47" s="5489"/>
      <c r="W47" s="5489"/>
      <c r="X47" s="661"/>
      <c r="Y47" s="661"/>
      <c r="Z47" s="661"/>
      <c r="AA47" s="661"/>
      <c r="AB47" s="661"/>
      <c r="AC47" s="661"/>
      <c r="AD47" s="661"/>
      <c r="AE47" s="661"/>
      <c r="AF47" s="661"/>
      <c r="AG47" s="661"/>
      <c r="AH47" s="661"/>
      <c r="AI47" s="661"/>
      <c r="AJ47" s="660"/>
    </row>
    <row r="48" spans="1:36" ht="15" customHeight="1" x14ac:dyDescent="0.2">
      <c r="A48" s="3302"/>
      <c r="B48" s="3300"/>
      <c r="C48" s="3300"/>
      <c r="D48" s="3300"/>
      <c r="E48" s="3300"/>
      <c r="F48" s="3300"/>
      <c r="G48" s="3300"/>
      <c r="H48" s="3300"/>
      <c r="I48" s="3300"/>
      <c r="J48" s="3300"/>
      <c r="K48" s="661"/>
      <c r="L48" s="661"/>
      <c r="M48" s="661"/>
      <c r="N48" s="661"/>
      <c r="O48" s="661"/>
      <c r="P48" s="661"/>
      <c r="Q48" s="661"/>
      <c r="R48" s="661"/>
      <c r="S48" s="661"/>
      <c r="T48" s="661"/>
      <c r="U48" s="661"/>
      <c r="V48" s="661"/>
      <c r="W48" s="661"/>
      <c r="X48" s="661"/>
      <c r="Y48" s="661"/>
      <c r="Z48" s="661"/>
      <c r="AA48" s="661"/>
      <c r="AB48" s="661"/>
      <c r="AC48" s="661"/>
      <c r="AD48" s="661"/>
      <c r="AE48" s="661"/>
      <c r="AF48" s="661"/>
      <c r="AG48" s="661"/>
      <c r="AH48" s="661"/>
      <c r="AI48" s="661"/>
      <c r="AJ48" s="660"/>
    </row>
    <row r="49" spans="1:36" ht="12" x14ac:dyDescent="0.2">
      <c r="A49" s="5490" t="s">
        <v>1140</v>
      </c>
      <c r="B49" s="5490"/>
      <c r="C49" s="5490"/>
      <c r="D49" s="5490"/>
      <c r="E49" s="5490"/>
      <c r="F49" s="5490"/>
      <c r="G49" s="5490"/>
      <c r="H49" s="5490"/>
      <c r="I49" s="5490"/>
      <c r="J49" s="5490"/>
      <c r="K49" s="5490"/>
      <c r="L49" s="5490"/>
      <c r="M49" s="5490"/>
      <c r="N49" s="5490"/>
      <c r="O49" s="5490"/>
      <c r="P49" s="5490"/>
      <c r="Q49" s="5490"/>
      <c r="R49" s="5490"/>
      <c r="S49" s="5490"/>
      <c r="T49" s="5490"/>
      <c r="U49" s="5490"/>
      <c r="V49" s="5490"/>
      <c r="W49" s="5490"/>
      <c r="X49" s="5490"/>
      <c r="Y49" s="5490"/>
      <c r="Z49" s="5490"/>
      <c r="AA49" s="5490"/>
      <c r="AB49" s="5490"/>
      <c r="AC49" s="5490"/>
      <c r="AD49" s="5490"/>
      <c r="AE49" s="5490"/>
      <c r="AF49" s="5490"/>
      <c r="AG49" s="5490"/>
      <c r="AH49" s="5490"/>
      <c r="AI49" s="5490"/>
      <c r="AJ49" s="660"/>
    </row>
    <row r="50" spans="1:36" ht="5.25" customHeight="1" x14ac:dyDescent="0.2">
      <c r="A50" s="5490"/>
      <c r="B50" s="5490"/>
      <c r="C50" s="5490"/>
      <c r="D50" s="5490"/>
      <c r="E50" s="5490"/>
      <c r="F50" s="5490"/>
      <c r="G50" s="5490"/>
      <c r="H50" s="5490"/>
      <c r="I50" s="5490"/>
      <c r="J50" s="5490"/>
      <c r="K50" s="5490"/>
      <c r="L50" s="5490"/>
      <c r="M50" s="5490"/>
      <c r="N50" s="5490"/>
      <c r="O50" s="5490"/>
      <c r="P50" s="5490"/>
      <c r="Q50" s="5490"/>
      <c r="R50" s="5490"/>
      <c r="S50" s="5490"/>
      <c r="T50" s="5490"/>
      <c r="U50" s="5490"/>
      <c r="V50" s="5490"/>
      <c r="W50" s="5490"/>
      <c r="X50" s="5490"/>
      <c r="Y50" s="5490"/>
      <c r="Z50" s="5490"/>
      <c r="AA50" s="5490"/>
      <c r="AB50" s="5490"/>
      <c r="AC50" s="5490"/>
      <c r="AD50" s="5490"/>
      <c r="AE50" s="5490"/>
      <c r="AF50" s="5490"/>
      <c r="AG50" s="5490"/>
      <c r="AH50" s="5490"/>
      <c r="AI50" s="5490"/>
      <c r="AJ50" s="660"/>
    </row>
    <row r="51" spans="1:36" ht="8.25" customHeight="1" x14ac:dyDescent="0.2">
      <c r="A51" s="661"/>
      <c r="B51" s="689"/>
      <c r="C51" s="689"/>
      <c r="D51" s="689"/>
      <c r="E51" s="689"/>
      <c r="F51" s="689"/>
      <c r="G51" s="689"/>
      <c r="H51" s="689"/>
      <c r="I51" s="689"/>
      <c r="J51" s="689"/>
      <c r="K51" s="689"/>
      <c r="L51" s="689"/>
      <c r="M51" s="689"/>
      <c r="N51" s="689"/>
      <c r="O51" s="689"/>
      <c r="P51" s="689"/>
      <c r="Q51" s="689"/>
      <c r="R51" s="689"/>
      <c r="S51" s="689"/>
      <c r="T51" s="689"/>
      <c r="U51" s="689"/>
      <c r="V51" s="689"/>
      <c r="W51" s="689"/>
      <c r="X51" s="689"/>
      <c r="Y51" s="689"/>
      <c r="Z51" s="689"/>
      <c r="AA51" s="689"/>
      <c r="AB51" s="689"/>
      <c r="AC51" s="689"/>
      <c r="AD51" s="689"/>
      <c r="AE51" s="689"/>
      <c r="AF51" s="689"/>
      <c r="AG51" s="689"/>
      <c r="AH51" s="689"/>
      <c r="AI51" s="689"/>
      <c r="AJ51" s="660"/>
    </row>
    <row r="52" spans="1:36" ht="12" x14ac:dyDescent="0.2">
      <c r="A52" s="5698" t="s">
        <v>982</v>
      </c>
      <c r="B52" s="5699"/>
      <c r="C52" s="5699"/>
      <c r="D52" s="5699"/>
      <c r="E52" s="5699"/>
      <c r="F52" s="5699"/>
      <c r="G52" s="5699"/>
      <c r="H52" s="5699"/>
      <c r="I52" s="5699"/>
      <c r="J52" s="5699"/>
      <c r="K52" s="5699"/>
      <c r="L52" s="5699"/>
      <c r="M52" s="5699"/>
      <c r="N52" s="5699"/>
      <c r="O52" s="5699"/>
      <c r="P52" s="5699"/>
      <c r="Q52" s="5699"/>
      <c r="R52" s="5699"/>
      <c r="S52" s="5699"/>
      <c r="T52" s="5699"/>
      <c r="U52" s="5699"/>
      <c r="V52" s="5699"/>
      <c r="W52" s="5699"/>
      <c r="X52" s="5699"/>
      <c r="Y52" s="5699"/>
      <c r="Z52" s="5699"/>
      <c r="AA52" s="5699"/>
      <c r="AB52" s="5699"/>
      <c r="AC52" s="5699"/>
      <c r="AD52" s="5699"/>
      <c r="AE52" s="5699"/>
      <c r="AF52" s="5699"/>
      <c r="AG52" s="5699"/>
      <c r="AH52" s="5699"/>
      <c r="AI52" s="5700"/>
      <c r="AJ52" s="660"/>
    </row>
    <row r="53" spans="1:36" ht="12.75" customHeight="1" x14ac:dyDescent="0.2">
      <c r="A53" s="5476" t="s">
        <v>1139</v>
      </c>
      <c r="B53" s="5435"/>
      <c r="C53" s="5435"/>
      <c r="D53" s="5435"/>
      <c r="E53" s="5435"/>
      <c r="F53" s="5435"/>
      <c r="G53" s="5435"/>
      <c r="H53" s="5435"/>
      <c r="I53" s="5435"/>
      <c r="J53" s="5435"/>
      <c r="K53" s="5435"/>
      <c r="L53" s="5435"/>
      <c r="M53" s="5435"/>
      <c r="N53" s="5435"/>
      <c r="O53" s="5435"/>
      <c r="P53" s="5435"/>
      <c r="Q53" s="5435"/>
      <c r="R53" s="5435"/>
      <c r="S53" s="5435"/>
      <c r="T53" s="5435"/>
      <c r="U53" s="5435"/>
      <c r="V53" s="5435"/>
      <c r="W53" s="5435"/>
      <c r="X53" s="5435"/>
      <c r="Y53" s="5435"/>
      <c r="Z53" s="5435"/>
      <c r="AA53" s="5435"/>
      <c r="AB53" s="5435"/>
      <c r="AC53" s="5435"/>
      <c r="AD53" s="5435"/>
      <c r="AE53" s="5435"/>
      <c r="AF53" s="5435"/>
      <c r="AG53" s="5435"/>
      <c r="AH53" s="5435"/>
      <c r="AI53" s="5477"/>
      <c r="AJ53" s="660"/>
    </row>
    <row r="54" spans="1:36" ht="12" x14ac:dyDescent="0.2">
      <c r="A54" s="5478" t="s">
        <v>1138</v>
      </c>
      <c r="B54" s="5479"/>
      <c r="C54" s="5479"/>
      <c r="D54" s="5479"/>
      <c r="E54" s="5479"/>
      <c r="F54" s="5479"/>
      <c r="G54" s="5479"/>
      <c r="H54" s="5479"/>
      <c r="I54" s="5479"/>
      <c r="J54" s="5479"/>
      <c r="K54" s="5479"/>
      <c r="L54" s="5479"/>
      <c r="M54" s="5479"/>
      <c r="N54" s="5479"/>
      <c r="O54" s="5479"/>
      <c r="P54" s="5479"/>
      <c r="Q54" s="5479"/>
      <c r="R54" s="5479"/>
      <c r="S54" s="5479"/>
      <c r="T54" s="5479"/>
      <c r="U54" s="5479"/>
      <c r="V54" s="5479"/>
      <c r="W54" s="5479"/>
      <c r="X54" s="5479"/>
      <c r="Y54" s="5479"/>
      <c r="Z54" s="5479"/>
      <c r="AA54" s="5479"/>
      <c r="AB54" s="5479"/>
      <c r="AC54" s="5479"/>
      <c r="AD54" s="5479"/>
      <c r="AE54" s="5479"/>
      <c r="AF54" s="5479"/>
      <c r="AG54" s="5479"/>
      <c r="AH54" s="5479"/>
      <c r="AI54" s="5480"/>
      <c r="AJ54" s="660"/>
    </row>
    <row r="55" spans="1:36" ht="15.75" customHeight="1" x14ac:dyDescent="0.2">
      <c r="A55" s="3494" t="s">
        <v>980</v>
      </c>
      <c r="B55" s="5696" t="s">
        <v>986</v>
      </c>
      <c r="C55" s="5709"/>
      <c r="D55" s="5709"/>
      <c r="E55" s="5709"/>
      <c r="F55" s="5709"/>
      <c r="G55" s="5709"/>
      <c r="H55" s="5709"/>
      <c r="I55" s="5709"/>
      <c r="J55" s="5709"/>
      <c r="K55" s="5709"/>
      <c r="L55" s="5709"/>
      <c r="M55" s="5709"/>
      <c r="N55" s="5709"/>
      <c r="O55" s="5709"/>
      <c r="P55" s="5709"/>
      <c r="Q55" s="5709"/>
      <c r="R55" s="5709"/>
      <c r="S55" s="5709"/>
      <c r="T55" s="5709"/>
      <c r="U55" s="5709"/>
      <c r="V55" s="5709"/>
      <c r="W55" s="5709"/>
      <c r="X55" s="5709"/>
      <c r="Y55" s="5709"/>
      <c r="Z55" s="5709"/>
      <c r="AA55" s="5709"/>
      <c r="AB55" s="5709"/>
      <c r="AC55" s="5709"/>
      <c r="AD55" s="5709"/>
      <c r="AE55" s="5709"/>
      <c r="AF55" s="5709"/>
      <c r="AG55" s="5709"/>
      <c r="AH55" s="5709"/>
      <c r="AI55" s="5709"/>
    </row>
    <row r="56" spans="1:36" ht="15.75" customHeight="1" x14ac:dyDescent="0.2">
      <c r="A56" s="3494" t="s">
        <v>980</v>
      </c>
      <c r="B56" s="5696" t="s">
        <v>986</v>
      </c>
      <c r="C56" s="5709"/>
      <c r="D56" s="5709"/>
      <c r="E56" s="5709"/>
      <c r="F56" s="5709"/>
      <c r="G56" s="5709"/>
      <c r="H56" s="5709"/>
      <c r="I56" s="5709"/>
      <c r="J56" s="5709"/>
      <c r="K56" s="5709"/>
      <c r="L56" s="5709"/>
      <c r="M56" s="5709"/>
      <c r="N56" s="5709"/>
      <c r="O56" s="5709"/>
      <c r="P56" s="5709"/>
      <c r="Q56" s="5709"/>
      <c r="R56" s="5709"/>
      <c r="S56" s="5709"/>
      <c r="T56" s="5709"/>
      <c r="U56" s="5709"/>
      <c r="V56" s="5709"/>
      <c r="W56" s="5709"/>
      <c r="X56" s="5709"/>
      <c r="Y56" s="5709"/>
      <c r="Z56" s="5709"/>
      <c r="AA56" s="5709"/>
      <c r="AB56" s="5709"/>
      <c r="AC56" s="5709"/>
      <c r="AD56" s="5709"/>
      <c r="AE56" s="5709"/>
      <c r="AF56" s="5709"/>
      <c r="AG56" s="5709"/>
      <c r="AH56" s="5709"/>
      <c r="AI56" s="5709"/>
    </row>
    <row r="57" spans="1:36" ht="15.75" customHeight="1" x14ac:dyDescent="0.2">
      <c r="A57" s="3494" t="s">
        <v>980</v>
      </c>
      <c r="B57" s="5696" t="s">
        <v>986</v>
      </c>
      <c r="C57" s="5709"/>
      <c r="D57" s="5709"/>
      <c r="E57" s="5709"/>
      <c r="F57" s="5709"/>
      <c r="G57" s="5709"/>
      <c r="H57" s="5709"/>
      <c r="I57" s="5709"/>
      <c r="J57" s="5709"/>
      <c r="K57" s="5709"/>
      <c r="L57" s="5709"/>
      <c r="M57" s="5709"/>
      <c r="N57" s="5709"/>
      <c r="O57" s="5709"/>
      <c r="P57" s="5709"/>
      <c r="Q57" s="5709"/>
      <c r="R57" s="5709"/>
      <c r="S57" s="5709"/>
      <c r="T57" s="5709"/>
      <c r="U57" s="5709"/>
      <c r="V57" s="5709"/>
      <c r="W57" s="5709"/>
      <c r="X57" s="5709"/>
      <c r="Y57" s="5709"/>
      <c r="Z57" s="5709"/>
      <c r="AA57" s="5709"/>
      <c r="AB57" s="5709"/>
      <c r="AC57" s="5709"/>
      <c r="AD57" s="5709"/>
      <c r="AE57" s="5709"/>
      <c r="AF57" s="5709"/>
      <c r="AG57" s="5709"/>
      <c r="AH57" s="5709"/>
      <c r="AI57" s="5709"/>
    </row>
    <row r="58" spans="1:36" ht="15.75" customHeight="1" x14ac:dyDescent="0.2">
      <c r="A58" s="3494" t="s">
        <v>980</v>
      </c>
      <c r="B58" s="5696" t="s">
        <v>986</v>
      </c>
      <c r="C58" s="5709"/>
      <c r="D58" s="5709"/>
      <c r="E58" s="5709"/>
      <c r="F58" s="5709"/>
      <c r="G58" s="5709"/>
      <c r="H58" s="5709"/>
      <c r="I58" s="5709"/>
      <c r="J58" s="5709"/>
      <c r="K58" s="5709"/>
      <c r="L58" s="5709"/>
      <c r="M58" s="5709"/>
      <c r="N58" s="5709"/>
      <c r="O58" s="5709"/>
      <c r="P58" s="5709"/>
      <c r="Q58" s="5709"/>
      <c r="R58" s="5709"/>
      <c r="S58" s="5709"/>
      <c r="T58" s="5709"/>
      <c r="U58" s="5709"/>
      <c r="V58" s="5709"/>
      <c r="W58" s="5709"/>
      <c r="X58" s="5709"/>
      <c r="Y58" s="5709"/>
      <c r="Z58" s="5709"/>
      <c r="AA58" s="5709"/>
      <c r="AB58" s="5709"/>
      <c r="AC58" s="5709"/>
      <c r="AD58" s="5709"/>
      <c r="AE58" s="5709"/>
      <c r="AF58" s="5709"/>
      <c r="AG58" s="5709"/>
      <c r="AH58" s="5709"/>
      <c r="AI58" s="5709"/>
    </row>
    <row r="59" spans="1:36" ht="15.75" customHeight="1" x14ac:dyDescent="0.2">
      <c r="A59" s="3494" t="s">
        <v>980</v>
      </c>
      <c r="B59" s="5696" t="s">
        <v>986</v>
      </c>
      <c r="C59" s="5709"/>
      <c r="D59" s="5709"/>
      <c r="E59" s="5709"/>
      <c r="F59" s="5709"/>
      <c r="G59" s="5709"/>
      <c r="H59" s="5709"/>
      <c r="I59" s="5709"/>
      <c r="J59" s="5709"/>
      <c r="K59" s="5709"/>
      <c r="L59" s="5709"/>
      <c r="M59" s="5709"/>
      <c r="N59" s="5709"/>
      <c r="O59" s="5709"/>
      <c r="P59" s="5709"/>
      <c r="Q59" s="5709"/>
      <c r="R59" s="5709"/>
      <c r="S59" s="5709"/>
      <c r="T59" s="5709"/>
      <c r="U59" s="5709"/>
      <c r="V59" s="5709"/>
      <c r="W59" s="5709"/>
      <c r="X59" s="5709"/>
      <c r="Y59" s="5709"/>
      <c r="Z59" s="5709"/>
      <c r="AA59" s="5709"/>
      <c r="AB59" s="5709"/>
      <c r="AC59" s="5709"/>
      <c r="AD59" s="5709"/>
      <c r="AE59" s="5709"/>
      <c r="AF59" s="5709"/>
      <c r="AG59" s="5709"/>
      <c r="AH59" s="5709"/>
      <c r="AI59" s="5709"/>
    </row>
    <row r="60" spans="1:36" ht="15.75" customHeight="1" x14ac:dyDescent="0.2">
      <c r="A60" s="3494" t="s">
        <v>980</v>
      </c>
      <c r="B60" s="5696" t="s">
        <v>986</v>
      </c>
      <c r="C60" s="5714"/>
      <c r="D60" s="5714"/>
      <c r="E60" s="5714"/>
      <c r="F60" s="5714"/>
      <c r="G60" s="5714"/>
      <c r="H60" s="5714"/>
      <c r="I60" s="5714"/>
      <c r="J60" s="5714"/>
      <c r="K60" s="5714"/>
      <c r="L60" s="5714"/>
      <c r="M60" s="5714"/>
      <c r="N60" s="5714"/>
      <c r="O60" s="5714"/>
      <c r="P60" s="5714"/>
      <c r="Q60" s="5714"/>
      <c r="R60" s="5714"/>
      <c r="S60" s="5714"/>
      <c r="T60" s="5714"/>
      <c r="U60" s="5714"/>
      <c r="V60" s="5714"/>
      <c r="W60" s="5714"/>
      <c r="X60" s="5714"/>
      <c r="Y60" s="5714"/>
      <c r="Z60" s="5714"/>
      <c r="AA60" s="5714"/>
      <c r="AB60" s="5714"/>
      <c r="AC60" s="5714"/>
      <c r="AD60" s="5714"/>
      <c r="AE60" s="5714"/>
      <c r="AF60" s="5714"/>
      <c r="AG60" s="5714"/>
      <c r="AH60" s="5714"/>
      <c r="AI60" s="5715"/>
    </row>
    <row r="61" spans="1:36" ht="15" x14ac:dyDescent="0.25">
      <c r="A61" s="3527" t="s">
        <v>1137</v>
      </c>
      <c r="B61" s="5696" t="s">
        <v>986</v>
      </c>
      <c r="C61" s="5717"/>
      <c r="D61" s="5717"/>
      <c r="E61" s="5717"/>
      <c r="F61" s="5717"/>
      <c r="G61" s="5717"/>
      <c r="H61" s="5717"/>
      <c r="I61" s="5717"/>
      <c r="J61" s="5717"/>
      <c r="K61" s="5717"/>
      <c r="L61" s="5717"/>
      <c r="M61" s="5717"/>
      <c r="N61" s="5717"/>
      <c r="O61" s="5717"/>
      <c r="P61" s="5717"/>
      <c r="Q61" s="5717"/>
      <c r="R61" s="5717"/>
      <c r="S61" s="5717"/>
      <c r="T61" s="5717"/>
      <c r="U61" s="5717"/>
      <c r="V61" s="5717"/>
      <c r="W61" s="5717"/>
      <c r="X61" s="5717"/>
      <c r="Y61" s="5717"/>
      <c r="Z61" s="5717"/>
      <c r="AA61" s="5717"/>
      <c r="AB61" s="5717"/>
      <c r="AC61" s="5717"/>
      <c r="AD61" s="5717"/>
      <c r="AE61" s="5717"/>
      <c r="AF61" s="5717"/>
      <c r="AG61" s="5717"/>
      <c r="AH61" s="5717"/>
      <c r="AI61" s="5718"/>
    </row>
    <row r="62" spans="1:36" ht="15" x14ac:dyDescent="0.25">
      <c r="A62" s="3527" t="s">
        <v>1137</v>
      </c>
      <c r="B62" s="5696" t="s">
        <v>986</v>
      </c>
      <c r="C62" s="5717"/>
      <c r="D62" s="5717"/>
      <c r="E62" s="5717"/>
      <c r="F62" s="5717"/>
      <c r="G62" s="5717"/>
      <c r="H62" s="5717"/>
      <c r="I62" s="5717"/>
      <c r="J62" s="5717"/>
      <c r="K62" s="5717"/>
      <c r="L62" s="5717"/>
      <c r="M62" s="5717"/>
      <c r="N62" s="5717"/>
      <c r="O62" s="5717"/>
      <c r="P62" s="5717"/>
      <c r="Q62" s="5717"/>
      <c r="R62" s="5717"/>
      <c r="S62" s="5717"/>
      <c r="T62" s="5717"/>
      <c r="U62" s="5717"/>
      <c r="V62" s="5717"/>
      <c r="W62" s="5717"/>
      <c r="X62" s="5717"/>
      <c r="Y62" s="5717"/>
      <c r="Z62" s="5717"/>
      <c r="AA62" s="5717"/>
      <c r="AB62" s="5717"/>
      <c r="AC62" s="5717"/>
      <c r="AD62" s="5717"/>
      <c r="AE62" s="5717"/>
      <c r="AF62" s="5717"/>
      <c r="AG62" s="5717"/>
      <c r="AH62" s="5717"/>
      <c r="AI62" s="5718"/>
    </row>
    <row r="63" spans="1:36" ht="15" x14ac:dyDescent="0.25">
      <c r="A63" s="3527" t="s">
        <v>1137</v>
      </c>
      <c r="B63" s="5696" t="s">
        <v>986</v>
      </c>
      <c r="C63" s="5717"/>
      <c r="D63" s="5717"/>
      <c r="E63" s="5717"/>
      <c r="F63" s="5717"/>
      <c r="G63" s="5717"/>
      <c r="H63" s="5717"/>
      <c r="I63" s="5717"/>
      <c r="J63" s="5717"/>
      <c r="K63" s="5717"/>
      <c r="L63" s="5717"/>
      <c r="M63" s="5717"/>
      <c r="N63" s="5717"/>
      <c r="O63" s="5717"/>
      <c r="P63" s="5717"/>
      <c r="Q63" s="5717"/>
      <c r="R63" s="5717"/>
      <c r="S63" s="5717"/>
      <c r="T63" s="5717"/>
      <c r="U63" s="5717"/>
      <c r="V63" s="5717"/>
      <c r="W63" s="5717"/>
      <c r="X63" s="5717"/>
      <c r="Y63" s="5717"/>
      <c r="Z63" s="5717"/>
      <c r="AA63" s="5717"/>
      <c r="AB63" s="5717"/>
      <c r="AC63" s="5717"/>
      <c r="AD63" s="5717"/>
      <c r="AE63" s="5717"/>
      <c r="AF63" s="5717"/>
      <c r="AG63" s="5717"/>
      <c r="AH63" s="5717"/>
      <c r="AI63" s="5718"/>
    </row>
    <row r="64" spans="1:36" ht="15" x14ac:dyDescent="0.25">
      <c r="A64" s="3527" t="s">
        <v>1137</v>
      </c>
      <c r="B64" s="5696" t="s">
        <v>986</v>
      </c>
      <c r="C64" s="5717"/>
      <c r="D64" s="5717"/>
      <c r="E64" s="5717"/>
      <c r="F64" s="5717"/>
      <c r="G64" s="5717"/>
      <c r="H64" s="5717"/>
      <c r="I64" s="5717"/>
      <c r="J64" s="5717"/>
      <c r="K64" s="5717"/>
      <c r="L64" s="5717"/>
      <c r="M64" s="5717"/>
      <c r="N64" s="5717"/>
      <c r="O64" s="5717"/>
      <c r="P64" s="5717"/>
      <c r="Q64" s="5717"/>
      <c r="R64" s="5717"/>
      <c r="S64" s="5717"/>
      <c r="T64" s="5717"/>
      <c r="U64" s="5717"/>
      <c r="V64" s="5717"/>
      <c r="W64" s="5717"/>
      <c r="X64" s="5717"/>
      <c r="Y64" s="5717"/>
      <c r="Z64" s="5717"/>
      <c r="AA64" s="5717"/>
      <c r="AB64" s="5717"/>
      <c r="AC64" s="5717"/>
      <c r="AD64" s="5717"/>
      <c r="AE64" s="5717"/>
      <c r="AF64" s="5717"/>
      <c r="AG64" s="5717"/>
      <c r="AH64" s="5717"/>
      <c r="AI64" s="5718"/>
    </row>
    <row r="65" spans="1:35" ht="15" x14ac:dyDescent="0.25">
      <c r="A65" s="3527" t="s">
        <v>1137</v>
      </c>
      <c r="B65" s="5696" t="s">
        <v>986</v>
      </c>
      <c r="C65" s="5717"/>
      <c r="D65" s="5717"/>
      <c r="E65" s="5717"/>
      <c r="F65" s="5717"/>
      <c r="G65" s="5717"/>
      <c r="H65" s="5717"/>
      <c r="I65" s="5717"/>
      <c r="J65" s="5717"/>
      <c r="K65" s="5717"/>
      <c r="L65" s="5717"/>
      <c r="M65" s="5717"/>
      <c r="N65" s="5717"/>
      <c r="O65" s="5717"/>
      <c r="P65" s="5717"/>
      <c r="Q65" s="5717"/>
      <c r="R65" s="5717"/>
      <c r="S65" s="5717"/>
      <c r="T65" s="5717"/>
      <c r="U65" s="5717"/>
      <c r="V65" s="5717"/>
      <c r="W65" s="5717"/>
      <c r="X65" s="5717"/>
      <c r="Y65" s="5717"/>
      <c r="Z65" s="5717"/>
      <c r="AA65" s="5717"/>
      <c r="AB65" s="5717"/>
      <c r="AC65" s="5717"/>
      <c r="AD65" s="5717"/>
      <c r="AE65" s="5717"/>
      <c r="AF65" s="5717"/>
      <c r="AG65" s="5717"/>
      <c r="AH65" s="5717"/>
      <c r="AI65" s="5718"/>
    </row>
    <row r="66" spans="1:35" ht="15" x14ac:dyDescent="0.25">
      <c r="A66" s="3527" t="s">
        <v>1137</v>
      </c>
      <c r="B66" s="5696" t="s">
        <v>986</v>
      </c>
      <c r="C66" s="5717"/>
      <c r="D66" s="5717"/>
      <c r="E66" s="5717"/>
      <c r="F66" s="5717"/>
      <c r="G66" s="5717"/>
      <c r="H66" s="5717"/>
      <c r="I66" s="5717"/>
      <c r="J66" s="5717"/>
      <c r="K66" s="5717"/>
      <c r="L66" s="5717"/>
      <c r="M66" s="5717"/>
      <c r="N66" s="5717"/>
      <c r="O66" s="5717"/>
      <c r="P66" s="5717"/>
      <c r="Q66" s="5717"/>
      <c r="R66" s="5717"/>
      <c r="S66" s="5717"/>
      <c r="T66" s="5717"/>
      <c r="U66" s="5717"/>
      <c r="V66" s="5717"/>
      <c r="W66" s="5717"/>
      <c r="X66" s="5717"/>
      <c r="Y66" s="5717"/>
      <c r="Z66" s="5717"/>
      <c r="AA66" s="5717"/>
      <c r="AB66" s="5717"/>
      <c r="AC66" s="5717"/>
      <c r="AD66" s="5717"/>
      <c r="AE66" s="5717"/>
      <c r="AF66" s="5717"/>
      <c r="AG66" s="5717"/>
      <c r="AH66" s="5717"/>
      <c r="AI66" s="5718"/>
    </row>
    <row r="67" spans="1:35" ht="15" x14ac:dyDescent="0.25">
      <c r="A67" s="3527" t="s">
        <v>1137</v>
      </c>
      <c r="B67" s="5696" t="s">
        <v>986</v>
      </c>
      <c r="C67" s="5717"/>
      <c r="D67" s="5717"/>
      <c r="E67" s="5717"/>
      <c r="F67" s="5717"/>
      <c r="G67" s="5717"/>
      <c r="H67" s="5717"/>
      <c r="I67" s="5717"/>
      <c r="J67" s="5717"/>
      <c r="K67" s="5717"/>
      <c r="L67" s="5717"/>
      <c r="M67" s="5717"/>
      <c r="N67" s="5717"/>
      <c r="O67" s="5717"/>
      <c r="P67" s="5717"/>
      <c r="Q67" s="5717"/>
      <c r="R67" s="5717"/>
      <c r="S67" s="5717"/>
      <c r="T67" s="5717"/>
      <c r="U67" s="5717"/>
      <c r="V67" s="5717"/>
      <c r="W67" s="5717"/>
      <c r="X67" s="5717"/>
      <c r="Y67" s="5717"/>
      <c r="Z67" s="5717"/>
      <c r="AA67" s="5717"/>
      <c r="AB67" s="5717"/>
      <c r="AC67" s="5717"/>
      <c r="AD67" s="5717"/>
      <c r="AE67" s="5717"/>
      <c r="AF67" s="5717"/>
      <c r="AG67" s="5717"/>
      <c r="AH67" s="5717"/>
      <c r="AI67" s="5718"/>
    </row>
    <row r="68" spans="1:35" ht="15" x14ac:dyDescent="0.25">
      <c r="A68" s="3527" t="s">
        <v>1137</v>
      </c>
      <c r="B68" s="5696" t="s">
        <v>986</v>
      </c>
      <c r="C68" s="5717"/>
      <c r="D68" s="5717"/>
      <c r="E68" s="5717"/>
      <c r="F68" s="5717"/>
      <c r="G68" s="5717"/>
      <c r="H68" s="5717"/>
      <c r="I68" s="5717"/>
      <c r="J68" s="5717"/>
      <c r="K68" s="5717"/>
      <c r="L68" s="5717"/>
      <c r="M68" s="5717"/>
      <c r="N68" s="5717"/>
      <c r="O68" s="5717"/>
      <c r="P68" s="5717"/>
      <c r="Q68" s="5717"/>
      <c r="R68" s="5717"/>
      <c r="S68" s="5717"/>
      <c r="T68" s="5717"/>
      <c r="U68" s="5717"/>
      <c r="V68" s="5717"/>
      <c r="W68" s="5717"/>
      <c r="X68" s="5717"/>
      <c r="Y68" s="5717"/>
      <c r="Z68" s="5717"/>
      <c r="AA68" s="5717"/>
      <c r="AB68" s="5717"/>
      <c r="AC68" s="5717"/>
      <c r="AD68" s="5717"/>
      <c r="AE68" s="5717"/>
      <c r="AF68" s="5717"/>
      <c r="AG68" s="5717"/>
      <c r="AH68" s="5717"/>
      <c r="AI68" s="5718"/>
    </row>
    <row r="69" spans="1:35" ht="15" x14ac:dyDescent="0.25">
      <c r="A69" s="3527" t="s">
        <v>1137</v>
      </c>
      <c r="B69" s="5696" t="s">
        <v>986</v>
      </c>
      <c r="C69" s="5717"/>
      <c r="D69" s="5717"/>
      <c r="E69" s="5717"/>
      <c r="F69" s="5717"/>
      <c r="G69" s="5717"/>
      <c r="H69" s="5717"/>
      <c r="I69" s="5717"/>
      <c r="J69" s="5717"/>
      <c r="K69" s="5717"/>
      <c r="L69" s="5717"/>
      <c r="M69" s="5717"/>
      <c r="N69" s="5717"/>
      <c r="O69" s="5717"/>
      <c r="P69" s="5717"/>
      <c r="Q69" s="5717"/>
      <c r="R69" s="5717"/>
      <c r="S69" s="5717"/>
      <c r="T69" s="5717"/>
      <c r="U69" s="5717"/>
      <c r="V69" s="5717"/>
      <c r="W69" s="5717"/>
      <c r="X69" s="5717"/>
      <c r="Y69" s="5717"/>
      <c r="Z69" s="5717"/>
      <c r="AA69" s="5717"/>
      <c r="AB69" s="5717"/>
      <c r="AC69" s="5717"/>
      <c r="AD69" s="5717"/>
      <c r="AE69" s="5717"/>
      <c r="AF69" s="5717"/>
      <c r="AG69" s="5717"/>
      <c r="AH69" s="5717"/>
      <c r="AI69" s="5718"/>
    </row>
    <row r="70" spans="1:35" ht="15" x14ac:dyDescent="0.25">
      <c r="A70" s="3527" t="s">
        <v>1137</v>
      </c>
      <c r="B70" s="5696" t="s">
        <v>986</v>
      </c>
      <c r="C70" s="5717"/>
      <c r="D70" s="5717"/>
      <c r="E70" s="5717"/>
      <c r="F70" s="5717"/>
      <c r="G70" s="5717"/>
      <c r="H70" s="5717"/>
      <c r="I70" s="5717"/>
      <c r="J70" s="5717"/>
      <c r="K70" s="5717"/>
      <c r="L70" s="5717"/>
      <c r="M70" s="5717"/>
      <c r="N70" s="5717"/>
      <c r="O70" s="5717"/>
      <c r="P70" s="5717"/>
      <c r="Q70" s="5717"/>
      <c r="R70" s="5717"/>
      <c r="S70" s="5717"/>
      <c r="T70" s="5717"/>
      <c r="U70" s="5717"/>
      <c r="V70" s="5717"/>
      <c r="W70" s="5717"/>
      <c r="X70" s="5717"/>
      <c r="Y70" s="5717"/>
      <c r="Z70" s="5717"/>
      <c r="AA70" s="5717"/>
      <c r="AB70" s="5717"/>
      <c r="AC70" s="5717"/>
      <c r="AD70" s="5717"/>
      <c r="AE70" s="5717"/>
      <c r="AF70" s="5717"/>
      <c r="AG70" s="5717"/>
      <c r="AH70" s="5717"/>
      <c r="AI70" s="5718"/>
    </row>
    <row r="71" spans="1:35" ht="15" x14ac:dyDescent="0.25">
      <c r="A71" s="3527" t="s">
        <v>1137</v>
      </c>
      <c r="B71" s="5696" t="s">
        <v>986</v>
      </c>
      <c r="C71" s="5717"/>
      <c r="D71" s="5717"/>
      <c r="E71" s="5717"/>
      <c r="F71" s="5717"/>
      <c r="G71" s="5717"/>
      <c r="H71" s="5717"/>
      <c r="I71" s="5717"/>
      <c r="J71" s="5717"/>
      <c r="K71" s="5717"/>
      <c r="L71" s="5717"/>
      <c r="M71" s="5717"/>
      <c r="N71" s="5717"/>
      <c r="O71" s="5717"/>
      <c r="P71" s="5717"/>
      <c r="Q71" s="5717"/>
      <c r="R71" s="5717"/>
      <c r="S71" s="5717"/>
      <c r="T71" s="5717"/>
      <c r="U71" s="5717"/>
      <c r="V71" s="5717"/>
      <c r="W71" s="5717"/>
      <c r="X71" s="5717"/>
      <c r="Y71" s="5717"/>
      <c r="Z71" s="5717"/>
      <c r="AA71" s="5717"/>
      <c r="AB71" s="5717"/>
      <c r="AC71" s="5717"/>
      <c r="AD71" s="5717"/>
      <c r="AE71" s="5717"/>
      <c r="AF71" s="5717"/>
      <c r="AG71" s="5717"/>
      <c r="AH71" s="5717"/>
      <c r="AI71" s="5718"/>
    </row>
    <row r="72" spans="1:35" ht="15" x14ac:dyDescent="0.25">
      <c r="A72" s="3527" t="s">
        <v>1137</v>
      </c>
      <c r="B72" s="5696" t="s">
        <v>986</v>
      </c>
      <c r="C72" s="5717"/>
      <c r="D72" s="5717"/>
      <c r="E72" s="5717"/>
      <c r="F72" s="5717"/>
      <c r="G72" s="5717"/>
      <c r="H72" s="5717"/>
      <c r="I72" s="5717"/>
      <c r="J72" s="5717"/>
      <c r="K72" s="5717"/>
      <c r="L72" s="5717"/>
      <c r="M72" s="5717"/>
      <c r="N72" s="5717"/>
      <c r="O72" s="5717"/>
      <c r="P72" s="5717"/>
      <c r="Q72" s="5717"/>
      <c r="R72" s="5717"/>
      <c r="S72" s="5717"/>
      <c r="T72" s="5717"/>
      <c r="U72" s="5717"/>
      <c r="V72" s="5717"/>
      <c r="W72" s="5717"/>
      <c r="X72" s="5717"/>
      <c r="Y72" s="5717"/>
      <c r="Z72" s="5717"/>
      <c r="AA72" s="5717"/>
      <c r="AB72" s="5717"/>
      <c r="AC72" s="5717"/>
      <c r="AD72" s="5717"/>
      <c r="AE72" s="5717"/>
      <c r="AF72" s="5717"/>
      <c r="AG72" s="5717"/>
      <c r="AH72" s="5717"/>
      <c r="AI72" s="5718"/>
    </row>
    <row r="73" spans="1:35" ht="15" x14ac:dyDescent="0.25">
      <c r="A73" s="3527" t="s">
        <v>1137</v>
      </c>
      <c r="B73" s="5696" t="s">
        <v>986</v>
      </c>
      <c r="C73" s="5717"/>
      <c r="D73" s="5717"/>
      <c r="E73" s="5717"/>
      <c r="F73" s="5717"/>
      <c r="G73" s="5717"/>
      <c r="H73" s="5717"/>
      <c r="I73" s="5717"/>
      <c r="J73" s="5717"/>
      <c r="K73" s="5717"/>
      <c r="L73" s="5717"/>
      <c r="M73" s="5717"/>
      <c r="N73" s="5717"/>
      <c r="O73" s="5717"/>
      <c r="P73" s="5717"/>
      <c r="Q73" s="5717"/>
      <c r="R73" s="5717"/>
      <c r="S73" s="5717"/>
      <c r="T73" s="5717"/>
      <c r="U73" s="5717"/>
      <c r="V73" s="5717"/>
      <c r="W73" s="5717"/>
      <c r="X73" s="5717"/>
      <c r="Y73" s="5717"/>
      <c r="Z73" s="5717"/>
      <c r="AA73" s="5717"/>
      <c r="AB73" s="5717"/>
      <c r="AC73" s="5717"/>
      <c r="AD73" s="5717"/>
      <c r="AE73" s="5717"/>
      <c r="AF73" s="5717"/>
      <c r="AG73" s="5717"/>
      <c r="AH73" s="5717"/>
      <c r="AI73" s="5718"/>
    </row>
    <row r="74" spans="1:35" ht="15" x14ac:dyDescent="0.25">
      <c r="A74" s="3527" t="s">
        <v>1137</v>
      </c>
      <c r="B74" s="5696" t="s">
        <v>986</v>
      </c>
      <c r="C74" s="5717"/>
      <c r="D74" s="5717"/>
      <c r="E74" s="5717"/>
      <c r="F74" s="5717"/>
      <c r="G74" s="5717"/>
      <c r="H74" s="5717"/>
      <c r="I74" s="5717"/>
      <c r="J74" s="5717"/>
      <c r="K74" s="5717"/>
      <c r="L74" s="5717"/>
      <c r="M74" s="5717"/>
      <c r="N74" s="5717"/>
      <c r="O74" s="5717"/>
      <c r="P74" s="5717"/>
      <c r="Q74" s="5717"/>
      <c r="R74" s="5717"/>
      <c r="S74" s="5717"/>
      <c r="T74" s="5717"/>
      <c r="U74" s="5717"/>
      <c r="V74" s="5717"/>
      <c r="W74" s="5717"/>
      <c r="X74" s="5717"/>
      <c r="Y74" s="5717"/>
      <c r="Z74" s="5717"/>
      <c r="AA74" s="5717"/>
      <c r="AB74" s="5717"/>
      <c r="AC74" s="5717"/>
      <c r="AD74" s="5717"/>
      <c r="AE74" s="5717"/>
      <c r="AF74" s="5717"/>
      <c r="AG74" s="5717"/>
      <c r="AH74" s="5717"/>
      <c r="AI74" s="5718"/>
    </row>
    <row r="75" spans="1:35" ht="15" x14ac:dyDescent="0.25">
      <c r="A75" s="3527" t="s">
        <v>1137</v>
      </c>
      <c r="B75" s="5696" t="s">
        <v>986</v>
      </c>
      <c r="C75" s="5717"/>
      <c r="D75" s="5717"/>
      <c r="E75" s="5717"/>
      <c r="F75" s="5717"/>
      <c r="G75" s="5717"/>
      <c r="H75" s="5717"/>
      <c r="I75" s="5717"/>
      <c r="J75" s="5717"/>
      <c r="K75" s="5717"/>
      <c r="L75" s="5717"/>
      <c r="M75" s="5717"/>
      <c r="N75" s="5717"/>
      <c r="O75" s="5717"/>
      <c r="P75" s="5717"/>
      <c r="Q75" s="5717"/>
      <c r="R75" s="5717"/>
      <c r="S75" s="5717"/>
      <c r="T75" s="5717"/>
      <c r="U75" s="5717"/>
      <c r="V75" s="5717"/>
      <c r="W75" s="5717"/>
      <c r="X75" s="5717"/>
      <c r="Y75" s="5717"/>
      <c r="Z75" s="5717"/>
      <c r="AA75" s="5717"/>
      <c r="AB75" s="5717"/>
      <c r="AC75" s="5717"/>
      <c r="AD75" s="5717"/>
      <c r="AE75" s="5717"/>
      <c r="AF75" s="5717"/>
      <c r="AG75" s="5717"/>
      <c r="AH75" s="5717"/>
      <c r="AI75" s="5718"/>
    </row>
    <row r="76" spans="1:35" ht="15" x14ac:dyDescent="0.25">
      <c r="A76" s="3527" t="s">
        <v>1137</v>
      </c>
      <c r="B76" s="5696" t="s">
        <v>986</v>
      </c>
      <c r="C76" s="5717"/>
      <c r="D76" s="5717"/>
      <c r="E76" s="5717"/>
      <c r="F76" s="5717"/>
      <c r="G76" s="5717"/>
      <c r="H76" s="5717"/>
      <c r="I76" s="5717"/>
      <c r="J76" s="5717"/>
      <c r="K76" s="5717"/>
      <c r="L76" s="5717"/>
      <c r="M76" s="5717"/>
      <c r="N76" s="5717"/>
      <c r="O76" s="5717"/>
      <c r="P76" s="5717"/>
      <c r="Q76" s="5717"/>
      <c r="R76" s="5717"/>
      <c r="S76" s="5717"/>
      <c r="T76" s="5717"/>
      <c r="U76" s="5717"/>
      <c r="V76" s="5717"/>
      <c r="W76" s="5717"/>
      <c r="X76" s="5717"/>
      <c r="Y76" s="5717"/>
      <c r="Z76" s="5717"/>
      <c r="AA76" s="5717"/>
      <c r="AB76" s="5717"/>
      <c r="AC76" s="5717"/>
      <c r="AD76" s="5717"/>
      <c r="AE76" s="5717"/>
      <c r="AF76" s="5717"/>
      <c r="AG76" s="5717"/>
      <c r="AH76" s="5717"/>
      <c r="AI76" s="5718"/>
    </row>
    <row r="77" spans="1:35" ht="15.75" customHeight="1" x14ac:dyDescent="0.2">
      <c r="A77" s="3494" t="s">
        <v>980</v>
      </c>
      <c r="B77" s="5709"/>
      <c r="C77" s="5709"/>
      <c r="D77" s="5709"/>
      <c r="E77" s="5709"/>
      <c r="F77" s="5709"/>
      <c r="G77" s="5709"/>
      <c r="H77" s="5709"/>
      <c r="I77" s="5709"/>
      <c r="J77" s="5709"/>
      <c r="K77" s="5709"/>
      <c r="L77" s="5709"/>
      <c r="M77" s="5709"/>
      <c r="N77" s="5709"/>
      <c r="O77" s="5709"/>
      <c r="P77" s="5709"/>
      <c r="Q77" s="5709"/>
      <c r="R77" s="5709"/>
      <c r="S77" s="5709"/>
      <c r="T77" s="5709"/>
      <c r="U77" s="5709"/>
      <c r="V77" s="5709"/>
      <c r="W77" s="5709"/>
      <c r="X77" s="5709"/>
      <c r="Y77" s="5709"/>
      <c r="Z77" s="5709"/>
      <c r="AA77" s="5709"/>
      <c r="AB77" s="5709"/>
      <c r="AC77" s="5709"/>
      <c r="AD77" s="5709"/>
      <c r="AE77" s="5709"/>
      <c r="AF77" s="5709"/>
      <c r="AG77" s="5709"/>
      <c r="AH77" s="5709"/>
      <c r="AI77" s="5709"/>
    </row>
    <row r="78" spans="1:35" ht="15.75" customHeight="1" x14ac:dyDescent="0.2">
      <c r="A78" s="3494" t="s">
        <v>980</v>
      </c>
      <c r="B78" s="5709"/>
      <c r="C78" s="5709"/>
      <c r="D78" s="5709"/>
      <c r="E78" s="5709"/>
      <c r="F78" s="5709"/>
      <c r="G78" s="5709"/>
      <c r="H78" s="5709"/>
      <c r="I78" s="5709"/>
      <c r="J78" s="5709"/>
      <c r="K78" s="5709"/>
      <c r="L78" s="5709"/>
      <c r="M78" s="5709"/>
      <c r="N78" s="5709"/>
      <c r="O78" s="5709"/>
      <c r="P78" s="5709"/>
      <c r="Q78" s="5709"/>
      <c r="R78" s="5709"/>
      <c r="S78" s="5709"/>
      <c r="T78" s="5709"/>
      <c r="U78" s="5709"/>
      <c r="V78" s="5709"/>
      <c r="W78" s="5709"/>
      <c r="X78" s="5709"/>
      <c r="Y78" s="5709"/>
      <c r="Z78" s="5709"/>
      <c r="AA78" s="5709"/>
      <c r="AB78" s="5709"/>
      <c r="AC78" s="5709"/>
      <c r="AD78" s="5709"/>
      <c r="AE78" s="5709"/>
      <c r="AF78" s="5709"/>
      <c r="AG78" s="5709"/>
      <c r="AH78" s="5709"/>
      <c r="AI78" s="5709"/>
    </row>
    <row r="79" spans="1:35" ht="15.75" customHeight="1" x14ac:dyDescent="0.2">
      <c r="A79" s="3494" t="s">
        <v>980</v>
      </c>
      <c r="B79" s="5709"/>
      <c r="C79" s="5709"/>
      <c r="D79" s="5709"/>
      <c r="E79" s="5709"/>
      <c r="F79" s="5709"/>
      <c r="G79" s="5709"/>
      <c r="H79" s="5709"/>
      <c r="I79" s="5709"/>
      <c r="J79" s="5709"/>
      <c r="K79" s="5709"/>
      <c r="L79" s="5709"/>
      <c r="M79" s="5709"/>
      <c r="N79" s="5709"/>
      <c r="O79" s="5709"/>
      <c r="P79" s="5709"/>
      <c r="Q79" s="5709"/>
      <c r="R79" s="5709"/>
      <c r="S79" s="5709"/>
      <c r="T79" s="5709"/>
      <c r="U79" s="5709"/>
      <c r="V79" s="5709"/>
      <c r="W79" s="5709"/>
      <c r="X79" s="5709"/>
      <c r="Y79" s="5709"/>
      <c r="Z79" s="5709"/>
      <c r="AA79" s="5709"/>
      <c r="AB79" s="5709"/>
      <c r="AC79" s="5709"/>
      <c r="AD79" s="5709"/>
      <c r="AE79" s="5709"/>
      <c r="AF79" s="5709"/>
      <c r="AG79" s="5709"/>
      <c r="AH79" s="5709"/>
      <c r="AI79" s="5709"/>
    </row>
    <row r="80" spans="1:35" ht="15.75" customHeight="1" x14ac:dyDescent="0.2">
      <c r="A80" s="3494" t="s">
        <v>980</v>
      </c>
      <c r="B80" s="5709"/>
      <c r="C80" s="5709"/>
      <c r="D80" s="5709"/>
      <c r="E80" s="5709"/>
      <c r="F80" s="5709"/>
      <c r="G80" s="5709"/>
      <c r="H80" s="5709"/>
      <c r="I80" s="5709"/>
      <c r="J80" s="5709"/>
      <c r="K80" s="5709"/>
      <c r="L80" s="5709"/>
      <c r="M80" s="5709"/>
      <c r="N80" s="5709"/>
      <c r="O80" s="5709"/>
      <c r="P80" s="5709"/>
      <c r="Q80" s="5709"/>
      <c r="R80" s="5709"/>
      <c r="S80" s="5709"/>
      <c r="T80" s="5709"/>
      <c r="U80" s="5709"/>
      <c r="V80" s="5709"/>
      <c r="W80" s="5709"/>
      <c r="X80" s="5709"/>
      <c r="Y80" s="5709"/>
      <c r="Z80" s="5709"/>
      <c r="AA80" s="5709"/>
      <c r="AB80" s="5709"/>
      <c r="AC80" s="5709"/>
      <c r="AD80" s="5709"/>
      <c r="AE80" s="5709"/>
      <c r="AF80" s="5709"/>
      <c r="AG80" s="5709"/>
      <c r="AH80" s="5709"/>
      <c r="AI80" s="5709"/>
    </row>
    <row r="81" spans="1:35" ht="15.75" customHeight="1" x14ac:dyDescent="0.2">
      <c r="A81" s="3494" t="s">
        <v>980</v>
      </c>
      <c r="B81" s="5709"/>
      <c r="C81" s="5709"/>
      <c r="D81" s="5709"/>
      <c r="E81" s="5709"/>
      <c r="F81" s="5709"/>
      <c r="G81" s="5709"/>
      <c r="H81" s="5709"/>
      <c r="I81" s="5709"/>
      <c r="J81" s="5709"/>
      <c r="K81" s="5709"/>
      <c r="L81" s="5709"/>
      <c r="M81" s="5709"/>
      <c r="N81" s="5709"/>
      <c r="O81" s="5709"/>
      <c r="P81" s="5709"/>
      <c r="Q81" s="5709"/>
      <c r="R81" s="5709"/>
      <c r="S81" s="5709"/>
      <c r="T81" s="5709"/>
      <c r="U81" s="5709"/>
      <c r="V81" s="5709"/>
      <c r="W81" s="5709"/>
      <c r="X81" s="5709"/>
      <c r="Y81" s="5709"/>
      <c r="Z81" s="5709"/>
      <c r="AA81" s="5709"/>
      <c r="AB81" s="5709"/>
      <c r="AC81" s="5709"/>
      <c r="AD81" s="5709"/>
      <c r="AE81" s="5709"/>
      <c r="AF81" s="5709"/>
      <c r="AG81" s="5709"/>
      <c r="AH81" s="5709"/>
      <c r="AI81" s="5709"/>
    </row>
    <row r="82" spans="1:35" ht="15.75" customHeight="1" x14ac:dyDescent="0.2">
      <c r="A82" s="3494" t="s">
        <v>980</v>
      </c>
      <c r="B82" s="5709"/>
      <c r="C82" s="5709"/>
      <c r="D82" s="5709"/>
      <c r="E82" s="5709"/>
      <c r="F82" s="5709"/>
      <c r="G82" s="5709"/>
      <c r="H82" s="5709"/>
      <c r="I82" s="5709"/>
      <c r="J82" s="5709"/>
      <c r="K82" s="5709"/>
      <c r="L82" s="5709"/>
      <c r="M82" s="5709"/>
      <c r="N82" s="5709"/>
      <c r="O82" s="5709"/>
      <c r="P82" s="5709"/>
      <c r="Q82" s="5709"/>
      <c r="R82" s="5709"/>
      <c r="S82" s="5709"/>
      <c r="T82" s="5709"/>
      <c r="U82" s="5709"/>
      <c r="V82" s="5709"/>
      <c r="W82" s="5709"/>
      <c r="X82" s="5709"/>
      <c r="Y82" s="5709"/>
      <c r="Z82" s="5709"/>
      <c r="AA82" s="5709"/>
      <c r="AB82" s="5709"/>
      <c r="AC82" s="5709"/>
      <c r="AD82" s="5709"/>
      <c r="AE82" s="5709"/>
      <c r="AF82" s="5709"/>
      <c r="AG82" s="5709"/>
      <c r="AH82" s="5709"/>
      <c r="AI82" s="5709"/>
    </row>
    <row r="83" spans="1:35" ht="15.75" customHeight="1" x14ac:dyDescent="0.2">
      <c r="A83" s="3494" t="s">
        <v>980</v>
      </c>
      <c r="B83" s="5709"/>
      <c r="C83" s="5709"/>
      <c r="D83" s="5709"/>
      <c r="E83" s="5709"/>
      <c r="F83" s="5709"/>
      <c r="G83" s="5709"/>
      <c r="H83" s="5709"/>
      <c r="I83" s="5709"/>
      <c r="J83" s="5709"/>
      <c r="K83" s="5709"/>
      <c r="L83" s="5709"/>
      <c r="M83" s="5709"/>
      <c r="N83" s="5709"/>
      <c r="O83" s="5709"/>
      <c r="P83" s="5709"/>
      <c r="Q83" s="5709"/>
      <c r="R83" s="5709"/>
      <c r="S83" s="5709"/>
      <c r="T83" s="5709"/>
      <c r="U83" s="5709"/>
      <c r="V83" s="5709"/>
      <c r="W83" s="5709"/>
      <c r="X83" s="5709"/>
      <c r="Y83" s="5709"/>
      <c r="Z83" s="5709"/>
      <c r="AA83" s="5709"/>
      <c r="AB83" s="5709"/>
      <c r="AC83" s="5709"/>
      <c r="AD83" s="5709"/>
      <c r="AE83" s="5709"/>
      <c r="AF83" s="5709"/>
      <c r="AG83" s="5709"/>
      <c r="AH83" s="5709"/>
      <c r="AI83" s="5709"/>
    </row>
    <row r="84" spans="1:35" ht="15.75" customHeight="1" x14ac:dyDescent="0.2">
      <c r="A84" s="3494" t="s">
        <v>980</v>
      </c>
      <c r="B84" s="5709"/>
      <c r="C84" s="5709"/>
      <c r="D84" s="5709"/>
      <c r="E84" s="5709"/>
      <c r="F84" s="5709"/>
      <c r="G84" s="5709"/>
      <c r="H84" s="5709"/>
      <c r="I84" s="5709"/>
      <c r="J84" s="5709"/>
      <c r="K84" s="5709"/>
      <c r="L84" s="5709"/>
      <c r="M84" s="5709"/>
      <c r="N84" s="5709"/>
      <c r="O84" s="5709"/>
      <c r="P84" s="5709"/>
      <c r="Q84" s="5709"/>
      <c r="R84" s="5709"/>
      <c r="S84" s="5709"/>
      <c r="T84" s="5709"/>
      <c r="U84" s="5709"/>
      <c r="V84" s="5709"/>
      <c r="W84" s="5709"/>
      <c r="X84" s="5709"/>
      <c r="Y84" s="5709"/>
      <c r="Z84" s="5709"/>
      <c r="AA84" s="5709"/>
      <c r="AB84" s="5709"/>
      <c r="AC84" s="5709"/>
      <c r="AD84" s="5709"/>
      <c r="AE84" s="5709"/>
      <c r="AF84" s="5709"/>
      <c r="AG84" s="5709"/>
      <c r="AH84" s="5709"/>
      <c r="AI84" s="5709"/>
    </row>
    <row r="85" spans="1:35" ht="15.75" customHeight="1" x14ac:dyDescent="0.2">
      <c r="A85" s="3494" t="s">
        <v>980</v>
      </c>
      <c r="B85" s="5709"/>
      <c r="C85" s="5709"/>
      <c r="D85" s="5709"/>
      <c r="E85" s="5709"/>
      <c r="F85" s="5709"/>
      <c r="G85" s="5709"/>
      <c r="H85" s="5709"/>
      <c r="I85" s="5709"/>
      <c r="J85" s="5709"/>
      <c r="K85" s="5709"/>
      <c r="L85" s="5709"/>
      <c r="M85" s="5709"/>
      <c r="N85" s="5709"/>
      <c r="O85" s="5709"/>
      <c r="P85" s="5709"/>
      <c r="Q85" s="5709"/>
      <c r="R85" s="5709"/>
      <c r="S85" s="5709"/>
      <c r="T85" s="5709"/>
      <c r="U85" s="5709"/>
      <c r="V85" s="5709"/>
      <c r="W85" s="5709"/>
      <c r="X85" s="5709"/>
      <c r="Y85" s="5709"/>
      <c r="Z85" s="5709"/>
      <c r="AA85" s="5709"/>
      <c r="AB85" s="5709"/>
      <c r="AC85" s="5709"/>
      <c r="AD85" s="5709"/>
      <c r="AE85" s="5709"/>
      <c r="AF85" s="5709"/>
      <c r="AG85" s="5709"/>
      <c r="AH85" s="5709"/>
      <c r="AI85" s="5709"/>
    </row>
    <row r="86" spans="1:35" ht="15.75" customHeight="1" x14ac:dyDescent="0.2">
      <c r="A86" s="3494" t="s">
        <v>980</v>
      </c>
      <c r="B86" s="5709"/>
      <c r="C86" s="5709"/>
      <c r="D86" s="5709"/>
      <c r="E86" s="5709"/>
      <c r="F86" s="5709"/>
      <c r="G86" s="5709"/>
      <c r="H86" s="5709"/>
      <c r="I86" s="5709"/>
      <c r="J86" s="5709"/>
      <c r="K86" s="5709"/>
      <c r="L86" s="5709"/>
      <c r="M86" s="5709"/>
      <c r="N86" s="5709"/>
      <c r="O86" s="5709"/>
      <c r="P86" s="5709"/>
      <c r="Q86" s="5709"/>
      <c r="R86" s="5709"/>
      <c r="S86" s="5709"/>
      <c r="T86" s="5709"/>
      <c r="U86" s="5709"/>
      <c r="V86" s="5709"/>
      <c r="W86" s="5709"/>
      <c r="X86" s="5709"/>
      <c r="Y86" s="5709"/>
      <c r="Z86" s="5709"/>
      <c r="AA86" s="5709"/>
      <c r="AB86" s="5709"/>
      <c r="AC86" s="5709"/>
      <c r="AD86" s="5709"/>
      <c r="AE86" s="5709"/>
      <c r="AF86" s="5709"/>
      <c r="AG86" s="5709"/>
      <c r="AH86" s="5709"/>
      <c r="AI86" s="5709"/>
    </row>
    <row r="87" spans="1:35" ht="15.75" customHeight="1" x14ac:dyDescent="0.2">
      <c r="A87" s="3494" t="s">
        <v>980</v>
      </c>
      <c r="B87" s="5709"/>
      <c r="C87" s="5709"/>
      <c r="D87" s="5709"/>
      <c r="E87" s="5709"/>
      <c r="F87" s="5709"/>
      <c r="G87" s="5709"/>
      <c r="H87" s="5709"/>
      <c r="I87" s="5709"/>
      <c r="J87" s="5709"/>
      <c r="K87" s="5709"/>
      <c r="L87" s="5709"/>
      <c r="M87" s="5709"/>
      <c r="N87" s="5709"/>
      <c r="O87" s="5709"/>
      <c r="P87" s="5709"/>
      <c r="Q87" s="5709"/>
      <c r="R87" s="5709"/>
      <c r="S87" s="5709"/>
      <c r="T87" s="5709"/>
      <c r="U87" s="5709"/>
      <c r="V87" s="5709"/>
      <c r="W87" s="5709"/>
      <c r="X87" s="5709"/>
      <c r="Y87" s="5709"/>
      <c r="Z87" s="5709"/>
      <c r="AA87" s="5709"/>
      <c r="AB87" s="5709"/>
      <c r="AC87" s="5709"/>
      <c r="AD87" s="5709"/>
      <c r="AE87" s="5709"/>
      <c r="AF87" s="5709"/>
      <c r="AG87" s="5709"/>
      <c r="AH87" s="5709"/>
      <c r="AI87" s="5709"/>
    </row>
    <row r="88" spans="1:35" ht="15.75" customHeight="1" x14ac:dyDescent="0.2">
      <c r="A88" s="3494" t="s">
        <v>980</v>
      </c>
      <c r="B88" s="5709"/>
      <c r="C88" s="5709"/>
      <c r="D88" s="5709"/>
      <c r="E88" s="5709"/>
      <c r="F88" s="5709"/>
      <c r="G88" s="5709"/>
      <c r="H88" s="5709"/>
      <c r="I88" s="5709"/>
      <c r="J88" s="5709"/>
      <c r="K88" s="5709"/>
      <c r="L88" s="5709"/>
      <c r="M88" s="5709"/>
      <c r="N88" s="5709"/>
      <c r="O88" s="5709"/>
      <c r="P88" s="5709"/>
      <c r="Q88" s="5709"/>
      <c r="R88" s="5709"/>
      <c r="S88" s="5709"/>
      <c r="T88" s="5709"/>
      <c r="U88" s="5709"/>
      <c r="V88" s="5709"/>
      <c r="W88" s="5709"/>
      <c r="X88" s="5709"/>
      <c r="Y88" s="5709"/>
      <c r="Z88" s="5709"/>
      <c r="AA88" s="5709"/>
      <c r="AB88" s="5709"/>
      <c r="AC88" s="5709"/>
      <c r="AD88" s="5709"/>
      <c r="AE88" s="5709"/>
      <c r="AF88" s="5709"/>
      <c r="AG88" s="5709"/>
      <c r="AH88" s="5709"/>
      <c r="AI88" s="5709"/>
    </row>
    <row r="89" spans="1:35" ht="15.75" customHeight="1" x14ac:dyDescent="0.2">
      <c r="A89" s="3494" t="s">
        <v>980</v>
      </c>
      <c r="B89" s="5709"/>
      <c r="C89" s="5709"/>
      <c r="D89" s="5709"/>
      <c r="E89" s="5709"/>
      <c r="F89" s="5709"/>
      <c r="G89" s="5709"/>
      <c r="H89" s="5709"/>
      <c r="I89" s="5709"/>
      <c r="J89" s="5709"/>
      <c r="K89" s="5709"/>
      <c r="L89" s="5709"/>
      <c r="M89" s="5709"/>
      <c r="N89" s="5709"/>
      <c r="O89" s="5709"/>
      <c r="P89" s="5709"/>
      <c r="Q89" s="5709"/>
      <c r="R89" s="5709"/>
      <c r="S89" s="5709"/>
      <c r="T89" s="5709"/>
      <c r="U89" s="5709"/>
      <c r="V89" s="5709"/>
      <c r="W89" s="5709"/>
      <c r="X89" s="5709"/>
      <c r="Y89" s="5709"/>
      <c r="Z89" s="5709"/>
      <c r="AA89" s="5709"/>
      <c r="AB89" s="5709"/>
      <c r="AC89" s="5709"/>
      <c r="AD89" s="5709"/>
      <c r="AE89" s="5709"/>
      <c r="AF89" s="5709"/>
      <c r="AG89" s="5709"/>
      <c r="AH89" s="5709"/>
      <c r="AI89" s="5709"/>
    </row>
    <row r="90" spans="1:35" ht="15.75" customHeight="1" x14ac:dyDescent="0.2">
      <c r="A90" s="3494" t="s">
        <v>980</v>
      </c>
      <c r="B90" s="5709"/>
      <c r="C90" s="5709"/>
      <c r="D90" s="5709"/>
      <c r="E90" s="5709"/>
      <c r="F90" s="5709"/>
      <c r="G90" s="5709"/>
      <c r="H90" s="5709"/>
      <c r="I90" s="5709"/>
      <c r="J90" s="5709"/>
      <c r="K90" s="5709"/>
      <c r="L90" s="5709"/>
      <c r="M90" s="5709"/>
      <c r="N90" s="5709"/>
      <c r="O90" s="5709"/>
      <c r="P90" s="5709"/>
      <c r="Q90" s="5709"/>
      <c r="R90" s="5709"/>
      <c r="S90" s="5709"/>
      <c r="T90" s="5709"/>
      <c r="U90" s="5709"/>
      <c r="V90" s="5709"/>
      <c r="W90" s="5709"/>
      <c r="X90" s="5709"/>
      <c r="Y90" s="5709"/>
      <c r="Z90" s="5709"/>
      <c r="AA90" s="5709"/>
      <c r="AB90" s="5709"/>
      <c r="AC90" s="5709"/>
      <c r="AD90" s="5709"/>
      <c r="AE90" s="5709"/>
      <c r="AF90" s="5709"/>
      <c r="AG90" s="5709"/>
      <c r="AH90" s="5709"/>
      <c r="AI90" s="5709"/>
    </row>
    <row r="91" spans="1:35" ht="15.75" customHeight="1" x14ac:dyDescent="0.2">
      <c r="A91" s="3494" t="s">
        <v>980</v>
      </c>
      <c r="B91" s="5709"/>
      <c r="C91" s="5709"/>
      <c r="D91" s="5709"/>
      <c r="E91" s="5709"/>
      <c r="F91" s="5709"/>
      <c r="G91" s="5709"/>
      <c r="H91" s="5709"/>
      <c r="I91" s="5709"/>
      <c r="J91" s="5709"/>
      <c r="K91" s="5709"/>
      <c r="L91" s="5709"/>
      <c r="M91" s="5709"/>
      <c r="N91" s="5709"/>
      <c r="O91" s="5709"/>
      <c r="P91" s="5709"/>
      <c r="Q91" s="5709"/>
      <c r="R91" s="5709"/>
      <c r="S91" s="5709"/>
      <c r="T91" s="5709"/>
      <c r="U91" s="5709"/>
      <c r="V91" s="5709"/>
      <c r="W91" s="5709"/>
      <c r="X91" s="5709"/>
      <c r="Y91" s="5709"/>
      <c r="Z91" s="5709"/>
      <c r="AA91" s="5709"/>
      <c r="AB91" s="5709"/>
      <c r="AC91" s="5709"/>
      <c r="AD91" s="5709"/>
      <c r="AE91" s="5709"/>
      <c r="AF91" s="5709"/>
      <c r="AG91" s="5709"/>
      <c r="AH91" s="5709"/>
      <c r="AI91" s="5709"/>
    </row>
    <row r="92" spans="1:35" ht="15.75" customHeight="1" x14ac:dyDescent="0.2">
      <c r="A92" s="3494" t="s">
        <v>980</v>
      </c>
      <c r="B92" s="5709"/>
      <c r="C92" s="5709"/>
      <c r="D92" s="5709"/>
      <c r="E92" s="5709"/>
      <c r="F92" s="5709"/>
      <c r="G92" s="5709"/>
      <c r="H92" s="5709"/>
      <c r="I92" s="5709"/>
      <c r="J92" s="5709"/>
      <c r="K92" s="5709"/>
      <c r="L92" s="5709"/>
      <c r="M92" s="5709"/>
      <c r="N92" s="5709"/>
      <c r="O92" s="5709"/>
      <c r="P92" s="5709"/>
      <c r="Q92" s="5709"/>
      <c r="R92" s="5709"/>
      <c r="S92" s="5709"/>
      <c r="T92" s="5709"/>
      <c r="U92" s="5709"/>
      <c r="V92" s="5709"/>
      <c r="W92" s="5709"/>
      <c r="X92" s="5709"/>
      <c r="Y92" s="5709"/>
      <c r="Z92" s="5709"/>
      <c r="AA92" s="5709"/>
      <c r="AB92" s="5709"/>
      <c r="AC92" s="5709"/>
      <c r="AD92" s="5709"/>
      <c r="AE92" s="5709"/>
      <c r="AF92" s="5709"/>
      <c r="AG92" s="5709"/>
      <c r="AH92" s="5709"/>
      <c r="AI92" s="5709"/>
    </row>
    <row r="93" spans="1:35" ht="15.75" customHeight="1" x14ac:dyDescent="0.2">
      <c r="B93" s="688"/>
      <c r="C93" s="688"/>
      <c r="D93" s="688"/>
      <c r="E93" s="688"/>
      <c r="F93" s="688"/>
      <c r="G93" s="688"/>
      <c r="H93" s="688"/>
      <c r="I93" s="688"/>
      <c r="J93" s="688"/>
      <c r="K93" s="688"/>
      <c r="L93" s="688"/>
      <c r="M93" s="688"/>
      <c r="N93" s="688"/>
      <c r="O93" s="688"/>
      <c r="P93" s="688"/>
      <c r="Q93" s="688"/>
      <c r="R93" s="688"/>
      <c r="S93" s="688"/>
      <c r="T93" s="688"/>
      <c r="U93" s="688"/>
      <c r="V93" s="688"/>
      <c r="W93" s="688"/>
      <c r="X93" s="688"/>
      <c r="Y93" s="688"/>
      <c r="Z93" s="688"/>
      <c r="AA93" s="688"/>
      <c r="AB93" s="688"/>
      <c r="AC93" s="688"/>
      <c r="AD93" s="688"/>
      <c r="AE93" s="688"/>
      <c r="AF93" s="688"/>
      <c r="AG93" s="688"/>
      <c r="AH93" s="688"/>
      <c r="AI93" s="688"/>
    </row>
  </sheetData>
  <sheetProtection password="A754" sheet="1" objects="1" scenarios="1"/>
  <mergeCells count="52">
    <mergeCell ref="B91:AI91"/>
    <mergeCell ref="B92:AI92"/>
    <mergeCell ref="B77:AI77"/>
    <mergeCell ref="B78:AI78"/>
    <mergeCell ref="B79:AI79"/>
    <mergeCell ref="B80:AI80"/>
    <mergeCell ref="B81:AI81"/>
    <mergeCell ref="B82:AI82"/>
    <mergeCell ref="B89:AI89"/>
    <mergeCell ref="B83:AI83"/>
    <mergeCell ref="B84:AI84"/>
    <mergeCell ref="B85:AI85"/>
    <mergeCell ref="B86:AI86"/>
    <mergeCell ref="B87:AI87"/>
    <mergeCell ref="B88:AI88"/>
    <mergeCell ref="B72:AI72"/>
    <mergeCell ref="B73:AI73"/>
    <mergeCell ref="B74:AI74"/>
    <mergeCell ref="B75:AI75"/>
    <mergeCell ref="B90:AI90"/>
    <mergeCell ref="A47:W47"/>
    <mergeCell ref="A49:AI50"/>
    <mergeCell ref="A52:AI52"/>
    <mergeCell ref="B58:AI58"/>
    <mergeCell ref="B76:AI76"/>
    <mergeCell ref="B61:AI61"/>
    <mergeCell ref="B62:AI62"/>
    <mergeCell ref="B63:AI63"/>
    <mergeCell ref="B64:AI64"/>
    <mergeCell ref="B65:AI65"/>
    <mergeCell ref="B66:AI66"/>
    <mergeCell ref="B67:AI67"/>
    <mergeCell ref="B68:AI68"/>
    <mergeCell ref="B69:AI69"/>
    <mergeCell ref="B70:AI70"/>
    <mergeCell ref="B71:AI71"/>
    <mergeCell ref="B60:AI60"/>
    <mergeCell ref="A53:AI53"/>
    <mergeCell ref="A54:AI54"/>
    <mergeCell ref="AF6:AG6"/>
    <mergeCell ref="A1:Q1"/>
    <mergeCell ref="A5:A6"/>
    <mergeCell ref="B6:R6"/>
    <mergeCell ref="U6:V6"/>
    <mergeCell ref="W6:AC6"/>
    <mergeCell ref="B36:AJ36"/>
    <mergeCell ref="B59:AI59"/>
    <mergeCell ref="B55:AI55"/>
    <mergeCell ref="B56:AI56"/>
    <mergeCell ref="B57:AI57"/>
    <mergeCell ref="A45:AI45"/>
    <mergeCell ref="A46:G46"/>
  </mergeCells>
  <dataValidations count="1">
    <dataValidation allowBlank="1" showInputMessage="1" showErrorMessage="1" sqref="V77:V65535 AK1:IV44 AJ55:IV65535 AI77:AI65535" xr:uid="{00000000-0002-0000-1200-000000000000}"/>
  </dataValidations>
  <printOptions horizontalCentered="1" verticalCentered="1"/>
  <pageMargins left="0.39370078740157483" right="0.39370078740157483" top="0.39370078740157483" bottom="0.39370078740157483" header="0.19685039370078741" footer="0.19685039370078741"/>
  <pageSetup paperSize="9" scale="30"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E6488-BB87-4B88-88A5-67CCA0F85B31}">
  <sheetPr codeName="Ark63">
    <tabColor theme="0" tint="-0.34998626667073579"/>
    <pageSetUpPr fitToPage="1"/>
  </sheetPr>
  <dimension ref="A1:F47"/>
  <sheetViews>
    <sheetView showGridLines="0" workbookViewId="0"/>
  </sheetViews>
  <sheetFormatPr defaultColWidth="8" defaultRowHeight="12" customHeight="1" x14ac:dyDescent="0.2"/>
  <cols>
    <col min="1" max="1" width="39" style="659" customWidth="1"/>
    <col min="2" max="2" width="24.85546875" style="659" customWidth="1"/>
    <col min="3" max="3" width="26.28515625" style="659" customWidth="1"/>
    <col min="4" max="4" width="28.42578125" style="659" customWidth="1"/>
    <col min="5" max="6" width="27.5703125" style="659" customWidth="1"/>
    <col min="7" max="16384" width="8" style="659"/>
  </cols>
  <sheetData>
    <row r="1" spans="1:6" ht="15.75" customHeight="1" x14ac:dyDescent="0.2">
      <c r="A1" s="687" t="s">
        <v>1241</v>
      </c>
      <c r="B1" s="660"/>
      <c r="C1" s="660"/>
      <c r="D1" s="660"/>
      <c r="E1" s="660"/>
      <c r="F1" s="668" t="s">
        <v>1762</v>
      </c>
    </row>
    <row r="2" spans="1:6" ht="15.75" customHeight="1" x14ac:dyDescent="0.2">
      <c r="A2" s="687" t="s">
        <v>1240</v>
      </c>
      <c r="B2" s="660"/>
      <c r="C2" s="660"/>
      <c r="D2" s="660"/>
      <c r="E2" s="660"/>
      <c r="F2" s="668" t="s">
        <v>1761</v>
      </c>
    </row>
    <row r="3" spans="1:6" ht="15.75" customHeight="1" x14ac:dyDescent="0.2">
      <c r="A3" s="687" t="s">
        <v>1085</v>
      </c>
      <c r="B3" s="660"/>
      <c r="C3" s="660"/>
      <c r="D3" s="660"/>
      <c r="E3" s="660"/>
      <c r="F3" s="668" t="s">
        <v>1789</v>
      </c>
    </row>
    <row r="4" spans="1:6" x14ac:dyDescent="0.2">
      <c r="A4" s="696"/>
      <c r="B4" s="660"/>
      <c r="C4" s="660"/>
      <c r="D4" s="660"/>
      <c r="E4" s="660"/>
      <c r="F4" s="660"/>
    </row>
    <row r="5" spans="1:6" ht="12.75" customHeight="1" x14ac:dyDescent="0.2">
      <c r="A5" s="677"/>
      <c r="B5" s="661"/>
      <c r="C5" s="661"/>
      <c r="D5" s="661"/>
      <c r="E5" s="661"/>
      <c r="F5" s="661"/>
    </row>
    <row r="6" spans="1:6" ht="40.5" customHeight="1" x14ac:dyDescent="0.2">
      <c r="A6" s="3553" t="s">
        <v>1025</v>
      </c>
      <c r="B6" s="5719" t="s">
        <v>1239</v>
      </c>
      <c r="C6" s="5720"/>
      <c r="D6" s="5721"/>
      <c r="E6" s="3552" t="s">
        <v>1238</v>
      </c>
      <c r="F6" s="3516" t="s">
        <v>1081</v>
      </c>
    </row>
    <row r="7" spans="1:6" ht="24" x14ac:dyDescent="0.2">
      <c r="A7" s="676"/>
      <c r="B7" s="711" t="s">
        <v>1237</v>
      </c>
      <c r="C7" s="712" t="s">
        <v>1236</v>
      </c>
      <c r="D7" s="3326" t="s">
        <v>1235</v>
      </c>
      <c r="E7" s="711" t="s">
        <v>1023</v>
      </c>
      <c r="F7" s="3325" t="s">
        <v>1023</v>
      </c>
    </row>
    <row r="8" spans="1:6" ht="14.25" thickBot="1" x14ac:dyDescent="0.25">
      <c r="A8" s="710"/>
      <c r="B8" s="674" t="s">
        <v>1234</v>
      </c>
      <c r="C8" s="673" t="s">
        <v>1233</v>
      </c>
      <c r="D8" s="709" t="s">
        <v>1232</v>
      </c>
      <c r="E8" s="709" t="s">
        <v>1231</v>
      </c>
      <c r="F8" s="673" t="s">
        <v>1011</v>
      </c>
    </row>
    <row r="9" spans="1:6" ht="12.75" customHeight="1" thickTop="1" x14ac:dyDescent="0.2">
      <c r="A9" s="708" t="s">
        <v>1230</v>
      </c>
      <c r="B9" s="3507">
        <v>1498.713</v>
      </c>
      <c r="C9" s="3497" t="s">
        <v>986</v>
      </c>
      <c r="D9" s="3497" t="s">
        <v>986</v>
      </c>
      <c r="E9" s="3507">
        <v>84.958464643088035</v>
      </c>
      <c r="F9" s="3507">
        <v>127.3283554206364</v>
      </c>
    </row>
    <row r="10" spans="1:6" ht="13.5" customHeight="1" x14ac:dyDescent="0.2">
      <c r="A10" s="3551" t="s">
        <v>1229</v>
      </c>
      <c r="B10" s="3497" t="s">
        <v>986</v>
      </c>
      <c r="C10" s="3497" t="s">
        <v>986</v>
      </c>
      <c r="D10" s="3497" t="s">
        <v>986</v>
      </c>
      <c r="E10" s="3497" t="s">
        <v>986</v>
      </c>
      <c r="F10" s="3497" t="s">
        <v>986</v>
      </c>
    </row>
    <row r="11" spans="1:6" ht="13.5" customHeight="1" x14ac:dyDescent="0.2">
      <c r="A11" s="3550" t="s">
        <v>1228</v>
      </c>
      <c r="B11" s="3500">
        <v>566.98599999999999</v>
      </c>
      <c r="C11" s="3500">
        <v>415.47455765394898</v>
      </c>
      <c r="D11" s="3500">
        <v>5.76</v>
      </c>
      <c r="E11" s="3507">
        <v>157.41026912528582</v>
      </c>
      <c r="F11" s="3500">
        <v>89.249418850269294</v>
      </c>
    </row>
    <row r="12" spans="1:6" ht="12" customHeight="1" x14ac:dyDescent="0.2">
      <c r="A12" s="3550" t="s">
        <v>1227</v>
      </c>
      <c r="B12" s="3500">
        <v>931.72699999999998</v>
      </c>
      <c r="C12" s="3500">
        <v>129.705980461564</v>
      </c>
      <c r="D12" s="3500">
        <v>6.5</v>
      </c>
      <c r="E12" s="3507">
        <v>40.86919942254233</v>
      </c>
      <c r="F12" s="3500">
        <v>38.078936570367098</v>
      </c>
    </row>
    <row r="13" spans="1:6" ht="12" customHeight="1" x14ac:dyDescent="0.2">
      <c r="A13" s="3551" t="s">
        <v>1226</v>
      </c>
      <c r="B13" s="3497" t="s">
        <v>986</v>
      </c>
      <c r="C13" s="3497" t="s">
        <v>986</v>
      </c>
      <c r="D13" s="3497" t="s">
        <v>986</v>
      </c>
      <c r="E13" s="3497" t="s">
        <v>986</v>
      </c>
      <c r="F13" s="3497" t="s">
        <v>986</v>
      </c>
    </row>
    <row r="14" spans="1:6" ht="12" customHeight="1" x14ac:dyDescent="0.2">
      <c r="A14" s="3550" t="s">
        <v>1225</v>
      </c>
      <c r="B14" s="3500" t="s">
        <v>986</v>
      </c>
      <c r="C14" s="3500" t="s">
        <v>986</v>
      </c>
      <c r="D14" s="3500" t="s">
        <v>986</v>
      </c>
      <c r="E14" s="3507" t="s">
        <v>986</v>
      </c>
      <c r="F14" s="3500" t="s">
        <v>986</v>
      </c>
    </row>
    <row r="15" spans="1:6" ht="12.75" customHeight="1" x14ac:dyDescent="0.2">
      <c r="A15" s="3550" t="s">
        <v>1224</v>
      </c>
      <c r="B15" s="3500" t="s">
        <v>986</v>
      </c>
      <c r="C15" s="3500" t="s">
        <v>986</v>
      </c>
      <c r="D15" s="3500" t="s">
        <v>986</v>
      </c>
      <c r="E15" s="3507" t="s">
        <v>986</v>
      </c>
      <c r="F15" s="3500" t="s">
        <v>986</v>
      </c>
    </row>
    <row r="16" spans="1:6" ht="13.5" customHeight="1" x14ac:dyDescent="0.2">
      <c r="A16" s="3550" t="s">
        <v>1223</v>
      </c>
      <c r="B16" s="3500" t="s">
        <v>986</v>
      </c>
      <c r="C16" s="3500" t="s">
        <v>986</v>
      </c>
      <c r="D16" s="3500" t="s">
        <v>986</v>
      </c>
      <c r="E16" s="3507" t="s">
        <v>986</v>
      </c>
      <c r="F16" s="3500" t="s">
        <v>986</v>
      </c>
    </row>
    <row r="17" spans="1:6" ht="29.25" customHeight="1" x14ac:dyDescent="0.2">
      <c r="A17" s="3551" t="s">
        <v>1222</v>
      </c>
      <c r="B17" s="3497" t="s">
        <v>986</v>
      </c>
      <c r="C17" s="3497" t="s">
        <v>986</v>
      </c>
      <c r="D17" s="3497" t="s">
        <v>986</v>
      </c>
      <c r="E17" s="3497" t="s">
        <v>986</v>
      </c>
      <c r="F17" s="3497" t="s">
        <v>986</v>
      </c>
    </row>
    <row r="18" spans="1:6" ht="13.5" customHeight="1" x14ac:dyDescent="0.2">
      <c r="A18" s="3549" t="s">
        <v>1218</v>
      </c>
      <c r="B18" s="3497" t="s">
        <v>986</v>
      </c>
      <c r="C18" s="3497" t="s">
        <v>986</v>
      </c>
      <c r="D18" s="3497" t="s">
        <v>986</v>
      </c>
      <c r="E18" s="3497" t="s">
        <v>986</v>
      </c>
      <c r="F18" s="3507" t="s">
        <v>986</v>
      </c>
    </row>
    <row r="19" spans="1:6" ht="12.75" customHeight="1" x14ac:dyDescent="0.2">
      <c r="A19" s="3549" t="s">
        <v>1221</v>
      </c>
      <c r="B19" s="3507">
        <v>200.1</v>
      </c>
      <c r="C19" s="3497" t="s">
        <v>986</v>
      </c>
      <c r="D19" s="3497" t="s">
        <v>986</v>
      </c>
      <c r="E19" s="3507">
        <v>6.7139268692537701</v>
      </c>
      <c r="F19" s="3507">
        <v>1.34345676653768</v>
      </c>
    </row>
    <row r="20" spans="1:6" ht="12.75" customHeight="1" x14ac:dyDescent="0.2">
      <c r="A20" s="3550" t="s">
        <v>1218</v>
      </c>
      <c r="B20" s="3507">
        <v>200.1</v>
      </c>
      <c r="C20" s="3497" t="s">
        <v>986</v>
      </c>
      <c r="D20" s="3497" t="s">
        <v>986</v>
      </c>
      <c r="E20" s="3507">
        <v>6.7139268692537701</v>
      </c>
      <c r="F20" s="3507">
        <v>1.34345676653768</v>
      </c>
    </row>
    <row r="21" spans="1:6" ht="12.75" customHeight="1" x14ac:dyDescent="0.2">
      <c r="A21" s="3519" t="s">
        <v>1220</v>
      </c>
      <c r="B21" s="3500">
        <v>200.1</v>
      </c>
      <c r="C21" s="3500">
        <v>20.192378720210201</v>
      </c>
      <c r="D21" s="3500">
        <v>6.5</v>
      </c>
      <c r="E21" s="3507">
        <v>6.7139268692537701</v>
      </c>
      <c r="F21" s="3500">
        <v>1.34345676653768</v>
      </c>
    </row>
    <row r="22" spans="1:6" ht="13.5" customHeight="1" x14ac:dyDescent="0.2">
      <c r="A22" s="3549" t="s">
        <v>1219</v>
      </c>
      <c r="B22" s="3507">
        <v>13162.627</v>
      </c>
      <c r="C22" s="3497" t="s">
        <v>986</v>
      </c>
      <c r="D22" s="3497" t="s">
        <v>986</v>
      </c>
      <c r="E22" s="3507">
        <v>1.04801259300409</v>
      </c>
      <c r="F22" s="3507">
        <v>13.7945988530157</v>
      </c>
    </row>
    <row r="23" spans="1:6" ht="13.5" customHeight="1" x14ac:dyDescent="0.2">
      <c r="A23" s="3550" t="s">
        <v>1218</v>
      </c>
      <c r="B23" s="3507">
        <v>13162.627</v>
      </c>
      <c r="C23" s="3497" t="s">
        <v>986</v>
      </c>
      <c r="D23" s="3497" t="s">
        <v>986</v>
      </c>
      <c r="E23" s="3507">
        <v>1.04801259300409</v>
      </c>
      <c r="F23" s="3507">
        <v>13.7945988530157</v>
      </c>
    </row>
    <row r="24" spans="1:6" ht="12.75" customHeight="1" x14ac:dyDescent="0.2">
      <c r="A24" s="3519" t="s">
        <v>1217</v>
      </c>
      <c r="B24" s="3500">
        <v>13162.627</v>
      </c>
      <c r="C24" s="3500">
        <v>37.649387008086997</v>
      </c>
      <c r="D24" s="3500">
        <v>0.6</v>
      </c>
      <c r="E24" s="3507">
        <v>1.04801259300409</v>
      </c>
      <c r="F24" s="3500">
        <v>13.7945988530157</v>
      </c>
    </row>
    <row r="25" spans="1:6" ht="13.5" customHeight="1" x14ac:dyDescent="0.2">
      <c r="A25" s="3549" t="s">
        <v>1216</v>
      </c>
      <c r="B25" s="3507">
        <v>25611.495999999999</v>
      </c>
      <c r="C25" s="3497" t="s">
        <v>986</v>
      </c>
      <c r="D25" s="3497" t="s">
        <v>986</v>
      </c>
      <c r="E25" s="3507">
        <v>0.18416633360800999</v>
      </c>
      <c r="F25" s="3507">
        <v>4.7167753165361201</v>
      </c>
    </row>
    <row r="26" spans="1:6" ht="12" customHeight="1" x14ac:dyDescent="0.2">
      <c r="A26" s="3519" t="s">
        <v>1215</v>
      </c>
      <c r="B26" s="3500">
        <v>6.7190000000000003</v>
      </c>
      <c r="C26" s="3500">
        <v>34.461479452054803</v>
      </c>
      <c r="D26" s="3500">
        <v>5</v>
      </c>
      <c r="E26" s="3507">
        <v>11.301383647798779</v>
      </c>
      <c r="F26" s="3500">
        <v>7.5933996729559999E-2</v>
      </c>
    </row>
    <row r="27" spans="1:6" x14ac:dyDescent="0.2">
      <c r="A27" s="3519" t="s">
        <v>1214</v>
      </c>
      <c r="B27" s="3500">
        <v>10.34</v>
      </c>
      <c r="C27" s="3500">
        <v>39.885851650966401</v>
      </c>
      <c r="D27" s="3500">
        <v>5</v>
      </c>
      <c r="E27" s="3507">
        <v>13.08026581545648</v>
      </c>
      <c r="F27" s="3500">
        <v>0.13524994853182001</v>
      </c>
    </row>
    <row r="28" spans="1:6" x14ac:dyDescent="0.2">
      <c r="A28" s="3519" t="s">
        <v>1213</v>
      </c>
      <c r="B28" s="3500">
        <v>182.50200000000001</v>
      </c>
      <c r="C28" s="3500">
        <v>148.19403</v>
      </c>
      <c r="D28" s="3500">
        <v>2.5</v>
      </c>
      <c r="E28" s="3507">
        <v>24.299560175202132</v>
      </c>
      <c r="F28" s="3500">
        <v>4.4347183310947402</v>
      </c>
    </row>
    <row r="29" spans="1:6" x14ac:dyDescent="0.2">
      <c r="A29" s="3519" t="s">
        <v>1212</v>
      </c>
      <c r="B29" s="3500">
        <v>22132.858</v>
      </c>
      <c r="C29" s="3500">
        <v>1.4963368425701999</v>
      </c>
      <c r="D29" s="3500" t="s">
        <v>1209</v>
      </c>
      <c r="E29" s="3507">
        <v>3.1886053953400001E-3</v>
      </c>
      <c r="F29" s="3500">
        <v>7.0572950433000006E-2</v>
      </c>
    </row>
    <row r="30" spans="1:6" x14ac:dyDescent="0.2">
      <c r="A30" s="3548" t="s">
        <v>1111</v>
      </c>
      <c r="B30" s="3507">
        <v>3279.0770000000002</v>
      </c>
      <c r="C30" s="3497" t="s">
        <v>986</v>
      </c>
      <c r="D30" s="3497" t="s">
        <v>986</v>
      </c>
      <c r="E30" s="3507">
        <v>9.1516529499999994E-5</v>
      </c>
      <c r="F30" s="3507">
        <v>3.0008974700000002E-4</v>
      </c>
    </row>
    <row r="31" spans="1:6" x14ac:dyDescent="0.2">
      <c r="A31" s="3520" t="s">
        <v>1211</v>
      </c>
      <c r="B31" s="3500">
        <v>9.0999999999999998E-2</v>
      </c>
      <c r="C31" s="3500" t="s">
        <v>1209</v>
      </c>
      <c r="D31" s="3500" t="s">
        <v>1209</v>
      </c>
      <c r="E31" s="3507">
        <v>2.2964252747249999E-2</v>
      </c>
      <c r="F31" s="3500">
        <v>2.0897469999999999E-6</v>
      </c>
    </row>
    <row r="32" spans="1:6" x14ac:dyDescent="0.2">
      <c r="A32" s="3520" t="s">
        <v>1765</v>
      </c>
      <c r="B32" s="3500">
        <v>2216.4859999999999</v>
      </c>
      <c r="C32" s="3500">
        <v>7.5073506849315104</v>
      </c>
      <c r="D32" s="3500" t="s">
        <v>799</v>
      </c>
      <c r="E32" s="3507" t="s">
        <v>799</v>
      </c>
      <c r="F32" s="3500" t="s">
        <v>799</v>
      </c>
    </row>
    <row r="33" spans="1:6" x14ac:dyDescent="0.2">
      <c r="A33" s="3520" t="s">
        <v>1210</v>
      </c>
      <c r="B33" s="3500">
        <v>1062.5</v>
      </c>
      <c r="C33" s="3500" t="s">
        <v>1209</v>
      </c>
      <c r="D33" s="3500" t="s">
        <v>1209</v>
      </c>
      <c r="E33" s="3507">
        <v>2.8047058824000001E-4</v>
      </c>
      <c r="F33" s="3500">
        <v>2.9799999999999998E-4</v>
      </c>
    </row>
    <row r="34" spans="1:6" x14ac:dyDescent="0.2">
      <c r="A34" s="678" t="s">
        <v>564</v>
      </c>
      <c r="B34" s="663"/>
      <c r="C34" s="663"/>
      <c r="D34" s="663"/>
      <c r="E34" s="663"/>
      <c r="F34" s="663"/>
    </row>
    <row r="35" spans="1:6" ht="13.5" x14ac:dyDescent="0.2">
      <c r="A35" s="5459" t="s">
        <v>1208</v>
      </c>
      <c r="B35" s="5459"/>
      <c r="C35" s="5459"/>
      <c r="D35" s="5459"/>
      <c r="E35" s="5459"/>
      <c r="F35" s="5459"/>
    </row>
    <row r="36" spans="1:6" ht="13.5" x14ac:dyDescent="0.2">
      <c r="A36" s="5459" t="s">
        <v>1207</v>
      </c>
      <c r="B36" s="5459"/>
      <c r="C36" s="5459"/>
      <c r="D36" s="5459"/>
      <c r="E36" s="5459"/>
      <c r="F36" s="5459"/>
    </row>
    <row r="37" spans="1:6" ht="13.5" x14ac:dyDescent="0.2">
      <c r="A37" s="5459" t="s">
        <v>1206</v>
      </c>
      <c r="B37" s="5459"/>
      <c r="C37" s="5459"/>
      <c r="D37" s="5459"/>
      <c r="E37" s="5459"/>
      <c r="F37" s="5459"/>
    </row>
    <row r="38" spans="1:6" ht="13.5" x14ac:dyDescent="0.2">
      <c r="A38" s="5459" t="s">
        <v>1205</v>
      </c>
      <c r="B38" s="5459"/>
      <c r="C38" s="5459"/>
      <c r="D38" s="5459"/>
      <c r="E38" s="5459"/>
      <c r="F38" s="5459"/>
    </row>
    <row r="39" spans="1:6" ht="36.75" customHeight="1" x14ac:dyDescent="0.2">
      <c r="A39" s="5459" t="s">
        <v>1204</v>
      </c>
      <c r="B39" s="5459"/>
      <c r="C39" s="5459"/>
      <c r="D39" s="5459"/>
      <c r="E39" s="5459"/>
      <c r="F39" s="5459"/>
    </row>
    <row r="40" spans="1:6" ht="13.5" x14ac:dyDescent="0.2">
      <c r="A40" s="5459" t="s">
        <v>1203</v>
      </c>
      <c r="B40" s="5459"/>
      <c r="C40" s="5459"/>
      <c r="D40" s="5459"/>
      <c r="E40" s="5459"/>
      <c r="F40" s="5459"/>
    </row>
    <row r="41" spans="1:6" ht="13.5" x14ac:dyDescent="0.2">
      <c r="A41" s="662"/>
      <c r="B41" s="661"/>
      <c r="C41" s="661"/>
      <c r="D41" s="661"/>
      <c r="E41" s="661"/>
      <c r="F41" s="661"/>
    </row>
    <row r="42" spans="1:6" ht="17.25" customHeight="1" x14ac:dyDescent="0.2">
      <c r="A42" s="3547" t="s">
        <v>982</v>
      </c>
      <c r="B42" s="3546"/>
      <c r="C42" s="3546"/>
      <c r="D42" s="3546"/>
      <c r="E42" s="3545"/>
      <c r="F42" s="661"/>
    </row>
    <row r="43" spans="1:6" ht="24.75" customHeight="1" x14ac:dyDescent="0.2">
      <c r="A43" s="5500" t="s">
        <v>1202</v>
      </c>
      <c r="B43" s="5435"/>
      <c r="C43" s="5435"/>
      <c r="D43" s="5435"/>
      <c r="E43" s="5477"/>
      <c r="F43" s="707"/>
    </row>
    <row r="44" spans="1:6" ht="12" customHeight="1" x14ac:dyDescent="0.2">
      <c r="A44" s="706" t="s">
        <v>1201</v>
      </c>
      <c r="B44" s="705"/>
      <c r="C44" s="705"/>
      <c r="D44" s="705"/>
      <c r="E44" s="704"/>
      <c r="F44" s="703"/>
    </row>
    <row r="45" spans="1:6" x14ac:dyDescent="0.2">
      <c r="A45" s="5501" t="s">
        <v>1200</v>
      </c>
      <c r="B45" s="5502"/>
      <c r="C45" s="5502"/>
      <c r="D45" s="5502"/>
      <c r="E45" s="5503"/>
      <c r="F45" s="702"/>
    </row>
    <row r="46" spans="1:6" ht="12" customHeight="1" x14ac:dyDescent="0.2">
      <c r="A46" s="701" t="s">
        <v>1199</v>
      </c>
      <c r="B46" s="700"/>
      <c r="C46" s="700"/>
      <c r="D46" s="700"/>
      <c r="E46" s="699"/>
      <c r="F46" s="698"/>
    </row>
    <row r="47" spans="1:6" ht="12" customHeight="1" x14ac:dyDescent="0.2">
      <c r="A47" s="3544" t="s">
        <v>980</v>
      </c>
      <c r="B47" s="5696" t="s">
        <v>986</v>
      </c>
      <c r="C47" s="5722"/>
      <c r="D47" s="5722"/>
      <c r="E47" s="5722"/>
      <c r="F47" s="3543"/>
    </row>
  </sheetData>
  <sheetProtection password="A754" sheet="1" objects="1" scenarios="1"/>
  <mergeCells count="10">
    <mergeCell ref="B6:D6"/>
    <mergeCell ref="B47:E47"/>
    <mergeCell ref="A35:F35"/>
    <mergeCell ref="A36:F36"/>
    <mergeCell ref="A37:F37"/>
    <mergeCell ref="A38:F38"/>
    <mergeCell ref="A39:F39"/>
    <mergeCell ref="A40:F40"/>
    <mergeCell ref="A43:E43"/>
    <mergeCell ref="A45:E45"/>
  </mergeCells>
  <dataValidations count="1">
    <dataValidation allowBlank="1" showInputMessage="1" showErrorMessage="1" sqref="A44:A65522 A42 B42:F65522 G1:IL65522" xr:uid="{00000000-0002-0000-1700-000000000000}"/>
  </dataValidations>
  <printOptions horizontalCentered="1" verticalCentered="1"/>
  <pageMargins left="0.39370078740157483" right="0.39370078740157483" top="0.39370078740157483" bottom="0.39370078740157483" header="0.19685039370078741" footer="0.19685039370078741"/>
  <pageSetup paperSize="9" scale="4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DDA51-554E-443C-8C95-0E98E4E0B772}">
  <sheetPr codeName="Ark109">
    <tabColor theme="3" tint="0.59999389629810485"/>
    <pageSetUpPr fitToPage="1"/>
  </sheetPr>
  <dimension ref="A1:AY95"/>
  <sheetViews>
    <sheetView showGridLines="0" showZeros="0" topLeftCell="A26" zoomScale="70" zoomScaleNormal="70" workbookViewId="0">
      <selection activeCell="AA26" sqref="AA26"/>
    </sheetView>
  </sheetViews>
  <sheetFormatPr defaultColWidth="9.140625" defaultRowHeight="12.75" x14ac:dyDescent="0.2"/>
  <cols>
    <col min="1" max="9" width="7.140625" style="12" customWidth="1"/>
    <col min="10" max="12" width="7.140625" style="32" customWidth="1"/>
    <col min="13" max="26" width="7.140625" style="12" customWidth="1"/>
    <col min="27" max="27" width="8.7109375" style="12" customWidth="1"/>
    <col min="28" max="28" width="52.140625" style="12" bestFit="1" customWidth="1"/>
    <col min="29" max="32" width="5.7109375" style="12" customWidth="1"/>
    <col min="33" max="37" width="8.7109375" style="12" customWidth="1"/>
    <col min="38" max="46" width="7.140625" style="12" customWidth="1"/>
    <col min="47" max="16384" width="9.140625" style="12"/>
  </cols>
  <sheetData>
    <row r="1" spans="1:51" ht="15" customHeight="1" x14ac:dyDescent="0.2">
      <c r="A1" s="112" t="s">
        <v>17</v>
      </c>
      <c r="B1" s="9"/>
      <c r="C1" s="9"/>
      <c r="D1" s="5147">
        <v>1807</v>
      </c>
      <c r="E1" s="5148"/>
      <c r="F1" s="10"/>
      <c r="G1" s="10"/>
      <c r="H1" s="10"/>
      <c r="I1" s="10"/>
      <c r="J1" s="31"/>
      <c r="K1" s="31"/>
      <c r="L1" s="31"/>
      <c r="N1" s="10"/>
      <c r="O1" s="10"/>
      <c r="P1" s="10"/>
      <c r="Q1" s="10"/>
      <c r="R1" s="10"/>
      <c r="S1" s="10"/>
      <c r="T1" s="10"/>
      <c r="U1" s="10"/>
      <c r="V1" s="10"/>
      <c r="W1" s="10"/>
      <c r="X1" s="10"/>
      <c r="Y1" s="11"/>
      <c r="Z1" s="11"/>
      <c r="AA1" s="11"/>
      <c r="AB1" s="5149" t="s">
        <v>30</v>
      </c>
      <c r="AC1" s="11"/>
      <c r="AD1" s="11"/>
      <c r="AE1" s="11"/>
      <c r="AF1" s="11"/>
      <c r="AG1" s="10"/>
      <c r="AH1" s="10"/>
      <c r="AI1" s="10"/>
      <c r="AJ1" s="10"/>
      <c r="AK1" s="10"/>
      <c r="AL1" s="10"/>
      <c r="AM1" s="10"/>
      <c r="AN1" s="10"/>
      <c r="AO1" s="10"/>
      <c r="AP1" s="10"/>
      <c r="AQ1" s="10"/>
      <c r="AR1" s="10"/>
      <c r="AS1" s="10"/>
      <c r="AT1" s="10"/>
    </row>
    <row r="2" spans="1:51" ht="15" customHeight="1" x14ac:dyDescent="0.25">
      <c r="A2" s="113" t="s">
        <v>19</v>
      </c>
      <c r="B2" s="10"/>
      <c r="C2" s="10"/>
      <c r="D2" s="296">
        <v>91.85</v>
      </c>
      <c r="E2" s="114" t="s">
        <v>18</v>
      </c>
      <c r="F2" s="10"/>
      <c r="G2" s="10"/>
      <c r="H2" s="115"/>
      <c r="I2" s="10"/>
      <c r="J2" s="31"/>
      <c r="K2" s="31"/>
      <c r="L2" s="31"/>
      <c r="M2" s="10"/>
      <c r="N2" s="10"/>
      <c r="O2" s="10"/>
      <c r="P2" s="10"/>
      <c r="Q2" s="10"/>
      <c r="R2" s="10"/>
      <c r="S2" s="10"/>
      <c r="T2" s="10"/>
      <c r="U2" s="10"/>
      <c r="V2" s="10"/>
      <c r="W2" s="10"/>
      <c r="X2" s="10"/>
      <c r="Y2" s="11"/>
      <c r="Z2" s="11"/>
      <c r="AA2" s="11"/>
      <c r="AB2" s="5149"/>
      <c r="AC2" s="11"/>
      <c r="AD2" s="11"/>
      <c r="AE2" s="11"/>
      <c r="AF2" s="11"/>
      <c r="AG2" s="10"/>
      <c r="AH2" s="10"/>
      <c r="AI2" s="10"/>
      <c r="AJ2" s="10"/>
      <c r="AK2" s="10"/>
      <c r="AL2" s="10"/>
      <c r="AM2" s="10"/>
      <c r="AN2" s="10"/>
      <c r="AO2" s="10"/>
      <c r="AP2" s="10"/>
      <c r="AQ2" s="10"/>
      <c r="AR2" s="10"/>
      <c r="AS2" s="10"/>
      <c r="AT2" s="10"/>
    </row>
    <row r="3" spans="1:51" ht="15" customHeight="1" thickBot="1" x14ac:dyDescent="0.25">
      <c r="A3" s="116" t="s">
        <v>15</v>
      </c>
      <c r="B3" s="13"/>
      <c r="C3" s="13"/>
      <c r="D3" s="13" t="s">
        <v>16</v>
      </c>
      <c r="E3" s="14"/>
      <c r="F3" s="10"/>
      <c r="G3" s="10"/>
      <c r="H3" s="10"/>
      <c r="I3" s="10"/>
      <c r="J3" s="31"/>
      <c r="K3" s="31"/>
      <c r="L3" s="31"/>
      <c r="M3" s="10"/>
      <c r="N3" s="10"/>
      <c r="O3" s="10"/>
      <c r="P3" s="10"/>
      <c r="Q3" s="10"/>
      <c r="R3" s="10"/>
      <c r="S3" s="10"/>
      <c r="T3" s="10"/>
      <c r="U3" s="10"/>
      <c r="V3" s="10"/>
      <c r="W3" s="10"/>
      <c r="X3" s="10"/>
      <c r="Y3" s="11"/>
      <c r="Z3" s="11"/>
      <c r="AA3" s="5151" t="s">
        <v>5381</v>
      </c>
      <c r="AB3" s="5151"/>
      <c r="AC3" s="5151"/>
      <c r="AD3" s="11"/>
      <c r="AE3" s="11"/>
      <c r="AF3" s="11"/>
      <c r="AG3" s="10"/>
      <c r="AH3" s="10"/>
      <c r="AI3" s="10"/>
      <c r="AJ3" s="10"/>
      <c r="AK3" s="10"/>
      <c r="AL3" s="10"/>
      <c r="AM3" s="10"/>
      <c r="AN3" s="10"/>
      <c r="AO3" s="10"/>
      <c r="AP3" s="10"/>
      <c r="AQ3" s="10"/>
      <c r="AR3" s="10"/>
      <c r="AS3" s="10"/>
      <c r="AT3" s="10"/>
    </row>
    <row r="4" spans="1:51" ht="15" customHeight="1" x14ac:dyDescent="0.2">
      <c r="A4" s="10"/>
      <c r="B4" s="10"/>
      <c r="C4" s="10"/>
      <c r="D4" s="10"/>
      <c r="E4" s="10"/>
      <c r="F4" s="10"/>
      <c r="G4" s="10"/>
      <c r="H4" s="10"/>
      <c r="I4" s="10"/>
      <c r="J4" s="31"/>
      <c r="K4" s="31"/>
      <c r="L4" s="31"/>
      <c r="M4" s="10"/>
      <c r="N4" s="10"/>
      <c r="O4" s="10"/>
      <c r="P4" s="10"/>
      <c r="Q4" s="10"/>
      <c r="R4" s="10"/>
      <c r="S4" s="10"/>
      <c r="T4" s="10"/>
      <c r="U4" s="10"/>
      <c r="V4" s="10"/>
      <c r="W4" s="10"/>
      <c r="X4" s="10"/>
      <c r="Y4" s="11"/>
      <c r="Z4" s="11"/>
      <c r="AA4" s="5151"/>
      <c r="AB4" s="5151"/>
      <c r="AC4" s="5151"/>
      <c r="AD4" s="11"/>
      <c r="AE4" s="11"/>
      <c r="AF4" s="11"/>
      <c r="AG4" s="10"/>
      <c r="AH4" s="10"/>
      <c r="AI4" s="10"/>
      <c r="AJ4" s="10"/>
      <c r="AK4" s="10"/>
      <c r="AL4" s="10"/>
      <c r="AM4" s="10"/>
      <c r="AN4" s="10"/>
      <c r="AO4" s="10"/>
      <c r="AP4" s="10"/>
      <c r="AQ4" s="10"/>
      <c r="AR4" s="10"/>
      <c r="AS4" s="10"/>
      <c r="AT4" s="10"/>
    </row>
    <row r="5" spans="1:51" ht="15" customHeight="1" x14ac:dyDescent="0.2">
      <c r="A5" s="10"/>
      <c r="B5" s="10"/>
      <c r="C5" s="10"/>
      <c r="D5" s="10"/>
      <c r="E5" s="10"/>
      <c r="F5" s="10"/>
      <c r="G5" s="10"/>
      <c r="H5" s="10"/>
      <c r="I5" s="10"/>
      <c r="J5" s="31"/>
      <c r="K5" s="31"/>
      <c r="L5" s="31"/>
      <c r="M5" s="10"/>
      <c r="N5" s="10"/>
      <c r="O5" s="10"/>
      <c r="P5" s="10"/>
      <c r="Q5" s="10"/>
      <c r="R5" s="10"/>
      <c r="S5" s="10"/>
      <c r="T5" s="10"/>
      <c r="U5" s="10"/>
      <c r="V5" s="10"/>
      <c r="W5" s="10"/>
      <c r="X5" s="10"/>
      <c r="Y5" s="10"/>
      <c r="Z5" s="10"/>
      <c r="AA5" s="10"/>
      <c r="AC5" s="10"/>
      <c r="AD5" s="10"/>
      <c r="AE5" s="10"/>
      <c r="AF5" s="10"/>
      <c r="AG5" s="10"/>
      <c r="AH5" s="10"/>
      <c r="AI5" s="10"/>
      <c r="AJ5" s="10"/>
      <c r="AK5" s="10"/>
      <c r="AL5" s="10"/>
      <c r="AM5" s="10"/>
      <c r="AN5" s="10"/>
      <c r="AO5" s="10"/>
      <c r="AP5" s="10"/>
      <c r="AQ5" s="10"/>
      <c r="AR5" s="10"/>
      <c r="AS5" s="10"/>
      <c r="AT5" s="10"/>
    </row>
    <row r="6" spans="1:51" ht="15" customHeight="1" x14ac:dyDescent="0.25">
      <c r="A6" s="5150" t="s">
        <v>0</v>
      </c>
      <c r="B6" s="5150"/>
      <c r="C6" s="5150"/>
      <c r="D6" s="5150"/>
      <c r="E6" s="5150"/>
      <c r="F6" s="5150"/>
      <c r="G6" s="5150"/>
      <c r="H6" s="5150"/>
      <c r="I6" s="5150"/>
      <c r="J6" s="5150"/>
      <c r="K6" s="5150"/>
      <c r="L6" s="5150"/>
      <c r="M6" s="5150"/>
      <c r="N6" s="5150"/>
      <c r="O6" s="5150"/>
      <c r="P6" s="5150"/>
      <c r="Q6" s="5150"/>
      <c r="R6" s="5150"/>
      <c r="S6" s="5150"/>
      <c r="T6" s="5150"/>
      <c r="U6" s="5150"/>
      <c r="V6" s="5150"/>
      <c r="W6" s="5150"/>
      <c r="X6" s="5150"/>
      <c r="Y6" s="5150"/>
      <c r="Z6" s="5150"/>
      <c r="AA6" s="5150"/>
      <c r="AB6" s="304" t="s">
        <v>20</v>
      </c>
      <c r="AC6" s="5150" t="s">
        <v>61</v>
      </c>
      <c r="AD6" s="5150"/>
      <c r="AE6" s="5150"/>
      <c r="AF6" s="5150"/>
      <c r="AG6" s="5150" t="s">
        <v>22</v>
      </c>
      <c r="AH6" s="5150"/>
      <c r="AI6" s="5150" t="s">
        <v>21</v>
      </c>
      <c r="AJ6" s="5150"/>
      <c r="AK6" s="117"/>
      <c r="AL6" s="5150" t="s">
        <v>507</v>
      </c>
      <c r="AM6" s="5150"/>
      <c r="AN6" s="5150"/>
      <c r="AO6" s="5150"/>
      <c r="AP6" s="5150"/>
      <c r="AQ6" s="5150"/>
      <c r="AR6" s="5150"/>
      <c r="AS6" s="5150"/>
      <c r="AT6" s="5150"/>
    </row>
    <row r="7" spans="1:51" s="18" customFormat="1" ht="159.94999999999999" customHeight="1" thickBot="1" x14ac:dyDescent="0.65">
      <c r="A7" s="15" t="s">
        <v>31</v>
      </c>
      <c r="B7" s="16" t="s">
        <v>32</v>
      </c>
      <c r="C7" s="16" t="s">
        <v>33</v>
      </c>
      <c r="D7" s="16" t="s">
        <v>34</v>
      </c>
      <c r="E7" s="16" t="s">
        <v>35</v>
      </c>
      <c r="F7" s="16" t="s">
        <v>36</v>
      </c>
      <c r="G7" s="16" t="s">
        <v>37</v>
      </c>
      <c r="H7" s="16" t="s">
        <v>38</v>
      </c>
      <c r="I7" s="16" t="s">
        <v>39</v>
      </c>
      <c r="J7" s="287" t="s">
        <v>175</v>
      </c>
      <c r="K7" s="287" t="s">
        <v>176</v>
      </c>
      <c r="L7" s="287" t="s">
        <v>177</v>
      </c>
      <c r="M7" s="16" t="s">
        <v>40</v>
      </c>
      <c r="N7" s="16" t="s">
        <v>41</v>
      </c>
      <c r="O7" s="16" t="s">
        <v>42</v>
      </c>
      <c r="P7" s="16" t="s">
        <v>43</v>
      </c>
      <c r="Q7" s="16" t="s">
        <v>44</v>
      </c>
      <c r="R7" s="16" t="s">
        <v>45</v>
      </c>
      <c r="S7" s="16" t="s">
        <v>46</v>
      </c>
      <c r="T7" s="16" t="s">
        <v>47</v>
      </c>
      <c r="U7" s="16" t="s">
        <v>48</v>
      </c>
      <c r="V7" s="16" t="s">
        <v>49</v>
      </c>
      <c r="W7" s="16" t="s">
        <v>50</v>
      </c>
      <c r="X7" s="16" t="s">
        <v>51</v>
      </c>
      <c r="Y7" s="16" t="s">
        <v>52</v>
      </c>
      <c r="Z7" s="16" t="s">
        <v>53</v>
      </c>
      <c r="AA7" s="118" t="s">
        <v>54</v>
      </c>
      <c r="AB7" s="103"/>
      <c r="AC7" s="119" t="s">
        <v>55</v>
      </c>
      <c r="AD7" s="16" t="s">
        <v>56</v>
      </c>
      <c r="AE7" s="16" t="s">
        <v>57</v>
      </c>
      <c r="AF7" s="118" t="s">
        <v>58</v>
      </c>
      <c r="AG7" s="15" t="s">
        <v>59</v>
      </c>
      <c r="AH7" s="118" t="s">
        <v>60</v>
      </c>
      <c r="AI7" s="15" t="s">
        <v>59</v>
      </c>
      <c r="AJ7" s="118" t="s">
        <v>60</v>
      </c>
      <c r="AK7" s="17" t="s">
        <v>62</v>
      </c>
      <c r="AL7" s="120" t="s">
        <v>63</v>
      </c>
      <c r="AM7" s="16" t="s">
        <v>64</v>
      </c>
      <c r="AN7" s="16" t="s">
        <v>65</v>
      </c>
      <c r="AO7" s="16" t="s">
        <v>66</v>
      </c>
      <c r="AP7" s="16" t="s">
        <v>67</v>
      </c>
      <c r="AQ7" s="16" t="s">
        <v>68</v>
      </c>
      <c r="AR7" s="121" t="s">
        <v>69</v>
      </c>
      <c r="AS7" s="121" t="s">
        <v>70</v>
      </c>
      <c r="AT7" s="118" t="s">
        <v>71</v>
      </c>
    </row>
    <row r="8" spans="1:51" ht="15" customHeight="1" x14ac:dyDescent="0.2">
      <c r="A8" s="4112"/>
      <c r="B8" s="4150"/>
      <c r="C8" s="4150"/>
      <c r="D8" s="4150"/>
      <c r="E8" s="4150"/>
      <c r="F8" s="4150"/>
      <c r="G8" s="4150"/>
      <c r="H8" s="4150"/>
      <c r="I8" s="4150"/>
      <c r="J8" s="4151"/>
      <c r="K8" s="4151"/>
      <c r="L8" s="4151"/>
      <c r="M8" s="4150"/>
      <c r="N8" s="4150"/>
      <c r="O8" s="4150"/>
      <c r="P8" s="4150"/>
      <c r="Q8" s="4150"/>
      <c r="R8" s="4150"/>
      <c r="S8" s="4150"/>
      <c r="T8" s="4150"/>
      <c r="U8" s="4150"/>
      <c r="V8" s="4150"/>
      <c r="W8" s="4150"/>
      <c r="X8" s="4150"/>
      <c r="Y8" s="4150"/>
      <c r="Z8" s="4150"/>
      <c r="AA8" s="4111">
        <f t="shared" ref="AA8:AA80" si="0">SUM(A8:Z8)</f>
        <v>0</v>
      </c>
      <c r="AB8" s="4121" t="s">
        <v>178</v>
      </c>
      <c r="AC8" s="4112"/>
      <c r="AD8" s="4151">
        <v>85.982610420763621</v>
      </c>
      <c r="AE8" s="4150"/>
      <c r="AF8" s="4111"/>
      <c r="AG8" s="4112">
        <f t="shared" ref="AG8:AG11" si="1">-AH8/$D$2%</f>
        <v>-48.129137932205609</v>
      </c>
      <c r="AH8" s="4122">
        <f>AK8/AD8%</f>
        <v>44.206613190730849</v>
      </c>
      <c r="AI8" s="4123"/>
      <c r="AJ8" s="4122"/>
      <c r="AK8" s="4124">
        <f t="shared" ref="AK8:AK11" si="2">SUM(AL8:AT8)</f>
        <v>38.010000000000005</v>
      </c>
      <c r="AL8" s="4153">
        <v>19.630000000000003</v>
      </c>
      <c r="AM8" s="4153">
        <v>2.92</v>
      </c>
      <c r="AN8" s="4153">
        <v>3.7300000000000004</v>
      </c>
      <c r="AO8" s="4153">
        <v>6.2</v>
      </c>
      <c r="AP8" s="4153">
        <v>0</v>
      </c>
      <c r="AQ8" s="4153">
        <v>0</v>
      </c>
      <c r="AR8" s="4153">
        <v>0</v>
      </c>
      <c r="AS8" s="4153">
        <v>5.5299999999999994</v>
      </c>
      <c r="AT8" s="4126">
        <v>0</v>
      </c>
    </row>
    <row r="9" spans="1:51" ht="15" customHeight="1" x14ac:dyDescent="0.2">
      <c r="A9" s="4112"/>
      <c r="B9" s="4150"/>
      <c r="C9" s="4150"/>
      <c r="D9" s="4150"/>
      <c r="E9" s="4150"/>
      <c r="F9" s="4150"/>
      <c r="G9" s="4150"/>
      <c r="H9" s="4150"/>
      <c r="I9" s="4150"/>
      <c r="J9" s="4151"/>
      <c r="K9" s="4151"/>
      <c r="L9" s="4151"/>
      <c r="M9" s="4150"/>
      <c r="N9" s="4150"/>
      <c r="O9" s="4150"/>
      <c r="P9" s="4150"/>
      <c r="Q9" s="4150"/>
      <c r="R9" s="4150"/>
      <c r="S9" s="4150"/>
      <c r="T9" s="4150"/>
      <c r="U9" s="4150"/>
      <c r="V9" s="4150"/>
      <c r="W9" s="4150"/>
      <c r="X9" s="4150"/>
      <c r="Y9" s="4150"/>
      <c r="Z9" s="4150"/>
      <c r="AA9" s="4111">
        <f t="shared" si="0"/>
        <v>0</v>
      </c>
      <c r="AB9" s="4121" t="s">
        <v>2</v>
      </c>
      <c r="AC9" s="4112"/>
      <c r="AD9" s="4150"/>
      <c r="AE9" s="4150">
        <v>90</v>
      </c>
      <c r="AF9" s="4111"/>
      <c r="AG9" s="4112">
        <f t="shared" si="1"/>
        <v>-1.2217988265892459</v>
      </c>
      <c r="AH9" s="4122">
        <f>AK9/AE9%</f>
        <v>1.1222222222222222</v>
      </c>
      <c r="AI9" s="4123"/>
      <c r="AJ9" s="4122"/>
      <c r="AK9" s="4124">
        <f t="shared" si="2"/>
        <v>1.01</v>
      </c>
      <c r="AL9" s="4101">
        <v>1.01</v>
      </c>
      <c r="AM9" s="4154"/>
      <c r="AN9" s="4154"/>
      <c r="AO9" s="4154"/>
      <c r="AP9" s="4154"/>
      <c r="AQ9" s="4154"/>
      <c r="AR9" s="4154"/>
      <c r="AS9" s="4154"/>
      <c r="AT9" s="4126"/>
    </row>
    <row r="10" spans="1:51" ht="15" customHeight="1" x14ac:dyDescent="0.2">
      <c r="A10" s="4112"/>
      <c r="B10" s="4150"/>
      <c r="C10" s="4150"/>
      <c r="D10" s="4150"/>
      <c r="E10" s="4150"/>
      <c r="F10" s="4150"/>
      <c r="G10" s="4150"/>
      <c r="H10" s="4150"/>
      <c r="I10" s="4150"/>
      <c r="J10" s="4151"/>
      <c r="K10" s="4151"/>
      <c r="L10" s="4151"/>
      <c r="M10" s="4150"/>
      <c r="N10" s="4150"/>
      <c r="O10" s="4150"/>
      <c r="P10" s="4150"/>
      <c r="Q10" s="4150"/>
      <c r="R10" s="4150"/>
      <c r="S10" s="4150"/>
      <c r="T10" s="4150"/>
      <c r="U10" s="4150"/>
      <c r="V10" s="4150"/>
      <c r="W10" s="4150"/>
      <c r="X10" s="4150"/>
      <c r="Y10" s="4150"/>
      <c r="Z10" s="4150"/>
      <c r="AA10" s="4111">
        <f t="shared" si="0"/>
        <v>0</v>
      </c>
      <c r="AB10" s="4121" t="s">
        <v>3</v>
      </c>
      <c r="AC10" s="4112"/>
      <c r="AD10" s="4150"/>
      <c r="AE10" s="4150">
        <v>100</v>
      </c>
      <c r="AF10" s="4111"/>
      <c r="AG10" s="4112">
        <f t="shared" si="1"/>
        <v>-5.1823625476320085</v>
      </c>
      <c r="AH10" s="4122">
        <f>AK10/AE10%</f>
        <v>4.76</v>
      </c>
      <c r="AI10" s="4123"/>
      <c r="AJ10" s="4122"/>
      <c r="AK10" s="4124">
        <f t="shared" si="2"/>
        <v>4.76</v>
      </c>
      <c r="AL10" s="4101">
        <v>4.76</v>
      </c>
      <c r="AM10" s="4154"/>
      <c r="AN10" s="4154"/>
      <c r="AO10" s="4154"/>
      <c r="AP10" s="4154"/>
      <c r="AQ10" s="4154"/>
      <c r="AR10" s="4154"/>
      <c r="AS10" s="4154"/>
      <c r="AT10" s="4126"/>
    </row>
    <row r="11" spans="1:51" ht="15" customHeight="1" x14ac:dyDescent="0.2">
      <c r="A11" s="4112"/>
      <c r="B11" s="4151"/>
      <c r="C11" s="4150"/>
      <c r="D11" s="4150"/>
      <c r="E11" s="4150"/>
      <c r="F11" s="4150"/>
      <c r="G11" s="4150"/>
      <c r="H11" s="4150"/>
      <c r="I11" s="4150"/>
      <c r="J11" s="4151"/>
      <c r="K11" s="4151"/>
      <c r="L11" s="4151"/>
      <c r="M11" s="4150"/>
      <c r="N11" s="4150"/>
      <c r="O11" s="4150"/>
      <c r="P11" s="4150"/>
      <c r="Q11" s="4155">
        <f>AK11-AH11</f>
        <v>1.1000000000000001</v>
      </c>
      <c r="R11" s="4150"/>
      <c r="S11" s="4150"/>
      <c r="T11" s="4150"/>
      <c r="U11" s="4150"/>
      <c r="V11" s="4150"/>
      <c r="W11" s="4150"/>
      <c r="X11" s="4150"/>
      <c r="Y11" s="4150"/>
      <c r="Z11" s="4150"/>
      <c r="AA11" s="4111">
        <f t="shared" si="0"/>
        <v>1.1000000000000001</v>
      </c>
      <c r="AB11" s="4121" t="s">
        <v>23</v>
      </c>
      <c r="AC11" s="4112"/>
      <c r="AD11" s="4150"/>
      <c r="AE11" s="4150">
        <v>300</v>
      </c>
      <c r="AF11" s="4111"/>
      <c r="AG11" s="4112">
        <f t="shared" si="1"/>
        <v>-0.59880239520958078</v>
      </c>
      <c r="AH11" s="4127">
        <f>AK11/AE11%</f>
        <v>0.54999999999999993</v>
      </c>
      <c r="AI11" s="4123"/>
      <c r="AJ11" s="4122"/>
      <c r="AK11" s="4124">
        <f t="shared" si="2"/>
        <v>1.65</v>
      </c>
      <c r="AL11" s="4102">
        <v>1.65</v>
      </c>
      <c r="AM11" s="4151"/>
      <c r="AN11" s="4151"/>
      <c r="AO11" s="4151"/>
      <c r="AP11" s="4151"/>
      <c r="AQ11" s="4151"/>
      <c r="AR11" s="4151"/>
      <c r="AS11" s="4151"/>
      <c r="AT11" s="4122"/>
    </row>
    <row r="12" spans="1:51" ht="15" customHeight="1" x14ac:dyDescent="0.2">
      <c r="A12" s="4125">
        <f>AC12%*AG12</f>
        <v>36.624084278714058</v>
      </c>
      <c r="B12" s="4151"/>
      <c r="C12" s="4150"/>
      <c r="D12" s="4150"/>
      <c r="E12" s="4150"/>
      <c r="F12" s="4150"/>
      <c r="G12" s="4150"/>
      <c r="H12" s="4150"/>
      <c r="I12" s="4150"/>
      <c r="J12" s="4151"/>
      <c r="K12" s="4151"/>
      <c r="L12" s="4151"/>
      <c r="M12" s="4150"/>
      <c r="N12" s="4150"/>
      <c r="O12" s="4150"/>
      <c r="P12" s="4150"/>
      <c r="Q12" s="4150"/>
      <c r="R12" s="4150"/>
      <c r="S12" s="4150"/>
      <c r="T12" s="4150"/>
      <c r="U12" s="4150"/>
      <c r="V12" s="4150"/>
      <c r="W12" s="4150"/>
      <c r="X12" s="4150"/>
      <c r="Y12" s="4150"/>
      <c r="Z12" s="4150"/>
      <c r="AA12" s="4111">
        <f t="shared" si="0"/>
        <v>36.624084278714058</v>
      </c>
      <c r="AB12" s="4121" t="s">
        <v>10</v>
      </c>
      <c r="AC12" s="4112">
        <v>100</v>
      </c>
      <c r="AD12" s="4150"/>
      <c r="AE12" s="4150"/>
      <c r="AF12" s="4111"/>
      <c r="AG12" s="4112">
        <f>-SUM(AG13:AG80,AG8:AG11)</f>
        <v>36.624084278714058</v>
      </c>
      <c r="AH12" s="4122"/>
      <c r="AI12" s="4123"/>
      <c r="AJ12" s="4122"/>
      <c r="AK12" s="4124">
        <f t="shared" ref="AK12:AK43" si="3">SUM(AL12:AT12)</f>
        <v>0</v>
      </c>
      <c r="AL12" s="4123"/>
      <c r="AM12" s="4151"/>
      <c r="AN12" s="4151"/>
      <c r="AO12" s="4151"/>
      <c r="AP12" s="4151"/>
      <c r="AQ12" s="4151"/>
      <c r="AR12" s="4151"/>
      <c r="AS12" s="4151"/>
      <c r="AT12" s="4122"/>
    </row>
    <row r="13" spans="1:51" ht="15" customHeight="1" x14ac:dyDescent="0.2">
      <c r="A13" s="122"/>
      <c r="B13" s="4153">
        <v>0.89</v>
      </c>
      <c r="C13" s="1679"/>
      <c r="D13" s="1679"/>
      <c r="E13" s="26"/>
      <c r="F13" s="26"/>
      <c r="G13" s="26"/>
      <c r="H13" s="26"/>
      <c r="I13" s="26"/>
      <c r="J13" s="4151"/>
      <c r="K13" s="4151"/>
      <c r="L13" s="4151"/>
      <c r="M13" s="1679"/>
      <c r="N13" s="1679"/>
      <c r="O13" s="1679"/>
      <c r="P13" s="1679"/>
      <c r="Q13" s="1679"/>
      <c r="R13" s="1679"/>
      <c r="S13" s="1679"/>
      <c r="T13" s="1679"/>
      <c r="U13" s="1679"/>
      <c r="V13" s="1679"/>
      <c r="W13" s="1679"/>
      <c r="X13" s="1679"/>
      <c r="Y13" s="1679"/>
      <c r="Z13" s="1679"/>
      <c r="AA13" s="4111">
        <f t="shared" si="0"/>
        <v>0.89</v>
      </c>
      <c r="AB13" s="123" t="s">
        <v>29</v>
      </c>
      <c r="AC13" s="513"/>
      <c r="AD13" s="1679"/>
      <c r="AE13" s="26">
        <v>38</v>
      </c>
      <c r="AF13" s="27"/>
      <c r="AG13" s="513"/>
      <c r="AH13" s="27"/>
      <c r="AI13" s="513"/>
      <c r="AJ13" s="27"/>
      <c r="AK13" s="4113">
        <f t="shared" si="3"/>
        <v>0.33820000000000006</v>
      </c>
      <c r="AL13" s="364">
        <f>AA13*AE13%*20%</f>
        <v>6.7640000000000006E-2</v>
      </c>
      <c r="AM13" s="365"/>
      <c r="AN13" s="365"/>
      <c r="AO13" s="365"/>
      <c r="AP13" s="365"/>
      <c r="AQ13" s="365">
        <f>AA13*AE13%*60%</f>
        <v>0.20291999999999999</v>
      </c>
      <c r="AR13" s="365"/>
      <c r="AS13" s="365"/>
      <c r="AT13" s="366">
        <f>AA13*AE13%*20%</f>
        <v>6.7640000000000006E-2</v>
      </c>
    </row>
    <row r="14" spans="1:51" ht="15" customHeight="1" x14ac:dyDescent="0.2">
      <c r="A14" s="4112"/>
      <c r="B14" s="4151"/>
      <c r="C14" s="4150"/>
      <c r="D14" s="4150"/>
      <c r="E14" s="4153">
        <v>24.75</v>
      </c>
      <c r="F14" s="4151"/>
      <c r="G14" s="4151"/>
      <c r="H14" s="4151"/>
      <c r="I14" s="4151"/>
      <c r="J14" s="4151"/>
      <c r="K14" s="4151"/>
      <c r="L14" s="4151"/>
      <c r="M14" s="4150"/>
      <c r="N14" s="4150"/>
      <c r="O14" s="4150"/>
      <c r="P14" s="4150"/>
      <c r="Q14" s="4151"/>
      <c r="R14" s="4151"/>
      <c r="S14" s="4151"/>
      <c r="T14" s="4151"/>
      <c r="U14" s="4151"/>
      <c r="V14" s="4151"/>
      <c r="W14" s="4151"/>
      <c r="X14" s="4151"/>
      <c r="Y14" s="4151"/>
      <c r="Z14" s="4151"/>
      <c r="AA14" s="4111">
        <f t="shared" si="0"/>
        <v>24.75</v>
      </c>
      <c r="AB14" s="4121" t="s">
        <v>209</v>
      </c>
      <c r="AC14" s="4112"/>
      <c r="AD14" s="4150"/>
      <c r="AE14" s="4151">
        <v>80</v>
      </c>
      <c r="AF14" s="4111"/>
      <c r="AG14" s="4112"/>
      <c r="AH14" s="4111"/>
      <c r="AI14" s="4112"/>
      <c r="AJ14" s="4111"/>
      <c r="AK14" s="4113">
        <f t="shared" si="3"/>
        <v>19.8</v>
      </c>
      <c r="AL14" s="4103">
        <f t="shared" ref="AL14:AL19" si="4">AA14*AE14%</f>
        <v>19.8</v>
      </c>
      <c r="AM14" s="4150"/>
      <c r="AN14" s="4150"/>
      <c r="AO14" s="4150"/>
      <c r="AP14" s="4150"/>
      <c r="AQ14" s="4150"/>
      <c r="AR14" s="4150"/>
      <c r="AS14" s="4150"/>
      <c r="AT14" s="4111"/>
      <c r="AY14" s="23"/>
    </row>
    <row r="15" spans="1:51" ht="15" customHeight="1" x14ac:dyDescent="0.2">
      <c r="A15" s="4112"/>
      <c r="B15" s="4151"/>
      <c r="C15" s="4150"/>
      <c r="D15" s="4150"/>
      <c r="E15" s="4151"/>
      <c r="F15" s="4151"/>
      <c r="G15" s="4151"/>
      <c r="H15" s="4151"/>
      <c r="I15" s="4153">
        <v>0</v>
      </c>
      <c r="J15" s="4153"/>
      <c r="K15" s="4153"/>
      <c r="L15" s="4153"/>
      <c r="M15" s="4150"/>
      <c r="N15" s="4150"/>
      <c r="O15" s="4150"/>
      <c r="P15" s="4150"/>
      <c r="Q15" s="4151"/>
      <c r="R15" s="4151"/>
      <c r="S15" s="4151"/>
      <c r="T15" s="4151"/>
      <c r="U15" s="4151"/>
      <c r="V15" s="4151"/>
      <c r="W15" s="4151"/>
      <c r="X15" s="4151"/>
      <c r="Y15" s="4151"/>
      <c r="Z15" s="4151"/>
      <c r="AA15" s="4111">
        <f t="shared" si="0"/>
        <v>0</v>
      </c>
      <c r="AB15" s="4121" t="s">
        <v>210</v>
      </c>
      <c r="AC15" s="4112"/>
      <c r="AD15" s="4150"/>
      <c r="AE15" s="4151">
        <v>85</v>
      </c>
      <c r="AF15" s="4111"/>
      <c r="AG15" s="4112"/>
      <c r="AH15" s="4111"/>
      <c r="AI15" s="4112"/>
      <c r="AJ15" s="4111"/>
      <c r="AK15" s="4113">
        <f t="shared" si="3"/>
        <v>0</v>
      </c>
      <c r="AL15" s="4103">
        <f t="shared" si="4"/>
        <v>0</v>
      </c>
      <c r="AM15" s="4150"/>
      <c r="AN15" s="4150"/>
      <c r="AO15" s="4150"/>
      <c r="AP15" s="4150"/>
      <c r="AQ15" s="4150"/>
      <c r="AR15" s="4150"/>
      <c r="AS15" s="4150"/>
      <c r="AT15" s="4111"/>
      <c r="AY15" s="23"/>
    </row>
    <row r="16" spans="1:51" ht="15" customHeight="1" x14ac:dyDescent="0.2">
      <c r="A16" s="4112"/>
      <c r="B16" s="4150"/>
      <c r="C16" s="4150"/>
      <c r="D16" s="4150"/>
      <c r="E16" s="4150"/>
      <c r="F16" s="4150"/>
      <c r="G16" s="4150"/>
      <c r="H16" s="4150"/>
      <c r="I16" s="4154"/>
      <c r="J16" s="4154"/>
      <c r="K16" s="4154"/>
      <c r="L16" s="4154"/>
      <c r="M16" s="4150"/>
      <c r="N16" s="4150"/>
      <c r="O16" s="4150"/>
      <c r="P16" s="4150"/>
      <c r="Q16" s="4151"/>
      <c r="R16" s="4151"/>
      <c r="S16" s="4151"/>
      <c r="T16" s="4154"/>
      <c r="U16" s="4154"/>
      <c r="V16" s="4153">
        <v>5.7</v>
      </c>
      <c r="W16" s="4151"/>
      <c r="X16" s="4151"/>
      <c r="Y16" s="4151"/>
      <c r="Z16" s="4151"/>
      <c r="AA16" s="4111">
        <f t="shared" si="0"/>
        <v>5.7</v>
      </c>
      <c r="AB16" s="4121" t="s">
        <v>211</v>
      </c>
      <c r="AC16" s="4112"/>
      <c r="AD16" s="4150"/>
      <c r="AE16" s="4151">
        <v>75</v>
      </c>
      <c r="AF16" s="4111"/>
      <c r="AG16" s="4112"/>
      <c r="AH16" s="4111"/>
      <c r="AI16" s="4112"/>
      <c r="AJ16" s="4111"/>
      <c r="AK16" s="4113">
        <f t="shared" si="3"/>
        <v>4.2750000000000004</v>
      </c>
      <c r="AL16" s="4103">
        <f t="shared" si="4"/>
        <v>4.2750000000000004</v>
      </c>
      <c r="AM16" s="4150"/>
      <c r="AN16" s="4150"/>
      <c r="AO16" s="4150"/>
      <c r="AP16" s="4150"/>
      <c r="AQ16" s="4150"/>
      <c r="AR16" s="4150"/>
      <c r="AS16" s="4150"/>
      <c r="AT16" s="4111"/>
      <c r="AY16" s="23"/>
    </row>
    <row r="17" spans="1:51" ht="15" customHeight="1" x14ac:dyDescent="0.2">
      <c r="A17" s="4112"/>
      <c r="B17" s="4150"/>
      <c r="C17" s="4150"/>
      <c r="D17" s="4150"/>
      <c r="E17" s="4150"/>
      <c r="F17" s="4150"/>
      <c r="G17" s="4150"/>
      <c r="H17" s="4150"/>
      <c r="I17" s="4154"/>
      <c r="J17" s="4154"/>
      <c r="K17" s="4154"/>
      <c r="L17" s="4154"/>
      <c r="M17" s="4150"/>
      <c r="N17" s="4150"/>
      <c r="O17" s="4150"/>
      <c r="P17" s="4150"/>
      <c r="Q17" s="4151"/>
      <c r="R17" s="4151"/>
      <c r="S17" s="4151"/>
      <c r="T17" s="4154"/>
      <c r="U17" s="4153">
        <v>29.49</v>
      </c>
      <c r="V17" s="4154"/>
      <c r="W17" s="4151"/>
      <c r="X17" s="4151"/>
      <c r="Y17" s="4151"/>
      <c r="Z17" s="4151"/>
      <c r="AA17" s="4111">
        <f t="shared" si="0"/>
        <v>29.49</v>
      </c>
      <c r="AB17" s="4121" t="s">
        <v>212</v>
      </c>
      <c r="AC17" s="4112"/>
      <c r="AD17" s="4150"/>
      <c r="AE17" s="4151">
        <v>65</v>
      </c>
      <c r="AF17" s="4111"/>
      <c r="AG17" s="4112"/>
      <c r="AH17" s="4111"/>
      <c r="AI17" s="4112"/>
      <c r="AJ17" s="4111"/>
      <c r="AK17" s="4113">
        <f t="shared" si="3"/>
        <v>19.168499999999998</v>
      </c>
      <c r="AL17" s="4103">
        <f t="shared" si="4"/>
        <v>19.168499999999998</v>
      </c>
      <c r="AM17" s="4150"/>
      <c r="AN17" s="4150"/>
      <c r="AO17" s="4150"/>
      <c r="AP17" s="4150"/>
      <c r="AQ17" s="4150"/>
      <c r="AR17" s="4150"/>
      <c r="AS17" s="4150"/>
      <c r="AT17" s="4111"/>
      <c r="AV17" s="23"/>
    </row>
    <row r="18" spans="1:51" ht="15" customHeight="1" x14ac:dyDescent="0.2">
      <c r="A18" s="4112"/>
      <c r="B18" s="4150"/>
      <c r="C18" s="4150"/>
      <c r="D18" s="4150"/>
      <c r="E18" s="4150"/>
      <c r="F18" s="4150"/>
      <c r="G18" s="4150"/>
      <c r="H18" s="4150"/>
      <c r="I18" s="4154"/>
      <c r="J18" s="4154"/>
      <c r="K18" s="4154"/>
      <c r="L18" s="4154"/>
      <c r="M18" s="4150"/>
      <c r="N18" s="4150"/>
      <c r="O18" s="4150"/>
      <c r="P18" s="4150"/>
      <c r="Q18" s="4151"/>
      <c r="R18" s="4151"/>
      <c r="S18" s="4151"/>
      <c r="T18" s="4153">
        <v>1.22</v>
      </c>
      <c r="U18" s="4154"/>
      <c r="V18" s="4154"/>
      <c r="W18" s="4151"/>
      <c r="X18" s="4151"/>
      <c r="Y18" s="4151"/>
      <c r="Z18" s="4151"/>
      <c r="AA18" s="4111">
        <f t="shared" si="0"/>
        <v>1.22</v>
      </c>
      <c r="AB18" s="4121" t="s">
        <v>213</v>
      </c>
      <c r="AC18" s="4112"/>
      <c r="AD18" s="4150"/>
      <c r="AE18" s="4151">
        <v>65</v>
      </c>
      <c r="AF18" s="4111"/>
      <c r="AG18" s="4112"/>
      <c r="AH18" s="4111"/>
      <c r="AI18" s="4112"/>
      <c r="AJ18" s="4111"/>
      <c r="AK18" s="4113">
        <f t="shared" si="3"/>
        <v>0.79300000000000004</v>
      </c>
      <c r="AL18" s="4103">
        <f t="shared" si="4"/>
        <v>0.79300000000000004</v>
      </c>
      <c r="AM18" s="4150"/>
      <c r="AN18" s="4150"/>
      <c r="AO18" s="4150"/>
      <c r="AP18" s="4150"/>
      <c r="AQ18" s="4150"/>
      <c r="AR18" s="4150"/>
      <c r="AS18" s="4150"/>
      <c r="AT18" s="4111"/>
      <c r="AV18" s="23"/>
    </row>
    <row r="19" spans="1:51" ht="15" customHeight="1" x14ac:dyDescent="0.2">
      <c r="A19" s="4112"/>
      <c r="B19" s="4150"/>
      <c r="C19" s="4150"/>
      <c r="D19" s="4150"/>
      <c r="E19" s="4150"/>
      <c r="F19" s="4150"/>
      <c r="G19" s="4150"/>
      <c r="H19" s="4150"/>
      <c r="I19" s="4154"/>
      <c r="J19" s="4154"/>
      <c r="K19" s="4154"/>
      <c r="L19" s="4154"/>
      <c r="M19" s="4150"/>
      <c r="N19" s="4150"/>
      <c r="O19" s="4153">
        <v>0.91</v>
      </c>
      <c r="P19" s="4150"/>
      <c r="Q19" s="4151"/>
      <c r="R19" s="4151"/>
      <c r="S19" s="4151"/>
      <c r="T19" s="4151"/>
      <c r="U19" s="4151"/>
      <c r="V19" s="4151"/>
      <c r="W19" s="4151"/>
      <c r="X19" s="4151"/>
      <c r="Y19" s="4151"/>
      <c r="Z19" s="4151"/>
      <c r="AA19" s="4111">
        <f t="shared" si="0"/>
        <v>0.91</v>
      </c>
      <c r="AB19" s="4121" t="s">
        <v>214</v>
      </c>
      <c r="AC19" s="4112"/>
      <c r="AD19" s="4150"/>
      <c r="AE19" s="4150">
        <v>100</v>
      </c>
      <c r="AF19" s="4111"/>
      <c r="AG19" s="4112"/>
      <c r="AH19" s="4111"/>
      <c r="AI19" s="4112"/>
      <c r="AJ19" s="4111"/>
      <c r="AK19" s="4113">
        <f t="shared" si="3"/>
        <v>0.91</v>
      </c>
      <c r="AL19" s="4103">
        <f t="shared" si="4"/>
        <v>0.91</v>
      </c>
      <c r="AM19" s="4150"/>
      <c r="AN19" s="4150"/>
      <c r="AO19" s="4150"/>
      <c r="AP19" s="4150"/>
      <c r="AQ19" s="4150"/>
      <c r="AR19" s="4150"/>
      <c r="AS19" s="4150"/>
      <c r="AT19" s="4111"/>
      <c r="AY19" s="23"/>
    </row>
    <row r="20" spans="1:51" ht="15" customHeight="1" x14ac:dyDescent="0.2">
      <c r="A20" s="4112"/>
      <c r="B20" s="4150"/>
      <c r="C20" s="4151"/>
      <c r="D20" s="4151"/>
      <c r="E20" s="4153">
        <v>0</v>
      </c>
      <c r="F20" s="4151"/>
      <c r="G20" s="4151"/>
      <c r="H20" s="4151"/>
      <c r="I20" s="4154"/>
      <c r="J20" s="4154"/>
      <c r="K20" s="4154"/>
      <c r="L20" s="4154"/>
      <c r="M20" s="4151"/>
      <c r="N20" s="4151"/>
      <c r="O20" s="4151"/>
      <c r="P20" s="4151"/>
      <c r="Q20" s="4151"/>
      <c r="R20" s="4151"/>
      <c r="S20" s="4151"/>
      <c r="T20" s="4151"/>
      <c r="U20" s="4151"/>
      <c r="V20" s="4151"/>
      <c r="W20" s="4151"/>
      <c r="X20" s="4151"/>
      <c r="Y20" s="4151"/>
      <c r="Z20" s="4151"/>
      <c r="AA20" s="4111">
        <f t="shared" si="0"/>
        <v>0</v>
      </c>
      <c r="AB20" s="4121" t="s">
        <v>24</v>
      </c>
      <c r="AC20" s="4112"/>
      <c r="AD20" s="4150">
        <v>90</v>
      </c>
      <c r="AE20" s="4150"/>
      <c r="AF20" s="4111"/>
      <c r="AG20" s="4112"/>
      <c r="AH20" s="4111"/>
      <c r="AI20" s="4112"/>
      <c r="AJ20" s="4111"/>
      <c r="AK20" s="4113">
        <f t="shared" si="3"/>
        <v>0</v>
      </c>
      <c r="AL20" s="4103"/>
      <c r="AM20" s="4150"/>
      <c r="AN20" s="4150"/>
      <c r="AO20" s="4150"/>
      <c r="AP20" s="4150"/>
      <c r="AQ20" s="4150">
        <f>AA20*AD20%</f>
        <v>0</v>
      </c>
      <c r="AR20" s="4150"/>
      <c r="AS20" s="4150"/>
      <c r="AT20" s="4111"/>
      <c r="AV20" s="23"/>
    </row>
    <row r="21" spans="1:51" ht="15" customHeight="1" x14ac:dyDescent="0.2">
      <c r="A21" s="4112"/>
      <c r="B21" s="4150"/>
      <c r="C21" s="4151"/>
      <c r="D21" s="4151"/>
      <c r="E21" s="4151"/>
      <c r="F21" s="4151"/>
      <c r="G21" s="4151"/>
      <c r="H21" s="4151"/>
      <c r="I21" s="4153">
        <v>0</v>
      </c>
      <c r="J21" s="4153"/>
      <c r="K21" s="4153"/>
      <c r="L21" s="4153"/>
      <c r="M21" s="4151"/>
      <c r="N21" s="4151"/>
      <c r="O21" s="4151"/>
      <c r="P21" s="4151"/>
      <c r="Q21" s="4151"/>
      <c r="R21" s="4151"/>
      <c r="S21" s="4151"/>
      <c r="T21" s="4151"/>
      <c r="U21" s="4151"/>
      <c r="V21" s="4151"/>
      <c r="W21" s="4151"/>
      <c r="X21" s="4151"/>
      <c r="Y21" s="4151"/>
      <c r="Z21" s="4151"/>
      <c r="AA21" s="4111">
        <f t="shared" si="0"/>
        <v>0</v>
      </c>
      <c r="AB21" s="4121" t="s">
        <v>25</v>
      </c>
      <c r="AC21" s="4112"/>
      <c r="AD21" s="4150">
        <v>90</v>
      </c>
      <c r="AE21" s="4150"/>
      <c r="AF21" s="4111"/>
      <c r="AG21" s="4112"/>
      <c r="AH21" s="4111"/>
      <c r="AI21" s="4112"/>
      <c r="AJ21" s="4111"/>
      <c r="AK21" s="4113">
        <f t="shared" si="3"/>
        <v>0</v>
      </c>
      <c r="AL21" s="4103"/>
      <c r="AM21" s="4150"/>
      <c r="AN21" s="4150"/>
      <c r="AO21" s="4150"/>
      <c r="AP21" s="4150"/>
      <c r="AQ21" s="4150">
        <f>AA21*AD21%</f>
        <v>0</v>
      </c>
      <c r="AR21" s="4150"/>
      <c r="AS21" s="4150"/>
      <c r="AT21" s="4111"/>
      <c r="AV21" s="23"/>
    </row>
    <row r="22" spans="1:51" ht="15" customHeight="1" x14ac:dyDescent="0.2">
      <c r="A22" s="4112"/>
      <c r="B22" s="4150"/>
      <c r="C22" s="4153">
        <v>0</v>
      </c>
      <c r="D22" s="4153">
        <v>0</v>
      </c>
      <c r="E22" s="4153">
        <v>0</v>
      </c>
      <c r="F22" s="4153">
        <v>0</v>
      </c>
      <c r="G22" s="4154"/>
      <c r="H22" s="4153">
        <v>0</v>
      </c>
      <c r="I22" s="4153">
        <v>0</v>
      </c>
      <c r="J22" s="4154"/>
      <c r="K22" s="4154"/>
      <c r="L22" s="4154"/>
      <c r="M22" s="4154"/>
      <c r="N22" s="4154"/>
      <c r="O22" s="4154"/>
      <c r="P22" s="4154"/>
      <c r="Q22" s="4154"/>
      <c r="R22" s="4153">
        <v>0</v>
      </c>
      <c r="S22" s="4153">
        <v>0</v>
      </c>
      <c r="T22" s="4153">
        <v>0</v>
      </c>
      <c r="U22" s="4153">
        <v>0</v>
      </c>
      <c r="V22" s="4153">
        <v>10</v>
      </c>
      <c r="W22" s="4153">
        <v>0</v>
      </c>
      <c r="X22" s="4153">
        <v>0</v>
      </c>
      <c r="Y22" s="4153">
        <v>0</v>
      </c>
      <c r="Z22" s="4153">
        <v>0</v>
      </c>
      <c r="AA22" s="4111">
        <f t="shared" si="0"/>
        <v>10</v>
      </c>
      <c r="AB22" s="4121" t="s">
        <v>512</v>
      </c>
      <c r="AC22" s="4112"/>
      <c r="AD22" s="4150">
        <v>90</v>
      </c>
      <c r="AE22" s="4150"/>
      <c r="AF22" s="4111"/>
      <c r="AG22" s="4112"/>
      <c r="AH22" s="4111"/>
      <c r="AI22" s="4112"/>
      <c r="AJ22" s="4111"/>
      <c r="AK22" s="4113">
        <f t="shared" si="3"/>
        <v>9</v>
      </c>
      <c r="AL22" s="4102"/>
      <c r="AM22" s="4151"/>
      <c r="AN22" s="4151"/>
      <c r="AO22" s="4151"/>
      <c r="AP22" s="4151"/>
      <c r="AQ22" s="4151">
        <f>AA22*AD22%</f>
        <v>9</v>
      </c>
      <c r="AR22" s="4151"/>
      <c r="AS22" s="4151"/>
      <c r="AT22" s="4111"/>
      <c r="AY22" s="23"/>
    </row>
    <row r="23" spans="1:51" ht="15" customHeight="1" x14ac:dyDescent="0.2">
      <c r="A23" s="4112"/>
      <c r="B23" s="4150"/>
      <c r="C23" s="4150"/>
      <c r="D23" s="4150"/>
      <c r="E23" s="4150"/>
      <c r="F23" s="4150"/>
      <c r="G23" s="4150"/>
      <c r="H23" s="4151"/>
      <c r="I23" s="4151"/>
      <c r="J23" s="4151"/>
      <c r="K23" s="4151"/>
      <c r="L23" s="4151"/>
      <c r="M23" s="4151"/>
      <c r="N23" s="4151"/>
      <c r="O23" s="4153">
        <v>18.14</v>
      </c>
      <c r="P23" s="4151"/>
      <c r="Q23" s="4151"/>
      <c r="R23" s="4151"/>
      <c r="S23" s="4151"/>
      <c r="T23" s="4151"/>
      <c r="U23" s="4151"/>
      <c r="V23" s="4151"/>
      <c r="W23" s="4151"/>
      <c r="X23" s="4151"/>
      <c r="Y23" s="4151"/>
      <c r="Z23" s="4151"/>
      <c r="AA23" s="4111">
        <f t="shared" si="0"/>
        <v>18.14</v>
      </c>
      <c r="AB23" s="4121" t="s">
        <v>14</v>
      </c>
      <c r="AC23" s="4150">
        <v>100</v>
      </c>
      <c r="AD23" s="4150"/>
      <c r="AE23" s="4150"/>
      <c r="AF23" s="4111"/>
      <c r="AG23" s="4112">
        <f>AA23*AC23/100</f>
        <v>18.14</v>
      </c>
      <c r="AH23" s="4111"/>
      <c r="AI23" s="4112"/>
      <c r="AJ23" s="4111"/>
      <c r="AK23" s="4113">
        <f t="shared" si="3"/>
        <v>0</v>
      </c>
      <c r="AL23" s="4102"/>
      <c r="AM23" s="4151"/>
      <c r="AN23" s="4151"/>
      <c r="AO23" s="4151"/>
      <c r="AP23" s="4151"/>
      <c r="AQ23" s="4151"/>
      <c r="AR23" s="4151"/>
      <c r="AS23" s="4151"/>
      <c r="AT23" s="4111"/>
      <c r="AV23" s="23"/>
    </row>
    <row r="24" spans="1:51" ht="15" customHeight="1" x14ac:dyDescent="0.2">
      <c r="A24" s="4112"/>
      <c r="B24" s="4150"/>
      <c r="C24" s="4150"/>
      <c r="D24" s="4150"/>
      <c r="E24" s="4150"/>
      <c r="F24" s="4150"/>
      <c r="G24" s="4150"/>
      <c r="H24" s="4151"/>
      <c r="I24" s="4151"/>
      <c r="J24" s="4156"/>
      <c r="K24" s="4151"/>
      <c r="L24" s="4151"/>
      <c r="M24" s="4153">
        <v>0.5</v>
      </c>
      <c r="N24" s="4151"/>
      <c r="O24" s="4151"/>
      <c r="P24" s="4151"/>
      <c r="Q24" s="4151"/>
      <c r="R24" s="4151"/>
      <c r="S24" s="4151"/>
      <c r="T24" s="4151"/>
      <c r="U24" s="4151"/>
      <c r="V24" s="4151"/>
      <c r="W24" s="4151"/>
      <c r="X24" s="4151"/>
      <c r="Y24" s="4151"/>
      <c r="Z24" s="4151"/>
      <c r="AA24" s="4111">
        <f t="shared" si="0"/>
        <v>0.5</v>
      </c>
      <c r="AB24" s="4121" t="s">
        <v>26</v>
      </c>
      <c r="AC24" s="4150">
        <v>100</v>
      </c>
      <c r="AD24" s="4150"/>
      <c r="AE24" s="4150"/>
      <c r="AF24" s="4111"/>
      <c r="AG24" s="4112">
        <f>AC24*AA24/100</f>
        <v>0.5</v>
      </c>
      <c r="AH24" s="4111"/>
      <c r="AI24" s="4112"/>
      <c r="AJ24" s="4111"/>
      <c r="AK24" s="4113">
        <f t="shared" si="3"/>
        <v>0</v>
      </c>
      <c r="AL24" s="4102"/>
      <c r="AM24" s="4151"/>
      <c r="AN24" s="4151"/>
      <c r="AO24" s="4151"/>
      <c r="AP24" s="4151"/>
      <c r="AQ24" s="4151"/>
      <c r="AR24" s="4151"/>
      <c r="AS24" s="4151"/>
      <c r="AT24" s="4111"/>
      <c r="AU24" s="29"/>
      <c r="AV24" s="23"/>
    </row>
    <row r="25" spans="1:51" ht="15" customHeight="1" x14ac:dyDescent="0.2">
      <c r="A25" s="4112"/>
      <c r="B25" s="4150"/>
      <c r="C25" s="4150"/>
      <c r="D25" s="4150"/>
      <c r="E25" s="4150"/>
      <c r="F25" s="4150"/>
      <c r="G25" s="4150"/>
      <c r="H25" s="4151"/>
      <c r="I25" s="4151"/>
      <c r="J25" s="4151"/>
      <c r="K25" s="4151"/>
      <c r="L25" s="4151"/>
      <c r="M25" s="4153">
        <v>0</v>
      </c>
      <c r="N25" s="4151"/>
      <c r="O25" s="4151"/>
      <c r="P25" s="4151"/>
      <c r="Q25" s="4151"/>
      <c r="R25" s="4151"/>
      <c r="S25" s="4151"/>
      <c r="T25" s="4151"/>
      <c r="U25" s="4151"/>
      <c r="V25" s="4151"/>
      <c r="W25" s="4151"/>
      <c r="X25" s="4151"/>
      <c r="Y25" s="4151"/>
      <c r="Z25" s="4151"/>
      <c r="AA25" s="4111">
        <f t="shared" si="0"/>
        <v>0</v>
      </c>
      <c r="AB25" s="4121" t="s">
        <v>74</v>
      </c>
      <c r="AC25" s="4123">
        <v>100</v>
      </c>
      <c r="AD25" s="4151"/>
      <c r="AE25" s="4151"/>
      <c r="AF25" s="4122"/>
      <c r="AG25" s="4123">
        <f>AC25*AA25/100</f>
        <v>0</v>
      </c>
      <c r="AH25" s="4122"/>
      <c r="AI25" s="4112"/>
      <c r="AJ25" s="4111"/>
      <c r="AK25" s="4113">
        <f t="shared" si="3"/>
        <v>0</v>
      </c>
      <c r="AL25" s="4102"/>
      <c r="AM25" s="4151"/>
      <c r="AN25" s="4151"/>
      <c r="AO25" s="4151"/>
      <c r="AP25" s="4151"/>
      <c r="AQ25" s="4151"/>
      <c r="AR25" s="4151"/>
      <c r="AS25" s="4151"/>
      <c r="AT25" s="4111"/>
      <c r="AY25" s="23"/>
    </row>
    <row r="26" spans="1:51" ht="15" customHeight="1" x14ac:dyDescent="0.2">
      <c r="A26" s="4112"/>
      <c r="B26" s="4150"/>
      <c r="C26" s="4150"/>
      <c r="D26" s="4150"/>
      <c r="E26" s="4150"/>
      <c r="F26" s="4150"/>
      <c r="G26" s="4150"/>
      <c r="H26" s="4151"/>
      <c r="I26" s="4151"/>
      <c r="J26" s="4151"/>
      <c r="K26" s="4151"/>
      <c r="L26" s="4151"/>
      <c r="M26" s="4151"/>
      <c r="N26" s="4153">
        <v>0</v>
      </c>
      <c r="O26" s="4151"/>
      <c r="P26" s="4151"/>
      <c r="Q26" s="4151"/>
      <c r="R26" s="4151"/>
      <c r="S26" s="4151"/>
      <c r="T26" s="4151"/>
      <c r="U26" s="4151"/>
      <c r="V26" s="4151"/>
      <c r="W26" s="4151"/>
      <c r="X26" s="4151"/>
      <c r="Y26" s="4151"/>
      <c r="Z26" s="4151"/>
      <c r="AA26" s="4111">
        <f t="shared" si="0"/>
        <v>0</v>
      </c>
      <c r="AB26" s="4121" t="s">
        <v>513</v>
      </c>
      <c r="AC26" s="4153">
        <v>100</v>
      </c>
      <c r="AD26" s="4151"/>
      <c r="AE26" s="4151"/>
      <c r="AF26" s="4122"/>
      <c r="AG26" s="4123">
        <f>AC26*AA26/100</f>
        <v>0</v>
      </c>
      <c r="AH26" s="4122"/>
      <c r="AI26" s="4112"/>
      <c r="AJ26" s="4111"/>
      <c r="AK26" s="4113">
        <f t="shared" si="3"/>
        <v>0</v>
      </c>
      <c r="AL26" s="4102"/>
      <c r="AM26" s="4151"/>
      <c r="AN26" s="4151"/>
      <c r="AO26" s="4151"/>
      <c r="AP26" s="4151"/>
      <c r="AQ26" s="4151"/>
      <c r="AR26" s="4151"/>
      <c r="AS26" s="4151"/>
      <c r="AT26" s="4111"/>
      <c r="AY26" s="23"/>
    </row>
    <row r="27" spans="1:51" ht="15" customHeight="1" x14ac:dyDescent="0.2">
      <c r="A27" s="4104"/>
      <c r="B27" s="4150"/>
      <c r="C27" s="4150"/>
      <c r="D27" s="4150"/>
      <c r="E27" s="4150"/>
      <c r="F27" s="4150"/>
      <c r="G27" s="4150"/>
      <c r="H27" s="4151"/>
      <c r="I27" s="4153">
        <v>0</v>
      </c>
      <c r="J27" s="4153"/>
      <c r="K27" s="4153"/>
      <c r="L27" s="4153"/>
      <c r="M27" s="4151"/>
      <c r="N27" s="4151"/>
      <c r="O27" s="4151"/>
      <c r="P27" s="4151"/>
      <c r="Q27" s="4151"/>
      <c r="R27" s="4151">
        <f>-(I27*33.3%)/AD27%</f>
        <v>0</v>
      </c>
      <c r="S27" s="4151">
        <f>-(I27*10.5%)/AD27%</f>
        <v>0</v>
      </c>
      <c r="T27" s="4151">
        <f>-(I27*6.6%)/AD27%</f>
        <v>0</v>
      </c>
      <c r="U27" s="4151"/>
      <c r="V27" s="4151"/>
      <c r="W27" s="4151">
        <f>-(I27*49.6%)/AD27%</f>
        <v>0</v>
      </c>
      <c r="X27" s="4154"/>
      <c r="Y27" s="4154"/>
      <c r="Z27" s="4154"/>
      <c r="AA27" s="4111">
        <f t="shared" si="0"/>
        <v>0</v>
      </c>
      <c r="AB27" s="4128" t="s">
        <v>170</v>
      </c>
      <c r="AC27" s="4105"/>
      <c r="AD27" s="4154">
        <v>100</v>
      </c>
      <c r="AE27" s="4154"/>
      <c r="AF27" s="4126"/>
      <c r="AG27" s="4129"/>
      <c r="AH27" s="4126"/>
      <c r="AI27" s="4130"/>
      <c r="AJ27" s="4131"/>
      <c r="AK27" s="4113">
        <f t="shared" si="3"/>
        <v>0</v>
      </c>
      <c r="AL27" s="4105"/>
      <c r="AM27" s="4154"/>
      <c r="AN27" s="4154"/>
      <c r="AO27" s="4154"/>
      <c r="AP27" s="4154"/>
      <c r="AQ27" s="4154"/>
      <c r="AR27" s="4154"/>
      <c r="AS27" s="4154"/>
      <c r="AT27" s="4131"/>
    </row>
    <row r="28" spans="1:51" ht="15" customHeight="1" x14ac:dyDescent="0.2">
      <c r="A28" s="4150"/>
      <c r="B28" s="4150"/>
      <c r="C28" s="4157"/>
      <c r="D28" s="4157"/>
      <c r="E28" s="4157"/>
      <c r="F28" s="4157"/>
      <c r="G28" s="4157"/>
      <c r="H28" s="4154"/>
      <c r="I28" s="4153"/>
      <c r="J28" s="4153"/>
      <c r="K28" s="4153"/>
      <c r="L28" s="4153"/>
      <c r="M28" s="4154"/>
      <c r="N28" s="4154"/>
      <c r="O28" s="4154"/>
      <c r="P28" s="4154"/>
      <c r="Q28" s="4154"/>
      <c r="R28" s="4153">
        <f>AA28*46%</f>
        <v>0</v>
      </c>
      <c r="S28" s="4154"/>
      <c r="T28" s="4154"/>
      <c r="U28" s="4154"/>
      <c r="V28" s="4154"/>
      <c r="W28" s="4153">
        <f>AA28*54%</f>
        <v>0</v>
      </c>
      <c r="X28" s="4154"/>
      <c r="Y28" s="4154"/>
      <c r="Z28" s="4154"/>
      <c r="AA28" s="4122">
        <v>0</v>
      </c>
      <c r="AB28" s="4128" t="s">
        <v>169</v>
      </c>
      <c r="AC28" s="4153">
        <v>34.200000000000003</v>
      </c>
      <c r="AD28" s="4154"/>
      <c r="AE28" s="4154"/>
      <c r="AF28" s="4126"/>
      <c r="AG28" s="4123">
        <f>AA28*AC28/100</f>
        <v>0</v>
      </c>
      <c r="AH28" s="4122"/>
      <c r="AI28" s="4123">
        <f>AA28*AE28/100</f>
        <v>0</v>
      </c>
      <c r="AJ28" s="4122"/>
      <c r="AK28" s="4113">
        <f t="shared" si="3"/>
        <v>0</v>
      </c>
      <c r="AL28" s="4102"/>
      <c r="AM28" s="4154"/>
      <c r="AN28" s="4154"/>
      <c r="AO28" s="4154"/>
      <c r="AP28" s="4154"/>
      <c r="AQ28" s="4154"/>
      <c r="AR28" s="4154"/>
      <c r="AS28" s="4154"/>
      <c r="AT28" s="4111"/>
    </row>
    <row r="29" spans="1:51" ht="15" customHeight="1" x14ac:dyDescent="0.2">
      <c r="A29" s="4150"/>
      <c r="B29" s="4151">
        <v>0</v>
      </c>
      <c r="C29" s="4151">
        <v>0</v>
      </c>
      <c r="D29" s="4151">
        <v>0</v>
      </c>
      <c r="E29" s="4151">
        <v>0</v>
      </c>
      <c r="F29" s="4151">
        <v>0</v>
      </c>
      <c r="G29" s="4151">
        <v>0</v>
      </c>
      <c r="H29" s="4151">
        <v>0</v>
      </c>
      <c r="I29" s="4151">
        <v>0</v>
      </c>
      <c r="J29" s="4156"/>
      <c r="K29" s="4153"/>
      <c r="L29" s="4153"/>
      <c r="M29" s="4151">
        <v>0</v>
      </c>
      <c r="N29" s="4151">
        <v>0</v>
      </c>
      <c r="O29" s="4151">
        <v>0</v>
      </c>
      <c r="P29" s="4151">
        <v>0</v>
      </c>
      <c r="Q29" s="4151">
        <v>0</v>
      </c>
      <c r="R29" s="4151">
        <v>0</v>
      </c>
      <c r="S29" s="4151">
        <v>0</v>
      </c>
      <c r="T29" s="4151">
        <v>0</v>
      </c>
      <c r="U29" s="4151">
        <v>0</v>
      </c>
      <c r="V29" s="4151">
        <v>0</v>
      </c>
      <c r="W29" s="4151">
        <v>0</v>
      </c>
      <c r="X29" s="4151">
        <v>0</v>
      </c>
      <c r="Y29" s="4151">
        <v>0</v>
      </c>
      <c r="Z29" s="4151">
        <v>0</v>
      </c>
      <c r="AA29" s="4111">
        <f t="shared" si="0"/>
        <v>0</v>
      </c>
      <c r="AB29" s="4128" t="s">
        <v>179</v>
      </c>
      <c r="AC29" s="4125">
        <v>0</v>
      </c>
      <c r="AD29" s="4154"/>
      <c r="AE29" s="4153">
        <v>0</v>
      </c>
      <c r="AF29" s="4122"/>
      <c r="AG29" s="4123">
        <f>AA29*AC29/100</f>
        <v>0</v>
      </c>
      <c r="AH29" s="4122"/>
      <c r="AI29" s="4112">
        <f>AA29*AE29/100</f>
        <v>0</v>
      </c>
      <c r="AJ29" s="4111"/>
      <c r="AK29" s="4113">
        <f t="shared" si="3"/>
        <v>0</v>
      </c>
      <c r="AL29" s="4102"/>
      <c r="AM29" s="4151"/>
      <c r="AN29" s="4151"/>
      <c r="AO29" s="4151"/>
      <c r="AP29" s="4151"/>
      <c r="AQ29" s="4151"/>
      <c r="AR29" s="4151"/>
      <c r="AS29" s="4151"/>
      <c r="AT29" s="4111"/>
    </row>
    <row r="30" spans="1:51" s="3" customFormat="1" ht="15" customHeight="1" x14ac:dyDescent="0.2">
      <c r="A30" s="4150"/>
      <c r="B30" s="4151">
        <v>0</v>
      </c>
      <c r="C30" s="4151">
        <v>0</v>
      </c>
      <c r="D30" s="4151">
        <v>0</v>
      </c>
      <c r="E30" s="4151">
        <v>0</v>
      </c>
      <c r="F30" s="4151">
        <v>0</v>
      </c>
      <c r="G30" s="4151">
        <v>0</v>
      </c>
      <c r="H30" s="4151">
        <v>0</v>
      </c>
      <c r="I30" s="4151">
        <v>0</v>
      </c>
      <c r="J30" s="2272"/>
      <c r="K30" s="4154"/>
      <c r="L30" s="4154"/>
      <c r="M30" s="4151">
        <v>0</v>
      </c>
      <c r="N30" s="4151">
        <v>0</v>
      </c>
      <c r="O30" s="4151">
        <v>0</v>
      </c>
      <c r="P30" s="4151">
        <v>0</v>
      </c>
      <c r="Q30" s="4151">
        <v>0</v>
      </c>
      <c r="R30" s="4151">
        <v>0</v>
      </c>
      <c r="S30" s="4151">
        <v>0</v>
      </c>
      <c r="T30" s="4151">
        <v>0</v>
      </c>
      <c r="U30" s="4151">
        <v>0</v>
      </c>
      <c r="V30" s="4151">
        <v>0</v>
      </c>
      <c r="W30" s="4151">
        <v>0</v>
      </c>
      <c r="X30" s="4151">
        <v>0</v>
      </c>
      <c r="Y30" s="4151">
        <v>0</v>
      </c>
      <c r="Z30" s="4151">
        <v>0</v>
      </c>
      <c r="AA30" s="4111">
        <f t="shared" si="0"/>
        <v>0</v>
      </c>
      <c r="AB30" s="4128" t="s">
        <v>13</v>
      </c>
      <c r="AC30" s="4129"/>
      <c r="AD30" s="4154"/>
      <c r="AE30" s="4153">
        <v>0</v>
      </c>
      <c r="AF30" s="4122"/>
      <c r="AG30" s="4123"/>
      <c r="AH30" s="4122"/>
      <c r="AI30" s="4112">
        <f>AA30*AE30/100</f>
        <v>0</v>
      </c>
      <c r="AJ30" s="4111"/>
      <c r="AK30" s="4113">
        <f t="shared" si="3"/>
        <v>0</v>
      </c>
      <c r="AL30" s="4102"/>
      <c r="AM30" s="4151"/>
      <c r="AN30" s="4151"/>
      <c r="AO30" s="4151"/>
      <c r="AP30" s="4151"/>
      <c r="AQ30" s="4151"/>
      <c r="AR30" s="4151"/>
      <c r="AS30" s="4151"/>
      <c r="AT30" s="4111"/>
    </row>
    <row r="31" spans="1:51" ht="15" customHeight="1" x14ac:dyDescent="0.2">
      <c r="A31" s="4157"/>
      <c r="B31" s="4157"/>
      <c r="C31" s="4157"/>
      <c r="D31" s="4154"/>
      <c r="E31" s="4154"/>
      <c r="F31" s="4154"/>
      <c r="G31" s="4154"/>
      <c r="H31" s="4154"/>
      <c r="I31" s="4154"/>
      <c r="J31" s="4154"/>
      <c r="K31" s="4154"/>
      <c r="L31" s="4154"/>
      <c r="M31" s="4154"/>
      <c r="N31" s="4154"/>
      <c r="O31" s="4154"/>
      <c r="P31" s="4154"/>
      <c r="Q31" s="4153">
        <f>AI31-AH31</f>
        <v>0</v>
      </c>
      <c r="R31" s="4154"/>
      <c r="S31" s="4154"/>
      <c r="T31" s="4154"/>
      <c r="U31" s="4154"/>
      <c r="V31" s="4154"/>
      <c r="W31" s="4154"/>
      <c r="X31" s="4154"/>
      <c r="Y31" s="4154"/>
      <c r="Z31" s="4154"/>
      <c r="AA31" s="4111">
        <f t="shared" si="0"/>
        <v>0</v>
      </c>
      <c r="AB31" s="4128" t="s">
        <v>167</v>
      </c>
      <c r="AC31" s="4123"/>
      <c r="AD31" s="4151"/>
      <c r="AE31" s="4151">
        <v>300</v>
      </c>
      <c r="AF31" s="4122"/>
      <c r="AG31" s="4129">
        <f>-AH31/$D$2%</f>
        <v>0</v>
      </c>
      <c r="AH31" s="4135">
        <v>0</v>
      </c>
      <c r="AI31" s="4132">
        <f>AH31*AE31%</f>
        <v>0</v>
      </c>
      <c r="AJ31" s="4131"/>
      <c r="AK31" s="4113">
        <f t="shared" si="3"/>
        <v>0</v>
      </c>
      <c r="AL31" s="4105"/>
      <c r="AM31" s="4105"/>
      <c r="AN31" s="4154"/>
      <c r="AO31" s="4154"/>
      <c r="AP31" s="4154"/>
      <c r="AQ31" s="4154"/>
      <c r="AR31" s="4154"/>
      <c r="AS31" s="4154"/>
      <c r="AT31" s="4131"/>
    </row>
    <row r="32" spans="1:51" ht="15" customHeight="1" x14ac:dyDescent="0.2">
      <c r="A32" s="4157"/>
      <c r="B32" s="4157"/>
      <c r="C32" s="4157"/>
      <c r="D32" s="4154"/>
      <c r="E32" s="4154"/>
      <c r="F32" s="4154"/>
      <c r="G32" s="4158"/>
      <c r="H32" s="4154"/>
      <c r="I32" s="4154"/>
      <c r="J32" s="4154"/>
      <c r="K32" s="4154"/>
      <c r="L32" s="4154"/>
      <c r="M32" s="4154"/>
      <c r="N32" s="4154"/>
      <c r="O32" s="4154"/>
      <c r="P32" s="4154"/>
      <c r="Q32" s="4154"/>
      <c r="R32" s="4154"/>
      <c r="S32" s="4154"/>
      <c r="T32" s="4154"/>
      <c r="U32" s="4154"/>
      <c r="V32" s="4154"/>
      <c r="W32" s="4154"/>
      <c r="X32" s="4154"/>
      <c r="Y32" s="4154"/>
      <c r="Z32" s="4154"/>
      <c r="AA32" s="4111">
        <f t="shared" si="0"/>
        <v>0</v>
      </c>
      <c r="AB32" s="4128" t="s">
        <v>168</v>
      </c>
      <c r="AC32" s="4123"/>
      <c r="AD32" s="4151"/>
      <c r="AE32" s="4151">
        <v>100</v>
      </c>
      <c r="AF32" s="4122"/>
      <c r="AG32" s="4129">
        <f>-AH32/$D$2%</f>
        <v>0</v>
      </c>
      <c r="AH32" s="4135">
        <v>0</v>
      </c>
      <c r="AI32" s="4123">
        <f>AH32*AE32%</f>
        <v>0</v>
      </c>
      <c r="AJ32" s="4131"/>
      <c r="AK32" s="4113">
        <f t="shared" si="3"/>
        <v>0</v>
      </c>
      <c r="AL32" s="4105"/>
      <c r="AM32" s="4105"/>
      <c r="AN32" s="4154"/>
      <c r="AO32" s="4154"/>
      <c r="AP32" s="4154"/>
      <c r="AQ32" s="4154"/>
      <c r="AR32" s="4154"/>
      <c r="AS32" s="4154"/>
      <c r="AT32" s="4131"/>
    </row>
    <row r="33" spans="1:47" ht="15" customHeight="1" x14ac:dyDescent="0.2">
      <c r="A33" s="4150"/>
      <c r="B33" s="4150"/>
      <c r="C33" s="4154"/>
      <c r="D33" s="4154"/>
      <c r="E33" s="4154"/>
      <c r="F33" s="4154"/>
      <c r="G33" s="4154"/>
      <c r="H33" s="4154"/>
      <c r="I33" s="4154"/>
      <c r="J33" s="4154"/>
      <c r="K33" s="4154"/>
      <c r="L33" s="4154"/>
      <c r="M33" s="4154"/>
      <c r="N33" s="4154"/>
      <c r="O33" s="4154"/>
      <c r="P33" s="4154"/>
      <c r="Q33" s="4154"/>
      <c r="R33" s="4154"/>
      <c r="S33" s="4154"/>
      <c r="T33" s="4154"/>
      <c r="U33" s="4154"/>
      <c r="V33" s="4154"/>
      <c r="W33" s="4154"/>
      <c r="X33" s="4154"/>
      <c r="Y33" s="4154"/>
      <c r="Z33" s="4154"/>
      <c r="AA33" s="4111">
        <f t="shared" si="0"/>
        <v>0</v>
      </c>
      <c r="AB33" s="4128" t="s">
        <v>27</v>
      </c>
      <c r="AC33" s="4129"/>
      <c r="AD33" s="4154"/>
      <c r="AE33" s="4154"/>
      <c r="AF33" s="4127">
        <v>75</v>
      </c>
      <c r="AG33" s="4123"/>
      <c r="AH33" s="4122"/>
      <c r="AI33" s="4112">
        <f>-SUM(AI29:AI32)</f>
        <v>0</v>
      </c>
      <c r="AJ33" s="4111">
        <f>-AI33*AF33%</f>
        <v>0</v>
      </c>
      <c r="AK33" s="4113">
        <f>SUM(AL33:AT33)</f>
        <v>0</v>
      </c>
      <c r="AL33" s="4103">
        <f>AJ33*64.4%</f>
        <v>0</v>
      </c>
      <c r="AM33" s="4103">
        <f>AJ33*9.8%</f>
        <v>0</v>
      </c>
      <c r="AN33" s="4150">
        <f>AJ33*13.1%</f>
        <v>0</v>
      </c>
      <c r="AO33" s="4150">
        <f>AJ33*6.9%</f>
        <v>0</v>
      </c>
      <c r="AP33" s="4150">
        <f>AJ33*0%</f>
        <v>0</v>
      </c>
      <c r="AQ33" s="4150">
        <f>AJ33*4.3%</f>
        <v>0</v>
      </c>
      <c r="AR33" s="4150">
        <f>AJ33*1.5%</f>
        <v>0</v>
      </c>
      <c r="AS33" s="4153"/>
      <c r="AT33" s="4111"/>
    </row>
    <row r="34" spans="1:47" ht="15" customHeight="1" x14ac:dyDescent="0.2">
      <c r="A34" s="4150"/>
      <c r="B34" s="4151">
        <v>0</v>
      </c>
      <c r="C34" s="4151">
        <v>0</v>
      </c>
      <c r="D34" s="4151">
        <v>0</v>
      </c>
      <c r="E34" s="4151">
        <v>0</v>
      </c>
      <c r="F34" s="4151">
        <v>0</v>
      </c>
      <c r="G34" s="4151">
        <v>0</v>
      </c>
      <c r="H34" s="4151">
        <v>0</v>
      </c>
      <c r="I34" s="4151">
        <v>0</v>
      </c>
      <c r="J34" s="4156"/>
      <c r="K34" s="4154"/>
      <c r="L34" s="4154"/>
      <c r="M34" s="4151">
        <v>0</v>
      </c>
      <c r="N34" s="4151">
        <v>0</v>
      </c>
      <c r="O34" s="4151">
        <v>0</v>
      </c>
      <c r="P34" s="4151">
        <v>0</v>
      </c>
      <c r="Q34" s="4151">
        <v>0</v>
      </c>
      <c r="R34" s="4151">
        <v>0</v>
      </c>
      <c r="S34" s="4151">
        <v>0</v>
      </c>
      <c r="T34" s="4151">
        <v>0</v>
      </c>
      <c r="U34" s="4151">
        <v>0</v>
      </c>
      <c r="V34" s="4151">
        <v>0</v>
      </c>
      <c r="W34" s="4151">
        <v>0</v>
      </c>
      <c r="X34" s="4151">
        <v>0</v>
      </c>
      <c r="Y34" s="4151">
        <v>0</v>
      </c>
      <c r="Z34" s="4151">
        <v>0</v>
      </c>
      <c r="AA34" s="4111">
        <f t="shared" si="0"/>
        <v>0</v>
      </c>
      <c r="AB34" s="4128" t="s">
        <v>180</v>
      </c>
      <c r="AC34" s="4125">
        <v>0</v>
      </c>
      <c r="AD34" s="4154"/>
      <c r="AE34" s="4153">
        <v>0</v>
      </c>
      <c r="AF34" s="4126"/>
      <c r="AG34" s="4123">
        <f>AA34*AC34/100</f>
        <v>0</v>
      </c>
      <c r="AH34" s="4122"/>
      <c r="AI34" s="4112">
        <f>AA34*AE34/100</f>
        <v>0</v>
      </c>
      <c r="AJ34" s="4111"/>
      <c r="AK34" s="4113">
        <f t="shared" si="3"/>
        <v>0</v>
      </c>
      <c r="AL34" s="4105"/>
      <c r="AM34" s="4154"/>
      <c r="AN34" s="4154"/>
      <c r="AO34" s="4154"/>
      <c r="AP34" s="4154"/>
      <c r="AQ34" s="4154"/>
      <c r="AR34" s="4154"/>
      <c r="AS34" s="4151"/>
      <c r="AT34" s="4111"/>
    </row>
    <row r="35" spans="1:47" ht="15" customHeight="1" x14ac:dyDescent="0.2">
      <c r="A35" s="4150"/>
      <c r="B35" s="4151">
        <v>0</v>
      </c>
      <c r="C35" s="4151">
        <v>0</v>
      </c>
      <c r="D35" s="4151">
        <v>0</v>
      </c>
      <c r="E35" s="4151">
        <v>0</v>
      </c>
      <c r="F35" s="4151">
        <v>0</v>
      </c>
      <c r="G35" s="4151">
        <v>0</v>
      </c>
      <c r="H35" s="4151">
        <v>0</v>
      </c>
      <c r="I35" s="4151">
        <v>0</v>
      </c>
      <c r="J35" s="4156"/>
      <c r="K35" s="4154"/>
      <c r="L35" s="4154"/>
      <c r="M35" s="4151">
        <v>0</v>
      </c>
      <c r="N35" s="4151">
        <v>0</v>
      </c>
      <c r="O35" s="4151">
        <v>0</v>
      </c>
      <c r="P35" s="4151">
        <v>0</v>
      </c>
      <c r="Q35" s="4151">
        <v>0</v>
      </c>
      <c r="R35" s="4151">
        <v>0</v>
      </c>
      <c r="S35" s="4151">
        <v>0</v>
      </c>
      <c r="T35" s="4151">
        <v>0</v>
      </c>
      <c r="U35" s="4151">
        <v>0</v>
      </c>
      <c r="V35" s="4151">
        <v>0</v>
      </c>
      <c r="W35" s="4151">
        <v>0</v>
      </c>
      <c r="X35" s="4151">
        <v>0</v>
      </c>
      <c r="Y35" s="4151">
        <v>0</v>
      </c>
      <c r="Z35" s="4151">
        <v>0</v>
      </c>
      <c r="AA35" s="4111">
        <f t="shared" si="0"/>
        <v>0</v>
      </c>
      <c r="AB35" s="4128" t="s">
        <v>7</v>
      </c>
      <c r="AC35" s="4129"/>
      <c r="AD35" s="4154"/>
      <c r="AE35" s="4153">
        <v>0</v>
      </c>
      <c r="AF35" s="4126"/>
      <c r="AG35" s="4123">
        <f>AA35*AC35/100</f>
        <v>0</v>
      </c>
      <c r="AH35" s="4122"/>
      <c r="AI35" s="4112">
        <f>AA35*AE35/100</f>
        <v>0</v>
      </c>
      <c r="AJ35" s="4111"/>
      <c r="AK35" s="4113">
        <f t="shared" si="3"/>
        <v>0</v>
      </c>
      <c r="AL35" s="4105"/>
      <c r="AM35" s="4154"/>
      <c r="AN35" s="4154"/>
      <c r="AO35" s="4154"/>
      <c r="AP35" s="4154"/>
      <c r="AQ35" s="4154"/>
      <c r="AR35" s="4154"/>
      <c r="AS35" s="4151"/>
      <c r="AT35" s="4111"/>
    </row>
    <row r="36" spans="1:47" s="3" customFormat="1" ht="15" customHeight="1" x14ac:dyDescent="0.2">
      <c r="A36" s="4150"/>
      <c r="B36" s="4150"/>
      <c r="C36" s="4154"/>
      <c r="D36" s="4154"/>
      <c r="E36" s="4154"/>
      <c r="F36" s="4154"/>
      <c r="G36" s="4154"/>
      <c r="H36" s="4154"/>
      <c r="I36" s="4154"/>
      <c r="J36" s="4154"/>
      <c r="K36" s="4154"/>
      <c r="L36" s="4154"/>
      <c r="M36" s="4154"/>
      <c r="N36" s="4154"/>
      <c r="O36" s="4154"/>
      <c r="P36" s="4154"/>
      <c r="Q36" s="4154"/>
      <c r="R36" s="4154"/>
      <c r="S36" s="4154"/>
      <c r="T36" s="4154"/>
      <c r="U36" s="4154"/>
      <c r="V36" s="4154"/>
      <c r="W36" s="4154"/>
      <c r="X36" s="4154"/>
      <c r="Y36" s="4154"/>
      <c r="Z36" s="4154"/>
      <c r="AA36" s="4111">
        <f t="shared" si="0"/>
        <v>0</v>
      </c>
      <c r="AB36" s="4133" t="s">
        <v>28</v>
      </c>
      <c r="AC36" s="4129"/>
      <c r="AD36" s="4154"/>
      <c r="AE36" s="4154"/>
      <c r="AF36" s="4127">
        <v>75</v>
      </c>
      <c r="AG36" s="4123"/>
      <c r="AH36" s="4122"/>
      <c r="AI36" s="4112">
        <f>-SUM(AI34:AI35)</f>
        <v>0</v>
      </c>
      <c r="AJ36" s="4111">
        <f>-AI36*AF36%</f>
        <v>0</v>
      </c>
      <c r="AK36" s="4113">
        <f t="shared" si="3"/>
        <v>0</v>
      </c>
      <c r="AL36" s="4103">
        <f>AJ36*64.4%</f>
        <v>0</v>
      </c>
      <c r="AM36" s="4103">
        <f>AJ36*9.8%</f>
        <v>0</v>
      </c>
      <c r="AN36" s="4150">
        <f>AJ36*13.1%</f>
        <v>0</v>
      </c>
      <c r="AO36" s="4150">
        <f>AJ36*6.9%</f>
        <v>0</v>
      </c>
      <c r="AP36" s="4150">
        <f>AJ36*0%</f>
        <v>0</v>
      </c>
      <c r="AQ36" s="4150">
        <f>AJ36*4.3%</f>
        <v>0</v>
      </c>
      <c r="AR36" s="4150">
        <f>AJ36*1.5%</f>
        <v>0</v>
      </c>
      <c r="AS36" s="4153"/>
      <c r="AT36" s="4111"/>
    </row>
    <row r="37" spans="1:47" ht="15" customHeight="1" x14ac:dyDescent="0.2">
      <c r="A37" s="4150"/>
      <c r="B37" s="4153">
        <v>0</v>
      </c>
      <c r="C37" s="4153">
        <v>0</v>
      </c>
      <c r="D37" s="4153">
        <v>0</v>
      </c>
      <c r="E37" s="4153">
        <v>0</v>
      </c>
      <c r="F37" s="4153">
        <v>0</v>
      </c>
      <c r="G37" s="4153">
        <v>0</v>
      </c>
      <c r="H37" s="4153">
        <v>0</v>
      </c>
      <c r="I37" s="4153">
        <v>0</v>
      </c>
      <c r="J37" s="4156"/>
      <c r="K37" s="4153"/>
      <c r="L37" s="4153"/>
      <c r="M37" s="4153">
        <v>0</v>
      </c>
      <c r="N37" s="4153">
        <v>0</v>
      </c>
      <c r="O37" s="4153">
        <v>0</v>
      </c>
      <c r="P37" s="4153">
        <v>0</v>
      </c>
      <c r="Q37" s="4153">
        <v>0</v>
      </c>
      <c r="R37" s="4153">
        <v>0</v>
      </c>
      <c r="S37" s="4153">
        <v>0</v>
      </c>
      <c r="T37" s="4153">
        <v>0</v>
      </c>
      <c r="U37" s="4153">
        <v>0</v>
      </c>
      <c r="V37" s="4153">
        <v>0</v>
      </c>
      <c r="W37" s="4153">
        <v>0</v>
      </c>
      <c r="X37" s="4153">
        <v>0</v>
      </c>
      <c r="Y37" s="4153">
        <v>0</v>
      </c>
      <c r="Z37" s="4153">
        <v>0</v>
      </c>
      <c r="AA37" s="4111">
        <f t="shared" si="0"/>
        <v>0</v>
      </c>
      <c r="AB37" s="4133" t="s">
        <v>181</v>
      </c>
      <c r="AC37" s="4125">
        <v>0</v>
      </c>
      <c r="AD37" s="4154"/>
      <c r="AE37" s="4153">
        <v>0</v>
      </c>
      <c r="AF37" s="4126"/>
      <c r="AG37" s="4112">
        <f>AA37*AC37/100</f>
        <v>0</v>
      </c>
      <c r="AH37" s="4111"/>
      <c r="AI37" s="4112">
        <f t="shared" ref="AI37" si="5">AA37*AE37/100</f>
        <v>0</v>
      </c>
      <c r="AJ37" s="4111"/>
      <c r="AK37" s="4113">
        <f t="shared" si="3"/>
        <v>0</v>
      </c>
      <c r="AL37" s="4102"/>
      <c r="AM37" s="4151"/>
      <c r="AN37" s="4151"/>
      <c r="AO37" s="4151"/>
      <c r="AP37" s="4151"/>
      <c r="AQ37" s="4151"/>
      <c r="AR37" s="4151"/>
      <c r="AS37" s="4151"/>
      <c r="AT37" s="4111"/>
    </row>
    <row r="38" spans="1:47" ht="15" customHeight="1" x14ac:dyDescent="0.2">
      <c r="A38" s="4150"/>
      <c r="B38" s="4153">
        <v>0</v>
      </c>
      <c r="C38" s="4153">
        <v>0</v>
      </c>
      <c r="D38" s="4153">
        <v>0</v>
      </c>
      <c r="E38" s="4153">
        <v>0.498</v>
      </c>
      <c r="F38" s="4153">
        <v>0</v>
      </c>
      <c r="G38" s="4153">
        <v>0</v>
      </c>
      <c r="H38" s="4153">
        <v>0</v>
      </c>
      <c r="I38" s="4153">
        <v>0</v>
      </c>
      <c r="J38" s="4156"/>
      <c r="K38" s="4153"/>
      <c r="L38" s="4153"/>
      <c r="M38" s="4153">
        <v>0</v>
      </c>
      <c r="N38" s="4153">
        <v>0</v>
      </c>
      <c r="O38" s="4153">
        <v>0</v>
      </c>
      <c r="P38" s="4153">
        <v>0</v>
      </c>
      <c r="Q38" s="4153">
        <v>0</v>
      </c>
      <c r="R38" s="4153">
        <v>0</v>
      </c>
      <c r="S38" s="4153">
        <v>0</v>
      </c>
      <c r="T38" s="4153">
        <v>0</v>
      </c>
      <c r="U38" s="4153">
        <v>21.22</v>
      </c>
      <c r="V38" s="4153">
        <v>0</v>
      </c>
      <c r="W38" s="4153">
        <v>0</v>
      </c>
      <c r="X38" s="4153">
        <v>0</v>
      </c>
      <c r="Y38" s="4153">
        <v>0</v>
      </c>
      <c r="Z38" s="4153">
        <v>0</v>
      </c>
      <c r="AA38" s="4111">
        <f t="shared" si="0"/>
        <v>21.718</v>
      </c>
      <c r="AB38" s="4133" t="s">
        <v>203</v>
      </c>
      <c r="AC38" s="4129"/>
      <c r="AD38" s="4154"/>
      <c r="AE38" s="4153">
        <v>100.00000000000003</v>
      </c>
      <c r="AF38" s="4126"/>
      <c r="AG38" s="4112">
        <f>AA38*AC38/100</f>
        <v>0</v>
      </c>
      <c r="AH38" s="4111"/>
      <c r="AI38" s="4112">
        <f>AA38*AE38/100</f>
        <v>21.718000000000007</v>
      </c>
      <c r="AJ38" s="4111"/>
      <c r="AK38" s="4113">
        <f t="shared" si="3"/>
        <v>0</v>
      </c>
      <c r="AL38" s="4102"/>
      <c r="AM38" s="4151"/>
      <c r="AN38" s="4151"/>
      <c r="AO38" s="4151"/>
      <c r="AP38" s="4151"/>
      <c r="AQ38" s="4151"/>
      <c r="AR38" s="4151"/>
      <c r="AS38" s="4151"/>
      <c r="AT38" s="4111"/>
      <c r="AU38" s="33"/>
    </row>
    <row r="39" spans="1:47" ht="15" customHeight="1" x14ac:dyDescent="0.2">
      <c r="A39" s="4157"/>
      <c r="B39" s="4154"/>
      <c r="C39" s="4154"/>
      <c r="D39" s="4154"/>
      <c r="E39" s="4154"/>
      <c r="F39" s="4154"/>
      <c r="G39" s="4154"/>
      <c r="H39" s="4154"/>
      <c r="I39" s="4154">
        <v>0</v>
      </c>
      <c r="J39" s="4154"/>
      <c r="K39" s="4154"/>
      <c r="L39" s="4154"/>
      <c r="M39" s="4154"/>
      <c r="N39" s="4154"/>
      <c r="O39" s="4154"/>
      <c r="P39" s="4154"/>
      <c r="Q39" s="4153">
        <f>AI39-AH39</f>
        <v>0</v>
      </c>
      <c r="R39" s="4154"/>
      <c r="S39" s="4154"/>
      <c r="T39" s="4154"/>
      <c r="U39" s="4154"/>
      <c r="V39" s="4154"/>
      <c r="W39" s="4154"/>
      <c r="X39" s="4154"/>
      <c r="Y39" s="4154"/>
      <c r="Z39" s="4154"/>
      <c r="AA39" s="4111">
        <f t="shared" si="0"/>
        <v>0</v>
      </c>
      <c r="AB39" s="4133" t="s">
        <v>204</v>
      </c>
      <c r="AC39" s="4123"/>
      <c r="AD39" s="4151"/>
      <c r="AE39" s="4153">
        <v>0</v>
      </c>
      <c r="AF39" s="4122"/>
      <c r="AG39" s="4129">
        <f>-AH39/$D$2%</f>
        <v>0</v>
      </c>
      <c r="AH39" s="4135">
        <v>0</v>
      </c>
      <c r="AI39" s="4123">
        <f>(AH39+I39)*AE39%</f>
        <v>0</v>
      </c>
      <c r="AJ39" s="4126"/>
      <c r="AK39" s="4113">
        <f t="shared" si="3"/>
        <v>0</v>
      </c>
      <c r="AL39" s="4105"/>
      <c r="AM39" s="4154"/>
      <c r="AN39" s="4154"/>
      <c r="AO39" s="4154"/>
      <c r="AP39" s="4154"/>
      <c r="AQ39" s="4154"/>
      <c r="AR39" s="4154"/>
      <c r="AS39" s="4154"/>
      <c r="AT39" s="4131"/>
    </row>
    <row r="40" spans="1:47" ht="15" customHeight="1" x14ac:dyDescent="0.2">
      <c r="A40" s="4157"/>
      <c r="B40" s="4154"/>
      <c r="C40" s="4154"/>
      <c r="D40" s="4154"/>
      <c r="E40" s="4154"/>
      <c r="F40" s="4154"/>
      <c r="G40" s="4154"/>
      <c r="H40" s="4154"/>
      <c r="I40" s="4154"/>
      <c r="J40" s="4154"/>
      <c r="K40" s="4154"/>
      <c r="L40" s="4154"/>
      <c r="M40" s="4154"/>
      <c r="N40" s="4154"/>
      <c r="O40" s="4154"/>
      <c r="P40" s="4154"/>
      <c r="Q40" s="4151"/>
      <c r="R40" s="4154"/>
      <c r="S40" s="4154"/>
      <c r="T40" s="4154"/>
      <c r="U40" s="4154"/>
      <c r="V40" s="4154"/>
      <c r="W40" s="4154"/>
      <c r="X40" s="4154"/>
      <c r="Y40" s="4154"/>
      <c r="Z40" s="4154"/>
      <c r="AA40" s="4111">
        <f t="shared" si="0"/>
        <v>0</v>
      </c>
      <c r="AB40" s="4133" t="s">
        <v>205</v>
      </c>
      <c r="AC40" s="4123"/>
      <c r="AD40" s="4151"/>
      <c r="AE40" s="4153">
        <v>0</v>
      </c>
      <c r="AF40" s="4122"/>
      <c r="AG40" s="4129">
        <f>-AH40/$D$2%</f>
        <v>0</v>
      </c>
      <c r="AH40" s="4135">
        <v>0</v>
      </c>
      <c r="AI40" s="4129">
        <f>AH40*AE40%</f>
        <v>0</v>
      </c>
      <c r="AJ40" s="4126"/>
      <c r="AK40" s="4113">
        <f t="shared" si="3"/>
        <v>0</v>
      </c>
      <c r="AL40" s="4105"/>
      <c r="AM40" s="4154"/>
      <c r="AN40" s="4154"/>
      <c r="AO40" s="4154"/>
      <c r="AP40" s="4154"/>
      <c r="AQ40" s="4154"/>
      <c r="AR40" s="4154"/>
      <c r="AS40" s="4154"/>
      <c r="AT40" s="4131"/>
    </row>
    <row r="41" spans="1:47" ht="15" customHeight="1" x14ac:dyDescent="0.2">
      <c r="A41" s="4150"/>
      <c r="B41" s="4151"/>
      <c r="C41" s="4154"/>
      <c r="D41" s="4154"/>
      <c r="E41" s="4154"/>
      <c r="F41" s="4154"/>
      <c r="G41" s="4154"/>
      <c r="H41" s="4154"/>
      <c r="I41" s="4154"/>
      <c r="J41" s="4154"/>
      <c r="K41" s="4154"/>
      <c r="L41" s="4154"/>
      <c r="M41" s="4154"/>
      <c r="N41" s="4154"/>
      <c r="O41" s="4153">
        <v>0</v>
      </c>
      <c r="P41" s="4154"/>
      <c r="Q41" s="4154"/>
      <c r="R41" s="4154"/>
      <c r="S41" s="4154"/>
      <c r="T41" s="4154"/>
      <c r="U41" s="4154"/>
      <c r="V41" s="4154"/>
      <c r="W41" s="4154"/>
      <c r="X41" s="4154"/>
      <c r="Y41" s="4154"/>
      <c r="Z41" s="4154"/>
      <c r="AA41" s="4111">
        <f t="shared" si="0"/>
        <v>0</v>
      </c>
      <c r="AB41" s="4133" t="s">
        <v>206</v>
      </c>
      <c r="AC41" s="4129"/>
      <c r="AD41" s="4154"/>
      <c r="AE41" s="4153">
        <v>0</v>
      </c>
      <c r="AF41" s="4126"/>
      <c r="AG41" s="4112"/>
      <c r="AH41" s="4111"/>
      <c r="AI41" s="4112">
        <f t="shared" ref="AI41:AI42" si="6">AA41*AE41/100</f>
        <v>0</v>
      </c>
      <c r="AJ41" s="4111"/>
      <c r="AK41" s="4113">
        <f t="shared" si="3"/>
        <v>0</v>
      </c>
      <c r="AL41" s="4102"/>
      <c r="AM41" s="4151"/>
      <c r="AN41" s="4151"/>
      <c r="AO41" s="4151"/>
      <c r="AP41" s="4151"/>
      <c r="AQ41" s="4151"/>
      <c r="AR41" s="4151"/>
      <c r="AS41" s="4151"/>
      <c r="AT41" s="4111"/>
    </row>
    <row r="42" spans="1:47" ht="15" customHeight="1" x14ac:dyDescent="0.2">
      <c r="A42" s="4150"/>
      <c r="B42" s="4151"/>
      <c r="C42" s="4154"/>
      <c r="D42" s="4154"/>
      <c r="E42" s="4154"/>
      <c r="F42" s="4154"/>
      <c r="G42" s="4154"/>
      <c r="H42" s="4154"/>
      <c r="I42" s="4154"/>
      <c r="J42" s="4154"/>
      <c r="K42" s="4154"/>
      <c r="L42" s="4154"/>
      <c r="M42" s="4154"/>
      <c r="N42" s="4154"/>
      <c r="O42" s="4153"/>
      <c r="P42" s="4153">
        <v>0</v>
      </c>
      <c r="Q42" s="4154"/>
      <c r="R42" s="4154"/>
      <c r="S42" s="4154"/>
      <c r="T42" s="4154"/>
      <c r="U42" s="4154"/>
      <c r="V42" s="4154"/>
      <c r="W42" s="4154"/>
      <c r="X42" s="4154"/>
      <c r="Y42" s="4154"/>
      <c r="Z42" s="4154"/>
      <c r="AA42" s="4111">
        <f t="shared" si="0"/>
        <v>0</v>
      </c>
      <c r="AB42" s="4133" t="s">
        <v>207</v>
      </c>
      <c r="AC42" s="4129"/>
      <c r="AD42" s="4154"/>
      <c r="AE42" s="4153">
        <v>100</v>
      </c>
      <c r="AF42" s="4126"/>
      <c r="AG42" s="4112">
        <f>AA42*AC42/100</f>
        <v>0</v>
      </c>
      <c r="AH42" s="4111"/>
      <c r="AI42" s="4112">
        <f t="shared" si="6"/>
        <v>0</v>
      </c>
      <c r="AJ42" s="4111"/>
      <c r="AK42" s="4113">
        <f t="shared" si="3"/>
        <v>0</v>
      </c>
      <c r="AL42" s="4102"/>
      <c r="AM42" s="4102"/>
      <c r="AN42" s="4151"/>
      <c r="AO42" s="4151"/>
      <c r="AP42" s="4151"/>
      <c r="AQ42" s="4151"/>
      <c r="AR42" s="4151"/>
      <c r="AS42" s="4151"/>
      <c r="AT42" s="4111"/>
    </row>
    <row r="43" spans="1:47" ht="15" customHeight="1" x14ac:dyDescent="0.2">
      <c r="A43" s="4150"/>
      <c r="B43" s="4150"/>
      <c r="C43" s="4157"/>
      <c r="D43" s="4157"/>
      <c r="E43" s="4157"/>
      <c r="F43" s="4157"/>
      <c r="G43" s="4157"/>
      <c r="H43" s="4157"/>
      <c r="I43" s="4157"/>
      <c r="J43" s="4154"/>
      <c r="K43" s="4154"/>
      <c r="L43" s="4154"/>
      <c r="M43" s="4157"/>
      <c r="N43" s="4157"/>
      <c r="O43" s="4157"/>
      <c r="P43" s="4157"/>
      <c r="Q43" s="4154"/>
      <c r="R43" s="4154"/>
      <c r="S43" s="4154"/>
      <c r="T43" s="4154"/>
      <c r="U43" s="4154"/>
      <c r="V43" s="4154"/>
      <c r="W43" s="4154"/>
      <c r="X43" s="4154"/>
      <c r="Y43" s="4154"/>
      <c r="Z43" s="4154"/>
      <c r="AA43" s="4111">
        <f t="shared" si="0"/>
        <v>0</v>
      </c>
      <c r="AB43" s="4133" t="s">
        <v>208</v>
      </c>
      <c r="AC43" s="4129"/>
      <c r="AD43" s="4154"/>
      <c r="AE43" s="4154"/>
      <c r="AF43" s="4127">
        <v>75</v>
      </c>
      <c r="AG43" s="4123"/>
      <c r="AH43" s="4122"/>
      <c r="AI43" s="4123">
        <f>-SUM(AI37:AI42)</f>
        <v>-21.718000000000007</v>
      </c>
      <c r="AJ43" s="4122">
        <f>-AI43*AF43%</f>
        <v>16.288500000000006</v>
      </c>
      <c r="AK43" s="4113">
        <f t="shared" si="3"/>
        <v>16.288500000000006</v>
      </c>
      <c r="AL43" s="4103">
        <f>AJ43*64.4%</f>
        <v>10.489794000000003</v>
      </c>
      <c r="AM43" s="4103">
        <f>AJ43*9.8%</f>
        <v>1.5962730000000007</v>
      </c>
      <c r="AN43" s="4150">
        <f>AJ43*13.1%</f>
        <v>2.1337935000000008</v>
      </c>
      <c r="AO43" s="4150">
        <f>AJ43*6.9%</f>
        <v>1.1239065000000006</v>
      </c>
      <c r="AP43" s="4150">
        <f>AJ43*0%</f>
        <v>0</v>
      </c>
      <c r="AQ43" s="4150">
        <f>AJ43*4.3%</f>
        <v>0.70040550000000024</v>
      </c>
      <c r="AR43" s="4150">
        <f>AJ43*1.5%</f>
        <v>0.24432750000000009</v>
      </c>
      <c r="AS43" s="4153"/>
      <c r="AT43" s="4111"/>
    </row>
    <row r="44" spans="1:47" ht="15" customHeight="1" x14ac:dyDescent="0.2">
      <c r="A44" s="4150"/>
      <c r="B44" s="4151">
        <v>0</v>
      </c>
      <c r="C44" s="4151">
        <v>0</v>
      </c>
      <c r="D44" s="4151">
        <v>0</v>
      </c>
      <c r="E44" s="4151">
        <v>0</v>
      </c>
      <c r="F44" s="4151">
        <v>0</v>
      </c>
      <c r="G44" s="4151">
        <v>0</v>
      </c>
      <c r="H44" s="4151">
        <v>0</v>
      </c>
      <c r="I44" s="4151">
        <v>0</v>
      </c>
      <c r="J44" s="4156"/>
      <c r="K44" s="4154"/>
      <c r="L44" s="4154"/>
      <c r="M44" s="4151">
        <v>0</v>
      </c>
      <c r="N44" s="4151">
        <v>0</v>
      </c>
      <c r="O44" s="4151">
        <v>0</v>
      </c>
      <c r="P44" s="4151">
        <v>0</v>
      </c>
      <c r="Q44" s="4151">
        <v>0</v>
      </c>
      <c r="R44" s="4151">
        <v>0</v>
      </c>
      <c r="S44" s="4151">
        <v>0</v>
      </c>
      <c r="T44" s="4151">
        <v>0</v>
      </c>
      <c r="U44" s="4151">
        <v>0</v>
      </c>
      <c r="V44" s="4151">
        <v>0</v>
      </c>
      <c r="W44" s="4151">
        <v>0</v>
      </c>
      <c r="X44" s="4151">
        <v>0</v>
      </c>
      <c r="Y44" s="4151">
        <v>0</v>
      </c>
      <c r="Z44" s="4151">
        <v>0</v>
      </c>
      <c r="AA44" s="4111">
        <f t="shared" si="0"/>
        <v>0</v>
      </c>
      <c r="AB44" s="4133" t="s">
        <v>182</v>
      </c>
      <c r="AC44" s="4129">
        <v>0</v>
      </c>
      <c r="AD44" s="4154"/>
      <c r="AE44" s="4154">
        <v>0</v>
      </c>
      <c r="AF44" s="4127"/>
      <c r="AG44" s="4112">
        <f>AA44*AC44/100</f>
        <v>0</v>
      </c>
      <c r="AH44" s="4122"/>
      <c r="AI44" s="4123">
        <f>AA44*AE44/100</f>
        <v>0</v>
      </c>
      <c r="AJ44" s="4122"/>
      <c r="AK44" s="4113">
        <f t="shared" ref="AK44:AK59" si="7">SUM(AL44:AT44)</f>
        <v>0</v>
      </c>
      <c r="AL44" s="4101"/>
      <c r="AM44" s="4101"/>
      <c r="AN44" s="4153"/>
      <c r="AO44" s="4153"/>
      <c r="AP44" s="4153"/>
      <c r="AQ44" s="4153"/>
      <c r="AR44" s="4153"/>
      <c r="AS44" s="4153"/>
      <c r="AT44" s="4111"/>
    </row>
    <row r="45" spans="1:47" ht="15" customHeight="1" x14ac:dyDescent="0.2">
      <c r="A45" s="4150"/>
      <c r="B45" s="4151"/>
      <c r="C45" s="4154"/>
      <c r="D45" s="4153"/>
      <c r="E45" s="4153"/>
      <c r="F45" s="4154"/>
      <c r="G45" s="4154"/>
      <c r="H45" s="4154"/>
      <c r="I45" s="4153"/>
      <c r="J45" s="4153"/>
      <c r="K45" s="4153"/>
      <c r="L45" s="4153"/>
      <c r="M45" s="4154"/>
      <c r="N45" s="4154"/>
      <c r="O45" s="4154"/>
      <c r="P45" s="4154"/>
      <c r="Q45" s="4154"/>
      <c r="R45" s="4153"/>
      <c r="S45" s="4153"/>
      <c r="T45" s="4153"/>
      <c r="U45" s="4153"/>
      <c r="V45" s="4153"/>
      <c r="W45" s="4153"/>
      <c r="X45" s="4154"/>
      <c r="Y45" s="4154"/>
      <c r="Z45" s="4154"/>
      <c r="AA45" s="27">
        <f t="shared" si="0"/>
        <v>0</v>
      </c>
      <c r="AB45" s="4133" t="s">
        <v>183</v>
      </c>
      <c r="AC45" s="4129"/>
      <c r="AD45" s="4154"/>
      <c r="AE45" s="4153">
        <v>99</v>
      </c>
      <c r="AF45" s="4126"/>
      <c r="AG45" s="4123">
        <f>-AH45/$D$2%</f>
        <v>0</v>
      </c>
      <c r="AH45" s="4122"/>
      <c r="AI45" s="4123">
        <f>AA45*AE45%</f>
        <v>0</v>
      </c>
      <c r="AJ45" s="4122"/>
      <c r="AK45" s="4113">
        <f t="shared" si="7"/>
        <v>0</v>
      </c>
      <c r="AL45" s="4102"/>
      <c r="AM45" s="4151"/>
      <c r="AN45" s="4151"/>
      <c r="AO45" s="4151"/>
      <c r="AP45" s="4151"/>
      <c r="AQ45" s="4151"/>
      <c r="AR45" s="4151"/>
      <c r="AS45" s="4151"/>
      <c r="AT45" s="4111"/>
    </row>
    <row r="46" spans="1:47" ht="15" customHeight="1" x14ac:dyDescent="0.2">
      <c r="A46" s="4150"/>
      <c r="B46" s="4151"/>
      <c r="C46" s="4151"/>
      <c r="D46" s="4151"/>
      <c r="E46" s="4151"/>
      <c r="F46" s="4151"/>
      <c r="G46" s="4151"/>
      <c r="H46" s="4151"/>
      <c r="I46" s="4151"/>
      <c r="J46" s="4151"/>
      <c r="K46" s="4151"/>
      <c r="L46" s="4151"/>
      <c r="M46" s="4151"/>
      <c r="N46" s="4151"/>
      <c r="O46" s="4151"/>
      <c r="P46" s="4151"/>
      <c r="Q46" s="4153">
        <f>AI46-AH46</f>
        <v>0</v>
      </c>
      <c r="R46" s="4151"/>
      <c r="S46" s="4151"/>
      <c r="T46" s="4151"/>
      <c r="U46" s="4151"/>
      <c r="V46" s="4151"/>
      <c r="W46" s="4151"/>
      <c r="X46" s="4151"/>
      <c r="Y46" s="4151"/>
      <c r="Z46" s="4151"/>
      <c r="AA46" s="27">
        <f t="shared" si="0"/>
        <v>0</v>
      </c>
      <c r="AB46" s="4133" t="s">
        <v>184</v>
      </c>
      <c r="AC46" s="4123"/>
      <c r="AD46" s="4151"/>
      <c r="AE46" s="4153">
        <v>300</v>
      </c>
      <c r="AF46" s="4122"/>
      <c r="AG46" s="4123">
        <f>-AH46/$D$2%</f>
        <v>0</v>
      </c>
      <c r="AH46" s="4127"/>
      <c r="AI46" s="4123">
        <f>(AH46+I46)*AE46%</f>
        <v>0</v>
      </c>
      <c r="AJ46" s="4111"/>
      <c r="AK46" s="4113">
        <f t="shared" si="7"/>
        <v>0</v>
      </c>
      <c r="AL46" s="4102"/>
      <c r="AM46" s="4151"/>
      <c r="AN46" s="4151"/>
      <c r="AO46" s="4151"/>
      <c r="AP46" s="4151"/>
      <c r="AQ46" s="4151"/>
      <c r="AR46" s="4151"/>
      <c r="AS46" s="4151"/>
      <c r="AT46" s="4111"/>
    </row>
    <row r="47" spans="1:47" s="3" customFormat="1" ht="15" customHeight="1" x14ac:dyDescent="0.2">
      <c r="A47" s="4151"/>
      <c r="B47" s="4151"/>
      <c r="C47" s="4151"/>
      <c r="D47" s="4151"/>
      <c r="E47" s="4151"/>
      <c r="F47" s="4151"/>
      <c r="G47" s="4151"/>
      <c r="H47" s="4151"/>
      <c r="I47" s="4154"/>
      <c r="J47" s="4154"/>
      <c r="K47" s="4154"/>
      <c r="L47" s="4154"/>
      <c r="M47" s="4154"/>
      <c r="N47" s="4151"/>
      <c r="O47" s="4151"/>
      <c r="P47" s="4151"/>
      <c r="Q47" s="4151"/>
      <c r="R47" s="4151"/>
      <c r="S47" s="4151"/>
      <c r="T47" s="4151"/>
      <c r="U47" s="4151"/>
      <c r="V47" s="4151"/>
      <c r="W47" s="4151"/>
      <c r="X47" s="4151"/>
      <c r="Y47" s="4151"/>
      <c r="Z47" s="4151"/>
      <c r="AA47" s="27">
        <f t="shared" si="0"/>
        <v>0</v>
      </c>
      <c r="AB47" s="4133" t="s">
        <v>185</v>
      </c>
      <c r="AC47" s="4123"/>
      <c r="AD47" s="4151"/>
      <c r="AE47" s="4153">
        <v>100</v>
      </c>
      <c r="AF47" s="4122"/>
      <c r="AG47" s="4123">
        <f>-AH47/$D$2%</f>
        <v>0</v>
      </c>
      <c r="AH47" s="4127"/>
      <c r="AI47" s="4129">
        <f>AH47*AE47%</f>
        <v>0</v>
      </c>
      <c r="AJ47" s="4122"/>
      <c r="AK47" s="4113">
        <f t="shared" si="7"/>
        <v>0</v>
      </c>
      <c r="AL47" s="4102"/>
      <c r="AM47" s="4151"/>
      <c r="AN47" s="4151"/>
      <c r="AO47" s="4151"/>
      <c r="AP47" s="4151"/>
      <c r="AQ47" s="4151"/>
      <c r="AR47" s="4151"/>
      <c r="AS47" s="4151"/>
      <c r="AT47" s="4111"/>
    </row>
    <row r="48" spans="1:47" s="3" customFormat="1" ht="15" customHeight="1" x14ac:dyDescent="0.2">
      <c r="A48" s="4150"/>
      <c r="B48" s="4151"/>
      <c r="C48" s="4154"/>
      <c r="D48" s="4154"/>
      <c r="E48" s="4154"/>
      <c r="F48" s="4154"/>
      <c r="G48" s="4154"/>
      <c r="H48" s="4154"/>
      <c r="I48" s="4154"/>
      <c r="J48" s="4154"/>
      <c r="K48" s="4154"/>
      <c r="L48" s="4154"/>
      <c r="M48" s="4154"/>
      <c r="N48" s="4154"/>
      <c r="O48" s="4153"/>
      <c r="P48" s="4154"/>
      <c r="Q48" s="4154"/>
      <c r="R48" s="4154"/>
      <c r="S48" s="4154"/>
      <c r="T48" s="4154"/>
      <c r="U48" s="4154"/>
      <c r="V48" s="4154"/>
      <c r="W48" s="4154"/>
      <c r="X48" s="4154"/>
      <c r="Y48" s="4154"/>
      <c r="Z48" s="4154"/>
      <c r="AA48" s="27">
        <f t="shared" si="0"/>
        <v>0</v>
      </c>
      <c r="AB48" s="4133" t="s">
        <v>186</v>
      </c>
      <c r="AC48" s="4123"/>
      <c r="AD48" s="4151"/>
      <c r="AE48" s="4151">
        <v>100</v>
      </c>
      <c r="AF48" s="4122"/>
      <c r="AG48" s="4123"/>
      <c r="AH48" s="4122"/>
      <c r="AI48" s="4123">
        <f>AA48*AE48/100</f>
        <v>0</v>
      </c>
      <c r="AJ48" s="4122"/>
      <c r="AK48" s="4113">
        <f t="shared" si="7"/>
        <v>0</v>
      </c>
      <c r="AL48" s="4102"/>
      <c r="AM48" s="4151"/>
      <c r="AN48" s="4151"/>
      <c r="AO48" s="4151"/>
      <c r="AP48" s="4151"/>
      <c r="AQ48" s="4151"/>
      <c r="AR48" s="4151"/>
      <c r="AS48" s="4151"/>
      <c r="AT48" s="4111"/>
    </row>
    <row r="49" spans="1:46" ht="15" customHeight="1" x14ac:dyDescent="0.2">
      <c r="A49" s="4150"/>
      <c r="B49" s="4151"/>
      <c r="C49" s="4154"/>
      <c r="D49" s="4154"/>
      <c r="E49" s="4154"/>
      <c r="F49" s="4154"/>
      <c r="G49" s="4154"/>
      <c r="H49" s="4154"/>
      <c r="I49" s="4154"/>
      <c r="J49" s="4154"/>
      <c r="K49" s="4154"/>
      <c r="L49" s="4154"/>
      <c r="M49" s="4154"/>
      <c r="N49" s="4154"/>
      <c r="O49" s="4153"/>
      <c r="P49" s="4154"/>
      <c r="Q49" s="4154"/>
      <c r="R49" s="4154"/>
      <c r="S49" s="4154"/>
      <c r="T49" s="4154"/>
      <c r="U49" s="4154"/>
      <c r="V49" s="4154"/>
      <c r="W49" s="4154"/>
      <c r="X49" s="4154"/>
      <c r="Y49" s="4154"/>
      <c r="Z49" s="4154"/>
      <c r="AA49" s="27">
        <f t="shared" si="0"/>
        <v>0</v>
      </c>
      <c r="AB49" s="4133" t="s">
        <v>187</v>
      </c>
      <c r="AC49" s="4129"/>
      <c r="AD49" s="4154"/>
      <c r="AE49" s="4153">
        <v>100</v>
      </c>
      <c r="AF49" s="4126"/>
      <c r="AG49" s="4123">
        <f>AA49*AC49%</f>
        <v>0</v>
      </c>
      <c r="AH49" s="4122"/>
      <c r="AI49" s="4123">
        <f>AA49*AE49%</f>
        <v>0</v>
      </c>
      <c r="AJ49" s="4122"/>
      <c r="AK49" s="4113">
        <f t="shared" si="7"/>
        <v>0</v>
      </c>
      <c r="AL49" s="4102"/>
      <c r="AM49" s="4151"/>
      <c r="AN49" s="4151"/>
      <c r="AO49" s="4151"/>
      <c r="AP49" s="4151"/>
      <c r="AQ49" s="4151"/>
      <c r="AR49" s="4151"/>
      <c r="AS49" s="4151"/>
      <c r="AT49" s="4111"/>
    </row>
    <row r="50" spans="1:46" ht="15" customHeight="1" x14ac:dyDescent="0.2">
      <c r="A50" s="4112"/>
      <c r="B50" s="4150"/>
      <c r="C50" s="4157"/>
      <c r="D50" s="4157"/>
      <c r="E50" s="4157"/>
      <c r="F50" s="4157"/>
      <c r="G50" s="4157"/>
      <c r="H50" s="4157"/>
      <c r="I50" s="4153"/>
      <c r="J50" s="4153"/>
      <c r="K50" s="4153"/>
      <c r="L50" s="4153"/>
      <c r="M50" s="4157"/>
      <c r="N50" s="4157"/>
      <c r="O50" s="4157"/>
      <c r="P50" s="4157"/>
      <c r="Q50" s="4154"/>
      <c r="R50" s="4154"/>
      <c r="S50" s="4154"/>
      <c r="T50" s="4154"/>
      <c r="U50" s="4154"/>
      <c r="V50" s="4154"/>
      <c r="W50" s="4154"/>
      <c r="X50" s="4154"/>
      <c r="Y50" s="4154"/>
      <c r="Z50" s="4154"/>
      <c r="AA50" s="27">
        <f t="shared" si="0"/>
        <v>0</v>
      </c>
      <c r="AB50" s="4133" t="s">
        <v>188</v>
      </c>
      <c r="AC50" s="4129"/>
      <c r="AD50" s="4154"/>
      <c r="AE50" s="4154">
        <v>100</v>
      </c>
      <c r="AF50" s="4126"/>
      <c r="AG50" s="4123"/>
      <c r="AH50" s="4122"/>
      <c r="AI50" s="4123"/>
      <c r="AJ50" s="4122"/>
      <c r="AK50" s="4113">
        <f t="shared" si="7"/>
        <v>0</v>
      </c>
      <c r="AL50" s="4102"/>
      <c r="AM50" s="4151"/>
      <c r="AN50" s="4151"/>
      <c r="AO50" s="4151"/>
      <c r="AP50" s="4151"/>
      <c r="AQ50" s="4151"/>
      <c r="AR50" s="4151"/>
      <c r="AS50" s="4151"/>
      <c r="AT50" s="4111"/>
    </row>
    <row r="51" spans="1:46" ht="15" customHeight="1" x14ac:dyDescent="0.2">
      <c r="A51" s="4150"/>
      <c r="B51" s="4150"/>
      <c r="C51" s="4157"/>
      <c r="D51" s="4157"/>
      <c r="E51" s="4157"/>
      <c r="F51" s="4157"/>
      <c r="G51" s="4157"/>
      <c r="H51" s="4157"/>
      <c r="I51" s="4157"/>
      <c r="J51" s="4154"/>
      <c r="K51" s="4154"/>
      <c r="L51" s="4154"/>
      <c r="M51" s="4157"/>
      <c r="N51" s="4157"/>
      <c r="O51" s="4157"/>
      <c r="P51" s="4157"/>
      <c r="Q51" s="4154"/>
      <c r="R51" s="4157"/>
      <c r="S51" s="4157"/>
      <c r="T51" s="4157"/>
      <c r="U51" s="4157"/>
      <c r="V51" s="4157"/>
      <c r="W51" s="4157"/>
      <c r="X51" s="4157"/>
      <c r="Y51" s="4157"/>
      <c r="Z51" s="4157"/>
      <c r="AA51" s="27">
        <f t="shared" si="0"/>
        <v>0</v>
      </c>
      <c r="AB51" s="4133" t="s">
        <v>189</v>
      </c>
      <c r="AC51" s="4129"/>
      <c r="AD51" s="4154"/>
      <c r="AE51" s="4154"/>
      <c r="AF51" s="4127">
        <v>75</v>
      </c>
      <c r="AG51" s="4123"/>
      <c r="AH51" s="4122"/>
      <c r="AI51" s="4130">
        <f>-SUM(AI44:AI50)</f>
        <v>0</v>
      </c>
      <c r="AJ51" s="4122">
        <f>-AI51*AF51/100</f>
        <v>0</v>
      </c>
      <c r="AK51" s="4113">
        <f t="shared" si="7"/>
        <v>0</v>
      </c>
      <c r="AL51" s="4103">
        <f>AJ51*64.4%</f>
        <v>0</v>
      </c>
      <c r="AM51" s="4103">
        <f>AJ51*9.8%</f>
        <v>0</v>
      </c>
      <c r="AN51" s="4150">
        <f>AJ51*13.1%</f>
        <v>0</v>
      </c>
      <c r="AO51" s="4150">
        <f>AJ51*6.9%</f>
        <v>0</v>
      </c>
      <c r="AP51" s="4150">
        <f>AJ51*0%</f>
        <v>0</v>
      </c>
      <c r="AQ51" s="4150">
        <f>AJ51*4.3%</f>
        <v>0</v>
      </c>
      <c r="AR51" s="4150">
        <f>AJ51*1.5%</f>
        <v>0</v>
      </c>
      <c r="AS51" s="4153"/>
      <c r="AT51" s="4111"/>
    </row>
    <row r="52" spans="1:46" ht="15" customHeight="1" x14ac:dyDescent="0.2">
      <c r="A52" s="4150"/>
      <c r="B52" s="4153">
        <v>0</v>
      </c>
      <c r="C52" s="4153">
        <v>0</v>
      </c>
      <c r="D52" s="4153">
        <v>0</v>
      </c>
      <c r="E52" s="4153">
        <v>0</v>
      </c>
      <c r="F52" s="4153">
        <v>0</v>
      </c>
      <c r="G52" s="4153">
        <v>0</v>
      </c>
      <c r="H52" s="4153">
        <v>0</v>
      </c>
      <c r="I52" s="4153">
        <v>0</v>
      </c>
      <c r="J52" s="4156"/>
      <c r="K52" s="4154"/>
      <c r="L52" s="4154"/>
      <c r="M52" s="4153">
        <v>0</v>
      </c>
      <c r="N52" s="4153">
        <v>0</v>
      </c>
      <c r="O52" s="4153">
        <v>0</v>
      </c>
      <c r="P52" s="4153">
        <v>0</v>
      </c>
      <c r="Q52" s="4153">
        <v>0</v>
      </c>
      <c r="R52" s="4153">
        <v>0</v>
      </c>
      <c r="S52" s="4153">
        <v>0</v>
      </c>
      <c r="T52" s="4153">
        <v>0</v>
      </c>
      <c r="U52" s="4153">
        <v>0</v>
      </c>
      <c r="V52" s="4153">
        <v>0</v>
      </c>
      <c r="W52" s="4153">
        <v>0</v>
      </c>
      <c r="X52" s="4153">
        <v>0</v>
      </c>
      <c r="Y52" s="4153">
        <v>0</v>
      </c>
      <c r="Z52" s="4153">
        <v>0</v>
      </c>
      <c r="AA52" s="27">
        <f t="shared" si="0"/>
        <v>0</v>
      </c>
      <c r="AB52" s="4133" t="s">
        <v>190</v>
      </c>
      <c r="AC52" s="4125">
        <v>0</v>
      </c>
      <c r="AD52" s="4154"/>
      <c r="AE52" s="4153">
        <v>0</v>
      </c>
      <c r="AF52" s="4126"/>
      <c r="AG52" s="4112">
        <f t="shared" ref="AG52:AG54" si="8">AC52/100*AA52</f>
        <v>0</v>
      </c>
      <c r="AH52" s="4111"/>
      <c r="AI52" s="4112">
        <f>AA52*AE52/100</f>
        <v>0</v>
      </c>
      <c r="AJ52" s="4111"/>
      <c r="AK52" s="4113">
        <f t="shared" si="7"/>
        <v>0</v>
      </c>
      <c r="AL52" s="4102"/>
      <c r="AM52" s="4151"/>
      <c r="AN52" s="4151"/>
      <c r="AO52" s="4151"/>
      <c r="AP52" s="4151"/>
      <c r="AQ52" s="4151"/>
      <c r="AR52" s="4151"/>
      <c r="AS52" s="4151"/>
      <c r="AT52" s="4111"/>
    </row>
    <row r="53" spans="1:46" ht="15" customHeight="1" x14ac:dyDescent="0.2">
      <c r="A53" s="4150"/>
      <c r="B53" s="4151">
        <v>0</v>
      </c>
      <c r="C53" s="4151">
        <v>0</v>
      </c>
      <c r="D53" s="4151">
        <v>0</v>
      </c>
      <c r="E53" s="4151">
        <v>0</v>
      </c>
      <c r="F53" s="4151">
        <v>0</v>
      </c>
      <c r="G53" s="4151">
        <v>0</v>
      </c>
      <c r="H53" s="4151">
        <v>0</v>
      </c>
      <c r="I53" s="4151">
        <v>0</v>
      </c>
      <c r="J53" s="4156"/>
      <c r="K53" s="4153"/>
      <c r="L53" s="4153"/>
      <c r="M53" s="4151">
        <v>0</v>
      </c>
      <c r="N53" s="4151">
        <v>0</v>
      </c>
      <c r="O53" s="4151">
        <v>0</v>
      </c>
      <c r="P53" s="4151">
        <v>0</v>
      </c>
      <c r="Q53" s="4151">
        <v>0</v>
      </c>
      <c r="R53" s="4151">
        <v>0</v>
      </c>
      <c r="S53" s="4151">
        <v>0</v>
      </c>
      <c r="T53" s="4151">
        <v>0</v>
      </c>
      <c r="U53" s="4151">
        <v>0</v>
      </c>
      <c r="V53" s="4151">
        <v>0</v>
      </c>
      <c r="W53" s="4151">
        <v>0</v>
      </c>
      <c r="X53" s="4151">
        <v>0</v>
      </c>
      <c r="Y53" s="4151">
        <v>0</v>
      </c>
      <c r="Z53" s="4151">
        <v>0</v>
      </c>
      <c r="AA53" s="27">
        <f t="shared" si="0"/>
        <v>0</v>
      </c>
      <c r="AB53" s="4133" t="s">
        <v>191</v>
      </c>
      <c r="AC53" s="4129"/>
      <c r="AD53" s="4154"/>
      <c r="AE53" s="4153">
        <v>0</v>
      </c>
      <c r="AF53" s="4126"/>
      <c r="AG53" s="4112">
        <f t="shared" si="8"/>
        <v>0</v>
      </c>
      <c r="AH53" s="4111"/>
      <c r="AI53" s="4112">
        <f>AA53*AE53/100</f>
        <v>0</v>
      </c>
      <c r="AJ53" s="4111"/>
      <c r="AK53" s="4113">
        <f t="shared" si="7"/>
        <v>0</v>
      </c>
      <c r="AL53" s="4102"/>
      <c r="AM53" s="4151"/>
      <c r="AN53" s="4151"/>
      <c r="AO53" s="4151"/>
      <c r="AP53" s="4151"/>
      <c r="AQ53" s="4151"/>
      <c r="AR53" s="4151"/>
      <c r="AS53" s="4151"/>
      <c r="AT53" s="4111"/>
    </row>
    <row r="54" spans="1:46" ht="15" customHeight="1" x14ac:dyDescent="0.2">
      <c r="A54" s="4150"/>
      <c r="B54" s="4150"/>
      <c r="C54" s="4151"/>
      <c r="D54" s="4151"/>
      <c r="E54" s="4151"/>
      <c r="F54" s="4151"/>
      <c r="G54" s="4151"/>
      <c r="H54" s="4151"/>
      <c r="I54" s="4151"/>
      <c r="J54" s="4151"/>
      <c r="K54" s="4151"/>
      <c r="L54" s="4151"/>
      <c r="M54" s="4150"/>
      <c r="N54" s="4150"/>
      <c r="O54" s="4150"/>
      <c r="P54" s="4150"/>
      <c r="Q54" s="4151"/>
      <c r="R54" s="4150"/>
      <c r="S54" s="4151"/>
      <c r="T54" s="4150"/>
      <c r="U54" s="4153"/>
      <c r="V54" s="4151"/>
      <c r="W54" s="4150"/>
      <c r="X54" s="4150"/>
      <c r="Y54" s="4151"/>
      <c r="Z54" s="4150"/>
      <c r="AA54" s="27">
        <f t="shared" si="0"/>
        <v>0</v>
      </c>
      <c r="AB54" s="4133" t="s">
        <v>192</v>
      </c>
      <c r="AC54" s="4129"/>
      <c r="AD54" s="4154"/>
      <c r="AE54" s="4154">
        <v>100</v>
      </c>
      <c r="AF54" s="4126"/>
      <c r="AG54" s="4112">
        <f t="shared" si="8"/>
        <v>0</v>
      </c>
      <c r="AH54" s="4127"/>
      <c r="AI54" s="4123">
        <v>0</v>
      </c>
      <c r="AJ54" s="4111"/>
      <c r="AK54" s="4113">
        <f t="shared" si="7"/>
        <v>0</v>
      </c>
      <c r="AL54" s="4102"/>
      <c r="AM54" s="4151"/>
      <c r="AN54" s="4151"/>
      <c r="AO54" s="4151"/>
      <c r="AP54" s="4151"/>
      <c r="AQ54" s="4151"/>
      <c r="AR54" s="4151"/>
      <c r="AS54" s="4151"/>
      <c r="AT54" s="4111"/>
    </row>
    <row r="55" spans="1:46" ht="15" customHeight="1" x14ac:dyDescent="0.2">
      <c r="A55" s="4150"/>
      <c r="B55" s="4150"/>
      <c r="C55" s="4150"/>
      <c r="D55" s="4150"/>
      <c r="E55" s="4150"/>
      <c r="F55" s="4150"/>
      <c r="G55" s="4150"/>
      <c r="H55" s="4150"/>
      <c r="I55" s="4150"/>
      <c r="J55" s="4151"/>
      <c r="K55" s="4151"/>
      <c r="L55" s="4151"/>
      <c r="M55" s="4150"/>
      <c r="N55" s="4150"/>
      <c r="O55" s="4150"/>
      <c r="P55" s="4150"/>
      <c r="Q55" s="4150"/>
      <c r="R55" s="4150"/>
      <c r="S55" s="4150"/>
      <c r="T55" s="4150"/>
      <c r="U55" s="4150"/>
      <c r="V55" s="4150"/>
      <c r="W55" s="4150"/>
      <c r="X55" s="4150"/>
      <c r="Y55" s="4151"/>
      <c r="Z55" s="4150"/>
      <c r="AA55" s="27">
        <f t="shared" si="0"/>
        <v>0</v>
      </c>
      <c r="AB55" s="4106" t="s">
        <v>193</v>
      </c>
      <c r="AC55" s="4130"/>
      <c r="AD55" s="4157"/>
      <c r="AE55" s="4157"/>
      <c r="AF55" s="1674"/>
      <c r="AG55" s="4112">
        <f>-AH55</f>
        <v>0</v>
      </c>
      <c r="AH55" s="4126">
        <v>0</v>
      </c>
      <c r="AI55" s="4129"/>
      <c r="AJ55" s="4111"/>
      <c r="AK55" s="4113">
        <f t="shared" si="7"/>
        <v>0</v>
      </c>
      <c r="AL55" s="4102"/>
      <c r="AM55" s="4151"/>
      <c r="AN55" s="4151"/>
      <c r="AO55" s="4151"/>
      <c r="AP55" s="4151"/>
      <c r="AQ55" s="4151">
        <f>AH55</f>
        <v>0</v>
      </c>
      <c r="AR55" s="4151"/>
      <c r="AS55" s="4151"/>
      <c r="AT55" s="4111"/>
    </row>
    <row r="56" spans="1:46" ht="15" customHeight="1" x14ac:dyDescent="0.2">
      <c r="A56" s="4150"/>
      <c r="B56" s="4150"/>
      <c r="C56" s="4150"/>
      <c r="D56" s="4150"/>
      <c r="E56" s="4150"/>
      <c r="F56" s="4150"/>
      <c r="G56" s="4150"/>
      <c r="H56" s="4150"/>
      <c r="I56" s="4150"/>
      <c r="J56" s="4151"/>
      <c r="K56" s="4151"/>
      <c r="L56" s="4151"/>
      <c r="M56" s="4150"/>
      <c r="N56" s="4150"/>
      <c r="O56" s="4150"/>
      <c r="P56" s="4150"/>
      <c r="Q56" s="4150"/>
      <c r="R56" s="4150"/>
      <c r="S56" s="4150"/>
      <c r="T56" s="4150"/>
      <c r="U56" s="4150"/>
      <c r="V56" s="4150"/>
      <c r="W56" s="4150"/>
      <c r="X56" s="4150"/>
      <c r="Y56" s="4150"/>
      <c r="Z56" s="4150"/>
      <c r="AA56" s="27">
        <f t="shared" si="0"/>
        <v>0</v>
      </c>
      <c r="AB56" s="4106" t="s">
        <v>530</v>
      </c>
      <c r="AC56" s="4130"/>
      <c r="AD56" s="4157"/>
      <c r="AE56" s="4157"/>
      <c r="AF56" s="4126"/>
      <c r="AG56" s="4112"/>
      <c r="AH56" s="4126"/>
      <c r="AI56" s="4129">
        <v>0</v>
      </c>
      <c r="AJ56" s="4111"/>
      <c r="AK56" s="4113">
        <f t="shared" si="7"/>
        <v>0</v>
      </c>
      <c r="AL56" s="4102"/>
      <c r="AM56" s="4151"/>
      <c r="AN56" s="4151"/>
      <c r="AO56" s="4151"/>
      <c r="AP56" s="4151"/>
      <c r="AQ56" s="4151">
        <f>-AI56</f>
        <v>0</v>
      </c>
      <c r="AR56" s="4151"/>
      <c r="AS56" s="4151"/>
      <c r="AT56" s="4111"/>
    </row>
    <row r="57" spans="1:46" ht="15" customHeight="1" x14ac:dyDescent="0.2">
      <c r="A57" s="4150"/>
      <c r="B57" s="4150"/>
      <c r="C57" s="4150"/>
      <c r="D57" s="4150"/>
      <c r="E57" s="4150"/>
      <c r="F57" s="4150"/>
      <c r="G57" s="4150"/>
      <c r="H57" s="4150"/>
      <c r="I57" s="4150"/>
      <c r="J57" s="4151"/>
      <c r="K57" s="4151"/>
      <c r="L57" s="4151"/>
      <c r="M57" s="4150"/>
      <c r="N57" s="4150"/>
      <c r="O57" s="4150"/>
      <c r="P57" s="4150"/>
      <c r="Q57" s="4150"/>
      <c r="R57" s="4150"/>
      <c r="S57" s="4150"/>
      <c r="T57" s="4150"/>
      <c r="U57" s="4150"/>
      <c r="V57" s="4150"/>
      <c r="W57" s="4150"/>
      <c r="X57" s="4150"/>
      <c r="Y57" s="4150"/>
      <c r="Z57" s="4150"/>
      <c r="AA57" s="27">
        <f t="shared" si="0"/>
        <v>0</v>
      </c>
      <c r="AB57" s="4133" t="s">
        <v>194</v>
      </c>
      <c r="AC57" s="4130">
        <v>65</v>
      </c>
      <c r="AD57" s="4157"/>
      <c r="AE57" s="4157">
        <v>15</v>
      </c>
      <c r="AF57" s="4126"/>
      <c r="AG57" s="4112">
        <f>-AH57/$D$2%</f>
        <v>0</v>
      </c>
      <c r="AH57" s="4126"/>
      <c r="AI57" s="4129">
        <f>AH57*AE57%</f>
        <v>0</v>
      </c>
      <c r="AJ57" s="4111">
        <f>AI57*AF60%</f>
        <v>0</v>
      </c>
      <c r="AK57" s="4113">
        <f t="shared" si="7"/>
        <v>0</v>
      </c>
      <c r="AL57" s="4102"/>
      <c r="AM57" s="4102"/>
      <c r="AN57" s="4151"/>
      <c r="AO57" s="4151"/>
      <c r="AP57" s="4151"/>
      <c r="AQ57" s="4151"/>
      <c r="AR57" s="4151"/>
      <c r="AS57" s="4151"/>
      <c r="AT57" s="4111"/>
    </row>
    <row r="58" spans="1:46" ht="15" customHeight="1" x14ac:dyDescent="0.2">
      <c r="A58" s="4150"/>
      <c r="B58" s="4150"/>
      <c r="C58" s="4150"/>
      <c r="D58" s="4150"/>
      <c r="E58" s="4150"/>
      <c r="F58" s="4150"/>
      <c r="G58" s="4150"/>
      <c r="H58" s="4150"/>
      <c r="I58" s="4150"/>
      <c r="J58" s="4151"/>
      <c r="K58" s="4151"/>
      <c r="L58" s="4151"/>
      <c r="M58" s="4150"/>
      <c r="N58" s="4150"/>
      <c r="O58" s="4150"/>
      <c r="P58" s="4150"/>
      <c r="Q58" s="4150"/>
      <c r="R58" s="4150"/>
      <c r="S58" s="4150"/>
      <c r="T58" s="4150"/>
      <c r="U58" s="4150"/>
      <c r="V58" s="4150"/>
      <c r="W58" s="4150"/>
      <c r="X58" s="4150"/>
      <c r="Y58" s="4150"/>
      <c r="Z58" s="4150"/>
      <c r="AA58" s="27">
        <f t="shared" si="0"/>
        <v>0</v>
      </c>
      <c r="AB58" s="4133" t="s">
        <v>195</v>
      </c>
      <c r="AC58" s="4130">
        <v>630</v>
      </c>
      <c r="AD58" s="4157"/>
      <c r="AE58" s="4157"/>
      <c r="AF58" s="4126"/>
      <c r="AG58" s="4112">
        <f>-AH58/$D$2%</f>
        <v>0</v>
      </c>
      <c r="AH58" s="4126"/>
      <c r="AI58" s="4129">
        <f t="shared" ref="AI58:AI59" si="9">AH58*AE58%</f>
        <v>0</v>
      </c>
      <c r="AJ58" s="4111">
        <f t="shared" ref="AJ58:AJ59" si="10">AI58*AF61%</f>
        <v>0</v>
      </c>
      <c r="AK58" s="4113">
        <f t="shared" si="7"/>
        <v>0</v>
      </c>
      <c r="AL58" s="4102"/>
      <c r="AM58" s="4102"/>
      <c r="AN58" s="4151"/>
      <c r="AO58" s="4151"/>
      <c r="AP58" s="4151"/>
      <c r="AQ58" s="4151"/>
      <c r="AR58" s="4151"/>
      <c r="AS58" s="4151"/>
      <c r="AT58" s="4111"/>
    </row>
    <row r="59" spans="1:46" ht="15" customHeight="1" x14ac:dyDescent="0.2">
      <c r="A59" s="4150"/>
      <c r="B59" s="4150"/>
      <c r="C59" s="4150"/>
      <c r="D59" s="4150"/>
      <c r="E59" s="4150"/>
      <c r="F59" s="4150"/>
      <c r="G59" s="4150"/>
      <c r="H59" s="4150"/>
      <c r="I59" s="4150"/>
      <c r="J59" s="4151"/>
      <c r="K59" s="4151"/>
      <c r="L59" s="4151"/>
      <c r="M59" s="4150"/>
      <c r="N59" s="4150"/>
      <c r="O59" s="4150"/>
      <c r="P59" s="4150"/>
      <c r="Q59" s="4150"/>
      <c r="R59" s="4150"/>
      <c r="S59" s="4150"/>
      <c r="T59" s="4150"/>
      <c r="U59" s="4150"/>
      <c r="V59" s="4150"/>
      <c r="W59" s="4150"/>
      <c r="X59" s="4150"/>
      <c r="Y59" s="4150"/>
      <c r="Z59" s="4150"/>
      <c r="AA59" s="27">
        <f t="shared" si="0"/>
        <v>0</v>
      </c>
      <c r="AB59" s="4133" t="s">
        <v>196</v>
      </c>
      <c r="AC59" s="4130"/>
      <c r="AD59" s="4157"/>
      <c r="AE59" s="4157"/>
      <c r="AF59" s="4126"/>
      <c r="AG59" s="4112">
        <f>-AH59/$D$2%</f>
        <v>0</v>
      </c>
      <c r="AH59" s="4126"/>
      <c r="AI59" s="4129">
        <f t="shared" si="9"/>
        <v>0</v>
      </c>
      <c r="AJ59" s="4111">
        <f t="shared" si="10"/>
        <v>0</v>
      </c>
      <c r="AK59" s="4113">
        <f t="shared" si="7"/>
        <v>0</v>
      </c>
      <c r="AL59" s="4102"/>
      <c r="AM59" s="4102"/>
      <c r="AN59" s="4151"/>
      <c r="AO59" s="4151"/>
      <c r="AP59" s="4151"/>
      <c r="AQ59" s="4151"/>
      <c r="AR59" s="4151"/>
      <c r="AS59" s="4151"/>
      <c r="AT59" s="4111"/>
    </row>
    <row r="60" spans="1:46" ht="15" customHeight="1" x14ac:dyDescent="0.2">
      <c r="A60" s="4150"/>
      <c r="B60" s="4150"/>
      <c r="C60" s="4150"/>
      <c r="D60" s="4150"/>
      <c r="E60" s="4150"/>
      <c r="F60" s="4150"/>
      <c r="G60" s="4150"/>
      <c r="H60" s="4150"/>
      <c r="I60" s="4150"/>
      <c r="J60" s="4151"/>
      <c r="K60" s="4151"/>
      <c r="L60" s="4151"/>
      <c r="M60" s="4150"/>
      <c r="N60" s="4150"/>
      <c r="O60" s="4150"/>
      <c r="P60" s="4150"/>
      <c r="Q60" s="4150"/>
      <c r="R60" s="4150"/>
      <c r="S60" s="4151"/>
      <c r="T60" s="4150"/>
      <c r="U60" s="4150"/>
      <c r="V60" s="4150"/>
      <c r="W60" s="4150"/>
      <c r="X60" s="4150"/>
      <c r="Y60" s="4150"/>
      <c r="Z60" s="4150"/>
      <c r="AA60" s="27">
        <f t="shared" si="0"/>
        <v>0</v>
      </c>
      <c r="AB60" s="4133" t="s">
        <v>197</v>
      </c>
      <c r="AC60" s="4130"/>
      <c r="AD60" s="4157"/>
      <c r="AE60" s="4157"/>
      <c r="AF60" s="4127">
        <v>75</v>
      </c>
      <c r="AG60" s="4112"/>
      <c r="AH60" s="4111"/>
      <c r="AI60" s="4112">
        <f>-SUM(AI52:AI59)</f>
        <v>0</v>
      </c>
      <c r="AJ60" s="4111">
        <f>-AI60*AF60/100</f>
        <v>0</v>
      </c>
      <c r="AK60" s="4113">
        <f t="shared" ref="AK60:AK61" si="11">SUM(AL60:AT60)</f>
        <v>0</v>
      </c>
      <c r="AL60" s="4103">
        <f>AJ60*64.4%</f>
        <v>0</v>
      </c>
      <c r="AM60" s="4103">
        <f>AJ60*9.8%</f>
        <v>0</v>
      </c>
      <c r="AN60" s="4150">
        <f>AJ60*13.1%</f>
        <v>0</v>
      </c>
      <c r="AO60" s="4150">
        <f>AJ60*6.9%</f>
        <v>0</v>
      </c>
      <c r="AP60" s="4150">
        <f>AJ60*0%</f>
        <v>0</v>
      </c>
      <c r="AQ60" s="4150">
        <f>AJ60*4.3%</f>
        <v>0</v>
      </c>
      <c r="AR60" s="4150">
        <f>AJ60*1.5%</f>
        <v>0</v>
      </c>
      <c r="AS60" s="4153"/>
      <c r="AT60" s="4111"/>
    </row>
    <row r="61" spans="1:46" ht="15" customHeight="1" x14ac:dyDescent="0.2">
      <c r="A61" s="4112"/>
      <c r="B61" s="4150"/>
      <c r="C61" s="4150"/>
      <c r="D61" s="4150"/>
      <c r="E61" s="4150"/>
      <c r="F61" s="4154"/>
      <c r="G61" s="4154"/>
      <c r="H61" s="4153">
        <f>AA61-S61</f>
        <v>18.856740000000002</v>
      </c>
      <c r="I61" s="4154"/>
      <c r="J61" s="4154"/>
      <c r="K61" s="4154"/>
      <c r="L61" s="4154"/>
      <c r="M61" s="4154"/>
      <c r="N61" s="4154"/>
      <c r="O61" s="4154"/>
      <c r="P61" s="4154"/>
      <c r="Q61" s="4154"/>
      <c r="R61" s="4154"/>
      <c r="S61" s="4153">
        <f>AA61*3.1%</f>
        <v>0.60326000000000002</v>
      </c>
      <c r="T61" s="4151"/>
      <c r="U61" s="4151"/>
      <c r="V61" s="4151"/>
      <c r="W61" s="4151"/>
      <c r="X61" s="4151"/>
      <c r="Y61" s="4151"/>
      <c r="Z61" s="4151"/>
      <c r="AA61" s="4153">
        <v>19.46</v>
      </c>
      <c r="AB61" s="4133" t="s">
        <v>198</v>
      </c>
      <c r="AC61" s="4123"/>
      <c r="AD61" s="4151">
        <v>19</v>
      </c>
      <c r="AE61" s="4151"/>
      <c r="AF61" s="4111"/>
      <c r="AG61" s="4112"/>
      <c r="AH61" s="4111"/>
      <c r="AI61" s="4112"/>
      <c r="AJ61" s="4111"/>
      <c r="AK61" s="4113">
        <f t="shared" si="11"/>
        <v>3.6974</v>
      </c>
      <c r="AL61" s="4103"/>
      <c r="AM61" s="4150"/>
      <c r="AN61" s="4150"/>
      <c r="AO61" s="4150"/>
      <c r="AP61" s="4150"/>
      <c r="AQ61" s="4150"/>
      <c r="AR61" s="4150"/>
      <c r="AS61" s="4150"/>
      <c r="AT61" s="4111">
        <f>AA61*AD61/100</f>
        <v>3.6974</v>
      </c>
    </row>
    <row r="62" spans="1:46" ht="15" customHeight="1" x14ac:dyDescent="0.2">
      <c r="A62" s="4112"/>
      <c r="B62" s="4150"/>
      <c r="C62" s="4150"/>
      <c r="D62" s="4150"/>
      <c r="E62" s="4150"/>
      <c r="F62" s="4153">
        <f>AA62-S62</f>
        <v>17.016210000000001</v>
      </c>
      <c r="G62" s="4154"/>
      <c r="H62" s="4154"/>
      <c r="I62" s="4154"/>
      <c r="J62" s="4154"/>
      <c r="K62" s="4154"/>
      <c r="L62" s="4154"/>
      <c r="M62" s="4154"/>
      <c r="N62" s="4154"/>
      <c r="O62" s="4154"/>
      <c r="P62" s="4154"/>
      <c r="Q62" s="4154"/>
      <c r="R62" s="4154"/>
      <c r="S62" s="4153">
        <f>AA62*3.7%</f>
        <v>0.6537900000000002</v>
      </c>
      <c r="T62" s="4151"/>
      <c r="U62" s="4151"/>
      <c r="V62" s="4151"/>
      <c r="W62" s="4151"/>
      <c r="X62" s="4151"/>
      <c r="Y62" s="4151"/>
      <c r="Z62" s="4151"/>
      <c r="AA62" s="4153">
        <v>17.670000000000002</v>
      </c>
      <c r="AB62" s="4133" t="s">
        <v>199</v>
      </c>
      <c r="AC62" s="4123"/>
      <c r="AD62" s="4151">
        <v>24.3</v>
      </c>
      <c r="AE62" s="4151"/>
      <c r="AF62" s="4111"/>
      <c r="AG62" s="4112"/>
      <c r="AH62" s="4111"/>
      <c r="AI62" s="4112"/>
      <c r="AJ62" s="4111"/>
      <c r="AK62" s="4113">
        <f t="shared" ref="AK62:AK80" si="12">SUM(AL62:AT62)</f>
        <v>4.2938100000000006</v>
      </c>
      <c r="AL62" s="4103"/>
      <c r="AM62" s="4150"/>
      <c r="AN62" s="4150"/>
      <c r="AO62" s="4150"/>
      <c r="AP62" s="4150"/>
      <c r="AQ62" s="4150"/>
      <c r="AR62" s="4150"/>
      <c r="AS62" s="4150"/>
      <c r="AT62" s="4111">
        <f>AA62*AD62/100</f>
        <v>4.2938100000000006</v>
      </c>
    </row>
    <row r="63" spans="1:46" ht="15" customHeight="1" x14ac:dyDescent="0.2">
      <c r="A63" s="4112"/>
      <c r="B63" s="4150"/>
      <c r="C63" s="4150"/>
      <c r="D63" s="4150"/>
      <c r="E63" s="4150"/>
      <c r="F63" s="4153"/>
      <c r="G63" s="4154"/>
      <c r="H63" s="4154"/>
      <c r="I63" s="4153">
        <v>0</v>
      </c>
      <c r="J63" s="4154"/>
      <c r="K63" s="4154"/>
      <c r="L63" s="4154"/>
      <c r="M63" s="4154"/>
      <c r="N63" s="4154"/>
      <c r="O63" s="4154"/>
      <c r="P63" s="4154"/>
      <c r="Q63" s="4154"/>
      <c r="R63" s="4154"/>
      <c r="S63" s="4153"/>
      <c r="T63" s="4151"/>
      <c r="U63" s="4151"/>
      <c r="V63" s="4151"/>
      <c r="W63" s="4151"/>
      <c r="X63" s="4151"/>
      <c r="Y63" s="4151"/>
      <c r="Z63" s="4151"/>
      <c r="AA63" s="4159">
        <f t="shared" ref="AA63:AA66" si="13">SUM(A63:Z63)</f>
        <v>0</v>
      </c>
      <c r="AB63" s="4121" t="s">
        <v>524</v>
      </c>
      <c r="AC63" s="4123"/>
      <c r="AD63" s="4151">
        <v>22.6</v>
      </c>
      <c r="AE63" s="4151"/>
      <c r="AF63" s="4111"/>
      <c r="AG63" s="4112"/>
      <c r="AH63" s="4111"/>
      <c r="AI63" s="4112"/>
      <c r="AJ63" s="4111"/>
      <c r="AK63" s="4113">
        <f t="shared" si="12"/>
        <v>0</v>
      </c>
      <c r="AL63" s="4103"/>
      <c r="AM63" s="4150"/>
      <c r="AN63" s="4150"/>
      <c r="AO63" s="4150"/>
      <c r="AP63" s="4150"/>
      <c r="AQ63" s="4150"/>
      <c r="AR63" s="4150"/>
      <c r="AS63" s="4150"/>
      <c r="AT63" s="4111">
        <f>AA63*AD63/100</f>
        <v>0</v>
      </c>
    </row>
    <row r="64" spans="1:46" ht="15" customHeight="1" x14ac:dyDescent="0.2">
      <c r="A64" s="4112"/>
      <c r="B64" s="4150"/>
      <c r="C64" s="4150"/>
      <c r="D64" s="4150"/>
      <c r="E64" s="4150"/>
      <c r="F64" s="4153"/>
      <c r="G64" s="4154"/>
      <c r="H64" s="4154"/>
      <c r="I64" s="4154"/>
      <c r="J64" s="4154"/>
      <c r="K64" s="4154"/>
      <c r="L64" s="4154"/>
      <c r="M64" s="4154"/>
      <c r="N64" s="4154"/>
      <c r="O64" s="4154"/>
      <c r="P64" s="4154"/>
      <c r="Q64" s="4154"/>
      <c r="R64" s="4154"/>
      <c r="S64" s="4153"/>
      <c r="T64" s="4151"/>
      <c r="U64" s="4151"/>
      <c r="V64" s="4151"/>
      <c r="W64" s="4151"/>
      <c r="X64" s="4151"/>
      <c r="Y64" s="4151"/>
      <c r="Z64" s="4151"/>
      <c r="AA64" s="4159">
        <f t="shared" si="13"/>
        <v>0</v>
      </c>
      <c r="AB64" s="4128" t="s">
        <v>525</v>
      </c>
      <c r="AC64" s="4123">
        <v>67.7</v>
      </c>
      <c r="AD64" s="4151"/>
      <c r="AE64" s="4151"/>
      <c r="AF64" s="4111"/>
      <c r="AG64" s="4112">
        <f t="shared" ref="AG64:AG65" si="14">-AH64/$D$2%</f>
        <v>-0.11976047904191617</v>
      </c>
      <c r="AH64" s="4153">
        <v>0.11</v>
      </c>
      <c r="AI64" s="4112"/>
      <c r="AJ64" s="4111"/>
      <c r="AK64" s="4113">
        <f t="shared" ref="AK64" si="15">SUM(AL64:AT64)</f>
        <v>7.4470000000000008E-2</v>
      </c>
      <c r="AL64" s="4103"/>
      <c r="AM64" s="4150"/>
      <c r="AN64" s="4150"/>
      <c r="AO64" s="4150"/>
      <c r="AP64" s="4150"/>
      <c r="AQ64" s="4150"/>
      <c r="AR64" s="4150"/>
      <c r="AS64" s="4150"/>
      <c r="AT64" s="4111">
        <f>AH64*AC64%</f>
        <v>7.4470000000000008E-2</v>
      </c>
    </row>
    <row r="65" spans="1:46" ht="15" customHeight="1" x14ac:dyDescent="0.2">
      <c r="A65" s="4112"/>
      <c r="B65" s="4150"/>
      <c r="C65" s="4150"/>
      <c r="D65" s="4150"/>
      <c r="E65" s="4150"/>
      <c r="F65" s="4153"/>
      <c r="G65" s="4154"/>
      <c r="H65" s="4154">
        <f>AA65-S65</f>
        <v>3.8519999999999999E-2</v>
      </c>
      <c r="I65" s="4154"/>
      <c r="J65" s="4154"/>
      <c r="K65" s="4154"/>
      <c r="L65" s="4154"/>
      <c r="M65" s="4154"/>
      <c r="N65" s="4154"/>
      <c r="O65" s="4154"/>
      <c r="P65" s="4154"/>
      <c r="Q65" s="4154"/>
      <c r="R65" s="4154"/>
      <c r="S65" s="4153">
        <f>AA65*3.7%</f>
        <v>1.4800000000000002E-3</v>
      </c>
      <c r="T65" s="4151"/>
      <c r="U65" s="4151"/>
      <c r="V65" s="4151"/>
      <c r="W65" s="4151"/>
      <c r="X65" s="4151"/>
      <c r="Y65" s="4151"/>
      <c r="Z65" s="4151"/>
      <c r="AA65" s="4153">
        <v>0.04</v>
      </c>
      <c r="AB65" s="4133" t="s">
        <v>520</v>
      </c>
      <c r="AC65" s="4123">
        <f>AC64</f>
        <v>67.7</v>
      </c>
      <c r="AD65" s="4151">
        <v>19</v>
      </c>
      <c r="AE65" s="4151"/>
      <c r="AF65" s="4111"/>
      <c r="AG65" s="4112">
        <f t="shared" si="14"/>
        <v>-1.2222098035699782E-2</v>
      </c>
      <c r="AH65" s="4153">
        <f>AA65*AD65%/AC65%</f>
        <v>1.122599704579025E-2</v>
      </c>
      <c r="AI65" s="4112"/>
      <c r="AJ65" s="4111"/>
      <c r="AK65" s="4113">
        <f t="shared" si="12"/>
        <v>1.52E-2</v>
      </c>
      <c r="AL65" s="4103"/>
      <c r="AM65" s="4150"/>
      <c r="AN65" s="4150"/>
      <c r="AO65" s="4150"/>
      <c r="AP65" s="4150"/>
      <c r="AQ65" s="4150"/>
      <c r="AR65" s="4150"/>
      <c r="AS65" s="4150"/>
      <c r="AT65" s="4111">
        <f>AH65*AC65%+AA65*AD65%</f>
        <v>1.52E-2</v>
      </c>
    </row>
    <row r="66" spans="1:46" ht="15" customHeight="1" x14ac:dyDescent="0.2">
      <c r="A66" s="4112"/>
      <c r="B66" s="4150"/>
      <c r="C66" s="4150"/>
      <c r="D66" s="4150"/>
      <c r="E66" s="4150"/>
      <c r="F66" s="4153"/>
      <c r="G66" s="4154"/>
      <c r="H66" s="4154"/>
      <c r="I66" s="4154"/>
      <c r="J66" s="4154"/>
      <c r="K66" s="4154"/>
      <c r="L66" s="4154"/>
      <c r="M66" s="4154"/>
      <c r="N66" s="4154"/>
      <c r="O66" s="4154"/>
      <c r="P66" s="4154"/>
      <c r="Q66" s="4154"/>
      <c r="R66" s="4154"/>
      <c r="S66" s="4153"/>
      <c r="T66" s="4151"/>
      <c r="U66" s="4151"/>
      <c r="V66" s="4151"/>
      <c r="W66" s="4151"/>
      <c r="X66" s="4151"/>
      <c r="Y66" s="4151"/>
      <c r="Z66" s="4151"/>
      <c r="AA66" s="4159">
        <f t="shared" si="13"/>
        <v>0</v>
      </c>
      <c r="AB66" s="4121" t="s">
        <v>519</v>
      </c>
      <c r="AC66" s="4123"/>
      <c r="AD66" s="4151">
        <v>36.4</v>
      </c>
      <c r="AE66" s="4151"/>
      <c r="AF66" s="4111"/>
      <c r="AG66" s="4112"/>
      <c r="AH66" s="4111"/>
      <c r="AI66" s="4112"/>
      <c r="AJ66" s="4111"/>
      <c r="AK66" s="4113">
        <f t="shared" si="12"/>
        <v>0</v>
      </c>
      <c r="AL66" s="4103"/>
      <c r="AM66" s="4150"/>
      <c r="AN66" s="4150"/>
      <c r="AO66" s="4150"/>
      <c r="AP66" s="4150"/>
      <c r="AQ66" s="4150"/>
      <c r="AR66" s="4150"/>
      <c r="AS66" s="4150"/>
      <c r="AT66" s="4111">
        <f>AA66*AD66%</f>
        <v>0</v>
      </c>
    </row>
    <row r="67" spans="1:46" ht="15" customHeight="1" x14ac:dyDescent="0.2">
      <c r="A67" s="4112"/>
      <c r="B67" s="4150"/>
      <c r="C67" s="4150"/>
      <c r="D67" s="4150"/>
      <c r="E67" s="4150"/>
      <c r="F67" s="4153">
        <f>AA67-S67</f>
        <v>1.9837800000000001</v>
      </c>
      <c r="G67" s="4154"/>
      <c r="H67" s="4154"/>
      <c r="I67" s="4154"/>
      <c r="J67" s="4154"/>
      <c r="K67" s="4154"/>
      <c r="L67" s="4154"/>
      <c r="M67" s="4154"/>
      <c r="N67" s="4154"/>
      <c r="O67" s="4154"/>
      <c r="P67" s="4154"/>
      <c r="Q67" s="4154"/>
      <c r="R67" s="4154"/>
      <c r="S67" s="4153">
        <f>AA67*3.7%</f>
        <v>7.622000000000001E-2</v>
      </c>
      <c r="T67" s="4151"/>
      <c r="U67" s="4151"/>
      <c r="V67" s="4151"/>
      <c r="W67" s="4151"/>
      <c r="X67" s="4151"/>
      <c r="Y67" s="4151"/>
      <c r="Z67" s="4151"/>
      <c r="AA67" s="4153">
        <v>2.06</v>
      </c>
      <c r="AB67" s="4107" t="s">
        <v>200</v>
      </c>
      <c r="AC67" s="4123"/>
      <c r="AD67" s="4151">
        <v>29.6</v>
      </c>
      <c r="AE67" s="4151"/>
      <c r="AF67" s="4111"/>
      <c r="AG67" s="4112">
        <f>-AH67/$D$2%</f>
        <v>0</v>
      </c>
      <c r="AH67" s="4111"/>
      <c r="AI67" s="4112"/>
      <c r="AJ67" s="4111"/>
      <c r="AK67" s="4113">
        <f t="shared" si="12"/>
        <v>0.60976000000000008</v>
      </c>
      <c r="AL67" s="4103"/>
      <c r="AM67" s="4150"/>
      <c r="AN67" s="4150"/>
      <c r="AO67" s="4150"/>
      <c r="AP67" s="4150"/>
      <c r="AQ67" s="4150"/>
      <c r="AR67" s="4150"/>
      <c r="AS67" s="4150"/>
      <c r="AT67" s="4111">
        <f>AA67*AD67%</f>
        <v>0.60976000000000008</v>
      </c>
    </row>
    <row r="68" spans="1:46" ht="15" customHeight="1" x14ac:dyDescent="0.2">
      <c r="A68" s="4112"/>
      <c r="B68" s="4150"/>
      <c r="C68" s="4150"/>
      <c r="D68" s="4150"/>
      <c r="E68" s="4150"/>
      <c r="F68" s="4153"/>
      <c r="G68" s="4154"/>
      <c r="H68" s="4154"/>
      <c r="I68" s="4153">
        <v>0</v>
      </c>
      <c r="J68" s="4154"/>
      <c r="K68" s="4154"/>
      <c r="L68" s="4154"/>
      <c r="M68" s="4154"/>
      <c r="N68" s="4154"/>
      <c r="O68" s="4154"/>
      <c r="P68" s="4154"/>
      <c r="Q68" s="4154"/>
      <c r="R68" s="4154"/>
      <c r="S68" s="4153"/>
      <c r="T68" s="4151"/>
      <c r="U68" s="4151"/>
      <c r="V68" s="4151"/>
      <c r="W68" s="4151"/>
      <c r="X68" s="4151"/>
      <c r="Y68" s="4151"/>
      <c r="Z68" s="4151"/>
      <c r="AA68" s="300">
        <f t="shared" ref="AA68:AA70" si="16">SUM(A68:Z68)</f>
        <v>0</v>
      </c>
      <c r="AB68" s="4108" t="s">
        <v>515</v>
      </c>
      <c r="AC68" s="4123"/>
      <c r="AD68" s="4151">
        <v>26.1</v>
      </c>
      <c r="AE68" s="4151"/>
      <c r="AF68" s="4111"/>
      <c r="AG68" s="4112"/>
      <c r="AH68" s="4111"/>
      <c r="AI68" s="4112"/>
      <c r="AJ68" s="4111"/>
      <c r="AK68" s="4113">
        <f t="shared" si="12"/>
        <v>0</v>
      </c>
      <c r="AL68" s="4103"/>
      <c r="AM68" s="4150"/>
      <c r="AN68" s="4150"/>
      <c r="AO68" s="4150"/>
      <c r="AP68" s="4150"/>
      <c r="AQ68" s="4150"/>
      <c r="AR68" s="4150"/>
      <c r="AS68" s="4150"/>
      <c r="AT68" s="4111">
        <f>AA68*AD68%</f>
        <v>0</v>
      </c>
    </row>
    <row r="69" spans="1:46" ht="15" customHeight="1" x14ac:dyDescent="0.2">
      <c r="A69" s="4112"/>
      <c r="B69" s="4150"/>
      <c r="C69" s="4150"/>
      <c r="D69" s="4150"/>
      <c r="E69" s="4150"/>
      <c r="F69" s="4153"/>
      <c r="G69" s="4154"/>
      <c r="H69" s="4154"/>
      <c r="I69" s="4154"/>
      <c r="J69" s="4154"/>
      <c r="K69" s="4154"/>
      <c r="L69" s="4154"/>
      <c r="M69" s="4154"/>
      <c r="N69" s="4154"/>
      <c r="O69" s="4154"/>
      <c r="P69" s="4154"/>
      <c r="Q69" s="4154"/>
      <c r="R69" s="4154"/>
      <c r="S69" s="4153"/>
      <c r="T69" s="4151"/>
      <c r="U69" s="4151"/>
      <c r="V69" s="4151"/>
      <c r="W69" s="4151"/>
      <c r="X69" s="4151"/>
      <c r="Y69" s="4151"/>
      <c r="Z69" s="4151"/>
      <c r="AA69" s="300">
        <f t="shared" si="16"/>
        <v>0</v>
      </c>
      <c r="AB69" s="4108" t="s">
        <v>516</v>
      </c>
      <c r="AC69" s="4123"/>
      <c r="AD69" s="4151">
        <v>36.4</v>
      </c>
      <c r="AE69" s="4151"/>
      <c r="AF69" s="4111"/>
      <c r="AG69" s="4112"/>
      <c r="AH69" s="4111"/>
      <c r="AI69" s="4112"/>
      <c r="AJ69" s="4111"/>
      <c r="AK69" s="4113">
        <f t="shared" si="12"/>
        <v>0</v>
      </c>
      <c r="AL69" s="4103"/>
      <c r="AM69" s="4150"/>
      <c r="AN69" s="4150"/>
      <c r="AO69" s="4150"/>
      <c r="AP69" s="4150"/>
      <c r="AQ69" s="4150"/>
      <c r="AR69" s="4150"/>
      <c r="AS69" s="4150"/>
      <c r="AT69" s="4111">
        <f t="shared" ref="AT69" si="17">AA69*AD69%</f>
        <v>0</v>
      </c>
    </row>
    <row r="70" spans="1:46" ht="15" customHeight="1" x14ac:dyDescent="0.2">
      <c r="A70" s="4112"/>
      <c r="B70" s="4150"/>
      <c r="C70" s="4150"/>
      <c r="D70" s="4150"/>
      <c r="E70" s="4150"/>
      <c r="F70" s="4153"/>
      <c r="G70" s="4154"/>
      <c r="H70" s="4154"/>
      <c r="I70" s="4154"/>
      <c r="J70" s="4154"/>
      <c r="K70" s="4154"/>
      <c r="L70" s="4154"/>
      <c r="M70" s="4154"/>
      <c r="N70" s="4154"/>
      <c r="O70" s="4154"/>
      <c r="P70" s="4154"/>
      <c r="Q70" s="4154"/>
      <c r="R70" s="4154"/>
      <c r="S70" s="4153"/>
      <c r="T70" s="4151"/>
      <c r="U70" s="4151"/>
      <c r="V70" s="4151"/>
      <c r="W70" s="4151"/>
      <c r="X70" s="4151"/>
      <c r="Y70" s="4151"/>
      <c r="Z70" s="4151"/>
      <c r="AA70" s="300">
        <f t="shared" si="16"/>
        <v>0</v>
      </c>
      <c r="AB70" s="4107" t="s">
        <v>526</v>
      </c>
      <c r="AC70" s="4123">
        <v>67.7</v>
      </c>
      <c r="AD70" s="4151"/>
      <c r="AE70" s="4151"/>
      <c r="AF70" s="4111"/>
      <c r="AG70" s="4112">
        <f t="shared" ref="AG70" si="18">-AH70/$D$2%</f>
        <v>0</v>
      </c>
      <c r="AH70" s="4153"/>
      <c r="AI70" s="4112"/>
      <c r="AJ70" s="4111"/>
      <c r="AK70" s="4113">
        <f t="shared" ref="AK70:AK79" si="19">SUM(AL70:AT70)</f>
        <v>0</v>
      </c>
      <c r="AL70" s="4103"/>
      <c r="AM70" s="4150"/>
      <c r="AN70" s="4150"/>
      <c r="AO70" s="4150"/>
      <c r="AP70" s="4150"/>
      <c r="AQ70" s="4150"/>
      <c r="AR70" s="4150"/>
      <c r="AS70" s="4150"/>
      <c r="AT70" s="4111">
        <f>AH70*AC70%</f>
        <v>0</v>
      </c>
    </row>
    <row r="71" spans="1:46" ht="15" customHeight="1" x14ac:dyDescent="0.2">
      <c r="A71" s="4112"/>
      <c r="B71" s="4150"/>
      <c r="C71" s="4150"/>
      <c r="D71" s="4150"/>
      <c r="E71" s="4150"/>
      <c r="F71" s="4153">
        <f>AA71-S71</f>
        <v>32.847929999999998</v>
      </c>
      <c r="G71" s="4154"/>
      <c r="H71" s="4154"/>
      <c r="I71" s="4154"/>
      <c r="J71" s="4154"/>
      <c r="K71" s="4154"/>
      <c r="L71" s="4154"/>
      <c r="M71" s="4154"/>
      <c r="N71" s="4154"/>
      <c r="O71" s="4154"/>
      <c r="P71" s="4154"/>
      <c r="Q71" s="4154"/>
      <c r="R71" s="4154"/>
      <c r="S71" s="4153">
        <f>AA71*3.7%</f>
        <v>1.2620700000000002</v>
      </c>
      <c r="T71" s="4151"/>
      <c r="U71" s="4151"/>
      <c r="V71" s="4151"/>
      <c r="W71" s="4151"/>
      <c r="X71" s="4151"/>
      <c r="Y71" s="4151"/>
      <c r="Z71" s="4151"/>
      <c r="AA71" s="300">
        <v>34.11</v>
      </c>
      <c r="AB71" s="4107" t="s">
        <v>201</v>
      </c>
      <c r="AC71" s="4123"/>
      <c r="AD71" s="4151">
        <v>36.5</v>
      </c>
      <c r="AE71" s="4151"/>
      <c r="AF71" s="4111"/>
      <c r="AG71" s="4112"/>
      <c r="AH71" s="4122"/>
      <c r="AI71" s="4112"/>
      <c r="AJ71" s="4111"/>
      <c r="AK71" s="4113">
        <f t="shared" si="19"/>
        <v>12.450149999999999</v>
      </c>
      <c r="AL71" s="4103"/>
      <c r="AM71" s="4150"/>
      <c r="AN71" s="4150"/>
      <c r="AO71" s="4150"/>
      <c r="AP71" s="4150"/>
      <c r="AQ71" s="4150"/>
      <c r="AR71" s="4150"/>
      <c r="AS71" s="4150"/>
      <c r="AT71" s="4111">
        <f>AA71*AD71%</f>
        <v>12.450149999999999</v>
      </c>
    </row>
    <row r="72" spans="1:46" ht="15" customHeight="1" x14ac:dyDescent="0.2">
      <c r="A72" s="4112"/>
      <c r="B72" s="4150"/>
      <c r="C72" s="4150"/>
      <c r="D72" s="4150"/>
      <c r="E72" s="4150"/>
      <c r="F72" s="4153"/>
      <c r="G72" s="4154"/>
      <c r="H72" s="4154"/>
      <c r="I72" s="4154">
        <v>0</v>
      </c>
      <c r="J72" s="4154"/>
      <c r="K72" s="4154"/>
      <c r="L72" s="4154"/>
      <c r="M72" s="4154"/>
      <c r="N72" s="4154"/>
      <c r="O72" s="4154"/>
      <c r="P72" s="4154"/>
      <c r="Q72" s="4154"/>
      <c r="R72" s="4154"/>
      <c r="S72" s="4153"/>
      <c r="T72" s="4151"/>
      <c r="U72" s="4151"/>
      <c r="V72" s="4151"/>
      <c r="W72" s="4151"/>
      <c r="X72" s="4151"/>
      <c r="Y72" s="4151"/>
      <c r="Z72" s="4151"/>
      <c r="AA72" s="300">
        <f t="shared" ref="AA72:AA74" si="20">SUM(A72:Z72)</f>
        <v>0</v>
      </c>
      <c r="AB72" s="4108" t="s">
        <v>517</v>
      </c>
      <c r="AC72" s="4123"/>
      <c r="AD72" s="4151">
        <v>32.200000000000003</v>
      </c>
      <c r="AE72" s="4151"/>
      <c r="AF72" s="4111"/>
      <c r="AG72" s="4112"/>
      <c r="AH72" s="4122"/>
      <c r="AI72" s="4112"/>
      <c r="AJ72" s="4111"/>
      <c r="AK72" s="4113">
        <f t="shared" si="19"/>
        <v>0</v>
      </c>
      <c r="AL72" s="4103"/>
      <c r="AM72" s="4150"/>
      <c r="AN72" s="4150"/>
      <c r="AO72" s="4150"/>
      <c r="AP72" s="4150"/>
      <c r="AQ72" s="4150"/>
      <c r="AR72" s="4150"/>
      <c r="AS72" s="4150"/>
      <c r="AT72" s="4111">
        <f>AA72*AD72%</f>
        <v>0</v>
      </c>
    </row>
    <row r="73" spans="1:46" ht="15" customHeight="1" x14ac:dyDescent="0.2">
      <c r="A73" s="4112"/>
      <c r="B73" s="4150"/>
      <c r="C73" s="4150"/>
      <c r="D73" s="4150"/>
      <c r="E73" s="4150"/>
      <c r="F73" s="4153"/>
      <c r="G73" s="4154"/>
      <c r="H73" s="4154"/>
      <c r="I73" s="4154"/>
      <c r="J73" s="4154"/>
      <c r="K73" s="4154"/>
      <c r="L73" s="4154"/>
      <c r="M73" s="4154"/>
      <c r="N73" s="4154"/>
      <c r="O73" s="4154"/>
      <c r="P73" s="4154"/>
      <c r="Q73" s="4154"/>
      <c r="R73" s="4154"/>
      <c r="S73" s="4153"/>
      <c r="T73" s="4151"/>
      <c r="U73" s="4150"/>
      <c r="V73" s="4150"/>
      <c r="W73" s="4150"/>
      <c r="X73" s="4150"/>
      <c r="Y73" s="4150"/>
      <c r="Z73" s="4150"/>
      <c r="AA73" s="27">
        <f t="shared" si="20"/>
        <v>0</v>
      </c>
      <c r="AB73" s="4108" t="s">
        <v>518</v>
      </c>
      <c r="AC73" s="4123"/>
      <c r="AD73" s="4151">
        <v>36.4</v>
      </c>
      <c r="AE73" s="4151"/>
      <c r="AF73" s="4111"/>
      <c r="AG73" s="4112"/>
      <c r="AH73" s="4122"/>
      <c r="AI73" s="4112"/>
      <c r="AJ73" s="4111"/>
      <c r="AK73" s="4113">
        <f t="shared" si="19"/>
        <v>0</v>
      </c>
      <c r="AL73" s="4103"/>
      <c r="AM73" s="4150"/>
      <c r="AN73" s="4150"/>
      <c r="AO73" s="4150"/>
      <c r="AP73" s="4150"/>
      <c r="AQ73" s="4150"/>
      <c r="AR73" s="4150"/>
      <c r="AS73" s="4150"/>
      <c r="AT73" s="4111">
        <f t="shared" ref="AT73" si="21">AA73*AD73%</f>
        <v>0</v>
      </c>
    </row>
    <row r="74" spans="1:46" ht="15" customHeight="1" x14ac:dyDescent="0.2">
      <c r="A74" s="4112"/>
      <c r="B74" s="4150"/>
      <c r="C74" s="4150"/>
      <c r="D74" s="4150"/>
      <c r="E74" s="4150"/>
      <c r="F74" s="4153"/>
      <c r="G74" s="4154"/>
      <c r="H74" s="4154"/>
      <c r="I74" s="4154"/>
      <c r="J74" s="4154"/>
      <c r="K74" s="4154"/>
      <c r="L74" s="4154"/>
      <c r="M74" s="4154"/>
      <c r="N74" s="4154"/>
      <c r="O74" s="4154"/>
      <c r="P74" s="4154"/>
      <c r="Q74" s="4154"/>
      <c r="R74" s="4154"/>
      <c r="S74" s="4153"/>
      <c r="T74" s="4151"/>
      <c r="U74" s="4150"/>
      <c r="V74" s="4150"/>
      <c r="W74" s="4150"/>
      <c r="X74" s="4150"/>
      <c r="Y74" s="4150"/>
      <c r="Z74" s="4150"/>
      <c r="AA74" s="27">
        <f t="shared" si="20"/>
        <v>0</v>
      </c>
      <c r="AB74" s="4107" t="s">
        <v>527</v>
      </c>
      <c r="AC74" s="4123">
        <f>AC70</f>
        <v>67.7</v>
      </c>
      <c r="AD74" s="4151"/>
      <c r="AE74" s="4151"/>
      <c r="AF74" s="4111"/>
      <c r="AG74" s="4112">
        <f t="shared" ref="AG74" si="22">-AH74/$D$2%</f>
        <v>0</v>
      </c>
      <c r="AH74" s="4153"/>
      <c r="AI74" s="4112"/>
      <c r="AJ74" s="4111"/>
      <c r="AK74" s="4113">
        <f t="shared" si="19"/>
        <v>0</v>
      </c>
      <c r="AL74" s="4103"/>
      <c r="AM74" s="4150"/>
      <c r="AN74" s="4150"/>
      <c r="AO74" s="4150"/>
      <c r="AP74" s="4150"/>
      <c r="AQ74" s="4150"/>
      <c r="AR74" s="4150"/>
      <c r="AS74" s="4150"/>
      <c r="AT74" s="4111">
        <f>AH74*AC74%</f>
        <v>0</v>
      </c>
    </row>
    <row r="75" spans="1:46" ht="15" customHeight="1" x14ac:dyDescent="0.2">
      <c r="A75" s="4112"/>
      <c r="B75" s="4150"/>
      <c r="C75" s="4150"/>
      <c r="D75" s="4150"/>
      <c r="E75" s="4150"/>
      <c r="F75" s="4153">
        <v>7.43</v>
      </c>
      <c r="G75" s="4154"/>
      <c r="H75" s="4154"/>
      <c r="I75" s="4154"/>
      <c r="J75" s="4154"/>
      <c r="K75" s="4154"/>
      <c r="L75" s="4154"/>
      <c r="M75" s="4154"/>
      <c r="N75" s="4154"/>
      <c r="O75" s="4154"/>
      <c r="P75" s="4154"/>
      <c r="Q75" s="4154"/>
      <c r="R75" s="4154"/>
      <c r="S75" s="4153"/>
      <c r="T75" s="4150"/>
      <c r="U75" s="4150"/>
      <c r="V75" s="4150"/>
      <c r="W75" s="4150"/>
      <c r="X75" s="4150"/>
      <c r="Y75" s="4150"/>
      <c r="Z75" s="4150"/>
      <c r="AA75" s="27">
        <f t="shared" si="0"/>
        <v>7.43</v>
      </c>
      <c r="AB75" s="4107" t="s">
        <v>202</v>
      </c>
      <c r="AC75" s="4123"/>
      <c r="AD75" s="4151">
        <v>36.5</v>
      </c>
      <c r="AE75" s="4151"/>
      <c r="AF75" s="4111"/>
      <c r="AG75" s="4112"/>
      <c r="AH75" s="4111"/>
      <c r="AI75" s="4112"/>
      <c r="AJ75" s="4111"/>
      <c r="AK75" s="4113">
        <f t="shared" si="19"/>
        <v>2.7119499999999999</v>
      </c>
      <c r="AL75" s="4103"/>
      <c r="AM75" s="4150"/>
      <c r="AN75" s="4150"/>
      <c r="AO75" s="4150"/>
      <c r="AP75" s="4150"/>
      <c r="AQ75" s="4150"/>
      <c r="AR75" s="4150"/>
      <c r="AS75" s="4150">
        <f>AA75*AD75%</f>
        <v>2.7119499999999999</v>
      </c>
      <c r="AT75" s="4111"/>
    </row>
    <row r="76" spans="1:46" ht="15" customHeight="1" x14ac:dyDescent="0.2">
      <c r="A76" s="4112"/>
      <c r="B76" s="4150"/>
      <c r="C76" s="4150"/>
      <c r="D76" s="4150"/>
      <c r="E76" s="4150"/>
      <c r="F76" s="4153">
        <f>AA76-S76</f>
        <v>0</v>
      </c>
      <c r="G76" s="4154"/>
      <c r="H76" s="4154"/>
      <c r="I76" s="4154"/>
      <c r="J76" s="4154"/>
      <c r="K76" s="4154"/>
      <c r="L76" s="4154"/>
      <c r="M76" s="4154"/>
      <c r="N76" s="4154"/>
      <c r="O76" s="4154"/>
      <c r="P76" s="4154"/>
      <c r="Q76" s="4154"/>
      <c r="R76" s="4154"/>
      <c r="S76" s="4153">
        <f>AA76*3.7%</f>
        <v>0</v>
      </c>
      <c r="T76" s="4150"/>
      <c r="U76" s="4150"/>
      <c r="V76" s="4150"/>
      <c r="W76" s="4150"/>
      <c r="X76" s="4150"/>
      <c r="Y76" s="4150"/>
      <c r="Z76" s="4150"/>
      <c r="AA76" s="4122">
        <v>0</v>
      </c>
      <c r="AB76" s="4107" t="s">
        <v>587</v>
      </c>
      <c r="AC76" s="4123"/>
      <c r="AD76" s="4151">
        <v>10.4</v>
      </c>
      <c r="AE76" s="4151"/>
      <c r="AF76" s="4111"/>
      <c r="AG76" s="4112"/>
      <c r="AH76" s="4111"/>
      <c r="AI76" s="4112"/>
      <c r="AJ76" s="4111"/>
      <c r="AK76" s="4113">
        <f t="shared" si="19"/>
        <v>0</v>
      </c>
      <c r="AL76" s="4103"/>
      <c r="AM76" s="4150"/>
      <c r="AN76" s="4150"/>
      <c r="AO76" s="4150"/>
      <c r="AP76" s="4150"/>
      <c r="AQ76" s="4150"/>
      <c r="AR76" s="4150"/>
      <c r="AS76" s="4150"/>
      <c r="AT76" s="4111">
        <f>AA76*AD76%</f>
        <v>0</v>
      </c>
    </row>
    <row r="77" spans="1:46" ht="15" customHeight="1" x14ac:dyDescent="0.2">
      <c r="A77" s="4112"/>
      <c r="B77" s="4150"/>
      <c r="C77" s="4150"/>
      <c r="D77" s="4150"/>
      <c r="E77" s="4150"/>
      <c r="F77" s="4153">
        <f>AA77-S77</f>
        <v>0.91484999999999994</v>
      </c>
      <c r="G77" s="4154"/>
      <c r="H77" s="4154"/>
      <c r="I77" s="4154"/>
      <c r="J77" s="4154"/>
      <c r="K77" s="4154"/>
      <c r="L77" s="4154"/>
      <c r="M77" s="4154"/>
      <c r="N77" s="4154"/>
      <c r="O77" s="4154"/>
      <c r="P77" s="4154"/>
      <c r="Q77" s="4154"/>
      <c r="R77" s="4154"/>
      <c r="S77" s="4153">
        <f>AA77*3.7%</f>
        <v>3.5150000000000001E-2</v>
      </c>
      <c r="T77" s="4150"/>
      <c r="U77" s="4150"/>
      <c r="V77" s="4150"/>
      <c r="W77" s="4150"/>
      <c r="X77" s="4150"/>
      <c r="Y77" s="4150"/>
      <c r="Z77" s="4150"/>
      <c r="AA77" s="4122">
        <v>0.95</v>
      </c>
      <c r="AB77" s="4107" t="s">
        <v>588</v>
      </c>
      <c r="AC77" s="4123"/>
      <c r="AD77" s="4151">
        <v>21.7</v>
      </c>
      <c r="AE77" s="4151"/>
      <c r="AF77" s="4111"/>
      <c r="AG77" s="4112"/>
      <c r="AH77" s="4111"/>
      <c r="AI77" s="4112"/>
      <c r="AJ77" s="4111"/>
      <c r="AK77" s="4113">
        <f t="shared" si="19"/>
        <v>0.20615</v>
      </c>
      <c r="AL77" s="4103"/>
      <c r="AM77" s="4150"/>
      <c r="AN77" s="4150"/>
      <c r="AO77" s="4150"/>
      <c r="AP77" s="4150"/>
      <c r="AQ77" s="4150"/>
      <c r="AR77" s="4150"/>
      <c r="AS77" s="4150"/>
      <c r="AT77" s="4111">
        <f>AA77*AD77%</f>
        <v>0.20615</v>
      </c>
    </row>
    <row r="78" spans="1:46" ht="15" customHeight="1" x14ac:dyDescent="0.2">
      <c r="A78" s="4160"/>
      <c r="B78" s="4205"/>
      <c r="C78" s="4205"/>
      <c r="D78" s="4206"/>
      <c r="E78" s="4206"/>
      <c r="F78" s="4161"/>
      <c r="G78" s="4206"/>
      <c r="H78" s="4206"/>
      <c r="I78" s="4206"/>
      <c r="J78" s="4206"/>
      <c r="K78" s="4206"/>
      <c r="L78" s="4206"/>
      <c r="M78" s="4206"/>
      <c r="N78" s="4205"/>
      <c r="O78" s="4205"/>
      <c r="P78" s="4205"/>
      <c r="Q78" s="4205"/>
      <c r="R78" s="4205"/>
      <c r="S78" s="4205"/>
      <c r="T78" s="4205"/>
      <c r="U78" s="4205"/>
      <c r="V78" s="4205"/>
      <c r="W78" s="4205"/>
      <c r="X78" s="4205"/>
      <c r="Y78" s="4205"/>
      <c r="Z78" s="4205"/>
      <c r="AA78" s="4111">
        <f>SUM(A78:Z78)</f>
        <v>0</v>
      </c>
      <c r="AB78" s="4107" t="s">
        <v>589</v>
      </c>
      <c r="AC78" s="4163">
        <v>52.2</v>
      </c>
      <c r="AD78" s="4151"/>
      <c r="AE78" s="4206"/>
      <c r="AF78" s="4207"/>
      <c r="AG78" s="4112">
        <f t="shared" ref="AG78" si="23">-AH78/$D$2%</f>
        <v>0</v>
      </c>
      <c r="AH78" s="4208">
        <v>0</v>
      </c>
      <c r="AI78" s="4160"/>
      <c r="AJ78" s="4207"/>
      <c r="AK78" s="4113">
        <f t="shared" si="19"/>
        <v>0</v>
      </c>
      <c r="AL78" s="4162"/>
      <c r="AM78" s="4205"/>
      <c r="AN78" s="4205"/>
      <c r="AO78" s="4205"/>
      <c r="AP78" s="4205"/>
      <c r="AQ78" s="4205"/>
      <c r="AR78" s="4205"/>
      <c r="AS78" s="4205"/>
      <c r="AT78" s="4111">
        <f>AC78*AH78%</f>
        <v>0</v>
      </c>
    </row>
    <row r="79" spans="1:46" ht="15" customHeight="1" x14ac:dyDescent="0.2">
      <c r="A79" s="4160"/>
      <c r="B79" s="4205"/>
      <c r="C79" s="4205"/>
      <c r="D79" s="4206"/>
      <c r="E79" s="4206"/>
      <c r="F79" s="4206"/>
      <c r="G79" s="4161">
        <v>13.98</v>
      </c>
      <c r="H79" s="4153">
        <v>1.4999999999999999E-2</v>
      </c>
      <c r="I79" s="4206"/>
      <c r="J79" s="4206"/>
      <c r="K79" s="4206"/>
      <c r="L79" s="4206"/>
      <c r="M79" s="4206"/>
      <c r="N79" s="4205"/>
      <c r="O79" s="4205"/>
      <c r="P79" s="4205"/>
      <c r="Q79" s="4205"/>
      <c r="R79" s="4205"/>
      <c r="S79" s="4205"/>
      <c r="T79" s="4205"/>
      <c r="U79" s="4205"/>
      <c r="V79" s="4205"/>
      <c r="W79" s="4205"/>
      <c r="X79" s="4205"/>
      <c r="Y79" s="4205"/>
      <c r="Z79" s="4205"/>
      <c r="AA79" s="4111">
        <f>SUM(A79:Z79)</f>
        <v>13.995000000000001</v>
      </c>
      <c r="AB79" s="4107" t="s">
        <v>9</v>
      </c>
      <c r="AC79" s="4163"/>
      <c r="AD79" s="4151">
        <v>13.5</v>
      </c>
      <c r="AE79" s="4206"/>
      <c r="AF79" s="4207"/>
      <c r="AG79" s="4160"/>
      <c r="AH79" s="4207"/>
      <c r="AI79" s="4160"/>
      <c r="AJ79" s="4207"/>
      <c r="AK79" s="4113">
        <f t="shared" si="19"/>
        <v>1.8893250000000004</v>
      </c>
      <c r="AL79" s="4162"/>
      <c r="AM79" s="4205"/>
      <c r="AN79" s="4205"/>
      <c r="AO79" s="4205"/>
      <c r="AP79" s="4205"/>
      <c r="AQ79" s="4205"/>
      <c r="AR79" s="4205"/>
      <c r="AS79" s="4205"/>
      <c r="AT79" s="4111">
        <f>AD79*AA79%</f>
        <v>1.8893250000000004</v>
      </c>
    </row>
    <row r="80" spans="1:46" ht="15" customHeight="1" thickBot="1" x14ac:dyDescent="0.25">
      <c r="A80" s="4160"/>
      <c r="B80" s="4205"/>
      <c r="C80" s="4205"/>
      <c r="D80" s="4161">
        <v>1E-3</v>
      </c>
      <c r="E80" s="4206"/>
      <c r="F80" s="4161">
        <v>2</v>
      </c>
      <c r="G80" s="4206"/>
      <c r="H80" s="4206"/>
      <c r="I80" s="4206"/>
      <c r="J80" s="4206"/>
      <c r="K80" s="4206"/>
      <c r="L80" s="4206"/>
      <c r="M80" s="4206"/>
      <c r="N80" s="4205"/>
      <c r="O80" s="4205"/>
      <c r="P80" s="4205"/>
      <c r="Q80" s="4205"/>
      <c r="R80" s="4205"/>
      <c r="S80" s="4205"/>
      <c r="T80" s="4205"/>
      <c r="U80" s="4205"/>
      <c r="V80" s="4205"/>
      <c r="W80" s="4205"/>
      <c r="X80" s="4205"/>
      <c r="Y80" s="4205"/>
      <c r="Z80" s="4205"/>
      <c r="AA80" s="4207">
        <f t="shared" si="0"/>
        <v>2.0009999999999999</v>
      </c>
      <c r="AB80" s="1675" t="s">
        <v>5</v>
      </c>
      <c r="AC80" s="294"/>
      <c r="AD80" s="4151">
        <v>20</v>
      </c>
      <c r="AE80" s="4117"/>
      <c r="AF80" s="2273"/>
      <c r="AG80" s="38"/>
      <c r="AH80" s="2273"/>
      <c r="AI80" s="38"/>
      <c r="AJ80" s="2273"/>
      <c r="AK80" s="40">
        <f t="shared" si="12"/>
        <v>0.4002</v>
      </c>
      <c r="AL80" s="4110"/>
      <c r="AM80" s="4109"/>
      <c r="AN80" s="4109"/>
      <c r="AO80" s="4109"/>
      <c r="AP80" s="4109"/>
      <c r="AQ80" s="4109"/>
      <c r="AR80" s="4109"/>
      <c r="AS80" s="4109"/>
      <c r="AT80" s="4111">
        <f>AA80*AD80%</f>
        <v>0.4002</v>
      </c>
    </row>
    <row r="81" spans="1:47" ht="15" customHeight="1" thickBot="1" x14ac:dyDescent="0.25">
      <c r="A81" s="1676">
        <f t="shared" ref="A81:AA81" si="24">SUM(A8:A80)</f>
        <v>36.624084278714058</v>
      </c>
      <c r="B81" s="1678">
        <f t="shared" si="24"/>
        <v>0.89</v>
      </c>
      <c r="C81" s="1678">
        <f t="shared" si="24"/>
        <v>0</v>
      </c>
      <c r="D81" s="1678">
        <f t="shared" si="24"/>
        <v>1E-3</v>
      </c>
      <c r="E81" s="1678">
        <f t="shared" si="24"/>
        <v>25.248000000000001</v>
      </c>
      <c r="F81" s="1678">
        <f t="shared" si="24"/>
        <v>62.192770000000003</v>
      </c>
      <c r="G81" s="1678">
        <f t="shared" si="24"/>
        <v>13.98</v>
      </c>
      <c r="H81" s="1678">
        <f t="shared" si="24"/>
        <v>18.910260000000001</v>
      </c>
      <c r="I81" s="1678">
        <f t="shared" si="24"/>
        <v>0</v>
      </c>
      <c r="J81" s="1678">
        <f t="shared" si="24"/>
        <v>0</v>
      </c>
      <c r="K81" s="1678">
        <f t="shared" si="24"/>
        <v>0</v>
      </c>
      <c r="L81" s="1678">
        <f t="shared" si="24"/>
        <v>0</v>
      </c>
      <c r="M81" s="1678">
        <f t="shared" si="24"/>
        <v>0.5</v>
      </c>
      <c r="N81" s="1678">
        <f t="shared" si="24"/>
        <v>0</v>
      </c>
      <c r="O81" s="1678">
        <f t="shared" si="24"/>
        <v>19.05</v>
      </c>
      <c r="P81" s="1678">
        <f t="shared" si="24"/>
        <v>0</v>
      </c>
      <c r="Q81" s="1678">
        <f t="shared" si="24"/>
        <v>1.1000000000000001</v>
      </c>
      <c r="R81" s="1678">
        <f t="shared" si="24"/>
        <v>0</v>
      </c>
      <c r="S81" s="1678">
        <f t="shared" si="24"/>
        <v>2.6319699999999999</v>
      </c>
      <c r="T81" s="1678">
        <f t="shared" si="24"/>
        <v>1.22</v>
      </c>
      <c r="U81" s="1678">
        <f t="shared" si="24"/>
        <v>50.709999999999994</v>
      </c>
      <c r="V81" s="1678">
        <f t="shared" si="24"/>
        <v>15.7</v>
      </c>
      <c r="W81" s="1678">
        <f t="shared" si="24"/>
        <v>0</v>
      </c>
      <c r="X81" s="1678">
        <f t="shared" si="24"/>
        <v>0</v>
      </c>
      <c r="Y81" s="1678">
        <f t="shared" si="24"/>
        <v>0</v>
      </c>
      <c r="Z81" s="1678">
        <f t="shared" si="24"/>
        <v>0</v>
      </c>
      <c r="AA81" s="41">
        <f t="shared" si="24"/>
        <v>248.75808427871405</v>
      </c>
      <c r="AB81" s="42" t="s">
        <v>1</v>
      </c>
      <c r="AC81" s="43"/>
      <c r="AD81" s="43"/>
      <c r="AE81" s="43"/>
      <c r="AF81" s="43"/>
      <c r="AG81" s="1676">
        <f t="shared" ref="AG81:AT81" si="25">SUM(AG8:AG80)</f>
        <v>-1.1015494072452725E-15</v>
      </c>
      <c r="AH81" s="41">
        <f t="shared" si="25"/>
        <v>50.760061409998855</v>
      </c>
      <c r="AI81" s="1676">
        <f t="shared" si="25"/>
        <v>0</v>
      </c>
      <c r="AJ81" s="41">
        <f t="shared" si="25"/>
        <v>16.288500000000006</v>
      </c>
      <c r="AK81" s="42">
        <f t="shared" si="25"/>
        <v>142.35161500000004</v>
      </c>
      <c r="AL81" s="1677">
        <f t="shared" si="25"/>
        <v>82.553934000000012</v>
      </c>
      <c r="AM81" s="1678">
        <f t="shared" si="25"/>
        <v>4.5162730000000009</v>
      </c>
      <c r="AN81" s="1678">
        <f t="shared" si="25"/>
        <v>5.8637935000000017</v>
      </c>
      <c r="AO81" s="1678">
        <f t="shared" si="25"/>
        <v>7.3239065000000005</v>
      </c>
      <c r="AP81" s="1678">
        <f t="shared" si="25"/>
        <v>0</v>
      </c>
      <c r="AQ81" s="1678">
        <f t="shared" si="25"/>
        <v>9.9033255000000011</v>
      </c>
      <c r="AR81" s="1678">
        <f t="shared" si="25"/>
        <v>0.24432750000000009</v>
      </c>
      <c r="AS81" s="1678">
        <f t="shared" si="25"/>
        <v>8.2419499999999992</v>
      </c>
      <c r="AT81" s="41">
        <f t="shared" si="25"/>
        <v>23.704105000000002</v>
      </c>
    </row>
    <row r="82" spans="1:47" ht="15" customHeight="1" x14ac:dyDescent="0.25">
      <c r="A82" s="513">
        <f t="shared" ref="A82:Y82" si="26">A81*A89/1000</f>
        <v>4.5457813406739884</v>
      </c>
      <c r="B82" s="1679">
        <f t="shared" si="26"/>
        <v>5.7671999999999994E-2</v>
      </c>
      <c r="C82" s="1679">
        <f t="shared" si="26"/>
        <v>0</v>
      </c>
      <c r="D82" s="1679">
        <f t="shared" si="26"/>
        <v>7.9030000000000007E-5</v>
      </c>
      <c r="E82" s="1679">
        <f t="shared" si="26"/>
        <v>1.8708768</v>
      </c>
      <c r="F82" s="1679">
        <f t="shared" si="26"/>
        <v>4.6084842569999998</v>
      </c>
      <c r="G82" s="1679">
        <f t="shared" si="26"/>
        <v>1.0065600000000001</v>
      </c>
      <c r="H82" s="1679">
        <f t="shared" si="26"/>
        <v>1.3804489800000002</v>
      </c>
      <c r="I82" s="1679">
        <f t="shared" si="26"/>
        <v>0</v>
      </c>
      <c r="J82" s="26"/>
      <c r="K82" s="26"/>
      <c r="L82" s="26"/>
      <c r="M82" s="1679">
        <f t="shared" si="26"/>
        <v>0</v>
      </c>
      <c r="N82" s="1679">
        <f t="shared" si="26"/>
        <v>0</v>
      </c>
      <c r="O82" s="1679">
        <f t="shared" si="26"/>
        <v>0</v>
      </c>
      <c r="P82" s="1679">
        <f t="shared" si="26"/>
        <v>0</v>
      </c>
      <c r="Q82" s="1679">
        <v>0</v>
      </c>
      <c r="R82" s="1679">
        <f t="shared" si="26"/>
        <v>0</v>
      </c>
      <c r="S82" s="1679">
        <f t="shared" si="26"/>
        <v>0</v>
      </c>
      <c r="T82" s="1679">
        <f t="shared" si="26"/>
        <v>0</v>
      </c>
      <c r="U82" s="1679">
        <f t="shared" si="26"/>
        <v>0</v>
      </c>
      <c r="V82" s="1679">
        <f t="shared" si="26"/>
        <v>0</v>
      </c>
      <c r="W82" s="1679">
        <f t="shared" si="26"/>
        <v>0</v>
      </c>
      <c r="X82" s="1679">
        <f t="shared" si="26"/>
        <v>0</v>
      </c>
      <c r="Y82" s="1679">
        <f t="shared" si="26"/>
        <v>0</v>
      </c>
      <c r="Z82" s="1679">
        <f>Z81*Z89/1000</f>
        <v>0</v>
      </c>
      <c r="AA82" s="27">
        <f>SUM(A82:Z82)</f>
        <v>13.469902407673988</v>
      </c>
      <c r="AB82" s="44" t="s">
        <v>5323</v>
      </c>
      <c r="AC82" s="45">
        <f>AA82*1000/D1</f>
        <v>7.4542902090060803</v>
      </c>
      <c r="AD82" s="46" t="s">
        <v>6</v>
      </c>
      <c r="AE82" s="46"/>
      <c r="AF82" s="47"/>
      <c r="AG82" s="33"/>
      <c r="AH82" s="33"/>
      <c r="AI82" s="33"/>
      <c r="AJ82" s="33"/>
      <c r="AK82" s="33"/>
      <c r="AL82" s="33"/>
      <c r="AM82" s="33"/>
      <c r="AN82" s="33"/>
      <c r="AO82" s="33"/>
      <c r="AP82" s="33"/>
      <c r="AQ82" s="33"/>
      <c r="AR82" s="33"/>
      <c r="AS82" s="33"/>
      <c r="AT82" s="33"/>
    </row>
    <row r="83" spans="1:47" ht="15" customHeight="1" x14ac:dyDescent="0.2">
      <c r="A83" s="4112"/>
      <c r="B83" s="4150"/>
      <c r="C83" s="4150"/>
      <c r="D83" s="4150"/>
      <c r="E83" s="4150"/>
      <c r="F83" s="4150"/>
      <c r="G83" s="4150"/>
      <c r="H83" s="4150"/>
      <c r="I83" s="4150"/>
      <c r="J83" s="4151"/>
      <c r="K83" s="4151"/>
      <c r="L83" s="4151"/>
      <c r="M83" s="4150"/>
      <c r="N83" s="4150"/>
      <c r="O83" s="4150"/>
      <c r="P83" s="4150"/>
      <c r="Q83" s="4150"/>
      <c r="R83" s="4153">
        <v>17.62</v>
      </c>
      <c r="S83" s="4153">
        <v>28.26</v>
      </c>
      <c r="T83" s="4153">
        <v>3.58</v>
      </c>
      <c r="U83" s="4153">
        <v>129.80000000000001</v>
      </c>
      <c r="V83" s="4150"/>
      <c r="W83" s="4150"/>
      <c r="X83" s="4150"/>
      <c r="Y83" s="4150"/>
      <c r="Z83" s="4150"/>
      <c r="AA83" s="4111">
        <f>SUM(A83:Z83)</f>
        <v>179.26000000000002</v>
      </c>
      <c r="AB83" s="4113" t="s">
        <v>528</v>
      </c>
      <c r="AC83" s="4114">
        <f>(SUM(M11:Y11)+AG12*A87%+SUM(M16:Y16)+SUM(M17:Y17)+SUM(M18:Y18)+SUM(M19:Y19)+SUM(M22:Y22)+SUM(M61:Y61)+SUM(M62:Y62)+SUM(M63:Y63)+SUM(M65:Y65)+SUM(M66:Y66)+SUM(M67:Y67)+SUM(M68:Y68)+SUM(M69:Y69)+SUM(M71:Y71)+SUM(M72:Y72)+SUM(M73:Y73)+SUM(M75:Y75)+SUM(M76:Y76)+SUM(M77:Y77)+SUM(M79:Y79)+SUM(M80:Y80)+SUM(M23:Y23)*(AC23%+AE23%)+SUM(M24:Y24)*(AC24%+AE24%)+SUM(M25:Y25)*(AC25%+AE25%)+SUM(M26:Y26)*(AC26%+AE26%)+SUM(M28:Y28)*(AC28%+AD28%+AE28%)+SUM(M27:Y27)*(AD27%)+SUM(M29:Y29)*(AC29%+AE29%)+SUM(M30:Y30)*(AC30%+AE30%)+SUM(M31:Y31)*(AC31%+AE31%)+SUM(M34:Y34)*(AC34%+AE34%)+SUM(M35:Y35)*(AC35%+AE35%)+SUM(M37:Y37)*(AC37%+AE37%)+SUM(M38:Y38)*(AC38%+AE38%)+SUM(M39:Y39)*(AC39%+AE39%)+SUM(M41:Y41)*(AC41%+AE41%)+SUM(M42:Y42)*(AC42%+AE42%)+SUM(M44:Y44)*(AC44%+AE44%)+SUM(M45:Y45)*(AC45%+AE45%)+SUM(M46:Y46)*(AC47%+AE47%)+SUM(M48:Y48)*(AC48%+AE48%)+SUM(M49:Y49)*(AC49%+AE49%)+SUM(M50:Y50)*(AC50%+AE50%)+SUM(M52:Y52)*(AC52%+AE52%)+SUM(M53:Y53)*(AC53%+AE53%)+SUM(M54:Y54)*(AC54%+AE54%))/(SUM(AA8:AA11)+SUM(AA13:AA22)+SUM(AA61:AA80)+(AJ33/AF33%+AJ36/AF36%+AJ43/AF43%+AJ51/AF51%+AJ60/AF60%)+AH81+SUM(AH8:AH11)*(1-D2%)+(-AI56))*100</f>
        <v>43.089653627241752</v>
      </c>
      <c r="AD83" s="4115" t="s">
        <v>163</v>
      </c>
      <c r="AE83" s="4115"/>
      <c r="AF83" s="4116"/>
      <c r="AG83" s="33"/>
      <c r="AH83" s="33"/>
      <c r="AI83" s="33"/>
      <c r="AJ83" s="33"/>
      <c r="AK83" s="33"/>
      <c r="AL83" s="33"/>
      <c r="AM83" s="33"/>
      <c r="AN83" s="33"/>
      <c r="AO83" s="33"/>
      <c r="AP83" s="33"/>
      <c r="AQ83" s="33"/>
      <c r="AR83" s="33"/>
      <c r="AS83" s="33"/>
      <c r="AT83" s="33"/>
    </row>
    <row r="84" spans="1:47" ht="15" customHeight="1" thickBot="1" x14ac:dyDescent="0.25">
      <c r="A84" s="38"/>
      <c r="B84" s="4109"/>
      <c r="C84" s="4109"/>
      <c r="D84" s="4109"/>
      <c r="E84" s="4109"/>
      <c r="F84" s="4109"/>
      <c r="G84" s="4109"/>
      <c r="H84" s="4109"/>
      <c r="I84" s="4109"/>
      <c r="J84" s="4117"/>
      <c r="K84" s="4117"/>
      <c r="L84" s="4117"/>
      <c r="M84" s="4109" t="str">
        <f>IF(M83&gt;0,M81/M83*100,"")</f>
        <v/>
      </c>
      <c r="N84" s="4109" t="str">
        <f t="shared" ref="N84:Z84" si="27">IF(N83&gt;0,N81/N83*100,"")</f>
        <v/>
      </c>
      <c r="O84" s="4109" t="str">
        <f t="shared" si="27"/>
        <v/>
      </c>
      <c r="P84" s="4109" t="str">
        <f t="shared" si="27"/>
        <v/>
      </c>
      <c r="Q84" s="4109" t="str">
        <f t="shared" si="27"/>
        <v/>
      </c>
      <c r="R84" s="4109">
        <f t="shared" si="27"/>
        <v>0</v>
      </c>
      <c r="S84" s="4109">
        <f t="shared" si="27"/>
        <v>9.3134111818825183</v>
      </c>
      <c r="T84" s="4109">
        <f t="shared" si="27"/>
        <v>34.07821229050279</v>
      </c>
      <c r="U84" s="4109">
        <f t="shared" si="27"/>
        <v>39.067796610169481</v>
      </c>
      <c r="V84" s="4109" t="str">
        <f t="shared" si="27"/>
        <v/>
      </c>
      <c r="W84" s="4109" t="str">
        <f t="shared" si="27"/>
        <v/>
      </c>
      <c r="X84" s="4109" t="str">
        <f t="shared" si="27"/>
        <v/>
      </c>
      <c r="Y84" s="4109" t="str">
        <f>IF(Y83&gt;0,Y81/Y83*100,"")</f>
        <v/>
      </c>
      <c r="Z84" s="4109" t="str">
        <f t="shared" si="27"/>
        <v/>
      </c>
      <c r="AA84" s="2273">
        <f>SUMIF(M83:Z83,"&gt;0",M81:Z81)/SUM(M83:Z83)%</f>
        <v>30.437336829186652</v>
      </c>
      <c r="AB84" s="40" t="s">
        <v>12</v>
      </c>
      <c r="AC84" s="4118">
        <f>SUM(M81:Y81)/AA81*100</f>
        <v>36.546337886305722</v>
      </c>
      <c r="AD84" s="4119" t="s">
        <v>164</v>
      </c>
      <c r="AE84" s="4119"/>
      <c r="AF84" s="4120"/>
      <c r="AG84" s="33"/>
      <c r="AH84" s="33"/>
      <c r="AI84" s="33"/>
      <c r="AJ84" s="33"/>
      <c r="AK84" s="33"/>
      <c r="AL84" s="33"/>
      <c r="AM84" s="33"/>
      <c r="AN84" s="33"/>
      <c r="AO84" s="33"/>
      <c r="AP84" s="33"/>
      <c r="AQ84" s="33"/>
      <c r="AR84" s="33"/>
      <c r="AS84" s="33"/>
      <c r="AT84" s="33"/>
    </row>
    <row r="85" spans="1:47" ht="15" customHeight="1" thickBot="1" x14ac:dyDescent="0.25">
      <c r="A85" s="10"/>
      <c r="B85" s="10"/>
      <c r="C85" s="10"/>
      <c r="D85" s="10"/>
      <c r="E85" s="10"/>
      <c r="F85" s="10"/>
      <c r="G85" s="10"/>
      <c r="H85" s="10"/>
      <c r="I85" s="10"/>
      <c r="J85" s="31"/>
      <c r="K85" s="31"/>
      <c r="L85" s="31"/>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row>
    <row r="86" spans="1:47" ht="17.25" customHeight="1" x14ac:dyDescent="0.2">
      <c r="A86" s="124" t="s">
        <v>72</v>
      </c>
      <c r="B86" s="5152" t="str">
        <f t="shared" ref="B86:I86" si="28">B7</f>
        <v xml:space="preserve">  LPG og petroleum</v>
      </c>
      <c r="C86" s="5152" t="str">
        <f t="shared" si="28"/>
        <v xml:space="preserve">  Kul</v>
      </c>
      <c r="D86" s="5152" t="str">
        <f t="shared" si="28"/>
        <v xml:space="preserve">  Fuelolie</v>
      </c>
      <c r="E86" s="5152" t="str">
        <f t="shared" si="28"/>
        <v xml:space="preserve">  Brændselsolie</v>
      </c>
      <c r="F86" s="5152" t="str">
        <f t="shared" si="28"/>
        <v xml:space="preserve">  Dieselolie</v>
      </c>
      <c r="G86" s="5152" t="str">
        <f t="shared" si="28"/>
        <v xml:space="preserve">  JP1</v>
      </c>
      <c r="H86" s="5152" t="str">
        <f t="shared" si="28"/>
        <v xml:space="preserve">  Benzin</v>
      </c>
      <c r="I86" s="5152" t="str">
        <f t="shared" si="28"/>
        <v xml:space="preserve">  Naturgas</v>
      </c>
      <c r="J86" s="289"/>
      <c r="K86" s="289"/>
      <c r="L86" s="289"/>
      <c r="M86" s="5152" t="str">
        <f t="shared" ref="M86:Z86" si="29">M7</f>
        <v xml:space="preserve">  Vindenergi</v>
      </c>
      <c r="N86" s="5152" t="str">
        <f t="shared" si="29"/>
        <v xml:space="preserve">  Vandenergi</v>
      </c>
      <c r="O86" s="5152" t="str">
        <f t="shared" si="29"/>
        <v xml:space="preserve">  Solenergi</v>
      </c>
      <c r="P86" s="5152" t="str">
        <f t="shared" si="29"/>
        <v xml:space="preserve">  Geotermi</v>
      </c>
      <c r="Q86" s="5152" t="str">
        <f t="shared" si="29"/>
        <v xml:space="preserve">  Varmekilder til varmepumper</v>
      </c>
      <c r="R86" s="5152" t="str">
        <f t="shared" si="29"/>
        <v xml:space="preserve">  Husdyrsgødning</v>
      </c>
      <c r="S86" s="5152" t="str">
        <f t="shared" si="29"/>
        <v xml:space="preserve">  Biobrændstof og energiafgrøder</v>
      </c>
      <c r="T86" s="5152" t="str">
        <f t="shared" si="29"/>
        <v xml:space="preserve">  Halm</v>
      </c>
      <c r="U86" s="5152" t="str">
        <f t="shared" si="29"/>
        <v xml:space="preserve">  Brænde og træflis</v>
      </c>
      <c r="V86" s="5152" t="str">
        <f t="shared" si="29"/>
        <v xml:space="preserve">  Træpiller og træaffald</v>
      </c>
      <c r="W86" s="5152" t="str">
        <f t="shared" si="29"/>
        <v xml:space="preserve">  Organisk affald, industri</v>
      </c>
      <c r="X86" s="5152" t="str">
        <f t="shared" si="29"/>
        <v xml:space="preserve">  Organisk affald, husholdninger</v>
      </c>
      <c r="Y86" s="5152" t="str">
        <f t="shared" si="29"/>
        <v xml:space="preserve">  Deponi, slam, renseanlæg</v>
      </c>
      <c r="Z86" s="5155" t="str">
        <f t="shared" si="29"/>
        <v xml:space="preserve">  Affald, ikke bionedbrydeligt</v>
      </c>
      <c r="AA86" s="10"/>
      <c r="AB86" s="10"/>
      <c r="AC86" s="10"/>
      <c r="AD86" s="10"/>
      <c r="AE86" s="10"/>
      <c r="AF86" s="10"/>
      <c r="AG86" s="10"/>
      <c r="AH86" s="10"/>
      <c r="AI86" s="10"/>
      <c r="AJ86" s="10"/>
      <c r="AK86" s="10"/>
      <c r="AL86" s="10"/>
      <c r="AM86" s="10"/>
      <c r="AN86" s="10"/>
      <c r="AO86" s="10"/>
      <c r="AP86" s="10"/>
      <c r="AQ86" s="10"/>
      <c r="AR86" s="10"/>
      <c r="AS86" s="10"/>
      <c r="AT86" s="10"/>
    </row>
    <row r="87" spans="1:47" ht="24" x14ac:dyDescent="0.2">
      <c r="A87" s="301">
        <v>44</v>
      </c>
      <c r="B87" s="5153"/>
      <c r="C87" s="5153"/>
      <c r="D87" s="5153"/>
      <c r="E87" s="5153"/>
      <c r="F87" s="5153"/>
      <c r="G87" s="5153"/>
      <c r="H87" s="5153"/>
      <c r="I87" s="5153"/>
      <c r="J87" s="290"/>
      <c r="K87" s="290"/>
      <c r="L87" s="290"/>
      <c r="M87" s="5153"/>
      <c r="N87" s="5153"/>
      <c r="O87" s="5153"/>
      <c r="P87" s="5153"/>
      <c r="Q87" s="5153"/>
      <c r="R87" s="5153"/>
      <c r="S87" s="5153"/>
      <c r="T87" s="5153"/>
      <c r="U87" s="5153"/>
      <c r="V87" s="5153"/>
      <c r="W87" s="5153"/>
      <c r="X87" s="5153"/>
      <c r="Y87" s="5153"/>
      <c r="Z87" s="5156"/>
      <c r="AA87" s="10"/>
      <c r="AB87" s="10"/>
      <c r="AC87" s="10"/>
      <c r="AD87" s="10"/>
      <c r="AE87" s="10"/>
      <c r="AF87" s="10"/>
      <c r="AG87" s="10"/>
      <c r="AH87" s="10"/>
      <c r="AI87" s="10"/>
      <c r="AJ87" s="10"/>
      <c r="AK87" s="10"/>
      <c r="AL87" s="10"/>
      <c r="AM87" s="10"/>
      <c r="AN87" s="10"/>
      <c r="AO87" s="10"/>
      <c r="AP87" s="10"/>
      <c r="AQ87" s="10"/>
      <c r="AR87" s="10"/>
      <c r="AS87" s="10"/>
      <c r="AT87" s="10"/>
    </row>
    <row r="88" spans="1:47" ht="123" customHeight="1" thickBot="1" x14ac:dyDescent="0.25">
      <c r="A88" s="92" t="s">
        <v>73</v>
      </c>
      <c r="B88" s="5154"/>
      <c r="C88" s="5154"/>
      <c r="D88" s="5154"/>
      <c r="E88" s="5154"/>
      <c r="F88" s="5154"/>
      <c r="G88" s="5154"/>
      <c r="H88" s="5154"/>
      <c r="I88" s="5154"/>
      <c r="J88" s="287" t="s">
        <v>175</v>
      </c>
      <c r="K88" s="287" t="s">
        <v>176</v>
      </c>
      <c r="L88" s="287" t="s">
        <v>177</v>
      </c>
      <c r="M88" s="5154"/>
      <c r="N88" s="5154"/>
      <c r="O88" s="5154"/>
      <c r="P88" s="5154"/>
      <c r="Q88" s="5154"/>
      <c r="R88" s="5154"/>
      <c r="S88" s="5154"/>
      <c r="T88" s="5154"/>
      <c r="U88" s="5154"/>
      <c r="V88" s="5154"/>
      <c r="W88" s="5154"/>
      <c r="X88" s="5154"/>
      <c r="Y88" s="5154"/>
      <c r="Z88" s="5157"/>
      <c r="AA88" s="10"/>
      <c r="AB88" s="10"/>
      <c r="AC88" s="10"/>
      <c r="AD88" s="10"/>
      <c r="AE88" s="10"/>
      <c r="AF88" s="10"/>
      <c r="AG88" s="10"/>
      <c r="AH88" s="10"/>
      <c r="AI88" s="10"/>
      <c r="AJ88" s="10"/>
      <c r="AK88" s="10"/>
      <c r="AL88" s="10"/>
      <c r="AM88" s="10"/>
      <c r="AN88" s="10"/>
      <c r="AO88" s="10"/>
      <c r="AP88" s="10"/>
      <c r="AQ88" s="10"/>
      <c r="AR88" s="10"/>
      <c r="AS88" s="10"/>
      <c r="AT88" s="10"/>
    </row>
    <row r="89" spans="1:47" s="52" customFormat="1" ht="15" customHeight="1" thickBot="1" x14ac:dyDescent="0.25">
      <c r="A89" s="369">
        <v>124.12</v>
      </c>
      <c r="B89" s="49">
        <v>64.8</v>
      </c>
      <c r="C89" s="49">
        <v>94.2</v>
      </c>
      <c r="D89" s="49">
        <v>79.03</v>
      </c>
      <c r="E89" s="49">
        <v>74.099999999999994</v>
      </c>
      <c r="F89" s="49">
        <f>E89</f>
        <v>74.099999999999994</v>
      </c>
      <c r="G89" s="49">
        <v>72</v>
      </c>
      <c r="H89" s="49">
        <v>73</v>
      </c>
      <c r="I89" s="49">
        <v>56.89</v>
      </c>
      <c r="J89" s="49"/>
      <c r="K89" s="49"/>
      <c r="L89" s="49"/>
      <c r="M89" s="53"/>
      <c r="N89" s="53"/>
      <c r="O89" s="53"/>
      <c r="P89" s="53"/>
      <c r="Q89" s="54"/>
      <c r="R89" s="53"/>
      <c r="S89" s="53"/>
      <c r="T89" s="53"/>
      <c r="U89" s="53"/>
      <c r="V89" s="53"/>
      <c r="W89" s="53"/>
      <c r="X89" s="53"/>
      <c r="Y89" s="54"/>
      <c r="Z89" s="4164">
        <v>94.44</v>
      </c>
      <c r="AA89" s="125" t="s">
        <v>5361</v>
      </c>
      <c r="AB89" s="50"/>
      <c r="AC89" s="51"/>
      <c r="AD89" s="51"/>
      <c r="AE89" s="51"/>
      <c r="AF89" s="51"/>
      <c r="AG89" s="51"/>
      <c r="AH89" s="51"/>
      <c r="AI89" s="51"/>
      <c r="AJ89" s="51"/>
      <c r="AK89" s="51"/>
      <c r="AL89" s="51"/>
      <c r="AM89" s="51"/>
      <c r="AN89" s="51"/>
      <c r="AO89" s="51"/>
      <c r="AP89" s="51"/>
      <c r="AQ89" s="51"/>
      <c r="AR89" s="51"/>
      <c r="AS89" s="51"/>
      <c r="AT89" s="51"/>
    </row>
    <row r="90" spans="1:47" x14ac:dyDescent="0.2">
      <c r="A90" s="29"/>
      <c r="B90" s="29"/>
      <c r="C90" s="29"/>
      <c r="D90" s="29"/>
      <c r="E90" s="29"/>
      <c r="F90" s="29"/>
      <c r="G90" s="29"/>
      <c r="H90" s="29"/>
      <c r="I90" s="29"/>
      <c r="J90" s="73"/>
      <c r="K90" s="73"/>
      <c r="L90" s="73"/>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row>
    <row r="91" spans="1:47" x14ac:dyDescent="0.2">
      <c r="AB91" s="10"/>
    </row>
    <row r="92" spans="1:47" ht="12.75" customHeight="1" x14ac:dyDescent="0.3">
      <c r="A92" s="48"/>
      <c r="AB92" s="29"/>
    </row>
    <row r="94" spans="1:47" x14ac:dyDescent="0.2">
      <c r="AB94" s="29"/>
    </row>
    <row r="95" spans="1:47" x14ac:dyDescent="0.2">
      <c r="AB95" s="29"/>
    </row>
  </sheetData>
  <mergeCells count="30">
    <mergeCell ref="Y86:Y88"/>
    <mergeCell ref="Z86:Z88"/>
    <mergeCell ref="T86:T88"/>
    <mergeCell ref="U86:U88"/>
    <mergeCell ref="V86:V88"/>
    <mergeCell ref="W86:W88"/>
    <mergeCell ref="X86:X88"/>
    <mergeCell ref="G86:G88"/>
    <mergeCell ref="H86:H88"/>
    <mergeCell ref="I86:I88"/>
    <mergeCell ref="M86:M88"/>
    <mergeCell ref="N86:N88"/>
    <mergeCell ref="O86:O88"/>
    <mergeCell ref="P86:P88"/>
    <mergeCell ref="Q86:Q88"/>
    <mergeCell ref="R86:R88"/>
    <mergeCell ref="S86:S88"/>
    <mergeCell ref="B86:B88"/>
    <mergeCell ref="C86:C88"/>
    <mergeCell ref="D86:D88"/>
    <mergeCell ref="E86:E88"/>
    <mergeCell ref="F86:F88"/>
    <mergeCell ref="AL6:AT6"/>
    <mergeCell ref="AB1:AB2"/>
    <mergeCell ref="A6:AA6"/>
    <mergeCell ref="AC6:AF6"/>
    <mergeCell ref="AG6:AH6"/>
    <mergeCell ref="D1:E1"/>
    <mergeCell ref="AI6:AJ6"/>
    <mergeCell ref="AA3:AC4"/>
  </mergeCells>
  <conditionalFormatting sqref="AA57:AA59">
    <cfRule type="cellIs" dxfId="611" priority="1" operator="notEqual">
      <formula>0</formula>
    </cfRule>
  </conditionalFormatting>
  <printOptions horizontalCentered="1" verticalCentered="1" gridLines="1"/>
  <pageMargins left="0.19685039370078741" right="0.19685039370078741" top="0.98425196850393704" bottom="0.55118110236220474" header="0" footer="0"/>
  <pageSetup paperSize="8" scale="31" orientation="landscape" r:id="rId1"/>
  <headerFooter alignWithMargins="0">
    <oddFooter>&amp;R&amp;F &amp;T &amp;D</oddFooter>
  </headerFooter>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37009-BF74-4534-8164-9030BACB2E27}">
  <sheetPr codeName="Ark64">
    <tabColor theme="0" tint="-0.34998626667073579"/>
    <pageSetUpPr fitToPage="1"/>
  </sheetPr>
  <dimension ref="A1:E43"/>
  <sheetViews>
    <sheetView showGridLines="0" workbookViewId="0">
      <selection sqref="A1:B1"/>
    </sheetView>
  </sheetViews>
  <sheetFormatPr defaultColWidth="8" defaultRowHeight="12" customHeight="1" x14ac:dyDescent="0.2"/>
  <cols>
    <col min="1" max="1" width="44.28515625" style="659" customWidth="1"/>
    <col min="2" max="2" width="61" style="659" customWidth="1"/>
    <col min="3" max="3" width="16.5703125" style="659" customWidth="1"/>
    <col min="4" max="4" width="22.28515625" style="659" customWidth="1"/>
    <col min="5" max="5" width="16.7109375" style="659" customWidth="1"/>
    <col min="6" max="16384" width="8" style="659"/>
  </cols>
  <sheetData>
    <row r="1" spans="1:5" ht="15.75" x14ac:dyDescent="0.2">
      <c r="A1" s="5471" t="s">
        <v>1293</v>
      </c>
      <c r="B1" s="5471"/>
      <c r="C1" s="660"/>
      <c r="D1" s="660"/>
      <c r="E1" s="668" t="s">
        <v>1762</v>
      </c>
    </row>
    <row r="2" spans="1:5" ht="17.25" x14ac:dyDescent="0.2">
      <c r="A2" s="5471" t="s">
        <v>1292</v>
      </c>
      <c r="B2" s="5471"/>
      <c r="C2" s="660"/>
      <c r="D2" s="660"/>
      <c r="E2" s="668" t="s">
        <v>1761</v>
      </c>
    </row>
    <row r="3" spans="1:5" ht="15.75" x14ac:dyDescent="0.25">
      <c r="A3" s="687" t="s">
        <v>1197</v>
      </c>
      <c r="B3" s="670"/>
      <c r="C3" s="660"/>
      <c r="D3" s="660"/>
      <c r="E3" s="668" t="s">
        <v>1789</v>
      </c>
    </row>
    <row r="4" spans="1:5" ht="12" customHeight="1" x14ac:dyDescent="0.2">
      <c r="A4" s="660"/>
      <c r="B4" s="660"/>
      <c r="C4" s="660"/>
      <c r="D4" s="660"/>
      <c r="E4" s="660"/>
    </row>
    <row r="5" spans="1:5" ht="27" customHeight="1" x14ac:dyDescent="0.2">
      <c r="A5" s="3553" t="s">
        <v>1025</v>
      </c>
      <c r="B5" s="5719" t="s">
        <v>1291</v>
      </c>
      <c r="C5" s="5721"/>
      <c r="D5" s="3561" t="s">
        <v>1238</v>
      </c>
      <c r="E5" s="3562" t="s">
        <v>1081</v>
      </c>
    </row>
    <row r="6" spans="1:5" ht="12" customHeight="1" x14ac:dyDescent="0.2">
      <c r="A6" s="676"/>
      <c r="B6" s="3326" t="s">
        <v>1254</v>
      </c>
      <c r="C6" s="3561" t="s">
        <v>1253</v>
      </c>
      <c r="D6" s="3326"/>
      <c r="E6" s="726" t="s">
        <v>1022</v>
      </c>
    </row>
    <row r="7" spans="1:5" ht="29.25" customHeight="1" thickBot="1" x14ac:dyDescent="0.25">
      <c r="A7" s="675"/>
      <c r="B7" s="674"/>
      <c r="C7" s="725" t="s">
        <v>1290</v>
      </c>
      <c r="D7" s="725" t="s">
        <v>1289</v>
      </c>
      <c r="E7" s="724" t="s">
        <v>1011</v>
      </c>
    </row>
    <row r="8" spans="1:5" ht="29.25" customHeight="1" thickTop="1" x14ac:dyDescent="0.2">
      <c r="A8" s="723" t="s">
        <v>1288</v>
      </c>
      <c r="B8" s="3497" t="s">
        <v>986</v>
      </c>
      <c r="C8" s="3497" t="s">
        <v>986</v>
      </c>
      <c r="D8" s="3497" t="s">
        <v>986</v>
      </c>
      <c r="E8" s="3507">
        <v>13.22789911834627</v>
      </c>
    </row>
    <row r="9" spans="1:5" ht="29.25" customHeight="1" x14ac:dyDescent="0.2">
      <c r="A9" s="3560" t="s">
        <v>1287</v>
      </c>
      <c r="B9" s="3507" t="s">
        <v>1286</v>
      </c>
      <c r="C9" s="3500">
        <v>251866800</v>
      </c>
      <c r="D9" s="3507">
        <v>0.01</v>
      </c>
      <c r="E9" s="3500">
        <v>3.9579068571428602</v>
      </c>
    </row>
    <row r="10" spans="1:5" ht="29.25" customHeight="1" x14ac:dyDescent="0.2">
      <c r="A10" s="3560" t="s">
        <v>1285</v>
      </c>
      <c r="B10" s="3507" t="s">
        <v>1284</v>
      </c>
      <c r="C10" s="3507">
        <v>219923900.02638674</v>
      </c>
      <c r="D10" s="3507">
        <v>0.01</v>
      </c>
      <c r="E10" s="3507">
        <v>3.45594700041464</v>
      </c>
    </row>
    <row r="11" spans="1:5" ht="25.5" customHeight="1" x14ac:dyDescent="0.2">
      <c r="A11" s="3560" t="s">
        <v>1283</v>
      </c>
      <c r="B11" s="3507" t="s">
        <v>1282</v>
      </c>
      <c r="C11" s="3500">
        <v>210748617.021626</v>
      </c>
      <c r="D11" s="3507">
        <v>0.01</v>
      </c>
      <c r="E11" s="3500">
        <v>3.3117639817683999</v>
      </c>
    </row>
    <row r="12" spans="1:5" ht="22.5" customHeight="1" x14ac:dyDescent="0.2">
      <c r="A12" s="3560" t="s">
        <v>1281</v>
      </c>
      <c r="B12" s="3507" t="s">
        <v>1280</v>
      </c>
      <c r="C12" s="3500">
        <v>3737000</v>
      </c>
      <c r="D12" s="3507">
        <v>0.01</v>
      </c>
      <c r="E12" s="3500">
        <v>5.8724285714290003E-2</v>
      </c>
    </row>
    <row r="13" spans="1:5" ht="20.25" customHeight="1" x14ac:dyDescent="0.2">
      <c r="A13" s="722" t="s">
        <v>1279</v>
      </c>
      <c r="B13" s="3507" t="s">
        <v>1278</v>
      </c>
      <c r="C13" s="3500">
        <v>5438283.0047607403</v>
      </c>
      <c r="D13" s="3507">
        <v>0.01</v>
      </c>
      <c r="E13" s="3500">
        <v>8.5458732931949999E-2</v>
      </c>
    </row>
    <row r="14" spans="1:5" ht="14.25" customHeight="1" x14ac:dyDescent="0.2">
      <c r="A14" s="3560" t="s">
        <v>1277</v>
      </c>
      <c r="B14" s="3507" t="s">
        <v>1276</v>
      </c>
      <c r="C14" s="3500">
        <v>21591258.774238199</v>
      </c>
      <c r="D14" s="3507">
        <v>1.7593716114629999E-2</v>
      </c>
      <c r="E14" s="3500">
        <v>0.59693932167816</v>
      </c>
    </row>
    <row r="15" spans="1:5" ht="14.25" customHeight="1" x14ac:dyDescent="0.2">
      <c r="A15" s="3560" t="s">
        <v>1275</v>
      </c>
      <c r="B15" s="3507" t="s">
        <v>1274</v>
      </c>
      <c r="C15" s="3500">
        <v>190289000</v>
      </c>
      <c r="D15" s="3507">
        <v>0.01</v>
      </c>
      <c r="E15" s="3500">
        <v>2.99025571428571</v>
      </c>
    </row>
    <row r="16" spans="1:5" ht="25.5" customHeight="1" x14ac:dyDescent="0.2">
      <c r="A16" s="3560" t="s">
        <v>1273</v>
      </c>
      <c r="B16" s="3507" t="s">
        <v>1272</v>
      </c>
      <c r="C16" s="3500">
        <v>13610410.6706756</v>
      </c>
      <c r="D16" s="3507">
        <v>0.01</v>
      </c>
      <c r="E16" s="3500">
        <v>0.21387788196776</v>
      </c>
    </row>
    <row r="17" spans="1:5" ht="14.25" customHeight="1" x14ac:dyDescent="0.2">
      <c r="A17" s="3560" t="s">
        <v>1271</v>
      </c>
      <c r="B17" s="3507" t="s">
        <v>1270</v>
      </c>
      <c r="C17" s="3500">
        <v>172293</v>
      </c>
      <c r="D17" s="3507">
        <v>7.4349068157150899</v>
      </c>
      <c r="E17" s="3500">
        <v>2.01297234285714</v>
      </c>
    </row>
    <row r="18" spans="1:5" ht="14.25" customHeight="1" x14ac:dyDescent="0.2">
      <c r="A18" s="3560" t="s">
        <v>1269</v>
      </c>
      <c r="B18" s="3507" t="s">
        <v>1268</v>
      </c>
      <c r="C18" s="3500" t="s">
        <v>259</v>
      </c>
      <c r="D18" s="3507" t="s">
        <v>259</v>
      </c>
      <c r="E18" s="3500" t="s">
        <v>259</v>
      </c>
    </row>
    <row r="19" spans="1:5" ht="27" customHeight="1" x14ac:dyDescent="0.2">
      <c r="A19" s="721" t="s">
        <v>1267</v>
      </c>
      <c r="B19" s="3497" t="s">
        <v>986</v>
      </c>
      <c r="C19" s="3497" t="s">
        <v>986</v>
      </c>
      <c r="D19" s="3497" t="s">
        <v>986</v>
      </c>
      <c r="E19" s="3507">
        <v>1.7313660546757099</v>
      </c>
    </row>
    <row r="20" spans="1:5" ht="24" customHeight="1" x14ac:dyDescent="0.2">
      <c r="A20" s="3559" t="s">
        <v>1266</v>
      </c>
      <c r="B20" s="3507" t="s">
        <v>1265</v>
      </c>
      <c r="C20" s="3500">
        <v>38933839.842999898</v>
      </c>
      <c r="D20" s="3507">
        <v>0.01</v>
      </c>
      <c r="E20" s="3500">
        <v>0.61181748324714003</v>
      </c>
    </row>
    <row r="21" spans="1:5" x14ac:dyDescent="0.2">
      <c r="A21" s="3559" t="s">
        <v>1264</v>
      </c>
      <c r="B21" s="3507" t="s">
        <v>1263</v>
      </c>
      <c r="C21" s="3500">
        <v>149302000</v>
      </c>
      <c r="D21" s="3507">
        <v>4.7718047983300003E-3</v>
      </c>
      <c r="E21" s="3500">
        <v>1.11954857142857</v>
      </c>
    </row>
    <row r="22" spans="1:5" ht="12" customHeight="1" x14ac:dyDescent="0.2">
      <c r="A22" s="660"/>
      <c r="B22" s="660"/>
      <c r="C22" s="660"/>
      <c r="D22" s="660"/>
      <c r="E22" s="660"/>
    </row>
    <row r="23" spans="1:5" ht="11.25" customHeight="1" x14ac:dyDescent="0.2">
      <c r="A23" s="5434" t="s">
        <v>1262</v>
      </c>
      <c r="B23" s="5434"/>
      <c r="C23" s="5434"/>
      <c r="D23" s="5434"/>
      <c r="E23" s="5434"/>
    </row>
    <row r="24" spans="1:5" ht="13.5" x14ac:dyDescent="0.2">
      <c r="A24" s="5504" t="s">
        <v>1261</v>
      </c>
      <c r="B24" s="5504"/>
      <c r="C24" s="5504"/>
      <c r="D24" s="5504"/>
      <c r="E24" s="5504"/>
    </row>
    <row r="25" spans="1:5" x14ac:dyDescent="0.2">
      <c r="A25" s="5505" t="s">
        <v>1260</v>
      </c>
      <c r="B25" s="5506"/>
      <c r="C25" s="5506"/>
      <c r="D25" s="5506"/>
      <c r="E25" s="5506"/>
    </row>
    <row r="26" spans="1:5" ht="14.25" customHeight="1" x14ac:dyDescent="0.2">
      <c r="A26" s="5507" t="s">
        <v>1259</v>
      </c>
      <c r="B26" s="5507"/>
      <c r="C26" s="5507"/>
      <c r="D26" s="5507"/>
      <c r="E26" s="5507"/>
    </row>
    <row r="27" spans="1:5" ht="14.25" customHeight="1" x14ac:dyDescent="0.2">
      <c r="A27" s="5507" t="s">
        <v>1258</v>
      </c>
      <c r="B27" s="5507"/>
      <c r="C27" s="5507"/>
      <c r="D27" s="5507"/>
      <c r="E27" s="5507"/>
    </row>
    <row r="28" spans="1:5" ht="13.5" x14ac:dyDescent="0.2">
      <c r="A28" s="5507" t="s">
        <v>1257</v>
      </c>
      <c r="B28" s="5507"/>
      <c r="C28" s="5507"/>
      <c r="D28" s="5507"/>
      <c r="E28" s="5507"/>
    </row>
    <row r="29" spans="1:5" ht="13.5" x14ac:dyDescent="0.2">
      <c r="A29" s="3303"/>
      <c r="B29" s="3303"/>
      <c r="C29" s="3303"/>
      <c r="D29" s="3303"/>
      <c r="E29" s="3303"/>
    </row>
    <row r="30" spans="1:5" ht="13.5" x14ac:dyDescent="0.2">
      <c r="A30" s="720" t="s">
        <v>1256</v>
      </c>
      <c r="B30" s="3303"/>
      <c r="C30" s="3303"/>
      <c r="D30" s="3303"/>
      <c r="E30" s="3303"/>
    </row>
    <row r="31" spans="1:5" ht="14.25" x14ac:dyDescent="0.2">
      <c r="A31" s="3558" t="s">
        <v>1255</v>
      </c>
      <c r="B31" s="3558" t="s">
        <v>1254</v>
      </c>
      <c r="C31" s="3557" t="s">
        <v>1253</v>
      </c>
      <c r="D31" s="3303"/>
      <c r="E31" s="3303"/>
    </row>
    <row r="32" spans="1:5" ht="13.5" x14ac:dyDescent="0.2">
      <c r="A32" s="3556" t="s">
        <v>1252</v>
      </c>
      <c r="B32" s="3556" t="s">
        <v>1251</v>
      </c>
      <c r="C32" s="3500">
        <v>5.1925729797410003E-2</v>
      </c>
      <c r="D32" s="3303"/>
      <c r="E32" s="3303"/>
    </row>
    <row r="33" spans="1:5" ht="13.5" x14ac:dyDescent="0.2">
      <c r="A33" s="3556" t="s">
        <v>1250</v>
      </c>
      <c r="B33" s="3556" t="s">
        <v>1249</v>
      </c>
      <c r="C33" s="3500">
        <v>8.6302256331159996E-2</v>
      </c>
      <c r="D33" s="3303"/>
      <c r="E33" s="3303"/>
    </row>
    <row r="34" spans="1:5" ht="13.5" x14ac:dyDescent="0.2">
      <c r="A34" s="3556" t="s">
        <v>1248</v>
      </c>
      <c r="B34" s="3556" t="s">
        <v>1247</v>
      </c>
      <c r="C34" s="3500">
        <v>0.21412016230006001</v>
      </c>
      <c r="D34" s="3303"/>
      <c r="E34" s="3303"/>
    </row>
    <row r="35" spans="1:5" ht="13.5" x14ac:dyDescent="0.2">
      <c r="A35" s="3555" t="s">
        <v>1246</v>
      </c>
      <c r="B35" s="719"/>
      <c r="C35" s="3497" t="s">
        <v>986</v>
      </c>
      <c r="D35" s="3303"/>
      <c r="E35" s="3303"/>
    </row>
    <row r="36" spans="1:5" ht="13.5" x14ac:dyDescent="0.2">
      <c r="A36" s="3314" t="s">
        <v>1245</v>
      </c>
      <c r="B36" s="3303"/>
      <c r="C36" s="3303"/>
      <c r="D36" s="3303"/>
      <c r="E36" s="3303"/>
    </row>
    <row r="37" spans="1:5" ht="13.5" x14ac:dyDescent="0.2">
      <c r="A37" s="3321"/>
      <c r="B37" s="3303"/>
      <c r="C37" s="3303"/>
      <c r="D37" s="3303"/>
      <c r="E37" s="3303"/>
    </row>
    <row r="38" spans="1:5" ht="12" customHeight="1" x14ac:dyDescent="0.2">
      <c r="A38" s="5724" t="s">
        <v>982</v>
      </c>
      <c r="B38" s="5725"/>
      <c r="C38" s="5725"/>
      <c r="D38" s="5725"/>
      <c r="E38" s="5726"/>
    </row>
    <row r="39" spans="1:5" ht="27" customHeight="1" x14ac:dyDescent="0.2">
      <c r="A39" s="5512" t="s">
        <v>1244</v>
      </c>
      <c r="B39" s="5513"/>
      <c r="C39" s="5513"/>
      <c r="D39" s="5513"/>
      <c r="E39" s="5514"/>
    </row>
    <row r="40" spans="1:5" ht="12" customHeight="1" x14ac:dyDescent="0.2">
      <c r="A40" s="5515" t="s">
        <v>1201</v>
      </c>
      <c r="B40" s="5516"/>
      <c r="C40" s="5516"/>
      <c r="D40" s="5516"/>
      <c r="E40" s="5517"/>
    </row>
    <row r="41" spans="1:5" ht="12" customHeight="1" x14ac:dyDescent="0.25">
      <c r="A41" s="718" t="s">
        <v>1243</v>
      </c>
      <c r="B41" s="717"/>
      <c r="C41" s="717"/>
      <c r="D41" s="717"/>
      <c r="E41" s="716"/>
    </row>
    <row r="42" spans="1:5" ht="12" customHeight="1" x14ac:dyDescent="0.2">
      <c r="A42" s="715" t="s">
        <v>1242</v>
      </c>
      <c r="B42" s="714"/>
      <c r="C42" s="714"/>
      <c r="D42" s="714"/>
      <c r="E42" s="713"/>
    </row>
    <row r="43" spans="1:5" ht="12" customHeight="1" x14ac:dyDescent="0.2">
      <c r="A43" s="3554" t="s">
        <v>980</v>
      </c>
      <c r="B43" s="5696" t="s">
        <v>5210</v>
      </c>
      <c r="C43" s="5723"/>
      <c r="D43" s="5723"/>
      <c r="E43" s="5723"/>
    </row>
  </sheetData>
  <sheetProtection password="A754" sheet="1" objects="1" scenarios="1"/>
  <mergeCells count="13">
    <mergeCell ref="A25:E25"/>
    <mergeCell ref="A26:E26"/>
    <mergeCell ref="A27:E27"/>
    <mergeCell ref="A28:E28"/>
    <mergeCell ref="B43:E43"/>
    <mergeCell ref="A38:E38"/>
    <mergeCell ref="A39:E39"/>
    <mergeCell ref="A40:E40"/>
    <mergeCell ref="A1:B1"/>
    <mergeCell ref="A2:B2"/>
    <mergeCell ref="B5:C5"/>
    <mergeCell ref="A23:E23"/>
    <mergeCell ref="A24:E24"/>
  </mergeCells>
  <dataValidations count="1">
    <dataValidation allowBlank="1" showInputMessage="1" showErrorMessage="1" sqref="A45:E65509 F1:IN65509" xr:uid="{00000000-0002-0000-1D00-000000000000}"/>
  </dataValidations>
  <printOptions horizontalCentered="1" verticalCentered="1"/>
  <pageMargins left="0.39370078740157483" right="0.39370078740157483" top="0.39370078740157483" bottom="0.39370078740157483" header="0.19685039370078741" footer="0.19685039370078741"/>
  <pageSetup paperSize="9" scale="28"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4E28D-1CE4-4021-997F-63299AC0660D}">
  <sheetPr codeName="Ark65">
    <tabColor theme="0" tint="-0.34998626667073579"/>
  </sheetPr>
  <dimension ref="A1:D22"/>
  <sheetViews>
    <sheetView showGridLines="0" workbookViewId="0"/>
  </sheetViews>
  <sheetFormatPr defaultColWidth="9.140625" defaultRowHeight="12" x14ac:dyDescent="0.2"/>
  <cols>
    <col min="1" max="1" width="52" style="659" customWidth="1"/>
    <col min="2" max="2" width="27.7109375" style="659" customWidth="1"/>
    <col min="3" max="3" width="27.42578125" style="659" customWidth="1"/>
    <col min="4" max="4" width="20.85546875" style="659" customWidth="1"/>
    <col min="5" max="16384" width="9.140625" style="659"/>
  </cols>
  <sheetData>
    <row r="1" spans="1:4" ht="15.75" x14ac:dyDescent="0.25">
      <c r="A1" s="671" t="s">
        <v>1309</v>
      </c>
      <c r="B1" s="670"/>
      <c r="C1" s="660"/>
      <c r="D1" s="668" t="s">
        <v>1762</v>
      </c>
    </row>
    <row r="2" spans="1:4" ht="17.25" x14ac:dyDescent="0.3">
      <c r="A2" s="5430" t="s">
        <v>1308</v>
      </c>
      <c r="B2" s="5430"/>
      <c r="C2" s="660"/>
      <c r="D2" s="668" t="s">
        <v>1761</v>
      </c>
    </row>
    <row r="3" spans="1:4" ht="15.75" x14ac:dyDescent="0.25">
      <c r="A3" s="671" t="s">
        <v>1197</v>
      </c>
      <c r="B3" s="670"/>
      <c r="C3" s="660"/>
      <c r="D3" s="668" t="s">
        <v>1789</v>
      </c>
    </row>
    <row r="4" spans="1:4" x14ac:dyDescent="0.2">
      <c r="A4" s="660"/>
      <c r="B4" s="660"/>
      <c r="C4" s="660"/>
      <c r="D4" s="660"/>
    </row>
    <row r="5" spans="1:4" ht="24" customHeight="1" x14ac:dyDescent="0.2">
      <c r="A5" s="5728" t="s">
        <v>1025</v>
      </c>
      <c r="B5" s="3566" t="s">
        <v>1083</v>
      </c>
      <c r="C5" s="3566" t="s">
        <v>1238</v>
      </c>
      <c r="D5" s="3566" t="s">
        <v>1307</v>
      </c>
    </row>
    <row r="6" spans="1:4" ht="25.5" customHeight="1" x14ac:dyDescent="0.2">
      <c r="A6" s="5520"/>
      <c r="B6" s="3566" t="s">
        <v>1306</v>
      </c>
      <c r="C6" s="3566" t="s">
        <v>1305</v>
      </c>
      <c r="D6" s="3566" t="s">
        <v>1024</v>
      </c>
    </row>
    <row r="7" spans="1:4" ht="14.25" thickBot="1" x14ac:dyDescent="0.25">
      <c r="A7" s="3308"/>
      <c r="B7" s="3308" t="s">
        <v>1304</v>
      </c>
      <c r="C7" s="3308" t="s">
        <v>1303</v>
      </c>
      <c r="D7" s="3308" t="s">
        <v>1011</v>
      </c>
    </row>
    <row r="8" spans="1:4" ht="15" thickTop="1" x14ac:dyDescent="0.2">
      <c r="A8" s="730" t="s">
        <v>1302</v>
      </c>
      <c r="B8" s="3497" t="s">
        <v>986</v>
      </c>
      <c r="C8" s="3497" t="s">
        <v>986</v>
      </c>
      <c r="D8" s="3507">
        <v>249.59537416325301</v>
      </c>
    </row>
    <row r="9" spans="1:4" ht="13.5" x14ac:dyDescent="0.2">
      <c r="A9" s="3565" t="s">
        <v>1301</v>
      </c>
      <c r="B9" s="3500">
        <v>567300</v>
      </c>
      <c r="C9" s="3507">
        <v>0.11999200719353</v>
      </c>
      <c r="D9" s="3500">
        <v>249.59537416325301</v>
      </c>
    </row>
    <row r="10" spans="1:4" ht="13.5" x14ac:dyDescent="0.2">
      <c r="A10" s="3565" t="s">
        <v>1300</v>
      </c>
      <c r="B10" s="3500" t="s">
        <v>455</v>
      </c>
      <c r="C10" s="3507" t="s">
        <v>455</v>
      </c>
      <c r="D10" s="3500" t="s">
        <v>455</v>
      </c>
    </row>
    <row r="11" spans="1:4" x14ac:dyDescent="0.2">
      <c r="A11" s="3564" t="s">
        <v>1299</v>
      </c>
      <c r="B11" s="3500">
        <v>1268</v>
      </c>
      <c r="C11" s="3507">
        <v>0.2</v>
      </c>
      <c r="D11" s="3500">
        <v>0.92986666666666995</v>
      </c>
    </row>
    <row r="12" spans="1:4" x14ac:dyDescent="0.2">
      <c r="A12" s="3564" t="s">
        <v>1298</v>
      </c>
      <c r="B12" s="3500">
        <v>40140</v>
      </c>
      <c r="C12" s="3507">
        <v>2.5999999999999999E-2</v>
      </c>
      <c r="D12" s="3500">
        <v>3.8266800000000001</v>
      </c>
    </row>
    <row r="13" spans="1:4" x14ac:dyDescent="0.2">
      <c r="A13" s="3564" t="s">
        <v>1297</v>
      </c>
      <c r="B13" s="3507" t="s">
        <v>799</v>
      </c>
      <c r="C13" s="3507" t="s">
        <v>799</v>
      </c>
      <c r="D13" s="3507" t="s">
        <v>799</v>
      </c>
    </row>
    <row r="14" spans="1:4" x14ac:dyDescent="0.2">
      <c r="A14" s="3519" t="s">
        <v>1296</v>
      </c>
      <c r="B14" s="3500" t="s">
        <v>799</v>
      </c>
      <c r="C14" s="3507" t="s">
        <v>799</v>
      </c>
      <c r="D14" s="3500" t="s">
        <v>799</v>
      </c>
    </row>
    <row r="15" spans="1:4" x14ac:dyDescent="0.2">
      <c r="A15" s="729" t="s">
        <v>564</v>
      </c>
      <c r="B15" s="3408"/>
      <c r="C15" s="728"/>
      <c r="D15" s="728"/>
    </row>
    <row r="16" spans="1:4" ht="13.5" x14ac:dyDescent="0.2">
      <c r="A16" s="727" t="s">
        <v>1295</v>
      </c>
      <c r="B16" s="660"/>
      <c r="C16" s="660"/>
      <c r="D16" s="660"/>
    </row>
    <row r="17" spans="1:4" x14ac:dyDescent="0.2">
      <c r="A17" s="5729" t="s">
        <v>982</v>
      </c>
      <c r="B17" s="5730"/>
      <c r="C17" s="5730"/>
      <c r="D17" s="5731"/>
    </row>
    <row r="18" spans="1:4" ht="36" customHeight="1" x14ac:dyDescent="0.2">
      <c r="A18" s="5732" t="s">
        <v>1294</v>
      </c>
      <c r="B18" s="5733"/>
      <c r="C18" s="5733"/>
      <c r="D18" s="5734"/>
    </row>
    <row r="19" spans="1:4" x14ac:dyDescent="0.2">
      <c r="A19" s="3563" t="s">
        <v>980</v>
      </c>
      <c r="B19" s="5696" t="s">
        <v>986</v>
      </c>
      <c r="C19" s="5727"/>
      <c r="D19" s="5727"/>
    </row>
    <row r="20" spans="1:4" x14ac:dyDescent="0.2">
      <c r="A20" s="3563" t="s">
        <v>980</v>
      </c>
      <c r="B20" s="5696" t="s">
        <v>986</v>
      </c>
      <c r="C20" s="5727"/>
      <c r="D20" s="5727"/>
    </row>
    <row r="21" spans="1:4" x14ac:dyDescent="0.2">
      <c r="A21" s="3563" t="s">
        <v>980</v>
      </c>
      <c r="B21" s="5696" t="s">
        <v>986</v>
      </c>
      <c r="C21" s="5727"/>
      <c r="D21" s="5727"/>
    </row>
    <row r="22" spans="1:4" x14ac:dyDescent="0.2">
      <c r="A22" s="3563" t="s">
        <v>980</v>
      </c>
      <c r="B22" s="5696" t="s">
        <v>986</v>
      </c>
      <c r="C22" s="5727"/>
      <c r="D22" s="5727"/>
    </row>
  </sheetData>
  <sheetProtection password="A754" sheet="1" objects="1" scenarios="1"/>
  <mergeCells count="8">
    <mergeCell ref="B19:D19"/>
    <mergeCell ref="B20:D20"/>
    <mergeCell ref="B21:D21"/>
    <mergeCell ref="B22:D22"/>
    <mergeCell ref="A2:B2"/>
    <mergeCell ref="A5:A6"/>
    <mergeCell ref="A17:D17"/>
    <mergeCell ref="A18:D18"/>
  </mergeCells>
  <pageMargins left="0.7" right="0.7" top="0.75" bottom="0.75" header="0.3" footer="0.3"/>
  <pageSetup paperSize="9" scale="74" orientation="landscape"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90B86-EA24-4D48-ABD7-9E9E503C00F4}">
  <sheetPr codeName="Ark66">
    <tabColor theme="0" tint="-0.34998626667073579"/>
    <pageSetUpPr fitToPage="1"/>
  </sheetPr>
  <dimension ref="A1:U37"/>
  <sheetViews>
    <sheetView showGridLines="0" workbookViewId="0"/>
  </sheetViews>
  <sheetFormatPr defaultColWidth="8" defaultRowHeight="12" customHeight="1" x14ac:dyDescent="0.2"/>
  <cols>
    <col min="1" max="1" width="35.28515625" style="659" customWidth="1"/>
    <col min="2" max="2" width="21" style="659" customWidth="1"/>
    <col min="3" max="4" width="7.7109375" style="659" customWidth="1"/>
    <col min="5" max="5" width="7.140625" style="659" customWidth="1"/>
    <col min="6" max="12" width="9" style="659" customWidth="1"/>
    <col min="13" max="16" width="6.28515625" style="659" customWidth="1"/>
    <col min="17" max="17" width="7.7109375" style="659" customWidth="1"/>
    <col min="18" max="19" width="6.85546875" style="659" customWidth="1"/>
    <col min="20" max="20" width="9" style="659" customWidth="1"/>
    <col min="21" max="21" width="2.140625" style="659" customWidth="1"/>
    <col min="22" max="16384" width="8" style="659"/>
  </cols>
  <sheetData>
    <row r="1" spans="1:21" ht="15.75" x14ac:dyDescent="0.25">
      <c r="A1" s="671" t="s">
        <v>1353</v>
      </c>
      <c r="B1" s="671"/>
      <c r="C1" s="660"/>
      <c r="D1" s="660"/>
      <c r="E1" s="660"/>
      <c r="F1" s="660"/>
      <c r="G1" s="660"/>
      <c r="H1" s="660"/>
      <c r="I1" s="660"/>
      <c r="J1" s="660"/>
      <c r="K1" s="660"/>
      <c r="L1" s="660"/>
      <c r="M1" s="660"/>
      <c r="N1" s="660"/>
      <c r="O1" s="660"/>
      <c r="P1" s="660"/>
      <c r="Q1" s="660"/>
      <c r="R1" s="660"/>
      <c r="S1" s="660"/>
      <c r="T1" s="668" t="s">
        <v>1762</v>
      </c>
      <c r="U1" s="660"/>
    </row>
    <row r="2" spans="1:21" ht="15.75" x14ac:dyDescent="0.25">
      <c r="A2" s="671" t="s">
        <v>1352</v>
      </c>
      <c r="B2" s="671"/>
      <c r="C2" s="660"/>
      <c r="D2" s="660"/>
      <c r="E2" s="660"/>
      <c r="F2" s="660"/>
      <c r="G2" s="660"/>
      <c r="H2" s="660"/>
      <c r="I2" s="660"/>
      <c r="J2" s="660"/>
      <c r="K2" s="660"/>
      <c r="L2" s="660"/>
      <c r="M2" s="660"/>
      <c r="N2" s="660"/>
      <c r="O2" s="660"/>
      <c r="P2" s="660"/>
      <c r="Q2" s="660"/>
      <c r="R2" s="660"/>
      <c r="S2" s="660"/>
      <c r="T2" s="668" t="s">
        <v>1761</v>
      </c>
      <c r="U2" s="660"/>
    </row>
    <row r="3" spans="1:21" ht="15.75" x14ac:dyDescent="0.25">
      <c r="A3" s="671" t="s">
        <v>1197</v>
      </c>
      <c r="B3" s="671"/>
      <c r="C3" s="660"/>
      <c r="D3" s="660"/>
      <c r="E3" s="660"/>
      <c r="F3" s="660"/>
      <c r="G3" s="660"/>
      <c r="H3" s="660"/>
      <c r="I3" s="660"/>
      <c r="J3" s="660"/>
      <c r="K3" s="660"/>
      <c r="L3" s="660"/>
      <c r="M3" s="660"/>
      <c r="N3" s="660"/>
      <c r="O3" s="660"/>
      <c r="P3" s="660"/>
      <c r="Q3" s="660"/>
      <c r="R3" s="660"/>
      <c r="S3" s="660"/>
      <c r="T3" s="668" t="s">
        <v>1789</v>
      </c>
      <c r="U3" s="660"/>
    </row>
    <row r="4" spans="1:21" ht="12" customHeight="1" x14ac:dyDescent="0.2">
      <c r="A4" s="660"/>
      <c r="B4" s="660"/>
      <c r="C4" s="660"/>
      <c r="D4" s="660"/>
      <c r="E4" s="660"/>
      <c r="F4" s="660"/>
      <c r="G4" s="660"/>
      <c r="H4" s="660"/>
      <c r="I4" s="660"/>
      <c r="J4" s="660"/>
      <c r="K4" s="660"/>
      <c r="L4" s="660"/>
      <c r="M4" s="660"/>
      <c r="N4" s="660"/>
      <c r="O4" s="660"/>
      <c r="P4" s="660"/>
      <c r="Q4" s="660"/>
      <c r="R4" s="660"/>
      <c r="S4" s="660"/>
      <c r="T4" s="731"/>
      <c r="U4" s="660"/>
    </row>
    <row r="5" spans="1:21" ht="30" customHeight="1" x14ac:dyDescent="0.2">
      <c r="A5" s="5740" t="s">
        <v>1025</v>
      </c>
      <c r="B5" s="5741"/>
      <c r="C5" s="5736" t="s">
        <v>1083</v>
      </c>
      <c r="D5" s="5737"/>
      <c r="E5" s="5738"/>
      <c r="F5" s="5736" t="s">
        <v>1351</v>
      </c>
      <c r="G5" s="5737"/>
      <c r="H5" s="5737"/>
      <c r="I5" s="5737"/>
      <c r="J5" s="5737"/>
      <c r="K5" s="5737"/>
      <c r="L5" s="5738"/>
      <c r="M5" s="5736" t="s">
        <v>1350</v>
      </c>
      <c r="N5" s="5737"/>
      <c r="O5" s="5737"/>
      <c r="P5" s="5737"/>
      <c r="Q5" s="5737"/>
      <c r="R5" s="5737"/>
      <c r="S5" s="5738"/>
      <c r="T5" s="5739" t="s">
        <v>1349</v>
      </c>
      <c r="U5" s="660"/>
    </row>
    <row r="6" spans="1:21" ht="47.25" customHeight="1" x14ac:dyDescent="0.2">
      <c r="A6" s="5728" t="s">
        <v>1348</v>
      </c>
      <c r="B6" s="5739" t="s">
        <v>1347</v>
      </c>
      <c r="C6" s="5739" t="s">
        <v>1346</v>
      </c>
      <c r="D6" s="5739" t="s">
        <v>1345</v>
      </c>
      <c r="E6" s="5743" t="s">
        <v>1344</v>
      </c>
      <c r="F6" s="5742" t="s">
        <v>1343</v>
      </c>
      <c r="G6" s="5744"/>
      <c r="H6" s="5743"/>
      <c r="I6" s="5739" t="s">
        <v>1342</v>
      </c>
      <c r="J6" s="5739" t="s">
        <v>1341</v>
      </c>
      <c r="K6" s="5742" t="s">
        <v>1340</v>
      </c>
      <c r="L6" s="5743"/>
      <c r="M6" s="5742" t="s">
        <v>1339</v>
      </c>
      <c r="N6" s="5744"/>
      <c r="O6" s="5743"/>
      <c r="P6" s="5739" t="s">
        <v>1338</v>
      </c>
      <c r="Q6" s="5739" t="s">
        <v>1337</v>
      </c>
      <c r="R6" s="5742" t="s">
        <v>1336</v>
      </c>
      <c r="S6" s="5743"/>
      <c r="T6" s="5532"/>
      <c r="U6" s="660"/>
    </row>
    <row r="7" spans="1:21" ht="12.75" customHeight="1" x14ac:dyDescent="0.2">
      <c r="A7" s="5520"/>
      <c r="B7" s="5532"/>
      <c r="C7" s="5532"/>
      <c r="D7" s="5532"/>
      <c r="E7" s="5542"/>
      <c r="F7" s="5539"/>
      <c r="G7" s="5545"/>
      <c r="H7" s="5540"/>
      <c r="I7" s="5532"/>
      <c r="J7" s="5532"/>
      <c r="K7" s="5539"/>
      <c r="L7" s="5540"/>
      <c r="M7" s="5539"/>
      <c r="N7" s="5545"/>
      <c r="O7" s="5540"/>
      <c r="P7" s="5532"/>
      <c r="Q7" s="5532"/>
      <c r="R7" s="5539"/>
      <c r="S7" s="5540"/>
      <c r="T7" s="5532"/>
      <c r="U7" s="660"/>
    </row>
    <row r="8" spans="1:21" ht="53.25" customHeight="1" x14ac:dyDescent="0.2">
      <c r="A8" s="5520"/>
      <c r="B8" s="5532"/>
      <c r="C8" s="5532"/>
      <c r="D8" s="5532"/>
      <c r="E8" s="5542"/>
      <c r="F8" s="3566" t="s">
        <v>1334</v>
      </c>
      <c r="G8" s="3566" t="s">
        <v>1333</v>
      </c>
      <c r="H8" s="3566" t="s">
        <v>1332</v>
      </c>
      <c r="I8" s="5533"/>
      <c r="J8" s="5533"/>
      <c r="K8" s="3309" t="s">
        <v>1335</v>
      </c>
      <c r="L8" s="3311" t="s">
        <v>1330</v>
      </c>
      <c r="M8" s="3566" t="s">
        <v>1334</v>
      </c>
      <c r="N8" s="3566" t="s">
        <v>1333</v>
      </c>
      <c r="O8" s="3566" t="s">
        <v>1332</v>
      </c>
      <c r="P8" s="5533"/>
      <c r="Q8" s="5533"/>
      <c r="R8" s="3309" t="s">
        <v>1331</v>
      </c>
      <c r="S8" s="3311" t="s">
        <v>1330</v>
      </c>
      <c r="T8" s="5533"/>
      <c r="U8" s="660"/>
    </row>
    <row r="9" spans="1:21" ht="21.75" customHeight="1" thickBot="1" x14ac:dyDescent="0.25">
      <c r="A9" s="5556"/>
      <c r="B9" s="5541"/>
      <c r="C9" s="5541"/>
      <c r="D9" s="5541"/>
      <c r="E9" s="5543"/>
      <c r="F9" s="5546" t="s">
        <v>1329</v>
      </c>
      <c r="G9" s="5547"/>
      <c r="H9" s="5547"/>
      <c r="I9" s="5547"/>
      <c r="J9" s="5547"/>
      <c r="K9" s="5547"/>
      <c r="L9" s="5548"/>
      <c r="M9" s="5546" t="s">
        <v>1328</v>
      </c>
      <c r="N9" s="5547"/>
      <c r="O9" s="5547"/>
      <c r="P9" s="5547"/>
      <c r="Q9" s="5547"/>
      <c r="R9" s="5547"/>
      <c r="S9" s="5548"/>
      <c r="T9" s="734" t="s">
        <v>1011</v>
      </c>
      <c r="U9" s="660"/>
    </row>
    <row r="10" spans="1:21" ht="12.75" thickTop="1" x14ac:dyDescent="0.2">
      <c r="A10" s="733" t="s">
        <v>1327</v>
      </c>
      <c r="B10" s="3497" t="s">
        <v>986</v>
      </c>
      <c r="C10" s="3507">
        <v>641.32549999866001</v>
      </c>
      <c r="D10" s="3507">
        <v>604.44274060990006</v>
      </c>
      <c r="E10" s="3507">
        <v>36.88275938876</v>
      </c>
      <c r="F10" s="3507">
        <v>0.60478732736155005</v>
      </c>
      <c r="G10" s="3507">
        <v>-2.7427456940409999E-2</v>
      </c>
      <c r="H10" s="3507">
        <v>0.57735987042114001</v>
      </c>
      <c r="I10" s="3507">
        <v>5.9363973762729998E-2</v>
      </c>
      <c r="J10" s="3507">
        <v>0.35002280359910998</v>
      </c>
      <c r="K10" s="3507">
        <v>2.516309396264E-2</v>
      </c>
      <c r="L10" s="3507">
        <v>-1.2999999999865</v>
      </c>
      <c r="M10" s="3507">
        <v>387.86553511300002</v>
      </c>
      <c r="N10" s="3507">
        <v>-17.589927536000001</v>
      </c>
      <c r="O10" s="3507">
        <v>370.27560757700002</v>
      </c>
      <c r="P10" s="3507">
        <v>38.071630155291999</v>
      </c>
      <c r="Q10" s="3507">
        <v>224.47854952912999</v>
      </c>
      <c r="R10" s="3507">
        <v>15.209649476999999</v>
      </c>
      <c r="S10" s="3507">
        <v>-47.947587204889999</v>
      </c>
      <c r="T10" s="3507">
        <v>-2200.322114956286</v>
      </c>
      <c r="U10" s="679"/>
    </row>
    <row r="11" spans="1:21" x14ac:dyDescent="0.2">
      <c r="A11" s="3574" t="s">
        <v>1326</v>
      </c>
      <c r="B11" s="3497"/>
      <c r="C11" s="3507">
        <v>533.32609999800002</v>
      </c>
      <c r="D11" s="3507">
        <v>507.52798073000002</v>
      </c>
      <c r="E11" s="3507">
        <v>25.798119268000001</v>
      </c>
      <c r="F11" s="3507">
        <v>0.15352787710616</v>
      </c>
      <c r="G11" s="3507" t="s">
        <v>455</v>
      </c>
      <c r="H11" s="3507">
        <v>0.15352787710616</v>
      </c>
      <c r="I11" s="3507">
        <v>6.9933864410800003E-2</v>
      </c>
      <c r="J11" s="3507">
        <v>0.35774860585431001</v>
      </c>
      <c r="K11" s="3507" t="s">
        <v>799</v>
      </c>
      <c r="L11" s="3507">
        <v>-1.29999999998449</v>
      </c>
      <c r="M11" s="3507">
        <v>81.880423938000007</v>
      </c>
      <c r="N11" s="3507" t="s">
        <v>455</v>
      </c>
      <c r="O11" s="3507">
        <v>81.880423938000007</v>
      </c>
      <c r="P11" s="3507">
        <v>37.297555164000002</v>
      </c>
      <c r="Q11" s="3507">
        <v>190.79666874</v>
      </c>
      <c r="R11" s="3507" t="s">
        <v>799</v>
      </c>
      <c r="S11" s="3507">
        <v>-33.537555048000002</v>
      </c>
      <c r="T11" s="3507">
        <v>-1013.6026735780009</v>
      </c>
      <c r="U11" s="660"/>
    </row>
    <row r="12" spans="1:21" x14ac:dyDescent="0.2">
      <c r="A12" s="3548" t="s">
        <v>1319</v>
      </c>
      <c r="B12" s="3500" t="s">
        <v>1319</v>
      </c>
      <c r="C12" s="3507">
        <v>533.32609999800002</v>
      </c>
      <c r="D12" s="3500">
        <v>507.52798073000002</v>
      </c>
      <c r="E12" s="3500">
        <v>25.798119268000001</v>
      </c>
      <c r="F12" s="3507">
        <v>0.15352787710616</v>
      </c>
      <c r="G12" s="3507" t="s">
        <v>455</v>
      </c>
      <c r="H12" s="3507">
        <v>0.15352787710616</v>
      </c>
      <c r="I12" s="3507">
        <v>6.9933864410800003E-2</v>
      </c>
      <c r="J12" s="3507">
        <v>0.35774860585431001</v>
      </c>
      <c r="K12" s="3507" t="s">
        <v>799</v>
      </c>
      <c r="L12" s="3507">
        <v>-1.29999999998449</v>
      </c>
      <c r="M12" s="3500">
        <v>81.880423938000007</v>
      </c>
      <c r="N12" s="3500" t="s">
        <v>455</v>
      </c>
      <c r="O12" s="3507">
        <v>81.880423938000007</v>
      </c>
      <c r="P12" s="3500">
        <v>37.297555164000002</v>
      </c>
      <c r="Q12" s="3500">
        <v>190.79666874</v>
      </c>
      <c r="R12" s="3500" t="s">
        <v>799</v>
      </c>
      <c r="S12" s="3500">
        <v>-33.537555048000002</v>
      </c>
      <c r="T12" s="3507">
        <v>-1013.6026735780009</v>
      </c>
      <c r="U12" s="660"/>
    </row>
    <row r="13" spans="1:21" ht="13.5" x14ac:dyDescent="0.2">
      <c r="A13" s="3575" t="s">
        <v>1325</v>
      </c>
      <c r="B13" s="3497" t="s">
        <v>986</v>
      </c>
      <c r="C13" s="3507">
        <v>107.99940000066</v>
      </c>
      <c r="D13" s="3507">
        <v>96.914759879900004</v>
      </c>
      <c r="E13" s="3507">
        <v>11.08464012076</v>
      </c>
      <c r="F13" s="3507">
        <v>2.83321121388758</v>
      </c>
      <c r="G13" s="3507">
        <v>-0.16287060424309999</v>
      </c>
      <c r="H13" s="3507">
        <v>2.6703406096444802</v>
      </c>
      <c r="I13" s="3507">
        <v>7.1674008493300004E-3</v>
      </c>
      <c r="J13" s="3507">
        <v>0.31187099918076999</v>
      </c>
      <c r="K13" s="3507">
        <v>0.15693842192714999</v>
      </c>
      <c r="L13" s="3507">
        <v>-1.29999999999116</v>
      </c>
      <c r="M13" s="3507">
        <v>305.98511117499999</v>
      </c>
      <c r="N13" s="3507">
        <v>-17.589927536000001</v>
      </c>
      <c r="O13" s="3507">
        <v>288.39518363899998</v>
      </c>
      <c r="P13" s="3507">
        <v>0.77407499129199997</v>
      </c>
      <c r="Q13" s="3507">
        <v>33.681880789129998</v>
      </c>
      <c r="R13" s="3507">
        <v>15.209649476999999</v>
      </c>
      <c r="S13" s="3507">
        <v>-14.410032156890001</v>
      </c>
      <c r="T13" s="3507">
        <v>-1186.7194413782852</v>
      </c>
      <c r="U13" s="660"/>
    </row>
    <row r="14" spans="1:21" x14ac:dyDescent="0.2">
      <c r="A14" s="3574" t="s">
        <v>1324</v>
      </c>
      <c r="B14" s="3497"/>
      <c r="C14" s="3507">
        <v>99.444958334000006</v>
      </c>
      <c r="D14" s="3507">
        <v>89.283751967000001</v>
      </c>
      <c r="E14" s="3507">
        <v>10.161206367</v>
      </c>
      <c r="F14" s="3507">
        <v>2.81046089135365</v>
      </c>
      <c r="G14" s="3507">
        <v>-0.16976690240341999</v>
      </c>
      <c r="H14" s="3507">
        <v>2.6406939889502299</v>
      </c>
      <c r="I14" s="3507">
        <v>7.0965135670299998E-3</v>
      </c>
      <c r="J14" s="3507">
        <v>0.30878652155361003</v>
      </c>
      <c r="K14" s="3507">
        <v>0.17035181812948</v>
      </c>
      <c r="L14" s="3507">
        <v>-1.2999999999901599</v>
      </c>
      <c r="M14" s="3507">
        <v>279.48616623999999</v>
      </c>
      <c r="N14" s="3507">
        <v>-16.882462535999998</v>
      </c>
      <c r="O14" s="3507">
        <v>262.603703704</v>
      </c>
      <c r="P14" s="3507">
        <v>0.70571249598999997</v>
      </c>
      <c r="Q14" s="3507">
        <v>30.70726277</v>
      </c>
      <c r="R14" s="3507">
        <v>15.209649476999999</v>
      </c>
      <c r="S14" s="3507">
        <v>-13.209568277000001</v>
      </c>
      <c r="T14" s="3507">
        <v>-1085.3947872899644</v>
      </c>
      <c r="U14" s="660"/>
    </row>
    <row r="15" spans="1:21" x14ac:dyDescent="0.2">
      <c r="A15" s="3548" t="s">
        <v>1319</v>
      </c>
      <c r="B15" s="3500" t="s">
        <v>1319</v>
      </c>
      <c r="C15" s="3507">
        <v>99.444958334000006</v>
      </c>
      <c r="D15" s="3500">
        <v>89.283751967000001</v>
      </c>
      <c r="E15" s="3500">
        <v>10.161206367</v>
      </c>
      <c r="F15" s="3507">
        <v>2.81046089135365</v>
      </c>
      <c r="G15" s="3507">
        <v>-0.16976690240341999</v>
      </c>
      <c r="H15" s="3507">
        <v>2.6406939889502299</v>
      </c>
      <c r="I15" s="3507">
        <v>7.0965135670299998E-3</v>
      </c>
      <c r="J15" s="3507">
        <v>0.30878652155361003</v>
      </c>
      <c r="K15" s="3507">
        <v>0.17035181812948</v>
      </c>
      <c r="L15" s="3507">
        <v>-1.2999999999901599</v>
      </c>
      <c r="M15" s="3500">
        <v>279.48616623999999</v>
      </c>
      <c r="N15" s="3500">
        <v>-16.882462535999998</v>
      </c>
      <c r="O15" s="3507">
        <v>262.603703704</v>
      </c>
      <c r="P15" s="3500">
        <v>0.70571249598999997</v>
      </c>
      <c r="Q15" s="3500">
        <v>30.70726277</v>
      </c>
      <c r="R15" s="3500">
        <v>15.209649476999999</v>
      </c>
      <c r="S15" s="3500">
        <v>-13.209568277000001</v>
      </c>
      <c r="T15" s="3507">
        <v>-1085.3947872899644</v>
      </c>
      <c r="U15" s="660"/>
    </row>
    <row r="16" spans="1:21" x14ac:dyDescent="0.2">
      <c r="A16" s="3574" t="s">
        <v>1323</v>
      </c>
      <c r="B16" s="3497"/>
      <c r="C16" s="3507">
        <v>7.01707083334</v>
      </c>
      <c r="D16" s="3507">
        <v>6.2654651912999997</v>
      </c>
      <c r="E16" s="3507">
        <v>0.75160564204000002</v>
      </c>
      <c r="F16" s="3507">
        <v>3.05601608182611</v>
      </c>
      <c r="G16" s="3507">
        <v>-0.10082055843567</v>
      </c>
      <c r="H16" s="3507">
        <v>2.9551955233904401</v>
      </c>
      <c r="I16" s="3507">
        <v>7.8616341529400002E-3</v>
      </c>
      <c r="J16" s="3507">
        <v>0.34207877445031998</v>
      </c>
      <c r="K16" s="3507" t="s">
        <v>799</v>
      </c>
      <c r="L16" s="3507">
        <v>-1.29999999999734</v>
      </c>
      <c r="M16" s="3507">
        <v>21.444281314000001</v>
      </c>
      <c r="N16" s="3507">
        <v>-0.70746500000000001</v>
      </c>
      <c r="O16" s="3507">
        <v>20.736816313999999</v>
      </c>
      <c r="P16" s="3507">
        <v>5.5165643717000001E-2</v>
      </c>
      <c r="Q16" s="3507">
        <v>2.4003909909000001</v>
      </c>
      <c r="R16" s="3507" t="s">
        <v>799</v>
      </c>
      <c r="S16" s="3507">
        <v>-0.97708733464999997</v>
      </c>
      <c r="T16" s="3507">
        <v>-81.456047251212411</v>
      </c>
      <c r="U16" s="660"/>
    </row>
    <row r="17" spans="1:21" x14ac:dyDescent="0.2">
      <c r="A17" s="3548" t="s">
        <v>1319</v>
      </c>
      <c r="B17" s="3500" t="s">
        <v>1319</v>
      </c>
      <c r="C17" s="3507">
        <v>7.01707083334</v>
      </c>
      <c r="D17" s="3500">
        <v>6.2654651912999997</v>
      </c>
      <c r="E17" s="3500">
        <v>0.75160564204000002</v>
      </c>
      <c r="F17" s="3507">
        <v>3.05601608182611</v>
      </c>
      <c r="G17" s="3507">
        <v>-0.10082055843567</v>
      </c>
      <c r="H17" s="3507">
        <v>2.9551955233904401</v>
      </c>
      <c r="I17" s="3507">
        <v>7.8616341529400002E-3</v>
      </c>
      <c r="J17" s="3507">
        <v>0.34207877445031998</v>
      </c>
      <c r="K17" s="3507" t="s">
        <v>799</v>
      </c>
      <c r="L17" s="3507">
        <v>-1.29999999999734</v>
      </c>
      <c r="M17" s="3500">
        <v>21.444281314000001</v>
      </c>
      <c r="N17" s="3500">
        <v>-0.70746500000000001</v>
      </c>
      <c r="O17" s="3507">
        <v>20.736816313999999</v>
      </c>
      <c r="P17" s="3500">
        <v>5.5165643717000001E-2</v>
      </c>
      <c r="Q17" s="3500">
        <v>2.4003909909000001</v>
      </c>
      <c r="R17" s="3500" t="s">
        <v>799</v>
      </c>
      <c r="S17" s="3500">
        <v>-0.97708733464999997</v>
      </c>
      <c r="T17" s="3507">
        <v>-81.456047251212411</v>
      </c>
      <c r="U17" s="660"/>
    </row>
    <row r="18" spans="1:21" x14ac:dyDescent="0.2">
      <c r="A18" s="3574" t="s">
        <v>1322</v>
      </c>
      <c r="B18" s="3497"/>
      <c r="C18" s="3507">
        <v>1.53737083332</v>
      </c>
      <c r="D18" s="3507">
        <v>1.3655427216</v>
      </c>
      <c r="E18" s="3507">
        <v>0.17182811172000001</v>
      </c>
      <c r="F18" s="3507">
        <v>3.28786231106278</v>
      </c>
      <c r="G18" s="3507" t="s">
        <v>455</v>
      </c>
      <c r="H18" s="3507">
        <v>3.28786231106278</v>
      </c>
      <c r="I18" s="3507">
        <v>8.5840392564899993E-3</v>
      </c>
      <c r="J18" s="3507">
        <v>0.37351237306222002</v>
      </c>
      <c r="K18" s="3507" t="s">
        <v>799</v>
      </c>
      <c r="L18" s="3507">
        <v>-1.3000000000232801</v>
      </c>
      <c r="M18" s="3507">
        <v>5.0546636210000004</v>
      </c>
      <c r="N18" s="3507" t="s">
        <v>455</v>
      </c>
      <c r="O18" s="3507">
        <v>5.0546636210000004</v>
      </c>
      <c r="P18" s="3507">
        <v>1.3196851585000001E-2</v>
      </c>
      <c r="Q18" s="3507">
        <v>0.57422702823000005</v>
      </c>
      <c r="R18" s="3507" t="s">
        <v>799</v>
      </c>
      <c r="S18" s="3507">
        <v>-0.22337654524</v>
      </c>
      <c r="T18" s="3507">
        <v>-19.868606837108349</v>
      </c>
      <c r="U18" s="660"/>
    </row>
    <row r="19" spans="1:21" x14ac:dyDescent="0.2">
      <c r="A19" s="3548" t="s">
        <v>1319</v>
      </c>
      <c r="B19" s="3500" t="s">
        <v>1319</v>
      </c>
      <c r="C19" s="3507">
        <v>1.53737083332</v>
      </c>
      <c r="D19" s="3500">
        <v>1.3655427216</v>
      </c>
      <c r="E19" s="3500">
        <v>0.17182811172000001</v>
      </c>
      <c r="F19" s="3507">
        <v>3.28786231106278</v>
      </c>
      <c r="G19" s="3507" t="s">
        <v>455</v>
      </c>
      <c r="H19" s="3507">
        <v>3.28786231106278</v>
      </c>
      <c r="I19" s="3507">
        <v>8.5840392564899993E-3</v>
      </c>
      <c r="J19" s="3507">
        <v>0.37351237306222002</v>
      </c>
      <c r="K19" s="3507" t="s">
        <v>799</v>
      </c>
      <c r="L19" s="3507">
        <v>-1.3000000000232801</v>
      </c>
      <c r="M19" s="3500">
        <v>5.0546636210000004</v>
      </c>
      <c r="N19" s="3500" t="s">
        <v>455</v>
      </c>
      <c r="O19" s="3507">
        <v>5.0546636210000004</v>
      </c>
      <c r="P19" s="3500">
        <v>1.3196851585000001E-2</v>
      </c>
      <c r="Q19" s="3500">
        <v>0.57422702823000005</v>
      </c>
      <c r="R19" s="3500" t="s">
        <v>799</v>
      </c>
      <c r="S19" s="3500">
        <v>-0.22337654524</v>
      </c>
      <c r="T19" s="3507">
        <v>-19.868606837108349</v>
      </c>
      <c r="U19" s="660"/>
    </row>
    <row r="20" spans="1:21" x14ac:dyDescent="0.2">
      <c r="A20" s="3573" t="s">
        <v>1321</v>
      </c>
      <c r="B20" s="3497"/>
      <c r="C20" s="3507" t="s">
        <v>259</v>
      </c>
      <c r="D20" s="3507" t="s">
        <v>259</v>
      </c>
      <c r="E20" s="3507" t="s">
        <v>259</v>
      </c>
      <c r="F20" s="3507" t="s">
        <v>799</v>
      </c>
      <c r="G20" s="3507" t="s">
        <v>799</v>
      </c>
      <c r="H20" s="3507" t="s">
        <v>799</v>
      </c>
      <c r="I20" s="3507" t="s">
        <v>799</v>
      </c>
      <c r="J20" s="3507" t="s">
        <v>799</v>
      </c>
      <c r="K20" s="3507" t="s">
        <v>799</v>
      </c>
      <c r="L20" s="3507" t="s">
        <v>799</v>
      </c>
      <c r="M20" s="3507" t="s">
        <v>799</v>
      </c>
      <c r="N20" s="3507" t="s">
        <v>799</v>
      </c>
      <c r="O20" s="3507" t="s">
        <v>799</v>
      </c>
      <c r="P20" s="3507" t="s">
        <v>799</v>
      </c>
      <c r="Q20" s="3507" t="s">
        <v>799</v>
      </c>
      <c r="R20" s="3507" t="s">
        <v>799</v>
      </c>
      <c r="S20" s="3507" t="s">
        <v>799</v>
      </c>
      <c r="T20" s="3507" t="s">
        <v>799</v>
      </c>
      <c r="U20" s="660"/>
    </row>
    <row r="21" spans="1:21" x14ac:dyDescent="0.2">
      <c r="A21" s="3548" t="s">
        <v>1319</v>
      </c>
      <c r="B21" s="3500" t="s">
        <v>1319</v>
      </c>
      <c r="C21" s="3507" t="s">
        <v>259</v>
      </c>
      <c r="D21" s="3500" t="s">
        <v>259</v>
      </c>
      <c r="E21" s="3500" t="s">
        <v>259</v>
      </c>
      <c r="F21" s="3507" t="s">
        <v>799</v>
      </c>
      <c r="G21" s="3507" t="s">
        <v>799</v>
      </c>
      <c r="H21" s="3507" t="s">
        <v>799</v>
      </c>
      <c r="I21" s="3507" t="s">
        <v>799</v>
      </c>
      <c r="J21" s="3507" t="s">
        <v>799</v>
      </c>
      <c r="K21" s="3507" t="s">
        <v>799</v>
      </c>
      <c r="L21" s="3507" t="s">
        <v>799</v>
      </c>
      <c r="M21" s="3500" t="s">
        <v>799</v>
      </c>
      <c r="N21" s="3500" t="s">
        <v>799</v>
      </c>
      <c r="O21" s="3507" t="s">
        <v>799</v>
      </c>
      <c r="P21" s="3500" t="s">
        <v>799</v>
      </c>
      <c r="Q21" s="3500" t="s">
        <v>799</v>
      </c>
      <c r="R21" s="3500" t="s">
        <v>799</v>
      </c>
      <c r="S21" s="3500" t="s">
        <v>799</v>
      </c>
      <c r="T21" s="3507" t="s">
        <v>799</v>
      </c>
      <c r="U21" s="660"/>
    </row>
    <row r="22" spans="1:21" x14ac:dyDescent="0.2">
      <c r="A22" s="3573" t="s">
        <v>1320</v>
      </c>
      <c r="B22" s="3497"/>
      <c r="C22" s="3507" t="s">
        <v>259</v>
      </c>
      <c r="D22" s="3507" t="s">
        <v>259</v>
      </c>
      <c r="E22" s="3507" t="s">
        <v>259</v>
      </c>
      <c r="F22" s="3507" t="s">
        <v>799</v>
      </c>
      <c r="G22" s="3507" t="s">
        <v>799</v>
      </c>
      <c r="H22" s="3507" t="s">
        <v>799</v>
      </c>
      <c r="I22" s="3507" t="s">
        <v>799</v>
      </c>
      <c r="J22" s="3507" t="s">
        <v>799</v>
      </c>
      <c r="K22" s="3507" t="s">
        <v>799</v>
      </c>
      <c r="L22" s="3507" t="s">
        <v>799</v>
      </c>
      <c r="M22" s="3507" t="s">
        <v>799</v>
      </c>
      <c r="N22" s="3507" t="s">
        <v>799</v>
      </c>
      <c r="O22" s="3507" t="s">
        <v>799</v>
      </c>
      <c r="P22" s="3507" t="s">
        <v>799</v>
      </c>
      <c r="Q22" s="3507" t="s">
        <v>799</v>
      </c>
      <c r="R22" s="3507" t="s">
        <v>799</v>
      </c>
      <c r="S22" s="3507" t="s">
        <v>799</v>
      </c>
      <c r="T22" s="3507" t="s">
        <v>799</v>
      </c>
      <c r="U22" s="660"/>
    </row>
    <row r="23" spans="1:21" x14ac:dyDescent="0.2">
      <c r="A23" s="3548" t="s">
        <v>1319</v>
      </c>
      <c r="B23" s="3500" t="s">
        <v>1319</v>
      </c>
      <c r="C23" s="3507" t="s">
        <v>259</v>
      </c>
      <c r="D23" s="3500" t="s">
        <v>259</v>
      </c>
      <c r="E23" s="3500" t="s">
        <v>259</v>
      </c>
      <c r="F23" s="3507" t="s">
        <v>799</v>
      </c>
      <c r="G23" s="3507" t="s">
        <v>799</v>
      </c>
      <c r="H23" s="3507" t="s">
        <v>799</v>
      </c>
      <c r="I23" s="3507" t="s">
        <v>799</v>
      </c>
      <c r="J23" s="3507" t="s">
        <v>799</v>
      </c>
      <c r="K23" s="3507" t="s">
        <v>799</v>
      </c>
      <c r="L23" s="3507" t="s">
        <v>799</v>
      </c>
      <c r="M23" s="3500" t="s">
        <v>799</v>
      </c>
      <c r="N23" s="3500" t="s">
        <v>799</v>
      </c>
      <c r="O23" s="3507" t="s">
        <v>799</v>
      </c>
      <c r="P23" s="3500" t="s">
        <v>799</v>
      </c>
      <c r="Q23" s="3500" t="s">
        <v>799</v>
      </c>
      <c r="R23" s="3500" t="s">
        <v>799</v>
      </c>
      <c r="S23" s="3500" t="s">
        <v>799</v>
      </c>
      <c r="T23" s="3507" t="s">
        <v>799</v>
      </c>
      <c r="U23" s="660"/>
    </row>
    <row r="24" spans="1:21" ht="12" customHeight="1" x14ac:dyDescent="0.2">
      <c r="A24" s="732" t="s">
        <v>564</v>
      </c>
      <c r="B24" s="731"/>
      <c r="C24" s="731"/>
      <c r="D24" s="731"/>
      <c r="E24" s="731"/>
      <c r="F24" s="731"/>
      <c r="G24" s="731"/>
      <c r="H24" s="731"/>
      <c r="I24" s="731"/>
      <c r="J24" s="731"/>
      <c r="K24" s="731"/>
      <c r="L24" s="731"/>
      <c r="M24" s="731"/>
      <c r="N24" s="731"/>
      <c r="O24" s="731"/>
      <c r="P24" s="731"/>
      <c r="Q24" s="731"/>
      <c r="R24" s="731"/>
      <c r="S24" s="731"/>
      <c r="T24" s="731"/>
      <c r="U24" s="660"/>
    </row>
    <row r="25" spans="1:21" ht="29.25" customHeight="1" x14ac:dyDescent="0.2">
      <c r="A25" s="5554" t="s">
        <v>1318</v>
      </c>
      <c r="B25" s="5554"/>
      <c r="C25" s="5554"/>
      <c r="D25" s="5554"/>
      <c r="E25" s="5554"/>
      <c r="F25" s="5554"/>
      <c r="G25" s="5554"/>
      <c r="H25" s="5554"/>
      <c r="I25" s="5554"/>
      <c r="J25" s="5554"/>
      <c r="K25" s="5554"/>
      <c r="L25" s="5554"/>
      <c r="M25" s="5554"/>
      <c r="N25" s="5554"/>
      <c r="O25" s="5554"/>
      <c r="P25" s="5554"/>
      <c r="Q25" s="5554"/>
      <c r="R25" s="5554"/>
      <c r="S25" s="5554"/>
      <c r="T25" s="5554"/>
      <c r="U25" s="660"/>
    </row>
    <row r="26" spans="1:21" ht="15" customHeight="1" x14ac:dyDescent="0.2">
      <c r="A26" s="5536" t="s">
        <v>1317</v>
      </c>
      <c r="B26" s="5536"/>
      <c r="C26" s="5536"/>
      <c r="D26" s="5536"/>
      <c r="E26" s="5536"/>
      <c r="F26" s="5536"/>
      <c r="G26" s="5536"/>
      <c r="H26" s="5536"/>
      <c r="I26" s="5536"/>
      <c r="J26" s="5536"/>
      <c r="K26" s="5536"/>
      <c r="L26" s="5536"/>
      <c r="M26" s="5536"/>
      <c r="N26" s="5536"/>
      <c r="O26" s="5536"/>
      <c r="P26" s="5536"/>
      <c r="Q26" s="5536"/>
      <c r="R26" s="5536"/>
      <c r="S26" s="5536"/>
      <c r="T26" s="5536"/>
      <c r="U26" s="660"/>
    </row>
    <row r="27" spans="1:21" ht="15" customHeight="1" x14ac:dyDescent="0.2">
      <c r="A27" s="5536" t="s">
        <v>1316</v>
      </c>
      <c r="B27" s="5536"/>
      <c r="C27" s="5536"/>
      <c r="D27" s="5536"/>
      <c r="E27" s="5536"/>
      <c r="F27" s="5536"/>
      <c r="G27" s="5536"/>
      <c r="H27" s="5536"/>
      <c r="I27" s="5536"/>
      <c r="J27" s="5536"/>
      <c r="K27" s="5536"/>
      <c r="L27" s="5536"/>
      <c r="M27" s="5536"/>
      <c r="N27" s="5536"/>
      <c r="O27" s="5536"/>
      <c r="P27" s="5536"/>
      <c r="Q27" s="5536"/>
      <c r="R27" s="5536"/>
      <c r="S27" s="5536"/>
      <c r="T27" s="5536"/>
      <c r="U27" s="660"/>
    </row>
    <row r="28" spans="1:21" ht="15" customHeight="1" x14ac:dyDescent="0.2">
      <c r="A28" s="5536" t="s">
        <v>1315</v>
      </c>
      <c r="B28" s="5536"/>
      <c r="C28" s="5536"/>
      <c r="D28" s="5536"/>
      <c r="E28" s="5536"/>
      <c r="F28" s="5536"/>
      <c r="G28" s="5536"/>
      <c r="H28" s="5536"/>
      <c r="I28" s="5536"/>
      <c r="J28" s="5536"/>
      <c r="K28" s="5536"/>
      <c r="L28" s="5536"/>
      <c r="M28" s="5536"/>
      <c r="N28" s="5536"/>
      <c r="O28" s="5536"/>
      <c r="P28" s="5536"/>
      <c r="Q28" s="5536"/>
      <c r="R28" s="5536"/>
      <c r="S28" s="5536"/>
      <c r="T28" s="3314"/>
      <c r="U28" s="660"/>
    </row>
    <row r="29" spans="1:21" ht="15" customHeight="1" x14ac:dyDescent="0.2">
      <c r="A29" s="5553" t="s">
        <v>1314</v>
      </c>
      <c r="B29" s="5553"/>
      <c r="C29" s="5553"/>
      <c r="D29" s="5553"/>
      <c r="E29" s="5553"/>
      <c r="F29" s="5553"/>
      <c r="G29" s="5553"/>
      <c r="H29" s="5553"/>
      <c r="I29" s="5553"/>
      <c r="J29" s="5553"/>
      <c r="K29" s="5553"/>
      <c r="L29" s="5553"/>
      <c r="M29" s="5553"/>
      <c r="N29" s="5553"/>
      <c r="O29" s="5553"/>
      <c r="P29" s="5553"/>
      <c r="Q29" s="5553"/>
      <c r="R29" s="5553"/>
      <c r="S29" s="5553"/>
      <c r="T29" s="5553"/>
      <c r="U29" s="660"/>
    </row>
    <row r="30" spans="1:21" ht="15" customHeight="1" x14ac:dyDescent="0.2">
      <c r="A30" s="5553" t="s">
        <v>1313</v>
      </c>
      <c r="B30" s="5553"/>
      <c r="C30" s="5553"/>
      <c r="D30" s="5553"/>
      <c r="E30" s="5553"/>
      <c r="F30" s="5553"/>
      <c r="G30" s="5553"/>
      <c r="H30" s="5553"/>
      <c r="I30" s="5553"/>
      <c r="J30" s="5553"/>
      <c r="K30" s="5553"/>
      <c r="L30" s="5553"/>
      <c r="M30" s="5553"/>
      <c r="N30" s="5553"/>
      <c r="O30" s="5553"/>
      <c r="P30" s="5553"/>
      <c r="Q30" s="5553"/>
      <c r="R30" s="5553"/>
      <c r="S30" s="5553"/>
      <c r="T30" s="5553"/>
      <c r="U30" s="660"/>
    </row>
    <row r="31" spans="1:21" ht="13.5" x14ac:dyDescent="0.2">
      <c r="A31" s="5554" t="s">
        <v>1312</v>
      </c>
      <c r="B31" s="5554"/>
      <c r="C31" s="5555"/>
      <c r="D31" s="5555"/>
      <c r="E31" s="5555"/>
      <c r="F31" s="5555"/>
      <c r="G31" s="5555"/>
      <c r="H31" s="5555"/>
      <c r="I31" s="5555"/>
      <c r="J31" s="5555"/>
      <c r="K31" s="5555"/>
      <c r="L31" s="5555"/>
      <c r="M31" s="5555"/>
      <c r="N31" s="5555"/>
      <c r="O31" s="5555"/>
      <c r="P31" s="5555"/>
      <c r="Q31" s="5555"/>
      <c r="R31" s="5555"/>
      <c r="S31" s="5555"/>
      <c r="T31" s="5555"/>
      <c r="U31" s="660"/>
    </row>
    <row r="32" spans="1:21" ht="13.5" x14ac:dyDescent="0.2">
      <c r="A32" s="5553" t="s">
        <v>1311</v>
      </c>
      <c r="B32" s="5553"/>
      <c r="C32" s="5553"/>
      <c r="D32" s="5553"/>
      <c r="E32" s="5553"/>
      <c r="F32" s="5553"/>
      <c r="G32" s="5553"/>
      <c r="H32" s="5553"/>
      <c r="I32" s="5553"/>
      <c r="J32" s="5553"/>
      <c r="K32" s="5553"/>
      <c r="L32" s="5553"/>
      <c r="M32" s="5553"/>
      <c r="N32" s="5553"/>
      <c r="O32" s="5553"/>
      <c r="P32" s="5553"/>
      <c r="Q32" s="5553"/>
      <c r="R32" s="5553"/>
      <c r="S32" s="5553"/>
      <c r="T32" s="5553"/>
      <c r="U32" s="660"/>
    </row>
    <row r="33" spans="1:21" x14ac:dyDescent="0.2">
      <c r="A33" s="660"/>
      <c r="B33" s="660"/>
      <c r="C33" s="731"/>
      <c r="D33" s="731"/>
      <c r="E33" s="731"/>
      <c r="F33" s="731"/>
      <c r="G33" s="731"/>
      <c r="H33" s="731"/>
      <c r="I33" s="731"/>
      <c r="J33" s="731"/>
      <c r="K33" s="731"/>
      <c r="L33" s="731"/>
      <c r="M33" s="731"/>
      <c r="N33" s="731"/>
      <c r="O33" s="731"/>
      <c r="P33" s="731"/>
      <c r="Q33" s="731"/>
      <c r="R33" s="731"/>
      <c r="S33" s="731"/>
      <c r="T33" s="731"/>
      <c r="U33" s="660"/>
    </row>
    <row r="34" spans="1:21" ht="15.75" customHeight="1" x14ac:dyDescent="0.2">
      <c r="A34" s="3572" t="s">
        <v>982</v>
      </c>
      <c r="B34" s="3571"/>
      <c r="C34" s="3570"/>
      <c r="D34" s="3570"/>
      <c r="E34" s="3570"/>
      <c r="F34" s="3570"/>
      <c r="G34" s="3570"/>
      <c r="H34" s="3570"/>
      <c r="I34" s="3570"/>
      <c r="J34" s="3570"/>
      <c r="K34" s="3570"/>
      <c r="L34" s="3570"/>
      <c r="M34" s="3570"/>
      <c r="N34" s="3570"/>
      <c r="O34" s="3570"/>
      <c r="P34" s="3570"/>
      <c r="Q34" s="3570"/>
      <c r="R34" s="3570"/>
      <c r="S34" s="3570"/>
      <c r="T34" s="3569"/>
      <c r="U34" s="660"/>
    </row>
    <row r="35" spans="1:21" ht="28.5" customHeight="1" x14ac:dyDescent="0.2">
      <c r="A35" s="5549" t="s">
        <v>1310</v>
      </c>
      <c r="B35" s="5550"/>
      <c r="C35" s="5551"/>
      <c r="D35" s="5551"/>
      <c r="E35" s="5551"/>
      <c r="F35" s="5551"/>
      <c r="G35" s="5551"/>
      <c r="H35" s="5551"/>
      <c r="I35" s="5551"/>
      <c r="J35" s="5551"/>
      <c r="K35" s="5551"/>
      <c r="L35" s="5551"/>
      <c r="M35" s="5551"/>
      <c r="N35" s="5551"/>
      <c r="O35" s="5551"/>
      <c r="P35" s="5551"/>
      <c r="Q35" s="5551"/>
      <c r="R35" s="5551"/>
      <c r="S35" s="5551"/>
      <c r="T35" s="5552"/>
      <c r="U35" s="660"/>
    </row>
    <row r="36" spans="1:21" ht="12" customHeight="1" x14ac:dyDescent="0.2">
      <c r="A36" s="3568" t="s">
        <v>980</v>
      </c>
      <c r="B36" s="5696" t="s">
        <v>986</v>
      </c>
      <c r="C36" s="5735"/>
      <c r="D36" s="5735"/>
      <c r="E36" s="5735"/>
      <c r="F36" s="5735"/>
      <c r="G36" s="5735"/>
      <c r="H36" s="5735"/>
      <c r="I36" s="5735"/>
      <c r="J36" s="5735"/>
      <c r="K36" s="5735"/>
      <c r="L36" s="5735"/>
      <c r="M36" s="5735"/>
      <c r="N36" s="5735"/>
      <c r="O36" s="5735"/>
      <c r="P36" s="5735"/>
      <c r="Q36" s="5735"/>
      <c r="R36" s="5735"/>
      <c r="S36" s="5735"/>
      <c r="T36" s="5735"/>
      <c r="U36" s="660"/>
    </row>
    <row r="37" spans="1:21" ht="12" customHeight="1" x14ac:dyDescent="0.2">
      <c r="A37" s="3568" t="s">
        <v>980</v>
      </c>
      <c r="B37" s="5696" t="s">
        <v>986</v>
      </c>
      <c r="C37" s="5735"/>
      <c r="D37" s="5735"/>
      <c r="E37" s="5735"/>
      <c r="F37" s="5735"/>
      <c r="G37" s="5735"/>
      <c r="H37" s="5735"/>
      <c r="I37" s="5735"/>
      <c r="J37" s="5735"/>
      <c r="K37" s="5735"/>
      <c r="L37" s="5735"/>
      <c r="M37" s="5735"/>
      <c r="N37" s="5735"/>
      <c r="O37" s="5735"/>
      <c r="P37" s="5735"/>
      <c r="Q37" s="5735"/>
      <c r="R37" s="5735"/>
      <c r="S37" s="5735"/>
      <c r="T37" s="5735"/>
    </row>
  </sheetData>
  <sheetProtection password="A754" sheet="1" objects="1" scenarios="1"/>
  <mergeCells count="31">
    <mergeCell ref="A26:T26"/>
    <mergeCell ref="B6:B9"/>
    <mergeCell ref="A35:T35"/>
    <mergeCell ref="A28:S28"/>
    <mergeCell ref="A29:T29"/>
    <mergeCell ref="A30:T30"/>
    <mergeCell ref="A31:T31"/>
    <mergeCell ref="A32:T32"/>
    <mergeCell ref="A6:A9"/>
    <mergeCell ref="M9:S9"/>
    <mergeCell ref="M6:O7"/>
    <mergeCell ref="P6:P8"/>
    <mergeCell ref="Q6:Q8"/>
    <mergeCell ref="R6:S7"/>
    <mergeCell ref="A25:T25"/>
    <mergeCell ref="B37:T37"/>
    <mergeCell ref="C5:E5"/>
    <mergeCell ref="F5:L5"/>
    <mergeCell ref="M5:S5"/>
    <mergeCell ref="T5:T8"/>
    <mergeCell ref="A5:B5"/>
    <mergeCell ref="A27:T27"/>
    <mergeCell ref="I6:I8"/>
    <mergeCell ref="J6:J8"/>
    <mergeCell ref="K6:L7"/>
    <mergeCell ref="C6:C9"/>
    <mergeCell ref="E6:E9"/>
    <mergeCell ref="F6:H7"/>
    <mergeCell ref="D6:D9"/>
    <mergeCell ref="F9:L9"/>
    <mergeCell ref="B36:T36"/>
  </mergeCells>
  <printOptions horizontalCentered="1" verticalCentered="1"/>
  <pageMargins left="0.39370078740157483" right="0.39370078740157483" top="0.39370078740157483" bottom="0.39370078740157483" header="0.19685039370078741" footer="0.19685039370078741"/>
  <pageSetup paperSize="9" scale="44"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A55B9-7D40-4B76-B66C-990CE7C6A5F2}">
  <sheetPr codeName="Ark67">
    <tabColor theme="0" tint="-0.34998626667073579"/>
    <pageSetUpPr fitToPage="1"/>
  </sheetPr>
  <dimension ref="A1:T39"/>
  <sheetViews>
    <sheetView showGridLines="0" workbookViewId="0"/>
  </sheetViews>
  <sheetFormatPr defaultColWidth="8" defaultRowHeight="12" customHeight="1" x14ac:dyDescent="0.2"/>
  <cols>
    <col min="1" max="1" width="45.7109375" style="659" customWidth="1"/>
    <col min="2" max="2" width="14.7109375" style="659" customWidth="1"/>
    <col min="3" max="18" width="11.7109375" style="659" customWidth="1"/>
    <col min="19" max="19" width="1.28515625" style="659" customWidth="1"/>
    <col min="20" max="16384" width="8" style="659"/>
  </cols>
  <sheetData>
    <row r="1" spans="1:20" ht="20.100000000000001" customHeight="1" x14ac:dyDescent="0.25">
      <c r="A1" s="671" t="s">
        <v>1378</v>
      </c>
      <c r="B1" s="660"/>
      <c r="C1" s="660"/>
      <c r="D1" s="660"/>
      <c r="E1" s="660"/>
      <c r="F1" s="660"/>
      <c r="G1" s="660"/>
      <c r="H1" s="660"/>
      <c r="I1" s="660"/>
      <c r="J1" s="660"/>
      <c r="K1" s="660"/>
      <c r="L1" s="660"/>
      <c r="M1" s="660"/>
      <c r="N1" s="660"/>
      <c r="O1" s="660"/>
      <c r="P1" s="660"/>
      <c r="Q1" s="660"/>
      <c r="R1" s="668" t="s">
        <v>1762</v>
      </c>
      <c r="S1" s="660"/>
      <c r="T1" s="660"/>
    </row>
    <row r="2" spans="1:20" ht="15.75" x14ac:dyDescent="0.25">
      <c r="A2" s="671" t="s">
        <v>1377</v>
      </c>
      <c r="B2" s="660"/>
      <c r="C2" s="660"/>
      <c r="D2" s="660"/>
      <c r="E2" s="660"/>
      <c r="F2" s="660"/>
      <c r="G2" s="660"/>
      <c r="H2" s="660"/>
      <c r="I2" s="660"/>
      <c r="J2" s="660"/>
      <c r="K2" s="660"/>
      <c r="L2" s="660"/>
      <c r="M2" s="660"/>
      <c r="N2" s="660"/>
      <c r="O2" s="660"/>
      <c r="P2" s="660"/>
      <c r="Q2" s="660"/>
      <c r="R2" s="668" t="s">
        <v>1761</v>
      </c>
      <c r="S2" s="660"/>
      <c r="T2" s="660"/>
    </row>
    <row r="3" spans="1:20" ht="15.75" x14ac:dyDescent="0.25">
      <c r="A3" s="671" t="s">
        <v>1197</v>
      </c>
      <c r="B3" s="660"/>
      <c r="C3" s="660"/>
      <c r="D3" s="660"/>
      <c r="E3" s="660"/>
      <c r="F3" s="660"/>
      <c r="G3" s="660"/>
      <c r="H3" s="660"/>
      <c r="I3" s="660"/>
      <c r="J3" s="660"/>
      <c r="K3" s="660"/>
      <c r="L3" s="660"/>
      <c r="M3" s="660"/>
      <c r="N3" s="660"/>
      <c r="O3" s="660"/>
      <c r="P3" s="660"/>
      <c r="Q3" s="660"/>
      <c r="R3" s="668" t="s">
        <v>1789</v>
      </c>
      <c r="S3" s="660"/>
      <c r="T3" s="660"/>
    </row>
    <row r="4" spans="1:20" ht="12" customHeight="1" x14ac:dyDescent="0.2">
      <c r="A4" s="736"/>
      <c r="B4" s="731"/>
      <c r="C4" s="731"/>
      <c r="D4" s="731"/>
      <c r="E4" s="731"/>
      <c r="F4" s="731"/>
      <c r="G4" s="731"/>
      <c r="H4" s="731"/>
      <c r="I4" s="731"/>
      <c r="J4" s="731"/>
      <c r="K4" s="731"/>
      <c r="L4" s="731"/>
      <c r="M4" s="731"/>
      <c r="N4" s="731"/>
      <c r="O4" s="3315"/>
      <c r="P4" s="3315"/>
      <c r="Q4" s="3315"/>
      <c r="R4" s="3315"/>
      <c r="S4" s="660"/>
      <c r="T4" s="660"/>
    </row>
    <row r="5" spans="1:20" ht="30" customHeight="1" x14ac:dyDescent="0.2">
      <c r="A5" s="5740" t="s">
        <v>1025</v>
      </c>
      <c r="B5" s="5741"/>
      <c r="C5" s="5736" t="s">
        <v>1083</v>
      </c>
      <c r="D5" s="5737"/>
      <c r="E5" s="5738"/>
      <c r="F5" s="5736" t="s">
        <v>1351</v>
      </c>
      <c r="G5" s="5737"/>
      <c r="H5" s="5737"/>
      <c r="I5" s="5737"/>
      <c r="J5" s="5737"/>
      <c r="K5" s="5738"/>
      <c r="L5" s="5736" t="s">
        <v>1350</v>
      </c>
      <c r="M5" s="5737"/>
      <c r="N5" s="5737"/>
      <c r="O5" s="5737"/>
      <c r="P5" s="5737"/>
      <c r="Q5" s="5738"/>
      <c r="R5" s="5739" t="s">
        <v>1376</v>
      </c>
      <c r="S5" s="660"/>
      <c r="T5" s="660"/>
    </row>
    <row r="6" spans="1:20" ht="47.25" customHeight="1" x14ac:dyDescent="0.2">
      <c r="A6" s="5728" t="s">
        <v>1348</v>
      </c>
      <c r="B6" s="5739" t="s">
        <v>1347</v>
      </c>
      <c r="C6" s="5739" t="s">
        <v>1346</v>
      </c>
      <c r="D6" s="5739" t="s">
        <v>1345</v>
      </c>
      <c r="E6" s="5743" t="s">
        <v>1344</v>
      </c>
      <c r="F6" s="5742" t="s">
        <v>1343</v>
      </c>
      <c r="G6" s="5744"/>
      <c r="H6" s="5743"/>
      <c r="I6" s="5739" t="s">
        <v>1375</v>
      </c>
      <c r="J6" s="5742" t="s">
        <v>1340</v>
      </c>
      <c r="K6" s="5743"/>
      <c r="L6" s="5742" t="s">
        <v>1374</v>
      </c>
      <c r="M6" s="5744"/>
      <c r="N6" s="5743"/>
      <c r="O6" s="5739" t="s">
        <v>1373</v>
      </c>
      <c r="P6" s="5742" t="s">
        <v>1372</v>
      </c>
      <c r="Q6" s="5743"/>
      <c r="R6" s="5532"/>
      <c r="S6" s="660"/>
      <c r="T6" s="660"/>
    </row>
    <row r="7" spans="1:20" ht="12.75" customHeight="1" x14ac:dyDescent="0.2">
      <c r="A7" s="5520"/>
      <c r="B7" s="5532"/>
      <c r="C7" s="5532"/>
      <c r="D7" s="5532"/>
      <c r="E7" s="5542"/>
      <c r="F7" s="5539"/>
      <c r="G7" s="5545"/>
      <c r="H7" s="5540"/>
      <c r="I7" s="5532"/>
      <c r="J7" s="5539"/>
      <c r="K7" s="5540"/>
      <c r="L7" s="5539"/>
      <c r="M7" s="5545"/>
      <c r="N7" s="5540"/>
      <c r="O7" s="5532"/>
      <c r="P7" s="5539"/>
      <c r="Q7" s="5540"/>
      <c r="R7" s="5532"/>
      <c r="S7" s="660"/>
      <c r="T7" s="660"/>
    </row>
    <row r="8" spans="1:20" ht="25.5" customHeight="1" x14ac:dyDescent="0.2">
      <c r="A8" s="5520"/>
      <c r="B8" s="5532"/>
      <c r="C8" s="5532"/>
      <c r="D8" s="5532"/>
      <c r="E8" s="5542"/>
      <c r="F8" s="3566" t="s">
        <v>1334</v>
      </c>
      <c r="G8" s="3566" t="s">
        <v>1333</v>
      </c>
      <c r="H8" s="3566" t="s">
        <v>1332</v>
      </c>
      <c r="I8" s="5533"/>
      <c r="J8" s="3309" t="s">
        <v>1331</v>
      </c>
      <c r="K8" s="3311" t="s">
        <v>1330</v>
      </c>
      <c r="L8" s="3566" t="s">
        <v>1334</v>
      </c>
      <c r="M8" s="3566" t="s">
        <v>1333</v>
      </c>
      <c r="N8" s="3566" t="s">
        <v>1332</v>
      </c>
      <c r="O8" s="5533"/>
      <c r="P8" s="3309" t="s">
        <v>1331</v>
      </c>
      <c r="Q8" s="3311" t="s">
        <v>1330</v>
      </c>
      <c r="R8" s="5533"/>
      <c r="S8" s="660"/>
      <c r="T8" s="660"/>
    </row>
    <row r="9" spans="1:20" ht="15.95" customHeight="1" thickBot="1" x14ac:dyDescent="0.25">
      <c r="A9" s="5556"/>
      <c r="B9" s="5541"/>
      <c r="C9" s="5541"/>
      <c r="D9" s="5541"/>
      <c r="E9" s="5543"/>
      <c r="F9" s="5546" t="s">
        <v>1329</v>
      </c>
      <c r="G9" s="5547"/>
      <c r="H9" s="5547"/>
      <c r="I9" s="5547"/>
      <c r="J9" s="5547"/>
      <c r="K9" s="5548"/>
      <c r="L9" s="5546" t="s">
        <v>1328</v>
      </c>
      <c r="M9" s="5547"/>
      <c r="N9" s="5547"/>
      <c r="O9" s="5547"/>
      <c r="P9" s="5547"/>
      <c r="Q9" s="5548"/>
      <c r="R9" s="734" t="s">
        <v>1011</v>
      </c>
      <c r="S9" s="660"/>
      <c r="T9" s="660"/>
    </row>
    <row r="10" spans="1:20" ht="12.75" thickTop="1" x14ac:dyDescent="0.2">
      <c r="A10" s="733" t="s">
        <v>1371</v>
      </c>
      <c r="B10" s="3497" t="s">
        <v>986</v>
      </c>
      <c r="C10" s="3507">
        <v>2801.9203749830299</v>
      </c>
      <c r="D10" s="3507">
        <v>2709.5486760640001</v>
      </c>
      <c r="E10" s="3507">
        <v>92.371698919029996</v>
      </c>
      <c r="F10" s="3507">
        <v>7.1794238455160003E-2</v>
      </c>
      <c r="G10" s="3507">
        <v>-8.8462553257420001E-2</v>
      </c>
      <c r="H10" s="3507">
        <v>-1.666831480227E-2</v>
      </c>
      <c r="I10" s="3507">
        <v>-5.4907561333200003E-3</v>
      </c>
      <c r="J10" s="3507">
        <v>9.5095347995799995E-3</v>
      </c>
      <c r="K10" s="3507">
        <v>-7.5258256375620602</v>
      </c>
      <c r="L10" s="3507">
        <v>201.1617395339</v>
      </c>
      <c r="M10" s="3507">
        <v>-247.86503039499999</v>
      </c>
      <c r="N10" s="3507">
        <v>-46.703290861100001</v>
      </c>
      <c r="O10" s="3507">
        <v>-15.384661484</v>
      </c>
      <c r="P10" s="3507">
        <v>25.766547426199999</v>
      </c>
      <c r="Q10" s="3507">
        <v>-695.17329990999997</v>
      </c>
      <c r="R10" s="3507">
        <v>2682.1472510393023</v>
      </c>
      <c r="S10" s="660"/>
      <c r="T10" s="660"/>
    </row>
    <row r="11" spans="1:20" x14ac:dyDescent="0.2">
      <c r="A11" s="3573" t="s">
        <v>1370</v>
      </c>
      <c r="B11" s="3497"/>
      <c r="C11" s="3507">
        <v>2750.2756833160001</v>
      </c>
      <c r="D11" s="3507">
        <v>2657.9748132</v>
      </c>
      <c r="E11" s="3507">
        <v>92.300870115999999</v>
      </c>
      <c r="F11" s="3507">
        <v>5.7931775471289998E-2</v>
      </c>
      <c r="G11" s="3507">
        <v>-7.3293466626940001E-2</v>
      </c>
      <c r="H11" s="3507">
        <v>-1.536169115565E-2</v>
      </c>
      <c r="I11" s="3507" t="s">
        <v>799</v>
      </c>
      <c r="J11" s="3507">
        <v>1.123704905655E-2</v>
      </c>
      <c r="K11" s="3507">
        <v>-7.53160072095024</v>
      </c>
      <c r="L11" s="3507">
        <v>159.32835337</v>
      </c>
      <c r="M11" s="3507">
        <v>-201.57723901</v>
      </c>
      <c r="N11" s="3507">
        <v>-42.248885639999997</v>
      </c>
      <c r="O11" s="3507" t="s">
        <v>799</v>
      </c>
      <c r="P11" s="3507">
        <v>29.867793367000001</v>
      </c>
      <c r="Q11" s="3507">
        <v>-695.17329990999997</v>
      </c>
      <c r="R11" s="3507">
        <v>2594.3661046710022</v>
      </c>
      <c r="S11" s="660"/>
      <c r="T11" s="660"/>
    </row>
    <row r="12" spans="1:20" x14ac:dyDescent="0.2">
      <c r="A12" s="3548" t="s">
        <v>1319</v>
      </c>
      <c r="B12" s="3500" t="s">
        <v>1319</v>
      </c>
      <c r="C12" s="3507">
        <v>2750.2756833160001</v>
      </c>
      <c r="D12" s="3500">
        <v>2657.9748132</v>
      </c>
      <c r="E12" s="3500">
        <v>92.300870115999999</v>
      </c>
      <c r="F12" s="3507">
        <v>5.7931775471289998E-2</v>
      </c>
      <c r="G12" s="3507">
        <v>-7.3293466626940001E-2</v>
      </c>
      <c r="H12" s="3507">
        <v>-1.536169115565E-2</v>
      </c>
      <c r="I12" s="3507" t="s">
        <v>799</v>
      </c>
      <c r="J12" s="3507">
        <v>1.123704905655E-2</v>
      </c>
      <c r="K12" s="3507">
        <v>-7.53160072095024</v>
      </c>
      <c r="L12" s="3500">
        <v>159.32835337</v>
      </c>
      <c r="M12" s="3500">
        <v>-201.57723901</v>
      </c>
      <c r="N12" s="3507">
        <v>-42.248885639999997</v>
      </c>
      <c r="O12" s="3500" t="s">
        <v>799</v>
      </c>
      <c r="P12" s="3500">
        <v>29.867793367000001</v>
      </c>
      <c r="Q12" s="3500">
        <v>-695.17329990999997</v>
      </c>
      <c r="R12" s="3507">
        <v>2594.3661046710022</v>
      </c>
      <c r="S12" s="660"/>
      <c r="T12" s="660"/>
    </row>
    <row r="13" spans="1:20" ht="13.5" x14ac:dyDescent="0.2">
      <c r="A13" s="3575" t="s">
        <v>1369</v>
      </c>
      <c r="B13" s="3497" t="s">
        <v>986</v>
      </c>
      <c r="C13" s="3507">
        <v>51.644691667030003</v>
      </c>
      <c r="D13" s="3507">
        <v>51.573862863999999</v>
      </c>
      <c r="E13" s="3507">
        <v>7.0828803029999998E-2</v>
      </c>
      <c r="F13" s="3507">
        <v>0.81002296293321996</v>
      </c>
      <c r="G13" s="3507">
        <v>-0.89627394202355004</v>
      </c>
      <c r="H13" s="3507">
        <v>-8.6250979090340005E-2</v>
      </c>
      <c r="I13" s="3507">
        <v>-0.29789434281436</v>
      </c>
      <c r="J13" s="3507">
        <v>-7.9521790943119994E-2</v>
      </c>
      <c r="K13" s="3507" t="s">
        <v>1741</v>
      </c>
      <c r="L13" s="3507">
        <v>41.833386163900002</v>
      </c>
      <c r="M13" s="3507">
        <v>-46.287791384999998</v>
      </c>
      <c r="N13" s="3507">
        <v>-4.4544052211</v>
      </c>
      <c r="O13" s="3507">
        <v>-15.384661484</v>
      </c>
      <c r="P13" s="3507">
        <v>-4.1012459408000002</v>
      </c>
      <c r="Q13" s="3507" t="s">
        <v>1741</v>
      </c>
      <c r="R13" s="3507">
        <v>87.781146368300085</v>
      </c>
      <c r="S13" s="660"/>
      <c r="T13" s="660"/>
    </row>
    <row r="14" spans="1:20" x14ac:dyDescent="0.2">
      <c r="A14" s="3574" t="s">
        <v>1368</v>
      </c>
      <c r="B14" s="3497"/>
      <c r="C14" s="3507">
        <v>8.1926125000300001</v>
      </c>
      <c r="D14" s="3507">
        <v>8.1217836969999997</v>
      </c>
      <c r="E14" s="3507">
        <v>7.0828803029999998E-2</v>
      </c>
      <c r="F14" s="3507">
        <v>1.0524742538315399</v>
      </c>
      <c r="G14" s="3507">
        <v>-2.7961465448190199</v>
      </c>
      <c r="H14" s="3507">
        <v>-1.74367229098748</v>
      </c>
      <c r="I14" s="3507">
        <v>-1.87787003034059</v>
      </c>
      <c r="J14" s="3507">
        <v>-0.35562273989971999</v>
      </c>
      <c r="K14" s="3507" t="s">
        <v>455</v>
      </c>
      <c r="L14" s="3507">
        <v>8.6225137278999995</v>
      </c>
      <c r="M14" s="3507">
        <v>-22.907745134999999</v>
      </c>
      <c r="N14" s="3507">
        <v>-14.2852314071</v>
      </c>
      <c r="O14" s="3507">
        <v>-15.384661484</v>
      </c>
      <c r="P14" s="3507">
        <v>-2.8882909712</v>
      </c>
      <c r="Q14" s="3507" t="s">
        <v>455</v>
      </c>
      <c r="R14" s="3507">
        <v>119.38000749510012</v>
      </c>
      <c r="S14" s="660"/>
      <c r="T14" s="660"/>
    </row>
    <row r="15" spans="1:20" x14ac:dyDescent="0.2">
      <c r="A15" s="3548" t="s">
        <v>1319</v>
      </c>
      <c r="B15" s="3500" t="s">
        <v>1319</v>
      </c>
      <c r="C15" s="3507">
        <v>8.1926125000300001</v>
      </c>
      <c r="D15" s="3500">
        <v>8.1217836969999997</v>
      </c>
      <c r="E15" s="3500">
        <v>7.0828803029999998E-2</v>
      </c>
      <c r="F15" s="3507">
        <v>1.0524742538315399</v>
      </c>
      <c r="G15" s="3507">
        <v>-2.7961465448190199</v>
      </c>
      <c r="H15" s="3507">
        <v>-1.74367229098748</v>
      </c>
      <c r="I15" s="3507">
        <v>-1.87787003034059</v>
      </c>
      <c r="J15" s="3507">
        <v>-0.35562273989971999</v>
      </c>
      <c r="K15" s="3507" t="s">
        <v>455</v>
      </c>
      <c r="L15" s="3500">
        <v>8.6225137278999995</v>
      </c>
      <c r="M15" s="3500">
        <v>-22.907745134999999</v>
      </c>
      <c r="N15" s="3507">
        <v>-14.2852314071</v>
      </c>
      <c r="O15" s="3500">
        <v>-15.384661484</v>
      </c>
      <c r="P15" s="3500">
        <v>-2.8882909712</v>
      </c>
      <c r="Q15" s="3500" t="s">
        <v>455</v>
      </c>
      <c r="R15" s="3507">
        <v>119.38000749510012</v>
      </c>
      <c r="S15" s="660"/>
      <c r="T15" s="660"/>
    </row>
    <row r="16" spans="1:20" x14ac:dyDescent="0.2">
      <c r="A16" s="3573" t="s">
        <v>1367</v>
      </c>
      <c r="B16" s="3497"/>
      <c r="C16" s="3507">
        <v>42.768329166999997</v>
      </c>
      <c r="D16" s="3507">
        <v>42.768329166999997</v>
      </c>
      <c r="E16" s="3507" t="s">
        <v>455</v>
      </c>
      <c r="F16" s="3507">
        <v>0.77652957416970003</v>
      </c>
      <c r="G16" s="3507">
        <v>-0.54666728173333001</v>
      </c>
      <c r="H16" s="3507">
        <v>0.22986229243636999</v>
      </c>
      <c r="I16" s="3507" t="s">
        <v>799</v>
      </c>
      <c r="J16" s="3507" t="s">
        <v>455</v>
      </c>
      <c r="K16" s="3507" t="s">
        <v>455</v>
      </c>
      <c r="L16" s="3507">
        <v>33.210872436000002</v>
      </c>
      <c r="M16" s="3507">
        <v>-23.380046249999999</v>
      </c>
      <c r="N16" s="3507">
        <v>9.8308261859999995</v>
      </c>
      <c r="O16" s="3507" t="s">
        <v>799</v>
      </c>
      <c r="P16" s="3507" t="s">
        <v>455</v>
      </c>
      <c r="Q16" s="3507" t="s">
        <v>455</v>
      </c>
      <c r="R16" s="3507">
        <v>-36.04636268200003</v>
      </c>
      <c r="S16" s="660"/>
      <c r="T16" s="660"/>
    </row>
    <row r="17" spans="1:20" x14ac:dyDescent="0.2">
      <c r="A17" s="3548" t="s">
        <v>1319</v>
      </c>
      <c r="B17" s="3500" t="s">
        <v>1319</v>
      </c>
      <c r="C17" s="3507">
        <v>42.768329166999997</v>
      </c>
      <c r="D17" s="3500">
        <v>42.768329166999997</v>
      </c>
      <c r="E17" s="3500" t="s">
        <v>455</v>
      </c>
      <c r="F17" s="3507">
        <v>0.77652957416970003</v>
      </c>
      <c r="G17" s="3507">
        <v>-0.54666728173333001</v>
      </c>
      <c r="H17" s="3507">
        <v>0.22986229243636999</v>
      </c>
      <c r="I17" s="3507" t="s">
        <v>799</v>
      </c>
      <c r="J17" s="3507" t="s">
        <v>455</v>
      </c>
      <c r="K17" s="3507" t="s">
        <v>455</v>
      </c>
      <c r="L17" s="3500">
        <v>33.210872436000002</v>
      </c>
      <c r="M17" s="3500">
        <v>-23.380046249999999</v>
      </c>
      <c r="N17" s="3507">
        <v>9.8308261859999995</v>
      </c>
      <c r="O17" s="3500" t="s">
        <v>799</v>
      </c>
      <c r="P17" s="3500" t="s">
        <v>455</v>
      </c>
      <c r="Q17" s="3500" t="s">
        <v>455</v>
      </c>
      <c r="R17" s="3507">
        <v>-36.04636268200003</v>
      </c>
      <c r="S17" s="660"/>
      <c r="T17" s="660"/>
    </row>
    <row r="18" spans="1:20" x14ac:dyDescent="0.2">
      <c r="A18" s="3573" t="s">
        <v>1365</v>
      </c>
      <c r="B18" s="3497"/>
      <c r="C18" s="3507">
        <v>0.68374999999999997</v>
      </c>
      <c r="D18" s="3507">
        <v>0.68374999999999997</v>
      </c>
      <c r="E18" s="3507" t="s">
        <v>455</v>
      </c>
      <c r="F18" s="3507" t="s">
        <v>799</v>
      </c>
      <c r="G18" s="3507" t="s">
        <v>799</v>
      </c>
      <c r="H18" s="3507" t="s">
        <v>799</v>
      </c>
      <c r="I18" s="3507" t="s">
        <v>799</v>
      </c>
      <c r="J18" s="3507">
        <v>-1.7739743613893999</v>
      </c>
      <c r="K18" s="3507" t="s">
        <v>455</v>
      </c>
      <c r="L18" s="3507" t="s">
        <v>799</v>
      </c>
      <c r="M18" s="3507" t="s">
        <v>799</v>
      </c>
      <c r="N18" s="3507" t="s">
        <v>799</v>
      </c>
      <c r="O18" s="3507" t="s">
        <v>799</v>
      </c>
      <c r="P18" s="3507">
        <v>-1.2129549695999999</v>
      </c>
      <c r="Q18" s="3507" t="s">
        <v>455</v>
      </c>
      <c r="R18" s="3507">
        <v>4.4475015551999997</v>
      </c>
      <c r="S18" s="660"/>
      <c r="T18" s="660"/>
    </row>
    <row r="19" spans="1:20" x14ac:dyDescent="0.2">
      <c r="A19" s="3548" t="s">
        <v>1319</v>
      </c>
      <c r="B19" s="3500" t="s">
        <v>1319</v>
      </c>
      <c r="C19" s="3507">
        <v>0.68374999999999997</v>
      </c>
      <c r="D19" s="3500">
        <v>0.68374999999999997</v>
      </c>
      <c r="E19" s="3500" t="s">
        <v>455</v>
      </c>
      <c r="F19" s="3507" t="s">
        <v>799</v>
      </c>
      <c r="G19" s="3507" t="s">
        <v>799</v>
      </c>
      <c r="H19" s="3507" t="s">
        <v>799</v>
      </c>
      <c r="I19" s="3507" t="s">
        <v>799</v>
      </c>
      <c r="J19" s="3507">
        <v>-1.7739743613893999</v>
      </c>
      <c r="K19" s="3507" t="s">
        <v>455</v>
      </c>
      <c r="L19" s="3500" t="s">
        <v>799</v>
      </c>
      <c r="M19" s="3500" t="s">
        <v>799</v>
      </c>
      <c r="N19" s="3507" t="s">
        <v>799</v>
      </c>
      <c r="O19" s="3500" t="s">
        <v>799</v>
      </c>
      <c r="P19" s="3500">
        <v>-1.2129549695999999</v>
      </c>
      <c r="Q19" s="3500" t="s">
        <v>455</v>
      </c>
      <c r="R19" s="3507">
        <v>4.4475015551999997</v>
      </c>
      <c r="S19" s="660"/>
      <c r="T19" s="660"/>
    </row>
    <row r="20" spans="1:20" x14ac:dyDescent="0.2">
      <c r="A20" s="3573" t="s">
        <v>1364</v>
      </c>
      <c r="B20" s="3497"/>
      <c r="C20" s="3507" t="s">
        <v>259</v>
      </c>
      <c r="D20" s="3507" t="s">
        <v>259</v>
      </c>
      <c r="E20" s="3507" t="s">
        <v>259</v>
      </c>
      <c r="F20" s="3507" t="s">
        <v>799</v>
      </c>
      <c r="G20" s="3507" t="s">
        <v>799</v>
      </c>
      <c r="H20" s="3507" t="s">
        <v>799</v>
      </c>
      <c r="I20" s="3507" t="s">
        <v>799</v>
      </c>
      <c r="J20" s="3507" t="s">
        <v>799</v>
      </c>
      <c r="K20" s="3507" t="s">
        <v>799</v>
      </c>
      <c r="L20" s="3507" t="s">
        <v>799</v>
      </c>
      <c r="M20" s="3507" t="s">
        <v>799</v>
      </c>
      <c r="N20" s="3507" t="s">
        <v>799</v>
      </c>
      <c r="O20" s="3507" t="s">
        <v>799</v>
      </c>
      <c r="P20" s="3507" t="s">
        <v>799</v>
      </c>
      <c r="Q20" s="3507" t="s">
        <v>799</v>
      </c>
      <c r="R20" s="3507" t="s">
        <v>799</v>
      </c>
      <c r="S20" s="660"/>
      <c r="T20" s="660"/>
    </row>
    <row r="21" spans="1:20" x14ac:dyDescent="0.2">
      <c r="A21" s="3548" t="s">
        <v>1319</v>
      </c>
      <c r="B21" s="3500" t="s">
        <v>1319</v>
      </c>
      <c r="C21" s="3507" t="s">
        <v>259</v>
      </c>
      <c r="D21" s="3500" t="s">
        <v>259</v>
      </c>
      <c r="E21" s="3500" t="s">
        <v>259</v>
      </c>
      <c r="F21" s="3507" t="s">
        <v>799</v>
      </c>
      <c r="G21" s="3507" t="s">
        <v>799</v>
      </c>
      <c r="H21" s="3507" t="s">
        <v>799</v>
      </c>
      <c r="I21" s="3507" t="s">
        <v>799</v>
      </c>
      <c r="J21" s="3507" t="s">
        <v>799</v>
      </c>
      <c r="K21" s="3507" t="s">
        <v>799</v>
      </c>
      <c r="L21" s="3500" t="s">
        <v>799</v>
      </c>
      <c r="M21" s="3500" t="s">
        <v>799</v>
      </c>
      <c r="N21" s="3507" t="s">
        <v>799</v>
      </c>
      <c r="O21" s="3500" t="s">
        <v>799</v>
      </c>
      <c r="P21" s="3500" t="s">
        <v>799</v>
      </c>
      <c r="Q21" s="3500" t="s">
        <v>799</v>
      </c>
      <c r="R21" s="3507" t="s">
        <v>799</v>
      </c>
      <c r="S21" s="660"/>
      <c r="T21" s="660"/>
    </row>
    <row r="22" spans="1:20" x14ac:dyDescent="0.2">
      <c r="A22" s="3576" t="s">
        <v>1363</v>
      </c>
      <c r="B22" s="3497"/>
      <c r="C22" s="3507" t="s">
        <v>259</v>
      </c>
      <c r="D22" s="3507" t="s">
        <v>259</v>
      </c>
      <c r="E22" s="3507" t="s">
        <v>259</v>
      </c>
      <c r="F22" s="3507" t="s">
        <v>799</v>
      </c>
      <c r="G22" s="3507" t="s">
        <v>799</v>
      </c>
      <c r="H22" s="3507" t="s">
        <v>799</v>
      </c>
      <c r="I22" s="3507" t="s">
        <v>799</v>
      </c>
      <c r="J22" s="3507" t="s">
        <v>799</v>
      </c>
      <c r="K22" s="3507" t="s">
        <v>799</v>
      </c>
      <c r="L22" s="3507" t="s">
        <v>799</v>
      </c>
      <c r="M22" s="3507" t="s">
        <v>799</v>
      </c>
      <c r="N22" s="3507" t="s">
        <v>799</v>
      </c>
      <c r="O22" s="3507" t="s">
        <v>799</v>
      </c>
      <c r="P22" s="3507" t="s">
        <v>799</v>
      </c>
      <c r="Q22" s="3507" t="s">
        <v>799</v>
      </c>
      <c r="R22" s="3507" t="s">
        <v>799</v>
      </c>
      <c r="S22" s="660"/>
      <c r="T22" s="660"/>
    </row>
    <row r="23" spans="1:20" x14ac:dyDescent="0.2">
      <c r="A23" s="3548" t="s">
        <v>1319</v>
      </c>
      <c r="B23" s="3500" t="s">
        <v>1319</v>
      </c>
      <c r="C23" s="3507" t="s">
        <v>259</v>
      </c>
      <c r="D23" s="3500" t="s">
        <v>259</v>
      </c>
      <c r="E23" s="3500" t="s">
        <v>259</v>
      </c>
      <c r="F23" s="3507" t="s">
        <v>799</v>
      </c>
      <c r="G23" s="3507" t="s">
        <v>799</v>
      </c>
      <c r="H23" s="3507" t="s">
        <v>799</v>
      </c>
      <c r="I23" s="3507" t="s">
        <v>799</v>
      </c>
      <c r="J23" s="3507" t="s">
        <v>799</v>
      </c>
      <c r="K23" s="3507" t="s">
        <v>799</v>
      </c>
      <c r="L23" s="3500" t="s">
        <v>799</v>
      </c>
      <c r="M23" s="3500" t="s">
        <v>799</v>
      </c>
      <c r="N23" s="3507" t="s">
        <v>799</v>
      </c>
      <c r="O23" s="3500" t="s">
        <v>799</v>
      </c>
      <c r="P23" s="3500" t="s">
        <v>799</v>
      </c>
      <c r="Q23" s="3500" t="s">
        <v>799</v>
      </c>
      <c r="R23" s="3507" t="s">
        <v>799</v>
      </c>
      <c r="S23" s="660"/>
      <c r="T23" s="660"/>
    </row>
    <row r="24" spans="1:20" x14ac:dyDescent="0.2">
      <c r="A24" s="678" t="s">
        <v>564</v>
      </c>
      <c r="B24" s="663"/>
      <c r="C24" s="663"/>
      <c r="D24" s="663"/>
      <c r="E24" s="663"/>
      <c r="F24" s="663"/>
      <c r="G24" s="663"/>
      <c r="H24" s="663"/>
      <c r="I24" s="663"/>
      <c r="J24" s="663"/>
      <c r="K24" s="663"/>
      <c r="L24" s="663"/>
      <c r="M24" s="663"/>
      <c r="N24" s="663"/>
      <c r="O24" s="663"/>
      <c r="P24" s="663"/>
      <c r="Q24" s="663"/>
      <c r="R24" s="663"/>
      <c r="S24" s="660"/>
      <c r="T24" s="660"/>
    </row>
    <row r="25" spans="1:20" ht="13.5" x14ac:dyDescent="0.2">
      <c r="A25" s="5558" t="s">
        <v>1362</v>
      </c>
      <c r="B25" s="5558"/>
      <c r="C25" s="5558"/>
      <c r="D25" s="5558"/>
      <c r="E25" s="5558"/>
      <c r="F25" s="5558"/>
      <c r="G25" s="5558"/>
      <c r="H25" s="5558"/>
      <c r="I25" s="5558"/>
      <c r="J25" s="5558"/>
      <c r="K25" s="5558"/>
      <c r="L25" s="5558"/>
      <c r="M25" s="663"/>
      <c r="N25" s="663"/>
      <c r="O25" s="663"/>
      <c r="P25" s="663"/>
      <c r="Q25" s="663"/>
      <c r="R25" s="663"/>
      <c r="S25" s="660"/>
      <c r="T25" s="660"/>
    </row>
    <row r="26" spans="1:20" ht="13.5" x14ac:dyDescent="0.2">
      <c r="A26" s="5559" t="s">
        <v>1361</v>
      </c>
      <c r="B26" s="5559"/>
      <c r="C26" s="5559"/>
      <c r="D26" s="5559"/>
      <c r="E26" s="5559"/>
      <c r="F26" s="5559"/>
      <c r="G26" s="5559"/>
      <c r="H26" s="5559"/>
      <c r="I26" s="5559"/>
      <c r="J26" s="5559"/>
      <c r="K26" s="5559"/>
      <c r="L26" s="5559"/>
      <c r="M26" s="5559"/>
      <c r="N26" s="663"/>
      <c r="O26" s="663"/>
      <c r="P26" s="663"/>
      <c r="Q26" s="663"/>
      <c r="R26" s="663"/>
      <c r="S26" s="660"/>
      <c r="T26" s="660"/>
    </row>
    <row r="27" spans="1:20" ht="13.5" x14ac:dyDescent="0.2">
      <c r="A27" s="5560" t="s">
        <v>1316</v>
      </c>
      <c r="B27" s="5560"/>
      <c r="C27" s="5560"/>
      <c r="D27" s="5560"/>
      <c r="E27" s="5560"/>
      <c r="F27" s="5560"/>
      <c r="G27" s="5560"/>
      <c r="H27" s="5560"/>
      <c r="I27" s="5560"/>
      <c r="J27" s="5560"/>
      <c r="K27" s="5560"/>
      <c r="L27" s="5560"/>
      <c r="M27" s="5560"/>
      <c r="N27" s="663"/>
      <c r="O27" s="663"/>
      <c r="P27" s="663"/>
      <c r="Q27" s="663"/>
      <c r="R27" s="663"/>
      <c r="S27" s="660"/>
      <c r="T27" s="660"/>
    </row>
    <row r="28" spans="1:20" ht="13.5" x14ac:dyDescent="0.2">
      <c r="A28" s="5557" t="s">
        <v>1360</v>
      </c>
      <c r="B28" s="5557"/>
      <c r="C28" s="5557"/>
      <c r="D28" s="5557"/>
      <c r="E28" s="5557"/>
      <c r="F28" s="5557"/>
      <c r="G28" s="5557"/>
      <c r="H28" s="5557"/>
      <c r="I28" s="5557"/>
      <c r="J28" s="5557"/>
      <c r="K28" s="5557"/>
      <c r="L28" s="5557"/>
      <c r="M28" s="663"/>
      <c r="N28" s="663"/>
      <c r="O28" s="663"/>
      <c r="P28" s="663"/>
      <c r="Q28" s="663"/>
      <c r="R28" s="663"/>
      <c r="S28" s="660"/>
      <c r="T28" s="660"/>
    </row>
    <row r="29" spans="1:20" ht="13.5" x14ac:dyDescent="0.2">
      <c r="A29" s="5561" t="s">
        <v>1359</v>
      </c>
      <c r="B29" s="5561"/>
      <c r="C29" s="5561"/>
      <c r="D29" s="5561"/>
      <c r="E29" s="5561"/>
      <c r="F29" s="5561"/>
      <c r="G29" s="5561"/>
      <c r="H29" s="5561"/>
      <c r="I29" s="5561"/>
      <c r="J29" s="5561"/>
      <c r="K29" s="5561"/>
      <c r="L29" s="5561"/>
      <c r="M29" s="663"/>
      <c r="N29" s="663"/>
      <c r="O29" s="663"/>
      <c r="P29" s="663"/>
      <c r="Q29" s="663"/>
      <c r="R29" s="663"/>
      <c r="S29" s="660"/>
      <c r="T29" s="660"/>
    </row>
    <row r="30" spans="1:20" ht="13.5" x14ac:dyDescent="0.2">
      <c r="A30" s="5557" t="s">
        <v>1358</v>
      </c>
      <c r="B30" s="5557"/>
      <c r="C30" s="5557"/>
      <c r="D30" s="5557"/>
      <c r="E30" s="5557"/>
      <c r="F30" s="5557"/>
      <c r="G30" s="5557"/>
      <c r="H30" s="5557"/>
      <c r="I30" s="5557"/>
      <c r="J30" s="5557"/>
      <c r="K30" s="5557"/>
      <c r="L30" s="663"/>
      <c r="M30" s="663"/>
      <c r="N30" s="663"/>
      <c r="O30" s="663"/>
      <c r="P30" s="663"/>
      <c r="Q30" s="663"/>
      <c r="R30" s="663"/>
      <c r="S30" s="660"/>
      <c r="T30" s="660"/>
    </row>
    <row r="31" spans="1:20" ht="13.5" x14ac:dyDescent="0.2">
      <c r="A31" s="5557" t="s">
        <v>1357</v>
      </c>
      <c r="B31" s="5557"/>
      <c r="C31" s="5557"/>
      <c r="D31" s="5557"/>
      <c r="E31" s="5557"/>
      <c r="F31" s="5557"/>
      <c r="G31" s="5557"/>
      <c r="H31" s="5557"/>
      <c r="I31" s="5557"/>
      <c r="J31" s="5557"/>
      <c r="K31" s="5557"/>
      <c r="L31" s="5557"/>
      <c r="M31" s="663"/>
      <c r="N31" s="663"/>
      <c r="O31" s="663"/>
      <c r="P31" s="663"/>
      <c r="Q31" s="663"/>
      <c r="R31" s="663"/>
      <c r="S31" s="660"/>
      <c r="T31" s="660"/>
    </row>
    <row r="32" spans="1:20" ht="13.5" x14ac:dyDescent="0.2">
      <c r="A32" s="5553" t="s">
        <v>1356</v>
      </c>
      <c r="B32" s="5553"/>
      <c r="C32" s="5553"/>
      <c r="D32" s="5553"/>
      <c r="E32" s="5553"/>
      <c r="F32" s="5553"/>
      <c r="G32" s="5553"/>
      <c r="H32" s="5553"/>
      <c r="I32" s="5553"/>
      <c r="J32" s="5553"/>
      <c r="K32" s="5553"/>
      <c r="L32" s="5553"/>
      <c r="M32" s="663"/>
      <c r="N32" s="663"/>
      <c r="O32" s="663"/>
      <c r="P32" s="663"/>
      <c r="Q32" s="663"/>
      <c r="R32" s="663"/>
      <c r="S32" s="660"/>
      <c r="T32" s="660"/>
    </row>
    <row r="33" spans="1:20" ht="12.75" customHeight="1" x14ac:dyDescent="0.2">
      <c r="A33" s="5554" t="s">
        <v>1355</v>
      </c>
      <c r="B33" s="5554"/>
      <c r="C33" s="5554"/>
      <c r="D33" s="5554"/>
      <c r="E33" s="5554"/>
      <c r="F33" s="5554"/>
      <c r="G33" s="5554"/>
      <c r="H33" s="5554"/>
      <c r="I33" s="5554"/>
      <c r="J33" s="5554"/>
      <c r="K33" s="5554"/>
      <c r="L33" s="5554"/>
      <c r="M33" s="5554"/>
      <c r="N33" s="735"/>
      <c r="O33" s="735"/>
      <c r="P33" s="735"/>
      <c r="Q33" s="735"/>
      <c r="R33" s="735"/>
      <c r="S33" s="735"/>
      <c r="T33" s="735"/>
    </row>
    <row r="34" spans="1:20" ht="13.5" x14ac:dyDescent="0.2">
      <c r="A34" s="5561" t="s">
        <v>1354</v>
      </c>
      <c r="B34" s="5561"/>
      <c r="C34" s="5561"/>
      <c r="D34" s="5561"/>
      <c r="E34" s="5561"/>
      <c r="F34" s="5561"/>
      <c r="G34" s="5561"/>
      <c r="H34" s="5561"/>
      <c r="I34" s="5561"/>
      <c r="J34" s="5561"/>
      <c r="K34" s="5561"/>
      <c r="L34" s="5561"/>
      <c r="M34" s="5561"/>
      <c r="N34" s="663"/>
      <c r="O34" s="663"/>
      <c r="P34" s="663"/>
      <c r="Q34" s="663"/>
      <c r="R34" s="663"/>
      <c r="S34" s="660"/>
      <c r="T34" s="660"/>
    </row>
    <row r="35" spans="1:20" x14ac:dyDescent="0.2">
      <c r="A35" s="660"/>
      <c r="B35" s="660"/>
      <c r="C35" s="660"/>
      <c r="D35" s="660"/>
      <c r="E35" s="660"/>
      <c r="F35" s="660"/>
      <c r="G35" s="660"/>
      <c r="H35" s="660"/>
      <c r="I35" s="660"/>
      <c r="J35" s="660"/>
      <c r="K35" s="660"/>
      <c r="L35" s="660"/>
      <c r="M35" s="660"/>
      <c r="N35" s="660"/>
      <c r="O35" s="660"/>
      <c r="P35" s="660"/>
      <c r="Q35" s="660"/>
      <c r="R35" s="660"/>
      <c r="S35" s="660"/>
      <c r="T35" s="660"/>
    </row>
    <row r="36" spans="1:20" ht="18" customHeight="1" x14ac:dyDescent="0.2">
      <c r="A36" s="3572" t="s">
        <v>982</v>
      </c>
      <c r="B36" s="3570"/>
      <c r="C36" s="3570"/>
      <c r="D36" s="3570"/>
      <c r="E36" s="3570"/>
      <c r="F36" s="3570"/>
      <c r="G36" s="3570"/>
      <c r="H36" s="3570"/>
      <c r="I36" s="3570"/>
      <c r="J36" s="3570"/>
      <c r="K36" s="3570"/>
      <c r="L36" s="3570"/>
      <c r="M36" s="3570"/>
      <c r="N36" s="3570"/>
      <c r="O36" s="3570"/>
      <c r="P36" s="3570"/>
      <c r="Q36" s="3570"/>
      <c r="R36" s="3569"/>
      <c r="S36" s="660"/>
      <c r="T36" s="660"/>
    </row>
    <row r="37" spans="1:20" ht="26.25" customHeight="1" x14ac:dyDescent="0.2">
      <c r="A37" s="5745" t="s">
        <v>1310</v>
      </c>
      <c r="B37" s="5746"/>
      <c r="C37" s="5746"/>
      <c r="D37" s="5746"/>
      <c r="E37" s="5746"/>
      <c r="F37" s="5746"/>
      <c r="G37" s="5746"/>
      <c r="H37" s="5746"/>
      <c r="I37" s="5746"/>
      <c r="J37" s="5746"/>
      <c r="K37" s="5746"/>
      <c r="L37" s="5746"/>
      <c r="M37" s="5746"/>
      <c r="N37" s="5746"/>
      <c r="O37" s="5746"/>
      <c r="P37" s="5746"/>
      <c r="Q37" s="5746"/>
      <c r="R37" s="5747"/>
      <c r="S37" s="660"/>
      <c r="T37" s="660"/>
    </row>
    <row r="38" spans="1:20" ht="12" customHeight="1" x14ac:dyDescent="0.2">
      <c r="A38" s="3568" t="s">
        <v>980</v>
      </c>
      <c r="B38" s="5696" t="s">
        <v>986</v>
      </c>
      <c r="C38" s="5735"/>
      <c r="D38" s="5735"/>
      <c r="E38" s="5735"/>
      <c r="F38" s="5735"/>
      <c r="G38" s="5735"/>
      <c r="H38" s="5735"/>
      <c r="I38" s="5735"/>
      <c r="J38" s="5735"/>
      <c r="K38" s="5735"/>
      <c r="L38" s="5735"/>
      <c r="M38" s="5735"/>
      <c r="N38" s="5735"/>
      <c r="O38" s="5735"/>
      <c r="P38" s="5735"/>
      <c r="Q38" s="5735"/>
      <c r="R38" s="5735"/>
      <c r="S38" s="660"/>
      <c r="T38" s="660"/>
    </row>
    <row r="39" spans="1:20" ht="12" customHeight="1" x14ac:dyDescent="0.2">
      <c r="A39" s="3568" t="s">
        <v>980</v>
      </c>
      <c r="B39" s="5696" t="s">
        <v>986</v>
      </c>
      <c r="C39" s="5735"/>
      <c r="D39" s="5735"/>
      <c r="E39" s="5735"/>
      <c r="F39" s="5735"/>
      <c r="G39" s="5735"/>
      <c r="H39" s="5735"/>
      <c r="I39" s="5735"/>
      <c r="J39" s="5735"/>
      <c r="K39" s="5735"/>
      <c r="L39" s="5735"/>
      <c r="M39" s="5735"/>
      <c r="N39" s="5735"/>
      <c r="O39" s="5735"/>
      <c r="P39" s="5735"/>
      <c r="Q39" s="5735"/>
      <c r="R39" s="5735"/>
    </row>
  </sheetData>
  <sheetProtection password="A754" sheet="1" objects="1" scenarios="1"/>
  <mergeCells count="31">
    <mergeCell ref="B38:R38"/>
    <mergeCell ref="B39:R39"/>
    <mergeCell ref="A31:L31"/>
    <mergeCell ref="A32:L32"/>
    <mergeCell ref="A33:M33"/>
    <mergeCell ref="A34:M34"/>
    <mergeCell ref="A37:R37"/>
    <mergeCell ref="A5:B5"/>
    <mergeCell ref="A30:K30"/>
    <mergeCell ref="I6:I8"/>
    <mergeCell ref="J6:K7"/>
    <mergeCell ref="L6:N7"/>
    <mergeCell ref="A25:L25"/>
    <mergeCell ref="A26:M26"/>
    <mergeCell ref="A27:M27"/>
    <mergeCell ref="A28:L28"/>
    <mergeCell ref="A29:L29"/>
    <mergeCell ref="A6:A9"/>
    <mergeCell ref="B6:B9"/>
    <mergeCell ref="C6:C9"/>
    <mergeCell ref="E6:E9"/>
    <mergeCell ref="F6:H7"/>
    <mergeCell ref="F9:K9"/>
    <mergeCell ref="C5:E5"/>
    <mergeCell ref="F5:K5"/>
    <mergeCell ref="L5:Q5"/>
    <mergeCell ref="D6:D9"/>
    <mergeCell ref="R5:R8"/>
    <mergeCell ref="P6:Q7"/>
    <mergeCell ref="L9:Q9"/>
    <mergeCell ref="O6:O8"/>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03F41-F540-4983-B280-CB8E89F99892}">
  <sheetPr codeName="Ark68">
    <tabColor theme="0" tint="-0.34998626667073579"/>
    <pageSetUpPr fitToPage="1"/>
  </sheetPr>
  <dimension ref="A1:T38"/>
  <sheetViews>
    <sheetView showGridLines="0" workbookViewId="0"/>
  </sheetViews>
  <sheetFormatPr defaultColWidth="8" defaultRowHeight="12" customHeight="1" x14ac:dyDescent="0.2"/>
  <cols>
    <col min="1" max="1" width="45.7109375" style="659" customWidth="1"/>
    <col min="2" max="2" width="14.7109375" style="659" customWidth="1"/>
    <col min="3" max="18" width="11.7109375" style="659" customWidth="1"/>
    <col min="19" max="19" width="1.28515625" style="659" customWidth="1"/>
    <col min="20" max="24" width="13.7109375" style="659" customWidth="1"/>
    <col min="25" max="16384" width="8" style="659"/>
  </cols>
  <sheetData>
    <row r="1" spans="1:20" ht="15.75" x14ac:dyDescent="0.25">
      <c r="A1" s="671" t="s">
        <v>1400</v>
      </c>
      <c r="B1" s="660"/>
      <c r="C1" s="660"/>
      <c r="D1" s="660"/>
      <c r="E1" s="660"/>
      <c r="F1" s="660"/>
      <c r="G1" s="660"/>
      <c r="H1" s="660"/>
      <c r="I1" s="660"/>
      <c r="J1" s="660"/>
      <c r="K1" s="660"/>
      <c r="L1" s="660"/>
      <c r="M1" s="660"/>
      <c r="N1" s="660"/>
      <c r="O1" s="660"/>
      <c r="P1" s="660"/>
      <c r="Q1" s="660"/>
      <c r="R1" s="668" t="s">
        <v>1762</v>
      </c>
      <c r="S1" s="660"/>
      <c r="T1" s="660"/>
    </row>
    <row r="2" spans="1:20" ht="15.75" x14ac:dyDescent="0.25">
      <c r="A2" s="671" t="s">
        <v>1399</v>
      </c>
      <c r="B2" s="660"/>
      <c r="C2" s="660"/>
      <c r="D2" s="660"/>
      <c r="E2" s="660"/>
      <c r="F2" s="660"/>
      <c r="G2" s="660"/>
      <c r="H2" s="660"/>
      <c r="I2" s="660"/>
      <c r="J2" s="660"/>
      <c r="K2" s="660"/>
      <c r="L2" s="660"/>
      <c r="M2" s="660"/>
      <c r="N2" s="660"/>
      <c r="O2" s="660"/>
      <c r="P2" s="660"/>
      <c r="Q2" s="660"/>
      <c r="R2" s="668" t="s">
        <v>1761</v>
      </c>
      <c r="S2" s="660"/>
      <c r="T2" s="660"/>
    </row>
    <row r="3" spans="1:20" ht="15.75" x14ac:dyDescent="0.25">
      <c r="A3" s="671" t="s">
        <v>1197</v>
      </c>
      <c r="B3" s="660"/>
      <c r="C3" s="660"/>
      <c r="D3" s="660"/>
      <c r="E3" s="660"/>
      <c r="F3" s="660"/>
      <c r="G3" s="660"/>
      <c r="H3" s="660"/>
      <c r="I3" s="660"/>
      <c r="J3" s="660"/>
      <c r="K3" s="660"/>
      <c r="L3" s="660"/>
      <c r="M3" s="660"/>
      <c r="N3" s="660"/>
      <c r="O3" s="660"/>
      <c r="P3" s="660"/>
      <c r="Q3" s="660"/>
      <c r="R3" s="668" t="s">
        <v>1789</v>
      </c>
      <c r="S3" s="660"/>
      <c r="T3" s="660"/>
    </row>
    <row r="4" spans="1:20" ht="12" customHeight="1" x14ac:dyDescent="0.2">
      <c r="A4" s="660"/>
      <c r="B4" s="660"/>
      <c r="C4" s="660"/>
      <c r="D4" s="660"/>
      <c r="E4" s="660"/>
      <c r="F4" s="660"/>
      <c r="G4" s="660"/>
      <c r="H4" s="660"/>
      <c r="I4" s="660"/>
      <c r="J4" s="660"/>
      <c r="K4" s="660"/>
      <c r="L4" s="660"/>
      <c r="M4" s="660"/>
      <c r="N4" s="660"/>
      <c r="O4" s="660"/>
      <c r="P4" s="660"/>
      <c r="Q4" s="660"/>
      <c r="R4" s="3315"/>
      <c r="S4" s="660"/>
      <c r="T4" s="660"/>
    </row>
    <row r="5" spans="1:20" ht="30" customHeight="1" x14ac:dyDescent="0.2">
      <c r="A5" s="5740" t="s">
        <v>1025</v>
      </c>
      <c r="B5" s="5741"/>
      <c r="C5" s="5736" t="s">
        <v>1083</v>
      </c>
      <c r="D5" s="5737"/>
      <c r="E5" s="5738"/>
      <c r="F5" s="5736" t="s">
        <v>1351</v>
      </c>
      <c r="G5" s="5737"/>
      <c r="H5" s="5737"/>
      <c r="I5" s="5737"/>
      <c r="J5" s="5737"/>
      <c r="K5" s="5738"/>
      <c r="L5" s="5736" t="s">
        <v>1350</v>
      </c>
      <c r="M5" s="5737"/>
      <c r="N5" s="5737"/>
      <c r="O5" s="5737"/>
      <c r="P5" s="5737"/>
      <c r="Q5" s="5737"/>
      <c r="R5" s="5739" t="s">
        <v>1398</v>
      </c>
      <c r="S5" s="660"/>
      <c r="T5" s="660"/>
    </row>
    <row r="6" spans="1:20" ht="47.25" customHeight="1" x14ac:dyDescent="0.2">
      <c r="A6" s="5728" t="s">
        <v>1348</v>
      </c>
      <c r="B6" s="5739" t="s">
        <v>1347</v>
      </c>
      <c r="C6" s="5739" t="s">
        <v>1346</v>
      </c>
      <c r="D6" s="5739" t="s">
        <v>1345</v>
      </c>
      <c r="E6" s="5743" t="s">
        <v>1344</v>
      </c>
      <c r="F6" s="5742" t="s">
        <v>1343</v>
      </c>
      <c r="G6" s="5744"/>
      <c r="H6" s="5743"/>
      <c r="I6" s="5739" t="s">
        <v>1375</v>
      </c>
      <c r="J6" s="5742" t="s">
        <v>1340</v>
      </c>
      <c r="K6" s="5743"/>
      <c r="L6" s="5742" t="s">
        <v>1397</v>
      </c>
      <c r="M6" s="5744"/>
      <c r="N6" s="5743"/>
      <c r="O6" s="5739" t="s">
        <v>1396</v>
      </c>
      <c r="P6" s="5742" t="s">
        <v>1395</v>
      </c>
      <c r="Q6" s="5744"/>
      <c r="R6" s="5532"/>
      <c r="S6" s="660"/>
      <c r="T6" s="660"/>
    </row>
    <row r="7" spans="1:20" ht="12.75" customHeight="1" x14ac:dyDescent="0.2">
      <c r="A7" s="5520"/>
      <c r="B7" s="5532"/>
      <c r="C7" s="5532"/>
      <c r="D7" s="5532"/>
      <c r="E7" s="5542"/>
      <c r="F7" s="5539"/>
      <c r="G7" s="5545"/>
      <c r="H7" s="5540"/>
      <c r="I7" s="5532"/>
      <c r="J7" s="5539"/>
      <c r="K7" s="5540"/>
      <c r="L7" s="5539"/>
      <c r="M7" s="5545"/>
      <c r="N7" s="5540"/>
      <c r="O7" s="5532"/>
      <c r="P7" s="5539"/>
      <c r="Q7" s="5545"/>
      <c r="R7" s="5532"/>
      <c r="S7" s="660"/>
      <c r="T7" s="660"/>
    </row>
    <row r="8" spans="1:20" ht="36" customHeight="1" x14ac:dyDescent="0.2">
      <c r="A8" s="5520"/>
      <c r="B8" s="5532"/>
      <c r="C8" s="5532"/>
      <c r="D8" s="5532"/>
      <c r="E8" s="5542"/>
      <c r="F8" s="3566" t="s">
        <v>1334</v>
      </c>
      <c r="G8" s="3566" t="s">
        <v>1333</v>
      </c>
      <c r="H8" s="3566" t="s">
        <v>1332</v>
      </c>
      <c r="I8" s="5533"/>
      <c r="J8" s="3309" t="s">
        <v>1331</v>
      </c>
      <c r="K8" s="3311" t="s">
        <v>1330</v>
      </c>
      <c r="L8" s="3566" t="s">
        <v>1334</v>
      </c>
      <c r="M8" s="3566" t="s">
        <v>1333</v>
      </c>
      <c r="N8" s="3566" t="s">
        <v>1332</v>
      </c>
      <c r="O8" s="5533"/>
      <c r="P8" s="3309" t="s">
        <v>1331</v>
      </c>
      <c r="Q8" s="3309" t="s">
        <v>1330</v>
      </c>
      <c r="R8" s="5533"/>
      <c r="S8" s="660"/>
      <c r="T8" s="660"/>
    </row>
    <row r="9" spans="1:20" ht="18.75" customHeight="1" thickBot="1" x14ac:dyDescent="0.25">
      <c r="A9" s="5556"/>
      <c r="B9" s="5541"/>
      <c r="C9" s="5541"/>
      <c r="D9" s="5541"/>
      <c r="E9" s="5543"/>
      <c r="F9" s="5546" t="s">
        <v>1329</v>
      </c>
      <c r="G9" s="5547"/>
      <c r="H9" s="5547"/>
      <c r="I9" s="5547"/>
      <c r="J9" s="5547"/>
      <c r="K9" s="5548"/>
      <c r="L9" s="5546" t="s">
        <v>1328</v>
      </c>
      <c r="M9" s="5547"/>
      <c r="N9" s="5547"/>
      <c r="O9" s="5547"/>
      <c r="P9" s="5547"/>
      <c r="Q9" s="5547"/>
      <c r="R9" s="734" t="s">
        <v>1011</v>
      </c>
      <c r="S9" s="660"/>
      <c r="T9" s="660"/>
    </row>
    <row r="10" spans="1:20" ht="12.75" thickTop="1" x14ac:dyDescent="0.2">
      <c r="A10" s="733" t="s">
        <v>1394</v>
      </c>
      <c r="B10" s="3497" t="s">
        <v>986</v>
      </c>
      <c r="C10" s="3507">
        <v>168.91693749986999</v>
      </c>
      <c r="D10" s="3507">
        <v>88.995129194430007</v>
      </c>
      <c r="E10" s="3507">
        <v>79.921808305439995</v>
      </c>
      <c r="F10" s="3507">
        <v>0.50367547906239996</v>
      </c>
      <c r="G10" s="3507">
        <v>-0.77160798339421</v>
      </c>
      <c r="H10" s="3507">
        <v>-0.26793250433180998</v>
      </c>
      <c r="I10" s="3507">
        <v>-7.4287837381700004E-3</v>
      </c>
      <c r="J10" s="3507">
        <v>1.073515534522E-2</v>
      </c>
      <c r="K10" s="3507">
        <v>-6.4214950283609502</v>
      </c>
      <c r="L10" s="3507">
        <v>85.079319416999994</v>
      </c>
      <c r="M10" s="3507">
        <v>-130.33765750539999</v>
      </c>
      <c r="N10" s="3507">
        <v>-45.258338088400002</v>
      </c>
      <c r="O10" s="3507">
        <v>-1.2548473983999999</v>
      </c>
      <c r="P10" s="3507">
        <v>0.95537653687000001</v>
      </c>
      <c r="Q10" s="3507">
        <v>-513.21749469099996</v>
      </c>
      <c r="R10" s="3507">
        <v>2048.8427800167451</v>
      </c>
      <c r="S10" s="660"/>
      <c r="T10" s="660"/>
    </row>
    <row r="11" spans="1:20" x14ac:dyDescent="0.2">
      <c r="A11" s="3574" t="s">
        <v>1393</v>
      </c>
      <c r="B11" s="3497"/>
      <c r="C11" s="3507">
        <v>80.149029166529999</v>
      </c>
      <c r="D11" s="3507">
        <v>0.45226992953</v>
      </c>
      <c r="E11" s="3507">
        <v>79.696759236999995</v>
      </c>
      <c r="F11" s="3507">
        <v>0.81012427838758005</v>
      </c>
      <c r="G11" s="3507">
        <v>-1.25297687376028</v>
      </c>
      <c r="H11" s="3507">
        <v>-0.4428525953727</v>
      </c>
      <c r="I11" s="3507" t="s">
        <v>799</v>
      </c>
      <c r="J11" s="3507" t="s">
        <v>455</v>
      </c>
      <c r="K11" s="3507">
        <v>-6.4123739562642399</v>
      </c>
      <c r="L11" s="3507">
        <v>64.930674417000006</v>
      </c>
      <c r="M11" s="3507">
        <v>-100.42488</v>
      </c>
      <c r="N11" s="3507">
        <v>-35.494205583000003</v>
      </c>
      <c r="O11" s="3507" t="s">
        <v>799</v>
      </c>
      <c r="P11" s="3507" t="s">
        <v>455</v>
      </c>
      <c r="Q11" s="3507">
        <v>-511.04542333000001</v>
      </c>
      <c r="R11" s="3507">
        <v>2003.9786393476684</v>
      </c>
      <c r="S11" s="660"/>
      <c r="T11" s="660"/>
    </row>
    <row r="12" spans="1:20" x14ac:dyDescent="0.2">
      <c r="A12" s="3548" t="s">
        <v>1319</v>
      </c>
      <c r="B12" s="3500" t="s">
        <v>1319</v>
      </c>
      <c r="C12" s="3507">
        <v>80.149029166529999</v>
      </c>
      <c r="D12" s="3500">
        <v>0.45226992953</v>
      </c>
      <c r="E12" s="3500">
        <v>79.696759236999995</v>
      </c>
      <c r="F12" s="3507">
        <v>0.81012427838758005</v>
      </c>
      <c r="G12" s="3507">
        <v>-1.25297687376028</v>
      </c>
      <c r="H12" s="3507">
        <v>-0.4428525953727</v>
      </c>
      <c r="I12" s="3507" t="s">
        <v>799</v>
      </c>
      <c r="J12" s="3507" t="s">
        <v>455</v>
      </c>
      <c r="K12" s="3507">
        <v>-6.4123739562642399</v>
      </c>
      <c r="L12" s="3500">
        <v>64.930674417000006</v>
      </c>
      <c r="M12" s="3500">
        <v>-100.42488</v>
      </c>
      <c r="N12" s="3507">
        <v>-35.494205583000003</v>
      </c>
      <c r="O12" s="3500" t="s">
        <v>799</v>
      </c>
      <c r="P12" s="3500" t="s">
        <v>455</v>
      </c>
      <c r="Q12" s="3500">
        <v>-511.04542333000001</v>
      </c>
      <c r="R12" s="3507">
        <v>2003.9786393476684</v>
      </c>
      <c r="S12" s="660"/>
      <c r="T12" s="660"/>
    </row>
    <row r="13" spans="1:20" ht="13.5" x14ac:dyDescent="0.2">
      <c r="A13" s="3578" t="s">
        <v>1392</v>
      </c>
      <c r="B13" s="3497" t="s">
        <v>986</v>
      </c>
      <c r="C13" s="3507">
        <v>88.767908333340003</v>
      </c>
      <c r="D13" s="3507">
        <v>88.542859264900002</v>
      </c>
      <c r="E13" s="3507">
        <v>0.22504906844</v>
      </c>
      <c r="F13" s="3507">
        <v>0.22698118473557</v>
      </c>
      <c r="G13" s="3507">
        <v>-0.33697738368545999</v>
      </c>
      <c r="H13" s="3507">
        <v>-0.10999619894989</v>
      </c>
      <c r="I13" s="3507">
        <v>-1.41362731415E-2</v>
      </c>
      <c r="J13" s="3507">
        <v>1.078998967056E-2</v>
      </c>
      <c r="K13" s="3507">
        <v>-9.6515456653804907</v>
      </c>
      <c r="L13" s="3507">
        <v>20.148644999999998</v>
      </c>
      <c r="M13" s="3507">
        <v>-29.912777505400001</v>
      </c>
      <c r="N13" s="3507">
        <v>-9.7641325053999992</v>
      </c>
      <c r="O13" s="3507">
        <v>-1.2548473983999999</v>
      </c>
      <c r="P13" s="3507">
        <v>0.95537653687000001</v>
      </c>
      <c r="Q13" s="3507">
        <v>-2.172071361</v>
      </c>
      <c r="R13" s="3507">
        <v>44.864140669076711</v>
      </c>
      <c r="S13" s="660"/>
      <c r="T13" s="660"/>
    </row>
    <row r="14" spans="1:20" x14ac:dyDescent="0.2">
      <c r="A14" s="3574" t="s">
        <v>1391</v>
      </c>
      <c r="B14" s="3497"/>
      <c r="C14" s="3507">
        <v>4.2350833333400004</v>
      </c>
      <c r="D14" s="3507">
        <v>4.0100342648999998</v>
      </c>
      <c r="E14" s="3507">
        <v>0.22504906844</v>
      </c>
      <c r="F14" s="3507">
        <v>0.13756222821253</v>
      </c>
      <c r="G14" s="3507">
        <v>-0.50048537125911996</v>
      </c>
      <c r="H14" s="3507">
        <v>-0.36292314304659001</v>
      </c>
      <c r="I14" s="3507">
        <v>-0.29629815983110003</v>
      </c>
      <c r="J14" s="3507">
        <v>0.24059059677238001</v>
      </c>
      <c r="K14" s="3507">
        <v>-9.6515456653804907</v>
      </c>
      <c r="L14" s="3507">
        <v>0.58258750000000004</v>
      </c>
      <c r="M14" s="3507">
        <v>-2.1195972543999999</v>
      </c>
      <c r="N14" s="3507">
        <v>-1.5370097544000001</v>
      </c>
      <c r="O14" s="3507">
        <v>-1.2548473983999999</v>
      </c>
      <c r="P14" s="3507">
        <v>0.96477653686999998</v>
      </c>
      <c r="Q14" s="3507">
        <v>-2.172071361</v>
      </c>
      <c r="R14" s="3507">
        <v>14.66355724874335</v>
      </c>
      <c r="S14" s="660"/>
      <c r="T14" s="660"/>
    </row>
    <row r="15" spans="1:20" x14ac:dyDescent="0.2">
      <c r="A15" s="3548" t="s">
        <v>1319</v>
      </c>
      <c r="B15" s="3500" t="s">
        <v>1319</v>
      </c>
      <c r="C15" s="3507">
        <v>4.2350833333400004</v>
      </c>
      <c r="D15" s="3500">
        <v>4.0100342648999998</v>
      </c>
      <c r="E15" s="3500">
        <v>0.22504906844</v>
      </c>
      <c r="F15" s="3507">
        <v>0.13756222821253</v>
      </c>
      <c r="G15" s="3507">
        <v>-0.50048537125911996</v>
      </c>
      <c r="H15" s="3507">
        <v>-0.36292314304659001</v>
      </c>
      <c r="I15" s="3507">
        <v>-0.29629815983110003</v>
      </c>
      <c r="J15" s="3507">
        <v>0.24059059677238001</v>
      </c>
      <c r="K15" s="3507">
        <v>-9.6515456653804907</v>
      </c>
      <c r="L15" s="3500">
        <v>0.58258750000000004</v>
      </c>
      <c r="M15" s="3500">
        <v>-2.1195972543999999</v>
      </c>
      <c r="N15" s="3507">
        <v>-1.5370097544000001</v>
      </c>
      <c r="O15" s="3500">
        <v>-1.2548473983999999</v>
      </c>
      <c r="P15" s="3500">
        <v>0.96477653686999998</v>
      </c>
      <c r="Q15" s="3500">
        <v>-2.172071361</v>
      </c>
      <c r="R15" s="3507">
        <v>14.66355724874335</v>
      </c>
      <c r="S15" s="660"/>
      <c r="T15" s="660"/>
    </row>
    <row r="16" spans="1:20" x14ac:dyDescent="0.2">
      <c r="A16" s="3574" t="s">
        <v>1390</v>
      </c>
      <c r="B16" s="3497"/>
      <c r="C16" s="3507">
        <v>84.524012499999998</v>
      </c>
      <c r="D16" s="3507">
        <v>84.524012499999998</v>
      </c>
      <c r="E16" s="3507" t="s">
        <v>455</v>
      </c>
      <c r="F16" s="3507">
        <v>0.23148519481372001</v>
      </c>
      <c r="G16" s="3507">
        <v>-0.32881993446537</v>
      </c>
      <c r="H16" s="3507">
        <v>-9.7334739651650001E-2</v>
      </c>
      <c r="I16" s="3507" t="s">
        <v>799</v>
      </c>
      <c r="J16" s="3507" t="s">
        <v>455</v>
      </c>
      <c r="K16" s="3507" t="s">
        <v>455</v>
      </c>
      <c r="L16" s="3507">
        <v>19.566057499999999</v>
      </c>
      <c r="M16" s="3507">
        <v>-27.793180250999999</v>
      </c>
      <c r="N16" s="3507">
        <v>-8.2271227509999996</v>
      </c>
      <c r="O16" s="3507" t="s">
        <v>799</v>
      </c>
      <c r="P16" s="3507" t="s">
        <v>455</v>
      </c>
      <c r="Q16" s="3507" t="s">
        <v>455</v>
      </c>
      <c r="R16" s="3507">
        <v>30.166116753666689</v>
      </c>
      <c r="S16" s="660"/>
      <c r="T16" s="660"/>
    </row>
    <row r="17" spans="1:20" x14ac:dyDescent="0.2">
      <c r="A17" s="3548" t="s">
        <v>1319</v>
      </c>
      <c r="B17" s="3500" t="s">
        <v>1319</v>
      </c>
      <c r="C17" s="3507">
        <v>84.524012499999998</v>
      </c>
      <c r="D17" s="3500">
        <v>84.524012499999998</v>
      </c>
      <c r="E17" s="3500" t="s">
        <v>455</v>
      </c>
      <c r="F17" s="3507">
        <v>0.23148519481372001</v>
      </c>
      <c r="G17" s="3507">
        <v>-0.32881993446537</v>
      </c>
      <c r="H17" s="3507">
        <v>-9.7334739651650001E-2</v>
      </c>
      <c r="I17" s="3507" t="s">
        <v>799</v>
      </c>
      <c r="J17" s="3507" t="s">
        <v>455</v>
      </c>
      <c r="K17" s="3507" t="s">
        <v>455</v>
      </c>
      <c r="L17" s="3500">
        <v>19.566057499999999</v>
      </c>
      <c r="M17" s="3500">
        <v>-27.793180250999999</v>
      </c>
      <c r="N17" s="3507">
        <v>-8.2271227509999996</v>
      </c>
      <c r="O17" s="3500" t="s">
        <v>799</v>
      </c>
      <c r="P17" s="3500" t="s">
        <v>455</v>
      </c>
      <c r="Q17" s="3500" t="s">
        <v>455</v>
      </c>
      <c r="R17" s="3507">
        <v>30.166116753666689</v>
      </c>
      <c r="S17" s="660"/>
      <c r="T17" s="660"/>
    </row>
    <row r="18" spans="1:20" x14ac:dyDescent="0.2">
      <c r="A18" s="3574" t="s">
        <v>1389</v>
      </c>
      <c r="B18" s="3497"/>
      <c r="C18" s="3507">
        <v>8.8124999999999992E-3</v>
      </c>
      <c r="D18" s="3507">
        <v>8.8124999999999992E-3</v>
      </c>
      <c r="E18" s="3507" t="s">
        <v>259</v>
      </c>
      <c r="F18" s="3507" t="s">
        <v>799</v>
      </c>
      <c r="G18" s="3507" t="s">
        <v>799</v>
      </c>
      <c r="H18" s="3507" t="s">
        <v>799</v>
      </c>
      <c r="I18" s="3507" t="s">
        <v>799</v>
      </c>
      <c r="J18" s="3507">
        <v>-1.06666666666667</v>
      </c>
      <c r="K18" s="3507" t="s">
        <v>799</v>
      </c>
      <c r="L18" s="3507" t="s">
        <v>799</v>
      </c>
      <c r="M18" s="3507" t="s">
        <v>799</v>
      </c>
      <c r="N18" s="3507" t="s">
        <v>799</v>
      </c>
      <c r="O18" s="3507" t="s">
        <v>799</v>
      </c>
      <c r="P18" s="3507">
        <v>-9.4000000000000004E-3</v>
      </c>
      <c r="Q18" s="3507" t="s">
        <v>799</v>
      </c>
      <c r="R18" s="3507">
        <v>3.4466666666669997E-2</v>
      </c>
      <c r="S18" s="660"/>
      <c r="T18" s="660"/>
    </row>
    <row r="19" spans="1:20" x14ac:dyDescent="0.2">
      <c r="A19" s="3548" t="s">
        <v>1319</v>
      </c>
      <c r="B19" s="3500" t="s">
        <v>1319</v>
      </c>
      <c r="C19" s="3507">
        <v>8.8124999999999992E-3</v>
      </c>
      <c r="D19" s="3500">
        <v>8.8124999999999992E-3</v>
      </c>
      <c r="E19" s="3500" t="s">
        <v>259</v>
      </c>
      <c r="F19" s="3507" t="s">
        <v>799</v>
      </c>
      <c r="G19" s="3507" t="s">
        <v>799</v>
      </c>
      <c r="H19" s="3507" t="s">
        <v>799</v>
      </c>
      <c r="I19" s="3507" t="s">
        <v>799</v>
      </c>
      <c r="J19" s="3507">
        <v>-1.06666666666667</v>
      </c>
      <c r="K19" s="3507" t="s">
        <v>799</v>
      </c>
      <c r="L19" s="3500" t="s">
        <v>799</v>
      </c>
      <c r="M19" s="3500" t="s">
        <v>799</v>
      </c>
      <c r="N19" s="3507" t="s">
        <v>799</v>
      </c>
      <c r="O19" s="3500" t="s">
        <v>799</v>
      </c>
      <c r="P19" s="3500">
        <v>-9.4000000000000004E-3</v>
      </c>
      <c r="Q19" s="3500" t="s">
        <v>799</v>
      </c>
      <c r="R19" s="3507">
        <v>3.4466666666669997E-2</v>
      </c>
      <c r="S19" s="660"/>
      <c r="T19" s="660"/>
    </row>
    <row r="20" spans="1:20" x14ac:dyDescent="0.2">
      <c r="A20" s="3574" t="s">
        <v>1388</v>
      </c>
      <c r="B20" s="3497"/>
      <c r="C20" s="3507" t="s">
        <v>259</v>
      </c>
      <c r="D20" s="3507" t="s">
        <v>259</v>
      </c>
      <c r="E20" s="3507" t="s">
        <v>259</v>
      </c>
      <c r="F20" s="3507" t="s">
        <v>799</v>
      </c>
      <c r="G20" s="3507" t="s">
        <v>799</v>
      </c>
      <c r="H20" s="3507" t="s">
        <v>799</v>
      </c>
      <c r="I20" s="3507" t="s">
        <v>799</v>
      </c>
      <c r="J20" s="3507" t="s">
        <v>799</v>
      </c>
      <c r="K20" s="3507" t="s">
        <v>799</v>
      </c>
      <c r="L20" s="3507" t="s">
        <v>799</v>
      </c>
      <c r="M20" s="3507" t="s">
        <v>799</v>
      </c>
      <c r="N20" s="3507" t="s">
        <v>799</v>
      </c>
      <c r="O20" s="3507" t="s">
        <v>799</v>
      </c>
      <c r="P20" s="3507" t="s">
        <v>799</v>
      </c>
      <c r="Q20" s="3507" t="s">
        <v>799</v>
      </c>
      <c r="R20" s="3507" t="s">
        <v>799</v>
      </c>
      <c r="S20" s="660"/>
      <c r="T20" s="660"/>
    </row>
    <row r="21" spans="1:20" x14ac:dyDescent="0.2">
      <c r="A21" s="3548" t="s">
        <v>1319</v>
      </c>
      <c r="B21" s="3500" t="s">
        <v>1319</v>
      </c>
      <c r="C21" s="3507" t="s">
        <v>259</v>
      </c>
      <c r="D21" s="3500" t="s">
        <v>259</v>
      </c>
      <c r="E21" s="3500" t="s">
        <v>259</v>
      </c>
      <c r="F21" s="3507" t="s">
        <v>799</v>
      </c>
      <c r="G21" s="3507" t="s">
        <v>799</v>
      </c>
      <c r="H21" s="3507" t="s">
        <v>799</v>
      </c>
      <c r="I21" s="3507" t="s">
        <v>799</v>
      </c>
      <c r="J21" s="3507" t="s">
        <v>799</v>
      </c>
      <c r="K21" s="3507" t="s">
        <v>799</v>
      </c>
      <c r="L21" s="3500" t="s">
        <v>799</v>
      </c>
      <c r="M21" s="3500" t="s">
        <v>799</v>
      </c>
      <c r="N21" s="3507" t="s">
        <v>799</v>
      </c>
      <c r="O21" s="3500" t="s">
        <v>799</v>
      </c>
      <c r="P21" s="3500" t="s">
        <v>799</v>
      </c>
      <c r="Q21" s="3500" t="s">
        <v>799</v>
      </c>
      <c r="R21" s="3507" t="s">
        <v>799</v>
      </c>
      <c r="S21" s="660"/>
      <c r="T21" s="660"/>
    </row>
    <row r="22" spans="1:20" x14ac:dyDescent="0.2">
      <c r="A22" s="3577" t="s">
        <v>1387</v>
      </c>
      <c r="B22" s="3497"/>
      <c r="C22" s="3507" t="s">
        <v>259</v>
      </c>
      <c r="D22" s="3507" t="s">
        <v>259</v>
      </c>
      <c r="E22" s="3507" t="s">
        <v>259</v>
      </c>
      <c r="F22" s="3507" t="s">
        <v>799</v>
      </c>
      <c r="G22" s="3507" t="s">
        <v>799</v>
      </c>
      <c r="H22" s="3507" t="s">
        <v>799</v>
      </c>
      <c r="I22" s="3507" t="s">
        <v>799</v>
      </c>
      <c r="J22" s="3507" t="s">
        <v>799</v>
      </c>
      <c r="K22" s="3507" t="s">
        <v>799</v>
      </c>
      <c r="L22" s="3507" t="s">
        <v>799</v>
      </c>
      <c r="M22" s="3507" t="s">
        <v>799</v>
      </c>
      <c r="N22" s="3507" t="s">
        <v>799</v>
      </c>
      <c r="O22" s="3507" t="s">
        <v>799</v>
      </c>
      <c r="P22" s="3507" t="s">
        <v>799</v>
      </c>
      <c r="Q22" s="3507" t="s">
        <v>799</v>
      </c>
      <c r="R22" s="3507" t="s">
        <v>799</v>
      </c>
      <c r="S22" s="660"/>
      <c r="T22" s="660"/>
    </row>
    <row r="23" spans="1:20" x14ac:dyDescent="0.2">
      <c r="A23" s="3548" t="s">
        <v>1319</v>
      </c>
      <c r="B23" s="3500" t="s">
        <v>1319</v>
      </c>
      <c r="C23" s="3507" t="s">
        <v>259</v>
      </c>
      <c r="D23" s="3500" t="s">
        <v>259</v>
      </c>
      <c r="E23" s="3500" t="s">
        <v>259</v>
      </c>
      <c r="F23" s="3507" t="s">
        <v>799</v>
      </c>
      <c r="G23" s="3507" t="s">
        <v>799</v>
      </c>
      <c r="H23" s="3507" t="s">
        <v>799</v>
      </c>
      <c r="I23" s="3507" t="s">
        <v>799</v>
      </c>
      <c r="J23" s="3507" t="s">
        <v>799</v>
      </c>
      <c r="K23" s="3507" t="s">
        <v>799</v>
      </c>
      <c r="L23" s="3500" t="s">
        <v>799</v>
      </c>
      <c r="M23" s="3500" t="s">
        <v>799</v>
      </c>
      <c r="N23" s="3507" t="s">
        <v>799</v>
      </c>
      <c r="O23" s="3500" t="s">
        <v>799</v>
      </c>
      <c r="P23" s="3500" t="s">
        <v>799</v>
      </c>
      <c r="Q23" s="3500" t="s">
        <v>799</v>
      </c>
      <c r="R23" s="3507" t="s">
        <v>799</v>
      </c>
      <c r="S23" s="660"/>
      <c r="T23" s="660"/>
    </row>
    <row r="24" spans="1:20" ht="12" customHeight="1" x14ac:dyDescent="0.2">
      <c r="A24" s="678" t="s">
        <v>564</v>
      </c>
      <c r="B24" s="663"/>
      <c r="C24" s="663"/>
      <c r="D24" s="663"/>
      <c r="E24" s="663"/>
      <c r="F24" s="663"/>
      <c r="G24" s="663"/>
      <c r="H24" s="663"/>
      <c r="I24" s="663"/>
      <c r="J24" s="663"/>
      <c r="K24" s="663"/>
      <c r="L24" s="663"/>
      <c r="M24" s="663"/>
      <c r="N24" s="663"/>
      <c r="O24" s="663"/>
      <c r="P24" s="663"/>
      <c r="Q24" s="663"/>
      <c r="R24" s="663"/>
      <c r="S24" s="660"/>
      <c r="T24" s="660"/>
    </row>
    <row r="25" spans="1:20" ht="13.5" x14ac:dyDescent="0.2">
      <c r="A25" s="5507" t="s">
        <v>1386</v>
      </c>
      <c r="B25" s="5507"/>
      <c r="C25" s="5507"/>
      <c r="D25" s="5507"/>
      <c r="E25" s="5507"/>
      <c r="F25" s="5507"/>
      <c r="G25" s="5507"/>
      <c r="H25" s="5507"/>
      <c r="I25" s="5507"/>
      <c r="J25" s="5507"/>
      <c r="K25" s="5507"/>
      <c r="L25" s="5507"/>
      <c r="M25" s="5507"/>
      <c r="N25" s="5507"/>
      <c r="O25" s="5507"/>
      <c r="P25" s="5507"/>
      <c r="Q25" s="663"/>
      <c r="R25" s="663"/>
      <c r="S25" s="660"/>
      <c r="T25" s="660"/>
    </row>
    <row r="26" spans="1:20" ht="13.5" x14ac:dyDescent="0.2">
      <c r="A26" s="5559" t="s">
        <v>1385</v>
      </c>
      <c r="B26" s="5559"/>
      <c r="C26" s="5559"/>
      <c r="D26" s="5559"/>
      <c r="E26" s="5559"/>
      <c r="F26" s="5559"/>
      <c r="G26" s="5559"/>
      <c r="H26" s="5559"/>
      <c r="I26" s="5559"/>
      <c r="J26" s="5559"/>
      <c r="K26" s="5559"/>
      <c r="L26" s="5559"/>
      <c r="M26" s="5559"/>
      <c r="N26" s="5559"/>
      <c r="O26" s="5559"/>
      <c r="P26" s="5559"/>
      <c r="Q26" s="663"/>
      <c r="R26" s="663"/>
      <c r="S26" s="660"/>
      <c r="T26" s="660"/>
    </row>
    <row r="27" spans="1:20" ht="13.5" x14ac:dyDescent="0.2">
      <c r="A27" s="5560" t="s">
        <v>1384</v>
      </c>
      <c r="B27" s="5560"/>
      <c r="C27" s="5560"/>
      <c r="D27" s="5560"/>
      <c r="E27" s="5560"/>
      <c r="F27" s="5560"/>
      <c r="G27" s="5560"/>
      <c r="H27" s="5560"/>
      <c r="I27" s="5560"/>
      <c r="J27" s="5560"/>
      <c r="K27" s="5560"/>
      <c r="L27" s="5560"/>
      <c r="M27" s="5560"/>
      <c r="N27" s="5560"/>
      <c r="O27" s="5560"/>
      <c r="P27" s="663"/>
      <c r="Q27" s="663"/>
      <c r="R27" s="663"/>
      <c r="S27" s="660"/>
      <c r="T27" s="660"/>
    </row>
    <row r="28" spans="1:20" ht="13.5" x14ac:dyDescent="0.2">
      <c r="A28" s="5565" t="s">
        <v>1315</v>
      </c>
      <c r="B28" s="5565"/>
      <c r="C28" s="5565"/>
      <c r="D28" s="5565"/>
      <c r="E28" s="5565"/>
      <c r="F28" s="5565"/>
      <c r="G28" s="5565"/>
      <c r="H28" s="5565"/>
      <c r="I28" s="5565"/>
      <c r="J28" s="5565"/>
      <c r="K28" s="5565"/>
      <c r="L28" s="5565"/>
      <c r="M28" s="5565"/>
      <c r="N28" s="663"/>
      <c r="O28" s="663"/>
      <c r="P28" s="663"/>
      <c r="Q28" s="663"/>
      <c r="R28" s="663"/>
      <c r="S28" s="660"/>
      <c r="T28" s="660"/>
    </row>
    <row r="29" spans="1:20" ht="13.5" x14ac:dyDescent="0.2">
      <c r="A29" s="5561" t="s">
        <v>1383</v>
      </c>
      <c r="B29" s="5561"/>
      <c r="C29" s="5561"/>
      <c r="D29" s="5561"/>
      <c r="E29" s="5561"/>
      <c r="F29" s="5561"/>
      <c r="G29" s="5561"/>
      <c r="H29" s="5561"/>
      <c r="I29" s="5561"/>
      <c r="J29" s="5561"/>
      <c r="K29" s="5561"/>
      <c r="L29" s="5561"/>
      <c r="M29" s="5561"/>
      <c r="N29" s="663"/>
      <c r="O29" s="663"/>
      <c r="P29" s="663"/>
      <c r="Q29" s="663"/>
      <c r="R29" s="663"/>
      <c r="S29" s="660"/>
      <c r="T29" s="660"/>
    </row>
    <row r="30" spans="1:20" ht="13.5" x14ac:dyDescent="0.2">
      <c r="A30" s="5565" t="s">
        <v>1382</v>
      </c>
      <c r="B30" s="5565"/>
      <c r="C30" s="5565"/>
      <c r="D30" s="5565"/>
      <c r="E30" s="5565"/>
      <c r="F30" s="5565"/>
      <c r="G30" s="5565"/>
      <c r="H30" s="5565"/>
      <c r="I30" s="5565"/>
      <c r="J30" s="5565"/>
      <c r="K30" s="663"/>
      <c r="L30" s="663"/>
      <c r="M30" s="663"/>
      <c r="N30" s="663"/>
      <c r="O30" s="663"/>
      <c r="P30" s="663"/>
      <c r="Q30" s="663"/>
      <c r="R30" s="663"/>
      <c r="S30" s="660"/>
      <c r="T30" s="660"/>
    </row>
    <row r="31" spans="1:20" ht="13.5" x14ac:dyDescent="0.2">
      <c r="A31" s="5553" t="s">
        <v>1381</v>
      </c>
      <c r="B31" s="5553"/>
      <c r="C31" s="5553"/>
      <c r="D31" s="5553"/>
      <c r="E31" s="5553"/>
      <c r="F31" s="5553"/>
      <c r="G31" s="5553"/>
      <c r="H31" s="5553"/>
      <c r="I31" s="5553"/>
      <c r="J31" s="5553"/>
      <c r="K31" s="5553"/>
      <c r="L31" s="5553"/>
      <c r="M31" s="5553"/>
      <c r="N31" s="663"/>
      <c r="O31" s="663"/>
      <c r="P31" s="663"/>
      <c r="Q31" s="663"/>
      <c r="R31" s="663"/>
      <c r="S31" s="660"/>
      <c r="T31" s="660"/>
    </row>
    <row r="32" spans="1:20" ht="14.25" customHeight="1" x14ac:dyDescent="0.2">
      <c r="A32" s="5554" t="s">
        <v>1380</v>
      </c>
      <c r="B32" s="5554"/>
      <c r="C32" s="5554"/>
      <c r="D32" s="5554"/>
      <c r="E32" s="5554"/>
      <c r="F32" s="5554"/>
      <c r="G32" s="5554"/>
      <c r="H32" s="5554"/>
      <c r="I32" s="5554"/>
      <c r="J32" s="5554"/>
      <c r="K32" s="5554"/>
      <c r="L32" s="5554"/>
      <c r="M32" s="5554"/>
      <c r="N32" s="663"/>
      <c r="O32" s="663"/>
      <c r="P32" s="663"/>
      <c r="Q32" s="663"/>
      <c r="R32" s="663"/>
      <c r="S32" s="660"/>
      <c r="T32" s="660"/>
    </row>
    <row r="33" spans="1:20" ht="13.5" x14ac:dyDescent="0.2">
      <c r="A33" s="5561" t="s">
        <v>1379</v>
      </c>
      <c r="B33" s="5561"/>
      <c r="C33" s="5561"/>
      <c r="D33" s="5561"/>
      <c r="E33" s="5561"/>
      <c r="F33" s="5561"/>
      <c r="G33" s="5561"/>
      <c r="H33" s="5561"/>
      <c r="I33" s="5561"/>
      <c r="J33" s="5561"/>
      <c r="K33" s="5561"/>
      <c r="L33" s="5561"/>
      <c r="M33" s="5561"/>
      <c r="N33" s="660"/>
      <c r="O33" s="660"/>
      <c r="P33" s="660"/>
      <c r="Q33" s="660"/>
      <c r="R33" s="660"/>
      <c r="S33" s="660"/>
      <c r="T33" s="660"/>
    </row>
    <row r="34" spans="1:20" ht="9" customHeight="1" x14ac:dyDescent="0.2">
      <c r="A34" s="737"/>
      <c r="B34" s="731"/>
      <c r="C34" s="731"/>
      <c r="D34" s="731"/>
      <c r="E34" s="731"/>
      <c r="F34" s="731"/>
      <c r="G34" s="731"/>
      <c r="H34" s="731"/>
      <c r="I34" s="731"/>
      <c r="J34" s="731"/>
      <c r="K34" s="731"/>
      <c r="L34" s="731"/>
      <c r="M34" s="731"/>
      <c r="N34" s="731"/>
      <c r="O34" s="731"/>
      <c r="P34" s="731"/>
      <c r="Q34" s="731"/>
      <c r="R34" s="731"/>
      <c r="S34" s="660"/>
      <c r="T34" s="660"/>
    </row>
    <row r="35" spans="1:20" ht="15.75" customHeight="1" x14ac:dyDescent="0.2">
      <c r="A35" s="3572" t="s">
        <v>982</v>
      </c>
      <c r="B35" s="3570"/>
      <c r="C35" s="3570"/>
      <c r="D35" s="3570"/>
      <c r="E35" s="3570"/>
      <c r="F35" s="3570"/>
      <c r="G35" s="3570"/>
      <c r="H35" s="3570"/>
      <c r="I35" s="3570"/>
      <c r="J35" s="3570"/>
      <c r="K35" s="3570"/>
      <c r="L35" s="3570"/>
      <c r="M35" s="3570"/>
      <c r="N35" s="3570"/>
      <c r="O35" s="3570"/>
      <c r="P35" s="3570"/>
      <c r="Q35" s="3570"/>
      <c r="R35" s="3569"/>
      <c r="S35" s="660"/>
      <c r="T35" s="660"/>
    </row>
    <row r="36" spans="1:20" ht="29.25" customHeight="1" x14ac:dyDescent="0.2">
      <c r="A36" s="5745" t="s">
        <v>1310</v>
      </c>
      <c r="B36" s="5746"/>
      <c r="C36" s="5746"/>
      <c r="D36" s="5746"/>
      <c r="E36" s="5746"/>
      <c r="F36" s="5746"/>
      <c r="G36" s="5746"/>
      <c r="H36" s="5746"/>
      <c r="I36" s="5746"/>
      <c r="J36" s="5746"/>
      <c r="K36" s="5746"/>
      <c r="L36" s="5746"/>
      <c r="M36" s="5746"/>
      <c r="N36" s="5746"/>
      <c r="O36" s="5746"/>
      <c r="P36" s="5746"/>
      <c r="Q36" s="5746"/>
      <c r="R36" s="5747"/>
      <c r="S36" s="660"/>
      <c r="T36" s="660"/>
    </row>
    <row r="37" spans="1:20" ht="12" customHeight="1" x14ac:dyDescent="0.2">
      <c r="A37" s="3568" t="s">
        <v>980</v>
      </c>
      <c r="B37" s="5696" t="s">
        <v>986</v>
      </c>
      <c r="C37" s="5735"/>
      <c r="D37" s="5735"/>
      <c r="E37" s="5735"/>
      <c r="F37" s="5735"/>
      <c r="G37" s="5735"/>
      <c r="H37" s="5735"/>
      <c r="I37" s="5735"/>
      <c r="J37" s="5735"/>
      <c r="K37" s="5735"/>
      <c r="L37" s="5735"/>
      <c r="M37" s="5735"/>
      <c r="N37" s="5735"/>
      <c r="O37" s="5735"/>
      <c r="P37" s="5735"/>
      <c r="Q37" s="5735"/>
      <c r="R37" s="5735"/>
      <c r="S37" s="660"/>
      <c r="T37" s="660"/>
    </row>
    <row r="38" spans="1:20" ht="12" customHeight="1" x14ac:dyDescent="0.2">
      <c r="A38" s="3568" t="s">
        <v>980</v>
      </c>
      <c r="B38" s="5696" t="s">
        <v>986</v>
      </c>
      <c r="C38" s="5735"/>
      <c r="D38" s="5735"/>
      <c r="E38" s="5735"/>
      <c r="F38" s="5735"/>
      <c r="G38" s="5735"/>
      <c r="H38" s="5735"/>
      <c r="I38" s="5735"/>
      <c r="J38" s="5735"/>
      <c r="K38" s="5735"/>
      <c r="L38" s="5735"/>
      <c r="M38" s="5735"/>
      <c r="N38" s="5735"/>
      <c r="O38" s="5735"/>
      <c r="P38" s="5735"/>
      <c r="Q38" s="5735"/>
      <c r="R38" s="5735"/>
    </row>
  </sheetData>
  <sheetProtection password="A754" sheet="1" objects="1" scenarios="1"/>
  <mergeCells count="30">
    <mergeCell ref="B37:R37"/>
    <mergeCell ref="B38:R38"/>
    <mergeCell ref="C6:C9"/>
    <mergeCell ref="E6:E9"/>
    <mergeCell ref="F6:H7"/>
    <mergeCell ref="F9:K9"/>
    <mergeCell ref="A36:R36"/>
    <mergeCell ref="A6:A9"/>
    <mergeCell ref="B6:B9"/>
    <mergeCell ref="A25:P25"/>
    <mergeCell ref="A26:P26"/>
    <mergeCell ref="A27:O27"/>
    <mergeCell ref="P6:Q7"/>
    <mergeCell ref="D6:D9"/>
    <mergeCell ref="R5:R8"/>
    <mergeCell ref="A28:M28"/>
    <mergeCell ref="A31:M31"/>
    <mergeCell ref="A32:M32"/>
    <mergeCell ref="A33:M33"/>
    <mergeCell ref="L9:Q9"/>
    <mergeCell ref="A5:B5"/>
    <mergeCell ref="C5:E5"/>
    <mergeCell ref="F5:K5"/>
    <mergeCell ref="L5:Q5"/>
    <mergeCell ref="A30:J30"/>
    <mergeCell ref="A29:M29"/>
    <mergeCell ref="I6:I8"/>
    <mergeCell ref="J6:K7"/>
    <mergeCell ref="L6:N7"/>
    <mergeCell ref="O6:O8"/>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colBreaks count="1" manualBreakCount="1">
    <brk id="19" max="49" man="1"/>
  </col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5EC76-ACE6-4D9A-87C9-95D4135A7B38}">
  <sheetPr codeName="Ark69">
    <tabColor theme="0" tint="-0.34998626667073579"/>
    <pageSetUpPr fitToPage="1"/>
  </sheetPr>
  <dimension ref="A1:T48"/>
  <sheetViews>
    <sheetView showGridLines="0" topLeftCell="A7" workbookViewId="0"/>
  </sheetViews>
  <sheetFormatPr defaultColWidth="8" defaultRowHeight="12" customHeight="1" x14ac:dyDescent="0.2"/>
  <cols>
    <col min="1" max="1" width="44.42578125" style="659" customWidth="1"/>
    <col min="2" max="2" width="14" style="659" customWidth="1"/>
    <col min="3" max="5" width="11.42578125" style="659" customWidth="1"/>
    <col min="6" max="8" width="8.28515625" style="659" customWidth="1"/>
    <col min="9" max="11" width="9.7109375" style="659" customWidth="1"/>
    <col min="12" max="15" width="11.7109375" style="659" customWidth="1"/>
    <col min="16" max="17" width="11.42578125" style="659" customWidth="1"/>
    <col min="18" max="18" width="13.7109375" style="659" customWidth="1"/>
    <col min="19" max="16384" width="8" style="659"/>
  </cols>
  <sheetData>
    <row r="1" spans="1:20" ht="15.75" customHeight="1" x14ac:dyDescent="0.25">
      <c r="A1" s="671" t="s">
        <v>1432</v>
      </c>
      <c r="B1" s="660"/>
      <c r="C1" s="660"/>
      <c r="D1" s="660"/>
      <c r="E1" s="660"/>
      <c r="F1" s="660"/>
      <c r="G1" s="660"/>
      <c r="H1" s="660"/>
      <c r="I1" s="660"/>
      <c r="J1" s="660"/>
      <c r="K1" s="660"/>
      <c r="L1" s="660"/>
      <c r="M1" s="660"/>
      <c r="N1" s="660"/>
      <c r="O1" s="660"/>
      <c r="P1" s="660"/>
      <c r="Q1" s="660"/>
      <c r="R1" s="668" t="s">
        <v>1762</v>
      </c>
      <c r="S1" s="660"/>
      <c r="T1" s="660"/>
    </row>
    <row r="2" spans="1:20" ht="12" customHeight="1" x14ac:dyDescent="0.25">
      <c r="A2" s="671" t="s">
        <v>1431</v>
      </c>
      <c r="B2" s="660"/>
      <c r="C2" s="660"/>
      <c r="D2" s="660"/>
      <c r="E2" s="660"/>
      <c r="F2" s="660"/>
      <c r="G2" s="660"/>
      <c r="H2" s="660"/>
      <c r="I2" s="660"/>
      <c r="J2" s="660"/>
      <c r="K2" s="660"/>
      <c r="L2" s="660"/>
      <c r="M2" s="660"/>
      <c r="N2" s="660"/>
      <c r="O2" s="660"/>
      <c r="P2" s="660"/>
      <c r="Q2" s="660"/>
      <c r="R2" s="668" t="s">
        <v>1761</v>
      </c>
      <c r="S2" s="660"/>
      <c r="T2" s="660"/>
    </row>
    <row r="3" spans="1:20" ht="12" customHeight="1" x14ac:dyDescent="0.25">
      <c r="A3" s="671" t="s">
        <v>1197</v>
      </c>
      <c r="B3" s="660"/>
      <c r="C3" s="660"/>
      <c r="D3" s="660"/>
      <c r="E3" s="660"/>
      <c r="F3" s="660"/>
      <c r="G3" s="660"/>
      <c r="H3" s="660"/>
      <c r="I3" s="660"/>
      <c r="J3" s="660"/>
      <c r="K3" s="660"/>
      <c r="L3" s="660"/>
      <c r="M3" s="660"/>
      <c r="N3" s="660"/>
      <c r="O3" s="660"/>
      <c r="P3" s="660"/>
      <c r="Q3" s="660"/>
      <c r="R3" s="668" t="s">
        <v>1789</v>
      </c>
      <c r="S3" s="660"/>
      <c r="T3" s="660"/>
    </row>
    <row r="4" spans="1:20" ht="12" customHeight="1" x14ac:dyDescent="0.2">
      <c r="A4" s="660"/>
      <c r="B4" s="660"/>
      <c r="C4" s="660"/>
      <c r="D4" s="660"/>
      <c r="E4" s="660"/>
      <c r="F4" s="660"/>
      <c r="G4" s="660"/>
      <c r="H4" s="660"/>
      <c r="I4" s="660"/>
      <c r="J4" s="660"/>
      <c r="K4" s="660"/>
      <c r="L4" s="660"/>
      <c r="M4" s="660"/>
      <c r="N4" s="660"/>
      <c r="O4" s="660"/>
      <c r="P4" s="660"/>
      <c r="Q4" s="660"/>
      <c r="R4" s="660"/>
      <c r="S4" s="660"/>
      <c r="T4" s="660"/>
    </row>
    <row r="5" spans="1:20" ht="42.75" customHeight="1" x14ac:dyDescent="0.2">
      <c r="A5" s="5740" t="s">
        <v>1025</v>
      </c>
      <c r="B5" s="5741"/>
      <c r="C5" s="5736" t="s">
        <v>1083</v>
      </c>
      <c r="D5" s="5737"/>
      <c r="E5" s="5738"/>
      <c r="F5" s="5736" t="s">
        <v>1351</v>
      </c>
      <c r="G5" s="5737"/>
      <c r="H5" s="5737"/>
      <c r="I5" s="5737"/>
      <c r="J5" s="5737"/>
      <c r="K5" s="5738"/>
      <c r="L5" s="5736" t="s">
        <v>1350</v>
      </c>
      <c r="M5" s="5737"/>
      <c r="N5" s="5737"/>
      <c r="O5" s="5737"/>
      <c r="P5" s="5737"/>
      <c r="Q5" s="5738"/>
      <c r="R5" s="5748" t="s">
        <v>1430</v>
      </c>
      <c r="S5" s="660"/>
      <c r="T5" s="660"/>
    </row>
    <row r="6" spans="1:20" ht="23.25" customHeight="1" x14ac:dyDescent="0.2">
      <c r="A6" s="5728" t="s">
        <v>1348</v>
      </c>
      <c r="B6" s="5739" t="s">
        <v>1429</v>
      </c>
      <c r="C6" s="5739" t="s">
        <v>1428</v>
      </c>
      <c r="D6" s="5739" t="s">
        <v>1427</v>
      </c>
      <c r="E6" s="5739" t="s">
        <v>1426</v>
      </c>
      <c r="F6" s="5742" t="s">
        <v>1343</v>
      </c>
      <c r="G6" s="5744"/>
      <c r="H6" s="5743"/>
      <c r="I6" s="5739" t="s">
        <v>1375</v>
      </c>
      <c r="J6" s="5742" t="s">
        <v>1340</v>
      </c>
      <c r="K6" s="5743"/>
      <c r="L6" s="5742" t="s">
        <v>1339</v>
      </c>
      <c r="M6" s="5744"/>
      <c r="N6" s="5743"/>
      <c r="O6" s="5739" t="s">
        <v>1425</v>
      </c>
      <c r="P6" s="5742" t="s">
        <v>1424</v>
      </c>
      <c r="Q6" s="5743"/>
      <c r="R6" s="5567"/>
      <c r="S6" s="660"/>
      <c r="T6" s="660"/>
    </row>
    <row r="7" spans="1:20" ht="16.5" customHeight="1" x14ac:dyDescent="0.2">
      <c r="A7" s="5520"/>
      <c r="B7" s="5532"/>
      <c r="C7" s="5532"/>
      <c r="D7" s="5532"/>
      <c r="E7" s="5532"/>
      <c r="F7" s="5539"/>
      <c r="G7" s="5545"/>
      <c r="H7" s="5540"/>
      <c r="I7" s="5532"/>
      <c r="J7" s="5539"/>
      <c r="K7" s="5540"/>
      <c r="L7" s="5539"/>
      <c r="M7" s="5545"/>
      <c r="N7" s="5540"/>
      <c r="O7" s="5532"/>
      <c r="P7" s="5539"/>
      <c r="Q7" s="5540"/>
      <c r="R7" s="5567"/>
      <c r="S7" s="660"/>
      <c r="T7" s="660"/>
    </row>
    <row r="8" spans="1:20" ht="68.25" customHeight="1" x14ac:dyDescent="0.2">
      <c r="A8" s="5520"/>
      <c r="B8" s="5532"/>
      <c r="C8" s="5532"/>
      <c r="D8" s="5532"/>
      <c r="E8" s="5532"/>
      <c r="F8" s="3566" t="s">
        <v>1334</v>
      </c>
      <c r="G8" s="3566" t="s">
        <v>1333</v>
      </c>
      <c r="H8" s="3566" t="s">
        <v>1332</v>
      </c>
      <c r="I8" s="5533"/>
      <c r="J8" s="3309" t="s">
        <v>1331</v>
      </c>
      <c r="K8" s="744" t="s">
        <v>1330</v>
      </c>
      <c r="L8" s="3566" t="s">
        <v>1334</v>
      </c>
      <c r="M8" s="3566" t="s">
        <v>1333</v>
      </c>
      <c r="N8" s="3566" t="s">
        <v>1332</v>
      </c>
      <c r="O8" s="5533"/>
      <c r="P8" s="3309" t="s">
        <v>1331</v>
      </c>
      <c r="Q8" s="744" t="s">
        <v>1330</v>
      </c>
      <c r="R8" s="5568"/>
      <c r="S8" s="660"/>
      <c r="T8" s="660"/>
    </row>
    <row r="9" spans="1:20" ht="14.25" customHeight="1" thickBot="1" x14ac:dyDescent="0.25">
      <c r="A9" s="5556"/>
      <c r="B9" s="5541"/>
      <c r="C9" s="5541"/>
      <c r="D9" s="5541"/>
      <c r="E9" s="5541"/>
      <c r="F9" s="5546" t="s">
        <v>1329</v>
      </c>
      <c r="G9" s="5547"/>
      <c r="H9" s="5547"/>
      <c r="I9" s="5547"/>
      <c r="J9" s="5547"/>
      <c r="K9" s="5548"/>
      <c r="L9" s="5546" t="s">
        <v>1328</v>
      </c>
      <c r="M9" s="5547"/>
      <c r="N9" s="5547"/>
      <c r="O9" s="5547"/>
      <c r="P9" s="5547"/>
      <c r="Q9" s="5548"/>
      <c r="R9" s="743" t="s">
        <v>1011</v>
      </c>
      <c r="S9" s="660"/>
      <c r="T9" s="660"/>
    </row>
    <row r="10" spans="1:20" ht="15" customHeight="1" thickTop="1" x14ac:dyDescent="0.2">
      <c r="A10" s="742" t="s">
        <v>1423</v>
      </c>
      <c r="B10" s="3497" t="s">
        <v>986</v>
      </c>
      <c r="C10" s="3507">
        <v>127.85562500004799</v>
      </c>
      <c r="D10" s="3507">
        <v>118.83924904208</v>
      </c>
      <c r="E10" s="3507">
        <v>9.0163759579680001</v>
      </c>
      <c r="F10" s="3507">
        <v>6.2959603850020002E-2</v>
      </c>
      <c r="G10" s="3507">
        <v>-0.13851290043041001</v>
      </c>
      <c r="H10" s="3507">
        <v>-7.5553296580390006E-2</v>
      </c>
      <c r="I10" s="3507" t="s">
        <v>799</v>
      </c>
      <c r="J10" s="3507" t="s">
        <v>799</v>
      </c>
      <c r="K10" s="3507">
        <v>-0.24843684540687999</v>
      </c>
      <c r="L10" s="3507">
        <v>8.0497394999999994</v>
      </c>
      <c r="M10" s="3507">
        <v>-17.7096534551</v>
      </c>
      <c r="N10" s="3507">
        <v>-9.6599139551000004</v>
      </c>
      <c r="O10" s="3507" t="s">
        <v>799</v>
      </c>
      <c r="P10" s="3507" t="s">
        <v>799</v>
      </c>
      <c r="Q10" s="3507">
        <v>-2.2400000000000002</v>
      </c>
      <c r="R10" s="3507">
        <v>43.633017835366708</v>
      </c>
      <c r="S10" s="660"/>
      <c r="T10" s="660"/>
    </row>
    <row r="11" spans="1:20" x14ac:dyDescent="0.2">
      <c r="A11" s="3574" t="s">
        <v>1422</v>
      </c>
      <c r="B11" s="3497" t="s">
        <v>986</v>
      </c>
      <c r="C11" s="3507">
        <v>100.923491666613</v>
      </c>
      <c r="D11" s="3507">
        <v>96.241368640999994</v>
      </c>
      <c r="E11" s="3507">
        <v>4.6821230256130004</v>
      </c>
      <c r="F11" s="3507" t="s">
        <v>799</v>
      </c>
      <c r="G11" s="3507" t="s">
        <v>799</v>
      </c>
      <c r="H11" s="3507" t="s">
        <v>799</v>
      </c>
      <c r="I11" s="3507" t="s">
        <v>799</v>
      </c>
      <c r="J11" s="3507" t="s">
        <v>799</v>
      </c>
      <c r="K11" s="3507">
        <v>-0.47841545122722001</v>
      </c>
      <c r="L11" s="3507" t="s">
        <v>799</v>
      </c>
      <c r="M11" s="3507" t="s">
        <v>799</v>
      </c>
      <c r="N11" s="3507" t="s">
        <v>799</v>
      </c>
      <c r="O11" s="3507" t="s">
        <v>799</v>
      </c>
      <c r="P11" s="3507" t="s">
        <v>799</v>
      </c>
      <c r="Q11" s="3507">
        <v>-2.2400000000000002</v>
      </c>
      <c r="R11" s="3507">
        <v>8.21333333333334</v>
      </c>
      <c r="S11" s="660"/>
      <c r="T11" s="660"/>
    </row>
    <row r="12" spans="1:20" x14ac:dyDescent="0.2">
      <c r="A12" s="3579" t="s">
        <v>1421</v>
      </c>
      <c r="B12" s="3497"/>
      <c r="C12" s="3507">
        <v>0.8</v>
      </c>
      <c r="D12" s="3507" t="s">
        <v>259</v>
      </c>
      <c r="E12" s="3507">
        <v>0.8</v>
      </c>
      <c r="F12" s="3507" t="s">
        <v>799</v>
      </c>
      <c r="G12" s="3507" t="s">
        <v>799</v>
      </c>
      <c r="H12" s="3507" t="s">
        <v>799</v>
      </c>
      <c r="I12" s="3507" t="s">
        <v>799</v>
      </c>
      <c r="J12" s="3507" t="s">
        <v>799</v>
      </c>
      <c r="K12" s="3507">
        <v>-2.8</v>
      </c>
      <c r="L12" s="3507" t="s">
        <v>799</v>
      </c>
      <c r="M12" s="3507" t="s">
        <v>799</v>
      </c>
      <c r="N12" s="3507" t="s">
        <v>799</v>
      </c>
      <c r="O12" s="3507" t="s">
        <v>799</v>
      </c>
      <c r="P12" s="3507" t="s">
        <v>799</v>
      </c>
      <c r="Q12" s="3507">
        <v>-2.2400000000000002</v>
      </c>
      <c r="R12" s="3507">
        <v>8.21333333333334</v>
      </c>
      <c r="S12" s="660"/>
      <c r="T12" s="660"/>
    </row>
    <row r="13" spans="1:20" x14ac:dyDescent="0.2">
      <c r="A13" s="3508" t="s">
        <v>1319</v>
      </c>
      <c r="B13" s="3500" t="s">
        <v>1319</v>
      </c>
      <c r="C13" s="3507">
        <v>0.8</v>
      </c>
      <c r="D13" s="3500" t="s">
        <v>259</v>
      </c>
      <c r="E13" s="3500">
        <v>0.8</v>
      </c>
      <c r="F13" s="3507" t="s">
        <v>799</v>
      </c>
      <c r="G13" s="3507" t="s">
        <v>799</v>
      </c>
      <c r="H13" s="3507" t="s">
        <v>799</v>
      </c>
      <c r="I13" s="3507" t="s">
        <v>799</v>
      </c>
      <c r="J13" s="3507" t="s">
        <v>799</v>
      </c>
      <c r="K13" s="3507">
        <v>-2.8</v>
      </c>
      <c r="L13" s="3500" t="s">
        <v>799</v>
      </c>
      <c r="M13" s="3500" t="s">
        <v>799</v>
      </c>
      <c r="N13" s="3507" t="s">
        <v>799</v>
      </c>
      <c r="O13" s="3500" t="s">
        <v>799</v>
      </c>
      <c r="P13" s="3500" t="s">
        <v>799</v>
      </c>
      <c r="Q13" s="3500">
        <v>-2.2400000000000002</v>
      </c>
      <c r="R13" s="3507">
        <v>8.21333333333334</v>
      </c>
      <c r="S13" s="660"/>
      <c r="T13" s="660"/>
    </row>
    <row r="14" spans="1:20" x14ac:dyDescent="0.2">
      <c r="A14" s="3579" t="s">
        <v>1420</v>
      </c>
      <c r="B14" s="3497"/>
      <c r="C14" s="3507">
        <v>53.083562500313</v>
      </c>
      <c r="D14" s="3507">
        <v>53.072063450999998</v>
      </c>
      <c r="E14" s="3507">
        <v>1.1499049313E-2</v>
      </c>
      <c r="F14" s="3507" t="s">
        <v>799</v>
      </c>
      <c r="G14" s="3507" t="s">
        <v>799</v>
      </c>
      <c r="H14" s="3507" t="s">
        <v>799</v>
      </c>
      <c r="I14" s="3507" t="s">
        <v>799</v>
      </c>
      <c r="J14" s="3507" t="s">
        <v>799</v>
      </c>
      <c r="K14" s="3507" t="s">
        <v>799</v>
      </c>
      <c r="L14" s="3507" t="s">
        <v>799</v>
      </c>
      <c r="M14" s="3507" t="s">
        <v>799</v>
      </c>
      <c r="N14" s="3507" t="s">
        <v>799</v>
      </c>
      <c r="O14" s="3507" t="s">
        <v>799</v>
      </c>
      <c r="P14" s="3507" t="s">
        <v>799</v>
      </c>
      <c r="Q14" s="3507" t="s">
        <v>799</v>
      </c>
      <c r="R14" s="3507" t="s">
        <v>799</v>
      </c>
      <c r="S14" s="660"/>
      <c r="T14" s="660"/>
    </row>
    <row r="15" spans="1:20" x14ac:dyDescent="0.2">
      <c r="A15" s="3508" t="s">
        <v>1319</v>
      </c>
      <c r="B15" s="3500" t="s">
        <v>1319</v>
      </c>
      <c r="C15" s="3507">
        <v>53.083562500313</v>
      </c>
      <c r="D15" s="3500">
        <v>53.072063450999998</v>
      </c>
      <c r="E15" s="3500">
        <v>1.1499049313E-2</v>
      </c>
      <c r="F15" s="3507" t="s">
        <v>799</v>
      </c>
      <c r="G15" s="3507" t="s">
        <v>799</v>
      </c>
      <c r="H15" s="3507" t="s">
        <v>799</v>
      </c>
      <c r="I15" s="3507" t="s">
        <v>799</v>
      </c>
      <c r="J15" s="3507" t="s">
        <v>799</v>
      </c>
      <c r="K15" s="3507" t="s">
        <v>799</v>
      </c>
      <c r="L15" s="3500" t="s">
        <v>799</v>
      </c>
      <c r="M15" s="3500" t="s">
        <v>799</v>
      </c>
      <c r="N15" s="3507" t="s">
        <v>799</v>
      </c>
      <c r="O15" s="3500" t="s">
        <v>799</v>
      </c>
      <c r="P15" s="3500" t="s">
        <v>799</v>
      </c>
      <c r="Q15" s="3500" t="s">
        <v>799</v>
      </c>
      <c r="R15" s="3507" t="s">
        <v>799</v>
      </c>
      <c r="S15" s="660"/>
      <c r="T15" s="660"/>
    </row>
    <row r="16" spans="1:20" ht="13.5" x14ac:dyDescent="0.2">
      <c r="A16" s="3579" t="s">
        <v>1418</v>
      </c>
      <c r="B16" s="3497"/>
      <c r="C16" s="3507">
        <v>47.039929166299999</v>
      </c>
      <c r="D16" s="3507">
        <v>43.169305190000003</v>
      </c>
      <c r="E16" s="3507">
        <v>3.8706239763000001</v>
      </c>
      <c r="F16" s="3507" t="s">
        <v>799</v>
      </c>
      <c r="G16" s="3507" t="s">
        <v>799</v>
      </c>
      <c r="H16" s="3507" t="s">
        <v>799</v>
      </c>
      <c r="I16" s="3507" t="s">
        <v>799</v>
      </c>
      <c r="J16" s="3507" t="s">
        <v>799</v>
      </c>
      <c r="K16" s="3507" t="s">
        <v>799</v>
      </c>
      <c r="L16" s="3507" t="s">
        <v>799</v>
      </c>
      <c r="M16" s="3507" t="s">
        <v>799</v>
      </c>
      <c r="N16" s="3507" t="s">
        <v>799</v>
      </c>
      <c r="O16" s="3507" t="s">
        <v>799</v>
      </c>
      <c r="P16" s="3507" t="s">
        <v>799</v>
      </c>
      <c r="Q16" s="3507" t="s">
        <v>799</v>
      </c>
      <c r="R16" s="3507" t="s">
        <v>799</v>
      </c>
      <c r="S16" s="660"/>
      <c r="T16" s="660"/>
    </row>
    <row r="17" spans="1:20" x14ac:dyDescent="0.2">
      <c r="A17" s="3508" t="s">
        <v>1319</v>
      </c>
      <c r="B17" s="3500" t="s">
        <v>1319</v>
      </c>
      <c r="C17" s="3507">
        <v>47.039929166299999</v>
      </c>
      <c r="D17" s="3500">
        <v>43.169305190000003</v>
      </c>
      <c r="E17" s="3500">
        <v>3.8706239763000001</v>
      </c>
      <c r="F17" s="3507" t="s">
        <v>799</v>
      </c>
      <c r="G17" s="3507" t="s">
        <v>799</v>
      </c>
      <c r="H17" s="3507" t="s">
        <v>799</v>
      </c>
      <c r="I17" s="3507" t="s">
        <v>799</v>
      </c>
      <c r="J17" s="3507" t="s">
        <v>799</v>
      </c>
      <c r="K17" s="3507" t="s">
        <v>799</v>
      </c>
      <c r="L17" s="3500" t="s">
        <v>799</v>
      </c>
      <c r="M17" s="3500" t="s">
        <v>799</v>
      </c>
      <c r="N17" s="3507" t="s">
        <v>799</v>
      </c>
      <c r="O17" s="3500" t="s">
        <v>799</v>
      </c>
      <c r="P17" s="3500" t="s">
        <v>799</v>
      </c>
      <c r="Q17" s="3500" t="s">
        <v>799</v>
      </c>
      <c r="R17" s="3507" t="s">
        <v>799</v>
      </c>
      <c r="S17" s="660"/>
      <c r="T17" s="660"/>
    </row>
    <row r="18" spans="1:20" ht="13.5" x14ac:dyDescent="0.2">
      <c r="A18" s="3577" t="s">
        <v>1417</v>
      </c>
      <c r="B18" s="3497" t="s">
        <v>986</v>
      </c>
      <c r="C18" s="3507">
        <v>26.932133333435001</v>
      </c>
      <c r="D18" s="3507">
        <v>22.597880401080001</v>
      </c>
      <c r="E18" s="3507">
        <v>4.3342529323549996</v>
      </c>
      <c r="F18" s="3507">
        <v>0.29888978345457001</v>
      </c>
      <c r="G18" s="3507">
        <v>-0.65756593567411004</v>
      </c>
      <c r="H18" s="3507">
        <v>-0.35867615221954002</v>
      </c>
      <c r="I18" s="3507" t="s">
        <v>799</v>
      </c>
      <c r="J18" s="3507" t="s">
        <v>799</v>
      </c>
      <c r="K18" s="3507" t="s">
        <v>799</v>
      </c>
      <c r="L18" s="3507">
        <v>8.0497394999999994</v>
      </c>
      <c r="M18" s="3507">
        <v>-17.7096534551</v>
      </c>
      <c r="N18" s="3507">
        <v>-9.6599139551000004</v>
      </c>
      <c r="O18" s="3507" t="s">
        <v>799</v>
      </c>
      <c r="P18" s="3507" t="s">
        <v>799</v>
      </c>
      <c r="Q18" s="3507" t="s">
        <v>799</v>
      </c>
      <c r="R18" s="3507">
        <v>35.41968450203337</v>
      </c>
      <c r="S18" s="660"/>
      <c r="T18" s="660"/>
    </row>
    <row r="19" spans="1:20" x14ac:dyDescent="0.2">
      <c r="A19" s="3579" t="s">
        <v>1416</v>
      </c>
      <c r="B19" s="3497"/>
      <c r="C19" s="3507" t="s">
        <v>259</v>
      </c>
      <c r="D19" s="3507" t="s">
        <v>259</v>
      </c>
      <c r="E19" s="3507" t="s">
        <v>259</v>
      </c>
      <c r="F19" s="3507" t="s">
        <v>799</v>
      </c>
      <c r="G19" s="3507" t="s">
        <v>799</v>
      </c>
      <c r="H19" s="3507" t="s">
        <v>799</v>
      </c>
      <c r="I19" s="3507" t="s">
        <v>799</v>
      </c>
      <c r="J19" s="3507" t="s">
        <v>799</v>
      </c>
      <c r="K19" s="3507" t="s">
        <v>799</v>
      </c>
      <c r="L19" s="3507" t="s">
        <v>799</v>
      </c>
      <c r="M19" s="3507" t="s">
        <v>799</v>
      </c>
      <c r="N19" s="3507" t="s">
        <v>799</v>
      </c>
      <c r="O19" s="3507" t="s">
        <v>799</v>
      </c>
      <c r="P19" s="3507" t="s">
        <v>799</v>
      </c>
      <c r="Q19" s="3507" t="s">
        <v>799</v>
      </c>
      <c r="R19" s="3507" t="s">
        <v>799</v>
      </c>
      <c r="S19" s="660"/>
      <c r="T19" s="660"/>
    </row>
    <row r="20" spans="1:20" x14ac:dyDescent="0.2">
      <c r="A20" s="3508" t="s">
        <v>1319</v>
      </c>
      <c r="B20" s="3500" t="s">
        <v>1319</v>
      </c>
      <c r="C20" s="3507" t="s">
        <v>259</v>
      </c>
      <c r="D20" s="3500" t="s">
        <v>259</v>
      </c>
      <c r="E20" s="3500" t="s">
        <v>259</v>
      </c>
      <c r="F20" s="3507" t="s">
        <v>799</v>
      </c>
      <c r="G20" s="3507" t="s">
        <v>799</v>
      </c>
      <c r="H20" s="3507" t="s">
        <v>799</v>
      </c>
      <c r="I20" s="3507" t="s">
        <v>799</v>
      </c>
      <c r="J20" s="3507" t="s">
        <v>799</v>
      </c>
      <c r="K20" s="3507" t="s">
        <v>799</v>
      </c>
      <c r="L20" s="3500" t="s">
        <v>799</v>
      </c>
      <c r="M20" s="3500" t="s">
        <v>799</v>
      </c>
      <c r="N20" s="3507" t="s">
        <v>799</v>
      </c>
      <c r="O20" s="3500" t="s">
        <v>799</v>
      </c>
      <c r="P20" s="3500" t="s">
        <v>799</v>
      </c>
      <c r="Q20" s="3500" t="s">
        <v>799</v>
      </c>
      <c r="R20" s="3507" t="s">
        <v>799</v>
      </c>
      <c r="S20" s="660"/>
      <c r="T20" s="660"/>
    </row>
    <row r="21" spans="1:20" x14ac:dyDescent="0.2">
      <c r="A21" s="3579" t="s">
        <v>1415</v>
      </c>
      <c r="B21" s="3497"/>
      <c r="C21" s="3507">
        <v>5.9944333333730002</v>
      </c>
      <c r="D21" s="3507">
        <v>5.53080437735</v>
      </c>
      <c r="E21" s="3507">
        <v>0.46362895602300003</v>
      </c>
      <c r="F21" s="3507" t="s">
        <v>799</v>
      </c>
      <c r="G21" s="3507">
        <v>-1.93437412473071</v>
      </c>
      <c r="H21" s="3507">
        <v>-1.93437412473071</v>
      </c>
      <c r="I21" s="3507" t="s">
        <v>799</v>
      </c>
      <c r="J21" s="3507" t="s">
        <v>799</v>
      </c>
      <c r="K21" s="3507" t="s">
        <v>799</v>
      </c>
      <c r="L21" s="3507" t="s">
        <v>799</v>
      </c>
      <c r="M21" s="3507">
        <v>-11.5954767325</v>
      </c>
      <c r="N21" s="3507">
        <v>-11.5954767325</v>
      </c>
      <c r="O21" s="3507" t="s">
        <v>799</v>
      </c>
      <c r="P21" s="3507" t="s">
        <v>799</v>
      </c>
      <c r="Q21" s="3507" t="s">
        <v>799</v>
      </c>
      <c r="R21" s="3507">
        <v>42.516748019166712</v>
      </c>
      <c r="S21" s="660"/>
      <c r="T21" s="660"/>
    </row>
    <row r="22" spans="1:20" x14ac:dyDescent="0.2">
      <c r="A22" s="3520" t="s">
        <v>1414</v>
      </c>
      <c r="B22" s="3497"/>
      <c r="C22" s="3507">
        <v>0.24872916666299999</v>
      </c>
      <c r="D22" s="3507">
        <v>0.23723011734999999</v>
      </c>
      <c r="E22" s="3507">
        <v>1.1499049313E-2</v>
      </c>
      <c r="F22" s="3507" t="s">
        <v>799</v>
      </c>
      <c r="G22" s="3507">
        <v>-30.135187202052421</v>
      </c>
      <c r="H22" s="3507">
        <v>-30.135187202052421</v>
      </c>
      <c r="I22" s="3507" t="s">
        <v>799</v>
      </c>
      <c r="J22" s="3507" t="s">
        <v>799</v>
      </c>
      <c r="K22" s="3507" t="s">
        <v>799</v>
      </c>
      <c r="L22" s="3507" t="s">
        <v>799</v>
      </c>
      <c r="M22" s="3507">
        <v>-7.4954999999999998</v>
      </c>
      <c r="N22" s="3507">
        <v>-7.4954999999999998</v>
      </c>
      <c r="O22" s="3507" t="s">
        <v>799</v>
      </c>
      <c r="P22" s="3507" t="s">
        <v>799</v>
      </c>
      <c r="Q22" s="3507" t="s">
        <v>799</v>
      </c>
      <c r="R22" s="3507">
        <v>27.483500000000021</v>
      </c>
      <c r="S22" s="660"/>
      <c r="T22" s="660"/>
    </row>
    <row r="23" spans="1:20" x14ac:dyDescent="0.2">
      <c r="A23" s="3567" t="s">
        <v>1319</v>
      </c>
      <c r="B23" s="3500" t="s">
        <v>1319</v>
      </c>
      <c r="C23" s="3507">
        <v>0.24872916666299999</v>
      </c>
      <c r="D23" s="3500">
        <v>0.23723011734999999</v>
      </c>
      <c r="E23" s="3500">
        <v>1.1499049313E-2</v>
      </c>
      <c r="F23" s="3507" t="s">
        <v>799</v>
      </c>
      <c r="G23" s="3507">
        <v>-30.135187202052421</v>
      </c>
      <c r="H23" s="3507">
        <v>-30.135187202052421</v>
      </c>
      <c r="I23" s="3507" t="s">
        <v>799</v>
      </c>
      <c r="J23" s="3507" t="s">
        <v>799</v>
      </c>
      <c r="K23" s="3507" t="s">
        <v>799</v>
      </c>
      <c r="L23" s="3500" t="s">
        <v>799</v>
      </c>
      <c r="M23" s="3500">
        <v>-7.4954999999999998</v>
      </c>
      <c r="N23" s="3507">
        <v>-7.4954999999999998</v>
      </c>
      <c r="O23" s="3500" t="s">
        <v>799</v>
      </c>
      <c r="P23" s="3500" t="s">
        <v>799</v>
      </c>
      <c r="Q23" s="3500" t="s">
        <v>799</v>
      </c>
      <c r="R23" s="3507">
        <v>27.483500000000021</v>
      </c>
    </row>
    <row r="24" spans="1:20" x14ac:dyDescent="0.2">
      <c r="A24" s="3520" t="s">
        <v>1413</v>
      </c>
      <c r="B24" s="3497"/>
      <c r="C24" s="3507">
        <v>3.9045458333299998</v>
      </c>
      <c r="D24" s="3507">
        <v>3.5156648967000002</v>
      </c>
      <c r="E24" s="3507">
        <v>0.38888093663000001</v>
      </c>
      <c r="F24" s="3507" t="s">
        <v>799</v>
      </c>
      <c r="G24" s="3507">
        <v>-0.73183203744416003</v>
      </c>
      <c r="H24" s="3507">
        <v>-0.73183203744416003</v>
      </c>
      <c r="I24" s="3507" t="s">
        <v>799</v>
      </c>
      <c r="J24" s="3507" t="s">
        <v>799</v>
      </c>
      <c r="K24" s="3507" t="s">
        <v>799</v>
      </c>
      <c r="L24" s="3507" t="s">
        <v>799</v>
      </c>
      <c r="M24" s="3507">
        <v>-2.8574717325000001</v>
      </c>
      <c r="N24" s="3507">
        <v>-2.8574717325000001</v>
      </c>
      <c r="O24" s="3507" t="s">
        <v>799</v>
      </c>
      <c r="P24" s="3507" t="s">
        <v>799</v>
      </c>
      <c r="Q24" s="3507" t="s">
        <v>799</v>
      </c>
      <c r="R24" s="3507">
        <v>10.47739635250001</v>
      </c>
    </row>
    <row r="25" spans="1:20" x14ac:dyDescent="0.2">
      <c r="A25" s="3567" t="s">
        <v>1319</v>
      </c>
      <c r="B25" s="3500" t="s">
        <v>1319</v>
      </c>
      <c r="C25" s="3507">
        <v>3.9045458333299998</v>
      </c>
      <c r="D25" s="3500">
        <v>3.5156648967000002</v>
      </c>
      <c r="E25" s="3500">
        <v>0.38888093663000001</v>
      </c>
      <c r="F25" s="3507" t="s">
        <v>799</v>
      </c>
      <c r="G25" s="3507" t="s">
        <v>799</v>
      </c>
      <c r="H25" s="3507" t="s">
        <v>799</v>
      </c>
      <c r="I25" s="3507" t="s">
        <v>799</v>
      </c>
      <c r="J25" s="3507" t="s">
        <v>799</v>
      </c>
      <c r="K25" s="3507" t="s">
        <v>799</v>
      </c>
      <c r="L25" s="3500" t="s">
        <v>799</v>
      </c>
      <c r="M25" s="3500">
        <v>-2.8574717325000001</v>
      </c>
      <c r="N25" s="3507">
        <v>-2.8574717325000001</v>
      </c>
      <c r="O25" s="3500" t="s">
        <v>799</v>
      </c>
      <c r="P25" s="3500" t="s">
        <v>799</v>
      </c>
      <c r="Q25" s="3500" t="s">
        <v>799</v>
      </c>
      <c r="R25" s="3507">
        <v>10.47739635250001</v>
      </c>
    </row>
    <row r="26" spans="1:20" x14ac:dyDescent="0.2">
      <c r="A26" s="3520" t="s">
        <v>1412</v>
      </c>
      <c r="B26" s="3497"/>
      <c r="C26" s="3507">
        <v>1.8411583333799999</v>
      </c>
      <c r="D26" s="3507">
        <v>1.7779093633</v>
      </c>
      <c r="E26" s="3507">
        <v>6.3248970079999994E-2</v>
      </c>
      <c r="F26" s="3507" t="s">
        <v>799</v>
      </c>
      <c r="G26" s="3507">
        <v>-0.67484961910854002</v>
      </c>
      <c r="H26" s="3507">
        <v>-0.67484961910854002</v>
      </c>
      <c r="I26" s="3507" t="s">
        <v>799</v>
      </c>
      <c r="J26" s="3507" t="s">
        <v>799</v>
      </c>
      <c r="K26" s="3507" t="s">
        <v>799</v>
      </c>
      <c r="L26" s="3507" t="s">
        <v>799</v>
      </c>
      <c r="M26" s="3507">
        <v>-1.242505</v>
      </c>
      <c r="N26" s="3507">
        <v>-1.242505</v>
      </c>
      <c r="O26" s="3507" t="s">
        <v>799</v>
      </c>
      <c r="P26" s="3507" t="s">
        <v>799</v>
      </c>
      <c r="Q26" s="3507" t="s">
        <v>799</v>
      </c>
      <c r="R26" s="3507">
        <v>4.55585166666667</v>
      </c>
    </row>
    <row r="27" spans="1:20" x14ac:dyDescent="0.2">
      <c r="A27" s="3567" t="s">
        <v>1319</v>
      </c>
      <c r="B27" s="3500" t="s">
        <v>1319</v>
      </c>
      <c r="C27" s="3507">
        <v>1.8411583333799999</v>
      </c>
      <c r="D27" s="3500">
        <v>1.7779093633</v>
      </c>
      <c r="E27" s="3500">
        <v>6.3248970079999994E-2</v>
      </c>
      <c r="F27" s="3507" t="s">
        <v>799</v>
      </c>
      <c r="G27" s="3507">
        <v>-0.67484961910854002</v>
      </c>
      <c r="H27" s="3507">
        <v>-0.67484961910854002</v>
      </c>
      <c r="I27" s="3507" t="s">
        <v>799</v>
      </c>
      <c r="J27" s="3507" t="s">
        <v>799</v>
      </c>
      <c r="K27" s="3507" t="s">
        <v>799</v>
      </c>
      <c r="L27" s="3500" t="s">
        <v>799</v>
      </c>
      <c r="M27" s="3500">
        <v>-1.242505</v>
      </c>
      <c r="N27" s="3507">
        <v>-1.242505</v>
      </c>
      <c r="O27" s="3500" t="s">
        <v>799</v>
      </c>
      <c r="P27" s="3500" t="s">
        <v>799</v>
      </c>
      <c r="Q27" s="3500" t="s">
        <v>799</v>
      </c>
      <c r="R27" s="3507">
        <v>4.55585166666667</v>
      </c>
    </row>
    <row r="28" spans="1:20" x14ac:dyDescent="0.2">
      <c r="A28" s="3579" t="s">
        <v>1411</v>
      </c>
      <c r="B28" s="3497"/>
      <c r="C28" s="3507">
        <v>20.937700000062001</v>
      </c>
      <c r="D28" s="3507">
        <v>17.067076023729999</v>
      </c>
      <c r="E28" s="3507">
        <v>3.8706239763319998</v>
      </c>
      <c r="F28" s="3507">
        <v>0.38446149768007998</v>
      </c>
      <c r="G28" s="3507">
        <v>-0.29201759135826</v>
      </c>
      <c r="H28" s="3507">
        <v>9.2443906321819994E-2</v>
      </c>
      <c r="I28" s="3507" t="s">
        <v>799</v>
      </c>
      <c r="J28" s="3507" t="s">
        <v>799</v>
      </c>
      <c r="K28" s="3507" t="s">
        <v>799</v>
      </c>
      <c r="L28" s="3507">
        <v>8.0497394999999994</v>
      </c>
      <c r="M28" s="3507">
        <v>-6.1141767225999999</v>
      </c>
      <c r="N28" s="3507">
        <v>1.9355627773999999</v>
      </c>
      <c r="O28" s="3507" t="s">
        <v>799</v>
      </c>
      <c r="P28" s="3507" t="s">
        <v>799</v>
      </c>
      <c r="Q28" s="3507" t="s">
        <v>799</v>
      </c>
      <c r="R28" s="3507">
        <v>-7.09706351713334</v>
      </c>
      <c r="S28" s="660"/>
      <c r="T28" s="660"/>
    </row>
    <row r="29" spans="1:20" x14ac:dyDescent="0.2">
      <c r="A29" s="3520" t="s">
        <v>1410</v>
      </c>
      <c r="B29" s="3497"/>
      <c r="C29" s="3507">
        <v>0.72632916666199998</v>
      </c>
      <c r="D29" s="3507">
        <v>0.69232321223000004</v>
      </c>
      <c r="E29" s="3507">
        <v>3.4005954432000003E-2</v>
      </c>
      <c r="F29" s="3507">
        <v>0.31771338752721001</v>
      </c>
      <c r="G29" s="3507">
        <v>-7.641163613884E-2</v>
      </c>
      <c r="H29" s="3507">
        <v>0.24130175138838</v>
      </c>
      <c r="I29" s="3507" t="s">
        <v>799</v>
      </c>
      <c r="J29" s="3507" t="s">
        <v>799</v>
      </c>
      <c r="K29" s="3507" t="s">
        <v>799</v>
      </c>
      <c r="L29" s="3507">
        <v>0.23076450000000001</v>
      </c>
      <c r="M29" s="3507">
        <v>-5.5500000000000001E-2</v>
      </c>
      <c r="N29" s="3507">
        <v>0.17526449999999999</v>
      </c>
      <c r="O29" s="3507" t="s">
        <v>799</v>
      </c>
      <c r="P29" s="3507" t="s">
        <v>799</v>
      </c>
      <c r="Q29" s="3507" t="s">
        <v>799</v>
      </c>
      <c r="R29" s="3507">
        <v>-0.64263650000000005</v>
      </c>
      <c r="S29" s="660"/>
      <c r="T29" s="660"/>
    </row>
    <row r="30" spans="1:20" x14ac:dyDescent="0.2">
      <c r="A30" s="3567" t="s">
        <v>1319</v>
      </c>
      <c r="B30" s="3500" t="s">
        <v>1319</v>
      </c>
      <c r="C30" s="3507">
        <v>0.72632916666199998</v>
      </c>
      <c r="D30" s="3500">
        <v>0.69232321223000004</v>
      </c>
      <c r="E30" s="3500">
        <v>3.4005954432000003E-2</v>
      </c>
      <c r="F30" s="3507" t="s">
        <v>799</v>
      </c>
      <c r="G30" s="3507">
        <v>-30.135187202052421</v>
      </c>
      <c r="H30" s="3507">
        <v>-30.135187202052421</v>
      </c>
      <c r="I30" s="3507" t="s">
        <v>799</v>
      </c>
      <c r="J30" s="3507" t="s">
        <v>799</v>
      </c>
      <c r="K30" s="3507" t="s">
        <v>799</v>
      </c>
      <c r="L30" s="3500">
        <v>0.23076450000000001</v>
      </c>
      <c r="M30" s="3500">
        <v>-5.5500000000000001E-2</v>
      </c>
      <c r="N30" s="3507">
        <v>0.17526449999999999</v>
      </c>
      <c r="O30" s="3500" t="s">
        <v>799</v>
      </c>
      <c r="P30" s="3500" t="s">
        <v>799</v>
      </c>
      <c r="Q30" s="3500" t="s">
        <v>799</v>
      </c>
      <c r="R30" s="3507">
        <v>-0.64263650000000005</v>
      </c>
    </row>
    <row r="31" spans="1:20" x14ac:dyDescent="0.2">
      <c r="A31" s="3520" t="s">
        <v>1409</v>
      </c>
      <c r="B31" s="3497"/>
      <c r="C31" s="3507">
        <v>10.319854166700001</v>
      </c>
      <c r="D31" s="3507">
        <v>8.1402959048000003</v>
      </c>
      <c r="E31" s="3507">
        <v>2.1795582619</v>
      </c>
      <c r="F31" s="3507">
        <v>0.48284984647155998</v>
      </c>
      <c r="G31" s="3507">
        <v>-0.41914780506857002</v>
      </c>
      <c r="H31" s="3507">
        <v>6.3702041402999995E-2</v>
      </c>
      <c r="I31" s="3507" t="s">
        <v>799</v>
      </c>
      <c r="J31" s="3507" t="s">
        <v>799</v>
      </c>
      <c r="K31" s="3507" t="s">
        <v>799</v>
      </c>
      <c r="L31" s="3507">
        <v>4.9829400000000001</v>
      </c>
      <c r="M31" s="3507">
        <v>-4.3255442225999996</v>
      </c>
      <c r="N31" s="3507">
        <v>0.65739577739999999</v>
      </c>
      <c r="O31" s="3507" t="s">
        <v>799</v>
      </c>
      <c r="P31" s="3507" t="s">
        <v>799</v>
      </c>
      <c r="Q31" s="3507" t="s">
        <v>799</v>
      </c>
      <c r="R31" s="3507">
        <v>-2.4104511837999998</v>
      </c>
    </row>
    <row r="32" spans="1:20" x14ac:dyDescent="0.2">
      <c r="A32" s="3567" t="s">
        <v>1319</v>
      </c>
      <c r="B32" s="3500" t="s">
        <v>1319</v>
      </c>
      <c r="C32" s="3507">
        <v>10.319854166700001</v>
      </c>
      <c r="D32" s="3500">
        <v>8.1402959048000003</v>
      </c>
      <c r="E32" s="3500">
        <v>2.1795582619</v>
      </c>
      <c r="F32" s="3507" t="s">
        <v>799</v>
      </c>
      <c r="G32" s="3507" t="s">
        <v>799</v>
      </c>
      <c r="H32" s="3507" t="s">
        <v>799</v>
      </c>
      <c r="I32" s="3507" t="s">
        <v>799</v>
      </c>
      <c r="J32" s="3507" t="s">
        <v>799</v>
      </c>
      <c r="K32" s="3507" t="s">
        <v>799</v>
      </c>
      <c r="L32" s="3500">
        <v>4.9829400000000001</v>
      </c>
      <c r="M32" s="3500">
        <v>-4.3255442225999996</v>
      </c>
      <c r="N32" s="3507">
        <v>0.65739577739999999</v>
      </c>
      <c r="O32" s="3500" t="s">
        <v>799</v>
      </c>
      <c r="P32" s="3500" t="s">
        <v>799</v>
      </c>
      <c r="Q32" s="3500" t="s">
        <v>799</v>
      </c>
      <c r="R32" s="3507">
        <v>-2.4104511837999998</v>
      </c>
    </row>
    <row r="33" spans="1:20" x14ac:dyDescent="0.2">
      <c r="A33" s="3520" t="s">
        <v>1408</v>
      </c>
      <c r="B33" s="3497"/>
      <c r="C33" s="3507">
        <v>9.8915166666999994</v>
      </c>
      <c r="D33" s="3507">
        <v>8.2344569067000002</v>
      </c>
      <c r="E33" s="3507">
        <v>1.6570597600000001</v>
      </c>
      <c r="F33" s="3507">
        <v>0.28671386760612</v>
      </c>
      <c r="G33" s="3507">
        <v>-0.17521403020373999</v>
      </c>
      <c r="H33" s="3507">
        <v>0.11149983740237999</v>
      </c>
      <c r="I33" s="3507" t="s">
        <v>799</v>
      </c>
      <c r="J33" s="3507" t="s">
        <v>799</v>
      </c>
      <c r="K33" s="3507" t="s">
        <v>799</v>
      </c>
      <c r="L33" s="3507">
        <v>2.8360349999999999</v>
      </c>
      <c r="M33" s="3507">
        <v>-1.7331325</v>
      </c>
      <c r="N33" s="3507">
        <v>1.1029024999999999</v>
      </c>
      <c r="O33" s="3507" t="s">
        <v>799</v>
      </c>
      <c r="P33" s="3507" t="s">
        <v>799</v>
      </c>
      <c r="Q33" s="3507" t="s">
        <v>799</v>
      </c>
      <c r="R33" s="3507">
        <v>-4.0439758333333398</v>
      </c>
    </row>
    <row r="34" spans="1:20" x14ac:dyDescent="0.2">
      <c r="A34" s="3567" t="s">
        <v>1319</v>
      </c>
      <c r="B34" s="3500" t="s">
        <v>1319</v>
      </c>
      <c r="C34" s="3507">
        <v>9.8915166666999994</v>
      </c>
      <c r="D34" s="3500">
        <v>8.2344569067000002</v>
      </c>
      <c r="E34" s="3500">
        <v>1.6570597600000001</v>
      </c>
      <c r="F34" s="3507" t="s">
        <v>799</v>
      </c>
      <c r="G34" s="3507">
        <v>-0.67484961910854002</v>
      </c>
      <c r="H34" s="3507">
        <v>-0.67484961910854002</v>
      </c>
      <c r="I34" s="3507" t="s">
        <v>799</v>
      </c>
      <c r="J34" s="3507" t="s">
        <v>799</v>
      </c>
      <c r="K34" s="3507" t="s">
        <v>799</v>
      </c>
      <c r="L34" s="3500">
        <v>2.8360349999999999</v>
      </c>
      <c r="M34" s="3500">
        <v>-1.7331325</v>
      </c>
      <c r="N34" s="3507">
        <v>1.1029024999999999</v>
      </c>
      <c r="O34" s="3500" t="s">
        <v>799</v>
      </c>
      <c r="P34" s="3500" t="s">
        <v>799</v>
      </c>
      <c r="Q34" s="3500" t="s">
        <v>799</v>
      </c>
      <c r="R34" s="3507">
        <v>-4.0439758333333398</v>
      </c>
    </row>
    <row r="35" spans="1:20" ht="12" customHeight="1" x14ac:dyDescent="0.2">
      <c r="A35" s="741" t="s">
        <v>564</v>
      </c>
      <c r="B35" s="660"/>
      <c r="C35" s="660"/>
      <c r="D35" s="660"/>
      <c r="E35" s="660"/>
      <c r="F35" s="660"/>
      <c r="G35" s="660"/>
      <c r="H35" s="660"/>
      <c r="I35" s="660"/>
      <c r="J35" s="660"/>
      <c r="K35" s="660"/>
      <c r="L35" s="660"/>
      <c r="M35" s="660"/>
      <c r="N35" s="660"/>
      <c r="O35" s="660"/>
      <c r="P35" s="660"/>
      <c r="Q35" s="660"/>
      <c r="R35" s="660"/>
      <c r="S35" s="660"/>
      <c r="T35" s="660"/>
    </row>
    <row r="36" spans="1:20" ht="13.5" x14ac:dyDescent="0.2">
      <c r="A36" s="5558" t="s">
        <v>1407</v>
      </c>
      <c r="B36" s="5558"/>
      <c r="C36" s="5558"/>
      <c r="D36" s="5558"/>
      <c r="E36" s="5558"/>
      <c r="F36" s="5558"/>
      <c r="G36" s="5558"/>
      <c r="H36" s="5558"/>
      <c r="I36" s="5558"/>
      <c r="J36" s="5558"/>
      <c r="K36" s="5558"/>
      <c r="L36" s="5558"/>
      <c r="M36" s="5558"/>
      <c r="N36" s="5558"/>
      <c r="O36" s="5558"/>
      <c r="P36" s="5558"/>
      <c r="Q36" s="5558"/>
      <c r="R36" s="5558"/>
      <c r="S36" s="660"/>
      <c r="T36" s="660"/>
    </row>
    <row r="37" spans="1:20" ht="12" customHeight="1" x14ac:dyDescent="0.2">
      <c r="A37" s="738" t="s">
        <v>1406</v>
      </c>
      <c r="B37" s="660"/>
      <c r="C37" s="660"/>
      <c r="D37" s="660"/>
      <c r="E37" s="660"/>
      <c r="F37" s="660"/>
      <c r="G37" s="660"/>
      <c r="H37" s="660"/>
      <c r="I37" s="660"/>
      <c r="J37" s="660"/>
      <c r="K37" s="660"/>
      <c r="L37" s="660"/>
      <c r="M37" s="660"/>
      <c r="N37" s="660"/>
      <c r="O37" s="660"/>
      <c r="P37" s="660"/>
      <c r="Q37" s="660"/>
      <c r="R37" s="660"/>
      <c r="S37" s="660"/>
      <c r="T37" s="660"/>
    </row>
    <row r="38" spans="1:20" ht="12" customHeight="1" x14ac:dyDescent="0.2">
      <c r="A38" s="740" t="s">
        <v>1316</v>
      </c>
      <c r="B38" s="660"/>
      <c r="C38" s="660"/>
      <c r="D38" s="660"/>
      <c r="E38" s="660"/>
      <c r="F38" s="660"/>
      <c r="G38" s="660"/>
      <c r="H38" s="660"/>
      <c r="I38" s="660"/>
      <c r="J38" s="660"/>
      <c r="K38" s="660"/>
      <c r="L38" s="660"/>
      <c r="M38" s="660"/>
      <c r="N38" s="660"/>
      <c r="O38" s="660"/>
      <c r="P38" s="660"/>
      <c r="Q38" s="660"/>
      <c r="R38" s="660"/>
      <c r="S38" s="660"/>
      <c r="T38" s="660"/>
    </row>
    <row r="39" spans="1:20" ht="12" customHeight="1" x14ac:dyDescent="0.2">
      <c r="A39" s="740" t="s">
        <v>1405</v>
      </c>
      <c r="B39" s="660"/>
      <c r="C39" s="660"/>
      <c r="D39" s="660"/>
      <c r="E39" s="660"/>
      <c r="F39" s="660"/>
      <c r="G39" s="660"/>
      <c r="H39" s="660"/>
      <c r="I39" s="660"/>
      <c r="J39" s="660"/>
      <c r="K39" s="660"/>
      <c r="L39" s="660"/>
      <c r="M39" s="660"/>
      <c r="N39" s="660"/>
      <c r="O39" s="660"/>
      <c r="P39" s="660"/>
      <c r="Q39" s="660"/>
      <c r="R39" s="660"/>
      <c r="S39" s="660"/>
      <c r="T39" s="660"/>
    </row>
    <row r="40" spans="1:20" x14ac:dyDescent="0.2">
      <c r="A40" s="5575" t="s">
        <v>1404</v>
      </c>
      <c r="B40" s="5575"/>
      <c r="C40" s="5575"/>
      <c r="D40" s="5575"/>
      <c r="E40" s="5575"/>
      <c r="F40" s="5575"/>
      <c r="G40" s="5575"/>
      <c r="H40" s="5575"/>
      <c r="I40" s="5575"/>
      <c r="J40" s="5575"/>
      <c r="K40" s="5575"/>
      <c r="L40" s="5575"/>
      <c r="M40" s="5575"/>
      <c r="N40" s="5575"/>
      <c r="O40" s="5575"/>
      <c r="P40" s="3315"/>
      <c r="Q40" s="660"/>
      <c r="R40" s="660"/>
      <c r="S40" s="660"/>
      <c r="T40" s="660"/>
    </row>
    <row r="41" spans="1:20" ht="12" customHeight="1" x14ac:dyDescent="0.2">
      <c r="A41" s="739" t="s">
        <v>1403</v>
      </c>
      <c r="B41" s="660"/>
      <c r="C41" s="660"/>
      <c r="D41" s="660"/>
      <c r="E41" s="660"/>
      <c r="F41" s="660"/>
      <c r="G41" s="660"/>
      <c r="H41" s="660"/>
      <c r="I41" s="660"/>
      <c r="J41" s="660"/>
      <c r="K41" s="660"/>
      <c r="L41" s="660"/>
      <c r="M41" s="660"/>
      <c r="N41" s="660"/>
      <c r="O41" s="660"/>
      <c r="P41" s="660"/>
      <c r="Q41" s="660"/>
      <c r="R41" s="660"/>
      <c r="S41" s="660"/>
      <c r="T41" s="660"/>
    </row>
    <row r="42" spans="1:20" ht="12" customHeight="1" x14ac:dyDescent="0.2">
      <c r="A42" s="738" t="s">
        <v>1402</v>
      </c>
      <c r="B42" s="660"/>
      <c r="C42" s="660"/>
      <c r="D42" s="660"/>
      <c r="E42" s="660"/>
      <c r="F42" s="660"/>
      <c r="G42" s="660"/>
      <c r="H42" s="660"/>
      <c r="I42" s="660"/>
      <c r="J42" s="660"/>
      <c r="K42" s="660"/>
      <c r="L42" s="660"/>
      <c r="M42" s="660"/>
      <c r="N42" s="660"/>
      <c r="O42" s="660"/>
      <c r="P42" s="660"/>
      <c r="Q42" s="660"/>
      <c r="R42" s="660"/>
      <c r="S42" s="660"/>
      <c r="T42" s="660"/>
    </row>
    <row r="43" spans="1:20" ht="13.5" x14ac:dyDescent="0.2">
      <c r="A43" s="5576" t="s">
        <v>1401</v>
      </c>
      <c r="B43" s="5576"/>
      <c r="C43" s="5576"/>
      <c r="D43" s="5576"/>
      <c r="E43" s="5576"/>
      <c r="F43" s="5576"/>
      <c r="G43" s="5576"/>
      <c r="H43" s="5576"/>
      <c r="I43" s="5576"/>
      <c r="J43" s="5576"/>
      <c r="K43" s="5576"/>
      <c r="L43" s="5513"/>
      <c r="M43" s="5513"/>
      <c r="N43" s="5513"/>
      <c r="O43" s="5513"/>
      <c r="P43" s="735"/>
      <c r="Q43" s="660"/>
      <c r="R43" s="660"/>
      <c r="S43" s="660"/>
      <c r="T43" s="660"/>
    </row>
    <row r="44" spans="1:20" ht="13.5" customHeight="1" x14ac:dyDescent="0.2">
      <c r="A44" s="660"/>
      <c r="B44" s="660"/>
      <c r="C44" s="660"/>
      <c r="D44" s="660"/>
      <c r="E44" s="660"/>
      <c r="F44" s="660"/>
      <c r="G44" s="660"/>
      <c r="H44" s="660"/>
      <c r="I44" s="660"/>
      <c r="J44" s="660"/>
      <c r="K44" s="660"/>
      <c r="L44" s="660"/>
      <c r="M44" s="660"/>
      <c r="N44" s="660"/>
      <c r="O44" s="660"/>
      <c r="P44" s="660"/>
      <c r="Q44" s="660"/>
      <c r="R44" s="660"/>
      <c r="S44" s="660"/>
      <c r="T44" s="660"/>
    </row>
    <row r="45" spans="1:20" ht="16.5" customHeight="1" x14ac:dyDescent="0.2">
      <c r="A45" s="5752" t="s">
        <v>982</v>
      </c>
      <c r="B45" s="5753"/>
      <c r="C45" s="5753"/>
      <c r="D45" s="5753"/>
      <c r="E45" s="5753"/>
      <c r="F45" s="5753"/>
      <c r="G45" s="5753"/>
      <c r="H45" s="5753"/>
      <c r="I45" s="5753"/>
      <c r="J45" s="5753"/>
      <c r="K45" s="5753"/>
      <c r="L45" s="5753"/>
      <c r="M45" s="5753"/>
      <c r="N45" s="5753"/>
      <c r="O45" s="5754"/>
      <c r="P45" s="731"/>
      <c r="Q45" s="660"/>
      <c r="R45" s="660"/>
      <c r="S45" s="660"/>
      <c r="T45" s="660"/>
    </row>
    <row r="46" spans="1:20" ht="18.75" customHeight="1" x14ac:dyDescent="0.2">
      <c r="A46" s="5749" t="s">
        <v>1310</v>
      </c>
      <c r="B46" s="5750"/>
      <c r="C46" s="5750"/>
      <c r="D46" s="5750"/>
      <c r="E46" s="5750"/>
      <c r="F46" s="5750"/>
      <c r="G46" s="5750"/>
      <c r="H46" s="5750"/>
      <c r="I46" s="5750"/>
      <c r="J46" s="5750"/>
      <c r="K46" s="5750"/>
      <c r="L46" s="5750"/>
      <c r="M46" s="5750"/>
      <c r="N46" s="5750"/>
      <c r="O46" s="5751"/>
      <c r="P46" s="3298"/>
      <c r="Q46" s="3298"/>
      <c r="R46" s="3298"/>
      <c r="S46" s="660"/>
      <c r="T46" s="660"/>
    </row>
    <row r="47" spans="1:20" ht="12" customHeight="1" x14ac:dyDescent="0.2">
      <c r="A47" s="3568" t="s">
        <v>980</v>
      </c>
      <c r="B47" s="5696" t="s">
        <v>986</v>
      </c>
      <c r="C47" s="5735"/>
      <c r="D47" s="5735"/>
      <c r="E47" s="5735"/>
      <c r="F47" s="5735"/>
      <c r="G47" s="5735"/>
      <c r="H47" s="5735"/>
      <c r="I47" s="5735"/>
      <c r="J47" s="5735"/>
      <c r="K47" s="5735"/>
      <c r="L47" s="5735"/>
      <c r="M47" s="5735"/>
      <c r="N47" s="5735"/>
      <c r="O47" s="5735"/>
      <c r="P47" s="3315"/>
      <c r="Q47" s="3315"/>
      <c r="R47" s="3315"/>
    </row>
    <row r="48" spans="1:20" ht="12" customHeight="1" x14ac:dyDescent="0.2">
      <c r="A48" s="3568" t="s">
        <v>980</v>
      </c>
      <c r="B48" s="5696" t="s">
        <v>5211</v>
      </c>
      <c r="C48" s="5735"/>
      <c r="D48" s="5735"/>
      <c r="E48" s="5735"/>
      <c r="F48" s="5735"/>
      <c r="G48" s="5735"/>
      <c r="H48" s="5735"/>
      <c r="I48" s="5735"/>
      <c r="J48" s="5735"/>
      <c r="K48" s="5735"/>
      <c r="L48" s="5735"/>
      <c r="M48" s="5735"/>
      <c r="N48" s="5735"/>
      <c r="O48" s="5735"/>
      <c r="P48" s="3315"/>
      <c r="Q48" s="3315"/>
      <c r="R48" s="3315"/>
    </row>
  </sheetData>
  <sheetProtection password="A754" sheet="1" objects="1" scenarios="1"/>
  <mergeCells count="25">
    <mergeCell ref="A36:R36"/>
    <mergeCell ref="B48:O48"/>
    <mergeCell ref="B47:O47"/>
    <mergeCell ref="A46:O46"/>
    <mergeCell ref="A45:O45"/>
    <mergeCell ref="A40:O40"/>
    <mergeCell ref="A43:O43"/>
    <mergeCell ref="A5:B5"/>
    <mergeCell ref="F5:K5"/>
    <mergeCell ref="A6:A9"/>
    <mergeCell ref="B6:B9"/>
    <mergeCell ref="C6:C9"/>
    <mergeCell ref="F6:H7"/>
    <mergeCell ref="C5:E5"/>
    <mergeCell ref="D6:D9"/>
    <mergeCell ref="E6:E9"/>
    <mergeCell ref="J6:K7"/>
    <mergeCell ref="L5:Q5"/>
    <mergeCell ref="R5:R8"/>
    <mergeCell ref="F9:K9"/>
    <mergeCell ref="L9:Q9"/>
    <mergeCell ref="I6:I8"/>
    <mergeCell ref="P6:Q7"/>
    <mergeCell ref="L6:N7"/>
    <mergeCell ref="O6:O8"/>
  </mergeCells>
  <printOptions horizontalCentered="1" verticalCentered="1"/>
  <pageMargins left="0.39370078740157483" right="0.39370078740157483" top="0.39370078740157483" bottom="0.39370078740157483" header="0.19685039370078741" footer="0.19685039370078741"/>
  <pageSetup paperSize="9" scale="26"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5508-5E80-47C6-A603-3B021E2E15B6}">
  <sheetPr codeName="Ark70">
    <tabColor theme="0" tint="-0.34998626667073579"/>
    <pageSetUpPr fitToPage="1"/>
  </sheetPr>
  <dimension ref="A1:AH34"/>
  <sheetViews>
    <sheetView showGridLines="0" workbookViewId="0"/>
  </sheetViews>
  <sheetFormatPr defaultColWidth="8" defaultRowHeight="12" customHeight="1" x14ac:dyDescent="0.2"/>
  <cols>
    <col min="1" max="1" width="27" style="659" customWidth="1"/>
    <col min="2" max="2" width="13.85546875" style="659" customWidth="1"/>
    <col min="3" max="5" width="11" style="659" customWidth="1"/>
    <col min="6" max="9" width="8" style="659" customWidth="1"/>
    <col min="10" max="10" width="8.5703125" style="659" customWidth="1"/>
    <col min="11" max="11" width="9.28515625" style="659" customWidth="1"/>
    <col min="12" max="17" width="10.5703125" style="659" customWidth="1"/>
    <col min="18" max="18" width="12.42578125" style="659" customWidth="1"/>
    <col min="19" max="19" width="1.28515625" style="659" customWidth="1"/>
    <col min="20" max="24" width="13.7109375" style="659" customWidth="1"/>
    <col min="25" max="16384" width="8" style="659"/>
  </cols>
  <sheetData>
    <row r="1" spans="1:34" ht="15.75" x14ac:dyDescent="0.25">
      <c r="A1" s="671" t="s">
        <v>1447</v>
      </c>
      <c r="B1" s="660"/>
      <c r="C1" s="660"/>
      <c r="D1" s="660"/>
      <c r="E1" s="660"/>
      <c r="F1" s="660"/>
      <c r="G1" s="660"/>
      <c r="H1" s="660"/>
      <c r="I1" s="660"/>
      <c r="J1" s="660"/>
      <c r="K1" s="660"/>
      <c r="L1" s="660"/>
      <c r="M1" s="660"/>
      <c r="N1" s="660"/>
      <c r="O1" s="660"/>
      <c r="P1" s="660"/>
      <c r="Q1" s="660"/>
      <c r="R1" s="668" t="s">
        <v>1762</v>
      </c>
      <c r="S1" s="660"/>
      <c r="T1" s="660"/>
      <c r="U1" s="660"/>
      <c r="V1" s="660"/>
      <c r="W1" s="660"/>
      <c r="X1" s="660"/>
      <c r="Y1" s="660"/>
      <c r="Z1" s="660"/>
      <c r="AA1" s="660"/>
      <c r="AB1" s="660"/>
      <c r="AC1" s="660"/>
      <c r="AD1" s="660"/>
      <c r="AE1" s="660"/>
      <c r="AF1" s="660"/>
      <c r="AG1" s="660"/>
      <c r="AH1" s="660"/>
    </row>
    <row r="2" spans="1:34" ht="15.75" x14ac:dyDescent="0.25">
      <c r="A2" s="671" t="s">
        <v>1446</v>
      </c>
      <c r="B2" s="660"/>
      <c r="C2" s="660"/>
      <c r="D2" s="660"/>
      <c r="E2" s="660"/>
      <c r="F2" s="660"/>
      <c r="G2" s="660"/>
      <c r="H2" s="660"/>
      <c r="I2" s="660"/>
      <c r="J2" s="660"/>
      <c r="K2" s="660"/>
      <c r="L2" s="660"/>
      <c r="M2" s="660"/>
      <c r="N2" s="660"/>
      <c r="O2" s="660"/>
      <c r="P2" s="660"/>
      <c r="Q2" s="660"/>
      <c r="R2" s="668" t="s">
        <v>1761</v>
      </c>
      <c r="S2" s="660"/>
      <c r="T2" s="660"/>
      <c r="U2" s="660"/>
      <c r="V2" s="660"/>
      <c r="W2" s="660"/>
      <c r="X2" s="660"/>
      <c r="Y2" s="660"/>
      <c r="Z2" s="660"/>
      <c r="AA2" s="660"/>
      <c r="AB2" s="660"/>
      <c r="AC2" s="660"/>
      <c r="AD2" s="660"/>
      <c r="AE2" s="660"/>
      <c r="AF2" s="660"/>
      <c r="AG2" s="660"/>
      <c r="AH2" s="660"/>
    </row>
    <row r="3" spans="1:34" ht="15.75" x14ac:dyDescent="0.25">
      <c r="A3" s="671" t="s">
        <v>1197</v>
      </c>
      <c r="B3" s="660"/>
      <c r="C3" s="660"/>
      <c r="D3" s="660"/>
      <c r="E3" s="660"/>
      <c r="F3" s="660"/>
      <c r="G3" s="660"/>
      <c r="H3" s="660"/>
      <c r="I3" s="660"/>
      <c r="J3" s="660"/>
      <c r="K3" s="660"/>
      <c r="L3" s="660"/>
      <c r="M3" s="660"/>
      <c r="N3" s="660"/>
      <c r="O3" s="660"/>
      <c r="P3" s="660"/>
      <c r="Q3" s="660"/>
      <c r="R3" s="668" t="s">
        <v>1789</v>
      </c>
      <c r="S3" s="660"/>
      <c r="T3" s="660"/>
      <c r="U3" s="660"/>
      <c r="V3" s="660"/>
      <c r="W3" s="660"/>
      <c r="X3" s="660"/>
      <c r="Y3" s="660"/>
      <c r="Z3" s="660"/>
      <c r="AA3" s="660"/>
      <c r="AB3" s="660"/>
      <c r="AC3" s="660"/>
      <c r="AD3" s="660"/>
      <c r="AE3" s="660"/>
      <c r="AF3" s="660"/>
      <c r="AG3" s="660"/>
      <c r="AH3" s="660"/>
    </row>
    <row r="4" spans="1:34" ht="12" customHeight="1" x14ac:dyDescent="0.2">
      <c r="A4" s="660"/>
      <c r="B4" s="660"/>
      <c r="C4" s="660"/>
      <c r="D4" s="660"/>
      <c r="E4" s="660"/>
      <c r="F4" s="660"/>
      <c r="G4" s="660"/>
      <c r="H4" s="660"/>
      <c r="I4" s="660"/>
      <c r="J4" s="660"/>
      <c r="K4" s="660"/>
      <c r="L4" s="660"/>
      <c r="M4" s="660"/>
      <c r="N4" s="660"/>
      <c r="O4" s="660"/>
      <c r="P4" s="660"/>
      <c r="Q4" s="660"/>
      <c r="R4" s="3315"/>
      <c r="S4" s="660"/>
      <c r="T4" s="660"/>
      <c r="U4" s="660"/>
      <c r="V4" s="660"/>
      <c r="W4" s="660"/>
      <c r="X4" s="660"/>
      <c r="Y4" s="660"/>
      <c r="Z4" s="660"/>
      <c r="AA4" s="660"/>
      <c r="AB4" s="660"/>
      <c r="AC4" s="660"/>
      <c r="AD4" s="660"/>
      <c r="AE4" s="660"/>
      <c r="AF4" s="660"/>
      <c r="AG4" s="660"/>
      <c r="AH4" s="660"/>
    </row>
    <row r="5" spans="1:34" ht="48" customHeight="1" x14ac:dyDescent="0.2">
      <c r="A5" s="5740" t="s">
        <v>1025</v>
      </c>
      <c r="B5" s="5741"/>
      <c r="C5" s="5736" t="s">
        <v>1083</v>
      </c>
      <c r="D5" s="5737"/>
      <c r="E5" s="5738"/>
      <c r="F5" s="5736" t="s">
        <v>1351</v>
      </c>
      <c r="G5" s="5737"/>
      <c r="H5" s="5737"/>
      <c r="I5" s="5737"/>
      <c r="J5" s="5737"/>
      <c r="K5" s="5738"/>
      <c r="L5" s="5736" t="s">
        <v>1350</v>
      </c>
      <c r="M5" s="5737"/>
      <c r="N5" s="5737"/>
      <c r="O5" s="5737"/>
      <c r="P5" s="5737"/>
      <c r="Q5" s="5738"/>
      <c r="R5" s="5739" t="s">
        <v>1445</v>
      </c>
      <c r="S5" s="660"/>
      <c r="T5" s="660"/>
      <c r="U5" s="660"/>
      <c r="V5" s="660"/>
      <c r="W5" s="660"/>
      <c r="X5" s="660"/>
      <c r="Y5" s="660"/>
      <c r="Z5" s="660"/>
      <c r="AA5" s="660"/>
      <c r="AB5" s="660"/>
      <c r="AC5" s="660"/>
      <c r="AD5" s="660"/>
      <c r="AE5" s="660"/>
      <c r="AF5" s="660"/>
      <c r="AG5" s="660"/>
      <c r="AH5" s="660"/>
    </row>
    <row r="6" spans="1:34" ht="47.25" customHeight="1" x14ac:dyDescent="0.2">
      <c r="A6" s="5728" t="s">
        <v>1348</v>
      </c>
      <c r="B6" s="5739" t="s">
        <v>1347</v>
      </c>
      <c r="C6" s="5739" t="s">
        <v>1346</v>
      </c>
      <c r="D6" s="5739" t="s">
        <v>1427</v>
      </c>
      <c r="E6" s="5739" t="s">
        <v>1426</v>
      </c>
      <c r="F6" s="5742" t="s">
        <v>1343</v>
      </c>
      <c r="G6" s="5744"/>
      <c r="H6" s="5743"/>
      <c r="I6" s="5739" t="s">
        <v>1375</v>
      </c>
      <c r="J6" s="5742" t="s">
        <v>1340</v>
      </c>
      <c r="K6" s="5743"/>
      <c r="L6" s="5742" t="s">
        <v>1397</v>
      </c>
      <c r="M6" s="5744"/>
      <c r="N6" s="5743"/>
      <c r="O6" s="5739" t="s">
        <v>1425</v>
      </c>
      <c r="P6" s="5742" t="s">
        <v>1424</v>
      </c>
      <c r="Q6" s="5743"/>
      <c r="R6" s="5532"/>
      <c r="S6" s="660"/>
      <c r="T6" s="660"/>
      <c r="U6" s="660"/>
      <c r="V6" s="660"/>
      <c r="W6" s="660"/>
      <c r="X6" s="660"/>
      <c r="Y6" s="660"/>
      <c r="Z6" s="660"/>
      <c r="AA6" s="660"/>
      <c r="AB6" s="660"/>
      <c r="AC6" s="660"/>
      <c r="AD6" s="660"/>
      <c r="AE6" s="660"/>
      <c r="AF6" s="660"/>
      <c r="AG6" s="660"/>
      <c r="AH6" s="660"/>
    </row>
    <row r="7" spans="1:34" ht="12.75" customHeight="1" x14ac:dyDescent="0.2">
      <c r="A7" s="5520"/>
      <c r="B7" s="5532"/>
      <c r="C7" s="5532"/>
      <c r="D7" s="5532"/>
      <c r="E7" s="5532"/>
      <c r="F7" s="5539"/>
      <c r="G7" s="5545"/>
      <c r="H7" s="5540"/>
      <c r="I7" s="5532"/>
      <c r="J7" s="5539"/>
      <c r="K7" s="5540"/>
      <c r="L7" s="5539"/>
      <c r="M7" s="5545"/>
      <c r="N7" s="5540"/>
      <c r="O7" s="5532"/>
      <c r="P7" s="5539"/>
      <c r="Q7" s="5540"/>
      <c r="R7" s="5532"/>
      <c r="S7" s="660"/>
      <c r="T7" s="660"/>
      <c r="U7" s="660"/>
      <c r="V7" s="660"/>
      <c r="W7" s="660"/>
      <c r="X7" s="660"/>
      <c r="Y7" s="660"/>
      <c r="Z7" s="660"/>
      <c r="AA7" s="660"/>
      <c r="AB7" s="660"/>
      <c r="AC7" s="660"/>
      <c r="AD7" s="660"/>
      <c r="AE7" s="660"/>
      <c r="AF7" s="660"/>
      <c r="AG7" s="660"/>
      <c r="AH7" s="660"/>
    </row>
    <row r="8" spans="1:34" ht="53.25" customHeight="1" x14ac:dyDescent="0.2">
      <c r="A8" s="5520"/>
      <c r="B8" s="5532"/>
      <c r="C8" s="5532"/>
      <c r="D8" s="5532"/>
      <c r="E8" s="5532"/>
      <c r="F8" s="3566" t="s">
        <v>1334</v>
      </c>
      <c r="G8" s="3566" t="s">
        <v>1333</v>
      </c>
      <c r="H8" s="3566" t="s">
        <v>1332</v>
      </c>
      <c r="I8" s="5533"/>
      <c r="J8" s="3566" t="s">
        <v>1331</v>
      </c>
      <c r="K8" s="3310" t="s">
        <v>1330</v>
      </c>
      <c r="L8" s="3566" t="s">
        <v>1334</v>
      </c>
      <c r="M8" s="3566" t="s">
        <v>1333</v>
      </c>
      <c r="N8" s="3566" t="s">
        <v>1332</v>
      </c>
      <c r="O8" s="5533"/>
      <c r="P8" s="3311" t="s">
        <v>1331</v>
      </c>
      <c r="Q8" s="3310" t="s">
        <v>1330</v>
      </c>
      <c r="R8" s="5533"/>
      <c r="S8" s="660"/>
      <c r="T8" s="660"/>
      <c r="U8" s="660"/>
      <c r="V8" s="660"/>
      <c r="W8" s="660"/>
      <c r="X8" s="660"/>
      <c r="Y8" s="660"/>
      <c r="Z8" s="660"/>
      <c r="AA8" s="660"/>
      <c r="AB8" s="660"/>
      <c r="AC8" s="660"/>
      <c r="AD8" s="660"/>
      <c r="AE8" s="660"/>
      <c r="AF8" s="660"/>
      <c r="AG8" s="660"/>
      <c r="AH8" s="660"/>
    </row>
    <row r="9" spans="1:34" ht="12.75" thickBot="1" x14ac:dyDescent="0.25">
      <c r="A9" s="5556"/>
      <c r="B9" s="5541"/>
      <c r="C9" s="5541"/>
      <c r="D9" s="5541"/>
      <c r="E9" s="5541"/>
      <c r="F9" s="5546" t="s">
        <v>1329</v>
      </c>
      <c r="G9" s="5547"/>
      <c r="H9" s="5547"/>
      <c r="I9" s="5547"/>
      <c r="J9" s="5547"/>
      <c r="K9" s="5548"/>
      <c r="L9" s="5546" t="s">
        <v>1328</v>
      </c>
      <c r="M9" s="5547"/>
      <c r="N9" s="5547"/>
      <c r="O9" s="5547"/>
      <c r="P9" s="5547"/>
      <c r="Q9" s="5548"/>
      <c r="R9" s="734" t="s">
        <v>1011</v>
      </c>
      <c r="S9" s="660"/>
      <c r="T9" s="660"/>
      <c r="U9" s="660"/>
      <c r="V9" s="660"/>
      <c r="W9" s="660"/>
      <c r="X9" s="660"/>
      <c r="Y9" s="660"/>
      <c r="Z9" s="660"/>
      <c r="AA9" s="660"/>
      <c r="AB9" s="660"/>
      <c r="AC9" s="660"/>
      <c r="AD9" s="660"/>
      <c r="AE9" s="660"/>
      <c r="AF9" s="660"/>
      <c r="AG9" s="660"/>
      <c r="AH9" s="660"/>
    </row>
    <row r="10" spans="1:34" ht="12.75" thickTop="1" x14ac:dyDescent="0.2">
      <c r="A10" s="733" t="s">
        <v>1444</v>
      </c>
      <c r="B10" s="3497" t="s">
        <v>986</v>
      </c>
      <c r="C10" s="3507">
        <v>539.10131250303004</v>
      </c>
      <c r="D10" s="3507">
        <v>539.10131250303004</v>
      </c>
      <c r="E10" s="3507" t="s">
        <v>259</v>
      </c>
      <c r="F10" s="3507">
        <v>1.048221339652E-2</v>
      </c>
      <c r="G10" s="3507">
        <v>-3.221337510155E-2</v>
      </c>
      <c r="H10" s="3507">
        <v>-2.1731161705040001E-2</v>
      </c>
      <c r="I10" s="3507">
        <v>-6.3407325964899997E-3</v>
      </c>
      <c r="J10" s="3507">
        <v>-8.5542530862140004E-2</v>
      </c>
      <c r="K10" s="3507" t="s">
        <v>1006</v>
      </c>
      <c r="L10" s="3507">
        <v>5.6509749999999999</v>
      </c>
      <c r="M10" s="3507">
        <v>-17.366272797400001</v>
      </c>
      <c r="N10" s="3507">
        <v>-11.7152977974</v>
      </c>
      <c r="O10" s="3507">
        <v>-3.4182972650000001</v>
      </c>
      <c r="P10" s="3507">
        <v>-46.116090662609189</v>
      </c>
      <c r="Q10" s="3507" t="s">
        <v>1006</v>
      </c>
      <c r="R10" s="3507">
        <v>224.58218099170057</v>
      </c>
      <c r="S10" s="660"/>
      <c r="T10" s="660"/>
      <c r="U10" s="660"/>
      <c r="V10" s="660"/>
      <c r="W10" s="660"/>
      <c r="X10" s="660"/>
      <c r="Y10" s="660"/>
      <c r="Z10" s="660"/>
      <c r="AA10" s="660"/>
      <c r="AB10" s="660"/>
      <c r="AC10" s="660"/>
      <c r="AD10" s="660"/>
      <c r="AE10" s="660"/>
      <c r="AF10" s="660"/>
      <c r="AG10" s="660"/>
      <c r="AH10" s="660"/>
    </row>
    <row r="11" spans="1:34" x14ac:dyDescent="0.2">
      <c r="A11" s="3574" t="s">
        <v>1443</v>
      </c>
      <c r="B11" s="3497"/>
      <c r="C11" s="3507">
        <v>487.55026666999998</v>
      </c>
      <c r="D11" s="3507">
        <v>487.55026666999998</v>
      </c>
      <c r="E11" s="3507" t="s">
        <v>259</v>
      </c>
      <c r="F11" s="3507" t="s">
        <v>799</v>
      </c>
      <c r="G11" s="3507" t="s">
        <v>799</v>
      </c>
      <c r="H11" s="3507" t="s">
        <v>799</v>
      </c>
      <c r="I11" s="3507" t="s">
        <v>799</v>
      </c>
      <c r="J11" s="3507" t="s">
        <v>799</v>
      </c>
      <c r="K11" s="3507" t="s">
        <v>799</v>
      </c>
      <c r="L11" s="3507" t="s">
        <v>799</v>
      </c>
      <c r="M11" s="3507" t="s">
        <v>799</v>
      </c>
      <c r="N11" s="3507" t="s">
        <v>799</v>
      </c>
      <c r="O11" s="3507" t="s">
        <v>799</v>
      </c>
      <c r="P11" s="3507" t="s">
        <v>799</v>
      </c>
      <c r="Q11" s="3507" t="s">
        <v>799</v>
      </c>
      <c r="R11" s="3507" t="s">
        <v>799</v>
      </c>
      <c r="S11" s="660"/>
      <c r="T11" s="660"/>
      <c r="U11" s="660"/>
      <c r="V11" s="660"/>
      <c r="W11" s="660"/>
      <c r="X11" s="660"/>
      <c r="Y11" s="660"/>
      <c r="Z11" s="660"/>
      <c r="AA11" s="660"/>
      <c r="AB11" s="660"/>
      <c r="AC11" s="660"/>
      <c r="AD11" s="660"/>
      <c r="AE11" s="660"/>
      <c r="AF11" s="660"/>
      <c r="AG11" s="660"/>
      <c r="AH11" s="660"/>
    </row>
    <row r="12" spans="1:34" x14ac:dyDescent="0.2">
      <c r="A12" s="3548" t="s">
        <v>1319</v>
      </c>
      <c r="B12" s="3500" t="s">
        <v>1319</v>
      </c>
      <c r="C12" s="3507">
        <v>487.55026666999998</v>
      </c>
      <c r="D12" s="3500">
        <v>487.55026666999998</v>
      </c>
      <c r="E12" s="3500" t="s">
        <v>259</v>
      </c>
      <c r="F12" s="3507" t="s">
        <v>799</v>
      </c>
      <c r="G12" s="3507" t="s">
        <v>799</v>
      </c>
      <c r="H12" s="3507" t="s">
        <v>799</v>
      </c>
      <c r="I12" s="3507" t="s">
        <v>799</v>
      </c>
      <c r="J12" s="3507" t="s">
        <v>799</v>
      </c>
      <c r="K12" s="3507" t="s">
        <v>799</v>
      </c>
      <c r="L12" s="3500" t="s">
        <v>799</v>
      </c>
      <c r="M12" s="3500" t="s">
        <v>799</v>
      </c>
      <c r="N12" s="3507" t="s">
        <v>799</v>
      </c>
      <c r="O12" s="3500" t="s">
        <v>799</v>
      </c>
      <c r="P12" s="3500" t="s">
        <v>799</v>
      </c>
      <c r="Q12" s="3500" t="s">
        <v>799</v>
      </c>
      <c r="R12" s="3507" t="s">
        <v>799</v>
      </c>
      <c r="S12" s="660"/>
      <c r="T12" s="660"/>
      <c r="U12" s="660"/>
      <c r="V12" s="660"/>
      <c r="W12" s="660"/>
      <c r="X12" s="660"/>
      <c r="Y12" s="660"/>
      <c r="Z12" s="660"/>
      <c r="AA12" s="660"/>
      <c r="AB12" s="660"/>
      <c r="AC12" s="660"/>
      <c r="AD12" s="660"/>
      <c r="AE12" s="660"/>
      <c r="AF12" s="660"/>
      <c r="AG12" s="660"/>
      <c r="AH12" s="660"/>
    </row>
    <row r="13" spans="1:34" x14ac:dyDescent="0.2">
      <c r="A13" s="748" t="s">
        <v>1442</v>
      </c>
      <c r="B13" s="3497" t="s">
        <v>986</v>
      </c>
      <c r="C13" s="3507">
        <v>51.551045833030003</v>
      </c>
      <c r="D13" s="3507">
        <v>51.551045833030003</v>
      </c>
      <c r="E13" s="3507" t="s">
        <v>259</v>
      </c>
      <c r="F13" s="3507">
        <v>0.10961901759089999</v>
      </c>
      <c r="G13" s="3507">
        <v>-0.33687527608359003</v>
      </c>
      <c r="H13" s="3507">
        <v>-0.22725625849270001</v>
      </c>
      <c r="I13" s="3507">
        <v>-6.6308979958850003E-2</v>
      </c>
      <c r="J13" s="3507">
        <v>-0.89457138875467002</v>
      </c>
      <c r="K13" s="3507" t="s">
        <v>1006</v>
      </c>
      <c r="L13" s="3507">
        <v>5.6509749999999999</v>
      </c>
      <c r="M13" s="3507">
        <v>-17.366272797400001</v>
      </c>
      <c r="N13" s="3507">
        <v>-11.7152977974</v>
      </c>
      <c r="O13" s="3507">
        <v>-3.4182972650000001</v>
      </c>
      <c r="P13" s="3507">
        <v>-46.116090662609189</v>
      </c>
      <c r="Q13" s="3507" t="s">
        <v>1006</v>
      </c>
      <c r="R13" s="3507">
        <v>224.58218099170057</v>
      </c>
      <c r="S13" s="660"/>
      <c r="T13" s="660"/>
      <c r="U13" s="660"/>
      <c r="V13" s="660"/>
      <c r="W13" s="660"/>
      <c r="X13" s="660"/>
      <c r="Y13" s="660"/>
      <c r="Z13" s="660"/>
      <c r="AA13" s="660"/>
      <c r="AB13" s="660"/>
      <c r="AC13" s="660"/>
      <c r="AD13" s="660"/>
      <c r="AE13" s="660"/>
      <c r="AF13" s="660"/>
      <c r="AG13" s="660"/>
      <c r="AH13" s="660"/>
    </row>
    <row r="14" spans="1:34" ht="24" x14ac:dyDescent="0.2">
      <c r="A14" s="3574" t="s">
        <v>1441</v>
      </c>
      <c r="B14" s="3497"/>
      <c r="C14" s="3507">
        <v>2.0162041667000001</v>
      </c>
      <c r="D14" s="3507">
        <v>2.0162041667000001</v>
      </c>
      <c r="E14" s="3507" t="s">
        <v>259</v>
      </c>
      <c r="F14" s="3507">
        <v>0.21973221130928999</v>
      </c>
      <c r="G14" s="3507">
        <v>-1.80260813831598</v>
      </c>
      <c r="H14" s="3507">
        <v>-1.5828759270066799</v>
      </c>
      <c r="I14" s="3507">
        <v>-1.69541226104837</v>
      </c>
      <c r="J14" s="3507">
        <v>-1.4797148665172399</v>
      </c>
      <c r="K14" s="3507" t="s">
        <v>799</v>
      </c>
      <c r="L14" s="3507">
        <v>0.443025</v>
      </c>
      <c r="M14" s="3507">
        <v>-3.6344260394000001</v>
      </c>
      <c r="N14" s="3507">
        <v>-3.1914010394000001</v>
      </c>
      <c r="O14" s="3507">
        <v>-3.4182972650000001</v>
      </c>
      <c r="P14" s="3507">
        <v>-2.9834072794000002</v>
      </c>
      <c r="Q14" s="3507" t="s">
        <v>799</v>
      </c>
      <c r="R14" s="3507">
        <v>35.17472047393337</v>
      </c>
      <c r="S14" s="660"/>
      <c r="T14" s="660"/>
      <c r="U14" s="660"/>
      <c r="V14" s="660"/>
      <c r="W14" s="660"/>
      <c r="X14" s="660"/>
      <c r="Y14" s="660"/>
      <c r="Z14" s="660"/>
      <c r="AA14" s="660"/>
      <c r="AB14" s="660"/>
      <c r="AC14" s="660"/>
      <c r="AD14" s="660"/>
      <c r="AE14" s="660"/>
      <c r="AF14" s="660"/>
      <c r="AG14" s="660"/>
      <c r="AH14" s="660"/>
    </row>
    <row r="15" spans="1:34" x14ac:dyDescent="0.2">
      <c r="A15" s="3548" t="s">
        <v>1319</v>
      </c>
      <c r="B15" s="3500" t="s">
        <v>1319</v>
      </c>
      <c r="C15" s="3507">
        <v>2.0162041667000001</v>
      </c>
      <c r="D15" s="3500">
        <v>2.0162041667000001</v>
      </c>
      <c r="E15" s="3500" t="s">
        <v>259</v>
      </c>
      <c r="F15" s="3507">
        <v>0.21973221130928999</v>
      </c>
      <c r="G15" s="3507">
        <v>-1.80260813831598</v>
      </c>
      <c r="H15" s="3507">
        <v>-1.5828759270066799</v>
      </c>
      <c r="I15" s="3507">
        <v>-1.69541226104837</v>
      </c>
      <c r="J15" s="3507">
        <v>-1.4797148665172399</v>
      </c>
      <c r="K15" s="3507" t="s">
        <v>799</v>
      </c>
      <c r="L15" s="3500">
        <v>0.443025</v>
      </c>
      <c r="M15" s="3500">
        <v>-3.6344260394000001</v>
      </c>
      <c r="N15" s="3507">
        <v>-3.1914010394000001</v>
      </c>
      <c r="O15" s="3500">
        <v>-3.4182972650000001</v>
      </c>
      <c r="P15" s="3500">
        <v>-2.9834072794000002</v>
      </c>
      <c r="Q15" s="3500" t="s">
        <v>799</v>
      </c>
      <c r="R15" s="3507">
        <v>35.17472047393337</v>
      </c>
      <c r="S15" s="660"/>
      <c r="T15" s="660"/>
      <c r="U15" s="660"/>
      <c r="V15" s="660"/>
      <c r="W15" s="660"/>
      <c r="X15" s="660"/>
      <c r="Y15" s="660"/>
      <c r="Z15" s="660"/>
      <c r="AA15" s="660"/>
      <c r="AB15" s="660"/>
      <c r="AC15" s="660"/>
      <c r="AD15" s="660"/>
      <c r="AE15" s="660"/>
      <c r="AF15" s="660"/>
      <c r="AG15" s="660"/>
      <c r="AH15" s="660"/>
    </row>
    <row r="16" spans="1:34" ht="24" x14ac:dyDescent="0.2">
      <c r="A16" s="3574" t="s">
        <v>1440</v>
      </c>
      <c r="B16" s="3497"/>
      <c r="C16" s="3507">
        <v>44.699589582999998</v>
      </c>
      <c r="D16" s="3507">
        <v>44.699589582999998</v>
      </c>
      <c r="E16" s="3507" t="s">
        <v>259</v>
      </c>
      <c r="F16" s="3507">
        <v>0.10742939800562</v>
      </c>
      <c r="G16" s="3507">
        <v>-0.28994235470405999</v>
      </c>
      <c r="H16" s="3507">
        <v>-0.18251295669844</v>
      </c>
      <c r="I16" s="3507" t="s">
        <v>259</v>
      </c>
      <c r="J16" s="3507">
        <v>-0.80520512773764996</v>
      </c>
      <c r="K16" s="3507" t="s">
        <v>799</v>
      </c>
      <c r="L16" s="3507">
        <v>4.8020500000000004</v>
      </c>
      <c r="M16" s="3507">
        <v>-12.960304258000001</v>
      </c>
      <c r="N16" s="3507">
        <v>-8.1582542579999995</v>
      </c>
      <c r="O16" s="3507" t="s">
        <v>259</v>
      </c>
      <c r="P16" s="3507">
        <v>-35.992338740000001</v>
      </c>
      <c r="Q16" s="3507" t="s">
        <v>799</v>
      </c>
      <c r="R16" s="3507">
        <v>161.88550765933348</v>
      </c>
      <c r="S16" s="660"/>
      <c r="T16" s="660"/>
      <c r="U16" s="660"/>
      <c r="V16" s="660"/>
      <c r="W16" s="660"/>
      <c r="X16" s="660"/>
      <c r="Y16" s="660"/>
      <c r="Z16" s="660"/>
      <c r="AA16" s="660"/>
      <c r="AB16" s="660"/>
      <c r="AC16" s="660"/>
      <c r="AD16" s="660"/>
      <c r="AE16" s="660"/>
      <c r="AF16" s="660"/>
      <c r="AG16" s="660"/>
      <c r="AH16" s="660"/>
    </row>
    <row r="17" spans="1:34" x14ac:dyDescent="0.2">
      <c r="A17" s="3548" t="s">
        <v>1319</v>
      </c>
      <c r="B17" s="3500" t="s">
        <v>1319</v>
      </c>
      <c r="C17" s="3507">
        <v>44.699589582999998</v>
      </c>
      <c r="D17" s="3500">
        <v>44.699589582999998</v>
      </c>
      <c r="E17" s="3500" t="s">
        <v>259</v>
      </c>
      <c r="F17" s="3507">
        <v>0.10742939800562</v>
      </c>
      <c r="G17" s="3507">
        <v>-0.28994235470405999</v>
      </c>
      <c r="H17" s="3507">
        <v>-0.18251295669844</v>
      </c>
      <c r="I17" s="3507" t="s">
        <v>259</v>
      </c>
      <c r="J17" s="3507">
        <v>-0.80520512773764996</v>
      </c>
      <c r="K17" s="3507" t="s">
        <v>799</v>
      </c>
      <c r="L17" s="3500">
        <v>4.8020500000000004</v>
      </c>
      <c r="M17" s="3500">
        <v>-12.960304258000001</v>
      </c>
      <c r="N17" s="3507">
        <v>-8.1582542579999995</v>
      </c>
      <c r="O17" s="3500" t="s">
        <v>259</v>
      </c>
      <c r="P17" s="3500">
        <v>-35.992338740000001</v>
      </c>
      <c r="Q17" s="3500" t="s">
        <v>799</v>
      </c>
      <c r="R17" s="3507">
        <v>161.88550765933348</v>
      </c>
      <c r="S17" s="660"/>
      <c r="T17" s="660"/>
      <c r="U17" s="660"/>
      <c r="V17" s="660"/>
      <c r="W17" s="660"/>
      <c r="X17" s="660"/>
      <c r="Y17" s="660"/>
      <c r="Z17" s="660"/>
      <c r="AA17" s="660"/>
      <c r="AB17" s="660"/>
      <c r="AC17" s="660"/>
      <c r="AD17" s="660"/>
      <c r="AE17" s="660"/>
      <c r="AF17" s="660"/>
      <c r="AG17" s="660"/>
      <c r="AH17" s="660"/>
    </row>
    <row r="18" spans="1:34" ht="24" x14ac:dyDescent="0.2">
      <c r="A18" s="3574" t="s">
        <v>1439</v>
      </c>
      <c r="B18" s="3497"/>
      <c r="C18" s="3507">
        <v>4.7210437499999998</v>
      </c>
      <c r="D18" s="3507">
        <v>4.7210437499999998</v>
      </c>
      <c r="E18" s="3507" t="s">
        <v>259</v>
      </c>
      <c r="F18" s="3507">
        <v>8.5918500543439996E-2</v>
      </c>
      <c r="G18" s="3507">
        <v>-0.16324515103254</v>
      </c>
      <c r="H18" s="3507">
        <v>-7.7326650489099993E-2</v>
      </c>
      <c r="I18" s="3507" t="s">
        <v>799</v>
      </c>
      <c r="J18" s="3507">
        <v>-1.5125128224028801</v>
      </c>
      <c r="K18" s="3507" t="s">
        <v>259</v>
      </c>
      <c r="L18" s="3507">
        <v>0.40562500000000001</v>
      </c>
      <c r="M18" s="3507">
        <v>-0.77068749999999997</v>
      </c>
      <c r="N18" s="3507">
        <v>-0.36506250000000001</v>
      </c>
      <c r="O18" s="3507" t="s">
        <v>799</v>
      </c>
      <c r="P18" s="3507">
        <v>-7.1406392070000004</v>
      </c>
      <c r="Q18" s="3507" t="s">
        <v>259</v>
      </c>
      <c r="R18" s="3507">
        <v>27.520906259000029</v>
      </c>
      <c r="S18" s="660"/>
      <c r="T18" s="660"/>
      <c r="U18" s="660"/>
      <c r="V18" s="660"/>
      <c r="W18" s="660"/>
      <c r="X18" s="660"/>
      <c r="Y18" s="660"/>
      <c r="Z18" s="660"/>
      <c r="AA18" s="660"/>
      <c r="AB18" s="660"/>
      <c r="AC18" s="660"/>
      <c r="AD18" s="660"/>
      <c r="AE18" s="660"/>
      <c r="AF18" s="660"/>
      <c r="AG18" s="660"/>
      <c r="AH18" s="660"/>
    </row>
    <row r="19" spans="1:34" x14ac:dyDescent="0.2">
      <c r="A19" s="3548" t="s">
        <v>1319</v>
      </c>
      <c r="B19" s="3500" t="s">
        <v>1319</v>
      </c>
      <c r="C19" s="3507">
        <v>4.7210437499999998</v>
      </c>
      <c r="D19" s="3500">
        <v>4.7210437499999998</v>
      </c>
      <c r="E19" s="3500" t="s">
        <v>259</v>
      </c>
      <c r="F19" s="3507">
        <v>8.5918500543439996E-2</v>
      </c>
      <c r="G19" s="3507">
        <v>-0.16324515103254</v>
      </c>
      <c r="H19" s="3507">
        <v>-7.7326650489099993E-2</v>
      </c>
      <c r="I19" s="3507" t="s">
        <v>799</v>
      </c>
      <c r="J19" s="3507">
        <v>-1.5125128224028801</v>
      </c>
      <c r="K19" s="3507" t="s">
        <v>259</v>
      </c>
      <c r="L19" s="3500">
        <v>0.40562500000000001</v>
      </c>
      <c r="M19" s="3500">
        <v>-0.77068749999999997</v>
      </c>
      <c r="N19" s="3507">
        <v>-0.36506250000000001</v>
      </c>
      <c r="O19" s="3500" t="s">
        <v>799</v>
      </c>
      <c r="P19" s="3500">
        <v>-7.1406392070000004</v>
      </c>
      <c r="Q19" s="3500" t="s">
        <v>259</v>
      </c>
      <c r="R19" s="3507">
        <v>27.520906259000029</v>
      </c>
      <c r="S19" s="660"/>
      <c r="T19" s="660"/>
      <c r="U19" s="660"/>
      <c r="V19" s="660"/>
      <c r="W19" s="660"/>
      <c r="X19" s="660"/>
      <c r="Y19" s="660"/>
      <c r="Z19" s="660"/>
      <c r="AA19" s="660"/>
      <c r="AB19" s="660"/>
      <c r="AC19" s="660"/>
      <c r="AD19" s="660"/>
      <c r="AE19" s="660"/>
      <c r="AF19" s="660"/>
      <c r="AG19" s="660"/>
      <c r="AH19" s="660"/>
    </row>
    <row r="20" spans="1:34" ht="24" x14ac:dyDescent="0.2">
      <c r="A20" s="3574" t="s">
        <v>1438</v>
      </c>
      <c r="B20" s="3497"/>
      <c r="C20" s="3507">
        <v>0.11420833332999999</v>
      </c>
      <c r="D20" s="3507">
        <v>0.11420833332999999</v>
      </c>
      <c r="E20" s="3507" t="s">
        <v>259</v>
      </c>
      <c r="F20" s="3507">
        <v>2.40788033571E-3</v>
      </c>
      <c r="G20" s="3507">
        <v>-7.4863188619499997E-3</v>
      </c>
      <c r="H20" s="3507">
        <v>-5.0784385262299999E-3</v>
      </c>
      <c r="I20" s="3507" t="s">
        <v>799</v>
      </c>
      <c r="J20" s="3507">
        <v>2.5791794891099999E-3</v>
      </c>
      <c r="K20" s="3507" t="s">
        <v>799</v>
      </c>
      <c r="L20" s="3507">
        <v>2.7500000000000002E-4</v>
      </c>
      <c r="M20" s="3507">
        <v>-8.5499999999999997E-4</v>
      </c>
      <c r="N20" s="3507">
        <v>-5.8E-4</v>
      </c>
      <c r="O20" s="3507" t="s">
        <v>799</v>
      </c>
      <c r="P20" s="3507">
        <v>2.9456379081000002E-4</v>
      </c>
      <c r="Q20" s="3507" t="s">
        <v>799</v>
      </c>
      <c r="R20" s="3507">
        <v>1.0465994337E-3</v>
      </c>
      <c r="S20" s="660"/>
      <c r="T20" s="660"/>
      <c r="U20" s="660"/>
      <c r="V20" s="660"/>
      <c r="W20" s="660"/>
      <c r="X20" s="660"/>
      <c r="Y20" s="660"/>
      <c r="Z20" s="660"/>
      <c r="AA20" s="660"/>
      <c r="AB20" s="660"/>
      <c r="AC20" s="660"/>
      <c r="AD20" s="660"/>
      <c r="AE20" s="660"/>
      <c r="AF20" s="660"/>
      <c r="AG20" s="660"/>
      <c r="AH20" s="660"/>
    </row>
    <row r="21" spans="1:34" x14ac:dyDescent="0.2">
      <c r="A21" s="3548" t="s">
        <v>1319</v>
      </c>
      <c r="B21" s="3500" t="s">
        <v>1319</v>
      </c>
      <c r="C21" s="3507">
        <v>0.11420833332999999</v>
      </c>
      <c r="D21" s="3500">
        <v>0.11420833332999999</v>
      </c>
      <c r="E21" s="3500" t="s">
        <v>259</v>
      </c>
      <c r="F21" s="3507">
        <v>2.40788033571E-3</v>
      </c>
      <c r="G21" s="3507">
        <v>-7.4863188619499997E-3</v>
      </c>
      <c r="H21" s="3507">
        <v>-5.0784385262299999E-3</v>
      </c>
      <c r="I21" s="3507" t="s">
        <v>799</v>
      </c>
      <c r="J21" s="3507">
        <v>2.5791794891099999E-3</v>
      </c>
      <c r="K21" s="3507" t="s">
        <v>799</v>
      </c>
      <c r="L21" s="3500">
        <v>2.7500000000000002E-4</v>
      </c>
      <c r="M21" s="3500">
        <v>-8.5499999999999997E-4</v>
      </c>
      <c r="N21" s="3507">
        <v>-5.8E-4</v>
      </c>
      <c r="O21" s="3500" t="s">
        <v>799</v>
      </c>
      <c r="P21" s="3500">
        <v>2.9456379081000002E-4</v>
      </c>
      <c r="Q21" s="3500" t="s">
        <v>799</v>
      </c>
      <c r="R21" s="3507">
        <v>1.0465994337E-3</v>
      </c>
      <c r="S21" s="660"/>
      <c r="T21" s="660"/>
      <c r="U21" s="660"/>
      <c r="V21" s="660"/>
      <c r="W21" s="660"/>
      <c r="X21" s="660"/>
      <c r="Y21" s="660"/>
      <c r="Z21" s="660"/>
      <c r="AA21" s="660"/>
      <c r="AB21" s="660"/>
      <c r="AC21" s="660"/>
      <c r="AD21" s="660"/>
      <c r="AE21" s="660"/>
      <c r="AF21" s="660"/>
      <c r="AG21" s="660"/>
      <c r="AH21" s="660"/>
    </row>
    <row r="22" spans="1:34" ht="24" x14ac:dyDescent="0.2">
      <c r="A22" s="3574" t="s">
        <v>1437</v>
      </c>
      <c r="B22" s="3497"/>
      <c r="C22" s="3507" t="s">
        <v>259</v>
      </c>
      <c r="D22" s="3507" t="s">
        <v>259</v>
      </c>
      <c r="E22" s="3507" t="s">
        <v>259</v>
      </c>
      <c r="F22" s="3507" t="s">
        <v>799</v>
      </c>
      <c r="G22" s="3507" t="s">
        <v>799</v>
      </c>
      <c r="H22" s="3507" t="s">
        <v>799</v>
      </c>
      <c r="I22" s="3507" t="s">
        <v>799</v>
      </c>
      <c r="J22" s="3507" t="s">
        <v>799</v>
      </c>
      <c r="K22" s="3507" t="s">
        <v>799</v>
      </c>
      <c r="L22" s="3507" t="s">
        <v>799</v>
      </c>
      <c r="M22" s="3507" t="s">
        <v>799</v>
      </c>
      <c r="N22" s="3507" t="s">
        <v>799</v>
      </c>
      <c r="O22" s="3507" t="s">
        <v>799</v>
      </c>
      <c r="P22" s="3507" t="s">
        <v>799</v>
      </c>
      <c r="Q22" s="3507" t="s">
        <v>799</v>
      </c>
      <c r="R22" s="3507" t="s">
        <v>799</v>
      </c>
      <c r="S22" s="660"/>
      <c r="T22" s="660"/>
      <c r="U22" s="660"/>
      <c r="V22" s="660"/>
      <c r="W22" s="660"/>
      <c r="X22" s="660"/>
      <c r="Y22" s="660"/>
      <c r="Z22" s="660"/>
      <c r="AA22" s="660"/>
      <c r="AB22" s="660"/>
      <c r="AC22" s="660"/>
      <c r="AD22" s="660"/>
      <c r="AE22" s="660"/>
      <c r="AF22" s="660"/>
      <c r="AG22" s="660"/>
      <c r="AH22" s="660"/>
    </row>
    <row r="23" spans="1:34" x14ac:dyDescent="0.2">
      <c r="A23" s="3548" t="s">
        <v>1319</v>
      </c>
      <c r="B23" s="3500" t="s">
        <v>1319</v>
      </c>
      <c r="C23" s="3507" t="s">
        <v>259</v>
      </c>
      <c r="D23" s="3500" t="s">
        <v>259</v>
      </c>
      <c r="E23" s="3500" t="s">
        <v>259</v>
      </c>
      <c r="F23" s="3507" t="s">
        <v>799</v>
      </c>
      <c r="G23" s="3507" t="s">
        <v>799</v>
      </c>
      <c r="H23" s="3507" t="s">
        <v>799</v>
      </c>
      <c r="I23" s="3507" t="s">
        <v>799</v>
      </c>
      <c r="J23" s="3507" t="s">
        <v>799</v>
      </c>
      <c r="K23" s="3507" t="s">
        <v>799</v>
      </c>
      <c r="L23" s="3500" t="s">
        <v>799</v>
      </c>
      <c r="M23" s="3500" t="s">
        <v>799</v>
      </c>
      <c r="N23" s="3507" t="s">
        <v>799</v>
      </c>
      <c r="O23" s="3500" t="s">
        <v>799</v>
      </c>
      <c r="P23" s="3500" t="s">
        <v>799</v>
      </c>
      <c r="Q23" s="3500" t="s">
        <v>799</v>
      </c>
      <c r="R23" s="3507" t="s">
        <v>799</v>
      </c>
      <c r="S23" s="660"/>
      <c r="T23" s="660"/>
      <c r="U23" s="660"/>
      <c r="V23" s="660"/>
      <c r="W23" s="660"/>
      <c r="X23" s="660"/>
      <c r="Y23" s="660"/>
      <c r="Z23" s="660"/>
      <c r="AA23" s="660"/>
      <c r="AB23" s="660"/>
      <c r="AC23" s="660"/>
      <c r="AD23" s="660"/>
      <c r="AE23" s="660"/>
      <c r="AF23" s="660"/>
      <c r="AG23" s="660"/>
      <c r="AH23" s="660"/>
    </row>
    <row r="24" spans="1:34" ht="15.75" customHeight="1" x14ac:dyDescent="0.2">
      <c r="A24" s="747" t="s">
        <v>564</v>
      </c>
      <c r="B24" s="3315"/>
      <c r="C24" s="3315"/>
      <c r="D24" s="3315"/>
      <c r="E24" s="3315"/>
      <c r="F24" s="3315"/>
      <c r="G24" s="3315"/>
      <c r="H24" s="3315"/>
      <c r="I24" s="3315"/>
      <c r="J24" s="3315"/>
      <c r="K24" s="3315"/>
      <c r="L24" s="3315"/>
      <c r="M24" s="3315"/>
      <c r="N24" s="3315"/>
      <c r="O24" s="3315"/>
      <c r="P24" s="3315"/>
      <c r="Q24" s="3315"/>
      <c r="R24" s="3315"/>
      <c r="S24" s="660"/>
      <c r="T24" s="660"/>
      <c r="U24" s="660"/>
      <c r="V24" s="660"/>
      <c r="W24" s="660"/>
      <c r="X24" s="660"/>
      <c r="Y24" s="660"/>
      <c r="Z24" s="660"/>
      <c r="AA24" s="660"/>
      <c r="AB24" s="660"/>
      <c r="AC24" s="660"/>
      <c r="AD24" s="660"/>
      <c r="AE24" s="660"/>
      <c r="AF24" s="660"/>
      <c r="AG24" s="660"/>
      <c r="AH24" s="660"/>
    </row>
    <row r="25" spans="1:34" ht="39.75" customHeight="1" x14ac:dyDescent="0.25">
      <c r="A25" s="5554" t="s">
        <v>1436</v>
      </c>
      <c r="B25" s="5554"/>
      <c r="C25" s="5554"/>
      <c r="D25" s="5554"/>
      <c r="E25" s="5554"/>
      <c r="F25" s="5554"/>
      <c r="G25" s="5554"/>
      <c r="H25" s="5554"/>
      <c r="I25" s="5554"/>
      <c r="J25" s="5554"/>
      <c r="K25" s="5554"/>
      <c r="L25" s="5554"/>
      <c r="M25" s="5554"/>
      <c r="N25" s="5554"/>
      <c r="O25" s="5579"/>
      <c r="P25" s="5579"/>
      <c r="Q25" s="5579"/>
      <c r="R25" s="5579"/>
      <c r="S25" s="660"/>
      <c r="T25" s="660"/>
      <c r="U25" s="660"/>
      <c r="V25" s="660"/>
      <c r="W25" s="660"/>
      <c r="X25" s="660"/>
      <c r="Y25" s="660"/>
      <c r="Z25" s="660"/>
      <c r="AA25" s="660"/>
      <c r="AB25" s="660"/>
      <c r="AC25" s="660"/>
      <c r="AD25" s="660"/>
      <c r="AE25" s="660"/>
      <c r="AF25" s="660"/>
      <c r="AG25" s="660"/>
      <c r="AH25" s="660"/>
    </row>
    <row r="26" spans="1:34" ht="24" customHeight="1" x14ac:dyDescent="0.2">
      <c r="A26" s="5554" t="s">
        <v>1435</v>
      </c>
      <c r="B26" s="5554"/>
      <c r="C26" s="5554"/>
      <c r="D26" s="5554"/>
      <c r="E26" s="5554"/>
      <c r="F26" s="5554"/>
      <c r="G26" s="5554"/>
      <c r="H26" s="5554"/>
      <c r="I26" s="5554"/>
      <c r="J26" s="5554"/>
      <c r="K26" s="5554"/>
      <c r="L26" s="5554"/>
      <c r="M26" s="5554"/>
      <c r="N26" s="5554"/>
      <c r="O26" s="5554"/>
      <c r="P26" s="5554"/>
      <c r="Q26" s="5554"/>
      <c r="R26" s="5554"/>
      <c r="S26" s="660"/>
      <c r="T26" s="660"/>
      <c r="U26" s="660"/>
      <c r="V26" s="660"/>
      <c r="W26" s="660"/>
      <c r="X26" s="660"/>
      <c r="Y26" s="660"/>
      <c r="Z26" s="660"/>
      <c r="AA26" s="660"/>
      <c r="AB26" s="660"/>
      <c r="AC26" s="660"/>
      <c r="AD26" s="660"/>
      <c r="AE26" s="660"/>
      <c r="AF26" s="660"/>
      <c r="AG26" s="660"/>
      <c r="AH26" s="660"/>
    </row>
    <row r="27" spans="1:34" ht="15" x14ac:dyDescent="0.2">
      <c r="A27" s="5577" t="s">
        <v>1316</v>
      </c>
      <c r="B27" s="5578"/>
      <c r="C27" s="5578"/>
      <c r="D27" s="5578"/>
      <c r="E27" s="5578"/>
      <c r="F27" s="5578"/>
      <c r="G27" s="5578"/>
      <c r="H27" s="5578"/>
      <c r="I27" s="5578"/>
      <c r="J27" s="5578"/>
      <c r="K27" s="5578"/>
      <c r="L27" s="746"/>
      <c r="M27" s="746"/>
      <c r="N27" s="746"/>
      <c r="O27" s="3315"/>
      <c r="P27" s="3315"/>
      <c r="Q27" s="3315"/>
      <c r="R27" s="3315"/>
      <c r="S27" s="660"/>
      <c r="T27" s="660"/>
      <c r="U27" s="5558"/>
      <c r="V27" s="5558"/>
      <c r="W27" s="5558"/>
      <c r="X27" s="5558"/>
      <c r="Y27" s="5558"/>
      <c r="Z27" s="5558"/>
      <c r="AA27" s="5558"/>
      <c r="AB27" s="5558"/>
      <c r="AC27" s="5558"/>
      <c r="AD27" s="5558"/>
      <c r="AE27" s="5558"/>
      <c r="AF27" s="5558"/>
      <c r="AG27" s="5558"/>
      <c r="AH27" s="5558"/>
    </row>
    <row r="28" spans="1:34" ht="13.5" x14ac:dyDescent="0.2">
      <c r="A28" s="5554" t="s">
        <v>1434</v>
      </c>
      <c r="B28" s="5554"/>
      <c r="C28" s="5554"/>
      <c r="D28" s="5554"/>
      <c r="E28" s="5554"/>
      <c r="F28" s="5554"/>
      <c r="G28" s="5554"/>
      <c r="H28" s="5554"/>
      <c r="I28" s="5554"/>
      <c r="J28" s="3312"/>
      <c r="K28" s="3315"/>
      <c r="L28" s="3315"/>
      <c r="M28" s="3315"/>
      <c r="N28" s="3315"/>
      <c r="O28" s="3315"/>
      <c r="P28" s="3315"/>
      <c r="Q28" s="3315"/>
      <c r="R28" s="3315"/>
      <c r="S28" s="660"/>
      <c r="T28" s="660"/>
      <c r="U28" s="660"/>
      <c r="V28" s="660"/>
      <c r="W28" s="660"/>
      <c r="X28" s="660"/>
      <c r="Y28" s="660"/>
      <c r="Z28" s="660"/>
      <c r="AA28" s="660"/>
      <c r="AB28" s="660"/>
      <c r="AC28" s="660"/>
      <c r="AD28" s="660"/>
      <c r="AE28" s="660"/>
      <c r="AF28" s="660"/>
      <c r="AG28" s="660"/>
      <c r="AH28" s="660"/>
    </row>
    <row r="29" spans="1:34" ht="13.5" customHeight="1" x14ac:dyDescent="0.2">
      <c r="A29" s="5554" t="s">
        <v>1433</v>
      </c>
      <c r="B29" s="5554"/>
      <c r="C29" s="5554"/>
      <c r="D29" s="5554"/>
      <c r="E29" s="5554"/>
      <c r="F29" s="5554"/>
      <c r="G29" s="5554"/>
      <c r="H29" s="5554"/>
      <c r="I29" s="5554"/>
      <c r="J29" s="5554"/>
      <c r="K29" s="5554"/>
      <c r="L29" s="5554"/>
      <c r="M29" s="5554"/>
      <c r="N29" s="5554"/>
      <c r="O29" s="5554"/>
      <c r="P29" s="5554"/>
      <c r="Q29" s="5554"/>
      <c r="R29" s="5554"/>
      <c r="S29" s="660"/>
      <c r="T29" s="660"/>
      <c r="U29" s="660"/>
      <c r="V29" s="660"/>
      <c r="W29" s="660"/>
      <c r="X29" s="660"/>
      <c r="Y29" s="660"/>
      <c r="Z29" s="660"/>
      <c r="AA29" s="660"/>
      <c r="AB29" s="660"/>
      <c r="AC29" s="660"/>
      <c r="AD29" s="660"/>
      <c r="AE29" s="660"/>
      <c r="AF29" s="660"/>
      <c r="AG29" s="660"/>
      <c r="AH29" s="660"/>
    </row>
    <row r="30" spans="1:34" x14ac:dyDescent="0.2">
      <c r="A30" s="745"/>
      <c r="B30" s="660"/>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row>
    <row r="31" spans="1:34" x14ac:dyDescent="0.2">
      <c r="A31" s="3572" t="s">
        <v>982</v>
      </c>
      <c r="B31" s="3570"/>
      <c r="C31" s="3570"/>
      <c r="D31" s="3570"/>
      <c r="E31" s="3570"/>
      <c r="F31" s="3570"/>
      <c r="G31" s="3570"/>
      <c r="H31" s="3570"/>
      <c r="I31" s="3570"/>
      <c r="J31" s="3570"/>
      <c r="K31" s="3570"/>
      <c r="L31" s="3570"/>
      <c r="M31" s="3570"/>
      <c r="N31" s="3570"/>
      <c r="O31" s="3570"/>
      <c r="P31" s="3570"/>
      <c r="Q31" s="3570"/>
      <c r="R31" s="3569"/>
      <c r="S31" s="660"/>
      <c r="T31" s="660"/>
      <c r="U31" s="660"/>
      <c r="V31" s="660"/>
      <c r="W31" s="660"/>
      <c r="X31" s="660"/>
      <c r="Y31" s="660"/>
      <c r="Z31" s="660"/>
      <c r="AA31" s="660"/>
      <c r="AB31" s="660"/>
      <c r="AC31" s="660"/>
      <c r="AD31" s="660"/>
      <c r="AE31" s="660"/>
      <c r="AF31" s="660"/>
      <c r="AG31" s="660"/>
      <c r="AH31" s="660"/>
    </row>
    <row r="32" spans="1:34" ht="30.75" customHeight="1" x14ac:dyDescent="0.2">
      <c r="A32" s="5755" t="s">
        <v>1310</v>
      </c>
      <c r="B32" s="5746"/>
      <c r="C32" s="5746"/>
      <c r="D32" s="5746"/>
      <c r="E32" s="5746"/>
      <c r="F32" s="5746"/>
      <c r="G32" s="5746"/>
      <c r="H32" s="5746"/>
      <c r="I32" s="5746"/>
      <c r="J32" s="5746"/>
      <c r="K32" s="5746"/>
      <c r="L32" s="5746"/>
      <c r="M32" s="5746"/>
      <c r="N32" s="5746"/>
      <c r="O32" s="5746"/>
      <c r="P32" s="5746"/>
      <c r="Q32" s="5746"/>
      <c r="R32" s="5747"/>
      <c r="S32" s="660"/>
      <c r="T32" s="660"/>
      <c r="U32" s="660"/>
      <c r="V32" s="660"/>
      <c r="W32" s="660"/>
      <c r="X32" s="660"/>
      <c r="Y32" s="660"/>
      <c r="Z32" s="660"/>
      <c r="AA32" s="660"/>
      <c r="AB32" s="660"/>
      <c r="AC32" s="660"/>
      <c r="AD32" s="660"/>
      <c r="AE32" s="660"/>
      <c r="AF32" s="660"/>
      <c r="AG32" s="660"/>
      <c r="AH32" s="660"/>
    </row>
    <row r="33" spans="1:34" ht="12" customHeight="1" x14ac:dyDescent="0.2">
      <c r="A33" s="3568" t="s">
        <v>980</v>
      </c>
      <c r="B33" s="5696" t="s">
        <v>986</v>
      </c>
      <c r="C33" s="5735"/>
      <c r="D33" s="5735"/>
      <c r="E33" s="5735"/>
      <c r="F33" s="5735"/>
      <c r="G33" s="5735"/>
      <c r="H33" s="5735"/>
      <c r="I33" s="5735"/>
      <c r="J33" s="5735"/>
      <c r="K33" s="5735"/>
      <c r="L33" s="5735"/>
      <c r="M33" s="5735"/>
      <c r="N33" s="5735"/>
      <c r="O33" s="5735"/>
      <c r="P33" s="5735"/>
      <c r="Q33" s="5735"/>
      <c r="R33" s="5735"/>
      <c r="S33" s="660"/>
      <c r="T33" s="660"/>
      <c r="U33" s="660"/>
      <c r="V33" s="660"/>
      <c r="W33" s="660"/>
      <c r="X33" s="660"/>
      <c r="Y33" s="660"/>
      <c r="Z33" s="660"/>
      <c r="AA33" s="660"/>
      <c r="AB33" s="660"/>
      <c r="AC33" s="660"/>
      <c r="AD33" s="660"/>
      <c r="AE33" s="660"/>
      <c r="AF33" s="660"/>
      <c r="AG33" s="660"/>
      <c r="AH33" s="660"/>
    </row>
    <row r="34" spans="1:34" ht="12" customHeight="1" x14ac:dyDescent="0.2">
      <c r="A34" s="3568" t="s">
        <v>980</v>
      </c>
      <c r="B34" s="5696" t="s">
        <v>986</v>
      </c>
      <c r="C34" s="5735"/>
      <c r="D34" s="5735"/>
      <c r="E34" s="5735"/>
      <c r="F34" s="5735"/>
      <c r="G34" s="5735"/>
      <c r="H34" s="5735"/>
      <c r="I34" s="5735"/>
      <c r="J34" s="5735"/>
      <c r="K34" s="5735"/>
      <c r="L34" s="5735"/>
      <c r="M34" s="5735"/>
      <c r="N34" s="5735"/>
      <c r="O34" s="5735"/>
      <c r="P34" s="5735"/>
      <c r="Q34" s="5735"/>
      <c r="R34" s="5735"/>
    </row>
  </sheetData>
  <sheetProtection password="A754" sheet="1" objects="1" scenarios="1"/>
  <mergeCells count="27">
    <mergeCell ref="B33:R33"/>
    <mergeCell ref="B34:R34"/>
    <mergeCell ref="U27:AH27"/>
    <mergeCell ref="A28:I28"/>
    <mergeCell ref="A29:R29"/>
    <mergeCell ref="A32:R32"/>
    <mergeCell ref="F9:K9"/>
    <mergeCell ref="C5:E5"/>
    <mergeCell ref="A26:R26"/>
    <mergeCell ref="A27:K27"/>
    <mergeCell ref="L9:Q9"/>
    <mergeCell ref="D6:D9"/>
    <mergeCell ref="E6:E9"/>
    <mergeCell ref="A25:R25"/>
    <mergeCell ref="A5:B5"/>
    <mergeCell ref="F5:K5"/>
    <mergeCell ref="L5:Q5"/>
    <mergeCell ref="R5:R8"/>
    <mergeCell ref="A6:A9"/>
    <mergeCell ref="B6:B9"/>
    <mergeCell ref="C6:C9"/>
    <mergeCell ref="F6:H7"/>
    <mergeCell ref="I6:I8"/>
    <mergeCell ref="J6:K7"/>
    <mergeCell ref="P6:Q7"/>
    <mergeCell ref="L6:N7"/>
    <mergeCell ref="O6:O8"/>
  </mergeCells>
  <printOptions horizontalCentered="1" verticalCentered="1"/>
  <pageMargins left="0.39370078740157483" right="0.39370078740157483" top="0.39370078740157483" bottom="0.39370078740157483" header="0.19685039370078741" footer="0.19685039370078741"/>
  <pageSetup paperSize="9" scale="28"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D8FAC-3DE4-45E4-ADC2-47637D09D127}">
  <sheetPr codeName="Ark71">
    <tabColor theme="0" tint="-0.34998626667073579"/>
    <pageSetUpPr fitToPage="1"/>
  </sheetPr>
  <dimension ref="A1:T35"/>
  <sheetViews>
    <sheetView showGridLines="0" workbookViewId="0"/>
  </sheetViews>
  <sheetFormatPr defaultColWidth="8" defaultRowHeight="12" customHeight="1" x14ac:dyDescent="0.2"/>
  <cols>
    <col min="1" max="1" width="31" style="659" customWidth="1"/>
    <col min="2" max="2" width="14.7109375" style="659" customWidth="1"/>
    <col min="3" max="3" width="11.7109375" style="659" customWidth="1"/>
    <col min="4" max="4" width="10.7109375" style="659" customWidth="1"/>
    <col min="5" max="5" width="9.5703125" style="659" customWidth="1"/>
    <col min="6" max="11" width="7.85546875" style="659" customWidth="1"/>
    <col min="12" max="17" width="7.28515625" style="659" customWidth="1"/>
    <col min="18" max="18" width="10.42578125" style="659" customWidth="1"/>
    <col min="19" max="19" width="1.28515625" style="659" customWidth="1"/>
    <col min="20" max="24" width="13.7109375" style="659" customWidth="1"/>
    <col min="25" max="16384" width="8" style="659"/>
  </cols>
  <sheetData>
    <row r="1" spans="1:20" ht="15.75" x14ac:dyDescent="0.25">
      <c r="A1" s="671" t="s">
        <v>1462</v>
      </c>
      <c r="B1" s="660"/>
      <c r="C1" s="660"/>
      <c r="D1" s="660"/>
      <c r="E1" s="660"/>
      <c r="F1" s="660"/>
      <c r="G1" s="660"/>
      <c r="H1" s="660"/>
      <c r="I1" s="660"/>
      <c r="J1" s="660"/>
      <c r="K1" s="660"/>
      <c r="L1" s="660"/>
      <c r="M1" s="660"/>
      <c r="N1" s="660"/>
      <c r="O1" s="660"/>
      <c r="P1" s="660"/>
      <c r="Q1" s="660"/>
      <c r="R1" s="668" t="s">
        <v>1762</v>
      </c>
      <c r="S1" s="660"/>
      <c r="T1" s="660"/>
    </row>
    <row r="2" spans="1:20" ht="15.75" x14ac:dyDescent="0.25">
      <c r="A2" s="671" t="s">
        <v>1461</v>
      </c>
      <c r="B2" s="660"/>
      <c r="C2" s="660"/>
      <c r="D2" s="660"/>
      <c r="E2" s="660"/>
      <c r="F2" s="660"/>
      <c r="G2" s="660"/>
      <c r="H2" s="660"/>
      <c r="I2" s="660"/>
      <c r="J2" s="660"/>
      <c r="K2" s="660"/>
      <c r="L2" s="660"/>
      <c r="M2" s="660"/>
      <c r="N2" s="660"/>
      <c r="O2" s="660"/>
      <c r="P2" s="660"/>
      <c r="Q2" s="660"/>
      <c r="R2" s="668" t="s">
        <v>1761</v>
      </c>
      <c r="S2" s="660"/>
      <c r="T2" s="660"/>
    </row>
    <row r="3" spans="1:20" ht="15.75" x14ac:dyDescent="0.25">
      <c r="A3" s="671" t="s">
        <v>1197</v>
      </c>
      <c r="B3" s="660"/>
      <c r="C3" s="660"/>
      <c r="D3" s="660"/>
      <c r="E3" s="660"/>
      <c r="F3" s="660"/>
      <c r="G3" s="660"/>
      <c r="H3" s="660"/>
      <c r="I3" s="660"/>
      <c r="J3" s="660"/>
      <c r="K3" s="660"/>
      <c r="L3" s="660"/>
      <c r="M3" s="660"/>
      <c r="N3" s="660"/>
      <c r="O3" s="660"/>
      <c r="P3" s="660"/>
      <c r="Q3" s="660"/>
      <c r="R3" s="668" t="s">
        <v>1789</v>
      </c>
      <c r="S3" s="660"/>
      <c r="T3" s="660"/>
    </row>
    <row r="4" spans="1:20" ht="12" customHeight="1" x14ac:dyDescent="0.2">
      <c r="A4" s="660"/>
      <c r="B4" s="660"/>
      <c r="C4" s="660"/>
      <c r="D4" s="660"/>
      <c r="E4" s="660"/>
      <c r="F4" s="660"/>
      <c r="G4" s="660"/>
      <c r="H4" s="660"/>
      <c r="I4" s="660"/>
      <c r="J4" s="660"/>
      <c r="K4" s="660"/>
      <c r="L4" s="660"/>
      <c r="M4" s="660"/>
      <c r="N4" s="660"/>
      <c r="O4" s="660"/>
      <c r="P4" s="660"/>
      <c r="Q4" s="660"/>
      <c r="R4" s="660"/>
      <c r="S4" s="660"/>
      <c r="T4" s="660"/>
    </row>
    <row r="5" spans="1:20" ht="48" customHeight="1" x14ac:dyDescent="0.2">
      <c r="A5" s="5740" t="s">
        <v>1025</v>
      </c>
      <c r="B5" s="5741"/>
      <c r="C5" s="5736" t="s">
        <v>1083</v>
      </c>
      <c r="D5" s="5737"/>
      <c r="E5" s="5738"/>
      <c r="F5" s="5736" t="s">
        <v>1351</v>
      </c>
      <c r="G5" s="5737"/>
      <c r="H5" s="5737"/>
      <c r="I5" s="5737"/>
      <c r="J5" s="5737"/>
      <c r="K5" s="5738"/>
      <c r="L5" s="5736" t="s">
        <v>1350</v>
      </c>
      <c r="M5" s="5737"/>
      <c r="N5" s="5737"/>
      <c r="O5" s="5737"/>
      <c r="P5" s="5737"/>
      <c r="Q5" s="5738"/>
      <c r="R5" s="5739" t="s">
        <v>1445</v>
      </c>
      <c r="S5" s="660"/>
      <c r="T5" s="660"/>
    </row>
    <row r="6" spans="1:20" ht="47.25" customHeight="1" x14ac:dyDescent="0.2">
      <c r="A6" s="5728" t="s">
        <v>1348</v>
      </c>
      <c r="B6" s="5739" t="s">
        <v>1347</v>
      </c>
      <c r="C6" s="5739" t="s">
        <v>1346</v>
      </c>
      <c r="D6" s="5739" t="s">
        <v>1427</v>
      </c>
      <c r="E6" s="5739" t="s">
        <v>1426</v>
      </c>
      <c r="F6" s="5742" t="s">
        <v>1343</v>
      </c>
      <c r="G6" s="5744"/>
      <c r="H6" s="5743"/>
      <c r="I6" s="5739" t="s">
        <v>1375</v>
      </c>
      <c r="J6" s="5742" t="s">
        <v>1340</v>
      </c>
      <c r="K6" s="5743"/>
      <c r="L6" s="5742" t="s">
        <v>1339</v>
      </c>
      <c r="M6" s="5744"/>
      <c r="N6" s="5743"/>
      <c r="O6" s="5739" t="s">
        <v>1425</v>
      </c>
      <c r="P6" s="5742" t="s">
        <v>1424</v>
      </c>
      <c r="Q6" s="5743"/>
      <c r="R6" s="5532"/>
      <c r="S6" s="660"/>
      <c r="T6" s="660"/>
    </row>
    <row r="7" spans="1:20" ht="12.75" customHeight="1" x14ac:dyDescent="0.2">
      <c r="A7" s="5520"/>
      <c r="B7" s="5532"/>
      <c r="C7" s="5532"/>
      <c r="D7" s="5532"/>
      <c r="E7" s="5532"/>
      <c r="F7" s="5539"/>
      <c r="G7" s="5545"/>
      <c r="H7" s="5540"/>
      <c r="I7" s="5532"/>
      <c r="J7" s="5539"/>
      <c r="K7" s="5540"/>
      <c r="L7" s="5539"/>
      <c r="M7" s="5545"/>
      <c r="N7" s="5540"/>
      <c r="O7" s="5532"/>
      <c r="P7" s="5539"/>
      <c r="Q7" s="5540"/>
      <c r="R7" s="5532"/>
      <c r="S7" s="660"/>
      <c r="T7" s="660"/>
    </row>
    <row r="8" spans="1:20" ht="54.75" customHeight="1" x14ac:dyDescent="0.2">
      <c r="A8" s="5520"/>
      <c r="B8" s="5532"/>
      <c r="C8" s="5532"/>
      <c r="D8" s="5532"/>
      <c r="E8" s="5532"/>
      <c r="F8" s="3566" t="s">
        <v>1334</v>
      </c>
      <c r="G8" s="3566" t="s">
        <v>1333</v>
      </c>
      <c r="H8" s="3566" t="s">
        <v>1332</v>
      </c>
      <c r="I8" s="5533"/>
      <c r="J8" s="3311" t="s">
        <v>1331</v>
      </c>
      <c r="K8" s="3311" t="s">
        <v>1330</v>
      </c>
      <c r="L8" s="3566" t="s">
        <v>1334</v>
      </c>
      <c r="M8" s="3566" t="s">
        <v>1333</v>
      </c>
      <c r="N8" s="3566" t="s">
        <v>1332</v>
      </c>
      <c r="O8" s="5533"/>
      <c r="P8" s="3311" t="s">
        <v>1331</v>
      </c>
      <c r="Q8" s="3311" t="s">
        <v>1330</v>
      </c>
      <c r="R8" s="5533"/>
      <c r="S8" s="660"/>
      <c r="T8" s="660"/>
    </row>
    <row r="9" spans="1:20" ht="15.95" customHeight="1" thickBot="1" x14ac:dyDescent="0.25">
      <c r="A9" s="5556"/>
      <c r="B9" s="5541"/>
      <c r="C9" s="5541"/>
      <c r="D9" s="5541"/>
      <c r="E9" s="5541"/>
      <c r="F9" s="5546" t="s">
        <v>1329</v>
      </c>
      <c r="G9" s="5547"/>
      <c r="H9" s="5547"/>
      <c r="I9" s="5547"/>
      <c r="J9" s="5547"/>
      <c r="K9" s="5548"/>
      <c r="L9" s="5546" t="s">
        <v>1328</v>
      </c>
      <c r="M9" s="5547"/>
      <c r="N9" s="5547"/>
      <c r="O9" s="5547"/>
      <c r="P9" s="5547"/>
      <c r="Q9" s="5548"/>
      <c r="R9" s="734" t="s">
        <v>1011</v>
      </c>
      <c r="S9" s="660"/>
      <c r="T9" s="660"/>
    </row>
    <row r="10" spans="1:20" ht="12.75" thickTop="1" x14ac:dyDescent="0.2">
      <c r="A10" s="733" t="s">
        <v>1460</v>
      </c>
      <c r="B10" s="3497" t="s">
        <v>986</v>
      </c>
      <c r="C10" s="3507">
        <v>26.432625000000002</v>
      </c>
      <c r="D10" s="3507">
        <v>26.432625000000002</v>
      </c>
      <c r="E10" s="3507" t="s">
        <v>259</v>
      </c>
      <c r="F10" s="3507" t="s">
        <v>799</v>
      </c>
      <c r="G10" s="3507" t="s">
        <v>799</v>
      </c>
      <c r="H10" s="3507" t="s">
        <v>799</v>
      </c>
      <c r="I10" s="3507" t="s">
        <v>799</v>
      </c>
      <c r="J10" s="3507" t="s">
        <v>799</v>
      </c>
      <c r="K10" s="3507" t="s">
        <v>799</v>
      </c>
      <c r="L10" s="3507" t="s">
        <v>799</v>
      </c>
      <c r="M10" s="3507" t="s">
        <v>799</v>
      </c>
      <c r="N10" s="3507" t="s">
        <v>799</v>
      </c>
      <c r="O10" s="3507" t="s">
        <v>799</v>
      </c>
      <c r="P10" s="3507" t="s">
        <v>799</v>
      </c>
      <c r="Q10" s="3507" t="s">
        <v>799</v>
      </c>
      <c r="R10" s="3507" t="s">
        <v>799</v>
      </c>
      <c r="S10" s="660"/>
      <c r="T10" s="660"/>
    </row>
    <row r="11" spans="1:20" ht="13.5" x14ac:dyDescent="0.2">
      <c r="A11" s="3573" t="s">
        <v>1459</v>
      </c>
      <c r="B11" s="3497" t="s">
        <v>986</v>
      </c>
      <c r="C11" s="3507">
        <v>26.432625000000002</v>
      </c>
      <c r="D11" s="3500">
        <v>26.432625000000002</v>
      </c>
      <c r="E11" s="3500" t="s">
        <v>259</v>
      </c>
      <c r="F11" s="3497" t="s">
        <v>986</v>
      </c>
      <c r="G11" s="3497" t="s">
        <v>986</v>
      </c>
      <c r="H11" s="3497" t="s">
        <v>986</v>
      </c>
      <c r="I11" s="3497" t="s">
        <v>986</v>
      </c>
      <c r="J11" s="3497" t="s">
        <v>986</v>
      </c>
      <c r="K11" s="3497" t="s">
        <v>986</v>
      </c>
      <c r="L11" s="3497" t="s">
        <v>986</v>
      </c>
      <c r="M11" s="3497" t="s">
        <v>986</v>
      </c>
      <c r="N11" s="3497" t="s">
        <v>986</v>
      </c>
      <c r="O11" s="3497" t="s">
        <v>986</v>
      </c>
      <c r="P11" s="3497" t="s">
        <v>986</v>
      </c>
      <c r="Q11" s="3497" t="s">
        <v>986</v>
      </c>
      <c r="R11" s="3497" t="s">
        <v>986</v>
      </c>
      <c r="S11" s="660"/>
      <c r="T11" s="660"/>
    </row>
    <row r="12" spans="1:20" ht="13.5" x14ac:dyDescent="0.2">
      <c r="A12" s="3578" t="s">
        <v>1458</v>
      </c>
      <c r="B12" s="3497" t="s">
        <v>986</v>
      </c>
      <c r="C12" s="3507" t="s">
        <v>259</v>
      </c>
      <c r="D12" s="3507" t="s">
        <v>259</v>
      </c>
      <c r="E12" s="3507" t="s">
        <v>259</v>
      </c>
      <c r="F12" s="3507" t="s">
        <v>799</v>
      </c>
      <c r="G12" s="3507" t="s">
        <v>799</v>
      </c>
      <c r="H12" s="3507" t="s">
        <v>799</v>
      </c>
      <c r="I12" s="3507" t="s">
        <v>799</v>
      </c>
      <c r="J12" s="3507" t="s">
        <v>799</v>
      </c>
      <c r="K12" s="3507" t="s">
        <v>799</v>
      </c>
      <c r="L12" s="3507" t="s">
        <v>799</v>
      </c>
      <c r="M12" s="3507" t="s">
        <v>799</v>
      </c>
      <c r="N12" s="3507" t="s">
        <v>799</v>
      </c>
      <c r="O12" s="3507" t="s">
        <v>799</v>
      </c>
      <c r="P12" s="3507" t="s">
        <v>799</v>
      </c>
      <c r="Q12" s="3507" t="s">
        <v>799</v>
      </c>
      <c r="R12" s="3507" t="s">
        <v>799</v>
      </c>
      <c r="S12" s="660"/>
      <c r="T12" s="660"/>
    </row>
    <row r="13" spans="1:20" x14ac:dyDescent="0.2">
      <c r="A13" s="3574" t="s">
        <v>1457</v>
      </c>
      <c r="B13" s="3497"/>
      <c r="C13" s="3507" t="s">
        <v>259</v>
      </c>
      <c r="D13" s="3507" t="s">
        <v>259</v>
      </c>
      <c r="E13" s="3507" t="s">
        <v>259</v>
      </c>
      <c r="F13" s="3507" t="s">
        <v>799</v>
      </c>
      <c r="G13" s="3507" t="s">
        <v>799</v>
      </c>
      <c r="H13" s="3507" t="s">
        <v>799</v>
      </c>
      <c r="I13" s="3507" t="s">
        <v>799</v>
      </c>
      <c r="J13" s="3507" t="s">
        <v>799</v>
      </c>
      <c r="K13" s="3507" t="s">
        <v>799</v>
      </c>
      <c r="L13" s="3507" t="s">
        <v>799</v>
      </c>
      <c r="M13" s="3507" t="s">
        <v>799</v>
      </c>
      <c r="N13" s="3507" t="s">
        <v>799</v>
      </c>
      <c r="O13" s="3507" t="s">
        <v>799</v>
      </c>
      <c r="P13" s="3507" t="s">
        <v>799</v>
      </c>
      <c r="Q13" s="3507" t="s">
        <v>799</v>
      </c>
      <c r="R13" s="3507" t="s">
        <v>799</v>
      </c>
      <c r="S13" s="660"/>
      <c r="T13" s="660"/>
    </row>
    <row r="14" spans="1:20" x14ac:dyDescent="0.2">
      <c r="A14" s="3548" t="s">
        <v>1319</v>
      </c>
      <c r="B14" s="3500" t="s">
        <v>1319</v>
      </c>
      <c r="C14" s="3507" t="s">
        <v>259</v>
      </c>
      <c r="D14" s="3500" t="s">
        <v>259</v>
      </c>
      <c r="E14" s="3500" t="s">
        <v>259</v>
      </c>
      <c r="F14" s="3507" t="s">
        <v>799</v>
      </c>
      <c r="G14" s="3507" t="s">
        <v>799</v>
      </c>
      <c r="H14" s="3507" t="s">
        <v>799</v>
      </c>
      <c r="I14" s="3507" t="s">
        <v>799</v>
      </c>
      <c r="J14" s="3507" t="s">
        <v>799</v>
      </c>
      <c r="K14" s="3507" t="s">
        <v>799</v>
      </c>
      <c r="L14" s="3500" t="s">
        <v>799</v>
      </c>
      <c r="M14" s="3500" t="s">
        <v>799</v>
      </c>
      <c r="N14" s="3507" t="s">
        <v>799</v>
      </c>
      <c r="O14" s="3500" t="s">
        <v>799</v>
      </c>
      <c r="P14" s="3500" t="s">
        <v>799</v>
      </c>
      <c r="Q14" s="3500" t="s">
        <v>799</v>
      </c>
      <c r="R14" s="3507" t="s">
        <v>799</v>
      </c>
      <c r="S14" s="660"/>
      <c r="T14" s="660"/>
    </row>
    <row r="15" spans="1:20" x14ac:dyDescent="0.2">
      <c r="A15" s="3574" t="s">
        <v>1456</v>
      </c>
      <c r="B15" s="3497"/>
      <c r="C15" s="3507" t="s">
        <v>259</v>
      </c>
      <c r="D15" s="3507" t="s">
        <v>259</v>
      </c>
      <c r="E15" s="3507" t="s">
        <v>259</v>
      </c>
      <c r="F15" s="3507" t="s">
        <v>799</v>
      </c>
      <c r="G15" s="3507" t="s">
        <v>799</v>
      </c>
      <c r="H15" s="3507" t="s">
        <v>799</v>
      </c>
      <c r="I15" s="3507" t="s">
        <v>799</v>
      </c>
      <c r="J15" s="3507" t="s">
        <v>799</v>
      </c>
      <c r="K15" s="3507" t="s">
        <v>799</v>
      </c>
      <c r="L15" s="3507" t="s">
        <v>799</v>
      </c>
      <c r="M15" s="3507" t="s">
        <v>799</v>
      </c>
      <c r="N15" s="3507" t="s">
        <v>799</v>
      </c>
      <c r="O15" s="3507" t="s">
        <v>799</v>
      </c>
      <c r="P15" s="3507" t="s">
        <v>799</v>
      </c>
      <c r="Q15" s="3507" t="s">
        <v>799</v>
      </c>
      <c r="R15" s="3507" t="s">
        <v>799</v>
      </c>
      <c r="S15" s="660"/>
      <c r="T15" s="660"/>
    </row>
    <row r="16" spans="1:20" x14ac:dyDescent="0.2">
      <c r="A16" s="3548" t="s">
        <v>1319</v>
      </c>
      <c r="B16" s="3500" t="s">
        <v>1319</v>
      </c>
      <c r="C16" s="3507" t="s">
        <v>259</v>
      </c>
      <c r="D16" s="3500" t="s">
        <v>259</v>
      </c>
      <c r="E16" s="3500" t="s">
        <v>259</v>
      </c>
      <c r="F16" s="3507" t="s">
        <v>799</v>
      </c>
      <c r="G16" s="3507" t="s">
        <v>799</v>
      </c>
      <c r="H16" s="3507" t="s">
        <v>799</v>
      </c>
      <c r="I16" s="3507" t="s">
        <v>799</v>
      </c>
      <c r="J16" s="3507" t="s">
        <v>799</v>
      </c>
      <c r="K16" s="3507" t="s">
        <v>799</v>
      </c>
      <c r="L16" s="3500" t="s">
        <v>799</v>
      </c>
      <c r="M16" s="3500" t="s">
        <v>799</v>
      </c>
      <c r="N16" s="3507" t="s">
        <v>799</v>
      </c>
      <c r="O16" s="3500" t="s">
        <v>799</v>
      </c>
      <c r="P16" s="3500" t="s">
        <v>799</v>
      </c>
      <c r="Q16" s="3500" t="s">
        <v>799</v>
      </c>
      <c r="R16" s="3507" t="s">
        <v>799</v>
      </c>
      <c r="S16" s="660"/>
      <c r="T16" s="660"/>
    </row>
    <row r="17" spans="1:20" x14ac:dyDescent="0.2">
      <c r="A17" s="3574" t="s">
        <v>1455</v>
      </c>
      <c r="B17" s="3497"/>
      <c r="C17" s="3507" t="s">
        <v>259</v>
      </c>
      <c r="D17" s="3507" t="s">
        <v>259</v>
      </c>
      <c r="E17" s="3507" t="s">
        <v>259</v>
      </c>
      <c r="F17" s="3507" t="s">
        <v>799</v>
      </c>
      <c r="G17" s="3507" t="s">
        <v>799</v>
      </c>
      <c r="H17" s="3507" t="s">
        <v>799</v>
      </c>
      <c r="I17" s="3507" t="s">
        <v>799</v>
      </c>
      <c r="J17" s="3507" t="s">
        <v>799</v>
      </c>
      <c r="K17" s="3507" t="s">
        <v>799</v>
      </c>
      <c r="L17" s="3507" t="s">
        <v>799</v>
      </c>
      <c r="M17" s="3507" t="s">
        <v>799</v>
      </c>
      <c r="N17" s="3507" t="s">
        <v>799</v>
      </c>
      <c r="O17" s="3507" t="s">
        <v>799</v>
      </c>
      <c r="P17" s="3507" t="s">
        <v>799</v>
      </c>
      <c r="Q17" s="3507" t="s">
        <v>799</v>
      </c>
      <c r="R17" s="3507" t="s">
        <v>799</v>
      </c>
      <c r="S17" s="660"/>
      <c r="T17" s="660"/>
    </row>
    <row r="18" spans="1:20" x14ac:dyDescent="0.2">
      <c r="A18" s="3548" t="s">
        <v>1319</v>
      </c>
      <c r="B18" s="3500" t="s">
        <v>1319</v>
      </c>
      <c r="C18" s="3507" t="s">
        <v>259</v>
      </c>
      <c r="D18" s="3500" t="s">
        <v>259</v>
      </c>
      <c r="E18" s="3500" t="s">
        <v>259</v>
      </c>
      <c r="F18" s="3507" t="s">
        <v>799</v>
      </c>
      <c r="G18" s="3507" t="s">
        <v>799</v>
      </c>
      <c r="H18" s="3507" t="s">
        <v>799</v>
      </c>
      <c r="I18" s="3507" t="s">
        <v>799</v>
      </c>
      <c r="J18" s="3507" t="s">
        <v>799</v>
      </c>
      <c r="K18" s="3507" t="s">
        <v>799</v>
      </c>
      <c r="L18" s="3500" t="s">
        <v>799</v>
      </c>
      <c r="M18" s="3500" t="s">
        <v>799</v>
      </c>
      <c r="N18" s="3507" t="s">
        <v>799</v>
      </c>
      <c r="O18" s="3500" t="s">
        <v>799</v>
      </c>
      <c r="P18" s="3500" t="s">
        <v>799</v>
      </c>
      <c r="Q18" s="3500" t="s">
        <v>799</v>
      </c>
      <c r="R18" s="3507" t="s">
        <v>799</v>
      </c>
      <c r="S18" s="660"/>
      <c r="T18" s="660"/>
    </row>
    <row r="19" spans="1:20" x14ac:dyDescent="0.2">
      <c r="A19" s="3574" t="s">
        <v>1454</v>
      </c>
      <c r="B19" s="3497"/>
      <c r="C19" s="3507" t="s">
        <v>259</v>
      </c>
      <c r="D19" s="3507" t="s">
        <v>259</v>
      </c>
      <c r="E19" s="3507" t="s">
        <v>259</v>
      </c>
      <c r="F19" s="3507" t="s">
        <v>799</v>
      </c>
      <c r="G19" s="3507" t="s">
        <v>799</v>
      </c>
      <c r="H19" s="3507" t="s">
        <v>799</v>
      </c>
      <c r="I19" s="3507" t="s">
        <v>799</v>
      </c>
      <c r="J19" s="3507" t="s">
        <v>799</v>
      </c>
      <c r="K19" s="3507" t="s">
        <v>799</v>
      </c>
      <c r="L19" s="3507" t="s">
        <v>799</v>
      </c>
      <c r="M19" s="3507" t="s">
        <v>799</v>
      </c>
      <c r="N19" s="3507" t="s">
        <v>799</v>
      </c>
      <c r="O19" s="3507" t="s">
        <v>799</v>
      </c>
      <c r="P19" s="3507" t="s">
        <v>799</v>
      </c>
      <c r="Q19" s="3507" t="s">
        <v>799</v>
      </c>
      <c r="R19" s="3507" t="s">
        <v>799</v>
      </c>
      <c r="S19" s="660"/>
      <c r="T19" s="660"/>
    </row>
    <row r="20" spans="1:20" x14ac:dyDescent="0.2">
      <c r="A20" s="3548" t="s">
        <v>1319</v>
      </c>
      <c r="B20" s="3500" t="s">
        <v>1319</v>
      </c>
      <c r="C20" s="3507" t="s">
        <v>259</v>
      </c>
      <c r="D20" s="3500" t="s">
        <v>259</v>
      </c>
      <c r="E20" s="3500" t="s">
        <v>259</v>
      </c>
      <c r="F20" s="3507" t="s">
        <v>799</v>
      </c>
      <c r="G20" s="3507" t="s">
        <v>799</v>
      </c>
      <c r="H20" s="3507" t="s">
        <v>799</v>
      </c>
      <c r="I20" s="3507" t="s">
        <v>799</v>
      </c>
      <c r="J20" s="3507" t="s">
        <v>799</v>
      </c>
      <c r="K20" s="3507" t="s">
        <v>799</v>
      </c>
      <c r="L20" s="3500" t="s">
        <v>799</v>
      </c>
      <c r="M20" s="3500" t="s">
        <v>799</v>
      </c>
      <c r="N20" s="3507" t="s">
        <v>799</v>
      </c>
      <c r="O20" s="3500" t="s">
        <v>799</v>
      </c>
      <c r="P20" s="3500" t="s">
        <v>799</v>
      </c>
      <c r="Q20" s="3500" t="s">
        <v>799</v>
      </c>
      <c r="R20" s="3507" t="s">
        <v>799</v>
      </c>
      <c r="S20" s="660"/>
      <c r="T20" s="660"/>
    </row>
    <row r="21" spans="1:20" x14ac:dyDescent="0.2">
      <c r="A21" s="3574" t="s">
        <v>1453</v>
      </c>
      <c r="B21" s="3497"/>
      <c r="C21" s="3507" t="s">
        <v>259</v>
      </c>
      <c r="D21" s="3507" t="s">
        <v>259</v>
      </c>
      <c r="E21" s="3507" t="s">
        <v>259</v>
      </c>
      <c r="F21" s="3507" t="s">
        <v>799</v>
      </c>
      <c r="G21" s="3507" t="s">
        <v>799</v>
      </c>
      <c r="H21" s="3507" t="s">
        <v>799</v>
      </c>
      <c r="I21" s="3507" t="s">
        <v>799</v>
      </c>
      <c r="J21" s="3507" t="s">
        <v>799</v>
      </c>
      <c r="K21" s="3507" t="s">
        <v>799</v>
      </c>
      <c r="L21" s="3507" t="s">
        <v>799</v>
      </c>
      <c r="M21" s="3507" t="s">
        <v>799</v>
      </c>
      <c r="N21" s="3507" t="s">
        <v>799</v>
      </c>
      <c r="O21" s="3507" t="s">
        <v>799</v>
      </c>
      <c r="P21" s="3507" t="s">
        <v>799</v>
      </c>
      <c r="Q21" s="3507" t="s">
        <v>799</v>
      </c>
      <c r="R21" s="3507" t="s">
        <v>799</v>
      </c>
      <c r="S21" s="660"/>
      <c r="T21" s="660"/>
    </row>
    <row r="22" spans="1:20" x14ac:dyDescent="0.2">
      <c r="A22" s="3548" t="s">
        <v>1319</v>
      </c>
      <c r="B22" s="3500" t="s">
        <v>1319</v>
      </c>
      <c r="C22" s="3507" t="s">
        <v>259</v>
      </c>
      <c r="D22" s="3500" t="s">
        <v>259</v>
      </c>
      <c r="E22" s="3500" t="s">
        <v>259</v>
      </c>
      <c r="F22" s="3507" t="s">
        <v>799</v>
      </c>
      <c r="G22" s="3507" t="s">
        <v>799</v>
      </c>
      <c r="H22" s="3507" t="s">
        <v>799</v>
      </c>
      <c r="I22" s="3507" t="s">
        <v>799</v>
      </c>
      <c r="J22" s="3507" t="s">
        <v>799</v>
      </c>
      <c r="K22" s="3507" t="s">
        <v>799</v>
      </c>
      <c r="L22" s="3500" t="s">
        <v>799</v>
      </c>
      <c r="M22" s="3500" t="s">
        <v>799</v>
      </c>
      <c r="N22" s="3507" t="s">
        <v>799</v>
      </c>
      <c r="O22" s="3500" t="s">
        <v>799</v>
      </c>
      <c r="P22" s="3500" t="s">
        <v>799</v>
      </c>
      <c r="Q22" s="3500" t="s">
        <v>799</v>
      </c>
      <c r="R22" s="3507" t="s">
        <v>799</v>
      </c>
      <c r="S22" s="660"/>
      <c r="T22" s="660"/>
    </row>
    <row r="23" spans="1:20" ht="13.5" customHeight="1" x14ac:dyDescent="0.2">
      <c r="A23" s="678" t="s">
        <v>564</v>
      </c>
      <c r="B23" s="663"/>
      <c r="C23" s="663"/>
      <c r="D23" s="663"/>
      <c r="E23" s="663"/>
      <c r="F23" s="663"/>
      <c r="G23" s="663"/>
      <c r="H23" s="663"/>
      <c r="I23" s="663"/>
      <c r="J23" s="663"/>
      <c r="K23" s="663"/>
      <c r="L23" s="663"/>
      <c r="M23" s="663"/>
      <c r="N23" s="663"/>
      <c r="O23" s="663"/>
      <c r="P23" s="663"/>
      <c r="Q23" s="663"/>
      <c r="R23" s="663"/>
      <c r="S23" s="660"/>
      <c r="T23" s="660"/>
    </row>
    <row r="24" spans="1:20" ht="28.5" customHeight="1" x14ac:dyDescent="0.2">
      <c r="A24" s="5558" t="s">
        <v>1452</v>
      </c>
      <c r="B24" s="5558"/>
      <c r="C24" s="5558"/>
      <c r="D24" s="5558"/>
      <c r="E24" s="5558"/>
      <c r="F24" s="5558"/>
      <c r="G24" s="5558"/>
      <c r="H24" s="5558"/>
      <c r="I24" s="5558"/>
      <c r="J24" s="5558"/>
      <c r="K24" s="5558"/>
      <c r="L24" s="5558"/>
      <c r="M24" s="5558"/>
      <c r="N24" s="5558"/>
      <c r="O24" s="5558"/>
      <c r="P24" s="5558"/>
      <c r="Q24" s="5558"/>
      <c r="R24" s="663"/>
      <c r="S24" s="660"/>
      <c r="T24" s="660"/>
    </row>
    <row r="25" spans="1:20" x14ac:dyDescent="0.2">
      <c r="A25" s="5582" t="s">
        <v>1451</v>
      </c>
      <c r="B25" s="5555"/>
      <c r="C25" s="5555"/>
      <c r="D25" s="5555"/>
      <c r="E25" s="5555"/>
      <c r="F25" s="5555"/>
      <c r="G25" s="5555"/>
      <c r="H25" s="5555"/>
      <c r="I25" s="5555"/>
      <c r="J25" s="5555"/>
      <c r="K25" s="5555"/>
      <c r="L25" s="5555"/>
      <c r="M25" s="5555"/>
      <c r="N25" s="5555"/>
      <c r="O25" s="5555"/>
      <c r="P25" s="5555"/>
      <c r="Q25" s="5555"/>
      <c r="R25" s="5555"/>
      <c r="S25" s="660"/>
      <c r="T25" s="660"/>
    </row>
    <row r="26" spans="1:20" ht="13.5" x14ac:dyDescent="0.2">
      <c r="A26" s="5560" t="s">
        <v>1316</v>
      </c>
      <c r="B26" s="5560"/>
      <c r="C26" s="5560"/>
      <c r="D26" s="5560"/>
      <c r="E26" s="5560"/>
      <c r="F26" s="5560"/>
      <c r="G26" s="5560"/>
      <c r="H26" s="5560"/>
      <c r="I26" s="5560"/>
      <c r="J26" s="5560"/>
      <c r="K26" s="5560"/>
      <c r="L26" s="5560"/>
      <c r="M26" s="5560"/>
      <c r="N26" s="5560"/>
      <c r="O26" s="5560"/>
      <c r="P26" s="3313"/>
      <c r="Q26" s="663"/>
      <c r="R26" s="663"/>
      <c r="S26" s="660"/>
      <c r="T26" s="660"/>
    </row>
    <row r="27" spans="1:20" ht="13.5" x14ac:dyDescent="0.2">
      <c r="A27" s="5557" t="s">
        <v>1405</v>
      </c>
      <c r="B27" s="5557"/>
      <c r="C27" s="5557"/>
      <c r="D27" s="5557"/>
      <c r="E27" s="5557"/>
      <c r="F27" s="5557"/>
      <c r="G27" s="5557"/>
      <c r="H27" s="5557"/>
      <c r="I27" s="5557"/>
      <c r="J27" s="3312"/>
      <c r="K27" s="663"/>
      <c r="L27" s="663"/>
      <c r="M27" s="663"/>
      <c r="N27" s="663"/>
      <c r="O27" s="663"/>
      <c r="P27" s="663"/>
      <c r="Q27" s="663"/>
      <c r="R27" s="663"/>
      <c r="S27" s="660"/>
      <c r="T27" s="660"/>
    </row>
    <row r="28" spans="1:20" ht="13.5" x14ac:dyDescent="0.2">
      <c r="A28" s="5554" t="s">
        <v>1433</v>
      </c>
      <c r="B28" s="5554"/>
      <c r="C28" s="5554"/>
      <c r="D28" s="5554"/>
      <c r="E28" s="5554"/>
      <c r="F28" s="5554"/>
      <c r="G28" s="5554"/>
      <c r="H28" s="5554"/>
      <c r="I28" s="5554"/>
      <c r="J28" s="5554"/>
      <c r="K28" s="5554"/>
      <c r="L28" s="5554"/>
      <c r="M28" s="5554"/>
      <c r="N28" s="5554"/>
      <c r="O28" s="5554"/>
      <c r="P28" s="5554"/>
      <c r="Q28" s="5554"/>
      <c r="R28" s="5554"/>
      <c r="S28" s="660"/>
      <c r="T28" s="660"/>
    </row>
    <row r="29" spans="1:20" ht="13.5" x14ac:dyDescent="0.2">
      <c r="A29" s="5583" t="s">
        <v>1450</v>
      </c>
      <c r="B29" s="5583"/>
      <c r="C29" s="5583"/>
      <c r="D29" s="5583"/>
      <c r="E29" s="5583"/>
      <c r="F29" s="5583"/>
      <c r="G29" s="5583"/>
      <c r="H29" s="5583"/>
      <c r="I29" s="5583"/>
      <c r="J29" s="5583"/>
      <c r="K29" s="5583"/>
      <c r="L29" s="5583"/>
      <c r="M29" s="5583"/>
      <c r="N29" s="5583"/>
      <c r="O29" s="5583"/>
      <c r="P29" s="5583"/>
      <c r="Q29" s="5583"/>
      <c r="R29" s="5583"/>
      <c r="S29" s="660"/>
      <c r="T29" s="660"/>
    </row>
    <row r="30" spans="1:20" ht="13.5" x14ac:dyDescent="0.2">
      <c r="A30" s="749" t="s">
        <v>1449</v>
      </c>
      <c r="B30" s="749"/>
      <c r="C30" s="749"/>
      <c r="D30" s="749"/>
      <c r="E30" s="749"/>
      <c r="F30" s="749"/>
      <c r="G30" s="749"/>
      <c r="H30" s="749"/>
      <c r="I30" s="749"/>
      <c r="J30" s="749"/>
      <c r="K30" s="749"/>
      <c r="L30" s="749"/>
      <c r="M30" s="749"/>
      <c r="N30" s="749"/>
      <c r="O30" s="749"/>
      <c r="P30" s="749"/>
      <c r="Q30" s="749"/>
      <c r="R30" s="749"/>
      <c r="S30" s="660"/>
      <c r="T30" s="660"/>
    </row>
    <row r="31" spans="1:20" ht="10.5" customHeight="1" x14ac:dyDescent="0.2">
      <c r="A31" s="749"/>
      <c r="B31" s="731"/>
      <c r="C31" s="731"/>
      <c r="D31" s="731"/>
      <c r="E31" s="731"/>
      <c r="F31" s="731"/>
      <c r="G31" s="731"/>
      <c r="H31" s="731"/>
      <c r="I31" s="731"/>
      <c r="J31" s="731"/>
      <c r="K31" s="731"/>
      <c r="L31" s="731"/>
      <c r="M31" s="731"/>
      <c r="N31" s="731"/>
      <c r="O31" s="731"/>
      <c r="P31" s="731"/>
      <c r="Q31" s="731"/>
      <c r="R31" s="731"/>
      <c r="S31" s="660"/>
      <c r="T31" s="660"/>
    </row>
    <row r="32" spans="1:20" ht="15.75" customHeight="1" x14ac:dyDescent="0.2">
      <c r="A32" s="3572" t="s">
        <v>982</v>
      </c>
      <c r="B32" s="3570"/>
      <c r="C32" s="3570"/>
      <c r="D32" s="3570"/>
      <c r="E32" s="3570"/>
      <c r="F32" s="3570"/>
      <c r="G32" s="3570"/>
      <c r="H32" s="3570"/>
      <c r="I32" s="3570"/>
      <c r="J32" s="3570"/>
      <c r="K32" s="3570"/>
      <c r="L32" s="3570"/>
      <c r="M32" s="3570"/>
      <c r="N32" s="3570"/>
      <c r="O32" s="3570"/>
      <c r="P32" s="3570"/>
      <c r="Q32" s="3570"/>
      <c r="R32" s="3569"/>
      <c r="S32" s="660"/>
      <c r="T32" s="660"/>
    </row>
    <row r="33" spans="1:20" ht="33.75" customHeight="1" x14ac:dyDescent="0.2">
      <c r="A33" s="5756" t="s">
        <v>1448</v>
      </c>
      <c r="B33" s="5746"/>
      <c r="C33" s="5746"/>
      <c r="D33" s="5746"/>
      <c r="E33" s="5746"/>
      <c r="F33" s="5746"/>
      <c r="G33" s="5746"/>
      <c r="H33" s="5746"/>
      <c r="I33" s="5746"/>
      <c r="J33" s="5746"/>
      <c r="K33" s="5746"/>
      <c r="L33" s="5746"/>
      <c r="M33" s="5746"/>
      <c r="N33" s="5746"/>
      <c r="O33" s="5746"/>
      <c r="P33" s="5746"/>
      <c r="Q33" s="5746"/>
      <c r="R33" s="5747"/>
      <c r="S33" s="660"/>
      <c r="T33" s="660"/>
    </row>
    <row r="34" spans="1:20" ht="12" customHeight="1" x14ac:dyDescent="0.2">
      <c r="A34" s="3568" t="s">
        <v>980</v>
      </c>
      <c r="B34" s="5696" t="s">
        <v>986</v>
      </c>
      <c r="C34" s="5735"/>
      <c r="D34" s="5735"/>
      <c r="E34" s="5735"/>
      <c r="F34" s="5735"/>
      <c r="G34" s="5735"/>
      <c r="H34" s="5735"/>
      <c r="I34" s="5735"/>
      <c r="J34" s="5735"/>
      <c r="K34" s="5735"/>
      <c r="L34" s="5735"/>
      <c r="M34" s="5735"/>
      <c r="N34" s="5735"/>
      <c r="O34" s="5735"/>
      <c r="P34" s="5735"/>
      <c r="Q34" s="5735"/>
      <c r="R34" s="5735"/>
      <c r="S34" s="660"/>
      <c r="T34" s="660"/>
    </row>
    <row r="35" spans="1:20" ht="12" customHeight="1" x14ac:dyDescent="0.2">
      <c r="A35" s="3568" t="s">
        <v>980</v>
      </c>
      <c r="B35" s="5696" t="s">
        <v>986</v>
      </c>
      <c r="C35" s="5735"/>
      <c r="D35" s="5735"/>
      <c r="E35" s="5735"/>
      <c r="F35" s="5735"/>
      <c r="G35" s="5735"/>
      <c r="H35" s="5735"/>
      <c r="I35" s="5735"/>
      <c r="J35" s="5735"/>
      <c r="K35" s="5735"/>
      <c r="L35" s="5735"/>
      <c r="M35" s="5735"/>
      <c r="N35" s="5735"/>
      <c r="O35" s="5735"/>
      <c r="P35" s="5735"/>
      <c r="Q35" s="5735"/>
      <c r="R35" s="5735"/>
    </row>
  </sheetData>
  <sheetProtection password="A754" sheet="1" objects="1" scenarios="1"/>
  <mergeCells count="27">
    <mergeCell ref="A26:O26"/>
    <mergeCell ref="A27:I27"/>
    <mergeCell ref="A28:R28"/>
    <mergeCell ref="A29:R29"/>
    <mergeCell ref="A24:Q24"/>
    <mergeCell ref="B34:R34"/>
    <mergeCell ref="B35:R35"/>
    <mergeCell ref="A5:B5"/>
    <mergeCell ref="F5:K5"/>
    <mergeCell ref="L5:Q5"/>
    <mergeCell ref="R5:R8"/>
    <mergeCell ref="A6:A9"/>
    <mergeCell ref="B6:B9"/>
    <mergeCell ref="C6:C9"/>
    <mergeCell ref="C5:E5"/>
    <mergeCell ref="D6:D9"/>
    <mergeCell ref="E6:E9"/>
    <mergeCell ref="J6:K7"/>
    <mergeCell ref="A33:R33"/>
    <mergeCell ref="A25:R25"/>
    <mergeCell ref="F6:H7"/>
    <mergeCell ref="I6:I8"/>
    <mergeCell ref="L6:N7"/>
    <mergeCell ref="O6:O8"/>
    <mergeCell ref="F9:K9"/>
    <mergeCell ref="L9:Q9"/>
    <mergeCell ref="P6:Q7"/>
  </mergeCells>
  <printOptions horizontalCentered="1" verticalCentered="1"/>
  <pageMargins left="0.39370078740157483" right="0.39370078740157483" top="0.39370078740157483" bottom="0.39370078740157483" header="0.19685039370078741" footer="0.19685039370078741"/>
  <pageSetup paperSize="9" scale="49" orientation="landscape" r:id="rId1"/>
  <headerFooter alignWithMargins="0"/>
  <colBreaks count="1" manualBreakCount="1">
    <brk id="18" max="1048575" man="1"/>
  </col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A3C2F-1A3F-42E8-B0C9-79108D91453E}">
  <sheetPr codeName="Ark72">
    <tabColor theme="0" tint="-0.34998626667073579"/>
    <pageSetUpPr fitToPage="1"/>
  </sheetPr>
  <dimension ref="A1:J81"/>
  <sheetViews>
    <sheetView showGridLines="0" workbookViewId="0"/>
  </sheetViews>
  <sheetFormatPr defaultColWidth="9.140625" defaultRowHeight="12" x14ac:dyDescent="0.2"/>
  <cols>
    <col min="1" max="1" width="46.42578125" style="3426" customWidth="1"/>
    <col min="2" max="2" width="13.7109375" style="3426" customWidth="1"/>
    <col min="3" max="3" width="20" style="3426" customWidth="1"/>
    <col min="4" max="6" width="16.85546875" style="3426" customWidth="1"/>
    <col min="7" max="9" width="17.5703125" style="3426" customWidth="1"/>
    <col min="10" max="16384" width="9.140625" style="3426"/>
  </cols>
  <sheetData>
    <row r="1" spans="1:10" ht="15.75" x14ac:dyDescent="0.25">
      <c r="A1" s="671" t="s">
        <v>1497</v>
      </c>
      <c r="B1" s="670"/>
      <c r="C1" s="670"/>
      <c r="D1" s="660"/>
      <c r="E1" s="660"/>
      <c r="F1" s="660"/>
      <c r="G1" s="660"/>
      <c r="H1" s="660"/>
      <c r="I1" s="668" t="s">
        <v>1762</v>
      </c>
      <c r="J1" s="3429"/>
    </row>
    <row r="2" spans="1:10" ht="15.75" x14ac:dyDescent="0.25">
      <c r="A2" s="5430" t="s">
        <v>1496</v>
      </c>
      <c r="B2" s="5430"/>
      <c r="C2" s="5430"/>
      <c r="D2" s="753"/>
      <c r="E2" s="660"/>
      <c r="F2" s="660"/>
      <c r="G2" s="660"/>
      <c r="H2" s="660"/>
      <c r="I2" s="668" t="s">
        <v>1761</v>
      </c>
      <c r="J2" s="3429"/>
    </row>
    <row r="3" spans="1:10" ht="15.75" x14ac:dyDescent="0.25">
      <c r="A3" s="671" t="s">
        <v>1197</v>
      </c>
      <c r="B3" s="670"/>
      <c r="C3" s="670"/>
      <c r="D3" s="660"/>
      <c r="E3" s="660"/>
      <c r="F3" s="660"/>
      <c r="G3" s="660"/>
      <c r="H3" s="660"/>
      <c r="I3" s="668" t="s">
        <v>1789</v>
      </c>
      <c r="J3" s="3429"/>
    </row>
    <row r="4" spans="1:10" x14ac:dyDescent="0.2">
      <c r="A4" s="660"/>
      <c r="B4" s="660"/>
      <c r="C4" s="660"/>
      <c r="D4" s="660"/>
      <c r="E4" s="660"/>
      <c r="F4" s="660"/>
      <c r="G4" s="660"/>
      <c r="H4" s="660"/>
      <c r="I4" s="660"/>
      <c r="J4" s="3429"/>
    </row>
    <row r="5" spans="1:10" ht="15" customHeight="1" x14ac:dyDescent="0.2">
      <c r="A5" s="3596" t="s">
        <v>1025</v>
      </c>
      <c r="B5" s="5744" t="s">
        <v>1495</v>
      </c>
      <c r="C5" s="3595" t="s">
        <v>1083</v>
      </c>
      <c r="D5" s="5744" t="s">
        <v>1494</v>
      </c>
      <c r="E5" s="5744"/>
      <c r="F5" s="5744"/>
      <c r="G5" s="5742" t="s">
        <v>1081</v>
      </c>
      <c r="H5" s="5744"/>
      <c r="I5" s="5743"/>
      <c r="J5" s="3429"/>
    </row>
    <row r="6" spans="1:10" ht="15" x14ac:dyDescent="0.25">
      <c r="A6" s="5728" t="s">
        <v>1493</v>
      </c>
      <c r="B6" s="5587"/>
      <c r="C6" s="3593" t="s">
        <v>1492</v>
      </c>
      <c r="D6" s="3594" t="s">
        <v>1491</v>
      </c>
      <c r="E6" s="3594" t="s">
        <v>1490</v>
      </c>
      <c r="F6" s="3593" t="s">
        <v>1489</v>
      </c>
      <c r="G6" s="3592" t="s">
        <v>1488</v>
      </c>
      <c r="H6" s="3592" t="s">
        <v>1022</v>
      </c>
      <c r="I6" s="3592" t="s">
        <v>1023</v>
      </c>
      <c r="J6" s="3429"/>
    </row>
    <row r="7" spans="1:10" ht="14.25" thickBot="1" x14ac:dyDescent="0.3">
      <c r="A7" s="5556"/>
      <c r="B7" s="5588"/>
      <c r="C7" s="752" t="s">
        <v>1487</v>
      </c>
      <c r="D7" s="752" t="s">
        <v>1486</v>
      </c>
      <c r="E7" s="751" t="s">
        <v>1485</v>
      </c>
      <c r="F7" s="750" t="s">
        <v>1484</v>
      </c>
      <c r="G7" s="5584" t="s">
        <v>1011</v>
      </c>
      <c r="H7" s="5585"/>
      <c r="I7" s="5586"/>
      <c r="J7" s="3429"/>
    </row>
    <row r="8" spans="1:10" ht="12" customHeight="1" thickTop="1" x14ac:dyDescent="0.2">
      <c r="A8" s="3306" t="s">
        <v>1483</v>
      </c>
      <c r="B8" s="3497" t="s">
        <v>986</v>
      </c>
      <c r="C8" s="3497" t="s">
        <v>986</v>
      </c>
      <c r="D8" s="3497" t="s">
        <v>986</v>
      </c>
      <c r="E8" s="3497" t="s">
        <v>986</v>
      </c>
      <c r="F8" s="3497" t="s">
        <v>986</v>
      </c>
      <c r="G8" s="3507">
        <v>140.012495398</v>
      </c>
      <c r="H8" s="3507">
        <v>8.1519115620880003E-2</v>
      </c>
      <c r="I8" s="3507">
        <v>9.5327259066340009</v>
      </c>
      <c r="J8" s="3429"/>
    </row>
    <row r="9" spans="1:10" ht="12" customHeight="1" x14ac:dyDescent="0.2">
      <c r="A9" s="3582" t="s">
        <v>1482</v>
      </c>
      <c r="B9" s="3497" t="s">
        <v>986</v>
      </c>
      <c r="C9" s="3497" t="s">
        <v>986</v>
      </c>
      <c r="D9" s="3497" t="s">
        <v>986</v>
      </c>
      <c r="E9" s="3497" t="s">
        <v>986</v>
      </c>
      <c r="F9" s="3497" t="s">
        <v>986</v>
      </c>
      <c r="G9" s="3507" t="s">
        <v>1741</v>
      </c>
      <c r="H9" s="3507">
        <v>8.1142070652999998E-2</v>
      </c>
      <c r="I9" s="3507">
        <v>0.14614793407000001</v>
      </c>
      <c r="J9" s="3429"/>
    </row>
    <row r="10" spans="1:10" ht="12" customHeight="1" x14ac:dyDescent="0.2">
      <c r="A10" s="3590" t="s">
        <v>1476</v>
      </c>
      <c r="B10" s="3497"/>
      <c r="C10" s="3507">
        <v>36.882759387999997</v>
      </c>
      <c r="D10" s="3507" t="s">
        <v>1741</v>
      </c>
      <c r="E10" s="3507">
        <v>1.39999999998965</v>
      </c>
      <c r="F10" s="3507">
        <v>3.9624999998657899</v>
      </c>
      <c r="G10" s="3507" t="s">
        <v>1741</v>
      </c>
      <c r="H10" s="3507">
        <v>8.1142070652999998E-2</v>
      </c>
      <c r="I10" s="3507">
        <v>0.14614793407000001</v>
      </c>
      <c r="J10" s="3429"/>
    </row>
    <row r="11" spans="1:10" ht="12" customHeight="1" x14ac:dyDescent="0.2">
      <c r="A11" s="3591" t="s">
        <v>1475</v>
      </c>
      <c r="B11" s="3497"/>
      <c r="C11" s="3507">
        <v>18.441379693999998</v>
      </c>
      <c r="D11" s="3507" t="s">
        <v>455</v>
      </c>
      <c r="E11" s="3507">
        <v>2.7999999999792999</v>
      </c>
      <c r="F11" s="3507">
        <v>7.9249999997315799</v>
      </c>
      <c r="G11" s="3507" t="s">
        <v>455</v>
      </c>
      <c r="H11" s="3507">
        <v>8.1142070652999998E-2</v>
      </c>
      <c r="I11" s="3507">
        <v>0.14614793407000001</v>
      </c>
      <c r="J11" s="3429"/>
    </row>
    <row r="12" spans="1:10" ht="12" customHeight="1" x14ac:dyDescent="0.2">
      <c r="A12" s="3589" t="s">
        <v>1319</v>
      </c>
      <c r="B12" s="3500" t="s">
        <v>1319</v>
      </c>
      <c r="C12" s="3500">
        <v>18.441379693999998</v>
      </c>
      <c r="D12" s="3507" t="s">
        <v>455</v>
      </c>
      <c r="E12" s="3507">
        <v>2.7999999999792999</v>
      </c>
      <c r="F12" s="3507">
        <v>7.9249999997315799</v>
      </c>
      <c r="G12" s="3500" t="s">
        <v>455</v>
      </c>
      <c r="H12" s="3500">
        <v>8.1142070652999998E-2</v>
      </c>
      <c r="I12" s="3500">
        <v>0.14614793407000001</v>
      </c>
      <c r="J12" s="3429"/>
    </row>
    <row r="13" spans="1:10" ht="12" customHeight="1" x14ac:dyDescent="0.2">
      <c r="A13" s="3591" t="s">
        <v>1474</v>
      </c>
      <c r="B13" s="3497"/>
      <c r="C13" s="3507">
        <v>18.441379693999998</v>
      </c>
      <c r="D13" s="3507" t="s">
        <v>455</v>
      </c>
      <c r="E13" s="3507" t="s">
        <v>799</v>
      </c>
      <c r="F13" s="3507" t="s">
        <v>799</v>
      </c>
      <c r="G13" s="3507" t="s">
        <v>455</v>
      </c>
      <c r="H13" s="3507" t="s">
        <v>799</v>
      </c>
      <c r="I13" s="3507" t="s">
        <v>799</v>
      </c>
      <c r="J13" s="3429"/>
    </row>
    <row r="14" spans="1:10" ht="12" customHeight="1" x14ac:dyDescent="0.2">
      <c r="A14" s="3589" t="s">
        <v>1319</v>
      </c>
      <c r="B14" s="3500" t="s">
        <v>1319</v>
      </c>
      <c r="C14" s="3500">
        <v>18.441379693999998</v>
      </c>
      <c r="D14" s="3507" t="s">
        <v>455</v>
      </c>
      <c r="E14" s="3507" t="s">
        <v>799</v>
      </c>
      <c r="F14" s="3507" t="s">
        <v>799</v>
      </c>
      <c r="G14" s="3500" t="s">
        <v>455</v>
      </c>
      <c r="H14" s="3500" t="s">
        <v>799</v>
      </c>
      <c r="I14" s="3500" t="s">
        <v>799</v>
      </c>
      <c r="J14" s="3429"/>
    </row>
    <row r="15" spans="1:10" ht="12" customHeight="1" x14ac:dyDescent="0.2">
      <c r="A15" s="3588" t="s">
        <v>1218</v>
      </c>
      <c r="B15" s="3497"/>
      <c r="C15" s="3507" t="s">
        <v>259</v>
      </c>
      <c r="D15" s="3507" t="s">
        <v>799</v>
      </c>
      <c r="E15" s="3507" t="s">
        <v>799</v>
      </c>
      <c r="F15" s="3507" t="s">
        <v>799</v>
      </c>
      <c r="G15" s="3507" t="s">
        <v>799</v>
      </c>
      <c r="H15" s="3507" t="s">
        <v>799</v>
      </c>
      <c r="I15" s="3507" t="s">
        <v>799</v>
      </c>
      <c r="J15" s="3429"/>
    </row>
    <row r="16" spans="1:10" ht="12" customHeight="1" x14ac:dyDescent="0.2">
      <c r="A16" s="3590" t="s">
        <v>1473</v>
      </c>
      <c r="B16" s="3497"/>
      <c r="C16" s="3507" t="s">
        <v>259</v>
      </c>
      <c r="D16" s="3507" t="s">
        <v>799</v>
      </c>
      <c r="E16" s="3507" t="s">
        <v>799</v>
      </c>
      <c r="F16" s="3507" t="s">
        <v>799</v>
      </c>
      <c r="G16" s="3507" t="s">
        <v>799</v>
      </c>
      <c r="H16" s="3507" t="s">
        <v>799</v>
      </c>
      <c r="I16" s="3507" t="s">
        <v>799</v>
      </c>
      <c r="J16" s="3429"/>
    </row>
    <row r="17" spans="1:10" ht="12" customHeight="1" x14ac:dyDescent="0.2">
      <c r="A17" s="3588" t="s">
        <v>1472</v>
      </c>
      <c r="B17" s="3497"/>
      <c r="C17" s="3507" t="s">
        <v>259</v>
      </c>
      <c r="D17" s="3507" t="s">
        <v>799</v>
      </c>
      <c r="E17" s="3507" t="s">
        <v>799</v>
      </c>
      <c r="F17" s="3507" t="s">
        <v>799</v>
      </c>
      <c r="G17" s="3507" t="s">
        <v>799</v>
      </c>
      <c r="H17" s="3507" t="s">
        <v>799</v>
      </c>
      <c r="I17" s="3507" t="s">
        <v>799</v>
      </c>
      <c r="J17" s="3429"/>
    </row>
    <row r="18" spans="1:10" ht="12" customHeight="1" x14ac:dyDescent="0.2">
      <c r="A18" s="3589" t="s">
        <v>1319</v>
      </c>
      <c r="B18" s="3500" t="s">
        <v>1319</v>
      </c>
      <c r="C18" s="3500" t="s">
        <v>259</v>
      </c>
      <c r="D18" s="3507" t="s">
        <v>799</v>
      </c>
      <c r="E18" s="3507" t="s">
        <v>799</v>
      </c>
      <c r="F18" s="3507" t="s">
        <v>799</v>
      </c>
      <c r="G18" s="3500" t="s">
        <v>799</v>
      </c>
      <c r="H18" s="3500" t="s">
        <v>799</v>
      </c>
      <c r="I18" s="3500" t="s">
        <v>799</v>
      </c>
      <c r="J18" s="3429"/>
    </row>
    <row r="19" spans="1:10" ht="12" customHeight="1" x14ac:dyDescent="0.2">
      <c r="A19" s="3588" t="s">
        <v>1218</v>
      </c>
      <c r="B19" s="3497"/>
      <c r="C19" s="3507" t="s">
        <v>259</v>
      </c>
      <c r="D19" s="3507" t="s">
        <v>799</v>
      </c>
      <c r="E19" s="3507" t="s">
        <v>799</v>
      </c>
      <c r="F19" s="3507" t="s">
        <v>799</v>
      </c>
      <c r="G19" s="3507" t="s">
        <v>799</v>
      </c>
      <c r="H19" s="3507" t="s">
        <v>799</v>
      </c>
      <c r="I19" s="3507" t="s">
        <v>799</v>
      </c>
      <c r="J19" s="3429"/>
    </row>
    <row r="20" spans="1:10" ht="12" customHeight="1" x14ac:dyDescent="0.2">
      <c r="A20" s="3582" t="s">
        <v>1481</v>
      </c>
      <c r="B20" s="3497" t="s">
        <v>986</v>
      </c>
      <c r="C20" s="3497" t="s">
        <v>986</v>
      </c>
      <c r="D20" s="3497" t="s">
        <v>986</v>
      </c>
      <c r="E20" s="3497" t="s">
        <v>986</v>
      </c>
      <c r="F20" s="3497" t="s">
        <v>986</v>
      </c>
      <c r="G20" s="3507">
        <v>70.565207426000001</v>
      </c>
      <c r="H20" s="3507" t="s">
        <v>799</v>
      </c>
      <c r="I20" s="3507">
        <v>3.7088021982639998</v>
      </c>
      <c r="J20" s="3429"/>
    </row>
    <row r="21" spans="1:10" ht="12" customHeight="1" x14ac:dyDescent="0.2">
      <c r="A21" s="3590" t="s">
        <v>1476</v>
      </c>
      <c r="B21" s="3497"/>
      <c r="C21" s="3507">
        <v>92.371698918999996</v>
      </c>
      <c r="D21" s="3507">
        <v>763.92670321976061</v>
      </c>
      <c r="E21" s="3497" t="s">
        <v>986</v>
      </c>
      <c r="F21" s="3507">
        <v>40.150849683042189</v>
      </c>
      <c r="G21" s="3507">
        <v>70.565207426000001</v>
      </c>
      <c r="H21" s="3497" t="s">
        <v>986</v>
      </c>
      <c r="I21" s="3507">
        <v>3.7088021982639998</v>
      </c>
      <c r="J21" s="3429"/>
    </row>
    <row r="22" spans="1:10" ht="12" customHeight="1" x14ac:dyDescent="0.2">
      <c r="A22" s="3591" t="s">
        <v>1475</v>
      </c>
      <c r="B22" s="3497"/>
      <c r="C22" s="3507">
        <v>89.065290406000003</v>
      </c>
      <c r="D22" s="3507">
        <v>792.28627790165808</v>
      </c>
      <c r="E22" s="3497" t="s">
        <v>986</v>
      </c>
      <c r="F22" s="3507">
        <v>40.601767467614849</v>
      </c>
      <c r="G22" s="3507">
        <v>70.565207426000001</v>
      </c>
      <c r="H22" s="3497" t="s">
        <v>986</v>
      </c>
      <c r="I22" s="3507">
        <v>3.6162082105</v>
      </c>
      <c r="J22" s="3429"/>
    </row>
    <row r="23" spans="1:10" ht="12" customHeight="1" x14ac:dyDescent="0.2">
      <c r="A23" s="3589" t="s">
        <v>1319</v>
      </c>
      <c r="B23" s="3500" t="s">
        <v>1319</v>
      </c>
      <c r="C23" s="3500">
        <v>89.065290406000003</v>
      </c>
      <c r="D23" s="3507">
        <v>792.28627790165808</v>
      </c>
      <c r="E23" s="3497" t="s">
        <v>986</v>
      </c>
      <c r="F23" s="3507">
        <v>40.601767467614849</v>
      </c>
      <c r="G23" s="3500">
        <v>70.565207426000001</v>
      </c>
      <c r="H23" s="3497" t="s">
        <v>986</v>
      </c>
      <c r="I23" s="3500">
        <v>3.6162082105</v>
      </c>
      <c r="J23" s="3429"/>
    </row>
    <row r="24" spans="1:10" ht="12" customHeight="1" x14ac:dyDescent="0.2">
      <c r="A24" s="3591" t="s">
        <v>1474</v>
      </c>
      <c r="B24" s="3497"/>
      <c r="C24" s="3507">
        <v>3.306408513</v>
      </c>
      <c r="D24" s="3507" t="s">
        <v>455</v>
      </c>
      <c r="E24" s="3497" t="s">
        <v>986</v>
      </c>
      <c r="F24" s="3507">
        <v>28.004400363700611</v>
      </c>
      <c r="G24" s="3507" t="s">
        <v>455</v>
      </c>
      <c r="H24" s="3497" t="s">
        <v>986</v>
      </c>
      <c r="I24" s="3507">
        <v>9.2593987764000005E-2</v>
      </c>
      <c r="J24" s="3429"/>
    </row>
    <row r="25" spans="1:10" ht="12" customHeight="1" x14ac:dyDescent="0.2">
      <c r="A25" s="3589" t="s">
        <v>1319</v>
      </c>
      <c r="B25" s="3500" t="s">
        <v>1319</v>
      </c>
      <c r="C25" s="3500">
        <v>3.306408513</v>
      </c>
      <c r="D25" s="3507" t="s">
        <v>455</v>
      </c>
      <c r="E25" s="3497" t="s">
        <v>986</v>
      </c>
      <c r="F25" s="3507">
        <v>28.004400363700611</v>
      </c>
      <c r="G25" s="3500" t="s">
        <v>455</v>
      </c>
      <c r="H25" s="3497" t="s">
        <v>986</v>
      </c>
      <c r="I25" s="3500">
        <v>9.2593987764000005E-2</v>
      </c>
      <c r="J25" s="3429"/>
    </row>
    <row r="26" spans="1:10" ht="12" customHeight="1" x14ac:dyDescent="0.2">
      <c r="A26" s="3588" t="s">
        <v>1218</v>
      </c>
      <c r="B26" s="3497"/>
      <c r="C26" s="3507" t="s">
        <v>259</v>
      </c>
      <c r="D26" s="3507" t="s">
        <v>799</v>
      </c>
      <c r="E26" s="3497" t="s">
        <v>986</v>
      </c>
      <c r="F26" s="3507" t="s">
        <v>799</v>
      </c>
      <c r="G26" s="3507" t="s">
        <v>799</v>
      </c>
      <c r="H26" s="3497" t="s">
        <v>986</v>
      </c>
      <c r="I26" s="3507" t="s">
        <v>799</v>
      </c>
      <c r="J26" s="3429"/>
    </row>
    <row r="27" spans="1:10" ht="12" customHeight="1" x14ac:dyDescent="0.2">
      <c r="A27" s="3590" t="s">
        <v>1473</v>
      </c>
      <c r="B27" s="3497"/>
      <c r="C27" s="3507" t="s">
        <v>259</v>
      </c>
      <c r="D27" s="3507" t="s">
        <v>799</v>
      </c>
      <c r="E27" s="3507" t="s">
        <v>799</v>
      </c>
      <c r="F27" s="3507" t="s">
        <v>799</v>
      </c>
      <c r="G27" s="3507" t="s">
        <v>799</v>
      </c>
      <c r="H27" s="3507" t="s">
        <v>799</v>
      </c>
      <c r="I27" s="3507" t="s">
        <v>799</v>
      </c>
      <c r="J27" s="3429"/>
    </row>
    <row r="28" spans="1:10" ht="12" customHeight="1" x14ac:dyDescent="0.2">
      <c r="A28" s="3588" t="s">
        <v>1472</v>
      </c>
      <c r="B28" s="3497"/>
      <c r="C28" s="3507" t="s">
        <v>259</v>
      </c>
      <c r="D28" s="3507" t="s">
        <v>799</v>
      </c>
      <c r="E28" s="3497" t="s">
        <v>986</v>
      </c>
      <c r="F28" s="3507" t="s">
        <v>799</v>
      </c>
      <c r="G28" s="3507" t="s">
        <v>799</v>
      </c>
      <c r="H28" s="3497" t="s">
        <v>986</v>
      </c>
      <c r="I28" s="3507" t="s">
        <v>799</v>
      </c>
      <c r="J28" s="3429"/>
    </row>
    <row r="29" spans="1:10" ht="12" customHeight="1" x14ac:dyDescent="0.2">
      <c r="A29" s="3589" t="s">
        <v>1319</v>
      </c>
      <c r="B29" s="3500" t="s">
        <v>1319</v>
      </c>
      <c r="C29" s="3500" t="s">
        <v>259</v>
      </c>
      <c r="D29" s="3507" t="s">
        <v>799</v>
      </c>
      <c r="E29" s="3497" t="s">
        <v>986</v>
      </c>
      <c r="F29" s="3507" t="s">
        <v>799</v>
      </c>
      <c r="G29" s="3500" t="s">
        <v>799</v>
      </c>
      <c r="H29" s="3497" t="s">
        <v>986</v>
      </c>
      <c r="I29" s="3500" t="s">
        <v>799</v>
      </c>
      <c r="J29" s="3429"/>
    </row>
    <row r="30" spans="1:10" ht="12" customHeight="1" x14ac:dyDescent="0.2">
      <c r="A30" s="3588" t="s">
        <v>1218</v>
      </c>
      <c r="B30" s="3497"/>
      <c r="C30" s="3507" t="s">
        <v>259</v>
      </c>
      <c r="D30" s="3507" t="s">
        <v>799</v>
      </c>
      <c r="E30" s="3507" t="s">
        <v>799</v>
      </c>
      <c r="F30" s="3507" t="s">
        <v>799</v>
      </c>
      <c r="G30" s="3507" t="s">
        <v>799</v>
      </c>
      <c r="H30" s="3507" t="s">
        <v>799</v>
      </c>
      <c r="I30" s="3507" t="s">
        <v>799</v>
      </c>
      <c r="J30" s="3429"/>
    </row>
    <row r="31" spans="1:10" ht="12" customHeight="1" x14ac:dyDescent="0.2">
      <c r="A31" s="3582" t="s">
        <v>1480</v>
      </c>
      <c r="B31" s="3497" t="s">
        <v>986</v>
      </c>
      <c r="C31" s="3497" t="s">
        <v>986</v>
      </c>
      <c r="D31" s="3497" t="s">
        <v>986</v>
      </c>
      <c r="E31" s="3497" t="s">
        <v>986</v>
      </c>
      <c r="F31" s="3497" t="s">
        <v>986</v>
      </c>
      <c r="G31" s="3507">
        <v>69.447287971999998</v>
      </c>
      <c r="H31" s="3507" t="s">
        <v>799</v>
      </c>
      <c r="I31" s="3507">
        <v>4.5364760690999999</v>
      </c>
      <c r="J31" s="3429"/>
    </row>
    <row r="32" spans="1:10" ht="12" customHeight="1" x14ac:dyDescent="0.2">
      <c r="A32" s="3590" t="s">
        <v>1476</v>
      </c>
      <c r="B32" s="3497"/>
      <c r="C32" s="3507">
        <v>79.921808306000003</v>
      </c>
      <c r="D32" s="3507">
        <v>868.940398671965</v>
      </c>
      <c r="E32" s="3497" t="s">
        <v>986</v>
      </c>
      <c r="F32" s="3507">
        <v>56.761429267603688</v>
      </c>
      <c r="G32" s="3507">
        <v>69.447287971999998</v>
      </c>
      <c r="H32" s="3497" t="s">
        <v>986</v>
      </c>
      <c r="I32" s="3507">
        <v>4.5364760690999999</v>
      </c>
      <c r="J32" s="3429"/>
    </row>
    <row r="33" spans="1:10" ht="12" customHeight="1" x14ac:dyDescent="0.2">
      <c r="A33" s="3591" t="s">
        <v>1475</v>
      </c>
      <c r="B33" s="3497"/>
      <c r="C33" s="3507">
        <v>79.921808306000003</v>
      </c>
      <c r="D33" s="3507">
        <v>868.940398671965</v>
      </c>
      <c r="E33" s="3497" t="s">
        <v>986</v>
      </c>
      <c r="F33" s="3507">
        <v>56.761429267603688</v>
      </c>
      <c r="G33" s="3507">
        <v>69.447287971999998</v>
      </c>
      <c r="H33" s="3497" t="s">
        <v>986</v>
      </c>
      <c r="I33" s="3507">
        <v>4.5364760690999999</v>
      </c>
      <c r="J33" s="3429"/>
    </row>
    <row r="34" spans="1:10" ht="12" customHeight="1" x14ac:dyDescent="0.2">
      <c r="A34" s="3589" t="s">
        <v>1319</v>
      </c>
      <c r="B34" s="3500" t="s">
        <v>1319</v>
      </c>
      <c r="C34" s="3500">
        <v>79.921808306000003</v>
      </c>
      <c r="D34" s="3507">
        <v>868.940398671965</v>
      </c>
      <c r="E34" s="3497" t="s">
        <v>986</v>
      </c>
      <c r="F34" s="3507">
        <v>56.761429267603688</v>
      </c>
      <c r="G34" s="3500">
        <v>69.447287971999998</v>
      </c>
      <c r="H34" s="3497" t="s">
        <v>986</v>
      </c>
      <c r="I34" s="3500">
        <v>4.5364760690999999</v>
      </c>
      <c r="J34" s="3429"/>
    </row>
    <row r="35" spans="1:10" ht="12" customHeight="1" x14ac:dyDescent="0.2">
      <c r="A35" s="3591" t="s">
        <v>1474</v>
      </c>
      <c r="B35" s="3497"/>
      <c r="C35" s="3507" t="s">
        <v>455</v>
      </c>
      <c r="D35" s="3507" t="s">
        <v>455</v>
      </c>
      <c r="E35" s="3497" t="s">
        <v>986</v>
      </c>
      <c r="F35" s="3507" t="s">
        <v>455</v>
      </c>
      <c r="G35" s="3507" t="s">
        <v>455</v>
      </c>
      <c r="H35" s="3497" t="s">
        <v>986</v>
      </c>
      <c r="I35" s="3507" t="s">
        <v>455</v>
      </c>
      <c r="J35" s="3429"/>
    </row>
    <row r="36" spans="1:10" ht="12" customHeight="1" x14ac:dyDescent="0.2">
      <c r="A36" s="3589" t="s">
        <v>1319</v>
      </c>
      <c r="B36" s="3500" t="s">
        <v>1319</v>
      </c>
      <c r="C36" s="3500" t="s">
        <v>455</v>
      </c>
      <c r="D36" s="3507" t="s">
        <v>455</v>
      </c>
      <c r="E36" s="3497" t="s">
        <v>986</v>
      </c>
      <c r="F36" s="3507" t="s">
        <v>455</v>
      </c>
      <c r="G36" s="3500" t="s">
        <v>455</v>
      </c>
      <c r="H36" s="3497" t="s">
        <v>986</v>
      </c>
      <c r="I36" s="3500" t="s">
        <v>455</v>
      </c>
      <c r="J36" s="3429"/>
    </row>
    <row r="37" spans="1:10" ht="12" customHeight="1" x14ac:dyDescent="0.2">
      <c r="A37" s="3588" t="s">
        <v>1218</v>
      </c>
      <c r="B37" s="3497"/>
      <c r="C37" s="3507" t="s">
        <v>259</v>
      </c>
      <c r="D37" s="3507" t="s">
        <v>799</v>
      </c>
      <c r="E37" s="3497" t="s">
        <v>986</v>
      </c>
      <c r="F37" s="3507" t="s">
        <v>799</v>
      </c>
      <c r="G37" s="3507" t="s">
        <v>799</v>
      </c>
      <c r="H37" s="3497" t="s">
        <v>986</v>
      </c>
      <c r="I37" s="3507" t="s">
        <v>799</v>
      </c>
      <c r="J37" s="3429"/>
    </row>
    <row r="38" spans="1:10" ht="12" customHeight="1" x14ac:dyDescent="0.2">
      <c r="A38" s="3590" t="s">
        <v>1473</v>
      </c>
      <c r="B38" s="3497"/>
      <c r="C38" s="3507" t="s">
        <v>1366</v>
      </c>
      <c r="D38" s="3507" t="s">
        <v>1741</v>
      </c>
      <c r="E38" s="3507" t="s">
        <v>799</v>
      </c>
      <c r="F38" s="3507" t="s">
        <v>1741</v>
      </c>
      <c r="G38" s="3507" t="s">
        <v>1741</v>
      </c>
      <c r="H38" s="3507" t="s">
        <v>799</v>
      </c>
      <c r="I38" s="3507" t="s">
        <v>1741</v>
      </c>
      <c r="J38" s="3429"/>
    </row>
    <row r="39" spans="1:10" ht="12" customHeight="1" x14ac:dyDescent="0.2">
      <c r="A39" s="3588" t="s">
        <v>1472</v>
      </c>
      <c r="B39" s="3497"/>
      <c r="C39" s="3507" t="s">
        <v>455</v>
      </c>
      <c r="D39" s="3507" t="s">
        <v>455</v>
      </c>
      <c r="E39" s="3497" t="s">
        <v>986</v>
      </c>
      <c r="F39" s="3507" t="s">
        <v>455</v>
      </c>
      <c r="G39" s="3507" t="s">
        <v>455</v>
      </c>
      <c r="H39" s="3497" t="s">
        <v>986</v>
      </c>
      <c r="I39" s="3507" t="s">
        <v>455</v>
      </c>
      <c r="J39" s="3429"/>
    </row>
    <row r="40" spans="1:10" ht="12" customHeight="1" x14ac:dyDescent="0.2">
      <c r="A40" s="3589" t="s">
        <v>1319</v>
      </c>
      <c r="B40" s="3500" t="s">
        <v>1319</v>
      </c>
      <c r="C40" s="3500" t="s">
        <v>455</v>
      </c>
      <c r="D40" s="3507" t="s">
        <v>455</v>
      </c>
      <c r="E40" s="3497" t="s">
        <v>986</v>
      </c>
      <c r="F40" s="3507" t="s">
        <v>455</v>
      </c>
      <c r="G40" s="3500" t="s">
        <v>455</v>
      </c>
      <c r="H40" s="3497" t="s">
        <v>986</v>
      </c>
      <c r="I40" s="3500" t="s">
        <v>455</v>
      </c>
      <c r="J40" s="3429"/>
    </row>
    <row r="41" spans="1:10" ht="12" customHeight="1" x14ac:dyDescent="0.2">
      <c r="A41" s="3588" t="s">
        <v>1218</v>
      </c>
      <c r="B41" s="3497"/>
      <c r="C41" s="3507" t="s">
        <v>259</v>
      </c>
      <c r="D41" s="3507" t="s">
        <v>799</v>
      </c>
      <c r="E41" s="3507" t="s">
        <v>799</v>
      </c>
      <c r="F41" s="3507" t="s">
        <v>799</v>
      </c>
      <c r="G41" s="3507" t="s">
        <v>799</v>
      </c>
      <c r="H41" s="3507" t="s">
        <v>799</v>
      </c>
      <c r="I41" s="3507" t="s">
        <v>799</v>
      </c>
      <c r="J41" s="3429"/>
    </row>
    <row r="42" spans="1:10" ht="12" customHeight="1" x14ac:dyDescent="0.2">
      <c r="A42" s="3582" t="s">
        <v>1479</v>
      </c>
      <c r="B42" s="3497" t="s">
        <v>986</v>
      </c>
      <c r="C42" s="3497" t="s">
        <v>986</v>
      </c>
      <c r="D42" s="3497" t="s">
        <v>986</v>
      </c>
      <c r="E42" s="3497" t="s">
        <v>986</v>
      </c>
      <c r="F42" s="3497" t="s">
        <v>986</v>
      </c>
      <c r="G42" s="3507" t="s">
        <v>1741</v>
      </c>
      <c r="H42" s="3507">
        <v>3.7704496787999999E-4</v>
      </c>
      <c r="I42" s="3507">
        <v>1.1412997052</v>
      </c>
      <c r="J42" s="3429"/>
    </row>
    <row r="43" spans="1:10" ht="12" customHeight="1" x14ac:dyDescent="0.2">
      <c r="A43" s="3583" t="s">
        <v>1478</v>
      </c>
      <c r="B43" s="3497" t="s">
        <v>986</v>
      </c>
      <c r="C43" s="3497" t="s">
        <v>986</v>
      </c>
      <c r="D43" s="3497" t="s">
        <v>986</v>
      </c>
      <c r="E43" s="3497" t="s">
        <v>986</v>
      </c>
      <c r="F43" s="3497" t="s">
        <v>986</v>
      </c>
      <c r="G43" s="3507" t="s">
        <v>1741</v>
      </c>
      <c r="H43" s="3507">
        <v>3.7704496787999999E-4</v>
      </c>
      <c r="I43" s="3507">
        <v>2.656E-2</v>
      </c>
      <c r="J43" s="3429"/>
    </row>
    <row r="44" spans="1:10" ht="12" customHeight="1" x14ac:dyDescent="0.2">
      <c r="A44" s="3586" t="s">
        <v>1476</v>
      </c>
      <c r="B44" s="3497"/>
      <c r="C44" s="3507">
        <v>0.8</v>
      </c>
      <c r="D44" s="3507" t="s">
        <v>1741</v>
      </c>
      <c r="E44" s="3507">
        <v>0.29992213354091002</v>
      </c>
      <c r="F44" s="3507">
        <v>33.200000000000003</v>
      </c>
      <c r="G44" s="3507" t="s">
        <v>1741</v>
      </c>
      <c r="H44" s="3507">
        <v>3.7704496787999999E-4</v>
      </c>
      <c r="I44" s="3507">
        <v>2.656E-2</v>
      </c>
      <c r="J44" s="3429"/>
    </row>
    <row r="45" spans="1:10" ht="12" customHeight="1" x14ac:dyDescent="0.2">
      <c r="A45" s="3587" t="s">
        <v>1475</v>
      </c>
      <c r="B45" s="3497"/>
      <c r="C45" s="3507">
        <v>0.8</v>
      </c>
      <c r="D45" s="3507" t="s">
        <v>455</v>
      </c>
      <c r="E45" s="3507">
        <v>0.29992213354091002</v>
      </c>
      <c r="F45" s="3507">
        <v>33.200000000000003</v>
      </c>
      <c r="G45" s="3507" t="s">
        <v>455</v>
      </c>
      <c r="H45" s="3507">
        <v>3.7704496787999999E-4</v>
      </c>
      <c r="I45" s="3507">
        <v>2.656E-2</v>
      </c>
      <c r="J45" s="3429"/>
    </row>
    <row r="46" spans="1:10" ht="12" customHeight="1" x14ac:dyDescent="0.2">
      <c r="A46" s="3585" t="s">
        <v>1319</v>
      </c>
      <c r="B46" s="3500" t="s">
        <v>1319</v>
      </c>
      <c r="C46" s="3500">
        <v>0.8</v>
      </c>
      <c r="D46" s="3507" t="s">
        <v>455</v>
      </c>
      <c r="E46" s="3507">
        <v>0.29992213354091002</v>
      </c>
      <c r="F46" s="3507">
        <v>33.200000000000003</v>
      </c>
      <c r="G46" s="3500" t="s">
        <v>455</v>
      </c>
      <c r="H46" s="3500">
        <v>3.7704496787999999E-4</v>
      </c>
      <c r="I46" s="3500">
        <v>2.656E-2</v>
      </c>
      <c r="J46" s="3429"/>
    </row>
    <row r="47" spans="1:10" ht="12" customHeight="1" x14ac:dyDescent="0.2">
      <c r="A47" s="3587" t="s">
        <v>1474</v>
      </c>
      <c r="B47" s="3497"/>
      <c r="C47" s="3507" t="s">
        <v>259</v>
      </c>
      <c r="D47" s="3507" t="s">
        <v>799</v>
      </c>
      <c r="E47" s="3507" t="s">
        <v>799</v>
      </c>
      <c r="F47" s="3507" t="s">
        <v>799</v>
      </c>
      <c r="G47" s="3507" t="s">
        <v>799</v>
      </c>
      <c r="H47" s="3507" t="s">
        <v>799</v>
      </c>
      <c r="I47" s="3507" t="s">
        <v>799</v>
      </c>
      <c r="J47" s="3429"/>
    </row>
    <row r="48" spans="1:10" ht="12" customHeight="1" x14ac:dyDescent="0.2">
      <c r="A48" s="3585" t="s">
        <v>1319</v>
      </c>
      <c r="B48" s="3500" t="s">
        <v>1319</v>
      </c>
      <c r="C48" s="3500" t="s">
        <v>259</v>
      </c>
      <c r="D48" s="3507" t="s">
        <v>799</v>
      </c>
      <c r="E48" s="3507" t="s">
        <v>799</v>
      </c>
      <c r="F48" s="3507" t="s">
        <v>799</v>
      </c>
      <c r="G48" s="3500" t="s">
        <v>799</v>
      </c>
      <c r="H48" s="3500" t="s">
        <v>799</v>
      </c>
      <c r="I48" s="3500" t="s">
        <v>799</v>
      </c>
      <c r="J48" s="3429"/>
    </row>
    <row r="49" spans="1:10" ht="12" customHeight="1" x14ac:dyDescent="0.2">
      <c r="A49" s="3584" t="s">
        <v>1218</v>
      </c>
      <c r="B49" s="3497"/>
      <c r="C49" s="3507" t="s">
        <v>259</v>
      </c>
      <c r="D49" s="3507" t="s">
        <v>799</v>
      </c>
      <c r="E49" s="3507" t="s">
        <v>799</v>
      </c>
      <c r="F49" s="3507" t="s">
        <v>799</v>
      </c>
      <c r="G49" s="3507" t="s">
        <v>799</v>
      </c>
      <c r="H49" s="3507" t="s">
        <v>799</v>
      </c>
      <c r="I49" s="3507" t="s">
        <v>799</v>
      </c>
      <c r="J49" s="3429"/>
    </row>
    <row r="50" spans="1:10" ht="12" customHeight="1" x14ac:dyDescent="0.2">
      <c r="A50" s="3586" t="s">
        <v>1473</v>
      </c>
      <c r="B50" s="3497"/>
      <c r="C50" s="3507" t="s">
        <v>259</v>
      </c>
      <c r="D50" s="3507" t="s">
        <v>799</v>
      </c>
      <c r="E50" s="3507" t="s">
        <v>799</v>
      </c>
      <c r="F50" s="3507" t="s">
        <v>799</v>
      </c>
      <c r="G50" s="3507" t="s">
        <v>799</v>
      </c>
      <c r="H50" s="3507" t="s">
        <v>799</v>
      </c>
      <c r="I50" s="3507" t="s">
        <v>799</v>
      </c>
      <c r="J50" s="3429"/>
    </row>
    <row r="51" spans="1:10" ht="12" customHeight="1" x14ac:dyDescent="0.2">
      <c r="A51" s="3584" t="s">
        <v>1472</v>
      </c>
      <c r="B51" s="3497"/>
      <c r="C51" s="3507" t="s">
        <v>259</v>
      </c>
      <c r="D51" s="3507" t="s">
        <v>799</v>
      </c>
      <c r="E51" s="3507" t="s">
        <v>799</v>
      </c>
      <c r="F51" s="3507" t="s">
        <v>799</v>
      </c>
      <c r="G51" s="3507" t="s">
        <v>799</v>
      </c>
      <c r="H51" s="3507" t="s">
        <v>799</v>
      </c>
      <c r="I51" s="3507" t="s">
        <v>799</v>
      </c>
      <c r="J51" s="3429"/>
    </row>
    <row r="52" spans="1:10" ht="12" customHeight="1" x14ac:dyDescent="0.2">
      <c r="A52" s="3585" t="s">
        <v>1319</v>
      </c>
      <c r="B52" s="3500" t="s">
        <v>1319</v>
      </c>
      <c r="C52" s="3500" t="s">
        <v>259</v>
      </c>
      <c r="D52" s="3507" t="s">
        <v>799</v>
      </c>
      <c r="E52" s="3507" t="s">
        <v>799</v>
      </c>
      <c r="F52" s="3507" t="s">
        <v>799</v>
      </c>
      <c r="G52" s="3500" t="s">
        <v>799</v>
      </c>
      <c r="H52" s="3500" t="s">
        <v>799</v>
      </c>
      <c r="I52" s="3500" t="s">
        <v>799</v>
      </c>
      <c r="J52" s="3429"/>
    </row>
    <row r="53" spans="1:10" ht="12" customHeight="1" x14ac:dyDescent="0.2">
      <c r="A53" s="3584" t="s">
        <v>1218</v>
      </c>
      <c r="B53" s="3497"/>
      <c r="C53" s="3507" t="s">
        <v>259</v>
      </c>
      <c r="D53" s="3507" t="s">
        <v>799</v>
      </c>
      <c r="E53" s="3507" t="s">
        <v>799</v>
      </c>
      <c r="F53" s="3507" t="s">
        <v>799</v>
      </c>
      <c r="G53" s="3507" t="s">
        <v>799</v>
      </c>
      <c r="H53" s="3507" t="s">
        <v>799</v>
      </c>
      <c r="I53" s="3507" t="s">
        <v>799</v>
      </c>
      <c r="J53" s="3429"/>
    </row>
    <row r="54" spans="1:10" ht="12" customHeight="1" x14ac:dyDescent="0.2">
      <c r="A54" s="3583" t="s">
        <v>1477</v>
      </c>
      <c r="B54" s="3497" t="s">
        <v>986</v>
      </c>
      <c r="C54" s="3497" t="s">
        <v>986</v>
      </c>
      <c r="D54" s="3497" t="s">
        <v>986</v>
      </c>
      <c r="E54" s="3497" t="s">
        <v>986</v>
      </c>
      <c r="F54" s="3497" t="s">
        <v>986</v>
      </c>
      <c r="G54" s="3507" t="s">
        <v>799</v>
      </c>
      <c r="H54" s="3507" t="s">
        <v>799</v>
      </c>
      <c r="I54" s="3507" t="s">
        <v>799</v>
      </c>
      <c r="J54" s="3429"/>
    </row>
    <row r="55" spans="1:10" ht="12" customHeight="1" x14ac:dyDescent="0.2">
      <c r="A55" s="3586" t="s">
        <v>1476</v>
      </c>
      <c r="B55" s="3497"/>
      <c r="C55" s="3507">
        <v>4.2674576532999997E-2</v>
      </c>
      <c r="D55" s="3507" t="s">
        <v>799</v>
      </c>
      <c r="E55" s="3507" t="s">
        <v>799</v>
      </c>
      <c r="F55" s="3507" t="s">
        <v>799</v>
      </c>
      <c r="G55" s="3507" t="s">
        <v>799</v>
      </c>
      <c r="H55" s="3507" t="s">
        <v>799</v>
      </c>
      <c r="I55" s="3507" t="s">
        <v>799</v>
      </c>
      <c r="J55" s="3429"/>
    </row>
    <row r="56" spans="1:10" ht="12" customHeight="1" x14ac:dyDescent="0.2">
      <c r="A56" s="3587" t="s">
        <v>1475</v>
      </c>
      <c r="B56" s="3497"/>
      <c r="C56" s="3507" t="s">
        <v>259</v>
      </c>
      <c r="D56" s="3507" t="s">
        <v>799</v>
      </c>
      <c r="E56" s="3507" t="s">
        <v>799</v>
      </c>
      <c r="F56" s="3507" t="s">
        <v>799</v>
      </c>
      <c r="G56" s="3507" t="s">
        <v>799</v>
      </c>
      <c r="H56" s="3507" t="s">
        <v>799</v>
      </c>
      <c r="I56" s="3507" t="s">
        <v>799</v>
      </c>
      <c r="J56" s="3429"/>
    </row>
    <row r="57" spans="1:10" ht="12" customHeight="1" x14ac:dyDescent="0.2">
      <c r="A57" s="3585" t="s">
        <v>1319</v>
      </c>
      <c r="B57" s="3500" t="s">
        <v>1319</v>
      </c>
      <c r="C57" s="3500" t="s">
        <v>259</v>
      </c>
      <c r="D57" s="3507" t="s">
        <v>799</v>
      </c>
      <c r="E57" s="3507" t="s">
        <v>799</v>
      </c>
      <c r="F57" s="3507" t="s">
        <v>799</v>
      </c>
      <c r="G57" s="3500" t="s">
        <v>799</v>
      </c>
      <c r="H57" s="3500" t="s">
        <v>799</v>
      </c>
      <c r="I57" s="3500" t="s">
        <v>799</v>
      </c>
      <c r="J57" s="3429"/>
    </row>
    <row r="58" spans="1:10" ht="12" customHeight="1" x14ac:dyDescent="0.2">
      <c r="A58" s="3587" t="s">
        <v>1474</v>
      </c>
      <c r="B58" s="3497"/>
      <c r="C58" s="3507">
        <v>4.2674576532999997E-2</v>
      </c>
      <c r="D58" s="3507" t="s">
        <v>799</v>
      </c>
      <c r="E58" s="3507" t="s">
        <v>799</v>
      </c>
      <c r="F58" s="3507" t="s">
        <v>799</v>
      </c>
      <c r="G58" s="3507" t="s">
        <v>799</v>
      </c>
      <c r="H58" s="3507" t="s">
        <v>799</v>
      </c>
      <c r="I58" s="3507" t="s">
        <v>799</v>
      </c>
      <c r="J58" s="3429"/>
    </row>
    <row r="59" spans="1:10" ht="12" customHeight="1" x14ac:dyDescent="0.2">
      <c r="A59" s="3585" t="s">
        <v>1319</v>
      </c>
      <c r="B59" s="3500" t="s">
        <v>1319</v>
      </c>
      <c r="C59" s="3500">
        <v>4.2674576532999997E-2</v>
      </c>
      <c r="D59" s="3507" t="s">
        <v>799</v>
      </c>
      <c r="E59" s="3507" t="s">
        <v>799</v>
      </c>
      <c r="F59" s="3507" t="s">
        <v>799</v>
      </c>
      <c r="G59" s="3500" t="s">
        <v>799</v>
      </c>
      <c r="H59" s="3500" t="s">
        <v>799</v>
      </c>
      <c r="I59" s="3500" t="s">
        <v>799</v>
      </c>
      <c r="J59" s="3429"/>
    </row>
    <row r="60" spans="1:10" ht="12" customHeight="1" x14ac:dyDescent="0.2">
      <c r="A60" s="3584" t="s">
        <v>1218</v>
      </c>
      <c r="B60" s="3497"/>
      <c r="C60" s="3507" t="s">
        <v>259</v>
      </c>
      <c r="D60" s="3507" t="s">
        <v>799</v>
      </c>
      <c r="E60" s="3507" t="s">
        <v>799</v>
      </c>
      <c r="F60" s="3507" t="s">
        <v>799</v>
      </c>
      <c r="G60" s="3507" t="s">
        <v>799</v>
      </c>
      <c r="H60" s="3507" t="s">
        <v>799</v>
      </c>
      <c r="I60" s="3507" t="s">
        <v>799</v>
      </c>
      <c r="J60" s="3429"/>
    </row>
    <row r="61" spans="1:10" ht="12" customHeight="1" x14ac:dyDescent="0.2">
      <c r="A61" s="3586" t="s">
        <v>1473</v>
      </c>
      <c r="B61" s="3497"/>
      <c r="C61" s="3507">
        <v>5.5308043773</v>
      </c>
      <c r="D61" s="3507" t="s">
        <v>799</v>
      </c>
      <c r="E61" s="3507" t="s">
        <v>799</v>
      </c>
      <c r="F61" s="3507" t="s">
        <v>799</v>
      </c>
      <c r="G61" s="3507" t="s">
        <v>799</v>
      </c>
      <c r="H61" s="3507" t="s">
        <v>799</v>
      </c>
      <c r="I61" s="3507" t="s">
        <v>799</v>
      </c>
      <c r="J61" s="3429"/>
    </row>
    <row r="62" spans="1:10" ht="12" customHeight="1" x14ac:dyDescent="0.2">
      <c r="A62" s="3584" t="s">
        <v>1472</v>
      </c>
      <c r="B62" s="3497"/>
      <c r="C62" s="3507">
        <v>5.5308043773</v>
      </c>
      <c r="D62" s="3507" t="s">
        <v>799</v>
      </c>
      <c r="E62" s="3507" t="s">
        <v>799</v>
      </c>
      <c r="F62" s="3507" t="s">
        <v>799</v>
      </c>
      <c r="G62" s="3507" t="s">
        <v>799</v>
      </c>
      <c r="H62" s="3507" t="s">
        <v>799</v>
      </c>
      <c r="I62" s="3507" t="s">
        <v>799</v>
      </c>
      <c r="J62" s="3429"/>
    </row>
    <row r="63" spans="1:10" ht="12" customHeight="1" x14ac:dyDescent="0.2">
      <c r="A63" s="3585" t="s">
        <v>1319</v>
      </c>
      <c r="B63" s="3500" t="s">
        <v>1319</v>
      </c>
      <c r="C63" s="3500">
        <v>5.5308043773</v>
      </c>
      <c r="D63" s="3507" t="s">
        <v>799</v>
      </c>
      <c r="E63" s="3507" t="s">
        <v>799</v>
      </c>
      <c r="F63" s="3507" t="s">
        <v>799</v>
      </c>
      <c r="G63" s="3500" t="s">
        <v>799</v>
      </c>
      <c r="H63" s="3500" t="s">
        <v>799</v>
      </c>
      <c r="I63" s="3500" t="s">
        <v>799</v>
      </c>
      <c r="J63" s="3429"/>
    </row>
    <row r="64" spans="1:10" ht="12" customHeight="1" x14ac:dyDescent="0.2">
      <c r="A64" s="3584" t="s">
        <v>1218</v>
      </c>
      <c r="B64" s="3497"/>
      <c r="C64" s="3507" t="s">
        <v>259</v>
      </c>
      <c r="D64" s="3507" t="s">
        <v>799</v>
      </c>
      <c r="E64" s="3507" t="s">
        <v>799</v>
      </c>
      <c r="F64" s="3507" t="s">
        <v>799</v>
      </c>
      <c r="G64" s="3507" t="s">
        <v>799</v>
      </c>
      <c r="H64" s="3507" t="s">
        <v>799</v>
      </c>
      <c r="I64" s="3507" t="s">
        <v>799</v>
      </c>
      <c r="J64" s="3429"/>
    </row>
    <row r="65" spans="1:10" ht="12" customHeight="1" x14ac:dyDescent="0.2">
      <c r="A65" s="3583" t="s">
        <v>1471</v>
      </c>
      <c r="B65" s="3497"/>
      <c r="C65" s="3497" t="s">
        <v>986</v>
      </c>
      <c r="D65" s="3497" t="s">
        <v>986</v>
      </c>
      <c r="E65" s="3497" t="s">
        <v>986</v>
      </c>
      <c r="F65" s="3497" t="s">
        <v>986</v>
      </c>
      <c r="G65" s="3507" t="s">
        <v>799</v>
      </c>
      <c r="H65" s="3507" t="s">
        <v>799</v>
      </c>
      <c r="I65" s="3507">
        <v>1.1147397052000001</v>
      </c>
      <c r="J65" s="3429"/>
    </row>
    <row r="66" spans="1:10" ht="12" customHeight="1" x14ac:dyDescent="0.2">
      <c r="A66" s="3522" t="s">
        <v>1470</v>
      </c>
      <c r="B66" s="3497"/>
      <c r="C66" s="3507">
        <v>20.978141666999999</v>
      </c>
      <c r="D66" s="3507" t="s">
        <v>799</v>
      </c>
      <c r="E66" s="3507" t="s">
        <v>799</v>
      </c>
      <c r="F66" s="3507">
        <v>53.13815317367024</v>
      </c>
      <c r="G66" s="3507" t="s">
        <v>799</v>
      </c>
      <c r="H66" s="3507" t="s">
        <v>799</v>
      </c>
      <c r="I66" s="3507">
        <v>1.1147397052000001</v>
      </c>
      <c r="J66" s="3429"/>
    </row>
    <row r="67" spans="1:10" ht="12" customHeight="1" x14ac:dyDescent="0.2">
      <c r="A67" s="3582" t="s">
        <v>1469</v>
      </c>
      <c r="B67" s="3497"/>
      <c r="C67" s="3497" t="s">
        <v>986</v>
      </c>
      <c r="D67" s="3497" t="s">
        <v>986</v>
      </c>
      <c r="E67" s="3497" t="s">
        <v>986</v>
      </c>
      <c r="F67" s="3497" t="s">
        <v>986</v>
      </c>
      <c r="G67" s="3507" t="s">
        <v>799</v>
      </c>
      <c r="H67" s="3507" t="s">
        <v>799</v>
      </c>
      <c r="I67" s="3507" t="s">
        <v>799</v>
      </c>
      <c r="J67" s="3429"/>
    </row>
    <row r="68" spans="1:10" x14ac:dyDescent="0.2">
      <c r="A68" s="678" t="s">
        <v>564</v>
      </c>
      <c r="B68" s="663"/>
      <c r="C68" s="663"/>
      <c r="D68" s="663"/>
      <c r="E68" s="663"/>
      <c r="F68" s="663"/>
      <c r="G68" s="663"/>
      <c r="H68" s="663"/>
      <c r="I68" s="663"/>
      <c r="J68" s="3429"/>
    </row>
    <row r="69" spans="1:10" ht="13.5" x14ac:dyDescent="0.2">
      <c r="A69" s="5536" t="s">
        <v>1468</v>
      </c>
      <c r="B69" s="5536"/>
      <c r="C69" s="5536"/>
      <c r="D69" s="5536"/>
      <c r="E69" s="5536"/>
      <c r="F69" s="663"/>
      <c r="G69" s="663"/>
      <c r="H69" s="663"/>
      <c r="I69" s="663"/>
      <c r="J69" s="3429"/>
    </row>
    <row r="70" spans="1:10" ht="13.5" x14ac:dyDescent="0.2">
      <c r="A70" s="5504" t="s">
        <v>1467</v>
      </c>
      <c r="B70" s="5504"/>
      <c r="C70" s="5504"/>
      <c r="D70" s="5504"/>
      <c r="E70" s="5504"/>
      <c r="F70" s="5504"/>
      <c r="G70" s="5504"/>
      <c r="H70" s="5504"/>
      <c r="I70" s="5504"/>
      <c r="J70" s="3429"/>
    </row>
    <row r="71" spans="1:10" ht="13.5" x14ac:dyDescent="0.2">
      <c r="A71" s="5536" t="s">
        <v>1466</v>
      </c>
      <c r="B71" s="5536"/>
      <c r="C71" s="5536"/>
      <c r="D71" s="3307"/>
      <c r="E71" s="663"/>
      <c r="F71" s="663"/>
      <c r="G71" s="663"/>
      <c r="H71" s="663"/>
      <c r="I71" s="663"/>
      <c r="J71" s="3429"/>
    </row>
    <row r="72" spans="1:10" x14ac:dyDescent="0.2">
      <c r="A72" s="5554" t="s">
        <v>1465</v>
      </c>
      <c r="B72" s="5555"/>
      <c r="C72" s="5555"/>
      <c r="D72" s="5555"/>
      <c r="E72" s="5555"/>
      <c r="F72" s="5555"/>
      <c r="G72" s="5555"/>
      <c r="H72" s="663"/>
      <c r="I72" s="663"/>
      <c r="J72" s="3429"/>
    </row>
    <row r="73" spans="1:10" ht="13.5" x14ac:dyDescent="0.2">
      <c r="A73" s="5536" t="s">
        <v>1464</v>
      </c>
      <c r="B73" s="5536"/>
      <c r="C73" s="5536"/>
      <c r="D73" s="660"/>
      <c r="E73" s="660"/>
      <c r="F73" s="660"/>
      <c r="G73" s="660"/>
      <c r="H73" s="660"/>
      <c r="I73" s="660"/>
      <c r="J73" s="3429"/>
    </row>
    <row r="74" spans="1:10" ht="14.25" x14ac:dyDescent="0.25">
      <c r="A74" s="660" t="s">
        <v>1463</v>
      </c>
      <c r="B74" s="660"/>
      <c r="C74" s="660"/>
      <c r="D74" s="660"/>
      <c r="E74" s="660"/>
      <c r="F74" s="660"/>
      <c r="G74" s="660"/>
      <c r="H74" s="660"/>
      <c r="I74" s="660"/>
      <c r="J74" s="3429"/>
    </row>
    <row r="75" spans="1:10" x14ac:dyDescent="0.2">
      <c r="A75" s="5740" t="s">
        <v>982</v>
      </c>
      <c r="B75" s="5757"/>
      <c r="C75" s="5757"/>
      <c r="D75" s="3571"/>
      <c r="E75" s="3581"/>
      <c r="F75" s="3581"/>
      <c r="G75" s="3581"/>
      <c r="H75" s="3581"/>
      <c r="I75" s="3580"/>
      <c r="J75" s="660"/>
    </row>
    <row r="76" spans="1:10" ht="33" customHeight="1" x14ac:dyDescent="0.2">
      <c r="A76" s="5758" t="s">
        <v>1310</v>
      </c>
      <c r="B76" s="5746"/>
      <c r="C76" s="5746"/>
      <c r="D76" s="5746"/>
      <c r="E76" s="5746"/>
      <c r="F76" s="5746"/>
      <c r="G76" s="5746"/>
      <c r="H76" s="5746"/>
      <c r="I76" s="5747"/>
      <c r="J76" s="660"/>
    </row>
    <row r="77" spans="1:10" x14ac:dyDescent="0.2">
      <c r="A77" s="3494" t="s">
        <v>980</v>
      </c>
      <c r="B77" s="5696" t="s">
        <v>986</v>
      </c>
      <c r="C77" s="5697"/>
      <c r="D77" s="5697"/>
      <c r="E77" s="5697"/>
      <c r="F77" s="5697"/>
      <c r="G77" s="5697"/>
      <c r="H77" s="5697"/>
      <c r="I77" s="5697"/>
      <c r="J77" s="660"/>
    </row>
    <row r="78" spans="1:10" x14ac:dyDescent="0.2">
      <c r="A78" s="3494" t="s">
        <v>980</v>
      </c>
      <c r="B78" s="5696" t="s">
        <v>986</v>
      </c>
      <c r="C78" s="5697"/>
      <c r="D78" s="5697"/>
      <c r="E78" s="5697"/>
      <c r="F78" s="5697"/>
      <c r="G78" s="5697"/>
      <c r="H78" s="5697"/>
      <c r="I78" s="5697"/>
    </row>
    <row r="79" spans="1:10" x14ac:dyDescent="0.2">
      <c r="A79" s="3494" t="s">
        <v>980</v>
      </c>
      <c r="B79" s="5696" t="s">
        <v>986</v>
      </c>
      <c r="C79" s="5697"/>
      <c r="D79" s="5697"/>
      <c r="E79" s="5697"/>
      <c r="F79" s="5697"/>
      <c r="G79" s="5697"/>
      <c r="H79" s="5697"/>
      <c r="I79" s="5697"/>
    </row>
    <row r="80" spans="1:10" x14ac:dyDescent="0.2">
      <c r="A80" s="3494" t="s">
        <v>980</v>
      </c>
      <c r="B80" s="5696" t="s">
        <v>986</v>
      </c>
      <c r="C80" s="5697"/>
      <c r="D80" s="5697"/>
      <c r="E80" s="5697"/>
      <c r="F80" s="5697"/>
      <c r="G80" s="5697"/>
      <c r="H80" s="5697"/>
      <c r="I80" s="5697"/>
    </row>
    <row r="81" spans="1:9" x14ac:dyDescent="0.2">
      <c r="A81" s="3494" t="s">
        <v>980</v>
      </c>
      <c r="B81" s="5696" t="s">
        <v>986</v>
      </c>
      <c r="C81" s="5697"/>
      <c r="D81" s="5697"/>
      <c r="E81" s="5697"/>
      <c r="F81" s="5697"/>
      <c r="G81" s="5697"/>
      <c r="H81" s="5697"/>
      <c r="I81" s="5697"/>
    </row>
  </sheetData>
  <sheetProtection password="A754" sheet="1" objects="1" scenarios="1"/>
  <mergeCells count="18">
    <mergeCell ref="A69:E69"/>
    <mergeCell ref="A70:I70"/>
    <mergeCell ref="A71:C71"/>
    <mergeCell ref="A75:C75"/>
    <mergeCell ref="A76:I76"/>
    <mergeCell ref="A72:G72"/>
    <mergeCell ref="B78:I78"/>
    <mergeCell ref="B79:I79"/>
    <mergeCell ref="B80:I80"/>
    <mergeCell ref="B81:I81"/>
    <mergeCell ref="A73:C73"/>
    <mergeCell ref="B77:I77"/>
    <mergeCell ref="A2:C2"/>
    <mergeCell ref="D5:F5"/>
    <mergeCell ref="G5:I5"/>
    <mergeCell ref="A6:A7"/>
    <mergeCell ref="G7:I7"/>
    <mergeCell ref="B5:B7"/>
  </mergeCells>
  <pageMargins left="0.7" right="0.7" top="0.75" bottom="0.75" header="0.3" footer="0.3"/>
  <pageSetup paperSize="9" scale="72" fitToHeight="0" orientation="landscape"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59622-B518-40E4-A948-36918B214B9F}">
  <sheetPr codeName="Ark73">
    <tabColor theme="0" tint="-0.34998626667073579"/>
    <pageSetUpPr fitToPage="1"/>
  </sheetPr>
  <dimension ref="A1:G54"/>
  <sheetViews>
    <sheetView showGridLines="0" workbookViewId="0"/>
  </sheetViews>
  <sheetFormatPr defaultColWidth="8" defaultRowHeight="12" x14ac:dyDescent="0.2"/>
  <cols>
    <col min="1" max="1" width="65.85546875" style="659" customWidth="1"/>
    <col min="2" max="2" width="30.7109375" style="659" customWidth="1"/>
    <col min="3" max="3" width="33.28515625" style="659" customWidth="1"/>
    <col min="4" max="4" width="30.7109375" style="659" customWidth="1"/>
    <col min="5" max="5" width="1.28515625" style="659" customWidth="1"/>
    <col min="6" max="9" width="11" style="659" customWidth="1"/>
    <col min="10" max="16384" width="8" style="659"/>
  </cols>
  <sheetData>
    <row r="1" spans="1:7" ht="15.75" x14ac:dyDescent="0.25">
      <c r="A1" s="671" t="s">
        <v>1530</v>
      </c>
      <c r="B1" s="670"/>
      <c r="C1" s="670"/>
      <c r="D1" s="668" t="s">
        <v>1762</v>
      </c>
      <c r="E1" s="668"/>
      <c r="F1" s="668"/>
      <c r="G1" s="668"/>
    </row>
    <row r="2" spans="1:7" ht="15.75" x14ac:dyDescent="0.2">
      <c r="A2" s="5592" t="s">
        <v>1529</v>
      </c>
      <c r="B2" s="5593"/>
      <c r="C2" s="5593"/>
      <c r="D2" s="668" t="s">
        <v>1761</v>
      </c>
      <c r="E2" s="668"/>
      <c r="F2" s="668"/>
      <c r="G2" s="668"/>
    </row>
    <row r="3" spans="1:7" ht="18.75" x14ac:dyDescent="0.2">
      <c r="A3" s="761" t="s">
        <v>1528</v>
      </c>
      <c r="B3" s="760"/>
      <c r="C3" s="760"/>
      <c r="D3" s="759" t="s">
        <v>1789</v>
      </c>
      <c r="E3" s="668"/>
      <c r="F3" s="668"/>
      <c r="G3" s="668"/>
    </row>
    <row r="4" spans="1:7" ht="15.75" x14ac:dyDescent="0.25">
      <c r="A4" s="758" t="s">
        <v>1197</v>
      </c>
      <c r="B4" s="670"/>
      <c r="C4" s="670"/>
      <c r="D4" s="660"/>
      <c r="E4" s="668"/>
      <c r="F4" s="668"/>
      <c r="G4" s="668"/>
    </row>
    <row r="5" spans="1:7" x14ac:dyDescent="0.2">
      <c r="A5" s="660"/>
      <c r="B5" s="660"/>
      <c r="C5" s="660"/>
      <c r="D5" s="660"/>
      <c r="E5" s="660"/>
      <c r="F5" s="660"/>
      <c r="G5" s="660"/>
    </row>
    <row r="6" spans="1:7" x14ac:dyDescent="0.2">
      <c r="A6" s="3572" t="s">
        <v>1025</v>
      </c>
      <c r="B6" s="3595" t="s">
        <v>1083</v>
      </c>
      <c r="C6" s="3595" t="s">
        <v>1238</v>
      </c>
      <c r="D6" s="3601" t="s">
        <v>1307</v>
      </c>
      <c r="E6" s="660"/>
      <c r="F6" s="660"/>
      <c r="G6" s="660"/>
    </row>
    <row r="7" spans="1:7" ht="18" customHeight="1" x14ac:dyDescent="0.2">
      <c r="A7" s="5752" t="s">
        <v>1527</v>
      </c>
      <c r="B7" s="3595" t="s">
        <v>1526</v>
      </c>
      <c r="C7" s="3595" t="s">
        <v>1525</v>
      </c>
      <c r="D7" s="3595" t="s">
        <v>1022</v>
      </c>
      <c r="E7" s="660"/>
      <c r="F7" s="660"/>
      <c r="G7" s="660"/>
    </row>
    <row r="8" spans="1:7" ht="20.25" customHeight="1" thickBot="1" x14ac:dyDescent="0.25">
      <c r="A8" s="5594"/>
      <c r="B8" s="3308" t="s">
        <v>1524</v>
      </c>
      <c r="C8" s="3308" t="s">
        <v>1485</v>
      </c>
      <c r="D8" s="757" t="s">
        <v>1011</v>
      </c>
      <c r="E8" s="660"/>
      <c r="F8" s="660"/>
      <c r="G8" s="660"/>
    </row>
    <row r="9" spans="1:7" ht="12.75" thickTop="1" x14ac:dyDescent="0.2">
      <c r="A9" s="756" t="s">
        <v>1523</v>
      </c>
      <c r="B9" s="3507">
        <v>842.08705066492996</v>
      </c>
      <c r="C9" s="3507">
        <v>5.8815676628829999E-2</v>
      </c>
      <c r="D9" s="3507">
        <v>7.7829588045370005E-2</v>
      </c>
      <c r="E9" s="660"/>
      <c r="F9" s="660"/>
      <c r="G9" s="660"/>
    </row>
    <row r="10" spans="1:7" x14ac:dyDescent="0.2">
      <c r="A10" s="3582" t="s">
        <v>1522</v>
      </c>
      <c r="B10" s="3507">
        <v>606.97293906300001</v>
      </c>
      <c r="C10" s="3507" t="s">
        <v>1741</v>
      </c>
      <c r="D10" s="3507" t="s">
        <v>1741</v>
      </c>
      <c r="E10" s="660"/>
      <c r="F10" s="660"/>
      <c r="G10" s="660"/>
    </row>
    <row r="11" spans="1:7" x14ac:dyDescent="0.2">
      <c r="A11" s="3583" t="s">
        <v>1326</v>
      </c>
      <c r="B11" s="3500">
        <v>507.52798073000002</v>
      </c>
      <c r="C11" s="3507" t="s">
        <v>799</v>
      </c>
      <c r="D11" s="3500" t="s">
        <v>799</v>
      </c>
      <c r="E11" s="660"/>
      <c r="F11" s="660"/>
      <c r="G11" s="660"/>
    </row>
    <row r="12" spans="1:7" ht="13.5" x14ac:dyDescent="0.2">
      <c r="A12" s="3583" t="s">
        <v>1521</v>
      </c>
      <c r="B12" s="3507">
        <v>99.444958333000002</v>
      </c>
      <c r="C12" s="3507" t="s">
        <v>455</v>
      </c>
      <c r="D12" s="3507" t="s">
        <v>455</v>
      </c>
      <c r="E12" s="660"/>
      <c r="F12" s="660"/>
      <c r="G12" s="660"/>
    </row>
    <row r="13" spans="1:7" x14ac:dyDescent="0.2">
      <c r="A13" s="3522" t="s">
        <v>1520</v>
      </c>
      <c r="B13" s="3500">
        <v>99.444958333000002</v>
      </c>
      <c r="C13" s="3507" t="s">
        <v>455</v>
      </c>
      <c r="D13" s="3500" t="s">
        <v>455</v>
      </c>
      <c r="E13" s="660"/>
      <c r="F13" s="660"/>
      <c r="G13" s="660"/>
    </row>
    <row r="14" spans="1:7" ht="14.25" x14ac:dyDescent="0.2">
      <c r="A14" s="3582" t="s">
        <v>1519</v>
      </c>
      <c r="B14" s="3507">
        <v>50.890112864000002</v>
      </c>
      <c r="C14" s="3507">
        <v>0.23291119801679</v>
      </c>
      <c r="D14" s="3507">
        <v>1.8625949813999999E-2</v>
      </c>
      <c r="E14" s="660"/>
      <c r="F14" s="660"/>
      <c r="G14" s="660"/>
    </row>
    <row r="15" spans="1:7" ht="13.5" x14ac:dyDescent="0.2">
      <c r="A15" s="3583" t="s">
        <v>1518</v>
      </c>
      <c r="B15" s="3507">
        <v>50.890112864000002</v>
      </c>
      <c r="C15" s="3507">
        <v>0.23291119801679</v>
      </c>
      <c r="D15" s="3507">
        <v>1.8625949813999999E-2</v>
      </c>
      <c r="E15" s="660"/>
      <c r="F15" s="660"/>
      <c r="G15" s="660"/>
    </row>
    <row r="16" spans="1:7" x14ac:dyDescent="0.2">
      <c r="A16" s="3522" t="s">
        <v>1517</v>
      </c>
      <c r="B16" s="3500">
        <v>8.1217836969999997</v>
      </c>
      <c r="C16" s="3507">
        <v>1.4593933545339199</v>
      </c>
      <c r="D16" s="3500">
        <v>1.8625949813999999E-2</v>
      </c>
      <c r="E16" s="660"/>
      <c r="F16" s="660"/>
      <c r="G16" s="660"/>
    </row>
    <row r="17" spans="1:7" x14ac:dyDescent="0.2">
      <c r="A17" s="3522" t="s">
        <v>1516</v>
      </c>
      <c r="B17" s="3500">
        <v>42.768329166999997</v>
      </c>
      <c r="C17" s="3507" t="s">
        <v>455</v>
      </c>
      <c r="D17" s="3500" t="s">
        <v>455</v>
      </c>
    </row>
    <row r="18" spans="1:7" x14ac:dyDescent="0.2">
      <c r="A18" s="3582" t="s">
        <v>1515</v>
      </c>
      <c r="B18" s="3507">
        <v>4.0100342648999998</v>
      </c>
      <c r="C18" s="3507">
        <v>8.6352129963089996E-2</v>
      </c>
      <c r="D18" s="3507">
        <v>5.4414642857000004E-4</v>
      </c>
      <c r="E18" s="660"/>
      <c r="F18" s="660"/>
      <c r="G18" s="660"/>
    </row>
    <row r="19" spans="1:7" x14ac:dyDescent="0.2">
      <c r="A19" s="3583" t="s">
        <v>1514</v>
      </c>
      <c r="B19" s="3500" t="s">
        <v>455</v>
      </c>
      <c r="C19" s="3507" t="s">
        <v>455</v>
      </c>
      <c r="D19" s="3500" t="s">
        <v>455</v>
      </c>
      <c r="E19" s="660"/>
      <c r="F19" s="660"/>
      <c r="G19" s="660"/>
    </row>
    <row r="20" spans="1:7" ht="13.5" x14ac:dyDescent="0.2">
      <c r="A20" s="3583" t="s">
        <v>1513</v>
      </c>
      <c r="B20" s="3507">
        <v>4.0100342648999998</v>
      </c>
      <c r="C20" s="3507">
        <v>8.6352129963089996E-2</v>
      </c>
      <c r="D20" s="3507">
        <v>5.4414642857000004E-4</v>
      </c>
      <c r="E20" s="660"/>
      <c r="F20" s="660"/>
      <c r="G20" s="660"/>
    </row>
    <row r="21" spans="1:7" x14ac:dyDescent="0.2">
      <c r="A21" s="3522" t="s">
        <v>1512</v>
      </c>
      <c r="B21" s="3500">
        <v>4.0100342648999998</v>
      </c>
      <c r="C21" s="3507">
        <v>8.6352129963089996E-2</v>
      </c>
      <c r="D21" s="3500">
        <v>5.4414642857000004E-4</v>
      </c>
      <c r="E21" s="660"/>
      <c r="F21" s="660"/>
      <c r="G21" s="660"/>
    </row>
    <row r="22" spans="1:7" x14ac:dyDescent="0.2">
      <c r="A22" s="3522" t="s">
        <v>1511</v>
      </c>
      <c r="B22" s="3500" t="s">
        <v>455</v>
      </c>
      <c r="C22" s="3507" t="s">
        <v>455</v>
      </c>
      <c r="D22" s="3500" t="s">
        <v>455</v>
      </c>
    </row>
    <row r="23" spans="1:7" x14ac:dyDescent="0.2">
      <c r="A23" s="3582" t="s">
        <v>1510</v>
      </c>
      <c r="B23" s="3507">
        <v>128.77712697333001</v>
      </c>
      <c r="C23" s="3507" t="s">
        <v>1006</v>
      </c>
      <c r="D23" s="3507" t="s">
        <v>1006</v>
      </c>
      <c r="E23" s="660"/>
      <c r="F23" s="660"/>
      <c r="G23" s="660"/>
    </row>
    <row r="24" spans="1:7" x14ac:dyDescent="0.2">
      <c r="A24" s="3583" t="s">
        <v>1422</v>
      </c>
      <c r="B24" s="3500">
        <v>101.84499364</v>
      </c>
      <c r="C24" s="3507" t="s">
        <v>799</v>
      </c>
      <c r="D24" s="3500" t="s">
        <v>799</v>
      </c>
      <c r="E24" s="660"/>
      <c r="F24" s="660"/>
      <c r="G24" s="660"/>
    </row>
    <row r="25" spans="1:7" ht="13.5" x14ac:dyDescent="0.2">
      <c r="A25" s="3583" t="s">
        <v>1509</v>
      </c>
      <c r="B25" s="3507">
        <v>26.93213333333</v>
      </c>
      <c r="C25" s="3507" t="s">
        <v>1006</v>
      </c>
      <c r="D25" s="3507" t="s">
        <v>1006</v>
      </c>
      <c r="E25" s="660"/>
      <c r="F25" s="660"/>
      <c r="G25" s="660"/>
    </row>
    <row r="26" spans="1:7" x14ac:dyDescent="0.2">
      <c r="A26" s="3522" t="s">
        <v>5194</v>
      </c>
      <c r="B26" s="3500">
        <v>0.97505833333000003</v>
      </c>
      <c r="C26" s="3507" t="s">
        <v>799</v>
      </c>
      <c r="D26" s="3500" t="s">
        <v>799</v>
      </c>
      <c r="E26" s="660"/>
      <c r="F26" s="660"/>
      <c r="G26" s="660"/>
    </row>
    <row r="27" spans="1:7" x14ac:dyDescent="0.2">
      <c r="A27" s="3522" t="s">
        <v>5193</v>
      </c>
      <c r="B27" s="3500">
        <v>14.224399999999999</v>
      </c>
      <c r="C27" s="3507" t="s">
        <v>799</v>
      </c>
      <c r="D27" s="3500" t="s">
        <v>799</v>
      </c>
    </row>
    <row r="28" spans="1:7" x14ac:dyDescent="0.2">
      <c r="A28" s="3522" t="s">
        <v>5192</v>
      </c>
      <c r="B28" s="3500">
        <v>11.732675</v>
      </c>
      <c r="C28" s="3507" t="s">
        <v>259</v>
      </c>
      <c r="D28" s="3500" t="s">
        <v>259</v>
      </c>
    </row>
    <row r="29" spans="1:7" x14ac:dyDescent="0.2">
      <c r="A29" s="3600" t="s">
        <v>1508</v>
      </c>
      <c r="B29" s="3507">
        <v>51.436837499699998</v>
      </c>
      <c r="C29" s="3507">
        <v>0.72572050159752999</v>
      </c>
      <c r="D29" s="3507">
        <v>5.8659491802800001E-2</v>
      </c>
      <c r="E29" s="660"/>
      <c r="F29" s="660"/>
      <c r="G29" s="660"/>
    </row>
    <row r="30" spans="1:7" x14ac:dyDescent="0.2">
      <c r="A30" s="3583" t="s">
        <v>1443</v>
      </c>
      <c r="B30" s="3500" t="s">
        <v>259</v>
      </c>
      <c r="C30" s="3507" t="s">
        <v>799</v>
      </c>
      <c r="D30" s="3500" t="s">
        <v>799</v>
      </c>
      <c r="E30" s="660"/>
      <c r="F30" s="660"/>
      <c r="G30" s="660"/>
    </row>
    <row r="31" spans="1:7" ht="13.5" x14ac:dyDescent="0.2">
      <c r="A31" s="3583" t="s">
        <v>1507</v>
      </c>
      <c r="B31" s="3507">
        <v>51.436837499699998</v>
      </c>
      <c r="C31" s="3507">
        <v>0.72572050159752999</v>
      </c>
      <c r="D31" s="3507">
        <v>5.8659491802800001E-2</v>
      </c>
      <c r="E31" s="660"/>
      <c r="F31" s="660"/>
      <c r="G31" s="660"/>
    </row>
    <row r="32" spans="1:7" x14ac:dyDescent="0.2">
      <c r="A32" s="3522" t="s">
        <v>1506</v>
      </c>
      <c r="B32" s="3500">
        <v>2.0162041667000001</v>
      </c>
      <c r="C32" s="3507">
        <v>0.68674554106785002</v>
      </c>
      <c r="D32" s="3500">
        <v>2.1758302050000002E-3</v>
      </c>
      <c r="E32" s="660"/>
      <c r="F32" s="660"/>
      <c r="G32" s="660"/>
    </row>
    <row r="33" spans="1:7" x14ac:dyDescent="0.2">
      <c r="A33" s="3522" t="s">
        <v>1505</v>
      </c>
      <c r="B33" s="3500">
        <v>44.699589582999998</v>
      </c>
      <c r="C33" s="3507">
        <v>0.67100427312217004</v>
      </c>
      <c r="D33" s="3500">
        <v>4.7132824540999999E-2</v>
      </c>
    </row>
    <row r="34" spans="1:7" x14ac:dyDescent="0.2">
      <c r="A34" s="3522" t="s">
        <v>1504</v>
      </c>
      <c r="B34" s="3500">
        <v>4.7210437499999998</v>
      </c>
      <c r="C34" s="3507">
        <v>1.2604273520043401</v>
      </c>
      <c r="D34" s="3500">
        <v>9.3508370567999995E-3</v>
      </c>
    </row>
    <row r="35" spans="1:7" x14ac:dyDescent="0.2">
      <c r="A35" s="3600" t="s">
        <v>1503</v>
      </c>
      <c r="B35" s="3500" t="s">
        <v>259</v>
      </c>
      <c r="C35" s="3507" t="s">
        <v>799</v>
      </c>
      <c r="D35" s="3500" t="s">
        <v>799</v>
      </c>
      <c r="E35" s="660"/>
      <c r="F35" s="660"/>
      <c r="G35" s="660"/>
    </row>
    <row r="36" spans="1:7" x14ac:dyDescent="0.2">
      <c r="A36" s="755" t="s">
        <v>564</v>
      </c>
      <c r="B36" s="3449"/>
      <c r="C36" s="3449"/>
      <c r="D36" s="3449"/>
      <c r="E36" s="660"/>
      <c r="F36" s="660"/>
      <c r="G36" s="660"/>
    </row>
    <row r="37" spans="1:7" ht="33" customHeight="1" x14ac:dyDescent="0.2">
      <c r="A37" s="5504" t="s">
        <v>1502</v>
      </c>
      <c r="B37" s="5504"/>
      <c r="C37" s="5504"/>
      <c r="D37" s="5504"/>
      <c r="E37" s="660"/>
      <c r="F37" s="660"/>
      <c r="G37" s="660"/>
    </row>
    <row r="38" spans="1:7" ht="14.25" x14ac:dyDescent="0.25">
      <c r="A38" s="754" t="s">
        <v>1501</v>
      </c>
      <c r="B38" s="663"/>
      <c r="C38" s="663"/>
      <c r="D38" s="663"/>
      <c r="E38" s="660"/>
      <c r="F38" s="660"/>
      <c r="G38" s="660"/>
    </row>
    <row r="39" spans="1:7" ht="13.5" x14ac:dyDescent="0.2">
      <c r="A39" s="5536" t="s">
        <v>1500</v>
      </c>
      <c r="B39" s="5536"/>
      <c r="C39" s="663"/>
      <c r="D39" s="663"/>
      <c r="E39" s="660"/>
      <c r="F39" s="660"/>
      <c r="G39" s="660"/>
    </row>
    <row r="40" spans="1:7" ht="13.5" x14ac:dyDescent="0.2">
      <c r="A40" s="5554" t="s">
        <v>1499</v>
      </c>
      <c r="B40" s="5554"/>
      <c r="C40" s="5554"/>
      <c r="D40" s="5554"/>
      <c r="E40" s="660"/>
      <c r="F40" s="660"/>
      <c r="G40" s="660"/>
    </row>
    <row r="41" spans="1:7" ht="27.75" customHeight="1" x14ac:dyDescent="0.2">
      <c r="A41" s="5554" t="s">
        <v>1498</v>
      </c>
      <c r="B41" s="5554"/>
      <c r="C41" s="5554"/>
      <c r="D41" s="5554"/>
      <c r="E41" s="660"/>
      <c r="F41" s="660"/>
      <c r="G41" s="660"/>
    </row>
    <row r="42" spans="1:7" ht="13.5" x14ac:dyDescent="0.2">
      <c r="A42" s="5554"/>
      <c r="B42" s="5554"/>
      <c r="C42" s="5554"/>
      <c r="D42" s="5554"/>
      <c r="E42" s="660"/>
      <c r="F42" s="660"/>
      <c r="G42" s="660"/>
    </row>
    <row r="43" spans="1:7" x14ac:dyDescent="0.2">
      <c r="A43" s="3599" t="s">
        <v>982</v>
      </c>
      <c r="B43" s="3598"/>
      <c r="C43" s="3598"/>
      <c r="D43" s="3597"/>
      <c r="E43" s="660"/>
      <c r="F43" s="660"/>
      <c r="G43" s="660"/>
    </row>
    <row r="44" spans="1:7" ht="12.75" customHeight="1" x14ac:dyDescent="0.2">
      <c r="A44" s="5758" t="s">
        <v>1310</v>
      </c>
      <c r="B44" s="5760"/>
      <c r="C44" s="5760"/>
      <c r="D44" s="5761"/>
      <c r="E44" s="3299"/>
      <c r="F44" s="3299"/>
      <c r="G44" s="3299"/>
    </row>
    <row r="45" spans="1:7" x14ac:dyDescent="0.2">
      <c r="A45" s="3568" t="s">
        <v>980</v>
      </c>
      <c r="B45" s="5696" t="s">
        <v>5217</v>
      </c>
      <c r="C45" s="5762"/>
      <c r="D45" s="5762"/>
      <c r="E45" s="660"/>
      <c r="F45" s="660"/>
      <c r="G45" s="660"/>
    </row>
    <row r="46" spans="1:7" x14ac:dyDescent="0.2">
      <c r="A46" s="3568" t="s">
        <v>980</v>
      </c>
      <c r="B46" s="5696" t="s">
        <v>5216</v>
      </c>
      <c r="C46" s="5762"/>
      <c r="D46" s="5762"/>
    </row>
    <row r="47" spans="1:7" ht="12" customHeight="1" x14ac:dyDescent="0.2">
      <c r="A47" s="3568" t="s">
        <v>980</v>
      </c>
      <c r="B47" s="5696" t="s">
        <v>5215</v>
      </c>
      <c r="C47" s="5759"/>
      <c r="D47" s="5759"/>
    </row>
    <row r="48" spans="1:7" ht="12" customHeight="1" x14ac:dyDescent="0.2">
      <c r="A48" s="3568" t="s">
        <v>980</v>
      </c>
      <c r="B48" s="5696" t="s">
        <v>986</v>
      </c>
      <c r="C48" s="5759"/>
      <c r="D48" s="5759"/>
    </row>
    <row r="49" spans="1:4" ht="12" customHeight="1" x14ac:dyDescent="0.2">
      <c r="A49" s="3568" t="s">
        <v>980</v>
      </c>
      <c r="B49" s="5696" t="s">
        <v>986</v>
      </c>
      <c r="C49" s="5762"/>
      <c r="D49" s="5762"/>
    </row>
    <row r="50" spans="1:4" ht="15" x14ac:dyDescent="0.2">
      <c r="A50" s="3568" t="s">
        <v>980</v>
      </c>
      <c r="B50" s="5696" t="s">
        <v>986</v>
      </c>
      <c r="C50" s="5759"/>
      <c r="D50" s="5759"/>
    </row>
    <row r="51" spans="1:4" ht="12" customHeight="1" x14ac:dyDescent="0.2">
      <c r="A51" s="3568" t="s">
        <v>980</v>
      </c>
      <c r="B51" s="5696" t="s">
        <v>5214</v>
      </c>
      <c r="C51" s="5759"/>
      <c r="D51" s="5759"/>
    </row>
    <row r="52" spans="1:4" ht="12" customHeight="1" x14ac:dyDescent="0.2">
      <c r="A52" s="3568" t="s">
        <v>980</v>
      </c>
      <c r="B52" s="5696" t="s">
        <v>5213</v>
      </c>
      <c r="C52" s="5759"/>
      <c r="D52" s="5759"/>
    </row>
    <row r="53" spans="1:4" ht="12" customHeight="1" x14ac:dyDescent="0.2">
      <c r="A53" s="3568" t="s">
        <v>980</v>
      </c>
      <c r="B53" s="5696" t="s">
        <v>986</v>
      </c>
      <c r="C53" s="5759"/>
      <c r="D53" s="5759"/>
    </row>
    <row r="54" spans="1:4" ht="12" customHeight="1" x14ac:dyDescent="0.2">
      <c r="A54" s="3568" t="s">
        <v>980</v>
      </c>
      <c r="B54" s="5696" t="s">
        <v>5212</v>
      </c>
      <c r="C54" s="5759"/>
      <c r="D54" s="5759"/>
    </row>
  </sheetData>
  <sheetProtection password="A754" sheet="1" objects="1" scenarios="1"/>
  <mergeCells count="18">
    <mergeCell ref="B53:D53"/>
    <mergeCell ref="B54:D54"/>
    <mergeCell ref="B45:D45"/>
    <mergeCell ref="B46:D46"/>
    <mergeCell ref="B47:D47"/>
    <mergeCell ref="B48:D48"/>
    <mergeCell ref="B49:D49"/>
    <mergeCell ref="B52:D52"/>
    <mergeCell ref="A2:C2"/>
    <mergeCell ref="A7:A8"/>
    <mergeCell ref="B50:D50"/>
    <mergeCell ref="B51:D51"/>
    <mergeCell ref="A42:D42"/>
    <mergeCell ref="A44:D44"/>
    <mergeCell ref="A41:D41"/>
    <mergeCell ref="A37:D37"/>
    <mergeCell ref="A39:B39"/>
    <mergeCell ref="A40:D40"/>
  </mergeCells>
  <printOptions horizontalCentered="1" verticalCentered="1"/>
  <pageMargins left="0.39370078740157483" right="0.39370078740157483" top="0.39370078740157483" bottom="0.39370078740157483" header="0.19685039370078741" footer="0.19685039370078741"/>
  <pageSetup paperSize="9" scale="47" orientation="landscape" r:id="rId1"/>
  <headerFooter alignWithMargins="0"/>
  <colBreaks count="1" manualBreakCount="1">
    <brk id="4" min="5" max="40"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9C729-2C6E-4AAD-9FDC-F0D3ADDE61B5}">
  <sheetPr codeName="Ark3">
    <tabColor theme="3" tint="0.59999389629810485"/>
    <pageSetUpPr fitToPage="1"/>
  </sheetPr>
  <dimension ref="A1:AY95"/>
  <sheetViews>
    <sheetView showGridLines="0" showZeros="0" topLeftCell="A65" zoomScale="70" zoomScaleNormal="70" workbookViewId="0">
      <selection activeCell="A82" sqref="A82"/>
    </sheetView>
  </sheetViews>
  <sheetFormatPr defaultColWidth="9.140625" defaultRowHeight="12.75" x14ac:dyDescent="0.2"/>
  <cols>
    <col min="1" max="9" width="7.140625" style="12" customWidth="1"/>
    <col min="10" max="12" width="7.140625" style="32" customWidth="1"/>
    <col min="13" max="26" width="7.140625" style="12" customWidth="1"/>
    <col min="27" max="27" width="8.7109375" style="12" customWidth="1"/>
    <col min="28" max="28" width="52.140625" style="12" bestFit="1" customWidth="1"/>
    <col min="29" max="32" width="5.7109375" style="12" customWidth="1"/>
    <col min="33" max="37" width="8.7109375" style="12" customWidth="1"/>
    <col min="38" max="46" width="7.140625" style="12" customWidth="1"/>
    <col min="47" max="16384" width="9.140625" style="12"/>
  </cols>
  <sheetData>
    <row r="1" spans="1:51" ht="15" customHeight="1" x14ac:dyDescent="0.2">
      <c r="A1" s="112" t="s">
        <v>17</v>
      </c>
      <c r="B1" s="9"/>
      <c r="C1" s="9"/>
      <c r="D1" s="5147">
        <v>1786</v>
      </c>
      <c r="E1" s="5148"/>
      <c r="F1" s="10"/>
      <c r="G1" s="10"/>
      <c r="H1" s="10"/>
      <c r="I1" s="10"/>
      <c r="J1" s="10"/>
      <c r="K1" s="10"/>
      <c r="L1" s="10"/>
      <c r="N1" s="10"/>
      <c r="O1" s="10"/>
      <c r="P1" s="10"/>
      <c r="Q1" s="10"/>
      <c r="R1" s="10"/>
      <c r="S1" s="10"/>
      <c r="T1" s="10"/>
      <c r="U1" s="10"/>
      <c r="V1" s="10"/>
      <c r="W1" s="10"/>
      <c r="X1" s="10"/>
      <c r="Y1" s="11"/>
      <c r="Z1" s="11"/>
      <c r="AA1" s="11"/>
      <c r="AB1" s="5149" t="s">
        <v>30</v>
      </c>
      <c r="AC1" s="11"/>
      <c r="AD1" s="11"/>
      <c r="AE1" s="11"/>
      <c r="AF1" s="11"/>
      <c r="AG1" s="10"/>
      <c r="AH1" s="10"/>
      <c r="AI1" s="10"/>
      <c r="AJ1" s="10"/>
      <c r="AK1" s="10"/>
      <c r="AL1" s="10"/>
      <c r="AM1" s="10"/>
      <c r="AN1" s="10"/>
      <c r="AO1" s="10"/>
      <c r="AP1" s="10"/>
      <c r="AQ1" s="10"/>
      <c r="AR1" s="10"/>
      <c r="AS1" s="10"/>
      <c r="AT1" s="10"/>
    </row>
    <row r="2" spans="1:51" ht="15" customHeight="1" x14ac:dyDescent="0.25">
      <c r="A2" s="113" t="s">
        <v>19</v>
      </c>
      <c r="B2" s="10"/>
      <c r="C2" s="10"/>
      <c r="D2" s="296">
        <v>92.09</v>
      </c>
      <c r="E2" s="114" t="s">
        <v>18</v>
      </c>
      <c r="F2" s="10"/>
      <c r="G2" s="10"/>
      <c r="H2" s="115"/>
      <c r="I2" s="10"/>
      <c r="J2" s="10"/>
      <c r="K2" s="10"/>
      <c r="L2" s="10"/>
      <c r="M2" s="10"/>
      <c r="N2" s="10"/>
      <c r="O2" s="10"/>
      <c r="P2" s="10"/>
      <c r="Q2" s="10"/>
      <c r="R2" s="10"/>
      <c r="S2" s="10"/>
      <c r="T2" s="10"/>
      <c r="U2" s="10"/>
      <c r="V2" s="10"/>
      <c r="W2" s="10"/>
      <c r="X2" s="10"/>
      <c r="Y2" s="11"/>
      <c r="Z2" s="11"/>
      <c r="AA2" s="11"/>
      <c r="AB2" s="5149"/>
      <c r="AC2" s="11"/>
      <c r="AD2" s="11"/>
      <c r="AE2" s="11"/>
      <c r="AF2" s="11"/>
      <c r="AG2" s="10"/>
      <c r="AH2" s="10"/>
      <c r="AI2" s="10"/>
      <c r="AJ2" s="10"/>
      <c r="AK2" s="10"/>
      <c r="AL2" s="10"/>
      <c r="AM2" s="10"/>
      <c r="AN2" s="10"/>
      <c r="AO2" s="10"/>
      <c r="AP2" s="10"/>
      <c r="AQ2" s="10"/>
      <c r="AR2" s="10"/>
      <c r="AS2" s="10"/>
      <c r="AT2" s="10"/>
    </row>
    <row r="3" spans="1:51" ht="15" customHeight="1" thickBot="1" x14ac:dyDescent="0.25">
      <c r="A3" s="116" t="s">
        <v>15</v>
      </c>
      <c r="B3" s="13"/>
      <c r="C3" s="13"/>
      <c r="D3" s="13" t="s">
        <v>16</v>
      </c>
      <c r="E3" s="14"/>
      <c r="F3" s="10"/>
      <c r="G3" s="10"/>
      <c r="H3" s="10"/>
      <c r="I3" s="10"/>
      <c r="J3" s="10"/>
      <c r="K3" s="10"/>
      <c r="L3" s="10"/>
      <c r="M3" s="10"/>
      <c r="N3" s="10"/>
      <c r="O3" s="10"/>
      <c r="P3" s="10"/>
      <c r="Q3" s="10"/>
      <c r="R3" s="10"/>
      <c r="S3" s="10"/>
      <c r="T3" s="10"/>
      <c r="U3" s="10"/>
      <c r="V3" s="10"/>
      <c r="W3" s="10"/>
      <c r="X3" s="10"/>
      <c r="Y3" s="11"/>
      <c r="Z3" s="11"/>
      <c r="AA3" s="5151" t="s">
        <v>5382</v>
      </c>
      <c r="AB3" s="5151"/>
      <c r="AC3" s="5151"/>
      <c r="AD3" s="11"/>
      <c r="AE3" s="11"/>
      <c r="AF3" s="11"/>
      <c r="AG3" s="10"/>
      <c r="AH3" s="10"/>
      <c r="AI3" s="10"/>
      <c r="AJ3" s="10"/>
      <c r="AK3" s="10"/>
      <c r="AL3" s="10"/>
      <c r="AM3" s="10"/>
      <c r="AN3" s="10"/>
      <c r="AO3" s="10"/>
      <c r="AP3" s="10"/>
      <c r="AQ3" s="10"/>
      <c r="AR3" s="10"/>
      <c r="AS3" s="10"/>
      <c r="AT3" s="10"/>
    </row>
    <row r="4" spans="1:51" ht="15" customHeight="1" x14ac:dyDescent="0.2">
      <c r="A4" s="10"/>
      <c r="B4" s="10"/>
      <c r="C4" s="10"/>
      <c r="D4" s="10"/>
      <c r="E4" s="10"/>
      <c r="F4" s="10"/>
      <c r="G4" s="10"/>
      <c r="H4" s="10"/>
      <c r="I4" s="10"/>
      <c r="J4" s="10"/>
      <c r="K4" s="10"/>
      <c r="L4" s="10"/>
      <c r="M4" s="10"/>
      <c r="N4" s="10"/>
      <c r="O4" s="10"/>
      <c r="P4" s="10"/>
      <c r="Q4" s="10"/>
      <c r="R4" s="10"/>
      <c r="S4" s="10"/>
      <c r="T4" s="10"/>
      <c r="U4" s="10"/>
      <c r="V4" s="10"/>
      <c r="W4" s="10"/>
      <c r="X4" s="10"/>
      <c r="Y4" s="11"/>
      <c r="Z4" s="11"/>
      <c r="AA4" s="5151"/>
      <c r="AB4" s="5151"/>
      <c r="AC4" s="5151"/>
      <c r="AD4" s="11"/>
      <c r="AE4" s="11"/>
      <c r="AF4" s="11"/>
      <c r="AG4" s="10"/>
      <c r="AH4" s="10"/>
      <c r="AI4" s="10"/>
      <c r="AJ4" s="10"/>
      <c r="AK4" s="10"/>
      <c r="AL4" s="10"/>
      <c r="AM4" s="10"/>
      <c r="AN4" s="10"/>
      <c r="AO4" s="10"/>
      <c r="AP4" s="10"/>
      <c r="AQ4" s="10"/>
      <c r="AR4" s="10"/>
      <c r="AS4" s="10"/>
      <c r="AT4" s="10"/>
    </row>
    <row r="5" spans="1:51" ht="15" customHeight="1" x14ac:dyDescent="0.2">
      <c r="A5" s="10"/>
      <c r="B5" s="10"/>
      <c r="C5" s="10"/>
      <c r="D5" s="10"/>
      <c r="E5" s="10"/>
      <c r="F5" s="10"/>
      <c r="G5" s="10"/>
      <c r="H5" s="10"/>
      <c r="I5" s="10"/>
      <c r="J5" s="10"/>
      <c r="K5" s="10"/>
      <c r="L5" s="10"/>
      <c r="M5" s="10"/>
      <c r="N5" s="10"/>
      <c r="O5" s="10"/>
      <c r="P5" s="10"/>
      <c r="Q5" s="10"/>
      <c r="R5" s="10"/>
      <c r="S5" s="10"/>
      <c r="T5" s="10"/>
      <c r="U5" s="10"/>
      <c r="V5" s="10"/>
      <c r="W5" s="10"/>
      <c r="X5" s="10"/>
      <c r="Y5" s="10"/>
      <c r="Z5" s="10"/>
      <c r="AA5" s="10"/>
      <c r="AC5" s="10"/>
      <c r="AD5" s="10"/>
      <c r="AE5" s="10"/>
      <c r="AF5" s="10"/>
      <c r="AG5" s="10"/>
      <c r="AH5" s="10"/>
      <c r="AI5" s="10"/>
      <c r="AJ5" s="10"/>
      <c r="AK5" s="10"/>
      <c r="AL5" s="10"/>
      <c r="AM5" s="10"/>
      <c r="AN5" s="10"/>
      <c r="AO5" s="10"/>
      <c r="AP5" s="10"/>
      <c r="AQ5" s="10"/>
      <c r="AR5" s="10"/>
      <c r="AS5" s="10"/>
      <c r="AT5" s="10"/>
    </row>
    <row r="6" spans="1:51" ht="15" customHeight="1" x14ac:dyDescent="0.25">
      <c r="A6" s="5150" t="s">
        <v>0</v>
      </c>
      <c r="B6" s="5150"/>
      <c r="C6" s="5150"/>
      <c r="D6" s="5150"/>
      <c r="E6" s="5150"/>
      <c r="F6" s="5150"/>
      <c r="G6" s="5150"/>
      <c r="H6" s="5150"/>
      <c r="I6" s="5150"/>
      <c r="J6" s="5150"/>
      <c r="K6" s="5150"/>
      <c r="L6" s="5150"/>
      <c r="M6" s="5150"/>
      <c r="N6" s="5150"/>
      <c r="O6" s="5150"/>
      <c r="P6" s="5150"/>
      <c r="Q6" s="5150"/>
      <c r="R6" s="5150"/>
      <c r="S6" s="5150"/>
      <c r="T6" s="5150"/>
      <c r="U6" s="5150"/>
      <c r="V6" s="5150"/>
      <c r="W6" s="5150"/>
      <c r="X6" s="5150"/>
      <c r="Y6" s="5150"/>
      <c r="Z6" s="5150"/>
      <c r="AA6" s="5150"/>
      <c r="AB6" s="304" t="s">
        <v>20</v>
      </c>
      <c r="AC6" s="5150" t="s">
        <v>61</v>
      </c>
      <c r="AD6" s="5150"/>
      <c r="AE6" s="5150"/>
      <c r="AF6" s="5150"/>
      <c r="AG6" s="5150" t="s">
        <v>22</v>
      </c>
      <c r="AH6" s="5150"/>
      <c r="AI6" s="5150" t="s">
        <v>21</v>
      </c>
      <c r="AJ6" s="5150"/>
      <c r="AK6" s="117"/>
      <c r="AL6" s="5150" t="s">
        <v>507</v>
      </c>
      <c r="AM6" s="5150"/>
      <c r="AN6" s="5150"/>
      <c r="AO6" s="5150"/>
      <c r="AP6" s="5150"/>
      <c r="AQ6" s="5150"/>
      <c r="AR6" s="5150"/>
      <c r="AS6" s="5150"/>
      <c r="AT6" s="5150"/>
    </row>
    <row r="7" spans="1:51" s="18" customFormat="1" ht="159.94999999999999" customHeight="1" thickBot="1" x14ac:dyDescent="0.65">
      <c r="A7" s="15" t="s">
        <v>31</v>
      </c>
      <c r="B7" s="16" t="s">
        <v>32</v>
      </c>
      <c r="C7" s="16" t="s">
        <v>33</v>
      </c>
      <c r="D7" s="16" t="s">
        <v>34</v>
      </c>
      <c r="E7" s="16" t="s">
        <v>35</v>
      </c>
      <c r="F7" s="16" t="s">
        <v>36</v>
      </c>
      <c r="G7" s="16" t="s">
        <v>37</v>
      </c>
      <c r="H7" s="16" t="s">
        <v>38</v>
      </c>
      <c r="I7" s="16" t="s">
        <v>39</v>
      </c>
      <c r="J7" s="287" t="s">
        <v>175</v>
      </c>
      <c r="K7" s="287" t="s">
        <v>176</v>
      </c>
      <c r="L7" s="287" t="s">
        <v>177</v>
      </c>
      <c r="M7" s="16" t="s">
        <v>40</v>
      </c>
      <c r="N7" s="16" t="s">
        <v>41</v>
      </c>
      <c r="O7" s="16" t="s">
        <v>42</v>
      </c>
      <c r="P7" s="16" t="s">
        <v>43</v>
      </c>
      <c r="Q7" s="16" t="s">
        <v>44</v>
      </c>
      <c r="R7" s="16" t="s">
        <v>45</v>
      </c>
      <c r="S7" s="16" t="s">
        <v>46</v>
      </c>
      <c r="T7" s="16" t="s">
        <v>47</v>
      </c>
      <c r="U7" s="16" t="s">
        <v>48</v>
      </c>
      <c r="V7" s="16" t="s">
        <v>49</v>
      </c>
      <c r="W7" s="16" t="s">
        <v>50</v>
      </c>
      <c r="X7" s="16" t="s">
        <v>51</v>
      </c>
      <c r="Y7" s="16" t="s">
        <v>52</v>
      </c>
      <c r="Z7" s="16" t="s">
        <v>53</v>
      </c>
      <c r="AA7" s="118" t="s">
        <v>54</v>
      </c>
      <c r="AB7" s="103"/>
      <c r="AC7" s="119" t="s">
        <v>55</v>
      </c>
      <c r="AD7" s="16" t="s">
        <v>56</v>
      </c>
      <c r="AE7" s="16" t="s">
        <v>57</v>
      </c>
      <c r="AF7" s="118" t="s">
        <v>58</v>
      </c>
      <c r="AG7" s="15" t="s">
        <v>59</v>
      </c>
      <c r="AH7" s="118" t="s">
        <v>60</v>
      </c>
      <c r="AI7" s="15" t="s">
        <v>59</v>
      </c>
      <c r="AJ7" s="118" t="s">
        <v>60</v>
      </c>
      <c r="AK7" s="17" t="s">
        <v>62</v>
      </c>
      <c r="AL7" s="120" t="s">
        <v>63</v>
      </c>
      <c r="AM7" s="16" t="s">
        <v>64</v>
      </c>
      <c r="AN7" s="16" t="s">
        <v>65</v>
      </c>
      <c r="AO7" s="16" t="s">
        <v>66</v>
      </c>
      <c r="AP7" s="16" t="s">
        <v>67</v>
      </c>
      <c r="AQ7" s="16" t="s">
        <v>68</v>
      </c>
      <c r="AR7" s="121" t="s">
        <v>69</v>
      </c>
      <c r="AS7" s="121" t="s">
        <v>70</v>
      </c>
      <c r="AT7" s="118" t="s">
        <v>71</v>
      </c>
    </row>
    <row r="8" spans="1:51" ht="15" customHeight="1" x14ac:dyDescent="0.2">
      <c r="A8" s="4123"/>
      <c r="B8" s="4151"/>
      <c r="C8" s="4151"/>
      <c r="D8" s="4151"/>
      <c r="E8" s="4151"/>
      <c r="F8" s="4151"/>
      <c r="G8" s="4151"/>
      <c r="H8" s="4151"/>
      <c r="I8" s="4151"/>
      <c r="J8" s="4151"/>
      <c r="K8" s="4151"/>
      <c r="L8" s="4151"/>
      <c r="M8" s="4151"/>
      <c r="N8" s="4151"/>
      <c r="O8" s="4151"/>
      <c r="P8" s="4151"/>
      <c r="Q8" s="4151"/>
      <c r="R8" s="4151"/>
      <c r="S8" s="4151"/>
      <c r="T8" s="4151"/>
      <c r="U8" s="4151"/>
      <c r="V8" s="4151"/>
      <c r="W8" s="4151"/>
      <c r="X8" s="4151"/>
      <c r="Y8" s="4151"/>
      <c r="Z8" s="4151"/>
      <c r="AA8" s="4122">
        <f t="shared" ref="AA8:AA80" si="0">SUM(A8:Z8)</f>
        <v>0</v>
      </c>
      <c r="AB8" s="4121" t="s">
        <v>178</v>
      </c>
      <c r="AC8" s="4123"/>
      <c r="AD8" s="4153">
        <v>85.38</v>
      </c>
      <c r="AE8" s="4151"/>
      <c r="AF8" s="4122"/>
      <c r="AG8" s="4123">
        <f t="shared" ref="AG8:AG11" si="1">-AH8/$D$2%</f>
        <v>-48.266205407081756</v>
      </c>
      <c r="AH8" s="4122">
        <f>AK8/AD8%</f>
        <v>44.448348559381593</v>
      </c>
      <c r="AI8" s="4123"/>
      <c r="AJ8" s="4122"/>
      <c r="AK8" s="4124">
        <f t="shared" ref="AK8:AK11" si="2">SUM(AL8:AT8)</f>
        <v>37.950000000000003</v>
      </c>
      <c r="AL8" s="297">
        <v>22.19</v>
      </c>
      <c r="AM8" s="298">
        <v>3.03</v>
      </c>
      <c r="AN8" s="298">
        <v>3.43</v>
      </c>
      <c r="AO8" s="298">
        <v>3.93</v>
      </c>
      <c r="AP8" s="298">
        <v>0</v>
      </c>
      <c r="AQ8" s="298">
        <v>0</v>
      </c>
      <c r="AR8" s="298">
        <v>0</v>
      </c>
      <c r="AS8" s="298">
        <v>5.37</v>
      </c>
      <c r="AT8" s="299">
        <v>0</v>
      </c>
    </row>
    <row r="9" spans="1:51" ht="15" customHeight="1" x14ac:dyDescent="0.2">
      <c r="A9" s="4123"/>
      <c r="B9" s="4151"/>
      <c r="C9" s="4151"/>
      <c r="D9" s="4151"/>
      <c r="E9" s="4151"/>
      <c r="F9" s="4151"/>
      <c r="G9" s="4151"/>
      <c r="H9" s="4151"/>
      <c r="I9" s="4151"/>
      <c r="J9" s="4151"/>
      <c r="K9" s="4151"/>
      <c r="L9" s="4151"/>
      <c r="M9" s="4151"/>
      <c r="N9" s="4151"/>
      <c r="O9" s="4151"/>
      <c r="P9" s="4151"/>
      <c r="Q9" s="4151"/>
      <c r="R9" s="4151"/>
      <c r="S9" s="4151"/>
      <c r="T9" s="4151"/>
      <c r="U9" s="4151"/>
      <c r="V9" s="4151"/>
      <c r="W9" s="4151"/>
      <c r="X9" s="4151"/>
      <c r="Y9" s="4151"/>
      <c r="Z9" s="4151"/>
      <c r="AA9" s="4122">
        <f t="shared" si="0"/>
        <v>0</v>
      </c>
      <c r="AB9" s="4121" t="s">
        <v>2</v>
      </c>
      <c r="AC9" s="4123"/>
      <c r="AD9" s="4151"/>
      <c r="AE9" s="4151">
        <v>90</v>
      </c>
      <c r="AF9" s="4122"/>
      <c r="AG9" s="4123">
        <f t="shared" si="1"/>
        <v>-1.0641763492235856</v>
      </c>
      <c r="AH9" s="4122">
        <v>0.98</v>
      </c>
      <c r="AI9" s="4123"/>
      <c r="AJ9" s="4122"/>
      <c r="AK9" s="4124">
        <f t="shared" si="2"/>
        <v>0.88200000000000001</v>
      </c>
      <c r="AL9" s="4125">
        <f>AH9*AE9%</f>
        <v>0.88200000000000001</v>
      </c>
      <c r="AM9" s="4154"/>
      <c r="AN9" s="4154"/>
      <c r="AO9" s="4154"/>
      <c r="AP9" s="4154"/>
      <c r="AQ9" s="4154"/>
      <c r="AR9" s="4154"/>
      <c r="AS9" s="4154"/>
      <c r="AT9" s="4126"/>
    </row>
    <row r="10" spans="1:51" ht="15" customHeight="1" x14ac:dyDescent="0.2">
      <c r="A10" s="4123"/>
      <c r="B10" s="4151"/>
      <c r="C10" s="4151"/>
      <c r="D10" s="4151"/>
      <c r="E10" s="4151"/>
      <c r="F10" s="4151"/>
      <c r="G10" s="4151"/>
      <c r="H10" s="4151"/>
      <c r="I10" s="4151"/>
      <c r="J10" s="4151"/>
      <c r="K10" s="4151"/>
      <c r="L10" s="4151"/>
      <c r="M10" s="4151"/>
      <c r="N10" s="4151"/>
      <c r="O10" s="4151"/>
      <c r="P10" s="4151"/>
      <c r="Q10" s="4151"/>
      <c r="R10" s="4151"/>
      <c r="S10" s="4151"/>
      <c r="T10" s="4151"/>
      <c r="U10" s="4151"/>
      <c r="V10" s="4151"/>
      <c r="W10" s="4151"/>
      <c r="X10" s="4151"/>
      <c r="Y10" s="4151"/>
      <c r="Z10" s="4151"/>
      <c r="AA10" s="4122">
        <f t="shared" si="0"/>
        <v>0</v>
      </c>
      <c r="AB10" s="4121" t="s">
        <v>3</v>
      </c>
      <c r="AC10" s="4123"/>
      <c r="AD10" s="4151"/>
      <c r="AE10" s="4151">
        <v>100</v>
      </c>
      <c r="AF10" s="4122"/>
      <c r="AG10" s="4123">
        <f t="shared" si="1"/>
        <v>-5.0276903029644906</v>
      </c>
      <c r="AH10" s="4122">
        <v>4.63</v>
      </c>
      <c r="AI10" s="4123"/>
      <c r="AJ10" s="4122"/>
      <c r="AK10" s="4124">
        <f t="shared" si="2"/>
        <v>4.63</v>
      </c>
      <c r="AL10" s="4125">
        <f t="shared" ref="AL10:AL11" si="3">AH10*AE10%</f>
        <v>4.63</v>
      </c>
      <c r="AM10" s="4154"/>
      <c r="AN10" s="4154"/>
      <c r="AO10" s="4154"/>
      <c r="AP10" s="4154"/>
      <c r="AQ10" s="4154"/>
      <c r="AR10" s="4154"/>
      <c r="AS10" s="4154"/>
      <c r="AT10" s="4126"/>
    </row>
    <row r="11" spans="1:51" ht="15" customHeight="1" x14ac:dyDescent="0.2">
      <c r="A11" s="4123"/>
      <c r="B11" s="4151"/>
      <c r="C11" s="4151"/>
      <c r="D11" s="4151"/>
      <c r="E11" s="4151"/>
      <c r="F11" s="4151"/>
      <c r="G11" s="4151"/>
      <c r="H11" s="4151"/>
      <c r="I11" s="4151"/>
      <c r="J11" s="4151"/>
      <c r="K11" s="4151"/>
      <c r="L11" s="4151"/>
      <c r="M11" s="4151"/>
      <c r="N11" s="4151"/>
      <c r="O11" s="4151"/>
      <c r="P11" s="4151"/>
      <c r="Q11" s="4155">
        <f>AK11-AH11</f>
        <v>1.1200000000000001</v>
      </c>
      <c r="R11" s="4151"/>
      <c r="S11" s="4151"/>
      <c r="T11" s="4151"/>
      <c r="U11" s="4151"/>
      <c r="V11" s="4151"/>
      <c r="W11" s="4151"/>
      <c r="X11" s="4151"/>
      <c r="Y11" s="4151"/>
      <c r="Z11" s="4151"/>
      <c r="AA11" s="4122">
        <f t="shared" si="0"/>
        <v>1.1200000000000001</v>
      </c>
      <c r="AB11" s="4121" t="s">
        <v>23</v>
      </c>
      <c r="AC11" s="4123"/>
      <c r="AD11" s="4151"/>
      <c r="AE11" s="4151">
        <v>300</v>
      </c>
      <c r="AF11" s="4122"/>
      <c r="AG11" s="4123">
        <f t="shared" si="1"/>
        <v>-0.60810077098490611</v>
      </c>
      <c r="AH11" s="4127">
        <v>0.56000000000000005</v>
      </c>
      <c r="AI11" s="4123"/>
      <c r="AJ11" s="4122"/>
      <c r="AK11" s="4124">
        <f t="shared" si="2"/>
        <v>1.6800000000000002</v>
      </c>
      <c r="AL11" s="4125">
        <f t="shared" si="3"/>
        <v>1.6800000000000002</v>
      </c>
      <c r="AM11" s="4151"/>
      <c r="AN11" s="4151"/>
      <c r="AO11" s="4151"/>
      <c r="AP11" s="4151"/>
      <c r="AQ11" s="4151"/>
      <c r="AR11" s="4151"/>
      <c r="AS11" s="4151"/>
      <c r="AT11" s="4122"/>
    </row>
    <row r="12" spans="1:51" ht="15" customHeight="1" x14ac:dyDescent="0.2">
      <c r="A12" s="4125">
        <f>AC12%*AG12</f>
        <v>28.262897773245289</v>
      </c>
      <c r="B12" s="4151"/>
      <c r="C12" s="4151"/>
      <c r="D12" s="4151"/>
      <c r="E12" s="4151"/>
      <c r="F12" s="4151"/>
      <c r="G12" s="4151"/>
      <c r="H12" s="4151"/>
      <c r="I12" s="4151"/>
      <c r="J12" s="4151"/>
      <c r="K12" s="4151"/>
      <c r="L12" s="4151"/>
      <c r="M12" s="4151"/>
      <c r="N12" s="4151"/>
      <c r="O12" s="4151"/>
      <c r="P12" s="4151"/>
      <c r="Q12" s="4151"/>
      <c r="R12" s="4151"/>
      <c r="S12" s="4151"/>
      <c r="T12" s="4151"/>
      <c r="U12" s="4151"/>
      <c r="V12" s="4151"/>
      <c r="W12" s="4151"/>
      <c r="X12" s="4151"/>
      <c r="Y12" s="4151"/>
      <c r="Z12" s="4151"/>
      <c r="AA12" s="4122">
        <f t="shared" si="0"/>
        <v>28.262897773245289</v>
      </c>
      <c r="AB12" s="4121" t="s">
        <v>10</v>
      </c>
      <c r="AC12" s="4123">
        <v>100</v>
      </c>
      <c r="AD12" s="4151"/>
      <c r="AE12" s="4151"/>
      <c r="AF12" s="4122"/>
      <c r="AG12" s="4123">
        <f>-SUM(AG13:AG80,AG8:AG11)</f>
        <v>28.262897773245289</v>
      </c>
      <c r="AH12" s="4122"/>
      <c r="AI12" s="4123"/>
      <c r="AJ12" s="4122"/>
      <c r="AK12" s="4124">
        <f t="shared" ref="AK12:AK43" si="4">SUM(AL12:AT12)</f>
        <v>0</v>
      </c>
      <c r="AL12" s="4123"/>
      <c r="AM12" s="4151"/>
      <c r="AN12" s="4151"/>
      <c r="AO12" s="4151"/>
      <c r="AP12" s="4151"/>
      <c r="AQ12" s="4151"/>
      <c r="AR12" s="4151"/>
      <c r="AS12" s="4151"/>
      <c r="AT12" s="4122"/>
    </row>
    <row r="13" spans="1:51" ht="15" customHeight="1" x14ac:dyDescent="0.2">
      <c r="A13" s="122"/>
      <c r="B13" s="4153">
        <v>0.81</v>
      </c>
      <c r="C13" s="26"/>
      <c r="D13" s="26"/>
      <c r="E13" s="26"/>
      <c r="F13" s="26"/>
      <c r="G13" s="26"/>
      <c r="H13" s="26"/>
      <c r="I13" s="26"/>
      <c r="J13" s="4151"/>
      <c r="K13" s="4151"/>
      <c r="L13" s="4151"/>
      <c r="M13" s="26"/>
      <c r="N13" s="26"/>
      <c r="O13" s="26"/>
      <c r="P13" s="26"/>
      <c r="Q13" s="26"/>
      <c r="R13" s="26"/>
      <c r="S13" s="26"/>
      <c r="T13" s="26"/>
      <c r="U13" s="26"/>
      <c r="V13" s="26"/>
      <c r="W13" s="26"/>
      <c r="X13" s="26"/>
      <c r="Y13" s="26"/>
      <c r="Z13" s="26"/>
      <c r="AA13" s="4122">
        <f t="shared" si="0"/>
        <v>0.81</v>
      </c>
      <c r="AB13" s="123" t="s">
        <v>29</v>
      </c>
      <c r="AC13" s="122"/>
      <c r="AD13" s="26"/>
      <c r="AE13" s="26">
        <v>38</v>
      </c>
      <c r="AF13" s="300"/>
      <c r="AG13" s="122"/>
      <c r="AH13" s="300"/>
      <c r="AI13" s="122"/>
      <c r="AJ13" s="300"/>
      <c r="AK13" s="4124">
        <f t="shared" si="4"/>
        <v>0.30780000000000002</v>
      </c>
      <c r="AL13" s="4165">
        <f>AA13*AE13%*20%</f>
        <v>6.1560000000000004E-2</v>
      </c>
      <c r="AM13" s="365"/>
      <c r="AN13" s="365"/>
      <c r="AO13" s="365"/>
      <c r="AP13" s="365"/>
      <c r="AQ13" s="365">
        <f>AA13*AE13%*60%</f>
        <v>0.18468000000000001</v>
      </c>
      <c r="AR13" s="365"/>
      <c r="AS13" s="365"/>
      <c r="AT13" s="366">
        <f>AA13*AE13%*20%</f>
        <v>6.1560000000000004E-2</v>
      </c>
    </row>
    <row r="14" spans="1:51" ht="15" customHeight="1" x14ac:dyDescent="0.2">
      <c r="A14" s="4123"/>
      <c r="B14" s="4151"/>
      <c r="C14" s="4151"/>
      <c r="D14" s="4151"/>
      <c r="E14" s="4153">
        <v>29.48</v>
      </c>
      <c r="F14" s="4151"/>
      <c r="G14" s="4151"/>
      <c r="H14" s="4151"/>
      <c r="I14" s="4151"/>
      <c r="J14" s="4151"/>
      <c r="K14" s="4151"/>
      <c r="L14" s="4151"/>
      <c r="M14" s="4151"/>
      <c r="N14" s="4151"/>
      <c r="O14" s="4151"/>
      <c r="P14" s="4151"/>
      <c r="Q14" s="4151"/>
      <c r="R14" s="4151"/>
      <c r="S14" s="4151"/>
      <c r="T14" s="4151"/>
      <c r="U14" s="4151"/>
      <c r="V14" s="4151"/>
      <c r="W14" s="4151"/>
      <c r="X14" s="4151"/>
      <c r="Y14" s="4151"/>
      <c r="Z14" s="4151"/>
      <c r="AA14" s="4122">
        <f t="shared" si="0"/>
        <v>29.48</v>
      </c>
      <c r="AB14" s="4121" t="s">
        <v>209</v>
      </c>
      <c r="AC14" s="4123"/>
      <c r="AD14" s="4151"/>
      <c r="AE14" s="4151">
        <v>80</v>
      </c>
      <c r="AF14" s="4122"/>
      <c r="AG14" s="4123"/>
      <c r="AH14" s="4122"/>
      <c r="AI14" s="4123"/>
      <c r="AJ14" s="4122"/>
      <c r="AK14" s="4124">
        <f t="shared" si="4"/>
        <v>23.584000000000003</v>
      </c>
      <c r="AL14" s="4123">
        <f t="shared" ref="AL14:AL19" si="5">AA14*AE14%</f>
        <v>23.584000000000003</v>
      </c>
      <c r="AM14" s="4151"/>
      <c r="AN14" s="4151"/>
      <c r="AO14" s="4151"/>
      <c r="AP14" s="4151"/>
      <c r="AQ14" s="4151"/>
      <c r="AR14" s="4151"/>
      <c r="AS14" s="4151"/>
      <c r="AT14" s="4122"/>
      <c r="AY14" s="23"/>
    </row>
    <row r="15" spans="1:51" ht="15" customHeight="1" x14ac:dyDescent="0.2">
      <c r="A15" s="4123"/>
      <c r="B15" s="4151"/>
      <c r="C15" s="4151"/>
      <c r="D15" s="4151"/>
      <c r="E15" s="4151"/>
      <c r="F15" s="4151"/>
      <c r="G15" s="4151"/>
      <c r="H15" s="4151"/>
      <c r="I15" s="4153"/>
      <c r="J15" s="4153"/>
      <c r="K15" s="4153"/>
      <c r="L15" s="4153"/>
      <c r="M15" s="4151"/>
      <c r="N15" s="4151"/>
      <c r="O15" s="4151"/>
      <c r="P15" s="4151"/>
      <c r="Q15" s="4151"/>
      <c r="R15" s="4151"/>
      <c r="S15" s="4151"/>
      <c r="T15" s="4151"/>
      <c r="U15" s="4151"/>
      <c r="V15" s="4151"/>
      <c r="W15" s="4151"/>
      <c r="X15" s="4151"/>
      <c r="Y15" s="4151"/>
      <c r="Z15" s="4151"/>
      <c r="AA15" s="4122">
        <f t="shared" si="0"/>
        <v>0</v>
      </c>
      <c r="AB15" s="4121" t="s">
        <v>210</v>
      </c>
      <c r="AC15" s="4123"/>
      <c r="AD15" s="4151"/>
      <c r="AE15" s="4151">
        <v>85</v>
      </c>
      <c r="AF15" s="4122"/>
      <c r="AG15" s="4123"/>
      <c r="AH15" s="4122"/>
      <c r="AI15" s="4123"/>
      <c r="AJ15" s="4122"/>
      <c r="AK15" s="4124">
        <f t="shared" si="4"/>
        <v>0</v>
      </c>
      <c r="AL15" s="4123">
        <f t="shared" si="5"/>
        <v>0</v>
      </c>
      <c r="AM15" s="4151"/>
      <c r="AN15" s="4151"/>
      <c r="AO15" s="4151"/>
      <c r="AP15" s="4151"/>
      <c r="AQ15" s="4151"/>
      <c r="AR15" s="4151"/>
      <c r="AS15" s="4151"/>
      <c r="AT15" s="4122"/>
      <c r="AY15" s="23"/>
    </row>
    <row r="16" spans="1:51" ht="15" customHeight="1" x14ac:dyDescent="0.2">
      <c r="A16" s="4123"/>
      <c r="B16" s="4151"/>
      <c r="C16" s="4151"/>
      <c r="D16" s="4151"/>
      <c r="E16" s="4151"/>
      <c r="F16" s="4151"/>
      <c r="G16" s="4151"/>
      <c r="H16" s="4151"/>
      <c r="I16" s="4154"/>
      <c r="J16" s="4154"/>
      <c r="K16" s="4154"/>
      <c r="L16" s="4154"/>
      <c r="M16" s="4151"/>
      <c r="N16" s="4151"/>
      <c r="O16" s="4151"/>
      <c r="P16" s="4151"/>
      <c r="Q16" s="4151"/>
      <c r="R16" s="4151"/>
      <c r="S16" s="4151"/>
      <c r="T16" s="4154"/>
      <c r="U16" s="4154"/>
      <c r="V16" s="4153">
        <v>17.829999999999998</v>
      </c>
      <c r="W16" s="4151"/>
      <c r="X16" s="4151"/>
      <c r="Y16" s="4151"/>
      <c r="Z16" s="4151"/>
      <c r="AA16" s="4122">
        <f t="shared" si="0"/>
        <v>17.829999999999998</v>
      </c>
      <c r="AB16" s="4121" t="s">
        <v>211</v>
      </c>
      <c r="AC16" s="4123"/>
      <c r="AD16" s="4151"/>
      <c r="AE16" s="4151">
        <v>75</v>
      </c>
      <c r="AF16" s="4122"/>
      <c r="AG16" s="4123"/>
      <c r="AH16" s="4122"/>
      <c r="AI16" s="4123"/>
      <c r="AJ16" s="4122"/>
      <c r="AK16" s="4124">
        <f t="shared" si="4"/>
        <v>13.372499999999999</v>
      </c>
      <c r="AL16" s="4123">
        <f t="shared" si="5"/>
        <v>13.372499999999999</v>
      </c>
      <c r="AM16" s="4151"/>
      <c r="AN16" s="4151"/>
      <c r="AO16" s="4151"/>
      <c r="AP16" s="4151"/>
      <c r="AQ16" s="4151"/>
      <c r="AR16" s="4151"/>
      <c r="AS16" s="4151"/>
      <c r="AT16" s="4122"/>
      <c r="AY16" s="23"/>
    </row>
    <row r="17" spans="1:51" ht="15" customHeight="1" x14ac:dyDescent="0.2">
      <c r="A17" s="4123"/>
      <c r="B17" s="4151"/>
      <c r="C17" s="4151"/>
      <c r="D17" s="4151"/>
      <c r="E17" s="4151"/>
      <c r="F17" s="4151"/>
      <c r="G17" s="4151"/>
      <c r="H17" s="4151"/>
      <c r="I17" s="4154"/>
      <c r="J17" s="4154"/>
      <c r="K17" s="4154"/>
      <c r="L17" s="4154"/>
      <c r="M17" s="4151"/>
      <c r="N17" s="4151"/>
      <c r="O17" s="4151"/>
      <c r="P17" s="4151"/>
      <c r="Q17" s="4151"/>
      <c r="R17" s="4151"/>
      <c r="S17" s="4151"/>
      <c r="T17" s="4154"/>
      <c r="U17" s="4153">
        <v>49.74</v>
      </c>
      <c r="V17" s="4154"/>
      <c r="W17" s="4151"/>
      <c r="X17" s="4151"/>
      <c r="Y17" s="4151"/>
      <c r="Z17" s="4151"/>
      <c r="AA17" s="4122">
        <f t="shared" si="0"/>
        <v>49.74</v>
      </c>
      <c r="AB17" s="4121" t="s">
        <v>212</v>
      </c>
      <c r="AC17" s="4123"/>
      <c r="AD17" s="4151"/>
      <c r="AE17" s="4151">
        <v>65</v>
      </c>
      <c r="AF17" s="4122"/>
      <c r="AG17" s="4123"/>
      <c r="AH17" s="4122"/>
      <c r="AI17" s="4123"/>
      <c r="AJ17" s="4122"/>
      <c r="AK17" s="4124">
        <f t="shared" si="4"/>
        <v>32.331000000000003</v>
      </c>
      <c r="AL17" s="4123">
        <f t="shared" si="5"/>
        <v>32.331000000000003</v>
      </c>
      <c r="AM17" s="4151"/>
      <c r="AN17" s="4151"/>
      <c r="AO17" s="4151"/>
      <c r="AP17" s="4151"/>
      <c r="AQ17" s="4151"/>
      <c r="AR17" s="4151"/>
      <c r="AS17" s="4151"/>
      <c r="AT17" s="4122"/>
      <c r="AV17" s="23"/>
    </row>
    <row r="18" spans="1:51" ht="15" customHeight="1" x14ac:dyDescent="0.2">
      <c r="A18" s="4123"/>
      <c r="B18" s="4151"/>
      <c r="C18" s="4151"/>
      <c r="D18" s="4151"/>
      <c r="E18" s="4151"/>
      <c r="F18" s="4151"/>
      <c r="G18" s="4151"/>
      <c r="H18" s="4151"/>
      <c r="I18" s="4154"/>
      <c r="J18" s="4154"/>
      <c r="K18" s="4154"/>
      <c r="L18" s="4154"/>
      <c r="M18" s="4151"/>
      <c r="N18" s="4151"/>
      <c r="O18" s="4151"/>
      <c r="P18" s="4151"/>
      <c r="Q18" s="4151"/>
      <c r="R18" s="4151"/>
      <c r="S18" s="4151"/>
      <c r="T18" s="4153">
        <v>9.11</v>
      </c>
      <c r="U18" s="4154"/>
      <c r="V18" s="4154"/>
      <c r="W18" s="4151"/>
      <c r="X18" s="4151"/>
      <c r="Y18" s="4151"/>
      <c r="Z18" s="4151"/>
      <c r="AA18" s="4122">
        <f t="shared" si="0"/>
        <v>9.11</v>
      </c>
      <c r="AB18" s="4121" t="s">
        <v>213</v>
      </c>
      <c r="AC18" s="4123"/>
      <c r="AD18" s="4151"/>
      <c r="AE18" s="4151">
        <v>65</v>
      </c>
      <c r="AF18" s="4122"/>
      <c r="AG18" s="4123"/>
      <c r="AH18" s="4122"/>
      <c r="AI18" s="4123"/>
      <c r="AJ18" s="4122"/>
      <c r="AK18" s="4124">
        <f t="shared" si="4"/>
        <v>5.9215</v>
      </c>
      <c r="AL18" s="4123">
        <f t="shared" si="5"/>
        <v>5.9215</v>
      </c>
      <c r="AM18" s="4151"/>
      <c r="AN18" s="4151"/>
      <c r="AO18" s="4151"/>
      <c r="AP18" s="4151"/>
      <c r="AQ18" s="4151"/>
      <c r="AR18" s="4151"/>
      <c r="AS18" s="4151"/>
      <c r="AT18" s="4122"/>
      <c r="AV18" s="23"/>
    </row>
    <row r="19" spans="1:51" ht="15" customHeight="1" x14ac:dyDescent="0.2">
      <c r="A19" s="4123"/>
      <c r="B19" s="4151"/>
      <c r="C19" s="4151"/>
      <c r="D19" s="4151"/>
      <c r="E19" s="4151"/>
      <c r="F19" s="4151"/>
      <c r="G19" s="4151"/>
      <c r="H19" s="4151"/>
      <c r="I19" s="4154"/>
      <c r="J19" s="4154"/>
      <c r="K19" s="4154"/>
      <c r="L19" s="4154"/>
      <c r="M19" s="4151"/>
      <c r="N19" s="4151"/>
      <c r="O19" s="4153">
        <v>0.94</v>
      </c>
      <c r="P19" s="4151"/>
      <c r="Q19" s="4151"/>
      <c r="R19" s="4151"/>
      <c r="S19" s="4151"/>
      <c r="T19" s="4151"/>
      <c r="U19" s="4151"/>
      <c r="V19" s="4151"/>
      <c r="W19" s="4151"/>
      <c r="X19" s="4151"/>
      <c r="Y19" s="4151"/>
      <c r="Z19" s="4151"/>
      <c r="AA19" s="4122">
        <f t="shared" si="0"/>
        <v>0.94</v>
      </c>
      <c r="AB19" s="4121" t="s">
        <v>214</v>
      </c>
      <c r="AC19" s="4123"/>
      <c r="AD19" s="4151"/>
      <c r="AE19" s="4151">
        <v>100</v>
      </c>
      <c r="AF19" s="4122"/>
      <c r="AG19" s="4123"/>
      <c r="AH19" s="4122"/>
      <c r="AI19" s="4123"/>
      <c r="AJ19" s="4122"/>
      <c r="AK19" s="4124">
        <f t="shared" si="4"/>
        <v>0.94</v>
      </c>
      <c r="AL19" s="4123">
        <f t="shared" si="5"/>
        <v>0.94</v>
      </c>
      <c r="AM19" s="4151"/>
      <c r="AN19" s="4151"/>
      <c r="AO19" s="4151"/>
      <c r="AP19" s="4151"/>
      <c r="AQ19" s="4151"/>
      <c r="AR19" s="4151"/>
      <c r="AS19" s="4151"/>
      <c r="AT19" s="4122"/>
      <c r="AY19" s="23"/>
    </row>
    <row r="20" spans="1:51" ht="15" customHeight="1" x14ac:dyDescent="0.2">
      <c r="A20" s="4123"/>
      <c r="B20" s="4151"/>
      <c r="C20" s="4151"/>
      <c r="D20" s="4151"/>
      <c r="E20" s="4153"/>
      <c r="F20" s="4151"/>
      <c r="G20" s="4151"/>
      <c r="H20" s="4151"/>
      <c r="I20" s="4154"/>
      <c r="J20" s="4154"/>
      <c r="K20" s="4154"/>
      <c r="L20" s="4154"/>
      <c r="M20" s="4151"/>
      <c r="N20" s="4151"/>
      <c r="O20" s="4151"/>
      <c r="P20" s="4151"/>
      <c r="Q20" s="4151"/>
      <c r="R20" s="4151"/>
      <c r="S20" s="4151"/>
      <c r="T20" s="4151"/>
      <c r="U20" s="4151"/>
      <c r="V20" s="4151"/>
      <c r="W20" s="4151"/>
      <c r="X20" s="4151"/>
      <c r="Y20" s="4151"/>
      <c r="Z20" s="4151"/>
      <c r="AA20" s="4122">
        <f t="shared" si="0"/>
        <v>0</v>
      </c>
      <c r="AB20" s="4121" t="s">
        <v>24</v>
      </c>
      <c r="AC20" s="4123"/>
      <c r="AD20" s="4151">
        <v>90</v>
      </c>
      <c r="AE20" s="4151"/>
      <c r="AF20" s="4122"/>
      <c r="AG20" s="4123"/>
      <c r="AH20" s="4122"/>
      <c r="AI20" s="4123"/>
      <c r="AJ20" s="4122"/>
      <c r="AK20" s="4124">
        <f t="shared" si="4"/>
        <v>0</v>
      </c>
      <c r="AL20" s="4123"/>
      <c r="AM20" s="4151"/>
      <c r="AN20" s="4151"/>
      <c r="AO20" s="4151"/>
      <c r="AP20" s="4151"/>
      <c r="AQ20" s="4151">
        <f>AA20*AD20%</f>
        <v>0</v>
      </c>
      <c r="AR20" s="4151"/>
      <c r="AS20" s="4151"/>
      <c r="AT20" s="4122"/>
      <c r="AV20" s="23"/>
    </row>
    <row r="21" spans="1:51" ht="15" customHeight="1" x14ac:dyDescent="0.2">
      <c r="A21" s="4123"/>
      <c r="B21" s="4151"/>
      <c r="C21" s="4151"/>
      <c r="D21" s="4151"/>
      <c r="E21" s="4151"/>
      <c r="F21" s="4151"/>
      <c r="G21" s="4151"/>
      <c r="H21" s="4151"/>
      <c r="I21" s="4153"/>
      <c r="J21" s="4153"/>
      <c r="K21" s="4153"/>
      <c r="L21" s="4153"/>
      <c r="M21" s="4151"/>
      <c r="N21" s="4151"/>
      <c r="O21" s="4151"/>
      <c r="P21" s="4151"/>
      <c r="Q21" s="4151"/>
      <c r="R21" s="4151"/>
      <c r="S21" s="4151"/>
      <c r="T21" s="4151"/>
      <c r="U21" s="4151"/>
      <c r="V21" s="4151"/>
      <c r="W21" s="4151"/>
      <c r="X21" s="4151"/>
      <c r="Y21" s="4151"/>
      <c r="Z21" s="4151"/>
      <c r="AA21" s="4122">
        <f t="shared" si="0"/>
        <v>0</v>
      </c>
      <c r="AB21" s="4121" t="s">
        <v>25</v>
      </c>
      <c r="AC21" s="4123"/>
      <c r="AD21" s="4151">
        <v>90</v>
      </c>
      <c r="AE21" s="4151"/>
      <c r="AF21" s="4122"/>
      <c r="AG21" s="4123"/>
      <c r="AH21" s="4122"/>
      <c r="AI21" s="4123"/>
      <c r="AJ21" s="4122"/>
      <c r="AK21" s="4124">
        <f t="shared" si="4"/>
        <v>0</v>
      </c>
      <c r="AL21" s="4123"/>
      <c r="AM21" s="4151"/>
      <c r="AN21" s="4151"/>
      <c r="AO21" s="4151"/>
      <c r="AP21" s="4151"/>
      <c r="AQ21" s="4151">
        <f>AA21*AD21%</f>
        <v>0</v>
      </c>
      <c r="AR21" s="4151"/>
      <c r="AS21" s="4151"/>
      <c r="AT21" s="4122"/>
      <c r="AV21" s="23"/>
    </row>
    <row r="22" spans="1:51" ht="15" customHeight="1" x14ac:dyDescent="0.2">
      <c r="A22" s="4123"/>
      <c r="B22" s="4151"/>
      <c r="C22" s="4153"/>
      <c r="D22" s="4153"/>
      <c r="E22" s="4153"/>
      <c r="F22" s="4153"/>
      <c r="G22" s="4154"/>
      <c r="H22" s="4153"/>
      <c r="I22" s="4153"/>
      <c r="J22" s="4154"/>
      <c r="K22" s="4154"/>
      <c r="L22" s="4154"/>
      <c r="M22" s="4154"/>
      <c r="N22" s="4154"/>
      <c r="O22" s="4154"/>
      <c r="P22" s="4154"/>
      <c r="Q22" s="4154"/>
      <c r="R22" s="4153"/>
      <c r="S22" s="4153"/>
      <c r="T22" s="4153"/>
      <c r="U22" s="4153"/>
      <c r="V22" s="4153">
        <v>10</v>
      </c>
      <c r="W22" s="4153"/>
      <c r="X22" s="4153"/>
      <c r="Y22" s="4153"/>
      <c r="Z22" s="4153"/>
      <c r="AA22" s="4122">
        <f t="shared" si="0"/>
        <v>10</v>
      </c>
      <c r="AB22" s="4121" t="s">
        <v>512</v>
      </c>
      <c r="AC22" s="4123"/>
      <c r="AD22" s="4151">
        <v>90</v>
      </c>
      <c r="AE22" s="4151"/>
      <c r="AF22" s="4122"/>
      <c r="AG22" s="4123"/>
      <c r="AH22" s="4122"/>
      <c r="AI22" s="4123"/>
      <c r="AJ22" s="4122"/>
      <c r="AK22" s="4124">
        <f t="shared" si="4"/>
        <v>9</v>
      </c>
      <c r="AL22" s="4123"/>
      <c r="AM22" s="4151"/>
      <c r="AN22" s="4151"/>
      <c r="AO22" s="4151"/>
      <c r="AP22" s="4151"/>
      <c r="AQ22" s="4151">
        <f>AA22*AD22%</f>
        <v>9</v>
      </c>
      <c r="AR22" s="4151"/>
      <c r="AS22" s="4151"/>
      <c r="AT22" s="4122"/>
      <c r="AY22" s="23"/>
    </row>
    <row r="23" spans="1:51" ht="15" customHeight="1" x14ac:dyDescent="0.2">
      <c r="A23" s="4123"/>
      <c r="B23" s="4151"/>
      <c r="C23" s="4151"/>
      <c r="D23" s="4151"/>
      <c r="E23" s="4151"/>
      <c r="F23" s="4151"/>
      <c r="G23" s="4151"/>
      <c r="H23" s="4151"/>
      <c r="I23" s="4151"/>
      <c r="J23" s="4151"/>
      <c r="K23" s="4151"/>
      <c r="L23" s="4151"/>
      <c r="M23" s="4151"/>
      <c r="N23" s="4151"/>
      <c r="O23" s="4153">
        <v>26.16</v>
      </c>
      <c r="P23" s="4151"/>
      <c r="Q23" s="4151"/>
      <c r="R23" s="4151"/>
      <c r="S23" s="4151"/>
      <c r="T23" s="4151"/>
      <c r="U23" s="4151"/>
      <c r="V23" s="4151"/>
      <c r="W23" s="4151"/>
      <c r="X23" s="4151"/>
      <c r="Y23" s="4151"/>
      <c r="Z23" s="4151"/>
      <c r="AA23" s="4122">
        <f t="shared" si="0"/>
        <v>26.16</v>
      </c>
      <c r="AB23" s="4121" t="s">
        <v>14</v>
      </c>
      <c r="AC23" s="4151">
        <v>100</v>
      </c>
      <c r="AD23" s="4151"/>
      <c r="AE23" s="4151"/>
      <c r="AF23" s="4122"/>
      <c r="AG23" s="4123">
        <f>AA23*AC23/100</f>
        <v>26.16</v>
      </c>
      <c r="AH23" s="4122"/>
      <c r="AI23" s="4123"/>
      <c r="AJ23" s="4122"/>
      <c r="AK23" s="4124">
        <f t="shared" si="4"/>
        <v>0</v>
      </c>
      <c r="AL23" s="4123"/>
      <c r="AM23" s="4151"/>
      <c r="AN23" s="4151"/>
      <c r="AO23" s="4151"/>
      <c r="AP23" s="4151"/>
      <c r="AQ23" s="4151"/>
      <c r="AR23" s="4151"/>
      <c r="AS23" s="4151"/>
      <c r="AT23" s="4122"/>
      <c r="AV23" s="23"/>
    </row>
    <row r="24" spans="1:51" ht="15" customHeight="1" x14ac:dyDescent="0.2">
      <c r="A24" s="4123"/>
      <c r="B24" s="4151"/>
      <c r="C24" s="4151"/>
      <c r="D24" s="4151"/>
      <c r="E24" s="4151"/>
      <c r="F24" s="4151"/>
      <c r="G24" s="4151"/>
      <c r="H24" s="4151"/>
      <c r="I24" s="4151"/>
      <c r="J24" s="4156"/>
      <c r="K24" s="4151"/>
      <c r="L24" s="4151"/>
      <c r="M24" s="4153">
        <v>0.78</v>
      </c>
      <c r="N24" s="4151"/>
      <c r="O24" s="4151"/>
      <c r="P24" s="4151"/>
      <c r="Q24" s="4151"/>
      <c r="R24" s="4151"/>
      <c r="S24" s="4151"/>
      <c r="T24" s="4151"/>
      <c r="U24" s="4151"/>
      <c r="V24" s="4151"/>
      <c r="W24" s="4151"/>
      <c r="X24" s="4151"/>
      <c r="Y24" s="4151"/>
      <c r="Z24" s="4151"/>
      <c r="AA24" s="4122">
        <f t="shared" si="0"/>
        <v>0.78</v>
      </c>
      <c r="AB24" s="4121" t="s">
        <v>26</v>
      </c>
      <c r="AC24" s="4151">
        <v>100</v>
      </c>
      <c r="AD24" s="4151"/>
      <c r="AE24" s="4151"/>
      <c r="AF24" s="4122"/>
      <c r="AG24" s="4123">
        <f>AC24*AA24/100</f>
        <v>0.78</v>
      </c>
      <c r="AH24" s="4122"/>
      <c r="AI24" s="4123"/>
      <c r="AJ24" s="4122"/>
      <c r="AK24" s="4124">
        <f t="shared" si="4"/>
        <v>0</v>
      </c>
      <c r="AL24" s="4123"/>
      <c r="AM24" s="4151"/>
      <c r="AN24" s="4151"/>
      <c r="AO24" s="4151"/>
      <c r="AP24" s="4151"/>
      <c r="AQ24" s="4151"/>
      <c r="AR24" s="4151"/>
      <c r="AS24" s="4151"/>
      <c r="AT24" s="4122"/>
      <c r="AU24" s="29"/>
      <c r="AV24" s="23"/>
    </row>
    <row r="25" spans="1:51" ht="15" customHeight="1" x14ac:dyDescent="0.2">
      <c r="A25" s="4123"/>
      <c r="B25" s="4151"/>
      <c r="C25" s="4151"/>
      <c r="D25" s="4151"/>
      <c r="E25" s="4151"/>
      <c r="F25" s="4151"/>
      <c r="G25" s="4151"/>
      <c r="H25" s="4151"/>
      <c r="I25" s="4151"/>
      <c r="J25" s="4151"/>
      <c r="K25" s="4151"/>
      <c r="L25" s="4151"/>
      <c r="M25" s="4153"/>
      <c r="N25" s="4151"/>
      <c r="O25" s="4151"/>
      <c r="P25" s="4151"/>
      <c r="Q25" s="4151"/>
      <c r="R25" s="4151"/>
      <c r="S25" s="4151"/>
      <c r="T25" s="4151"/>
      <c r="U25" s="4151"/>
      <c r="V25" s="4151"/>
      <c r="W25" s="4151"/>
      <c r="X25" s="4151"/>
      <c r="Y25" s="4151"/>
      <c r="Z25" s="4151"/>
      <c r="AA25" s="4122">
        <f t="shared" si="0"/>
        <v>0</v>
      </c>
      <c r="AB25" s="4121" t="s">
        <v>74</v>
      </c>
      <c r="AC25" s="4123">
        <v>100</v>
      </c>
      <c r="AD25" s="4151"/>
      <c r="AE25" s="4151"/>
      <c r="AF25" s="4122"/>
      <c r="AG25" s="4123">
        <f>AC25*AA25/100</f>
        <v>0</v>
      </c>
      <c r="AH25" s="4122"/>
      <c r="AI25" s="4123"/>
      <c r="AJ25" s="4122"/>
      <c r="AK25" s="4124">
        <f t="shared" si="4"/>
        <v>0</v>
      </c>
      <c r="AL25" s="4123"/>
      <c r="AM25" s="4151"/>
      <c r="AN25" s="4151"/>
      <c r="AO25" s="4151"/>
      <c r="AP25" s="4151"/>
      <c r="AQ25" s="4151"/>
      <c r="AR25" s="4151"/>
      <c r="AS25" s="4151"/>
      <c r="AT25" s="4122"/>
      <c r="AY25" s="23"/>
    </row>
    <row r="26" spans="1:51" ht="15" customHeight="1" x14ac:dyDescent="0.2">
      <c r="A26" s="4123"/>
      <c r="B26" s="4151"/>
      <c r="C26" s="4151"/>
      <c r="D26" s="4151"/>
      <c r="E26" s="4151"/>
      <c r="F26" s="4151"/>
      <c r="G26" s="4151"/>
      <c r="H26" s="4151"/>
      <c r="I26" s="4151"/>
      <c r="J26" s="4151"/>
      <c r="K26" s="4151"/>
      <c r="L26" s="4151"/>
      <c r="M26" s="4151"/>
      <c r="N26" s="4153"/>
      <c r="O26" s="4151"/>
      <c r="P26" s="4151"/>
      <c r="Q26" s="4151"/>
      <c r="R26" s="4151"/>
      <c r="S26" s="4151"/>
      <c r="T26" s="4151"/>
      <c r="U26" s="4151"/>
      <c r="V26" s="4151"/>
      <c r="W26" s="4151"/>
      <c r="X26" s="4151"/>
      <c r="Y26" s="4151"/>
      <c r="Z26" s="4151"/>
      <c r="AA26" s="4122">
        <f t="shared" si="0"/>
        <v>0</v>
      </c>
      <c r="AB26" s="4121" t="s">
        <v>513</v>
      </c>
      <c r="AC26" s="4153">
        <v>100</v>
      </c>
      <c r="AD26" s="4151"/>
      <c r="AE26" s="4151"/>
      <c r="AF26" s="4122"/>
      <c r="AG26" s="4123">
        <f>AC26*AA26/100</f>
        <v>0</v>
      </c>
      <c r="AH26" s="4122"/>
      <c r="AI26" s="4123"/>
      <c r="AJ26" s="4122"/>
      <c r="AK26" s="4124">
        <f t="shared" si="4"/>
        <v>0</v>
      </c>
      <c r="AL26" s="4123"/>
      <c r="AM26" s="4151"/>
      <c r="AN26" s="4151"/>
      <c r="AO26" s="4151"/>
      <c r="AP26" s="4151"/>
      <c r="AQ26" s="4151"/>
      <c r="AR26" s="4151"/>
      <c r="AS26" s="4151"/>
      <c r="AT26" s="4122"/>
      <c r="AY26" s="23"/>
    </row>
    <row r="27" spans="1:51" ht="15" customHeight="1" x14ac:dyDescent="0.2">
      <c r="A27" s="4105"/>
      <c r="B27" s="4151"/>
      <c r="C27" s="4151"/>
      <c r="D27" s="4151"/>
      <c r="E27" s="4151"/>
      <c r="F27" s="4151"/>
      <c r="G27" s="4151"/>
      <c r="H27" s="4151"/>
      <c r="I27" s="4153"/>
      <c r="J27" s="4153"/>
      <c r="K27" s="4153"/>
      <c r="L27" s="4153"/>
      <c r="M27" s="4151"/>
      <c r="N27" s="4151"/>
      <c r="O27" s="4151"/>
      <c r="P27" s="4151"/>
      <c r="Q27" s="4151"/>
      <c r="R27" s="4151">
        <f>-(I27*33.3%)/AD27%</f>
        <v>0</v>
      </c>
      <c r="S27" s="4151">
        <f>-(I27*10.5%)/AD27%</f>
        <v>0</v>
      </c>
      <c r="T27" s="4151">
        <f>-(I27*6.6%)/AD27%</f>
        <v>0</v>
      </c>
      <c r="U27" s="4151"/>
      <c r="V27" s="4151"/>
      <c r="W27" s="4151">
        <f>-(I27*49.6%)/AD27%</f>
        <v>0</v>
      </c>
      <c r="X27" s="4154"/>
      <c r="Y27" s="4154"/>
      <c r="Z27" s="4154"/>
      <c r="AA27" s="4122">
        <f t="shared" si="0"/>
        <v>0</v>
      </c>
      <c r="AB27" s="4128" t="s">
        <v>170</v>
      </c>
      <c r="AC27" s="4105"/>
      <c r="AD27" s="4154">
        <v>100</v>
      </c>
      <c r="AE27" s="4154"/>
      <c r="AF27" s="4126"/>
      <c r="AG27" s="4129"/>
      <c r="AH27" s="4126"/>
      <c r="AI27" s="4129"/>
      <c r="AJ27" s="4126"/>
      <c r="AK27" s="4124">
        <f t="shared" si="4"/>
        <v>0</v>
      </c>
      <c r="AL27" s="4129"/>
      <c r="AM27" s="4154"/>
      <c r="AN27" s="4154"/>
      <c r="AO27" s="4154"/>
      <c r="AP27" s="4154"/>
      <c r="AQ27" s="4154"/>
      <c r="AR27" s="4154"/>
      <c r="AS27" s="4154"/>
      <c r="AT27" s="4126"/>
    </row>
    <row r="28" spans="1:51" ht="15" customHeight="1" x14ac:dyDescent="0.2">
      <c r="A28" s="4151"/>
      <c r="B28" s="4151"/>
      <c r="C28" s="4154"/>
      <c r="D28" s="4154"/>
      <c r="E28" s="4154"/>
      <c r="F28" s="4154"/>
      <c r="G28" s="4154"/>
      <c r="H28" s="4154"/>
      <c r="I28" s="4153"/>
      <c r="J28" s="4153"/>
      <c r="K28" s="4153"/>
      <c r="L28" s="4153"/>
      <c r="M28" s="4154"/>
      <c r="N28" s="4154"/>
      <c r="O28" s="4154"/>
      <c r="P28" s="4154"/>
      <c r="Q28" s="4154"/>
      <c r="R28" s="4153">
        <f>AA28*33.3%</f>
        <v>0</v>
      </c>
      <c r="S28" s="4154">
        <f>AA28*10.5%</f>
        <v>0</v>
      </c>
      <c r="T28" s="4154">
        <f>AA28*6.6%</f>
        <v>0</v>
      </c>
      <c r="U28" s="4154"/>
      <c r="V28" s="4154"/>
      <c r="W28" s="4153">
        <f>AA28*49.6%</f>
        <v>0</v>
      </c>
      <c r="X28" s="4154"/>
      <c r="Y28" s="4154"/>
      <c r="Z28" s="4154"/>
      <c r="AA28" s="4153"/>
      <c r="AB28" s="4128" t="s">
        <v>169</v>
      </c>
      <c r="AC28" s="4153">
        <v>34.200000000000003</v>
      </c>
      <c r="AD28" s="4154"/>
      <c r="AE28" s="4154"/>
      <c r="AF28" s="4126"/>
      <c r="AG28" s="4123">
        <f>AA28*AC28/100</f>
        <v>0</v>
      </c>
      <c r="AH28" s="4122"/>
      <c r="AI28" s="4123">
        <f>AA28*AE28/100</f>
        <v>0</v>
      </c>
      <c r="AJ28" s="4122"/>
      <c r="AK28" s="4124">
        <f t="shared" si="4"/>
        <v>0</v>
      </c>
      <c r="AL28" s="4123"/>
      <c r="AM28" s="4154"/>
      <c r="AN28" s="4154"/>
      <c r="AO28" s="4154"/>
      <c r="AP28" s="4154"/>
      <c r="AQ28" s="4154"/>
      <c r="AR28" s="4154"/>
      <c r="AS28" s="4154"/>
      <c r="AT28" s="4122"/>
    </row>
    <row r="29" spans="1:51" ht="15" customHeight="1" x14ac:dyDescent="0.2">
      <c r="A29" s="4151"/>
      <c r="B29" s="4153"/>
      <c r="C29" s="4153"/>
      <c r="D29" s="4153"/>
      <c r="E29" s="4153"/>
      <c r="F29" s="4153"/>
      <c r="G29" s="4153"/>
      <c r="H29" s="4153"/>
      <c r="I29" s="4153"/>
      <c r="J29" s="4156"/>
      <c r="K29" s="4153"/>
      <c r="L29" s="4153"/>
      <c r="M29" s="4153"/>
      <c r="N29" s="4153"/>
      <c r="O29" s="4153"/>
      <c r="P29" s="4153"/>
      <c r="Q29" s="4153"/>
      <c r="R29" s="4153"/>
      <c r="S29" s="4153"/>
      <c r="T29" s="4153"/>
      <c r="U29" s="4153"/>
      <c r="V29" s="4153"/>
      <c r="W29" s="4153"/>
      <c r="X29" s="4153"/>
      <c r="Y29" s="4153"/>
      <c r="Z29" s="4153"/>
      <c r="AA29" s="4122">
        <f t="shared" si="0"/>
        <v>0</v>
      </c>
      <c r="AB29" s="4128" t="s">
        <v>179</v>
      </c>
      <c r="AC29" s="4153">
        <v>25.6</v>
      </c>
      <c r="AD29" s="4154"/>
      <c r="AE29" s="4153">
        <v>68.27</v>
      </c>
      <c r="AF29" s="4122"/>
      <c r="AG29" s="4123">
        <f>AA29*AC29/100</f>
        <v>0</v>
      </c>
      <c r="AH29" s="4122"/>
      <c r="AI29" s="4123">
        <f>AA29*AE29/100</f>
        <v>0</v>
      </c>
      <c r="AJ29" s="4122"/>
      <c r="AK29" s="4124">
        <f t="shared" si="4"/>
        <v>0</v>
      </c>
      <c r="AL29" s="4123"/>
      <c r="AM29" s="4151"/>
      <c r="AN29" s="4151"/>
      <c r="AO29" s="4151"/>
      <c r="AP29" s="4151"/>
      <c r="AQ29" s="4151"/>
      <c r="AR29" s="4151"/>
      <c r="AS29" s="4151"/>
      <c r="AT29" s="4122"/>
    </row>
    <row r="30" spans="1:51" s="3" customFormat="1" ht="15" customHeight="1" x14ac:dyDescent="0.2">
      <c r="A30" s="4151"/>
      <c r="B30" s="4153"/>
      <c r="C30" s="4153"/>
      <c r="D30" s="4153"/>
      <c r="E30" s="4153"/>
      <c r="F30" s="4153"/>
      <c r="G30" s="4153"/>
      <c r="H30" s="4153"/>
      <c r="I30" s="4153"/>
      <c r="J30" s="2272"/>
      <c r="K30" s="4154"/>
      <c r="L30" s="4154"/>
      <c r="M30" s="4153"/>
      <c r="N30" s="4153"/>
      <c r="O30" s="4153"/>
      <c r="P30" s="4153"/>
      <c r="Q30" s="4153"/>
      <c r="R30" s="4153"/>
      <c r="S30" s="4153"/>
      <c r="T30" s="4153"/>
      <c r="U30" s="4153"/>
      <c r="V30" s="4153"/>
      <c r="W30" s="4153"/>
      <c r="X30" s="4153"/>
      <c r="Y30" s="4153"/>
      <c r="Z30" s="4153"/>
      <c r="AA30" s="4122">
        <f t="shared" si="0"/>
        <v>0</v>
      </c>
      <c r="AB30" s="4128" t="s">
        <v>13</v>
      </c>
      <c r="AC30" s="4129"/>
      <c r="AD30" s="4154"/>
      <c r="AE30" s="4153">
        <v>86</v>
      </c>
      <c r="AF30" s="4122"/>
      <c r="AG30" s="4123"/>
      <c r="AH30" s="4122"/>
      <c r="AI30" s="4123">
        <f>AA30*AE30/100</f>
        <v>0</v>
      </c>
      <c r="AJ30" s="4122"/>
      <c r="AK30" s="4124">
        <f t="shared" si="4"/>
        <v>0</v>
      </c>
      <c r="AL30" s="4123"/>
      <c r="AM30" s="4151"/>
      <c r="AN30" s="4151"/>
      <c r="AO30" s="4151"/>
      <c r="AP30" s="4151"/>
      <c r="AQ30" s="4151"/>
      <c r="AR30" s="4151"/>
      <c r="AS30" s="4151"/>
      <c r="AT30" s="4122"/>
    </row>
    <row r="31" spans="1:51" ht="15" customHeight="1" x14ac:dyDescent="0.2">
      <c r="A31" s="4154"/>
      <c r="B31" s="4154"/>
      <c r="C31" s="4154"/>
      <c r="D31" s="4154"/>
      <c r="E31" s="4154"/>
      <c r="F31" s="4154"/>
      <c r="G31" s="4154"/>
      <c r="H31" s="4154"/>
      <c r="I31" s="4154"/>
      <c r="J31" s="4154"/>
      <c r="K31" s="4154"/>
      <c r="L31" s="4154"/>
      <c r="M31" s="4154"/>
      <c r="N31" s="4154"/>
      <c r="O31" s="4154"/>
      <c r="P31" s="4154"/>
      <c r="Q31" s="4153">
        <f>AI31-AH31</f>
        <v>0</v>
      </c>
      <c r="R31" s="4154"/>
      <c r="S31" s="4154"/>
      <c r="T31" s="4154"/>
      <c r="U31" s="4154"/>
      <c r="V31" s="4154"/>
      <c r="W31" s="4154"/>
      <c r="X31" s="4154"/>
      <c r="Y31" s="4154"/>
      <c r="Z31" s="4154"/>
      <c r="AA31" s="4122">
        <f t="shared" si="0"/>
        <v>0</v>
      </c>
      <c r="AB31" s="4128" t="s">
        <v>167</v>
      </c>
      <c r="AC31" s="4123"/>
      <c r="AD31" s="4151"/>
      <c r="AE31" s="4153">
        <v>300</v>
      </c>
      <c r="AF31" s="4122"/>
      <c r="AG31" s="4129">
        <f>-AH31/$D$2%</f>
        <v>0</v>
      </c>
      <c r="AH31" s="4153">
        <v>0</v>
      </c>
      <c r="AI31" s="4132">
        <f>AH31*AE31%</f>
        <v>0</v>
      </c>
      <c r="AJ31" s="4126"/>
      <c r="AK31" s="4124">
        <f t="shared" si="4"/>
        <v>0</v>
      </c>
      <c r="AL31" s="4129"/>
      <c r="AM31" s="4105"/>
      <c r="AN31" s="4154"/>
      <c r="AO31" s="4154"/>
      <c r="AP31" s="4154"/>
      <c r="AQ31" s="4154"/>
      <c r="AR31" s="4154"/>
      <c r="AS31" s="4154"/>
      <c r="AT31" s="4126"/>
    </row>
    <row r="32" spans="1:51" ht="15" customHeight="1" x14ac:dyDescent="0.2">
      <c r="A32" s="4154"/>
      <c r="B32" s="4154"/>
      <c r="C32" s="4154"/>
      <c r="D32" s="4154"/>
      <c r="E32" s="4154"/>
      <c r="F32" s="4154"/>
      <c r="G32" s="4158"/>
      <c r="H32" s="4154"/>
      <c r="I32" s="4154"/>
      <c r="J32" s="4154"/>
      <c r="K32" s="4154"/>
      <c r="L32" s="4154"/>
      <c r="M32" s="4154"/>
      <c r="N32" s="4154"/>
      <c r="O32" s="4154"/>
      <c r="P32" s="4154"/>
      <c r="Q32" s="4154"/>
      <c r="R32" s="4154"/>
      <c r="S32" s="4154"/>
      <c r="T32" s="4154"/>
      <c r="U32" s="4154"/>
      <c r="V32" s="4154"/>
      <c r="W32" s="4154"/>
      <c r="X32" s="4154"/>
      <c r="Y32" s="4154"/>
      <c r="Z32" s="4154"/>
      <c r="AA32" s="4122">
        <f t="shared" si="0"/>
        <v>0</v>
      </c>
      <c r="AB32" s="4128" t="s">
        <v>168</v>
      </c>
      <c r="AC32" s="4123"/>
      <c r="AD32" s="4151"/>
      <c r="AE32" s="4153">
        <v>100</v>
      </c>
      <c r="AF32" s="4122"/>
      <c r="AG32" s="4129">
        <f>-AH32/$D$2%</f>
        <v>0</v>
      </c>
      <c r="AH32" s="4153">
        <v>0</v>
      </c>
      <c r="AI32" s="4123">
        <f>AH32*AE32%</f>
        <v>0</v>
      </c>
      <c r="AJ32" s="4126"/>
      <c r="AK32" s="4124">
        <f t="shared" si="4"/>
        <v>0</v>
      </c>
      <c r="AL32" s="4129"/>
      <c r="AM32" s="4105"/>
      <c r="AN32" s="4154"/>
      <c r="AO32" s="4154"/>
      <c r="AP32" s="4154"/>
      <c r="AQ32" s="4154"/>
      <c r="AR32" s="4154"/>
      <c r="AS32" s="4154"/>
      <c r="AT32" s="4126"/>
    </row>
    <row r="33" spans="1:47" ht="15" customHeight="1" x14ac:dyDescent="0.2">
      <c r="A33" s="4151"/>
      <c r="B33" s="4151"/>
      <c r="C33" s="4154"/>
      <c r="D33" s="4154"/>
      <c r="E33" s="4154"/>
      <c r="F33" s="4154"/>
      <c r="G33" s="4154"/>
      <c r="H33" s="4154"/>
      <c r="I33" s="4154"/>
      <c r="J33" s="4154"/>
      <c r="K33" s="4154"/>
      <c r="L33" s="4154"/>
      <c r="M33" s="4154"/>
      <c r="N33" s="4154"/>
      <c r="O33" s="4154"/>
      <c r="P33" s="4154"/>
      <c r="Q33" s="4154"/>
      <c r="R33" s="4154"/>
      <c r="S33" s="4154"/>
      <c r="T33" s="4154"/>
      <c r="U33" s="4154"/>
      <c r="V33" s="4154"/>
      <c r="W33" s="4154"/>
      <c r="X33" s="4154"/>
      <c r="Y33" s="4154"/>
      <c r="Z33" s="4154"/>
      <c r="AA33" s="4122">
        <f t="shared" si="0"/>
        <v>0</v>
      </c>
      <c r="AB33" s="4128" t="s">
        <v>27</v>
      </c>
      <c r="AC33" s="4129"/>
      <c r="AD33" s="4154"/>
      <c r="AE33" s="4154"/>
      <c r="AF33" s="4153">
        <v>75</v>
      </c>
      <c r="AG33" s="4123"/>
      <c r="AH33" s="4122"/>
      <c r="AI33" s="4123">
        <f>-SUM(AI29:AI32)</f>
        <v>0</v>
      </c>
      <c r="AJ33" s="4122">
        <f>-AI33*AF33%</f>
        <v>0</v>
      </c>
      <c r="AK33" s="4124">
        <f>SUM(AL33:AT33)</f>
        <v>0</v>
      </c>
      <c r="AL33" s="4125">
        <f>AJ33*64.9%</f>
        <v>0</v>
      </c>
      <c r="AM33" s="4101">
        <f>AJ33*9.8%</f>
        <v>0</v>
      </c>
      <c r="AN33" s="4153">
        <f>AJ33*13.2%</f>
        <v>0</v>
      </c>
      <c r="AO33" s="4153">
        <f>AJ33*7%</f>
        <v>0</v>
      </c>
      <c r="AP33" s="4153"/>
      <c r="AQ33" s="4153">
        <f>AJ33*3.6%</f>
        <v>0</v>
      </c>
      <c r="AR33" s="4153">
        <f>AJ33*1.5%</f>
        <v>0</v>
      </c>
      <c r="AS33" s="4153"/>
      <c r="AT33" s="4122"/>
    </row>
    <row r="34" spans="1:47" ht="15" customHeight="1" x14ac:dyDescent="0.2">
      <c r="A34" s="4151"/>
      <c r="B34" s="4153"/>
      <c r="C34" s="4153"/>
      <c r="D34" s="4153"/>
      <c r="E34" s="4153"/>
      <c r="F34" s="4153"/>
      <c r="G34" s="4153"/>
      <c r="H34" s="4153"/>
      <c r="I34" s="4153"/>
      <c r="J34" s="4156"/>
      <c r="K34" s="4153"/>
      <c r="L34" s="4153"/>
      <c r="M34" s="4153"/>
      <c r="N34" s="4153"/>
      <c r="O34" s="4153"/>
      <c r="P34" s="4153"/>
      <c r="Q34" s="4153"/>
      <c r="R34" s="4153"/>
      <c r="S34" s="4153"/>
      <c r="T34" s="4153"/>
      <c r="U34" s="4153"/>
      <c r="V34" s="4153"/>
      <c r="W34" s="4153"/>
      <c r="X34" s="4153"/>
      <c r="Y34" s="4153"/>
      <c r="Z34" s="4153"/>
      <c r="AA34" s="4122">
        <f t="shared" si="0"/>
        <v>0</v>
      </c>
      <c r="AB34" s="4128" t="s">
        <v>180</v>
      </c>
      <c r="AC34" s="4153">
        <v>13.56</v>
      </c>
      <c r="AD34" s="4154"/>
      <c r="AE34" s="4153">
        <v>81.02</v>
      </c>
      <c r="AF34" s="4126"/>
      <c r="AG34" s="4123">
        <f>AA34*AC34/100</f>
        <v>0</v>
      </c>
      <c r="AH34" s="4122"/>
      <c r="AI34" s="4123">
        <f>AA34*AE34/100</f>
        <v>0</v>
      </c>
      <c r="AJ34" s="4122"/>
      <c r="AK34" s="4124">
        <f t="shared" si="4"/>
        <v>0</v>
      </c>
      <c r="AL34" s="4129"/>
      <c r="AM34" s="4154"/>
      <c r="AN34" s="4154"/>
      <c r="AO34" s="4154"/>
      <c r="AP34" s="4154"/>
      <c r="AQ34" s="4154"/>
      <c r="AR34" s="4154"/>
      <c r="AS34" s="4151"/>
      <c r="AT34" s="4122"/>
    </row>
    <row r="35" spans="1:47" ht="15" customHeight="1" x14ac:dyDescent="0.2">
      <c r="A35" s="4151"/>
      <c r="B35" s="4153"/>
      <c r="C35" s="4153"/>
      <c r="D35" s="4153"/>
      <c r="E35" s="4153"/>
      <c r="F35" s="4153"/>
      <c r="G35" s="4153"/>
      <c r="H35" s="4153"/>
      <c r="I35" s="4153"/>
      <c r="J35" s="2272"/>
      <c r="K35" s="4154"/>
      <c r="L35" s="4154"/>
      <c r="M35" s="4153"/>
      <c r="N35" s="4153"/>
      <c r="O35" s="4153"/>
      <c r="P35" s="4153"/>
      <c r="Q35" s="4153"/>
      <c r="R35" s="4153"/>
      <c r="S35" s="4153"/>
      <c r="T35" s="4153"/>
      <c r="U35" s="4153"/>
      <c r="V35" s="4153"/>
      <c r="W35" s="4153"/>
      <c r="X35" s="4153"/>
      <c r="Y35" s="4153"/>
      <c r="Z35" s="4153"/>
      <c r="AA35" s="4122">
        <f t="shared" si="0"/>
        <v>0</v>
      </c>
      <c r="AB35" s="4128" t="s">
        <v>7</v>
      </c>
      <c r="AC35" s="4129"/>
      <c r="AD35" s="4154"/>
      <c r="AE35" s="4153">
        <v>110.76</v>
      </c>
      <c r="AF35" s="4126"/>
      <c r="AG35" s="4123">
        <f>AA35*AC35/100</f>
        <v>0</v>
      </c>
      <c r="AH35" s="4122"/>
      <c r="AI35" s="4123">
        <f>AA35*AE35/100</f>
        <v>0</v>
      </c>
      <c r="AJ35" s="4122"/>
      <c r="AK35" s="4124">
        <f t="shared" si="4"/>
        <v>0</v>
      </c>
      <c r="AL35" s="4129"/>
      <c r="AM35" s="4154"/>
      <c r="AN35" s="4154"/>
      <c r="AO35" s="4154"/>
      <c r="AP35" s="4154"/>
      <c r="AQ35" s="4154"/>
      <c r="AR35" s="4154"/>
      <c r="AS35" s="4151"/>
      <c r="AT35" s="4122"/>
    </row>
    <row r="36" spans="1:47" s="3" customFormat="1" ht="15" customHeight="1" x14ac:dyDescent="0.2">
      <c r="A36" s="4151"/>
      <c r="B36" s="4151"/>
      <c r="C36" s="4154"/>
      <c r="D36" s="4154"/>
      <c r="E36" s="4154"/>
      <c r="F36" s="4154"/>
      <c r="G36" s="4154"/>
      <c r="H36" s="4154"/>
      <c r="I36" s="4154"/>
      <c r="J36" s="4154"/>
      <c r="K36" s="4154"/>
      <c r="L36" s="4154"/>
      <c r="M36" s="4154"/>
      <c r="N36" s="4154"/>
      <c r="O36" s="4154"/>
      <c r="P36" s="4154"/>
      <c r="Q36" s="4154"/>
      <c r="R36" s="4154"/>
      <c r="S36" s="4154"/>
      <c r="T36" s="4154"/>
      <c r="U36" s="4154"/>
      <c r="V36" s="4154"/>
      <c r="W36" s="4154"/>
      <c r="X36" s="4154"/>
      <c r="Y36" s="4154"/>
      <c r="Z36" s="4154"/>
      <c r="AA36" s="4122">
        <f t="shared" si="0"/>
        <v>0</v>
      </c>
      <c r="AB36" s="4133" t="s">
        <v>28</v>
      </c>
      <c r="AC36" s="4129"/>
      <c r="AD36" s="4154"/>
      <c r="AE36" s="4154"/>
      <c r="AF36" s="4153">
        <v>75</v>
      </c>
      <c r="AG36" s="4123"/>
      <c r="AH36" s="4122"/>
      <c r="AI36" s="4123">
        <f>-SUM(AI34:AI35)</f>
        <v>0</v>
      </c>
      <c r="AJ36" s="4122">
        <f>-AI36*AF36%</f>
        <v>0</v>
      </c>
      <c r="AK36" s="4124">
        <f t="shared" si="4"/>
        <v>0</v>
      </c>
      <c r="AL36" s="4125">
        <f>AJ36*64.9%</f>
        <v>0</v>
      </c>
      <c r="AM36" s="4101">
        <f>AJ36*9.8%</f>
        <v>0</v>
      </c>
      <c r="AN36" s="4153">
        <f>AJ36*13.2%</f>
        <v>0</v>
      </c>
      <c r="AO36" s="4153">
        <f>AJ36*7%</f>
        <v>0</v>
      </c>
      <c r="AP36" s="4153"/>
      <c r="AQ36" s="4153">
        <f>AJ36*3.6%</f>
        <v>0</v>
      </c>
      <c r="AR36" s="4153">
        <f>AJ36*1.5%</f>
        <v>0</v>
      </c>
      <c r="AS36" s="4153"/>
      <c r="AT36" s="4122"/>
    </row>
    <row r="37" spans="1:47" ht="15" customHeight="1" x14ac:dyDescent="0.2">
      <c r="A37" s="4151"/>
      <c r="B37" s="4153"/>
      <c r="C37" s="4153"/>
      <c r="D37" s="4153"/>
      <c r="E37" s="4153"/>
      <c r="F37" s="4153"/>
      <c r="G37" s="4153"/>
      <c r="H37" s="4153"/>
      <c r="I37" s="4153"/>
      <c r="J37" s="4156"/>
      <c r="K37" s="4153"/>
      <c r="L37" s="4153"/>
      <c r="M37" s="4153"/>
      <c r="N37" s="4153"/>
      <c r="O37" s="4153"/>
      <c r="P37" s="4153"/>
      <c r="Q37" s="4153"/>
      <c r="R37" s="4153"/>
      <c r="S37" s="4153"/>
      <c r="T37" s="4153"/>
      <c r="U37" s="4153"/>
      <c r="V37" s="4153"/>
      <c r="W37" s="4153"/>
      <c r="X37" s="4153"/>
      <c r="Y37" s="4153"/>
      <c r="Z37" s="4153"/>
      <c r="AA37" s="4122">
        <f t="shared" si="0"/>
        <v>0</v>
      </c>
      <c r="AB37" s="4133" t="s">
        <v>181</v>
      </c>
      <c r="AC37" s="4153">
        <v>34.28</v>
      </c>
      <c r="AD37" s="4154"/>
      <c r="AE37" s="4153">
        <v>58.9</v>
      </c>
      <c r="AF37" s="4126"/>
      <c r="AG37" s="4123">
        <f>AA37*AC37/100</f>
        <v>0</v>
      </c>
      <c r="AH37" s="4122"/>
      <c r="AI37" s="4123">
        <f t="shared" ref="AI37:AI42" si="6">AA37*AE37/100</f>
        <v>0</v>
      </c>
      <c r="AJ37" s="4122"/>
      <c r="AK37" s="4124">
        <f t="shared" si="4"/>
        <v>0</v>
      </c>
      <c r="AL37" s="4123"/>
      <c r="AM37" s="4151"/>
      <c r="AN37" s="4151"/>
      <c r="AO37" s="4151"/>
      <c r="AP37" s="4151"/>
      <c r="AQ37" s="4151"/>
      <c r="AR37" s="4151"/>
      <c r="AS37" s="4151"/>
      <c r="AT37" s="4122"/>
    </row>
    <row r="38" spans="1:47" ht="15" customHeight="1" x14ac:dyDescent="0.2">
      <c r="A38" s="4151"/>
      <c r="B38" s="4153"/>
      <c r="C38" s="4153"/>
      <c r="D38" s="4153"/>
      <c r="E38" s="4153">
        <v>0.87119999999999997</v>
      </c>
      <c r="F38" s="4153"/>
      <c r="G38" s="4153"/>
      <c r="H38" s="4153"/>
      <c r="I38" s="4153"/>
      <c r="J38" s="2272"/>
      <c r="K38" s="4154"/>
      <c r="L38" s="4154"/>
      <c r="M38" s="4153"/>
      <c r="N38" s="4153"/>
      <c r="O38" s="4153"/>
      <c r="P38" s="4153"/>
      <c r="Q38" s="4153"/>
      <c r="R38" s="4153"/>
      <c r="S38" s="4153"/>
      <c r="T38" s="4153"/>
      <c r="U38" s="4153">
        <v>21.56616</v>
      </c>
      <c r="V38" s="4153"/>
      <c r="W38" s="4153"/>
      <c r="X38" s="4153"/>
      <c r="Y38" s="4153"/>
      <c r="Z38" s="4153"/>
      <c r="AA38" s="4122">
        <f t="shared" si="0"/>
        <v>22.437359999999998</v>
      </c>
      <c r="AB38" s="4133" t="s">
        <v>203</v>
      </c>
      <c r="AC38" s="4129"/>
      <c r="AD38" s="4154"/>
      <c r="AE38" s="4153">
        <v>90.32</v>
      </c>
      <c r="AF38" s="4126"/>
      <c r="AG38" s="4123">
        <f>AA38*AC38/100</f>
        <v>0</v>
      </c>
      <c r="AH38" s="4122"/>
      <c r="AI38" s="4123">
        <f>AA38*AE38/100</f>
        <v>20.265423551999998</v>
      </c>
      <c r="AJ38" s="4122"/>
      <c r="AK38" s="4124">
        <f t="shared" si="4"/>
        <v>0</v>
      </c>
      <c r="AL38" s="4123"/>
      <c r="AM38" s="4151"/>
      <c r="AN38" s="4151"/>
      <c r="AO38" s="4151"/>
      <c r="AP38" s="4151"/>
      <c r="AQ38" s="4151"/>
      <c r="AR38" s="4151"/>
      <c r="AS38" s="4151"/>
      <c r="AT38" s="4122"/>
      <c r="AU38" s="33"/>
    </row>
    <row r="39" spans="1:47" ht="15" customHeight="1" x14ac:dyDescent="0.2">
      <c r="A39" s="4154"/>
      <c r="B39" s="4154"/>
      <c r="C39" s="4154"/>
      <c r="D39" s="4154"/>
      <c r="E39" s="4154"/>
      <c r="F39" s="4154"/>
      <c r="G39" s="4154"/>
      <c r="H39" s="4154"/>
      <c r="I39" s="4153"/>
      <c r="J39" s="4154"/>
      <c r="K39" s="4154"/>
      <c r="L39" s="4154"/>
      <c r="M39" s="4154"/>
      <c r="N39" s="4154"/>
      <c r="O39" s="4154"/>
      <c r="P39" s="4154"/>
      <c r="Q39" s="4153">
        <f>AI39-AH39</f>
        <v>0</v>
      </c>
      <c r="R39" s="4154"/>
      <c r="S39" s="4154"/>
      <c r="T39" s="4154"/>
      <c r="U39" s="4154"/>
      <c r="V39" s="4154"/>
      <c r="W39" s="4154"/>
      <c r="X39" s="4154"/>
      <c r="Y39" s="4154"/>
      <c r="Z39" s="4154"/>
      <c r="AA39" s="4122">
        <f t="shared" si="0"/>
        <v>0</v>
      </c>
      <c r="AB39" s="4133" t="s">
        <v>204</v>
      </c>
      <c r="AC39" s="4123"/>
      <c r="AD39" s="4151"/>
      <c r="AE39" s="4153">
        <v>313.36</v>
      </c>
      <c r="AF39" s="4122"/>
      <c r="AG39" s="4129">
        <f>-AH39/$D$2%</f>
        <v>0</v>
      </c>
      <c r="AH39" s="4153">
        <v>0</v>
      </c>
      <c r="AI39" s="4123">
        <f>(AH39+I39)*AE39%</f>
        <v>0</v>
      </c>
      <c r="AJ39" s="4126"/>
      <c r="AK39" s="4124">
        <f t="shared" si="4"/>
        <v>0</v>
      </c>
      <c r="AL39" s="4129"/>
      <c r="AM39" s="4154"/>
      <c r="AN39" s="4154"/>
      <c r="AO39" s="4154"/>
      <c r="AP39" s="4154"/>
      <c r="AQ39" s="4154"/>
      <c r="AR39" s="4154"/>
      <c r="AS39" s="4154"/>
      <c r="AT39" s="4126"/>
    </row>
    <row r="40" spans="1:47" ht="15" customHeight="1" x14ac:dyDescent="0.2">
      <c r="A40" s="4154"/>
      <c r="B40" s="4154"/>
      <c r="C40" s="4154"/>
      <c r="D40" s="4154"/>
      <c r="E40" s="4154"/>
      <c r="F40" s="4154"/>
      <c r="G40" s="4154"/>
      <c r="H40" s="4154"/>
      <c r="I40" s="4154"/>
      <c r="J40" s="4154"/>
      <c r="K40" s="4154"/>
      <c r="L40" s="4154"/>
      <c r="M40" s="4154"/>
      <c r="N40" s="4154"/>
      <c r="O40" s="4154"/>
      <c r="P40" s="4154"/>
      <c r="Q40" s="4151"/>
      <c r="R40" s="4154"/>
      <c r="S40" s="4154"/>
      <c r="T40" s="4154"/>
      <c r="U40" s="4154"/>
      <c r="V40" s="4154"/>
      <c r="W40" s="4154"/>
      <c r="X40" s="4154"/>
      <c r="Y40" s="4154"/>
      <c r="Z40" s="4154"/>
      <c r="AA40" s="4122">
        <f t="shared" si="0"/>
        <v>0</v>
      </c>
      <c r="AB40" s="4133" t="s">
        <v>205</v>
      </c>
      <c r="AC40" s="4123"/>
      <c r="AD40" s="4151"/>
      <c r="AE40" s="4153">
        <v>99.58</v>
      </c>
      <c r="AF40" s="4122"/>
      <c r="AG40" s="4129">
        <f>-AH40/$D$2%</f>
        <v>0</v>
      </c>
      <c r="AH40" s="4153">
        <v>0</v>
      </c>
      <c r="AI40" s="4129">
        <f>AH40*AE40%</f>
        <v>0</v>
      </c>
      <c r="AJ40" s="4126"/>
      <c r="AK40" s="4124">
        <f t="shared" si="4"/>
        <v>0</v>
      </c>
      <c r="AL40" s="4129"/>
      <c r="AM40" s="4154"/>
      <c r="AN40" s="4154"/>
      <c r="AO40" s="4154"/>
      <c r="AP40" s="4154"/>
      <c r="AQ40" s="4154"/>
      <c r="AR40" s="4154"/>
      <c r="AS40" s="4154"/>
      <c r="AT40" s="4126"/>
    </row>
    <row r="41" spans="1:47" ht="15" customHeight="1" x14ac:dyDescent="0.2">
      <c r="A41" s="4151"/>
      <c r="B41" s="4151"/>
      <c r="C41" s="4154"/>
      <c r="D41" s="4154"/>
      <c r="E41" s="4154"/>
      <c r="F41" s="4154"/>
      <c r="G41" s="4154"/>
      <c r="H41" s="4154"/>
      <c r="I41" s="4154"/>
      <c r="J41" s="4154"/>
      <c r="K41" s="4154"/>
      <c r="L41" s="4154"/>
      <c r="M41" s="4154"/>
      <c r="N41" s="4154"/>
      <c r="O41" s="4153"/>
      <c r="P41" s="4154"/>
      <c r="Q41" s="4154"/>
      <c r="R41" s="4154"/>
      <c r="S41" s="4154"/>
      <c r="T41" s="4154"/>
      <c r="U41" s="4154"/>
      <c r="V41" s="4154"/>
      <c r="W41" s="4154"/>
      <c r="X41" s="4154"/>
      <c r="Y41" s="4154"/>
      <c r="Z41" s="4154"/>
      <c r="AA41" s="4122">
        <f t="shared" si="0"/>
        <v>0</v>
      </c>
      <c r="AB41" s="4133" t="s">
        <v>206</v>
      </c>
      <c r="AC41" s="4129"/>
      <c r="AD41" s="4154"/>
      <c r="AE41" s="4153">
        <v>99.18</v>
      </c>
      <c r="AF41" s="4126"/>
      <c r="AG41" s="4123"/>
      <c r="AH41" s="4122"/>
      <c r="AI41" s="4123">
        <f t="shared" si="6"/>
        <v>0</v>
      </c>
      <c r="AJ41" s="4122"/>
      <c r="AK41" s="4124">
        <f t="shared" si="4"/>
        <v>0</v>
      </c>
      <c r="AL41" s="4123"/>
      <c r="AM41" s="4151"/>
      <c r="AN41" s="4151"/>
      <c r="AO41" s="4151"/>
      <c r="AP41" s="4151"/>
      <c r="AQ41" s="4151"/>
      <c r="AR41" s="4151"/>
      <c r="AS41" s="4151"/>
      <c r="AT41" s="4122"/>
    </row>
    <row r="42" spans="1:47" ht="15" customHeight="1" x14ac:dyDescent="0.2">
      <c r="A42" s="4151"/>
      <c r="B42" s="4151"/>
      <c r="C42" s="4154"/>
      <c r="D42" s="4154"/>
      <c r="E42" s="4154"/>
      <c r="F42" s="4154"/>
      <c r="G42" s="4154"/>
      <c r="H42" s="4154"/>
      <c r="I42" s="4154"/>
      <c r="J42" s="4154"/>
      <c r="K42" s="4154"/>
      <c r="L42" s="4154"/>
      <c r="M42" s="4154"/>
      <c r="N42" s="4154"/>
      <c r="O42" s="4153"/>
      <c r="P42" s="4153"/>
      <c r="Q42" s="4154"/>
      <c r="R42" s="4154"/>
      <c r="S42" s="4154"/>
      <c r="T42" s="4154"/>
      <c r="U42" s="4154"/>
      <c r="V42" s="4154"/>
      <c r="W42" s="4154"/>
      <c r="X42" s="4154"/>
      <c r="Y42" s="4154"/>
      <c r="Z42" s="4154"/>
      <c r="AA42" s="4122">
        <f t="shared" si="0"/>
        <v>0</v>
      </c>
      <c r="AB42" s="4133" t="s">
        <v>207</v>
      </c>
      <c r="AC42" s="4129"/>
      <c r="AD42" s="4154"/>
      <c r="AE42" s="4153">
        <v>100</v>
      </c>
      <c r="AF42" s="4126"/>
      <c r="AG42" s="4123">
        <f>AA42*AC42/100</f>
        <v>0</v>
      </c>
      <c r="AH42" s="4122"/>
      <c r="AI42" s="4123">
        <f t="shared" si="6"/>
        <v>0</v>
      </c>
      <c r="AJ42" s="4122"/>
      <c r="AK42" s="4124">
        <f t="shared" si="4"/>
        <v>0</v>
      </c>
      <c r="AL42" s="4123"/>
      <c r="AM42" s="4102"/>
      <c r="AN42" s="4151"/>
      <c r="AO42" s="4151"/>
      <c r="AP42" s="4151"/>
      <c r="AQ42" s="4151"/>
      <c r="AR42" s="4151"/>
      <c r="AS42" s="4151"/>
      <c r="AT42" s="4122"/>
    </row>
    <row r="43" spans="1:47" ht="15" customHeight="1" x14ac:dyDescent="0.2">
      <c r="A43" s="4151"/>
      <c r="B43" s="4151"/>
      <c r="C43" s="4154"/>
      <c r="D43" s="4154"/>
      <c r="E43" s="4154"/>
      <c r="F43" s="4154"/>
      <c r="G43" s="4154"/>
      <c r="H43" s="4154"/>
      <c r="I43" s="4154"/>
      <c r="J43" s="4154"/>
      <c r="K43" s="4154"/>
      <c r="L43" s="4154"/>
      <c r="M43" s="4154"/>
      <c r="N43" s="4154"/>
      <c r="O43" s="4154"/>
      <c r="P43" s="4154"/>
      <c r="Q43" s="4154"/>
      <c r="R43" s="4154"/>
      <c r="S43" s="4154"/>
      <c r="T43" s="4154"/>
      <c r="U43" s="4154"/>
      <c r="V43" s="4154"/>
      <c r="W43" s="4154"/>
      <c r="X43" s="4154"/>
      <c r="Y43" s="4154"/>
      <c r="Z43" s="4154"/>
      <c r="AA43" s="4122">
        <f t="shared" si="0"/>
        <v>0</v>
      </c>
      <c r="AB43" s="4133" t="s">
        <v>208</v>
      </c>
      <c r="AC43" s="4129"/>
      <c r="AD43" s="4154"/>
      <c r="AE43" s="4154"/>
      <c r="AF43" s="4153">
        <v>75</v>
      </c>
      <c r="AG43" s="4123"/>
      <c r="AH43" s="4122"/>
      <c r="AI43" s="4123">
        <f>-SUM(AI37:AI42)</f>
        <v>-20.265423551999998</v>
      </c>
      <c r="AJ43" s="4122">
        <f>-AI43*AF43%</f>
        <v>15.199067663999998</v>
      </c>
      <c r="AK43" s="4124">
        <f t="shared" si="4"/>
        <v>15.199067663999999</v>
      </c>
      <c r="AL43" s="4125">
        <f>AJ43*64.9%</f>
        <v>9.8641949139359983</v>
      </c>
      <c r="AM43" s="4101">
        <f>AJ43*9.8%</f>
        <v>1.4895086310719998</v>
      </c>
      <c r="AN43" s="4153">
        <f>AJ43*13.2%</f>
        <v>2.0062769316479998</v>
      </c>
      <c r="AO43" s="4153">
        <f>AJ43*7%</f>
        <v>1.06393473648</v>
      </c>
      <c r="AP43" s="4153"/>
      <c r="AQ43" s="4153">
        <f>AJ43*3.6%</f>
        <v>0.54716643590399994</v>
      </c>
      <c r="AR43" s="4153">
        <f>AJ43*1.5%</f>
        <v>0.22798601495999996</v>
      </c>
      <c r="AS43" s="4153"/>
      <c r="AT43" s="4122"/>
    </row>
    <row r="44" spans="1:47" ht="15" customHeight="1" x14ac:dyDescent="0.2">
      <c r="A44" s="4151"/>
      <c r="B44" s="4153"/>
      <c r="C44" s="4153"/>
      <c r="D44" s="4153"/>
      <c r="E44" s="4153"/>
      <c r="F44" s="4153"/>
      <c r="G44" s="4153"/>
      <c r="H44" s="4153"/>
      <c r="I44" s="4153"/>
      <c r="J44" s="4156"/>
      <c r="K44" s="4153"/>
      <c r="L44" s="4153"/>
      <c r="M44" s="4153"/>
      <c r="N44" s="4153"/>
      <c r="O44" s="4153"/>
      <c r="P44" s="4153"/>
      <c r="Q44" s="4153"/>
      <c r="R44" s="4153"/>
      <c r="S44" s="4153"/>
      <c r="T44" s="4153"/>
      <c r="U44" s="4153"/>
      <c r="V44" s="4153"/>
      <c r="W44" s="4153"/>
      <c r="X44" s="4153"/>
      <c r="Y44" s="4153"/>
      <c r="Z44" s="4153"/>
      <c r="AA44" s="4122">
        <f t="shared" si="0"/>
        <v>0</v>
      </c>
      <c r="AB44" s="4133" t="s">
        <v>182</v>
      </c>
      <c r="AC44" s="4153">
        <v>31.8</v>
      </c>
      <c r="AD44" s="4154"/>
      <c r="AE44" s="4153">
        <v>48.5</v>
      </c>
      <c r="AF44" s="4127"/>
      <c r="AG44" s="4123">
        <f>AA44*AC44/100</f>
        <v>0</v>
      </c>
      <c r="AH44" s="4122"/>
      <c r="AI44" s="4123">
        <f>AA44*AE44/100</f>
        <v>0</v>
      </c>
      <c r="AJ44" s="4122"/>
      <c r="AK44" s="4124">
        <f t="shared" ref="AK44:AK59" si="7">SUM(AL44:AT44)</f>
        <v>0</v>
      </c>
      <c r="AL44" s="4125"/>
      <c r="AM44" s="4101"/>
      <c r="AN44" s="4153"/>
      <c r="AO44" s="4153"/>
      <c r="AP44" s="4153"/>
      <c r="AQ44" s="4153"/>
      <c r="AR44" s="4153"/>
      <c r="AS44" s="4153"/>
      <c r="AT44" s="4122"/>
    </row>
    <row r="45" spans="1:47" ht="15" customHeight="1" x14ac:dyDescent="0.2">
      <c r="A45" s="4151"/>
      <c r="B45" s="4153"/>
      <c r="C45" s="4153"/>
      <c r="D45" s="4153"/>
      <c r="E45" s="4153"/>
      <c r="F45" s="4153"/>
      <c r="G45" s="4153"/>
      <c r="H45" s="4153"/>
      <c r="I45" s="4153"/>
      <c r="J45" s="2272"/>
      <c r="K45" s="4154"/>
      <c r="L45" s="4154"/>
      <c r="M45" s="4153"/>
      <c r="N45" s="4153"/>
      <c r="O45" s="4153"/>
      <c r="P45" s="4153"/>
      <c r="Q45" s="4153"/>
      <c r="R45" s="4153"/>
      <c r="S45" s="4153"/>
      <c r="T45" s="4153"/>
      <c r="U45" s="4153"/>
      <c r="V45" s="4153"/>
      <c r="W45" s="4153"/>
      <c r="X45" s="4153"/>
      <c r="Y45" s="4153"/>
      <c r="Z45" s="4153"/>
      <c r="AA45" s="300">
        <f t="shared" si="0"/>
        <v>0</v>
      </c>
      <c r="AB45" s="4133" t="s">
        <v>183</v>
      </c>
      <c r="AC45" s="4129"/>
      <c r="AD45" s="4154"/>
      <c r="AE45" s="4153">
        <v>98.4</v>
      </c>
      <c r="AF45" s="4126"/>
      <c r="AG45" s="4123">
        <f>-AH45/$D$2%</f>
        <v>0</v>
      </c>
      <c r="AH45" s="4122"/>
      <c r="AI45" s="4123">
        <f>AA45*AE45%</f>
        <v>0</v>
      </c>
      <c r="AJ45" s="4122"/>
      <c r="AK45" s="4124">
        <f t="shared" si="7"/>
        <v>0</v>
      </c>
      <c r="AL45" s="4123"/>
      <c r="AM45" s="4151"/>
      <c r="AN45" s="4151"/>
      <c r="AO45" s="4151"/>
      <c r="AP45" s="4151"/>
      <c r="AQ45" s="4151"/>
      <c r="AR45" s="4151"/>
      <c r="AS45" s="4151"/>
      <c r="AT45" s="4122"/>
    </row>
    <row r="46" spans="1:47" ht="15" customHeight="1" x14ac:dyDescent="0.2">
      <c r="A46" s="4151"/>
      <c r="B46" s="4151"/>
      <c r="C46" s="4151"/>
      <c r="D46" s="4151"/>
      <c r="E46" s="4151"/>
      <c r="F46" s="4151"/>
      <c r="G46" s="4151"/>
      <c r="H46" s="4151"/>
      <c r="I46" s="4153"/>
      <c r="J46" s="4151"/>
      <c r="K46" s="4151"/>
      <c r="L46" s="4151"/>
      <c r="M46" s="4151"/>
      <c r="N46" s="4151"/>
      <c r="O46" s="4151"/>
      <c r="P46" s="4151"/>
      <c r="Q46" s="4153">
        <f>AI46-AH46</f>
        <v>0</v>
      </c>
      <c r="R46" s="4151"/>
      <c r="S46" s="4151"/>
      <c r="T46" s="4151"/>
      <c r="U46" s="4151"/>
      <c r="V46" s="4151"/>
      <c r="W46" s="4151"/>
      <c r="X46" s="4151"/>
      <c r="Y46" s="4151"/>
      <c r="Z46" s="4151"/>
      <c r="AA46" s="300">
        <f t="shared" si="0"/>
        <v>0</v>
      </c>
      <c r="AB46" s="4133" t="s">
        <v>184</v>
      </c>
      <c r="AC46" s="4123"/>
      <c r="AD46" s="4151"/>
      <c r="AE46" s="4153">
        <v>0</v>
      </c>
      <c r="AF46" s="4122"/>
      <c r="AG46" s="4123">
        <f>-AH46/$D$2%</f>
        <v>0</v>
      </c>
      <c r="AH46" s="4127">
        <v>0</v>
      </c>
      <c r="AI46" s="4123">
        <f>(AH46+I46)*AE46%</f>
        <v>0</v>
      </c>
      <c r="AJ46" s="4122"/>
      <c r="AK46" s="4124">
        <f t="shared" si="7"/>
        <v>0</v>
      </c>
      <c r="AL46" s="4123"/>
      <c r="AM46" s="4151"/>
      <c r="AN46" s="4151"/>
      <c r="AO46" s="4151"/>
      <c r="AP46" s="4151"/>
      <c r="AQ46" s="4151"/>
      <c r="AR46" s="4151"/>
      <c r="AS46" s="4151"/>
      <c r="AT46" s="4122"/>
    </row>
    <row r="47" spans="1:47" s="3" customFormat="1" ht="15" customHeight="1" x14ac:dyDescent="0.2">
      <c r="A47" s="4151"/>
      <c r="B47" s="4151"/>
      <c r="C47" s="4151"/>
      <c r="D47" s="4151"/>
      <c r="E47" s="4151"/>
      <c r="F47" s="4151"/>
      <c r="G47" s="4151"/>
      <c r="H47" s="4151"/>
      <c r="I47" s="4154"/>
      <c r="J47" s="4154"/>
      <c r="K47" s="4154"/>
      <c r="L47" s="4154"/>
      <c r="M47" s="4154"/>
      <c r="N47" s="4151"/>
      <c r="O47" s="4151"/>
      <c r="P47" s="4151"/>
      <c r="Q47" s="4151"/>
      <c r="R47" s="4151"/>
      <c r="S47" s="4151"/>
      <c r="T47" s="4151"/>
      <c r="U47" s="4151"/>
      <c r="V47" s="4151"/>
      <c r="W47" s="4151"/>
      <c r="X47" s="4151"/>
      <c r="Y47" s="4151"/>
      <c r="Z47" s="4151"/>
      <c r="AA47" s="300">
        <f t="shared" si="0"/>
        <v>0</v>
      </c>
      <c r="AB47" s="4133" t="s">
        <v>185</v>
      </c>
      <c r="AC47" s="4123"/>
      <c r="AD47" s="4151"/>
      <c r="AE47" s="4153">
        <v>0</v>
      </c>
      <c r="AF47" s="4122"/>
      <c r="AG47" s="4123">
        <f>-AH47/$D$2%</f>
        <v>0</v>
      </c>
      <c r="AH47" s="4127">
        <v>0</v>
      </c>
      <c r="AI47" s="4129">
        <f>AH47*AE47%</f>
        <v>0</v>
      </c>
      <c r="AJ47" s="4122"/>
      <c r="AK47" s="4124">
        <f t="shared" si="7"/>
        <v>0</v>
      </c>
      <c r="AL47" s="4123"/>
      <c r="AM47" s="4151"/>
      <c r="AN47" s="4151"/>
      <c r="AO47" s="4151"/>
      <c r="AP47" s="4151"/>
      <c r="AQ47" s="4151"/>
      <c r="AR47" s="4151"/>
      <c r="AS47" s="4151"/>
      <c r="AT47" s="4122"/>
    </row>
    <row r="48" spans="1:47" s="3" customFormat="1" ht="15" customHeight="1" x14ac:dyDescent="0.2">
      <c r="A48" s="4151"/>
      <c r="B48" s="4151"/>
      <c r="C48" s="4154"/>
      <c r="D48" s="4154"/>
      <c r="E48" s="4154"/>
      <c r="F48" s="4154"/>
      <c r="G48" s="4154"/>
      <c r="H48" s="4154"/>
      <c r="I48" s="4154"/>
      <c r="J48" s="4154"/>
      <c r="K48" s="4154"/>
      <c r="L48" s="4154"/>
      <c r="M48" s="4154"/>
      <c r="N48" s="4154"/>
      <c r="O48" s="4153"/>
      <c r="P48" s="4154"/>
      <c r="Q48" s="4154"/>
      <c r="R48" s="4154"/>
      <c r="S48" s="4154"/>
      <c r="T48" s="4154"/>
      <c r="U48" s="4154"/>
      <c r="V48" s="4154"/>
      <c r="W48" s="4154"/>
      <c r="X48" s="4154"/>
      <c r="Y48" s="4154"/>
      <c r="Z48" s="4154"/>
      <c r="AA48" s="300">
        <f t="shared" si="0"/>
        <v>0</v>
      </c>
      <c r="AB48" s="4133" t="s">
        <v>186</v>
      </c>
      <c r="AC48" s="4123"/>
      <c r="AD48" s="4151"/>
      <c r="AE48" s="4153">
        <v>100</v>
      </c>
      <c r="AF48" s="4122"/>
      <c r="AG48" s="4123"/>
      <c r="AH48" s="4122"/>
      <c r="AI48" s="4123">
        <f>AA48*AE48/100</f>
        <v>0</v>
      </c>
      <c r="AJ48" s="4122"/>
      <c r="AK48" s="4124">
        <f t="shared" si="7"/>
        <v>0</v>
      </c>
      <c r="AL48" s="4123"/>
      <c r="AM48" s="4151"/>
      <c r="AN48" s="4151"/>
      <c r="AO48" s="4151"/>
      <c r="AP48" s="4151"/>
      <c r="AQ48" s="4151"/>
      <c r="AR48" s="4151"/>
      <c r="AS48" s="4151"/>
      <c r="AT48" s="4122"/>
    </row>
    <row r="49" spans="1:46" ht="15" customHeight="1" x14ac:dyDescent="0.2">
      <c r="A49" s="4151"/>
      <c r="B49" s="4151"/>
      <c r="C49" s="4154"/>
      <c r="D49" s="4154"/>
      <c r="E49" s="4154"/>
      <c r="F49" s="4154"/>
      <c r="G49" s="4154"/>
      <c r="H49" s="4154"/>
      <c r="I49" s="4154"/>
      <c r="J49" s="4154"/>
      <c r="K49" s="4154"/>
      <c r="L49" s="4154"/>
      <c r="M49" s="4154"/>
      <c r="N49" s="4154"/>
      <c r="O49" s="4153"/>
      <c r="P49" s="4153"/>
      <c r="Q49" s="4154"/>
      <c r="R49" s="4154"/>
      <c r="S49" s="4154"/>
      <c r="T49" s="4154"/>
      <c r="U49" s="4154"/>
      <c r="V49" s="4154"/>
      <c r="W49" s="4154"/>
      <c r="X49" s="4154"/>
      <c r="Y49" s="4154"/>
      <c r="Z49" s="4154"/>
      <c r="AA49" s="300">
        <f t="shared" si="0"/>
        <v>0</v>
      </c>
      <c r="AB49" s="4133" t="s">
        <v>187</v>
      </c>
      <c r="AC49" s="4129"/>
      <c r="AD49" s="4154"/>
      <c r="AE49" s="4153">
        <v>100</v>
      </c>
      <c r="AF49" s="4126"/>
      <c r="AG49" s="4123">
        <f>AA49*AC49%</f>
        <v>0</v>
      </c>
      <c r="AH49" s="4122"/>
      <c r="AI49" s="4123">
        <f>AA49*AE49%</f>
        <v>0</v>
      </c>
      <c r="AJ49" s="4122"/>
      <c r="AK49" s="4124">
        <f t="shared" si="7"/>
        <v>0</v>
      </c>
      <c r="AL49" s="4123"/>
      <c r="AM49" s="4151"/>
      <c r="AN49" s="4151"/>
      <c r="AO49" s="4151"/>
      <c r="AP49" s="4151"/>
      <c r="AQ49" s="4151"/>
      <c r="AR49" s="4151"/>
      <c r="AS49" s="4151"/>
      <c r="AT49" s="4122"/>
    </row>
    <row r="50" spans="1:46" ht="15" customHeight="1" x14ac:dyDescent="0.2">
      <c r="A50" s="4123"/>
      <c r="B50" s="4151"/>
      <c r="C50" s="4154"/>
      <c r="D50" s="4154"/>
      <c r="E50" s="4154"/>
      <c r="F50" s="4154"/>
      <c r="G50" s="4154"/>
      <c r="H50" s="4154"/>
      <c r="I50" s="4153"/>
      <c r="J50" s="4153"/>
      <c r="K50" s="4153"/>
      <c r="L50" s="4153"/>
      <c r="M50" s="4154"/>
      <c r="N50" s="4154"/>
      <c r="O50" s="4154"/>
      <c r="P50" s="4154"/>
      <c r="Q50" s="4154"/>
      <c r="R50" s="4154"/>
      <c r="S50" s="4154"/>
      <c r="T50" s="4154"/>
      <c r="U50" s="4154"/>
      <c r="V50" s="4154"/>
      <c r="W50" s="4154"/>
      <c r="X50" s="4154"/>
      <c r="Y50" s="4154"/>
      <c r="Z50" s="4154"/>
      <c r="AA50" s="300">
        <f t="shared" si="0"/>
        <v>0</v>
      </c>
      <c r="AB50" s="4133" t="s">
        <v>188</v>
      </c>
      <c r="AC50" s="4129"/>
      <c r="AD50" s="4154"/>
      <c r="AE50" s="4153">
        <v>100</v>
      </c>
      <c r="AF50" s="4126"/>
      <c r="AG50" s="4123"/>
      <c r="AH50" s="4122"/>
      <c r="AI50" s="4153">
        <v>0</v>
      </c>
      <c r="AJ50" s="4122"/>
      <c r="AK50" s="4124">
        <f t="shared" si="7"/>
        <v>0</v>
      </c>
      <c r="AL50" s="4123"/>
      <c r="AM50" s="4151"/>
      <c r="AN50" s="4151"/>
      <c r="AO50" s="4151"/>
      <c r="AP50" s="4151"/>
      <c r="AQ50" s="4151"/>
      <c r="AR50" s="4151"/>
      <c r="AS50" s="4151"/>
      <c r="AT50" s="4122"/>
    </row>
    <row r="51" spans="1:46" ht="15" customHeight="1" x14ac:dyDescent="0.2">
      <c r="A51" s="4151"/>
      <c r="B51" s="4151"/>
      <c r="C51" s="4154"/>
      <c r="D51" s="4154"/>
      <c r="E51" s="4154"/>
      <c r="F51" s="4154"/>
      <c r="G51" s="4154"/>
      <c r="H51" s="4154"/>
      <c r="I51" s="4154"/>
      <c r="J51" s="4154"/>
      <c r="K51" s="4154"/>
      <c r="L51" s="4154"/>
      <c r="M51" s="4154"/>
      <c r="N51" s="4154"/>
      <c r="O51" s="4154"/>
      <c r="P51" s="4154"/>
      <c r="Q51" s="4154"/>
      <c r="R51" s="4154"/>
      <c r="S51" s="4154"/>
      <c r="T51" s="4154"/>
      <c r="U51" s="4154"/>
      <c r="V51" s="4154"/>
      <c r="W51" s="4154"/>
      <c r="X51" s="4154"/>
      <c r="Y51" s="4154"/>
      <c r="Z51" s="4154"/>
      <c r="AA51" s="300">
        <f t="shared" si="0"/>
        <v>0</v>
      </c>
      <c r="AB51" s="4133" t="s">
        <v>189</v>
      </c>
      <c r="AC51" s="4129"/>
      <c r="AD51" s="4154"/>
      <c r="AE51" s="4154"/>
      <c r="AF51" s="4153">
        <v>75</v>
      </c>
      <c r="AG51" s="4123"/>
      <c r="AH51" s="4122"/>
      <c r="AI51" s="4129">
        <f>-SUM(AI44:AI50)</f>
        <v>0</v>
      </c>
      <c r="AJ51" s="4122">
        <f>-AI51*AF51/100</f>
        <v>0</v>
      </c>
      <c r="AK51" s="4124">
        <f t="shared" si="7"/>
        <v>0</v>
      </c>
      <c r="AL51" s="4125">
        <f>AJ51*64.9%</f>
        <v>0</v>
      </c>
      <c r="AM51" s="4101">
        <f>AJ51*9.8%</f>
        <v>0</v>
      </c>
      <c r="AN51" s="4153">
        <f>AJ51*13.2%</f>
        <v>0</v>
      </c>
      <c r="AO51" s="4153">
        <f>AJ51*7%</f>
        <v>0</v>
      </c>
      <c r="AP51" s="4153"/>
      <c r="AQ51" s="4153">
        <f>AJ51*3.6%</f>
        <v>0</v>
      </c>
      <c r="AR51" s="4153">
        <f>AJ51*1.5%</f>
        <v>0</v>
      </c>
      <c r="AS51" s="4153"/>
      <c r="AT51" s="4122"/>
    </row>
    <row r="52" spans="1:46" ht="15" customHeight="1" x14ac:dyDescent="0.2">
      <c r="A52" s="4151"/>
      <c r="B52" s="4153"/>
      <c r="C52" s="4153"/>
      <c r="D52" s="4153"/>
      <c r="E52" s="4153"/>
      <c r="F52" s="4153"/>
      <c r="G52" s="4153"/>
      <c r="H52" s="4153"/>
      <c r="I52" s="4153"/>
      <c r="J52" s="4156"/>
      <c r="K52" s="4154"/>
      <c r="L52" s="4154"/>
      <c r="M52" s="4153"/>
      <c r="N52" s="4153"/>
      <c r="O52" s="4153"/>
      <c r="P52" s="4153"/>
      <c r="Q52" s="4153"/>
      <c r="R52" s="4153"/>
      <c r="S52" s="4153"/>
      <c r="T52" s="4153"/>
      <c r="U52" s="4153"/>
      <c r="V52" s="4153"/>
      <c r="W52" s="4153"/>
      <c r="X52" s="4153"/>
      <c r="Y52" s="4153"/>
      <c r="Z52" s="4153"/>
      <c r="AA52" s="300">
        <f t="shared" si="0"/>
        <v>0</v>
      </c>
      <c r="AB52" s="4133" t="s">
        <v>190</v>
      </c>
      <c r="AC52" s="4153">
        <v>35.799999999999997</v>
      </c>
      <c r="AD52" s="4154"/>
      <c r="AE52" s="4153">
        <v>54.8</v>
      </c>
      <c r="AF52" s="4126"/>
      <c r="AG52" s="4123">
        <f t="shared" ref="AG52:AG54" si="8">AC52/100*AA52</f>
        <v>0</v>
      </c>
      <c r="AH52" s="4122"/>
      <c r="AI52" s="4123">
        <f>AA52*AE52/100</f>
        <v>0</v>
      </c>
      <c r="AJ52" s="4122"/>
      <c r="AK52" s="4124">
        <f t="shared" si="7"/>
        <v>0</v>
      </c>
      <c r="AL52" s="4123"/>
      <c r="AM52" s="4151"/>
      <c r="AN52" s="4151"/>
      <c r="AO52" s="4151"/>
      <c r="AP52" s="4151"/>
      <c r="AQ52" s="4151"/>
      <c r="AR52" s="4151"/>
      <c r="AS52" s="4151"/>
      <c r="AT52" s="4122"/>
    </row>
    <row r="53" spans="1:46" ht="15" customHeight="1" x14ac:dyDescent="0.2">
      <c r="A53" s="4151"/>
      <c r="B53" s="4153"/>
      <c r="C53" s="4153"/>
      <c r="D53" s="4153"/>
      <c r="E53" s="4153"/>
      <c r="F53" s="4153"/>
      <c r="G53" s="4153"/>
      <c r="H53" s="4153"/>
      <c r="I53" s="4153"/>
      <c r="J53" s="4156"/>
      <c r="K53" s="4153"/>
      <c r="L53" s="4153"/>
      <c r="M53" s="4153"/>
      <c r="N53" s="4153"/>
      <c r="O53" s="4153"/>
      <c r="P53" s="4153"/>
      <c r="Q53" s="4153"/>
      <c r="R53" s="4153"/>
      <c r="S53" s="4153"/>
      <c r="T53" s="4153"/>
      <c r="U53" s="4153"/>
      <c r="V53" s="4153"/>
      <c r="W53" s="4153"/>
      <c r="X53" s="4153"/>
      <c r="Y53" s="4153"/>
      <c r="Z53" s="4153"/>
      <c r="AA53" s="300">
        <f t="shared" si="0"/>
        <v>0</v>
      </c>
      <c r="AB53" s="4133" t="s">
        <v>191</v>
      </c>
      <c r="AC53" s="4129"/>
      <c r="AD53" s="4154"/>
      <c r="AE53" s="4153">
        <v>102.9</v>
      </c>
      <c r="AF53" s="4126"/>
      <c r="AG53" s="4123">
        <f t="shared" si="8"/>
        <v>0</v>
      </c>
      <c r="AH53" s="4122"/>
      <c r="AI53" s="4123">
        <f>AA53*AE53/100</f>
        <v>0</v>
      </c>
      <c r="AJ53" s="4122"/>
      <c r="AK53" s="4124">
        <f t="shared" si="7"/>
        <v>0</v>
      </c>
      <c r="AL53" s="4123"/>
      <c r="AM53" s="4151"/>
      <c r="AN53" s="4151"/>
      <c r="AO53" s="4151"/>
      <c r="AP53" s="4151"/>
      <c r="AQ53" s="4151"/>
      <c r="AR53" s="4151"/>
      <c r="AS53" s="4151"/>
      <c r="AT53" s="4122"/>
    </row>
    <row r="54" spans="1:46" ht="15" customHeight="1" x14ac:dyDescent="0.2">
      <c r="A54" s="4151"/>
      <c r="B54" s="4151"/>
      <c r="C54" s="4151"/>
      <c r="D54" s="4151"/>
      <c r="E54" s="4151"/>
      <c r="F54" s="4151"/>
      <c r="G54" s="4151"/>
      <c r="H54" s="4151"/>
      <c r="I54" s="4151"/>
      <c r="J54" s="4151"/>
      <c r="K54" s="4151"/>
      <c r="L54" s="4151"/>
      <c r="M54" s="4151"/>
      <c r="N54" s="4151"/>
      <c r="O54" s="4151"/>
      <c r="P54" s="4151"/>
      <c r="Q54" s="4151"/>
      <c r="R54" s="4151"/>
      <c r="S54" s="4151"/>
      <c r="T54" s="4151"/>
      <c r="U54" s="4153"/>
      <c r="V54" s="4151"/>
      <c r="W54" s="4151"/>
      <c r="X54" s="4151"/>
      <c r="Y54" s="4151"/>
      <c r="Z54" s="4151"/>
      <c r="AA54" s="300">
        <f t="shared" si="0"/>
        <v>0</v>
      </c>
      <c r="AB54" s="4133" t="s">
        <v>192</v>
      </c>
      <c r="AC54" s="4129"/>
      <c r="AD54" s="4154"/>
      <c r="AE54" s="4153">
        <v>100</v>
      </c>
      <c r="AF54" s="4126"/>
      <c r="AG54" s="4123">
        <f t="shared" si="8"/>
        <v>0</v>
      </c>
      <c r="AH54" s="4127"/>
      <c r="AI54" s="4153">
        <v>0</v>
      </c>
      <c r="AJ54" s="4122"/>
      <c r="AK54" s="4124">
        <f t="shared" si="7"/>
        <v>0</v>
      </c>
      <c r="AL54" s="4123"/>
      <c r="AM54" s="4151"/>
      <c r="AN54" s="4151"/>
      <c r="AO54" s="4151"/>
      <c r="AP54" s="4151"/>
      <c r="AQ54" s="4151"/>
      <c r="AR54" s="4151"/>
      <c r="AS54" s="4151"/>
      <c r="AT54" s="4122"/>
    </row>
    <row r="55" spans="1:46" ht="15" customHeight="1" x14ac:dyDescent="0.2">
      <c r="A55" s="4151"/>
      <c r="B55" s="4151"/>
      <c r="C55" s="4151"/>
      <c r="D55" s="4151"/>
      <c r="E55" s="4151"/>
      <c r="F55" s="4151"/>
      <c r="G55" s="4151"/>
      <c r="H55" s="4151"/>
      <c r="I55" s="4151"/>
      <c r="J55" s="4151"/>
      <c r="K55" s="4151"/>
      <c r="L55" s="4151"/>
      <c r="M55" s="4151"/>
      <c r="N55" s="4151"/>
      <c r="O55" s="4151"/>
      <c r="P55" s="4151"/>
      <c r="Q55" s="4151"/>
      <c r="R55" s="4151"/>
      <c r="S55" s="4151"/>
      <c r="T55" s="4151"/>
      <c r="U55" s="4151"/>
      <c r="V55" s="4151"/>
      <c r="W55" s="4151"/>
      <c r="X55" s="4151"/>
      <c r="Y55" s="4151"/>
      <c r="Z55" s="4151"/>
      <c r="AA55" s="300">
        <f t="shared" si="0"/>
        <v>0</v>
      </c>
      <c r="AB55" s="4106" t="s">
        <v>193</v>
      </c>
      <c r="AC55" s="4129"/>
      <c r="AD55" s="4154"/>
      <c r="AE55" s="4154"/>
      <c r="AF55" s="1674"/>
      <c r="AG55" s="4123">
        <f>-AH55</f>
        <v>0</v>
      </c>
      <c r="AH55" s="4153">
        <v>0</v>
      </c>
      <c r="AI55" s="4129"/>
      <c r="AJ55" s="4122"/>
      <c r="AK55" s="4124">
        <f t="shared" si="7"/>
        <v>0</v>
      </c>
      <c r="AL55" s="4123"/>
      <c r="AM55" s="4151"/>
      <c r="AN55" s="4151"/>
      <c r="AO55" s="4151"/>
      <c r="AP55" s="4151"/>
      <c r="AQ55" s="4151">
        <f>AH55</f>
        <v>0</v>
      </c>
      <c r="AR55" s="4151"/>
      <c r="AS55" s="4151"/>
      <c r="AT55" s="4122"/>
    </row>
    <row r="56" spans="1:46" ht="15" customHeight="1" x14ac:dyDescent="0.2">
      <c r="A56" s="4151"/>
      <c r="B56" s="4151"/>
      <c r="C56" s="4151"/>
      <c r="D56" s="4151"/>
      <c r="E56" s="4151"/>
      <c r="F56" s="4151"/>
      <c r="G56" s="4151"/>
      <c r="H56" s="4151"/>
      <c r="I56" s="4151"/>
      <c r="J56" s="4151"/>
      <c r="K56" s="4151"/>
      <c r="L56" s="4151"/>
      <c r="M56" s="4151"/>
      <c r="N56" s="4151"/>
      <c r="O56" s="4151"/>
      <c r="P56" s="4151"/>
      <c r="Q56" s="4151"/>
      <c r="R56" s="4151"/>
      <c r="S56" s="4151"/>
      <c r="T56" s="4151"/>
      <c r="U56" s="4151"/>
      <c r="V56" s="4151"/>
      <c r="W56" s="4151"/>
      <c r="X56" s="4151"/>
      <c r="Y56" s="4151"/>
      <c r="Z56" s="4151"/>
      <c r="AA56" s="300">
        <f t="shared" si="0"/>
        <v>0</v>
      </c>
      <c r="AB56" s="4106" t="s">
        <v>530</v>
      </c>
      <c r="AC56" s="4129"/>
      <c r="AD56" s="4154"/>
      <c r="AE56" s="4154"/>
      <c r="AF56" s="4126"/>
      <c r="AG56" s="4123"/>
      <c r="AH56" s="4126"/>
      <c r="AI56" s="4153">
        <v>0</v>
      </c>
      <c r="AJ56" s="4122"/>
      <c r="AK56" s="4124">
        <f t="shared" si="7"/>
        <v>0</v>
      </c>
      <c r="AL56" s="4123"/>
      <c r="AM56" s="4151"/>
      <c r="AN56" s="4151"/>
      <c r="AO56" s="4151"/>
      <c r="AP56" s="4151"/>
      <c r="AQ56" s="4151">
        <f>-AI56</f>
        <v>0</v>
      </c>
      <c r="AR56" s="4151"/>
      <c r="AS56" s="4151"/>
      <c r="AT56" s="4122"/>
    </row>
    <row r="57" spans="1:46" ht="15" customHeight="1" x14ac:dyDescent="0.2">
      <c r="A57" s="4151"/>
      <c r="B57" s="4151"/>
      <c r="C57" s="4151"/>
      <c r="D57" s="4151"/>
      <c r="E57" s="4151"/>
      <c r="F57" s="4151"/>
      <c r="G57" s="4151"/>
      <c r="H57" s="4151"/>
      <c r="I57" s="4151"/>
      <c r="J57" s="4151"/>
      <c r="K57" s="4151"/>
      <c r="L57" s="4151"/>
      <c r="M57" s="4151"/>
      <c r="N57" s="4151"/>
      <c r="O57" s="4151"/>
      <c r="P57" s="4151"/>
      <c r="Q57" s="4151"/>
      <c r="R57" s="4151"/>
      <c r="S57" s="4151"/>
      <c r="T57" s="4151"/>
      <c r="U57" s="4151"/>
      <c r="V57" s="4151"/>
      <c r="W57" s="4151"/>
      <c r="X57" s="4151"/>
      <c r="Y57" s="4151"/>
      <c r="Z57" s="4151"/>
      <c r="AA57" s="300">
        <f t="shared" si="0"/>
        <v>0</v>
      </c>
      <c r="AB57" s="4133" t="s">
        <v>194</v>
      </c>
      <c r="AC57" s="4129">
        <v>65</v>
      </c>
      <c r="AD57" s="4154"/>
      <c r="AE57" s="4154">
        <v>15</v>
      </c>
      <c r="AF57" s="4126"/>
      <c r="AG57" s="4123">
        <f>-AH57/$D$2%</f>
        <v>0</v>
      </c>
      <c r="AH57" s="4126"/>
      <c r="AI57" s="4129">
        <f>AH57*AE57%</f>
        <v>0</v>
      </c>
      <c r="AJ57" s="4122">
        <f>AI57*AF60%</f>
        <v>0</v>
      </c>
      <c r="AK57" s="4124">
        <f t="shared" si="7"/>
        <v>0</v>
      </c>
      <c r="AL57" s="4123"/>
      <c r="AM57" s="4102"/>
      <c r="AN57" s="4151"/>
      <c r="AO57" s="4151"/>
      <c r="AP57" s="4151"/>
      <c r="AQ57" s="4151"/>
      <c r="AR57" s="4151"/>
      <c r="AS57" s="4151"/>
      <c r="AT57" s="4122"/>
    </row>
    <row r="58" spans="1:46" ht="15" customHeight="1" x14ac:dyDescent="0.2">
      <c r="A58" s="4151"/>
      <c r="B58" s="4151"/>
      <c r="C58" s="4151"/>
      <c r="D58" s="4151"/>
      <c r="E58" s="4151"/>
      <c r="F58" s="4151"/>
      <c r="G58" s="4151"/>
      <c r="H58" s="4151"/>
      <c r="I58" s="4151"/>
      <c r="J58" s="4151"/>
      <c r="K58" s="4151"/>
      <c r="L58" s="4151"/>
      <c r="M58" s="4151"/>
      <c r="N58" s="4151"/>
      <c r="O58" s="4151"/>
      <c r="P58" s="4151"/>
      <c r="Q58" s="4151"/>
      <c r="R58" s="4151"/>
      <c r="S58" s="4151"/>
      <c r="T58" s="4151"/>
      <c r="U58" s="4151"/>
      <c r="V58" s="4151"/>
      <c r="W58" s="4151"/>
      <c r="X58" s="4151"/>
      <c r="Y58" s="4151"/>
      <c r="Z58" s="4151"/>
      <c r="AA58" s="300">
        <f t="shared" si="0"/>
        <v>0</v>
      </c>
      <c r="AB58" s="4133" t="s">
        <v>195</v>
      </c>
      <c r="AC58" s="4129">
        <v>630</v>
      </c>
      <c r="AD58" s="4154"/>
      <c r="AE58" s="4154"/>
      <c r="AF58" s="4126"/>
      <c r="AG58" s="4123">
        <f>-AH58/$D$2%</f>
        <v>0</v>
      </c>
      <c r="AH58" s="4126"/>
      <c r="AI58" s="4129">
        <f t="shared" ref="AI58:AI59" si="9">AH58*AE58%</f>
        <v>0</v>
      </c>
      <c r="AJ58" s="4122">
        <f t="shared" ref="AJ58:AJ59" si="10">AI58*AF61%</f>
        <v>0</v>
      </c>
      <c r="AK58" s="4124">
        <f t="shared" si="7"/>
        <v>0</v>
      </c>
      <c r="AL58" s="4123"/>
      <c r="AM58" s="4102"/>
      <c r="AN58" s="4151"/>
      <c r="AO58" s="4151"/>
      <c r="AP58" s="4151"/>
      <c r="AQ58" s="4151"/>
      <c r="AR58" s="4151"/>
      <c r="AS58" s="4151"/>
      <c r="AT58" s="4122"/>
    </row>
    <row r="59" spans="1:46" ht="15" customHeight="1" x14ac:dyDescent="0.2">
      <c r="A59" s="4151"/>
      <c r="B59" s="4151"/>
      <c r="C59" s="4151"/>
      <c r="D59" s="4151"/>
      <c r="E59" s="4151"/>
      <c r="F59" s="4151"/>
      <c r="G59" s="4150"/>
      <c r="H59" s="4150"/>
      <c r="I59" s="4150"/>
      <c r="J59" s="4150"/>
      <c r="K59" s="4150"/>
      <c r="L59" s="4150"/>
      <c r="M59" s="4150"/>
      <c r="N59" s="4150"/>
      <c r="O59" s="4150"/>
      <c r="P59" s="4150"/>
      <c r="Q59" s="4150"/>
      <c r="R59" s="4150"/>
      <c r="S59" s="4150"/>
      <c r="T59" s="4150"/>
      <c r="U59" s="4150"/>
      <c r="V59" s="4150"/>
      <c r="W59" s="4150"/>
      <c r="X59" s="4150"/>
      <c r="Y59" s="4150"/>
      <c r="Z59" s="4150"/>
      <c r="AA59" s="27">
        <f t="shared" si="0"/>
        <v>0</v>
      </c>
      <c r="AB59" s="4133" t="s">
        <v>196</v>
      </c>
      <c r="AC59" s="4129"/>
      <c r="AD59" s="4154"/>
      <c r="AE59" s="4154"/>
      <c r="AF59" s="4126"/>
      <c r="AG59" s="4123">
        <f>-AH59/$D$2%</f>
        <v>0</v>
      </c>
      <c r="AH59" s="4126"/>
      <c r="AI59" s="4129">
        <f t="shared" si="9"/>
        <v>0</v>
      </c>
      <c r="AJ59" s="4122">
        <f t="shared" si="10"/>
        <v>0</v>
      </c>
      <c r="AK59" s="4124">
        <f t="shared" si="7"/>
        <v>0</v>
      </c>
      <c r="AL59" s="4123"/>
      <c r="AM59" s="4102"/>
      <c r="AN59" s="4151"/>
      <c r="AO59" s="4151"/>
      <c r="AP59" s="4151"/>
      <c r="AQ59" s="4151"/>
      <c r="AR59" s="4151"/>
      <c r="AS59" s="4151"/>
      <c r="AT59" s="4122"/>
    </row>
    <row r="60" spans="1:46" ht="15" customHeight="1" x14ac:dyDescent="0.2">
      <c r="A60" s="4151"/>
      <c r="B60" s="4151"/>
      <c r="C60" s="4151"/>
      <c r="D60" s="4151"/>
      <c r="E60" s="4151"/>
      <c r="F60" s="4151"/>
      <c r="G60" s="4150"/>
      <c r="H60" s="4150"/>
      <c r="I60" s="4150"/>
      <c r="J60" s="4150"/>
      <c r="K60" s="4150"/>
      <c r="L60" s="4150"/>
      <c r="M60" s="4150"/>
      <c r="N60" s="4150"/>
      <c r="O60" s="4150"/>
      <c r="P60" s="4150"/>
      <c r="Q60" s="4150"/>
      <c r="R60" s="4150"/>
      <c r="S60" s="4150"/>
      <c r="T60" s="4150"/>
      <c r="U60" s="4150"/>
      <c r="V60" s="4150"/>
      <c r="W60" s="4150"/>
      <c r="X60" s="4150"/>
      <c r="Y60" s="4150"/>
      <c r="Z60" s="4150"/>
      <c r="AA60" s="27">
        <f t="shared" si="0"/>
        <v>0</v>
      </c>
      <c r="AB60" s="4133" t="s">
        <v>197</v>
      </c>
      <c r="AC60" s="4129"/>
      <c r="AD60" s="4154"/>
      <c r="AE60" s="4154"/>
      <c r="AF60" s="4153">
        <v>75</v>
      </c>
      <c r="AG60" s="4123"/>
      <c r="AH60" s="4122"/>
      <c r="AI60" s="4123">
        <f>-SUM(AI52:AI59)</f>
        <v>0</v>
      </c>
      <c r="AJ60" s="4122">
        <f>-AI60*AF60/100</f>
        <v>0</v>
      </c>
      <c r="AK60" s="4124">
        <f t="shared" ref="AK60:AK61" si="11">SUM(AL60:AT60)</f>
        <v>0</v>
      </c>
      <c r="AL60" s="4125">
        <f>AJ60*64.9%</f>
        <v>0</v>
      </c>
      <c r="AM60" s="4101">
        <f>AJ60*9.8%</f>
        <v>0</v>
      </c>
      <c r="AN60" s="4153">
        <f>AJ60*13.2%</f>
        <v>0</v>
      </c>
      <c r="AO60" s="4153">
        <f>AJ60*7%</f>
        <v>0</v>
      </c>
      <c r="AP60" s="4153"/>
      <c r="AQ60" s="4153">
        <f>AJ60*3.6%</f>
        <v>0</v>
      </c>
      <c r="AR60" s="4153">
        <f>AJ60*1.5%</f>
        <v>0</v>
      </c>
      <c r="AS60" s="4153"/>
      <c r="AT60" s="4122"/>
    </row>
    <row r="61" spans="1:46" ht="15" customHeight="1" x14ac:dyDescent="0.2">
      <c r="A61" s="4112"/>
      <c r="B61" s="4150"/>
      <c r="C61" s="4150"/>
      <c r="D61" s="4150"/>
      <c r="E61" s="4150"/>
      <c r="F61" s="4154"/>
      <c r="G61" s="4157"/>
      <c r="H61" s="4166">
        <f>AA61-S61</f>
        <v>16.968419999999998</v>
      </c>
      <c r="I61" s="4157"/>
      <c r="J61" s="4157"/>
      <c r="K61" s="4157"/>
      <c r="L61" s="4157"/>
      <c r="M61" s="4157"/>
      <c r="N61" s="4157"/>
      <c r="O61" s="4157"/>
      <c r="P61" s="4157"/>
      <c r="Q61" s="4157"/>
      <c r="R61" s="4157"/>
      <c r="S61" s="4166">
        <f>AA61*6.2%</f>
        <v>1.12158</v>
      </c>
      <c r="T61" s="4150"/>
      <c r="U61" s="4150"/>
      <c r="V61" s="4150"/>
      <c r="W61" s="4150"/>
      <c r="X61" s="4150"/>
      <c r="Y61" s="4150"/>
      <c r="Z61" s="4150"/>
      <c r="AA61" s="4166">
        <v>18.09</v>
      </c>
      <c r="AB61" s="4133" t="s">
        <v>198</v>
      </c>
      <c r="AC61" s="4123"/>
      <c r="AD61" s="4151">
        <v>19</v>
      </c>
      <c r="AE61" s="4151"/>
      <c r="AF61" s="4122"/>
      <c r="AG61" s="4123"/>
      <c r="AH61" s="4122"/>
      <c r="AI61" s="4123"/>
      <c r="AJ61" s="4122"/>
      <c r="AK61" s="4124">
        <f t="shared" si="11"/>
        <v>3.4370999999999996</v>
      </c>
      <c r="AL61" s="4123"/>
      <c r="AM61" s="4151"/>
      <c r="AN61" s="4151"/>
      <c r="AO61" s="4151"/>
      <c r="AP61" s="4151"/>
      <c r="AQ61" s="4151"/>
      <c r="AR61" s="4151"/>
      <c r="AS61" s="4151"/>
      <c r="AT61" s="4122">
        <f>AA61*AD61/100</f>
        <v>3.4370999999999996</v>
      </c>
    </row>
    <row r="62" spans="1:46" ht="15" customHeight="1" x14ac:dyDescent="0.2">
      <c r="A62" s="4112"/>
      <c r="B62" s="4150"/>
      <c r="C62" s="4150"/>
      <c r="D62" s="4150"/>
      <c r="E62" s="4150"/>
      <c r="F62" s="4153">
        <f>AA62-S62</f>
        <v>14.22336</v>
      </c>
      <c r="G62" s="4157"/>
      <c r="H62" s="4157"/>
      <c r="I62" s="4157"/>
      <c r="J62" s="4157"/>
      <c r="K62" s="4157"/>
      <c r="L62" s="4157"/>
      <c r="M62" s="4157"/>
      <c r="N62" s="4157"/>
      <c r="O62" s="4157"/>
      <c r="P62" s="4157"/>
      <c r="Q62" s="4157"/>
      <c r="R62" s="4157"/>
      <c r="S62" s="4166">
        <f>AA62*7.4%</f>
        <v>1.1366400000000001</v>
      </c>
      <c r="T62" s="4150"/>
      <c r="U62" s="4150"/>
      <c r="V62" s="4150"/>
      <c r="W62" s="4150"/>
      <c r="X62" s="4150"/>
      <c r="Y62" s="4150"/>
      <c r="Z62" s="4150"/>
      <c r="AA62" s="4166">
        <v>15.36</v>
      </c>
      <c r="AB62" s="4133" t="s">
        <v>199</v>
      </c>
      <c r="AC62" s="4123"/>
      <c r="AD62" s="4151">
        <v>24.3</v>
      </c>
      <c r="AE62" s="4151"/>
      <c r="AF62" s="4122"/>
      <c r="AG62" s="4123"/>
      <c r="AH62" s="4122"/>
      <c r="AI62" s="4123"/>
      <c r="AJ62" s="4122"/>
      <c r="AK62" s="4124">
        <f t="shared" ref="AK62:AK80" si="12">SUM(AL62:AT62)</f>
        <v>3.7324799999999998</v>
      </c>
      <c r="AL62" s="4123"/>
      <c r="AM62" s="4151"/>
      <c r="AN62" s="4151"/>
      <c r="AO62" s="4151"/>
      <c r="AP62" s="4151"/>
      <c r="AQ62" s="4151"/>
      <c r="AR62" s="4151"/>
      <c r="AS62" s="4151"/>
      <c r="AT62" s="4122">
        <f>AA62*AD62/100</f>
        <v>3.7324799999999998</v>
      </c>
    </row>
    <row r="63" spans="1:46" ht="15" customHeight="1" x14ac:dyDescent="0.2">
      <c r="A63" s="4112"/>
      <c r="B63" s="4150"/>
      <c r="C63" s="4150"/>
      <c r="D63" s="4150"/>
      <c r="E63" s="4150"/>
      <c r="F63" s="4153"/>
      <c r="G63" s="4157"/>
      <c r="H63" s="4157"/>
      <c r="I63" s="4166"/>
      <c r="J63" s="4157"/>
      <c r="K63" s="4157"/>
      <c r="L63" s="4157"/>
      <c r="M63" s="4157"/>
      <c r="N63" s="4157"/>
      <c r="O63" s="4157"/>
      <c r="P63" s="4157"/>
      <c r="Q63" s="4157"/>
      <c r="R63" s="4157"/>
      <c r="S63" s="4166"/>
      <c r="T63" s="4150"/>
      <c r="U63" s="4150"/>
      <c r="V63" s="4150"/>
      <c r="W63" s="4150"/>
      <c r="X63" s="4150"/>
      <c r="Y63" s="4150"/>
      <c r="Z63" s="4150"/>
      <c r="AA63" s="4134">
        <f t="shared" ref="AA63:AA66" si="13">SUM(A63:Z63)</f>
        <v>0</v>
      </c>
      <c r="AB63" s="4121" t="s">
        <v>524</v>
      </c>
      <c r="AC63" s="4123"/>
      <c r="AD63" s="4151">
        <v>22.6</v>
      </c>
      <c r="AE63" s="4151"/>
      <c r="AF63" s="4122"/>
      <c r="AG63" s="4123"/>
      <c r="AH63" s="4122"/>
      <c r="AI63" s="4123"/>
      <c r="AJ63" s="4122"/>
      <c r="AK63" s="4124">
        <f t="shared" si="12"/>
        <v>0</v>
      </c>
      <c r="AL63" s="4123"/>
      <c r="AM63" s="4151"/>
      <c r="AN63" s="4151"/>
      <c r="AO63" s="4151"/>
      <c r="AP63" s="4151"/>
      <c r="AQ63" s="4151"/>
      <c r="AR63" s="4151"/>
      <c r="AS63" s="4151"/>
      <c r="AT63" s="4122">
        <f>AA63*AD63/100</f>
        <v>0</v>
      </c>
    </row>
    <row r="64" spans="1:46" ht="15" customHeight="1" x14ac:dyDescent="0.2">
      <c r="A64" s="4112"/>
      <c r="B64" s="4150"/>
      <c r="C64" s="4150"/>
      <c r="D64" s="4150"/>
      <c r="E64" s="4150"/>
      <c r="F64" s="4153"/>
      <c r="G64" s="4157"/>
      <c r="H64" s="4157"/>
      <c r="I64" s="4157"/>
      <c r="J64" s="4157"/>
      <c r="K64" s="4157"/>
      <c r="L64" s="4157"/>
      <c r="M64" s="4157"/>
      <c r="N64" s="4157"/>
      <c r="O64" s="4157"/>
      <c r="P64" s="4157"/>
      <c r="Q64" s="4157"/>
      <c r="R64" s="4157"/>
      <c r="S64" s="4166"/>
      <c r="T64" s="4150"/>
      <c r="U64" s="4150"/>
      <c r="V64" s="4150"/>
      <c r="W64" s="4150"/>
      <c r="X64" s="4150"/>
      <c r="Y64" s="4150"/>
      <c r="Z64" s="4150"/>
      <c r="AA64" s="4134">
        <f t="shared" si="13"/>
        <v>0</v>
      </c>
      <c r="AB64" s="4128" t="s">
        <v>525</v>
      </c>
      <c r="AC64" s="4123">
        <v>70</v>
      </c>
      <c r="AD64" s="4151"/>
      <c r="AE64" s="4151"/>
      <c r="AF64" s="4122"/>
      <c r="AG64" s="4123">
        <f t="shared" ref="AG64:AG65" si="14">-AH64/$D$2%</f>
        <v>-0.19546096210229122</v>
      </c>
      <c r="AH64" s="4153">
        <v>0.18</v>
      </c>
      <c r="AI64" s="4123"/>
      <c r="AJ64" s="4122"/>
      <c r="AK64" s="4124">
        <f t="shared" ref="AK64" si="15">SUM(AL64:AT64)</f>
        <v>0.126</v>
      </c>
      <c r="AL64" s="4123"/>
      <c r="AM64" s="4151"/>
      <c r="AN64" s="4151"/>
      <c r="AO64" s="4151"/>
      <c r="AP64" s="4151"/>
      <c r="AQ64" s="4151"/>
      <c r="AR64" s="4151"/>
      <c r="AS64" s="4151"/>
      <c r="AT64" s="4122">
        <f>AH64*AC64%</f>
        <v>0.126</v>
      </c>
    </row>
    <row r="65" spans="1:46" ht="15" customHeight="1" x14ac:dyDescent="0.2">
      <c r="A65" s="4112"/>
      <c r="B65" s="4150"/>
      <c r="C65" s="4150"/>
      <c r="D65" s="4150"/>
      <c r="E65" s="4150"/>
      <c r="F65" s="4153"/>
      <c r="G65" s="4157"/>
      <c r="H65" s="4157">
        <f>AA65-S65</f>
        <v>0.12964000000000001</v>
      </c>
      <c r="I65" s="4157"/>
      <c r="J65" s="4157"/>
      <c r="K65" s="4157"/>
      <c r="L65" s="4157"/>
      <c r="M65" s="4157"/>
      <c r="N65" s="4157"/>
      <c r="O65" s="4157"/>
      <c r="P65" s="4157"/>
      <c r="Q65" s="4157"/>
      <c r="R65" s="4157"/>
      <c r="S65" s="4166">
        <f>AA65*7.4%</f>
        <v>1.0360000000000003E-2</v>
      </c>
      <c r="T65" s="4150"/>
      <c r="U65" s="4150"/>
      <c r="V65" s="4150"/>
      <c r="W65" s="4150"/>
      <c r="X65" s="4150"/>
      <c r="Y65" s="4150"/>
      <c r="Z65" s="4150"/>
      <c r="AA65" s="4166">
        <v>0.14000000000000001</v>
      </c>
      <c r="AB65" s="4133" t="s">
        <v>520</v>
      </c>
      <c r="AC65" s="4123">
        <v>70</v>
      </c>
      <c r="AD65" s="4151">
        <v>19</v>
      </c>
      <c r="AE65" s="4151"/>
      <c r="AF65" s="4122"/>
      <c r="AG65" s="4123">
        <f t="shared" si="14"/>
        <v>-4.1263980888261491E-2</v>
      </c>
      <c r="AH65" s="4153">
        <f>AA65*AD65%/AC65%</f>
        <v>3.8000000000000006E-2</v>
      </c>
      <c r="AI65" s="4123"/>
      <c r="AJ65" s="4122"/>
      <c r="AK65" s="4124">
        <f t="shared" si="12"/>
        <v>5.3200000000000004E-2</v>
      </c>
      <c r="AL65" s="4123"/>
      <c r="AM65" s="4151"/>
      <c r="AN65" s="4151"/>
      <c r="AO65" s="4151"/>
      <c r="AP65" s="4151"/>
      <c r="AQ65" s="4151"/>
      <c r="AR65" s="4151"/>
      <c r="AS65" s="4151"/>
      <c r="AT65" s="4122">
        <f>AH65*AC65%+AA65*AD65%</f>
        <v>5.3200000000000004E-2</v>
      </c>
    </row>
    <row r="66" spans="1:46" ht="15" customHeight="1" x14ac:dyDescent="0.2">
      <c r="A66" s="4112"/>
      <c r="B66" s="4150"/>
      <c r="C66" s="4150"/>
      <c r="D66" s="4150"/>
      <c r="E66" s="4150"/>
      <c r="F66" s="4153"/>
      <c r="G66" s="4157"/>
      <c r="H66" s="4157"/>
      <c r="I66" s="4157"/>
      <c r="J66" s="4157"/>
      <c r="K66" s="4157"/>
      <c r="L66" s="4157"/>
      <c r="M66" s="4157"/>
      <c r="N66" s="4157"/>
      <c r="O66" s="4157"/>
      <c r="P66" s="4157"/>
      <c r="Q66" s="4157"/>
      <c r="R66" s="4157"/>
      <c r="S66" s="4166"/>
      <c r="T66" s="4150"/>
      <c r="U66" s="4150"/>
      <c r="V66" s="4150"/>
      <c r="W66" s="4150"/>
      <c r="X66" s="4150"/>
      <c r="Y66" s="4150"/>
      <c r="Z66" s="4150"/>
      <c r="AA66" s="4134">
        <f t="shared" si="13"/>
        <v>0</v>
      </c>
      <c r="AB66" s="4121" t="s">
        <v>519</v>
      </c>
      <c r="AC66" s="4123"/>
      <c r="AD66" s="4151">
        <v>40</v>
      </c>
      <c r="AE66" s="4151"/>
      <c r="AF66" s="4122"/>
      <c r="AG66" s="4123"/>
      <c r="AH66" s="4122"/>
      <c r="AI66" s="4123"/>
      <c r="AJ66" s="4122"/>
      <c r="AK66" s="4124">
        <f t="shared" si="12"/>
        <v>0</v>
      </c>
      <c r="AL66" s="4123"/>
      <c r="AM66" s="4151"/>
      <c r="AN66" s="4151"/>
      <c r="AO66" s="4151"/>
      <c r="AP66" s="4151"/>
      <c r="AQ66" s="4151"/>
      <c r="AR66" s="4151"/>
      <c r="AS66" s="4151"/>
      <c r="AT66" s="4122">
        <f>AA66*AD66%</f>
        <v>0</v>
      </c>
    </row>
    <row r="67" spans="1:46" ht="15" customHeight="1" x14ac:dyDescent="0.2">
      <c r="A67" s="4112"/>
      <c r="B67" s="4150"/>
      <c r="C67" s="4150"/>
      <c r="D67" s="4150"/>
      <c r="E67" s="4150"/>
      <c r="F67" s="4153">
        <f>AA67-S67</f>
        <v>1.3427</v>
      </c>
      <c r="G67" s="4157"/>
      <c r="H67" s="4157"/>
      <c r="I67" s="4157"/>
      <c r="J67" s="4157"/>
      <c r="K67" s="4157"/>
      <c r="L67" s="4157"/>
      <c r="M67" s="4157"/>
      <c r="N67" s="4157"/>
      <c r="O67" s="4157"/>
      <c r="P67" s="4157"/>
      <c r="Q67" s="4157"/>
      <c r="R67" s="4157"/>
      <c r="S67" s="4166">
        <f>AA67*7.4%</f>
        <v>0.10730000000000001</v>
      </c>
      <c r="T67" s="4150"/>
      <c r="U67" s="4150"/>
      <c r="V67" s="4150"/>
      <c r="W67" s="4150"/>
      <c r="X67" s="4150"/>
      <c r="Y67" s="4150"/>
      <c r="Z67" s="4150"/>
      <c r="AA67" s="4166">
        <v>1.45</v>
      </c>
      <c r="AB67" s="4107" t="s">
        <v>200</v>
      </c>
      <c r="AC67" s="4123"/>
      <c r="AD67" s="4151">
        <v>29.6</v>
      </c>
      <c r="AE67" s="4151"/>
      <c r="AF67" s="4122"/>
      <c r="AG67" s="4123">
        <f>-AH67/$D$2%</f>
        <v>0</v>
      </c>
      <c r="AH67" s="4122"/>
      <c r="AI67" s="4123"/>
      <c r="AJ67" s="4122"/>
      <c r="AK67" s="4124">
        <f t="shared" si="12"/>
        <v>0.42920000000000003</v>
      </c>
      <c r="AL67" s="4123"/>
      <c r="AM67" s="4151"/>
      <c r="AN67" s="4151"/>
      <c r="AO67" s="4151"/>
      <c r="AP67" s="4151"/>
      <c r="AQ67" s="4151"/>
      <c r="AR67" s="4151"/>
      <c r="AS67" s="4151"/>
      <c r="AT67" s="4122">
        <f>AA67*AD67%</f>
        <v>0.42920000000000003</v>
      </c>
    </row>
    <row r="68" spans="1:46" ht="15" customHeight="1" x14ac:dyDescent="0.2">
      <c r="A68" s="4112"/>
      <c r="B68" s="4150"/>
      <c r="C68" s="4150"/>
      <c r="D68" s="4150"/>
      <c r="E68" s="4150"/>
      <c r="F68" s="4153"/>
      <c r="G68" s="4157"/>
      <c r="H68" s="4157"/>
      <c r="I68" s="4166"/>
      <c r="J68" s="4157"/>
      <c r="K68" s="4157"/>
      <c r="L68" s="4157"/>
      <c r="M68" s="4157"/>
      <c r="N68" s="4157"/>
      <c r="O68" s="4157"/>
      <c r="P68" s="4157"/>
      <c r="Q68" s="4157"/>
      <c r="R68" s="4157"/>
      <c r="S68" s="4166"/>
      <c r="T68" s="4150"/>
      <c r="U68" s="4150"/>
      <c r="V68" s="4150"/>
      <c r="W68" s="4150"/>
      <c r="X68" s="4150"/>
      <c r="Y68" s="4150"/>
      <c r="Z68" s="4150"/>
      <c r="AA68" s="27">
        <f t="shared" ref="AA68:AA70" si="16">SUM(A68:Z68)</f>
        <v>0</v>
      </c>
      <c r="AB68" s="4108" t="s">
        <v>515</v>
      </c>
      <c r="AC68" s="4123"/>
      <c r="AD68" s="4151">
        <v>26.1</v>
      </c>
      <c r="AE68" s="4151"/>
      <c r="AF68" s="4122"/>
      <c r="AG68" s="4123"/>
      <c r="AH68" s="4122"/>
      <c r="AI68" s="4123"/>
      <c r="AJ68" s="4122"/>
      <c r="AK68" s="4124">
        <f t="shared" si="12"/>
        <v>0</v>
      </c>
      <c r="AL68" s="4123"/>
      <c r="AM68" s="4151"/>
      <c r="AN68" s="4151"/>
      <c r="AO68" s="4151"/>
      <c r="AP68" s="4151"/>
      <c r="AQ68" s="4151"/>
      <c r="AR68" s="4151"/>
      <c r="AS68" s="4151"/>
      <c r="AT68" s="4122">
        <f>AA68*AD68%</f>
        <v>0</v>
      </c>
    </row>
    <row r="69" spans="1:46" ht="15" customHeight="1" x14ac:dyDescent="0.2">
      <c r="A69" s="4112"/>
      <c r="B69" s="4150"/>
      <c r="C69" s="4150"/>
      <c r="D69" s="4150"/>
      <c r="E69" s="4150"/>
      <c r="F69" s="4153"/>
      <c r="G69" s="4157"/>
      <c r="H69" s="4157"/>
      <c r="I69" s="4157"/>
      <c r="J69" s="4157"/>
      <c r="K69" s="4157"/>
      <c r="L69" s="4157"/>
      <c r="M69" s="4157"/>
      <c r="N69" s="4157"/>
      <c r="O69" s="4157"/>
      <c r="P69" s="4157"/>
      <c r="Q69" s="4157"/>
      <c r="R69" s="4157"/>
      <c r="S69" s="4166"/>
      <c r="T69" s="4150"/>
      <c r="U69" s="4150"/>
      <c r="V69" s="4150"/>
      <c r="W69" s="4150"/>
      <c r="X69" s="4150"/>
      <c r="Y69" s="4150"/>
      <c r="Z69" s="4150"/>
      <c r="AA69" s="27">
        <f t="shared" si="16"/>
        <v>0</v>
      </c>
      <c r="AB69" s="4108" t="s">
        <v>516</v>
      </c>
      <c r="AC69" s="4123"/>
      <c r="AD69" s="4151">
        <v>40</v>
      </c>
      <c r="AE69" s="4151"/>
      <c r="AF69" s="4122"/>
      <c r="AG69" s="4123"/>
      <c r="AH69" s="4122"/>
      <c r="AI69" s="4123"/>
      <c r="AJ69" s="4122"/>
      <c r="AK69" s="4124">
        <f t="shared" si="12"/>
        <v>0</v>
      </c>
      <c r="AL69" s="4123"/>
      <c r="AM69" s="4151"/>
      <c r="AN69" s="4151"/>
      <c r="AO69" s="4151"/>
      <c r="AP69" s="4151"/>
      <c r="AQ69" s="4151"/>
      <c r="AR69" s="4151"/>
      <c r="AS69" s="4151"/>
      <c r="AT69" s="4122">
        <f t="shared" ref="AT69" si="17">AA69*AD69%</f>
        <v>0</v>
      </c>
    </row>
    <row r="70" spans="1:46" ht="15" customHeight="1" x14ac:dyDescent="0.2">
      <c r="A70" s="4112"/>
      <c r="B70" s="4150"/>
      <c r="C70" s="4150"/>
      <c r="D70" s="4150"/>
      <c r="E70" s="4150"/>
      <c r="F70" s="4153"/>
      <c r="G70" s="4157"/>
      <c r="H70" s="4157"/>
      <c r="I70" s="4157"/>
      <c r="J70" s="4157"/>
      <c r="K70" s="4157"/>
      <c r="L70" s="4157"/>
      <c r="M70" s="4157"/>
      <c r="N70" s="4157"/>
      <c r="O70" s="4157"/>
      <c r="P70" s="4157"/>
      <c r="Q70" s="4157"/>
      <c r="R70" s="4157"/>
      <c r="S70" s="4166"/>
      <c r="T70" s="4150"/>
      <c r="U70" s="4150"/>
      <c r="V70" s="4150"/>
      <c r="W70" s="4150"/>
      <c r="X70" s="4150"/>
      <c r="Y70" s="4150"/>
      <c r="Z70" s="4150"/>
      <c r="AA70" s="27">
        <f t="shared" si="16"/>
        <v>0</v>
      </c>
      <c r="AB70" s="4107" t="s">
        <v>526</v>
      </c>
      <c r="AC70" s="4123">
        <v>70</v>
      </c>
      <c r="AD70" s="4151"/>
      <c r="AE70" s="4151"/>
      <c r="AF70" s="4122"/>
      <c r="AG70" s="4123">
        <f t="shared" ref="AG70" si="18">-AH70/$D$2%</f>
        <v>0</v>
      </c>
      <c r="AH70" s="4153"/>
      <c r="AI70" s="4123"/>
      <c r="AJ70" s="4122"/>
      <c r="AK70" s="4124">
        <f t="shared" si="12"/>
        <v>0</v>
      </c>
      <c r="AL70" s="4123"/>
      <c r="AM70" s="4151"/>
      <c r="AN70" s="4151"/>
      <c r="AO70" s="4151"/>
      <c r="AP70" s="4151"/>
      <c r="AQ70" s="4151"/>
      <c r="AR70" s="4151"/>
      <c r="AS70" s="4151"/>
      <c r="AT70" s="4122">
        <f>AH70*AC70%</f>
        <v>0</v>
      </c>
    </row>
    <row r="71" spans="1:46" ht="15" customHeight="1" x14ac:dyDescent="0.2">
      <c r="A71" s="4112"/>
      <c r="B71" s="4150"/>
      <c r="C71" s="4150"/>
      <c r="D71" s="4150"/>
      <c r="E71" s="4150"/>
      <c r="F71" s="4153">
        <f>AA71-S71</f>
        <v>28.706</v>
      </c>
      <c r="G71" s="4157"/>
      <c r="H71" s="4157"/>
      <c r="I71" s="4157"/>
      <c r="J71" s="4157"/>
      <c r="K71" s="4157"/>
      <c r="L71" s="4157"/>
      <c r="M71" s="4157"/>
      <c r="N71" s="4157"/>
      <c r="O71" s="4157"/>
      <c r="P71" s="4157"/>
      <c r="Q71" s="4157"/>
      <c r="R71" s="4157"/>
      <c r="S71" s="4166">
        <f>AA71*7.4%</f>
        <v>2.2940000000000005</v>
      </c>
      <c r="T71" s="4150"/>
      <c r="U71" s="4150"/>
      <c r="V71" s="4150"/>
      <c r="W71" s="4150"/>
      <c r="X71" s="4150"/>
      <c r="Y71" s="4150"/>
      <c r="Z71" s="4150"/>
      <c r="AA71" s="4166">
        <v>31</v>
      </c>
      <c r="AB71" s="4107" t="s">
        <v>201</v>
      </c>
      <c r="AC71" s="4123"/>
      <c r="AD71" s="4151">
        <v>36.5</v>
      </c>
      <c r="AE71" s="4151"/>
      <c r="AF71" s="4122"/>
      <c r="AG71" s="4123"/>
      <c r="AH71" s="4122"/>
      <c r="AI71" s="4123"/>
      <c r="AJ71" s="4122"/>
      <c r="AK71" s="4124">
        <f t="shared" si="12"/>
        <v>11.315</v>
      </c>
      <c r="AL71" s="4123"/>
      <c r="AM71" s="4151"/>
      <c r="AN71" s="4151"/>
      <c r="AO71" s="4151"/>
      <c r="AP71" s="4151"/>
      <c r="AQ71" s="4151"/>
      <c r="AR71" s="4151"/>
      <c r="AS71" s="4151"/>
      <c r="AT71" s="4122">
        <f>AA71*AD71%</f>
        <v>11.315</v>
      </c>
    </row>
    <row r="72" spans="1:46" ht="15" customHeight="1" x14ac:dyDescent="0.2">
      <c r="A72" s="4112"/>
      <c r="B72" s="4150"/>
      <c r="C72" s="4150"/>
      <c r="D72" s="4150"/>
      <c r="E72" s="4150"/>
      <c r="F72" s="4153"/>
      <c r="G72" s="4157"/>
      <c r="H72" s="4157"/>
      <c r="I72" s="4166"/>
      <c r="J72" s="4157"/>
      <c r="K72" s="4157"/>
      <c r="L72" s="4157"/>
      <c r="M72" s="4157"/>
      <c r="N72" s="4157"/>
      <c r="O72" s="4157"/>
      <c r="P72" s="4157"/>
      <c r="Q72" s="4157"/>
      <c r="R72" s="4157"/>
      <c r="S72" s="4166"/>
      <c r="T72" s="4150"/>
      <c r="U72" s="4150"/>
      <c r="V72" s="4150"/>
      <c r="W72" s="4150"/>
      <c r="X72" s="4150"/>
      <c r="Y72" s="4150"/>
      <c r="Z72" s="4150"/>
      <c r="AA72" s="27">
        <f t="shared" ref="AA72:AA74" si="19">SUM(A72:Z72)</f>
        <v>0</v>
      </c>
      <c r="AB72" s="4108" t="s">
        <v>517</v>
      </c>
      <c r="AC72" s="4123"/>
      <c r="AD72" s="4151">
        <v>32.200000000000003</v>
      </c>
      <c r="AE72" s="4151"/>
      <c r="AF72" s="4122"/>
      <c r="AG72" s="4123"/>
      <c r="AH72" s="4122"/>
      <c r="AI72" s="4123"/>
      <c r="AJ72" s="4122"/>
      <c r="AK72" s="4124">
        <f t="shared" si="12"/>
        <v>0</v>
      </c>
      <c r="AL72" s="4123"/>
      <c r="AM72" s="4151"/>
      <c r="AN72" s="4151"/>
      <c r="AO72" s="4151"/>
      <c r="AP72" s="4151"/>
      <c r="AQ72" s="4151"/>
      <c r="AR72" s="4151"/>
      <c r="AS72" s="4151"/>
      <c r="AT72" s="4122">
        <f>AA72*AD72%</f>
        <v>0</v>
      </c>
    </row>
    <row r="73" spans="1:46" ht="15" customHeight="1" x14ac:dyDescent="0.2">
      <c r="A73" s="4112"/>
      <c r="B73" s="4150"/>
      <c r="C73" s="4150"/>
      <c r="D73" s="4150"/>
      <c r="E73" s="4150"/>
      <c r="F73" s="4153"/>
      <c r="G73" s="4157"/>
      <c r="H73" s="4157"/>
      <c r="I73" s="4157"/>
      <c r="J73" s="4157"/>
      <c r="K73" s="4157"/>
      <c r="L73" s="4157"/>
      <c r="M73" s="4157"/>
      <c r="N73" s="4157"/>
      <c r="O73" s="4157"/>
      <c r="P73" s="4157"/>
      <c r="Q73" s="4157"/>
      <c r="R73" s="4157"/>
      <c r="S73" s="4166"/>
      <c r="T73" s="4150"/>
      <c r="U73" s="4150"/>
      <c r="V73" s="4150"/>
      <c r="W73" s="4150"/>
      <c r="X73" s="4150"/>
      <c r="Y73" s="4150"/>
      <c r="Z73" s="4150"/>
      <c r="AA73" s="27">
        <f t="shared" si="19"/>
        <v>0</v>
      </c>
      <c r="AB73" s="4108" t="s">
        <v>518</v>
      </c>
      <c r="AC73" s="4123"/>
      <c r="AD73" s="4151">
        <v>40</v>
      </c>
      <c r="AE73" s="4151"/>
      <c r="AF73" s="4122"/>
      <c r="AG73" s="4123"/>
      <c r="AH73" s="4122"/>
      <c r="AI73" s="4123"/>
      <c r="AJ73" s="4122"/>
      <c r="AK73" s="4124">
        <f t="shared" si="12"/>
        <v>0</v>
      </c>
      <c r="AL73" s="4123"/>
      <c r="AM73" s="4151"/>
      <c r="AN73" s="4151"/>
      <c r="AO73" s="4151"/>
      <c r="AP73" s="4151"/>
      <c r="AQ73" s="4151"/>
      <c r="AR73" s="4151"/>
      <c r="AS73" s="4151"/>
      <c r="AT73" s="4122">
        <f t="shared" ref="AT73" si="20">AA73*AD73%</f>
        <v>0</v>
      </c>
    </row>
    <row r="74" spans="1:46" ht="15" customHeight="1" x14ac:dyDescent="0.2">
      <c r="A74" s="4112"/>
      <c r="B74" s="4150"/>
      <c r="C74" s="4150"/>
      <c r="D74" s="4150"/>
      <c r="E74" s="4150"/>
      <c r="F74" s="4153"/>
      <c r="G74" s="4157"/>
      <c r="H74" s="4157"/>
      <c r="I74" s="4157"/>
      <c r="J74" s="4157"/>
      <c r="K74" s="4157"/>
      <c r="L74" s="4157"/>
      <c r="M74" s="4157"/>
      <c r="N74" s="4157"/>
      <c r="O74" s="4157"/>
      <c r="P74" s="4157"/>
      <c r="Q74" s="4157"/>
      <c r="R74" s="4157"/>
      <c r="S74" s="4166"/>
      <c r="T74" s="4150"/>
      <c r="U74" s="4150"/>
      <c r="V74" s="4150"/>
      <c r="W74" s="4150"/>
      <c r="X74" s="4150"/>
      <c r="Y74" s="4150"/>
      <c r="Z74" s="4150"/>
      <c r="AA74" s="27">
        <f t="shared" si="19"/>
        <v>0</v>
      </c>
      <c r="AB74" s="4107" t="s">
        <v>527</v>
      </c>
      <c r="AC74" s="4123">
        <v>70</v>
      </c>
      <c r="AD74" s="4151"/>
      <c r="AE74" s="4151"/>
      <c r="AF74" s="4122"/>
      <c r="AG74" s="4123">
        <f t="shared" ref="AG74" si="21">-AH74/$D$2%</f>
        <v>0</v>
      </c>
      <c r="AH74" s="4153"/>
      <c r="AI74" s="4123"/>
      <c r="AJ74" s="4122"/>
      <c r="AK74" s="4124">
        <f t="shared" si="12"/>
        <v>0</v>
      </c>
      <c r="AL74" s="4123"/>
      <c r="AM74" s="4151"/>
      <c r="AN74" s="4151"/>
      <c r="AO74" s="4151"/>
      <c r="AP74" s="4151"/>
      <c r="AQ74" s="4151"/>
      <c r="AR74" s="4151"/>
      <c r="AS74" s="4151"/>
      <c r="AT74" s="4122">
        <f>AH74*AC74%</f>
        <v>0</v>
      </c>
    </row>
    <row r="75" spans="1:46" ht="15" customHeight="1" x14ac:dyDescent="0.2">
      <c r="A75" s="4123"/>
      <c r="B75" s="4151"/>
      <c r="C75" s="4151"/>
      <c r="D75" s="4151"/>
      <c r="E75" s="4151"/>
      <c r="F75" s="4153">
        <v>7.1</v>
      </c>
      <c r="G75" s="4157"/>
      <c r="H75" s="4157"/>
      <c r="I75" s="4157"/>
      <c r="J75" s="4157"/>
      <c r="K75" s="4157"/>
      <c r="L75" s="4157"/>
      <c r="M75" s="4157"/>
      <c r="N75" s="4157"/>
      <c r="O75" s="4157"/>
      <c r="P75" s="4157"/>
      <c r="Q75" s="4157"/>
      <c r="R75" s="4157"/>
      <c r="S75" s="4166"/>
      <c r="T75" s="4150"/>
      <c r="U75" s="4150"/>
      <c r="V75" s="4150"/>
      <c r="W75" s="4150"/>
      <c r="X75" s="4150"/>
      <c r="Y75" s="4150"/>
      <c r="Z75" s="4150"/>
      <c r="AA75" s="27">
        <f t="shared" si="0"/>
        <v>7.1</v>
      </c>
      <c r="AB75" s="4107" t="s">
        <v>202</v>
      </c>
      <c r="AC75" s="4123"/>
      <c r="AD75" s="4151">
        <v>36.5</v>
      </c>
      <c r="AE75" s="4151"/>
      <c r="AF75" s="4122"/>
      <c r="AG75" s="4123"/>
      <c r="AH75" s="4122"/>
      <c r="AI75" s="4123"/>
      <c r="AJ75" s="4122"/>
      <c r="AK75" s="4124">
        <f t="shared" ref="AK75:AK79" si="22">SUM(AL75:AT75)</f>
        <v>2.5914999999999999</v>
      </c>
      <c r="AL75" s="4123"/>
      <c r="AM75" s="4151"/>
      <c r="AN75" s="4151"/>
      <c r="AO75" s="4151"/>
      <c r="AP75" s="4151"/>
      <c r="AQ75" s="4151"/>
      <c r="AR75" s="4151"/>
      <c r="AS75" s="4151">
        <f>AA75*AD75%</f>
        <v>2.5914999999999999</v>
      </c>
      <c r="AT75" s="4122"/>
    </row>
    <row r="76" spans="1:46" ht="15" customHeight="1" x14ac:dyDescent="0.2">
      <c r="A76" s="4123"/>
      <c r="B76" s="4151"/>
      <c r="C76" s="4151"/>
      <c r="D76" s="4151"/>
      <c r="E76" s="4151"/>
      <c r="F76" s="4153">
        <f>AA76-S76</f>
        <v>0</v>
      </c>
      <c r="G76" s="4157"/>
      <c r="H76" s="4157"/>
      <c r="I76" s="4157"/>
      <c r="J76" s="4157"/>
      <c r="K76" s="4157"/>
      <c r="L76" s="4157"/>
      <c r="M76" s="4157"/>
      <c r="N76" s="4157"/>
      <c r="O76" s="4157"/>
      <c r="P76" s="4157"/>
      <c r="Q76" s="4157"/>
      <c r="R76" s="4157"/>
      <c r="S76" s="4157">
        <f>AA76*7.4%</f>
        <v>0</v>
      </c>
      <c r="T76" s="4150"/>
      <c r="U76" s="4150"/>
      <c r="V76" s="4150"/>
      <c r="W76" s="4150"/>
      <c r="X76" s="4150"/>
      <c r="Y76" s="4150"/>
      <c r="Z76" s="4150"/>
      <c r="AA76" s="4166"/>
      <c r="AB76" s="4107" t="s">
        <v>587</v>
      </c>
      <c r="AC76" s="4123"/>
      <c r="AD76" s="4151">
        <v>10.4</v>
      </c>
      <c r="AE76" s="4151"/>
      <c r="AF76" s="4122"/>
      <c r="AG76" s="4123"/>
      <c r="AH76" s="4122"/>
      <c r="AI76" s="4123"/>
      <c r="AJ76" s="4122"/>
      <c r="AK76" s="4124">
        <f t="shared" si="22"/>
        <v>0</v>
      </c>
      <c r="AL76" s="4123"/>
      <c r="AM76" s="4151"/>
      <c r="AN76" s="4151"/>
      <c r="AO76" s="4151"/>
      <c r="AP76" s="4151"/>
      <c r="AQ76" s="4151"/>
      <c r="AR76" s="4151"/>
      <c r="AS76" s="4151"/>
      <c r="AT76" s="4122">
        <f>AA76*AD76%</f>
        <v>0</v>
      </c>
    </row>
    <row r="77" spans="1:46" ht="15" customHeight="1" x14ac:dyDescent="0.2">
      <c r="A77" s="4123"/>
      <c r="B77" s="4151"/>
      <c r="C77" s="4151"/>
      <c r="D77" s="4151"/>
      <c r="E77" s="4151"/>
      <c r="F77" s="4153">
        <f>AA77-S77</f>
        <v>0.75006000000000006</v>
      </c>
      <c r="G77" s="4154"/>
      <c r="H77" s="4154"/>
      <c r="I77" s="4154"/>
      <c r="J77" s="4154"/>
      <c r="K77" s="4154"/>
      <c r="L77" s="4154"/>
      <c r="M77" s="4154"/>
      <c r="N77" s="4154"/>
      <c r="O77" s="4154"/>
      <c r="P77" s="4154"/>
      <c r="Q77" s="4154"/>
      <c r="R77" s="4154"/>
      <c r="S77" s="4154">
        <f>AA77*7.4%</f>
        <v>5.9940000000000014E-2</v>
      </c>
      <c r="T77" s="4151"/>
      <c r="U77" s="4151"/>
      <c r="V77" s="4151"/>
      <c r="W77" s="4151"/>
      <c r="X77" s="4151"/>
      <c r="Y77" s="4151"/>
      <c r="Z77" s="4151"/>
      <c r="AA77" s="4243">
        <v>0.81</v>
      </c>
      <c r="AB77" s="4107" t="s">
        <v>588</v>
      </c>
      <c r="AC77" s="4123"/>
      <c r="AD77" s="4151">
        <v>21.7</v>
      </c>
      <c r="AE77" s="4151"/>
      <c r="AF77" s="4122"/>
      <c r="AG77" s="4123"/>
      <c r="AH77" s="4122"/>
      <c r="AI77" s="4123"/>
      <c r="AJ77" s="4122"/>
      <c r="AK77" s="4124">
        <f t="shared" si="22"/>
        <v>0.17577000000000001</v>
      </c>
      <c r="AL77" s="4123"/>
      <c r="AM77" s="4151"/>
      <c r="AN77" s="4151"/>
      <c r="AO77" s="4151"/>
      <c r="AP77" s="4151"/>
      <c r="AQ77" s="4151"/>
      <c r="AR77" s="4151"/>
      <c r="AS77" s="4151"/>
      <c r="AT77" s="4122">
        <f>AA77*AD77%</f>
        <v>0.17577000000000001</v>
      </c>
    </row>
    <row r="78" spans="1:46" ht="15" customHeight="1" x14ac:dyDescent="0.2">
      <c r="A78" s="4163"/>
      <c r="B78" s="4206"/>
      <c r="C78" s="4206"/>
      <c r="D78" s="4206"/>
      <c r="E78" s="4206"/>
      <c r="F78" s="4161"/>
      <c r="G78" s="4206"/>
      <c r="H78" s="4206"/>
      <c r="I78" s="4206"/>
      <c r="J78" s="4206"/>
      <c r="K78" s="4206"/>
      <c r="L78" s="4206"/>
      <c r="M78" s="4206"/>
      <c r="N78" s="4206"/>
      <c r="O78" s="4206"/>
      <c r="P78" s="4206"/>
      <c r="Q78" s="4206"/>
      <c r="R78" s="4206"/>
      <c r="S78" s="4206"/>
      <c r="T78" s="4206"/>
      <c r="U78" s="4206"/>
      <c r="V78" s="4206"/>
      <c r="W78" s="4206"/>
      <c r="X78" s="4206"/>
      <c r="Y78" s="4206"/>
      <c r="Z78" s="4206"/>
      <c r="AA78" s="4122">
        <f>SUM(A78:Z78)</f>
        <v>0</v>
      </c>
      <c r="AB78" s="4107" t="s">
        <v>589</v>
      </c>
      <c r="AC78" s="4163">
        <v>52.2</v>
      </c>
      <c r="AD78" s="4151"/>
      <c r="AE78" s="4206"/>
      <c r="AF78" s="4208"/>
      <c r="AG78" s="4123">
        <f t="shared" ref="AG78" si="23">-AH78/$D$2%</f>
        <v>0</v>
      </c>
      <c r="AH78" s="4153">
        <v>0</v>
      </c>
      <c r="AI78" s="4163"/>
      <c r="AJ78" s="4208"/>
      <c r="AK78" s="4124">
        <f t="shared" si="22"/>
        <v>0</v>
      </c>
      <c r="AL78" s="4163"/>
      <c r="AM78" s="4206"/>
      <c r="AN78" s="4206"/>
      <c r="AO78" s="4206"/>
      <c r="AP78" s="4206"/>
      <c r="AQ78" s="4206"/>
      <c r="AR78" s="4206"/>
      <c r="AS78" s="4206"/>
      <c r="AT78" s="4122">
        <f>AC78*AH78%</f>
        <v>0</v>
      </c>
    </row>
    <row r="79" spans="1:46" ht="15" customHeight="1" x14ac:dyDescent="0.2">
      <c r="A79" s="4163"/>
      <c r="B79" s="4206"/>
      <c r="C79" s="4206"/>
      <c r="D79" s="4206"/>
      <c r="E79" s="4206"/>
      <c r="F79" s="4206"/>
      <c r="G79" s="4153">
        <v>4.95</v>
      </c>
      <c r="H79" s="4153">
        <v>0.01</v>
      </c>
      <c r="I79" s="4206"/>
      <c r="J79" s="4206"/>
      <c r="K79" s="4206"/>
      <c r="L79" s="4206"/>
      <c r="M79" s="4206"/>
      <c r="N79" s="4206"/>
      <c r="O79" s="4206"/>
      <c r="P79" s="4206"/>
      <c r="Q79" s="4206"/>
      <c r="R79" s="4206"/>
      <c r="S79" s="4206"/>
      <c r="T79" s="4206"/>
      <c r="U79" s="4206"/>
      <c r="V79" s="4206"/>
      <c r="W79" s="4206"/>
      <c r="X79" s="4206"/>
      <c r="Y79" s="4206"/>
      <c r="Z79" s="4206"/>
      <c r="AA79" s="4122">
        <f>SUM(A79:Z79)</f>
        <v>4.96</v>
      </c>
      <c r="AB79" s="4107" t="s">
        <v>9</v>
      </c>
      <c r="AC79" s="4163"/>
      <c r="AD79" s="4151">
        <v>13.5</v>
      </c>
      <c r="AE79" s="4206"/>
      <c r="AF79" s="4208"/>
      <c r="AG79" s="4163"/>
      <c r="AH79" s="4208"/>
      <c r="AI79" s="4163"/>
      <c r="AJ79" s="4208"/>
      <c r="AK79" s="4124">
        <f t="shared" si="22"/>
        <v>0.66959999999999997</v>
      </c>
      <c r="AL79" s="4163"/>
      <c r="AM79" s="4206"/>
      <c r="AN79" s="4206"/>
      <c r="AO79" s="4206"/>
      <c r="AP79" s="4206"/>
      <c r="AQ79" s="4206"/>
      <c r="AR79" s="4206"/>
      <c r="AS79" s="4206"/>
      <c r="AT79" s="4122">
        <f>AD79*AA79%</f>
        <v>0.66959999999999997</v>
      </c>
    </row>
    <row r="80" spans="1:46" ht="15" customHeight="1" thickBot="1" x14ac:dyDescent="0.25">
      <c r="A80" s="4163"/>
      <c r="B80" s="4206"/>
      <c r="C80" s="4206"/>
      <c r="D80" s="4153">
        <v>0.13</v>
      </c>
      <c r="E80" s="4206"/>
      <c r="F80" s="4153">
        <v>1.37</v>
      </c>
      <c r="G80" s="4206"/>
      <c r="H80" s="4206"/>
      <c r="I80" s="4206"/>
      <c r="J80" s="4206"/>
      <c r="K80" s="4206"/>
      <c r="L80" s="4206"/>
      <c r="M80" s="4206"/>
      <c r="N80" s="4206"/>
      <c r="O80" s="4206"/>
      <c r="P80" s="4206"/>
      <c r="Q80" s="4206"/>
      <c r="R80" s="4206"/>
      <c r="S80" s="4206"/>
      <c r="T80" s="4206"/>
      <c r="U80" s="4206"/>
      <c r="V80" s="4206"/>
      <c r="W80" s="4206"/>
      <c r="X80" s="4206"/>
      <c r="Y80" s="4206"/>
      <c r="Z80" s="4206"/>
      <c r="AA80" s="4208">
        <f t="shared" si="0"/>
        <v>1.5</v>
      </c>
      <c r="AB80" s="1675" t="s">
        <v>5</v>
      </c>
      <c r="AC80" s="294"/>
      <c r="AD80" s="4151">
        <v>20</v>
      </c>
      <c r="AE80" s="4117"/>
      <c r="AF80" s="4167"/>
      <c r="AG80" s="294"/>
      <c r="AH80" s="4167"/>
      <c r="AI80" s="294"/>
      <c r="AJ80" s="4167"/>
      <c r="AK80" s="360">
        <f t="shared" si="12"/>
        <v>0.30000000000000004</v>
      </c>
      <c r="AL80" s="294"/>
      <c r="AM80" s="4117"/>
      <c r="AN80" s="4117"/>
      <c r="AO80" s="4117"/>
      <c r="AP80" s="4117"/>
      <c r="AQ80" s="4117"/>
      <c r="AR80" s="4117"/>
      <c r="AS80" s="4117"/>
      <c r="AT80" s="4167">
        <f>AA80*AD80%</f>
        <v>0.30000000000000004</v>
      </c>
    </row>
    <row r="81" spans="1:47" ht="15" customHeight="1" thickBot="1" x14ac:dyDescent="0.25">
      <c r="A81" s="350">
        <f t="shared" ref="A81:AA81" si="24">SUM(A8:A80)</f>
        <v>28.262897773245289</v>
      </c>
      <c r="B81" s="351">
        <f t="shared" si="24"/>
        <v>0.81</v>
      </c>
      <c r="C81" s="351">
        <f t="shared" si="24"/>
        <v>0</v>
      </c>
      <c r="D81" s="351">
        <f t="shared" si="24"/>
        <v>0.13</v>
      </c>
      <c r="E81" s="351">
        <f t="shared" si="24"/>
        <v>30.351199999999999</v>
      </c>
      <c r="F81" s="351">
        <f t="shared" si="24"/>
        <v>53.492119999999993</v>
      </c>
      <c r="G81" s="351">
        <f t="shared" si="24"/>
        <v>4.95</v>
      </c>
      <c r="H81" s="351">
        <f t="shared" si="24"/>
        <v>17.108059999999998</v>
      </c>
      <c r="I81" s="351">
        <f t="shared" si="24"/>
        <v>0</v>
      </c>
      <c r="J81" s="351">
        <f t="shared" si="24"/>
        <v>0</v>
      </c>
      <c r="K81" s="351">
        <f t="shared" si="24"/>
        <v>0</v>
      </c>
      <c r="L81" s="351">
        <f t="shared" si="24"/>
        <v>0</v>
      </c>
      <c r="M81" s="351">
        <f t="shared" si="24"/>
        <v>0.78</v>
      </c>
      <c r="N81" s="351">
        <f t="shared" si="24"/>
        <v>0</v>
      </c>
      <c r="O81" s="351">
        <f t="shared" si="24"/>
        <v>27.1</v>
      </c>
      <c r="P81" s="351">
        <f t="shared" si="24"/>
        <v>0</v>
      </c>
      <c r="Q81" s="351">
        <f t="shared" si="24"/>
        <v>1.1200000000000001</v>
      </c>
      <c r="R81" s="351">
        <f t="shared" si="24"/>
        <v>0</v>
      </c>
      <c r="S81" s="351">
        <f t="shared" si="24"/>
        <v>4.729820000000001</v>
      </c>
      <c r="T81" s="351">
        <f t="shared" si="24"/>
        <v>9.11</v>
      </c>
      <c r="U81" s="351">
        <f t="shared" si="24"/>
        <v>71.306160000000006</v>
      </c>
      <c r="V81" s="351">
        <f t="shared" si="24"/>
        <v>27.83</v>
      </c>
      <c r="W81" s="351">
        <f t="shared" si="24"/>
        <v>0</v>
      </c>
      <c r="X81" s="351">
        <f t="shared" si="24"/>
        <v>0</v>
      </c>
      <c r="Y81" s="351">
        <f t="shared" si="24"/>
        <v>0</v>
      </c>
      <c r="Z81" s="351">
        <f t="shared" si="24"/>
        <v>0</v>
      </c>
      <c r="AA81" s="352">
        <f t="shared" si="24"/>
        <v>277.08025777324525</v>
      </c>
      <c r="AB81" s="42" t="s">
        <v>1</v>
      </c>
      <c r="AC81" s="43"/>
      <c r="AD81" s="43"/>
      <c r="AE81" s="43"/>
      <c r="AF81" s="43"/>
      <c r="AG81" s="1676">
        <f t="shared" ref="AG81:AT81" si="25">SUM(AG8:AG80)</f>
        <v>1.7555401576885288E-15</v>
      </c>
      <c r="AH81" s="41">
        <f t="shared" si="25"/>
        <v>50.836348559381591</v>
      </c>
      <c r="AI81" s="1676">
        <f t="shared" si="25"/>
        <v>0</v>
      </c>
      <c r="AJ81" s="41">
        <f t="shared" si="25"/>
        <v>15.199067663999998</v>
      </c>
      <c r="AK81" s="42">
        <f t="shared" si="25"/>
        <v>168.62771766400004</v>
      </c>
      <c r="AL81" s="1677">
        <f t="shared" si="25"/>
        <v>115.45675491393601</v>
      </c>
      <c r="AM81" s="1678">
        <f t="shared" si="25"/>
        <v>4.5195086310720001</v>
      </c>
      <c r="AN81" s="1678">
        <f t="shared" si="25"/>
        <v>5.436276931648</v>
      </c>
      <c r="AO81" s="1678">
        <f t="shared" si="25"/>
        <v>4.99393473648</v>
      </c>
      <c r="AP81" s="1678">
        <f t="shared" si="25"/>
        <v>0</v>
      </c>
      <c r="AQ81" s="1678">
        <f t="shared" si="25"/>
        <v>9.731846435904</v>
      </c>
      <c r="AR81" s="1678">
        <f t="shared" si="25"/>
        <v>0.22798601495999996</v>
      </c>
      <c r="AS81" s="1678">
        <f t="shared" si="25"/>
        <v>7.9615</v>
      </c>
      <c r="AT81" s="41">
        <f t="shared" si="25"/>
        <v>20.299910000000001</v>
      </c>
    </row>
    <row r="82" spans="1:47" ht="15" customHeight="1" x14ac:dyDescent="0.25">
      <c r="A82" s="4997">
        <f t="shared" ref="A82:Y82" si="26">A81*A89/1000</f>
        <v>2.4650899437824543</v>
      </c>
      <c r="B82" s="26">
        <f t="shared" si="26"/>
        <v>5.2488E-2</v>
      </c>
      <c r="C82" s="26">
        <f t="shared" si="26"/>
        <v>0</v>
      </c>
      <c r="D82" s="26">
        <f t="shared" si="26"/>
        <v>1.0273900000000001E-2</v>
      </c>
      <c r="E82" s="26">
        <f t="shared" si="26"/>
        <v>2.2490239199999995</v>
      </c>
      <c r="F82" s="26">
        <f t="shared" si="26"/>
        <v>3.9637660919999989</v>
      </c>
      <c r="G82" s="26">
        <f t="shared" si="26"/>
        <v>0.35640000000000005</v>
      </c>
      <c r="H82" s="26">
        <f t="shared" si="26"/>
        <v>1.2488883799999999</v>
      </c>
      <c r="I82" s="26">
        <f t="shared" si="26"/>
        <v>0</v>
      </c>
      <c r="J82" s="26"/>
      <c r="K82" s="26"/>
      <c r="L82" s="26"/>
      <c r="M82" s="26">
        <f t="shared" si="26"/>
        <v>0</v>
      </c>
      <c r="N82" s="26">
        <f t="shared" si="26"/>
        <v>0</v>
      </c>
      <c r="O82" s="26">
        <f t="shared" si="26"/>
        <v>0</v>
      </c>
      <c r="P82" s="26">
        <f t="shared" si="26"/>
        <v>0</v>
      </c>
      <c r="Q82" s="26">
        <v>0</v>
      </c>
      <c r="R82" s="26">
        <f t="shared" si="26"/>
        <v>0</v>
      </c>
      <c r="S82" s="26">
        <f t="shared" si="26"/>
        <v>0</v>
      </c>
      <c r="T82" s="26">
        <f t="shared" si="26"/>
        <v>0</v>
      </c>
      <c r="U82" s="26">
        <f t="shared" si="26"/>
        <v>0</v>
      </c>
      <c r="V82" s="26">
        <f t="shared" si="26"/>
        <v>0</v>
      </c>
      <c r="W82" s="26">
        <f t="shared" si="26"/>
        <v>0</v>
      </c>
      <c r="X82" s="26">
        <f t="shared" si="26"/>
        <v>0</v>
      </c>
      <c r="Y82" s="26">
        <f t="shared" si="26"/>
        <v>0</v>
      </c>
      <c r="Z82" s="26">
        <f>Z81*Z89/1000</f>
        <v>0</v>
      </c>
      <c r="AA82" s="300">
        <f>SUM(A82:Z82)</f>
        <v>10.345930235782454</v>
      </c>
      <c r="AB82" s="44" t="s">
        <v>5323</v>
      </c>
      <c r="AC82" s="45">
        <f>AA82*1000/D1</f>
        <v>5.7927940849845774</v>
      </c>
      <c r="AD82" s="46" t="s">
        <v>6</v>
      </c>
      <c r="AE82" s="46"/>
      <c r="AF82" s="47"/>
      <c r="AG82" s="33"/>
      <c r="AH82" s="33"/>
      <c r="AI82" s="33"/>
      <c r="AJ82" s="33"/>
      <c r="AK82" s="33"/>
      <c r="AL82" s="33"/>
      <c r="AM82" s="33"/>
      <c r="AN82" s="33"/>
      <c r="AO82" s="33"/>
      <c r="AP82" s="33"/>
      <c r="AQ82" s="33"/>
      <c r="AR82" s="33"/>
      <c r="AS82" s="33"/>
      <c r="AT82" s="33"/>
    </row>
    <row r="83" spans="1:47" ht="15" customHeight="1" x14ac:dyDescent="0.2">
      <c r="A83" s="4123"/>
      <c r="B83" s="4151"/>
      <c r="C83" s="4151"/>
      <c r="D83" s="4151"/>
      <c r="E83" s="4151"/>
      <c r="F83" s="4151"/>
      <c r="G83" s="4151"/>
      <c r="H83" s="4151"/>
      <c r="I83" s="4151"/>
      <c r="J83" s="4151"/>
      <c r="K83" s="4151"/>
      <c r="L83" s="4151"/>
      <c r="M83" s="4151"/>
      <c r="N83" s="4151"/>
      <c r="O83" s="4151"/>
      <c r="P83" s="4151"/>
      <c r="Q83" s="4151"/>
      <c r="R83" s="4153">
        <v>17.62</v>
      </c>
      <c r="S83" s="4153">
        <v>28.26</v>
      </c>
      <c r="T83" s="4153">
        <v>3.58</v>
      </c>
      <c r="U83" s="4153">
        <v>129.81</v>
      </c>
      <c r="V83" s="4151"/>
      <c r="W83" s="4151"/>
      <c r="X83" s="4151"/>
      <c r="Y83" s="4151"/>
      <c r="Z83" s="4151"/>
      <c r="AA83" s="4122">
        <f>SUM(A83:Z83)</f>
        <v>179.27</v>
      </c>
      <c r="AB83" s="4113" t="s">
        <v>528</v>
      </c>
      <c r="AC83" s="4114">
        <f>(SUM(M11:Y11)+AG12*A87%+SUM(M16:Y16)+SUM(M17:Y17)+SUM(M18:Y18)+SUM(M19:Y19)+SUM(M22:Y22)+SUM(M61:Y61)+SUM(M62:Y62)+SUM(M63:Y63)+SUM(M65:Y65)+SUM(M66:Y66)+SUM(M67:Y67)+SUM(M68:Y68)+SUM(M69:Y69)+SUM(M71:Y71)+SUM(M72:Y72)+SUM(M73:Y73)+SUM(M75:Y75)+SUM(M76:Y76)+SUM(M77:Y77)+SUM(M79:Y79)+SUM(M80:Y80)+SUM(M23:Y23)*(AC23%+AE23%)+SUM(M24:Y24)*(AC24%+AE24%)+SUM(M25:Y25)*(AC25%+AE25%)+SUM(M26:Y26)*(AC26%+AE26%)+SUM(M28:Y28)*(AC28%+AD28%+AE28%)+SUM(M27:Y27)*(AD27%)+SUM(M29:Y29)*(AC29%+AE29%)+SUM(M30:Y30)*(AC30%+AE30%)+SUM(M31:Y31)*(AC31%+AE31%)+SUM(M34:Y34)*(AC34%+AE34%)+SUM(M35:Y35)*(AC35%+AE35%)+SUM(M37:Y37)*(AC37%+AE37%)+SUM(M38:Y38)*(AC38%+AE38%)+SUM(M39:Y39)*(AC39%+AE39%)+SUM(M41:Y41)*(AC41%+AE41%)+SUM(M42:Y42)*(AC42%+AE42%)+SUM(M44:Y44)*(AC44%+AE44%)+SUM(M45:Y45)*(AC45%+AE45%)+SUM(M46:Y46)*(AC47%+AE47%)+SUM(M48:Y48)*(AC48%+AE48%)+SUM(M49:Y49)*(AC49%+AE49%)+SUM(M50:Y50)*(AC50%+AE50%)+SUM(M52:Y52)*(AC52%+AE52%)+SUM(M53:Y53)*(AC53%+AE53%)+SUM(M54:Y54)*(AC54%+AE54%))/(SUM(AA8:AA11)+SUM(AA13:AA22)+SUM(AA61:AA80)+(AJ33/AF33%+AJ36/AF36%+AJ43/AF43%+AJ51/AF51%+AJ60/AF60%)+AH81+SUM(AH8:AH11)*(1-D2%)+(-AI56))*100</f>
        <v>57.013004774168095</v>
      </c>
      <c r="AD83" s="4115" t="s">
        <v>163</v>
      </c>
      <c r="AE83" s="4115"/>
      <c r="AF83" s="4116"/>
      <c r="AG83" s="33"/>
      <c r="AH83" s="33"/>
      <c r="AI83" s="33"/>
      <c r="AJ83" s="33"/>
      <c r="AK83" s="33"/>
      <c r="AL83" s="33"/>
      <c r="AM83" s="33"/>
      <c r="AN83" s="33"/>
      <c r="AO83" s="33"/>
      <c r="AP83" s="33"/>
      <c r="AQ83" s="33"/>
      <c r="AR83" s="33"/>
      <c r="AS83" s="33"/>
      <c r="AT83" s="33"/>
    </row>
    <row r="84" spans="1:47" ht="15" customHeight="1" thickBot="1" x14ac:dyDescent="0.25">
      <c r="A84" s="294"/>
      <c r="B84" s="4117"/>
      <c r="C84" s="4117"/>
      <c r="D84" s="4117"/>
      <c r="E84" s="4117"/>
      <c r="F84" s="4117"/>
      <c r="G84" s="4117"/>
      <c r="H84" s="4117"/>
      <c r="I84" s="4117"/>
      <c r="J84" s="4117"/>
      <c r="K84" s="4117"/>
      <c r="L84" s="4117"/>
      <c r="M84" s="4117" t="str">
        <f>IF(M83&gt;0,M81/M83*100,"")</f>
        <v/>
      </c>
      <c r="N84" s="4117" t="str">
        <f t="shared" ref="N84:Z84" si="27">IF(N83&gt;0,N81/N83*100,"")</f>
        <v/>
      </c>
      <c r="O84" s="4117" t="str">
        <f t="shared" si="27"/>
        <v/>
      </c>
      <c r="P84" s="4117" t="str">
        <f t="shared" si="27"/>
        <v/>
      </c>
      <c r="Q84" s="4117" t="str">
        <f t="shared" si="27"/>
        <v/>
      </c>
      <c r="R84" s="4117">
        <f t="shared" si="27"/>
        <v>0</v>
      </c>
      <c r="S84" s="4117">
        <f t="shared" si="27"/>
        <v>16.736801132342535</v>
      </c>
      <c r="T84" s="4117">
        <f t="shared" si="27"/>
        <v>254.46927374301674</v>
      </c>
      <c r="U84" s="4117">
        <f t="shared" si="27"/>
        <v>54.931176334642942</v>
      </c>
      <c r="V84" s="4117" t="str">
        <f t="shared" si="27"/>
        <v/>
      </c>
      <c r="W84" s="4117" t="str">
        <f t="shared" si="27"/>
        <v/>
      </c>
      <c r="X84" s="4117" t="str">
        <f t="shared" si="27"/>
        <v/>
      </c>
      <c r="Y84" s="4117" t="str">
        <f>IF(Y83&gt;0,Y81/Y83*100,"")</f>
        <v/>
      </c>
      <c r="Z84" s="4117" t="str">
        <f t="shared" si="27"/>
        <v/>
      </c>
      <c r="AA84" s="4167">
        <f>SUMIF(M83:Z83,"&gt;0",M81:Z81)/SUM(M83:Z83)%</f>
        <v>47.495944664472582</v>
      </c>
      <c r="AB84" s="40" t="s">
        <v>12</v>
      </c>
      <c r="AC84" s="4118">
        <f>SUM(M81:Y81)/AA81*100</f>
        <v>51.240020180791504</v>
      </c>
      <c r="AD84" s="4119" t="s">
        <v>164</v>
      </c>
      <c r="AE84" s="4119"/>
      <c r="AF84" s="4120"/>
      <c r="AG84" s="33"/>
      <c r="AH84" s="33"/>
      <c r="AI84" s="33"/>
      <c r="AJ84" s="33"/>
      <c r="AK84" s="33"/>
      <c r="AL84" s="33"/>
      <c r="AM84" s="33"/>
      <c r="AN84" s="33"/>
      <c r="AO84" s="33"/>
      <c r="AP84" s="33"/>
      <c r="AQ84" s="33"/>
      <c r="AR84" s="33"/>
      <c r="AS84" s="33"/>
      <c r="AT84" s="33"/>
    </row>
    <row r="85" spans="1:47" ht="15" customHeight="1" thickBot="1" x14ac:dyDescent="0.2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10"/>
      <c r="AC85" s="10"/>
      <c r="AD85" s="10"/>
      <c r="AE85" s="10"/>
      <c r="AF85" s="10"/>
      <c r="AG85" s="10"/>
      <c r="AH85" s="10"/>
      <c r="AI85" s="10"/>
      <c r="AJ85" s="10"/>
      <c r="AK85" s="10"/>
      <c r="AL85" s="10"/>
      <c r="AM85" s="10"/>
      <c r="AN85" s="10"/>
      <c r="AO85" s="10"/>
      <c r="AP85" s="10"/>
      <c r="AQ85" s="10"/>
      <c r="AR85" s="10"/>
      <c r="AS85" s="10"/>
      <c r="AT85" s="10"/>
    </row>
    <row r="86" spans="1:47" ht="17.25" customHeight="1" x14ac:dyDescent="0.2">
      <c r="A86" s="4168" t="s">
        <v>72</v>
      </c>
      <c r="B86" s="5158" t="str">
        <f t="shared" ref="B86:I86" si="28">B7</f>
        <v xml:space="preserve">  LPG og petroleum</v>
      </c>
      <c r="C86" s="5158" t="str">
        <f t="shared" si="28"/>
        <v xml:space="preserve">  Kul</v>
      </c>
      <c r="D86" s="5158" t="str">
        <f t="shared" si="28"/>
        <v xml:space="preserve">  Fuelolie</v>
      </c>
      <c r="E86" s="5158" t="str">
        <f t="shared" si="28"/>
        <v xml:space="preserve">  Brændselsolie</v>
      </c>
      <c r="F86" s="5158" t="str">
        <f t="shared" si="28"/>
        <v xml:space="preserve">  Dieselolie</v>
      </c>
      <c r="G86" s="5158" t="str">
        <f t="shared" si="28"/>
        <v xml:space="preserve">  JP1</v>
      </c>
      <c r="H86" s="5158" t="str">
        <f t="shared" si="28"/>
        <v xml:space="preserve">  Benzin</v>
      </c>
      <c r="I86" s="5158" t="str">
        <f t="shared" si="28"/>
        <v xml:space="preserve">  Naturgas</v>
      </c>
      <c r="J86" s="289"/>
      <c r="K86" s="289"/>
      <c r="L86" s="289"/>
      <c r="M86" s="5158" t="str">
        <f t="shared" ref="M86:Z86" si="29">M7</f>
        <v xml:space="preserve">  Vindenergi</v>
      </c>
      <c r="N86" s="5158" t="str">
        <f t="shared" si="29"/>
        <v xml:space="preserve">  Vandenergi</v>
      </c>
      <c r="O86" s="5158" t="str">
        <f t="shared" si="29"/>
        <v xml:space="preserve">  Solenergi</v>
      </c>
      <c r="P86" s="5158" t="str">
        <f t="shared" si="29"/>
        <v xml:space="preserve">  Geotermi</v>
      </c>
      <c r="Q86" s="5158" t="str">
        <f t="shared" si="29"/>
        <v xml:space="preserve">  Varmekilder til varmepumper</v>
      </c>
      <c r="R86" s="5158" t="str">
        <f t="shared" si="29"/>
        <v xml:space="preserve">  Husdyrsgødning</v>
      </c>
      <c r="S86" s="5158" t="str">
        <f t="shared" si="29"/>
        <v xml:space="preserve">  Biobrændstof og energiafgrøder</v>
      </c>
      <c r="T86" s="5158" t="str">
        <f t="shared" si="29"/>
        <v xml:space="preserve">  Halm</v>
      </c>
      <c r="U86" s="5158" t="str">
        <f t="shared" si="29"/>
        <v xml:space="preserve">  Brænde og træflis</v>
      </c>
      <c r="V86" s="5158" t="str">
        <f t="shared" si="29"/>
        <v xml:space="preserve">  Træpiller og træaffald</v>
      </c>
      <c r="W86" s="5158" t="str">
        <f t="shared" si="29"/>
        <v xml:space="preserve">  Organisk affald, industri</v>
      </c>
      <c r="X86" s="5158" t="str">
        <f t="shared" si="29"/>
        <v xml:space="preserve">  Organisk affald, husholdninger</v>
      </c>
      <c r="Y86" s="5158" t="str">
        <f t="shared" si="29"/>
        <v xml:space="preserve">  Deponi, slam, renseanlæg</v>
      </c>
      <c r="Z86" s="5161" t="str">
        <f t="shared" si="29"/>
        <v xml:space="preserve">  Affald, ikke bionedbrydeligt</v>
      </c>
      <c r="AA86" s="31"/>
      <c r="AB86" s="10"/>
      <c r="AC86" s="10"/>
      <c r="AD86" s="10"/>
      <c r="AE86" s="10"/>
      <c r="AF86" s="10"/>
      <c r="AG86" s="10"/>
      <c r="AH86" s="10"/>
      <c r="AI86" s="10"/>
      <c r="AJ86" s="10"/>
      <c r="AK86" s="10"/>
      <c r="AL86" s="10"/>
      <c r="AM86" s="10"/>
      <c r="AN86" s="10"/>
      <c r="AO86" s="10"/>
      <c r="AP86" s="10"/>
      <c r="AQ86" s="10"/>
      <c r="AR86" s="10"/>
      <c r="AS86" s="10"/>
      <c r="AT86" s="10"/>
    </row>
    <row r="87" spans="1:47" ht="24" x14ac:dyDescent="0.2">
      <c r="A87" s="301">
        <v>58.87</v>
      </c>
      <c r="B87" s="5159"/>
      <c r="C87" s="5159"/>
      <c r="D87" s="5159"/>
      <c r="E87" s="5159"/>
      <c r="F87" s="5159"/>
      <c r="G87" s="5159"/>
      <c r="H87" s="5159"/>
      <c r="I87" s="5159"/>
      <c r="J87" s="290"/>
      <c r="K87" s="290"/>
      <c r="L87" s="290"/>
      <c r="M87" s="5159"/>
      <c r="N87" s="5159"/>
      <c r="O87" s="5159"/>
      <c r="P87" s="5159"/>
      <c r="Q87" s="5159"/>
      <c r="R87" s="5159"/>
      <c r="S87" s="5159"/>
      <c r="T87" s="5159"/>
      <c r="U87" s="5159"/>
      <c r="V87" s="5159"/>
      <c r="W87" s="5159"/>
      <c r="X87" s="5159"/>
      <c r="Y87" s="5159"/>
      <c r="Z87" s="5162"/>
      <c r="AA87" s="31"/>
      <c r="AB87" s="10"/>
      <c r="AC87" s="10"/>
      <c r="AD87" s="10"/>
      <c r="AE87" s="10"/>
      <c r="AF87" s="10"/>
      <c r="AG87" s="10"/>
      <c r="AH87" s="10"/>
      <c r="AI87" s="10"/>
      <c r="AJ87" s="10"/>
      <c r="AK87" s="10"/>
      <c r="AL87" s="10"/>
      <c r="AM87" s="10"/>
      <c r="AN87" s="10"/>
      <c r="AO87" s="10"/>
      <c r="AP87" s="10"/>
      <c r="AQ87" s="10"/>
      <c r="AR87" s="10"/>
      <c r="AS87" s="10"/>
      <c r="AT87" s="10"/>
    </row>
    <row r="88" spans="1:47" ht="123" customHeight="1" thickBot="1" x14ac:dyDescent="0.25">
      <c r="A88" s="4169" t="s">
        <v>73</v>
      </c>
      <c r="B88" s="5160"/>
      <c r="C88" s="5160"/>
      <c r="D88" s="5160"/>
      <c r="E88" s="5160"/>
      <c r="F88" s="5160"/>
      <c r="G88" s="5160"/>
      <c r="H88" s="5160"/>
      <c r="I88" s="5160"/>
      <c r="J88" s="287" t="s">
        <v>175</v>
      </c>
      <c r="K88" s="287" t="s">
        <v>176</v>
      </c>
      <c r="L88" s="287" t="s">
        <v>177</v>
      </c>
      <c r="M88" s="5160"/>
      <c r="N88" s="5160"/>
      <c r="O88" s="5160"/>
      <c r="P88" s="5160"/>
      <c r="Q88" s="5160"/>
      <c r="R88" s="5160"/>
      <c r="S88" s="5160"/>
      <c r="T88" s="5160"/>
      <c r="U88" s="5160"/>
      <c r="V88" s="5160"/>
      <c r="W88" s="5160"/>
      <c r="X88" s="5160"/>
      <c r="Y88" s="5160"/>
      <c r="Z88" s="5163"/>
      <c r="AA88" s="31"/>
      <c r="AB88" s="10"/>
      <c r="AC88" s="10"/>
      <c r="AD88" s="10"/>
      <c r="AE88" s="10"/>
      <c r="AF88" s="10"/>
      <c r="AG88" s="10"/>
      <c r="AH88" s="10"/>
      <c r="AI88" s="10"/>
      <c r="AJ88" s="10"/>
      <c r="AK88" s="10"/>
      <c r="AL88" s="10"/>
      <c r="AM88" s="10"/>
      <c r="AN88" s="10"/>
      <c r="AO88" s="10"/>
      <c r="AP88" s="10"/>
      <c r="AQ88" s="10"/>
      <c r="AR88" s="10"/>
      <c r="AS88" s="10"/>
      <c r="AT88" s="10"/>
    </row>
    <row r="89" spans="1:47" s="52" customFormat="1" ht="15" customHeight="1" thickBot="1" x14ac:dyDescent="0.25">
      <c r="A89" s="4170">
        <v>87.22</v>
      </c>
      <c r="B89" s="49">
        <v>64.8</v>
      </c>
      <c r="C89" s="49">
        <v>94.2</v>
      </c>
      <c r="D89" s="49">
        <v>79.03</v>
      </c>
      <c r="E89" s="49">
        <v>74.099999999999994</v>
      </c>
      <c r="F89" s="49">
        <f>E89</f>
        <v>74.099999999999994</v>
      </c>
      <c r="G89" s="49">
        <v>72</v>
      </c>
      <c r="H89" s="49">
        <v>73</v>
      </c>
      <c r="I89" s="4171">
        <v>55.52</v>
      </c>
      <c r="J89" s="49"/>
      <c r="K89" s="49"/>
      <c r="L89" s="49"/>
      <c r="M89" s="49"/>
      <c r="N89" s="49"/>
      <c r="O89" s="49"/>
      <c r="P89" s="49"/>
      <c r="Q89" s="295"/>
      <c r="R89" s="49"/>
      <c r="S89" s="49"/>
      <c r="T89" s="49"/>
      <c r="U89" s="49"/>
      <c r="V89" s="49"/>
      <c r="W89" s="49"/>
      <c r="X89" s="49"/>
      <c r="Y89" s="295"/>
      <c r="Z89" s="4164">
        <v>94.44</v>
      </c>
      <c r="AA89" s="4172" t="s">
        <v>5361</v>
      </c>
      <c r="AB89" s="50"/>
      <c r="AC89" s="51"/>
      <c r="AD89" s="51"/>
      <c r="AE89" s="51"/>
      <c r="AF89" s="51"/>
      <c r="AG89" s="51"/>
      <c r="AH89" s="51"/>
      <c r="AI89" s="51"/>
      <c r="AJ89" s="51"/>
      <c r="AK89" s="51"/>
      <c r="AL89" s="51"/>
      <c r="AM89" s="51"/>
      <c r="AN89" s="51"/>
      <c r="AO89" s="51"/>
      <c r="AP89" s="51"/>
      <c r="AQ89" s="51"/>
      <c r="AR89" s="51"/>
      <c r="AS89" s="51"/>
      <c r="AT89" s="51"/>
    </row>
    <row r="90" spans="1:47" x14ac:dyDescent="0.2">
      <c r="A90" s="29"/>
      <c r="B90" s="29"/>
      <c r="C90" s="29"/>
      <c r="D90" s="29"/>
      <c r="E90" s="29"/>
      <c r="F90" s="29"/>
      <c r="G90" s="29"/>
      <c r="H90" s="29"/>
      <c r="I90" s="29"/>
      <c r="J90" s="73"/>
      <c r="K90" s="73"/>
      <c r="L90" s="73"/>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row>
    <row r="91" spans="1:47" x14ac:dyDescent="0.2">
      <c r="AB91" s="10"/>
    </row>
    <row r="92" spans="1:47" ht="12.75" customHeight="1" x14ac:dyDescent="0.3">
      <c r="A92" s="48"/>
      <c r="AB92" s="29"/>
    </row>
    <row r="94" spans="1:47" x14ac:dyDescent="0.2">
      <c r="AB94" s="29"/>
    </row>
    <row r="95" spans="1:47" x14ac:dyDescent="0.2">
      <c r="AB95" s="29"/>
    </row>
  </sheetData>
  <mergeCells count="30">
    <mergeCell ref="Y86:Y88"/>
    <mergeCell ref="Z86:Z88"/>
    <mergeCell ref="S86:S88"/>
    <mergeCell ref="T86:T88"/>
    <mergeCell ref="U86:U88"/>
    <mergeCell ref="V86:V88"/>
    <mergeCell ref="W86:W88"/>
    <mergeCell ref="X86:X88"/>
    <mergeCell ref="AL6:AT6"/>
    <mergeCell ref="B86:B88"/>
    <mergeCell ref="C86:C88"/>
    <mergeCell ref="D86:D88"/>
    <mergeCell ref="E86:E88"/>
    <mergeCell ref="F86:F88"/>
    <mergeCell ref="G86:G88"/>
    <mergeCell ref="H86:H88"/>
    <mergeCell ref="I86:I88"/>
    <mergeCell ref="AG6:AH6"/>
    <mergeCell ref="M86:M88"/>
    <mergeCell ref="N86:N88"/>
    <mergeCell ref="O86:O88"/>
    <mergeCell ref="P86:P88"/>
    <mergeCell ref="Q86:Q88"/>
    <mergeCell ref="R86:R88"/>
    <mergeCell ref="D1:E1"/>
    <mergeCell ref="AB1:AB2"/>
    <mergeCell ref="A6:AA6"/>
    <mergeCell ref="AC6:AF6"/>
    <mergeCell ref="AI6:AJ6"/>
    <mergeCell ref="AA3:AC4"/>
  </mergeCells>
  <conditionalFormatting sqref="AA57:AA59">
    <cfRule type="cellIs" dxfId="610" priority="1" operator="notEqual">
      <formula>0</formula>
    </cfRule>
  </conditionalFormatting>
  <printOptions horizontalCentered="1" verticalCentered="1" gridLines="1"/>
  <pageMargins left="0.19685039370078741" right="0.19685039370078741" top="0.98425196850393704" bottom="0.55118110236220474" header="0" footer="0"/>
  <pageSetup paperSize="8" scale="48" orientation="landscape" r:id="rId1"/>
  <headerFooter alignWithMargins="0">
    <oddFooter>&amp;R&amp;F &amp;T &amp;D</oddFooter>
  </headerFooter>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886BF-5B92-4DAE-8DAD-4BB5FA776BB3}">
  <sheetPr codeName="Ark74">
    <tabColor theme="0" tint="-0.34998626667073579"/>
    <pageSetUpPr fitToPage="1"/>
  </sheetPr>
  <dimension ref="A1:O80"/>
  <sheetViews>
    <sheetView showGridLines="0" workbookViewId="0"/>
  </sheetViews>
  <sheetFormatPr defaultColWidth="9.140625" defaultRowHeight="12" x14ac:dyDescent="0.2"/>
  <cols>
    <col min="1" max="1" width="49.42578125" style="659" customWidth="1"/>
    <col min="2" max="2" width="20.42578125" style="659" customWidth="1"/>
    <col min="3" max="3" width="13.7109375" style="659" customWidth="1"/>
    <col min="4" max="4" width="11.7109375" style="659" customWidth="1"/>
    <col min="5" max="5" width="11" style="659" customWidth="1"/>
    <col min="6" max="8" width="8.7109375" style="659" customWidth="1"/>
    <col min="9" max="11" width="10.5703125" style="659" customWidth="1"/>
    <col min="12" max="12" width="1.28515625" style="659" customWidth="1"/>
    <col min="13" max="16384" width="9.140625" style="659"/>
  </cols>
  <sheetData>
    <row r="1" spans="1:15" ht="15.75" customHeight="1" x14ac:dyDescent="0.25">
      <c r="A1" s="671" t="s">
        <v>1565</v>
      </c>
      <c r="B1" s="763"/>
      <c r="C1" s="660"/>
      <c r="D1" s="660"/>
      <c r="E1" s="660"/>
      <c r="F1" s="660"/>
      <c r="G1" s="660"/>
      <c r="H1" s="660"/>
      <c r="I1" s="660"/>
      <c r="J1" s="660"/>
      <c r="K1" s="668" t="s">
        <v>1762</v>
      </c>
      <c r="L1" s="660"/>
      <c r="M1" s="660"/>
      <c r="N1" s="660"/>
      <c r="O1" s="660"/>
    </row>
    <row r="2" spans="1:15" ht="18.75" x14ac:dyDescent="0.25">
      <c r="A2" s="671" t="s">
        <v>1564</v>
      </c>
      <c r="B2" s="763"/>
      <c r="C2" s="660"/>
      <c r="D2" s="660"/>
      <c r="E2" s="660"/>
      <c r="F2" s="660"/>
      <c r="G2" s="660"/>
      <c r="H2" s="660"/>
      <c r="I2" s="660"/>
      <c r="J2" s="660"/>
      <c r="K2" s="668" t="s">
        <v>1761</v>
      </c>
      <c r="L2" s="660"/>
      <c r="M2" s="660"/>
      <c r="N2" s="660"/>
      <c r="O2" s="660"/>
    </row>
    <row r="3" spans="1:15" ht="15.75" x14ac:dyDescent="0.25">
      <c r="A3" s="671" t="s">
        <v>1197</v>
      </c>
      <c r="B3" s="763"/>
      <c r="C3" s="660"/>
      <c r="D3" s="660"/>
      <c r="E3" s="660"/>
      <c r="F3" s="660"/>
      <c r="G3" s="660"/>
      <c r="H3" s="660"/>
      <c r="I3" s="660"/>
      <c r="J3" s="660"/>
      <c r="K3" s="668" t="s">
        <v>1789</v>
      </c>
      <c r="L3" s="660"/>
      <c r="M3" s="660"/>
      <c r="N3" s="660"/>
      <c r="O3" s="660"/>
    </row>
    <row r="4" spans="1:15" x14ac:dyDescent="0.2">
      <c r="A4" s="660"/>
      <c r="B4" s="660"/>
      <c r="C4" s="660"/>
      <c r="D4" s="660"/>
      <c r="E4" s="660"/>
      <c r="F4" s="660"/>
      <c r="G4" s="660"/>
      <c r="H4" s="660"/>
      <c r="I4" s="660"/>
      <c r="J4" s="660"/>
      <c r="K4" s="660"/>
      <c r="L4" s="660"/>
      <c r="M4" s="660"/>
      <c r="N4" s="660"/>
      <c r="O4" s="660"/>
    </row>
    <row r="5" spans="1:15" ht="20.25" customHeight="1" x14ac:dyDescent="0.2">
      <c r="A5" s="5764" t="s">
        <v>1025</v>
      </c>
      <c r="B5" s="5763"/>
      <c r="C5" s="5763" t="s">
        <v>1083</v>
      </c>
      <c r="D5" s="5763"/>
      <c r="E5" s="5763"/>
      <c r="F5" s="5763" t="s">
        <v>1563</v>
      </c>
      <c r="G5" s="5763"/>
      <c r="H5" s="5763"/>
      <c r="I5" s="5763" t="s">
        <v>1081</v>
      </c>
      <c r="J5" s="5763"/>
      <c r="K5" s="5763"/>
      <c r="L5" s="660"/>
      <c r="M5" s="660"/>
      <c r="N5" s="660"/>
      <c r="O5" s="660"/>
    </row>
    <row r="6" spans="1:15" ht="19.5" customHeight="1" x14ac:dyDescent="0.2">
      <c r="A6" s="5764"/>
      <c r="B6" s="5763"/>
      <c r="C6" s="3611" t="s">
        <v>1562</v>
      </c>
      <c r="D6" s="3611" t="s">
        <v>1561</v>
      </c>
      <c r="E6" s="3611" t="s">
        <v>1560</v>
      </c>
      <c r="F6" s="3611" t="s">
        <v>1024</v>
      </c>
      <c r="G6" s="3611" t="s">
        <v>1023</v>
      </c>
      <c r="H6" s="3611" t="s">
        <v>1022</v>
      </c>
      <c r="I6" s="3611" t="s">
        <v>1559</v>
      </c>
      <c r="J6" s="3611" t="s">
        <v>1023</v>
      </c>
      <c r="K6" s="3611" t="s">
        <v>1022</v>
      </c>
      <c r="L6" s="660"/>
      <c r="M6" s="660"/>
      <c r="N6" s="660"/>
      <c r="O6" s="660"/>
    </row>
    <row r="7" spans="1:15" ht="15" thickBot="1" x14ac:dyDescent="0.25">
      <c r="A7" s="3462" t="s">
        <v>1527</v>
      </c>
      <c r="B7" s="762" t="s">
        <v>1558</v>
      </c>
      <c r="C7" s="3317"/>
      <c r="D7" s="3317" t="s">
        <v>1557</v>
      </c>
      <c r="E7" s="3461"/>
      <c r="F7" s="5605" t="s">
        <v>1556</v>
      </c>
      <c r="G7" s="5605"/>
      <c r="H7" s="5605"/>
      <c r="I7" s="5605" t="s">
        <v>1011</v>
      </c>
      <c r="J7" s="5605"/>
      <c r="K7" s="5605"/>
      <c r="L7" s="660"/>
      <c r="M7" s="660"/>
      <c r="N7" s="660"/>
      <c r="O7" s="660"/>
    </row>
    <row r="8" spans="1:15" ht="12.75" thickTop="1" x14ac:dyDescent="0.2">
      <c r="A8" s="756" t="s">
        <v>1555</v>
      </c>
      <c r="B8" s="3497"/>
      <c r="C8" s="3497" t="s">
        <v>986</v>
      </c>
      <c r="D8" s="3507" t="s">
        <v>1542</v>
      </c>
      <c r="E8" s="3507" t="s">
        <v>799</v>
      </c>
      <c r="F8" s="3507" t="s">
        <v>1741</v>
      </c>
      <c r="G8" s="3507" t="s">
        <v>799</v>
      </c>
      <c r="H8" s="3507" t="s">
        <v>799</v>
      </c>
      <c r="I8" s="3507" t="s">
        <v>1741</v>
      </c>
      <c r="J8" s="3507">
        <v>4.9593060000000002E-5</v>
      </c>
      <c r="K8" s="3507">
        <v>4.5280620000000001E-6</v>
      </c>
      <c r="L8" s="660"/>
      <c r="M8" s="660"/>
      <c r="N8" s="660"/>
      <c r="O8" s="660"/>
    </row>
    <row r="9" spans="1:15" x14ac:dyDescent="0.2">
      <c r="A9" s="3607" t="s">
        <v>1522</v>
      </c>
      <c r="B9" s="3497"/>
      <c r="C9" s="3497" t="s">
        <v>986</v>
      </c>
      <c r="D9" s="3507" t="s">
        <v>392</v>
      </c>
      <c r="E9" s="3507" t="s">
        <v>1006</v>
      </c>
      <c r="F9" s="3507" t="s">
        <v>799</v>
      </c>
      <c r="G9" s="3507" t="s">
        <v>799</v>
      </c>
      <c r="H9" s="3507" t="s">
        <v>799</v>
      </c>
      <c r="I9" s="3507" t="s">
        <v>799</v>
      </c>
      <c r="J9" s="3507" t="s">
        <v>799</v>
      </c>
      <c r="K9" s="3507" t="s">
        <v>799</v>
      </c>
      <c r="L9" s="679"/>
      <c r="M9" s="660"/>
      <c r="N9" s="660"/>
      <c r="O9" s="660"/>
    </row>
    <row r="10" spans="1:15" ht="13.5" x14ac:dyDescent="0.2">
      <c r="A10" s="3609" t="s">
        <v>1554</v>
      </c>
      <c r="B10" s="3497"/>
      <c r="C10" s="3497" t="s">
        <v>986</v>
      </c>
      <c r="D10" s="3507" t="s">
        <v>392</v>
      </c>
      <c r="E10" s="3507" t="s">
        <v>1006</v>
      </c>
      <c r="F10" s="3507" t="s">
        <v>799</v>
      </c>
      <c r="G10" s="3507" t="s">
        <v>799</v>
      </c>
      <c r="H10" s="3507" t="s">
        <v>799</v>
      </c>
      <c r="I10" s="3507" t="s">
        <v>799</v>
      </c>
      <c r="J10" s="3507" t="s">
        <v>799</v>
      </c>
      <c r="K10" s="3507" t="s">
        <v>799</v>
      </c>
      <c r="L10" s="660"/>
      <c r="M10" s="660"/>
      <c r="N10" s="660"/>
      <c r="O10" s="660"/>
    </row>
    <row r="11" spans="1:15" x14ac:dyDescent="0.2">
      <c r="A11" s="3608" t="s">
        <v>1545</v>
      </c>
      <c r="B11" s="3497"/>
      <c r="C11" s="3497" t="s">
        <v>986</v>
      </c>
      <c r="D11" s="3507" t="s">
        <v>392</v>
      </c>
      <c r="E11" s="3507" t="s">
        <v>259</v>
      </c>
      <c r="F11" s="3507" t="s">
        <v>799</v>
      </c>
      <c r="G11" s="3507" t="s">
        <v>799</v>
      </c>
      <c r="H11" s="3507" t="s">
        <v>799</v>
      </c>
      <c r="I11" s="3507" t="s">
        <v>799</v>
      </c>
      <c r="J11" s="3507" t="s">
        <v>799</v>
      </c>
      <c r="K11" s="3507" t="s">
        <v>799</v>
      </c>
      <c r="L11" s="679"/>
      <c r="M11" s="660"/>
      <c r="N11" s="660"/>
      <c r="O11" s="660"/>
    </row>
    <row r="12" spans="1:15" x14ac:dyDescent="0.2">
      <c r="A12" s="3522" t="s">
        <v>1319</v>
      </c>
      <c r="B12" s="3500" t="s">
        <v>1319</v>
      </c>
      <c r="C12" s="3500" t="s">
        <v>1541</v>
      </c>
      <c r="D12" s="3500" t="s">
        <v>986</v>
      </c>
      <c r="E12" s="3500" t="s">
        <v>259</v>
      </c>
      <c r="F12" s="3507" t="s">
        <v>799</v>
      </c>
      <c r="G12" s="3507" t="s">
        <v>799</v>
      </c>
      <c r="H12" s="3507" t="s">
        <v>799</v>
      </c>
      <c r="I12" s="3500" t="s">
        <v>799</v>
      </c>
      <c r="J12" s="3500" t="s">
        <v>799</v>
      </c>
      <c r="K12" s="3500" t="s">
        <v>799</v>
      </c>
      <c r="L12" s="679"/>
      <c r="M12" s="660"/>
      <c r="N12" s="660"/>
      <c r="O12" s="660"/>
    </row>
    <row r="13" spans="1:15" x14ac:dyDescent="0.2">
      <c r="A13" s="3608" t="s">
        <v>1544</v>
      </c>
      <c r="B13" s="3497"/>
      <c r="C13" s="3497" t="s">
        <v>986</v>
      </c>
      <c r="D13" s="3507" t="s">
        <v>392</v>
      </c>
      <c r="E13" s="3507" t="s">
        <v>799</v>
      </c>
      <c r="F13" s="3507" t="s">
        <v>799</v>
      </c>
      <c r="G13" s="3507" t="s">
        <v>799</v>
      </c>
      <c r="H13" s="3507" t="s">
        <v>799</v>
      </c>
      <c r="I13" s="3507" t="s">
        <v>799</v>
      </c>
      <c r="J13" s="3507" t="s">
        <v>799</v>
      </c>
      <c r="K13" s="3507" t="s">
        <v>799</v>
      </c>
      <c r="L13" s="679"/>
      <c r="M13" s="660"/>
      <c r="N13" s="660"/>
      <c r="O13" s="660"/>
    </row>
    <row r="14" spans="1:15" x14ac:dyDescent="0.2">
      <c r="A14" s="3522" t="s">
        <v>1319</v>
      </c>
      <c r="B14" s="3500" t="s">
        <v>1319</v>
      </c>
      <c r="C14" s="3500" t="s">
        <v>1541</v>
      </c>
      <c r="D14" s="3500" t="s">
        <v>986</v>
      </c>
      <c r="E14" s="3500" t="s">
        <v>799</v>
      </c>
      <c r="F14" s="3507" t="s">
        <v>799</v>
      </c>
      <c r="G14" s="3507" t="s">
        <v>799</v>
      </c>
      <c r="H14" s="3507" t="s">
        <v>799</v>
      </c>
      <c r="I14" s="3500" t="s">
        <v>799</v>
      </c>
      <c r="J14" s="3500" t="s">
        <v>799</v>
      </c>
      <c r="K14" s="3500" t="s">
        <v>799</v>
      </c>
      <c r="L14" s="679"/>
      <c r="M14" s="660"/>
      <c r="N14" s="660"/>
      <c r="O14" s="660"/>
    </row>
    <row r="15" spans="1:15" x14ac:dyDescent="0.2">
      <c r="A15" s="3609" t="s">
        <v>1553</v>
      </c>
      <c r="B15" s="3497"/>
      <c r="C15" s="3497" t="s">
        <v>986</v>
      </c>
      <c r="D15" s="3507" t="s">
        <v>392</v>
      </c>
      <c r="E15" s="3507" t="s">
        <v>259</v>
      </c>
      <c r="F15" s="3507" t="s">
        <v>799</v>
      </c>
      <c r="G15" s="3507" t="s">
        <v>799</v>
      </c>
      <c r="H15" s="3507" t="s">
        <v>799</v>
      </c>
      <c r="I15" s="3507" t="s">
        <v>799</v>
      </c>
      <c r="J15" s="3507" t="s">
        <v>799</v>
      </c>
      <c r="K15" s="3507" t="s">
        <v>799</v>
      </c>
      <c r="L15" s="660"/>
      <c r="M15" s="660"/>
      <c r="N15" s="660"/>
      <c r="O15" s="660"/>
    </row>
    <row r="16" spans="1:15" x14ac:dyDescent="0.2">
      <c r="A16" s="3608" t="s">
        <v>1545</v>
      </c>
      <c r="B16" s="3497"/>
      <c r="C16" s="3497" t="s">
        <v>986</v>
      </c>
      <c r="D16" s="3507" t="s">
        <v>392</v>
      </c>
      <c r="E16" s="3507" t="s">
        <v>259</v>
      </c>
      <c r="F16" s="3507" t="s">
        <v>799</v>
      </c>
      <c r="G16" s="3507" t="s">
        <v>799</v>
      </c>
      <c r="H16" s="3507" t="s">
        <v>799</v>
      </c>
      <c r="I16" s="3507" t="s">
        <v>799</v>
      </c>
      <c r="J16" s="3507" t="s">
        <v>799</v>
      </c>
      <c r="K16" s="3507" t="s">
        <v>799</v>
      </c>
      <c r="L16" s="679"/>
      <c r="M16" s="660"/>
      <c r="N16" s="660"/>
      <c r="O16" s="660"/>
    </row>
    <row r="17" spans="1:15" x14ac:dyDescent="0.2">
      <c r="A17" s="3522" t="s">
        <v>1319</v>
      </c>
      <c r="B17" s="3500" t="s">
        <v>1319</v>
      </c>
      <c r="C17" s="3500" t="s">
        <v>1541</v>
      </c>
      <c r="D17" s="3500" t="s">
        <v>986</v>
      </c>
      <c r="E17" s="3500" t="s">
        <v>259</v>
      </c>
      <c r="F17" s="3507" t="s">
        <v>799</v>
      </c>
      <c r="G17" s="3507" t="s">
        <v>799</v>
      </c>
      <c r="H17" s="3507" t="s">
        <v>799</v>
      </c>
      <c r="I17" s="3500" t="s">
        <v>799</v>
      </c>
      <c r="J17" s="3500" t="s">
        <v>799</v>
      </c>
      <c r="K17" s="3500" t="s">
        <v>799</v>
      </c>
      <c r="L17" s="679"/>
      <c r="M17" s="660"/>
      <c r="N17" s="660"/>
      <c r="O17" s="660"/>
    </row>
    <row r="18" spans="1:15" x14ac:dyDescent="0.2">
      <c r="A18" s="3608" t="s">
        <v>1544</v>
      </c>
      <c r="B18" s="3497"/>
      <c r="C18" s="3497" t="s">
        <v>986</v>
      </c>
      <c r="D18" s="3507" t="s">
        <v>392</v>
      </c>
      <c r="E18" s="3507" t="s">
        <v>986</v>
      </c>
      <c r="F18" s="3507" t="s">
        <v>986</v>
      </c>
      <c r="G18" s="3507" t="s">
        <v>986</v>
      </c>
      <c r="H18" s="3507" t="s">
        <v>986</v>
      </c>
      <c r="I18" s="3507" t="s">
        <v>799</v>
      </c>
      <c r="J18" s="3507" t="s">
        <v>799</v>
      </c>
      <c r="K18" s="3507" t="s">
        <v>799</v>
      </c>
      <c r="L18" s="679"/>
      <c r="M18" s="660"/>
      <c r="N18" s="660"/>
      <c r="O18" s="660"/>
    </row>
    <row r="19" spans="1:15" x14ac:dyDescent="0.2">
      <c r="A19" s="3522" t="s">
        <v>1319</v>
      </c>
      <c r="B19" s="3500" t="s">
        <v>1319</v>
      </c>
      <c r="C19" s="3500" t="s">
        <v>1541</v>
      </c>
      <c r="D19" s="3500" t="s">
        <v>986</v>
      </c>
      <c r="E19" s="3500" t="s">
        <v>986</v>
      </c>
      <c r="F19" s="3507" t="s">
        <v>986</v>
      </c>
      <c r="G19" s="3507" t="s">
        <v>986</v>
      </c>
      <c r="H19" s="3507" t="s">
        <v>986</v>
      </c>
      <c r="I19" s="3500" t="s">
        <v>799</v>
      </c>
      <c r="J19" s="3500" t="s">
        <v>799</v>
      </c>
      <c r="K19" s="3500" t="s">
        <v>799</v>
      </c>
      <c r="L19" s="679"/>
      <c r="M19" s="660"/>
      <c r="N19" s="660"/>
      <c r="O19" s="660"/>
    </row>
    <row r="20" spans="1:15" x14ac:dyDescent="0.2">
      <c r="A20" s="3607" t="s">
        <v>1552</v>
      </c>
      <c r="B20" s="3497"/>
      <c r="C20" s="3497" t="s">
        <v>986</v>
      </c>
      <c r="D20" s="3507" t="s">
        <v>392</v>
      </c>
      <c r="E20" s="3507" t="s">
        <v>1366</v>
      </c>
      <c r="F20" s="3507" t="s">
        <v>799</v>
      </c>
      <c r="G20" s="3507" t="s">
        <v>799</v>
      </c>
      <c r="H20" s="3507" t="s">
        <v>799</v>
      </c>
      <c r="I20" s="3507" t="s">
        <v>799</v>
      </c>
      <c r="J20" s="3507" t="s">
        <v>799</v>
      </c>
      <c r="K20" s="3507" t="s">
        <v>799</v>
      </c>
      <c r="L20" s="679"/>
      <c r="M20" s="660"/>
      <c r="N20" s="660"/>
      <c r="O20" s="660"/>
    </row>
    <row r="21" spans="1:15" ht="13.5" x14ac:dyDescent="0.2">
      <c r="A21" s="3609" t="s">
        <v>1551</v>
      </c>
      <c r="B21" s="3497"/>
      <c r="C21" s="3497" t="s">
        <v>986</v>
      </c>
      <c r="D21" s="3507" t="s">
        <v>392</v>
      </c>
      <c r="E21" s="3507" t="s">
        <v>259</v>
      </c>
      <c r="F21" s="3507" t="s">
        <v>799</v>
      </c>
      <c r="G21" s="3507" t="s">
        <v>799</v>
      </c>
      <c r="H21" s="3507" t="s">
        <v>799</v>
      </c>
      <c r="I21" s="3507" t="s">
        <v>799</v>
      </c>
      <c r="J21" s="3507" t="s">
        <v>799</v>
      </c>
      <c r="K21" s="3507" t="s">
        <v>799</v>
      </c>
      <c r="L21" s="660"/>
      <c r="M21" s="660"/>
      <c r="N21" s="660"/>
      <c r="O21" s="660"/>
    </row>
    <row r="22" spans="1:15" x14ac:dyDescent="0.2">
      <c r="A22" s="3608" t="s">
        <v>1545</v>
      </c>
      <c r="B22" s="3497"/>
      <c r="C22" s="3497" t="s">
        <v>986</v>
      </c>
      <c r="D22" s="3507" t="s">
        <v>392</v>
      </c>
      <c r="E22" s="3507" t="s">
        <v>259</v>
      </c>
      <c r="F22" s="3507" t="s">
        <v>799</v>
      </c>
      <c r="G22" s="3507" t="s">
        <v>799</v>
      </c>
      <c r="H22" s="3507" t="s">
        <v>799</v>
      </c>
      <c r="I22" s="3507" t="s">
        <v>799</v>
      </c>
      <c r="J22" s="3507" t="s">
        <v>799</v>
      </c>
      <c r="K22" s="3507" t="s">
        <v>799</v>
      </c>
      <c r="L22" s="660"/>
      <c r="M22" s="660"/>
      <c r="N22" s="660"/>
      <c r="O22" s="660"/>
    </row>
    <row r="23" spans="1:15" x14ac:dyDescent="0.2">
      <c r="A23" s="3522" t="s">
        <v>1319</v>
      </c>
      <c r="B23" s="3500" t="s">
        <v>1319</v>
      </c>
      <c r="C23" s="3500" t="s">
        <v>1541</v>
      </c>
      <c r="D23" s="3500" t="s">
        <v>986</v>
      </c>
      <c r="E23" s="3500" t="s">
        <v>259</v>
      </c>
      <c r="F23" s="3507" t="s">
        <v>799</v>
      </c>
      <c r="G23" s="3507" t="s">
        <v>799</v>
      </c>
      <c r="H23" s="3507" t="s">
        <v>799</v>
      </c>
      <c r="I23" s="3500" t="s">
        <v>799</v>
      </c>
      <c r="J23" s="3500" t="s">
        <v>799</v>
      </c>
      <c r="K23" s="3500" t="s">
        <v>799</v>
      </c>
      <c r="L23" s="679"/>
      <c r="M23" s="660"/>
      <c r="N23" s="660"/>
      <c r="O23" s="660"/>
    </row>
    <row r="24" spans="1:15" x14ac:dyDescent="0.2">
      <c r="A24" s="3608" t="s">
        <v>1544</v>
      </c>
      <c r="B24" s="3497"/>
      <c r="C24" s="3497" t="s">
        <v>986</v>
      </c>
      <c r="D24" s="3507" t="s">
        <v>392</v>
      </c>
      <c r="E24" s="3507" t="s">
        <v>259</v>
      </c>
      <c r="F24" s="3507" t="s">
        <v>799</v>
      </c>
      <c r="G24" s="3507" t="s">
        <v>799</v>
      </c>
      <c r="H24" s="3507" t="s">
        <v>799</v>
      </c>
      <c r="I24" s="3507" t="s">
        <v>799</v>
      </c>
      <c r="J24" s="3507" t="s">
        <v>799</v>
      </c>
      <c r="K24" s="3507" t="s">
        <v>799</v>
      </c>
      <c r="L24" s="660"/>
      <c r="M24" s="660"/>
      <c r="N24" s="660"/>
      <c r="O24" s="660"/>
    </row>
    <row r="25" spans="1:15" x14ac:dyDescent="0.2">
      <c r="A25" s="3522" t="s">
        <v>1319</v>
      </c>
      <c r="B25" s="3500" t="s">
        <v>1319</v>
      </c>
      <c r="C25" s="3500" t="s">
        <v>1541</v>
      </c>
      <c r="D25" s="3500" t="s">
        <v>986</v>
      </c>
      <c r="E25" s="3500" t="s">
        <v>259</v>
      </c>
      <c r="F25" s="3507" t="s">
        <v>799</v>
      </c>
      <c r="G25" s="3507" t="s">
        <v>799</v>
      </c>
      <c r="H25" s="3507" t="s">
        <v>799</v>
      </c>
      <c r="I25" s="3500" t="s">
        <v>799</v>
      </c>
      <c r="J25" s="3500" t="s">
        <v>799</v>
      </c>
      <c r="K25" s="3500" t="s">
        <v>799</v>
      </c>
      <c r="L25" s="679"/>
      <c r="M25" s="660"/>
      <c r="N25" s="660"/>
      <c r="O25" s="660"/>
    </row>
    <row r="26" spans="1:15" x14ac:dyDescent="0.2">
      <c r="A26" s="3609" t="s">
        <v>1550</v>
      </c>
      <c r="B26" s="3497"/>
      <c r="C26" s="3497" t="s">
        <v>986</v>
      </c>
      <c r="D26" s="3507" t="s">
        <v>392</v>
      </c>
      <c r="E26" s="3507" t="s">
        <v>455</v>
      </c>
      <c r="F26" s="3507" t="s">
        <v>799</v>
      </c>
      <c r="G26" s="3507" t="s">
        <v>799</v>
      </c>
      <c r="H26" s="3507" t="s">
        <v>799</v>
      </c>
      <c r="I26" s="3507" t="s">
        <v>799</v>
      </c>
      <c r="J26" s="3507" t="s">
        <v>799</v>
      </c>
      <c r="K26" s="3507" t="s">
        <v>799</v>
      </c>
      <c r="L26" s="660"/>
      <c r="M26" s="660"/>
      <c r="N26" s="660"/>
      <c r="O26" s="660"/>
    </row>
    <row r="27" spans="1:15" x14ac:dyDescent="0.2">
      <c r="A27" s="3608" t="s">
        <v>1545</v>
      </c>
      <c r="B27" s="3497"/>
      <c r="C27" s="3497" t="s">
        <v>986</v>
      </c>
      <c r="D27" s="3507" t="s">
        <v>392</v>
      </c>
      <c r="E27" s="3507" t="s">
        <v>986</v>
      </c>
      <c r="F27" s="3507" t="s">
        <v>986</v>
      </c>
      <c r="G27" s="3507" t="s">
        <v>986</v>
      </c>
      <c r="H27" s="3507" t="s">
        <v>986</v>
      </c>
      <c r="I27" s="3507" t="s">
        <v>799</v>
      </c>
      <c r="J27" s="3507" t="s">
        <v>799</v>
      </c>
      <c r="K27" s="3507" t="s">
        <v>799</v>
      </c>
      <c r="L27" s="679"/>
      <c r="M27" s="660"/>
      <c r="N27" s="660"/>
      <c r="O27" s="660"/>
    </row>
    <row r="28" spans="1:15" x14ac:dyDescent="0.2">
      <c r="A28" s="3522" t="s">
        <v>1319</v>
      </c>
      <c r="B28" s="3500" t="s">
        <v>1319</v>
      </c>
      <c r="C28" s="3500" t="s">
        <v>1541</v>
      </c>
      <c r="D28" s="3500" t="s">
        <v>986</v>
      </c>
      <c r="E28" s="3500" t="s">
        <v>986</v>
      </c>
      <c r="F28" s="3507" t="s">
        <v>986</v>
      </c>
      <c r="G28" s="3507" t="s">
        <v>986</v>
      </c>
      <c r="H28" s="3507" t="s">
        <v>986</v>
      </c>
      <c r="I28" s="3500" t="s">
        <v>799</v>
      </c>
      <c r="J28" s="3500" t="s">
        <v>799</v>
      </c>
      <c r="K28" s="3500" t="s">
        <v>799</v>
      </c>
      <c r="L28" s="679"/>
      <c r="M28" s="660"/>
      <c r="N28" s="660"/>
      <c r="O28" s="660"/>
    </row>
    <row r="29" spans="1:15" x14ac:dyDescent="0.2">
      <c r="A29" s="3608" t="s">
        <v>1544</v>
      </c>
      <c r="B29" s="3497"/>
      <c r="C29" s="3497" t="s">
        <v>986</v>
      </c>
      <c r="D29" s="3507" t="s">
        <v>392</v>
      </c>
      <c r="E29" s="3507" t="s">
        <v>455</v>
      </c>
      <c r="F29" s="3507" t="s">
        <v>799</v>
      </c>
      <c r="G29" s="3507" t="s">
        <v>799</v>
      </c>
      <c r="H29" s="3507" t="s">
        <v>799</v>
      </c>
      <c r="I29" s="3507" t="s">
        <v>799</v>
      </c>
      <c r="J29" s="3507" t="s">
        <v>799</v>
      </c>
      <c r="K29" s="3507" t="s">
        <v>799</v>
      </c>
      <c r="L29" s="679"/>
      <c r="M29" s="660"/>
      <c r="N29" s="660"/>
      <c r="O29" s="660"/>
    </row>
    <row r="30" spans="1:15" x14ac:dyDescent="0.2">
      <c r="A30" s="3522" t="s">
        <v>1319</v>
      </c>
      <c r="B30" s="3500" t="s">
        <v>1319</v>
      </c>
      <c r="C30" s="3500" t="s">
        <v>1541</v>
      </c>
      <c r="D30" s="3500" t="s">
        <v>986</v>
      </c>
      <c r="E30" s="3500" t="s">
        <v>455</v>
      </c>
      <c r="F30" s="3507" t="s">
        <v>799</v>
      </c>
      <c r="G30" s="3507" t="s">
        <v>799</v>
      </c>
      <c r="H30" s="3507" t="s">
        <v>799</v>
      </c>
      <c r="I30" s="3500" t="s">
        <v>799</v>
      </c>
      <c r="J30" s="3500" t="s">
        <v>799</v>
      </c>
      <c r="K30" s="3500" t="s">
        <v>799</v>
      </c>
      <c r="L30" s="679"/>
      <c r="M30" s="660"/>
      <c r="N30" s="660"/>
      <c r="O30" s="660"/>
    </row>
    <row r="31" spans="1:15" x14ac:dyDescent="0.2">
      <c r="A31" s="3610" t="s">
        <v>1549</v>
      </c>
      <c r="B31" s="3497"/>
      <c r="C31" s="3497" t="s">
        <v>986</v>
      </c>
      <c r="D31" s="3507" t="s">
        <v>392</v>
      </c>
      <c r="E31" s="3507">
        <v>2.9700000000000001E-2</v>
      </c>
      <c r="F31" s="3507" t="s">
        <v>455</v>
      </c>
      <c r="G31" s="3507">
        <v>1.6698</v>
      </c>
      <c r="H31" s="3507">
        <v>0.15246000000000001</v>
      </c>
      <c r="I31" s="3507" t="s">
        <v>455</v>
      </c>
      <c r="J31" s="3507">
        <v>4.9593060000000002E-5</v>
      </c>
      <c r="K31" s="3507">
        <v>4.5280620000000001E-6</v>
      </c>
      <c r="L31" s="679"/>
      <c r="M31" s="660"/>
      <c r="N31" s="660"/>
      <c r="O31" s="660"/>
    </row>
    <row r="32" spans="1:15" ht="13.5" x14ac:dyDescent="0.2">
      <c r="A32" s="3609" t="s">
        <v>1548</v>
      </c>
      <c r="B32" s="3497"/>
      <c r="C32" s="3497" t="s">
        <v>986</v>
      </c>
      <c r="D32" s="3507" t="s">
        <v>392</v>
      </c>
      <c r="E32" s="3507">
        <v>2.9700000000000001E-2</v>
      </c>
      <c r="F32" s="3507" t="s">
        <v>455</v>
      </c>
      <c r="G32" s="3507">
        <v>1.6698</v>
      </c>
      <c r="H32" s="3507">
        <v>0.15246000000000001</v>
      </c>
      <c r="I32" s="3507" t="s">
        <v>455</v>
      </c>
      <c r="J32" s="3507">
        <v>4.9593060000000002E-5</v>
      </c>
      <c r="K32" s="3507">
        <v>4.5280620000000001E-6</v>
      </c>
      <c r="L32" s="660"/>
      <c r="M32" s="660"/>
      <c r="N32" s="660"/>
      <c r="O32" s="660"/>
    </row>
    <row r="33" spans="1:15" x14ac:dyDescent="0.2">
      <c r="A33" s="3608" t="s">
        <v>1545</v>
      </c>
      <c r="B33" s="3497"/>
      <c r="C33" s="3497" t="s">
        <v>986</v>
      </c>
      <c r="D33" s="3507" t="s">
        <v>392</v>
      </c>
      <c r="E33" s="3507">
        <v>2.9700000000000001E-2</v>
      </c>
      <c r="F33" s="3507" t="s">
        <v>455</v>
      </c>
      <c r="G33" s="3507">
        <v>1.6698</v>
      </c>
      <c r="H33" s="3507">
        <v>0.15246000000000001</v>
      </c>
      <c r="I33" s="3507" t="s">
        <v>455</v>
      </c>
      <c r="J33" s="3507">
        <v>4.9593060000000002E-5</v>
      </c>
      <c r="K33" s="3507">
        <v>4.5280620000000001E-6</v>
      </c>
      <c r="L33" s="679"/>
      <c r="M33" s="660"/>
      <c r="N33" s="660"/>
      <c r="O33" s="660"/>
    </row>
    <row r="34" spans="1:15" x14ac:dyDescent="0.2">
      <c r="A34" s="3522" t="s">
        <v>1319</v>
      </c>
      <c r="B34" s="3500" t="s">
        <v>1319</v>
      </c>
      <c r="C34" s="3500" t="s">
        <v>1541</v>
      </c>
      <c r="D34" s="3500" t="s">
        <v>986</v>
      </c>
      <c r="E34" s="3500">
        <v>2.9700000000000001E-2</v>
      </c>
      <c r="F34" s="3507" t="s">
        <v>455</v>
      </c>
      <c r="G34" s="3507">
        <v>1.6698</v>
      </c>
      <c r="H34" s="3507">
        <v>0.15246000000000001</v>
      </c>
      <c r="I34" s="3500" t="s">
        <v>455</v>
      </c>
      <c r="J34" s="3500">
        <v>4.9593060000000002E-5</v>
      </c>
      <c r="K34" s="3500">
        <v>4.5280620000000001E-6</v>
      </c>
      <c r="L34" s="679"/>
      <c r="M34" s="660"/>
      <c r="N34" s="660"/>
      <c r="O34" s="660"/>
    </row>
    <row r="35" spans="1:15" x14ac:dyDescent="0.2">
      <c r="A35" s="3608" t="s">
        <v>1544</v>
      </c>
      <c r="B35" s="3497"/>
      <c r="C35" s="3497" t="s">
        <v>986</v>
      </c>
      <c r="D35" s="3507" t="s">
        <v>392</v>
      </c>
      <c r="E35" s="3507" t="s">
        <v>455</v>
      </c>
      <c r="F35" s="3507" t="s">
        <v>455</v>
      </c>
      <c r="G35" s="3507" t="s">
        <v>455</v>
      </c>
      <c r="H35" s="3507" t="s">
        <v>455</v>
      </c>
      <c r="I35" s="3507" t="s">
        <v>455</v>
      </c>
      <c r="J35" s="3507" t="s">
        <v>455</v>
      </c>
      <c r="K35" s="3507" t="s">
        <v>455</v>
      </c>
      <c r="L35" s="679"/>
      <c r="M35" s="660"/>
      <c r="N35" s="660"/>
      <c r="O35" s="660"/>
    </row>
    <row r="36" spans="1:15" x14ac:dyDescent="0.2">
      <c r="A36" s="3522" t="s">
        <v>1319</v>
      </c>
      <c r="B36" s="3500" t="s">
        <v>1319</v>
      </c>
      <c r="C36" s="3500" t="s">
        <v>1541</v>
      </c>
      <c r="D36" s="3500" t="s">
        <v>986</v>
      </c>
      <c r="E36" s="3500" t="s">
        <v>455</v>
      </c>
      <c r="F36" s="3507" t="s">
        <v>455</v>
      </c>
      <c r="G36" s="3507" t="s">
        <v>455</v>
      </c>
      <c r="H36" s="3507" t="s">
        <v>455</v>
      </c>
      <c r="I36" s="3500" t="s">
        <v>455</v>
      </c>
      <c r="J36" s="3500" t="s">
        <v>455</v>
      </c>
      <c r="K36" s="3500" t="s">
        <v>455</v>
      </c>
      <c r="L36" s="679"/>
      <c r="M36" s="660"/>
      <c r="N36" s="660"/>
      <c r="O36" s="660"/>
    </row>
    <row r="37" spans="1:15" x14ac:dyDescent="0.2">
      <c r="A37" s="3609" t="s">
        <v>1547</v>
      </c>
      <c r="B37" s="3497"/>
      <c r="C37" s="3497" t="s">
        <v>986</v>
      </c>
      <c r="D37" s="3507" t="s">
        <v>392</v>
      </c>
      <c r="E37" s="3507" t="s">
        <v>455</v>
      </c>
      <c r="F37" s="3507" t="s">
        <v>455</v>
      </c>
      <c r="G37" s="3507" t="s">
        <v>455</v>
      </c>
      <c r="H37" s="3507" t="s">
        <v>455</v>
      </c>
      <c r="I37" s="3507" t="s">
        <v>455</v>
      </c>
      <c r="J37" s="3507" t="s">
        <v>455</v>
      </c>
      <c r="K37" s="3507" t="s">
        <v>455</v>
      </c>
      <c r="L37" s="660"/>
      <c r="M37" s="660"/>
      <c r="N37" s="660"/>
      <c r="O37" s="660"/>
    </row>
    <row r="38" spans="1:15" x14ac:dyDescent="0.2">
      <c r="A38" s="3608" t="s">
        <v>1545</v>
      </c>
      <c r="B38" s="3497"/>
      <c r="C38" s="3497" t="s">
        <v>986</v>
      </c>
      <c r="D38" s="3507" t="s">
        <v>392</v>
      </c>
      <c r="E38" s="3507" t="s">
        <v>455</v>
      </c>
      <c r="F38" s="3507" t="s">
        <v>455</v>
      </c>
      <c r="G38" s="3507" t="s">
        <v>455</v>
      </c>
      <c r="H38" s="3507" t="s">
        <v>455</v>
      </c>
      <c r="I38" s="3507" t="s">
        <v>455</v>
      </c>
      <c r="J38" s="3507" t="s">
        <v>455</v>
      </c>
      <c r="K38" s="3507" t="s">
        <v>455</v>
      </c>
      <c r="L38" s="679"/>
      <c r="M38" s="660"/>
      <c r="N38" s="660"/>
      <c r="O38" s="660"/>
    </row>
    <row r="39" spans="1:15" x14ac:dyDescent="0.2">
      <c r="A39" s="3522" t="s">
        <v>1319</v>
      </c>
      <c r="B39" s="3500" t="s">
        <v>1319</v>
      </c>
      <c r="C39" s="3500" t="s">
        <v>1541</v>
      </c>
      <c r="D39" s="3500" t="s">
        <v>986</v>
      </c>
      <c r="E39" s="3500" t="s">
        <v>455</v>
      </c>
      <c r="F39" s="3507" t="s">
        <v>455</v>
      </c>
      <c r="G39" s="3507" t="s">
        <v>455</v>
      </c>
      <c r="H39" s="3507" t="s">
        <v>455</v>
      </c>
      <c r="I39" s="3500" t="s">
        <v>455</v>
      </c>
      <c r="J39" s="3500" t="s">
        <v>455</v>
      </c>
      <c r="K39" s="3500" t="s">
        <v>455</v>
      </c>
      <c r="L39" s="679"/>
      <c r="M39" s="660"/>
      <c r="N39" s="660"/>
      <c r="O39" s="660"/>
    </row>
    <row r="40" spans="1:15" x14ac:dyDescent="0.2">
      <c r="A40" s="3608" t="s">
        <v>1544</v>
      </c>
      <c r="B40" s="3497"/>
      <c r="C40" s="3497" t="s">
        <v>986</v>
      </c>
      <c r="D40" s="3507" t="s">
        <v>392</v>
      </c>
      <c r="E40" s="3507" t="s">
        <v>986</v>
      </c>
      <c r="F40" s="3507" t="s">
        <v>986</v>
      </c>
      <c r="G40" s="3507" t="s">
        <v>986</v>
      </c>
      <c r="H40" s="3507" t="s">
        <v>986</v>
      </c>
      <c r="I40" s="3507" t="s">
        <v>455</v>
      </c>
      <c r="J40" s="3507" t="s">
        <v>455</v>
      </c>
      <c r="K40" s="3507" t="s">
        <v>455</v>
      </c>
      <c r="L40" s="679"/>
      <c r="M40" s="660"/>
      <c r="N40" s="660"/>
      <c r="O40" s="660"/>
    </row>
    <row r="41" spans="1:15" x14ac:dyDescent="0.2">
      <c r="A41" s="3522" t="s">
        <v>1319</v>
      </c>
      <c r="B41" s="3500" t="s">
        <v>1319</v>
      </c>
      <c r="C41" s="3500" t="s">
        <v>1541</v>
      </c>
      <c r="D41" s="3500" t="s">
        <v>986</v>
      </c>
      <c r="E41" s="3500" t="s">
        <v>986</v>
      </c>
      <c r="F41" s="3507" t="s">
        <v>986</v>
      </c>
      <c r="G41" s="3507" t="s">
        <v>986</v>
      </c>
      <c r="H41" s="3507" t="s">
        <v>986</v>
      </c>
      <c r="I41" s="3500" t="s">
        <v>455</v>
      </c>
      <c r="J41" s="3500" t="s">
        <v>455</v>
      </c>
      <c r="K41" s="3500" t="s">
        <v>455</v>
      </c>
      <c r="L41" s="679"/>
      <c r="M41" s="660"/>
      <c r="N41" s="660"/>
      <c r="O41" s="660"/>
    </row>
    <row r="42" spans="1:15" x14ac:dyDescent="0.2">
      <c r="A42" s="3607" t="s">
        <v>1510</v>
      </c>
      <c r="B42" s="3497"/>
      <c r="C42" s="3497" t="s">
        <v>986</v>
      </c>
      <c r="D42" s="3507" t="s">
        <v>392</v>
      </c>
      <c r="E42" s="3507" t="s">
        <v>259</v>
      </c>
      <c r="F42" s="3507" t="s">
        <v>1741</v>
      </c>
      <c r="G42" s="3507" t="s">
        <v>1741</v>
      </c>
      <c r="H42" s="3507" t="s">
        <v>1741</v>
      </c>
      <c r="I42" s="3507" t="s">
        <v>1741</v>
      </c>
      <c r="J42" s="3507" t="s">
        <v>1741</v>
      </c>
      <c r="K42" s="3507" t="s">
        <v>1741</v>
      </c>
      <c r="L42" s="679"/>
      <c r="M42" s="660"/>
      <c r="N42" s="660"/>
      <c r="O42" s="660"/>
    </row>
    <row r="43" spans="1:15" x14ac:dyDescent="0.2">
      <c r="A43" s="3609" t="s">
        <v>1422</v>
      </c>
      <c r="B43" s="3497"/>
      <c r="C43" s="3497" t="s">
        <v>986</v>
      </c>
      <c r="D43" s="3507" t="s">
        <v>392</v>
      </c>
      <c r="E43" s="3507" t="s">
        <v>259</v>
      </c>
      <c r="F43" s="3507" t="s">
        <v>799</v>
      </c>
      <c r="G43" s="3507" t="s">
        <v>799</v>
      </c>
      <c r="H43" s="3507" t="s">
        <v>799</v>
      </c>
      <c r="I43" s="3507" t="s">
        <v>799</v>
      </c>
      <c r="J43" s="3507" t="s">
        <v>799</v>
      </c>
      <c r="K43" s="3507" t="s">
        <v>799</v>
      </c>
      <c r="L43" s="660"/>
      <c r="M43" s="660"/>
      <c r="N43" s="660"/>
      <c r="O43" s="660"/>
    </row>
    <row r="44" spans="1:15" x14ac:dyDescent="0.2">
      <c r="A44" s="3608" t="s">
        <v>1545</v>
      </c>
      <c r="B44" s="3497"/>
      <c r="C44" s="3497" t="s">
        <v>986</v>
      </c>
      <c r="D44" s="3507" t="s">
        <v>392</v>
      </c>
      <c r="E44" s="3507" t="s">
        <v>259</v>
      </c>
      <c r="F44" s="3507" t="s">
        <v>799</v>
      </c>
      <c r="G44" s="3507" t="s">
        <v>799</v>
      </c>
      <c r="H44" s="3507" t="s">
        <v>799</v>
      </c>
      <c r="I44" s="3507" t="s">
        <v>799</v>
      </c>
      <c r="J44" s="3507" t="s">
        <v>799</v>
      </c>
      <c r="K44" s="3507" t="s">
        <v>799</v>
      </c>
      <c r="L44" s="679"/>
      <c r="M44" s="660"/>
      <c r="N44" s="660"/>
      <c r="O44" s="660"/>
    </row>
    <row r="45" spans="1:15" x14ac:dyDescent="0.2">
      <c r="A45" s="3522" t="s">
        <v>1319</v>
      </c>
      <c r="B45" s="3500" t="s">
        <v>1319</v>
      </c>
      <c r="C45" s="3500" t="s">
        <v>1541</v>
      </c>
      <c r="D45" s="3500" t="s">
        <v>986</v>
      </c>
      <c r="E45" s="3500" t="s">
        <v>259</v>
      </c>
      <c r="F45" s="3507" t="s">
        <v>799</v>
      </c>
      <c r="G45" s="3507" t="s">
        <v>799</v>
      </c>
      <c r="H45" s="3507" t="s">
        <v>799</v>
      </c>
      <c r="I45" s="3500" t="s">
        <v>799</v>
      </c>
      <c r="J45" s="3500" t="s">
        <v>799</v>
      </c>
      <c r="K45" s="3500" t="s">
        <v>799</v>
      </c>
      <c r="L45" s="679"/>
      <c r="M45" s="660"/>
      <c r="N45" s="660"/>
      <c r="O45" s="660"/>
    </row>
    <row r="46" spans="1:15" x14ac:dyDescent="0.2">
      <c r="A46" s="3608" t="s">
        <v>1544</v>
      </c>
      <c r="B46" s="3497"/>
      <c r="C46" s="3497" t="s">
        <v>986</v>
      </c>
      <c r="D46" s="3507" t="s">
        <v>392</v>
      </c>
      <c r="E46" s="3507" t="s">
        <v>986</v>
      </c>
      <c r="F46" s="3507" t="s">
        <v>986</v>
      </c>
      <c r="G46" s="3507" t="s">
        <v>986</v>
      </c>
      <c r="H46" s="3507" t="s">
        <v>986</v>
      </c>
      <c r="I46" s="3507" t="s">
        <v>799</v>
      </c>
      <c r="J46" s="3507" t="s">
        <v>799</v>
      </c>
      <c r="K46" s="3507" t="s">
        <v>799</v>
      </c>
      <c r="L46" s="679"/>
      <c r="M46" s="660"/>
      <c r="N46" s="660"/>
      <c r="O46" s="660"/>
    </row>
    <row r="47" spans="1:15" x14ac:dyDescent="0.2">
      <c r="A47" s="3522" t="s">
        <v>1319</v>
      </c>
      <c r="B47" s="3500" t="s">
        <v>1319</v>
      </c>
      <c r="C47" s="3500" t="s">
        <v>1541</v>
      </c>
      <c r="D47" s="3500" t="s">
        <v>986</v>
      </c>
      <c r="E47" s="3500" t="s">
        <v>986</v>
      </c>
      <c r="F47" s="3507" t="s">
        <v>986</v>
      </c>
      <c r="G47" s="3507" t="s">
        <v>986</v>
      </c>
      <c r="H47" s="3507" t="s">
        <v>986</v>
      </c>
      <c r="I47" s="3500" t="s">
        <v>799</v>
      </c>
      <c r="J47" s="3500" t="s">
        <v>799</v>
      </c>
      <c r="K47" s="3500" t="s">
        <v>799</v>
      </c>
      <c r="L47" s="679"/>
      <c r="M47" s="660"/>
      <c r="N47" s="660"/>
      <c r="O47" s="660"/>
    </row>
    <row r="48" spans="1:15" x14ac:dyDescent="0.2">
      <c r="A48" s="3609" t="s">
        <v>1546</v>
      </c>
      <c r="B48" s="3497"/>
      <c r="C48" s="3497" t="s">
        <v>986</v>
      </c>
      <c r="D48" s="3507" t="s">
        <v>392</v>
      </c>
      <c r="E48" s="3507" t="s">
        <v>259</v>
      </c>
      <c r="F48" s="3507" t="s">
        <v>1741</v>
      </c>
      <c r="G48" s="3507" t="s">
        <v>1741</v>
      </c>
      <c r="H48" s="3507" t="s">
        <v>1741</v>
      </c>
      <c r="I48" s="3507" t="s">
        <v>1741</v>
      </c>
      <c r="J48" s="3507" t="s">
        <v>1741</v>
      </c>
      <c r="K48" s="3507" t="s">
        <v>1741</v>
      </c>
      <c r="L48" s="660"/>
      <c r="M48" s="660"/>
      <c r="N48" s="660"/>
      <c r="O48" s="660"/>
    </row>
    <row r="49" spans="1:15" x14ac:dyDescent="0.2">
      <c r="A49" s="3608" t="s">
        <v>1545</v>
      </c>
      <c r="B49" s="3497"/>
      <c r="C49" s="3497" t="s">
        <v>986</v>
      </c>
      <c r="D49" s="3507" t="s">
        <v>392</v>
      </c>
      <c r="E49" s="3507" t="s">
        <v>986</v>
      </c>
      <c r="F49" s="3507" t="s">
        <v>986</v>
      </c>
      <c r="G49" s="3507" t="s">
        <v>986</v>
      </c>
      <c r="H49" s="3507" t="s">
        <v>986</v>
      </c>
      <c r="I49" s="3507" t="s">
        <v>799</v>
      </c>
      <c r="J49" s="3507" t="s">
        <v>799</v>
      </c>
      <c r="K49" s="3507" t="s">
        <v>799</v>
      </c>
      <c r="L49" s="679"/>
      <c r="M49" s="660"/>
      <c r="N49" s="660"/>
      <c r="O49" s="660"/>
    </row>
    <row r="50" spans="1:15" x14ac:dyDescent="0.2">
      <c r="A50" s="3522" t="s">
        <v>1319</v>
      </c>
      <c r="B50" s="3500" t="s">
        <v>1319</v>
      </c>
      <c r="C50" s="3500" t="s">
        <v>1541</v>
      </c>
      <c r="D50" s="3500" t="s">
        <v>986</v>
      </c>
      <c r="E50" s="3500" t="s">
        <v>986</v>
      </c>
      <c r="F50" s="3507" t="s">
        <v>986</v>
      </c>
      <c r="G50" s="3507" t="s">
        <v>986</v>
      </c>
      <c r="H50" s="3507" t="s">
        <v>986</v>
      </c>
      <c r="I50" s="3500" t="s">
        <v>799</v>
      </c>
      <c r="J50" s="3500" t="s">
        <v>799</v>
      </c>
      <c r="K50" s="3500" t="s">
        <v>799</v>
      </c>
      <c r="L50" s="679"/>
      <c r="M50" s="660"/>
      <c r="N50" s="660"/>
      <c r="O50" s="660"/>
    </row>
    <row r="51" spans="1:15" x14ac:dyDescent="0.2">
      <c r="A51" s="3608" t="s">
        <v>1544</v>
      </c>
      <c r="B51" s="3497"/>
      <c r="C51" s="3497" t="s">
        <v>986</v>
      </c>
      <c r="D51" s="3507" t="s">
        <v>392</v>
      </c>
      <c r="E51" s="3507" t="s">
        <v>259</v>
      </c>
      <c r="F51" s="3507" t="s">
        <v>455</v>
      </c>
      <c r="G51" s="3507" t="s">
        <v>455</v>
      </c>
      <c r="H51" s="3507" t="s">
        <v>455</v>
      </c>
      <c r="I51" s="3507" t="s">
        <v>455</v>
      </c>
      <c r="J51" s="3507" t="s">
        <v>455</v>
      </c>
      <c r="K51" s="3507" t="s">
        <v>455</v>
      </c>
      <c r="L51" s="679"/>
      <c r="M51" s="660"/>
      <c r="N51" s="660"/>
      <c r="O51" s="660"/>
    </row>
    <row r="52" spans="1:15" x14ac:dyDescent="0.2">
      <c r="A52" s="3522" t="s">
        <v>1319</v>
      </c>
      <c r="B52" s="3500" t="s">
        <v>1319</v>
      </c>
      <c r="C52" s="3500" t="s">
        <v>1541</v>
      </c>
      <c r="D52" s="3500" t="s">
        <v>986</v>
      </c>
      <c r="E52" s="3500" t="s">
        <v>259</v>
      </c>
      <c r="F52" s="3507" t="s">
        <v>455</v>
      </c>
      <c r="G52" s="3507" t="s">
        <v>455</v>
      </c>
      <c r="H52" s="3507" t="s">
        <v>455</v>
      </c>
      <c r="I52" s="3500" t="s">
        <v>455</v>
      </c>
      <c r="J52" s="3500" t="s">
        <v>455</v>
      </c>
      <c r="K52" s="3500" t="s">
        <v>455</v>
      </c>
      <c r="L52" s="679"/>
      <c r="M52" s="660"/>
      <c r="N52" s="660"/>
      <c r="O52" s="660"/>
    </row>
    <row r="53" spans="1:15" x14ac:dyDescent="0.2">
      <c r="A53" s="3607" t="s">
        <v>1543</v>
      </c>
      <c r="B53" s="3497"/>
      <c r="C53" s="3497" t="s">
        <v>986</v>
      </c>
      <c r="D53" s="3507" t="s">
        <v>1542</v>
      </c>
      <c r="E53" s="3507" t="s">
        <v>986</v>
      </c>
      <c r="F53" s="3507" t="s">
        <v>986</v>
      </c>
      <c r="G53" s="3507" t="s">
        <v>986</v>
      </c>
      <c r="H53" s="3507" t="s">
        <v>986</v>
      </c>
      <c r="I53" s="3507" t="s">
        <v>799</v>
      </c>
      <c r="J53" s="3507" t="s">
        <v>799</v>
      </c>
      <c r="K53" s="3507" t="s">
        <v>799</v>
      </c>
      <c r="L53" s="660"/>
      <c r="M53" s="660"/>
      <c r="N53" s="660"/>
      <c r="O53" s="660"/>
    </row>
    <row r="54" spans="1:15" x14ac:dyDescent="0.2">
      <c r="A54" s="3519" t="s">
        <v>1319</v>
      </c>
      <c r="B54" s="3500" t="s">
        <v>1319</v>
      </c>
      <c r="C54" s="3500" t="s">
        <v>1541</v>
      </c>
      <c r="D54" s="3500" t="s">
        <v>986</v>
      </c>
      <c r="E54" s="3500" t="s">
        <v>259</v>
      </c>
      <c r="F54" s="3507" t="s">
        <v>799</v>
      </c>
      <c r="G54" s="3507" t="s">
        <v>799</v>
      </c>
      <c r="H54" s="3507" t="s">
        <v>799</v>
      </c>
      <c r="I54" s="3500" t="s">
        <v>799</v>
      </c>
      <c r="J54" s="3500" t="s">
        <v>799</v>
      </c>
      <c r="K54" s="3500" t="s">
        <v>799</v>
      </c>
      <c r="L54" s="679"/>
      <c r="M54" s="660"/>
      <c r="N54" s="660"/>
      <c r="O54" s="660"/>
    </row>
    <row r="55" spans="1:15" x14ac:dyDescent="0.2">
      <c r="A55" s="3607" t="s">
        <v>1503</v>
      </c>
      <c r="B55" s="3497"/>
      <c r="C55" s="3497" t="s">
        <v>986</v>
      </c>
      <c r="D55" s="3507" t="s">
        <v>392</v>
      </c>
      <c r="E55" s="3507" t="s">
        <v>986</v>
      </c>
      <c r="F55" s="3507" t="s">
        <v>986</v>
      </c>
      <c r="G55" s="3507" t="s">
        <v>986</v>
      </c>
      <c r="H55" s="3507" t="s">
        <v>986</v>
      </c>
      <c r="I55" s="3507" t="s">
        <v>799</v>
      </c>
      <c r="J55" s="3507" t="s">
        <v>799</v>
      </c>
      <c r="K55" s="3507" t="s">
        <v>799</v>
      </c>
      <c r="L55" s="660"/>
      <c r="M55" s="660"/>
      <c r="N55" s="660"/>
      <c r="O55" s="660"/>
    </row>
    <row r="56" spans="1:15" x14ac:dyDescent="0.2">
      <c r="A56" s="3519" t="s">
        <v>1319</v>
      </c>
      <c r="B56" s="3500" t="s">
        <v>1319</v>
      </c>
      <c r="C56" s="3500" t="s">
        <v>1541</v>
      </c>
      <c r="D56" s="3500" t="s">
        <v>986</v>
      </c>
      <c r="E56" s="3500" t="s">
        <v>986</v>
      </c>
      <c r="F56" s="3507" t="s">
        <v>986</v>
      </c>
      <c r="G56" s="3507" t="s">
        <v>986</v>
      </c>
      <c r="H56" s="3507" t="s">
        <v>986</v>
      </c>
      <c r="I56" s="3500" t="s">
        <v>799</v>
      </c>
      <c r="J56" s="3500" t="s">
        <v>799</v>
      </c>
      <c r="K56" s="3500" t="s">
        <v>799</v>
      </c>
      <c r="L56" s="679"/>
      <c r="M56" s="660"/>
      <c r="N56" s="660"/>
      <c r="O56" s="660"/>
    </row>
    <row r="57" spans="1:15" x14ac:dyDescent="0.2">
      <c r="A57" s="3607" t="s">
        <v>1540</v>
      </c>
      <c r="B57" s="3497"/>
      <c r="C57" s="3497" t="s">
        <v>986</v>
      </c>
      <c r="D57" s="3497" t="s">
        <v>986</v>
      </c>
      <c r="E57" s="3497" t="s">
        <v>986</v>
      </c>
      <c r="F57" s="3497" t="s">
        <v>986</v>
      </c>
      <c r="G57" s="3497" t="s">
        <v>986</v>
      </c>
      <c r="H57" s="3497" t="s">
        <v>986</v>
      </c>
      <c r="I57" s="3497" t="s">
        <v>986</v>
      </c>
      <c r="J57" s="3497" t="s">
        <v>986</v>
      </c>
      <c r="K57" s="3497" t="s">
        <v>986</v>
      </c>
      <c r="L57" s="660"/>
      <c r="M57" s="660"/>
      <c r="N57" s="660"/>
      <c r="O57" s="660"/>
    </row>
    <row r="58" spans="1:15" ht="13.5" customHeight="1" x14ac:dyDescent="0.2">
      <c r="A58" s="678" t="s">
        <v>564</v>
      </c>
      <c r="B58" s="663"/>
      <c r="C58" s="663"/>
      <c r="D58" s="663"/>
      <c r="E58" s="663"/>
      <c r="F58" s="663"/>
      <c r="G58" s="663"/>
      <c r="H58" s="663"/>
      <c r="I58" s="663"/>
      <c r="J58" s="663"/>
      <c r="K58" s="663"/>
      <c r="L58" s="660"/>
      <c r="M58" s="660"/>
      <c r="N58" s="660"/>
      <c r="O58" s="660"/>
    </row>
    <row r="59" spans="1:15" ht="15" customHeight="1" x14ac:dyDescent="0.25">
      <c r="A59" s="5607" t="s">
        <v>1539</v>
      </c>
      <c r="B59" s="5607"/>
      <c r="C59" s="5607"/>
      <c r="D59" s="5607"/>
      <c r="E59" s="5607"/>
      <c r="F59" s="5607"/>
      <c r="G59" s="5607"/>
      <c r="H59" s="5607"/>
      <c r="I59" s="3318"/>
      <c r="J59" s="3318"/>
      <c r="K59" s="3318"/>
      <c r="L59" s="660"/>
      <c r="M59" s="660"/>
      <c r="N59" s="660"/>
      <c r="O59" s="660"/>
    </row>
    <row r="60" spans="1:15" ht="13.5" x14ac:dyDescent="0.2">
      <c r="A60" s="5607" t="s">
        <v>1538</v>
      </c>
      <c r="B60" s="5607"/>
      <c r="C60" s="5607"/>
      <c r="D60" s="5607"/>
      <c r="E60" s="5607"/>
      <c r="F60" s="5607"/>
      <c r="G60" s="3318"/>
      <c r="H60" s="3318"/>
      <c r="I60" s="3318"/>
      <c r="J60" s="3318"/>
      <c r="K60" s="3318"/>
      <c r="L60" s="660"/>
      <c r="M60" s="660"/>
      <c r="N60" s="660"/>
      <c r="O60" s="660"/>
    </row>
    <row r="61" spans="1:15" ht="13.5" x14ac:dyDescent="0.2">
      <c r="A61" s="5606" t="s">
        <v>1537</v>
      </c>
      <c r="B61" s="5606"/>
      <c r="C61" s="5606"/>
      <c r="D61" s="5606"/>
      <c r="E61" s="5606"/>
      <c r="F61" s="5606"/>
      <c r="G61" s="5606"/>
      <c r="H61" s="5606"/>
      <c r="I61" s="5606"/>
      <c r="J61" s="5606"/>
      <c r="K61" s="5606"/>
      <c r="L61" s="660"/>
      <c r="M61" s="660"/>
      <c r="N61" s="660"/>
      <c r="O61" s="660"/>
    </row>
    <row r="62" spans="1:15" ht="13.5" x14ac:dyDescent="0.2">
      <c r="A62" s="5606" t="s">
        <v>1536</v>
      </c>
      <c r="B62" s="5606"/>
      <c r="C62" s="5606"/>
      <c r="D62" s="5606"/>
      <c r="E62" s="5606"/>
      <c r="F62" s="5606"/>
      <c r="G62" s="5606"/>
      <c r="H62" s="5606"/>
      <c r="I62" s="5606"/>
      <c r="J62" s="5606"/>
      <c r="K62" s="5606"/>
      <c r="L62" s="660"/>
      <c r="M62" s="660"/>
      <c r="N62" s="660"/>
      <c r="O62" s="660"/>
    </row>
    <row r="63" spans="1:15" ht="26.25" customHeight="1" x14ac:dyDescent="0.2">
      <c r="A63" s="5507" t="s">
        <v>1535</v>
      </c>
      <c r="B63" s="5507"/>
      <c r="C63" s="5507"/>
      <c r="D63" s="5507"/>
      <c r="E63" s="5507"/>
      <c r="F63" s="5507"/>
      <c r="G63" s="5507"/>
      <c r="H63" s="3318"/>
      <c r="I63" s="3318"/>
      <c r="J63" s="3318"/>
      <c r="K63" s="3318"/>
      <c r="L63" s="660"/>
      <c r="M63" s="660"/>
      <c r="N63" s="660"/>
      <c r="O63" s="660"/>
    </row>
    <row r="64" spans="1:15" ht="13.5" x14ac:dyDescent="0.2">
      <c r="A64" s="5606" t="s">
        <v>1534</v>
      </c>
      <c r="B64" s="5606"/>
      <c r="C64" s="5606"/>
      <c r="D64" s="5606"/>
      <c r="E64" s="5606"/>
      <c r="F64" s="5606"/>
      <c r="G64" s="5606"/>
      <c r="H64" s="5606"/>
      <c r="I64" s="5606"/>
      <c r="J64" s="5606"/>
      <c r="K64" s="5606"/>
      <c r="L64" s="660"/>
      <c r="M64" s="660"/>
      <c r="N64" s="660"/>
      <c r="O64" s="660"/>
    </row>
    <row r="65" spans="1:15" ht="13.5" x14ac:dyDescent="0.2">
      <c r="A65" s="5606" t="s">
        <v>1533</v>
      </c>
      <c r="B65" s="5606"/>
      <c r="C65" s="5606"/>
      <c r="D65" s="5606"/>
      <c r="E65" s="5606"/>
      <c r="F65" s="5606"/>
      <c r="G65" s="5606"/>
      <c r="H65" s="3316"/>
      <c r="I65" s="3316"/>
      <c r="J65" s="3316"/>
      <c r="K65" s="3316"/>
      <c r="L65" s="660"/>
      <c r="M65" s="660"/>
      <c r="N65" s="660"/>
      <c r="O65" s="660"/>
    </row>
    <row r="66" spans="1:15" ht="13.5" x14ac:dyDescent="0.2">
      <c r="A66" s="5606" t="s">
        <v>1532</v>
      </c>
      <c r="B66" s="5606"/>
      <c r="C66" s="5606"/>
      <c r="D66" s="3316"/>
      <c r="E66" s="3316"/>
      <c r="F66" s="3316"/>
      <c r="G66" s="3316"/>
      <c r="H66" s="3316"/>
      <c r="I66" s="3316"/>
      <c r="J66" s="3316"/>
      <c r="K66" s="3316"/>
      <c r="L66" s="660"/>
      <c r="M66" s="660"/>
      <c r="N66" s="660"/>
      <c r="O66" s="660"/>
    </row>
    <row r="67" spans="1:15" ht="10.5" customHeight="1" x14ac:dyDescent="0.2">
      <c r="A67" s="660"/>
      <c r="B67" s="660"/>
      <c r="C67" s="660"/>
      <c r="D67" s="660"/>
      <c r="E67" s="660"/>
      <c r="F67" s="660"/>
      <c r="G67" s="660"/>
      <c r="H67" s="660"/>
      <c r="I67" s="660"/>
      <c r="J67" s="660"/>
      <c r="K67" s="660"/>
      <c r="L67" s="660"/>
      <c r="M67" s="660"/>
      <c r="N67" s="660"/>
      <c r="O67" s="660"/>
    </row>
    <row r="68" spans="1:15" x14ac:dyDescent="0.2">
      <c r="A68" s="3606" t="s">
        <v>982</v>
      </c>
      <c r="B68" s="3605"/>
      <c r="C68" s="3603"/>
      <c r="D68" s="3603"/>
      <c r="E68" s="3604"/>
      <c r="F68" s="3603"/>
      <c r="G68" s="3603"/>
      <c r="H68" s="3603"/>
      <c r="I68" s="3603"/>
      <c r="J68" s="3603"/>
      <c r="K68" s="3602"/>
      <c r="L68" s="660"/>
      <c r="M68" s="660"/>
      <c r="N68" s="660"/>
      <c r="O68" s="660"/>
    </row>
    <row r="69" spans="1:15" x14ac:dyDescent="0.2">
      <c r="A69" s="5600" t="s">
        <v>1531</v>
      </c>
      <c r="B69" s="5601"/>
      <c r="C69" s="5602"/>
      <c r="D69" s="5602"/>
      <c r="E69" s="5602"/>
      <c r="F69" s="5602"/>
      <c r="G69" s="5602"/>
      <c r="H69" s="5602"/>
      <c r="I69" s="5602"/>
      <c r="J69" s="5602"/>
      <c r="K69" s="5603"/>
      <c r="L69" s="660"/>
      <c r="M69" s="660"/>
      <c r="N69" s="660"/>
      <c r="O69" s="660"/>
    </row>
    <row r="70" spans="1:15" x14ac:dyDescent="0.2">
      <c r="A70" s="3494" t="s">
        <v>980</v>
      </c>
      <c r="B70" s="5696" t="s">
        <v>5219</v>
      </c>
      <c r="C70" s="5697"/>
      <c r="D70" s="5697"/>
      <c r="E70" s="5697"/>
      <c r="F70" s="5697"/>
      <c r="G70" s="5697"/>
      <c r="H70" s="5697"/>
      <c r="I70" s="5697"/>
      <c r="J70" s="5697"/>
      <c r="K70" s="5697"/>
      <c r="L70" s="660"/>
      <c r="M70" s="660"/>
      <c r="N70" s="660"/>
      <c r="O70" s="660"/>
    </row>
    <row r="71" spans="1:15" ht="12" customHeight="1" x14ac:dyDescent="0.2">
      <c r="A71" s="3494" t="s">
        <v>980</v>
      </c>
      <c r="B71" s="5696" t="s">
        <v>986</v>
      </c>
      <c r="C71" s="5759"/>
      <c r="D71" s="5759"/>
      <c r="E71" s="5759"/>
      <c r="F71" s="5759"/>
      <c r="G71" s="5759"/>
      <c r="H71" s="5759"/>
      <c r="I71" s="5759"/>
      <c r="J71" s="5759"/>
      <c r="K71" s="5759"/>
      <c r="L71" s="660"/>
      <c r="M71" s="660"/>
      <c r="N71" s="660"/>
      <c r="O71" s="660"/>
    </row>
    <row r="72" spans="1:15" ht="12" customHeight="1" x14ac:dyDescent="0.2">
      <c r="A72" s="3494" t="s">
        <v>980</v>
      </c>
      <c r="B72" s="5696" t="s">
        <v>5218</v>
      </c>
      <c r="C72" s="5759"/>
      <c r="D72" s="5759"/>
      <c r="E72" s="5759"/>
      <c r="F72" s="5759"/>
      <c r="G72" s="5759"/>
      <c r="H72" s="5759"/>
      <c r="I72" s="5759"/>
      <c r="J72" s="5759"/>
      <c r="K72" s="5759"/>
      <c r="L72" s="660"/>
      <c r="M72" s="660"/>
      <c r="N72" s="660"/>
      <c r="O72" s="660"/>
    </row>
    <row r="73" spans="1:15" ht="13.5" customHeight="1" x14ac:dyDescent="0.2">
      <c r="A73" s="3494" t="s">
        <v>980</v>
      </c>
      <c r="B73" s="5696" t="s">
        <v>986</v>
      </c>
      <c r="C73" s="5697"/>
      <c r="D73" s="5697"/>
      <c r="E73" s="5697"/>
      <c r="F73" s="5697"/>
      <c r="G73" s="5697"/>
      <c r="H73" s="5697"/>
      <c r="I73" s="5697"/>
      <c r="J73" s="5697"/>
      <c r="K73" s="5697"/>
      <c r="L73" s="660"/>
      <c r="M73" s="660"/>
      <c r="N73" s="660"/>
      <c r="O73" s="660"/>
    </row>
    <row r="74" spans="1:15" x14ac:dyDescent="0.2">
      <c r="A74" s="3494" t="s">
        <v>980</v>
      </c>
      <c r="B74" s="5696" t="s">
        <v>986</v>
      </c>
      <c r="C74" s="5697"/>
      <c r="D74" s="5697"/>
      <c r="E74" s="5697"/>
      <c r="F74" s="5697"/>
      <c r="G74" s="5697"/>
      <c r="H74" s="5697"/>
      <c r="I74" s="5697"/>
      <c r="J74" s="5697"/>
      <c r="K74" s="5697"/>
    </row>
    <row r="75" spans="1:15" x14ac:dyDescent="0.2">
      <c r="A75" s="3494" t="s">
        <v>980</v>
      </c>
      <c r="B75" s="5696" t="s">
        <v>986</v>
      </c>
      <c r="C75" s="5697"/>
      <c r="D75" s="5697"/>
      <c r="E75" s="5697"/>
      <c r="F75" s="5697"/>
      <c r="G75" s="5697"/>
      <c r="H75" s="5697"/>
      <c r="I75" s="5697"/>
      <c r="J75" s="5697"/>
      <c r="K75" s="5697"/>
    </row>
    <row r="76" spans="1:15" x14ac:dyDescent="0.2">
      <c r="A76" s="3494" t="s">
        <v>980</v>
      </c>
      <c r="B76" s="5696" t="s">
        <v>986</v>
      </c>
      <c r="C76" s="5697"/>
      <c r="D76" s="5697"/>
      <c r="E76" s="5697"/>
      <c r="F76" s="5697"/>
      <c r="G76" s="5697"/>
      <c r="H76" s="5697"/>
      <c r="I76" s="5697"/>
      <c r="J76" s="5697"/>
      <c r="K76" s="5697"/>
    </row>
    <row r="77" spans="1:15" x14ac:dyDescent="0.2">
      <c r="A77" s="3494" t="s">
        <v>980</v>
      </c>
      <c r="B77" s="5696" t="s">
        <v>986</v>
      </c>
      <c r="C77" s="5697"/>
      <c r="D77" s="5697"/>
      <c r="E77" s="5697"/>
      <c r="F77" s="5697"/>
      <c r="G77" s="5697"/>
      <c r="H77" s="5697"/>
      <c r="I77" s="5697"/>
      <c r="J77" s="5697"/>
      <c r="K77" s="5697"/>
    </row>
    <row r="78" spans="1:15" x14ac:dyDescent="0.2">
      <c r="A78" s="3494" t="s">
        <v>980</v>
      </c>
      <c r="B78" s="5696" t="s">
        <v>986</v>
      </c>
      <c r="C78" s="5697"/>
      <c r="D78" s="5697"/>
      <c r="E78" s="5697"/>
      <c r="F78" s="5697"/>
      <c r="G78" s="5697"/>
      <c r="H78" s="5697"/>
      <c r="I78" s="5697"/>
      <c r="J78" s="5697"/>
      <c r="K78" s="5697"/>
    </row>
    <row r="79" spans="1:15" x14ac:dyDescent="0.2">
      <c r="A79" s="3494" t="s">
        <v>980</v>
      </c>
      <c r="B79" s="5696" t="s">
        <v>986</v>
      </c>
      <c r="C79" s="5697"/>
      <c r="D79" s="5697"/>
      <c r="E79" s="5697"/>
      <c r="F79" s="5697"/>
      <c r="G79" s="5697"/>
      <c r="H79" s="5697"/>
      <c r="I79" s="5697"/>
      <c r="J79" s="5697"/>
      <c r="K79" s="5697"/>
    </row>
    <row r="80" spans="1:15" x14ac:dyDescent="0.2">
      <c r="A80" s="3494" t="s">
        <v>980</v>
      </c>
      <c r="B80" s="5696" t="s">
        <v>986</v>
      </c>
      <c r="C80" s="5697"/>
      <c r="D80" s="5697"/>
      <c r="E80" s="5697"/>
      <c r="F80" s="5697"/>
      <c r="G80" s="5697"/>
      <c r="H80" s="5697"/>
      <c r="I80" s="5697"/>
      <c r="J80" s="5697"/>
      <c r="K80" s="5697"/>
    </row>
  </sheetData>
  <sheetProtection password="A754" sheet="1" objects="1" scenarios="1"/>
  <mergeCells count="27">
    <mergeCell ref="A61:K61"/>
    <mergeCell ref="A62:K62"/>
    <mergeCell ref="A63:G63"/>
    <mergeCell ref="A64:K64"/>
    <mergeCell ref="B79:K79"/>
    <mergeCell ref="B80:K80"/>
    <mergeCell ref="B74:K74"/>
    <mergeCell ref="B75:K75"/>
    <mergeCell ref="B76:K76"/>
    <mergeCell ref="B77:K77"/>
    <mergeCell ref="B78:K78"/>
    <mergeCell ref="B5:B6"/>
    <mergeCell ref="B71:K71"/>
    <mergeCell ref="B72:K72"/>
    <mergeCell ref="B73:K73"/>
    <mergeCell ref="A69:K69"/>
    <mergeCell ref="A5:A6"/>
    <mergeCell ref="C5:E5"/>
    <mergeCell ref="F5:H5"/>
    <mergeCell ref="I5:K5"/>
    <mergeCell ref="F7:H7"/>
    <mergeCell ref="I7:K7"/>
    <mergeCell ref="A65:G65"/>
    <mergeCell ref="A66:C66"/>
    <mergeCell ref="B70:K70"/>
    <mergeCell ref="A59:H59"/>
    <mergeCell ref="A60:F60"/>
  </mergeCells>
  <printOptions horizontalCentered="1" verticalCentered="1"/>
  <pageMargins left="0.39370078740157483" right="0.39370078740157483" top="0.39370078740157483" bottom="0.39370078740157483" header="0.19685039370078741" footer="0.19685039370078741"/>
  <pageSetup paperSize="9" scale="52" orientation="landscape"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278C6-21FE-4775-94BB-EE20F02B799E}">
  <sheetPr codeName="Ark80">
    <tabColor theme="0" tint="-0.34998626667073579"/>
  </sheetPr>
  <dimension ref="A1:P87"/>
  <sheetViews>
    <sheetView showGridLines="0" topLeftCell="A33" workbookViewId="0">
      <selection activeCell="A40" sqref="A40:J70"/>
    </sheetView>
  </sheetViews>
  <sheetFormatPr defaultColWidth="11.42578125" defaultRowHeight="12" x14ac:dyDescent="0.2"/>
  <cols>
    <col min="1" max="1" width="21.85546875" style="659" customWidth="1"/>
    <col min="2" max="10" width="11.42578125" style="659" customWidth="1"/>
    <col min="11" max="16384" width="11.42578125" style="659"/>
  </cols>
  <sheetData>
    <row r="1" spans="1:16" ht="15.75" x14ac:dyDescent="0.25">
      <c r="A1" s="671" t="s">
        <v>1646</v>
      </c>
      <c r="B1" s="660"/>
      <c r="C1" s="660"/>
      <c r="D1" s="660"/>
      <c r="E1" s="660"/>
      <c r="F1" s="660"/>
      <c r="G1" s="660"/>
      <c r="H1" s="660"/>
      <c r="I1" s="660"/>
      <c r="J1" s="660" t="s">
        <v>1762</v>
      </c>
      <c r="K1" s="660"/>
      <c r="L1" s="660"/>
      <c r="M1" s="660"/>
      <c r="N1" s="660"/>
      <c r="O1" s="660"/>
      <c r="P1" s="660"/>
    </row>
    <row r="2" spans="1:16" ht="18.75" x14ac:dyDescent="0.25">
      <c r="A2" s="671" t="s">
        <v>1645</v>
      </c>
      <c r="B2" s="660"/>
      <c r="C2" s="660"/>
      <c r="D2" s="660"/>
      <c r="E2" s="660"/>
      <c r="F2" s="660"/>
      <c r="G2" s="660"/>
      <c r="H2" s="660"/>
      <c r="I2" s="660"/>
      <c r="J2" s="660" t="s">
        <v>1761</v>
      </c>
      <c r="K2" s="660"/>
      <c r="L2" s="660"/>
      <c r="M2" s="660"/>
      <c r="N2" s="660"/>
      <c r="O2" s="660"/>
      <c r="P2" s="660"/>
    </row>
    <row r="3" spans="1:16" ht="15.75" x14ac:dyDescent="0.25">
      <c r="A3" s="671" t="s">
        <v>1027</v>
      </c>
      <c r="B3" s="660"/>
      <c r="C3" s="660"/>
      <c r="D3" s="660"/>
      <c r="E3" s="660"/>
      <c r="F3" s="660"/>
      <c r="G3" s="660"/>
      <c r="H3" s="660"/>
      <c r="I3" s="660"/>
      <c r="J3" s="660" t="s">
        <v>1789</v>
      </c>
      <c r="K3" s="660"/>
      <c r="L3" s="660"/>
      <c r="M3" s="660"/>
      <c r="N3" s="660"/>
      <c r="O3" s="660"/>
      <c r="P3" s="660"/>
    </row>
    <row r="4" spans="1:16" x14ac:dyDescent="0.2">
      <c r="A4" s="763"/>
      <c r="B4" s="660"/>
      <c r="C4" s="660"/>
      <c r="D4" s="660"/>
      <c r="E4" s="660"/>
      <c r="F4" s="660"/>
      <c r="G4" s="660"/>
      <c r="H4" s="660"/>
      <c r="I4" s="660"/>
      <c r="J4" s="660"/>
      <c r="K4" s="660"/>
      <c r="L4" s="660"/>
      <c r="M4" s="660"/>
      <c r="N4" s="660"/>
      <c r="O4" s="660"/>
      <c r="P4" s="660"/>
    </row>
    <row r="5" spans="1:16" ht="14.25" x14ac:dyDescent="0.2">
      <c r="A5" s="763" t="s">
        <v>1644</v>
      </c>
      <c r="B5" s="660"/>
      <c r="C5" s="660"/>
      <c r="D5" s="660"/>
      <c r="E5" s="660"/>
      <c r="F5" s="660"/>
      <c r="G5" s="660"/>
      <c r="H5" s="660"/>
      <c r="I5" s="660"/>
      <c r="J5" s="660"/>
      <c r="K5" s="660"/>
      <c r="L5" s="660"/>
      <c r="M5" s="660"/>
      <c r="N5" s="660"/>
      <c r="O5" s="660"/>
      <c r="P5" s="660"/>
    </row>
    <row r="6" spans="1:16" x14ac:dyDescent="0.2">
      <c r="A6" s="5765" t="s">
        <v>1762</v>
      </c>
      <c r="B6" s="5763" t="s">
        <v>1643</v>
      </c>
      <c r="C6" s="5763"/>
      <c r="D6" s="5763"/>
      <c r="E6" s="5763" t="s">
        <v>1569</v>
      </c>
      <c r="F6" s="5763"/>
      <c r="G6" s="5763"/>
      <c r="H6" s="5763" t="s">
        <v>1642</v>
      </c>
      <c r="I6" s="5763"/>
      <c r="J6" s="5763"/>
      <c r="K6" s="660"/>
      <c r="L6" s="660"/>
      <c r="M6" s="660"/>
      <c r="N6" s="660"/>
      <c r="O6" s="660"/>
      <c r="P6" s="660"/>
    </row>
    <row r="7" spans="1:16" ht="22.9" customHeight="1" x14ac:dyDescent="0.2">
      <c r="A7" s="5765"/>
      <c r="B7" s="3611" t="s">
        <v>1047</v>
      </c>
      <c r="C7" s="3611" t="s">
        <v>1641</v>
      </c>
      <c r="D7" s="3611" t="s">
        <v>1640</v>
      </c>
      <c r="E7" s="3611" t="s">
        <v>1047</v>
      </c>
      <c r="F7" s="3611" t="s">
        <v>1641</v>
      </c>
      <c r="G7" s="3611" t="s">
        <v>1640</v>
      </c>
      <c r="H7" s="3611" t="s">
        <v>1047</v>
      </c>
      <c r="I7" s="3611" t="s">
        <v>1641</v>
      </c>
      <c r="J7" s="3611" t="s">
        <v>1640</v>
      </c>
      <c r="K7" s="660"/>
      <c r="L7" s="660"/>
      <c r="M7" s="660"/>
      <c r="N7" s="660"/>
      <c r="O7" s="660"/>
      <c r="P7" s="660"/>
    </row>
    <row r="8" spans="1:16" ht="15" thickBot="1" x14ac:dyDescent="0.25">
      <c r="A8" s="5609"/>
      <c r="B8" s="768" t="s">
        <v>1639</v>
      </c>
      <c r="C8" s="768" t="s">
        <v>1639</v>
      </c>
      <c r="D8" s="768" t="s">
        <v>1639</v>
      </c>
      <c r="E8" s="768" t="s">
        <v>1639</v>
      </c>
      <c r="F8" s="768" t="s">
        <v>1639</v>
      </c>
      <c r="G8" s="768" t="s">
        <v>1639</v>
      </c>
      <c r="H8" s="768" t="s">
        <v>1638</v>
      </c>
      <c r="I8" s="768" t="s">
        <v>1638</v>
      </c>
      <c r="J8" s="768" t="s">
        <v>1638</v>
      </c>
      <c r="K8" s="660"/>
      <c r="L8" s="660"/>
      <c r="M8" s="660"/>
      <c r="N8" s="660"/>
      <c r="O8" s="660"/>
      <c r="P8" s="660"/>
    </row>
    <row r="9" spans="1:16" ht="14.25" thickTop="1" x14ac:dyDescent="0.2">
      <c r="A9" s="767" t="s">
        <v>1637</v>
      </c>
      <c r="B9" s="3614"/>
      <c r="C9" s="3614"/>
      <c r="D9" s="3614"/>
      <c r="E9" s="3614"/>
      <c r="F9" s="3614"/>
      <c r="G9" s="3614"/>
      <c r="H9" s="3614"/>
      <c r="I9" s="3614"/>
      <c r="J9" s="3614"/>
      <c r="K9" s="660"/>
      <c r="L9" s="660"/>
      <c r="M9" s="660"/>
      <c r="N9" s="660"/>
      <c r="O9" s="660"/>
      <c r="P9" s="660"/>
    </row>
    <row r="10" spans="1:16" x14ac:dyDescent="0.2">
      <c r="A10" s="3613" t="s">
        <v>1636</v>
      </c>
      <c r="B10" s="3500" t="s">
        <v>986</v>
      </c>
      <c r="C10" s="3500" t="s">
        <v>986</v>
      </c>
      <c r="D10" s="3500" t="s">
        <v>986</v>
      </c>
      <c r="E10" s="3500" t="s">
        <v>986</v>
      </c>
      <c r="F10" s="3500" t="s">
        <v>986</v>
      </c>
      <c r="G10" s="3500" t="s">
        <v>986</v>
      </c>
      <c r="H10" s="3500" t="s">
        <v>986</v>
      </c>
      <c r="I10" s="3500" t="s">
        <v>986</v>
      </c>
      <c r="J10" s="3500" t="s">
        <v>986</v>
      </c>
    </row>
    <row r="11" spans="1:16" x14ac:dyDescent="0.2">
      <c r="A11" s="3613" t="s">
        <v>1635</v>
      </c>
      <c r="B11" s="3500" t="s">
        <v>986</v>
      </c>
      <c r="C11" s="3500" t="s">
        <v>986</v>
      </c>
      <c r="D11" s="3500" t="s">
        <v>986</v>
      </c>
      <c r="E11" s="3500" t="s">
        <v>986</v>
      </c>
      <c r="F11" s="3500" t="s">
        <v>986</v>
      </c>
      <c r="G11" s="3500" t="s">
        <v>986</v>
      </c>
      <c r="H11" s="3500" t="s">
        <v>986</v>
      </c>
      <c r="I11" s="3500" t="s">
        <v>986</v>
      </c>
      <c r="J11" s="3500" t="s">
        <v>986</v>
      </c>
    </row>
    <row r="12" spans="1:16" x14ac:dyDescent="0.2">
      <c r="A12" s="3613" t="s">
        <v>1634</v>
      </c>
      <c r="B12" s="3500" t="s">
        <v>986</v>
      </c>
      <c r="C12" s="3500" t="s">
        <v>986</v>
      </c>
      <c r="D12" s="3500" t="s">
        <v>986</v>
      </c>
      <c r="E12" s="3500" t="s">
        <v>986</v>
      </c>
      <c r="F12" s="3500" t="s">
        <v>986</v>
      </c>
      <c r="G12" s="3500" t="s">
        <v>986</v>
      </c>
      <c r="H12" s="3500" t="s">
        <v>986</v>
      </c>
      <c r="I12" s="3500" t="s">
        <v>986</v>
      </c>
      <c r="J12" s="3500" t="s">
        <v>986</v>
      </c>
    </row>
    <row r="13" spans="1:16" x14ac:dyDescent="0.2">
      <c r="A13" s="3613" t="s">
        <v>1633</v>
      </c>
      <c r="B13" s="3500" t="s">
        <v>986</v>
      </c>
      <c r="C13" s="3500" t="s">
        <v>986</v>
      </c>
      <c r="D13" s="3500" t="s">
        <v>986</v>
      </c>
      <c r="E13" s="3500" t="s">
        <v>986</v>
      </c>
      <c r="F13" s="3500" t="s">
        <v>986</v>
      </c>
      <c r="G13" s="3500" t="s">
        <v>986</v>
      </c>
      <c r="H13" s="3500" t="s">
        <v>986</v>
      </c>
      <c r="I13" s="3500" t="s">
        <v>986</v>
      </c>
      <c r="J13" s="3500" t="s">
        <v>986</v>
      </c>
    </row>
    <row r="14" spans="1:16" x14ac:dyDescent="0.2">
      <c r="A14" s="3613" t="s">
        <v>1632</v>
      </c>
      <c r="B14" s="3500" t="s">
        <v>986</v>
      </c>
      <c r="C14" s="3500" t="s">
        <v>986</v>
      </c>
      <c r="D14" s="3500" t="s">
        <v>986</v>
      </c>
      <c r="E14" s="3500" t="s">
        <v>986</v>
      </c>
      <c r="F14" s="3500" t="s">
        <v>986</v>
      </c>
      <c r="G14" s="3500" t="s">
        <v>986</v>
      </c>
      <c r="H14" s="3500" t="s">
        <v>986</v>
      </c>
      <c r="I14" s="3500" t="s">
        <v>986</v>
      </c>
      <c r="J14" s="3500" t="s">
        <v>986</v>
      </c>
    </row>
    <row r="15" spans="1:16" x14ac:dyDescent="0.2">
      <c r="A15" s="3613" t="s">
        <v>1631</v>
      </c>
      <c r="B15" s="3500" t="s">
        <v>986</v>
      </c>
      <c r="C15" s="3500" t="s">
        <v>986</v>
      </c>
      <c r="D15" s="3500" t="s">
        <v>986</v>
      </c>
      <c r="E15" s="3500" t="s">
        <v>986</v>
      </c>
      <c r="F15" s="3500" t="s">
        <v>986</v>
      </c>
      <c r="G15" s="3500" t="s">
        <v>986</v>
      </c>
      <c r="H15" s="3500" t="s">
        <v>986</v>
      </c>
      <c r="I15" s="3500" t="s">
        <v>986</v>
      </c>
      <c r="J15" s="3500" t="s">
        <v>986</v>
      </c>
    </row>
    <row r="16" spans="1:16" x14ac:dyDescent="0.2">
      <c r="A16" s="3613" t="s">
        <v>1630</v>
      </c>
      <c r="B16" s="3500" t="s">
        <v>986</v>
      </c>
      <c r="C16" s="3500" t="s">
        <v>986</v>
      </c>
      <c r="D16" s="3500" t="s">
        <v>986</v>
      </c>
      <c r="E16" s="3500" t="s">
        <v>986</v>
      </c>
      <c r="F16" s="3500" t="s">
        <v>986</v>
      </c>
      <c r="G16" s="3500" t="s">
        <v>986</v>
      </c>
      <c r="H16" s="3500" t="s">
        <v>986</v>
      </c>
      <c r="I16" s="3500" t="s">
        <v>986</v>
      </c>
      <c r="J16" s="3500" t="s">
        <v>986</v>
      </c>
    </row>
    <row r="17" spans="1:10" x14ac:dyDescent="0.2">
      <c r="A17" s="3613" t="s">
        <v>1629</v>
      </c>
      <c r="B17" s="3500" t="s">
        <v>986</v>
      </c>
      <c r="C17" s="3500" t="s">
        <v>986</v>
      </c>
      <c r="D17" s="3500" t="s">
        <v>986</v>
      </c>
      <c r="E17" s="3500" t="s">
        <v>986</v>
      </c>
      <c r="F17" s="3500" t="s">
        <v>986</v>
      </c>
      <c r="G17" s="3500" t="s">
        <v>986</v>
      </c>
      <c r="H17" s="3500" t="s">
        <v>986</v>
      </c>
      <c r="I17" s="3500" t="s">
        <v>986</v>
      </c>
      <c r="J17" s="3500" t="s">
        <v>986</v>
      </c>
    </row>
    <row r="18" spans="1:10" x14ac:dyDescent="0.2">
      <c r="A18" s="3613" t="s">
        <v>1628</v>
      </c>
      <c r="B18" s="3500" t="s">
        <v>986</v>
      </c>
      <c r="C18" s="3500" t="s">
        <v>986</v>
      </c>
      <c r="D18" s="3500" t="s">
        <v>986</v>
      </c>
      <c r="E18" s="3500" t="s">
        <v>986</v>
      </c>
      <c r="F18" s="3500" t="s">
        <v>986</v>
      </c>
      <c r="G18" s="3500" t="s">
        <v>986</v>
      </c>
      <c r="H18" s="3500" t="s">
        <v>986</v>
      </c>
      <c r="I18" s="3500" t="s">
        <v>986</v>
      </c>
      <c r="J18" s="3500" t="s">
        <v>986</v>
      </c>
    </row>
    <row r="19" spans="1:10" x14ac:dyDescent="0.2">
      <c r="A19" s="3613" t="s">
        <v>1627</v>
      </c>
      <c r="B19" s="3500" t="s">
        <v>986</v>
      </c>
      <c r="C19" s="3500" t="s">
        <v>986</v>
      </c>
      <c r="D19" s="3500" t="s">
        <v>986</v>
      </c>
      <c r="E19" s="3500" t="s">
        <v>986</v>
      </c>
      <c r="F19" s="3500" t="s">
        <v>986</v>
      </c>
      <c r="G19" s="3500" t="s">
        <v>986</v>
      </c>
      <c r="H19" s="3500" t="s">
        <v>986</v>
      </c>
      <c r="I19" s="3500" t="s">
        <v>986</v>
      </c>
      <c r="J19" s="3500" t="s">
        <v>986</v>
      </c>
    </row>
    <row r="20" spans="1:10" x14ac:dyDescent="0.2">
      <c r="A20" s="3613" t="s">
        <v>1626</v>
      </c>
      <c r="B20" s="3500" t="s">
        <v>986</v>
      </c>
      <c r="C20" s="3500" t="s">
        <v>986</v>
      </c>
      <c r="D20" s="3500" t="s">
        <v>986</v>
      </c>
      <c r="E20" s="3500" t="s">
        <v>986</v>
      </c>
      <c r="F20" s="3500" t="s">
        <v>986</v>
      </c>
      <c r="G20" s="3500" t="s">
        <v>986</v>
      </c>
      <c r="H20" s="3500" t="s">
        <v>986</v>
      </c>
      <c r="I20" s="3500" t="s">
        <v>986</v>
      </c>
      <c r="J20" s="3500" t="s">
        <v>986</v>
      </c>
    </row>
    <row r="21" spans="1:10" x14ac:dyDescent="0.2">
      <c r="A21" s="3613" t="s">
        <v>1625</v>
      </c>
      <c r="B21" s="3500" t="s">
        <v>986</v>
      </c>
      <c r="C21" s="3500" t="s">
        <v>986</v>
      </c>
      <c r="D21" s="3500" t="s">
        <v>986</v>
      </c>
      <c r="E21" s="3500" t="s">
        <v>986</v>
      </c>
      <c r="F21" s="3500" t="s">
        <v>986</v>
      </c>
      <c r="G21" s="3500" t="s">
        <v>986</v>
      </c>
      <c r="H21" s="3500" t="s">
        <v>986</v>
      </c>
      <c r="I21" s="3500" t="s">
        <v>986</v>
      </c>
      <c r="J21" s="3500" t="s">
        <v>986</v>
      </c>
    </row>
    <row r="22" spans="1:10" x14ac:dyDescent="0.2">
      <c r="A22" s="3613" t="s">
        <v>1624</v>
      </c>
      <c r="B22" s="3500" t="s">
        <v>986</v>
      </c>
      <c r="C22" s="3500" t="s">
        <v>986</v>
      </c>
      <c r="D22" s="3500" t="s">
        <v>986</v>
      </c>
      <c r="E22" s="3500" t="s">
        <v>986</v>
      </c>
      <c r="F22" s="3500" t="s">
        <v>986</v>
      </c>
      <c r="G22" s="3500" t="s">
        <v>986</v>
      </c>
      <c r="H22" s="3500" t="s">
        <v>986</v>
      </c>
      <c r="I22" s="3500" t="s">
        <v>986</v>
      </c>
      <c r="J22" s="3500" t="s">
        <v>986</v>
      </c>
    </row>
    <row r="23" spans="1:10" x14ac:dyDescent="0.2">
      <c r="A23" s="3613" t="s">
        <v>1623</v>
      </c>
      <c r="B23" s="3500" t="s">
        <v>986</v>
      </c>
      <c r="C23" s="3500" t="s">
        <v>986</v>
      </c>
      <c r="D23" s="3500" t="s">
        <v>986</v>
      </c>
      <c r="E23" s="3500" t="s">
        <v>986</v>
      </c>
      <c r="F23" s="3500" t="s">
        <v>986</v>
      </c>
      <c r="G23" s="3500" t="s">
        <v>986</v>
      </c>
      <c r="H23" s="3500" t="s">
        <v>986</v>
      </c>
      <c r="I23" s="3500" t="s">
        <v>986</v>
      </c>
      <c r="J23" s="3500" t="s">
        <v>986</v>
      </c>
    </row>
    <row r="24" spans="1:10" x14ac:dyDescent="0.2">
      <c r="A24" s="3613" t="s">
        <v>1622</v>
      </c>
      <c r="B24" s="3500" t="s">
        <v>986</v>
      </c>
      <c r="C24" s="3500" t="s">
        <v>986</v>
      </c>
      <c r="D24" s="3500" t="s">
        <v>986</v>
      </c>
      <c r="E24" s="3500" t="s">
        <v>986</v>
      </c>
      <c r="F24" s="3500" t="s">
        <v>986</v>
      </c>
      <c r="G24" s="3500" t="s">
        <v>986</v>
      </c>
      <c r="H24" s="3500" t="s">
        <v>986</v>
      </c>
      <c r="I24" s="3500" t="s">
        <v>986</v>
      </c>
      <c r="J24" s="3500" t="s">
        <v>986</v>
      </c>
    </row>
    <row r="25" spans="1:10" x14ac:dyDescent="0.2">
      <c r="A25" s="3613" t="s">
        <v>1621</v>
      </c>
      <c r="B25" s="3500" t="s">
        <v>986</v>
      </c>
      <c r="C25" s="3500" t="s">
        <v>986</v>
      </c>
      <c r="D25" s="3500" t="s">
        <v>986</v>
      </c>
      <c r="E25" s="3500" t="s">
        <v>986</v>
      </c>
      <c r="F25" s="3500" t="s">
        <v>986</v>
      </c>
      <c r="G25" s="3500" t="s">
        <v>986</v>
      </c>
      <c r="H25" s="3500" t="s">
        <v>986</v>
      </c>
      <c r="I25" s="3500" t="s">
        <v>986</v>
      </c>
      <c r="J25" s="3500" t="s">
        <v>986</v>
      </c>
    </row>
    <row r="26" spans="1:10" x14ac:dyDescent="0.2">
      <c r="A26" s="3613" t="s">
        <v>1620</v>
      </c>
      <c r="B26" s="3500" t="s">
        <v>986</v>
      </c>
      <c r="C26" s="3500" t="s">
        <v>986</v>
      </c>
      <c r="D26" s="3500" t="s">
        <v>986</v>
      </c>
      <c r="E26" s="3500" t="s">
        <v>986</v>
      </c>
      <c r="F26" s="3500" t="s">
        <v>986</v>
      </c>
      <c r="G26" s="3500" t="s">
        <v>986</v>
      </c>
      <c r="H26" s="3500" t="s">
        <v>986</v>
      </c>
      <c r="I26" s="3500" t="s">
        <v>986</v>
      </c>
      <c r="J26" s="3500" t="s">
        <v>986</v>
      </c>
    </row>
    <row r="27" spans="1:10" x14ac:dyDescent="0.2">
      <c r="A27" s="3613" t="s">
        <v>1619</v>
      </c>
      <c r="B27" s="3500" t="s">
        <v>986</v>
      </c>
      <c r="C27" s="3500" t="s">
        <v>986</v>
      </c>
      <c r="D27" s="3500" t="s">
        <v>986</v>
      </c>
      <c r="E27" s="3500" t="s">
        <v>986</v>
      </c>
      <c r="F27" s="3500" t="s">
        <v>986</v>
      </c>
      <c r="G27" s="3500" t="s">
        <v>986</v>
      </c>
      <c r="H27" s="3500" t="s">
        <v>986</v>
      </c>
      <c r="I27" s="3500" t="s">
        <v>986</v>
      </c>
      <c r="J27" s="3500" t="s">
        <v>986</v>
      </c>
    </row>
    <row r="28" spans="1:10" x14ac:dyDescent="0.2">
      <c r="A28" s="3613" t="s">
        <v>1618</v>
      </c>
      <c r="B28" s="3500" t="s">
        <v>986</v>
      </c>
      <c r="C28" s="3500" t="s">
        <v>986</v>
      </c>
      <c r="D28" s="3500" t="s">
        <v>986</v>
      </c>
      <c r="E28" s="3500" t="s">
        <v>986</v>
      </c>
      <c r="F28" s="3500" t="s">
        <v>986</v>
      </c>
      <c r="G28" s="3500" t="s">
        <v>986</v>
      </c>
      <c r="H28" s="3500" t="s">
        <v>986</v>
      </c>
      <c r="I28" s="3500" t="s">
        <v>986</v>
      </c>
      <c r="J28" s="3500" t="s">
        <v>986</v>
      </c>
    </row>
    <row r="29" spans="1:10" x14ac:dyDescent="0.2">
      <c r="A29" s="3613" t="s">
        <v>1617</v>
      </c>
      <c r="B29" s="3500" t="s">
        <v>986</v>
      </c>
      <c r="C29" s="3500" t="s">
        <v>986</v>
      </c>
      <c r="D29" s="3500" t="s">
        <v>986</v>
      </c>
      <c r="E29" s="3500" t="s">
        <v>986</v>
      </c>
      <c r="F29" s="3500" t="s">
        <v>986</v>
      </c>
      <c r="G29" s="3500" t="s">
        <v>986</v>
      </c>
      <c r="H29" s="3500" t="s">
        <v>986</v>
      </c>
      <c r="I29" s="3500" t="s">
        <v>986</v>
      </c>
      <c r="J29" s="3500" t="s">
        <v>986</v>
      </c>
    </row>
    <row r="30" spans="1:10" x14ac:dyDescent="0.2">
      <c r="A30" s="3613" t="s">
        <v>1616</v>
      </c>
      <c r="B30" s="3500" t="s">
        <v>986</v>
      </c>
      <c r="C30" s="3500" t="s">
        <v>986</v>
      </c>
      <c r="D30" s="3500" t="s">
        <v>986</v>
      </c>
      <c r="E30" s="3500" t="s">
        <v>986</v>
      </c>
      <c r="F30" s="3500" t="s">
        <v>986</v>
      </c>
      <c r="G30" s="3500" t="s">
        <v>986</v>
      </c>
      <c r="H30" s="3500" t="s">
        <v>986</v>
      </c>
      <c r="I30" s="3500" t="s">
        <v>986</v>
      </c>
      <c r="J30" s="3500" t="s">
        <v>986</v>
      </c>
    </row>
    <row r="31" spans="1:10" x14ac:dyDescent="0.2">
      <c r="A31" s="3613" t="s">
        <v>1615</v>
      </c>
      <c r="B31" s="3500" t="s">
        <v>986</v>
      </c>
      <c r="C31" s="3500" t="s">
        <v>986</v>
      </c>
      <c r="D31" s="3500" t="s">
        <v>986</v>
      </c>
      <c r="E31" s="3500" t="s">
        <v>986</v>
      </c>
      <c r="F31" s="3500" t="s">
        <v>986</v>
      </c>
      <c r="G31" s="3500" t="s">
        <v>986</v>
      </c>
      <c r="H31" s="3500" t="s">
        <v>986</v>
      </c>
      <c r="I31" s="3500" t="s">
        <v>986</v>
      </c>
      <c r="J31" s="3500" t="s">
        <v>986</v>
      </c>
    </row>
    <row r="32" spans="1:10" x14ac:dyDescent="0.2">
      <c r="A32" s="3613" t="s">
        <v>1614</v>
      </c>
      <c r="B32" s="3500" t="s">
        <v>986</v>
      </c>
      <c r="C32" s="3500" t="s">
        <v>986</v>
      </c>
      <c r="D32" s="3500" t="s">
        <v>986</v>
      </c>
      <c r="E32" s="3500" t="s">
        <v>986</v>
      </c>
      <c r="F32" s="3500" t="s">
        <v>986</v>
      </c>
      <c r="G32" s="3500" t="s">
        <v>986</v>
      </c>
      <c r="H32" s="3500" t="s">
        <v>986</v>
      </c>
      <c r="I32" s="3500" t="s">
        <v>986</v>
      </c>
      <c r="J32" s="3500" t="s">
        <v>986</v>
      </c>
    </row>
    <row r="33" spans="1:10" x14ac:dyDescent="0.2">
      <c r="A33" s="3613" t="s">
        <v>1613</v>
      </c>
      <c r="B33" s="3500" t="s">
        <v>986</v>
      </c>
      <c r="C33" s="3500" t="s">
        <v>986</v>
      </c>
      <c r="D33" s="3500" t="s">
        <v>986</v>
      </c>
      <c r="E33" s="3500" t="s">
        <v>986</v>
      </c>
      <c r="F33" s="3500" t="s">
        <v>986</v>
      </c>
      <c r="G33" s="3500" t="s">
        <v>986</v>
      </c>
      <c r="H33" s="3500" t="s">
        <v>986</v>
      </c>
      <c r="I33" s="3500" t="s">
        <v>986</v>
      </c>
      <c r="J33" s="3500" t="s">
        <v>986</v>
      </c>
    </row>
    <row r="34" spans="1:10" x14ac:dyDescent="0.2">
      <c r="A34" s="3613" t="s">
        <v>1612</v>
      </c>
      <c r="B34" s="3500" t="s">
        <v>986</v>
      </c>
      <c r="C34" s="3500" t="s">
        <v>986</v>
      </c>
      <c r="D34" s="3500" t="s">
        <v>986</v>
      </c>
      <c r="E34" s="3500" t="s">
        <v>986</v>
      </c>
      <c r="F34" s="3500" t="s">
        <v>986</v>
      </c>
      <c r="G34" s="3500" t="s">
        <v>986</v>
      </c>
      <c r="H34" s="3500" t="s">
        <v>986</v>
      </c>
      <c r="I34" s="3500" t="s">
        <v>986</v>
      </c>
      <c r="J34" s="3500" t="s">
        <v>986</v>
      </c>
    </row>
    <row r="35" spans="1:10" x14ac:dyDescent="0.2">
      <c r="A35" s="3613" t="s">
        <v>1611</v>
      </c>
      <c r="B35" s="3500" t="s">
        <v>986</v>
      </c>
      <c r="C35" s="3500" t="s">
        <v>986</v>
      </c>
      <c r="D35" s="3500" t="s">
        <v>986</v>
      </c>
      <c r="E35" s="3500" t="s">
        <v>986</v>
      </c>
      <c r="F35" s="3500" t="s">
        <v>986</v>
      </c>
      <c r="G35" s="3500" t="s">
        <v>986</v>
      </c>
      <c r="H35" s="3500" t="s">
        <v>986</v>
      </c>
      <c r="I35" s="3500" t="s">
        <v>986</v>
      </c>
      <c r="J35" s="3500" t="s">
        <v>986</v>
      </c>
    </row>
    <row r="36" spans="1:10" x14ac:dyDescent="0.2">
      <c r="A36" s="3613" t="s">
        <v>1610</v>
      </c>
      <c r="B36" s="3500" t="s">
        <v>986</v>
      </c>
      <c r="C36" s="3500" t="s">
        <v>986</v>
      </c>
      <c r="D36" s="3500" t="s">
        <v>986</v>
      </c>
      <c r="E36" s="3500" t="s">
        <v>986</v>
      </c>
      <c r="F36" s="3500" t="s">
        <v>986</v>
      </c>
      <c r="G36" s="3500" t="s">
        <v>986</v>
      </c>
      <c r="H36" s="3500" t="s">
        <v>986</v>
      </c>
      <c r="I36" s="3500" t="s">
        <v>986</v>
      </c>
      <c r="J36" s="3500" t="s">
        <v>986</v>
      </c>
    </row>
    <row r="37" spans="1:10" x14ac:dyDescent="0.2">
      <c r="A37" s="3613" t="s">
        <v>1609</v>
      </c>
      <c r="B37" s="3500" t="s">
        <v>986</v>
      </c>
      <c r="C37" s="3500" t="s">
        <v>986</v>
      </c>
      <c r="D37" s="3500" t="s">
        <v>986</v>
      </c>
      <c r="E37" s="3500" t="s">
        <v>986</v>
      </c>
      <c r="F37" s="3500" t="s">
        <v>986</v>
      </c>
      <c r="G37" s="3500" t="s">
        <v>986</v>
      </c>
      <c r="H37" s="3500" t="s">
        <v>986</v>
      </c>
      <c r="I37" s="3500" t="s">
        <v>986</v>
      </c>
      <c r="J37" s="3500" t="s">
        <v>986</v>
      </c>
    </row>
    <row r="38" spans="1:10" x14ac:dyDescent="0.2">
      <c r="A38" s="3613" t="s">
        <v>1608</v>
      </c>
      <c r="B38" s="3500" t="s">
        <v>986</v>
      </c>
      <c r="C38" s="3500" t="s">
        <v>986</v>
      </c>
      <c r="D38" s="3500" t="s">
        <v>986</v>
      </c>
      <c r="E38" s="3500" t="s">
        <v>986</v>
      </c>
      <c r="F38" s="3500" t="s">
        <v>986</v>
      </c>
      <c r="G38" s="3500" t="s">
        <v>986</v>
      </c>
      <c r="H38" s="3500" t="s">
        <v>986</v>
      </c>
      <c r="I38" s="3500" t="s">
        <v>986</v>
      </c>
      <c r="J38" s="3500" t="s">
        <v>986</v>
      </c>
    </row>
    <row r="39" spans="1:10" x14ac:dyDescent="0.2">
      <c r="A39" s="3613" t="s">
        <v>1607</v>
      </c>
      <c r="B39" s="3500" t="s">
        <v>986</v>
      </c>
      <c r="C39" s="3500" t="s">
        <v>986</v>
      </c>
      <c r="D39" s="3500" t="s">
        <v>986</v>
      </c>
      <c r="E39" s="3500" t="s">
        <v>986</v>
      </c>
      <c r="F39" s="3500" t="s">
        <v>986</v>
      </c>
      <c r="G39" s="3500" t="s">
        <v>986</v>
      </c>
      <c r="H39" s="3500" t="s">
        <v>986</v>
      </c>
      <c r="I39" s="3500" t="s">
        <v>986</v>
      </c>
      <c r="J39" s="3500" t="s">
        <v>986</v>
      </c>
    </row>
    <row r="40" spans="1:10" x14ac:dyDescent="0.2">
      <c r="A40" s="3613" t="s">
        <v>1606</v>
      </c>
      <c r="B40" s="3500">
        <v>339361.22093000001</v>
      </c>
      <c r="C40" s="3500">
        <v>1496000</v>
      </c>
      <c r="D40" s="3500">
        <v>33857.630601999997</v>
      </c>
      <c r="E40" s="3500">
        <v>306200</v>
      </c>
      <c r="F40" s="3500">
        <v>589200</v>
      </c>
      <c r="G40" s="3500">
        <v>105500</v>
      </c>
      <c r="H40" s="3500">
        <v>335000</v>
      </c>
      <c r="I40" s="3500">
        <v>1165700</v>
      </c>
      <c r="J40" s="3500">
        <v>218100</v>
      </c>
    </row>
    <row r="41" spans="1:10" x14ac:dyDescent="0.2">
      <c r="A41" s="3613" t="s">
        <v>1605</v>
      </c>
      <c r="B41" s="3500">
        <v>264951.14730999997</v>
      </c>
      <c r="C41" s="3500">
        <v>1483000</v>
      </c>
      <c r="D41" s="3500">
        <v>16743.903237999999</v>
      </c>
      <c r="E41" s="3500">
        <v>264200</v>
      </c>
      <c r="F41" s="3500">
        <v>556000</v>
      </c>
      <c r="G41" s="3500">
        <v>102200</v>
      </c>
      <c r="H41" s="3500">
        <v>356000</v>
      </c>
      <c r="I41" s="3500">
        <v>1203700</v>
      </c>
      <c r="J41" s="3500">
        <v>223300</v>
      </c>
    </row>
    <row r="42" spans="1:10" x14ac:dyDescent="0.2">
      <c r="A42" s="3613" t="s">
        <v>1604</v>
      </c>
      <c r="B42" s="3500">
        <v>293062.29751</v>
      </c>
      <c r="C42" s="3500">
        <v>1735833</v>
      </c>
      <c r="D42" s="3500">
        <v>81816.536814000006</v>
      </c>
      <c r="E42" s="3500">
        <v>287000</v>
      </c>
      <c r="F42" s="3500">
        <v>536718</v>
      </c>
      <c r="G42" s="3500">
        <v>110747</v>
      </c>
      <c r="H42" s="3500">
        <v>317000</v>
      </c>
      <c r="I42" s="3500">
        <v>1034124</v>
      </c>
      <c r="J42" s="3500">
        <v>189060</v>
      </c>
    </row>
    <row r="43" spans="1:10" x14ac:dyDescent="0.2">
      <c r="A43" s="3613" t="s">
        <v>1603</v>
      </c>
      <c r="B43" s="3500">
        <v>362455.97227999999</v>
      </c>
      <c r="C43" s="3500">
        <v>1722000</v>
      </c>
      <c r="D43" s="3500">
        <v>75586.562791999997</v>
      </c>
      <c r="E43" s="3500">
        <v>414000</v>
      </c>
      <c r="F43" s="3500">
        <v>476600</v>
      </c>
      <c r="G43" s="3500">
        <v>107959</v>
      </c>
      <c r="H43" s="3500">
        <v>339000</v>
      </c>
      <c r="I43" s="3500">
        <v>880000</v>
      </c>
      <c r="J43" s="3500">
        <v>129765</v>
      </c>
    </row>
    <row r="44" spans="1:10" x14ac:dyDescent="0.2">
      <c r="A44" s="3613" t="s">
        <v>1602</v>
      </c>
      <c r="B44" s="3500">
        <v>384594.23787999997</v>
      </c>
      <c r="C44" s="3500">
        <v>2326000</v>
      </c>
      <c r="D44" s="3500">
        <v>67431.594259999998</v>
      </c>
      <c r="E44" s="3500">
        <v>432000</v>
      </c>
      <c r="F44" s="3500">
        <v>576000</v>
      </c>
      <c r="G44" s="3500">
        <v>126000</v>
      </c>
      <c r="H44" s="3500">
        <v>345000</v>
      </c>
      <c r="I44" s="3500">
        <v>1091000</v>
      </c>
      <c r="J44" s="3500">
        <v>242300</v>
      </c>
    </row>
    <row r="45" spans="1:10" x14ac:dyDescent="0.2">
      <c r="A45" s="3613" t="s">
        <v>1601</v>
      </c>
      <c r="B45" s="3500">
        <v>398208.91083000001</v>
      </c>
      <c r="C45" s="3500">
        <v>1921000</v>
      </c>
      <c r="D45" s="3500">
        <v>67950.787117999993</v>
      </c>
      <c r="E45" s="3500">
        <v>432000</v>
      </c>
      <c r="F45" s="3500">
        <v>570000</v>
      </c>
      <c r="G45" s="3500">
        <v>118000</v>
      </c>
      <c r="H45" s="3500">
        <v>345000</v>
      </c>
      <c r="I45" s="3500">
        <v>1044000</v>
      </c>
      <c r="J45" s="3500">
        <v>241500</v>
      </c>
    </row>
    <row r="46" spans="1:10" x14ac:dyDescent="0.2">
      <c r="A46" s="3613" t="s">
        <v>1600</v>
      </c>
      <c r="B46" s="3500">
        <v>456925.52717999998</v>
      </c>
      <c r="C46" s="3500">
        <v>1630000</v>
      </c>
      <c r="D46" s="3500">
        <v>69897.61937</v>
      </c>
      <c r="E46" s="3500">
        <v>432000</v>
      </c>
      <c r="F46" s="3500">
        <v>525100</v>
      </c>
      <c r="G46" s="3500">
        <v>124000</v>
      </c>
      <c r="H46" s="3500">
        <v>345000</v>
      </c>
      <c r="I46" s="3500">
        <v>1047000</v>
      </c>
      <c r="J46" s="3500">
        <v>241000</v>
      </c>
    </row>
    <row r="47" spans="1:10" x14ac:dyDescent="0.2">
      <c r="A47" s="3613" t="s">
        <v>1599</v>
      </c>
      <c r="B47" s="3500">
        <v>500541.25858000002</v>
      </c>
      <c r="C47" s="3500">
        <v>2354000</v>
      </c>
      <c r="D47" s="3500">
        <v>147676.93231</v>
      </c>
      <c r="E47" s="3500">
        <v>417000</v>
      </c>
      <c r="F47" s="3500">
        <v>724700</v>
      </c>
      <c r="G47" s="3500">
        <v>238800</v>
      </c>
      <c r="H47" s="3500">
        <v>391000</v>
      </c>
      <c r="I47" s="3500">
        <v>1147300</v>
      </c>
      <c r="J47" s="3500">
        <v>251500</v>
      </c>
    </row>
    <row r="48" spans="1:10" x14ac:dyDescent="0.2">
      <c r="A48" s="3613" t="s">
        <v>1598</v>
      </c>
      <c r="B48" s="3500">
        <v>443284.67806000001</v>
      </c>
      <c r="C48" s="3500">
        <v>4383000</v>
      </c>
      <c r="D48" s="3500">
        <v>125233.00418</v>
      </c>
      <c r="E48" s="3500">
        <v>405000</v>
      </c>
      <c r="F48" s="3500">
        <v>990000</v>
      </c>
      <c r="G48" s="3500">
        <v>199500</v>
      </c>
      <c r="H48" s="3500">
        <v>393000</v>
      </c>
      <c r="I48" s="3500">
        <v>1154000</v>
      </c>
      <c r="J48" s="3500">
        <v>236000</v>
      </c>
    </row>
    <row r="49" spans="1:10" x14ac:dyDescent="0.2">
      <c r="A49" s="3613" t="s">
        <v>1597</v>
      </c>
      <c r="B49" s="3500">
        <v>441924.20535</v>
      </c>
      <c r="C49" s="3500">
        <v>4744000</v>
      </c>
      <c r="D49" s="3500">
        <v>120037.53537</v>
      </c>
      <c r="E49" s="3500">
        <v>352000</v>
      </c>
      <c r="F49" s="3500">
        <v>1036000</v>
      </c>
      <c r="G49" s="3500">
        <v>207000</v>
      </c>
      <c r="H49" s="3500">
        <v>397000</v>
      </c>
      <c r="I49" s="3500">
        <v>1185000</v>
      </c>
      <c r="J49" s="3500">
        <v>254000</v>
      </c>
    </row>
    <row r="50" spans="1:10" x14ac:dyDescent="0.2">
      <c r="A50" s="3613" t="s">
        <v>1596</v>
      </c>
      <c r="B50" s="3500">
        <v>411572.85252999997</v>
      </c>
      <c r="C50" s="3500">
        <v>2925000</v>
      </c>
      <c r="D50" s="3500">
        <v>105434.24169</v>
      </c>
      <c r="E50" s="3500">
        <v>448000</v>
      </c>
      <c r="F50" s="3500">
        <v>1032000</v>
      </c>
      <c r="G50" s="3500">
        <v>144000</v>
      </c>
      <c r="H50" s="3500">
        <v>263000</v>
      </c>
      <c r="I50" s="3500">
        <v>1151000</v>
      </c>
      <c r="J50" s="3500">
        <v>239270</v>
      </c>
    </row>
    <row r="51" spans="1:10" x14ac:dyDescent="0.2">
      <c r="A51" s="3613" t="s">
        <v>1595</v>
      </c>
      <c r="B51" s="3500">
        <v>328396.21136999998</v>
      </c>
      <c r="C51" s="3500">
        <v>2659000</v>
      </c>
      <c r="D51" s="3500">
        <v>80012.220799999996</v>
      </c>
      <c r="E51" s="3500">
        <v>378000</v>
      </c>
      <c r="F51" s="3500">
        <v>1088000</v>
      </c>
      <c r="G51" s="3500">
        <v>94018</v>
      </c>
      <c r="H51" s="3500">
        <v>389000</v>
      </c>
      <c r="I51" s="3500">
        <v>1139150</v>
      </c>
      <c r="J51" s="3500">
        <v>200170</v>
      </c>
    </row>
    <row r="52" spans="1:10" x14ac:dyDescent="0.2">
      <c r="A52" s="3613" t="s">
        <v>1594</v>
      </c>
      <c r="B52" s="3500">
        <v>270229.17060000001</v>
      </c>
      <c r="C52" s="3500">
        <v>2679269</v>
      </c>
      <c r="D52" s="3500">
        <v>62093.014913999999</v>
      </c>
      <c r="E52" s="3500">
        <v>350000</v>
      </c>
      <c r="F52" s="3500">
        <v>1184198</v>
      </c>
      <c r="G52" s="3500">
        <v>108652</v>
      </c>
      <c r="H52" s="3500">
        <v>383728</v>
      </c>
      <c r="I52" s="3500">
        <v>1138274</v>
      </c>
      <c r="J52" s="3500">
        <v>239011</v>
      </c>
    </row>
    <row r="53" spans="1:10" x14ac:dyDescent="0.2">
      <c r="A53" s="3613" t="s">
        <v>1593</v>
      </c>
      <c r="B53" s="3500">
        <v>309128.22749000002</v>
      </c>
      <c r="C53" s="3500">
        <v>2301681</v>
      </c>
      <c r="D53" s="3500">
        <v>66907.330585000003</v>
      </c>
      <c r="E53" s="3500">
        <v>401000</v>
      </c>
      <c r="F53" s="3500">
        <v>1298779</v>
      </c>
      <c r="G53" s="3500">
        <v>151792</v>
      </c>
      <c r="H53" s="3500">
        <v>388331</v>
      </c>
      <c r="I53" s="3500">
        <v>1165920</v>
      </c>
      <c r="J53" s="3500">
        <v>230331</v>
      </c>
    </row>
    <row r="54" spans="1:10" x14ac:dyDescent="0.2">
      <c r="A54" s="3613" t="s">
        <v>1592</v>
      </c>
      <c r="B54" s="3500">
        <v>275317.00290999998</v>
      </c>
      <c r="C54" s="3500">
        <v>2350616</v>
      </c>
      <c r="D54" s="3500">
        <v>55286.340595000001</v>
      </c>
      <c r="E54" s="3500">
        <v>360000</v>
      </c>
      <c r="F54" s="3500">
        <v>1467745</v>
      </c>
      <c r="G54" s="3500">
        <v>172841</v>
      </c>
      <c r="H54" s="3500">
        <v>402043</v>
      </c>
      <c r="I54" s="3500">
        <v>1219631</v>
      </c>
      <c r="J54" s="3500">
        <v>275522</v>
      </c>
    </row>
    <row r="55" spans="1:10" x14ac:dyDescent="0.2">
      <c r="A55" s="3613" t="s">
        <v>1591</v>
      </c>
      <c r="B55" s="3500">
        <v>312454.51329999999</v>
      </c>
      <c r="C55" s="3500">
        <v>2200547</v>
      </c>
      <c r="D55" s="3500">
        <v>58496.597637999999</v>
      </c>
      <c r="E55" s="3500">
        <v>345000</v>
      </c>
      <c r="F55" s="3500">
        <v>1490074</v>
      </c>
      <c r="G55" s="3500">
        <v>115850</v>
      </c>
      <c r="H55" s="3500">
        <v>422624</v>
      </c>
      <c r="I55" s="3500">
        <v>1207876</v>
      </c>
      <c r="J55" s="3500">
        <v>307525</v>
      </c>
    </row>
    <row r="56" spans="1:10" x14ac:dyDescent="0.2">
      <c r="A56" s="3613" t="s">
        <v>1590</v>
      </c>
      <c r="B56" s="3500">
        <v>314735.21117000002</v>
      </c>
      <c r="C56" s="3500">
        <v>2650861</v>
      </c>
      <c r="D56" s="3500">
        <v>54256.905804000002</v>
      </c>
      <c r="E56" s="3500">
        <v>350500</v>
      </c>
      <c r="F56" s="3500">
        <v>1612722</v>
      </c>
      <c r="G56" s="3500">
        <v>169412</v>
      </c>
      <c r="H56" s="3500">
        <v>441917</v>
      </c>
      <c r="I56" s="3500">
        <v>1205837</v>
      </c>
      <c r="J56" s="3500">
        <v>266551</v>
      </c>
    </row>
    <row r="57" spans="1:10" x14ac:dyDescent="0.2">
      <c r="A57" s="3613" t="s">
        <v>1589</v>
      </c>
      <c r="B57" s="3500">
        <v>317015.90904</v>
      </c>
      <c r="C57" s="3500">
        <v>2298201</v>
      </c>
      <c r="D57" s="3500">
        <v>49827.584876000001</v>
      </c>
      <c r="E57" s="3500">
        <v>356000</v>
      </c>
      <c r="F57" s="3500">
        <v>1916925</v>
      </c>
      <c r="G57" s="3500">
        <v>160117</v>
      </c>
      <c r="H57" s="3500">
        <v>416936</v>
      </c>
      <c r="I57" s="3500">
        <v>1302009</v>
      </c>
      <c r="J57" s="3500">
        <v>264939</v>
      </c>
    </row>
    <row r="58" spans="1:10" x14ac:dyDescent="0.2">
      <c r="A58" s="3613" t="s">
        <v>1588</v>
      </c>
      <c r="B58" s="3500">
        <v>324759.82900999999</v>
      </c>
      <c r="C58" s="3500">
        <v>1775438</v>
      </c>
      <c r="D58" s="3500">
        <v>45991.036334999997</v>
      </c>
      <c r="E58" s="3500">
        <v>446000</v>
      </c>
      <c r="F58" s="3500">
        <v>1876119</v>
      </c>
      <c r="G58" s="3500">
        <v>224095</v>
      </c>
      <c r="H58" s="3500">
        <v>417936</v>
      </c>
      <c r="I58" s="3500">
        <v>1208739</v>
      </c>
      <c r="J58" s="3500">
        <v>253737</v>
      </c>
    </row>
    <row r="59" spans="1:10" x14ac:dyDescent="0.2">
      <c r="A59" s="3613" t="s">
        <v>1587</v>
      </c>
      <c r="B59" s="3500">
        <v>332503.74897999997</v>
      </c>
      <c r="C59" s="3500">
        <v>1246520</v>
      </c>
      <c r="D59" s="3500">
        <v>41839.527127000001</v>
      </c>
      <c r="E59" s="3500">
        <v>446000</v>
      </c>
      <c r="F59" s="3500">
        <v>1009395</v>
      </c>
      <c r="G59" s="3500">
        <v>169400</v>
      </c>
      <c r="H59" s="3500">
        <v>518936</v>
      </c>
      <c r="I59" s="3500">
        <v>980856</v>
      </c>
      <c r="J59" s="3500">
        <v>238827</v>
      </c>
    </row>
    <row r="60" spans="1:10" x14ac:dyDescent="0.2">
      <c r="A60" s="3613" t="s">
        <v>1586</v>
      </c>
      <c r="B60" s="3500">
        <v>340247.66895000002</v>
      </c>
      <c r="C60" s="3500">
        <v>1310706</v>
      </c>
      <c r="D60" s="3500">
        <v>37373.057250999998</v>
      </c>
      <c r="E60" s="3500">
        <v>435414</v>
      </c>
      <c r="F60" s="3500">
        <v>882935</v>
      </c>
      <c r="G60" s="3500">
        <v>158193</v>
      </c>
      <c r="H60" s="3500">
        <v>534932</v>
      </c>
      <c r="I60" s="3500">
        <v>1026095</v>
      </c>
      <c r="J60" s="3500">
        <v>233427</v>
      </c>
    </row>
    <row r="61" spans="1:10" x14ac:dyDescent="0.2">
      <c r="A61" s="3613" t="s">
        <v>1585</v>
      </c>
      <c r="B61" s="3500">
        <v>357748.5</v>
      </c>
      <c r="C61" s="3500">
        <v>1356124</v>
      </c>
      <c r="D61" s="3500">
        <v>33653.188562000003</v>
      </c>
      <c r="E61" s="3500">
        <v>367000</v>
      </c>
      <c r="F61" s="3500">
        <v>1027444</v>
      </c>
      <c r="G61" s="3500">
        <v>25690</v>
      </c>
      <c r="H61" s="3500">
        <v>522699</v>
      </c>
      <c r="I61" s="3500">
        <v>993767</v>
      </c>
      <c r="J61" s="3500">
        <v>254882</v>
      </c>
    </row>
    <row r="62" spans="1:10" x14ac:dyDescent="0.2">
      <c r="A62" s="3613" t="s">
        <v>1584</v>
      </c>
      <c r="B62" s="3500">
        <v>353762</v>
      </c>
      <c r="C62" s="3500">
        <v>1370738</v>
      </c>
      <c r="D62" s="3500">
        <v>43304.341958999998</v>
      </c>
      <c r="E62" s="3500">
        <v>340000</v>
      </c>
      <c r="F62" s="3500">
        <v>745524</v>
      </c>
      <c r="G62" s="3500">
        <v>37400</v>
      </c>
      <c r="H62" s="3500">
        <v>522110</v>
      </c>
      <c r="I62" s="3500">
        <v>727965</v>
      </c>
      <c r="J62" s="3500">
        <v>155479</v>
      </c>
    </row>
    <row r="63" spans="1:10" x14ac:dyDescent="0.2">
      <c r="A63" s="3613" t="s">
        <v>1583</v>
      </c>
      <c r="B63" s="3500">
        <v>357602</v>
      </c>
      <c r="C63" s="3500">
        <v>1886000</v>
      </c>
      <c r="D63" s="3500">
        <v>55307.922826000002</v>
      </c>
      <c r="E63" s="3500">
        <v>346000</v>
      </c>
      <c r="F63" s="3500">
        <v>749612</v>
      </c>
      <c r="G63" s="3500">
        <v>41520</v>
      </c>
      <c r="H63" s="3500">
        <v>522110</v>
      </c>
      <c r="I63" s="3500">
        <v>761665</v>
      </c>
      <c r="J63" s="3500">
        <v>127898</v>
      </c>
    </row>
    <row r="64" spans="1:10" x14ac:dyDescent="0.2">
      <c r="A64" s="3613" t="s">
        <v>1582</v>
      </c>
      <c r="B64" s="3500">
        <v>415219.66126000002</v>
      </c>
      <c r="C64" s="3500">
        <v>1878000</v>
      </c>
      <c r="D64" s="3500">
        <v>69046.117394000001</v>
      </c>
      <c r="E64" s="3500">
        <v>367000</v>
      </c>
      <c r="F64" s="3500">
        <v>749612</v>
      </c>
      <c r="G64" s="3500">
        <v>51380</v>
      </c>
      <c r="H64" s="3500">
        <v>522110</v>
      </c>
      <c r="I64" s="3500">
        <v>761665</v>
      </c>
      <c r="J64" s="3500">
        <v>127898</v>
      </c>
    </row>
    <row r="65" spans="1:16" x14ac:dyDescent="0.2">
      <c r="A65" s="3613" t="s">
        <v>1581</v>
      </c>
      <c r="B65" s="3500">
        <v>427699.74852000002</v>
      </c>
      <c r="C65" s="3500">
        <v>2199000</v>
      </c>
      <c r="D65" s="3500">
        <v>87222.290177999996</v>
      </c>
      <c r="E65" s="3500">
        <v>387000</v>
      </c>
      <c r="F65" s="3500">
        <v>749612</v>
      </c>
      <c r="G65" s="3500">
        <v>51380</v>
      </c>
      <c r="H65" s="3500">
        <v>481520</v>
      </c>
      <c r="I65" s="3500">
        <v>761665</v>
      </c>
      <c r="J65" s="3500">
        <v>127898</v>
      </c>
    </row>
    <row r="66" spans="1:16" x14ac:dyDescent="0.2">
      <c r="A66" s="3613" t="s">
        <v>1580</v>
      </c>
      <c r="B66" s="3500">
        <v>448401.01948999998</v>
      </c>
      <c r="C66" s="3500">
        <v>1634000</v>
      </c>
      <c r="D66" s="3500">
        <v>58647.385440999999</v>
      </c>
      <c r="E66" s="3500">
        <v>387000</v>
      </c>
      <c r="F66" s="3500">
        <v>749612</v>
      </c>
      <c r="G66" s="3500">
        <v>51380</v>
      </c>
      <c r="H66" s="3500">
        <v>481520</v>
      </c>
      <c r="I66" s="3500">
        <v>761665</v>
      </c>
      <c r="J66" s="3500">
        <v>127898</v>
      </c>
    </row>
    <row r="67" spans="1:16" x14ac:dyDescent="0.2">
      <c r="A67" s="3613" t="s">
        <v>1579</v>
      </c>
      <c r="B67" s="3500">
        <v>382000</v>
      </c>
      <c r="C67" s="3500">
        <v>1634000</v>
      </c>
      <c r="D67" s="3500">
        <v>56440</v>
      </c>
      <c r="E67" s="3500">
        <v>428300</v>
      </c>
      <c r="F67" s="3500">
        <v>877554</v>
      </c>
      <c r="G67" s="3500">
        <v>55679</v>
      </c>
      <c r="H67" s="3500">
        <v>147000</v>
      </c>
      <c r="I67" s="3500">
        <v>873067</v>
      </c>
      <c r="J67" s="3500">
        <v>115996</v>
      </c>
    </row>
    <row r="68" spans="1:16" x14ac:dyDescent="0.2">
      <c r="A68" s="3613" t="s">
        <v>1578</v>
      </c>
      <c r="B68" s="3500">
        <v>270315</v>
      </c>
      <c r="C68" s="3500" t="s">
        <v>259</v>
      </c>
      <c r="D68" s="3500">
        <v>36792</v>
      </c>
      <c r="E68" s="3500">
        <v>428300</v>
      </c>
      <c r="F68" s="3500">
        <v>877554</v>
      </c>
      <c r="G68" s="3500">
        <v>55679</v>
      </c>
      <c r="H68" s="3500">
        <v>147000</v>
      </c>
      <c r="I68" s="3500" t="s">
        <v>799</v>
      </c>
      <c r="J68" s="3500">
        <v>115996</v>
      </c>
    </row>
    <row r="69" spans="1:16" x14ac:dyDescent="0.2">
      <c r="A69" s="3613" t="s">
        <v>1764</v>
      </c>
      <c r="B69" s="3500">
        <v>394267</v>
      </c>
      <c r="C69" s="3500" t="s">
        <v>259</v>
      </c>
      <c r="D69" s="3500">
        <v>45181</v>
      </c>
      <c r="E69" s="3500">
        <v>349000</v>
      </c>
      <c r="F69" s="3500" t="s">
        <v>799</v>
      </c>
      <c r="G69" s="3500">
        <v>45370</v>
      </c>
      <c r="H69" s="3500">
        <v>152000</v>
      </c>
      <c r="I69" s="3500" t="s">
        <v>799</v>
      </c>
      <c r="J69" s="3500">
        <v>176000</v>
      </c>
    </row>
    <row r="70" spans="1:16" x14ac:dyDescent="0.2">
      <c r="A70" s="3613" t="s">
        <v>1763</v>
      </c>
      <c r="B70" s="3500">
        <v>469061</v>
      </c>
      <c r="C70" s="3500" t="s">
        <v>259</v>
      </c>
      <c r="D70" s="3500">
        <v>62912</v>
      </c>
      <c r="E70" s="3500">
        <v>348540</v>
      </c>
      <c r="F70" s="3500" t="s">
        <v>799</v>
      </c>
      <c r="G70" s="3500">
        <v>59251.8</v>
      </c>
      <c r="H70" s="3500">
        <v>152000</v>
      </c>
      <c r="I70" s="3500" t="s">
        <v>799</v>
      </c>
      <c r="J70" s="3500">
        <v>176476</v>
      </c>
    </row>
    <row r="71" spans="1:16" x14ac:dyDescent="0.2">
      <c r="A71" s="766" t="s">
        <v>1577</v>
      </c>
      <c r="B71" s="660"/>
      <c r="C71" s="660"/>
      <c r="D71" s="660"/>
      <c r="E71" s="660"/>
      <c r="F71" s="660"/>
      <c r="G71" s="660"/>
      <c r="H71" s="660"/>
      <c r="I71" s="660"/>
      <c r="J71" s="660"/>
      <c r="K71" s="660"/>
      <c r="L71" s="660"/>
      <c r="M71" s="660"/>
      <c r="N71" s="660"/>
      <c r="O71" s="660"/>
      <c r="P71" s="660"/>
    </row>
    <row r="72" spans="1:16" ht="13.5" x14ac:dyDescent="0.2">
      <c r="A72" s="5610" t="s">
        <v>1576</v>
      </c>
      <c r="B72" s="5610"/>
      <c r="C72" s="5610"/>
      <c r="D72" s="5610"/>
      <c r="E72" s="5610"/>
      <c r="F72" s="5610"/>
      <c r="G72" s="5610"/>
      <c r="H72" s="5610"/>
      <c r="I72" s="5610"/>
      <c r="J72" s="5610"/>
      <c r="K72" s="660"/>
      <c r="L72" s="660"/>
      <c r="M72" s="660"/>
      <c r="N72" s="660"/>
      <c r="O72" s="660"/>
      <c r="P72" s="660"/>
    </row>
    <row r="73" spans="1:16" ht="13.5" x14ac:dyDescent="0.2">
      <c r="A73" s="5610" t="s">
        <v>1575</v>
      </c>
      <c r="B73" s="5610"/>
      <c r="C73" s="5610"/>
      <c r="D73" s="5610"/>
      <c r="E73" s="5610"/>
      <c r="F73" s="5610"/>
      <c r="G73" s="5610"/>
      <c r="H73" s="5610"/>
      <c r="I73" s="5610"/>
      <c r="J73" s="5610"/>
      <c r="K73" s="660"/>
      <c r="L73" s="660"/>
      <c r="M73" s="660"/>
      <c r="N73" s="660"/>
      <c r="O73" s="660"/>
      <c r="P73" s="660"/>
    </row>
    <row r="74" spans="1:16" ht="13.5" x14ac:dyDescent="0.2">
      <c r="A74" s="5610" t="s">
        <v>1574</v>
      </c>
      <c r="B74" s="5610"/>
      <c r="C74" s="5610"/>
      <c r="D74" s="5610"/>
      <c r="E74" s="5610"/>
      <c r="F74" s="5610"/>
      <c r="G74" s="5610"/>
      <c r="H74" s="5610"/>
      <c r="I74" s="5610"/>
      <c r="J74" s="5610"/>
      <c r="K74" s="660"/>
      <c r="L74" s="660"/>
      <c r="M74" s="660"/>
      <c r="N74" s="660"/>
      <c r="O74" s="660"/>
      <c r="P74" s="660"/>
    </row>
    <row r="75" spans="1:16" x14ac:dyDescent="0.2">
      <c r="A75" s="5611" t="s">
        <v>1573</v>
      </c>
      <c r="B75" s="5611"/>
      <c r="C75" s="5611"/>
      <c r="D75" s="5611"/>
      <c r="E75" s="5611"/>
      <c r="F75" s="5611"/>
      <c r="G75" s="5611"/>
      <c r="H75" s="5611"/>
      <c r="I75" s="5611"/>
      <c r="J75" s="5611"/>
      <c r="K75" s="660"/>
      <c r="L75" s="660"/>
      <c r="M75" s="660"/>
      <c r="N75" s="660"/>
      <c r="O75" s="660"/>
      <c r="P75" s="660"/>
    </row>
    <row r="76" spans="1:16" x14ac:dyDescent="0.2">
      <c r="A76" s="3319"/>
      <c r="B76" s="3319"/>
      <c r="C76" s="3319"/>
      <c r="D76" s="3319"/>
      <c r="E76" s="3319"/>
      <c r="F76" s="3319"/>
      <c r="G76" s="3319"/>
      <c r="H76" s="3319"/>
      <c r="I76" s="3319"/>
      <c r="J76" s="3319"/>
      <c r="K76" s="660"/>
      <c r="L76" s="660"/>
      <c r="M76" s="660"/>
      <c r="N76" s="660"/>
      <c r="O76" s="660"/>
      <c r="P76" s="660"/>
    </row>
    <row r="77" spans="1:16" ht="12.75" x14ac:dyDescent="0.2">
      <c r="A77" s="765" t="s">
        <v>1256</v>
      </c>
      <c r="B77" s="3319"/>
      <c r="C77" s="3319"/>
      <c r="D77" s="3319"/>
      <c r="E77" s="3319"/>
      <c r="F77" s="3319"/>
      <c r="G77" s="3319"/>
      <c r="H77" s="3319"/>
      <c r="I77" s="3319"/>
      <c r="J77" s="3319"/>
      <c r="K77" s="660"/>
      <c r="L77" s="660"/>
      <c r="M77" s="660"/>
      <c r="N77" s="660"/>
      <c r="O77" s="660"/>
      <c r="P77" s="660"/>
    </row>
    <row r="78" spans="1:16" x14ac:dyDescent="0.2">
      <c r="A78" s="764" t="s">
        <v>1572</v>
      </c>
      <c r="B78" s="3319"/>
      <c r="C78" s="3319"/>
      <c r="D78" s="3319"/>
      <c r="E78" s="3319"/>
      <c r="F78" s="3319"/>
      <c r="G78" s="3319"/>
      <c r="H78" s="3319"/>
      <c r="I78" s="3319"/>
      <c r="J78" s="3319"/>
      <c r="K78" s="660"/>
      <c r="L78" s="660"/>
      <c r="M78" s="660"/>
      <c r="N78" s="660"/>
      <c r="O78" s="660"/>
      <c r="P78" s="660"/>
    </row>
    <row r="79" spans="1:16" ht="14.25" customHeight="1" x14ac:dyDescent="0.2">
      <c r="A79" s="3612" t="s">
        <v>1571</v>
      </c>
      <c r="B79" s="3500">
        <v>0.38600000000000001</v>
      </c>
      <c r="C79" s="3319"/>
      <c r="D79" s="3319"/>
      <c r="E79" s="3319"/>
      <c r="F79" s="3319"/>
      <c r="G79" s="3319"/>
      <c r="H79" s="3319"/>
      <c r="I79" s="3319"/>
      <c r="J79" s="3319"/>
      <c r="K79" s="660"/>
      <c r="L79" s="660"/>
      <c r="M79" s="660"/>
      <c r="N79" s="660"/>
      <c r="O79" s="660"/>
      <c r="P79" s="660"/>
    </row>
    <row r="80" spans="1:16" ht="15.75" customHeight="1" x14ac:dyDescent="0.2">
      <c r="A80" s="3548" t="s">
        <v>1570</v>
      </c>
      <c r="B80" s="3500">
        <v>0.26088466967000001</v>
      </c>
      <c r="C80" s="3319"/>
      <c r="D80" s="3319"/>
      <c r="E80" s="3319"/>
      <c r="F80" s="3319"/>
      <c r="G80" s="3319"/>
      <c r="H80" s="3319"/>
      <c r="I80" s="3319"/>
      <c r="J80" s="3319"/>
      <c r="K80" s="660"/>
      <c r="L80" s="660"/>
      <c r="M80" s="660"/>
      <c r="N80" s="660"/>
      <c r="O80" s="660"/>
      <c r="P80" s="660"/>
    </row>
    <row r="81" spans="1:16" x14ac:dyDescent="0.2">
      <c r="A81" s="3548" t="s">
        <v>1569</v>
      </c>
      <c r="B81" s="3500">
        <v>0.26900000000000002</v>
      </c>
    </row>
    <row r="82" spans="1:16" ht="11.25" customHeight="1" x14ac:dyDescent="0.2">
      <c r="A82" s="3612" t="s">
        <v>1568</v>
      </c>
      <c r="B82" s="3500" t="s">
        <v>986</v>
      </c>
      <c r="C82" s="3319"/>
      <c r="D82" s="3319"/>
      <c r="E82" s="3319"/>
      <c r="F82" s="3319"/>
      <c r="G82" s="3319"/>
      <c r="H82" s="3319"/>
      <c r="I82" s="3319"/>
      <c r="J82" s="3319"/>
      <c r="K82" s="660"/>
      <c r="L82" s="660"/>
      <c r="M82" s="660"/>
      <c r="N82" s="660"/>
      <c r="O82" s="660"/>
      <c r="P82" s="660"/>
    </row>
    <row r="83" spans="1:16" x14ac:dyDescent="0.2">
      <c r="A83" s="3612" t="s">
        <v>1567</v>
      </c>
      <c r="B83" s="3500" t="s">
        <v>986</v>
      </c>
      <c r="C83" s="3319"/>
      <c r="D83" s="3319"/>
      <c r="E83" s="3319"/>
      <c r="F83" s="3319"/>
      <c r="G83" s="3319"/>
      <c r="H83" s="3319"/>
      <c r="I83" s="3319"/>
      <c r="J83" s="3319"/>
      <c r="K83" s="660"/>
      <c r="L83" s="660"/>
      <c r="M83" s="660"/>
      <c r="N83" s="660"/>
      <c r="O83" s="660"/>
      <c r="P83" s="660"/>
    </row>
    <row r="84" spans="1:16" x14ac:dyDescent="0.2">
      <c r="A84" s="660"/>
      <c r="B84" s="3319"/>
      <c r="C84" s="3319"/>
      <c r="D84" s="3319"/>
      <c r="E84" s="3319"/>
      <c r="F84" s="3319"/>
      <c r="G84" s="3319"/>
      <c r="H84" s="3319"/>
      <c r="I84" s="3319"/>
      <c r="J84" s="3319"/>
      <c r="K84" s="660"/>
      <c r="L84" s="660"/>
      <c r="M84" s="660"/>
      <c r="N84" s="660"/>
      <c r="O84" s="660"/>
      <c r="P84" s="660"/>
    </row>
    <row r="85" spans="1:16" ht="13.5" x14ac:dyDescent="0.2">
      <c r="A85" s="5612" t="s">
        <v>1566</v>
      </c>
      <c r="B85" s="5612"/>
      <c r="C85" s="5612"/>
      <c r="D85" s="5612"/>
      <c r="E85" s="5612"/>
      <c r="F85" s="5612"/>
      <c r="G85" s="5612"/>
      <c r="H85" s="5612"/>
      <c r="I85" s="5612"/>
      <c r="J85" s="5612"/>
      <c r="K85" s="660"/>
      <c r="L85" s="660"/>
      <c r="M85" s="660"/>
      <c r="N85" s="660"/>
      <c r="O85" s="660"/>
      <c r="P85" s="660"/>
    </row>
    <row r="86" spans="1:16" x14ac:dyDescent="0.2">
      <c r="A86" s="5740" t="s">
        <v>982</v>
      </c>
      <c r="B86" s="5757"/>
      <c r="C86" s="5757"/>
      <c r="D86" s="5757"/>
      <c r="E86" s="5757"/>
      <c r="F86" s="5757"/>
      <c r="G86" s="5757"/>
      <c r="H86" s="5757"/>
      <c r="I86" s="5757"/>
      <c r="J86" s="5741"/>
      <c r="K86" s="660"/>
      <c r="L86" s="660"/>
      <c r="M86" s="660"/>
      <c r="N86" s="660"/>
      <c r="O86" s="660"/>
      <c r="P86" s="660"/>
    </row>
    <row r="87" spans="1:16" x14ac:dyDescent="0.2">
      <c r="A87" s="3554" t="s">
        <v>980</v>
      </c>
      <c r="B87" s="5696" t="s">
        <v>986</v>
      </c>
      <c r="C87" s="5723"/>
      <c r="D87" s="5723"/>
      <c r="E87" s="5723"/>
      <c r="F87" s="5723"/>
      <c r="G87" s="5723"/>
      <c r="H87" s="5723"/>
      <c r="I87" s="5723"/>
      <c r="J87" s="5723"/>
    </row>
  </sheetData>
  <sheetProtection password="A754" sheet="1" objects="1" scenarios="1"/>
  <mergeCells count="11">
    <mergeCell ref="A73:J73"/>
    <mergeCell ref="A74:J74"/>
    <mergeCell ref="A75:J75"/>
    <mergeCell ref="B87:J87"/>
    <mergeCell ref="A86:J86"/>
    <mergeCell ref="A85:J85"/>
    <mergeCell ref="A6:A8"/>
    <mergeCell ref="B6:D6"/>
    <mergeCell ref="E6:G6"/>
    <mergeCell ref="H6:J6"/>
    <mergeCell ref="A72:J72"/>
  </mergeCells>
  <pageMargins left="0.75" right="0.75" top="1" bottom="1" header="0.5" footer="0.5"/>
  <pageSetup paperSize="9" scale="48" orientation="landscape"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74D1C-9CE6-4511-A3C2-68EDF403F813}">
  <sheetPr codeName="Ark81">
    <tabColor theme="0" tint="-0.34998626667073579"/>
    <pageSetUpPr fitToPage="1"/>
  </sheetPr>
  <dimension ref="A1:L33"/>
  <sheetViews>
    <sheetView showGridLines="0" workbookViewId="0">
      <selection sqref="A1:C1"/>
    </sheetView>
  </sheetViews>
  <sheetFormatPr defaultColWidth="8" defaultRowHeight="12" customHeight="1" x14ac:dyDescent="0.2"/>
  <cols>
    <col min="1" max="1" width="37.85546875" style="769" customWidth="1"/>
    <col min="2" max="2" width="21.28515625" style="769" customWidth="1"/>
    <col min="3" max="3" width="16.7109375" style="769" customWidth="1"/>
    <col min="4" max="4" width="17.85546875" style="769" customWidth="1"/>
    <col min="5" max="9" width="16.7109375" style="769" customWidth="1"/>
    <col min="10" max="10" width="13.5703125" style="769" customWidth="1"/>
    <col min="11" max="11" width="3.28515625" style="769" customWidth="1"/>
    <col min="12" max="12" width="14.85546875" style="769" customWidth="1"/>
    <col min="13" max="13" width="1.28515625" style="769" customWidth="1"/>
    <col min="14" max="16384" width="8" style="769"/>
  </cols>
  <sheetData>
    <row r="1" spans="1:12" ht="15.75" customHeight="1" x14ac:dyDescent="0.2">
      <c r="A1" s="5640" t="s">
        <v>1679</v>
      </c>
      <c r="B1" s="5640"/>
      <c r="C1" s="5640"/>
      <c r="D1" s="771"/>
      <c r="E1" s="771"/>
      <c r="F1" s="771"/>
      <c r="G1" s="771"/>
      <c r="H1" s="771"/>
      <c r="I1" s="771"/>
      <c r="J1" s="782" t="s">
        <v>1762</v>
      </c>
      <c r="K1" s="771"/>
      <c r="L1" s="771"/>
    </row>
    <row r="2" spans="1:12" ht="15.75" customHeight="1" x14ac:dyDescent="0.25">
      <c r="A2" s="784" t="s">
        <v>1678</v>
      </c>
      <c r="B2" s="783"/>
      <c r="C2" s="783"/>
      <c r="D2" s="771"/>
      <c r="E2" s="771"/>
      <c r="F2" s="771"/>
      <c r="G2" s="771"/>
      <c r="H2" s="771"/>
      <c r="I2" s="771"/>
      <c r="J2" s="782" t="s">
        <v>1761</v>
      </c>
      <c r="K2" s="771"/>
      <c r="L2" s="771"/>
    </row>
    <row r="3" spans="1:12" ht="15.75" customHeight="1" x14ac:dyDescent="0.25">
      <c r="A3" s="784" t="s">
        <v>1197</v>
      </c>
      <c r="B3" s="783"/>
      <c r="C3" s="783"/>
      <c r="D3" s="771"/>
      <c r="E3" s="771"/>
      <c r="F3" s="771"/>
      <c r="G3" s="771"/>
      <c r="H3" s="771"/>
      <c r="I3" s="771"/>
      <c r="J3" s="782" t="s">
        <v>1789</v>
      </c>
      <c r="K3" s="771"/>
      <c r="L3" s="771"/>
    </row>
    <row r="4" spans="1:12" x14ac:dyDescent="0.2">
      <c r="A4" s="771"/>
      <c r="B4" s="771"/>
      <c r="C4" s="771"/>
      <c r="D4" s="771"/>
      <c r="E4" s="771"/>
      <c r="F4" s="771"/>
      <c r="G4" s="771"/>
      <c r="H4" s="771"/>
      <c r="I4" s="771"/>
      <c r="J4" s="771"/>
      <c r="K4" s="771"/>
      <c r="L4" s="781"/>
    </row>
    <row r="5" spans="1:12" ht="12.75" customHeight="1" x14ac:dyDescent="0.2">
      <c r="A5" s="771"/>
      <c r="B5" s="771"/>
      <c r="C5" s="771"/>
      <c r="D5" s="771"/>
      <c r="E5" s="771"/>
      <c r="F5" s="771"/>
      <c r="G5" s="771"/>
      <c r="H5" s="771"/>
      <c r="I5" s="771"/>
      <c r="J5" s="771"/>
      <c r="K5" s="772"/>
      <c r="L5" s="771"/>
    </row>
    <row r="6" spans="1:12" x14ac:dyDescent="0.2">
      <c r="A6" s="3619" t="s">
        <v>1677</v>
      </c>
      <c r="B6" s="5774" t="s">
        <v>1239</v>
      </c>
      <c r="C6" s="5775"/>
      <c r="D6" s="5776"/>
      <c r="E6" s="5774" t="s">
        <v>1563</v>
      </c>
      <c r="F6" s="5776"/>
      <c r="G6" s="5774" t="s">
        <v>1081</v>
      </c>
      <c r="H6" s="5775"/>
      <c r="I6" s="5775"/>
      <c r="J6" s="5776"/>
      <c r="K6" s="5623"/>
      <c r="L6" s="771"/>
    </row>
    <row r="7" spans="1:12" x14ac:dyDescent="0.2">
      <c r="A7" s="780" t="s">
        <v>1080</v>
      </c>
      <c r="B7" s="779"/>
      <c r="C7" s="778"/>
      <c r="D7" s="777"/>
      <c r="E7" s="779"/>
      <c r="F7" s="777"/>
      <c r="G7" s="779"/>
      <c r="H7" s="778"/>
      <c r="I7" s="778"/>
      <c r="J7" s="777"/>
      <c r="K7" s="5623"/>
      <c r="L7" s="771"/>
    </row>
    <row r="8" spans="1:12" ht="15" x14ac:dyDescent="0.2">
      <c r="A8" s="3619"/>
      <c r="B8" s="5767" t="s">
        <v>1676</v>
      </c>
      <c r="C8" s="5767" t="s">
        <v>1675</v>
      </c>
      <c r="D8" s="5767" t="s">
        <v>1674</v>
      </c>
      <c r="E8" s="3618" t="s">
        <v>1673</v>
      </c>
      <c r="F8" s="3618" t="s">
        <v>1672</v>
      </c>
      <c r="G8" s="5768" t="s">
        <v>1671</v>
      </c>
      <c r="H8" s="5769"/>
      <c r="I8" s="5770"/>
      <c r="J8" s="3617" t="s">
        <v>1670</v>
      </c>
      <c r="K8" s="5623"/>
      <c r="L8" s="771"/>
    </row>
    <row r="9" spans="1:12" ht="41.25" customHeight="1" x14ac:dyDescent="0.2">
      <c r="A9" s="776"/>
      <c r="B9" s="5625"/>
      <c r="C9" s="5625"/>
      <c r="D9" s="5625"/>
      <c r="E9" s="775"/>
      <c r="F9" s="775"/>
      <c r="G9" s="775" t="s">
        <v>1669</v>
      </c>
      <c r="H9" s="775" t="s">
        <v>1668</v>
      </c>
      <c r="I9" s="775" t="s">
        <v>1667</v>
      </c>
      <c r="J9" s="774"/>
      <c r="K9" s="5623"/>
      <c r="L9" s="771"/>
    </row>
    <row r="10" spans="1:12" ht="13.5" customHeight="1" thickBot="1" x14ac:dyDescent="0.25">
      <c r="A10" s="773"/>
      <c r="B10" s="3320" t="s">
        <v>1666</v>
      </c>
      <c r="C10" s="5626"/>
      <c r="D10" s="3320" t="s">
        <v>18</v>
      </c>
      <c r="E10" s="5630" t="s">
        <v>1665</v>
      </c>
      <c r="F10" s="5631"/>
      <c r="G10" s="5630" t="s">
        <v>1011</v>
      </c>
      <c r="H10" s="5644"/>
      <c r="I10" s="5644"/>
      <c r="J10" s="5631"/>
      <c r="K10" s="5623"/>
      <c r="L10" s="771"/>
    </row>
    <row r="11" spans="1:12" ht="13.5" customHeight="1" thickTop="1" x14ac:dyDescent="0.2">
      <c r="A11" s="3616" t="s">
        <v>1664</v>
      </c>
      <c r="B11" s="3507">
        <v>2717.8979290000002</v>
      </c>
      <c r="C11" s="3497" t="s">
        <v>986</v>
      </c>
      <c r="D11" s="3497" t="s">
        <v>986</v>
      </c>
      <c r="E11" s="3507">
        <v>7.9001234508399992E-3</v>
      </c>
      <c r="F11" s="3507" t="s">
        <v>1006</v>
      </c>
      <c r="G11" s="3507">
        <v>21.4717291658955</v>
      </c>
      <c r="H11" s="3507" t="s">
        <v>259</v>
      </c>
      <c r="I11" s="3507">
        <v>2.4768240715999998</v>
      </c>
      <c r="J11" s="3507" t="s">
        <v>1006</v>
      </c>
      <c r="K11" s="5623"/>
      <c r="L11" s="771"/>
    </row>
    <row r="12" spans="1:12" ht="14.25" customHeight="1" x14ac:dyDescent="0.2">
      <c r="A12" s="3616" t="s">
        <v>1663</v>
      </c>
      <c r="B12" s="3500">
        <v>2717.8979290000002</v>
      </c>
      <c r="C12" s="3500">
        <v>1</v>
      </c>
      <c r="D12" s="3500">
        <v>50</v>
      </c>
      <c r="E12" s="3507">
        <v>7.9001234508399992E-3</v>
      </c>
      <c r="F12" s="3507" t="s">
        <v>799</v>
      </c>
      <c r="G12" s="3500">
        <v>21.4717291658955</v>
      </c>
      <c r="H12" s="3500" t="s">
        <v>259</v>
      </c>
      <c r="I12" s="3500">
        <v>2.4768240715999998</v>
      </c>
      <c r="J12" s="3500" t="s">
        <v>799</v>
      </c>
      <c r="K12" s="5623"/>
      <c r="L12" s="771"/>
    </row>
    <row r="13" spans="1:12" ht="13.5" customHeight="1" x14ac:dyDescent="0.2">
      <c r="A13" s="3616" t="s">
        <v>1662</v>
      </c>
      <c r="B13" s="3500" t="s">
        <v>259</v>
      </c>
      <c r="C13" s="3500" t="s">
        <v>259</v>
      </c>
      <c r="D13" s="3500" t="s">
        <v>259</v>
      </c>
      <c r="E13" s="3507" t="s">
        <v>259</v>
      </c>
      <c r="F13" s="3507" t="s">
        <v>259</v>
      </c>
      <c r="G13" s="3500" t="s">
        <v>259</v>
      </c>
      <c r="H13" s="3500" t="s">
        <v>259</v>
      </c>
      <c r="I13" s="3500" t="s">
        <v>259</v>
      </c>
      <c r="J13" s="3500" t="s">
        <v>259</v>
      </c>
      <c r="K13" s="5623"/>
      <c r="L13" s="771"/>
    </row>
    <row r="14" spans="1:12" ht="14.25" customHeight="1" x14ac:dyDescent="0.2">
      <c r="A14" s="3616" t="s">
        <v>1661</v>
      </c>
      <c r="B14" s="3500" t="s">
        <v>259</v>
      </c>
      <c r="C14" s="3500" t="s">
        <v>259</v>
      </c>
      <c r="D14" s="3500" t="s">
        <v>259</v>
      </c>
      <c r="E14" s="3507" t="s">
        <v>259</v>
      </c>
      <c r="F14" s="3507" t="s">
        <v>259</v>
      </c>
      <c r="G14" s="3500" t="s">
        <v>259</v>
      </c>
      <c r="H14" s="3500" t="s">
        <v>259</v>
      </c>
      <c r="I14" s="3500" t="s">
        <v>259</v>
      </c>
      <c r="J14" s="3500" t="s">
        <v>259</v>
      </c>
      <c r="K14" s="5623"/>
      <c r="L14" s="771"/>
    </row>
    <row r="15" spans="1:12" ht="12" customHeight="1" x14ac:dyDescent="0.2">
      <c r="A15" s="3616" t="s">
        <v>1660</v>
      </c>
      <c r="B15" s="3500" t="s">
        <v>259</v>
      </c>
      <c r="C15" s="3500" t="s">
        <v>259</v>
      </c>
      <c r="D15" s="3500" t="s">
        <v>259</v>
      </c>
      <c r="E15" s="3507" t="s">
        <v>259</v>
      </c>
      <c r="F15" s="3507" t="s">
        <v>259</v>
      </c>
      <c r="G15" s="3500" t="s">
        <v>259</v>
      </c>
      <c r="H15" s="3500" t="s">
        <v>259</v>
      </c>
      <c r="I15" s="3500" t="s">
        <v>259</v>
      </c>
      <c r="J15" s="3500" t="s">
        <v>259</v>
      </c>
      <c r="K15" s="5623"/>
      <c r="L15" s="771"/>
    </row>
    <row r="16" spans="1:12" ht="13.5" customHeight="1" x14ac:dyDescent="0.2">
      <c r="A16" s="770"/>
      <c r="B16" s="770"/>
      <c r="C16" s="770"/>
      <c r="D16" s="770"/>
      <c r="E16" s="770"/>
      <c r="F16" s="770"/>
      <c r="G16" s="770"/>
      <c r="H16" s="770"/>
      <c r="I16" s="770"/>
      <c r="J16" s="770"/>
      <c r="K16" s="5623"/>
      <c r="L16" s="771"/>
    </row>
    <row r="17" spans="1:12" x14ac:dyDescent="0.2">
      <c r="A17" s="5633" t="s">
        <v>1659</v>
      </c>
      <c r="B17" s="5621"/>
      <c r="C17" s="5621"/>
      <c r="D17" s="5621"/>
      <c r="E17" s="5621"/>
      <c r="F17" s="5621"/>
      <c r="G17" s="5621"/>
      <c r="H17" s="5621"/>
      <c r="I17" s="5621"/>
      <c r="J17" s="5621"/>
      <c r="K17" s="5623"/>
      <c r="L17" s="771"/>
    </row>
    <row r="18" spans="1:12" x14ac:dyDescent="0.2">
      <c r="A18" s="5634" t="s">
        <v>1658</v>
      </c>
      <c r="B18" s="5460"/>
      <c r="C18" s="5460"/>
      <c r="D18" s="5460"/>
      <c r="E18" s="5460"/>
      <c r="F18" s="5460"/>
      <c r="G18" s="5460"/>
      <c r="H18" s="5460"/>
      <c r="I18" s="5460"/>
      <c r="J18" s="5460"/>
      <c r="K18" s="5623"/>
      <c r="L18" s="771"/>
    </row>
    <row r="19" spans="1:12" x14ac:dyDescent="0.2">
      <c r="A19" s="5633" t="s">
        <v>1657</v>
      </c>
      <c r="B19" s="5621"/>
      <c r="C19" s="5621"/>
      <c r="D19" s="5621"/>
      <c r="E19" s="5621"/>
      <c r="F19" s="5621"/>
      <c r="G19" s="5621"/>
      <c r="H19" s="5621"/>
      <c r="I19" s="5621"/>
      <c r="J19" s="5621"/>
      <c r="K19" s="5623"/>
      <c r="L19" s="771"/>
    </row>
    <row r="20" spans="1:12" x14ac:dyDescent="0.2">
      <c r="A20" s="771"/>
      <c r="B20" s="771"/>
      <c r="C20" s="771"/>
      <c r="D20" s="771"/>
      <c r="E20" s="771"/>
      <c r="F20" s="771"/>
      <c r="G20" s="771"/>
      <c r="H20" s="771"/>
      <c r="I20" s="771"/>
      <c r="J20" s="771"/>
      <c r="K20" s="5623"/>
      <c r="L20" s="771"/>
    </row>
    <row r="21" spans="1:12" ht="13.5" customHeight="1" x14ac:dyDescent="0.2">
      <c r="A21" s="5613" t="s">
        <v>1656</v>
      </c>
      <c r="B21" s="5613"/>
      <c r="C21" s="5613"/>
      <c r="D21" s="5613"/>
      <c r="E21" s="5613"/>
      <c r="F21" s="5613"/>
      <c r="G21" s="771"/>
      <c r="H21" s="771"/>
      <c r="I21" s="771"/>
      <c r="J21" s="771"/>
      <c r="K21" s="5623"/>
      <c r="L21" s="771"/>
    </row>
    <row r="22" spans="1:12" ht="13.5" customHeight="1" x14ac:dyDescent="0.2">
      <c r="A22" s="5632" t="s">
        <v>1655</v>
      </c>
      <c r="B22" s="5632"/>
      <c r="C22" s="771"/>
      <c r="D22" s="771"/>
      <c r="E22" s="771"/>
      <c r="F22" s="771"/>
      <c r="G22" s="771"/>
      <c r="H22" s="771"/>
      <c r="I22" s="771"/>
      <c r="J22" s="771"/>
      <c r="K22" s="5623"/>
      <c r="L22" s="771"/>
    </row>
    <row r="23" spans="1:12" ht="13.5" customHeight="1" x14ac:dyDescent="0.2">
      <c r="A23" s="5620" t="s">
        <v>1654</v>
      </c>
      <c r="B23" s="5621"/>
      <c r="C23" s="5621"/>
      <c r="D23" s="5621"/>
      <c r="E23" s="5621"/>
      <c r="F23" s="5621"/>
      <c r="G23" s="5621"/>
      <c r="H23" s="5621"/>
      <c r="I23" s="5621"/>
      <c r="J23" s="5621"/>
      <c r="K23" s="5623"/>
      <c r="L23" s="771"/>
    </row>
    <row r="24" spans="1:12" ht="24" customHeight="1" x14ac:dyDescent="0.2">
      <c r="A24" s="5635" t="s">
        <v>1653</v>
      </c>
      <c r="B24" s="5636"/>
      <c r="C24" s="5636"/>
      <c r="D24" s="5636"/>
      <c r="E24" s="5636"/>
      <c r="F24" s="5636"/>
      <c r="G24" s="5636"/>
      <c r="H24" s="5636"/>
      <c r="I24" s="5636"/>
      <c r="J24" s="5636"/>
      <c r="K24" s="5623"/>
      <c r="L24" s="771"/>
    </row>
    <row r="25" spans="1:12" x14ac:dyDescent="0.2">
      <c r="A25" s="771"/>
      <c r="B25" s="771"/>
      <c r="C25" s="771"/>
      <c r="D25" s="771"/>
      <c r="E25" s="771"/>
      <c r="F25" s="771"/>
      <c r="G25" s="771"/>
      <c r="H25" s="771"/>
      <c r="I25" s="771"/>
      <c r="J25" s="771"/>
      <c r="K25" s="771"/>
      <c r="L25" s="771"/>
    </row>
    <row r="26" spans="1:12" ht="13.5" customHeight="1" x14ac:dyDescent="0.2">
      <c r="A26" s="5771" t="s">
        <v>1652</v>
      </c>
      <c r="B26" s="5772"/>
      <c r="C26" s="5772"/>
      <c r="D26" s="5772"/>
      <c r="E26" s="5772"/>
      <c r="F26" s="5772"/>
      <c r="G26" s="5772"/>
      <c r="H26" s="5772"/>
      <c r="I26" s="5773"/>
      <c r="J26" s="771"/>
      <c r="K26" s="772"/>
      <c r="L26" s="771"/>
    </row>
    <row r="27" spans="1:12" ht="24" customHeight="1" x14ac:dyDescent="0.2">
      <c r="A27" s="5614" t="s">
        <v>1651</v>
      </c>
      <c r="B27" s="5615"/>
      <c r="C27" s="5615"/>
      <c r="D27" s="5615"/>
      <c r="E27" s="5615"/>
      <c r="F27" s="5615"/>
      <c r="G27" s="5615"/>
      <c r="H27" s="5615"/>
      <c r="I27" s="5616"/>
      <c r="J27" s="771"/>
      <c r="K27" s="772"/>
      <c r="L27" s="771"/>
    </row>
    <row r="28" spans="1:12" ht="12" customHeight="1" x14ac:dyDescent="0.2">
      <c r="A28" s="5614" t="s">
        <v>1650</v>
      </c>
      <c r="B28" s="5615"/>
      <c r="C28" s="5615"/>
      <c r="D28" s="5615"/>
      <c r="E28" s="5615"/>
      <c r="F28" s="5615"/>
      <c r="G28" s="5615"/>
      <c r="H28" s="5615"/>
      <c r="I28" s="5616"/>
      <c r="J28" s="771"/>
      <c r="K28" s="772"/>
      <c r="L28" s="771"/>
    </row>
    <row r="29" spans="1:12" ht="12" customHeight="1" x14ac:dyDescent="0.2">
      <c r="A29" s="5614" t="s">
        <v>1201</v>
      </c>
      <c r="B29" s="5615"/>
      <c r="C29" s="5615"/>
      <c r="D29" s="5615"/>
      <c r="E29" s="5615"/>
      <c r="F29" s="5615"/>
      <c r="G29" s="5615"/>
      <c r="H29" s="5615"/>
      <c r="I29" s="5616"/>
      <c r="J29" s="771"/>
      <c r="K29" s="772"/>
      <c r="L29" s="771"/>
    </row>
    <row r="30" spans="1:12" ht="12" customHeight="1" x14ac:dyDescent="0.2">
      <c r="A30" s="5614" t="s">
        <v>1649</v>
      </c>
      <c r="B30" s="5615"/>
      <c r="C30" s="5615"/>
      <c r="D30" s="5615"/>
      <c r="E30" s="5615"/>
      <c r="F30" s="5615"/>
      <c r="G30" s="5615"/>
      <c r="H30" s="5615"/>
      <c r="I30" s="5616"/>
      <c r="J30" s="771"/>
      <c r="K30" s="772"/>
      <c r="L30" s="771"/>
    </row>
    <row r="31" spans="1:12" ht="12" customHeight="1" x14ac:dyDescent="0.2">
      <c r="A31" s="5614" t="s">
        <v>1648</v>
      </c>
      <c r="B31" s="5615"/>
      <c r="C31" s="5615"/>
      <c r="D31" s="5615"/>
      <c r="E31" s="5615"/>
      <c r="F31" s="5615"/>
      <c r="G31" s="5615"/>
      <c r="H31" s="5615"/>
      <c r="I31" s="5616"/>
      <c r="J31" s="771"/>
      <c r="K31" s="772"/>
      <c r="L31" s="771"/>
    </row>
    <row r="32" spans="1:12" ht="12" customHeight="1" x14ac:dyDescent="0.2">
      <c r="A32" s="5617" t="s">
        <v>1647</v>
      </c>
      <c r="B32" s="5618"/>
      <c r="C32" s="5618"/>
      <c r="D32" s="5618"/>
      <c r="E32" s="5618"/>
      <c r="F32" s="5618"/>
      <c r="G32" s="5618"/>
      <c r="H32" s="5618"/>
      <c r="I32" s="5619"/>
      <c r="J32" s="771"/>
      <c r="K32" s="772"/>
      <c r="L32" s="771"/>
    </row>
    <row r="33" spans="1:10" ht="12" customHeight="1" x14ac:dyDescent="0.2">
      <c r="A33" s="3615" t="s">
        <v>980</v>
      </c>
      <c r="B33" s="5696" t="s">
        <v>986</v>
      </c>
      <c r="C33" s="5766"/>
      <c r="D33" s="5766"/>
      <c r="E33" s="5766"/>
      <c r="F33" s="5766"/>
      <c r="G33" s="5766"/>
      <c r="H33" s="5766"/>
      <c r="I33" s="5766"/>
      <c r="J33" s="770"/>
    </row>
  </sheetData>
  <sheetProtection password="A754" sheet="1" objects="1" scenarios="1"/>
  <mergeCells count="26">
    <mergeCell ref="A1:C1"/>
    <mergeCell ref="B6:D6"/>
    <mergeCell ref="E6:F6"/>
    <mergeCell ref="G6:J6"/>
    <mergeCell ref="G10:J10"/>
    <mergeCell ref="B33:I33"/>
    <mergeCell ref="K6:K24"/>
    <mergeCell ref="B8:B9"/>
    <mergeCell ref="C8:C10"/>
    <mergeCell ref="D8:D9"/>
    <mergeCell ref="G8:I8"/>
    <mergeCell ref="E10:F10"/>
    <mergeCell ref="A22:B22"/>
    <mergeCell ref="A17:J17"/>
    <mergeCell ref="A18:J18"/>
    <mergeCell ref="A24:J24"/>
    <mergeCell ref="A26:I26"/>
    <mergeCell ref="A27:I27"/>
    <mergeCell ref="A28:I28"/>
    <mergeCell ref="A29:I29"/>
    <mergeCell ref="A19:J19"/>
    <mergeCell ref="A21:F21"/>
    <mergeCell ref="A30:I30"/>
    <mergeCell ref="A31:I31"/>
    <mergeCell ref="A32:I32"/>
    <mergeCell ref="A23:J23"/>
  </mergeCells>
  <dataValidations count="1">
    <dataValidation allowBlank="1" showInputMessage="1" showErrorMessage="1" sqref="K33:L65510 A34:J65510 M1:IV65510" xr:uid="{00000000-0002-0000-3100-000000000000}"/>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BE5DB-C3BC-491F-9460-AAC0EC53FACE}">
  <sheetPr codeName="Ark82">
    <tabColor theme="0" tint="-0.34998626667073579"/>
    <pageSetUpPr fitToPage="1"/>
  </sheetPr>
  <dimension ref="A1:I25"/>
  <sheetViews>
    <sheetView showGridLines="0" workbookViewId="0">
      <selection sqref="A1:D1"/>
    </sheetView>
  </sheetViews>
  <sheetFormatPr defaultColWidth="9.140625" defaultRowHeight="12" x14ac:dyDescent="0.2"/>
  <cols>
    <col min="1" max="1" width="31.28515625" style="785" customWidth="1"/>
    <col min="2" max="2" width="22.140625" style="659" customWidth="1"/>
    <col min="3" max="4" width="9.140625" style="659"/>
    <col min="5" max="5" width="11.85546875" style="659" customWidth="1"/>
    <col min="6" max="6" width="11" style="659" customWidth="1"/>
    <col min="7" max="7" width="11.5703125" style="659" customWidth="1"/>
    <col min="8" max="16384" width="9.140625" style="659"/>
  </cols>
  <sheetData>
    <row r="1" spans="1:9" ht="15.75" x14ac:dyDescent="0.2">
      <c r="A1" s="5471" t="s">
        <v>1700</v>
      </c>
      <c r="B1" s="5471"/>
      <c r="C1" s="5471"/>
      <c r="D1" s="5471"/>
      <c r="E1" s="660"/>
      <c r="F1" s="660"/>
      <c r="G1" s="660"/>
      <c r="H1" s="668" t="s">
        <v>1762</v>
      </c>
      <c r="I1" s="660"/>
    </row>
    <row r="2" spans="1:9" ht="15.75" x14ac:dyDescent="0.25">
      <c r="A2" s="5471" t="s">
        <v>1699</v>
      </c>
      <c r="B2" s="5471"/>
      <c r="C2" s="670"/>
      <c r="D2" s="670"/>
      <c r="E2" s="660"/>
      <c r="F2" s="660"/>
      <c r="G2" s="660"/>
      <c r="H2" s="668" t="s">
        <v>1761</v>
      </c>
      <c r="I2" s="660"/>
    </row>
    <row r="3" spans="1:9" ht="15.75" x14ac:dyDescent="0.25">
      <c r="A3" s="760" t="s">
        <v>1197</v>
      </c>
      <c r="B3" s="670"/>
      <c r="C3" s="670"/>
      <c r="D3" s="670"/>
      <c r="E3" s="660"/>
      <c r="F3" s="660"/>
      <c r="G3" s="660"/>
      <c r="H3" s="668" t="s">
        <v>1789</v>
      </c>
      <c r="I3" s="660"/>
    </row>
    <row r="4" spans="1:9" x14ac:dyDescent="0.2">
      <c r="A4" s="735"/>
      <c r="B4" s="660"/>
      <c r="C4" s="660"/>
      <c r="D4" s="660"/>
      <c r="E4" s="660"/>
      <c r="F4" s="660"/>
      <c r="G4" s="660"/>
      <c r="H4" s="660"/>
      <c r="I4" s="660"/>
    </row>
    <row r="5" spans="1:9" ht="36" x14ac:dyDescent="0.2">
      <c r="A5" s="3625" t="s">
        <v>1025</v>
      </c>
      <c r="B5" s="3624" t="s">
        <v>1239</v>
      </c>
      <c r="C5" s="5777" t="s">
        <v>1563</v>
      </c>
      <c r="D5" s="5778"/>
      <c r="E5" s="5777" t="s">
        <v>1081</v>
      </c>
      <c r="F5" s="5779"/>
      <c r="G5" s="5779"/>
      <c r="H5" s="5778"/>
      <c r="I5" s="660"/>
    </row>
    <row r="6" spans="1:9" ht="15" x14ac:dyDescent="0.2">
      <c r="A6" s="3623"/>
      <c r="B6" s="5780" t="s">
        <v>1698</v>
      </c>
      <c r="C6" s="3622" t="s">
        <v>1697</v>
      </c>
      <c r="D6" s="3622" t="s">
        <v>1022</v>
      </c>
      <c r="E6" s="5777" t="s">
        <v>1696</v>
      </c>
      <c r="F6" s="5779"/>
      <c r="G6" s="5778"/>
      <c r="H6" s="3622" t="s">
        <v>1022</v>
      </c>
      <c r="I6" s="660"/>
    </row>
    <row r="7" spans="1:9" ht="51.75" x14ac:dyDescent="0.2">
      <c r="A7" s="790"/>
      <c r="B7" s="5650"/>
      <c r="C7" s="3622"/>
      <c r="D7" s="3622"/>
      <c r="E7" s="3622" t="s">
        <v>1695</v>
      </c>
      <c r="F7" s="3324" t="s">
        <v>1694</v>
      </c>
      <c r="G7" s="3324" t="s">
        <v>1693</v>
      </c>
      <c r="H7" s="3622"/>
      <c r="I7" s="660"/>
    </row>
    <row r="8" spans="1:9" ht="12.75" thickBot="1" x14ac:dyDescent="0.25">
      <c r="A8" s="789"/>
      <c r="B8" s="788" t="s">
        <v>1692</v>
      </c>
      <c r="C8" s="5660" t="s">
        <v>1691</v>
      </c>
      <c r="D8" s="5661"/>
      <c r="E8" s="5660" t="s">
        <v>1011</v>
      </c>
      <c r="F8" s="5486"/>
      <c r="G8" s="5486"/>
      <c r="H8" s="5487"/>
      <c r="I8" s="660"/>
    </row>
    <row r="9" spans="1:9" ht="12.75" thickTop="1" x14ac:dyDescent="0.2">
      <c r="A9" s="787" t="s">
        <v>1690</v>
      </c>
      <c r="B9" s="3507" t="s">
        <v>1419</v>
      </c>
      <c r="C9" s="3507" t="s">
        <v>1419</v>
      </c>
      <c r="D9" s="3507" t="s">
        <v>1419</v>
      </c>
      <c r="E9" s="3507">
        <v>3.4055787999999998</v>
      </c>
      <c r="F9" s="3507" t="s">
        <v>259</v>
      </c>
      <c r="G9" s="3497" t="s">
        <v>986</v>
      </c>
      <c r="H9" s="3507">
        <v>0.2444818</v>
      </c>
      <c r="I9" s="660"/>
    </row>
    <row r="10" spans="1:9" x14ac:dyDescent="0.2">
      <c r="A10" s="3621" t="s">
        <v>1687</v>
      </c>
      <c r="B10" s="3500" t="s">
        <v>259</v>
      </c>
      <c r="C10" s="3507" t="s">
        <v>259</v>
      </c>
      <c r="D10" s="3507" t="s">
        <v>259</v>
      </c>
      <c r="E10" s="3500" t="s">
        <v>259</v>
      </c>
      <c r="F10" s="3500" t="s">
        <v>259</v>
      </c>
      <c r="G10" s="3497" t="s">
        <v>986</v>
      </c>
      <c r="H10" s="3500" t="s">
        <v>259</v>
      </c>
      <c r="I10" s="660"/>
    </row>
    <row r="11" spans="1:9" ht="13.5" x14ac:dyDescent="0.2">
      <c r="A11" s="3621" t="s">
        <v>1686</v>
      </c>
      <c r="B11" s="3507" t="s">
        <v>1209</v>
      </c>
      <c r="C11" s="3507" t="s">
        <v>1209</v>
      </c>
      <c r="D11" s="3507" t="s">
        <v>1209</v>
      </c>
      <c r="E11" s="3507">
        <v>3.4055787999999998</v>
      </c>
      <c r="F11" s="3507" t="s">
        <v>259</v>
      </c>
      <c r="G11" s="3497" t="s">
        <v>986</v>
      </c>
      <c r="H11" s="3507">
        <v>0.2444818</v>
      </c>
      <c r="I11" s="660"/>
    </row>
    <row r="12" spans="1:9" x14ac:dyDescent="0.2">
      <c r="A12" s="3519" t="s">
        <v>1689</v>
      </c>
      <c r="B12" s="3500" t="s">
        <v>1209</v>
      </c>
      <c r="C12" s="3507" t="s">
        <v>1209</v>
      </c>
      <c r="D12" s="3507" t="s">
        <v>1209</v>
      </c>
      <c r="E12" s="3500">
        <v>3.4055787999999998</v>
      </c>
      <c r="F12" s="3500" t="s">
        <v>259</v>
      </c>
      <c r="G12" s="3497" t="s">
        <v>986</v>
      </c>
      <c r="H12" s="3500">
        <v>0.2444818</v>
      </c>
      <c r="I12" s="660"/>
    </row>
    <row r="13" spans="1:9" ht="13.5" x14ac:dyDescent="0.2">
      <c r="A13" s="3621" t="s">
        <v>1688</v>
      </c>
      <c r="B13" s="3507" t="s">
        <v>1419</v>
      </c>
      <c r="C13" s="3507" t="s">
        <v>1419</v>
      </c>
      <c r="D13" s="3507" t="s">
        <v>1006</v>
      </c>
      <c r="E13" s="3507">
        <v>11.56339272</v>
      </c>
      <c r="F13" s="3507" t="s">
        <v>259</v>
      </c>
      <c r="G13" s="3507">
        <v>387.17428727999999</v>
      </c>
      <c r="H13" s="3507" t="s">
        <v>1006</v>
      </c>
      <c r="I13" s="660"/>
    </row>
    <row r="14" spans="1:9" x14ac:dyDescent="0.2">
      <c r="A14" s="3621" t="s">
        <v>1687</v>
      </c>
      <c r="B14" s="3500" t="s">
        <v>259</v>
      </c>
      <c r="C14" s="3507" t="s">
        <v>259</v>
      </c>
      <c r="D14" s="3507" t="s">
        <v>259</v>
      </c>
      <c r="E14" s="3500" t="s">
        <v>259</v>
      </c>
      <c r="F14" s="3500" t="s">
        <v>259</v>
      </c>
      <c r="G14" s="3500" t="s">
        <v>259</v>
      </c>
      <c r="H14" s="3500" t="s">
        <v>259</v>
      </c>
      <c r="I14" s="660"/>
    </row>
    <row r="15" spans="1:9" ht="13.5" x14ac:dyDescent="0.2">
      <c r="A15" s="3621" t="s">
        <v>1686</v>
      </c>
      <c r="B15" s="3507" t="s">
        <v>1209</v>
      </c>
      <c r="C15" s="3507" t="s">
        <v>1209</v>
      </c>
      <c r="D15" s="3507" t="s">
        <v>799</v>
      </c>
      <c r="E15" s="3507">
        <v>11.56339272</v>
      </c>
      <c r="F15" s="3507" t="s">
        <v>259</v>
      </c>
      <c r="G15" s="3507">
        <v>387.17428727999999</v>
      </c>
      <c r="H15" s="3507" t="s">
        <v>799</v>
      </c>
      <c r="I15" s="660"/>
    </row>
    <row r="16" spans="1:9" x14ac:dyDescent="0.2">
      <c r="A16" s="3519" t="s">
        <v>1685</v>
      </c>
      <c r="B16" s="3500" t="s">
        <v>1209</v>
      </c>
      <c r="C16" s="3507" t="s">
        <v>1209</v>
      </c>
      <c r="D16" s="3507" t="s">
        <v>799</v>
      </c>
      <c r="E16" s="3500">
        <v>11.56339272</v>
      </c>
      <c r="F16" s="3500" t="s">
        <v>259</v>
      </c>
      <c r="G16" s="3500">
        <v>387.17428727999999</v>
      </c>
      <c r="H16" s="3500" t="s">
        <v>799</v>
      </c>
      <c r="I16" s="660"/>
    </row>
    <row r="17" spans="1:9" x14ac:dyDescent="0.2">
      <c r="A17" s="786" t="s">
        <v>564</v>
      </c>
      <c r="B17" s="660"/>
      <c r="C17" s="660"/>
      <c r="D17" s="660"/>
      <c r="E17" s="660"/>
      <c r="F17" s="660"/>
      <c r="G17" s="660"/>
      <c r="H17" s="660"/>
      <c r="I17" s="660"/>
    </row>
    <row r="18" spans="1:9" ht="21.75" customHeight="1" x14ac:dyDescent="0.2">
      <c r="A18" s="5662" t="s">
        <v>1684</v>
      </c>
      <c r="B18" s="5662"/>
      <c r="C18" s="5662"/>
      <c r="D18" s="5662"/>
      <c r="E18" s="5662"/>
      <c r="F18" s="5662"/>
      <c r="G18" s="5662"/>
      <c r="H18" s="5662"/>
      <c r="I18" s="735"/>
    </row>
    <row r="19" spans="1:9" x14ac:dyDescent="0.2">
      <c r="A19" s="5645" t="s">
        <v>1683</v>
      </c>
      <c r="B19" s="5460"/>
      <c r="C19" s="5460"/>
      <c r="D19" s="5460"/>
      <c r="E19" s="5460"/>
      <c r="F19" s="5460"/>
      <c r="G19" s="5460"/>
      <c r="H19" s="5460"/>
      <c r="I19" s="5460"/>
    </row>
    <row r="20" spans="1:9" x14ac:dyDescent="0.2">
      <c r="A20" s="5645" t="s">
        <v>1682</v>
      </c>
      <c r="B20" s="5460"/>
      <c r="C20" s="5460"/>
      <c r="D20" s="5460"/>
      <c r="E20" s="5460"/>
      <c r="F20" s="5460"/>
      <c r="G20" s="5460"/>
      <c r="H20" s="5460"/>
      <c r="I20" s="5460"/>
    </row>
    <row r="21" spans="1:9" x14ac:dyDescent="0.2">
      <c r="A21" s="5645" t="s">
        <v>1681</v>
      </c>
      <c r="B21" s="5460"/>
      <c r="C21" s="5460"/>
      <c r="D21" s="5460"/>
      <c r="E21" s="5460"/>
      <c r="F21" s="5460"/>
      <c r="G21" s="5460"/>
      <c r="H21" s="5460"/>
      <c r="I21" s="5460"/>
    </row>
    <row r="22" spans="1:9" x14ac:dyDescent="0.2">
      <c r="A22" s="5781" t="s">
        <v>1652</v>
      </c>
      <c r="B22" s="5782"/>
      <c r="C22" s="5782"/>
      <c r="D22" s="5782"/>
      <c r="E22" s="5782"/>
      <c r="F22" s="5782"/>
      <c r="G22" s="5782"/>
      <c r="H22" s="5783"/>
      <c r="I22" s="660"/>
    </row>
    <row r="23" spans="1:9" ht="25.5" customHeight="1" x14ac:dyDescent="0.2">
      <c r="A23" s="5654" t="s">
        <v>1680</v>
      </c>
      <c r="B23" s="5655"/>
      <c r="C23" s="5655"/>
      <c r="D23" s="5655"/>
      <c r="E23" s="5655"/>
      <c r="F23" s="5655"/>
      <c r="G23" s="5655"/>
      <c r="H23" s="5656"/>
      <c r="I23" s="660"/>
    </row>
    <row r="24" spans="1:9" x14ac:dyDescent="0.2">
      <c r="A24" s="5657" t="s">
        <v>1647</v>
      </c>
      <c r="B24" s="5658"/>
      <c r="C24" s="5658"/>
      <c r="D24" s="5658"/>
      <c r="E24" s="5658"/>
      <c r="F24" s="5658"/>
      <c r="G24" s="5658"/>
      <c r="H24" s="5659"/>
      <c r="I24" s="660"/>
    </row>
    <row r="25" spans="1:9" x14ac:dyDescent="0.2">
      <c r="A25" s="3620" t="s">
        <v>980</v>
      </c>
      <c r="B25" s="5696" t="s">
        <v>986</v>
      </c>
      <c r="C25" s="5723"/>
      <c r="D25" s="5723"/>
      <c r="E25" s="5723"/>
      <c r="F25" s="5723"/>
      <c r="G25" s="5723"/>
      <c r="H25" s="5723"/>
    </row>
  </sheetData>
  <sheetProtection password="A754" sheet="1" objects="1" scenarios="1"/>
  <mergeCells count="16">
    <mergeCell ref="A21:I21"/>
    <mergeCell ref="B25:H25"/>
    <mergeCell ref="A1:D1"/>
    <mergeCell ref="A2:B2"/>
    <mergeCell ref="C5:D5"/>
    <mergeCell ref="E5:H5"/>
    <mergeCell ref="B6:B7"/>
    <mergeCell ref="E6:G6"/>
    <mergeCell ref="A22:H22"/>
    <mergeCell ref="A23:H23"/>
    <mergeCell ref="A24:H24"/>
    <mergeCell ref="C8:D8"/>
    <mergeCell ref="E8:H8"/>
    <mergeCell ref="A18:H18"/>
    <mergeCell ref="A19:I19"/>
    <mergeCell ref="A20:I20"/>
  </mergeCells>
  <printOptions horizontalCentered="1" verticalCentered="1"/>
  <pageMargins left="0.39370078740157483" right="0.39370078740157483" top="0.39370078740157483" bottom="0.39370078740157483" header="0.19685039370078741" footer="0.19685039370078741"/>
  <pageSetup paperSize="9" scale="52"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0CA59-A196-437F-9D7E-F77AA7AC80F6}">
  <sheetPr codeName="Ark83">
    <tabColor theme="0" tint="-0.34998626667073579"/>
    <pageSetUpPr fitToPage="1"/>
  </sheetPr>
  <dimension ref="A1:H38"/>
  <sheetViews>
    <sheetView showGridLines="0" workbookViewId="0">
      <selection sqref="A1:D1"/>
    </sheetView>
  </sheetViews>
  <sheetFormatPr defaultColWidth="9.140625" defaultRowHeight="12" x14ac:dyDescent="0.2"/>
  <cols>
    <col min="1" max="1" width="40" style="659" customWidth="1"/>
    <col min="2" max="2" width="16" style="659" customWidth="1"/>
    <col min="3" max="16384" width="9.140625" style="659"/>
  </cols>
  <sheetData>
    <row r="1" spans="1:8" ht="15.75" x14ac:dyDescent="0.25">
      <c r="A1" s="5663" t="s">
        <v>1722</v>
      </c>
      <c r="B1" s="5663"/>
      <c r="C1" s="5663"/>
      <c r="D1" s="5663"/>
      <c r="E1" s="803"/>
      <c r="F1" s="803"/>
      <c r="G1" s="803" t="s">
        <v>270</v>
      </c>
      <c r="H1" s="800" t="s">
        <v>1762</v>
      </c>
    </row>
    <row r="2" spans="1:8" ht="15.75" x14ac:dyDescent="0.2">
      <c r="A2" s="5664" t="s">
        <v>1721</v>
      </c>
      <c r="B2" s="5664"/>
      <c r="C2" s="5664"/>
      <c r="D2" s="5664"/>
      <c r="E2" s="5664"/>
      <c r="F2" s="5664"/>
      <c r="G2" s="5664"/>
      <c r="H2" s="800" t="s">
        <v>1761</v>
      </c>
    </row>
    <row r="3" spans="1:8" ht="15.75" x14ac:dyDescent="0.25">
      <c r="A3" s="804" t="s">
        <v>1197</v>
      </c>
      <c r="B3" s="803"/>
      <c r="C3" s="803"/>
      <c r="D3" s="803"/>
      <c r="E3" s="803"/>
      <c r="F3" s="803"/>
      <c r="G3" s="803"/>
      <c r="H3" s="800" t="s">
        <v>1789</v>
      </c>
    </row>
    <row r="4" spans="1:8" x14ac:dyDescent="0.2">
      <c r="A4" s="802"/>
      <c r="B4" s="801"/>
      <c r="C4" s="801"/>
      <c r="D4" s="801"/>
      <c r="E4" s="801"/>
      <c r="F4" s="801"/>
      <c r="G4" s="801"/>
      <c r="H4" s="800"/>
    </row>
    <row r="5" spans="1:8" x14ac:dyDescent="0.2">
      <c r="A5" s="3633" t="s">
        <v>1677</v>
      </c>
      <c r="B5" s="3632" t="s">
        <v>1083</v>
      </c>
      <c r="C5" s="5784" t="s">
        <v>1563</v>
      </c>
      <c r="D5" s="5785"/>
      <c r="E5" s="5786"/>
      <c r="F5" s="5784" t="s">
        <v>1081</v>
      </c>
      <c r="G5" s="5787"/>
      <c r="H5" s="5788"/>
    </row>
    <row r="6" spans="1:8" x14ac:dyDescent="0.2">
      <c r="A6" s="793" t="s">
        <v>1080</v>
      </c>
      <c r="B6" s="5670" t="s">
        <v>1720</v>
      </c>
      <c r="C6" s="799"/>
      <c r="D6" s="798"/>
      <c r="E6" s="798"/>
      <c r="F6" s="799"/>
      <c r="G6" s="798"/>
      <c r="H6" s="797"/>
    </row>
    <row r="7" spans="1:8" ht="20.25" customHeight="1" x14ac:dyDescent="0.2">
      <c r="A7" s="796"/>
      <c r="B7" s="5670"/>
      <c r="C7" s="3622" t="s">
        <v>1719</v>
      </c>
      <c r="D7" s="3622" t="s">
        <v>1023</v>
      </c>
      <c r="E7" s="3631" t="s">
        <v>1022</v>
      </c>
      <c r="F7" s="3630" t="s">
        <v>1024</v>
      </c>
      <c r="G7" s="3630" t="s">
        <v>1023</v>
      </c>
      <c r="H7" s="3629" t="s">
        <v>1022</v>
      </c>
    </row>
    <row r="8" spans="1:8" ht="12.75" thickBot="1" x14ac:dyDescent="0.25">
      <c r="A8" s="795"/>
      <c r="B8" s="794" t="s">
        <v>1718</v>
      </c>
      <c r="C8" s="5660" t="s">
        <v>1717</v>
      </c>
      <c r="D8" s="5671"/>
      <c r="E8" s="5661"/>
      <c r="F8" s="5660" t="s">
        <v>1011</v>
      </c>
      <c r="G8" s="5486"/>
      <c r="H8" s="5487"/>
    </row>
    <row r="9" spans="1:8" ht="12.75" thickTop="1" x14ac:dyDescent="0.2">
      <c r="A9" s="793" t="s">
        <v>1716</v>
      </c>
      <c r="B9" s="3507">
        <v>0.995</v>
      </c>
      <c r="C9" s="3507" t="s">
        <v>259</v>
      </c>
      <c r="D9" s="3507">
        <v>0.73533376884421997</v>
      </c>
      <c r="E9" s="3507">
        <v>0.91919601105528004</v>
      </c>
      <c r="F9" s="3507" t="s">
        <v>259</v>
      </c>
      <c r="G9" s="3507">
        <v>7.3165709999999996E-4</v>
      </c>
      <c r="H9" s="3507">
        <v>9.1460003099999999E-4</v>
      </c>
    </row>
    <row r="10" spans="1:8" ht="14.25" x14ac:dyDescent="0.2">
      <c r="A10" s="3628" t="s">
        <v>1710</v>
      </c>
      <c r="B10" s="3507">
        <v>0.995</v>
      </c>
      <c r="C10" s="3507">
        <v>3129.6437185929649</v>
      </c>
      <c r="D10" s="3507">
        <v>0.73533376884421997</v>
      </c>
      <c r="E10" s="3507">
        <v>0.91919601105528004</v>
      </c>
      <c r="F10" s="3507">
        <v>3.1139955000000001</v>
      </c>
      <c r="G10" s="3507">
        <v>7.3165709999999996E-4</v>
      </c>
      <c r="H10" s="3507">
        <v>9.1460003099999999E-4</v>
      </c>
    </row>
    <row r="11" spans="1:8" x14ac:dyDescent="0.2">
      <c r="A11" s="3621" t="s">
        <v>1687</v>
      </c>
      <c r="B11" s="3500" t="s">
        <v>259</v>
      </c>
      <c r="C11" s="3507" t="s">
        <v>259</v>
      </c>
      <c r="D11" s="3507" t="s">
        <v>259</v>
      </c>
      <c r="E11" s="3507" t="s">
        <v>259</v>
      </c>
      <c r="F11" s="3500" t="s">
        <v>259</v>
      </c>
      <c r="G11" s="3500" t="s">
        <v>259</v>
      </c>
      <c r="H11" s="3500" t="s">
        <v>259</v>
      </c>
    </row>
    <row r="12" spans="1:8" ht="13.5" x14ac:dyDescent="0.2">
      <c r="A12" s="3621" t="s">
        <v>1715</v>
      </c>
      <c r="B12" s="3507">
        <v>0.995</v>
      </c>
      <c r="C12" s="3507">
        <v>3129.6437185929649</v>
      </c>
      <c r="D12" s="3507">
        <v>0.73533376884421997</v>
      </c>
      <c r="E12" s="3507">
        <v>0.91919601105528004</v>
      </c>
      <c r="F12" s="3507">
        <v>3.1139955000000001</v>
      </c>
      <c r="G12" s="3507">
        <v>7.3165709999999996E-4</v>
      </c>
      <c r="H12" s="3507">
        <v>9.1460003099999999E-4</v>
      </c>
    </row>
    <row r="13" spans="1:8" x14ac:dyDescent="0.2">
      <c r="A13" s="3519" t="s">
        <v>1111</v>
      </c>
      <c r="B13" s="3507">
        <v>0.995</v>
      </c>
      <c r="C13" s="3507">
        <v>3129.6437185929649</v>
      </c>
      <c r="D13" s="3507">
        <v>0.73533376884421997</v>
      </c>
      <c r="E13" s="3507">
        <v>0.91919601105528004</v>
      </c>
      <c r="F13" s="3507">
        <v>3.1139955000000001</v>
      </c>
      <c r="G13" s="3507">
        <v>7.3165709999999996E-4</v>
      </c>
      <c r="H13" s="3507">
        <v>9.1460003099999999E-4</v>
      </c>
    </row>
    <row r="14" spans="1:8" x14ac:dyDescent="0.2">
      <c r="A14" s="3520" t="s">
        <v>1714</v>
      </c>
      <c r="B14" s="3500">
        <v>0.995</v>
      </c>
      <c r="C14" s="3507">
        <v>770</v>
      </c>
      <c r="D14" s="3507">
        <v>0.18090000000000001</v>
      </c>
      <c r="E14" s="3507">
        <v>0.22615379999999999</v>
      </c>
      <c r="F14" s="3500">
        <v>0.76615</v>
      </c>
      <c r="G14" s="3500">
        <v>1.7999549999999999E-4</v>
      </c>
      <c r="H14" s="3500">
        <v>2.2502303099999999E-4</v>
      </c>
    </row>
    <row r="15" spans="1:8" x14ac:dyDescent="0.2">
      <c r="A15" s="3520" t="s">
        <v>1713</v>
      </c>
      <c r="B15" s="3500" t="s">
        <v>1209</v>
      </c>
      <c r="C15" s="3507" t="s">
        <v>1209</v>
      </c>
      <c r="D15" s="3507" t="s">
        <v>1209</v>
      </c>
      <c r="E15" s="3507" t="s">
        <v>1209</v>
      </c>
      <c r="F15" s="3500">
        <v>2.3478455</v>
      </c>
      <c r="G15" s="3500">
        <v>5.5166160000000004E-4</v>
      </c>
      <c r="H15" s="3500">
        <v>6.8957700000000003E-4</v>
      </c>
    </row>
    <row r="16" spans="1:8" x14ac:dyDescent="0.2">
      <c r="A16" s="3628" t="s">
        <v>1709</v>
      </c>
      <c r="B16" s="3507" t="s">
        <v>259</v>
      </c>
      <c r="C16" s="3507" t="s">
        <v>259</v>
      </c>
      <c r="D16" s="3507" t="s">
        <v>259</v>
      </c>
      <c r="E16" s="3507" t="s">
        <v>259</v>
      </c>
      <c r="F16" s="3507" t="s">
        <v>259</v>
      </c>
      <c r="G16" s="3507" t="s">
        <v>259</v>
      </c>
      <c r="H16" s="3507" t="s">
        <v>259</v>
      </c>
    </row>
    <row r="17" spans="1:8" x14ac:dyDescent="0.2">
      <c r="A17" s="3621" t="s">
        <v>1687</v>
      </c>
      <c r="B17" s="3500" t="s">
        <v>259</v>
      </c>
      <c r="C17" s="3507" t="s">
        <v>259</v>
      </c>
      <c r="D17" s="3507" t="s">
        <v>259</v>
      </c>
      <c r="E17" s="3507" t="s">
        <v>259</v>
      </c>
      <c r="F17" s="3500" t="s">
        <v>259</v>
      </c>
      <c r="G17" s="3500" t="s">
        <v>259</v>
      </c>
      <c r="H17" s="3500" t="s">
        <v>259</v>
      </c>
    </row>
    <row r="18" spans="1:8" ht="13.5" x14ac:dyDescent="0.2">
      <c r="A18" s="3621" t="s">
        <v>1712</v>
      </c>
      <c r="B18" s="3507" t="s">
        <v>259</v>
      </c>
      <c r="C18" s="3507" t="s">
        <v>259</v>
      </c>
      <c r="D18" s="3507" t="s">
        <v>259</v>
      </c>
      <c r="E18" s="3507" t="s">
        <v>259</v>
      </c>
      <c r="F18" s="3507" t="s">
        <v>259</v>
      </c>
      <c r="G18" s="3507" t="s">
        <v>259</v>
      </c>
      <c r="H18" s="3507" t="s">
        <v>259</v>
      </c>
    </row>
    <row r="19" spans="1:8" x14ac:dyDescent="0.2">
      <c r="A19" s="3628" t="s">
        <v>1711</v>
      </c>
      <c r="B19" s="3507" t="s">
        <v>259</v>
      </c>
      <c r="C19" s="3507" t="s">
        <v>259</v>
      </c>
      <c r="D19" s="3507" t="s">
        <v>259</v>
      </c>
      <c r="E19" s="3507" t="s">
        <v>259</v>
      </c>
      <c r="F19" s="3507" t="s">
        <v>259</v>
      </c>
      <c r="G19" s="3507" t="s">
        <v>259</v>
      </c>
      <c r="H19" s="3507" t="s">
        <v>259</v>
      </c>
    </row>
    <row r="20" spans="1:8" ht="14.25" x14ac:dyDescent="0.2">
      <c r="A20" s="3628" t="s">
        <v>1710</v>
      </c>
      <c r="B20" s="3507" t="s">
        <v>259</v>
      </c>
      <c r="C20" s="3507" t="s">
        <v>259</v>
      </c>
      <c r="D20" s="3507" t="s">
        <v>259</v>
      </c>
      <c r="E20" s="3507" t="s">
        <v>259</v>
      </c>
      <c r="F20" s="3507" t="s">
        <v>259</v>
      </c>
      <c r="G20" s="3507" t="s">
        <v>259</v>
      </c>
      <c r="H20" s="3507" t="s">
        <v>259</v>
      </c>
    </row>
    <row r="21" spans="1:8" x14ac:dyDescent="0.2">
      <c r="A21" s="3627" t="s">
        <v>1687</v>
      </c>
      <c r="B21" s="3500" t="s">
        <v>259</v>
      </c>
      <c r="C21" s="3507" t="s">
        <v>259</v>
      </c>
      <c r="D21" s="3507" t="s">
        <v>259</v>
      </c>
      <c r="E21" s="3507" t="s">
        <v>259</v>
      </c>
      <c r="F21" s="3500" t="s">
        <v>259</v>
      </c>
      <c r="G21" s="3500" t="s">
        <v>259</v>
      </c>
      <c r="H21" s="3500" t="s">
        <v>259</v>
      </c>
    </row>
    <row r="22" spans="1:8" x14ac:dyDescent="0.2">
      <c r="A22" s="3627" t="s">
        <v>1218</v>
      </c>
      <c r="B22" s="3507" t="s">
        <v>259</v>
      </c>
      <c r="C22" s="3507" t="s">
        <v>259</v>
      </c>
      <c r="D22" s="3507" t="s">
        <v>259</v>
      </c>
      <c r="E22" s="3507" t="s">
        <v>259</v>
      </c>
      <c r="F22" s="3507" t="s">
        <v>259</v>
      </c>
      <c r="G22" s="3507" t="s">
        <v>259</v>
      </c>
      <c r="H22" s="3507" t="s">
        <v>259</v>
      </c>
    </row>
    <row r="23" spans="1:8" x14ac:dyDescent="0.2">
      <c r="A23" s="3628" t="s">
        <v>1709</v>
      </c>
      <c r="B23" s="3507" t="s">
        <v>259</v>
      </c>
      <c r="C23" s="3507" t="s">
        <v>259</v>
      </c>
      <c r="D23" s="3507" t="s">
        <v>259</v>
      </c>
      <c r="E23" s="3507" t="s">
        <v>259</v>
      </c>
      <c r="F23" s="3507" t="s">
        <v>259</v>
      </c>
      <c r="G23" s="3507" t="s">
        <v>259</v>
      </c>
      <c r="H23" s="3507" t="s">
        <v>259</v>
      </c>
    </row>
    <row r="24" spans="1:8" x14ac:dyDescent="0.2">
      <c r="A24" s="3627" t="s">
        <v>1687</v>
      </c>
      <c r="B24" s="3500" t="s">
        <v>259</v>
      </c>
      <c r="C24" s="3507" t="s">
        <v>259</v>
      </c>
      <c r="D24" s="3507" t="s">
        <v>259</v>
      </c>
      <c r="E24" s="3507" t="s">
        <v>259</v>
      </c>
      <c r="F24" s="3500" t="s">
        <v>259</v>
      </c>
      <c r="G24" s="3500" t="s">
        <v>259</v>
      </c>
      <c r="H24" s="3500" t="s">
        <v>259</v>
      </c>
    </row>
    <row r="25" spans="1:8" x14ac:dyDescent="0.2">
      <c r="A25" s="3627" t="s">
        <v>1218</v>
      </c>
      <c r="B25" s="3507" t="s">
        <v>259</v>
      </c>
      <c r="C25" s="3507" t="s">
        <v>259</v>
      </c>
      <c r="D25" s="3507" t="s">
        <v>259</v>
      </c>
      <c r="E25" s="3507" t="s">
        <v>259</v>
      </c>
      <c r="F25" s="3507" t="s">
        <v>259</v>
      </c>
      <c r="G25" s="3507" t="s">
        <v>259</v>
      </c>
      <c r="H25" s="3507" t="s">
        <v>259</v>
      </c>
    </row>
    <row r="26" spans="1:8" x14ac:dyDescent="0.2">
      <c r="A26" s="792" t="s">
        <v>564</v>
      </c>
      <c r="B26" s="663"/>
      <c r="C26" s="663"/>
      <c r="D26" s="663"/>
      <c r="E26" s="663"/>
      <c r="F26" s="663"/>
      <c r="G26" s="663"/>
      <c r="H26" s="663"/>
    </row>
    <row r="27" spans="1:8" x14ac:dyDescent="0.2">
      <c r="A27" s="5672" t="s">
        <v>1708</v>
      </c>
      <c r="B27" s="5672"/>
      <c r="C27" s="5672"/>
      <c r="D27" s="5672"/>
      <c r="E27" s="5672"/>
      <c r="F27" s="5672"/>
      <c r="G27" s="5672"/>
      <c r="H27" s="5672"/>
    </row>
    <row r="28" spans="1:8" x14ac:dyDescent="0.2">
      <c r="A28" s="3322"/>
      <c r="B28" s="3322"/>
      <c r="C28" s="3322"/>
      <c r="D28" s="3322"/>
      <c r="E28" s="3322"/>
      <c r="F28" s="3322"/>
      <c r="G28" s="3322"/>
      <c r="H28" s="3322"/>
    </row>
    <row r="29" spans="1:8" ht="13.5" x14ac:dyDescent="0.2">
      <c r="A29" s="5645" t="s">
        <v>1707</v>
      </c>
      <c r="B29" s="5645"/>
      <c r="C29" s="5645"/>
      <c r="D29" s="5645"/>
      <c r="E29" s="5645"/>
      <c r="F29" s="5645"/>
      <c r="G29" s="5645"/>
      <c r="H29" s="5645"/>
    </row>
    <row r="30" spans="1:8" ht="25.5" customHeight="1" x14ac:dyDescent="0.2">
      <c r="A30" s="5645" t="s">
        <v>1706</v>
      </c>
      <c r="B30" s="5645"/>
      <c r="C30" s="5645"/>
      <c r="D30" s="5645"/>
      <c r="E30" s="5645"/>
      <c r="F30" s="5645"/>
      <c r="G30" s="5645"/>
      <c r="H30" s="5645"/>
    </row>
    <row r="31" spans="1:8" ht="25.5" customHeight="1" x14ac:dyDescent="0.2">
      <c r="A31" s="5645" t="s">
        <v>1705</v>
      </c>
      <c r="B31" s="5645"/>
      <c r="C31" s="5645"/>
      <c r="D31" s="5645"/>
      <c r="E31" s="5645"/>
      <c r="F31" s="5645"/>
      <c r="G31" s="5645"/>
      <c r="H31" s="5645"/>
    </row>
    <row r="32" spans="1:8" ht="13.5" x14ac:dyDescent="0.2">
      <c r="A32" s="5645" t="s">
        <v>1704</v>
      </c>
      <c r="B32" s="5645"/>
      <c r="C32" s="5645"/>
      <c r="D32" s="5645"/>
      <c r="E32" s="5645"/>
      <c r="F32" s="5645"/>
      <c r="G32" s="5645"/>
      <c r="H32" s="5645"/>
    </row>
    <row r="33" spans="1:8" x14ac:dyDescent="0.2">
      <c r="A33" s="735"/>
      <c r="B33" s="660"/>
      <c r="C33" s="660"/>
      <c r="D33" s="660"/>
      <c r="E33" s="660"/>
      <c r="F33" s="660"/>
      <c r="G33" s="660"/>
      <c r="H33" s="660"/>
    </row>
    <row r="34" spans="1:8" x14ac:dyDescent="0.2">
      <c r="A34" s="5781" t="s">
        <v>1652</v>
      </c>
      <c r="B34" s="5782"/>
      <c r="C34" s="5782"/>
      <c r="D34" s="5782"/>
      <c r="E34" s="5782"/>
      <c r="F34" s="5782"/>
      <c r="G34" s="5782"/>
      <c r="H34" s="5783"/>
    </row>
    <row r="35" spans="1:8" x14ac:dyDescent="0.2">
      <c r="A35" s="5654" t="s">
        <v>1703</v>
      </c>
      <c r="B35" s="5655"/>
      <c r="C35" s="5655"/>
      <c r="D35" s="5655"/>
      <c r="E35" s="5655"/>
      <c r="F35" s="5655"/>
      <c r="G35" s="5655"/>
      <c r="H35" s="5656"/>
    </row>
    <row r="36" spans="1:8" x14ac:dyDescent="0.2">
      <c r="A36" s="5654" t="s">
        <v>1702</v>
      </c>
      <c r="B36" s="5655"/>
      <c r="C36" s="5655"/>
      <c r="D36" s="5655"/>
      <c r="E36" s="5655"/>
      <c r="F36" s="5655"/>
      <c r="G36" s="5655"/>
      <c r="H36" s="5656"/>
    </row>
    <row r="37" spans="1:8" x14ac:dyDescent="0.2">
      <c r="A37" s="5657" t="s">
        <v>1701</v>
      </c>
      <c r="B37" s="5658"/>
      <c r="C37" s="5658"/>
      <c r="D37" s="5658"/>
      <c r="E37" s="5658"/>
      <c r="F37" s="5658"/>
      <c r="G37" s="5658"/>
      <c r="H37" s="5659"/>
    </row>
    <row r="38" spans="1:8" s="791" customFormat="1" x14ac:dyDescent="0.2">
      <c r="A38" s="3626" t="s">
        <v>980</v>
      </c>
      <c r="B38" s="5696" t="s">
        <v>986</v>
      </c>
      <c r="C38" s="5697"/>
      <c r="D38" s="5697"/>
      <c r="E38" s="5697"/>
      <c r="F38" s="5697"/>
      <c r="G38" s="5697"/>
      <c r="H38" s="5697"/>
    </row>
  </sheetData>
  <sheetProtection password="A754" sheet="1" objects="1" scenarios="1"/>
  <mergeCells count="17">
    <mergeCell ref="B38:H38"/>
    <mergeCell ref="A35:H35"/>
    <mergeCell ref="A36:H36"/>
    <mergeCell ref="A37:H37"/>
    <mergeCell ref="C8:E8"/>
    <mergeCell ref="F8:H8"/>
    <mergeCell ref="A27:H27"/>
    <mergeCell ref="A29:H29"/>
    <mergeCell ref="A30:H30"/>
    <mergeCell ref="A31:H31"/>
    <mergeCell ref="A32:H32"/>
    <mergeCell ref="A34:H34"/>
    <mergeCell ref="A1:D1"/>
    <mergeCell ref="A2:G2"/>
    <mergeCell ref="C5:E5"/>
    <mergeCell ref="F5:H5"/>
    <mergeCell ref="B6:B7"/>
  </mergeCells>
  <pageMargins left="0.7" right="0.7" top="0.75" bottom="0.75" header="0.3" footer="0.3"/>
  <pageSetup paperSize="9" scale="34" fitToHeight="0"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FD2F9-FB2A-4FC7-987C-3E06FF377AF2}">
  <sheetPr codeName="Ark116">
    <tabColor theme="0" tint="-0.34998626667073579"/>
    <pageSetUpPr fitToPage="1"/>
  </sheetPr>
  <dimension ref="A1:Q37"/>
  <sheetViews>
    <sheetView showGridLines="0" workbookViewId="0">
      <selection sqref="A1:D1"/>
    </sheetView>
  </sheetViews>
  <sheetFormatPr defaultColWidth="8" defaultRowHeight="12" customHeight="1" x14ac:dyDescent="0.2"/>
  <cols>
    <col min="1" max="1" width="34.140625" style="659" customWidth="1"/>
    <col min="2" max="2" width="16.28515625" style="659" customWidth="1"/>
    <col min="3" max="3" width="12.28515625" style="659" customWidth="1"/>
    <col min="4" max="4" width="12.5703125" style="659" customWidth="1"/>
    <col min="5" max="6" width="12.85546875" style="659" customWidth="1"/>
    <col min="7" max="8" width="15.7109375" style="659" customWidth="1"/>
    <col min="9" max="9" width="12.7109375" style="659" customWidth="1"/>
    <col min="10" max="10" width="13.42578125" style="659" customWidth="1"/>
    <col min="11" max="11" width="3" style="659" customWidth="1"/>
    <col min="12" max="12" width="14.140625" style="659" customWidth="1"/>
    <col min="13" max="17" width="8" style="659"/>
    <col min="18" max="18" width="4.5703125" style="659" customWidth="1"/>
    <col min="19" max="19" width="8" style="659"/>
    <col min="20" max="20" width="6.85546875" style="659" customWidth="1"/>
    <col min="21" max="16384" width="8" style="659"/>
  </cols>
  <sheetData>
    <row r="1" spans="1:17" ht="15.75" customHeight="1" x14ac:dyDescent="0.2">
      <c r="A1" s="5471" t="s">
        <v>1760</v>
      </c>
      <c r="B1" s="5471"/>
      <c r="C1" s="5471"/>
      <c r="D1" s="5471"/>
      <c r="E1" s="660"/>
      <c r="F1" s="660"/>
      <c r="G1" s="660"/>
      <c r="H1" s="660"/>
      <c r="I1" s="660"/>
      <c r="J1" s="668" t="s">
        <v>1762</v>
      </c>
      <c r="K1" s="660"/>
      <c r="L1" s="660"/>
      <c r="M1" s="660"/>
      <c r="N1" s="660"/>
      <c r="O1" s="660"/>
      <c r="P1" s="660"/>
      <c r="Q1" s="660"/>
    </row>
    <row r="2" spans="1:17" ht="15.75" customHeight="1" x14ac:dyDescent="0.25">
      <c r="A2" s="5471" t="s">
        <v>1759</v>
      </c>
      <c r="B2" s="5471"/>
      <c r="C2" s="670"/>
      <c r="D2" s="670"/>
      <c r="E2" s="660"/>
      <c r="F2" s="660"/>
      <c r="G2" s="660"/>
      <c r="H2" s="660"/>
      <c r="I2" s="660"/>
      <c r="J2" s="668" t="s">
        <v>1761</v>
      </c>
      <c r="K2" s="660"/>
      <c r="L2" s="660"/>
      <c r="M2" s="660"/>
      <c r="N2" s="660"/>
      <c r="O2" s="660"/>
      <c r="P2" s="660"/>
      <c r="Q2" s="660"/>
    </row>
    <row r="3" spans="1:17" ht="15.75" customHeight="1" x14ac:dyDescent="0.25">
      <c r="A3" s="687" t="s">
        <v>1197</v>
      </c>
      <c r="B3" s="670"/>
      <c r="C3" s="670"/>
      <c r="D3" s="670"/>
      <c r="E3" s="660"/>
      <c r="F3" s="660"/>
      <c r="G3" s="660"/>
      <c r="H3" s="660"/>
      <c r="I3" s="660"/>
      <c r="J3" s="668" t="s">
        <v>1789</v>
      </c>
      <c r="K3" s="660"/>
      <c r="L3" s="660"/>
      <c r="M3" s="660"/>
      <c r="N3" s="660"/>
      <c r="O3" s="660"/>
      <c r="P3" s="660"/>
      <c r="Q3" s="660"/>
    </row>
    <row r="4" spans="1:17" ht="12.75" customHeight="1" x14ac:dyDescent="0.2">
      <c r="A4" s="660"/>
      <c r="B4" s="660"/>
      <c r="C4" s="660"/>
      <c r="D4" s="660"/>
      <c r="E4" s="660"/>
      <c r="F4" s="660"/>
      <c r="G4" s="660"/>
      <c r="H4" s="660"/>
      <c r="I4" s="660"/>
      <c r="J4" s="660"/>
      <c r="K4" s="660"/>
      <c r="L4" s="660"/>
      <c r="M4" s="660"/>
      <c r="N4" s="660"/>
      <c r="O4" s="660"/>
      <c r="P4" s="660"/>
      <c r="Q4" s="660"/>
    </row>
    <row r="5" spans="1:17" ht="12" customHeight="1" x14ac:dyDescent="0.2">
      <c r="A5" s="5789" t="s">
        <v>1758</v>
      </c>
      <c r="B5" s="5719" t="s">
        <v>1757</v>
      </c>
      <c r="C5" s="5720"/>
      <c r="D5" s="5790"/>
      <c r="E5" s="5719" t="s">
        <v>1756</v>
      </c>
      <c r="F5" s="5721"/>
      <c r="G5" s="5703" t="s">
        <v>1081</v>
      </c>
      <c r="H5" s="5705"/>
      <c r="I5" s="5705"/>
      <c r="J5" s="5704"/>
      <c r="K5" s="660"/>
      <c r="L5" s="660"/>
      <c r="M5" s="660"/>
      <c r="N5" s="660"/>
      <c r="O5" s="660"/>
      <c r="P5" s="660"/>
      <c r="Q5" s="660"/>
    </row>
    <row r="6" spans="1:17" ht="12" customHeight="1" x14ac:dyDescent="0.2">
      <c r="A6" s="5674"/>
      <c r="B6" s="5791" t="s">
        <v>1755</v>
      </c>
      <c r="C6" s="5780" t="s">
        <v>1754</v>
      </c>
      <c r="D6" s="3639"/>
      <c r="E6" s="5791" t="s">
        <v>1753</v>
      </c>
      <c r="F6" s="5791" t="s">
        <v>1752</v>
      </c>
      <c r="G6" s="5719" t="s">
        <v>1023</v>
      </c>
      <c r="H6" s="5720"/>
      <c r="I6" s="5721"/>
      <c r="J6" s="5792" t="s">
        <v>1752</v>
      </c>
      <c r="K6" s="660"/>
      <c r="L6" s="660"/>
      <c r="M6" s="660"/>
      <c r="N6" s="660"/>
      <c r="O6" s="660"/>
      <c r="P6" s="660"/>
      <c r="Q6" s="660"/>
    </row>
    <row r="7" spans="1:17" ht="12" customHeight="1" x14ac:dyDescent="0.2">
      <c r="A7" s="5674"/>
      <c r="B7" s="5678"/>
      <c r="C7" s="5670"/>
      <c r="D7" s="809" t="s">
        <v>1751</v>
      </c>
      <c r="E7" s="5678"/>
      <c r="F7" s="5678"/>
      <c r="G7" s="5791" t="s">
        <v>1750</v>
      </c>
      <c r="H7" s="5791" t="s">
        <v>1694</v>
      </c>
      <c r="I7" s="5791" t="s">
        <v>1749</v>
      </c>
      <c r="J7" s="5684"/>
      <c r="K7" s="660"/>
      <c r="L7" s="660"/>
      <c r="M7" s="660"/>
      <c r="N7" s="660"/>
      <c r="O7" s="660"/>
      <c r="P7" s="660"/>
      <c r="Q7" s="660"/>
    </row>
    <row r="8" spans="1:17" ht="39.75" customHeight="1" x14ac:dyDescent="0.2">
      <c r="A8" s="5674"/>
      <c r="B8" s="5679"/>
      <c r="C8" s="5650"/>
      <c r="D8" s="799"/>
      <c r="E8" s="5679"/>
      <c r="F8" s="5679"/>
      <c r="G8" s="5679"/>
      <c r="H8" s="5679"/>
      <c r="I8" s="5679"/>
      <c r="J8" s="5685"/>
      <c r="K8" s="660"/>
      <c r="L8" s="660"/>
      <c r="M8" s="660"/>
      <c r="N8" s="660"/>
      <c r="O8" s="660"/>
      <c r="P8" s="660"/>
      <c r="Q8" s="660"/>
    </row>
    <row r="9" spans="1:17" ht="36" customHeight="1" thickBot="1" x14ac:dyDescent="0.25">
      <c r="A9" s="5675"/>
      <c r="B9" s="5453" t="s">
        <v>1748</v>
      </c>
      <c r="C9" s="5455"/>
      <c r="D9" s="808" t="s">
        <v>1747</v>
      </c>
      <c r="E9" s="808" t="s">
        <v>1746</v>
      </c>
      <c r="F9" s="3301" t="s">
        <v>1745</v>
      </c>
      <c r="G9" s="5450" t="s">
        <v>1744</v>
      </c>
      <c r="H9" s="5451"/>
      <c r="I9" s="5451"/>
      <c r="J9" s="5452"/>
      <c r="K9" s="660"/>
      <c r="L9" s="660"/>
      <c r="M9" s="660"/>
      <c r="N9" s="660"/>
      <c r="O9" s="660"/>
      <c r="P9" s="660"/>
      <c r="Q9" s="660"/>
    </row>
    <row r="10" spans="1:17" ht="12.75" thickTop="1" x14ac:dyDescent="0.2">
      <c r="A10" s="807" t="s">
        <v>1743</v>
      </c>
      <c r="B10" s="3500">
        <v>391.03407099999998</v>
      </c>
      <c r="C10" s="3500">
        <v>42.957351281000001</v>
      </c>
      <c r="D10" s="3500">
        <v>3.2450480374000001</v>
      </c>
      <c r="E10" s="3507">
        <v>9.3914063672500006E-2</v>
      </c>
      <c r="F10" s="3507">
        <v>8.7493051226980006E-2</v>
      </c>
      <c r="G10" s="3500">
        <v>2.11612396770925</v>
      </c>
      <c r="H10" s="3500">
        <v>3.1461340613000002</v>
      </c>
      <c r="I10" s="3500">
        <v>31.461340613000001</v>
      </c>
      <c r="J10" s="3500">
        <v>0.44615867083897998</v>
      </c>
      <c r="K10" s="660"/>
      <c r="L10" s="660"/>
      <c r="M10" s="660"/>
      <c r="N10" s="660"/>
      <c r="O10" s="660"/>
      <c r="P10" s="660"/>
      <c r="Q10" s="660"/>
    </row>
    <row r="11" spans="1:17" x14ac:dyDescent="0.2">
      <c r="A11" s="3638" t="s">
        <v>1742</v>
      </c>
      <c r="B11" s="3500" t="s">
        <v>455</v>
      </c>
      <c r="C11" s="3500" t="s">
        <v>455</v>
      </c>
      <c r="D11" s="3500">
        <v>0.28264099751999999</v>
      </c>
      <c r="E11" s="3507" t="s">
        <v>1366</v>
      </c>
      <c r="F11" s="3507">
        <v>0.10499999999836999</v>
      </c>
      <c r="G11" s="3500" t="s">
        <v>455</v>
      </c>
      <c r="H11" s="3500" t="s">
        <v>259</v>
      </c>
      <c r="I11" s="3500" t="s">
        <v>455</v>
      </c>
      <c r="J11" s="3500">
        <v>4.6635764590070003E-2</v>
      </c>
      <c r="K11" s="660"/>
      <c r="L11" s="660"/>
      <c r="M11" s="660"/>
      <c r="N11" s="660"/>
      <c r="O11" s="660"/>
      <c r="P11" s="660"/>
      <c r="Q11" s="660"/>
    </row>
    <row r="12" spans="1:17" x14ac:dyDescent="0.2">
      <c r="A12" s="3638" t="s">
        <v>1567</v>
      </c>
      <c r="B12" s="3507" t="s">
        <v>259</v>
      </c>
      <c r="C12" s="3507" t="s">
        <v>259</v>
      </c>
      <c r="D12" s="3507" t="s">
        <v>259</v>
      </c>
      <c r="E12" s="3507" t="s">
        <v>259</v>
      </c>
      <c r="F12" s="3507" t="s">
        <v>259</v>
      </c>
      <c r="G12" s="3507" t="s">
        <v>259</v>
      </c>
      <c r="H12" s="3507" t="s">
        <v>259</v>
      </c>
      <c r="I12" s="3507" t="s">
        <v>259</v>
      </c>
      <c r="J12" s="3507" t="s">
        <v>259</v>
      </c>
      <c r="K12" s="660"/>
      <c r="L12" s="660"/>
      <c r="M12" s="660"/>
      <c r="N12" s="660"/>
      <c r="O12" s="660"/>
      <c r="P12" s="660"/>
      <c r="Q12" s="660"/>
    </row>
    <row r="13" spans="1:17" ht="12" customHeight="1" x14ac:dyDescent="0.2">
      <c r="A13" s="3491" t="s">
        <v>564</v>
      </c>
      <c r="B13" s="689"/>
      <c r="C13" s="689"/>
      <c r="D13" s="806"/>
      <c r="E13" s="806"/>
      <c r="F13" s="689"/>
      <c r="G13" s="3637"/>
      <c r="H13" s="3637"/>
      <c r="I13" s="3636"/>
      <c r="J13" s="3636"/>
      <c r="K13" s="660"/>
      <c r="L13" s="660"/>
      <c r="M13" s="660"/>
      <c r="N13" s="660"/>
      <c r="O13" s="660"/>
      <c r="P13" s="660"/>
      <c r="Q13" s="660"/>
    </row>
    <row r="14" spans="1:17" ht="12" customHeight="1" x14ac:dyDescent="0.2">
      <c r="A14" s="5686" t="s">
        <v>1740</v>
      </c>
      <c r="B14" s="5687"/>
      <c r="C14" s="5687"/>
      <c r="D14" s="5687"/>
      <c r="E14" s="5687"/>
      <c r="F14" s="5687"/>
      <c r="G14" s="5687"/>
      <c r="H14" s="5687"/>
      <c r="I14" s="5687"/>
      <c r="J14" s="3488"/>
      <c r="K14" s="3636"/>
      <c r="L14" s="660"/>
      <c r="M14" s="660"/>
      <c r="N14" s="660"/>
      <c r="O14" s="660"/>
      <c r="P14" s="660"/>
      <c r="Q14" s="660"/>
    </row>
    <row r="15" spans="1:17" ht="12" customHeight="1" x14ac:dyDescent="0.2">
      <c r="A15" s="5456" t="s">
        <v>1739</v>
      </c>
      <c r="B15" s="5456"/>
      <c r="C15" s="5456"/>
      <c r="D15" s="5456"/>
      <c r="E15" s="5456"/>
      <c r="F15" s="5456"/>
      <c r="G15" s="5456"/>
      <c r="H15" s="5456"/>
      <c r="I15" s="660"/>
      <c r="J15" s="660"/>
      <c r="K15" s="3488"/>
      <c r="L15" s="660"/>
      <c r="M15" s="660"/>
      <c r="N15" s="660"/>
      <c r="O15" s="660"/>
      <c r="P15" s="660"/>
      <c r="Q15" s="660"/>
    </row>
    <row r="16" spans="1:17" ht="13.5" x14ac:dyDescent="0.2">
      <c r="A16" s="5456" t="s">
        <v>1738</v>
      </c>
      <c r="B16" s="5456"/>
      <c r="C16" s="5456"/>
      <c r="D16" s="5456"/>
      <c r="E16" s="5456"/>
      <c r="F16" s="5456"/>
      <c r="G16" s="5456"/>
      <c r="H16" s="5456"/>
      <c r="I16" s="660"/>
      <c r="J16" s="660"/>
      <c r="K16" s="660"/>
      <c r="L16" s="660"/>
      <c r="M16" s="660"/>
      <c r="N16" s="660"/>
      <c r="O16" s="660"/>
      <c r="P16" s="660"/>
      <c r="Q16" s="660"/>
    </row>
    <row r="17" spans="1:17" ht="12" customHeight="1" x14ac:dyDescent="0.2">
      <c r="A17" s="5456" t="s">
        <v>1737</v>
      </c>
      <c r="B17" s="5456"/>
      <c r="C17" s="5456"/>
      <c r="D17" s="660"/>
      <c r="E17" s="660"/>
      <c r="F17" s="660"/>
      <c r="G17" s="660"/>
      <c r="H17" s="660"/>
      <c r="I17" s="660"/>
      <c r="J17" s="660"/>
      <c r="K17" s="660"/>
      <c r="L17" s="660"/>
      <c r="M17" s="660"/>
      <c r="N17" s="660"/>
      <c r="O17" s="660"/>
      <c r="P17" s="660"/>
      <c r="Q17" s="660"/>
    </row>
    <row r="18" spans="1:17" ht="12" customHeight="1" x14ac:dyDescent="0.2">
      <c r="A18" s="5456" t="s">
        <v>1736</v>
      </c>
      <c r="B18" s="5456"/>
      <c r="C18" s="5456"/>
      <c r="D18" s="5456"/>
      <c r="E18" s="5456"/>
      <c r="F18" s="660"/>
      <c r="G18" s="660"/>
      <c r="H18" s="660"/>
      <c r="I18" s="660"/>
      <c r="J18" s="660"/>
      <c r="K18" s="660"/>
      <c r="L18" s="660"/>
      <c r="M18" s="660"/>
      <c r="N18" s="660"/>
      <c r="O18" s="660"/>
      <c r="P18" s="660"/>
      <c r="Q18" s="660"/>
    </row>
    <row r="19" spans="1:17" x14ac:dyDescent="0.2">
      <c r="A19" s="5692" t="s">
        <v>1735</v>
      </c>
      <c r="B19" s="5460"/>
      <c r="C19" s="5460"/>
      <c r="D19" s="5460"/>
      <c r="E19" s="5460"/>
      <c r="F19" s="5460"/>
      <c r="G19" s="5460"/>
      <c r="H19" s="5460"/>
      <c r="I19" s="5460"/>
      <c r="J19" s="5460"/>
      <c r="K19" s="660"/>
      <c r="L19" s="660"/>
      <c r="M19" s="660"/>
      <c r="N19" s="660"/>
      <c r="O19" s="660"/>
      <c r="P19" s="660"/>
      <c r="Q19" s="660"/>
    </row>
    <row r="20" spans="1:17" ht="13.5" x14ac:dyDescent="0.2">
      <c r="A20" s="3488"/>
      <c r="B20" s="3299"/>
      <c r="C20" s="3299"/>
      <c r="D20" s="3299"/>
      <c r="E20" s="3299"/>
      <c r="F20" s="3299"/>
      <c r="G20" s="3299"/>
      <c r="H20" s="3299"/>
      <c r="I20" s="3299"/>
      <c r="J20" s="3299"/>
      <c r="K20" s="660"/>
      <c r="L20" s="660"/>
      <c r="M20" s="660"/>
      <c r="N20" s="660"/>
      <c r="O20" s="660"/>
      <c r="P20" s="660"/>
      <c r="Q20" s="660"/>
    </row>
    <row r="21" spans="1:17" x14ac:dyDescent="0.2">
      <c r="A21" s="805" t="s">
        <v>1256</v>
      </c>
      <c r="B21" s="3299"/>
      <c r="C21" s="3299"/>
      <c r="D21" s="3299"/>
      <c r="E21" s="3299"/>
      <c r="F21" s="3299"/>
      <c r="G21" s="3299"/>
      <c r="H21" s="3299"/>
      <c r="I21" s="3299"/>
      <c r="J21" s="3299"/>
      <c r="K21" s="660"/>
      <c r="L21" s="660"/>
      <c r="M21" s="660"/>
      <c r="N21" s="660"/>
      <c r="O21" s="660"/>
      <c r="P21" s="660"/>
      <c r="Q21" s="660"/>
    </row>
    <row r="22" spans="1:17" x14ac:dyDescent="0.2">
      <c r="A22" s="3560" t="s">
        <v>1734</v>
      </c>
      <c r="B22" s="3500">
        <v>5822.7629999999999</v>
      </c>
      <c r="C22" s="3299"/>
      <c r="D22" s="3299"/>
      <c r="E22" s="3299"/>
      <c r="F22" s="3299"/>
      <c r="G22" s="3299"/>
      <c r="H22" s="3299"/>
      <c r="I22" s="3299"/>
      <c r="J22" s="3299"/>
      <c r="K22" s="660"/>
      <c r="L22" s="660"/>
      <c r="M22" s="660"/>
      <c r="N22" s="660"/>
      <c r="O22" s="660"/>
      <c r="P22" s="660"/>
      <c r="Q22" s="660"/>
    </row>
    <row r="23" spans="1:17" x14ac:dyDescent="0.2">
      <c r="A23" s="3635" t="s">
        <v>1733</v>
      </c>
      <c r="B23" s="3500">
        <v>39.310499999999998</v>
      </c>
      <c r="C23" s="3299"/>
      <c r="D23" s="3299"/>
      <c r="E23" s="3299"/>
      <c r="F23" s="3299"/>
      <c r="G23" s="3299"/>
      <c r="H23" s="3299"/>
      <c r="I23" s="3299"/>
      <c r="J23" s="3299"/>
      <c r="K23" s="660"/>
      <c r="L23" s="660"/>
      <c r="M23" s="660"/>
      <c r="N23" s="660"/>
      <c r="O23" s="660"/>
      <c r="P23" s="660"/>
      <c r="Q23" s="660"/>
    </row>
    <row r="24" spans="1:17" x14ac:dyDescent="0.2">
      <c r="A24" s="3635" t="s">
        <v>1732</v>
      </c>
      <c r="B24" s="3500">
        <v>0.16</v>
      </c>
      <c r="C24" s="3299"/>
      <c r="D24" s="3299"/>
      <c r="E24" s="3299"/>
      <c r="F24" s="3299"/>
      <c r="G24" s="3299"/>
      <c r="H24" s="3299"/>
      <c r="I24" s="3299"/>
      <c r="J24" s="3299"/>
      <c r="K24" s="660"/>
      <c r="L24" s="660"/>
      <c r="M24" s="660"/>
      <c r="N24" s="660"/>
      <c r="O24" s="660"/>
      <c r="P24" s="660"/>
      <c r="Q24" s="660"/>
    </row>
    <row r="25" spans="1:17" ht="13.5" x14ac:dyDescent="0.2">
      <c r="A25" s="3635" t="s">
        <v>1731</v>
      </c>
      <c r="B25" s="3500">
        <v>1.4</v>
      </c>
      <c r="C25" s="3299"/>
      <c r="D25" s="3299"/>
      <c r="E25" s="3299"/>
      <c r="F25" s="3299"/>
      <c r="G25" s="3299"/>
      <c r="H25" s="3299"/>
      <c r="I25" s="3299"/>
      <c r="J25" s="3299"/>
      <c r="K25" s="660"/>
      <c r="L25" s="660"/>
      <c r="M25" s="660"/>
      <c r="N25" s="660"/>
      <c r="O25" s="660"/>
      <c r="P25" s="660"/>
      <c r="Q25" s="660"/>
    </row>
    <row r="26" spans="1:17" ht="13.5" x14ac:dyDescent="0.2">
      <c r="A26" s="3560" t="s">
        <v>1730</v>
      </c>
      <c r="B26" s="3500">
        <v>1.25</v>
      </c>
      <c r="C26" s="3299"/>
      <c r="D26" s="3299"/>
      <c r="E26" s="3299"/>
      <c r="F26" s="3299"/>
      <c r="G26" s="3299"/>
      <c r="H26" s="3299"/>
      <c r="I26" s="3299"/>
      <c r="J26" s="3299"/>
      <c r="K26" s="660"/>
      <c r="L26" s="660"/>
      <c r="M26" s="660"/>
      <c r="N26" s="660"/>
      <c r="O26" s="660"/>
      <c r="P26" s="660"/>
      <c r="Q26" s="660"/>
    </row>
    <row r="27" spans="1:17" ht="13.5" x14ac:dyDescent="0.2">
      <c r="A27" s="3560" t="s">
        <v>1729</v>
      </c>
      <c r="B27" s="3500">
        <v>91.3</v>
      </c>
      <c r="C27" s="3299"/>
      <c r="D27" s="3299"/>
      <c r="E27" s="3299"/>
      <c r="F27" s="3299"/>
      <c r="G27" s="3299"/>
      <c r="H27" s="3299"/>
      <c r="I27" s="3299"/>
      <c r="J27" s="3299"/>
      <c r="K27" s="660"/>
      <c r="L27" s="660"/>
      <c r="M27" s="660"/>
      <c r="N27" s="660"/>
      <c r="O27" s="660"/>
      <c r="P27" s="660"/>
      <c r="Q27" s="660"/>
    </row>
    <row r="28" spans="1:17" x14ac:dyDescent="0.2">
      <c r="A28" s="660"/>
      <c r="B28" s="3299"/>
      <c r="C28" s="3299"/>
      <c r="D28" s="3299"/>
      <c r="E28" s="3299"/>
      <c r="F28" s="3299"/>
      <c r="G28" s="3299"/>
      <c r="H28" s="3299"/>
      <c r="I28" s="3299"/>
      <c r="J28" s="3299"/>
      <c r="K28" s="660"/>
      <c r="L28" s="660"/>
      <c r="M28" s="660"/>
      <c r="N28" s="660"/>
      <c r="O28" s="660"/>
      <c r="P28" s="660"/>
      <c r="Q28" s="660"/>
    </row>
    <row r="29" spans="1:17" x14ac:dyDescent="0.2">
      <c r="A29" s="686" t="s">
        <v>1728</v>
      </c>
      <c r="B29" s="3299"/>
      <c r="C29" s="3299"/>
      <c r="D29" s="3299"/>
      <c r="E29" s="3299"/>
      <c r="F29" s="3299"/>
      <c r="G29" s="3299"/>
      <c r="H29" s="3299"/>
      <c r="I29" s="3299"/>
      <c r="J29" s="3299"/>
      <c r="K29" s="660"/>
      <c r="L29" s="660"/>
      <c r="M29" s="660"/>
      <c r="N29" s="660"/>
      <c r="O29" s="660"/>
      <c r="P29" s="660"/>
      <c r="Q29" s="660"/>
    </row>
    <row r="30" spans="1:17" ht="13.5" x14ac:dyDescent="0.25">
      <c r="A30" s="3305" t="s">
        <v>1727</v>
      </c>
      <c r="B30" s="3299"/>
      <c r="C30" s="3299"/>
      <c r="D30" s="3299"/>
      <c r="E30" s="3299"/>
      <c r="F30" s="3299"/>
      <c r="G30" s="3299"/>
      <c r="H30" s="3299"/>
      <c r="I30" s="3299"/>
      <c r="J30" s="3299"/>
      <c r="K30" s="660"/>
      <c r="L30" s="660"/>
      <c r="M30" s="660"/>
      <c r="N30" s="660"/>
      <c r="O30" s="660"/>
      <c r="P30" s="660"/>
      <c r="Q30" s="660"/>
    </row>
    <row r="31" spans="1:17" ht="13.5" customHeight="1" x14ac:dyDescent="0.2">
      <c r="A31" s="3304" t="s">
        <v>1726</v>
      </c>
      <c r="B31" s="3299"/>
      <c r="C31" s="3299"/>
      <c r="D31" s="3299"/>
      <c r="E31" s="3299"/>
      <c r="F31" s="3299"/>
      <c r="G31" s="3299"/>
      <c r="H31" s="3299"/>
      <c r="I31" s="3299"/>
      <c r="J31" s="3299"/>
      <c r="K31" s="660"/>
      <c r="L31" s="660"/>
      <c r="M31" s="660"/>
      <c r="N31" s="660"/>
      <c r="O31" s="660"/>
      <c r="P31" s="660"/>
      <c r="Q31" s="660"/>
    </row>
    <row r="32" spans="1:17" ht="13.5" x14ac:dyDescent="0.25">
      <c r="A32" s="660" t="s">
        <v>1725</v>
      </c>
      <c r="B32" s="3299"/>
      <c r="C32" s="3299"/>
      <c r="D32" s="3299"/>
      <c r="E32" s="3299"/>
      <c r="F32" s="3299"/>
      <c r="G32" s="3299"/>
      <c r="H32" s="3299"/>
      <c r="I32" s="3299"/>
      <c r="J32" s="3299"/>
      <c r="K32" s="660"/>
      <c r="L32" s="660"/>
      <c r="M32" s="660"/>
      <c r="N32" s="660"/>
      <c r="O32" s="660"/>
      <c r="P32" s="660"/>
      <c r="Q32" s="660"/>
    </row>
    <row r="33" spans="1:17" x14ac:dyDescent="0.2">
      <c r="A33" s="661"/>
      <c r="B33" s="661"/>
      <c r="C33" s="661"/>
      <c r="D33" s="661"/>
      <c r="E33" s="661"/>
      <c r="F33" s="661"/>
      <c r="G33" s="661"/>
      <c r="H33" s="661"/>
      <c r="I33" s="661"/>
      <c r="J33" s="660"/>
      <c r="K33" s="3323"/>
      <c r="L33" s="660"/>
      <c r="M33" s="660"/>
      <c r="N33" s="660"/>
      <c r="O33" s="660"/>
      <c r="P33" s="660"/>
      <c r="Q33" s="660"/>
    </row>
    <row r="34" spans="1:17" ht="15" customHeight="1" x14ac:dyDescent="0.2">
      <c r="A34" s="5710" t="s">
        <v>1652</v>
      </c>
      <c r="B34" s="5794"/>
      <c r="C34" s="5794"/>
      <c r="D34" s="5794"/>
      <c r="E34" s="5794"/>
      <c r="F34" s="5794"/>
      <c r="G34" s="5794"/>
      <c r="H34" s="5794"/>
      <c r="I34" s="5794"/>
      <c r="J34" s="5795"/>
      <c r="K34" s="660"/>
      <c r="L34" s="660"/>
      <c r="M34" s="660"/>
      <c r="N34" s="660"/>
      <c r="O34" s="660"/>
      <c r="P34" s="660"/>
      <c r="Q34" s="660"/>
    </row>
    <row r="35" spans="1:17" x14ac:dyDescent="0.2">
      <c r="A35" s="5689" t="s">
        <v>1724</v>
      </c>
      <c r="B35" s="5460"/>
      <c r="C35" s="5460"/>
      <c r="D35" s="5460"/>
      <c r="E35" s="5460"/>
      <c r="F35" s="5460"/>
      <c r="G35" s="5460"/>
      <c r="H35" s="5460"/>
      <c r="I35" s="5460"/>
      <c r="J35" s="5690"/>
      <c r="K35" s="660"/>
      <c r="L35" s="660"/>
      <c r="M35" s="660"/>
      <c r="N35" s="660"/>
      <c r="O35" s="660"/>
      <c r="P35" s="660"/>
      <c r="Q35" s="660"/>
    </row>
    <row r="36" spans="1:17" x14ac:dyDescent="0.2">
      <c r="A36" s="5691" t="s">
        <v>1723</v>
      </c>
      <c r="B36" s="5551"/>
      <c r="C36" s="5551"/>
      <c r="D36" s="5551"/>
      <c r="E36" s="5551"/>
      <c r="F36" s="5551"/>
      <c r="G36" s="5551"/>
      <c r="H36" s="5551"/>
      <c r="I36" s="5551"/>
      <c r="J36" s="5552"/>
      <c r="K36" s="660"/>
      <c r="L36" s="660"/>
      <c r="M36" s="660"/>
      <c r="N36" s="660"/>
      <c r="O36" s="660"/>
      <c r="P36" s="660"/>
      <c r="Q36" s="660"/>
    </row>
    <row r="37" spans="1:17" ht="12" customHeight="1" x14ac:dyDescent="0.2">
      <c r="A37" s="3634" t="s">
        <v>980</v>
      </c>
      <c r="B37" s="5696" t="s">
        <v>986</v>
      </c>
      <c r="C37" s="5793"/>
      <c r="D37" s="5793"/>
      <c r="E37" s="5793"/>
      <c r="F37" s="5793"/>
      <c r="G37" s="5793"/>
      <c r="H37" s="5793"/>
      <c r="I37" s="5793"/>
      <c r="J37" s="5793"/>
    </row>
  </sheetData>
  <sheetProtection password="A754" sheet="1" objects="1" scenarios="1"/>
  <mergeCells count="27">
    <mergeCell ref="A14:I14"/>
    <mergeCell ref="A15:H15"/>
    <mergeCell ref="B37:J37"/>
    <mergeCell ref="A35:J35"/>
    <mergeCell ref="A36:J36"/>
    <mergeCell ref="A16:H16"/>
    <mergeCell ref="A18:E18"/>
    <mergeCell ref="A19:J19"/>
    <mergeCell ref="A34:J34"/>
    <mergeCell ref="A17:C17"/>
    <mergeCell ref="H7:H8"/>
    <mergeCell ref="I7:I8"/>
    <mergeCell ref="G5:J5"/>
    <mergeCell ref="G9:J9"/>
    <mergeCell ref="G6:I6"/>
    <mergeCell ref="J6:J8"/>
    <mergeCell ref="G7:G8"/>
    <mergeCell ref="A1:D1"/>
    <mergeCell ref="A2:B2"/>
    <mergeCell ref="A5:A9"/>
    <mergeCell ref="B5:D5"/>
    <mergeCell ref="E5:F5"/>
    <mergeCell ref="B9:C9"/>
    <mergeCell ref="B6:B8"/>
    <mergeCell ref="C6:C8"/>
    <mergeCell ref="E6:E8"/>
    <mergeCell ref="F6:F8"/>
  </mergeCells>
  <dataValidations count="1">
    <dataValidation allowBlank="1" showInputMessage="1" showErrorMessage="1" sqref="K38:Q65548 A39:J65548 R1:IV65548" xr:uid="{00000000-0002-0000-3400-000000000000}"/>
  </dataValidations>
  <printOptions horizontalCentered="1" verticalCentered="1"/>
  <pageMargins left="0.39370078740157483" right="0.39370078740157483" top="0.39370078740157483" bottom="0.39370078740157483" header="0.19685039370078741" footer="0.19685039370078741"/>
  <pageSetup paperSize="9" scale="41"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8CC20-04AF-4061-AA46-F9449B84DF65}">
  <sheetPr codeName="Ark171">
    <tabColor theme="0" tint="-0.499984740745262"/>
    <pageSetUpPr fitToPage="1"/>
  </sheetPr>
  <dimension ref="A1:K73"/>
  <sheetViews>
    <sheetView showGridLines="0" workbookViewId="0">
      <selection activeCell="A6" sqref="A6"/>
    </sheetView>
  </sheetViews>
  <sheetFormatPr defaultColWidth="8" defaultRowHeight="12" x14ac:dyDescent="0.2"/>
  <cols>
    <col min="1" max="1" width="45.7109375" style="659" customWidth="1"/>
    <col min="2" max="2" width="11.7109375" style="659" customWidth="1"/>
    <col min="3" max="3" width="11" style="659" customWidth="1"/>
    <col min="4" max="4" width="10.85546875" style="659" customWidth="1"/>
    <col min="5" max="5" width="12.7109375" style="659" customWidth="1"/>
    <col min="6" max="6" width="11.140625" style="659" customWidth="1"/>
    <col min="7" max="9" width="10.28515625" style="659" customWidth="1"/>
    <col min="10" max="10" width="11.28515625" style="659" customWidth="1"/>
    <col min="11" max="11" width="1.28515625" style="659" customWidth="1"/>
    <col min="12" max="16384" width="8" style="659"/>
  </cols>
  <sheetData>
    <row r="1" spans="1:11" ht="17.25" x14ac:dyDescent="0.2">
      <c r="A1" s="5471" t="s">
        <v>4200</v>
      </c>
      <c r="B1" s="5471"/>
      <c r="C1" s="5471"/>
      <c r="D1" s="5471"/>
      <c r="E1" s="5471"/>
      <c r="F1" s="660"/>
      <c r="G1" s="660"/>
      <c r="H1" s="660"/>
      <c r="I1" s="660"/>
      <c r="J1" s="668" t="s">
        <v>4201</v>
      </c>
      <c r="K1" s="660"/>
    </row>
    <row r="2" spans="1:11" ht="15.75" x14ac:dyDescent="0.25">
      <c r="A2" s="687" t="s">
        <v>1197</v>
      </c>
      <c r="B2" s="670"/>
      <c r="C2" s="670"/>
      <c r="D2" s="670"/>
      <c r="E2" s="670"/>
      <c r="F2" s="660"/>
      <c r="G2" s="660"/>
      <c r="H2" s="660"/>
      <c r="I2" s="660"/>
      <c r="J2" s="668" t="s">
        <v>1761</v>
      </c>
      <c r="K2" s="660"/>
    </row>
    <row r="3" spans="1:11" x14ac:dyDescent="0.2">
      <c r="A3" s="660"/>
      <c r="B3" s="660"/>
      <c r="C3" s="660"/>
      <c r="D3" s="660"/>
      <c r="E3" s="660"/>
      <c r="F3" s="660"/>
      <c r="G3" s="660"/>
      <c r="H3" s="660"/>
      <c r="I3" s="660"/>
      <c r="J3" s="668" t="s">
        <v>1789</v>
      </c>
      <c r="K3" s="660"/>
    </row>
    <row r="4" spans="1:11" x14ac:dyDescent="0.2">
      <c r="A4" s="660"/>
      <c r="B4" s="660"/>
      <c r="C4" s="660"/>
      <c r="D4" s="660"/>
      <c r="E4" s="660"/>
      <c r="F4" s="660"/>
      <c r="G4" s="660"/>
      <c r="H4" s="660"/>
      <c r="I4" s="660"/>
      <c r="J4" s="1738"/>
      <c r="K4" s="660"/>
    </row>
    <row r="5" spans="1:11" ht="48" x14ac:dyDescent="0.2">
      <c r="A5" s="3654" t="s">
        <v>1084</v>
      </c>
      <c r="B5" s="3652" t="s">
        <v>4199</v>
      </c>
      <c r="C5" s="3652" t="s">
        <v>1023</v>
      </c>
      <c r="D5" s="3652" t="s">
        <v>1022</v>
      </c>
      <c r="E5" s="3652" t="s">
        <v>4198</v>
      </c>
      <c r="F5" s="3652" t="s">
        <v>4197</v>
      </c>
      <c r="G5" s="3652" t="s">
        <v>1018</v>
      </c>
      <c r="H5" s="3653" t="s">
        <v>4196</v>
      </c>
      <c r="I5" s="3652" t="s">
        <v>1164</v>
      </c>
      <c r="J5" s="3652" t="s">
        <v>2043</v>
      </c>
      <c r="K5" s="660"/>
    </row>
    <row r="6" spans="1:11" ht="14.25" thickBot="1" x14ac:dyDescent="0.25">
      <c r="A6" s="1737" t="s">
        <v>1080</v>
      </c>
      <c r="B6" s="5796" t="s">
        <v>4195</v>
      </c>
      <c r="C6" s="5797"/>
      <c r="D6" s="5797"/>
      <c r="E6" s="5797"/>
      <c r="F6" s="5797"/>
      <c r="G6" s="5797"/>
      <c r="H6" s="5797"/>
      <c r="I6" s="5797"/>
      <c r="J6" s="5798"/>
      <c r="K6" s="660"/>
    </row>
    <row r="7" spans="1:11" ht="15" thickTop="1" x14ac:dyDescent="0.2">
      <c r="A7" s="1736" t="s">
        <v>4194</v>
      </c>
      <c r="B7" s="3655">
        <v>60124.854407665895</v>
      </c>
      <c r="C7" s="3655">
        <v>8168.7999870946023</v>
      </c>
      <c r="D7" s="3655">
        <v>8539.2318274871723</v>
      </c>
      <c r="E7" s="3655" t="s">
        <v>1006</v>
      </c>
      <c r="F7" s="3655" t="s">
        <v>1006</v>
      </c>
      <c r="G7" s="3655">
        <v>42.408000000000001</v>
      </c>
      <c r="H7" s="3655" t="s">
        <v>1006</v>
      </c>
      <c r="I7" s="3655" t="s">
        <v>1006</v>
      </c>
      <c r="J7" s="3655">
        <v>76875.29422224767</v>
      </c>
      <c r="K7" s="660"/>
    </row>
    <row r="8" spans="1:11" x14ac:dyDescent="0.2">
      <c r="A8" s="3646" t="s">
        <v>4193</v>
      </c>
      <c r="B8" s="3655">
        <v>51671.708218904409</v>
      </c>
      <c r="C8" s="3655">
        <v>394.42691897368377</v>
      </c>
      <c r="D8" s="3655">
        <v>359.16795544873986</v>
      </c>
      <c r="E8" s="3656" t="s">
        <v>986</v>
      </c>
      <c r="F8" s="3656" t="s">
        <v>986</v>
      </c>
      <c r="G8" s="3656" t="s">
        <v>986</v>
      </c>
      <c r="H8" s="3656" t="s">
        <v>986</v>
      </c>
      <c r="I8" s="3656" t="s">
        <v>986</v>
      </c>
      <c r="J8" s="3655">
        <v>52425.303093326831</v>
      </c>
      <c r="K8" s="679"/>
    </row>
    <row r="9" spans="1:11" x14ac:dyDescent="0.2">
      <c r="A9" s="3647" t="s">
        <v>4192</v>
      </c>
      <c r="B9" s="3655">
        <v>51330.978130848722</v>
      </c>
      <c r="C9" s="3655">
        <v>261.66341062004977</v>
      </c>
      <c r="D9" s="3655">
        <v>306.16199184828855</v>
      </c>
      <c r="E9" s="3656" t="s">
        <v>986</v>
      </c>
      <c r="F9" s="3656" t="s">
        <v>986</v>
      </c>
      <c r="G9" s="3656" t="s">
        <v>986</v>
      </c>
      <c r="H9" s="3656" t="s">
        <v>986</v>
      </c>
      <c r="I9" s="3656" t="s">
        <v>986</v>
      </c>
      <c r="J9" s="3655">
        <v>51898.803533317063</v>
      </c>
      <c r="K9" s="679"/>
    </row>
    <row r="10" spans="1:11" x14ac:dyDescent="0.2">
      <c r="A10" s="3651" t="s">
        <v>4191</v>
      </c>
      <c r="B10" s="3655">
        <v>26155.721640812422</v>
      </c>
      <c r="C10" s="3655">
        <v>15.467942280025749</v>
      </c>
      <c r="D10" s="3655">
        <v>85.629723859256401</v>
      </c>
      <c r="E10" s="3656" t="s">
        <v>986</v>
      </c>
      <c r="F10" s="3656" t="s">
        <v>986</v>
      </c>
      <c r="G10" s="3656" t="s">
        <v>986</v>
      </c>
      <c r="H10" s="3656" t="s">
        <v>986</v>
      </c>
      <c r="I10" s="3656" t="s">
        <v>986</v>
      </c>
      <c r="J10" s="3655">
        <v>26256.819306951707</v>
      </c>
      <c r="K10" s="679"/>
    </row>
    <row r="11" spans="1:11" x14ac:dyDescent="0.2">
      <c r="A11" s="3651" t="s">
        <v>4190</v>
      </c>
      <c r="B11" s="3655">
        <v>5510.9769872402867</v>
      </c>
      <c r="C11" s="3655">
        <v>8.0487913770847506</v>
      </c>
      <c r="D11" s="3655">
        <v>61.266190255747098</v>
      </c>
      <c r="E11" s="3656" t="s">
        <v>986</v>
      </c>
      <c r="F11" s="3656" t="s">
        <v>986</v>
      </c>
      <c r="G11" s="3656" t="s">
        <v>986</v>
      </c>
      <c r="H11" s="3656" t="s">
        <v>986</v>
      </c>
      <c r="I11" s="3656" t="s">
        <v>986</v>
      </c>
      <c r="J11" s="3655">
        <v>5580.2919688731181</v>
      </c>
      <c r="K11" s="679"/>
    </row>
    <row r="12" spans="1:11" x14ac:dyDescent="0.2">
      <c r="A12" s="3651" t="s">
        <v>4189</v>
      </c>
      <c r="B12" s="3655">
        <v>10609.091247712049</v>
      </c>
      <c r="C12" s="3655">
        <v>79.364922440377001</v>
      </c>
      <c r="D12" s="3655">
        <v>98.489503497802119</v>
      </c>
      <c r="E12" s="3656" t="s">
        <v>986</v>
      </c>
      <c r="F12" s="3656" t="s">
        <v>986</v>
      </c>
      <c r="G12" s="3656" t="s">
        <v>986</v>
      </c>
      <c r="H12" s="3656" t="s">
        <v>986</v>
      </c>
      <c r="I12" s="3656" t="s">
        <v>986</v>
      </c>
      <c r="J12" s="3655">
        <v>10786.945673650229</v>
      </c>
      <c r="K12" s="679"/>
    </row>
    <row r="13" spans="1:11" x14ac:dyDescent="0.2">
      <c r="A13" s="3651" t="s">
        <v>4188</v>
      </c>
      <c r="B13" s="3655">
        <v>8888.203419689793</v>
      </c>
      <c r="C13" s="3655">
        <v>156.74330709529474</v>
      </c>
      <c r="D13" s="3655">
        <v>59.299437466003738</v>
      </c>
      <c r="E13" s="3656" t="s">
        <v>986</v>
      </c>
      <c r="F13" s="3656" t="s">
        <v>986</v>
      </c>
      <c r="G13" s="3656" t="s">
        <v>986</v>
      </c>
      <c r="H13" s="3656" t="s">
        <v>986</v>
      </c>
      <c r="I13" s="3656" t="s">
        <v>986</v>
      </c>
      <c r="J13" s="3655">
        <v>9104.2461642510916</v>
      </c>
      <c r="K13" s="679"/>
    </row>
    <row r="14" spans="1:11" x14ac:dyDescent="0.2">
      <c r="A14" s="3651" t="s">
        <v>4187</v>
      </c>
      <c r="B14" s="3655">
        <v>166.98483539417299</v>
      </c>
      <c r="C14" s="3655">
        <v>2.0384474272675002</v>
      </c>
      <c r="D14" s="3655">
        <v>1.4771367694791799</v>
      </c>
      <c r="E14" s="3656" t="s">
        <v>986</v>
      </c>
      <c r="F14" s="3656" t="s">
        <v>986</v>
      </c>
      <c r="G14" s="3656" t="s">
        <v>986</v>
      </c>
      <c r="H14" s="3656" t="s">
        <v>986</v>
      </c>
      <c r="I14" s="3656" t="s">
        <v>986</v>
      </c>
      <c r="J14" s="3655">
        <v>170.50041959091968</v>
      </c>
      <c r="K14" s="679"/>
    </row>
    <row r="15" spans="1:11" x14ac:dyDescent="0.2">
      <c r="A15" s="3647" t="s">
        <v>4186</v>
      </c>
      <c r="B15" s="3655">
        <v>340.73008805568003</v>
      </c>
      <c r="C15" s="3655">
        <v>132.76350835363399</v>
      </c>
      <c r="D15" s="3655">
        <v>53.005963600451317</v>
      </c>
      <c r="E15" s="3656" t="s">
        <v>986</v>
      </c>
      <c r="F15" s="3656" t="s">
        <v>986</v>
      </c>
      <c r="G15" s="3656" t="s">
        <v>986</v>
      </c>
      <c r="H15" s="3656" t="s">
        <v>986</v>
      </c>
      <c r="I15" s="3656" t="s">
        <v>986</v>
      </c>
      <c r="J15" s="3655">
        <v>526.49956000976533</v>
      </c>
      <c r="K15" s="679"/>
    </row>
    <row r="16" spans="1:11" x14ac:dyDescent="0.2">
      <c r="A16" s="3651" t="s">
        <v>4185</v>
      </c>
      <c r="B16" s="3655" t="s">
        <v>259</v>
      </c>
      <c r="C16" s="3655" t="s">
        <v>259</v>
      </c>
      <c r="D16" s="3655" t="s">
        <v>259</v>
      </c>
      <c r="E16" s="3656" t="s">
        <v>986</v>
      </c>
      <c r="F16" s="3656" t="s">
        <v>986</v>
      </c>
      <c r="G16" s="3656" t="s">
        <v>986</v>
      </c>
      <c r="H16" s="3656" t="s">
        <v>986</v>
      </c>
      <c r="I16" s="3656" t="s">
        <v>986</v>
      </c>
      <c r="J16" s="3655" t="s">
        <v>259</v>
      </c>
      <c r="K16" s="679"/>
    </row>
    <row r="17" spans="1:11" x14ac:dyDescent="0.2">
      <c r="A17" s="3651" t="s">
        <v>4184</v>
      </c>
      <c r="B17" s="3655">
        <v>340.73008805568003</v>
      </c>
      <c r="C17" s="3655">
        <v>132.76350835363399</v>
      </c>
      <c r="D17" s="3655">
        <v>53.005963600451317</v>
      </c>
      <c r="E17" s="3656" t="s">
        <v>986</v>
      </c>
      <c r="F17" s="3656" t="s">
        <v>986</v>
      </c>
      <c r="G17" s="3656" t="s">
        <v>986</v>
      </c>
      <c r="H17" s="3656" t="s">
        <v>986</v>
      </c>
      <c r="I17" s="3656" t="s">
        <v>986</v>
      </c>
      <c r="J17" s="3655">
        <v>526.49956000976533</v>
      </c>
      <c r="K17" s="679"/>
    </row>
    <row r="18" spans="1:11" ht="13.5" x14ac:dyDescent="0.2">
      <c r="A18" s="3649" t="s">
        <v>4183</v>
      </c>
      <c r="B18" s="3655" t="s">
        <v>259</v>
      </c>
      <c r="C18" s="3656" t="s">
        <v>986</v>
      </c>
      <c r="D18" s="3656" t="s">
        <v>986</v>
      </c>
      <c r="E18" s="3656" t="s">
        <v>986</v>
      </c>
      <c r="F18" s="3656" t="s">
        <v>986</v>
      </c>
      <c r="G18" s="3656" t="s">
        <v>986</v>
      </c>
      <c r="H18" s="3656" t="s">
        <v>986</v>
      </c>
      <c r="I18" s="3656" t="s">
        <v>986</v>
      </c>
      <c r="J18" s="3655" t="s">
        <v>259</v>
      </c>
      <c r="K18" s="679"/>
    </row>
    <row r="19" spans="1:11" x14ac:dyDescent="0.2">
      <c r="A19" s="3646" t="s">
        <v>4182</v>
      </c>
      <c r="B19" s="3655">
        <v>1277.9148275205</v>
      </c>
      <c r="C19" s="3655">
        <v>2.4320396424999999</v>
      </c>
      <c r="D19" s="3655">
        <v>1020.253879580406</v>
      </c>
      <c r="E19" s="3655" t="s">
        <v>1006</v>
      </c>
      <c r="F19" s="3655" t="s">
        <v>1006</v>
      </c>
      <c r="G19" s="3655">
        <v>42.408000000000001</v>
      </c>
      <c r="H19" s="3655" t="s">
        <v>1006</v>
      </c>
      <c r="I19" s="3655" t="s">
        <v>1006</v>
      </c>
      <c r="J19" s="3655">
        <v>2343.0087467434059</v>
      </c>
      <c r="K19" s="679"/>
    </row>
    <row r="20" spans="1:11" x14ac:dyDescent="0.2">
      <c r="A20" s="3649" t="s">
        <v>1074</v>
      </c>
      <c r="B20" s="3655">
        <v>1081.154045769</v>
      </c>
      <c r="C20" s="3656" t="s">
        <v>986</v>
      </c>
      <c r="D20" s="3656" t="s">
        <v>986</v>
      </c>
      <c r="E20" s="3656" t="s">
        <v>986</v>
      </c>
      <c r="F20" s="3656" t="s">
        <v>986</v>
      </c>
      <c r="G20" s="3656" t="s">
        <v>986</v>
      </c>
      <c r="H20" s="3656" t="s">
        <v>986</v>
      </c>
      <c r="I20" s="3656" t="s">
        <v>986</v>
      </c>
      <c r="J20" s="3655">
        <v>1081.154045769</v>
      </c>
      <c r="K20" s="679"/>
    </row>
    <row r="21" spans="1:11" x14ac:dyDescent="0.2">
      <c r="A21" s="3649" t="s">
        <v>4181</v>
      </c>
      <c r="B21" s="3655">
        <v>0.57025420000000004</v>
      </c>
      <c r="C21" s="3655" t="s">
        <v>1006</v>
      </c>
      <c r="D21" s="3655">
        <v>1002.5316</v>
      </c>
      <c r="E21" s="3655" t="s">
        <v>1006</v>
      </c>
      <c r="F21" s="3655" t="s">
        <v>1006</v>
      </c>
      <c r="G21" s="3655" t="s">
        <v>1006</v>
      </c>
      <c r="H21" s="3655" t="s">
        <v>1006</v>
      </c>
      <c r="I21" s="3655" t="s">
        <v>1006</v>
      </c>
      <c r="J21" s="3655">
        <v>1003.1018542</v>
      </c>
      <c r="K21" s="679"/>
    </row>
    <row r="22" spans="1:11" x14ac:dyDescent="0.2">
      <c r="A22" s="3649" t="s">
        <v>1133</v>
      </c>
      <c r="B22" s="3655">
        <v>30.466999999999999</v>
      </c>
      <c r="C22" s="3655" t="s">
        <v>259</v>
      </c>
      <c r="D22" s="3655" t="s">
        <v>259</v>
      </c>
      <c r="E22" s="3655" t="s">
        <v>259</v>
      </c>
      <c r="F22" s="3655" t="s">
        <v>259</v>
      </c>
      <c r="G22" s="3655">
        <v>29.64</v>
      </c>
      <c r="H22" s="3655" t="s">
        <v>259</v>
      </c>
      <c r="I22" s="3655" t="s">
        <v>259</v>
      </c>
      <c r="J22" s="3655">
        <v>60.106999999999999</v>
      </c>
      <c r="K22" s="679"/>
    </row>
    <row r="23" spans="1:11" x14ac:dyDescent="0.2">
      <c r="A23" s="3650" t="s">
        <v>4180</v>
      </c>
      <c r="B23" s="3655">
        <v>165.6682082065</v>
      </c>
      <c r="C23" s="3655">
        <v>0.30134852000000001</v>
      </c>
      <c r="D23" s="3655">
        <v>5.3239488000000001E-2</v>
      </c>
      <c r="E23" s="3656" t="s">
        <v>986</v>
      </c>
      <c r="F23" s="3656" t="s">
        <v>986</v>
      </c>
      <c r="G23" s="3656" t="s">
        <v>986</v>
      </c>
      <c r="H23" s="3656" t="s">
        <v>986</v>
      </c>
      <c r="I23" s="3656" t="s">
        <v>986</v>
      </c>
      <c r="J23" s="3655">
        <v>166.0227962145</v>
      </c>
      <c r="K23" s="679"/>
    </row>
    <row r="24" spans="1:11" x14ac:dyDescent="0.2">
      <c r="A24" s="3650" t="s">
        <v>4179</v>
      </c>
      <c r="B24" s="3656" t="s">
        <v>986</v>
      </c>
      <c r="C24" s="3656" t="s">
        <v>986</v>
      </c>
      <c r="D24" s="3656" t="s">
        <v>986</v>
      </c>
      <c r="E24" s="3655" t="s">
        <v>259</v>
      </c>
      <c r="F24" s="3655" t="s">
        <v>259</v>
      </c>
      <c r="G24" s="3655" t="s">
        <v>259</v>
      </c>
      <c r="H24" s="3655" t="s">
        <v>259</v>
      </c>
      <c r="I24" s="3655" t="s">
        <v>259</v>
      </c>
      <c r="J24" s="3655" t="s">
        <v>259</v>
      </c>
      <c r="K24" s="679"/>
    </row>
    <row r="25" spans="1:11" x14ac:dyDescent="0.2">
      <c r="A25" s="3650" t="s">
        <v>4178</v>
      </c>
      <c r="B25" s="3656" t="s">
        <v>986</v>
      </c>
      <c r="C25" s="3656" t="s">
        <v>986</v>
      </c>
      <c r="D25" s="3656" t="s">
        <v>986</v>
      </c>
      <c r="E25" s="3655" t="s">
        <v>259</v>
      </c>
      <c r="F25" s="3655" t="s">
        <v>259</v>
      </c>
      <c r="G25" s="3655" t="s">
        <v>259</v>
      </c>
      <c r="H25" s="3655" t="s">
        <v>259</v>
      </c>
      <c r="I25" s="3655" t="s">
        <v>259</v>
      </c>
      <c r="J25" s="3655" t="s">
        <v>259</v>
      </c>
      <c r="K25" s="679"/>
    </row>
    <row r="26" spans="1:11" x14ac:dyDescent="0.2">
      <c r="A26" s="3650" t="s">
        <v>5220</v>
      </c>
      <c r="B26" s="3655">
        <v>5.5319344999999999E-2</v>
      </c>
      <c r="C26" s="3655">
        <v>2.1306911225</v>
      </c>
      <c r="D26" s="3655">
        <v>17.669040092406</v>
      </c>
      <c r="E26" s="3655" t="s">
        <v>1006</v>
      </c>
      <c r="F26" s="3655" t="s">
        <v>1006</v>
      </c>
      <c r="G26" s="3655">
        <v>12.768000000000001</v>
      </c>
      <c r="H26" s="3655" t="s">
        <v>1006</v>
      </c>
      <c r="I26" s="3655" t="s">
        <v>1006</v>
      </c>
      <c r="J26" s="3655">
        <v>32.623050559905998</v>
      </c>
      <c r="K26" s="679"/>
    </row>
    <row r="27" spans="1:11" x14ac:dyDescent="0.2">
      <c r="A27" s="3649" t="s">
        <v>4177</v>
      </c>
      <c r="B27" s="3655" t="s">
        <v>986</v>
      </c>
      <c r="C27" s="3655" t="s">
        <v>986</v>
      </c>
      <c r="D27" s="3655" t="s">
        <v>986</v>
      </c>
      <c r="E27" s="3655" t="s">
        <v>799</v>
      </c>
      <c r="F27" s="3655" t="s">
        <v>799</v>
      </c>
      <c r="G27" s="3655" t="s">
        <v>799</v>
      </c>
      <c r="H27" s="3655" t="s">
        <v>799</v>
      </c>
      <c r="I27" s="3655" t="s">
        <v>799</v>
      </c>
      <c r="J27" s="3655" t="s">
        <v>799</v>
      </c>
      <c r="K27" s="679"/>
    </row>
    <row r="28" spans="1:11" x14ac:dyDescent="0.2">
      <c r="A28" s="3644" t="s">
        <v>4176</v>
      </c>
      <c r="B28" s="3655">
        <v>613.45139843474169</v>
      </c>
      <c r="C28" s="3655">
        <v>5896.9878874195447</v>
      </c>
      <c r="D28" s="3655">
        <v>6827.2344945279156</v>
      </c>
      <c r="E28" s="3656" t="s">
        <v>986</v>
      </c>
      <c r="F28" s="3656" t="s">
        <v>986</v>
      </c>
      <c r="G28" s="3656" t="s">
        <v>986</v>
      </c>
      <c r="H28" s="3656" t="s">
        <v>986</v>
      </c>
      <c r="I28" s="3656" t="s">
        <v>986</v>
      </c>
      <c r="J28" s="3655">
        <v>13337.673780382202</v>
      </c>
      <c r="K28" s="679"/>
    </row>
    <row r="29" spans="1:11" x14ac:dyDescent="0.2">
      <c r="A29" s="3647" t="s">
        <v>4175</v>
      </c>
      <c r="B29" s="3656" t="s">
        <v>986</v>
      </c>
      <c r="C29" s="3655">
        <v>4039.4983838878579</v>
      </c>
      <c r="D29" s="3656" t="s">
        <v>986</v>
      </c>
      <c r="E29" s="3656" t="s">
        <v>986</v>
      </c>
      <c r="F29" s="3656" t="s">
        <v>986</v>
      </c>
      <c r="G29" s="3656" t="s">
        <v>986</v>
      </c>
      <c r="H29" s="3656" t="s">
        <v>986</v>
      </c>
      <c r="I29" s="3656" t="s">
        <v>986</v>
      </c>
      <c r="J29" s="3655">
        <v>4039.4983838878579</v>
      </c>
      <c r="K29" s="679"/>
    </row>
    <row r="30" spans="1:11" x14ac:dyDescent="0.2">
      <c r="A30" s="3647" t="s">
        <v>4174</v>
      </c>
      <c r="B30" s="3656" t="s">
        <v>986</v>
      </c>
      <c r="C30" s="3655">
        <v>1855.3184823004372</v>
      </c>
      <c r="D30" s="3655">
        <v>966.34035080676847</v>
      </c>
      <c r="E30" s="3656" t="s">
        <v>986</v>
      </c>
      <c r="F30" s="3656" t="s">
        <v>986</v>
      </c>
      <c r="G30" s="3656" t="s">
        <v>986</v>
      </c>
      <c r="H30" s="3656" t="s">
        <v>986</v>
      </c>
      <c r="I30" s="3656" t="s">
        <v>986</v>
      </c>
      <c r="J30" s="3655">
        <v>2821.6588331072057</v>
      </c>
      <c r="K30" s="679"/>
    </row>
    <row r="31" spans="1:11" x14ac:dyDescent="0.2">
      <c r="A31" s="3647" t="s">
        <v>4173</v>
      </c>
      <c r="B31" s="3656" t="s">
        <v>986</v>
      </c>
      <c r="C31" s="3655" t="s">
        <v>259</v>
      </c>
      <c r="D31" s="3656" t="s">
        <v>986</v>
      </c>
      <c r="E31" s="3656" t="s">
        <v>986</v>
      </c>
      <c r="F31" s="3656" t="s">
        <v>986</v>
      </c>
      <c r="G31" s="3656" t="s">
        <v>986</v>
      </c>
      <c r="H31" s="3656" t="s">
        <v>986</v>
      </c>
      <c r="I31" s="3656" t="s">
        <v>986</v>
      </c>
      <c r="J31" s="3655" t="s">
        <v>259</v>
      </c>
      <c r="K31" s="679"/>
    </row>
    <row r="32" spans="1:11" ht="13.5" x14ac:dyDescent="0.2">
      <c r="A32" s="3647" t="s">
        <v>4172</v>
      </c>
      <c r="B32" s="3656" t="s">
        <v>986</v>
      </c>
      <c r="C32" s="3655" t="s">
        <v>1209</v>
      </c>
      <c r="D32" s="3655">
        <v>5860.2232177524966</v>
      </c>
      <c r="E32" s="3656" t="s">
        <v>986</v>
      </c>
      <c r="F32" s="3656" t="s">
        <v>986</v>
      </c>
      <c r="G32" s="3656" t="s">
        <v>986</v>
      </c>
      <c r="H32" s="3656" t="s">
        <v>986</v>
      </c>
      <c r="I32" s="3656" t="s">
        <v>986</v>
      </c>
      <c r="J32" s="3655">
        <v>5860.2232177524966</v>
      </c>
      <c r="K32" s="679"/>
    </row>
    <row r="33" spans="1:11" x14ac:dyDescent="0.2">
      <c r="A33" s="3647" t="s">
        <v>4171</v>
      </c>
      <c r="B33" s="3656" t="s">
        <v>986</v>
      </c>
      <c r="C33" s="3655" t="s">
        <v>259</v>
      </c>
      <c r="D33" s="3655" t="s">
        <v>259</v>
      </c>
      <c r="E33" s="3656" t="s">
        <v>986</v>
      </c>
      <c r="F33" s="3656" t="s">
        <v>986</v>
      </c>
      <c r="G33" s="3656" t="s">
        <v>986</v>
      </c>
      <c r="H33" s="3656" t="s">
        <v>986</v>
      </c>
      <c r="I33" s="3656" t="s">
        <v>986</v>
      </c>
      <c r="J33" s="3655" t="s">
        <v>259</v>
      </c>
      <c r="K33" s="679"/>
    </row>
    <row r="34" spans="1:11" x14ac:dyDescent="0.2">
      <c r="A34" s="3647" t="s">
        <v>4170</v>
      </c>
      <c r="B34" s="3656" t="s">
        <v>986</v>
      </c>
      <c r="C34" s="3655">
        <v>2.1710212312500001</v>
      </c>
      <c r="D34" s="3655">
        <v>0.67092596864999998</v>
      </c>
      <c r="E34" s="3656" t="s">
        <v>986</v>
      </c>
      <c r="F34" s="3656" t="s">
        <v>986</v>
      </c>
      <c r="G34" s="3656" t="s">
        <v>986</v>
      </c>
      <c r="H34" s="3656" t="s">
        <v>986</v>
      </c>
      <c r="I34" s="3656" t="s">
        <v>986</v>
      </c>
      <c r="J34" s="3655">
        <v>2.8419471998999999</v>
      </c>
      <c r="K34" s="679"/>
    </row>
    <row r="35" spans="1:11" x14ac:dyDescent="0.2">
      <c r="A35" s="3647" t="s">
        <v>4169</v>
      </c>
      <c r="B35" s="3655">
        <v>565.49433176807497</v>
      </c>
      <c r="C35" s="3656" t="s">
        <v>986</v>
      </c>
      <c r="D35" s="3656" t="s">
        <v>986</v>
      </c>
      <c r="E35" s="3656" t="s">
        <v>986</v>
      </c>
      <c r="F35" s="3656" t="s">
        <v>986</v>
      </c>
      <c r="G35" s="3656" t="s">
        <v>986</v>
      </c>
      <c r="H35" s="3656" t="s">
        <v>986</v>
      </c>
      <c r="I35" s="3656" t="s">
        <v>986</v>
      </c>
      <c r="J35" s="3655">
        <v>565.49433176807497</v>
      </c>
      <c r="K35" s="679"/>
    </row>
    <row r="36" spans="1:11" x14ac:dyDescent="0.2">
      <c r="A36" s="3647" t="s">
        <v>4168</v>
      </c>
      <c r="B36" s="3655">
        <v>14.6666666666667</v>
      </c>
      <c r="C36" s="3656" t="s">
        <v>986</v>
      </c>
      <c r="D36" s="3656" t="s">
        <v>986</v>
      </c>
      <c r="E36" s="3656" t="s">
        <v>986</v>
      </c>
      <c r="F36" s="3656" t="s">
        <v>986</v>
      </c>
      <c r="G36" s="3656" t="s">
        <v>986</v>
      </c>
      <c r="H36" s="3656" t="s">
        <v>986</v>
      </c>
      <c r="I36" s="3656" t="s">
        <v>986</v>
      </c>
      <c r="J36" s="3655">
        <v>14.6666666666667</v>
      </c>
      <c r="K36" s="679"/>
    </row>
    <row r="37" spans="1:11" x14ac:dyDescent="0.2">
      <c r="A37" s="3647" t="s">
        <v>4167</v>
      </c>
      <c r="B37" s="3655">
        <v>33.290399999999998</v>
      </c>
      <c r="C37" s="3656" t="s">
        <v>986</v>
      </c>
      <c r="D37" s="3656" t="s">
        <v>986</v>
      </c>
      <c r="E37" s="3656" t="s">
        <v>986</v>
      </c>
      <c r="F37" s="3656" t="s">
        <v>986</v>
      </c>
      <c r="G37" s="3656" t="s">
        <v>986</v>
      </c>
      <c r="H37" s="3656" t="s">
        <v>986</v>
      </c>
      <c r="I37" s="3656" t="s">
        <v>986</v>
      </c>
      <c r="J37" s="3655">
        <v>33.290399999999998</v>
      </c>
      <c r="K37" s="679"/>
    </row>
    <row r="38" spans="1:11" x14ac:dyDescent="0.2">
      <c r="A38" s="3647" t="s">
        <v>4166</v>
      </c>
      <c r="B38" s="3655" t="s">
        <v>799</v>
      </c>
      <c r="C38" s="3655" t="s">
        <v>799</v>
      </c>
      <c r="D38" s="3655" t="s">
        <v>799</v>
      </c>
      <c r="E38" s="3656" t="s">
        <v>986</v>
      </c>
      <c r="F38" s="3656" t="s">
        <v>986</v>
      </c>
      <c r="G38" s="3656" t="s">
        <v>986</v>
      </c>
      <c r="H38" s="3656" t="s">
        <v>986</v>
      </c>
      <c r="I38" s="3656" t="s">
        <v>986</v>
      </c>
      <c r="J38" s="3655" t="s">
        <v>799</v>
      </c>
      <c r="K38" s="679"/>
    </row>
    <row r="39" spans="1:11" ht="14.25" x14ac:dyDescent="0.2">
      <c r="A39" s="3646" t="s">
        <v>4165</v>
      </c>
      <c r="B39" s="3655">
        <v>6539.9963678491258</v>
      </c>
      <c r="C39" s="3655">
        <v>262.527065741</v>
      </c>
      <c r="D39" s="3655">
        <v>71.084763805782345</v>
      </c>
      <c r="E39" s="3656" t="s">
        <v>986</v>
      </c>
      <c r="F39" s="3656" t="s">
        <v>986</v>
      </c>
      <c r="G39" s="3656" t="s">
        <v>986</v>
      </c>
      <c r="H39" s="3656" t="s">
        <v>986</v>
      </c>
      <c r="I39" s="3656" t="s">
        <v>986</v>
      </c>
      <c r="J39" s="3655">
        <v>6873.608197395909</v>
      </c>
      <c r="K39" s="679"/>
    </row>
    <row r="40" spans="1:11" x14ac:dyDescent="0.2">
      <c r="A40" s="3647" t="s">
        <v>1522</v>
      </c>
      <c r="B40" s="3655">
        <v>-1260.6201649320506</v>
      </c>
      <c r="C40" s="3655">
        <v>4.9690384902</v>
      </c>
      <c r="D40" s="3655">
        <v>26.964004953501998</v>
      </c>
      <c r="E40" s="3656" t="s">
        <v>986</v>
      </c>
      <c r="F40" s="3656" t="s">
        <v>986</v>
      </c>
      <c r="G40" s="3656" t="s">
        <v>986</v>
      </c>
      <c r="H40" s="3656" t="s">
        <v>986</v>
      </c>
      <c r="I40" s="3656" t="s">
        <v>986</v>
      </c>
      <c r="J40" s="3655">
        <v>-1228.6871214883486</v>
      </c>
      <c r="K40" s="679"/>
    </row>
    <row r="41" spans="1:11" x14ac:dyDescent="0.2">
      <c r="A41" s="3647" t="s">
        <v>1552</v>
      </c>
      <c r="B41" s="3655">
        <v>5161.1303442430008</v>
      </c>
      <c r="C41" s="3655">
        <v>136.729041545</v>
      </c>
      <c r="D41" s="3655">
        <v>5.5522973070839997E-2</v>
      </c>
      <c r="E41" s="3656" t="s">
        <v>986</v>
      </c>
      <c r="F41" s="3656" t="s">
        <v>986</v>
      </c>
      <c r="G41" s="3656" t="s">
        <v>986</v>
      </c>
      <c r="H41" s="3656" t="s">
        <v>986</v>
      </c>
      <c r="I41" s="3656" t="s">
        <v>986</v>
      </c>
      <c r="J41" s="3655">
        <v>5297.9149087610713</v>
      </c>
      <c r="K41" s="679"/>
    </row>
    <row r="42" spans="1:11" x14ac:dyDescent="0.2">
      <c r="A42" s="3647" t="s">
        <v>1549</v>
      </c>
      <c r="B42" s="3655">
        <v>2110.6665921839653</v>
      </c>
      <c r="C42" s="3655">
        <v>119.04199355999999</v>
      </c>
      <c r="D42" s="3655">
        <v>6.7698028684200001E-3</v>
      </c>
      <c r="E42" s="3656" t="s">
        <v>986</v>
      </c>
      <c r="F42" s="3656" t="s">
        <v>986</v>
      </c>
      <c r="G42" s="3656" t="s">
        <v>986</v>
      </c>
      <c r="H42" s="3656" t="s">
        <v>986</v>
      </c>
      <c r="I42" s="3656" t="s">
        <v>986</v>
      </c>
      <c r="J42" s="3655">
        <v>2229.715355546834</v>
      </c>
      <c r="K42" s="679"/>
    </row>
    <row r="43" spans="1:11" x14ac:dyDescent="0.2">
      <c r="A43" s="3647" t="s">
        <v>1510</v>
      </c>
      <c r="B43" s="3655">
        <v>102.77632692365729</v>
      </c>
      <c r="C43" s="3655">
        <v>1.7869921458</v>
      </c>
      <c r="D43" s="3655">
        <v>0.22415700385415999</v>
      </c>
      <c r="E43" s="3656" t="s">
        <v>986</v>
      </c>
      <c r="F43" s="3656" t="s">
        <v>986</v>
      </c>
      <c r="G43" s="3656" t="s">
        <v>986</v>
      </c>
      <c r="H43" s="3656" t="s">
        <v>986</v>
      </c>
      <c r="I43" s="3656" t="s">
        <v>986</v>
      </c>
      <c r="J43" s="3655">
        <v>104.78747607331145</v>
      </c>
      <c r="K43" s="679"/>
    </row>
    <row r="44" spans="1:11" x14ac:dyDescent="0.2">
      <c r="A44" s="3647" t="s">
        <v>4164</v>
      </c>
      <c r="B44" s="3655">
        <v>428.40934384055322</v>
      </c>
      <c r="C44" s="3655" t="s">
        <v>799</v>
      </c>
      <c r="D44" s="3655">
        <v>43.834309072486917</v>
      </c>
      <c r="E44" s="3656" t="s">
        <v>986</v>
      </c>
      <c r="F44" s="3656" t="s">
        <v>986</v>
      </c>
      <c r="G44" s="3656" t="s">
        <v>986</v>
      </c>
      <c r="H44" s="3656" t="s">
        <v>986</v>
      </c>
      <c r="I44" s="3656" t="s">
        <v>986</v>
      </c>
      <c r="J44" s="3655">
        <v>472.24365291304014</v>
      </c>
      <c r="K44" s="679"/>
    </row>
    <row r="45" spans="1:11" x14ac:dyDescent="0.2">
      <c r="A45" s="3647" t="s">
        <v>1503</v>
      </c>
      <c r="B45" s="3655" t="s">
        <v>799</v>
      </c>
      <c r="C45" s="3655" t="s">
        <v>799</v>
      </c>
      <c r="D45" s="3655" t="s">
        <v>799</v>
      </c>
      <c r="E45" s="3656" t="s">
        <v>986</v>
      </c>
      <c r="F45" s="3656" t="s">
        <v>986</v>
      </c>
      <c r="G45" s="3656" t="s">
        <v>986</v>
      </c>
      <c r="H45" s="3656" t="s">
        <v>986</v>
      </c>
      <c r="I45" s="3656" t="s">
        <v>986</v>
      </c>
      <c r="J45" s="3655" t="s">
        <v>799</v>
      </c>
      <c r="K45" s="679"/>
    </row>
    <row r="46" spans="1:11" x14ac:dyDescent="0.2">
      <c r="A46" s="3647" t="s">
        <v>4163</v>
      </c>
      <c r="B46" s="3655">
        <v>-2.36607441</v>
      </c>
      <c r="C46" s="3656" t="s">
        <v>986</v>
      </c>
      <c r="D46" s="3656" t="s">
        <v>986</v>
      </c>
      <c r="E46" s="3656" t="s">
        <v>986</v>
      </c>
      <c r="F46" s="3656" t="s">
        <v>986</v>
      </c>
      <c r="G46" s="3656" t="s">
        <v>986</v>
      </c>
      <c r="H46" s="3656" t="s">
        <v>986</v>
      </c>
      <c r="I46" s="3656" t="s">
        <v>986</v>
      </c>
      <c r="J46" s="3655">
        <v>-2.36607441</v>
      </c>
      <c r="K46" s="679"/>
    </row>
    <row r="47" spans="1:11" x14ac:dyDescent="0.2">
      <c r="A47" s="3647" t="s">
        <v>4162</v>
      </c>
      <c r="B47" s="3655" t="s">
        <v>799</v>
      </c>
      <c r="C47" s="3655" t="s">
        <v>799</v>
      </c>
      <c r="D47" s="3655" t="s">
        <v>799</v>
      </c>
      <c r="E47" s="3656" t="s">
        <v>986</v>
      </c>
      <c r="F47" s="3656" t="s">
        <v>986</v>
      </c>
      <c r="G47" s="3656" t="s">
        <v>986</v>
      </c>
      <c r="H47" s="3656" t="s">
        <v>986</v>
      </c>
      <c r="I47" s="3656" t="s">
        <v>986</v>
      </c>
      <c r="J47" s="3655" t="s">
        <v>799</v>
      </c>
      <c r="K47" s="679"/>
    </row>
    <row r="48" spans="1:11" x14ac:dyDescent="0.2">
      <c r="A48" s="3646" t="s">
        <v>4161</v>
      </c>
      <c r="B48" s="3655">
        <v>21.783594957120901</v>
      </c>
      <c r="C48" s="3655">
        <v>1612.4260753178733</v>
      </c>
      <c r="D48" s="3655">
        <v>261.49073412432904</v>
      </c>
      <c r="E48" s="3656" t="s">
        <v>986</v>
      </c>
      <c r="F48" s="3656" t="s">
        <v>986</v>
      </c>
      <c r="G48" s="3656" t="s">
        <v>986</v>
      </c>
      <c r="H48" s="3656" t="s">
        <v>986</v>
      </c>
      <c r="I48" s="3656" t="s">
        <v>986</v>
      </c>
      <c r="J48" s="3655">
        <v>1895.7004043993231</v>
      </c>
      <c r="K48" s="679"/>
    </row>
    <row r="49" spans="1:11" x14ac:dyDescent="0.2">
      <c r="A49" s="3647" t="s">
        <v>4160</v>
      </c>
      <c r="B49" s="3655" t="s">
        <v>1006</v>
      </c>
      <c r="C49" s="3655">
        <v>1536.26915080711</v>
      </c>
      <c r="D49" s="3656" t="s">
        <v>986</v>
      </c>
      <c r="E49" s="3656" t="s">
        <v>986</v>
      </c>
      <c r="F49" s="3656" t="s">
        <v>986</v>
      </c>
      <c r="G49" s="3656" t="s">
        <v>986</v>
      </c>
      <c r="H49" s="3656" t="s">
        <v>986</v>
      </c>
      <c r="I49" s="3656" t="s">
        <v>986</v>
      </c>
      <c r="J49" s="3655">
        <v>1536.26915080711</v>
      </c>
      <c r="K49" s="679"/>
    </row>
    <row r="50" spans="1:11" x14ac:dyDescent="0.2">
      <c r="A50" s="3647" t="s">
        <v>4159</v>
      </c>
      <c r="B50" s="3656" t="s">
        <v>986</v>
      </c>
      <c r="C50" s="3655">
        <v>32.300178115980003</v>
      </c>
      <c r="D50" s="3655">
        <v>22.217183885424301</v>
      </c>
      <c r="E50" s="3656" t="s">
        <v>986</v>
      </c>
      <c r="F50" s="3656" t="s">
        <v>986</v>
      </c>
      <c r="G50" s="3656" t="s">
        <v>986</v>
      </c>
      <c r="H50" s="3656" t="s">
        <v>986</v>
      </c>
      <c r="I50" s="3656" t="s">
        <v>986</v>
      </c>
      <c r="J50" s="3655">
        <v>54.517362001404301</v>
      </c>
      <c r="K50" s="679"/>
    </row>
    <row r="51" spans="1:11" x14ac:dyDescent="0.2">
      <c r="A51" s="3648" t="s">
        <v>4158</v>
      </c>
      <c r="B51" s="3655" t="s">
        <v>259</v>
      </c>
      <c r="C51" s="3655">
        <v>1.2729729E-2</v>
      </c>
      <c r="D51" s="3655">
        <v>0.18967424946</v>
      </c>
      <c r="E51" s="3656" t="s">
        <v>986</v>
      </c>
      <c r="F51" s="3656" t="s">
        <v>986</v>
      </c>
      <c r="G51" s="3656" t="s">
        <v>986</v>
      </c>
      <c r="H51" s="3656" t="s">
        <v>986</v>
      </c>
      <c r="I51" s="3656" t="s">
        <v>986</v>
      </c>
      <c r="J51" s="3655">
        <v>0.20240397845999999</v>
      </c>
      <c r="K51" s="679"/>
    </row>
    <row r="52" spans="1:11" x14ac:dyDescent="0.2">
      <c r="A52" s="3647" t="s">
        <v>4157</v>
      </c>
      <c r="B52" s="3656" t="s">
        <v>986</v>
      </c>
      <c r="C52" s="3655">
        <v>41.12131554004425</v>
      </c>
      <c r="D52" s="3655">
        <v>239.08387598944475</v>
      </c>
      <c r="E52" s="3656" t="s">
        <v>986</v>
      </c>
      <c r="F52" s="3656" t="s">
        <v>986</v>
      </c>
      <c r="G52" s="3656" t="s">
        <v>986</v>
      </c>
      <c r="H52" s="3656" t="s">
        <v>986</v>
      </c>
      <c r="I52" s="3656" t="s">
        <v>986</v>
      </c>
      <c r="J52" s="3655">
        <v>280.20519152948901</v>
      </c>
      <c r="K52" s="679"/>
    </row>
    <row r="53" spans="1:11" x14ac:dyDescent="0.2">
      <c r="A53" s="3647" t="s">
        <v>4156</v>
      </c>
      <c r="B53" s="3655">
        <v>21.783594957120901</v>
      </c>
      <c r="C53" s="3655">
        <v>2.7227011257389999</v>
      </c>
      <c r="D53" s="3655" t="s">
        <v>1209</v>
      </c>
      <c r="E53" s="3656" t="s">
        <v>986</v>
      </c>
      <c r="F53" s="3656" t="s">
        <v>986</v>
      </c>
      <c r="G53" s="3656" t="s">
        <v>986</v>
      </c>
      <c r="H53" s="3656" t="s">
        <v>986</v>
      </c>
      <c r="I53" s="3656" t="s">
        <v>986</v>
      </c>
      <c r="J53" s="3655">
        <v>24.506296082859901</v>
      </c>
      <c r="K53" s="679"/>
    </row>
    <row r="54" spans="1:11" x14ac:dyDescent="0.2">
      <c r="A54" s="3646" t="s">
        <v>4155</v>
      </c>
      <c r="B54" s="3655" t="s">
        <v>259</v>
      </c>
      <c r="C54" s="3655" t="s">
        <v>259</v>
      </c>
      <c r="D54" s="3655" t="s">
        <v>259</v>
      </c>
      <c r="E54" s="3655" t="s">
        <v>259</v>
      </c>
      <c r="F54" s="3655" t="s">
        <v>259</v>
      </c>
      <c r="G54" s="3655" t="s">
        <v>259</v>
      </c>
      <c r="H54" s="3655" t="s">
        <v>259</v>
      </c>
      <c r="I54" s="3655" t="s">
        <v>259</v>
      </c>
      <c r="J54" s="3655" t="s">
        <v>259</v>
      </c>
      <c r="K54" s="679"/>
    </row>
    <row r="55" spans="1:11" x14ac:dyDescent="0.2">
      <c r="A55" s="660"/>
      <c r="B55" s="1735"/>
      <c r="C55" s="1735"/>
      <c r="D55" s="1735"/>
      <c r="E55" s="1735"/>
      <c r="F55" s="1735"/>
      <c r="G55" s="1735"/>
      <c r="H55" s="1735"/>
      <c r="I55" s="1735"/>
      <c r="J55" s="1735"/>
      <c r="K55" s="660"/>
    </row>
    <row r="56" spans="1:11" ht="14.25" x14ac:dyDescent="0.2">
      <c r="A56" s="3644" t="s">
        <v>4154</v>
      </c>
      <c r="B56" s="3656" t="s">
        <v>986</v>
      </c>
      <c r="C56" s="3656" t="s">
        <v>986</v>
      </c>
      <c r="D56" s="3656" t="s">
        <v>986</v>
      </c>
      <c r="E56" s="3656" t="s">
        <v>986</v>
      </c>
      <c r="F56" s="3656" t="s">
        <v>986</v>
      </c>
      <c r="G56" s="3656" t="s">
        <v>986</v>
      </c>
      <c r="H56" s="3656" t="s">
        <v>986</v>
      </c>
      <c r="I56" s="3656" t="s">
        <v>986</v>
      </c>
      <c r="J56" s="3656" t="s">
        <v>986</v>
      </c>
      <c r="K56" s="660"/>
    </row>
    <row r="57" spans="1:11" x14ac:dyDescent="0.2">
      <c r="A57" s="3644" t="s">
        <v>4153</v>
      </c>
      <c r="B57" s="3655">
        <v>4766.2769346266359</v>
      </c>
      <c r="C57" s="3655">
        <v>1.78012973714525</v>
      </c>
      <c r="D57" s="3655">
        <v>40.196810568117982</v>
      </c>
      <c r="E57" s="3656" t="s">
        <v>986</v>
      </c>
      <c r="F57" s="3656" t="s">
        <v>986</v>
      </c>
      <c r="G57" s="3656" t="s">
        <v>986</v>
      </c>
      <c r="H57" s="3656" t="s">
        <v>986</v>
      </c>
      <c r="I57" s="3656" t="s">
        <v>986</v>
      </c>
      <c r="J57" s="3655">
        <v>4808.2538749318992</v>
      </c>
      <c r="K57" s="660"/>
    </row>
    <row r="58" spans="1:11" x14ac:dyDescent="0.2">
      <c r="A58" s="3645" t="s">
        <v>4152</v>
      </c>
      <c r="B58" s="3655">
        <v>1752.8527799685526</v>
      </c>
      <c r="C58" s="3655">
        <v>0.1798825847245</v>
      </c>
      <c r="D58" s="3655">
        <v>17.663484318216099</v>
      </c>
      <c r="E58" s="3656" t="s">
        <v>986</v>
      </c>
      <c r="F58" s="3656" t="s">
        <v>986</v>
      </c>
      <c r="G58" s="3656" t="s">
        <v>986</v>
      </c>
      <c r="H58" s="3656" t="s">
        <v>986</v>
      </c>
      <c r="I58" s="3656" t="s">
        <v>986</v>
      </c>
      <c r="J58" s="3655">
        <v>1770.6961468714933</v>
      </c>
      <c r="K58" s="660"/>
    </row>
    <row r="59" spans="1:11" x14ac:dyDescent="0.2">
      <c r="A59" s="3645" t="s">
        <v>4151</v>
      </c>
      <c r="B59" s="3655">
        <v>3013.4241546580829</v>
      </c>
      <c r="C59" s="3655">
        <v>1.60024715242075</v>
      </c>
      <c r="D59" s="3655">
        <v>22.533326249901879</v>
      </c>
      <c r="E59" s="3656" t="s">
        <v>986</v>
      </c>
      <c r="F59" s="3656" t="s">
        <v>986</v>
      </c>
      <c r="G59" s="3656" t="s">
        <v>986</v>
      </c>
      <c r="H59" s="3656" t="s">
        <v>986</v>
      </c>
      <c r="I59" s="3656" t="s">
        <v>986</v>
      </c>
      <c r="J59" s="3655">
        <v>3037.5577280604057</v>
      </c>
      <c r="K59" s="660"/>
    </row>
    <row r="60" spans="1:11" x14ac:dyDescent="0.2">
      <c r="A60" s="3641" t="s">
        <v>4150</v>
      </c>
      <c r="B60" s="3655" t="s">
        <v>1209</v>
      </c>
      <c r="C60" s="3655" t="s">
        <v>1209</v>
      </c>
      <c r="D60" s="3655" t="s">
        <v>1209</v>
      </c>
      <c r="E60" s="3656" t="s">
        <v>986</v>
      </c>
      <c r="F60" s="3656" t="s">
        <v>986</v>
      </c>
      <c r="G60" s="3656" t="s">
        <v>986</v>
      </c>
      <c r="H60" s="3656" t="s">
        <v>986</v>
      </c>
      <c r="I60" s="3656" t="s">
        <v>986</v>
      </c>
      <c r="J60" s="3655" t="s">
        <v>1209</v>
      </c>
      <c r="K60" s="660"/>
    </row>
    <row r="61" spans="1:11" ht="13.5" x14ac:dyDescent="0.2">
      <c r="A61" s="3644" t="s">
        <v>4149</v>
      </c>
      <c r="B61" s="3655">
        <v>4388.7652474186889</v>
      </c>
      <c r="C61" s="3656" t="s">
        <v>986</v>
      </c>
      <c r="D61" s="3656" t="s">
        <v>986</v>
      </c>
      <c r="E61" s="3656" t="s">
        <v>986</v>
      </c>
      <c r="F61" s="3656" t="s">
        <v>986</v>
      </c>
      <c r="G61" s="3656" t="s">
        <v>986</v>
      </c>
      <c r="H61" s="3656" t="s">
        <v>986</v>
      </c>
      <c r="I61" s="3656" t="s">
        <v>986</v>
      </c>
      <c r="J61" s="3655">
        <v>4388.7652474186889</v>
      </c>
      <c r="K61" s="660"/>
    </row>
    <row r="62" spans="1:11" ht="13.5" x14ac:dyDescent="0.2">
      <c r="A62" s="3641" t="s">
        <v>4148</v>
      </c>
      <c r="B62" s="3655" t="s">
        <v>1006</v>
      </c>
      <c r="C62" s="3656" t="s">
        <v>986</v>
      </c>
      <c r="D62" s="3656" t="s">
        <v>986</v>
      </c>
      <c r="E62" s="3656" t="s">
        <v>986</v>
      </c>
      <c r="F62" s="3656" t="s">
        <v>986</v>
      </c>
      <c r="G62" s="3656" t="s">
        <v>986</v>
      </c>
      <c r="H62" s="3656" t="s">
        <v>986</v>
      </c>
      <c r="I62" s="3656" t="s">
        <v>986</v>
      </c>
      <c r="J62" s="3655" t="s">
        <v>1006</v>
      </c>
      <c r="K62" s="660"/>
    </row>
    <row r="63" spans="1:11" x14ac:dyDescent="0.2">
      <c r="A63" s="3643" t="s">
        <v>4147</v>
      </c>
      <c r="B63" s="3655" t="s">
        <v>1209</v>
      </c>
      <c r="C63" s="3656" t="s">
        <v>986</v>
      </c>
      <c r="D63" s="3656" t="s">
        <v>986</v>
      </c>
      <c r="E63" s="3656" t="s">
        <v>986</v>
      </c>
      <c r="F63" s="3656" t="s">
        <v>986</v>
      </c>
      <c r="G63" s="3656" t="s">
        <v>986</v>
      </c>
      <c r="H63" s="3656" t="s">
        <v>986</v>
      </c>
      <c r="I63" s="3656" t="s">
        <v>986</v>
      </c>
      <c r="J63" s="3655" t="s">
        <v>1209</v>
      </c>
      <c r="K63" s="660"/>
    </row>
    <row r="64" spans="1:11" ht="13.5" x14ac:dyDescent="0.25">
      <c r="A64" s="3642" t="s">
        <v>4146</v>
      </c>
      <c r="B64" s="3656" t="s">
        <v>986</v>
      </c>
      <c r="C64" s="3656" t="s">
        <v>986</v>
      </c>
      <c r="D64" s="3655">
        <v>569.71027807476253</v>
      </c>
      <c r="E64" s="3656" t="s">
        <v>986</v>
      </c>
      <c r="F64" s="3656" t="s">
        <v>986</v>
      </c>
      <c r="G64" s="3656" t="s">
        <v>986</v>
      </c>
      <c r="H64" s="3656" t="s">
        <v>986</v>
      </c>
      <c r="I64" s="3656" t="s">
        <v>986</v>
      </c>
      <c r="J64" s="3656" t="s">
        <v>986</v>
      </c>
      <c r="K64" s="660"/>
    </row>
    <row r="65" spans="1:11" ht="14.25" x14ac:dyDescent="0.2">
      <c r="A65" s="3641" t="s">
        <v>4145</v>
      </c>
      <c r="B65" s="3655">
        <v>1119.8360723151679</v>
      </c>
      <c r="C65" s="3656" t="s">
        <v>986</v>
      </c>
      <c r="D65" s="3656" t="s">
        <v>986</v>
      </c>
      <c r="E65" s="3656" t="s">
        <v>986</v>
      </c>
      <c r="F65" s="3656" t="s">
        <v>986</v>
      </c>
      <c r="G65" s="3656" t="s">
        <v>986</v>
      </c>
      <c r="H65" s="3656" t="s">
        <v>986</v>
      </c>
      <c r="I65" s="3656" t="s">
        <v>986</v>
      </c>
      <c r="J65" s="3656" t="s">
        <v>986</v>
      </c>
      <c r="K65" s="660"/>
    </row>
    <row r="66" spans="1:11" s="660" customFormat="1" ht="12" customHeight="1" x14ac:dyDescent="0.2">
      <c r="A66" s="5800" t="s">
        <v>4144</v>
      </c>
      <c r="B66" s="5801" t="s">
        <v>986</v>
      </c>
      <c r="C66" s="5801" t="s">
        <v>986</v>
      </c>
      <c r="D66" s="5801" t="s">
        <v>986</v>
      </c>
      <c r="E66" s="5801" t="s">
        <v>986</v>
      </c>
      <c r="F66" s="5801" t="s">
        <v>986</v>
      </c>
      <c r="G66" s="5801" t="s">
        <v>986</v>
      </c>
      <c r="H66" s="5801" t="s">
        <v>986</v>
      </c>
      <c r="I66" s="5801" t="s">
        <v>986</v>
      </c>
      <c r="J66" s="3655">
        <v>70001.686024851762</v>
      </c>
    </row>
    <row r="67" spans="1:11" s="660" customFormat="1" ht="12" customHeight="1" x14ac:dyDescent="0.2">
      <c r="A67" s="5800" t="s">
        <v>4143</v>
      </c>
      <c r="B67" s="5801" t="s">
        <v>986</v>
      </c>
      <c r="C67" s="5801" t="s">
        <v>986</v>
      </c>
      <c r="D67" s="5801" t="s">
        <v>986</v>
      </c>
      <c r="E67" s="5801" t="s">
        <v>986</v>
      </c>
      <c r="F67" s="5801" t="s">
        <v>986</v>
      </c>
      <c r="G67" s="5801" t="s">
        <v>986</v>
      </c>
      <c r="H67" s="5801" t="s">
        <v>986</v>
      </c>
      <c r="I67" s="5801" t="s">
        <v>986</v>
      </c>
      <c r="J67" s="3655">
        <v>76875.29422224767</v>
      </c>
    </row>
    <row r="68" spans="1:11" s="660" customFormat="1" ht="12.75" customHeight="1" x14ac:dyDescent="0.2">
      <c r="A68" s="5802" t="s">
        <v>4142</v>
      </c>
      <c r="B68" s="5801" t="s">
        <v>986</v>
      </c>
      <c r="C68" s="5801" t="s">
        <v>986</v>
      </c>
      <c r="D68" s="5801" t="s">
        <v>986</v>
      </c>
      <c r="E68" s="5801" t="s">
        <v>986</v>
      </c>
      <c r="F68" s="5801" t="s">
        <v>986</v>
      </c>
      <c r="G68" s="5801" t="s">
        <v>986</v>
      </c>
      <c r="H68" s="5801" t="s">
        <v>986</v>
      </c>
      <c r="I68" s="5801" t="s">
        <v>986</v>
      </c>
      <c r="J68" s="3655">
        <v>71121.522097166933</v>
      </c>
    </row>
    <row r="69" spans="1:11" s="660" customFormat="1" ht="13.5" customHeight="1" x14ac:dyDescent="0.2">
      <c r="A69" s="5800" t="s">
        <v>4141</v>
      </c>
      <c r="B69" s="5801" t="s">
        <v>986</v>
      </c>
      <c r="C69" s="5801" t="s">
        <v>986</v>
      </c>
      <c r="D69" s="5801" t="s">
        <v>986</v>
      </c>
      <c r="E69" s="5801" t="s">
        <v>986</v>
      </c>
      <c r="F69" s="5801" t="s">
        <v>986</v>
      </c>
      <c r="G69" s="5801" t="s">
        <v>986</v>
      </c>
      <c r="H69" s="5801" t="s">
        <v>986</v>
      </c>
      <c r="I69" s="5801" t="s">
        <v>986</v>
      </c>
      <c r="J69" s="3655">
        <v>77995.130294562841</v>
      </c>
    </row>
    <row r="70" spans="1:11" x14ac:dyDescent="0.2">
      <c r="A70" s="1734"/>
      <c r="B70" s="1734"/>
      <c r="C70" s="1734"/>
      <c r="D70" s="1734"/>
      <c r="E70" s="1734"/>
      <c r="F70" s="1734"/>
      <c r="G70" s="1734"/>
      <c r="H70" s="1734"/>
      <c r="I70" s="1734"/>
      <c r="J70" s="1733"/>
      <c r="K70" s="660"/>
    </row>
    <row r="71" spans="1:11" ht="13.5" x14ac:dyDescent="0.2">
      <c r="A71" s="5799" t="s">
        <v>4140</v>
      </c>
      <c r="B71" s="5799"/>
      <c r="C71" s="5799"/>
      <c r="D71" s="5799"/>
      <c r="E71" s="5799"/>
      <c r="F71" s="5799"/>
      <c r="G71" s="5799"/>
      <c r="H71" s="5799"/>
      <c r="I71" s="5799"/>
      <c r="J71" s="5799"/>
      <c r="K71" s="660"/>
    </row>
    <row r="72" spans="1:11" ht="13.5" x14ac:dyDescent="0.2">
      <c r="A72" s="1732" t="s">
        <v>4139</v>
      </c>
      <c r="B72" s="1731"/>
      <c r="C72" s="1731"/>
      <c r="D72" s="1731"/>
      <c r="E72" s="1731"/>
      <c r="F72" s="1731"/>
      <c r="G72" s="1731"/>
      <c r="H72" s="1731"/>
      <c r="I72" s="1731"/>
      <c r="J72" s="1731"/>
      <c r="K72" s="660"/>
    </row>
    <row r="73" spans="1:11" ht="32.25" customHeight="1" x14ac:dyDescent="0.2">
      <c r="A73" s="5799" t="s">
        <v>4138</v>
      </c>
      <c r="B73" s="5799"/>
      <c r="C73" s="5799"/>
      <c r="D73" s="5799"/>
      <c r="E73" s="5799"/>
      <c r="F73" s="5799"/>
      <c r="G73" s="5799"/>
      <c r="H73" s="5799"/>
      <c r="I73" s="5799"/>
      <c r="J73" s="5799"/>
      <c r="K73" s="660"/>
    </row>
  </sheetData>
  <sheetProtection password="A754" sheet="1" objects="1" scenarios="1"/>
  <mergeCells count="8">
    <mergeCell ref="A1:E1"/>
    <mergeCell ref="B6:J6"/>
    <mergeCell ref="A71:J71"/>
    <mergeCell ref="A73:J73"/>
    <mergeCell ref="A66:I66"/>
    <mergeCell ref="A67:I67"/>
    <mergeCell ref="A68:I68"/>
    <mergeCell ref="A69:I69"/>
  </mergeCells>
  <dataValidations count="1">
    <dataValidation allowBlank="1" showInputMessage="1" showErrorMessage="1" sqref="B77:K65529 A77:A1048576 L1:IV65529" xr:uid="{00000000-0002-0000-3800-000000000000}"/>
  </dataValidations>
  <pageMargins left="0.39370078740157499" right="0.39370078740157499" top="0.39370078740157499" bottom="0.39370078740157499" header="0.196850393700787" footer="0.196850393700787"/>
  <pageSetup paperSize="9" scale="31" fitToHeight="0" orientation="portrait" r:id="rId1"/>
  <headerFooter alignWithMargins="0">
    <oddFooter>&amp;L&amp;"Times New Roman,Italic"Common Reporting Format for the provision of inventory information by Annex I Parties to the UNFCCC&amp;R&amp;P+24</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03090-5DA0-46C6-AB26-100F6C3A6D8D}">
  <sheetPr codeName="Ark44">
    <pageSetUpPr fitToPage="1"/>
  </sheetPr>
  <dimension ref="A1:K73"/>
  <sheetViews>
    <sheetView showGridLines="0" topLeftCell="A5" workbookViewId="0">
      <selection sqref="A1:E1"/>
    </sheetView>
  </sheetViews>
  <sheetFormatPr defaultColWidth="8" defaultRowHeight="12" x14ac:dyDescent="0.2"/>
  <cols>
    <col min="1" max="1" width="45.7109375" style="659" customWidth="1"/>
    <col min="2" max="2" width="11.7109375" style="659" customWidth="1"/>
    <col min="3" max="3" width="11" style="659" customWidth="1"/>
    <col min="4" max="4" width="10.85546875" style="659" customWidth="1"/>
    <col min="5" max="5" width="12.7109375" style="659" customWidth="1"/>
    <col min="6" max="6" width="11.140625" style="659" customWidth="1"/>
    <col min="7" max="9" width="10.28515625" style="659" customWidth="1"/>
    <col min="10" max="10" width="11.28515625" style="659" customWidth="1"/>
    <col min="11" max="11" width="1.28515625" style="659" customWidth="1"/>
    <col min="12" max="16384" width="8" style="659"/>
  </cols>
  <sheetData>
    <row r="1" spans="1:11" ht="17.25" x14ac:dyDescent="0.2">
      <c r="A1" s="5471" t="s">
        <v>4200</v>
      </c>
      <c r="B1" s="5471"/>
      <c r="C1" s="5471"/>
      <c r="D1" s="5471"/>
      <c r="E1" s="5471"/>
      <c r="F1" s="660"/>
      <c r="G1" s="660"/>
      <c r="H1" s="660"/>
      <c r="I1" s="660"/>
      <c r="J1" s="668" t="s">
        <v>1028</v>
      </c>
      <c r="K1" s="660"/>
    </row>
    <row r="2" spans="1:11" ht="15.75" x14ac:dyDescent="0.25">
      <c r="A2" s="687" t="s">
        <v>1197</v>
      </c>
      <c r="B2" s="670"/>
      <c r="C2" s="670"/>
      <c r="D2" s="670"/>
      <c r="E2" s="670"/>
      <c r="F2" s="660"/>
      <c r="G2" s="660"/>
      <c r="H2" s="660"/>
      <c r="I2" s="660"/>
      <c r="J2" s="668" t="s">
        <v>5183</v>
      </c>
      <c r="K2" s="660"/>
    </row>
    <row r="3" spans="1:11" x14ac:dyDescent="0.2">
      <c r="A3" s="660"/>
      <c r="B3" s="660"/>
      <c r="C3" s="660"/>
      <c r="D3" s="660"/>
      <c r="E3" s="660"/>
      <c r="F3" s="660"/>
      <c r="G3" s="660"/>
      <c r="H3" s="660"/>
      <c r="I3" s="660"/>
      <c r="J3" s="668" t="s">
        <v>1789</v>
      </c>
      <c r="K3" s="660"/>
    </row>
    <row r="4" spans="1:11" x14ac:dyDescent="0.2">
      <c r="A4" s="660"/>
      <c r="B4" s="660"/>
      <c r="C4" s="660"/>
      <c r="D4" s="660"/>
      <c r="E4" s="660"/>
      <c r="F4" s="660"/>
      <c r="G4" s="660"/>
      <c r="H4" s="660"/>
      <c r="I4" s="660"/>
      <c r="J4" s="1738"/>
      <c r="K4" s="660"/>
    </row>
    <row r="5" spans="1:11" ht="48" x14ac:dyDescent="0.2">
      <c r="A5" s="3654" t="s">
        <v>1084</v>
      </c>
      <c r="B5" s="3652" t="s">
        <v>4199</v>
      </c>
      <c r="C5" s="3652" t="s">
        <v>1023</v>
      </c>
      <c r="D5" s="3652" t="s">
        <v>1022</v>
      </c>
      <c r="E5" s="3652" t="s">
        <v>4198</v>
      </c>
      <c r="F5" s="3652" t="s">
        <v>4197</v>
      </c>
      <c r="G5" s="3652" t="s">
        <v>1018</v>
      </c>
      <c r="H5" s="3653" t="s">
        <v>4196</v>
      </c>
      <c r="I5" s="3652" t="s">
        <v>1164</v>
      </c>
      <c r="J5" s="3652" t="s">
        <v>2043</v>
      </c>
      <c r="K5" s="660"/>
    </row>
    <row r="6" spans="1:11" ht="14.25" thickBot="1" x14ac:dyDescent="0.25">
      <c r="A6" s="1737" t="s">
        <v>1080</v>
      </c>
      <c r="B6" s="5796" t="s">
        <v>4195</v>
      </c>
      <c r="C6" s="5797"/>
      <c r="D6" s="5797"/>
      <c r="E6" s="5797"/>
      <c r="F6" s="5797"/>
      <c r="G6" s="5797"/>
      <c r="H6" s="5797"/>
      <c r="I6" s="5797"/>
      <c r="J6" s="5798"/>
      <c r="K6" s="660"/>
    </row>
    <row r="7" spans="1:11" ht="15" thickTop="1" x14ac:dyDescent="0.2">
      <c r="A7" s="1736" t="s">
        <v>4194</v>
      </c>
      <c r="B7" s="3664">
        <v>40902.51963952557</v>
      </c>
      <c r="C7" s="3664">
        <v>7633.8909743292179</v>
      </c>
      <c r="D7" s="3664">
        <v>5439.3559941171743</v>
      </c>
      <c r="E7" s="3664">
        <v>487.34625221380878</v>
      </c>
      <c r="F7" s="3664">
        <v>7.3734648750000001E-3</v>
      </c>
      <c r="G7" s="3664">
        <v>73.183538506488006</v>
      </c>
      <c r="H7" s="3664" t="s">
        <v>1006</v>
      </c>
      <c r="I7" s="3664" t="s">
        <v>1006</v>
      </c>
      <c r="J7" s="3664">
        <v>54536.303772157131</v>
      </c>
      <c r="K7" s="660"/>
    </row>
    <row r="8" spans="1:11" x14ac:dyDescent="0.2">
      <c r="A8" s="3646" t="s">
        <v>4193</v>
      </c>
      <c r="B8" s="3664">
        <v>32928.611977720058</v>
      </c>
      <c r="C8" s="3664">
        <v>368.12760846452852</v>
      </c>
      <c r="D8" s="3664">
        <v>421.83221445535315</v>
      </c>
      <c r="E8" s="3665" t="s">
        <v>986</v>
      </c>
      <c r="F8" s="3665" t="s">
        <v>986</v>
      </c>
      <c r="G8" s="3665" t="s">
        <v>986</v>
      </c>
      <c r="H8" s="3665" t="s">
        <v>986</v>
      </c>
      <c r="I8" s="3665" t="s">
        <v>986</v>
      </c>
      <c r="J8" s="3664">
        <v>33718.57180063994</v>
      </c>
      <c r="K8" s="679"/>
    </row>
    <row r="9" spans="1:11" x14ac:dyDescent="0.2">
      <c r="A9" s="3647" t="s">
        <v>4192</v>
      </c>
      <c r="B9" s="3664">
        <v>32696.17418267933</v>
      </c>
      <c r="C9" s="3664">
        <v>278.22810257837398</v>
      </c>
      <c r="D9" s="3664">
        <v>380.58106723221817</v>
      </c>
      <c r="E9" s="3665" t="s">
        <v>986</v>
      </c>
      <c r="F9" s="3665" t="s">
        <v>986</v>
      </c>
      <c r="G9" s="3665" t="s">
        <v>986</v>
      </c>
      <c r="H9" s="3665" t="s">
        <v>986</v>
      </c>
      <c r="I9" s="3665" t="s">
        <v>986</v>
      </c>
      <c r="J9" s="3664">
        <v>33354.983352489922</v>
      </c>
      <c r="K9" s="679"/>
    </row>
    <row r="10" spans="1:11" x14ac:dyDescent="0.2">
      <c r="A10" s="3651" t="s">
        <v>4191</v>
      </c>
      <c r="B10" s="3664">
        <v>11263.850718900698</v>
      </c>
      <c r="C10" s="3664">
        <v>111.5195942358845</v>
      </c>
      <c r="D10" s="3664">
        <v>85.937548964731207</v>
      </c>
      <c r="E10" s="3665" t="s">
        <v>986</v>
      </c>
      <c r="F10" s="3665" t="s">
        <v>986</v>
      </c>
      <c r="G10" s="3665" t="s">
        <v>986</v>
      </c>
      <c r="H10" s="3665" t="s">
        <v>986</v>
      </c>
      <c r="I10" s="3665" t="s">
        <v>986</v>
      </c>
      <c r="J10" s="3664">
        <v>11461.307862101314</v>
      </c>
      <c r="K10" s="679"/>
    </row>
    <row r="11" spans="1:11" x14ac:dyDescent="0.2">
      <c r="A11" s="3651" t="s">
        <v>4190</v>
      </c>
      <c r="B11" s="3664">
        <v>3880.0123743523454</v>
      </c>
      <c r="C11" s="3664">
        <v>22.474664695562499</v>
      </c>
      <c r="D11" s="3664">
        <v>63.34949940488486</v>
      </c>
      <c r="E11" s="3665" t="s">
        <v>986</v>
      </c>
      <c r="F11" s="3665" t="s">
        <v>986</v>
      </c>
      <c r="G11" s="3665" t="s">
        <v>986</v>
      </c>
      <c r="H11" s="3665" t="s">
        <v>986</v>
      </c>
      <c r="I11" s="3665" t="s">
        <v>986</v>
      </c>
      <c r="J11" s="3664">
        <v>3965.8365384527929</v>
      </c>
      <c r="K11" s="679"/>
    </row>
    <row r="12" spans="1:11" x14ac:dyDescent="0.2">
      <c r="A12" s="3651" t="s">
        <v>4189</v>
      </c>
      <c r="B12" s="3664">
        <v>13285.049020621816</v>
      </c>
      <c r="C12" s="3664">
        <v>10.31836828998925</v>
      </c>
      <c r="D12" s="3664">
        <v>141.15334504326361</v>
      </c>
      <c r="E12" s="3665" t="s">
        <v>986</v>
      </c>
      <c r="F12" s="3665" t="s">
        <v>986</v>
      </c>
      <c r="G12" s="3665" t="s">
        <v>986</v>
      </c>
      <c r="H12" s="3665" t="s">
        <v>986</v>
      </c>
      <c r="I12" s="3665" t="s">
        <v>986</v>
      </c>
      <c r="J12" s="3664">
        <v>13436.520733955069</v>
      </c>
      <c r="K12" s="679"/>
    </row>
    <row r="13" spans="1:11" x14ac:dyDescent="0.2">
      <c r="A13" s="3651" t="s">
        <v>4188</v>
      </c>
      <c r="B13" s="3664">
        <v>4052.3233409812228</v>
      </c>
      <c r="C13" s="3664">
        <v>133.69303035214551</v>
      </c>
      <c r="D13" s="3664">
        <v>87.68479177494568</v>
      </c>
      <c r="E13" s="3665" t="s">
        <v>986</v>
      </c>
      <c r="F13" s="3665" t="s">
        <v>986</v>
      </c>
      <c r="G13" s="3665" t="s">
        <v>986</v>
      </c>
      <c r="H13" s="3665" t="s">
        <v>986</v>
      </c>
      <c r="I13" s="3665" t="s">
        <v>986</v>
      </c>
      <c r="J13" s="3664">
        <v>4273.7011631083142</v>
      </c>
      <c r="K13" s="679"/>
    </row>
    <row r="14" spans="1:11" x14ac:dyDescent="0.2">
      <c r="A14" s="3651" t="s">
        <v>4187</v>
      </c>
      <c r="B14" s="3664">
        <v>214.93872782324581</v>
      </c>
      <c r="C14" s="3664">
        <v>0.22244500479224999</v>
      </c>
      <c r="D14" s="3664">
        <v>2.45588204439286</v>
      </c>
      <c r="E14" s="3665" t="s">
        <v>986</v>
      </c>
      <c r="F14" s="3665" t="s">
        <v>986</v>
      </c>
      <c r="G14" s="3665" t="s">
        <v>986</v>
      </c>
      <c r="H14" s="3665" t="s">
        <v>986</v>
      </c>
      <c r="I14" s="3665" t="s">
        <v>986</v>
      </c>
      <c r="J14" s="3664">
        <v>217.61705487243091</v>
      </c>
      <c r="K14" s="679"/>
    </row>
    <row r="15" spans="1:11" x14ac:dyDescent="0.2">
      <c r="A15" s="3647" t="s">
        <v>4186</v>
      </c>
      <c r="B15" s="3664">
        <v>232.43779504073041</v>
      </c>
      <c r="C15" s="3664">
        <v>89.8995058861545</v>
      </c>
      <c r="D15" s="3664">
        <v>41.251147223134979</v>
      </c>
      <c r="E15" s="3665" t="s">
        <v>986</v>
      </c>
      <c r="F15" s="3665" t="s">
        <v>986</v>
      </c>
      <c r="G15" s="3665" t="s">
        <v>986</v>
      </c>
      <c r="H15" s="3665" t="s">
        <v>986</v>
      </c>
      <c r="I15" s="3665" t="s">
        <v>986</v>
      </c>
      <c r="J15" s="3664">
        <v>363.58844815001987</v>
      </c>
      <c r="K15" s="679"/>
    </row>
    <row r="16" spans="1:11" x14ac:dyDescent="0.2">
      <c r="A16" s="3651" t="s">
        <v>4185</v>
      </c>
      <c r="B16" s="3664" t="s">
        <v>259</v>
      </c>
      <c r="C16" s="3664" t="s">
        <v>259</v>
      </c>
      <c r="D16" s="3664" t="s">
        <v>259</v>
      </c>
      <c r="E16" s="3665" t="s">
        <v>986</v>
      </c>
      <c r="F16" s="3665" t="s">
        <v>986</v>
      </c>
      <c r="G16" s="3665" t="s">
        <v>986</v>
      </c>
      <c r="H16" s="3665" t="s">
        <v>986</v>
      </c>
      <c r="I16" s="3665" t="s">
        <v>986</v>
      </c>
      <c r="J16" s="3664" t="s">
        <v>259</v>
      </c>
      <c r="K16" s="679"/>
    </row>
    <row r="17" spans="1:11" x14ac:dyDescent="0.2">
      <c r="A17" s="3651" t="s">
        <v>4184</v>
      </c>
      <c r="B17" s="3664">
        <v>232.43779504073041</v>
      </c>
      <c r="C17" s="3664">
        <v>89.8995058861545</v>
      </c>
      <c r="D17" s="3664">
        <v>41.251147223134979</v>
      </c>
      <c r="E17" s="3665" t="s">
        <v>986</v>
      </c>
      <c r="F17" s="3665" t="s">
        <v>986</v>
      </c>
      <c r="G17" s="3665" t="s">
        <v>986</v>
      </c>
      <c r="H17" s="3665" t="s">
        <v>986</v>
      </c>
      <c r="I17" s="3665" t="s">
        <v>986</v>
      </c>
      <c r="J17" s="3664">
        <v>363.58844815001987</v>
      </c>
      <c r="K17" s="679"/>
    </row>
    <row r="18" spans="1:11" ht="13.5" x14ac:dyDescent="0.2">
      <c r="A18" s="3649" t="s">
        <v>4183</v>
      </c>
      <c r="B18" s="3664" t="s">
        <v>259</v>
      </c>
      <c r="C18" s="3665" t="s">
        <v>986</v>
      </c>
      <c r="D18" s="3665" t="s">
        <v>986</v>
      </c>
      <c r="E18" s="3665" t="s">
        <v>986</v>
      </c>
      <c r="F18" s="3665" t="s">
        <v>986</v>
      </c>
      <c r="G18" s="3665" t="s">
        <v>986</v>
      </c>
      <c r="H18" s="3665" t="s">
        <v>986</v>
      </c>
      <c r="I18" s="3665" t="s">
        <v>986</v>
      </c>
      <c r="J18" s="3664" t="s">
        <v>259</v>
      </c>
      <c r="K18" s="679"/>
    </row>
    <row r="19" spans="1:11" x14ac:dyDescent="0.2">
      <c r="A19" s="3646" t="s">
        <v>4182</v>
      </c>
      <c r="B19" s="3664">
        <v>1460.5963141235759</v>
      </c>
      <c r="C19" s="3664">
        <v>2.3150670524999999</v>
      </c>
      <c r="D19" s="3664">
        <v>20.163303040519999</v>
      </c>
      <c r="E19" s="3664">
        <v>487.34625221380878</v>
      </c>
      <c r="F19" s="3664">
        <v>7.3734648750000001E-3</v>
      </c>
      <c r="G19" s="3664">
        <v>73.183538506488006</v>
      </c>
      <c r="H19" s="3664" t="s">
        <v>1006</v>
      </c>
      <c r="I19" s="3664" t="s">
        <v>1006</v>
      </c>
      <c r="J19" s="3664">
        <v>2043.6118484017677</v>
      </c>
      <c r="K19" s="679"/>
    </row>
    <row r="20" spans="1:11" x14ac:dyDescent="0.2">
      <c r="A20" s="3649" t="s">
        <v>1074</v>
      </c>
      <c r="B20" s="3664">
        <v>1297.9768458811</v>
      </c>
      <c r="C20" s="3665" t="s">
        <v>986</v>
      </c>
      <c r="D20" s="3665" t="s">
        <v>986</v>
      </c>
      <c r="E20" s="3665" t="s">
        <v>986</v>
      </c>
      <c r="F20" s="3665" t="s">
        <v>986</v>
      </c>
      <c r="G20" s="3665" t="s">
        <v>986</v>
      </c>
      <c r="H20" s="3665" t="s">
        <v>986</v>
      </c>
      <c r="I20" s="3665" t="s">
        <v>986</v>
      </c>
      <c r="J20" s="3664">
        <v>1297.9768458811</v>
      </c>
      <c r="K20" s="679"/>
    </row>
    <row r="21" spans="1:11" x14ac:dyDescent="0.2">
      <c r="A21" s="3649" t="s">
        <v>4181</v>
      </c>
      <c r="B21" s="3664">
        <v>1.4292023</v>
      </c>
      <c r="C21" s="3664" t="s">
        <v>1006</v>
      </c>
      <c r="D21" s="3664" t="s">
        <v>1006</v>
      </c>
      <c r="E21" s="3664" t="s">
        <v>1006</v>
      </c>
      <c r="F21" s="3664" t="s">
        <v>1006</v>
      </c>
      <c r="G21" s="3664" t="s">
        <v>1006</v>
      </c>
      <c r="H21" s="3664" t="s">
        <v>1006</v>
      </c>
      <c r="I21" s="3664" t="s">
        <v>1006</v>
      </c>
      <c r="J21" s="3664">
        <v>1.4292023</v>
      </c>
      <c r="K21" s="679"/>
    </row>
    <row r="22" spans="1:11" x14ac:dyDescent="0.2">
      <c r="A22" s="3649" t="s">
        <v>1133</v>
      </c>
      <c r="B22" s="3664">
        <v>0.1196</v>
      </c>
      <c r="C22" s="3664" t="s">
        <v>259</v>
      </c>
      <c r="D22" s="3664" t="s">
        <v>259</v>
      </c>
      <c r="E22" s="3664" t="s">
        <v>259</v>
      </c>
      <c r="F22" s="3664" t="s">
        <v>259</v>
      </c>
      <c r="G22" s="3664" t="s">
        <v>259</v>
      </c>
      <c r="H22" s="3664" t="s">
        <v>259</v>
      </c>
      <c r="I22" s="3664" t="s">
        <v>259</v>
      </c>
      <c r="J22" s="3664">
        <v>0.1196</v>
      </c>
      <c r="K22" s="679"/>
    </row>
    <row r="23" spans="1:11" x14ac:dyDescent="0.2">
      <c r="A23" s="3650" t="s">
        <v>4180</v>
      </c>
      <c r="B23" s="3664">
        <v>160.80104976747583</v>
      </c>
      <c r="C23" s="3664">
        <v>0.51062511499999996</v>
      </c>
      <c r="D23" s="3664">
        <v>0.14380526399999999</v>
      </c>
      <c r="E23" s="3665" t="s">
        <v>986</v>
      </c>
      <c r="F23" s="3665" t="s">
        <v>986</v>
      </c>
      <c r="G23" s="3665" t="s">
        <v>986</v>
      </c>
      <c r="H23" s="3665" t="s">
        <v>986</v>
      </c>
      <c r="I23" s="3665" t="s">
        <v>986</v>
      </c>
      <c r="J23" s="3664">
        <v>161.45548014647582</v>
      </c>
      <c r="K23" s="679"/>
    </row>
    <row r="24" spans="1:11" x14ac:dyDescent="0.2">
      <c r="A24" s="3650" t="s">
        <v>4179</v>
      </c>
      <c r="B24" s="3665" t="s">
        <v>986</v>
      </c>
      <c r="C24" s="3665" t="s">
        <v>986</v>
      </c>
      <c r="D24" s="3665" t="s">
        <v>986</v>
      </c>
      <c r="E24" s="3664" t="s">
        <v>259</v>
      </c>
      <c r="F24" s="3664" t="s">
        <v>259</v>
      </c>
      <c r="G24" s="3664" t="s">
        <v>259</v>
      </c>
      <c r="H24" s="3664" t="s">
        <v>259</v>
      </c>
      <c r="I24" s="3664" t="s">
        <v>259</v>
      </c>
      <c r="J24" s="3664" t="s">
        <v>259</v>
      </c>
      <c r="K24" s="679"/>
    </row>
    <row r="25" spans="1:11" x14ac:dyDescent="0.2">
      <c r="A25" s="3650" t="s">
        <v>4178</v>
      </c>
      <c r="B25" s="3665" t="s">
        <v>986</v>
      </c>
      <c r="C25" s="3665" t="s">
        <v>986</v>
      </c>
      <c r="D25" s="3665" t="s">
        <v>986</v>
      </c>
      <c r="E25" s="3664">
        <v>487.34625221380878</v>
      </c>
      <c r="F25" s="3664">
        <v>7.3734648750000001E-3</v>
      </c>
      <c r="G25" s="3664" t="s">
        <v>259</v>
      </c>
      <c r="H25" s="3664" t="s">
        <v>259</v>
      </c>
      <c r="I25" s="3664" t="s">
        <v>259</v>
      </c>
      <c r="J25" s="3664">
        <v>487.35362567868378</v>
      </c>
      <c r="K25" s="679"/>
    </row>
    <row r="26" spans="1:11" x14ac:dyDescent="0.2">
      <c r="A26" s="3650" t="s">
        <v>5220</v>
      </c>
      <c r="B26" s="3664">
        <v>0.26961617500000001</v>
      </c>
      <c r="C26" s="3664">
        <v>1.8044419375</v>
      </c>
      <c r="D26" s="3664">
        <v>20.019497776520002</v>
      </c>
      <c r="E26" s="3664" t="s">
        <v>1006</v>
      </c>
      <c r="F26" s="3664" t="s">
        <v>1006</v>
      </c>
      <c r="G26" s="3664">
        <v>73.183538506488006</v>
      </c>
      <c r="H26" s="3664" t="s">
        <v>1006</v>
      </c>
      <c r="I26" s="3664" t="s">
        <v>1006</v>
      </c>
      <c r="J26" s="3664">
        <v>95.277094395508001</v>
      </c>
      <c r="K26" s="679"/>
    </row>
    <row r="27" spans="1:11" x14ac:dyDescent="0.2">
      <c r="A27" s="3649" t="s">
        <v>4177</v>
      </c>
      <c r="B27" s="3664" t="s">
        <v>986</v>
      </c>
      <c r="C27" s="3664" t="s">
        <v>986</v>
      </c>
      <c r="D27" s="3664" t="s">
        <v>986</v>
      </c>
      <c r="E27" s="3664" t="s">
        <v>799</v>
      </c>
      <c r="F27" s="3664" t="s">
        <v>799</v>
      </c>
      <c r="G27" s="3664" t="s">
        <v>799</v>
      </c>
      <c r="H27" s="3664" t="s">
        <v>799</v>
      </c>
      <c r="I27" s="3664" t="s">
        <v>799</v>
      </c>
      <c r="J27" s="3664" t="s">
        <v>799</v>
      </c>
      <c r="K27" s="679"/>
    </row>
    <row r="28" spans="1:11" x14ac:dyDescent="0.2">
      <c r="A28" s="3644" t="s">
        <v>4176</v>
      </c>
      <c r="B28" s="3664">
        <v>244.18035224964234</v>
      </c>
      <c r="C28" s="3664">
        <v>5990.0819131430935</v>
      </c>
      <c r="D28" s="3664">
        <v>4806.997869803502</v>
      </c>
      <c r="E28" s="3665" t="s">
        <v>986</v>
      </c>
      <c r="F28" s="3665" t="s">
        <v>986</v>
      </c>
      <c r="G28" s="3665" t="s">
        <v>986</v>
      </c>
      <c r="H28" s="3665" t="s">
        <v>986</v>
      </c>
      <c r="I28" s="3665" t="s">
        <v>986</v>
      </c>
      <c r="J28" s="3664">
        <v>11041.260135196238</v>
      </c>
      <c r="K28" s="679"/>
    </row>
    <row r="29" spans="1:11" x14ac:dyDescent="0.2">
      <c r="A29" s="3647" t="s">
        <v>4175</v>
      </c>
      <c r="B29" s="3665" t="s">
        <v>986</v>
      </c>
      <c r="C29" s="3664">
        <v>3767.3551588371374</v>
      </c>
      <c r="D29" s="3665" t="s">
        <v>986</v>
      </c>
      <c r="E29" s="3665" t="s">
        <v>986</v>
      </c>
      <c r="F29" s="3665" t="s">
        <v>986</v>
      </c>
      <c r="G29" s="3665" t="s">
        <v>986</v>
      </c>
      <c r="H29" s="3665" t="s">
        <v>986</v>
      </c>
      <c r="I29" s="3665" t="s">
        <v>986</v>
      </c>
      <c r="J29" s="3664">
        <v>3767.3551588371374</v>
      </c>
      <c r="K29" s="679"/>
    </row>
    <row r="30" spans="1:11" x14ac:dyDescent="0.2">
      <c r="A30" s="3647" t="s">
        <v>4174</v>
      </c>
      <c r="B30" s="3665" t="s">
        <v>986</v>
      </c>
      <c r="C30" s="3664">
        <v>2219.3034462434566</v>
      </c>
      <c r="D30" s="3664">
        <v>733.09469424444876</v>
      </c>
      <c r="E30" s="3665" t="s">
        <v>986</v>
      </c>
      <c r="F30" s="3665" t="s">
        <v>986</v>
      </c>
      <c r="G30" s="3665" t="s">
        <v>986</v>
      </c>
      <c r="H30" s="3665" t="s">
        <v>986</v>
      </c>
      <c r="I30" s="3665" t="s">
        <v>986</v>
      </c>
      <c r="J30" s="3664">
        <v>2952.398140487905</v>
      </c>
      <c r="K30" s="679"/>
    </row>
    <row r="31" spans="1:11" x14ac:dyDescent="0.2">
      <c r="A31" s="3647" t="s">
        <v>4173</v>
      </c>
      <c r="B31" s="3665" t="s">
        <v>986</v>
      </c>
      <c r="C31" s="3664" t="s">
        <v>259</v>
      </c>
      <c r="D31" s="3665" t="s">
        <v>986</v>
      </c>
      <c r="E31" s="3665" t="s">
        <v>986</v>
      </c>
      <c r="F31" s="3665" t="s">
        <v>986</v>
      </c>
      <c r="G31" s="3665" t="s">
        <v>986</v>
      </c>
      <c r="H31" s="3665" t="s">
        <v>986</v>
      </c>
      <c r="I31" s="3665" t="s">
        <v>986</v>
      </c>
      <c r="J31" s="3664" t="s">
        <v>259</v>
      </c>
      <c r="K31" s="679"/>
    </row>
    <row r="32" spans="1:11" ht="13.5" x14ac:dyDescent="0.2">
      <c r="A32" s="3647" t="s">
        <v>4172</v>
      </c>
      <c r="B32" s="3665" t="s">
        <v>986</v>
      </c>
      <c r="C32" s="3664" t="s">
        <v>1209</v>
      </c>
      <c r="D32" s="3664">
        <v>4072.8452465785531</v>
      </c>
      <c r="E32" s="3665" t="s">
        <v>986</v>
      </c>
      <c r="F32" s="3665" t="s">
        <v>986</v>
      </c>
      <c r="G32" s="3665" t="s">
        <v>986</v>
      </c>
      <c r="H32" s="3665" t="s">
        <v>986</v>
      </c>
      <c r="I32" s="3665" t="s">
        <v>986</v>
      </c>
      <c r="J32" s="3664">
        <v>4072.8452465785531</v>
      </c>
      <c r="K32" s="679"/>
    </row>
    <row r="33" spans="1:11" x14ac:dyDescent="0.2">
      <c r="A33" s="3647" t="s">
        <v>4171</v>
      </c>
      <c r="B33" s="3665" t="s">
        <v>986</v>
      </c>
      <c r="C33" s="3664" t="s">
        <v>259</v>
      </c>
      <c r="D33" s="3664" t="s">
        <v>259</v>
      </c>
      <c r="E33" s="3665" t="s">
        <v>986</v>
      </c>
      <c r="F33" s="3665" t="s">
        <v>986</v>
      </c>
      <c r="G33" s="3665" t="s">
        <v>986</v>
      </c>
      <c r="H33" s="3665" t="s">
        <v>986</v>
      </c>
      <c r="I33" s="3665" t="s">
        <v>986</v>
      </c>
      <c r="J33" s="3664" t="s">
        <v>259</v>
      </c>
      <c r="K33" s="679"/>
    </row>
    <row r="34" spans="1:11" x14ac:dyDescent="0.2">
      <c r="A34" s="3647" t="s">
        <v>4170</v>
      </c>
      <c r="B34" s="3665" t="s">
        <v>986</v>
      </c>
      <c r="C34" s="3664">
        <v>3.4233080624999999</v>
      </c>
      <c r="D34" s="3664">
        <v>1.0579289805000001</v>
      </c>
      <c r="E34" s="3665" t="s">
        <v>986</v>
      </c>
      <c r="F34" s="3665" t="s">
        <v>986</v>
      </c>
      <c r="G34" s="3665" t="s">
        <v>986</v>
      </c>
      <c r="H34" s="3665" t="s">
        <v>986</v>
      </c>
      <c r="I34" s="3665" t="s">
        <v>986</v>
      </c>
      <c r="J34" s="3664">
        <v>4.4812370430000001</v>
      </c>
      <c r="K34" s="679"/>
    </row>
    <row r="35" spans="1:11" x14ac:dyDescent="0.2">
      <c r="A35" s="3647" t="s">
        <v>4169</v>
      </c>
      <c r="B35" s="3664">
        <v>239.91601891630901</v>
      </c>
      <c r="C35" s="3665" t="s">
        <v>986</v>
      </c>
      <c r="D35" s="3665" t="s">
        <v>986</v>
      </c>
      <c r="E35" s="3665" t="s">
        <v>986</v>
      </c>
      <c r="F35" s="3665" t="s">
        <v>986</v>
      </c>
      <c r="G35" s="3665" t="s">
        <v>986</v>
      </c>
      <c r="H35" s="3665" t="s">
        <v>986</v>
      </c>
      <c r="I35" s="3665" t="s">
        <v>986</v>
      </c>
      <c r="J35" s="3664">
        <v>239.91601891630901</v>
      </c>
      <c r="K35" s="679"/>
    </row>
    <row r="36" spans="1:11" x14ac:dyDescent="0.2">
      <c r="A36" s="3647" t="s">
        <v>4168</v>
      </c>
      <c r="B36" s="3664">
        <v>1.39333333333333</v>
      </c>
      <c r="C36" s="3665" t="s">
        <v>986</v>
      </c>
      <c r="D36" s="3665" t="s">
        <v>986</v>
      </c>
      <c r="E36" s="3665" t="s">
        <v>986</v>
      </c>
      <c r="F36" s="3665" t="s">
        <v>986</v>
      </c>
      <c r="G36" s="3665" t="s">
        <v>986</v>
      </c>
      <c r="H36" s="3665" t="s">
        <v>986</v>
      </c>
      <c r="I36" s="3665" t="s">
        <v>986</v>
      </c>
      <c r="J36" s="3664">
        <v>1.39333333333333</v>
      </c>
      <c r="K36" s="679"/>
    </row>
    <row r="37" spans="1:11" x14ac:dyDescent="0.2">
      <c r="A37" s="3647" t="s">
        <v>4167</v>
      </c>
      <c r="B37" s="3664">
        <v>2.871</v>
      </c>
      <c r="C37" s="3665" t="s">
        <v>986</v>
      </c>
      <c r="D37" s="3665" t="s">
        <v>986</v>
      </c>
      <c r="E37" s="3665" t="s">
        <v>986</v>
      </c>
      <c r="F37" s="3665" t="s">
        <v>986</v>
      </c>
      <c r="G37" s="3665" t="s">
        <v>986</v>
      </c>
      <c r="H37" s="3665" t="s">
        <v>986</v>
      </c>
      <c r="I37" s="3665" t="s">
        <v>986</v>
      </c>
      <c r="J37" s="3664">
        <v>2.871</v>
      </c>
      <c r="K37" s="679"/>
    </row>
    <row r="38" spans="1:11" x14ac:dyDescent="0.2">
      <c r="A38" s="3647" t="s">
        <v>4166</v>
      </c>
      <c r="B38" s="3664" t="s">
        <v>799</v>
      </c>
      <c r="C38" s="3664" t="s">
        <v>799</v>
      </c>
      <c r="D38" s="3664" t="s">
        <v>799</v>
      </c>
      <c r="E38" s="3665" t="s">
        <v>986</v>
      </c>
      <c r="F38" s="3665" t="s">
        <v>986</v>
      </c>
      <c r="G38" s="3665" t="s">
        <v>986</v>
      </c>
      <c r="H38" s="3665" t="s">
        <v>986</v>
      </c>
      <c r="I38" s="3665" t="s">
        <v>986</v>
      </c>
      <c r="J38" s="3664" t="s">
        <v>799</v>
      </c>
      <c r="K38" s="679"/>
    </row>
    <row r="39" spans="1:11" ht="14.25" x14ac:dyDescent="0.2">
      <c r="A39" s="3646" t="s">
        <v>4165</v>
      </c>
      <c r="B39" s="3664">
        <v>6251.0899568015784</v>
      </c>
      <c r="C39" s="3664">
        <v>301.25940271485001</v>
      </c>
      <c r="D39" s="3664">
        <v>41.210136393990041</v>
      </c>
      <c r="E39" s="3665" t="s">
        <v>986</v>
      </c>
      <c r="F39" s="3665" t="s">
        <v>986</v>
      </c>
      <c r="G39" s="3665" t="s">
        <v>986</v>
      </c>
      <c r="H39" s="3665" t="s">
        <v>986</v>
      </c>
      <c r="I39" s="3665" t="s">
        <v>986</v>
      </c>
      <c r="J39" s="3664">
        <v>6593.5594959104183</v>
      </c>
      <c r="K39" s="679"/>
    </row>
    <row r="40" spans="1:11" x14ac:dyDescent="0.2">
      <c r="A40" s="3647" t="s">
        <v>1522</v>
      </c>
      <c r="B40" s="3664">
        <v>348.72063087543069</v>
      </c>
      <c r="C40" s="3664">
        <v>29.422074965</v>
      </c>
      <c r="D40" s="3664">
        <v>24.045899408674</v>
      </c>
      <c r="E40" s="3665" t="s">
        <v>986</v>
      </c>
      <c r="F40" s="3665" t="s">
        <v>986</v>
      </c>
      <c r="G40" s="3665" t="s">
        <v>986</v>
      </c>
      <c r="H40" s="3665" t="s">
        <v>986</v>
      </c>
      <c r="I40" s="3665" t="s">
        <v>986</v>
      </c>
      <c r="J40" s="3664">
        <v>402.18860524910468</v>
      </c>
      <c r="K40" s="679"/>
    </row>
    <row r="41" spans="1:11" x14ac:dyDescent="0.2">
      <c r="A41" s="3647" t="s">
        <v>1552</v>
      </c>
      <c r="B41" s="3664">
        <v>4442.9766260664373</v>
      </c>
      <c r="C41" s="3664">
        <v>141.04061841475001</v>
      </c>
      <c r="D41" s="3664">
        <v>1.994418582337</v>
      </c>
      <c r="E41" s="3665" t="s">
        <v>986</v>
      </c>
      <c r="F41" s="3665" t="s">
        <v>986</v>
      </c>
      <c r="G41" s="3665" t="s">
        <v>986</v>
      </c>
      <c r="H41" s="3665" t="s">
        <v>986</v>
      </c>
      <c r="I41" s="3665" t="s">
        <v>986</v>
      </c>
      <c r="J41" s="3664">
        <v>4586.0116630635248</v>
      </c>
      <c r="K41" s="679"/>
    </row>
    <row r="42" spans="1:11" x14ac:dyDescent="0.2">
      <c r="A42" s="3647" t="s">
        <v>1549</v>
      </c>
      <c r="B42" s="3664">
        <v>1389.1905504554734</v>
      </c>
      <c r="C42" s="3664">
        <v>73.502858312599997</v>
      </c>
      <c r="D42" s="3664">
        <v>0.79731365289839995</v>
      </c>
      <c r="E42" s="3665" t="s">
        <v>986</v>
      </c>
      <c r="F42" s="3665" t="s">
        <v>986</v>
      </c>
      <c r="G42" s="3665" t="s">
        <v>986</v>
      </c>
      <c r="H42" s="3665" t="s">
        <v>986</v>
      </c>
      <c r="I42" s="3665" t="s">
        <v>986</v>
      </c>
      <c r="J42" s="3664">
        <v>1463.4907224209717</v>
      </c>
      <c r="K42" s="679"/>
    </row>
    <row r="43" spans="1:11" x14ac:dyDescent="0.2">
      <c r="A43" s="3647" t="s">
        <v>1510</v>
      </c>
      <c r="B43" s="3664">
        <v>52.605373333333382</v>
      </c>
      <c r="C43" s="3664">
        <v>57.2938510225</v>
      </c>
      <c r="D43" s="3664">
        <v>0.11235940042824</v>
      </c>
      <c r="E43" s="3665" t="s">
        <v>986</v>
      </c>
      <c r="F43" s="3665" t="s">
        <v>986</v>
      </c>
      <c r="G43" s="3665" t="s">
        <v>986</v>
      </c>
      <c r="H43" s="3665" t="s">
        <v>986</v>
      </c>
      <c r="I43" s="3665" t="s">
        <v>986</v>
      </c>
      <c r="J43" s="3664">
        <v>110.01158375626162</v>
      </c>
      <c r="K43" s="679"/>
    </row>
    <row r="44" spans="1:11" x14ac:dyDescent="0.2">
      <c r="A44" s="3647" t="s">
        <v>4164</v>
      </c>
      <c r="B44" s="3664">
        <v>179.72874198975327</v>
      </c>
      <c r="C44" s="3664" t="s">
        <v>259</v>
      </c>
      <c r="D44" s="3664">
        <v>14.260145349652401</v>
      </c>
      <c r="E44" s="3665" t="s">
        <v>986</v>
      </c>
      <c r="F44" s="3665" t="s">
        <v>986</v>
      </c>
      <c r="G44" s="3665" t="s">
        <v>986</v>
      </c>
      <c r="H44" s="3665" t="s">
        <v>986</v>
      </c>
      <c r="I44" s="3665" t="s">
        <v>986</v>
      </c>
      <c r="J44" s="3664">
        <v>193.98888733940566</v>
      </c>
      <c r="K44" s="679"/>
    </row>
    <row r="45" spans="1:11" x14ac:dyDescent="0.2">
      <c r="A45" s="3647" t="s">
        <v>1503</v>
      </c>
      <c r="B45" s="3664" t="s">
        <v>259</v>
      </c>
      <c r="C45" s="3664" t="s">
        <v>259</v>
      </c>
      <c r="D45" s="3664" t="s">
        <v>259</v>
      </c>
      <c r="E45" s="3665" t="s">
        <v>986</v>
      </c>
      <c r="F45" s="3665" t="s">
        <v>986</v>
      </c>
      <c r="G45" s="3665" t="s">
        <v>986</v>
      </c>
      <c r="H45" s="3665" t="s">
        <v>986</v>
      </c>
      <c r="I45" s="3665" t="s">
        <v>986</v>
      </c>
      <c r="J45" s="3664" t="s">
        <v>259</v>
      </c>
      <c r="K45" s="679"/>
    </row>
    <row r="46" spans="1:11" x14ac:dyDescent="0.2">
      <c r="A46" s="3647" t="s">
        <v>4163</v>
      </c>
      <c r="B46" s="3664">
        <v>-162.13196591885</v>
      </c>
      <c r="C46" s="3665" t="s">
        <v>986</v>
      </c>
      <c r="D46" s="3665" t="s">
        <v>986</v>
      </c>
      <c r="E46" s="3665" t="s">
        <v>986</v>
      </c>
      <c r="F46" s="3665" t="s">
        <v>986</v>
      </c>
      <c r="G46" s="3665" t="s">
        <v>986</v>
      </c>
      <c r="H46" s="3665" t="s">
        <v>986</v>
      </c>
      <c r="I46" s="3665" t="s">
        <v>986</v>
      </c>
      <c r="J46" s="3664">
        <v>-162.13196591885</v>
      </c>
      <c r="K46" s="679"/>
    </row>
    <row r="47" spans="1:11" x14ac:dyDescent="0.2">
      <c r="A47" s="3647" t="s">
        <v>4162</v>
      </c>
      <c r="B47" s="3664" t="s">
        <v>259</v>
      </c>
      <c r="C47" s="3664" t="s">
        <v>259</v>
      </c>
      <c r="D47" s="3664" t="s">
        <v>259</v>
      </c>
      <c r="E47" s="3665" t="s">
        <v>986</v>
      </c>
      <c r="F47" s="3665" t="s">
        <v>986</v>
      </c>
      <c r="G47" s="3665" t="s">
        <v>986</v>
      </c>
      <c r="H47" s="3665" t="s">
        <v>986</v>
      </c>
      <c r="I47" s="3665" t="s">
        <v>986</v>
      </c>
      <c r="J47" s="3664" t="s">
        <v>259</v>
      </c>
      <c r="K47" s="679"/>
    </row>
    <row r="48" spans="1:11" x14ac:dyDescent="0.2">
      <c r="A48" s="3646" t="s">
        <v>4161</v>
      </c>
      <c r="B48" s="3664">
        <v>18.0410386307144</v>
      </c>
      <c r="C48" s="3664">
        <v>972.10698295424572</v>
      </c>
      <c r="D48" s="3664">
        <v>149.15247042380904</v>
      </c>
      <c r="E48" s="3665" t="s">
        <v>986</v>
      </c>
      <c r="F48" s="3665" t="s">
        <v>986</v>
      </c>
      <c r="G48" s="3665" t="s">
        <v>986</v>
      </c>
      <c r="H48" s="3665" t="s">
        <v>986</v>
      </c>
      <c r="I48" s="3665" t="s">
        <v>986</v>
      </c>
      <c r="J48" s="3664">
        <v>1139.3004920087692</v>
      </c>
      <c r="K48" s="679"/>
    </row>
    <row r="49" spans="1:11" x14ac:dyDescent="0.2">
      <c r="A49" s="3647" t="s">
        <v>4160</v>
      </c>
      <c r="B49" s="3664" t="s">
        <v>1006</v>
      </c>
      <c r="C49" s="3664">
        <v>560.390950416735</v>
      </c>
      <c r="D49" s="3665" t="s">
        <v>986</v>
      </c>
      <c r="E49" s="3665" t="s">
        <v>986</v>
      </c>
      <c r="F49" s="3665" t="s">
        <v>986</v>
      </c>
      <c r="G49" s="3665" t="s">
        <v>986</v>
      </c>
      <c r="H49" s="3665" t="s">
        <v>986</v>
      </c>
      <c r="I49" s="3665" t="s">
        <v>986</v>
      </c>
      <c r="J49" s="3664">
        <v>560.390950416735</v>
      </c>
      <c r="K49" s="679"/>
    </row>
    <row r="50" spans="1:11" x14ac:dyDescent="0.2">
      <c r="A50" s="3647" t="s">
        <v>4159</v>
      </c>
      <c r="B50" s="3665" t="s">
        <v>986</v>
      </c>
      <c r="C50" s="3664">
        <v>358.88387735571553</v>
      </c>
      <c r="D50" s="3664">
        <v>83.493971690428737</v>
      </c>
      <c r="E50" s="3665" t="s">
        <v>986</v>
      </c>
      <c r="F50" s="3665" t="s">
        <v>986</v>
      </c>
      <c r="G50" s="3665" t="s">
        <v>986</v>
      </c>
      <c r="H50" s="3665" t="s">
        <v>986</v>
      </c>
      <c r="I50" s="3665" t="s">
        <v>986</v>
      </c>
      <c r="J50" s="3664">
        <v>442.37784904614426</v>
      </c>
      <c r="K50" s="679"/>
    </row>
    <row r="51" spans="1:11" x14ac:dyDescent="0.2">
      <c r="A51" s="3648" t="s">
        <v>4158</v>
      </c>
      <c r="B51" s="3664" t="s">
        <v>259</v>
      </c>
      <c r="C51" s="3664">
        <v>1.8910762500000001E-2</v>
      </c>
      <c r="D51" s="3664">
        <v>0.28178039407560002</v>
      </c>
      <c r="E51" s="3665" t="s">
        <v>986</v>
      </c>
      <c r="F51" s="3665" t="s">
        <v>986</v>
      </c>
      <c r="G51" s="3665" t="s">
        <v>986</v>
      </c>
      <c r="H51" s="3665" t="s">
        <v>986</v>
      </c>
      <c r="I51" s="3665" t="s">
        <v>986</v>
      </c>
      <c r="J51" s="3664">
        <v>0.30069115657560003</v>
      </c>
      <c r="K51" s="679"/>
    </row>
    <row r="52" spans="1:11" x14ac:dyDescent="0.2">
      <c r="A52" s="3647" t="s">
        <v>4157</v>
      </c>
      <c r="B52" s="3665" t="s">
        <v>986</v>
      </c>
      <c r="C52" s="3664">
        <v>50.756005620476749</v>
      </c>
      <c r="D52" s="3664">
        <v>65.376718339304702</v>
      </c>
      <c r="E52" s="3665" t="s">
        <v>986</v>
      </c>
      <c r="F52" s="3665" t="s">
        <v>986</v>
      </c>
      <c r="G52" s="3665" t="s">
        <v>986</v>
      </c>
      <c r="H52" s="3665" t="s">
        <v>986</v>
      </c>
      <c r="I52" s="3665" t="s">
        <v>986</v>
      </c>
      <c r="J52" s="3664">
        <v>116.13272395978144</v>
      </c>
      <c r="K52" s="679"/>
    </row>
    <row r="53" spans="1:11" x14ac:dyDescent="0.2">
      <c r="A53" s="3647" t="s">
        <v>4156</v>
      </c>
      <c r="B53" s="3664">
        <v>18.0410386307144</v>
      </c>
      <c r="C53" s="3664">
        <v>2.0572387988185001</v>
      </c>
      <c r="D53" s="3664" t="s">
        <v>799</v>
      </c>
      <c r="E53" s="3665" t="s">
        <v>986</v>
      </c>
      <c r="F53" s="3665" t="s">
        <v>986</v>
      </c>
      <c r="G53" s="3665" t="s">
        <v>986</v>
      </c>
      <c r="H53" s="3665" t="s">
        <v>986</v>
      </c>
      <c r="I53" s="3665" t="s">
        <v>986</v>
      </c>
      <c r="J53" s="3664">
        <v>20.098277429532899</v>
      </c>
      <c r="K53" s="679"/>
    </row>
    <row r="54" spans="1:11" x14ac:dyDescent="0.2">
      <c r="A54" s="3646" t="s">
        <v>4155</v>
      </c>
      <c r="B54" s="3664" t="s">
        <v>259</v>
      </c>
      <c r="C54" s="3664" t="s">
        <v>259</v>
      </c>
      <c r="D54" s="3664" t="s">
        <v>259</v>
      </c>
      <c r="E54" s="3664" t="s">
        <v>259</v>
      </c>
      <c r="F54" s="3664" t="s">
        <v>259</v>
      </c>
      <c r="G54" s="3664" t="s">
        <v>259</v>
      </c>
      <c r="H54" s="3664" t="s">
        <v>259</v>
      </c>
      <c r="I54" s="3664" t="s">
        <v>259</v>
      </c>
      <c r="J54" s="3664" t="s">
        <v>259</v>
      </c>
      <c r="K54" s="679"/>
    </row>
    <row r="55" spans="1:11" x14ac:dyDescent="0.2">
      <c r="A55" s="660"/>
      <c r="B55" s="1735"/>
      <c r="C55" s="1735"/>
      <c r="D55" s="1735"/>
      <c r="E55" s="1735"/>
      <c r="F55" s="1735"/>
      <c r="G55" s="1735"/>
      <c r="H55" s="1735"/>
      <c r="I55" s="1735"/>
      <c r="J55" s="1735"/>
      <c r="K55" s="660"/>
    </row>
    <row r="56" spans="1:11" ht="14.25" x14ac:dyDescent="0.2">
      <c r="A56" s="3644" t="s">
        <v>4154</v>
      </c>
      <c r="B56" s="3665" t="s">
        <v>986</v>
      </c>
      <c r="C56" s="3665" t="s">
        <v>986</v>
      </c>
      <c r="D56" s="3665" t="s">
        <v>986</v>
      </c>
      <c r="E56" s="3665" t="s">
        <v>986</v>
      </c>
      <c r="F56" s="3665" t="s">
        <v>986</v>
      </c>
      <c r="G56" s="3665" t="s">
        <v>986</v>
      </c>
      <c r="H56" s="3665" t="s">
        <v>986</v>
      </c>
      <c r="I56" s="3665" t="s">
        <v>986</v>
      </c>
      <c r="J56" s="3665" t="s">
        <v>986</v>
      </c>
      <c r="K56" s="660"/>
    </row>
    <row r="57" spans="1:11" x14ac:dyDescent="0.2">
      <c r="A57" s="3644" t="s">
        <v>4153</v>
      </c>
      <c r="B57" s="3664">
        <v>4772.4165979436893</v>
      </c>
      <c r="C57" s="3664">
        <v>1.3952514954772499</v>
      </c>
      <c r="D57" s="3664">
        <v>43.266727429893997</v>
      </c>
      <c r="E57" s="3665" t="s">
        <v>986</v>
      </c>
      <c r="F57" s="3665" t="s">
        <v>986</v>
      </c>
      <c r="G57" s="3665" t="s">
        <v>986</v>
      </c>
      <c r="H57" s="3665" t="s">
        <v>986</v>
      </c>
      <c r="I57" s="3665" t="s">
        <v>986</v>
      </c>
      <c r="J57" s="3664">
        <v>4817.0785768690603</v>
      </c>
      <c r="K57" s="660"/>
    </row>
    <row r="58" spans="1:11" x14ac:dyDescent="0.2">
      <c r="A58" s="3645" t="s">
        <v>4152</v>
      </c>
      <c r="B58" s="3664">
        <v>3045.351588645</v>
      </c>
      <c r="C58" s="3664">
        <v>0.29263401296024999</v>
      </c>
      <c r="D58" s="3664">
        <v>30.315951938368961</v>
      </c>
      <c r="E58" s="3665" t="s">
        <v>986</v>
      </c>
      <c r="F58" s="3665" t="s">
        <v>986</v>
      </c>
      <c r="G58" s="3665" t="s">
        <v>986</v>
      </c>
      <c r="H58" s="3665" t="s">
        <v>986</v>
      </c>
      <c r="I58" s="3665" t="s">
        <v>986</v>
      </c>
      <c r="J58" s="3664">
        <v>3075.9601745963291</v>
      </c>
      <c r="K58" s="660"/>
    </row>
    <row r="59" spans="1:11" x14ac:dyDescent="0.2">
      <c r="A59" s="3645" t="s">
        <v>4151</v>
      </c>
      <c r="B59" s="3664">
        <v>1727.0650092986889</v>
      </c>
      <c r="C59" s="3664">
        <v>1.1026174825170001</v>
      </c>
      <c r="D59" s="3664">
        <v>12.950775491525039</v>
      </c>
      <c r="E59" s="3665" t="s">
        <v>986</v>
      </c>
      <c r="F59" s="3665" t="s">
        <v>986</v>
      </c>
      <c r="G59" s="3665" t="s">
        <v>986</v>
      </c>
      <c r="H59" s="3665" t="s">
        <v>986</v>
      </c>
      <c r="I59" s="3665" t="s">
        <v>986</v>
      </c>
      <c r="J59" s="3664">
        <v>1741.1184022727311</v>
      </c>
      <c r="K59" s="660"/>
    </row>
    <row r="60" spans="1:11" x14ac:dyDescent="0.2">
      <c r="A60" s="3641" t="s">
        <v>4150</v>
      </c>
      <c r="B60" s="3664" t="s">
        <v>1209</v>
      </c>
      <c r="C60" s="3664" t="s">
        <v>1209</v>
      </c>
      <c r="D60" s="3664" t="s">
        <v>1209</v>
      </c>
      <c r="E60" s="3665" t="s">
        <v>986</v>
      </c>
      <c r="F60" s="3665" t="s">
        <v>986</v>
      </c>
      <c r="G60" s="3665" t="s">
        <v>986</v>
      </c>
      <c r="H60" s="3665" t="s">
        <v>986</v>
      </c>
      <c r="I60" s="3665" t="s">
        <v>986</v>
      </c>
      <c r="J60" s="3664" t="s">
        <v>1209</v>
      </c>
      <c r="K60" s="660"/>
    </row>
    <row r="61" spans="1:11" ht="13.5" x14ac:dyDescent="0.2">
      <c r="A61" s="3644" t="s">
        <v>4149</v>
      </c>
      <c r="B61" s="3664">
        <v>19064.027343035861</v>
      </c>
      <c r="C61" s="3665" t="s">
        <v>986</v>
      </c>
      <c r="D61" s="3665" t="s">
        <v>986</v>
      </c>
      <c r="E61" s="3665" t="s">
        <v>986</v>
      </c>
      <c r="F61" s="3665" t="s">
        <v>986</v>
      </c>
      <c r="G61" s="3665" t="s">
        <v>986</v>
      </c>
      <c r="H61" s="3665" t="s">
        <v>986</v>
      </c>
      <c r="I61" s="3665" t="s">
        <v>986</v>
      </c>
      <c r="J61" s="3664">
        <v>19064.027343035861</v>
      </c>
      <c r="K61" s="660"/>
    </row>
    <row r="62" spans="1:11" ht="13.5" x14ac:dyDescent="0.2">
      <c r="A62" s="3641" t="s">
        <v>4148</v>
      </c>
      <c r="B62" s="3664" t="s">
        <v>1006</v>
      </c>
      <c r="C62" s="3665" t="s">
        <v>986</v>
      </c>
      <c r="D62" s="3665" t="s">
        <v>986</v>
      </c>
      <c r="E62" s="3665" t="s">
        <v>986</v>
      </c>
      <c r="F62" s="3665" t="s">
        <v>986</v>
      </c>
      <c r="G62" s="3665" t="s">
        <v>986</v>
      </c>
      <c r="H62" s="3665" t="s">
        <v>986</v>
      </c>
      <c r="I62" s="3665" t="s">
        <v>986</v>
      </c>
      <c r="J62" s="3664" t="s">
        <v>1006</v>
      </c>
      <c r="K62" s="660"/>
    </row>
    <row r="63" spans="1:11" x14ac:dyDescent="0.2">
      <c r="A63" s="3643" t="s">
        <v>4147</v>
      </c>
      <c r="B63" s="3664" t="s">
        <v>1209</v>
      </c>
      <c r="C63" s="3665" t="s">
        <v>986</v>
      </c>
      <c r="D63" s="3665" t="s">
        <v>986</v>
      </c>
      <c r="E63" s="3665" t="s">
        <v>986</v>
      </c>
      <c r="F63" s="3665" t="s">
        <v>986</v>
      </c>
      <c r="G63" s="3665" t="s">
        <v>986</v>
      </c>
      <c r="H63" s="3665" t="s">
        <v>986</v>
      </c>
      <c r="I63" s="3665" t="s">
        <v>986</v>
      </c>
      <c r="J63" s="3664" t="s">
        <v>1209</v>
      </c>
      <c r="K63" s="660"/>
    </row>
    <row r="64" spans="1:11" ht="13.5" x14ac:dyDescent="0.25">
      <c r="A64" s="3642" t="s">
        <v>4146</v>
      </c>
      <c r="B64" s="3665" t="s">
        <v>986</v>
      </c>
      <c r="C64" s="3665" t="s">
        <v>986</v>
      </c>
      <c r="D64" s="3664">
        <v>272.6061947103276</v>
      </c>
      <c r="E64" s="3665" t="s">
        <v>986</v>
      </c>
      <c r="F64" s="3665" t="s">
        <v>986</v>
      </c>
      <c r="G64" s="3665" t="s">
        <v>986</v>
      </c>
      <c r="H64" s="3665" t="s">
        <v>986</v>
      </c>
      <c r="I64" s="3665" t="s">
        <v>986</v>
      </c>
      <c r="J64" s="3665" t="s">
        <v>986</v>
      </c>
      <c r="K64" s="660"/>
    </row>
    <row r="65" spans="1:11" ht="14.25" x14ac:dyDescent="0.2">
      <c r="A65" s="3641" t="s">
        <v>4145</v>
      </c>
      <c r="B65" s="3664">
        <v>281.04552443406612</v>
      </c>
      <c r="C65" s="3665" t="s">
        <v>986</v>
      </c>
      <c r="D65" s="3665" t="s">
        <v>986</v>
      </c>
      <c r="E65" s="3665" t="s">
        <v>986</v>
      </c>
      <c r="F65" s="3665" t="s">
        <v>986</v>
      </c>
      <c r="G65" s="3665" t="s">
        <v>986</v>
      </c>
      <c r="H65" s="3665" t="s">
        <v>986</v>
      </c>
      <c r="I65" s="3665" t="s">
        <v>986</v>
      </c>
      <c r="J65" s="3665" t="s">
        <v>986</v>
      </c>
      <c r="K65" s="660"/>
    </row>
    <row r="66" spans="1:11" s="660" customFormat="1" ht="12" customHeight="1" x14ac:dyDescent="0.2">
      <c r="A66" s="5800" t="s">
        <v>4144</v>
      </c>
      <c r="B66" s="5803" t="s">
        <v>986</v>
      </c>
      <c r="C66" s="5803" t="s">
        <v>986</v>
      </c>
      <c r="D66" s="5803" t="s">
        <v>986</v>
      </c>
      <c r="E66" s="5803" t="s">
        <v>986</v>
      </c>
      <c r="F66" s="5803" t="s">
        <v>986</v>
      </c>
      <c r="G66" s="5803" t="s">
        <v>986</v>
      </c>
      <c r="H66" s="5803" t="s">
        <v>986</v>
      </c>
      <c r="I66" s="5803" t="s">
        <v>986</v>
      </c>
      <c r="J66" s="3664">
        <v>47942.744276246718</v>
      </c>
    </row>
    <row r="67" spans="1:11" s="660" customFormat="1" ht="12" customHeight="1" x14ac:dyDescent="0.2">
      <c r="A67" s="5800" t="s">
        <v>4143</v>
      </c>
      <c r="B67" s="5803" t="s">
        <v>986</v>
      </c>
      <c r="C67" s="5803" t="s">
        <v>986</v>
      </c>
      <c r="D67" s="5803" t="s">
        <v>986</v>
      </c>
      <c r="E67" s="5803" t="s">
        <v>986</v>
      </c>
      <c r="F67" s="5803" t="s">
        <v>986</v>
      </c>
      <c r="G67" s="5803" t="s">
        <v>986</v>
      </c>
      <c r="H67" s="5803" t="s">
        <v>986</v>
      </c>
      <c r="I67" s="5803" t="s">
        <v>986</v>
      </c>
      <c r="J67" s="3664">
        <v>54536.303772157131</v>
      </c>
    </row>
    <row r="68" spans="1:11" s="660" customFormat="1" ht="12.75" customHeight="1" x14ac:dyDescent="0.2">
      <c r="A68" s="5802" t="s">
        <v>4142</v>
      </c>
      <c r="B68" s="5803" t="s">
        <v>986</v>
      </c>
      <c r="C68" s="5803" t="s">
        <v>986</v>
      </c>
      <c r="D68" s="5803" t="s">
        <v>986</v>
      </c>
      <c r="E68" s="5803" t="s">
        <v>986</v>
      </c>
      <c r="F68" s="5803" t="s">
        <v>986</v>
      </c>
      <c r="G68" s="5803" t="s">
        <v>986</v>
      </c>
      <c r="H68" s="5803" t="s">
        <v>986</v>
      </c>
      <c r="I68" s="5803" t="s">
        <v>986</v>
      </c>
      <c r="J68" s="3664">
        <v>48223.789800680781</v>
      </c>
    </row>
    <row r="69" spans="1:11" s="660" customFormat="1" ht="13.5" customHeight="1" x14ac:dyDescent="0.2">
      <c r="A69" s="5800" t="s">
        <v>4141</v>
      </c>
      <c r="B69" s="5803" t="s">
        <v>986</v>
      </c>
      <c r="C69" s="5803" t="s">
        <v>986</v>
      </c>
      <c r="D69" s="5803" t="s">
        <v>986</v>
      </c>
      <c r="E69" s="5803" t="s">
        <v>986</v>
      </c>
      <c r="F69" s="5803" t="s">
        <v>986</v>
      </c>
      <c r="G69" s="5803" t="s">
        <v>986</v>
      </c>
      <c r="H69" s="5803" t="s">
        <v>986</v>
      </c>
      <c r="I69" s="5803" t="s">
        <v>986</v>
      </c>
      <c r="J69" s="3664">
        <v>54817.349296591201</v>
      </c>
    </row>
    <row r="70" spans="1:11" x14ac:dyDescent="0.2">
      <c r="A70" s="1734"/>
      <c r="B70" s="1734"/>
      <c r="C70" s="1734"/>
      <c r="D70" s="1734"/>
      <c r="E70" s="1734"/>
      <c r="F70" s="1734"/>
      <c r="G70" s="1734"/>
      <c r="H70" s="1734"/>
      <c r="I70" s="1734"/>
      <c r="J70" s="1733"/>
      <c r="K70" s="660"/>
    </row>
    <row r="71" spans="1:11" ht="13.5" x14ac:dyDescent="0.2">
      <c r="A71" s="5799" t="s">
        <v>4140</v>
      </c>
      <c r="B71" s="5799"/>
      <c r="C71" s="5799"/>
      <c r="D71" s="5799"/>
      <c r="E71" s="5799"/>
      <c r="F71" s="5799"/>
      <c r="G71" s="5799"/>
      <c r="H71" s="5799"/>
      <c r="I71" s="5799"/>
      <c r="J71" s="5799"/>
      <c r="K71" s="660"/>
    </row>
    <row r="72" spans="1:11" ht="13.5" x14ac:dyDescent="0.2">
      <c r="A72" s="1732" t="s">
        <v>4139</v>
      </c>
      <c r="B72" s="1731"/>
      <c r="C72" s="1731"/>
      <c r="D72" s="1731"/>
      <c r="E72" s="1731"/>
      <c r="F72" s="1731"/>
      <c r="G72" s="1731"/>
      <c r="H72" s="1731"/>
      <c r="I72" s="1731"/>
      <c r="J72" s="1731"/>
      <c r="K72" s="660"/>
    </row>
    <row r="73" spans="1:11" ht="32.25" customHeight="1" x14ac:dyDescent="0.2">
      <c r="A73" s="5799" t="s">
        <v>4138</v>
      </c>
      <c r="B73" s="5799"/>
      <c r="C73" s="5799"/>
      <c r="D73" s="5799"/>
      <c r="E73" s="5799"/>
      <c r="F73" s="5799"/>
      <c r="G73" s="5799"/>
      <c r="H73" s="5799"/>
      <c r="I73" s="5799"/>
      <c r="J73" s="5799"/>
      <c r="K73" s="660"/>
    </row>
  </sheetData>
  <sheetProtection password="A754" sheet="1" objects="1" scenarios="1"/>
  <mergeCells count="8">
    <mergeCell ref="A1:E1"/>
    <mergeCell ref="B6:J6"/>
    <mergeCell ref="A71:J71"/>
    <mergeCell ref="A73:J73"/>
    <mergeCell ref="A66:I66"/>
    <mergeCell ref="A67:I67"/>
    <mergeCell ref="A68:I68"/>
    <mergeCell ref="A69:I69"/>
  </mergeCells>
  <dataValidations count="1">
    <dataValidation allowBlank="1" showInputMessage="1" showErrorMessage="1" sqref="B77:K65529 A77:A1048576 L1:IV65529" xr:uid="{00000000-0002-0000-3800-000000000000}"/>
  </dataValidations>
  <pageMargins left="0.39370078740157499" right="0.39370078740157499" top="0.39370078740157499" bottom="0.39370078740157499" header="0.196850393700787" footer="0.196850393700787"/>
  <pageSetup paperSize="9" scale="31" fitToHeight="0" orientation="portrait" r:id="rId1"/>
  <headerFooter alignWithMargins="0">
    <oddFooter>&amp;L&amp;"Times New Roman,Italic"Common Reporting Format for the provision of inventory information by Annex I Parties to the UNFCCC&amp;R&amp;P+24</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F1FD0-E607-47F8-B80E-51F8DA8D8299}">
  <sheetPr codeName="Ark123">
    <tabColor theme="0" tint="-0.499984740745262"/>
    <pageSetUpPr fitToPage="1"/>
  </sheetPr>
  <dimension ref="A1:K73"/>
  <sheetViews>
    <sheetView showGridLines="0" workbookViewId="0">
      <selection sqref="A1:E1"/>
    </sheetView>
  </sheetViews>
  <sheetFormatPr defaultColWidth="8" defaultRowHeight="12" x14ac:dyDescent="0.2"/>
  <cols>
    <col min="1" max="1" width="45.7109375" style="659" customWidth="1"/>
    <col min="2" max="2" width="11.7109375" style="659" customWidth="1"/>
    <col min="3" max="3" width="11" style="659" customWidth="1"/>
    <col min="4" max="4" width="10.85546875" style="659" customWidth="1"/>
    <col min="5" max="5" width="12.7109375" style="659" customWidth="1"/>
    <col min="6" max="6" width="11.140625" style="659" customWidth="1"/>
    <col min="7" max="9" width="10.28515625" style="659" customWidth="1"/>
    <col min="10" max="10" width="11.28515625" style="659" customWidth="1"/>
    <col min="11" max="11" width="1.28515625" style="659" customWidth="1"/>
    <col min="12" max="16384" width="8" style="659"/>
  </cols>
  <sheetData>
    <row r="1" spans="1:11" ht="17.25" x14ac:dyDescent="0.2">
      <c r="A1" s="5471" t="s">
        <v>4200</v>
      </c>
      <c r="B1" s="5471"/>
      <c r="C1" s="5471"/>
      <c r="D1" s="5471"/>
      <c r="E1" s="5471"/>
      <c r="F1" s="660"/>
      <c r="G1" s="660"/>
      <c r="H1" s="660"/>
      <c r="I1" s="660"/>
      <c r="J1" s="668" t="s">
        <v>1762</v>
      </c>
      <c r="K1" s="660"/>
    </row>
    <row r="2" spans="1:11" ht="15.75" x14ac:dyDescent="0.25">
      <c r="A2" s="687" t="s">
        <v>1197</v>
      </c>
      <c r="B2" s="670"/>
      <c r="C2" s="670"/>
      <c r="D2" s="670"/>
      <c r="E2" s="670"/>
      <c r="F2" s="660"/>
      <c r="G2" s="660"/>
      <c r="H2" s="660"/>
      <c r="I2" s="660"/>
      <c r="J2" s="668" t="s">
        <v>1761</v>
      </c>
      <c r="K2" s="660"/>
    </row>
    <row r="3" spans="1:11" x14ac:dyDescent="0.2">
      <c r="A3" s="660"/>
      <c r="B3" s="660"/>
      <c r="C3" s="660"/>
      <c r="D3" s="660"/>
      <c r="E3" s="660"/>
      <c r="F3" s="660"/>
      <c r="G3" s="660"/>
      <c r="H3" s="660"/>
      <c r="I3" s="660"/>
      <c r="J3" s="668" t="s">
        <v>1789</v>
      </c>
      <c r="K3" s="660"/>
    </row>
    <row r="4" spans="1:11" x14ac:dyDescent="0.2">
      <c r="A4" s="660"/>
      <c r="B4" s="660"/>
      <c r="C4" s="660"/>
      <c r="D4" s="660"/>
      <c r="E4" s="660"/>
      <c r="F4" s="660"/>
      <c r="G4" s="660"/>
      <c r="H4" s="660"/>
      <c r="I4" s="660"/>
      <c r="J4" s="1738"/>
      <c r="K4" s="660"/>
    </row>
    <row r="5" spans="1:11" ht="48" x14ac:dyDescent="0.2">
      <c r="A5" s="3654" t="s">
        <v>1084</v>
      </c>
      <c r="B5" s="3652" t="s">
        <v>4199</v>
      </c>
      <c r="C5" s="3652" t="s">
        <v>1023</v>
      </c>
      <c r="D5" s="3652" t="s">
        <v>1022</v>
      </c>
      <c r="E5" s="3652" t="s">
        <v>4198</v>
      </c>
      <c r="F5" s="3652" t="s">
        <v>4197</v>
      </c>
      <c r="G5" s="3652" t="s">
        <v>1018</v>
      </c>
      <c r="H5" s="3653" t="s">
        <v>4196</v>
      </c>
      <c r="I5" s="3652" t="s">
        <v>1164</v>
      </c>
      <c r="J5" s="3652" t="s">
        <v>2043</v>
      </c>
      <c r="K5" s="660"/>
    </row>
    <row r="6" spans="1:11" ht="14.25" thickBot="1" x14ac:dyDescent="0.25">
      <c r="A6" s="1737" t="s">
        <v>1080</v>
      </c>
      <c r="B6" s="5796" t="s">
        <v>4195</v>
      </c>
      <c r="C6" s="5797"/>
      <c r="D6" s="5797"/>
      <c r="E6" s="5797"/>
      <c r="F6" s="5797"/>
      <c r="G6" s="5797"/>
      <c r="H6" s="5797"/>
      <c r="I6" s="5797"/>
      <c r="J6" s="5798"/>
      <c r="K6" s="660"/>
    </row>
    <row r="7" spans="1:11" ht="15" thickTop="1" x14ac:dyDescent="0.2">
      <c r="A7" s="1736" t="s">
        <v>4194</v>
      </c>
      <c r="B7" s="3640">
        <v>31103.346722123577</v>
      </c>
      <c r="C7" s="3640">
        <v>7355.8048704993034</v>
      </c>
      <c r="D7" s="3640">
        <v>5776.8650579548948</v>
      </c>
      <c r="E7" s="3640">
        <v>334.56401932192318</v>
      </c>
      <c r="F7" s="3640">
        <v>6.9670148750000001E-3</v>
      </c>
      <c r="G7" s="3640">
        <v>45.538197680003996</v>
      </c>
      <c r="H7" s="3640" t="s">
        <v>1006</v>
      </c>
      <c r="I7" s="3640" t="s">
        <v>1006</v>
      </c>
      <c r="J7" s="3640">
        <v>44616.125834594575</v>
      </c>
      <c r="K7" s="660"/>
    </row>
    <row r="8" spans="1:11" x14ac:dyDescent="0.2">
      <c r="A8" s="3646" t="s">
        <v>4193</v>
      </c>
      <c r="B8" s="3640">
        <v>26481.313372378288</v>
      </c>
      <c r="C8" s="3640">
        <v>267.56326775748801</v>
      </c>
      <c r="D8" s="3640">
        <v>357.30052259142082</v>
      </c>
      <c r="E8" s="3497" t="s">
        <v>986</v>
      </c>
      <c r="F8" s="3497" t="s">
        <v>986</v>
      </c>
      <c r="G8" s="3497" t="s">
        <v>986</v>
      </c>
      <c r="H8" s="3497" t="s">
        <v>986</v>
      </c>
      <c r="I8" s="3497" t="s">
        <v>986</v>
      </c>
      <c r="J8" s="3640">
        <v>27106.177162727199</v>
      </c>
      <c r="K8" s="679"/>
    </row>
    <row r="9" spans="1:11" x14ac:dyDescent="0.2">
      <c r="A9" s="3647" t="s">
        <v>4192</v>
      </c>
      <c r="B9" s="3640">
        <v>26355.051694962654</v>
      </c>
      <c r="C9" s="3640">
        <v>214.32225113589476</v>
      </c>
      <c r="D9" s="3640">
        <v>336.1239023517324</v>
      </c>
      <c r="E9" s="3497" t="s">
        <v>986</v>
      </c>
      <c r="F9" s="3497" t="s">
        <v>986</v>
      </c>
      <c r="G9" s="3497" t="s">
        <v>986</v>
      </c>
      <c r="H9" s="3497" t="s">
        <v>986</v>
      </c>
      <c r="I9" s="3497" t="s">
        <v>986</v>
      </c>
      <c r="J9" s="3640">
        <v>26905.497848450279</v>
      </c>
      <c r="K9" s="679"/>
    </row>
    <row r="10" spans="1:11" x14ac:dyDescent="0.2">
      <c r="A10" s="3651" t="s">
        <v>4191</v>
      </c>
      <c r="B10" s="3640">
        <v>7190.9096967532942</v>
      </c>
      <c r="C10" s="3640">
        <v>84.128482778936004</v>
      </c>
      <c r="D10" s="3640">
        <v>75.801928471424006</v>
      </c>
      <c r="E10" s="3497" t="s">
        <v>986</v>
      </c>
      <c r="F10" s="3497" t="s">
        <v>986</v>
      </c>
      <c r="G10" s="3497" t="s">
        <v>986</v>
      </c>
      <c r="H10" s="3497" t="s">
        <v>986</v>
      </c>
      <c r="I10" s="3497" t="s">
        <v>986</v>
      </c>
      <c r="J10" s="3640">
        <v>7350.8401080036538</v>
      </c>
      <c r="K10" s="679"/>
    </row>
    <row r="11" spans="1:11" x14ac:dyDescent="0.2">
      <c r="A11" s="3651" t="s">
        <v>4190</v>
      </c>
      <c r="B11" s="3640">
        <v>3499.6285679113012</v>
      </c>
      <c r="C11" s="3640">
        <v>22.735665050421002</v>
      </c>
      <c r="D11" s="3640">
        <v>54.536532750311757</v>
      </c>
      <c r="E11" s="3497" t="s">
        <v>986</v>
      </c>
      <c r="F11" s="3497" t="s">
        <v>986</v>
      </c>
      <c r="G11" s="3497" t="s">
        <v>986</v>
      </c>
      <c r="H11" s="3497" t="s">
        <v>986</v>
      </c>
      <c r="I11" s="3497" t="s">
        <v>986</v>
      </c>
      <c r="J11" s="3640">
        <v>3576.9007657120342</v>
      </c>
      <c r="K11" s="679"/>
    </row>
    <row r="12" spans="1:11" x14ac:dyDescent="0.2">
      <c r="A12" s="3651" t="s">
        <v>4189</v>
      </c>
      <c r="B12" s="3640">
        <v>11892.319888564343</v>
      </c>
      <c r="C12" s="3640">
        <v>8.7810345970802501</v>
      </c>
      <c r="D12" s="3640">
        <v>130.41610945700401</v>
      </c>
      <c r="E12" s="3497" t="s">
        <v>986</v>
      </c>
      <c r="F12" s="3497" t="s">
        <v>986</v>
      </c>
      <c r="G12" s="3497" t="s">
        <v>986</v>
      </c>
      <c r="H12" s="3497" t="s">
        <v>986</v>
      </c>
      <c r="I12" s="3497" t="s">
        <v>986</v>
      </c>
      <c r="J12" s="3640">
        <v>12031.517032618429</v>
      </c>
      <c r="K12" s="679"/>
    </row>
    <row r="13" spans="1:11" x14ac:dyDescent="0.2">
      <c r="A13" s="3651" t="s">
        <v>4188</v>
      </c>
      <c r="B13" s="3640">
        <v>3529.0133144236374</v>
      </c>
      <c r="C13" s="3640">
        <v>98.415750973244002</v>
      </c>
      <c r="D13" s="3640">
        <v>72.769053283706654</v>
      </c>
      <c r="E13" s="3497" t="s">
        <v>986</v>
      </c>
      <c r="F13" s="3497" t="s">
        <v>986</v>
      </c>
      <c r="G13" s="3497" t="s">
        <v>986</v>
      </c>
      <c r="H13" s="3497" t="s">
        <v>986</v>
      </c>
      <c r="I13" s="3497" t="s">
        <v>986</v>
      </c>
      <c r="J13" s="3640">
        <v>3700.1981186805883</v>
      </c>
      <c r="K13" s="679"/>
    </row>
    <row r="14" spans="1:11" x14ac:dyDescent="0.2">
      <c r="A14" s="3651" t="s">
        <v>4187</v>
      </c>
      <c r="B14" s="3640">
        <v>243.18022731007591</v>
      </c>
      <c r="C14" s="3640">
        <v>0.26131773621350002</v>
      </c>
      <c r="D14" s="3640">
        <v>2.6002783892860002</v>
      </c>
      <c r="E14" s="3497" t="s">
        <v>986</v>
      </c>
      <c r="F14" s="3497" t="s">
        <v>986</v>
      </c>
      <c r="G14" s="3497" t="s">
        <v>986</v>
      </c>
      <c r="H14" s="3497" t="s">
        <v>986</v>
      </c>
      <c r="I14" s="3497" t="s">
        <v>986</v>
      </c>
      <c r="J14" s="3640">
        <v>246.0418234355754</v>
      </c>
      <c r="K14" s="679"/>
    </row>
    <row r="15" spans="1:11" x14ac:dyDescent="0.2">
      <c r="A15" s="3647" t="s">
        <v>4186</v>
      </c>
      <c r="B15" s="3640">
        <v>126.2616774156363</v>
      </c>
      <c r="C15" s="3640">
        <v>53.241016621593253</v>
      </c>
      <c r="D15" s="3640">
        <v>21.1766202396884</v>
      </c>
      <c r="E15" s="3497" t="s">
        <v>986</v>
      </c>
      <c r="F15" s="3497" t="s">
        <v>986</v>
      </c>
      <c r="G15" s="3497" t="s">
        <v>986</v>
      </c>
      <c r="H15" s="3497" t="s">
        <v>986</v>
      </c>
      <c r="I15" s="3497" t="s">
        <v>986</v>
      </c>
      <c r="J15" s="3640">
        <v>200.67931427691795</v>
      </c>
      <c r="K15" s="679"/>
    </row>
    <row r="16" spans="1:11" x14ac:dyDescent="0.2">
      <c r="A16" s="3651" t="s">
        <v>4185</v>
      </c>
      <c r="B16" s="3640" t="s">
        <v>259</v>
      </c>
      <c r="C16" s="3640" t="s">
        <v>259</v>
      </c>
      <c r="D16" s="3640" t="s">
        <v>259</v>
      </c>
      <c r="E16" s="3497" t="s">
        <v>986</v>
      </c>
      <c r="F16" s="3497" t="s">
        <v>986</v>
      </c>
      <c r="G16" s="3497" t="s">
        <v>986</v>
      </c>
      <c r="H16" s="3497" t="s">
        <v>986</v>
      </c>
      <c r="I16" s="3497" t="s">
        <v>986</v>
      </c>
      <c r="J16" s="3640" t="s">
        <v>259</v>
      </c>
      <c r="K16" s="679"/>
    </row>
    <row r="17" spans="1:11" x14ac:dyDescent="0.2">
      <c r="A17" s="3651" t="s">
        <v>4184</v>
      </c>
      <c r="B17" s="3640">
        <v>126.2616774156363</v>
      </c>
      <c r="C17" s="3640">
        <v>53.241016621593253</v>
      </c>
      <c r="D17" s="3640">
        <v>21.1766202396884</v>
      </c>
      <c r="E17" s="3497" t="s">
        <v>986</v>
      </c>
      <c r="F17" s="3497" t="s">
        <v>986</v>
      </c>
      <c r="G17" s="3497" t="s">
        <v>986</v>
      </c>
      <c r="H17" s="3497" t="s">
        <v>986</v>
      </c>
      <c r="I17" s="3497" t="s">
        <v>986</v>
      </c>
      <c r="J17" s="3640">
        <v>200.67931427691795</v>
      </c>
      <c r="K17" s="679"/>
    </row>
    <row r="18" spans="1:11" ht="13.5" x14ac:dyDescent="0.2">
      <c r="A18" s="3649" t="s">
        <v>4183</v>
      </c>
      <c r="B18" s="3640" t="s">
        <v>259</v>
      </c>
      <c r="C18" s="3497" t="s">
        <v>986</v>
      </c>
      <c r="D18" s="3497" t="s">
        <v>986</v>
      </c>
      <c r="E18" s="3497" t="s">
        <v>986</v>
      </c>
      <c r="F18" s="3497" t="s">
        <v>986</v>
      </c>
      <c r="G18" s="3497" t="s">
        <v>986</v>
      </c>
      <c r="H18" s="3497" t="s">
        <v>986</v>
      </c>
      <c r="I18" s="3497" t="s">
        <v>986</v>
      </c>
      <c r="J18" s="3640" t="s">
        <v>259</v>
      </c>
      <c r="K18" s="679"/>
    </row>
    <row r="19" spans="1:11" x14ac:dyDescent="0.2">
      <c r="A19" s="3646" t="s">
        <v>4182</v>
      </c>
      <c r="B19" s="3640">
        <v>1523.3997359736647</v>
      </c>
      <c r="C19" s="3640">
        <v>1.9956443575</v>
      </c>
      <c r="D19" s="3640">
        <v>19.972052099879999</v>
      </c>
      <c r="E19" s="3640">
        <v>334.56401932192318</v>
      </c>
      <c r="F19" s="3640">
        <v>6.9670148750000001E-3</v>
      </c>
      <c r="G19" s="3640">
        <v>45.538197680003996</v>
      </c>
      <c r="H19" s="3640" t="s">
        <v>1006</v>
      </c>
      <c r="I19" s="3640" t="s">
        <v>1006</v>
      </c>
      <c r="J19" s="3640">
        <v>1925.4766164478469</v>
      </c>
      <c r="K19" s="679"/>
    </row>
    <row r="20" spans="1:11" x14ac:dyDescent="0.2">
      <c r="A20" s="3649" t="s">
        <v>1074</v>
      </c>
      <c r="B20" s="3640">
        <v>1353.3139163656999</v>
      </c>
      <c r="C20" s="3497" t="s">
        <v>986</v>
      </c>
      <c r="D20" s="3497" t="s">
        <v>986</v>
      </c>
      <c r="E20" s="3497" t="s">
        <v>986</v>
      </c>
      <c r="F20" s="3497" t="s">
        <v>986</v>
      </c>
      <c r="G20" s="3497" t="s">
        <v>986</v>
      </c>
      <c r="H20" s="3497" t="s">
        <v>986</v>
      </c>
      <c r="I20" s="3497" t="s">
        <v>986</v>
      </c>
      <c r="J20" s="3640">
        <v>1353.3139163656999</v>
      </c>
      <c r="K20" s="679"/>
    </row>
    <row r="21" spans="1:11" x14ac:dyDescent="0.2">
      <c r="A21" s="3649" t="s">
        <v>4181</v>
      </c>
      <c r="B21" s="3640">
        <v>1.4330824</v>
      </c>
      <c r="C21" s="3640" t="s">
        <v>1006</v>
      </c>
      <c r="D21" s="3640" t="s">
        <v>1006</v>
      </c>
      <c r="E21" s="3640" t="s">
        <v>1006</v>
      </c>
      <c r="F21" s="3640" t="s">
        <v>1006</v>
      </c>
      <c r="G21" s="3640" t="s">
        <v>1006</v>
      </c>
      <c r="H21" s="3640" t="s">
        <v>1006</v>
      </c>
      <c r="I21" s="3640" t="s">
        <v>1006</v>
      </c>
      <c r="J21" s="3640">
        <v>1.4330824</v>
      </c>
      <c r="K21" s="679"/>
    </row>
    <row r="22" spans="1:11" x14ac:dyDescent="0.2">
      <c r="A22" s="3649" t="s">
        <v>1133</v>
      </c>
      <c r="B22" s="3640">
        <v>8.8800000000000004E-2</v>
      </c>
      <c r="C22" s="3640" t="s">
        <v>259</v>
      </c>
      <c r="D22" s="3640" t="s">
        <v>259</v>
      </c>
      <c r="E22" s="3640" t="s">
        <v>259</v>
      </c>
      <c r="F22" s="3640" t="s">
        <v>259</v>
      </c>
      <c r="G22" s="3640" t="s">
        <v>259</v>
      </c>
      <c r="H22" s="3640" t="s">
        <v>259</v>
      </c>
      <c r="I22" s="3640" t="s">
        <v>259</v>
      </c>
      <c r="J22" s="3640">
        <v>8.8800000000000004E-2</v>
      </c>
      <c r="K22" s="679"/>
    </row>
    <row r="23" spans="1:11" x14ac:dyDescent="0.2">
      <c r="A23" s="3650" t="s">
        <v>4180</v>
      </c>
      <c r="B23" s="3640">
        <v>168.38081238296468</v>
      </c>
      <c r="C23" s="3640">
        <v>0.48150486999999997</v>
      </c>
      <c r="D23" s="3640">
        <v>0.141452256</v>
      </c>
      <c r="E23" s="3497" t="s">
        <v>986</v>
      </c>
      <c r="F23" s="3497" t="s">
        <v>986</v>
      </c>
      <c r="G23" s="3497" t="s">
        <v>986</v>
      </c>
      <c r="H23" s="3497" t="s">
        <v>986</v>
      </c>
      <c r="I23" s="3497" t="s">
        <v>986</v>
      </c>
      <c r="J23" s="3640">
        <v>169.00376950896467</v>
      </c>
      <c r="K23" s="679"/>
    </row>
    <row r="24" spans="1:11" x14ac:dyDescent="0.2">
      <c r="A24" s="3650" t="s">
        <v>4179</v>
      </c>
      <c r="B24" s="3497" t="s">
        <v>986</v>
      </c>
      <c r="C24" s="3497" t="s">
        <v>986</v>
      </c>
      <c r="D24" s="3497" t="s">
        <v>986</v>
      </c>
      <c r="E24" s="3640" t="s">
        <v>259</v>
      </c>
      <c r="F24" s="3640" t="s">
        <v>259</v>
      </c>
      <c r="G24" s="3640" t="s">
        <v>259</v>
      </c>
      <c r="H24" s="3640" t="s">
        <v>259</v>
      </c>
      <c r="I24" s="3640" t="s">
        <v>259</v>
      </c>
      <c r="J24" s="3640" t="s">
        <v>259</v>
      </c>
      <c r="K24" s="679"/>
    </row>
    <row r="25" spans="1:11" x14ac:dyDescent="0.2">
      <c r="A25" s="3650" t="s">
        <v>4178</v>
      </c>
      <c r="B25" s="3497" t="s">
        <v>986</v>
      </c>
      <c r="C25" s="3497" t="s">
        <v>986</v>
      </c>
      <c r="D25" s="3497" t="s">
        <v>986</v>
      </c>
      <c r="E25" s="3640">
        <v>334.56401932192318</v>
      </c>
      <c r="F25" s="3640">
        <v>6.9670148750000001E-3</v>
      </c>
      <c r="G25" s="3640" t="s">
        <v>259</v>
      </c>
      <c r="H25" s="3640" t="s">
        <v>259</v>
      </c>
      <c r="I25" s="3640" t="s">
        <v>259</v>
      </c>
      <c r="J25" s="3640">
        <v>334.57098633679817</v>
      </c>
      <c r="K25" s="679"/>
    </row>
    <row r="26" spans="1:11" x14ac:dyDescent="0.2">
      <c r="A26" s="3650" t="s">
        <v>5220</v>
      </c>
      <c r="B26" s="3640">
        <v>0.18312482499999999</v>
      </c>
      <c r="C26" s="3640">
        <v>1.5141394875</v>
      </c>
      <c r="D26" s="3640">
        <v>19.830599843880002</v>
      </c>
      <c r="E26" s="3640" t="s">
        <v>1006</v>
      </c>
      <c r="F26" s="3640" t="s">
        <v>1006</v>
      </c>
      <c r="G26" s="3640">
        <v>45.538197680003996</v>
      </c>
      <c r="H26" s="3640" t="s">
        <v>1006</v>
      </c>
      <c r="I26" s="3640" t="s">
        <v>1006</v>
      </c>
      <c r="J26" s="3640">
        <v>67.066061836383994</v>
      </c>
      <c r="K26" s="679"/>
    </row>
    <row r="27" spans="1:11" x14ac:dyDescent="0.2">
      <c r="A27" s="3649" t="s">
        <v>4177</v>
      </c>
      <c r="B27" s="3640" t="s">
        <v>986</v>
      </c>
      <c r="C27" s="3640" t="s">
        <v>986</v>
      </c>
      <c r="D27" s="3640" t="s">
        <v>986</v>
      </c>
      <c r="E27" s="3640" t="s">
        <v>799</v>
      </c>
      <c r="F27" s="3640" t="s">
        <v>799</v>
      </c>
      <c r="G27" s="3640" t="s">
        <v>799</v>
      </c>
      <c r="H27" s="3640" t="s">
        <v>799</v>
      </c>
      <c r="I27" s="3640" t="s">
        <v>799</v>
      </c>
      <c r="J27" s="3640" t="s">
        <v>799</v>
      </c>
      <c r="K27" s="679"/>
    </row>
    <row r="28" spans="1:11" x14ac:dyDescent="0.2">
      <c r="A28" s="3644" t="s">
        <v>4176</v>
      </c>
      <c r="B28" s="3640">
        <v>254.35192082991966</v>
      </c>
      <c r="C28" s="3640">
        <v>5881.1661066030792</v>
      </c>
      <c r="D28" s="3640">
        <v>5132.1243512414803</v>
      </c>
      <c r="E28" s="3497" t="s">
        <v>986</v>
      </c>
      <c r="F28" s="3497" t="s">
        <v>986</v>
      </c>
      <c r="G28" s="3497" t="s">
        <v>986</v>
      </c>
      <c r="H28" s="3497" t="s">
        <v>986</v>
      </c>
      <c r="I28" s="3497" t="s">
        <v>986</v>
      </c>
      <c r="J28" s="3640">
        <v>11267.64237867448</v>
      </c>
      <c r="K28" s="679"/>
    </row>
    <row r="29" spans="1:11" x14ac:dyDescent="0.2">
      <c r="A29" s="3647" t="s">
        <v>4175</v>
      </c>
      <c r="B29" s="3497" t="s">
        <v>986</v>
      </c>
      <c r="C29" s="3640">
        <v>3679.5796589181473</v>
      </c>
      <c r="D29" s="3497" t="s">
        <v>986</v>
      </c>
      <c r="E29" s="3497" t="s">
        <v>986</v>
      </c>
      <c r="F29" s="3497" t="s">
        <v>986</v>
      </c>
      <c r="G29" s="3497" t="s">
        <v>986</v>
      </c>
      <c r="H29" s="3497" t="s">
        <v>986</v>
      </c>
      <c r="I29" s="3497" t="s">
        <v>986</v>
      </c>
      <c r="J29" s="3640">
        <v>3679.5796589181473</v>
      </c>
      <c r="K29" s="679"/>
    </row>
    <row r="30" spans="1:11" x14ac:dyDescent="0.2">
      <c r="A30" s="3647" t="s">
        <v>4174</v>
      </c>
      <c r="B30" s="3497" t="s">
        <v>986</v>
      </c>
      <c r="C30" s="3640">
        <v>2197.742345634932</v>
      </c>
      <c r="D30" s="3640">
        <v>673.07535977333021</v>
      </c>
      <c r="E30" s="3497" t="s">
        <v>986</v>
      </c>
      <c r="F30" s="3497" t="s">
        <v>986</v>
      </c>
      <c r="G30" s="3497" t="s">
        <v>986</v>
      </c>
      <c r="H30" s="3497" t="s">
        <v>986</v>
      </c>
      <c r="I30" s="3497" t="s">
        <v>986</v>
      </c>
      <c r="J30" s="3640">
        <v>2870.8177054082621</v>
      </c>
      <c r="K30" s="679"/>
    </row>
    <row r="31" spans="1:11" x14ac:dyDescent="0.2">
      <c r="A31" s="3647" t="s">
        <v>4173</v>
      </c>
      <c r="B31" s="3497" t="s">
        <v>986</v>
      </c>
      <c r="C31" s="3640" t="s">
        <v>259</v>
      </c>
      <c r="D31" s="3497" t="s">
        <v>986</v>
      </c>
      <c r="E31" s="3497" t="s">
        <v>986</v>
      </c>
      <c r="F31" s="3497" t="s">
        <v>986</v>
      </c>
      <c r="G31" s="3497" t="s">
        <v>986</v>
      </c>
      <c r="H31" s="3497" t="s">
        <v>986</v>
      </c>
      <c r="I31" s="3497" t="s">
        <v>986</v>
      </c>
      <c r="J31" s="3640" t="s">
        <v>259</v>
      </c>
      <c r="K31" s="679"/>
    </row>
    <row r="32" spans="1:11" ht="13.5" x14ac:dyDescent="0.2">
      <c r="A32" s="3647" t="s">
        <v>4172</v>
      </c>
      <c r="B32" s="3497" t="s">
        <v>986</v>
      </c>
      <c r="C32" s="3640" t="s">
        <v>1209</v>
      </c>
      <c r="D32" s="3640">
        <v>4457.8610215605504</v>
      </c>
      <c r="E32" s="3497" t="s">
        <v>986</v>
      </c>
      <c r="F32" s="3497" t="s">
        <v>986</v>
      </c>
      <c r="G32" s="3497" t="s">
        <v>986</v>
      </c>
      <c r="H32" s="3497" t="s">
        <v>986</v>
      </c>
      <c r="I32" s="3497" t="s">
        <v>986</v>
      </c>
      <c r="J32" s="3640">
        <v>4457.8610215605504</v>
      </c>
      <c r="K32" s="679"/>
    </row>
    <row r="33" spans="1:11" x14ac:dyDescent="0.2">
      <c r="A33" s="3647" t="s">
        <v>4171</v>
      </c>
      <c r="B33" s="3497" t="s">
        <v>986</v>
      </c>
      <c r="C33" s="3640" t="s">
        <v>259</v>
      </c>
      <c r="D33" s="3640" t="s">
        <v>259</v>
      </c>
      <c r="E33" s="3497" t="s">
        <v>986</v>
      </c>
      <c r="F33" s="3497" t="s">
        <v>986</v>
      </c>
      <c r="G33" s="3497" t="s">
        <v>986</v>
      </c>
      <c r="H33" s="3497" t="s">
        <v>986</v>
      </c>
      <c r="I33" s="3497" t="s">
        <v>986</v>
      </c>
      <c r="J33" s="3640" t="s">
        <v>259</v>
      </c>
      <c r="K33" s="679"/>
    </row>
    <row r="34" spans="1:11" x14ac:dyDescent="0.2">
      <c r="A34" s="3647" t="s">
        <v>4170</v>
      </c>
      <c r="B34" s="3497" t="s">
        <v>986</v>
      </c>
      <c r="C34" s="3640">
        <v>3.84410205</v>
      </c>
      <c r="D34" s="3640">
        <v>1.1879699076000001</v>
      </c>
      <c r="E34" s="3497" t="s">
        <v>986</v>
      </c>
      <c r="F34" s="3497" t="s">
        <v>986</v>
      </c>
      <c r="G34" s="3497" t="s">
        <v>986</v>
      </c>
      <c r="H34" s="3497" t="s">
        <v>986</v>
      </c>
      <c r="I34" s="3497" t="s">
        <v>986</v>
      </c>
      <c r="J34" s="3640">
        <v>5.0320719576000004</v>
      </c>
      <c r="K34" s="679"/>
    </row>
    <row r="35" spans="1:11" x14ac:dyDescent="0.2">
      <c r="A35" s="3647" t="s">
        <v>4169</v>
      </c>
      <c r="B35" s="3640">
        <v>249.59537416325301</v>
      </c>
      <c r="C35" s="3497" t="s">
        <v>986</v>
      </c>
      <c r="D35" s="3497" t="s">
        <v>986</v>
      </c>
      <c r="E35" s="3497" t="s">
        <v>986</v>
      </c>
      <c r="F35" s="3497" t="s">
        <v>986</v>
      </c>
      <c r="G35" s="3497" t="s">
        <v>986</v>
      </c>
      <c r="H35" s="3497" t="s">
        <v>986</v>
      </c>
      <c r="I35" s="3497" t="s">
        <v>986</v>
      </c>
      <c r="J35" s="3640">
        <v>249.59537416325301</v>
      </c>
      <c r="K35" s="679"/>
    </row>
    <row r="36" spans="1:11" x14ac:dyDescent="0.2">
      <c r="A36" s="3647" t="s">
        <v>4168</v>
      </c>
      <c r="B36" s="3640">
        <v>0.92986666666666995</v>
      </c>
      <c r="C36" s="3497" t="s">
        <v>986</v>
      </c>
      <c r="D36" s="3497" t="s">
        <v>986</v>
      </c>
      <c r="E36" s="3497" t="s">
        <v>986</v>
      </c>
      <c r="F36" s="3497" t="s">
        <v>986</v>
      </c>
      <c r="G36" s="3497" t="s">
        <v>986</v>
      </c>
      <c r="H36" s="3497" t="s">
        <v>986</v>
      </c>
      <c r="I36" s="3497" t="s">
        <v>986</v>
      </c>
      <c r="J36" s="3640">
        <v>0.92986666666666995</v>
      </c>
      <c r="K36" s="679"/>
    </row>
    <row r="37" spans="1:11" x14ac:dyDescent="0.2">
      <c r="A37" s="3647" t="s">
        <v>4167</v>
      </c>
      <c r="B37" s="3640">
        <v>3.8266800000000001</v>
      </c>
      <c r="C37" s="3497" t="s">
        <v>986</v>
      </c>
      <c r="D37" s="3497" t="s">
        <v>986</v>
      </c>
      <c r="E37" s="3497" t="s">
        <v>986</v>
      </c>
      <c r="F37" s="3497" t="s">
        <v>986</v>
      </c>
      <c r="G37" s="3497" t="s">
        <v>986</v>
      </c>
      <c r="H37" s="3497" t="s">
        <v>986</v>
      </c>
      <c r="I37" s="3497" t="s">
        <v>986</v>
      </c>
      <c r="J37" s="3640">
        <v>3.8266800000000001</v>
      </c>
      <c r="K37" s="679"/>
    </row>
    <row r="38" spans="1:11" x14ac:dyDescent="0.2">
      <c r="A38" s="3647" t="s">
        <v>4166</v>
      </c>
      <c r="B38" s="3640" t="s">
        <v>799</v>
      </c>
      <c r="C38" s="3640" t="s">
        <v>799</v>
      </c>
      <c r="D38" s="3640" t="s">
        <v>799</v>
      </c>
      <c r="E38" s="3497" t="s">
        <v>986</v>
      </c>
      <c r="F38" s="3497" t="s">
        <v>986</v>
      </c>
      <c r="G38" s="3497" t="s">
        <v>986</v>
      </c>
      <c r="H38" s="3497" t="s">
        <v>986</v>
      </c>
      <c r="I38" s="3497" t="s">
        <v>986</v>
      </c>
      <c r="J38" s="3640" t="s">
        <v>799</v>
      </c>
      <c r="K38" s="679"/>
    </row>
    <row r="39" spans="1:11" ht="14.25" x14ac:dyDescent="0.2">
      <c r="A39" s="3646" t="s">
        <v>4165</v>
      </c>
      <c r="B39" s="3640">
        <v>2821.317875121802</v>
      </c>
      <c r="C39" s="3640">
        <v>238.31938749234999</v>
      </c>
      <c r="D39" s="3640">
        <v>47.487263055018502</v>
      </c>
      <c r="E39" s="3497" t="s">
        <v>986</v>
      </c>
      <c r="F39" s="3497" t="s">
        <v>986</v>
      </c>
      <c r="G39" s="3497" t="s">
        <v>986</v>
      </c>
      <c r="H39" s="3497" t="s">
        <v>986</v>
      </c>
      <c r="I39" s="3497" t="s">
        <v>986</v>
      </c>
      <c r="J39" s="3640">
        <v>3107.1245256691705</v>
      </c>
      <c r="K39" s="679"/>
    </row>
    <row r="40" spans="1:11" x14ac:dyDescent="0.2">
      <c r="A40" s="3647" t="s">
        <v>1522</v>
      </c>
      <c r="B40" s="3640">
        <v>-2200.322114956286</v>
      </c>
      <c r="C40" s="3640">
        <v>3.6536983517500001</v>
      </c>
      <c r="D40" s="3640">
        <v>24.180337054593998</v>
      </c>
      <c r="E40" s="3497" t="s">
        <v>986</v>
      </c>
      <c r="F40" s="3497" t="s">
        <v>986</v>
      </c>
      <c r="G40" s="3497" t="s">
        <v>986</v>
      </c>
      <c r="H40" s="3497" t="s">
        <v>986</v>
      </c>
      <c r="I40" s="3497" t="s">
        <v>986</v>
      </c>
      <c r="J40" s="3640">
        <v>-2172.4880795499421</v>
      </c>
      <c r="K40" s="679"/>
    </row>
    <row r="41" spans="1:11" x14ac:dyDescent="0.2">
      <c r="A41" s="3647" t="s">
        <v>1552</v>
      </c>
      <c r="B41" s="3640">
        <v>2752.7124584653025</v>
      </c>
      <c r="C41" s="3640">
        <v>92.720054956599995</v>
      </c>
      <c r="D41" s="3640">
        <v>5.550533044572</v>
      </c>
      <c r="E41" s="3497" t="s">
        <v>986</v>
      </c>
      <c r="F41" s="3497" t="s">
        <v>986</v>
      </c>
      <c r="G41" s="3497" t="s">
        <v>986</v>
      </c>
      <c r="H41" s="3497" t="s">
        <v>986</v>
      </c>
      <c r="I41" s="3497" t="s">
        <v>986</v>
      </c>
      <c r="J41" s="3640">
        <v>2850.9830464664747</v>
      </c>
      <c r="K41" s="679"/>
    </row>
    <row r="42" spans="1:11" x14ac:dyDescent="0.2">
      <c r="A42" s="3647" t="s">
        <v>1549</v>
      </c>
      <c r="B42" s="3640">
        <v>2118.2900679887452</v>
      </c>
      <c r="C42" s="3640">
        <v>113.41314155400001</v>
      </c>
      <c r="D42" s="3640">
        <v>0.16350499818986</v>
      </c>
      <c r="E42" s="3497" t="s">
        <v>986</v>
      </c>
      <c r="F42" s="3497" t="s">
        <v>986</v>
      </c>
      <c r="G42" s="3497" t="s">
        <v>986</v>
      </c>
      <c r="H42" s="3497" t="s">
        <v>986</v>
      </c>
      <c r="I42" s="3497" t="s">
        <v>986</v>
      </c>
      <c r="J42" s="3640">
        <v>2231.8667145409349</v>
      </c>
      <c r="K42" s="679"/>
    </row>
    <row r="43" spans="1:11" x14ac:dyDescent="0.2">
      <c r="A43" s="3647" t="s">
        <v>1510</v>
      </c>
      <c r="B43" s="3640">
        <v>43.633017835366708</v>
      </c>
      <c r="C43" s="3640">
        <v>28.53249263</v>
      </c>
      <c r="D43" s="3640">
        <v>0.11235940042824</v>
      </c>
      <c r="E43" s="3497" t="s">
        <v>986</v>
      </c>
      <c r="F43" s="3497" t="s">
        <v>986</v>
      </c>
      <c r="G43" s="3497" t="s">
        <v>986</v>
      </c>
      <c r="H43" s="3497" t="s">
        <v>986</v>
      </c>
      <c r="I43" s="3497" t="s">
        <v>986</v>
      </c>
      <c r="J43" s="3640">
        <v>72.277869865794955</v>
      </c>
      <c r="K43" s="679"/>
    </row>
    <row r="44" spans="1:11" x14ac:dyDescent="0.2">
      <c r="A44" s="3647" t="s">
        <v>4164</v>
      </c>
      <c r="B44" s="3640">
        <v>224.58218099170057</v>
      </c>
      <c r="C44" s="3640" t="s">
        <v>799</v>
      </c>
      <c r="D44" s="3640">
        <v>17.4805285572344</v>
      </c>
      <c r="E44" s="3497" t="s">
        <v>986</v>
      </c>
      <c r="F44" s="3497" t="s">
        <v>986</v>
      </c>
      <c r="G44" s="3497" t="s">
        <v>986</v>
      </c>
      <c r="H44" s="3497" t="s">
        <v>986</v>
      </c>
      <c r="I44" s="3497" t="s">
        <v>986</v>
      </c>
      <c r="J44" s="3640">
        <v>242.06270954893498</v>
      </c>
      <c r="K44" s="679"/>
    </row>
    <row r="45" spans="1:11" x14ac:dyDescent="0.2">
      <c r="A45" s="3647" t="s">
        <v>1503</v>
      </c>
      <c r="B45" s="3640" t="s">
        <v>799</v>
      </c>
      <c r="C45" s="3640" t="s">
        <v>799</v>
      </c>
      <c r="D45" s="3640" t="s">
        <v>799</v>
      </c>
      <c r="E45" s="3497" t="s">
        <v>986</v>
      </c>
      <c r="F45" s="3497" t="s">
        <v>986</v>
      </c>
      <c r="G45" s="3497" t="s">
        <v>986</v>
      </c>
      <c r="H45" s="3497" t="s">
        <v>986</v>
      </c>
      <c r="I45" s="3497" t="s">
        <v>986</v>
      </c>
      <c r="J45" s="3640" t="s">
        <v>799</v>
      </c>
      <c r="K45" s="679"/>
    </row>
    <row r="46" spans="1:11" x14ac:dyDescent="0.2">
      <c r="A46" s="3647" t="s">
        <v>4163</v>
      </c>
      <c r="B46" s="3640">
        <v>-117.577735203027</v>
      </c>
      <c r="C46" s="3497" t="s">
        <v>986</v>
      </c>
      <c r="D46" s="3497" t="s">
        <v>986</v>
      </c>
      <c r="E46" s="3497" t="s">
        <v>986</v>
      </c>
      <c r="F46" s="3497" t="s">
        <v>986</v>
      </c>
      <c r="G46" s="3497" t="s">
        <v>986</v>
      </c>
      <c r="H46" s="3497" t="s">
        <v>986</v>
      </c>
      <c r="I46" s="3497" t="s">
        <v>986</v>
      </c>
      <c r="J46" s="3640">
        <v>-117.577735203027</v>
      </c>
      <c r="K46" s="679"/>
    </row>
    <row r="47" spans="1:11" x14ac:dyDescent="0.2">
      <c r="A47" s="3647" t="s">
        <v>4162</v>
      </c>
      <c r="B47" s="3640" t="s">
        <v>799</v>
      </c>
      <c r="C47" s="3640" t="s">
        <v>799</v>
      </c>
      <c r="D47" s="3640" t="s">
        <v>799</v>
      </c>
      <c r="E47" s="3497" t="s">
        <v>986</v>
      </c>
      <c r="F47" s="3497" t="s">
        <v>986</v>
      </c>
      <c r="G47" s="3497" t="s">
        <v>986</v>
      </c>
      <c r="H47" s="3497" t="s">
        <v>986</v>
      </c>
      <c r="I47" s="3497" t="s">
        <v>986</v>
      </c>
      <c r="J47" s="3640" t="s">
        <v>799</v>
      </c>
      <c r="K47" s="679"/>
    </row>
    <row r="48" spans="1:11" x14ac:dyDescent="0.2">
      <c r="A48" s="3646" t="s">
        <v>4161</v>
      </c>
      <c r="B48" s="3640">
        <v>22.9638178199028</v>
      </c>
      <c r="C48" s="3640">
        <v>966.76046428888628</v>
      </c>
      <c r="D48" s="3640">
        <v>219.98086896709489</v>
      </c>
      <c r="E48" s="3497" t="s">
        <v>986</v>
      </c>
      <c r="F48" s="3497" t="s">
        <v>986</v>
      </c>
      <c r="G48" s="3497" t="s">
        <v>986</v>
      </c>
      <c r="H48" s="3497" t="s">
        <v>986</v>
      </c>
      <c r="I48" s="3497" t="s">
        <v>986</v>
      </c>
      <c r="J48" s="3640">
        <v>1209.705151075884</v>
      </c>
      <c r="K48" s="679"/>
    </row>
    <row r="49" spans="1:11" x14ac:dyDescent="0.2">
      <c r="A49" s="3647" t="s">
        <v>4160</v>
      </c>
      <c r="B49" s="3640" t="s">
        <v>1006</v>
      </c>
      <c r="C49" s="3640">
        <v>536.79322914738748</v>
      </c>
      <c r="D49" s="3497" t="s">
        <v>986</v>
      </c>
      <c r="E49" s="3497" t="s">
        <v>986</v>
      </c>
      <c r="F49" s="3497" t="s">
        <v>986</v>
      </c>
      <c r="G49" s="3497" t="s">
        <v>986</v>
      </c>
      <c r="H49" s="3497" t="s">
        <v>986</v>
      </c>
      <c r="I49" s="3497" t="s">
        <v>986</v>
      </c>
      <c r="J49" s="3640">
        <v>536.79322914738748</v>
      </c>
      <c r="K49" s="679"/>
    </row>
    <row r="50" spans="1:11" x14ac:dyDescent="0.2">
      <c r="A50" s="3647" t="s">
        <v>4159</v>
      </c>
      <c r="B50" s="3497" t="s">
        <v>986</v>
      </c>
      <c r="C50" s="3640">
        <v>374.224288</v>
      </c>
      <c r="D50" s="3640">
        <v>72.855576400000004</v>
      </c>
      <c r="E50" s="3497" t="s">
        <v>986</v>
      </c>
      <c r="F50" s="3497" t="s">
        <v>986</v>
      </c>
      <c r="G50" s="3497" t="s">
        <v>986</v>
      </c>
      <c r="H50" s="3497" t="s">
        <v>986</v>
      </c>
      <c r="I50" s="3497" t="s">
        <v>986</v>
      </c>
      <c r="J50" s="3640">
        <v>447.07986440000002</v>
      </c>
      <c r="K50" s="679"/>
    </row>
    <row r="51" spans="1:11" x14ac:dyDescent="0.2">
      <c r="A51" s="3648" t="s">
        <v>4158</v>
      </c>
      <c r="B51" s="3640" t="s">
        <v>259</v>
      </c>
      <c r="C51" s="3640">
        <v>1.8291427499999999E-2</v>
      </c>
      <c r="D51" s="3640">
        <v>0.27255080923800001</v>
      </c>
      <c r="E51" s="3497" t="s">
        <v>986</v>
      </c>
      <c r="F51" s="3497" t="s">
        <v>986</v>
      </c>
      <c r="G51" s="3497" t="s">
        <v>986</v>
      </c>
      <c r="H51" s="3497" t="s">
        <v>986</v>
      </c>
      <c r="I51" s="3497" t="s">
        <v>986</v>
      </c>
      <c r="J51" s="3640">
        <v>0.29084223673800003</v>
      </c>
      <c r="K51" s="679"/>
    </row>
    <row r="52" spans="1:11" x14ac:dyDescent="0.2">
      <c r="A52" s="3647" t="s">
        <v>4157</v>
      </c>
      <c r="B52" s="3497" t="s">
        <v>986</v>
      </c>
      <c r="C52" s="3640">
        <v>52.903099192731247</v>
      </c>
      <c r="D52" s="3640">
        <v>146.8527417578569</v>
      </c>
      <c r="E52" s="3497" t="s">
        <v>986</v>
      </c>
      <c r="F52" s="3497" t="s">
        <v>986</v>
      </c>
      <c r="G52" s="3497" t="s">
        <v>986</v>
      </c>
      <c r="H52" s="3497" t="s">
        <v>986</v>
      </c>
      <c r="I52" s="3497" t="s">
        <v>986</v>
      </c>
      <c r="J52" s="3640">
        <v>199.75584095058815</v>
      </c>
      <c r="K52" s="679"/>
    </row>
    <row r="53" spans="1:11" x14ac:dyDescent="0.2">
      <c r="A53" s="3647" t="s">
        <v>4156</v>
      </c>
      <c r="B53" s="3640">
        <v>22.9638178199028</v>
      </c>
      <c r="C53" s="3640">
        <v>2.8215565212675</v>
      </c>
      <c r="D53" s="3640" t="s">
        <v>1209</v>
      </c>
      <c r="E53" s="3497" t="s">
        <v>986</v>
      </c>
      <c r="F53" s="3497" t="s">
        <v>986</v>
      </c>
      <c r="G53" s="3497" t="s">
        <v>986</v>
      </c>
      <c r="H53" s="3497" t="s">
        <v>986</v>
      </c>
      <c r="I53" s="3497" t="s">
        <v>986</v>
      </c>
      <c r="J53" s="3640">
        <v>25.7853743411703</v>
      </c>
      <c r="K53" s="679"/>
    </row>
    <row r="54" spans="1:11" x14ac:dyDescent="0.2">
      <c r="A54" s="3646" t="s">
        <v>4155</v>
      </c>
      <c r="B54" s="3640" t="s">
        <v>259</v>
      </c>
      <c r="C54" s="3640" t="s">
        <v>259</v>
      </c>
      <c r="D54" s="3640" t="s">
        <v>259</v>
      </c>
      <c r="E54" s="3640" t="s">
        <v>259</v>
      </c>
      <c r="F54" s="3640" t="s">
        <v>259</v>
      </c>
      <c r="G54" s="3640" t="s">
        <v>259</v>
      </c>
      <c r="H54" s="3640" t="s">
        <v>259</v>
      </c>
      <c r="I54" s="3640" t="s">
        <v>259</v>
      </c>
      <c r="J54" s="3640" t="s">
        <v>259</v>
      </c>
      <c r="K54" s="679"/>
    </row>
    <row r="55" spans="1:11" x14ac:dyDescent="0.2">
      <c r="A55" s="660"/>
      <c r="B55" s="1735"/>
      <c r="C55" s="1735"/>
      <c r="D55" s="1735"/>
      <c r="E55" s="1735"/>
      <c r="F55" s="1735"/>
      <c r="G55" s="1735"/>
      <c r="H55" s="1735"/>
      <c r="I55" s="1735"/>
      <c r="J55" s="1735"/>
      <c r="K55" s="660"/>
    </row>
    <row r="56" spans="1:11" ht="14.25" x14ac:dyDescent="0.2">
      <c r="A56" s="3644" t="s">
        <v>4154</v>
      </c>
      <c r="B56" s="3497" t="s">
        <v>986</v>
      </c>
      <c r="C56" s="3497" t="s">
        <v>986</v>
      </c>
      <c r="D56" s="3497" t="s">
        <v>986</v>
      </c>
      <c r="E56" s="3497" t="s">
        <v>986</v>
      </c>
      <c r="F56" s="3497" t="s">
        <v>986</v>
      </c>
      <c r="G56" s="3497" t="s">
        <v>986</v>
      </c>
      <c r="H56" s="3497" t="s">
        <v>986</v>
      </c>
      <c r="I56" s="3497" t="s">
        <v>986</v>
      </c>
      <c r="J56" s="3497" t="s">
        <v>986</v>
      </c>
      <c r="K56" s="660"/>
    </row>
    <row r="57" spans="1:11" x14ac:dyDescent="0.2">
      <c r="A57" s="3644" t="s">
        <v>4153</v>
      </c>
      <c r="B57" s="3640">
        <v>2605.1382673521362</v>
      </c>
      <c r="C57" s="3640">
        <v>1.14008177461175</v>
      </c>
      <c r="D57" s="3640">
        <v>21.99746358872704</v>
      </c>
      <c r="E57" s="3497" t="s">
        <v>986</v>
      </c>
      <c r="F57" s="3497" t="s">
        <v>986</v>
      </c>
      <c r="G57" s="3497" t="s">
        <v>986</v>
      </c>
      <c r="H57" s="3497" t="s">
        <v>986</v>
      </c>
      <c r="I57" s="3497" t="s">
        <v>986</v>
      </c>
      <c r="J57" s="3640">
        <v>2628.2758127154748</v>
      </c>
      <c r="K57" s="660"/>
    </row>
    <row r="58" spans="1:11" x14ac:dyDescent="0.2">
      <c r="A58" s="3645" t="s">
        <v>4152</v>
      </c>
      <c r="B58" s="3640">
        <v>976.43274571213601</v>
      </c>
      <c r="C58" s="3640">
        <v>8.7762380718750005E-2</v>
      </c>
      <c r="D58" s="3640">
        <v>9.7996314102581206</v>
      </c>
      <c r="E58" s="3497" t="s">
        <v>986</v>
      </c>
      <c r="F58" s="3497" t="s">
        <v>986</v>
      </c>
      <c r="G58" s="3497" t="s">
        <v>986</v>
      </c>
      <c r="H58" s="3497" t="s">
        <v>986</v>
      </c>
      <c r="I58" s="3497" t="s">
        <v>986</v>
      </c>
      <c r="J58" s="3640">
        <v>986.32013950311284</v>
      </c>
      <c r="K58" s="660"/>
    </row>
    <row r="59" spans="1:11" x14ac:dyDescent="0.2">
      <c r="A59" s="3645" t="s">
        <v>4151</v>
      </c>
      <c r="B59" s="3640">
        <v>1628.7055216399999</v>
      </c>
      <c r="C59" s="3640">
        <v>1.052319393893</v>
      </c>
      <c r="D59" s="3640">
        <v>12.19783217846892</v>
      </c>
      <c r="E59" s="3497" t="s">
        <v>986</v>
      </c>
      <c r="F59" s="3497" t="s">
        <v>986</v>
      </c>
      <c r="G59" s="3497" t="s">
        <v>986</v>
      </c>
      <c r="H59" s="3497" t="s">
        <v>986</v>
      </c>
      <c r="I59" s="3497" t="s">
        <v>986</v>
      </c>
      <c r="J59" s="3640">
        <v>1641.9556732123619</v>
      </c>
      <c r="K59" s="660"/>
    </row>
    <row r="60" spans="1:11" x14ac:dyDescent="0.2">
      <c r="A60" s="3641" t="s">
        <v>4150</v>
      </c>
      <c r="B60" s="3640" t="s">
        <v>1209</v>
      </c>
      <c r="C60" s="3640" t="s">
        <v>1209</v>
      </c>
      <c r="D60" s="3640" t="s">
        <v>1209</v>
      </c>
      <c r="E60" s="3497" t="s">
        <v>986</v>
      </c>
      <c r="F60" s="3497" t="s">
        <v>986</v>
      </c>
      <c r="G60" s="3497" t="s">
        <v>986</v>
      </c>
      <c r="H60" s="3497" t="s">
        <v>986</v>
      </c>
      <c r="I60" s="3497" t="s">
        <v>986</v>
      </c>
      <c r="J60" s="3640" t="s">
        <v>1209</v>
      </c>
      <c r="K60" s="660"/>
    </row>
    <row r="61" spans="1:11" ht="13.5" x14ac:dyDescent="0.2">
      <c r="A61" s="3644" t="s">
        <v>4149</v>
      </c>
      <c r="B61" s="3640">
        <v>18439.463085653213</v>
      </c>
      <c r="C61" s="3497" t="s">
        <v>986</v>
      </c>
      <c r="D61" s="3497" t="s">
        <v>986</v>
      </c>
      <c r="E61" s="3497" t="s">
        <v>986</v>
      </c>
      <c r="F61" s="3497" t="s">
        <v>986</v>
      </c>
      <c r="G61" s="3497" t="s">
        <v>986</v>
      </c>
      <c r="H61" s="3497" t="s">
        <v>986</v>
      </c>
      <c r="I61" s="3497" t="s">
        <v>986</v>
      </c>
      <c r="J61" s="3640">
        <v>18439.463085653213</v>
      </c>
      <c r="K61" s="660"/>
    </row>
    <row r="62" spans="1:11" ht="13.5" x14ac:dyDescent="0.2">
      <c r="A62" s="3641" t="s">
        <v>4148</v>
      </c>
      <c r="B62" s="3640" t="s">
        <v>1006</v>
      </c>
      <c r="C62" s="3497" t="s">
        <v>986</v>
      </c>
      <c r="D62" s="3497" t="s">
        <v>986</v>
      </c>
      <c r="E62" s="3497" t="s">
        <v>986</v>
      </c>
      <c r="F62" s="3497" t="s">
        <v>986</v>
      </c>
      <c r="G62" s="3497" t="s">
        <v>986</v>
      </c>
      <c r="H62" s="3497" t="s">
        <v>986</v>
      </c>
      <c r="I62" s="3497" t="s">
        <v>986</v>
      </c>
      <c r="J62" s="3640" t="s">
        <v>1006</v>
      </c>
      <c r="K62" s="660"/>
    </row>
    <row r="63" spans="1:11" x14ac:dyDescent="0.2">
      <c r="A63" s="3643" t="s">
        <v>4147</v>
      </c>
      <c r="B63" s="3640" t="s">
        <v>1209</v>
      </c>
      <c r="C63" s="3497" t="s">
        <v>986</v>
      </c>
      <c r="D63" s="3497" t="s">
        <v>986</v>
      </c>
      <c r="E63" s="3497" t="s">
        <v>986</v>
      </c>
      <c r="F63" s="3497" t="s">
        <v>986</v>
      </c>
      <c r="G63" s="3497" t="s">
        <v>986</v>
      </c>
      <c r="H63" s="3497" t="s">
        <v>986</v>
      </c>
      <c r="I63" s="3497" t="s">
        <v>986</v>
      </c>
      <c r="J63" s="3640" t="s">
        <v>1209</v>
      </c>
      <c r="K63" s="660"/>
    </row>
    <row r="64" spans="1:11" ht="13.5" x14ac:dyDescent="0.25">
      <c r="A64" s="3642" t="s">
        <v>4146</v>
      </c>
      <c r="B64" s="3497" t="s">
        <v>986</v>
      </c>
      <c r="C64" s="3497" t="s">
        <v>986</v>
      </c>
      <c r="D64" s="3640">
        <v>230.27790629293955</v>
      </c>
      <c r="E64" s="3497" t="s">
        <v>986</v>
      </c>
      <c r="F64" s="3497" t="s">
        <v>986</v>
      </c>
      <c r="G64" s="3497" t="s">
        <v>986</v>
      </c>
      <c r="H64" s="3497" t="s">
        <v>986</v>
      </c>
      <c r="I64" s="3497" t="s">
        <v>986</v>
      </c>
      <c r="J64" s="3497" t="s">
        <v>986</v>
      </c>
      <c r="K64" s="660"/>
    </row>
    <row r="65" spans="1:11" ht="14.25" x14ac:dyDescent="0.2">
      <c r="A65" s="3641" t="s">
        <v>4145</v>
      </c>
      <c r="B65" s="3640">
        <v>236.74738094726899</v>
      </c>
      <c r="C65" s="3497" t="s">
        <v>986</v>
      </c>
      <c r="D65" s="3497" t="s">
        <v>986</v>
      </c>
      <c r="E65" s="3497" t="s">
        <v>986</v>
      </c>
      <c r="F65" s="3497" t="s">
        <v>986</v>
      </c>
      <c r="G65" s="3497" t="s">
        <v>986</v>
      </c>
      <c r="H65" s="3497" t="s">
        <v>986</v>
      </c>
      <c r="I65" s="3497" t="s">
        <v>986</v>
      </c>
      <c r="J65" s="3497" t="s">
        <v>986</v>
      </c>
      <c r="K65" s="660"/>
    </row>
    <row r="66" spans="1:11" s="660" customFormat="1" ht="12" customHeight="1" x14ac:dyDescent="0.2">
      <c r="A66" s="5800" t="s">
        <v>4144</v>
      </c>
      <c r="B66" s="5696" t="s">
        <v>986</v>
      </c>
      <c r="C66" s="5696" t="s">
        <v>986</v>
      </c>
      <c r="D66" s="5696" t="s">
        <v>986</v>
      </c>
      <c r="E66" s="5696" t="s">
        <v>986</v>
      </c>
      <c r="F66" s="5696" t="s">
        <v>986</v>
      </c>
      <c r="G66" s="5696" t="s">
        <v>986</v>
      </c>
      <c r="H66" s="5696" t="s">
        <v>986</v>
      </c>
      <c r="I66" s="5696" t="s">
        <v>986</v>
      </c>
      <c r="J66" s="3640">
        <v>41509.001308925406</v>
      </c>
    </row>
    <row r="67" spans="1:11" s="660" customFormat="1" ht="12" customHeight="1" x14ac:dyDescent="0.2">
      <c r="A67" s="5800" t="s">
        <v>4143</v>
      </c>
      <c r="B67" s="5696" t="s">
        <v>986</v>
      </c>
      <c r="C67" s="5696" t="s">
        <v>986</v>
      </c>
      <c r="D67" s="5696" t="s">
        <v>986</v>
      </c>
      <c r="E67" s="5696" t="s">
        <v>986</v>
      </c>
      <c r="F67" s="5696" t="s">
        <v>986</v>
      </c>
      <c r="G67" s="5696" t="s">
        <v>986</v>
      </c>
      <c r="H67" s="5696" t="s">
        <v>986</v>
      </c>
      <c r="I67" s="5696" t="s">
        <v>986</v>
      </c>
      <c r="J67" s="3640">
        <v>44616.125834594575</v>
      </c>
    </row>
    <row r="68" spans="1:11" s="660" customFormat="1" ht="12.75" customHeight="1" x14ac:dyDescent="0.2">
      <c r="A68" s="5802" t="s">
        <v>4142</v>
      </c>
      <c r="B68" s="5696" t="s">
        <v>986</v>
      </c>
      <c r="C68" s="5696" t="s">
        <v>986</v>
      </c>
      <c r="D68" s="5696" t="s">
        <v>986</v>
      </c>
      <c r="E68" s="5696" t="s">
        <v>986</v>
      </c>
      <c r="F68" s="5696" t="s">
        <v>986</v>
      </c>
      <c r="G68" s="5696" t="s">
        <v>986</v>
      </c>
      <c r="H68" s="5696" t="s">
        <v>986</v>
      </c>
      <c r="I68" s="5696" t="s">
        <v>986</v>
      </c>
      <c r="J68" s="3640">
        <v>41745.748689872678</v>
      </c>
    </row>
    <row r="69" spans="1:11" s="660" customFormat="1" ht="13.5" customHeight="1" x14ac:dyDescent="0.2">
      <c r="A69" s="5800" t="s">
        <v>4141</v>
      </c>
      <c r="B69" s="5696" t="s">
        <v>986</v>
      </c>
      <c r="C69" s="5696" t="s">
        <v>986</v>
      </c>
      <c r="D69" s="5696" t="s">
        <v>986</v>
      </c>
      <c r="E69" s="5696" t="s">
        <v>986</v>
      </c>
      <c r="F69" s="5696" t="s">
        <v>986</v>
      </c>
      <c r="G69" s="5696" t="s">
        <v>986</v>
      </c>
      <c r="H69" s="5696" t="s">
        <v>986</v>
      </c>
      <c r="I69" s="5696" t="s">
        <v>986</v>
      </c>
      <c r="J69" s="3640">
        <v>44852.873215541847</v>
      </c>
    </row>
    <row r="70" spans="1:11" x14ac:dyDescent="0.2">
      <c r="A70" s="1734"/>
      <c r="B70" s="1734"/>
      <c r="C70" s="1734"/>
      <c r="D70" s="1734"/>
      <c r="E70" s="1734"/>
      <c r="F70" s="1734"/>
      <c r="G70" s="1734"/>
      <c r="H70" s="1734"/>
      <c r="I70" s="1734"/>
      <c r="J70" s="1733"/>
      <c r="K70" s="660"/>
    </row>
    <row r="71" spans="1:11" ht="13.5" x14ac:dyDescent="0.2">
      <c r="A71" s="5799" t="s">
        <v>4140</v>
      </c>
      <c r="B71" s="5799"/>
      <c r="C71" s="5799"/>
      <c r="D71" s="5799"/>
      <c r="E71" s="5799"/>
      <c r="F71" s="5799"/>
      <c r="G71" s="5799"/>
      <c r="H71" s="5799"/>
      <c r="I71" s="5799"/>
      <c r="J71" s="5799"/>
      <c r="K71" s="660"/>
    </row>
    <row r="72" spans="1:11" ht="13.5" x14ac:dyDescent="0.2">
      <c r="A72" s="1732" t="s">
        <v>4139</v>
      </c>
      <c r="B72" s="1731"/>
      <c r="C72" s="1731"/>
      <c r="D72" s="1731"/>
      <c r="E72" s="1731"/>
      <c r="F72" s="1731"/>
      <c r="G72" s="1731"/>
      <c r="H72" s="1731"/>
      <c r="I72" s="1731"/>
      <c r="J72" s="1731"/>
      <c r="K72" s="660"/>
    </row>
    <row r="73" spans="1:11" ht="32.25" customHeight="1" x14ac:dyDescent="0.2">
      <c r="A73" s="5799" t="s">
        <v>4138</v>
      </c>
      <c r="B73" s="5799"/>
      <c r="C73" s="5799"/>
      <c r="D73" s="5799"/>
      <c r="E73" s="5799"/>
      <c r="F73" s="5799"/>
      <c r="G73" s="5799"/>
      <c r="H73" s="5799"/>
      <c r="I73" s="5799"/>
      <c r="J73" s="5799"/>
      <c r="K73" s="660"/>
    </row>
  </sheetData>
  <sheetProtection password="A754" sheet="1" objects="1" scenarios="1"/>
  <mergeCells count="8">
    <mergeCell ref="A1:E1"/>
    <mergeCell ref="B6:J6"/>
    <mergeCell ref="A71:J71"/>
    <mergeCell ref="A73:J73"/>
    <mergeCell ref="A66:I66"/>
    <mergeCell ref="A67:I67"/>
    <mergeCell ref="A68:I68"/>
    <mergeCell ref="A69:I69"/>
  </mergeCells>
  <dataValidations count="1">
    <dataValidation allowBlank="1" showInputMessage="1" showErrorMessage="1" sqref="B77:K65529 A77:A1048576 L1:IV65529" xr:uid="{00000000-0002-0000-3800-000000000000}"/>
  </dataValidations>
  <pageMargins left="0.39370078740157499" right="0.39370078740157499" top="0.39370078740157499" bottom="0.39370078740157499" header="0.196850393700787" footer="0.196850393700787"/>
  <pageSetup paperSize="9" scale="31" fitToHeight="0" orientation="portrait" r:id="rId1"/>
  <headerFooter alignWithMargins="0">
    <oddFooter>&amp;L&amp;"Times New Roman,Italic"Common Reporting Format for the provision of inventory information by Annex I Parties to the UNFCCC&amp;R&amp;P+24</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D2DA9-CB17-4816-87BA-A1A201A7A1FF}">
  <sheetPr codeName="Ark75">
    <tabColor theme="1" tint="4.9989318521683403E-2"/>
  </sheetPr>
  <dimension ref="A1:AF11"/>
  <sheetViews>
    <sheetView workbookViewId="0">
      <selection sqref="A1:K1"/>
    </sheetView>
  </sheetViews>
  <sheetFormatPr defaultColWidth="8.7109375" defaultRowHeight="15" x14ac:dyDescent="0.25"/>
  <cols>
    <col min="1" max="1" width="18.28515625" style="632" customWidth="1"/>
    <col min="2" max="32" width="7.42578125" style="632" customWidth="1"/>
    <col min="33" max="16384" width="8.7109375" style="632"/>
  </cols>
  <sheetData>
    <row r="1" spans="1:32" ht="15.75" thickBot="1" x14ac:dyDescent="0.3">
      <c r="A1" s="5804" t="s">
        <v>1824</v>
      </c>
      <c r="B1" s="5804"/>
      <c r="C1" s="5804"/>
      <c r="D1" s="5804"/>
      <c r="E1" s="5804"/>
      <c r="F1" s="5804"/>
      <c r="G1" s="5804"/>
      <c r="H1" s="5804"/>
      <c r="I1" s="5804"/>
      <c r="J1" s="5804"/>
      <c r="K1" s="5804"/>
    </row>
    <row r="2" spans="1:32" ht="15.75" thickBot="1" x14ac:dyDescent="0.3">
      <c r="A2" s="838"/>
      <c r="B2" s="838">
        <v>1990</v>
      </c>
      <c r="C2" s="838">
        <v>1991</v>
      </c>
      <c r="D2" s="838">
        <v>1992</v>
      </c>
      <c r="E2" s="838">
        <v>1993</v>
      </c>
      <c r="F2" s="838">
        <v>1994</v>
      </c>
      <c r="G2" s="838">
        <v>1995</v>
      </c>
      <c r="H2" s="838">
        <v>1996</v>
      </c>
      <c r="I2" s="838">
        <v>1997</v>
      </c>
      <c r="J2" s="838">
        <v>1998</v>
      </c>
      <c r="K2" s="838">
        <v>1999</v>
      </c>
      <c r="L2" s="838">
        <v>2000</v>
      </c>
      <c r="M2" s="838">
        <v>2001</v>
      </c>
      <c r="N2" s="838">
        <v>2002</v>
      </c>
      <c r="O2" s="838">
        <v>2003</v>
      </c>
      <c r="P2" s="838">
        <v>2004</v>
      </c>
      <c r="Q2" s="838">
        <v>2005</v>
      </c>
      <c r="R2" s="838">
        <v>2006</v>
      </c>
      <c r="S2" s="838">
        <v>2007</v>
      </c>
      <c r="T2" s="838">
        <v>2008</v>
      </c>
      <c r="U2" s="838">
        <v>2009</v>
      </c>
      <c r="V2" s="838">
        <v>2010</v>
      </c>
      <c r="W2" s="838">
        <v>2011</v>
      </c>
      <c r="X2" s="838">
        <v>2012</v>
      </c>
      <c r="Y2" s="838">
        <v>2013</v>
      </c>
      <c r="Z2" s="838">
        <v>2014</v>
      </c>
      <c r="AA2" s="838">
        <v>2015</v>
      </c>
      <c r="AB2" s="838">
        <v>2016</v>
      </c>
      <c r="AC2" s="838">
        <v>2017</v>
      </c>
      <c r="AD2" s="838">
        <v>2018</v>
      </c>
      <c r="AE2" s="838">
        <v>2019</v>
      </c>
      <c r="AF2" s="838">
        <v>2020</v>
      </c>
    </row>
    <row r="3" spans="1:32" x14ac:dyDescent="0.25">
      <c r="A3" s="837" t="s">
        <v>1823</v>
      </c>
      <c r="B3" s="836">
        <v>17025</v>
      </c>
      <c r="C3" s="836">
        <v>17589</v>
      </c>
      <c r="D3" s="836">
        <v>19124</v>
      </c>
      <c r="E3" s="836">
        <v>16803</v>
      </c>
      <c r="F3" s="836">
        <v>16918</v>
      </c>
      <c r="G3" s="836">
        <v>19543</v>
      </c>
      <c r="H3" s="836">
        <v>19756</v>
      </c>
      <c r="I3" s="836">
        <v>18236</v>
      </c>
      <c r="J3" s="836">
        <v>16320</v>
      </c>
      <c r="K3" s="836">
        <v>17538</v>
      </c>
      <c r="L3" s="836">
        <v>17174</v>
      </c>
      <c r="M3" s="836">
        <v>16894</v>
      </c>
      <c r="N3" s="836">
        <v>16362</v>
      </c>
      <c r="O3" s="836">
        <v>18443</v>
      </c>
      <c r="P3" s="836">
        <v>15927</v>
      </c>
      <c r="Q3" s="836">
        <v>16551</v>
      </c>
      <c r="R3" s="836">
        <v>16965</v>
      </c>
      <c r="S3" s="836">
        <v>18256</v>
      </c>
      <c r="T3" s="836">
        <v>20661</v>
      </c>
      <c r="U3" s="836">
        <v>18875</v>
      </c>
      <c r="V3" s="836">
        <v>16802</v>
      </c>
      <c r="W3" s="836">
        <v>16727</v>
      </c>
      <c r="X3" s="836">
        <v>14845</v>
      </c>
      <c r="Y3" s="836">
        <v>15384</v>
      </c>
      <c r="Z3" s="836">
        <v>14111</v>
      </c>
      <c r="AA3" s="836">
        <v>12777</v>
      </c>
      <c r="AB3" s="836">
        <v>13456</v>
      </c>
      <c r="AC3" s="836">
        <v>12786</v>
      </c>
      <c r="AD3" s="836">
        <v>15132</v>
      </c>
      <c r="AE3" s="836">
        <v>12670</v>
      </c>
      <c r="AF3" s="836">
        <v>12538</v>
      </c>
    </row>
    <row r="4" spans="1:32" x14ac:dyDescent="0.25">
      <c r="A4" s="837" t="s">
        <v>1822</v>
      </c>
      <c r="B4" s="836">
        <v>8720.4245127802296</v>
      </c>
      <c r="C4" s="836">
        <v>9009.3125847454594</v>
      </c>
      <c r="D4" s="836">
        <v>9795.5593763529578</v>
      </c>
      <c r="E4" s="836">
        <v>8606.7132504109359</v>
      </c>
      <c r="F4" s="836">
        <v>8665.6177331698036</v>
      </c>
      <c r="G4" s="836">
        <v>10010.176578752658</v>
      </c>
      <c r="H4" s="836">
        <v>10119.277925079952</v>
      </c>
      <c r="I4" s="836">
        <v>9340.7143268757864</v>
      </c>
      <c r="J4" s="836">
        <v>8359.3144228236906</v>
      </c>
      <c r="K4" s="836">
        <v>8983.1897271741364</v>
      </c>
      <c r="L4" s="836">
        <v>8796.7442339199806</v>
      </c>
      <c r="M4" s="836">
        <v>8653.3246237244748</v>
      </c>
      <c r="N4" s="836">
        <v>8380.8273643530156</v>
      </c>
      <c r="O4" s="836">
        <v>9446.7423958417476</v>
      </c>
      <c r="P4" s="836">
        <v>8158.0147556564289</v>
      </c>
      <c r="Q4" s="836">
        <v>8477.6356012349825</v>
      </c>
      <c r="R4" s="836">
        <v>8689.6917391669067</v>
      </c>
      <c r="S4" s="836">
        <v>9738.4610220142949</v>
      </c>
      <c r="T4" s="836">
        <v>10440</v>
      </c>
      <c r="U4" s="836">
        <v>9640</v>
      </c>
      <c r="V4" s="836">
        <v>8740</v>
      </c>
      <c r="W4" s="836">
        <v>8220</v>
      </c>
      <c r="X4" s="836">
        <v>7660</v>
      </c>
      <c r="Y4" s="836">
        <v>7725</v>
      </c>
      <c r="Z4" s="836">
        <v>7044</v>
      </c>
      <c r="AA4" s="836">
        <v>7320</v>
      </c>
      <c r="AB4" s="836">
        <v>8573</v>
      </c>
      <c r="AC4" s="836">
        <v>8019.0777834590554</v>
      </c>
      <c r="AD4" s="836">
        <v>8520.958784553608</v>
      </c>
      <c r="AE4" s="836">
        <v>7547.8978192105615</v>
      </c>
      <c r="AF4" s="836">
        <v>7634.313721962274</v>
      </c>
    </row>
    <row r="5" spans="1:32" x14ac:dyDescent="0.25">
      <c r="A5" s="837" t="s">
        <v>1821</v>
      </c>
      <c r="B5" s="836">
        <v>3428.4596266992826</v>
      </c>
      <c r="C5" s="836">
        <v>3542.0367914251797</v>
      </c>
      <c r="D5" s="836">
        <v>3851.1519471951297</v>
      </c>
      <c r="E5" s="836">
        <v>3383.753721434834</v>
      </c>
      <c r="F5" s="836">
        <v>3406.9121858736253</v>
      </c>
      <c r="G5" s="836">
        <v>3935.5293089329857</v>
      </c>
      <c r="H5" s="836">
        <v>3978.4228126326598</v>
      </c>
      <c r="I5" s="836">
        <v>3672.3283261373344</v>
      </c>
      <c r="J5" s="836">
        <v>3286.4881707919117</v>
      </c>
      <c r="K5" s="836">
        <v>3531.7665158914551</v>
      </c>
      <c r="L5" s="836">
        <v>3458.4649414938904</v>
      </c>
      <c r="M5" s="836">
        <v>3402.0791150342252</v>
      </c>
      <c r="N5" s="836">
        <v>3294.9460447608612</v>
      </c>
      <c r="O5" s="836">
        <v>3714.0135621271584</v>
      </c>
      <c r="P5" s="836">
        <v>3207.3466357967386</v>
      </c>
      <c r="Q5" s="836">
        <v>3333.0064776211352</v>
      </c>
      <c r="R5" s="836">
        <v>3416.3769496007831</v>
      </c>
      <c r="S5" s="836">
        <v>3676.3558851701678</v>
      </c>
      <c r="T5" s="836">
        <v>4133</v>
      </c>
      <c r="U5" s="836">
        <v>3963</v>
      </c>
      <c r="V5" s="836">
        <v>3454</v>
      </c>
      <c r="W5" s="836">
        <v>3305</v>
      </c>
      <c r="X5" s="836">
        <v>2876</v>
      </c>
      <c r="Y5" s="836">
        <v>3097.9984080553168</v>
      </c>
      <c r="Z5" s="836">
        <v>2841.644275615482</v>
      </c>
      <c r="AA5" s="836">
        <v>2573.0060881255058</v>
      </c>
      <c r="AB5" s="836">
        <v>2709.7417172901937</v>
      </c>
      <c r="AC5" s="836">
        <v>2574.8184896902808</v>
      </c>
      <c r="AD5" s="836">
        <v>3047.251164241618</v>
      </c>
      <c r="AE5" s="836">
        <v>2551.4586472998481</v>
      </c>
      <c r="AF5" s="836">
        <v>2524.8767576831488</v>
      </c>
    </row>
    <row r="6" spans="1:32" ht="15.75" thickBot="1" x14ac:dyDescent="0.3">
      <c r="A6" s="835" t="s">
        <v>1820</v>
      </c>
      <c r="B6" s="834">
        <v>4876.1158605204873</v>
      </c>
      <c r="C6" s="834">
        <v>5037.6506238293605</v>
      </c>
      <c r="D6" s="834">
        <v>5477.2886764519126</v>
      </c>
      <c r="E6" s="834">
        <v>4812.5330281542301</v>
      </c>
      <c r="F6" s="834">
        <v>4845.4700809565711</v>
      </c>
      <c r="G6" s="834">
        <v>5597.2941123143555</v>
      </c>
      <c r="H6" s="834">
        <v>5658.299262287388</v>
      </c>
      <c r="I6" s="834">
        <v>5222.9573469868792</v>
      </c>
      <c r="J6" s="834">
        <v>4674.1974063843973</v>
      </c>
      <c r="K6" s="834">
        <v>5023.0437569344085</v>
      </c>
      <c r="L6" s="834">
        <v>4918.790824586129</v>
      </c>
      <c r="M6" s="834">
        <v>4838.5962612413005</v>
      </c>
      <c r="N6" s="834">
        <v>4686.2265908861227</v>
      </c>
      <c r="O6" s="834">
        <v>5282.2440420310941</v>
      </c>
      <c r="P6" s="834">
        <v>4561.638608546833</v>
      </c>
      <c r="Q6" s="834">
        <v>4740.3579211438828</v>
      </c>
      <c r="R6" s="834">
        <v>4858.9313112323107</v>
      </c>
      <c r="S6" s="834">
        <v>4841.1830928155377</v>
      </c>
      <c r="T6" s="834">
        <v>6088</v>
      </c>
      <c r="U6" s="834">
        <v>5272</v>
      </c>
      <c r="V6" s="834">
        <v>4608</v>
      </c>
      <c r="W6" s="834">
        <v>5202</v>
      </c>
      <c r="X6" s="834">
        <v>4309</v>
      </c>
      <c r="Y6" s="834">
        <v>4561.0015919446832</v>
      </c>
      <c r="Z6" s="834">
        <v>4225.355724384518</v>
      </c>
      <c r="AA6" s="834">
        <v>2883.9939118744942</v>
      </c>
      <c r="AB6" s="834">
        <v>2173.2582827098063</v>
      </c>
      <c r="AC6" s="834">
        <v>2192.1037268506639</v>
      </c>
      <c r="AD6" s="834">
        <v>3563.790051204774</v>
      </c>
      <c r="AE6" s="834">
        <v>2570.6435334895905</v>
      </c>
      <c r="AF6" s="834">
        <v>2378.8095203545772</v>
      </c>
    </row>
    <row r="8" spans="1:32" x14ac:dyDescent="0.25">
      <c r="B8" s="833"/>
      <c r="C8" s="833"/>
      <c r="D8" s="833"/>
      <c r="E8" s="833"/>
      <c r="F8" s="833"/>
      <c r="G8" s="833"/>
      <c r="H8" s="833"/>
      <c r="I8" s="833"/>
      <c r="J8" s="833"/>
      <c r="K8" s="833"/>
      <c r="L8" s="833"/>
      <c r="M8" s="833"/>
      <c r="N8" s="833"/>
      <c r="O8" s="833"/>
      <c r="P8" s="833"/>
      <c r="Q8" s="833"/>
      <c r="R8" s="833"/>
      <c r="S8" s="833"/>
      <c r="T8" s="833"/>
      <c r="U8" s="833"/>
      <c r="V8" s="833"/>
      <c r="W8" s="833"/>
      <c r="X8" s="833"/>
      <c r="Y8" s="833"/>
      <c r="Z8" s="833"/>
      <c r="AA8" s="833"/>
      <c r="AB8" s="833"/>
      <c r="AD8" s="833"/>
    </row>
    <row r="9" spans="1:32" x14ac:dyDescent="0.25">
      <c r="B9" s="833"/>
      <c r="C9" s="833"/>
      <c r="D9" s="833"/>
      <c r="E9" s="833"/>
      <c r="F9" s="833"/>
      <c r="G9" s="833"/>
      <c r="H9" s="833"/>
      <c r="I9" s="833"/>
      <c r="J9" s="833"/>
      <c r="K9" s="833"/>
      <c r="L9" s="833"/>
      <c r="M9" s="833"/>
      <c r="N9" s="833"/>
      <c r="O9" s="833"/>
      <c r="P9" s="833"/>
      <c r="Q9" s="833"/>
      <c r="R9" s="833"/>
      <c r="S9" s="833"/>
      <c r="T9" s="833"/>
      <c r="U9" s="833"/>
      <c r="V9" s="833"/>
      <c r="W9" s="833"/>
      <c r="X9" s="833"/>
      <c r="Y9" s="833"/>
      <c r="Z9" s="833"/>
      <c r="AA9" s="833"/>
      <c r="AB9" s="833"/>
      <c r="AD9" s="833"/>
    </row>
    <row r="10" spans="1:32" x14ac:dyDescent="0.25">
      <c r="B10" s="833"/>
      <c r="C10" s="833"/>
      <c r="D10" s="833"/>
      <c r="E10" s="833"/>
      <c r="F10" s="833"/>
      <c r="G10" s="833"/>
      <c r="H10" s="833"/>
      <c r="I10" s="833"/>
      <c r="J10" s="833"/>
      <c r="K10" s="833"/>
      <c r="L10" s="833"/>
      <c r="M10" s="833"/>
      <c r="N10" s="833"/>
      <c r="O10" s="833"/>
      <c r="P10" s="833"/>
      <c r="Q10" s="833"/>
      <c r="R10" s="833"/>
      <c r="S10" s="833"/>
      <c r="T10" s="833"/>
      <c r="U10" s="833"/>
      <c r="V10" s="833"/>
      <c r="W10" s="833"/>
      <c r="X10" s="833"/>
      <c r="Y10" s="833"/>
      <c r="Z10" s="833"/>
      <c r="AA10" s="833"/>
      <c r="AB10" s="833"/>
      <c r="AD10" s="833"/>
    </row>
    <row r="11" spans="1:32" x14ac:dyDescent="0.25">
      <c r="B11" s="833"/>
      <c r="C11" s="833"/>
      <c r="D11" s="833"/>
      <c r="E11" s="833"/>
      <c r="F11" s="833"/>
      <c r="G11" s="833"/>
      <c r="H11" s="833"/>
      <c r="I11" s="833"/>
      <c r="J11" s="833"/>
      <c r="K11" s="833"/>
      <c r="L11" s="833"/>
      <c r="M11" s="833"/>
      <c r="N11" s="833"/>
      <c r="O11" s="833"/>
      <c r="P11" s="833"/>
      <c r="Q11" s="833"/>
      <c r="R11" s="833"/>
      <c r="S11" s="833"/>
      <c r="T11" s="833"/>
      <c r="U11" s="833"/>
      <c r="V11" s="833"/>
      <c r="W11" s="833"/>
      <c r="X11" s="833"/>
      <c r="Y11" s="833"/>
      <c r="Z11" s="833"/>
      <c r="AA11" s="833"/>
      <c r="AB11" s="833"/>
      <c r="AD11" s="833"/>
    </row>
  </sheetData>
  <mergeCells count="1">
    <mergeCell ref="A1:K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B2332-D191-444E-A792-1283CAEA3425}">
  <sheetPr codeName="Ark126">
    <tabColor theme="8" tint="0.39997558519241921"/>
  </sheetPr>
  <dimension ref="A1:Z183"/>
  <sheetViews>
    <sheetView showGridLines="0" zoomScaleNormal="100" workbookViewId="0">
      <selection activeCell="A8" sqref="A8:A13"/>
    </sheetView>
  </sheetViews>
  <sheetFormatPr defaultColWidth="9.28515625" defaultRowHeight="14.25" x14ac:dyDescent="0.2"/>
  <cols>
    <col min="1" max="1" width="7.28515625" style="129" customWidth="1"/>
    <col min="2" max="2" width="14.28515625" style="129" bestFit="1" customWidth="1"/>
    <col min="3" max="18" width="11.140625" style="129" customWidth="1"/>
    <col min="19" max="19" width="12.85546875" style="129" bestFit="1" customWidth="1"/>
    <col min="20" max="20" width="16.42578125" style="129" bestFit="1" customWidth="1"/>
    <col min="21" max="21" width="58.7109375" style="132" bestFit="1" customWidth="1"/>
    <col min="22" max="22" width="9.42578125" style="129" customWidth="1"/>
    <col min="23" max="23" width="13.140625" style="129" customWidth="1"/>
    <col min="24" max="24" width="17.7109375" style="129" bestFit="1" customWidth="1"/>
    <col min="25" max="25" width="8.7109375" style="129" customWidth="1"/>
    <col min="26" max="26" width="15.7109375" style="129" bestFit="1" customWidth="1"/>
    <col min="27" max="16384" width="9.28515625" style="129"/>
  </cols>
  <sheetData>
    <row r="1" spans="1:26" ht="21.75" thickBot="1" x14ac:dyDescent="0.4">
      <c r="A1" s="1740" t="s">
        <v>4206</v>
      </c>
      <c r="U1" s="129"/>
    </row>
    <row r="2" spans="1:26" x14ac:dyDescent="0.2">
      <c r="C2" s="251" t="s">
        <v>320</v>
      </c>
      <c r="D2" s="252"/>
      <c r="E2" s="253"/>
      <c r="F2" s="442"/>
      <c r="G2" s="148">
        <v>2018</v>
      </c>
      <c r="H2" s="10"/>
      <c r="I2" s="10"/>
      <c r="J2" s="10"/>
      <c r="K2" s="10"/>
      <c r="L2" s="10"/>
      <c r="M2" s="10"/>
      <c r="N2" s="10"/>
      <c r="U2" s="1746" t="s">
        <v>221</v>
      </c>
    </row>
    <row r="3" spans="1:26" ht="28.5" thickBot="1" x14ac:dyDescent="0.35">
      <c r="C3" s="5164" t="s">
        <v>321</v>
      </c>
      <c r="D3" s="5165"/>
      <c r="E3" s="149" t="s">
        <v>322</v>
      </c>
      <c r="F3" s="443" t="s">
        <v>323</v>
      </c>
      <c r="G3" s="150" t="s">
        <v>324</v>
      </c>
      <c r="H3" s="151"/>
      <c r="I3" s="151"/>
      <c r="J3" s="151"/>
      <c r="K3" s="151"/>
      <c r="L3" s="151"/>
      <c r="M3" s="151"/>
      <c r="N3" s="151"/>
      <c r="U3" s="152" t="s">
        <v>325</v>
      </c>
    </row>
    <row r="4" spans="1:26" ht="17.25" customHeight="1" x14ac:dyDescent="0.2">
      <c r="B4" s="10"/>
      <c r="H4" s="10"/>
      <c r="I4" s="10"/>
      <c r="J4" s="10"/>
      <c r="K4" s="10"/>
      <c r="L4" s="10"/>
      <c r="M4" s="10"/>
      <c r="N4" s="10"/>
      <c r="U4" s="1745" t="str">
        <f>'E2018'!AA3</f>
        <v>Læsø Kommune 2018</v>
      </c>
    </row>
    <row r="5" spans="1:26" x14ac:dyDescent="0.2">
      <c r="U5" s="129"/>
    </row>
    <row r="6" spans="1:26" ht="15.75" customHeight="1" thickBot="1" x14ac:dyDescent="0.25">
      <c r="B6" s="153"/>
      <c r="C6" s="5166" t="s">
        <v>638</v>
      </c>
      <c r="D6" s="5167"/>
      <c r="E6" s="5167"/>
      <c r="F6" s="5167"/>
      <c r="G6" s="5167"/>
      <c r="H6" s="5167"/>
      <c r="I6" s="5167"/>
      <c r="J6" s="5167"/>
      <c r="K6" s="5167"/>
      <c r="L6" s="5167"/>
      <c r="M6" s="5167"/>
      <c r="N6" s="5167"/>
      <c r="O6" s="5167"/>
      <c r="P6" s="5167"/>
      <c r="Q6" s="5167"/>
      <c r="R6" s="5168"/>
      <c r="S6" s="436" t="s">
        <v>326</v>
      </c>
      <c r="T6" s="436" t="s">
        <v>4786</v>
      </c>
      <c r="U6" s="155" t="s">
        <v>327</v>
      </c>
      <c r="V6" s="5169" t="s">
        <v>328</v>
      </c>
      <c r="W6" s="5170"/>
      <c r="X6" s="5170"/>
      <c r="Y6" s="5170"/>
      <c r="Z6" s="5171"/>
    </row>
    <row r="7" spans="1:26" ht="110.25" customHeight="1" thickBot="1" x14ac:dyDescent="0.25">
      <c r="C7" s="437" t="s">
        <v>329</v>
      </c>
      <c r="D7" s="438" t="s">
        <v>330</v>
      </c>
      <c r="E7" s="438" t="s">
        <v>331</v>
      </c>
      <c r="F7" s="438" t="s">
        <v>332</v>
      </c>
      <c r="G7" s="438" t="s">
        <v>333</v>
      </c>
      <c r="H7" s="438" t="s">
        <v>334</v>
      </c>
      <c r="I7" s="438" t="s">
        <v>335</v>
      </c>
      <c r="J7" s="438" t="s">
        <v>336</v>
      </c>
      <c r="K7" s="438" t="s">
        <v>337</v>
      </c>
      <c r="L7" s="438" t="s">
        <v>338</v>
      </c>
      <c r="M7" s="438" t="s">
        <v>2794</v>
      </c>
      <c r="N7" s="438" t="s">
        <v>2796</v>
      </c>
      <c r="O7" s="438" t="s">
        <v>339</v>
      </c>
      <c r="P7" s="438" t="s">
        <v>340</v>
      </c>
      <c r="Q7" s="438" t="s">
        <v>341</v>
      </c>
      <c r="R7" s="439" t="s">
        <v>342</v>
      </c>
      <c r="S7" s="159" t="s">
        <v>343</v>
      </c>
      <c r="T7" s="160" t="s">
        <v>344</v>
      </c>
      <c r="U7" s="161"/>
      <c r="V7" s="162" t="s">
        <v>345</v>
      </c>
      <c r="W7" s="157" t="s">
        <v>346</v>
      </c>
      <c r="X7" s="157" t="s">
        <v>347</v>
      </c>
      <c r="Y7" s="157" t="s">
        <v>348</v>
      </c>
      <c r="Z7" s="163" t="s">
        <v>349</v>
      </c>
    </row>
    <row r="8" spans="1:26" ht="15.75" customHeight="1" x14ac:dyDescent="0.2">
      <c r="A8" s="5172"/>
      <c r="C8" s="500">
        <f t="shared" ref="C8:P8" si="0">SUM(C9:C17)</f>
        <v>626.69000000000005</v>
      </c>
      <c r="D8" s="501">
        <f t="shared" si="0"/>
        <v>10.94</v>
      </c>
      <c r="E8" s="501">
        <f t="shared" si="0"/>
        <v>0</v>
      </c>
      <c r="F8" s="501">
        <f t="shared" si="0"/>
        <v>0</v>
      </c>
      <c r="G8" s="501">
        <f t="shared" si="0"/>
        <v>403.89</v>
      </c>
      <c r="H8" s="501">
        <f t="shared" si="0"/>
        <v>318.72999999999996</v>
      </c>
      <c r="I8" s="501">
        <f t="shared" si="0"/>
        <v>0</v>
      </c>
      <c r="J8" s="501">
        <f t="shared" si="0"/>
        <v>570.11999999999989</v>
      </c>
      <c r="K8" s="501">
        <f t="shared" si="0"/>
        <v>28565.51</v>
      </c>
      <c r="L8" s="501">
        <f t="shared" si="0"/>
        <v>27.54</v>
      </c>
      <c r="M8" s="501">
        <f t="shared" si="0"/>
        <v>493.31</v>
      </c>
      <c r="N8" s="501">
        <f t="shared" si="0"/>
        <v>553.46</v>
      </c>
      <c r="O8" s="501">
        <f t="shared" si="0"/>
        <v>27.54</v>
      </c>
      <c r="P8" s="501">
        <f t="shared" si="0"/>
        <v>175.85</v>
      </c>
      <c r="Q8" s="501">
        <f>SUM(Q9:Q17)</f>
        <v>188.07</v>
      </c>
      <c r="R8" s="502">
        <f>SUM(R9:R17)</f>
        <v>0</v>
      </c>
      <c r="S8" s="503"/>
      <c r="T8" s="503"/>
      <c r="U8" s="164" t="s">
        <v>265</v>
      </c>
      <c r="V8" s="513"/>
      <c r="W8" s="1683">
        <f>'K1 2018'!J24</f>
        <v>128.25847101953934</v>
      </c>
      <c r="X8" s="1684"/>
      <c r="Y8" s="1685">
        <f>Z8/SUM(C8:R8)</f>
        <v>0.10032216032302724</v>
      </c>
      <c r="Z8" s="514">
        <f>IFERROR(W8*'Grafer-klima-&gt;VÆLG GWP og NIR&lt;-'!$E$8+X8*'Grafer-klima-&gt;VÆLG GWP og NIR&lt;-'!$F$8," ")</f>
        <v>3206.4617754884835</v>
      </c>
    </row>
    <row r="9" spans="1:26" x14ac:dyDescent="0.2">
      <c r="A9" s="5172"/>
      <c r="C9" s="499">
        <f>IF(GETPIVOTDATA("Antal dyr",'K2 2018'!$A$7,"Fordeling af dyretyper",C$7,"Staldtype fordeling",$U9)=0,"-",GETPIVOTDATA("Antal dyr",'K2 2018'!$A$7,"Fordeling af dyretyper",C$7,"Staldtype fordeling",$U9))</f>
        <v>50.06</v>
      </c>
      <c r="D9" s="1680" t="str">
        <f>IF(GETPIVOTDATA("Antal dyr",'K2 2018'!$A$7,"Fordeling af dyretyper",D$7,"Staldtype fordeling",$U9)=0,"-",GETPIVOTDATA("Antal dyr",'K2 2018'!$A$7,"Fordeling af dyretyper",D$7,"Staldtype fordeling",$U9))</f>
        <v>-</v>
      </c>
      <c r="E9" s="104" t="str">
        <f>IF(GETPIVOTDATA("Antal dyr",'K2 2018'!$A$7,"Fordeling af dyretyper",E$7,"Staldtype fordeling",$U9)=0,"-",GETPIVOTDATA("Antal dyr",'K2 2018'!$A$7,"Fordeling af dyretyper",E$7,"Staldtype fordeling",$U9))</f>
        <v>-</v>
      </c>
      <c r="F9" s="104" t="str">
        <f>IF(GETPIVOTDATA("Antal dyr",'K2 2018'!$A$7,"Fordeling af dyretyper",F$7,"Staldtype fordeling",$U9)=0,"-",GETPIVOTDATA("Antal dyr",'K2 2018'!$A$7,"Fordeling af dyretyper",F$7,"Staldtype fordeling",$U9))</f>
        <v>-</v>
      </c>
      <c r="G9" s="104" t="str">
        <f>IF(GETPIVOTDATA("Antal dyr",'K2 2018'!$A$7,"Fordeling af dyretyper",G$7,"Staldtype fordeling",$U9)=0,"-",GETPIVOTDATA("Antal dyr",'K2 2018'!$A$7,"Fordeling af dyretyper",G$7,"Staldtype fordeling",$U9))</f>
        <v>-</v>
      </c>
      <c r="H9" s="104" t="str">
        <f>IF(GETPIVOTDATA("Antal dyr",'K2 2018'!$A$7,"Fordeling af dyretyper",H$7,"Staldtype fordeling",$U9)=0,"-",GETPIVOTDATA("Antal dyr",'K2 2018'!$A$7,"Fordeling af dyretyper",H$7,"Staldtype fordeling",$U9))</f>
        <v>-</v>
      </c>
      <c r="I9" s="104" t="str">
        <f>IF(GETPIVOTDATA("Antal dyr",'K2 2018'!$A$7,"Fordeling af dyretyper",I$7,"Staldtype fordeling",$U9)=0,"-",GETPIVOTDATA("Antal dyr",'K2 2018'!$A$7,"Fordeling af dyretyper",I$7,"Staldtype fordeling",$U9))</f>
        <v>-</v>
      </c>
      <c r="J9" s="104">
        <f>IF(GETPIVOTDATA("Antal dyr",'K2 2018'!$A$7,"Fordeling af dyretyper",J$7,"Staldtype fordeling",$U9)=0,"-",GETPIVOTDATA("Antal dyr",'K2 2018'!$A$7,"Fordeling af dyretyper",J$7,"Staldtype fordeling",$U9))</f>
        <v>37.799999999999997</v>
      </c>
      <c r="K9" s="104" t="str">
        <f>IF(GETPIVOTDATA("Antal dyr",'K2 2018'!$A$7,"Fordeling af dyretyper",K$7,"Staldtype fordeling",$U9)=0,"-",GETPIVOTDATA("Antal dyr",'K2 2018'!$A$7,"Fordeling af dyretyper",K$7,"Staldtype fordeling",$U9))</f>
        <v>-</v>
      </c>
      <c r="L9" s="104" t="str">
        <f>IF(GETPIVOTDATA("Antal dyr",'K2 2018'!$A$7,"Fordeling af dyretyper",L$7,"Staldtype fordeling",$U9)=0,"-",GETPIVOTDATA("Antal dyr",'K2 2018'!$A$7,"Fordeling af dyretyper",L$7,"Staldtype fordeling",$U9))</f>
        <v>-</v>
      </c>
      <c r="M9" s="104" t="str">
        <f>IF(GETPIVOTDATA("Antal dyr",'K2 2018'!$A$7,"Fordeling af dyretyper",M$7,"Staldtype fordeling",$U9)=0,"-",GETPIVOTDATA("Antal dyr",'K2 2018'!$A$7,"Fordeling af dyretyper",M$7,"Staldtype fordeling",$U9))</f>
        <v>-</v>
      </c>
      <c r="N9" s="104">
        <f>IF(GETPIVOTDATA("Antal dyr",'K2 2018'!$A$7,"Fordeling af dyretyper",N$7,"Staldtype fordeling",$U9)=0,"-",GETPIVOTDATA("Antal dyr",'K2 2018'!$A$7,"Fordeling af dyretyper",N$7,"Staldtype fordeling",$U9))</f>
        <v>5.1100000000000003</v>
      </c>
      <c r="O9" s="104" t="str">
        <f>IF(GETPIVOTDATA("Antal dyr",'K2 2018'!$A$7,"Fordeling af dyretyper",O$7,"Staldtype fordeling",$U9)=0,"-",GETPIVOTDATA("Antal dyr",'K2 2018'!$A$7,"Fordeling af dyretyper",O$7,"Staldtype fordeling",$U9))</f>
        <v>-</v>
      </c>
      <c r="P9" s="104" t="str">
        <f>IF(GETPIVOTDATA("Antal dyr",'K2 2018'!$A$7,"Fordeling af dyretyper",P$7,"Staldtype fordeling",$U9)=0,"-",GETPIVOTDATA("Antal dyr",'K2 2018'!$A$7,"Fordeling af dyretyper",P$7,"Staldtype fordeling",$U9))</f>
        <v>-</v>
      </c>
      <c r="Q9" s="104" t="str">
        <f>IF(GETPIVOTDATA("Antal dyr",'K2 2018'!$A$7,"Fordeling af dyretyper",Q$7,"Staldtype fordeling",$U9)=0,"-",GETPIVOTDATA("Antal dyr",'K2 2018'!$A$7,"Fordeling af dyretyper",Q$7,"Staldtype fordeling",$U9))</f>
        <v>-</v>
      </c>
      <c r="R9" s="7" t="str">
        <f>IF(GETPIVOTDATA("Antal dyr",'K2 2018'!$A$7,"Fordeling af dyretyper",R$7,"Staldtype fordeling",$U9)=0,"-",GETPIVOTDATA("Antal dyr",'K2 2018'!$A$7,"Fordeling af dyretyper",R$7,"Staldtype fordeling",$U9))</f>
        <v>-</v>
      </c>
      <c r="S9" s="504"/>
      <c r="T9" s="504"/>
      <c r="U9" s="165" t="s">
        <v>639</v>
      </c>
      <c r="V9" s="19"/>
      <c r="W9" s="1686">
        <f>GETPIVOTDATA("Total udledning af metan (ton)",'K2 2018'!$A$21,"Staldtype fordeling","Bindestald")</f>
        <v>0.15366079465344001</v>
      </c>
      <c r="X9" s="333">
        <f>GETPIVOTDATA("Sum af Total udledning af N2O  (ton)",'K3 2018'!$A$21,"Fordeling af staldtyper","Bindestald")</f>
        <v>5.2369167477000003E-2</v>
      </c>
      <c r="Y9" s="1687">
        <f t="shared" ref="Y9:Y15" si="1">Z9/SUM(C9:R9)</f>
        <v>0.20918072253933528</v>
      </c>
      <c r="Z9" s="514">
        <f>IFERROR(W9*'Grafer-klima-&gt;VÆLG GWP og NIR&lt;-'!$E$8+X9*'Grafer-klima-&gt;VÆLG GWP og NIR&lt;-'!$F$8," ")</f>
        <v>19.447531774482002</v>
      </c>
    </row>
    <row r="10" spans="1:26" x14ac:dyDescent="0.2">
      <c r="A10" s="5172"/>
      <c r="C10" s="499">
        <f>IF(GETPIVOTDATA("Antal dyr",'K2 2018'!$A$7,"Fordeling af dyretyper",C$7,"Staldtype fordeling",$U10)=0,"-",GETPIVOTDATA("Antal dyr",'K2 2018'!$A$7,"Fordeling af dyretyper",C$7,"Staldtype fordeling",$U10))</f>
        <v>476.63</v>
      </c>
      <c r="D10" s="1680">
        <f>IF(GETPIVOTDATA("Antal dyr",'K2 2018'!$A$7,"Fordeling af dyretyper",D$7,"Staldtype fordeling",$U10)=0,"-",GETPIVOTDATA("Antal dyr",'K2 2018'!$A$7,"Fordeling af dyretyper",D$7,"Staldtype fordeling",$U10))</f>
        <v>10.94</v>
      </c>
      <c r="E10" s="104" t="str">
        <f>IF(GETPIVOTDATA("Antal dyr",'K2 2018'!$A$7,"Fordeling af dyretyper",E$7,"Staldtype fordeling",$U10)=0,"-",GETPIVOTDATA("Antal dyr",'K2 2018'!$A$7,"Fordeling af dyretyper",E$7,"Staldtype fordeling",$U10))</f>
        <v>-</v>
      </c>
      <c r="F10" s="104" t="str">
        <f>IF(GETPIVOTDATA("Antal dyr",'K2 2018'!$A$7,"Fordeling af dyretyper",F$7,"Staldtype fordeling",$U10)=0,"-",GETPIVOTDATA("Antal dyr",'K2 2018'!$A$7,"Fordeling af dyretyper",F$7,"Staldtype fordeling",$U10))</f>
        <v>-</v>
      </c>
      <c r="G10" s="104" t="str">
        <f>IF(GETPIVOTDATA("Antal dyr",'K2 2018'!$A$7,"Fordeling af dyretyper",G$7,"Staldtype fordeling",$U10)=0,"-",GETPIVOTDATA("Antal dyr",'K2 2018'!$A$7,"Fordeling af dyretyper",G$7,"Staldtype fordeling",$U10))</f>
        <v>-</v>
      </c>
      <c r="H10" s="104" t="str">
        <f>IF(GETPIVOTDATA("Antal dyr",'K2 2018'!$A$7,"Fordeling af dyretyper",H$7,"Staldtype fordeling",$U10)=0,"-",GETPIVOTDATA("Antal dyr",'K2 2018'!$A$7,"Fordeling af dyretyper",H$7,"Staldtype fordeling",$U10))</f>
        <v>-</v>
      </c>
      <c r="I10" s="104" t="str">
        <f>IF(GETPIVOTDATA("Antal dyr",'K2 2018'!$A$7,"Fordeling af dyretyper",I$7,"Staldtype fordeling",$U10)=0,"-",GETPIVOTDATA("Antal dyr",'K2 2018'!$A$7,"Fordeling af dyretyper",I$7,"Staldtype fordeling",$U10))</f>
        <v>-</v>
      </c>
      <c r="J10" s="104">
        <f>IF(GETPIVOTDATA("Antal dyr",'K2 2018'!$A$7,"Fordeling af dyretyper",J$7,"Staldtype fordeling",$U10)=0,"-",GETPIVOTDATA("Antal dyr",'K2 2018'!$A$7,"Fordeling af dyretyper",J$7,"Staldtype fordeling",$U10))</f>
        <v>532.31999999999994</v>
      </c>
      <c r="K10" s="104" t="str">
        <f>IF(GETPIVOTDATA("Antal dyr",'K2 2018'!$A$7,"Fordeling af dyretyper",K$7,"Staldtype fordeling",$U10)=0,"-",GETPIVOTDATA("Antal dyr",'K2 2018'!$A$7,"Fordeling af dyretyper",K$7,"Staldtype fordeling",$U10))</f>
        <v>-</v>
      </c>
      <c r="L10" s="104">
        <f>IF(GETPIVOTDATA("Antal dyr",'K2 2018'!$A$7,"Fordeling af dyretyper",L$7,"Staldtype fordeling",$U10)=0,"-",GETPIVOTDATA("Antal dyr",'K2 2018'!$A$7,"Fordeling af dyretyper",L$7,"Staldtype fordeling",$U10))</f>
        <v>27.54</v>
      </c>
      <c r="M10" s="104">
        <f>IF(GETPIVOTDATA("Antal dyr",'K2 2018'!$A$7,"Fordeling af dyretyper",M$7,"Staldtype fordeling",$U10)=0,"-",GETPIVOTDATA("Antal dyr",'K2 2018'!$A$7,"Fordeling af dyretyper",M$7,"Staldtype fordeling",$U10))</f>
        <v>493.31</v>
      </c>
      <c r="N10" s="104">
        <f>IF(GETPIVOTDATA("Antal dyr",'K2 2018'!$A$7,"Fordeling af dyretyper",N$7,"Staldtype fordeling",$U10)=0,"-",GETPIVOTDATA("Antal dyr",'K2 2018'!$A$7,"Fordeling af dyretyper",N$7,"Staldtype fordeling",$U10))</f>
        <v>548.35</v>
      </c>
      <c r="O10" s="104">
        <f>IF(GETPIVOTDATA("Antal dyr",'K2 2018'!$A$7,"Fordeling af dyretyper",O$7,"Staldtype fordeling",$U10)=0,"-",GETPIVOTDATA("Antal dyr",'K2 2018'!$A$7,"Fordeling af dyretyper",O$7,"Staldtype fordeling",$U10))</f>
        <v>27.54</v>
      </c>
      <c r="P10" s="104">
        <f>IF(GETPIVOTDATA("Antal dyr",'K2 2018'!$A$7,"Fordeling af dyretyper",P$7,"Staldtype fordeling",$U10)=0,"-",GETPIVOTDATA("Antal dyr",'K2 2018'!$A$7,"Fordeling af dyretyper",P$7,"Staldtype fordeling",$U10))</f>
        <v>175.85</v>
      </c>
      <c r="Q10" s="104" t="str">
        <f>IF(GETPIVOTDATA("Antal dyr",'K2 2018'!$A$7,"Fordeling af dyretyper",Q$7,"Staldtype fordeling",$U10)=0,"-",GETPIVOTDATA("Antal dyr",'K2 2018'!$A$7,"Fordeling af dyretyper",Q$7,"Staldtype fordeling",$U10))</f>
        <v>-</v>
      </c>
      <c r="R10" s="7" t="str">
        <f>IF(GETPIVOTDATA("Antal dyr",'K2 2018'!$A$7,"Fordeling af dyretyper",R$7,"Staldtype fordeling",$U10)=0,"-",GETPIVOTDATA("Antal dyr",'K2 2018'!$A$7,"Fordeling af dyretyper",R$7,"Staldtype fordeling",$U10))</f>
        <v>-</v>
      </c>
      <c r="S10" s="505"/>
      <c r="T10" s="505"/>
      <c r="U10" s="165" t="s">
        <v>350</v>
      </c>
      <c r="V10" s="19"/>
      <c r="W10" s="1686">
        <f>GETPIVOTDATA("Total udledning af metan (ton)",'K2 2018'!$A$21,"Staldtype fordeling","Dybstrøelse")</f>
        <v>57.016515512722734</v>
      </c>
      <c r="X10" s="1686">
        <f>GETPIVOTDATA("Sum af Total udledning af N2O  (ton)",'K3 2018'!$A$21,"Fordeling af staldtyper","Dybstrøelse")</f>
        <v>1.432043096943957</v>
      </c>
      <c r="Y10" s="1688">
        <f t="shared" si="1"/>
        <v>0.80792928649644391</v>
      </c>
      <c r="Z10" s="514">
        <f>IFERROR(W10*'Grafer-klima-&gt;VÆLG GWP og NIR&lt;-'!$E$8+X10*'Grafer-klima-&gt;VÆLG GWP og NIR&lt;-'!$F$8," ")</f>
        <v>1852.1617307073675</v>
      </c>
    </row>
    <row r="11" spans="1:26" x14ac:dyDescent="0.2">
      <c r="A11" s="5172"/>
      <c r="C11" s="499" t="str">
        <f>IF(GETPIVOTDATA("Antal dyr",'K2 2018'!$A$7,"Fordeling af dyretyper",C$7,"Staldtype fordeling",$U11)=0,"-",GETPIVOTDATA("Antal dyr",'K2 2018'!$A$7,"Fordeling af dyretyper",C$7,"Staldtype fordeling",$U11))</f>
        <v>-</v>
      </c>
      <c r="D11" s="1680" t="str">
        <f>IF(GETPIVOTDATA("Antal dyr",'K2 2018'!$A$7,"Fordeling af dyretyper",D$7,"Staldtype fordeling",$U11)=0,"-",GETPIVOTDATA("Antal dyr",'K2 2018'!$A$7,"Fordeling af dyretyper",D$7,"Staldtype fordeling",$U11))</f>
        <v>-</v>
      </c>
      <c r="E11" s="104" t="str">
        <f>IF(GETPIVOTDATA("Antal dyr",'K2 2018'!$A$7,"Fordeling af dyretyper",E$7,"Staldtype fordeling",$U11)=0,"-",GETPIVOTDATA("Antal dyr",'K2 2018'!$A$7,"Fordeling af dyretyper",E$7,"Staldtype fordeling",$U11))</f>
        <v>-</v>
      </c>
      <c r="F11" s="104" t="str">
        <f>IF(GETPIVOTDATA("Antal dyr",'K2 2018'!$A$7,"Fordeling af dyretyper",F$7,"Staldtype fordeling",$U11)=0,"-",GETPIVOTDATA("Antal dyr",'K2 2018'!$A$7,"Fordeling af dyretyper",F$7,"Staldtype fordeling",$U11))</f>
        <v>-</v>
      </c>
      <c r="G11" s="104" t="str">
        <f>IF(GETPIVOTDATA("Antal dyr",'K2 2018'!$A$7,"Fordeling af dyretyper",G$7,"Staldtype fordeling",$U11)=0,"-",GETPIVOTDATA("Antal dyr",'K2 2018'!$A$7,"Fordeling af dyretyper",G$7,"Staldtype fordeling",$U11))</f>
        <v>-</v>
      </c>
      <c r="H11" s="104" t="str">
        <f>IF(GETPIVOTDATA("Antal dyr",'K2 2018'!$A$7,"Fordeling af dyretyper",H$7,"Staldtype fordeling",$U11)=0,"-",GETPIVOTDATA("Antal dyr",'K2 2018'!$A$7,"Fordeling af dyretyper",H$7,"Staldtype fordeling",$U11))</f>
        <v>-</v>
      </c>
      <c r="I11" s="104" t="str">
        <f>IF(GETPIVOTDATA("Antal dyr",'K2 2018'!$A$7,"Fordeling af dyretyper",I$7,"Staldtype fordeling",$U11)=0,"-",GETPIVOTDATA("Antal dyr",'K2 2018'!$A$7,"Fordeling af dyretyper",I$7,"Staldtype fordeling",$U11))</f>
        <v>-</v>
      </c>
      <c r="J11" s="104" t="str">
        <f>IF(GETPIVOTDATA("Antal dyr",'K2 2018'!$A$7,"Fordeling af dyretyper",J$7,"Staldtype fordeling",$U11)=0,"-",GETPIVOTDATA("Antal dyr",'K2 2018'!$A$7,"Fordeling af dyretyper",J$7,"Staldtype fordeling",$U11))</f>
        <v>-</v>
      </c>
      <c r="K11" s="104" t="str">
        <f>IF(GETPIVOTDATA("Antal dyr",'K2 2018'!$A$7,"Fordeling af dyretyper",K$7,"Staldtype fordeling",$U11)=0,"-",GETPIVOTDATA("Antal dyr",'K2 2018'!$A$7,"Fordeling af dyretyper",K$7,"Staldtype fordeling",$U11))</f>
        <v>-</v>
      </c>
      <c r="L11" s="104" t="str">
        <f>IF(GETPIVOTDATA("Antal dyr",'K2 2018'!$A$7,"Fordeling af dyretyper",L$7,"Staldtype fordeling",$U11)=0,"-",GETPIVOTDATA("Antal dyr",'K2 2018'!$A$7,"Fordeling af dyretyper",L$7,"Staldtype fordeling",$U11))</f>
        <v>-</v>
      </c>
      <c r="M11" s="104" t="str">
        <f>IF(GETPIVOTDATA("Antal dyr",'K2 2018'!$A$7,"Fordeling af dyretyper",M$7,"Staldtype fordeling",$U11)=0,"-",GETPIVOTDATA("Antal dyr",'K2 2018'!$A$7,"Fordeling af dyretyper",M$7,"Staldtype fordeling",$U11))</f>
        <v>-</v>
      </c>
      <c r="N11" s="104" t="str">
        <f>IF(GETPIVOTDATA("Antal dyr",'K2 2018'!$A$7,"Fordeling af dyretyper",N$7,"Staldtype fordeling",$U11)=0,"-",GETPIVOTDATA("Antal dyr",'K2 2018'!$A$7,"Fordeling af dyretyper",N$7,"Staldtype fordeling",$U11))</f>
        <v>-</v>
      </c>
      <c r="O11" s="104" t="str">
        <f>IF(GETPIVOTDATA("Antal dyr",'K2 2018'!$A$7,"Fordeling af dyretyper",O$7,"Staldtype fordeling",$U11)=0,"-",GETPIVOTDATA("Antal dyr",'K2 2018'!$A$7,"Fordeling af dyretyper",O$7,"Staldtype fordeling",$U11))</f>
        <v>-</v>
      </c>
      <c r="P11" s="104" t="str">
        <f>IF(GETPIVOTDATA("Antal dyr",'K2 2018'!$A$7,"Fordeling af dyretyper",P$7,"Staldtype fordeling",$U11)=0,"-",GETPIVOTDATA("Antal dyr",'K2 2018'!$A$7,"Fordeling af dyretyper",P$7,"Staldtype fordeling",$U11))</f>
        <v>-</v>
      </c>
      <c r="Q11" s="104" t="str">
        <f>IF(GETPIVOTDATA("Antal dyr",'K2 2018'!$A$7,"Fordeling af dyretyper",Q$7,"Staldtype fordeling",$U11)=0,"-",GETPIVOTDATA("Antal dyr",'K2 2018'!$A$7,"Fordeling af dyretyper",Q$7,"Staldtype fordeling",$U11))</f>
        <v>-</v>
      </c>
      <c r="R11" s="7" t="str">
        <f>IF(GETPIVOTDATA("Antal dyr",'K2 2018'!$A$7,"Fordeling af dyretyper",R$7,"Staldtype fordeling",$U11)=0,"-",GETPIVOTDATA("Antal dyr",'K2 2018'!$A$7,"Fordeling af dyretyper",R$7,"Staldtype fordeling",$U11))</f>
        <v>-</v>
      </c>
      <c r="S11" s="505"/>
      <c r="T11" s="505"/>
      <c r="U11" s="165" t="s">
        <v>351</v>
      </c>
      <c r="V11" s="19"/>
      <c r="W11" s="1686">
        <f>GETPIVOTDATA("Total udledning af metan (ton)",'K2 2018'!$A$21,"Staldtype fordeling","Friland")</f>
        <v>0</v>
      </c>
      <c r="X11" s="1686">
        <f>GETPIVOTDATA("Sum af Total udledning af N2O  (ton)",'K3 2018'!$A$21,"Fordeling af staldtyper","Friland")</f>
        <v>0</v>
      </c>
      <c r="Y11" s="4217" t="str">
        <f>IFERROR(Z11/SUM(C11:R11),"0")</f>
        <v>0</v>
      </c>
      <c r="Z11" s="514">
        <f>IFERROR(W11*'Grafer-klima-&gt;VÆLG GWP og NIR&lt;-'!$E$8+X11*'Grafer-klima-&gt;VÆLG GWP og NIR&lt;-'!$F$8," ")</f>
        <v>0</v>
      </c>
    </row>
    <row r="12" spans="1:26" x14ac:dyDescent="0.2">
      <c r="A12" s="5172"/>
      <c r="C12" s="499" t="str">
        <f>IF(GETPIVOTDATA("Antal dyr",'K2 2018'!$A$7,"Fordeling af dyretyper",C$7,"Staldtype fordeling",$U12)=0,"-",GETPIVOTDATA("Antal dyr",'K2 2018'!$A$7,"Fordeling af dyretyper",C$7,"Staldtype fordeling",$U12))</f>
        <v>-</v>
      </c>
      <c r="D12" s="1680" t="str">
        <f>IF(GETPIVOTDATA("Antal dyr",'K2 2018'!$A$7,"Fordeling af dyretyper",D$7,"Staldtype fordeling",$U12)=0,"-",GETPIVOTDATA("Antal dyr",'K2 2018'!$A$7,"Fordeling af dyretyper",D$7,"Staldtype fordeling",$U12))</f>
        <v>-</v>
      </c>
      <c r="E12" s="104" t="str">
        <f>IF(GETPIVOTDATA("Antal dyr",'K2 2018'!$A$7,"Fordeling af dyretyper",E$7,"Staldtype fordeling",$U12)=0,"-",GETPIVOTDATA("Antal dyr",'K2 2018'!$A$7,"Fordeling af dyretyper",E$7,"Staldtype fordeling",$U12))</f>
        <v>-</v>
      </c>
      <c r="F12" s="104" t="str">
        <f>IF(GETPIVOTDATA("Antal dyr",'K2 2018'!$A$7,"Fordeling af dyretyper",F$7,"Staldtype fordeling",$U12)=0,"-",GETPIVOTDATA("Antal dyr",'K2 2018'!$A$7,"Fordeling af dyretyper",F$7,"Staldtype fordeling",$U12))</f>
        <v>-</v>
      </c>
      <c r="G12" s="104">
        <f>IF(GETPIVOTDATA("Antal dyr",'K2 2018'!$A$7,"Fordeling af dyretyper",G$7,"Staldtype fordeling",$U12)=0,"-",GETPIVOTDATA("Antal dyr",'K2 2018'!$A$7,"Fordeling af dyretyper",G$7,"Staldtype fordeling",$U12))</f>
        <v>403.89</v>
      </c>
      <c r="H12" s="104" t="str">
        <f>IF(GETPIVOTDATA("Antal dyr",'K2 2018'!$A$7,"Fordeling af dyretyper",H$7,"Staldtype fordeling",$U12)=0,"-",GETPIVOTDATA("Antal dyr",'K2 2018'!$A$7,"Fordeling af dyretyper",H$7,"Staldtype fordeling",$U12))</f>
        <v>-</v>
      </c>
      <c r="I12" s="104" t="str">
        <f>IF(GETPIVOTDATA("Antal dyr",'K2 2018'!$A$7,"Fordeling af dyretyper",I$7,"Staldtype fordeling",$U12)=0,"-",GETPIVOTDATA("Antal dyr",'K2 2018'!$A$7,"Fordeling af dyretyper",I$7,"Staldtype fordeling",$U12))</f>
        <v>-</v>
      </c>
      <c r="J12" s="104" t="str">
        <f>IF(GETPIVOTDATA("Antal dyr",'K2 2018'!$A$7,"Fordeling af dyretyper",J$7,"Staldtype fordeling",$U12)=0,"-",GETPIVOTDATA("Antal dyr",'K2 2018'!$A$7,"Fordeling af dyretyper",J$7,"Staldtype fordeling",$U12))</f>
        <v>-</v>
      </c>
      <c r="K12" s="104" t="str">
        <f>IF(GETPIVOTDATA("Antal dyr",'K2 2018'!$A$7,"Fordeling af dyretyper",K$7,"Staldtype fordeling",$U12)=0,"-",GETPIVOTDATA("Antal dyr",'K2 2018'!$A$7,"Fordeling af dyretyper",K$7,"Staldtype fordeling",$U12))</f>
        <v>-</v>
      </c>
      <c r="L12" s="104" t="str">
        <f>IF(GETPIVOTDATA("Antal dyr",'K2 2018'!$A$7,"Fordeling af dyretyper",L$7,"Staldtype fordeling",$U12)=0,"-",GETPIVOTDATA("Antal dyr",'K2 2018'!$A$7,"Fordeling af dyretyper",L$7,"Staldtype fordeling",$U12))</f>
        <v>-</v>
      </c>
      <c r="M12" s="104" t="str">
        <f>IF(GETPIVOTDATA("Antal dyr",'K2 2018'!$A$7,"Fordeling af dyretyper",M$7,"Staldtype fordeling",$U12)=0,"-",GETPIVOTDATA("Antal dyr",'K2 2018'!$A$7,"Fordeling af dyretyper",M$7,"Staldtype fordeling",$U12))</f>
        <v>-</v>
      </c>
      <c r="N12" s="104" t="str">
        <f>IF(GETPIVOTDATA("Antal dyr",'K2 2018'!$A$7,"Fordeling af dyretyper",N$7,"Staldtype fordeling",$U12)=0,"-",GETPIVOTDATA("Antal dyr",'K2 2018'!$A$7,"Fordeling af dyretyper",N$7,"Staldtype fordeling",$U12))</f>
        <v>-</v>
      </c>
      <c r="O12" s="104" t="str">
        <f>IF(GETPIVOTDATA("Antal dyr",'K2 2018'!$A$7,"Fordeling af dyretyper",O$7,"Staldtype fordeling",$U12)=0,"-",GETPIVOTDATA("Antal dyr",'K2 2018'!$A$7,"Fordeling af dyretyper",O$7,"Staldtype fordeling",$U12))</f>
        <v>-</v>
      </c>
      <c r="P12" s="104" t="str">
        <f>IF(GETPIVOTDATA("Antal dyr",'K2 2018'!$A$7,"Fordeling af dyretyper",P$7,"Staldtype fordeling",$U12)=0,"-",GETPIVOTDATA("Antal dyr",'K2 2018'!$A$7,"Fordeling af dyretyper",P$7,"Staldtype fordeling",$U12))</f>
        <v>-</v>
      </c>
      <c r="Q12" s="104" t="str">
        <f>IF(GETPIVOTDATA("Antal dyr",'K2 2018'!$A$7,"Fordeling af dyretyper",Q$7,"Staldtype fordeling",$U12)=0,"-",GETPIVOTDATA("Antal dyr",'K2 2018'!$A$7,"Fordeling af dyretyper",Q$7,"Staldtype fordeling",$U12))</f>
        <v>-</v>
      </c>
      <c r="R12" s="7" t="str">
        <f>IF(GETPIVOTDATA("Antal dyr",'K2 2018'!$A$7,"Fordeling af dyretyper",R$7,"Staldtype fordeling",$U12)=0,"-",GETPIVOTDATA("Antal dyr",'K2 2018'!$A$7,"Fordeling af dyretyper",R$7,"Staldtype fordeling",$U12))</f>
        <v>-</v>
      </c>
      <c r="S12" s="505"/>
      <c r="T12" s="505"/>
      <c r="U12" s="165" t="s">
        <v>352</v>
      </c>
      <c r="V12" s="19"/>
      <c r="W12" s="1686">
        <f>GETPIVOTDATA("Total udledning af metan (ton)",'K2 2018'!$A$21,"Staldtype fordeling","Løsdrift / boks")</f>
        <v>0.92433076583088314</v>
      </c>
      <c r="X12" s="1686">
        <f>GETPIVOTDATA("Sum af Total udledning af N2O  (ton)",'K3 2018'!$A$21,"Fordeling af staldtyper","Løsdrift / boks")</f>
        <v>0</v>
      </c>
      <c r="Y12" s="1688">
        <f t="shared" si="1"/>
        <v>5.7214264145614098E-2</v>
      </c>
      <c r="Z12" s="514">
        <f>IFERROR(W12*'Grafer-klima-&gt;VÆLG GWP og NIR&lt;-'!$E$8+X12*'Grafer-klima-&gt;VÆLG GWP og NIR&lt;-'!$F$8," ")</f>
        <v>23.108269145772077</v>
      </c>
    </row>
    <row r="13" spans="1:26" x14ac:dyDescent="0.2">
      <c r="A13" s="5172"/>
      <c r="C13" s="499" t="str">
        <f>IF(GETPIVOTDATA("Antal dyr",'K2 2018'!$A$7,"Fordeling af dyretyper",C$7,"Staldtype fordeling",$U13)=0,"-",GETPIVOTDATA("Antal dyr",'K2 2018'!$A$7,"Fordeling af dyretyper",C$7,"Staldtype fordeling",$U13))</f>
        <v>-</v>
      </c>
      <c r="D13" s="1680" t="str">
        <f>IF(GETPIVOTDATA("Antal dyr",'K2 2018'!$A$7,"Fordeling af dyretyper",D$7,"Staldtype fordeling",$U13)=0,"-",GETPIVOTDATA("Antal dyr",'K2 2018'!$A$7,"Fordeling af dyretyper",D$7,"Staldtype fordeling",$U13))</f>
        <v>-</v>
      </c>
      <c r="E13" s="104" t="str">
        <f>IF(GETPIVOTDATA("Antal dyr",'K2 2018'!$A$7,"Fordeling af dyretyper",E$7,"Staldtype fordeling",$U13)=0,"-",GETPIVOTDATA("Antal dyr",'K2 2018'!$A$7,"Fordeling af dyretyper",E$7,"Staldtype fordeling",$U13))</f>
        <v>-</v>
      </c>
      <c r="F13" s="104" t="str">
        <f>IF(GETPIVOTDATA("Antal dyr",'K2 2018'!$A$7,"Fordeling af dyretyper",F$7,"Staldtype fordeling",$U13)=0,"-",GETPIVOTDATA("Antal dyr",'K2 2018'!$A$7,"Fordeling af dyretyper",F$7,"Staldtype fordeling",$U13))</f>
        <v>-</v>
      </c>
      <c r="G13" s="104" t="str">
        <f>IF(GETPIVOTDATA("Antal dyr",'K2 2018'!$A$7,"Fordeling af dyretyper",G$7,"Staldtype fordeling",$U13)=0,"-",GETPIVOTDATA("Antal dyr",'K2 2018'!$A$7,"Fordeling af dyretyper",G$7,"Staldtype fordeling",$U13))</f>
        <v>-</v>
      </c>
      <c r="H13" s="104">
        <f>IF(GETPIVOTDATA("Antal dyr",'K2 2018'!$A$7,"Fordeling af dyretyper",H$7,"Staldtype fordeling",$U13)=0,"-",GETPIVOTDATA("Antal dyr",'K2 2018'!$A$7,"Fordeling af dyretyper",H$7,"Staldtype fordeling",$U13))</f>
        <v>318.72999999999996</v>
      </c>
      <c r="I13" s="104" t="str">
        <f>IF(GETPIVOTDATA("Antal dyr",'K2 2018'!$A$7,"Fordeling af dyretyper",I$7,"Staldtype fordeling",$U13)=0,"-",GETPIVOTDATA("Antal dyr",'K2 2018'!$A$7,"Fordeling af dyretyper",I$7,"Staldtype fordeling",$U13))</f>
        <v>-</v>
      </c>
      <c r="J13" s="104" t="str">
        <f>IF(GETPIVOTDATA("Antal dyr",'K2 2018'!$A$7,"Fordeling af dyretyper",J$7,"Staldtype fordeling",$U13)=0,"-",GETPIVOTDATA("Antal dyr",'K2 2018'!$A$7,"Fordeling af dyretyper",J$7,"Staldtype fordeling",$U13))</f>
        <v>-</v>
      </c>
      <c r="K13" s="104">
        <f>IF(GETPIVOTDATA("Antal dyr",'K2 2018'!$A$7,"Fordeling af dyretyper",K$7,"Staldtype fordeling",$U13)=0,"-",GETPIVOTDATA("Antal dyr",'K2 2018'!$A$7,"Fordeling af dyretyper",K$7,"Staldtype fordeling",$U13))</f>
        <v>28565.51</v>
      </c>
      <c r="L13" s="104" t="str">
        <f>IF(GETPIVOTDATA("Antal dyr",'K2 2018'!$A$7,"Fordeling af dyretyper",L$7,"Staldtype fordeling",$U13)=0,"-",GETPIVOTDATA("Antal dyr",'K2 2018'!$A$7,"Fordeling af dyretyper",L$7,"Staldtype fordeling",$U13))</f>
        <v>-</v>
      </c>
      <c r="M13" s="104" t="str">
        <f>IF(GETPIVOTDATA("Antal dyr",'K2 2018'!$A$7,"Fordeling af dyretyper",M$7,"Staldtype fordeling",$U13)=0,"-",GETPIVOTDATA("Antal dyr",'K2 2018'!$A$7,"Fordeling af dyretyper",M$7,"Staldtype fordeling",$U13))</f>
        <v>-</v>
      </c>
      <c r="N13" s="104" t="str">
        <f>IF(GETPIVOTDATA("Antal dyr",'K2 2018'!$A$7,"Fordeling af dyretyper",N$7,"Staldtype fordeling",$U13)=0,"-",GETPIVOTDATA("Antal dyr",'K2 2018'!$A$7,"Fordeling af dyretyper",N$7,"Staldtype fordeling",$U13))</f>
        <v>-</v>
      </c>
      <c r="O13" s="104" t="str">
        <f>IF(GETPIVOTDATA("Antal dyr",'K2 2018'!$A$7,"Fordeling af dyretyper",O$7,"Staldtype fordeling",$U13)=0,"-",GETPIVOTDATA("Antal dyr",'K2 2018'!$A$7,"Fordeling af dyretyper",O$7,"Staldtype fordeling",$U13))</f>
        <v>-</v>
      </c>
      <c r="P13" s="104" t="str">
        <f>IF(GETPIVOTDATA("Antal dyr",'K2 2018'!$A$7,"Fordeling af dyretyper",P$7,"Staldtype fordeling",$U13)=0,"-",GETPIVOTDATA("Antal dyr",'K2 2018'!$A$7,"Fordeling af dyretyper",P$7,"Staldtype fordeling",$U13))</f>
        <v>-</v>
      </c>
      <c r="Q13" s="104" t="str">
        <f>IF(GETPIVOTDATA("Antal dyr",'K2 2018'!$A$7,"Fordeling af dyretyper",Q$7,"Staldtype fordeling",$U13)=0,"-",GETPIVOTDATA("Antal dyr",'K2 2018'!$A$7,"Fordeling af dyretyper",Q$7,"Staldtype fordeling",$U13))</f>
        <v>-</v>
      </c>
      <c r="R13" s="7" t="str">
        <f>IF(GETPIVOTDATA("Antal dyr",'K2 2018'!$A$7,"Fordeling af dyretyper",R$7,"Staldtype fordeling",$U13)=0,"-",GETPIVOTDATA("Antal dyr",'K2 2018'!$A$7,"Fordeling af dyretyper",R$7,"Staldtype fordeling",$U13))</f>
        <v>-</v>
      </c>
      <c r="S13" s="505"/>
      <c r="T13" s="505"/>
      <c r="U13" s="165" t="s">
        <v>640</v>
      </c>
      <c r="V13" s="19"/>
      <c r="W13" s="1686">
        <f>GETPIVOTDATA("Total udledning af metan (ton)",'K2 2018'!$A$21,"Staldtype fordeling","Løsdrift / boks/ Bur")</f>
        <v>103.14297544566448</v>
      </c>
      <c r="X13" s="1686">
        <f>GETPIVOTDATA("Sum af Total udledning af N2O  (ton)",'K3 2018'!$A$21,"Fordeling af staldtyper","Løsdrift / boks / bur")</f>
        <v>1.7123855507801429</v>
      </c>
      <c r="Y13" s="1688">
        <f t="shared" si="1"/>
        <v>0.10693946873014816</v>
      </c>
      <c r="Z13" s="514">
        <f>IFERROR(W13*'Grafer-klima-&gt;VÆLG GWP og NIR&lt;-'!$E$8+X13*'Grafer-klima-&gt;VÆLG GWP og NIR&lt;-'!$F$8," ")</f>
        <v>3088.8652802740944</v>
      </c>
    </row>
    <row r="14" spans="1:26" x14ac:dyDescent="0.2">
      <c r="C14" s="499" t="str">
        <f>IF(GETPIVOTDATA("Antal dyr",'K2 2018'!$A$7,"Fordeling af dyretyper",C$7,"Staldtype fordeling",$U14)=0,"-",GETPIVOTDATA("Antal dyr",'K2 2018'!$A$7,"Fordeling af dyretyper",C$7,"Staldtype fordeling",$U14))</f>
        <v>-</v>
      </c>
      <c r="D14" s="1680" t="str">
        <f>IF(GETPIVOTDATA("Antal dyr",'K2 2018'!$A$7,"Fordeling af dyretyper",D$7,"Staldtype fordeling",$U14)=0,"-",GETPIVOTDATA("Antal dyr",'K2 2018'!$A$7,"Fordeling af dyretyper",D$7,"Staldtype fordeling",$U14))</f>
        <v>-</v>
      </c>
      <c r="E14" s="104" t="str">
        <f>IF(GETPIVOTDATA("Antal dyr",'K2 2018'!$A$7,"Fordeling af dyretyper",E$7,"Staldtype fordeling",$U14)=0,"-",GETPIVOTDATA("Antal dyr",'K2 2018'!$A$7,"Fordeling af dyretyper",E$7,"Staldtype fordeling",$U14))</f>
        <v>-</v>
      </c>
      <c r="F14" s="104" t="str">
        <f>IF(GETPIVOTDATA("Antal dyr",'K2 2018'!$A$7,"Fordeling af dyretyper",F$7,"Staldtype fordeling",$U14)=0,"-",GETPIVOTDATA("Antal dyr",'K2 2018'!$A$7,"Fordeling af dyretyper",F$7,"Staldtype fordeling",$U14))</f>
        <v>-</v>
      </c>
      <c r="G14" s="104" t="str">
        <f>IF(GETPIVOTDATA("Antal dyr",'K2 2018'!$A$7,"Fordeling af dyretyper",G$7,"Staldtype fordeling",$U14)=0,"-",GETPIVOTDATA("Antal dyr",'K2 2018'!$A$7,"Fordeling af dyretyper",G$7,"Staldtype fordeling",$U14))</f>
        <v>-</v>
      </c>
      <c r="H14" s="104" t="str">
        <f>IF(GETPIVOTDATA("Antal dyr",'K2 2018'!$A$7,"Fordeling af dyretyper",H$7,"Staldtype fordeling",$U14)=0,"-",GETPIVOTDATA("Antal dyr",'K2 2018'!$A$7,"Fordeling af dyretyper",H$7,"Staldtype fordeling",$U14))</f>
        <v>-</v>
      </c>
      <c r="I14" s="104" t="str">
        <f>IF(GETPIVOTDATA("Antal dyr",'K2 2018'!$A$7,"Fordeling af dyretyper",I$7,"Staldtype fordeling",$U14)=0,"-",GETPIVOTDATA("Antal dyr",'K2 2018'!$A$7,"Fordeling af dyretyper",I$7,"Staldtype fordeling",$U14))</f>
        <v>-</v>
      </c>
      <c r="J14" s="104" t="str">
        <f>IF(GETPIVOTDATA("Antal dyr",'K2 2018'!$A$7,"Fordeling af dyretyper",J$7,"Staldtype fordeling",$U14)=0,"-",GETPIVOTDATA("Antal dyr",'K2 2018'!$A$7,"Fordeling af dyretyper",J$7,"Staldtype fordeling",$U14))</f>
        <v>-</v>
      </c>
      <c r="K14" s="104" t="str">
        <f>IF(GETPIVOTDATA("Antal dyr",'K2 2018'!$A$7,"Fordeling af dyretyper",K$7,"Staldtype fordeling",$U14)=0,"-",GETPIVOTDATA("Antal dyr",'K2 2018'!$A$7,"Fordeling af dyretyper",K$7,"Staldtype fordeling",$U14))</f>
        <v>-</v>
      </c>
      <c r="L14" s="104" t="str">
        <f>IF(GETPIVOTDATA("Antal dyr",'K2 2018'!$A$7,"Fordeling af dyretyper",L$7,"Staldtype fordeling",$U14)=0,"-",GETPIVOTDATA("Antal dyr",'K2 2018'!$A$7,"Fordeling af dyretyper",L$7,"Staldtype fordeling",$U14))</f>
        <v>-</v>
      </c>
      <c r="M14" s="104" t="str">
        <f>IF(GETPIVOTDATA("Antal dyr",'K2 2018'!$A$7,"Fordeling af dyretyper",M$7,"Staldtype fordeling",$U14)=0,"-",GETPIVOTDATA("Antal dyr",'K2 2018'!$A$7,"Fordeling af dyretyper",M$7,"Staldtype fordeling",$U14))</f>
        <v>-</v>
      </c>
      <c r="N14" s="104" t="str">
        <f>IF(GETPIVOTDATA("Antal dyr",'K2 2018'!$A$7,"Fordeling af dyretyper",N$7,"Staldtype fordeling",$U14)=0,"-",GETPIVOTDATA("Antal dyr",'K2 2018'!$A$7,"Fordeling af dyretyper",N$7,"Staldtype fordeling",$U14))</f>
        <v>-</v>
      </c>
      <c r="O14" s="104" t="str">
        <f>IF(GETPIVOTDATA("Antal dyr",'K2 2018'!$A$7,"Fordeling af dyretyper",O$7,"Staldtype fordeling",$U14)=0,"-",GETPIVOTDATA("Antal dyr",'K2 2018'!$A$7,"Fordeling af dyretyper",O$7,"Staldtype fordeling",$U14))</f>
        <v>-</v>
      </c>
      <c r="P14" s="104" t="str">
        <f>IF(GETPIVOTDATA("Antal dyr",'K2 2018'!$A$7,"Fordeling af dyretyper",P$7,"Staldtype fordeling",$U14)=0,"-",GETPIVOTDATA("Antal dyr",'K2 2018'!$A$7,"Fordeling af dyretyper",P$7,"Staldtype fordeling",$U14))</f>
        <v>-</v>
      </c>
      <c r="Q14" s="104" t="str">
        <f>IF(GETPIVOTDATA("Antal dyr",'K2 2018'!$A$7,"Fordeling af dyretyper",Q$7,"Staldtype fordeling",$U14)=0,"-",GETPIVOTDATA("Antal dyr",'K2 2018'!$A$7,"Fordeling af dyretyper",Q$7,"Staldtype fordeling",$U14))</f>
        <v>-</v>
      </c>
      <c r="R14" s="7" t="str">
        <f>IF(GETPIVOTDATA("Antal dyr",'K2 2018'!$A$7,"Fordeling af dyretyper",R$7,"Staldtype fordeling",$U14)=0,"-",GETPIVOTDATA("Antal dyr",'K2 2018'!$A$7,"Fordeling af dyretyper",R$7,"Staldtype fordeling",$U14))</f>
        <v>-</v>
      </c>
      <c r="S14" s="506"/>
      <c r="T14" s="506"/>
      <c r="U14" s="165" t="s">
        <v>353</v>
      </c>
      <c r="V14" s="515"/>
      <c r="W14" s="1686">
        <f>GETPIVOTDATA("Total udledning af metan (ton)",'K2 2018'!$A$21,"Staldtype fordeling","Løsdrift / spalter")</f>
        <v>0</v>
      </c>
      <c r="X14" s="1686">
        <f>GETPIVOTDATA("Sum af Total udledning af N2O  (ton)",'K3 2018'!$A$21,"Fordeling af staldtyper","Løsdrift / spalter")</f>
        <v>0</v>
      </c>
      <c r="Y14" s="4217" t="str">
        <f>IFERROR(Z14/SUM(C14:R14),"0")</f>
        <v>0</v>
      </c>
      <c r="Z14" s="514">
        <f>IFERROR(W14*'Grafer-klima-&gt;VÆLG GWP og NIR&lt;-'!$E$8+X14*'Grafer-klima-&gt;VÆLG GWP og NIR&lt;-'!$F$8," ")</f>
        <v>0</v>
      </c>
    </row>
    <row r="15" spans="1:26" x14ac:dyDescent="0.2">
      <c r="C15" s="499">
        <f>IF(GETPIVOTDATA("Antal dyr",'K2 2018'!$A$7,"Fordeling af dyretyper",C$7,"Staldtype fordeling",$U15)=0,"-",GETPIVOTDATA("Antal dyr",'K2 2018'!$A$7,"Fordeling af dyretyper",C$7,"Staldtype fordeling",$U15))</f>
        <v>100</v>
      </c>
      <c r="D15" s="1680" t="str">
        <f>IF(GETPIVOTDATA("Antal dyr",'K2 2018'!$A$7,"Fordeling af dyretyper",D$7,"Staldtype fordeling",$U15)=0,"-",GETPIVOTDATA("Antal dyr",'K2 2018'!$A$7,"Fordeling af dyretyper",D$7,"Staldtype fordeling",$U15))</f>
        <v>-</v>
      </c>
      <c r="E15" s="104" t="str">
        <f>IF(GETPIVOTDATA("Antal dyr",'K2 2018'!$A$7,"Fordeling af dyretyper",E$7,"Staldtype fordeling",$U15)=0,"-",GETPIVOTDATA("Antal dyr",'K2 2018'!$A$7,"Fordeling af dyretyper",E$7,"Staldtype fordeling",$U15))</f>
        <v>-</v>
      </c>
      <c r="F15" s="104" t="str">
        <f>IF(GETPIVOTDATA("Antal dyr",'K2 2018'!$A$7,"Fordeling af dyretyper",F$7,"Staldtype fordeling",$U15)=0,"-",GETPIVOTDATA("Antal dyr",'K2 2018'!$A$7,"Fordeling af dyretyper",F$7,"Staldtype fordeling",$U15))</f>
        <v>-</v>
      </c>
      <c r="G15" s="104" t="str">
        <f>IF(GETPIVOTDATA("Antal dyr",'K2 2018'!$A$7,"Fordeling af dyretyper",G$7,"Staldtype fordeling",$U15)=0,"-",GETPIVOTDATA("Antal dyr",'K2 2018'!$A$7,"Fordeling af dyretyper",G$7,"Staldtype fordeling",$U15))</f>
        <v>-</v>
      </c>
      <c r="H15" s="104" t="str">
        <f>IF(GETPIVOTDATA("Antal dyr",'K2 2018'!$A$7,"Fordeling af dyretyper",H$7,"Staldtype fordeling",$U15)=0,"-",GETPIVOTDATA("Antal dyr",'K2 2018'!$A$7,"Fordeling af dyretyper",H$7,"Staldtype fordeling",$U15))</f>
        <v>-</v>
      </c>
      <c r="I15" s="104" t="str">
        <f>IF(GETPIVOTDATA("Antal dyr",'K2 2018'!$A$7,"Fordeling af dyretyper",I$7,"Staldtype fordeling",$U15)=0,"-",GETPIVOTDATA("Antal dyr",'K2 2018'!$A$7,"Fordeling af dyretyper",I$7,"Staldtype fordeling",$U15))</f>
        <v>-</v>
      </c>
      <c r="J15" s="104" t="str">
        <f>IF(GETPIVOTDATA("Antal dyr",'K2 2018'!$A$7,"Fordeling af dyretyper",J$7,"Staldtype fordeling",$U15)=0,"-",GETPIVOTDATA("Antal dyr",'K2 2018'!$A$7,"Fordeling af dyretyper",J$7,"Staldtype fordeling",$U15))</f>
        <v>-</v>
      </c>
      <c r="K15" s="104" t="str">
        <f>IF(GETPIVOTDATA("Antal dyr",'K2 2018'!$A$7,"Fordeling af dyretyper",K$7,"Staldtype fordeling",$U15)=0,"-",GETPIVOTDATA("Antal dyr",'K2 2018'!$A$7,"Fordeling af dyretyper",K$7,"Staldtype fordeling",$U15))</f>
        <v>-</v>
      </c>
      <c r="L15" s="104" t="str">
        <f>IF(GETPIVOTDATA("Antal dyr",'K2 2018'!$A$7,"Fordeling af dyretyper",L$7,"Staldtype fordeling",$U15)=0,"-",GETPIVOTDATA("Antal dyr",'K2 2018'!$A$7,"Fordeling af dyretyper",L$7,"Staldtype fordeling",$U15))</f>
        <v>-</v>
      </c>
      <c r="M15" s="104" t="str">
        <f>IF(GETPIVOTDATA("Antal dyr",'K2 2018'!$A$7,"Fordeling af dyretyper",M$7,"Staldtype fordeling",$U15)=0,"-",GETPIVOTDATA("Antal dyr",'K2 2018'!$A$7,"Fordeling af dyretyper",M$7,"Staldtype fordeling",$U15))</f>
        <v>-</v>
      </c>
      <c r="N15" s="104" t="str">
        <f>IF(GETPIVOTDATA("Antal dyr",'K2 2018'!$A$7,"Fordeling af dyretyper",N$7,"Staldtype fordeling",$U15)=0,"-",GETPIVOTDATA("Antal dyr",'K2 2018'!$A$7,"Fordeling af dyretyper",N$7,"Staldtype fordeling",$U15))</f>
        <v>-</v>
      </c>
      <c r="O15" s="104" t="str">
        <f>IF(GETPIVOTDATA("Antal dyr",'K2 2018'!$A$7,"Fordeling af dyretyper",O$7,"Staldtype fordeling",$U15)=0,"-",GETPIVOTDATA("Antal dyr",'K2 2018'!$A$7,"Fordeling af dyretyper",O$7,"Staldtype fordeling",$U15))</f>
        <v>-</v>
      </c>
      <c r="P15" s="104" t="str">
        <f>IF(GETPIVOTDATA("Antal dyr",'K2 2018'!$A$7,"Fordeling af dyretyper",P$7,"Staldtype fordeling",$U15)=0,"-",GETPIVOTDATA("Antal dyr",'K2 2018'!$A$7,"Fordeling af dyretyper",P$7,"Staldtype fordeling",$U15))</f>
        <v>-</v>
      </c>
      <c r="Q15" s="104">
        <f>IF(GETPIVOTDATA("Antal dyr",'K2 2018'!$A$7,"Fordeling af dyretyper",Q$7,"Staldtype fordeling",$U15)=0,"-",GETPIVOTDATA("Antal dyr",'K2 2018'!$A$7,"Fordeling af dyretyper",Q$7,"Staldtype fordeling",$U15))</f>
        <v>188.07</v>
      </c>
      <c r="R15" s="7" t="str">
        <f>IF(GETPIVOTDATA("Antal dyr",'K2 2018'!$A$7,"Fordeling af dyretyper",R$7,"Staldtype fordeling",$U15)=0,"-",GETPIVOTDATA("Antal dyr",'K2 2018'!$A$7,"Fordeling af dyretyper",R$7,"Staldtype fordeling",$U15))</f>
        <v>-</v>
      </c>
      <c r="S15" s="506"/>
      <c r="T15" s="506"/>
      <c r="U15" s="165" t="s">
        <v>354</v>
      </c>
      <c r="V15" s="515"/>
      <c r="W15" s="1686">
        <f>GETPIVOTDATA("Total udledning af metan (ton)",'K2 2018'!$A$21,"Staldtype fordeling","Sengestald")</f>
        <v>8.8187212108799997</v>
      </c>
      <c r="X15" s="1686">
        <f>GETPIVOTDATA("Sum af Total udledning af N2O  (ton)",'K3 2018'!$A$21,"Fordeling af staldtyper","Sengestald")</f>
        <v>0.33386404589999996</v>
      </c>
      <c r="Y15" s="1688">
        <f t="shared" si="1"/>
        <v>1.1107005795473324</v>
      </c>
      <c r="Z15" s="514">
        <f>IFERROR(W15*'Grafer-klima-&gt;VÆLG GWP og NIR&lt;-'!$E$8+X15*'Grafer-klima-&gt;VÆLG GWP og NIR&lt;-'!$F$8," ")</f>
        <v>319.9595159502</v>
      </c>
    </row>
    <row r="16" spans="1:26" x14ac:dyDescent="0.2">
      <c r="C16" s="6"/>
      <c r="D16" s="104"/>
      <c r="E16" s="104"/>
      <c r="F16" s="104"/>
      <c r="G16" s="104"/>
      <c r="H16" s="104"/>
      <c r="I16" s="104"/>
      <c r="J16" s="104"/>
      <c r="K16" s="104"/>
      <c r="L16" s="104"/>
      <c r="M16" s="104"/>
      <c r="N16" s="104"/>
      <c r="O16" s="104"/>
      <c r="P16" s="104"/>
      <c r="Q16" s="104"/>
      <c r="R16" s="7"/>
      <c r="S16" s="1681">
        <v>0</v>
      </c>
      <c r="T16" s="507"/>
      <c r="U16" s="168" t="s">
        <v>268</v>
      </c>
      <c r="V16" s="515"/>
      <c r="W16" s="1689" t="str">
        <f>'K2a 2018'!I8</f>
        <v>NA</v>
      </c>
      <c r="X16" s="1688"/>
      <c r="Y16" s="1688"/>
      <c r="Z16" s="514" t="str">
        <f>IFERROR(W16*'Grafer-klima-&gt;VÆLG GWP og NIR&lt;-'!$E$8+X16*'Grafer-klima-&gt;VÆLG GWP og NIR&lt;-'!$F$8," ")</f>
        <v xml:space="preserve"> </v>
      </c>
    </row>
    <row r="17" spans="3:26" ht="15" thickBot="1" x14ac:dyDescent="0.25">
      <c r="C17" s="508"/>
      <c r="D17" s="509"/>
      <c r="E17" s="509"/>
      <c r="F17" s="509"/>
      <c r="G17" s="509"/>
      <c r="H17" s="509"/>
      <c r="I17" s="509"/>
      <c r="J17" s="509"/>
      <c r="K17" s="509"/>
      <c r="L17" s="509"/>
      <c r="M17" s="509"/>
      <c r="N17" s="509"/>
      <c r="O17" s="509"/>
      <c r="P17" s="509"/>
      <c r="Q17" s="509"/>
      <c r="R17" s="510"/>
      <c r="S17" s="1682">
        <v>0</v>
      </c>
      <c r="T17" s="511"/>
      <c r="U17" s="169" t="s">
        <v>269</v>
      </c>
      <c r="V17" s="518"/>
      <c r="W17" s="1689" t="str">
        <f>'K2a 2018'!I9</f>
        <v>NA</v>
      </c>
      <c r="X17" s="1690"/>
      <c r="Y17" s="1690"/>
      <c r="Z17" s="520" t="str">
        <f>IFERROR(W17*'Grafer-klima-&gt;VÆLG GWP og NIR&lt;-'!$E$8+X17*'Grafer-klima-&gt;VÆLG GWP og NIR&lt;-'!$F$8," ")</f>
        <v xml:space="preserve"> </v>
      </c>
    </row>
    <row r="18" spans="3:26" ht="15" thickBot="1" x14ac:dyDescent="0.25">
      <c r="C18" s="465">
        <f>SUM(C9:C15)</f>
        <v>626.69000000000005</v>
      </c>
      <c r="D18" s="466">
        <f t="shared" ref="D18:P18" si="2">SUM(D9:D15)</f>
        <v>10.94</v>
      </c>
      <c r="E18" s="466">
        <f t="shared" si="2"/>
        <v>0</v>
      </c>
      <c r="F18" s="466">
        <f t="shared" si="2"/>
        <v>0</v>
      </c>
      <c r="G18" s="466">
        <f t="shared" si="2"/>
        <v>403.89</v>
      </c>
      <c r="H18" s="466">
        <f t="shared" si="2"/>
        <v>318.72999999999996</v>
      </c>
      <c r="I18" s="466">
        <f t="shared" si="2"/>
        <v>0</v>
      </c>
      <c r="J18" s="466">
        <f t="shared" si="2"/>
        <v>570.11999999999989</v>
      </c>
      <c r="K18" s="466">
        <f t="shared" si="2"/>
        <v>28565.51</v>
      </c>
      <c r="L18" s="466">
        <f t="shared" si="2"/>
        <v>27.54</v>
      </c>
      <c r="M18" s="466">
        <f t="shared" si="2"/>
        <v>493.31</v>
      </c>
      <c r="N18" s="466">
        <f t="shared" si="2"/>
        <v>553.46</v>
      </c>
      <c r="O18" s="466">
        <f t="shared" si="2"/>
        <v>27.54</v>
      </c>
      <c r="P18" s="466">
        <f t="shared" si="2"/>
        <v>175.85</v>
      </c>
      <c r="Q18" s="466">
        <f>SUM(Q9:Q15)</f>
        <v>188.07</v>
      </c>
      <c r="R18" s="467">
        <f>SUM(R9:R15)</f>
        <v>0</v>
      </c>
      <c r="S18" s="468">
        <f>SUM(S16:S17)</f>
        <v>0</v>
      </c>
      <c r="T18" s="468"/>
      <c r="U18" s="526" t="s">
        <v>228</v>
      </c>
      <c r="V18" s="524">
        <f>SUM(V8:V17)</f>
        <v>0</v>
      </c>
      <c r="W18" s="524">
        <f>SUM(W8:W17)</f>
        <v>298.31467474929082</v>
      </c>
      <c r="X18" s="524">
        <f>SUM(X8:X17)</f>
        <v>3.5306618611010996</v>
      </c>
      <c r="Y18" s="525"/>
      <c r="Z18" s="527">
        <f>SUM(Z8:Z17)</f>
        <v>8510.0041033403995</v>
      </c>
    </row>
    <row r="19" spans="3:26" ht="18.75" x14ac:dyDescent="0.35">
      <c r="C19" s="153" t="s">
        <v>641</v>
      </c>
      <c r="D19" s="512"/>
      <c r="E19" s="512"/>
      <c r="F19" s="512"/>
      <c r="G19" s="512"/>
      <c r="H19" s="512"/>
      <c r="I19" s="512"/>
      <c r="J19" s="512"/>
      <c r="K19" s="512"/>
      <c r="L19" s="512"/>
      <c r="M19" s="512"/>
      <c r="N19" s="512"/>
      <c r="O19" s="512"/>
      <c r="P19" s="512"/>
      <c r="Q19" s="512"/>
      <c r="R19" s="512"/>
      <c r="S19" s="512"/>
      <c r="T19" s="512"/>
      <c r="U19" s="129"/>
    </row>
    <row r="20" spans="3:26" x14ac:dyDescent="0.2">
      <c r="U20" s="129"/>
      <c r="X20" s="170"/>
    </row>
    <row r="21" spans="3:26" x14ac:dyDescent="0.2">
      <c r="U21" s="129"/>
    </row>
    <row r="22" spans="3:26" x14ac:dyDescent="0.2">
      <c r="U22" s="129"/>
    </row>
    <row r="23" spans="3:26" x14ac:dyDescent="0.2">
      <c r="U23" s="129"/>
    </row>
    <row r="24" spans="3:26" x14ac:dyDescent="0.2">
      <c r="U24" s="129"/>
    </row>
    <row r="25" spans="3:26" x14ac:dyDescent="0.2">
      <c r="U25" s="129"/>
    </row>
    <row r="26" spans="3:26" x14ac:dyDescent="0.2">
      <c r="U26" s="129"/>
    </row>
    <row r="27" spans="3:26" x14ac:dyDescent="0.2">
      <c r="U27" s="129"/>
    </row>
    <row r="28" spans="3:26" x14ac:dyDescent="0.2">
      <c r="U28" s="129"/>
    </row>
    <row r="29" spans="3:26" x14ac:dyDescent="0.2">
      <c r="U29" s="129"/>
    </row>
    <row r="30" spans="3:26" x14ac:dyDescent="0.2">
      <c r="U30" s="129"/>
    </row>
    <row r="31" spans="3:26" x14ac:dyDescent="0.2">
      <c r="U31" s="129"/>
    </row>
    <row r="32" spans="3:26" x14ac:dyDescent="0.2">
      <c r="U32" s="129"/>
    </row>
    <row r="33" spans="21:21" x14ac:dyDescent="0.2">
      <c r="U33" s="129"/>
    </row>
    <row r="34" spans="21:21" x14ac:dyDescent="0.2">
      <c r="U34" s="129"/>
    </row>
    <row r="35" spans="21:21" x14ac:dyDescent="0.2">
      <c r="U35" s="129"/>
    </row>
    <row r="36" spans="21:21" x14ac:dyDescent="0.2">
      <c r="U36" s="129"/>
    </row>
    <row r="37" spans="21:21" x14ac:dyDescent="0.2">
      <c r="U37" s="129"/>
    </row>
    <row r="38" spans="21:21" x14ac:dyDescent="0.2">
      <c r="U38" s="129"/>
    </row>
    <row r="39" spans="21:21" x14ac:dyDescent="0.2">
      <c r="U39" s="129"/>
    </row>
    <row r="40" spans="21:21" x14ac:dyDescent="0.2">
      <c r="U40" s="129"/>
    </row>
    <row r="41" spans="21:21" x14ac:dyDescent="0.2">
      <c r="U41" s="129"/>
    </row>
    <row r="42" spans="21:21" x14ac:dyDescent="0.2">
      <c r="U42" s="129"/>
    </row>
    <row r="43" spans="21:21" x14ac:dyDescent="0.2">
      <c r="U43" s="129"/>
    </row>
    <row r="44" spans="21:21" x14ac:dyDescent="0.2">
      <c r="U44" s="129"/>
    </row>
    <row r="45" spans="21:21" x14ac:dyDescent="0.2">
      <c r="U45" s="129"/>
    </row>
    <row r="46" spans="21:21" x14ac:dyDescent="0.2">
      <c r="U46" s="129"/>
    </row>
    <row r="47" spans="21:21" x14ac:dyDescent="0.2">
      <c r="U47" s="129"/>
    </row>
    <row r="48" spans="21:21" x14ac:dyDescent="0.2">
      <c r="U48" s="129"/>
    </row>
    <row r="49" spans="21:21" x14ac:dyDescent="0.2">
      <c r="U49" s="129"/>
    </row>
    <row r="50" spans="21:21" x14ac:dyDescent="0.2">
      <c r="U50" s="129"/>
    </row>
    <row r="51" spans="21:21" x14ac:dyDescent="0.2">
      <c r="U51" s="129"/>
    </row>
    <row r="52" spans="21:21" x14ac:dyDescent="0.2">
      <c r="U52" s="129"/>
    </row>
    <row r="53" spans="21:21" x14ac:dyDescent="0.2">
      <c r="U53" s="129"/>
    </row>
    <row r="54" spans="21:21" x14ac:dyDescent="0.2">
      <c r="U54" s="129"/>
    </row>
    <row r="55" spans="21:21" x14ac:dyDescent="0.2">
      <c r="U55" s="129"/>
    </row>
    <row r="56" spans="21:21" x14ac:dyDescent="0.2">
      <c r="U56" s="129"/>
    </row>
    <row r="57" spans="21:21" x14ac:dyDescent="0.2">
      <c r="U57" s="129"/>
    </row>
    <row r="58" spans="21:21" x14ac:dyDescent="0.2">
      <c r="U58" s="129"/>
    </row>
    <row r="59" spans="21:21" x14ac:dyDescent="0.2">
      <c r="U59" s="129"/>
    </row>
    <row r="60" spans="21:21" x14ac:dyDescent="0.2">
      <c r="U60" s="129"/>
    </row>
    <row r="61" spans="21:21" x14ac:dyDescent="0.2">
      <c r="U61" s="129"/>
    </row>
    <row r="62" spans="21:21" x14ac:dyDescent="0.2">
      <c r="U62" s="129"/>
    </row>
    <row r="63" spans="21:21" x14ac:dyDescent="0.2">
      <c r="U63" s="129"/>
    </row>
    <row r="64" spans="21:21" x14ac:dyDescent="0.2">
      <c r="U64" s="129"/>
    </row>
    <row r="65" spans="21:21" x14ac:dyDescent="0.2">
      <c r="U65" s="129"/>
    </row>
    <row r="66" spans="21:21" x14ac:dyDescent="0.2">
      <c r="U66" s="129"/>
    </row>
    <row r="67" spans="21:21" x14ac:dyDescent="0.2">
      <c r="U67" s="129"/>
    </row>
    <row r="68" spans="21:21" x14ac:dyDescent="0.2">
      <c r="U68" s="129"/>
    </row>
    <row r="69" spans="21:21" x14ac:dyDescent="0.2">
      <c r="U69" s="129"/>
    </row>
    <row r="70" spans="21:21" x14ac:dyDescent="0.2">
      <c r="U70" s="129"/>
    </row>
    <row r="71" spans="21:21" x14ac:dyDescent="0.2">
      <c r="U71" s="129"/>
    </row>
    <row r="72" spans="21:21" x14ac:dyDescent="0.2">
      <c r="U72" s="129"/>
    </row>
    <row r="73" spans="21:21" x14ac:dyDescent="0.2">
      <c r="U73" s="129"/>
    </row>
    <row r="74" spans="21:21" x14ac:dyDescent="0.2">
      <c r="U74" s="129"/>
    </row>
    <row r="75" spans="21:21" x14ac:dyDescent="0.2">
      <c r="U75" s="129"/>
    </row>
    <row r="76" spans="21:21" x14ac:dyDescent="0.2">
      <c r="U76" s="129"/>
    </row>
    <row r="77" spans="21:21" x14ac:dyDescent="0.2">
      <c r="U77" s="129"/>
    </row>
    <row r="78" spans="21:21" x14ac:dyDescent="0.2">
      <c r="U78" s="129"/>
    </row>
    <row r="79" spans="21:21" x14ac:dyDescent="0.2">
      <c r="U79" s="129"/>
    </row>
    <row r="80" spans="21:21" x14ac:dyDescent="0.2">
      <c r="U80" s="129"/>
    </row>
    <row r="81" spans="21:21" x14ac:dyDescent="0.2">
      <c r="U81" s="129"/>
    </row>
    <row r="82" spans="21:21" x14ac:dyDescent="0.2">
      <c r="U82" s="129"/>
    </row>
    <row r="83" spans="21:21" x14ac:dyDescent="0.2">
      <c r="U83" s="129"/>
    </row>
    <row r="84" spans="21:21" x14ac:dyDescent="0.2">
      <c r="U84" s="129"/>
    </row>
    <row r="85" spans="21:21" x14ac:dyDescent="0.2">
      <c r="U85" s="129"/>
    </row>
    <row r="86" spans="21:21" x14ac:dyDescent="0.2">
      <c r="U86" s="129"/>
    </row>
    <row r="87" spans="21:21" x14ac:dyDescent="0.2">
      <c r="U87" s="129"/>
    </row>
    <row r="88" spans="21:21" x14ac:dyDescent="0.2">
      <c r="U88" s="129"/>
    </row>
    <row r="89" spans="21:21" x14ac:dyDescent="0.2">
      <c r="U89" s="129"/>
    </row>
    <row r="90" spans="21:21" x14ac:dyDescent="0.2">
      <c r="U90" s="129"/>
    </row>
    <row r="91" spans="21:21" x14ac:dyDescent="0.2">
      <c r="U91" s="129"/>
    </row>
    <row r="92" spans="21:21" x14ac:dyDescent="0.2">
      <c r="U92" s="129"/>
    </row>
    <row r="93" spans="21:21" x14ac:dyDescent="0.2">
      <c r="U93" s="129"/>
    </row>
    <row r="94" spans="21:21" x14ac:dyDescent="0.2">
      <c r="U94" s="129"/>
    </row>
    <row r="95" spans="21:21" x14ac:dyDescent="0.2">
      <c r="U95" s="129"/>
    </row>
    <row r="96" spans="21:21" x14ac:dyDescent="0.2">
      <c r="U96" s="129"/>
    </row>
    <row r="97" spans="21:21" x14ac:dyDescent="0.2">
      <c r="U97" s="129"/>
    </row>
    <row r="98" spans="21:21" x14ac:dyDescent="0.2">
      <c r="U98" s="129"/>
    </row>
    <row r="99" spans="21:21" x14ac:dyDescent="0.2">
      <c r="U99" s="129"/>
    </row>
    <row r="100" spans="21:21" x14ac:dyDescent="0.2">
      <c r="U100" s="129"/>
    </row>
    <row r="101" spans="21:21" x14ac:dyDescent="0.2">
      <c r="U101" s="129"/>
    </row>
    <row r="102" spans="21:21" x14ac:dyDescent="0.2">
      <c r="U102" s="129"/>
    </row>
    <row r="103" spans="21:21" x14ac:dyDescent="0.2">
      <c r="U103" s="129"/>
    </row>
    <row r="104" spans="21:21" x14ac:dyDescent="0.2">
      <c r="U104" s="129"/>
    </row>
    <row r="105" spans="21:21" x14ac:dyDescent="0.2">
      <c r="U105" s="129"/>
    </row>
    <row r="106" spans="21:21" x14ac:dyDescent="0.2">
      <c r="U106" s="129"/>
    </row>
    <row r="107" spans="21:21" x14ac:dyDescent="0.2">
      <c r="U107" s="129"/>
    </row>
    <row r="108" spans="21:21" x14ac:dyDescent="0.2">
      <c r="U108" s="129"/>
    </row>
    <row r="109" spans="21:21" x14ac:dyDescent="0.2">
      <c r="U109" s="129"/>
    </row>
    <row r="110" spans="21:21" x14ac:dyDescent="0.2">
      <c r="U110" s="129"/>
    </row>
    <row r="111" spans="21:21" x14ac:dyDescent="0.2">
      <c r="U111" s="129"/>
    </row>
    <row r="112" spans="21:21" x14ac:dyDescent="0.2">
      <c r="U112" s="129"/>
    </row>
    <row r="113" spans="21:21" x14ac:dyDescent="0.2">
      <c r="U113" s="129"/>
    </row>
    <row r="114" spans="21:21" x14ac:dyDescent="0.2">
      <c r="U114" s="129"/>
    </row>
    <row r="115" spans="21:21" x14ac:dyDescent="0.2">
      <c r="U115" s="129"/>
    </row>
    <row r="116" spans="21:21" x14ac:dyDescent="0.2">
      <c r="U116" s="129"/>
    </row>
    <row r="117" spans="21:21" x14ac:dyDescent="0.2">
      <c r="U117" s="129"/>
    </row>
    <row r="118" spans="21:21" x14ac:dyDescent="0.2">
      <c r="U118" s="129"/>
    </row>
    <row r="119" spans="21:21" x14ac:dyDescent="0.2">
      <c r="U119" s="129"/>
    </row>
    <row r="120" spans="21:21" x14ac:dyDescent="0.2">
      <c r="U120" s="129"/>
    </row>
    <row r="121" spans="21:21" x14ac:dyDescent="0.2">
      <c r="U121" s="129"/>
    </row>
    <row r="122" spans="21:21" x14ac:dyDescent="0.2">
      <c r="U122" s="129"/>
    </row>
    <row r="123" spans="21:21" x14ac:dyDescent="0.2">
      <c r="U123" s="129"/>
    </row>
    <row r="124" spans="21:21" x14ac:dyDescent="0.2">
      <c r="U124" s="129"/>
    </row>
    <row r="125" spans="21:21" x14ac:dyDescent="0.2">
      <c r="U125" s="129"/>
    </row>
    <row r="126" spans="21:21" x14ac:dyDescent="0.2">
      <c r="U126" s="129"/>
    </row>
    <row r="127" spans="21:21" x14ac:dyDescent="0.2">
      <c r="U127" s="129"/>
    </row>
    <row r="128" spans="21:21" x14ac:dyDescent="0.2">
      <c r="U128" s="129"/>
    </row>
    <row r="129" spans="21:21" x14ac:dyDescent="0.2">
      <c r="U129" s="129"/>
    </row>
    <row r="130" spans="21:21" x14ac:dyDescent="0.2">
      <c r="U130" s="129"/>
    </row>
    <row r="131" spans="21:21" x14ac:dyDescent="0.2">
      <c r="U131" s="129"/>
    </row>
    <row r="132" spans="21:21" x14ac:dyDescent="0.2">
      <c r="U132" s="129"/>
    </row>
    <row r="133" spans="21:21" x14ac:dyDescent="0.2">
      <c r="U133" s="129"/>
    </row>
    <row r="134" spans="21:21" x14ac:dyDescent="0.2">
      <c r="U134" s="129"/>
    </row>
    <row r="135" spans="21:21" x14ac:dyDescent="0.2">
      <c r="U135" s="129"/>
    </row>
    <row r="136" spans="21:21" x14ac:dyDescent="0.2">
      <c r="U136" s="129"/>
    </row>
    <row r="137" spans="21:21" x14ac:dyDescent="0.2">
      <c r="U137" s="129"/>
    </row>
    <row r="138" spans="21:21" x14ac:dyDescent="0.2">
      <c r="U138" s="129"/>
    </row>
    <row r="139" spans="21:21" x14ac:dyDescent="0.2">
      <c r="U139" s="129"/>
    </row>
    <row r="140" spans="21:21" x14ac:dyDescent="0.2">
      <c r="U140" s="129"/>
    </row>
    <row r="141" spans="21:21" x14ac:dyDescent="0.2">
      <c r="U141" s="129"/>
    </row>
    <row r="142" spans="21:21" x14ac:dyDescent="0.2">
      <c r="U142" s="129"/>
    </row>
    <row r="143" spans="21:21" x14ac:dyDescent="0.2">
      <c r="U143" s="129"/>
    </row>
    <row r="144" spans="21:21" x14ac:dyDescent="0.2">
      <c r="U144" s="129"/>
    </row>
    <row r="145" spans="21:21" x14ac:dyDescent="0.2">
      <c r="U145" s="129"/>
    </row>
    <row r="146" spans="21:21" x14ac:dyDescent="0.2">
      <c r="U146" s="129"/>
    </row>
    <row r="147" spans="21:21" x14ac:dyDescent="0.2">
      <c r="U147" s="129"/>
    </row>
    <row r="148" spans="21:21" x14ac:dyDescent="0.2">
      <c r="U148" s="129"/>
    </row>
    <row r="149" spans="21:21" x14ac:dyDescent="0.2">
      <c r="U149" s="129"/>
    </row>
    <row r="150" spans="21:21" x14ac:dyDescent="0.2">
      <c r="U150" s="129"/>
    </row>
    <row r="151" spans="21:21" x14ac:dyDescent="0.2">
      <c r="U151" s="129"/>
    </row>
    <row r="152" spans="21:21" x14ac:dyDescent="0.2">
      <c r="U152" s="129"/>
    </row>
    <row r="153" spans="21:21" x14ac:dyDescent="0.2">
      <c r="U153" s="129"/>
    </row>
    <row r="154" spans="21:21" x14ac:dyDescent="0.2">
      <c r="U154" s="129"/>
    </row>
    <row r="155" spans="21:21" x14ac:dyDescent="0.2">
      <c r="U155" s="129"/>
    </row>
    <row r="156" spans="21:21" x14ac:dyDescent="0.2">
      <c r="U156" s="129"/>
    </row>
    <row r="157" spans="21:21" x14ac:dyDescent="0.2">
      <c r="U157" s="129"/>
    </row>
    <row r="158" spans="21:21" x14ac:dyDescent="0.2">
      <c r="U158" s="129"/>
    </row>
    <row r="159" spans="21:21" x14ac:dyDescent="0.2">
      <c r="U159" s="129"/>
    </row>
    <row r="160" spans="21:21" x14ac:dyDescent="0.2">
      <c r="U160" s="129"/>
    </row>
    <row r="161" spans="21:21" x14ac:dyDescent="0.2">
      <c r="U161" s="129"/>
    </row>
    <row r="162" spans="21:21" x14ac:dyDescent="0.2">
      <c r="U162" s="129"/>
    </row>
    <row r="163" spans="21:21" x14ac:dyDescent="0.2">
      <c r="U163" s="129"/>
    </row>
    <row r="164" spans="21:21" x14ac:dyDescent="0.2">
      <c r="U164" s="129"/>
    </row>
    <row r="165" spans="21:21" x14ac:dyDescent="0.2">
      <c r="U165" s="129"/>
    </row>
    <row r="166" spans="21:21" x14ac:dyDescent="0.2">
      <c r="U166" s="129"/>
    </row>
    <row r="167" spans="21:21" x14ac:dyDescent="0.2">
      <c r="U167" s="129"/>
    </row>
    <row r="168" spans="21:21" x14ac:dyDescent="0.2">
      <c r="U168" s="129"/>
    </row>
    <row r="169" spans="21:21" x14ac:dyDescent="0.2">
      <c r="U169" s="129"/>
    </row>
    <row r="170" spans="21:21" x14ac:dyDescent="0.2">
      <c r="U170" s="129"/>
    </row>
    <row r="171" spans="21:21" x14ac:dyDescent="0.2">
      <c r="U171" s="129"/>
    </row>
    <row r="172" spans="21:21" x14ac:dyDescent="0.2">
      <c r="U172" s="129"/>
    </row>
    <row r="173" spans="21:21" x14ac:dyDescent="0.2">
      <c r="U173" s="129"/>
    </row>
    <row r="174" spans="21:21" x14ac:dyDescent="0.2">
      <c r="U174" s="129"/>
    </row>
    <row r="175" spans="21:21" x14ac:dyDescent="0.2">
      <c r="U175" s="129"/>
    </row>
    <row r="176" spans="21:21" x14ac:dyDescent="0.2">
      <c r="U176" s="129"/>
    </row>
    <row r="177" spans="1:26" ht="15" thickBot="1" x14ac:dyDescent="0.25">
      <c r="U177" s="129"/>
    </row>
    <row r="178" spans="1:26" ht="15" thickBot="1" x14ac:dyDescent="0.25">
      <c r="A178" s="5173" t="s">
        <v>355</v>
      </c>
      <c r="B178" s="5176" t="s">
        <v>356</v>
      </c>
      <c r="C178" s="5177"/>
      <c r="D178" s="5177"/>
      <c r="E178" s="5177"/>
      <c r="F178" s="5177"/>
      <c r="G178" s="5177"/>
      <c r="H178" s="5177"/>
      <c r="I178" s="5177"/>
      <c r="J178" s="5177"/>
      <c r="K178" s="5177"/>
      <c r="L178" s="5177"/>
      <c r="M178" s="5177"/>
      <c r="N178" s="5177"/>
      <c r="O178" s="5177"/>
      <c r="P178" s="5177"/>
      <c r="Q178" s="5177"/>
      <c r="R178" s="5177"/>
      <c r="S178" s="5177"/>
      <c r="T178" s="5177"/>
      <c r="U178" s="5177"/>
      <c r="V178" s="5177"/>
      <c r="W178" s="5177"/>
      <c r="X178" s="5177"/>
      <c r="Y178" s="5177"/>
      <c r="Z178" s="5178"/>
    </row>
    <row r="179" spans="1:26" ht="15" thickBot="1" x14ac:dyDescent="0.25">
      <c r="A179" s="5174"/>
      <c r="B179" s="171"/>
      <c r="C179" s="173"/>
      <c r="D179" s="172"/>
      <c r="E179" s="172"/>
      <c r="F179" s="172"/>
      <c r="G179" s="172"/>
      <c r="H179" s="172"/>
      <c r="I179" s="172"/>
      <c r="J179" s="172"/>
      <c r="K179" s="172"/>
      <c r="L179" s="172"/>
      <c r="M179" s="172"/>
      <c r="N179" s="172"/>
      <c r="O179" s="172"/>
      <c r="P179" s="172"/>
      <c r="Q179" s="172"/>
      <c r="R179" s="174"/>
      <c r="S179" s="175"/>
      <c r="T179" s="175"/>
      <c r="U179" s="176" t="s">
        <v>357</v>
      </c>
      <c r="V179" s="34"/>
      <c r="W179" s="35"/>
      <c r="X179" s="177"/>
      <c r="Y179" s="178"/>
      <c r="Z179" s="179"/>
    </row>
    <row r="180" spans="1:26" x14ac:dyDescent="0.2">
      <c r="A180" s="5174"/>
      <c r="B180" s="180"/>
      <c r="C180" s="182"/>
      <c r="D180" s="181"/>
      <c r="E180" s="181"/>
      <c r="F180" s="181"/>
      <c r="G180" s="181"/>
      <c r="H180" s="181"/>
      <c r="I180" s="181"/>
      <c r="J180" s="181"/>
      <c r="K180" s="181"/>
      <c r="L180" s="181"/>
      <c r="M180" s="181"/>
      <c r="N180" s="181"/>
      <c r="O180" s="181"/>
      <c r="P180" s="181"/>
      <c r="Q180" s="181"/>
      <c r="R180" s="183"/>
      <c r="S180" s="184"/>
      <c r="T180" s="184"/>
      <c r="U180" s="185" t="s">
        <v>358</v>
      </c>
      <c r="V180" s="186"/>
      <c r="W180" s="187"/>
      <c r="X180" s="188"/>
      <c r="Y180" s="189"/>
      <c r="Z180" s="190"/>
    </row>
    <row r="181" spans="1:26" x14ac:dyDescent="0.2">
      <c r="A181" s="5174"/>
      <c r="B181" s="191"/>
      <c r="C181" s="193"/>
      <c r="D181" s="192"/>
      <c r="E181" s="192"/>
      <c r="F181" s="192"/>
      <c r="G181" s="192"/>
      <c r="H181" s="192"/>
      <c r="I181" s="192"/>
      <c r="J181" s="192"/>
      <c r="K181" s="192"/>
      <c r="L181" s="192"/>
      <c r="M181" s="192"/>
      <c r="N181" s="192"/>
      <c r="O181" s="192"/>
      <c r="P181" s="192"/>
      <c r="Q181" s="192"/>
      <c r="R181" s="194"/>
      <c r="S181" s="195"/>
      <c r="T181" s="195"/>
      <c r="U181" s="196" t="s">
        <v>359</v>
      </c>
      <c r="V181" s="19"/>
      <c r="W181" s="20"/>
      <c r="X181" s="197"/>
      <c r="Y181" s="198"/>
      <c r="Z181" s="179"/>
    </row>
    <row r="182" spans="1:26" ht="15" thickBot="1" x14ac:dyDescent="0.25">
      <c r="A182" s="5174"/>
      <c r="B182" s="199"/>
      <c r="C182" s="201"/>
      <c r="D182" s="200"/>
      <c r="E182" s="200"/>
      <c r="F182" s="200"/>
      <c r="G182" s="200"/>
      <c r="H182" s="200"/>
      <c r="I182" s="200"/>
      <c r="J182" s="200"/>
      <c r="K182" s="200"/>
      <c r="L182" s="200"/>
      <c r="M182" s="200"/>
      <c r="N182" s="200"/>
      <c r="O182" s="200"/>
      <c r="P182" s="200"/>
      <c r="Q182" s="200"/>
      <c r="R182" s="202"/>
      <c r="S182" s="203"/>
      <c r="T182" s="203"/>
      <c r="U182" s="204" t="s">
        <v>360</v>
      </c>
      <c r="V182" s="38"/>
      <c r="W182" s="39"/>
      <c r="X182" s="205"/>
      <c r="Y182" s="206"/>
      <c r="Z182" s="207"/>
    </row>
    <row r="183" spans="1:26" ht="15" thickBot="1" x14ac:dyDescent="0.25">
      <c r="A183" s="5175"/>
      <c r="B183" s="208"/>
      <c r="C183" s="210"/>
      <c r="D183" s="209"/>
      <c r="E183" s="209"/>
      <c r="F183" s="209"/>
      <c r="G183" s="209"/>
      <c r="H183" s="209"/>
      <c r="I183" s="209"/>
      <c r="J183" s="209"/>
      <c r="K183" s="209"/>
      <c r="L183" s="209"/>
      <c r="M183" s="209"/>
      <c r="N183" s="209"/>
      <c r="O183" s="209"/>
      <c r="P183" s="209"/>
      <c r="Q183" s="209"/>
      <c r="R183" s="211"/>
      <c r="S183" s="212"/>
      <c r="T183" s="212"/>
      <c r="U183" s="213" t="s">
        <v>361</v>
      </c>
      <c r="V183" s="214"/>
      <c r="W183" s="215"/>
      <c r="X183" s="216"/>
      <c r="Y183" s="217"/>
      <c r="Z183" s="218"/>
    </row>
  </sheetData>
  <mergeCells count="6">
    <mergeCell ref="C3:D3"/>
    <mergeCell ref="C6:R6"/>
    <mergeCell ref="V6:Z6"/>
    <mergeCell ref="A8:A13"/>
    <mergeCell ref="A178:A183"/>
    <mergeCell ref="B178:Z178"/>
  </mergeCells>
  <hyperlinks>
    <hyperlink ref="A1" location="Index!A1" display="Til index" xr:uid="{AC5D945E-91DF-4BB3-BE07-6396F6281E86}"/>
  </hyperlinks>
  <pageMargins left="0.7" right="0.7" top="0.75" bottom="0.75" header="0.3" footer="0.3"/>
  <pageSetup paperSize="9" orientation="portrait" r:id="rId1"/>
  <drawing r:id="rId2"/>
  <legacyDrawing r:id="rId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71D40-74F5-4F22-9FEA-34A65CED8FFF}">
  <sheetPr codeName="Ark76">
    <tabColor theme="1" tint="4.9989318521683403E-2"/>
  </sheetPr>
  <dimension ref="A1:AG14"/>
  <sheetViews>
    <sheetView workbookViewId="0"/>
  </sheetViews>
  <sheetFormatPr defaultColWidth="8.7109375" defaultRowHeight="15" x14ac:dyDescent="0.25"/>
  <cols>
    <col min="1" max="1" width="26.85546875" style="632" customWidth="1"/>
    <col min="2" max="2" width="8.7109375" style="632"/>
    <col min="3" max="32" width="7.85546875" style="632" customWidth="1"/>
    <col min="33" max="16384" width="8.7109375" style="632"/>
  </cols>
  <sheetData>
    <row r="1" spans="1:33" ht="15.75" thickBot="1" x14ac:dyDescent="0.3">
      <c r="A1" s="831" t="s">
        <v>1836</v>
      </c>
      <c r="B1" s="831"/>
      <c r="C1" s="831"/>
      <c r="D1" s="831"/>
      <c r="E1" s="831"/>
      <c r="F1" s="831"/>
      <c r="G1" s="831"/>
      <c r="H1" s="831"/>
      <c r="I1" s="831"/>
      <c r="J1" s="831"/>
      <c r="K1" s="831"/>
      <c r="L1" s="831"/>
      <c r="M1" s="831"/>
      <c r="N1" s="831"/>
      <c r="O1" s="831"/>
      <c r="P1" s="831"/>
      <c r="Q1" s="831"/>
      <c r="R1" s="831"/>
      <c r="S1" s="831"/>
      <c r="T1" s="831"/>
      <c r="U1" s="831"/>
      <c r="V1" s="831"/>
      <c r="W1" s="831"/>
      <c r="X1" s="831"/>
      <c r="Y1" s="831"/>
      <c r="Z1" s="831"/>
      <c r="AA1" s="831"/>
      <c r="AB1" s="831"/>
      <c r="AC1" s="831"/>
      <c r="AD1" s="831"/>
      <c r="AE1" s="831"/>
      <c r="AG1" s="831"/>
    </row>
    <row r="2" spans="1:33" ht="15.75" thickBot="1" x14ac:dyDescent="0.3">
      <c r="A2" s="820" t="s">
        <v>1835</v>
      </c>
      <c r="B2" s="820"/>
      <c r="C2" s="845">
        <v>1990</v>
      </c>
      <c r="D2" s="845">
        <v>1991</v>
      </c>
      <c r="E2" s="845">
        <v>1992</v>
      </c>
      <c r="F2" s="845">
        <v>1993</v>
      </c>
      <c r="G2" s="845">
        <v>1994</v>
      </c>
      <c r="H2" s="845">
        <v>1995</v>
      </c>
      <c r="I2" s="846">
        <v>1996</v>
      </c>
      <c r="J2" s="845">
        <v>1997</v>
      </c>
      <c r="K2" s="845">
        <v>1998</v>
      </c>
      <c r="L2" s="845">
        <v>1999</v>
      </c>
      <c r="M2" s="845">
        <v>2000</v>
      </c>
      <c r="N2" s="845">
        <v>2001</v>
      </c>
      <c r="O2" s="845">
        <v>2002</v>
      </c>
      <c r="P2" s="845">
        <v>2003</v>
      </c>
      <c r="Q2" s="845">
        <v>2004</v>
      </c>
      <c r="R2" s="845">
        <v>2005</v>
      </c>
      <c r="S2" s="845">
        <v>2006</v>
      </c>
      <c r="T2" s="845">
        <v>2007</v>
      </c>
      <c r="U2" s="845">
        <v>2008</v>
      </c>
      <c r="V2" s="845">
        <v>2009</v>
      </c>
      <c r="W2" s="845">
        <v>2010</v>
      </c>
      <c r="X2" s="845">
        <v>2011</v>
      </c>
      <c r="Y2" s="845">
        <v>2012</v>
      </c>
      <c r="Z2" s="845">
        <v>2013</v>
      </c>
      <c r="AA2" s="845">
        <v>2014</v>
      </c>
      <c r="AB2" s="845">
        <v>2015</v>
      </c>
      <c r="AC2" s="845">
        <v>2016</v>
      </c>
      <c r="AD2" s="845">
        <v>2017</v>
      </c>
      <c r="AE2" s="845">
        <v>2018</v>
      </c>
      <c r="AF2" s="845">
        <v>2019</v>
      </c>
      <c r="AG2" s="845">
        <v>2020</v>
      </c>
    </row>
    <row r="3" spans="1:33" x14ac:dyDescent="0.25">
      <c r="A3" s="5805" t="s">
        <v>1834</v>
      </c>
      <c r="B3" s="5805"/>
      <c r="C3" s="842"/>
      <c r="D3" s="842"/>
      <c r="E3" s="842"/>
      <c r="F3" s="842"/>
      <c r="G3" s="842"/>
      <c r="H3" s="842"/>
      <c r="I3" s="844"/>
      <c r="J3" s="842"/>
      <c r="K3" s="842"/>
      <c r="L3" s="842"/>
      <c r="M3" s="842"/>
      <c r="N3" s="842"/>
      <c r="O3" s="842"/>
      <c r="P3" s="842"/>
      <c r="Q3" s="842"/>
      <c r="R3" s="842"/>
      <c r="S3" s="842"/>
      <c r="T3" s="842"/>
      <c r="U3" s="842"/>
      <c r="V3" s="842"/>
      <c r="W3" s="842"/>
      <c r="X3" s="842"/>
      <c r="Y3" s="842"/>
      <c r="Z3" s="842"/>
      <c r="AA3" s="842"/>
      <c r="AB3" s="842"/>
    </row>
    <row r="4" spans="1:33" x14ac:dyDescent="0.25">
      <c r="A4" s="817" t="s">
        <v>1830</v>
      </c>
      <c r="B4" s="817" t="s">
        <v>1825</v>
      </c>
      <c r="C4" s="841">
        <v>89.698035283417568</v>
      </c>
      <c r="D4" s="841">
        <v>92.729073187161049</v>
      </c>
      <c r="E4" s="841">
        <v>100.80996022670671</v>
      </c>
      <c r="F4" s="841">
        <v>88.546997573252256</v>
      </c>
      <c r="G4" s="841">
        <v>89.1948662532306</v>
      </c>
      <c r="H4" s="841">
        <v>103.01383445461863</v>
      </c>
      <c r="I4" s="841">
        <v>104.11681506857458</v>
      </c>
      <c r="J4" s="841">
        <v>96.063338770591272</v>
      </c>
      <c r="K4" s="841">
        <v>85.978518853633915</v>
      </c>
      <c r="L4" s="841">
        <v>92.466455353536105</v>
      </c>
      <c r="M4" s="841">
        <v>90.525198959249124</v>
      </c>
      <c r="N4" s="841">
        <v>89.013484257377399</v>
      </c>
      <c r="O4" s="841">
        <v>86.211885445696495</v>
      </c>
      <c r="P4" s="841">
        <v>97.168159884547237</v>
      </c>
      <c r="Q4" s="841">
        <v>83.961794621575223</v>
      </c>
      <c r="R4" s="841">
        <v>87.26472196344308</v>
      </c>
      <c r="S4" s="841">
        <v>89.426145845293163</v>
      </c>
      <c r="T4" s="841">
        <v>95.475167502208976</v>
      </c>
      <c r="U4" s="841">
        <v>98.151433827936756</v>
      </c>
      <c r="V4" s="841">
        <v>102.76402492774419</v>
      </c>
      <c r="W4" s="841">
        <v>92.344874387545644</v>
      </c>
      <c r="X4" s="841">
        <v>90.597008507127796</v>
      </c>
      <c r="Y4" s="841">
        <v>89.425072867477098</v>
      </c>
      <c r="Z4" s="841">
        <v>88.849315954452578</v>
      </c>
      <c r="AA4" s="841">
        <v>86.333292560216677</v>
      </c>
      <c r="AB4" s="841">
        <v>100.88359285464955</v>
      </c>
      <c r="AC4" s="841">
        <v>113.48826880370032</v>
      </c>
      <c r="AD4" s="841">
        <v>107.03569100952386</v>
      </c>
      <c r="AE4" s="841">
        <v>110.50385284926966</v>
      </c>
      <c r="AF4" s="841">
        <v>103.02621201940619</v>
      </c>
      <c r="AG4" s="841">
        <v>101.5554540264711</v>
      </c>
    </row>
    <row r="5" spans="1:33" x14ac:dyDescent="0.25">
      <c r="A5" s="817" t="s">
        <v>1833</v>
      </c>
      <c r="B5" s="817" t="s">
        <v>1825</v>
      </c>
      <c r="C5" s="841">
        <v>15.761994957120921</v>
      </c>
      <c r="D5" s="841">
        <v>16.293847388941064</v>
      </c>
      <c r="E5" s="841">
        <v>17.712663567442853</v>
      </c>
      <c r="F5" s="841">
        <v>15.558213104782956</v>
      </c>
      <c r="G5" s="841">
        <v>15.671495991502818</v>
      </c>
      <c r="H5" s="841">
        <v>18.100706380757085</v>
      </c>
      <c r="I5" s="841">
        <v>18.294252670747529</v>
      </c>
      <c r="J5" s="841">
        <v>16.880512219463284</v>
      </c>
      <c r="K5" s="841">
        <v>15.109339794563285</v>
      </c>
      <c r="L5" s="841">
        <v>16.24655483425661</v>
      </c>
      <c r="M5" s="841">
        <v>15.905804575626835</v>
      </c>
      <c r="N5" s="841">
        <v>15.641919493050093</v>
      </c>
      <c r="O5" s="841">
        <v>15.149879122030187</v>
      </c>
      <c r="P5" s="841">
        <v>17.075736009453731</v>
      </c>
      <c r="Q5" s="841">
        <v>14.753278246368446</v>
      </c>
      <c r="R5" s="841">
        <v>15.334140083006456</v>
      </c>
      <c r="S5" s="841">
        <v>15.712985552303056</v>
      </c>
      <c r="T5" s="841">
        <v>16.688714248853774</v>
      </c>
      <c r="U5" s="841">
        <v>17.628086357828064</v>
      </c>
      <c r="V5" s="841">
        <v>17.902044754032314</v>
      </c>
      <c r="W5" s="841">
        <v>16.149193296600654</v>
      </c>
      <c r="X5" s="841">
        <v>15.911093342955075</v>
      </c>
      <c r="Y5" s="841">
        <v>15.399996898644451</v>
      </c>
      <c r="Z5" s="841">
        <v>15.535342275544922</v>
      </c>
      <c r="AA5" s="841">
        <v>14.929088617770496</v>
      </c>
      <c r="AB5" s="841">
        <v>16.468379084961413</v>
      </c>
      <c r="AC5" s="841">
        <v>18.641979853992236</v>
      </c>
      <c r="AD5" s="841">
        <v>17.509986849936713</v>
      </c>
      <c r="AE5" s="841">
        <v>18.228386405333048</v>
      </c>
      <c r="AF5" s="841">
        <v>16.738129918280549</v>
      </c>
      <c r="AG5" s="841">
        <v>16.6302178199028</v>
      </c>
    </row>
    <row r="6" spans="1:33" x14ac:dyDescent="0.25">
      <c r="A6" s="817" t="s">
        <v>1829</v>
      </c>
      <c r="B6" s="817" t="s">
        <v>1825</v>
      </c>
      <c r="C6" s="841">
        <v>6.0215999999999994</v>
      </c>
      <c r="D6" s="841">
        <v>6.0503999999999998</v>
      </c>
      <c r="E6" s="841">
        <v>6.0648</v>
      </c>
      <c r="F6" s="841">
        <v>6.2640000000000002</v>
      </c>
      <c r="G6" s="841">
        <v>6.1488000000000005</v>
      </c>
      <c r="H6" s="841">
        <v>6.1680000000000001</v>
      </c>
      <c r="I6" s="841">
        <v>6.2328000000000001</v>
      </c>
      <c r="J6" s="841">
        <v>6.2015999999999991</v>
      </c>
      <c r="K6" s="841">
        <v>6.2568000000000001</v>
      </c>
      <c r="L6" s="841">
        <v>6.2255999999999991</v>
      </c>
      <c r="M6" s="841">
        <v>6.2543999999999995</v>
      </c>
      <c r="N6" s="841">
        <v>6.2448000000000006</v>
      </c>
      <c r="O6" s="841">
        <v>6.2303999999999995</v>
      </c>
      <c r="P6" s="841">
        <v>6.1871999999999998</v>
      </c>
      <c r="Q6" s="841">
        <v>6.1463999999999999</v>
      </c>
      <c r="R6" s="841">
        <v>6.2208000000000006</v>
      </c>
      <c r="S6" s="841">
        <v>6.2831999999999999</v>
      </c>
      <c r="T6" s="841">
        <v>5.8704000000000001</v>
      </c>
      <c r="U6" s="841">
        <v>7.6895999999999995</v>
      </c>
      <c r="V6" s="841">
        <v>7.9871999999999996</v>
      </c>
      <c r="W6" s="841">
        <v>6.9240000000000004</v>
      </c>
      <c r="X6" s="841">
        <v>6.2135999999999996</v>
      </c>
      <c r="Y6" s="841">
        <v>5.5511999999999997</v>
      </c>
      <c r="Z6" s="841">
        <v>5.8079999999999998</v>
      </c>
      <c r="AA6" s="841">
        <v>5.0087999999999999</v>
      </c>
      <c r="AB6" s="841">
        <v>5.1143999999999998</v>
      </c>
      <c r="AC6" s="841">
        <v>5.7288000000000006</v>
      </c>
      <c r="AD6" s="841">
        <v>6.2495999999999992</v>
      </c>
      <c r="AE6" s="841">
        <v>6.2640000000000002</v>
      </c>
      <c r="AF6" s="841">
        <v>6.3023999999999996</v>
      </c>
      <c r="AG6" s="841">
        <v>6.3335999999999997</v>
      </c>
    </row>
    <row r="7" spans="1:33" ht="15.75" thickBot="1" x14ac:dyDescent="0.3">
      <c r="A7" s="831" t="s">
        <v>1832</v>
      </c>
      <c r="B7" s="831" t="s">
        <v>1825</v>
      </c>
      <c r="C7" s="840">
        <v>21.783594957120918</v>
      </c>
      <c r="D7" s="840">
        <v>22.344247388941064</v>
      </c>
      <c r="E7" s="840">
        <v>23.777463567442851</v>
      </c>
      <c r="F7" s="840">
        <v>21.822213104782957</v>
      </c>
      <c r="G7" s="840">
        <v>21.820295991502817</v>
      </c>
      <c r="H7" s="840">
        <v>24.268706380757084</v>
      </c>
      <c r="I7" s="840">
        <v>24.52705267074753</v>
      </c>
      <c r="J7" s="840">
        <v>23.082112219463284</v>
      </c>
      <c r="K7" s="840">
        <v>21.366139794563285</v>
      </c>
      <c r="L7" s="840">
        <v>22.47215483425661</v>
      </c>
      <c r="M7" s="840">
        <v>22.160204575626835</v>
      </c>
      <c r="N7" s="840">
        <v>21.886719493050094</v>
      </c>
      <c r="O7" s="840">
        <v>21.380279122030188</v>
      </c>
      <c r="P7" s="840">
        <v>23.262936009453732</v>
      </c>
      <c r="Q7" s="840">
        <v>20.899678246368445</v>
      </c>
      <c r="R7" s="840">
        <v>21.554940083006457</v>
      </c>
      <c r="S7" s="840">
        <v>21.996185552303057</v>
      </c>
      <c r="T7" s="840">
        <v>22.559114248853774</v>
      </c>
      <c r="U7" s="840">
        <v>25.317686357828062</v>
      </c>
      <c r="V7" s="840">
        <v>25.889244754032312</v>
      </c>
      <c r="W7" s="840">
        <v>23.073193296600653</v>
      </c>
      <c r="X7" s="840">
        <v>22.124693342955077</v>
      </c>
      <c r="Y7" s="840">
        <v>20.951196898644451</v>
      </c>
      <c r="Z7" s="840">
        <v>21.34334227554492</v>
      </c>
      <c r="AA7" s="840">
        <v>19.937888617770497</v>
      </c>
      <c r="AB7" s="840">
        <v>21.582779084961413</v>
      </c>
      <c r="AC7" s="840">
        <v>24.370779853992236</v>
      </c>
      <c r="AD7" s="840">
        <v>23.75958684993671</v>
      </c>
      <c r="AE7" s="840">
        <v>24.492386405333047</v>
      </c>
      <c r="AF7" s="840">
        <v>23.040529918280548</v>
      </c>
      <c r="AG7" s="840">
        <v>22.9638178199028</v>
      </c>
    </row>
    <row r="8" spans="1:33" x14ac:dyDescent="0.25">
      <c r="A8" s="5805" t="s">
        <v>1831</v>
      </c>
      <c r="B8" s="5805"/>
      <c r="C8" s="841"/>
      <c r="D8" s="841"/>
      <c r="E8" s="841"/>
      <c r="F8" s="841"/>
      <c r="G8" s="841"/>
      <c r="H8" s="841"/>
      <c r="I8" s="841"/>
      <c r="J8" s="841"/>
      <c r="K8" s="841"/>
      <c r="L8" s="841"/>
      <c r="M8" s="841"/>
      <c r="N8" s="841"/>
      <c r="O8" s="841"/>
      <c r="P8" s="841"/>
      <c r="Q8" s="841"/>
      <c r="R8" s="841"/>
      <c r="S8" s="841"/>
      <c r="T8" s="841"/>
      <c r="U8" s="841"/>
      <c r="V8" s="841"/>
      <c r="W8" s="841"/>
      <c r="X8" s="841"/>
      <c r="Y8" s="841"/>
      <c r="Z8" s="841"/>
      <c r="AA8" s="841"/>
      <c r="AB8" s="841"/>
      <c r="AC8" s="841"/>
      <c r="AD8" s="841"/>
      <c r="AE8" s="841"/>
    </row>
    <row r="9" spans="1:33" x14ac:dyDescent="0.25">
      <c r="A9" s="817" t="s">
        <v>1830</v>
      </c>
      <c r="B9" s="817" t="s">
        <v>1828</v>
      </c>
      <c r="C9" s="841">
        <v>96.36304502956493</v>
      </c>
      <c r="D9" s="841">
        <v>99.610743168470449</v>
      </c>
      <c r="E9" s="841">
        <v>108.28558581040043</v>
      </c>
      <c r="F9" s="841">
        <v>95.116262284996196</v>
      </c>
      <c r="G9" s="841">
        <v>95.808185409317318</v>
      </c>
      <c r="H9" s="841">
        <v>110.65438766254282</v>
      </c>
      <c r="I9" s="841">
        <v>111.83967742582333</v>
      </c>
      <c r="J9" s="841">
        <v>103.20424653593007</v>
      </c>
      <c r="K9" s="841">
        <v>92.369656433551199</v>
      </c>
      <c r="L9" s="841">
        <v>99.318705272703454</v>
      </c>
      <c r="M9" s="841">
        <v>97.241941316328052</v>
      </c>
      <c r="N9" s="841">
        <v>95.619434572456711</v>
      </c>
      <c r="O9" s="841">
        <v>92.621980251700052</v>
      </c>
      <c r="P9" s="841">
        <v>104.38983862479195</v>
      </c>
      <c r="Q9" s="841">
        <v>90.191987743850802</v>
      </c>
      <c r="R9" s="841">
        <v>93.743999359273687</v>
      </c>
      <c r="S9" s="841">
        <v>96.058731553047579</v>
      </c>
      <c r="T9" s="841">
        <v>101.30032704213831</v>
      </c>
      <c r="U9" s="841">
        <v>106.51740508791609</v>
      </c>
      <c r="V9" s="841">
        <v>107.9814852865766</v>
      </c>
      <c r="W9" s="841">
        <v>100.12081106660078</v>
      </c>
      <c r="X9" s="841">
        <v>98.813592400794093</v>
      </c>
      <c r="Y9" s="841">
        <v>96.00060260832953</v>
      </c>
      <c r="Z9" s="841">
        <v>97.178158417729861</v>
      </c>
      <c r="AA9" s="841">
        <v>93.886663725752811</v>
      </c>
      <c r="AB9" s="841">
        <v>98.793640260336659</v>
      </c>
      <c r="AC9" s="841">
        <v>110.59872749756425</v>
      </c>
      <c r="AD9" s="841">
        <v>105.05779452299399</v>
      </c>
      <c r="AE9" s="841">
        <v>109.35768012255086</v>
      </c>
      <c r="AF9" s="841">
        <v>99.452521732797805</v>
      </c>
      <c r="AG9" s="841">
        <v>99.667260850703514</v>
      </c>
    </row>
    <row r="10" spans="1:33" ht="15.75" thickBot="1" x14ac:dyDescent="0.3">
      <c r="A10" s="831" t="s">
        <v>1829</v>
      </c>
      <c r="B10" s="831" t="s">
        <v>1828</v>
      </c>
      <c r="C10" s="840">
        <v>12.545</v>
      </c>
      <c r="D10" s="840">
        <v>12.605</v>
      </c>
      <c r="E10" s="840">
        <v>12.635</v>
      </c>
      <c r="F10" s="840">
        <v>13.05</v>
      </c>
      <c r="G10" s="840">
        <v>12.81</v>
      </c>
      <c r="H10" s="840">
        <v>12.85</v>
      </c>
      <c r="I10" s="840">
        <v>12.984999999999999</v>
      </c>
      <c r="J10" s="840">
        <v>12.92</v>
      </c>
      <c r="K10" s="840">
        <v>13.035</v>
      </c>
      <c r="L10" s="840">
        <v>12.97</v>
      </c>
      <c r="M10" s="840">
        <v>13.03</v>
      </c>
      <c r="N10" s="840">
        <v>13.01</v>
      </c>
      <c r="O10" s="840">
        <v>12.98</v>
      </c>
      <c r="P10" s="840">
        <v>12.89</v>
      </c>
      <c r="Q10" s="840">
        <v>12.805</v>
      </c>
      <c r="R10" s="840">
        <v>12.96</v>
      </c>
      <c r="S10" s="840">
        <v>13.09</v>
      </c>
      <c r="T10" s="840">
        <v>12.23</v>
      </c>
      <c r="U10" s="840">
        <v>16.02</v>
      </c>
      <c r="V10" s="840">
        <v>16.64</v>
      </c>
      <c r="W10" s="840">
        <v>14.425000000000001</v>
      </c>
      <c r="X10" s="840">
        <v>12.945</v>
      </c>
      <c r="Y10" s="840">
        <v>11.565</v>
      </c>
      <c r="Z10" s="840">
        <v>12.1</v>
      </c>
      <c r="AA10" s="840">
        <v>10.435</v>
      </c>
      <c r="AB10" s="840">
        <v>10.654999999999999</v>
      </c>
      <c r="AC10" s="840">
        <v>11.935</v>
      </c>
      <c r="AD10" s="840">
        <v>13.02</v>
      </c>
      <c r="AE10" s="840">
        <v>13.05</v>
      </c>
      <c r="AF10" s="840">
        <v>13.13</v>
      </c>
      <c r="AG10" s="840">
        <v>13.195</v>
      </c>
    </row>
    <row r="11" spans="1:33" ht="15.75" thickBot="1" x14ac:dyDescent="0.3">
      <c r="A11" s="831" t="s">
        <v>228</v>
      </c>
      <c r="B11" s="831" t="s">
        <v>1828</v>
      </c>
      <c r="C11" s="843">
        <v>108.90804502956493</v>
      </c>
      <c r="D11" s="843">
        <v>112.21574316847045</v>
      </c>
      <c r="E11" s="843">
        <v>120.92058581040044</v>
      </c>
      <c r="F11" s="843">
        <v>108.16626228499619</v>
      </c>
      <c r="G11" s="843">
        <v>108.61818540931732</v>
      </c>
      <c r="H11" s="843">
        <v>123.50438766254281</v>
      </c>
      <c r="I11" s="843">
        <v>124.82467742582332</v>
      </c>
      <c r="J11" s="843">
        <v>116.12424653593007</v>
      </c>
      <c r="K11" s="843">
        <v>105.4046564335512</v>
      </c>
      <c r="L11" s="843">
        <v>112.28870527270345</v>
      </c>
      <c r="M11" s="843">
        <v>110.27194131632805</v>
      </c>
      <c r="N11" s="843">
        <v>108.62943457245672</v>
      </c>
      <c r="O11" s="843">
        <v>105.60198025170006</v>
      </c>
      <c r="P11" s="843">
        <v>117.27983862479195</v>
      </c>
      <c r="Q11" s="843">
        <v>102.99698774385081</v>
      </c>
      <c r="R11" s="843">
        <v>106.70399935927369</v>
      </c>
      <c r="S11" s="843">
        <v>109.14873155304758</v>
      </c>
      <c r="T11" s="843">
        <v>113.53032704213831</v>
      </c>
      <c r="U11" s="843">
        <v>122.53740508791608</v>
      </c>
      <c r="V11" s="843">
        <v>124.6214852865766</v>
      </c>
      <c r="W11" s="843">
        <v>114.54581106660078</v>
      </c>
      <c r="X11" s="843">
        <v>111.7585924007941</v>
      </c>
      <c r="Y11" s="843">
        <v>107.56560260832953</v>
      </c>
      <c r="Z11" s="843">
        <v>109.27815841772986</v>
      </c>
      <c r="AA11" s="843">
        <v>104.32166372575281</v>
      </c>
      <c r="AB11" s="843">
        <v>109.44864026033666</v>
      </c>
      <c r="AC11" s="843">
        <v>122.53372749756426</v>
      </c>
      <c r="AD11" s="843">
        <v>118.07779452299398</v>
      </c>
      <c r="AE11" s="843">
        <v>122.40768012255086</v>
      </c>
      <c r="AF11" s="843">
        <v>112.5825217327978</v>
      </c>
      <c r="AG11" s="843">
        <v>112.86226085070351</v>
      </c>
    </row>
    <row r="12" spans="1:33" x14ac:dyDescent="0.25">
      <c r="A12" s="817" t="s">
        <v>1827</v>
      </c>
      <c r="B12" s="842"/>
      <c r="C12" s="841"/>
      <c r="D12" s="841"/>
      <c r="E12" s="841"/>
      <c r="F12" s="841"/>
      <c r="G12" s="841"/>
      <c r="H12" s="841"/>
      <c r="I12" s="841"/>
      <c r="J12" s="841"/>
      <c r="K12" s="841"/>
      <c r="L12" s="841"/>
      <c r="M12" s="841"/>
      <c r="N12" s="841"/>
      <c r="O12" s="841"/>
      <c r="P12" s="841"/>
      <c r="Q12" s="841"/>
      <c r="R12" s="841"/>
      <c r="S12" s="841"/>
      <c r="T12" s="841"/>
      <c r="U12" s="841"/>
      <c r="V12" s="841"/>
      <c r="W12" s="841"/>
      <c r="X12" s="841"/>
      <c r="Y12" s="841"/>
      <c r="Z12" s="841"/>
      <c r="AA12" s="841"/>
      <c r="AB12" s="841"/>
      <c r="AC12" s="841"/>
      <c r="AD12" s="841"/>
      <c r="AE12" s="841"/>
    </row>
    <row r="13" spans="1:33" ht="15.75" thickBot="1" x14ac:dyDescent="0.3">
      <c r="A13" s="831" t="s">
        <v>1826</v>
      </c>
      <c r="B13" s="831" t="s">
        <v>1825</v>
      </c>
      <c r="C13" s="840">
        <v>24.506296082860043</v>
      </c>
      <c r="D13" s="840">
        <v>25.149640968152823</v>
      </c>
      <c r="E13" s="840">
        <v>26.800478212702863</v>
      </c>
      <c r="F13" s="840">
        <v>24.526369661907861</v>
      </c>
      <c r="G13" s="840">
        <v>24.535750626735751</v>
      </c>
      <c r="H13" s="840">
        <v>27.356316072320656</v>
      </c>
      <c r="I13" s="840">
        <v>27.647669606393112</v>
      </c>
      <c r="J13" s="840">
        <v>25.985218382861536</v>
      </c>
      <c r="K13" s="840">
        <v>24.001256205402065</v>
      </c>
      <c r="L13" s="840">
        <v>25.279372466074197</v>
      </c>
      <c r="M13" s="840">
        <v>24.917003108535038</v>
      </c>
      <c r="N13" s="840">
        <v>24.602455357361514</v>
      </c>
      <c r="O13" s="840">
        <v>24.020328628322691</v>
      </c>
      <c r="P13" s="840">
        <v>26.19493197507353</v>
      </c>
      <c r="Q13" s="840">
        <v>23.474602939964715</v>
      </c>
      <c r="R13" s="840">
        <v>24.222540066988298</v>
      </c>
      <c r="S13" s="840">
        <v>24.724903841129247</v>
      </c>
      <c r="T13" s="840">
        <v>25.397372424907232</v>
      </c>
      <c r="U13" s="840">
        <v>28.381121485025965</v>
      </c>
      <c r="V13" s="840">
        <v>29.004781886196728</v>
      </c>
      <c r="W13" s="840">
        <v>25.936838573265671</v>
      </c>
      <c r="X13" s="840">
        <v>24.918658152974928</v>
      </c>
      <c r="Y13" s="840">
        <v>23.64033696385269</v>
      </c>
      <c r="Z13" s="840">
        <v>24.075296235988166</v>
      </c>
      <c r="AA13" s="840">
        <v>22.545930210914317</v>
      </c>
      <c r="AB13" s="840">
        <v>24.31899509146983</v>
      </c>
      <c r="AC13" s="840">
        <v>27.434123041431342</v>
      </c>
      <c r="AD13" s="840">
        <v>26.71153171301156</v>
      </c>
      <c r="AE13" s="840">
        <v>27.552578408396819</v>
      </c>
      <c r="AF13" s="840">
        <v>25.855092961600494</v>
      </c>
      <c r="AG13" s="840">
        <v>25.785374341170389</v>
      </c>
    </row>
    <row r="14" spans="1:33" x14ac:dyDescent="0.25">
      <c r="A14" s="839"/>
      <c r="B14" s="839"/>
      <c r="C14" s="839"/>
      <c r="D14" s="839"/>
      <c r="E14" s="839"/>
      <c r="F14" s="839"/>
      <c r="G14" s="839"/>
      <c r="H14" s="839"/>
      <c r="I14" s="839"/>
      <c r="J14" s="839"/>
      <c r="K14" s="839"/>
      <c r="L14" s="839"/>
    </row>
  </sheetData>
  <mergeCells count="2">
    <mergeCell ref="A8:B8"/>
    <mergeCell ref="A3:B3"/>
  </mergeCells>
  <pageMargins left="0.7" right="0.7" top="0.75" bottom="0.75" header="0.3" footer="0.3"/>
  <pageSetup paperSize="9"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9208C-FD72-4084-A05A-579766B759F6}">
  <sheetPr codeName="Ark77">
    <tabColor theme="1" tint="4.9989318521683403E-2"/>
  </sheetPr>
  <dimension ref="A1:AF13"/>
  <sheetViews>
    <sheetView zoomScaleNormal="100" workbookViewId="0"/>
  </sheetViews>
  <sheetFormatPr defaultColWidth="9.140625" defaultRowHeight="15" x14ac:dyDescent="0.25"/>
  <cols>
    <col min="1" max="1" width="18.42578125" style="632" customWidth="1"/>
    <col min="2" max="2" width="9.140625" style="632"/>
    <col min="3" max="29" width="9.140625" style="632" customWidth="1"/>
    <col min="30" max="16384" width="9.140625" style="632"/>
  </cols>
  <sheetData>
    <row r="1" spans="1:32" ht="18.75" x14ac:dyDescent="0.3">
      <c r="A1" s="822" t="s">
        <v>1788</v>
      </c>
    </row>
    <row r="2" spans="1:32" ht="16.5" x14ac:dyDescent="0.3">
      <c r="A2" s="821" t="s">
        <v>1819</v>
      </c>
    </row>
    <row r="3" spans="1:32" ht="15.75" thickBot="1" x14ac:dyDescent="0.3"/>
    <row r="4" spans="1:32" ht="15.75" thickBot="1" x14ac:dyDescent="0.3">
      <c r="A4" s="820" t="s">
        <v>1786</v>
      </c>
      <c r="B4" s="819">
        <v>1990</v>
      </c>
      <c r="C4" s="819">
        <v>1991</v>
      </c>
      <c r="D4" s="819">
        <v>1992</v>
      </c>
      <c r="E4" s="819">
        <v>1993</v>
      </c>
      <c r="F4" s="819">
        <v>1994</v>
      </c>
      <c r="G4" s="819">
        <v>1995</v>
      </c>
      <c r="H4" s="819">
        <v>1996</v>
      </c>
      <c r="I4" s="819">
        <v>1997</v>
      </c>
      <c r="J4" s="819">
        <v>1998</v>
      </c>
      <c r="K4" s="819">
        <v>1999</v>
      </c>
      <c r="L4" s="819">
        <v>2000</v>
      </c>
      <c r="M4" s="819">
        <v>2001</v>
      </c>
      <c r="N4" s="819">
        <v>2002</v>
      </c>
      <c r="O4" s="819">
        <v>2003</v>
      </c>
      <c r="P4" s="819">
        <v>2004</v>
      </c>
      <c r="Q4" s="819">
        <v>2005</v>
      </c>
      <c r="R4" s="819">
        <v>2006</v>
      </c>
      <c r="S4" s="819">
        <v>2007</v>
      </c>
      <c r="T4" s="819">
        <v>2008</v>
      </c>
      <c r="U4" s="819">
        <v>2009</v>
      </c>
      <c r="V4" s="819">
        <v>2010</v>
      </c>
      <c r="W4" s="819">
        <v>2011</v>
      </c>
      <c r="X4" s="819">
        <v>2012</v>
      </c>
      <c r="Y4" s="819">
        <v>2013</v>
      </c>
      <c r="Z4" s="819">
        <v>2014</v>
      </c>
      <c r="AA4" s="819">
        <v>2015</v>
      </c>
      <c r="AB4" s="819">
        <v>2016</v>
      </c>
      <c r="AC4" s="819">
        <v>2017</v>
      </c>
      <c r="AD4" s="819">
        <v>2018</v>
      </c>
      <c r="AE4" s="819">
        <v>2019</v>
      </c>
      <c r="AF4" s="819">
        <v>2020</v>
      </c>
    </row>
    <row r="5" spans="1:32" x14ac:dyDescent="0.25">
      <c r="A5" s="817" t="s">
        <v>1818</v>
      </c>
      <c r="B5" s="832">
        <v>54.75</v>
      </c>
      <c r="C5" s="832">
        <v>54.75</v>
      </c>
      <c r="D5" s="832">
        <v>54.75</v>
      </c>
      <c r="E5" s="832">
        <v>54.75</v>
      </c>
      <c r="F5" s="832">
        <v>54.75</v>
      </c>
      <c r="G5" s="832">
        <v>54.75</v>
      </c>
      <c r="H5" s="832">
        <v>54.75</v>
      </c>
      <c r="I5" s="832">
        <v>54.75</v>
      </c>
      <c r="J5" s="832">
        <v>54.75</v>
      </c>
      <c r="K5" s="832">
        <v>54.75</v>
      </c>
      <c r="L5" s="832">
        <v>54.75</v>
      </c>
      <c r="M5" s="832">
        <v>54.75</v>
      </c>
      <c r="N5" s="832">
        <v>54.75</v>
      </c>
      <c r="O5" s="832">
        <v>46</v>
      </c>
      <c r="P5" s="832">
        <v>39</v>
      </c>
      <c r="Q5" s="832">
        <v>32</v>
      </c>
      <c r="R5" s="832">
        <v>25</v>
      </c>
      <c r="S5" s="832">
        <v>18</v>
      </c>
      <c r="T5" s="832">
        <v>18</v>
      </c>
      <c r="U5" s="832">
        <v>18</v>
      </c>
      <c r="V5" s="832">
        <v>18</v>
      </c>
      <c r="W5" s="832">
        <v>18</v>
      </c>
      <c r="X5" s="832">
        <v>18</v>
      </c>
      <c r="Y5" s="832">
        <v>18</v>
      </c>
      <c r="Z5" s="832">
        <v>18</v>
      </c>
      <c r="AA5" s="832">
        <v>18</v>
      </c>
      <c r="AB5" s="832">
        <v>18</v>
      </c>
      <c r="AC5" s="832">
        <v>18</v>
      </c>
      <c r="AD5" s="832">
        <v>18</v>
      </c>
      <c r="AE5" s="832">
        <v>18</v>
      </c>
      <c r="AF5" s="832">
        <v>18</v>
      </c>
    </row>
    <row r="6" spans="1:32" x14ac:dyDescent="0.25">
      <c r="A6" s="817" t="s">
        <v>1817</v>
      </c>
      <c r="B6" s="812">
        <v>165</v>
      </c>
      <c r="C6" s="832">
        <v>171.2</v>
      </c>
      <c r="D6" s="832">
        <v>177.4</v>
      </c>
      <c r="E6" s="832">
        <v>183.6</v>
      </c>
      <c r="F6" s="832">
        <v>189.8</v>
      </c>
      <c r="G6" s="812">
        <v>196</v>
      </c>
      <c r="H6" s="812">
        <v>196</v>
      </c>
      <c r="I6" s="812">
        <v>196</v>
      </c>
      <c r="J6" s="812">
        <v>196</v>
      </c>
      <c r="K6" s="812">
        <v>196</v>
      </c>
      <c r="L6" s="812">
        <v>196</v>
      </c>
      <c r="M6" s="812">
        <v>196</v>
      </c>
      <c r="N6" s="812">
        <v>196</v>
      </c>
      <c r="O6" s="812">
        <v>180</v>
      </c>
      <c r="P6" s="812">
        <v>168</v>
      </c>
      <c r="Q6" s="812">
        <v>156</v>
      </c>
      <c r="R6" s="812">
        <v>144</v>
      </c>
      <c r="S6" s="832">
        <v>131.85454545454544</v>
      </c>
      <c r="T6" s="832">
        <v>131.85454545454544</v>
      </c>
      <c r="U6" s="832">
        <v>131.85454545454544</v>
      </c>
      <c r="V6" s="832">
        <v>131.85454545454544</v>
      </c>
      <c r="W6" s="832">
        <v>131.85454545454544</v>
      </c>
      <c r="X6" s="832">
        <v>131.85454545454544</v>
      </c>
      <c r="Y6" s="832">
        <v>131.85454545454544</v>
      </c>
      <c r="Z6" s="832">
        <v>131.85454545454544</v>
      </c>
      <c r="AA6" s="832">
        <v>131.85454545454544</v>
      </c>
      <c r="AB6" s="832">
        <v>131.85454545454544</v>
      </c>
      <c r="AC6" s="832">
        <v>131.85454545454544</v>
      </c>
      <c r="AD6" s="832">
        <v>131.85454545454544</v>
      </c>
      <c r="AE6" s="832">
        <v>131.85454545454544</v>
      </c>
      <c r="AF6" s="832">
        <v>131.85454545454544</v>
      </c>
    </row>
    <row r="7" spans="1:32" x14ac:dyDescent="0.25">
      <c r="A7" s="817" t="s">
        <v>1777</v>
      </c>
      <c r="B7" s="812">
        <v>184</v>
      </c>
      <c r="C7" s="812">
        <v>192</v>
      </c>
      <c r="D7" s="812">
        <v>200</v>
      </c>
      <c r="E7" s="812">
        <v>208</v>
      </c>
      <c r="F7" s="812">
        <v>216</v>
      </c>
      <c r="G7" s="812">
        <v>224</v>
      </c>
      <c r="H7" s="812">
        <v>224</v>
      </c>
      <c r="I7" s="812">
        <v>224</v>
      </c>
      <c r="J7" s="812">
        <v>224</v>
      </c>
      <c r="K7" s="812">
        <v>224</v>
      </c>
      <c r="L7" s="812">
        <v>224</v>
      </c>
      <c r="M7" s="812">
        <v>224</v>
      </c>
      <c r="N7" s="812">
        <v>224</v>
      </c>
      <c r="O7" s="812">
        <v>224</v>
      </c>
      <c r="P7" s="812">
        <v>224</v>
      </c>
      <c r="Q7" s="812">
        <v>224</v>
      </c>
      <c r="R7" s="812">
        <v>224</v>
      </c>
      <c r="S7" s="812">
        <v>224</v>
      </c>
      <c r="T7" s="812">
        <v>224</v>
      </c>
      <c r="U7" s="812">
        <v>224</v>
      </c>
      <c r="V7" s="812">
        <v>224</v>
      </c>
      <c r="W7" s="812">
        <v>224</v>
      </c>
      <c r="X7" s="812">
        <v>224</v>
      </c>
      <c r="Y7" s="812">
        <v>224</v>
      </c>
      <c r="Z7" s="812">
        <v>224</v>
      </c>
      <c r="AA7" s="812">
        <v>224</v>
      </c>
      <c r="AB7" s="812">
        <v>224</v>
      </c>
      <c r="AC7" s="812">
        <v>224</v>
      </c>
      <c r="AD7" s="812">
        <v>224</v>
      </c>
      <c r="AE7" s="812">
        <v>224</v>
      </c>
      <c r="AF7" s="812">
        <v>224</v>
      </c>
    </row>
    <row r="8" spans="1:32" x14ac:dyDescent="0.25">
      <c r="A8" s="817" t="s">
        <v>1816</v>
      </c>
      <c r="B8" s="812" t="s">
        <v>259</v>
      </c>
      <c r="C8" s="812" t="s">
        <v>259</v>
      </c>
      <c r="D8" s="812" t="s">
        <v>259</v>
      </c>
      <c r="E8" s="812" t="s">
        <v>259</v>
      </c>
      <c r="F8" s="812" t="s">
        <v>259</v>
      </c>
      <c r="G8" s="812" t="s">
        <v>259</v>
      </c>
      <c r="H8" s="812" t="s">
        <v>259</v>
      </c>
      <c r="I8" s="812" t="s">
        <v>259</v>
      </c>
      <c r="J8" s="812" t="s">
        <v>259</v>
      </c>
      <c r="K8" s="812" t="s">
        <v>259</v>
      </c>
      <c r="L8" s="812" t="s">
        <v>259</v>
      </c>
      <c r="M8" s="812" t="s">
        <v>259</v>
      </c>
      <c r="N8" s="812" t="s">
        <v>259</v>
      </c>
      <c r="O8" s="812" t="s">
        <v>259</v>
      </c>
      <c r="P8" s="812" t="s">
        <v>259</v>
      </c>
      <c r="Q8" s="812" t="s">
        <v>259</v>
      </c>
      <c r="R8" s="812" t="s">
        <v>259</v>
      </c>
      <c r="S8" s="812" t="s">
        <v>259</v>
      </c>
      <c r="T8" s="812" t="s">
        <v>259</v>
      </c>
      <c r="U8" s="812" t="s">
        <v>259</v>
      </c>
      <c r="V8" s="812" t="s">
        <v>259</v>
      </c>
      <c r="W8" s="812" t="s">
        <v>259</v>
      </c>
      <c r="X8" s="812" t="s">
        <v>259</v>
      </c>
      <c r="Y8" s="812" t="s">
        <v>259</v>
      </c>
      <c r="Z8" s="812" t="s">
        <v>259</v>
      </c>
      <c r="AA8" s="812" t="s">
        <v>259</v>
      </c>
      <c r="AB8" s="812" t="s">
        <v>259</v>
      </c>
      <c r="AC8" s="812" t="s">
        <v>259</v>
      </c>
      <c r="AD8" s="812" t="s">
        <v>259</v>
      </c>
      <c r="AE8" s="812">
        <v>195</v>
      </c>
      <c r="AF8" s="812">
        <v>195</v>
      </c>
    </row>
    <row r="9" spans="1:32" x14ac:dyDescent="0.25">
      <c r="A9" s="817" t="s">
        <v>1815</v>
      </c>
      <c r="B9" s="812">
        <v>265</v>
      </c>
      <c r="C9" s="812">
        <v>265</v>
      </c>
      <c r="D9" s="812">
        <v>265</v>
      </c>
      <c r="E9" s="812">
        <v>265</v>
      </c>
      <c r="F9" s="812">
        <v>265</v>
      </c>
      <c r="G9" s="812">
        <v>265</v>
      </c>
      <c r="H9" s="812">
        <v>265</v>
      </c>
      <c r="I9" s="812">
        <v>265</v>
      </c>
      <c r="J9" s="812">
        <v>265</v>
      </c>
      <c r="K9" s="812">
        <v>265</v>
      </c>
      <c r="L9" s="812">
        <v>265</v>
      </c>
      <c r="M9" s="812">
        <v>265</v>
      </c>
      <c r="N9" s="812">
        <v>265</v>
      </c>
      <c r="O9" s="812">
        <v>265</v>
      </c>
      <c r="P9" s="812">
        <v>265</v>
      </c>
      <c r="Q9" s="812">
        <v>265</v>
      </c>
      <c r="R9" s="812">
        <v>265</v>
      </c>
      <c r="S9" s="812">
        <v>265</v>
      </c>
      <c r="T9" s="812">
        <v>265</v>
      </c>
      <c r="U9" s="812">
        <v>265</v>
      </c>
      <c r="V9" s="812">
        <v>265</v>
      </c>
      <c r="W9" s="812">
        <v>265</v>
      </c>
      <c r="X9" s="812">
        <v>265</v>
      </c>
      <c r="Y9" s="812">
        <v>265</v>
      </c>
      <c r="Z9" s="812">
        <v>265</v>
      </c>
      <c r="AA9" s="812">
        <v>265</v>
      </c>
      <c r="AB9" s="812">
        <v>265</v>
      </c>
      <c r="AC9" s="812">
        <v>265</v>
      </c>
      <c r="AD9" s="812">
        <v>265</v>
      </c>
      <c r="AE9" s="812">
        <v>265</v>
      </c>
      <c r="AF9" s="812">
        <v>265</v>
      </c>
    </row>
    <row r="10" spans="1:32" x14ac:dyDescent="0.25">
      <c r="A10" s="817" t="s">
        <v>1213</v>
      </c>
      <c r="B10" s="832">
        <v>182.5</v>
      </c>
      <c r="C10" s="832">
        <v>182.5</v>
      </c>
      <c r="D10" s="832">
        <v>182.5</v>
      </c>
      <c r="E10" s="832">
        <v>182.5</v>
      </c>
      <c r="F10" s="832">
        <v>182.5</v>
      </c>
      <c r="G10" s="832">
        <v>182.5</v>
      </c>
      <c r="H10" s="832">
        <v>182.5</v>
      </c>
      <c r="I10" s="832">
        <v>182.5</v>
      </c>
      <c r="J10" s="832">
        <v>182.5</v>
      </c>
      <c r="K10" s="832">
        <v>182.5</v>
      </c>
      <c r="L10" s="832">
        <v>182.5</v>
      </c>
      <c r="M10" s="832">
        <v>182.5</v>
      </c>
      <c r="N10" s="832">
        <v>182.5</v>
      </c>
      <c r="O10" s="832">
        <v>182.5</v>
      </c>
      <c r="P10" s="832">
        <v>182.5</v>
      </c>
      <c r="Q10" s="832">
        <v>182.5</v>
      </c>
      <c r="R10" s="832">
        <v>182.5</v>
      </c>
      <c r="S10" s="832">
        <v>182.5</v>
      </c>
      <c r="T10" s="832">
        <v>182.5</v>
      </c>
      <c r="U10" s="832">
        <v>182.5</v>
      </c>
      <c r="V10" s="832">
        <v>182.5</v>
      </c>
      <c r="W10" s="832">
        <v>182.5</v>
      </c>
      <c r="X10" s="832">
        <v>182.5</v>
      </c>
      <c r="Y10" s="832">
        <v>182.5</v>
      </c>
      <c r="Z10" s="832">
        <v>182.5</v>
      </c>
      <c r="AA10" s="832">
        <v>182.5</v>
      </c>
      <c r="AB10" s="832">
        <v>182.5</v>
      </c>
      <c r="AC10" s="832">
        <v>182.5</v>
      </c>
      <c r="AD10" s="832">
        <v>182.5</v>
      </c>
      <c r="AE10" s="832">
        <v>182.5</v>
      </c>
      <c r="AF10" s="832">
        <v>182.5</v>
      </c>
    </row>
    <row r="11" spans="1:32" ht="15.75" thickBot="1" x14ac:dyDescent="0.3">
      <c r="A11" s="831" t="s">
        <v>1814</v>
      </c>
      <c r="B11" s="810">
        <v>365</v>
      </c>
      <c r="C11" s="810">
        <v>365</v>
      </c>
      <c r="D11" s="810">
        <v>365</v>
      </c>
      <c r="E11" s="810">
        <v>365</v>
      </c>
      <c r="F11" s="810">
        <v>365</v>
      </c>
      <c r="G11" s="810">
        <v>365</v>
      </c>
      <c r="H11" s="810">
        <v>365</v>
      </c>
      <c r="I11" s="810">
        <v>365</v>
      </c>
      <c r="J11" s="810">
        <v>365</v>
      </c>
      <c r="K11" s="810">
        <v>365</v>
      </c>
      <c r="L11" s="810">
        <v>365</v>
      </c>
      <c r="M11" s="810">
        <v>365</v>
      </c>
      <c r="N11" s="810">
        <v>365</v>
      </c>
      <c r="O11" s="810">
        <v>365</v>
      </c>
      <c r="P11" s="810">
        <v>365</v>
      </c>
      <c r="Q11" s="810">
        <v>365</v>
      </c>
      <c r="R11" s="810">
        <v>365</v>
      </c>
      <c r="S11" s="810">
        <v>365</v>
      </c>
      <c r="T11" s="810">
        <v>365</v>
      </c>
      <c r="U11" s="810">
        <v>365</v>
      </c>
      <c r="V11" s="810">
        <v>365</v>
      </c>
      <c r="W11" s="810">
        <v>365</v>
      </c>
      <c r="X11" s="810">
        <v>365</v>
      </c>
      <c r="Y11" s="810">
        <v>365</v>
      </c>
      <c r="Z11" s="810">
        <v>365</v>
      </c>
      <c r="AA11" s="810">
        <v>365</v>
      </c>
      <c r="AB11" s="810">
        <v>366</v>
      </c>
      <c r="AC11" s="810">
        <v>367</v>
      </c>
      <c r="AD11" s="810">
        <v>368</v>
      </c>
      <c r="AE11" s="810">
        <v>369</v>
      </c>
      <c r="AF11" s="810">
        <v>370</v>
      </c>
    </row>
    <row r="12" spans="1:32" x14ac:dyDescent="0.25">
      <c r="A12" s="830"/>
    </row>
    <row r="13" spans="1:32" x14ac:dyDescent="0.25">
      <c r="A13" s="830" t="s">
        <v>1813</v>
      </c>
    </row>
  </sheetData>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AF96F-1FA0-4D19-B370-AF14518AE8CC}">
  <sheetPr codeName="Ark78">
    <tabColor theme="1" tint="4.9989318521683403E-2"/>
  </sheetPr>
  <dimension ref="A1:AF29"/>
  <sheetViews>
    <sheetView workbookViewId="0"/>
  </sheetViews>
  <sheetFormatPr defaultColWidth="9.140625" defaultRowHeight="15" x14ac:dyDescent="0.25"/>
  <cols>
    <col min="1" max="1" width="41.5703125" style="632" customWidth="1"/>
    <col min="2" max="29" width="8.7109375" style="632" hidden="1" customWidth="1"/>
    <col min="30" max="30" width="8.7109375" style="632" customWidth="1"/>
    <col min="31" max="16384" width="9.140625" style="632"/>
  </cols>
  <sheetData>
    <row r="1" spans="1:32" ht="18.75" x14ac:dyDescent="0.3">
      <c r="A1" s="822" t="s">
        <v>1788</v>
      </c>
    </row>
    <row r="2" spans="1:32" ht="16.5" x14ac:dyDescent="0.3">
      <c r="A2" s="821" t="s">
        <v>1787</v>
      </c>
    </row>
    <row r="3" spans="1:32" ht="15.75" thickBot="1" x14ac:dyDescent="0.3"/>
    <row r="4" spans="1:32" ht="15.75" thickBot="1" x14ac:dyDescent="0.3">
      <c r="A4" s="820" t="s">
        <v>1786</v>
      </c>
      <c r="B4" s="819">
        <v>1990</v>
      </c>
      <c r="C4" s="819">
        <v>1991</v>
      </c>
      <c r="D4" s="819">
        <v>1992</v>
      </c>
      <c r="E4" s="819">
        <v>1993</v>
      </c>
      <c r="F4" s="819">
        <v>1994</v>
      </c>
      <c r="G4" s="819">
        <v>1995</v>
      </c>
      <c r="H4" s="819">
        <v>1996</v>
      </c>
      <c r="I4" s="819">
        <v>1997</v>
      </c>
      <c r="J4" s="819">
        <v>1998</v>
      </c>
      <c r="K4" s="819">
        <v>1999</v>
      </c>
      <c r="L4" s="819">
        <v>2000</v>
      </c>
      <c r="M4" s="819">
        <v>2001</v>
      </c>
      <c r="N4" s="819">
        <v>2002</v>
      </c>
      <c r="O4" s="819">
        <v>2003</v>
      </c>
      <c r="P4" s="819">
        <v>2004</v>
      </c>
      <c r="Q4" s="819">
        <v>2005</v>
      </c>
      <c r="R4" s="819">
        <v>2006</v>
      </c>
      <c r="S4" s="819">
        <v>2007</v>
      </c>
      <c r="T4" s="819">
        <v>2008</v>
      </c>
      <c r="U4" s="819">
        <v>2009</v>
      </c>
      <c r="V4" s="819">
        <v>2010</v>
      </c>
      <c r="W4" s="819">
        <v>2011</v>
      </c>
      <c r="X4" s="819">
        <v>2012</v>
      </c>
      <c r="Y4" s="819">
        <v>2013</v>
      </c>
      <c r="Z4" s="819">
        <v>2014</v>
      </c>
      <c r="AA4" s="819">
        <v>2015</v>
      </c>
      <c r="AB4" s="819">
        <v>2016</v>
      </c>
      <c r="AC4" s="819">
        <v>2017</v>
      </c>
      <c r="AD4" s="819">
        <v>2018</v>
      </c>
      <c r="AE4" s="819">
        <v>2019</v>
      </c>
      <c r="AF4" s="819">
        <v>2020</v>
      </c>
    </row>
    <row r="5" spans="1:32" x14ac:dyDescent="0.25">
      <c r="A5" s="818" t="s">
        <v>1785</v>
      </c>
      <c r="B5" s="812"/>
      <c r="G5" s="812"/>
      <c r="L5" s="812"/>
      <c r="Q5" s="812"/>
      <c r="T5" s="812"/>
      <c r="U5" s="812"/>
      <c r="V5" s="812"/>
      <c r="W5" s="812"/>
      <c r="X5" s="812"/>
    </row>
    <row r="6" spans="1:32" x14ac:dyDescent="0.25">
      <c r="A6" s="817" t="s">
        <v>1784</v>
      </c>
      <c r="B6" s="815">
        <v>313.80493150684936</v>
      </c>
      <c r="C6" s="815">
        <v>318.39123287671231</v>
      </c>
      <c r="D6" s="815">
        <v>322.97753424657537</v>
      </c>
      <c r="E6" s="815">
        <v>327.51287671232882</v>
      </c>
      <c r="F6" s="815">
        <v>333.88465753424651</v>
      </c>
      <c r="G6" s="815">
        <v>333.88465753424657</v>
      </c>
      <c r="H6" s="815">
        <v>333.88465753424657</v>
      </c>
      <c r="I6" s="815">
        <v>333.88465753424657</v>
      </c>
      <c r="J6" s="815">
        <v>335.72904109589041</v>
      </c>
      <c r="K6" s="815">
        <v>335.72904109589041</v>
      </c>
      <c r="L6" s="815">
        <v>334.14082191780818</v>
      </c>
      <c r="M6" s="815">
        <v>341.00602739726025</v>
      </c>
      <c r="N6" s="815">
        <v>349.57698630136986</v>
      </c>
      <c r="O6" s="815">
        <v>357.76657534246579</v>
      </c>
      <c r="P6" s="815">
        <v>363.58684931506855</v>
      </c>
      <c r="Q6" s="815">
        <v>369.04657534246581</v>
      </c>
      <c r="R6" s="815">
        <v>371.72493150684932</v>
      </c>
      <c r="S6" s="815">
        <v>374.35178082191777</v>
      </c>
      <c r="T6" s="815">
        <v>374.76383561643843</v>
      </c>
      <c r="U6" s="815">
        <v>383.98356164383569</v>
      </c>
      <c r="V6" s="815">
        <v>383.59232876712332</v>
      </c>
      <c r="W6" s="815">
        <v>379.65698630136984</v>
      </c>
      <c r="X6" s="815">
        <v>381.41753424657531</v>
      </c>
      <c r="Y6" s="815">
        <v>384.47260273972603</v>
      </c>
      <c r="Z6" s="815">
        <v>400.73178082191777</v>
      </c>
      <c r="AA6" s="815">
        <v>401.87095890410956</v>
      </c>
      <c r="AB6" s="815">
        <v>406.53123287671229</v>
      </c>
      <c r="AC6" s="815">
        <v>415.23041095890403</v>
      </c>
      <c r="AD6" s="815">
        <v>418.49260273972601</v>
      </c>
      <c r="AE6" s="815">
        <v>423.56712328767117</v>
      </c>
      <c r="AF6" s="815">
        <v>426.98465753424654</v>
      </c>
    </row>
    <row r="7" spans="1:32" x14ac:dyDescent="0.25">
      <c r="A7" s="817" t="s">
        <v>1783</v>
      </c>
      <c r="B7" s="815">
        <v>257.85205479452054</v>
      </c>
      <c r="C7" s="815">
        <v>261.57205479452057</v>
      </c>
      <c r="D7" s="815">
        <v>265.24109589041097</v>
      </c>
      <c r="E7" s="815">
        <v>268.91013698630138</v>
      </c>
      <c r="F7" s="815">
        <v>274.0446575342466</v>
      </c>
      <c r="G7" s="815">
        <v>274.0446575342466</v>
      </c>
      <c r="H7" s="815">
        <v>274.0446575342466</v>
      </c>
      <c r="I7" s="815">
        <v>274.0446575342466</v>
      </c>
      <c r="J7" s="815">
        <v>276.7087671232876</v>
      </c>
      <c r="K7" s="815">
        <v>276.70876712328766</v>
      </c>
      <c r="L7" s="815">
        <v>275.2230136986301</v>
      </c>
      <c r="M7" s="815">
        <v>280.24383561643833</v>
      </c>
      <c r="N7" s="815">
        <v>286.68712328767123</v>
      </c>
      <c r="O7" s="815">
        <v>293.07397260273973</v>
      </c>
      <c r="P7" s="815">
        <v>298.89424657534244</v>
      </c>
      <c r="Q7" s="815">
        <v>303.01479452054798</v>
      </c>
      <c r="R7" s="815">
        <v>309.04109589041099</v>
      </c>
      <c r="S7" s="815">
        <v>314.60383561643846</v>
      </c>
      <c r="T7" s="815">
        <v>311.56493150684929</v>
      </c>
      <c r="U7" s="815">
        <v>317.59123287671235</v>
      </c>
      <c r="V7" s="815">
        <v>318.96986301369861</v>
      </c>
      <c r="W7" s="815">
        <v>315.75945205479445</v>
      </c>
      <c r="X7" s="815">
        <v>317.98602739726027</v>
      </c>
      <c r="Y7" s="815">
        <v>321.50712328767128</v>
      </c>
      <c r="Z7" s="815">
        <v>331.60438356164383</v>
      </c>
      <c r="AA7" s="815">
        <v>334.86657534246564</v>
      </c>
      <c r="AB7" s="815">
        <v>334.81479452054793</v>
      </c>
      <c r="AC7" s="815">
        <v>339.47506849315073</v>
      </c>
      <c r="AD7" s="815">
        <v>344.08356164383559</v>
      </c>
      <c r="AE7" s="815">
        <v>346.67260273972596</v>
      </c>
      <c r="AF7" s="815">
        <v>347.60465753424648</v>
      </c>
    </row>
    <row r="8" spans="1:32" x14ac:dyDescent="0.25">
      <c r="A8" s="817" t="s">
        <v>1782</v>
      </c>
      <c r="B8" s="814">
        <v>305.07628267702074</v>
      </c>
      <c r="C8" s="814">
        <v>309.7547178082192</v>
      </c>
      <c r="D8" s="814">
        <v>314.43254128876436</v>
      </c>
      <c r="E8" s="814">
        <v>319.0740821917808</v>
      </c>
      <c r="F8" s="814">
        <v>325.62673753424656</v>
      </c>
      <c r="G8" s="814">
        <v>325.98577753424655</v>
      </c>
      <c r="H8" s="814">
        <v>326.16529754526414</v>
      </c>
      <c r="I8" s="814">
        <v>326.34481753424654</v>
      </c>
      <c r="J8" s="814">
        <v>328.52856767123285</v>
      </c>
      <c r="K8" s="814">
        <v>328.47012183813882</v>
      </c>
      <c r="L8" s="814">
        <v>326.9628799848183</v>
      </c>
      <c r="M8" s="814">
        <v>333.59304009747552</v>
      </c>
      <c r="N8" s="814">
        <v>341.90442311686417</v>
      </c>
      <c r="O8" s="814">
        <v>349.55061479452058</v>
      </c>
      <c r="P8" s="814">
        <v>355.43558136986303</v>
      </c>
      <c r="Q8" s="814">
        <v>360.79260273972608</v>
      </c>
      <c r="R8" s="814">
        <v>363.88945195512082</v>
      </c>
      <c r="S8" s="814">
        <v>366.82353975363253</v>
      </c>
      <c r="T8" s="814">
        <v>366.73757479452058</v>
      </c>
      <c r="U8" s="814">
        <v>375.41895133556699</v>
      </c>
      <c r="V8" s="814">
        <v>375.1267856694908</v>
      </c>
      <c r="W8" s="814">
        <v>371.03081908027548</v>
      </c>
      <c r="X8" s="814">
        <v>372.72741782301864</v>
      </c>
      <c r="Y8" s="814">
        <v>375.59447004410703</v>
      </c>
      <c r="Z8" s="814">
        <v>390.70830813194419</v>
      </c>
      <c r="AA8" s="814">
        <v>392.22232746675741</v>
      </c>
      <c r="AB8" s="814">
        <v>396.34749863013684</v>
      </c>
      <c r="AC8" s="814">
        <v>404.47315221474298</v>
      </c>
      <c r="AD8" s="814">
        <v>408.07533696819775</v>
      </c>
      <c r="AE8" s="814">
        <v>412.64810136986284</v>
      </c>
      <c r="AF8" s="814">
        <v>415.47455765394949</v>
      </c>
    </row>
    <row r="9" spans="1:32" x14ac:dyDescent="0.25">
      <c r="A9" s="817" t="s">
        <v>1781</v>
      </c>
      <c r="B9" s="814">
        <v>59.643891005919592</v>
      </c>
      <c r="C9" s="814">
        <v>59.756778373725602</v>
      </c>
      <c r="D9" s="814">
        <v>59.867093185559604</v>
      </c>
      <c r="E9" s="814">
        <v>59.969649616786036</v>
      </c>
      <c r="F9" s="814">
        <v>60.066427372581558</v>
      </c>
      <c r="G9" s="814">
        <v>60.184736605893733</v>
      </c>
      <c r="H9" s="814">
        <v>60.242468685058377</v>
      </c>
      <c r="I9" s="814">
        <v>60.313865926668612</v>
      </c>
      <c r="J9" s="814">
        <v>60.377485949208861</v>
      </c>
      <c r="K9" s="814">
        <v>60.374029913698635</v>
      </c>
      <c r="L9" s="814">
        <v>60.4054868210956</v>
      </c>
      <c r="M9" s="814">
        <v>61.549620759117964</v>
      </c>
      <c r="N9" s="814">
        <v>61.543807039979704</v>
      </c>
      <c r="O9" s="814">
        <v>61.418708081262146</v>
      </c>
      <c r="P9" s="814">
        <v>61.525523267879429</v>
      </c>
      <c r="Q9" s="814">
        <v>61.564615791337403</v>
      </c>
      <c r="R9" s="814">
        <v>61.423838057932016</v>
      </c>
      <c r="S9" s="814">
        <v>61.519716074458266</v>
      </c>
      <c r="T9" s="814">
        <v>61.66759694011742</v>
      </c>
      <c r="U9" s="814">
        <v>61.659995513600663</v>
      </c>
      <c r="V9" s="814">
        <v>61.662757809799544</v>
      </c>
      <c r="W9" s="814">
        <v>61.661607636189316</v>
      </c>
      <c r="X9" s="814">
        <v>61.673662897768097</v>
      </c>
      <c r="Y9" s="814">
        <v>61.704436510605881</v>
      </c>
      <c r="Z9" s="814">
        <v>61.754437356421839</v>
      </c>
      <c r="AA9" s="814">
        <v>66.312123964330794</v>
      </c>
      <c r="AB9" s="814">
        <v>66.295476171862703</v>
      </c>
      <c r="AC9" s="814">
        <v>66.3250248360944</v>
      </c>
      <c r="AD9" s="814">
        <v>66.358400572987961</v>
      </c>
      <c r="AE9" s="814">
        <v>66.373371025797553</v>
      </c>
      <c r="AF9" s="814">
        <v>66.391596891435441</v>
      </c>
    </row>
    <row r="10" spans="1:32" x14ac:dyDescent="0.25">
      <c r="A10" s="817" t="s">
        <v>1780</v>
      </c>
      <c r="B10" s="814">
        <v>43.23550573680928</v>
      </c>
      <c r="C10" s="814">
        <v>43.302452595807921</v>
      </c>
      <c r="D10" s="814">
        <v>43.367785204856311</v>
      </c>
      <c r="E10" s="814">
        <v>43.428444541381701</v>
      </c>
      <c r="F10" s="814">
        <v>43.485616776834917</v>
      </c>
      <c r="G10" s="814">
        <v>43.613602378029178</v>
      </c>
      <c r="H10" s="814">
        <v>43.641521571089193</v>
      </c>
      <c r="I10" s="814">
        <v>43.631488472483255</v>
      </c>
      <c r="J10" s="814">
        <v>43.240942559708081</v>
      </c>
      <c r="K10" s="814">
        <v>43.253837546066656</v>
      </c>
      <c r="L10" s="814">
        <v>43.267629488605699</v>
      </c>
      <c r="M10" s="814">
        <v>42.852862909938793</v>
      </c>
      <c r="N10" s="814">
        <v>42.852862901731676</v>
      </c>
      <c r="O10" s="814">
        <v>42.790915068493142</v>
      </c>
      <c r="P10" s="814">
        <v>42.790915068493156</v>
      </c>
      <c r="Q10" s="814">
        <v>45.634283835616444</v>
      </c>
      <c r="R10" s="814">
        <v>48.41377808219179</v>
      </c>
      <c r="S10" s="814">
        <v>51.21924328767124</v>
      </c>
      <c r="T10" s="814">
        <v>51.219243287671247</v>
      </c>
      <c r="U10" s="814">
        <v>51.140427945205481</v>
      </c>
      <c r="V10" s="814">
        <v>51.166699726027403</v>
      </c>
      <c r="W10" s="814">
        <v>51.140427945205502</v>
      </c>
      <c r="X10" s="814">
        <v>51.114156164383573</v>
      </c>
      <c r="Y10" s="814">
        <v>51.140427945205488</v>
      </c>
      <c r="Z10" s="814">
        <v>51.140427945205481</v>
      </c>
      <c r="AA10" s="814">
        <v>51.101020273972615</v>
      </c>
      <c r="AB10" s="814">
        <v>51.12729205479453</v>
      </c>
      <c r="AC10" s="814">
        <v>51.153563835616438</v>
      </c>
      <c r="AD10" s="814">
        <v>51.074748493150686</v>
      </c>
      <c r="AE10" s="814">
        <v>50.956525479452061</v>
      </c>
      <c r="AF10" s="814">
        <v>50.851438356164387</v>
      </c>
    </row>
    <row r="11" spans="1:32" x14ac:dyDescent="0.25">
      <c r="A11" s="817" t="s">
        <v>1779</v>
      </c>
      <c r="B11" s="814">
        <v>99.767980364258889</v>
      </c>
      <c r="C11" s="814">
        <v>105.57831119269039</v>
      </c>
      <c r="D11" s="814">
        <v>108.77967886668074</v>
      </c>
      <c r="E11" s="814">
        <v>99.668519696477233</v>
      </c>
      <c r="F11" s="814">
        <v>99.912016337949296</v>
      </c>
      <c r="G11" s="814">
        <v>103.18955766439315</v>
      </c>
      <c r="H11" s="814">
        <v>96.240374778213962</v>
      </c>
      <c r="I11" s="814">
        <v>100.52880624749793</v>
      </c>
      <c r="J11" s="814">
        <v>93.322064663205637</v>
      </c>
      <c r="K11" s="814">
        <v>95.013677719203898</v>
      </c>
      <c r="L11" s="814">
        <v>91.532125420448267</v>
      </c>
      <c r="M11" s="814">
        <v>84.105416108299423</v>
      </c>
      <c r="N11" s="814">
        <v>104.26397579020961</v>
      </c>
      <c r="O11" s="814">
        <v>105.51660084277756</v>
      </c>
      <c r="P11" s="814">
        <v>117.46847419645773</v>
      </c>
      <c r="Q11" s="814">
        <v>113.71302889788296</v>
      </c>
      <c r="R11" s="814">
        <v>111.68427609040975</v>
      </c>
      <c r="S11" s="814">
        <v>107.97741540954297</v>
      </c>
      <c r="T11" s="814">
        <v>118.87408938825867</v>
      </c>
      <c r="U11" s="814">
        <v>108.30969199212517</v>
      </c>
      <c r="V11" s="814">
        <v>111.09079533194532</v>
      </c>
      <c r="W11" s="814">
        <v>119.98764766685271</v>
      </c>
      <c r="X11" s="814">
        <v>110.12972641051211</v>
      </c>
      <c r="Y11" s="814">
        <v>109.13493243348209</v>
      </c>
      <c r="Z11" s="814">
        <v>115.08849572937335</v>
      </c>
      <c r="AA11" s="814">
        <v>109.05326958097859</v>
      </c>
      <c r="AB11" s="814">
        <v>105.18076840786352</v>
      </c>
      <c r="AC11" s="814">
        <v>108.65449294598996</v>
      </c>
      <c r="AD11" s="814">
        <v>106.8926902073126</v>
      </c>
      <c r="AE11" s="814">
        <v>109.32501367852038</v>
      </c>
      <c r="AF11" s="814">
        <v>104.17662081845917</v>
      </c>
    </row>
    <row r="12" spans="1:32" x14ac:dyDescent="0.25">
      <c r="A12" s="817" t="s">
        <v>1778</v>
      </c>
      <c r="B12" s="814">
        <v>107.18472734716831</v>
      </c>
      <c r="C12" s="814">
        <v>106.80965507712052</v>
      </c>
      <c r="D12" s="814">
        <v>106.42863453060029</v>
      </c>
      <c r="E12" s="814">
        <v>106.03344828802062</v>
      </c>
      <c r="F12" s="814">
        <v>105.62742077629628</v>
      </c>
      <c r="G12" s="814">
        <v>105.16749002270976</v>
      </c>
      <c r="H12" s="814">
        <v>105.23751453210907</v>
      </c>
      <c r="I12" s="814">
        <v>105.45795803853511</v>
      </c>
      <c r="J12" s="814">
        <v>105.28285175902569</v>
      </c>
      <c r="K12" s="814">
        <v>105.20550747626086</v>
      </c>
      <c r="L12" s="814">
        <v>105.2388257799754</v>
      </c>
      <c r="M12" s="814">
        <v>105.7848057706266</v>
      </c>
      <c r="N12" s="814">
        <v>105.78480576760194</v>
      </c>
      <c r="O12" s="814">
        <v>107.28266369316664</v>
      </c>
      <c r="P12" s="814">
        <v>108.34739633883855</v>
      </c>
      <c r="Q12" s="814">
        <v>115.58962027716277</v>
      </c>
      <c r="R12" s="814">
        <v>123.05148852853117</v>
      </c>
      <c r="S12" s="814">
        <v>130.47212653831093</v>
      </c>
      <c r="T12" s="814">
        <v>130.47212640673786</v>
      </c>
      <c r="U12" s="814">
        <v>130.33888370178269</v>
      </c>
      <c r="V12" s="814">
        <v>130.27226230840418</v>
      </c>
      <c r="W12" s="814">
        <v>130.23895155807969</v>
      </c>
      <c r="X12" s="814">
        <v>130.20564099550276</v>
      </c>
      <c r="Y12" s="814">
        <v>130.17233028059445</v>
      </c>
      <c r="Z12" s="814">
        <v>130.2389516215425</v>
      </c>
      <c r="AA12" s="814">
        <v>130.23895161517933</v>
      </c>
      <c r="AB12" s="814">
        <v>130.23895168483534</v>
      </c>
      <c r="AC12" s="814">
        <v>130.20564093484657</v>
      </c>
      <c r="AD12" s="814">
        <v>130.20564084850139</v>
      </c>
      <c r="AE12" s="814">
        <v>129.93915531498195</v>
      </c>
      <c r="AF12" s="814">
        <v>129.70598046156394</v>
      </c>
    </row>
    <row r="13" spans="1:32" x14ac:dyDescent="0.25">
      <c r="A13" s="817" t="s">
        <v>1777</v>
      </c>
      <c r="B13" s="814">
        <v>181.64897804466131</v>
      </c>
      <c r="C13" s="814">
        <v>179.35494314130233</v>
      </c>
      <c r="D13" s="814">
        <v>177.06090823794329</v>
      </c>
      <c r="E13" s="814">
        <v>174.76687333458435</v>
      </c>
      <c r="F13" s="814">
        <v>172.47283843122537</v>
      </c>
      <c r="G13" s="814">
        <v>170.17880352786639</v>
      </c>
      <c r="H13" s="814">
        <v>170.17880352786639</v>
      </c>
      <c r="I13" s="814">
        <v>170.17880352786639</v>
      </c>
      <c r="J13" s="814">
        <v>170.17880352786636</v>
      </c>
      <c r="K13" s="814">
        <v>170.17880352786639</v>
      </c>
      <c r="L13" s="814">
        <v>170.17880352786639</v>
      </c>
      <c r="M13" s="814">
        <v>170.17880352786639</v>
      </c>
      <c r="N13" s="814">
        <v>170.17880352786639</v>
      </c>
      <c r="O13" s="814">
        <v>170.17880352786639</v>
      </c>
      <c r="P13" s="814">
        <v>160.90862615875398</v>
      </c>
      <c r="Q13" s="814">
        <v>160.908626158754</v>
      </c>
      <c r="R13" s="814">
        <v>160.908626158754</v>
      </c>
      <c r="S13" s="814">
        <v>163.55306323766231</v>
      </c>
      <c r="T13" s="814">
        <v>163.55306261435615</v>
      </c>
      <c r="U13" s="814">
        <v>163.55306386929439</v>
      </c>
      <c r="V13" s="814">
        <v>163.55306280859159</v>
      </c>
      <c r="W13" s="814">
        <v>161.14031254572836</v>
      </c>
      <c r="X13" s="814">
        <v>160.99673230431009</v>
      </c>
      <c r="Y13" s="814">
        <v>160.74767368511525</v>
      </c>
      <c r="Z13" s="814">
        <v>160.42247241145822</v>
      </c>
      <c r="AA13" s="814">
        <v>159.84214011436279</v>
      </c>
      <c r="AB13" s="814">
        <v>159.87287367927215</v>
      </c>
      <c r="AC13" s="814">
        <v>159.71901549523</v>
      </c>
      <c r="AD13" s="814">
        <v>159.49256597210749</v>
      </c>
      <c r="AE13" s="814">
        <v>159.27802012904087</v>
      </c>
      <c r="AF13" s="814">
        <v>159.17092654643409</v>
      </c>
    </row>
    <row r="14" spans="1:32" x14ac:dyDescent="0.25">
      <c r="A14" s="813" t="s">
        <v>1776</v>
      </c>
      <c r="B14" s="814">
        <v>20.192378720210161</v>
      </c>
      <c r="C14" s="814">
        <v>20.192378720210165</v>
      </c>
      <c r="D14" s="814">
        <v>20.192378720210161</v>
      </c>
      <c r="E14" s="814">
        <v>20.192378720210169</v>
      </c>
      <c r="F14" s="814">
        <v>20.192378720210169</v>
      </c>
      <c r="G14" s="814">
        <v>20.192378720210169</v>
      </c>
      <c r="H14" s="814">
        <v>20.192378720210169</v>
      </c>
      <c r="I14" s="814">
        <v>20.192378720210169</v>
      </c>
      <c r="J14" s="814">
        <v>20.192378720210169</v>
      </c>
      <c r="K14" s="814">
        <v>20.192378720210169</v>
      </c>
      <c r="L14" s="814">
        <v>20.192378720210169</v>
      </c>
      <c r="M14" s="814">
        <v>20.192378720210165</v>
      </c>
      <c r="N14" s="814">
        <v>20.192378720210169</v>
      </c>
      <c r="O14" s="814">
        <v>20.192378720210165</v>
      </c>
      <c r="P14" s="814">
        <v>20.192378720210169</v>
      </c>
      <c r="Q14" s="814">
        <v>20.192378720210169</v>
      </c>
      <c r="R14" s="814">
        <v>20.192378720210169</v>
      </c>
      <c r="S14" s="814">
        <v>20.192378720210169</v>
      </c>
      <c r="T14" s="814">
        <v>20.192378720210169</v>
      </c>
      <c r="U14" s="814">
        <v>20.192378720210169</v>
      </c>
      <c r="V14" s="814">
        <v>20.192378720210169</v>
      </c>
      <c r="W14" s="814">
        <v>20.192378720210169</v>
      </c>
      <c r="X14" s="814">
        <v>20.192378720210169</v>
      </c>
      <c r="Y14" s="814">
        <v>20.192378720210169</v>
      </c>
      <c r="Z14" s="814">
        <v>20.192378720210165</v>
      </c>
      <c r="AA14" s="814">
        <v>20.192378720210169</v>
      </c>
      <c r="AB14" s="814">
        <v>20.192378720210169</v>
      </c>
      <c r="AC14" s="814">
        <v>20.192378720210169</v>
      </c>
      <c r="AD14" s="814">
        <v>20.192378720210169</v>
      </c>
      <c r="AE14" s="814">
        <v>20.192378720210169</v>
      </c>
      <c r="AF14" s="814">
        <v>20.192378720210169</v>
      </c>
    </row>
    <row r="15" spans="1:32" x14ac:dyDescent="0.25">
      <c r="A15" s="818" t="s">
        <v>1217</v>
      </c>
      <c r="B15" s="814"/>
      <c r="C15" s="814"/>
      <c r="D15" s="814"/>
      <c r="E15" s="814"/>
      <c r="F15" s="814"/>
      <c r="G15" s="814"/>
      <c r="H15" s="814"/>
      <c r="I15" s="814"/>
      <c r="J15" s="814"/>
      <c r="K15" s="814"/>
      <c r="L15" s="814"/>
      <c r="M15" s="814"/>
      <c r="N15" s="814"/>
      <c r="O15" s="814"/>
      <c r="P15" s="814"/>
      <c r="Q15" s="814"/>
      <c r="R15" s="814"/>
      <c r="S15" s="814"/>
      <c r="T15" s="814"/>
      <c r="U15" s="814"/>
      <c r="V15" s="814"/>
      <c r="W15" s="814"/>
      <c r="X15" s="814"/>
      <c r="Y15" s="814"/>
      <c r="Z15" s="814"/>
      <c r="AA15" s="814"/>
      <c r="AB15" s="814"/>
      <c r="AC15" s="814"/>
      <c r="AD15" s="814"/>
      <c r="AE15" s="814"/>
      <c r="AF15" s="814"/>
    </row>
    <row r="16" spans="1:32" x14ac:dyDescent="0.25">
      <c r="A16" s="817" t="s">
        <v>1775</v>
      </c>
      <c r="B16" s="814">
        <v>62.293150684931497</v>
      </c>
      <c r="C16" s="814">
        <v>62.293150684931497</v>
      </c>
      <c r="D16" s="814">
        <v>62.293150684931497</v>
      </c>
      <c r="E16" s="814">
        <v>62.293150684931497</v>
      </c>
      <c r="F16" s="814">
        <v>62.29315068493149</v>
      </c>
      <c r="G16" s="814">
        <v>62.293150684931504</v>
      </c>
      <c r="H16" s="814">
        <v>62.293150684931497</v>
      </c>
      <c r="I16" s="814">
        <v>62.293150684931504</v>
      </c>
      <c r="J16" s="814">
        <v>64.209863013698623</v>
      </c>
      <c r="K16" s="814">
        <v>64.209863013698623</v>
      </c>
      <c r="L16" s="814">
        <v>64.209863013698623</v>
      </c>
      <c r="M16" s="814">
        <v>66.605753424657536</v>
      </c>
      <c r="N16" s="814">
        <v>66.605753424657536</v>
      </c>
      <c r="O16" s="814">
        <v>69.289150684931499</v>
      </c>
      <c r="P16" s="814">
        <v>69.097479452054785</v>
      </c>
      <c r="Q16" s="814">
        <v>69.4808219178082</v>
      </c>
      <c r="R16" s="814">
        <v>70.439178082191773</v>
      </c>
      <c r="S16" s="814">
        <v>71.397534246575333</v>
      </c>
      <c r="T16" s="814">
        <v>71.110027397260282</v>
      </c>
      <c r="U16" s="814">
        <v>71.876712328767098</v>
      </c>
      <c r="V16" s="814">
        <v>72.835068493150686</v>
      </c>
      <c r="W16" s="814">
        <v>73.553835616438334</v>
      </c>
      <c r="X16" s="814">
        <v>73.793424657534246</v>
      </c>
      <c r="Y16" s="814">
        <v>79.064383561643837</v>
      </c>
      <c r="Z16" s="814">
        <v>72.595479452054803</v>
      </c>
      <c r="AA16" s="814">
        <v>72.355890410958892</v>
      </c>
      <c r="AB16" s="814">
        <v>71.685041095890398</v>
      </c>
      <c r="AC16" s="814">
        <v>71.110027397260268</v>
      </c>
      <c r="AD16" s="814">
        <v>70.535013698630138</v>
      </c>
      <c r="AE16" s="814">
        <v>71.51018903045042</v>
      </c>
      <c r="AF16" s="814">
        <v>71.898754520547939</v>
      </c>
    </row>
    <row r="17" spans="1:32" x14ac:dyDescent="0.25">
      <c r="A17" s="817" t="s">
        <v>1774</v>
      </c>
      <c r="B17" s="814">
        <v>5.7886888767123281</v>
      </c>
      <c r="C17" s="814">
        <v>6.2811360000000009</v>
      </c>
      <c r="D17" s="814">
        <v>6.6961534794520547</v>
      </c>
      <c r="E17" s="814">
        <v>7.1599083424657533</v>
      </c>
      <c r="F17" s="814">
        <v>7.760100821917808</v>
      </c>
      <c r="G17" s="814">
        <v>7.5632572602739723</v>
      </c>
      <c r="H17" s="814">
        <v>7.7945991780821924</v>
      </c>
      <c r="I17" s="814">
        <v>7.711397260273972</v>
      </c>
      <c r="J17" s="814">
        <v>9.552874416438355</v>
      </c>
      <c r="K17" s="814">
        <v>9.8472978186301372</v>
      </c>
      <c r="L17" s="814">
        <v>9.4533211797260268</v>
      </c>
      <c r="M17" s="814">
        <v>9.294459631780823</v>
      </c>
      <c r="N17" s="814">
        <v>9.5274565687671213</v>
      </c>
      <c r="O17" s="814">
        <v>8.9233177479452053</v>
      </c>
      <c r="P17" s="814">
        <v>9.3979312504109611</v>
      </c>
      <c r="Q17" s="814">
        <v>9.3111995870684936</v>
      </c>
      <c r="R17" s="814">
        <v>9.8036373304109592</v>
      </c>
      <c r="S17" s="814">
        <v>9.8888130953424671</v>
      </c>
      <c r="T17" s="814">
        <v>11.003207857534248</v>
      </c>
      <c r="U17" s="814">
        <v>10.488433758904112</v>
      </c>
      <c r="V17" s="814">
        <v>10.251558575342465</v>
      </c>
      <c r="W17" s="814">
        <v>10.791469844821918</v>
      </c>
      <c r="X17" s="814">
        <v>11.089434446904109</v>
      </c>
      <c r="Y17" s="814">
        <v>10.607626706849311</v>
      </c>
      <c r="Z17" s="814">
        <v>10.617025051178082</v>
      </c>
      <c r="AA17" s="814">
        <v>10.619670917260274</v>
      </c>
      <c r="AB17" s="814">
        <v>11.116223840986301</v>
      </c>
      <c r="AC17" s="814">
        <v>10.929294746136987</v>
      </c>
      <c r="AD17" s="814">
        <v>10.744509329534246</v>
      </c>
      <c r="AE17" s="814">
        <v>10.855286294382722</v>
      </c>
      <c r="AF17" s="814">
        <v>10.292322345213647</v>
      </c>
    </row>
    <row r="18" spans="1:32" x14ac:dyDescent="0.25">
      <c r="A18" s="817" t="s">
        <v>1773</v>
      </c>
      <c r="B18" s="814">
        <v>48.063178767123297</v>
      </c>
      <c r="C18" s="814">
        <v>47.784673972602747</v>
      </c>
      <c r="D18" s="814">
        <v>47.164104041095896</v>
      </c>
      <c r="E18" s="814">
        <v>43.885380000000005</v>
      </c>
      <c r="F18" s="814">
        <v>46.179828493150687</v>
      </c>
      <c r="G18" s="814">
        <v>45.129402739726025</v>
      </c>
      <c r="H18" s="814">
        <v>46.792576849315061</v>
      </c>
      <c r="I18" s="814">
        <v>46.043662191780825</v>
      </c>
      <c r="J18" s="814">
        <v>38.739511232876708</v>
      </c>
      <c r="K18" s="814">
        <v>40.654573150684932</v>
      </c>
      <c r="L18" s="814">
        <v>39.111090410958901</v>
      </c>
      <c r="M18" s="814">
        <v>40.022752438356157</v>
      </c>
      <c r="N18" s="814">
        <v>40.904742575342475</v>
      </c>
      <c r="O18" s="814">
        <v>40.324809863013698</v>
      </c>
      <c r="P18" s="814">
        <v>40.577160821917808</v>
      </c>
      <c r="Q18" s="814">
        <v>37.495565999999997</v>
      </c>
      <c r="R18" s="814">
        <v>38.244114863013699</v>
      </c>
      <c r="S18" s="814">
        <v>38.02582910958904</v>
      </c>
      <c r="T18" s="814">
        <v>38.433491506849315</v>
      </c>
      <c r="U18" s="814">
        <v>39.377142123287683</v>
      </c>
      <c r="V18" s="814">
        <v>36.953895205479448</v>
      </c>
      <c r="W18" s="814">
        <v>37.972980308219178</v>
      </c>
      <c r="X18" s="814">
        <v>37.650039041095894</v>
      </c>
      <c r="Y18" s="814">
        <v>38.458813561643836</v>
      </c>
      <c r="Z18" s="814">
        <v>40.106516547945212</v>
      </c>
      <c r="AA18" s="814">
        <v>39.667001671232867</v>
      </c>
      <c r="AB18" s="814">
        <v>38.734880671232879</v>
      </c>
      <c r="AC18" s="814">
        <v>39.145764328767129</v>
      </c>
      <c r="AD18" s="814">
        <v>38.859066493150692</v>
      </c>
      <c r="AE18" s="814">
        <v>37.895960192032206</v>
      </c>
      <c r="AF18" s="814">
        <v>37.649387008087018</v>
      </c>
    </row>
    <row r="19" spans="1:32" x14ac:dyDescent="0.25">
      <c r="A19" s="813" t="s">
        <v>1772</v>
      </c>
      <c r="B19" s="814">
        <v>40.097065490711195</v>
      </c>
      <c r="C19" s="814">
        <v>40.097065490711195</v>
      </c>
      <c r="D19" s="814">
        <v>40.097065490711209</v>
      </c>
      <c r="E19" s="814">
        <v>40.097065490711202</v>
      </c>
      <c r="F19" s="814">
        <v>40.097065490711202</v>
      </c>
      <c r="G19" s="814">
        <v>40.097065490711202</v>
      </c>
      <c r="H19" s="814">
        <v>40.097065490711195</v>
      </c>
      <c r="I19" s="814">
        <v>40.097065490711195</v>
      </c>
      <c r="J19" s="814">
        <v>40.097065490711209</v>
      </c>
      <c r="K19" s="814">
        <v>40.097065490711209</v>
      </c>
      <c r="L19" s="814">
        <v>40.097065490711195</v>
      </c>
      <c r="M19" s="814">
        <v>40.097065490711202</v>
      </c>
      <c r="N19" s="814">
        <v>40.097065490711202</v>
      </c>
      <c r="O19" s="814">
        <v>40.097065490711195</v>
      </c>
      <c r="P19" s="814">
        <v>40.097065490711202</v>
      </c>
      <c r="Q19" s="814">
        <v>39.242620400075062</v>
      </c>
      <c r="R19" s="814">
        <v>39.390302159075574</v>
      </c>
      <c r="S19" s="814">
        <v>39.492592738600116</v>
      </c>
      <c r="T19" s="814">
        <v>39.64371092662789</v>
      </c>
      <c r="U19" s="814">
        <v>39.734933249014823</v>
      </c>
      <c r="V19" s="814">
        <v>39.73679115835332</v>
      </c>
      <c r="W19" s="814">
        <v>39.7386492700319</v>
      </c>
      <c r="X19" s="814">
        <v>39.803379958716455</v>
      </c>
      <c r="Y19" s="814">
        <v>39.840060682304369</v>
      </c>
      <c r="Z19" s="814">
        <v>39.806376749859268</v>
      </c>
      <c r="AA19" s="814">
        <v>39.816925454681929</v>
      </c>
      <c r="AB19" s="814">
        <v>39.853965633128652</v>
      </c>
      <c r="AC19" s="814">
        <v>39.917617637080127</v>
      </c>
      <c r="AD19" s="814">
        <v>39.865113856258205</v>
      </c>
      <c r="AE19" s="814">
        <v>39.897718943891917</v>
      </c>
      <c r="AF19" s="814">
        <v>39.885851650966416</v>
      </c>
    </row>
    <row r="20" spans="1:32" x14ac:dyDescent="0.25">
      <c r="A20" s="813" t="s">
        <v>1213</v>
      </c>
      <c r="B20" s="814">
        <v>133.01164339726026</v>
      </c>
      <c r="C20" s="814">
        <v>133.01164339726026</v>
      </c>
      <c r="D20" s="814">
        <v>133.01164339726026</v>
      </c>
      <c r="E20" s="814">
        <v>133.01164339726026</v>
      </c>
      <c r="F20" s="814">
        <v>133.01164339726026</v>
      </c>
      <c r="G20" s="814">
        <v>133.01164339726026</v>
      </c>
      <c r="H20" s="814">
        <v>133.01164339726026</v>
      </c>
      <c r="I20" s="814">
        <v>133.01164339726026</v>
      </c>
      <c r="J20" s="814">
        <v>133.01164339726026</v>
      </c>
      <c r="K20" s="814">
        <v>133.01164339726026</v>
      </c>
      <c r="L20" s="814">
        <v>133.01164339726026</v>
      </c>
      <c r="M20" s="814">
        <v>133.01164339726026</v>
      </c>
      <c r="N20" s="814">
        <v>133.01164339726026</v>
      </c>
      <c r="O20" s="814">
        <v>133.0204421917808</v>
      </c>
      <c r="P20" s="814">
        <v>133.0204421917808</v>
      </c>
      <c r="Q20" s="814">
        <v>133.0204421917808</v>
      </c>
      <c r="R20" s="814">
        <v>133.02044219178083</v>
      </c>
      <c r="S20" s="814">
        <v>133.01210999999998</v>
      </c>
      <c r="T20" s="814">
        <v>133.01210999999998</v>
      </c>
      <c r="U20" s="814">
        <v>133.01210999999998</v>
      </c>
      <c r="V20" s="814">
        <v>133.0204421917808</v>
      </c>
      <c r="W20" s="814">
        <v>133.01210999999998</v>
      </c>
      <c r="X20" s="814">
        <v>133.01210999999998</v>
      </c>
      <c r="Y20" s="814">
        <v>133.01210999999998</v>
      </c>
      <c r="Z20" s="814">
        <v>133.01210999999998</v>
      </c>
      <c r="AA20" s="814">
        <v>133.01210999999998</v>
      </c>
      <c r="AB20" s="814">
        <v>133.01210999999998</v>
      </c>
      <c r="AC20" s="814">
        <v>133.01210999999998</v>
      </c>
      <c r="AD20" s="814">
        <v>133.01211000000001</v>
      </c>
      <c r="AE20" s="814">
        <v>133.01211000000001</v>
      </c>
      <c r="AF20" s="814">
        <v>148.19402999999997</v>
      </c>
    </row>
    <row r="21" spans="1:32" x14ac:dyDescent="0.25">
      <c r="A21" s="813" t="s">
        <v>1212</v>
      </c>
      <c r="B21" s="812"/>
      <c r="C21" s="812"/>
      <c r="D21" s="812"/>
      <c r="E21" s="812"/>
      <c r="F21" s="812"/>
      <c r="G21" s="812"/>
      <c r="H21" s="812"/>
      <c r="I21" s="812"/>
      <c r="J21" s="812"/>
      <c r="K21" s="812"/>
      <c r="L21" s="812"/>
      <c r="M21" s="812"/>
      <c r="N21" s="812"/>
      <c r="O21" s="812"/>
      <c r="P21" s="812"/>
      <c r="Q21" s="812"/>
      <c r="R21" s="812"/>
      <c r="S21" s="812"/>
      <c r="T21" s="812"/>
      <c r="U21" s="812"/>
      <c r="V21" s="812"/>
      <c r="W21" s="812"/>
      <c r="X21" s="812"/>
      <c r="Y21" s="812"/>
      <c r="Z21" s="812"/>
      <c r="AA21" s="812"/>
      <c r="AB21" s="812"/>
      <c r="AC21" s="812"/>
      <c r="AD21" s="812"/>
      <c r="AE21" s="812"/>
      <c r="AF21" s="812"/>
    </row>
    <row r="22" spans="1:32" x14ac:dyDescent="0.25">
      <c r="A22" s="816" t="s">
        <v>1771</v>
      </c>
      <c r="B22" s="815">
        <v>3.1709524091994861</v>
      </c>
      <c r="C22" s="815">
        <v>3.1908972215853906</v>
      </c>
      <c r="D22" s="815">
        <v>3.4765153431634928</v>
      </c>
      <c r="E22" s="815">
        <v>3.3823535952024253</v>
      </c>
      <c r="F22" s="815">
        <v>3.3878960157372173</v>
      </c>
      <c r="G22" s="815">
        <v>3.7117844799075352</v>
      </c>
      <c r="H22" s="815">
        <v>3.5108948940973308</v>
      </c>
      <c r="I22" s="815">
        <v>3.7520324951039941</v>
      </c>
      <c r="J22" s="815">
        <v>3.2112941159255217</v>
      </c>
      <c r="K22" s="815">
        <v>3.294680052533999</v>
      </c>
      <c r="L22" s="815">
        <v>3.2394201359793429</v>
      </c>
      <c r="M22" s="815">
        <v>3.0870220522376548</v>
      </c>
      <c r="N22" s="815">
        <v>3.0764802140038499</v>
      </c>
      <c r="O22" s="815">
        <v>3.6033335083941704</v>
      </c>
      <c r="P22" s="815">
        <v>3.5680994794353809</v>
      </c>
      <c r="Q22" s="815">
        <v>4.4765101974840356</v>
      </c>
      <c r="R22" s="815">
        <v>4.3369680164874511</v>
      </c>
      <c r="S22" s="815">
        <v>3.9261768533597565</v>
      </c>
      <c r="T22" s="815">
        <v>3.9951556434671049</v>
      </c>
      <c r="U22" s="815">
        <v>3.8360935110119541</v>
      </c>
      <c r="V22" s="815">
        <v>3.5489241204301369</v>
      </c>
      <c r="W22" s="815">
        <v>3.9369236009392323</v>
      </c>
      <c r="X22" s="815">
        <v>3.6163695105520071</v>
      </c>
      <c r="Y22" s="815">
        <v>2.9030711955648298</v>
      </c>
      <c r="Z22" s="815">
        <v>2.6834612149042711</v>
      </c>
      <c r="AA22" s="815">
        <v>2.9444768588609462</v>
      </c>
      <c r="AB22" s="815">
        <v>3.195391672382637</v>
      </c>
      <c r="AC22" s="815">
        <v>2.4579320112238352</v>
      </c>
      <c r="AD22" s="815">
        <v>2.8869905696634515</v>
      </c>
      <c r="AE22" s="815">
        <v>2.8449539895175091</v>
      </c>
      <c r="AF22" s="815">
        <v>2.9659019848633452</v>
      </c>
    </row>
    <row r="23" spans="1:32" x14ac:dyDescent="0.25">
      <c r="A23" s="816" t="s">
        <v>1770</v>
      </c>
      <c r="B23" s="815">
        <v>0.41284718776800794</v>
      </c>
      <c r="C23" s="815">
        <v>0.4134399340258606</v>
      </c>
      <c r="D23" s="815">
        <v>0.44930103237278618</v>
      </c>
      <c r="E23" s="815">
        <v>0.43863161552039992</v>
      </c>
      <c r="F23" s="815">
        <v>0.44218808749190025</v>
      </c>
      <c r="G23" s="815">
        <v>0.48338389424762396</v>
      </c>
      <c r="H23" s="815">
        <v>0.46026682189358192</v>
      </c>
      <c r="I23" s="815">
        <v>0.48812585678701559</v>
      </c>
      <c r="J23" s="815">
        <v>0.47330722069464043</v>
      </c>
      <c r="K23" s="815">
        <v>0.48368026741310849</v>
      </c>
      <c r="L23" s="815">
        <v>0.47145761139635661</v>
      </c>
      <c r="M23" s="815">
        <v>0.45183797119066432</v>
      </c>
      <c r="N23" s="815">
        <v>0.44947232576717178</v>
      </c>
      <c r="O23" s="815">
        <v>0.50329072731498004</v>
      </c>
      <c r="P23" s="815">
        <v>0.50132481435702947</v>
      </c>
      <c r="Q23" s="815">
        <v>0.61991863868430286</v>
      </c>
      <c r="R23" s="815">
        <v>0.59855229377456975</v>
      </c>
      <c r="S23" s="815">
        <v>0.55424855534795836</v>
      </c>
      <c r="T23" s="815">
        <v>0.54659847383369542</v>
      </c>
      <c r="U23" s="815">
        <v>0.53114014572011004</v>
      </c>
      <c r="V23" s="815">
        <v>0.4917625163113904</v>
      </c>
      <c r="W23" s="815">
        <v>0.53739560983434576</v>
      </c>
      <c r="X23" s="815">
        <v>0.48572030059373772</v>
      </c>
      <c r="Y23" s="815">
        <v>0.39515804125382553</v>
      </c>
      <c r="Z23" s="815">
        <v>0.36359575770979219</v>
      </c>
      <c r="AA23" s="815">
        <v>0.39924191258566483</v>
      </c>
      <c r="AB23" s="815">
        <v>0.43229046288653949</v>
      </c>
      <c r="AC23" s="815">
        <v>0.33322049632949802</v>
      </c>
      <c r="AD23" s="815">
        <v>0.39039938166743582</v>
      </c>
      <c r="AE23" s="815">
        <v>0.38544290286179433</v>
      </c>
      <c r="AF23" s="815">
        <v>0.40141638206170399</v>
      </c>
    </row>
    <row r="24" spans="1:32" x14ac:dyDescent="0.25">
      <c r="A24" s="816" t="s">
        <v>1769</v>
      </c>
      <c r="B24" s="815">
        <v>1.8233261506849316</v>
      </c>
      <c r="C24" s="815">
        <v>1.8859671369863011</v>
      </c>
      <c r="D24" s="815">
        <v>1.6204713287671233</v>
      </c>
      <c r="E24" s="815">
        <v>1.6066320410958903</v>
      </c>
      <c r="F24" s="815">
        <v>1.90854702739726</v>
      </c>
      <c r="G24" s="815">
        <v>1.7701541506849314</v>
      </c>
      <c r="H24" s="815">
        <v>1.6485140958904112</v>
      </c>
      <c r="I24" s="815">
        <v>1.7484847397260272</v>
      </c>
      <c r="J24" s="815">
        <v>1.7839934383561642</v>
      </c>
      <c r="K24" s="815">
        <v>1.6997073455527796</v>
      </c>
      <c r="L24" s="815">
        <v>1.5506774131292389</v>
      </c>
      <c r="M24" s="815">
        <v>1.6237751850345203</v>
      </c>
      <c r="N24" s="815">
        <v>1.6709652403446575</v>
      </c>
      <c r="O24" s="815">
        <v>2.1163023257046429</v>
      </c>
      <c r="P24" s="815">
        <v>2.3752846407427382</v>
      </c>
      <c r="Q24" s="815">
        <v>1.9684455715177982</v>
      </c>
      <c r="R24" s="815">
        <v>1.6142514780759101</v>
      </c>
      <c r="S24" s="815">
        <v>1.8398371161845934</v>
      </c>
      <c r="T24" s="815">
        <v>2.202548581141587</v>
      </c>
      <c r="U24" s="815">
        <v>1.3918666958711747</v>
      </c>
      <c r="V24" s="815">
        <v>1.6704863113197297</v>
      </c>
      <c r="W24" s="815">
        <v>1.5793198075460104</v>
      </c>
      <c r="X24" s="815">
        <v>1.5577076009280906</v>
      </c>
      <c r="Y24" s="815">
        <v>1.5217413607398262</v>
      </c>
      <c r="Z24" s="815">
        <v>1.5833406654434323</v>
      </c>
      <c r="AA24" s="815">
        <v>1.7603166460151807</v>
      </c>
      <c r="AB24" s="815">
        <v>1.7319542257810838</v>
      </c>
      <c r="AC24" s="815">
        <v>1.4691640171220759</v>
      </c>
      <c r="AD24" s="815">
        <v>1.6286678251032758</v>
      </c>
      <c r="AE24" s="815">
        <v>1.3988358374187462</v>
      </c>
      <c r="AF24" s="815">
        <v>1.4963368425701997</v>
      </c>
    </row>
    <row r="25" spans="1:32" x14ac:dyDescent="0.25">
      <c r="A25" s="816" t="s">
        <v>1768</v>
      </c>
      <c r="B25" s="815">
        <v>3.7451200240065536</v>
      </c>
      <c r="C25" s="815">
        <v>3.8564038795184366</v>
      </c>
      <c r="D25" s="815">
        <v>3.8683077930869705</v>
      </c>
      <c r="E25" s="815">
        <v>4.0923871172991992</v>
      </c>
      <c r="F25" s="815">
        <v>3.9549841300951498</v>
      </c>
      <c r="G25" s="815">
        <v>3.8967862244915512</v>
      </c>
      <c r="H25" s="815">
        <v>4.0136540222640713</v>
      </c>
      <c r="I25" s="815">
        <v>4.1726500873613119</v>
      </c>
      <c r="J25" s="815">
        <v>3.9694171049299727</v>
      </c>
      <c r="K25" s="815">
        <v>3.8855087724017996</v>
      </c>
      <c r="L25" s="815">
        <v>4.0406636359035648</v>
      </c>
      <c r="M25" s="815">
        <v>3.9446999692890619</v>
      </c>
      <c r="N25" s="815">
        <v>3.8899557796426136</v>
      </c>
      <c r="O25" s="815">
        <v>3.8117841931360643</v>
      </c>
      <c r="P25" s="815">
        <v>3.9777470104029322</v>
      </c>
      <c r="Q25" s="815">
        <v>4.0979041254467212</v>
      </c>
      <c r="R25" s="815">
        <v>3.8962074906750934</v>
      </c>
      <c r="S25" s="815">
        <v>4.3725482094261263</v>
      </c>
      <c r="T25" s="815">
        <v>4.0667476832039684</v>
      </c>
      <c r="U25" s="815">
        <v>3.7546899306398616</v>
      </c>
      <c r="V25" s="815">
        <v>3.9126595389690215</v>
      </c>
      <c r="W25" s="815">
        <v>4.0215569087524692</v>
      </c>
      <c r="X25" s="815">
        <v>4.9539446001506517</v>
      </c>
      <c r="Y25" s="815">
        <v>5.0574159885225098</v>
      </c>
      <c r="Z25" s="815">
        <v>4.9836003666060806</v>
      </c>
      <c r="AA25" s="815">
        <v>4.9274142822143219</v>
      </c>
      <c r="AB25" s="815">
        <v>5.2932272661028685</v>
      </c>
      <c r="AC25" s="815">
        <v>4.6218515072811552</v>
      </c>
      <c r="AD25" s="815">
        <v>4.8244200250441729</v>
      </c>
      <c r="AE25" s="815">
        <v>4.8644519429557818</v>
      </c>
      <c r="AF25" s="815">
        <v>5.120096497552419</v>
      </c>
    </row>
    <row r="26" spans="1:32" x14ac:dyDescent="0.25">
      <c r="A26" s="813" t="s">
        <v>1215</v>
      </c>
      <c r="B26" s="814">
        <v>34.461479452054789</v>
      </c>
      <c r="C26" s="814">
        <v>34.461479452054789</v>
      </c>
      <c r="D26" s="814">
        <v>34.461479452054789</v>
      </c>
      <c r="E26" s="814">
        <v>34.461479452054789</v>
      </c>
      <c r="F26" s="814">
        <v>34.461479452054789</v>
      </c>
      <c r="G26" s="814">
        <v>34.461479452054789</v>
      </c>
      <c r="H26" s="814">
        <v>34.461479452054789</v>
      </c>
      <c r="I26" s="814">
        <v>34.461479452054789</v>
      </c>
      <c r="J26" s="814">
        <v>34.461479452054789</v>
      </c>
      <c r="K26" s="814">
        <v>34.461479452054789</v>
      </c>
      <c r="L26" s="814">
        <v>34.461479452054789</v>
      </c>
      <c r="M26" s="814">
        <v>34.461479452054789</v>
      </c>
      <c r="N26" s="814">
        <v>34.461479452054789</v>
      </c>
      <c r="O26" s="814">
        <v>34.461479452054789</v>
      </c>
      <c r="P26" s="814">
        <v>34.461479452054789</v>
      </c>
      <c r="Q26" s="814">
        <v>34.461479452054789</v>
      </c>
      <c r="R26" s="814">
        <v>34.461479452054789</v>
      </c>
      <c r="S26" s="814">
        <v>34.461479452054789</v>
      </c>
      <c r="T26" s="814">
        <v>34.461479452054789</v>
      </c>
      <c r="U26" s="814">
        <v>34.461479452054789</v>
      </c>
      <c r="V26" s="814">
        <v>34.461479452054789</v>
      </c>
      <c r="W26" s="814">
        <v>34.461479452054789</v>
      </c>
      <c r="X26" s="814">
        <v>34.461479452054789</v>
      </c>
      <c r="Y26" s="814">
        <v>34.461479452054789</v>
      </c>
      <c r="Z26" s="814">
        <v>34.461479452054789</v>
      </c>
      <c r="AA26" s="814">
        <v>34.461479452054789</v>
      </c>
      <c r="AB26" s="814">
        <v>34.461479452054789</v>
      </c>
      <c r="AC26" s="814">
        <v>34.461479452054789</v>
      </c>
      <c r="AD26" s="814">
        <v>34.461479452054789</v>
      </c>
      <c r="AE26" s="814">
        <v>34.461479452054789</v>
      </c>
      <c r="AF26" s="814">
        <v>34.461479452054789</v>
      </c>
    </row>
    <row r="27" spans="1:32" x14ac:dyDescent="0.25">
      <c r="A27" s="813" t="s">
        <v>1767</v>
      </c>
      <c r="B27" s="814">
        <v>6.2788613210732578</v>
      </c>
      <c r="C27" s="814">
        <v>6.2294996698102381</v>
      </c>
      <c r="D27" s="814">
        <v>6.2435689894826485</v>
      </c>
      <c r="E27" s="814">
        <v>6.2315763577687875</v>
      </c>
      <c r="F27" s="814">
        <v>6.2284507322340463</v>
      </c>
      <c r="G27" s="814">
        <v>6.2303627722101274</v>
      </c>
      <c r="H27" s="814">
        <v>6.2360410206673293</v>
      </c>
      <c r="I27" s="814">
        <v>6.2304107911479649</v>
      </c>
      <c r="J27" s="814">
        <v>6.220901804966628</v>
      </c>
      <c r="K27" s="814">
        <v>6.2047702834622767</v>
      </c>
      <c r="L27" s="814">
        <v>6.1991265764742929</v>
      </c>
      <c r="M27" s="814">
        <v>6.1894126122591357</v>
      </c>
      <c r="N27" s="814">
        <v>6.1847922270487175</v>
      </c>
      <c r="O27" s="814">
        <v>6.3439707631186115</v>
      </c>
      <c r="P27" s="814">
        <v>6.3441049096537316</v>
      </c>
      <c r="Q27" s="814">
        <v>6.7599957433365985</v>
      </c>
      <c r="R27" s="814">
        <v>6.7408316696655648</v>
      </c>
      <c r="S27" s="814">
        <v>6.7418765807401382</v>
      </c>
      <c r="T27" s="814">
        <v>6.882130283392395</v>
      </c>
      <c r="U27" s="814">
        <v>7.194236959588987</v>
      </c>
      <c r="V27" s="814">
        <v>7.1951728388014677</v>
      </c>
      <c r="W27" s="814">
        <v>7.1966601754829691</v>
      </c>
      <c r="X27" s="814">
        <v>7.1899616438356162</v>
      </c>
      <c r="Y27" s="814">
        <v>8.0258575342465761</v>
      </c>
      <c r="Z27" s="814">
        <v>7.7901726027397258</v>
      </c>
      <c r="AA27" s="814">
        <v>8.1201315068493152</v>
      </c>
      <c r="AB27" s="814">
        <v>8.1169890410958896</v>
      </c>
      <c r="AC27" s="814">
        <v>8.1169890410958914</v>
      </c>
      <c r="AD27" s="814">
        <v>7.5073506849315077</v>
      </c>
      <c r="AE27" s="814">
        <v>7.5073506849315059</v>
      </c>
      <c r="AF27" s="814">
        <v>7.5073506849315077</v>
      </c>
    </row>
    <row r="28" spans="1:32" x14ac:dyDescent="0.25">
      <c r="A28" s="813" t="s">
        <v>1211</v>
      </c>
      <c r="B28" s="812" t="s">
        <v>799</v>
      </c>
      <c r="C28" s="812" t="s">
        <v>799</v>
      </c>
      <c r="D28" s="812" t="s">
        <v>799</v>
      </c>
      <c r="E28" s="812" t="s">
        <v>799</v>
      </c>
      <c r="F28" s="812" t="s">
        <v>799</v>
      </c>
      <c r="G28" s="812" t="s">
        <v>799</v>
      </c>
      <c r="H28" s="812" t="s">
        <v>799</v>
      </c>
      <c r="I28" s="812" t="s">
        <v>799</v>
      </c>
      <c r="J28" s="812" t="s">
        <v>799</v>
      </c>
      <c r="K28" s="812" t="s">
        <v>799</v>
      </c>
      <c r="L28" s="812" t="s">
        <v>799</v>
      </c>
      <c r="M28" s="812" t="s">
        <v>799</v>
      </c>
      <c r="N28" s="812" t="s">
        <v>799</v>
      </c>
      <c r="O28" s="812" t="s">
        <v>799</v>
      </c>
      <c r="P28" s="812" t="s">
        <v>799</v>
      </c>
      <c r="Q28" s="812" t="s">
        <v>799</v>
      </c>
      <c r="R28" s="812" t="s">
        <v>799</v>
      </c>
      <c r="S28" s="812" t="s">
        <v>799</v>
      </c>
      <c r="T28" s="812" t="s">
        <v>799</v>
      </c>
      <c r="U28" s="812" t="s">
        <v>799</v>
      </c>
      <c r="V28" s="812" t="s">
        <v>799</v>
      </c>
      <c r="W28" s="812" t="s">
        <v>799</v>
      </c>
      <c r="X28" s="812" t="s">
        <v>799</v>
      </c>
      <c r="Y28" s="812" t="s">
        <v>799</v>
      </c>
      <c r="Z28" s="812" t="s">
        <v>799</v>
      </c>
      <c r="AA28" s="812" t="s">
        <v>799</v>
      </c>
      <c r="AB28" s="812" t="s">
        <v>799</v>
      </c>
      <c r="AC28" s="812" t="s">
        <v>799</v>
      </c>
      <c r="AD28" s="812" t="s">
        <v>799</v>
      </c>
      <c r="AE28" s="812" t="s">
        <v>799</v>
      </c>
      <c r="AF28" s="812" t="s">
        <v>799</v>
      </c>
    </row>
    <row r="29" spans="1:32" ht="15.75" thickBot="1" x14ac:dyDescent="0.3">
      <c r="A29" s="811" t="s">
        <v>1766</v>
      </c>
      <c r="B29" s="810" t="s">
        <v>799</v>
      </c>
      <c r="C29" s="810" t="s">
        <v>799</v>
      </c>
      <c r="D29" s="810" t="s">
        <v>799</v>
      </c>
      <c r="E29" s="810" t="s">
        <v>799</v>
      </c>
      <c r="F29" s="810" t="s">
        <v>799</v>
      </c>
      <c r="G29" s="810" t="s">
        <v>799</v>
      </c>
      <c r="H29" s="810" t="s">
        <v>799</v>
      </c>
      <c r="I29" s="810" t="s">
        <v>799</v>
      </c>
      <c r="J29" s="810" t="s">
        <v>799</v>
      </c>
      <c r="K29" s="810" t="s">
        <v>799</v>
      </c>
      <c r="L29" s="810" t="s">
        <v>799</v>
      </c>
      <c r="M29" s="810" t="s">
        <v>799</v>
      </c>
      <c r="N29" s="810" t="s">
        <v>799</v>
      </c>
      <c r="O29" s="810" t="s">
        <v>799</v>
      </c>
      <c r="P29" s="810" t="s">
        <v>799</v>
      </c>
      <c r="Q29" s="810" t="s">
        <v>799</v>
      </c>
      <c r="R29" s="810" t="s">
        <v>799</v>
      </c>
      <c r="S29" s="810" t="s">
        <v>799</v>
      </c>
      <c r="T29" s="810" t="s">
        <v>799</v>
      </c>
      <c r="U29" s="810" t="s">
        <v>799</v>
      </c>
      <c r="V29" s="810" t="s">
        <v>799</v>
      </c>
      <c r="W29" s="810" t="s">
        <v>799</v>
      </c>
      <c r="X29" s="810" t="s">
        <v>799</v>
      </c>
      <c r="Y29" s="810" t="s">
        <v>799</v>
      </c>
      <c r="Z29" s="810" t="s">
        <v>799</v>
      </c>
      <c r="AA29" s="810" t="s">
        <v>799</v>
      </c>
      <c r="AB29" s="810" t="s">
        <v>799</v>
      </c>
      <c r="AC29" s="810" t="s">
        <v>799</v>
      </c>
      <c r="AD29" s="810" t="s">
        <v>799</v>
      </c>
      <c r="AE29" s="810" t="s">
        <v>799</v>
      </c>
      <c r="AF29" s="810" t="s">
        <v>799</v>
      </c>
    </row>
  </sheetData>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86A8-6036-4633-B929-45B974D1B881}">
  <sheetPr codeName="Ark79">
    <tabColor theme="1" tint="4.9989318521683403E-2"/>
  </sheetPr>
  <dimension ref="A1:AF23"/>
  <sheetViews>
    <sheetView workbookViewId="0"/>
  </sheetViews>
  <sheetFormatPr defaultColWidth="9.140625" defaultRowHeight="15" x14ac:dyDescent="0.25"/>
  <cols>
    <col min="1" max="1" width="29.5703125" style="632" customWidth="1"/>
    <col min="2" max="2" width="9.140625" style="632"/>
    <col min="3" max="28" width="9.140625" style="632" hidden="1" customWidth="1"/>
    <col min="29" max="29" width="0" style="632" hidden="1" customWidth="1"/>
    <col min="30" max="16384" width="9.140625" style="632"/>
  </cols>
  <sheetData>
    <row r="1" spans="1:32" ht="18.75" x14ac:dyDescent="0.3">
      <c r="A1" s="822" t="s">
        <v>1788</v>
      </c>
    </row>
    <row r="2" spans="1:32" ht="16.5" x14ac:dyDescent="0.3">
      <c r="A2" s="821" t="s">
        <v>1812</v>
      </c>
    </row>
    <row r="3" spans="1:32" ht="15.75" thickBot="1" x14ac:dyDescent="0.3">
      <c r="A3" s="829"/>
      <c r="B3" s="829"/>
      <c r="C3" s="829"/>
      <c r="D3" s="829"/>
      <c r="E3" s="829"/>
      <c r="F3" s="829"/>
      <c r="G3" s="829"/>
      <c r="H3" s="829"/>
      <c r="I3" s="829"/>
      <c r="J3" s="829"/>
      <c r="K3" s="829"/>
      <c r="L3" s="829"/>
      <c r="M3" s="829"/>
      <c r="N3" s="829"/>
      <c r="O3" s="829"/>
      <c r="P3" s="829"/>
      <c r="Q3" s="829"/>
      <c r="R3" s="829"/>
      <c r="S3" s="829"/>
      <c r="T3" s="829"/>
      <c r="U3" s="829"/>
      <c r="V3" s="829"/>
      <c r="W3" s="829"/>
      <c r="X3" s="829"/>
      <c r="Y3" s="829"/>
      <c r="Z3" s="829"/>
      <c r="AA3" s="829"/>
      <c r="AB3" s="829"/>
      <c r="AC3" s="829"/>
      <c r="AD3" s="829"/>
      <c r="AE3" s="829"/>
      <c r="AF3" s="829"/>
    </row>
    <row r="4" spans="1:32" ht="15.75" thickBot="1" x14ac:dyDescent="0.3">
      <c r="A4" s="828" t="s">
        <v>1811</v>
      </c>
      <c r="B4" s="827">
        <v>1990</v>
      </c>
      <c r="C4" s="827">
        <v>1991</v>
      </c>
      <c r="D4" s="827">
        <v>1992</v>
      </c>
      <c r="E4" s="827">
        <v>1993</v>
      </c>
      <c r="F4" s="827">
        <v>1994</v>
      </c>
      <c r="G4" s="827">
        <v>1995</v>
      </c>
      <c r="H4" s="827">
        <v>1996</v>
      </c>
      <c r="I4" s="827">
        <v>1997</v>
      </c>
      <c r="J4" s="827">
        <v>1998</v>
      </c>
      <c r="K4" s="827">
        <v>1999</v>
      </c>
      <c r="L4" s="827">
        <v>2000</v>
      </c>
      <c r="M4" s="827">
        <v>2001</v>
      </c>
      <c r="N4" s="827">
        <v>2002</v>
      </c>
      <c r="O4" s="827">
        <v>2003</v>
      </c>
      <c r="P4" s="827">
        <v>2004</v>
      </c>
      <c r="Q4" s="827">
        <v>2005</v>
      </c>
      <c r="R4" s="827">
        <v>2006</v>
      </c>
      <c r="S4" s="827">
        <v>2007</v>
      </c>
      <c r="T4" s="827">
        <v>2008</v>
      </c>
      <c r="U4" s="827">
        <v>2009</v>
      </c>
      <c r="V4" s="827">
        <v>2010</v>
      </c>
      <c r="W4" s="827">
        <v>2011</v>
      </c>
      <c r="X4" s="827">
        <v>2012</v>
      </c>
      <c r="Y4" s="827">
        <v>2013</v>
      </c>
      <c r="Z4" s="827">
        <v>2014</v>
      </c>
      <c r="AA4" s="827">
        <v>2015</v>
      </c>
      <c r="AB4" s="827">
        <v>2016</v>
      </c>
      <c r="AC4" s="827">
        <v>2017</v>
      </c>
      <c r="AD4" s="827">
        <v>2018</v>
      </c>
      <c r="AE4" s="827">
        <v>2019</v>
      </c>
      <c r="AF4" s="827">
        <v>2020</v>
      </c>
    </row>
    <row r="5" spans="1:32" x14ac:dyDescent="0.25">
      <c r="A5" s="826" t="s">
        <v>1810</v>
      </c>
      <c r="B5" s="825">
        <v>10208.635137531575</v>
      </c>
      <c r="C5" s="825">
        <v>9746.6551599409104</v>
      </c>
      <c r="D5" s="825">
        <v>8506.7422884449625</v>
      </c>
      <c r="E5" s="825">
        <v>9623.4929415301813</v>
      </c>
      <c r="F5" s="825">
        <v>8958.9287490238894</v>
      </c>
      <c r="G5" s="825">
        <v>10407.40185394634</v>
      </c>
      <c r="H5" s="825">
        <v>9667.2536732910612</v>
      </c>
      <c r="I5" s="825">
        <v>9988.8992629212134</v>
      </c>
      <c r="J5" s="825">
        <v>10044.978945631994</v>
      </c>
      <c r="K5" s="825">
        <v>9922.2079704041462</v>
      </c>
      <c r="L5" s="825">
        <v>10414.007381095351</v>
      </c>
      <c r="M5" s="825">
        <v>10139.21532782867</v>
      </c>
      <c r="N5" s="825">
        <v>9723.4980190113984</v>
      </c>
      <c r="O5" s="825">
        <v>9767.6973919508218</v>
      </c>
      <c r="P5" s="825">
        <v>9886.6049578996917</v>
      </c>
      <c r="Q5" s="825">
        <v>9925.6961687111398</v>
      </c>
      <c r="R5" s="825">
        <v>9568.1427134646947</v>
      </c>
      <c r="S5" s="825">
        <v>8970.1709297359885</v>
      </c>
      <c r="T5" s="825">
        <v>10668.17121260513</v>
      </c>
      <c r="U5" s="825">
        <v>11262.874493427609</v>
      </c>
      <c r="V5" s="825">
        <v>9191.0504944811946</v>
      </c>
      <c r="W5" s="825">
        <v>8964.4719571227652</v>
      </c>
      <c r="X5" s="825">
        <v>10160.406726411698</v>
      </c>
      <c r="Y5" s="825">
        <v>10091.506740878627</v>
      </c>
      <c r="Z5" s="825">
        <v>10676.098893374059</v>
      </c>
      <c r="AA5" s="825">
        <v>11145.865171101286</v>
      </c>
      <c r="AB5" s="825">
        <v>9904.6816205620453</v>
      </c>
      <c r="AC5" s="825">
        <v>11244.395289001632</v>
      </c>
      <c r="AD5" s="825">
        <v>8491.1597339062973</v>
      </c>
      <c r="AE5" s="825">
        <v>11326.10970130832</v>
      </c>
      <c r="AF5" s="825">
        <v>11375.10353401111</v>
      </c>
    </row>
    <row r="6" spans="1:32" x14ac:dyDescent="0.25">
      <c r="A6" s="826" t="s">
        <v>1809</v>
      </c>
      <c r="B6" s="825">
        <v>5932.4517722928458</v>
      </c>
      <c r="C6" s="825">
        <v>5528.2962170489564</v>
      </c>
      <c r="D6" s="825">
        <v>4092.868080695057</v>
      </c>
      <c r="E6" s="825">
        <v>5561.7399878356882</v>
      </c>
      <c r="F6" s="825">
        <v>5319.72174254317</v>
      </c>
      <c r="G6" s="825">
        <v>5739.8629032258068</v>
      </c>
      <c r="H6" s="825">
        <v>6632.8064516129025</v>
      </c>
      <c r="I6" s="825">
        <v>5208.7943305186973</v>
      </c>
      <c r="J6" s="825">
        <v>5841.4205310982297</v>
      </c>
      <c r="K6" s="825">
        <v>5218.2348942598182</v>
      </c>
      <c r="L6" s="825">
        <v>5856.4476306882289</v>
      </c>
      <c r="M6" s="825">
        <v>5079.7648130731241</v>
      </c>
      <c r="N6" s="825">
        <v>4334.5834858188473</v>
      </c>
      <c r="O6" s="825">
        <v>4783.2915110828635</v>
      </c>
      <c r="P6" s="825">
        <v>4315.7611075848936</v>
      </c>
      <c r="Q6" s="825">
        <v>4773.2117524339365</v>
      </c>
      <c r="R6" s="825">
        <v>3517.8456420005846</v>
      </c>
      <c r="S6" s="825">
        <v>5187.8357576524159</v>
      </c>
      <c r="T6" s="825">
        <v>4062.9980403135505</v>
      </c>
      <c r="U6" s="825">
        <v>5133.1041955432347</v>
      </c>
      <c r="V6" s="825">
        <v>5095.3729913473426</v>
      </c>
      <c r="W6" s="825">
        <v>4653.324056673755</v>
      </c>
      <c r="X6" s="825">
        <v>5461.8374406894554</v>
      </c>
      <c r="Y6" s="825">
        <v>5642.5685605666076</v>
      </c>
      <c r="Z6" s="825">
        <v>4585.170461265523</v>
      </c>
      <c r="AA6" s="825">
        <v>6211.4453563800325</v>
      </c>
      <c r="AB6" s="825">
        <v>5721.736894727127</v>
      </c>
      <c r="AC6" s="825">
        <v>5709.8903232727789</v>
      </c>
      <c r="AD6" s="825">
        <v>4380.9988335925345</v>
      </c>
      <c r="AE6" s="825">
        <v>6072.2073459715639</v>
      </c>
      <c r="AF6" s="825">
        <v>5996.4849081364828</v>
      </c>
    </row>
    <row r="7" spans="1:32" x14ac:dyDescent="0.25">
      <c r="A7" s="826" t="s">
        <v>1808</v>
      </c>
      <c r="B7" s="825">
        <v>4652.7985591229453</v>
      </c>
      <c r="C7" s="825">
        <v>4592.5368285147324</v>
      </c>
      <c r="D7" s="825">
        <v>3240.2361886184767</v>
      </c>
      <c r="E7" s="825">
        <v>4211.2213693099793</v>
      </c>
      <c r="F7" s="825">
        <v>4458.6412381591372</v>
      </c>
      <c r="G7" s="825">
        <v>4788.248366067698</v>
      </c>
      <c r="H7" s="825">
        <v>4209.0639856944172</v>
      </c>
      <c r="I7" s="825">
        <v>4747.7238632246381</v>
      </c>
      <c r="J7" s="825">
        <v>4829.5532705896048</v>
      </c>
      <c r="K7" s="825">
        <v>4669.174021960147</v>
      </c>
      <c r="L7" s="825">
        <v>4819.5170660960539</v>
      </c>
      <c r="M7" s="825">
        <v>4734.5617350405009</v>
      </c>
      <c r="N7" s="825">
        <v>4602.8007877935288</v>
      </c>
      <c r="O7" s="825">
        <v>4780.0157986897693</v>
      </c>
      <c r="P7" s="825">
        <v>4310.5936493795734</v>
      </c>
      <c r="Q7" s="825">
        <v>4295.956209875676</v>
      </c>
      <c r="R7" s="825">
        <v>4048.7711107376913</v>
      </c>
      <c r="S7" s="825">
        <v>4172.8588997237675</v>
      </c>
      <c r="T7" s="825">
        <v>4532.4296368038749</v>
      </c>
      <c r="U7" s="825">
        <v>5228.7315060312349</v>
      </c>
      <c r="V7" s="825">
        <v>4597.6454277699859</v>
      </c>
      <c r="W7" s="825">
        <v>4861.5490197336758</v>
      </c>
      <c r="X7" s="825">
        <v>6190.750865703807</v>
      </c>
      <c r="Y7" s="825">
        <v>5535.8614585908535</v>
      </c>
      <c r="Z7" s="825">
        <v>6033.7707803598714</v>
      </c>
      <c r="AA7" s="825">
        <v>5696.1169762625459</v>
      </c>
      <c r="AB7" s="825">
        <v>5403.9110072036947</v>
      </c>
      <c r="AC7" s="825">
        <v>6162.2681506956396</v>
      </c>
      <c r="AD7" s="825">
        <v>4965.909283959948</v>
      </c>
      <c r="AE7" s="825">
        <v>5716.297926103819</v>
      </c>
      <c r="AF7" s="825">
        <v>5701.5756400758246</v>
      </c>
    </row>
    <row r="8" spans="1:32" x14ac:dyDescent="0.25">
      <c r="A8" s="826" t="s">
        <v>1807</v>
      </c>
      <c r="B8" s="825">
        <v>5196.8357337883954</v>
      </c>
      <c r="C8" s="825">
        <v>4869.2386679268166</v>
      </c>
      <c r="D8" s="825">
        <v>4139.4981994079089</v>
      </c>
      <c r="E8" s="825">
        <v>4702.2243201503143</v>
      </c>
      <c r="F8" s="825">
        <v>4599.5723545887413</v>
      </c>
      <c r="G8" s="825">
        <v>5079.3926038324007</v>
      </c>
      <c r="H8" s="825">
        <v>4504.0904682477412</v>
      </c>
      <c r="I8" s="825">
        <v>4942.8917186649733</v>
      </c>
      <c r="J8" s="825">
        <v>4832.883460216367</v>
      </c>
      <c r="K8" s="825">
        <v>4891.5067618997</v>
      </c>
      <c r="L8" s="825">
        <v>4705.8635375119356</v>
      </c>
      <c r="M8" s="825">
        <v>4851.5293444080453</v>
      </c>
      <c r="N8" s="825">
        <v>4666.0744231427598</v>
      </c>
      <c r="O8" s="825">
        <v>4934.3896146435454</v>
      </c>
      <c r="P8" s="825">
        <v>5023.3932923969896</v>
      </c>
      <c r="Q8" s="825">
        <v>4980.5428082657036</v>
      </c>
      <c r="R8" s="825">
        <v>4630.5203527018566</v>
      </c>
      <c r="S8" s="825">
        <v>4223.7140818840917</v>
      </c>
      <c r="T8" s="825">
        <v>4941.992668437194</v>
      </c>
      <c r="U8" s="825">
        <v>5532.1062454873645</v>
      </c>
      <c r="V8" s="825">
        <v>4579.8696015712676</v>
      </c>
      <c r="W8" s="825">
        <v>4605.314102626794</v>
      </c>
      <c r="X8" s="825">
        <v>5185.7580196518702</v>
      </c>
      <c r="Y8" s="825">
        <v>5090.882549592704</v>
      </c>
      <c r="Z8" s="825">
        <v>4531.8979767782994</v>
      </c>
      <c r="AA8" s="825">
        <v>5875.0281579638813</v>
      </c>
      <c r="AB8" s="825">
        <v>5061.1248714320254</v>
      </c>
      <c r="AC8" s="825">
        <v>5551.3426051717488</v>
      </c>
      <c r="AD8" s="825">
        <v>4455.8096360352001</v>
      </c>
      <c r="AE8" s="825">
        <v>5849.4696921658615</v>
      </c>
      <c r="AF8" s="825">
        <v>5913.7354970626811</v>
      </c>
    </row>
    <row r="9" spans="1:32" x14ac:dyDescent="0.25">
      <c r="A9" s="826" t="s">
        <v>1806</v>
      </c>
      <c r="B9" s="825">
        <v>4503.7183521106226</v>
      </c>
      <c r="C9" s="825">
        <v>4422.0621982644816</v>
      </c>
      <c r="D9" s="825">
        <v>2438.8025881348608</v>
      </c>
      <c r="E9" s="825">
        <v>3713.4679564876806</v>
      </c>
      <c r="F9" s="825">
        <v>3928.1623916780968</v>
      </c>
      <c r="G9" s="825">
        <v>4360.1717135337094</v>
      </c>
      <c r="H9" s="825">
        <v>4249.4285042770553</v>
      </c>
      <c r="I9" s="825">
        <v>4205.8793998698848</v>
      </c>
      <c r="J9" s="825">
        <v>4393.8719869986899</v>
      </c>
      <c r="K9" s="825">
        <v>4222.3153214207887</v>
      </c>
      <c r="L9" s="825">
        <v>4493.1101253379793</v>
      </c>
      <c r="M9" s="825">
        <v>4390.0296435048595</v>
      </c>
      <c r="N9" s="825">
        <v>4115.1740309492088</v>
      </c>
      <c r="O9" s="825">
        <v>4353.2761597221133</v>
      </c>
      <c r="P9" s="825">
        <v>4160.9319216289587</v>
      </c>
      <c r="Q9" s="825">
        <v>4381.8257568771087</v>
      </c>
      <c r="R9" s="825">
        <v>3752.0749437929426</v>
      </c>
      <c r="S9" s="825">
        <v>4095.0393756121452</v>
      </c>
      <c r="T9" s="825">
        <v>3794.3258727032644</v>
      </c>
      <c r="U9" s="825">
        <v>4615.952972823573</v>
      </c>
      <c r="V9" s="825">
        <v>4302.723439872153</v>
      </c>
      <c r="W9" s="825">
        <v>4467.191222983256</v>
      </c>
      <c r="X9" s="825">
        <v>4556.7591691515081</v>
      </c>
      <c r="Y9" s="825">
        <v>4711.3386931351797</v>
      </c>
      <c r="Z9" s="825">
        <v>4683.5860471568667</v>
      </c>
      <c r="AA9" s="825">
        <v>4841.6352765205202</v>
      </c>
      <c r="AB9" s="825">
        <v>4557.3733540688418</v>
      </c>
      <c r="AC9" s="825">
        <v>4797.0950181914013</v>
      </c>
      <c r="AD9" s="825">
        <v>3587.7079471237407</v>
      </c>
      <c r="AE9" s="825">
        <v>5035.0505937624785</v>
      </c>
      <c r="AF9" s="825">
        <v>5293.7864127055627</v>
      </c>
    </row>
    <row r="10" spans="1:32" x14ac:dyDescent="0.25">
      <c r="A10" s="826" t="s">
        <v>1805</v>
      </c>
      <c r="B10" s="825">
        <v>4635.3076726697009</v>
      </c>
      <c r="C10" s="825">
        <v>4527.5697129810833</v>
      </c>
      <c r="D10" s="825">
        <v>2496.5928141503291</v>
      </c>
      <c r="E10" s="825">
        <v>3804.5381448606427</v>
      </c>
      <c r="F10" s="825">
        <v>4002.9261194255105</v>
      </c>
      <c r="G10" s="825">
        <v>4800.0439365452412</v>
      </c>
      <c r="H10" s="825">
        <v>4815.4850143961212</v>
      </c>
      <c r="I10" s="825">
        <v>3986.8892015702445</v>
      </c>
      <c r="J10" s="825">
        <v>4350.3745180680789</v>
      </c>
      <c r="K10" s="825">
        <v>3894.7893174061437</v>
      </c>
      <c r="L10" s="825">
        <v>4053.8991342692584</v>
      </c>
      <c r="M10" s="825">
        <v>3793.1174698309187</v>
      </c>
      <c r="N10" s="825">
        <v>3896.3052581087263</v>
      </c>
      <c r="O10" s="825">
        <v>4093.5159579324973</v>
      </c>
      <c r="P10" s="825">
        <v>4392.1051022202682</v>
      </c>
      <c r="Q10" s="825">
        <v>4182.9757863751056</v>
      </c>
      <c r="R10" s="825">
        <v>3517.6155506900213</v>
      </c>
      <c r="S10" s="825">
        <v>4338.7155313787953</v>
      </c>
      <c r="T10" s="825">
        <v>3467.3426317254043</v>
      </c>
      <c r="U10" s="825">
        <v>4568.1074141096251</v>
      </c>
      <c r="V10" s="825">
        <v>5065.638132770182</v>
      </c>
      <c r="W10" s="825">
        <v>4111.2058093797286</v>
      </c>
      <c r="X10" s="825">
        <v>4587.9072515193102</v>
      </c>
      <c r="Y10" s="825">
        <v>4530.1339425665565</v>
      </c>
      <c r="Z10" s="825">
        <v>4817.7763049095611</v>
      </c>
      <c r="AA10" s="825">
        <v>4736.3954633965659</v>
      </c>
      <c r="AB10" s="825">
        <v>4515.527989366843</v>
      </c>
      <c r="AC10" s="825">
        <v>4774.9418152978487</v>
      </c>
      <c r="AD10" s="825">
        <v>2984.7608470051027</v>
      </c>
      <c r="AE10" s="825">
        <v>4280.3875013881179</v>
      </c>
      <c r="AF10" s="825">
        <v>4837.7912367183426</v>
      </c>
    </row>
    <row r="11" spans="1:32" x14ac:dyDescent="0.25">
      <c r="A11" s="826" t="s">
        <v>1804</v>
      </c>
      <c r="B11" s="825">
        <v>0</v>
      </c>
      <c r="C11" s="825">
        <v>0</v>
      </c>
      <c r="D11" s="825">
        <v>0</v>
      </c>
      <c r="E11" s="825">
        <v>0</v>
      </c>
      <c r="F11" s="825">
        <v>0</v>
      </c>
      <c r="G11" s="825">
        <v>0</v>
      </c>
      <c r="H11" s="825">
        <v>0</v>
      </c>
      <c r="I11" s="825">
        <v>4981.7576229131573</v>
      </c>
      <c r="J11" s="825">
        <v>4510.5479587006485</v>
      </c>
      <c r="K11" s="825">
        <v>4459.8475578366797</v>
      </c>
      <c r="L11" s="825">
        <v>4145.3818883144504</v>
      </c>
      <c r="M11" s="825">
        <v>3733.560938304568</v>
      </c>
      <c r="N11" s="825">
        <v>3119.1307611403267</v>
      </c>
      <c r="O11" s="825">
        <v>3678.1278562678649</v>
      </c>
      <c r="P11" s="825">
        <v>3657.4532172019603</v>
      </c>
      <c r="Q11" s="825">
        <v>3304.3608786866739</v>
      </c>
      <c r="R11" s="825">
        <v>4406.6103234050333</v>
      </c>
      <c r="S11" s="825">
        <v>4318.8239746300214</v>
      </c>
      <c r="T11" s="825">
        <v>4689.9371654876695</v>
      </c>
      <c r="U11" s="825">
        <v>4842.4125888787603</v>
      </c>
      <c r="V11" s="825">
        <v>4549.1573888258581</v>
      </c>
      <c r="W11" s="825">
        <v>6738.4914517888719</v>
      </c>
      <c r="X11" s="825">
        <v>8785.6578277602821</v>
      </c>
      <c r="Y11" s="825">
        <v>11139.658534241091</v>
      </c>
      <c r="Z11" s="825">
        <v>10757.685832588213</v>
      </c>
      <c r="AA11" s="825">
        <v>8084.3160404774271</v>
      </c>
      <c r="AB11" s="825">
        <v>10302.19198576829</v>
      </c>
      <c r="AC11" s="825">
        <v>11281.392003919649</v>
      </c>
      <c r="AD11" s="825">
        <v>3266.9591366906479</v>
      </c>
      <c r="AE11" s="825">
        <v>9771.2054337226436</v>
      </c>
      <c r="AF11" s="825">
        <v>11598.21755209137</v>
      </c>
    </row>
    <row r="12" spans="1:32" x14ac:dyDescent="0.25">
      <c r="A12" s="826" t="s">
        <v>1803</v>
      </c>
      <c r="B12" s="825">
        <v>0</v>
      </c>
      <c r="C12" s="825">
        <v>0</v>
      </c>
      <c r="D12" s="825">
        <v>0</v>
      </c>
      <c r="E12" s="825">
        <v>0</v>
      </c>
      <c r="F12" s="825">
        <v>0</v>
      </c>
      <c r="G12" s="825">
        <v>0</v>
      </c>
      <c r="H12" s="825">
        <v>0</v>
      </c>
      <c r="I12" s="825">
        <v>0</v>
      </c>
      <c r="J12" s="825">
        <v>0</v>
      </c>
      <c r="K12" s="825">
        <v>0</v>
      </c>
      <c r="L12" s="825">
        <v>0</v>
      </c>
      <c r="M12" s="825">
        <v>0</v>
      </c>
      <c r="N12" s="825">
        <v>0</v>
      </c>
      <c r="O12" s="825">
        <v>0</v>
      </c>
      <c r="P12" s="825">
        <v>0</v>
      </c>
      <c r="Q12" s="825">
        <v>0</v>
      </c>
      <c r="R12" s="825">
        <v>0</v>
      </c>
      <c r="S12" s="825">
        <v>0</v>
      </c>
      <c r="T12" s="825">
        <v>0</v>
      </c>
      <c r="U12" s="825">
        <v>0</v>
      </c>
      <c r="V12" s="825">
        <v>0</v>
      </c>
      <c r="W12" s="825">
        <v>1939.7898204890125</v>
      </c>
      <c r="X12" s="825">
        <v>2006.6210019646362</v>
      </c>
      <c r="Y12" s="825">
        <v>2197.7263863034755</v>
      </c>
      <c r="Z12" s="825">
        <v>2630.7670958496979</v>
      </c>
      <c r="AA12" s="825">
        <v>2485.0385714285717</v>
      </c>
      <c r="AB12" s="825">
        <v>2599.7056703910616</v>
      </c>
      <c r="AC12" s="825">
        <v>2636.5968421052635</v>
      </c>
      <c r="AD12" s="825">
        <v>1982.164075998701</v>
      </c>
      <c r="AE12" s="825">
        <v>2842.2840890688262</v>
      </c>
      <c r="AF12" s="825">
        <v>2151.3896610169495</v>
      </c>
    </row>
    <row r="13" spans="1:32" x14ac:dyDescent="0.25">
      <c r="A13" s="826" t="s">
        <v>1802</v>
      </c>
      <c r="B13" s="825">
        <v>15860.795748598883</v>
      </c>
      <c r="C13" s="825">
        <v>13893.517013149654</v>
      </c>
      <c r="D13" s="825">
        <v>14588.859444307238</v>
      </c>
      <c r="E13" s="825">
        <v>13286.65422041471</v>
      </c>
      <c r="F13" s="825">
        <v>14517.749978892836</v>
      </c>
      <c r="G13" s="825">
        <v>14322.066960883472</v>
      </c>
      <c r="H13" s="825">
        <v>13133.258372227023</v>
      </c>
      <c r="I13" s="825">
        <v>13129.835545069203</v>
      </c>
      <c r="J13" s="825">
        <v>10780.890898876405</v>
      </c>
      <c r="K13" s="825">
        <v>12331.911494262367</v>
      </c>
      <c r="L13" s="825">
        <v>11636.462698681151</v>
      </c>
      <c r="M13" s="825">
        <v>12367.235853274802</v>
      </c>
      <c r="N13" s="825">
        <v>12850.570309585235</v>
      </c>
      <c r="O13" s="825">
        <v>12310.550050901775</v>
      </c>
      <c r="P13" s="825">
        <v>11514.687344819322</v>
      </c>
      <c r="Q13" s="825">
        <v>12028.51524090455</v>
      </c>
      <c r="R13" s="825">
        <v>13185.447738918261</v>
      </c>
      <c r="S13" s="825">
        <v>12603.767611359232</v>
      </c>
      <c r="T13" s="825">
        <v>13370.693946425203</v>
      </c>
      <c r="U13" s="825">
        <v>13777.549798836115</v>
      </c>
      <c r="V13" s="825">
        <v>12148.864379443336</v>
      </c>
      <c r="W13" s="825">
        <v>13238.066604468808</v>
      </c>
      <c r="X13" s="825">
        <v>11573.726358882172</v>
      </c>
      <c r="Y13" s="825">
        <v>12815.677045671961</v>
      </c>
      <c r="Z13" s="825">
        <v>14030.17388722256</v>
      </c>
      <c r="AA13" s="825">
        <v>10625.303043595568</v>
      </c>
      <c r="AB13" s="825">
        <v>12763.898786826483</v>
      </c>
      <c r="AC13" s="825">
        <v>13268.465000060482</v>
      </c>
      <c r="AD13" s="825">
        <v>12081.658188295682</v>
      </c>
      <c r="AE13" s="825">
        <v>15159.416509362452</v>
      </c>
      <c r="AF13" s="825">
        <v>11152.622911514716</v>
      </c>
    </row>
    <row r="14" spans="1:32" x14ac:dyDescent="0.25">
      <c r="A14" s="826" t="s">
        <v>1801</v>
      </c>
      <c r="B14" s="825">
        <v>900.02157052982636</v>
      </c>
      <c r="C14" s="825">
        <v>807.75625405293522</v>
      </c>
      <c r="D14" s="825">
        <v>794.62208785067617</v>
      </c>
      <c r="E14" s="825">
        <v>899.15714248855056</v>
      </c>
      <c r="F14" s="825">
        <v>841.36616189469896</v>
      </c>
      <c r="G14" s="825">
        <v>817.39770894324295</v>
      </c>
      <c r="H14" s="825">
        <v>899.01880583198317</v>
      </c>
      <c r="I14" s="825">
        <v>944.1264360565674</v>
      </c>
      <c r="J14" s="825">
        <v>985.34257562954201</v>
      </c>
      <c r="K14" s="825">
        <v>951.10480050598198</v>
      </c>
      <c r="L14" s="825">
        <v>1021.6555334987593</v>
      </c>
      <c r="M14" s="825">
        <v>970.83950034043892</v>
      </c>
      <c r="N14" s="825">
        <v>959.88712278558341</v>
      </c>
      <c r="O14" s="825">
        <v>941.32521666759123</v>
      </c>
      <c r="P14" s="825">
        <v>953.69337393422643</v>
      </c>
      <c r="Q14" s="825">
        <v>935.63833111012298</v>
      </c>
      <c r="R14" s="825">
        <v>861.80722031933374</v>
      </c>
      <c r="S14" s="825">
        <v>947.46015524936911</v>
      </c>
      <c r="T14" s="825">
        <v>966.63257132070135</v>
      </c>
      <c r="U14" s="825">
        <v>1020.9670060682481</v>
      </c>
      <c r="V14" s="825">
        <v>881.5676301851172</v>
      </c>
      <c r="W14" s="825">
        <v>960.42050527977892</v>
      </c>
      <c r="X14" s="825">
        <v>960.66789966844453</v>
      </c>
      <c r="Y14" s="825">
        <v>979.25370172311352</v>
      </c>
      <c r="Z14" s="825">
        <v>1012.4873646666821</v>
      </c>
      <c r="AA14" s="825">
        <v>1024.1726289713556</v>
      </c>
      <c r="AB14" s="825">
        <v>1069.6711427594848</v>
      </c>
      <c r="AC14" s="825">
        <v>1108.7601573196137</v>
      </c>
      <c r="AD14" s="825">
        <v>892.66481134985077</v>
      </c>
      <c r="AE14" s="825">
        <v>1079.8037720427699</v>
      </c>
      <c r="AF14" s="825">
        <v>1058.9837065045708</v>
      </c>
    </row>
    <row r="15" spans="1:32" x14ac:dyDescent="0.25">
      <c r="A15" s="826" t="s">
        <v>1800</v>
      </c>
      <c r="B15" s="825">
        <v>3032.811396279727</v>
      </c>
      <c r="C15" s="825">
        <v>2828.1036077705821</v>
      </c>
      <c r="D15" s="825">
        <v>2440.9448237682222</v>
      </c>
      <c r="E15" s="825">
        <v>2847.4017167381976</v>
      </c>
      <c r="F15" s="825">
        <v>2638.48433530906</v>
      </c>
      <c r="G15" s="825">
        <v>2901.7803742944839</v>
      </c>
      <c r="H15" s="825">
        <v>2403.7604306864059</v>
      </c>
      <c r="I15" s="825">
        <v>3823.8763279760278</v>
      </c>
      <c r="J15" s="825">
        <v>4108.3051094890507</v>
      </c>
      <c r="K15" s="825">
        <v>3978.2698585418934</v>
      </c>
      <c r="L15" s="825">
        <v>3851.3879885605338</v>
      </c>
      <c r="M15" s="825">
        <v>3744.705882352941</v>
      </c>
      <c r="N15" s="825">
        <v>3567.5855300056082</v>
      </c>
      <c r="O15" s="825">
        <v>3248.7202230106436</v>
      </c>
      <c r="P15" s="825">
        <v>3364.405594405594</v>
      </c>
      <c r="Q15" s="825">
        <v>3263.973770491803</v>
      </c>
      <c r="R15" s="825">
        <v>3315.7006529382215</v>
      </c>
      <c r="S15" s="825">
        <v>3615.6273764258553</v>
      </c>
      <c r="T15" s="825">
        <v>3100.1277955271557</v>
      </c>
      <c r="U15" s="825">
        <v>3202.754379426015</v>
      </c>
      <c r="V15" s="825">
        <v>3219.4754098360659</v>
      </c>
      <c r="W15" s="825">
        <v>3063.4652035807094</v>
      </c>
      <c r="X15" s="825">
        <v>3632.0424178154817</v>
      </c>
      <c r="Y15" s="825">
        <v>3809.7335127860024</v>
      </c>
      <c r="Z15" s="825">
        <v>3712.4410068169891</v>
      </c>
      <c r="AA15" s="825">
        <v>3282.3187281892197</v>
      </c>
      <c r="AB15" s="825">
        <v>3464.6177847113881</v>
      </c>
      <c r="AC15" s="825">
        <v>3523.9711191335737</v>
      </c>
      <c r="AD15" s="825">
        <v>1349.3877551020407</v>
      </c>
      <c r="AE15" s="825">
        <v>3935.6624999999999</v>
      </c>
      <c r="AF15" s="825">
        <v>3474.0206185567004</v>
      </c>
    </row>
    <row r="16" spans="1:32" x14ac:dyDescent="0.25">
      <c r="A16" s="826" t="s">
        <v>1799</v>
      </c>
      <c r="B16" s="825">
        <v>4635.575326617346</v>
      </c>
      <c r="C16" s="825">
        <v>4066.0660281564783</v>
      </c>
      <c r="D16" s="825">
        <v>2468.002476655689</v>
      </c>
      <c r="E16" s="825">
        <v>3632.758957147013</v>
      </c>
      <c r="F16" s="825">
        <v>3594.8689724730625</v>
      </c>
      <c r="G16" s="825">
        <v>3663.538020706947</v>
      </c>
      <c r="H16" s="825">
        <v>3575.8054353798543</v>
      </c>
      <c r="I16" s="825">
        <v>3885.0007936507932</v>
      </c>
      <c r="J16" s="825">
        <v>3503.2479783311796</v>
      </c>
      <c r="K16" s="825">
        <v>2819.0626456008026</v>
      </c>
      <c r="L16" s="825">
        <v>3742.0612391121103</v>
      </c>
      <c r="M16" s="825">
        <v>3410.4492992116129</v>
      </c>
      <c r="N16" s="825">
        <v>3582.6890404140945</v>
      </c>
      <c r="O16" s="825">
        <v>3841.9418484500566</v>
      </c>
      <c r="P16" s="825">
        <v>3476.3871714360916</v>
      </c>
      <c r="Q16" s="825">
        <v>3226.4824672861741</v>
      </c>
      <c r="R16" s="825">
        <v>2731.4826081212009</v>
      </c>
      <c r="S16" s="825">
        <v>3313.058547614824</v>
      </c>
      <c r="T16" s="825">
        <v>2745.9905295315671</v>
      </c>
      <c r="U16" s="825">
        <v>3406.6971257106748</v>
      </c>
      <c r="V16" s="825">
        <v>3145.2396028601788</v>
      </c>
      <c r="W16" s="825">
        <v>3670.9577507384997</v>
      </c>
      <c r="X16" s="825">
        <v>4081.6465451055656</v>
      </c>
      <c r="Y16" s="825">
        <v>2994.2645601617796</v>
      </c>
      <c r="Z16" s="825">
        <v>3635.9724837939266</v>
      </c>
      <c r="AA16" s="825">
        <v>4047.44939488102</v>
      </c>
      <c r="AB16" s="825">
        <v>3595.6548977395046</v>
      </c>
      <c r="AC16" s="825">
        <v>4159.569930188587</v>
      </c>
      <c r="AD16" s="825">
        <v>2530.7757864226223</v>
      </c>
      <c r="AE16" s="825">
        <v>3838.6500371678117</v>
      </c>
      <c r="AF16" s="825">
        <v>3943.9546089539099</v>
      </c>
    </row>
    <row r="17" spans="1:32" x14ac:dyDescent="0.25">
      <c r="A17" s="826" t="s">
        <v>1798</v>
      </c>
      <c r="B17" s="825">
        <v>1034.1543929338857</v>
      </c>
      <c r="C17" s="825">
        <v>971.52147611569831</v>
      </c>
      <c r="D17" s="825">
        <v>892.98961331107523</v>
      </c>
      <c r="E17" s="825">
        <v>1039.057292852257</v>
      </c>
      <c r="F17" s="825">
        <v>932.15154344575512</v>
      </c>
      <c r="G17" s="825">
        <v>880.79885234220944</v>
      </c>
      <c r="H17" s="825">
        <v>856.44904743470863</v>
      </c>
      <c r="I17" s="825">
        <v>923.4893558072755</v>
      </c>
      <c r="J17" s="825">
        <v>963.15631612283687</v>
      </c>
      <c r="K17" s="825">
        <v>988.21049816465654</v>
      </c>
      <c r="L17" s="825">
        <v>985.73736891483384</v>
      </c>
      <c r="M17" s="825">
        <v>977.90912028725324</v>
      </c>
      <c r="N17" s="825">
        <v>1018.075009076285</v>
      </c>
      <c r="O17" s="825">
        <v>994.04848778454993</v>
      </c>
      <c r="P17" s="825">
        <v>999.77657754010704</v>
      </c>
      <c r="Q17" s="825">
        <v>993.1680647930857</v>
      </c>
      <c r="R17" s="825">
        <v>951.4837436526002</v>
      </c>
      <c r="S17" s="825">
        <v>981.94311688311711</v>
      </c>
      <c r="T17" s="825">
        <v>1026.0353551754133</v>
      </c>
      <c r="U17" s="825">
        <v>892.53888472199571</v>
      </c>
      <c r="V17" s="825">
        <v>1045.303378403408</v>
      </c>
      <c r="W17" s="825">
        <v>1142.2974231732305</v>
      </c>
      <c r="X17" s="825">
        <v>1032.9917247919082</v>
      </c>
      <c r="Y17" s="825">
        <v>881.94796829971199</v>
      </c>
      <c r="Z17" s="825">
        <v>1005.7763295510607</v>
      </c>
      <c r="AA17" s="825">
        <v>1138.5321780604136</v>
      </c>
      <c r="AB17" s="825">
        <v>1171.1757228822714</v>
      </c>
      <c r="AC17" s="825">
        <v>1226.2206228612358</v>
      </c>
      <c r="AD17" s="825">
        <v>919.89896253602308</v>
      </c>
      <c r="AE17" s="825">
        <v>1312.679102251542</v>
      </c>
      <c r="AF17" s="825">
        <v>1281.062151289429</v>
      </c>
    </row>
    <row r="18" spans="1:32" x14ac:dyDescent="0.25">
      <c r="A18" s="826" t="s">
        <v>1797</v>
      </c>
      <c r="B18" s="825">
        <v>2315.7586661642799</v>
      </c>
      <c r="C18" s="825">
        <v>2223.9734991887508</v>
      </c>
      <c r="D18" s="825">
        <v>1302.2464045419613</v>
      </c>
      <c r="E18" s="825">
        <v>1762.8167610086014</v>
      </c>
      <c r="F18" s="825">
        <v>1744.3106466227348</v>
      </c>
      <c r="G18" s="825">
        <v>1866.5922997280791</v>
      </c>
      <c r="H18" s="825">
        <v>2852.51336508636</v>
      </c>
      <c r="I18" s="825">
        <v>2240.7068351726593</v>
      </c>
      <c r="J18" s="825">
        <v>1342.6213804611912</v>
      </c>
      <c r="K18" s="825">
        <v>1081.6321679034147</v>
      </c>
      <c r="L18" s="825">
        <v>1594.1783215311168</v>
      </c>
      <c r="M18" s="825">
        <v>1694.0178319706795</v>
      </c>
      <c r="N18" s="825">
        <v>1564.9912420311373</v>
      </c>
      <c r="O18" s="825">
        <v>1493.756869441997</v>
      </c>
      <c r="P18" s="825">
        <v>1480.751854646662</v>
      </c>
      <c r="Q18" s="825">
        <v>1482.6544125437015</v>
      </c>
      <c r="R18" s="825">
        <v>1438.4277633676052</v>
      </c>
      <c r="S18" s="825">
        <v>1511.065818254126</v>
      </c>
      <c r="T18" s="825">
        <v>1301.0908882126657</v>
      </c>
      <c r="U18" s="825">
        <v>1451.447601654402</v>
      </c>
      <c r="V18" s="825">
        <v>1429.6316333837219</v>
      </c>
      <c r="W18" s="825">
        <v>1630.2336250705814</v>
      </c>
      <c r="X18" s="825">
        <v>1538.3634255424884</v>
      </c>
      <c r="Y18" s="825">
        <v>1562.9722622783954</v>
      </c>
      <c r="Z18" s="825">
        <v>1540.7234042553193</v>
      </c>
      <c r="AA18" s="825">
        <v>1431.5660267391956</v>
      </c>
      <c r="AB18" s="825">
        <v>1475.5528357122778</v>
      </c>
      <c r="AC18" s="825">
        <v>1492.026455243807</v>
      </c>
      <c r="AD18" s="825">
        <v>1213.2965132277213</v>
      </c>
      <c r="AE18" s="825">
        <v>1823.555539240878</v>
      </c>
      <c r="AF18" s="825">
        <v>1535.6767291256422</v>
      </c>
    </row>
    <row r="19" spans="1:32" x14ac:dyDescent="0.25">
      <c r="A19" s="826" t="s">
        <v>1796</v>
      </c>
      <c r="B19" s="825">
        <v>4241.472954868962</v>
      </c>
      <c r="C19" s="825">
        <v>4068.4464295705043</v>
      </c>
      <c r="D19" s="825">
        <v>2170.0920670270903</v>
      </c>
      <c r="E19" s="825">
        <v>2625.5166990474791</v>
      </c>
      <c r="F19" s="825">
        <v>2652.543502883032</v>
      </c>
      <c r="G19" s="825">
        <v>2800.1108051835749</v>
      </c>
      <c r="H19" s="825">
        <v>3801.2471029600374</v>
      </c>
      <c r="I19" s="825">
        <v>2858.8437561805308</v>
      </c>
      <c r="J19" s="825">
        <v>1740.1293306933433</v>
      </c>
      <c r="K19" s="825">
        <v>1405.3556570613509</v>
      </c>
      <c r="L19" s="825">
        <v>2046.9910662411694</v>
      </c>
      <c r="M19" s="825">
        <v>2194.3156188328167</v>
      </c>
      <c r="N19" s="825">
        <v>1970.729712187358</v>
      </c>
      <c r="O19" s="825">
        <v>1881.0271689269589</v>
      </c>
      <c r="P19" s="825">
        <v>1864.6504836291297</v>
      </c>
      <c r="Q19" s="825">
        <v>1867.0462972772541</v>
      </c>
      <c r="R19" s="825">
        <v>1811.3534797962436</v>
      </c>
      <c r="S19" s="825">
        <v>1902.823622986677</v>
      </c>
      <c r="T19" s="825">
        <v>1638.4107481196531</v>
      </c>
      <c r="U19" s="825">
        <v>1827.7488317129505</v>
      </c>
      <c r="V19" s="825">
        <v>1800.2768716683906</v>
      </c>
      <c r="W19" s="825">
        <v>2052.8867871259176</v>
      </c>
      <c r="X19" s="825">
        <v>1937.1983877201703</v>
      </c>
      <c r="Y19" s="825">
        <v>1968.1872932394608</v>
      </c>
      <c r="Z19" s="825">
        <v>1940.1702127659573</v>
      </c>
      <c r="AA19" s="825">
        <v>1802.7127744123209</v>
      </c>
      <c r="AB19" s="825">
        <v>1858.1035708969421</v>
      </c>
      <c r="AC19" s="825">
        <v>1878.8481288255352</v>
      </c>
      <c r="AD19" s="825">
        <v>1527.8548685089825</v>
      </c>
      <c r="AE19" s="825">
        <v>2296.3291975625871</v>
      </c>
      <c r="AF19" s="825">
        <v>1933.8151403804379</v>
      </c>
    </row>
    <row r="20" spans="1:32" x14ac:dyDescent="0.25">
      <c r="A20" s="826" t="s">
        <v>1795</v>
      </c>
      <c r="B20" s="825">
        <v>974.86362694777563</v>
      </c>
      <c r="C20" s="825">
        <v>917.34801679007705</v>
      </c>
      <c r="D20" s="825">
        <v>830.73576938614565</v>
      </c>
      <c r="E20" s="825">
        <v>950.25477997657561</v>
      </c>
      <c r="F20" s="825">
        <v>560.4323771268331</v>
      </c>
      <c r="G20" s="825">
        <v>920.35322177267517</v>
      </c>
      <c r="H20" s="825">
        <v>906.87188554894703</v>
      </c>
      <c r="I20" s="825">
        <v>1069.3836515513126</v>
      </c>
      <c r="J20" s="825">
        <v>1094.5574683220273</v>
      </c>
      <c r="K20" s="825">
        <v>1023.9876512254748</v>
      </c>
      <c r="L20" s="825">
        <v>971.71645785842748</v>
      </c>
      <c r="M20" s="825">
        <v>957.29985837814183</v>
      </c>
      <c r="N20" s="825">
        <v>843.68726977797314</v>
      </c>
      <c r="O20" s="825">
        <v>812.7587468685789</v>
      </c>
      <c r="P20" s="825">
        <v>791.4982960077898</v>
      </c>
      <c r="Q20" s="825">
        <v>735.81604203805819</v>
      </c>
      <c r="R20" s="825">
        <v>784.12827905208462</v>
      </c>
      <c r="S20" s="825">
        <v>700.75319127294915</v>
      </c>
      <c r="T20" s="825">
        <v>705.60849011907646</v>
      </c>
      <c r="U20" s="825">
        <v>775.00844449756539</v>
      </c>
      <c r="V20" s="825">
        <v>694.19365652785211</v>
      </c>
      <c r="W20" s="825">
        <v>716.38557315217622</v>
      </c>
      <c r="X20" s="825">
        <v>701.97467230169707</v>
      </c>
      <c r="Y20" s="825">
        <v>582.5640461623459</v>
      </c>
      <c r="Z20" s="825">
        <v>664.06988998894178</v>
      </c>
      <c r="AA20" s="825">
        <v>704.732111316089</v>
      </c>
      <c r="AB20" s="825">
        <v>767.88804184026242</v>
      </c>
      <c r="AC20" s="825">
        <v>516.69081302198742</v>
      </c>
      <c r="AD20" s="825">
        <v>632.0001222626106</v>
      </c>
      <c r="AE20" s="825">
        <v>606.28413978624678</v>
      </c>
      <c r="AF20" s="825">
        <v>429.66547514669185</v>
      </c>
    </row>
    <row r="21" spans="1:32" x14ac:dyDescent="0.25">
      <c r="A21" s="826" t="s">
        <v>1794</v>
      </c>
      <c r="B21" s="825">
        <v>2875.1798925915905</v>
      </c>
      <c r="C21" s="825">
        <v>2690.6116495556876</v>
      </c>
      <c r="D21" s="825">
        <v>2269.5516559309372</v>
      </c>
      <c r="E21" s="825">
        <v>2393.1729836875097</v>
      </c>
      <c r="F21" s="825">
        <v>2069.455787585478</v>
      </c>
      <c r="G21" s="825">
        <v>2584.2934692179706</v>
      </c>
      <c r="H21" s="825">
        <v>2453.0397284031005</v>
      </c>
      <c r="I21" s="825">
        <v>2543.8560867339379</v>
      </c>
      <c r="J21" s="825">
        <v>2681.0013412460071</v>
      </c>
      <c r="K21" s="825">
        <v>2567.8232324496103</v>
      </c>
      <c r="L21" s="825">
        <v>2596.2182378368434</v>
      </c>
      <c r="M21" s="825">
        <v>2558.3743733154261</v>
      </c>
      <c r="N21" s="825">
        <v>2512.517797348904</v>
      </c>
      <c r="O21" s="825">
        <v>2323.3091428666921</v>
      </c>
      <c r="P21" s="825">
        <v>2339.8485570143835</v>
      </c>
      <c r="Q21" s="825">
        <v>2631.9727154525563</v>
      </c>
      <c r="R21" s="825">
        <v>2592.4624866595514</v>
      </c>
      <c r="S21" s="825">
        <v>2885.962355242164</v>
      </c>
      <c r="T21" s="825">
        <v>2777.1455538176647</v>
      </c>
      <c r="U21" s="825">
        <v>3110.7125037563037</v>
      </c>
      <c r="V21" s="825">
        <v>3064.1775144158205</v>
      </c>
      <c r="W21" s="825">
        <v>3222.7624806138797</v>
      </c>
      <c r="X21" s="825">
        <v>3194.6048398562357</v>
      </c>
      <c r="Y21" s="825">
        <v>2770.0529122169773</v>
      </c>
      <c r="Z21" s="825">
        <v>2913.3207776903946</v>
      </c>
      <c r="AA21" s="825">
        <v>3110.9951801535735</v>
      </c>
      <c r="AB21" s="825">
        <v>3273.0052943544388</v>
      </c>
      <c r="AC21" s="825">
        <v>3288.1292010405259</v>
      </c>
      <c r="AD21" s="825">
        <v>2218.6366702451737</v>
      </c>
      <c r="AE21" s="825">
        <v>2923.0673235175473</v>
      </c>
      <c r="AF21" s="825">
        <v>2627.7454170536498</v>
      </c>
    </row>
    <row r="22" spans="1:32" x14ac:dyDescent="0.25">
      <c r="A22" s="826" t="s">
        <v>1793</v>
      </c>
      <c r="B22" s="825">
        <v>1949.7272538955513</v>
      </c>
      <c r="C22" s="825">
        <v>1834.6960335801541</v>
      </c>
      <c r="D22" s="825">
        <v>1661.4715387722913</v>
      </c>
      <c r="E22" s="825">
        <v>1900.5095599531512</v>
      </c>
      <c r="F22" s="825">
        <v>1120.8647542536662</v>
      </c>
      <c r="G22" s="825">
        <v>1840.7064435453503</v>
      </c>
      <c r="H22" s="825">
        <v>1813.7437710978941</v>
      </c>
      <c r="I22" s="825">
        <v>2138.7673031026252</v>
      </c>
      <c r="J22" s="825">
        <v>2189.1149366440545</v>
      </c>
      <c r="K22" s="825">
        <v>2047.9753024509496</v>
      </c>
      <c r="L22" s="825">
        <v>1943.432915716855</v>
      </c>
      <c r="M22" s="825">
        <v>1914.5997167562837</v>
      </c>
      <c r="N22" s="825">
        <v>1687.3745395559463</v>
      </c>
      <c r="O22" s="825">
        <v>1625.5174937371578</v>
      </c>
      <c r="P22" s="825">
        <v>1582.9965920155796</v>
      </c>
      <c r="Q22" s="825">
        <v>1471.6320840761164</v>
      </c>
      <c r="R22" s="825">
        <v>1568.2565581041692</v>
      </c>
      <c r="S22" s="825">
        <v>1401.5063825458983</v>
      </c>
      <c r="T22" s="825">
        <v>1411.2169802381529</v>
      </c>
      <c r="U22" s="825">
        <v>1550.0168889951308</v>
      </c>
      <c r="V22" s="825">
        <v>1388.3873130557042</v>
      </c>
      <c r="W22" s="825">
        <v>1432.7711463043524</v>
      </c>
      <c r="X22" s="825">
        <v>1403.9493446033941</v>
      </c>
      <c r="Y22" s="825">
        <v>1165.1280923246918</v>
      </c>
      <c r="Z22" s="825">
        <v>1328.1397799778836</v>
      </c>
      <c r="AA22" s="825">
        <v>1409.464222632178</v>
      </c>
      <c r="AB22" s="825">
        <v>1535.7760836805248</v>
      </c>
      <c r="AC22" s="825">
        <v>1033.3816260439748</v>
      </c>
      <c r="AD22" s="825">
        <v>1264.0002445252212</v>
      </c>
      <c r="AE22" s="825">
        <v>1212.5682795724936</v>
      </c>
      <c r="AF22" s="825">
        <v>859.33095029338369</v>
      </c>
    </row>
    <row r="23" spans="1:32" ht="15.75" thickBot="1" x14ac:dyDescent="0.3">
      <c r="A23" s="824" t="s">
        <v>1792</v>
      </c>
      <c r="B23" s="823">
        <v>2938.1170980773827</v>
      </c>
      <c r="C23" s="823">
        <v>2611.8838689849777</v>
      </c>
      <c r="D23" s="823">
        <v>2257.8344606426854</v>
      </c>
      <c r="E23" s="823">
        <v>2553.3419902036453</v>
      </c>
      <c r="F23" s="823">
        <v>2188.2018916388743</v>
      </c>
      <c r="G23" s="823">
        <v>2043.9843450064852</v>
      </c>
      <c r="H23" s="823">
        <v>2324.8324946936077</v>
      </c>
      <c r="I23" s="823">
        <v>2744.5854402160203</v>
      </c>
      <c r="J23" s="823">
        <v>3126.6872354211673</v>
      </c>
      <c r="K23" s="823">
        <v>2755.1523765073252</v>
      </c>
      <c r="L23" s="823">
        <v>2845.8193208543316</v>
      </c>
      <c r="M23" s="823">
        <v>2666.5854124451889</v>
      </c>
      <c r="N23" s="823">
        <v>2614.7692925999099</v>
      </c>
      <c r="O23" s="823">
        <v>3354.9674990609269</v>
      </c>
      <c r="P23" s="823">
        <v>3877.6539702681625</v>
      </c>
      <c r="Q23" s="823">
        <v>3039.3078990930703</v>
      </c>
      <c r="R23" s="823">
        <v>3512.0858814812441</v>
      </c>
      <c r="S23" s="823">
        <v>3296.9892363054782</v>
      </c>
      <c r="T23" s="823">
        <v>3656.0765145754126</v>
      </c>
      <c r="U23" s="823">
        <v>3973.7527345778221</v>
      </c>
      <c r="V23" s="823">
        <v>3528.8452213660307</v>
      </c>
      <c r="W23" s="823">
        <v>3354.5987425572844</v>
      </c>
      <c r="X23" s="823">
        <v>3839.0090819692737</v>
      </c>
      <c r="Y23" s="823">
        <v>3950.376161293997</v>
      </c>
      <c r="Z23" s="823">
        <v>4300.2066359524615</v>
      </c>
      <c r="AA23" s="823">
        <v>4302.1469757437744</v>
      </c>
      <c r="AB23" s="823">
        <v>3086.5346522030868</v>
      </c>
      <c r="AC23" s="823">
        <v>4190.6140550343689</v>
      </c>
      <c r="AD23" s="823">
        <v>3368.129173892265</v>
      </c>
      <c r="AE23" s="823">
        <v>4408.1280286706124</v>
      </c>
      <c r="AF23" s="823">
        <v>3842.8440344553196</v>
      </c>
    </row>
  </sheetData>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B3BD3-14CA-4DBC-8B52-1A078EEDBC57}">
  <sheetPr codeName="Ark160">
    <tabColor theme="0" tint="-0.499984740745262"/>
  </sheetPr>
  <dimension ref="A1:CB52"/>
  <sheetViews>
    <sheetView workbookViewId="0"/>
  </sheetViews>
  <sheetFormatPr defaultColWidth="9.140625" defaultRowHeight="15" x14ac:dyDescent="0.25"/>
  <cols>
    <col min="1" max="1" width="57.140625" style="2946" customWidth="1"/>
    <col min="2" max="2" width="8.5703125" style="2946" customWidth="1"/>
    <col min="3" max="6" width="0" style="2946" hidden="1" customWidth="1"/>
    <col min="7" max="7" width="9.140625" style="2946"/>
    <col min="8" max="11" width="0" style="2946" hidden="1" customWidth="1"/>
    <col min="12" max="12" width="9.140625" style="2946"/>
    <col min="13" max="16" width="0" style="2946" hidden="1" customWidth="1"/>
    <col min="17" max="17" width="9.140625" style="2946"/>
    <col min="18" max="21" width="0" style="2946" hidden="1" customWidth="1"/>
    <col min="22" max="22" width="9.140625" style="2946"/>
    <col min="23" max="26" width="8.85546875" style="2946" customWidth="1"/>
    <col min="27" max="16384" width="9.140625" style="2946"/>
  </cols>
  <sheetData>
    <row r="1" spans="1:80" ht="21" x14ac:dyDescent="0.35">
      <c r="A1" s="2964" t="s">
        <v>5034</v>
      </c>
    </row>
    <row r="2" spans="1:80" ht="15.6" customHeight="1" x14ac:dyDescent="0.25">
      <c r="A2" s="2946" t="s">
        <v>5033</v>
      </c>
    </row>
    <row r="3" spans="1:80" x14ac:dyDescent="0.25">
      <c r="A3" s="2946" t="s">
        <v>5032</v>
      </c>
    </row>
    <row r="5" spans="1:80" ht="15.75" x14ac:dyDescent="0.25">
      <c r="A5" s="2952" t="s">
        <v>5031</v>
      </c>
    </row>
    <row r="6" spans="1:80" x14ac:dyDescent="0.25">
      <c r="A6" s="2950" t="s">
        <v>4390</v>
      </c>
      <c r="B6" s="2950">
        <v>1990</v>
      </c>
      <c r="C6" s="2950">
        <v>1991</v>
      </c>
      <c r="D6" s="2950">
        <v>1992</v>
      </c>
      <c r="E6" s="2950">
        <v>1993</v>
      </c>
      <c r="F6" s="2950">
        <v>1994</v>
      </c>
      <c r="G6" s="2950">
        <v>1995</v>
      </c>
      <c r="H6" s="2950">
        <v>1996</v>
      </c>
      <c r="I6" s="2950">
        <v>1997</v>
      </c>
      <c r="J6" s="2950">
        <v>1998</v>
      </c>
      <c r="K6" s="2950">
        <v>1999</v>
      </c>
      <c r="L6" s="2950">
        <v>2000</v>
      </c>
      <c r="M6" s="2950">
        <v>2001</v>
      </c>
      <c r="N6" s="2950">
        <v>2002</v>
      </c>
      <c r="O6" s="2950">
        <v>2003</v>
      </c>
      <c r="P6" s="2950">
        <v>2004</v>
      </c>
      <c r="Q6" s="2950">
        <v>2005</v>
      </c>
      <c r="R6" s="2950">
        <v>2006</v>
      </c>
      <c r="S6" s="2950">
        <v>2007</v>
      </c>
      <c r="T6" s="2950">
        <v>2008</v>
      </c>
      <c r="U6" s="2950">
        <v>2009</v>
      </c>
      <c r="V6" s="2950">
        <v>2010</v>
      </c>
      <c r="W6" s="2950">
        <v>2011</v>
      </c>
      <c r="X6" s="2950">
        <v>2012</v>
      </c>
      <c r="Y6" s="2950">
        <v>2013</v>
      </c>
      <c r="Z6" s="2950">
        <v>2014</v>
      </c>
      <c r="AA6" s="2950">
        <v>2015</v>
      </c>
      <c r="AB6" s="2950">
        <v>2016</v>
      </c>
      <c r="AC6" s="2950">
        <v>2017</v>
      </c>
      <c r="AD6" s="2950">
        <v>2018</v>
      </c>
      <c r="AE6" s="2950">
        <v>2019</v>
      </c>
      <c r="AF6" s="2950">
        <v>2020</v>
      </c>
      <c r="AG6" s="2950">
        <v>2021</v>
      </c>
      <c r="AH6" s="2950">
        <v>2022</v>
      </c>
      <c r="AI6" s="2950">
        <v>2023</v>
      </c>
      <c r="AJ6" s="2950">
        <v>2024</v>
      </c>
      <c r="AK6" s="2950">
        <v>2025</v>
      </c>
      <c r="AL6" s="2950">
        <v>2026</v>
      </c>
      <c r="AM6" s="2950">
        <v>2027</v>
      </c>
      <c r="AN6" s="2950">
        <v>2028</v>
      </c>
      <c r="AO6" s="2950">
        <v>2029</v>
      </c>
      <c r="AP6" s="2950">
        <v>2030</v>
      </c>
      <c r="AQ6" s="2950">
        <v>2031</v>
      </c>
      <c r="AR6" s="2950">
        <v>2032</v>
      </c>
      <c r="AS6" s="2950">
        <v>2033</v>
      </c>
      <c r="AT6" s="2950">
        <v>2034</v>
      </c>
      <c r="AU6" s="2950">
        <v>2035</v>
      </c>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row>
    <row r="7" spans="1:80" x14ac:dyDescent="0.25">
      <c r="A7" s="2946" t="s">
        <v>243</v>
      </c>
      <c r="B7" s="2947">
        <v>548.74505833196656</v>
      </c>
      <c r="C7" s="2947">
        <v>548.74505833196656</v>
      </c>
      <c r="D7" s="2947">
        <v>548.74505833196656</v>
      </c>
      <c r="E7" s="2947">
        <v>548.74505833196656</v>
      </c>
      <c r="F7" s="2947">
        <v>548.74505833196656</v>
      </c>
      <c r="G7" s="2947">
        <v>569.78128750010171</v>
      </c>
      <c r="H7" s="2947">
        <v>548.74505833196656</v>
      </c>
      <c r="I7" s="2947">
        <v>548.74505833196656</v>
      </c>
      <c r="J7" s="2947">
        <v>548.74505833196656</v>
      </c>
      <c r="K7" s="2947">
        <v>548.74505833196656</v>
      </c>
      <c r="L7" s="2947">
        <v>590.817516664236</v>
      </c>
      <c r="M7" s="2947">
        <v>548.74505833196656</v>
      </c>
      <c r="N7" s="2947">
        <v>548.74505833196656</v>
      </c>
      <c r="O7" s="2947">
        <v>548.74505833196656</v>
      </c>
      <c r="P7" s="2947">
        <v>548.74505833196656</v>
      </c>
      <c r="Q7" s="2947">
        <v>610.99361606628099</v>
      </c>
      <c r="R7" s="2947">
        <v>548.74505833196656</v>
      </c>
      <c r="S7" s="2947">
        <v>548.74505833196656</v>
      </c>
      <c r="T7" s="2947">
        <v>548.74505833196656</v>
      </c>
      <c r="U7" s="2947">
        <v>548.74505833196656</v>
      </c>
      <c r="V7" s="2947">
        <v>627.72919643178</v>
      </c>
      <c r="W7" s="2947">
        <v>631.07631249574001</v>
      </c>
      <c r="X7" s="2947">
        <v>632.53568749978001</v>
      </c>
      <c r="Y7" s="2947">
        <v>637.25387499587998</v>
      </c>
      <c r="Z7" s="2947">
        <v>637.29756249715001</v>
      </c>
      <c r="AA7" s="2947">
        <v>637.54150000189998</v>
      </c>
      <c r="AB7" s="2947">
        <v>637.48199999616998</v>
      </c>
      <c r="AC7" s="2947">
        <v>638.59750000339</v>
      </c>
      <c r="AD7" s="2947">
        <v>639.10618749574996</v>
      </c>
      <c r="AE7" s="2947">
        <v>640.11050000295995</v>
      </c>
      <c r="AF7" s="2947">
        <v>641.32549999866001</v>
      </c>
      <c r="AG7" s="2947">
        <v>643.16955178571425</v>
      </c>
      <c r="AH7" s="2947">
        <v>645.31456339285705</v>
      </c>
      <c r="AI7" s="2947">
        <v>647.7895749999999</v>
      </c>
      <c r="AJ7" s="2947">
        <v>650.38458660714286</v>
      </c>
      <c r="AK7" s="2947">
        <v>653.67459821428565</v>
      </c>
      <c r="AL7" s="2947">
        <v>657.00960982142851</v>
      </c>
      <c r="AM7" s="2947">
        <v>660.34462142857137</v>
      </c>
      <c r="AN7" s="2947">
        <v>663.40963303571425</v>
      </c>
      <c r="AO7" s="2947">
        <v>666.57464464285715</v>
      </c>
      <c r="AP7" s="2947">
        <v>668.04965625</v>
      </c>
      <c r="AQ7" s="2947">
        <v>668.72466785714289</v>
      </c>
      <c r="AR7" s="2947">
        <v>669.39967946428578</v>
      </c>
      <c r="AS7" s="2947">
        <v>669.19469107142857</v>
      </c>
      <c r="AT7" s="2947">
        <v>668.98970267857146</v>
      </c>
      <c r="AU7" s="2947">
        <v>668.78471428571436</v>
      </c>
      <c r="AV7" s="2947"/>
      <c r="AW7" s="2947"/>
      <c r="AX7" s="2947"/>
    </row>
    <row r="8" spans="1:80" x14ac:dyDescent="0.25">
      <c r="A8" s="2946" t="s">
        <v>4388</v>
      </c>
      <c r="B8" s="2947">
        <v>2993.1686437530002</v>
      </c>
      <c r="C8" s="2947">
        <v>2993.1686437530002</v>
      </c>
      <c r="D8" s="2947">
        <v>2993.1686437530002</v>
      </c>
      <c r="E8" s="2947">
        <v>2993.1686437530002</v>
      </c>
      <c r="F8" s="2947">
        <v>2993.1686437530002</v>
      </c>
      <c r="G8" s="2947">
        <v>2968.2381124830031</v>
      </c>
      <c r="H8" s="2947">
        <v>2993.1686437530002</v>
      </c>
      <c r="I8" s="2947">
        <v>2993.1686437530002</v>
      </c>
      <c r="J8" s="2947">
        <v>2993.1686437530002</v>
      </c>
      <c r="K8" s="2947">
        <v>2993.1686437530002</v>
      </c>
      <c r="L8" s="2947">
        <v>2943.3075812209031</v>
      </c>
      <c r="M8" s="2947">
        <v>2993.1686437530002</v>
      </c>
      <c r="N8" s="2947">
        <v>2993.1686437530002</v>
      </c>
      <c r="O8" s="2947">
        <v>2993.1686437530002</v>
      </c>
      <c r="P8" s="2947">
        <v>2993.1686437530002</v>
      </c>
      <c r="Q8" s="2947">
        <v>2916.7033259263021</v>
      </c>
      <c r="R8" s="2947">
        <v>2993.1686437530002</v>
      </c>
      <c r="S8" s="2947">
        <v>2993.1686437530002</v>
      </c>
      <c r="T8" s="2947">
        <v>2993.1686437530002</v>
      </c>
      <c r="U8" s="2947">
        <v>2993.1686437530002</v>
      </c>
      <c r="V8" s="2947">
        <v>2883.4041740711018</v>
      </c>
      <c r="W8" s="2947">
        <v>2876.7443437463021</v>
      </c>
      <c r="X8" s="2947">
        <v>2865.5910937854546</v>
      </c>
      <c r="Y8" s="2947">
        <v>2860.8509687446808</v>
      </c>
      <c r="Z8" s="2947">
        <v>2840.2469374939892</v>
      </c>
      <c r="AA8" s="2947">
        <v>2827.0524375161999</v>
      </c>
      <c r="AB8" s="2947">
        <v>2818.9543750113621</v>
      </c>
      <c r="AC8" s="2947">
        <v>2811.4713125475828</v>
      </c>
      <c r="AD8" s="2947">
        <v>2810.7453124918361</v>
      </c>
      <c r="AE8" s="2947">
        <v>2805.7915624599859</v>
      </c>
      <c r="AF8" s="2947">
        <v>2801.9203749830299</v>
      </c>
      <c r="AG8" s="2947">
        <f t="shared" ref="AG8:AU8" si="0">SUM($AF$7:$AF$11)-AG7-AG9-AG10-AG11</f>
        <v>2797.4568058378122</v>
      </c>
      <c r="AH8" s="2947">
        <f t="shared" si="0"/>
        <v>2791.6342768695586</v>
      </c>
      <c r="AI8" s="2947">
        <f t="shared" si="0"/>
        <v>2786.1689979013045</v>
      </c>
      <c r="AJ8" s="2947">
        <f t="shared" si="0"/>
        <v>2778.7572189330504</v>
      </c>
      <c r="AK8" s="2947">
        <f t="shared" si="0"/>
        <v>2769.5331879038131</v>
      </c>
      <c r="AL8" s="2947">
        <f t="shared" si="0"/>
        <v>2760.457920990355</v>
      </c>
      <c r="AM8" s="2947">
        <f t="shared" si="0"/>
        <v>2751.5811540768968</v>
      </c>
      <c r="AN8" s="2947">
        <f t="shared" si="0"/>
        <v>2743.5271555187092</v>
      </c>
      <c r="AO8" s="2947">
        <f t="shared" si="0"/>
        <v>2733.2768272948019</v>
      </c>
      <c r="AP8" s="2947">
        <f t="shared" si="0"/>
        <v>2724.5897490708944</v>
      </c>
      <c r="AQ8" s="2947">
        <f t="shared" si="0"/>
        <v>2720.9362201026411</v>
      </c>
      <c r="AR8" s="2947">
        <f t="shared" si="0"/>
        <v>2717.1724411343866</v>
      </c>
      <c r="AS8" s="2947">
        <f t="shared" si="0"/>
        <v>2714.972662166133</v>
      </c>
      <c r="AT8" s="2947">
        <f t="shared" si="0"/>
        <v>2712.7728831978789</v>
      </c>
      <c r="AU8" s="2947">
        <f t="shared" si="0"/>
        <v>2710.5731042296247</v>
      </c>
      <c r="AV8" s="2947"/>
      <c r="AW8" s="2947"/>
      <c r="AX8" s="2947"/>
    </row>
    <row r="9" spans="1:80" x14ac:dyDescent="0.25">
      <c r="A9" s="2946" t="s">
        <v>2140</v>
      </c>
      <c r="B9" s="2947">
        <v>146.3881479166669</v>
      </c>
      <c r="C9" s="2947">
        <v>146.3881479166669</v>
      </c>
      <c r="D9" s="2947">
        <v>146.3881479166669</v>
      </c>
      <c r="E9" s="2947">
        <v>146.3881479166669</v>
      </c>
      <c r="F9" s="2947">
        <v>146.3881479166669</v>
      </c>
      <c r="G9" s="2947">
        <v>143.333262499998</v>
      </c>
      <c r="H9" s="2947">
        <v>146.3881479166669</v>
      </c>
      <c r="I9" s="2947">
        <v>146.3881479166669</v>
      </c>
      <c r="J9" s="2947">
        <v>146.3881479166669</v>
      </c>
      <c r="K9" s="2947">
        <v>146.3881479166669</v>
      </c>
      <c r="L9" s="2947">
        <v>140.27837708422999</v>
      </c>
      <c r="M9" s="2947">
        <v>146.3881479166669</v>
      </c>
      <c r="N9" s="2947">
        <v>146.3881479166669</v>
      </c>
      <c r="O9" s="2947">
        <v>146.3881479166669</v>
      </c>
      <c r="P9" s="2947">
        <v>146.3881479166669</v>
      </c>
      <c r="Q9" s="2947">
        <v>138.44035267924301</v>
      </c>
      <c r="R9" s="2947">
        <v>146.3881479166669</v>
      </c>
      <c r="S9" s="2947">
        <v>146.3881479166669</v>
      </c>
      <c r="T9" s="2947">
        <v>146.3881479166669</v>
      </c>
      <c r="U9" s="2947">
        <v>146.3881479166669</v>
      </c>
      <c r="V9" s="2947">
        <v>141.46977232112999</v>
      </c>
      <c r="W9" s="2947">
        <v>142.07565625026001</v>
      </c>
      <c r="X9" s="2947">
        <v>144.66646874954</v>
      </c>
      <c r="Y9" s="2947">
        <v>142.038531249703</v>
      </c>
      <c r="Z9" s="2947">
        <v>157.408312499966</v>
      </c>
      <c r="AA9" s="2947">
        <v>168.22993750024</v>
      </c>
      <c r="AB9" s="2947">
        <v>170.55175000039</v>
      </c>
      <c r="AC9" s="2947">
        <v>173.26481250057</v>
      </c>
      <c r="AD9" s="2947">
        <v>170.03081250083</v>
      </c>
      <c r="AE9" s="2947">
        <v>170.7555000001</v>
      </c>
      <c r="AF9" s="2947">
        <v>168.91693749986999</v>
      </c>
      <c r="AG9" s="2947">
        <v>168.21451041666668</v>
      </c>
      <c r="AH9" s="2947">
        <v>166.28308333333334</v>
      </c>
      <c r="AI9" s="2947">
        <v>164.98940625</v>
      </c>
      <c r="AJ9" s="2947">
        <v>161.85122916666668</v>
      </c>
      <c r="AK9" s="2947">
        <v>157.49155002234983</v>
      </c>
      <c r="AL9" s="2947">
        <v>153.31888499381247</v>
      </c>
      <c r="AM9" s="2947">
        <v>149.34271996527511</v>
      </c>
      <c r="AN9" s="2947">
        <v>145.96182329200795</v>
      </c>
      <c r="AO9" s="2947">
        <v>140.46959695302155</v>
      </c>
      <c r="AP9" s="2947">
        <v>135.10412061403511</v>
      </c>
      <c r="AQ9" s="2947">
        <v>133.87169353070178</v>
      </c>
      <c r="AR9" s="2947">
        <v>132.74951644736842</v>
      </c>
      <c r="AS9" s="2947">
        <v>132.44333936403513</v>
      </c>
      <c r="AT9" s="2947">
        <v>132.13716228070177</v>
      </c>
      <c r="AU9" s="2947">
        <v>131.83098519736842</v>
      </c>
      <c r="AV9" s="2947"/>
      <c r="AW9" s="2947"/>
      <c r="AX9" s="2947"/>
    </row>
    <row r="10" spans="1:80" x14ac:dyDescent="0.25">
      <c r="A10" s="2946" t="s">
        <v>5030</v>
      </c>
      <c r="B10" s="2947">
        <v>103.26763333367035</v>
      </c>
      <c r="C10" s="2947">
        <v>103.26763333367035</v>
      </c>
      <c r="D10" s="2947">
        <v>103.26763333367035</v>
      </c>
      <c r="E10" s="2947">
        <v>103.26763333367035</v>
      </c>
      <c r="F10" s="2947">
        <v>103.26763333367035</v>
      </c>
      <c r="G10" s="2947">
        <v>105.53392500003987</v>
      </c>
      <c r="H10" s="2947">
        <v>103.26763333367035</v>
      </c>
      <c r="I10" s="2947">
        <v>103.26763333367035</v>
      </c>
      <c r="J10" s="2947">
        <v>103.26763333367035</v>
      </c>
      <c r="K10" s="2947">
        <v>103.26763333367035</v>
      </c>
      <c r="L10" s="2947">
        <v>107.80021666632631</v>
      </c>
      <c r="M10" s="2947">
        <v>103.26763333367035</v>
      </c>
      <c r="N10" s="2947">
        <v>103.26763333367035</v>
      </c>
      <c r="O10" s="2947">
        <v>103.26763333367035</v>
      </c>
      <c r="P10" s="2947">
        <v>103.26763333367035</v>
      </c>
      <c r="Q10" s="2947">
        <v>110.46290178617301</v>
      </c>
      <c r="R10" s="2947">
        <v>103.26763333367035</v>
      </c>
      <c r="S10" s="2947">
        <v>103.26763333367035</v>
      </c>
      <c r="T10" s="2947">
        <v>103.26763333367035</v>
      </c>
      <c r="U10" s="2947">
        <v>103.26763333367035</v>
      </c>
      <c r="V10" s="2947">
        <v>114.71116071476</v>
      </c>
      <c r="W10" s="2947">
        <v>115.560812499769</v>
      </c>
      <c r="X10" s="2947">
        <v>117.54400000051901</v>
      </c>
      <c r="Y10" s="2947">
        <v>118.06525000081</v>
      </c>
      <c r="Z10" s="2947">
        <v>118.755375000041</v>
      </c>
      <c r="AA10" s="2947">
        <v>119.335125000547</v>
      </c>
      <c r="AB10" s="2947">
        <v>120.507187500051</v>
      </c>
      <c r="AC10" s="2947">
        <v>122.057875000642</v>
      </c>
      <c r="AD10" s="2947">
        <v>123.84743750025</v>
      </c>
      <c r="AE10" s="2947">
        <v>125.92950000038999</v>
      </c>
      <c r="AF10" s="2947">
        <v>127.85562500004799</v>
      </c>
      <c r="AG10" s="2947">
        <v>128.45955555555554</v>
      </c>
      <c r="AH10" s="2947">
        <v>131.35048611111114</v>
      </c>
      <c r="AI10" s="2947">
        <v>132.91641666666669</v>
      </c>
      <c r="AJ10" s="2947">
        <v>138.15334722222221</v>
      </c>
      <c r="AK10" s="2947">
        <v>145.72903189974483</v>
      </c>
      <c r="AL10" s="2947">
        <v>152.92393834570842</v>
      </c>
      <c r="AM10" s="2947">
        <v>159.72384479167201</v>
      </c>
      <c r="AN10" s="2947">
        <v>165.3757145270952</v>
      </c>
      <c r="AO10" s="2947">
        <v>175.23524359395699</v>
      </c>
      <c r="AP10" s="2947">
        <v>185.09477266081873</v>
      </c>
      <c r="AQ10" s="2947">
        <v>186.58770321637428</v>
      </c>
      <c r="AR10" s="2947">
        <v>188.08063377192983</v>
      </c>
      <c r="AS10" s="2947">
        <v>188.0735643274854</v>
      </c>
      <c r="AT10" s="2947">
        <v>188.06649488304095</v>
      </c>
      <c r="AU10" s="2947">
        <v>188.05942543859652</v>
      </c>
      <c r="AV10" s="2947"/>
      <c r="AW10" s="2947"/>
      <c r="AX10" s="2947"/>
    </row>
    <row r="11" spans="1:80" x14ac:dyDescent="0.25">
      <c r="A11" s="2949" t="s">
        <v>827</v>
      </c>
      <c r="B11" s="2948">
        <v>487.55026666699968</v>
      </c>
      <c r="C11" s="2948">
        <v>487.55026666699968</v>
      </c>
      <c r="D11" s="2948">
        <v>487.55026666699968</v>
      </c>
      <c r="E11" s="2948">
        <v>487.55026666699968</v>
      </c>
      <c r="F11" s="2948">
        <v>487.55026666699968</v>
      </c>
      <c r="G11" s="2948">
        <v>492.23316249700002</v>
      </c>
      <c r="H11" s="2948">
        <v>487.55026666699968</v>
      </c>
      <c r="I11" s="2948">
        <v>487.55026666699968</v>
      </c>
      <c r="J11" s="2948">
        <v>487.55026666699968</v>
      </c>
      <c r="K11" s="2948">
        <v>487.55026666699968</v>
      </c>
      <c r="L11" s="2948">
        <v>496.91605833700299</v>
      </c>
      <c r="M11" s="2948">
        <v>487.55026666699968</v>
      </c>
      <c r="N11" s="2948">
        <v>487.55026666699968</v>
      </c>
      <c r="O11" s="2948">
        <v>487.55026666699968</v>
      </c>
      <c r="P11" s="2948">
        <v>487.55026666699968</v>
      </c>
      <c r="Q11" s="2948">
        <v>502.519553570997</v>
      </c>
      <c r="R11" s="2948">
        <v>487.55026666699968</v>
      </c>
      <c r="S11" s="2948">
        <v>487.55026666699968</v>
      </c>
      <c r="T11" s="2948">
        <v>487.55026666699968</v>
      </c>
      <c r="U11" s="2948">
        <v>487.55026666699968</v>
      </c>
      <c r="V11" s="2948">
        <v>511.80544643240302</v>
      </c>
      <c r="W11" s="2948">
        <v>513.66262500259995</v>
      </c>
      <c r="X11" s="2948">
        <v>518.78249999750005</v>
      </c>
      <c r="Y11" s="2948">
        <v>520.91112500240001</v>
      </c>
      <c r="Z11" s="2948">
        <v>525.41156249640005</v>
      </c>
      <c r="AA11" s="2948">
        <v>526.96075000129997</v>
      </c>
      <c r="AB11" s="2948">
        <v>531.62443749620002</v>
      </c>
      <c r="AC11" s="2948">
        <v>533.72825000110004</v>
      </c>
      <c r="AD11" s="2948">
        <v>535.38999999509997</v>
      </c>
      <c r="AE11" s="2948">
        <v>536.53268749999995</v>
      </c>
      <c r="AF11" s="2948">
        <v>539.10131250303004</v>
      </c>
      <c r="AG11" s="2948">
        <v>541.81932638888884</v>
      </c>
      <c r="AH11" s="2948">
        <v>544.53734027777773</v>
      </c>
      <c r="AI11" s="2948">
        <v>547.25535416666662</v>
      </c>
      <c r="AJ11" s="2948">
        <v>549.97336805555551</v>
      </c>
      <c r="AK11" s="2948">
        <v>552.69138194444452</v>
      </c>
      <c r="AL11" s="2948">
        <v>555.40939583333341</v>
      </c>
      <c r="AM11" s="2948">
        <v>558.1274097222223</v>
      </c>
      <c r="AN11" s="2948">
        <v>560.84542361111107</v>
      </c>
      <c r="AO11" s="2948">
        <v>563.56343749999996</v>
      </c>
      <c r="AP11" s="2948">
        <v>566.28145138888885</v>
      </c>
      <c r="AQ11" s="2948">
        <v>568.99946527777774</v>
      </c>
      <c r="AR11" s="2948">
        <v>571.71747916666675</v>
      </c>
      <c r="AS11" s="2948">
        <v>574.43549305555564</v>
      </c>
      <c r="AT11" s="2948">
        <v>577.15350694444453</v>
      </c>
      <c r="AU11" s="2948">
        <v>579.87152083333342</v>
      </c>
      <c r="AV11" s="2947"/>
      <c r="AW11" s="2947"/>
      <c r="AX11" s="2947"/>
    </row>
    <row r="12" spans="1:80" x14ac:dyDescent="0.25">
      <c r="A12" s="2962"/>
      <c r="B12" s="2947"/>
      <c r="C12" s="2947"/>
      <c r="D12" s="2947"/>
      <c r="E12" s="2947"/>
      <c r="F12" s="2947"/>
      <c r="G12" s="2947"/>
      <c r="H12" s="2947"/>
      <c r="I12" s="2947"/>
      <c r="J12" s="2947"/>
      <c r="K12" s="2947"/>
      <c r="L12" s="2947"/>
      <c r="M12" s="2947"/>
      <c r="N12" s="2947"/>
      <c r="O12" s="2947"/>
      <c r="P12" s="2947"/>
      <c r="Q12" s="2947"/>
      <c r="R12" s="2947"/>
      <c r="S12" s="2947"/>
      <c r="T12" s="2947"/>
      <c r="U12" s="2947"/>
      <c r="V12" s="2947"/>
      <c r="W12" s="2947"/>
      <c r="X12" s="2947"/>
      <c r="Y12" s="2947"/>
      <c r="Z12" s="2947"/>
      <c r="AA12" s="2947"/>
      <c r="AB12" s="2947"/>
      <c r="AC12" s="2947"/>
      <c r="AD12" s="2947"/>
      <c r="AE12" s="2947"/>
      <c r="AF12" s="2947"/>
      <c r="AG12" s="2947"/>
      <c r="AH12" s="2947"/>
      <c r="AI12" s="2947"/>
      <c r="AJ12" s="2947"/>
      <c r="AK12" s="2947"/>
      <c r="AL12" s="2947"/>
      <c r="AM12" s="2947"/>
      <c r="AN12" s="2947"/>
      <c r="AO12" s="2947"/>
      <c r="AP12" s="2947"/>
      <c r="AQ12" s="2947"/>
      <c r="AR12" s="2947"/>
      <c r="AS12" s="2947"/>
      <c r="AT12" s="2947"/>
      <c r="AU12" s="2947"/>
    </row>
    <row r="13" spans="1:80" ht="15.75" x14ac:dyDescent="0.25">
      <c r="A13" s="2952" t="s">
        <v>5029</v>
      </c>
      <c r="B13" s="2947"/>
      <c r="C13" s="2947"/>
      <c r="D13" s="2947"/>
      <c r="E13" s="2947"/>
      <c r="F13" s="2947"/>
      <c r="G13" s="2947"/>
      <c r="H13" s="2947"/>
      <c r="I13" s="2947"/>
      <c r="J13" s="2947"/>
      <c r="K13" s="2947"/>
      <c r="L13" s="2947"/>
      <c r="M13" s="2947"/>
      <c r="N13" s="2947"/>
      <c r="O13" s="2947"/>
      <c r="P13" s="2947"/>
      <c r="Q13" s="2947"/>
      <c r="R13" s="2947"/>
      <c r="S13" s="2947"/>
      <c r="T13" s="2947"/>
      <c r="U13" s="2947"/>
      <c r="V13" s="2947"/>
      <c r="W13" s="2947"/>
      <c r="X13" s="2947"/>
      <c r="Y13" s="2947"/>
      <c r="Z13" s="2947"/>
      <c r="AA13" s="2947"/>
      <c r="AB13" s="2947"/>
      <c r="AC13" s="2947"/>
      <c r="AD13" s="2947"/>
      <c r="AE13" s="2947"/>
      <c r="AF13" s="2947"/>
    </row>
    <row r="14" spans="1:80" x14ac:dyDescent="0.25">
      <c r="A14" s="2950" t="s">
        <v>5028</v>
      </c>
      <c r="B14" s="2950">
        <v>1990</v>
      </c>
      <c r="C14" s="2950">
        <v>1991</v>
      </c>
      <c r="D14" s="2950">
        <v>1992</v>
      </c>
      <c r="E14" s="2950">
        <v>1993</v>
      </c>
      <c r="F14" s="2950">
        <v>1994</v>
      </c>
      <c r="G14" s="2950">
        <v>1995</v>
      </c>
      <c r="H14" s="2950">
        <v>1996</v>
      </c>
      <c r="I14" s="2950">
        <v>1997</v>
      </c>
      <c r="J14" s="2950">
        <v>1998</v>
      </c>
      <c r="K14" s="2950">
        <v>1999</v>
      </c>
      <c r="L14" s="2950">
        <v>2000</v>
      </c>
      <c r="M14" s="2950">
        <v>2001</v>
      </c>
      <c r="N14" s="2950">
        <v>2002</v>
      </c>
      <c r="O14" s="2950">
        <v>2003</v>
      </c>
      <c r="P14" s="2950">
        <v>2004</v>
      </c>
      <c r="Q14" s="2950">
        <v>2005</v>
      </c>
      <c r="R14" s="2950">
        <v>2006</v>
      </c>
      <c r="S14" s="2950">
        <v>2007</v>
      </c>
      <c r="T14" s="2950">
        <v>2008</v>
      </c>
      <c r="U14" s="2950">
        <v>2009</v>
      </c>
      <c r="V14" s="2950">
        <v>2010</v>
      </c>
      <c r="W14" s="2950">
        <v>2011</v>
      </c>
      <c r="X14" s="2950">
        <v>2012</v>
      </c>
      <c r="Y14" s="2950">
        <v>2013</v>
      </c>
      <c r="Z14" s="2950">
        <v>2014</v>
      </c>
      <c r="AA14" s="2950">
        <v>2015</v>
      </c>
      <c r="AB14" s="2950">
        <v>2016</v>
      </c>
      <c r="AC14" s="2950">
        <v>2017</v>
      </c>
      <c r="AD14" s="2950">
        <v>2018</v>
      </c>
      <c r="AE14" s="2950">
        <v>2019</v>
      </c>
      <c r="AF14" s="2950">
        <v>2020</v>
      </c>
      <c r="AG14" s="2950">
        <v>2021</v>
      </c>
      <c r="AH14" s="2950">
        <v>2022</v>
      </c>
      <c r="AI14" s="2950">
        <v>2023</v>
      </c>
      <c r="AJ14" s="2950">
        <v>2024</v>
      </c>
      <c r="AK14" s="2950">
        <v>2025</v>
      </c>
      <c r="AL14" s="2950">
        <v>2026</v>
      </c>
      <c r="AM14" s="2950">
        <v>2027</v>
      </c>
      <c r="AN14" s="2950">
        <v>2028</v>
      </c>
      <c r="AO14" s="2950">
        <v>2029</v>
      </c>
      <c r="AP14" s="2950">
        <v>2030</v>
      </c>
      <c r="AQ14" s="2950">
        <v>2031</v>
      </c>
      <c r="AR14" s="2950">
        <v>2032</v>
      </c>
      <c r="AS14" s="2950">
        <v>2033</v>
      </c>
      <c r="AT14" s="2950">
        <v>2034</v>
      </c>
      <c r="AU14" s="2950">
        <v>2035</v>
      </c>
    </row>
    <row r="15" spans="1:80" x14ac:dyDescent="0.25">
      <c r="A15" s="2947" t="s">
        <v>5027</v>
      </c>
      <c r="B15" s="2947">
        <v>20.612207123000001</v>
      </c>
      <c r="C15" s="2947">
        <v>20.612207123000001</v>
      </c>
      <c r="D15" s="2947">
        <v>20.612207123000001</v>
      </c>
      <c r="E15" s="2947">
        <v>20.612207123000001</v>
      </c>
      <c r="F15" s="2947">
        <v>20.612207123000001</v>
      </c>
      <c r="G15" s="2947">
        <v>21.381517334000002</v>
      </c>
      <c r="H15" s="2947">
        <v>20.612207123000001</v>
      </c>
      <c r="I15" s="2947">
        <v>20.612207123000001</v>
      </c>
      <c r="J15" s="2947">
        <v>20.612207123000001</v>
      </c>
      <c r="K15" s="2947">
        <v>20.612207123000001</v>
      </c>
      <c r="L15" s="2947">
        <v>21.430241135999999</v>
      </c>
      <c r="M15" s="2947">
        <v>20.612207123000001</v>
      </c>
      <c r="N15" s="2947">
        <v>20.612207123000001</v>
      </c>
      <c r="O15" s="2947">
        <v>20.612207123000001</v>
      </c>
      <c r="P15" s="2947">
        <v>20.612207123000001</v>
      </c>
      <c r="Q15" s="2947">
        <v>21.45105203</v>
      </c>
      <c r="R15" s="2947">
        <v>20.612207123000001</v>
      </c>
      <c r="S15" s="2947">
        <v>20.612207123000001</v>
      </c>
      <c r="T15" s="2947">
        <v>20.612207123000001</v>
      </c>
      <c r="U15" s="2947">
        <v>20.612207123000001</v>
      </c>
      <c r="V15" s="2947">
        <v>23.040242951</v>
      </c>
      <c r="W15" s="2947">
        <v>23.358081134999999</v>
      </c>
      <c r="X15" s="2947">
        <v>23.692082195000001</v>
      </c>
      <c r="Y15" s="2947">
        <v>24.0272142</v>
      </c>
      <c r="Z15" s="2947">
        <v>24.353859550999999</v>
      </c>
      <c r="AA15" s="2947">
        <v>24.551363890000001</v>
      </c>
      <c r="AB15" s="2947">
        <v>24.811250007999998</v>
      </c>
      <c r="AC15" s="2947">
        <v>25.143217807999999</v>
      </c>
      <c r="AD15" s="2947">
        <v>25.413767112999999</v>
      </c>
      <c r="AE15" s="2947">
        <v>25.722963613000001</v>
      </c>
      <c r="AF15" s="2947">
        <v>25.798119268000001</v>
      </c>
      <c r="AG15" s="2947">
        <v>26.03217234937495</v>
      </c>
      <c r="AH15" s="2947">
        <v>26.225302195290926</v>
      </c>
      <c r="AI15" s="2947">
        <v>26.418432041206898</v>
      </c>
      <c r="AJ15" s="2947">
        <v>26.611561887122882</v>
      </c>
      <c r="AK15" s="2947">
        <v>26.804691733038858</v>
      </c>
      <c r="AL15" s="2947">
        <v>26.997821578954838</v>
      </c>
      <c r="AM15" s="2947">
        <v>27.190951424870814</v>
      </c>
      <c r="AN15" s="2947">
        <v>27.38408127078679</v>
      </c>
      <c r="AO15" s="2947">
        <v>27.577211116702767</v>
      </c>
      <c r="AP15" s="2947">
        <v>27.770340962618743</v>
      </c>
      <c r="AQ15" s="2947">
        <v>27.963470808534726</v>
      </c>
      <c r="AR15" s="2947">
        <v>28.156600654450703</v>
      </c>
      <c r="AS15" s="2947">
        <v>28.349730500366679</v>
      </c>
      <c r="AT15" s="2947">
        <v>28.542860346282659</v>
      </c>
      <c r="AU15" s="2947">
        <v>28.721951243652374</v>
      </c>
    </row>
    <row r="16" spans="1:80" x14ac:dyDescent="0.25">
      <c r="A16" s="2947" t="s">
        <v>5026</v>
      </c>
      <c r="B16" s="2947">
        <v>6.3699786644426002</v>
      </c>
      <c r="C16" s="2947">
        <v>6.3699786644426002</v>
      </c>
      <c r="D16" s="2947">
        <v>6.3699786644426002</v>
      </c>
      <c r="E16" s="2947">
        <v>6.3699786644426002</v>
      </c>
      <c r="F16" s="2947">
        <v>6.3699786644426002</v>
      </c>
      <c r="G16" s="2947">
        <v>7.7155174649117004</v>
      </c>
      <c r="H16" s="2947">
        <v>6.3699786644426002</v>
      </c>
      <c r="I16" s="2947">
        <v>6.3699786644426002</v>
      </c>
      <c r="J16" s="2947">
        <v>6.3699786644426002</v>
      </c>
      <c r="K16" s="2947">
        <v>6.3699786644426002</v>
      </c>
      <c r="L16" s="2947">
        <v>9.7816426742960001</v>
      </c>
      <c r="M16" s="2947">
        <v>6.3699786644426002</v>
      </c>
      <c r="N16" s="2947">
        <v>6.3699786644426002</v>
      </c>
      <c r="O16" s="2947">
        <v>6.3699786644426002</v>
      </c>
      <c r="P16" s="2947">
        <v>6.3699786644426002</v>
      </c>
      <c r="Q16" s="2947">
        <v>11.839709136971001</v>
      </c>
      <c r="R16" s="2947">
        <v>6.3699786644426002</v>
      </c>
      <c r="S16" s="2947">
        <v>6.3699786644426002</v>
      </c>
      <c r="T16" s="2947">
        <v>6.3699786644426002</v>
      </c>
      <c r="U16" s="2947">
        <v>6.3699786644426002</v>
      </c>
      <c r="V16" s="2947">
        <v>12.18550895498</v>
      </c>
      <c r="W16" s="2947">
        <v>12.25466891864</v>
      </c>
      <c r="X16" s="2947">
        <v>12.001795341779999</v>
      </c>
      <c r="Y16" s="2947">
        <v>12.19511890938</v>
      </c>
      <c r="Z16" s="2947">
        <v>11.90524132775</v>
      </c>
      <c r="AA16" s="2947">
        <v>11.831821404899999</v>
      </c>
      <c r="AB16" s="2947">
        <v>11.629956581269999</v>
      </c>
      <c r="AC16" s="2947">
        <v>11.38180265549</v>
      </c>
      <c r="AD16" s="2947">
        <v>11.208001736450001</v>
      </c>
      <c r="AE16" s="2947">
        <v>11.00392765896</v>
      </c>
      <c r="AF16" s="2947">
        <v>11.08464012076</v>
      </c>
      <c r="AG16" s="2947">
        <v>11.012960159245775</v>
      </c>
      <c r="AH16" s="2947">
        <v>11.065123732529402</v>
      </c>
      <c r="AI16" s="2947">
        <v>11.153136749965784</v>
      </c>
      <c r="AJ16" s="2947">
        <v>11.254185928912243</v>
      </c>
      <c r="AK16" s="2947">
        <v>11.430736209937978</v>
      </c>
      <c r="AL16" s="2947">
        <v>11.612175051529992</v>
      </c>
      <c r="AM16" s="2947">
        <v>11.793613893122016</v>
      </c>
      <c r="AN16" s="2947">
        <v>11.945721371316326</v>
      </c>
      <c r="AO16" s="2947">
        <v>12.108692317435718</v>
      </c>
      <c r="AP16" s="2947">
        <v>12.088070655621344</v>
      </c>
      <c r="AQ16" s="2947">
        <v>11.980541250406368</v>
      </c>
      <c r="AR16" s="2947">
        <v>11.8730118451914</v>
      </c>
      <c r="AS16" s="2947">
        <v>11.669883922235767</v>
      </c>
      <c r="AT16" s="2947">
        <v>11.466755999280139</v>
      </c>
      <c r="AU16" s="2947">
        <v>11.277667024870766</v>
      </c>
    </row>
    <row r="17" spans="1:47" x14ac:dyDescent="0.25">
      <c r="A17" s="2947" t="s">
        <v>5025</v>
      </c>
      <c r="B17" s="2947">
        <v>20.236639341</v>
      </c>
      <c r="C17" s="2947">
        <v>20.236639341</v>
      </c>
      <c r="D17" s="2947">
        <v>20.236639341</v>
      </c>
      <c r="E17" s="2947">
        <v>20.236639341</v>
      </c>
      <c r="F17" s="2947">
        <v>20.236639341</v>
      </c>
      <c r="G17" s="2947">
        <v>19.908497493999999</v>
      </c>
      <c r="H17" s="2947">
        <v>20.236639341</v>
      </c>
      <c r="I17" s="2947">
        <v>20.236639341</v>
      </c>
      <c r="J17" s="2947">
        <v>20.236639341</v>
      </c>
      <c r="K17" s="2947">
        <v>20.236639341</v>
      </c>
      <c r="L17" s="2947">
        <v>19.302086040999999</v>
      </c>
      <c r="M17" s="2947">
        <v>20.236639341</v>
      </c>
      <c r="N17" s="2947">
        <v>20.236639341</v>
      </c>
      <c r="O17" s="2947">
        <v>20.236639341</v>
      </c>
      <c r="P17" s="2947">
        <v>20.236639341</v>
      </c>
      <c r="Q17" s="2947">
        <v>18.397525907999999</v>
      </c>
      <c r="R17" s="2947">
        <v>20.236639341</v>
      </c>
      <c r="S17" s="2947">
        <v>20.236639341</v>
      </c>
      <c r="T17" s="2947">
        <v>20.236639341</v>
      </c>
      <c r="U17" s="2947">
        <v>20.236639341</v>
      </c>
      <c r="V17" s="2947">
        <v>17.612875953</v>
      </c>
      <c r="W17" s="2947">
        <v>17.806375027000001</v>
      </c>
      <c r="X17" s="2947">
        <v>17.846938768000001</v>
      </c>
      <c r="Y17" s="2947">
        <v>18.111166554</v>
      </c>
      <c r="Z17" s="2947">
        <v>18.129550438999999</v>
      </c>
      <c r="AA17" s="2947">
        <v>18.191592648</v>
      </c>
      <c r="AB17" s="2947">
        <v>18.220603295</v>
      </c>
      <c r="AC17" s="2947">
        <v>18.262510232</v>
      </c>
      <c r="AD17" s="2947">
        <v>18.310884425000001</v>
      </c>
      <c r="AE17" s="2947">
        <v>18.363445636000002</v>
      </c>
      <c r="AF17" s="2947">
        <v>18.441379693999998</v>
      </c>
      <c r="AG17" s="2947">
        <v>13.016086174687475</v>
      </c>
      <c r="AH17" s="2947">
        <v>13.112651097645463</v>
      </c>
      <c r="AI17" s="2947">
        <v>13.209216020603451</v>
      </c>
      <c r="AJ17" s="2947">
        <v>13.305780943561439</v>
      </c>
      <c r="AK17" s="2947">
        <v>12.732228573193456</v>
      </c>
      <c r="AL17" s="2947">
        <v>12.823965250003546</v>
      </c>
      <c r="AM17" s="2947">
        <v>12.915701926813638</v>
      </c>
      <c r="AN17" s="2947">
        <v>13.007438603623724</v>
      </c>
      <c r="AO17" s="2947">
        <v>13.099175280433814</v>
      </c>
      <c r="AP17" s="2947">
        <v>12.496653433178436</v>
      </c>
      <c r="AQ17" s="2947">
        <v>12.583561863840627</v>
      </c>
      <c r="AR17" s="2947">
        <v>12.670470294502817</v>
      </c>
      <c r="AS17" s="2947">
        <v>12.757378725165006</v>
      </c>
      <c r="AT17" s="2947">
        <v>12.844287155827194</v>
      </c>
      <c r="AU17" s="2947">
        <v>12.92487805964357</v>
      </c>
    </row>
    <row r="18" spans="1:47" x14ac:dyDescent="0.25">
      <c r="A18" s="2947" t="s">
        <v>5024</v>
      </c>
      <c r="B18" s="2947">
        <v>20.236639341</v>
      </c>
      <c r="C18" s="2947">
        <v>20.236639341</v>
      </c>
      <c r="D18" s="2947">
        <v>20.236639341</v>
      </c>
      <c r="E18" s="2947">
        <v>20.236639341</v>
      </c>
      <c r="F18" s="2947">
        <v>20.236639341</v>
      </c>
      <c r="G18" s="2947">
        <v>19.908497493999999</v>
      </c>
      <c r="H18" s="2947">
        <v>20.236639341</v>
      </c>
      <c r="I18" s="2947">
        <v>20.236639341</v>
      </c>
      <c r="J18" s="2947">
        <v>20.236639341</v>
      </c>
      <c r="K18" s="2947">
        <v>20.236639341</v>
      </c>
      <c r="L18" s="2947">
        <v>19.302086040999999</v>
      </c>
      <c r="M18" s="2947">
        <v>20.236639341</v>
      </c>
      <c r="N18" s="2947">
        <v>20.236639341</v>
      </c>
      <c r="O18" s="2947">
        <v>20.236639341</v>
      </c>
      <c r="P18" s="2947">
        <v>20.236639341</v>
      </c>
      <c r="Q18" s="2947">
        <v>18.397525907999999</v>
      </c>
      <c r="R18" s="2947">
        <v>20.236639341</v>
      </c>
      <c r="S18" s="2947">
        <v>20.236639341</v>
      </c>
      <c r="T18" s="2947">
        <v>20.236639341</v>
      </c>
      <c r="U18" s="2947">
        <v>20.236639341</v>
      </c>
      <c r="V18" s="2947">
        <v>17.612875953</v>
      </c>
      <c r="W18" s="2947">
        <v>17.806375027000001</v>
      </c>
      <c r="X18" s="2947">
        <v>17.846938768000001</v>
      </c>
      <c r="Y18" s="2947">
        <v>18.111166554</v>
      </c>
      <c r="Z18" s="2947">
        <v>18.129550438999999</v>
      </c>
      <c r="AA18" s="2947">
        <v>18.191592648</v>
      </c>
      <c r="AB18" s="2947">
        <v>18.220603295</v>
      </c>
      <c r="AC18" s="2947">
        <v>18.262510232</v>
      </c>
      <c r="AD18" s="2947">
        <v>18.310884425000001</v>
      </c>
      <c r="AE18" s="2947">
        <v>18.363445636000002</v>
      </c>
      <c r="AF18" s="2947">
        <v>18.441379693999998</v>
      </c>
      <c r="AG18" s="2947">
        <v>13.016086174687475</v>
      </c>
      <c r="AH18" s="2947">
        <v>13.112651097645463</v>
      </c>
      <c r="AI18" s="2947">
        <v>13.209216020603451</v>
      </c>
      <c r="AJ18" s="2947">
        <v>13.305780943561439</v>
      </c>
      <c r="AK18" s="2947">
        <v>14.0724631598454</v>
      </c>
      <c r="AL18" s="2947">
        <v>14.173856328951292</v>
      </c>
      <c r="AM18" s="2947">
        <v>14.275249498057176</v>
      </c>
      <c r="AN18" s="2947">
        <v>14.376642667163065</v>
      </c>
      <c r="AO18" s="2947">
        <v>14.478035836268955</v>
      </c>
      <c r="AP18" s="2947">
        <v>15.273687529440313</v>
      </c>
      <c r="AQ18" s="2947">
        <v>15.379908944694099</v>
      </c>
      <c r="AR18" s="2947">
        <v>15.486130359947888</v>
      </c>
      <c r="AS18" s="2947">
        <v>15.592351775201672</v>
      </c>
      <c r="AT18" s="2947">
        <v>15.698573190455463</v>
      </c>
      <c r="AU18" s="2947">
        <v>15.797073184008807</v>
      </c>
    </row>
    <row r="19" spans="1:47" x14ac:dyDescent="0.25">
      <c r="A19" s="2947" t="s">
        <v>5023</v>
      </c>
      <c r="B19" s="2947">
        <v>402.03805477999998</v>
      </c>
      <c r="C19" s="2947">
        <v>402.03805477999998</v>
      </c>
      <c r="D19" s="2947">
        <v>402.03805477999998</v>
      </c>
      <c r="E19" s="2947">
        <v>402.03805477999998</v>
      </c>
      <c r="F19" s="2947">
        <v>402.03805477999998</v>
      </c>
      <c r="G19" s="2947">
        <v>417.25511903</v>
      </c>
      <c r="H19" s="2947">
        <v>402.03805477999998</v>
      </c>
      <c r="I19" s="2947">
        <v>402.03805477999998</v>
      </c>
      <c r="J19" s="2947">
        <v>402.03805477999998</v>
      </c>
      <c r="K19" s="2947">
        <v>402.03805477999998</v>
      </c>
      <c r="L19" s="2947">
        <v>418.41874371</v>
      </c>
      <c r="M19" s="2947">
        <v>402.03805477999998</v>
      </c>
      <c r="N19" s="2947">
        <v>402.03805477999998</v>
      </c>
      <c r="O19" s="2947">
        <v>402.03805477999998</v>
      </c>
      <c r="P19" s="2947">
        <v>402.03805477999998</v>
      </c>
      <c r="Q19" s="2947">
        <v>419.07023368</v>
      </c>
      <c r="R19" s="2947">
        <v>402.03805477999998</v>
      </c>
      <c r="S19" s="2947">
        <v>402.03805477999998</v>
      </c>
      <c r="T19" s="2947">
        <v>402.03805477999998</v>
      </c>
      <c r="U19" s="2947">
        <v>402.03805477999998</v>
      </c>
      <c r="V19" s="2947">
        <v>450.43847579999999</v>
      </c>
      <c r="W19" s="2947">
        <v>456.71212422000002</v>
      </c>
      <c r="X19" s="2947">
        <v>463.30851154999999</v>
      </c>
      <c r="Y19" s="2947">
        <v>470.08995543999998</v>
      </c>
      <c r="Z19" s="2947">
        <v>476.55357348000001</v>
      </c>
      <c r="AA19" s="2947">
        <v>481.02477004000002</v>
      </c>
      <c r="AB19" s="2947">
        <v>486.17133481000002</v>
      </c>
      <c r="AC19" s="2947">
        <v>493.07000541000002</v>
      </c>
      <c r="AD19" s="2947">
        <v>498.65059449</v>
      </c>
      <c r="AE19" s="2947">
        <v>505.07228638999999</v>
      </c>
      <c r="AF19" s="2947">
        <v>507.52798073000002</v>
      </c>
      <c r="AG19" s="2947">
        <v>511.41531237284721</v>
      </c>
      <c r="AH19" s="2947">
        <v>515.34356724915347</v>
      </c>
      <c r="AI19" s="2947">
        <v>519.27182212545983</v>
      </c>
      <c r="AJ19" s="2947">
        <v>523.20007700176609</v>
      </c>
      <c r="AK19" s="2947">
        <v>527.12833187807234</v>
      </c>
      <c r="AL19" s="2947">
        <v>531.0565867543786</v>
      </c>
      <c r="AM19" s="2947">
        <v>534.98584163068494</v>
      </c>
      <c r="AN19" s="2947">
        <v>538.91409650699143</v>
      </c>
      <c r="AO19" s="2947">
        <v>542.84235138329757</v>
      </c>
      <c r="AP19" s="2947">
        <v>546.77060625960371</v>
      </c>
      <c r="AQ19" s="2947">
        <v>550.69886113591019</v>
      </c>
      <c r="AR19" s="2947">
        <v>554.62711601221633</v>
      </c>
      <c r="AS19" s="2947">
        <v>558.55537088852248</v>
      </c>
      <c r="AT19" s="2947">
        <v>562.48362576482884</v>
      </c>
      <c r="AU19" s="2947">
        <v>566.10583744682435</v>
      </c>
    </row>
    <row r="20" spans="1:47" x14ac:dyDescent="0.25">
      <c r="A20" s="2948" t="s">
        <v>5022</v>
      </c>
      <c r="B20" s="2948">
        <v>119.724817764524</v>
      </c>
      <c r="C20" s="2948">
        <v>119.724817764524</v>
      </c>
      <c r="D20" s="2948">
        <v>119.724817764524</v>
      </c>
      <c r="E20" s="2948">
        <v>119.724817764524</v>
      </c>
      <c r="F20" s="2948">
        <v>119.724817764524</v>
      </c>
      <c r="G20" s="2948">
        <v>123.42913367119</v>
      </c>
      <c r="H20" s="2948">
        <v>119.724817764524</v>
      </c>
      <c r="I20" s="2948">
        <v>119.724817764524</v>
      </c>
      <c r="J20" s="2948">
        <v>119.724817764524</v>
      </c>
      <c r="K20" s="2948">
        <v>119.724817764524</v>
      </c>
      <c r="L20" s="2948">
        <v>141.18688914393999</v>
      </c>
      <c r="M20" s="2948">
        <v>119.724817764524</v>
      </c>
      <c r="N20" s="2948">
        <v>119.724817764524</v>
      </c>
      <c r="O20" s="2948">
        <v>119.724817764524</v>
      </c>
      <c r="P20" s="2948">
        <v>119.724817764524</v>
      </c>
      <c r="Q20" s="2948">
        <v>158.63262121931001</v>
      </c>
      <c r="R20" s="2948">
        <v>119.724817764524</v>
      </c>
      <c r="S20" s="2948">
        <v>119.724817764524</v>
      </c>
      <c r="T20" s="2948">
        <v>119.724817764524</v>
      </c>
      <c r="U20" s="2948">
        <v>119.724817764524</v>
      </c>
      <c r="V20" s="2948">
        <v>142.06496872579999</v>
      </c>
      <c r="W20" s="2948">
        <v>138.75143822210001</v>
      </c>
      <c r="X20" s="2948">
        <v>133.53329841300001</v>
      </c>
      <c r="Y20" s="2948">
        <v>130.9415864465</v>
      </c>
      <c r="Z20" s="2948">
        <v>124.4848881384</v>
      </c>
      <c r="AA20" s="2948">
        <v>120.133544667</v>
      </c>
      <c r="AB20" s="2948">
        <v>114.8694585969</v>
      </c>
      <c r="AC20" s="2948">
        <v>109.00247412989999</v>
      </c>
      <c r="AD20" s="2948">
        <v>103.8338241563</v>
      </c>
      <c r="AE20" s="2948">
        <v>98.311322340999993</v>
      </c>
      <c r="AF20" s="2948">
        <v>96.914759879900004</v>
      </c>
      <c r="AG20" s="2948">
        <v>93.870027340754262</v>
      </c>
      <c r="AH20" s="2948">
        <v>91.841451267470632</v>
      </c>
      <c r="AI20" s="2948">
        <v>90.107025750034254</v>
      </c>
      <c r="AJ20" s="2948">
        <v>88.479564071087779</v>
      </c>
      <c r="AK20" s="2948">
        <v>87.471601290062054</v>
      </c>
      <c r="AL20" s="2948">
        <v>86.503749948470031</v>
      </c>
      <c r="AM20" s="2948">
        <v>85.535898606878007</v>
      </c>
      <c r="AN20" s="2948">
        <v>84.327378628683661</v>
      </c>
      <c r="AO20" s="2948">
        <v>83.207995182564304</v>
      </c>
      <c r="AP20" s="2948">
        <v>80.582204344378653</v>
      </c>
      <c r="AQ20" s="2948">
        <v>78.713321249593619</v>
      </c>
      <c r="AR20" s="2948">
        <v>75.374438154808615</v>
      </c>
      <c r="AS20" s="2948">
        <v>71.251153577764228</v>
      </c>
      <c r="AT20" s="2948">
        <v>67.127869000719855</v>
      </c>
      <c r="AU20" s="2948">
        <v>63.310627617986384</v>
      </c>
    </row>
    <row r="21" spans="1:47" x14ac:dyDescent="0.25">
      <c r="A21" s="2947" t="s">
        <v>5021</v>
      </c>
      <c r="B21" s="2947"/>
      <c r="C21" s="2947"/>
      <c r="D21" s="2947"/>
      <c r="E21" s="2947"/>
      <c r="F21" s="2947"/>
      <c r="G21" s="2947"/>
      <c r="H21" s="2947"/>
      <c r="I21" s="2947"/>
      <c r="J21" s="2947"/>
      <c r="K21" s="2947"/>
      <c r="L21" s="2947"/>
      <c r="M21" s="2947"/>
      <c r="N21" s="2947"/>
      <c r="O21" s="2947"/>
      <c r="P21" s="2947"/>
      <c r="Q21" s="2947"/>
      <c r="R21" s="2947"/>
      <c r="S21" s="2947"/>
      <c r="T21" s="2947"/>
      <c r="U21" s="2947"/>
      <c r="V21" s="2947"/>
      <c r="W21" s="2947"/>
    </row>
    <row r="23" spans="1:47" ht="15.75" x14ac:dyDescent="0.25">
      <c r="A23" s="2952" t="s">
        <v>5020</v>
      </c>
      <c r="AG23" s="2961">
        <f>+AF25-AG25+AF29-AG29+AF26-AG26+AF30-AG30</f>
        <v>338</v>
      </c>
    </row>
    <row r="24" spans="1:47" x14ac:dyDescent="0.25">
      <c r="A24" s="2950" t="s">
        <v>4423</v>
      </c>
      <c r="B24" s="2950">
        <v>1990</v>
      </c>
      <c r="C24" s="2950">
        <v>1991</v>
      </c>
      <c r="D24" s="2950">
        <v>1992</v>
      </c>
      <c r="E24" s="2950">
        <v>1993</v>
      </c>
      <c r="F24" s="2950">
        <v>1994</v>
      </c>
      <c r="G24" s="2950">
        <v>1995</v>
      </c>
      <c r="H24" s="2950">
        <v>1996</v>
      </c>
      <c r="I24" s="2950">
        <v>1997</v>
      </c>
      <c r="J24" s="2950">
        <v>1998</v>
      </c>
      <c r="K24" s="2950">
        <v>1999</v>
      </c>
      <c r="L24" s="2950">
        <v>2000</v>
      </c>
      <c r="M24" s="2950">
        <v>2001</v>
      </c>
      <c r="N24" s="2950">
        <v>2002</v>
      </c>
      <c r="O24" s="2950">
        <v>2003</v>
      </c>
      <c r="P24" s="2950">
        <v>2004</v>
      </c>
      <c r="Q24" s="2950">
        <v>2005</v>
      </c>
      <c r="R24" s="2950">
        <v>2006</v>
      </c>
      <c r="S24" s="2950">
        <v>2007</v>
      </c>
      <c r="T24" s="2950">
        <v>2008</v>
      </c>
      <c r="U24" s="2950">
        <v>2009</v>
      </c>
      <c r="V24" s="2950">
        <v>2010</v>
      </c>
      <c r="W24" s="2950">
        <v>2011</v>
      </c>
      <c r="X24" s="2950">
        <v>2012</v>
      </c>
      <c r="Y24" s="2950">
        <v>2013</v>
      </c>
      <c r="Z24" s="2950">
        <v>2014</v>
      </c>
      <c r="AA24" s="2950">
        <v>2015</v>
      </c>
      <c r="AB24" s="2950">
        <v>2016</v>
      </c>
      <c r="AC24" s="2950">
        <v>2017</v>
      </c>
      <c r="AD24" s="2950">
        <v>2018</v>
      </c>
      <c r="AE24" s="2950">
        <v>2019</v>
      </c>
      <c r="AF24" s="2950">
        <v>2020</v>
      </c>
      <c r="AG24" s="2950">
        <v>2021</v>
      </c>
      <c r="AH24" s="2950">
        <v>2022</v>
      </c>
      <c r="AI24" s="2950">
        <v>2023</v>
      </c>
      <c r="AJ24" s="2950">
        <v>2024</v>
      </c>
      <c r="AK24" s="2950">
        <v>2025</v>
      </c>
      <c r="AL24" s="2950">
        <v>2026</v>
      </c>
      <c r="AM24" s="2950">
        <v>2027</v>
      </c>
      <c r="AN24" s="2950">
        <v>2028</v>
      </c>
      <c r="AO24" s="2950">
        <v>2029</v>
      </c>
      <c r="AP24" s="2950">
        <v>2030</v>
      </c>
      <c r="AQ24" s="2950">
        <v>2031</v>
      </c>
      <c r="AR24" s="2950">
        <v>2032</v>
      </c>
      <c r="AS24" s="2950">
        <v>2033</v>
      </c>
      <c r="AT24" s="2950">
        <v>2034</v>
      </c>
      <c r="AU24" s="2950">
        <v>2035</v>
      </c>
    </row>
    <row r="25" spans="1:47" x14ac:dyDescent="0.25">
      <c r="A25" s="2958" t="s">
        <v>4420</v>
      </c>
      <c r="B25" s="2961">
        <v>54082.304686474105</v>
      </c>
      <c r="C25" s="2961">
        <v>53459.21768835187</v>
      </c>
      <c r="D25" s="2961">
        <v>52836.130690229635</v>
      </c>
      <c r="E25" s="2961">
        <v>52213.0436921074</v>
      </c>
      <c r="F25" s="2961">
        <v>51589.956693985165</v>
      </c>
      <c r="G25" s="2961">
        <v>50966.86969586293</v>
      </c>
      <c r="H25" s="2961">
        <v>50343.782697740695</v>
      </c>
      <c r="I25" s="2961">
        <v>49720.69569961846</v>
      </c>
      <c r="J25" s="2961">
        <v>49097.608701496225</v>
      </c>
      <c r="K25" s="2961">
        <v>48474.52170337399</v>
      </c>
      <c r="L25" s="2961">
        <v>47851.434705251755</v>
      </c>
      <c r="M25" s="2961">
        <v>47228.34770712952</v>
      </c>
      <c r="N25" s="2961">
        <v>46605.260709007285</v>
      </c>
      <c r="O25" s="2961">
        <v>45982.17371088505</v>
      </c>
      <c r="P25" s="2961">
        <v>45359.086712762815</v>
      </c>
      <c r="Q25" s="2961">
        <v>44735.99971464058</v>
      </c>
      <c r="R25" s="2961">
        <v>44112.912716518345</v>
      </c>
      <c r="S25" s="2961">
        <v>43489.82571839611</v>
      </c>
      <c r="T25" s="2961">
        <v>42866.738720273876</v>
      </c>
      <c r="U25" s="2961">
        <v>42243.651722151641</v>
      </c>
      <c r="V25" s="2961">
        <v>40717.882136878092</v>
      </c>
      <c r="W25" s="2961">
        <v>39806.706132003383</v>
      </c>
      <c r="X25" s="2961">
        <v>39086.574271464175</v>
      </c>
      <c r="Y25" s="2961">
        <v>37420.28248928902</v>
      </c>
      <c r="Z25" s="2961">
        <v>36978.320498308851</v>
      </c>
      <c r="AA25" s="2961">
        <v>33518.46597934817</v>
      </c>
      <c r="AB25" s="2961">
        <v>32745.622243174941</v>
      </c>
      <c r="AC25" s="2961">
        <v>32348.830281094692</v>
      </c>
      <c r="AD25" s="2961">
        <v>31059.749421492077</v>
      </c>
      <c r="AE25" s="2961">
        <v>31339.038704099185</v>
      </c>
      <c r="AF25" s="2961">
        <v>30347.955260795665</v>
      </c>
      <c r="AG25" s="2961">
        <v>30263.455260795665</v>
      </c>
      <c r="AH25" s="2961">
        <v>29862.142760795665</v>
      </c>
      <c r="AI25" s="2961">
        <v>29618.267760795665</v>
      </c>
      <c r="AJ25" s="2961">
        <v>28845.267760795665</v>
      </c>
      <c r="AK25" s="2961">
        <v>27639.847227588503</v>
      </c>
      <c r="AL25" s="2961">
        <v>26499.697612798649</v>
      </c>
      <c r="AM25" s="2961">
        <v>25421.422998008795</v>
      </c>
      <c r="AN25" s="2961">
        <v>24511.092766445272</v>
      </c>
      <c r="AO25" s="2961">
        <v>22811.826410237012</v>
      </c>
      <c r="AP25" s="2961">
        <v>21112.560054028752</v>
      </c>
      <c r="AQ25" s="2961">
        <v>20887.560054028752</v>
      </c>
      <c r="AR25" s="2961">
        <v>20662.560054028752</v>
      </c>
      <c r="AS25" s="2961">
        <v>20662.560054028752</v>
      </c>
      <c r="AT25" s="2961">
        <v>20662.560054028752</v>
      </c>
      <c r="AU25" s="2961">
        <v>20662.560054028752</v>
      </c>
    </row>
    <row r="26" spans="1:47" x14ac:dyDescent="0.25">
      <c r="A26" s="2958" t="s">
        <v>4419</v>
      </c>
      <c r="B26" s="2961">
        <v>46668.339554175058</v>
      </c>
      <c r="C26" s="2961">
        <v>46130.669501673903</v>
      </c>
      <c r="D26" s="2961">
        <v>45592.999449172748</v>
      </c>
      <c r="E26" s="2961">
        <v>45055.329396671594</v>
      </c>
      <c r="F26" s="2961">
        <v>44517.659344170439</v>
      </c>
      <c r="G26" s="2961">
        <v>43979.989291669284</v>
      </c>
      <c r="H26" s="2961">
        <v>43442.31923916813</v>
      </c>
      <c r="I26" s="2961">
        <v>42904.649186666975</v>
      </c>
      <c r="J26" s="2961">
        <v>42366.97913416582</v>
      </c>
      <c r="K26" s="2961">
        <v>41829.309081664665</v>
      </c>
      <c r="L26" s="2961">
        <v>41291.639029163511</v>
      </c>
      <c r="M26" s="2961">
        <v>40753.968976662356</v>
      </c>
      <c r="N26" s="2961">
        <v>40216.298924161201</v>
      </c>
      <c r="O26" s="2961">
        <v>39678.628871660047</v>
      </c>
      <c r="P26" s="2961">
        <v>39140.958819158892</v>
      </c>
      <c r="Q26" s="2961">
        <v>38603.288766657737</v>
      </c>
      <c r="R26" s="2961">
        <v>38065.618714156582</v>
      </c>
      <c r="S26" s="2961">
        <v>37527.948661655428</v>
      </c>
      <c r="T26" s="2961">
        <v>36990.278609154273</v>
      </c>
      <c r="U26" s="2961">
        <v>36452.608556653118</v>
      </c>
      <c r="V26" s="2961">
        <v>37719.657335559343</v>
      </c>
      <c r="W26" s="2961">
        <v>36568.040045554662</v>
      </c>
      <c r="X26" s="2961">
        <v>35982.65697230283</v>
      </c>
      <c r="Y26" s="2961">
        <v>36922.697579611151</v>
      </c>
      <c r="Z26" s="2961">
        <v>36213.001053695778</v>
      </c>
      <c r="AA26" s="2961">
        <v>39795.655915703173</v>
      </c>
      <c r="AB26" s="2961">
        <v>40286.388122761862</v>
      </c>
      <c r="AC26" s="2961">
        <v>40786.584145185123</v>
      </c>
      <c r="AD26" s="2961">
        <v>41956.203210171931</v>
      </c>
      <c r="AE26" s="2961">
        <v>41657.857493126707</v>
      </c>
      <c r="AF26" s="2961">
        <v>42272.833287589492</v>
      </c>
      <c r="AG26" s="2961">
        <v>42188.333287589492</v>
      </c>
      <c r="AH26" s="2961">
        <v>41787.020787589492</v>
      </c>
      <c r="AI26" s="2961">
        <v>41543.145787589492</v>
      </c>
      <c r="AJ26" s="2961">
        <v>40770.145787589492</v>
      </c>
      <c r="AK26" s="2961">
        <v>39564.725254382327</v>
      </c>
      <c r="AL26" s="2961">
        <v>38424.575639592469</v>
      </c>
      <c r="AM26" s="2961">
        <v>37346.301024802611</v>
      </c>
      <c r="AN26" s="2961">
        <v>36435.970793239088</v>
      </c>
      <c r="AO26" s="2961">
        <v>34736.704437030829</v>
      </c>
      <c r="AP26" s="2961">
        <v>33037.438080822569</v>
      </c>
      <c r="AQ26" s="2961">
        <v>32812.438080822569</v>
      </c>
      <c r="AR26" s="2961">
        <v>32587.438080822569</v>
      </c>
      <c r="AS26" s="2961">
        <v>32587.438080822569</v>
      </c>
      <c r="AT26" s="2961">
        <v>32587.438080822569</v>
      </c>
      <c r="AU26" s="2961">
        <v>32587.438080822569</v>
      </c>
    </row>
    <row r="27" spans="1:47" ht="17.25" customHeight="1" x14ac:dyDescent="0.25">
      <c r="A27" s="2958" t="s">
        <v>4422</v>
      </c>
      <c r="B27" s="2946">
        <v>0</v>
      </c>
      <c r="C27" s="2946">
        <v>0</v>
      </c>
      <c r="D27" s="2946">
        <v>0</v>
      </c>
      <c r="E27" s="2946">
        <v>0</v>
      </c>
      <c r="F27" s="2946">
        <v>0</v>
      </c>
      <c r="G27" s="2946">
        <v>0</v>
      </c>
      <c r="H27" s="2946">
        <v>0</v>
      </c>
      <c r="I27" s="2946">
        <v>0</v>
      </c>
      <c r="J27" s="2946">
        <v>0</v>
      </c>
      <c r="K27" s="2946">
        <v>0</v>
      </c>
      <c r="L27" s="2946">
        <v>0</v>
      </c>
      <c r="M27" s="2946">
        <v>0</v>
      </c>
      <c r="N27" s="2946">
        <v>0</v>
      </c>
      <c r="O27" s="2946">
        <v>0</v>
      </c>
      <c r="P27" s="2946">
        <v>0</v>
      </c>
      <c r="Q27" s="2946">
        <v>0</v>
      </c>
      <c r="R27" s="2946">
        <v>0</v>
      </c>
      <c r="S27" s="2946">
        <v>0</v>
      </c>
      <c r="T27" s="2946">
        <v>0</v>
      </c>
      <c r="U27" s="2946">
        <v>0</v>
      </c>
      <c r="V27" s="2946">
        <v>0</v>
      </c>
      <c r="W27" s="2961">
        <v>381.53968600072403</v>
      </c>
      <c r="X27" s="2961">
        <v>1291.5429039279188</v>
      </c>
      <c r="Y27" s="2961">
        <v>1362.185983218129</v>
      </c>
      <c r="Z27" s="2961">
        <v>1434.6930755477224</v>
      </c>
      <c r="AA27" s="2961">
        <v>1461.3723468632452</v>
      </c>
      <c r="AB27" s="2961">
        <v>1463.4540123283005</v>
      </c>
      <c r="AC27" s="2961">
        <v>1453.0071983266898</v>
      </c>
      <c r="AD27" s="2961">
        <v>1437.7567572363405</v>
      </c>
      <c r="AE27" s="2961">
        <v>1414.8591977981923</v>
      </c>
      <c r="AF27" s="2961">
        <v>1442.0011159399801</v>
      </c>
      <c r="AG27" s="2961">
        <v>1442.0011159399801</v>
      </c>
      <c r="AH27" s="2961">
        <v>1442.0011159399801</v>
      </c>
      <c r="AI27" s="2961">
        <v>1442.0011159399801</v>
      </c>
      <c r="AJ27" s="2961">
        <v>1442.0011159399801</v>
      </c>
      <c r="AK27" s="2961">
        <v>1442.0011159399801</v>
      </c>
      <c r="AL27" s="2961">
        <v>1442.0011159399801</v>
      </c>
      <c r="AM27" s="2961">
        <v>1442.0011159399801</v>
      </c>
      <c r="AN27" s="2961">
        <v>1442.0011159399801</v>
      </c>
      <c r="AO27" s="2961">
        <v>1442.0011159399801</v>
      </c>
      <c r="AP27" s="2961">
        <v>1442.0011159399801</v>
      </c>
      <c r="AQ27" s="2961">
        <v>1442.0011159399801</v>
      </c>
      <c r="AR27" s="2961">
        <v>1442.0011159399801</v>
      </c>
      <c r="AS27" s="2961">
        <v>1442.0011159399801</v>
      </c>
      <c r="AT27" s="2961">
        <v>1442.0011159399801</v>
      </c>
      <c r="AU27" s="2961">
        <v>1442.0011159399801</v>
      </c>
    </row>
    <row r="28" spans="1:47" ht="17.25" customHeight="1" x14ac:dyDescent="0.25">
      <c r="A28" s="2950" t="s">
        <v>4421</v>
      </c>
      <c r="B28" s="2950">
        <v>1990</v>
      </c>
      <c r="C28" s="2950">
        <v>1991</v>
      </c>
      <c r="D28" s="2950">
        <v>1992</v>
      </c>
      <c r="E28" s="2950">
        <v>1993</v>
      </c>
      <c r="F28" s="2950">
        <v>1994</v>
      </c>
      <c r="G28" s="2950">
        <v>1995</v>
      </c>
      <c r="H28" s="2950">
        <v>1996</v>
      </c>
      <c r="I28" s="2950">
        <v>1997</v>
      </c>
      <c r="J28" s="2950">
        <v>1998</v>
      </c>
      <c r="K28" s="2950">
        <v>1999</v>
      </c>
      <c r="L28" s="2950">
        <v>2000</v>
      </c>
      <c r="M28" s="2950">
        <v>2001</v>
      </c>
      <c r="N28" s="2950">
        <v>2002</v>
      </c>
      <c r="O28" s="2950">
        <v>2003</v>
      </c>
      <c r="P28" s="2950">
        <v>2004</v>
      </c>
      <c r="Q28" s="2950">
        <v>2005</v>
      </c>
      <c r="R28" s="2950">
        <v>2006</v>
      </c>
      <c r="S28" s="2950">
        <v>2007</v>
      </c>
      <c r="T28" s="2950">
        <v>2008</v>
      </c>
      <c r="U28" s="2950">
        <v>2009</v>
      </c>
      <c r="V28" s="2950">
        <v>2010</v>
      </c>
      <c r="W28" s="2950">
        <v>2011</v>
      </c>
      <c r="X28" s="2950">
        <v>2012</v>
      </c>
      <c r="Y28" s="2950">
        <v>2013</v>
      </c>
      <c r="Z28" s="2950">
        <v>2014</v>
      </c>
      <c r="AA28" s="2950">
        <v>2015</v>
      </c>
      <c r="AB28" s="2950">
        <v>2016</v>
      </c>
      <c r="AC28" s="2950">
        <v>2017</v>
      </c>
      <c r="AD28" s="2950">
        <v>2018</v>
      </c>
      <c r="AE28" s="2950">
        <v>2019</v>
      </c>
      <c r="AF28" s="2950">
        <v>2020</v>
      </c>
      <c r="AG28" s="2950">
        <v>2021</v>
      </c>
      <c r="AH28" s="2950">
        <v>2022</v>
      </c>
      <c r="AI28" s="2950">
        <v>2023</v>
      </c>
      <c r="AJ28" s="2950">
        <v>2024</v>
      </c>
      <c r="AK28" s="2950">
        <v>2025</v>
      </c>
      <c r="AL28" s="2950">
        <v>2026</v>
      </c>
      <c r="AM28" s="2950">
        <v>2027</v>
      </c>
      <c r="AN28" s="2950">
        <v>2028</v>
      </c>
      <c r="AO28" s="2950">
        <v>2029</v>
      </c>
      <c r="AP28" s="2950">
        <v>2030</v>
      </c>
      <c r="AQ28" s="2950">
        <v>2031</v>
      </c>
      <c r="AR28" s="2950">
        <v>2032</v>
      </c>
      <c r="AS28" s="2950">
        <v>2033</v>
      </c>
      <c r="AT28" s="2950">
        <v>2034</v>
      </c>
      <c r="AU28" s="2950">
        <v>2035</v>
      </c>
    </row>
    <row r="29" spans="1:47" ht="17.25" customHeight="1" x14ac:dyDescent="0.25">
      <c r="A29" s="2958" t="s">
        <v>4420</v>
      </c>
      <c r="B29" s="2961">
        <v>79617.765279961532</v>
      </c>
      <c r="C29" s="2961">
        <v>79140.535050349281</v>
      </c>
      <c r="D29" s="2961">
        <v>78663.30482073703</v>
      </c>
      <c r="E29" s="2961">
        <v>78186.07459112478</v>
      </c>
      <c r="F29" s="2961">
        <v>77708.844361512529</v>
      </c>
      <c r="G29" s="2961">
        <v>77231.614131900278</v>
      </c>
      <c r="H29" s="2961">
        <v>76754.383902288027</v>
      </c>
      <c r="I29" s="2961">
        <v>76277.153672675777</v>
      </c>
      <c r="J29" s="2961">
        <v>75799.923443063526</v>
      </c>
      <c r="K29" s="2961">
        <v>75322.693213451275</v>
      </c>
      <c r="L29" s="2961">
        <v>74845.462983839025</v>
      </c>
      <c r="M29" s="2961">
        <v>74368.232754226774</v>
      </c>
      <c r="N29" s="2961">
        <v>73891.002524614523</v>
      </c>
      <c r="O29" s="2961">
        <v>73413.772295002273</v>
      </c>
      <c r="P29" s="2961">
        <v>72936.542065390022</v>
      </c>
      <c r="Q29" s="2961">
        <v>72459.311835777771</v>
      </c>
      <c r="R29" s="2961">
        <v>71982.08160616552</v>
      </c>
      <c r="S29" s="2961">
        <v>71504.85137655327</v>
      </c>
      <c r="T29" s="2961">
        <v>71027.621146941019</v>
      </c>
      <c r="U29" s="2961">
        <v>70550.390917328768</v>
      </c>
      <c r="V29" s="2961">
        <v>69159.193282974273</v>
      </c>
      <c r="W29" s="2961">
        <v>68461.167817958776</v>
      </c>
      <c r="X29" s="2961">
        <v>67537.545543057888</v>
      </c>
      <c r="Y29" s="2961">
        <v>66098.59854526812</v>
      </c>
      <c r="Z29" s="2961">
        <v>65530.844521806095</v>
      </c>
      <c r="AA29" s="2961">
        <v>62372.79167099372</v>
      </c>
      <c r="AB29" s="2961">
        <v>61681.837094669958</v>
      </c>
      <c r="AC29" s="2961">
        <v>61305.457203357873</v>
      </c>
      <c r="AD29" s="2961">
        <v>59914.966814504529</v>
      </c>
      <c r="AE29" s="2961">
        <v>59870.712166672427</v>
      </c>
      <c r="AF29" s="2961">
        <v>58717.335144824247</v>
      </c>
      <c r="AG29" s="2961">
        <v>58632.835144824247</v>
      </c>
      <c r="AH29" s="2961">
        <v>58231.522644824247</v>
      </c>
      <c r="AI29" s="2961">
        <v>57987.647644824247</v>
      </c>
      <c r="AJ29" s="2961">
        <v>57214.647644824247</v>
      </c>
      <c r="AK29" s="2961">
        <v>56009.227111617081</v>
      </c>
      <c r="AL29" s="2961">
        <v>54869.077496827224</v>
      </c>
      <c r="AM29" s="2961">
        <v>53790.802882037366</v>
      </c>
      <c r="AN29" s="2961">
        <v>52880.472650473843</v>
      </c>
      <c r="AO29" s="2961">
        <v>51181.206294265583</v>
      </c>
      <c r="AP29" s="2961">
        <v>49481.939938057323</v>
      </c>
      <c r="AQ29" s="2961">
        <v>49256.939938057323</v>
      </c>
      <c r="AR29" s="2961">
        <v>49031.939938057323</v>
      </c>
      <c r="AS29" s="2961">
        <v>49031.939938057323</v>
      </c>
      <c r="AT29" s="2961">
        <v>49031.939938057323</v>
      </c>
      <c r="AU29" s="2961">
        <v>49031.939938057323</v>
      </c>
    </row>
    <row r="30" spans="1:47" x14ac:dyDescent="0.25">
      <c r="A30" s="2958" t="s">
        <v>4419</v>
      </c>
      <c r="B30" s="2961">
        <v>34921.940738067977</v>
      </c>
      <c r="C30" s="2961">
        <v>34712.618035548861</v>
      </c>
      <c r="D30" s="2961">
        <v>34503.295333029746</v>
      </c>
      <c r="E30" s="2961">
        <v>34293.972630510631</v>
      </c>
      <c r="F30" s="2961">
        <v>34084.649927991515</v>
      </c>
      <c r="G30" s="2961">
        <v>33875.3272254724</v>
      </c>
      <c r="H30" s="2961">
        <v>33666.004522953284</v>
      </c>
      <c r="I30" s="2961">
        <v>33456.681820434169</v>
      </c>
      <c r="J30" s="2961">
        <v>33247.359117915054</v>
      </c>
      <c r="K30" s="2961">
        <v>33038.036415395938</v>
      </c>
      <c r="L30" s="2961">
        <v>32828.713712876823</v>
      </c>
      <c r="M30" s="2961">
        <v>32619.391010357711</v>
      </c>
      <c r="N30" s="2961">
        <v>32410.068307838599</v>
      </c>
      <c r="O30" s="2961">
        <v>32200.745605319487</v>
      </c>
      <c r="P30" s="2961">
        <v>31991.422902800376</v>
      </c>
      <c r="Q30" s="2961">
        <v>31782.100200281264</v>
      </c>
      <c r="R30" s="2961">
        <v>31572.777497762152</v>
      </c>
      <c r="S30" s="2961">
        <v>31363.45479524304</v>
      </c>
      <c r="T30" s="2961">
        <v>31154.132092723929</v>
      </c>
      <c r="U30" s="2961">
        <v>30944.809390204817</v>
      </c>
      <c r="V30" s="2961">
        <v>32838.955397997037</v>
      </c>
      <c r="W30" s="2961">
        <v>31660.926625311913</v>
      </c>
      <c r="X30" s="2961">
        <v>31462.979927982764</v>
      </c>
      <c r="Y30" s="2961">
        <v>32189.841771281368</v>
      </c>
      <c r="Z30" s="2961">
        <v>31747.282694155878</v>
      </c>
      <c r="AA30" s="2961">
        <v>35239.94444766127</v>
      </c>
      <c r="AB30" s="2961">
        <v>35683.850879205958</v>
      </c>
      <c r="AC30" s="2961">
        <v>35922.818856587393</v>
      </c>
      <c r="AD30" s="2961">
        <v>37106.305023668974</v>
      </c>
      <c r="AE30" s="2961">
        <v>36979.84152292888</v>
      </c>
      <c r="AF30" s="2961">
        <v>37648.975017994773</v>
      </c>
      <c r="AG30" s="2961">
        <v>37564.475017994773</v>
      </c>
      <c r="AH30" s="2961">
        <v>37163.162517994773</v>
      </c>
      <c r="AI30" s="2961">
        <v>36919.287517994773</v>
      </c>
      <c r="AJ30" s="2961">
        <v>36146.287517994773</v>
      </c>
      <c r="AK30" s="2961">
        <v>34940.866984787608</v>
      </c>
      <c r="AL30" s="2961">
        <v>33800.71736999775</v>
      </c>
      <c r="AM30" s="2961">
        <v>32722.442755207896</v>
      </c>
      <c r="AN30" s="2961">
        <v>31812.112523644373</v>
      </c>
      <c r="AO30" s="2961">
        <v>30112.846167436113</v>
      </c>
      <c r="AP30" s="2961">
        <v>28413.579811227853</v>
      </c>
      <c r="AQ30" s="2961">
        <v>28188.579811227853</v>
      </c>
      <c r="AR30" s="2961">
        <v>27963.579811227853</v>
      </c>
      <c r="AS30" s="2961">
        <v>27963.579811227853</v>
      </c>
      <c r="AT30" s="2961">
        <v>27963.579811227853</v>
      </c>
      <c r="AU30" s="2961">
        <v>27963.579811227853</v>
      </c>
    </row>
    <row r="31" spans="1:47" x14ac:dyDescent="0.25">
      <c r="A31" s="2960" t="s">
        <v>4422</v>
      </c>
      <c r="B31" s="2949">
        <v>0</v>
      </c>
      <c r="C31" s="2949">
        <v>0</v>
      </c>
      <c r="D31" s="2949">
        <v>0</v>
      </c>
      <c r="E31" s="2949">
        <v>0</v>
      </c>
      <c r="F31" s="2949">
        <v>0</v>
      </c>
      <c r="G31" s="2949">
        <v>0</v>
      </c>
      <c r="H31" s="2949">
        <v>0</v>
      </c>
      <c r="I31" s="2949">
        <v>0</v>
      </c>
      <c r="J31" s="2949">
        <v>0</v>
      </c>
      <c r="K31" s="2949">
        <v>0</v>
      </c>
      <c r="L31" s="2949">
        <v>0</v>
      </c>
      <c r="M31" s="2949">
        <v>0</v>
      </c>
      <c r="N31" s="2949">
        <v>0</v>
      </c>
      <c r="O31" s="2949">
        <v>0</v>
      </c>
      <c r="P31" s="2949">
        <v>0</v>
      </c>
      <c r="Q31" s="2949">
        <v>0</v>
      </c>
      <c r="R31" s="2949">
        <v>0</v>
      </c>
      <c r="S31" s="2949">
        <v>0</v>
      </c>
      <c r="T31" s="2949">
        <v>0</v>
      </c>
      <c r="U31" s="2949">
        <v>0</v>
      </c>
      <c r="V31" s="2949">
        <v>0</v>
      </c>
      <c r="W31" s="2959" t="s">
        <v>455</v>
      </c>
      <c r="X31" s="2959" t="s">
        <v>455</v>
      </c>
      <c r="Y31" s="2959" t="s">
        <v>455</v>
      </c>
      <c r="Z31" s="2959" t="s">
        <v>455</v>
      </c>
      <c r="AA31" s="2959" t="s">
        <v>455</v>
      </c>
      <c r="AB31" s="2959" t="s">
        <v>455</v>
      </c>
      <c r="AC31" s="2959" t="s">
        <v>455</v>
      </c>
      <c r="AD31" s="2959" t="s">
        <v>455</v>
      </c>
      <c r="AE31" s="2959" t="s">
        <v>455</v>
      </c>
      <c r="AF31" s="2959" t="s">
        <v>455</v>
      </c>
      <c r="AG31" s="2959" t="s">
        <v>455</v>
      </c>
      <c r="AH31" s="2959" t="s">
        <v>455</v>
      </c>
      <c r="AI31" s="2959" t="s">
        <v>455</v>
      </c>
      <c r="AJ31" s="2959" t="s">
        <v>455</v>
      </c>
      <c r="AK31" s="2959" t="s">
        <v>455</v>
      </c>
      <c r="AL31" s="2959" t="s">
        <v>455</v>
      </c>
      <c r="AM31" s="2959" t="s">
        <v>455</v>
      </c>
      <c r="AN31" s="2959" t="s">
        <v>455</v>
      </c>
      <c r="AO31" s="2959" t="s">
        <v>455</v>
      </c>
      <c r="AP31" s="2959" t="s">
        <v>455</v>
      </c>
      <c r="AQ31" s="2959" t="s">
        <v>455</v>
      </c>
      <c r="AR31" s="2959" t="s">
        <v>455</v>
      </c>
      <c r="AS31" s="2959" t="s">
        <v>455</v>
      </c>
      <c r="AT31" s="2959" t="s">
        <v>455</v>
      </c>
      <c r="AU31" s="2959" t="s">
        <v>455</v>
      </c>
    </row>
    <row r="32" spans="1:47" x14ac:dyDescent="0.25">
      <c r="A32" s="2958" t="s">
        <v>5019</v>
      </c>
    </row>
    <row r="33" spans="1:47" x14ac:dyDescent="0.25">
      <c r="A33" s="2958"/>
    </row>
    <row r="34" spans="1:47" ht="15.75" x14ac:dyDescent="0.25">
      <c r="A34" s="2952" t="s">
        <v>5018</v>
      </c>
      <c r="N34" s="2951"/>
      <c r="O34" s="2951"/>
      <c r="P34" s="2951"/>
      <c r="Q34" s="2951"/>
      <c r="R34" s="2951"/>
      <c r="S34" s="2951"/>
      <c r="T34" s="2951"/>
      <c r="U34" s="2951"/>
      <c r="V34" s="2951"/>
      <c r="W34" s="2951"/>
    </row>
    <row r="35" spans="1:47" x14ac:dyDescent="0.25">
      <c r="A35" s="2950" t="s">
        <v>5017</v>
      </c>
      <c r="B35" s="2950">
        <v>1990</v>
      </c>
      <c r="C35" s="2950">
        <v>1991</v>
      </c>
      <c r="D35" s="2950">
        <v>1992</v>
      </c>
      <c r="E35" s="2950">
        <v>1993</v>
      </c>
      <c r="F35" s="2950">
        <v>1994</v>
      </c>
      <c r="G35" s="2950">
        <v>1995</v>
      </c>
      <c r="H35" s="2950">
        <v>1996</v>
      </c>
      <c r="I35" s="2950">
        <v>1997</v>
      </c>
      <c r="J35" s="2950">
        <v>1998</v>
      </c>
      <c r="K35" s="2950">
        <v>1999</v>
      </c>
      <c r="L35" s="2950">
        <v>2000</v>
      </c>
      <c r="M35" s="2950">
        <v>2001</v>
      </c>
      <c r="N35" s="2950">
        <v>2002</v>
      </c>
      <c r="O35" s="2950">
        <v>2003</v>
      </c>
      <c r="P35" s="2950">
        <v>2004</v>
      </c>
      <c r="Q35" s="2950">
        <v>2005</v>
      </c>
      <c r="R35" s="2950">
        <v>2006</v>
      </c>
      <c r="S35" s="2950">
        <v>2007</v>
      </c>
      <c r="T35" s="2950">
        <v>2008</v>
      </c>
      <c r="U35" s="2950">
        <v>2009</v>
      </c>
      <c r="V35" s="2950">
        <v>2010</v>
      </c>
      <c r="W35" s="2950">
        <v>2011</v>
      </c>
      <c r="X35" s="2950">
        <v>2012</v>
      </c>
      <c r="Y35" s="2950">
        <v>2013</v>
      </c>
      <c r="Z35" s="2950">
        <v>2014</v>
      </c>
      <c r="AA35" s="2950">
        <v>2015</v>
      </c>
      <c r="AB35" s="2950">
        <v>2016</v>
      </c>
      <c r="AC35" s="2950">
        <v>2017</v>
      </c>
      <c r="AD35" s="2950">
        <v>2018</v>
      </c>
      <c r="AE35" s="2950">
        <v>2019</v>
      </c>
      <c r="AF35" s="2950">
        <v>2020</v>
      </c>
      <c r="AG35" s="2950">
        <v>2021</v>
      </c>
      <c r="AH35" s="2950">
        <v>2022</v>
      </c>
      <c r="AI35" s="2950">
        <v>2023</v>
      </c>
      <c r="AJ35" s="2950">
        <v>2024</v>
      </c>
      <c r="AK35" s="2950">
        <v>2025</v>
      </c>
      <c r="AL35" s="2950">
        <v>2026</v>
      </c>
      <c r="AM35" s="2950">
        <v>2027</v>
      </c>
      <c r="AN35" s="2950">
        <v>2028</v>
      </c>
      <c r="AO35" s="2950">
        <v>2029</v>
      </c>
      <c r="AP35" s="2950">
        <v>2030</v>
      </c>
      <c r="AQ35" s="2950">
        <v>2031</v>
      </c>
      <c r="AR35" s="2950">
        <v>2032</v>
      </c>
      <c r="AS35" s="2950">
        <v>2033</v>
      </c>
      <c r="AT35" s="2950">
        <v>2034</v>
      </c>
      <c r="AU35" s="2950">
        <v>2035</v>
      </c>
    </row>
    <row r="36" spans="1:47" x14ac:dyDescent="0.25">
      <c r="A36" s="2946" t="s">
        <v>5016</v>
      </c>
      <c r="B36" s="2956">
        <v>4.0944791666666669</v>
      </c>
      <c r="C36" s="2956">
        <v>4.0944791666666669</v>
      </c>
      <c r="D36" s="2956">
        <v>4.0944791666666669</v>
      </c>
      <c r="E36" s="2956">
        <v>4.0944791666666669</v>
      </c>
      <c r="F36" s="2956">
        <v>4.0944791666666669</v>
      </c>
      <c r="G36" s="2956">
        <v>4.0944791666666669</v>
      </c>
      <c r="H36" s="2956">
        <v>4.0944791666666669</v>
      </c>
      <c r="I36" s="2956">
        <v>4.0944791666666669</v>
      </c>
      <c r="J36" s="2956">
        <v>4.0944791666666669</v>
      </c>
      <c r="K36" s="2956">
        <v>4.0944791666666669</v>
      </c>
      <c r="L36" s="2956">
        <v>4.0944791666666669</v>
      </c>
      <c r="M36" s="2956">
        <v>4.0944791666666669</v>
      </c>
      <c r="N36" s="2956">
        <v>4.0944791666666669</v>
      </c>
      <c r="O36" s="2956">
        <v>4.0944791666666669</v>
      </c>
      <c r="P36" s="2956">
        <v>4.0944791666666669</v>
      </c>
      <c r="Q36" s="2956">
        <v>3.4259821428571429</v>
      </c>
      <c r="R36" s="2956">
        <v>3.4259821428571429</v>
      </c>
      <c r="S36" s="2956">
        <v>3.4259821428571429</v>
      </c>
      <c r="T36" s="2956">
        <v>3.4259821428571429</v>
      </c>
      <c r="U36" s="2956">
        <v>3.4259821428571429</v>
      </c>
      <c r="V36" s="2956">
        <v>3.4259821428571429</v>
      </c>
      <c r="W36" s="2956">
        <v>3.4259821428571429</v>
      </c>
      <c r="X36" s="2956">
        <v>1.6948749999999999</v>
      </c>
      <c r="Y36" s="2956">
        <v>4.5394375</v>
      </c>
      <c r="Z36" s="2956">
        <v>0.42812499999999998</v>
      </c>
      <c r="AA36" s="2956">
        <v>2.7254999999999998</v>
      </c>
      <c r="AB36" s="2956">
        <v>1.6881875</v>
      </c>
      <c r="AC36" s="2956">
        <v>1.0719375</v>
      </c>
      <c r="AD36" s="2956">
        <v>1.7054374999999999</v>
      </c>
      <c r="AE36" s="2956">
        <v>1.4435625000000001</v>
      </c>
      <c r="AF36" s="2956">
        <v>2.8433125000000001</v>
      </c>
      <c r="AG36" s="2956">
        <v>1.12025</v>
      </c>
      <c r="AH36" s="2956">
        <v>2.17475</v>
      </c>
      <c r="AI36" s="2956">
        <v>2.48</v>
      </c>
      <c r="AJ36" s="2956">
        <v>2.5910000000000002</v>
      </c>
      <c r="AK36" s="2956">
        <v>3.2338749999999998</v>
      </c>
      <c r="AL36" s="2956">
        <v>3.2755000000000001</v>
      </c>
      <c r="AM36" s="2956">
        <v>3.2755000000000001</v>
      </c>
      <c r="AN36" s="2956">
        <v>3.0257499999999999</v>
      </c>
      <c r="AO36" s="2956">
        <v>3.1182500000000002</v>
      </c>
      <c r="AP36" s="2956">
        <v>1.5549999999999999</v>
      </c>
      <c r="AQ36" s="2956">
        <v>2.17475</v>
      </c>
      <c r="AR36" s="2956">
        <v>0.81499999999999995</v>
      </c>
      <c r="AS36" s="2956">
        <v>1E-3</v>
      </c>
      <c r="AT36" s="2956">
        <v>1E-3</v>
      </c>
      <c r="AU36" s="2956">
        <v>1E-3</v>
      </c>
    </row>
    <row r="37" spans="1:47" x14ac:dyDescent="0.25">
      <c r="A37" s="2946" t="s">
        <v>5015</v>
      </c>
      <c r="B37" s="2956">
        <v>0.21286666666666668</v>
      </c>
      <c r="C37" s="2956">
        <v>0.21286666666666668</v>
      </c>
      <c r="D37" s="2956">
        <v>0.21286666666666668</v>
      </c>
      <c r="E37" s="2956">
        <v>0.21286666666666668</v>
      </c>
      <c r="F37" s="2956">
        <v>0.21286666666666668</v>
      </c>
      <c r="G37" s="2956">
        <v>0.21286666666666668</v>
      </c>
      <c r="H37" s="2956">
        <v>0.21286666666666668</v>
      </c>
      <c r="I37" s="2956">
        <v>0.21286666666666668</v>
      </c>
      <c r="J37" s="2956">
        <v>0.21286666666666668</v>
      </c>
      <c r="K37" s="2956">
        <v>0.21286666666666668</v>
      </c>
      <c r="L37" s="2956">
        <v>0.21286666666666668</v>
      </c>
      <c r="M37" s="2956">
        <v>0.21286666666666668</v>
      </c>
      <c r="N37" s="2956">
        <v>0.21286666666666668</v>
      </c>
      <c r="O37" s="2956">
        <v>0.21286666666666668</v>
      </c>
      <c r="P37" s="2956">
        <v>0.21286666666666668</v>
      </c>
      <c r="Q37" s="2956">
        <v>0.41187499999999999</v>
      </c>
      <c r="R37" s="2956">
        <v>0.41187499999999999</v>
      </c>
      <c r="S37" s="2956">
        <v>0.41187499999999999</v>
      </c>
      <c r="T37" s="2956">
        <v>0.41187499999999999</v>
      </c>
      <c r="U37" s="2956">
        <v>0.41187499999999999</v>
      </c>
      <c r="V37" s="2956">
        <v>0.41187499999999999</v>
      </c>
      <c r="W37" s="2956">
        <v>0.41187499999999999</v>
      </c>
      <c r="X37" s="2956">
        <v>7.1937500000000001E-2</v>
      </c>
      <c r="Y37" s="2956">
        <v>0.30375000000000002</v>
      </c>
      <c r="Z37" s="2956">
        <v>7.1812500000000001E-2</v>
      </c>
      <c r="AA37" s="2956">
        <v>9.8000000000000004E-2</v>
      </c>
      <c r="AB37" s="2956">
        <v>8.60625E-2</v>
      </c>
      <c r="AC37" s="2956">
        <v>6.5625000000000003E-2</v>
      </c>
      <c r="AD37" s="2956">
        <v>0.20481250000000001</v>
      </c>
      <c r="AE37" s="2956">
        <v>8.2562499999999997E-2</v>
      </c>
      <c r="AF37" s="2956">
        <v>0.16925000000000001</v>
      </c>
      <c r="AG37" s="2956">
        <v>9.1749999999999998E-2</v>
      </c>
      <c r="AH37" s="2956">
        <v>0.17724999999999999</v>
      </c>
      <c r="AI37" s="2956">
        <v>0.20200000000000001</v>
      </c>
      <c r="AJ37" s="2956">
        <v>0.21099999999999999</v>
      </c>
      <c r="AK37" s="2956">
        <v>0.263125</v>
      </c>
      <c r="AL37" s="2956">
        <v>0.26650000000000001</v>
      </c>
      <c r="AM37" s="2956">
        <v>0.26650000000000001</v>
      </c>
      <c r="AN37" s="2956">
        <v>0.24625</v>
      </c>
      <c r="AO37" s="2956">
        <v>0.25374999999999998</v>
      </c>
      <c r="AP37" s="2956">
        <v>0.127</v>
      </c>
      <c r="AQ37" s="2956">
        <v>0.17724999999999999</v>
      </c>
      <c r="AR37" s="2956">
        <v>6.7000000000000004E-2</v>
      </c>
      <c r="AS37" s="2956">
        <v>1E-3</v>
      </c>
      <c r="AT37" s="2956">
        <v>1E-3</v>
      </c>
      <c r="AU37" s="2956">
        <v>1E-3</v>
      </c>
    </row>
    <row r="38" spans="1:47" x14ac:dyDescent="0.25">
      <c r="A38" s="2950" t="s">
        <v>5014</v>
      </c>
      <c r="B38" s="2950">
        <v>1990</v>
      </c>
      <c r="C38" s="2950">
        <v>1991</v>
      </c>
      <c r="D38" s="2950">
        <v>1992</v>
      </c>
      <c r="E38" s="2950">
        <v>1993</v>
      </c>
      <c r="F38" s="2950">
        <v>1994</v>
      </c>
      <c r="G38" s="2950">
        <v>1995</v>
      </c>
      <c r="H38" s="2950">
        <v>1996</v>
      </c>
      <c r="I38" s="2950">
        <v>1997</v>
      </c>
      <c r="J38" s="2950">
        <v>1998</v>
      </c>
      <c r="K38" s="2950">
        <v>1999</v>
      </c>
      <c r="L38" s="2950">
        <v>2000</v>
      </c>
      <c r="M38" s="2950">
        <v>2001</v>
      </c>
      <c r="N38" s="2950">
        <v>2002</v>
      </c>
      <c r="O38" s="2950">
        <v>2003</v>
      </c>
      <c r="P38" s="2950">
        <v>2004</v>
      </c>
      <c r="Q38" s="2950">
        <v>2005</v>
      </c>
      <c r="R38" s="2950">
        <v>2006</v>
      </c>
      <c r="S38" s="2950">
        <v>2007</v>
      </c>
      <c r="T38" s="2950">
        <v>2008</v>
      </c>
      <c r="U38" s="2950">
        <v>2009</v>
      </c>
      <c r="V38" s="2950">
        <v>2010</v>
      </c>
      <c r="W38" s="2950">
        <v>2011</v>
      </c>
      <c r="X38" s="2950">
        <v>2012</v>
      </c>
      <c r="Y38" s="2950">
        <v>2013</v>
      </c>
      <c r="Z38" s="2950">
        <v>2014</v>
      </c>
      <c r="AA38" s="2950">
        <v>2015</v>
      </c>
      <c r="AB38" s="2950">
        <v>2016</v>
      </c>
      <c r="AC38" s="2950">
        <v>2017</v>
      </c>
      <c r="AD38" s="2950">
        <v>2018</v>
      </c>
      <c r="AE38" s="2950">
        <v>2019</v>
      </c>
      <c r="AF38" s="2950">
        <v>2020</v>
      </c>
      <c r="AG38" s="2950">
        <v>2021</v>
      </c>
      <c r="AH38" s="2950">
        <v>2022</v>
      </c>
      <c r="AI38" s="2950">
        <v>2023</v>
      </c>
      <c r="AJ38" s="2950">
        <v>2024</v>
      </c>
      <c r="AK38" s="2950">
        <v>2025</v>
      </c>
      <c r="AL38" s="2950">
        <v>2026</v>
      </c>
      <c r="AM38" s="2950">
        <v>2027</v>
      </c>
      <c r="AN38" s="2950">
        <v>2028</v>
      </c>
      <c r="AO38" s="2950">
        <v>2029</v>
      </c>
      <c r="AP38" s="2950">
        <v>2030</v>
      </c>
      <c r="AQ38" s="2950">
        <v>2031</v>
      </c>
      <c r="AR38" s="2950">
        <v>2032</v>
      </c>
      <c r="AS38" s="2950">
        <v>2033</v>
      </c>
      <c r="AT38" s="2950">
        <v>2034</v>
      </c>
      <c r="AU38" s="2950">
        <v>2035</v>
      </c>
    </row>
    <row r="39" spans="1:47" x14ac:dyDescent="0.25">
      <c r="A39" s="2946" t="s">
        <v>5013</v>
      </c>
      <c r="B39" s="2956">
        <v>7.2155907223127355E-2</v>
      </c>
      <c r="C39" s="2956">
        <v>7.2155907223127355E-2</v>
      </c>
      <c r="D39" s="2956">
        <v>7.2155907223127355E-2</v>
      </c>
      <c r="E39" s="2956">
        <v>7.2155907223127355E-2</v>
      </c>
      <c r="F39" s="2956">
        <v>7.2155907223127355E-2</v>
      </c>
      <c r="G39" s="2956">
        <v>7.2155907223127355E-2</v>
      </c>
      <c r="H39" s="2956">
        <v>7.2155907223127355E-2</v>
      </c>
      <c r="I39" s="2956">
        <v>7.2155907223127355E-2</v>
      </c>
      <c r="J39" s="2956">
        <v>7.2155907223127355E-2</v>
      </c>
      <c r="K39" s="2956">
        <v>7.2155907223127355E-2</v>
      </c>
      <c r="L39" s="2956">
        <v>7.2155907223127355E-2</v>
      </c>
      <c r="M39" s="2956">
        <v>7.2155907223127355E-2</v>
      </c>
      <c r="N39" s="2956">
        <v>7.2155907223127355E-2</v>
      </c>
      <c r="O39" s="2956">
        <v>7.2155907223127355E-2</v>
      </c>
      <c r="P39" s="2956">
        <v>7.2155907223127355E-2</v>
      </c>
      <c r="Q39" s="2956">
        <v>7.2155907223127355E-2</v>
      </c>
      <c r="R39" s="2956">
        <v>0.18418102505300735</v>
      </c>
      <c r="S39" s="2956">
        <v>0.18418102505300735</v>
      </c>
      <c r="T39" s="2956">
        <v>0.18418102505300735</v>
      </c>
      <c r="U39" s="2956">
        <v>0.18418102505300735</v>
      </c>
      <c r="V39" s="2956">
        <v>0.18418102505300735</v>
      </c>
      <c r="W39" s="2956">
        <v>0.18418102505300735</v>
      </c>
      <c r="X39" s="2956">
        <v>0.3977925836166224</v>
      </c>
      <c r="Y39" s="2956">
        <v>0.1139613381762221</v>
      </c>
      <c r="Z39" s="2956">
        <v>0.21840509194682264</v>
      </c>
      <c r="AA39" s="2956">
        <v>0.13897437847481087</v>
      </c>
      <c r="AB39" s="2956">
        <v>0.29345679706637662</v>
      </c>
      <c r="AC39" s="2956">
        <v>0.34166379939160402</v>
      </c>
      <c r="AD39" s="2956">
        <v>0.10845185788721867</v>
      </c>
      <c r="AE39" s="2956">
        <v>0.16787217212232861</v>
      </c>
      <c r="AF39" s="2956">
        <v>0.32074515119106489</v>
      </c>
      <c r="AG39" s="2956">
        <v>0.33800000000000002</v>
      </c>
      <c r="AH39" s="2956">
        <v>1.6052500000000001</v>
      </c>
      <c r="AI39" s="2956">
        <v>0.97550000000000003</v>
      </c>
      <c r="AJ39" s="2956">
        <v>3.0920000000000001</v>
      </c>
      <c r="AK39" s="2956">
        <v>4.8216821328286512</v>
      </c>
      <c r="AL39" s="2956">
        <v>4.5605984591594213</v>
      </c>
      <c r="AM39" s="2956">
        <v>4.3130984591594208</v>
      </c>
      <c r="AN39" s="2956">
        <v>3.641320926254096</v>
      </c>
      <c r="AO39" s="2956">
        <v>6.797065424833038</v>
      </c>
      <c r="AP39" s="2956">
        <v>6.7970654248330398</v>
      </c>
      <c r="AQ39" s="2956">
        <v>0.9</v>
      </c>
      <c r="AR39" s="2956">
        <v>0.9</v>
      </c>
      <c r="AS39" s="2956">
        <v>0</v>
      </c>
      <c r="AT39" s="2956">
        <v>0</v>
      </c>
      <c r="AU39" s="2956">
        <v>0</v>
      </c>
    </row>
    <row r="40" spans="1:47" x14ac:dyDescent="0.25">
      <c r="A40" s="2946" t="s">
        <v>5012</v>
      </c>
      <c r="B40" s="2956">
        <v>0.40201909277687259</v>
      </c>
      <c r="C40" s="2956">
        <v>0.40201909277687259</v>
      </c>
      <c r="D40" s="2956">
        <v>0.40201909277687259</v>
      </c>
      <c r="E40" s="2956">
        <v>0.40201909277687259</v>
      </c>
      <c r="F40" s="2956">
        <v>0.40201909277687259</v>
      </c>
      <c r="G40" s="2956">
        <v>0.40201909277687259</v>
      </c>
      <c r="H40" s="2956">
        <v>0.40201909277687259</v>
      </c>
      <c r="I40" s="2956">
        <v>0.40201909277687259</v>
      </c>
      <c r="J40" s="2956">
        <v>0.40201909277687259</v>
      </c>
      <c r="K40" s="2956">
        <v>0.40201909277687259</v>
      </c>
      <c r="L40" s="2956">
        <v>0.40201909277687259</v>
      </c>
      <c r="M40" s="2956">
        <v>0.40201909277687259</v>
      </c>
      <c r="N40" s="2956">
        <v>0.40201909277687259</v>
      </c>
      <c r="O40" s="2956">
        <v>0.40201909277687259</v>
      </c>
      <c r="P40" s="2956">
        <v>0.40201909277687259</v>
      </c>
      <c r="Q40" s="2956">
        <v>0.8544780213483012</v>
      </c>
      <c r="R40" s="2956">
        <v>0.74245290351842119</v>
      </c>
      <c r="S40" s="2956">
        <v>0.74245290351842119</v>
      </c>
      <c r="T40" s="2956">
        <v>0.74245290351842119</v>
      </c>
      <c r="U40" s="2956">
        <v>0.74245290351842119</v>
      </c>
      <c r="V40" s="2956">
        <v>0.74245290351842119</v>
      </c>
      <c r="W40" s="2956">
        <v>0.74245290351842119</v>
      </c>
      <c r="X40" s="2956">
        <v>1.6366449163833776</v>
      </c>
      <c r="Y40" s="2956">
        <v>0.43185116182377792</v>
      </c>
      <c r="Z40" s="2956">
        <v>0.49203240805317738</v>
      </c>
      <c r="AA40" s="2956">
        <v>0.63402562152518915</v>
      </c>
      <c r="AB40" s="2956">
        <v>1.1051682029336234</v>
      </c>
      <c r="AC40" s="2956">
        <v>1.215273700608396</v>
      </c>
      <c r="AD40" s="2956">
        <v>1.6916106421127812</v>
      </c>
      <c r="AE40" s="2956">
        <v>1.9233778278776714</v>
      </c>
      <c r="AF40" s="2956">
        <v>1.6008798488089351</v>
      </c>
      <c r="AG40" s="2956">
        <v>0.27299999999999996</v>
      </c>
      <c r="AH40" s="2956">
        <v>1.2927500000000005</v>
      </c>
      <c r="AI40" s="2956">
        <v>0.59749999999999992</v>
      </c>
      <c r="AJ40" s="2956">
        <v>2.1519999999999997</v>
      </c>
      <c r="AK40" s="2956">
        <v>2.7610719891383733</v>
      </c>
      <c r="AL40" s="2956">
        <v>2.6413774312486282</v>
      </c>
      <c r="AM40" s="2956">
        <v>2.4938774312486292</v>
      </c>
      <c r="AN40" s="2956">
        <v>2.0176182536135219</v>
      </c>
      <c r="AO40" s="2956">
        <v>3.0695330864731716</v>
      </c>
      <c r="AP40" s="2956">
        <v>3.0695330864731734</v>
      </c>
      <c r="AQ40" s="2956">
        <v>0.6</v>
      </c>
      <c r="AR40" s="2956">
        <v>0.6</v>
      </c>
      <c r="AS40" s="2956">
        <v>0</v>
      </c>
      <c r="AT40" s="2956">
        <v>0</v>
      </c>
      <c r="AU40" s="2956">
        <v>0</v>
      </c>
    </row>
    <row r="41" spans="1:47" x14ac:dyDescent="0.25">
      <c r="A41" s="2946" t="s">
        <v>5011</v>
      </c>
      <c r="B41" s="2956">
        <v>7.2155907223127355E-2</v>
      </c>
      <c r="C41" s="2956">
        <v>0.14431181444625471</v>
      </c>
      <c r="D41" s="2956">
        <v>0.21646772166938205</v>
      </c>
      <c r="E41" s="2956">
        <v>0.28862362889250942</v>
      </c>
      <c r="F41" s="2956">
        <v>0.36077953611563685</v>
      </c>
      <c r="G41" s="2956">
        <v>0.43293544333876416</v>
      </c>
      <c r="H41" s="2956">
        <v>0.50509135056189147</v>
      </c>
      <c r="I41" s="2956">
        <v>0.57724725778501884</v>
      </c>
      <c r="J41" s="2956">
        <v>0.64940316500814621</v>
      </c>
      <c r="K41" s="2956">
        <v>0.72155907223127358</v>
      </c>
      <c r="L41" s="2956">
        <v>0.79371497945440084</v>
      </c>
      <c r="M41" s="2956">
        <v>0.86587088667752821</v>
      </c>
      <c r="N41" s="2956">
        <v>0.93802679390065546</v>
      </c>
      <c r="O41" s="2956">
        <v>1.0101827011237829</v>
      </c>
      <c r="P41" s="2956">
        <v>1.0823386083469102</v>
      </c>
      <c r="Q41" s="2956">
        <v>1.1544945155700375</v>
      </c>
      <c r="R41" s="2956">
        <v>1.3386755406230448</v>
      </c>
      <c r="S41" s="2956">
        <v>1.5228565656760522</v>
      </c>
      <c r="T41" s="2956">
        <v>1.7070375907290598</v>
      </c>
      <c r="U41" s="2956">
        <v>1.8912186157820672</v>
      </c>
      <c r="V41" s="2956">
        <v>2.0753996408350748</v>
      </c>
      <c r="W41" s="2956">
        <v>2.2595806658880822</v>
      </c>
      <c r="X41" s="2956">
        <v>2.6573732495047042</v>
      </c>
      <c r="Y41" s="2956">
        <v>2.7713345876809266</v>
      </c>
      <c r="Z41" s="2956">
        <v>2.9897396796277489</v>
      </c>
      <c r="AA41" s="2956">
        <v>3.1287140581025596</v>
      </c>
      <c r="AB41" s="2956">
        <v>3.4221708551689365</v>
      </c>
      <c r="AC41" s="2956">
        <v>3.7638346545605406</v>
      </c>
      <c r="AD41" s="2956">
        <v>3.8722865124477592</v>
      </c>
      <c r="AE41" s="2956">
        <v>4.0401586845700876</v>
      </c>
      <c r="AF41" s="2956">
        <v>4.3609038357611523</v>
      </c>
      <c r="AG41" s="2956">
        <v>4.6989038357611523</v>
      </c>
      <c r="AH41" s="2956">
        <v>6.3041538357611522</v>
      </c>
      <c r="AI41" s="2956">
        <v>7.2796538357611542</v>
      </c>
      <c r="AJ41" s="2956">
        <v>10.371653835761155</v>
      </c>
      <c r="AK41" s="2956">
        <v>15.193335968589805</v>
      </c>
      <c r="AL41" s="2956">
        <v>19.753934427749229</v>
      </c>
      <c r="AM41" s="2956">
        <v>24.067032886908649</v>
      </c>
      <c r="AN41" s="2956">
        <v>27.708353813162745</v>
      </c>
      <c r="AO41" s="2956">
        <v>34.505419237995781</v>
      </c>
      <c r="AP41" s="2956">
        <v>41.302484662828817</v>
      </c>
      <c r="AQ41" s="2956">
        <v>42.202484662828823</v>
      </c>
      <c r="AR41" s="2956">
        <v>43.102484662828815</v>
      </c>
      <c r="AS41" s="2956">
        <v>43.102484662828815</v>
      </c>
      <c r="AT41" s="2956">
        <v>43.102484662828815</v>
      </c>
      <c r="AU41" s="2956">
        <v>43.102484662828815</v>
      </c>
    </row>
    <row r="42" spans="1:47" x14ac:dyDescent="0.25">
      <c r="A42" s="2949" t="s">
        <v>5010</v>
      </c>
      <c r="B42" s="2949"/>
      <c r="C42" s="2949"/>
      <c r="D42" s="2949"/>
      <c r="E42" s="2949"/>
      <c r="F42" s="2949"/>
      <c r="G42" s="2949"/>
      <c r="H42" s="2949"/>
      <c r="I42" s="2949"/>
      <c r="J42" s="2949"/>
      <c r="K42" s="2949"/>
      <c r="L42" s="2949"/>
      <c r="M42" s="2949"/>
      <c r="N42" s="2949"/>
      <c r="O42" s="2949"/>
      <c r="P42" s="2949"/>
      <c r="Q42" s="2948"/>
      <c r="R42" s="2948"/>
      <c r="S42" s="2948"/>
      <c r="T42" s="2948"/>
      <c r="U42" s="2948"/>
      <c r="V42" s="2948"/>
      <c r="W42" s="2948"/>
      <c r="X42" s="2948"/>
      <c r="Y42" s="2948"/>
      <c r="Z42" s="2948"/>
      <c r="AA42" s="2948"/>
      <c r="AB42" s="2948"/>
      <c r="AC42" s="2948"/>
      <c r="AD42" s="2948"/>
      <c r="AE42" s="2948"/>
      <c r="AF42" s="2948"/>
      <c r="AG42" s="2948">
        <v>0.33800000000000002</v>
      </c>
      <c r="AH42" s="2948">
        <v>1.9432500000000001</v>
      </c>
      <c r="AI42" s="2948">
        <v>2.9187500000000002</v>
      </c>
      <c r="AJ42" s="2948">
        <v>6.0107499999999998</v>
      </c>
      <c r="AK42" s="2948">
        <v>10.83243213282865</v>
      </c>
      <c r="AL42" s="2948">
        <v>15.393030591988072</v>
      </c>
      <c r="AM42" s="2948">
        <v>19.706129051147492</v>
      </c>
      <c r="AN42" s="2948">
        <v>23.347449977401588</v>
      </c>
      <c r="AO42" s="2948">
        <v>30.144515402234624</v>
      </c>
      <c r="AP42" s="2948">
        <v>36.941580827067668</v>
      </c>
      <c r="AQ42" s="2948">
        <v>37.841580827067666</v>
      </c>
      <c r="AR42" s="2948">
        <v>38.741580827067665</v>
      </c>
      <c r="AS42" s="2948">
        <v>38.741580827067665</v>
      </c>
      <c r="AT42" s="2948">
        <v>38.741580827067665</v>
      </c>
      <c r="AU42" s="2948">
        <v>38.741580827067665</v>
      </c>
    </row>
    <row r="43" spans="1:47" x14ac:dyDescent="0.25">
      <c r="A43" s="2957" t="s">
        <v>5009</v>
      </c>
      <c r="B43" s="2956"/>
      <c r="C43" s="2956"/>
      <c r="D43" s="2956"/>
      <c r="E43" s="2956"/>
      <c r="F43" s="2956"/>
      <c r="G43" s="2956"/>
      <c r="H43" s="2956"/>
      <c r="I43" s="2956"/>
      <c r="J43" s="2956"/>
      <c r="K43" s="2956"/>
      <c r="L43" s="2956"/>
      <c r="M43" s="2956"/>
      <c r="N43" s="2956"/>
      <c r="O43" s="2956"/>
      <c r="P43" s="2956"/>
      <c r="Q43" s="2956"/>
      <c r="R43" s="2956"/>
      <c r="S43" s="2956"/>
      <c r="T43" s="2956"/>
      <c r="U43" s="2956"/>
      <c r="V43" s="2956"/>
      <c r="W43" s="2956"/>
    </row>
    <row r="44" spans="1:47" x14ac:dyDescent="0.25">
      <c r="B44" s="2956"/>
      <c r="C44" s="2956"/>
      <c r="D44" s="2956"/>
      <c r="E44" s="2956"/>
      <c r="F44" s="2956"/>
      <c r="G44" s="2956"/>
      <c r="H44" s="2956"/>
      <c r="I44" s="2956"/>
      <c r="J44" s="2956"/>
      <c r="K44" s="2956"/>
      <c r="L44" s="2956"/>
      <c r="M44" s="2956"/>
      <c r="N44" s="2956"/>
      <c r="O44" s="2956"/>
      <c r="P44" s="2956"/>
      <c r="Q44" s="2956"/>
      <c r="R44" s="2956"/>
      <c r="S44" s="2956"/>
      <c r="T44" s="2956"/>
      <c r="U44" s="2956"/>
      <c r="V44" s="2956"/>
      <c r="W44" s="2956"/>
    </row>
    <row r="45" spans="1:47" ht="15.75" x14ac:dyDescent="0.25">
      <c r="A45" s="2952" t="s">
        <v>5008</v>
      </c>
    </row>
    <row r="46" spans="1:47" x14ac:dyDescent="0.25">
      <c r="A46" s="2950" t="s">
        <v>4416</v>
      </c>
      <c r="B46" s="2950">
        <v>1990</v>
      </c>
      <c r="C46" s="2950">
        <v>1991</v>
      </c>
      <c r="D46" s="2950">
        <v>1992</v>
      </c>
      <c r="E46" s="2950">
        <v>1993</v>
      </c>
      <c r="F46" s="2950">
        <v>1994</v>
      </c>
      <c r="G46" s="2950">
        <v>1995</v>
      </c>
      <c r="H46" s="2950">
        <v>1996</v>
      </c>
      <c r="I46" s="2950">
        <v>1997</v>
      </c>
      <c r="J46" s="2950">
        <v>1998</v>
      </c>
      <c r="K46" s="2950">
        <v>1999</v>
      </c>
      <c r="L46" s="2950">
        <v>2000</v>
      </c>
      <c r="M46" s="2950">
        <v>2001</v>
      </c>
      <c r="N46" s="2950">
        <v>2002</v>
      </c>
      <c r="O46" s="2950">
        <v>2003</v>
      </c>
      <c r="P46" s="2950">
        <v>2004</v>
      </c>
      <c r="Q46" s="2950">
        <v>2005</v>
      </c>
      <c r="R46" s="2950">
        <v>2006</v>
      </c>
      <c r="S46" s="2950">
        <v>2007</v>
      </c>
      <c r="T46" s="2950">
        <v>2008</v>
      </c>
      <c r="U46" s="2950">
        <v>2009</v>
      </c>
      <c r="V46" s="2950">
        <v>2010</v>
      </c>
      <c r="W46" s="2950">
        <v>2011</v>
      </c>
      <c r="X46" s="2950">
        <v>2012</v>
      </c>
      <c r="Y46" s="2950">
        <v>2013</v>
      </c>
      <c r="Z46" s="2950">
        <v>2014</v>
      </c>
      <c r="AA46" s="2950">
        <v>2015</v>
      </c>
      <c r="AB46" s="2950">
        <v>2016</v>
      </c>
      <c r="AC46" s="2950">
        <v>2017</v>
      </c>
      <c r="AD46" s="2950">
        <v>2018</v>
      </c>
      <c r="AE46" s="2950">
        <v>2019</v>
      </c>
      <c r="AF46" s="2950">
        <v>2020</v>
      </c>
      <c r="AG46" s="2950">
        <v>2021</v>
      </c>
      <c r="AH46" s="2950">
        <v>2022</v>
      </c>
      <c r="AI46" s="2950">
        <v>2023</v>
      </c>
      <c r="AJ46" s="2950">
        <v>2024</v>
      </c>
      <c r="AK46" s="2950">
        <v>2025</v>
      </c>
      <c r="AL46" s="2950">
        <v>2026</v>
      </c>
      <c r="AM46" s="2950">
        <v>2027</v>
      </c>
      <c r="AN46" s="2950">
        <v>2028</v>
      </c>
      <c r="AO46" s="2950">
        <v>2029</v>
      </c>
      <c r="AP46" s="2950">
        <v>2030</v>
      </c>
      <c r="AQ46" s="2950">
        <v>2031</v>
      </c>
      <c r="AR46" s="2950">
        <v>2032</v>
      </c>
      <c r="AS46" s="2950">
        <v>2033</v>
      </c>
      <c r="AT46" s="2950">
        <v>2034</v>
      </c>
      <c r="AU46" s="2950">
        <v>2035</v>
      </c>
    </row>
    <row r="47" spans="1:47" x14ac:dyDescent="0.25">
      <c r="A47" s="2955" t="s">
        <v>4415</v>
      </c>
      <c r="B47" s="2955">
        <v>0</v>
      </c>
      <c r="C47" s="2955">
        <v>0</v>
      </c>
      <c r="D47" s="2955">
        <v>0</v>
      </c>
      <c r="E47" s="2955">
        <v>0</v>
      </c>
      <c r="F47" s="2955">
        <v>0</v>
      </c>
      <c r="G47" s="2955">
        <v>0</v>
      </c>
      <c r="H47" s="2955">
        <v>0</v>
      </c>
      <c r="I47" s="2955">
        <v>0</v>
      </c>
      <c r="J47" s="2955">
        <v>0</v>
      </c>
      <c r="K47" s="2955">
        <v>0</v>
      </c>
      <c r="L47" s="2954">
        <v>46.265000000000001</v>
      </c>
      <c r="M47" s="2954">
        <v>86.102999999999994</v>
      </c>
      <c r="N47" s="2954">
        <v>125.96357920000131</v>
      </c>
      <c r="O47" s="2954">
        <v>124.79381200000066</v>
      </c>
      <c r="P47" s="2954">
        <v>138.65383890000061</v>
      </c>
      <c r="Q47" s="2954">
        <v>145.05977240000041</v>
      </c>
      <c r="R47" s="2954">
        <v>193.53508610000009</v>
      </c>
      <c r="S47" s="2954">
        <v>122.29033000000022</v>
      </c>
      <c r="T47" s="2954">
        <v>185.09797999999981</v>
      </c>
      <c r="U47" s="2954">
        <v>185.16792000000191</v>
      </c>
      <c r="V47" s="2954">
        <v>212.0511500000018</v>
      </c>
      <c r="W47" s="2954">
        <v>212.5547999999996</v>
      </c>
      <c r="X47" s="2953">
        <v>224.45896000000101</v>
      </c>
      <c r="Y47" s="2948">
        <v>295.69936999999902</v>
      </c>
      <c r="Z47" s="2948">
        <v>321.09327999999897</v>
      </c>
      <c r="AA47" s="2948">
        <v>395.83608000000004</v>
      </c>
      <c r="AB47" s="2948">
        <v>332.41453999999999</v>
      </c>
      <c r="AC47" s="2948">
        <v>334.43046000000032</v>
      </c>
      <c r="AD47" s="2948">
        <v>384.95845000000065</v>
      </c>
      <c r="AE47" s="2948">
        <v>405.22500000000002</v>
      </c>
      <c r="AF47" s="2948">
        <v>505</v>
      </c>
      <c r="AG47" s="2948">
        <v>567</v>
      </c>
      <c r="AH47" s="2948">
        <v>569</v>
      </c>
      <c r="AI47" s="2948">
        <v>537</v>
      </c>
      <c r="AJ47" s="2948">
        <v>537</v>
      </c>
      <c r="AK47" s="2948">
        <v>537</v>
      </c>
      <c r="AL47" s="2948">
        <v>651</v>
      </c>
      <c r="AM47" s="2948">
        <v>770</v>
      </c>
      <c r="AN47" s="2948">
        <v>770</v>
      </c>
      <c r="AO47" s="2948">
        <v>770</v>
      </c>
      <c r="AP47" s="2948">
        <v>770</v>
      </c>
      <c r="AQ47" s="2948">
        <v>770</v>
      </c>
      <c r="AR47" s="2948">
        <v>770</v>
      </c>
      <c r="AS47" s="2948">
        <v>770</v>
      </c>
      <c r="AT47" s="2948">
        <v>770</v>
      </c>
      <c r="AU47" s="2948">
        <v>770</v>
      </c>
    </row>
    <row r="49" spans="1:47" ht="15.75" x14ac:dyDescent="0.25">
      <c r="A49" s="2952" t="s">
        <v>5007</v>
      </c>
      <c r="N49" s="2951"/>
      <c r="O49" s="2951"/>
      <c r="P49" s="2951"/>
      <c r="Q49" s="2951"/>
      <c r="R49" s="2951"/>
      <c r="S49" s="2951"/>
      <c r="T49" s="2951"/>
      <c r="U49" s="2951"/>
      <c r="V49" s="2951"/>
      <c r="W49" s="2951"/>
    </row>
    <row r="50" spans="1:47" x14ac:dyDescent="0.25">
      <c r="A50" s="2950" t="s">
        <v>5006</v>
      </c>
      <c r="B50" s="2950">
        <v>1990</v>
      </c>
      <c r="C50" s="2950">
        <v>1991</v>
      </c>
      <c r="D50" s="2950">
        <v>1992</v>
      </c>
      <c r="E50" s="2950">
        <v>1993</v>
      </c>
      <c r="F50" s="2950">
        <v>1994</v>
      </c>
      <c r="G50" s="2950">
        <v>1995</v>
      </c>
      <c r="H50" s="2950">
        <v>1996</v>
      </c>
      <c r="I50" s="2950">
        <v>1997</v>
      </c>
      <c r="J50" s="2950">
        <v>1998</v>
      </c>
      <c r="K50" s="2950">
        <v>1999</v>
      </c>
      <c r="L50" s="2950">
        <v>2000</v>
      </c>
      <c r="M50" s="2950">
        <v>2001</v>
      </c>
      <c r="N50" s="2950">
        <v>2002</v>
      </c>
      <c r="O50" s="2950">
        <v>2003</v>
      </c>
      <c r="P50" s="2950">
        <v>2004</v>
      </c>
      <c r="Q50" s="2950">
        <v>2005</v>
      </c>
      <c r="R50" s="2950">
        <v>2006</v>
      </c>
      <c r="S50" s="2950">
        <v>2007</v>
      </c>
      <c r="T50" s="2950">
        <v>2008</v>
      </c>
      <c r="U50" s="2950">
        <v>2009</v>
      </c>
      <c r="V50" s="2950">
        <v>2010</v>
      </c>
      <c r="W50" s="2950">
        <v>2011</v>
      </c>
      <c r="X50" s="2950">
        <v>2012</v>
      </c>
      <c r="Y50" s="2950">
        <v>2013</v>
      </c>
      <c r="Z50" s="2950">
        <v>2014</v>
      </c>
      <c r="AA50" s="2950">
        <v>2015</v>
      </c>
      <c r="AB50" s="2950">
        <v>2016</v>
      </c>
      <c r="AC50" s="2950">
        <v>2017</v>
      </c>
      <c r="AD50" s="2950">
        <v>2018</v>
      </c>
      <c r="AE50" s="2950">
        <v>2019</v>
      </c>
      <c r="AF50" s="2950">
        <v>2020</v>
      </c>
      <c r="AG50" s="2950">
        <v>2021</v>
      </c>
      <c r="AH50" s="2950">
        <v>2022</v>
      </c>
      <c r="AI50" s="2950">
        <v>2023</v>
      </c>
      <c r="AJ50" s="2950">
        <v>2024</v>
      </c>
      <c r="AK50" s="2950">
        <v>2025</v>
      </c>
      <c r="AL50" s="2950">
        <v>2026</v>
      </c>
      <c r="AM50" s="2950">
        <v>2027</v>
      </c>
      <c r="AN50" s="2950">
        <v>2028</v>
      </c>
      <c r="AO50" s="2950">
        <v>2029</v>
      </c>
      <c r="AP50" s="2950">
        <v>2030</v>
      </c>
      <c r="AQ50" s="2950">
        <v>2031</v>
      </c>
      <c r="AR50" s="2950">
        <v>2032</v>
      </c>
      <c r="AS50" s="2950">
        <v>2033</v>
      </c>
      <c r="AT50" s="2950">
        <v>2034</v>
      </c>
      <c r="AU50" s="2950">
        <v>2035</v>
      </c>
    </row>
    <row r="51" spans="1:47" x14ac:dyDescent="0.25">
      <c r="A51" s="2949" t="s">
        <v>5005</v>
      </c>
      <c r="B51" s="2948">
        <v>1.5960000000000001</v>
      </c>
      <c r="C51" s="2948">
        <v>1.5960000000000001</v>
      </c>
      <c r="D51" s="2948">
        <v>1.5960000000000001</v>
      </c>
      <c r="E51" s="2948">
        <v>1.5960000000000001</v>
      </c>
      <c r="F51" s="2948">
        <v>1.5960000000000001</v>
      </c>
      <c r="G51" s="2948">
        <v>1.5960000000000001</v>
      </c>
      <c r="H51" s="2948">
        <v>1.5960000000000001</v>
      </c>
      <c r="I51" s="2948">
        <v>1.5960000000000001</v>
      </c>
      <c r="J51" s="2948">
        <v>1.5960000000000001</v>
      </c>
      <c r="K51" s="2948">
        <v>1.5960000000000001</v>
      </c>
      <c r="L51" s="2948">
        <v>1.5960000000000001</v>
      </c>
      <c r="M51" s="2948">
        <v>1.5960000000000001</v>
      </c>
      <c r="N51" s="2948">
        <v>1.5960000000000001</v>
      </c>
      <c r="O51" s="2948">
        <v>1.5960000000000001</v>
      </c>
      <c r="P51" s="2948">
        <v>1.5960000000000001</v>
      </c>
      <c r="Q51" s="2948">
        <v>1.5960000000000001</v>
      </c>
      <c r="R51" s="2948">
        <v>1.5960000000000001</v>
      </c>
      <c r="S51" s="2948">
        <v>1.5960000000000001</v>
      </c>
      <c r="T51" s="2948">
        <v>1.5960000000000001</v>
      </c>
      <c r="U51" s="2948">
        <v>1.5960000000000001</v>
      </c>
      <c r="V51" s="2948">
        <v>1.5960000000000001</v>
      </c>
      <c r="W51" s="2948">
        <v>1.5960000000000001</v>
      </c>
      <c r="X51" s="2948">
        <v>1.5960000000000001</v>
      </c>
      <c r="Y51" s="2948">
        <v>0.8</v>
      </c>
      <c r="Z51" s="2948">
        <v>0.8</v>
      </c>
      <c r="AA51" s="2948">
        <v>0.8</v>
      </c>
      <c r="AB51" s="2948">
        <v>0.8</v>
      </c>
      <c r="AC51" s="2948">
        <v>0.8</v>
      </c>
      <c r="AD51" s="2948">
        <v>0.8</v>
      </c>
      <c r="AE51" s="2948">
        <v>0.8</v>
      </c>
      <c r="AF51" s="2948">
        <v>0.8</v>
      </c>
      <c r="AG51" s="2948">
        <v>0.8</v>
      </c>
      <c r="AH51" s="2948">
        <v>0.8</v>
      </c>
      <c r="AI51" s="2948">
        <v>0.8</v>
      </c>
      <c r="AJ51" s="2948">
        <v>0.8</v>
      </c>
      <c r="AK51" s="2948">
        <v>0.8</v>
      </c>
      <c r="AL51" s="2948">
        <v>0.8</v>
      </c>
      <c r="AM51" s="2948">
        <v>0.8</v>
      </c>
      <c r="AN51" s="2948">
        <v>0.8</v>
      </c>
      <c r="AO51" s="2948">
        <v>0</v>
      </c>
      <c r="AP51" s="2948">
        <v>0</v>
      </c>
      <c r="AQ51" s="2948">
        <v>0</v>
      </c>
      <c r="AR51" s="2948">
        <v>0</v>
      </c>
      <c r="AS51" s="2948">
        <v>0</v>
      </c>
      <c r="AT51" s="2948">
        <v>0</v>
      </c>
      <c r="AU51" s="2948">
        <v>0</v>
      </c>
    </row>
    <row r="52" spans="1:47" x14ac:dyDescent="0.25">
      <c r="A52" s="2946" t="s">
        <v>5004</v>
      </c>
      <c r="B52" s="2947"/>
      <c r="C52" s="2947"/>
      <c r="D52" s="2947"/>
      <c r="E52" s="2947"/>
      <c r="F52" s="2947"/>
      <c r="G52" s="2947"/>
      <c r="H52" s="2947"/>
      <c r="I52" s="2947"/>
      <c r="J52" s="2947"/>
      <c r="K52" s="2947"/>
      <c r="L52" s="2947"/>
      <c r="M52" s="2947"/>
      <c r="N52" s="2947"/>
      <c r="O52" s="2947"/>
      <c r="P52" s="2947"/>
      <c r="Q52" s="2947"/>
      <c r="R52" s="2947"/>
      <c r="S52" s="2947"/>
      <c r="T52" s="2947"/>
      <c r="U52" s="2947"/>
      <c r="V52" s="2947"/>
      <c r="W52" s="2947"/>
    </row>
  </sheetData>
  <pageMargins left="0.7" right="0.7" top="0.75" bottom="0.75" header="0.3" footer="0.3"/>
  <pageSetup paperSize="9"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D83C9-F9A3-41FD-B702-64C62157ADD7}">
  <sheetPr codeName="Ark161">
    <tabColor theme="0" tint="-0.499984740745262"/>
  </sheetPr>
  <dimension ref="A1:AU36"/>
  <sheetViews>
    <sheetView workbookViewId="0"/>
  </sheetViews>
  <sheetFormatPr defaultColWidth="9.140625" defaultRowHeight="15" x14ac:dyDescent="0.25"/>
  <cols>
    <col min="1" max="1" width="17" style="2946" bestFit="1" customWidth="1"/>
    <col min="2" max="2" width="11.140625" style="2946" bestFit="1" customWidth="1"/>
    <col min="3" max="6" width="11.140625" style="2946" hidden="1" customWidth="1"/>
    <col min="7" max="7" width="11.140625" style="2946" bestFit="1" customWidth="1"/>
    <col min="8" max="11" width="11.140625" style="2946" hidden="1" customWidth="1"/>
    <col min="12" max="12" width="11.140625" style="2946" bestFit="1" customWidth="1"/>
    <col min="13" max="16" width="11.140625" style="2946" hidden="1" customWidth="1"/>
    <col min="17" max="17" width="11.140625" style="2946" bestFit="1" customWidth="1"/>
    <col min="18" max="21" width="11.140625" style="2946" hidden="1" customWidth="1"/>
    <col min="22" max="22" width="11.140625" style="2946" bestFit="1" customWidth="1"/>
    <col min="23" max="26" width="11.140625" style="2946" hidden="1" customWidth="1"/>
    <col min="27" max="47" width="11.140625" style="2946" bestFit="1" customWidth="1"/>
    <col min="48" max="16384" width="9.140625" style="2946"/>
  </cols>
  <sheetData>
    <row r="1" spans="1:47" ht="18.75" x14ac:dyDescent="0.3">
      <c r="A1" s="2971" t="s">
        <v>5063</v>
      </c>
    </row>
    <row r="2" spans="1:47" ht="16.5" x14ac:dyDescent="0.3">
      <c r="A2" s="2970" t="s">
        <v>5037</v>
      </c>
    </row>
    <row r="4" spans="1:47" ht="16.5" x14ac:dyDescent="0.3">
      <c r="A4" s="2970" t="s">
        <v>5062</v>
      </c>
    </row>
    <row r="6" spans="1:47" x14ac:dyDescent="0.25">
      <c r="A6" s="2963" t="s">
        <v>5061</v>
      </c>
    </row>
    <row r="7" spans="1:47" s="2963" customFormat="1" x14ac:dyDescent="0.25">
      <c r="A7" s="2968" t="s">
        <v>5059</v>
      </c>
      <c r="B7" s="2969">
        <v>1990</v>
      </c>
      <c r="C7" s="2969">
        <v>1991</v>
      </c>
      <c r="D7" s="2969">
        <v>1992</v>
      </c>
      <c r="E7" s="2969">
        <v>1993</v>
      </c>
      <c r="F7" s="2969">
        <v>1994</v>
      </c>
      <c r="G7" s="2969">
        <v>1995</v>
      </c>
      <c r="H7" s="2969">
        <v>1996</v>
      </c>
      <c r="I7" s="2969">
        <v>1997</v>
      </c>
      <c r="J7" s="2969">
        <v>1998</v>
      </c>
      <c r="K7" s="2969">
        <v>1999</v>
      </c>
      <c r="L7" s="2969">
        <v>2000</v>
      </c>
      <c r="M7" s="2969">
        <v>2001</v>
      </c>
      <c r="N7" s="2969">
        <v>2002</v>
      </c>
      <c r="O7" s="2969">
        <v>2003</v>
      </c>
      <c r="P7" s="2969">
        <v>2004</v>
      </c>
      <c r="Q7" s="2969">
        <v>2005</v>
      </c>
      <c r="R7" s="2969">
        <v>2006</v>
      </c>
      <c r="S7" s="2969">
        <v>2007</v>
      </c>
      <c r="T7" s="2969">
        <v>2008</v>
      </c>
      <c r="U7" s="2969">
        <v>2009</v>
      </c>
      <c r="V7" s="2969">
        <v>2010</v>
      </c>
      <c r="W7" s="2969">
        <v>2011</v>
      </c>
      <c r="X7" s="2969">
        <v>2012</v>
      </c>
      <c r="Y7" s="2969">
        <v>2013</v>
      </c>
      <c r="Z7" s="2969">
        <v>2014</v>
      </c>
      <c r="AA7" s="2969">
        <v>2015</v>
      </c>
      <c r="AB7" s="2969">
        <v>2016</v>
      </c>
      <c r="AC7" s="2969">
        <v>2017</v>
      </c>
      <c r="AD7" s="2969">
        <v>2018</v>
      </c>
      <c r="AE7" s="2969">
        <v>2019</v>
      </c>
      <c r="AF7" s="2969">
        <v>2020</v>
      </c>
      <c r="AG7" s="2968">
        <v>2021</v>
      </c>
      <c r="AH7" s="2968">
        <v>2022</v>
      </c>
      <c r="AI7" s="2968">
        <v>2023</v>
      </c>
      <c r="AJ7" s="2968">
        <v>2024</v>
      </c>
      <c r="AK7" s="2968">
        <v>2025</v>
      </c>
      <c r="AL7" s="2968">
        <v>2026</v>
      </c>
      <c r="AM7" s="2968">
        <v>2027</v>
      </c>
      <c r="AN7" s="2968">
        <v>2028</v>
      </c>
      <c r="AO7" s="2968">
        <v>2029</v>
      </c>
      <c r="AP7" s="2968">
        <v>2030</v>
      </c>
      <c r="AQ7" s="2968">
        <v>2031</v>
      </c>
      <c r="AR7" s="2968">
        <v>2032</v>
      </c>
      <c r="AS7" s="2968">
        <v>2033</v>
      </c>
      <c r="AT7" s="2968">
        <v>2034</v>
      </c>
      <c r="AU7" s="2968">
        <v>2035</v>
      </c>
    </row>
    <row r="8" spans="1:47" x14ac:dyDescent="0.25">
      <c r="A8" s="2946" t="s">
        <v>4394</v>
      </c>
      <c r="B8" s="2999">
        <v>11250260.446772</v>
      </c>
      <c r="C8" s="2999">
        <v>11137707.259815</v>
      </c>
      <c r="D8" s="2999">
        <v>10741637.671479</v>
      </c>
      <c r="E8" s="2999">
        <v>10824974.714851001</v>
      </c>
      <c r="F8" s="2999">
        <v>10665188.569652</v>
      </c>
      <c r="G8" s="2999">
        <v>10768900.060350997</v>
      </c>
      <c r="H8" s="2999">
        <v>10788459.3780565</v>
      </c>
      <c r="I8" s="2999">
        <v>10296663.182743499</v>
      </c>
      <c r="J8" s="2999">
        <v>10253167.329249999</v>
      </c>
      <c r="K8" s="2999">
        <v>9809067.5333999991</v>
      </c>
      <c r="L8" s="2999">
        <v>10584885.567374997</v>
      </c>
      <c r="M8" s="2999">
        <v>10648089.3593105</v>
      </c>
      <c r="N8" s="2999">
        <v>11042069.689100999</v>
      </c>
      <c r="O8" s="2999">
        <v>11432239.43566063</v>
      </c>
      <c r="P8" s="2999">
        <v>11181332.982159561</v>
      </c>
      <c r="Q8" s="2999">
        <v>11374328.422202932</v>
      </c>
      <c r="R8" s="2999">
        <v>10886314.775858905</v>
      </c>
      <c r="S8" s="2999">
        <v>10321683.694475697</v>
      </c>
      <c r="T8" s="2999">
        <v>10672557.299416138</v>
      </c>
      <c r="U8" s="2999">
        <v>12376448.928303916</v>
      </c>
      <c r="V8" s="2999">
        <v>12538954.466996027</v>
      </c>
      <c r="W8" s="2999">
        <v>12435864.283094408</v>
      </c>
      <c r="X8" s="2999">
        <v>15412302.708380736</v>
      </c>
      <c r="Y8" s="2999">
        <v>15357767.202070573</v>
      </c>
      <c r="Z8" s="2999">
        <v>15400139.668128904</v>
      </c>
      <c r="AA8" s="2999">
        <v>15373538.256669562</v>
      </c>
      <c r="AB8" s="2999">
        <v>15747993.434425697</v>
      </c>
      <c r="AC8" s="2999">
        <v>15958376.884283289</v>
      </c>
      <c r="AD8" s="2999">
        <v>16256350.351827426</v>
      </c>
      <c r="AE8" s="2999">
        <v>16135578.321278874</v>
      </c>
      <c r="AF8" s="2999">
        <v>16157839.877820468</v>
      </c>
      <c r="AG8" s="2998">
        <v>16211656.220688794</v>
      </c>
      <c r="AH8" s="2998">
        <v>16516572.121751945</v>
      </c>
      <c r="AI8" s="2998">
        <v>16722991.780698217</v>
      </c>
      <c r="AJ8" s="2998">
        <v>16932833.834862988</v>
      </c>
      <c r="AK8" s="2998">
        <v>17116458.098387837</v>
      </c>
      <c r="AL8" s="2998">
        <v>17318711.320195399</v>
      </c>
      <c r="AM8" s="2998">
        <v>17607495.676364113</v>
      </c>
      <c r="AN8" s="2998">
        <v>17855181.661037948</v>
      </c>
      <c r="AO8" s="2998">
        <v>18143975.553511396</v>
      </c>
      <c r="AP8" s="2998">
        <v>18439041.048251454</v>
      </c>
      <c r="AQ8" s="2998">
        <v>18512077.923011728</v>
      </c>
      <c r="AR8" s="2998">
        <v>18492107.588378027</v>
      </c>
      <c r="AS8" s="2998">
        <v>18469169.888664681</v>
      </c>
      <c r="AT8" s="2998">
        <v>18452747.476131316</v>
      </c>
      <c r="AU8" s="2998">
        <v>18435376.685101204</v>
      </c>
    </row>
    <row r="9" spans="1:47" x14ac:dyDescent="0.25">
      <c r="A9" s="2946" t="s">
        <v>5058</v>
      </c>
      <c r="B9" s="2999">
        <v>3993459.4665073976</v>
      </c>
      <c r="C9" s="2999">
        <v>3857961.3356443672</v>
      </c>
      <c r="D9" s="2999">
        <v>3772072.4676826573</v>
      </c>
      <c r="E9" s="2999">
        <v>3593117.3842961974</v>
      </c>
      <c r="F9" s="2999">
        <v>3312168.1132627726</v>
      </c>
      <c r="G9" s="2999">
        <v>3207189.8959499998</v>
      </c>
      <c r="H9" s="2999">
        <v>3059299.5557360817</v>
      </c>
      <c r="I9" s="2999">
        <v>2921792.0603206847</v>
      </c>
      <c r="J9" s="2999">
        <v>2838808.2409410956</v>
      </c>
      <c r="K9" s="2999">
        <v>2741010.0644443287</v>
      </c>
      <c r="L9" s="2999">
        <v>2655444.4229193148</v>
      </c>
      <c r="M9" s="2999">
        <v>2756597.6962739453</v>
      </c>
      <c r="N9" s="2999">
        <v>2655171.0506723011</v>
      </c>
      <c r="O9" s="2999">
        <v>2524164.6654984932</v>
      </c>
      <c r="P9" s="2999">
        <v>2373579.1909217536</v>
      </c>
      <c r="Q9" s="2999">
        <v>2258545.5431514522</v>
      </c>
      <c r="R9" s="2999">
        <v>2326141.089887809</v>
      </c>
      <c r="S9" s="2999">
        <v>2546556.5654553971</v>
      </c>
      <c r="T9" s="2999">
        <v>2566424.0431927671</v>
      </c>
      <c r="U9" s="2999">
        <v>2445667.4980386845</v>
      </c>
      <c r="V9" s="2999">
        <v>2460270.444019068</v>
      </c>
      <c r="W9" s="2999">
        <v>2517115.2702466296</v>
      </c>
      <c r="X9" s="2999">
        <v>2576706.797691151</v>
      </c>
      <c r="Y9" s="2999">
        <v>2655908.7288034521</v>
      </c>
      <c r="Z9" s="2999">
        <v>2574918.4944909588</v>
      </c>
      <c r="AA9" s="2999">
        <v>2538701.9074246027</v>
      </c>
      <c r="AB9" s="2999">
        <v>2472955.0820624647</v>
      </c>
      <c r="AC9" s="2999">
        <v>2442844.1343261371</v>
      </c>
      <c r="AD9" s="2999">
        <v>2392833.913869123</v>
      </c>
      <c r="AE9" s="2999">
        <v>2335092.3234533425</v>
      </c>
      <c r="AF9" s="2999">
        <v>2317599.229324548</v>
      </c>
      <c r="AG9" s="2998">
        <v>2331609.8799140276</v>
      </c>
      <c r="AH9" s="2998">
        <v>2352651.1886775889</v>
      </c>
      <c r="AI9" s="2998">
        <v>2371821.630896959</v>
      </c>
      <c r="AJ9" s="2998">
        <v>2390820.218256027</v>
      </c>
      <c r="AK9" s="2998">
        <v>2409933.6119068218</v>
      </c>
      <c r="AL9" s="2998">
        <v>2428875.1417001639</v>
      </c>
      <c r="AM9" s="2998">
        <v>2447697.8865218628</v>
      </c>
      <c r="AN9" s="2998">
        <v>2466582.3750083838</v>
      </c>
      <c r="AO9" s="2998">
        <v>2485432.9940692056</v>
      </c>
      <c r="AP9" s="2998">
        <v>2504302.8790684659</v>
      </c>
      <c r="AQ9" s="2998">
        <v>2492472.3508375068</v>
      </c>
      <c r="AR9" s="2998">
        <v>2480901.3078827122</v>
      </c>
      <c r="AS9" s="2998">
        <v>2469260.0071639176</v>
      </c>
      <c r="AT9" s="2998">
        <v>2457548.8494100547</v>
      </c>
      <c r="AU9" s="2998">
        <v>2445768.2399772326</v>
      </c>
    </row>
    <row r="10" spans="1:47" x14ac:dyDescent="0.25">
      <c r="A10" s="3000" t="s">
        <v>907</v>
      </c>
      <c r="B10" s="2999"/>
      <c r="C10" s="2999"/>
      <c r="D10" s="2999"/>
      <c r="E10" s="2999"/>
      <c r="F10" s="2999"/>
      <c r="G10" s="2999"/>
      <c r="H10" s="2999"/>
      <c r="I10" s="2999"/>
      <c r="J10" s="2999"/>
      <c r="K10" s="2999"/>
      <c r="L10" s="2999"/>
      <c r="M10" s="2999"/>
      <c r="N10" s="2999"/>
      <c r="O10" s="2999"/>
      <c r="P10" s="2999"/>
      <c r="Q10" s="2999"/>
      <c r="R10" s="2999"/>
      <c r="S10" s="2999"/>
      <c r="T10" s="2999"/>
      <c r="U10" s="2999"/>
      <c r="V10" s="2999"/>
      <c r="W10" s="2999"/>
      <c r="X10" s="2999"/>
      <c r="Y10" s="2999"/>
      <c r="Z10" s="2999"/>
      <c r="AA10" s="2999"/>
      <c r="AB10" s="2999"/>
      <c r="AC10" s="2999"/>
      <c r="AD10" s="2999"/>
      <c r="AE10" s="2999"/>
      <c r="AF10" s="2999"/>
      <c r="AG10" s="2998"/>
      <c r="AH10" s="2998"/>
      <c r="AI10" s="2998"/>
      <c r="AJ10" s="2998"/>
      <c r="AK10" s="2998"/>
      <c r="AL10" s="2998"/>
      <c r="AM10" s="2998"/>
      <c r="AN10" s="2998"/>
      <c r="AO10" s="2998"/>
      <c r="AP10" s="2998"/>
      <c r="AQ10" s="2998"/>
      <c r="AR10" s="2998"/>
      <c r="AS10" s="2998"/>
      <c r="AT10" s="2998"/>
      <c r="AU10" s="2998"/>
    </row>
    <row r="11" spans="1:47" x14ac:dyDescent="0.25">
      <c r="A11" s="2946" t="s">
        <v>947</v>
      </c>
      <c r="B11" s="2999">
        <v>3497931.9408</v>
      </c>
      <c r="C11" s="2999">
        <v>3640816.1080999998</v>
      </c>
      <c r="D11" s="2999">
        <v>3944008.3327000006</v>
      </c>
      <c r="E11" s="2999">
        <v>4117666.0183999995</v>
      </c>
      <c r="F11" s="2999">
        <v>3938899.1370000001</v>
      </c>
      <c r="G11" s="2999">
        <v>4030501.1074999995</v>
      </c>
      <c r="H11" s="2999">
        <v>4013784.8399</v>
      </c>
      <c r="I11" s="2999">
        <v>4248389.9836999988</v>
      </c>
      <c r="J11" s="2999">
        <v>4343504.0734999999</v>
      </c>
      <c r="K11" s="2999">
        <v>4220095.8643999994</v>
      </c>
      <c r="L11" s="2999">
        <v>4242501.2886999995</v>
      </c>
      <c r="M11" s="2999">
        <v>4380356.4097000007</v>
      </c>
      <c r="N11" s="2999">
        <v>4554701.2196000004</v>
      </c>
      <c r="O11" s="2999">
        <v>4766504.9390000002</v>
      </c>
      <c r="P11" s="2999">
        <v>4785519.9368999992</v>
      </c>
      <c r="Q11" s="2999">
        <v>5092175.0937000001</v>
      </c>
      <c r="R11" s="2999">
        <v>5345366.7444000002</v>
      </c>
      <c r="S11" s="2999">
        <v>5861348.870099999</v>
      </c>
      <c r="T11" s="2999">
        <v>5521838.075699999</v>
      </c>
      <c r="U11" s="2999">
        <v>5808289.7217999995</v>
      </c>
      <c r="V11" s="2999">
        <v>6068631.6318999985</v>
      </c>
      <c r="W11" s="2999">
        <v>5909967.9909999995</v>
      </c>
      <c r="X11" s="2999">
        <v>5639665.9589</v>
      </c>
      <c r="Y11" s="2999">
        <v>5430549.0545999995</v>
      </c>
      <c r="Z11" s="2999">
        <v>5764452.3445999986</v>
      </c>
      <c r="AA11" s="2999">
        <v>5791795.0887999991</v>
      </c>
      <c r="AB11" s="2999">
        <v>5573270.6165000005</v>
      </c>
      <c r="AC11" s="2999">
        <v>5662613.4823000012</v>
      </c>
      <c r="AD11" s="2999">
        <v>5843612.1681000004</v>
      </c>
      <c r="AE11" s="2999">
        <v>5679007.0475599999</v>
      </c>
      <c r="AF11" s="2999">
        <v>6138540.9103999995</v>
      </c>
      <c r="AG11" s="2998">
        <v>6329847.6478800001</v>
      </c>
      <c r="AH11" s="2998">
        <v>6232493.4427999984</v>
      </c>
      <c r="AI11" s="2998">
        <v>6157355.5546900006</v>
      </c>
      <c r="AJ11" s="2998">
        <v>6062379.9268199997</v>
      </c>
      <c r="AK11" s="2998">
        <v>5983928.1799099995</v>
      </c>
      <c r="AL11" s="2998">
        <v>5891127.3660799991</v>
      </c>
      <c r="AM11" s="2998">
        <v>5788040.7950099995</v>
      </c>
      <c r="AN11" s="2998">
        <v>5682300.2119699987</v>
      </c>
      <c r="AO11" s="2998">
        <v>5576132.72212</v>
      </c>
      <c r="AP11" s="2998">
        <v>5478378.4368099999</v>
      </c>
      <c r="AQ11" s="2998">
        <v>5333987.50342</v>
      </c>
      <c r="AR11" s="2998">
        <v>5184068.1120800013</v>
      </c>
      <c r="AS11" s="2998">
        <v>5041105.9097800013</v>
      </c>
      <c r="AT11" s="2998">
        <v>4894374.1530900011</v>
      </c>
      <c r="AU11" s="2998">
        <v>4756005.3492400004</v>
      </c>
    </row>
    <row r="12" spans="1:47" x14ac:dyDescent="0.25">
      <c r="A12" s="2946" t="s">
        <v>339</v>
      </c>
      <c r="B12" s="2999">
        <v>1742195.4653400001</v>
      </c>
      <c r="C12" s="2999">
        <v>1873756.2954299999</v>
      </c>
      <c r="D12" s="2999">
        <v>2059199.7848100001</v>
      </c>
      <c r="E12" s="2999">
        <v>2279425.7713890001</v>
      </c>
      <c r="F12" s="2999">
        <v>2316038.4098639996</v>
      </c>
      <c r="G12" s="2999">
        <v>2309658.607816</v>
      </c>
      <c r="H12" s="2999">
        <v>2352365.2257359996</v>
      </c>
      <c r="I12" s="2999">
        <v>2464690.2326239999</v>
      </c>
      <c r="J12" s="2999">
        <v>2713233.0917580002</v>
      </c>
      <c r="K12" s="2999">
        <v>2727644.7520960001</v>
      </c>
      <c r="L12" s="2999">
        <v>2694019.5566179999</v>
      </c>
      <c r="M12" s="2999">
        <v>2821933.3612910002</v>
      </c>
      <c r="N12" s="2999">
        <v>2947674.213976</v>
      </c>
      <c r="O12" s="2999">
        <v>2968590.484309</v>
      </c>
      <c r="P12" s="2999">
        <v>3087389.7934530005</v>
      </c>
      <c r="Q12" s="2999">
        <v>3459758.5528200003</v>
      </c>
      <c r="R12" s="2999">
        <v>3350547.0332800001</v>
      </c>
      <c r="S12" s="2999">
        <v>3647223.5125300004</v>
      </c>
      <c r="T12" s="2999">
        <v>3769737.7671000003</v>
      </c>
      <c r="U12" s="2999">
        <v>3788000.2377900006</v>
      </c>
      <c r="V12" s="2999">
        <v>3938736.0518400003</v>
      </c>
      <c r="W12" s="2999">
        <v>4067765.3974200012</v>
      </c>
      <c r="X12" s="2999">
        <v>4029172.8215300012</v>
      </c>
      <c r="Y12" s="2999">
        <v>3804955.3856000002</v>
      </c>
      <c r="Z12" s="2999">
        <v>3904813.9584599999</v>
      </c>
      <c r="AA12" s="2999">
        <v>4038044.5618700008</v>
      </c>
      <c r="AB12" s="2999">
        <v>4159034.1661500004</v>
      </c>
      <c r="AC12" s="2999">
        <v>4149647.9109600005</v>
      </c>
      <c r="AD12" s="2999">
        <v>4224532.9093800001</v>
      </c>
      <c r="AE12" s="2999">
        <v>4151468.9905400006</v>
      </c>
      <c r="AF12" s="2999">
        <v>4240094.8459299998</v>
      </c>
      <c r="AG12" s="2998">
        <v>4322613.5637699999</v>
      </c>
      <c r="AH12" s="2998">
        <v>4356815.7076700013</v>
      </c>
      <c r="AI12" s="2998">
        <v>3999366.0812399997</v>
      </c>
      <c r="AJ12" s="2998">
        <v>3983095.6185000003</v>
      </c>
      <c r="AK12" s="2998">
        <v>3966813.0712799993</v>
      </c>
      <c r="AL12" s="2998">
        <v>3951915.1500599994</v>
      </c>
      <c r="AM12" s="2998">
        <v>3934981.6663799998</v>
      </c>
      <c r="AN12" s="2998">
        <v>3916203.9672599998</v>
      </c>
      <c r="AO12" s="2998">
        <v>3894665.8135799998</v>
      </c>
      <c r="AP12" s="2998">
        <v>3871682.0439600004</v>
      </c>
      <c r="AQ12" s="2998">
        <v>3768843.4854600001</v>
      </c>
      <c r="AR12" s="2998">
        <v>3724192.4406000003</v>
      </c>
      <c r="AS12" s="2998">
        <v>3369874.1715199999</v>
      </c>
      <c r="AT12" s="2998">
        <v>3323375.5998999998</v>
      </c>
      <c r="AU12" s="2998">
        <v>3275524.0414100005</v>
      </c>
    </row>
    <row r="13" spans="1:47" x14ac:dyDescent="0.25">
      <c r="A13" s="2946" t="s">
        <v>948</v>
      </c>
      <c r="B13" s="2999">
        <v>7022557.58256</v>
      </c>
      <c r="C13" s="2999">
        <v>7501420.7182400003</v>
      </c>
      <c r="D13" s="2999">
        <v>8173364.0344000002</v>
      </c>
      <c r="E13" s="2999">
        <v>9080712.6016400009</v>
      </c>
      <c r="F13" s="2999">
        <v>9215491.9897799995</v>
      </c>
      <c r="G13" s="2999">
        <v>9164214.2184199989</v>
      </c>
      <c r="H13" s="2999">
        <v>9289500.6073000003</v>
      </c>
      <c r="I13" s="2999">
        <v>9626705.6528399996</v>
      </c>
      <c r="J13" s="2999">
        <v>10437692.627840001</v>
      </c>
      <c r="K13" s="2999">
        <v>10510286.7608</v>
      </c>
      <c r="L13" s="2999">
        <v>10359788.437600002</v>
      </c>
      <c r="M13" s="2999">
        <v>10925574.255539998</v>
      </c>
      <c r="N13" s="2999">
        <v>11645581.68015</v>
      </c>
      <c r="O13" s="2999">
        <v>11440981.104789998</v>
      </c>
      <c r="P13" s="2999">
        <v>11862345.554599999</v>
      </c>
      <c r="Q13" s="2999">
        <v>11443752.320780002</v>
      </c>
      <c r="R13" s="2999">
        <v>11114709.285783999</v>
      </c>
      <c r="S13" s="2999">
        <v>11484131.32034</v>
      </c>
      <c r="T13" s="2999">
        <v>10579061.612399999</v>
      </c>
      <c r="U13" s="2999">
        <v>10309427.05009</v>
      </c>
      <c r="V13" s="2999">
        <v>10460754.318469997</v>
      </c>
      <c r="W13" s="2999">
        <v>10999742.944859998</v>
      </c>
      <c r="X13" s="2999">
        <v>10351468.935679996</v>
      </c>
      <c r="Y13" s="2999">
        <v>10268170.373660002</v>
      </c>
      <c r="Z13" s="2999">
        <v>10681773.114999998</v>
      </c>
      <c r="AA13" s="2999">
        <v>10568801.86782</v>
      </c>
      <c r="AB13" s="2999">
        <v>10335759.993239999</v>
      </c>
      <c r="AC13" s="2999">
        <v>10263285.09928</v>
      </c>
      <c r="AD13" s="2999">
        <v>10535016.620790003</v>
      </c>
      <c r="AE13" s="2999">
        <v>9961940.8324900009</v>
      </c>
      <c r="AF13" s="2999">
        <v>10689828.73896</v>
      </c>
      <c r="AG13" s="2998">
        <v>11730140.840170002</v>
      </c>
      <c r="AH13" s="2998">
        <v>11358380.640780002</v>
      </c>
      <c r="AI13" s="2998">
        <v>11065778.49378</v>
      </c>
      <c r="AJ13" s="2998">
        <v>10976663.774080001</v>
      </c>
      <c r="AK13" s="2998">
        <v>10725813.721450001</v>
      </c>
      <c r="AL13" s="2998">
        <v>10459504.419190001</v>
      </c>
      <c r="AM13" s="2998">
        <v>10420951.488900002</v>
      </c>
      <c r="AN13" s="2998">
        <v>10154156.3807</v>
      </c>
      <c r="AO13" s="2998">
        <v>10082604.738909999</v>
      </c>
      <c r="AP13" s="2998">
        <v>9812773.0922999997</v>
      </c>
      <c r="AQ13" s="2998">
        <v>9362980.2123000007</v>
      </c>
      <c r="AR13" s="2998">
        <v>9250586.2049599998</v>
      </c>
      <c r="AS13" s="2998">
        <v>8947570.3870800007</v>
      </c>
      <c r="AT13" s="2998">
        <v>8822574.0570399985</v>
      </c>
      <c r="AU13" s="2998">
        <v>8517896.5091099981</v>
      </c>
    </row>
    <row r="14" spans="1:47" x14ac:dyDescent="0.25">
      <c r="A14" s="2946" t="s">
        <v>625</v>
      </c>
      <c r="B14" s="2999">
        <v>216611.64660000001</v>
      </c>
      <c r="C14" s="2999">
        <v>221969.61799999999</v>
      </c>
      <c r="D14" s="2999">
        <v>239663.35</v>
      </c>
      <c r="E14" s="2999">
        <v>175301.92232000001</v>
      </c>
      <c r="F14" s="2999">
        <v>223934.17270999998</v>
      </c>
      <c r="G14" s="2999">
        <v>243061.3125</v>
      </c>
      <c r="H14" s="2999">
        <v>263998.68796000001</v>
      </c>
      <c r="I14" s="2999">
        <v>319738.04225</v>
      </c>
      <c r="J14" s="2999">
        <v>354079.22424000001</v>
      </c>
      <c r="K14" s="2999">
        <v>330270.82500000001</v>
      </c>
      <c r="L14" s="2999">
        <v>487025.6496</v>
      </c>
      <c r="M14" s="2999">
        <v>608220.58000000007</v>
      </c>
      <c r="N14" s="2999">
        <v>703439.92949999997</v>
      </c>
      <c r="O14" s="2999">
        <v>762582.92400000012</v>
      </c>
      <c r="P14" s="2999">
        <v>864655.15500000003</v>
      </c>
      <c r="Q14" s="2999">
        <v>764099.50647999987</v>
      </c>
      <c r="R14" s="2999">
        <v>902081.12315999996</v>
      </c>
      <c r="S14" s="2999">
        <v>1445148.1693199999</v>
      </c>
      <c r="T14" s="2999">
        <v>1573509.3636299998</v>
      </c>
      <c r="U14" s="2999">
        <v>1594660.8319999997</v>
      </c>
      <c r="V14" s="2999">
        <v>1650625.9498000001</v>
      </c>
      <c r="W14" s="2999">
        <v>1678820.8184999998</v>
      </c>
      <c r="X14" s="2999">
        <v>1802961.9387999999</v>
      </c>
      <c r="Y14" s="2999">
        <v>1275816.7208499999</v>
      </c>
      <c r="Z14" s="2999">
        <v>1352722.3084799997</v>
      </c>
      <c r="AA14" s="2999">
        <v>1386248.7070399998</v>
      </c>
      <c r="AB14" s="2999">
        <v>1233395.2677900004</v>
      </c>
      <c r="AC14" s="2999">
        <v>1296125.6294000002</v>
      </c>
      <c r="AD14" s="2999">
        <v>1208901.0043800001</v>
      </c>
      <c r="AE14" s="2999">
        <v>935970.97132000013</v>
      </c>
      <c r="AF14" s="2999">
        <v>841267.2612999999</v>
      </c>
      <c r="AG14" s="2998">
        <v>0</v>
      </c>
      <c r="AH14" s="2998">
        <v>0</v>
      </c>
      <c r="AI14" s="2998">
        <v>84156.648700000005</v>
      </c>
      <c r="AJ14" s="2998">
        <v>84166.622889999999</v>
      </c>
      <c r="AK14" s="2998">
        <v>84176.597429999994</v>
      </c>
      <c r="AL14" s="2998">
        <v>84186.571240000005</v>
      </c>
      <c r="AM14" s="2998">
        <v>84196.545430000013</v>
      </c>
      <c r="AN14" s="2998">
        <v>84206.519620000006</v>
      </c>
      <c r="AO14" s="2998">
        <v>84216.49381</v>
      </c>
      <c r="AP14" s="2998">
        <v>84226.468000000008</v>
      </c>
      <c r="AQ14" s="2998">
        <v>84226.468000000008</v>
      </c>
      <c r="AR14" s="2998">
        <v>84226.468000000008</v>
      </c>
      <c r="AS14" s="2998">
        <v>84226.468000000008</v>
      </c>
      <c r="AT14" s="2998">
        <v>84226.468000000008</v>
      </c>
      <c r="AU14" s="2998">
        <v>84226.468000000008</v>
      </c>
    </row>
    <row r="15" spans="1:47" x14ac:dyDescent="0.25">
      <c r="A15" s="3000" t="s">
        <v>331</v>
      </c>
      <c r="B15" s="2999"/>
      <c r="C15" s="2999"/>
      <c r="D15" s="2999"/>
      <c r="E15" s="2999"/>
      <c r="F15" s="2999"/>
      <c r="G15" s="2999"/>
      <c r="H15" s="2999"/>
      <c r="I15" s="2999"/>
      <c r="J15" s="2999"/>
      <c r="K15" s="2999"/>
      <c r="L15" s="2999"/>
      <c r="M15" s="2999"/>
      <c r="N15" s="2999"/>
      <c r="O15" s="2999"/>
      <c r="P15" s="2999"/>
      <c r="Q15" s="2999"/>
      <c r="R15" s="2999"/>
      <c r="S15" s="2999"/>
      <c r="T15" s="2999"/>
      <c r="U15" s="2999"/>
      <c r="V15" s="2999"/>
      <c r="W15" s="2999"/>
      <c r="X15" s="2999"/>
      <c r="Y15" s="2999"/>
      <c r="Z15" s="2999"/>
      <c r="AA15" s="2999"/>
      <c r="AB15" s="2999"/>
      <c r="AC15" s="2999"/>
      <c r="AD15" s="2999"/>
      <c r="AE15" s="2999"/>
      <c r="AF15" s="2999"/>
      <c r="AG15" s="2998"/>
      <c r="AH15" s="2998"/>
      <c r="AI15" s="2998"/>
      <c r="AJ15" s="2998"/>
      <c r="AK15" s="2998"/>
      <c r="AL15" s="2998"/>
      <c r="AM15" s="2998"/>
      <c r="AN15" s="2998"/>
      <c r="AO15" s="2998"/>
      <c r="AP15" s="2998"/>
      <c r="AQ15" s="2998"/>
      <c r="AR15" s="2998"/>
      <c r="AS15" s="2998"/>
      <c r="AT15" s="2998"/>
      <c r="AU15" s="2998"/>
    </row>
    <row r="16" spans="1:47" x14ac:dyDescent="0.25">
      <c r="A16" s="2946" t="s">
        <v>5057</v>
      </c>
      <c r="B16" s="2999">
        <v>43278.306960000002</v>
      </c>
      <c r="C16" s="2999">
        <v>35055.585639999998</v>
      </c>
      <c r="D16" s="2999">
        <v>31857.170119999999</v>
      </c>
      <c r="E16" s="2999">
        <v>34233.374880000003</v>
      </c>
      <c r="F16" s="2999">
        <v>41390.055399999997</v>
      </c>
      <c r="G16" s="2999">
        <v>26490.426879999999</v>
      </c>
      <c r="H16" s="2999">
        <v>25372.70536</v>
      </c>
      <c r="I16" s="2999">
        <v>18601.212</v>
      </c>
      <c r="J16" s="2999">
        <v>14686.686</v>
      </c>
      <c r="K16" s="2999">
        <v>12149.466760000001</v>
      </c>
      <c r="L16" s="2999">
        <v>11941.24164</v>
      </c>
      <c r="M16" s="2999">
        <v>11972.66044</v>
      </c>
      <c r="N16" s="2999">
        <v>9702.2543099999984</v>
      </c>
      <c r="O16" s="2999">
        <v>17446.86175</v>
      </c>
      <c r="P16" s="2999">
        <v>14630.89</v>
      </c>
      <c r="Q16" s="2999">
        <v>17650.384599999998</v>
      </c>
      <c r="R16" s="2999">
        <v>22501.2683</v>
      </c>
      <c r="S16" s="2999">
        <v>25169.807679999998</v>
      </c>
      <c r="T16" s="2999">
        <v>26664.672320000001</v>
      </c>
      <c r="U16" s="2999">
        <v>21868.99712</v>
      </c>
      <c r="V16" s="2999">
        <v>23074.019200000002</v>
      </c>
      <c r="W16" s="2999">
        <v>26303.278399999999</v>
      </c>
      <c r="X16" s="2999">
        <v>17987.7942</v>
      </c>
      <c r="Y16" s="2999">
        <v>18329.804400000001</v>
      </c>
      <c r="Z16" s="2999">
        <v>10563.2197</v>
      </c>
      <c r="AA16" s="2999">
        <v>11495.147200000001</v>
      </c>
      <c r="AB16" s="2999">
        <v>9365.9580800000003</v>
      </c>
      <c r="AC16" s="2999">
        <v>4720.2335999999996</v>
      </c>
      <c r="AD16" s="2999">
        <v>4274.60736</v>
      </c>
      <c r="AE16" s="2999">
        <v>4266.3737599999995</v>
      </c>
      <c r="AF16" s="2999">
        <v>454.87650000000002</v>
      </c>
      <c r="AG16" s="2998">
        <v>875.80349999999999</v>
      </c>
      <c r="AH16" s="2998">
        <v>1194.52125</v>
      </c>
      <c r="AI16" s="2998">
        <v>1505.2049999999999</v>
      </c>
      <c r="AJ16" s="2998">
        <v>1808.3129999999999</v>
      </c>
      <c r="AK16" s="2998">
        <v>2102.0219999999999</v>
      </c>
      <c r="AL16" s="2998">
        <v>2387.7359999999999</v>
      </c>
      <c r="AM16" s="2998">
        <v>2676.4237499999999</v>
      </c>
      <c r="AN16" s="2998">
        <v>2950.6034999999997</v>
      </c>
      <c r="AO16" s="2998">
        <v>3222.8820000000001</v>
      </c>
      <c r="AP16" s="2998">
        <v>3487.3507500000001</v>
      </c>
      <c r="AQ16" s="2998">
        <v>3438.5520000000001</v>
      </c>
      <c r="AR16" s="2998">
        <v>3390.6892499999999</v>
      </c>
      <c r="AS16" s="2998">
        <v>3343.9185000000002</v>
      </c>
      <c r="AT16" s="2998">
        <v>3298.1910000000003</v>
      </c>
      <c r="AU16" s="2998">
        <v>3253.4872499999997</v>
      </c>
    </row>
    <row r="17" spans="1:47" x14ac:dyDescent="0.25">
      <c r="A17" s="2946" t="s">
        <v>1842</v>
      </c>
      <c r="B17" s="2999">
        <v>0</v>
      </c>
      <c r="C17" s="2999">
        <v>0</v>
      </c>
      <c r="D17" s="2999">
        <v>0</v>
      </c>
      <c r="E17" s="2999">
        <v>0</v>
      </c>
      <c r="F17" s="2999">
        <v>0</v>
      </c>
      <c r="G17" s="2999">
        <v>0</v>
      </c>
      <c r="H17" s="2999">
        <v>0</v>
      </c>
      <c r="I17" s="2999">
        <v>0</v>
      </c>
      <c r="J17" s="2999">
        <v>0</v>
      </c>
      <c r="K17" s="2999">
        <v>0</v>
      </c>
      <c r="L17" s="2999">
        <v>0</v>
      </c>
      <c r="M17" s="2999">
        <v>0</v>
      </c>
      <c r="N17" s="2999">
        <v>0</v>
      </c>
      <c r="O17" s="2999">
        <v>0</v>
      </c>
      <c r="P17" s="2999">
        <v>0</v>
      </c>
      <c r="Q17" s="2999">
        <v>0</v>
      </c>
      <c r="R17" s="2999">
        <v>0</v>
      </c>
      <c r="S17" s="2999">
        <v>0</v>
      </c>
      <c r="T17" s="2999">
        <v>0</v>
      </c>
      <c r="U17" s="2999">
        <v>0</v>
      </c>
      <c r="V17" s="2999">
        <v>0</v>
      </c>
      <c r="W17" s="2999">
        <v>0</v>
      </c>
      <c r="X17" s="2999">
        <v>0</v>
      </c>
      <c r="Y17" s="2999">
        <v>0</v>
      </c>
      <c r="Z17" s="2999">
        <v>0</v>
      </c>
      <c r="AA17" s="2999">
        <v>0</v>
      </c>
      <c r="AB17" s="2999">
        <v>0</v>
      </c>
      <c r="AC17" s="2999">
        <v>0</v>
      </c>
      <c r="AD17" s="2999">
        <v>0</v>
      </c>
      <c r="AE17" s="2999">
        <v>0</v>
      </c>
      <c r="AF17" s="2999">
        <v>0</v>
      </c>
      <c r="AG17" s="2998">
        <v>0</v>
      </c>
      <c r="AH17" s="2998">
        <v>0</v>
      </c>
      <c r="AI17" s="2998">
        <v>0</v>
      </c>
      <c r="AJ17" s="2998">
        <v>0</v>
      </c>
      <c r="AK17" s="2998">
        <v>0</v>
      </c>
      <c r="AL17" s="2998">
        <v>0</v>
      </c>
      <c r="AM17" s="2998">
        <v>0</v>
      </c>
      <c r="AN17" s="2998">
        <v>0</v>
      </c>
      <c r="AO17" s="2998">
        <v>0</v>
      </c>
      <c r="AP17" s="2998">
        <v>0</v>
      </c>
      <c r="AQ17" s="2998">
        <v>0</v>
      </c>
      <c r="AR17" s="2998">
        <v>0</v>
      </c>
      <c r="AS17" s="2998">
        <v>0</v>
      </c>
      <c r="AT17" s="2998">
        <v>0</v>
      </c>
      <c r="AU17" s="2998">
        <v>0</v>
      </c>
    </row>
    <row r="18" spans="1:47" x14ac:dyDescent="0.25">
      <c r="A18" s="2946" t="s">
        <v>5056</v>
      </c>
      <c r="B18" s="2999">
        <v>0</v>
      </c>
      <c r="C18" s="2999">
        <v>0</v>
      </c>
      <c r="D18" s="2999">
        <v>0</v>
      </c>
      <c r="E18" s="2999">
        <v>0</v>
      </c>
      <c r="F18" s="2999">
        <v>0</v>
      </c>
      <c r="G18" s="2999">
        <v>0</v>
      </c>
      <c r="H18" s="2999">
        <v>0</v>
      </c>
      <c r="I18" s="2999">
        <v>0</v>
      </c>
      <c r="J18" s="2999">
        <v>0</v>
      </c>
      <c r="K18" s="2999">
        <v>0</v>
      </c>
      <c r="L18" s="2999">
        <v>0</v>
      </c>
      <c r="M18" s="2999">
        <v>0</v>
      </c>
      <c r="N18" s="2999">
        <v>0</v>
      </c>
      <c r="O18" s="2999">
        <v>0</v>
      </c>
      <c r="P18" s="2999">
        <v>0</v>
      </c>
      <c r="Q18" s="2999">
        <v>0</v>
      </c>
      <c r="R18" s="2999">
        <v>0</v>
      </c>
      <c r="S18" s="2999">
        <v>0</v>
      </c>
      <c r="T18" s="2999">
        <v>0</v>
      </c>
      <c r="U18" s="2999">
        <v>0</v>
      </c>
      <c r="V18" s="2999">
        <v>0</v>
      </c>
      <c r="W18" s="2999">
        <v>0</v>
      </c>
      <c r="X18" s="2999">
        <v>0</v>
      </c>
      <c r="Y18" s="2999">
        <v>0</v>
      </c>
      <c r="Z18" s="2999">
        <v>0</v>
      </c>
      <c r="AA18" s="2999">
        <v>0</v>
      </c>
      <c r="AB18" s="2999">
        <v>0</v>
      </c>
      <c r="AC18" s="2999">
        <v>0</v>
      </c>
      <c r="AD18" s="2999">
        <v>0</v>
      </c>
      <c r="AE18" s="2999">
        <v>0</v>
      </c>
      <c r="AF18" s="2999">
        <v>0</v>
      </c>
      <c r="AG18" s="2998">
        <v>0</v>
      </c>
      <c r="AH18" s="2998">
        <v>0</v>
      </c>
      <c r="AI18" s="2998">
        <v>0</v>
      </c>
      <c r="AJ18" s="2998">
        <v>0</v>
      </c>
      <c r="AK18" s="2998">
        <v>0</v>
      </c>
      <c r="AL18" s="2998">
        <v>0</v>
      </c>
      <c r="AM18" s="2998">
        <v>0</v>
      </c>
      <c r="AN18" s="2998">
        <v>0</v>
      </c>
      <c r="AO18" s="2998">
        <v>0</v>
      </c>
      <c r="AP18" s="2998">
        <v>0</v>
      </c>
      <c r="AQ18" s="2998">
        <v>0</v>
      </c>
      <c r="AR18" s="2998">
        <v>0</v>
      </c>
      <c r="AS18" s="2998">
        <v>0</v>
      </c>
      <c r="AT18" s="2998">
        <v>0</v>
      </c>
      <c r="AU18" s="2998">
        <v>0</v>
      </c>
    </row>
    <row r="19" spans="1:47" x14ac:dyDescent="0.25">
      <c r="A19" s="2946" t="s">
        <v>5055</v>
      </c>
      <c r="B19" s="2999">
        <v>0</v>
      </c>
      <c r="C19" s="2999">
        <v>0</v>
      </c>
      <c r="D19" s="2999">
        <v>0</v>
      </c>
      <c r="E19" s="2999">
        <v>0</v>
      </c>
      <c r="F19" s="2999">
        <v>0</v>
      </c>
      <c r="G19" s="2999">
        <v>0</v>
      </c>
      <c r="H19" s="2999">
        <v>0</v>
      </c>
      <c r="I19" s="2999">
        <v>0</v>
      </c>
      <c r="J19" s="2999">
        <v>0</v>
      </c>
      <c r="K19" s="2999">
        <v>0</v>
      </c>
      <c r="L19" s="2999">
        <v>0</v>
      </c>
      <c r="M19" s="2999">
        <v>0</v>
      </c>
      <c r="N19" s="2999">
        <v>0</v>
      </c>
      <c r="O19" s="2999">
        <v>0</v>
      </c>
      <c r="P19" s="2999">
        <v>0</v>
      </c>
      <c r="Q19" s="2999">
        <v>0</v>
      </c>
      <c r="R19" s="2999">
        <v>0</v>
      </c>
      <c r="S19" s="2999">
        <v>0</v>
      </c>
      <c r="T19" s="2999">
        <v>0</v>
      </c>
      <c r="U19" s="2999">
        <v>0</v>
      </c>
      <c r="V19" s="2999">
        <v>0</v>
      </c>
      <c r="W19" s="2999">
        <v>0</v>
      </c>
      <c r="X19" s="2999">
        <v>0</v>
      </c>
      <c r="Y19" s="2999">
        <v>0</v>
      </c>
      <c r="Z19" s="2999">
        <v>0</v>
      </c>
      <c r="AA19" s="2999">
        <v>0</v>
      </c>
      <c r="AB19" s="2999">
        <v>0</v>
      </c>
      <c r="AC19" s="2999">
        <v>0</v>
      </c>
      <c r="AD19" s="2999">
        <v>0</v>
      </c>
      <c r="AE19" s="2999">
        <v>0</v>
      </c>
      <c r="AF19" s="2999">
        <v>0</v>
      </c>
      <c r="AG19" s="2998">
        <v>0</v>
      </c>
      <c r="AH19" s="2998">
        <v>0</v>
      </c>
      <c r="AI19" s="2998">
        <v>0</v>
      </c>
      <c r="AJ19" s="2998">
        <v>0</v>
      </c>
      <c r="AK19" s="2998">
        <v>0</v>
      </c>
      <c r="AL19" s="2998">
        <v>0</v>
      </c>
      <c r="AM19" s="2998">
        <v>0</v>
      </c>
      <c r="AN19" s="2998">
        <v>0</v>
      </c>
      <c r="AO19" s="2998">
        <v>0</v>
      </c>
      <c r="AP19" s="2998">
        <v>0</v>
      </c>
      <c r="AQ19" s="2998">
        <v>0</v>
      </c>
      <c r="AR19" s="2998">
        <v>0</v>
      </c>
      <c r="AS19" s="2998">
        <v>0</v>
      </c>
      <c r="AT19" s="2998">
        <v>0</v>
      </c>
      <c r="AU19" s="2998">
        <v>0</v>
      </c>
    </row>
    <row r="20" spans="1:47" x14ac:dyDescent="0.25">
      <c r="A20" s="2955" t="s">
        <v>4386</v>
      </c>
      <c r="B20" s="2997">
        <f t="shared" ref="B20:AU20" si="0">SUM(B8:B19)</f>
        <v>27766294.855539396</v>
      </c>
      <c r="C20" s="2997">
        <f t="shared" si="0"/>
        <v>28268686.920869369</v>
      </c>
      <c r="D20" s="2997">
        <f t="shared" si="0"/>
        <v>28961802.811191659</v>
      </c>
      <c r="E20" s="2997">
        <f t="shared" si="0"/>
        <v>30105431.787776202</v>
      </c>
      <c r="F20" s="2997">
        <f t="shared" si="0"/>
        <v>29713110.447668776</v>
      </c>
      <c r="G20" s="2997">
        <f t="shared" si="0"/>
        <v>29750015.629416991</v>
      </c>
      <c r="H20" s="2997">
        <f t="shared" si="0"/>
        <v>29792781.000048582</v>
      </c>
      <c r="I20" s="2997">
        <f t="shared" si="0"/>
        <v>29896580.366478182</v>
      </c>
      <c r="J20" s="2997">
        <f t="shared" si="0"/>
        <v>30955171.273529097</v>
      </c>
      <c r="K20" s="2997">
        <f t="shared" si="0"/>
        <v>30350525.266900327</v>
      </c>
      <c r="L20" s="2997">
        <f t="shared" si="0"/>
        <v>31035606.164452314</v>
      </c>
      <c r="M20" s="2997">
        <f t="shared" si="0"/>
        <v>32152744.322555441</v>
      </c>
      <c r="N20" s="2997">
        <f t="shared" si="0"/>
        <v>33558340.037309296</v>
      </c>
      <c r="O20" s="2997">
        <f t="shared" si="0"/>
        <v>33912510.41500812</v>
      </c>
      <c r="P20" s="2997">
        <f t="shared" si="0"/>
        <v>34169453.503034316</v>
      </c>
      <c r="Q20" s="2997">
        <f t="shared" si="0"/>
        <v>34410309.82373438</v>
      </c>
      <c r="R20" s="2997">
        <f t="shared" si="0"/>
        <v>33947661.320670709</v>
      </c>
      <c r="S20" s="2997">
        <f t="shared" si="0"/>
        <v>35331261.939901099</v>
      </c>
      <c r="T20" s="2997">
        <f t="shared" si="0"/>
        <v>34709792.833758898</v>
      </c>
      <c r="U20" s="2997">
        <f t="shared" si="0"/>
        <v>36344363.265142597</v>
      </c>
      <c r="V20" s="2997">
        <f t="shared" si="0"/>
        <v>37141046.882225089</v>
      </c>
      <c r="W20" s="2997">
        <f t="shared" si="0"/>
        <v>37635579.983521029</v>
      </c>
      <c r="X20" s="2997">
        <f t="shared" si="0"/>
        <v>39830266.955181889</v>
      </c>
      <c r="Y20" s="2997">
        <f t="shared" si="0"/>
        <v>38811497.269984029</v>
      </c>
      <c r="Z20" s="2997">
        <f t="shared" si="0"/>
        <v>39689383.108859867</v>
      </c>
      <c r="AA20" s="2997">
        <f t="shared" si="0"/>
        <v>39708625.536824167</v>
      </c>
      <c r="AB20" s="2997">
        <f t="shared" si="0"/>
        <v>39531774.518248156</v>
      </c>
      <c r="AC20" s="2997">
        <f t="shared" si="0"/>
        <v>39777613.374149427</v>
      </c>
      <c r="AD20" s="2997">
        <f t="shared" si="0"/>
        <v>40465521.575706549</v>
      </c>
      <c r="AE20" s="2997">
        <f t="shared" si="0"/>
        <v>39203324.860402219</v>
      </c>
      <c r="AF20" s="2997">
        <f t="shared" si="0"/>
        <v>40385625.740235016</v>
      </c>
      <c r="AG20" s="2996">
        <f t="shared" si="0"/>
        <v>40926743.95592282</v>
      </c>
      <c r="AH20" s="2996">
        <f t="shared" si="0"/>
        <v>40818107.622929543</v>
      </c>
      <c r="AI20" s="2996">
        <f t="shared" si="0"/>
        <v>40402975.395005174</v>
      </c>
      <c r="AJ20" s="2996">
        <f t="shared" si="0"/>
        <v>40431768.30840902</v>
      </c>
      <c r="AK20" s="2996">
        <f t="shared" si="0"/>
        <v>40289225.302364655</v>
      </c>
      <c r="AL20" s="2996">
        <f t="shared" si="0"/>
        <v>40136707.704465561</v>
      </c>
      <c r="AM20" s="2996">
        <f t="shared" si="0"/>
        <v>40286040.482355975</v>
      </c>
      <c r="AN20" s="2996">
        <f t="shared" si="0"/>
        <v>40161581.719096333</v>
      </c>
      <c r="AO20" s="2996">
        <f t="shared" si="0"/>
        <v>40270251.198000595</v>
      </c>
      <c r="AP20" s="2996">
        <f t="shared" si="0"/>
        <v>40193891.319139928</v>
      </c>
      <c r="AQ20" s="2996">
        <f t="shared" si="0"/>
        <v>39558026.495029241</v>
      </c>
      <c r="AR20" s="2996">
        <f t="shared" si="0"/>
        <v>39219472.811150745</v>
      </c>
      <c r="AS20" s="2996">
        <f t="shared" si="0"/>
        <v>38384550.750708602</v>
      </c>
      <c r="AT20" s="2996">
        <f t="shared" si="0"/>
        <v>38038144.79457137</v>
      </c>
      <c r="AU20" s="2996">
        <f t="shared" si="0"/>
        <v>37518050.78008844</v>
      </c>
    </row>
    <row r="21" spans="1:47" x14ac:dyDescent="0.25">
      <c r="B21" s="2998"/>
      <c r="C21" s="2998"/>
      <c r="D21" s="2998"/>
      <c r="E21" s="2998"/>
      <c r="F21" s="2998"/>
      <c r="G21" s="2998"/>
      <c r="H21" s="2998"/>
      <c r="I21" s="2998"/>
      <c r="J21" s="2998"/>
      <c r="K21" s="2998"/>
      <c r="L21" s="2998"/>
      <c r="M21" s="2998"/>
      <c r="N21" s="2998"/>
      <c r="O21" s="2998"/>
      <c r="P21" s="2998"/>
      <c r="Q21" s="2998"/>
      <c r="R21" s="2998"/>
      <c r="S21" s="2998"/>
      <c r="T21" s="2998"/>
      <c r="U21" s="2998"/>
      <c r="V21" s="2998"/>
      <c r="W21" s="2998"/>
      <c r="X21" s="2998"/>
      <c r="Y21" s="2998"/>
      <c r="Z21" s="2998"/>
      <c r="AA21" s="2998"/>
      <c r="AB21" s="2998"/>
      <c r="AC21" s="2998"/>
      <c r="AD21" s="2998"/>
      <c r="AE21" s="2998"/>
      <c r="AF21" s="2998"/>
    </row>
    <row r="22" spans="1:47" x14ac:dyDescent="0.25">
      <c r="A22" s="2963" t="s">
        <v>5060</v>
      </c>
    </row>
    <row r="23" spans="1:47" s="2963" customFormat="1" x14ac:dyDescent="0.25">
      <c r="A23" s="2968" t="s">
        <v>5059</v>
      </c>
      <c r="B23" s="2969">
        <v>1990</v>
      </c>
      <c r="C23" s="2969">
        <v>1991</v>
      </c>
      <c r="D23" s="2969">
        <v>1992</v>
      </c>
      <c r="E23" s="2969">
        <v>1993</v>
      </c>
      <c r="F23" s="2969">
        <v>1994</v>
      </c>
      <c r="G23" s="2969">
        <v>1995</v>
      </c>
      <c r="H23" s="2969">
        <v>1996</v>
      </c>
      <c r="I23" s="2969">
        <v>1997</v>
      </c>
      <c r="J23" s="2969">
        <v>1998</v>
      </c>
      <c r="K23" s="2969">
        <v>1999</v>
      </c>
      <c r="L23" s="2969">
        <v>2000</v>
      </c>
      <c r="M23" s="2969">
        <v>2001</v>
      </c>
      <c r="N23" s="2969">
        <v>2002</v>
      </c>
      <c r="O23" s="2969">
        <v>2003</v>
      </c>
      <c r="P23" s="2969">
        <v>2004</v>
      </c>
      <c r="Q23" s="2969">
        <v>2005</v>
      </c>
      <c r="R23" s="2969">
        <v>2006</v>
      </c>
      <c r="S23" s="2969">
        <v>2007</v>
      </c>
      <c r="T23" s="2969">
        <v>2008</v>
      </c>
      <c r="U23" s="2969">
        <v>2009</v>
      </c>
      <c r="V23" s="2969">
        <v>2010</v>
      </c>
      <c r="W23" s="2969">
        <v>2011</v>
      </c>
      <c r="X23" s="2969">
        <v>2012</v>
      </c>
      <c r="Y23" s="2969">
        <v>2013</v>
      </c>
      <c r="Z23" s="2969">
        <v>2014</v>
      </c>
      <c r="AA23" s="2969">
        <v>2015</v>
      </c>
      <c r="AB23" s="2969">
        <v>2016</v>
      </c>
      <c r="AC23" s="2969">
        <v>2017</v>
      </c>
      <c r="AD23" s="2969">
        <v>2018</v>
      </c>
      <c r="AE23" s="2969">
        <v>2019</v>
      </c>
      <c r="AF23" s="2969">
        <v>2020</v>
      </c>
      <c r="AG23" s="2968">
        <v>2021</v>
      </c>
      <c r="AH23" s="2968">
        <v>2022</v>
      </c>
      <c r="AI23" s="2968">
        <v>2023</v>
      </c>
      <c r="AJ23" s="2968">
        <v>2024</v>
      </c>
      <c r="AK23" s="2968">
        <v>2025</v>
      </c>
      <c r="AL23" s="2968">
        <v>2026</v>
      </c>
      <c r="AM23" s="2968">
        <v>2027</v>
      </c>
      <c r="AN23" s="2968">
        <v>2028</v>
      </c>
      <c r="AO23" s="2968">
        <v>2029</v>
      </c>
      <c r="AP23" s="2968">
        <v>2030</v>
      </c>
      <c r="AQ23" s="2968">
        <v>2031</v>
      </c>
      <c r="AR23" s="2968">
        <v>2032</v>
      </c>
      <c r="AS23" s="2968">
        <v>2033</v>
      </c>
      <c r="AT23" s="2968">
        <v>2034</v>
      </c>
      <c r="AU23" s="2968">
        <v>2035</v>
      </c>
    </row>
    <row r="24" spans="1:47" x14ac:dyDescent="0.25">
      <c r="A24" s="2946" t="s">
        <v>4394</v>
      </c>
      <c r="B24" s="2999">
        <v>2964267.3639380001</v>
      </c>
      <c r="C24" s="2999">
        <v>2888843.8374720002</v>
      </c>
      <c r="D24" s="2999">
        <v>2751142.991496</v>
      </c>
      <c r="E24" s="2999">
        <v>2737532.590514</v>
      </c>
      <c r="F24" s="2999">
        <v>2653101.6562339999</v>
      </c>
      <c r="G24" s="2999">
        <v>2635338.5355469999</v>
      </c>
      <c r="H24" s="2999">
        <v>2606262.8683934999</v>
      </c>
      <c r="I24" s="2999">
        <v>2648493.1978279995</v>
      </c>
      <c r="J24" s="2999">
        <v>2798673.262044</v>
      </c>
      <c r="K24" s="2999">
        <v>2677457.6673000003</v>
      </c>
      <c r="L24" s="2999">
        <v>1959270.38735</v>
      </c>
      <c r="M24" s="2999">
        <v>1732414.2139679994</v>
      </c>
      <c r="N24" s="2999">
        <v>1554457.68863</v>
      </c>
      <c r="O24" s="2999">
        <v>1280836.5049932876</v>
      </c>
      <c r="P24" s="2999">
        <v>1098245.1363193425</v>
      </c>
      <c r="Q24" s="2999">
        <v>1110074.6356379178</v>
      </c>
      <c r="R24" s="2999">
        <v>1058241.2487942465</v>
      </c>
      <c r="S24" s="2999">
        <v>1012869.4979449863</v>
      </c>
      <c r="T24" s="2999">
        <v>927918.50417731504</v>
      </c>
      <c r="U24" s="2999">
        <v>854020.15563830128</v>
      </c>
      <c r="V24" s="2999">
        <v>865521.6582758904</v>
      </c>
      <c r="W24" s="2999">
        <v>739733.37835410947</v>
      </c>
      <c r="X24" s="2999">
        <v>754993.93712331506</v>
      </c>
      <c r="Y24" s="2999">
        <v>771300.86947695888</v>
      </c>
      <c r="Z24" s="2999">
        <v>750667.52170827391</v>
      </c>
      <c r="AA24" s="2999">
        <v>768458.55127106851</v>
      </c>
      <c r="AB24" s="2999">
        <v>820385.31003810966</v>
      </c>
      <c r="AC24" s="2999">
        <v>848528.98275123292</v>
      </c>
      <c r="AD24" s="2999">
        <v>843147.60597106861</v>
      </c>
      <c r="AE24" s="2999">
        <v>854810.34690643824</v>
      </c>
      <c r="AF24" s="2999">
        <v>902013.43051726033</v>
      </c>
      <c r="AG24" s="2998">
        <v>885820.86414690432</v>
      </c>
      <c r="AH24" s="2998">
        <v>885248.64722786297</v>
      </c>
      <c r="AI24" s="2998">
        <v>879012.1276616985</v>
      </c>
      <c r="AJ24" s="2998">
        <v>872313.65741493145</v>
      </c>
      <c r="AK24" s="2998">
        <v>863886.212574</v>
      </c>
      <c r="AL24" s="2998">
        <v>855912.78135008202</v>
      </c>
      <c r="AM24" s="2998">
        <v>851815.24158093159</v>
      </c>
      <c r="AN24" s="2998">
        <v>844992.81598791771</v>
      </c>
      <c r="AO24" s="2998">
        <v>839697.35183945217</v>
      </c>
      <c r="AP24" s="2998">
        <v>833904.40956386295</v>
      </c>
      <c r="AQ24" s="2998">
        <v>835986.71525178081</v>
      </c>
      <c r="AR24" s="2998">
        <v>834203.8764707396</v>
      </c>
      <c r="AS24" s="2998">
        <v>832116.23082693154</v>
      </c>
      <c r="AT24" s="2998">
        <v>830535.20379901351</v>
      </c>
      <c r="AU24" s="2998">
        <v>828632.82460468472</v>
      </c>
    </row>
    <row r="25" spans="1:47" x14ac:dyDescent="0.25">
      <c r="A25" s="2946" t="s">
        <v>5058</v>
      </c>
      <c r="B25" s="2999">
        <v>3374531.6213152055</v>
      </c>
      <c r="C25" s="2999">
        <v>3588834.5849080272</v>
      </c>
      <c r="D25" s="2999">
        <v>3790262.8948279293</v>
      </c>
      <c r="E25" s="2999">
        <v>3879087.1870268388</v>
      </c>
      <c r="F25" s="2999">
        <v>3751545.672447403</v>
      </c>
      <c r="G25" s="2999">
        <v>3846292.3375428487</v>
      </c>
      <c r="H25" s="2999">
        <v>3914571.6446804386</v>
      </c>
      <c r="I25" s="2999">
        <v>3845450.278780356</v>
      </c>
      <c r="J25" s="2999">
        <v>3707220.6518273973</v>
      </c>
      <c r="K25" s="2999">
        <v>3607416.3132552602</v>
      </c>
      <c r="L25" s="2999">
        <v>3611847.4042921369</v>
      </c>
      <c r="M25" s="2999">
        <v>3760620.8553907666</v>
      </c>
      <c r="N25" s="2999">
        <v>3457752.8187681367</v>
      </c>
      <c r="O25" s="2999">
        <v>3184262.628846575</v>
      </c>
      <c r="P25" s="2999">
        <v>2913287.9912029309</v>
      </c>
      <c r="Q25" s="2999">
        <v>2637630.3205309864</v>
      </c>
      <c r="R25" s="2999">
        <v>2555517.2019118634</v>
      </c>
      <c r="S25" s="2999">
        <v>2800656.4454093152</v>
      </c>
      <c r="T25" s="2999">
        <v>2633767.1569931507</v>
      </c>
      <c r="U25" s="2999">
        <v>2456754.9663570412</v>
      </c>
      <c r="V25" s="2999">
        <v>2391097.3333535064</v>
      </c>
      <c r="W25" s="2999">
        <v>2494614.4294991507</v>
      </c>
      <c r="X25" s="2999">
        <v>2426228.2135335887</v>
      </c>
      <c r="Y25" s="2999">
        <v>2466414.0411397805</v>
      </c>
      <c r="Z25" s="2999">
        <v>2454252.7663843562</v>
      </c>
      <c r="AA25" s="2999">
        <v>2344866.518480822</v>
      </c>
      <c r="AB25" s="2999">
        <v>2349515.9532068768</v>
      </c>
      <c r="AC25" s="2999">
        <v>2261590.685722712</v>
      </c>
      <c r="AD25" s="2999">
        <v>2233860.9946999177</v>
      </c>
      <c r="AE25" s="2999">
        <v>2150992.7161799725</v>
      </c>
      <c r="AF25" s="2999">
        <v>2158017.4890811509</v>
      </c>
      <c r="AG25" s="2998">
        <v>2111208.4955733973</v>
      </c>
      <c r="AH25" s="2998">
        <v>2113595.9016643832</v>
      </c>
      <c r="AI25" s="2998">
        <v>2102565.4685746846</v>
      </c>
      <c r="AJ25" s="2998">
        <v>2090067.8747683833</v>
      </c>
      <c r="AK25" s="2998">
        <v>2078119.8039549314</v>
      </c>
      <c r="AL25" s="2998">
        <v>2064704.602677041</v>
      </c>
      <c r="AM25" s="2998">
        <v>2050195.7078221096</v>
      </c>
      <c r="AN25" s="2998">
        <v>2035862.8607431781</v>
      </c>
      <c r="AO25" s="2998">
        <v>2021033.8900044381</v>
      </c>
      <c r="AP25" s="2998">
        <v>2006082.2132751506</v>
      </c>
      <c r="AQ25" s="2998">
        <v>1993684.4087373973</v>
      </c>
      <c r="AR25" s="2998">
        <v>1983551.9061116711</v>
      </c>
      <c r="AS25" s="2998">
        <v>1973364.9796247943</v>
      </c>
      <c r="AT25" s="2998">
        <v>1963126.6364341369</v>
      </c>
      <c r="AU25" s="2998">
        <v>1952839.7082488218</v>
      </c>
    </row>
    <row r="26" spans="1:47" x14ac:dyDescent="0.25">
      <c r="A26" s="3000" t="s">
        <v>907</v>
      </c>
      <c r="B26" s="2999"/>
      <c r="C26" s="2999"/>
      <c r="D26" s="2999"/>
      <c r="E26" s="2999"/>
      <c r="F26" s="2999"/>
      <c r="G26" s="2999"/>
      <c r="H26" s="2999"/>
      <c r="I26" s="2999"/>
      <c r="J26" s="2999"/>
      <c r="K26" s="2999"/>
      <c r="L26" s="2999"/>
      <c r="M26" s="2999"/>
      <c r="N26" s="2999"/>
      <c r="O26" s="2999"/>
      <c r="P26" s="2999"/>
      <c r="Q26" s="2999"/>
      <c r="R26" s="2999"/>
      <c r="S26" s="2999"/>
      <c r="T26" s="2999"/>
      <c r="U26" s="2999"/>
      <c r="V26" s="2999"/>
      <c r="W26" s="2999"/>
      <c r="X26" s="2999"/>
      <c r="Y26" s="2999"/>
      <c r="Z26" s="2999"/>
      <c r="AA26" s="2999"/>
      <c r="AB26" s="2999"/>
      <c r="AC26" s="2999"/>
      <c r="AD26" s="2999"/>
      <c r="AE26" s="2999"/>
      <c r="AF26" s="2999"/>
      <c r="AG26" s="2998"/>
      <c r="AH26" s="2998"/>
      <c r="AI26" s="2998"/>
      <c r="AJ26" s="2998"/>
      <c r="AK26" s="2998"/>
      <c r="AL26" s="2998"/>
      <c r="AM26" s="2998"/>
      <c r="AN26" s="2998"/>
      <c r="AO26" s="2998"/>
      <c r="AP26" s="2998"/>
      <c r="AQ26" s="2998"/>
      <c r="AR26" s="2998"/>
      <c r="AS26" s="2998"/>
      <c r="AT26" s="2998"/>
      <c r="AU26" s="2998"/>
    </row>
    <row r="27" spans="1:47" x14ac:dyDescent="0.25">
      <c r="A27" s="2946" t="s">
        <v>947</v>
      </c>
      <c r="B27" s="2999">
        <v>323748.69130000001</v>
      </c>
      <c r="C27" s="2999">
        <v>329088.12220000004</v>
      </c>
      <c r="D27" s="2999">
        <v>367956.73400000005</v>
      </c>
      <c r="E27" s="2999">
        <v>393898.32519999996</v>
      </c>
      <c r="F27" s="2999">
        <v>385081.63800000004</v>
      </c>
      <c r="G27" s="2999">
        <v>417965.89600000007</v>
      </c>
      <c r="H27" s="2999">
        <v>435344.04220000003</v>
      </c>
      <c r="I27" s="2999">
        <v>480960.35840000003</v>
      </c>
      <c r="J27" s="2999">
        <v>515082.48670000001</v>
      </c>
      <c r="K27" s="2999">
        <v>520813.51010000007</v>
      </c>
      <c r="L27" s="2999">
        <v>561411.58510000003</v>
      </c>
      <c r="M27" s="2999">
        <v>582045.73120000004</v>
      </c>
      <c r="N27" s="2999">
        <v>591668.68699999992</v>
      </c>
      <c r="O27" s="2999">
        <v>634158.73450000002</v>
      </c>
      <c r="P27" s="2999">
        <v>636244.95010000002</v>
      </c>
      <c r="Q27" s="2999">
        <v>510734.76539999992</v>
      </c>
      <c r="R27" s="2999">
        <v>377230.61170000001</v>
      </c>
      <c r="S27" s="2999">
        <v>245327.93980000002</v>
      </c>
      <c r="T27" s="2999">
        <v>197334.89400000003</v>
      </c>
      <c r="U27" s="2999">
        <v>182909.98180000001</v>
      </c>
      <c r="V27" s="2999">
        <v>142670.63040000002</v>
      </c>
      <c r="W27" s="2999">
        <v>115895.01110000002</v>
      </c>
      <c r="X27" s="2999">
        <v>113269.87150000001</v>
      </c>
      <c r="Y27" s="2999">
        <v>112443.0211</v>
      </c>
      <c r="Z27" s="2999">
        <v>104195.34740000003</v>
      </c>
      <c r="AA27" s="2999">
        <v>99734.912600000011</v>
      </c>
      <c r="AB27" s="2999">
        <v>95754.327699999994</v>
      </c>
      <c r="AC27" s="2999">
        <v>97822.873900000021</v>
      </c>
      <c r="AD27" s="2999">
        <v>110389.8242</v>
      </c>
      <c r="AE27" s="2999">
        <v>94887.357400000008</v>
      </c>
      <c r="AF27" s="2999">
        <v>98144.922760000001</v>
      </c>
      <c r="AG27" s="2998">
        <v>104601.51733000002</v>
      </c>
      <c r="AH27" s="2998">
        <v>106430.02814000001</v>
      </c>
      <c r="AI27" s="2998">
        <v>108389.55915</v>
      </c>
      <c r="AJ27" s="2998">
        <v>110037.13264000003</v>
      </c>
      <c r="AK27" s="2998">
        <v>111717.94997</v>
      </c>
      <c r="AL27" s="2998">
        <v>113198.21926000001</v>
      </c>
      <c r="AM27" s="2998">
        <v>114553.41716000001</v>
      </c>
      <c r="AN27" s="2998">
        <v>115521.75647000001</v>
      </c>
      <c r="AO27" s="2998">
        <v>116572.20940000001</v>
      </c>
      <c r="AP27" s="2998">
        <v>117488.51049000002</v>
      </c>
      <c r="AQ27" s="2998">
        <v>125157.17414999999</v>
      </c>
      <c r="AR27" s="2998">
        <v>132436.25038000001</v>
      </c>
      <c r="AS27" s="2998">
        <v>139331.27548000001</v>
      </c>
      <c r="AT27" s="2998">
        <v>145844.05199000001</v>
      </c>
      <c r="AU27" s="2998">
        <v>151976.9553</v>
      </c>
    </row>
    <row r="28" spans="1:47" x14ac:dyDescent="0.25">
      <c r="A28" s="2946" t="s">
        <v>339</v>
      </c>
      <c r="B28" s="2999">
        <v>93005.039520000006</v>
      </c>
      <c r="C28" s="2999">
        <v>88918.094159999993</v>
      </c>
      <c r="D28" s="2999">
        <v>85404.599369999996</v>
      </c>
      <c r="E28" s="2999">
        <v>90469.480993999998</v>
      </c>
      <c r="F28" s="2999">
        <v>87375.397583999991</v>
      </c>
      <c r="G28" s="2999">
        <v>83499.276966000005</v>
      </c>
      <c r="H28" s="2999">
        <v>80608.008596</v>
      </c>
      <c r="I28" s="2999">
        <v>80181.93089399999</v>
      </c>
      <c r="J28" s="2999">
        <v>83712.110558</v>
      </c>
      <c r="K28" s="2999">
        <v>79621.651295999996</v>
      </c>
      <c r="L28" s="2999">
        <v>78501.232128000003</v>
      </c>
      <c r="M28" s="2999">
        <v>82083.561845999997</v>
      </c>
      <c r="N28" s="2999">
        <v>85665.564996000001</v>
      </c>
      <c r="O28" s="2999">
        <v>86046.100998000009</v>
      </c>
      <c r="P28" s="2999">
        <v>89411.025198000003</v>
      </c>
      <c r="Q28" s="2999">
        <v>55532.979749999999</v>
      </c>
      <c r="R28" s="2999">
        <v>43612.100599999998</v>
      </c>
      <c r="S28" s="2999">
        <v>32229.996310000002</v>
      </c>
      <c r="T28" s="2999">
        <v>24928.464299999996</v>
      </c>
      <c r="U28" s="2999">
        <v>18538.337209999998</v>
      </c>
      <c r="V28" s="2999">
        <v>19276.032899999998</v>
      </c>
      <c r="W28" s="2999">
        <v>14676.423269999999</v>
      </c>
      <c r="X28" s="2999">
        <v>13015.461719999999</v>
      </c>
      <c r="Y28" s="2999">
        <v>13963.684159999999</v>
      </c>
      <c r="Z28" s="2999">
        <v>17441.76755</v>
      </c>
      <c r="AA28" s="2999">
        <v>13545.199779999999</v>
      </c>
      <c r="AB28" s="2999">
        <v>11980.09065</v>
      </c>
      <c r="AC28" s="2999">
        <v>10972.781860000001</v>
      </c>
      <c r="AD28" s="2999">
        <v>21242.15165</v>
      </c>
      <c r="AE28" s="2999">
        <v>19736.923050000001</v>
      </c>
      <c r="AF28" s="2999">
        <v>21450.528149999998</v>
      </c>
      <c r="AG28" s="2998">
        <v>21282.89313</v>
      </c>
      <c r="AH28" s="2998">
        <v>20862.219389999998</v>
      </c>
      <c r="AI28" s="2998">
        <v>20159.439020000002</v>
      </c>
      <c r="AJ28" s="2998">
        <v>19495.273450000001</v>
      </c>
      <c r="AK28" s="2998">
        <v>18836.451579999997</v>
      </c>
      <c r="AL28" s="2998">
        <v>18189.39818</v>
      </c>
      <c r="AM28" s="2998">
        <v>17538.25547</v>
      </c>
      <c r="AN28" s="2998">
        <v>16884.72856</v>
      </c>
      <c r="AO28" s="2998">
        <v>16225.795250000001</v>
      </c>
      <c r="AP28" s="2998">
        <v>15567.934540000002</v>
      </c>
      <c r="AQ28" s="2998">
        <v>15154.423290000001</v>
      </c>
      <c r="AR28" s="2998">
        <v>14974.88262</v>
      </c>
      <c r="AS28" s="2998">
        <v>14779.904790000001</v>
      </c>
      <c r="AT28" s="2998">
        <v>14575.96704</v>
      </c>
      <c r="AU28" s="2998">
        <v>14366.09525</v>
      </c>
    </row>
    <row r="29" spans="1:47" x14ac:dyDescent="0.25">
      <c r="A29" s="2946" t="s">
        <v>948</v>
      </c>
      <c r="B29" s="2999">
        <v>437261.0515</v>
      </c>
      <c r="C29" s="2999">
        <v>423388.35248</v>
      </c>
      <c r="D29" s="2999">
        <v>416236.13143000001</v>
      </c>
      <c r="E29" s="2999">
        <v>422513.76942000003</v>
      </c>
      <c r="F29" s="2999">
        <v>390934.84453999996</v>
      </c>
      <c r="G29" s="2999">
        <v>349813.88941</v>
      </c>
      <c r="H29" s="2999">
        <v>317589.76436999999</v>
      </c>
      <c r="I29" s="2999">
        <v>289569.93929000001</v>
      </c>
      <c r="J29" s="2999">
        <v>273841.82793000003</v>
      </c>
      <c r="K29" s="2999">
        <v>233969.71837000002</v>
      </c>
      <c r="L29" s="2999">
        <v>230619.47210000001</v>
      </c>
      <c r="M29" s="2999">
        <v>220982.68935</v>
      </c>
      <c r="N29" s="2999">
        <v>236174.24685000003</v>
      </c>
      <c r="O29" s="2999">
        <v>236474.57225</v>
      </c>
      <c r="P29" s="2999">
        <v>219113.38916000002</v>
      </c>
      <c r="Q29" s="2999">
        <v>225237.69721000001</v>
      </c>
      <c r="R29" s="2999">
        <v>249126.98497000002</v>
      </c>
      <c r="S29" s="2999">
        <v>264303.83535000001</v>
      </c>
      <c r="T29" s="2999">
        <v>189417.78911000001</v>
      </c>
      <c r="U29" s="2999">
        <v>127539.30379000001</v>
      </c>
      <c r="V29" s="2999">
        <v>131032.41318</v>
      </c>
      <c r="W29" s="2999">
        <v>102825.81971000001</v>
      </c>
      <c r="X29" s="2999">
        <v>81299.579200000007</v>
      </c>
      <c r="Y29" s="2999">
        <v>80800.963820000004</v>
      </c>
      <c r="Z29" s="2999">
        <v>70732.302129999996</v>
      </c>
      <c r="AA29" s="2999">
        <v>56392.359539999998</v>
      </c>
      <c r="AB29" s="2999">
        <v>50417.388230000004</v>
      </c>
      <c r="AC29" s="2999">
        <v>46928.686080000007</v>
      </c>
      <c r="AD29" s="2999">
        <v>47453.299140000003</v>
      </c>
      <c r="AE29" s="2999">
        <v>45441.559980000005</v>
      </c>
      <c r="AF29" s="2999">
        <v>47959.68763</v>
      </c>
      <c r="AG29" s="2998">
        <v>52486.207609999998</v>
      </c>
      <c r="AH29" s="2998">
        <v>49785.255189999996</v>
      </c>
      <c r="AI29" s="2998">
        <v>46385.261020000005</v>
      </c>
      <c r="AJ29" s="2998">
        <v>45010.89402</v>
      </c>
      <c r="AK29" s="2998">
        <v>43793.109080000002</v>
      </c>
      <c r="AL29" s="2998">
        <v>42512.7984</v>
      </c>
      <c r="AM29" s="2998">
        <v>41372.132800000007</v>
      </c>
      <c r="AN29" s="2998">
        <v>38962.637650000004</v>
      </c>
      <c r="AO29" s="2998">
        <v>37795.161800000002</v>
      </c>
      <c r="AP29" s="2998">
        <v>36610.42654</v>
      </c>
      <c r="AQ29" s="2998">
        <v>35638.75215</v>
      </c>
      <c r="AR29" s="2998">
        <v>35225.104310000002</v>
      </c>
      <c r="AS29" s="2998">
        <v>34040.167840000002</v>
      </c>
      <c r="AT29" s="2998">
        <v>33578.416410000005</v>
      </c>
      <c r="AU29" s="2998">
        <v>33102.656820000004</v>
      </c>
    </row>
    <row r="30" spans="1:47" x14ac:dyDescent="0.25">
      <c r="A30" s="2946" t="s">
        <v>625</v>
      </c>
      <c r="B30" s="2999">
        <v>169468.79019999999</v>
      </c>
      <c r="C30" s="2999">
        <v>153749.196</v>
      </c>
      <c r="D30" s="2999">
        <v>166601.59999999998</v>
      </c>
      <c r="E30" s="2999">
        <v>109639.11903999999</v>
      </c>
      <c r="F30" s="2999">
        <v>127720.24236999999</v>
      </c>
      <c r="G30" s="2999">
        <v>126461.5775</v>
      </c>
      <c r="H30" s="2999">
        <v>129213.01411999999</v>
      </c>
      <c r="I30" s="2999">
        <v>146298.29074999999</v>
      </c>
      <c r="J30" s="2999">
        <v>152309.11928000001</v>
      </c>
      <c r="K30" s="2999">
        <v>132855.95499999999</v>
      </c>
      <c r="L30" s="2999">
        <v>116041.1044</v>
      </c>
      <c r="M30" s="2999">
        <v>104753.03599999999</v>
      </c>
      <c r="N30" s="2999">
        <v>99011.821500000005</v>
      </c>
      <c r="O30" s="2999">
        <v>95246.263000000006</v>
      </c>
      <c r="P30" s="2999">
        <v>87172.112999999998</v>
      </c>
      <c r="Q30" s="2999">
        <v>68066.573199999999</v>
      </c>
      <c r="R30" s="2999">
        <v>48811.270400000001</v>
      </c>
      <c r="S30" s="2999">
        <v>26827.174800000001</v>
      </c>
      <c r="T30" s="2999">
        <v>14851.3377</v>
      </c>
      <c r="U30" s="2999">
        <v>7054.6</v>
      </c>
      <c r="V30" s="2999">
        <v>0</v>
      </c>
      <c r="W30" s="2999">
        <v>0</v>
      </c>
      <c r="X30" s="2999">
        <v>0</v>
      </c>
      <c r="Y30" s="2999">
        <v>183441.78929999997</v>
      </c>
      <c r="Z30" s="2999">
        <v>161085.6231</v>
      </c>
      <c r="AA30" s="2999">
        <v>165691.14630000002</v>
      </c>
      <c r="AB30" s="2999">
        <v>159444.52965000001</v>
      </c>
      <c r="AC30" s="2999">
        <v>167396.299</v>
      </c>
      <c r="AD30" s="2999">
        <v>165128.35730000003</v>
      </c>
      <c r="AE30" s="2999">
        <v>121677.95220000001</v>
      </c>
      <c r="AF30" s="2999">
        <v>109161.93550000001</v>
      </c>
      <c r="AG30" s="2998">
        <v>0</v>
      </c>
      <c r="AH30" s="2998">
        <v>0</v>
      </c>
      <c r="AI30" s="2998">
        <v>10966.0645</v>
      </c>
      <c r="AJ30" s="2998">
        <v>10982.688150000002</v>
      </c>
      <c r="AK30" s="2998">
        <v>10999.311800000001</v>
      </c>
      <c r="AL30" s="2998">
        <v>11015.935400000002</v>
      </c>
      <c r="AM30" s="2998">
        <v>11032.559050000002</v>
      </c>
      <c r="AN30" s="2998">
        <v>11049.182700000001</v>
      </c>
      <c r="AO30" s="2998">
        <v>11065.806350000001</v>
      </c>
      <c r="AP30" s="2998">
        <v>11082.43</v>
      </c>
      <c r="AQ30" s="2998">
        <v>11082.43</v>
      </c>
      <c r="AR30" s="2998">
        <v>11082.43</v>
      </c>
      <c r="AS30" s="2998">
        <v>11082.43</v>
      </c>
      <c r="AT30" s="2998">
        <v>11082.43</v>
      </c>
      <c r="AU30" s="2998">
        <v>11082.43</v>
      </c>
    </row>
    <row r="31" spans="1:47" x14ac:dyDescent="0.25">
      <c r="A31" s="3000" t="s">
        <v>331</v>
      </c>
      <c r="B31" s="2999"/>
      <c r="C31" s="2999"/>
      <c r="D31" s="2999"/>
      <c r="E31" s="2999"/>
      <c r="F31" s="2999"/>
      <c r="G31" s="2999"/>
      <c r="H31" s="2999"/>
      <c r="I31" s="2999"/>
      <c r="J31" s="2999"/>
      <c r="K31" s="2999"/>
      <c r="L31" s="2999"/>
      <c r="M31" s="2999"/>
      <c r="N31" s="2999"/>
      <c r="O31" s="2999"/>
      <c r="P31" s="2999"/>
      <c r="Q31" s="2999"/>
      <c r="R31" s="2999"/>
      <c r="S31" s="2999"/>
      <c r="T31" s="2999"/>
      <c r="U31" s="2999"/>
      <c r="V31" s="2999"/>
      <c r="W31" s="2999"/>
      <c r="X31" s="2999"/>
      <c r="Y31" s="2999"/>
      <c r="Z31" s="2999"/>
      <c r="AA31" s="2999"/>
      <c r="AB31" s="2999"/>
      <c r="AC31" s="2999"/>
      <c r="AD31" s="2999"/>
      <c r="AE31" s="2999"/>
      <c r="AF31" s="2999"/>
      <c r="AG31" s="2998"/>
      <c r="AH31" s="2998"/>
      <c r="AI31" s="2998"/>
      <c r="AJ31" s="2998"/>
      <c r="AK31" s="2998"/>
      <c r="AL31" s="2998"/>
      <c r="AM31" s="2998"/>
      <c r="AN31" s="2998"/>
      <c r="AO31" s="2998"/>
      <c r="AP31" s="2998"/>
      <c r="AQ31" s="2998"/>
      <c r="AR31" s="2998"/>
      <c r="AS31" s="2998"/>
      <c r="AT31" s="2998"/>
      <c r="AU31" s="2998"/>
    </row>
    <row r="32" spans="1:47" x14ac:dyDescent="0.25">
      <c r="A32" s="2946" t="s">
        <v>5057</v>
      </c>
      <c r="B32" s="2999">
        <v>83609.616210000007</v>
      </c>
      <c r="C32" s="2999">
        <v>74729.543590000001</v>
      </c>
      <c r="D32" s="2999">
        <v>77639.414019999997</v>
      </c>
      <c r="E32" s="2999">
        <v>84019.768140000015</v>
      </c>
      <c r="F32" s="2999">
        <v>107595.46580999999</v>
      </c>
      <c r="G32" s="2999">
        <v>91073.511630000008</v>
      </c>
      <c r="H32" s="2999">
        <v>100108.93622999999</v>
      </c>
      <c r="I32" s="2999">
        <v>86580.825689999998</v>
      </c>
      <c r="J32" s="2999">
        <v>78207.680360000013</v>
      </c>
      <c r="K32" s="2999">
        <v>81025.437360000011</v>
      </c>
      <c r="L32" s="2999">
        <v>81241.781659999993</v>
      </c>
      <c r="M32" s="2999">
        <v>81332.681829999987</v>
      </c>
      <c r="N32" s="2999">
        <v>112660.92759999998</v>
      </c>
      <c r="O32" s="2999">
        <v>137826.05977999998</v>
      </c>
      <c r="P32" s="2999">
        <v>139116.01633999997</v>
      </c>
      <c r="Q32" s="2999">
        <v>145562.76322999998</v>
      </c>
      <c r="R32" s="2999">
        <v>131084.58171999999</v>
      </c>
      <c r="S32" s="2999">
        <v>124365.9856</v>
      </c>
      <c r="T32" s="2999">
        <v>133012.91454999999</v>
      </c>
      <c r="U32" s="2999">
        <v>120845.47245</v>
      </c>
      <c r="V32" s="2999">
        <v>126036.85595999999</v>
      </c>
      <c r="W32" s="2999">
        <v>133644.55573000002</v>
      </c>
      <c r="X32" s="2999">
        <v>131931.80746000001</v>
      </c>
      <c r="Y32" s="2999">
        <v>104797.17462999999</v>
      </c>
      <c r="Z32" s="2999">
        <v>105235.03562000001</v>
      </c>
      <c r="AA32" s="2999">
        <v>107889.38211999999</v>
      </c>
      <c r="AB32" s="2999">
        <v>112542.54587999999</v>
      </c>
      <c r="AC32" s="2999">
        <v>112323.31928000001</v>
      </c>
      <c r="AD32" s="2999">
        <v>116063.49780999999</v>
      </c>
      <c r="AE32" s="2999">
        <v>122759.24341999998</v>
      </c>
      <c r="AF32" s="2999">
        <v>126152.79341000001</v>
      </c>
      <c r="AG32" s="2998">
        <v>131685.67992999998</v>
      </c>
      <c r="AH32" s="2998">
        <v>130463.57827999999</v>
      </c>
      <c r="AI32" s="2998">
        <v>129235.91989</v>
      </c>
      <c r="AJ32" s="2998">
        <v>128031.55662999999</v>
      </c>
      <c r="AK32" s="2998">
        <v>126736.17623</v>
      </c>
      <c r="AL32" s="2998">
        <v>125450.54036000001</v>
      </c>
      <c r="AM32" s="2998">
        <v>124640.14163000003</v>
      </c>
      <c r="AN32" s="2998">
        <v>123483.70479000002</v>
      </c>
      <c r="AO32" s="2998">
        <v>122517.20770000001</v>
      </c>
      <c r="AP32" s="2998">
        <v>121501.65895</v>
      </c>
      <c r="AQ32" s="2998">
        <v>119937.46064</v>
      </c>
      <c r="AR32" s="2998">
        <v>118403.43643</v>
      </c>
      <c r="AS32" s="2998">
        <v>116904.07097</v>
      </c>
      <c r="AT32" s="2998">
        <v>115438.41485</v>
      </c>
      <c r="AU32" s="2998">
        <v>114005.51964</v>
      </c>
    </row>
    <row r="33" spans="1:47" x14ac:dyDescent="0.25">
      <c r="A33" s="2946" t="s">
        <v>1842</v>
      </c>
      <c r="B33" s="2999">
        <v>76557.992939999996</v>
      </c>
      <c r="C33" s="2999">
        <v>80946.476519999997</v>
      </c>
      <c r="D33" s="2999">
        <v>87589.588319999995</v>
      </c>
      <c r="E33" s="2999">
        <v>92209.019759999996</v>
      </c>
      <c r="F33" s="2999">
        <v>98283.539640000003</v>
      </c>
      <c r="G33" s="2999">
        <v>95422.482480000006</v>
      </c>
      <c r="H33" s="2999">
        <v>91141.288679999998</v>
      </c>
      <c r="I33" s="2999">
        <v>93699.261240000007</v>
      </c>
      <c r="J33" s="2999">
        <v>100242.558</v>
      </c>
      <c r="K33" s="2999">
        <v>108667.96677999999</v>
      </c>
      <c r="L33" s="2999">
        <v>106606.93160000001</v>
      </c>
      <c r="M33" s="2999">
        <v>108493.4025</v>
      </c>
      <c r="N33" s="2999">
        <v>236021.31455999997</v>
      </c>
      <c r="O33" s="2999">
        <v>238423.76277</v>
      </c>
      <c r="P33" s="2999">
        <v>247667.15184000004</v>
      </c>
      <c r="Q33" s="2999">
        <v>212989.84676000001</v>
      </c>
      <c r="R33" s="2999">
        <v>191365.35654000001</v>
      </c>
      <c r="S33" s="2999">
        <v>199722.55978000001</v>
      </c>
      <c r="T33" s="2999">
        <v>198226.6557</v>
      </c>
      <c r="U33" s="2999">
        <v>190905.76028999998</v>
      </c>
      <c r="V33" s="2999">
        <v>199572.09270000001</v>
      </c>
      <c r="W33" s="2999">
        <v>185674.89923000001</v>
      </c>
      <c r="X33" s="2999">
        <v>183766.76961999998</v>
      </c>
      <c r="Y33" s="2999">
        <v>160356.90214000002</v>
      </c>
      <c r="Z33" s="2999">
        <v>154301.43530000001</v>
      </c>
      <c r="AA33" s="2999">
        <v>154590.53932999997</v>
      </c>
      <c r="AB33" s="2999">
        <v>160683.92465999999</v>
      </c>
      <c r="AC33" s="2999">
        <v>154067.75643000001</v>
      </c>
      <c r="AD33" s="2999">
        <v>159306.11572</v>
      </c>
      <c r="AE33" s="2999">
        <v>163100.09490999996</v>
      </c>
      <c r="AF33" s="2999">
        <v>162711.55256999997</v>
      </c>
      <c r="AG33" s="2998">
        <v>184109.60915</v>
      </c>
      <c r="AH33" s="2998">
        <v>185902.68440999999</v>
      </c>
      <c r="AI33" s="2998">
        <v>187550.36231</v>
      </c>
      <c r="AJ33" s="2998">
        <v>188929.35058000003</v>
      </c>
      <c r="AK33" s="2998">
        <v>190216.45199999999</v>
      </c>
      <c r="AL33" s="2998">
        <v>191377.72766999999</v>
      </c>
      <c r="AM33" s="2998">
        <v>192468.54347999999</v>
      </c>
      <c r="AN33" s="2998">
        <v>193466.26375000001</v>
      </c>
      <c r="AO33" s="2998">
        <v>194404.23531999998</v>
      </c>
      <c r="AP33" s="2998">
        <v>195271.11473999999</v>
      </c>
      <c r="AQ33" s="2998">
        <v>194242.33596000005</v>
      </c>
      <c r="AR33" s="2998">
        <v>193154.35821999999</v>
      </c>
      <c r="AS33" s="2998">
        <v>192018.39580000003</v>
      </c>
      <c r="AT33" s="2998">
        <v>190843.85833999998</v>
      </c>
      <c r="AU33" s="2998">
        <v>189638.62448999999</v>
      </c>
    </row>
    <row r="34" spans="1:47" x14ac:dyDescent="0.25">
      <c r="A34" s="2946" t="s">
        <v>5056</v>
      </c>
      <c r="B34" s="2999">
        <v>18607.850000000002</v>
      </c>
      <c r="C34" s="2999">
        <v>20189.650000000001</v>
      </c>
      <c r="D34" s="2999">
        <v>19432.150000000001</v>
      </c>
      <c r="E34" s="2999">
        <v>22625.1</v>
      </c>
      <c r="F34" s="2999">
        <v>23216.534800000001</v>
      </c>
      <c r="G34" s="2999">
        <v>25198.933999999997</v>
      </c>
      <c r="H34" s="2999">
        <v>19426.45</v>
      </c>
      <c r="I34" s="2999">
        <v>21590.500000000004</v>
      </c>
      <c r="J34" s="2999">
        <v>20702.111700000001</v>
      </c>
      <c r="K34" s="2999">
        <v>21238.198350000002</v>
      </c>
      <c r="L34" s="2999">
        <v>18736.363499999999</v>
      </c>
      <c r="M34" s="2999">
        <v>20410.801600000006</v>
      </c>
      <c r="N34" s="2999">
        <v>41702.094400000002</v>
      </c>
      <c r="O34" s="2999">
        <v>33766.656900000002</v>
      </c>
      <c r="P34" s="2999">
        <v>38474.02810000001</v>
      </c>
      <c r="Q34" s="2999">
        <v>39223.232580000004</v>
      </c>
      <c r="R34" s="2999">
        <v>32955.413919999999</v>
      </c>
      <c r="S34" s="2999">
        <v>28560.707920000001</v>
      </c>
      <c r="T34" s="2999">
        <v>31895.876700000004</v>
      </c>
      <c r="U34" s="2999">
        <v>34229.012719999999</v>
      </c>
      <c r="V34" s="2999">
        <v>29033.89014</v>
      </c>
      <c r="W34" s="2999">
        <v>25650.70652</v>
      </c>
      <c r="X34" s="2999">
        <v>32746.41806</v>
      </c>
      <c r="Y34" s="2999">
        <v>21117.865670000003</v>
      </c>
      <c r="Z34" s="2999">
        <v>18257.883620000001</v>
      </c>
      <c r="AA34" s="2999">
        <v>18038.46963</v>
      </c>
      <c r="AB34" s="2999">
        <v>20146.08481</v>
      </c>
      <c r="AC34" s="2999">
        <v>20031.681770000003</v>
      </c>
      <c r="AD34" s="2999">
        <v>19280.77131</v>
      </c>
      <c r="AE34" s="2999">
        <v>19594.691329999998</v>
      </c>
      <c r="AF34" s="2999">
        <v>19513.20264</v>
      </c>
      <c r="AG34" s="2998">
        <v>19513.20264</v>
      </c>
      <c r="AH34" s="2998">
        <v>19513.20264</v>
      </c>
      <c r="AI34" s="2998">
        <v>19513.20264</v>
      </c>
      <c r="AJ34" s="2998">
        <v>19513.20264</v>
      </c>
      <c r="AK34" s="2998">
        <v>19513.20264</v>
      </c>
      <c r="AL34" s="2998">
        <v>19513.20264</v>
      </c>
      <c r="AM34" s="2998">
        <v>19513.20264</v>
      </c>
      <c r="AN34" s="2998">
        <v>19513.20264</v>
      </c>
      <c r="AO34" s="2998">
        <v>19513.20264</v>
      </c>
      <c r="AP34" s="2998">
        <v>19513.20264</v>
      </c>
      <c r="AQ34" s="2998">
        <v>19513.20264</v>
      </c>
      <c r="AR34" s="2998">
        <v>19513.20264</v>
      </c>
      <c r="AS34" s="2998">
        <v>19513.20264</v>
      </c>
      <c r="AT34" s="2998">
        <v>19513.20264</v>
      </c>
      <c r="AU34" s="2998">
        <v>19513.20264</v>
      </c>
    </row>
    <row r="35" spans="1:47" x14ac:dyDescent="0.25">
      <c r="A35" s="2946" t="s">
        <v>5055</v>
      </c>
      <c r="B35" s="2999">
        <v>739447.9456027397</v>
      </c>
      <c r="C35" s="2999">
        <v>773355.92958904104</v>
      </c>
      <c r="D35" s="2999">
        <v>771133.2345616438</v>
      </c>
      <c r="E35" s="2999">
        <v>749366.68298630137</v>
      </c>
      <c r="F35" s="2999">
        <v>738967.97469863005</v>
      </c>
      <c r="G35" s="2999">
        <v>746046.45369863021</v>
      </c>
      <c r="H35" s="2999">
        <v>777564.63341095892</v>
      </c>
      <c r="I35" s="2999">
        <v>786877.16095890407</v>
      </c>
      <c r="J35" s="2999">
        <v>804157.12041095889</v>
      </c>
      <c r="K35" s="2999">
        <v>819896.72082191776</v>
      </c>
      <c r="L35" s="2999">
        <v>837935.78397260269</v>
      </c>
      <c r="M35" s="2999">
        <v>874089.08506849315</v>
      </c>
      <c r="N35" s="2999">
        <v>891016.71465753415</v>
      </c>
      <c r="O35" s="2999">
        <v>918807.17383561644</v>
      </c>
      <c r="P35" s="2999">
        <v>945876.98356164386</v>
      </c>
      <c r="Q35" s="2999">
        <v>970700.89154630143</v>
      </c>
      <c r="R35" s="2999">
        <v>994546.86908506858</v>
      </c>
      <c r="S35" s="2999">
        <v>1007773.9472142466</v>
      </c>
      <c r="T35" s="2999">
        <v>1017694.033409315</v>
      </c>
      <c r="U35" s="2999">
        <v>967835.07104821922</v>
      </c>
      <c r="V35" s="2999">
        <v>910750.26055999997</v>
      </c>
      <c r="W35" s="2999">
        <v>828238.68803630141</v>
      </c>
      <c r="X35" s="2999">
        <v>822471.89284027403</v>
      </c>
      <c r="Y35" s="2999">
        <v>800684.0419320548</v>
      </c>
      <c r="Z35" s="2999">
        <v>796820.27567575336</v>
      </c>
      <c r="AA35" s="2999">
        <v>808075.8676857535</v>
      </c>
      <c r="AB35" s="2999">
        <v>834489.91109136981</v>
      </c>
      <c r="AC35" s="2999">
        <v>860828.74734369863</v>
      </c>
      <c r="AD35" s="2999">
        <v>880447.510699315</v>
      </c>
      <c r="AE35" s="2999">
        <v>894625.46725219185</v>
      </c>
      <c r="AF35" s="2999">
        <v>966726.34881917795</v>
      </c>
      <c r="AG35" s="2998">
        <v>967619.38296417799</v>
      </c>
      <c r="AH35" s="2998">
        <v>967619.38296417799</v>
      </c>
      <c r="AI35" s="2998">
        <v>967619.38296417799</v>
      </c>
      <c r="AJ35" s="2998">
        <v>967619.38296417799</v>
      </c>
      <c r="AK35" s="2998">
        <v>967619.38296417799</v>
      </c>
      <c r="AL35" s="2998">
        <v>967619.38296417799</v>
      </c>
      <c r="AM35" s="2998">
        <v>967619.38296417799</v>
      </c>
      <c r="AN35" s="2998">
        <v>967619.38296417799</v>
      </c>
      <c r="AO35" s="2998">
        <v>967619.38296417799</v>
      </c>
      <c r="AP35" s="2998">
        <v>967619.38296417799</v>
      </c>
      <c r="AQ35" s="2998">
        <v>967619.38296417799</v>
      </c>
      <c r="AR35" s="2998">
        <v>967619.38296417799</v>
      </c>
      <c r="AS35" s="2998">
        <v>967619.38296417799</v>
      </c>
      <c r="AT35" s="2998">
        <v>967619.38296417799</v>
      </c>
      <c r="AU35" s="2998">
        <v>967619.38296417799</v>
      </c>
    </row>
    <row r="36" spans="1:47" x14ac:dyDescent="0.25">
      <c r="A36" s="2955" t="s">
        <v>4386</v>
      </c>
      <c r="B36" s="2997">
        <f t="shared" ref="B36:AU36" si="1">SUM(B24:B35)</f>
        <v>8280505.9625259452</v>
      </c>
      <c r="C36" s="2997">
        <f t="shared" si="1"/>
        <v>8422043.7869190685</v>
      </c>
      <c r="D36" s="2997">
        <f t="shared" si="1"/>
        <v>8533399.3380255736</v>
      </c>
      <c r="E36" s="2997">
        <f t="shared" si="1"/>
        <v>8581361.0430811383</v>
      </c>
      <c r="F36" s="2997">
        <f t="shared" si="1"/>
        <v>8363822.9661240326</v>
      </c>
      <c r="G36" s="2997">
        <f t="shared" si="1"/>
        <v>8417112.8947744779</v>
      </c>
      <c r="H36" s="2997">
        <f t="shared" si="1"/>
        <v>8471830.6506808978</v>
      </c>
      <c r="I36" s="2997">
        <f t="shared" si="1"/>
        <v>8479701.7438312601</v>
      </c>
      <c r="J36" s="2997">
        <f t="shared" si="1"/>
        <v>8534148.9288103562</v>
      </c>
      <c r="K36" s="2997">
        <f t="shared" si="1"/>
        <v>8282963.1386331785</v>
      </c>
      <c r="L36" s="2997">
        <f t="shared" si="1"/>
        <v>7602212.046102738</v>
      </c>
      <c r="M36" s="2997">
        <f t="shared" si="1"/>
        <v>7567226.0587532595</v>
      </c>
      <c r="N36" s="2997">
        <f t="shared" si="1"/>
        <v>7306131.8789616702</v>
      </c>
      <c r="O36" s="2997">
        <f t="shared" si="1"/>
        <v>6845848.4578734795</v>
      </c>
      <c r="P36" s="2997">
        <f t="shared" si="1"/>
        <v>6414608.7848219164</v>
      </c>
      <c r="Q36" s="2997">
        <f t="shared" si="1"/>
        <v>5975753.7058452051</v>
      </c>
      <c r="R36" s="2997">
        <f t="shared" si="1"/>
        <v>5682491.6396411788</v>
      </c>
      <c r="S36" s="2997">
        <f t="shared" si="1"/>
        <v>5742638.0901285484</v>
      </c>
      <c r="T36" s="2997">
        <f t="shared" si="1"/>
        <v>5369047.6266397806</v>
      </c>
      <c r="U36" s="2997">
        <f t="shared" si="1"/>
        <v>4960632.6613035621</v>
      </c>
      <c r="V36" s="2997">
        <f t="shared" si="1"/>
        <v>4814991.1674693963</v>
      </c>
      <c r="W36" s="2997">
        <f t="shared" si="1"/>
        <v>4640953.9114495618</v>
      </c>
      <c r="X36" s="2997">
        <f t="shared" si="1"/>
        <v>4559723.951057177</v>
      </c>
      <c r="Y36" s="2997">
        <f t="shared" si="1"/>
        <v>4715320.3533687945</v>
      </c>
      <c r="Z36" s="2997">
        <f t="shared" si="1"/>
        <v>4632989.9584883833</v>
      </c>
      <c r="AA36" s="2997">
        <f t="shared" si="1"/>
        <v>4537282.9467376443</v>
      </c>
      <c r="AB36" s="2997">
        <f t="shared" si="1"/>
        <v>4615360.0659163566</v>
      </c>
      <c r="AC36" s="2997">
        <f t="shared" si="1"/>
        <v>4580491.8141376441</v>
      </c>
      <c r="AD36" s="2997">
        <f t="shared" si="1"/>
        <v>4596320.1285003014</v>
      </c>
      <c r="AE36" s="2997">
        <f t="shared" si="1"/>
        <v>4487626.3526286026</v>
      </c>
      <c r="AF36" s="2997">
        <f t="shared" si="1"/>
        <v>4611851.8910775892</v>
      </c>
      <c r="AG36" s="2996">
        <f t="shared" si="1"/>
        <v>4478327.8524744799</v>
      </c>
      <c r="AH36" s="2996">
        <f t="shared" si="1"/>
        <v>4479420.8999064239</v>
      </c>
      <c r="AI36" s="2996">
        <f t="shared" si="1"/>
        <v>4471396.7877305606</v>
      </c>
      <c r="AJ36" s="2996">
        <f t="shared" si="1"/>
        <v>4452001.0132574923</v>
      </c>
      <c r="AK36" s="2996">
        <f t="shared" si="1"/>
        <v>4431438.0527931089</v>
      </c>
      <c r="AL36" s="2996">
        <f t="shared" si="1"/>
        <v>4409494.5889013009</v>
      </c>
      <c r="AM36" s="2996">
        <f t="shared" si="1"/>
        <v>4390748.5845972188</v>
      </c>
      <c r="AN36" s="2996">
        <f t="shared" si="1"/>
        <v>4367356.536255273</v>
      </c>
      <c r="AO36" s="2996">
        <f t="shared" si="1"/>
        <v>4346444.2432680689</v>
      </c>
      <c r="AP36" s="2996">
        <f t="shared" si="1"/>
        <v>4324641.2837031912</v>
      </c>
      <c r="AQ36" s="2996">
        <f t="shared" si="1"/>
        <v>4318016.2857833561</v>
      </c>
      <c r="AR36" s="2996">
        <f t="shared" si="1"/>
        <v>4310164.8301465884</v>
      </c>
      <c r="AS36" s="2996">
        <f t="shared" si="1"/>
        <v>4300770.0409359038</v>
      </c>
      <c r="AT36" s="2996">
        <f t="shared" si="1"/>
        <v>4292157.5644673277</v>
      </c>
      <c r="AU36" s="2996">
        <f t="shared" si="1"/>
        <v>4282777.3999576848</v>
      </c>
    </row>
  </sheetData>
  <pageMargins left="0.7" right="0.7" top="0.75" bottom="0.75" header="0.3" footer="0.3"/>
  <pageSetup paperSize="9"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CC9AC-2621-4419-9B78-3D3C13F8BC3B}">
  <sheetPr codeName="Ark167">
    <tabColor theme="0" tint="-0.499984740745262"/>
  </sheetPr>
  <dimension ref="A1:AE34"/>
  <sheetViews>
    <sheetView workbookViewId="0">
      <pane xSplit="1" ySplit="7" topLeftCell="H8" activePane="bottomRight" state="frozen"/>
      <selection pane="topRight"/>
      <selection pane="bottomLeft"/>
      <selection pane="bottomRight"/>
    </sheetView>
  </sheetViews>
  <sheetFormatPr defaultColWidth="9.140625" defaultRowHeight="15" x14ac:dyDescent="0.25"/>
  <cols>
    <col min="1" max="1" width="29.140625" style="2946" customWidth="1"/>
    <col min="2" max="4" width="10" style="2946" customWidth="1"/>
    <col min="5" max="25" width="7.85546875" style="2946" customWidth="1"/>
    <col min="26" max="16384" width="9.140625" style="2946"/>
  </cols>
  <sheetData>
    <row r="1" spans="1:30" ht="18.75" x14ac:dyDescent="0.3">
      <c r="A1" s="2971" t="s">
        <v>5050</v>
      </c>
      <c r="B1" s="2971"/>
      <c r="C1" s="2971"/>
      <c r="D1" s="2971"/>
    </row>
    <row r="2" spans="1:30" ht="16.5" x14ac:dyDescent="0.3">
      <c r="A2" s="2970" t="s">
        <v>5037</v>
      </c>
      <c r="B2" s="2970"/>
      <c r="C2" s="2970"/>
      <c r="D2" s="2970"/>
    </row>
    <row r="3" spans="1:30" ht="16.5" x14ac:dyDescent="0.3">
      <c r="B3" s="2970"/>
      <c r="C3" s="2970"/>
      <c r="D3" s="2970"/>
    </row>
    <row r="4" spans="1:30" ht="16.5" x14ac:dyDescent="0.3">
      <c r="A4" s="2970" t="s">
        <v>5051</v>
      </c>
      <c r="N4" s="2990"/>
    </row>
    <row r="5" spans="1:30" ht="16.5" x14ac:dyDescent="0.3">
      <c r="A5" s="2970"/>
      <c r="N5" s="2990"/>
    </row>
    <row r="6" spans="1:30" x14ac:dyDescent="0.25">
      <c r="A6" s="2946" t="s">
        <v>5050</v>
      </c>
    </row>
    <row r="7" spans="1:30" s="2963" customFormat="1" x14ac:dyDescent="0.25">
      <c r="A7" s="2968" t="s">
        <v>5049</v>
      </c>
      <c r="B7" s="2969" t="s">
        <v>4405</v>
      </c>
      <c r="C7" s="2969">
        <v>2008</v>
      </c>
      <c r="D7" s="2969">
        <v>2009</v>
      </c>
      <c r="E7" s="2969">
        <v>2010</v>
      </c>
      <c r="F7" s="2969">
        <v>2011</v>
      </c>
      <c r="G7" s="2969">
        <v>2012</v>
      </c>
      <c r="H7" s="2969">
        <v>2013</v>
      </c>
      <c r="I7" s="2969">
        <v>2014</v>
      </c>
      <c r="J7" s="2969">
        <v>2015</v>
      </c>
      <c r="K7" s="2969">
        <v>2016</v>
      </c>
      <c r="L7" s="2969">
        <v>2017</v>
      </c>
      <c r="M7" s="2969">
        <v>2018</v>
      </c>
      <c r="N7" s="2969">
        <v>2019</v>
      </c>
      <c r="O7" s="2969">
        <v>2020</v>
      </c>
      <c r="P7" s="2968">
        <v>2021</v>
      </c>
      <c r="Q7" s="2968">
        <v>2022</v>
      </c>
      <c r="R7" s="2968">
        <v>2023</v>
      </c>
      <c r="S7" s="2968">
        <v>2024</v>
      </c>
      <c r="T7" s="2968">
        <v>2025</v>
      </c>
      <c r="U7" s="2968">
        <v>2026</v>
      </c>
      <c r="V7" s="2968">
        <v>2027</v>
      </c>
      <c r="W7" s="2968">
        <v>2028</v>
      </c>
      <c r="X7" s="2968">
        <v>2029</v>
      </c>
      <c r="Y7" s="2968">
        <v>2030</v>
      </c>
      <c r="Z7" s="2968">
        <v>2031</v>
      </c>
      <c r="AA7" s="2968">
        <v>2032</v>
      </c>
      <c r="AB7" s="2968">
        <v>2033</v>
      </c>
      <c r="AC7" s="2968">
        <v>2034</v>
      </c>
      <c r="AD7" s="2968">
        <v>2035</v>
      </c>
    </row>
    <row r="8" spans="1:30" x14ac:dyDescent="0.25">
      <c r="A8" s="2946" t="s">
        <v>947</v>
      </c>
      <c r="B8" s="2977">
        <v>0</v>
      </c>
      <c r="C8" s="2988">
        <v>0.39084885006415021</v>
      </c>
      <c r="D8" s="2988">
        <v>0.87084382524307535</v>
      </c>
      <c r="E8" s="2988">
        <v>1.5748292375415938</v>
      </c>
      <c r="F8" s="2988">
        <v>2.1551310358068543</v>
      </c>
      <c r="G8" s="2988">
        <v>3.0751616006080065</v>
      </c>
      <c r="H8" s="2988">
        <v>4.3614236735496403</v>
      </c>
      <c r="I8" s="2988">
        <v>4.9932778697002034</v>
      </c>
      <c r="J8" s="2988">
        <v>6.0586012347792613</v>
      </c>
      <c r="K8" s="2988">
        <v>6.9212233772159806</v>
      </c>
      <c r="L8" s="2988">
        <v>7.4278757936523592</v>
      </c>
      <c r="M8" s="2988">
        <v>7.4278757936523592</v>
      </c>
      <c r="N8" s="2988">
        <v>7.4278757936523592</v>
      </c>
      <c r="O8" s="2988">
        <v>7.4278757936523592</v>
      </c>
      <c r="P8" s="2989">
        <v>10.685088214287124</v>
      </c>
      <c r="Q8" s="2989">
        <v>13.942300634921887</v>
      </c>
      <c r="R8" s="2989">
        <v>17.19951305555665</v>
      </c>
      <c r="S8" s="2989">
        <v>20.456725476191416</v>
      </c>
      <c r="T8" s="2989">
        <v>23.713937896826181</v>
      </c>
      <c r="U8" s="2989">
        <v>26.971150317460946</v>
      </c>
      <c r="V8" s="2989">
        <v>30.228362738095711</v>
      </c>
      <c r="W8" s="2989">
        <v>33.485575158730477</v>
      </c>
      <c r="X8" s="2989">
        <v>36.742787579365242</v>
      </c>
      <c r="Y8" s="2989">
        <v>40</v>
      </c>
      <c r="Z8" s="2989">
        <v>43</v>
      </c>
      <c r="AA8" s="2989">
        <v>46</v>
      </c>
      <c r="AB8" s="2989">
        <v>49</v>
      </c>
      <c r="AC8" s="2989">
        <v>52</v>
      </c>
      <c r="AD8" s="2989">
        <v>55</v>
      </c>
    </row>
    <row r="9" spans="1:30" x14ac:dyDescent="0.25">
      <c r="A9" s="2946" t="s">
        <v>339</v>
      </c>
      <c r="B9" s="2977">
        <v>0</v>
      </c>
      <c r="C9" s="2978">
        <v>0</v>
      </c>
      <c r="D9" s="2988">
        <v>0.44219266833672338</v>
      </c>
      <c r="E9" s="2988">
        <v>0.88730952608598312</v>
      </c>
      <c r="F9" s="2988">
        <v>1.2288983129046132</v>
      </c>
      <c r="G9" s="2988">
        <v>1.7321720640537701</v>
      </c>
      <c r="H9" s="2988">
        <v>2.3103008356879022</v>
      </c>
      <c r="I9" s="2988">
        <v>2.9075054160627705</v>
      </c>
      <c r="J9" s="2988">
        <v>3.7306030673709119</v>
      </c>
      <c r="K9" s="2988">
        <v>4.3568201952798074</v>
      </c>
      <c r="L9" s="2988">
        <v>5.3093256220423894</v>
      </c>
      <c r="M9" s="2988">
        <v>5.3093256220423894</v>
      </c>
      <c r="N9" s="2988">
        <v>5.3093256220423894</v>
      </c>
      <c r="O9" s="2988">
        <v>5.3093256220423894</v>
      </c>
      <c r="P9" s="2989">
        <v>7.7783930598381499</v>
      </c>
      <c r="Q9" s="2989">
        <v>10.247460497633911</v>
      </c>
      <c r="R9" s="2989">
        <v>12.716527935429673</v>
      </c>
      <c r="S9" s="2989">
        <v>15.185595373225434</v>
      </c>
      <c r="T9" s="2989">
        <v>17.654662811021193</v>
      </c>
      <c r="U9" s="2989">
        <v>20.123730248816955</v>
      </c>
      <c r="V9" s="2989">
        <v>22.592797686612716</v>
      </c>
      <c r="W9" s="2989">
        <v>25.061865124408477</v>
      </c>
      <c r="X9" s="2989">
        <v>27.530932562204239</v>
      </c>
      <c r="Y9" s="2989">
        <v>30</v>
      </c>
      <c r="Z9" s="2989">
        <v>32.5</v>
      </c>
      <c r="AA9" s="2989">
        <v>35</v>
      </c>
      <c r="AB9" s="2989">
        <v>37.5</v>
      </c>
      <c r="AC9" s="2989">
        <v>40</v>
      </c>
      <c r="AD9" s="2989">
        <v>42.5</v>
      </c>
    </row>
    <row r="10" spans="1:30" x14ac:dyDescent="0.25">
      <c r="A10" s="2946" t="s">
        <v>948</v>
      </c>
      <c r="B10" s="2977">
        <v>0</v>
      </c>
      <c r="C10" s="2988">
        <v>8.2594921883215822E-2</v>
      </c>
      <c r="D10" s="2988">
        <v>0.40120944612263937</v>
      </c>
      <c r="E10" s="2988">
        <v>0.89765062513650717</v>
      </c>
      <c r="F10" s="2988">
        <v>1.1630018385984147</v>
      </c>
      <c r="G10" s="2988">
        <v>1.4748520104509817</v>
      </c>
      <c r="H10" s="2988">
        <v>1.6989532073859865</v>
      </c>
      <c r="I10" s="2988">
        <v>1.9912206802806709</v>
      </c>
      <c r="J10" s="2988">
        <v>2.3027069941651628</v>
      </c>
      <c r="K10" s="2988">
        <v>2.7083179896765999</v>
      </c>
      <c r="L10" s="2988">
        <v>3.4465009843293628</v>
      </c>
      <c r="M10" s="2988">
        <v>3.4465009843293628</v>
      </c>
      <c r="N10" s="2988">
        <v>3.4465009843293628</v>
      </c>
      <c r="O10" s="2988">
        <v>3.4465009843293628</v>
      </c>
      <c r="P10" s="2989">
        <v>5.1018508858964271</v>
      </c>
      <c r="Q10" s="2989">
        <v>6.757200787463491</v>
      </c>
      <c r="R10" s="2989">
        <v>8.4125506890305548</v>
      </c>
      <c r="S10" s="2989">
        <v>10.067900590597619</v>
      </c>
      <c r="T10" s="2989">
        <v>11.723250492164683</v>
      </c>
      <c r="U10" s="2989">
        <v>13.378600393731746</v>
      </c>
      <c r="V10" s="2989">
        <v>15.03395029529881</v>
      </c>
      <c r="W10" s="2989">
        <v>16.689300196865872</v>
      </c>
      <c r="X10" s="2989">
        <v>18.344650098432936</v>
      </c>
      <c r="Y10" s="2989">
        <v>20</v>
      </c>
      <c r="Z10" s="2989">
        <v>21.5</v>
      </c>
      <c r="AA10" s="2989">
        <v>23</v>
      </c>
      <c r="AB10" s="2989">
        <v>24.5</v>
      </c>
      <c r="AC10" s="2989">
        <v>26</v>
      </c>
      <c r="AD10" s="2989">
        <v>27.5</v>
      </c>
    </row>
    <row r="11" spans="1:30" s="2963" customFormat="1" x14ac:dyDescent="0.25">
      <c r="A11" s="2968" t="s">
        <v>5048</v>
      </c>
      <c r="B11" s="2969" t="s">
        <v>4405</v>
      </c>
      <c r="C11" s="2969">
        <v>2008</v>
      </c>
      <c r="D11" s="2969">
        <v>2009</v>
      </c>
      <c r="E11" s="2969">
        <v>2010</v>
      </c>
      <c r="F11" s="2969">
        <v>2011</v>
      </c>
      <c r="G11" s="2969">
        <v>2012</v>
      </c>
      <c r="H11" s="2969">
        <v>2013</v>
      </c>
      <c r="I11" s="2969">
        <v>2014</v>
      </c>
      <c r="J11" s="2969">
        <v>2015</v>
      </c>
      <c r="K11" s="2969">
        <v>2016</v>
      </c>
      <c r="L11" s="2969">
        <v>2017</v>
      </c>
      <c r="M11" s="2969">
        <v>2018</v>
      </c>
      <c r="N11" s="2969">
        <v>2019</v>
      </c>
      <c r="O11" s="2969">
        <v>2020</v>
      </c>
      <c r="P11" s="2968">
        <v>2021</v>
      </c>
      <c r="Q11" s="2968">
        <v>2022</v>
      </c>
      <c r="R11" s="2968">
        <v>2023</v>
      </c>
      <c r="S11" s="2968">
        <v>2024</v>
      </c>
      <c r="T11" s="2968">
        <v>2025</v>
      </c>
      <c r="U11" s="2968">
        <v>2026</v>
      </c>
      <c r="V11" s="2968">
        <v>2027</v>
      </c>
      <c r="W11" s="2968">
        <v>2028</v>
      </c>
      <c r="X11" s="2968">
        <v>2029</v>
      </c>
      <c r="Y11" s="2968">
        <v>2030</v>
      </c>
      <c r="Z11" s="2968">
        <v>2031</v>
      </c>
      <c r="AA11" s="2968">
        <v>2032</v>
      </c>
      <c r="AB11" s="2968">
        <v>2033</v>
      </c>
      <c r="AC11" s="2968">
        <v>2034</v>
      </c>
      <c r="AD11" s="2968">
        <v>2035</v>
      </c>
    </row>
    <row r="12" spans="1:30" x14ac:dyDescent="0.25">
      <c r="A12" s="2946" t="s">
        <v>4394</v>
      </c>
      <c r="B12" s="2977">
        <v>0</v>
      </c>
      <c r="C12" s="2988">
        <v>0.32080117854108947</v>
      </c>
      <c r="D12" s="2988">
        <v>1.0578412012899376</v>
      </c>
      <c r="E12" s="2988">
        <v>1.576376007124227</v>
      </c>
      <c r="F12" s="2988">
        <v>2.4331632183582608</v>
      </c>
      <c r="G12" s="2988">
        <v>2.5988225256263315</v>
      </c>
      <c r="H12" s="2988">
        <v>2.6273311124085588</v>
      </c>
      <c r="I12" s="2988">
        <v>2.9068785758338946</v>
      </c>
      <c r="J12" s="2988">
        <v>3.2821512859088346</v>
      </c>
      <c r="K12" s="2988">
        <v>3.3276071387336827</v>
      </c>
      <c r="L12" s="2988">
        <v>3.4183685999880713</v>
      </c>
      <c r="M12" s="2988">
        <v>3.4183685999880713</v>
      </c>
      <c r="N12" s="2988">
        <v>3.4183685999880713</v>
      </c>
      <c r="O12" s="2988">
        <v>3.4183685999880713</v>
      </c>
      <c r="P12" s="2947">
        <v>3.4765317399892641</v>
      </c>
      <c r="Q12" s="2947">
        <v>3.534694879990457</v>
      </c>
      <c r="R12" s="2947">
        <v>3.5928580199916498</v>
      </c>
      <c r="S12" s="2947">
        <v>3.6510211599928426</v>
      </c>
      <c r="T12" s="2947">
        <v>3.7091842999940354</v>
      </c>
      <c r="U12" s="2947">
        <v>3.7673474399952283</v>
      </c>
      <c r="V12" s="2947">
        <v>3.8255105799964211</v>
      </c>
      <c r="W12" s="2947">
        <v>3.8836737199976139</v>
      </c>
      <c r="X12" s="2947">
        <v>3.9418368599988067</v>
      </c>
      <c r="Y12" s="2947">
        <v>4</v>
      </c>
      <c r="Z12" s="2947">
        <v>4</v>
      </c>
      <c r="AA12" s="2947">
        <v>4</v>
      </c>
      <c r="AB12" s="2947">
        <v>4</v>
      </c>
      <c r="AC12" s="2947">
        <v>4</v>
      </c>
      <c r="AD12" s="2947">
        <v>4</v>
      </c>
    </row>
    <row r="13" spans="1:30" x14ac:dyDescent="0.25">
      <c r="A13" s="2946" t="s">
        <v>336</v>
      </c>
      <c r="B13" s="2977">
        <v>0</v>
      </c>
      <c r="C13" s="2988">
        <v>3.5822186242228993E-2</v>
      </c>
      <c r="D13" s="2988">
        <v>0.15860035598435782</v>
      </c>
      <c r="E13" s="2988">
        <v>0.34405787296902912</v>
      </c>
      <c r="F13" s="2988">
        <v>0.69412688174950499</v>
      </c>
      <c r="G13" s="2988">
        <v>0.7743974130452963</v>
      </c>
      <c r="H13" s="2988">
        <v>0.83370016032695382</v>
      </c>
      <c r="I13" s="2988">
        <v>0.86497118551835916</v>
      </c>
      <c r="J13" s="2988">
        <v>0.91043656515063676</v>
      </c>
      <c r="K13" s="2988">
        <v>0.96063353417353503</v>
      </c>
      <c r="L13" s="2988">
        <v>0.97120883454939844</v>
      </c>
      <c r="M13" s="2988">
        <v>0.97120883454939844</v>
      </c>
      <c r="N13" s="2988">
        <v>0.97120883454939844</v>
      </c>
      <c r="O13" s="2988">
        <v>0.97120883454939844</v>
      </c>
      <c r="P13" s="2947">
        <v>1.0240879510944585</v>
      </c>
      <c r="Q13" s="2947">
        <v>1.0769670676395187</v>
      </c>
      <c r="R13" s="2947">
        <v>1.1298461841845788</v>
      </c>
      <c r="S13" s="2947">
        <v>1.182725300729639</v>
      </c>
      <c r="T13" s="2947">
        <v>1.2356044172746992</v>
      </c>
      <c r="U13" s="2947">
        <v>1.2884835338197593</v>
      </c>
      <c r="V13" s="2947">
        <v>1.3413626503648195</v>
      </c>
      <c r="W13" s="2947">
        <v>1.3942417669098797</v>
      </c>
      <c r="X13" s="2947">
        <v>1.4471208834549398</v>
      </c>
      <c r="Y13" s="2947">
        <v>1.5</v>
      </c>
      <c r="Z13" s="2947">
        <v>1.5</v>
      </c>
      <c r="AA13" s="2947">
        <v>1.5</v>
      </c>
      <c r="AB13" s="2947">
        <v>1.5</v>
      </c>
      <c r="AC13" s="2947">
        <v>1.5</v>
      </c>
      <c r="AD13" s="2947">
        <v>1.5</v>
      </c>
    </row>
    <row r="14" spans="1:30" x14ac:dyDescent="0.25">
      <c r="A14" s="2946" t="s">
        <v>947</v>
      </c>
      <c r="B14" s="2977">
        <v>0</v>
      </c>
      <c r="C14" s="2988">
        <v>6.5141475010691702E-2</v>
      </c>
      <c r="D14" s="2988">
        <v>0.54790743838109068</v>
      </c>
      <c r="E14" s="2988">
        <v>1.1185970793978273</v>
      </c>
      <c r="F14" s="2988">
        <v>1.2251843235134123</v>
      </c>
      <c r="G14" s="2988">
        <v>1.5874068297780541</v>
      </c>
      <c r="H14" s="2988">
        <v>1.9382170901449645</v>
      </c>
      <c r="I14" s="2988">
        <v>1.8578669279912994</v>
      </c>
      <c r="J14" s="2988">
        <v>2.0899166141938679</v>
      </c>
      <c r="K14" s="2988">
        <v>2.5062741911596946</v>
      </c>
      <c r="L14" s="2988">
        <v>2.5269614903498976</v>
      </c>
      <c r="M14" s="2988">
        <v>2.5269614903498976</v>
      </c>
      <c r="N14" s="2988">
        <v>2.5269614903498976</v>
      </c>
      <c r="O14" s="2988">
        <v>2.5269614903498976</v>
      </c>
      <c r="P14" s="2947">
        <v>2.6242653413149077</v>
      </c>
      <c r="Q14" s="2947">
        <v>2.7215691922799179</v>
      </c>
      <c r="R14" s="2947">
        <v>2.818873043244928</v>
      </c>
      <c r="S14" s="2947">
        <v>2.9161768942099382</v>
      </c>
      <c r="T14" s="2947">
        <v>3.0134807451749483</v>
      </c>
      <c r="U14" s="2947">
        <v>3.1107845961399585</v>
      </c>
      <c r="V14" s="2947">
        <v>3.2080884471049687</v>
      </c>
      <c r="W14" s="2947">
        <v>3.3053922980699788</v>
      </c>
      <c r="X14" s="2947">
        <v>3.402696149034989</v>
      </c>
      <c r="Y14" s="2947">
        <v>3.5</v>
      </c>
      <c r="Z14" s="2947">
        <v>3.5</v>
      </c>
      <c r="AA14" s="2947">
        <v>3.5</v>
      </c>
      <c r="AB14" s="2947">
        <v>3.5</v>
      </c>
      <c r="AC14" s="2947">
        <v>3.5</v>
      </c>
      <c r="AD14" s="2947">
        <v>3.5</v>
      </c>
    </row>
    <row r="15" spans="1:30" x14ac:dyDescent="0.25">
      <c r="A15" s="2946" t="s">
        <v>339</v>
      </c>
      <c r="B15" s="2977">
        <v>0</v>
      </c>
      <c r="C15" s="2988">
        <v>5.4299373761686733E-2</v>
      </c>
      <c r="D15" s="2988">
        <v>0.31925824474385456</v>
      </c>
      <c r="E15" s="2988">
        <v>0.53277848277576634</v>
      </c>
      <c r="F15" s="2988">
        <v>0.82780990366531115</v>
      </c>
      <c r="G15" s="2988">
        <v>1.0325326781659376</v>
      </c>
      <c r="H15" s="2988">
        <v>1.0593218339251833</v>
      </c>
      <c r="I15" s="2988">
        <v>1.1224451814627801</v>
      </c>
      <c r="J15" s="2988">
        <v>1.0929521578895174</v>
      </c>
      <c r="K15" s="2988">
        <v>1.2232187020990111</v>
      </c>
      <c r="L15" s="2988">
        <v>1.3756552217900349</v>
      </c>
      <c r="M15" s="2988">
        <v>1.3756552217900349</v>
      </c>
      <c r="N15" s="2988">
        <v>1.3756552217900349</v>
      </c>
      <c r="O15" s="2988">
        <v>1.3756552217900349</v>
      </c>
      <c r="P15" s="2947">
        <v>1.4380896996110313</v>
      </c>
      <c r="Q15" s="2947">
        <v>1.5005241774320277</v>
      </c>
      <c r="R15" s="2947">
        <v>1.5629586552530241</v>
      </c>
      <c r="S15" s="2947">
        <v>1.6253931330740206</v>
      </c>
      <c r="T15" s="2947">
        <v>1.687827610895017</v>
      </c>
      <c r="U15" s="2947">
        <v>1.7502620887160134</v>
      </c>
      <c r="V15" s="2947">
        <v>1.8126965665370098</v>
      </c>
      <c r="W15" s="2947">
        <v>1.8751310443580063</v>
      </c>
      <c r="X15" s="2947">
        <v>1.9375655221790027</v>
      </c>
      <c r="Y15" s="2947">
        <v>2</v>
      </c>
      <c r="Z15" s="2947">
        <v>2</v>
      </c>
      <c r="AA15" s="2947">
        <v>2</v>
      </c>
      <c r="AB15" s="2947">
        <v>2</v>
      </c>
      <c r="AC15" s="2947">
        <v>2</v>
      </c>
      <c r="AD15" s="2947">
        <v>2</v>
      </c>
    </row>
    <row r="16" spans="1:30" x14ac:dyDescent="0.25">
      <c r="A16" s="2946" t="s">
        <v>948</v>
      </c>
      <c r="B16" s="2977">
        <v>0</v>
      </c>
      <c r="C16" s="2988">
        <v>0.16380557483823127</v>
      </c>
      <c r="D16" s="2988">
        <v>0.49251638368096318</v>
      </c>
      <c r="E16" s="2988">
        <v>0.73375895713172701</v>
      </c>
      <c r="F16" s="2988">
        <v>0.94079394977963704</v>
      </c>
      <c r="G16" s="2988">
        <v>1.1154448173686695</v>
      </c>
      <c r="H16" s="2988">
        <v>1.2112448252261707</v>
      </c>
      <c r="I16" s="2988">
        <v>1.3345919533210615</v>
      </c>
      <c r="J16" s="2988">
        <v>1.3507523816421612</v>
      </c>
      <c r="K16" s="2988">
        <v>1.629924319460099</v>
      </c>
      <c r="L16" s="2988">
        <v>1.6789107986126144</v>
      </c>
      <c r="M16" s="2988">
        <v>1.6789107986126144</v>
      </c>
      <c r="N16" s="2988">
        <v>1.6789107986126144</v>
      </c>
      <c r="O16" s="2988">
        <v>1.6789107986126144</v>
      </c>
      <c r="P16" s="2947">
        <v>1.9610197187513529</v>
      </c>
      <c r="Q16" s="2947">
        <v>2.2431286388900915</v>
      </c>
      <c r="R16" s="2947">
        <v>2.5252375590288301</v>
      </c>
      <c r="S16" s="2947">
        <v>2.8073464791675686</v>
      </c>
      <c r="T16" s="2947">
        <v>3.0894553993063072</v>
      </c>
      <c r="U16" s="2947">
        <v>3.3715643194450458</v>
      </c>
      <c r="V16" s="2947">
        <v>3.6536732395837843</v>
      </c>
      <c r="W16" s="2947">
        <v>3.9357821597225229</v>
      </c>
      <c r="X16" s="2947">
        <v>4.2178910798612614</v>
      </c>
      <c r="Y16" s="2947">
        <v>4.5</v>
      </c>
      <c r="Z16" s="2947">
        <v>4.5</v>
      </c>
      <c r="AA16" s="2947">
        <v>4.5</v>
      </c>
      <c r="AB16" s="2947">
        <v>4.5</v>
      </c>
      <c r="AC16" s="2947">
        <v>4.5</v>
      </c>
      <c r="AD16" s="2947">
        <v>4.5</v>
      </c>
    </row>
    <row r="17" spans="1:31" s="2963" customFormat="1" x14ac:dyDescent="0.25">
      <c r="A17" s="2968" t="s">
        <v>5047</v>
      </c>
      <c r="B17" s="2969" t="s">
        <v>4405</v>
      </c>
      <c r="C17" s="2969">
        <v>2008</v>
      </c>
      <c r="D17" s="2969">
        <v>2009</v>
      </c>
      <c r="E17" s="2969">
        <v>2010</v>
      </c>
      <c r="F17" s="2969">
        <v>2011</v>
      </c>
      <c r="G17" s="2969">
        <v>2012</v>
      </c>
      <c r="H17" s="2969">
        <v>2013</v>
      </c>
      <c r="I17" s="2969">
        <v>2014</v>
      </c>
      <c r="J17" s="2969">
        <v>2015</v>
      </c>
      <c r="K17" s="2969">
        <v>2016</v>
      </c>
      <c r="L17" s="2969">
        <v>2017</v>
      </c>
      <c r="M17" s="2969">
        <v>2018</v>
      </c>
      <c r="N17" s="2969">
        <v>2019</v>
      </c>
      <c r="O17" s="2969">
        <v>2020</v>
      </c>
      <c r="P17" s="2968">
        <v>2021</v>
      </c>
      <c r="Q17" s="2968">
        <v>2022</v>
      </c>
      <c r="R17" s="2968">
        <v>2023</v>
      </c>
      <c r="S17" s="2968">
        <v>2024</v>
      </c>
      <c r="T17" s="2968">
        <v>2025</v>
      </c>
      <c r="U17" s="2968">
        <v>2026</v>
      </c>
      <c r="V17" s="2968">
        <v>2027</v>
      </c>
      <c r="W17" s="2968">
        <v>2028</v>
      </c>
      <c r="X17" s="2968">
        <v>2029</v>
      </c>
      <c r="Y17" s="2968">
        <v>2030</v>
      </c>
      <c r="Z17" s="2968">
        <v>2031</v>
      </c>
      <c r="AA17" s="2968">
        <v>2032</v>
      </c>
      <c r="AB17" s="2968">
        <v>2033</v>
      </c>
      <c r="AC17" s="2968">
        <v>2034</v>
      </c>
      <c r="AD17" s="2968">
        <v>2035</v>
      </c>
    </row>
    <row r="18" spans="1:31" x14ac:dyDescent="0.25">
      <c r="A18" s="2946" t="s">
        <v>947</v>
      </c>
      <c r="B18" s="2977">
        <v>0</v>
      </c>
      <c r="C18" s="2977">
        <v>0</v>
      </c>
      <c r="D18" s="2977">
        <v>0</v>
      </c>
      <c r="E18" s="2977">
        <v>0</v>
      </c>
      <c r="F18" s="2977">
        <v>0</v>
      </c>
      <c r="G18" s="2977">
        <v>0</v>
      </c>
      <c r="H18" s="2977">
        <v>0</v>
      </c>
      <c r="I18" s="2977">
        <v>0</v>
      </c>
      <c r="J18" s="2977">
        <v>0</v>
      </c>
      <c r="K18" s="2977">
        <v>0</v>
      </c>
      <c r="L18" s="2977">
        <v>0</v>
      </c>
      <c r="M18" s="2977">
        <v>0</v>
      </c>
      <c r="N18" s="2977">
        <v>0</v>
      </c>
      <c r="O18" s="2977">
        <v>0</v>
      </c>
      <c r="P18" s="2947">
        <v>0.6</v>
      </c>
      <c r="Q18" s="2947">
        <v>1.088888888888889</v>
      </c>
      <c r="R18" s="2947">
        <v>1.5777777777777779</v>
      </c>
      <c r="S18" s="2947">
        <v>2.0666666666666669</v>
      </c>
      <c r="T18" s="2947">
        <v>2.5555555555555558</v>
      </c>
      <c r="U18" s="2947">
        <v>3.0444444444444447</v>
      </c>
      <c r="V18" s="2947">
        <v>3.5333333333333337</v>
      </c>
      <c r="W18" s="2947">
        <v>4.0222222222222221</v>
      </c>
      <c r="X18" s="2947">
        <v>4.5111111111111111</v>
      </c>
      <c r="Y18" s="2947">
        <v>5</v>
      </c>
      <c r="Z18" s="2947">
        <v>4.5</v>
      </c>
      <c r="AA18" s="2947">
        <v>4</v>
      </c>
      <c r="AB18" s="2947">
        <v>3.5</v>
      </c>
      <c r="AC18" s="2947">
        <v>3</v>
      </c>
      <c r="AD18" s="2947">
        <v>2.5</v>
      </c>
    </row>
    <row r="19" spans="1:31" x14ac:dyDescent="0.25">
      <c r="A19" s="2946" t="s">
        <v>339</v>
      </c>
      <c r="B19" s="2977">
        <v>0</v>
      </c>
      <c r="C19" s="2977">
        <v>0</v>
      </c>
      <c r="D19" s="2977">
        <v>0</v>
      </c>
      <c r="E19" s="2977">
        <v>0</v>
      </c>
      <c r="F19" s="2977">
        <v>0</v>
      </c>
      <c r="G19" s="2977">
        <v>0</v>
      </c>
      <c r="H19" s="2977">
        <v>0</v>
      </c>
      <c r="I19" s="2977">
        <v>0</v>
      </c>
      <c r="J19" s="2977">
        <v>0</v>
      </c>
      <c r="K19" s="2977">
        <v>0</v>
      </c>
      <c r="L19" s="2977">
        <v>0</v>
      </c>
      <c r="M19" s="2977">
        <v>0</v>
      </c>
      <c r="N19" s="2977">
        <v>0</v>
      </c>
      <c r="O19" s="2977">
        <v>0</v>
      </c>
      <c r="P19" s="2947">
        <v>0</v>
      </c>
      <c r="Q19" s="2947">
        <v>0</v>
      </c>
      <c r="R19" s="2947">
        <v>0</v>
      </c>
      <c r="S19" s="2947">
        <v>0</v>
      </c>
      <c r="T19" s="2947">
        <v>0</v>
      </c>
      <c r="U19" s="2947">
        <v>0</v>
      </c>
      <c r="V19" s="2947">
        <v>0</v>
      </c>
      <c r="W19" s="2947">
        <v>0</v>
      </c>
      <c r="X19" s="2947">
        <v>0</v>
      </c>
      <c r="Y19" s="2947">
        <v>0</v>
      </c>
      <c r="Z19" s="2947">
        <v>0</v>
      </c>
      <c r="AA19" s="2947">
        <v>0</v>
      </c>
      <c r="AB19" s="2947">
        <v>0</v>
      </c>
      <c r="AC19" s="2947">
        <v>0</v>
      </c>
      <c r="AD19" s="2947">
        <v>0</v>
      </c>
    </row>
    <row r="20" spans="1:31" x14ac:dyDescent="0.25">
      <c r="A20" s="2946" t="s">
        <v>948</v>
      </c>
      <c r="B20" s="2977">
        <v>0</v>
      </c>
      <c r="C20" s="2977">
        <v>0</v>
      </c>
      <c r="D20" s="2977">
        <v>0</v>
      </c>
      <c r="E20" s="2977">
        <v>0</v>
      </c>
      <c r="F20" s="2977">
        <v>0</v>
      </c>
      <c r="G20" s="2977">
        <v>0</v>
      </c>
      <c r="H20" s="2977">
        <v>0</v>
      </c>
      <c r="I20" s="2977">
        <v>0</v>
      </c>
      <c r="J20" s="2977">
        <v>0</v>
      </c>
      <c r="K20" s="2977">
        <v>0</v>
      </c>
      <c r="L20" s="2977">
        <v>0</v>
      </c>
      <c r="M20" s="2977">
        <v>0</v>
      </c>
      <c r="N20" s="2977">
        <v>0</v>
      </c>
      <c r="O20" s="2977">
        <v>0</v>
      </c>
      <c r="P20" s="2947">
        <v>0.8</v>
      </c>
      <c r="Q20" s="2947">
        <v>1.1555555555555557</v>
      </c>
      <c r="R20" s="2947">
        <v>1.5111111111111113</v>
      </c>
      <c r="S20" s="2947">
        <v>1.8666666666666669</v>
      </c>
      <c r="T20" s="2947">
        <v>2.2222222222222223</v>
      </c>
      <c r="U20" s="2947">
        <v>2.5777777777777779</v>
      </c>
      <c r="V20" s="2947">
        <v>2.9333333333333336</v>
      </c>
      <c r="W20" s="2947">
        <v>3.2888888888888892</v>
      </c>
      <c r="X20" s="2947">
        <v>3.6444444444444448</v>
      </c>
      <c r="Y20" s="2947">
        <v>4</v>
      </c>
      <c r="Z20" s="2947">
        <v>3.6</v>
      </c>
      <c r="AA20" s="2947">
        <v>3.2</v>
      </c>
      <c r="AB20" s="2947">
        <v>2.8000000000000003</v>
      </c>
      <c r="AC20" s="2947">
        <v>2.4000000000000004</v>
      </c>
      <c r="AD20" s="2947">
        <v>2.0000000000000004</v>
      </c>
    </row>
    <row r="21" spans="1:31" x14ac:dyDescent="0.25">
      <c r="A21" s="2984" t="s">
        <v>5046</v>
      </c>
      <c r="B21" s="2969" t="s">
        <v>4405</v>
      </c>
      <c r="C21" s="2969">
        <v>2008</v>
      </c>
      <c r="D21" s="2969">
        <v>2009</v>
      </c>
      <c r="E21" s="2969">
        <v>2010</v>
      </c>
      <c r="F21" s="2969">
        <v>2011</v>
      </c>
      <c r="G21" s="2969">
        <v>2012</v>
      </c>
      <c r="H21" s="2969">
        <v>2013</v>
      </c>
      <c r="I21" s="2969">
        <v>2014</v>
      </c>
      <c r="J21" s="2969">
        <v>2015</v>
      </c>
      <c r="K21" s="2969">
        <v>2016</v>
      </c>
      <c r="L21" s="2969">
        <v>2017</v>
      </c>
      <c r="M21" s="2969">
        <v>2018</v>
      </c>
      <c r="N21" s="2969">
        <v>2019</v>
      </c>
      <c r="O21" s="2969">
        <v>2020</v>
      </c>
      <c r="P21" s="2968">
        <v>2021</v>
      </c>
      <c r="Q21" s="2968">
        <v>2022</v>
      </c>
      <c r="R21" s="2968">
        <v>2023</v>
      </c>
      <c r="S21" s="2968">
        <v>2024</v>
      </c>
      <c r="T21" s="2968">
        <v>2025</v>
      </c>
      <c r="U21" s="2968">
        <v>2026</v>
      </c>
      <c r="V21" s="2968">
        <v>2027</v>
      </c>
      <c r="W21" s="2968">
        <v>2028</v>
      </c>
      <c r="X21" s="2968">
        <v>2029</v>
      </c>
      <c r="Y21" s="2968">
        <v>2030</v>
      </c>
      <c r="Z21" s="2968">
        <v>2031</v>
      </c>
      <c r="AA21" s="2968">
        <v>2032</v>
      </c>
      <c r="AB21" s="2968">
        <v>2033</v>
      </c>
      <c r="AC21" s="2968">
        <v>2034</v>
      </c>
      <c r="AD21" s="2968">
        <v>2035</v>
      </c>
    </row>
    <row r="22" spans="1:31" x14ac:dyDescent="0.25">
      <c r="A22" s="2962" t="s">
        <v>625</v>
      </c>
      <c r="B22" s="2987">
        <v>0</v>
      </c>
      <c r="C22" s="2987">
        <v>0</v>
      </c>
      <c r="D22" s="2987">
        <v>0</v>
      </c>
      <c r="E22" s="2986">
        <v>1.0142566825650907</v>
      </c>
      <c r="F22" s="2986">
        <v>1.4260699972371709</v>
      </c>
      <c r="G22" s="2986">
        <v>2.997581703581107</v>
      </c>
      <c r="H22" s="2986">
        <v>3.8702570810565029</v>
      </c>
      <c r="I22" s="2986">
        <v>5.2069511472125907</v>
      </c>
      <c r="J22" s="2986">
        <v>6.9020268465605996</v>
      </c>
      <c r="K22" s="2986">
        <v>8.2126575798770283</v>
      </c>
      <c r="L22" s="2986">
        <v>11.325016809362076</v>
      </c>
      <c r="M22" s="2986">
        <v>11.325016809362076</v>
      </c>
      <c r="N22" s="2986">
        <v>11.325016809362076</v>
      </c>
      <c r="O22" s="2986">
        <v>11.325016809362076</v>
      </c>
      <c r="P22" s="2985">
        <v>18.477288008510978</v>
      </c>
      <c r="Q22" s="2985">
        <v>25.629559207659881</v>
      </c>
      <c r="R22" s="2985">
        <v>32.78183040680878</v>
      </c>
      <c r="S22" s="2985">
        <v>39.934101605957679</v>
      </c>
      <c r="T22" s="2985">
        <v>47.086372805106578</v>
      </c>
      <c r="U22" s="2985">
        <v>54.238644004255477</v>
      </c>
      <c r="V22" s="2985">
        <v>61.390915203404376</v>
      </c>
      <c r="W22" s="2985">
        <v>68.543186402553275</v>
      </c>
      <c r="X22" s="2985">
        <v>75.695457601702174</v>
      </c>
      <c r="Y22" s="2985">
        <v>90</v>
      </c>
      <c r="Z22" s="2985">
        <v>90</v>
      </c>
      <c r="AA22" s="2985">
        <v>90</v>
      </c>
      <c r="AB22" s="2985">
        <v>90</v>
      </c>
      <c r="AC22" s="2985">
        <v>90</v>
      </c>
      <c r="AD22" s="2985">
        <v>90</v>
      </c>
    </row>
    <row r="23" spans="1:31" x14ac:dyDescent="0.25">
      <c r="A23" s="2984" t="s">
        <v>5045</v>
      </c>
      <c r="B23" s="2969" t="s">
        <v>4405</v>
      </c>
      <c r="C23" s="2969">
        <v>2008</v>
      </c>
      <c r="D23" s="2969">
        <v>2009</v>
      </c>
      <c r="E23" s="2969">
        <v>2010</v>
      </c>
      <c r="F23" s="2969">
        <v>2011</v>
      </c>
      <c r="G23" s="2969">
        <v>2012</v>
      </c>
      <c r="H23" s="2969">
        <v>2013</v>
      </c>
      <c r="I23" s="2969">
        <v>2014</v>
      </c>
      <c r="J23" s="2969">
        <v>2015</v>
      </c>
      <c r="K23" s="2969">
        <v>2016</v>
      </c>
      <c r="L23" s="2969">
        <v>2017</v>
      </c>
      <c r="M23" s="2969">
        <v>2018</v>
      </c>
      <c r="N23" s="2969">
        <v>2019</v>
      </c>
      <c r="O23" s="2969">
        <v>2020</v>
      </c>
      <c r="P23" s="2968">
        <v>2021</v>
      </c>
      <c r="Q23" s="2968">
        <v>2022</v>
      </c>
      <c r="R23" s="2968">
        <v>2023</v>
      </c>
      <c r="S23" s="2968">
        <v>2024</v>
      </c>
      <c r="T23" s="2968">
        <v>2025</v>
      </c>
      <c r="U23" s="2968">
        <v>2026</v>
      </c>
      <c r="V23" s="2968">
        <v>2027</v>
      </c>
      <c r="W23" s="2968">
        <v>2028</v>
      </c>
      <c r="X23" s="2968">
        <v>2029</v>
      </c>
      <c r="Y23" s="2968">
        <v>2030</v>
      </c>
      <c r="Z23" s="2968">
        <v>2031</v>
      </c>
      <c r="AA23" s="2968">
        <v>2032</v>
      </c>
      <c r="AB23" s="2968">
        <v>2033</v>
      </c>
      <c r="AC23" s="2968">
        <v>2034</v>
      </c>
      <c r="AD23" s="2968">
        <v>2035</v>
      </c>
    </row>
    <row r="24" spans="1:31" x14ac:dyDescent="0.25">
      <c r="A24" s="2983" t="s">
        <v>5044</v>
      </c>
      <c r="B24" s="2982">
        <v>0</v>
      </c>
      <c r="C24" s="2982">
        <v>0</v>
      </c>
      <c r="D24" s="2982">
        <v>0</v>
      </c>
      <c r="E24" s="2982">
        <v>0</v>
      </c>
      <c r="F24" s="2982">
        <v>0</v>
      </c>
      <c r="G24" s="2981">
        <v>24.031857784742854</v>
      </c>
      <c r="H24" s="2981">
        <v>48.955568896554915</v>
      </c>
      <c r="I24" s="2981">
        <v>66.948202726706214</v>
      </c>
      <c r="J24" s="2981">
        <v>82.991995530477652</v>
      </c>
      <c r="K24" s="2981">
        <v>82.384153283404942</v>
      </c>
      <c r="L24" s="2981">
        <v>90.169864073941156</v>
      </c>
      <c r="M24" s="2981">
        <v>89.821074708357202</v>
      </c>
      <c r="N24" s="2981">
        <v>89.821074708357202</v>
      </c>
      <c r="O24" s="2981">
        <v>89.821074708357202</v>
      </c>
      <c r="P24" s="2980">
        <v>90.746431553052005</v>
      </c>
      <c r="Q24" s="2980">
        <v>91.671788397746809</v>
      </c>
      <c r="R24" s="2980">
        <v>92.597145242441613</v>
      </c>
      <c r="S24" s="2980">
        <v>93.522502087136417</v>
      </c>
      <c r="T24" s="2980">
        <v>94.44785893183122</v>
      </c>
      <c r="U24" s="2980">
        <v>95.373215776526024</v>
      </c>
      <c r="V24" s="2980">
        <v>96.298572621220828</v>
      </c>
      <c r="W24" s="2980">
        <v>97.223929465915631</v>
      </c>
      <c r="X24" s="2980">
        <v>98.149286310610435</v>
      </c>
      <c r="Y24" s="2980">
        <v>100</v>
      </c>
      <c r="Z24" s="2980">
        <v>100</v>
      </c>
      <c r="AA24" s="2980">
        <v>100</v>
      </c>
      <c r="AB24" s="2980">
        <v>100</v>
      </c>
      <c r="AC24" s="2980">
        <v>100</v>
      </c>
      <c r="AD24" s="2980">
        <v>100</v>
      </c>
      <c r="AE24" s="2961"/>
    </row>
    <row r="25" spans="1:31" x14ac:dyDescent="0.25">
      <c r="B25" s="2977"/>
      <c r="C25" s="2977"/>
      <c r="D25" s="2977"/>
      <c r="E25" s="2979"/>
      <c r="F25" s="2979"/>
      <c r="G25" s="2979"/>
      <c r="H25" s="2979"/>
      <c r="I25" s="2979"/>
      <c r="J25" s="2979"/>
      <c r="K25" s="2979"/>
      <c r="L25" s="2979"/>
      <c r="M25" s="2978"/>
      <c r="N25" s="2978"/>
      <c r="O25" s="2978"/>
      <c r="P25" s="2961"/>
      <c r="Q25" s="2961"/>
      <c r="R25" s="2961"/>
      <c r="S25" s="2961"/>
      <c r="T25" s="2961"/>
      <c r="U25" s="2961"/>
      <c r="V25" s="2961"/>
      <c r="W25" s="2961"/>
      <c r="X25" s="2961"/>
      <c r="Y25" s="2961"/>
      <c r="Z25" s="2961"/>
      <c r="AA25" s="2961"/>
      <c r="AB25" s="2961"/>
      <c r="AC25" s="2961"/>
      <c r="AD25" s="2961"/>
    </row>
    <row r="26" spans="1:31" x14ac:dyDescent="0.25">
      <c r="A26" s="2968" t="s">
        <v>5043</v>
      </c>
      <c r="B26" s="2969" t="s">
        <v>4405</v>
      </c>
      <c r="C26" s="2969">
        <v>2008</v>
      </c>
      <c r="D26" s="2969">
        <v>2009</v>
      </c>
      <c r="E26" s="2969">
        <v>2010</v>
      </c>
      <c r="F26" s="2969">
        <v>2011</v>
      </c>
      <c r="G26" s="2969">
        <v>2012</v>
      </c>
      <c r="H26" s="2969">
        <v>2013</v>
      </c>
      <c r="I26" s="2969">
        <v>2014</v>
      </c>
      <c r="J26" s="2969">
        <v>2015</v>
      </c>
      <c r="K26" s="2969">
        <v>2016</v>
      </c>
      <c r="L26" s="2969">
        <v>2017</v>
      </c>
      <c r="M26" s="2969">
        <v>2018</v>
      </c>
      <c r="N26" s="2969">
        <v>2019</v>
      </c>
      <c r="O26" s="2969">
        <v>2020</v>
      </c>
      <c r="P26" s="2968">
        <v>2021</v>
      </c>
      <c r="Q26" s="2968">
        <v>2022</v>
      </c>
      <c r="R26" s="2968">
        <v>2023</v>
      </c>
      <c r="S26" s="2968">
        <v>2024</v>
      </c>
      <c r="T26" s="2968">
        <v>2025</v>
      </c>
      <c r="U26" s="2968">
        <v>2026</v>
      </c>
      <c r="V26" s="2968">
        <v>2027</v>
      </c>
      <c r="W26" s="2968">
        <v>2028</v>
      </c>
      <c r="X26" s="2968">
        <v>2029</v>
      </c>
      <c r="Y26" s="2968">
        <v>2030</v>
      </c>
      <c r="Z26" s="2968">
        <v>2031</v>
      </c>
      <c r="AA26" s="2968">
        <v>2032</v>
      </c>
      <c r="AB26" s="2968">
        <v>2033</v>
      </c>
      <c r="AC26" s="2968">
        <v>2034</v>
      </c>
      <c r="AD26" s="2968">
        <v>2035</v>
      </c>
    </row>
    <row r="27" spans="1:31" x14ac:dyDescent="0.25">
      <c r="A27" s="2946" t="s">
        <v>1977</v>
      </c>
      <c r="B27" s="2977">
        <v>0</v>
      </c>
      <c r="C27" s="2977">
        <v>0</v>
      </c>
      <c r="D27" s="2977">
        <v>0</v>
      </c>
      <c r="E27" s="2977">
        <v>0</v>
      </c>
      <c r="F27" s="2976">
        <v>2.3E-2</v>
      </c>
      <c r="G27" s="2976">
        <v>5.1000000000000004E-2</v>
      </c>
      <c r="H27" s="2976">
        <v>8.5999999999999993E-2</v>
      </c>
      <c r="I27" s="2976">
        <v>0.105</v>
      </c>
      <c r="J27" s="2976">
        <v>0.13</v>
      </c>
      <c r="K27" s="2976">
        <v>0.121</v>
      </c>
      <c r="L27" s="2976">
        <v>9.4E-2</v>
      </c>
      <c r="M27" s="2976">
        <v>9.4E-2</v>
      </c>
      <c r="N27" s="2976">
        <v>9.4E-2</v>
      </c>
      <c r="O27" s="2976">
        <v>9.4E-2</v>
      </c>
      <c r="P27" s="2975">
        <v>9.8500000000000004E-2</v>
      </c>
      <c r="Q27" s="2975">
        <v>0.10300000000000001</v>
      </c>
      <c r="R27" s="2975">
        <v>0.10750000000000001</v>
      </c>
      <c r="S27" s="2975">
        <v>0.11200000000000002</v>
      </c>
      <c r="T27" s="2975">
        <v>0.11650000000000002</v>
      </c>
      <c r="U27" s="2975">
        <v>0.12100000000000002</v>
      </c>
      <c r="V27" s="2975">
        <v>0.12550000000000003</v>
      </c>
      <c r="W27" s="2975">
        <v>0.13000000000000003</v>
      </c>
      <c r="X27" s="2975">
        <v>0.13450000000000004</v>
      </c>
      <c r="Y27" s="2975">
        <v>0.13899999999999998</v>
      </c>
      <c r="Z27" s="2975">
        <v>0.14299999999999999</v>
      </c>
      <c r="AA27" s="2975">
        <v>0.14699999999999999</v>
      </c>
      <c r="AB27" s="2975">
        <v>0.151</v>
      </c>
      <c r="AC27" s="2975">
        <v>0.155</v>
      </c>
      <c r="AD27" s="2975">
        <v>0.159</v>
      </c>
    </row>
    <row r="28" spans="1:31" x14ac:dyDescent="0.25">
      <c r="A28" s="2949" t="s">
        <v>1941</v>
      </c>
      <c r="B28" s="2974">
        <v>0</v>
      </c>
      <c r="C28" s="2974">
        <v>0</v>
      </c>
      <c r="D28" s="2974">
        <v>0</v>
      </c>
      <c r="E28" s="2974">
        <v>0</v>
      </c>
      <c r="F28" s="2973">
        <v>7.0000000000000001E-3</v>
      </c>
      <c r="G28" s="2973">
        <v>1.4999999999999999E-2</v>
      </c>
      <c r="H28" s="2973">
        <v>2.5000000000000001E-2</v>
      </c>
      <c r="I28" s="2973">
        <v>0.34600000000000003</v>
      </c>
      <c r="J28" s="2973">
        <v>3.9E-2</v>
      </c>
      <c r="K28" s="2973">
        <v>1.9E-2</v>
      </c>
      <c r="L28" s="2973">
        <v>1.4999999999999999E-2</v>
      </c>
      <c r="M28" s="2973">
        <v>1.4999999999999999E-2</v>
      </c>
      <c r="N28" s="2973">
        <v>1.4999999999999999E-2</v>
      </c>
      <c r="O28" s="2973">
        <v>1.4999999999999999E-2</v>
      </c>
      <c r="P28" s="2972">
        <v>1.5699999999999999E-2</v>
      </c>
      <c r="Q28" s="2972">
        <v>1.6399999999999998E-2</v>
      </c>
      <c r="R28" s="2972">
        <v>1.7099999999999997E-2</v>
      </c>
      <c r="S28" s="2972">
        <v>1.7799999999999996E-2</v>
      </c>
      <c r="T28" s="2972">
        <v>1.8499999999999996E-2</v>
      </c>
      <c r="U28" s="2972">
        <v>1.9199999999999995E-2</v>
      </c>
      <c r="V28" s="2972">
        <v>1.9899999999999994E-2</v>
      </c>
      <c r="W28" s="2972">
        <v>2.0599999999999993E-2</v>
      </c>
      <c r="X28" s="2972">
        <v>2.1299999999999993E-2</v>
      </c>
      <c r="Y28" s="2972">
        <v>2.1999999999999999E-2</v>
      </c>
      <c r="Z28" s="2972">
        <v>2.4E-2</v>
      </c>
      <c r="AA28" s="2972">
        <v>2.6000000000000002E-2</v>
      </c>
      <c r="AB28" s="2972">
        <v>2.8000000000000004E-2</v>
      </c>
      <c r="AC28" s="2972">
        <v>3.0000000000000006E-2</v>
      </c>
      <c r="AD28" s="2972">
        <v>3.2000000000000008E-2</v>
      </c>
    </row>
    <row r="30" spans="1:31" x14ac:dyDescent="0.25">
      <c r="A30" s="2946" t="s">
        <v>5042</v>
      </c>
      <c r="B30" s="2946" t="s">
        <v>5041</v>
      </c>
    </row>
    <row r="31" spans="1:31" x14ac:dyDescent="0.25">
      <c r="B31" s="2962" t="s">
        <v>5040</v>
      </c>
      <c r="C31" s="2962"/>
      <c r="D31" s="2962"/>
    </row>
    <row r="32" spans="1:31" x14ac:dyDescent="0.25">
      <c r="B32" s="2946" t="s">
        <v>5039</v>
      </c>
    </row>
    <row r="34" spans="1:2" x14ac:dyDescent="0.25">
      <c r="A34" s="2962" t="s">
        <v>2564</v>
      </c>
      <c r="B34" s="2946" t="s">
        <v>5038</v>
      </c>
    </row>
  </sheetData>
  <pageMargins left="0.7" right="0.7" top="0.75" bottom="0.75" header="0.3" footer="0.3"/>
  <pageSetup paperSize="9"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5CA90-6E20-4B6A-ABB4-2BDE74CE3966}">
  <sheetPr codeName="Ark169">
    <tabColor theme="0" tint="-0.499984740745262"/>
  </sheetPr>
  <dimension ref="A1:AU9"/>
  <sheetViews>
    <sheetView workbookViewId="0"/>
  </sheetViews>
  <sheetFormatPr defaultColWidth="9.140625" defaultRowHeight="15" x14ac:dyDescent="0.25"/>
  <cols>
    <col min="1" max="1" width="10.140625" style="2946" bestFit="1" customWidth="1"/>
    <col min="2" max="2" width="10.140625" style="2946" customWidth="1"/>
    <col min="3" max="6" width="10.140625" style="2946" hidden="1" customWidth="1"/>
    <col min="7" max="7" width="10.140625" style="2946" customWidth="1"/>
    <col min="8" max="11" width="10.140625" style="2946" hidden="1" customWidth="1"/>
    <col min="12" max="12" width="10.140625" style="2946" customWidth="1"/>
    <col min="13" max="16" width="10.140625" style="2946" hidden="1" customWidth="1"/>
    <col min="17" max="17" width="10.140625" style="2946" customWidth="1"/>
    <col min="18" max="21" width="10.140625" style="2946" hidden="1" customWidth="1"/>
    <col min="22" max="22" width="9.28515625" style="2946" bestFit="1" customWidth="1"/>
    <col min="23" max="26" width="9.28515625" style="2946" hidden="1" customWidth="1"/>
    <col min="27" max="33" width="9.28515625" style="2946" bestFit="1" customWidth="1"/>
    <col min="34" max="44" width="10.140625" style="2946" bestFit="1" customWidth="1"/>
    <col min="45" max="47" width="9.28515625" style="2946" bestFit="1" customWidth="1"/>
    <col min="48" max="16384" width="9.140625" style="2946"/>
  </cols>
  <sheetData>
    <row r="1" spans="1:47" ht="18.75" x14ac:dyDescent="0.3">
      <c r="A1" s="2971" t="s">
        <v>5054</v>
      </c>
      <c r="B1" s="2971"/>
      <c r="C1" s="2971"/>
      <c r="D1" s="2971"/>
      <c r="E1" s="2971"/>
      <c r="F1" s="2971"/>
      <c r="G1" s="2971"/>
      <c r="H1" s="2971"/>
      <c r="I1" s="2971"/>
      <c r="J1" s="2971"/>
      <c r="K1" s="2971"/>
      <c r="L1" s="2971"/>
      <c r="M1" s="2971"/>
      <c r="N1" s="2971"/>
      <c r="O1" s="2971"/>
      <c r="P1" s="2971"/>
      <c r="Q1" s="2971"/>
      <c r="R1" s="2971"/>
      <c r="S1" s="2971"/>
      <c r="T1" s="2971"/>
      <c r="U1" s="2971"/>
    </row>
    <row r="2" spans="1:47" ht="16.5" x14ac:dyDescent="0.3">
      <c r="A2" s="2970" t="s">
        <v>5037</v>
      </c>
      <c r="B2" s="2970"/>
      <c r="C2" s="2970"/>
      <c r="D2" s="2970"/>
      <c r="E2" s="2970"/>
      <c r="F2" s="2970"/>
      <c r="G2" s="2970"/>
      <c r="H2" s="2970"/>
      <c r="I2" s="2970"/>
      <c r="J2" s="2970"/>
      <c r="K2" s="2970"/>
      <c r="L2" s="2970"/>
      <c r="M2" s="2970"/>
      <c r="N2" s="2970"/>
      <c r="O2" s="2970"/>
      <c r="P2" s="2970"/>
      <c r="Q2" s="2970"/>
      <c r="R2" s="2970"/>
      <c r="S2" s="2970"/>
      <c r="T2" s="2970"/>
      <c r="U2" s="2970"/>
    </row>
    <row r="3" spans="1:47" ht="16.5" x14ac:dyDescent="0.3">
      <c r="A3" s="2970"/>
      <c r="B3" s="2970"/>
      <c r="C3" s="2970"/>
      <c r="D3" s="2970"/>
      <c r="E3" s="2970"/>
      <c r="F3" s="2970"/>
      <c r="G3" s="2970"/>
      <c r="H3" s="2970"/>
      <c r="I3" s="2970"/>
      <c r="J3" s="2970"/>
      <c r="K3" s="2970"/>
      <c r="L3" s="2970"/>
      <c r="M3" s="2970"/>
      <c r="N3" s="2970"/>
      <c r="O3" s="2970"/>
      <c r="P3" s="2970"/>
      <c r="Q3" s="2970"/>
      <c r="R3" s="2970"/>
      <c r="S3" s="2970"/>
      <c r="T3" s="2970"/>
      <c r="U3" s="2970"/>
    </row>
    <row r="4" spans="1:47" ht="16.5" x14ac:dyDescent="0.3">
      <c r="A4" s="2970" t="s">
        <v>5053</v>
      </c>
      <c r="B4" s="2970"/>
      <c r="C4" s="2970"/>
      <c r="D4" s="2970"/>
      <c r="E4" s="2970"/>
      <c r="F4" s="2970"/>
      <c r="G4" s="2970"/>
      <c r="H4" s="2970"/>
      <c r="I4" s="2970"/>
      <c r="J4" s="2970"/>
      <c r="K4" s="2970"/>
      <c r="L4" s="2970"/>
      <c r="M4" s="2970"/>
      <c r="N4" s="2970"/>
      <c r="O4" s="2970"/>
      <c r="P4" s="2970"/>
      <c r="Q4" s="2970"/>
      <c r="R4" s="2970"/>
      <c r="S4" s="2970"/>
      <c r="T4" s="2970"/>
      <c r="U4" s="2970"/>
    </row>
    <row r="6" spans="1:47" s="2963" customFormat="1" x14ac:dyDescent="0.25">
      <c r="A6" s="2968" t="s">
        <v>1825</v>
      </c>
      <c r="B6" s="2969">
        <v>1990</v>
      </c>
      <c r="C6" s="2969">
        <v>1991</v>
      </c>
      <c r="D6" s="2969">
        <v>1992</v>
      </c>
      <c r="E6" s="2969">
        <v>1993</v>
      </c>
      <c r="F6" s="2969">
        <v>1994</v>
      </c>
      <c r="G6" s="2969">
        <v>1995</v>
      </c>
      <c r="H6" s="2969">
        <v>1996</v>
      </c>
      <c r="I6" s="2969">
        <v>1997</v>
      </c>
      <c r="J6" s="2969">
        <v>1998</v>
      </c>
      <c r="K6" s="2969">
        <v>1999</v>
      </c>
      <c r="L6" s="2969">
        <v>2000</v>
      </c>
      <c r="M6" s="2969">
        <v>2001</v>
      </c>
      <c r="N6" s="2969">
        <v>2002</v>
      </c>
      <c r="O6" s="2969">
        <v>2003</v>
      </c>
      <c r="P6" s="2969">
        <v>2004</v>
      </c>
      <c r="Q6" s="2969">
        <v>2005</v>
      </c>
      <c r="R6" s="2969">
        <v>2006</v>
      </c>
      <c r="S6" s="2969">
        <v>2007</v>
      </c>
      <c r="T6" s="2969">
        <v>2008</v>
      </c>
      <c r="U6" s="2969">
        <v>2009</v>
      </c>
      <c r="V6" s="2969">
        <v>2010</v>
      </c>
      <c r="W6" s="2969">
        <v>2011</v>
      </c>
      <c r="X6" s="2969">
        <v>2012</v>
      </c>
      <c r="Y6" s="2969">
        <v>2013</v>
      </c>
      <c r="Z6" s="2969">
        <v>2014</v>
      </c>
      <c r="AA6" s="2969">
        <v>2015</v>
      </c>
      <c r="AB6" s="2969">
        <v>2016</v>
      </c>
      <c r="AC6" s="2969">
        <v>2017</v>
      </c>
      <c r="AD6" s="2969">
        <v>2018</v>
      </c>
      <c r="AE6" s="2969">
        <v>2019</v>
      </c>
      <c r="AF6" s="2969">
        <v>2020</v>
      </c>
      <c r="AG6" s="2968">
        <v>2021</v>
      </c>
      <c r="AH6" s="2968">
        <v>2022</v>
      </c>
      <c r="AI6" s="2968">
        <v>2023</v>
      </c>
      <c r="AJ6" s="2968">
        <v>2024</v>
      </c>
      <c r="AK6" s="2968">
        <v>2025</v>
      </c>
      <c r="AL6" s="2968">
        <v>2026</v>
      </c>
      <c r="AM6" s="2968">
        <v>2027</v>
      </c>
      <c r="AN6" s="2968">
        <v>2028</v>
      </c>
      <c r="AO6" s="2968">
        <v>2029</v>
      </c>
      <c r="AP6" s="2968">
        <v>2030</v>
      </c>
      <c r="AQ6" s="2968">
        <v>2031</v>
      </c>
      <c r="AR6" s="2968">
        <v>2032</v>
      </c>
      <c r="AS6" s="2968">
        <v>2033</v>
      </c>
      <c r="AT6" s="2968">
        <v>2034</v>
      </c>
      <c r="AU6" s="2968">
        <v>2035</v>
      </c>
    </row>
    <row r="7" spans="1:47" x14ac:dyDescent="0.25">
      <c r="A7" s="2946" t="s">
        <v>1977</v>
      </c>
      <c r="B7" s="2995">
        <v>129.16181416057856</v>
      </c>
      <c r="C7" s="2995">
        <v>190.55256438486532</v>
      </c>
      <c r="D7" s="2995">
        <v>185.70389862443619</v>
      </c>
      <c r="E7" s="2995">
        <v>278.31341464863277</v>
      </c>
      <c r="F7" s="2995">
        <v>263.90923502313052</v>
      </c>
      <c r="G7" s="2995">
        <v>361.6322922822323</v>
      </c>
      <c r="H7" s="2995">
        <v>458.14033326570302</v>
      </c>
      <c r="I7" s="2995">
        <v>510.71206288003503</v>
      </c>
      <c r="J7" s="2995">
        <v>598.92777455062128</v>
      </c>
      <c r="K7" s="2995">
        <v>604.01395518040567</v>
      </c>
      <c r="L7" s="2995">
        <v>699.02507550829034</v>
      </c>
      <c r="M7" s="2995">
        <v>791.76231698662434</v>
      </c>
      <c r="N7" s="2995">
        <v>902.6690099826518</v>
      </c>
      <c r="O7" s="2995">
        <v>1087.6367674313328</v>
      </c>
      <c r="P7" s="2995">
        <v>1070.8060582436126</v>
      </c>
      <c r="Q7" s="2995">
        <v>1078.0209301870227</v>
      </c>
      <c r="R7" s="2995">
        <v>1206.0456375139941</v>
      </c>
      <c r="S7" s="2995">
        <v>1176.5420773544272</v>
      </c>
      <c r="T7" s="2995">
        <v>1168.8133338158448</v>
      </c>
      <c r="U7" s="2995">
        <v>1238.4073034248624</v>
      </c>
      <c r="V7" s="2995">
        <v>1240.4962486438687</v>
      </c>
      <c r="W7" s="2995">
        <v>1157.4980127824131</v>
      </c>
      <c r="X7" s="2995">
        <v>1191.3619423450723</v>
      </c>
      <c r="Y7" s="2995">
        <v>1205.4293380510096</v>
      </c>
      <c r="Z7" s="2995">
        <v>1474.0388254259399</v>
      </c>
      <c r="AA7" s="2995">
        <v>1691.1970659911879</v>
      </c>
      <c r="AB7" s="2995">
        <v>2429.2826558208853</v>
      </c>
      <c r="AC7" s="2995">
        <v>3205.8455912210266</v>
      </c>
      <c r="AD7" s="2995">
        <v>3543.3495192295245</v>
      </c>
      <c r="AE7" s="2995">
        <v>4431.8504551706601</v>
      </c>
      <c r="AF7" s="2995">
        <v>5166.1582149302085</v>
      </c>
      <c r="AG7" s="2994">
        <v>8098.5394307224606</v>
      </c>
      <c r="AH7" s="2994">
        <v>9120.6562828666229</v>
      </c>
      <c r="AI7" s="2994">
        <v>10178.814249044457</v>
      </c>
      <c r="AJ7" s="2994">
        <v>11047.837471180374</v>
      </c>
      <c r="AK7" s="2994">
        <v>11250.853584862705</v>
      </c>
      <c r="AL7" s="2994">
        <v>12071.516050307886</v>
      </c>
      <c r="AM7" s="2994">
        <v>12645.494448016025</v>
      </c>
      <c r="AN7" s="2994">
        <v>13232.579399607735</v>
      </c>
      <c r="AO7" s="2994">
        <v>13907.291025735252</v>
      </c>
      <c r="AP7" s="2994">
        <v>14587.619746384296</v>
      </c>
      <c r="AQ7" s="2994">
        <v>14587.619746384296</v>
      </c>
      <c r="AR7" s="2994">
        <v>14015.201331958071</v>
      </c>
      <c r="AS7" s="2994">
        <v>13154.640063419129</v>
      </c>
      <c r="AT7" s="2994">
        <v>13008.381009443938</v>
      </c>
      <c r="AU7" s="2994">
        <v>12627.062610687819</v>
      </c>
    </row>
    <row r="8" spans="1:47" x14ac:dyDescent="0.25">
      <c r="A8" s="2949" t="s">
        <v>1941</v>
      </c>
      <c r="B8" s="2993">
        <v>91.078829233952732</v>
      </c>
      <c r="C8" s="2993">
        <v>134.36869545765438</v>
      </c>
      <c r="D8" s="2993">
        <v>130.94964468265047</v>
      </c>
      <c r="E8" s="2993">
        <v>196.25351448522545</v>
      </c>
      <c r="F8" s="2993">
        <v>186.09636529300928</v>
      </c>
      <c r="G8" s="2993">
        <v>255.00606358244403</v>
      </c>
      <c r="H8" s="2993">
        <v>323.05898960831263</v>
      </c>
      <c r="I8" s="2993">
        <v>360.13009777751546</v>
      </c>
      <c r="J8" s="2993">
        <v>422.33566365016623</v>
      </c>
      <c r="K8" s="2993">
        <v>425.92219872668073</v>
      </c>
      <c r="L8" s="2993">
        <v>492.91956679485924</v>
      </c>
      <c r="M8" s="2993">
        <v>558.31350257321674</v>
      </c>
      <c r="N8" s="2993">
        <v>636.51967997894258</v>
      </c>
      <c r="O8" s="2993">
        <v>766.95023256866739</v>
      </c>
      <c r="P8" s="2993">
        <v>755.08200899224016</v>
      </c>
      <c r="Q8" s="2993">
        <v>760.16959694499019</v>
      </c>
      <c r="R8" s="2993">
        <v>850.44659198520719</v>
      </c>
      <c r="S8" s="2993">
        <v>829.64207065643393</v>
      </c>
      <c r="T8" s="2993">
        <v>824.19212465251337</v>
      </c>
      <c r="U8" s="2993">
        <v>873.2665149042042</v>
      </c>
      <c r="V8" s="2993">
        <v>874.73954070612126</v>
      </c>
      <c r="W8" s="2993">
        <v>816.21309308788977</v>
      </c>
      <c r="X8" s="2993">
        <v>840.09234159390394</v>
      </c>
      <c r="Y8" s="2993">
        <v>850.01200662489077</v>
      </c>
      <c r="Z8" s="2993">
        <v>1039.4227685457904</v>
      </c>
      <c r="AA8" s="2993">
        <v>1192.5525340088125</v>
      </c>
      <c r="AB8" s="2993">
        <v>1713.0157361791157</v>
      </c>
      <c r="AC8" s="2993">
        <v>2017.8345726403602</v>
      </c>
      <c r="AD8" s="2993">
        <v>2197.9982393226646</v>
      </c>
      <c r="AE8" s="2993">
        <v>2640.816324829339</v>
      </c>
      <c r="AF8" s="2993">
        <v>3136.5135500697916</v>
      </c>
      <c r="AG8" s="2992">
        <v>4916.8410264374097</v>
      </c>
      <c r="AH8" s="2992">
        <v>5537.3956480980141</v>
      </c>
      <c r="AI8" s="2992">
        <v>6179.8317990930364</v>
      </c>
      <c r="AJ8" s="2992">
        <v>6707.4391618867894</v>
      </c>
      <c r="AK8" s="2992">
        <v>6830.6957028124807</v>
      </c>
      <c r="AL8" s="2992">
        <v>7328.9419499877176</v>
      </c>
      <c r="AM8" s="2992">
        <v>7677.419667270181</v>
      </c>
      <c r="AN8" s="2992">
        <v>8033.8547257993241</v>
      </c>
      <c r="AO8" s="2992">
        <v>8443.4902943776615</v>
      </c>
      <c r="AP8" s="2992">
        <v>8856.5361520617153</v>
      </c>
      <c r="AQ8" s="2992">
        <v>8856.5361520617153</v>
      </c>
      <c r="AR8" s="2992">
        <v>8509.0055425715509</v>
      </c>
      <c r="AS8" s="2992">
        <v>7986.5356593153519</v>
      </c>
      <c r="AT8" s="2992">
        <v>7897.7378553131803</v>
      </c>
      <c r="AU8" s="2992">
        <v>7666.2292032682217</v>
      </c>
    </row>
    <row r="9" spans="1:47" x14ac:dyDescent="0.25">
      <c r="A9" s="2991"/>
    </row>
  </sheetData>
  <pageMargins left="0.7" right="0.7" top="0.75" bottom="0.75" header="0.3" footer="0.3"/>
  <pageSetup paperSize="9"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D612E-6B30-4EB2-B5F2-E67F0126B651}">
  <sheetPr codeName="Ark170">
    <tabColor theme="0" tint="-0.499984740745262"/>
  </sheetPr>
  <dimension ref="A1:AU7"/>
  <sheetViews>
    <sheetView topLeftCell="L1" workbookViewId="0"/>
  </sheetViews>
  <sheetFormatPr defaultColWidth="9.140625" defaultRowHeight="15" x14ac:dyDescent="0.25"/>
  <cols>
    <col min="1" max="1" width="18.28515625" style="2946" bestFit="1" customWidth="1"/>
    <col min="2" max="2" width="9.5703125" style="2946" customWidth="1"/>
    <col min="3" max="6" width="9.42578125" style="2946" hidden="1" customWidth="1"/>
    <col min="7" max="7" width="9.42578125" style="2946" customWidth="1"/>
    <col min="8" max="8" width="9.42578125" style="2946" hidden="1" customWidth="1"/>
    <col min="9" max="11" width="9.140625" style="2946" hidden="1" customWidth="1"/>
    <col min="12" max="12" width="9.140625" style="2946" customWidth="1"/>
    <col min="13" max="16" width="9.140625" style="2946" hidden="1" customWidth="1"/>
    <col min="17" max="17" width="9.140625" style="2946" customWidth="1"/>
    <col min="18" max="21" width="9.140625" style="2946" hidden="1" customWidth="1"/>
    <col min="22" max="22" width="9.140625" style="2946" customWidth="1"/>
    <col min="23" max="26" width="9.140625" style="2946" hidden="1" customWidth="1"/>
    <col min="27" max="28" width="9.140625" style="2946" customWidth="1"/>
    <col min="29" max="16384" width="9.140625" style="2946"/>
  </cols>
  <sheetData>
    <row r="1" spans="1:47" ht="18.75" x14ac:dyDescent="0.3">
      <c r="A1" s="2971" t="s">
        <v>237</v>
      </c>
      <c r="B1" s="2971"/>
      <c r="C1" s="2971"/>
      <c r="D1" s="2971"/>
      <c r="E1" s="2971"/>
      <c r="F1" s="2971"/>
      <c r="G1" s="2971"/>
      <c r="H1" s="2971"/>
      <c r="I1" s="2971"/>
      <c r="J1" s="2971"/>
      <c r="K1" s="2971"/>
      <c r="L1" s="2971"/>
      <c r="M1" s="2971"/>
      <c r="N1" s="2971"/>
      <c r="O1" s="2971"/>
      <c r="P1" s="2971"/>
      <c r="Q1" s="2971"/>
      <c r="R1" s="2971"/>
      <c r="S1" s="2971"/>
      <c r="T1" s="2971"/>
      <c r="U1" s="2971"/>
    </row>
    <row r="2" spans="1:47" ht="16.5" x14ac:dyDescent="0.3">
      <c r="A2" s="2970" t="s">
        <v>5037</v>
      </c>
      <c r="B2" s="2970"/>
      <c r="C2" s="2970"/>
      <c r="D2" s="2970"/>
      <c r="E2" s="2970"/>
      <c r="F2" s="2970"/>
      <c r="G2" s="2970"/>
      <c r="H2" s="2970"/>
      <c r="I2" s="2970"/>
      <c r="J2" s="2970"/>
      <c r="K2" s="2970"/>
      <c r="L2" s="2970"/>
      <c r="M2" s="2970"/>
      <c r="N2" s="2970"/>
      <c r="O2" s="2970"/>
      <c r="P2" s="2970"/>
      <c r="Q2" s="2970"/>
      <c r="R2" s="2970"/>
      <c r="S2" s="2970"/>
      <c r="T2" s="2970"/>
      <c r="U2" s="2970"/>
    </row>
    <row r="3" spans="1:47" ht="16.5" x14ac:dyDescent="0.3">
      <c r="B3" s="2970"/>
      <c r="C3" s="2970"/>
      <c r="D3" s="2970"/>
      <c r="E3" s="2970"/>
      <c r="F3" s="2970"/>
      <c r="G3" s="2970"/>
      <c r="H3" s="2970"/>
      <c r="I3" s="2970"/>
      <c r="J3" s="2970"/>
      <c r="K3" s="2970"/>
      <c r="L3" s="2970"/>
      <c r="M3" s="2970"/>
      <c r="N3" s="2970"/>
      <c r="O3" s="2970"/>
      <c r="P3" s="2970"/>
      <c r="Q3" s="2970"/>
      <c r="R3" s="2970"/>
      <c r="S3" s="2970"/>
      <c r="T3" s="2970"/>
      <c r="U3" s="2970"/>
    </row>
    <row r="4" spans="1:47" ht="16.5" x14ac:dyDescent="0.3">
      <c r="A4" s="2970" t="s">
        <v>5036</v>
      </c>
    </row>
    <row r="5" spans="1:47" ht="16.5" x14ac:dyDescent="0.3">
      <c r="A5" s="2970"/>
    </row>
    <row r="6" spans="1:47" s="2963" customFormat="1" x14ac:dyDescent="0.25">
      <c r="A6" s="2968"/>
      <c r="B6" s="2969">
        <v>1990</v>
      </c>
      <c r="C6" s="2969">
        <v>1991</v>
      </c>
      <c r="D6" s="2969">
        <v>1992</v>
      </c>
      <c r="E6" s="2969">
        <v>1993</v>
      </c>
      <c r="F6" s="2969">
        <v>1994</v>
      </c>
      <c r="G6" s="2969">
        <v>1995</v>
      </c>
      <c r="H6" s="2969">
        <v>1996</v>
      </c>
      <c r="I6" s="2969">
        <v>1997</v>
      </c>
      <c r="J6" s="2969">
        <v>1998</v>
      </c>
      <c r="K6" s="2969">
        <v>1999</v>
      </c>
      <c r="L6" s="2969">
        <v>2000</v>
      </c>
      <c r="M6" s="2969">
        <v>2001</v>
      </c>
      <c r="N6" s="2969">
        <v>2002</v>
      </c>
      <c r="O6" s="2969">
        <v>2003</v>
      </c>
      <c r="P6" s="2969">
        <v>2004</v>
      </c>
      <c r="Q6" s="2969">
        <v>2005</v>
      </c>
      <c r="R6" s="2969">
        <v>2006</v>
      </c>
      <c r="S6" s="2969">
        <v>2007</v>
      </c>
      <c r="T6" s="2969">
        <v>2008</v>
      </c>
      <c r="U6" s="2969">
        <v>2009</v>
      </c>
      <c r="V6" s="2969">
        <v>2010</v>
      </c>
      <c r="W6" s="2969">
        <v>2011</v>
      </c>
      <c r="X6" s="2969">
        <v>2012</v>
      </c>
      <c r="Y6" s="2969">
        <v>2013</v>
      </c>
      <c r="Z6" s="2969">
        <v>2014</v>
      </c>
      <c r="AA6" s="2969">
        <v>2015</v>
      </c>
      <c r="AB6" s="2969">
        <v>2016</v>
      </c>
      <c r="AC6" s="2969">
        <v>2017</v>
      </c>
      <c r="AD6" s="2969">
        <v>2018</v>
      </c>
      <c r="AE6" s="2969">
        <v>2019</v>
      </c>
      <c r="AF6" s="2969">
        <v>2020</v>
      </c>
      <c r="AG6" s="2968">
        <v>2021</v>
      </c>
      <c r="AH6" s="2968">
        <v>2022</v>
      </c>
      <c r="AI6" s="2968">
        <v>2023</v>
      </c>
      <c r="AJ6" s="2968">
        <v>2024</v>
      </c>
      <c r="AK6" s="2968">
        <v>2025</v>
      </c>
      <c r="AL6" s="2968">
        <v>2026</v>
      </c>
      <c r="AM6" s="2968">
        <v>2027</v>
      </c>
      <c r="AN6" s="2968">
        <v>2028</v>
      </c>
      <c r="AO6" s="2968">
        <v>2029</v>
      </c>
      <c r="AP6" s="2968">
        <v>2030</v>
      </c>
      <c r="AQ6" s="2968">
        <v>2031</v>
      </c>
      <c r="AR6" s="2968">
        <v>2032</v>
      </c>
      <c r="AS6" s="2968">
        <v>2033</v>
      </c>
      <c r="AT6" s="2968">
        <v>2034</v>
      </c>
      <c r="AU6" s="2968">
        <v>2035</v>
      </c>
    </row>
    <row r="7" spans="1:47" ht="16.5" x14ac:dyDescent="0.3">
      <c r="A7" s="2967" t="s">
        <v>5035</v>
      </c>
      <c r="B7" s="2966">
        <v>400.4</v>
      </c>
      <c r="C7" s="2966">
        <v>394.9</v>
      </c>
      <c r="D7" s="2966">
        <v>369.5</v>
      </c>
      <c r="E7" s="2966">
        <v>332.90000000000003</v>
      </c>
      <c r="F7" s="2966">
        <v>326.2</v>
      </c>
      <c r="G7" s="2966">
        <v>315.90000000000003</v>
      </c>
      <c r="H7" s="2966">
        <v>290.84499999999997</v>
      </c>
      <c r="I7" s="2966">
        <v>287.60000000000002</v>
      </c>
      <c r="J7" s="2966">
        <v>283.2</v>
      </c>
      <c r="K7" s="2966">
        <v>262.72399999999999</v>
      </c>
      <c r="L7" s="2966">
        <v>251.46399999999997</v>
      </c>
      <c r="M7" s="2966">
        <v>233.68299999999999</v>
      </c>
      <c r="N7" s="2966">
        <v>210.803</v>
      </c>
      <c r="O7" s="2966">
        <v>201.214</v>
      </c>
      <c r="P7" s="2966">
        <v>206.73600000000002</v>
      </c>
      <c r="Q7" s="2966">
        <v>206.25200000000004</v>
      </c>
      <c r="R7" s="2966">
        <v>191.755</v>
      </c>
      <c r="S7" s="2966">
        <v>194.59800000000001</v>
      </c>
      <c r="T7" s="2966">
        <v>220.40100000000004</v>
      </c>
      <c r="U7" s="2966">
        <v>210.24923774000055</v>
      </c>
      <c r="V7" s="2966">
        <v>198.89081848000012</v>
      </c>
      <c r="W7" s="2966">
        <v>204.59900704000017</v>
      </c>
      <c r="X7" s="2966">
        <v>198.23764623999978</v>
      </c>
      <c r="Y7" s="2966">
        <v>199.80078421999983</v>
      </c>
      <c r="Z7" s="2966">
        <v>203.91527756999952</v>
      </c>
      <c r="AA7" s="2966">
        <v>210.92075129999949</v>
      </c>
      <c r="AB7" s="2966">
        <v>242.53113118999988</v>
      </c>
      <c r="AC7" s="2966">
        <v>248.68799999999999</v>
      </c>
      <c r="AD7" s="2966">
        <v>224.18396000000001</v>
      </c>
      <c r="AE7" s="2966">
        <v>234.827</v>
      </c>
      <c r="AF7" s="2966">
        <v>251.86679999999996</v>
      </c>
      <c r="AG7" s="2965">
        <v>221.74344175373366</v>
      </c>
      <c r="AH7" s="2965">
        <v>221.37498875264345</v>
      </c>
      <c r="AI7" s="2965">
        <v>205.43878395448144</v>
      </c>
      <c r="AJ7" s="2965">
        <v>204.57225120350233</v>
      </c>
      <c r="AK7" s="2965">
        <v>202.83033904557328</v>
      </c>
      <c r="AL7" s="2965">
        <v>201.24752618188145</v>
      </c>
      <c r="AM7" s="2965">
        <v>200.40919325836876</v>
      </c>
      <c r="AN7" s="2965">
        <v>199.78433509232667</v>
      </c>
      <c r="AO7" s="2965">
        <v>198.47488540948802</v>
      </c>
      <c r="AP7" s="2965">
        <v>197.35511310183568</v>
      </c>
      <c r="AQ7" s="2965">
        <v>198.62204451970541</v>
      </c>
      <c r="AR7" s="2965">
        <v>200.14475781592978</v>
      </c>
      <c r="AS7" s="2965">
        <v>201.41988496799277</v>
      </c>
      <c r="AT7" s="2965">
        <v>202.86909341773702</v>
      </c>
      <c r="AU7" s="2965">
        <v>204.13000301872623</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573EF-FB1A-4925-B549-489269C297FA}">
  <sheetPr codeName="Ark12">
    <tabColor theme="8" tint="-0.249977111117893"/>
  </sheetPr>
  <dimension ref="A1:Z183"/>
  <sheetViews>
    <sheetView showGridLines="0" topLeftCell="E1" zoomScale="85" zoomScaleNormal="85" workbookViewId="0">
      <selection activeCell="Y14" sqref="Y14"/>
    </sheetView>
  </sheetViews>
  <sheetFormatPr defaultColWidth="9.28515625" defaultRowHeight="14.25" x14ac:dyDescent="0.2"/>
  <cols>
    <col min="1" max="1" width="7.28515625" style="129" customWidth="1"/>
    <col min="2" max="2" width="14.28515625" style="129" bestFit="1" customWidth="1"/>
    <col min="3" max="3" width="13.85546875" style="129" customWidth="1"/>
    <col min="4" max="4" width="14" style="129" bestFit="1" customWidth="1"/>
    <col min="5" max="5" width="12" style="129" bestFit="1" customWidth="1"/>
    <col min="6" max="10" width="9.28515625" style="129"/>
    <col min="11" max="11" width="10.140625" style="129" bestFit="1" customWidth="1"/>
    <col min="12" max="12" width="10" style="129" customWidth="1"/>
    <col min="13" max="14" width="9.28515625" style="129"/>
    <col min="15" max="15" width="11.28515625" style="129" bestFit="1" customWidth="1"/>
    <col min="16" max="16" width="9.28515625" style="129"/>
    <col min="17" max="17" width="15" style="129" bestFit="1" customWidth="1"/>
    <col min="18" max="18" width="9.28515625" style="129"/>
    <col min="19" max="19" width="12.85546875" style="129" bestFit="1" customWidth="1"/>
    <col min="20" max="20" width="16.42578125" style="129" bestFit="1" customWidth="1"/>
    <col min="21" max="21" width="58.7109375" style="132" bestFit="1" customWidth="1"/>
    <col min="22" max="22" width="9.42578125" style="129" customWidth="1"/>
    <col min="23" max="23" width="11.85546875" style="129" bestFit="1" customWidth="1"/>
    <col min="24" max="24" width="8.7109375" style="129" customWidth="1"/>
    <col min="25" max="25" width="11.85546875" style="129" bestFit="1" customWidth="1"/>
    <col min="26" max="26" width="10.28515625" style="129" customWidth="1"/>
    <col min="27" max="16384" width="9.28515625" style="129"/>
  </cols>
  <sheetData>
    <row r="1" spans="1:26" ht="21.75" thickBot="1" x14ac:dyDescent="0.4">
      <c r="A1" s="1740" t="s">
        <v>4206</v>
      </c>
      <c r="U1" s="129"/>
    </row>
    <row r="2" spans="1:26" x14ac:dyDescent="0.2">
      <c r="C2" s="251" t="s">
        <v>320</v>
      </c>
      <c r="D2" s="252"/>
      <c r="E2" s="253"/>
      <c r="F2" s="442"/>
      <c r="G2" s="148" t="s">
        <v>5356</v>
      </c>
      <c r="H2" s="10"/>
      <c r="I2" s="10"/>
      <c r="J2" s="10"/>
      <c r="K2" s="10"/>
      <c r="L2" s="10"/>
      <c r="M2" s="10"/>
      <c r="N2" s="10"/>
      <c r="U2" s="1746" t="s">
        <v>221</v>
      </c>
    </row>
    <row r="3" spans="1:26" ht="28.5" thickBot="1" x14ac:dyDescent="0.35">
      <c r="C3" s="5164" t="s">
        <v>321</v>
      </c>
      <c r="D3" s="5165"/>
      <c r="E3" s="149" t="s">
        <v>322</v>
      </c>
      <c r="F3" s="443" t="s">
        <v>323</v>
      </c>
      <c r="G3" s="150" t="s">
        <v>324</v>
      </c>
      <c r="H3" s="151"/>
      <c r="I3" s="151"/>
      <c r="J3" s="151"/>
      <c r="K3" s="151"/>
      <c r="L3" s="151"/>
      <c r="M3" s="151"/>
      <c r="N3" s="151"/>
      <c r="U3" s="152" t="s">
        <v>325</v>
      </c>
    </row>
    <row r="4" spans="1:26" ht="17.25" customHeight="1" x14ac:dyDescent="0.25">
      <c r="B4" s="10"/>
      <c r="H4" s="10"/>
      <c r="I4" s="10"/>
      <c r="J4" s="10"/>
      <c r="K4" s="10"/>
      <c r="L4" s="10"/>
      <c r="M4" s="10"/>
      <c r="N4" s="10"/>
      <c r="Q4" s="1773"/>
      <c r="U4" s="1745" t="s">
        <v>5383</v>
      </c>
    </row>
    <row r="5" spans="1:26" x14ac:dyDescent="0.2">
      <c r="U5" s="129"/>
    </row>
    <row r="6" spans="1:26" ht="15.75" customHeight="1" thickBot="1" x14ac:dyDescent="0.25">
      <c r="B6" s="153"/>
      <c r="C6" s="5166" t="s">
        <v>638</v>
      </c>
      <c r="D6" s="5167"/>
      <c r="E6" s="5167"/>
      <c r="F6" s="5167"/>
      <c r="G6" s="5167"/>
      <c r="H6" s="5167"/>
      <c r="I6" s="5167"/>
      <c r="J6" s="5167"/>
      <c r="K6" s="5167"/>
      <c r="L6" s="5167"/>
      <c r="M6" s="5167"/>
      <c r="N6" s="5167"/>
      <c r="O6" s="5167"/>
      <c r="P6" s="5167"/>
      <c r="Q6" s="5167"/>
      <c r="R6" s="5168"/>
      <c r="S6" s="436" t="s">
        <v>326</v>
      </c>
      <c r="T6" s="436" t="s">
        <v>4786</v>
      </c>
      <c r="U6" s="155" t="s">
        <v>327</v>
      </c>
      <c r="V6" s="5169" t="s">
        <v>328</v>
      </c>
      <c r="W6" s="5170"/>
      <c r="X6" s="5170"/>
      <c r="Y6" s="5170"/>
      <c r="Z6" s="5171"/>
    </row>
    <row r="7" spans="1:26" ht="110.25" customHeight="1" thickBot="1" x14ac:dyDescent="0.25">
      <c r="C7" s="437" t="s">
        <v>329</v>
      </c>
      <c r="D7" s="438" t="s">
        <v>330</v>
      </c>
      <c r="E7" s="438" t="s">
        <v>331</v>
      </c>
      <c r="F7" s="438" t="s">
        <v>332</v>
      </c>
      <c r="G7" s="438" t="s">
        <v>333</v>
      </c>
      <c r="H7" s="438" t="s">
        <v>334</v>
      </c>
      <c r="I7" s="438" t="s">
        <v>335</v>
      </c>
      <c r="J7" s="438" t="s">
        <v>336</v>
      </c>
      <c r="K7" s="438" t="s">
        <v>337</v>
      </c>
      <c r="L7" s="438" t="s">
        <v>338</v>
      </c>
      <c r="M7" s="438" t="s">
        <v>2794</v>
      </c>
      <c r="N7" s="438" t="s">
        <v>2796</v>
      </c>
      <c r="O7" s="438" t="s">
        <v>339</v>
      </c>
      <c r="P7" s="438" t="s">
        <v>340</v>
      </c>
      <c r="Q7" s="438" t="s">
        <v>341</v>
      </c>
      <c r="R7" s="439" t="s">
        <v>342</v>
      </c>
      <c r="S7" s="159" t="s">
        <v>343</v>
      </c>
      <c r="T7" s="160" t="s">
        <v>344</v>
      </c>
      <c r="U7" s="161"/>
      <c r="V7" s="162" t="s">
        <v>345</v>
      </c>
      <c r="W7" s="157" t="s">
        <v>346</v>
      </c>
      <c r="X7" s="157" t="s">
        <v>347</v>
      </c>
      <c r="Y7" s="157" t="s">
        <v>348</v>
      </c>
      <c r="Z7" s="163" t="s">
        <v>349</v>
      </c>
    </row>
    <row r="8" spans="1:26" ht="15.75" customHeight="1" x14ac:dyDescent="0.2">
      <c r="A8" s="5172"/>
      <c r="C8" s="500">
        <f t="shared" ref="C8:P8" si="0">SUM(C9:C17)</f>
        <v>626.69000000000005</v>
      </c>
      <c r="D8" s="501">
        <f t="shared" si="0"/>
        <v>10.94</v>
      </c>
      <c r="E8" s="501">
        <f t="shared" si="0"/>
        <v>0</v>
      </c>
      <c r="F8" s="501">
        <f t="shared" si="0"/>
        <v>0</v>
      </c>
      <c r="G8" s="501">
        <f t="shared" si="0"/>
        <v>403.89</v>
      </c>
      <c r="H8" s="501">
        <f t="shared" si="0"/>
        <v>318.72999999999996</v>
      </c>
      <c r="I8" s="501">
        <f t="shared" si="0"/>
        <v>0</v>
      </c>
      <c r="J8" s="501">
        <f t="shared" si="0"/>
        <v>570.11999999999989</v>
      </c>
      <c r="K8" s="501">
        <f t="shared" si="0"/>
        <v>28565.51</v>
      </c>
      <c r="L8" s="501">
        <f t="shared" si="0"/>
        <v>27.54</v>
      </c>
      <c r="M8" s="501">
        <f t="shared" si="0"/>
        <v>493.31</v>
      </c>
      <c r="N8" s="501">
        <f t="shared" si="0"/>
        <v>553.46</v>
      </c>
      <c r="O8" s="501">
        <f t="shared" si="0"/>
        <v>27.54</v>
      </c>
      <c r="P8" s="501">
        <f t="shared" si="0"/>
        <v>175.85</v>
      </c>
      <c r="Q8" s="501">
        <f>SUM(Q9:Q17)</f>
        <v>188.07</v>
      </c>
      <c r="R8" s="502">
        <f>SUM(R9:R17)</f>
        <v>0</v>
      </c>
      <c r="S8" s="503"/>
      <c r="T8" s="503"/>
      <c r="U8" s="164" t="s">
        <v>265</v>
      </c>
      <c r="V8" s="513"/>
      <c r="W8" s="1683">
        <f>'K1 2018G'!J24</f>
        <v>128.25847101953934</v>
      </c>
      <c r="X8" s="1684"/>
      <c r="Y8" s="1685">
        <f>Z8/SUM(C8:R8)</f>
        <v>0.10032216032302724</v>
      </c>
      <c r="Z8" s="514">
        <f>IFERROR(W8*'Grafer-klima-&gt;VÆLG GWP og NIR&lt;-'!$E$8+X8*'Grafer-klima-&gt;VÆLG GWP og NIR&lt;-'!$F$8," ")</f>
        <v>3206.4617754884835</v>
      </c>
    </row>
    <row r="9" spans="1:26" x14ac:dyDescent="0.2">
      <c r="A9" s="5172"/>
      <c r="C9" s="499">
        <f>IF(GETPIVOTDATA("Antal dyr",'K2 2018G'!$A$7,"Fordeling af dyretyper",C$7,"Staldtype fordeling",$U9)=0,"-",GETPIVOTDATA("Antal dyr",'K2 2018G'!$A$7,"Fordeling af dyretyper",C$7,"Staldtype fordeling",$U9))</f>
        <v>50.06</v>
      </c>
      <c r="D9" s="1680" t="str">
        <f>IF(GETPIVOTDATA("Antal dyr",'K2 2018G'!$A$7,"Fordeling af dyretyper",D$7,"Staldtype fordeling",$U9)=0,"-",GETPIVOTDATA("Antal dyr",'K2 2018G'!$A$7,"Fordeling af dyretyper",D$7,"Staldtype fordeling",$U9))</f>
        <v>-</v>
      </c>
      <c r="E9" s="104" t="str">
        <f>IF(GETPIVOTDATA("Antal dyr",'K2 2018G'!$A$7,"Fordeling af dyretyper",E$7,"Staldtype fordeling",$U9)=0,"-",GETPIVOTDATA("Antal dyr",'K2 2018G'!$A$7,"Fordeling af dyretyper",E$7,"Staldtype fordeling",$U9))</f>
        <v>-</v>
      </c>
      <c r="F9" s="104" t="str">
        <f>IF(GETPIVOTDATA("Antal dyr",'K2 2018G'!$A$7,"Fordeling af dyretyper",F$7,"Staldtype fordeling",$U9)=0,"-",GETPIVOTDATA("Antal dyr",'K2 2018G'!$A$7,"Fordeling af dyretyper",F$7,"Staldtype fordeling",$U9))</f>
        <v>-</v>
      </c>
      <c r="G9" s="104" t="str">
        <f>IF(GETPIVOTDATA("Antal dyr",'K2 2018G'!$A$7,"Fordeling af dyretyper",G$7,"Staldtype fordeling",$U9)=0,"-",GETPIVOTDATA("Antal dyr",'K2 2018G'!$A$7,"Fordeling af dyretyper",G$7,"Staldtype fordeling",$U9))</f>
        <v>-</v>
      </c>
      <c r="H9" s="104" t="str">
        <f>IF(GETPIVOTDATA("Antal dyr",'K2 2018G'!$A$7,"Fordeling af dyretyper",H$7,"Staldtype fordeling",$U9)=0,"-",GETPIVOTDATA("Antal dyr",'K2 2018G'!$A$7,"Fordeling af dyretyper",H$7,"Staldtype fordeling",$U9))</f>
        <v>-</v>
      </c>
      <c r="I9" s="104" t="str">
        <f>IF(GETPIVOTDATA("Antal dyr",'K2 2018G'!$A$7,"Fordeling af dyretyper",I$7,"Staldtype fordeling",$U9)=0,"-",GETPIVOTDATA("Antal dyr",'K2 2018G'!$A$7,"Fordeling af dyretyper",I$7,"Staldtype fordeling",$U9))</f>
        <v>-</v>
      </c>
      <c r="J9" s="104">
        <f>IF(GETPIVOTDATA("Antal dyr",'K2 2018G'!$A$7,"Fordeling af dyretyper",J$7,"Staldtype fordeling",$U9)=0,"-",GETPIVOTDATA("Antal dyr",'K2 2018G'!$A$7,"Fordeling af dyretyper",J$7,"Staldtype fordeling",$U9))</f>
        <v>37.799999999999997</v>
      </c>
      <c r="K9" s="104" t="str">
        <f>IF(GETPIVOTDATA("Antal dyr",'K2 2018G'!$A$7,"Fordeling af dyretyper",K$7,"Staldtype fordeling",$U9)=0,"-",GETPIVOTDATA("Antal dyr",'K2 2018G'!$A$7,"Fordeling af dyretyper",K$7,"Staldtype fordeling",$U9))</f>
        <v>-</v>
      </c>
      <c r="L9" s="104" t="str">
        <f>IF(GETPIVOTDATA("Antal dyr",'K2 2018G'!$A$7,"Fordeling af dyretyper",L$7,"Staldtype fordeling",$U9)=0,"-",GETPIVOTDATA("Antal dyr",'K2 2018G'!$A$7,"Fordeling af dyretyper",L$7,"Staldtype fordeling",$U9))</f>
        <v>-</v>
      </c>
      <c r="M9" s="104" t="str">
        <f>IF(GETPIVOTDATA("Antal dyr",'K2 2018G'!$A$7,"Fordeling af dyretyper",M$7,"Staldtype fordeling",$U9)=0,"-",GETPIVOTDATA("Antal dyr",'K2 2018G'!$A$7,"Fordeling af dyretyper",M$7,"Staldtype fordeling",$U9))</f>
        <v>-</v>
      </c>
      <c r="N9" s="104">
        <f>IF(GETPIVOTDATA("Antal dyr",'K2 2018G'!$A$7,"Fordeling af dyretyper",N$7,"Staldtype fordeling",$U9)=0,"-",GETPIVOTDATA("Antal dyr",'K2 2018G'!$A$7,"Fordeling af dyretyper",N$7,"Staldtype fordeling",$U9))</f>
        <v>5.1100000000000003</v>
      </c>
      <c r="O9" s="104" t="str">
        <f>IF(GETPIVOTDATA("Antal dyr",'K2 2018G'!$A$7,"Fordeling af dyretyper",O$7,"Staldtype fordeling",$U9)=0,"-",GETPIVOTDATA("Antal dyr",'K2 2018G'!$A$7,"Fordeling af dyretyper",O$7,"Staldtype fordeling",$U9))</f>
        <v>-</v>
      </c>
      <c r="P9" s="104" t="str">
        <f>IF(GETPIVOTDATA("Antal dyr",'K2 2018G'!$A$7,"Fordeling af dyretyper",P$7,"Staldtype fordeling",$U9)=0,"-",GETPIVOTDATA("Antal dyr",'K2 2018G'!$A$7,"Fordeling af dyretyper",P$7,"Staldtype fordeling",$U9))</f>
        <v>-</v>
      </c>
      <c r="Q9" s="104" t="str">
        <f>IF(GETPIVOTDATA("Antal dyr",'K2 2018G'!$A$7,"Fordeling af dyretyper",Q$7,"Staldtype fordeling",$U9)=0,"-",GETPIVOTDATA("Antal dyr",'K2 2018G'!$A$7,"Fordeling af dyretyper",Q$7,"Staldtype fordeling",$U9))</f>
        <v>-</v>
      </c>
      <c r="R9" s="7" t="str">
        <f>IF(GETPIVOTDATA("Antal dyr",'K2 2018G'!$A$7,"Fordeling af dyretyper",R$7,"Staldtype fordeling",$U9)=0,"-",GETPIVOTDATA("Antal dyr",'K2 2018G'!$A$7,"Fordeling af dyretyper",R$7,"Staldtype fordeling",$U9))</f>
        <v>-</v>
      </c>
      <c r="S9" s="504"/>
      <c r="T9" s="504"/>
      <c r="U9" s="165" t="s">
        <v>639</v>
      </c>
      <c r="V9" s="19"/>
      <c r="W9" s="1686">
        <f>GETPIVOTDATA("Total udledning af metan (ton)",'K2 2018G'!$A$22,"Staldtype fordeling","Bindestald")</f>
        <v>0.15366079465344001</v>
      </c>
      <c r="X9" s="333">
        <f>GETPIVOTDATA("Sum af Total udledning af N2O  (ton)",'K3 2018G'!$A$21,"Fordeling af staldtyper","Bindestald")</f>
        <v>5.2369167477000003E-2</v>
      </c>
      <c r="Y9" s="1687">
        <f>Z9/SUM(C9:R9)</f>
        <v>0.20918072253933528</v>
      </c>
      <c r="Z9" s="514">
        <f>IFERROR(W9*'Grafer-klima-&gt;VÆLG GWP og NIR&lt;-'!$E$8+X9*'Grafer-klima-&gt;VÆLG GWP og NIR&lt;-'!$F$8," ")</f>
        <v>19.447531774482002</v>
      </c>
    </row>
    <row r="10" spans="1:26" x14ac:dyDescent="0.2">
      <c r="A10" s="5172"/>
      <c r="C10" s="499">
        <f>IF(GETPIVOTDATA("Antal dyr",'K2 2018G'!$A$7,"Fordeling af dyretyper",C$7,"Staldtype fordeling",$U10)=0,"-",GETPIVOTDATA("Antal dyr",'K2 2018G'!$A$7,"Fordeling af dyretyper",C$7,"Staldtype fordeling",$U10))</f>
        <v>476.63</v>
      </c>
      <c r="D10" s="1680">
        <f>IF(GETPIVOTDATA("Antal dyr",'K2 2018G'!$A$7,"Fordeling af dyretyper",D$7,"Staldtype fordeling",$U10)=0,"-",GETPIVOTDATA("Antal dyr",'K2 2018G'!$A$7,"Fordeling af dyretyper",D$7,"Staldtype fordeling",$U10))</f>
        <v>10.94</v>
      </c>
      <c r="E10" s="104" t="str">
        <f>IF(GETPIVOTDATA("Antal dyr",'K2 2018G'!$A$7,"Fordeling af dyretyper",E$7,"Staldtype fordeling",$U10)=0,"-",GETPIVOTDATA("Antal dyr",'K2 2018G'!$A$7,"Fordeling af dyretyper",E$7,"Staldtype fordeling",$U10))</f>
        <v>-</v>
      </c>
      <c r="F10" s="104" t="str">
        <f>IF(GETPIVOTDATA("Antal dyr",'K2 2018G'!$A$7,"Fordeling af dyretyper",F$7,"Staldtype fordeling",$U10)=0,"-",GETPIVOTDATA("Antal dyr",'K2 2018G'!$A$7,"Fordeling af dyretyper",F$7,"Staldtype fordeling",$U10))</f>
        <v>-</v>
      </c>
      <c r="G10" s="104" t="str">
        <f>IF(GETPIVOTDATA("Antal dyr",'K2 2018G'!$A$7,"Fordeling af dyretyper",G$7,"Staldtype fordeling",$U10)=0,"-",GETPIVOTDATA("Antal dyr",'K2 2018G'!$A$7,"Fordeling af dyretyper",G$7,"Staldtype fordeling",$U10))</f>
        <v>-</v>
      </c>
      <c r="H10" s="104" t="str">
        <f>IF(GETPIVOTDATA("Antal dyr",'K2 2018G'!$A$7,"Fordeling af dyretyper",H$7,"Staldtype fordeling",$U10)=0,"-",GETPIVOTDATA("Antal dyr",'K2 2018G'!$A$7,"Fordeling af dyretyper",H$7,"Staldtype fordeling",$U10))</f>
        <v>-</v>
      </c>
      <c r="I10" s="104" t="str">
        <f>IF(GETPIVOTDATA("Antal dyr",'K2 2018G'!$A$7,"Fordeling af dyretyper",I$7,"Staldtype fordeling",$U10)=0,"-",GETPIVOTDATA("Antal dyr",'K2 2018G'!$A$7,"Fordeling af dyretyper",I$7,"Staldtype fordeling",$U10))</f>
        <v>-</v>
      </c>
      <c r="J10" s="104">
        <f>IF(GETPIVOTDATA("Antal dyr",'K2 2018G'!$A$7,"Fordeling af dyretyper",J$7,"Staldtype fordeling",$U10)=0,"-",GETPIVOTDATA("Antal dyr",'K2 2018G'!$A$7,"Fordeling af dyretyper",J$7,"Staldtype fordeling",$U10))</f>
        <v>532.31999999999994</v>
      </c>
      <c r="K10" s="104" t="str">
        <f>IF(GETPIVOTDATA("Antal dyr",'K2 2018G'!$A$7,"Fordeling af dyretyper",K$7,"Staldtype fordeling",$U10)=0,"-",GETPIVOTDATA("Antal dyr",'K2 2018G'!$A$7,"Fordeling af dyretyper",K$7,"Staldtype fordeling",$U10))</f>
        <v>-</v>
      </c>
      <c r="L10" s="104">
        <f>IF(GETPIVOTDATA("Antal dyr",'K2 2018G'!$A$7,"Fordeling af dyretyper",L$7,"Staldtype fordeling",$U10)=0,"-",GETPIVOTDATA("Antal dyr",'K2 2018G'!$A$7,"Fordeling af dyretyper",L$7,"Staldtype fordeling",$U10))</f>
        <v>27.54</v>
      </c>
      <c r="M10" s="104">
        <f>IF(GETPIVOTDATA("Antal dyr",'K2 2018G'!$A$7,"Fordeling af dyretyper",M$7,"Staldtype fordeling",$U10)=0,"-",GETPIVOTDATA("Antal dyr",'K2 2018G'!$A$7,"Fordeling af dyretyper",M$7,"Staldtype fordeling",$U10))</f>
        <v>493.31</v>
      </c>
      <c r="N10" s="104">
        <f>IF(GETPIVOTDATA("Antal dyr",'K2 2018G'!$A$7,"Fordeling af dyretyper",N$7,"Staldtype fordeling",$U10)=0,"-",GETPIVOTDATA("Antal dyr",'K2 2018G'!$A$7,"Fordeling af dyretyper",N$7,"Staldtype fordeling",$U10))</f>
        <v>548.35</v>
      </c>
      <c r="O10" s="104">
        <f>IF(GETPIVOTDATA("Antal dyr",'K2 2018G'!$A$7,"Fordeling af dyretyper",O$7,"Staldtype fordeling",$U10)=0,"-",GETPIVOTDATA("Antal dyr",'K2 2018G'!$A$7,"Fordeling af dyretyper",O$7,"Staldtype fordeling",$U10))</f>
        <v>27.54</v>
      </c>
      <c r="P10" s="104">
        <f>IF(GETPIVOTDATA("Antal dyr",'K2 2018G'!$A$7,"Fordeling af dyretyper",P$7,"Staldtype fordeling",$U10)=0,"-",GETPIVOTDATA("Antal dyr",'K2 2018G'!$A$7,"Fordeling af dyretyper",P$7,"Staldtype fordeling",$U10))</f>
        <v>175.85</v>
      </c>
      <c r="Q10" s="104" t="str">
        <f>IF(GETPIVOTDATA("Antal dyr",'K2 2018G'!$A$7,"Fordeling af dyretyper",Q$7,"Staldtype fordeling",$U10)=0,"-",GETPIVOTDATA("Antal dyr",'K2 2018G'!$A$7,"Fordeling af dyretyper",Q$7,"Staldtype fordeling",$U10))</f>
        <v>-</v>
      </c>
      <c r="R10" s="7" t="str">
        <f>IF(GETPIVOTDATA("Antal dyr",'K2 2018G'!$A$7,"Fordeling af dyretyper",R$7,"Staldtype fordeling",$U10)=0,"-",GETPIVOTDATA("Antal dyr",'K2 2018G'!$A$7,"Fordeling af dyretyper",R$7,"Staldtype fordeling",$U10))</f>
        <v>-</v>
      </c>
      <c r="S10" s="505"/>
      <c r="T10" s="505"/>
      <c r="U10" s="165" t="s">
        <v>350</v>
      </c>
      <c r="V10" s="19"/>
      <c r="W10" s="1686">
        <f>GETPIVOTDATA("Total udledning af metan (ton)",'K2 2018G'!$A$22,"Staldtype fordeling","Dybstrøelse")</f>
        <v>57.016515512722734</v>
      </c>
      <c r="X10" s="1686">
        <f>GETPIVOTDATA("Sum af Total udledning af N2O  (ton)",'K3 2018G'!$A$21,"Fordeling af staldtyper","Dybstrøelse")</f>
        <v>1.432043096943957</v>
      </c>
      <c r="Y10" s="1688">
        <f t="shared" ref="Y10:Y15" si="1">Z10/SUM(C10:R10)</f>
        <v>0.80792928649644391</v>
      </c>
      <c r="Z10" s="514">
        <f>IFERROR(W10*'Grafer-klima-&gt;VÆLG GWP og NIR&lt;-'!$E$8+X10*'Grafer-klima-&gt;VÆLG GWP og NIR&lt;-'!$F$8," ")</f>
        <v>1852.1617307073675</v>
      </c>
    </row>
    <row r="11" spans="1:26" x14ac:dyDescent="0.2">
      <c r="A11" s="5172"/>
      <c r="C11" s="499" t="str">
        <f>IF(GETPIVOTDATA("Antal dyr",'K2 2018G'!$A$7,"Fordeling af dyretyper",C$7,"Staldtype fordeling",$U11)=0,"-",GETPIVOTDATA("Antal dyr",'K2 2018G'!$A$7,"Fordeling af dyretyper",C$7,"Staldtype fordeling",$U11))</f>
        <v>-</v>
      </c>
      <c r="D11" s="1680" t="str">
        <f>IF(GETPIVOTDATA("Antal dyr",'K2 2018G'!$A$7,"Fordeling af dyretyper",D$7,"Staldtype fordeling",$U11)=0,"-",GETPIVOTDATA("Antal dyr",'K2 2018G'!$A$7,"Fordeling af dyretyper",D$7,"Staldtype fordeling",$U11))</f>
        <v>-</v>
      </c>
      <c r="E11" s="104" t="str">
        <f>IF(GETPIVOTDATA("Antal dyr",'K2 2018G'!$A$7,"Fordeling af dyretyper",E$7,"Staldtype fordeling",$U11)=0,"-",GETPIVOTDATA("Antal dyr",'K2 2018G'!$A$7,"Fordeling af dyretyper",E$7,"Staldtype fordeling",$U11))</f>
        <v>-</v>
      </c>
      <c r="F11" s="104" t="str">
        <f>IF(GETPIVOTDATA("Antal dyr",'K2 2018G'!$A$7,"Fordeling af dyretyper",F$7,"Staldtype fordeling",$U11)=0,"-",GETPIVOTDATA("Antal dyr",'K2 2018G'!$A$7,"Fordeling af dyretyper",F$7,"Staldtype fordeling",$U11))</f>
        <v>-</v>
      </c>
      <c r="G11" s="104" t="str">
        <f>IF(GETPIVOTDATA("Antal dyr",'K2 2018G'!$A$7,"Fordeling af dyretyper",G$7,"Staldtype fordeling",$U11)=0,"-",GETPIVOTDATA("Antal dyr",'K2 2018G'!$A$7,"Fordeling af dyretyper",G$7,"Staldtype fordeling",$U11))</f>
        <v>-</v>
      </c>
      <c r="H11" s="104" t="str">
        <f>IF(GETPIVOTDATA("Antal dyr",'K2 2018G'!$A$7,"Fordeling af dyretyper",H$7,"Staldtype fordeling",$U11)=0,"-",GETPIVOTDATA("Antal dyr",'K2 2018G'!$A$7,"Fordeling af dyretyper",H$7,"Staldtype fordeling",$U11))</f>
        <v>-</v>
      </c>
      <c r="I11" s="104" t="str">
        <f>IF(GETPIVOTDATA("Antal dyr",'K2 2018G'!$A$7,"Fordeling af dyretyper",I$7,"Staldtype fordeling",$U11)=0,"-",GETPIVOTDATA("Antal dyr",'K2 2018G'!$A$7,"Fordeling af dyretyper",I$7,"Staldtype fordeling",$U11))</f>
        <v>-</v>
      </c>
      <c r="J11" s="104" t="str">
        <f>IF(GETPIVOTDATA("Antal dyr",'K2 2018G'!$A$7,"Fordeling af dyretyper",J$7,"Staldtype fordeling",$U11)=0,"-",GETPIVOTDATA("Antal dyr",'K2 2018G'!$A$7,"Fordeling af dyretyper",J$7,"Staldtype fordeling",$U11))</f>
        <v>-</v>
      </c>
      <c r="K11" s="104" t="str">
        <f>IF(GETPIVOTDATA("Antal dyr",'K2 2018G'!$A$7,"Fordeling af dyretyper",K$7,"Staldtype fordeling",$U11)=0,"-",GETPIVOTDATA("Antal dyr",'K2 2018G'!$A$7,"Fordeling af dyretyper",K$7,"Staldtype fordeling",$U11))</f>
        <v>-</v>
      </c>
      <c r="L11" s="104" t="str">
        <f>IF(GETPIVOTDATA("Antal dyr",'K2 2018G'!$A$7,"Fordeling af dyretyper",L$7,"Staldtype fordeling",$U11)=0,"-",GETPIVOTDATA("Antal dyr",'K2 2018G'!$A$7,"Fordeling af dyretyper",L$7,"Staldtype fordeling",$U11))</f>
        <v>-</v>
      </c>
      <c r="M11" s="104" t="str">
        <f>IF(GETPIVOTDATA("Antal dyr",'K2 2018G'!$A$7,"Fordeling af dyretyper",M$7,"Staldtype fordeling",$U11)=0,"-",GETPIVOTDATA("Antal dyr",'K2 2018G'!$A$7,"Fordeling af dyretyper",M$7,"Staldtype fordeling",$U11))</f>
        <v>-</v>
      </c>
      <c r="N11" s="104" t="str">
        <f>IF(GETPIVOTDATA("Antal dyr",'K2 2018G'!$A$7,"Fordeling af dyretyper",N$7,"Staldtype fordeling",$U11)=0,"-",GETPIVOTDATA("Antal dyr",'K2 2018G'!$A$7,"Fordeling af dyretyper",N$7,"Staldtype fordeling",$U11))</f>
        <v>-</v>
      </c>
      <c r="O11" s="104" t="str">
        <f>IF(GETPIVOTDATA("Antal dyr",'K2 2018G'!$A$7,"Fordeling af dyretyper",O$7,"Staldtype fordeling",$U11)=0,"-",GETPIVOTDATA("Antal dyr",'K2 2018G'!$A$7,"Fordeling af dyretyper",O$7,"Staldtype fordeling",$U11))</f>
        <v>-</v>
      </c>
      <c r="P11" s="104" t="str">
        <f>IF(GETPIVOTDATA("Antal dyr",'K2 2018G'!$A$7,"Fordeling af dyretyper",P$7,"Staldtype fordeling",$U11)=0,"-",GETPIVOTDATA("Antal dyr",'K2 2018G'!$A$7,"Fordeling af dyretyper",P$7,"Staldtype fordeling",$U11))</f>
        <v>-</v>
      </c>
      <c r="Q11" s="104" t="str">
        <f>IF(GETPIVOTDATA("Antal dyr",'K2 2018G'!$A$7,"Fordeling af dyretyper",Q$7,"Staldtype fordeling",$U11)=0,"-",GETPIVOTDATA("Antal dyr",'K2 2018G'!$A$7,"Fordeling af dyretyper",Q$7,"Staldtype fordeling",$U11))</f>
        <v>-</v>
      </c>
      <c r="R11" s="7" t="str">
        <f>IF(GETPIVOTDATA("Antal dyr",'K2 2018G'!$A$7,"Fordeling af dyretyper",R$7,"Staldtype fordeling",$U11)=0,"-",GETPIVOTDATA("Antal dyr",'K2 2018G'!$A$7,"Fordeling af dyretyper",R$7,"Staldtype fordeling",$U11))</f>
        <v>-</v>
      </c>
      <c r="S11" s="505"/>
      <c r="T11" s="505"/>
      <c r="U11" s="165" t="s">
        <v>351</v>
      </c>
      <c r="V11" s="19"/>
      <c r="W11" s="1686">
        <f>GETPIVOTDATA("Total udledning af metan (ton)",'K2 2018G'!$A$22,"Staldtype fordeling","Friland")</f>
        <v>0</v>
      </c>
      <c r="X11" s="1686">
        <f>GETPIVOTDATA("Sum af Total udledning af N2O  (ton)",'K3 2018G'!$A$21,"Fordeling af staldtyper","Friland")</f>
        <v>0</v>
      </c>
      <c r="Y11" s="4217" t="str">
        <f>IFERROR(Z11/SUM(C11:R11),"0")</f>
        <v>0</v>
      </c>
      <c r="Z11" s="514">
        <f>IFERROR(W11*'Grafer-klima-&gt;VÆLG GWP og NIR&lt;-'!$E$8+X11*'Grafer-klima-&gt;VÆLG GWP og NIR&lt;-'!$F$8," ")</f>
        <v>0</v>
      </c>
    </row>
    <row r="12" spans="1:26" x14ac:dyDescent="0.2">
      <c r="A12" s="5172"/>
      <c r="C12" s="499" t="str">
        <f>IF(GETPIVOTDATA("Antal dyr",'K2 2018G'!$A$7,"Fordeling af dyretyper",C$7,"Staldtype fordeling",$U12)=0,"-",GETPIVOTDATA("Antal dyr",'K2 2018G'!$A$7,"Fordeling af dyretyper",C$7,"Staldtype fordeling",$U12))</f>
        <v>-</v>
      </c>
      <c r="D12" s="1680" t="str">
        <f>IF(GETPIVOTDATA("Antal dyr",'K2 2018G'!$A$7,"Fordeling af dyretyper",D$7,"Staldtype fordeling",$U12)=0,"-",GETPIVOTDATA("Antal dyr",'K2 2018G'!$A$7,"Fordeling af dyretyper",D$7,"Staldtype fordeling",$U12))</f>
        <v>-</v>
      </c>
      <c r="E12" s="104" t="str">
        <f>IF(GETPIVOTDATA("Antal dyr",'K2 2018G'!$A$7,"Fordeling af dyretyper",E$7,"Staldtype fordeling",$U12)=0,"-",GETPIVOTDATA("Antal dyr",'K2 2018G'!$A$7,"Fordeling af dyretyper",E$7,"Staldtype fordeling",$U12))</f>
        <v>-</v>
      </c>
      <c r="F12" s="104" t="str">
        <f>IF(GETPIVOTDATA("Antal dyr",'K2 2018G'!$A$7,"Fordeling af dyretyper",F$7,"Staldtype fordeling",$U12)=0,"-",GETPIVOTDATA("Antal dyr",'K2 2018G'!$A$7,"Fordeling af dyretyper",F$7,"Staldtype fordeling",$U12))</f>
        <v>-</v>
      </c>
      <c r="G12" s="104">
        <f>IF(GETPIVOTDATA("Antal dyr",'K2 2018G'!$A$7,"Fordeling af dyretyper",G$7,"Staldtype fordeling",$U12)=0,"-",GETPIVOTDATA("Antal dyr",'K2 2018G'!$A$7,"Fordeling af dyretyper",G$7,"Staldtype fordeling",$U12))</f>
        <v>403.89</v>
      </c>
      <c r="H12" s="104" t="str">
        <f>IF(GETPIVOTDATA("Antal dyr",'K2 2018G'!$A$7,"Fordeling af dyretyper",H$7,"Staldtype fordeling",$U12)=0,"-",GETPIVOTDATA("Antal dyr",'K2 2018G'!$A$7,"Fordeling af dyretyper",H$7,"Staldtype fordeling",$U12))</f>
        <v>-</v>
      </c>
      <c r="I12" s="104" t="str">
        <f>IF(GETPIVOTDATA("Antal dyr",'K2 2018G'!$A$7,"Fordeling af dyretyper",I$7,"Staldtype fordeling",$U12)=0,"-",GETPIVOTDATA("Antal dyr",'K2 2018G'!$A$7,"Fordeling af dyretyper",I$7,"Staldtype fordeling",$U12))</f>
        <v>-</v>
      </c>
      <c r="J12" s="104" t="str">
        <f>IF(GETPIVOTDATA("Antal dyr",'K2 2018G'!$A$7,"Fordeling af dyretyper",J$7,"Staldtype fordeling",$U12)=0,"-",GETPIVOTDATA("Antal dyr",'K2 2018G'!$A$7,"Fordeling af dyretyper",J$7,"Staldtype fordeling",$U12))</f>
        <v>-</v>
      </c>
      <c r="K12" s="104" t="str">
        <f>IF(GETPIVOTDATA("Antal dyr",'K2 2018G'!$A$7,"Fordeling af dyretyper",K$7,"Staldtype fordeling",$U12)=0,"-",GETPIVOTDATA("Antal dyr",'K2 2018G'!$A$7,"Fordeling af dyretyper",K$7,"Staldtype fordeling",$U12))</f>
        <v>-</v>
      </c>
      <c r="L12" s="104" t="str">
        <f>IF(GETPIVOTDATA("Antal dyr",'K2 2018G'!$A$7,"Fordeling af dyretyper",L$7,"Staldtype fordeling",$U12)=0,"-",GETPIVOTDATA("Antal dyr",'K2 2018G'!$A$7,"Fordeling af dyretyper",L$7,"Staldtype fordeling",$U12))</f>
        <v>-</v>
      </c>
      <c r="M12" s="104" t="str">
        <f>IF(GETPIVOTDATA("Antal dyr",'K2 2018G'!$A$7,"Fordeling af dyretyper",M$7,"Staldtype fordeling",$U12)=0,"-",GETPIVOTDATA("Antal dyr",'K2 2018G'!$A$7,"Fordeling af dyretyper",M$7,"Staldtype fordeling",$U12))</f>
        <v>-</v>
      </c>
      <c r="N12" s="104" t="str">
        <f>IF(GETPIVOTDATA("Antal dyr",'K2 2018G'!$A$7,"Fordeling af dyretyper",N$7,"Staldtype fordeling",$U12)=0,"-",GETPIVOTDATA("Antal dyr",'K2 2018G'!$A$7,"Fordeling af dyretyper",N$7,"Staldtype fordeling",$U12))</f>
        <v>-</v>
      </c>
      <c r="O12" s="104" t="str">
        <f>IF(GETPIVOTDATA("Antal dyr",'K2 2018G'!$A$7,"Fordeling af dyretyper",O$7,"Staldtype fordeling",$U12)=0,"-",GETPIVOTDATA("Antal dyr",'K2 2018G'!$A$7,"Fordeling af dyretyper",O$7,"Staldtype fordeling",$U12))</f>
        <v>-</v>
      </c>
      <c r="P12" s="104" t="str">
        <f>IF(GETPIVOTDATA("Antal dyr",'K2 2018G'!$A$7,"Fordeling af dyretyper",P$7,"Staldtype fordeling",$U12)=0,"-",GETPIVOTDATA("Antal dyr",'K2 2018G'!$A$7,"Fordeling af dyretyper",P$7,"Staldtype fordeling",$U12))</f>
        <v>-</v>
      </c>
      <c r="Q12" s="104" t="str">
        <f>IF(GETPIVOTDATA("Antal dyr",'K2 2018G'!$A$7,"Fordeling af dyretyper",Q$7,"Staldtype fordeling",$U12)=0,"-",GETPIVOTDATA("Antal dyr",'K2 2018G'!$A$7,"Fordeling af dyretyper",Q$7,"Staldtype fordeling",$U12))</f>
        <v>-</v>
      </c>
      <c r="R12" s="7" t="str">
        <f>IF(GETPIVOTDATA("Antal dyr",'K2 2018G'!$A$7,"Fordeling af dyretyper",R$7,"Staldtype fordeling",$U12)=0,"-",GETPIVOTDATA("Antal dyr",'K2 2018G'!$A$7,"Fordeling af dyretyper",R$7,"Staldtype fordeling",$U12))</f>
        <v>-</v>
      </c>
      <c r="S12" s="505"/>
      <c r="T12" s="505"/>
      <c r="U12" s="165" t="s">
        <v>352</v>
      </c>
      <c r="V12" s="19"/>
      <c r="W12" s="1686">
        <f>GETPIVOTDATA("Total udledning af metan (ton)",'K2 2018G'!$A$22,"Staldtype fordeling","Løsdrift / boks")</f>
        <v>0.92433076583088314</v>
      </c>
      <c r="X12" s="1686">
        <f>GETPIVOTDATA("Sum af Total udledning af N2O  (ton)",'K3 2018G'!$A$21,"Fordeling af staldtyper","Løsdrift / boks")</f>
        <v>0</v>
      </c>
      <c r="Y12" s="1688">
        <f t="shared" si="1"/>
        <v>5.7214264145614098E-2</v>
      </c>
      <c r="Z12" s="514">
        <f>IFERROR(W12*'Grafer-klima-&gt;VÆLG GWP og NIR&lt;-'!$E$8+X12*'Grafer-klima-&gt;VÆLG GWP og NIR&lt;-'!$F$8," ")</f>
        <v>23.108269145772077</v>
      </c>
    </row>
    <row r="13" spans="1:26" x14ac:dyDescent="0.2">
      <c r="A13" s="5172"/>
      <c r="C13" s="499" t="str">
        <f>IF(GETPIVOTDATA("Antal dyr",'K2 2018G'!$A$7,"Fordeling af dyretyper",C$7,"Staldtype fordeling",$U13)=0,"-",GETPIVOTDATA("Antal dyr",'K2 2018G'!$A$7,"Fordeling af dyretyper",C$7,"Staldtype fordeling",$U13))</f>
        <v>-</v>
      </c>
      <c r="D13" s="1680" t="str">
        <f>IF(GETPIVOTDATA("Antal dyr",'K2 2018G'!$A$7,"Fordeling af dyretyper",D$7,"Staldtype fordeling",$U13)=0,"-",GETPIVOTDATA("Antal dyr",'K2 2018G'!$A$7,"Fordeling af dyretyper",D$7,"Staldtype fordeling",$U13))</f>
        <v>-</v>
      </c>
      <c r="E13" s="104" t="str">
        <f>IF(GETPIVOTDATA("Antal dyr",'K2 2018G'!$A$7,"Fordeling af dyretyper",E$7,"Staldtype fordeling",$U13)=0,"-",GETPIVOTDATA("Antal dyr",'K2 2018G'!$A$7,"Fordeling af dyretyper",E$7,"Staldtype fordeling",$U13))</f>
        <v>-</v>
      </c>
      <c r="F13" s="104" t="str">
        <f>IF(GETPIVOTDATA("Antal dyr",'K2 2018G'!$A$7,"Fordeling af dyretyper",F$7,"Staldtype fordeling",$U13)=0,"-",GETPIVOTDATA("Antal dyr",'K2 2018G'!$A$7,"Fordeling af dyretyper",F$7,"Staldtype fordeling",$U13))</f>
        <v>-</v>
      </c>
      <c r="G13" s="104" t="str">
        <f>IF(GETPIVOTDATA("Antal dyr",'K2 2018G'!$A$7,"Fordeling af dyretyper",G$7,"Staldtype fordeling",$U13)=0,"-",GETPIVOTDATA("Antal dyr",'K2 2018G'!$A$7,"Fordeling af dyretyper",G$7,"Staldtype fordeling",$U13))</f>
        <v>-</v>
      </c>
      <c r="H13" s="104">
        <f>IF(GETPIVOTDATA("Antal dyr",'K2 2018G'!$A$7,"Fordeling af dyretyper",H$7,"Staldtype fordeling",$U13)=0,"-",GETPIVOTDATA("Antal dyr",'K2 2018G'!$A$7,"Fordeling af dyretyper",H$7,"Staldtype fordeling",$U13))</f>
        <v>318.72999999999996</v>
      </c>
      <c r="I13" s="104" t="str">
        <f>IF(GETPIVOTDATA("Antal dyr",'K2 2018G'!$A$7,"Fordeling af dyretyper",I$7,"Staldtype fordeling",$U13)=0,"-",GETPIVOTDATA("Antal dyr",'K2 2018G'!$A$7,"Fordeling af dyretyper",I$7,"Staldtype fordeling",$U13))</f>
        <v>-</v>
      </c>
      <c r="J13" s="104" t="str">
        <f>IF(GETPIVOTDATA("Antal dyr",'K2 2018G'!$A$7,"Fordeling af dyretyper",J$7,"Staldtype fordeling",$U13)=0,"-",GETPIVOTDATA("Antal dyr",'K2 2018G'!$A$7,"Fordeling af dyretyper",J$7,"Staldtype fordeling",$U13))</f>
        <v>-</v>
      </c>
      <c r="K13" s="104">
        <f>IF(GETPIVOTDATA("Antal dyr",'K2 2018G'!$A$7,"Fordeling af dyretyper",K$7,"Staldtype fordeling",$U13)=0,"-",GETPIVOTDATA("Antal dyr",'K2 2018G'!$A$7,"Fordeling af dyretyper",K$7,"Staldtype fordeling",$U13))</f>
        <v>28565.51</v>
      </c>
      <c r="L13" s="104" t="str">
        <f>IF(GETPIVOTDATA("Antal dyr",'K2 2018G'!$A$7,"Fordeling af dyretyper",L$7,"Staldtype fordeling",$U13)=0,"-",GETPIVOTDATA("Antal dyr",'K2 2018G'!$A$7,"Fordeling af dyretyper",L$7,"Staldtype fordeling",$U13))</f>
        <v>-</v>
      </c>
      <c r="M13" s="104" t="str">
        <f>IF(GETPIVOTDATA("Antal dyr",'K2 2018G'!$A$7,"Fordeling af dyretyper",M$7,"Staldtype fordeling",$U13)=0,"-",GETPIVOTDATA("Antal dyr",'K2 2018G'!$A$7,"Fordeling af dyretyper",M$7,"Staldtype fordeling",$U13))</f>
        <v>-</v>
      </c>
      <c r="N13" s="104" t="str">
        <f>IF(GETPIVOTDATA("Antal dyr",'K2 2018G'!$A$7,"Fordeling af dyretyper",N$7,"Staldtype fordeling",$U13)=0,"-",GETPIVOTDATA("Antal dyr",'K2 2018G'!$A$7,"Fordeling af dyretyper",N$7,"Staldtype fordeling",$U13))</f>
        <v>-</v>
      </c>
      <c r="O13" s="104" t="str">
        <f>IF(GETPIVOTDATA("Antal dyr",'K2 2018G'!$A$7,"Fordeling af dyretyper",O$7,"Staldtype fordeling",$U13)=0,"-",GETPIVOTDATA("Antal dyr",'K2 2018G'!$A$7,"Fordeling af dyretyper",O$7,"Staldtype fordeling",$U13))</f>
        <v>-</v>
      </c>
      <c r="P13" s="104" t="str">
        <f>IF(GETPIVOTDATA("Antal dyr",'K2 2018G'!$A$7,"Fordeling af dyretyper",P$7,"Staldtype fordeling",$U13)=0,"-",GETPIVOTDATA("Antal dyr",'K2 2018G'!$A$7,"Fordeling af dyretyper",P$7,"Staldtype fordeling",$U13))</f>
        <v>-</v>
      </c>
      <c r="Q13" s="104" t="str">
        <f>IF(GETPIVOTDATA("Antal dyr",'K2 2018G'!$A$7,"Fordeling af dyretyper",Q$7,"Staldtype fordeling",$U13)=0,"-",GETPIVOTDATA("Antal dyr",'K2 2018G'!$A$7,"Fordeling af dyretyper",Q$7,"Staldtype fordeling",$U13))</f>
        <v>-</v>
      </c>
      <c r="R13" s="7" t="str">
        <f>IF(GETPIVOTDATA("Antal dyr",'K2 2018G'!$A$7,"Fordeling af dyretyper",R$7,"Staldtype fordeling",$U13)=0,"-",GETPIVOTDATA("Antal dyr",'K2 2018G'!$A$7,"Fordeling af dyretyper",R$7,"Staldtype fordeling",$U13))</f>
        <v>-</v>
      </c>
      <c r="S13" s="505"/>
      <c r="T13" s="505"/>
      <c r="U13" s="165" t="s">
        <v>640</v>
      </c>
      <c r="V13" s="19"/>
      <c r="W13" s="1686">
        <f>GETPIVOTDATA("Total udledning af metan (ton)",'K2 2018G'!$A$22,"Staldtype fordeling","Løsdrift / boks/ Bur")</f>
        <v>103.14297544566448</v>
      </c>
      <c r="X13" s="1686">
        <f>GETPIVOTDATA("Sum af Total udledning af N2O  (ton)",'K3 2018G'!$A$21,"Fordeling af staldtyper","Løsdrift / boks / bur")</f>
        <v>1.7123855507801429</v>
      </c>
      <c r="Y13" s="1688">
        <f t="shared" si="1"/>
        <v>0.10693946873014816</v>
      </c>
      <c r="Z13" s="514">
        <f>IFERROR(W13*'Grafer-klima-&gt;VÆLG GWP og NIR&lt;-'!$E$8+X13*'Grafer-klima-&gt;VÆLG GWP og NIR&lt;-'!$F$8," ")</f>
        <v>3088.8652802740944</v>
      </c>
    </row>
    <row r="14" spans="1:26" x14ac:dyDescent="0.2">
      <c r="C14" s="499" t="str">
        <f>IF(GETPIVOTDATA("Antal dyr",'K2 2018G'!$A$7,"Fordeling af dyretyper",C$7,"Staldtype fordeling",$U14)=0,"-",GETPIVOTDATA("Antal dyr",'K2 2018G'!$A$7,"Fordeling af dyretyper",C$7,"Staldtype fordeling",$U14))</f>
        <v>-</v>
      </c>
      <c r="D14" s="1680" t="str">
        <f>IF(GETPIVOTDATA("Antal dyr",'K2 2018G'!$A$7,"Fordeling af dyretyper",D$7,"Staldtype fordeling",$U14)=0,"-",GETPIVOTDATA("Antal dyr",'K2 2018G'!$A$7,"Fordeling af dyretyper",D$7,"Staldtype fordeling",$U14))</f>
        <v>-</v>
      </c>
      <c r="E14" s="104" t="str">
        <f>IF(GETPIVOTDATA("Antal dyr",'K2 2018G'!$A$7,"Fordeling af dyretyper",E$7,"Staldtype fordeling",$U14)=0,"-",GETPIVOTDATA("Antal dyr",'K2 2018G'!$A$7,"Fordeling af dyretyper",E$7,"Staldtype fordeling",$U14))</f>
        <v>-</v>
      </c>
      <c r="F14" s="104" t="str">
        <f>IF(GETPIVOTDATA("Antal dyr",'K2 2018G'!$A$7,"Fordeling af dyretyper",F$7,"Staldtype fordeling",$U14)=0,"-",GETPIVOTDATA("Antal dyr",'K2 2018G'!$A$7,"Fordeling af dyretyper",F$7,"Staldtype fordeling",$U14))</f>
        <v>-</v>
      </c>
      <c r="G14" s="104" t="str">
        <f>IF(GETPIVOTDATA("Antal dyr",'K2 2018G'!$A$7,"Fordeling af dyretyper",G$7,"Staldtype fordeling",$U14)=0,"-",GETPIVOTDATA("Antal dyr",'K2 2018G'!$A$7,"Fordeling af dyretyper",G$7,"Staldtype fordeling",$U14))</f>
        <v>-</v>
      </c>
      <c r="H14" s="104" t="str">
        <f>IF(GETPIVOTDATA("Antal dyr",'K2 2018G'!$A$7,"Fordeling af dyretyper",H$7,"Staldtype fordeling",$U14)=0,"-",GETPIVOTDATA("Antal dyr",'K2 2018G'!$A$7,"Fordeling af dyretyper",H$7,"Staldtype fordeling",$U14))</f>
        <v>-</v>
      </c>
      <c r="I14" s="104" t="str">
        <f>IF(GETPIVOTDATA("Antal dyr",'K2 2018G'!$A$7,"Fordeling af dyretyper",I$7,"Staldtype fordeling",$U14)=0,"-",GETPIVOTDATA("Antal dyr",'K2 2018G'!$A$7,"Fordeling af dyretyper",I$7,"Staldtype fordeling",$U14))</f>
        <v>-</v>
      </c>
      <c r="J14" s="104" t="str">
        <f>IF(GETPIVOTDATA("Antal dyr",'K2 2018G'!$A$7,"Fordeling af dyretyper",J$7,"Staldtype fordeling",$U14)=0,"-",GETPIVOTDATA("Antal dyr",'K2 2018G'!$A$7,"Fordeling af dyretyper",J$7,"Staldtype fordeling",$U14))</f>
        <v>-</v>
      </c>
      <c r="K14" s="104" t="str">
        <f>IF(GETPIVOTDATA("Antal dyr",'K2 2018G'!$A$7,"Fordeling af dyretyper",K$7,"Staldtype fordeling",$U14)=0,"-",GETPIVOTDATA("Antal dyr",'K2 2018G'!$A$7,"Fordeling af dyretyper",K$7,"Staldtype fordeling",$U14))</f>
        <v>-</v>
      </c>
      <c r="L14" s="104" t="str">
        <f>IF(GETPIVOTDATA("Antal dyr",'K2 2018G'!$A$7,"Fordeling af dyretyper",L$7,"Staldtype fordeling",$U14)=0,"-",GETPIVOTDATA("Antal dyr",'K2 2018G'!$A$7,"Fordeling af dyretyper",L$7,"Staldtype fordeling",$U14))</f>
        <v>-</v>
      </c>
      <c r="M14" s="104" t="str">
        <f>IF(GETPIVOTDATA("Antal dyr",'K2 2018G'!$A$7,"Fordeling af dyretyper",M$7,"Staldtype fordeling",$U14)=0,"-",GETPIVOTDATA("Antal dyr",'K2 2018G'!$A$7,"Fordeling af dyretyper",M$7,"Staldtype fordeling",$U14))</f>
        <v>-</v>
      </c>
      <c r="N14" s="104" t="str">
        <f>IF(GETPIVOTDATA("Antal dyr",'K2 2018G'!$A$7,"Fordeling af dyretyper",N$7,"Staldtype fordeling",$U14)=0,"-",GETPIVOTDATA("Antal dyr",'K2 2018G'!$A$7,"Fordeling af dyretyper",N$7,"Staldtype fordeling",$U14))</f>
        <v>-</v>
      </c>
      <c r="O14" s="104" t="str">
        <f>IF(GETPIVOTDATA("Antal dyr",'K2 2018G'!$A$7,"Fordeling af dyretyper",O$7,"Staldtype fordeling",$U14)=0,"-",GETPIVOTDATA("Antal dyr",'K2 2018G'!$A$7,"Fordeling af dyretyper",O$7,"Staldtype fordeling",$U14))</f>
        <v>-</v>
      </c>
      <c r="P14" s="104" t="str">
        <f>IF(GETPIVOTDATA("Antal dyr",'K2 2018G'!$A$7,"Fordeling af dyretyper",P$7,"Staldtype fordeling",$U14)=0,"-",GETPIVOTDATA("Antal dyr",'K2 2018G'!$A$7,"Fordeling af dyretyper",P$7,"Staldtype fordeling",$U14))</f>
        <v>-</v>
      </c>
      <c r="Q14" s="104" t="str">
        <f>IF(GETPIVOTDATA("Antal dyr",'K2 2018G'!$A$7,"Fordeling af dyretyper",Q$7,"Staldtype fordeling",$U14)=0,"-",GETPIVOTDATA("Antal dyr",'K2 2018G'!$A$7,"Fordeling af dyretyper",Q$7,"Staldtype fordeling",$U14))</f>
        <v>-</v>
      </c>
      <c r="R14" s="7" t="str">
        <f>IF(GETPIVOTDATA("Antal dyr",'K2 2018G'!$A$7,"Fordeling af dyretyper",R$7,"Staldtype fordeling",$U14)=0,"-",GETPIVOTDATA("Antal dyr",'K2 2018G'!$A$7,"Fordeling af dyretyper",R$7,"Staldtype fordeling",$U14))</f>
        <v>-</v>
      </c>
      <c r="S14" s="506"/>
      <c r="T14" s="506"/>
      <c r="U14" s="165" t="s">
        <v>353</v>
      </c>
      <c r="V14" s="515"/>
      <c r="W14" s="1686">
        <f>GETPIVOTDATA("Total udledning af metan (ton)",'K2 2018G'!$A$22,"Staldtype fordeling","Løsdrift / spalter")</f>
        <v>0</v>
      </c>
      <c r="X14" s="1686">
        <f>GETPIVOTDATA("Sum af Total udledning af N2O  (ton)",'K3 2018G'!$A$21,"Fordeling af staldtyper","Løsdrift / spalter")</f>
        <v>0</v>
      </c>
      <c r="Y14" s="4217" t="str">
        <f>IFERROR(Z14/SUM(C14:R14),"0")</f>
        <v>0</v>
      </c>
      <c r="Z14" s="514">
        <f>IFERROR(W14*'Grafer-klima-&gt;VÆLG GWP og NIR&lt;-'!$E$8+X14*'Grafer-klima-&gt;VÆLG GWP og NIR&lt;-'!$F$8," ")</f>
        <v>0</v>
      </c>
    </row>
    <row r="15" spans="1:26" x14ac:dyDescent="0.2">
      <c r="C15" s="499">
        <f>IF(GETPIVOTDATA("Antal dyr",'K2 2018G'!$A$7,"Fordeling af dyretyper",C$7,"Staldtype fordeling",$U15)=0,"-",GETPIVOTDATA("Antal dyr",'K2 2018G'!$A$7,"Fordeling af dyretyper",C$7,"Staldtype fordeling",$U15))</f>
        <v>100</v>
      </c>
      <c r="D15" s="1680" t="str">
        <f>IF(GETPIVOTDATA("Antal dyr",'K2 2018G'!$A$7,"Fordeling af dyretyper",D$7,"Staldtype fordeling",$U15)=0,"-",GETPIVOTDATA("Antal dyr",'K2 2018G'!$A$7,"Fordeling af dyretyper",D$7,"Staldtype fordeling",$U15))</f>
        <v>-</v>
      </c>
      <c r="E15" s="104" t="str">
        <f>IF(GETPIVOTDATA("Antal dyr",'K2 2018G'!$A$7,"Fordeling af dyretyper",E$7,"Staldtype fordeling",$U15)=0,"-",GETPIVOTDATA("Antal dyr",'K2 2018G'!$A$7,"Fordeling af dyretyper",E$7,"Staldtype fordeling",$U15))</f>
        <v>-</v>
      </c>
      <c r="F15" s="104" t="str">
        <f>IF(GETPIVOTDATA("Antal dyr",'K2 2018G'!$A$7,"Fordeling af dyretyper",F$7,"Staldtype fordeling",$U15)=0,"-",GETPIVOTDATA("Antal dyr",'K2 2018G'!$A$7,"Fordeling af dyretyper",F$7,"Staldtype fordeling",$U15))</f>
        <v>-</v>
      </c>
      <c r="G15" s="104" t="str">
        <f>IF(GETPIVOTDATA("Antal dyr",'K2 2018G'!$A$7,"Fordeling af dyretyper",G$7,"Staldtype fordeling",$U15)=0,"-",GETPIVOTDATA("Antal dyr",'K2 2018G'!$A$7,"Fordeling af dyretyper",G$7,"Staldtype fordeling",$U15))</f>
        <v>-</v>
      </c>
      <c r="H15" s="104" t="str">
        <f>IF(GETPIVOTDATA("Antal dyr",'K2 2018G'!$A$7,"Fordeling af dyretyper",H$7,"Staldtype fordeling",$U15)=0,"-",GETPIVOTDATA("Antal dyr",'K2 2018G'!$A$7,"Fordeling af dyretyper",H$7,"Staldtype fordeling",$U15))</f>
        <v>-</v>
      </c>
      <c r="I15" s="104" t="str">
        <f>IF(GETPIVOTDATA("Antal dyr",'K2 2018G'!$A$7,"Fordeling af dyretyper",I$7,"Staldtype fordeling",$U15)=0,"-",GETPIVOTDATA("Antal dyr",'K2 2018G'!$A$7,"Fordeling af dyretyper",I$7,"Staldtype fordeling",$U15))</f>
        <v>-</v>
      </c>
      <c r="J15" s="104" t="str">
        <f>IF(GETPIVOTDATA("Antal dyr",'K2 2018G'!$A$7,"Fordeling af dyretyper",J$7,"Staldtype fordeling",$U15)=0,"-",GETPIVOTDATA("Antal dyr",'K2 2018G'!$A$7,"Fordeling af dyretyper",J$7,"Staldtype fordeling",$U15))</f>
        <v>-</v>
      </c>
      <c r="K15" s="104" t="str">
        <f>IF(GETPIVOTDATA("Antal dyr",'K2 2018G'!$A$7,"Fordeling af dyretyper",K$7,"Staldtype fordeling",$U15)=0,"-",GETPIVOTDATA("Antal dyr",'K2 2018G'!$A$7,"Fordeling af dyretyper",K$7,"Staldtype fordeling",$U15))</f>
        <v>-</v>
      </c>
      <c r="L15" s="104" t="str">
        <f>IF(GETPIVOTDATA("Antal dyr",'K2 2018G'!$A$7,"Fordeling af dyretyper",L$7,"Staldtype fordeling",$U15)=0,"-",GETPIVOTDATA("Antal dyr",'K2 2018G'!$A$7,"Fordeling af dyretyper",L$7,"Staldtype fordeling",$U15))</f>
        <v>-</v>
      </c>
      <c r="M15" s="104" t="str">
        <f>IF(GETPIVOTDATA("Antal dyr",'K2 2018G'!$A$7,"Fordeling af dyretyper",M$7,"Staldtype fordeling",$U15)=0,"-",GETPIVOTDATA("Antal dyr",'K2 2018G'!$A$7,"Fordeling af dyretyper",M$7,"Staldtype fordeling",$U15))</f>
        <v>-</v>
      </c>
      <c r="N15" s="104" t="str">
        <f>IF(GETPIVOTDATA("Antal dyr",'K2 2018G'!$A$7,"Fordeling af dyretyper",N$7,"Staldtype fordeling",$U15)=0,"-",GETPIVOTDATA("Antal dyr",'K2 2018G'!$A$7,"Fordeling af dyretyper",N$7,"Staldtype fordeling",$U15))</f>
        <v>-</v>
      </c>
      <c r="O15" s="104" t="str">
        <f>IF(GETPIVOTDATA("Antal dyr",'K2 2018G'!$A$7,"Fordeling af dyretyper",O$7,"Staldtype fordeling",$U15)=0,"-",GETPIVOTDATA("Antal dyr",'K2 2018G'!$A$7,"Fordeling af dyretyper",O$7,"Staldtype fordeling",$U15))</f>
        <v>-</v>
      </c>
      <c r="P15" s="104" t="str">
        <f>IF(GETPIVOTDATA("Antal dyr",'K2 2018G'!$A$7,"Fordeling af dyretyper",P$7,"Staldtype fordeling",$U15)=0,"-",GETPIVOTDATA("Antal dyr",'K2 2018G'!$A$7,"Fordeling af dyretyper",P$7,"Staldtype fordeling",$U15))</f>
        <v>-</v>
      </c>
      <c r="Q15" s="104">
        <f>IF(GETPIVOTDATA("Antal dyr",'K2 2018G'!$A$7,"Fordeling af dyretyper",Q$7,"Staldtype fordeling",$U15)=0,"-",GETPIVOTDATA("Antal dyr",'K2 2018G'!$A$7,"Fordeling af dyretyper",Q$7,"Staldtype fordeling",$U15))</f>
        <v>188.07</v>
      </c>
      <c r="R15" s="7" t="str">
        <f>IF(GETPIVOTDATA("Antal dyr",'K2 2018G'!$A$7,"Fordeling af dyretyper",R$7,"Staldtype fordeling",$U15)=0,"-",GETPIVOTDATA("Antal dyr",'K2 2018G'!$A$7,"Fordeling af dyretyper",R$7,"Staldtype fordeling",$U15))</f>
        <v>-</v>
      </c>
      <c r="S15" s="506"/>
      <c r="T15" s="506"/>
      <c r="U15" s="165" t="s">
        <v>354</v>
      </c>
      <c r="V15" s="515"/>
      <c r="W15" s="1686">
        <f>GETPIVOTDATA("Total udledning af metan (ton)",'K2 2018G'!$A$22,"Staldtype fordeling","Sengestald")</f>
        <v>8.8187212108799997</v>
      </c>
      <c r="X15" s="1686">
        <f>GETPIVOTDATA("Sum af Total udledning af N2O  (ton)",'K3 2018G'!$A$21,"Fordeling af staldtyper","Sengestald")</f>
        <v>0.33386404589999996</v>
      </c>
      <c r="Y15" s="1688">
        <f t="shared" si="1"/>
        <v>1.1107005795473324</v>
      </c>
      <c r="Z15" s="514">
        <f>IFERROR(W15*'Grafer-klima-&gt;VÆLG GWP og NIR&lt;-'!$E$8+X15*'Grafer-klima-&gt;VÆLG GWP og NIR&lt;-'!$F$8," ")</f>
        <v>319.9595159502</v>
      </c>
    </row>
    <row r="16" spans="1:26" x14ac:dyDescent="0.2">
      <c r="C16" s="6"/>
      <c r="D16" s="104"/>
      <c r="E16" s="104"/>
      <c r="F16" s="104"/>
      <c r="G16" s="104"/>
      <c r="H16" s="104"/>
      <c r="I16" s="104"/>
      <c r="J16" s="104"/>
      <c r="K16" s="104"/>
      <c r="L16" s="104"/>
      <c r="M16" s="104"/>
      <c r="N16" s="104"/>
      <c r="O16" s="104"/>
      <c r="P16" s="104"/>
      <c r="Q16" s="104"/>
      <c r="R16" s="7"/>
      <c r="S16" s="1681" t="str">
        <f>'K2a 2018G'!D8</f>
        <v>NA</v>
      </c>
      <c r="T16" s="507"/>
      <c r="U16" s="168" t="s">
        <v>268</v>
      </c>
      <c r="V16" s="515"/>
      <c r="W16" s="1689" t="str">
        <f>'K2a 2018G'!I8</f>
        <v>NA</v>
      </c>
      <c r="X16" s="1688"/>
      <c r="Y16" s="1688"/>
      <c r="Z16" s="514" t="str">
        <f>IFERROR(W16*'Grafer-klima-&gt;VÆLG GWP og NIR&lt;-'!$E$8+X16*'Grafer-klima-&gt;VÆLG GWP og NIR&lt;-'!$F$8," ")</f>
        <v xml:space="preserve"> </v>
      </c>
    </row>
    <row r="17" spans="3:26" ht="15" thickBot="1" x14ac:dyDescent="0.25">
      <c r="C17" s="508"/>
      <c r="D17" s="509"/>
      <c r="E17" s="509"/>
      <c r="F17" s="509"/>
      <c r="G17" s="509"/>
      <c r="H17" s="509"/>
      <c r="I17" s="509"/>
      <c r="J17" s="509"/>
      <c r="K17" s="509"/>
      <c r="L17" s="509"/>
      <c r="M17" s="509"/>
      <c r="N17" s="509"/>
      <c r="O17" s="509"/>
      <c r="P17" s="509"/>
      <c r="Q17" s="509"/>
      <c r="R17" s="510"/>
      <c r="S17" s="1682" t="str">
        <f>'K2a 2018G'!D9</f>
        <v>NA</v>
      </c>
      <c r="T17" s="511"/>
      <c r="U17" s="169" t="s">
        <v>269</v>
      </c>
      <c r="V17" s="518"/>
      <c r="W17" s="1689" t="str">
        <f>'K2a 2018G'!I9</f>
        <v>NA</v>
      </c>
      <c r="X17" s="1690"/>
      <c r="Y17" s="1690"/>
      <c r="Z17" s="520" t="str">
        <f>IFERROR(W17*'Grafer-klima-&gt;VÆLG GWP og NIR&lt;-'!$E$8+X17*'Grafer-klima-&gt;VÆLG GWP og NIR&lt;-'!$F$8," ")</f>
        <v xml:space="preserve"> </v>
      </c>
    </row>
    <row r="18" spans="3:26" ht="15" thickBot="1" x14ac:dyDescent="0.25">
      <c r="C18" s="465">
        <f>SUM(C9:C15)</f>
        <v>626.69000000000005</v>
      </c>
      <c r="D18" s="466">
        <f t="shared" ref="D18:P18" si="2">SUM(D9:D15)</f>
        <v>10.94</v>
      </c>
      <c r="E18" s="466">
        <f t="shared" si="2"/>
        <v>0</v>
      </c>
      <c r="F18" s="466">
        <f t="shared" si="2"/>
        <v>0</v>
      </c>
      <c r="G18" s="466">
        <f t="shared" si="2"/>
        <v>403.89</v>
      </c>
      <c r="H18" s="466">
        <f t="shared" si="2"/>
        <v>318.72999999999996</v>
      </c>
      <c r="I18" s="466">
        <f t="shared" si="2"/>
        <v>0</v>
      </c>
      <c r="J18" s="466">
        <f t="shared" si="2"/>
        <v>570.11999999999989</v>
      </c>
      <c r="K18" s="466">
        <f t="shared" si="2"/>
        <v>28565.51</v>
      </c>
      <c r="L18" s="466">
        <f t="shared" si="2"/>
        <v>27.54</v>
      </c>
      <c r="M18" s="466">
        <f t="shared" si="2"/>
        <v>493.31</v>
      </c>
      <c r="N18" s="466">
        <f t="shared" si="2"/>
        <v>553.46</v>
      </c>
      <c r="O18" s="466">
        <f t="shared" si="2"/>
        <v>27.54</v>
      </c>
      <c r="P18" s="466">
        <f t="shared" si="2"/>
        <v>175.85</v>
      </c>
      <c r="Q18" s="466">
        <f>SUM(Q9:Q15)</f>
        <v>188.07</v>
      </c>
      <c r="R18" s="467">
        <f>SUM(R9:R15)</f>
        <v>0</v>
      </c>
      <c r="S18" s="468">
        <f>SUM(S16:S17)</f>
        <v>0</v>
      </c>
      <c r="T18" s="468"/>
      <c r="U18" s="526" t="s">
        <v>228</v>
      </c>
      <c r="V18" s="524">
        <f>SUM(V8:V17)</f>
        <v>0</v>
      </c>
      <c r="W18" s="524">
        <f>SUM(W8:W17)</f>
        <v>298.31467474929082</v>
      </c>
      <c r="X18" s="524">
        <f>SUM(X8:X17)</f>
        <v>3.5306618611010996</v>
      </c>
      <c r="Y18" s="525"/>
      <c r="Z18" s="527">
        <f>SUM(Z8:Z17)</f>
        <v>8510.0041033403995</v>
      </c>
    </row>
    <row r="19" spans="3:26" ht="18.75" x14ac:dyDescent="0.35">
      <c r="C19" s="153" t="s">
        <v>641</v>
      </c>
      <c r="D19" s="512"/>
      <c r="E19" s="512"/>
      <c r="F19" s="512"/>
      <c r="G19" s="512"/>
      <c r="H19" s="512"/>
      <c r="I19" s="512"/>
      <c r="J19" s="512"/>
      <c r="K19" s="512"/>
      <c r="L19" s="512"/>
      <c r="M19" s="512"/>
      <c r="N19" s="512"/>
      <c r="O19" s="512"/>
      <c r="P19" s="512"/>
      <c r="Q19" s="512"/>
      <c r="R19" s="512"/>
      <c r="S19" s="512"/>
      <c r="T19" s="512"/>
      <c r="U19" s="129"/>
    </row>
    <row r="20" spans="3:26" x14ac:dyDescent="0.2">
      <c r="U20" s="129"/>
      <c r="X20" s="170"/>
    </row>
    <row r="21" spans="3:26" x14ac:dyDescent="0.2">
      <c r="U21" s="129"/>
    </row>
    <row r="22" spans="3:26" x14ac:dyDescent="0.2">
      <c r="U22" s="129"/>
    </row>
    <row r="23" spans="3:26" x14ac:dyDescent="0.2">
      <c r="U23" s="129"/>
    </row>
    <row r="24" spans="3:26" x14ac:dyDescent="0.2">
      <c r="U24" s="129"/>
    </row>
    <row r="25" spans="3:26" x14ac:dyDescent="0.2">
      <c r="U25" s="129"/>
    </row>
    <row r="26" spans="3:26" x14ac:dyDescent="0.2">
      <c r="U26" s="129"/>
    </row>
    <row r="27" spans="3:26" x14ac:dyDescent="0.2">
      <c r="U27" s="129"/>
    </row>
    <row r="28" spans="3:26" x14ac:dyDescent="0.2">
      <c r="U28" s="129"/>
    </row>
    <row r="29" spans="3:26" x14ac:dyDescent="0.2">
      <c r="U29" s="129"/>
    </row>
    <row r="30" spans="3:26" x14ac:dyDescent="0.2">
      <c r="U30" s="129"/>
    </row>
    <row r="31" spans="3:26" x14ac:dyDescent="0.2">
      <c r="U31" s="129"/>
    </row>
    <row r="32" spans="3:26" x14ac:dyDescent="0.2">
      <c r="U32" s="129"/>
    </row>
    <row r="33" spans="21:21" x14ac:dyDescent="0.2">
      <c r="U33" s="129"/>
    </row>
    <row r="34" spans="21:21" x14ac:dyDescent="0.2">
      <c r="U34" s="129"/>
    </row>
    <row r="35" spans="21:21" x14ac:dyDescent="0.2">
      <c r="U35" s="129"/>
    </row>
    <row r="36" spans="21:21" x14ac:dyDescent="0.2">
      <c r="U36" s="129"/>
    </row>
    <row r="37" spans="21:21" x14ac:dyDescent="0.2">
      <c r="U37" s="129"/>
    </row>
    <row r="38" spans="21:21" x14ac:dyDescent="0.2">
      <c r="U38" s="129"/>
    </row>
    <row r="39" spans="21:21" x14ac:dyDescent="0.2">
      <c r="U39" s="129"/>
    </row>
    <row r="40" spans="21:21" x14ac:dyDescent="0.2">
      <c r="U40" s="129"/>
    </row>
    <row r="41" spans="21:21" x14ac:dyDescent="0.2">
      <c r="U41" s="129"/>
    </row>
    <row r="42" spans="21:21" x14ac:dyDescent="0.2">
      <c r="U42" s="129"/>
    </row>
    <row r="43" spans="21:21" x14ac:dyDescent="0.2">
      <c r="U43" s="129"/>
    </row>
    <row r="44" spans="21:21" x14ac:dyDescent="0.2">
      <c r="U44" s="129"/>
    </row>
    <row r="45" spans="21:21" x14ac:dyDescent="0.2">
      <c r="U45" s="129"/>
    </row>
    <row r="46" spans="21:21" x14ac:dyDescent="0.2">
      <c r="U46" s="129"/>
    </row>
    <row r="47" spans="21:21" x14ac:dyDescent="0.2">
      <c r="U47" s="129"/>
    </row>
    <row r="48" spans="21:21" x14ac:dyDescent="0.2">
      <c r="U48" s="129"/>
    </row>
    <row r="49" spans="21:21" x14ac:dyDescent="0.2">
      <c r="U49" s="129"/>
    </row>
    <row r="50" spans="21:21" x14ac:dyDescent="0.2">
      <c r="U50" s="129"/>
    </row>
    <row r="51" spans="21:21" x14ac:dyDescent="0.2">
      <c r="U51" s="129"/>
    </row>
    <row r="52" spans="21:21" x14ac:dyDescent="0.2">
      <c r="U52" s="129"/>
    </row>
    <row r="53" spans="21:21" x14ac:dyDescent="0.2">
      <c r="U53" s="129"/>
    </row>
    <row r="54" spans="21:21" x14ac:dyDescent="0.2">
      <c r="U54" s="129"/>
    </row>
    <row r="55" spans="21:21" x14ac:dyDescent="0.2">
      <c r="U55" s="129"/>
    </row>
    <row r="56" spans="21:21" x14ac:dyDescent="0.2">
      <c r="U56" s="129"/>
    </row>
    <row r="57" spans="21:21" x14ac:dyDescent="0.2">
      <c r="U57" s="129"/>
    </row>
    <row r="58" spans="21:21" x14ac:dyDescent="0.2">
      <c r="U58" s="129"/>
    </row>
    <row r="59" spans="21:21" x14ac:dyDescent="0.2">
      <c r="U59" s="129"/>
    </row>
    <row r="60" spans="21:21" x14ac:dyDescent="0.2">
      <c r="U60" s="129"/>
    </row>
    <row r="61" spans="21:21" x14ac:dyDescent="0.2">
      <c r="U61" s="129"/>
    </row>
    <row r="62" spans="21:21" x14ac:dyDescent="0.2">
      <c r="U62" s="129"/>
    </row>
    <row r="63" spans="21:21" x14ac:dyDescent="0.2">
      <c r="U63" s="129"/>
    </row>
    <row r="64" spans="21:21" x14ac:dyDescent="0.2">
      <c r="U64" s="129"/>
    </row>
    <row r="65" spans="21:21" x14ac:dyDescent="0.2">
      <c r="U65" s="129"/>
    </row>
    <row r="66" spans="21:21" x14ac:dyDescent="0.2">
      <c r="U66" s="129"/>
    </row>
    <row r="67" spans="21:21" x14ac:dyDescent="0.2">
      <c r="U67" s="129"/>
    </row>
    <row r="68" spans="21:21" x14ac:dyDescent="0.2">
      <c r="U68" s="129"/>
    </row>
    <row r="69" spans="21:21" x14ac:dyDescent="0.2">
      <c r="U69" s="129"/>
    </row>
    <row r="70" spans="21:21" x14ac:dyDescent="0.2">
      <c r="U70" s="129"/>
    </row>
    <row r="71" spans="21:21" x14ac:dyDescent="0.2">
      <c r="U71" s="129"/>
    </row>
    <row r="72" spans="21:21" x14ac:dyDescent="0.2">
      <c r="U72" s="129"/>
    </row>
    <row r="73" spans="21:21" x14ac:dyDescent="0.2">
      <c r="U73" s="129"/>
    </row>
    <row r="74" spans="21:21" x14ac:dyDescent="0.2">
      <c r="U74" s="129"/>
    </row>
    <row r="75" spans="21:21" x14ac:dyDescent="0.2">
      <c r="U75" s="129"/>
    </row>
    <row r="76" spans="21:21" x14ac:dyDescent="0.2">
      <c r="U76" s="129"/>
    </row>
    <row r="77" spans="21:21" x14ac:dyDescent="0.2">
      <c r="U77" s="129"/>
    </row>
    <row r="78" spans="21:21" x14ac:dyDescent="0.2">
      <c r="U78" s="129"/>
    </row>
    <row r="79" spans="21:21" x14ac:dyDescent="0.2">
      <c r="U79" s="129"/>
    </row>
    <row r="80" spans="21:21" x14ac:dyDescent="0.2">
      <c r="U80" s="129"/>
    </row>
    <row r="81" spans="21:21" x14ac:dyDescent="0.2">
      <c r="U81" s="129"/>
    </row>
    <row r="82" spans="21:21" x14ac:dyDescent="0.2">
      <c r="U82" s="129"/>
    </row>
    <row r="83" spans="21:21" x14ac:dyDescent="0.2">
      <c r="U83" s="129"/>
    </row>
    <row r="84" spans="21:21" x14ac:dyDescent="0.2">
      <c r="U84" s="129"/>
    </row>
    <row r="85" spans="21:21" x14ac:dyDescent="0.2">
      <c r="U85" s="129"/>
    </row>
    <row r="86" spans="21:21" x14ac:dyDescent="0.2">
      <c r="U86" s="129"/>
    </row>
    <row r="87" spans="21:21" x14ac:dyDescent="0.2">
      <c r="U87" s="129"/>
    </row>
    <row r="88" spans="21:21" x14ac:dyDescent="0.2">
      <c r="U88" s="129"/>
    </row>
    <row r="89" spans="21:21" x14ac:dyDescent="0.2">
      <c r="U89" s="129"/>
    </row>
    <row r="90" spans="21:21" x14ac:dyDescent="0.2">
      <c r="U90" s="129"/>
    </row>
    <row r="91" spans="21:21" x14ac:dyDescent="0.2">
      <c r="U91" s="129"/>
    </row>
    <row r="92" spans="21:21" x14ac:dyDescent="0.2">
      <c r="U92" s="129"/>
    </row>
    <row r="93" spans="21:21" x14ac:dyDescent="0.2">
      <c r="U93" s="129"/>
    </row>
    <row r="94" spans="21:21" x14ac:dyDescent="0.2">
      <c r="U94" s="129"/>
    </row>
    <row r="95" spans="21:21" x14ac:dyDescent="0.2">
      <c r="U95" s="129"/>
    </row>
    <row r="96" spans="21:21" x14ac:dyDescent="0.2">
      <c r="U96" s="129"/>
    </row>
    <row r="97" spans="21:21" x14ac:dyDescent="0.2">
      <c r="U97" s="129"/>
    </row>
    <row r="98" spans="21:21" x14ac:dyDescent="0.2">
      <c r="U98" s="129"/>
    </row>
    <row r="99" spans="21:21" x14ac:dyDescent="0.2">
      <c r="U99" s="129"/>
    </row>
    <row r="100" spans="21:21" x14ac:dyDescent="0.2">
      <c r="U100" s="129"/>
    </row>
    <row r="101" spans="21:21" x14ac:dyDescent="0.2">
      <c r="U101" s="129"/>
    </row>
    <row r="102" spans="21:21" x14ac:dyDescent="0.2">
      <c r="U102" s="129"/>
    </row>
    <row r="103" spans="21:21" x14ac:dyDescent="0.2">
      <c r="U103" s="129"/>
    </row>
    <row r="104" spans="21:21" x14ac:dyDescent="0.2">
      <c r="U104" s="129"/>
    </row>
    <row r="105" spans="21:21" x14ac:dyDescent="0.2">
      <c r="U105" s="129"/>
    </row>
    <row r="106" spans="21:21" x14ac:dyDescent="0.2">
      <c r="U106" s="129"/>
    </row>
    <row r="107" spans="21:21" x14ac:dyDescent="0.2">
      <c r="U107" s="129"/>
    </row>
    <row r="108" spans="21:21" x14ac:dyDescent="0.2">
      <c r="U108" s="129"/>
    </row>
    <row r="109" spans="21:21" x14ac:dyDescent="0.2">
      <c r="U109" s="129"/>
    </row>
    <row r="110" spans="21:21" x14ac:dyDescent="0.2">
      <c r="U110" s="129"/>
    </row>
    <row r="111" spans="21:21" x14ac:dyDescent="0.2">
      <c r="U111" s="129"/>
    </row>
    <row r="112" spans="21:21" x14ac:dyDescent="0.2">
      <c r="U112" s="129"/>
    </row>
    <row r="113" spans="21:21" x14ac:dyDescent="0.2">
      <c r="U113" s="129"/>
    </row>
    <row r="114" spans="21:21" x14ac:dyDescent="0.2">
      <c r="U114" s="129"/>
    </row>
    <row r="115" spans="21:21" x14ac:dyDescent="0.2">
      <c r="U115" s="129"/>
    </row>
    <row r="116" spans="21:21" x14ac:dyDescent="0.2">
      <c r="U116" s="129"/>
    </row>
    <row r="117" spans="21:21" x14ac:dyDescent="0.2">
      <c r="U117" s="129"/>
    </row>
    <row r="118" spans="21:21" x14ac:dyDescent="0.2">
      <c r="U118" s="129"/>
    </row>
    <row r="119" spans="21:21" x14ac:dyDescent="0.2">
      <c r="U119" s="129"/>
    </row>
    <row r="120" spans="21:21" x14ac:dyDescent="0.2">
      <c r="U120" s="129"/>
    </row>
    <row r="121" spans="21:21" x14ac:dyDescent="0.2">
      <c r="U121" s="129"/>
    </row>
    <row r="122" spans="21:21" x14ac:dyDescent="0.2">
      <c r="U122" s="129"/>
    </row>
    <row r="123" spans="21:21" x14ac:dyDescent="0.2">
      <c r="U123" s="129"/>
    </row>
    <row r="124" spans="21:21" x14ac:dyDescent="0.2">
      <c r="U124" s="129"/>
    </row>
    <row r="125" spans="21:21" x14ac:dyDescent="0.2">
      <c r="U125" s="129"/>
    </row>
    <row r="126" spans="21:21" x14ac:dyDescent="0.2">
      <c r="U126" s="129"/>
    </row>
    <row r="127" spans="21:21" x14ac:dyDescent="0.2">
      <c r="U127" s="129"/>
    </row>
    <row r="128" spans="21:21" x14ac:dyDescent="0.2">
      <c r="U128" s="129"/>
    </row>
    <row r="129" spans="21:21" x14ac:dyDescent="0.2">
      <c r="U129" s="129"/>
    </row>
    <row r="130" spans="21:21" x14ac:dyDescent="0.2">
      <c r="U130" s="129"/>
    </row>
    <row r="131" spans="21:21" x14ac:dyDescent="0.2">
      <c r="U131" s="129"/>
    </row>
    <row r="132" spans="21:21" x14ac:dyDescent="0.2">
      <c r="U132" s="129"/>
    </row>
    <row r="133" spans="21:21" x14ac:dyDescent="0.2">
      <c r="U133" s="129"/>
    </row>
    <row r="134" spans="21:21" x14ac:dyDescent="0.2">
      <c r="U134" s="129"/>
    </row>
    <row r="135" spans="21:21" x14ac:dyDescent="0.2">
      <c r="U135" s="129"/>
    </row>
    <row r="136" spans="21:21" x14ac:dyDescent="0.2">
      <c r="U136" s="129"/>
    </row>
    <row r="137" spans="21:21" x14ac:dyDescent="0.2">
      <c r="U137" s="129"/>
    </row>
    <row r="138" spans="21:21" x14ac:dyDescent="0.2">
      <c r="U138" s="129"/>
    </row>
    <row r="139" spans="21:21" x14ac:dyDescent="0.2">
      <c r="U139" s="129"/>
    </row>
    <row r="140" spans="21:21" x14ac:dyDescent="0.2">
      <c r="U140" s="129"/>
    </row>
    <row r="141" spans="21:21" x14ac:dyDescent="0.2">
      <c r="U141" s="129"/>
    </row>
    <row r="142" spans="21:21" x14ac:dyDescent="0.2">
      <c r="U142" s="129"/>
    </row>
    <row r="143" spans="21:21" x14ac:dyDescent="0.2">
      <c r="U143" s="129"/>
    </row>
    <row r="144" spans="21:21" x14ac:dyDescent="0.2">
      <c r="U144" s="129"/>
    </row>
    <row r="145" spans="21:21" x14ac:dyDescent="0.2">
      <c r="U145" s="129"/>
    </row>
    <row r="146" spans="21:21" x14ac:dyDescent="0.2">
      <c r="U146" s="129"/>
    </row>
    <row r="147" spans="21:21" x14ac:dyDescent="0.2">
      <c r="U147" s="129"/>
    </row>
    <row r="148" spans="21:21" x14ac:dyDescent="0.2">
      <c r="U148" s="129"/>
    </row>
    <row r="149" spans="21:21" x14ac:dyDescent="0.2">
      <c r="U149" s="129"/>
    </row>
    <row r="150" spans="21:21" x14ac:dyDescent="0.2">
      <c r="U150" s="129"/>
    </row>
    <row r="151" spans="21:21" x14ac:dyDescent="0.2">
      <c r="U151" s="129"/>
    </row>
    <row r="152" spans="21:21" x14ac:dyDescent="0.2">
      <c r="U152" s="129"/>
    </row>
    <row r="153" spans="21:21" x14ac:dyDescent="0.2">
      <c r="U153" s="129"/>
    </row>
    <row r="154" spans="21:21" x14ac:dyDescent="0.2">
      <c r="U154" s="129"/>
    </row>
    <row r="155" spans="21:21" x14ac:dyDescent="0.2">
      <c r="U155" s="129"/>
    </row>
    <row r="156" spans="21:21" x14ac:dyDescent="0.2">
      <c r="U156" s="129"/>
    </row>
    <row r="157" spans="21:21" x14ac:dyDescent="0.2">
      <c r="U157" s="129"/>
    </row>
    <row r="158" spans="21:21" x14ac:dyDescent="0.2">
      <c r="U158" s="129"/>
    </row>
    <row r="159" spans="21:21" x14ac:dyDescent="0.2">
      <c r="U159" s="129"/>
    </row>
    <row r="160" spans="21:21" x14ac:dyDescent="0.2">
      <c r="U160" s="129"/>
    </row>
    <row r="161" spans="21:21" x14ac:dyDescent="0.2">
      <c r="U161" s="129"/>
    </row>
    <row r="162" spans="21:21" x14ac:dyDescent="0.2">
      <c r="U162" s="129"/>
    </row>
    <row r="163" spans="21:21" x14ac:dyDescent="0.2">
      <c r="U163" s="129"/>
    </row>
    <row r="164" spans="21:21" x14ac:dyDescent="0.2">
      <c r="U164" s="129"/>
    </row>
    <row r="165" spans="21:21" x14ac:dyDescent="0.2">
      <c r="U165" s="129"/>
    </row>
    <row r="166" spans="21:21" x14ac:dyDescent="0.2">
      <c r="U166" s="129"/>
    </row>
    <row r="167" spans="21:21" x14ac:dyDescent="0.2">
      <c r="U167" s="129"/>
    </row>
    <row r="168" spans="21:21" x14ac:dyDescent="0.2">
      <c r="U168" s="129"/>
    </row>
    <row r="169" spans="21:21" x14ac:dyDescent="0.2">
      <c r="U169" s="129"/>
    </row>
    <row r="170" spans="21:21" x14ac:dyDescent="0.2">
      <c r="U170" s="129"/>
    </row>
    <row r="171" spans="21:21" x14ac:dyDescent="0.2">
      <c r="U171" s="129"/>
    </row>
    <row r="172" spans="21:21" x14ac:dyDescent="0.2">
      <c r="U172" s="129"/>
    </row>
    <row r="173" spans="21:21" x14ac:dyDescent="0.2">
      <c r="U173" s="129"/>
    </row>
    <row r="174" spans="21:21" x14ac:dyDescent="0.2">
      <c r="U174" s="129"/>
    </row>
    <row r="175" spans="21:21" x14ac:dyDescent="0.2">
      <c r="U175" s="129"/>
    </row>
    <row r="176" spans="21:21" x14ac:dyDescent="0.2">
      <c r="U176" s="129"/>
    </row>
    <row r="177" spans="1:26" ht="15" thickBot="1" x14ac:dyDescent="0.25">
      <c r="U177" s="129"/>
    </row>
    <row r="178" spans="1:26" ht="15" thickBot="1" x14ac:dyDescent="0.25">
      <c r="A178" s="5173" t="s">
        <v>355</v>
      </c>
      <c r="B178" s="5176" t="s">
        <v>356</v>
      </c>
      <c r="C178" s="5177"/>
      <c r="D178" s="5177"/>
      <c r="E178" s="5177"/>
      <c r="F178" s="5177"/>
      <c r="G178" s="5177"/>
      <c r="H178" s="5177"/>
      <c r="I178" s="5177"/>
      <c r="J178" s="5177"/>
      <c r="K178" s="5177"/>
      <c r="L178" s="5177"/>
      <c r="M178" s="5177"/>
      <c r="N178" s="5177"/>
      <c r="O178" s="5177"/>
      <c r="P178" s="5177"/>
      <c r="Q178" s="5177"/>
      <c r="R178" s="5177"/>
      <c r="S178" s="5177"/>
      <c r="T178" s="5177"/>
      <c r="U178" s="5177"/>
      <c r="V178" s="5177"/>
      <c r="W178" s="5177"/>
      <c r="X178" s="5177"/>
      <c r="Y178" s="5177"/>
      <c r="Z178" s="5178"/>
    </row>
    <row r="179" spans="1:26" ht="15" thickBot="1" x14ac:dyDescent="0.25">
      <c r="A179" s="5174"/>
      <c r="B179" s="171"/>
      <c r="C179" s="173"/>
      <c r="D179" s="172"/>
      <c r="E179" s="172"/>
      <c r="F179" s="172"/>
      <c r="G179" s="172"/>
      <c r="H179" s="172"/>
      <c r="I179" s="172"/>
      <c r="J179" s="172"/>
      <c r="K179" s="172"/>
      <c r="L179" s="172"/>
      <c r="M179" s="172"/>
      <c r="N179" s="172"/>
      <c r="O179" s="172"/>
      <c r="P179" s="172"/>
      <c r="Q179" s="172"/>
      <c r="R179" s="174"/>
      <c r="S179" s="175"/>
      <c r="T179" s="175"/>
      <c r="U179" s="176" t="s">
        <v>357</v>
      </c>
      <c r="V179" s="34"/>
      <c r="W179" s="35"/>
      <c r="X179" s="177"/>
      <c r="Y179" s="178"/>
      <c r="Z179" s="179"/>
    </row>
    <row r="180" spans="1:26" x14ac:dyDescent="0.2">
      <c r="A180" s="5174"/>
      <c r="B180" s="180"/>
      <c r="C180" s="182"/>
      <c r="D180" s="181"/>
      <c r="E180" s="181"/>
      <c r="F180" s="181"/>
      <c r="G180" s="181"/>
      <c r="H180" s="181"/>
      <c r="I180" s="181"/>
      <c r="J180" s="181"/>
      <c r="K180" s="181"/>
      <c r="L180" s="181"/>
      <c r="M180" s="181"/>
      <c r="N180" s="181"/>
      <c r="O180" s="181"/>
      <c r="P180" s="181"/>
      <c r="Q180" s="181"/>
      <c r="R180" s="183"/>
      <c r="S180" s="184"/>
      <c r="T180" s="184"/>
      <c r="U180" s="185" t="s">
        <v>358</v>
      </c>
      <c r="V180" s="186"/>
      <c r="W180" s="187"/>
      <c r="X180" s="188"/>
      <c r="Y180" s="189"/>
      <c r="Z180" s="190"/>
    </row>
    <row r="181" spans="1:26" x14ac:dyDescent="0.2">
      <c r="A181" s="5174"/>
      <c r="B181" s="191"/>
      <c r="C181" s="193"/>
      <c r="D181" s="192"/>
      <c r="E181" s="192"/>
      <c r="F181" s="192"/>
      <c r="G181" s="192"/>
      <c r="H181" s="192"/>
      <c r="I181" s="192"/>
      <c r="J181" s="192"/>
      <c r="K181" s="192"/>
      <c r="L181" s="192"/>
      <c r="M181" s="192"/>
      <c r="N181" s="192"/>
      <c r="O181" s="192"/>
      <c r="P181" s="192"/>
      <c r="Q181" s="192"/>
      <c r="R181" s="194"/>
      <c r="S181" s="195"/>
      <c r="T181" s="195"/>
      <c r="U181" s="196" t="s">
        <v>359</v>
      </c>
      <c r="V181" s="19"/>
      <c r="W181" s="20"/>
      <c r="X181" s="197"/>
      <c r="Y181" s="198"/>
      <c r="Z181" s="179"/>
    </row>
    <row r="182" spans="1:26" ht="15" thickBot="1" x14ac:dyDescent="0.25">
      <c r="A182" s="5174"/>
      <c r="B182" s="199"/>
      <c r="C182" s="201"/>
      <c r="D182" s="200"/>
      <c r="E182" s="200"/>
      <c r="F182" s="200"/>
      <c r="G182" s="200"/>
      <c r="H182" s="200"/>
      <c r="I182" s="200"/>
      <c r="J182" s="200"/>
      <c r="K182" s="200"/>
      <c r="L182" s="200"/>
      <c r="M182" s="200"/>
      <c r="N182" s="200"/>
      <c r="O182" s="200"/>
      <c r="P182" s="200"/>
      <c r="Q182" s="200"/>
      <c r="R182" s="202"/>
      <c r="S182" s="203"/>
      <c r="T182" s="203"/>
      <c r="U182" s="204" t="s">
        <v>360</v>
      </c>
      <c r="V182" s="38"/>
      <c r="W182" s="39"/>
      <c r="X182" s="205"/>
      <c r="Y182" s="206"/>
      <c r="Z182" s="207"/>
    </row>
    <row r="183" spans="1:26" ht="15" thickBot="1" x14ac:dyDescent="0.25">
      <c r="A183" s="5175"/>
      <c r="B183" s="208"/>
      <c r="C183" s="210"/>
      <c r="D183" s="209"/>
      <c r="E183" s="209"/>
      <c r="F183" s="209"/>
      <c r="G183" s="209"/>
      <c r="H183" s="209"/>
      <c r="I183" s="209"/>
      <c r="J183" s="209"/>
      <c r="K183" s="209"/>
      <c r="L183" s="209"/>
      <c r="M183" s="209"/>
      <c r="N183" s="209"/>
      <c r="O183" s="209"/>
      <c r="P183" s="209"/>
      <c r="Q183" s="209"/>
      <c r="R183" s="211"/>
      <c r="S183" s="212"/>
      <c r="T183" s="212"/>
      <c r="U183" s="213" t="s">
        <v>361</v>
      </c>
      <c r="V183" s="214"/>
      <c r="W183" s="215"/>
      <c r="X183" s="216"/>
      <c r="Y183" s="217"/>
      <c r="Z183" s="218"/>
    </row>
  </sheetData>
  <mergeCells count="6">
    <mergeCell ref="C3:D3"/>
    <mergeCell ref="A178:A183"/>
    <mergeCell ref="B178:Z178"/>
    <mergeCell ref="C6:R6"/>
    <mergeCell ref="V6:Z6"/>
    <mergeCell ref="A8:A13"/>
  </mergeCells>
  <hyperlinks>
    <hyperlink ref="A1" location="Index!A1" display="Til index" xr:uid="{7222B0EC-FDE9-463C-A1E2-79C0F5A1B3DB}"/>
  </hyperlinks>
  <pageMargins left="0.7" right="0.7" top="0.75" bottom="0.75" header="0.3" footer="0.3"/>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3A823-260E-41BC-AFC0-4D202D2891AD}">
  <sheetPr codeName="Ark128">
    <tabColor theme="8" tint="0.39997558519241921"/>
  </sheetPr>
  <dimension ref="A1:AP91"/>
  <sheetViews>
    <sheetView showGridLines="0" zoomScale="70" zoomScaleNormal="70" workbookViewId="0">
      <selection activeCell="G10" sqref="G10"/>
    </sheetView>
  </sheetViews>
  <sheetFormatPr defaultColWidth="8.7109375" defaultRowHeight="14.25" x14ac:dyDescent="0.2"/>
  <cols>
    <col min="1" max="2" width="8.7109375" style="129"/>
    <col min="3" max="3" width="12.5703125" style="129" bestFit="1" customWidth="1"/>
    <col min="4" max="6" width="8.7109375" style="129"/>
    <col min="7" max="7" width="10.42578125" style="129" customWidth="1"/>
    <col min="8" max="17" width="8.7109375" style="129"/>
    <col min="18" max="18" width="12.5703125" style="129" bestFit="1" customWidth="1"/>
    <col min="19" max="19" width="9" style="129" customWidth="1"/>
    <col min="20" max="22" width="8.7109375" style="129" customWidth="1"/>
    <col min="23" max="23" width="5.7109375" style="129" customWidth="1"/>
    <col min="24" max="24" width="7" style="129" customWidth="1"/>
    <col min="25" max="25" width="12.85546875" style="129" bestFit="1" customWidth="1"/>
    <col min="26" max="27" width="12.5703125" style="129" bestFit="1" customWidth="1"/>
    <col min="28" max="28" width="36.42578125" style="132" customWidth="1"/>
    <col min="29" max="29" width="12.7109375" style="129" customWidth="1"/>
    <col min="30" max="30" width="8.7109375" style="129"/>
    <col min="31" max="31" width="13.5703125" style="219" bestFit="1" customWidth="1"/>
    <col min="32" max="32" width="12.28515625" style="129" bestFit="1" customWidth="1"/>
    <col min="33" max="33" width="14.42578125" style="170" customWidth="1"/>
    <col min="34" max="42" width="9.28515625" style="129" customWidth="1"/>
    <col min="43" max="16384" width="8.7109375" style="132"/>
  </cols>
  <sheetData>
    <row r="1" spans="1:38" s="129" customFormat="1" ht="21.75" thickBot="1" x14ac:dyDescent="0.4">
      <c r="A1" s="1740" t="s">
        <v>4206</v>
      </c>
      <c r="B1" s="1740"/>
      <c r="AE1" s="219"/>
      <c r="AG1" s="170"/>
    </row>
    <row r="2" spans="1:38" s="129" customFormat="1" x14ac:dyDescent="0.2">
      <c r="C2" s="5179" t="s">
        <v>362</v>
      </c>
      <c r="D2" s="5180"/>
      <c r="E2" s="5180"/>
      <c r="F2" s="5180"/>
      <c r="G2" s="148">
        <f>'Dyrehold 2018'!G2</f>
        <v>2018</v>
      </c>
      <c r="AB2" s="1746" t="s">
        <v>219</v>
      </c>
      <c r="AE2" s="219"/>
      <c r="AG2" s="170"/>
    </row>
    <row r="3" spans="1:38" s="129" customFormat="1" ht="28.5" thickBot="1" x14ac:dyDescent="0.25">
      <c r="C3" s="5164" t="s">
        <v>363</v>
      </c>
      <c r="D3" s="5165"/>
      <c r="E3" s="149" t="s">
        <v>364</v>
      </c>
      <c r="F3" s="220" t="s">
        <v>4787</v>
      </c>
      <c r="G3" s="221" t="s">
        <v>4788</v>
      </c>
      <c r="AB3" s="152" t="s">
        <v>325</v>
      </c>
      <c r="AE3" s="219"/>
      <c r="AG3" s="170"/>
    </row>
    <row r="4" spans="1:38" s="129" customFormat="1" ht="15" x14ac:dyDescent="0.25">
      <c r="N4" s="222"/>
      <c r="AB4" s="1745" t="str">
        <f>'Dyrehold 2018'!U4</f>
        <v>Læsø Kommune 2018</v>
      </c>
      <c r="AE4" s="219"/>
      <c r="AG4" s="170"/>
    </row>
    <row r="5" spans="1:38" s="129" customFormat="1" x14ac:dyDescent="0.2">
      <c r="C5" s="10"/>
      <c r="D5" s="10"/>
      <c r="E5" s="10"/>
      <c r="F5" s="223"/>
      <c r="G5" s="10"/>
      <c r="AE5" s="219"/>
      <c r="AG5" s="170"/>
    </row>
    <row r="6" spans="1:38" s="129" customFormat="1" ht="21" customHeight="1" x14ac:dyDescent="0.4">
      <c r="C6" s="10"/>
      <c r="D6" s="224"/>
      <c r="E6" s="225"/>
      <c r="F6" s="223"/>
      <c r="G6" s="10"/>
      <c r="AE6" s="219"/>
      <c r="AG6" s="170"/>
    </row>
    <row r="7" spans="1:38" s="129" customFormat="1" ht="63" customHeight="1" thickBot="1" x14ac:dyDescent="0.25">
      <c r="C7" s="5181" t="s">
        <v>365</v>
      </c>
      <c r="D7" s="5182"/>
      <c r="E7" s="5182"/>
      <c r="F7" s="5182"/>
      <c r="G7" s="5182"/>
      <c r="H7" s="5182"/>
      <c r="I7" s="5182"/>
      <c r="J7" s="5182"/>
      <c r="K7" s="5182"/>
      <c r="L7" s="5182"/>
      <c r="M7" s="5182"/>
      <c r="N7" s="5182"/>
      <c r="O7" s="5182"/>
      <c r="P7" s="5182"/>
      <c r="Q7" s="5182"/>
      <c r="R7" s="5182"/>
      <c r="S7" s="5182"/>
      <c r="T7" s="5182"/>
      <c r="U7" s="5182"/>
      <c r="V7" s="5182"/>
      <c r="W7" s="5183"/>
      <c r="X7" s="226" t="s">
        <v>4789</v>
      </c>
      <c r="Y7" s="227" t="s">
        <v>226</v>
      </c>
      <c r="Z7" s="226" t="s">
        <v>4789</v>
      </c>
      <c r="AA7" s="226" t="s">
        <v>366</v>
      </c>
      <c r="AB7" s="228" t="s">
        <v>327</v>
      </c>
      <c r="AC7" s="5184" t="s">
        <v>328</v>
      </c>
      <c r="AD7" s="5185"/>
      <c r="AE7" s="5185"/>
      <c r="AF7" s="5185"/>
      <c r="AG7" s="5186"/>
    </row>
    <row r="8" spans="1:38" s="129" customFormat="1" ht="295.5" customHeight="1" thickBot="1" x14ac:dyDescent="0.25">
      <c r="C8" s="444" t="s">
        <v>272</v>
      </c>
      <c r="D8" s="445" t="s">
        <v>627</v>
      </c>
      <c r="E8" s="445" t="s">
        <v>273</v>
      </c>
      <c r="F8" s="445" t="s">
        <v>274</v>
      </c>
      <c r="G8" s="445" t="s">
        <v>275</v>
      </c>
      <c r="H8" s="445" t="s">
        <v>276</v>
      </c>
      <c r="I8" s="445" t="s">
        <v>277</v>
      </c>
      <c r="J8" s="445" t="s">
        <v>2066</v>
      </c>
      <c r="K8" s="445" t="s">
        <v>278</v>
      </c>
      <c r="L8" s="445" t="s">
        <v>279</v>
      </c>
      <c r="M8" s="445" t="s">
        <v>280</v>
      </c>
      <c r="N8" s="445" t="s">
        <v>281</v>
      </c>
      <c r="O8" s="445" t="s">
        <v>367</v>
      </c>
      <c r="P8" s="446" t="s">
        <v>283</v>
      </c>
      <c r="Q8" s="445" t="s">
        <v>368</v>
      </c>
      <c r="R8" s="446" t="s">
        <v>285</v>
      </c>
      <c r="S8" s="445" t="s">
        <v>286</v>
      </c>
      <c r="T8" s="445" t="s">
        <v>369</v>
      </c>
      <c r="U8" s="445" t="s">
        <v>370</v>
      </c>
      <c r="V8" s="445" t="s">
        <v>371</v>
      </c>
      <c r="W8" s="447" t="s">
        <v>372</v>
      </c>
      <c r="X8" s="448" t="s">
        <v>373</v>
      </c>
      <c r="Y8" s="448" t="s">
        <v>374</v>
      </c>
      <c r="Z8" s="448" t="s">
        <v>375</v>
      </c>
      <c r="AA8" s="449" t="s">
        <v>376</v>
      </c>
      <c r="AB8" s="450"/>
      <c r="AC8" s="229" t="s">
        <v>377</v>
      </c>
      <c r="AD8" s="451" t="s">
        <v>628</v>
      </c>
      <c r="AE8" s="230" t="s">
        <v>347</v>
      </c>
      <c r="AF8" s="451" t="s">
        <v>5316</v>
      </c>
      <c r="AG8" s="231" t="s">
        <v>349</v>
      </c>
    </row>
    <row r="9" spans="1:38" s="129" customFormat="1" ht="14.65" customHeight="1" thickBot="1" x14ac:dyDescent="0.25">
      <c r="A9" s="232"/>
      <c r="B9" s="232"/>
      <c r="C9" s="452"/>
      <c r="D9" s="453"/>
      <c r="E9" s="453"/>
      <c r="F9" s="453"/>
      <c r="G9" s="453"/>
      <c r="H9" s="453"/>
      <c r="I9" s="453"/>
      <c r="J9" s="453"/>
      <c r="K9" s="453"/>
      <c r="L9" s="453"/>
      <c r="M9" s="453"/>
      <c r="N9" s="453"/>
      <c r="O9" s="453"/>
      <c r="P9" s="453"/>
      <c r="Q9" s="453"/>
      <c r="R9" s="453"/>
      <c r="S9" s="453"/>
      <c r="T9" s="453"/>
      <c r="U9" s="453"/>
      <c r="V9" s="453"/>
      <c r="W9" s="454"/>
      <c r="X9" s="455"/>
      <c r="Y9" s="455"/>
      <c r="Z9" s="455"/>
      <c r="AA9" s="456"/>
      <c r="AB9" s="457" t="s">
        <v>378</v>
      </c>
      <c r="AC9" s="458"/>
      <c r="AD9" s="459"/>
      <c r="AE9" s="459"/>
      <c r="AF9" s="459"/>
      <c r="AG9" s="233"/>
    </row>
    <row r="10" spans="1:38" s="129" customFormat="1" ht="14.65" customHeight="1" x14ac:dyDescent="0.2">
      <c r="A10" s="535"/>
      <c r="B10" s="535"/>
      <c r="C10" s="536" cm="1">
        <f t="array" ref="C10:S10">TRANSPOSE('K4 2018'!F31:F47)</f>
        <v>6.37</v>
      </c>
      <c r="D10" s="537">
        <v>13.59</v>
      </c>
      <c r="E10" s="537">
        <v>67.430000000000007</v>
      </c>
      <c r="F10" s="537">
        <v>0</v>
      </c>
      <c r="G10" s="537">
        <v>582.6</v>
      </c>
      <c r="H10" s="537">
        <v>216.75</v>
      </c>
      <c r="I10" s="537">
        <v>0</v>
      </c>
      <c r="J10" s="537">
        <v>0</v>
      </c>
      <c r="K10" s="537" t="str">
        <v>IE</v>
      </c>
      <c r="L10" s="537">
        <v>9.2800000000000011</v>
      </c>
      <c r="M10" s="537">
        <v>0</v>
      </c>
      <c r="N10" s="537">
        <v>5.01</v>
      </c>
      <c r="O10" s="537">
        <v>0.35</v>
      </c>
      <c r="P10" s="537">
        <v>16.689999999999998</v>
      </c>
      <c r="Q10" s="537">
        <v>724.94</v>
      </c>
      <c r="R10" s="537">
        <v>497.95000000000005</v>
      </c>
      <c r="S10" s="537">
        <v>1.91</v>
      </c>
      <c r="T10" s="521"/>
      <c r="U10" s="521"/>
      <c r="V10" s="521"/>
      <c r="W10" s="538"/>
      <c r="X10" s="539"/>
      <c r="Y10" s="539"/>
      <c r="Z10" s="539"/>
      <c r="AA10" s="540"/>
      <c r="AB10" s="93" t="s">
        <v>289</v>
      </c>
      <c r="AC10" s="541"/>
      <c r="AD10" s="517"/>
      <c r="AE10" s="517">
        <f>((C10*'K4 2018'!P31+D10*'K4 2018'!P32+E10*'K4 2018'!P33+F10*'K4 2018'!P34+G10*'K4 2018'!P35+H10*'K4 2018'!P36+I10*'K4 2018'!P37+L10*'K4 2018'!P40+M10*'K4 2018'!P41+N10*'K4 2018'!P42+O10*'K4 2018'!P43+P10*'K4 2018'!P44+Q10*'K4 2018'!P45+R10*'K4 2018'!P46+S10*'K4 2018'!P47)/1000)*0.01*44/28</f>
        <v>1.8534319971810274</v>
      </c>
      <c r="AF10" s="517"/>
      <c r="AG10" s="528">
        <f>IFERROR(AC10+AD10*'Grafer-klima-&gt;VÆLG GWP og NIR&lt;-'!$E$8+'Planteavl 2018'!AE10*'Grafer-klima-&gt;VÆLG GWP og NIR&lt;-'!$F$8,"0 ")+AF10</f>
        <v>552.32273515994621</v>
      </c>
      <c r="AH10" s="512"/>
      <c r="AI10" s="170"/>
    </row>
    <row r="11" spans="1:38" s="129" customFormat="1" ht="14.65" customHeight="1" thickBot="1" x14ac:dyDescent="0.25">
      <c r="A11" s="535"/>
      <c r="B11" s="535"/>
      <c r="C11" s="518"/>
      <c r="D11" s="519"/>
      <c r="E11" s="519"/>
      <c r="F11" s="519"/>
      <c r="G11" s="519"/>
      <c r="H11" s="519"/>
      <c r="I11" s="519"/>
      <c r="J11" s="519"/>
      <c r="K11" s="519"/>
      <c r="L11" s="519"/>
      <c r="M11" s="519"/>
      <c r="N11" s="519"/>
      <c r="O11" s="519"/>
      <c r="P11" s="519"/>
      <c r="Q11" s="519"/>
      <c r="R11" s="519"/>
      <c r="S11" s="519"/>
      <c r="T11" s="519"/>
      <c r="U11" s="519"/>
      <c r="V11" s="519"/>
      <c r="W11" s="542"/>
      <c r="X11" s="543"/>
      <c r="Y11" s="544"/>
      <c r="Z11" s="544"/>
      <c r="AA11" s="545"/>
      <c r="AB11" s="95" t="s">
        <v>290</v>
      </c>
      <c r="AC11" s="546"/>
      <c r="AD11" s="519"/>
      <c r="AE11" s="519"/>
      <c r="AF11" s="519">
        <f>'K5a 2018'!I7</f>
        <v>-7.9939500000000008</v>
      </c>
      <c r="AG11" s="528">
        <f>IFERROR(AC11+AD11*'Grafer-klima-&gt;VÆLG GWP og NIR&lt;-'!$E$8+'Planteavl 2018'!AE11*'Grafer-klima-&gt;VÆLG GWP og NIR&lt;-'!$F$8," ")+AF11</f>
        <v>-7.9939500000000008</v>
      </c>
      <c r="AH11" s="512"/>
      <c r="AK11" s="170"/>
    </row>
    <row r="12" spans="1:38" s="129" customFormat="1" ht="14.65" customHeight="1" x14ac:dyDescent="0.3">
      <c r="A12" s="535"/>
      <c r="B12" s="535"/>
      <c r="C12" s="547"/>
      <c r="D12" s="548"/>
      <c r="E12" s="548"/>
      <c r="F12" s="548"/>
      <c r="G12" s="548"/>
      <c r="H12" s="548"/>
      <c r="I12" s="548"/>
      <c r="J12" s="548"/>
      <c r="K12" s="548"/>
      <c r="L12" s="548"/>
      <c r="M12" s="548"/>
      <c r="N12" s="548"/>
      <c r="O12" s="548"/>
      <c r="P12" s="548"/>
      <c r="Q12" s="548"/>
      <c r="R12" s="548"/>
      <c r="S12" s="548"/>
      <c r="T12" s="548"/>
      <c r="U12" s="548"/>
      <c r="V12" s="548"/>
      <c r="W12" s="548"/>
      <c r="X12" s="549"/>
      <c r="Y12" s="549"/>
      <c r="Z12" s="549"/>
      <c r="AA12" s="548"/>
      <c r="AB12" s="462" t="s">
        <v>629</v>
      </c>
      <c r="AC12" s="548"/>
      <c r="AD12" s="548"/>
      <c r="AE12" s="548"/>
      <c r="AF12" s="548"/>
      <c r="AG12" s="550"/>
      <c r="AH12" s="512"/>
    </row>
    <row r="13" spans="1:38" s="129" customFormat="1" x14ac:dyDescent="0.2">
      <c r="A13" s="512"/>
      <c r="B13" s="512"/>
      <c r="C13" s="551"/>
      <c r="D13" s="517"/>
      <c r="E13" s="517"/>
      <c r="F13" s="517"/>
      <c r="G13" s="517"/>
      <c r="H13" s="517"/>
      <c r="I13" s="517"/>
      <c r="J13" s="517"/>
      <c r="K13" s="517"/>
      <c r="L13" s="517"/>
      <c r="M13" s="517"/>
      <c r="N13" s="517"/>
      <c r="O13" s="517"/>
      <c r="P13" s="517"/>
      <c r="Q13" s="552"/>
      <c r="R13" s="552"/>
      <c r="S13" s="552"/>
      <c r="T13" s="517"/>
      <c r="U13" s="517"/>
      <c r="V13" s="517"/>
      <c r="W13" s="553"/>
      <c r="X13" s="539"/>
      <c r="Y13" s="539"/>
      <c r="Z13" s="554">
        <f>'K4 2018'!D18</f>
        <v>1.9800000000000002E-4</v>
      </c>
      <c r="AA13" s="540"/>
      <c r="AB13" s="93" t="s">
        <v>379</v>
      </c>
      <c r="AC13" s="541"/>
      <c r="AD13" s="517"/>
      <c r="AE13" s="517">
        <f>Z13*44/28</f>
        <v>3.1114285714285716E-4</v>
      </c>
      <c r="AF13" s="517"/>
      <c r="AG13" s="528">
        <f>IFERROR(AC13+AD13*'Grafer-klima-&gt;VÆLG GWP og NIR&lt;-'!$E$8+'Planteavl 2018'!AE13*'Grafer-klima-&gt;VÆLG GWP og NIR&lt;-'!$F$8," ")+AF13</f>
        <v>9.272057142857143E-2</v>
      </c>
      <c r="AH13" s="512"/>
    </row>
    <row r="14" spans="1:38" s="129" customFormat="1" x14ac:dyDescent="0.2">
      <c r="A14" s="144"/>
      <c r="B14" s="144"/>
      <c r="C14" s="515"/>
      <c r="D14" s="517"/>
      <c r="E14" s="517"/>
      <c r="F14" s="517"/>
      <c r="G14" s="517"/>
      <c r="H14" s="517"/>
      <c r="I14" s="517"/>
      <c r="J14" s="517"/>
      <c r="K14" s="517"/>
      <c r="L14" s="517"/>
      <c r="M14" s="517"/>
      <c r="N14" s="517"/>
      <c r="O14" s="517"/>
      <c r="P14" s="517"/>
      <c r="Q14" s="517"/>
      <c r="R14" s="517"/>
      <c r="S14" s="517"/>
      <c r="T14" s="517"/>
      <c r="U14" s="517"/>
      <c r="V14" s="517"/>
      <c r="W14" s="553"/>
      <c r="X14" s="555"/>
      <c r="Y14" s="554">
        <f>'K4 2018'!B16</f>
        <v>-11.461504665600001</v>
      </c>
      <c r="Z14" s="556"/>
      <c r="AA14" s="540"/>
      <c r="AB14" s="93" t="s">
        <v>380</v>
      </c>
      <c r="AC14" s="541"/>
      <c r="AD14" s="517"/>
      <c r="AE14" s="517">
        <f>(Y14*0.01*44/28)</f>
        <v>-0.18010935903085717</v>
      </c>
      <c r="AF14" s="517"/>
      <c r="AG14" s="528">
        <f>IFERROR(AC14+AD14*'Grafer-klima-&gt;VÆLG GWP og NIR&lt;-'!$E$8+'Planteavl 2018'!AE14*'Grafer-klima-&gt;VÆLG GWP og NIR&lt;-'!$F$8," ")+AF14</f>
        <v>-53.67258899119544</v>
      </c>
      <c r="AH14" s="512"/>
    </row>
    <row r="15" spans="1:38" s="129" customFormat="1" ht="14.65" customHeight="1" x14ac:dyDescent="0.2">
      <c r="A15" s="535"/>
      <c r="B15" s="535"/>
      <c r="C15" s="515"/>
      <c r="D15" s="517"/>
      <c r="E15" s="517"/>
      <c r="F15" s="517"/>
      <c r="G15" s="517"/>
      <c r="H15" s="517"/>
      <c r="I15" s="517"/>
      <c r="J15" s="517"/>
      <c r="K15" s="517"/>
      <c r="L15" s="517"/>
      <c r="M15" s="517"/>
      <c r="N15" s="517"/>
      <c r="O15" s="517"/>
      <c r="P15" s="517"/>
      <c r="Q15" s="517"/>
      <c r="R15" s="517"/>
      <c r="S15" s="517"/>
      <c r="T15" s="517"/>
      <c r="U15" s="517"/>
      <c r="V15" s="517"/>
      <c r="W15" s="553"/>
      <c r="X15" s="539"/>
      <c r="Y15" s="539"/>
      <c r="Z15" s="554">
        <f>'K4 2018'!D17</f>
        <v>0.22987828217848494</v>
      </c>
      <c r="AA15" s="540"/>
      <c r="AB15" s="93" t="s">
        <v>381</v>
      </c>
      <c r="AC15" s="541"/>
      <c r="AD15" s="517"/>
      <c r="AE15" s="517">
        <f>Z15*44/28</f>
        <v>0.36123730056619063</v>
      </c>
      <c r="AF15" s="517"/>
      <c r="AG15" s="528">
        <f>IFERROR(AC15+AD15*'Grafer-klima-&gt;VÆLG GWP og NIR&lt;-'!$E$8+'Planteavl 2018'!AE15*'Grafer-klima-&gt;VÆLG GWP og NIR&lt;-'!$F$8," ")+AF15</f>
        <v>107.64871556872481</v>
      </c>
      <c r="AH15" s="512"/>
      <c r="AL15" s="170"/>
    </row>
    <row r="16" spans="1:38" s="129" customFormat="1" ht="14.65" customHeight="1" x14ac:dyDescent="0.2">
      <c r="A16" s="535"/>
      <c r="B16" s="535"/>
      <c r="C16" s="515"/>
      <c r="D16" s="517"/>
      <c r="E16" s="517"/>
      <c r="F16" s="517"/>
      <c r="G16" s="517"/>
      <c r="H16" s="517"/>
      <c r="I16" s="517"/>
      <c r="J16" s="517"/>
      <c r="K16" s="517"/>
      <c r="L16" s="517"/>
      <c r="M16" s="517"/>
      <c r="N16" s="517"/>
      <c r="O16" s="517"/>
      <c r="P16" s="517"/>
      <c r="Q16" s="517"/>
      <c r="R16" s="517"/>
      <c r="S16" s="517"/>
      <c r="T16" s="517"/>
      <c r="U16" s="517"/>
      <c r="V16" s="517"/>
      <c r="W16" s="553"/>
      <c r="X16" s="555"/>
      <c r="Y16" s="555"/>
      <c r="Z16" s="554">
        <f>'K4 2018'!D9</f>
        <v>3.0689749000000006</v>
      </c>
      <c r="AA16" s="540"/>
      <c r="AB16" s="93" t="s">
        <v>382</v>
      </c>
      <c r="AC16" s="541"/>
      <c r="AD16" s="517"/>
      <c r="AE16" s="517">
        <f t="shared" ref="AE16:AE17" si="0">Z16*44/28</f>
        <v>4.8226748428571442</v>
      </c>
      <c r="AF16" s="517"/>
      <c r="AG16" s="528">
        <f>IFERROR(AC16+AD16*'Grafer-klima-&gt;VÆLG GWP og NIR&lt;-'!$E$8+'Planteavl 2018'!AE16*'Grafer-klima-&gt;VÆLG GWP og NIR&lt;-'!$F$8," ")+AF16</f>
        <v>1437.1571031714291</v>
      </c>
      <c r="AH16" s="512"/>
      <c r="AL16" s="170"/>
    </row>
    <row r="17" spans="1:38" s="129" customFormat="1" ht="14.65" customHeight="1" x14ac:dyDescent="0.2">
      <c r="A17" s="535"/>
      <c r="B17" s="535"/>
      <c r="C17" s="515"/>
      <c r="D17" s="517"/>
      <c r="E17" s="517"/>
      <c r="F17" s="517"/>
      <c r="G17" s="517"/>
      <c r="H17" s="517"/>
      <c r="I17" s="517"/>
      <c r="J17" s="517"/>
      <c r="K17" s="517"/>
      <c r="L17" s="517"/>
      <c r="M17" s="517"/>
      <c r="N17" s="517"/>
      <c r="O17" s="517"/>
      <c r="P17" s="517"/>
      <c r="Q17" s="517"/>
      <c r="R17" s="517"/>
      <c r="S17" s="517"/>
      <c r="T17" s="517"/>
      <c r="U17" s="517"/>
      <c r="V17" s="517"/>
      <c r="W17" s="553"/>
      <c r="X17" s="539"/>
      <c r="Y17" s="539"/>
      <c r="Z17" s="554">
        <f>'K4 2018'!D10</f>
        <v>1.6677422</v>
      </c>
      <c r="AA17" s="540"/>
      <c r="AB17" s="93" t="s">
        <v>383</v>
      </c>
      <c r="AC17" s="541"/>
      <c r="AD17" s="517"/>
      <c r="AE17" s="517">
        <f t="shared" si="0"/>
        <v>2.6207377428571426</v>
      </c>
      <c r="AF17" s="517"/>
      <c r="AG17" s="528">
        <f>IFERROR(AC17+AD17*'Grafer-klima-&gt;VÆLG GWP og NIR&lt;-'!$E$8+'Planteavl 2018'!AE17*'Grafer-klima-&gt;VÆLG GWP og NIR&lt;-'!$F$8," ")+AF17</f>
        <v>780.97984737142849</v>
      </c>
      <c r="AH17" s="512"/>
      <c r="AK17" s="170"/>
    </row>
    <row r="18" spans="1:38" s="129" customFormat="1" ht="14.65" customHeight="1" x14ac:dyDescent="0.2">
      <c r="A18" s="535"/>
      <c r="B18" s="535"/>
      <c r="C18" s="515"/>
      <c r="D18" s="517"/>
      <c r="E18" s="517"/>
      <c r="F18" s="517"/>
      <c r="G18" s="517"/>
      <c r="H18" s="517"/>
      <c r="I18" s="517"/>
      <c r="J18" s="517"/>
      <c r="K18" s="517"/>
      <c r="L18" s="517"/>
      <c r="M18" s="517"/>
      <c r="N18" s="517"/>
      <c r="O18" s="517"/>
      <c r="P18" s="517"/>
      <c r="Q18" s="517"/>
      <c r="R18" s="516"/>
      <c r="S18" s="517"/>
      <c r="T18" s="517"/>
      <c r="U18" s="517"/>
      <c r="V18" s="517"/>
      <c r="W18" s="553"/>
      <c r="X18" s="539">
        <f>'K4 2018'!D14</f>
        <v>0.53949758434912132</v>
      </c>
      <c r="Y18" s="539"/>
      <c r="Z18" s="539"/>
      <c r="AA18" s="540"/>
      <c r="AB18" s="93" t="s">
        <v>384</v>
      </c>
      <c r="AC18" s="541"/>
      <c r="AD18" s="517"/>
      <c r="AE18" s="517">
        <f>X18*44/28</f>
        <v>0.84778191826290494</v>
      </c>
      <c r="AF18" s="517"/>
      <c r="AG18" s="528">
        <f>IFERROR(AC18+AD18*'Grafer-klima-&gt;VÆLG GWP og NIR&lt;-'!$E$8+'Planteavl 2018'!AE18*'Grafer-klima-&gt;VÆLG GWP og NIR&lt;-'!$F$8," ")+AF18</f>
        <v>252.63901164234568</v>
      </c>
      <c r="AH18" s="512"/>
      <c r="AK18" s="170"/>
    </row>
    <row r="19" spans="1:38" s="129" customFormat="1" ht="14.65" customHeight="1" x14ac:dyDescent="0.2">
      <c r="A19" s="535"/>
      <c r="B19" s="535"/>
      <c r="C19" s="515"/>
      <c r="D19" s="517"/>
      <c r="E19" s="517"/>
      <c r="F19" s="517"/>
      <c r="G19" s="517"/>
      <c r="H19" s="517"/>
      <c r="I19" s="517"/>
      <c r="J19" s="517"/>
      <c r="K19" s="517"/>
      <c r="L19" s="517"/>
      <c r="M19" s="517"/>
      <c r="N19" s="517"/>
      <c r="O19" s="517"/>
      <c r="P19" s="517"/>
      <c r="Q19" s="517"/>
      <c r="R19" s="552"/>
      <c r="S19" s="517"/>
      <c r="T19" s="517"/>
      <c r="U19" s="517"/>
      <c r="V19" s="517"/>
      <c r="W19" s="553"/>
      <c r="X19" s="554">
        <f>'K4 2018'!D22</f>
        <v>0.37740834915965638</v>
      </c>
      <c r="Y19" s="539"/>
      <c r="Z19" s="539"/>
      <c r="AA19" s="540"/>
      <c r="AB19" s="93" t="s">
        <v>385</v>
      </c>
      <c r="AC19" s="541"/>
      <c r="AD19" s="517"/>
      <c r="AE19" s="517">
        <f>X19*44/28</f>
        <v>0.59307026296517429</v>
      </c>
      <c r="AF19" s="517"/>
      <c r="AG19" s="528">
        <f>IFERROR(AC19+AD19*'Grafer-klima-&gt;VÆLG GWP og NIR&lt;-'!$E$8+'Planteavl 2018'!AE19*'Grafer-klima-&gt;VÆLG GWP og NIR&lt;-'!$F$8," ")+AF19</f>
        <v>176.73493836362195</v>
      </c>
      <c r="AH19" s="512"/>
      <c r="AK19" s="170"/>
    </row>
    <row r="20" spans="1:38" s="129" customFormat="1" ht="14.65" customHeight="1" x14ac:dyDescent="0.2">
      <c r="A20" s="535"/>
      <c r="B20" s="535"/>
      <c r="C20" s="515"/>
      <c r="D20" s="517"/>
      <c r="E20" s="517"/>
      <c r="F20" s="517"/>
      <c r="G20" s="517"/>
      <c r="H20" s="517"/>
      <c r="I20" s="517"/>
      <c r="J20" s="517"/>
      <c r="K20" s="517"/>
      <c r="L20" s="517"/>
      <c r="M20" s="517"/>
      <c r="N20" s="517"/>
      <c r="O20" s="517"/>
      <c r="P20" s="517"/>
      <c r="Q20" s="517"/>
      <c r="R20" s="552"/>
      <c r="S20" s="517"/>
      <c r="T20" s="517"/>
      <c r="U20" s="517"/>
      <c r="V20" s="517"/>
      <c r="W20" s="553"/>
      <c r="X20" s="554">
        <f>'K4 2018'!D23</f>
        <v>0.90512384479907249</v>
      </c>
      <c r="Y20" s="539"/>
      <c r="Z20" s="539"/>
      <c r="AA20" s="540"/>
      <c r="AB20" s="93" t="s">
        <v>386</v>
      </c>
      <c r="AC20" s="541"/>
      <c r="AD20" s="517"/>
      <c r="AE20" s="517">
        <f>X20*44/28</f>
        <v>1.4223374703985425</v>
      </c>
      <c r="AF20" s="517"/>
      <c r="AG20" s="528">
        <f>IFERROR(AC20+AD20*'Grafer-klima-&gt;VÆLG GWP og NIR&lt;-'!$E$8+'Planteavl 2018'!AE20*'Grafer-klima-&gt;VÆLG GWP og NIR&lt;-'!$F$8," ")+AF20</f>
        <v>423.85656617876566</v>
      </c>
      <c r="AH20" s="512"/>
    </row>
    <row r="21" spans="1:38" s="129" customFormat="1" ht="14.65" customHeight="1" x14ac:dyDescent="0.3">
      <c r="A21" s="535"/>
      <c r="B21" s="535"/>
      <c r="C21" s="515"/>
      <c r="D21" s="517"/>
      <c r="E21" s="517"/>
      <c r="F21" s="517"/>
      <c r="G21" s="517"/>
      <c r="H21" s="517"/>
      <c r="I21" s="517"/>
      <c r="J21" s="517"/>
      <c r="K21" s="517"/>
      <c r="L21" s="517"/>
      <c r="M21" s="517"/>
      <c r="N21" s="517"/>
      <c r="O21" s="517"/>
      <c r="P21" s="517"/>
      <c r="Q21" s="517"/>
      <c r="R21" s="517"/>
      <c r="S21" s="517"/>
      <c r="T21" s="517"/>
      <c r="U21" s="517"/>
      <c r="V21" s="517"/>
      <c r="W21" s="553"/>
      <c r="X21" s="539"/>
      <c r="Y21" s="539"/>
      <c r="Z21" s="539"/>
      <c r="AA21" s="557">
        <f>'K5 2018'!H8</f>
        <v>420.47527927971691</v>
      </c>
      <c r="AB21" s="93" t="s">
        <v>387</v>
      </c>
      <c r="AC21" s="541">
        <f>'K5 2018'!M8</f>
        <v>184.9968000321222</v>
      </c>
      <c r="AD21" s="517"/>
      <c r="AE21" s="517"/>
      <c r="AF21" s="517"/>
      <c r="AG21" s="528">
        <f>IFERROR(AC21+AD21*'Grafer-klima-&gt;VÆLG GWP og NIR&lt;-'!$E$8+'Planteavl 2018'!AE21*'Grafer-klima-&gt;VÆLG GWP og NIR&lt;-'!$F$8," ")+AF21</f>
        <v>184.9968000321222</v>
      </c>
      <c r="AH21" s="512"/>
    </row>
    <row r="22" spans="1:38" s="129" customFormat="1" ht="14.65" customHeight="1" x14ac:dyDescent="0.2">
      <c r="A22" s="535"/>
      <c r="B22" s="535"/>
      <c r="C22" s="515"/>
      <c r="D22" s="517"/>
      <c r="E22" s="517"/>
      <c r="F22" s="517"/>
      <c r="G22" s="517"/>
      <c r="H22" s="517"/>
      <c r="I22" s="517"/>
      <c r="J22" s="517"/>
      <c r="K22" s="517"/>
      <c r="L22" s="517"/>
      <c r="M22" s="517"/>
      <c r="N22" s="517"/>
      <c r="O22" s="517"/>
      <c r="P22" s="517"/>
      <c r="Q22" s="517"/>
      <c r="R22" s="517"/>
      <c r="S22" s="517"/>
      <c r="T22" s="517"/>
      <c r="U22" s="517"/>
      <c r="V22" s="517"/>
      <c r="W22" s="553"/>
      <c r="X22" s="539"/>
      <c r="Y22" s="539"/>
      <c r="Z22" s="539"/>
      <c r="AA22" s="557">
        <f>'K5 2018'!H16</f>
        <v>1.4650706595112089</v>
      </c>
      <c r="AB22" s="93" t="s">
        <v>298</v>
      </c>
      <c r="AC22" s="541">
        <f>'K5 2018'!M16</f>
        <v>1.0743851503082198</v>
      </c>
      <c r="AD22" s="517"/>
      <c r="AE22" s="517"/>
      <c r="AF22" s="517"/>
      <c r="AG22" s="528">
        <f>IFERROR(AC22+AD22*'Grafer-klima-&gt;VÆLG GWP og NIR&lt;-'!$E$8+'Planteavl 2018'!AE22*'Grafer-klima-&gt;VÆLG GWP og NIR&lt;-'!$F$8," ")+AF22</f>
        <v>1.0743851503082198</v>
      </c>
      <c r="AH22" s="512"/>
    </row>
    <row r="23" spans="1:38" s="129" customFormat="1" ht="14.65" customHeight="1" thickBot="1" x14ac:dyDescent="0.35">
      <c r="A23" s="535"/>
      <c r="B23" s="535"/>
      <c r="C23" s="518"/>
      <c r="D23" s="519"/>
      <c r="E23" s="519"/>
      <c r="F23" s="519"/>
      <c r="G23" s="519"/>
      <c r="H23" s="519"/>
      <c r="I23" s="519"/>
      <c r="J23" s="519"/>
      <c r="K23" s="519"/>
      <c r="L23" s="519"/>
      <c r="M23" s="519"/>
      <c r="N23" s="519"/>
      <c r="O23" s="519"/>
      <c r="P23" s="519"/>
      <c r="Q23" s="519"/>
      <c r="R23" s="519"/>
      <c r="S23" s="519"/>
      <c r="T23" s="519"/>
      <c r="U23" s="519"/>
      <c r="V23" s="519"/>
      <c r="W23" s="558"/>
      <c r="X23" s="544"/>
      <c r="Y23" s="544"/>
      <c r="Z23" s="544"/>
      <c r="AA23" s="559">
        <f>'K5 2018'!H24</f>
        <v>20.12544432275924</v>
      </c>
      <c r="AB23" s="95" t="s">
        <v>388</v>
      </c>
      <c r="AC23" s="546">
        <f>'K5 2018'!M24</f>
        <v>2.2137988755035161</v>
      </c>
      <c r="AD23" s="519"/>
      <c r="AE23" s="519"/>
      <c r="AF23" s="519"/>
      <c r="AG23" s="520">
        <f>IFERROR(AC23+AD23*'Grafer-klima-&gt;VÆLG GWP og NIR&lt;-'!$E$8+'Planteavl 2018'!AE23*'Grafer-klima-&gt;VÆLG GWP og NIR&lt;-'!$F$8," ")+AF23</f>
        <v>2.2137988755035161</v>
      </c>
      <c r="AH23" s="512"/>
    </row>
    <row r="24" spans="1:38" s="129" customFormat="1" ht="14.65" customHeight="1" thickBot="1" x14ac:dyDescent="0.25">
      <c r="A24" s="535"/>
      <c r="B24" s="535"/>
      <c r="C24" s="465"/>
      <c r="D24" s="466"/>
      <c r="E24" s="466"/>
      <c r="F24" s="466"/>
      <c r="G24" s="466"/>
      <c r="H24" s="466"/>
      <c r="I24" s="466"/>
      <c r="J24" s="466"/>
      <c r="K24" s="466"/>
      <c r="L24" s="466"/>
      <c r="M24" s="466"/>
      <c r="N24" s="466"/>
      <c r="O24" s="466"/>
      <c r="P24" s="466"/>
      <c r="Q24" s="466"/>
      <c r="R24" s="466"/>
      <c r="S24" s="466"/>
      <c r="T24" s="466"/>
      <c r="U24" s="466"/>
      <c r="V24" s="466"/>
      <c r="W24" s="467"/>
      <c r="X24" s="468"/>
      <c r="Y24" s="468"/>
      <c r="Z24" s="468"/>
      <c r="AA24" s="469"/>
      <c r="AB24" s="470" t="s">
        <v>1</v>
      </c>
      <c r="AC24" s="560">
        <f>SUM(AC10:AC11,AC13:AC23)</f>
        <v>188.28498405793394</v>
      </c>
      <c r="AD24" s="534">
        <f>SUM(AD10:AD11,AD13:AD23)</f>
        <v>0</v>
      </c>
      <c r="AE24" s="534">
        <f>SUM(AE10:AE11,AE13:AE23)</f>
        <v>12.341473318914412</v>
      </c>
      <c r="AF24" s="534">
        <f>SUM(AF10:AF11,AF13:AF23)</f>
        <v>-7.9939500000000008</v>
      </c>
      <c r="AG24" s="561">
        <f>SUM(AG10:AG11,AG13:AG23)</f>
        <v>3858.0500830944293</v>
      </c>
      <c r="AH24" s="512"/>
      <c r="AL24" s="170"/>
    </row>
    <row r="25" spans="1:38" s="129" customFormat="1" ht="15.6" customHeight="1" x14ac:dyDescent="0.35">
      <c r="A25" s="535"/>
      <c r="B25" s="535"/>
      <c r="C25" s="153" t="s">
        <v>389</v>
      </c>
      <c r="D25" s="512"/>
      <c r="E25" s="512"/>
      <c r="F25" s="512"/>
      <c r="G25" s="512"/>
      <c r="H25" s="512"/>
      <c r="I25" s="512"/>
      <c r="J25" s="512"/>
      <c r="K25" s="512"/>
      <c r="L25" s="512"/>
      <c r="M25" s="512"/>
      <c r="N25" s="512"/>
      <c r="O25" s="512"/>
      <c r="P25" s="512"/>
      <c r="Q25" s="512"/>
      <c r="R25" s="512"/>
      <c r="S25" s="512"/>
      <c r="T25" s="512"/>
      <c r="U25" s="512"/>
      <c r="V25" s="512"/>
      <c r="W25" s="512"/>
      <c r="X25" s="512"/>
      <c r="Y25" s="512"/>
      <c r="Z25" s="512"/>
      <c r="AA25" s="512"/>
      <c r="AB25" s="512"/>
      <c r="AC25" s="512"/>
      <c r="AD25" s="512"/>
      <c r="AE25" s="512"/>
      <c r="AF25" s="512"/>
      <c r="AG25" s="512"/>
      <c r="AH25" s="512"/>
    </row>
    <row r="26" spans="1:38" s="129" customFormat="1" ht="15.6" customHeight="1" x14ac:dyDescent="0.2">
      <c r="A26" s="535"/>
      <c r="B26" s="535"/>
      <c r="C26" s="512"/>
      <c r="D26" s="512"/>
      <c r="E26" s="512"/>
      <c r="F26" s="512"/>
      <c r="G26" s="512"/>
      <c r="H26" s="512"/>
      <c r="I26" s="512"/>
      <c r="J26" s="512"/>
      <c r="K26" s="512"/>
      <c r="L26" s="512"/>
      <c r="M26" s="512"/>
      <c r="N26" s="512"/>
      <c r="O26" s="512"/>
      <c r="P26" s="512"/>
      <c r="Q26" s="512"/>
      <c r="R26" s="512"/>
      <c r="S26" s="512"/>
      <c r="T26" s="512"/>
      <c r="U26" s="512"/>
      <c r="V26" s="512"/>
      <c r="W26" s="512"/>
      <c r="X26" s="512"/>
      <c r="Y26" s="512"/>
      <c r="Z26" s="512"/>
      <c r="AA26" s="512"/>
      <c r="AB26" s="512"/>
      <c r="AC26" s="512"/>
      <c r="AD26" s="512"/>
      <c r="AE26" s="512"/>
      <c r="AF26" s="512"/>
      <c r="AG26" s="512"/>
      <c r="AH26" s="512"/>
    </row>
    <row r="27" spans="1:38" s="129" customFormat="1" ht="15.6" customHeight="1" x14ac:dyDescent="0.2">
      <c r="A27" s="535"/>
      <c r="B27" s="535"/>
      <c r="C27" s="512"/>
      <c r="D27" s="512"/>
      <c r="E27" s="512"/>
      <c r="F27" s="512"/>
      <c r="G27" s="512"/>
      <c r="H27" s="512"/>
      <c r="I27" s="512"/>
      <c r="J27" s="512"/>
      <c r="K27" s="512"/>
      <c r="L27" s="563"/>
      <c r="M27" s="563"/>
      <c r="N27" s="563"/>
      <c r="O27" s="563"/>
      <c r="P27" s="563"/>
      <c r="Q27" s="563"/>
      <c r="R27" s="563"/>
      <c r="S27" s="563"/>
      <c r="T27" s="563"/>
      <c r="U27" s="563"/>
      <c r="V27" s="563"/>
      <c r="W27" s="563"/>
      <c r="X27" s="512"/>
      <c r="Y27" s="512"/>
      <c r="Z27" s="512"/>
      <c r="AA27" s="512"/>
      <c r="AB27" s="512"/>
      <c r="AC27" s="512"/>
      <c r="AD27" s="512"/>
      <c r="AE27" s="512"/>
      <c r="AF27" s="512"/>
      <c r="AG27" s="512"/>
      <c r="AH27" s="512"/>
    </row>
    <row r="28" spans="1:38" s="129" customFormat="1" ht="14.65" customHeight="1" x14ac:dyDescent="0.2">
      <c r="A28" s="535"/>
      <c r="B28" s="535"/>
      <c r="C28" s="512"/>
      <c r="D28" s="512"/>
      <c r="E28" s="512"/>
      <c r="F28" s="512"/>
      <c r="G28" s="512"/>
      <c r="H28" s="512"/>
      <c r="I28" s="512"/>
      <c r="J28" s="512"/>
      <c r="K28" s="512"/>
      <c r="L28" s="512"/>
      <c r="M28" s="512"/>
      <c r="N28" s="512"/>
      <c r="O28" s="512"/>
      <c r="P28" s="512"/>
      <c r="Q28" s="512"/>
      <c r="R28" s="512"/>
      <c r="S28" s="512"/>
      <c r="T28" s="512"/>
      <c r="U28" s="512"/>
      <c r="V28" s="512"/>
      <c r="W28" s="512"/>
      <c r="X28" s="512"/>
      <c r="Y28" s="512"/>
      <c r="Z28" s="512"/>
      <c r="AA28" s="512"/>
      <c r="AB28" s="512"/>
      <c r="AC28" s="512"/>
      <c r="AD28" s="512"/>
      <c r="AE28" s="512"/>
      <c r="AF28" s="512"/>
      <c r="AG28" s="512"/>
      <c r="AH28" s="512"/>
      <c r="AL28" s="170"/>
    </row>
    <row r="29" spans="1:38" s="129" customFormat="1" x14ac:dyDescent="0.2">
      <c r="A29" s="225"/>
      <c r="B29" s="225"/>
      <c r="C29" s="512"/>
      <c r="D29" s="512"/>
      <c r="E29" s="512"/>
      <c r="F29" s="512"/>
      <c r="G29" s="512"/>
      <c r="H29" s="512"/>
      <c r="I29" s="512"/>
      <c r="J29" s="512"/>
      <c r="K29" s="512"/>
      <c r="L29" s="512"/>
      <c r="M29" s="512"/>
      <c r="N29" s="512"/>
      <c r="O29" s="512"/>
      <c r="P29" s="512"/>
      <c r="Q29" s="512"/>
      <c r="R29" s="512"/>
      <c r="S29" s="512"/>
      <c r="T29" s="512"/>
      <c r="U29" s="512"/>
      <c r="V29" s="512"/>
      <c r="W29" s="512"/>
      <c r="X29" s="512"/>
      <c r="Y29" s="512"/>
      <c r="Z29" s="512"/>
      <c r="AA29" s="512"/>
      <c r="AB29" s="512"/>
      <c r="AC29" s="512"/>
      <c r="AD29" s="512"/>
      <c r="AE29" s="564"/>
      <c r="AF29" s="512"/>
      <c r="AG29" s="563"/>
      <c r="AH29" s="512"/>
    </row>
    <row r="30" spans="1:38" s="129" customFormat="1" x14ac:dyDescent="0.2">
      <c r="A30" s="235"/>
      <c r="B30" s="235"/>
      <c r="AE30" s="219"/>
      <c r="AG30" s="170"/>
      <c r="AJ30" s="170"/>
    </row>
    <row r="31" spans="1:38" s="129" customFormat="1" x14ac:dyDescent="0.2">
      <c r="A31" s="235"/>
      <c r="B31" s="235"/>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236"/>
      <c r="AC31" s="170"/>
      <c r="AD31" s="170"/>
      <c r="AE31" s="170"/>
      <c r="AF31" s="170"/>
      <c r="AG31" s="170"/>
    </row>
    <row r="32" spans="1:38" s="129" customFormat="1" x14ac:dyDescent="0.2">
      <c r="A32" s="235"/>
      <c r="B32" s="235"/>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236"/>
      <c r="AC32" s="170"/>
      <c r="AD32" s="170"/>
      <c r="AE32" s="170"/>
      <c r="AF32" s="170"/>
      <c r="AG32" s="170"/>
    </row>
    <row r="33" spans="1:33" s="129" customFormat="1" x14ac:dyDescent="0.2">
      <c r="A33" s="235"/>
      <c r="B33" s="235"/>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AA33" s="170"/>
      <c r="AB33" s="236"/>
      <c r="AC33" s="170"/>
      <c r="AD33" s="170"/>
      <c r="AE33" s="170"/>
      <c r="AF33" s="170"/>
      <c r="AG33" s="170"/>
    </row>
    <row r="34" spans="1:33" s="129" customFormat="1" x14ac:dyDescent="0.2">
      <c r="A34" s="235"/>
      <c r="B34" s="235"/>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row>
    <row r="35" spans="1:33" s="129" customFormat="1" x14ac:dyDescent="0.2">
      <c r="A35" s="235"/>
      <c r="B35" s="235"/>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236"/>
      <c r="AC35" s="170"/>
      <c r="AD35" s="170"/>
      <c r="AE35" s="170"/>
      <c r="AF35" s="170"/>
      <c r="AG35" s="170"/>
    </row>
    <row r="36" spans="1:33" s="129" customFormat="1" x14ac:dyDescent="0.2">
      <c r="A36" s="235"/>
      <c r="B36" s="235"/>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236"/>
      <c r="AC36" s="170"/>
      <c r="AD36" s="170"/>
      <c r="AE36" s="170"/>
      <c r="AF36" s="170"/>
      <c r="AG36" s="170"/>
    </row>
    <row r="37" spans="1:33" s="129" customFormat="1" x14ac:dyDescent="0.2">
      <c r="A37" s="235"/>
      <c r="B37" s="235"/>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236"/>
      <c r="AC37" s="170"/>
      <c r="AD37" s="170"/>
      <c r="AE37" s="170"/>
      <c r="AF37" s="170"/>
      <c r="AG37" s="170"/>
    </row>
    <row r="38" spans="1:33" s="129" customFormat="1" x14ac:dyDescent="0.2">
      <c r="A38" s="235"/>
      <c r="B38" s="235"/>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236"/>
      <c r="AC38" s="170"/>
      <c r="AD38" s="170"/>
      <c r="AE38" s="170"/>
      <c r="AF38" s="170"/>
      <c r="AG38" s="170"/>
    </row>
    <row r="39" spans="1:33" s="129" customFormat="1" x14ac:dyDescent="0.2">
      <c r="A39" s="235"/>
      <c r="B39" s="235"/>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c r="AA39" s="170"/>
      <c r="AB39" s="236"/>
      <c r="AC39" s="170"/>
      <c r="AD39" s="170"/>
      <c r="AE39" s="170"/>
      <c r="AF39" s="170"/>
      <c r="AG39" s="170"/>
    </row>
    <row r="40" spans="1:33" s="129" customFormat="1" x14ac:dyDescent="0.2">
      <c r="A40" s="235"/>
      <c r="B40" s="235"/>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0"/>
      <c r="AB40" s="236"/>
      <c r="AC40" s="170"/>
      <c r="AD40" s="170"/>
      <c r="AE40" s="170"/>
      <c r="AF40" s="170"/>
      <c r="AG40" s="170"/>
    </row>
    <row r="41" spans="1:33" s="129" customFormat="1" x14ac:dyDescent="0.2">
      <c r="A41" s="235"/>
      <c r="B41" s="235"/>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c r="AA41" s="170"/>
      <c r="AB41" s="236"/>
      <c r="AC41" s="170"/>
      <c r="AD41" s="170"/>
      <c r="AE41" s="170"/>
      <c r="AF41" s="170"/>
      <c r="AG41" s="170"/>
    </row>
    <row r="42" spans="1:33" s="129" customFormat="1" x14ac:dyDescent="0.2">
      <c r="A42" s="235"/>
      <c r="B42" s="235"/>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c r="AA42" s="170"/>
      <c r="AB42" s="236"/>
      <c r="AC42" s="170"/>
      <c r="AD42" s="170"/>
      <c r="AE42" s="170"/>
      <c r="AF42" s="170"/>
      <c r="AG42" s="170"/>
    </row>
    <row r="43" spans="1:33" s="129" customFormat="1" x14ac:dyDescent="0.2"/>
    <row r="44" spans="1:33" s="129" customFormat="1" x14ac:dyDescent="0.2"/>
    <row r="45" spans="1:33" s="129" customFormat="1" x14ac:dyDescent="0.2"/>
    <row r="46" spans="1:33" s="129" customFormat="1" x14ac:dyDescent="0.2">
      <c r="AE46" s="219"/>
      <c r="AG46" s="170"/>
    </row>
    <row r="47" spans="1:33" s="129" customFormat="1" x14ac:dyDescent="0.2">
      <c r="AE47" s="219"/>
      <c r="AG47" s="170"/>
    </row>
    <row r="48" spans="1:33" s="129" customFormat="1" x14ac:dyDescent="0.2">
      <c r="AE48" s="219"/>
      <c r="AG48" s="170"/>
    </row>
    <row r="49" spans="31:33" s="129" customFormat="1" x14ac:dyDescent="0.2">
      <c r="AE49" s="219"/>
      <c r="AG49" s="170"/>
    </row>
    <row r="50" spans="31:33" s="129" customFormat="1" x14ac:dyDescent="0.2">
      <c r="AE50" s="219"/>
      <c r="AG50" s="170"/>
    </row>
    <row r="51" spans="31:33" s="129" customFormat="1" x14ac:dyDescent="0.2">
      <c r="AE51" s="219"/>
      <c r="AG51" s="170"/>
    </row>
    <row r="52" spans="31:33" s="129" customFormat="1" x14ac:dyDescent="0.2">
      <c r="AE52" s="219"/>
      <c r="AG52" s="170"/>
    </row>
    <row r="53" spans="31:33" s="129" customFormat="1" x14ac:dyDescent="0.2">
      <c r="AE53" s="219"/>
      <c r="AG53" s="170"/>
    </row>
    <row r="54" spans="31:33" s="129" customFormat="1" x14ac:dyDescent="0.2">
      <c r="AE54" s="219"/>
      <c r="AG54" s="170"/>
    </row>
    <row r="55" spans="31:33" s="129" customFormat="1" x14ac:dyDescent="0.2">
      <c r="AE55" s="219"/>
      <c r="AG55" s="170"/>
    </row>
    <row r="56" spans="31:33" s="129" customFormat="1" x14ac:dyDescent="0.2">
      <c r="AE56" s="219"/>
      <c r="AG56" s="170"/>
    </row>
    <row r="57" spans="31:33" s="129" customFormat="1" x14ac:dyDescent="0.2">
      <c r="AE57" s="219"/>
      <c r="AG57" s="170"/>
    </row>
    <row r="58" spans="31:33" s="129" customFormat="1" x14ac:dyDescent="0.2">
      <c r="AE58" s="219"/>
      <c r="AG58" s="170"/>
    </row>
    <row r="59" spans="31:33" s="129" customFormat="1" x14ac:dyDescent="0.2">
      <c r="AE59" s="219"/>
      <c r="AG59" s="170"/>
    </row>
    <row r="60" spans="31:33" s="129" customFormat="1" x14ac:dyDescent="0.2">
      <c r="AE60" s="219"/>
      <c r="AG60" s="170"/>
    </row>
    <row r="61" spans="31:33" s="129" customFormat="1" x14ac:dyDescent="0.2">
      <c r="AE61" s="219"/>
      <c r="AG61" s="170"/>
    </row>
    <row r="62" spans="31:33" s="129" customFormat="1" x14ac:dyDescent="0.2">
      <c r="AE62" s="219"/>
      <c r="AG62" s="170"/>
    </row>
    <row r="63" spans="31:33" s="129" customFormat="1" x14ac:dyDescent="0.2">
      <c r="AE63" s="219"/>
      <c r="AG63" s="170"/>
    </row>
    <row r="64" spans="31:33" s="129" customFormat="1" x14ac:dyDescent="0.2">
      <c r="AE64" s="219"/>
      <c r="AG64" s="170"/>
    </row>
    <row r="65" spans="31:33" s="129" customFormat="1" x14ac:dyDescent="0.2">
      <c r="AE65" s="219"/>
      <c r="AG65" s="170"/>
    </row>
    <row r="66" spans="31:33" s="129" customFormat="1" x14ac:dyDescent="0.2">
      <c r="AE66" s="219"/>
      <c r="AG66" s="170"/>
    </row>
    <row r="67" spans="31:33" s="129" customFormat="1" x14ac:dyDescent="0.2">
      <c r="AE67" s="219"/>
      <c r="AG67" s="170"/>
    </row>
    <row r="68" spans="31:33" s="129" customFormat="1" x14ac:dyDescent="0.2">
      <c r="AE68" s="219"/>
      <c r="AG68" s="170"/>
    </row>
    <row r="69" spans="31:33" s="129" customFormat="1" x14ac:dyDescent="0.2">
      <c r="AE69" s="219"/>
      <c r="AG69" s="170"/>
    </row>
    <row r="70" spans="31:33" s="129" customFormat="1" x14ac:dyDescent="0.2">
      <c r="AE70" s="219"/>
      <c r="AG70" s="170"/>
    </row>
    <row r="71" spans="31:33" s="129" customFormat="1" x14ac:dyDescent="0.2">
      <c r="AE71" s="219"/>
      <c r="AG71" s="170"/>
    </row>
    <row r="72" spans="31:33" s="129" customFormat="1" x14ac:dyDescent="0.2">
      <c r="AE72" s="219"/>
      <c r="AG72" s="170"/>
    </row>
    <row r="73" spans="31:33" s="129" customFormat="1" x14ac:dyDescent="0.2">
      <c r="AE73" s="219"/>
      <c r="AG73" s="170"/>
    </row>
    <row r="74" spans="31:33" s="129" customFormat="1" x14ac:dyDescent="0.2">
      <c r="AE74" s="219"/>
      <c r="AG74" s="170"/>
    </row>
    <row r="75" spans="31:33" s="129" customFormat="1" x14ac:dyDescent="0.2">
      <c r="AE75" s="219"/>
      <c r="AG75" s="170"/>
    </row>
    <row r="76" spans="31:33" s="129" customFormat="1" x14ac:dyDescent="0.2">
      <c r="AE76" s="219"/>
      <c r="AG76" s="170"/>
    </row>
    <row r="77" spans="31:33" s="129" customFormat="1" x14ac:dyDescent="0.2">
      <c r="AE77" s="219"/>
      <c r="AG77" s="170"/>
    </row>
    <row r="78" spans="31:33" s="129" customFormat="1" x14ac:dyDescent="0.2">
      <c r="AE78" s="219"/>
      <c r="AG78" s="170"/>
    </row>
    <row r="79" spans="31:33" s="129" customFormat="1" x14ac:dyDescent="0.2">
      <c r="AE79" s="219"/>
      <c r="AG79" s="170"/>
    </row>
    <row r="80" spans="31:33" s="129" customFormat="1" x14ac:dyDescent="0.2">
      <c r="AE80" s="219"/>
      <c r="AG80" s="170"/>
    </row>
    <row r="81" spans="31:33" s="129" customFormat="1" x14ac:dyDescent="0.2">
      <c r="AE81" s="219"/>
      <c r="AG81" s="170"/>
    </row>
    <row r="82" spans="31:33" s="129" customFormat="1" x14ac:dyDescent="0.2">
      <c r="AE82" s="219"/>
      <c r="AG82" s="170"/>
    </row>
    <row r="83" spans="31:33" s="129" customFormat="1" x14ac:dyDescent="0.2">
      <c r="AE83" s="219"/>
      <c r="AG83" s="170"/>
    </row>
    <row r="84" spans="31:33" s="129" customFormat="1" x14ac:dyDescent="0.2">
      <c r="AE84" s="219"/>
      <c r="AG84" s="170"/>
    </row>
    <row r="85" spans="31:33" s="129" customFormat="1" x14ac:dyDescent="0.2">
      <c r="AE85" s="219"/>
      <c r="AG85" s="170"/>
    </row>
    <row r="86" spans="31:33" s="129" customFormat="1" x14ac:dyDescent="0.2">
      <c r="AE86" s="219"/>
      <c r="AG86" s="170"/>
    </row>
    <row r="87" spans="31:33" s="129" customFormat="1" x14ac:dyDescent="0.2">
      <c r="AE87" s="219"/>
      <c r="AG87" s="170"/>
    </row>
    <row r="88" spans="31:33" s="129" customFormat="1" x14ac:dyDescent="0.2">
      <c r="AE88" s="219"/>
      <c r="AG88" s="170"/>
    </row>
    <row r="89" spans="31:33" s="129" customFormat="1" x14ac:dyDescent="0.2">
      <c r="AE89" s="219"/>
      <c r="AG89" s="170"/>
    </row>
    <row r="90" spans="31:33" s="129" customFormat="1" x14ac:dyDescent="0.2">
      <c r="AE90" s="219"/>
      <c r="AG90" s="170"/>
    </row>
    <row r="91" spans="31:33" s="129" customFormat="1" x14ac:dyDescent="0.2">
      <c r="AE91" s="219"/>
      <c r="AG91" s="170"/>
    </row>
  </sheetData>
  <mergeCells count="4">
    <mergeCell ref="C2:F2"/>
    <mergeCell ref="C3:D3"/>
    <mergeCell ref="C7:W7"/>
    <mergeCell ref="AC7:AG7"/>
  </mergeCells>
  <hyperlinks>
    <hyperlink ref="A1" location="Index!A1" display="Til index" xr:uid="{0292AAA5-AB6C-4298-8F5A-A61DF25B48C8}"/>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1D8A8-4DA8-41C9-89A9-93A1980873F5}">
  <sheetPr codeName="Ark13">
    <tabColor theme="8" tint="-0.249977111117893"/>
  </sheetPr>
  <dimension ref="A1:AP91"/>
  <sheetViews>
    <sheetView showGridLines="0" topLeftCell="G4" zoomScale="70" zoomScaleNormal="70" workbookViewId="0">
      <selection activeCell="AG11" sqref="AG11"/>
    </sheetView>
  </sheetViews>
  <sheetFormatPr defaultColWidth="8.7109375" defaultRowHeight="14.25" x14ac:dyDescent="0.2"/>
  <cols>
    <col min="1" max="2" width="8.7109375" style="129"/>
    <col min="3" max="3" width="12.5703125" style="129" bestFit="1" customWidth="1"/>
    <col min="4" max="6" width="8.7109375" style="129"/>
    <col min="7" max="7" width="9.5703125" style="129" customWidth="1"/>
    <col min="8" max="17" width="8.7109375" style="129"/>
    <col min="18" max="18" width="12.5703125" style="129" bestFit="1" customWidth="1"/>
    <col min="19" max="19" width="9" style="129" customWidth="1"/>
    <col min="20" max="22" width="8.7109375" style="129" customWidth="1"/>
    <col min="23" max="23" width="5.7109375" style="129" customWidth="1"/>
    <col min="24" max="24" width="7" style="129" customWidth="1"/>
    <col min="25" max="25" width="12.85546875" style="129" bestFit="1" customWidth="1"/>
    <col min="26" max="27" width="12.5703125" style="129" bestFit="1" customWidth="1"/>
    <col min="28" max="28" width="36.42578125" style="132" customWidth="1"/>
    <col min="29" max="29" width="12.7109375" style="129" customWidth="1"/>
    <col min="30" max="30" width="8.7109375" style="129"/>
    <col min="31" max="31" width="13.5703125" style="219" bestFit="1" customWidth="1"/>
    <col min="32" max="32" width="12.28515625" style="129" bestFit="1" customWidth="1"/>
    <col min="33" max="33" width="14.42578125" style="170" customWidth="1"/>
    <col min="34" max="42" width="9.28515625" style="129" customWidth="1"/>
    <col min="43" max="16384" width="8.7109375" style="132"/>
  </cols>
  <sheetData>
    <row r="1" spans="1:38" s="129" customFormat="1" ht="21.75" thickBot="1" x14ac:dyDescent="0.4">
      <c r="A1" s="1740" t="s">
        <v>4206</v>
      </c>
      <c r="B1" s="1740"/>
      <c r="AE1" s="219"/>
      <c r="AG1" s="170"/>
    </row>
    <row r="2" spans="1:38" s="129" customFormat="1" x14ac:dyDescent="0.2">
      <c r="C2" s="5179" t="s">
        <v>362</v>
      </c>
      <c r="D2" s="5180"/>
      <c r="E2" s="5180"/>
      <c r="F2" s="5180"/>
      <c r="G2" s="148" t="str">
        <f>'Dyrehold 2018G'!G2</f>
        <v>2018G</v>
      </c>
      <c r="AB2" s="1746" t="s">
        <v>219</v>
      </c>
      <c r="AE2" s="219"/>
      <c r="AG2" s="170"/>
    </row>
    <row r="3" spans="1:38" s="129" customFormat="1" ht="28.5" thickBot="1" x14ac:dyDescent="0.25">
      <c r="C3" s="5164" t="s">
        <v>363</v>
      </c>
      <c r="D3" s="5165"/>
      <c r="E3" s="149" t="s">
        <v>364</v>
      </c>
      <c r="F3" s="220" t="s">
        <v>4787</v>
      </c>
      <c r="G3" s="221" t="s">
        <v>4788</v>
      </c>
      <c r="AB3" s="152" t="s">
        <v>325</v>
      </c>
      <c r="AE3" s="219"/>
      <c r="AG3" s="170"/>
    </row>
    <row r="4" spans="1:38" s="129" customFormat="1" ht="15" x14ac:dyDescent="0.25">
      <c r="N4" s="222"/>
      <c r="AB4" s="1747" t="str">
        <f>'Dyrehold 2018G'!U4</f>
        <v>Læsø 2018G</v>
      </c>
      <c r="AE4" s="219"/>
      <c r="AG4" s="170"/>
    </row>
    <row r="5" spans="1:38" s="129" customFormat="1" x14ac:dyDescent="0.2">
      <c r="C5" s="10"/>
      <c r="D5" s="10"/>
      <c r="E5" s="10"/>
      <c r="F5" s="223"/>
      <c r="G5" s="10"/>
      <c r="AE5" s="219"/>
      <c r="AG5" s="170"/>
    </row>
    <row r="6" spans="1:38" s="129" customFormat="1" ht="21" customHeight="1" x14ac:dyDescent="0.4">
      <c r="C6" s="10"/>
      <c r="D6" s="224"/>
      <c r="E6" s="225"/>
      <c r="F6" s="223"/>
      <c r="G6" s="10"/>
      <c r="AE6" s="219"/>
      <c r="AG6" s="170"/>
    </row>
    <row r="7" spans="1:38" s="129" customFormat="1" ht="63" customHeight="1" thickBot="1" x14ac:dyDescent="0.25">
      <c r="C7" s="5181" t="s">
        <v>365</v>
      </c>
      <c r="D7" s="5182"/>
      <c r="E7" s="5182"/>
      <c r="F7" s="5182"/>
      <c r="G7" s="5182"/>
      <c r="H7" s="5182"/>
      <c r="I7" s="5182"/>
      <c r="J7" s="5182"/>
      <c r="K7" s="5182"/>
      <c r="L7" s="5182"/>
      <c r="M7" s="5182"/>
      <c r="N7" s="5182"/>
      <c r="O7" s="5182"/>
      <c r="P7" s="5182"/>
      <c r="Q7" s="5182"/>
      <c r="R7" s="5182"/>
      <c r="S7" s="5182"/>
      <c r="T7" s="5182"/>
      <c r="U7" s="5182"/>
      <c r="V7" s="5182"/>
      <c r="W7" s="5183"/>
      <c r="X7" s="226" t="s">
        <v>4789</v>
      </c>
      <c r="Y7" s="227" t="s">
        <v>226</v>
      </c>
      <c r="Z7" s="226" t="s">
        <v>4789</v>
      </c>
      <c r="AA7" s="226" t="s">
        <v>366</v>
      </c>
      <c r="AB7" s="228" t="s">
        <v>327</v>
      </c>
      <c r="AC7" s="5184" t="s">
        <v>328</v>
      </c>
      <c r="AD7" s="5185"/>
      <c r="AE7" s="5185"/>
      <c r="AF7" s="5185"/>
      <c r="AG7" s="5186"/>
    </row>
    <row r="8" spans="1:38" s="129" customFormat="1" ht="295.5" customHeight="1" thickBot="1" x14ac:dyDescent="0.25">
      <c r="C8" s="444" t="s">
        <v>272</v>
      </c>
      <c r="D8" s="445" t="s">
        <v>627</v>
      </c>
      <c r="E8" s="445" t="s">
        <v>273</v>
      </c>
      <c r="F8" s="445" t="s">
        <v>274</v>
      </c>
      <c r="G8" s="445" t="s">
        <v>275</v>
      </c>
      <c r="H8" s="445" t="s">
        <v>276</v>
      </c>
      <c r="I8" s="445" t="s">
        <v>277</v>
      </c>
      <c r="J8" s="445" t="s">
        <v>2066</v>
      </c>
      <c r="K8" s="445" t="s">
        <v>278</v>
      </c>
      <c r="L8" s="445" t="s">
        <v>279</v>
      </c>
      <c r="M8" s="445" t="s">
        <v>280</v>
      </c>
      <c r="N8" s="445" t="s">
        <v>281</v>
      </c>
      <c r="O8" s="445" t="s">
        <v>367</v>
      </c>
      <c r="P8" s="446" t="s">
        <v>283</v>
      </c>
      <c r="Q8" s="445" t="s">
        <v>368</v>
      </c>
      <c r="R8" s="446" t="s">
        <v>285</v>
      </c>
      <c r="S8" s="445" t="s">
        <v>286</v>
      </c>
      <c r="T8" s="445" t="s">
        <v>369</v>
      </c>
      <c r="U8" s="445" t="s">
        <v>370</v>
      </c>
      <c r="V8" s="445" t="s">
        <v>371</v>
      </c>
      <c r="W8" s="447" t="s">
        <v>372</v>
      </c>
      <c r="X8" s="448" t="s">
        <v>373</v>
      </c>
      <c r="Y8" s="448" t="s">
        <v>374</v>
      </c>
      <c r="Z8" s="448" t="s">
        <v>375</v>
      </c>
      <c r="AA8" s="449" t="s">
        <v>376</v>
      </c>
      <c r="AB8" s="450"/>
      <c r="AC8" s="229" t="s">
        <v>377</v>
      </c>
      <c r="AD8" s="451" t="s">
        <v>628</v>
      </c>
      <c r="AE8" s="230" t="s">
        <v>347</v>
      </c>
      <c r="AF8" s="451" t="s">
        <v>5316</v>
      </c>
      <c r="AG8" s="231" t="s">
        <v>349</v>
      </c>
    </row>
    <row r="9" spans="1:38" s="129" customFormat="1" ht="14.65" customHeight="1" thickBot="1" x14ac:dyDescent="0.25">
      <c r="A9" s="232"/>
      <c r="B9" s="232"/>
      <c r="C9" s="452"/>
      <c r="D9" s="453"/>
      <c r="E9" s="453"/>
      <c r="F9" s="453"/>
      <c r="G9" s="453"/>
      <c r="H9" s="453"/>
      <c r="I9" s="453"/>
      <c r="J9" s="453"/>
      <c r="K9" s="453"/>
      <c r="L9" s="453"/>
      <c r="M9" s="453"/>
      <c r="N9" s="453"/>
      <c r="O9" s="453"/>
      <c r="P9" s="453"/>
      <c r="Q9" s="453"/>
      <c r="R9" s="453"/>
      <c r="S9" s="453"/>
      <c r="T9" s="453"/>
      <c r="U9" s="453"/>
      <c r="V9" s="453"/>
      <c r="W9" s="454"/>
      <c r="X9" s="455"/>
      <c r="Y9" s="455"/>
      <c r="Z9" s="455"/>
      <c r="AA9" s="456"/>
      <c r="AB9" s="457" t="s">
        <v>378</v>
      </c>
      <c r="AC9" s="458"/>
      <c r="AD9" s="459"/>
      <c r="AE9" s="459"/>
      <c r="AF9" s="4089" t="s">
        <v>986</v>
      </c>
      <c r="AG9" s="233"/>
    </row>
    <row r="10" spans="1:38" s="129" customFormat="1" ht="14.65" customHeight="1" x14ac:dyDescent="0.2">
      <c r="A10" s="535"/>
      <c r="B10" s="535"/>
      <c r="C10" s="536" cm="1">
        <f t="array" ref="C10:S10">TRANSPOSE('K4 2018G'!F31:F47)</f>
        <v>6.37</v>
      </c>
      <c r="D10" s="537">
        <v>13.59</v>
      </c>
      <c r="E10" s="537">
        <v>67.430000000000007</v>
      </c>
      <c r="F10" s="537">
        <v>0</v>
      </c>
      <c r="G10" s="537">
        <v>582.6</v>
      </c>
      <c r="H10" s="537">
        <v>216.75</v>
      </c>
      <c r="I10" s="537">
        <v>0</v>
      </c>
      <c r="J10" s="537">
        <v>0</v>
      </c>
      <c r="K10" s="537" t="str">
        <v>IE</v>
      </c>
      <c r="L10" s="537">
        <v>9.2800000000000011</v>
      </c>
      <c r="M10" s="537">
        <v>0</v>
      </c>
      <c r="N10" s="537">
        <v>5.01</v>
      </c>
      <c r="O10" s="537">
        <v>0.35</v>
      </c>
      <c r="P10" s="537">
        <v>16.689999999999998</v>
      </c>
      <c r="Q10" s="537">
        <v>724.94</v>
      </c>
      <c r="R10" s="537">
        <v>497.95000000000005</v>
      </c>
      <c r="S10" s="537">
        <v>1.91</v>
      </c>
      <c r="T10" s="521"/>
      <c r="U10" s="521"/>
      <c r="V10" s="521"/>
      <c r="W10" s="538"/>
      <c r="X10" s="539"/>
      <c r="Y10" s="539"/>
      <c r="Z10" s="539"/>
      <c r="AA10" s="540"/>
      <c r="AB10" s="93" t="s">
        <v>289</v>
      </c>
      <c r="AC10" s="541"/>
      <c r="AD10" s="517"/>
      <c r="AE10" s="517">
        <f>((C10*'K4 2018G'!P31+D10*'K4 2018G'!P32+E10*'K4 2018G'!P33+F10*'K4 2018G'!P34+G10*'K4 2018G'!P35+H10*'K4 2018G'!P36+I10*'K4 2018G'!P37+L10*'K4 2018G'!P40+M10*'K4 2018G'!P41+N10*'K4 2018G'!P42+O10*'K4 2018G'!P43+P10*'K4 2018G'!P44+Q10*'K4 2018G'!P45+R10*'K4 2018G'!P46+S10*'K4 2018G'!P47)/1000)*0.01*44/28</f>
        <v>1.853471893774137</v>
      </c>
      <c r="AF10" s="517"/>
      <c r="AG10" s="528">
        <f>IFERROR(AC10+AD10*'Grafer-klima-&gt;VÆLG GWP og NIR&lt;-'!$E$8+'Planteavl 2018G'!AE10*'Grafer-klima-&gt;VÆLG GWP og NIR&lt;-'!$F$8,"0 ")+AF10</f>
        <v>552.33462434469288</v>
      </c>
      <c r="AH10" s="512"/>
      <c r="AI10" s="170"/>
    </row>
    <row r="11" spans="1:38" s="129" customFormat="1" ht="14.65" customHeight="1" thickBot="1" x14ac:dyDescent="0.25">
      <c r="A11" s="535"/>
      <c r="B11" s="535"/>
      <c r="C11" s="518"/>
      <c r="D11" s="519"/>
      <c r="E11" s="519"/>
      <c r="F11" s="519"/>
      <c r="G11" s="519"/>
      <c r="H11" s="519"/>
      <c r="I11" s="519"/>
      <c r="J11" s="519"/>
      <c r="K11" s="519"/>
      <c r="L11" s="519"/>
      <c r="M11" s="519"/>
      <c r="N11" s="519"/>
      <c r="O11" s="519"/>
      <c r="P11" s="519"/>
      <c r="Q11" s="519"/>
      <c r="R11" s="519"/>
      <c r="S11" s="519"/>
      <c r="T11" s="519"/>
      <c r="U11" s="519"/>
      <c r="V11" s="519"/>
      <c r="W11" s="542"/>
      <c r="X11" s="543"/>
      <c r="Y11" s="544"/>
      <c r="Z11" s="544"/>
      <c r="AA11" s="545"/>
      <c r="AB11" s="95" t="s">
        <v>290</v>
      </c>
      <c r="AC11" s="546"/>
      <c r="AD11" s="519"/>
      <c r="AE11" s="519"/>
      <c r="AF11" s="519">
        <f>'K5a 2018G'!I7</f>
        <v>-7.9939500000000008</v>
      </c>
      <c r="AG11" s="528">
        <f>IFERROR(AC11+AD11*'Grafer-klima-&gt;VÆLG GWP og NIR&lt;-'!$E$8+'Planteavl 2018G'!AE11*'Grafer-klima-&gt;VÆLG GWP og NIR&lt;-'!$F$8," ")+AF11</f>
        <v>-7.9939500000000008</v>
      </c>
      <c r="AH11" s="512"/>
      <c r="AK11" s="170"/>
    </row>
    <row r="12" spans="1:38" s="129" customFormat="1" ht="14.65" customHeight="1" x14ac:dyDescent="0.3">
      <c r="A12" s="535"/>
      <c r="B12" s="535"/>
      <c r="C12" s="547"/>
      <c r="D12" s="548"/>
      <c r="E12" s="548"/>
      <c r="F12" s="548"/>
      <c r="G12" s="548"/>
      <c r="H12" s="548"/>
      <c r="I12" s="548"/>
      <c r="J12" s="548"/>
      <c r="K12" s="548"/>
      <c r="L12" s="548"/>
      <c r="M12" s="548"/>
      <c r="N12" s="548"/>
      <c r="O12" s="548"/>
      <c r="P12" s="548"/>
      <c r="Q12" s="548"/>
      <c r="R12" s="548"/>
      <c r="S12" s="548"/>
      <c r="T12" s="548"/>
      <c r="U12" s="548"/>
      <c r="V12" s="548"/>
      <c r="W12" s="548"/>
      <c r="X12" s="549"/>
      <c r="Y12" s="549"/>
      <c r="Z12" s="549"/>
      <c r="AA12" s="548"/>
      <c r="AB12" s="462" t="s">
        <v>629</v>
      </c>
      <c r="AC12" s="548"/>
      <c r="AD12" s="548"/>
      <c r="AE12" s="548"/>
      <c r="AF12" s="548"/>
      <c r="AG12" s="550"/>
      <c r="AH12" s="512"/>
    </row>
    <row r="13" spans="1:38" s="129" customFormat="1" x14ac:dyDescent="0.2">
      <c r="A13" s="512"/>
      <c r="B13" s="512"/>
      <c r="C13" s="551"/>
      <c r="D13" s="517"/>
      <c r="E13" s="517"/>
      <c r="F13" s="517"/>
      <c r="G13" s="517"/>
      <c r="H13" s="517"/>
      <c r="I13" s="517"/>
      <c r="J13" s="517"/>
      <c r="K13" s="517"/>
      <c r="L13" s="517"/>
      <c r="M13" s="517"/>
      <c r="N13" s="517"/>
      <c r="O13" s="517"/>
      <c r="P13" s="517"/>
      <c r="Q13" s="552"/>
      <c r="R13" s="552"/>
      <c r="S13" s="552"/>
      <c r="T13" s="517"/>
      <c r="U13" s="517"/>
      <c r="V13" s="517"/>
      <c r="W13" s="553"/>
      <c r="X13" s="539"/>
      <c r="Y13" s="539"/>
      <c r="Z13" s="554">
        <f>'K4 2018G'!D18</f>
        <v>1.0147499999999998E-3</v>
      </c>
      <c r="AA13" s="540"/>
      <c r="AB13" s="93" t="s">
        <v>379</v>
      </c>
      <c r="AC13" s="541"/>
      <c r="AD13" s="517"/>
      <c r="AE13" s="517">
        <f>Z13*44/28</f>
        <v>1.5946071428571426E-3</v>
      </c>
      <c r="AF13" s="517"/>
      <c r="AG13" s="528">
        <f>IFERROR(AC13+AD13*'Grafer-klima-&gt;VÆLG GWP og NIR&lt;-'!$E$8+'Planteavl 2018G'!AE13*'Grafer-klima-&gt;VÆLG GWP og NIR&lt;-'!$F$8," ")+AF13</f>
        <v>0.47519292857142847</v>
      </c>
      <c r="AH13" s="512"/>
    </row>
    <row r="14" spans="1:38" s="129" customFormat="1" x14ac:dyDescent="0.2">
      <c r="A14" s="144"/>
      <c r="B14" s="144"/>
      <c r="C14" s="515"/>
      <c r="D14" s="517"/>
      <c r="E14" s="517"/>
      <c r="F14" s="517"/>
      <c r="G14" s="517"/>
      <c r="H14" s="517"/>
      <c r="I14" s="517"/>
      <c r="J14" s="517"/>
      <c r="K14" s="517"/>
      <c r="L14" s="517"/>
      <c r="M14" s="517"/>
      <c r="N14" s="517"/>
      <c r="O14" s="517"/>
      <c r="P14" s="517"/>
      <c r="Q14" s="517"/>
      <c r="R14" s="517"/>
      <c r="S14" s="517"/>
      <c r="T14" s="517"/>
      <c r="U14" s="517"/>
      <c r="V14" s="517"/>
      <c r="W14" s="553"/>
      <c r="X14" s="555"/>
      <c r="Y14" s="554">
        <f>'K4 2018G'!B16</f>
        <v>-11.461504665600001</v>
      </c>
      <c r="Z14" s="556"/>
      <c r="AA14" s="540"/>
      <c r="AB14" s="93" t="s">
        <v>380</v>
      </c>
      <c r="AC14" s="541"/>
      <c r="AD14" s="517"/>
      <c r="AE14" s="517">
        <f>(Y14*0.01*44/28)</f>
        <v>-0.18010935903085717</v>
      </c>
      <c r="AF14" s="517"/>
      <c r="AG14" s="528">
        <f>IFERROR(AC14+AD14*'Grafer-klima-&gt;VÆLG GWP og NIR&lt;-'!$E$8+'Planteavl 2018G'!AE14*'Grafer-klima-&gt;VÆLG GWP og NIR&lt;-'!$F$8," ")+AF14</f>
        <v>-53.67258899119544</v>
      </c>
      <c r="AH14" s="512"/>
    </row>
    <row r="15" spans="1:38" s="129" customFormat="1" ht="14.65" customHeight="1" x14ac:dyDescent="0.2">
      <c r="A15" s="535"/>
      <c r="B15" s="535"/>
      <c r="C15" s="515"/>
      <c r="D15" s="517"/>
      <c r="E15" s="517"/>
      <c r="F15" s="517"/>
      <c r="G15" s="517"/>
      <c r="H15" s="517"/>
      <c r="I15" s="517"/>
      <c r="J15" s="517"/>
      <c r="K15" s="517"/>
      <c r="L15" s="517"/>
      <c r="M15" s="517"/>
      <c r="N15" s="517"/>
      <c r="O15" s="517"/>
      <c r="P15" s="517"/>
      <c r="Q15" s="517"/>
      <c r="R15" s="517"/>
      <c r="S15" s="517"/>
      <c r="T15" s="517"/>
      <c r="U15" s="517"/>
      <c r="V15" s="517"/>
      <c r="W15" s="553"/>
      <c r="X15" s="539"/>
      <c r="Y15" s="539"/>
      <c r="Z15" s="554">
        <f>'K4 2018G'!D17</f>
        <v>0.22987828217848494</v>
      </c>
      <c r="AA15" s="540"/>
      <c r="AB15" s="93" t="s">
        <v>381</v>
      </c>
      <c r="AC15" s="541"/>
      <c r="AD15" s="517"/>
      <c r="AE15" s="517">
        <f>Z15*44/28</f>
        <v>0.36123730056619063</v>
      </c>
      <c r="AF15" s="517"/>
      <c r="AG15" s="528">
        <f>IFERROR(AC15+AD15*'Grafer-klima-&gt;VÆLG GWP og NIR&lt;-'!$E$8+'Planteavl 2018G'!AE15*'Grafer-klima-&gt;VÆLG GWP og NIR&lt;-'!$F$8," ")+AF15</f>
        <v>107.64871556872481</v>
      </c>
      <c r="AH15" s="512"/>
      <c r="AL15" s="170"/>
    </row>
    <row r="16" spans="1:38" s="129" customFormat="1" ht="14.65" customHeight="1" x14ac:dyDescent="0.2">
      <c r="A16" s="535"/>
      <c r="B16" s="535"/>
      <c r="C16" s="515"/>
      <c r="D16" s="517"/>
      <c r="E16" s="517"/>
      <c r="F16" s="517"/>
      <c r="G16" s="517"/>
      <c r="H16" s="517"/>
      <c r="I16" s="517"/>
      <c r="J16" s="517"/>
      <c r="K16" s="517"/>
      <c r="L16" s="517"/>
      <c r="M16" s="517"/>
      <c r="N16" s="517"/>
      <c r="O16" s="517"/>
      <c r="P16" s="517"/>
      <c r="Q16" s="517"/>
      <c r="R16" s="517"/>
      <c r="S16" s="517"/>
      <c r="T16" s="517"/>
      <c r="U16" s="517"/>
      <c r="V16" s="517"/>
      <c r="W16" s="553"/>
      <c r="X16" s="555"/>
      <c r="Y16" s="555"/>
      <c r="Z16" s="554">
        <f>'K4 2018G'!D9</f>
        <v>3.0689749000000006</v>
      </c>
      <c r="AA16" s="540"/>
      <c r="AB16" s="93" t="s">
        <v>382</v>
      </c>
      <c r="AC16" s="541"/>
      <c r="AD16" s="517"/>
      <c r="AE16" s="517">
        <f t="shared" ref="AE16:AE17" si="0">Z16*44/28</f>
        <v>4.8226748428571442</v>
      </c>
      <c r="AF16" s="517"/>
      <c r="AG16" s="528">
        <f>IFERROR(AC16+AD16*'Grafer-klima-&gt;VÆLG GWP og NIR&lt;-'!$E$8+'Planteavl 2018G'!AE16*'Grafer-klima-&gt;VÆLG GWP og NIR&lt;-'!$F$8," ")+AF16</f>
        <v>1437.1571031714291</v>
      </c>
      <c r="AH16" s="512"/>
      <c r="AL16" s="170"/>
    </row>
    <row r="17" spans="1:38" s="129" customFormat="1" ht="14.65" customHeight="1" x14ac:dyDescent="0.2">
      <c r="A17" s="535"/>
      <c r="B17" s="535"/>
      <c r="C17" s="515"/>
      <c r="D17" s="517"/>
      <c r="E17" s="517"/>
      <c r="F17" s="517"/>
      <c r="G17" s="517"/>
      <c r="H17" s="517"/>
      <c r="I17" s="517"/>
      <c r="J17" s="517"/>
      <c r="K17" s="517"/>
      <c r="L17" s="517"/>
      <c r="M17" s="517"/>
      <c r="N17" s="517"/>
      <c r="O17" s="517"/>
      <c r="P17" s="517"/>
      <c r="Q17" s="517"/>
      <c r="R17" s="517"/>
      <c r="S17" s="517"/>
      <c r="T17" s="517"/>
      <c r="U17" s="517"/>
      <c r="V17" s="517"/>
      <c r="W17" s="553"/>
      <c r="X17" s="539"/>
      <c r="Y17" s="539"/>
      <c r="Z17" s="554">
        <f>'K4 2018G'!D10</f>
        <v>1.6677422</v>
      </c>
      <c r="AA17" s="540"/>
      <c r="AB17" s="93" t="s">
        <v>383</v>
      </c>
      <c r="AC17" s="541"/>
      <c r="AD17" s="517"/>
      <c r="AE17" s="517">
        <f t="shared" si="0"/>
        <v>2.6207377428571426</v>
      </c>
      <c r="AF17" s="517"/>
      <c r="AG17" s="528">
        <f>IFERROR(AC17+AD17*'Grafer-klima-&gt;VÆLG GWP og NIR&lt;-'!$E$8+'Planteavl 2018G'!AE17*'Grafer-klima-&gt;VÆLG GWP og NIR&lt;-'!$F$8," ")+AF17</f>
        <v>780.97984737142849</v>
      </c>
      <c r="AH17" s="512"/>
      <c r="AK17" s="170"/>
    </row>
    <row r="18" spans="1:38" s="129" customFormat="1" ht="14.65" customHeight="1" x14ac:dyDescent="0.2">
      <c r="A18" s="535"/>
      <c r="B18" s="535"/>
      <c r="C18" s="515"/>
      <c r="D18" s="517"/>
      <c r="E18" s="517"/>
      <c r="F18" s="517"/>
      <c r="G18" s="517"/>
      <c r="H18" s="517"/>
      <c r="I18" s="517"/>
      <c r="J18" s="517"/>
      <c r="K18" s="517"/>
      <c r="L18" s="517"/>
      <c r="M18" s="517"/>
      <c r="N18" s="517"/>
      <c r="O18" s="517"/>
      <c r="P18" s="517"/>
      <c r="Q18" s="517"/>
      <c r="R18" s="516"/>
      <c r="S18" s="517"/>
      <c r="T18" s="517"/>
      <c r="U18" s="517"/>
      <c r="V18" s="517"/>
      <c r="W18" s="553"/>
      <c r="X18" s="539">
        <f>'K4 2018G'!D14</f>
        <v>0.28989299353189796</v>
      </c>
      <c r="Y18" s="539"/>
      <c r="Z18" s="539"/>
      <c r="AA18" s="540"/>
      <c r="AB18" s="93" t="s">
        <v>384</v>
      </c>
      <c r="AC18" s="541"/>
      <c r="AD18" s="517"/>
      <c r="AE18" s="517">
        <f>X18*44/28</f>
        <v>0.4555461326929825</v>
      </c>
      <c r="AF18" s="517"/>
      <c r="AG18" s="528">
        <f>IFERROR(AC18+AD18*'Grafer-klima-&gt;VÆLG GWP og NIR&lt;-'!$E$8+'Planteavl 2018G'!AE18*'Grafer-klima-&gt;VÆLG GWP og NIR&lt;-'!$F$8," ")+AF18</f>
        <v>135.75274754250879</v>
      </c>
      <c r="AH18" s="512"/>
      <c r="AK18" s="170"/>
    </row>
    <row r="19" spans="1:38" s="129" customFormat="1" ht="14.65" customHeight="1" x14ac:dyDescent="0.2">
      <c r="A19" s="535"/>
      <c r="B19" s="535"/>
      <c r="C19" s="515"/>
      <c r="D19" s="517"/>
      <c r="E19" s="517"/>
      <c r="F19" s="517"/>
      <c r="G19" s="517"/>
      <c r="H19" s="517"/>
      <c r="I19" s="517"/>
      <c r="J19" s="517"/>
      <c r="K19" s="517"/>
      <c r="L19" s="517"/>
      <c r="M19" s="517"/>
      <c r="N19" s="517"/>
      <c r="O19" s="517"/>
      <c r="P19" s="517"/>
      <c r="Q19" s="517"/>
      <c r="R19" s="552"/>
      <c r="S19" s="517"/>
      <c r="T19" s="517"/>
      <c r="U19" s="517"/>
      <c r="V19" s="517"/>
      <c r="W19" s="553"/>
      <c r="X19" s="554">
        <f>'K4 2018G'!D22</f>
        <v>0.36454892146587148</v>
      </c>
      <c r="Y19" s="539"/>
      <c r="Z19" s="539"/>
      <c r="AA19" s="540"/>
      <c r="AB19" s="93" t="s">
        <v>385</v>
      </c>
      <c r="AC19" s="541"/>
      <c r="AD19" s="517"/>
      <c r="AE19" s="517">
        <f>X19*44/28</f>
        <v>0.57286259087494085</v>
      </c>
      <c r="AF19" s="517"/>
      <c r="AG19" s="528">
        <f>IFERROR(AC19+AD19*'Grafer-klima-&gt;VÆLG GWP og NIR&lt;-'!$E$8+'Planteavl 2018G'!AE19*'Grafer-klima-&gt;VÆLG GWP og NIR&lt;-'!$F$8," ")+AF19</f>
        <v>170.71305208073238</v>
      </c>
      <c r="AH19" s="512"/>
      <c r="AK19" s="170"/>
    </row>
    <row r="20" spans="1:38" s="129" customFormat="1" ht="14.65" customHeight="1" x14ac:dyDescent="0.2">
      <c r="A20" s="535"/>
      <c r="B20" s="535"/>
      <c r="C20" s="515"/>
      <c r="D20" s="517"/>
      <c r="E20" s="517"/>
      <c r="F20" s="517"/>
      <c r="G20" s="517"/>
      <c r="H20" s="517"/>
      <c r="I20" s="517"/>
      <c r="J20" s="517"/>
      <c r="K20" s="517"/>
      <c r="L20" s="517"/>
      <c r="M20" s="517"/>
      <c r="N20" s="517"/>
      <c r="O20" s="517"/>
      <c r="P20" s="517"/>
      <c r="Q20" s="517"/>
      <c r="R20" s="552"/>
      <c r="S20" s="517"/>
      <c r="T20" s="517"/>
      <c r="U20" s="517"/>
      <c r="V20" s="517"/>
      <c r="W20" s="553"/>
      <c r="X20" s="554">
        <f>'K4 2018G'!D23</f>
        <v>0.90512384479907249</v>
      </c>
      <c r="Y20" s="539"/>
      <c r="Z20" s="539"/>
      <c r="AA20" s="540"/>
      <c r="AB20" s="93" t="s">
        <v>386</v>
      </c>
      <c r="AC20" s="541"/>
      <c r="AD20" s="517"/>
      <c r="AE20" s="517">
        <f>X20*44/28</f>
        <v>1.4223374703985425</v>
      </c>
      <c r="AF20" s="517"/>
      <c r="AG20" s="528">
        <f>IFERROR(AC20+AD20*'Grafer-klima-&gt;VÆLG GWP og NIR&lt;-'!$E$8+'Planteavl 2018G'!AE20*'Grafer-klima-&gt;VÆLG GWP og NIR&lt;-'!$F$8," ")+AF20</f>
        <v>423.85656617876566</v>
      </c>
      <c r="AH20" s="512"/>
    </row>
    <row r="21" spans="1:38" s="129" customFormat="1" ht="14.65" customHeight="1" x14ac:dyDescent="0.3">
      <c r="A21" s="535"/>
      <c r="B21" s="535"/>
      <c r="C21" s="515"/>
      <c r="D21" s="517"/>
      <c r="E21" s="517"/>
      <c r="F21" s="517"/>
      <c r="G21" s="517"/>
      <c r="H21" s="517"/>
      <c r="I21" s="517"/>
      <c r="J21" s="517"/>
      <c r="K21" s="517"/>
      <c r="L21" s="517"/>
      <c r="M21" s="517"/>
      <c r="N21" s="517"/>
      <c r="O21" s="517"/>
      <c r="P21" s="517"/>
      <c r="Q21" s="517"/>
      <c r="R21" s="517"/>
      <c r="S21" s="517"/>
      <c r="T21" s="517"/>
      <c r="U21" s="517"/>
      <c r="V21" s="517"/>
      <c r="W21" s="553"/>
      <c r="X21" s="539"/>
      <c r="Y21" s="539"/>
      <c r="Z21" s="539"/>
      <c r="AA21" s="557">
        <f>'K5 2018G'!H8</f>
        <v>420.47527927971691</v>
      </c>
      <c r="AB21" s="93" t="s">
        <v>387</v>
      </c>
      <c r="AC21" s="541">
        <f>'K5 2018G'!M8</f>
        <v>184.9968000321222</v>
      </c>
      <c r="AD21" s="517"/>
      <c r="AE21" s="517"/>
      <c r="AF21" s="517"/>
      <c r="AG21" s="528">
        <f>IFERROR(AC21+AD21*'Grafer-klima-&gt;VÆLG GWP og NIR&lt;-'!$E$8+'Planteavl 2018G'!AE21*'Grafer-klima-&gt;VÆLG GWP og NIR&lt;-'!$F$8," ")+AF21</f>
        <v>184.9968000321222</v>
      </c>
      <c r="AH21" s="512"/>
    </row>
    <row r="22" spans="1:38" s="129" customFormat="1" ht="14.65" customHeight="1" x14ac:dyDescent="0.2">
      <c r="A22" s="535"/>
      <c r="B22" s="535"/>
      <c r="C22" s="515"/>
      <c r="D22" s="517"/>
      <c r="E22" s="517"/>
      <c r="F22" s="517"/>
      <c r="G22" s="517"/>
      <c r="H22" s="517"/>
      <c r="I22" s="517"/>
      <c r="J22" s="517"/>
      <c r="K22" s="517"/>
      <c r="L22" s="517"/>
      <c r="M22" s="517"/>
      <c r="N22" s="517"/>
      <c r="O22" s="517"/>
      <c r="P22" s="517"/>
      <c r="Q22" s="517"/>
      <c r="R22" s="517"/>
      <c r="S22" s="517"/>
      <c r="T22" s="517"/>
      <c r="U22" s="517"/>
      <c r="V22" s="517"/>
      <c r="W22" s="553"/>
      <c r="X22" s="539"/>
      <c r="Y22" s="539"/>
      <c r="Z22" s="539"/>
      <c r="AA22" s="557">
        <f>'K5 2018G'!H16</f>
        <v>1.4650706595112089</v>
      </c>
      <c r="AB22" s="93" t="s">
        <v>298</v>
      </c>
      <c r="AC22" s="541">
        <f>'K5 2018G'!M16</f>
        <v>1.0743851503082198</v>
      </c>
      <c r="AD22" s="517"/>
      <c r="AE22" s="517"/>
      <c r="AF22" s="517"/>
      <c r="AG22" s="528">
        <f>IFERROR(AC22+AD22*'Grafer-klima-&gt;VÆLG GWP og NIR&lt;-'!$E$8+'Planteavl 2018G'!AE22*'Grafer-klima-&gt;VÆLG GWP og NIR&lt;-'!$F$8," ")+AF22</f>
        <v>1.0743851503082198</v>
      </c>
      <c r="AH22" s="512"/>
    </row>
    <row r="23" spans="1:38" s="129" customFormat="1" ht="14.65" customHeight="1" thickBot="1" x14ac:dyDescent="0.35">
      <c r="A23" s="535"/>
      <c r="B23" s="535"/>
      <c r="C23" s="518"/>
      <c r="D23" s="519"/>
      <c r="E23" s="519"/>
      <c r="F23" s="519"/>
      <c r="G23" s="519"/>
      <c r="H23" s="519"/>
      <c r="I23" s="519"/>
      <c r="J23" s="519"/>
      <c r="K23" s="519"/>
      <c r="L23" s="519"/>
      <c r="M23" s="519"/>
      <c r="N23" s="519"/>
      <c r="O23" s="519"/>
      <c r="P23" s="519"/>
      <c r="Q23" s="519"/>
      <c r="R23" s="519"/>
      <c r="S23" s="519"/>
      <c r="T23" s="519"/>
      <c r="U23" s="519"/>
      <c r="V23" s="519"/>
      <c r="W23" s="558"/>
      <c r="X23" s="544"/>
      <c r="Y23" s="544"/>
      <c r="Z23" s="544"/>
      <c r="AA23" s="559">
        <f>'K5 2018G'!H24</f>
        <v>20.12544432275924</v>
      </c>
      <c r="AB23" s="95" t="s">
        <v>388</v>
      </c>
      <c r="AC23" s="546">
        <f>'K5 2018G'!M24</f>
        <v>2.2137988755035161</v>
      </c>
      <c r="AD23" s="519"/>
      <c r="AE23" s="519"/>
      <c r="AF23" s="519"/>
      <c r="AG23" s="520">
        <f>IFERROR(AC23+AD23*'Grafer-klima-&gt;VÆLG GWP og NIR&lt;-'!$E$8+'Planteavl 2018G'!AE23*'Grafer-klima-&gt;VÆLG GWP og NIR&lt;-'!$F$8," ")+AF23</f>
        <v>2.2137988755035161</v>
      </c>
      <c r="AH23" s="512"/>
    </row>
    <row r="24" spans="1:38" s="129" customFormat="1" ht="14.65" customHeight="1" thickBot="1" x14ac:dyDescent="0.25">
      <c r="A24" s="535"/>
      <c r="B24" s="535"/>
      <c r="C24" s="465"/>
      <c r="D24" s="466"/>
      <c r="E24" s="466"/>
      <c r="F24" s="466"/>
      <c r="G24" s="466"/>
      <c r="H24" s="466"/>
      <c r="I24" s="466"/>
      <c r="J24" s="466"/>
      <c r="K24" s="466"/>
      <c r="L24" s="466"/>
      <c r="M24" s="466"/>
      <c r="N24" s="466"/>
      <c r="O24" s="466"/>
      <c r="P24" s="466"/>
      <c r="Q24" s="466"/>
      <c r="R24" s="466"/>
      <c r="S24" s="466"/>
      <c r="T24" s="466"/>
      <c r="U24" s="466"/>
      <c r="V24" s="466"/>
      <c r="W24" s="467"/>
      <c r="X24" s="468"/>
      <c r="Y24" s="468"/>
      <c r="Z24" s="468"/>
      <c r="AA24" s="469"/>
      <c r="AB24" s="470" t="s">
        <v>1</v>
      </c>
      <c r="AC24" s="560">
        <f>SUM(AC10:AC11,AC13:AC23)</f>
        <v>188.28498405793394</v>
      </c>
      <c r="AD24" s="534">
        <f>SUM(AD10:AD11,AD13:AD23)</f>
        <v>0</v>
      </c>
      <c r="AE24" s="534">
        <f>SUM(AE10:AE11,AE13:AE23)</f>
        <v>11.93035322213308</v>
      </c>
      <c r="AF24" s="534">
        <f>SUM(AF10:AF11,AF13:AF23)</f>
        <v>-7.9939500000000008</v>
      </c>
      <c r="AG24" s="561">
        <f>SUM(AG10:AG11,AG13:AG23)</f>
        <v>3735.5362942535921</v>
      </c>
      <c r="AH24" s="512"/>
      <c r="AL24" s="170"/>
    </row>
    <row r="25" spans="1:38" s="129" customFormat="1" ht="15.6" customHeight="1" x14ac:dyDescent="0.35">
      <c r="A25" s="535"/>
      <c r="B25" s="535"/>
      <c r="C25" s="153" t="s">
        <v>389</v>
      </c>
      <c r="D25" s="512"/>
      <c r="E25" s="512"/>
      <c r="F25" s="512"/>
      <c r="G25" s="512"/>
      <c r="H25" s="512"/>
      <c r="I25" s="512"/>
      <c r="J25" s="512"/>
      <c r="K25" s="512"/>
      <c r="L25" s="512"/>
      <c r="M25" s="512"/>
      <c r="N25" s="512"/>
      <c r="O25" s="512"/>
      <c r="P25" s="512"/>
      <c r="Q25" s="512"/>
      <c r="R25" s="512"/>
      <c r="S25" s="512"/>
      <c r="T25" s="512"/>
      <c r="U25" s="512"/>
      <c r="V25" s="512"/>
      <c r="W25" s="512"/>
      <c r="X25" s="512"/>
      <c r="Y25" s="512"/>
      <c r="Z25" s="512"/>
      <c r="AA25" s="512"/>
      <c r="AB25" s="512"/>
      <c r="AC25" s="512"/>
      <c r="AD25" s="512"/>
      <c r="AE25" s="512"/>
      <c r="AF25" s="512"/>
      <c r="AG25" s="512"/>
      <c r="AH25" s="512"/>
    </row>
    <row r="26" spans="1:38" s="129" customFormat="1" ht="15.6" customHeight="1" x14ac:dyDescent="0.2">
      <c r="A26" s="535"/>
      <c r="B26" s="535"/>
      <c r="C26" s="512"/>
      <c r="D26" s="512"/>
      <c r="E26" s="512"/>
      <c r="F26" s="512"/>
      <c r="G26" s="512"/>
      <c r="H26" s="512"/>
      <c r="I26" s="512"/>
      <c r="J26" s="512"/>
      <c r="K26" s="512"/>
      <c r="L26" s="512"/>
      <c r="M26" s="512"/>
      <c r="N26" s="512"/>
      <c r="O26" s="512"/>
      <c r="P26" s="512"/>
      <c r="Q26" s="512"/>
      <c r="R26" s="512"/>
      <c r="S26" s="512"/>
      <c r="T26" s="512"/>
      <c r="U26" s="512"/>
      <c r="V26" s="512"/>
      <c r="W26" s="512"/>
      <c r="X26" s="512"/>
      <c r="Y26" s="512"/>
      <c r="Z26" s="512"/>
      <c r="AA26" s="512"/>
      <c r="AB26" s="512"/>
      <c r="AC26" s="512"/>
      <c r="AD26" s="512"/>
      <c r="AE26" s="512"/>
      <c r="AF26" s="512"/>
      <c r="AG26" s="512"/>
      <c r="AH26" s="512"/>
    </row>
    <row r="27" spans="1:38" s="129" customFormat="1" ht="15.6" customHeight="1" x14ac:dyDescent="0.2">
      <c r="A27" s="535"/>
      <c r="B27" s="535"/>
      <c r="C27" s="512"/>
      <c r="D27" s="512"/>
      <c r="E27" s="512"/>
      <c r="F27" s="512"/>
      <c r="G27" s="512"/>
      <c r="H27" s="512"/>
      <c r="I27" s="512"/>
      <c r="J27" s="512"/>
      <c r="K27" s="512"/>
      <c r="L27" s="563"/>
      <c r="M27" s="563"/>
      <c r="N27" s="563"/>
      <c r="O27" s="563"/>
      <c r="P27" s="563"/>
      <c r="Q27" s="563"/>
      <c r="R27" s="563"/>
      <c r="S27" s="563"/>
      <c r="T27" s="563"/>
      <c r="U27" s="563"/>
      <c r="V27" s="563"/>
      <c r="W27" s="563"/>
      <c r="X27" s="512"/>
      <c r="Y27" s="512"/>
      <c r="Z27" s="512"/>
      <c r="AA27" s="512"/>
      <c r="AB27" s="512"/>
      <c r="AC27" s="512"/>
      <c r="AD27" s="512"/>
      <c r="AE27" s="512"/>
      <c r="AF27" s="512"/>
      <c r="AG27" s="512"/>
      <c r="AH27" s="512"/>
    </row>
    <row r="28" spans="1:38" s="129" customFormat="1" ht="14.65" customHeight="1" x14ac:dyDescent="0.2">
      <c r="A28" s="535"/>
      <c r="B28" s="535"/>
      <c r="C28" s="512"/>
      <c r="D28" s="512"/>
      <c r="E28" s="512"/>
      <c r="F28" s="512"/>
      <c r="G28" s="512"/>
      <c r="H28" s="512"/>
      <c r="I28" s="512"/>
      <c r="J28" s="512"/>
      <c r="K28" s="512"/>
      <c r="L28" s="512"/>
      <c r="M28" s="512"/>
      <c r="N28" s="512"/>
      <c r="O28" s="512"/>
      <c r="P28" s="512"/>
      <c r="Q28" s="512"/>
      <c r="R28" s="512"/>
      <c r="S28" s="512"/>
      <c r="T28" s="512"/>
      <c r="U28" s="512"/>
      <c r="V28" s="512"/>
      <c r="W28" s="512"/>
      <c r="X28" s="512"/>
      <c r="Y28" s="512"/>
      <c r="Z28" s="512"/>
      <c r="AA28" s="512"/>
      <c r="AB28" s="512"/>
      <c r="AC28" s="512"/>
      <c r="AD28" s="512"/>
      <c r="AE28" s="512"/>
      <c r="AF28" s="512"/>
      <c r="AG28" s="512"/>
      <c r="AH28" s="512"/>
      <c r="AL28" s="170"/>
    </row>
    <row r="29" spans="1:38" s="129" customFormat="1" x14ac:dyDescent="0.2">
      <c r="A29" s="225"/>
      <c r="B29" s="225"/>
      <c r="C29" s="512"/>
      <c r="D29" s="512"/>
      <c r="E29" s="512"/>
      <c r="F29" s="512"/>
      <c r="G29" s="512"/>
      <c r="H29" s="512"/>
      <c r="I29" s="512"/>
      <c r="J29" s="512"/>
      <c r="K29" s="512"/>
      <c r="L29" s="512"/>
      <c r="M29" s="512"/>
      <c r="N29" s="512"/>
      <c r="O29" s="512"/>
      <c r="P29" s="512"/>
      <c r="Q29" s="512"/>
      <c r="R29" s="512"/>
      <c r="S29" s="512"/>
      <c r="T29" s="512"/>
      <c r="U29" s="512"/>
      <c r="V29" s="512"/>
      <c r="W29" s="512"/>
      <c r="X29" s="512"/>
      <c r="Y29" s="512"/>
      <c r="Z29" s="512"/>
      <c r="AA29" s="512"/>
      <c r="AB29" s="512"/>
      <c r="AC29" s="512"/>
      <c r="AD29" s="512"/>
      <c r="AE29" s="564"/>
      <c r="AF29" s="512"/>
      <c r="AG29" s="563"/>
      <c r="AH29" s="512"/>
    </row>
    <row r="30" spans="1:38" s="129" customFormat="1" x14ac:dyDescent="0.2">
      <c r="A30" s="235"/>
      <c r="B30" s="235"/>
      <c r="AE30" s="219"/>
      <c r="AG30" s="170"/>
      <c r="AJ30" s="170"/>
    </row>
    <row r="31" spans="1:38" s="129" customFormat="1" x14ac:dyDescent="0.2">
      <c r="A31" s="235"/>
      <c r="B31" s="235"/>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236"/>
      <c r="AC31" s="170"/>
      <c r="AD31" s="170"/>
      <c r="AE31" s="170"/>
      <c r="AF31" s="170"/>
      <c r="AG31" s="170"/>
    </row>
    <row r="32" spans="1:38" s="129" customFormat="1" x14ac:dyDescent="0.2">
      <c r="A32" s="235"/>
      <c r="B32" s="235"/>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236"/>
      <c r="AC32" s="170"/>
      <c r="AD32" s="170"/>
      <c r="AE32" s="170"/>
      <c r="AF32" s="170"/>
      <c r="AG32" s="170"/>
    </row>
    <row r="33" spans="1:33" s="129" customFormat="1" x14ac:dyDescent="0.2">
      <c r="A33" s="235"/>
      <c r="B33" s="235"/>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AA33" s="170"/>
      <c r="AB33" s="236"/>
      <c r="AC33" s="170"/>
      <c r="AD33" s="170"/>
      <c r="AE33" s="170"/>
      <c r="AF33" s="170"/>
      <c r="AG33" s="170"/>
    </row>
    <row r="34" spans="1:33" s="129" customFormat="1" x14ac:dyDescent="0.2">
      <c r="A34" s="235"/>
      <c r="B34" s="235"/>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row>
    <row r="35" spans="1:33" s="129" customFormat="1" x14ac:dyDescent="0.2">
      <c r="A35" s="235"/>
      <c r="B35" s="235"/>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236"/>
      <c r="AC35" s="170"/>
      <c r="AD35" s="170"/>
      <c r="AE35" s="170"/>
      <c r="AF35" s="170"/>
      <c r="AG35" s="170"/>
    </row>
    <row r="36" spans="1:33" s="129" customFormat="1" x14ac:dyDescent="0.2">
      <c r="A36" s="235"/>
      <c r="B36" s="235"/>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236"/>
      <c r="AC36" s="170"/>
      <c r="AD36" s="170"/>
      <c r="AE36" s="170"/>
      <c r="AF36" s="170"/>
      <c r="AG36" s="170"/>
    </row>
    <row r="37" spans="1:33" s="129" customFormat="1" x14ac:dyDescent="0.2">
      <c r="A37" s="235"/>
      <c r="B37" s="235"/>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236"/>
      <c r="AC37" s="170"/>
      <c r="AD37" s="170"/>
      <c r="AE37" s="170"/>
      <c r="AF37" s="170"/>
      <c r="AG37" s="170"/>
    </row>
    <row r="38" spans="1:33" s="129" customFormat="1" x14ac:dyDescent="0.2">
      <c r="A38" s="235"/>
      <c r="B38" s="235"/>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236"/>
      <c r="AC38" s="170"/>
      <c r="AD38" s="170"/>
      <c r="AE38" s="170"/>
      <c r="AF38" s="170"/>
      <c r="AG38" s="170"/>
    </row>
    <row r="39" spans="1:33" s="129" customFormat="1" x14ac:dyDescent="0.2">
      <c r="A39" s="235"/>
      <c r="B39" s="235"/>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c r="AA39" s="170"/>
      <c r="AB39" s="236"/>
      <c r="AC39" s="170"/>
      <c r="AD39" s="170"/>
      <c r="AE39" s="170"/>
      <c r="AF39" s="170"/>
      <c r="AG39" s="170"/>
    </row>
    <row r="40" spans="1:33" s="129" customFormat="1" x14ac:dyDescent="0.2">
      <c r="A40" s="235"/>
      <c r="B40" s="235"/>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0"/>
      <c r="AB40" s="236"/>
      <c r="AC40" s="170"/>
      <c r="AD40" s="170"/>
      <c r="AE40" s="170"/>
      <c r="AF40" s="170"/>
      <c r="AG40" s="170"/>
    </row>
    <row r="41" spans="1:33" s="129" customFormat="1" x14ac:dyDescent="0.2">
      <c r="A41" s="235"/>
      <c r="B41" s="235"/>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c r="AA41" s="170"/>
      <c r="AB41" s="236"/>
      <c r="AC41" s="170"/>
      <c r="AD41" s="170"/>
      <c r="AE41" s="170"/>
      <c r="AF41" s="170"/>
      <c r="AG41" s="170"/>
    </row>
    <row r="42" spans="1:33" s="129" customFormat="1" x14ac:dyDescent="0.2">
      <c r="A42" s="235"/>
      <c r="B42" s="235"/>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c r="AA42" s="170"/>
      <c r="AB42" s="236"/>
      <c r="AC42" s="170"/>
      <c r="AD42" s="170"/>
      <c r="AE42" s="170"/>
      <c r="AF42" s="170"/>
      <c r="AG42" s="170"/>
    </row>
    <row r="43" spans="1:33" s="129" customFormat="1" x14ac:dyDescent="0.2"/>
    <row r="44" spans="1:33" s="129" customFormat="1" x14ac:dyDescent="0.2"/>
    <row r="45" spans="1:33" s="129" customFormat="1" x14ac:dyDescent="0.2"/>
    <row r="46" spans="1:33" s="129" customFormat="1" x14ac:dyDescent="0.2">
      <c r="AE46" s="219"/>
      <c r="AG46" s="170"/>
    </row>
    <row r="47" spans="1:33" s="129" customFormat="1" x14ac:dyDescent="0.2">
      <c r="AE47" s="219"/>
      <c r="AG47" s="170"/>
    </row>
    <row r="48" spans="1:33" s="129" customFormat="1" x14ac:dyDescent="0.2">
      <c r="AE48" s="219"/>
      <c r="AG48" s="170"/>
    </row>
    <row r="49" spans="31:33" s="129" customFormat="1" x14ac:dyDescent="0.2">
      <c r="AE49" s="219"/>
      <c r="AG49" s="170"/>
    </row>
    <row r="50" spans="31:33" s="129" customFormat="1" x14ac:dyDescent="0.2">
      <c r="AE50" s="219"/>
      <c r="AG50" s="170"/>
    </row>
    <row r="51" spans="31:33" s="129" customFormat="1" x14ac:dyDescent="0.2">
      <c r="AE51" s="219"/>
      <c r="AG51" s="170"/>
    </row>
    <row r="52" spans="31:33" s="129" customFormat="1" x14ac:dyDescent="0.2">
      <c r="AE52" s="219"/>
      <c r="AG52" s="170"/>
    </row>
    <row r="53" spans="31:33" s="129" customFormat="1" x14ac:dyDescent="0.2">
      <c r="AE53" s="219"/>
      <c r="AG53" s="170"/>
    </row>
    <row r="54" spans="31:33" s="129" customFormat="1" x14ac:dyDescent="0.2">
      <c r="AE54" s="219"/>
      <c r="AG54" s="170"/>
    </row>
    <row r="55" spans="31:33" s="129" customFormat="1" x14ac:dyDescent="0.2">
      <c r="AE55" s="219"/>
      <c r="AG55" s="170"/>
    </row>
    <row r="56" spans="31:33" s="129" customFormat="1" x14ac:dyDescent="0.2">
      <c r="AE56" s="219"/>
      <c r="AG56" s="170"/>
    </row>
    <row r="57" spans="31:33" s="129" customFormat="1" x14ac:dyDescent="0.2">
      <c r="AE57" s="219"/>
      <c r="AG57" s="170"/>
    </row>
    <row r="58" spans="31:33" s="129" customFormat="1" x14ac:dyDescent="0.2">
      <c r="AE58" s="219"/>
      <c r="AG58" s="170"/>
    </row>
    <row r="59" spans="31:33" s="129" customFormat="1" x14ac:dyDescent="0.2">
      <c r="AE59" s="219"/>
      <c r="AG59" s="170"/>
    </row>
    <row r="60" spans="31:33" s="129" customFormat="1" x14ac:dyDescent="0.2">
      <c r="AE60" s="219"/>
      <c r="AG60" s="170"/>
    </row>
    <row r="61" spans="31:33" s="129" customFormat="1" x14ac:dyDescent="0.2">
      <c r="AE61" s="219"/>
      <c r="AG61" s="170"/>
    </row>
    <row r="62" spans="31:33" s="129" customFormat="1" x14ac:dyDescent="0.2">
      <c r="AE62" s="219"/>
      <c r="AG62" s="170"/>
    </row>
    <row r="63" spans="31:33" s="129" customFormat="1" x14ac:dyDescent="0.2">
      <c r="AE63" s="219"/>
      <c r="AG63" s="170"/>
    </row>
    <row r="64" spans="31:33" s="129" customFormat="1" x14ac:dyDescent="0.2">
      <c r="AE64" s="219"/>
      <c r="AG64" s="170"/>
    </row>
    <row r="65" spans="31:33" s="129" customFormat="1" x14ac:dyDescent="0.2">
      <c r="AE65" s="219"/>
      <c r="AG65" s="170"/>
    </row>
    <row r="66" spans="31:33" s="129" customFormat="1" x14ac:dyDescent="0.2">
      <c r="AE66" s="219"/>
      <c r="AG66" s="170"/>
    </row>
    <row r="67" spans="31:33" s="129" customFormat="1" x14ac:dyDescent="0.2">
      <c r="AE67" s="219"/>
      <c r="AG67" s="170"/>
    </row>
    <row r="68" spans="31:33" s="129" customFormat="1" x14ac:dyDescent="0.2">
      <c r="AE68" s="219"/>
      <c r="AG68" s="170"/>
    </row>
    <row r="69" spans="31:33" s="129" customFormat="1" x14ac:dyDescent="0.2">
      <c r="AE69" s="219"/>
      <c r="AG69" s="170"/>
    </row>
    <row r="70" spans="31:33" s="129" customFormat="1" x14ac:dyDescent="0.2">
      <c r="AE70" s="219"/>
      <c r="AG70" s="170"/>
    </row>
    <row r="71" spans="31:33" s="129" customFormat="1" x14ac:dyDescent="0.2">
      <c r="AE71" s="219"/>
      <c r="AG71" s="170"/>
    </row>
    <row r="72" spans="31:33" s="129" customFormat="1" x14ac:dyDescent="0.2">
      <c r="AE72" s="219"/>
      <c r="AG72" s="170"/>
    </row>
    <row r="73" spans="31:33" s="129" customFormat="1" x14ac:dyDescent="0.2">
      <c r="AE73" s="219"/>
      <c r="AG73" s="170"/>
    </row>
    <row r="74" spans="31:33" s="129" customFormat="1" x14ac:dyDescent="0.2">
      <c r="AE74" s="219"/>
      <c r="AG74" s="170"/>
    </row>
    <row r="75" spans="31:33" s="129" customFormat="1" x14ac:dyDescent="0.2">
      <c r="AE75" s="219"/>
      <c r="AG75" s="170"/>
    </row>
    <row r="76" spans="31:33" s="129" customFormat="1" x14ac:dyDescent="0.2">
      <c r="AE76" s="219"/>
      <c r="AG76" s="170"/>
    </row>
    <row r="77" spans="31:33" s="129" customFormat="1" x14ac:dyDescent="0.2">
      <c r="AE77" s="219"/>
      <c r="AG77" s="170"/>
    </row>
    <row r="78" spans="31:33" s="129" customFormat="1" x14ac:dyDescent="0.2">
      <c r="AE78" s="219"/>
      <c r="AG78" s="170"/>
    </row>
    <row r="79" spans="31:33" s="129" customFormat="1" x14ac:dyDescent="0.2">
      <c r="AE79" s="219"/>
      <c r="AG79" s="170"/>
    </row>
    <row r="80" spans="31:33" s="129" customFormat="1" x14ac:dyDescent="0.2">
      <c r="AE80" s="219"/>
      <c r="AG80" s="170"/>
    </row>
    <row r="81" spans="31:33" s="129" customFormat="1" x14ac:dyDescent="0.2">
      <c r="AE81" s="219"/>
      <c r="AG81" s="170"/>
    </row>
    <row r="82" spans="31:33" s="129" customFormat="1" x14ac:dyDescent="0.2">
      <c r="AE82" s="219"/>
      <c r="AG82" s="170"/>
    </row>
    <row r="83" spans="31:33" s="129" customFormat="1" x14ac:dyDescent="0.2">
      <c r="AE83" s="219"/>
      <c r="AG83" s="170"/>
    </row>
    <row r="84" spans="31:33" s="129" customFormat="1" x14ac:dyDescent="0.2">
      <c r="AE84" s="219"/>
      <c r="AG84" s="170"/>
    </row>
    <row r="85" spans="31:33" s="129" customFormat="1" x14ac:dyDescent="0.2">
      <c r="AE85" s="219"/>
      <c r="AG85" s="170"/>
    </row>
    <row r="86" spans="31:33" s="129" customFormat="1" x14ac:dyDescent="0.2">
      <c r="AE86" s="219"/>
      <c r="AG86" s="170"/>
    </row>
    <row r="87" spans="31:33" s="129" customFormat="1" x14ac:dyDescent="0.2">
      <c r="AE87" s="219"/>
      <c r="AG87" s="170"/>
    </row>
    <row r="88" spans="31:33" s="129" customFormat="1" x14ac:dyDescent="0.2">
      <c r="AE88" s="219"/>
      <c r="AG88" s="170"/>
    </row>
    <row r="89" spans="31:33" s="129" customFormat="1" x14ac:dyDescent="0.2">
      <c r="AE89" s="219"/>
      <c r="AG89" s="170"/>
    </row>
    <row r="90" spans="31:33" s="129" customFormat="1" x14ac:dyDescent="0.2">
      <c r="AE90" s="219"/>
      <c r="AG90" s="170"/>
    </row>
    <row r="91" spans="31:33" s="129" customFormat="1" x14ac:dyDescent="0.2">
      <c r="AE91" s="219"/>
      <c r="AG91" s="170"/>
    </row>
  </sheetData>
  <mergeCells count="4">
    <mergeCell ref="C2:F2"/>
    <mergeCell ref="C3:D3"/>
    <mergeCell ref="C7:W7"/>
    <mergeCell ref="AC7:AG7"/>
  </mergeCells>
  <hyperlinks>
    <hyperlink ref="A1" location="Index!A1" display="Til index" xr:uid="{1DE99C00-C92D-4778-92BB-0ED170DFEE03}"/>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
    <tabColor rgb="FFFFC000"/>
    <pageSetUpPr fitToPage="1"/>
  </sheetPr>
  <dimension ref="A1:AZ1607"/>
  <sheetViews>
    <sheetView showGridLines="0" zoomScale="70" zoomScaleNormal="70" workbookViewId="0">
      <selection activeCell="G88" sqref="G88"/>
    </sheetView>
  </sheetViews>
  <sheetFormatPr defaultColWidth="9.140625" defaultRowHeight="12.75" x14ac:dyDescent="0.2"/>
  <cols>
    <col min="1" max="1" width="9.140625" style="32"/>
    <col min="2" max="2" width="55" style="32" customWidth="1"/>
    <col min="3" max="6" width="14.42578125" style="32" customWidth="1"/>
    <col min="7" max="7" width="17" style="32" customWidth="1"/>
    <col min="8" max="8" width="16.85546875" style="32" customWidth="1"/>
    <col min="9" max="34" width="14.42578125" style="32" customWidth="1"/>
    <col min="35" max="16384" width="9.140625" style="32"/>
  </cols>
  <sheetData>
    <row r="1" spans="1:52" s="963" customFormat="1" ht="58.5" customHeight="1" x14ac:dyDescent="0.35">
      <c r="C1" s="658"/>
      <c r="D1" s="658"/>
      <c r="E1" s="658"/>
    </row>
    <row r="2" spans="1:52" ht="21" x14ac:dyDescent="0.35">
      <c r="A2" s="1740" t="s">
        <v>4206</v>
      </c>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row>
    <row r="3" spans="1:52" ht="21" x14ac:dyDescent="0.35">
      <c r="A3" s="1740"/>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row>
    <row r="4" spans="1:52" ht="23.25" x14ac:dyDescent="0.35">
      <c r="A4" s="56" t="s">
        <v>75</v>
      </c>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row>
    <row r="5" spans="1:52" x14ac:dyDescent="0.2">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row>
    <row r="6" spans="1:52" x14ac:dyDescent="0.2">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row>
    <row r="7" spans="1:52" x14ac:dyDescent="0.2">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row>
    <row r="8" spans="1:52" x14ac:dyDescent="0.2">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row>
    <row r="9" spans="1:52" x14ac:dyDescent="0.2">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row>
    <row r="10" spans="1:52" x14ac:dyDescent="0.2">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row>
    <row r="11" spans="1:52" x14ac:dyDescent="0.2">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row>
    <row r="12" spans="1:52" x14ac:dyDescent="0.2">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row>
    <row r="13" spans="1:52" x14ac:dyDescent="0.2">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row>
    <row r="14" spans="1:52" x14ac:dyDescent="0.2">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row>
    <row r="15" spans="1:52" x14ac:dyDescent="0.2">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row>
    <row r="16" spans="1:52" x14ac:dyDescent="0.2">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row>
    <row r="17" spans="22:52" x14ac:dyDescent="0.2">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row>
    <row r="18" spans="22:52" x14ac:dyDescent="0.2">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row>
    <row r="19" spans="22:52" x14ac:dyDescent="0.2">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22:52" x14ac:dyDescent="0.2">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22:52" x14ac:dyDescent="0.2">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22:52" x14ac:dyDescent="0.2">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row>
    <row r="23" spans="22:52" x14ac:dyDescent="0.2">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row>
    <row r="24" spans="22:52" x14ac:dyDescent="0.2">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row>
    <row r="25" spans="22:52" x14ac:dyDescent="0.2">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row>
    <row r="26" spans="22:52" x14ac:dyDescent="0.2">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row>
    <row r="27" spans="22:52" x14ac:dyDescent="0.2">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row>
    <row r="28" spans="22:52" x14ac:dyDescent="0.2">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row>
    <row r="29" spans="22:52" x14ac:dyDescent="0.2">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row>
    <row r="30" spans="22:52" x14ac:dyDescent="0.2">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row>
    <row r="31" spans="22:52" x14ac:dyDescent="0.2">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row>
    <row r="32" spans="22:52" x14ac:dyDescent="0.2">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row>
    <row r="33" spans="1:52" x14ac:dyDescent="0.2">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row>
    <row r="34" spans="1:52" x14ac:dyDescent="0.2">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row>
    <row r="35" spans="1:52" x14ac:dyDescent="0.2">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row>
    <row r="36" spans="1:52" x14ac:dyDescent="0.2">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row>
    <row r="37" spans="1:52" x14ac:dyDescent="0.2">
      <c r="N37" s="59"/>
      <c r="Q37" s="59"/>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row>
    <row r="38" spans="1:52" x14ac:dyDescent="0.2">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row>
    <row r="39" spans="1:52" x14ac:dyDescent="0.2">
      <c r="Q39" s="59"/>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row>
    <row r="40" spans="1:52" x14ac:dyDescent="0.2">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row>
    <row r="41" spans="1:52" x14ac:dyDescent="0.2">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row>
    <row r="42" spans="1:52" x14ac:dyDescent="0.2">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row>
    <row r="43" spans="1:52" x14ac:dyDescent="0.2">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row>
    <row r="44" spans="1:52" x14ac:dyDescent="0.2">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row>
    <row r="45" spans="1:52" x14ac:dyDescent="0.2">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row>
    <row r="46" spans="1:52" x14ac:dyDescent="0.2">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row>
    <row r="47" spans="1:52" ht="33.75" customHeight="1" x14ac:dyDescent="0.2">
      <c r="A47" s="55"/>
      <c r="B47" s="57" t="s">
        <v>76</v>
      </c>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row>
    <row r="48" spans="1:52" x14ac:dyDescent="0.2">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row>
    <row r="49" spans="2:52" x14ac:dyDescent="0.2">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row>
    <row r="50" spans="2:52" x14ac:dyDescent="0.2">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row>
    <row r="51" spans="2:52" x14ac:dyDescent="0.2">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row>
    <row r="52" spans="2:52" x14ac:dyDescent="0.2">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row>
    <row r="53" spans="2:52" x14ac:dyDescent="0.2">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row>
    <row r="54" spans="2:52" x14ac:dyDescent="0.2">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row>
    <row r="55" spans="2:52" ht="13.5" thickBot="1" x14ac:dyDescent="0.2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row>
    <row r="56" spans="2:52" ht="15.75" thickBot="1" x14ac:dyDescent="0.3">
      <c r="B56" s="3246"/>
      <c r="C56" s="4043">
        <v>1990</v>
      </c>
      <c r="D56" s="3257">
        <v>2018</v>
      </c>
      <c r="E56" s="3258">
        <v>2020</v>
      </c>
      <c r="H56" s="59"/>
      <c r="I56" s="59"/>
      <c r="J56" s="59"/>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row>
    <row r="57" spans="2:52" ht="18.75" x14ac:dyDescent="0.35">
      <c r="B57" s="3259" t="s">
        <v>5156</v>
      </c>
      <c r="C57" s="4044">
        <f>'E1990'!$AC$83</f>
        <v>10.906291822600775</v>
      </c>
      <c r="D57" s="3247">
        <f>'E2018'!$AC$83</f>
        <v>43.089653627241752</v>
      </c>
      <c r="E57" s="3248">
        <f>'E2020'!$AC$83</f>
        <v>57.013004774168095</v>
      </c>
      <c r="H57" s="497"/>
      <c r="I57" s="497"/>
      <c r="J57" s="497"/>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row>
    <row r="58" spans="2:52" ht="19.5" thickBot="1" x14ac:dyDescent="0.4">
      <c r="B58" s="3260" t="s">
        <v>5157</v>
      </c>
      <c r="C58" s="4045">
        <f>'E1990'!$AC$84</f>
        <v>10.894308284822692</v>
      </c>
      <c r="D58" s="4046">
        <f>'E2018'!$AC$84</f>
        <v>36.546337886305722</v>
      </c>
      <c r="E58" s="4047">
        <f>'E2020'!$AC$84</f>
        <v>51.240020180791504</v>
      </c>
      <c r="H58" s="497"/>
      <c r="I58" s="497"/>
      <c r="J58" s="497"/>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row>
    <row r="59" spans="2:52" x14ac:dyDescent="0.2">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row>
    <row r="60" spans="2:52" x14ac:dyDescent="0.2">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row>
    <row r="61" spans="2:52" x14ac:dyDescent="0.2">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row>
    <row r="62" spans="2:52" x14ac:dyDescent="0.2">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row>
    <row r="63" spans="2:52" x14ac:dyDescent="0.2">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row>
    <row r="64" spans="2:52" x14ac:dyDescent="0.2">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row>
    <row r="65" spans="22:52" x14ac:dyDescent="0.2">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22:52" x14ac:dyDescent="0.2">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row>
    <row r="67" spans="22:52" x14ac:dyDescent="0.2">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row>
    <row r="68" spans="22:52" x14ac:dyDescent="0.2">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row>
    <row r="69" spans="22:52" x14ac:dyDescent="0.2">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row>
    <row r="70" spans="22:52" x14ac:dyDescent="0.2">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row>
    <row r="71" spans="22:52" x14ac:dyDescent="0.2">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row>
    <row r="72" spans="22:52" x14ac:dyDescent="0.2">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row>
    <row r="73" spans="22:52" x14ac:dyDescent="0.2">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row>
    <row r="74" spans="22:52" x14ac:dyDescent="0.2">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row>
    <row r="75" spans="22:52" x14ac:dyDescent="0.2">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row>
    <row r="76" spans="22:52" x14ac:dyDescent="0.2">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row>
    <row r="77" spans="22:52" x14ac:dyDescent="0.2">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row>
    <row r="78" spans="22:52" x14ac:dyDescent="0.2">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row>
    <row r="79" spans="22:52" x14ac:dyDescent="0.2">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row>
    <row r="80" spans="22:52" x14ac:dyDescent="0.2">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row>
    <row r="81" spans="1:52" x14ac:dyDescent="0.2">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ht="33.75" customHeight="1" x14ac:dyDescent="0.2">
      <c r="A86" s="55"/>
      <c r="B86" s="57" t="s">
        <v>77</v>
      </c>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
      <c r="G87" s="31"/>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
      <c r="G88" s="31"/>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
      <c r="G89" s="31"/>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
      <c r="G90" s="31"/>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
      <c r="G91" s="31"/>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
      <c r="G92" s="31"/>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
      <c r="G93" s="31"/>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
      <c r="G94" s="31"/>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
      <c r="G95" s="31"/>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
      <c r="B96" s="5005" t="s">
        <v>78</v>
      </c>
      <c r="C96" s="3264" t="s">
        <v>79</v>
      </c>
      <c r="D96" s="3264" t="s">
        <v>79</v>
      </c>
      <c r="E96" s="3264" t="s">
        <v>79</v>
      </c>
      <c r="F96" s="3264" t="s">
        <v>79</v>
      </c>
      <c r="I96" s="494"/>
      <c r="J96" s="494"/>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row>
    <row r="97" spans="1:50" x14ac:dyDescent="0.2">
      <c r="B97" s="5006"/>
      <c r="C97" s="70">
        <v>1990</v>
      </c>
      <c r="D97" s="70">
        <f>D56</f>
        <v>2018</v>
      </c>
      <c r="E97" s="70">
        <f>E56</f>
        <v>2020</v>
      </c>
      <c r="F97" s="3265" t="s">
        <v>11</v>
      </c>
      <c r="I97" s="59"/>
      <c r="J97" s="59"/>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row>
    <row r="98" spans="1:50" ht="12.75" customHeight="1" x14ac:dyDescent="0.2">
      <c r="A98" s="5011" t="s">
        <v>80</v>
      </c>
      <c r="B98" s="3261" t="s">
        <v>81</v>
      </c>
      <c r="C98" s="24">
        <f>'E1990'!$A$81*(1-'E1990'!$A$87%)</f>
        <v>47.766958828937327</v>
      </c>
      <c r="D98" s="24">
        <f>'E2018'!$A$81*(1-'E2018'!$A$87%)</f>
        <v>20.509487196079874</v>
      </c>
      <c r="E98" s="24">
        <f>'E2020'!$A$81*(1-'E2020'!$A$87%)</f>
        <v>11.624529854135787</v>
      </c>
      <c r="F98" s="24"/>
      <c r="I98" s="64"/>
      <c r="J98" s="64"/>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row>
    <row r="99" spans="1:50" ht="12.75" customHeight="1" x14ac:dyDescent="0.2">
      <c r="A99" s="5012"/>
      <c r="B99" s="3261" t="s">
        <v>82</v>
      </c>
      <c r="C99" s="24">
        <f>'E1990'!$C$81</f>
        <v>0</v>
      </c>
      <c r="D99" s="24">
        <f>'E2018'!$C$81</f>
        <v>0</v>
      </c>
      <c r="E99" s="24">
        <f>'E2020'!$C$81</f>
        <v>0</v>
      </c>
      <c r="F99" s="24"/>
      <c r="I99" s="64"/>
      <c r="J99" s="64"/>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row>
    <row r="100" spans="1:50" x14ac:dyDescent="0.2">
      <c r="A100" s="5012"/>
      <c r="B100" s="3261" t="s">
        <v>83</v>
      </c>
      <c r="C100" s="24">
        <f>'E1990'!$I$81+'E1990'!$B$81</f>
        <v>4.5725275630431774</v>
      </c>
      <c r="D100" s="24">
        <f>'E2018'!$I$81+'E2018'!$B$81</f>
        <v>0.89</v>
      </c>
      <c r="E100" s="24">
        <f>'E2020'!$I$81+'E2020'!$B$81</f>
        <v>0.81</v>
      </c>
      <c r="F100" s="24"/>
      <c r="I100" s="64"/>
      <c r="J100" s="64"/>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row>
    <row r="101" spans="1:50" x14ac:dyDescent="0.2">
      <c r="A101" s="5012"/>
      <c r="B101" s="3261" t="s">
        <v>84</v>
      </c>
      <c r="C101" s="24">
        <f>'E1990'!$D$81</f>
        <v>1.7412912428201921</v>
      </c>
      <c r="D101" s="24">
        <f>'E2018'!$D$81</f>
        <v>1E-3</v>
      </c>
      <c r="E101" s="24">
        <f>'E2020'!$D$81</f>
        <v>0.13</v>
      </c>
      <c r="F101" s="24"/>
      <c r="I101" s="64"/>
      <c r="J101" s="64"/>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row>
    <row r="102" spans="1:50" x14ac:dyDescent="0.2">
      <c r="A102" s="5012"/>
      <c r="B102" s="3261" t="s">
        <v>85</v>
      </c>
      <c r="C102" s="24">
        <f>'E1990'!$E$81+'E1990'!$F$81</f>
        <v>124.69948051415641</v>
      </c>
      <c r="D102" s="24">
        <f>'E2018'!$E$81+'E2018'!$F$81</f>
        <v>87.440770000000001</v>
      </c>
      <c r="E102" s="24">
        <f>'E2020'!$E$81+'E2020'!$F$81</f>
        <v>83.843319999999991</v>
      </c>
      <c r="F102" s="24"/>
      <c r="I102" s="64"/>
      <c r="J102" s="64"/>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row>
    <row r="103" spans="1:50" x14ac:dyDescent="0.2">
      <c r="A103" s="5012"/>
      <c r="B103" s="3261" t="s">
        <v>86</v>
      </c>
      <c r="C103" s="24">
        <f>'E1990'!$G$81</f>
        <v>14.101352457029225</v>
      </c>
      <c r="D103" s="24">
        <f>'E2018'!$G$81</f>
        <v>13.98</v>
      </c>
      <c r="E103" s="24">
        <f>'E2020'!$G$81</f>
        <v>4.95</v>
      </c>
      <c r="F103" s="24"/>
      <c r="I103" s="64"/>
      <c r="J103" s="64"/>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row>
    <row r="104" spans="1:50" x14ac:dyDescent="0.2">
      <c r="A104" s="5012"/>
      <c r="B104" s="3261" t="s">
        <v>87</v>
      </c>
      <c r="C104" s="24">
        <f>'E1990'!$H$81</f>
        <v>26.535706188153661</v>
      </c>
      <c r="D104" s="24">
        <f>'E2018'!$H$81</f>
        <v>18.910260000000001</v>
      </c>
      <c r="E104" s="24">
        <f>'E2020'!$H$81</f>
        <v>17.108059999999998</v>
      </c>
      <c r="F104" s="24"/>
      <c r="I104" s="64"/>
      <c r="J104" s="64"/>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row>
    <row r="105" spans="1:50" x14ac:dyDescent="0.2">
      <c r="A105" s="5013"/>
      <c r="B105" s="3261" t="s">
        <v>88</v>
      </c>
      <c r="C105" s="24">
        <f>'E1990'!$Z$81</f>
        <v>0</v>
      </c>
      <c r="D105" s="24">
        <f>'E2018'!$Z$81</f>
        <v>0</v>
      </c>
      <c r="E105" s="24">
        <f>'E2020'!$Z$81</f>
        <v>0</v>
      </c>
      <c r="F105" s="24"/>
      <c r="I105" s="64"/>
      <c r="J105" s="64"/>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row>
    <row r="106" spans="1:50" ht="12.75" customHeight="1" x14ac:dyDescent="0.2">
      <c r="A106" s="5011" t="s">
        <v>89</v>
      </c>
      <c r="B106" s="3261" t="s">
        <v>90</v>
      </c>
      <c r="C106" s="24">
        <f>'E1990'!$X$81+SUM('E1990'!$W$16:$W$25)</f>
        <v>0</v>
      </c>
      <c r="D106" s="24">
        <f>'E2018'!$X$81+SUM('E2018'!$W$13:$W$22)</f>
        <v>0</v>
      </c>
      <c r="E106" s="24">
        <f>'E2020'!$X$81+SUM('E2020'!$W$13:$W$22)</f>
        <v>0</v>
      </c>
      <c r="F106" s="24">
        <f>'E2020'!$X$83</f>
        <v>0</v>
      </c>
      <c r="I106" s="64"/>
      <c r="J106" s="64"/>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row>
    <row r="107" spans="1:50" x14ac:dyDescent="0.2">
      <c r="A107" s="5012"/>
      <c r="B107" s="3261" t="s">
        <v>91</v>
      </c>
      <c r="C107" s="24">
        <f>'E1990'!$S$81+'E1990'!$T$81+'E1990'!$U$81+'E1990'!$V$81</f>
        <v>24.96</v>
      </c>
      <c r="D107" s="24">
        <f>'E2018'!$S$81+'E2018'!$T$81+'E2018'!$U$81+'E2018'!$V$81</f>
        <v>70.261969999999991</v>
      </c>
      <c r="E107" s="24">
        <f>'E2020'!$S$81+'E2020'!$T$81+'E2020'!$U$81+'E2020'!$V$81</f>
        <v>112.97598000000001</v>
      </c>
      <c r="F107" s="24">
        <f>'E2020'!$S$83+'E2020'!$T$83+'E2020'!$U$83+'E2020'!$V$83</f>
        <v>161.65</v>
      </c>
      <c r="I107" s="64"/>
      <c r="J107" s="64"/>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row>
    <row r="108" spans="1:50" x14ac:dyDescent="0.2">
      <c r="A108" s="5012"/>
      <c r="B108" s="3261" t="s">
        <v>92</v>
      </c>
      <c r="C108" s="24">
        <f>'E1990'!$M$81</f>
        <v>1.7762934374999999</v>
      </c>
      <c r="D108" s="24">
        <f>'E2018'!$M$81</f>
        <v>0.5</v>
      </c>
      <c r="E108" s="24">
        <f>'E2020'!$M$81</f>
        <v>0.78</v>
      </c>
      <c r="F108" s="24">
        <f>'E2020'!$M$83</f>
        <v>0</v>
      </c>
      <c r="I108" s="64"/>
      <c r="J108" s="64"/>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row>
    <row r="109" spans="1:50" x14ac:dyDescent="0.2">
      <c r="A109" s="5012"/>
      <c r="B109" s="3261" t="s">
        <v>93</v>
      </c>
      <c r="C109" s="24">
        <f>'E1990'!$R$81+'E1990'!$Y$81+SUM('E1990'!$W$30:$W$69)</f>
        <v>0</v>
      </c>
      <c r="D109" s="24">
        <f>'E2018'!$R$81+'E2018'!$Y$81+SUM('E2018'!$W$27:$W$56)</f>
        <v>0</v>
      </c>
      <c r="E109" s="24">
        <f>'E2020'!$R$81+'E2020'!$Y$81+SUM('E2020'!$W$27:$W$56)</f>
        <v>0</v>
      </c>
      <c r="F109" s="24">
        <f>'E2020'!$R$83+'E2020'!$W$83+'E2020'!$Y$83</f>
        <v>17.62</v>
      </c>
      <c r="I109" s="33"/>
      <c r="J109" s="33"/>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row>
    <row r="110" spans="1:50" x14ac:dyDescent="0.2">
      <c r="A110" s="5012"/>
      <c r="B110" s="3261" t="s">
        <v>94</v>
      </c>
      <c r="C110" s="24">
        <f>'E1990'!$O$81</f>
        <v>9.0274497405664747E-2</v>
      </c>
      <c r="D110" s="24">
        <f>'E2018'!$O$81</f>
        <v>19.05</v>
      </c>
      <c r="E110" s="24">
        <f>'E2020'!$O$81</f>
        <v>27.1</v>
      </c>
      <c r="F110" s="24">
        <f>'E2020'!$O$83</f>
        <v>0</v>
      </c>
      <c r="I110" s="33"/>
      <c r="J110" s="33"/>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row>
    <row r="111" spans="1:50" x14ac:dyDescent="0.2">
      <c r="A111" s="5012"/>
      <c r="B111" s="3261" t="s">
        <v>95</v>
      </c>
      <c r="C111" s="24">
        <f>'E1990'!$N$81+'E1990'!$P$81+'E1990'!$Q$81</f>
        <v>0</v>
      </c>
      <c r="D111" s="24">
        <f>'E2018'!$N$81+'E2018'!$P$81+'E2018'!$Q$81</f>
        <v>1.1000000000000001</v>
      </c>
      <c r="E111" s="24">
        <f>'E2020'!$N$81+'E2020'!$P$81+'E2020'!$Q$81</f>
        <v>1.1200000000000001</v>
      </c>
      <c r="F111" s="24">
        <f>'E2020'!$N$83+'E2020'!$P$83+'E2020'!$Q$83</f>
        <v>0</v>
      </c>
      <c r="I111" s="33"/>
      <c r="J111" s="33"/>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row>
    <row r="112" spans="1:50" x14ac:dyDescent="0.2">
      <c r="A112" s="5013"/>
      <c r="B112" s="3261" t="s">
        <v>96</v>
      </c>
      <c r="C112" s="24">
        <f>'E1990'!$A$81*'E1990'!$A$87%</f>
        <v>0</v>
      </c>
      <c r="D112" s="24">
        <f>'E2018'!$A$81*'E2018'!$A$87%</f>
        <v>16.114597082634187</v>
      </c>
      <c r="E112" s="24">
        <f>'E2020'!$A$81*'E2020'!$A$87%</f>
        <v>16.638367919109502</v>
      </c>
      <c r="F112" s="24"/>
      <c r="I112" s="33"/>
      <c r="J112" s="33"/>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row>
    <row r="113" spans="2:52" ht="13.5" thickBot="1" x14ac:dyDescent="0.25">
      <c r="B113" s="3266" t="s">
        <v>97</v>
      </c>
      <c r="C113" s="3267">
        <f t="shared" ref="C113:F113" si="0">SUM(C98:C112)</f>
        <v>246.24388472904565</v>
      </c>
      <c r="D113" s="3267">
        <f t="shared" si="0"/>
        <v>248.75808427871408</v>
      </c>
      <c r="E113" s="3267">
        <f t="shared" si="0"/>
        <v>277.08025777324531</v>
      </c>
      <c r="F113" s="3267">
        <f t="shared" si="0"/>
        <v>179.27</v>
      </c>
      <c r="I113" s="310"/>
      <c r="J113" s="310"/>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row>
    <row r="114" spans="2:52" x14ac:dyDescent="0.2">
      <c r="B114" s="3262" t="s">
        <v>98</v>
      </c>
      <c r="C114" s="26">
        <f>SUM(C98:C105)</f>
        <v>219.41731679413999</v>
      </c>
      <c r="D114" s="26">
        <f>SUM(D98:D105)</f>
        <v>141.73151719607989</v>
      </c>
      <c r="E114" s="26">
        <f>SUM(E98:E105)</f>
        <v>118.46590985413577</v>
      </c>
      <c r="F114" s="3277" t="s">
        <v>2910</v>
      </c>
      <c r="H114" s="64"/>
      <c r="I114" s="33"/>
      <c r="J114" s="33"/>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row>
    <row r="115" spans="2:52" x14ac:dyDescent="0.2">
      <c r="B115" s="3263" t="s">
        <v>99</v>
      </c>
      <c r="C115" s="24">
        <f>SUM(C106:C112)</f>
        <v>26.826567934905668</v>
      </c>
      <c r="D115" s="24">
        <f>SUM(D106:D112)</f>
        <v>107.02656708263417</v>
      </c>
      <c r="E115" s="24">
        <f>SUM(E106:E112)</f>
        <v>158.61434791910952</v>
      </c>
      <c r="F115" s="3278" t="s">
        <v>2910</v>
      </c>
      <c r="H115" s="64"/>
      <c r="I115" s="33"/>
      <c r="J115" s="33"/>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row>
    <row r="116" spans="2:52" x14ac:dyDescent="0.2">
      <c r="C116" s="64"/>
      <c r="D116" s="64"/>
      <c r="E116" s="64"/>
      <c r="F116" s="64"/>
      <c r="H116" s="63"/>
      <c r="K116" s="12"/>
      <c r="L116" s="12"/>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row>
    <row r="117" spans="2:52" x14ac:dyDescent="0.2">
      <c r="C117" s="89"/>
      <c r="D117" s="89"/>
      <c r="E117" s="88"/>
      <c r="F117" s="88"/>
      <c r="G117" s="88"/>
      <c r="H117" s="88"/>
      <c r="I117" s="88"/>
      <c r="J117" s="88"/>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row>
    <row r="118" spans="2:52" x14ac:dyDescent="0.2">
      <c r="B118" s="82" t="s">
        <v>78</v>
      </c>
      <c r="C118" s="3250"/>
      <c r="D118" s="3250"/>
      <c r="E118" s="3250"/>
      <c r="F118" s="3250"/>
      <c r="G118" s="3250"/>
      <c r="H118" s="55"/>
      <c r="I118" s="3250"/>
      <c r="J118" s="3250"/>
      <c r="K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row>
    <row r="119" spans="2:52" x14ac:dyDescent="0.2">
      <c r="C119" s="88"/>
      <c r="D119" s="88"/>
      <c r="E119" s="88"/>
      <c r="F119" s="88"/>
      <c r="G119" s="88"/>
      <c r="H119" s="88"/>
      <c r="I119" s="88"/>
      <c r="J119" s="88"/>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row>
    <row r="120" spans="2:52" x14ac:dyDescent="0.2">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row>
    <row r="121" spans="2:52" x14ac:dyDescent="0.2">
      <c r="J121" s="12"/>
      <c r="K121" s="12"/>
      <c r="L121" s="12"/>
      <c r="M121" s="12"/>
      <c r="N121" s="12"/>
      <c r="O121" s="12"/>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row>
    <row r="122" spans="2:52" x14ac:dyDescent="0.2">
      <c r="J122" s="12"/>
      <c r="K122" s="12"/>
      <c r="L122" s="12"/>
      <c r="M122" s="12"/>
      <c r="N122" s="12"/>
      <c r="O122" s="12"/>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row>
    <row r="123" spans="2:52" x14ac:dyDescent="0.2">
      <c r="J123" s="12"/>
      <c r="K123" s="12"/>
      <c r="L123" s="12"/>
      <c r="M123" s="12"/>
      <c r="N123" s="12"/>
      <c r="O123" s="12"/>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row>
    <row r="124" spans="2:52" x14ac:dyDescent="0.2">
      <c r="J124" s="12"/>
      <c r="K124" s="12"/>
      <c r="L124" s="12"/>
      <c r="M124" s="12"/>
      <c r="N124" s="12"/>
      <c r="O124" s="12"/>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row>
    <row r="125" spans="2:52" x14ac:dyDescent="0.2">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row>
    <row r="126" spans="2:52" x14ac:dyDescent="0.2">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row>
    <row r="127" spans="2:52" x14ac:dyDescent="0.2">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row>
    <row r="128" spans="2:52" x14ac:dyDescent="0.2">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row>
    <row r="129" spans="22:52" x14ac:dyDescent="0.2">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row>
    <row r="130" spans="22:52" x14ac:dyDescent="0.2">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row>
    <row r="131" spans="22:52" x14ac:dyDescent="0.2">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row>
    <row r="132" spans="22:52" x14ac:dyDescent="0.2">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row>
    <row r="133" spans="22:52" x14ac:dyDescent="0.2">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row>
    <row r="134" spans="22:52" x14ac:dyDescent="0.2">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row>
    <row r="135" spans="22:52" x14ac:dyDescent="0.2">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row>
    <row r="136" spans="22:52" x14ac:dyDescent="0.2">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row>
    <row r="137" spans="22:52" x14ac:dyDescent="0.2">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row>
    <row r="138" spans="22:52" x14ac:dyDescent="0.2">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row>
    <row r="139" spans="22:52" x14ac:dyDescent="0.2">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row>
    <row r="140" spans="22:52" x14ac:dyDescent="0.2">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row>
    <row r="141" spans="22:52" x14ac:dyDescent="0.2">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row>
    <row r="142" spans="22:52" x14ac:dyDescent="0.2">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row>
    <row r="143" spans="22:52" x14ac:dyDescent="0.2">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row>
    <row r="144" spans="22:52" x14ac:dyDescent="0.2">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row>
    <row r="145" spans="2:52" x14ac:dyDescent="0.2">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row>
    <row r="146" spans="2:52" x14ac:dyDescent="0.2">
      <c r="B146" s="5005" t="s">
        <v>498</v>
      </c>
      <c r="C146" s="3264" t="s">
        <v>79</v>
      </c>
      <c r="D146" s="3264" t="s">
        <v>79</v>
      </c>
      <c r="E146" s="3264" t="s">
        <v>79</v>
      </c>
      <c r="H146" s="494"/>
      <c r="I146" s="494"/>
      <c r="J146" s="494"/>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row>
    <row r="147" spans="2:52" x14ac:dyDescent="0.2">
      <c r="B147" s="5006"/>
      <c r="C147" s="70">
        <f>C97</f>
        <v>1990</v>
      </c>
      <c r="D147" s="70">
        <f>D97</f>
        <v>2018</v>
      </c>
      <c r="E147" s="70">
        <f>E97</f>
        <v>2020</v>
      </c>
      <c r="H147" s="59"/>
      <c r="I147" s="59"/>
      <c r="J147" s="59"/>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row>
    <row r="148" spans="2:52" x14ac:dyDescent="0.2">
      <c r="B148" s="3268" t="s">
        <v>10</v>
      </c>
      <c r="C148" s="1">
        <f>C98+C112</f>
        <v>47.766958828937327</v>
      </c>
      <c r="D148" s="1">
        <f>D98+D112</f>
        <v>36.624084278714065</v>
      </c>
      <c r="E148" s="1">
        <f>E98+E112</f>
        <v>28.262897773245289</v>
      </c>
      <c r="H148" s="427"/>
      <c r="I148" s="427"/>
      <c r="J148" s="427"/>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row>
    <row r="149" spans="2:52" x14ac:dyDescent="0.2">
      <c r="B149" s="3268" t="s">
        <v>82</v>
      </c>
      <c r="C149" s="1">
        <f>C99</f>
        <v>0</v>
      </c>
      <c r="D149" s="1">
        <f>D99</f>
        <v>0</v>
      </c>
      <c r="E149" s="1">
        <f>E99</f>
        <v>0</v>
      </c>
      <c r="H149" s="427"/>
      <c r="I149" s="427"/>
      <c r="J149" s="427"/>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row>
    <row r="150" spans="2:52" x14ac:dyDescent="0.2">
      <c r="B150" s="3268" t="s">
        <v>494</v>
      </c>
      <c r="C150" s="1">
        <f>C100+C101+C102+C103+C104</f>
        <v>171.65035796520266</v>
      </c>
      <c r="D150" s="1">
        <f>D100+D101+D102+D103+D104</f>
        <v>121.22203000000002</v>
      </c>
      <c r="E150" s="1">
        <f>E100+E101+E102+E103+E104</f>
        <v>106.84137999999999</v>
      </c>
      <c r="H150" s="427"/>
      <c r="I150" s="427"/>
      <c r="J150" s="427"/>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row>
    <row r="151" spans="2:52" x14ac:dyDescent="0.2">
      <c r="B151" s="3268" t="s">
        <v>88</v>
      </c>
      <c r="C151" s="1">
        <f>C105</f>
        <v>0</v>
      </c>
      <c r="D151" s="1">
        <f t="shared" ref="D151" si="1">D105</f>
        <v>0</v>
      </c>
      <c r="E151" s="1">
        <f t="shared" ref="E151:E152" si="2">E105</f>
        <v>0</v>
      </c>
      <c r="H151" s="427"/>
      <c r="I151" s="427"/>
      <c r="J151" s="427"/>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row>
    <row r="152" spans="2:52" x14ac:dyDescent="0.2">
      <c r="B152" s="3268" t="s">
        <v>90</v>
      </c>
      <c r="C152" s="1">
        <f>C106</f>
        <v>0</v>
      </c>
      <c r="D152" s="1">
        <f t="shared" ref="D152" si="3">D106</f>
        <v>0</v>
      </c>
      <c r="E152" s="1">
        <f t="shared" si="2"/>
        <v>0</v>
      </c>
      <c r="H152" s="427"/>
      <c r="I152" s="427"/>
      <c r="J152" s="427"/>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row>
    <row r="153" spans="2:52" x14ac:dyDescent="0.2">
      <c r="B153" s="3268" t="s">
        <v>495</v>
      </c>
      <c r="C153" s="1">
        <f>C108+C109+C110+C111</f>
        <v>1.8665679349056647</v>
      </c>
      <c r="D153" s="1">
        <f>D108+D109+D110+D111</f>
        <v>20.650000000000002</v>
      </c>
      <c r="E153" s="1">
        <f>E108+E109+E110+E111</f>
        <v>29.000000000000004</v>
      </c>
      <c r="H153" s="427"/>
      <c r="I153" s="427"/>
      <c r="J153" s="427"/>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row>
    <row r="154" spans="2:52" x14ac:dyDescent="0.2">
      <c r="B154" s="3268" t="s">
        <v>91</v>
      </c>
      <c r="C154" s="1">
        <f>C107</f>
        <v>24.96</v>
      </c>
      <c r="D154" s="1">
        <f>D107</f>
        <v>70.261969999999991</v>
      </c>
      <c r="E154" s="1">
        <f>E107</f>
        <v>112.97598000000001</v>
      </c>
      <c r="H154" s="427"/>
      <c r="I154" s="427"/>
      <c r="J154" s="427"/>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row>
    <row r="155" spans="2:52" x14ac:dyDescent="0.2">
      <c r="B155" s="3269" t="s">
        <v>97</v>
      </c>
      <c r="C155" s="3270">
        <f>SUM(C148:C154)</f>
        <v>246.24388472904567</v>
      </c>
      <c r="D155" s="3270">
        <f>SUM(D148:D154)</f>
        <v>248.75808427871408</v>
      </c>
      <c r="E155" s="3270">
        <f>SUM(E148:E154)</f>
        <v>277.08025777324531</v>
      </c>
      <c r="H155" s="280"/>
      <c r="I155" s="280"/>
      <c r="J155" s="280"/>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row>
    <row r="156" spans="2:52" x14ac:dyDescent="0.2">
      <c r="B156" s="279"/>
      <c r="C156" s="280"/>
      <c r="D156" s="280"/>
      <c r="E156" s="280"/>
      <c r="F156" s="280"/>
      <c r="G156" s="280"/>
      <c r="H156" s="280"/>
      <c r="I156" s="280"/>
      <c r="J156" s="280"/>
      <c r="K156" s="280"/>
      <c r="L156" s="280"/>
      <c r="M156" s="280"/>
      <c r="N156" s="280"/>
      <c r="O156" s="280"/>
      <c r="P156" s="280"/>
      <c r="Q156" s="280"/>
      <c r="R156" s="280"/>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row>
    <row r="157" spans="2:52" x14ac:dyDescent="0.2">
      <c r="B157" s="82" t="s">
        <v>505</v>
      </c>
      <c r="C157" s="3251"/>
      <c r="D157" s="3251"/>
      <c r="E157" s="3251"/>
      <c r="F157" s="3251"/>
      <c r="G157" s="3251"/>
      <c r="H157" s="3251"/>
      <c r="I157" s="3251"/>
      <c r="J157" s="3251"/>
      <c r="K157" s="3251"/>
      <c r="L157" s="280"/>
      <c r="M157" s="280"/>
      <c r="N157" s="280"/>
      <c r="O157" s="280"/>
      <c r="P157" s="280"/>
      <c r="Q157" s="280"/>
      <c r="R157" s="280"/>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row>
    <row r="158" spans="2:52" x14ac:dyDescent="0.2">
      <c r="B158" s="279"/>
      <c r="C158" s="280"/>
      <c r="D158" s="280"/>
      <c r="E158" s="280"/>
      <c r="F158" s="280"/>
      <c r="G158" s="280"/>
      <c r="H158" s="280"/>
      <c r="I158" s="280"/>
      <c r="J158" s="280"/>
      <c r="K158" s="280"/>
      <c r="L158" s="280"/>
      <c r="M158" s="280"/>
      <c r="N158" s="280"/>
      <c r="O158" s="280"/>
      <c r="P158" s="280"/>
      <c r="Q158" s="280"/>
      <c r="R158" s="280"/>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row>
    <row r="159" spans="2:52" x14ac:dyDescent="0.2">
      <c r="B159" s="279"/>
      <c r="C159" s="280"/>
      <c r="D159" s="280"/>
      <c r="E159" s="280"/>
      <c r="F159" s="280"/>
      <c r="G159" s="280"/>
      <c r="H159" s="280"/>
      <c r="I159" s="280"/>
      <c r="J159" s="280"/>
      <c r="K159" s="280"/>
      <c r="L159" s="280"/>
      <c r="M159" s="280"/>
      <c r="N159" s="280"/>
      <c r="O159" s="280"/>
      <c r="P159" s="280"/>
      <c r="Q159" s="280"/>
      <c r="R159" s="280"/>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row>
    <row r="160" spans="2:52" x14ac:dyDescent="0.2">
      <c r="B160" s="279"/>
      <c r="C160" s="280"/>
      <c r="D160" s="280"/>
      <c r="E160" s="280"/>
      <c r="F160" s="280"/>
      <c r="G160" s="280"/>
      <c r="H160" s="280"/>
      <c r="I160" s="280"/>
      <c r="J160" s="280"/>
      <c r="K160" s="280"/>
      <c r="L160" s="280"/>
      <c r="M160" s="280"/>
      <c r="N160" s="280"/>
      <c r="O160" s="280"/>
      <c r="P160" s="280"/>
      <c r="Q160" s="280"/>
      <c r="R160" s="280"/>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row>
    <row r="161" spans="2:52" x14ac:dyDescent="0.2">
      <c r="B161" s="279"/>
      <c r="C161" s="280"/>
      <c r="D161" s="280"/>
      <c r="E161" s="280"/>
      <c r="F161" s="280"/>
      <c r="G161" s="280"/>
      <c r="H161" s="280"/>
      <c r="I161" s="280"/>
      <c r="J161" s="280"/>
      <c r="K161" s="280"/>
      <c r="L161" s="280"/>
      <c r="M161" s="280"/>
      <c r="N161" s="280"/>
      <c r="O161" s="280"/>
      <c r="P161" s="280"/>
      <c r="Q161" s="280"/>
      <c r="R161" s="280"/>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row>
    <row r="162" spans="2:52" x14ac:dyDescent="0.2">
      <c r="B162" s="279"/>
      <c r="C162" s="280"/>
      <c r="D162" s="280"/>
      <c r="E162" s="280"/>
      <c r="F162" s="280"/>
      <c r="G162" s="280"/>
      <c r="H162" s="280"/>
      <c r="I162" s="280"/>
      <c r="J162" s="280"/>
      <c r="K162" s="280"/>
      <c r="L162" s="280"/>
      <c r="M162" s="280"/>
      <c r="N162" s="280"/>
      <c r="O162" s="280"/>
      <c r="P162" s="280"/>
      <c r="Q162" s="280"/>
      <c r="R162" s="280"/>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row>
    <row r="163" spans="2:52" x14ac:dyDescent="0.2">
      <c r="B163" s="279"/>
      <c r="C163" s="280"/>
      <c r="D163" s="280"/>
      <c r="E163" s="280"/>
      <c r="F163" s="280"/>
      <c r="G163" s="280"/>
      <c r="H163" s="280"/>
      <c r="I163" s="280"/>
      <c r="J163" s="280"/>
      <c r="K163" s="280"/>
      <c r="L163" s="280"/>
      <c r="M163" s="280"/>
      <c r="N163" s="280"/>
      <c r="O163" s="280"/>
      <c r="P163" s="280"/>
      <c r="Q163" s="280"/>
      <c r="R163" s="280"/>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row>
    <row r="164" spans="2:52" x14ac:dyDescent="0.2">
      <c r="B164" s="279"/>
      <c r="C164" s="280"/>
      <c r="D164" s="280"/>
      <c r="E164" s="280"/>
      <c r="F164" s="280"/>
      <c r="G164" s="280"/>
      <c r="H164" s="280"/>
      <c r="I164" s="280"/>
      <c r="J164" s="280"/>
      <c r="K164" s="280"/>
      <c r="L164" s="280"/>
      <c r="M164" s="280"/>
      <c r="N164" s="280"/>
      <c r="O164" s="280"/>
      <c r="P164" s="280"/>
      <c r="Q164" s="280"/>
      <c r="R164" s="280"/>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row>
    <row r="165" spans="2:52" x14ac:dyDescent="0.2">
      <c r="B165" s="279"/>
      <c r="C165" s="280"/>
      <c r="D165" s="280"/>
      <c r="E165" s="280"/>
      <c r="F165" s="280"/>
      <c r="G165" s="280"/>
      <c r="H165" s="280"/>
      <c r="I165" s="280"/>
      <c r="J165" s="280"/>
      <c r="K165" s="280"/>
      <c r="L165" s="280"/>
      <c r="M165" s="280"/>
      <c r="N165" s="280"/>
      <c r="O165" s="280"/>
      <c r="P165" s="280"/>
      <c r="Q165" s="280"/>
      <c r="R165" s="280"/>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row>
    <row r="166" spans="2:52" x14ac:dyDescent="0.2">
      <c r="B166" s="279"/>
      <c r="C166" s="280"/>
      <c r="D166" s="280"/>
      <c r="E166" s="280"/>
      <c r="F166" s="280"/>
      <c r="G166" s="280"/>
      <c r="H166" s="280"/>
      <c r="I166" s="280"/>
      <c r="J166" s="280"/>
      <c r="K166" s="280"/>
      <c r="L166" s="280"/>
      <c r="M166" s="280"/>
      <c r="N166" s="280"/>
      <c r="O166" s="280"/>
      <c r="P166" s="280"/>
      <c r="Q166" s="280"/>
      <c r="R166" s="280"/>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row>
    <row r="167" spans="2:52" x14ac:dyDescent="0.2">
      <c r="B167" s="279"/>
      <c r="C167" s="280"/>
      <c r="D167" s="280"/>
      <c r="E167" s="280"/>
      <c r="F167" s="280"/>
      <c r="G167" s="280"/>
      <c r="H167" s="280"/>
      <c r="I167" s="280"/>
      <c r="J167" s="280"/>
      <c r="K167" s="280"/>
      <c r="L167" s="280"/>
      <c r="M167" s="280"/>
      <c r="N167" s="280"/>
      <c r="O167" s="280"/>
      <c r="P167" s="280"/>
      <c r="Q167" s="280"/>
      <c r="R167" s="280"/>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row>
    <row r="168" spans="2:52" x14ac:dyDescent="0.2">
      <c r="B168" s="279"/>
      <c r="C168" s="280"/>
      <c r="D168" s="280"/>
      <c r="E168" s="280"/>
      <c r="F168" s="280"/>
      <c r="G168" s="280"/>
      <c r="H168" s="280"/>
      <c r="I168" s="280"/>
      <c r="J168" s="280"/>
      <c r="K168" s="280"/>
      <c r="L168" s="280"/>
      <c r="M168" s="280"/>
      <c r="N168" s="280"/>
      <c r="O168" s="280"/>
      <c r="P168" s="280"/>
      <c r="Q168" s="280"/>
      <c r="R168" s="280"/>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row>
    <row r="169" spans="2:52" x14ac:dyDescent="0.2">
      <c r="B169" s="279"/>
      <c r="C169" s="280"/>
      <c r="D169" s="280"/>
      <c r="E169" s="280"/>
      <c r="F169" s="280"/>
      <c r="G169" s="280"/>
      <c r="H169" s="280"/>
      <c r="I169" s="280"/>
      <c r="J169" s="280"/>
      <c r="K169" s="280"/>
      <c r="L169" s="280"/>
      <c r="M169" s="280"/>
      <c r="N169" s="280"/>
      <c r="O169" s="280"/>
      <c r="P169" s="280"/>
      <c r="Q169" s="280"/>
      <c r="R169" s="280"/>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row>
    <row r="170" spans="2:52" x14ac:dyDescent="0.2">
      <c r="B170" s="279"/>
      <c r="C170" s="280"/>
      <c r="D170" s="280"/>
      <c r="E170" s="280"/>
      <c r="F170" s="280"/>
      <c r="G170" s="280"/>
      <c r="H170" s="280"/>
      <c r="I170" s="280"/>
      <c r="J170" s="280"/>
      <c r="K170" s="280"/>
      <c r="L170" s="280"/>
      <c r="M170" s="280"/>
      <c r="N170" s="280"/>
      <c r="O170" s="280"/>
      <c r="P170" s="280"/>
      <c r="Q170" s="280"/>
      <c r="R170" s="280"/>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row>
    <row r="171" spans="2:52" x14ac:dyDescent="0.2">
      <c r="B171" s="279"/>
      <c r="C171" s="280"/>
      <c r="D171" s="280"/>
      <c r="E171" s="280"/>
      <c r="F171" s="280"/>
      <c r="G171" s="280"/>
      <c r="H171" s="280"/>
      <c r="I171" s="280"/>
      <c r="J171" s="280"/>
      <c r="K171" s="280"/>
      <c r="L171" s="280"/>
      <c r="M171" s="280"/>
      <c r="N171" s="280"/>
      <c r="O171" s="280"/>
      <c r="P171" s="280"/>
      <c r="Q171" s="280"/>
      <c r="R171" s="280"/>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row>
    <row r="172" spans="2:52" x14ac:dyDescent="0.2">
      <c r="B172" s="279"/>
      <c r="C172" s="280"/>
      <c r="D172" s="280"/>
      <c r="E172" s="280"/>
      <c r="F172" s="280"/>
      <c r="G172" s="280"/>
      <c r="H172" s="280"/>
      <c r="I172" s="280"/>
      <c r="J172" s="280"/>
      <c r="K172" s="280"/>
      <c r="L172" s="280"/>
      <c r="M172" s="280"/>
      <c r="N172" s="280"/>
      <c r="O172" s="280"/>
      <c r="P172" s="280"/>
      <c r="Q172" s="280"/>
      <c r="R172" s="280"/>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row>
    <row r="173" spans="2:52" x14ac:dyDescent="0.2">
      <c r="B173" s="279"/>
      <c r="C173" s="280"/>
      <c r="D173" s="280"/>
      <c r="E173" s="280"/>
      <c r="F173" s="280"/>
      <c r="G173" s="280"/>
      <c r="H173" s="280"/>
      <c r="I173" s="280"/>
      <c r="J173" s="280"/>
      <c r="K173" s="280"/>
      <c r="L173" s="280"/>
      <c r="M173" s="280"/>
      <c r="N173" s="280"/>
      <c r="O173" s="280"/>
      <c r="P173" s="280"/>
      <c r="Q173" s="280"/>
      <c r="R173" s="280"/>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row>
    <row r="174" spans="2:52" x14ac:dyDescent="0.2">
      <c r="B174" s="279"/>
      <c r="C174" s="280"/>
      <c r="D174" s="280"/>
      <c r="E174" s="280"/>
      <c r="F174" s="280"/>
      <c r="G174" s="280"/>
      <c r="H174" s="280"/>
      <c r="I174" s="280"/>
      <c r="J174" s="280"/>
      <c r="K174" s="280"/>
      <c r="L174" s="280"/>
      <c r="M174" s="280"/>
      <c r="N174" s="280"/>
      <c r="O174" s="280"/>
      <c r="P174" s="280"/>
      <c r="Q174" s="280"/>
      <c r="R174" s="280"/>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row>
    <row r="175" spans="2:52" x14ac:dyDescent="0.2">
      <c r="B175" s="279"/>
      <c r="C175" s="280"/>
      <c r="D175" s="280"/>
      <c r="E175" s="280"/>
      <c r="F175" s="280"/>
      <c r="G175" s="280"/>
      <c r="H175" s="280"/>
      <c r="I175" s="280"/>
      <c r="J175" s="280"/>
      <c r="K175" s="280"/>
      <c r="L175" s="280"/>
      <c r="M175" s="280"/>
      <c r="N175" s="280"/>
      <c r="O175" s="280"/>
      <c r="P175" s="280"/>
      <c r="Q175" s="280"/>
      <c r="R175" s="280"/>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row>
    <row r="176" spans="2:52" x14ac:dyDescent="0.2">
      <c r="B176" s="279"/>
      <c r="C176" s="280"/>
      <c r="D176" s="280"/>
      <c r="E176" s="280"/>
      <c r="F176" s="280"/>
      <c r="G176" s="280"/>
      <c r="H176" s="280"/>
      <c r="I176" s="280"/>
      <c r="J176" s="280"/>
      <c r="K176" s="280"/>
      <c r="L176" s="280"/>
      <c r="M176" s="280"/>
      <c r="N176" s="280"/>
      <c r="O176" s="280"/>
      <c r="P176" s="280"/>
      <c r="Q176" s="280"/>
      <c r="R176" s="280"/>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row>
    <row r="177" spans="2:52" x14ac:dyDescent="0.2">
      <c r="B177" s="279"/>
      <c r="C177" s="280"/>
      <c r="D177" s="280"/>
      <c r="E177" s="280"/>
      <c r="F177" s="280"/>
      <c r="G177" s="280"/>
      <c r="H177" s="280"/>
      <c r="I177" s="280"/>
      <c r="J177" s="280"/>
      <c r="K177" s="280"/>
      <c r="L177" s="280"/>
      <c r="M177" s="280"/>
      <c r="N177" s="280"/>
      <c r="O177" s="280"/>
      <c r="P177" s="280"/>
      <c r="Q177" s="280"/>
      <c r="R177" s="280"/>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row>
    <row r="178" spans="2:52" x14ac:dyDescent="0.2">
      <c r="B178" s="279"/>
      <c r="C178" s="280"/>
      <c r="D178" s="280"/>
      <c r="E178" s="280"/>
      <c r="F178" s="280"/>
      <c r="G178" s="280"/>
      <c r="H178" s="280"/>
      <c r="I178" s="280"/>
      <c r="J178" s="280"/>
      <c r="K178" s="280"/>
      <c r="L178" s="280"/>
      <c r="M178" s="280"/>
      <c r="N178" s="280"/>
      <c r="O178" s="280"/>
      <c r="P178" s="280"/>
      <c r="Q178" s="280"/>
      <c r="R178" s="280"/>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row>
    <row r="179" spans="2:52" x14ac:dyDescent="0.2">
      <c r="B179" s="279"/>
      <c r="C179" s="280"/>
      <c r="D179" s="280"/>
      <c r="E179" s="280"/>
      <c r="F179" s="280"/>
      <c r="G179" s="280"/>
      <c r="H179" s="280"/>
      <c r="I179" s="280"/>
      <c r="J179" s="280"/>
      <c r="K179" s="280"/>
      <c r="L179" s="280"/>
      <c r="M179" s="280"/>
      <c r="N179" s="280"/>
      <c r="O179" s="280"/>
      <c r="P179" s="280"/>
      <c r="Q179" s="280"/>
      <c r="R179" s="280"/>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row>
    <row r="180" spans="2:52" x14ac:dyDescent="0.2">
      <c r="B180" s="279"/>
      <c r="C180" s="280"/>
      <c r="D180" s="280"/>
      <c r="E180" s="280"/>
      <c r="F180" s="280"/>
      <c r="G180" s="280"/>
      <c r="H180" s="280"/>
      <c r="I180" s="280"/>
      <c r="J180" s="280"/>
      <c r="K180" s="280"/>
      <c r="L180" s="280"/>
      <c r="M180" s="280"/>
      <c r="N180" s="280"/>
      <c r="O180" s="280"/>
      <c r="P180" s="280"/>
      <c r="Q180" s="280"/>
      <c r="R180" s="280"/>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row>
    <row r="181" spans="2:52" x14ac:dyDescent="0.2">
      <c r="B181" s="279"/>
      <c r="C181" s="280"/>
      <c r="D181" s="280"/>
      <c r="E181" s="280"/>
      <c r="F181" s="280"/>
      <c r="G181" s="280"/>
      <c r="H181" s="280"/>
      <c r="I181" s="280"/>
      <c r="J181" s="280"/>
      <c r="K181" s="280"/>
      <c r="L181" s="280"/>
      <c r="M181" s="280"/>
      <c r="N181" s="280"/>
      <c r="O181" s="280"/>
      <c r="P181" s="280"/>
      <c r="Q181" s="280"/>
      <c r="R181" s="280"/>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row>
    <row r="182" spans="2:52" x14ac:dyDescent="0.2">
      <c r="J182" s="12"/>
      <c r="K182" s="12"/>
      <c r="L182" s="12"/>
      <c r="M182" s="12"/>
      <c r="N182" s="12"/>
      <c r="O182" s="12"/>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row>
    <row r="183" spans="2:52" x14ac:dyDescent="0.2">
      <c r="J183" s="12"/>
      <c r="K183" s="12"/>
      <c r="L183" s="12"/>
      <c r="M183" s="12"/>
      <c r="N183" s="12"/>
      <c r="O183" s="12"/>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row>
    <row r="184" spans="2:52" x14ac:dyDescent="0.2">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row>
    <row r="185" spans="2:52" x14ac:dyDescent="0.2">
      <c r="B185" s="5005" t="s">
        <v>496</v>
      </c>
      <c r="C185" s="3264" t="s">
        <v>497</v>
      </c>
      <c r="D185" s="3264" t="s">
        <v>497</v>
      </c>
      <c r="E185" s="4042" t="s">
        <v>497</v>
      </c>
      <c r="H185" s="494"/>
      <c r="I185" s="494"/>
      <c r="J185" s="494"/>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row>
    <row r="186" spans="2:52" x14ac:dyDescent="0.2">
      <c r="B186" s="5006"/>
      <c r="C186" s="70">
        <f>C147</f>
        <v>1990</v>
      </c>
      <c r="D186" s="70">
        <f>D147</f>
        <v>2018</v>
      </c>
      <c r="E186" s="70">
        <f>E147</f>
        <v>2020</v>
      </c>
      <c r="H186" s="59"/>
      <c r="I186" s="59"/>
      <c r="J186" s="59"/>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row>
    <row r="187" spans="2:52" x14ac:dyDescent="0.2">
      <c r="B187" s="3268" t="s">
        <v>10</v>
      </c>
      <c r="C187" s="1">
        <f>C148/'E1990'!$D$1*1000</f>
        <v>19.015509087952758</v>
      </c>
      <c r="D187" s="1">
        <f>E148/'E2018'!$D$1*1000</f>
        <v>15.640784600578467</v>
      </c>
      <c r="E187" s="1">
        <f>E148/'E2020'!$D$1*1000</f>
        <v>15.824690802488963</v>
      </c>
      <c r="H187" s="427"/>
      <c r="I187" s="427"/>
      <c r="J187" s="427"/>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row>
    <row r="188" spans="2:52" x14ac:dyDescent="0.2">
      <c r="B188" s="3268" t="s">
        <v>82</v>
      </c>
      <c r="C188" s="1">
        <f>C149/'E1990'!$D$1*1000</f>
        <v>0</v>
      </c>
      <c r="D188" s="1">
        <f>E149/'E2018'!$D$1*1000</f>
        <v>0</v>
      </c>
      <c r="E188" s="1">
        <f>E149/'E2020'!$D$1*1000</f>
        <v>0</v>
      </c>
      <c r="H188" s="427"/>
      <c r="I188" s="427"/>
      <c r="J188" s="427"/>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row>
    <row r="189" spans="2:52" x14ac:dyDescent="0.2">
      <c r="B189" s="3268" t="s">
        <v>494</v>
      </c>
      <c r="C189" s="1">
        <f>C150/'E1990'!$D$1*1000</f>
        <v>68.332148871497864</v>
      </c>
      <c r="D189" s="1">
        <f>E150/'E2018'!$D$1*1000</f>
        <v>59.126386275594903</v>
      </c>
      <c r="E189" s="1">
        <f>E150/'E2020'!$D$1*1000</f>
        <v>59.821601343784991</v>
      </c>
      <c r="H189" s="427"/>
      <c r="I189" s="427"/>
      <c r="J189" s="427"/>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row>
    <row r="190" spans="2:52" x14ac:dyDescent="0.2">
      <c r="B190" s="3268" t="s">
        <v>88</v>
      </c>
      <c r="C190" s="1">
        <f>C151/'E1990'!$D$1*1000</f>
        <v>0</v>
      </c>
      <c r="D190" s="1">
        <f>E151/'E2018'!$D$1*1000</f>
        <v>0</v>
      </c>
      <c r="E190" s="1">
        <f>E151/'E2020'!$D$1*1000</f>
        <v>0</v>
      </c>
      <c r="H190" s="427"/>
      <c r="I190" s="427"/>
      <c r="J190" s="427"/>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row>
    <row r="191" spans="2:52" x14ac:dyDescent="0.2">
      <c r="B191" s="3268" t="s">
        <v>90</v>
      </c>
      <c r="C191" s="1">
        <f>C152/'E1990'!$D$1*1000</f>
        <v>0</v>
      </c>
      <c r="D191" s="1">
        <f>E152/'E2018'!$D$1*1000</f>
        <v>0</v>
      </c>
      <c r="E191" s="1">
        <f>E152/'E2020'!$D$1*1000</f>
        <v>0</v>
      </c>
      <c r="H191" s="427"/>
      <c r="I191" s="427"/>
      <c r="J191" s="427"/>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row>
    <row r="192" spans="2:52" x14ac:dyDescent="0.2">
      <c r="B192" s="3268" t="s">
        <v>495</v>
      </c>
      <c r="C192" s="1">
        <f>C153/'E1990'!$D$1*1000</f>
        <v>0.74306048364079014</v>
      </c>
      <c r="D192" s="1">
        <f>E153/'E2018'!$D$1*1000</f>
        <v>16.048699501936916</v>
      </c>
      <c r="E192" s="1">
        <f>E153/'E2020'!$D$1*1000</f>
        <v>16.237402015677493</v>
      </c>
      <c r="H192" s="427"/>
      <c r="I192" s="427"/>
      <c r="J192" s="427"/>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row>
    <row r="193" spans="2:52" x14ac:dyDescent="0.2">
      <c r="B193" s="3268" t="s">
        <v>91</v>
      </c>
      <c r="C193" s="1">
        <f>C154/'E1990'!$D$1*1000</f>
        <v>9.936305732484076</v>
      </c>
      <c r="D193" s="1">
        <f>E154/'E2018'!$D$1*1000</f>
        <v>62.521294964028776</v>
      </c>
      <c r="E193" s="1">
        <f>E154/'E2020'!$D$1*1000</f>
        <v>63.256427771556559</v>
      </c>
      <c r="H193" s="427"/>
      <c r="I193" s="427"/>
      <c r="J193" s="427"/>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row>
    <row r="194" spans="2:52" x14ac:dyDescent="0.2">
      <c r="B194" s="3269" t="s">
        <v>97</v>
      </c>
      <c r="C194" s="3270">
        <f>SUM(C187:C193)</f>
        <v>98.027024175575491</v>
      </c>
      <c r="D194" s="3270">
        <f>SUM(D187:D193)</f>
        <v>153.33716534213906</v>
      </c>
      <c r="E194" s="3270">
        <f>SUM(E187:E193)</f>
        <v>155.140121933508</v>
      </c>
      <c r="H194" s="280"/>
      <c r="I194" s="280"/>
      <c r="J194" s="280"/>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row>
    <row r="195" spans="2:52" x14ac:dyDescent="0.2">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row>
    <row r="196" spans="2:52" x14ac:dyDescent="0.2">
      <c r="B196" s="82" t="s">
        <v>506</v>
      </c>
      <c r="C196" s="55"/>
      <c r="D196" s="55"/>
      <c r="E196" s="55"/>
      <c r="F196" s="55"/>
      <c r="G196" s="55"/>
      <c r="H196" s="55"/>
      <c r="I196" s="55"/>
      <c r="J196" s="55"/>
      <c r="K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row>
    <row r="197" spans="2:52" x14ac:dyDescent="0.2">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row>
    <row r="198" spans="2:52" x14ac:dyDescent="0.2">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row>
    <row r="199" spans="2:52" x14ac:dyDescent="0.2">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row>
    <row r="200" spans="2:52" x14ac:dyDescent="0.2">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row>
    <row r="201" spans="2:52" x14ac:dyDescent="0.2">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row>
    <row r="202" spans="2:52" x14ac:dyDescent="0.2">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row>
    <row r="203" spans="2:52" x14ac:dyDescent="0.2">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row>
    <row r="204" spans="2:52" x14ac:dyDescent="0.2">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row>
    <row r="205" spans="2:52" x14ac:dyDescent="0.2">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row>
    <row r="206" spans="2:52" x14ac:dyDescent="0.2">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row>
    <row r="207" spans="2:52" x14ac:dyDescent="0.2">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row>
    <row r="208" spans="2:52" x14ac:dyDescent="0.2">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row>
    <row r="209" spans="2:52" x14ac:dyDescent="0.2">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row>
    <row r="210" spans="2:52" x14ac:dyDescent="0.2">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row>
    <row r="211" spans="2:52" x14ac:dyDescent="0.2">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row>
    <row r="212" spans="2:52" x14ac:dyDescent="0.2">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row>
    <row r="213" spans="2:52" x14ac:dyDescent="0.2">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row>
    <row r="214" spans="2:52" x14ac:dyDescent="0.2">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row>
    <row r="215" spans="2:52" x14ac:dyDescent="0.2">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row>
    <row r="216" spans="2:52" x14ac:dyDescent="0.2">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row>
    <row r="217" spans="2:52" x14ac:dyDescent="0.2">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row>
    <row r="218" spans="2:52" x14ac:dyDescent="0.2">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row>
    <row r="219" spans="2:52" x14ac:dyDescent="0.2">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row>
    <row r="220" spans="2:52" x14ac:dyDescent="0.2">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row>
    <row r="221" spans="2:52" x14ac:dyDescent="0.2">
      <c r="J221" s="12"/>
      <c r="K221" s="12"/>
      <c r="L221" s="12"/>
      <c r="M221" s="12"/>
      <c r="N221" s="12"/>
      <c r="O221" s="12"/>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row>
    <row r="222" spans="2:52" x14ac:dyDescent="0.2">
      <c r="J222" s="12"/>
      <c r="K222" s="12"/>
      <c r="L222" s="12"/>
      <c r="M222" s="12"/>
      <c r="N222" s="12"/>
      <c r="O222" s="12"/>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row>
    <row r="223" spans="2:52" x14ac:dyDescent="0.2">
      <c r="B223" s="82" t="s">
        <v>100</v>
      </c>
      <c r="C223" s="3252"/>
      <c r="D223" s="3252"/>
      <c r="E223" s="3252"/>
      <c r="F223" s="3252"/>
      <c r="G223" s="55"/>
      <c r="H223" s="55"/>
      <c r="I223" s="55"/>
      <c r="J223" s="55"/>
      <c r="K223" s="55"/>
      <c r="L223" s="12"/>
      <c r="M223" s="12"/>
      <c r="N223" s="12"/>
      <c r="O223" s="12"/>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row>
    <row r="224" spans="2:52" x14ac:dyDescent="0.2">
      <c r="B224" s="59"/>
      <c r="C224" s="67"/>
      <c r="D224" s="67"/>
      <c r="E224" s="67"/>
      <c r="F224" s="67"/>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row>
    <row r="225" spans="2:52" x14ac:dyDescent="0.2">
      <c r="B225" s="59"/>
      <c r="C225" s="67"/>
      <c r="D225" s="67"/>
      <c r="E225" s="67"/>
      <c r="F225" s="67"/>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row>
    <row r="226" spans="2:52" x14ac:dyDescent="0.2">
      <c r="B226" s="59"/>
      <c r="C226" s="65"/>
      <c r="D226" s="65"/>
      <c r="E226" s="66"/>
      <c r="F226" s="66"/>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row>
    <row r="227" spans="2:52" x14ac:dyDescent="0.2">
      <c r="B227" s="59"/>
      <c r="C227" s="65"/>
      <c r="D227" s="65"/>
      <c r="E227" s="66"/>
      <c r="F227" s="66"/>
      <c r="N227" s="12"/>
      <c r="O227" s="12"/>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row>
    <row r="228" spans="2:52" x14ac:dyDescent="0.2">
      <c r="B228" s="59"/>
      <c r="C228" s="67"/>
      <c r="D228" s="67"/>
      <c r="E228" s="67"/>
      <c r="F228" s="67"/>
      <c r="N228" s="12"/>
      <c r="O228" s="12"/>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row>
    <row r="229" spans="2:52" x14ac:dyDescent="0.2">
      <c r="B229" s="59"/>
      <c r="C229" s="67"/>
      <c r="D229" s="67"/>
      <c r="E229" s="67"/>
      <c r="F229" s="67"/>
      <c r="N229" s="12"/>
      <c r="O229" s="12"/>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row>
    <row r="230" spans="2:52" x14ac:dyDescent="0.2">
      <c r="B230" s="59"/>
      <c r="C230" s="68"/>
      <c r="D230" s="68"/>
      <c r="N230" s="12"/>
      <c r="O230" s="12"/>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row>
    <row r="231" spans="2:52" x14ac:dyDescent="0.2">
      <c r="B231" s="59"/>
      <c r="C231" s="68"/>
      <c r="D231" s="68"/>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row>
    <row r="232" spans="2:52" x14ac:dyDescent="0.2">
      <c r="B232" s="59"/>
      <c r="C232" s="68"/>
      <c r="D232" s="68"/>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row>
    <row r="233" spans="2:52" x14ac:dyDescent="0.2">
      <c r="B233" s="59"/>
      <c r="C233" s="68"/>
      <c r="D233" s="68"/>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row>
    <row r="234" spans="2:52" x14ac:dyDescent="0.2">
      <c r="B234" s="59"/>
      <c r="C234" s="68"/>
      <c r="D234" s="68"/>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row>
    <row r="235" spans="2:52" x14ac:dyDescent="0.2">
      <c r="B235" s="59"/>
      <c r="C235" s="68"/>
      <c r="D235" s="68"/>
      <c r="N235" s="12"/>
      <c r="O235" s="12"/>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row>
    <row r="236" spans="2:52" x14ac:dyDescent="0.2">
      <c r="B236" s="59"/>
      <c r="C236" s="68"/>
      <c r="D236" s="68"/>
      <c r="N236" s="12"/>
      <c r="O236" s="12"/>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row>
    <row r="237" spans="2:52" x14ac:dyDescent="0.2">
      <c r="B237" s="59"/>
      <c r="C237" s="68"/>
      <c r="D237" s="68"/>
      <c r="N237" s="12"/>
      <c r="O237" s="12"/>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row>
    <row r="238" spans="2:52" x14ac:dyDescent="0.2">
      <c r="B238" s="59"/>
      <c r="C238" s="68"/>
      <c r="D238" s="68"/>
      <c r="N238" s="12"/>
      <c r="O238" s="12"/>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row>
    <row r="239" spans="2:52" x14ac:dyDescent="0.2">
      <c r="B239" s="59"/>
      <c r="C239" s="68"/>
      <c r="D239" s="68"/>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row>
    <row r="240" spans="2:52" x14ac:dyDescent="0.2">
      <c r="B240" s="59"/>
      <c r="C240" s="68"/>
      <c r="D240" s="68"/>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row>
    <row r="241" spans="2:52" x14ac:dyDescent="0.2">
      <c r="B241" s="59"/>
      <c r="C241" s="68"/>
      <c r="D241" s="68"/>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row>
    <row r="242" spans="2:52" x14ac:dyDescent="0.2">
      <c r="B242" s="59"/>
      <c r="C242" s="68"/>
      <c r="D242" s="68"/>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row>
    <row r="243" spans="2:52" x14ac:dyDescent="0.2">
      <c r="B243" s="59"/>
      <c r="C243" s="68"/>
      <c r="D243" s="68"/>
      <c r="N243" s="12"/>
      <c r="O243" s="12"/>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row>
    <row r="244" spans="2:52" x14ac:dyDescent="0.2">
      <c r="B244" s="59"/>
      <c r="C244" s="68"/>
      <c r="D244" s="68"/>
      <c r="N244" s="12"/>
      <c r="O244" s="12"/>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row>
    <row r="245" spans="2:52" x14ac:dyDescent="0.2">
      <c r="B245" s="59"/>
      <c r="C245" s="68"/>
      <c r="D245" s="68"/>
      <c r="N245" s="12"/>
      <c r="O245" s="12"/>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row>
    <row r="246" spans="2:52" x14ac:dyDescent="0.2">
      <c r="B246" s="59"/>
      <c r="C246" s="68"/>
      <c r="D246" s="68"/>
      <c r="N246" s="12"/>
      <c r="O246" s="12"/>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row>
    <row r="247" spans="2:52" x14ac:dyDescent="0.2">
      <c r="B247" s="59"/>
      <c r="C247" s="68"/>
      <c r="D247" s="68"/>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row>
    <row r="248" spans="2:52" x14ac:dyDescent="0.2">
      <c r="C248" s="68"/>
      <c r="D248" s="68"/>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row>
    <row r="249" spans="2:52" x14ac:dyDescent="0.2">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row>
    <row r="250" spans="2:52" x14ac:dyDescent="0.2">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row>
    <row r="251" spans="2:52" x14ac:dyDescent="0.2">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row>
    <row r="252" spans="2:52" x14ac:dyDescent="0.2">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row>
    <row r="253" spans="2:52" x14ac:dyDescent="0.2">
      <c r="B253" s="82" t="s">
        <v>101</v>
      </c>
      <c r="C253" s="3253"/>
      <c r="D253" s="3253"/>
      <c r="E253" s="3254"/>
      <c r="F253" s="3254"/>
      <c r="G253" s="55"/>
      <c r="H253" s="55"/>
      <c r="I253" s="55"/>
      <c r="J253" s="55"/>
      <c r="K253" s="55"/>
      <c r="N253" s="12"/>
      <c r="O253" s="12"/>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row>
    <row r="254" spans="2:52" x14ac:dyDescent="0.2">
      <c r="B254" s="59"/>
      <c r="C254" s="65"/>
      <c r="D254" s="65"/>
      <c r="E254" s="66"/>
      <c r="F254" s="66"/>
      <c r="N254" s="12"/>
      <c r="O254" s="12"/>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row>
    <row r="255" spans="2:52" x14ac:dyDescent="0.2">
      <c r="B255" s="59"/>
      <c r="C255" s="65"/>
      <c r="D255" s="65"/>
      <c r="E255" s="66"/>
      <c r="F255" s="66"/>
      <c r="N255" s="12"/>
      <c r="O255" s="12"/>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row>
    <row r="256" spans="2:52" x14ac:dyDescent="0.2">
      <c r="B256" s="59"/>
      <c r="C256" s="67"/>
      <c r="D256" s="67"/>
      <c r="E256" s="67"/>
      <c r="F256" s="67"/>
      <c r="N256" s="12"/>
      <c r="O256" s="12"/>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row>
    <row r="257" spans="2:52" x14ac:dyDescent="0.2">
      <c r="B257" s="59"/>
      <c r="C257" s="67"/>
      <c r="D257" s="67"/>
      <c r="E257" s="67"/>
      <c r="F257" s="67"/>
      <c r="N257" s="12"/>
      <c r="O257" s="12"/>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row>
    <row r="258" spans="2:52" x14ac:dyDescent="0.2">
      <c r="B258" s="59"/>
      <c r="C258" s="67"/>
      <c r="D258" s="67"/>
      <c r="E258" s="67"/>
      <c r="F258" s="67"/>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row>
    <row r="259" spans="2:52" x14ac:dyDescent="0.2">
      <c r="B259" s="59"/>
      <c r="C259" s="67"/>
      <c r="D259" s="67"/>
      <c r="E259" s="67"/>
      <c r="F259" s="67"/>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row>
    <row r="260" spans="2:52" x14ac:dyDescent="0.2">
      <c r="B260" s="59"/>
      <c r="C260" s="65"/>
      <c r="D260" s="65"/>
      <c r="E260" s="66"/>
      <c r="F260" s="66"/>
      <c r="N260" s="12"/>
      <c r="O260" s="12"/>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row>
    <row r="261" spans="2:52" x14ac:dyDescent="0.2">
      <c r="B261" s="59"/>
      <c r="C261" s="65"/>
      <c r="D261" s="65"/>
      <c r="E261" s="66"/>
      <c r="F261" s="66"/>
      <c r="N261" s="12"/>
      <c r="O261" s="12"/>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row>
    <row r="262" spans="2:52" x14ac:dyDescent="0.2">
      <c r="B262" s="59"/>
      <c r="C262" s="65"/>
      <c r="D262" s="65"/>
      <c r="E262" s="66"/>
      <c r="F262" s="66"/>
      <c r="N262" s="12"/>
      <c r="O262" s="12"/>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row>
    <row r="263" spans="2:52" x14ac:dyDescent="0.2">
      <c r="B263" s="59"/>
      <c r="C263" s="65"/>
      <c r="D263" s="65"/>
      <c r="E263" s="66"/>
      <c r="F263" s="66"/>
      <c r="N263" s="12"/>
      <c r="O263" s="12"/>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row>
    <row r="264" spans="2:52" x14ac:dyDescent="0.2">
      <c r="B264" s="59"/>
      <c r="C264" s="67"/>
      <c r="D264" s="67"/>
      <c r="E264" s="67"/>
      <c r="F264" s="67"/>
      <c r="N264" s="12"/>
      <c r="O264" s="12"/>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row>
    <row r="265" spans="2:52" x14ac:dyDescent="0.2">
      <c r="B265" s="59"/>
      <c r="C265" s="67"/>
      <c r="D265" s="67"/>
      <c r="E265" s="67"/>
      <c r="F265" s="67"/>
      <c r="N265" s="12"/>
      <c r="O265" s="12"/>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row>
    <row r="266" spans="2:52" x14ac:dyDescent="0.2">
      <c r="B266" s="59"/>
      <c r="C266" s="67"/>
      <c r="D266" s="67"/>
      <c r="E266" s="67"/>
      <c r="F266" s="67"/>
      <c r="N266" s="12"/>
      <c r="O266" s="12"/>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row>
    <row r="267" spans="2:52" x14ac:dyDescent="0.2">
      <c r="B267" s="59"/>
      <c r="C267" s="67"/>
      <c r="D267" s="67"/>
      <c r="E267" s="67"/>
      <c r="F267" s="67"/>
      <c r="N267" s="12"/>
      <c r="O267" s="12"/>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row>
    <row r="268" spans="2:52" x14ac:dyDescent="0.2">
      <c r="B268" s="59"/>
      <c r="C268" s="65"/>
      <c r="D268" s="65"/>
      <c r="E268" s="66"/>
      <c r="F268" s="66"/>
      <c r="N268" s="12"/>
      <c r="O268" s="12"/>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row>
    <row r="269" spans="2:52" x14ac:dyDescent="0.2">
      <c r="B269" s="59"/>
      <c r="C269" s="65"/>
      <c r="D269" s="65"/>
      <c r="E269" s="66"/>
      <c r="F269" s="66"/>
      <c r="N269" s="12"/>
      <c r="O269" s="12"/>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row>
    <row r="270" spans="2:52" x14ac:dyDescent="0.2">
      <c r="B270" s="59"/>
      <c r="C270" s="65"/>
      <c r="D270" s="65"/>
      <c r="E270" s="66"/>
      <c r="F270" s="66"/>
      <c r="N270" s="12"/>
      <c r="O270" s="12"/>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row>
    <row r="271" spans="2:52" x14ac:dyDescent="0.2">
      <c r="B271" s="59"/>
      <c r="C271" s="65"/>
      <c r="D271" s="65"/>
      <c r="E271" s="66"/>
      <c r="F271" s="66"/>
      <c r="N271" s="12"/>
      <c r="O271" s="12"/>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row>
    <row r="272" spans="2:52" x14ac:dyDescent="0.2">
      <c r="B272" s="59"/>
      <c r="C272" s="67"/>
      <c r="D272" s="67"/>
      <c r="E272" s="67"/>
      <c r="F272" s="67"/>
      <c r="N272" s="12"/>
      <c r="O272" s="12"/>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row>
    <row r="273" spans="2:52" x14ac:dyDescent="0.2">
      <c r="B273" s="59"/>
      <c r="C273" s="67"/>
      <c r="D273" s="67"/>
      <c r="E273" s="67"/>
      <c r="F273" s="67"/>
      <c r="N273" s="12"/>
      <c r="O273" s="12"/>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row>
    <row r="274" spans="2:52" x14ac:dyDescent="0.2">
      <c r="B274" s="59"/>
      <c r="C274" s="67"/>
      <c r="D274" s="67"/>
      <c r="E274" s="67"/>
      <c r="F274" s="67"/>
      <c r="N274" s="12"/>
      <c r="O274" s="12"/>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row>
    <row r="275" spans="2:52" x14ac:dyDescent="0.2">
      <c r="B275" s="59"/>
      <c r="C275" s="67"/>
      <c r="D275" s="67"/>
      <c r="E275" s="67"/>
      <c r="F275" s="67"/>
      <c r="N275" s="12"/>
      <c r="O275" s="12"/>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row>
    <row r="276" spans="2:52" x14ac:dyDescent="0.2">
      <c r="B276" s="59"/>
      <c r="C276" s="65"/>
      <c r="D276" s="65"/>
      <c r="E276" s="66"/>
      <c r="F276" s="66"/>
      <c r="N276" s="12"/>
      <c r="O276" s="12"/>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row>
    <row r="277" spans="2:52" x14ac:dyDescent="0.2">
      <c r="B277" s="59"/>
      <c r="C277" s="65"/>
      <c r="D277" s="65"/>
      <c r="E277" s="66"/>
      <c r="F277" s="66"/>
      <c r="N277" s="12"/>
      <c r="O277" s="12"/>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row>
    <row r="278" spans="2:52" x14ac:dyDescent="0.2">
      <c r="B278" s="59"/>
      <c r="C278" s="65"/>
      <c r="D278" s="65"/>
      <c r="E278" s="66"/>
      <c r="F278" s="66"/>
      <c r="N278" s="12"/>
      <c r="O278" s="12"/>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row>
    <row r="279" spans="2:52" x14ac:dyDescent="0.2">
      <c r="B279" s="59"/>
      <c r="C279" s="65"/>
      <c r="D279" s="65"/>
      <c r="E279" s="66"/>
      <c r="F279" s="66"/>
      <c r="N279" s="12"/>
      <c r="O279" s="12"/>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row>
    <row r="280" spans="2:52" x14ac:dyDescent="0.2">
      <c r="B280" s="59"/>
      <c r="C280" s="67"/>
      <c r="D280" s="67"/>
      <c r="E280" s="67"/>
      <c r="F280" s="67"/>
      <c r="N280" s="12"/>
      <c r="O280" s="12"/>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row>
    <row r="281" spans="2:52" x14ac:dyDescent="0.2">
      <c r="B281" s="59"/>
      <c r="C281" s="67"/>
      <c r="D281" s="67"/>
      <c r="E281" s="67"/>
      <c r="F281" s="67"/>
      <c r="N281" s="12"/>
      <c r="O281" s="12"/>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row>
    <row r="282" spans="2:52" x14ac:dyDescent="0.2">
      <c r="B282" s="82" t="s">
        <v>102</v>
      </c>
      <c r="C282" s="3253"/>
      <c r="D282" s="3253"/>
      <c r="E282" s="3254"/>
      <c r="F282" s="3254"/>
      <c r="G282" s="55"/>
      <c r="H282" s="55"/>
      <c r="I282" s="55"/>
      <c r="J282" s="55"/>
      <c r="K282" s="55"/>
      <c r="N282" s="12"/>
      <c r="O282" s="12"/>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row>
    <row r="283" spans="2:52" x14ac:dyDescent="0.2">
      <c r="B283" s="59"/>
      <c r="C283" s="65"/>
      <c r="D283" s="65"/>
      <c r="E283" s="66"/>
      <c r="F283" s="66"/>
      <c r="J283" s="12"/>
      <c r="K283" s="12"/>
      <c r="L283" s="12"/>
      <c r="M283" s="12"/>
      <c r="N283" s="12"/>
      <c r="O283" s="12"/>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row>
    <row r="284" spans="2:52" x14ac:dyDescent="0.2">
      <c r="B284" s="59"/>
      <c r="C284" s="65"/>
      <c r="D284" s="65"/>
      <c r="E284" s="66"/>
      <c r="F284" s="66"/>
      <c r="J284" s="12"/>
      <c r="K284" s="12"/>
      <c r="L284" s="12"/>
      <c r="M284" s="12"/>
      <c r="N284" s="12"/>
      <c r="O284" s="12"/>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row>
    <row r="285" spans="2:52" x14ac:dyDescent="0.2">
      <c r="B285" s="59"/>
      <c r="C285" s="67"/>
      <c r="D285" s="67"/>
      <c r="E285" s="67"/>
      <c r="F285" s="67"/>
      <c r="J285" s="12"/>
      <c r="K285" s="12"/>
      <c r="L285" s="12"/>
      <c r="M285" s="12"/>
      <c r="N285" s="12"/>
      <c r="O285" s="12"/>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row>
    <row r="286" spans="2:52" x14ac:dyDescent="0.2">
      <c r="B286" s="59"/>
      <c r="C286" s="67"/>
      <c r="D286" s="67"/>
      <c r="E286" s="67"/>
      <c r="F286" s="67"/>
      <c r="J286" s="12"/>
      <c r="K286" s="12"/>
      <c r="L286" s="12"/>
      <c r="M286" s="12"/>
      <c r="N286" s="12"/>
      <c r="O286" s="12"/>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row>
    <row r="287" spans="2:52" x14ac:dyDescent="0.2">
      <c r="B287" s="59"/>
      <c r="C287" s="67"/>
      <c r="D287" s="67"/>
      <c r="E287" s="67"/>
      <c r="F287" s="67"/>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row>
    <row r="288" spans="2:52" x14ac:dyDescent="0.2">
      <c r="B288" s="59"/>
      <c r="C288" s="67"/>
      <c r="D288" s="67"/>
      <c r="E288" s="67"/>
      <c r="F288" s="67"/>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row>
    <row r="289" spans="2:52" x14ac:dyDescent="0.2">
      <c r="B289" s="59"/>
      <c r="C289" s="65"/>
      <c r="D289" s="65"/>
      <c r="E289" s="66"/>
      <c r="F289" s="66"/>
      <c r="J289" s="12"/>
      <c r="K289" s="12"/>
      <c r="L289" s="12"/>
      <c r="M289" s="12"/>
      <c r="N289" s="12"/>
      <c r="O289" s="12"/>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row>
    <row r="290" spans="2:52" x14ac:dyDescent="0.2">
      <c r="B290" s="59"/>
      <c r="C290" s="65"/>
      <c r="D290" s="65"/>
      <c r="E290" s="66"/>
      <c r="F290" s="66"/>
      <c r="J290" s="12"/>
      <c r="K290" s="12"/>
      <c r="L290" s="12"/>
      <c r="M290" s="12"/>
      <c r="N290" s="12"/>
      <c r="O290" s="12"/>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row>
    <row r="291" spans="2:52" x14ac:dyDescent="0.2">
      <c r="B291" s="59"/>
      <c r="C291" s="65"/>
      <c r="D291" s="65"/>
      <c r="E291" s="66"/>
      <c r="F291" s="66"/>
      <c r="J291" s="12"/>
      <c r="K291" s="12"/>
      <c r="L291" s="12"/>
      <c r="M291" s="12"/>
      <c r="N291" s="12"/>
      <c r="O291" s="12"/>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row>
    <row r="292" spans="2:52" x14ac:dyDescent="0.2">
      <c r="B292" s="59"/>
      <c r="C292" s="65"/>
      <c r="D292" s="65"/>
      <c r="E292" s="66"/>
      <c r="F292" s="66"/>
      <c r="J292" s="12"/>
      <c r="K292" s="12"/>
      <c r="L292" s="12"/>
      <c r="M292" s="12"/>
      <c r="N292" s="12"/>
      <c r="O292" s="12"/>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row>
    <row r="293" spans="2:52" x14ac:dyDescent="0.2">
      <c r="B293" s="59"/>
      <c r="C293" s="67"/>
      <c r="D293" s="67"/>
      <c r="E293" s="67"/>
      <c r="F293" s="67"/>
      <c r="J293" s="12"/>
      <c r="K293" s="12"/>
      <c r="L293" s="12"/>
      <c r="M293" s="12"/>
      <c r="N293" s="12"/>
      <c r="O293" s="12"/>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row>
    <row r="294" spans="2:52" x14ac:dyDescent="0.2">
      <c r="B294" s="59"/>
      <c r="C294" s="67"/>
      <c r="D294" s="67"/>
      <c r="E294" s="67"/>
      <c r="F294" s="67"/>
      <c r="J294" s="12"/>
      <c r="K294" s="12"/>
      <c r="L294" s="12"/>
      <c r="M294" s="12"/>
      <c r="N294" s="12"/>
      <c r="O294" s="12"/>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row>
    <row r="295" spans="2:52" x14ac:dyDescent="0.2">
      <c r="B295" s="59"/>
      <c r="C295" s="67"/>
      <c r="D295" s="67"/>
      <c r="E295" s="67"/>
      <c r="F295" s="67"/>
      <c r="J295" s="12"/>
      <c r="K295" s="12"/>
      <c r="L295" s="12"/>
      <c r="M295" s="12"/>
      <c r="N295" s="12"/>
      <c r="O295" s="12"/>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row>
    <row r="296" spans="2:52" x14ac:dyDescent="0.2">
      <c r="B296" s="59"/>
      <c r="C296" s="67"/>
      <c r="D296" s="67"/>
      <c r="E296" s="67"/>
      <c r="F296" s="67"/>
      <c r="J296" s="12"/>
      <c r="K296" s="12"/>
      <c r="L296" s="12"/>
      <c r="M296" s="12"/>
      <c r="N296" s="12"/>
      <c r="O296" s="12"/>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row>
    <row r="297" spans="2:52" x14ac:dyDescent="0.2">
      <c r="B297" s="59"/>
      <c r="C297" s="65"/>
      <c r="D297" s="65"/>
      <c r="E297" s="66"/>
      <c r="F297" s="66"/>
      <c r="J297" s="12"/>
      <c r="K297" s="12"/>
      <c r="L297" s="12"/>
      <c r="M297" s="12"/>
      <c r="N297" s="12"/>
      <c r="O297" s="12"/>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row>
    <row r="298" spans="2:52" x14ac:dyDescent="0.2">
      <c r="B298" s="59"/>
      <c r="C298" s="65"/>
      <c r="D298" s="65"/>
      <c r="E298" s="66"/>
      <c r="F298" s="66"/>
      <c r="J298" s="12"/>
      <c r="K298" s="12"/>
      <c r="L298" s="12"/>
      <c r="M298" s="12"/>
      <c r="N298" s="12"/>
      <c r="O298" s="12"/>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row>
    <row r="299" spans="2:52" x14ac:dyDescent="0.2">
      <c r="B299" s="59"/>
      <c r="C299" s="65"/>
      <c r="D299" s="65"/>
      <c r="E299" s="66"/>
      <c r="F299" s="66"/>
      <c r="J299" s="12"/>
      <c r="K299" s="12"/>
      <c r="L299" s="12"/>
      <c r="M299" s="12"/>
      <c r="N299" s="12"/>
      <c r="O299" s="12"/>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row>
    <row r="300" spans="2:52" x14ac:dyDescent="0.2">
      <c r="B300" s="59"/>
      <c r="C300" s="65"/>
      <c r="D300" s="65"/>
      <c r="E300" s="66"/>
      <c r="F300" s="66"/>
      <c r="J300" s="12"/>
      <c r="K300" s="12"/>
      <c r="L300" s="12"/>
      <c r="M300" s="12"/>
      <c r="N300" s="12"/>
      <c r="O300" s="12"/>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row>
    <row r="301" spans="2:52" x14ac:dyDescent="0.2">
      <c r="B301" s="59"/>
      <c r="C301" s="67"/>
      <c r="D301" s="67"/>
      <c r="E301" s="67"/>
      <c r="F301" s="67"/>
      <c r="J301" s="12"/>
      <c r="K301" s="12"/>
      <c r="L301" s="12"/>
      <c r="M301" s="12"/>
      <c r="N301" s="12"/>
      <c r="O301" s="12"/>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row>
    <row r="302" spans="2:52" x14ac:dyDescent="0.2">
      <c r="B302" s="59"/>
      <c r="C302" s="67"/>
      <c r="D302" s="67"/>
      <c r="E302" s="67"/>
      <c r="F302" s="67"/>
      <c r="J302" s="12"/>
      <c r="K302" s="12"/>
      <c r="L302" s="12"/>
      <c r="M302" s="12"/>
      <c r="N302" s="12"/>
      <c r="O302" s="12"/>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row>
    <row r="303" spans="2:52" x14ac:dyDescent="0.2">
      <c r="B303" s="59"/>
      <c r="C303" s="67"/>
      <c r="D303" s="67"/>
      <c r="E303" s="67"/>
      <c r="F303" s="67"/>
      <c r="J303" s="12"/>
      <c r="K303" s="12"/>
      <c r="L303" s="12"/>
      <c r="M303" s="12"/>
      <c r="N303" s="12"/>
      <c r="O303" s="12"/>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row>
    <row r="304" spans="2:52" x14ac:dyDescent="0.2">
      <c r="B304" s="59"/>
      <c r="C304" s="67"/>
      <c r="D304" s="67"/>
      <c r="E304" s="67"/>
      <c r="F304" s="67"/>
      <c r="J304" s="12"/>
      <c r="K304" s="12"/>
      <c r="L304" s="12"/>
      <c r="M304" s="12"/>
      <c r="N304" s="12"/>
      <c r="O304" s="12"/>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row>
    <row r="305" spans="2:52" x14ac:dyDescent="0.2">
      <c r="B305" s="59"/>
      <c r="C305" s="65"/>
      <c r="D305" s="65"/>
      <c r="E305" s="66"/>
      <c r="F305" s="66"/>
      <c r="J305" s="12"/>
      <c r="K305" s="12"/>
      <c r="L305" s="12"/>
      <c r="M305" s="12"/>
      <c r="N305" s="12"/>
      <c r="O305" s="12"/>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row>
    <row r="306" spans="2:52" x14ac:dyDescent="0.2">
      <c r="B306" s="59"/>
      <c r="C306" s="65"/>
      <c r="D306" s="65"/>
      <c r="E306" s="66"/>
      <c r="F306" s="66"/>
      <c r="J306" s="12"/>
      <c r="K306" s="12"/>
      <c r="L306" s="12"/>
      <c r="M306" s="12"/>
      <c r="N306" s="12"/>
      <c r="O306" s="12"/>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row>
    <row r="307" spans="2:52" x14ac:dyDescent="0.2">
      <c r="B307" s="59"/>
      <c r="C307" s="65"/>
      <c r="D307" s="65"/>
      <c r="E307" s="66"/>
      <c r="F307" s="66"/>
      <c r="J307" s="12"/>
      <c r="K307" s="12"/>
      <c r="L307" s="12"/>
      <c r="M307" s="12"/>
      <c r="N307" s="12"/>
      <c r="O307" s="12"/>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row>
    <row r="308" spans="2:52" x14ac:dyDescent="0.2">
      <c r="B308" s="59"/>
      <c r="C308" s="65"/>
      <c r="D308" s="65"/>
      <c r="E308" s="66"/>
      <c r="F308" s="66"/>
      <c r="J308" s="12"/>
      <c r="K308" s="12"/>
      <c r="L308" s="12"/>
      <c r="M308" s="12"/>
      <c r="N308" s="12"/>
      <c r="O308" s="12"/>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row>
    <row r="309" spans="2:52" x14ac:dyDescent="0.2">
      <c r="B309" s="59"/>
      <c r="C309" s="65"/>
      <c r="D309" s="65"/>
      <c r="E309" s="66"/>
      <c r="F309" s="66"/>
      <c r="J309" s="12"/>
      <c r="K309" s="12"/>
      <c r="L309" s="12"/>
      <c r="M309" s="12"/>
      <c r="N309" s="12"/>
      <c r="O309" s="12"/>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row>
    <row r="310" spans="2:52" x14ac:dyDescent="0.2">
      <c r="B310" s="59"/>
      <c r="C310" s="67"/>
      <c r="D310" s="67"/>
      <c r="E310" s="67"/>
      <c r="F310" s="67"/>
      <c r="J310" s="12"/>
      <c r="K310" s="12"/>
      <c r="L310" s="12"/>
      <c r="M310" s="12"/>
      <c r="N310" s="12"/>
      <c r="O310" s="12"/>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row>
    <row r="311" spans="2:52" x14ac:dyDescent="0.2">
      <c r="B311" s="82" t="s">
        <v>103</v>
      </c>
      <c r="C311" s="3253"/>
      <c r="D311" s="3253"/>
      <c r="E311" s="3254"/>
      <c r="F311" s="3254"/>
      <c r="G311" s="55"/>
      <c r="H311" s="55"/>
      <c r="I311" s="55"/>
      <c r="J311" s="55"/>
      <c r="K311" s="55"/>
      <c r="N311" s="12"/>
      <c r="O311" s="12"/>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row>
    <row r="312" spans="2:52" x14ac:dyDescent="0.2">
      <c r="B312" s="59"/>
      <c r="C312" s="65"/>
      <c r="D312" s="65"/>
      <c r="E312" s="66"/>
      <c r="F312" s="66"/>
      <c r="J312" s="12"/>
      <c r="K312" s="12"/>
      <c r="L312" s="12"/>
      <c r="M312" s="12"/>
      <c r="N312" s="12"/>
      <c r="O312" s="12"/>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row>
    <row r="313" spans="2:52" x14ac:dyDescent="0.2">
      <c r="B313" s="59"/>
      <c r="C313" s="65"/>
      <c r="D313" s="65"/>
      <c r="E313" s="66"/>
      <c r="F313" s="66"/>
      <c r="J313" s="12"/>
      <c r="K313" s="12"/>
      <c r="L313" s="12"/>
      <c r="M313" s="12"/>
      <c r="N313" s="12"/>
      <c r="O313" s="12"/>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row>
    <row r="314" spans="2:52" x14ac:dyDescent="0.2">
      <c r="B314" s="59"/>
      <c r="C314" s="67"/>
      <c r="D314" s="67"/>
      <c r="E314" s="67"/>
      <c r="F314" s="67"/>
      <c r="J314" s="12"/>
      <c r="K314" s="12"/>
      <c r="L314" s="12"/>
      <c r="M314" s="12"/>
      <c r="N314" s="12"/>
      <c r="O314" s="12"/>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row>
    <row r="315" spans="2:52" x14ac:dyDescent="0.2">
      <c r="B315" s="59"/>
      <c r="C315" s="67"/>
      <c r="D315" s="67"/>
      <c r="E315" s="67"/>
      <c r="F315" s="67"/>
      <c r="J315" s="12"/>
      <c r="K315" s="12"/>
      <c r="L315" s="12"/>
      <c r="M315" s="12"/>
      <c r="N315" s="12"/>
      <c r="O315" s="12"/>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row>
    <row r="316" spans="2:52" x14ac:dyDescent="0.2">
      <c r="B316" s="59"/>
      <c r="C316" s="67"/>
      <c r="D316" s="67"/>
      <c r="E316" s="67"/>
      <c r="F316" s="67"/>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row>
    <row r="317" spans="2:52" x14ac:dyDescent="0.2">
      <c r="B317" s="59"/>
      <c r="C317" s="67"/>
      <c r="D317" s="67"/>
      <c r="E317" s="67"/>
      <c r="F317" s="67"/>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row>
    <row r="318" spans="2:52" x14ac:dyDescent="0.2">
      <c r="B318" s="59"/>
      <c r="C318" s="65"/>
      <c r="D318" s="65"/>
      <c r="E318" s="66"/>
      <c r="F318" s="66"/>
      <c r="J318" s="12"/>
      <c r="K318" s="12"/>
      <c r="L318" s="12"/>
      <c r="M318" s="12"/>
      <c r="N318" s="12"/>
      <c r="O318" s="12"/>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row>
    <row r="319" spans="2:52" x14ac:dyDescent="0.2">
      <c r="B319" s="59"/>
      <c r="C319" s="65"/>
      <c r="D319" s="65"/>
      <c r="E319" s="66"/>
      <c r="F319" s="66"/>
      <c r="J319" s="59"/>
      <c r="K319" s="12"/>
      <c r="L319" s="12"/>
      <c r="M319" s="12"/>
      <c r="N319" s="12"/>
      <c r="O319" s="12"/>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row>
    <row r="320" spans="2:52" x14ac:dyDescent="0.2">
      <c r="B320" s="59"/>
      <c r="C320" s="65"/>
      <c r="D320" s="65"/>
      <c r="E320" s="66"/>
      <c r="F320" s="66"/>
      <c r="J320" s="12"/>
      <c r="K320" s="12"/>
      <c r="L320" s="12"/>
      <c r="M320" s="12"/>
      <c r="N320" s="12"/>
      <c r="O320" s="12"/>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row>
    <row r="321" spans="2:52" x14ac:dyDescent="0.2">
      <c r="B321" s="59"/>
      <c r="C321" s="65"/>
      <c r="D321" s="65"/>
      <c r="E321" s="66"/>
      <c r="F321" s="66"/>
      <c r="J321" s="12"/>
      <c r="K321" s="12"/>
      <c r="L321" s="12"/>
      <c r="M321" s="12"/>
      <c r="N321" s="12"/>
      <c r="O321" s="12"/>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row>
    <row r="322" spans="2:52" x14ac:dyDescent="0.2">
      <c r="B322" s="59"/>
      <c r="C322" s="67"/>
      <c r="D322" s="67"/>
      <c r="E322" s="67"/>
      <c r="F322" s="67"/>
      <c r="J322" s="12"/>
      <c r="K322" s="12"/>
      <c r="L322" s="12"/>
      <c r="M322" s="12"/>
      <c r="N322" s="12"/>
      <c r="O322" s="12"/>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row>
    <row r="323" spans="2:52" x14ac:dyDescent="0.2">
      <c r="B323" s="59"/>
      <c r="C323" s="67"/>
      <c r="D323" s="67"/>
      <c r="E323" s="67"/>
      <c r="F323" s="67"/>
      <c r="J323" s="12"/>
      <c r="K323" s="12"/>
      <c r="L323" s="12"/>
      <c r="M323" s="12"/>
      <c r="N323" s="12"/>
      <c r="O323" s="12"/>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row>
    <row r="324" spans="2:52" x14ac:dyDescent="0.2">
      <c r="B324" s="59"/>
      <c r="C324" s="67"/>
      <c r="D324" s="67"/>
      <c r="E324" s="67"/>
      <c r="F324" s="67"/>
      <c r="J324" s="12"/>
      <c r="K324" s="12"/>
      <c r="L324" s="12"/>
      <c r="M324" s="12"/>
      <c r="N324" s="12"/>
      <c r="O324" s="12"/>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row>
    <row r="325" spans="2:52" x14ac:dyDescent="0.2">
      <c r="B325" s="59"/>
      <c r="C325" s="67"/>
      <c r="D325" s="67"/>
      <c r="E325" s="67"/>
      <c r="F325" s="67"/>
      <c r="J325" s="12"/>
      <c r="K325" s="12"/>
      <c r="L325" s="12"/>
      <c r="M325" s="12"/>
      <c r="N325" s="12"/>
      <c r="O325" s="12"/>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row>
    <row r="326" spans="2:52" x14ac:dyDescent="0.2">
      <c r="B326" s="59"/>
      <c r="C326" s="65"/>
      <c r="D326" s="65"/>
      <c r="E326" s="66"/>
      <c r="F326" s="66"/>
      <c r="J326" s="12"/>
      <c r="K326" s="12"/>
      <c r="L326" s="12"/>
      <c r="M326" s="12"/>
      <c r="N326" s="12"/>
      <c r="O326" s="12"/>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row>
    <row r="327" spans="2:52" x14ac:dyDescent="0.2">
      <c r="B327" s="59"/>
      <c r="C327" s="65"/>
      <c r="D327" s="65"/>
      <c r="E327" s="66"/>
      <c r="F327" s="66"/>
      <c r="J327" s="12"/>
      <c r="K327" s="12"/>
      <c r="L327" s="12"/>
      <c r="M327" s="12"/>
      <c r="N327" s="12"/>
      <c r="O327" s="12"/>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row>
    <row r="328" spans="2:52" x14ac:dyDescent="0.2">
      <c r="B328" s="59"/>
      <c r="C328" s="65"/>
      <c r="D328" s="65"/>
      <c r="E328" s="66"/>
      <c r="F328" s="66"/>
      <c r="J328" s="12"/>
      <c r="K328" s="12"/>
      <c r="L328" s="12"/>
      <c r="M328" s="12"/>
      <c r="N328" s="12"/>
      <c r="O328" s="12"/>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row>
    <row r="329" spans="2:52" x14ac:dyDescent="0.2">
      <c r="B329" s="59"/>
      <c r="C329" s="65"/>
      <c r="D329" s="65"/>
      <c r="E329" s="66"/>
      <c r="F329" s="66"/>
      <c r="J329" s="12"/>
      <c r="K329" s="12"/>
      <c r="L329" s="12"/>
      <c r="M329" s="12"/>
      <c r="N329" s="12"/>
      <c r="O329" s="12"/>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row>
    <row r="330" spans="2:52" x14ac:dyDescent="0.2">
      <c r="B330" s="59"/>
      <c r="C330" s="67"/>
      <c r="D330" s="67"/>
      <c r="E330" s="67"/>
      <c r="F330" s="67"/>
      <c r="J330" s="12"/>
      <c r="K330" s="12"/>
      <c r="L330" s="12"/>
      <c r="M330" s="12"/>
      <c r="N330" s="12"/>
      <c r="O330" s="12"/>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row>
    <row r="331" spans="2:52" x14ac:dyDescent="0.2">
      <c r="B331" s="59"/>
      <c r="C331" s="67"/>
      <c r="D331" s="67"/>
      <c r="E331" s="67"/>
      <c r="F331" s="67"/>
      <c r="J331" s="12"/>
      <c r="K331" s="12"/>
      <c r="L331" s="12"/>
      <c r="M331" s="12"/>
      <c r="N331" s="12"/>
      <c r="O331" s="12"/>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row>
    <row r="332" spans="2:52" x14ac:dyDescent="0.2">
      <c r="B332" s="59"/>
      <c r="C332" s="67"/>
      <c r="D332" s="67"/>
      <c r="E332" s="67"/>
      <c r="F332" s="67"/>
      <c r="J332" s="12"/>
      <c r="K332" s="12"/>
      <c r="L332" s="12"/>
      <c r="M332" s="12"/>
      <c r="N332" s="12"/>
      <c r="O332" s="12"/>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row>
    <row r="333" spans="2:52" x14ac:dyDescent="0.2">
      <c r="B333" s="59"/>
      <c r="C333" s="67"/>
      <c r="D333" s="67"/>
      <c r="E333" s="67"/>
      <c r="F333" s="67"/>
      <c r="J333" s="12"/>
      <c r="K333" s="12"/>
      <c r="L333" s="12"/>
      <c r="M333" s="12"/>
      <c r="N333" s="12"/>
      <c r="O333" s="12"/>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row>
    <row r="334" spans="2:52" x14ac:dyDescent="0.2">
      <c r="B334" s="59"/>
      <c r="C334" s="65"/>
      <c r="D334" s="65"/>
      <c r="E334" s="66"/>
      <c r="F334" s="66"/>
      <c r="J334" s="12"/>
      <c r="K334" s="12"/>
      <c r="L334" s="12"/>
      <c r="M334" s="12"/>
      <c r="N334" s="12"/>
      <c r="O334" s="12"/>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row>
    <row r="335" spans="2:52" x14ac:dyDescent="0.2">
      <c r="B335" s="59"/>
      <c r="C335" s="65"/>
      <c r="D335" s="65"/>
      <c r="E335" s="66"/>
      <c r="F335" s="66"/>
      <c r="J335" s="12"/>
      <c r="K335" s="12"/>
      <c r="L335" s="12"/>
      <c r="M335" s="12"/>
      <c r="N335" s="12"/>
      <c r="O335" s="12"/>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row>
    <row r="336" spans="2:52" x14ac:dyDescent="0.2">
      <c r="B336" s="59"/>
      <c r="C336" s="65"/>
      <c r="D336" s="65"/>
      <c r="E336" s="66"/>
      <c r="F336" s="66"/>
      <c r="J336" s="12"/>
      <c r="K336" s="12"/>
      <c r="L336" s="12"/>
      <c r="M336" s="12"/>
      <c r="N336" s="12"/>
      <c r="O336" s="12"/>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row>
    <row r="337" spans="2:52" x14ac:dyDescent="0.2">
      <c r="B337" s="59"/>
      <c r="C337" s="65"/>
      <c r="D337" s="65"/>
      <c r="E337" s="66"/>
      <c r="F337" s="66"/>
      <c r="J337" s="12"/>
      <c r="K337" s="12"/>
      <c r="L337" s="12"/>
      <c r="M337" s="12"/>
      <c r="N337" s="12"/>
      <c r="O337" s="12"/>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row>
    <row r="338" spans="2:52" x14ac:dyDescent="0.2">
      <c r="B338" s="59"/>
      <c r="C338" s="67"/>
      <c r="D338" s="67"/>
      <c r="E338" s="67"/>
      <c r="F338" s="67"/>
      <c r="J338" s="12"/>
      <c r="K338" s="12"/>
      <c r="L338" s="12"/>
      <c r="M338" s="12"/>
      <c r="N338" s="12"/>
      <c r="O338" s="12"/>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row>
    <row r="339" spans="2:52" x14ac:dyDescent="0.2">
      <c r="B339" s="59"/>
      <c r="C339" s="68"/>
      <c r="D339" s="68"/>
      <c r="J339" s="12"/>
      <c r="K339" s="12"/>
      <c r="L339" s="12"/>
      <c r="M339" s="12"/>
      <c r="N339" s="12"/>
      <c r="O339" s="12"/>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row>
    <row r="340" spans="2:52" x14ac:dyDescent="0.2">
      <c r="B340" s="82" t="s">
        <v>104</v>
      </c>
      <c r="C340" s="3253"/>
      <c r="D340" s="3253"/>
      <c r="E340" s="3254"/>
      <c r="F340" s="3254"/>
      <c r="G340" s="55"/>
      <c r="H340" s="55"/>
      <c r="I340" s="55"/>
      <c r="J340" s="55"/>
      <c r="K340" s="55"/>
      <c r="N340" s="12"/>
      <c r="O340" s="12"/>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row>
    <row r="341" spans="2:52" x14ac:dyDescent="0.2">
      <c r="B341" s="59"/>
      <c r="C341" s="65"/>
      <c r="D341" s="65"/>
      <c r="E341" s="66"/>
      <c r="F341" s="66"/>
      <c r="J341" s="12"/>
      <c r="K341" s="12"/>
      <c r="L341" s="12"/>
      <c r="M341" s="12"/>
      <c r="N341" s="12"/>
      <c r="O341" s="12"/>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row>
    <row r="342" spans="2:52" x14ac:dyDescent="0.2">
      <c r="B342" s="59"/>
      <c r="C342" s="65"/>
      <c r="D342" s="65"/>
      <c r="E342" s="66"/>
      <c r="F342" s="66"/>
      <c r="J342" s="12"/>
      <c r="K342" s="12"/>
      <c r="L342" s="12"/>
      <c r="M342" s="12"/>
      <c r="N342" s="12"/>
      <c r="O342" s="12"/>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row>
    <row r="343" spans="2:52" x14ac:dyDescent="0.2">
      <c r="B343" s="59"/>
      <c r="C343" s="67"/>
      <c r="D343" s="67"/>
      <c r="E343" s="67"/>
      <c r="F343" s="67"/>
      <c r="J343" s="12"/>
      <c r="K343" s="12"/>
      <c r="L343" s="12"/>
      <c r="M343" s="12"/>
      <c r="N343" s="12"/>
      <c r="O343" s="12"/>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row>
    <row r="344" spans="2:52" x14ac:dyDescent="0.2">
      <c r="B344" s="59"/>
      <c r="C344" s="67"/>
      <c r="D344" s="67"/>
      <c r="E344" s="67"/>
      <c r="F344" s="67"/>
      <c r="J344" s="12"/>
      <c r="K344" s="12"/>
      <c r="L344" s="12"/>
      <c r="M344" s="12"/>
      <c r="N344" s="12"/>
      <c r="O344" s="12"/>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row>
    <row r="345" spans="2:52" x14ac:dyDescent="0.2">
      <c r="B345" s="59"/>
      <c r="C345" s="67"/>
      <c r="D345" s="67"/>
      <c r="E345" s="67"/>
      <c r="F345" s="67"/>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row>
    <row r="346" spans="2:52" x14ac:dyDescent="0.2">
      <c r="B346" s="59"/>
      <c r="C346" s="67"/>
      <c r="D346" s="67"/>
      <c r="E346" s="67"/>
      <c r="F346" s="67"/>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row>
    <row r="347" spans="2:52" x14ac:dyDescent="0.2">
      <c r="B347" s="59"/>
      <c r="C347" s="65"/>
      <c r="D347" s="65"/>
      <c r="E347" s="66"/>
      <c r="F347" s="66"/>
      <c r="J347" s="12"/>
      <c r="K347" s="12"/>
      <c r="L347" s="12"/>
      <c r="M347" s="12"/>
      <c r="N347" s="12"/>
      <c r="O347" s="12"/>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row>
    <row r="348" spans="2:52" x14ac:dyDescent="0.2">
      <c r="B348" s="59"/>
      <c r="C348" s="65"/>
      <c r="D348" s="65"/>
      <c r="E348" s="66"/>
      <c r="F348" s="66"/>
      <c r="J348" s="59"/>
      <c r="K348" s="12"/>
      <c r="L348" s="12"/>
      <c r="M348" s="12"/>
      <c r="N348" s="12"/>
      <c r="O348" s="12"/>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row>
    <row r="349" spans="2:52" x14ac:dyDescent="0.2">
      <c r="B349" s="59"/>
      <c r="C349" s="65"/>
      <c r="D349" s="65"/>
      <c r="E349" s="66"/>
      <c r="F349" s="66"/>
      <c r="J349" s="12"/>
      <c r="K349" s="12"/>
      <c r="L349" s="12"/>
      <c r="M349" s="12"/>
      <c r="N349" s="12"/>
      <c r="O349" s="12"/>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row>
    <row r="350" spans="2:52" x14ac:dyDescent="0.2">
      <c r="B350" s="59"/>
      <c r="C350" s="65"/>
      <c r="D350" s="65"/>
      <c r="E350" s="66"/>
      <c r="F350" s="66"/>
      <c r="J350" s="12"/>
      <c r="K350" s="12"/>
      <c r="L350" s="12"/>
      <c r="M350" s="12"/>
      <c r="N350" s="12"/>
      <c r="O350" s="12"/>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row>
    <row r="351" spans="2:52" x14ac:dyDescent="0.2">
      <c r="B351" s="59"/>
      <c r="C351" s="67"/>
      <c r="D351" s="67"/>
      <c r="E351" s="67"/>
      <c r="F351" s="67"/>
      <c r="J351" s="12"/>
      <c r="K351" s="12"/>
      <c r="L351" s="12"/>
      <c r="M351" s="12"/>
      <c r="N351" s="12"/>
      <c r="O351" s="12"/>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row>
    <row r="352" spans="2:52" x14ac:dyDescent="0.2">
      <c r="B352" s="59"/>
      <c r="C352" s="67"/>
      <c r="D352" s="67"/>
      <c r="E352" s="67"/>
      <c r="F352" s="67"/>
      <c r="J352" s="12"/>
      <c r="K352" s="12"/>
      <c r="L352" s="12"/>
      <c r="M352" s="12"/>
      <c r="N352" s="12"/>
      <c r="O352" s="12"/>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row>
    <row r="353" spans="2:52" x14ac:dyDescent="0.2">
      <c r="B353" s="59"/>
      <c r="C353" s="67"/>
      <c r="D353" s="67"/>
      <c r="E353" s="67"/>
      <c r="F353" s="67"/>
      <c r="J353" s="12"/>
      <c r="K353" s="12"/>
      <c r="L353" s="12"/>
      <c r="M353" s="12"/>
      <c r="N353" s="12"/>
      <c r="O353" s="12"/>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row>
    <row r="354" spans="2:52" x14ac:dyDescent="0.2">
      <c r="B354" s="59"/>
      <c r="C354" s="67"/>
      <c r="D354" s="67"/>
      <c r="E354" s="67"/>
      <c r="F354" s="67"/>
      <c r="J354" s="12"/>
      <c r="K354" s="12"/>
      <c r="L354" s="12"/>
      <c r="M354" s="12"/>
      <c r="N354" s="12"/>
      <c r="O354" s="12"/>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row>
    <row r="355" spans="2:52" x14ac:dyDescent="0.2">
      <c r="B355" s="59"/>
      <c r="C355" s="65"/>
      <c r="D355" s="65"/>
      <c r="E355" s="66"/>
      <c r="F355" s="66"/>
      <c r="J355" s="12"/>
      <c r="K355" s="12"/>
      <c r="L355" s="12"/>
      <c r="M355" s="12"/>
      <c r="N355" s="12"/>
      <c r="O355" s="12"/>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row>
    <row r="356" spans="2:52" x14ac:dyDescent="0.2">
      <c r="B356" s="59"/>
      <c r="C356" s="65"/>
      <c r="D356" s="65"/>
      <c r="E356" s="66"/>
      <c r="F356" s="66"/>
      <c r="J356" s="12"/>
      <c r="K356" s="12"/>
      <c r="L356" s="12"/>
      <c r="M356" s="12"/>
      <c r="N356" s="12"/>
      <c r="O356" s="12"/>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row>
    <row r="357" spans="2:52" x14ac:dyDescent="0.2">
      <c r="B357" s="59"/>
      <c r="C357" s="65"/>
      <c r="D357" s="65"/>
      <c r="E357" s="66"/>
      <c r="F357" s="66"/>
      <c r="J357" s="12"/>
      <c r="K357" s="12"/>
      <c r="L357" s="12"/>
      <c r="M357" s="12"/>
      <c r="N357" s="12"/>
      <c r="O357" s="12"/>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row>
    <row r="358" spans="2:52" x14ac:dyDescent="0.2">
      <c r="B358" s="59"/>
      <c r="C358" s="65"/>
      <c r="D358" s="65"/>
      <c r="E358" s="66"/>
      <c r="F358" s="66"/>
      <c r="J358" s="12"/>
      <c r="K358" s="12"/>
      <c r="L358" s="12"/>
      <c r="M358" s="12"/>
      <c r="N358" s="12"/>
      <c r="O358" s="12"/>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row>
    <row r="359" spans="2:52" x14ac:dyDescent="0.2">
      <c r="B359" s="59"/>
      <c r="C359" s="67"/>
      <c r="D359" s="67"/>
      <c r="E359" s="67"/>
      <c r="F359" s="67"/>
      <c r="J359" s="12"/>
      <c r="K359" s="12"/>
      <c r="L359" s="12"/>
      <c r="M359" s="12"/>
      <c r="N359" s="12"/>
      <c r="O359" s="12"/>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row>
    <row r="360" spans="2:52" x14ac:dyDescent="0.2">
      <c r="B360" s="59"/>
      <c r="C360" s="67"/>
      <c r="D360" s="67"/>
      <c r="E360" s="67"/>
      <c r="F360" s="67"/>
      <c r="J360" s="12"/>
      <c r="K360" s="12"/>
      <c r="L360" s="12"/>
      <c r="M360" s="12"/>
      <c r="N360" s="12"/>
      <c r="O360" s="12"/>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row>
    <row r="361" spans="2:52" x14ac:dyDescent="0.2">
      <c r="B361" s="59"/>
      <c r="C361" s="67"/>
      <c r="D361" s="67"/>
      <c r="E361" s="67"/>
      <c r="F361" s="67"/>
      <c r="J361" s="12"/>
      <c r="K361" s="12"/>
      <c r="L361" s="12"/>
      <c r="M361" s="12"/>
      <c r="N361" s="12"/>
      <c r="O361" s="12"/>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row>
    <row r="362" spans="2:52" x14ac:dyDescent="0.2">
      <c r="B362" s="59"/>
      <c r="C362" s="67"/>
      <c r="D362" s="67"/>
      <c r="E362" s="67"/>
      <c r="F362" s="67"/>
      <c r="J362" s="12"/>
      <c r="K362" s="12"/>
      <c r="L362" s="12"/>
      <c r="M362" s="12"/>
      <c r="N362" s="12"/>
      <c r="O362" s="12"/>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row>
    <row r="363" spans="2:52" x14ac:dyDescent="0.2">
      <c r="B363" s="59"/>
      <c r="C363" s="65"/>
      <c r="D363" s="65"/>
      <c r="E363" s="66"/>
      <c r="F363" s="66"/>
      <c r="J363" s="12"/>
      <c r="K363" s="12"/>
      <c r="L363" s="12"/>
      <c r="M363" s="12"/>
      <c r="N363" s="12"/>
      <c r="O363" s="12"/>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row>
    <row r="364" spans="2:52" x14ac:dyDescent="0.2">
      <c r="B364" s="59"/>
      <c r="C364" s="65"/>
      <c r="D364" s="65"/>
      <c r="E364" s="66"/>
      <c r="F364" s="66"/>
      <c r="J364" s="12"/>
      <c r="K364" s="12"/>
      <c r="L364" s="12"/>
      <c r="M364" s="12"/>
      <c r="N364" s="12"/>
      <c r="O364" s="12"/>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row>
    <row r="365" spans="2:52" x14ac:dyDescent="0.2">
      <c r="B365" s="59"/>
      <c r="C365" s="65"/>
      <c r="D365" s="65"/>
      <c r="E365" s="66"/>
      <c r="F365" s="66"/>
      <c r="J365" s="12"/>
      <c r="K365" s="12"/>
      <c r="L365" s="12"/>
      <c r="M365" s="12"/>
      <c r="N365" s="12"/>
      <c r="O365" s="12"/>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row>
    <row r="366" spans="2:52" x14ac:dyDescent="0.2">
      <c r="B366" s="59"/>
      <c r="C366" s="65"/>
      <c r="D366" s="65"/>
      <c r="E366" s="66"/>
      <c r="F366" s="66"/>
      <c r="J366" s="12"/>
      <c r="K366" s="12"/>
      <c r="L366" s="12"/>
      <c r="M366" s="12"/>
      <c r="N366" s="12"/>
      <c r="O366" s="12"/>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row>
    <row r="367" spans="2:52" x14ac:dyDescent="0.2">
      <c r="B367" s="59"/>
      <c r="C367" s="67"/>
      <c r="D367" s="67"/>
      <c r="E367" s="67"/>
      <c r="F367" s="67"/>
      <c r="J367" s="12"/>
      <c r="K367" s="12"/>
      <c r="L367" s="12"/>
      <c r="M367" s="12"/>
      <c r="N367" s="12"/>
      <c r="O367" s="12"/>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row>
    <row r="368" spans="2:52" x14ac:dyDescent="0.2">
      <c r="B368" s="59"/>
      <c r="C368" s="67"/>
      <c r="D368" s="67"/>
      <c r="E368" s="67"/>
      <c r="F368" s="67"/>
      <c r="J368" s="12"/>
      <c r="K368" s="12"/>
      <c r="L368" s="12"/>
      <c r="M368" s="12"/>
      <c r="N368" s="12"/>
      <c r="O368" s="12"/>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row>
    <row r="369" spans="2:52" x14ac:dyDescent="0.2">
      <c r="B369" s="82" t="s">
        <v>105</v>
      </c>
      <c r="C369" s="77"/>
      <c r="D369" s="77"/>
      <c r="E369" s="55"/>
      <c r="F369" s="55"/>
      <c r="G369" s="55"/>
      <c r="H369" s="55"/>
      <c r="I369" s="55"/>
      <c r="J369" s="55"/>
      <c r="K369" s="55"/>
      <c r="L369" s="12"/>
      <c r="M369" s="12"/>
      <c r="N369" s="12"/>
      <c r="O369" s="12"/>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row>
    <row r="370" spans="2:52" x14ac:dyDescent="0.2">
      <c r="B370" s="59"/>
      <c r="C370" s="68"/>
      <c r="D370" s="68"/>
      <c r="J370" s="12"/>
      <c r="K370" s="12"/>
      <c r="L370" s="12"/>
      <c r="M370" s="12"/>
      <c r="N370" s="12"/>
      <c r="O370" s="12"/>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row>
    <row r="371" spans="2:52" x14ac:dyDescent="0.2">
      <c r="B371" s="5023" t="s">
        <v>105</v>
      </c>
      <c r="C371" s="5018" t="s">
        <v>1</v>
      </c>
      <c r="D371" s="5019"/>
      <c r="E371" s="5019"/>
      <c r="F371" s="5018" t="s">
        <v>89</v>
      </c>
      <c r="G371" s="5019"/>
      <c r="H371" s="5019"/>
      <c r="I371" s="5018" t="s">
        <v>80</v>
      </c>
      <c r="J371" s="5019"/>
      <c r="K371" s="5027"/>
      <c r="L371" s="12"/>
      <c r="M371" s="12"/>
      <c r="N371" s="12"/>
      <c r="O371" s="12"/>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row>
    <row r="372" spans="2:52" x14ac:dyDescent="0.2">
      <c r="B372" s="5024"/>
      <c r="C372" s="5018" t="s">
        <v>79</v>
      </c>
      <c r="D372" s="5019"/>
      <c r="E372" s="5019"/>
      <c r="F372" s="5018" t="s">
        <v>79</v>
      </c>
      <c r="G372" s="5019"/>
      <c r="H372" s="5019"/>
      <c r="I372" s="5018" t="s">
        <v>79</v>
      </c>
      <c r="J372" s="5019"/>
      <c r="K372" s="5027"/>
      <c r="L372" s="12"/>
      <c r="M372" s="12"/>
      <c r="N372" s="12"/>
      <c r="O372" s="12"/>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row>
    <row r="373" spans="2:52" x14ac:dyDescent="0.2">
      <c r="B373" s="3271"/>
      <c r="C373" s="70">
        <f>C56</f>
        <v>1990</v>
      </c>
      <c r="D373" s="70">
        <f>D56</f>
        <v>2018</v>
      </c>
      <c r="E373" s="70">
        <f>E56</f>
        <v>2020</v>
      </c>
      <c r="F373" s="70">
        <f>C373</f>
        <v>1990</v>
      </c>
      <c r="G373" s="70">
        <f>D373</f>
        <v>2018</v>
      </c>
      <c r="H373" s="70">
        <f>E373</f>
        <v>2020</v>
      </c>
      <c r="I373" s="70">
        <f>C373</f>
        <v>1990</v>
      </c>
      <c r="J373" s="70">
        <f>D373</f>
        <v>2018</v>
      </c>
      <c r="K373" s="70">
        <f>E373</f>
        <v>2020</v>
      </c>
      <c r="L373" s="12"/>
      <c r="M373" s="12"/>
      <c r="N373" s="12"/>
      <c r="O373" s="12"/>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row>
    <row r="374" spans="2:52" x14ac:dyDescent="0.2">
      <c r="B374" s="3271" t="s">
        <v>106</v>
      </c>
      <c r="C374" s="24">
        <f>'E1990'!$AA$11+'E1990'!$AA$14+'E1990'!$AA$15+'E1990'!$AA$16+'E1990'!$AA$17+'E1990'!$AA$18+'E1990'!$AA$19</f>
        <v>106.37027449740566</v>
      </c>
      <c r="D374" s="24">
        <f>'E2018'!$AA$11+'E2018'!$AA$14+'E2018'!$AA$15+'E2018'!$AA$16+'E2018'!$AA$17+'E2018'!$AA$18+'E2018'!$AA$19</f>
        <v>63.169999999999995</v>
      </c>
      <c r="E374" s="24">
        <f>'E2020'!$AA$11+'E2020'!$AA$14+'E2020'!$AA$15+'E2020'!$AA$16+'E2020'!$AA$17+'E2020'!$AA$18+'E2020'!$AA$19</f>
        <v>108.22</v>
      </c>
      <c r="F374" s="24" t="str">
        <f>IFERROR((SUM('E1990'!$O$11:$Y$19)+('E1990'!$I$13+'E1990'!$I$15)/('E1990'!$I$13+'E1990'!$I$15+'E1990'!$I$21+SUM('E1990'!$I$29:$I$60))*SUM('E1990'!$O$27:$Y$27)),"0")</f>
        <v>0</v>
      </c>
      <c r="G374" s="24" t="str">
        <f>IFERROR(SUM('E2018'!$O$11:$Y$19)+('E2018'!$I$13+'E2018'!$I$15)/('E2018'!$I$13+'E2018'!$I$15+'E2018'!$I$21+SUM('E2018'!$I$29:$I$60))*SUM('E2018'!$O$27:$Y$27),"0")</f>
        <v>0</v>
      </c>
      <c r="H374" s="24" t="str">
        <f>IFERROR(SUM('E2020'!$O$11:$Y$19)+('E2020'!$I$13+'E2020'!$I$15)/('E2020'!$I$13+'E2020'!$I$15+'E2020'!$I$21+SUM('E2020'!$I$29:$I$60))*SUM('E2020'!$O$27:$Y$27),"0")</f>
        <v>0</v>
      </c>
      <c r="I374" s="24">
        <f t="shared" ref="I374:K379" si="4">C374-F374</f>
        <v>106.37027449740566</v>
      </c>
      <c r="J374" s="24">
        <f t="shared" si="4"/>
        <v>63.169999999999995</v>
      </c>
      <c r="K374" s="24">
        <f t="shared" si="4"/>
        <v>108.22</v>
      </c>
      <c r="L374" s="12"/>
      <c r="M374" s="12"/>
      <c r="N374" s="12"/>
      <c r="O374" s="12"/>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row>
    <row r="375" spans="2:52" x14ac:dyDescent="0.2">
      <c r="B375" s="3271" t="s">
        <v>107</v>
      </c>
      <c r="C375" s="24">
        <f>SUM('E1990'!$AA$28:$AA$51)</f>
        <v>0</v>
      </c>
      <c r="D375" s="24">
        <f>SUM('E2018'!$AA$28:$AA$51)</f>
        <v>21.718</v>
      </c>
      <c r="E375" s="24">
        <f>SUM('E2020'!$AA$28:$AA$51)</f>
        <v>22.437359999999998</v>
      </c>
      <c r="F375" s="24" t="str">
        <f>IFERROR(SUM('E1990'!$O$28:$Y$51)+SUM('E1990'!$I$28:$I$60)/('E1990'!$I$13+'E1990'!$I$15+'E1990'!$I$21+SUM('E1990'!$I$28:$I$60))*SUM('E1990'!$O$27:$Y$27),"0")</f>
        <v>0</v>
      </c>
      <c r="G375" s="24" t="str">
        <f>IFERROR(SUM('E2018'!$O$28:$Y$51)+SUM('E2018'!$I$28:$I$60)/('E2018'!$I$13+'E2018'!$I$15+'E2018'!$I$21+SUM('E2018'!$I$28:$I$60))*SUM('E2018'!$O$27:$Y$27),"0")</f>
        <v>0</v>
      </c>
      <c r="H375" s="24" t="str">
        <f>IFERROR(SUM('E2020'!$O$28:$Y$51)+SUM('E2020'!$I$28:$I$60)/('E2020'!$I$13+'E2020'!$I$15+'E2020'!$I$21+SUM('E2020'!$I$28:$I$60))*SUM('E2020'!$O$27:$Y$27),"0")</f>
        <v>0</v>
      </c>
      <c r="I375" s="24">
        <f t="shared" si="4"/>
        <v>0</v>
      </c>
      <c r="J375" s="24">
        <f t="shared" si="4"/>
        <v>21.718</v>
      </c>
      <c r="K375" s="24">
        <f t="shared" si="4"/>
        <v>22.437359999999998</v>
      </c>
      <c r="L375" s="12"/>
      <c r="M375" s="12"/>
      <c r="N375" s="12"/>
      <c r="O375" s="12"/>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row>
    <row r="376" spans="2:52" x14ac:dyDescent="0.2">
      <c r="B376" s="3271" t="s">
        <v>108</v>
      </c>
      <c r="C376" s="24">
        <f>'E1990'!$AA$13+'E1990'!$AA$20+'E1990'!$AA$21+'E1990'!$AA$22+SUM('E1990'!$AA$52:$AA$60)</f>
        <v>17.122527563043178</v>
      </c>
      <c r="D376" s="24">
        <f>'E2018'!$AA$13+'E2018'!$AA$20+'E2018'!$AA$21+'E2018'!$AA$22+SUM('E2018'!$AA$52:$AA$60)</f>
        <v>10.89</v>
      </c>
      <c r="E376" s="24">
        <f>'E2020'!$AA$13+'E2020'!$AA$20+'E2020'!$AA$21+'E2020'!$AA$22+SUM('E2020'!$AA$52:$AA$60)</f>
        <v>10.81</v>
      </c>
      <c r="F376" s="24" t="str">
        <f>IFERROR(SUM('E1990'!$O$22:$Y$22)+SUM('E1990'!$P$52:$Y$60)+('E1990'!$I$21)/('E1990'!$I$13+'E1990'!$I$15+'E1990'!$I$21+SUM('E1990'!$I$28:$I$60))*SUM('E1990'!$O$27:$Y$27),"0")</f>
        <v>0</v>
      </c>
      <c r="G376" s="24" t="str">
        <f>IFERROR(SUM('E2018'!$O$22:$Y$22)+SUM('E2018'!$P$52:$Y$60)+('E2018'!$I$21)/('E2018'!$I$13+'E2018'!$I$15+'E2018'!$I$21+SUM('E2018'!$I$28:$I$60))*SUM('E2018'!$O$27:$Y$27),"0")</f>
        <v>0</v>
      </c>
      <c r="H376" s="24" t="str">
        <f>IFERROR(SUM('E2020'!$O$22:$Y$22)+SUM('E2020'!$P$52:$Y$60)+('E2020'!$I$21)/('E2020'!$I$13+'E2020'!$I$15+'E2020'!$I$21+SUM('E2020'!$I$28:$I$60))*SUM('E2020'!$O$27:$Y$27),"0")</f>
        <v>0</v>
      </c>
      <c r="I376" s="24">
        <f t="shared" si="4"/>
        <v>17.122527563043178</v>
      </c>
      <c r="J376" s="24">
        <f t="shared" si="4"/>
        <v>10.89</v>
      </c>
      <c r="K376" s="24">
        <f t="shared" si="4"/>
        <v>10.81</v>
      </c>
      <c r="L376" s="12"/>
      <c r="M376" s="12"/>
      <c r="N376" s="12"/>
      <c r="O376" s="12"/>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row>
    <row r="377" spans="2:52" x14ac:dyDescent="0.2">
      <c r="B377" s="3271" t="s">
        <v>109</v>
      </c>
      <c r="C377" s="24">
        <f>SUM('E1990'!$AA$61:$AA$80)</f>
        <v>73.207830402159487</v>
      </c>
      <c r="D377" s="24">
        <f>SUM('E2018'!$AA$61:$AA$80)</f>
        <v>97.716000000000022</v>
      </c>
      <c r="E377" s="24">
        <f>SUM('E2020'!$AA$61:$AA$80)</f>
        <v>80.41</v>
      </c>
      <c r="F377" s="20">
        <f>SUM('E1990'!$S$61:$S$80)</f>
        <v>0</v>
      </c>
      <c r="G377" s="24">
        <f>SUM('E2018'!$S$61:$S$80)</f>
        <v>2.6319699999999999</v>
      </c>
      <c r="H377" s="24">
        <f>SUM('E2020'!$S$61:$S$80)</f>
        <v>4.729820000000001</v>
      </c>
      <c r="I377" s="24">
        <f t="shared" si="4"/>
        <v>73.207830402159487</v>
      </c>
      <c r="J377" s="24">
        <f t="shared" si="4"/>
        <v>95.084030000000027</v>
      </c>
      <c r="K377" s="24">
        <f t="shared" si="4"/>
        <v>75.680179999999993</v>
      </c>
      <c r="L377" s="12"/>
      <c r="M377" s="12"/>
      <c r="N377" s="12"/>
      <c r="O377" s="12"/>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row>
    <row r="378" spans="2:52" x14ac:dyDescent="0.2">
      <c r="B378" s="3271" t="s">
        <v>162</v>
      </c>
      <c r="C378" s="24">
        <f>SUM('E1990'!$AA$23:$AA$26)</f>
        <v>1.7762934374999999</v>
      </c>
      <c r="D378" s="24">
        <f>SUM('E2018'!$AA$23:$AA$26)</f>
        <v>18.64</v>
      </c>
      <c r="E378" s="24">
        <f>SUM('E2020'!$AA$23:$AA$26)</f>
        <v>26.94</v>
      </c>
      <c r="F378" s="24">
        <f>SUM('E1990'!$AA$23:$AA$26)</f>
        <v>1.7762934374999999</v>
      </c>
      <c r="G378" s="24">
        <f>SUM('E2018'!$AA$23:$AA$26)</f>
        <v>18.64</v>
      </c>
      <c r="H378" s="24">
        <f>SUM('E2020'!$AA$23:$AA$26)</f>
        <v>26.94</v>
      </c>
      <c r="I378" s="24">
        <f t="shared" si="4"/>
        <v>0</v>
      </c>
      <c r="J378" s="24">
        <f t="shared" si="4"/>
        <v>0</v>
      </c>
      <c r="K378" s="24">
        <f t="shared" si="4"/>
        <v>0</v>
      </c>
      <c r="L378" s="12"/>
      <c r="M378" s="12"/>
      <c r="N378" s="12"/>
      <c r="O378" s="12"/>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row>
    <row r="379" spans="2:52" x14ac:dyDescent="0.2">
      <c r="B379" s="3271" t="s">
        <v>110</v>
      </c>
      <c r="C379" s="24">
        <f>'E1990'!$AA$12</f>
        <v>47.766958828937327</v>
      </c>
      <c r="D379" s="24">
        <f>'E2018'!$AA$12</f>
        <v>36.624084278714058</v>
      </c>
      <c r="E379" s="24">
        <f>'E2020'!$AA$12</f>
        <v>28.262897773245289</v>
      </c>
      <c r="F379" s="24">
        <f>C379*'E1990'!$A$87%</f>
        <v>0</v>
      </c>
      <c r="G379" s="24">
        <f>E379*'E2018'!$A$87%</f>
        <v>12.435675020227928</v>
      </c>
      <c r="H379" s="24">
        <f>E379*'E2020'!$A$87%</f>
        <v>16.638367919109502</v>
      </c>
      <c r="I379" s="24">
        <f t="shared" si="4"/>
        <v>47.766958828937327</v>
      </c>
      <c r="J379" s="24">
        <f t="shared" si="4"/>
        <v>24.188409258486132</v>
      </c>
      <c r="K379" s="24">
        <f t="shared" si="4"/>
        <v>11.624529854135787</v>
      </c>
      <c r="L379" s="12"/>
      <c r="M379" s="12"/>
      <c r="N379" s="12"/>
      <c r="O379" s="12"/>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row>
    <row r="380" spans="2:52" x14ac:dyDescent="0.2">
      <c r="B380" s="3272" t="s">
        <v>97</v>
      </c>
      <c r="C380" s="3273">
        <f t="shared" ref="C380:K380" si="5">SUM(C374:C379)</f>
        <v>246.24388472904565</v>
      </c>
      <c r="D380" s="3273">
        <f t="shared" si="5"/>
        <v>248.75808427871408</v>
      </c>
      <c r="E380" s="3273">
        <f t="shared" si="5"/>
        <v>277.08025777324525</v>
      </c>
      <c r="F380" s="3273">
        <f t="shared" si="5"/>
        <v>1.7762934374999999</v>
      </c>
      <c r="G380" s="3273">
        <f t="shared" si="5"/>
        <v>33.707645020227929</v>
      </c>
      <c r="H380" s="3273">
        <f t="shared" si="5"/>
        <v>48.3081879191095</v>
      </c>
      <c r="I380" s="3273">
        <f t="shared" si="5"/>
        <v>244.46759129154566</v>
      </c>
      <c r="J380" s="3273">
        <f t="shared" si="5"/>
        <v>215.05043925848614</v>
      </c>
      <c r="K380" s="3273">
        <f t="shared" si="5"/>
        <v>228.77206985413579</v>
      </c>
      <c r="L380" s="12"/>
      <c r="M380" s="12"/>
      <c r="N380" s="12"/>
      <c r="O380" s="12"/>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row>
    <row r="381" spans="2:52" x14ac:dyDescent="0.2">
      <c r="F381" s="31"/>
      <c r="G381" s="31"/>
      <c r="H381" s="31"/>
      <c r="L381" s="12"/>
      <c r="M381" s="12"/>
      <c r="N381" s="12"/>
      <c r="O381" s="12"/>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row>
    <row r="382" spans="2:52" x14ac:dyDescent="0.2">
      <c r="C382" s="88"/>
      <c r="D382" s="88"/>
      <c r="E382" s="88"/>
      <c r="F382" s="88"/>
      <c r="G382" s="88"/>
      <c r="H382" s="88"/>
      <c r="I382" s="88"/>
      <c r="J382" s="88"/>
      <c r="K382" s="88"/>
      <c r="L382" s="12"/>
      <c r="M382" s="12"/>
      <c r="N382" s="12"/>
      <c r="O382" s="12"/>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row>
    <row r="383" spans="2:52" x14ac:dyDescent="0.2">
      <c r="B383" s="82" t="s">
        <v>111</v>
      </c>
      <c r="C383" s="55"/>
      <c r="D383" s="55"/>
      <c r="E383" s="55"/>
      <c r="F383" s="55"/>
      <c r="G383" s="55"/>
      <c r="H383" s="3255"/>
      <c r="I383" s="3255"/>
      <c r="J383" s="3255"/>
      <c r="K383" s="3255"/>
      <c r="L383" s="101"/>
      <c r="M383" s="101"/>
      <c r="N383" s="101"/>
      <c r="O383" s="101"/>
      <c r="P383" s="101"/>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row>
    <row r="384" spans="2:52" x14ac:dyDescent="0.2">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row>
    <row r="385" spans="10:52" x14ac:dyDescent="0.2">
      <c r="K385" s="96"/>
      <c r="L385" s="96"/>
      <c r="M385" s="96"/>
      <c r="N385" s="96"/>
      <c r="O385" s="96"/>
      <c r="P385" s="96"/>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row>
    <row r="386" spans="10:52" x14ac:dyDescent="0.2">
      <c r="J386" s="102"/>
      <c r="K386" s="97"/>
      <c r="L386" s="97"/>
      <c r="M386" s="97"/>
      <c r="N386" s="97"/>
      <c r="O386" s="97"/>
      <c r="P386" s="97"/>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row>
    <row r="387" spans="10:52" x14ac:dyDescent="0.2">
      <c r="J387" s="97"/>
      <c r="K387" s="97"/>
      <c r="L387" s="97"/>
      <c r="M387" s="97"/>
      <c r="N387" s="97"/>
      <c r="O387" s="97"/>
      <c r="P387" s="97"/>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row>
    <row r="388" spans="10:52" x14ac:dyDescent="0.2">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row>
    <row r="389" spans="10:52" x14ac:dyDescent="0.2">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row>
    <row r="390" spans="10:52" x14ac:dyDescent="0.2">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row>
    <row r="391" spans="10:52" x14ac:dyDescent="0.2">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row>
    <row r="392" spans="10:52" x14ac:dyDescent="0.2">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row>
    <row r="393" spans="10:52" x14ac:dyDescent="0.2">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row>
    <row r="394" spans="10:52" x14ac:dyDescent="0.2">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row>
    <row r="395" spans="10:52" x14ac:dyDescent="0.2">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row>
    <row r="396" spans="10:52" x14ac:dyDescent="0.2">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row>
    <row r="397" spans="10:52" x14ac:dyDescent="0.2">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row>
    <row r="398" spans="10:52" x14ac:dyDescent="0.2">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row>
    <row r="399" spans="10:52" x14ac:dyDescent="0.2">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row>
    <row r="400" spans="10:52" x14ac:dyDescent="0.2">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row>
    <row r="401" spans="2:52" x14ac:dyDescent="0.2">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row>
    <row r="402" spans="2:52" x14ac:dyDescent="0.2">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row>
    <row r="403" spans="2:52" x14ac:dyDescent="0.2">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row>
    <row r="404" spans="2:52" x14ac:dyDescent="0.2">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row>
    <row r="405" spans="2:52" x14ac:dyDescent="0.2">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row>
    <row r="406" spans="2:52" x14ac:dyDescent="0.2">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row>
    <row r="407" spans="2:52" x14ac:dyDescent="0.2">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row>
    <row r="408" spans="2:52" x14ac:dyDescent="0.2">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row>
    <row r="409" spans="2:52" x14ac:dyDescent="0.2">
      <c r="C409" s="73"/>
      <c r="D409" s="73"/>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row>
    <row r="410" spans="2:52" x14ac:dyDescent="0.2">
      <c r="C410" s="73"/>
      <c r="D410" s="73"/>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row>
    <row r="411" spans="2:52" x14ac:dyDescent="0.2">
      <c r="C411" s="73"/>
      <c r="D411" s="73"/>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row>
    <row r="412" spans="2:52" x14ac:dyDescent="0.2">
      <c r="B412" s="82" t="s">
        <v>112</v>
      </c>
      <c r="C412" s="55"/>
      <c r="D412" s="55"/>
      <c r="E412" s="55"/>
      <c r="F412" s="55"/>
      <c r="G412" s="55"/>
      <c r="H412" s="55"/>
      <c r="I412" s="55"/>
      <c r="J412" s="55"/>
      <c r="K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row>
    <row r="413" spans="2:52" x14ac:dyDescent="0.2">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row>
    <row r="414" spans="2:52" x14ac:dyDescent="0.2">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row>
    <row r="415" spans="2:52" x14ac:dyDescent="0.2">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row>
    <row r="416" spans="2:52" x14ac:dyDescent="0.2">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row>
    <row r="417" spans="22:52" x14ac:dyDescent="0.2">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row>
    <row r="418" spans="22:52" x14ac:dyDescent="0.2">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row>
    <row r="419" spans="22:52" x14ac:dyDescent="0.2">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row>
    <row r="420" spans="22:52" x14ac:dyDescent="0.2">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row>
    <row r="421" spans="22:52" x14ac:dyDescent="0.2">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row>
    <row r="422" spans="22:52" x14ac:dyDescent="0.2">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row>
    <row r="423" spans="22:52" x14ac:dyDescent="0.2">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row>
    <row r="424" spans="22:52" x14ac:dyDescent="0.2">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row>
    <row r="425" spans="22:52" x14ac:dyDescent="0.2">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row>
    <row r="426" spans="22:52" x14ac:dyDescent="0.2">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row>
    <row r="427" spans="22:52" x14ac:dyDescent="0.2">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row>
    <row r="428" spans="22:52" x14ac:dyDescent="0.2">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row>
    <row r="429" spans="22:52" x14ac:dyDescent="0.2">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row>
    <row r="430" spans="22:52" x14ac:dyDescent="0.2">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row>
    <row r="431" spans="22:52" x14ac:dyDescent="0.2">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row>
    <row r="432" spans="22:52" x14ac:dyDescent="0.2">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row>
    <row r="433" spans="2:52" x14ac:dyDescent="0.2">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row>
    <row r="434" spans="2:52" x14ac:dyDescent="0.2">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row>
    <row r="435" spans="2:52" x14ac:dyDescent="0.2">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row>
    <row r="436" spans="2:52" x14ac:dyDescent="0.2">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row>
    <row r="437" spans="2:52" x14ac:dyDescent="0.2">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row>
    <row r="438" spans="2:52" x14ac:dyDescent="0.2">
      <c r="C438" s="73"/>
      <c r="D438" s="73"/>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row>
    <row r="439" spans="2:52" x14ac:dyDescent="0.2">
      <c r="C439" s="73"/>
      <c r="D439" s="73"/>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row>
    <row r="440" spans="2:52" x14ac:dyDescent="0.2">
      <c r="C440" s="73"/>
      <c r="D440" s="73"/>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row>
    <row r="441" spans="2:52" x14ac:dyDescent="0.2">
      <c r="B441" s="82" t="s">
        <v>113</v>
      </c>
      <c r="C441" s="55"/>
      <c r="D441" s="55"/>
      <c r="E441" s="55"/>
      <c r="F441" s="55"/>
      <c r="G441" s="55"/>
      <c r="H441" s="55"/>
      <c r="I441" s="55"/>
      <c r="J441" s="55"/>
      <c r="K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row>
    <row r="442" spans="2:52" x14ac:dyDescent="0.2">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row>
    <row r="443" spans="2:52" x14ac:dyDescent="0.2">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row>
    <row r="444" spans="2:52" x14ac:dyDescent="0.2">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row>
    <row r="445" spans="2:52" x14ac:dyDescent="0.2">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row>
    <row r="446" spans="2:52" x14ac:dyDescent="0.2">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row>
    <row r="447" spans="2:52" x14ac:dyDescent="0.2">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row>
    <row r="448" spans="2:52" x14ac:dyDescent="0.2">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row>
    <row r="449" spans="22:52" x14ac:dyDescent="0.2">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row>
    <row r="450" spans="22:52" x14ac:dyDescent="0.2">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row>
    <row r="451" spans="22:52" x14ac:dyDescent="0.2">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row>
    <row r="452" spans="22:52" x14ac:dyDescent="0.2">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row>
    <row r="453" spans="22:52" x14ac:dyDescent="0.2">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row>
    <row r="454" spans="22:52" x14ac:dyDescent="0.2">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row>
    <row r="455" spans="22:52" x14ac:dyDescent="0.2">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row>
    <row r="456" spans="22:52" x14ac:dyDescent="0.2">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row>
    <row r="457" spans="22:52" x14ac:dyDescent="0.2">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row>
    <row r="458" spans="22:52" x14ac:dyDescent="0.2">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row>
    <row r="459" spans="22:52" x14ac:dyDescent="0.2">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row>
    <row r="460" spans="22:52" x14ac:dyDescent="0.2">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row>
    <row r="461" spans="22:52" x14ac:dyDescent="0.2">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row>
    <row r="462" spans="22:52" x14ac:dyDescent="0.2">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row>
    <row r="463" spans="22:52" x14ac:dyDescent="0.2">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row>
    <row r="464" spans="22:52" x14ac:dyDescent="0.2">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row>
    <row r="465" spans="2:52" x14ac:dyDescent="0.2">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row>
    <row r="466" spans="2:52" x14ac:dyDescent="0.2">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row>
    <row r="467" spans="2:52" x14ac:dyDescent="0.2">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row>
    <row r="468" spans="2:52" x14ac:dyDescent="0.2">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row>
    <row r="469" spans="2:52" x14ac:dyDescent="0.2">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row>
    <row r="470" spans="2:52" x14ac:dyDescent="0.2">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row>
    <row r="471" spans="2:52" x14ac:dyDescent="0.2">
      <c r="B471" s="82" t="s">
        <v>114</v>
      </c>
      <c r="C471" s="55"/>
      <c r="D471" s="55"/>
      <c r="E471" s="55"/>
      <c r="F471" s="55"/>
      <c r="G471" s="55"/>
      <c r="H471" s="55"/>
      <c r="I471" s="55"/>
      <c r="J471" s="55"/>
      <c r="K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row>
    <row r="472" spans="2:52" x14ac:dyDescent="0.2">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row>
    <row r="473" spans="2:52" x14ac:dyDescent="0.2">
      <c r="B473" s="5014" t="s">
        <v>114</v>
      </c>
      <c r="C473" s="5015"/>
      <c r="D473" s="3264" t="s">
        <v>79</v>
      </c>
      <c r="E473" s="3264" t="s">
        <v>79</v>
      </c>
      <c r="F473" s="3264" t="s">
        <v>79</v>
      </c>
      <c r="G473" s="3264" t="s">
        <v>499</v>
      </c>
      <c r="H473" s="3264" t="s">
        <v>499</v>
      </c>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row>
    <row r="474" spans="2:52" x14ac:dyDescent="0.2">
      <c r="B474" s="5016"/>
      <c r="C474" s="5017"/>
      <c r="D474" s="3264" t="s">
        <v>89</v>
      </c>
      <c r="E474" s="3264" t="s">
        <v>80</v>
      </c>
      <c r="F474" s="3264" t="s">
        <v>1</v>
      </c>
      <c r="G474" s="3264" t="s">
        <v>89</v>
      </c>
      <c r="H474" s="3264" t="s">
        <v>80</v>
      </c>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row>
    <row r="475" spans="2:52" x14ac:dyDescent="0.2">
      <c r="B475" s="5008" t="s">
        <v>106</v>
      </c>
      <c r="C475" s="3274">
        <f>F373</f>
        <v>1990</v>
      </c>
      <c r="D475" s="24" t="str" cm="1">
        <f t="array" ref="D475:D477">TRANSPOSE(F374:H374)</f>
        <v>0</v>
      </c>
      <c r="E475" s="24" cm="1">
        <f t="array" ref="E475:E477">TRANSPOSE('Grafer-energi'!I374:K374)</f>
        <v>106.37027449740566</v>
      </c>
      <c r="F475" s="278">
        <f>SUM(D475:E475)</f>
        <v>106.37027449740566</v>
      </c>
      <c r="G475" s="281">
        <f>D475/$F475</f>
        <v>0</v>
      </c>
      <c r="H475" s="281">
        <f>E475/$F475</f>
        <v>1</v>
      </c>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row>
    <row r="476" spans="2:52" x14ac:dyDescent="0.2">
      <c r="B476" s="5009"/>
      <c r="C476" s="3275">
        <f>G373</f>
        <v>2018</v>
      </c>
      <c r="D476" s="2531" t="str">
        <v>0</v>
      </c>
      <c r="E476" s="2531">
        <v>63.169999999999995</v>
      </c>
      <c r="F476" s="278">
        <f t="shared" ref="F476:F492" si="6">SUM(D476:E476)</f>
        <v>63.169999999999995</v>
      </c>
      <c r="G476" s="281">
        <f>D476/$F476</f>
        <v>0</v>
      </c>
      <c r="H476" s="281">
        <f t="shared" ref="H476:H492" si="7">E476/$F476</f>
        <v>1</v>
      </c>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row>
    <row r="477" spans="2:52" x14ac:dyDescent="0.2">
      <c r="B477" s="5010"/>
      <c r="C477" s="3274">
        <f>H373</f>
        <v>2020</v>
      </c>
      <c r="D477" s="24" t="str">
        <v>0</v>
      </c>
      <c r="E477" s="24">
        <v>108.22</v>
      </c>
      <c r="F477" s="278">
        <f t="shared" si="6"/>
        <v>108.22</v>
      </c>
      <c r="G477" s="281">
        <f t="shared" ref="G477:G492" si="8">D477/$F477</f>
        <v>0</v>
      </c>
      <c r="H477" s="281">
        <f t="shared" si="7"/>
        <v>1</v>
      </c>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row>
    <row r="478" spans="2:52" x14ac:dyDescent="0.2">
      <c r="B478" s="5008" t="s">
        <v>107</v>
      </c>
      <c r="C478" s="3274">
        <f t="shared" ref="C478:C490" si="9">C475</f>
        <v>1990</v>
      </c>
      <c r="D478" s="24" t="str" cm="1">
        <f t="array" ref="D478:D480">TRANSPOSE('Grafer-energi'!F375:H375)</f>
        <v>0</v>
      </c>
      <c r="E478" s="24" cm="1">
        <f t="array" ref="E478:E480">TRANSPOSE('Grafer-energi'!I375:K375)</f>
        <v>0</v>
      </c>
      <c r="F478" s="278">
        <f t="shared" si="6"/>
        <v>0</v>
      </c>
      <c r="G478" s="4219" t="str">
        <f>IFERROR(D478/$F478,"0%")</f>
        <v>0%</v>
      </c>
      <c r="H478" s="4219" t="str">
        <f>IFERROR(E478/$F478,"0%")</f>
        <v>0%</v>
      </c>
      <c r="J478" s="49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row>
    <row r="479" spans="2:52" x14ac:dyDescent="0.2">
      <c r="B479" s="5009"/>
      <c r="C479" s="3274">
        <f t="shared" si="9"/>
        <v>2018</v>
      </c>
      <c r="D479" s="2531" t="str">
        <v>0</v>
      </c>
      <c r="E479" s="2531">
        <v>21.718</v>
      </c>
      <c r="F479" s="278">
        <f t="shared" si="6"/>
        <v>21.718</v>
      </c>
      <c r="G479" s="281">
        <f t="shared" si="8"/>
        <v>0</v>
      </c>
      <c r="H479" s="281">
        <f t="shared" si="7"/>
        <v>1</v>
      </c>
      <c r="J479" s="49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row>
    <row r="480" spans="2:52" x14ac:dyDescent="0.2">
      <c r="B480" s="5010"/>
      <c r="C480" s="3274">
        <f t="shared" si="9"/>
        <v>2020</v>
      </c>
      <c r="D480" s="24" t="str">
        <v>0</v>
      </c>
      <c r="E480" s="24">
        <v>22.437359999999998</v>
      </c>
      <c r="F480" s="278">
        <f t="shared" si="6"/>
        <v>22.437359999999998</v>
      </c>
      <c r="G480" s="281">
        <f t="shared" si="8"/>
        <v>0</v>
      </c>
      <c r="H480" s="281">
        <f t="shared" si="7"/>
        <v>1</v>
      </c>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row>
    <row r="481" spans="2:52" x14ac:dyDescent="0.2">
      <c r="B481" s="5008" t="s">
        <v>108</v>
      </c>
      <c r="C481" s="3274">
        <f t="shared" si="9"/>
        <v>1990</v>
      </c>
      <c r="D481" s="24" t="str" cm="1">
        <f t="array" ref="D481:D483">TRANSPOSE('Grafer-energi'!F376:H376)</f>
        <v>0</v>
      </c>
      <c r="E481" s="24" cm="1">
        <f t="array" ref="E481:E483">TRANSPOSE('Grafer-energi'!I376:K376)</f>
        <v>17.122527563043178</v>
      </c>
      <c r="F481" s="278">
        <f t="shared" si="6"/>
        <v>17.122527563043178</v>
      </c>
      <c r="G481" s="281">
        <f t="shared" si="8"/>
        <v>0</v>
      </c>
      <c r="H481" s="281">
        <f t="shared" si="7"/>
        <v>1</v>
      </c>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row>
    <row r="482" spans="2:52" x14ac:dyDescent="0.2">
      <c r="B482" s="5009"/>
      <c r="C482" s="3274">
        <f t="shared" si="9"/>
        <v>2018</v>
      </c>
      <c r="D482" s="2531" t="str">
        <v>0</v>
      </c>
      <c r="E482" s="2531">
        <v>10.89</v>
      </c>
      <c r="F482" s="278">
        <f t="shared" si="6"/>
        <v>10.89</v>
      </c>
      <c r="G482" s="281">
        <f t="shared" si="8"/>
        <v>0</v>
      </c>
      <c r="H482" s="281">
        <f t="shared" si="7"/>
        <v>1</v>
      </c>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row>
    <row r="483" spans="2:52" x14ac:dyDescent="0.2">
      <c r="B483" s="5010"/>
      <c r="C483" s="3274">
        <f t="shared" si="9"/>
        <v>2020</v>
      </c>
      <c r="D483" s="24" t="str">
        <v>0</v>
      </c>
      <c r="E483" s="24">
        <v>10.81</v>
      </c>
      <c r="F483" s="278">
        <f t="shared" si="6"/>
        <v>10.81</v>
      </c>
      <c r="G483" s="281">
        <f t="shared" si="8"/>
        <v>0</v>
      </c>
      <c r="H483" s="281">
        <f t="shared" si="7"/>
        <v>1</v>
      </c>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row>
    <row r="484" spans="2:52" x14ac:dyDescent="0.2">
      <c r="B484" s="5008" t="s">
        <v>109</v>
      </c>
      <c r="C484" s="3274">
        <f t="shared" si="9"/>
        <v>1990</v>
      </c>
      <c r="D484" s="24" cm="1">
        <f t="array" ref="D484:D486">TRANSPOSE('Grafer-energi'!F377:H377)</f>
        <v>0</v>
      </c>
      <c r="E484" s="24" cm="1">
        <f t="array" ref="E484:E486">TRANSPOSE('Grafer-energi'!I377:K377)</f>
        <v>73.207830402159487</v>
      </c>
      <c r="F484" s="278">
        <f t="shared" si="6"/>
        <v>73.207830402159487</v>
      </c>
      <c r="G484" s="281">
        <f t="shared" si="8"/>
        <v>0</v>
      </c>
      <c r="H484" s="281">
        <f t="shared" si="7"/>
        <v>1</v>
      </c>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row>
    <row r="485" spans="2:52" x14ac:dyDescent="0.2">
      <c r="B485" s="5009"/>
      <c r="C485" s="3274">
        <f t="shared" si="9"/>
        <v>2018</v>
      </c>
      <c r="D485" s="2531">
        <v>2.6319699999999999</v>
      </c>
      <c r="E485" s="2531">
        <v>95.084030000000027</v>
      </c>
      <c r="F485" s="278">
        <f t="shared" si="6"/>
        <v>97.716000000000022</v>
      </c>
      <c r="G485" s="281">
        <f t="shared" si="8"/>
        <v>2.6934892955094349E-2</v>
      </c>
      <c r="H485" s="281">
        <f t="shared" si="7"/>
        <v>0.97306510704490567</v>
      </c>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row>
    <row r="486" spans="2:52" x14ac:dyDescent="0.2">
      <c r="B486" s="5010"/>
      <c r="C486" s="3274">
        <f t="shared" si="9"/>
        <v>2020</v>
      </c>
      <c r="D486" s="24">
        <v>4.729820000000001</v>
      </c>
      <c r="E486" s="24">
        <v>75.680179999999993</v>
      </c>
      <c r="F486" s="278">
        <f t="shared" si="6"/>
        <v>80.41</v>
      </c>
      <c r="G486" s="281">
        <f t="shared" si="8"/>
        <v>5.8821290884218398E-2</v>
      </c>
      <c r="H486" s="281">
        <f t="shared" si="7"/>
        <v>0.94117870911578161</v>
      </c>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row>
    <row r="487" spans="2:52" x14ac:dyDescent="0.2">
      <c r="B487" s="5008" t="s">
        <v>162</v>
      </c>
      <c r="C487" s="3274">
        <f t="shared" si="9"/>
        <v>1990</v>
      </c>
      <c r="D487" s="24" cm="1">
        <f t="array" ref="D487:D489">TRANSPOSE('Grafer-energi'!F378:H378)</f>
        <v>1.7762934374999999</v>
      </c>
      <c r="E487" s="24" cm="1">
        <f t="array" ref="E487:E489">TRANSPOSE(('Grafer-energi'!I378:K378))</f>
        <v>0</v>
      </c>
      <c r="F487" s="278">
        <f t="shared" si="6"/>
        <v>1.7762934374999999</v>
      </c>
      <c r="G487" s="281">
        <f t="shared" si="8"/>
        <v>1</v>
      </c>
      <c r="H487" s="281">
        <f t="shared" si="7"/>
        <v>0</v>
      </c>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row>
    <row r="488" spans="2:52" x14ac:dyDescent="0.2">
      <c r="B488" s="5009"/>
      <c r="C488" s="3274">
        <f t="shared" si="9"/>
        <v>2018</v>
      </c>
      <c r="D488" s="2531">
        <v>18.64</v>
      </c>
      <c r="E488" s="2531">
        <v>0</v>
      </c>
      <c r="F488" s="278">
        <f t="shared" si="6"/>
        <v>18.64</v>
      </c>
      <c r="G488" s="281">
        <f t="shared" si="8"/>
        <v>1</v>
      </c>
      <c r="H488" s="281">
        <f t="shared" si="7"/>
        <v>0</v>
      </c>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row>
    <row r="489" spans="2:52" x14ac:dyDescent="0.2">
      <c r="B489" s="5010"/>
      <c r="C489" s="3274">
        <f t="shared" si="9"/>
        <v>2020</v>
      </c>
      <c r="D489" s="24">
        <v>26.94</v>
      </c>
      <c r="E489" s="24">
        <v>0</v>
      </c>
      <c r="F489" s="278">
        <f t="shared" si="6"/>
        <v>26.94</v>
      </c>
      <c r="G489" s="281">
        <f t="shared" si="8"/>
        <v>1</v>
      </c>
      <c r="H489" s="281">
        <f t="shared" si="7"/>
        <v>0</v>
      </c>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row>
    <row r="490" spans="2:52" x14ac:dyDescent="0.2">
      <c r="B490" s="5008" t="s">
        <v>110</v>
      </c>
      <c r="C490" s="3274">
        <f t="shared" si="9"/>
        <v>1990</v>
      </c>
      <c r="D490" s="24" cm="1">
        <f t="array" ref="D490:D492">TRANSPOSE('Grafer-energi'!F379:H379)</f>
        <v>0</v>
      </c>
      <c r="E490" s="24" cm="1">
        <f t="array" ref="E490:E492">TRANSPOSE('Grafer-energi'!I379:K379)</f>
        <v>47.766958828937327</v>
      </c>
      <c r="F490" s="278">
        <f t="shared" si="6"/>
        <v>47.766958828937327</v>
      </c>
      <c r="G490" s="281">
        <f t="shared" si="8"/>
        <v>0</v>
      </c>
      <c r="H490" s="281">
        <f t="shared" si="7"/>
        <v>1</v>
      </c>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row>
    <row r="491" spans="2:52" x14ac:dyDescent="0.2">
      <c r="B491" s="5009"/>
      <c r="C491" s="3274">
        <f t="shared" ref="C491:C492" si="10">C488</f>
        <v>2018</v>
      </c>
      <c r="D491" s="2531">
        <v>12.435675020227928</v>
      </c>
      <c r="E491" s="2531">
        <v>24.188409258486132</v>
      </c>
      <c r="F491" s="278">
        <f t="shared" si="6"/>
        <v>36.624084278714058</v>
      </c>
      <c r="G491" s="281">
        <f t="shared" si="8"/>
        <v>0.33954910450704567</v>
      </c>
      <c r="H491" s="281">
        <f t="shared" si="7"/>
        <v>0.66045089549295444</v>
      </c>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row>
    <row r="492" spans="2:52" x14ac:dyDescent="0.2">
      <c r="B492" s="5010"/>
      <c r="C492" s="3274">
        <f t="shared" si="10"/>
        <v>2020</v>
      </c>
      <c r="D492" s="24">
        <v>16.638367919109502</v>
      </c>
      <c r="E492" s="24">
        <v>11.624529854135787</v>
      </c>
      <c r="F492" s="278">
        <f t="shared" si="6"/>
        <v>28.262897773245289</v>
      </c>
      <c r="G492" s="281">
        <f t="shared" si="8"/>
        <v>0.5887</v>
      </c>
      <c r="H492" s="281">
        <f t="shared" si="7"/>
        <v>0.4113</v>
      </c>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row>
    <row r="493" spans="2:52" x14ac:dyDescent="0.2">
      <c r="B493" s="74"/>
      <c r="C493" s="75"/>
      <c r="D493" s="64"/>
      <c r="E493" s="64"/>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row>
    <row r="494" spans="2:52" x14ac:dyDescent="0.2">
      <c r="B494" s="74"/>
      <c r="C494" s="75"/>
      <c r="D494" s="64"/>
      <c r="E494" s="64"/>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row>
    <row r="495" spans="2:52" x14ac:dyDescent="0.2">
      <c r="B495" s="82" t="s">
        <v>115</v>
      </c>
      <c r="C495" s="3256"/>
      <c r="D495" s="85"/>
      <c r="E495" s="85"/>
      <c r="F495" s="55"/>
      <c r="G495" s="55"/>
      <c r="H495" s="55"/>
      <c r="I495" s="55"/>
      <c r="J495" s="55"/>
      <c r="K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row>
    <row r="496" spans="2:52" x14ac:dyDescent="0.2">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row>
    <row r="497" spans="22:52" x14ac:dyDescent="0.2">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row>
    <row r="498" spans="22:52" x14ac:dyDescent="0.2">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row>
    <row r="499" spans="22:52" x14ac:dyDescent="0.2">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row>
    <row r="500" spans="22:52" x14ac:dyDescent="0.2">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row>
    <row r="501" spans="22:52" x14ac:dyDescent="0.2">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row>
    <row r="502" spans="22:52" x14ac:dyDescent="0.2">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row>
    <row r="503" spans="22:52" x14ac:dyDescent="0.2">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row>
    <row r="504" spans="22:52" x14ac:dyDescent="0.2">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row>
    <row r="505" spans="22:52" x14ac:dyDescent="0.2">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row>
    <row r="506" spans="22:52" x14ac:dyDescent="0.2">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row>
    <row r="507" spans="22:52" x14ac:dyDescent="0.2">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row>
    <row r="508" spans="22:52" x14ac:dyDescent="0.2">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row>
    <row r="509" spans="22:52" x14ac:dyDescent="0.2">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row>
    <row r="510" spans="22:52" x14ac:dyDescent="0.2">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row>
    <row r="511" spans="22:52" x14ac:dyDescent="0.2">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row>
    <row r="512" spans="22:52" x14ac:dyDescent="0.2">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row>
    <row r="513" spans="2:52" x14ac:dyDescent="0.2">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row>
    <row r="514" spans="2:52" x14ac:dyDescent="0.2">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row>
    <row r="515" spans="2:52" x14ac:dyDescent="0.2">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row>
    <row r="516" spans="2:52" x14ac:dyDescent="0.2">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row>
    <row r="517" spans="2:52" x14ac:dyDescent="0.2">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row>
    <row r="518" spans="2:52" x14ac:dyDescent="0.2">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row>
    <row r="519" spans="2:52" x14ac:dyDescent="0.2">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row>
    <row r="520" spans="2:52" x14ac:dyDescent="0.2">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row>
    <row r="521" spans="2:52" x14ac:dyDescent="0.2">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row>
    <row r="522" spans="2:52" x14ac:dyDescent="0.2">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row>
    <row r="523" spans="2:52" x14ac:dyDescent="0.2">
      <c r="B523" s="82" t="s">
        <v>500</v>
      </c>
      <c r="C523" s="3256"/>
      <c r="D523" s="85"/>
      <c r="E523" s="85"/>
      <c r="F523" s="55"/>
      <c r="G523" s="55"/>
      <c r="H523" s="55"/>
      <c r="I523" s="55"/>
      <c r="J523" s="55"/>
      <c r="K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row>
    <row r="524" spans="2:52" x14ac:dyDescent="0.2">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row>
    <row r="525" spans="2:52" x14ac:dyDescent="0.2">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row>
    <row r="526" spans="2:52" x14ac:dyDescent="0.2">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row>
    <row r="527" spans="2:52" x14ac:dyDescent="0.2">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row>
    <row r="528" spans="2:52" x14ac:dyDescent="0.2">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row>
    <row r="529" spans="22:52" x14ac:dyDescent="0.2">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row>
    <row r="530" spans="22:52" x14ac:dyDescent="0.2">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row>
    <row r="531" spans="22:52" x14ac:dyDescent="0.2">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row>
    <row r="532" spans="22:52" x14ac:dyDescent="0.2">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row>
    <row r="533" spans="22:52" x14ac:dyDescent="0.2">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row>
    <row r="534" spans="22:52" x14ac:dyDescent="0.2">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row>
    <row r="535" spans="22:52" x14ac:dyDescent="0.2">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row>
    <row r="536" spans="22:52" x14ac:dyDescent="0.2">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row>
    <row r="537" spans="22:52" x14ac:dyDescent="0.2">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row>
    <row r="538" spans="22:52" x14ac:dyDescent="0.2">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row>
    <row r="539" spans="22:52" x14ac:dyDescent="0.2">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row>
    <row r="540" spans="22:52" x14ac:dyDescent="0.2">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row>
    <row r="541" spans="22:52" x14ac:dyDescent="0.2">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row>
    <row r="542" spans="22:52" x14ac:dyDescent="0.2">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row>
    <row r="543" spans="22:52" x14ac:dyDescent="0.2">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row>
    <row r="544" spans="22:52" x14ac:dyDescent="0.2">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row>
    <row r="545" spans="2:52" x14ac:dyDescent="0.2">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row>
    <row r="546" spans="2:52" x14ac:dyDescent="0.2">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row>
    <row r="547" spans="2:52" x14ac:dyDescent="0.2">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row>
    <row r="548" spans="2:52" x14ac:dyDescent="0.2">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row>
    <row r="549" spans="2:52" x14ac:dyDescent="0.2">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row>
    <row r="550" spans="2:52" x14ac:dyDescent="0.2">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row>
    <row r="551" spans="2:52" x14ac:dyDescent="0.2">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row>
    <row r="552" spans="2:52" x14ac:dyDescent="0.2">
      <c r="B552" s="82" t="s">
        <v>501</v>
      </c>
      <c r="C552" s="3256"/>
      <c r="D552" s="85"/>
      <c r="E552" s="85"/>
      <c r="F552" s="55"/>
      <c r="G552" s="55"/>
      <c r="H552" s="55"/>
      <c r="I552" s="55"/>
      <c r="J552" s="55"/>
      <c r="K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row>
    <row r="553" spans="2:52" x14ac:dyDescent="0.2">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row>
    <row r="554" spans="2:52" x14ac:dyDescent="0.2">
      <c r="B554"/>
      <c r="C554"/>
      <c r="D554" s="61" t="s">
        <v>79</v>
      </c>
      <c r="E554" s="61" t="s">
        <v>79</v>
      </c>
      <c r="F554" s="61" t="s">
        <v>499</v>
      </c>
      <c r="G554" s="61" t="s">
        <v>499</v>
      </c>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row>
    <row r="555" spans="2:52" x14ac:dyDescent="0.2">
      <c r="B555" s="282" t="s">
        <v>501</v>
      </c>
      <c r="C555" s="283"/>
      <c r="D555" s="61" t="s">
        <v>89</v>
      </c>
      <c r="E555" s="61" t="s">
        <v>80</v>
      </c>
      <c r="F555" s="61" t="s">
        <v>89</v>
      </c>
      <c r="G555" s="61" t="s">
        <v>80</v>
      </c>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row>
    <row r="556" spans="2:52" x14ac:dyDescent="0.2">
      <c r="B556" s="5028" t="s">
        <v>107</v>
      </c>
      <c r="C556" s="277">
        <f>$F$373</f>
        <v>1990</v>
      </c>
      <c r="D556" s="1" t="str">
        <f>$F$375</f>
        <v>0</v>
      </c>
      <c r="E556" s="1">
        <f>$I$375</f>
        <v>0</v>
      </c>
      <c r="F556" s="4218" t="str">
        <f>IFERROR(D556/($D556+$E556),"0%")</f>
        <v>0%</v>
      </c>
      <c r="G556" s="4218" t="str">
        <f>IFERROR(E556/($D556+$E556),"0%")</f>
        <v>0%</v>
      </c>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row>
    <row r="557" spans="2:52" x14ac:dyDescent="0.2">
      <c r="B557" s="5029"/>
      <c r="C557" s="277">
        <f>$G$373</f>
        <v>2018</v>
      </c>
      <c r="D557" s="1" t="str">
        <f>$G$375</f>
        <v>0</v>
      </c>
      <c r="E557" s="1">
        <f>$J$375</f>
        <v>21.718</v>
      </c>
      <c r="F557" s="281">
        <f t="shared" ref="F557" si="11">D557/($D557+$E557)</f>
        <v>0</v>
      </c>
      <c r="G557" s="281">
        <f t="shared" ref="G557" si="12">E557/($D557+$E557)</f>
        <v>1</v>
      </c>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row>
    <row r="558" spans="2:52" x14ac:dyDescent="0.2">
      <c r="B558" s="5030"/>
      <c r="C558" s="277">
        <f>$H$373</f>
        <v>2020</v>
      </c>
      <c r="D558" s="1" t="str">
        <f>$H$375</f>
        <v>0</v>
      </c>
      <c r="E558" s="1">
        <f>$K$375</f>
        <v>22.437359999999998</v>
      </c>
      <c r="F558" s="281">
        <f t="shared" ref="F558:G558" si="13">D558/($D558+$E558)</f>
        <v>0</v>
      </c>
      <c r="G558" s="281">
        <f t="shared" si="13"/>
        <v>1</v>
      </c>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row>
    <row r="559" spans="2:52" x14ac:dyDescent="0.2">
      <c r="B559" s="630"/>
      <c r="C559" s="279"/>
      <c r="D559" s="427"/>
      <c r="E559" s="427"/>
      <c r="F559" s="631"/>
      <c r="G559" s="631"/>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row>
    <row r="560" spans="2:52" x14ac:dyDescent="0.2">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row>
    <row r="561" spans="22:52" x14ac:dyDescent="0.2">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row>
    <row r="562" spans="22:52" x14ac:dyDescent="0.2">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row>
    <row r="563" spans="22:52" x14ac:dyDescent="0.2">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row>
    <row r="564" spans="22:52" x14ac:dyDescent="0.2">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row>
    <row r="565" spans="22:52" x14ac:dyDescent="0.2">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row>
    <row r="566" spans="22:52" x14ac:dyDescent="0.2">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row>
    <row r="567" spans="22:52" x14ac:dyDescent="0.2">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row>
    <row r="568" spans="22:52" x14ac:dyDescent="0.2">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row>
    <row r="569" spans="22:52" x14ac:dyDescent="0.2">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row>
    <row r="570" spans="22:52" x14ac:dyDescent="0.2">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row>
    <row r="571" spans="22:52" x14ac:dyDescent="0.2">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row>
    <row r="572" spans="22:52" x14ac:dyDescent="0.2">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row>
    <row r="573" spans="22:52" x14ac:dyDescent="0.2">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row>
    <row r="574" spans="22:52" x14ac:dyDescent="0.2">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row>
    <row r="575" spans="22:52" x14ac:dyDescent="0.2">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row>
    <row r="576" spans="22:52" x14ac:dyDescent="0.2">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row>
    <row r="577" spans="1:52" x14ac:dyDescent="0.2">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row>
    <row r="578" spans="1:52" x14ac:dyDescent="0.2">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row>
    <row r="579" spans="1:52" x14ac:dyDescent="0.2">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row>
    <row r="580" spans="1:52" x14ac:dyDescent="0.2">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row>
    <row r="581" spans="1:52" x14ac:dyDescent="0.2">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row>
    <row r="582" spans="1:52" x14ac:dyDescent="0.2">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row>
    <row r="583" spans="1:52" x14ac:dyDescent="0.2">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row>
    <row r="584" spans="1:52" x14ac:dyDescent="0.2">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row>
    <row r="585" spans="1:52" x14ac:dyDescent="0.2">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row>
    <row r="586" spans="1:52" x14ac:dyDescent="0.2">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row>
    <row r="587" spans="1:52" ht="33.75" customHeight="1" x14ac:dyDescent="0.2">
      <c r="A587" s="55"/>
      <c r="B587" s="76" t="s">
        <v>109</v>
      </c>
      <c r="C587" s="77"/>
      <c r="D587" s="77"/>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row>
    <row r="588" spans="1:52" x14ac:dyDescent="0.2">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row>
    <row r="589" spans="1:52" x14ac:dyDescent="0.2">
      <c r="B589" s="82" t="s">
        <v>116</v>
      </c>
      <c r="C589" s="3256"/>
      <c r="D589" s="85"/>
      <c r="E589" s="85"/>
      <c r="F589" s="55"/>
      <c r="G589" s="55"/>
      <c r="H589" s="55"/>
      <c r="I589" s="55"/>
      <c r="J589" s="55"/>
      <c r="K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row>
    <row r="590" spans="1:52" x14ac:dyDescent="0.2">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row>
    <row r="591" spans="1:52" x14ac:dyDescent="0.2">
      <c r="B591" s="58" t="s">
        <v>116</v>
      </c>
      <c r="C591" s="61" t="s">
        <v>79</v>
      </c>
      <c r="D591" s="61" t="s">
        <v>79</v>
      </c>
      <c r="E591" s="61" t="s">
        <v>79</v>
      </c>
      <c r="H591" s="494"/>
      <c r="I591" s="494"/>
      <c r="J591" s="494"/>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c r="AT591" s="55"/>
      <c r="AU591" s="55"/>
      <c r="AV591" s="55"/>
      <c r="AW591" s="55"/>
      <c r="AX591" s="55"/>
    </row>
    <row r="592" spans="1:52" x14ac:dyDescent="0.2">
      <c r="B592" s="58"/>
      <c r="C592" s="58">
        <f>C56</f>
        <v>1990</v>
      </c>
      <c r="D592" s="58">
        <f>D56</f>
        <v>2018</v>
      </c>
      <c r="E592" s="58">
        <f>E56</f>
        <v>2020</v>
      </c>
      <c r="H592" s="59"/>
      <c r="I592" s="59"/>
      <c r="J592" s="59"/>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c r="AT592" s="55"/>
      <c r="AU592" s="55"/>
      <c r="AV592" s="55"/>
      <c r="AW592" s="55"/>
      <c r="AX592" s="55"/>
    </row>
    <row r="593" spans="2:52" ht="25.5" x14ac:dyDescent="0.2">
      <c r="B593" s="126" t="s">
        <v>508</v>
      </c>
      <c r="C593" s="24">
        <f>'E1990'!$AA$61</f>
        <v>26.46</v>
      </c>
      <c r="D593" s="24">
        <f>'E2018'!$AA$61</f>
        <v>19.46</v>
      </c>
      <c r="E593" s="24">
        <f>'E2020'!$AA$61</f>
        <v>18.09</v>
      </c>
      <c r="H593" s="64"/>
      <c r="I593" s="64"/>
      <c r="J593" s="64"/>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c r="AT593" s="55"/>
      <c r="AU593" s="55"/>
      <c r="AV593" s="55"/>
      <c r="AW593" s="55"/>
      <c r="AX593" s="55"/>
    </row>
    <row r="594" spans="2:52" ht="25.5" x14ac:dyDescent="0.2">
      <c r="B594" s="126" t="s">
        <v>215</v>
      </c>
      <c r="C594" s="24">
        <f>'E1990'!$AA$62+'E1990'!$AA$63</f>
        <v>8.61</v>
      </c>
      <c r="D594" s="24">
        <f>'E2018'!$AA$62+'E2018'!$AA$63</f>
        <v>17.670000000000002</v>
      </c>
      <c r="E594" s="24">
        <f>'E2020'!$AA$62+'E2020'!$AA$63</f>
        <v>15.36</v>
      </c>
      <c r="H594" s="64"/>
      <c r="I594" s="64"/>
      <c r="J594" s="64"/>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c r="AT594" s="55"/>
      <c r="AU594" s="55"/>
      <c r="AV594" s="55"/>
      <c r="AW594" s="55"/>
      <c r="AX594" s="55"/>
    </row>
    <row r="595" spans="2:52" ht="25.5" x14ac:dyDescent="0.2">
      <c r="B595" s="126" t="s">
        <v>509</v>
      </c>
      <c r="C595" s="24">
        <f>'E1990'!$AH$64+'E1990'!$AH$65+'E1990'!$AA$65+'E1990'!$AA$66</f>
        <v>0</v>
      </c>
      <c r="D595" s="24">
        <f>'E2018'!$AH$64+'E2018'!$AH$65+'E2018'!$AA$65+'E2018'!$AA$66</f>
        <v>0.16122599704579024</v>
      </c>
      <c r="E595" s="24">
        <f>'E2020'!$AH$64+'E2020'!$AH$65+'E2020'!$AA$65+'E2020'!$AA$66</f>
        <v>0.35799999999999998</v>
      </c>
      <c r="H595" s="64"/>
      <c r="I595" s="64"/>
      <c r="J595" s="64"/>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c r="AT595" s="55"/>
      <c r="AU595" s="55"/>
      <c r="AV595" s="55"/>
      <c r="AW595" s="55"/>
      <c r="AX595" s="55"/>
    </row>
    <row r="596" spans="2:52" x14ac:dyDescent="0.2">
      <c r="B596" s="24" t="s">
        <v>521</v>
      </c>
      <c r="C596" s="24">
        <f>'E1990'!$AA$67+'E1990'!$AA$68</f>
        <v>3.34</v>
      </c>
      <c r="D596" s="24">
        <f>'E2018'!$AA$67+'E2018'!$AA$68</f>
        <v>2.06</v>
      </c>
      <c r="E596" s="24">
        <f>'E2020'!$AA$67+'E2020'!$AA$68</f>
        <v>1.45</v>
      </c>
      <c r="H596" s="64"/>
      <c r="I596" s="64"/>
      <c r="J596" s="64"/>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c r="AT596" s="55"/>
      <c r="AU596" s="55"/>
      <c r="AV596" s="55"/>
      <c r="AW596" s="55"/>
      <c r="AX596" s="55"/>
    </row>
    <row r="597" spans="2:52" x14ac:dyDescent="0.2">
      <c r="B597" s="24" t="s">
        <v>522</v>
      </c>
      <c r="C597" s="24">
        <f>'E1990'!$AA$69+'E1990'!$AH$70</f>
        <v>0</v>
      </c>
      <c r="D597" s="24">
        <f>'E2018'!$AA$69+'E2018'!$AH$70</f>
        <v>0</v>
      </c>
      <c r="E597" s="24">
        <f>'E2020'!$AA$69+'E2020'!$AH$70</f>
        <v>0</v>
      </c>
      <c r="H597" s="64"/>
      <c r="I597" s="64"/>
      <c r="J597" s="64"/>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c r="AT597" s="55"/>
      <c r="AU597" s="55"/>
      <c r="AV597" s="55"/>
      <c r="AW597" s="55"/>
      <c r="AX597" s="55"/>
    </row>
    <row r="598" spans="2:52" x14ac:dyDescent="0.2">
      <c r="B598" s="24" t="s">
        <v>531</v>
      </c>
      <c r="C598" s="24">
        <f>'E1990'!$AA$71+'E1990'!$AA$72</f>
        <v>8.5299999999999994</v>
      </c>
      <c r="D598" s="24">
        <f>'E2018'!$AA$71+'E2018'!$AA$72</f>
        <v>34.11</v>
      </c>
      <c r="E598" s="24">
        <f>'E2020'!$AA$71+'E2020'!$AA$72</f>
        <v>31</v>
      </c>
      <c r="H598" s="64"/>
      <c r="I598" s="64"/>
      <c r="J598" s="64"/>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c r="AT598" s="55"/>
      <c r="AU598" s="55"/>
      <c r="AV598" s="55"/>
      <c r="AW598" s="55"/>
      <c r="AX598" s="55"/>
    </row>
    <row r="599" spans="2:52" x14ac:dyDescent="0.2">
      <c r="B599" s="24" t="s">
        <v>523</v>
      </c>
      <c r="C599" s="24">
        <f>'E1990'!$AA$73+'E1990'!$AH$74</f>
        <v>0</v>
      </c>
      <c r="D599" s="24">
        <f>'E2018'!$AA$73+'E2018'!$AH$74</f>
        <v>0</v>
      </c>
      <c r="E599" s="24">
        <f>'E2020'!$AA$73+'E2020'!$AH$74</f>
        <v>0</v>
      </c>
      <c r="H599" s="64"/>
      <c r="I599" s="64"/>
      <c r="J599" s="64"/>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c r="AT599" s="55"/>
      <c r="AU599" s="55"/>
      <c r="AV599" s="55"/>
      <c r="AW599" s="55"/>
      <c r="AX599" s="55"/>
    </row>
    <row r="600" spans="2:52" x14ac:dyDescent="0.2">
      <c r="B600" s="24" t="s">
        <v>4</v>
      </c>
      <c r="C600" s="24">
        <f>+'E1990'!$AA$75</f>
        <v>7.0269586273894555</v>
      </c>
      <c r="D600" s="24">
        <f>+'E2018'!$AA$75</f>
        <v>7.43</v>
      </c>
      <c r="E600" s="24">
        <f>+'E2020'!$AA$75</f>
        <v>7.1</v>
      </c>
      <c r="H600" s="64"/>
      <c r="I600" s="64"/>
      <c r="J600" s="64"/>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c r="AT600" s="55"/>
      <c r="AU600" s="55"/>
      <c r="AV600" s="55"/>
      <c r="AW600" s="55"/>
      <c r="AX600" s="55"/>
    </row>
    <row r="601" spans="2:52" x14ac:dyDescent="0.2">
      <c r="B601" s="24" t="s">
        <v>8</v>
      </c>
      <c r="C601" s="24">
        <f>+'E1990'!$AA$76+'E1990'!$AA$77+'E1990'!$AA$78</f>
        <v>1.961507860425528</v>
      </c>
      <c r="D601" s="24">
        <f>+'E2018'!$AA$76+'E2018'!$AA$77+'E2018'!$AA$78</f>
        <v>0.95</v>
      </c>
      <c r="E601" s="24">
        <f>+'E2020'!$AA$76+'E2020'!$AA$77+'E2020'!$AA$78</f>
        <v>0.81</v>
      </c>
      <c r="H601" s="64"/>
      <c r="I601" s="64"/>
      <c r="J601" s="64"/>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c r="AT601" s="55"/>
      <c r="AU601" s="55"/>
      <c r="AV601" s="55"/>
      <c r="AW601" s="55"/>
      <c r="AX601" s="55"/>
    </row>
    <row r="602" spans="2:52" x14ac:dyDescent="0.2">
      <c r="B602" s="24" t="s">
        <v>9</v>
      </c>
      <c r="C602" s="24">
        <f>+'E1990'!$AA$79</f>
        <v>14.177058645182885</v>
      </c>
      <c r="D602" s="24">
        <f>+'E2018'!$AA$79</f>
        <v>13.995000000000001</v>
      </c>
      <c r="E602" s="24">
        <f>+'E2020'!$AA$79</f>
        <v>4.96</v>
      </c>
      <c r="H602" s="64"/>
      <c r="I602" s="64"/>
      <c r="J602" s="64"/>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c r="AT602" s="55"/>
      <c r="AU602" s="55"/>
      <c r="AV602" s="55"/>
      <c r="AW602" s="55"/>
      <c r="AX602" s="55"/>
    </row>
    <row r="603" spans="2:52" x14ac:dyDescent="0.2">
      <c r="B603" s="24" t="s">
        <v>5</v>
      </c>
      <c r="C603" s="24">
        <f>+'E1990'!$AA$80</f>
        <v>3.1023052691616186</v>
      </c>
      <c r="D603" s="24">
        <f>+'E2018'!$AA$80</f>
        <v>2.0009999999999999</v>
      </c>
      <c r="E603" s="24">
        <f>+'E2020'!$AA$80</f>
        <v>1.5</v>
      </c>
      <c r="H603" s="64"/>
      <c r="I603" s="64"/>
      <c r="J603" s="64"/>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c r="AT603" s="55"/>
      <c r="AU603" s="55"/>
      <c r="AV603" s="55"/>
      <c r="AW603" s="55"/>
      <c r="AX603" s="55"/>
    </row>
    <row r="604" spans="2:52" x14ac:dyDescent="0.2">
      <c r="B604" s="70" t="s">
        <v>97</v>
      </c>
      <c r="C604" s="71">
        <f>SUM(C593:C603)</f>
        <v>73.207830402159487</v>
      </c>
      <c r="D604" s="71">
        <f>SUM(D593:D603)</f>
        <v>97.83722599704582</v>
      </c>
      <c r="E604" s="71">
        <f>SUM(E593:E603)</f>
        <v>80.628</v>
      </c>
      <c r="H604" s="310"/>
      <c r="I604" s="310"/>
      <c r="J604" s="310"/>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c r="AT604" s="55"/>
      <c r="AU604" s="55"/>
      <c r="AV604" s="55"/>
      <c r="AW604" s="55"/>
      <c r="AX604" s="55"/>
    </row>
    <row r="605" spans="2:52" x14ac:dyDescent="0.2">
      <c r="B605" s="68"/>
      <c r="C605" s="68"/>
      <c r="D605" s="68"/>
      <c r="E605" s="68"/>
      <c r="F605" s="68"/>
      <c r="J605" s="64"/>
      <c r="K605" s="64"/>
      <c r="L605" s="64"/>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row>
    <row r="606" spans="2:52" x14ac:dyDescent="0.2">
      <c r="B606" s="68"/>
      <c r="C606" s="68"/>
      <c r="D606" s="68"/>
      <c r="E606" s="68"/>
      <c r="F606" s="68"/>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row>
    <row r="607" spans="2:52" x14ac:dyDescent="0.2">
      <c r="B607" s="82" t="s">
        <v>117</v>
      </c>
      <c r="C607" s="3256"/>
      <c r="D607" s="85"/>
      <c r="E607" s="85"/>
      <c r="F607" s="55"/>
      <c r="G607" s="55"/>
      <c r="H607" s="55"/>
      <c r="I607" s="55"/>
      <c r="J607" s="55"/>
      <c r="K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row>
    <row r="608" spans="2:52" x14ac:dyDescent="0.2">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row>
    <row r="609" spans="22:52" x14ac:dyDescent="0.2">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row>
    <row r="610" spans="22:52" x14ac:dyDescent="0.2">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row>
    <row r="611" spans="22:52" x14ac:dyDescent="0.2">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row>
    <row r="612" spans="22:52" x14ac:dyDescent="0.2">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row>
    <row r="613" spans="22:52" x14ac:dyDescent="0.2">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row>
    <row r="614" spans="22:52" x14ac:dyDescent="0.2">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row>
    <row r="615" spans="22:52" x14ac:dyDescent="0.2">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row>
    <row r="616" spans="22:52" x14ac:dyDescent="0.2">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row>
    <row r="617" spans="22:52" x14ac:dyDescent="0.2">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row>
    <row r="618" spans="22:52" x14ac:dyDescent="0.2">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row>
    <row r="619" spans="22:52" x14ac:dyDescent="0.2">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row>
    <row r="620" spans="22:52" x14ac:dyDescent="0.2">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row>
    <row r="621" spans="22:52" x14ac:dyDescent="0.2">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row>
    <row r="622" spans="22:52" x14ac:dyDescent="0.2">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row>
    <row r="623" spans="22:52" x14ac:dyDescent="0.2">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row>
    <row r="624" spans="22:52" x14ac:dyDescent="0.2">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row>
    <row r="625" spans="2:52" x14ac:dyDescent="0.2">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row>
    <row r="626" spans="2:52" x14ac:dyDescent="0.2">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row>
    <row r="627" spans="2:52" x14ac:dyDescent="0.2">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row>
    <row r="628" spans="2:52" x14ac:dyDescent="0.2">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row>
    <row r="629" spans="2:52" x14ac:dyDescent="0.2">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row>
    <row r="630" spans="2:52" x14ac:dyDescent="0.2">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row>
    <row r="631" spans="2:52" x14ac:dyDescent="0.2">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row>
    <row r="632" spans="2:52" x14ac:dyDescent="0.2">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row>
    <row r="633" spans="2:52" x14ac:dyDescent="0.2">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row>
    <row r="634" spans="2:52" x14ac:dyDescent="0.2">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row>
    <row r="635" spans="2:52" x14ac:dyDescent="0.2">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row>
    <row r="636" spans="2:52" x14ac:dyDescent="0.2">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row>
    <row r="637" spans="2:52" x14ac:dyDescent="0.2">
      <c r="B637" s="82" t="s">
        <v>118</v>
      </c>
      <c r="C637" s="3256"/>
      <c r="D637" s="85"/>
      <c r="E637" s="85"/>
      <c r="F637" s="55"/>
      <c r="G637" s="55"/>
      <c r="H637" s="55"/>
      <c r="I637" s="55"/>
      <c r="J637" s="55"/>
      <c r="K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row>
    <row r="638" spans="2:52" x14ac:dyDescent="0.2">
      <c r="C638" s="68"/>
      <c r="D638" s="68"/>
      <c r="J638" s="12"/>
      <c r="K638" s="12"/>
      <c r="L638" s="12"/>
      <c r="M638" s="12"/>
      <c r="N638" s="12"/>
      <c r="O638" s="12"/>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row>
    <row r="639" spans="2:52" x14ac:dyDescent="0.2">
      <c r="B639" s="59"/>
      <c r="C639" s="68"/>
      <c r="D639" s="68"/>
      <c r="J639" s="12"/>
      <c r="K639" s="12"/>
      <c r="L639" s="12"/>
      <c r="M639" s="12"/>
      <c r="N639" s="12"/>
      <c r="O639" s="12"/>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row>
    <row r="640" spans="2:52" x14ac:dyDescent="0.2">
      <c r="B640" s="59"/>
      <c r="C640" s="68"/>
      <c r="D640" s="68"/>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row>
    <row r="641" spans="2:52" x14ac:dyDescent="0.2">
      <c r="B641" s="59"/>
      <c r="C641" s="68"/>
      <c r="D641" s="68"/>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row>
    <row r="642" spans="2:52" x14ac:dyDescent="0.2">
      <c r="B642" s="59"/>
      <c r="C642" s="68"/>
      <c r="D642" s="68"/>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row>
    <row r="643" spans="2:52" x14ac:dyDescent="0.2">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row>
    <row r="644" spans="2:52" x14ac:dyDescent="0.2">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row>
    <row r="645" spans="2:52" x14ac:dyDescent="0.2">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row>
    <row r="646" spans="2:52" x14ac:dyDescent="0.2">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row>
    <row r="647" spans="2:52" x14ac:dyDescent="0.2">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row>
    <row r="648" spans="2:52" x14ac:dyDescent="0.2">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row>
    <row r="649" spans="2:52" x14ac:dyDescent="0.2">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row>
    <row r="650" spans="2:52" x14ac:dyDescent="0.2">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row>
    <row r="651" spans="2:52" x14ac:dyDescent="0.2">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row>
    <row r="652" spans="2:52" x14ac:dyDescent="0.2">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row>
    <row r="653" spans="2:52" x14ac:dyDescent="0.2">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row>
    <row r="654" spans="2:52" x14ac:dyDescent="0.2">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row>
    <row r="655" spans="2:52" x14ac:dyDescent="0.2">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row>
    <row r="656" spans="2:52" x14ac:dyDescent="0.2">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row>
    <row r="657" spans="2:52" x14ac:dyDescent="0.2">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row>
    <row r="658" spans="2:52" x14ac:dyDescent="0.2">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row>
    <row r="659" spans="2:52" x14ac:dyDescent="0.2">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row>
    <row r="660" spans="2:52" x14ac:dyDescent="0.2">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row>
    <row r="661" spans="2:52" x14ac:dyDescent="0.2">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row>
    <row r="662" spans="2:52" x14ac:dyDescent="0.2">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row>
    <row r="663" spans="2:52" x14ac:dyDescent="0.2">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row>
    <row r="664" spans="2:52" x14ac:dyDescent="0.2">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row>
    <row r="665" spans="2:52" x14ac:dyDescent="0.2">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row>
    <row r="666" spans="2:52" x14ac:dyDescent="0.2">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row>
    <row r="667" spans="2:52" x14ac:dyDescent="0.2">
      <c r="B667" s="82" t="s">
        <v>116</v>
      </c>
      <c r="C667" s="3256"/>
      <c r="D667" s="85"/>
      <c r="E667" s="85"/>
      <c r="F667" s="55"/>
      <c r="G667" s="55"/>
      <c r="H667" s="55"/>
      <c r="I667" s="55"/>
      <c r="J667" s="55"/>
      <c r="K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row>
    <row r="668" spans="2:52" x14ac:dyDescent="0.2">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row>
    <row r="669" spans="2:52" x14ac:dyDescent="0.2">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row>
    <row r="670" spans="2:52" x14ac:dyDescent="0.2">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row>
    <row r="671" spans="2:52" x14ac:dyDescent="0.2">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row>
    <row r="672" spans="2:52" x14ac:dyDescent="0.2">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row>
    <row r="673" spans="22:52" x14ac:dyDescent="0.2">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row>
    <row r="674" spans="22:52" x14ac:dyDescent="0.2">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row>
    <row r="675" spans="22:52" x14ac:dyDescent="0.2">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row>
    <row r="676" spans="22:52" x14ac:dyDescent="0.2">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row>
    <row r="677" spans="22:52" x14ac:dyDescent="0.2">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row>
    <row r="678" spans="22:52" x14ac:dyDescent="0.2">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row>
    <row r="679" spans="22:52" x14ac:dyDescent="0.2">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row>
    <row r="680" spans="22:52" x14ac:dyDescent="0.2">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row>
    <row r="681" spans="22:52" x14ac:dyDescent="0.2">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row>
    <row r="682" spans="22:52" x14ac:dyDescent="0.2">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row>
    <row r="683" spans="22:52" x14ac:dyDescent="0.2">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row>
    <row r="684" spans="22:52" x14ac:dyDescent="0.2">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row>
    <row r="685" spans="22:52" x14ac:dyDescent="0.2">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row>
    <row r="686" spans="22:52" x14ac:dyDescent="0.2">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row>
    <row r="687" spans="22:52" x14ac:dyDescent="0.2">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row>
    <row r="688" spans="22:52" x14ac:dyDescent="0.2">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row>
    <row r="689" spans="1:52" x14ac:dyDescent="0.2">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row>
    <row r="690" spans="1:52" x14ac:dyDescent="0.2">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row>
    <row r="691" spans="1:52" x14ac:dyDescent="0.2">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row>
    <row r="692" spans="1:52" x14ac:dyDescent="0.2">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row>
    <row r="693" spans="1:52" x14ac:dyDescent="0.2">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row>
    <row r="694" spans="1:52" x14ac:dyDescent="0.2">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row>
    <row r="695" spans="1:52" x14ac:dyDescent="0.2">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row>
    <row r="696" spans="1:52" x14ac:dyDescent="0.2">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row>
    <row r="697" spans="1:52" ht="33.75" customHeight="1" x14ac:dyDescent="0.2">
      <c r="A697" s="55"/>
      <c r="B697" s="76" t="s">
        <v>119</v>
      </c>
      <c r="C697" s="77"/>
      <c r="D697" s="77"/>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row>
    <row r="698" spans="1:52" x14ac:dyDescent="0.2">
      <c r="B698" s="59"/>
      <c r="C698" s="68"/>
      <c r="D698" s="68"/>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row>
    <row r="699" spans="1:52" x14ac:dyDescent="0.2">
      <c r="B699" s="59"/>
      <c r="C699" s="68"/>
      <c r="D699" s="68"/>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row>
    <row r="700" spans="1:52" x14ac:dyDescent="0.2">
      <c r="B700" s="59"/>
      <c r="C700" s="68"/>
      <c r="D700" s="68"/>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row>
    <row r="701" spans="1:52" x14ac:dyDescent="0.2">
      <c r="B701" s="59"/>
      <c r="C701" s="68"/>
      <c r="D701" s="68"/>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row>
    <row r="702" spans="1:52" x14ac:dyDescent="0.2">
      <c r="B702" s="59"/>
      <c r="C702" s="68"/>
      <c r="D702" s="68"/>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row>
    <row r="703" spans="1:52" x14ac:dyDescent="0.2">
      <c r="B703" s="59"/>
      <c r="C703" s="68"/>
      <c r="D703" s="68"/>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row>
    <row r="704" spans="1:52" x14ac:dyDescent="0.2">
      <c r="B704" s="59"/>
      <c r="C704" s="68"/>
      <c r="D704" s="68"/>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row>
    <row r="705" spans="1:52" x14ac:dyDescent="0.2">
      <c r="B705" s="59"/>
      <c r="C705" s="68"/>
      <c r="D705" s="68"/>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row>
    <row r="706" spans="1:52" x14ac:dyDescent="0.2">
      <c r="B706" s="59"/>
      <c r="C706" s="68"/>
      <c r="D706" s="68"/>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row>
    <row r="707" spans="1:52" ht="14.25" x14ac:dyDescent="0.25">
      <c r="B707" s="60" t="s">
        <v>120</v>
      </c>
      <c r="C707" s="61" t="s">
        <v>5149</v>
      </c>
      <c r="D707" s="61" t="s">
        <v>5149</v>
      </c>
      <c r="E707" s="4041" t="s">
        <v>5149</v>
      </c>
      <c r="H707" s="494"/>
      <c r="I707" s="494"/>
      <c r="J707" s="494"/>
      <c r="V707" s="62"/>
      <c r="W707" s="62"/>
      <c r="X707" s="62"/>
      <c r="Y707" s="62"/>
      <c r="Z707" s="62"/>
      <c r="AA707" s="62"/>
      <c r="AB707" s="62"/>
      <c r="AC707" s="62"/>
      <c r="AD707" s="55"/>
      <c r="AE707" s="55"/>
      <c r="AF707" s="55"/>
      <c r="AG707" s="55"/>
      <c r="AH707" s="55"/>
      <c r="AI707" s="55"/>
      <c r="AJ707" s="55"/>
      <c r="AK707" s="55"/>
      <c r="AL707" s="55"/>
      <c r="AM707" s="55"/>
      <c r="AN707" s="55"/>
      <c r="AO707" s="55"/>
      <c r="AP707" s="55"/>
      <c r="AQ707" s="55"/>
      <c r="AR707" s="55"/>
      <c r="AS707" s="55"/>
      <c r="AT707" s="55"/>
      <c r="AU707" s="55"/>
      <c r="AV707" s="55"/>
      <c r="AW707" s="55"/>
      <c r="AX707" s="55"/>
    </row>
    <row r="708" spans="1:52" x14ac:dyDescent="0.2">
      <c r="B708" s="28"/>
      <c r="C708" s="58">
        <f>C56</f>
        <v>1990</v>
      </c>
      <c r="D708" s="58">
        <f>D56</f>
        <v>2018</v>
      </c>
      <c r="E708" s="58">
        <f>E56</f>
        <v>2020</v>
      </c>
      <c r="H708" s="59"/>
      <c r="I708" s="59"/>
      <c r="J708" s="59"/>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c r="AT708" s="55"/>
      <c r="AU708" s="55"/>
      <c r="AV708" s="55"/>
      <c r="AW708" s="55"/>
      <c r="AX708" s="55"/>
    </row>
    <row r="709" spans="1:52" x14ac:dyDescent="0.2">
      <c r="B709" s="28" t="s">
        <v>10</v>
      </c>
      <c r="C709" s="24">
        <f>'E1990'!$A$82</f>
        <v>11.368536201287085</v>
      </c>
      <c r="D709" s="24">
        <f>'E2018'!$A$82</f>
        <v>4.5457813406739884</v>
      </c>
      <c r="E709" s="24">
        <f>'E2020'!$A$82</f>
        <v>2.4650899437824543</v>
      </c>
      <c r="H709" s="64"/>
      <c r="I709" s="64"/>
      <c r="J709" s="64"/>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c r="AT709" s="55"/>
      <c r="AU709" s="55"/>
      <c r="AV709" s="55"/>
      <c r="AW709" s="55"/>
      <c r="AX709" s="55"/>
    </row>
    <row r="710" spans="1:52" ht="12.75" customHeight="1" x14ac:dyDescent="0.2">
      <c r="A710" s="5011" t="s">
        <v>121</v>
      </c>
      <c r="B710" s="28" t="s">
        <v>82</v>
      </c>
      <c r="C710" s="24">
        <f>'E1990'!$C$82</f>
        <v>0</v>
      </c>
      <c r="D710" s="24">
        <f>'E2018'!$C$82</f>
        <v>0</v>
      </c>
      <c r="E710" s="24">
        <f>'E2020'!$C$82</f>
        <v>0</v>
      </c>
      <c r="H710" s="64"/>
      <c r="I710" s="64"/>
      <c r="J710" s="64"/>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c r="AT710" s="55"/>
      <c r="AU710" s="55"/>
      <c r="AV710" s="55"/>
      <c r="AW710" s="55"/>
      <c r="AX710" s="55"/>
    </row>
    <row r="711" spans="1:52" x14ac:dyDescent="0.2">
      <c r="A711" s="5012"/>
      <c r="B711" s="28" t="s">
        <v>83</v>
      </c>
      <c r="C711" s="24">
        <f>'E1990'!$I$82+'E1990'!$B$82</f>
        <v>0.29629978608519786</v>
      </c>
      <c r="D711" s="24">
        <f>'E2018'!$I$82+'E2018'!$B$82</f>
        <v>5.7671999999999994E-2</v>
      </c>
      <c r="E711" s="24">
        <f>'E2020'!$I$82+'E2020'!$B$82</f>
        <v>5.2488E-2</v>
      </c>
      <c r="H711" s="64"/>
      <c r="I711" s="64"/>
      <c r="J711" s="64"/>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c r="AT711" s="55"/>
      <c r="AU711" s="55"/>
      <c r="AV711" s="55"/>
      <c r="AW711" s="55"/>
      <c r="AX711" s="55"/>
    </row>
    <row r="712" spans="1:52" x14ac:dyDescent="0.2">
      <c r="A712" s="5012"/>
      <c r="B712" s="28" t="s">
        <v>84</v>
      </c>
      <c r="C712" s="24">
        <f>'E1990'!$D$82</f>
        <v>0.13761424692007979</v>
      </c>
      <c r="D712" s="24">
        <f>'E2018'!$D$82</f>
        <v>7.9030000000000007E-5</v>
      </c>
      <c r="E712" s="24">
        <f>'E2020'!$D$82</f>
        <v>1.0273900000000001E-2</v>
      </c>
      <c r="H712" s="64"/>
      <c r="I712" s="64"/>
      <c r="J712" s="64"/>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c r="AT712" s="55"/>
      <c r="AU712" s="55"/>
      <c r="AV712" s="55"/>
      <c r="AW712" s="55"/>
      <c r="AX712" s="55"/>
    </row>
    <row r="713" spans="1:52" x14ac:dyDescent="0.2">
      <c r="A713" s="5012"/>
      <c r="B713" s="28" t="s">
        <v>85</v>
      </c>
      <c r="C713" s="24">
        <f>'E1990'!$E$82+'E1990'!$F$82</f>
        <v>9.2402315060989899</v>
      </c>
      <c r="D713" s="24">
        <f>'E2018'!$E$82+'E2018'!$F$82</f>
        <v>6.4793610570000002</v>
      </c>
      <c r="E713" s="24">
        <f>'E2020'!$E$82+'E2020'!$F$82</f>
        <v>6.2127900119999984</v>
      </c>
      <c r="H713" s="64"/>
      <c r="I713" s="64"/>
      <c r="J713" s="64"/>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c r="AT713" s="55"/>
      <c r="AU713" s="55"/>
      <c r="AV713" s="55"/>
      <c r="AW713" s="55"/>
      <c r="AX713" s="55"/>
    </row>
    <row r="714" spans="1:52" x14ac:dyDescent="0.2">
      <c r="A714" s="5012"/>
      <c r="B714" s="28" t="s">
        <v>86</v>
      </c>
      <c r="C714" s="24">
        <f>'E1990'!$G$82</f>
        <v>1.0152973769061042</v>
      </c>
      <c r="D714" s="24">
        <f>'E2018'!$G$82</f>
        <v>1.0065600000000001</v>
      </c>
      <c r="E714" s="24">
        <f>'E2020'!$G$82</f>
        <v>0.35640000000000005</v>
      </c>
      <c r="H714" s="64"/>
      <c r="I714" s="64"/>
      <c r="J714" s="64"/>
      <c r="V714" s="55"/>
      <c r="W714" s="55"/>
      <c r="X714" s="55"/>
      <c r="Y714" s="55"/>
      <c r="Z714" s="55"/>
      <c r="AA714" s="55"/>
      <c r="AB714" s="55"/>
      <c r="AC714" s="55"/>
      <c r="AD714" s="55"/>
      <c r="AE714" s="55"/>
      <c r="AF714" s="55"/>
      <c r="AG714" s="55"/>
      <c r="AH714" s="55"/>
      <c r="AI714" s="55"/>
      <c r="AJ714" s="55"/>
      <c r="AK714" s="55"/>
      <c r="AL714" s="55"/>
      <c r="AM714" s="55"/>
      <c r="AN714" s="55"/>
      <c r="AO714" s="55"/>
      <c r="AP714" s="55"/>
      <c r="AQ714" s="55"/>
      <c r="AR714" s="55"/>
      <c r="AS714" s="55"/>
      <c r="AT714" s="55"/>
      <c r="AU714" s="55"/>
      <c r="AV714" s="55"/>
      <c r="AW714" s="55"/>
      <c r="AX714" s="55"/>
    </row>
    <row r="715" spans="1:52" x14ac:dyDescent="0.2">
      <c r="A715" s="5012"/>
      <c r="B715" s="28" t="s">
        <v>87</v>
      </c>
      <c r="C715" s="24">
        <f>'E1990'!$H$82</f>
        <v>1.9371065517352173</v>
      </c>
      <c r="D715" s="24">
        <f>'E2018'!$H$82</f>
        <v>1.3804489800000002</v>
      </c>
      <c r="E715" s="24">
        <f>'E2020'!$H$82</f>
        <v>1.2488883799999999</v>
      </c>
      <c r="H715" s="64"/>
      <c r="I715" s="64"/>
      <c r="J715" s="64"/>
      <c r="V715" s="55"/>
      <c r="W715" s="55"/>
      <c r="X715" s="55"/>
      <c r="Y715" s="55"/>
      <c r="Z715" s="55"/>
      <c r="AA715" s="55"/>
      <c r="AB715" s="55"/>
      <c r="AC715" s="55"/>
      <c r="AD715" s="55"/>
      <c r="AE715" s="55"/>
      <c r="AF715" s="55"/>
      <c r="AG715" s="55"/>
      <c r="AH715" s="55"/>
      <c r="AI715" s="55"/>
      <c r="AJ715" s="55"/>
      <c r="AK715" s="55"/>
      <c r="AL715" s="55"/>
      <c r="AM715" s="55"/>
      <c r="AN715" s="55"/>
      <c r="AO715" s="55"/>
      <c r="AP715" s="55"/>
      <c r="AQ715" s="55"/>
      <c r="AR715" s="55"/>
      <c r="AS715" s="55"/>
      <c r="AT715" s="55"/>
      <c r="AU715" s="55"/>
      <c r="AV715" s="55"/>
      <c r="AW715" s="55"/>
      <c r="AX715" s="55"/>
    </row>
    <row r="716" spans="1:52" x14ac:dyDescent="0.2">
      <c r="A716" s="5013"/>
      <c r="B716" s="28" t="s">
        <v>88</v>
      </c>
      <c r="C716" s="24">
        <f>'E1990'!$Z$82</f>
        <v>0</v>
      </c>
      <c r="D716" s="24">
        <f>'E2018'!$Z$82</f>
        <v>0</v>
      </c>
      <c r="E716" s="24">
        <f>'E2020'!$Z$82</f>
        <v>0</v>
      </c>
      <c r="H716" s="64"/>
      <c r="I716" s="64"/>
      <c r="J716" s="64"/>
      <c r="V716" s="55"/>
      <c r="W716" s="55"/>
      <c r="X716" s="55"/>
      <c r="Y716" s="55"/>
      <c r="Z716" s="55"/>
      <c r="AA716" s="55"/>
      <c r="AB716" s="55"/>
      <c r="AC716" s="55"/>
      <c r="AD716" s="55"/>
      <c r="AE716" s="55"/>
      <c r="AF716" s="55"/>
      <c r="AG716" s="55"/>
      <c r="AH716" s="55"/>
      <c r="AI716" s="55"/>
      <c r="AJ716" s="55"/>
      <c r="AK716" s="55"/>
      <c r="AL716" s="55"/>
      <c r="AM716" s="55"/>
      <c r="AN716" s="55"/>
      <c r="AO716" s="55"/>
      <c r="AP716" s="55"/>
      <c r="AQ716" s="55"/>
      <c r="AR716" s="55"/>
      <c r="AS716" s="55"/>
      <c r="AT716" s="55"/>
      <c r="AU716" s="55"/>
      <c r="AV716" s="55"/>
      <c r="AW716" s="55"/>
      <c r="AX716" s="55"/>
    </row>
    <row r="717" spans="1:52" ht="12.75" customHeight="1" x14ac:dyDescent="0.2">
      <c r="A717" s="5007" t="s">
        <v>89</v>
      </c>
      <c r="B717" s="28" t="s">
        <v>90</v>
      </c>
      <c r="C717" s="24">
        <f>'E1990'!$X$82</f>
        <v>0</v>
      </c>
      <c r="D717" s="24">
        <f>'E2018'!$X$82</f>
        <v>0</v>
      </c>
      <c r="E717" s="24">
        <f>'E2020'!$X$82</f>
        <v>0</v>
      </c>
      <c r="H717" s="64"/>
      <c r="I717" s="64"/>
      <c r="J717" s="64"/>
      <c r="V717" s="55"/>
      <c r="W717" s="55"/>
      <c r="X717" s="55"/>
      <c r="Y717" s="55"/>
      <c r="Z717" s="55"/>
      <c r="AA717" s="55"/>
      <c r="AB717" s="55"/>
      <c r="AC717" s="55"/>
      <c r="AD717" s="55"/>
      <c r="AE717" s="55"/>
      <c r="AF717" s="55"/>
      <c r="AG717" s="55"/>
      <c r="AH717" s="55"/>
      <c r="AI717" s="55"/>
      <c r="AJ717" s="55"/>
      <c r="AK717" s="55"/>
      <c r="AL717" s="55"/>
      <c r="AM717" s="55"/>
      <c r="AN717" s="55"/>
      <c r="AO717" s="55"/>
      <c r="AP717" s="55"/>
      <c r="AQ717" s="55"/>
      <c r="AR717" s="55"/>
      <c r="AS717" s="55"/>
      <c r="AT717" s="55"/>
      <c r="AU717" s="55"/>
      <c r="AV717" s="55"/>
      <c r="AW717" s="55"/>
      <c r="AX717" s="55"/>
    </row>
    <row r="718" spans="1:52" x14ac:dyDescent="0.2">
      <c r="A718" s="5007"/>
      <c r="B718" s="28" t="s">
        <v>91</v>
      </c>
      <c r="C718" s="24">
        <f>'E1990'!$S$82+'E1990'!$T$82+'E1990'!$U$82+'E1990'!$V$82</f>
        <v>0</v>
      </c>
      <c r="D718" s="24">
        <f>'E2018'!$S$82+'E2018'!$T$82+'E2018'!$U$82+'E2018'!$V$82</f>
        <v>0</v>
      </c>
      <c r="E718" s="24">
        <f>'E2020'!$S$82+'E2020'!$T$82+'E2020'!$U$82+'E2020'!$V$82</f>
        <v>0</v>
      </c>
      <c r="H718" s="64"/>
      <c r="I718" s="64"/>
      <c r="J718" s="64"/>
      <c r="V718" s="55"/>
      <c r="W718" s="55"/>
      <c r="X718" s="55"/>
      <c r="Y718" s="55"/>
      <c r="Z718" s="55"/>
      <c r="AA718" s="55"/>
      <c r="AB718" s="55"/>
      <c r="AC718" s="55"/>
      <c r="AD718" s="55"/>
      <c r="AE718" s="55"/>
      <c r="AF718" s="55"/>
      <c r="AG718" s="55"/>
      <c r="AH718" s="55"/>
      <c r="AI718" s="55"/>
      <c r="AJ718" s="55"/>
      <c r="AK718" s="55"/>
      <c r="AL718" s="55"/>
      <c r="AM718" s="55"/>
      <c r="AN718" s="55"/>
      <c r="AO718" s="55"/>
      <c r="AP718" s="55"/>
      <c r="AQ718" s="55"/>
      <c r="AR718" s="55"/>
      <c r="AS718" s="55"/>
      <c r="AT718" s="55"/>
      <c r="AU718" s="55"/>
      <c r="AV718" s="55"/>
      <c r="AW718" s="55"/>
      <c r="AX718" s="55"/>
    </row>
    <row r="719" spans="1:52" x14ac:dyDescent="0.2">
      <c r="A719" s="5007"/>
      <c r="B719" s="28" t="s">
        <v>92</v>
      </c>
      <c r="C719" s="24">
        <f>'E1990'!$M$82</f>
        <v>0</v>
      </c>
      <c r="D719" s="24">
        <f>'E2018'!$M$82</f>
        <v>0</v>
      </c>
      <c r="E719" s="24">
        <f>'E2020'!$M$82</f>
        <v>0</v>
      </c>
      <c r="H719" s="64"/>
      <c r="I719" s="64"/>
      <c r="J719" s="64"/>
      <c r="V719" s="55"/>
      <c r="W719" s="55"/>
      <c r="X719" s="55"/>
      <c r="Y719" s="55"/>
      <c r="Z719" s="55"/>
      <c r="AA719" s="55"/>
      <c r="AB719" s="55"/>
      <c r="AC719" s="55"/>
      <c r="AD719" s="55"/>
      <c r="AE719" s="55"/>
      <c r="AF719" s="55"/>
      <c r="AG719" s="55"/>
      <c r="AH719" s="55"/>
      <c r="AI719" s="55"/>
      <c r="AJ719" s="55"/>
      <c r="AK719" s="55"/>
      <c r="AL719" s="55"/>
      <c r="AM719" s="55"/>
      <c r="AN719" s="55"/>
      <c r="AO719" s="55"/>
      <c r="AP719" s="55"/>
      <c r="AQ719" s="55"/>
      <c r="AR719" s="55"/>
      <c r="AS719" s="55"/>
      <c r="AT719" s="55"/>
      <c r="AU719" s="55"/>
      <c r="AV719" s="55"/>
      <c r="AW719" s="55"/>
      <c r="AX719" s="55"/>
    </row>
    <row r="720" spans="1:52" x14ac:dyDescent="0.2">
      <c r="A720" s="5007"/>
      <c r="B720" s="28" t="s">
        <v>93</v>
      </c>
      <c r="C720" s="24">
        <f>'E1990'!$R$82+'E1990'!$W$82+'E1990'!$Y$82</f>
        <v>0</v>
      </c>
      <c r="D720" s="24">
        <f>'E2018'!$R$82+'E2018'!$W$82+'E2018'!$Y$82</f>
        <v>0</v>
      </c>
      <c r="E720" s="24">
        <f>'E2020'!$R$82+'E2020'!$W$82+'E2020'!$Y$82</f>
        <v>0</v>
      </c>
      <c r="H720" s="64"/>
      <c r="I720" s="64"/>
      <c r="J720" s="64"/>
      <c r="V720" s="55"/>
      <c r="W720" s="55"/>
      <c r="X720" s="55"/>
      <c r="Y720" s="55"/>
      <c r="Z720" s="55"/>
      <c r="AA720" s="55"/>
      <c r="AB720" s="55"/>
      <c r="AC720" s="55"/>
      <c r="AD720" s="55"/>
      <c r="AE720" s="55"/>
      <c r="AF720" s="55"/>
      <c r="AG720" s="55"/>
      <c r="AH720" s="55"/>
      <c r="AI720" s="55"/>
      <c r="AJ720" s="55"/>
      <c r="AK720" s="55"/>
      <c r="AL720" s="55"/>
      <c r="AM720" s="55"/>
      <c r="AN720" s="55"/>
      <c r="AO720" s="55"/>
      <c r="AP720" s="55"/>
      <c r="AQ720" s="55"/>
      <c r="AR720" s="55"/>
      <c r="AS720" s="55"/>
      <c r="AT720" s="55"/>
      <c r="AU720" s="55"/>
      <c r="AV720" s="55"/>
      <c r="AW720" s="55"/>
      <c r="AX720" s="55"/>
    </row>
    <row r="721" spans="1:50" x14ac:dyDescent="0.2">
      <c r="A721" s="5007"/>
      <c r="B721" s="28" t="s">
        <v>94</v>
      </c>
      <c r="C721" s="24">
        <f>'E1990'!$O$82</f>
        <v>0</v>
      </c>
      <c r="D721" s="24">
        <f>'E2018'!$O$82</f>
        <v>0</v>
      </c>
      <c r="E721" s="24">
        <f>'E2020'!$O$82</f>
        <v>0</v>
      </c>
      <c r="H721" s="64"/>
      <c r="I721" s="64"/>
      <c r="J721" s="64"/>
      <c r="V721" s="55"/>
      <c r="W721" s="55"/>
      <c r="X721" s="55"/>
      <c r="Y721" s="55"/>
      <c r="Z721" s="55"/>
      <c r="AA721" s="55"/>
      <c r="AB721" s="55"/>
      <c r="AC721" s="55"/>
      <c r="AD721" s="55"/>
      <c r="AE721" s="55"/>
      <c r="AF721" s="55"/>
      <c r="AG721" s="55"/>
      <c r="AH721" s="55"/>
      <c r="AI721" s="55"/>
      <c r="AJ721" s="55"/>
      <c r="AK721" s="55"/>
      <c r="AL721" s="55"/>
      <c r="AM721" s="55"/>
      <c r="AN721" s="55"/>
      <c r="AO721" s="55"/>
      <c r="AP721" s="55"/>
      <c r="AQ721" s="55"/>
      <c r="AR721" s="55"/>
      <c r="AS721" s="55"/>
      <c r="AT721" s="55"/>
      <c r="AU721" s="55"/>
      <c r="AV721" s="55"/>
      <c r="AW721" s="55"/>
      <c r="AX721" s="55"/>
    </row>
    <row r="722" spans="1:50" x14ac:dyDescent="0.2">
      <c r="A722" s="5007"/>
      <c r="B722" s="28" t="s">
        <v>216</v>
      </c>
      <c r="C722" s="24">
        <f>'E1990'!$N$82+'E1990'!$P$82+'E1990'!$Q$82+'E1990'!$J$82+'E1990'!$K$82+'E1990'!$L$82</f>
        <v>0</v>
      </c>
      <c r="D722" s="24">
        <f>'E2018'!$N$82+'E2018'!$P$82+'E2018'!$Q$82+'E2018'!$J$82+'E2018'!$K$82+'E2018'!$L$82</f>
        <v>0</v>
      </c>
      <c r="E722" s="24">
        <f>'E2020'!$N$82+'E2020'!$P$82+'E2020'!$Q$82+'E2020'!$J$82+'E2020'!$K$82+'E2020'!$L$82</f>
        <v>0</v>
      </c>
      <c r="H722" s="64"/>
      <c r="I722" s="64"/>
      <c r="J722" s="64"/>
      <c r="V722" s="55"/>
      <c r="W722" s="55"/>
      <c r="X722" s="55"/>
      <c r="Y722" s="55"/>
      <c r="Z722" s="55"/>
      <c r="AA722" s="55"/>
      <c r="AB722" s="55"/>
      <c r="AC722" s="55"/>
      <c r="AD722" s="55"/>
      <c r="AE722" s="55"/>
      <c r="AF722" s="55"/>
      <c r="AG722" s="55"/>
      <c r="AH722" s="55"/>
      <c r="AI722" s="55"/>
      <c r="AJ722" s="55"/>
      <c r="AK722" s="55"/>
      <c r="AL722" s="55"/>
      <c r="AM722" s="55"/>
      <c r="AN722" s="55"/>
      <c r="AO722" s="55"/>
      <c r="AP722" s="55"/>
      <c r="AQ722" s="55"/>
      <c r="AR722" s="55"/>
      <c r="AS722" s="55"/>
      <c r="AT722" s="55"/>
      <c r="AU722" s="55"/>
      <c r="AV722" s="55"/>
      <c r="AW722" s="55"/>
      <c r="AX722" s="55"/>
    </row>
    <row r="723" spans="1:50" x14ac:dyDescent="0.2">
      <c r="A723" s="5007"/>
      <c r="B723" s="28" t="s">
        <v>514</v>
      </c>
      <c r="C723" s="24">
        <f>IF('E1990'!$I$81&lt;0,'E1990'!$I$81*'E1990'!$I$89,0)/1000</f>
        <v>0</v>
      </c>
      <c r="D723" s="24">
        <f>IF('E2018'!$I$81&lt;0,'E2018'!$I$81*'E2018'!$I$89,0)/1000</f>
        <v>0</v>
      </c>
      <c r="E723" s="24">
        <f>IF('E2020'!$I$81&lt;0,'E2020'!$I$81*'E2020'!$I$89,0)/1000</f>
        <v>0</v>
      </c>
      <c r="H723" s="64"/>
      <c r="I723" s="64"/>
      <c r="J723" s="64"/>
      <c r="V723" s="55"/>
      <c r="W723" s="55"/>
      <c r="X723" s="55"/>
      <c r="Y723" s="55"/>
      <c r="Z723" s="55"/>
      <c r="AA723" s="55"/>
      <c r="AB723" s="55"/>
      <c r="AC723" s="55"/>
      <c r="AD723" s="55"/>
      <c r="AE723" s="55"/>
      <c r="AF723" s="55"/>
      <c r="AG723" s="55"/>
      <c r="AH723" s="55"/>
      <c r="AI723" s="55"/>
      <c r="AJ723" s="55"/>
      <c r="AK723" s="55"/>
      <c r="AL723" s="55"/>
      <c r="AM723" s="55"/>
      <c r="AN723" s="55"/>
      <c r="AO723" s="55"/>
      <c r="AP723" s="55"/>
      <c r="AQ723" s="55"/>
      <c r="AR723" s="55"/>
      <c r="AS723" s="55"/>
      <c r="AT723" s="55"/>
      <c r="AU723" s="55"/>
      <c r="AV723" s="55"/>
      <c r="AW723" s="55"/>
      <c r="AX723" s="55"/>
    </row>
    <row r="724" spans="1:50" x14ac:dyDescent="0.2">
      <c r="B724" s="58" t="s">
        <v>97</v>
      </c>
      <c r="C724" s="292">
        <f>SUM(C709:C722)</f>
        <v>23.995085669032672</v>
      </c>
      <c r="D724" s="292">
        <f>SUM(D709:D722)</f>
        <v>13.46990240767399</v>
      </c>
      <c r="E724" s="292">
        <f>SUM(E709:E722)</f>
        <v>10.345930235782454</v>
      </c>
      <c r="H724" s="68"/>
      <c r="I724" s="68"/>
      <c r="J724" s="68"/>
      <c r="V724" s="55"/>
      <c r="W724" s="55"/>
      <c r="X724" s="55"/>
      <c r="Y724" s="55"/>
      <c r="Z724" s="55"/>
      <c r="AA724" s="55"/>
      <c r="AB724" s="55"/>
      <c r="AC724" s="55"/>
      <c r="AD724" s="55"/>
      <c r="AE724" s="55"/>
      <c r="AF724" s="55"/>
      <c r="AG724" s="55"/>
      <c r="AH724" s="55"/>
      <c r="AI724" s="55"/>
      <c r="AJ724" s="55"/>
      <c r="AK724" s="55"/>
      <c r="AL724" s="55"/>
      <c r="AM724" s="55"/>
      <c r="AN724" s="55"/>
      <c r="AO724" s="55"/>
      <c r="AP724" s="55"/>
      <c r="AQ724" s="55"/>
      <c r="AR724" s="55"/>
      <c r="AS724" s="55"/>
      <c r="AT724" s="55"/>
      <c r="AU724" s="55"/>
      <c r="AV724" s="55"/>
      <c r="AW724" s="55"/>
      <c r="AX724" s="55"/>
    </row>
    <row r="725" spans="1:50" x14ac:dyDescent="0.2">
      <c r="B725" s="59"/>
      <c r="C725" s="68"/>
      <c r="D725" s="68"/>
      <c r="V725" s="55"/>
      <c r="W725" s="55"/>
      <c r="X725" s="55"/>
      <c r="Y725" s="55"/>
      <c r="Z725" s="55"/>
      <c r="AA725" s="55"/>
      <c r="AB725" s="55"/>
      <c r="AC725" s="55"/>
      <c r="AD725" s="55"/>
      <c r="AE725" s="55"/>
      <c r="AF725" s="55"/>
      <c r="AG725" s="55"/>
      <c r="AH725" s="55"/>
      <c r="AI725" s="55"/>
      <c r="AJ725" s="55"/>
      <c r="AK725" s="55"/>
      <c r="AL725" s="55"/>
      <c r="AM725" s="55"/>
      <c r="AN725" s="55"/>
      <c r="AO725" s="55"/>
      <c r="AP725" s="55"/>
      <c r="AQ725" s="55"/>
      <c r="AR725" s="55"/>
      <c r="AS725" s="55"/>
      <c r="AT725" s="55"/>
      <c r="AU725" s="55"/>
      <c r="AV725" s="55"/>
      <c r="AW725" s="55"/>
      <c r="AX725" s="55"/>
    </row>
    <row r="726" spans="1:50" x14ac:dyDescent="0.2">
      <c r="B726" s="59"/>
      <c r="C726" s="68"/>
      <c r="D726" s="68"/>
      <c r="V726" s="55"/>
      <c r="W726" s="55"/>
      <c r="X726" s="55"/>
      <c r="Y726" s="55"/>
      <c r="Z726" s="55"/>
      <c r="AA726" s="55"/>
      <c r="AB726" s="55"/>
      <c r="AC726" s="55"/>
      <c r="AD726" s="55"/>
      <c r="AE726" s="55"/>
      <c r="AF726" s="55"/>
      <c r="AG726" s="55"/>
      <c r="AH726" s="55"/>
      <c r="AI726" s="55"/>
      <c r="AJ726" s="55"/>
      <c r="AK726" s="55"/>
      <c r="AL726" s="55"/>
      <c r="AM726" s="55"/>
      <c r="AN726" s="55"/>
      <c r="AO726" s="55"/>
      <c r="AP726" s="55"/>
      <c r="AQ726" s="55"/>
      <c r="AR726" s="55"/>
      <c r="AS726" s="55"/>
      <c r="AT726" s="55"/>
      <c r="AU726" s="55"/>
      <c r="AV726" s="55"/>
      <c r="AW726" s="55"/>
      <c r="AX726" s="55"/>
    </row>
    <row r="727" spans="1:50" ht="14.25" x14ac:dyDescent="0.25">
      <c r="B727" s="60" t="s">
        <v>503</v>
      </c>
      <c r="C727" s="61" t="s">
        <v>5149</v>
      </c>
      <c r="D727" s="61" t="s">
        <v>5149</v>
      </c>
      <c r="E727" s="4041" t="s">
        <v>5149</v>
      </c>
      <c r="H727" s="494"/>
      <c r="I727" s="494"/>
      <c r="J727" s="494"/>
      <c r="V727" s="55"/>
      <c r="W727" s="55"/>
      <c r="X727" s="55"/>
      <c r="Y727" s="55"/>
      <c r="Z727" s="55"/>
      <c r="AA727" s="55"/>
      <c r="AB727" s="55"/>
      <c r="AC727" s="55"/>
      <c r="AD727" s="55"/>
      <c r="AE727" s="55"/>
      <c r="AF727" s="55"/>
      <c r="AG727" s="55"/>
      <c r="AH727" s="55"/>
      <c r="AI727" s="55"/>
      <c r="AJ727" s="55"/>
      <c r="AK727" s="55"/>
      <c r="AL727" s="55"/>
      <c r="AM727" s="55"/>
      <c r="AN727" s="55"/>
      <c r="AO727" s="55"/>
      <c r="AP727" s="55"/>
      <c r="AQ727" s="55"/>
      <c r="AR727" s="55"/>
      <c r="AS727" s="55"/>
      <c r="AT727" s="55"/>
      <c r="AU727" s="55"/>
      <c r="AV727" s="55"/>
      <c r="AW727" s="55"/>
      <c r="AX727" s="55"/>
    </row>
    <row r="728" spans="1:50" x14ac:dyDescent="0.2">
      <c r="B728" s="147"/>
      <c r="C728" s="284">
        <f t="shared" ref="C728:E730" si="14">C708</f>
        <v>1990</v>
      </c>
      <c r="D728" s="284">
        <f t="shared" ref="D728" si="15">D708</f>
        <v>2018</v>
      </c>
      <c r="E728" s="284">
        <f t="shared" si="14"/>
        <v>2020</v>
      </c>
      <c r="H728" s="59"/>
      <c r="I728" s="59"/>
      <c r="J728" s="59"/>
      <c r="V728" s="55"/>
      <c r="W728" s="55"/>
      <c r="X728" s="55"/>
      <c r="Y728" s="55"/>
      <c r="Z728" s="55"/>
      <c r="AA728" s="55"/>
      <c r="AB728" s="55"/>
      <c r="AC728" s="55"/>
      <c r="AD728" s="55"/>
      <c r="AE728" s="55"/>
      <c r="AF728" s="55"/>
      <c r="AG728" s="55"/>
      <c r="AH728" s="55"/>
      <c r="AI728" s="55"/>
      <c r="AJ728" s="55"/>
      <c r="AK728" s="55"/>
      <c r="AL728" s="55"/>
      <c r="AM728" s="55"/>
      <c r="AN728" s="55"/>
      <c r="AO728" s="55"/>
      <c r="AP728" s="55"/>
      <c r="AQ728" s="55"/>
      <c r="AR728" s="55"/>
      <c r="AS728" s="55"/>
      <c r="AT728" s="55"/>
      <c r="AU728" s="55"/>
      <c r="AV728" s="55"/>
      <c r="AW728" s="55"/>
      <c r="AX728" s="55"/>
    </row>
    <row r="729" spans="1:50" x14ac:dyDescent="0.2">
      <c r="B729" s="147" t="s">
        <v>10</v>
      </c>
      <c r="C729" s="1">
        <f t="shared" si="14"/>
        <v>11.368536201287085</v>
      </c>
      <c r="D729" s="1">
        <f t="shared" ref="D729" si="16">D709</f>
        <v>4.5457813406739884</v>
      </c>
      <c r="E729" s="1">
        <f t="shared" si="14"/>
        <v>2.4650899437824543</v>
      </c>
      <c r="H729" s="427"/>
      <c r="I729" s="427"/>
      <c r="J729" s="427"/>
      <c r="V729" s="55"/>
      <c r="W729" s="55"/>
      <c r="X729" s="55"/>
      <c r="Y729" s="55"/>
      <c r="Z729" s="55"/>
      <c r="AA729" s="55"/>
      <c r="AB729" s="55"/>
      <c r="AC729" s="55"/>
      <c r="AD729" s="55"/>
      <c r="AE729" s="55"/>
      <c r="AF729" s="55"/>
      <c r="AG729" s="55"/>
      <c r="AH729" s="55"/>
      <c r="AI729" s="55"/>
      <c r="AJ729" s="55"/>
      <c r="AK729" s="55"/>
      <c r="AL729" s="55"/>
      <c r="AM729" s="55"/>
      <c r="AN729" s="55"/>
      <c r="AO729" s="55"/>
      <c r="AP729" s="55"/>
      <c r="AQ729" s="55"/>
      <c r="AR729" s="55"/>
      <c r="AS729" s="55"/>
      <c r="AT729" s="55"/>
      <c r="AU729" s="55"/>
      <c r="AV729" s="55"/>
      <c r="AW729" s="55"/>
      <c r="AX729" s="55"/>
    </row>
    <row r="730" spans="1:50" x14ac:dyDescent="0.2">
      <c r="B730" s="147" t="s">
        <v>82</v>
      </c>
      <c r="C730" s="1">
        <f t="shared" si="14"/>
        <v>0</v>
      </c>
      <c r="D730" s="1">
        <f t="shared" ref="D730" si="17">D710</f>
        <v>0</v>
      </c>
      <c r="E730" s="1">
        <f t="shared" si="14"/>
        <v>0</v>
      </c>
      <c r="H730" s="427"/>
      <c r="I730" s="427"/>
      <c r="J730" s="427"/>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c r="AT730" s="55"/>
      <c r="AU730" s="55"/>
      <c r="AV730" s="55"/>
      <c r="AW730" s="55"/>
      <c r="AX730" s="55"/>
    </row>
    <row r="731" spans="1:50" x14ac:dyDescent="0.2">
      <c r="B731" s="147" t="s">
        <v>494</v>
      </c>
      <c r="C731" s="1">
        <f>C711+C712+C713+C714+C715</f>
        <v>12.626549467745591</v>
      </c>
      <c r="D731" s="1">
        <f>D711+D712+D713+D714+D715</f>
        <v>8.9241210670000015</v>
      </c>
      <c r="E731" s="1">
        <f>E711+E712+E713+E714+E715</f>
        <v>7.8808402919999985</v>
      </c>
      <c r="H731" s="427"/>
      <c r="I731" s="427"/>
      <c r="J731" s="427"/>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c r="AT731" s="55"/>
      <c r="AU731" s="55"/>
      <c r="AV731" s="55"/>
      <c r="AW731" s="55"/>
      <c r="AX731" s="55"/>
    </row>
    <row r="732" spans="1:50" x14ac:dyDescent="0.2">
      <c r="B732" s="147" t="s">
        <v>88</v>
      </c>
      <c r="C732" s="1">
        <f t="shared" ref="C732:E734" si="18">C716</f>
        <v>0</v>
      </c>
      <c r="D732" s="1">
        <f t="shared" ref="D732" si="19">D716</f>
        <v>0</v>
      </c>
      <c r="E732" s="1">
        <f t="shared" si="18"/>
        <v>0</v>
      </c>
      <c r="H732" s="427"/>
      <c r="I732" s="427"/>
      <c r="J732" s="427"/>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c r="AT732" s="55"/>
      <c r="AU732" s="55"/>
      <c r="AV732" s="55"/>
      <c r="AW732" s="55"/>
      <c r="AX732" s="55"/>
    </row>
    <row r="733" spans="1:50" x14ac:dyDescent="0.2">
      <c r="B733" s="147" t="s">
        <v>90</v>
      </c>
      <c r="C733" s="1">
        <f t="shared" si="18"/>
        <v>0</v>
      </c>
      <c r="D733" s="1">
        <f t="shared" ref="D733" si="20">D717</f>
        <v>0</v>
      </c>
      <c r="E733" s="1">
        <f t="shared" si="18"/>
        <v>0</v>
      </c>
      <c r="H733" s="427"/>
      <c r="I733" s="427"/>
      <c r="J733" s="427"/>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c r="AT733" s="55"/>
      <c r="AU733" s="55"/>
      <c r="AV733" s="55"/>
      <c r="AW733" s="55"/>
      <c r="AX733" s="55"/>
    </row>
    <row r="734" spans="1:50" x14ac:dyDescent="0.2">
      <c r="B734" s="147" t="s">
        <v>91</v>
      </c>
      <c r="C734" s="1">
        <f t="shared" si="18"/>
        <v>0</v>
      </c>
      <c r="D734" s="1">
        <f t="shared" ref="D734" si="21">D718</f>
        <v>0</v>
      </c>
      <c r="E734" s="1">
        <f t="shared" si="18"/>
        <v>0</v>
      </c>
      <c r="H734" s="427"/>
      <c r="I734" s="427"/>
      <c r="J734" s="427"/>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c r="AT734" s="55"/>
      <c r="AU734" s="55"/>
      <c r="AV734" s="55"/>
      <c r="AW734" s="55"/>
      <c r="AX734" s="55"/>
    </row>
    <row r="735" spans="1:50" x14ac:dyDescent="0.2">
      <c r="B735" s="147" t="s">
        <v>495</v>
      </c>
      <c r="C735" s="1">
        <f>C719+C720+C721+C722</f>
        <v>0</v>
      </c>
      <c r="D735" s="1">
        <f>D719+D720+D721+D722</f>
        <v>0</v>
      </c>
      <c r="E735" s="1">
        <f>E719+E720+E721+E722</f>
        <v>0</v>
      </c>
      <c r="H735" s="427"/>
      <c r="I735" s="427"/>
      <c r="J735" s="427"/>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c r="AT735" s="55"/>
      <c r="AU735" s="55"/>
      <c r="AV735" s="55"/>
      <c r="AW735" s="55"/>
      <c r="AX735" s="55"/>
    </row>
    <row r="736" spans="1:50" x14ac:dyDescent="0.2">
      <c r="B736" s="28" t="s">
        <v>514</v>
      </c>
      <c r="C736" s="24">
        <f>IF('E1990'!$I$81&lt;0,'E1990'!$I$81*'E1990'!$I$89,0)/1000</f>
        <v>0</v>
      </c>
      <c r="D736" s="24">
        <f>IF('E2018'!$I$81&lt;0,'E2018'!$I$81*'E2018'!$I$89,0)/1000</f>
        <v>0</v>
      </c>
      <c r="E736" s="24">
        <f>IF('E2020'!$I$81&lt;0,'E2020'!$I$81*'E2020'!$I$89,0)/1000</f>
        <v>0</v>
      </c>
      <c r="H736" s="64"/>
      <c r="I736" s="64"/>
      <c r="J736" s="64"/>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c r="AT736" s="55"/>
      <c r="AU736" s="55"/>
      <c r="AV736" s="55"/>
      <c r="AW736" s="55"/>
      <c r="AX736" s="55"/>
    </row>
    <row r="737" spans="2:52" x14ac:dyDescent="0.2">
      <c r="B737" s="277" t="s">
        <v>97</v>
      </c>
      <c r="C737" s="278">
        <f>SUM(C729:C735)</f>
        <v>23.995085669032676</v>
      </c>
      <c r="D737" s="278">
        <f t="shared" ref="D737:E737" si="22">SUM(D729:D735)</f>
        <v>13.46990240767399</v>
      </c>
      <c r="E737" s="278">
        <f t="shared" si="22"/>
        <v>10.345930235782452</v>
      </c>
      <c r="H737" s="280"/>
      <c r="I737" s="280"/>
      <c r="J737" s="280"/>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c r="AT737" s="55"/>
      <c r="AU737" s="55"/>
      <c r="AV737" s="55"/>
      <c r="AW737" s="55"/>
      <c r="AX737" s="55"/>
    </row>
    <row r="738" spans="2:52" x14ac:dyDescent="0.2">
      <c r="B738" s="279"/>
      <c r="C738" s="280"/>
      <c r="D738" s="280"/>
      <c r="E738" s="280"/>
      <c r="F738" s="280"/>
      <c r="G738" s="280"/>
      <c r="H738" s="280"/>
      <c r="I738" s="280"/>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c r="AT738" s="55"/>
      <c r="AU738" s="55"/>
      <c r="AV738" s="55"/>
      <c r="AW738" s="55"/>
      <c r="AX738" s="55"/>
      <c r="AY738" s="55"/>
      <c r="AZ738" s="55"/>
    </row>
    <row r="739" spans="2:52" ht="14.25" x14ac:dyDescent="0.25">
      <c r="B739" s="82" t="s">
        <v>120</v>
      </c>
      <c r="C739" s="3256"/>
      <c r="D739" s="85"/>
      <c r="E739" s="85"/>
      <c r="F739" s="55"/>
      <c r="G739" s="55"/>
      <c r="H739" s="55"/>
      <c r="I739" s="55"/>
      <c r="J739" s="55"/>
      <c r="K739" s="55"/>
      <c r="V739" s="55"/>
      <c r="W739" s="55"/>
      <c r="X739" s="55"/>
      <c r="Y739" s="55"/>
      <c r="Z739" s="55"/>
      <c r="AA739" s="55"/>
      <c r="AB739" s="55"/>
      <c r="AC739" s="55"/>
      <c r="AD739" s="55"/>
      <c r="AE739" s="55"/>
      <c r="AF739" s="55"/>
      <c r="AG739" s="55"/>
      <c r="AH739" s="55"/>
      <c r="AI739" s="55"/>
      <c r="AJ739" s="55"/>
      <c r="AK739" s="55"/>
      <c r="AL739" s="55"/>
      <c r="AM739" s="55"/>
      <c r="AN739" s="55"/>
      <c r="AO739" s="55"/>
      <c r="AP739" s="55"/>
      <c r="AQ739" s="55"/>
      <c r="AR739" s="55"/>
      <c r="AS739" s="55"/>
      <c r="AT739" s="55"/>
      <c r="AU739" s="55"/>
      <c r="AV739" s="55"/>
      <c r="AW739" s="55"/>
      <c r="AX739" s="55"/>
      <c r="AY739" s="55"/>
      <c r="AZ739" s="55"/>
    </row>
    <row r="740" spans="2:52" x14ac:dyDescent="0.2">
      <c r="B740" s="59"/>
      <c r="C740" s="68"/>
      <c r="D740" s="68"/>
      <c r="V740" s="55"/>
      <c r="W740" s="55"/>
      <c r="X740" s="55"/>
      <c r="Y740" s="55"/>
      <c r="Z740" s="55"/>
      <c r="AA740" s="55"/>
      <c r="AB740" s="55"/>
      <c r="AC740" s="55"/>
      <c r="AD740" s="55"/>
      <c r="AE740" s="55"/>
      <c r="AF740" s="55"/>
      <c r="AG740" s="55"/>
      <c r="AH740" s="55"/>
      <c r="AI740" s="55"/>
      <c r="AJ740" s="55"/>
      <c r="AK740" s="55"/>
      <c r="AL740" s="55"/>
      <c r="AM740" s="55"/>
      <c r="AN740" s="55"/>
      <c r="AO740" s="55"/>
      <c r="AP740" s="55"/>
      <c r="AQ740" s="55"/>
      <c r="AR740" s="55"/>
      <c r="AS740" s="55"/>
      <c r="AT740" s="55"/>
      <c r="AU740" s="55"/>
      <c r="AV740" s="55"/>
      <c r="AW740" s="55"/>
      <c r="AX740" s="55"/>
      <c r="AY740" s="55"/>
      <c r="AZ740" s="55"/>
    </row>
    <row r="741" spans="2:52" x14ac:dyDescent="0.2">
      <c r="B741" s="59"/>
      <c r="C741" s="68"/>
      <c r="D741" s="68"/>
      <c r="V741" s="55"/>
      <c r="W741" s="55"/>
      <c r="X741" s="55"/>
      <c r="Y741" s="55"/>
      <c r="Z741" s="55"/>
      <c r="AA741" s="55"/>
      <c r="AB741" s="55"/>
      <c r="AC741" s="55"/>
      <c r="AD741" s="55"/>
      <c r="AE741" s="55"/>
      <c r="AF741" s="55"/>
      <c r="AG741" s="55"/>
      <c r="AH741" s="55"/>
      <c r="AI741" s="55"/>
      <c r="AJ741" s="55"/>
      <c r="AK741" s="55"/>
      <c r="AL741" s="55"/>
      <c r="AM741" s="55"/>
      <c r="AN741" s="55"/>
      <c r="AO741" s="55"/>
      <c r="AP741" s="55"/>
      <c r="AQ741" s="55"/>
      <c r="AR741" s="55"/>
      <c r="AS741" s="55"/>
      <c r="AT741" s="55"/>
      <c r="AU741" s="55"/>
      <c r="AV741" s="55"/>
      <c r="AW741" s="55"/>
      <c r="AX741" s="55"/>
      <c r="AY741" s="55"/>
      <c r="AZ741" s="55"/>
    </row>
    <row r="742" spans="2:52" x14ac:dyDescent="0.2">
      <c r="B742" s="59"/>
      <c r="C742" s="68"/>
      <c r="D742" s="68"/>
      <c r="V742" s="55"/>
      <c r="W742" s="55"/>
      <c r="X742" s="55"/>
      <c r="Y742" s="55"/>
      <c r="Z742" s="55"/>
      <c r="AA742" s="55"/>
      <c r="AB742" s="55"/>
      <c r="AC742" s="55"/>
      <c r="AD742" s="55"/>
      <c r="AE742" s="55"/>
      <c r="AF742" s="55"/>
      <c r="AG742" s="55"/>
      <c r="AH742" s="55"/>
      <c r="AI742" s="55"/>
      <c r="AJ742" s="55"/>
      <c r="AK742" s="55"/>
      <c r="AL742" s="55"/>
      <c r="AM742" s="55"/>
      <c r="AN742" s="55"/>
      <c r="AO742" s="55"/>
      <c r="AP742" s="55"/>
      <c r="AQ742" s="55"/>
      <c r="AR742" s="55"/>
      <c r="AS742" s="55"/>
      <c r="AT742" s="55"/>
      <c r="AU742" s="55"/>
      <c r="AV742" s="55"/>
      <c r="AW742" s="55"/>
      <c r="AX742" s="55"/>
      <c r="AY742" s="55"/>
      <c r="AZ742" s="55"/>
    </row>
    <row r="743" spans="2:52" x14ac:dyDescent="0.2">
      <c r="B743" s="59"/>
      <c r="C743" s="68"/>
      <c r="D743" s="68"/>
      <c r="V743" s="55"/>
      <c r="W743" s="55"/>
      <c r="X743" s="55"/>
      <c r="Y743" s="55"/>
      <c r="Z743" s="55"/>
      <c r="AA743" s="55"/>
      <c r="AB743" s="55"/>
      <c r="AC743" s="55"/>
      <c r="AD743" s="55"/>
      <c r="AE743" s="55"/>
      <c r="AF743" s="55"/>
      <c r="AG743" s="55"/>
      <c r="AH743" s="55"/>
      <c r="AI743" s="55"/>
      <c r="AJ743" s="55"/>
      <c r="AK743" s="55"/>
      <c r="AL743" s="55"/>
      <c r="AM743" s="55"/>
      <c r="AN743" s="55"/>
      <c r="AO743" s="55"/>
      <c r="AP743" s="55"/>
      <c r="AQ743" s="55"/>
      <c r="AR743" s="55"/>
      <c r="AS743" s="55"/>
      <c r="AT743" s="55"/>
      <c r="AU743" s="55"/>
      <c r="AV743" s="55"/>
      <c r="AW743" s="55"/>
      <c r="AX743" s="55"/>
      <c r="AY743" s="55"/>
      <c r="AZ743" s="55"/>
    </row>
    <row r="744" spans="2:52" x14ac:dyDescent="0.2">
      <c r="B744" s="59"/>
      <c r="C744" s="68"/>
      <c r="D744" s="68"/>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row>
    <row r="745" spans="2:52" x14ac:dyDescent="0.2">
      <c r="B745" s="59"/>
      <c r="C745" s="68"/>
      <c r="D745" s="68"/>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row>
    <row r="746" spans="2:52" x14ac:dyDescent="0.2">
      <c r="B746" s="59"/>
      <c r="C746" s="68"/>
      <c r="D746" s="68"/>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row>
    <row r="747" spans="2:52" x14ac:dyDescent="0.2">
      <c r="B747" s="59"/>
      <c r="C747" s="68"/>
      <c r="D747" s="68"/>
      <c r="V747" s="55"/>
      <c r="W747" s="55"/>
      <c r="X747" s="55"/>
      <c r="Y747" s="55"/>
      <c r="Z747" s="55"/>
      <c r="AA747" s="55"/>
      <c r="AB747" s="55"/>
      <c r="AC747" s="55"/>
      <c r="AD747" s="55"/>
      <c r="AE747" s="55"/>
      <c r="AF747" s="55"/>
      <c r="AG747" s="55"/>
      <c r="AH747" s="55"/>
      <c r="AI747" s="55"/>
      <c r="AJ747" s="55"/>
      <c r="AK747" s="55"/>
      <c r="AL747" s="55"/>
      <c r="AM747" s="55"/>
      <c r="AN747" s="55"/>
      <c r="AO747" s="55"/>
      <c r="AP747" s="55"/>
      <c r="AQ747" s="55"/>
      <c r="AR747" s="55"/>
      <c r="AS747" s="55"/>
      <c r="AT747" s="55"/>
      <c r="AU747" s="55"/>
      <c r="AV747" s="55"/>
      <c r="AW747" s="55"/>
      <c r="AX747" s="55"/>
      <c r="AY747" s="55"/>
      <c r="AZ747" s="55"/>
    </row>
    <row r="748" spans="2:52" x14ac:dyDescent="0.2">
      <c r="B748" s="59"/>
      <c r="C748" s="68"/>
      <c r="D748" s="68"/>
      <c r="V748" s="55"/>
      <c r="W748" s="55"/>
      <c r="X748" s="55"/>
      <c r="Y748" s="55"/>
      <c r="Z748" s="55"/>
      <c r="AA748" s="55"/>
      <c r="AB748" s="55"/>
      <c r="AC748" s="55"/>
      <c r="AD748" s="55"/>
      <c r="AE748" s="55"/>
      <c r="AF748" s="55"/>
      <c r="AG748" s="55"/>
      <c r="AH748" s="55"/>
      <c r="AI748" s="55"/>
      <c r="AJ748" s="55"/>
      <c r="AK748" s="55"/>
      <c r="AL748" s="55"/>
      <c r="AM748" s="55"/>
      <c r="AN748" s="55"/>
      <c r="AO748" s="55"/>
      <c r="AP748" s="55"/>
      <c r="AQ748" s="55"/>
      <c r="AR748" s="55"/>
      <c r="AS748" s="55"/>
      <c r="AT748" s="55"/>
      <c r="AU748" s="55"/>
      <c r="AV748" s="55"/>
      <c r="AW748" s="55"/>
      <c r="AX748" s="55"/>
      <c r="AY748" s="55"/>
      <c r="AZ748" s="55"/>
    </row>
    <row r="749" spans="2:52" x14ac:dyDescent="0.2">
      <c r="B749" s="59"/>
      <c r="C749" s="68"/>
      <c r="D749" s="68"/>
      <c r="V749" s="55"/>
      <c r="W749" s="55"/>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row>
    <row r="750" spans="2:52" x14ac:dyDescent="0.2">
      <c r="B750" s="59"/>
      <c r="C750" s="68"/>
      <c r="D750" s="68"/>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row>
    <row r="751" spans="2:52" x14ac:dyDescent="0.2">
      <c r="B751" s="59"/>
      <c r="C751" s="68"/>
      <c r="D751" s="68"/>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row>
    <row r="752" spans="2:52" x14ac:dyDescent="0.2">
      <c r="B752" s="59"/>
      <c r="C752" s="68"/>
      <c r="D752" s="68"/>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row>
    <row r="753" spans="2:52" x14ac:dyDescent="0.2">
      <c r="B753" s="59"/>
      <c r="C753" s="68"/>
      <c r="D753" s="68"/>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row>
    <row r="754" spans="2:52" x14ac:dyDescent="0.2">
      <c r="B754" s="59"/>
      <c r="C754" s="68"/>
      <c r="D754" s="68"/>
      <c r="V754" s="55"/>
      <c r="W754" s="5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row>
    <row r="755" spans="2:52" x14ac:dyDescent="0.2">
      <c r="B755" s="59"/>
      <c r="C755" s="68"/>
      <c r="D755" s="68"/>
      <c r="V755" s="55"/>
      <c r="W755" s="55"/>
      <c r="X755" s="55"/>
      <c r="Y755" s="55"/>
      <c r="Z755" s="55"/>
      <c r="AA755" s="55"/>
      <c r="AB755" s="55"/>
      <c r="AC755" s="55"/>
      <c r="AD755" s="55"/>
      <c r="AE755" s="55"/>
      <c r="AF755" s="55"/>
      <c r="AG755" s="55"/>
      <c r="AH755" s="55"/>
      <c r="AI755" s="55"/>
      <c r="AJ755" s="55"/>
      <c r="AK755" s="55"/>
      <c r="AL755" s="55"/>
      <c r="AM755" s="55"/>
      <c r="AN755" s="55"/>
      <c r="AO755" s="55"/>
      <c r="AP755" s="55"/>
      <c r="AQ755" s="55"/>
      <c r="AR755" s="55"/>
      <c r="AS755" s="55"/>
      <c r="AT755" s="55"/>
      <c r="AU755" s="55"/>
      <c r="AV755" s="55"/>
      <c r="AW755" s="55"/>
      <c r="AX755" s="55"/>
      <c r="AY755" s="55"/>
      <c r="AZ755" s="55"/>
    </row>
    <row r="756" spans="2:52" x14ac:dyDescent="0.2">
      <c r="B756" s="59"/>
      <c r="C756" s="68"/>
      <c r="D756" s="68"/>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row>
    <row r="757" spans="2:52" x14ac:dyDescent="0.2">
      <c r="B757" s="59"/>
      <c r="C757" s="68"/>
      <c r="D757" s="68"/>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row>
    <row r="758" spans="2:52" x14ac:dyDescent="0.2">
      <c r="B758" s="59"/>
      <c r="C758" s="68"/>
      <c r="D758" s="68"/>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row>
    <row r="759" spans="2:52" x14ac:dyDescent="0.2">
      <c r="B759" s="59"/>
      <c r="C759" s="68"/>
      <c r="D759" s="68"/>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row>
    <row r="760" spans="2:52" x14ac:dyDescent="0.2">
      <c r="B760" s="59"/>
      <c r="C760" s="68"/>
      <c r="D760" s="68"/>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row>
    <row r="761" spans="2:52" x14ac:dyDescent="0.2">
      <c r="B761" s="59"/>
      <c r="C761" s="68"/>
      <c r="D761" s="68"/>
      <c r="V761" s="55"/>
      <c r="W761" s="55"/>
      <c r="X761" s="55"/>
      <c r="Y761" s="55"/>
      <c r="Z761" s="55"/>
      <c r="AA761" s="55"/>
      <c r="AB761" s="55"/>
      <c r="AC761" s="55"/>
      <c r="AD761" s="55"/>
      <c r="AE761" s="55"/>
      <c r="AF761" s="55"/>
      <c r="AG761" s="55"/>
      <c r="AH761" s="55"/>
      <c r="AI761" s="55"/>
      <c r="AJ761" s="55"/>
      <c r="AK761" s="55"/>
      <c r="AL761" s="55"/>
      <c r="AM761" s="55"/>
      <c r="AN761" s="55"/>
      <c r="AO761" s="55"/>
      <c r="AP761" s="55"/>
      <c r="AQ761" s="55"/>
      <c r="AR761" s="55"/>
      <c r="AS761" s="55"/>
      <c r="AT761" s="55"/>
      <c r="AU761" s="55"/>
      <c r="AV761" s="55"/>
      <c r="AW761" s="55"/>
      <c r="AX761" s="55"/>
      <c r="AY761" s="55"/>
      <c r="AZ761" s="55"/>
    </row>
    <row r="762" spans="2:52" x14ac:dyDescent="0.2">
      <c r="B762" s="59"/>
      <c r="C762" s="68"/>
      <c r="D762" s="68"/>
      <c r="V762" s="55"/>
      <c r="W762" s="55"/>
      <c r="X762" s="55"/>
      <c r="Y762" s="55"/>
      <c r="Z762" s="55"/>
      <c r="AA762" s="55"/>
      <c r="AB762" s="55"/>
      <c r="AC762" s="55"/>
      <c r="AD762" s="55"/>
      <c r="AE762" s="55"/>
      <c r="AF762" s="55"/>
      <c r="AG762" s="55"/>
      <c r="AH762" s="55"/>
      <c r="AI762" s="55"/>
      <c r="AJ762" s="55"/>
      <c r="AK762" s="55"/>
      <c r="AL762" s="55"/>
      <c r="AM762" s="55"/>
      <c r="AN762" s="55"/>
      <c r="AO762" s="55"/>
      <c r="AP762" s="55"/>
      <c r="AQ762" s="55"/>
      <c r="AR762" s="55"/>
      <c r="AS762" s="55"/>
      <c r="AT762" s="55"/>
      <c r="AU762" s="55"/>
      <c r="AV762" s="55"/>
      <c r="AW762" s="55"/>
      <c r="AX762" s="55"/>
      <c r="AY762" s="55"/>
      <c r="AZ762" s="55"/>
    </row>
    <row r="763" spans="2:52" x14ac:dyDescent="0.2">
      <c r="B763" s="59"/>
      <c r="C763" s="68"/>
      <c r="D763" s="68"/>
      <c r="V763" s="55"/>
      <c r="W763" s="55"/>
      <c r="X763" s="55"/>
      <c r="Y763" s="55"/>
      <c r="Z763" s="55"/>
      <c r="AA763" s="55"/>
      <c r="AB763" s="55"/>
      <c r="AC763" s="55"/>
      <c r="AD763" s="55"/>
      <c r="AE763" s="55"/>
      <c r="AF763" s="55"/>
      <c r="AG763" s="55"/>
      <c r="AH763" s="55"/>
      <c r="AI763" s="55"/>
      <c r="AJ763" s="55"/>
      <c r="AK763" s="55"/>
      <c r="AL763" s="55"/>
      <c r="AM763" s="55"/>
      <c r="AN763" s="55"/>
      <c r="AO763" s="55"/>
      <c r="AP763" s="55"/>
      <c r="AQ763" s="55"/>
      <c r="AR763" s="55"/>
      <c r="AS763" s="55"/>
      <c r="AT763" s="55"/>
      <c r="AU763" s="55"/>
      <c r="AV763" s="55"/>
      <c r="AW763" s="55"/>
      <c r="AX763" s="55"/>
      <c r="AY763" s="55"/>
      <c r="AZ763" s="55"/>
    </row>
    <row r="764" spans="2:52" x14ac:dyDescent="0.2">
      <c r="B764" s="59"/>
      <c r="C764" s="68"/>
      <c r="D764" s="68"/>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row>
    <row r="765" spans="2:52" x14ac:dyDescent="0.2">
      <c r="B765" s="59"/>
      <c r="C765" s="68"/>
      <c r="D765" s="68"/>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row>
    <row r="766" spans="2:52" x14ac:dyDescent="0.2">
      <c r="B766" s="59"/>
      <c r="C766" s="68"/>
      <c r="D766" s="68"/>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row>
    <row r="767" spans="2:52" x14ac:dyDescent="0.2">
      <c r="B767" s="59"/>
      <c r="C767" s="68"/>
      <c r="D767" s="68"/>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row>
    <row r="768" spans="2:52" ht="14.25" x14ac:dyDescent="0.25">
      <c r="B768" s="82" t="s">
        <v>504</v>
      </c>
      <c r="C768" s="3256"/>
      <c r="D768" s="85"/>
      <c r="E768" s="85"/>
      <c r="F768" s="55"/>
      <c r="G768" s="55"/>
      <c r="H768" s="55"/>
      <c r="I768" s="55"/>
      <c r="J768" s="55"/>
      <c r="K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row>
    <row r="769" spans="2:52" x14ac:dyDescent="0.2">
      <c r="B769" s="59"/>
      <c r="C769" s="68"/>
      <c r="D769" s="68"/>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row>
    <row r="770" spans="2:52" x14ac:dyDescent="0.2">
      <c r="B770" s="59"/>
      <c r="C770" s="68"/>
      <c r="D770" s="68"/>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row>
    <row r="771" spans="2:52" x14ac:dyDescent="0.2">
      <c r="B771" s="59"/>
      <c r="C771" s="68"/>
      <c r="D771" s="68"/>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row>
    <row r="772" spans="2:52" x14ac:dyDescent="0.2">
      <c r="B772" s="59"/>
      <c r="C772" s="68"/>
      <c r="D772" s="68"/>
      <c r="V772" s="55"/>
      <c r="W772" s="55"/>
      <c r="X772" s="55"/>
      <c r="Y772" s="55"/>
      <c r="Z772" s="55"/>
      <c r="AA772" s="55"/>
      <c r="AB772" s="55"/>
      <c r="AC772" s="55"/>
      <c r="AD772" s="55"/>
      <c r="AE772" s="55"/>
      <c r="AF772" s="55"/>
      <c r="AG772" s="55"/>
      <c r="AH772" s="55"/>
      <c r="AI772" s="55"/>
      <c r="AJ772" s="55"/>
      <c r="AK772" s="55"/>
      <c r="AL772" s="55"/>
      <c r="AM772" s="55"/>
      <c r="AN772" s="55"/>
      <c r="AO772" s="55"/>
      <c r="AP772" s="55"/>
      <c r="AQ772" s="55"/>
      <c r="AR772" s="55"/>
      <c r="AS772" s="55"/>
      <c r="AT772" s="55"/>
      <c r="AU772" s="55"/>
      <c r="AV772" s="55"/>
      <c r="AW772" s="55"/>
      <c r="AX772" s="55"/>
      <c r="AY772" s="55"/>
      <c r="AZ772" s="55"/>
    </row>
    <row r="773" spans="2:52" x14ac:dyDescent="0.2">
      <c r="B773" s="59"/>
      <c r="C773" s="68"/>
      <c r="D773" s="68"/>
      <c r="V773" s="55"/>
      <c r="W773" s="55"/>
      <c r="X773" s="55"/>
      <c r="Y773" s="55"/>
      <c r="Z773" s="55"/>
      <c r="AA773" s="55"/>
      <c r="AB773" s="55"/>
      <c r="AC773" s="55"/>
      <c r="AD773" s="55"/>
      <c r="AE773" s="55"/>
      <c r="AF773" s="55"/>
      <c r="AG773" s="55"/>
      <c r="AH773" s="55"/>
      <c r="AI773" s="55"/>
      <c r="AJ773" s="55"/>
      <c r="AK773" s="55"/>
      <c r="AL773" s="55"/>
      <c r="AM773" s="55"/>
      <c r="AN773" s="55"/>
      <c r="AO773" s="55"/>
      <c r="AP773" s="55"/>
      <c r="AQ773" s="55"/>
      <c r="AR773" s="55"/>
      <c r="AS773" s="55"/>
      <c r="AT773" s="55"/>
      <c r="AU773" s="55"/>
      <c r="AV773" s="55"/>
      <c r="AW773" s="55"/>
      <c r="AX773" s="55"/>
      <c r="AY773" s="55"/>
      <c r="AZ773" s="55"/>
    </row>
    <row r="774" spans="2:52" x14ac:dyDescent="0.2">
      <c r="B774" s="59"/>
      <c r="C774" s="68"/>
      <c r="D774" s="68"/>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row>
    <row r="775" spans="2:52" x14ac:dyDescent="0.2">
      <c r="B775" s="59"/>
      <c r="C775" s="68"/>
      <c r="D775" s="68"/>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row>
    <row r="776" spans="2:52" x14ac:dyDescent="0.2">
      <c r="B776" s="59"/>
      <c r="C776" s="68"/>
      <c r="D776" s="68"/>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row>
    <row r="777" spans="2:52" x14ac:dyDescent="0.2">
      <c r="B777" s="59"/>
      <c r="C777" s="68"/>
      <c r="D777" s="68"/>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row>
    <row r="778" spans="2:52" x14ac:dyDescent="0.2">
      <c r="B778" s="59"/>
      <c r="C778" s="68"/>
      <c r="D778" s="68"/>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row>
    <row r="779" spans="2:52" x14ac:dyDescent="0.2">
      <c r="B779" s="59"/>
      <c r="C779" s="68"/>
      <c r="D779" s="68"/>
      <c r="V779" s="55"/>
      <c r="W779" s="55"/>
      <c r="X779" s="55"/>
      <c r="Y779" s="55"/>
      <c r="Z779" s="55"/>
      <c r="AA779" s="55"/>
      <c r="AB779" s="55"/>
      <c r="AC779" s="55"/>
      <c r="AD779" s="55"/>
      <c r="AE779" s="55"/>
      <c r="AF779" s="55"/>
      <c r="AG779" s="55"/>
      <c r="AH779" s="55"/>
      <c r="AI779" s="55"/>
      <c r="AJ779" s="55"/>
      <c r="AK779" s="55"/>
      <c r="AL779" s="55"/>
      <c r="AM779" s="55"/>
      <c r="AN779" s="55"/>
      <c r="AO779" s="55"/>
      <c r="AP779" s="55"/>
      <c r="AQ779" s="55"/>
      <c r="AR779" s="55"/>
      <c r="AS779" s="55"/>
      <c r="AT779" s="55"/>
      <c r="AU779" s="55"/>
      <c r="AV779" s="55"/>
      <c r="AW779" s="55"/>
      <c r="AX779" s="55"/>
      <c r="AY779" s="55"/>
      <c r="AZ779" s="55"/>
    </row>
    <row r="780" spans="2:52" x14ac:dyDescent="0.2">
      <c r="B780" s="59"/>
      <c r="C780" s="68"/>
      <c r="D780" s="68"/>
      <c r="V780" s="55"/>
      <c r="W780" s="55"/>
      <c r="X780" s="55"/>
      <c r="Y780" s="55"/>
      <c r="Z780" s="55"/>
      <c r="AA780" s="55"/>
      <c r="AB780" s="55"/>
      <c r="AC780" s="55"/>
      <c r="AD780" s="55"/>
      <c r="AE780" s="55"/>
      <c r="AF780" s="55"/>
      <c r="AG780" s="55"/>
      <c r="AH780" s="55"/>
      <c r="AI780" s="55"/>
      <c r="AJ780" s="55"/>
      <c r="AK780" s="55"/>
      <c r="AL780" s="55"/>
      <c r="AM780" s="55"/>
      <c r="AN780" s="55"/>
      <c r="AO780" s="55"/>
      <c r="AP780" s="55"/>
      <c r="AQ780" s="55"/>
      <c r="AR780" s="55"/>
      <c r="AS780" s="55"/>
      <c r="AT780" s="55"/>
      <c r="AU780" s="55"/>
      <c r="AV780" s="55"/>
      <c r="AW780" s="55"/>
      <c r="AX780" s="55"/>
      <c r="AY780" s="55"/>
      <c r="AZ780" s="55"/>
    </row>
    <row r="781" spans="2:52" x14ac:dyDescent="0.2">
      <c r="B781" s="59"/>
      <c r="C781" s="68"/>
      <c r="D781" s="68"/>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row>
    <row r="782" spans="2:52" x14ac:dyDescent="0.2">
      <c r="B782" s="59"/>
      <c r="C782" s="68"/>
      <c r="D782" s="68"/>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row>
    <row r="783" spans="2:52" x14ac:dyDescent="0.2">
      <c r="B783" s="59"/>
      <c r="C783" s="68"/>
      <c r="D783" s="68"/>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row>
    <row r="784" spans="2:52" x14ac:dyDescent="0.2">
      <c r="B784" s="59"/>
      <c r="C784" s="68"/>
      <c r="D784" s="68"/>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row>
    <row r="785" spans="2:52" x14ac:dyDescent="0.2">
      <c r="B785" s="59"/>
      <c r="C785" s="68"/>
      <c r="D785" s="68"/>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row>
    <row r="786" spans="2:52" x14ac:dyDescent="0.2">
      <c r="B786" s="59"/>
      <c r="C786" s="68"/>
      <c r="D786" s="68"/>
      <c r="V786" s="55"/>
      <c r="W786" s="55"/>
      <c r="X786" s="55"/>
      <c r="Y786" s="55"/>
      <c r="Z786" s="55"/>
      <c r="AA786" s="55"/>
      <c r="AB786" s="55"/>
      <c r="AC786" s="55"/>
      <c r="AD786" s="55"/>
      <c r="AE786" s="55"/>
      <c r="AF786" s="55"/>
      <c r="AG786" s="55"/>
      <c r="AH786" s="55"/>
      <c r="AI786" s="55"/>
      <c r="AJ786" s="55"/>
      <c r="AK786" s="55"/>
      <c r="AL786" s="55"/>
      <c r="AM786" s="55"/>
      <c r="AN786" s="55"/>
      <c r="AO786" s="55"/>
      <c r="AP786" s="55"/>
      <c r="AQ786" s="55"/>
      <c r="AR786" s="55"/>
      <c r="AS786" s="55"/>
      <c r="AT786" s="55"/>
      <c r="AU786" s="55"/>
      <c r="AV786" s="55"/>
      <c r="AW786" s="55"/>
      <c r="AX786" s="55"/>
      <c r="AY786" s="55"/>
      <c r="AZ786" s="55"/>
    </row>
    <row r="787" spans="2:52" x14ac:dyDescent="0.2">
      <c r="B787" s="59"/>
      <c r="C787" s="68"/>
      <c r="D787" s="68"/>
      <c r="V787" s="55"/>
      <c r="W787" s="55"/>
      <c r="X787" s="55"/>
      <c r="Y787" s="55"/>
      <c r="Z787" s="55"/>
      <c r="AA787" s="55"/>
      <c r="AB787" s="55"/>
      <c r="AC787" s="55"/>
      <c r="AD787" s="55"/>
      <c r="AE787" s="55"/>
      <c r="AF787" s="55"/>
      <c r="AG787" s="55"/>
      <c r="AH787" s="55"/>
      <c r="AI787" s="55"/>
      <c r="AJ787" s="55"/>
      <c r="AK787" s="55"/>
      <c r="AL787" s="55"/>
      <c r="AM787" s="55"/>
      <c r="AN787" s="55"/>
      <c r="AO787" s="55"/>
      <c r="AP787" s="55"/>
      <c r="AQ787" s="55"/>
      <c r="AR787" s="55"/>
      <c r="AS787" s="55"/>
      <c r="AT787" s="55"/>
      <c r="AU787" s="55"/>
      <c r="AV787" s="55"/>
      <c r="AW787" s="55"/>
      <c r="AX787" s="55"/>
      <c r="AY787" s="55"/>
      <c r="AZ787" s="55"/>
    </row>
    <row r="788" spans="2:52" x14ac:dyDescent="0.2">
      <c r="B788" s="59"/>
      <c r="C788" s="68"/>
      <c r="D788" s="68"/>
      <c r="V788" s="55"/>
      <c r="W788" s="55"/>
      <c r="X788" s="55"/>
      <c r="Y788" s="55"/>
      <c r="Z788" s="55"/>
      <c r="AA788" s="55"/>
      <c r="AB788" s="55"/>
      <c r="AC788" s="55"/>
      <c r="AD788" s="55"/>
      <c r="AE788" s="55"/>
      <c r="AF788" s="55"/>
      <c r="AG788" s="55"/>
      <c r="AH788" s="55"/>
      <c r="AI788" s="55"/>
      <c r="AJ788" s="55"/>
      <c r="AK788" s="55"/>
      <c r="AL788" s="55"/>
      <c r="AM788" s="55"/>
      <c r="AN788" s="55"/>
      <c r="AO788" s="55"/>
      <c r="AP788" s="55"/>
      <c r="AQ788" s="55"/>
      <c r="AR788" s="55"/>
      <c r="AS788" s="55"/>
      <c r="AT788" s="55"/>
      <c r="AU788" s="55"/>
      <c r="AV788" s="55"/>
      <c r="AW788" s="55"/>
      <c r="AX788" s="55"/>
      <c r="AY788" s="55"/>
      <c r="AZ788" s="55"/>
    </row>
    <row r="789" spans="2:52" x14ac:dyDescent="0.2">
      <c r="B789" s="59"/>
      <c r="C789" s="68"/>
      <c r="D789" s="68"/>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row>
    <row r="790" spans="2:52" x14ac:dyDescent="0.2">
      <c r="B790" s="59"/>
      <c r="C790" s="68"/>
      <c r="D790" s="68"/>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row>
    <row r="791" spans="2:52" x14ac:dyDescent="0.2">
      <c r="B791" s="59"/>
      <c r="C791" s="68"/>
      <c r="D791" s="68"/>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row>
    <row r="792" spans="2:52" x14ac:dyDescent="0.2">
      <c r="B792" s="59"/>
      <c r="C792" s="68"/>
      <c r="D792" s="68"/>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row>
    <row r="793" spans="2:52" x14ac:dyDescent="0.2">
      <c r="B793" s="59"/>
      <c r="C793" s="68"/>
      <c r="D793" s="68"/>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row>
    <row r="794" spans="2:52" x14ac:dyDescent="0.2">
      <c r="B794" s="59"/>
      <c r="C794" s="68"/>
      <c r="D794" s="68"/>
      <c r="V794" s="55"/>
      <c r="W794" s="55"/>
      <c r="X794" s="55"/>
      <c r="Y794" s="55"/>
      <c r="Z794" s="55"/>
      <c r="AA794" s="55"/>
      <c r="AB794" s="55"/>
      <c r="AC794" s="55"/>
      <c r="AD794" s="55"/>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row>
    <row r="795" spans="2:52" x14ac:dyDescent="0.2">
      <c r="B795" s="59"/>
      <c r="C795" s="68"/>
      <c r="D795" s="68"/>
      <c r="V795" s="55"/>
      <c r="W795" s="55"/>
      <c r="X795" s="55"/>
      <c r="Y795" s="55"/>
      <c r="Z795" s="55"/>
      <c r="AA795" s="55"/>
      <c r="AB795" s="55"/>
      <c r="AC795" s="55"/>
      <c r="AD795" s="55"/>
      <c r="AE795" s="55"/>
      <c r="AF795" s="55"/>
      <c r="AG795" s="55"/>
      <c r="AH795" s="55"/>
      <c r="AI795" s="55"/>
      <c r="AJ795" s="55"/>
      <c r="AK795" s="55"/>
      <c r="AL795" s="55"/>
      <c r="AM795" s="55"/>
      <c r="AN795" s="55"/>
      <c r="AO795" s="55"/>
      <c r="AP795" s="55"/>
      <c r="AQ795" s="55"/>
      <c r="AR795" s="55"/>
      <c r="AS795" s="55"/>
      <c r="AT795" s="55"/>
      <c r="AU795" s="55"/>
      <c r="AV795" s="55"/>
      <c r="AW795" s="55"/>
      <c r="AX795" s="55"/>
      <c r="AY795" s="55"/>
      <c r="AZ795" s="55"/>
    </row>
    <row r="796" spans="2:52" ht="14.25" x14ac:dyDescent="0.25">
      <c r="B796" s="82" t="s">
        <v>502</v>
      </c>
      <c r="C796" s="3256"/>
      <c r="D796" s="85"/>
      <c r="E796" s="85"/>
      <c r="F796" s="55"/>
      <c r="G796" s="55"/>
      <c r="H796" s="55"/>
      <c r="I796" s="55"/>
      <c r="J796" s="55"/>
      <c r="K796" s="55"/>
      <c r="V796" s="55"/>
      <c r="W796" s="55"/>
      <c r="X796" s="55"/>
      <c r="Y796" s="55"/>
      <c r="Z796" s="55"/>
      <c r="AA796" s="55"/>
      <c r="AB796" s="55"/>
      <c r="AC796" s="55"/>
      <c r="AD796" s="55"/>
      <c r="AE796" s="55"/>
      <c r="AF796" s="55"/>
      <c r="AG796" s="55"/>
      <c r="AH796" s="55"/>
      <c r="AI796" s="55"/>
      <c r="AJ796" s="55"/>
      <c r="AK796" s="55"/>
      <c r="AL796" s="55"/>
      <c r="AM796" s="55"/>
      <c r="AN796" s="55"/>
      <c r="AO796" s="55"/>
      <c r="AP796" s="55"/>
      <c r="AQ796" s="55"/>
      <c r="AR796" s="55"/>
      <c r="AS796" s="55"/>
      <c r="AT796" s="55"/>
      <c r="AU796" s="55"/>
      <c r="AV796" s="55"/>
      <c r="AW796" s="55"/>
      <c r="AX796" s="55"/>
      <c r="AY796" s="55"/>
      <c r="AZ796" s="55"/>
    </row>
    <row r="797" spans="2:52" x14ac:dyDescent="0.2">
      <c r="B797" s="59"/>
      <c r="C797" s="68"/>
      <c r="D797" s="68"/>
      <c r="V797" s="55"/>
      <c r="W797" s="55"/>
      <c r="X797" s="55"/>
      <c r="Y797" s="55"/>
      <c r="Z797" s="55"/>
      <c r="AA797" s="55"/>
      <c r="AB797" s="55"/>
      <c r="AC797" s="55"/>
      <c r="AD797" s="55"/>
      <c r="AE797" s="55"/>
      <c r="AF797" s="55"/>
      <c r="AG797" s="55"/>
      <c r="AH797" s="55"/>
      <c r="AI797" s="55"/>
      <c r="AJ797" s="55"/>
      <c r="AK797" s="55"/>
      <c r="AL797" s="55"/>
      <c r="AM797" s="55"/>
      <c r="AN797" s="55"/>
      <c r="AO797" s="55"/>
      <c r="AP797" s="55"/>
      <c r="AQ797" s="55"/>
      <c r="AR797" s="55"/>
      <c r="AS797" s="55"/>
      <c r="AT797" s="55"/>
      <c r="AU797" s="55"/>
      <c r="AV797" s="55"/>
      <c r="AW797" s="55"/>
      <c r="AX797" s="55"/>
      <c r="AY797" s="55"/>
      <c r="AZ797" s="55"/>
    </row>
    <row r="798" spans="2:52" ht="14.25" x14ac:dyDescent="0.25">
      <c r="B798" s="60" t="s">
        <v>120</v>
      </c>
      <c r="C798" s="61" t="s">
        <v>5150</v>
      </c>
      <c r="D798" s="61" t="s">
        <v>5150</v>
      </c>
      <c r="E798" s="61" t="s">
        <v>5150</v>
      </c>
      <c r="H798" s="494"/>
      <c r="I798" s="494"/>
      <c r="J798" s="494"/>
      <c r="V798" s="55"/>
      <c r="W798" s="55"/>
      <c r="X798" s="55"/>
      <c r="Y798" s="55"/>
      <c r="Z798" s="55"/>
      <c r="AA798" s="55"/>
      <c r="AB798" s="55"/>
      <c r="AC798" s="55"/>
      <c r="AD798" s="55"/>
      <c r="AE798" s="55"/>
      <c r="AF798" s="55"/>
      <c r="AG798" s="55"/>
      <c r="AH798" s="55"/>
      <c r="AI798" s="55"/>
      <c r="AJ798" s="55"/>
      <c r="AK798" s="55"/>
      <c r="AL798" s="55"/>
      <c r="AM798" s="55"/>
      <c r="AN798" s="55"/>
      <c r="AO798" s="55"/>
      <c r="AP798" s="55"/>
      <c r="AQ798" s="55"/>
      <c r="AR798" s="55"/>
      <c r="AS798" s="55"/>
      <c r="AT798" s="55"/>
      <c r="AU798" s="55"/>
      <c r="AV798" s="55"/>
      <c r="AW798" s="55"/>
      <c r="AX798" s="55"/>
    </row>
    <row r="799" spans="2:52" x14ac:dyDescent="0.2">
      <c r="B799" s="147"/>
      <c r="C799" s="284">
        <f>C728</f>
        <v>1990</v>
      </c>
      <c r="D799" s="284">
        <f t="shared" ref="D799:E799" si="23">D728</f>
        <v>2018</v>
      </c>
      <c r="E799" s="284">
        <f t="shared" si="23"/>
        <v>2020</v>
      </c>
      <c r="H799" s="59"/>
      <c r="I799" s="59"/>
      <c r="J799" s="59"/>
      <c r="V799" s="55"/>
      <c r="W799" s="55"/>
      <c r="X799" s="55"/>
      <c r="Y799" s="55"/>
      <c r="Z799" s="55"/>
      <c r="AA799" s="55"/>
      <c r="AB799" s="55"/>
      <c r="AC799" s="55"/>
      <c r="AD799" s="55"/>
      <c r="AE799" s="55"/>
      <c r="AF799" s="55"/>
      <c r="AG799" s="55"/>
      <c r="AH799" s="55"/>
      <c r="AI799" s="55"/>
      <c r="AJ799" s="55"/>
      <c r="AK799" s="55"/>
      <c r="AL799" s="55"/>
      <c r="AM799" s="55"/>
      <c r="AN799" s="55"/>
      <c r="AO799" s="55"/>
      <c r="AP799" s="55"/>
      <c r="AQ799" s="55"/>
      <c r="AR799" s="55"/>
      <c r="AS799" s="55"/>
      <c r="AT799" s="55"/>
      <c r="AU799" s="55"/>
      <c r="AV799" s="55"/>
      <c r="AW799" s="55"/>
      <c r="AX799" s="55"/>
    </row>
    <row r="800" spans="2:52" x14ac:dyDescent="0.2">
      <c r="B800" s="147" t="s">
        <v>10</v>
      </c>
      <c r="C800" s="285">
        <f>C729/'E1990'!$D$1*1000</f>
        <v>4.5256911629327572</v>
      </c>
      <c r="D800" s="285">
        <f>E729/'E2018'!$D$1*1000</f>
        <v>1.3641892328624539</v>
      </c>
      <c r="E800" s="285">
        <f>E729/'E2020'!$D$1*1000</f>
        <v>1.3802295317930875</v>
      </c>
      <c r="H800" s="337"/>
      <c r="I800" s="337"/>
      <c r="J800" s="337"/>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c r="AT800" s="55"/>
      <c r="AU800" s="55"/>
      <c r="AV800" s="55"/>
      <c r="AW800" s="55"/>
      <c r="AX800" s="55"/>
    </row>
    <row r="801" spans="2:52" x14ac:dyDescent="0.2">
      <c r="B801" s="147" t="s">
        <v>82</v>
      </c>
      <c r="C801" s="285">
        <f>C730/'E1990'!$D$1*1000</f>
        <v>0</v>
      </c>
      <c r="D801" s="285">
        <f>E730/'E2018'!$D$1*1000</f>
        <v>0</v>
      </c>
      <c r="E801" s="285">
        <f>E730/'E2020'!$D$1*1000</f>
        <v>0</v>
      </c>
      <c r="H801" s="337"/>
      <c r="I801" s="337"/>
      <c r="J801" s="337"/>
      <c r="V801" s="55"/>
      <c r="W801" s="55"/>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c r="AT801" s="55"/>
      <c r="AU801" s="55"/>
      <c r="AV801" s="55"/>
      <c r="AW801" s="55"/>
      <c r="AX801" s="55"/>
    </row>
    <row r="802" spans="2:52" x14ac:dyDescent="0.2">
      <c r="B802" s="147" t="s">
        <v>494</v>
      </c>
      <c r="C802" s="285">
        <f>C731/'E1990'!$D$1*1000</f>
        <v>5.0264926225101867</v>
      </c>
      <c r="D802" s="285">
        <f>E731/'E2018'!$D$1*1000</f>
        <v>4.3612840575539567</v>
      </c>
      <c r="E802" s="285">
        <f>E731/'E2020'!$D$1*1000</f>
        <v>4.4125645531914879</v>
      </c>
      <c r="H802" s="337"/>
      <c r="I802" s="337"/>
      <c r="J802" s="337"/>
      <c r="V802" s="55"/>
      <c r="W802" s="55"/>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c r="AT802" s="55"/>
      <c r="AU802" s="55"/>
      <c r="AV802" s="55"/>
      <c r="AW802" s="55"/>
      <c r="AX802" s="55"/>
    </row>
    <row r="803" spans="2:52" x14ac:dyDescent="0.2">
      <c r="B803" s="147" t="s">
        <v>88</v>
      </c>
      <c r="C803" s="285">
        <f>C732/'E1990'!$D$1*1000</f>
        <v>0</v>
      </c>
      <c r="D803" s="285">
        <f>E732/'E2018'!$D$1*1000</f>
        <v>0</v>
      </c>
      <c r="E803" s="285">
        <f>E732/'E2020'!$D$1*1000</f>
        <v>0</v>
      </c>
      <c r="H803" s="337"/>
      <c r="I803" s="337"/>
      <c r="J803" s="337"/>
      <c r="V803" s="55"/>
      <c r="W803" s="55"/>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c r="AT803" s="55"/>
      <c r="AU803" s="55"/>
      <c r="AV803" s="55"/>
      <c r="AW803" s="55"/>
      <c r="AX803" s="55"/>
    </row>
    <row r="804" spans="2:52" x14ac:dyDescent="0.2">
      <c r="B804" s="147" t="s">
        <v>90</v>
      </c>
      <c r="C804" s="285">
        <f>C733/'E1990'!$D$1*1000</f>
        <v>0</v>
      </c>
      <c r="D804" s="285">
        <f>E733/'E2018'!$D$1*1000</f>
        <v>0</v>
      </c>
      <c r="E804" s="285">
        <f>E733/'E2020'!$D$1*1000</f>
        <v>0</v>
      </c>
      <c r="H804" s="337"/>
      <c r="I804" s="337"/>
      <c r="J804" s="337"/>
      <c r="V804" s="55"/>
      <c r="W804" s="55"/>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c r="AT804" s="55"/>
      <c r="AU804" s="55"/>
      <c r="AV804" s="55"/>
      <c r="AW804" s="55"/>
      <c r="AX804" s="55"/>
    </row>
    <row r="805" spans="2:52" x14ac:dyDescent="0.2">
      <c r="B805" s="147" t="s">
        <v>91</v>
      </c>
      <c r="C805" s="285">
        <f>C734/'E1990'!$D$1*1000</f>
        <v>0</v>
      </c>
      <c r="D805" s="285">
        <f>E734/'E2018'!$D$1*1000</f>
        <v>0</v>
      </c>
      <c r="E805" s="285">
        <f>E734/'E2020'!$D$1*1000</f>
        <v>0</v>
      </c>
      <c r="H805" s="337"/>
      <c r="I805" s="337"/>
      <c r="J805" s="337"/>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c r="AT805" s="55"/>
      <c r="AU805" s="55"/>
      <c r="AV805" s="55"/>
      <c r="AW805" s="55"/>
      <c r="AX805" s="55"/>
    </row>
    <row r="806" spans="2:52" x14ac:dyDescent="0.2">
      <c r="B806" s="147" t="s">
        <v>495</v>
      </c>
      <c r="C806" s="285">
        <f>C735/'E1990'!$D$1*1000</f>
        <v>0</v>
      </c>
      <c r="D806" s="285">
        <f>E735/'E2018'!$D$1*1000</f>
        <v>0</v>
      </c>
      <c r="E806" s="285">
        <f>E735/'E2020'!$D$1*1000</f>
        <v>0</v>
      </c>
      <c r="H806" s="337"/>
      <c r="I806" s="337"/>
      <c r="J806" s="337"/>
      <c r="V806" s="55"/>
      <c r="W806" s="55"/>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c r="AT806" s="55"/>
      <c r="AU806" s="55"/>
      <c r="AV806" s="55"/>
      <c r="AW806" s="55"/>
      <c r="AX806" s="55"/>
    </row>
    <row r="807" spans="2:52" x14ac:dyDescent="0.2">
      <c r="B807" s="277" t="s">
        <v>97</v>
      </c>
      <c r="C807" s="286">
        <f>SUM(C800:C806)</f>
        <v>9.5521837854429439</v>
      </c>
      <c r="D807" s="286">
        <f>SUM(D800:D806)</f>
        <v>5.7254732904164101</v>
      </c>
      <c r="E807" s="286">
        <f>SUM(E800:E806)</f>
        <v>5.7927940849845756</v>
      </c>
      <c r="H807" s="496"/>
      <c r="I807" s="496"/>
      <c r="J807" s="496"/>
      <c r="V807" s="55"/>
      <c r="W807" s="55"/>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c r="AT807" s="55"/>
      <c r="AU807" s="55"/>
      <c r="AV807" s="55"/>
      <c r="AW807" s="55"/>
      <c r="AX807" s="55"/>
    </row>
    <row r="808" spans="2:52" x14ac:dyDescent="0.2">
      <c r="B808" s="59"/>
      <c r="C808" s="68"/>
      <c r="D808" s="68"/>
      <c r="V808" s="55"/>
      <c r="W808" s="55"/>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row>
    <row r="809" spans="2:52" x14ac:dyDescent="0.2">
      <c r="B809" s="59"/>
      <c r="C809" s="68"/>
      <c r="D809" s="68"/>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row>
    <row r="810" spans="2:52" x14ac:dyDescent="0.2">
      <c r="B810" s="59"/>
      <c r="C810" s="68"/>
      <c r="D810" s="68"/>
      <c r="V810" s="55"/>
      <c r="W810" s="55"/>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row>
    <row r="811" spans="2:52" x14ac:dyDescent="0.2">
      <c r="B811" s="59"/>
      <c r="C811" s="68"/>
      <c r="D811" s="68"/>
      <c r="V811" s="55"/>
      <c r="W811" s="55"/>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row>
    <row r="812" spans="2:52" x14ac:dyDescent="0.2">
      <c r="B812" s="59"/>
      <c r="C812" s="68"/>
      <c r="D812" s="68"/>
      <c r="V812" s="55"/>
      <c r="W812" s="55"/>
      <c r="X812" s="55"/>
      <c r="Y812" s="55"/>
      <c r="Z812" s="55"/>
      <c r="AA812" s="55"/>
      <c r="AB812" s="55"/>
      <c r="AC812" s="55"/>
      <c r="AD812" s="55"/>
      <c r="AE812" s="55"/>
      <c r="AF812" s="55"/>
      <c r="AG812" s="55"/>
      <c r="AH812" s="55"/>
      <c r="AI812" s="55"/>
      <c r="AJ812" s="55"/>
      <c r="AK812" s="55"/>
      <c r="AL812" s="55"/>
      <c r="AM812" s="55"/>
      <c r="AN812" s="55"/>
      <c r="AO812" s="55"/>
      <c r="AP812" s="55"/>
      <c r="AQ812" s="55"/>
      <c r="AR812" s="55"/>
      <c r="AS812" s="55"/>
      <c r="AT812" s="55"/>
      <c r="AU812" s="55"/>
      <c r="AV812" s="55"/>
      <c r="AW812" s="55"/>
      <c r="AX812" s="55"/>
      <c r="AY812" s="55"/>
      <c r="AZ812" s="55"/>
    </row>
    <row r="813" spans="2:52" x14ac:dyDescent="0.2">
      <c r="B813" s="59"/>
      <c r="C813" s="68"/>
      <c r="D813" s="68"/>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row>
    <row r="814" spans="2:52" x14ac:dyDescent="0.2">
      <c r="B814" s="59"/>
      <c r="C814" s="68"/>
      <c r="D814" s="68"/>
      <c r="V814" s="55"/>
      <c r="W814" s="55"/>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row>
    <row r="815" spans="2:52" x14ac:dyDescent="0.2">
      <c r="B815" s="59"/>
      <c r="C815" s="68"/>
      <c r="D815" s="68"/>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row>
    <row r="816" spans="2:52" x14ac:dyDescent="0.2">
      <c r="B816" s="59"/>
      <c r="C816" s="68"/>
      <c r="D816" s="68"/>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row>
    <row r="817" spans="2:52" x14ac:dyDescent="0.2">
      <c r="B817" s="59"/>
      <c r="C817" s="68"/>
      <c r="D817" s="68"/>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row>
    <row r="818" spans="2:52" x14ac:dyDescent="0.2">
      <c r="B818" s="59"/>
      <c r="C818" s="68"/>
      <c r="D818" s="68"/>
      <c r="V818" s="55"/>
      <c r="W818" s="55"/>
      <c r="X818" s="55"/>
      <c r="Y818" s="55"/>
      <c r="Z818" s="55"/>
      <c r="AA818" s="55"/>
      <c r="AB818" s="55"/>
      <c r="AC818" s="55"/>
      <c r="AD818" s="55"/>
      <c r="AE818" s="55"/>
      <c r="AF818" s="55"/>
      <c r="AG818" s="55"/>
      <c r="AH818" s="55"/>
      <c r="AI818" s="55"/>
      <c r="AJ818" s="55"/>
      <c r="AK818" s="55"/>
      <c r="AL818" s="55"/>
      <c r="AM818" s="55"/>
      <c r="AN818" s="55"/>
      <c r="AO818" s="55"/>
      <c r="AP818" s="55"/>
      <c r="AQ818" s="55"/>
      <c r="AR818" s="55"/>
      <c r="AS818" s="55"/>
      <c r="AT818" s="55"/>
      <c r="AU818" s="55"/>
      <c r="AV818" s="55"/>
      <c r="AW818" s="55"/>
      <c r="AX818" s="55"/>
      <c r="AY818" s="55"/>
      <c r="AZ818" s="55"/>
    </row>
    <row r="819" spans="2:52" x14ac:dyDescent="0.2">
      <c r="B819" s="59"/>
      <c r="C819" s="68"/>
      <c r="D819" s="68"/>
      <c r="V819" s="55"/>
      <c r="W819" s="55"/>
      <c r="X819" s="55"/>
      <c r="Y819" s="55"/>
      <c r="Z819" s="55"/>
      <c r="AA819" s="55"/>
      <c r="AB819" s="55"/>
      <c r="AC819" s="55"/>
      <c r="AD819" s="55"/>
      <c r="AE819" s="55"/>
      <c r="AF819" s="55"/>
      <c r="AG819" s="55"/>
      <c r="AH819" s="55"/>
      <c r="AI819" s="55"/>
      <c r="AJ819" s="55"/>
      <c r="AK819" s="55"/>
      <c r="AL819" s="55"/>
      <c r="AM819" s="55"/>
      <c r="AN819" s="55"/>
      <c r="AO819" s="55"/>
      <c r="AP819" s="55"/>
      <c r="AQ819" s="55"/>
      <c r="AR819" s="55"/>
      <c r="AS819" s="55"/>
      <c r="AT819" s="55"/>
      <c r="AU819" s="55"/>
      <c r="AV819" s="55"/>
      <c r="AW819" s="55"/>
      <c r="AX819" s="55"/>
      <c r="AY819" s="55"/>
      <c r="AZ819" s="55"/>
    </row>
    <row r="820" spans="2:52" x14ac:dyDescent="0.2">
      <c r="B820" s="59"/>
      <c r="C820" s="68"/>
      <c r="D820" s="68"/>
      <c r="V820" s="55"/>
      <c r="W820" s="55"/>
      <c r="X820" s="55"/>
      <c r="Y820" s="55"/>
      <c r="Z820" s="55"/>
      <c r="AA820" s="55"/>
      <c r="AB820" s="55"/>
      <c r="AC820" s="55"/>
      <c r="AD820" s="55"/>
      <c r="AE820" s="55"/>
      <c r="AF820" s="55"/>
      <c r="AG820" s="55"/>
      <c r="AH820" s="55"/>
      <c r="AI820" s="55"/>
      <c r="AJ820" s="55"/>
      <c r="AK820" s="55"/>
      <c r="AL820" s="55"/>
      <c r="AM820" s="55"/>
      <c r="AN820" s="55"/>
      <c r="AO820" s="55"/>
      <c r="AP820" s="55"/>
      <c r="AQ820" s="55"/>
      <c r="AR820" s="55"/>
      <c r="AS820" s="55"/>
      <c r="AT820" s="55"/>
      <c r="AU820" s="55"/>
      <c r="AV820" s="55"/>
      <c r="AW820" s="55"/>
      <c r="AX820" s="55"/>
      <c r="AY820" s="55"/>
      <c r="AZ820" s="55"/>
    </row>
    <row r="821" spans="2:52" x14ac:dyDescent="0.2">
      <c r="B821" s="59"/>
      <c r="C821" s="68"/>
      <c r="D821" s="68"/>
      <c r="V821" s="55"/>
      <c r="W821" s="55"/>
      <c r="X821" s="55"/>
      <c r="Y821" s="55"/>
      <c r="Z821" s="55"/>
      <c r="AA821" s="55"/>
      <c r="AB821" s="55"/>
      <c r="AC821" s="55"/>
      <c r="AD821" s="55"/>
      <c r="AE821" s="55"/>
      <c r="AF821" s="55"/>
      <c r="AG821" s="55"/>
      <c r="AH821" s="55"/>
      <c r="AI821" s="55"/>
      <c r="AJ821" s="55"/>
      <c r="AK821" s="55"/>
      <c r="AL821" s="55"/>
      <c r="AM821" s="55"/>
      <c r="AN821" s="55"/>
      <c r="AO821" s="55"/>
      <c r="AP821" s="55"/>
      <c r="AQ821" s="55"/>
      <c r="AR821" s="55"/>
      <c r="AS821" s="55"/>
      <c r="AT821" s="55"/>
      <c r="AU821" s="55"/>
      <c r="AV821" s="55"/>
      <c r="AW821" s="55"/>
      <c r="AX821" s="55"/>
      <c r="AY821" s="55"/>
      <c r="AZ821" s="55"/>
    </row>
    <row r="822" spans="2:52" x14ac:dyDescent="0.2">
      <c r="B822" s="59"/>
      <c r="C822" s="68"/>
      <c r="D822" s="68"/>
      <c r="V822" s="55"/>
      <c r="W822" s="55"/>
      <c r="X822" s="55"/>
      <c r="Y822" s="55"/>
      <c r="Z822" s="55"/>
      <c r="AA822" s="55"/>
      <c r="AB822" s="55"/>
      <c r="AC822" s="55"/>
      <c r="AD822" s="55"/>
      <c r="AE822" s="55"/>
      <c r="AF822" s="55"/>
      <c r="AG822" s="55"/>
      <c r="AH822" s="55"/>
      <c r="AI822" s="55"/>
      <c r="AJ822" s="55"/>
      <c r="AK822" s="55"/>
      <c r="AL822" s="55"/>
      <c r="AM822" s="55"/>
      <c r="AN822" s="55"/>
      <c r="AO822" s="55"/>
      <c r="AP822" s="55"/>
      <c r="AQ822" s="55"/>
      <c r="AR822" s="55"/>
      <c r="AS822" s="55"/>
      <c r="AT822" s="55"/>
      <c r="AU822" s="55"/>
      <c r="AV822" s="55"/>
      <c r="AW822" s="55"/>
      <c r="AX822" s="55"/>
      <c r="AY822" s="55"/>
      <c r="AZ822" s="55"/>
    </row>
    <row r="823" spans="2:52" x14ac:dyDescent="0.2">
      <c r="B823" s="59"/>
      <c r="C823" s="68"/>
      <c r="D823" s="68"/>
      <c r="V823" s="55"/>
      <c r="W823" s="55"/>
      <c r="X823" s="55"/>
      <c r="Y823" s="55"/>
      <c r="Z823" s="55"/>
      <c r="AA823" s="55"/>
      <c r="AB823" s="55"/>
      <c r="AC823" s="55"/>
      <c r="AD823" s="55"/>
      <c r="AE823" s="55"/>
      <c r="AF823" s="55"/>
      <c r="AG823" s="55"/>
      <c r="AH823" s="55"/>
      <c r="AI823" s="55"/>
      <c r="AJ823" s="55"/>
      <c r="AK823" s="55"/>
      <c r="AL823" s="55"/>
      <c r="AM823" s="55"/>
      <c r="AN823" s="55"/>
      <c r="AO823" s="55"/>
      <c r="AP823" s="55"/>
      <c r="AQ823" s="55"/>
      <c r="AR823" s="55"/>
      <c r="AS823" s="55"/>
      <c r="AT823" s="55"/>
      <c r="AU823" s="55"/>
      <c r="AV823" s="55"/>
      <c r="AW823" s="55"/>
      <c r="AX823" s="55"/>
      <c r="AY823" s="55"/>
      <c r="AZ823" s="55"/>
    </row>
    <row r="824" spans="2:52" x14ac:dyDescent="0.2">
      <c r="B824" s="59"/>
      <c r="C824" s="68"/>
      <c r="D824" s="68"/>
      <c r="V824" s="55"/>
      <c r="W824" s="55"/>
      <c r="X824" s="55"/>
      <c r="Y824" s="55"/>
      <c r="Z824" s="55"/>
      <c r="AA824" s="55"/>
      <c r="AB824" s="55"/>
      <c r="AC824" s="55"/>
      <c r="AD824" s="55"/>
      <c r="AE824" s="55"/>
      <c r="AF824" s="55"/>
      <c r="AG824" s="55"/>
      <c r="AH824" s="55"/>
      <c r="AI824" s="55"/>
      <c r="AJ824" s="55"/>
      <c r="AK824" s="55"/>
      <c r="AL824" s="55"/>
      <c r="AM824" s="55"/>
      <c r="AN824" s="55"/>
      <c r="AO824" s="55"/>
      <c r="AP824" s="55"/>
      <c r="AQ824" s="55"/>
      <c r="AR824" s="55"/>
      <c r="AS824" s="55"/>
      <c r="AT824" s="55"/>
      <c r="AU824" s="55"/>
      <c r="AV824" s="55"/>
      <c r="AW824" s="55"/>
      <c r="AX824" s="55"/>
      <c r="AY824" s="55"/>
      <c r="AZ824" s="55"/>
    </row>
    <row r="825" spans="2:52" x14ac:dyDescent="0.2">
      <c r="B825" s="59"/>
      <c r="C825" s="68"/>
      <c r="D825" s="68"/>
      <c r="V825" s="55"/>
      <c r="W825" s="55"/>
      <c r="X825" s="55"/>
      <c r="Y825" s="55"/>
      <c r="Z825" s="55"/>
      <c r="AA825" s="55"/>
      <c r="AB825" s="55"/>
      <c r="AC825" s="55"/>
      <c r="AD825" s="55"/>
      <c r="AE825" s="55"/>
      <c r="AF825" s="55"/>
      <c r="AG825" s="55"/>
      <c r="AH825" s="55"/>
      <c r="AI825" s="55"/>
      <c r="AJ825" s="55"/>
      <c r="AK825" s="55"/>
      <c r="AL825" s="55"/>
      <c r="AM825" s="55"/>
      <c r="AN825" s="55"/>
      <c r="AO825" s="55"/>
      <c r="AP825" s="55"/>
      <c r="AQ825" s="55"/>
      <c r="AR825" s="55"/>
      <c r="AS825" s="55"/>
      <c r="AT825" s="55"/>
      <c r="AU825" s="55"/>
      <c r="AV825" s="55"/>
      <c r="AW825" s="55"/>
      <c r="AX825" s="55"/>
      <c r="AY825" s="55"/>
      <c r="AZ825" s="55"/>
    </row>
    <row r="826" spans="2:52" x14ac:dyDescent="0.2">
      <c r="B826" s="59"/>
      <c r="C826" s="68"/>
      <c r="D826" s="68"/>
      <c r="V826" s="55"/>
      <c r="W826" s="55"/>
      <c r="X826" s="55"/>
      <c r="Y826" s="55"/>
      <c r="Z826" s="55"/>
      <c r="AA826" s="55"/>
      <c r="AB826" s="55"/>
      <c r="AC826" s="55"/>
      <c r="AD826" s="55"/>
      <c r="AE826" s="55"/>
      <c r="AF826" s="55"/>
      <c r="AG826" s="55"/>
      <c r="AH826" s="55"/>
      <c r="AI826" s="55"/>
      <c r="AJ826" s="55"/>
      <c r="AK826" s="55"/>
      <c r="AL826" s="55"/>
      <c r="AM826" s="55"/>
      <c r="AN826" s="55"/>
      <c r="AO826" s="55"/>
      <c r="AP826" s="55"/>
      <c r="AQ826" s="55"/>
      <c r="AR826" s="55"/>
      <c r="AS826" s="55"/>
      <c r="AT826" s="55"/>
      <c r="AU826" s="55"/>
      <c r="AV826" s="55"/>
      <c r="AW826" s="55"/>
      <c r="AX826" s="55"/>
      <c r="AY826" s="55"/>
      <c r="AZ826" s="55"/>
    </row>
    <row r="827" spans="2:52" x14ac:dyDescent="0.2">
      <c r="B827" s="59"/>
      <c r="C827" s="68"/>
      <c r="D827" s="68"/>
      <c r="V827" s="55"/>
      <c r="W827" s="55"/>
      <c r="X827" s="55"/>
      <c r="Y827" s="55"/>
      <c r="Z827" s="55"/>
      <c r="AA827" s="55"/>
      <c r="AB827" s="55"/>
      <c r="AC827" s="55"/>
      <c r="AD827" s="55"/>
      <c r="AE827" s="55"/>
      <c r="AF827" s="55"/>
      <c r="AG827" s="55"/>
      <c r="AH827" s="55"/>
      <c r="AI827" s="55"/>
      <c r="AJ827" s="55"/>
      <c r="AK827" s="55"/>
      <c r="AL827" s="55"/>
      <c r="AM827" s="55"/>
      <c r="AN827" s="55"/>
      <c r="AO827" s="55"/>
      <c r="AP827" s="55"/>
      <c r="AQ827" s="55"/>
      <c r="AR827" s="55"/>
      <c r="AS827" s="55"/>
      <c r="AT827" s="55"/>
      <c r="AU827" s="55"/>
      <c r="AV827" s="55"/>
      <c r="AW827" s="55"/>
      <c r="AX827" s="55"/>
      <c r="AY827" s="55"/>
      <c r="AZ827" s="55"/>
    </row>
    <row r="828" spans="2:52" x14ac:dyDescent="0.2">
      <c r="B828" s="59"/>
      <c r="C828" s="68"/>
      <c r="D828" s="68"/>
      <c r="V828" s="55"/>
      <c r="W828" s="55"/>
      <c r="X828" s="55"/>
      <c r="Y828" s="55"/>
      <c r="Z828" s="55"/>
      <c r="AA828" s="55"/>
      <c r="AB828" s="55"/>
      <c r="AC828" s="55"/>
      <c r="AD828" s="55"/>
      <c r="AE828" s="55"/>
      <c r="AF828" s="55"/>
      <c r="AG828" s="55"/>
      <c r="AH828" s="55"/>
      <c r="AI828" s="55"/>
      <c r="AJ828" s="55"/>
      <c r="AK828" s="55"/>
      <c r="AL828" s="55"/>
      <c r="AM828" s="55"/>
      <c r="AN828" s="55"/>
      <c r="AO828" s="55"/>
      <c r="AP828" s="55"/>
      <c r="AQ828" s="55"/>
      <c r="AR828" s="55"/>
      <c r="AS828" s="55"/>
      <c r="AT828" s="55"/>
      <c r="AU828" s="55"/>
      <c r="AV828" s="55"/>
      <c r="AW828" s="55"/>
      <c r="AX828" s="55"/>
      <c r="AY828" s="55"/>
      <c r="AZ828" s="55"/>
    </row>
    <row r="829" spans="2:52" x14ac:dyDescent="0.2">
      <c r="B829" s="59"/>
      <c r="C829" s="68"/>
      <c r="D829" s="68"/>
      <c r="V829" s="55"/>
      <c r="W829" s="55"/>
      <c r="X829" s="55"/>
      <c r="Y829" s="55"/>
      <c r="Z829" s="55"/>
      <c r="AA829" s="55"/>
      <c r="AB829" s="55"/>
      <c r="AC829" s="55"/>
      <c r="AD829" s="55"/>
      <c r="AE829" s="55"/>
      <c r="AF829" s="55"/>
      <c r="AG829" s="55"/>
      <c r="AH829" s="55"/>
      <c r="AI829" s="55"/>
      <c r="AJ829" s="55"/>
      <c r="AK829" s="55"/>
      <c r="AL829" s="55"/>
      <c r="AM829" s="55"/>
      <c r="AN829" s="55"/>
      <c r="AO829" s="55"/>
      <c r="AP829" s="55"/>
      <c r="AQ829" s="55"/>
      <c r="AR829" s="55"/>
      <c r="AS829" s="55"/>
      <c r="AT829" s="55"/>
      <c r="AU829" s="55"/>
      <c r="AV829" s="55"/>
      <c r="AW829" s="55"/>
      <c r="AX829" s="55"/>
      <c r="AY829" s="55"/>
      <c r="AZ829" s="55"/>
    </row>
    <row r="830" spans="2:52" x14ac:dyDescent="0.2">
      <c r="B830" s="59"/>
      <c r="C830" s="68"/>
      <c r="D830" s="68"/>
      <c r="V830" s="55"/>
      <c r="W830" s="55"/>
      <c r="X830" s="55"/>
      <c r="Y830" s="55"/>
      <c r="Z830" s="55"/>
      <c r="AA830" s="55"/>
      <c r="AB830" s="55"/>
      <c r="AC830" s="55"/>
      <c r="AD830" s="55"/>
      <c r="AE830" s="55"/>
      <c r="AF830" s="55"/>
      <c r="AG830" s="55"/>
      <c r="AH830" s="55"/>
      <c r="AI830" s="55"/>
      <c r="AJ830" s="55"/>
      <c r="AK830" s="55"/>
      <c r="AL830" s="55"/>
      <c r="AM830" s="55"/>
      <c r="AN830" s="55"/>
      <c r="AO830" s="55"/>
      <c r="AP830" s="55"/>
      <c r="AQ830" s="55"/>
      <c r="AR830" s="55"/>
      <c r="AS830" s="55"/>
      <c r="AT830" s="55"/>
      <c r="AU830" s="55"/>
      <c r="AV830" s="55"/>
      <c r="AW830" s="55"/>
      <c r="AX830" s="55"/>
      <c r="AY830" s="55"/>
      <c r="AZ830" s="55"/>
    </row>
    <row r="831" spans="2:52" x14ac:dyDescent="0.2">
      <c r="B831" s="59"/>
      <c r="C831" s="68"/>
      <c r="D831" s="68"/>
      <c r="V831" s="55"/>
      <c r="W831" s="55"/>
      <c r="X831" s="55"/>
      <c r="Y831" s="55"/>
      <c r="Z831" s="55"/>
      <c r="AA831" s="55"/>
      <c r="AB831" s="55"/>
      <c r="AC831" s="55"/>
      <c r="AD831" s="55"/>
      <c r="AE831" s="55"/>
      <c r="AF831" s="55"/>
      <c r="AG831" s="55"/>
      <c r="AH831" s="55"/>
      <c r="AI831" s="55"/>
      <c r="AJ831" s="55"/>
      <c r="AK831" s="55"/>
      <c r="AL831" s="55"/>
      <c r="AM831" s="55"/>
      <c r="AN831" s="55"/>
      <c r="AO831" s="55"/>
      <c r="AP831" s="55"/>
      <c r="AQ831" s="55"/>
      <c r="AR831" s="55"/>
      <c r="AS831" s="55"/>
      <c r="AT831" s="55"/>
      <c r="AU831" s="55"/>
      <c r="AV831" s="55"/>
      <c r="AW831" s="55"/>
      <c r="AX831" s="55"/>
      <c r="AY831" s="55"/>
      <c r="AZ831" s="55"/>
    </row>
    <row r="832" spans="2:52" x14ac:dyDescent="0.2">
      <c r="B832" s="59"/>
      <c r="C832" s="68"/>
      <c r="D832" s="68"/>
      <c r="V832" s="55"/>
      <c r="W832" s="55"/>
      <c r="X832" s="55"/>
      <c r="Y832" s="55"/>
      <c r="Z832" s="55"/>
      <c r="AA832" s="55"/>
      <c r="AB832" s="55"/>
      <c r="AC832" s="55"/>
      <c r="AD832" s="55"/>
      <c r="AE832" s="55"/>
      <c r="AF832" s="55"/>
      <c r="AG832" s="55"/>
      <c r="AH832" s="55"/>
      <c r="AI832" s="55"/>
      <c r="AJ832" s="55"/>
      <c r="AK832" s="55"/>
      <c r="AL832" s="55"/>
      <c r="AM832" s="55"/>
      <c r="AN832" s="55"/>
      <c r="AO832" s="55"/>
      <c r="AP832" s="55"/>
      <c r="AQ832" s="55"/>
      <c r="AR832" s="55"/>
      <c r="AS832" s="55"/>
      <c r="AT832" s="55"/>
      <c r="AU832" s="55"/>
      <c r="AV832" s="55"/>
      <c r="AW832" s="55"/>
      <c r="AX832" s="55"/>
      <c r="AY832" s="55"/>
      <c r="AZ832" s="55"/>
    </row>
    <row r="833" spans="2:52" x14ac:dyDescent="0.2">
      <c r="B833" s="59"/>
      <c r="C833" s="68"/>
      <c r="D833" s="68"/>
      <c r="V833" s="55"/>
      <c r="W833" s="55"/>
      <c r="X833" s="55"/>
      <c r="Y833" s="55"/>
      <c r="Z833" s="55"/>
      <c r="AA833" s="55"/>
      <c r="AB833" s="55"/>
      <c r="AC833" s="55"/>
      <c r="AD833" s="55"/>
      <c r="AE833" s="55"/>
      <c r="AF833" s="55"/>
      <c r="AG833" s="55"/>
      <c r="AH833" s="55"/>
      <c r="AI833" s="55"/>
      <c r="AJ833" s="55"/>
      <c r="AK833" s="55"/>
      <c r="AL833" s="55"/>
      <c r="AM833" s="55"/>
      <c r="AN833" s="55"/>
      <c r="AO833" s="55"/>
      <c r="AP833" s="55"/>
      <c r="AQ833" s="55"/>
      <c r="AR833" s="55"/>
      <c r="AS833" s="55"/>
      <c r="AT833" s="55"/>
      <c r="AU833" s="55"/>
      <c r="AV833" s="55"/>
      <c r="AW833" s="55"/>
      <c r="AX833" s="55"/>
      <c r="AY833" s="55"/>
      <c r="AZ833" s="55"/>
    </row>
    <row r="834" spans="2:52" x14ac:dyDescent="0.2">
      <c r="B834" s="59"/>
      <c r="C834" s="68"/>
      <c r="D834" s="68"/>
      <c r="V834" s="55"/>
      <c r="W834" s="55"/>
      <c r="X834" s="55"/>
      <c r="Y834" s="55"/>
      <c r="Z834" s="55"/>
      <c r="AA834" s="55"/>
      <c r="AB834" s="55"/>
      <c r="AC834" s="55"/>
      <c r="AD834" s="55"/>
      <c r="AE834" s="55"/>
      <c r="AF834" s="55"/>
      <c r="AG834" s="55"/>
      <c r="AH834" s="55"/>
      <c r="AI834" s="55"/>
      <c r="AJ834" s="55"/>
      <c r="AK834" s="55"/>
      <c r="AL834" s="55"/>
      <c r="AM834" s="55"/>
      <c r="AN834" s="55"/>
      <c r="AO834" s="55"/>
      <c r="AP834" s="55"/>
      <c r="AQ834" s="55"/>
      <c r="AR834" s="55"/>
      <c r="AS834" s="55"/>
      <c r="AT834" s="55"/>
      <c r="AU834" s="55"/>
      <c r="AV834" s="55"/>
      <c r="AW834" s="55"/>
      <c r="AX834" s="55"/>
      <c r="AY834" s="55"/>
      <c r="AZ834" s="55"/>
    </row>
    <row r="835" spans="2:52" ht="14.25" x14ac:dyDescent="0.25">
      <c r="B835" s="82" t="s">
        <v>122</v>
      </c>
      <c r="C835" s="3256"/>
      <c r="D835" s="85"/>
      <c r="E835" s="85"/>
      <c r="F835" s="55"/>
      <c r="G835" s="55"/>
      <c r="H835" s="55"/>
      <c r="I835" s="55"/>
      <c r="J835" s="55"/>
      <c r="K835" s="55"/>
      <c r="V835" s="55"/>
      <c r="W835" s="55"/>
      <c r="X835" s="55"/>
      <c r="Y835" s="55"/>
      <c r="Z835" s="55"/>
      <c r="AA835" s="55"/>
      <c r="AB835" s="55"/>
      <c r="AC835" s="55"/>
      <c r="AD835" s="55"/>
      <c r="AE835" s="55"/>
      <c r="AF835" s="55"/>
      <c r="AG835" s="55"/>
      <c r="AH835" s="55"/>
      <c r="AI835" s="55"/>
      <c r="AJ835" s="55"/>
      <c r="AK835" s="55"/>
      <c r="AL835" s="55"/>
      <c r="AM835" s="55"/>
      <c r="AN835" s="55"/>
      <c r="AO835" s="55"/>
      <c r="AP835" s="55"/>
      <c r="AQ835" s="55"/>
      <c r="AR835" s="55"/>
      <c r="AS835" s="55"/>
      <c r="AT835" s="55"/>
      <c r="AU835" s="55"/>
      <c r="AV835" s="55"/>
      <c r="AW835" s="55"/>
      <c r="AX835" s="55"/>
      <c r="AY835" s="55"/>
      <c r="AZ835" s="55"/>
    </row>
    <row r="836" spans="2:52" x14ac:dyDescent="0.2">
      <c r="C836" s="68"/>
      <c r="D836" s="68"/>
      <c r="V836" s="55"/>
      <c r="W836" s="55"/>
      <c r="X836" s="55"/>
      <c r="Y836" s="55"/>
      <c r="Z836" s="55"/>
      <c r="AA836" s="55"/>
      <c r="AB836" s="55"/>
      <c r="AC836" s="55"/>
      <c r="AD836" s="55"/>
      <c r="AE836" s="55"/>
      <c r="AF836" s="55"/>
      <c r="AG836" s="55"/>
      <c r="AH836" s="55"/>
      <c r="AI836" s="55"/>
      <c r="AJ836" s="55"/>
      <c r="AK836" s="55"/>
      <c r="AL836" s="55"/>
      <c r="AM836" s="55"/>
      <c r="AN836" s="55"/>
      <c r="AO836" s="55"/>
      <c r="AP836" s="55"/>
      <c r="AQ836" s="55"/>
      <c r="AR836" s="55"/>
      <c r="AS836" s="55"/>
      <c r="AT836" s="55"/>
      <c r="AU836" s="55"/>
      <c r="AV836" s="55"/>
      <c r="AW836" s="55"/>
      <c r="AX836" s="55"/>
      <c r="AY836" s="55"/>
      <c r="AZ836" s="55"/>
    </row>
    <row r="837" spans="2:52" x14ac:dyDescent="0.2">
      <c r="B837" s="59"/>
      <c r="C837" s="68"/>
      <c r="D837" s="68"/>
      <c r="V837" s="55"/>
      <c r="W837" s="55"/>
      <c r="X837" s="55"/>
      <c r="Y837" s="55"/>
      <c r="Z837" s="55"/>
      <c r="AA837" s="55"/>
      <c r="AB837" s="55"/>
      <c r="AC837" s="55"/>
      <c r="AD837" s="55"/>
      <c r="AE837" s="55"/>
      <c r="AF837" s="55"/>
      <c r="AG837" s="55"/>
      <c r="AH837" s="55"/>
      <c r="AI837" s="55"/>
      <c r="AJ837" s="55"/>
      <c r="AK837" s="55"/>
      <c r="AL837" s="55"/>
      <c r="AM837" s="55"/>
      <c r="AN837" s="55"/>
      <c r="AO837" s="55"/>
      <c r="AP837" s="55"/>
      <c r="AQ837" s="55"/>
      <c r="AR837" s="55"/>
      <c r="AS837" s="55"/>
      <c r="AT837" s="55"/>
      <c r="AU837" s="55"/>
      <c r="AV837" s="55"/>
      <c r="AW837" s="55"/>
      <c r="AX837" s="55"/>
      <c r="AY837" s="55"/>
      <c r="AZ837" s="55"/>
    </row>
    <row r="838" spans="2:52" x14ac:dyDescent="0.2">
      <c r="B838" s="59"/>
      <c r="C838" s="68"/>
      <c r="D838" s="68"/>
      <c r="V838" s="55"/>
      <c r="W838" s="55"/>
      <c r="X838" s="55"/>
      <c r="Y838" s="55"/>
      <c r="Z838" s="55"/>
      <c r="AA838" s="55"/>
      <c r="AB838" s="55"/>
      <c r="AC838" s="55"/>
      <c r="AD838" s="55"/>
      <c r="AE838" s="55"/>
      <c r="AF838" s="55"/>
      <c r="AG838" s="55"/>
      <c r="AH838" s="55"/>
      <c r="AI838" s="55"/>
      <c r="AJ838" s="55"/>
      <c r="AK838" s="55"/>
      <c r="AL838" s="55"/>
      <c r="AM838" s="55"/>
      <c r="AN838" s="55"/>
      <c r="AO838" s="55"/>
      <c r="AP838" s="55"/>
      <c r="AQ838" s="55"/>
      <c r="AR838" s="55"/>
      <c r="AS838" s="55"/>
      <c r="AT838" s="55"/>
      <c r="AU838" s="55"/>
      <c r="AV838" s="55"/>
      <c r="AW838" s="55"/>
      <c r="AX838" s="55"/>
      <c r="AY838" s="55"/>
      <c r="AZ838" s="55"/>
    </row>
    <row r="839" spans="2:52" x14ac:dyDescent="0.2">
      <c r="B839" s="59"/>
      <c r="C839" s="68"/>
      <c r="D839" s="68"/>
      <c r="V839" s="55"/>
      <c r="W839" s="55"/>
      <c r="X839" s="55"/>
      <c r="Y839" s="55"/>
      <c r="Z839" s="55"/>
      <c r="AA839" s="55"/>
      <c r="AB839" s="55"/>
      <c r="AC839" s="55"/>
      <c r="AD839" s="55"/>
      <c r="AE839" s="55"/>
      <c r="AF839" s="55"/>
      <c r="AG839" s="55"/>
      <c r="AH839" s="55"/>
      <c r="AI839" s="55"/>
      <c r="AJ839" s="55"/>
      <c r="AK839" s="55"/>
      <c r="AL839" s="55"/>
      <c r="AM839" s="55"/>
      <c r="AN839" s="55"/>
      <c r="AO839" s="55"/>
      <c r="AP839" s="55"/>
      <c r="AQ839" s="55"/>
      <c r="AR839" s="55"/>
      <c r="AS839" s="55"/>
      <c r="AT839" s="55"/>
      <c r="AU839" s="55"/>
      <c r="AV839" s="55"/>
      <c r="AW839" s="55"/>
      <c r="AX839" s="55"/>
      <c r="AY839" s="55"/>
      <c r="AZ839" s="55"/>
    </row>
    <row r="840" spans="2:52" x14ac:dyDescent="0.2">
      <c r="B840" s="59"/>
      <c r="C840" s="68"/>
      <c r="D840" s="68"/>
      <c r="V840" s="55"/>
      <c r="W840" s="55"/>
      <c r="X840" s="55"/>
      <c r="Y840" s="55"/>
      <c r="Z840" s="55"/>
      <c r="AA840" s="55"/>
      <c r="AB840" s="55"/>
      <c r="AC840" s="55"/>
      <c r="AD840" s="55"/>
      <c r="AE840" s="55"/>
      <c r="AF840" s="55"/>
      <c r="AG840" s="55"/>
      <c r="AH840" s="55"/>
      <c r="AI840" s="55"/>
      <c r="AJ840" s="55"/>
      <c r="AK840" s="55"/>
      <c r="AL840" s="55"/>
      <c r="AM840" s="55"/>
      <c r="AN840" s="55"/>
      <c r="AO840" s="55"/>
      <c r="AP840" s="55"/>
      <c r="AQ840" s="55"/>
      <c r="AR840" s="55"/>
      <c r="AS840" s="55"/>
      <c r="AT840" s="55"/>
      <c r="AU840" s="55"/>
      <c r="AV840" s="55"/>
      <c r="AW840" s="55"/>
      <c r="AX840" s="55"/>
      <c r="AY840" s="55"/>
      <c r="AZ840" s="55"/>
    </row>
    <row r="841" spans="2:52" x14ac:dyDescent="0.2">
      <c r="B841" s="59"/>
      <c r="C841" s="68"/>
      <c r="D841" s="68"/>
      <c r="V841" s="55"/>
      <c r="W841" s="55"/>
      <c r="X841" s="55"/>
      <c r="Y841" s="55"/>
      <c r="Z841" s="55"/>
      <c r="AA841" s="55"/>
      <c r="AB841" s="55"/>
      <c r="AC841" s="55"/>
      <c r="AD841" s="55"/>
      <c r="AE841" s="55"/>
      <c r="AF841" s="55"/>
      <c r="AG841" s="55"/>
      <c r="AH841" s="55"/>
      <c r="AI841" s="55"/>
      <c r="AJ841" s="55"/>
      <c r="AK841" s="55"/>
      <c r="AL841" s="55"/>
      <c r="AM841" s="55"/>
      <c r="AN841" s="55"/>
      <c r="AO841" s="55"/>
      <c r="AP841" s="55"/>
      <c r="AQ841" s="55"/>
      <c r="AR841" s="55"/>
      <c r="AS841" s="55"/>
      <c r="AT841" s="55"/>
      <c r="AU841" s="55"/>
      <c r="AV841" s="55"/>
      <c r="AW841" s="55"/>
      <c r="AX841" s="55"/>
      <c r="AY841" s="55"/>
      <c r="AZ841" s="55"/>
    </row>
    <row r="842" spans="2:52" x14ac:dyDescent="0.2">
      <c r="B842" s="59"/>
      <c r="C842" s="68"/>
      <c r="D842" s="68"/>
      <c r="V842" s="55"/>
      <c r="W842" s="55"/>
      <c r="X842" s="55"/>
      <c r="Y842" s="55"/>
      <c r="Z842" s="55"/>
      <c r="AA842" s="55"/>
      <c r="AB842" s="55"/>
      <c r="AC842" s="55"/>
      <c r="AD842" s="55"/>
      <c r="AE842" s="55"/>
      <c r="AF842" s="55"/>
      <c r="AG842" s="55"/>
      <c r="AH842" s="55"/>
      <c r="AI842" s="55"/>
      <c r="AJ842" s="55"/>
      <c r="AK842" s="55"/>
      <c r="AL842" s="55"/>
      <c r="AM842" s="55"/>
      <c r="AN842" s="55"/>
      <c r="AO842" s="55"/>
      <c r="AP842" s="55"/>
      <c r="AQ842" s="55"/>
      <c r="AR842" s="55"/>
      <c r="AS842" s="55"/>
      <c r="AT842" s="55"/>
      <c r="AU842" s="55"/>
      <c r="AV842" s="55"/>
      <c r="AW842" s="55"/>
      <c r="AX842" s="55"/>
      <c r="AY842" s="55"/>
      <c r="AZ842" s="55"/>
    </row>
    <row r="843" spans="2:52" x14ac:dyDescent="0.2">
      <c r="B843" s="59"/>
      <c r="C843" s="68"/>
      <c r="D843" s="68"/>
      <c r="V843" s="55"/>
      <c r="W843" s="55"/>
      <c r="X843" s="55"/>
      <c r="Y843" s="55"/>
      <c r="Z843" s="55"/>
      <c r="AA843" s="55"/>
      <c r="AB843" s="55"/>
      <c r="AC843" s="55"/>
      <c r="AD843" s="55"/>
      <c r="AE843" s="55"/>
      <c r="AF843" s="55"/>
      <c r="AG843" s="55"/>
      <c r="AH843" s="55"/>
      <c r="AI843" s="55"/>
      <c r="AJ843" s="55"/>
      <c r="AK843" s="55"/>
      <c r="AL843" s="55"/>
      <c r="AM843" s="55"/>
      <c r="AN843" s="55"/>
      <c r="AO843" s="55"/>
      <c r="AP843" s="55"/>
      <c r="AQ843" s="55"/>
      <c r="AR843" s="55"/>
      <c r="AS843" s="55"/>
      <c r="AT843" s="55"/>
      <c r="AU843" s="55"/>
      <c r="AV843" s="55"/>
      <c r="AW843" s="55"/>
      <c r="AX843" s="55"/>
      <c r="AY843" s="55"/>
      <c r="AZ843" s="55"/>
    </row>
    <row r="844" spans="2:52" x14ac:dyDescent="0.2">
      <c r="B844" s="59"/>
      <c r="C844" s="68"/>
      <c r="D844" s="68"/>
      <c r="V844" s="55"/>
      <c r="W844" s="55"/>
      <c r="X844" s="55"/>
      <c r="Y844" s="55"/>
      <c r="Z844" s="55"/>
      <c r="AA844" s="55"/>
      <c r="AB844" s="55"/>
      <c r="AC844" s="55"/>
      <c r="AD844" s="55"/>
      <c r="AE844" s="55"/>
      <c r="AF844" s="55"/>
      <c r="AG844" s="55"/>
      <c r="AH844" s="55"/>
      <c r="AI844" s="55"/>
      <c r="AJ844" s="55"/>
      <c r="AK844" s="55"/>
      <c r="AL844" s="55"/>
      <c r="AM844" s="55"/>
      <c r="AN844" s="55"/>
      <c r="AO844" s="55"/>
      <c r="AP844" s="55"/>
      <c r="AQ844" s="55"/>
      <c r="AR844" s="55"/>
      <c r="AS844" s="55"/>
      <c r="AT844" s="55"/>
      <c r="AU844" s="55"/>
      <c r="AV844" s="55"/>
      <c r="AW844" s="55"/>
      <c r="AX844" s="55"/>
      <c r="AY844" s="55"/>
      <c r="AZ844" s="55"/>
    </row>
    <row r="845" spans="2:52" x14ac:dyDescent="0.2">
      <c r="B845" s="59"/>
      <c r="C845" s="68"/>
      <c r="D845" s="68"/>
      <c r="V845" s="55"/>
      <c r="W845" s="55"/>
      <c r="X845" s="55"/>
      <c r="Y845" s="55"/>
      <c r="Z845" s="55"/>
      <c r="AA845" s="55"/>
      <c r="AB845" s="55"/>
      <c r="AC845" s="55"/>
      <c r="AD845" s="55"/>
      <c r="AE845" s="55"/>
      <c r="AF845" s="55"/>
      <c r="AG845" s="55"/>
      <c r="AH845" s="55"/>
      <c r="AI845" s="55"/>
      <c r="AJ845" s="55"/>
      <c r="AK845" s="55"/>
      <c r="AL845" s="55"/>
      <c r="AM845" s="55"/>
      <c r="AN845" s="55"/>
      <c r="AO845" s="55"/>
      <c r="AP845" s="55"/>
      <c r="AQ845" s="55"/>
      <c r="AR845" s="55"/>
      <c r="AS845" s="55"/>
      <c r="AT845" s="55"/>
      <c r="AU845" s="55"/>
      <c r="AV845" s="55"/>
      <c r="AW845" s="55"/>
      <c r="AX845" s="55"/>
      <c r="AY845" s="55"/>
      <c r="AZ845" s="55"/>
    </row>
    <row r="846" spans="2:52" x14ac:dyDescent="0.2">
      <c r="B846" s="59"/>
      <c r="C846" s="68"/>
      <c r="D846" s="68"/>
      <c r="V846" s="55"/>
      <c r="W846" s="55"/>
      <c r="X846" s="55"/>
      <c r="Y846" s="55"/>
      <c r="Z846" s="55"/>
      <c r="AA846" s="55"/>
      <c r="AB846" s="55"/>
      <c r="AC846" s="55"/>
      <c r="AD846" s="55"/>
      <c r="AE846" s="55"/>
      <c r="AF846" s="55"/>
      <c r="AG846" s="55"/>
      <c r="AH846" s="55"/>
      <c r="AI846" s="55"/>
      <c r="AJ846" s="55"/>
      <c r="AK846" s="55"/>
      <c r="AL846" s="55"/>
      <c r="AM846" s="55"/>
      <c r="AN846" s="55"/>
      <c r="AO846" s="55"/>
      <c r="AP846" s="55"/>
      <c r="AQ846" s="55"/>
      <c r="AR846" s="55"/>
      <c r="AS846" s="55"/>
      <c r="AT846" s="55"/>
      <c r="AU846" s="55"/>
      <c r="AV846" s="55"/>
      <c r="AW846" s="55"/>
      <c r="AX846" s="55"/>
      <c r="AY846" s="55"/>
      <c r="AZ846" s="55"/>
    </row>
    <row r="847" spans="2:52" x14ac:dyDescent="0.2">
      <c r="B847" s="59"/>
      <c r="C847" s="68"/>
      <c r="D847" s="68"/>
      <c r="V847" s="55"/>
      <c r="W847" s="55"/>
      <c r="X847" s="55"/>
      <c r="Y847" s="55"/>
      <c r="Z847" s="55"/>
      <c r="AA847" s="55"/>
      <c r="AB847" s="55"/>
      <c r="AC847" s="55"/>
      <c r="AD847" s="55"/>
      <c r="AE847" s="55"/>
      <c r="AF847" s="55"/>
      <c r="AG847" s="55"/>
      <c r="AH847" s="55"/>
      <c r="AI847" s="55"/>
      <c r="AJ847" s="55"/>
      <c r="AK847" s="55"/>
      <c r="AL847" s="55"/>
      <c r="AM847" s="55"/>
      <c r="AN847" s="55"/>
      <c r="AO847" s="55"/>
      <c r="AP847" s="55"/>
      <c r="AQ847" s="55"/>
      <c r="AR847" s="55"/>
      <c r="AS847" s="55"/>
      <c r="AT847" s="55"/>
      <c r="AU847" s="55"/>
      <c r="AV847" s="55"/>
      <c r="AW847" s="55"/>
      <c r="AX847" s="55"/>
      <c r="AY847" s="55"/>
      <c r="AZ847" s="55"/>
    </row>
    <row r="848" spans="2:52" x14ac:dyDescent="0.2">
      <c r="B848" s="59"/>
      <c r="C848" s="68"/>
      <c r="D848" s="68"/>
      <c r="V848" s="55"/>
      <c r="W848" s="55"/>
      <c r="X848" s="55"/>
      <c r="Y848" s="55"/>
      <c r="Z848" s="55"/>
      <c r="AA848" s="55"/>
      <c r="AB848" s="55"/>
      <c r="AC848" s="55"/>
      <c r="AD848" s="55"/>
      <c r="AE848" s="55"/>
      <c r="AF848" s="55"/>
      <c r="AG848" s="55"/>
      <c r="AH848" s="55"/>
      <c r="AI848" s="55"/>
      <c r="AJ848" s="55"/>
      <c r="AK848" s="55"/>
      <c r="AL848" s="55"/>
      <c r="AM848" s="55"/>
      <c r="AN848" s="55"/>
      <c r="AO848" s="55"/>
      <c r="AP848" s="55"/>
      <c r="AQ848" s="55"/>
      <c r="AR848" s="55"/>
      <c r="AS848" s="55"/>
      <c r="AT848" s="55"/>
      <c r="AU848" s="55"/>
      <c r="AV848" s="55"/>
      <c r="AW848" s="55"/>
      <c r="AX848" s="55"/>
      <c r="AY848" s="55"/>
      <c r="AZ848" s="55"/>
    </row>
    <row r="849" spans="2:52" x14ac:dyDescent="0.2">
      <c r="B849" s="59"/>
      <c r="C849" s="68"/>
      <c r="D849" s="68"/>
      <c r="V849" s="55"/>
      <c r="W849" s="55"/>
      <c r="X849" s="55"/>
      <c r="Y849" s="55"/>
      <c r="Z849" s="55"/>
      <c r="AA849" s="55"/>
      <c r="AB849" s="55"/>
      <c r="AC849" s="55"/>
      <c r="AD849" s="55"/>
      <c r="AE849" s="55"/>
      <c r="AF849" s="55"/>
      <c r="AG849" s="55"/>
      <c r="AH849" s="55"/>
      <c r="AI849" s="55"/>
      <c r="AJ849" s="55"/>
      <c r="AK849" s="55"/>
      <c r="AL849" s="55"/>
      <c r="AM849" s="55"/>
      <c r="AN849" s="55"/>
      <c r="AO849" s="55"/>
      <c r="AP849" s="55"/>
      <c r="AQ849" s="55"/>
      <c r="AR849" s="55"/>
      <c r="AS849" s="55"/>
      <c r="AT849" s="55"/>
      <c r="AU849" s="55"/>
      <c r="AV849" s="55"/>
      <c r="AW849" s="55"/>
      <c r="AX849" s="55"/>
      <c r="AY849" s="55"/>
      <c r="AZ849" s="55"/>
    </row>
    <row r="850" spans="2:52" x14ac:dyDescent="0.2">
      <c r="B850" s="59"/>
      <c r="C850" s="68"/>
      <c r="D850" s="68"/>
      <c r="V850" s="55"/>
      <c r="W850" s="55"/>
      <c r="X850" s="55"/>
      <c r="Y850" s="55"/>
      <c r="Z850" s="55"/>
      <c r="AA850" s="55"/>
      <c r="AB850" s="55"/>
      <c r="AC850" s="55"/>
      <c r="AD850" s="55"/>
      <c r="AE850" s="55"/>
      <c r="AF850" s="55"/>
      <c r="AG850" s="55"/>
      <c r="AH850" s="55"/>
      <c r="AI850" s="55"/>
      <c r="AJ850" s="55"/>
      <c r="AK850" s="55"/>
      <c r="AL850" s="55"/>
      <c r="AM850" s="55"/>
      <c r="AN850" s="55"/>
      <c r="AO850" s="55"/>
      <c r="AP850" s="55"/>
      <c r="AQ850" s="55"/>
      <c r="AR850" s="55"/>
      <c r="AS850" s="55"/>
      <c r="AT850" s="55"/>
      <c r="AU850" s="55"/>
      <c r="AV850" s="55"/>
      <c r="AW850" s="55"/>
      <c r="AX850" s="55"/>
      <c r="AY850" s="55"/>
      <c r="AZ850" s="55"/>
    </row>
    <row r="851" spans="2:52" x14ac:dyDescent="0.2">
      <c r="B851" s="59"/>
      <c r="C851" s="68"/>
      <c r="D851" s="68"/>
      <c r="V851" s="55"/>
      <c r="W851" s="55"/>
      <c r="X851" s="55"/>
      <c r="Y851" s="55"/>
      <c r="Z851" s="55"/>
      <c r="AA851" s="55"/>
      <c r="AB851" s="55"/>
      <c r="AC851" s="55"/>
      <c r="AD851" s="55"/>
      <c r="AE851" s="55"/>
      <c r="AF851" s="55"/>
      <c r="AG851" s="55"/>
      <c r="AH851" s="55"/>
      <c r="AI851" s="55"/>
      <c r="AJ851" s="55"/>
      <c r="AK851" s="55"/>
      <c r="AL851" s="55"/>
      <c r="AM851" s="55"/>
      <c r="AN851" s="55"/>
      <c r="AO851" s="55"/>
      <c r="AP851" s="55"/>
      <c r="AQ851" s="55"/>
      <c r="AR851" s="55"/>
      <c r="AS851" s="55"/>
      <c r="AT851" s="55"/>
      <c r="AU851" s="55"/>
      <c r="AV851" s="55"/>
      <c r="AW851" s="55"/>
      <c r="AX851" s="55"/>
      <c r="AY851" s="55"/>
      <c r="AZ851" s="55"/>
    </row>
    <row r="852" spans="2:52" x14ac:dyDescent="0.2">
      <c r="B852" s="59"/>
      <c r="C852" s="68"/>
      <c r="D852" s="68"/>
      <c r="V852" s="55"/>
      <c r="W852" s="55"/>
      <c r="X852" s="55"/>
      <c r="Y852" s="55"/>
      <c r="Z852" s="55"/>
      <c r="AA852" s="55"/>
      <c r="AB852" s="55"/>
      <c r="AC852" s="55"/>
      <c r="AD852" s="55"/>
      <c r="AE852" s="55"/>
      <c r="AF852" s="55"/>
      <c r="AG852" s="55"/>
      <c r="AH852" s="55"/>
      <c r="AI852" s="55"/>
      <c r="AJ852" s="55"/>
      <c r="AK852" s="55"/>
      <c r="AL852" s="55"/>
      <c r="AM852" s="55"/>
      <c r="AN852" s="55"/>
      <c r="AO852" s="55"/>
      <c r="AP852" s="55"/>
      <c r="AQ852" s="55"/>
      <c r="AR852" s="55"/>
      <c r="AS852" s="55"/>
      <c r="AT852" s="55"/>
      <c r="AU852" s="55"/>
      <c r="AV852" s="55"/>
      <c r="AW852" s="55"/>
      <c r="AX852" s="55"/>
      <c r="AY852" s="55"/>
      <c r="AZ852" s="55"/>
    </row>
    <row r="853" spans="2:52" x14ac:dyDescent="0.2">
      <c r="B853" s="59"/>
      <c r="C853" s="68"/>
      <c r="D853" s="68"/>
      <c r="V853" s="55"/>
      <c r="W853" s="55"/>
      <c r="X853" s="55"/>
      <c r="Y853" s="55"/>
      <c r="Z853" s="55"/>
      <c r="AA853" s="55"/>
      <c r="AB853" s="55"/>
      <c r="AC853" s="55"/>
      <c r="AD853" s="55"/>
      <c r="AE853" s="55"/>
      <c r="AF853" s="55"/>
      <c r="AG853" s="55"/>
      <c r="AH853" s="55"/>
      <c r="AI853" s="55"/>
      <c r="AJ853" s="55"/>
      <c r="AK853" s="55"/>
      <c r="AL853" s="55"/>
      <c r="AM853" s="55"/>
      <c r="AN853" s="55"/>
      <c r="AO853" s="55"/>
      <c r="AP853" s="55"/>
      <c r="AQ853" s="55"/>
      <c r="AR853" s="55"/>
      <c r="AS853" s="55"/>
      <c r="AT853" s="55"/>
      <c r="AU853" s="55"/>
      <c r="AV853" s="55"/>
      <c r="AW853" s="55"/>
      <c r="AX853" s="55"/>
      <c r="AY853" s="55"/>
      <c r="AZ853" s="55"/>
    </row>
    <row r="854" spans="2:52" x14ac:dyDescent="0.2">
      <c r="B854" s="59"/>
      <c r="C854" s="68"/>
      <c r="D854" s="68"/>
      <c r="V854" s="55"/>
      <c r="W854" s="55"/>
      <c r="X854" s="55"/>
      <c r="Y854" s="55"/>
      <c r="Z854" s="55"/>
      <c r="AA854" s="55"/>
      <c r="AB854" s="55"/>
      <c r="AC854" s="55"/>
      <c r="AD854" s="55"/>
      <c r="AE854" s="55"/>
      <c r="AF854" s="55"/>
      <c r="AG854" s="55"/>
      <c r="AH854" s="55"/>
      <c r="AI854" s="55"/>
      <c r="AJ854" s="55"/>
      <c r="AK854" s="55"/>
      <c r="AL854" s="55"/>
      <c r="AM854" s="55"/>
      <c r="AN854" s="55"/>
      <c r="AO854" s="55"/>
      <c r="AP854" s="55"/>
      <c r="AQ854" s="55"/>
      <c r="AR854" s="55"/>
      <c r="AS854" s="55"/>
      <c r="AT854" s="55"/>
      <c r="AU854" s="55"/>
      <c r="AV854" s="55"/>
      <c r="AW854" s="55"/>
      <c r="AX854" s="55"/>
      <c r="AY854" s="55"/>
      <c r="AZ854" s="55"/>
    </row>
    <row r="855" spans="2:52" x14ac:dyDescent="0.2">
      <c r="B855" s="59"/>
      <c r="C855" s="68"/>
      <c r="D855" s="68"/>
      <c r="V855" s="55"/>
      <c r="W855" s="55"/>
      <c r="X855" s="55"/>
      <c r="Y855" s="55"/>
      <c r="Z855" s="55"/>
      <c r="AA855" s="55"/>
      <c r="AB855" s="55"/>
      <c r="AC855" s="55"/>
      <c r="AD855" s="55"/>
      <c r="AE855" s="55"/>
      <c r="AF855" s="55"/>
      <c r="AG855" s="55"/>
      <c r="AH855" s="55"/>
      <c r="AI855" s="55"/>
      <c r="AJ855" s="55"/>
      <c r="AK855" s="55"/>
      <c r="AL855" s="55"/>
      <c r="AM855" s="55"/>
      <c r="AN855" s="55"/>
      <c r="AO855" s="55"/>
      <c r="AP855" s="55"/>
      <c r="AQ855" s="55"/>
      <c r="AR855" s="55"/>
      <c r="AS855" s="55"/>
      <c r="AT855" s="55"/>
      <c r="AU855" s="55"/>
      <c r="AV855" s="55"/>
      <c r="AW855" s="55"/>
      <c r="AX855" s="55"/>
      <c r="AY855" s="55"/>
      <c r="AZ855" s="55"/>
    </row>
    <row r="856" spans="2:52" x14ac:dyDescent="0.2">
      <c r="B856" s="59"/>
      <c r="C856" s="68"/>
      <c r="D856" s="68"/>
      <c r="V856" s="55"/>
      <c r="W856" s="55"/>
      <c r="X856" s="55"/>
      <c r="Y856" s="55"/>
      <c r="Z856" s="55"/>
      <c r="AA856" s="55"/>
      <c r="AB856" s="55"/>
      <c r="AC856" s="55"/>
      <c r="AD856" s="55"/>
      <c r="AE856" s="55"/>
      <c r="AF856" s="55"/>
      <c r="AG856" s="55"/>
      <c r="AH856" s="55"/>
      <c r="AI856" s="55"/>
      <c r="AJ856" s="55"/>
      <c r="AK856" s="55"/>
      <c r="AL856" s="55"/>
      <c r="AM856" s="55"/>
      <c r="AN856" s="55"/>
      <c r="AO856" s="55"/>
      <c r="AP856" s="55"/>
      <c r="AQ856" s="55"/>
      <c r="AR856" s="55"/>
      <c r="AS856" s="55"/>
      <c r="AT856" s="55"/>
      <c r="AU856" s="55"/>
      <c r="AV856" s="55"/>
      <c r="AW856" s="55"/>
      <c r="AX856" s="55"/>
      <c r="AY856" s="55"/>
      <c r="AZ856" s="55"/>
    </row>
    <row r="857" spans="2:52" x14ac:dyDescent="0.2">
      <c r="B857" s="59"/>
      <c r="C857" s="68"/>
      <c r="D857" s="68"/>
      <c r="V857" s="55"/>
      <c r="W857" s="55"/>
      <c r="X857" s="55"/>
      <c r="Y857" s="55"/>
      <c r="Z857" s="55"/>
      <c r="AA857" s="55"/>
      <c r="AB857" s="55"/>
      <c r="AC857" s="55"/>
      <c r="AD857" s="55"/>
      <c r="AE857" s="55"/>
      <c r="AF857" s="55"/>
      <c r="AG857" s="55"/>
      <c r="AH857" s="55"/>
      <c r="AI857" s="55"/>
      <c r="AJ857" s="55"/>
      <c r="AK857" s="55"/>
      <c r="AL857" s="55"/>
      <c r="AM857" s="55"/>
      <c r="AN857" s="55"/>
      <c r="AO857" s="55"/>
      <c r="AP857" s="55"/>
      <c r="AQ857" s="55"/>
      <c r="AR857" s="55"/>
      <c r="AS857" s="55"/>
      <c r="AT857" s="55"/>
      <c r="AU857" s="55"/>
      <c r="AV857" s="55"/>
      <c r="AW857" s="55"/>
      <c r="AX857" s="55"/>
      <c r="AY857" s="55"/>
      <c r="AZ857" s="55"/>
    </row>
    <row r="858" spans="2:52" x14ac:dyDescent="0.2">
      <c r="B858" s="59"/>
      <c r="C858" s="68"/>
      <c r="D858" s="68"/>
      <c r="V858" s="55"/>
      <c r="W858" s="55"/>
      <c r="X858" s="55"/>
      <c r="Y858" s="55"/>
      <c r="Z858" s="55"/>
      <c r="AA858" s="55"/>
      <c r="AB858" s="55"/>
      <c r="AC858" s="55"/>
      <c r="AD858" s="55"/>
      <c r="AE858" s="55"/>
      <c r="AF858" s="55"/>
      <c r="AG858" s="55"/>
      <c r="AH858" s="55"/>
      <c r="AI858" s="55"/>
      <c r="AJ858" s="55"/>
      <c r="AK858" s="55"/>
      <c r="AL858" s="55"/>
      <c r="AM858" s="55"/>
      <c r="AN858" s="55"/>
      <c r="AO858" s="55"/>
      <c r="AP858" s="55"/>
      <c r="AQ858" s="55"/>
      <c r="AR858" s="55"/>
      <c r="AS858" s="55"/>
      <c r="AT858" s="55"/>
      <c r="AU858" s="55"/>
      <c r="AV858" s="55"/>
      <c r="AW858" s="55"/>
      <c r="AX858" s="55"/>
      <c r="AY858" s="55"/>
      <c r="AZ858" s="55"/>
    </row>
    <row r="859" spans="2:52" x14ac:dyDescent="0.2">
      <c r="B859" s="59"/>
      <c r="C859" s="68"/>
      <c r="D859" s="68"/>
      <c r="V859" s="55"/>
      <c r="W859" s="55"/>
      <c r="X859" s="55"/>
      <c r="Y859" s="55"/>
      <c r="Z859" s="55"/>
      <c r="AA859" s="55"/>
      <c r="AB859" s="55"/>
      <c r="AC859" s="55"/>
      <c r="AD859" s="55"/>
      <c r="AE859" s="55"/>
      <c r="AF859" s="55"/>
      <c r="AG859" s="55"/>
      <c r="AH859" s="55"/>
      <c r="AI859" s="55"/>
      <c r="AJ859" s="55"/>
      <c r="AK859" s="55"/>
      <c r="AL859" s="55"/>
      <c r="AM859" s="55"/>
      <c r="AN859" s="55"/>
      <c r="AO859" s="55"/>
      <c r="AP859" s="55"/>
      <c r="AQ859" s="55"/>
      <c r="AR859" s="55"/>
      <c r="AS859" s="55"/>
      <c r="AT859" s="55"/>
      <c r="AU859" s="55"/>
      <c r="AV859" s="55"/>
      <c r="AW859" s="55"/>
      <c r="AX859" s="55"/>
      <c r="AY859" s="55"/>
      <c r="AZ859" s="55"/>
    </row>
    <row r="860" spans="2:52" x14ac:dyDescent="0.2">
      <c r="B860" s="59"/>
      <c r="C860" s="68"/>
      <c r="D860" s="68"/>
      <c r="V860" s="55"/>
      <c r="W860" s="55"/>
      <c r="X860" s="55"/>
      <c r="Y860" s="55"/>
      <c r="Z860" s="55"/>
      <c r="AA860" s="55"/>
      <c r="AB860" s="55"/>
      <c r="AC860" s="55"/>
      <c r="AD860" s="55"/>
      <c r="AE860" s="55"/>
      <c r="AF860" s="55"/>
      <c r="AG860" s="55"/>
      <c r="AH860" s="55"/>
      <c r="AI860" s="55"/>
      <c r="AJ860" s="55"/>
      <c r="AK860" s="55"/>
      <c r="AL860" s="55"/>
      <c r="AM860" s="55"/>
      <c r="AN860" s="55"/>
      <c r="AO860" s="55"/>
      <c r="AP860" s="55"/>
      <c r="AQ860" s="55"/>
      <c r="AR860" s="55"/>
      <c r="AS860" s="55"/>
      <c r="AT860" s="55"/>
      <c r="AU860" s="55"/>
      <c r="AV860" s="55"/>
      <c r="AW860" s="55"/>
      <c r="AX860" s="55"/>
      <c r="AY860" s="55"/>
      <c r="AZ860" s="55"/>
    </row>
    <row r="861" spans="2:52" x14ac:dyDescent="0.2">
      <c r="B861" s="59"/>
      <c r="C861" s="68"/>
      <c r="D861" s="68"/>
      <c r="V861" s="55"/>
      <c r="W861" s="55"/>
      <c r="X861" s="55"/>
      <c r="Y861" s="55"/>
      <c r="Z861" s="55"/>
      <c r="AA861" s="55"/>
      <c r="AB861" s="55"/>
      <c r="AC861" s="55"/>
      <c r="AD861" s="55"/>
      <c r="AE861" s="55"/>
      <c r="AF861" s="55"/>
      <c r="AG861" s="55"/>
      <c r="AH861" s="55"/>
      <c r="AI861" s="55"/>
      <c r="AJ861" s="55"/>
      <c r="AK861" s="55"/>
      <c r="AL861" s="55"/>
      <c r="AM861" s="55"/>
      <c r="AN861" s="55"/>
      <c r="AO861" s="55"/>
      <c r="AP861" s="55"/>
      <c r="AQ861" s="55"/>
      <c r="AR861" s="55"/>
      <c r="AS861" s="55"/>
      <c r="AT861" s="55"/>
      <c r="AU861" s="55"/>
      <c r="AV861" s="55"/>
      <c r="AW861" s="55"/>
      <c r="AX861" s="55"/>
      <c r="AY861" s="55"/>
      <c r="AZ861" s="55"/>
    </row>
    <row r="862" spans="2:52" x14ac:dyDescent="0.2">
      <c r="B862" s="59"/>
      <c r="C862" s="68"/>
      <c r="D862" s="68"/>
      <c r="V862" s="55"/>
      <c r="W862" s="55"/>
      <c r="X862" s="55"/>
      <c r="Y862" s="55"/>
      <c r="Z862" s="55"/>
      <c r="AA862" s="55"/>
      <c r="AB862" s="55"/>
      <c r="AC862" s="55"/>
      <c r="AD862" s="55"/>
      <c r="AE862" s="55"/>
      <c r="AF862" s="55"/>
      <c r="AG862" s="55"/>
      <c r="AH862" s="55"/>
      <c r="AI862" s="55"/>
      <c r="AJ862" s="55"/>
      <c r="AK862" s="55"/>
      <c r="AL862" s="55"/>
      <c r="AM862" s="55"/>
      <c r="AN862" s="55"/>
      <c r="AO862" s="55"/>
      <c r="AP862" s="55"/>
      <c r="AQ862" s="55"/>
      <c r="AR862" s="55"/>
      <c r="AS862" s="55"/>
      <c r="AT862" s="55"/>
      <c r="AU862" s="55"/>
      <c r="AV862" s="55"/>
      <c r="AW862" s="55"/>
      <c r="AX862" s="55"/>
      <c r="AY862" s="55"/>
      <c r="AZ862" s="55"/>
    </row>
    <row r="863" spans="2:52" x14ac:dyDescent="0.2">
      <c r="B863" s="59"/>
      <c r="C863" s="68"/>
      <c r="D863" s="68"/>
      <c r="V863" s="55"/>
      <c r="W863" s="55"/>
      <c r="X863" s="55"/>
      <c r="Y863" s="55"/>
      <c r="Z863" s="55"/>
      <c r="AA863" s="55"/>
      <c r="AB863" s="55"/>
      <c r="AC863" s="55"/>
      <c r="AD863" s="55"/>
      <c r="AE863" s="55"/>
      <c r="AF863" s="55"/>
      <c r="AG863" s="55"/>
      <c r="AH863" s="55"/>
      <c r="AI863" s="55"/>
      <c r="AJ863" s="55"/>
      <c r="AK863" s="55"/>
      <c r="AL863" s="55"/>
      <c r="AM863" s="55"/>
      <c r="AN863" s="55"/>
      <c r="AO863" s="55"/>
      <c r="AP863" s="55"/>
      <c r="AQ863" s="55"/>
      <c r="AR863" s="55"/>
      <c r="AS863" s="55"/>
      <c r="AT863" s="55"/>
      <c r="AU863" s="55"/>
      <c r="AV863" s="55"/>
      <c r="AW863" s="55"/>
      <c r="AX863" s="55"/>
      <c r="AY863" s="55"/>
      <c r="AZ863" s="55"/>
    </row>
    <row r="864" spans="2:52" x14ac:dyDescent="0.2">
      <c r="B864" s="59"/>
      <c r="C864" s="68"/>
      <c r="D864" s="68"/>
      <c r="V864" s="55"/>
      <c r="W864" s="55"/>
      <c r="X864" s="55"/>
      <c r="Y864" s="55"/>
      <c r="Z864" s="55"/>
      <c r="AA864" s="55"/>
      <c r="AB864" s="55"/>
      <c r="AC864" s="55"/>
      <c r="AD864" s="55"/>
      <c r="AE864" s="55"/>
      <c r="AF864" s="55"/>
      <c r="AG864" s="55"/>
      <c r="AH864" s="55"/>
      <c r="AI864" s="55"/>
      <c r="AJ864" s="55"/>
      <c r="AK864" s="55"/>
      <c r="AL864" s="55"/>
      <c r="AM864" s="55"/>
      <c r="AN864" s="55"/>
      <c r="AO864" s="55"/>
      <c r="AP864" s="55"/>
      <c r="AQ864" s="55"/>
      <c r="AR864" s="55"/>
      <c r="AS864" s="55"/>
      <c r="AT864" s="55"/>
      <c r="AU864" s="55"/>
      <c r="AV864" s="55"/>
      <c r="AW864" s="55"/>
      <c r="AX864" s="55"/>
      <c r="AY864" s="55"/>
      <c r="AZ864" s="55"/>
    </row>
    <row r="865" spans="2:52" ht="14.25" x14ac:dyDescent="0.25">
      <c r="B865" s="58" t="s">
        <v>123</v>
      </c>
      <c r="C865" s="61" t="s">
        <v>5149</v>
      </c>
      <c r="D865" s="61" t="s">
        <v>5149</v>
      </c>
      <c r="E865" s="4041" t="s">
        <v>5149</v>
      </c>
      <c r="H865" s="308"/>
      <c r="I865" s="308"/>
      <c r="J865" s="308"/>
      <c r="V865" s="55"/>
      <c r="W865" s="55"/>
      <c r="X865" s="55"/>
      <c r="Y865" s="55"/>
      <c r="Z865" s="55"/>
      <c r="AA865" s="55"/>
      <c r="AB865" s="55"/>
      <c r="AC865" s="55"/>
      <c r="AD865" s="55"/>
      <c r="AE865" s="55"/>
      <c r="AF865" s="55"/>
      <c r="AG865" s="55"/>
      <c r="AH865" s="55"/>
      <c r="AI865" s="55"/>
      <c r="AJ865" s="55"/>
      <c r="AK865" s="55"/>
      <c r="AL865" s="55"/>
      <c r="AM865" s="55"/>
      <c r="AN865" s="55"/>
      <c r="AO865" s="55"/>
      <c r="AP865" s="55"/>
      <c r="AQ865" s="55"/>
      <c r="AR865" s="55"/>
      <c r="AS865" s="55"/>
      <c r="AT865" s="55"/>
      <c r="AU865" s="55"/>
      <c r="AV865" s="55"/>
      <c r="AW865" s="55"/>
      <c r="AX865" s="55"/>
    </row>
    <row r="866" spans="2:52" x14ac:dyDescent="0.2">
      <c r="B866" s="69"/>
      <c r="C866" s="58">
        <f>C56</f>
        <v>1990</v>
      </c>
      <c r="D866" s="58">
        <f>D56</f>
        <v>2018</v>
      </c>
      <c r="E866" s="58">
        <f>E56</f>
        <v>2020</v>
      </c>
      <c r="H866" s="307"/>
      <c r="I866" s="307"/>
      <c r="J866" s="307"/>
      <c r="V866" s="55"/>
      <c r="W866" s="55"/>
      <c r="X866" s="55"/>
      <c r="Y866" s="55"/>
      <c r="Z866" s="55"/>
      <c r="AA866" s="55"/>
      <c r="AB866" s="55"/>
      <c r="AC866" s="55"/>
      <c r="AD866" s="55"/>
      <c r="AE866" s="55"/>
      <c r="AF866" s="55"/>
      <c r="AG866" s="55"/>
      <c r="AH866" s="55"/>
      <c r="AI866" s="55"/>
      <c r="AJ866" s="55"/>
      <c r="AK866" s="55"/>
      <c r="AL866" s="55"/>
      <c r="AM866" s="55"/>
      <c r="AN866" s="55"/>
      <c r="AO866" s="55"/>
      <c r="AP866" s="55"/>
      <c r="AQ866" s="55"/>
      <c r="AR866" s="55"/>
      <c r="AS866" s="55"/>
      <c r="AT866" s="55"/>
      <c r="AU866" s="55"/>
      <c r="AV866" s="55"/>
      <c r="AW866" s="55"/>
      <c r="AX866" s="55"/>
    </row>
    <row r="867" spans="2:52" x14ac:dyDescent="0.2">
      <c r="B867" s="69" t="s">
        <v>106</v>
      </c>
      <c r="C867" s="78">
        <f>('E1990'!$AA$14*'E1990'!$E$89+'E1990'!$I$15*'E1990'!$I$89)/1000</f>
        <v>6.9557669999999998</v>
      </c>
      <c r="D867" s="78">
        <f>('E2018'!$AA$14*'E2018'!$E$89+'E2018'!$I$15*'E2018'!$I$89)/1000</f>
        <v>1.8339749999999999</v>
      </c>
      <c r="E867" s="78">
        <f>('E2020'!$AA$14*'E2020'!$E$89+'E2020'!$I$15*'E2020'!$I$89)/1000</f>
        <v>2.1844679999999999</v>
      </c>
      <c r="H867" s="309"/>
      <c r="I867" s="309"/>
      <c r="J867" s="309"/>
      <c r="V867" s="55"/>
      <c r="W867" s="55"/>
      <c r="X867" s="55"/>
      <c r="Y867" s="55"/>
      <c r="Z867" s="55"/>
      <c r="AA867" s="55"/>
      <c r="AB867" s="55"/>
      <c r="AC867" s="55"/>
      <c r="AD867" s="55"/>
      <c r="AE867" s="55"/>
      <c r="AF867" s="55"/>
      <c r="AG867" s="55"/>
      <c r="AH867" s="55"/>
      <c r="AI867" s="55"/>
      <c r="AJ867" s="55"/>
      <c r="AK867" s="55"/>
      <c r="AL867" s="55"/>
      <c r="AM867" s="55"/>
      <c r="AN867" s="55"/>
      <c r="AO867" s="55"/>
      <c r="AP867" s="55"/>
      <c r="AQ867" s="55"/>
      <c r="AR867" s="55"/>
      <c r="AS867" s="55"/>
      <c r="AT867" s="55"/>
      <c r="AU867" s="55"/>
      <c r="AV867" s="55"/>
      <c r="AW867" s="55"/>
      <c r="AX867" s="55"/>
    </row>
    <row r="868" spans="2:52" x14ac:dyDescent="0.2">
      <c r="B868" s="69" t="s">
        <v>107</v>
      </c>
      <c r="C868" s="24">
        <f>(SUM('E1990'!$B$29:$B$51)*'E1990'!$B$89+SUM('E1990'!$C$29:$C$51)*'E1990'!$C$89+SUM('E1990'!$D$29:$D$51)*'E1990'!$D$89+SUM('E1990'!$E$29:$E$51)*'E1990'!$E$89+SUM('E1990'!$F$29:$F$51)*'E1990'!$F$89+SUM('E1990'!$G$29:$G$51)*'E1990'!$G$89+SUM('E1990'!$H$29:$H$51)*'E1990'!$H$89+SUM('E1990'!$I$29:$I$51)*'E1990'!$I$89+SUM('E1990'!$Z$29:$Z$51)*'E1990'!$Z$89)/1000</f>
        <v>0</v>
      </c>
      <c r="D868" s="24">
        <f>(SUM('E2018'!$B$29:$B$51)*'E2018'!$B$89+SUM('E2018'!$C$29:$C$51)*'E2018'!$C$89+SUM('E2018'!$D$29:$D$51)*'E2018'!$D$89+SUM('E2018'!$E$29:$E$51)*'E2018'!$E$89+SUM('E2018'!$F$29:$F$51)*'E2018'!$F$89+SUM('E2018'!$G$29:$G$51)*'E2018'!$G$89+SUM('E2018'!$H$29:$H$51)*'E2018'!$H$89+SUM('E2018'!$I$29:$I$51)*'E2018'!$I$89+SUM('E2018'!$Z$29:$Z$51)*'E2018'!$Z$89)/1000</f>
        <v>3.6901799999999992E-2</v>
      </c>
      <c r="E868" s="24">
        <f>(SUM('E2020'!$B$29:$B$51)*'E2020'!$B$89+SUM('E2020'!$C$29:$C$51)*'E2020'!$C$89+SUM('E2020'!$D$29:$D$51)*'E2020'!$D$89+SUM('E2020'!$E$29:$E$51)*'E2020'!$E$89+SUM('E2020'!$F$29:$F$51)*'E2020'!$F$89+SUM('E2020'!$G$29:$G$51)*'E2020'!$G$89+SUM('E2020'!$H$29:$H$51)*'E2020'!$H$89+SUM('E2020'!$I$29:$I$51)*'E2020'!$I$89+SUM('E2020'!$Z$29:$Z$51)*'E2020'!$Z$89)/1000</f>
        <v>6.4555919999999989E-2</v>
      </c>
      <c r="H868" s="33"/>
      <c r="I868" s="33"/>
      <c r="J868" s="33"/>
      <c r="V868" s="55"/>
      <c r="W868" s="55"/>
      <c r="X868" s="55"/>
      <c r="Y868" s="55"/>
      <c r="Z868" s="55"/>
      <c r="AA868" s="55"/>
      <c r="AB868" s="55"/>
      <c r="AC868" s="55"/>
      <c r="AD868" s="55"/>
      <c r="AE868" s="55"/>
      <c r="AF868" s="55"/>
      <c r="AG868" s="55"/>
      <c r="AH868" s="55"/>
      <c r="AI868" s="55"/>
      <c r="AJ868" s="55"/>
      <c r="AK868" s="55"/>
      <c r="AL868" s="55"/>
      <c r="AM868" s="55"/>
      <c r="AN868" s="55"/>
      <c r="AO868" s="55"/>
      <c r="AP868" s="55"/>
      <c r="AQ868" s="55"/>
      <c r="AR868" s="55"/>
      <c r="AS868" s="55"/>
      <c r="AT868" s="55"/>
      <c r="AU868" s="55"/>
      <c r="AV868" s="55"/>
      <c r="AW868" s="55"/>
      <c r="AX868" s="55"/>
    </row>
    <row r="869" spans="2:52" x14ac:dyDescent="0.2">
      <c r="B869" s="69" t="s">
        <v>108</v>
      </c>
      <c r="C869" s="24">
        <f>(
SUM('E1990'!$B$52:$B$60,'E1990'!$B$21:$B$22,'E1990'!$B$20,'E1990'!$B$13)*'E1990'!$B$89+
SUM('E1990'!$C$52:$C$60,'E1990'!$C$21:$C$22,'E1990'!$C$20,'E1990'!$C$13)*'E1990'!$C$89+
SUM('E1990'!$D$52:$D$60,'E1990'!$D$21:$D$22,'E1990'!$D$20,'E1990'!$D$13)*'E1990'!$D$89+
SUM('E1990'!$E$52:$E$60,'E1990'!$E$21:$E$22,'E1990'!$E$20,'E1990'!$E$13)*'E1990'!$E$89+
SUM('E1990'!$F$52:$F$60,'E1990'!$F$21:$F$22,'E1990'!$F$20,'E1990'!$F$13)*'E1990'!$F$89+
SUM('E1990'!$G$52:$G$60,'E1990'!$G$21:$G$22,'E1990'!$G$20,'E1990'!$G$13)*'E1990'!$G$89+
SUM('E1990'!$H$52:$H$60,'E1990'!$H$21:$H$22,'E1990'!$H$20,'E1990'!$H$13)*'E1990'!$H$89+
SUM('E1990'!$I$13+'E1990'!$I$21+'E1990'!$I$22+SUM('E1990'!$I$52:$I$60))*'E1990'!$I$89+
SUM('E1990'!$Z$52:$Z$60,'E1990'!$Z$21:$Z$22,'E1990'!$Z$20,'E1990'!$Z$13)*'E1990'!$Z$89
)/1000</f>
        <v>0.29629978608519786</v>
      </c>
      <c r="D869" s="126">
        <f>(
SUM('E2018'!$B$52:$B$60,'E2018'!$B$21:$B$22,'E2018'!$B$20,'E2018'!$B$13)*'E2018'!$B$89+
SUM('E2018'!$C$52:$C$60,'E2018'!$C$21:$C$22,'E2018'!$C$20,'E2018'!$C$13)*'E2018'!$C$89+
SUM('E2018'!$D$52:$D$60,'E2018'!$D$21:$D$22,'E2018'!$D$20,'E2018'!$D$13)*'E2018'!$D$89+
SUM('E2018'!$E$52:$E$60,'E2018'!$E$21:$E$22,'E2018'!$E$20,'E2018'!$E$13)*'E2018'!$E$89+
SUM('E2018'!$F$52:$F$60,'E2018'!$F$21:$F$22,'E2018'!$F$20,'E2018'!$F$13)*'E2018'!$F$89+
SUM('E2018'!$G$52:$G$60,'E2018'!$G$21:$G$22,'E2018'!$G$20,'E2018'!$G$13)*'E2018'!$G$89+
SUM('E2018'!$H$52:$H$60,'E2018'!$H$21:$H$22,'E2018'!$H$20,'E2018'!$H$13)*'E2018'!$H$89+
SUM('E2018'!$I$13+'E2018'!$I$21+'E2018'!$I$22+SUM('E2018'!$I$52:$I$60))*'E2018'!$I$89+
SUM('E2018'!$Z$52:$Z$60,'E2018'!$Z$21:$Z$22,'E2018'!$Z$20,'E2018'!$Z$13)*'E2018'!$Z$89
)/1000</f>
        <v>5.7671999999999994E-2</v>
      </c>
      <c r="E869" s="24">
        <f>(
SUM('E2020'!$B$52:$B$60,'E2020'!$B$21:$B$22,'E2020'!$B$20,'E2020'!$B$13)*'E2020'!$B$89+
SUM('E2020'!$C$52:$C$60,'E2020'!$C$21:$C$22,'E2020'!$C$20,'E2020'!$C$13)*'E2020'!$C$89+
SUM('E2020'!$D$52:$D$60,'E2020'!$D$21:$D$22,'E2020'!$D$20,'E2020'!$D$13)*'E2020'!$D$89+
SUM('E2020'!$E$52:$E$60,'E2020'!$E$21:$E$22,'E2020'!$E$20,'E2020'!$E$13)*'E2020'!$E$89+
SUM('E2020'!$F$52:$F$60,'E2020'!$F$21:$F$22,'E2020'!$F$20,'E2020'!$F$13)*'E2020'!$F$89+
SUM('E2020'!$G$52:$G$60,'E2020'!$G$21:$G$22,'E2020'!$G$20,'E2020'!$G$13)*'E2020'!$G$89+
SUM('E2020'!$H$52:$H$60,'E2020'!$H$21:$H$22,'E2020'!$H$20,'E2020'!$H$13)*'E2020'!$H$89+
SUM('E2020'!$I$13+'E2020'!$I$21+'E2020'!$I$22+SUM('E2020'!$I$52:$I$60))*'E2020'!$I$89+
SUM('E2020'!$Z$52:$Z$60,'E2020'!$Z$21:$Z$22,'E2020'!$Z$20,'E2020'!$Z$13)*'E2020'!$Z$89
)/1000</f>
        <v>5.2488E-2</v>
      </c>
      <c r="H869" s="33"/>
      <c r="I869" s="33"/>
      <c r="J869" s="33"/>
      <c r="V869" s="55"/>
      <c r="W869" s="55"/>
      <c r="X869" s="55"/>
      <c r="Y869" s="55"/>
      <c r="Z869" s="55"/>
      <c r="AA869" s="55"/>
      <c r="AB869" s="55"/>
      <c r="AC869" s="55"/>
      <c r="AD869" s="55"/>
      <c r="AE869" s="55"/>
      <c r="AF869" s="55"/>
      <c r="AG869" s="55"/>
      <c r="AH869" s="55"/>
      <c r="AI869" s="55"/>
      <c r="AJ869" s="55"/>
      <c r="AK869" s="55"/>
      <c r="AL869" s="55"/>
      <c r="AM869" s="55"/>
      <c r="AN869" s="55"/>
      <c r="AO869" s="55"/>
      <c r="AP869" s="55"/>
      <c r="AQ869" s="55"/>
      <c r="AR869" s="55"/>
      <c r="AS869" s="55"/>
      <c r="AT869" s="55"/>
      <c r="AU869" s="55"/>
      <c r="AV869" s="55"/>
      <c r="AW869" s="55"/>
      <c r="AX869" s="55"/>
    </row>
    <row r="870" spans="2:52" x14ac:dyDescent="0.2">
      <c r="B870" s="69" t="s">
        <v>109</v>
      </c>
      <c r="C870" s="24">
        <f>(SUM('E1990'!$D$61:$D$80)*'E1990'!$D$89+
SUM('E1990'!$F$61:$F$80)*'E1990'!$F$89+
SUM('E1990'!$G$61:$G$80)*'E1990'!$G$89+
SUM('E1990'!$H$61:$H$80)*'E1990'!$H$89+
SUM('E1990'!$I$61:$I$78)*'E1990'!$I$89
)/1000</f>
        <v>5.3744826816603908</v>
      </c>
      <c r="D870" s="126">
        <f>(SUM('E2018'!$D$61:$D$80)*'E2018'!$D$89+
SUM('E2018'!$F$61:$F$80)*'E2018'!$F$89+
SUM('E2018'!$G$61:$G$80)*'E2018'!$G$89+
SUM('E2018'!$H$61:$H$80)*'E2018'!$H$89+
SUM('E2018'!$I$61:$I$78)*'E2018'!$I$89
)/1000</f>
        <v>6.9955722670000009</v>
      </c>
      <c r="E870" s="24">
        <f>(SUM('E2020'!$D$61:$D$80)*'E2020'!$D$89+
SUM('E2020'!$F$61:$F$80)*'E2020'!$F$89+
SUM('E2020'!$G$61:$G$80)*'E2020'!$G$89+
SUM('E2020'!$H$61:$H$80)*'E2020'!$H$89+
SUM('E2020'!$I$61:$I$78)*'E2020'!$I$89
)/1000</f>
        <v>5.5793283719999982</v>
      </c>
      <c r="H870" s="33"/>
      <c r="I870" s="33"/>
      <c r="J870" s="33"/>
      <c r="V870" s="55"/>
      <c r="W870" s="55"/>
      <c r="X870" s="55"/>
      <c r="Y870" s="55"/>
      <c r="Z870" s="55"/>
      <c r="AA870" s="55"/>
      <c r="AB870" s="55"/>
      <c r="AC870" s="55"/>
      <c r="AD870" s="55"/>
      <c r="AE870" s="55"/>
      <c r="AF870" s="55"/>
      <c r="AG870" s="55"/>
      <c r="AH870" s="55"/>
      <c r="AI870" s="55"/>
      <c r="AJ870" s="55"/>
      <c r="AK870" s="55"/>
      <c r="AL870" s="55"/>
      <c r="AM870" s="55"/>
      <c r="AN870" s="55"/>
      <c r="AO870" s="55"/>
      <c r="AP870" s="55"/>
      <c r="AQ870" s="55"/>
      <c r="AR870" s="55"/>
      <c r="AS870" s="55"/>
      <c r="AT870" s="55"/>
      <c r="AU870" s="55"/>
      <c r="AV870" s="55"/>
      <c r="AW870" s="55"/>
      <c r="AX870" s="55"/>
    </row>
    <row r="871" spans="2:52" x14ac:dyDescent="0.2">
      <c r="B871" s="69" t="s">
        <v>514</v>
      </c>
      <c r="C871" s="24">
        <f>'E1990'!$I$27*'E1990'!$I$89/1000</f>
        <v>0</v>
      </c>
      <c r="D871" s="24">
        <f>'E2018'!$I$27*'E2018'!$I$89/1000</f>
        <v>0</v>
      </c>
      <c r="E871" s="24">
        <f>'E2020'!$I$27*'E2020'!$I$89/1000</f>
        <v>0</v>
      </c>
      <c r="H871" s="33"/>
      <c r="I871" s="33"/>
      <c r="J871" s="33"/>
      <c r="V871" s="55"/>
      <c r="W871" s="55"/>
      <c r="X871" s="55"/>
      <c r="Y871" s="55"/>
      <c r="Z871" s="55"/>
      <c r="AA871" s="55"/>
      <c r="AB871" s="55"/>
      <c r="AC871" s="55"/>
      <c r="AD871" s="55"/>
      <c r="AE871" s="55"/>
      <c r="AF871" s="55"/>
      <c r="AG871" s="55"/>
      <c r="AH871" s="55"/>
      <c r="AI871" s="55"/>
      <c r="AJ871" s="55"/>
      <c r="AK871" s="55"/>
      <c r="AL871" s="55"/>
      <c r="AM871" s="55"/>
      <c r="AN871" s="55"/>
      <c r="AO871" s="55"/>
      <c r="AP871" s="55"/>
      <c r="AQ871" s="55"/>
      <c r="AR871" s="55"/>
      <c r="AS871" s="55"/>
      <c r="AT871" s="55"/>
      <c r="AU871" s="55"/>
      <c r="AV871" s="55"/>
      <c r="AW871" s="55"/>
      <c r="AX871" s="55"/>
    </row>
    <row r="872" spans="2:52" x14ac:dyDescent="0.2">
      <c r="B872" s="69" t="s">
        <v>110</v>
      </c>
      <c r="C872" s="24">
        <f>'E1990'!$A$82</f>
        <v>11.368536201287085</v>
      </c>
      <c r="D872" s="24">
        <f>'E2018'!$A$82</f>
        <v>4.5457813406739884</v>
      </c>
      <c r="E872" s="24">
        <f>'E2020'!$A$82</f>
        <v>2.4650899437824543</v>
      </c>
      <c r="H872" s="33"/>
      <c r="I872" s="33"/>
      <c r="J872" s="33"/>
      <c r="V872" s="55"/>
      <c r="W872" s="55"/>
      <c r="X872" s="55"/>
      <c r="Y872" s="55"/>
      <c r="Z872" s="55"/>
      <c r="AA872" s="55"/>
      <c r="AB872" s="55"/>
      <c r="AC872" s="55"/>
      <c r="AD872" s="55"/>
      <c r="AE872" s="55"/>
      <c r="AF872" s="55"/>
      <c r="AG872" s="55"/>
      <c r="AH872" s="55"/>
      <c r="AI872" s="55"/>
      <c r="AJ872" s="55"/>
      <c r="AK872" s="55"/>
      <c r="AL872" s="55"/>
      <c r="AM872" s="55"/>
      <c r="AN872" s="55"/>
      <c r="AO872" s="55"/>
      <c r="AP872" s="55"/>
      <c r="AQ872" s="55"/>
      <c r="AR872" s="55"/>
      <c r="AS872" s="55"/>
      <c r="AT872" s="55"/>
      <c r="AU872" s="55"/>
      <c r="AV872" s="55"/>
      <c r="AW872" s="55"/>
      <c r="AX872" s="55"/>
    </row>
    <row r="873" spans="2:52" x14ac:dyDescent="0.2">
      <c r="B873" s="79" t="s">
        <v>97</v>
      </c>
      <c r="C873" s="71">
        <f>SUM(C867:C872)</f>
        <v>23.995085669032676</v>
      </c>
      <c r="D873" s="71">
        <f>SUM(D867:D872)</f>
        <v>13.46990240767399</v>
      </c>
      <c r="E873" s="71">
        <f>SUM(E867:E872)</f>
        <v>10.345930235782452</v>
      </c>
      <c r="H873" s="310"/>
      <c r="I873" s="310"/>
      <c r="J873" s="310"/>
      <c r="V873" s="55"/>
      <c r="W873" s="55"/>
      <c r="X873" s="55"/>
      <c r="Y873" s="55"/>
      <c r="Z873" s="55"/>
      <c r="AA873" s="55"/>
      <c r="AB873" s="55"/>
      <c r="AC873" s="55"/>
      <c r="AD873" s="55"/>
      <c r="AE873" s="55"/>
      <c r="AF873" s="55"/>
      <c r="AG873" s="55"/>
      <c r="AH873" s="55"/>
      <c r="AI873" s="55"/>
      <c r="AJ873" s="55"/>
      <c r="AK873" s="55"/>
      <c r="AL873" s="55"/>
      <c r="AM873" s="55"/>
      <c r="AN873" s="55"/>
      <c r="AO873" s="55"/>
      <c r="AP873" s="55"/>
      <c r="AQ873" s="55"/>
      <c r="AR873" s="55"/>
      <c r="AS873" s="55"/>
      <c r="AT873" s="55"/>
      <c r="AU873" s="55"/>
      <c r="AV873" s="55"/>
      <c r="AW873" s="55"/>
      <c r="AX873" s="55"/>
    </row>
    <row r="874" spans="2:52" x14ac:dyDescent="0.2">
      <c r="C874" s="98"/>
      <c r="D874" s="98"/>
      <c r="E874" s="98"/>
      <c r="F874" s="98"/>
      <c r="G874" s="98"/>
      <c r="H874" s="98"/>
      <c r="I874" s="98"/>
      <c r="V874" s="55"/>
      <c r="W874" s="55"/>
      <c r="X874" s="55"/>
      <c r="Y874" s="55"/>
      <c r="Z874" s="55"/>
      <c r="AA874" s="55"/>
      <c r="AB874" s="55"/>
      <c r="AC874" s="55"/>
      <c r="AD874" s="55"/>
      <c r="AE874" s="55"/>
      <c r="AF874" s="55"/>
      <c r="AG874" s="55"/>
      <c r="AH874" s="55"/>
      <c r="AI874" s="55"/>
      <c r="AJ874" s="55"/>
      <c r="AK874" s="55"/>
      <c r="AL874" s="55"/>
      <c r="AM874" s="55"/>
      <c r="AN874" s="55"/>
      <c r="AO874" s="55"/>
      <c r="AP874" s="55"/>
      <c r="AQ874" s="55"/>
      <c r="AR874" s="55"/>
      <c r="AS874" s="55"/>
      <c r="AT874" s="55"/>
      <c r="AU874" s="55"/>
      <c r="AV874" s="55"/>
      <c r="AW874" s="55"/>
      <c r="AX874" s="55"/>
      <c r="AY874" s="55"/>
      <c r="AZ874" s="55"/>
    </row>
    <row r="875" spans="2:52" x14ac:dyDescent="0.2">
      <c r="B875" s="89"/>
      <c r="C875" s="89"/>
      <c r="D875" s="89"/>
      <c r="E875" s="89"/>
      <c r="F875" s="89"/>
      <c r="G875" s="89"/>
      <c r="H875" s="89"/>
      <c r="I875" s="89"/>
      <c r="V875" s="55"/>
      <c r="W875" s="55"/>
      <c r="X875" s="55"/>
      <c r="Y875" s="55"/>
      <c r="Z875" s="55"/>
      <c r="AA875" s="55"/>
      <c r="AB875" s="55"/>
      <c r="AC875" s="55"/>
      <c r="AD875" s="55"/>
      <c r="AE875" s="55"/>
      <c r="AF875" s="55"/>
      <c r="AG875" s="55"/>
      <c r="AH875" s="55"/>
      <c r="AI875" s="55"/>
      <c r="AJ875" s="55"/>
      <c r="AK875" s="55"/>
      <c r="AL875" s="55"/>
      <c r="AM875" s="55"/>
      <c r="AN875" s="55"/>
      <c r="AO875" s="55"/>
      <c r="AP875" s="55"/>
      <c r="AQ875" s="55"/>
      <c r="AR875" s="55"/>
      <c r="AS875" s="55"/>
      <c r="AT875" s="55"/>
      <c r="AU875" s="55"/>
      <c r="AV875" s="55"/>
      <c r="AW875" s="55"/>
      <c r="AX875" s="55"/>
      <c r="AY875" s="55"/>
      <c r="AZ875" s="55"/>
    </row>
    <row r="876" spans="2:52" ht="14.25" x14ac:dyDescent="0.25">
      <c r="B876" s="82" t="s">
        <v>123</v>
      </c>
      <c r="C876" s="3256"/>
      <c r="D876" s="85"/>
      <c r="E876" s="85"/>
      <c r="F876" s="55"/>
      <c r="G876" s="55"/>
      <c r="H876" s="55"/>
      <c r="I876" s="55"/>
      <c r="J876" s="55"/>
      <c r="K876" s="55"/>
      <c r="V876" s="55"/>
      <c r="W876" s="55"/>
      <c r="X876" s="55"/>
      <c r="Y876" s="55"/>
      <c r="Z876" s="55"/>
      <c r="AA876" s="55"/>
      <c r="AB876" s="55"/>
      <c r="AC876" s="55"/>
      <c r="AD876" s="55"/>
      <c r="AE876" s="55"/>
      <c r="AF876" s="55"/>
      <c r="AG876" s="55"/>
      <c r="AH876" s="55"/>
      <c r="AI876" s="55"/>
      <c r="AJ876" s="55"/>
      <c r="AK876" s="55"/>
      <c r="AL876" s="55"/>
      <c r="AM876" s="55"/>
      <c r="AN876" s="55"/>
      <c r="AO876" s="55"/>
      <c r="AP876" s="55"/>
      <c r="AQ876" s="55"/>
      <c r="AR876" s="55"/>
      <c r="AS876" s="55"/>
      <c r="AT876" s="55"/>
      <c r="AU876" s="55"/>
      <c r="AV876" s="55"/>
      <c r="AW876" s="55"/>
      <c r="AX876" s="55"/>
      <c r="AY876" s="55"/>
      <c r="AZ876" s="55"/>
    </row>
    <row r="877" spans="2:52" x14ac:dyDescent="0.2">
      <c r="V877" s="55"/>
      <c r="W877" s="55"/>
      <c r="X877" s="55"/>
      <c r="Y877" s="55"/>
      <c r="Z877" s="55"/>
      <c r="AA877" s="55"/>
      <c r="AB877" s="55"/>
      <c r="AC877" s="55"/>
      <c r="AD877" s="55"/>
      <c r="AE877" s="55"/>
      <c r="AF877" s="55"/>
      <c r="AG877" s="55"/>
      <c r="AH877" s="55"/>
      <c r="AI877" s="55"/>
      <c r="AJ877" s="55"/>
      <c r="AK877" s="55"/>
      <c r="AL877" s="55"/>
      <c r="AM877" s="55"/>
      <c r="AN877" s="55"/>
      <c r="AO877" s="55"/>
      <c r="AP877" s="55"/>
      <c r="AQ877" s="55"/>
      <c r="AR877" s="55"/>
      <c r="AS877" s="55"/>
      <c r="AT877" s="55"/>
      <c r="AU877" s="55"/>
      <c r="AV877" s="55"/>
      <c r="AW877" s="55"/>
      <c r="AX877" s="55"/>
      <c r="AY877" s="55"/>
      <c r="AZ877" s="55"/>
    </row>
    <row r="878" spans="2:52" x14ac:dyDescent="0.2">
      <c r="V878" s="55"/>
      <c r="W878" s="55"/>
      <c r="X878" s="55"/>
      <c r="Y878" s="55"/>
      <c r="Z878" s="55"/>
      <c r="AA878" s="55"/>
      <c r="AB878" s="55"/>
      <c r="AC878" s="55"/>
      <c r="AD878" s="55"/>
      <c r="AE878" s="55"/>
      <c r="AF878" s="55"/>
      <c r="AG878" s="55"/>
      <c r="AH878" s="55"/>
      <c r="AI878" s="55"/>
      <c r="AJ878" s="55"/>
      <c r="AK878" s="55"/>
      <c r="AL878" s="55"/>
      <c r="AM878" s="55"/>
      <c r="AN878" s="55"/>
      <c r="AO878" s="55"/>
      <c r="AP878" s="55"/>
      <c r="AQ878" s="55"/>
      <c r="AR878" s="55"/>
      <c r="AS878" s="55"/>
      <c r="AT878" s="55"/>
      <c r="AU878" s="55"/>
      <c r="AV878" s="55"/>
      <c r="AW878" s="55"/>
      <c r="AX878" s="55"/>
      <c r="AY878" s="55"/>
      <c r="AZ878" s="55"/>
    </row>
    <row r="879" spans="2:52" x14ac:dyDescent="0.2">
      <c r="V879" s="55"/>
      <c r="W879" s="55"/>
      <c r="X879" s="55"/>
      <c r="Y879" s="55"/>
      <c r="Z879" s="55"/>
      <c r="AA879" s="55"/>
      <c r="AB879" s="55"/>
      <c r="AC879" s="55"/>
      <c r="AD879" s="55"/>
      <c r="AE879" s="55"/>
      <c r="AF879" s="55"/>
      <c r="AG879" s="55"/>
      <c r="AH879" s="55"/>
      <c r="AI879" s="55"/>
      <c r="AJ879" s="55"/>
      <c r="AK879" s="55"/>
      <c r="AL879" s="55"/>
      <c r="AM879" s="55"/>
      <c r="AN879" s="55"/>
      <c r="AO879" s="55"/>
      <c r="AP879" s="55"/>
      <c r="AQ879" s="55"/>
      <c r="AR879" s="55"/>
      <c r="AS879" s="55"/>
      <c r="AT879" s="55"/>
      <c r="AU879" s="55"/>
      <c r="AV879" s="55"/>
      <c r="AW879" s="55"/>
      <c r="AX879" s="55"/>
      <c r="AY879" s="55"/>
      <c r="AZ879" s="55"/>
    </row>
    <row r="880" spans="2:52" x14ac:dyDescent="0.2">
      <c r="V880" s="55"/>
      <c r="W880" s="55"/>
      <c r="X880" s="55"/>
      <c r="Y880" s="55"/>
      <c r="Z880" s="55"/>
      <c r="AA880" s="55"/>
      <c r="AB880" s="55"/>
      <c r="AC880" s="55"/>
      <c r="AD880" s="55"/>
      <c r="AE880" s="55"/>
      <c r="AF880" s="55"/>
      <c r="AG880" s="55"/>
      <c r="AH880" s="55"/>
      <c r="AI880" s="55"/>
      <c r="AJ880" s="55"/>
      <c r="AK880" s="55"/>
      <c r="AL880" s="55"/>
      <c r="AM880" s="55"/>
      <c r="AN880" s="55"/>
      <c r="AO880" s="55"/>
      <c r="AP880" s="55"/>
      <c r="AQ880" s="55"/>
      <c r="AR880" s="55"/>
      <c r="AS880" s="55"/>
      <c r="AT880" s="55"/>
      <c r="AU880" s="55"/>
      <c r="AV880" s="55"/>
      <c r="AW880" s="55"/>
      <c r="AX880" s="55"/>
      <c r="AY880" s="55"/>
      <c r="AZ880" s="55"/>
    </row>
    <row r="881" spans="22:52" x14ac:dyDescent="0.2">
      <c r="V881" s="55"/>
      <c r="W881" s="55"/>
      <c r="X881" s="55"/>
      <c r="Y881" s="55"/>
      <c r="Z881" s="55"/>
      <c r="AA881" s="55"/>
      <c r="AB881" s="55"/>
      <c r="AC881" s="55"/>
      <c r="AD881" s="55"/>
      <c r="AE881" s="55"/>
      <c r="AF881" s="55"/>
      <c r="AG881" s="55"/>
      <c r="AH881" s="55"/>
      <c r="AI881" s="55"/>
      <c r="AJ881" s="55"/>
      <c r="AK881" s="55"/>
      <c r="AL881" s="55"/>
      <c r="AM881" s="55"/>
      <c r="AN881" s="55"/>
      <c r="AO881" s="55"/>
      <c r="AP881" s="55"/>
      <c r="AQ881" s="55"/>
      <c r="AR881" s="55"/>
      <c r="AS881" s="55"/>
      <c r="AT881" s="55"/>
      <c r="AU881" s="55"/>
      <c r="AV881" s="55"/>
      <c r="AW881" s="55"/>
      <c r="AX881" s="55"/>
      <c r="AY881" s="55"/>
      <c r="AZ881" s="55"/>
    </row>
    <row r="882" spans="22:52" x14ac:dyDescent="0.2">
      <c r="V882" s="55"/>
      <c r="W882" s="55"/>
      <c r="X882" s="55"/>
      <c r="Y882" s="55"/>
      <c r="Z882" s="55"/>
      <c r="AA882" s="55"/>
      <c r="AB882" s="55"/>
      <c r="AC882" s="55"/>
      <c r="AD882" s="55"/>
      <c r="AE882" s="55"/>
      <c r="AF882" s="55"/>
      <c r="AG882" s="55"/>
      <c r="AH882" s="55"/>
      <c r="AI882" s="55"/>
      <c r="AJ882" s="55"/>
      <c r="AK882" s="55"/>
      <c r="AL882" s="55"/>
      <c r="AM882" s="55"/>
      <c r="AN882" s="55"/>
      <c r="AO882" s="55"/>
      <c r="AP882" s="55"/>
      <c r="AQ882" s="55"/>
      <c r="AR882" s="55"/>
      <c r="AS882" s="55"/>
      <c r="AT882" s="55"/>
      <c r="AU882" s="55"/>
      <c r="AV882" s="55"/>
      <c r="AW882" s="55"/>
      <c r="AX882" s="55"/>
      <c r="AY882" s="55"/>
      <c r="AZ882" s="55"/>
    </row>
    <row r="883" spans="22:52" x14ac:dyDescent="0.2">
      <c r="V883" s="55"/>
      <c r="W883" s="55"/>
      <c r="X883" s="55"/>
      <c r="Y883" s="55"/>
      <c r="Z883" s="55"/>
      <c r="AA883" s="55"/>
      <c r="AB883" s="55"/>
      <c r="AC883" s="55"/>
      <c r="AD883" s="55"/>
      <c r="AE883" s="55"/>
      <c r="AF883" s="55"/>
      <c r="AG883" s="55"/>
      <c r="AH883" s="55"/>
      <c r="AI883" s="55"/>
      <c r="AJ883" s="55"/>
      <c r="AK883" s="55"/>
      <c r="AL883" s="55"/>
      <c r="AM883" s="55"/>
      <c r="AN883" s="55"/>
      <c r="AO883" s="55"/>
      <c r="AP883" s="55"/>
      <c r="AQ883" s="55"/>
      <c r="AR883" s="55"/>
      <c r="AS883" s="55"/>
      <c r="AT883" s="55"/>
      <c r="AU883" s="55"/>
      <c r="AV883" s="55"/>
      <c r="AW883" s="55"/>
      <c r="AX883" s="55"/>
      <c r="AY883" s="55"/>
      <c r="AZ883" s="55"/>
    </row>
    <row r="884" spans="22:52" x14ac:dyDescent="0.2">
      <c r="V884" s="55"/>
      <c r="W884" s="55"/>
      <c r="X884" s="55"/>
      <c r="Y884" s="55"/>
      <c r="Z884" s="55"/>
      <c r="AA884" s="55"/>
      <c r="AB884" s="55"/>
      <c r="AC884" s="55"/>
      <c r="AD884" s="55"/>
      <c r="AE884" s="55"/>
      <c r="AF884" s="55"/>
      <c r="AG884" s="55"/>
      <c r="AH884" s="55"/>
      <c r="AI884" s="55"/>
      <c r="AJ884" s="55"/>
      <c r="AK884" s="55"/>
      <c r="AL884" s="55"/>
      <c r="AM884" s="55"/>
      <c r="AN884" s="55"/>
      <c r="AO884" s="55"/>
      <c r="AP884" s="55"/>
      <c r="AQ884" s="55"/>
      <c r="AR884" s="55"/>
      <c r="AS884" s="55"/>
      <c r="AT884" s="55"/>
      <c r="AU884" s="55"/>
      <c r="AV884" s="55"/>
      <c r="AW884" s="55"/>
      <c r="AX884" s="55"/>
      <c r="AY884" s="55"/>
      <c r="AZ884" s="55"/>
    </row>
    <row r="885" spans="22:52" x14ac:dyDescent="0.2">
      <c r="V885" s="55"/>
      <c r="W885" s="55"/>
      <c r="X885" s="55"/>
      <c r="Y885" s="55"/>
      <c r="Z885" s="55"/>
      <c r="AA885" s="55"/>
      <c r="AB885" s="55"/>
      <c r="AC885" s="55"/>
      <c r="AD885" s="55"/>
      <c r="AE885" s="55"/>
      <c r="AF885" s="55"/>
      <c r="AG885" s="55"/>
      <c r="AH885" s="55"/>
      <c r="AI885" s="55"/>
      <c r="AJ885" s="55"/>
      <c r="AK885" s="55"/>
      <c r="AL885" s="55"/>
      <c r="AM885" s="55"/>
      <c r="AN885" s="55"/>
      <c r="AO885" s="55"/>
      <c r="AP885" s="55"/>
      <c r="AQ885" s="55"/>
      <c r="AR885" s="55"/>
      <c r="AS885" s="55"/>
      <c r="AT885" s="55"/>
      <c r="AU885" s="55"/>
      <c r="AV885" s="55"/>
      <c r="AW885" s="55"/>
      <c r="AX885" s="55"/>
      <c r="AY885" s="55"/>
      <c r="AZ885" s="55"/>
    </row>
    <row r="886" spans="22:52" x14ac:dyDescent="0.2">
      <c r="V886" s="55"/>
      <c r="W886" s="55"/>
      <c r="X886" s="55"/>
      <c r="Y886" s="55"/>
      <c r="Z886" s="55"/>
      <c r="AA886" s="55"/>
      <c r="AB886" s="55"/>
      <c r="AC886" s="55"/>
      <c r="AD886" s="55"/>
      <c r="AE886" s="55"/>
      <c r="AF886" s="55"/>
      <c r="AG886" s="55"/>
      <c r="AH886" s="55"/>
      <c r="AI886" s="55"/>
      <c r="AJ886" s="55"/>
      <c r="AK886" s="55"/>
      <c r="AL886" s="55"/>
      <c r="AM886" s="55"/>
      <c r="AN886" s="55"/>
      <c r="AO886" s="55"/>
      <c r="AP886" s="55"/>
      <c r="AQ886" s="55"/>
      <c r="AR886" s="55"/>
      <c r="AS886" s="55"/>
      <c r="AT886" s="55"/>
      <c r="AU886" s="55"/>
      <c r="AV886" s="55"/>
      <c r="AW886" s="55"/>
      <c r="AX886" s="55"/>
      <c r="AY886" s="55"/>
      <c r="AZ886" s="55"/>
    </row>
    <row r="887" spans="22:52" x14ac:dyDescent="0.2">
      <c r="V887" s="55"/>
      <c r="W887" s="55"/>
      <c r="X887" s="55"/>
      <c r="Y887" s="55"/>
      <c r="Z887" s="55"/>
      <c r="AA887" s="55"/>
      <c r="AB887" s="55"/>
      <c r="AC887" s="55"/>
      <c r="AD887" s="55"/>
      <c r="AE887" s="55"/>
      <c r="AF887" s="55"/>
      <c r="AG887" s="55"/>
      <c r="AH887" s="55"/>
      <c r="AI887" s="55"/>
      <c r="AJ887" s="55"/>
      <c r="AK887" s="55"/>
      <c r="AL887" s="55"/>
      <c r="AM887" s="55"/>
      <c r="AN887" s="55"/>
      <c r="AO887" s="55"/>
      <c r="AP887" s="55"/>
      <c r="AQ887" s="55"/>
      <c r="AR887" s="55"/>
      <c r="AS887" s="55"/>
      <c r="AT887" s="55"/>
      <c r="AU887" s="55"/>
      <c r="AV887" s="55"/>
      <c r="AW887" s="55"/>
      <c r="AX887" s="55"/>
      <c r="AY887" s="55"/>
      <c r="AZ887" s="55"/>
    </row>
    <row r="888" spans="22:52" x14ac:dyDescent="0.2">
      <c r="V888" s="55"/>
      <c r="W888" s="55"/>
      <c r="X888" s="55"/>
      <c r="Y888" s="55"/>
      <c r="Z888" s="55"/>
      <c r="AA888" s="55"/>
      <c r="AB888" s="55"/>
      <c r="AC888" s="55"/>
      <c r="AD888" s="55"/>
      <c r="AE888" s="55"/>
      <c r="AF888" s="55"/>
      <c r="AG888" s="55"/>
      <c r="AH888" s="55"/>
      <c r="AI888" s="55"/>
      <c r="AJ888" s="55"/>
      <c r="AK888" s="55"/>
      <c r="AL888" s="55"/>
      <c r="AM888" s="55"/>
      <c r="AN888" s="55"/>
      <c r="AO888" s="55"/>
      <c r="AP888" s="55"/>
      <c r="AQ888" s="55"/>
      <c r="AR888" s="55"/>
      <c r="AS888" s="55"/>
      <c r="AT888" s="55"/>
      <c r="AU888" s="55"/>
      <c r="AV888" s="55"/>
      <c r="AW888" s="55"/>
      <c r="AX888" s="55"/>
      <c r="AY888" s="55"/>
      <c r="AZ888" s="55"/>
    </row>
    <row r="889" spans="22:52" x14ac:dyDescent="0.2">
      <c r="V889" s="55"/>
      <c r="W889" s="55"/>
      <c r="X889" s="55"/>
      <c r="Y889" s="55"/>
      <c r="Z889" s="55"/>
      <c r="AA889" s="55"/>
      <c r="AB889" s="55"/>
      <c r="AC889" s="55"/>
      <c r="AD889" s="55"/>
      <c r="AE889" s="55"/>
      <c r="AF889" s="55"/>
      <c r="AG889" s="55"/>
      <c r="AH889" s="55"/>
      <c r="AI889" s="55"/>
      <c r="AJ889" s="55"/>
      <c r="AK889" s="55"/>
      <c r="AL889" s="55"/>
      <c r="AM889" s="55"/>
      <c r="AN889" s="55"/>
      <c r="AO889" s="55"/>
      <c r="AP889" s="55"/>
      <c r="AQ889" s="55"/>
      <c r="AR889" s="55"/>
      <c r="AS889" s="55"/>
      <c r="AT889" s="55"/>
      <c r="AU889" s="55"/>
      <c r="AV889" s="55"/>
      <c r="AW889" s="55"/>
      <c r="AX889" s="55"/>
      <c r="AY889" s="55"/>
      <c r="AZ889" s="55"/>
    </row>
    <row r="890" spans="22:52" x14ac:dyDescent="0.2">
      <c r="V890" s="55"/>
      <c r="W890" s="55"/>
      <c r="X890" s="55"/>
      <c r="Y890" s="55"/>
      <c r="Z890" s="55"/>
      <c r="AA890" s="55"/>
      <c r="AB890" s="55"/>
      <c r="AC890" s="55"/>
      <c r="AD890" s="55"/>
      <c r="AE890" s="55"/>
      <c r="AF890" s="55"/>
      <c r="AG890" s="55"/>
      <c r="AH890" s="55"/>
      <c r="AI890" s="55"/>
      <c r="AJ890" s="55"/>
      <c r="AK890" s="55"/>
      <c r="AL890" s="55"/>
      <c r="AM890" s="55"/>
      <c r="AN890" s="55"/>
      <c r="AO890" s="55"/>
      <c r="AP890" s="55"/>
      <c r="AQ890" s="55"/>
      <c r="AR890" s="55"/>
      <c r="AS890" s="55"/>
      <c r="AT890" s="55"/>
      <c r="AU890" s="55"/>
      <c r="AV890" s="55"/>
      <c r="AW890" s="55"/>
      <c r="AX890" s="55"/>
      <c r="AY890" s="55"/>
      <c r="AZ890" s="55"/>
    </row>
    <row r="891" spans="22:52" x14ac:dyDescent="0.2">
      <c r="V891" s="55"/>
      <c r="W891" s="55"/>
      <c r="X891" s="55"/>
      <c r="Y891" s="55"/>
      <c r="Z891" s="55"/>
      <c r="AA891" s="55"/>
      <c r="AB891" s="55"/>
      <c r="AC891" s="55"/>
      <c r="AD891" s="55"/>
      <c r="AE891" s="55"/>
      <c r="AF891" s="55"/>
      <c r="AG891" s="55"/>
      <c r="AH891" s="55"/>
      <c r="AI891" s="55"/>
      <c r="AJ891" s="55"/>
      <c r="AK891" s="55"/>
      <c r="AL891" s="55"/>
      <c r="AM891" s="55"/>
      <c r="AN891" s="55"/>
      <c r="AO891" s="55"/>
      <c r="AP891" s="55"/>
      <c r="AQ891" s="55"/>
      <c r="AR891" s="55"/>
      <c r="AS891" s="55"/>
      <c r="AT891" s="55"/>
      <c r="AU891" s="55"/>
      <c r="AV891" s="55"/>
      <c r="AW891" s="55"/>
      <c r="AX891" s="55"/>
      <c r="AY891" s="55"/>
      <c r="AZ891" s="55"/>
    </row>
    <row r="892" spans="22:52" x14ac:dyDescent="0.2">
      <c r="V892" s="55"/>
      <c r="W892" s="55"/>
      <c r="X892" s="55"/>
      <c r="Y892" s="55"/>
      <c r="Z892" s="55"/>
      <c r="AA892" s="55"/>
      <c r="AB892" s="55"/>
      <c r="AC892" s="55"/>
      <c r="AD892" s="55"/>
      <c r="AE892" s="55"/>
      <c r="AF892" s="55"/>
      <c r="AG892" s="55"/>
      <c r="AH892" s="55"/>
      <c r="AI892" s="55"/>
      <c r="AJ892" s="55"/>
      <c r="AK892" s="55"/>
      <c r="AL892" s="55"/>
      <c r="AM892" s="55"/>
      <c r="AN892" s="55"/>
      <c r="AO892" s="55"/>
      <c r="AP892" s="55"/>
      <c r="AQ892" s="55"/>
      <c r="AR892" s="55"/>
      <c r="AS892" s="55"/>
      <c r="AT892" s="55"/>
      <c r="AU892" s="55"/>
      <c r="AV892" s="55"/>
      <c r="AW892" s="55"/>
      <c r="AX892" s="55"/>
      <c r="AY892" s="55"/>
      <c r="AZ892" s="55"/>
    </row>
    <row r="893" spans="22:52" x14ac:dyDescent="0.2">
      <c r="V893" s="55"/>
      <c r="W893" s="55"/>
      <c r="X893" s="55"/>
      <c r="Y893" s="55"/>
      <c r="Z893" s="55"/>
      <c r="AA893" s="55"/>
      <c r="AB893" s="55"/>
      <c r="AC893" s="55"/>
      <c r="AD893" s="55"/>
      <c r="AE893" s="55"/>
      <c r="AF893" s="55"/>
      <c r="AG893" s="55"/>
      <c r="AH893" s="55"/>
      <c r="AI893" s="55"/>
      <c r="AJ893" s="55"/>
      <c r="AK893" s="55"/>
      <c r="AL893" s="55"/>
      <c r="AM893" s="55"/>
      <c r="AN893" s="55"/>
      <c r="AO893" s="55"/>
      <c r="AP893" s="55"/>
      <c r="AQ893" s="55"/>
      <c r="AR893" s="55"/>
      <c r="AS893" s="55"/>
      <c r="AT893" s="55"/>
      <c r="AU893" s="55"/>
      <c r="AV893" s="55"/>
      <c r="AW893" s="55"/>
      <c r="AX893" s="55"/>
      <c r="AY893" s="55"/>
      <c r="AZ893" s="55"/>
    </row>
    <row r="894" spans="22:52" x14ac:dyDescent="0.2">
      <c r="V894" s="55"/>
      <c r="W894" s="55"/>
      <c r="X894" s="55"/>
      <c r="Y894" s="55"/>
      <c r="Z894" s="55"/>
      <c r="AA894" s="55"/>
      <c r="AB894" s="55"/>
      <c r="AC894" s="55"/>
      <c r="AD894" s="55"/>
      <c r="AE894" s="55"/>
      <c r="AF894" s="55"/>
      <c r="AG894" s="55"/>
      <c r="AH894" s="55"/>
      <c r="AI894" s="55"/>
      <c r="AJ894" s="55"/>
      <c r="AK894" s="55"/>
      <c r="AL894" s="55"/>
      <c r="AM894" s="55"/>
      <c r="AN894" s="55"/>
      <c r="AO894" s="55"/>
      <c r="AP894" s="55"/>
      <c r="AQ894" s="55"/>
      <c r="AR894" s="55"/>
      <c r="AS894" s="55"/>
      <c r="AT894" s="55"/>
      <c r="AU894" s="55"/>
      <c r="AV894" s="55"/>
      <c r="AW894" s="55"/>
      <c r="AX894" s="55"/>
      <c r="AY894" s="55"/>
      <c r="AZ894" s="55"/>
    </row>
    <row r="895" spans="22:52" x14ac:dyDescent="0.2">
      <c r="V895" s="55"/>
      <c r="W895" s="55"/>
      <c r="X895" s="55"/>
      <c r="Y895" s="55"/>
      <c r="Z895" s="55"/>
      <c r="AA895" s="55"/>
      <c r="AB895" s="55"/>
      <c r="AC895" s="55"/>
      <c r="AD895" s="55"/>
      <c r="AE895" s="55"/>
      <c r="AF895" s="55"/>
      <c r="AG895" s="55"/>
      <c r="AH895" s="55"/>
      <c r="AI895" s="55"/>
      <c r="AJ895" s="55"/>
      <c r="AK895" s="55"/>
      <c r="AL895" s="55"/>
      <c r="AM895" s="55"/>
      <c r="AN895" s="55"/>
      <c r="AO895" s="55"/>
      <c r="AP895" s="55"/>
      <c r="AQ895" s="55"/>
      <c r="AR895" s="55"/>
      <c r="AS895" s="55"/>
      <c r="AT895" s="55"/>
      <c r="AU895" s="55"/>
      <c r="AV895" s="55"/>
      <c r="AW895" s="55"/>
      <c r="AX895" s="55"/>
      <c r="AY895" s="55"/>
      <c r="AZ895" s="55"/>
    </row>
    <row r="896" spans="22:52" x14ac:dyDescent="0.2">
      <c r="V896" s="55"/>
      <c r="W896" s="55"/>
      <c r="X896" s="55"/>
      <c r="Y896" s="55"/>
      <c r="Z896" s="55"/>
      <c r="AA896" s="55"/>
      <c r="AB896" s="55"/>
      <c r="AC896" s="55"/>
      <c r="AD896" s="55"/>
      <c r="AE896" s="55"/>
      <c r="AF896" s="55"/>
      <c r="AG896" s="55"/>
      <c r="AH896" s="55"/>
      <c r="AI896" s="55"/>
      <c r="AJ896" s="55"/>
      <c r="AK896" s="55"/>
      <c r="AL896" s="55"/>
      <c r="AM896" s="55"/>
      <c r="AN896" s="55"/>
      <c r="AO896" s="55"/>
      <c r="AP896" s="55"/>
      <c r="AQ896" s="55"/>
      <c r="AR896" s="55"/>
      <c r="AS896" s="55"/>
      <c r="AT896" s="55"/>
      <c r="AU896" s="55"/>
      <c r="AV896" s="55"/>
      <c r="AW896" s="55"/>
      <c r="AX896" s="55"/>
      <c r="AY896" s="55"/>
      <c r="AZ896" s="55"/>
    </row>
    <row r="897" spans="2:52" x14ac:dyDescent="0.2">
      <c r="V897" s="55"/>
      <c r="W897" s="55"/>
      <c r="X897" s="55"/>
      <c r="Y897" s="55"/>
      <c r="Z897" s="55"/>
      <c r="AA897" s="55"/>
      <c r="AB897" s="55"/>
      <c r="AC897" s="55"/>
      <c r="AD897" s="55"/>
      <c r="AE897" s="55"/>
      <c r="AF897" s="55"/>
      <c r="AG897" s="55"/>
      <c r="AH897" s="55"/>
      <c r="AI897" s="55"/>
      <c r="AJ897" s="55"/>
      <c r="AK897" s="55"/>
      <c r="AL897" s="55"/>
      <c r="AM897" s="55"/>
      <c r="AN897" s="55"/>
      <c r="AO897" s="55"/>
      <c r="AP897" s="55"/>
      <c r="AQ897" s="55"/>
      <c r="AR897" s="55"/>
      <c r="AS897" s="55"/>
      <c r="AT897" s="55"/>
      <c r="AU897" s="55"/>
      <c r="AV897" s="55"/>
      <c r="AW897" s="55"/>
      <c r="AX897" s="55"/>
      <c r="AY897" s="55"/>
      <c r="AZ897" s="55"/>
    </row>
    <row r="898" spans="2:52" x14ac:dyDescent="0.2">
      <c r="V898" s="55"/>
      <c r="W898" s="55"/>
      <c r="X898" s="55"/>
      <c r="Y898" s="55"/>
      <c r="Z898" s="55"/>
      <c r="AA898" s="55"/>
      <c r="AB898" s="55"/>
      <c r="AC898" s="55"/>
      <c r="AD898" s="55"/>
      <c r="AE898" s="55"/>
      <c r="AF898" s="55"/>
      <c r="AG898" s="55"/>
      <c r="AH898" s="55"/>
      <c r="AI898" s="55"/>
      <c r="AJ898" s="55"/>
      <c r="AK898" s="55"/>
      <c r="AL898" s="55"/>
      <c r="AM898" s="55"/>
      <c r="AN898" s="55"/>
      <c r="AO898" s="55"/>
      <c r="AP898" s="55"/>
      <c r="AQ898" s="55"/>
      <c r="AR898" s="55"/>
      <c r="AS898" s="55"/>
      <c r="AT898" s="55"/>
      <c r="AU898" s="55"/>
      <c r="AV898" s="55"/>
      <c r="AW898" s="55"/>
      <c r="AX898" s="55"/>
      <c r="AY898" s="55"/>
      <c r="AZ898" s="55"/>
    </row>
    <row r="899" spans="2:52" x14ac:dyDescent="0.2">
      <c r="V899" s="55"/>
      <c r="W899" s="55"/>
      <c r="X899" s="55"/>
      <c r="Y899" s="55"/>
      <c r="Z899" s="55"/>
      <c r="AA899" s="55"/>
      <c r="AB899" s="55"/>
      <c r="AC899" s="55"/>
      <c r="AD899" s="55"/>
      <c r="AE899" s="55"/>
      <c r="AF899" s="55"/>
      <c r="AG899" s="55"/>
      <c r="AH899" s="55"/>
      <c r="AI899" s="55"/>
      <c r="AJ899" s="55"/>
      <c r="AK899" s="55"/>
      <c r="AL899" s="55"/>
      <c r="AM899" s="55"/>
      <c r="AN899" s="55"/>
      <c r="AO899" s="55"/>
      <c r="AP899" s="55"/>
      <c r="AQ899" s="55"/>
      <c r="AR899" s="55"/>
      <c r="AS899" s="55"/>
      <c r="AT899" s="55"/>
      <c r="AU899" s="55"/>
      <c r="AV899" s="55"/>
      <c r="AW899" s="55"/>
      <c r="AX899" s="55"/>
      <c r="AY899" s="55"/>
      <c r="AZ899" s="55"/>
    </row>
    <row r="900" spans="2:52" x14ac:dyDescent="0.2">
      <c r="V900" s="55"/>
      <c r="W900" s="55"/>
      <c r="X900" s="55"/>
      <c r="Y900" s="55"/>
      <c r="Z900" s="55"/>
      <c r="AA900" s="55"/>
      <c r="AB900" s="55"/>
      <c r="AC900" s="55"/>
      <c r="AD900" s="55"/>
      <c r="AE900" s="55"/>
      <c r="AF900" s="55"/>
      <c r="AG900" s="55"/>
      <c r="AH900" s="55"/>
      <c r="AI900" s="55"/>
      <c r="AJ900" s="55"/>
      <c r="AK900" s="55"/>
      <c r="AL900" s="55"/>
      <c r="AM900" s="55"/>
      <c r="AN900" s="55"/>
      <c r="AO900" s="55"/>
      <c r="AP900" s="55"/>
      <c r="AQ900" s="55"/>
      <c r="AR900" s="55"/>
      <c r="AS900" s="55"/>
      <c r="AT900" s="55"/>
      <c r="AU900" s="55"/>
      <c r="AV900" s="55"/>
      <c r="AW900" s="55"/>
      <c r="AX900" s="55"/>
      <c r="AY900" s="55"/>
      <c r="AZ900" s="55"/>
    </row>
    <row r="901" spans="2:52" x14ac:dyDescent="0.2">
      <c r="V901" s="55"/>
      <c r="W901" s="55"/>
      <c r="X901" s="55"/>
      <c r="Y901" s="55"/>
      <c r="Z901" s="55"/>
      <c r="AA901" s="55"/>
      <c r="AB901" s="55"/>
      <c r="AC901" s="55"/>
      <c r="AD901" s="55"/>
      <c r="AE901" s="55"/>
      <c r="AF901" s="55"/>
      <c r="AG901" s="55"/>
      <c r="AH901" s="55"/>
      <c r="AI901" s="55"/>
      <c r="AJ901" s="55"/>
      <c r="AK901" s="55"/>
      <c r="AL901" s="55"/>
      <c r="AM901" s="55"/>
      <c r="AN901" s="55"/>
      <c r="AO901" s="55"/>
      <c r="AP901" s="55"/>
      <c r="AQ901" s="55"/>
      <c r="AR901" s="55"/>
      <c r="AS901" s="55"/>
      <c r="AT901" s="55"/>
      <c r="AU901" s="55"/>
      <c r="AV901" s="55"/>
      <c r="AW901" s="55"/>
      <c r="AX901" s="55"/>
      <c r="AY901" s="55"/>
      <c r="AZ901" s="55"/>
    </row>
    <row r="902" spans="2:52" x14ac:dyDescent="0.2">
      <c r="V902" s="55"/>
      <c r="W902" s="55"/>
      <c r="X902" s="55"/>
      <c r="Y902" s="55"/>
      <c r="Z902" s="55"/>
      <c r="AA902" s="55"/>
      <c r="AB902" s="55"/>
      <c r="AC902" s="55"/>
      <c r="AD902" s="55"/>
      <c r="AE902" s="55"/>
      <c r="AF902" s="55"/>
      <c r="AG902" s="55"/>
      <c r="AH902" s="55"/>
      <c r="AI902" s="55"/>
      <c r="AJ902" s="55"/>
      <c r="AK902" s="55"/>
      <c r="AL902" s="55"/>
      <c r="AM902" s="55"/>
      <c r="AN902" s="55"/>
      <c r="AO902" s="55"/>
      <c r="AP902" s="55"/>
      <c r="AQ902" s="55"/>
      <c r="AR902" s="55"/>
      <c r="AS902" s="55"/>
      <c r="AT902" s="55"/>
      <c r="AU902" s="55"/>
      <c r="AV902" s="55"/>
      <c r="AW902" s="55"/>
      <c r="AX902" s="55"/>
      <c r="AY902" s="55"/>
      <c r="AZ902" s="55"/>
    </row>
    <row r="903" spans="2:52" x14ac:dyDescent="0.2">
      <c r="V903" s="55"/>
      <c r="W903" s="55"/>
      <c r="X903" s="55"/>
      <c r="Y903" s="55"/>
      <c r="Z903" s="55"/>
      <c r="AA903" s="55"/>
      <c r="AB903" s="55"/>
      <c r="AC903" s="55"/>
      <c r="AD903" s="55"/>
      <c r="AE903" s="55"/>
      <c r="AF903" s="55"/>
      <c r="AG903" s="55"/>
      <c r="AH903" s="55"/>
      <c r="AI903" s="55"/>
      <c r="AJ903" s="55"/>
      <c r="AK903" s="55"/>
      <c r="AL903" s="55"/>
      <c r="AM903" s="55"/>
      <c r="AN903" s="55"/>
      <c r="AO903" s="55"/>
      <c r="AP903" s="55"/>
      <c r="AQ903" s="55"/>
      <c r="AR903" s="55"/>
      <c r="AS903" s="55"/>
      <c r="AT903" s="55"/>
      <c r="AU903" s="55"/>
      <c r="AV903" s="55"/>
      <c r="AW903" s="55"/>
      <c r="AX903" s="55"/>
      <c r="AY903" s="55"/>
      <c r="AZ903" s="55"/>
    </row>
    <row r="904" spans="2:52" x14ac:dyDescent="0.2">
      <c r="V904" s="55"/>
      <c r="W904" s="55"/>
      <c r="X904" s="55"/>
      <c r="Y904" s="55"/>
      <c r="Z904" s="55"/>
      <c r="AA904" s="55"/>
      <c r="AB904" s="55"/>
      <c r="AC904" s="55"/>
      <c r="AD904" s="55"/>
      <c r="AE904" s="55"/>
      <c r="AF904" s="55"/>
      <c r="AG904" s="55"/>
      <c r="AH904" s="55"/>
      <c r="AI904" s="55"/>
      <c r="AJ904" s="55"/>
      <c r="AK904" s="55"/>
      <c r="AL904" s="55"/>
      <c r="AM904" s="55"/>
      <c r="AN904" s="55"/>
      <c r="AO904" s="55"/>
      <c r="AP904" s="55"/>
      <c r="AQ904" s="55"/>
      <c r="AR904" s="55"/>
      <c r="AS904" s="55"/>
      <c r="AT904" s="55"/>
      <c r="AU904" s="55"/>
      <c r="AV904" s="55"/>
      <c r="AW904" s="55"/>
      <c r="AX904" s="55"/>
      <c r="AY904" s="55"/>
      <c r="AZ904" s="55"/>
    </row>
    <row r="905" spans="2:52" x14ac:dyDescent="0.2">
      <c r="V905" s="55"/>
      <c r="W905" s="55"/>
      <c r="X905" s="55"/>
      <c r="Y905" s="55"/>
      <c r="Z905" s="55"/>
      <c r="AA905" s="55"/>
      <c r="AB905" s="55"/>
      <c r="AC905" s="55"/>
      <c r="AD905" s="55"/>
      <c r="AE905" s="55"/>
      <c r="AF905" s="55"/>
      <c r="AG905" s="55"/>
      <c r="AH905" s="55"/>
      <c r="AI905" s="55"/>
      <c r="AJ905" s="55"/>
      <c r="AK905" s="55"/>
      <c r="AL905" s="55"/>
      <c r="AM905" s="55"/>
      <c r="AN905" s="55"/>
      <c r="AO905" s="55"/>
      <c r="AP905" s="55"/>
      <c r="AQ905" s="55"/>
      <c r="AR905" s="55"/>
      <c r="AS905" s="55"/>
      <c r="AT905" s="55"/>
      <c r="AU905" s="55"/>
      <c r="AV905" s="55"/>
      <c r="AW905" s="55"/>
      <c r="AX905" s="55"/>
      <c r="AY905" s="55"/>
      <c r="AZ905" s="55"/>
    </row>
    <row r="906" spans="2:52" ht="14.25" x14ac:dyDescent="0.25">
      <c r="B906" s="82" t="s">
        <v>124</v>
      </c>
      <c r="C906" s="3256"/>
      <c r="D906" s="85"/>
      <c r="E906" s="85"/>
      <c r="F906" s="55"/>
      <c r="G906" s="55"/>
      <c r="H906" s="55"/>
      <c r="I906" s="55"/>
      <c r="J906" s="55"/>
      <c r="K906" s="55"/>
      <c r="V906" s="55"/>
      <c r="W906" s="55"/>
      <c r="X906" s="55"/>
      <c r="Y906" s="55"/>
      <c r="Z906" s="55"/>
      <c r="AA906" s="55"/>
      <c r="AB906" s="55"/>
      <c r="AC906" s="55"/>
      <c r="AD906" s="55"/>
      <c r="AE906" s="55"/>
      <c r="AF906" s="55"/>
      <c r="AG906" s="55"/>
      <c r="AH906" s="55"/>
      <c r="AI906" s="55"/>
      <c r="AJ906" s="55"/>
      <c r="AK906" s="55"/>
      <c r="AL906" s="55"/>
      <c r="AM906" s="55"/>
      <c r="AN906" s="55"/>
      <c r="AO906" s="55"/>
      <c r="AP906" s="55"/>
      <c r="AQ906" s="55"/>
      <c r="AR906" s="55"/>
      <c r="AS906" s="55"/>
      <c r="AT906" s="55"/>
      <c r="AU906" s="55"/>
      <c r="AV906" s="55"/>
      <c r="AW906" s="55"/>
      <c r="AX906" s="55"/>
      <c r="AY906" s="55"/>
      <c r="AZ906" s="55"/>
    </row>
    <row r="907" spans="2:52" x14ac:dyDescent="0.2">
      <c r="V907" s="55"/>
      <c r="W907" s="55"/>
      <c r="X907" s="55"/>
      <c r="Y907" s="55"/>
      <c r="Z907" s="55"/>
      <c r="AA907" s="55"/>
      <c r="AB907" s="55"/>
      <c r="AC907" s="55"/>
      <c r="AD907" s="55"/>
      <c r="AE907" s="55"/>
      <c r="AF907" s="55"/>
      <c r="AG907" s="55"/>
      <c r="AH907" s="55"/>
      <c r="AI907" s="55"/>
      <c r="AJ907" s="55"/>
      <c r="AK907" s="55"/>
      <c r="AL907" s="55"/>
      <c r="AM907" s="55"/>
      <c r="AN907" s="55"/>
      <c r="AO907" s="55"/>
      <c r="AP907" s="55"/>
      <c r="AQ907" s="55"/>
      <c r="AR907" s="55"/>
      <c r="AS907" s="55"/>
      <c r="AT907" s="55"/>
      <c r="AU907" s="55"/>
      <c r="AV907" s="55"/>
      <c r="AW907" s="55"/>
      <c r="AX907" s="55"/>
      <c r="AY907" s="55"/>
      <c r="AZ907" s="55"/>
    </row>
    <row r="908" spans="2:52" x14ac:dyDescent="0.2">
      <c r="V908" s="55"/>
      <c r="W908" s="55"/>
      <c r="X908" s="55"/>
      <c r="Y908" s="55"/>
      <c r="Z908" s="55"/>
      <c r="AA908" s="55"/>
      <c r="AB908" s="55"/>
      <c r="AC908" s="55"/>
      <c r="AD908" s="55"/>
      <c r="AE908" s="55"/>
      <c r="AF908" s="55"/>
      <c r="AG908" s="55"/>
      <c r="AH908" s="55"/>
      <c r="AI908" s="55"/>
      <c r="AJ908" s="55"/>
      <c r="AK908" s="55"/>
      <c r="AL908" s="55"/>
      <c r="AM908" s="55"/>
      <c r="AN908" s="55"/>
      <c r="AO908" s="55"/>
      <c r="AP908" s="55"/>
      <c r="AQ908" s="55"/>
      <c r="AR908" s="55"/>
      <c r="AS908" s="55"/>
      <c r="AT908" s="55"/>
      <c r="AU908" s="55"/>
      <c r="AV908" s="55"/>
      <c r="AW908" s="55"/>
      <c r="AX908" s="55"/>
      <c r="AY908" s="55"/>
      <c r="AZ908" s="55"/>
    </row>
    <row r="909" spans="2:52" x14ac:dyDescent="0.2">
      <c r="V909" s="55"/>
      <c r="W909" s="55"/>
      <c r="X909" s="55"/>
      <c r="Y909" s="55"/>
      <c r="Z909" s="55"/>
      <c r="AA909" s="55"/>
      <c r="AB909" s="55"/>
      <c r="AC909" s="55"/>
      <c r="AD909" s="55"/>
      <c r="AE909" s="55"/>
      <c r="AF909" s="55"/>
      <c r="AG909" s="55"/>
      <c r="AH909" s="55"/>
      <c r="AI909" s="55"/>
      <c r="AJ909" s="55"/>
      <c r="AK909" s="55"/>
      <c r="AL909" s="55"/>
      <c r="AM909" s="55"/>
      <c r="AN909" s="55"/>
      <c r="AO909" s="55"/>
      <c r="AP909" s="55"/>
      <c r="AQ909" s="55"/>
      <c r="AR909" s="55"/>
      <c r="AS909" s="55"/>
      <c r="AT909" s="55"/>
      <c r="AU909" s="55"/>
      <c r="AV909" s="55"/>
      <c r="AW909" s="55"/>
      <c r="AX909" s="55"/>
      <c r="AY909" s="55"/>
      <c r="AZ909" s="55"/>
    </row>
    <row r="910" spans="2:52" x14ac:dyDescent="0.2">
      <c r="V910" s="55"/>
      <c r="W910" s="55"/>
      <c r="X910" s="55"/>
      <c r="Y910" s="55"/>
      <c r="Z910" s="55"/>
      <c r="AA910" s="55"/>
      <c r="AB910" s="55"/>
      <c r="AC910" s="55"/>
      <c r="AD910" s="55"/>
      <c r="AE910" s="55"/>
      <c r="AF910" s="55"/>
      <c r="AG910" s="55"/>
      <c r="AH910" s="55"/>
      <c r="AI910" s="55"/>
      <c r="AJ910" s="55"/>
      <c r="AK910" s="55"/>
      <c r="AL910" s="55"/>
      <c r="AM910" s="55"/>
      <c r="AN910" s="55"/>
      <c r="AO910" s="55"/>
      <c r="AP910" s="55"/>
      <c r="AQ910" s="55"/>
      <c r="AR910" s="55"/>
      <c r="AS910" s="55"/>
      <c r="AT910" s="55"/>
      <c r="AU910" s="55"/>
      <c r="AV910" s="55"/>
      <c r="AW910" s="55"/>
      <c r="AX910" s="55"/>
      <c r="AY910" s="55"/>
      <c r="AZ910" s="55"/>
    </row>
    <row r="911" spans="2:52" x14ac:dyDescent="0.2">
      <c r="V911" s="55"/>
      <c r="W911" s="55"/>
      <c r="X911" s="55"/>
      <c r="Y911" s="55"/>
      <c r="Z911" s="55"/>
      <c r="AA911" s="55"/>
      <c r="AB911" s="55"/>
      <c r="AC911" s="55"/>
      <c r="AD911" s="55"/>
      <c r="AE911" s="55"/>
      <c r="AF911" s="55"/>
      <c r="AG911" s="55"/>
      <c r="AH911" s="55"/>
      <c r="AI911" s="55"/>
      <c r="AJ911" s="55"/>
      <c r="AK911" s="55"/>
      <c r="AL911" s="55"/>
      <c r="AM911" s="55"/>
      <c r="AN911" s="55"/>
      <c r="AO911" s="55"/>
      <c r="AP911" s="55"/>
      <c r="AQ911" s="55"/>
      <c r="AR911" s="55"/>
      <c r="AS911" s="55"/>
      <c r="AT911" s="55"/>
      <c r="AU911" s="55"/>
      <c r="AV911" s="55"/>
      <c r="AW911" s="55"/>
      <c r="AX911" s="55"/>
      <c r="AY911" s="55"/>
      <c r="AZ911" s="55"/>
    </row>
    <row r="912" spans="2:52" x14ac:dyDescent="0.2">
      <c r="V912" s="55"/>
      <c r="W912" s="55"/>
      <c r="X912" s="55"/>
      <c r="Y912" s="55"/>
      <c r="Z912" s="55"/>
      <c r="AA912" s="55"/>
      <c r="AB912" s="55"/>
      <c r="AC912" s="55"/>
      <c r="AD912" s="55"/>
      <c r="AE912" s="55"/>
      <c r="AF912" s="55"/>
      <c r="AG912" s="55"/>
      <c r="AH912" s="55"/>
      <c r="AI912" s="55"/>
      <c r="AJ912" s="55"/>
      <c r="AK912" s="55"/>
      <c r="AL912" s="55"/>
      <c r="AM912" s="55"/>
      <c r="AN912" s="55"/>
      <c r="AO912" s="55"/>
      <c r="AP912" s="55"/>
      <c r="AQ912" s="55"/>
      <c r="AR912" s="55"/>
      <c r="AS912" s="55"/>
      <c r="AT912" s="55"/>
      <c r="AU912" s="55"/>
      <c r="AV912" s="55"/>
      <c r="AW912" s="55"/>
      <c r="AX912" s="55"/>
      <c r="AY912" s="55"/>
      <c r="AZ912" s="55"/>
    </row>
    <row r="913" spans="22:52" x14ac:dyDescent="0.2">
      <c r="V913" s="55"/>
      <c r="W913" s="55"/>
      <c r="X913" s="55"/>
      <c r="Y913" s="55"/>
      <c r="Z913" s="55"/>
      <c r="AA913" s="55"/>
      <c r="AB913" s="55"/>
      <c r="AC913" s="55"/>
      <c r="AD913" s="55"/>
      <c r="AE913" s="55"/>
      <c r="AF913" s="55"/>
      <c r="AG913" s="55"/>
      <c r="AH913" s="55"/>
      <c r="AI913" s="55"/>
      <c r="AJ913" s="55"/>
      <c r="AK913" s="55"/>
      <c r="AL913" s="55"/>
      <c r="AM913" s="55"/>
      <c r="AN913" s="55"/>
      <c r="AO913" s="55"/>
      <c r="AP913" s="55"/>
      <c r="AQ913" s="55"/>
      <c r="AR913" s="55"/>
      <c r="AS913" s="55"/>
      <c r="AT913" s="55"/>
      <c r="AU913" s="55"/>
      <c r="AV913" s="55"/>
      <c r="AW913" s="55"/>
      <c r="AX913" s="55"/>
      <c r="AY913" s="55"/>
      <c r="AZ913" s="55"/>
    </row>
    <row r="914" spans="22:52" x14ac:dyDescent="0.2">
      <c r="V914" s="55"/>
      <c r="W914" s="55"/>
      <c r="X914" s="55"/>
      <c r="Y914" s="55"/>
      <c r="Z914" s="55"/>
      <c r="AA914" s="55"/>
      <c r="AB914" s="55"/>
      <c r="AC914" s="55"/>
      <c r="AD914" s="55"/>
      <c r="AE914" s="55"/>
      <c r="AF914" s="55"/>
      <c r="AG914" s="55"/>
      <c r="AH914" s="55"/>
      <c r="AI914" s="55"/>
      <c r="AJ914" s="55"/>
      <c r="AK914" s="55"/>
      <c r="AL914" s="55"/>
      <c r="AM914" s="55"/>
      <c r="AN914" s="55"/>
      <c r="AO914" s="55"/>
      <c r="AP914" s="55"/>
      <c r="AQ914" s="55"/>
      <c r="AR914" s="55"/>
      <c r="AS914" s="55"/>
      <c r="AT914" s="55"/>
      <c r="AU914" s="55"/>
      <c r="AV914" s="55"/>
      <c r="AW914" s="55"/>
      <c r="AX914" s="55"/>
      <c r="AY914" s="55"/>
      <c r="AZ914" s="55"/>
    </row>
    <row r="915" spans="22:52" x14ac:dyDescent="0.2">
      <c r="V915" s="55"/>
      <c r="W915" s="55"/>
      <c r="X915" s="55"/>
      <c r="Y915" s="55"/>
      <c r="Z915" s="55"/>
      <c r="AA915" s="55"/>
      <c r="AB915" s="55"/>
      <c r="AC915" s="55"/>
      <c r="AD915" s="55"/>
      <c r="AE915" s="55"/>
      <c r="AF915" s="55"/>
      <c r="AG915" s="55"/>
      <c r="AH915" s="55"/>
      <c r="AI915" s="55"/>
      <c r="AJ915" s="55"/>
      <c r="AK915" s="55"/>
      <c r="AL915" s="55"/>
      <c r="AM915" s="55"/>
      <c r="AN915" s="55"/>
      <c r="AO915" s="55"/>
      <c r="AP915" s="55"/>
      <c r="AQ915" s="55"/>
      <c r="AR915" s="55"/>
      <c r="AS915" s="55"/>
      <c r="AT915" s="55"/>
      <c r="AU915" s="55"/>
      <c r="AV915" s="55"/>
      <c r="AW915" s="55"/>
      <c r="AX915" s="55"/>
      <c r="AY915" s="55"/>
      <c r="AZ915" s="55"/>
    </row>
    <row r="916" spans="22:52" x14ac:dyDescent="0.2">
      <c r="V916" s="55"/>
      <c r="W916" s="55"/>
      <c r="X916" s="55"/>
      <c r="Y916" s="55"/>
      <c r="Z916" s="55"/>
      <c r="AA916" s="55"/>
      <c r="AB916" s="55"/>
      <c r="AC916" s="55"/>
      <c r="AD916" s="55"/>
      <c r="AE916" s="55"/>
      <c r="AF916" s="55"/>
      <c r="AG916" s="55"/>
      <c r="AH916" s="55"/>
      <c r="AI916" s="55"/>
      <c r="AJ916" s="55"/>
      <c r="AK916" s="55"/>
      <c r="AL916" s="55"/>
      <c r="AM916" s="55"/>
      <c r="AN916" s="55"/>
      <c r="AO916" s="55"/>
      <c r="AP916" s="55"/>
      <c r="AQ916" s="55"/>
      <c r="AR916" s="55"/>
      <c r="AS916" s="55"/>
      <c r="AT916" s="55"/>
      <c r="AU916" s="55"/>
      <c r="AV916" s="55"/>
      <c r="AW916" s="55"/>
      <c r="AX916" s="55"/>
      <c r="AY916" s="55"/>
      <c r="AZ916" s="55"/>
    </row>
    <row r="917" spans="22:52" x14ac:dyDescent="0.2">
      <c r="V917" s="55"/>
      <c r="W917" s="55"/>
      <c r="X917" s="55"/>
      <c r="Y917" s="55"/>
      <c r="Z917" s="55"/>
      <c r="AA917" s="55"/>
      <c r="AB917" s="55"/>
      <c r="AC917" s="55"/>
      <c r="AD917" s="55"/>
      <c r="AE917" s="55"/>
      <c r="AF917" s="55"/>
      <c r="AG917" s="55"/>
      <c r="AH917" s="55"/>
      <c r="AI917" s="55"/>
      <c r="AJ917" s="55"/>
      <c r="AK917" s="55"/>
      <c r="AL917" s="55"/>
      <c r="AM917" s="55"/>
      <c r="AN917" s="55"/>
      <c r="AO917" s="55"/>
      <c r="AP917" s="55"/>
      <c r="AQ917" s="55"/>
      <c r="AR917" s="55"/>
      <c r="AS917" s="55"/>
      <c r="AT917" s="55"/>
      <c r="AU917" s="55"/>
      <c r="AV917" s="55"/>
      <c r="AW917" s="55"/>
      <c r="AX917" s="55"/>
      <c r="AY917" s="55"/>
      <c r="AZ917" s="55"/>
    </row>
    <row r="918" spans="22:52" x14ac:dyDescent="0.2">
      <c r="V918" s="55"/>
      <c r="W918" s="55"/>
      <c r="X918" s="55"/>
      <c r="Y918" s="55"/>
      <c r="Z918" s="55"/>
      <c r="AA918" s="55"/>
      <c r="AB918" s="55"/>
      <c r="AC918" s="55"/>
      <c r="AD918" s="55"/>
      <c r="AE918" s="55"/>
      <c r="AF918" s="55"/>
      <c r="AG918" s="55"/>
      <c r="AH918" s="55"/>
      <c r="AI918" s="55"/>
      <c r="AJ918" s="55"/>
      <c r="AK918" s="55"/>
      <c r="AL918" s="55"/>
      <c r="AM918" s="55"/>
      <c r="AN918" s="55"/>
      <c r="AO918" s="55"/>
      <c r="AP918" s="55"/>
      <c r="AQ918" s="55"/>
      <c r="AR918" s="55"/>
      <c r="AS918" s="55"/>
      <c r="AT918" s="55"/>
      <c r="AU918" s="55"/>
      <c r="AV918" s="55"/>
      <c r="AW918" s="55"/>
      <c r="AX918" s="55"/>
      <c r="AY918" s="55"/>
      <c r="AZ918" s="55"/>
    </row>
    <row r="919" spans="22:52" x14ac:dyDescent="0.2">
      <c r="V919" s="55"/>
      <c r="W919" s="55"/>
      <c r="X919" s="55"/>
      <c r="Y919" s="55"/>
      <c r="Z919" s="55"/>
      <c r="AA919" s="55"/>
      <c r="AB919" s="55"/>
      <c r="AC919" s="55"/>
      <c r="AD919" s="55"/>
      <c r="AE919" s="55"/>
      <c r="AF919" s="55"/>
      <c r="AG919" s="55"/>
      <c r="AH919" s="55"/>
      <c r="AI919" s="55"/>
      <c r="AJ919" s="55"/>
      <c r="AK919" s="55"/>
      <c r="AL919" s="55"/>
      <c r="AM919" s="55"/>
      <c r="AN919" s="55"/>
      <c r="AO919" s="55"/>
      <c r="AP919" s="55"/>
      <c r="AQ919" s="55"/>
      <c r="AR919" s="55"/>
      <c r="AS919" s="55"/>
      <c r="AT919" s="55"/>
      <c r="AU919" s="55"/>
      <c r="AV919" s="55"/>
      <c r="AW919" s="55"/>
      <c r="AX919" s="55"/>
      <c r="AY919" s="55"/>
      <c r="AZ919" s="55"/>
    </row>
    <row r="920" spans="22:52" x14ac:dyDescent="0.2">
      <c r="V920" s="55"/>
      <c r="W920" s="55"/>
      <c r="X920" s="55"/>
      <c r="Y920" s="55"/>
      <c r="Z920" s="55"/>
      <c r="AA920" s="55"/>
      <c r="AB920" s="55"/>
      <c r="AC920" s="55"/>
      <c r="AD920" s="55"/>
      <c r="AE920" s="55"/>
      <c r="AF920" s="55"/>
      <c r="AG920" s="55"/>
      <c r="AH920" s="55"/>
      <c r="AI920" s="55"/>
      <c r="AJ920" s="55"/>
      <c r="AK920" s="55"/>
      <c r="AL920" s="55"/>
      <c r="AM920" s="55"/>
      <c r="AN920" s="55"/>
      <c r="AO920" s="55"/>
      <c r="AP920" s="55"/>
      <c r="AQ920" s="55"/>
      <c r="AR920" s="55"/>
      <c r="AS920" s="55"/>
      <c r="AT920" s="55"/>
      <c r="AU920" s="55"/>
      <c r="AV920" s="55"/>
      <c r="AW920" s="55"/>
      <c r="AX920" s="55"/>
      <c r="AY920" s="55"/>
      <c r="AZ920" s="55"/>
    </row>
    <row r="921" spans="22:52" x14ac:dyDescent="0.2">
      <c r="V921" s="55"/>
      <c r="W921" s="55"/>
      <c r="X921" s="55"/>
      <c r="Y921" s="55"/>
      <c r="Z921" s="55"/>
      <c r="AA921" s="55"/>
      <c r="AB921" s="55"/>
      <c r="AC921" s="55"/>
      <c r="AD921" s="55"/>
      <c r="AE921" s="55"/>
      <c r="AF921" s="55"/>
      <c r="AG921" s="55"/>
      <c r="AH921" s="55"/>
      <c r="AI921" s="55"/>
      <c r="AJ921" s="55"/>
      <c r="AK921" s="55"/>
      <c r="AL921" s="55"/>
      <c r="AM921" s="55"/>
      <c r="AN921" s="55"/>
      <c r="AO921" s="55"/>
      <c r="AP921" s="55"/>
      <c r="AQ921" s="55"/>
      <c r="AR921" s="55"/>
      <c r="AS921" s="55"/>
      <c r="AT921" s="55"/>
      <c r="AU921" s="55"/>
      <c r="AV921" s="55"/>
      <c r="AW921" s="55"/>
      <c r="AX921" s="55"/>
      <c r="AY921" s="55"/>
      <c r="AZ921" s="55"/>
    </row>
    <row r="922" spans="22:52" x14ac:dyDescent="0.2">
      <c r="V922" s="55"/>
      <c r="W922" s="55"/>
      <c r="X922" s="55"/>
      <c r="Y922" s="55"/>
      <c r="Z922" s="55"/>
      <c r="AA922" s="55"/>
      <c r="AB922" s="55"/>
      <c r="AC922" s="55"/>
      <c r="AD922" s="55"/>
      <c r="AE922" s="55"/>
      <c r="AF922" s="55"/>
      <c r="AG922" s="55"/>
      <c r="AH922" s="55"/>
      <c r="AI922" s="55"/>
      <c r="AJ922" s="55"/>
      <c r="AK922" s="55"/>
      <c r="AL922" s="55"/>
      <c r="AM922" s="55"/>
      <c r="AN922" s="55"/>
      <c r="AO922" s="55"/>
      <c r="AP922" s="55"/>
      <c r="AQ922" s="55"/>
      <c r="AR922" s="55"/>
      <c r="AS922" s="55"/>
      <c r="AT922" s="55"/>
      <c r="AU922" s="55"/>
      <c r="AV922" s="55"/>
      <c r="AW922" s="55"/>
      <c r="AX922" s="55"/>
      <c r="AY922" s="55"/>
      <c r="AZ922" s="55"/>
    </row>
    <row r="923" spans="22:52" x14ac:dyDescent="0.2">
      <c r="V923" s="55"/>
      <c r="W923" s="55"/>
      <c r="X923" s="55"/>
      <c r="Y923" s="55"/>
      <c r="Z923" s="55"/>
      <c r="AA923" s="55"/>
      <c r="AB923" s="55"/>
      <c r="AC923" s="55"/>
      <c r="AD923" s="55"/>
      <c r="AE923" s="55"/>
      <c r="AF923" s="55"/>
      <c r="AG923" s="55"/>
      <c r="AH923" s="55"/>
      <c r="AI923" s="55"/>
      <c r="AJ923" s="55"/>
      <c r="AK923" s="55"/>
      <c r="AL923" s="55"/>
      <c r="AM923" s="55"/>
      <c r="AN923" s="55"/>
      <c r="AO923" s="55"/>
      <c r="AP923" s="55"/>
      <c r="AQ923" s="55"/>
      <c r="AR923" s="55"/>
      <c r="AS923" s="55"/>
      <c r="AT923" s="55"/>
      <c r="AU923" s="55"/>
      <c r="AV923" s="55"/>
      <c r="AW923" s="55"/>
      <c r="AX923" s="55"/>
      <c r="AY923" s="55"/>
      <c r="AZ923" s="55"/>
    </row>
    <row r="924" spans="22:52" x14ac:dyDescent="0.2">
      <c r="V924" s="55"/>
      <c r="W924" s="55"/>
      <c r="X924" s="55"/>
      <c r="Y924" s="55"/>
      <c r="Z924" s="55"/>
      <c r="AA924" s="55"/>
      <c r="AB924" s="55"/>
      <c r="AC924" s="55"/>
      <c r="AD924" s="55"/>
      <c r="AE924" s="55"/>
      <c r="AF924" s="55"/>
      <c r="AG924" s="55"/>
      <c r="AH924" s="55"/>
      <c r="AI924" s="55"/>
      <c r="AJ924" s="55"/>
      <c r="AK924" s="55"/>
      <c r="AL924" s="55"/>
      <c r="AM924" s="55"/>
      <c r="AN924" s="55"/>
      <c r="AO924" s="55"/>
      <c r="AP924" s="55"/>
      <c r="AQ924" s="55"/>
      <c r="AR924" s="55"/>
      <c r="AS924" s="55"/>
      <c r="AT924" s="55"/>
      <c r="AU924" s="55"/>
      <c r="AV924" s="55"/>
      <c r="AW924" s="55"/>
      <c r="AX924" s="55"/>
      <c r="AY924" s="55"/>
      <c r="AZ924" s="55"/>
    </row>
    <row r="925" spans="22:52" x14ac:dyDescent="0.2">
      <c r="V925" s="55"/>
      <c r="W925" s="55"/>
      <c r="X925" s="55"/>
      <c r="Y925" s="55"/>
      <c r="Z925" s="55"/>
      <c r="AA925" s="55"/>
      <c r="AB925" s="55"/>
      <c r="AC925" s="55"/>
      <c r="AD925" s="55"/>
      <c r="AE925" s="55"/>
      <c r="AF925" s="55"/>
      <c r="AG925" s="55"/>
      <c r="AH925" s="55"/>
      <c r="AI925" s="55"/>
      <c r="AJ925" s="55"/>
      <c r="AK925" s="55"/>
      <c r="AL925" s="55"/>
      <c r="AM925" s="55"/>
      <c r="AN925" s="55"/>
      <c r="AO925" s="55"/>
      <c r="AP925" s="55"/>
      <c r="AQ925" s="55"/>
      <c r="AR925" s="55"/>
      <c r="AS925" s="55"/>
      <c r="AT925" s="55"/>
      <c r="AU925" s="55"/>
      <c r="AV925" s="55"/>
      <c r="AW925" s="55"/>
      <c r="AX925" s="55"/>
      <c r="AY925" s="55"/>
      <c r="AZ925" s="55"/>
    </row>
    <row r="926" spans="22:52" x14ac:dyDescent="0.2">
      <c r="V926" s="55"/>
      <c r="W926" s="55"/>
      <c r="X926" s="55"/>
      <c r="Y926" s="55"/>
      <c r="Z926" s="55"/>
      <c r="AA926" s="55"/>
      <c r="AB926" s="55"/>
      <c r="AC926" s="55"/>
      <c r="AD926" s="55"/>
      <c r="AE926" s="55"/>
      <c r="AF926" s="55"/>
      <c r="AG926" s="55"/>
      <c r="AH926" s="55"/>
      <c r="AI926" s="55"/>
      <c r="AJ926" s="55"/>
      <c r="AK926" s="55"/>
      <c r="AL926" s="55"/>
      <c r="AM926" s="55"/>
      <c r="AN926" s="55"/>
      <c r="AO926" s="55"/>
      <c r="AP926" s="55"/>
      <c r="AQ926" s="55"/>
      <c r="AR926" s="55"/>
      <c r="AS926" s="55"/>
      <c r="AT926" s="55"/>
      <c r="AU926" s="55"/>
      <c r="AV926" s="55"/>
      <c r="AW926" s="55"/>
      <c r="AX926" s="55"/>
      <c r="AY926" s="55"/>
      <c r="AZ926" s="55"/>
    </row>
    <row r="927" spans="22:52" x14ac:dyDescent="0.2">
      <c r="V927" s="55"/>
      <c r="W927" s="55"/>
      <c r="X927" s="55"/>
      <c r="Y927" s="55"/>
      <c r="Z927" s="55"/>
      <c r="AA927" s="55"/>
      <c r="AB927" s="55"/>
      <c r="AC927" s="55"/>
      <c r="AD927" s="55"/>
      <c r="AE927" s="55"/>
      <c r="AF927" s="55"/>
      <c r="AG927" s="55"/>
      <c r="AH927" s="55"/>
      <c r="AI927" s="55"/>
      <c r="AJ927" s="55"/>
      <c r="AK927" s="55"/>
      <c r="AL927" s="55"/>
      <c r="AM927" s="55"/>
      <c r="AN927" s="55"/>
      <c r="AO927" s="55"/>
      <c r="AP927" s="55"/>
      <c r="AQ927" s="55"/>
      <c r="AR927" s="55"/>
      <c r="AS927" s="55"/>
      <c r="AT927" s="55"/>
      <c r="AU927" s="55"/>
      <c r="AV927" s="55"/>
      <c r="AW927" s="55"/>
      <c r="AX927" s="55"/>
      <c r="AY927" s="55"/>
      <c r="AZ927" s="55"/>
    </row>
    <row r="928" spans="22:52" x14ac:dyDescent="0.2">
      <c r="V928" s="55"/>
      <c r="W928" s="55"/>
      <c r="X928" s="55"/>
      <c r="Y928" s="55"/>
      <c r="Z928" s="55"/>
      <c r="AA928" s="55"/>
      <c r="AB928" s="55"/>
      <c r="AC928" s="55"/>
      <c r="AD928" s="55"/>
      <c r="AE928" s="55"/>
      <c r="AF928" s="55"/>
      <c r="AG928" s="55"/>
      <c r="AH928" s="55"/>
      <c r="AI928" s="55"/>
      <c r="AJ928" s="55"/>
      <c r="AK928" s="55"/>
      <c r="AL928" s="55"/>
      <c r="AM928" s="55"/>
      <c r="AN928" s="55"/>
      <c r="AO928" s="55"/>
      <c r="AP928" s="55"/>
      <c r="AQ928" s="55"/>
      <c r="AR928" s="55"/>
      <c r="AS928" s="55"/>
      <c r="AT928" s="55"/>
      <c r="AU928" s="55"/>
      <c r="AV928" s="55"/>
      <c r="AW928" s="55"/>
      <c r="AX928" s="55"/>
      <c r="AY928" s="55"/>
      <c r="AZ928" s="55"/>
    </row>
    <row r="929" spans="1:52" x14ac:dyDescent="0.2">
      <c r="V929" s="55"/>
      <c r="W929" s="55"/>
      <c r="X929" s="55"/>
      <c r="Y929" s="55"/>
      <c r="Z929" s="55"/>
      <c r="AA929" s="55"/>
      <c r="AB929" s="55"/>
      <c r="AC929" s="55"/>
      <c r="AD929" s="55"/>
      <c r="AE929" s="55"/>
      <c r="AF929" s="55"/>
      <c r="AG929" s="55"/>
      <c r="AH929" s="55"/>
      <c r="AI929" s="55"/>
      <c r="AJ929" s="55"/>
      <c r="AK929" s="55"/>
      <c r="AL929" s="55"/>
      <c r="AM929" s="55"/>
      <c r="AN929" s="55"/>
      <c r="AO929" s="55"/>
      <c r="AP929" s="55"/>
      <c r="AQ929" s="55"/>
      <c r="AR929" s="55"/>
      <c r="AS929" s="55"/>
      <c r="AT929" s="55"/>
      <c r="AU929" s="55"/>
      <c r="AV929" s="55"/>
      <c r="AW929" s="55"/>
      <c r="AX929" s="55"/>
      <c r="AY929" s="55"/>
      <c r="AZ929" s="55"/>
    </row>
    <row r="930" spans="1:52" x14ac:dyDescent="0.2">
      <c r="V930" s="55"/>
      <c r="W930" s="55"/>
      <c r="X930" s="55"/>
      <c r="Y930" s="55"/>
      <c r="Z930" s="55"/>
      <c r="AA930" s="55"/>
      <c r="AB930" s="55"/>
      <c r="AC930" s="55"/>
      <c r="AD930" s="55"/>
      <c r="AE930" s="55"/>
      <c r="AF930" s="55"/>
      <c r="AG930" s="55"/>
      <c r="AH930" s="55"/>
      <c r="AI930" s="55"/>
      <c r="AJ930" s="55"/>
      <c r="AK930" s="55"/>
      <c r="AL930" s="55"/>
      <c r="AM930" s="55"/>
      <c r="AN930" s="55"/>
      <c r="AO930" s="55"/>
      <c r="AP930" s="55"/>
      <c r="AQ930" s="55"/>
      <c r="AR930" s="55"/>
      <c r="AS930" s="55"/>
      <c r="AT930" s="55"/>
      <c r="AU930" s="55"/>
      <c r="AV930" s="55"/>
      <c r="AW930" s="55"/>
      <c r="AX930" s="55"/>
      <c r="AY930" s="55"/>
      <c r="AZ930" s="55"/>
    </row>
    <row r="931" spans="1:52" x14ac:dyDescent="0.2">
      <c r="V931" s="55"/>
      <c r="W931" s="55"/>
      <c r="X931" s="55"/>
      <c r="Y931" s="55"/>
      <c r="Z931" s="55"/>
      <c r="AA931" s="55"/>
      <c r="AB931" s="55"/>
      <c r="AC931" s="55"/>
      <c r="AD931" s="55"/>
      <c r="AE931" s="55"/>
      <c r="AF931" s="55"/>
      <c r="AG931" s="55"/>
      <c r="AH931" s="55"/>
      <c r="AI931" s="55"/>
      <c r="AJ931" s="55"/>
      <c r="AK931" s="55"/>
      <c r="AL931" s="55"/>
      <c r="AM931" s="55"/>
      <c r="AN931" s="55"/>
      <c r="AO931" s="55"/>
      <c r="AP931" s="55"/>
      <c r="AQ931" s="55"/>
      <c r="AR931" s="55"/>
      <c r="AS931" s="55"/>
      <c r="AT931" s="55"/>
      <c r="AU931" s="55"/>
      <c r="AV931" s="55"/>
      <c r="AW931" s="55"/>
      <c r="AX931" s="55"/>
      <c r="AY931" s="55"/>
      <c r="AZ931" s="55"/>
    </row>
    <row r="932" spans="1:52" x14ac:dyDescent="0.2">
      <c r="V932" s="55"/>
      <c r="W932" s="55"/>
      <c r="X932" s="55"/>
      <c r="Y932" s="55"/>
      <c r="Z932" s="55"/>
      <c r="AA932" s="55"/>
      <c r="AB932" s="55"/>
      <c r="AC932" s="55"/>
      <c r="AD932" s="55"/>
      <c r="AE932" s="55"/>
      <c r="AF932" s="55"/>
      <c r="AG932" s="55"/>
      <c r="AH932" s="55"/>
      <c r="AI932" s="55"/>
      <c r="AJ932" s="55"/>
      <c r="AK932" s="55"/>
      <c r="AL932" s="55"/>
      <c r="AM932" s="55"/>
      <c r="AN932" s="55"/>
      <c r="AO932" s="55"/>
      <c r="AP932" s="55"/>
      <c r="AQ932" s="55"/>
      <c r="AR932" s="55"/>
      <c r="AS932" s="55"/>
      <c r="AT932" s="55"/>
      <c r="AU932" s="55"/>
      <c r="AV932" s="55"/>
      <c r="AW932" s="55"/>
      <c r="AX932" s="55"/>
      <c r="AY932" s="55"/>
      <c r="AZ932" s="55"/>
    </row>
    <row r="933" spans="1:52" x14ac:dyDescent="0.2">
      <c r="V933" s="55"/>
      <c r="W933" s="55"/>
      <c r="X933" s="55"/>
      <c r="Y933" s="55"/>
      <c r="Z933" s="55"/>
      <c r="AA933" s="55"/>
      <c r="AB933" s="55"/>
      <c r="AC933" s="55"/>
      <c r="AD933" s="55"/>
      <c r="AE933" s="55"/>
      <c r="AF933" s="55"/>
      <c r="AG933" s="55"/>
      <c r="AH933" s="55"/>
      <c r="AI933" s="55"/>
      <c r="AJ933" s="55"/>
      <c r="AK933" s="55"/>
      <c r="AL933" s="55"/>
      <c r="AM933" s="55"/>
      <c r="AN933" s="55"/>
      <c r="AO933" s="55"/>
      <c r="AP933" s="55"/>
      <c r="AQ933" s="55"/>
      <c r="AR933" s="55"/>
      <c r="AS933" s="55"/>
      <c r="AT933" s="55"/>
      <c r="AU933" s="55"/>
      <c r="AV933" s="55"/>
      <c r="AW933" s="55"/>
      <c r="AX933" s="55"/>
      <c r="AY933" s="55"/>
      <c r="AZ933" s="55"/>
    </row>
    <row r="934" spans="1:52" x14ac:dyDescent="0.2">
      <c r="V934" s="55"/>
      <c r="W934" s="55"/>
      <c r="X934" s="55"/>
      <c r="Y934" s="55"/>
      <c r="Z934" s="55"/>
      <c r="AA934" s="55"/>
      <c r="AB934" s="55"/>
      <c r="AC934" s="55"/>
      <c r="AD934" s="55"/>
      <c r="AE934" s="55"/>
      <c r="AF934" s="55"/>
      <c r="AG934" s="55"/>
      <c r="AH934" s="55"/>
      <c r="AI934" s="55"/>
      <c r="AJ934" s="55"/>
      <c r="AK934" s="55"/>
      <c r="AL934" s="55"/>
      <c r="AM934" s="55"/>
      <c r="AN934" s="55"/>
      <c r="AO934" s="55"/>
      <c r="AP934" s="55"/>
      <c r="AQ934" s="55"/>
      <c r="AR934" s="55"/>
      <c r="AS934" s="55"/>
      <c r="AT934" s="55"/>
      <c r="AU934" s="55"/>
      <c r="AV934" s="55"/>
      <c r="AW934" s="55"/>
      <c r="AX934" s="55"/>
      <c r="AY934" s="55"/>
      <c r="AZ934" s="55"/>
    </row>
    <row r="935" spans="1:52" x14ac:dyDescent="0.2">
      <c r="V935" s="55"/>
      <c r="W935" s="55"/>
      <c r="X935" s="55"/>
      <c r="Y935" s="55"/>
      <c r="Z935" s="55"/>
      <c r="AA935" s="55"/>
      <c r="AB935" s="55"/>
      <c r="AC935" s="55"/>
      <c r="AD935" s="55"/>
      <c r="AE935" s="55"/>
      <c r="AF935" s="55"/>
      <c r="AG935" s="55"/>
      <c r="AH935" s="55"/>
      <c r="AI935" s="55"/>
      <c r="AJ935" s="55"/>
      <c r="AK935" s="55"/>
      <c r="AL935" s="55"/>
      <c r="AM935" s="55"/>
      <c r="AN935" s="55"/>
      <c r="AO935" s="55"/>
      <c r="AP935" s="55"/>
      <c r="AQ935" s="55"/>
      <c r="AR935" s="55"/>
      <c r="AS935" s="55"/>
      <c r="AT935" s="55"/>
      <c r="AU935" s="55"/>
      <c r="AV935" s="55"/>
      <c r="AW935" s="55"/>
      <c r="AX935" s="55"/>
      <c r="AY935" s="55"/>
      <c r="AZ935" s="55"/>
    </row>
    <row r="936" spans="1:52" ht="33.75" customHeight="1" x14ac:dyDescent="0.2">
      <c r="A936" s="55"/>
      <c r="B936" s="76" t="s">
        <v>507</v>
      </c>
      <c r="C936" s="77"/>
      <c r="D936" s="77"/>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c r="AG936" s="55"/>
      <c r="AH936" s="55"/>
      <c r="AI936" s="55"/>
      <c r="AJ936" s="55"/>
      <c r="AK936" s="55"/>
      <c r="AL936" s="55"/>
      <c r="AM936" s="55"/>
      <c r="AN936" s="55"/>
      <c r="AO936" s="55"/>
      <c r="AP936" s="55"/>
      <c r="AQ936" s="55"/>
      <c r="AR936" s="55"/>
      <c r="AS936" s="55"/>
      <c r="AT936" s="55"/>
      <c r="AU936" s="55"/>
      <c r="AV936" s="55"/>
      <c r="AW936" s="55"/>
      <c r="AX936" s="55"/>
      <c r="AY936" s="55"/>
      <c r="AZ936" s="55"/>
    </row>
    <row r="937" spans="1:52" x14ac:dyDescent="0.2">
      <c r="V937" s="55"/>
      <c r="W937" s="55"/>
      <c r="X937" s="55"/>
      <c r="Y937" s="55"/>
      <c r="Z937" s="55"/>
      <c r="AA937" s="55"/>
      <c r="AB937" s="55"/>
      <c r="AC937" s="55"/>
      <c r="AD937" s="55"/>
      <c r="AE937" s="55"/>
      <c r="AF937" s="55"/>
      <c r="AG937" s="55"/>
      <c r="AH937" s="55"/>
      <c r="AI937" s="55"/>
      <c r="AJ937" s="55"/>
      <c r="AK937" s="55"/>
      <c r="AL937" s="55"/>
      <c r="AM937" s="55"/>
      <c r="AN937" s="55"/>
      <c r="AO937" s="55"/>
      <c r="AP937" s="55"/>
      <c r="AQ937" s="55"/>
      <c r="AR937" s="55"/>
      <c r="AS937" s="55"/>
      <c r="AT937" s="55"/>
      <c r="AU937" s="55"/>
      <c r="AV937" s="55"/>
      <c r="AW937" s="55"/>
      <c r="AX937" s="55"/>
      <c r="AY937" s="55"/>
      <c r="AZ937" s="55"/>
    </row>
    <row r="938" spans="1:52" x14ac:dyDescent="0.2">
      <c r="V938" s="55"/>
      <c r="W938" s="55"/>
      <c r="X938" s="55"/>
      <c r="Y938" s="55"/>
      <c r="Z938" s="55"/>
      <c r="AA938" s="55"/>
      <c r="AB938" s="55"/>
      <c r="AC938" s="55"/>
      <c r="AD938" s="55"/>
      <c r="AE938" s="55"/>
      <c r="AF938" s="55"/>
      <c r="AG938" s="55"/>
      <c r="AH938" s="55"/>
      <c r="AI938" s="55"/>
      <c r="AJ938" s="55"/>
      <c r="AK938" s="55"/>
      <c r="AL938" s="55"/>
      <c r="AM938" s="55"/>
      <c r="AN938" s="55"/>
      <c r="AO938" s="55"/>
      <c r="AP938" s="55"/>
      <c r="AQ938" s="55"/>
      <c r="AR938" s="55"/>
      <c r="AS938" s="55"/>
      <c r="AT938" s="55"/>
      <c r="AU938" s="55"/>
      <c r="AV938" s="55"/>
      <c r="AW938" s="55"/>
      <c r="AX938" s="55"/>
      <c r="AY938" s="55"/>
      <c r="AZ938" s="55"/>
    </row>
    <row r="939" spans="1:52" x14ac:dyDescent="0.2">
      <c r="V939" s="55"/>
      <c r="W939" s="55"/>
      <c r="X939" s="55"/>
      <c r="Y939" s="55"/>
      <c r="Z939" s="55"/>
      <c r="AA939" s="55"/>
      <c r="AB939" s="55"/>
      <c r="AC939" s="55"/>
      <c r="AD939" s="55"/>
      <c r="AE939" s="55"/>
      <c r="AF939" s="55"/>
      <c r="AG939" s="55"/>
      <c r="AH939" s="55"/>
      <c r="AI939" s="55"/>
      <c r="AJ939" s="55"/>
      <c r="AK939" s="55"/>
      <c r="AL939" s="55"/>
      <c r="AM939" s="55"/>
      <c r="AN939" s="55"/>
      <c r="AO939" s="55"/>
      <c r="AP939" s="55"/>
      <c r="AQ939" s="55"/>
      <c r="AR939" s="55"/>
      <c r="AS939" s="55"/>
      <c r="AT939" s="55"/>
      <c r="AU939" s="55"/>
      <c r="AV939" s="55"/>
      <c r="AW939" s="55"/>
      <c r="AX939" s="55"/>
      <c r="AY939" s="55"/>
      <c r="AZ939" s="55"/>
    </row>
    <row r="940" spans="1:52" x14ac:dyDescent="0.2">
      <c r="V940" s="55"/>
      <c r="W940" s="55"/>
      <c r="X940" s="55"/>
      <c r="Y940" s="55"/>
      <c r="Z940" s="55"/>
      <c r="AA940" s="55"/>
      <c r="AB940" s="55"/>
      <c r="AC940" s="55"/>
      <c r="AD940" s="55"/>
      <c r="AE940" s="55"/>
      <c r="AF940" s="55"/>
      <c r="AG940" s="55"/>
      <c r="AH940" s="55"/>
      <c r="AI940" s="55"/>
      <c r="AJ940" s="55"/>
      <c r="AK940" s="55"/>
      <c r="AL940" s="55"/>
      <c r="AM940" s="55"/>
      <c r="AN940" s="55"/>
      <c r="AO940" s="55"/>
      <c r="AP940" s="55"/>
      <c r="AQ940" s="55"/>
      <c r="AR940" s="55"/>
      <c r="AS940" s="55"/>
      <c r="AT940" s="55"/>
      <c r="AU940" s="55"/>
      <c r="AV940" s="55"/>
      <c r="AW940" s="55"/>
      <c r="AX940" s="55"/>
      <c r="AY940" s="55"/>
      <c r="AZ940" s="55"/>
    </row>
    <row r="941" spans="1:52" x14ac:dyDescent="0.2">
      <c r="V941" s="55"/>
      <c r="W941" s="55"/>
      <c r="X941" s="55"/>
      <c r="Y941" s="55"/>
      <c r="Z941" s="55"/>
      <c r="AA941" s="55"/>
      <c r="AB941" s="55"/>
      <c r="AC941" s="55"/>
      <c r="AD941" s="55"/>
      <c r="AE941" s="55"/>
      <c r="AF941" s="55"/>
      <c r="AG941" s="55"/>
      <c r="AH941" s="55"/>
      <c r="AI941" s="55"/>
      <c r="AJ941" s="55"/>
      <c r="AK941" s="55"/>
      <c r="AL941" s="55"/>
      <c r="AM941" s="55"/>
      <c r="AN941" s="55"/>
      <c r="AO941" s="55"/>
      <c r="AP941" s="55"/>
      <c r="AQ941" s="55"/>
      <c r="AR941" s="55"/>
      <c r="AS941" s="55"/>
      <c r="AT941" s="55"/>
      <c r="AU941" s="55"/>
      <c r="AV941" s="55"/>
      <c r="AW941" s="55"/>
      <c r="AX941" s="55"/>
      <c r="AY941" s="55"/>
      <c r="AZ941" s="55"/>
    </row>
    <row r="942" spans="1:52" x14ac:dyDescent="0.2">
      <c r="V942" s="55"/>
      <c r="W942" s="55"/>
      <c r="X942" s="55"/>
      <c r="Y942" s="55"/>
      <c r="Z942" s="55"/>
      <c r="AA942" s="55"/>
      <c r="AB942" s="55"/>
      <c r="AC942" s="55"/>
      <c r="AD942" s="55"/>
      <c r="AE942" s="55"/>
      <c r="AF942" s="55"/>
      <c r="AG942" s="55"/>
      <c r="AH942" s="55"/>
      <c r="AI942" s="55"/>
      <c r="AJ942" s="55"/>
      <c r="AK942" s="55"/>
      <c r="AL942" s="55"/>
      <c r="AM942" s="55"/>
      <c r="AN942" s="55"/>
      <c r="AO942" s="55"/>
      <c r="AP942" s="55"/>
      <c r="AQ942" s="55"/>
      <c r="AR942" s="55"/>
      <c r="AS942" s="55"/>
      <c r="AT942" s="55"/>
      <c r="AU942" s="55"/>
      <c r="AV942" s="55"/>
      <c r="AW942" s="55"/>
      <c r="AX942" s="55"/>
      <c r="AY942" s="55"/>
      <c r="AZ942" s="55"/>
    </row>
    <row r="943" spans="1:52" x14ac:dyDescent="0.2">
      <c r="V943" s="55"/>
      <c r="W943" s="55"/>
      <c r="X943" s="55"/>
      <c r="Y943" s="55"/>
      <c r="Z943" s="55"/>
      <c r="AA943" s="55"/>
      <c r="AB943" s="55"/>
      <c r="AC943" s="55"/>
      <c r="AD943" s="55"/>
      <c r="AE943" s="55"/>
      <c r="AF943" s="55"/>
      <c r="AG943" s="55"/>
      <c r="AH943" s="55"/>
      <c r="AI943" s="55"/>
      <c r="AJ943" s="55"/>
      <c r="AK943" s="55"/>
      <c r="AL943" s="55"/>
      <c r="AM943" s="55"/>
      <c r="AN943" s="55"/>
      <c r="AO943" s="55"/>
      <c r="AP943" s="55"/>
      <c r="AQ943" s="55"/>
      <c r="AR943" s="55"/>
      <c r="AS943" s="55"/>
      <c r="AT943" s="55"/>
      <c r="AU943" s="55"/>
      <c r="AV943" s="55"/>
      <c r="AW943" s="55"/>
      <c r="AX943" s="55"/>
      <c r="AY943" s="55"/>
      <c r="AZ943" s="55"/>
    </row>
    <row r="944" spans="1:52" x14ac:dyDescent="0.2">
      <c r="V944" s="55"/>
      <c r="W944" s="55"/>
      <c r="X944" s="55"/>
      <c r="Y944" s="55"/>
      <c r="Z944" s="55"/>
      <c r="AA944" s="55"/>
      <c r="AB944" s="55"/>
      <c r="AC944" s="55"/>
      <c r="AD944" s="55"/>
      <c r="AE944" s="55"/>
      <c r="AF944" s="55"/>
      <c r="AG944" s="55"/>
      <c r="AH944" s="55"/>
      <c r="AI944" s="55"/>
      <c r="AJ944" s="55"/>
      <c r="AK944" s="55"/>
      <c r="AL944" s="55"/>
      <c r="AM944" s="55"/>
      <c r="AN944" s="55"/>
      <c r="AO944" s="55"/>
      <c r="AP944" s="55"/>
      <c r="AQ944" s="55"/>
      <c r="AR944" s="55"/>
      <c r="AS944" s="55"/>
      <c r="AT944" s="55"/>
      <c r="AU944" s="55"/>
      <c r="AV944" s="55"/>
      <c r="AW944" s="55"/>
      <c r="AX944" s="55"/>
      <c r="AY944" s="55"/>
      <c r="AZ944" s="55"/>
    </row>
    <row r="945" spans="2:52" x14ac:dyDescent="0.2">
      <c r="B945" s="82" t="s">
        <v>5151</v>
      </c>
      <c r="C945" s="3256"/>
      <c r="D945" s="85"/>
      <c r="E945" s="85"/>
      <c r="F945" s="55"/>
      <c r="G945" s="55"/>
      <c r="H945" s="55"/>
      <c r="I945" s="55"/>
      <c r="J945" s="55"/>
      <c r="K945" s="55"/>
      <c r="V945" s="55"/>
      <c r="W945" s="55"/>
      <c r="X945" s="55"/>
      <c r="Y945" s="55"/>
      <c r="Z945" s="55"/>
      <c r="AA945" s="55"/>
      <c r="AB945" s="55"/>
      <c r="AC945" s="55"/>
      <c r="AD945" s="55"/>
      <c r="AE945" s="55"/>
      <c r="AF945" s="55"/>
      <c r="AG945" s="55"/>
      <c r="AH945" s="55"/>
      <c r="AI945" s="55"/>
      <c r="AJ945" s="55"/>
      <c r="AK945" s="55"/>
      <c r="AL945" s="55"/>
      <c r="AM945" s="55"/>
      <c r="AN945" s="55"/>
      <c r="AO945" s="55"/>
      <c r="AP945" s="55"/>
      <c r="AQ945" s="55"/>
      <c r="AR945" s="55"/>
      <c r="AS945" s="55"/>
      <c r="AT945" s="55"/>
      <c r="AU945" s="55"/>
      <c r="AV945" s="55"/>
      <c r="AW945" s="55"/>
      <c r="AX945" s="55"/>
      <c r="AY945" s="55"/>
      <c r="AZ945" s="55"/>
    </row>
    <row r="946" spans="2:52" x14ac:dyDescent="0.2">
      <c r="V946" s="55"/>
      <c r="W946" s="55"/>
      <c r="X946" s="55"/>
      <c r="Y946" s="55"/>
      <c r="Z946" s="55"/>
      <c r="AA946" s="55"/>
      <c r="AB946" s="55"/>
      <c r="AC946" s="55"/>
      <c r="AD946" s="55"/>
      <c r="AE946" s="55"/>
      <c r="AF946" s="55"/>
      <c r="AG946" s="55"/>
      <c r="AH946" s="55"/>
      <c r="AI946" s="55"/>
      <c r="AJ946" s="55"/>
      <c r="AK946" s="55"/>
      <c r="AL946" s="55"/>
      <c r="AM946" s="55"/>
      <c r="AN946" s="55"/>
      <c r="AO946" s="55"/>
      <c r="AP946" s="55"/>
      <c r="AQ946" s="55"/>
      <c r="AR946" s="55"/>
      <c r="AS946" s="55"/>
      <c r="AT946" s="55"/>
      <c r="AU946" s="55"/>
      <c r="AV946" s="55"/>
      <c r="AW946" s="55"/>
      <c r="AX946" s="55"/>
      <c r="AY946" s="55"/>
      <c r="AZ946" s="55"/>
    </row>
    <row r="947" spans="2:52" x14ac:dyDescent="0.2">
      <c r="B947" s="5025" t="s">
        <v>507</v>
      </c>
      <c r="C947" s="5020" t="s">
        <v>79</v>
      </c>
      <c r="D947" s="5021"/>
      <c r="E947" s="5021"/>
      <c r="F947" s="5021"/>
      <c r="G947" s="5021"/>
      <c r="H947" s="5021"/>
      <c r="I947" s="5021"/>
      <c r="J947" s="5021"/>
      <c r="K947" s="5021"/>
      <c r="L947" s="5021"/>
      <c r="M947" s="5021"/>
      <c r="N947" s="5021"/>
      <c r="O947" s="5021"/>
      <c r="P947" s="5021"/>
      <c r="Q947" s="5021"/>
      <c r="R947" s="5021"/>
      <c r="S947" s="5021"/>
      <c r="T947" s="5022"/>
      <c r="U947" s="494"/>
      <c r="V947" s="55"/>
      <c r="W947" s="55"/>
      <c r="X947" s="55"/>
      <c r="Y947" s="55"/>
      <c r="Z947" s="55"/>
      <c r="AA947" s="55"/>
      <c r="AB947" s="55"/>
      <c r="AC947" s="55"/>
      <c r="AD947" s="55"/>
      <c r="AE947" s="55"/>
      <c r="AF947" s="55"/>
      <c r="AG947" s="55"/>
      <c r="AH947" s="55"/>
      <c r="AI947" s="55"/>
      <c r="AJ947" s="55"/>
      <c r="AK947" s="55"/>
      <c r="AL947" s="55"/>
      <c r="AM947" s="55"/>
      <c r="AN947" s="55"/>
      <c r="AO947" s="55"/>
      <c r="AP947" s="55"/>
      <c r="AQ947" s="55"/>
      <c r="AR947" s="55"/>
      <c r="AS947" s="55"/>
      <c r="AT947" s="55"/>
      <c r="AU947" s="55"/>
      <c r="AV947" s="55"/>
      <c r="AW947" s="55"/>
      <c r="AX947" s="55"/>
      <c r="AY947" s="55"/>
      <c r="AZ947" s="55"/>
    </row>
    <row r="948" spans="2:52" x14ac:dyDescent="0.2">
      <c r="B948" s="5026"/>
      <c r="C948" s="83">
        <f>D56</f>
        <v>2018</v>
      </c>
      <c r="D948" s="83">
        <f>E56</f>
        <v>2020</v>
      </c>
      <c r="E948" s="83">
        <f>D56</f>
        <v>2018</v>
      </c>
      <c r="F948" s="83">
        <f>E56</f>
        <v>2020</v>
      </c>
      <c r="G948" s="83">
        <f>D56</f>
        <v>2018</v>
      </c>
      <c r="H948" s="83">
        <f>E56</f>
        <v>2020</v>
      </c>
      <c r="I948" s="83">
        <f>D56</f>
        <v>2018</v>
      </c>
      <c r="J948" s="83">
        <f>E56</f>
        <v>2020</v>
      </c>
      <c r="K948" s="83">
        <f>D56</f>
        <v>2018</v>
      </c>
      <c r="L948" s="83">
        <f>E56</f>
        <v>2020</v>
      </c>
      <c r="M948" s="83">
        <f>D56</f>
        <v>2018</v>
      </c>
      <c r="N948" s="83">
        <f>E56</f>
        <v>2020</v>
      </c>
      <c r="O948" s="84">
        <f>D56</f>
        <v>2018</v>
      </c>
      <c r="P948" s="84">
        <f>E56</f>
        <v>2020</v>
      </c>
      <c r="Q948" s="83">
        <f>D56</f>
        <v>2018</v>
      </c>
      <c r="R948" s="83">
        <f>E56</f>
        <v>2020</v>
      </c>
      <c r="S948" s="83">
        <f>D56</f>
        <v>2018</v>
      </c>
      <c r="T948" s="83">
        <f>E56</f>
        <v>2020</v>
      </c>
      <c r="U948" s="494"/>
      <c r="V948" s="62"/>
      <c r="W948" s="62"/>
      <c r="X948" s="62"/>
      <c r="Y948" s="62"/>
      <c r="Z948" s="62"/>
      <c r="AA948" s="62"/>
      <c r="AB948" s="62"/>
      <c r="AC948" s="62"/>
      <c r="AD948" s="62"/>
      <c r="AE948" s="62"/>
      <c r="AF948" s="62"/>
      <c r="AG948" s="62"/>
      <c r="AH948" s="62"/>
      <c r="AI948" s="62"/>
      <c r="AJ948" s="55"/>
      <c r="AK948" s="55"/>
      <c r="AL948" s="55"/>
      <c r="AM948" s="55"/>
      <c r="AN948" s="55"/>
      <c r="AO948" s="55"/>
      <c r="AP948" s="55"/>
      <c r="AQ948" s="55"/>
      <c r="AR948" s="55"/>
      <c r="AS948" s="55"/>
      <c r="AT948" s="55"/>
      <c r="AU948" s="55"/>
      <c r="AV948" s="55"/>
      <c r="AW948" s="55"/>
      <c r="AX948" s="55"/>
      <c r="AY948" s="55"/>
      <c r="AZ948" s="55"/>
    </row>
    <row r="949" spans="2:52" x14ac:dyDescent="0.2">
      <c r="B949" s="28"/>
      <c r="C949" s="3240" t="s">
        <v>125</v>
      </c>
      <c r="D949" s="3240" t="s">
        <v>125</v>
      </c>
      <c r="E949" s="3240" t="s">
        <v>126</v>
      </c>
      <c r="F949" s="3240" t="s">
        <v>126</v>
      </c>
      <c r="G949" s="3240" t="s">
        <v>127</v>
      </c>
      <c r="H949" s="3240" t="s">
        <v>127</v>
      </c>
      <c r="I949" s="3240" t="s">
        <v>128</v>
      </c>
      <c r="J949" s="3240" t="s">
        <v>128</v>
      </c>
      <c r="K949" s="3240" t="s">
        <v>129</v>
      </c>
      <c r="L949" s="3240" t="s">
        <v>129</v>
      </c>
      <c r="M949" s="3240" t="s">
        <v>130</v>
      </c>
      <c r="N949" s="3240" t="s">
        <v>130</v>
      </c>
      <c r="O949" s="3241" t="s">
        <v>131</v>
      </c>
      <c r="P949" s="3241" t="s">
        <v>131</v>
      </c>
      <c r="Q949" s="3240" t="s">
        <v>132</v>
      </c>
      <c r="R949" s="3240" t="s">
        <v>132</v>
      </c>
      <c r="S949" s="3240" t="s">
        <v>109</v>
      </c>
      <c r="T949" s="4040" t="s">
        <v>109</v>
      </c>
      <c r="U949" s="3238"/>
      <c r="V949" s="55"/>
      <c r="W949" s="55"/>
      <c r="X949" s="55"/>
      <c r="Y949" s="55"/>
      <c r="Z949" s="55"/>
      <c r="AA949" s="55"/>
      <c r="AB949" s="55"/>
      <c r="AC949" s="55"/>
      <c r="AD949" s="55"/>
      <c r="AE949" s="55"/>
      <c r="AF949" s="55"/>
      <c r="AG949" s="55"/>
      <c r="AH949" s="55"/>
      <c r="AI949" s="55"/>
      <c r="AJ949" s="55"/>
      <c r="AK949" s="55"/>
      <c r="AL949" s="55"/>
      <c r="AM949" s="55"/>
      <c r="AN949" s="55"/>
      <c r="AO949" s="55"/>
      <c r="AP949" s="55"/>
      <c r="AQ949" s="55"/>
      <c r="AR949" s="55"/>
      <c r="AS949" s="55"/>
      <c r="AT949" s="55"/>
      <c r="AU949" s="55"/>
      <c r="AV949" s="55"/>
      <c r="AW949" s="55"/>
      <c r="AX949" s="55"/>
      <c r="AY949" s="55"/>
      <c r="AZ949" s="55"/>
    </row>
    <row r="950" spans="2:52" x14ac:dyDescent="0.2">
      <c r="B950" s="28" t="s">
        <v>133</v>
      </c>
      <c r="C950" s="24">
        <f>SUM('E2018'!$AL$8:$AL$10)+'E2018'!$AH$11</f>
        <v>25.950000000000006</v>
      </c>
      <c r="D950" s="24">
        <f>SUM('E2020'!$AL$8:$AL$10)+'E2020'!$AH$11</f>
        <v>28.262</v>
      </c>
      <c r="E950" s="24">
        <f>SUM('E2018'!$AM$8:$AM$10)</f>
        <v>2.92</v>
      </c>
      <c r="F950" s="24">
        <f>SUM('E2020'!$AM$8:$AM$10)</f>
        <v>3.03</v>
      </c>
      <c r="G950" s="24">
        <f>SUM('E2018'!$AN$8:$AN$10)</f>
        <v>3.7300000000000004</v>
      </c>
      <c r="H950" s="24">
        <f>SUM('E2020'!$AN$8:$AN$10)</f>
        <v>3.43</v>
      </c>
      <c r="I950" s="24">
        <f>SUM('E2018'!$AO$8:$AO$10)</f>
        <v>6.2</v>
      </c>
      <c r="J950" s="24">
        <f>SUM('E2020'!$AO$8:$AO$10)</f>
        <v>3.93</v>
      </c>
      <c r="K950" s="24">
        <f>SUM('E2018'!$AP$8:$AP$10)</f>
        <v>0</v>
      </c>
      <c r="L950" s="24">
        <f>SUM('E2020'!$AP$8:$AP$10)</f>
        <v>0</v>
      </c>
      <c r="M950" s="24">
        <f>SUM('E2018'!$AQ$8:$AQ$10)+'E2018'!$AH$55</f>
        <v>0</v>
      </c>
      <c r="N950" s="24">
        <f>SUM('E2020'!$AQ$8:$AQ$10)+'E2020'!$AH$55</f>
        <v>0</v>
      </c>
      <c r="O950" s="24">
        <f>SUM('E2018'!$AR$8:$AR$10)</f>
        <v>0</v>
      </c>
      <c r="P950" s="24">
        <f>SUM('E2020'!$AR$8:$AR$10)</f>
        <v>0</v>
      </c>
      <c r="Q950" s="24">
        <f>SUM('E2018'!$AS$8:$AS$10)</f>
        <v>5.5299999999999994</v>
      </c>
      <c r="R950" s="24">
        <f>SUM('E2020'!$AS$8:$AS$10)</f>
        <v>5.37</v>
      </c>
      <c r="S950" s="24">
        <f>'E2018'!$AH$78*'E2018'!$AD$78/100+'E2018'!AT8</f>
        <v>0</v>
      </c>
      <c r="T950" s="24">
        <f>'E2020'!$AH$78*'E2020'!$AD$78/100+'E2020'!AT8</f>
        <v>0</v>
      </c>
      <c r="U950" s="64"/>
      <c r="V950" s="55"/>
      <c r="W950" s="55"/>
      <c r="X950" s="55"/>
      <c r="Y950" s="55"/>
      <c r="Z950" s="55"/>
      <c r="AA950" s="55"/>
      <c r="AB950" s="55"/>
      <c r="AC950" s="55"/>
      <c r="AD950" s="55"/>
      <c r="AE950" s="55"/>
      <c r="AF950" s="55"/>
      <c r="AG950" s="55"/>
      <c r="AH950" s="55"/>
      <c r="AI950" s="55"/>
      <c r="AJ950" s="55"/>
      <c r="AK950" s="55"/>
      <c r="AL950" s="55"/>
      <c r="AM950" s="55"/>
      <c r="AN950" s="55"/>
      <c r="AO950" s="55"/>
      <c r="AP950" s="55"/>
      <c r="AQ950" s="55"/>
      <c r="AR950" s="55"/>
      <c r="AS950" s="55"/>
      <c r="AT950" s="55"/>
      <c r="AU950" s="55"/>
      <c r="AV950" s="55"/>
      <c r="AW950" s="55"/>
      <c r="AX950" s="55"/>
      <c r="AY950" s="55"/>
      <c r="AZ950" s="55"/>
    </row>
    <row r="951" spans="2:52" x14ac:dyDescent="0.2">
      <c r="B951" s="28" t="s">
        <v>82</v>
      </c>
      <c r="C951" s="24"/>
      <c r="D951" s="24"/>
      <c r="E951" s="24"/>
      <c r="F951" s="24"/>
      <c r="G951" s="24"/>
      <c r="H951" s="24"/>
      <c r="I951" s="24"/>
      <c r="J951" s="24"/>
      <c r="K951" s="24"/>
      <c r="L951" s="24"/>
      <c r="M951" s="24">
        <f>'E2018'!$C$22*'E2018'!$AD$22/100</f>
        <v>0</v>
      </c>
      <c r="N951" s="24">
        <f>'E2020'!$C$22*'E2020'!$AD$22/100</f>
        <v>0</v>
      </c>
      <c r="O951" s="80"/>
      <c r="P951" s="80"/>
      <c r="Q951" s="80"/>
      <c r="R951" s="80"/>
      <c r="S951" s="24"/>
      <c r="T951" s="24"/>
      <c r="U951" s="64"/>
      <c r="V951" s="55"/>
      <c r="W951" s="55"/>
      <c r="X951" s="55"/>
      <c r="Y951" s="55"/>
      <c r="Z951" s="55"/>
      <c r="AA951" s="55"/>
      <c r="AB951" s="55"/>
      <c r="AC951" s="55"/>
      <c r="AD951" s="55"/>
      <c r="AE951" s="55"/>
      <c r="AF951" s="55"/>
      <c r="AG951" s="55"/>
      <c r="AH951" s="55"/>
      <c r="AI951" s="55"/>
      <c r="AJ951" s="55"/>
      <c r="AK951" s="55"/>
      <c r="AL951" s="55"/>
      <c r="AM951" s="55"/>
      <c r="AN951" s="55"/>
      <c r="AO951" s="55"/>
      <c r="AP951" s="55"/>
      <c r="AQ951" s="55"/>
      <c r="AR951" s="55"/>
      <c r="AS951" s="55"/>
      <c r="AT951" s="55"/>
      <c r="AU951" s="55"/>
      <c r="AV951" s="55"/>
      <c r="AW951" s="55"/>
      <c r="AX951" s="55"/>
      <c r="AY951" s="55"/>
      <c r="AZ951" s="55"/>
    </row>
    <row r="952" spans="2:52" x14ac:dyDescent="0.2">
      <c r="B952" s="28" t="s">
        <v>83</v>
      </c>
      <c r="C952" s="24">
        <f>'E2018'!$AL$13+'E2018'!$AL$15</f>
        <v>6.7640000000000006E-2</v>
      </c>
      <c r="D952" s="24">
        <f>'E2020'!$AL$13+'E2020'!$AL$15</f>
        <v>6.1560000000000004E-2</v>
      </c>
      <c r="E952" s="24">
        <f>'E2018'!$AM$13</f>
        <v>0</v>
      </c>
      <c r="F952" s="24">
        <f>'E2020'!$AM$13</f>
        <v>0</v>
      </c>
      <c r="G952" s="24">
        <f>'E2018'!$AN$13</f>
        <v>0</v>
      </c>
      <c r="H952" s="24">
        <f>'E2020'!$AN$13</f>
        <v>0</v>
      </c>
      <c r="I952" s="24">
        <f>'E2018'!$AO$13</f>
        <v>0</v>
      </c>
      <c r="J952" s="24">
        <f>'E2020'!$AO$13</f>
        <v>0</v>
      </c>
      <c r="K952" s="24">
        <f>'E2018'!$AP$13</f>
        <v>0</v>
      </c>
      <c r="L952" s="24">
        <f>'E2020'!$AP$13</f>
        <v>0</v>
      </c>
      <c r="M952" s="24">
        <f>'E2018'!$AQ$13+'E2018'!$I$21*'E2018'!$AD$21/100+'E2018'!$I$22*'E2018'!$AD$22/100</f>
        <v>0.20291999999999999</v>
      </c>
      <c r="N952" s="24">
        <f>'E2020'!$AQ$13+'E2020'!$I$21*'E2020'!$AD$21/100+'E2020'!$I$22*'E2020'!$AD$22/100</f>
        <v>0.18468000000000001</v>
      </c>
      <c r="O952" s="24">
        <f>'E2018'!$AR$13</f>
        <v>0</v>
      </c>
      <c r="P952" s="24">
        <f>'E2020'!$AR$13</f>
        <v>0</v>
      </c>
      <c r="Q952" s="24">
        <f>'E2018'!$AS$13</f>
        <v>0</v>
      </c>
      <c r="R952" s="24">
        <f>'E2020'!$AS$13</f>
        <v>0</v>
      </c>
      <c r="S952" s="24">
        <f>'E2018'!$AT$13</f>
        <v>6.7640000000000006E-2</v>
      </c>
      <c r="T952" s="24">
        <f>'E2020'!$AT$13</f>
        <v>6.1560000000000004E-2</v>
      </c>
      <c r="U952" s="64"/>
      <c r="V952" s="55"/>
      <c r="W952" s="55"/>
      <c r="X952" s="55"/>
      <c r="Y952" s="55"/>
      <c r="Z952" s="55"/>
      <c r="AA952" s="55"/>
      <c r="AB952" s="55"/>
      <c r="AC952" s="55"/>
      <c r="AD952" s="55"/>
      <c r="AE952" s="55"/>
      <c r="AF952" s="55"/>
      <c r="AG952" s="55"/>
      <c r="AH952" s="55"/>
      <c r="AI952" s="55"/>
      <c r="AJ952" s="55"/>
      <c r="AK952" s="55"/>
      <c r="AL952" s="55"/>
      <c r="AM952" s="55"/>
      <c r="AN952" s="55"/>
      <c r="AO952" s="55"/>
      <c r="AP952" s="55"/>
      <c r="AQ952" s="55"/>
      <c r="AR952" s="55"/>
      <c r="AS952" s="55"/>
      <c r="AT952" s="55"/>
      <c r="AU952" s="55"/>
      <c r="AV952" s="55"/>
      <c r="AW952" s="55"/>
      <c r="AX952" s="55"/>
      <c r="AY952" s="55"/>
      <c r="AZ952" s="55"/>
    </row>
    <row r="953" spans="2:52" x14ac:dyDescent="0.2">
      <c r="B953" s="28" t="s">
        <v>84</v>
      </c>
      <c r="C953" s="24"/>
      <c r="D953" s="24"/>
      <c r="E953" s="24"/>
      <c r="F953" s="24"/>
      <c r="G953" s="24"/>
      <c r="H953" s="24"/>
      <c r="I953" s="24"/>
      <c r="J953" s="24"/>
      <c r="K953" s="24"/>
      <c r="L953" s="24"/>
      <c r="M953" s="24">
        <f>'E2018'!$D$22*'E2018'!$AD$22/100</f>
        <v>0</v>
      </c>
      <c r="N953" s="24">
        <f>'E2020'!$D$22*'E2020'!$AD$22/100</f>
        <v>0</v>
      </c>
      <c r="O953" s="80"/>
      <c r="P953" s="80"/>
      <c r="Q953" s="80"/>
      <c r="R953" s="80"/>
      <c r="S953" s="24">
        <f>'E2018'!$D$80*'E2018'!$AD$80/100</f>
        <v>2.0000000000000001E-4</v>
      </c>
      <c r="T953" s="24">
        <f>'E2020'!$D$80*'E2020'!$AD$80/100</f>
        <v>2.6000000000000002E-2</v>
      </c>
      <c r="U953" s="64"/>
      <c r="V953" s="55"/>
      <c r="W953" s="55"/>
      <c r="X953" s="55"/>
      <c r="Y953" s="55"/>
      <c r="Z953" s="55"/>
      <c r="AA953" s="55"/>
      <c r="AB953" s="55"/>
      <c r="AC953" s="55"/>
      <c r="AD953" s="55"/>
      <c r="AE953" s="55"/>
      <c r="AF953" s="55"/>
      <c r="AG953" s="55"/>
      <c r="AH953" s="55"/>
      <c r="AI953" s="55"/>
      <c r="AJ953" s="55"/>
      <c r="AK953" s="55"/>
      <c r="AL953" s="55"/>
      <c r="AM953" s="55"/>
      <c r="AN953" s="55"/>
      <c r="AO953" s="55"/>
      <c r="AP953" s="55"/>
      <c r="AQ953" s="55"/>
      <c r="AR953" s="55"/>
      <c r="AS953" s="55"/>
      <c r="AT953" s="55"/>
      <c r="AU953" s="55"/>
      <c r="AV953" s="55"/>
      <c r="AW953" s="55"/>
      <c r="AX953" s="55"/>
      <c r="AY953" s="55"/>
      <c r="AZ953" s="55"/>
    </row>
    <row r="954" spans="2:52" x14ac:dyDescent="0.2">
      <c r="B954" s="28" t="s">
        <v>85</v>
      </c>
      <c r="C954" s="24">
        <f>'E2018'!$AL$14</f>
        <v>19.8</v>
      </c>
      <c r="D954" s="24">
        <f>'E2020'!$AL$14</f>
        <v>23.584000000000003</v>
      </c>
      <c r="E954" s="24"/>
      <c r="F954" s="24"/>
      <c r="G954" s="24"/>
      <c r="H954" s="24"/>
      <c r="I954" s="24"/>
      <c r="J954" s="24"/>
      <c r="K954" s="24"/>
      <c r="L954" s="24"/>
      <c r="M954" s="24">
        <f>SUM('E2018'!$E$20:$F$20)*'E2018'!$AD$20/100+SUM('E2018'!$E$22:$F$22)*'E2018'!$AD$22/100</f>
        <v>0</v>
      </c>
      <c r="N954" s="24">
        <f>SUM('E2020'!$E$20:$F$20)*'E2020'!$AD$20/100+SUM('E2020'!$E$22:$F$22)*'E2020'!$AD$22/100</f>
        <v>0</v>
      </c>
      <c r="O954" s="80"/>
      <c r="P954" s="80"/>
      <c r="Q954" s="80">
        <f>'E2018'!$AS$75</f>
        <v>2.7119499999999999</v>
      </c>
      <c r="R954" s="80">
        <f>'E2020'!$AS$75</f>
        <v>2.5914999999999999</v>
      </c>
      <c r="S954" s="126">
        <f>'E2018'!$F$62*'E2018'!$AD$62%+'E2018'!$F$65*'E2018'!$AD$65%+'E2018'!$F$67*'E2018'!$AD$67%+
'E2018'!$F$71*'E2018'!$AD$71%+'E2018'!$F$76*'E2018'!$AD$76%+'E2018'!$F$77*'E2018'!$AD$77%+'E2018'!$F$80*'E2018'!$AD$80%</f>
        <v>17.310154809999997</v>
      </c>
      <c r="T954" s="126">
        <f>'E2020'!$F$62*'E2020'!$AD$62%+'E2020'!$F$65*'E2020'!$AD$65%+'E2020'!$F$67*'E2020'!$AD$67%+
'E2020'!$F$71*'E2020'!$AD$71%+'E2020'!$F$76*'E2020'!$AD$76%+'E2020'!$F$77*'E2020'!$AD$77%+'E2020'!$F$80*'E2020'!$AD$80%</f>
        <v>14.7681687</v>
      </c>
      <c r="U954" s="64"/>
      <c r="V954" s="55"/>
      <c r="W954" s="55"/>
      <c r="X954" s="55"/>
      <c r="Y954" s="55"/>
      <c r="Z954" s="55"/>
      <c r="AA954" s="55"/>
      <c r="AB954" s="55"/>
      <c r="AC954" s="55"/>
      <c r="AD954" s="55"/>
      <c r="AE954" s="55"/>
      <c r="AF954" s="55"/>
      <c r="AG954" s="55"/>
      <c r="AH954" s="55"/>
      <c r="AI954" s="55"/>
      <c r="AJ954" s="55"/>
      <c r="AK954" s="55"/>
      <c r="AL954" s="55"/>
      <c r="AM954" s="55"/>
      <c r="AN954" s="55"/>
      <c r="AO954" s="55"/>
      <c r="AP954" s="55"/>
      <c r="AQ954" s="55"/>
      <c r="AR954" s="55"/>
      <c r="AS954" s="55"/>
      <c r="AT954" s="55"/>
      <c r="AU954" s="55"/>
      <c r="AV954" s="55"/>
      <c r="AW954" s="55"/>
      <c r="AX954" s="55"/>
      <c r="AY954" s="55"/>
      <c r="AZ954" s="55"/>
    </row>
    <row r="955" spans="2:52" x14ac:dyDescent="0.2">
      <c r="B955" s="28" t="s">
        <v>87</v>
      </c>
      <c r="C955" s="24"/>
      <c r="D955" s="24"/>
      <c r="E955" s="24"/>
      <c r="F955" s="24"/>
      <c r="G955" s="24"/>
      <c r="H955" s="24"/>
      <c r="I955" s="24"/>
      <c r="J955" s="24"/>
      <c r="K955" s="24"/>
      <c r="L955" s="24"/>
      <c r="M955" s="24">
        <f>'E2018'!$H$22*'E2018'!$AD$22/100</f>
        <v>0</v>
      </c>
      <c r="N955" s="24">
        <f>'E2020'!$H$22*'E2020'!$AD$22/100</f>
        <v>0</v>
      </c>
      <c r="O955" s="80"/>
      <c r="P955" s="80"/>
      <c r="Q955" s="80"/>
      <c r="R955" s="80"/>
      <c r="S955" s="24">
        <f>'E2018'!$H$61*'E2018'!$AD$61%+'E2018'!$H$65*'E2018'!$AD$65%+'E2018'!$H$79*'E2018'!$AD$79%</f>
        <v>3.5921244000000008</v>
      </c>
      <c r="T955" s="24">
        <f>'E2020'!$H$61*'E2020'!$AD$61%+'E2020'!$H$65*'E2020'!$AD$65%+'E2020'!$H$79*'E2020'!$AD$79%</f>
        <v>3.2499813999999998</v>
      </c>
      <c r="U955" s="64"/>
      <c r="V955" s="55"/>
      <c r="W955" s="55"/>
      <c r="X955" s="55"/>
      <c r="Y955" s="55"/>
      <c r="Z955" s="55"/>
      <c r="AA955" s="55"/>
      <c r="AB955" s="55"/>
      <c r="AC955" s="55"/>
      <c r="AD955" s="55"/>
      <c r="AE955" s="55"/>
      <c r="AF955" s="55"/>
      <c r="AG955" s="55"/>
      <c r="AH955" s="55"/>
      <c r="AI955" s="55"/>
      <c r="AJ955" s="55"/>
      <c r="AK955" s="55"/>
      <c r="AL955" s="55"/>
      <c r="AM955" s="55"/>
      <c r="AN955" s="55"/>
      <c r="AO955" s="55"/>
      <c r="AP955" s="55"/>
      <c r="AQ955" s="55"/>
      <c r="AR955" s="55"/>
      <c r="AS955" s="55"/>
      <c r="AT955" s="55"/>
      <c r="AU955" s="55"/>
      <c r="AV955" s="55"/>
      <c r="AW955" s="55"/>
      <c r="AX955" s="55"/>
      <c r="AY955" s="55"/>
      <c r="AZ955" s="55"/>
    </row>
    <row r="956" spans="2:52" x14ac:dyDescent="0.2">
      <c r="B956" s="28" t="s">
        <v>86</v>
      </c>
      <c r="C956" s="24"/>
      <c r="D956" s="24"/>
      <c r="E956" s="24"/>
      <c r="F956" s="24"/>
      <c r="G956" s="24"/>
      <c r="H956" s="24"/>
      <c r="I956" s="24"/>
      <c r="J956" s="24"/>
      <c r="K956" s="24"/>
      <c r="L956" s="24"/>
      <c r="M956" s="24"/>
      <c r="N956" s="24"/>
      <c r="O956" s="80"/>
      <c r="P956" s="80"/>
      <c r="Q956" s="80"/>
      <c r="R956" s="80"/>
      <c r="S956" s="24">
        <f>'E2018'!$G$79*'E2018'!$AD$79/100</f>
        <v>1.8873000000000002</v>
      </c>
      <c r="T956" s="24">
        <f>'E2020'!$G$79*'E2020'!$AD$79/100</f>
        <v>0.66825000000000001</v>
      </c>
      <c r="U956" s="64"/>
      <c r="V956" s="55"/>
      <c r="W956" s="55"/>
      <c r="X956" s="55"/>
      <c r="Y956" s="55"/>
      <c r="Z956" s="55"/>
      <c r="AA956" s="55"/>
      <c r="AB956" s="55"/>
      <c r="AC956" s="55"/>
      <c r="AD956" s="55"/>
      <c r="AE956" s="55"/>
      <c r="AF956" s="55"/>
      <c r="AG956" s="55"/>
      <c r="AH956" s="55"/>
      <c r="AI956" s="55"/>
      <c r="AJ956" s="55"/>
      <c r="AK956" s="55"/>
      <c r="AL956" s="55"/>
      <c r="AM956" s="55"/>
      <c r="AN956" s="55"/>
      <c r="AO956" s="55"/>
      <c r="AP956" s="55"/>
      <c r="AQ956" s="55"/>
      <c r="AR956" s="55"/>
      <c r="AS956" s="55"/>
      <c r="AT956" s="55"/>
      <c r="AU956" s="55"/>
      <c r="AV956" s="55"/>
      <c r="AW956" s="55"/>
      <c r="AX956" s="55"/>
      <c r="AY956" s="55"/>
      <c r="AZ956" s="55"/>
    </row>
    <row r="957" spans="2:52" x14ac:dyDescent="0.2">
      <c r="B957" s="28" t="s">
        <v>88</v>
      </c>
      <c r="C957" s="24"/>
      <c r="D957" s="24"/>
      <c r="E957" s="24"/>
      <c r="F957" s="24"/>
      <c r="G957" s="24"/>
      <c r="H957" s="24"/>
      <c r="I957" s="24"/>
      <c r="J957" s="24"/>
      <c r="K957" s="24"/>
      <c r="L957" s="24"/>
      <c r="M957" s="24">
        <f>'E2018'!$Z$22*'E2018'!$AD$22/100</f>
        <v>0</v>
      </c>
      <c r="N957" s="24">
        <f>'E2020'!$Z$22*'E2020'!$AD$22/100</f>
        <v>0</v>
      </c>
      <c r="O957" s="80"/>
      <c r="P957" s="80"/>
      <c r="Q957" s="80"/>
      <c r="R957" s="80"/>
      <c r="S957" s="24"/>
      <c r="T957" s="24"/>
      <c r="U957" s="64"/>
      <c r="V957" s="55"/>
      <c r="W957" s="55"/>
      <c r="X957" s="55"/>
      <c r="Y957" s="55"/>
      <c r="Z957" s="55"/>
      <c r="AA957" s="55"/>
      <c r="AB957" s="55"/>
      <c r="AC957" s="55"/>
      <c r="AD957" s="55"/>
      <c r="AE957" s="55"/>
      <c r="AF957" s="55"/>
      <c r="AG957" s="55"/>
      <c r="AH957" s="55"/>
      <c r="AI957" s="55"/>
      <c r="AJ957" s="55"/>
      <c r="AK957" s="55"/>
      <c r="AL957" s="55"/>
      <c r="AM957" s="55"/>
      <c r="AN957" s="55"/>
      <c r="AO957" s="55"/>
      <c r="AP957" s="55"/>
      <c r="AQ957" s="55"/>
      <c r="AR957" s="55"/>
      <c r="AS957" s="55"/>
      <c r="AT957" s="55"/>
      <c r="AU957" s="55"/>
      <c r="AV957" s="55"/>
      <c r="AW957" s="55"/>
      <c r="AX957" s="55"/>
      <c r="AY957" s="55"/>
      <c r="AZ957" s="55"/>
    </row>
    <row r="958" spans="2:52" x14ac:dyDescent="0.2">
      <c r="B958" s="28" t="s">
        <v>134</v>
      </c>
      <c r="C958" s="24"/>
      <c r="D958" s="24"/>
      <c r="E958" s="24"/>
      <c r="F958" s="24"/>
      <c r="G958" s="24"/>
      <c r="H958" s="24"/>
      <c r="I958" s="24"/>
      <c r="J958" s="24"/>
      <c r="K958" s="24"/>
      <c r="L958" s="24"/>
      <c r="M958" s="24"/>
      <c r="N958" s="24"/>
      <c r="O958" s="80"/>
      <c r="P958" s="80"/>
      <c r="Q958" s="80">
        <f>'E2018'!$S$75*'E2018'!$AD$75/100</f>
        <v>0</v>
      </c>
      <c r="R958" s="80">
        <f>'E2020'!$S$75*'E2020'!$AD$75/100</f>
        <v>0</v>
      </c>
      <c r="S958" s="126">
        <f>'E2018'!$S$61*'E2018'!$AD$61%+'E2018'!$S$62*'E2018'!$AD$62%+'E2018'!$S$65*'E2018'!$AD$65%+'E2018'!$S$67*'E2018'!$AD$67%
+'E2018'!$S$71*'E2018'!$AD$71%+'E2018'!$S$76*'E2018'!$AD$76%+'E2018'!$S$77*'E2018'!$AD$77%</f>
        <v>0.76461579000000013</v>
      </c>
      <c r="T958" s="126">
        <f>'E2020'!$S$61*'E2020'!$AD$61%+'E2020'!$S$62*'E2020'!$AD$62%+'E2020'!$S$65*'E2020'!$AD$65%+'E2020'!$S$67*'E2020'!$AD$67%
+'E2020'!$S$71*'E2020'!$AD$71%+'E2020'!$S$76*'E2020'!$AD$76%+'E2020'!$S$77*'E2020'!$AD$77%</f>
        <v>1.3733499000000002</v>
      </c>
      <c r="U958" s="64"/>
      <c r="V958" s="55"/>
      <c r="W958" s="55"/>
      <c r="X958" s="55"/>
      <c r="Y958" s="55"/>
      <c r="Z958" s="55"/>
      <c r="AA958" s="55"/>
      <c r="AB958" s="55"/>
      <c r="AC958" s="55"/>
      <c r="AD958" s="55"/>
      <c r="AE958" s="55"/>
      <c r="AF958" s="55"/>
      <c r="AG958" s="55"/>
      <c r="AH958" s="55"/>
      <c r="AI958" s="55"/>
      <c r="AJ958" s="55"/>
      <c r="AK958" s="55"/>
      <c r="AL958" s="55"/>
      <c r="AM958" s="55"/>
      <c r="AN958" s="55"/>
      <c r="AO958" s="55"/>
      <c r="AP958" s="55"/>
      <c r="AQ958" s="55"/>
      <c r="AR958" s="55"/>
      <c r="AS958" s="55"/>
      <c r="AT958" s="55"/>
      <c r="AU958" s="55"/>
      <c r="AV958" s="55"/>
      <c r="AW958" s="55"/>
      <c r="AX958" s="55"/>
      <c r="AY958" s="55"/>
      <c r="AZ958" s="55"/>
    </row>
    <row r="959" spans="2:52" x14ac:dyDescent="0.2">
      <c r="B959" s="28" t="s">
        <v>91</v>
      </c>
      <c r="C959" s="24">
        <f>SUM('E2018'!$AL$16:$AL$18)</f>
        <v>24.236499999999999</v>
      </c>
      <c r="D959" s="24">
        <f>SUM('E2020'!$AL$16:$AL$18)</f>
        <v>51.625000000000007</v>
      </c>
      <c r="E959" s="24"/>
      <c r="F959" s="24"/>
      <c r="G959" s="24"/>
      <c r="H959" s="24"/>
      <c r="I959" s="24"/>
      <c r="J959" s="24"/>
      <c r="K959" s="24"/>
      <c r="L959" s="24"/>
      <c r="M959" s="24">
        <f>SUM('E2018'!$S$22:$V$22)*'E2018'!$AD$22/100</f>
        <v>9</v>
      </c>
      <c r="N959" s="24">
        <f>SUM('E2020'!$S$22:$V$22)*'E2020'!$AD$22/100</f>
        <v>9</v>
      </c>
      <c r="O959" s="80"/>
      <c r="P959" s="80"/>
      <c r="Q959" s="80"/>
      <c r="R959" s="80"/>
      <c r="S959" s="24"/>
      <c r="T959" s="24"/>
      <c r="U959" s="64"/>
      <c r="V959" s="55"/>
      <c r="W959" s="55"/>
      <c r="X959" s="55"/>
      <c r="Y959" s="55"/>
      <c r="Z959" s="55"/>
      <c r="AA959" s="55"/>
      <c r="AB959" s="55"/>
      <c r="AC959" s="55"/>
      <c r="AD959" s="55"/>
      <c r="AE959" s="55"/>
      <c r="AF959" s="55"/>
      <c r="AG959" s="55"/>
      <c r="AH959" s="55"/>
      <c r="AI959" s="55"/>
      <c r="AJ959" s="55"/>
      <c r="AK959" s="55"/>
      <c r="AL959" s="55"/>
      <c r="AM959" s="55"/>
      <c r="AN959" s="55"/>
      <c r="AO959" s="55"/>
      <c r="AP959" s="55"/>
      <c r="AQ959" s="55"/>
      <c r="AR959" s="55"/>
      <c r="AS959" s="55"/>
      <c r="AT959" s="55"/>
      <c r="AU959" s="55"/>
      <c r="AV959" s="55"/>
      <c r="AW959" s="55"/>
      <c r="AX959" s="55"/>
      <c r="AY959" s="55"/>
      <c r="AZ959" s="55"/>
    </row>
    <row r="960" spans="2:52" x14ac:dyDescent="0.2">
      <c r="B960" s="28" t="s">
        <v>135</v>
      </c>
      <c r="C960" s="24">
        <f>'E2018'!$AL$33+'E2018'!$AL$36+'E2018'!$AL$43+'E2018'!$AL$51+'E2018'!$AL$60</f>
        <v>10.489794000000003</v>
      </c>
      <c r="D960" s="24">
        <f>'E2020'!$AL$33+'E2020'!$AL$36+'E2020'!$AL$43+'E2020'!$AL$51+'E2020'!$AL$60</f>
        <v>9.8641949139359983</v>
      </c>
      <c r="E960" s="24">
        <f>'E2018'!$AM$33+'E2018'!$AM$36+'E2018'!$AM$43+'E2018'!$AM$51+'E2018'!$AM$60</f>
        <v>1.5962730000000007</v>
      </c>
      <c r="F960" s="24">
        <f>'E2020'!$AM$33+'E2020'!$AM$36+'E2020'!$AM$43+'E2020'!$AM$51+'E2020'!$AM$60</f>
        <v>1.4895086310719998</v>
      </c>
      <c r="G960" s="24">
        <f>'E2018'!$AN$33+'E2018'!$AN$36+'E2018'!$AN$43+'E2018'!$AN$51+'E2018'!$AN$60</f>
        <v>2.1337935000000008</v>
      </c>
      <c r="H960" s="24">
        <f>'E2020'!$AN$33+'E2020'!$AN$36+'E2020'!$AN$43+'E2020'!$AN$51+'E2020'!$AN$60</f>
        <v>2.0062769316479998</v>
      </c>
      <c r="I960" s="24">
        <f>'E2018'!$AO$33+'E2018'!$AO$36+'E2018'!$AO$43+'E2018'!$AO$51+'E2018'!$AO$60</f>
        <v>1.1239065000000006</v>
      </c>
      <c r="J960" s="24">
        <f>'E2020'!$AO$33+'E2020'!$AO$36+'E2020'!$AO$43+'E2020'!$AO$51+'E2020'!$AO$60</f>
        <v>1.06393473648</v>
      </c>
      <c r="K960" s="24">
        <f>'E2018'!$AP$33+'E2018'!$AP$36+'E2018'!$AP$43+'E2018'!$AP$51+'E2018'!$AP$60</f>
        <v>0</v>
      </c>
      <c r="L960" s="24">
        <f>'E2020'!$AP$33+'E2020'!$AP$36+'E2020'!$AP$43+'E2020'!$AP$51+'E2020'!$AP$60</f>
        <v>0</v>
      </c>
      <c r="M960" s="24">
        <f>'E2018'!$AQ$33+'E2018'!$AQ$36+'E2018'!$AQ$43+'E2018'!$AQ$51+'E2018'!$AQ$60</f>
        <v>0.70040550000000024</v>
      </c>
      <c r="N960" s="24">
        <f>'E2020'!$AQ$33+'E2020'!$AQ$36+'E2020'!$AQ$43+'E2020'!$AQ$51+'E2020'!$AQ$60</f>
        <v>0.54716643590399994</v>
      </c>
      <c r="O960" s="24">
        <f>'E2018'!$AR$33+'E2018'!$AR$36+'E2018'!$AR$43+'E2018'!$AR$51+'E2018'!$AR$60</f>
        <v>0.24432750000000009</v>
      </c>
      <c r="P960" s="24">
        <f>'E2020'!$AR$33+'E2020'!$AR$36+'E2020'!$AR$43+'E2020'!$AR$51+'E2020'!$AR$60</f>
        <v>0.22798601495999996</v>
      </c>
      <c r="Q960" s="24">
        <f>'E2018'!$AS$33+'E2018'!$AS$36+'E2018'!$AS$43+'E2018'!$AS$51+'E2018'!$AS$60</f>
        <v>0</v>
      </c>
      <c r="R960" s="24">
        <f>'E2020'!$AS$33+'E2020'!$AS$36+'E2020'!$AS$43+'E2020'!$AS$51+'E2020'!$AS$60</f>
        <v>0</v>
      </c>
      <c r="S960" s="24"/>
      <c r="T960" s="24"/>
      <c r="U960" s="64"/>
      <c r="V960" s="55"/>
      <c r="W960" s="55"/>
      <c r="X960" s="55"/>
      <c r="Y960" s="55"/>
      <c r="Z960" s="55"/>
      <c r="AA960" s="55"/>
      <c r="AB960" s="55"/>
      <c r="AC960" s="55"/>
      <c r="AD960" s="55"/>
      <c r="AE960" s="55"/>
      <c r="AF960" s="55"/>
      <c r="AG960" s="55"/>
      <c r="AH960" s="55"/>
      <c r="AI960" s="55"/>
      <c r="AJ960" s="55"/>
      <c r="AK960" s="55"/>
      <c r="AL960" s="55"/>
      <c r="AM960" s="55"/>
      <c r="AN960" s="55"/>
      <c r="AO960" s="55"/>
      <c r="AP960" s="55"/>
      <c r="AQ960" s="55"/>
      <c r="AR960" s="55"/>
      <c r="AS960" s="55"/>
      <c r="AT960" s="55"/>
      <c r="AU960" s="55"/>
      <c r="AV960" s="55"/>
      <c r="AW960" s="55"/>
      <c r="AX960" s="55"/>
      <c r="AY960" s="55"/>
      <c r="AZ960" s="55"/>
    </row>
    <row r="961" spans="2:52" x14ac:dyDescent="0.2">
      <c r="B961" s="28" t="s">
        <v>165</v>
      </c>
      <c r="C961" s="24"/>
      <c r="D961" s="24"/>
      <c r="E961" s="24"/>
      <c r="F961" s="24"/>
      <c r="G961" s="24"/>
      <c r="H961" s="24"/>
      <c r="I961" s="24"/>
      <c r="J961" s="24"/>
      <c r="K961" s="24"/>
      <c r="L961" s="24"/>
      <c r="M961" s="24">
        <f>(-'E2018'!$AI$56)</f>
        <v>0</v>
      </c>
      <c r="N961" s="24">
        <f>(-'E2020'!$AI$56)</f>
        <v>0</v>
      </c>
      <c r="O961" s="80"/>
      <c r="P961" s="80"/>
      <c r="Q961" s="80"/>
      <c r="R961" s="80"/>
      <c r="S961" s="24"/>
      <c r="T961" s="24"/>
      <c r="U961" s="64"/>
      <c r="V961" s="55"/>
      <c r="W961" s="55"/>
      <c r="X961" s="55"/>
      <c r="Y961" s="55"/>
      <c r="Z961" s="55"/>
      <c r="AA961" s="55"/>
      <c r="AB961" s="55"/>
      <c r="AC961" s="55"/>
      <c r="AD961" s="55"/>
      <c r="AE961" s="55"/>
      <c r="AF961" s="55"/>
      <c r="AG961" s="55"/>
      <c r="AH961" s="55"/>
      <c r="AI961" s="55"/>
      <c r="AJ961" s="55"/>
      <c r="AK961" s="55"/>
      <c r="AL961" s="55"/>
      <c r="AM961" s="55"/>
      <c r="AN961" s="55"/>
      <c r="AO961" s="55"/>
      <c r="AP961" s="55"/>
      <c r="AQ961" s="55"/>
      <c r="AR961" s="55"/>
      <c r="AS961" s="55"/>
      <c r="AT961" s="55"/>
      <c r="AU961" s="55"/>
      <c r="AV961" s="55"/>
      <c r="AW961" s="55"/>
      <c r="AX961" s="55"/>
      <c r="AY961" s="55"/>
      <c r="AZ961" s="55"/>
    </row>
    <row r="962" spans="2:52" x14ac:dyDescent="0.2">
      <c r="B962" s="28" t="s">
        <v>93</v>
      </c>
      <c r="C962" s="24"/>
      <c r="D962" s="24"/>
      <c r="E962" s="24"/>
      <c r="F962" s="24"/>
      <c r="G962" s="24"/>
      <c r="H962" s="24"/>
      <c r="I962" s="24"/>
      <c r="J962" s="24"/>
      <c r="K962" s="24"/>
      <c r="L962" s="24"/>
      <c r="M962" s="24">
        <f>('E2018'!$R$22+'E2018'!$S$22+'E2018'!$T$22+'E2018'!$W$22+'E2018'!$X$22+'E2018'!$Y$22)*'E2018'!$AD$22/100</f>
        <v>0</v>
      </c>
      <c r="N962" s="24">
        <f>('E2020'!$R$22+'E2020'!$S$22+'E2020'!$T$22+'E2020'!$W$22+'E2020'!$X$22+'E2020'!$Y$22)*'E2020'!$AD$22/100</f>
        <v>0</v>
      </c>
      <c r="O962" s="80"/>
      <c r="P962" s="80"/>
      <c r="Q962" s="80"/>
      <c r="R962" s="80"/>
      <c r="S962" s="24"/>
      <c r="T962" s="24"/>
      <c r="V962" s="55"/>
      <c r="W962" s="55"/>
      <c r="X962" s="55"/>
      <c r="Y962" s="55"/>
      <c r="Z962" s="55"/>
      <c r="AA962" s="55"/>
      <c r="AB962" s="55"/>
      <c r="AC962" s="55"/>
      <c r="AD962" s="55"/>
      <c r="AE962" s="55"/>
      <c r="AF962" s="55"/>
      <c r="AG962" s="55"/>
      <c r="AH962" s="55"/>
      <c r="AI962" s="55"/>
      <c r="AJ962" s="55"/>
      <c r="AK962" s="55"/>
      <c r="AL962" s="55"/>
      <c r="AM962" s="55"/>
      <c r="AN962" s="55"/>
      <c r="AO962" s="55"/>
      <c r="AP962" s="55"/>
      <c r="AQ962" s="55"/>
      <c r="AR962" s="55"/>
      <c r="AS962" s="55"/>
      <c r="AT962" s="55"/>
      <c r="AU962" s="55"/>
      <c r="AV962" s="55"/>
      <c r="AW962" s="55"/>
      <c r="AX962" s="55"/>
      <c r="AY962" s="55"/>
      <c r="AZ962" s="55"/>
    </row>
    <row r="963" spans="2:52" x14ac:dyDescent="0.2">
      <c r="B963" s="28" t="s">
        <v>136</v>
      </c>
      <c r="C963" s="24">
        <f>'E2018'!$AL$19+'E2018'!$Q$11</f>
        <v>2.0100000000000002</v>
      </c>
      <c r="D963" s="24">
        <f>'E2020'!$AL$19+'E2020'!$Q$11</f>
        <v>2.06</v>
      </c>
      <c r="E963" s="24"/>
      <c r="F963" s="24"/>
      <c r="G963" s="24"/>
      <c r="H963" s="24"/>
      <c r="I963" s="24"/>
      <c r="J963" s="24"/>
      <c r="K963" s="24"/>
      <c r="L963" s="24"/>
      <c r="M963" s="24"/>
      <c r="N963" s="24"/>
      <c r="O963" s="80"/>
      <c r="P963" s="80"/>
      <c r="Q963" s="80"/>
      <c r="R963" s="80"/>
      <c r="S963" s="24"/>
      <c r="T963" s="24"/>
      <c r="V963" s="55"/>
      <c r="W963" s="55"/>
      <c r="X963" s="55"/>
      <c r="Y963" s="55"/>
      <c r="Z963" s="55"/>
      <c r="AA963" s="55"/>
      <c r="AB963" s="55"/>
      <c r="AC963" s="55"/>
      <c r="AD963" s="55"/>
      <c r="AE963" s="55"/>
      <c r="AF963" s="55"/>
      <c r="AG963" s="55"/>
      <c r="AH963" s="55"/>
      <c r="AI963" s="55"/>
      <c r="AJ963" s="55"/>
      <c r="AK963" s="55"/>
      <c r="AL963" s="55"/>
      <c r="AM963" s="55"/>
      <c r="AN963" s="55"/>
      <c r="AO963" s="55"/>
      <c r="AP963" s="55"/>
      <c r="AQ963" s="55"/>
      <c r="AR963" s="55"/>
      <c r="AS963" s="55"/>
      <c r="AT963" s="55"/>
      <c r="AU963" s="55"/>
      <c r="AV963" s="55"/>
      <c r="AW963" s="55"/>
      <c r="AX963" s="55"/>
      <c r="AY963" s="55"/>
      <c r="AZ963" s="55"/>
    </row>
    <row r="964" spans="2:52" x14ac:dyDescent="0.2">
      <c r="B964" s="70" t="s">
        <v>97</v>
      </c>
      <c r="C964" s="71">
        <f t="shared" ref="C964" si="24">SUM(C950:C963)</f>
        <v>82.553934000000027</v>
      </c>
      <c r="D964" s="71">
        <f t="shared" ref="D964:T964" si="25">SUM(D950:D963)</f>
        <v>115.45675491393602</v>
      </c>
      <c r="E964" s="71">
        <f t="shared" si="25"/>
        <v>4.5162730000000009</v>
      </c>
      <c r="F964" s="71">
        <f t="shared" si="25"/>
        <v>4.5195086310720001</v>
      </c>
      <c r="G964" s="71">
        <f t="shared" si="25"/>
        <v>5.8637935000000017</v>
      </c>
      <c r="H964" s="71">
        <f t="shared" si="25"/>
        <v>5.436276931648</v>
      </c>
      <c r="I964" s="71">
        <f t="shared" si="25"/>
        <v>7.3239065000000005</v>
      </c>
      <c r="J964" s="71">
        <f t="shared" si="25"/>
        <v>4.99393473648</v>
      </c>
      <c r="K964" s="71">
        <f t="shared" si="25"/>
        <v>0</v>
      </c>
      <c r="L964" s="71">
        <f t="shared" si="25"/>
        <v>0</v>
      </c>
      <c r="M964" s="71">
        <f t="shared" si="25"/>
        <v>9.9033255000000011</v>
      </c>
      <c r="N964" s="71">
        <f t="shared" si="25"/>
        <v>9.731846435904</v>
      </c>
      <c r="O964" s="81">
        <f t="shared" si="25"/>
        <v>0.24432750000000009</v>
      </c>
      <c r="P964" s="81">
        <f t="shared" si="25"/>
        <v>0.22798601495999996</v>
      </c>
      <c r="Q964" s="81">
        <f t="shared" si="25"/>
        <v>8.2419499999999992</v>
      </c>
      <c r="R964" s="81">
        <f t="shared" si="25"/>
        <v>7.9615</v>
      </c>
      <c r="S964" s="71">
        <f t="shared" si="25"/>
        <v>23.622034999999997</v>
      </c>
      <c r="T964" s="71">
        <f t="shared" si="25"/>
        <v>20.147310000000001</v>
      </c>
      <c r="V964" s="55"/>
      <c r="W964" s="55"/>
      <c r="X964" s="55"/>
      <c r="Y964" s="55"/>
      <c r="Z964" s="55"/>
      <c r="AA964" s="55"/>
      <c r="AB964" s="55"/>
      <c r="AC964" s="55"/>
      <c r="AD964" s="55"/>
      <c r="AE964" s="55"/>
      <c r="AF964" s="55"/>
      <c r="AG964" s="55"/>
      <c r="AH964" s="55"/>
      <c r="AI964" s="55"/>
      <c r="AJ964" s="55"/>
      <c r="AK964" s="55"/>
      <c r="AL964" s="55"/>
      <c r="AM964" s="55"/>
      <c r="AN964" s="55"/>
      <c r="AO964" s="55"/>
      <c r="AP964" s="55"/>
      <c r="AQ964" s="55"/>
      <c r="AR964" s="55"/>
      <c r="AS964" s="55"/>
      <c r="AT964" s="55"/>
      <c r="AU964" s="55"/>
      <c r="AV964" s="55"/>
      <c r="AW964" s="55"/>
      <c r="AX964" s="55"/>
      <c r="AY964" s="55"/>
      <c r="AZ964" s="55"/>
    </row>
    <row r="965" spans="2:52" x14ac:dyDescent="0.2">
      <c r="V965" s="55"/>
      <c r="W965" s="55"/>
      <c r="X965" s="55"/>
      <c r="Y965" s="55"/>
      <c r="Z965" s="55"/>
      <c r="AA965" s="55"/>
      <c r="AB965" s="55"/>
      <c r="AC965" s="55"/>
      <c r="AD965" s="55"/>
      <c r="AE965" s="55"/>
      <c r="AF965" s="55"/>
      <c r="AG965" s="55"/>
      <c r="AH965" s="55"/>
      <c r="AI965" s="55"/>
      <c r="AJ965" s="55"/>
      <c r="AK965" s="55"/>
      <c r="AL965" s="55"/>
      <c r="AM965" s="55"/>
      <c r="AN965" s="55"/>
      <c r="AO965" s="55"/>
      <c r="AP965" s="55"/>
      <c r="AQ965" s="55"/>
      <c r="AR965" s="55"/>
      <c r="AS965" s="55"/>
      <c r="AT965" s="55"/>
      <c r="AU965" s="55"/>
      <c r="AV965" s="55"/>
      <c r="AW965" s="55"/>
      <c r="AX965" s="55"/>
      <c r="AY965" s="55"/>
      <c r="AZ965" s="55"/>
    </row>
    <row r="966" spans="2:52" x14ac:dyDescent="0.2">
      <c r="B966" s="59"/>
      <c r="C966" s="68"/>
      <c r="D966" s="68"/>
      <c r="V966" s="55"/>
      <c r="W966" s="55"/>
      <c r="X966" s="55"/>
      <c r="Y966" s="55"/>
      <c r="Z966" s="55"/>
      <c r="AA966" s="55"/>
      <c r="AB966" s="55"/>
      <c r="AC966" s="55"/>
      <c r="AD966" s="55"/>
      <c r="AE966" s="55"/>
      <c r="AF966" s="55"/>
      <c r="AG966" s="55"/>
      <c r="AH966" s="55"/>
      <c r="AI966" s="55"/>
      <c r="AJ966" s="55"/>
      <c r="AK966" s="55"/>
      <c r="AL966" s="55"/>
      <c r="AM966" s="55"/>
      <c r="AN966" s="55"/>
      <c r="AO966" s="55"/>
      <c r="AP966" s="55"/>
      <c r="AQ966" s="55"/>
      <c r="AR966" s="55"/>
      <c r="AS966" s="55"/>
      <c r="AT966" s="55"/>
      <c r="AU966" s="55"/>
      <c r="AV966" s="55"/>
      <c r="AW966" s="55"/>
      <c r="AX966" s="55"/>
      <c r="AY966" s="55"/>
      <c r="AZ966" s="55"/>
    </row>
    <row r="967" spans="2:52" x14ac:dyDescent="0.2">
      <c r="B967" s="59"/>
      <c r="C967" s="68"/>
      <c r="D967" s="68"/>
      <c r="V967" s="55"/>
      <c r="W967" s="55"/>
      <c r="X967" s="55"/>
      <c r="Y967" s="55"/>
      <c r="Z967" s="55"/>
      <c r="AA967" s="55"/>
      <c r="AB967" s="55"/>
      <c r="AC967" s="55"/>
      <c r="AD967" s="55"/>
      <c r="AE967" s="55"/>
      <c r="AF967" s="55"/>
      <c r="AG967" s="55"/>
      <c r="AH967" s="55"/>
      <c r="AI967" s="55"/>
      <c r="AJ967" s="55"/>
      <c r="AK967" s="55"/>
      <c r="AL967" s="55"/>
      <c r="AM967" s="55"/>
      <c r="AN967" s="55"/>
      <c r="AO967" s="55"/>
      <c r="AP967" s="55"/>
      <c r="AQ967" s="55"/>
      <c r="AR967" s="55"/>
      <c r="AS967" s="55"/>
      <c r="AT967" s="55"/>
      <c r="AU967" s="55"/>
      <c r="AV967" s="55"/>
      <c r="AW967" s="55"/>
      <c r="AX967" s="55"/>
      <c r="AY967" s="55"/>
      <c r="AZ967" s="55"/>
    </row>
    <row r="968" spans="2:52" x14ac:dyDescent="0.2">
      <c r="B968" s="59"/>
      <c r="C968" s="68"/>
      <c r="D968" s="68"/>
      <c r="V968" s="55"/>
      <c r="W968" s="55"/>
      <c r="X968" s="55"/>
      <c r="Y968" s="55"/>
      <c r="Z968" s="55"/>
      <c r="AA968" s="55"/>
      <c r="AB968" s="55"/>
      <c r="AC968" s="55"/>
      <c r="AD968" s="55"/>
      <c r="AE968" s="55"/>
      <c r="AF968" s="55"/>
      <c r="AG968" s="55"/>
      <c r="AH968" s="55"/>
      <c r="AI968" s="55"/>
      <c r="AJ968" s="55"/>
      <c r="AK968" s="55"/>
      <c r="AL968" s="55"/>
      <c r="AM968" s="55"/>
      <c r="AN968" s="55"/>
      <c r="AO968" s="55"/>
      <c r="AP968" s="55"/>
      <c r="AQ968" s="55"/>
      <c r="AR968" s="55"/>
      <c r="AS968" s="55"/>
      <c r="AT968" s="55"/>
      <c r="AU968" s="55"/>
      <c r="AV968" s="55"/>
      <c r="AW968" s="55"/>
      <c r="AX968" s="55"/>
      <c r="AY968" s="55"/>
      <c r="AZ968" s="55"/>
    </row>
    <row r="969" spans="2:52" x14ac:dyDescent="0.2">
      <c r="B969" s="59"/>
      <c r="C969" s="68"/>
      <c r="D969" s="68"/>
      <c r="V969" s="55"/>
      <c r="W969" s="55"/>
      <c r="X969" s="55"/>
      <c r="Y969" s="55"/>
      <c r="Z969" s="55"/>
      <c r="AA969" s="55"/>
      <c r="AB969" s="55"/>
      <c r="AC969" s="55"/>
      <c r="AD969" s="55"/>
      <c r="AE969" s="55"/>
      <c r="AF969" s="55"/>
      <c r="AG969" s="55"/>
      <c r="AH969" s="55"/>
      <c r="AI969" s="55"/>
      <c r="AJ969" s="55"/>
      <c r="AK969" s="55"/>
      <c r="AL969" s="55"/>
      <c r="AM969" s="55"/>
      <c r="AN969" s="55"/>
      <c r="AO969" s="55"/>
      <c r="AP969" s="55"/>
      <c r="AQ969" s="55"/>
      <c r="AR969" s="55"/>
      <c r="AS969" s="55"/>
      <c r="AT969" s="55"/>
      <c r="AU969" s="55"/>
      <c r="AV969" s="55"/>
      <c r="AW969" s="55"/>
      <c r="AX969" s="55"/>
      <c r="AY969" s="55"/>
      <c r="AZ969" s="55"/>
    </row>
    <row r="970" spans="2:52" x14ac:dyDescent="0.2">
      <c r="B970" s="59"/>
      <c r="C970" s="68"/>
      <c r="D970" s="68"/>
      <c r="V970" s="55"/>
      <c r="W970" s="55"/>
      <c r="X970" s="55"/>
      <c r="Y970" s="55"/>
      <c r="Z970" s="55"/>
      <c r="AA970" s="55"/>
      <c r="AB970" s="55"/>
      <c r="AC970" s="55"/>
      <c r="AD970" s="55"/>
      <c r="AE970" s="55"/>
      <c r="AF970" s="55"/>
      <c r="AG970" s="55"/>
      <c r="AH970" s="55"/>
      <c r="AI970" s="55"/>
      <c r="AJ970" s="55"/>
      <c r="AK970" s="55"/>
      <c r="AL970" s="55"/>
      <c r="AM970" s="55"/>
      <c r="AN970" s="55"/>
      <c r="AO970" s="55"/>
      <c r="AP970" s="55"/>
      <c r="AQ970" s="55"/>
      <c r="AR970" s="55"/>
      <c r="AS970" s="55"/>
      <c r="AT970" s="55"/>
      <c r="AU970" s="55"/>
      <c r="AV970" s="55"/>
      <c r="AW970" s="55"/>
      <c r="AX970" s="55"/>
      <c r="AY970" s="55"/>
      <c r="AZ970" s="55"/>
    </row>
    <row r="971" spans="2:52" x14ac:dyDescent="0.2">
      <c r="B971" s="59"/>
      <c r="C971" s="68"/>
      <c r="D971" s="68"/>
      <c r="V971" s="55"/>
      <c r="W971" s="55"/>
      <c r="X971" s="55"/>
      <c r="Y971" s="55"/>
      <c r="Z971" s="55"/>
      <c r="AA971" s="55"/>
      <c r="AB971" s="55"/>
      <c r="AC971" s="55"/>
      <c r="AD971" s="55"/>
      <c r="AE971" s="55"/>
      <c r="AF971" s="55"/>
      <c r="AG971" s="55"/>
      <c r="AH971" s="55"/>
      <c r="AI971" s="55"/>
      <c r="AJ971" s="55"/>
      <c r="AK971" s="55"/>
      <c r="AL971" s="55"/>
      <c r="AM971" s="55"/>
      <c r="AN971" s="55"/>
      <c r="AO971" s="55"/>
      <c r="AP971" s="55"/>
      <c r="AQ971" s="55"/>
      <c r="AR971" s="55"/>
      <c r="AS971" s="55"/>
      <c r="AT971" s="55"/>
      <c r="AU971" s="55"/>
      <c r="AV971" s="55"/>
      <c r="AW971" s="55"/>
      <c r="AX971" s="55"/>
      <c r="AY971" s="55"/>
      <c r="AZ971" s="55"/>
    </row>
    <row r="972" spans="2:52" x14ac:dyDescent="0.2">
      <c r="B972" s="59"/>
      <c r="C972" s="68"/>
      <c r="D972" s="68"/>
      <c r="V972" s="55"/>
      <c r="W972" s="55"/>
      <c r="X972" s="55"/>
      <c r="Y972" s="55"/>
      <c r="Z972" s="55"/>
      <c r="AA972" s="55"/>
      <c r="AB972" s="55"/>
      <c r="AC972" s="55"/>
      <c r="AD972" s="55"/>
      <c r="AE972" s="55"/>
      <c r="AF972" s="55"/>
      <c r="AG972" s="55"/>
      <c r="AH972" s="55"/>
      <c r="AI972" s="55"/>
      <c r="AJ972" s="55"/>
      <c r="AK972" s="55"/>
      <c r="AL972" s="55"/>
      <c r="AM972" s="55"/>
      <c r="AN972" s="55"/>
      <c r="AO972" s="55"/>
      <c r="AP972" s="55"/>
      <c r="AQ972" s="55"/>
      <c r="AR972" s="55"/>
      <c r="AS972" s="55"/>
      <c r="AT972" s="55"/>
      <c r="AU972" s="55"/>
      <c r="AV972" s="55"/>
      <c r="AW972" s="55"/>
      <c r="AX972" s="55"/>
      <c r="AY972" s="55"/>
      <c r="AZ972" s="55"/>
    </row>
    <row r="973" spans="2:52" x14ac:dyDescent="0.2">
      <c r="B973" s="59"/>
      <c r="C973" s="68"/>
      <c r="D973" s="68"/>
      <c r="V973" s="55"/>
      <c r="W973" s="55"/>
      <c r="X973" s="55"/>
      <c r="Y973" s="55"/>
      <c r="Z973" s="55"/>
      <c r="AA973" s="55"/>
      <c r="AB973" s="55"/>
      <c r="AC973" s="55"/>
      <c r="AD973" s="55"/>
      <c r="AE973" s="55"/>
      <c r="AF973" s="55"/>
      <c r="AG973" s="55"/>
      <c r="AH973" s="55"/>
      <c r="AI973" s="55"/>
      <c r="AJ973" s="55"/>
      <c r="AK973" s="55"/>
      <c r="AL973" s="55"/>
      <c r="AM973" s="55"/>
      <c r="AN973" s="55"/>
      <c r="AO973" s="55"/>
      <c r="AP973" s="55"/>
      <c r="AQ973" s="55"/>
      <c r="AR973" s="55"/>
      <c r="AS973" s="55"/>
      <c r="AT973" s="55"/>
      <c r="AU973" s="55"/>
      <c r="AV973" s="55"/>
      <c r="AW973" s="55"/>
      <c r="AX973" s="55"/>
      <c r="AY973" s="55"/>
      <c r="AZ973" s="55"/>
    </row>
    <row r="974" spans="2:52" x14ac:dyDescent="0.2">
      <c r="B974" s="59"/>
      <c r="C974" s="68"/>
      <c r="D974" s="68"/>
      <c r="V974" s="55"/>
      <c r="W974" s="55"/>
      <c r="X974" s="55"/>
      <c r="Y974" s="55"/>
      <c r="Z974" s="55"/>
      <c r="AA974" s="55"/>
      <c r="AB974" s="55"/>
      <c r="AC974" s="55"/>
      <c r="AD974" s="55"/>
      <c r="AE974" s="55"/>
      <c r="AF974" s="55"/>
      <c r="AG974" s="55"/>
      <c r="AH974" s="55"/>
      <c r="AI974" s="55"/>
      <c r="AJ974" s="55"/>
      <c r="AK974" s="55"/>
      <c r="AL974" s="55"/>
      <c r="AM974" s="55"/>
      <c r="AN974" s="55"/>
      <c r="AO974" s="55"/>
      <c r="AP974" s="55"/>
      <c r="AQ974" s="55"/>
      <c r="AR974" s="55"/>
      <c r="AS974" s="55"/>
      <c r="AT974" s="55"/>
      <c r="AU974" s="55"/>
      <c r="AV974" s="55"/>
      <c r="AW974" s="55"/>
      <c r="AX974" s="55"/>
      <c r="AY974" s="55"/>
      <c r="AZ974" s="55"/>
    </row>
    <row r="975" spans="2:52" x14ac:dyDescent="0.2">
      <c r="B975" s="59"/>
      <c r="C975" s="68"/>
      <c r="D975" s="68"/>
      <c r="V975" s="55"/>
      <c r="W975" s="55"/>
      <c r="X975" s="55"/>
      <c r="Y975" s="55"/>
      <c r="Z975" s="55"/>
      <c r="AA975" s="55"/>
      <c r="AB975" s="55"/>
      <c r="AC975" s="55"/>
      <c r="AD975" s="55"/>
      <c r="AE975" s="55"/>
      <c r="AF975" s="55"/>
      <c r="AG975" s="55"/>
      <c r="AH975" s="55"/>
      <c r="AI975" s="55"/>
      <c r="AJ975" s="55"/>
      <c r="AK975" s="55"/>
      <c r="AL975" s="55"/>
      <c r="AM975" s="55"/>
      <c r="AN975" s="55"/>
      <c r="AO975" s="55"/>
      <c r="AP975" s="55"/>
      <c r="AQ975" s="55"/>
      <c r="AR975" s="55"/>
      <c r="AS975" s="55"/>
      <c r="AT975" s="55"/>
      <c r="AU975" s="55"/>
      <c r="AV975" s="55"/>
      <c r="AW975" s="55"/>
      <c r="AX975" s="55"/>
      <c r="AY975" s="55"/>
      <c r="AZ975" s="55"/>
    </row>
    <row r="976" spans="2:52" x14ac:dyDescent="0.2">
      <c r="B976" s="59"/>
      <c r="C976" s="68"/>
      <c r="D976" s="68"/>
      <c r="V976" s="55"/>
      <c r="W976" s="55"/>
      <c r="X976" s="55"/>
      <c r="Y976" s="55"/>
      <c r="Z976" s="55"/>
      <c r="AA976" s="55"/>
      <c r="AB976" s="55"/>
      <c r="AC976" s="55"/>
      <c r="AD976" s="55"/>
      <c r="AE976" s="55"/>
      <c r="AF976" s="55"/>
      <c r="AG976" s="55"/>
      <c r="AH976" s="55"/>
      <c r="AI976" s="55"/>
      <c r="AJ976" s="55"/>
      <c r="AK976" s="55"/>
      <c r="AL976" s="55"/>
      <c r="AM976" s="55"/>
      <c r="AN976" s="55"/>
      <c r="AO976" s="55"/>
      <c r="AP976" s="55"/>
      <c r="AQ976" s="55"/>
      <c r="AR976" s="55"/>
      <c r="AS976" s="55"/>
      <c r="AT976" s="55"/>
      <c r="AU976" s="55"/>
      <c r="AV976" s="55"/>
      <c r="AW976" s="55"/>
      <c r="AX976" s="55"/>
      <c r="AY976" s="55"/>
      <c r="AZ976" s="55"/>
    </row>
    <row r="977" spans="2:52" x14ac:dyDescent="0.2">
      <c r="B977" s="59"/>
      <c r="C977" s="68"/>
      <c r="D977" s="68"/>
      <c r="V977" s="55"/>
      <c r="W977" s="55"/>
      <c r="X977" s="55"/>
      <c r="Y977" s="55"/>
      <c r="Z977" s="55"/>
      <c r="AA977" s="55"/>
      <c r="AB977" s="55"/>
      <c r="AC977" s="55"/>
      <c r="AD977" s="55"/>
      <c r="AE977" s="55"/>
      <c r="AF977" s="55"/>
      <c r="AG977" s="55"/>
      <c r="AH977" s="55"/>
      <c r="AI977" s="55"/>
      <c r="AJ977" s="55"/>
      <c r="AK977" s="55"/>
      <c r="AL977" s="55"/>
      <c r="AM977" s="55"/>
      <c r="AN977" s="55"/>
      <c r="AO977" s="55"/>
      <c r="AP977" s="55"/>
      <c r="AQ977" s="55"/>
      <c r="AR977" s="55"/>
      <c r="AS977" s="55"/>
      <c r="AT977" s="55"/>
      <c r="AU977" s="55"/>
      <c r="AV977" s="55"/>
      <c r="AW977" s="55"/>
      <c r="AX977" s="55"/>
      <c r="AY977" s="55"/>
      <c r="AZ977" s="55"/>
    </row>
    <row r="978" spans="2:52" x14ac:dyDescent="0.2">
      <c r="B978" s="59"/>
      <c r="C978" s="68"/>
      <c r="D978" s="68"/>
      <c r="V978" s="55"/>
      <c r="W978" s="55"/>
      <c r="X978" s="55"/>
      <c r="Y978" s="55"/>
      <c r="Z978" s="55"/>
      <c r="AA978" s="55"/>
      <c r="AB978" s="55"/>
      <c r="AC978" s="55"/>
      <c r="AD978" s="55"/>
      <c r="AE978" s="55"/>
      <c r="AF978" s="55"/>
      <c r="AG978" s="55"/>
      <c r="AH978" s="55"/>
      <c r="AI978" s="55"/>
      <c r="AJ978" s="55"/>
      <c r="AK978" s="55"/>
      <c r="AL978" s="55"/>
      <c r="AM978" s="55"/>
      <c r="AN978" s="55"/>
      <c r="AO978" s="55"/>
      <c r="AP978" s="55"/>
      <c r="AQ978" s="55"/>
      <c r="AR978" s="55"/>
      <c r="AS978" s="55"/>
      <c r="AT978" s="55"/>
      <c r="AU978" s="55"/>
      <c r="AV978" s="55"/>
      <c r="AW978" s="55"/>
      <c r="AX978" s="55"/>
      <c r="AY978" s="55"/>
      <c r="AZ978" s="55"/>
    </row>
    <row r="979" spans="2:52" x14ac:dyDescent="0.2">
      <c r="B979" s="59"/>
      <c r="C979" s="68"/>
      <c r="D979" s="68"/>
      <c r="V979" s="55"/>
      <c r="W979" s="55"/>
      <c r="X979" s="55"/>
      <c r="Y979" s="55"/>
      <c r="Z979" s="55"/>
      <c r="AA979" s="55"/>
      <c r="AB979" s="55"/>
      <c r="AC979" s="55"/>
      <c r="AD979" s="55"/>
      <c r="AE979" s="55"/>
      <c r="AF979" s="55"/>
      <c r="AG979" s="55"/>
      <c r="AH979" s="55"/>
      <c r="AI979" s="55"/>
      <c r="AJ979" s="55"/>
      <c r="AK979" s="55"/>
      <c r="AL979" s="55"/>
      <c r="AM979" s="55"/>
      <c r="AN979" s="55"/>
      <c r="AO979" s="55"/>
      <c r="AP979" s="55"/>
      <c r="AQ979" s="55"/>
      <c r="AR979" s="55"/>
      <c r="AS979" s="55"/>
      <c r="AT979" s="55"/>
      <c r="AU979" s="55"/>
      <c r="AV979" s="55"/>
      <c r="AW979" s="55"/>
      <c r="AX979" s="55"/>
      <c r="AY979" s="55"/>
      <c r="AZ979" s="55"/>
    </row>
    <row r="980" spans="2:52" x14ac:dyDescent="0.2">
      <c r="B980" s="59"/>
      <c r="C980" s="68"/>
      <c r="D980" s="68"/>
      <c r="V980" s="55"/>
      <c r="W980" s="55"/>
      <c r="X980" s="55"/>
      <c r="Y980" s="55"/>
      <c r="Z980" s="55"/>
      <c r="AA980" s="55"/>
      <c r="AB980" s="55"/>
      <c r="AC980" s="55"/>
      <c r="AD980" s="55"/>
      <c r="AE980" s="55"/>
      <c r="AF980" s="55"/>
      <c r="AG980" s="55"/>
      <c r="AH980" s="55"/>
      <c r="AI980" s="55"/>
      <c r="AJ980" s="55"/>
      <c r="AK980" s="55"/>
      <c r="AL980" s="55"/>
      <c r="AM980" s="55"/>
      <c r="AN980" s="55"/>
      <c r="AO980" s="55"/>
      <c r="AP980" s="55"/>
      <c r="AQ980" s="55"/>
      <c r="AR980" s="55"/>
      <c r="AS980" s="55"/>
      <c r="AT980" s="55"/>
      <c r="AU980" s="55"/>
      <c r="AV980" s="55"/>
      <c r="AW980" s="55"/>
      <c r="AX980" s="55"/>
      <c r="AY980" s="55"/>
      <c r="AZ980" s="55"/>
    </row>
    <row r="981" spans="2:52" x14ac:dyDescent="0.2">
      <c r="B981" s="59"/>
      <c r="C981" s="68"/>
      <c r="D981" s="68"/>
      <c r="V981" s="55"/>
      <c r="W981" s="55"/>
      <c r="X981" s="55"/>
      <c r="Y981" s="55"/>
      <c r="Z981" s="55"/>
      <c r="AA981" s="55"/>
      <c r="AB981" s="55"/>
      <c r="AC981" s="55"/>
      <c r="AD981" s="55"/>
      <c r="AE981" s="55"/>
      <c r="AF981" s="55"/>
      <c r="AG981" s="55"/>
      <c r="AH981" s="55"/>
      <c r="AI981" s="55"/>
      <c r="AJ981" s="55"/>
      <c r="AK981" s="55"/>
      <c r="AL981" s="55"/>
      <c r="AM981" s="55"/>
      <c r="AN981" s="55"/>
      <c r="AO981" s="55"/>
      <c r="AP981" s="55"/>
      <c r="AQ981" s="55"/>
      <c r="AR981" s="55"/>
      <c r="AS981" s="55"/>
      <c r="AT981" s="55"/>
      <c r="AU981" s="55"/>
      <c r="AV981" s="55"/>
      <c r="AW981" s="55"/>
      <c r="AX981" s="55"/>
      <c r="AY981" s="55"/>
      <c r="AZ981" s="55"/>
    </row>
    <row r="982" spans="2:52" x14ac:dyDescent="0.2">
      <c r="B982" s="59"/>
      <c r="C982" s="68"/>
      <c r="D982" s="68"/>
      <c r="V982" s="55"/>
      <c r="W982" s="55"/>
      <c r="X982" s="55"/>
      <c r="Y982" s="55"/>
      <c r="Z982" s="55"/>
      <c r="AA982" s="55"/>
      <c r="AB982" s="55"/>
      <c r="AC982" s="55"/>
      <c r="AD982" s="55"/>
      <c r="AE982" s="55"/>
      <c r="AF982" s="55"/>
      <c r="AG982" s="55"/>
      <c r="AH982" s="55"/>
      <c r="AI982" s="55"/>
      <c r="AJ982" s="55"/>
      <c r="AK982" s="55"/>
      <c r="AL982" s="55"/>
      <c r="AM982" s="55"/>
      <c r="AN982" s="55"/>
      <c r="AO982" s="55"/>
      <c r="AP982" s="55"/>
      <c r="AQ982" s="55"/>
      <c r="AR982" s="55"/>
      <c r="AS982" s="55"/>
      <c r="AT982" s="55"/>
      <c r="AU982" s="55"/>
      <c r="AV982" s="55"/>
      <c r="AW982" s="55"/>
      <c r="AX982" s="55"/>
      <c r="AY982" s="55"/>
      <c r="AZ982" s="55"/>
    </row>
    <row r="983" spans="2:52" x14ac:dyDescent="0.2">
      <c r="B983" s="59"/>
      <c r="C983" s="68"/>
      <c r="D983" s="68"/>
      <c r="V983" s="55"/>
      <c r="W983" s="55"/>
      <c r="X983" s="55"/>
      <c r="Y983" s="55"/>
      <c r="Z983" s="55"/>
      <c r="AA983" s="55"/>
      <c r="AB983" s="55"/>
      <c r="AC983" s="55"/>
      <c r="AD983" s="55"/>
      <c r="AE983" s="55"/>
      <c r="AF983" s="55"/>
      <c r="AG983" s="55"/>
      <c r="AH983" s="55"/>
      <c r="AI983" s="55"/>
      <c r="AJ983" s="55"/>
      <c r="AK983" s="55"/>
      <c r="AL983" s="55"/>
      <c r="AM983" s="55"/>
      <c r="AN983" s="55"/>
      <c r="AO983" s="55"/>
      <c r="AP983" s="55"/>
      <c r="AQ983" s="55"/>
      <c r="AR983" s="55"/>
      <c r="AS983" s="55"/>
      <c r="AT983" s="55"/>
      <c r="AU983" s="55"/>
      <c r="AV983" s="55"/>
      <c r="AW983" s="55"/>
      <c r="AX983" s="55"/>
      <c r="AY983" s="55"/>
      <c r="AZ983" s="55"/>
    </row>
    <row r="984" spans="2:52" x14ac:dyDescent="0.2">
      <c r="B984" s="59"/>
      <c r="C984" s="68"/>
      <c r="D984" s="68"/>
      <c r="V984" s="55"/>
      <c r="W984" s="55"/>
      <c r="X984" s="55"/>
      <c r="Y984" s="55"/>
      <c r="Z984" s="55"/>
      <c r="AA984" s="55"/>
      <c r="AB984" s="55"/>
      <c r="AC984" s="55"/>
      <c r="AD984" s="55"/>
      <c r="AE984" s="55"/>
      <c r="AF984" s="55"/>
      <c r="AG984" s="55"/>
      <c r="AH984" s="55"/>
      <c r="AI984" s="55"/>
      <c r="AJ984" s="55"/>
      <c r="AK984" s="55"/>
      <c r="AL984" s="55"/>
      <c r="AM984" s="55"/>
      <c r="AN984" s="55"/>
      <c r="AO984" s="55"/>
      <c r="AP984" s="55"/>
      <c r="AQ984" s="55"/>
      <c r="AR984" s="55"/>
      <c r="AS984" s="55"/>
      <c r="AT984" s="55"/>
      <c r="AU984" s="55"/>
      <c r="AV984" s="55"/>
      <c r="AW984" s="55"/>
      <c r="AX984" s="55"/>
      <c r="AY984" s="55"/>
      <c r="AZ984" s="55"/>
    </row>
    <row r="985" spans="2:52" x14ac:dyDescent="0.2">
      <c r="B985" s="59"/>
      <c r="C985" s="68"/>
      <c r="D985" s="68"/>
      <c r="V985" s="55"/>
      <c r="W985" s="55"/>
      <c r="X985" s="55"/>
      <c r="Y985" s="55"/>
      <c r="Z985" s="55"/>
      <c r="AA985" s="55"/>
      <c r="AB985" s="55"/>
      <c r="AC985" s="55"/>
      <c r="AD985" s="55"/>
      <c r="AE985" s="55"/>
      <c r="AF985" s="55"/>
      <c r="AG985" s="55"/>
      <c r="AH985" s="55"/>
      <c r="AI985" s="55"/>
      <c r="AJ985" s="55"/>
      <c r="AK985" s="55"/>
      <c r="AL985" s="55"/>
      <c r="AM985" s="55"/>
      <c r="AN985" s="55"/>
      <c r="AO985" s="55"/>
      <c r="AP985" s="55"/>
      <c r="AQ985" s="55"/>
      <c r="AR985" s="55"/>
      <c r="AS985" s="55"/>
      <c r="AT985" s="55"/>
      <c r="AU985" s="55"/>
      <c r="AV985" s="55"/>
      <c r="AW985" s="55"/>
      <c r="AX985" s="55"/>
      <c r="AY985" s="55"/>
      <c r="AZ985" s="55"/>
    </row>
    <row r="986" spans="2:52" x14ac:dyDescent="0.2">
      <c r="B986" s="59"/>
      <c r="C986" s="68"/>
      <c r="D986" s="68"/>
      <c r="V986" s="55"/>
      <c r="W986" s="55"/>
      <c r="X986" s="55"/>
      <c r="Y986" s="55"/>
      <c r="Z986" s="55"/>
      <c r="AA986" s="55"/>
      <c r="AB986" s="55"/>
      <c r="AC986" s="55"/>
      <c r="AD986" s="55"/>
      <c r="AE986" s="55"/>
      <c r="AF986" s="55"/>
      <c r="AG986" s="55"/>
      <c r="AH986" s="55"/>
      <c r="AI986" s="55"/>
      <c r="AJ986" s="55"/>
      <c r="AK986" s="55"/>
      <c r="AL986" s="55"/>
      <c r="AM986" s="55"/>
      <c r="AN986" s="55"/>
      <c r="AO986" s="55"/>
      <c r="AP986" s="55"/>
      <c r="AQ986" s="55"/>
      <c r="AR986" s="55"/>
      <c r="AS986" s="55"/>
      <c r="AT986" s="55"/>
      <c r="AU986" s="55"/>
      <c r="AV986" s="55"/>
      <c r="AW986" s="55"/>
      <c r="AX986" s="55"/>
      <c r="AY986" s="55"/>
      <c r="AZ986" s="55"/>
    </row>
    <row r="987" spans="2:52" x14ac:dyDescent="0.2">
      <c r="C987" s="68"/>
      <c r="D987" s="68"/>
      <c r="V987" s="55"/>
      <c r="W987" s="55"/>
      <c r="X987" s="55"/>
      <c r="Y987" s="55"/>
      <c r="Z987" s="55"/>
      <c r="AA987" s="55"/>
      <c r="AB987" s="55"/>
      <c r="AC987" s="55"/>
      <c r="AD987" s="55"/>
      <c r="AE987" s="55"/>
      <c r="AF987" s="55"/>
      <c r="AG987" s="55"/>
      <c r="AH987" s="55"/>
      <c r="AI987" s="55"/>
      <c r="AJ987" s="55"/>
      <c r="AK987" s="55"/>
      <c r="AL987" s="55"/>
      <c r="AM987" s="55"/>
      <c r="AN987" s="55"/>
      <c r="AO987" s="55"/>
      <c r="AP987" s="55"/>
      <c r="AQ987" s="55"/>
      <c r="AR987" s="55"/>
      <c r="AS987" s="55"/>
      <c r="AT987" s="55"/>
      <c r="AU987" s="55"/>
      <c r="AV987" s="55"/>
      <c r="AW987" s="55"/>
      <c r="AX987" s="55"/>
      <c r="AY987" s="55"/>
      <c r="AZ987" s="55"/>
    </row>
    <row r="988" spans="2:52" x14ac:dyDescent="0.2">
      <c r="C988" s="68"/>
      <c r="D988" s="68"/>
      <c r="V988" s="55"/>
      <c r="W988" s="55"/>
      <c r="X988" s="55"/>
      <c r="Y988" s="55"/>
      <c r="Z988" s="55"/>
      <c r="AA988" s="55"/>
      <c r="AB988" s="55"/>
      <c r="AC988" s="55"/>
      <c r="AD988" s="55"/>
      <c r="AE988" s="55"/>
      <c r="AF988" s="55"/>
      <c r="AG988" s="55"/>
      <c r="AH988" s="55"/>
      <c r="AI988" s="55"/>
      <c r="AJ988" s="55"/>
      <c r="AK988" s="55"/>
      <c r="AL988" s="55"/>
      <c r="AM988" s="55"/>
      <c r="AN988" s="55"/>
      <c r="AO988" s="55"/>
      <c r="AP988" s="55"/>
      <c r="AQ988" s="55"/>
      <c r="AR988" s="55"/>
      <c r="AS988" s="55"/>
      <c r="AT988" s="55"/>
      <c r="AU988" s="55"/>
      <c r="AV988" s="55"/>
      <c r="AW988" s="55"/>
      <c r="AX988" s="55"/>
      <c r="AY988" s="55"/>
      <c r="AZ988" s="55"/>
    </row>
    <row r="989" spans="2:52" x14ac:dyDescent="0.2">
      <c r="B989" s="59"/>
      <c r="C989" s="68"/>
      <c r="D989" s="68"/>
      <c r="V989" s="55"/>
      <c r="W989" s="55"/>
      <c r="X989" s="55"/>
      <c r="Y989" s="55"/>
      <c r="Z989" s="55"/>
      <c r="AA989" s="55"/>
      <c r="AB989" s="55"/>
      <c r="AC989" s="55"/>
      <c r="AD989" s="55"/>
      <c r="AE989" s="55"/>
      <c r="AF989" s="55"/>
      <c r="AG989" s="55"/>
      <c r="AH989" s="55"/>
      <c r="AI989" s="55"/>
      <c r="AJ989" s="55"/>
      <c r="AK989" s="55"/>
      <c r="AL989" s="55"/>
      <c r="AM989" s="55"/>
      <c r="AN989" s="55"/>
      <c r="AO989" s="55"/>
      <c r="AP989" s="55"/>
      <c r="AQ989" s="55"/>
      <c r="AR989" s="55"/>
      <c r="AS989" s="55"/>
      <c r="AT989" s="55"/>
      <c r="AU989" s="55"/>
      <c r="AV989" s="55"/>
      <c r="AW989" s="55"/>
      <c r="AX989" s="55"/>
      <c r="AY989" s="55"/>
      <c r="AZ989" s="55"/>
    </row>
    <row r="990" spans="2:52" x14ac:dyDescent="0.2">
      <c r="C990" s="68"/>
      <c r="D990" s="68"/>
      <c r="V990" s="55"/>
      <c r="W990" s="55"/>
      <c r="X990" s="55"/>
      <c r="Y990" s="55"/>
      <c r="Z990" s="55"/>
      <c r="AA990" s="55"/>
      <c r="AB990" s="55"/>
      <c r="AC990" s="55"/>
      <c r="AD990" s="55"/>
      <c r="AE990" s="55"/>
      <c r="AF990" s="55"/>
      <c r="AG990" s="55"/>
      <c r="AH990" s="55"/>
      <c r="AI990" s="55"/>
      <c r="AJ990" s="55"/>
      <c r="AK990" s="55"/>
      <c r="AL990" s="55"/>
      <c r="AM990" s="55"/>
      <c r="AN990" s="55"/>
      <c r="AO990" s="55"/>
      <c r="AP990" s="55"/>
      <c r="AQ990" s="55"/>
      <c r="AR990" s="55"/>
      <c r="AS990" s="55"/>
      <c r="AT990" s="55"/>
      <c r="AU990" s="55"/>
      <c r="AV990" s="55"/>
      <c r="AW990" s="55"/>
      <c r="AX990" s="55"/>
      <c r="AY990" s="55"/>
      <c r="AZ990" s="55"/>
    </row>
    <row r="991" spans="2:52" x14ac:dyDescent="0.2">
      <c r="B991" s="59"/>
      <c r="C991" s="68"/>
      <c r="D991" s="68"/>
      <c r="V991" s="55"/>
      <c r="W991" s="55"/>
      <c r="X991" s="55"/>
      <c r="Y991" s="55"/>
      <c r="Z991" s="55"/>
      <c r="AA991" s="55"/>
      <c r="AB991" s="55"/>
      <c r="AC991" s="55"/>
      <c r="AD991" s="55"/>
      <c r="AE991" s="55"/>
      <c r="AF991" s="55"/>
      <c r="AG991" s="55"/>
      <c r="AH991" s="55"/>
      <c r="AI991" s="55"/>
      <c r="AJ991" s="55"/>
      <c r="AK991" s="55"/>
      <c r="AL991" s="55"/>
      <c r="AM991" s="55"/>
      <c r="AN991" s="55"/>
      <c r="AO991" s="55"/>
      <c r="AP991" s="55"/>
      <c r="AQ991" s="55"/>
      <c r="AR991" s="55"/>
      <c r="AS991" s="55"/>
      <c r="AT991" s="55"/>
      <c r="AU991" s="55"/>
      <c r="AV991" s="55"/>
      <c r="AW991" s="55"/>
      <c r="AX991" s="55"/>
      <c r="AY991" s="55"/>
      <c r="AZ991" s="55"/>
    </row>
    <row r="992" spans="2:52" x14ac:dyDescent="0.2">
      <c r="B992" s="59"/>
      <c r="C992" s="68"/>
      <c r="D992" s="68"/>
      <c r="V992" s="55"/>
      <c r="W992" s="55"/>
      <c r="X992" s="55"/>
      <c r="Y992" s="55"/>
      <c r="Z992" s="55"/>
      <c r="AA992" s="55"/>
      <c r="AB992" s="55"/>
      <c r="AC992" s="55"/>
      <c r="AD992" s="55"/>
      <c r="AE992" s="55"/>
      <c r="AF992" s="55"/>
      <c r="AG992" s="55"/>
      <c r="AH992" s="55"/>
      <c r="AI992" s="55"/>
      <c r="AJ992" s="55"/>
      <c r="AK992" s="55"/>
      <c r="AL992" s="55"/>
      <c r="AM992" s="55"/>
      <c r="AN992" s="55"/>
      <c r="AO992" s="55"/>
      <c r="AP992" s="55"/>
      <c r="AQ992" s="55"/>
      <c r="AR992" s="55"/>
      <c r="AS992" s="55"/>
      <c r="AT992" s="55"/>
      <c r="AU992" s="55"/>
      <c r="AV992" s="55"/>
      <c r="AW992" s="55"/>
      <c r="AX992" s="55"/>
      <c r="AY992" s="55"/>
      <c r="AZ992" s="55"/>
    </row>
    <row r="993" spans="2:52" x14ac:dyDescent="0.2">
      <c r="B993" s="59"/>
      <c r="C993" s="68"/>
      <c r="D993" s="68"/>
      <c r="V993" s="55"/>
      <c r="W993" s="55"/>
      <c r="X993" s="55"/>
      <c r="Y993" s="55"/>
      <c r="Z993" s="55"/>
      <c r="AA993" s="55"/>
      <c r="AB993" s="55"/>
      <c r="AC993" s="55"/>
      <c r="AD993" s="55"/>
      <c r="AE993" s="55"/>
      <c r="AF993" s="55"/>
      <c r="AG993" s="55"/>
      <c r="AH993" s="55"/>
      <c r="AI993" s="55"/>
      <c r="AJ993" s="55"/>
      <c r="AK993" s="55"/>
      <c r="AL993" s="55"/>
      <c r="AM993" s="55"/>
      <c r="AN993" s="55"/>
      <c r="AO993" s="55"/>
      <c r="AP993" s="55"/>
      <c r="AQ993" s="55"/>
      <c r="AR993" s="55"/>
      <c r="AS993" s="55"/>
      <c r="AT993" s="55"/>
      <c r="AU993" s="55"/>
      <c r="AV993" s="55"/>
      <c r="AW993" s="55"/>
      <c r="AX993" s="55"/>
      <c r="AY993" s="55"/>
      <c r="AZ993" s="55"/>
    </row>
    <row r="994" spans="2:52" x14ac:dyDescent="0.2">
      <c r="B994" s="59"/>
      <c r="C994" s="68"/>
      <c r="D994" s="68"/>
      <c r="V994" s="55"/>
      <c r="W994" s="55"/>
      <c r="X994" s="55"/>
      <c r="Y994" s="55"/>
      <c r="Z994" s="55"/>
      <c r="AA994" s="55"/>
      <c r="AB994" s="55"/>
      <c r="AC994" s="55"/>
      <c r="AD994" s="55"/>
      <c r="AE994" s="55"/>
      <c r="AF994" s="55"/>
      <c r="AG994" s="55"/>
      <c r="AH994" s="55"/>
      <c r="AI994" s="55"/>
      <c r="AJ994" s="55"/>
      <c r="AK994" s="55"/>
      <c r="AL994" s="55"/>
      <c r="AM994" s="55"/>
      <c r="AN994" s="55"/>
      <c r="AO994" s="55"/>
      <c r="AP994" s="55"/>
      <c r="AQ994" s="55"/>
      <c r="AR994" s="55"/>
      <c r="AS994" s="55"/>
      <c r="AT994" s="55"/>
      <c r="AU994" s="55"/>
      <c r="AV994" s="55"/>
      <c r="AW994" s="55"/>
      <c r="AX994" s="55"/>
      <c r="AY994" s="55"/>
      <c r="AZ994" s="55"/>
    </row>
    <row r="995" spans="2:52" x14ac:dyDescent="0.2">
      <c r="B995" s="59"/>
      <c r="C995" s="68"/>
      <c r="D995" s="68"/>
      <c r="V995" s="55"/>
      <c r="W995" s="55"/>
      <c r="X995" s="55"/>
      <c r="Y995" s="55"/>
      <c r="Z995" s="55"/>
      <c r="AA995" s="55"/>
      <c r="AB995" s="55"/>
      <c r="AC995" s="55"/>
      <c r="AD995" s="55"/>
      <c r="AE995" s="55"/>
      <c r="AF995" s="55"/>
      <c r="AG995" s="55"/>
      <c r="AH995" s="55"/>
      <c r="AI995" s="55"/>
      <c r="AJ995" s="55"/>
      <c r="AK995" s="55"/>
      <c r="AL995" s="55"/>
      <c r="AM995" s="55"/>
      <c r="AN995" s="55"/>
      <c r="AO995" s="55"/>
      <c r="AP995" s="55"/>
      <c r="AQ995" s="55"/>
      <c r="AR995" s="55"/>
      <c r="AS995" s="55"/>
      <c r="AT995" s="55"/>
      <c r="AU995" s="55"/>
      <c r="AV995" s="55"/>
      <c r="AW995" s="55"/>
      <c r="AX995" s="55"/>
      <c r="AY995" s="55"/>
      <c r="AZ995" s="55"/>
    </row>
    <row r="996" spans="2:52" x14ac:dyDescent="0.2">
      <c r="B996" s="59"/>
      <c r="C996" s="68"/>
      <c r="D996" s="68"/>
      <c r="V996" s="55"/>
      <c r="W996" s="55"/>
      <c r="X996" s="55"/>
      <c r="Y996" s="55"/>
      <c r="Z996" s="55"/>
      <c r="AA996" s="55"/>
      <c r="AB996" s="55"/>
      <c r="AC996" s="55"/>
      <c r="AD996" s="55"/>
      <c r="AE996" s="55"/>
      <c r="AF996" s="55"/>
      <c r="AG996" s="55"/>
      <c r="AH996" s="55"/>
      <c r="AI996" s="55"/>
      <c r="AJ996" s="55"/>
      <c r="AK996" s="55"/>
      <c r="AL996" s="55"/>
      <c r="AM996" s="55"/>
      <c r="AN996" s="55"/>
      <c r="AO996" s="55"/>
      <c r="AP996" s="55"/>
      <c r="AQ996" s="55"/>
      <c r="AR996" s="55"/>
      <c r="AS996" s="55"/>
      <c r="AT996" s="55"/>
      <c r="AU996" s="55"/>
      <c r="AV996" s="55"/>
      <c r="AW996" s="55"/>
      <c r="AX996" s="55"/>
      <c r="AY996" s="55"/>
      <c r="AZ996" s="55"/>
    </row>
    <row r="997" spans="2:52" x14ac:dyDescent="0.2">
      <c r="B997" s="59"/>
      <c r="C997" s="68"/>
      <c r="D997" s="68"/>
      <c r="V997" s="55"/>
      <c r="W997" s="55"/>
      <c r="X997" s="55"/>
      <c r="Y997" s="55"/>
      <c r="Z997" s="55"/>
      <c r="AA997" s="55"/>
      <c r="AB997" s="55"/>
      <c r="AC997" s="55"/>
      <c r="AD997" s="55"/>
      <c r="AE997" s="55"/>
      <c r="AF997" s="55"/>
      <c r="AG997" s="55"/>
      <c r="AH997" s="55"/>
      <c r="AI997" s="55"/>
      <c r="AJ997" s="55"/>
      <c r="AK997" s="55"/>
      <c r="AL997" s="55"/>
      <c r="AM997" s="55"/>
      <c r="AN997" s="55"/>
      <c r="AO997" s="55"/>
      <c r="AP997" s="55"/>
      <c r="AQ997" s="55"/>
      <c r="AR997" s="55"/>
      <c r="AS997" s="55"/>
      <c r="AT997" s="55"/>
      <c r="AU997" s="55"/>
      <c r="AV997" s="55"/>
      <c r="AW997" s="55"/>
      <c r="AX997" s="55"/>
      <c r="AY997" s="55"/>
      <c r="AZ997" s="55"/>
    </row>
    <row r="998" spans="2:52" x14ac:dyDescent="0.2">
      <c r="B998" s="59"/>
      <c r="C998" s="68"/>
      <c r="D998" s="68"/>
      <c r="V998" s="55"/>
      <c r="W998" s="55"/>
      <c r="X998" s="55"/>
      <c r="Y998" s="55"/>
      <c r="Z998" s="55"/>
      <c r="AA998" s="55"/>
      <c r="AB998" s="55"/>
      <c r="AC998" s="55"/>
      <c r="AD998" s="55"/>
      <c r="AE998" s="55"/>
      <c r="AF998" s="55"/>
      <c r="AG998" s="55"/>
      <c r="AH998" s="55"/>
      <c r="AI998" s="55"/>
      <c r="AJ998" s="55"/>
      <c r="AK998" s="55"/>
      <c r="AL998" s="55"/>
      <c r="AM998" s="55"/>
      <c r="AN998" s="55"/>
      <c r="AO998" s="55"/>
      <c r="AP998" s="55"/>
      <c r="AQ998" s="55"/>
      <c r="AR998" s="55"/>
      <c r="AS998" s="55"/>
      <c r="AT998" s="55"/>
      <c r="AU998" s="55"/>
      <c r="AV998" s="55"/>
      <c r="AW998" s="55"/>
      <c r="AX998" s="55"/>
      <c r="AY998" s="55"/>
      <c r="AZ998" s="55"/>
    </row>
    <row r="999" spans="2:52" ht="12" customHeight="1" x14ac:dyDescent="0.2">
      <c r="B999" s="59"/>
      <c r="C999" s="68"/>
      <c r="D999" s="68"/>
      <c r="V999" s="55"/>
      <c r="W999" s="55"/>
      <c r="X999" s="55"/>
      <c r="Y999" s="55"/>
      <c r="Z999" s="55"/>
      <c r="AA999" s="55"/>
      <c r="AB999" s="55"/>
      <c r="AC999" s="55"/>
      <c r="AD999" s="55"/>
      <c r="AE999" s="55"/>
      <c r="AF999" s="55"/>
      <c r="AG999" s="55"/>
      <c r="AH999" s="55"/>
      <c r="AI999" s="55"/>
      <c r="AJ999" s="55"/>
      <c r="AK999" s="55"/>
      <c r="AL999" s="55"/>
      <c r="AM999" s="55"/>
      <c r="AN999" s="55"/>
      <c r="AO999" s="55"/>
      <c r="AP999" s="55"/>
      <c r="AQ999" s="55"/>
      <c r="AR999" s="55"/>
      <c r="AS999" s="55"/>
      <c r="AT999" s="55"/>
      <c r="AU999" s="55"/>
      <c r="AV999" s="55"/>
      <c r="AW999" s="55"/>
      <c r="AX999" s="55"/>
      <c r="AY999" s="55"/>
      <c r="AZ999" s="55"/>
    </row>
    <row r="1000" spans="2:52" x14ac:dyDescent="0.2">
      <c r="V1000" s="55"/>
      <c r="W1000" s="55"/>
      <c r="X1000" s="55"/>
      <c r="Y1000" s="55"/>
      <c r="Z1000" s="55"/>
      <c r="AA1000" s="55"/>
      <c r="AB1000" s="55"/>
      <c r="AC1000" s="55"/>
      <c r="AD1000" s="55"/>
      <c r="AE1000" s="55"/>
      <c r="AF1000" s="55"/>
      <c r="AG1000" s="55"/>
      <c r="AH1000" s="55"/>
      <c r="AI1000" s="55"/>
      <c r="AJ1000" s="55"/>
      <c r="AK1000" s="55"/>
      <c r="AL1000" s="55"/>
      <c r="AM1000" s="55"/>
      <c r="AN1000" s="55"/>
      <c r="AO1000" s="55"/>
      <c r="AP1000" s="55"/>
      <c r="AQ1000" s="55"/>
      <c r="AR1000" s="55"/>
      <c r="AS1000" s="55"/>
      <c r="AT1000" s="55"/>
      <c r="AU1000" s="55"/>
      <c r="AV1000" s="55"/>
      <c r="AW1000" s="55"/>
      <c r="AX1000" s="55"/>
      <c r="AY1000" s="55"/>
      <c r="AZ1000" s="55"/>
    </row>
    <row r="1001" spans="2:52" x14ac:dyDescent="0.2">
      <c r="B1001" s="59"/>
      <c r="C1001" s="68"/>
      <c r="D1001" s="68"/>
      <c r="V1001" s="55"/>
      <c r="W1001" s="55"/>
      <c r="X1001" s="55"/>
      <c r="Y1001" s="55"/>
      <c r="Z1001" s="55"/>
      <c r="AA1001" s="55"/>
      <c r="AB1001" s="55"/>
      <c r="AC1001" s="55"/>
      <c r="AD1001" s="55"/>
      <c r="AE1001" s="55"/>
      <c r="AF1001" s="55"/>
      <c r="AG1001" s="55"/>
      <c r="AH1001" s="55"/>
      <c r="AI1001" s="55"/>
      <c r="AJ1001" s="55"/>
      <c r="AK1001" s="55"/>
      <c r="AL1001" s="55"/>
      <c r="AM1001" s="55"/>
      <c r="AN1001" s="55"/>
      <c r="AO1001" s="55"/>
      <c r="AP1001" s="55"/>
      <c r="AQ1001" s="55"/>
      <c r="AR1001" s="55"/>
      <c r="AS1001" s="55"/>
      <c r="AT1001" s="55"/>
      <c r="AU1001" s="55"/>
      <c r="AV1001" s="55"/>
      <c r="AW1001" s="55"/>
      <c r="AX1001" s="55"/>
      <c r="AY1001" s="55"/>
      <c r="AZ1001" s="55"/>
    </row>
    <row r="1002" spans="2:52" x14ac:dyDescent="0.2">
      <c r="B1002" s="59"/>
      <c r="C1002" s="68"/>
      <c r="D1002" s="68"/>
      <c r="V1002" s="55"/>
      <c r="W1002" s="55"/>
      <c r="X1002" s="55"/>
      <c r="Y1002" s="55"/>
      <c r="Z1002" s="55"/>
      <c r="AA1002" s="55"/>
      <c r="AB1002" s="55"/>
      <c r="AC1002" s="55"/>
      <c r="AD1002" s="55"/>
      <c r="AE1002" s="55"/>
      <c r="AF1002" s="55"/>
      <c r="AG1002" s="55"/>
      <c r="AH1002" s="55"/>
      <c r="AI1002" s="55"/>
      <c r="AJ1002" s="55"/>
      <c r="AK1002" s="55"/>
      <c r="AL1002" s="55"/>
      <c r="AM1002" s="55"/>
      <c r="AN1002" s="55"/>
      <c r="AO1002" s="55"/>
      <c r="AP1002" s="55"/>
      <c r="AQ1002" s="55"/>
      <c r="AR1002" s="55"/>
      <c r="AS1002" s="55"/>
      <c r="AT1002" s="55"/>
      <c r="AU1002" s="55"/>
      <c r="AV1002" s="55"/>
      <c r="AW1002" s="55"/>
      <c r="AX1002" s="55"/>
      <c r="AY1002" s="55"/>
      <c r="AZ1002" s="55"/>
    </row>
    <row r="1003" spans="2:52" x14ac:dyDescent="0.2">
      <c r="B1003" s="59"/>
      <c r="C1003" s="68"/>
      <c r="D1003" s="68"/>
      <c r="V1003" s="55"/>
      <c r="W1003" s="55"/>
      <c r="X1003" s="55"/>
      <c r="Y1003" s="55"/>
      <c r="Z1003" s="55"/>
      <c r="AA1003" s="55"/>
      <c r="AB1003" s="55"/>
      <c r="AC1003" s="55"/>
      <c r="AD1003" s="55"/>
      <c r="AE1003" s="55"/>
      <c r="AF1003" s="55"/>
      <c r="AG1003" s="55"/>
      <c r="AH1003" s="55"/>
      <c r="AI1003" s="55"/>
      <c r="AJ1003" s="55"/>
      <c r="AK1003" s="55"/>
      <c r="AL1003" s="55"/>
      <c r="AM1003" s="55"/>
      <c r="AN1003" s="55"/>
      <c r="AO1003" s="55"/>
      <c r="AP1003" s="55"/>
      <c r="AQ1003" s="55"/>
      <c r="AR1003" s="55"/>
      <c r="AS1003" s="55"/>
      <c r="AT1003" s="55"/>
      <c r="AU1003" s="55"/>
      <c r="AV1003" s="55"/>
      <c r="AW1003" s="55"/>
      <c r="AX1003" s="55"/>
      <c r="AY1003" s="55"/>
      <c r="AZ1003" s="55"/>
    </row>
    <row r="1004" spans="2:52" x14ac:dyDescent="0.2">
      <c r="B1004" s="59"/>
      <c r="C1004" s="68"/>
      <c r="D1004" s="68"/>
      <c r="V1004" s="55"/>
      <c r="W1004" s="55"/>
      <c r="X1004" s="55"/>
      <c r="Y1004" s="55"/>
      <c r="Z1004" s="55"/>
      <c r="AA1004" s="55"/>
      <c r="AB1004" s="55"/>
      <c r="AC1004" s="55"/>
      <c r="AD1004" s="55"/>
      <c r="AE1004" s="55"/>
      <c r="AF1004" s="55"/>
      <c r="AG1004" s="55"/>
      <c r="AH1004" s="55"/>
      <c r="AI1004" s="55"/>
      <c r="AJ1004" s="55"/>
      <c r="AK1004" s="55"/>
      <c r="AL1004" s="55"/>
      <c r="AM1004" s="55"/>
      <c r="AN1004" s="55"/>
      <c r="AO1004" s="55"/>
      <c r="AP1004" s="55"/>
      <c r="AQ1004" s="55"/>
      <c r="AR1004" s="55"/>
      <c r="AS1004" s="55"/>
      <c r="AT1004" s="55"/>
      <c r="AU1004" s="55"/>
      <c r="AV1004" s="55"/>
      <c r="AW1004" s="55"/>
      <c r="AX1004" s="55"/>
      <c r="AY1004" s="55"/>
      <c r="AZ1004" s="55"/>
    </row>
    <row r="1005" spans="2:52" x14ac:dyDescent="0.2">
      <c r="B1005" s="59"/>
      <c r="C1005" s="68"/>
      <c r="D1005" s="68"/>
      <c r="V1005" s="55"/>
      <c r="W1005" s="55"/>
      <c r="X1005" s="55"/>
      <c r="Y1005" s="55"/>
      <c r="Z1005" s="55"/>
      <c r="AA1005" s="55"/>
      <c r="AB1005" s="55"/>
      <c r="AC1005" s="55"/>
      <c r="AD1005" s="55"/>
      <c r="AE1005" s="55"/>
      <c r="AF1005" s="55"/>
      <c r="AG1005" s="55"/>
      <c r="AH1005" s="55"/>
      <c r="AI1005" s="55"/>
      <c r="AJ1005" s="55"/>
      <c r="AK1005" s="55"/>
      <c r="AL1005" s="55"/>
      <c r="AM1005" s="55"/>
      <c r="AN1005" s="55"/>
      <c r="AO1005" s="55"/>
      <c r="AP1005" s="55"/>
      <c r="AQ1005" s="55"/>
      <c r="AR1005" s="55"/>
      <c r="AS1005" s="55"/>
      <c r="AT1005" s="55"/>
      <c r="AU1005" s="55"/>
      <c r="AV1005" s="55"/>
      <c r="AW1005" s="55"/>
      <c r="AX1005" s="55"/>
      <c r="AY1005" s="55"/>
      <c r="AZ1005" s="55"/>
    </row>
    <row r="1006" spans="2:52" x14ac:dyDescent="0.2">
      <c r="B1006" s="82" t="s">
        <v>510</v>
      </c>
      <c r="C1006" s="3256"/>
      <c r="D1006" s="85"/>
      <c r="E1006" s="85"/>
      <c r="F1006" s="55"/>
      <c r="G1006" s="55"/>
      <c r="H1006" s="55"/>
      <c r="I1006" s="55"/>
      <c r="J1006" s="55"/>
      <c r="K1006" s="55"/>
      <c r="V1006" s="55"/>
      <c r="W1006" s="55"/>
      <c r="X1006" s="55"/>
      <c r="Y1006" s="55"/>
      <c r="Z1006" s="55"/>
      <c r="AA1006" s="55"/>
      <c r="AB1006" s="55"/>
      <c r="AC1006" s="55"/>
      <c r="AD1006" s="55"/>
      <c r="AE1006" s="55"/>
      <c r="AF1006" s="55"/>
      <c r="AG1006" s="55"/>
      <c r="AH1006" s="55"/>
      <c r="AI1006" s="55"/>
      <c r="AJ1006" s="55"/>
      <c r="AK1006" s="55"/>
      <c r="AL1006" s="55"/>
      <c r="AM1006" s="55"/>
      <c r="AN1006" s="55"/>
      <c r="AO1006" s="55"/>
      <c r="AP1006" s="55"/>
      <c r="AQ1006" s="55"/>
      <c r="AR1006" s="55"/>
      <c r="AS1006" s="55"/>
      <c r="AT1006" s="55"/>
      <c r="AU1006" s="55"/>
      <c r="AV1006" s="55"/>
      <c r="AW1006" s="55"/>
      <c r="AX1006" s="55"/>
      <c r="AY1006" s="55"/>
      <c r="AZ1006" s="55"/>
    </row>
    <row r="1007" spans="2:52" x14ac:dyDescent="0.2">
      <c r="B1007" s="59"/>
      <c r="C1007" s="68"/>
      <c r="D1007" s="68"/>
      <c r="V1007" s="55"/>
      <c r="W1007" s="55"/>
      <c r="X1007" s="55"/>
      <c r="Y1007" s="55"/>
      <c r="Z1007" s="55"/>
      <c r="AA1007" s="55"/>
      <c r="AB1007" s="55"/>
      <c r="AC1007" s="55"/>
      <c r="AD1007" s="55"/>
      <c r="AE1007" s="55"/>
      <c r="AF1007" s="55"/>
      <c r="AG1007" s="55"/>
      <c r="AH1007" s="55"/>
      <c r="AI1007" s="55"/>
      <c r="AJ1007" s="55"/>
      <c r="AK1007" s="55"/>
      <c r="AL1007" s="55"/>
      <c r="AM1007" s="55"/>
      <c r="AN1007" s="55"/>
      <c r="AO1007" s="55"/>
      <c r="AP1007" s="55"/>
      <c r="AQ1007" s="55"/>
      <c r="AR1007" s="55"/>
      <c r="AS1007" s="55"/>
      <c r="AT1007" s="55"/>
      <c r="AU1007" s="55"/>
      <c r="AV1007" s="55"/>
      <c r="AW1007" s="55"/>
      <c r="AX1007" s="55"/>
      <c r="AY1007" s="55"/>
      <c r="AZ1007" s="55"/>
    </row>
    <row r="1008" spans="2:52" x14ac:dyDescent="0.2">
      <c r="B1008" s="58" t="s">
        <v>510</v>
      </c>
      <c r="C1008" s="61" t="s">
        <v>79</v>
      </c>
      <c r="D1008" s="61" t="s">
        <v>79</v>
      </c>
      <c r="E1008" s="61" t="s">
        <v>79</v>
      </c>
      <c r="H1008" s="308"/>
      <c r="I1008" s="308"/>
      <c r="J1008" s="308"/>
      <c r="V1008" s="55"/>
      <c r="W1008" s="55"/>
      <c r="X1008" s="55"/>
      <c r="Y1008" s="55"/>
      <c r="Z1008" s="55"/>
      <c r="AA1008" s="55"/>
      <c r="AB1008" s="55"/>
      <c r="AC1008" s="55"/>
      <c r="AD1008" s="55"/>
      <c r="AE1008" s="55"/>
      <c r="AF1008" s="55"/>
      <c r="AG1008" s="55"/>
      <c r="AH1008" s="55"/>
      <c r="AI1008" s="55"/>
      <c r="AJ1008" s="55"/>
      <c r="AK1008" s="55"/>
      <c r="AL1008" s="55"/>
      <c r="AM1008" s="55"/>
      <c r="AN1008" s="55"/>
      <c r="AO1008" s="55"/>
      <c r="AP1008" s="55"/>
      <c r="AQ1008" s="55"/>
      <c r="AR1008" s="55"/>
      <c r="AS1008" s="55"/>
      <c r="AT1008" s="55"/>
      <c r="AU1008" s="55"/>
      <c r="AV1008" s="55"/>
      <c r="AW1008" s="55"/>
      <c r="AX1008" s="55"/>
    </row>
    <row r="1009" spans="2:52" x14ac:dyDescent="0.2">
      <c r="B1009" s="28"/>
      <c r="C1009" s="58">
        <f>C56</f>
        <v>1990</v>
      </c>
      <c r="D1009" s="58">
        <f>D56</f>
        <v>2018</v>
      </c>
      <c r="E1009" s="58">
        <f>E56</f>
        <v>2020</v>
      </c>
      <c r="H1009" s="307"/>
      <c r="I1009" s="307"/>
      <c r="J1009" s="307"/>
      <c r="V1009" s="55"/>
      <c r="W1009" s="55"/>
      <c r="X1009" s="55"/>
      <c r="Y1009" s="55"/>
      <c r="Z1009" s="55"/>
      <c r="AA1009" s="55"/>
      <c r="AB1009" s="55"/>
      <c r="AC1009" s="55"/>
      <c r="AD1009" s="55"/>
      <c r="AE1009" s="55"/>
      <c r="AF1009" s="55"/>
      <c r="AG1009" s="55"/>
      <c r="AH1009" s="55"/>
      <c r="AI1009" s="55"/>
      <c r="AJ1009" s="55"/>
      <c r="AK1009" s="55"/>
      <c r="AL1009" s="55"/>
      <c r="AM1009" s="55"/>
      <c r="AN1009" s="55"/>
      <c r="AO1009" s="55"/>
      <c r="AP1009" s="55"/>
      <c r="AQ1009" s="55"/>
      <c r="AR1009" s="55"/>
      <c r="AS1009" s="55"/>
      <c r="AT1009" s="55"/>
      <c r="AU1009" s="55"/>
      <c r="AV1009" s="55"/>
      <c r="AW1009" s="55"/>
      <c r="AX1009" s="55"/>
    </row>
    <row r="1010" spans="2:52" x14ac:dyDescent="0.2">
      <c r="B1010" s="28" t="s">
        <v>135</v>
      </c>
      <c r="C1010" s="24">
        <f>SUM('E1990'!$AL$33:$AS$33,'E1990'!$AL$36:$AS$36,'E1990'!$AL$43:$AS$43,'E1990'!$AL$51:$AS$51,'E1990'!$AL$60:$AS$60)</f>
        <v>0</v>
      </c>
      <c r="D1010" s="24">
        <f>SUM('E2018'!$AL$33:$AS$33,'E2018'!$AL$36:$AS$36,'E2018'!$AL$43:$AS$43,'E2018'!$AL$51:$AS$51,'E2018'!$AL$60:$AS$60)</f>
        <v>16.288500000000006</v>
      </c>
      <c r="E1010" s="24">
        <f>SUM('E2020'!$AL$33:$AS$33,'E2020'!$AL$36:$AS$36,'E2020'!$AL$43:$AS$43,'E2020'!$AL$51:$AS$51,'E2020'!$AL$60:$AS$60)</f>
        <v>15.199067663999999</v>
      </c>
      <c r="H1010" s="33"/>
      <c r="I1010" s="33"/>
      <c r="J1010" s="33"/>
      <c r="V1010" s="55"/>
      <c r="W1010" s="55"/>
      <c r="X1010" s="55"/>
      <c r="Y1010" s="55"/>
      <c r="Z1010" s="55"/>
      <c r="AA1010" s="55"/>
      <c r="AB1010" s="55"/>
      <c r="AC1010" s="55"/>
      <c r="AD1010" s="55"/>
      <c r="AE1010" s="55"/>
      <c r="AF1010" s="55"/>
      <c r="AG1010" s="55"/>
      <c r="AH1010" s="55"/>
      <c r="AI1010" s="55"/>
      <c r="AJ1010" s="55"/>
      <c r="AK1010" s="55"/>
      <c r="AL1010" s="55"/>
      <c r="AM1010" s="55"/>
      <c r="AN1010" s="55"/>
      <c r="AO1010" s="55"/>
      <c r="AP1010" s="55"/>
      <c r="AQ1010" s="55"/>
      <c r="AR1010" s="55"/>
      <c r="AS1010" s="55"/>
      <c r="AT1010" s="55"/>
      <c r="AU1010" s="55"/>
      <c r="AV1010" s="55"/>
      <c r="AW1010" s="55"/>
      <c r="AX1010" s="55"/>
    </row>
    <row r="1011" spans="2:52" x14ac:dyDescent="0.2">
      <c r="B1011" s="28" t="s">
        <v>137</v>
      </c>
      <c r="C1011" s="24">
        <f>'E1990'!$AL$15</f>
        <v>0</v>
      </c>
      <c r="D1011" s="24">
        <f>'E2018'!$AL$15</f>
        <v>0</v>
      </c>
      <c r="E1011" s="24">
        <f>'E2020'!$AL$15</f>
        <v>0</v>
      </c>
      <c r="H1011" s="33"/>
      <c r="I1011" s="33"/>
      <c r="J1011" s="33"/>
      <c r="V1011" s="55"/>
      <c r="W1011" s="55"/>
      <c r="X1011" s="55"/>
      <c r="Y1011" s="55"/>
      <c r="Z1011" s="55"/>
      <c r="AA1011" s="55"/>
      <c r="AB1011" s="55"/>
      <c r="AC1011" s="55"/>
      <c r="AD1011" s="55"/>
      <c r="AE1011" s="55"/>
      <c r="AF1011" s="55"/>
      <c r="AG1011" s="55"/>
      <c r="AH1011" s="55"/>
      <c r="AI1011" s="55"/>
      <c r="AJ1011" s="55"/>
      <c r="AK1011" s="55"/>
      <c r="AL1011" s="55"/>
      <c r="AM1011" s="55"/>
      <c r="AN1011" s="55"/>
      <c r="AO1011" s="55"/>
      <c r="AP1011" s="55"/>
      <c r="AQ1011" s="55"/>
      <c r="AR1011" s="55"/>
      <c r="AS1011" s="55"/>
      <c r="AT1011" s="55"/>
      <c r="AU1011" s="55"/>
      <c r="AV1011" s="55"/>
      <c r="AW1011" s="55"/>
      <c r="AX1011" s="55"/>
    </row>
    <row r="1012" spans="2:52" x14ac:dyDescent="0.2">
      <c r="B1012" s="28" t="s">
        <v>138</v>
      </c>
      <c r="C1012" s="24">
        <f>'E1990'!$AL$14</f>
        <v>75.096000000000004</v>
      </c>
      <c r="D1012" s="24">
        <f>'E2018'!$AL$14</f>
        <v>19.8</v>
      </c>
      <c r="E1012" s="24">
        <f>'E2020'!$AL$14</f>
        <v>23.584000000000003</v>
      </c>
      <c r="H1012" s="33"/>
      <c r="I1012" s="33"/>
      <c r="J1012" s="33"/>
      <c r="V1012" s="55"/>
      <c r="W1012" s="55"/>
      <c r="X1012" s="55"/>
      <c r="Y1012" s="55"/>
      <c r="Z1012" s="55"/>
      <c r="AA1012" s="55"/>
      <c r="AB1012" s="55"/>
      <c r="AC1012" s="55"/>
      <c r="AD1012" s="55"/>
      <c r="AE1012" s="55"/>
      <c r="AF1012" s="55"/>
      <c r="AG1012" s="55"/>
      <c r="AH1012" s="55"/>
      <c r="AI1012" s="55"/>
      <c r="AJ1012" s="55"/>
      <c r="AK1012" s="55"/>
      <c r="AL1012" s="55"/>
      <c r="AM1012" s="55"/>
      <c r="AN1012" s="55"/>
      <c r="AO1012" s="55"/>
      <c r="AP1012" s="55"/>
      <c r="AQ1012" s="55"/>
      <c r="AR1012" s="55"/>
      <c r="AS1012" s="55"/>
      <c r="AT1012" s="55"/>
      <c r="AU1012" s="55"/>
      <c r="AV1012" s="55"/>
      <c r="AW1012" s="55"/>
      <c r="AX1012" s="55"/>
    </row>
    <row r="1013" spans="2:52" x14ac:dyDescent="0.2">
      <c r="B1013" s="28" t="s">
        <v>139</v>
      </c>
      <c r="C1013" s="24">
        <f>'E1990'!$AL$16</f>
        <v>3.7500000000000006E-2</v>
      </c>
      <c r="D1013" s="24">
        <f>'E2018'!$AL$16</f>
        <v>4.2750000000000004</v>
      </c>
      <c r="E1013" s="24">
        <f>'E2020'!$AL$16</f>
        <v>13.372499999999999</v>
      </c>
      <c r="H1013" s="33"/>
      <c r="I1013" s="33"/>
      <c r="J1013" s="33"/>
      <c r="V1013" s="55"/>
      <c r="W1013" s="55"/>
      <c r="X1013" s="55"/>
      <c r="Y1013" s="55"/>
      <c r="Z1013" s="55"/>
      <c r="AA1013" s="55"/>
      <c r="AB1013" s="55"/>
      <c r="AC1013" s="55"/>
      <c r="AD1013" s="55"/>
      <c r="AE1013" s="55"/>
      <c r="AF1013" s="55"/>
      <c r="AG1013" s="55"/>
      <c r="AH1013" s="55"/>
      <c r="AI1013" s="55"/>
      <c r="AJ1013" s="55"/>
      <c r="AK1013" s="55"/>
      <c r="AL1013" s="55"/>
      <c r="AM1013" s="55"/>
      <c r="AN1013" s="55"/>
      <c r="AO1013" s="55"/>
      <c r="AP1013" s="55"/>
      <c r="AQ1013" s="55"/>
      <c r="AR1013" s="55"/>
      <c r="AS1013" s="55"/>
      <c r="AT1013" s="55"/>
      <c r="AU1013" s="55"/>
      <c r="AV1013" s="55"/>
      <c r="AW1013" s="55"/>
      <c r="AX1013" s="55"/>
    </row>
    <row r="1014" spans="2:52" x14ac:dyDescent="0.2">
      <c r="B1014" s="28" t="s">
        <v>140</v>
      </c>
      <c r="C1014" s="24">
        <f>'E1990'!$AL$17</f>
        <v>6.6495000000000006</v>
      </c>
      <c r="D1014" s="24">
        <f>'E2018'!$AL$17</f>
        <v>19.168499999999998</v>
      </c>
      <c r="E1014" s="24">
        <f>'E2020'!$AL$17</f>
        <v>32.331000000000003</v>
      </c>
      <c r="H1014" s="33"/>
      <c r="I1014" s="33"/>
      <c r="J1014" s="33"/>
      <c r="V1014" s="55"/>
      <c r="W1014" s="55"/>
      <c r="X1014" s="55"/>
      <c r="Y1014" s="55"/>
      <c r="Z1014" s="55"/>
      <c r="AA1014" s="55"/>
      <c r="AB1014" s="55"/>
      <c r="AC1014" s="55"/>
      <c r="AD1014" s="55"/>
      <c r="AE1014" s="55"/>
      <c r="AF1014" s="55"/>
      <c r="AG1014" s="55"/>
      <c r="AH1014" s="55"/>
      <c r="AI1014" s="55"/>
      <c r="AJ1014" s="55"/>
      <c r="AK1014" s="55"/>
      <c r="AL1014" s="55"/>
      <c r="AM1014" s="55"/>
      <c r="AN1014" s="55"/>
      <c r="AO1014" s="55"/>
      <c r="AP1014" s="55"/>
      <c r="AQ1014" s="55"/>
      <c r="AR1014" s="55"/>
      <c r="AS1014" s="55"/>
      <c r="AT1014" s="55"/>
      <c r="AU1014" s="55"/>
      <c r="AV1014" s="55"/>
      <c r="AW1014" s="55"/>
      <c r="AX1014" s="55"/>
    </row>
    <row r="1015" spans="2:52" x14ac:dyDescent="0.2">
      <c r="B1015" s="28" t="s">
        <v>141</v>
      </c>
      <c r="C1015" s="24">
        <f>'E1990'!$AL$18</f>
        <v>1.3845000000000001</v>
      </c>
      <c r="D1015" s="24">
        <f>'E2018'!$AL$18</f>
        <v>0.79300000000000004</v>
      </c>
      <c r="E1015" s="24">
        <f>'E2020'!$AL$18</f>
        <v>5.9215</v>
      </c>
      <c r="H1015" s="33"/>
      <c r="I1015" s="33"/>
      <c r="J1015" s="33"/>
      <c r="V1015" s="55"/>
      <c r="W1015" s="55"/>
      <c r="X1015" s="55"/>
      <c r="Y1015" s="55"/>
      <c r="Z1015" s="55"/>
      <c r="AA1015" s="55"/>
      <c r="AB1015" s="55"/>
      <c r="AC1015" s="55"/>
      <c r="AD1015" s="55"/>
      <c r="AE1015" s="55"/>
      <c r="AF1015" s="55"/>
      <c r="AG1015" s="55"/>
      <c r="AH1015" s="55"/>
      <c r="AI1015" s="55"/>
      <c r="AJ1015" s="55"/>
      <c r="AK1015" s="55"/>
      <c r="AL1015" s="55"/>
      <c r="AM1015" s="55"/>
      <c r="AN1015" s="55"/>
      <c r="AO1015" s="55"/>
      <c r="AP1015" s="55"/>
      <c r="AQ1015" s="55"/>
      <c r="AR1015" s="55"/>
      <c r="AS1015" s="55"/>
      <c r="AT1015" s="55"/>
      <c r="AU1015" s="55"/>
      <c r="AV1015" s="55"/>
      <c r="AW1015" s="55"/>
      <c r="AX1015" s="55"/>
    </row>
    <row r="1016" spans="2:52" x14ac:dyDescent="0.2">
      <c r="B1016" s="28" t="s">
        <v>142</v>
      </c>
      <c r="C1016" s="24">
        <f>'E1990'!$AL$9/'E1990'!$AE$9%+'E1990'!$AL$10/'E1990'!$AE$10%</f>
        <v>10.95923280207955</v>
      </c>
      <c r="D1016" s="24">
        <f>'E2018'!$AL$9/'E2018'!$AE$9%+'E2018'!$AL$10/'E2018'!$AE$10%</f>
        <v>5.8822222222222216</v>
      </c>
      <c r="E1016" s="24">
        <f>'E2020'!$AL$9/'E2020'!$AE$9%+'E2020'!$AL$10/'E2020'!$AE$10%</f>
        <v>5.6099999999999994</v>
      </c>
      <c r="H1016" s="33"/>
      <c r="I1016" s="33"/>
      <c r="J1016" s="33"/>
      <c r="V1016" s="55"/>
      <c r="W1016" s="55"/>
      <c r="X1016" s="55"/>
      <c r="Y1016" s="55"/>
      <c r="Z1016" s="55"/>
      <c r="AA1016" s="55"/>
      <c r="AB1016" s="55"/>
      <c r="AC1016" s="55"/>
      <c r="AD1016" s="55"/>
      <c r="AE1016" s="55"/>
      <c r="AF1016" s="55"/>
      <c r="AG1016" s="55"/>
      <c r="AH1016" s="55"/>
      <c r="AI1016" s="55"/>
      <c r="AJ1016" s="55"/>
      <c r="AK1016" s="55"/>
      <c r="AL1016" s="55"/>
      <c r="AM1016" s="55"/>
      <c r="AN1016" s="55"/>
      <c r="AO1016" s="55"/>
      <c r="AP1016" s="55"/>
      <c r="AQ1016" s="55"/>
      <c r="AR1016" s="55"/>
      <c r="AS1016" s="55"/>
      <c r="AT1016" s="55"/>
      <c r="AU1016" s="55"/>
      <c r="AV1016" s="55"/>
      <c r="AW1016" s="55"/>
      <c r="AX1016" s="55"/>
    </row>
    <row r="1017" spans="2:52" x14ac:dyDescent="0.2">
      <c r="B1017" s="28" t="s">
        <v>143</v>
      </c>
      <c r="C1017" s="24">
        <f>'E1990'!$Q$11+'E1990'!$AH$11</f>
        <v>0</v>
      </c>
      <c r="D1017" s="24">
        <f>'E2018'!$Q$11+'E2018'!$AH$11</f>
        <v>1.65</v>
      </c>
      <c r="E1017" s="24">
        <f>'E2020'!$Q$11+'E2020'!$AH$11</f>
        <v>1.6800000000000002</v>
      </c>
      <c r="H1017" s="33"/>
      <c r="I1017" s="33"/>
      <c r="J1017" s="33"/>
      <c r="V1017" s="55"/>
      <c r="W1017" s="55"/>
      <c r="X1017" s="55"/>
      <c r="Y1017" s="55"/>
      <c r="Z1017" s="55"/>
      <c r="AA1017" s="55"/>
      <c r="AB1017" s="55"/>
      <c r="AC1017" s="55"/>
      <c r="AD1017" s="55"/>
      <c r="AE1017" s="55"/>
      <c r="AF1017" s="55"/>
      <c r="AG1017" s="55"/>
      <c r="AH1017" s="55"/>
      <c r="AI1017" s="55"/>
      <c r="AJ1017" s="55"/>
      <c r="AK1017" s="55"/>
      <c r="AL1017" s="55"/>
      <c r="AM1017" s="55"/>
      <c r="AN1017" s="55"/>
      <c r="AO1017" s="55"/>
      <c r="AP1017" s="55"/>
      <c r="AQ1017" s="55"/>
      <c r="AR1017" s="55"/>
      <c r="AS1017" s="55"/>
      <c r="AT1017" s="55"/>
      <c r="AU1017" s="55"/>
      <c r="AV1017" s="55"/>
      <c r="AW1017" s="55"/>
      <c r="AX1017" s="55"/>
    </row>
    <row r="1018" spans="2:52" x14ac:dyDescent="0.2">
      <c r="B1018" s="28" t="s">
        <v>144</v>
      </c>
      <c r="C1018" s="24">
        <f>'E1990'!$AL$19</f>
        <v>9.0274497405664747E-2</v>
      </c>
      <c r="D1018" s="24">
        <f>'E2018'!$AL$19</f>
        <v>0.91</v>
      </c>
      <c r="E1018" s="24">
        <f>'E2020'!$AL$19</f>
        <v>0.94</v>
      </c>
      <c r="H1018" s="33"/>
      <c r="I1018" s="33"/>
      <c r="J1018" s="33"/>
      <c r="V1018" s="55"/>
      <c r="W1018" s="55"/>
      <c r="X1018" s="55"/>
      <c r="Y1018" s="55"/>
      <c r="Z1018" s="55"/>
      <c r="AA1018" s="55"/>
      <c r="AB1018" s="55"/>
      <c r="AC1018" s="55"/>
      <c r="AD1018" s="55"/>
      <c r="AE1018" s="55"/>
      <c r="AF1018" s="55"/>
      <c r="AG1018" s="55"/>
      <c r="AH1018" s="55"/>
      <c r="AI1018" s="55"/>
      <c r="AJ1018" s="55"/>
      <c r="AK1018" s="55"/>
      <c r="AL1018" s="55"/>
      <c r="AM1018" s="55"/>
      <c r="AN1018" s="55"/>
      <c r="AO1018" s="55"/>
      <c r="AP1018" s="55"/>
      <c r="AQ1018" s="55"/>
      <c r="AR1018" s="55"/>
      <c r="AS1018" s="55"/>
      <c r="AT1018" s="55"/>
      <c r="AU1018" s="55"/>
      <c r="AV1018" s="55"/>
      <c r="AW1018" s="55"/>
      <c r="AX1018" s="55"/>
    </row>
    <row r="1019" spans="2:52" x14ac:dyDescent="0.2">
      <c r="B1019" s="70" t="s">
        <v>97</v>
      </c>
      <c r="C1019" s="71">
        <f>SUM(C1010:C1018)</f>
        <v>94.217007299485218</v>
      </c>
      <c r="D1019" s="71">
        <f>SUM(D1010:D1018)</f>
        <v>68.76722222222223</v>
      </c>
      <c r="E1019" s="71">
        <f>SUM(E1010:E1018)</f>
        <v>98.638067664000005</v>
      </c>
      <c r="H1019" s="310"/>
      <c r="I1019" s="310"/>
      <c r="J1019" s="310"/>
      <c r="V1019" s="55"/>
      <c r="W1019" s="55"/>
      <c r="X1019" s="55"/>
      <c r="Y1019" s="55"/>
      <c r="Z1019" s="55"/>
      <c r="AA1019" s="55"/>
      <c r="AB1019" s="55"/>
      <c r="AC1019" s="55"/>
      <c r="AD1019" s="55"/>
      <c r="AE1019" s="55"/>
      <c r="AF1019" s="55"/>
      <c r="AG1019" s="55"/>
      <c r="AH1019" s="55"/>
      <c r="AI1019" s="55"/>
      <c r="AJ1019" s="55"/>
      <c r="AK1019" s="55"/>
      <c r="AL1019" s="55"/>
      <c r="AM1019" s="55"/>
      <c r="AN1019" s="55"/>
      <c r="AO1019" s="55"/>
      <c r="AP1019" s="55"/>
      <c r="AQ1019" s="55"/>
      <c r="AR1019" s="55"/>
      <c r="AS1019" s="55"/>
      <c r="AT1019" s="55"/>
      <c r="AU1019" s="55"/>
      <c r="AV1019" s="55"/>
      <c r="AW1019" s="55"/>
      <c r="AX1019" s="55"/>
    </row>
    <row r="1020" spans="2:52" x14ac:dyDescent="0.2">
      <c r="V1020" s="55"/>
      <c r="W1020" s="55"/>
      <c r="X1020" s="55"/>
      <c r="Y1020" s="55"/>
      <c r="Z1020" s="55"/>
      <c r="AA1020" s="55"/>
      <c r="AB1020" s="55"/>
      <c r="AC1020" s="55"/>
      <c r="AD1020" s="55"/>
      <c r="AE1020" s="55"/>
      <c r="AF1020" s="55"/>
      <c r="AG1020" s="55"/>
      <c r="AH1020" s="55"/>
      <c r="AI1020" s="55"/>
      <c r="AJ1020" s="55"/>
      <c r="AK1020" s="55"/>
      <c r="AL1020" s="55"/>
      <c r="AM1020" s="55"/>
      <c r="AN1020" s="55"/>
      <c r="AO1020" s="55"/>
      <c r="AP1020" s="55"/>
      <c r="AQ1020" s="55"/>
      <c r="AR1020" s="55"/>
      <c r="AS1020" s="55"/>
      <c r="AT1020" s="55"/>
      <c r="AU1020" s="55"/>
      <c r="AV1020" s="55"/>
      <c r="AW1020" s="55"/>
      <c r="AX1020" s="55"/>
      <c r="AY1020" s="55"/>
      <c r="AZ1020" s="55"/>
    </row>
    <row r="1021" spans="2:52" x14ac:dyDescent="0.2">
      <c r="V1021" s="55"/>
      <c r="W1021" s="55"/>
      <c r="X1021" s="55"/>
      <c r="Y1021" s="55"/>
      <c r="Z1021" s="55"/>
      <c r="AA1021" s="55"/>
      <c r="AB1021" s="55"/>
      <c r="AC1021" s="55"/>
      <c r="AD1021" s="55"/>
      <c r="AE1021" s="55"/>
      <c r="AF1021" s="55"/>
      <c r="AG1021" s="55"/>
      <c r="AH1021" s="55"/>
      <c r="AI1021" s="55"/>
      <c r="AJ1021" s="55"/>
      <c r="AK1021" s="55"/>
      <c r="AL1021" s="55"/>
      <c r="AM1021" s="55"/>
      <c r="AN1021" s="55"/>
      <c r="AO1021" s="55"/>
      <c r="AP1021" s="55"/>
      <c r="AQ1021" s="55"/>
      <c r="AR1021" s="55"/>
      <c r="AS1021" s="55"/>
      <c r="AT1021" s="55"/>
      <c r="AU1021" s="55"/>
      <c r="AV1021" s="55"/>
      <c r="AW1021" s="55"/>
      <c r="AX1021" s="55"/>
      <c r="AY1021" s="55"/>
      <c r="AZ1021" s="55"/>
    </row>
    <row r="1022" spans="2:52" x14ac:dyDescent="0.2">
      <c r="V1022" s="55"/>
      <c r="W1022" s="55"/>
      <c r="X1022" s="55"/>
      <c r="Y1022" s="55"/>
      <c r="Z1022" s="55"/>
      <c r="AA1022" s="55"/>
      <c r="AB1022" s="55"/>
      <c r="AC1022" s="55"/>
      <c r="AD1022" s="55"/>
      <c r="AE1022" s="55"/>
      <c r="AF1022" s="55"/>
      <c r="AG1022" s="55"/>
      <c r="AH1022" s="55"/>
      <c r="AI1022" s="55"/>
      <c r="AJ1022" s="55"/>
      <c r="AK1022" s="55"/>
      <c r="AL1022" s="55"/>
      <c r="AM1022" s="55"/>
      <c r="AN1022" s="55"/>
      <c r="AO1022" s="55"/>
      <c r="AP1022" s="55"/>
      <c r="AQ1022" s="55"/>
      <c r="AR1022" s="55"/>
      <c r="AS1022" s="55"/>
      <c r="AT1022" s="55"/>
      <c r="AU1022" s="55"/>
      <c r="AV1022" s="55"/>
      <c r="AW1022" s="55"/>
      <c r="AX1022" s="55"/>
      <c r="AY1022" s="55"/>
      <c r="AZ1022" s="55"/>
    </row>
    <row r="1023" spans="2:52" x14ac:dyDescent="0.2">
      <c r="V1023" s="55"/>
      <c r="W1023" s="55"/>
      <c r="X1023" s="55"/>
      <c r="Y1023" s="55"/>
      <c r="Z1023" s="55"/>
      <c r="AA1023" s="55"/>
      <c r="AB1023" s="55"/>
      <c r="AC1023" s="55"/>
      <c r="AD1023" s="55"/>
      <c r="AE1023" s="55"/>
      <c r="AF1023" s="55"/>
      <c r="AG1023" s="55"/>
      <c r="AH1023" s="55"/>
      <c r="AI1023" s="55"/>
      <c r="AJ1023" s="55"/>
      <c r="AK1023" s="55"/>
      <c r="AL1023" s="55"/>
      <c r="AM1023" s="55"/>
      <c r="AN1023" s="55"/>
      <c r="AO1023" s="55"/>
      <c r="AP1023" s="55"/>
      <c r="AQ1023" s="55"/>
      <c r="AR1023" s="55"/>
      <c r="AS1023" s="55"/>
      <c r="AT1023" s="55"/>
      <c r="AU1023" s="55"/>
      <c r="AV1023" s="55"/>
      <c r="AW1023" s="55"/>
      <c r="AX1023" s="55"/>
      <c r="AY1023" s="55"/>
      <c r="AZ1023" s="55"/>
    </row>
    <row r="1024" spans="2:52" x14ac:dyDescent="0.2">
      <c r="V1024" s="55"/>
      <c r="W1024" s="55"/>
      <c r="X1024" s="55"/>
      <c r="Y1024" s="55"/>
      <c r="Z1024" s="55"/>
      <c r="AA1024" s="55"/>
      <c r="AB1024" s="55"/>
      <c r="AC1024" s="55"/>
      <c r="AD1024" s="55"/>
      <c r="AE1024" s="55"/>
      <c r="AF1024" s="55"/>
      <c r="AG1024" s="55"/>
      <c r="AH1024" s="55"/>
      <c r="AI1024" s="55"/>
      <c r="AJ1024" s="55"/>
      <c r="AK1024" s="55"/>
      <c r="AL1024" s="55"/>
      <c r="AM1024" s="55"/>
      <c r="AN1024" s="55"/>
      <c r="AO1024" s="55"/>
      <c r="AP1024" s="55"/>
      <c r="AQ1024" s="55"/>
      <c r="AR1024" s="55"/>
      <c r="AS1024" s="55"/>
      <c r="AT1024" s="55"/>
      <c r="AU1024" s="55"/>
      <c r="AV1024" s="55"/>
      <c r="AW1024" s="55"/>
      <c r="AX1024" s="55"/>
      <c r="AY1024" s="55"/>
      <c r="AZ1024" s="55"/>
    </row>
    <row r="1025" spans="22:52" x14ac:dyDescent="0.2">
      <c r="V1025" s="55"/>
      <c r="W1025" s="55"/>
      <c r="X1025" s="55"/>
      <c r="Y1025" s="55"/>
      <c r="Z1025" s="55"/>
      <c r="AA1025" s="55"/>
      <c r="AB1025" s="55"/>
      <c r="AC1025" s="55"/>
      <c r="AD1025" s="55"/>
      <c r="AE1025" s="55"/>
      <c r="AF1025" s="55"/>
      <c r="AG1025" s="55"/>
      <c r="AH1025" s="55"/>
      <c r="AI1025" s="55"/>
      <c r="AJ1025" s="55"/>
      <c r="AK1025" s="55"/>
      <c r="AL1025" s="55"/>
      <c r="AM1025" s="55"/>
      <c r="AN1025" s="55"/>
      <c r="AO1025" s="55"/>
      <c r="AP1025" s="55"/>
      <c r="AQ1025" s="55"/>
      <c r="AR1025" s="55"/>
      <c r="AS1025" s="55"/>
      <c r="AT1025" s="55"/>
      <c r="AU1025" s="55"/>
      <c r="AV1025" s="55"/>
      <c r="AW1025" s="55"/>
      <c r="AX1025" s="55"/>
      <c r="AY1025" s="55"/>
      <c r="AZ1025" s="55"/>
    </row>
    <row r="1026" spans="22:52" x14ac:dyDescent="0.2">
      <c r="V1026" s="55"/>
      <c r="W1026" s="55"/>
      <c r="X1026" s="55"/>
      <c r="Y1026" s="55"/>
      <c r="Z1026" s="55"/>
      <c r="AA1026" s="55"/>
      <c r="AB1026" s="55"/>
      <c r="AC1026" s="55"/>
      <c r="AD1026" s="55"/>
      <c r="AE1026" s="55"/>
      <c r="AF1026" s="55"/>
      <c r="AG1026" s="55"/>
      <c r="AH1026" s="55"/>
      <c r="AI1026" s="55"/>
      <c r="AJ1026" s="55"/>
      <c r="AK1026" s="55"/>
      <c r="AL1026" s="55"/>
      <c r="AM1026" s="55"/>
      <c r="AN1026" s="55"/>
      <c r="AO1026" s="55"/>
      <c r="AP1026" s="55"/>
      <c r="AQ1026" s="55"/>
      <c r="AR1026" s="55"/>
      <c r="AS1026" s="55"/>
      <c r="AT1026" s="55"/>
      <c r="AU1026" s="55"/>
      <c r="AV1026" s="55"/>
      <c r="AW1026" s="55"/>
      <c r="AX1026" s="55"/>
      <c r="AY1026" s="55"/>
      <c r="AZ1026" s="55"/>
    </row>
    <row r="1027" spans="22:52" x14ac:dyDescent="0.2">
      <c r="V1027" s="55"/>
      <c r="W1027" s="55"/>
      <c r="X1027" s="55"/>
      <c r="Y1027" s="55"/>
      <c r="Z1027" s="55"/>
      <c r="AA1027" s="55"/>
      <c r="AB1027" s="55"/>
      <c r="AC1027" s="55"/>
      <c r="AD1027" s="55"/>
      <c r="AE1027" s="55"/>
      <c r="AF1027" s="55"/>
      <c r="AG1027" s="55"/>
      <c r="AH1027" s="55"/>
      <c r="AI1027" s="55"/>
      <c r="AJ1027" s="55"/>
      <c r="AK1027" s="55"/>
      <c r="AL1027" s="55"/>
      <c r="AM1027" s="55"/>
      <c r="AN1027" s="55"/>
      <c r="AO1027" s="55"/>
      <c r="AP1027" s="55"/>
      <c r="AQ1027" s="55"/>
      <c r="AR1027" s="55"/>
      <c r="AS1027" s="55"/>
      <c r="AT1027" s="55"/>
      <c r="AU1027" s="55"/>
      <c r="AV1027" s="55"/>
      <c r="AW1027" s="55"/>
      <c r="AX1027" s="55"/>
      <c r="AY1027" s="55"/>
      <c r="AZ1027" s="55"/>
    </row>
    <row r="1028" spans="22:52" x14ac:dyDescent="0.2">
      <c r="V1028" s="55"/>
      <c r="W1028" s="55"/>
      <c r="X1028" s="55"/>
      <c r="Y1028" s="55"/>
      <c r="Z1028" s="55"/>
      <c r="AA1028" s="55"/>
      <c r="AB1028" s="55"/>
      <c r="AC1028" s="55"/>
      <c r="AD1028" s="55"/>
      <c r="AE1028" s="55"/>
      <c r="AF1028" s="55"/>
      <c r="AG1028" s="55"/>
      <c r="AH1028" s="55"/>
      <c r="AI1028" s="55"/>
      <c r="AJ1028" s="55"/>
      <c r="AK1028" s="55"/>
      <c r="AL1028" s="55"/>
      <c r="AM1028" s="55"/>
      <c r="AN1028" s="55"/>
      <c r="AO1028" s="55"/>
      <c r="AP1028" s="55"/>
      <c r="AQ1028" s="55"/>
      <c r="AR1028" s="55"/>
      <c r="AS1028" s="55"/>
      <c r="AT1028" s="55"/>
      <c r="AU1028" s="55"/>
      <c r="AV1028" s="55"/>
      <c r="AW1028" s="55"/>
      <c r="AX1028" s="55"/>
      <c r="AY1028" s="55"/>
      <c r="AZ1028" s="55"/>
    </row>
    <row r="1029" spans="22:52" x14ac:dyDescent="0.2">
      <c r="V1029" s="55"/>
      <c r="W1029" s="55"/>
      <c r="X1029" s="55"/>
      <c r="Y1029" s="55"/>
      <c r="Z1029" s="55"/>
      <c r="AA1029" s="55"/>
      <c r="AB1029" s="55"/>
      <c r="AC1029" s="55"/>
      <c r="AD1029" s="55"/>
      <c r="AE1029" s="55"/>
      <c r="AF1029" s="55"/>
      <c r="AG1029" s="55"/>
      <c r="AH1029" s="55"/>
      <c r="AI1029" s="55"/>
      <c r="AJ1029" s="55"/>
      <c r="AK1029" s="55"/>
      <c r="AL1029" s="55"/>
      <c r="AM1029" s="55"/>
      <c r="AN1029" s="55"/>
      <c r="AO1029" s="55"/>
      <c r="AP1029" s="55"/>
      <c r="AQ1029" s="55"/>
      <c r="AR1029" s="55"/>
      <c r="AS1029" s="55"/>
      <c r="AT1029" s="55"/>
      <c r="AU1029" s="55"/>
      <c r="AV1029" s="55"/>
      <c r="AW1029" s="55"/>
      <c r="AX1029" s="55"/>
      <c r="AY1029" s="55"/>
      <c r="AZ1029" s="55"/>
    </row>
    <row r="1030" spans="22:52" x14ac:dyDescent="0.2">
      <c r="V1030" s="55"/>
      <c r="W1030" s="55"/>
      <c r="X1030" s="55"/>
      <c r="Y1030" s="55"/>
      <c r="Z1030" s="55"/>
      <c r="AA1030" s="55"/>
      <c r="AB1030" s="55"/>
      <c r="AC1030" s="55"/>
      <c r="AD1030" s="55"/>
      <c r="AE1030" s="55"/>
      <c r="AF1030" s="55"/>
      <c r="AG1030" s="55"/>
      <c r="AH1030" s="55"/>
      <c r="AI1030" s="55"/>
      <c r="AJ1030" s="55"/>
      <c r="AK1030" s="55"/>
      <c r="AL1030" s="55"/>
      <c r="AM1030" s="55"/>
      <c r="AN1030" s="55"/>
      <c r="AO1030" s="55"/>
      <c r="AP1030" s="55"/>
      <c r="AQ1030" s="55"/>
      <c r="AR1030" s="55"/>
      <c r="AS1030" s="55"/>
      <c r="AT1030" s="55"/>
      <c r="AU1030" s="55"/>
      <c r="AV1030" s="55"/>
      <c r="AW1030" s="55"/>
      <c r="AX1030" s="55"/>
      <c r="AY1030" s="55"/>
      <c r="AZ1030" s="55"/>
    </row>
    <row r="1031" spans="22:52" x14ac:dyDescent="0.2">
      <c r="V1031" s="55"/>
      <c r="W1031" s="55"/>
      <c r="X1031" s="55"/>
      <c r="Y1031" s="55"/>
      <c r="Z1031" s="55"/>
      <c r="AA1031" s="55"/>
      <c r="AB1031" s="55"/>
      <c r="AC1031" s="55"/>
      <c r="AD1031" s="55"/>
      <c r="AE1031" s="55"/>
      <c r="AF1031" s="55"/>
      <c r="AG1031" s="55"/>
      <c r="AH1031" s="55"/>
      <c r="AI1031" s="55"/>
      <c r="AJ1031" s="55"/>
      <c r="AK1031" s="55"/>
      <c r="AL1031" s="55"/>
      <c r="AM1031" s="55"/>
      <c r="AN1031" s="55"/>
      <c r="AO1031" s="55"/>
      <c r="AP1031" s="55"/>
      <c r="AQ1031" s="55"/>
      <c r="AR1031" s="55"/>
      <c r="AS1031" s="55"/>
      <c r="AT1031" s="55"/>
      <c r="AU1031" s="55"/>
      <c r="AV1031" s="55"/>
      <c r="AW1031" s="55"/>
      <c r="AX1031" s="55"/>
      <c r="AY1031" s="55"/>
      <c r="AZ1031" s="55"/>
    </row>
    <row r="1032" spans="22:52" x14ac:dyDescent="0.2">
      <c r="V1032" s="55"/>
      <c r="W1032" s="55"/>
      <c r="X1032" s="55"/>
      <c r="Y1032" s="55"/>
      <c r="Z1032" s="55"/>
      <c r="AA1032" s="55"/>
      <c r="AB1032" s="55"/>
      <c r="AC1032" s="55"/>
      <c r="AD1032" s="55"/>
      <c r="AE1032" s="55"/>
      <c r="AF1032" s="55"/>
      <c r="AG1032" s="55"/>
      <c r="AH1032" s="55"/>
      <c r="AI1032" s="55"/>
      <c r="AJ1032" s="55"/>
      <c r="AK1032" s="55"/>
      <c r="AL1032" s="55"/>
      <c r="AM1032" s="55"/>
      <c r="AN1032" s="55"/>
      <c r="AO1032" s="55"/>
      <c r="AP1032" s="55"/>
      <c r="AQ1032" s="55"/>
      <c r="AR1032" s="55"/>
      <c r="AS1032" s="55"/>
      <c r="AT1032" s="55"/>
      <c r="AU1032" s="55"/>
      <c r="AV1032" s="55"/>
      <c r="AW1032" s="55"/>
      <c r="AX1032" s="55"/>
      <c r="AY1032" s="55"/>
      <c r="AZ1032" s="55"/>
    </row>
    <row r="1033" spans="22:52" x14ac:dyDescent="0.2">
      <c r="V1033" s="55"/>
      <c r="W1033" s="55"/>
      <c r="X1033" s="55"/>
      <c r="Y1033" s="55"/>
      <c r="Z1033" s="55"/>
      <c r="AA1033" s="55"/>
      <c r="AB1033" s="55"/>
      <c r="AC1033" s="55"/>
      <c r="AD1033" s="55"/>
      <c r="AE1033" s="55"/>
      <c r="AF1033" s="55"/>
      <c r="AG1033" s="55"/>
      <c r="AH1033" s="55"/>
      <c r="AI1033" s="55"/>
      <c r="AJ1033" s="55"/>
      <c r="AK1033" s="55"/>
      <c r="AL1033" s="55"/>
      <c r="AM1033" s="55"/>
      <c r="AN1033" s="55"/>
      <c r="AO1033" s="55"/>
      <c r="AP1033" s="55"/>
      <c r="AQ1033" s="55"/>
      <c r="AR1033" s="55"/>
      <c r="AS1033" s="55"/>
      <c r="AT1033" s="55"/>
      <c r="AU1033" s="55"/>
      <c r="AV1033" s="55"/>
      <c r="AW1033" s="55"/>
      <c r="AX1033" s="55"/>
      <c r="AY1033" s="55"/>
      <c r="AZ1033" s="55"/>
    </row>
    <row r="1034" spans="22:52" x14ac:dyDescent="0.2">
      <c r="V1034" s="55"/>
      <c r="W1034" s="55"/>
      <c r="X1034" s="55"/>
      <c r="Y1034" s="55"/>
      <c r="Z1034" s="55"/>
      <c r="AA1034" s="55"/>
      <c r="AB1034" s="55"/>
      <c r="AC1034" s="55"/>
      <c r="AD1034" s="55"/>
      <c r="AE1034" s="55"/>
      <c r="AF1034" s="55"/>
      <c r="AG1034" s="55"/>
      <c r="AH1034" s="55"/>
      <c r="AI1034" s="55"/>
      <c r="AJ1034" s="55"/>
      <c r="AK1034" s="55"/>
      <c r="AL1034" s="55"/>
      <c r="AM1034" s="55"/>
      <c r="AN1034" s="55"/>
      <c r="AO1034" s="55"/>
      <c r="AP1034" s="55"/>
      <c r="AQ1034" s="55"/>
      <c r="AR1034" s="55"/>
      <c r="AS1034" s="55"/>
      <c r="AT1034" s="55"/>
      <c r="AU1034" s="55"/>
      <c r="AV1034" s="55"/>
      <c r="AW1034" s="55"/>
      <c r="AX1034" s="55"/>
      <c r="AY1034" s="55"/>
      <c r="AZ1034" s="55"/>
    </row>
    <row r="1035" spans="22:52" x14ac:dyDescent="0.2">
      <c r="V1035" s="55"/>
      <c r="W1035" s="55"/>
      <c r="X1035" s="55"/>
      <c r="Y1035" s="55"/>
      <c r="Z1035" s="55"/>
      <c r="AA1035" s="55"/>
      <c r="AB1035" s="55"/>
      <c r="AC1035" s="55"/>
      <c r="AD1035" s="55"/>
      <c r="AE1035" s="55"/>
      <c r="AF1035" s="55"/>
      <c r="AG1035" s="55"/>
      <c r="AH1035" s="55"/>
      <c r="AI1035" s="55"/>
      <c r="AJ1035" s="55"/>
      <c r="AK1035" s="55"/>
      <c r="AL1035" s="55"/>
      <c r="AM1035" s="55"/>
      <c r="AN1035" s="55"/>
      <c r="AO1035" s="55"/>
      <c r="AP1035" s="55"/>
      <c r="AQ1035" s="55"/>
      <c r="AR1035" s="55"/>
      <c r="AS1035" s="55"/>
      <c r="AT1035" s="55"/>
      <c r="AU1035" s="55"/>
      <c r="AV1035" s="55"/>
      <c r="AW1035" s="55"/>
      <c r="AX1035" s="55"/>
      <c r="AY1035" s="55"/>
      <c r="AZ1035" s="55"/>
    </row>
    <row r="1036" spans="22:52" x14ac:dyDescent="0.2">
      <c r="V1036" s="55"/>
      <c r="W1036" s="55"/>
      <c r="X1036" s="55"/>
      <c r="Y1036" s="55"/>
      <c r="Z1036" s="55"/>
      <c r="AA1036" s="55"/>
      <c r="AB1036" s="55"/>
      <c r="AC1036" s="55"/>
      <c r="AD1036" s="55"/>
      <c r="AE1036" s="55"/>
      <c r="AF1036" s="55"/>
      <c r="AG1036" s="55"/>
      <c r="AH1036" s="55"/>
      <c r="AI1036" s="55"/>
      <c r="AJ1036" s="55"/>
      <c r="AK1036" s="55"/>
      <c r="AL1036" s="55"/>
      <c r="AM1036" s="55"/>
      <c r="AN1036" s="55"/>
      <c r="AO1036" s="55"/>
      <c r="AP1036" s="55"/>
      <c r="AQ1036" s="55"/>
      <c r="AR1036" s="55"/>
      <c r="AS1036" s="55"/>
      <c r="AT1036" s="55"/>
      <c r="AU1036" s="55"/>
      <c r="AV1036" s="55"/>
      <c r="AW1036" s="55"/>
      <c r="AX1036" s="55"/>
      <c r="AY1036" s="55"/>
      <c r="AZ1036" s="55"/>
    </row>
    <row r="1037" spans="22:52" x14ac:dyDescent="0.2">
      <c r="V1037" s="55"/>
      <c r="W1037" s="55"/>
      <c r="X1037" s="55"/>
      <c r="Y1037" s="55"/>
      <c r="Z1037" s="55"/>
      <c r="AA1037" s="55"/>
      <c r="AB1037" s="55"/>
      <c r="AC1037" s="55"/>
      <c r="AD1037" s="55"/>
      <c r="AE1037" s="55"/>
      <c r="AF1037" s="55"/>
      <c r="AG1037" s="55"/>
      <c r="AH1037" s="55"/>
      <c r="AI1037" s="55"/>
      <c r="AJ1037" s="55"/>
      <c r="AK1037" s="55"/>
      <c r="AL1037" s="55"/>
      <c r="AM1037" s="55"/>
      <c r="AN1037" s="55"/>
      <c r="AO1037" s="55"/>
      <c r="AP1037" s="55"/>
      <c r="AQ1037" s="55"/>
      <c r="AR1037" s="55"/>
      <c r="AS1037" s="55"/>
      <c r="AT1037" s="55"/>
      <c r="AU1037" s="55"/>
      <c r="AV1037" s="55"/>
      <c r="AW1037" s="55"/>
      <c r="AX1037" s="55"/>
      <c r="AY1037" s="55"/>
      <c r="AZ1037" s="55"/>
    </row>
    <row r="1038" spans="22:52" x14ac:dyDescent="0.2">
      <c r="V1038" s="55"/>
      <c r="W1038" s="55"/>
      <c r="X1038" s="55"/>
      <c r="Y1038" s="55"/>
      <c r="Z1038" s="55"/>
      <c r="AA1038" s="55"/>
      <c r="AB1038" s="55"/>
      <c r="AC1038" s="55"/>
      <c r="AD1038" s="55"/>
      <c r="AE1038" s="55"/>
      <c r="AF1038" s="55"/>
      <c r="AG1038" s="55"/>
      <c r="AH1038" s="55"/>
      <c r="AI1038" s="55"/>
      <c r="AJ1038" s="55"/>
      <c r="AK1038" s="55"/>
      <c r="AL1038" s="55"/>
      <c r="AM1038" s="55"/>
      <c r="AN1038" s="55"/>
      <c r="AO1038" s="55"/>
      <c r="AP1038" s="55"/>
      <c r="AQ1038" s="55"/>
      <c r="AR1038" s="55"/>
      <c r="AS1038" s="55"/>
      <c r="AT1038" s="55"/>
      <c r="AU1038" s="55"/>
      <c r="AV1038" s="55"/>
      <c r="AW1038" s="55"/>
      <c r="AX1038" s="55"/>
      <c r="AY1038" s="55"/>
      <c r="AZ1038" s="55"/>
    </row>
    <row r="1039" spans="22:52" x14ac:dyDescent="0.2">
      <c r="V1039" s="55"/>
      <c r="W1039" s="55"/>
      <c r="X1039" s="55"/>
      <c r="Y1039" s="55"/>
      <c r="Z1039" s="55"/>
      <c r="AA1039" s="55"/>
      <c r="AB1039" s="55"/>
      <c r="AC1039" s="55"/>
      <c r="AD1039" s="55"/>
      <c r="AE1039" s="55"/>
      <c r="AF1039" s="55"/>
      <c r="AG1039" s="55"/>
      <c r="AH1039" s="55"/>
      <c r="AI1039" s="55"/>
      <c r="AJ1039" s="55"/>
      <c r="AK1039" s="55"/>
      <c r="AL1039" s="55"/>
      <c r="AM1039" s="55"/>
      <c r="AN1039" s="55"/>
      <c r="AO1039" s="55"/>
      <c r="AP1039" s="55"/>
      <c r="AQ1039" s="55"/>
      <c r="AR1039" s="55"/>
      <c r="AS1039" s="55"/>
      <c r="AT1039" s="55"/>
      <c r="AU1039" s="55"/>
      <c r="AV1039" s="55"/>
      <c r="AW1039" s="55"/>
      <c r="AX1039" s="55"/>
      <c r="AY1039" s="55"/>
      <c r="AZ1039" s="55"/>
    </row>
    <row r="1040" spans="22:52" x14ac:dyDescent="0.2">
      <c r="V1040" s="55"/>
      <c r="W1040" s="55"/>
      <c r="X1040" s="55"/>
      <c r="Y1040" s="55"/>
      <c r="Z1040" s="55"/>
      <c r="AA1040" s="55"/>
      <c r="AB1040" s="55"/>
      <c r="AC1040" s="55"/>
      <c r="AD1040" s="55"/>
      <c r="AE1040" s="55"/>
      <c r="AF1040" s="55"/>
      <c r="AG1040" s="55"/>
      <c r="AH1040" s="55"/>
      <c r="AI1040" s="55"/>
      <c r="AJ1040" s="55"/>
      <c r="AK1040" s="55"/>
      <c r="AL1040" s="55"/>
      <c r="AM1040" s="55"/>
      <c r="AN1040" s="55"/>
      <c r="AO1040" s="55"/>
      <c r="AP1040" s="55"/>
      <c r="AQ1040" s="55"/>
      <c r="AR1040" s="55"/>
      <c r="AS1040" s="55"/>
      <c r="AT1040" s="55"/>
      <c r="AU1040" s="55"/>
      <c r="AV1040" s="55"/>
      <c r="AW1040" s="55"/>
      <c r="AX1040" s="55"/>
      <c r="AY1040" s="55"/>
      <c r="AZ1040" s="55"/>
    </row>
    <row r="1041" spans="2:52" x14ac:dyDescent="0.2">
      <c r="V1041" s="55"/>
      <c r="W1041" s="55"/>
      <c r="X1041" s="55"/>
      <c r="Y1041" s="55"/>
      <c r="Z1041" s="55"/>
      <c r="AA1041" s="55"/>
      <c r="AB1041" s="55"/>
      <c r="AC1041" s="55"/>
      <c r="AD1041" s="55"/>
      <c r="AE1041" s="55"/>
      <c r="AF1041" s="55"/>
      <c r="AG1041" s="55"/>
      <c r="AH1041" s="55"/>
      <c r="AI1041" s="55"/>
      <c r="AJ1041" s="55"/>
      <c r="AK1041" s="55"/>
      <c r="AL1041" s="55"/>
      <c r="AM1041" s="55"/>
      <c r="AN1041" s="55"/>
      <c r="AO1041" s="55"/>
      <c r="AP1041" s="55"/>
      <c r="AQ1041" s="55"/>
      <c r="AR1041" s="55"/>
      <c r="AS1041" s="55"/>
      <c r="AT1041" s="55"/>
      <c r="AU1041" s="55"/>
      <c r="AV1041" s="55"/>
      <c r="AW1041" s="55"/>
      <c r="AX1041" s="55"/>
      <c r="AY1041" s="55"/>
      <c r="AZ1041" s="55"/>
    </row>
    <row r="1042" spans="2:52" x14ac:dyDescent="0.2">
      <c r="V1042" s="55"/>
      <c r="W1042" s="55"/>
      <c r="X1042" s="55"/>
      <c r="Y1042" s="55"/>
      <c r="Z1042" s="55"/>
      <c r="AA1042" s="55"/>
      <c r="AB1042" s="55"/>
      <c r="AC1042" s="55"/>
      <c r="AD1042" s="55"/>
      <c r="AE1042" s="55"/>
      <c r="AF1042" s="55"/>
      <c r="AG1042" s="55"/>
      <c r="AH1042" s="55"/>
      <c r="AI1042" s="55"/>
      <c r="AJ1042" s="55"/>
      <c r="AK1042" s="55"/>
      <c r="AL1042" s="55"/>
      <c r="AM1042" s="55"/>
      <c r="AN1042" s="55"/>
      <c r="AO1042" s="55"/>
      <c r="AP1042" s="55"/>
      <c r="AQ1042" s="55"/>
      <c r="AR1042" s="55"/>
      <c r="AS1042" s="55"/>
      <c r="AT1042" s="55"/>
      <c r="AU1042" s="55"/>
      <c r="AV1042" s="55"/>
      <c r="AW1042" s="55"/>
      <c r="AX1042" s="55"/>
      <c r="AY1042" s="55"/>
      <c r="AZ1042" s="55"/>
    </row>
    <row r="1043" spans="2:52" x14ac:dyDescent="0.2">
      <c r="V1043" s="55"/>
      <c r="W1043" s="55"/>
      <c r="X1043" s="55"/>
      <c r="Y1043" s="55"/>
      <c r="Z1043" s="55"/>
      <c r="AA1043" s="55"/>
      <c r="AB1043" s="55"/>
      <c r="AC1043" s="55"/>
      <c r="AD1043" s="55"/>
      <c r="AE1043" s="55"/>
      <c r="AF1043" s="55"/>
      <c r="AG1043" s="55"/>
      <c r="AH1043" s="55"/>
      <c r="AI1043" s="55"/>
      <c r="AJ1043" s="55"/>
      <c r="AK1043" s="55"/>
      <c r="AL1043" s="55"/>
      <c r="AM1043" s="55"/>
      <c r="AN1043" s="55"/>
      <c r="AO1043" s="55"/>
      <c r="AP1043" s="55"/>
      <c r="AQ1043" s="55"/>
      <c r="AR1043" s="55"/>
      <c r="AS1043" s="55"/>
      <c r="AT1043" s="55"/>
      <c r="AU1043" s="55"/>
      <c r="AV1043" s="55"/>
      <c r="AW1043" s="55"/>
      <c r="AX1043" s="55"/>
      <c r="AY1043" s="55"/>
      <c r="AZ1043" s="55"/>
    </row>
    <row r="1044" spans="2:52" x14ac:dyDescent="0.2">
      <c r="V1044" s="55"/>
      <c r="W1044" s="55"/>
      <c r="X1044" s="55"/>
      <c r="Y1044" s="55"/>
      <c r="Z1044" s="55"/>
      <c r="AA1044" s="55"/>
      <c r="AB1044" s="55"/>
      <c r="AC1044" s="55"/>
      <c r="AD1044" s="55"/>
      <c r="AE1044" s="55"/>
      <c r="AF1044" s="55"/>
      <c r="AG1044" s="55"/>
      <c r="AH1044" s="55"/>
      <c r="AI1044" s="55"/>
      <c r="AJ1044" s="55"/>
      <c r="AK1044" s="55"/>
      <c r="AL1044" s="55"/>
      <c r="AM1044" s="55"/>
      <c r="AN1044" s="55"/>
      <c r="AO1044" s="55"/>
      <c r="AP1044" s="55"/>
      <c r="AQ1044" s="55"/>
      <c r="AR1044" s="55"/>
      <c r="AS1044" s="55"/>
      <c r="AT1044" s="55"/>
      <c r="AU1044" s="55"/>
      <c r="AV1044" s="55"/>
      <c r="AW1044" s="55"/>
      <c r="AX1044" s="55"/>
      <c r="AY1044" s="55"/>
      <c r="AZ1044" s="55"/>
    </row>
    <row r="1045" spans="2:52" x14ac:dyDescent="0.2">
      <c r="V1045" s="55"/>
      <c r="W1045" s="55"/>
      <c r="X1045" s="55"/>
      <c r="Y1045" s="55"/>
      <c r="Z1045" s="55"/>
      <c r="AA1045" s="55"/>
      <c r="AB1045" s="55"/>
      <c r="AC1045" s="55"/>
      <c r="AD1045" s="55"/>
      <c r="AE1045" s="55"/>
      <c r="AF1045" s="55"/>
      <c r="AG1045" s="55"/>
      <c r="AH1045" s="55"/>
      <c r="AI1045" s="55"/>
      <c r="AJ1045" s="55"/>
      <c r="AK1045" s="55"/>
      <c r="AL1045" s="55"/>
      <c r="AM1045" s="55"/>
      <c r="AN1045" s="55"/>
      <c r="AO1045" s="55"/>
      <c r="AP1045" s="55"/>
      <c r="AQ1045" s="55"/>
      <c r="AR1045" s="55"/>
      <c r="AS1045" s="55"/>
      <c r="AT1045" s="55"/>
      <c r="AU1045" s="55"/>
      <c r="AV1045" s="55"/>
      <c r="AW1045" s="55"/>
      <c r="AX1045" s="55"/>
      <c r="AY1045" s="55"/>
      <c r="AZ1045" s="55"/>
    </row>
    <row r="1046" spans="2:52" x14ac:dyDescent="0.2">
      <c r="V1046" s="55"/>
      <c r="W1046" s="55"/>
      <c r="X1046" s="55"/>
      <c r="Y1046" s="55"/>
      <c r="Z1046" s="55"/>
      <c r="AA1046" s="55"/>
      <c r="AB1046" s="55"/>
      <c r="AC1046" s="55"/>
      <c r="AD1046" s="55"/>
      <c r="AE1046" s="55"/>
      <c r="AF1046" s="55"/>
      <c r="AG1046" s="55"/>
      <c r="AH1046" s="55"/>
      <c r="AI1046" s="55"/>
      <c r="AJ1046" s="55"/>
      <c r="AK1046" s="55"/>
      <c r="AL1046" s="55"/>
      <c r="AM1046" s="55"/>
      <c r="AN1046" s="55"/>
      <c r="AO1046" s="55"/>
      <c r="AP1046" s="55"/>
      <c r="AQ1046" s="55"/>
      <c r="AR1046" s="55"/>
      <c r="AS1046" s="55"/>
      <c r="AT1046" s="55"/>
      <c r="AU1046" s="55"/>
      <c r="AV1046" s="55"/>
      <c r="AW1046" s="55"/>
      <c r="AX1046" s="55"/>
      <c r="AY1046" s="55"/>
      <c r="AZ1046" s="55"/>
    </row>
    <row r="1047" spans="2:52" x14ac:dyDescent="0.2">
      <c r="V1047" s="55"/>
      <c r="W1047" s="55"/>
      <c r="X1047" s="55"/>
      <c r="Y1047" s="55"/>
      <c r="Z1047" s="55"/>
      <c r="AA1047" s="55"/>
      <c r="AB1047" s="55"/>
      <c r="AC1047" s="55"/>
      <c r="AD1047" s="55"/>
      <c r="AE1047" s="55"/>
      <c r="AF1047" s="55"/>
      <c r="AG1047" s="55"/>
      <c r="AH1047" s="55"/>
      <c r="AI1047" s="55"/>
      <c r="AJ1047" s="55"/>
      <c r="AK1047" s="55"/>
      <c r="AL1047" s="55"/>
      <c r="AM1047" s="55"/>
      <c r="AN1047" s="55"/>
      <c r="AO1047" s="55"/>
      <c r="AP1047" s="55"/>
      <c r="AQ1047" s="55"/>
      <c r="AR1047" s="55"/>
      <c r="AS1047" s="55"/>
      <c r="AT1047" s="55"/>
      <c r="AU1047" s="55"/>
      <c r="AV1047" s="55"/>
      <c r="AW1047" s="55"/>
      <c r="AX1047" s="55"/>
      <c r="AY1047" s="55"/>
      <c r="AZ1047" s="55"/>
    </row>
    <row r="1048" spans="2:52" x14ac:dyDescent="0.2">
      <c r="B1048" s="82" t="s">
        <v>511</v>
      </c>
      <c r="C1048" s="3256"/>
      <c r="D1048" s="85"/>
      <c r="E1048" s="85"/>
      <c r="F1048" s="55"/>
      <c r="G1048" s="55"/>
      <c r="H1048" s="55"/>
      <c r="I1048" s="55"/>
      <c r="J1048" s="55"/>
      <c r="K1048" s="55"/>
      <c r="V1048" s="55"/>
      <c r="W1048" s="55"/>
      <c r="X1048" s="55"/>
      <c r="Y1048" s="55"/>
      <c r="Z1048" s="55"/>
      <c r="AA1048" s="55"/>
      <c r="AB1048" s="55"/>
      <c r="AC1048" s="55"/>
      <c r="AD1048" s="55"/>
      <c r="AE1048" s="55"/>
      <c r="AF1048" s="55"/>
      <c r="AG1048" s="55"/>
      <c r="AH1048" s="55"/>
      <c r="AI1048" s="55"/>
      <c r="AJ1048" s="55"/>
      <c r="AK1048" s="55"/>
      <c r="AL1048" s="55"/>
      <c r="AM1048" s="55"/>
      <c r="AN1048" s="55"/>
      <c r="AO1048" s="55"/>
      <c r="AP1048" s="55"/>
      <c r="AQ1048" s="55"/>
      <c r="AR1048" s="55"/>
      <c r="AS1048" s="55"/>
      <c r="AT1048" s="55"/>
      <c r="AU1048" s="55"/>
      <c r="AV1048" s="55"/>
      <c r="AW1048" s="55"/>
      <c r="AX1048" s="55"/>
      <c r="AY1048" s="55"/>
      <c r="AZ1048" s="55"/>
    </row>
    <row r="1049" spans="2:52" x14ac:dyDescent="0.2">
      <c r="V1049" s="55"/>
      <c r="W1049" s="55"/>
      <c r="X1049" s="55"/>
      <c r="Y1049" s="55"/>
      <c r="Z1049" s="55"/>
      <c r="AA1049" s="55"/>
      <c r="AB1049" s="55"/>
      <c r="AC1049" s="55"/>
      <c r="AD1049" s="55"/>
      <c r="AE1049" s="55"/>
      <c r="AF1049" s="55"/>
      <c r="AG1049" s="55"/>
      <c r="AH1049" s="55"/>
      <c r="AI1049" s="55"/>
      <c r="AJ1049" s="55"/>
      <c r="AK1049" s="55"/>
      <c r="AL1049" s="55"/>
      <c r="AM1049" s="55"/>
      <c r="AN1049" s="55"/>
      <c r="AO1049" s="55"/>
      <c r="AP1049" s="55"/>
      <c r="AQ1049" s="55"/>
      <c r="AR1049" s="55"/>
      <c r="AS1049" s="55"/>
      <c r="AT1049" s="55"/>
      <c r="AU1049" s="55"/>
      <c r="AV1049" s="55"/>
      <c r="AW1049" s="55"/>
      <c r="AX1049" s="55"/>
      <c r="AY1049" s="55"/>
      <c r="AZ1049" s="55"/>
    </row>
    <row r="1050" spans="2:52" x14ac:dyDescent="0.2">
      <c r="V1050" s="55"/>
      <c r="W1050" s="55"/>
      <c r="X1050" s="55"/>
      <c r="Y1050" s="55"/>
      <c r="Z1050" s="55"/>
      <c r="AA1050" s="55"/>
      <c r="AB1050" s="55"/>
      <c r="AC1050" s="55"/>
      <c r="AD1050" s="55"/>
      <c r="AE1050" s="55"/>
      <c r="AF1050" s="55"/>
      <c r="AG1050" s="55"/>
      <c r="AH1050" s="55"/>
      <c r="AI1050" s="55"/>
      <c r="AJ1050" s="55"/>
      <c r="AK1050" s="55"/>
      <c r="AL1050" s="55"/>
      <c r="AM1050" s="55"/>
      <c r="AN1050" s="55"/>
      <c r="AO1050" s="55"/>
      <c r="AP1050" s="55"/>
      <c r="AQ1050" s="55"/>
      <c r="AR1050" s="55"/>
      <c r="AS1050" s="55"/>
      <c r="AT1050" s="55"/>
      <c r="AU1050" s="55"/>
      <c r="AV1050" s="55"/>
      <c r="AW1050" s="55"/>
      <c r="AX1050" s="55"/>
      <c r="AY1050" s="55"/>
      <c r="AZ1050" s="55"/>
    </row>
    <row r="1051" spans="2:52" x14ac:dyDescent="0.2">
      <c r="V1051" s="55"/>
      <c r="W1051" s="55"/>
      <c r="X1051" s="55"/>
      <c r="Y1051" s="55"/>
      <c r="Z1051" s="55"/>
      <c r="AA1051" s="55"/>
      <c r="AB1051" s="55"/>
      <c r="AC1051" s="55"/>
      <c r="AD1051" s="55"/>
      <c r="AE1051" s="55"/>
      <c r="AF1051" s="55"/>
      <c r="AG1051" s="55"/>
      <c r="AH1051" s="55"/>
      <c r="AI1051" s="55"/>
      <c r="AJ1051" s="55"/>
      <c r="AK1051" s="55"/>
      <c r="AL1051" s="55"/>
      <c r="AM1051" s="55"/>
      <c r="AN1051" s="55"/>
      <c r="AO1051" s="55"/>
      <c r="AP1051" s="55"/>
      <c r="AQ1051" s="55"/>
      <c r="AR1051" s="55"/>
      <c r="AS1051" s="55"/>
      <c r="AT1051" s="55"/>
      <c r="AU1051" s="55"/>
      <c r="AV1051" s="55"/>
      <c r="AW1051" s="55"/>
      <c r="AX1051" s="55"/>
      <c r="AY1051" s="55"/>
      <c r="AZ1051" s="55"/>
    </row>
    <row r="1052" spans="2:52" x14ac:dyDescent="0.2">
      <c r="V1052" s="55"/>
      <c r="W1052" s="55"/>
      <c r="X1052" s="55"/>
      <c r="Y1052" s="55"/>
      <c r="Z1052" s="55"/>
      <c r="AA1052" s="55"/>
      <c r="AB1052" s="55"/>
      <c r="AC1052" s="55"/>
      <c r="AD1052" s="55"/>
      <c r="AE1052" s="55"/>
      <c r="AF1052" s="55"/>
      <c r="AG1052" s="55"/>
      <c r="AH1052" s="55"/>
      <c r="AI1052" s="55"/>
      <c r="AJ1052" s="55"/>
      <c r="AK1052" s="55"/>
      <c r="AL1052" s="55"/>
      <c r="AM1052" s="55"/>
      <c r="AN1052" s="55"/>
      <c r="AO1052" s="55"/>
      <c r="AP1052" s="55"/>
      <c r="AQ1052" s="55"/>
      <c r="AR1052" s="55"/>
      <c r="AS1052" s="55"/>
      <c r="AT1052" s="55"/>
      <c r="AU1052" s="55"/>
      <c r="AV1052" s="55"/>
      <c r="AW1052" s="55"/>
      <c r="AX1052" s="55"/>
      <c r="AY1052" s="55"/>
      <c r="AZ1052" s="55"/>
    </row>
    <row r="1053" spans="2:52" x14ac:dyDescent="0.2">
      <c r="V1053" s="55"/>
      <c r="W1053" s="55"/>
      <c r="X1053" s="55"/>
      <c r="Y1053" s="55"/>
      <c r="Z1053" s="55"/>
      <c r="AA1053" s="55"/>
      <c r="AB1053" s="55"/>
      <c r="AC1053" s="55"/>
      <c r="AD1053" s="55"/>
      <c r="AE1053" s="55"/>
      <c r="AF1053" s="55"/>
      <c r="AG1053" s="55"/>
      <c r="AH1053" s="55"/>
      <c r="AI1053" s="55"/>
      <c r="AJ1053" s="55"/>
      <c r="AK1053" s="55"/>
      <c r="AL1053" s="55"/>
      <c r="AM1053" s="55"/>
      <c r="AN1053" s="55"/>
      <c r="AO1053" s="55"/>
      <c r="AP1053" s="55"/>
      <c r="AQ1053" s="55"/>
      <c r="AR1053" s="55"/>
      <c r="AS1053" s="55"/>
      <c r="AT1053" s="55"/>
      <c r="AU1053" s="55"/>
      <c r="AV1053" s="55"/>
      <c r="AW1053" s="55"/>
      <c r="AX1053" s="55"/>
      <c r="AY1053" s="55"/>
      <c r="AZ1053" s="55"/>
    </row>
    <row r="1054" spans="2:52" x14ac:dyDescent="0.2">
      <c r="V1054" s="55"/>
      <c r="W1054" s="55"/>
      <c r="X1054" s="55"/>
      <c r="Y1054" s="55"/>
      <c r="Z1054" s="55"/>
      <c r="AA1054" s="55"/>
      <c r="AB1054" s="55"/>
      <c r="AC1054" s="55"/>
      <c r="AD1054" s="55"/>
      <c r="AE1054" s="55"/>
      <c r="AF1054" s="55"/>
      <c r="AG1054" s="55"/>
      <c r="AH1054" s="55"/>
      <c r="AI1054" s="55"/>
      <c r="AJ1054" s="55"/>
      <c r="AK1054" s="55"/>
      <c r="AL1054" s="55"/>
      <c r="AM1054" s="55"/>
      <c r="AN1054" s="55"/>
      <c r="AO1054" s="55"/>
      <c r="AP1054" s="55"/>
      <c r="AQ1054" s="55"/>
      <c r="AR1054" s="55"/>
      <c r="AS1054" s="55"/>
      <c r="AT1054" s="55"/>
      <c r="AU1054" s="55"/>
      <c r="AV1054" s="55"/>
      <c r="AW1054" s="55"/>
      <c r="AX1054" s="55"/>
      <c r="AY1054" s="55"/>
      <c r="AZ1054" s="55"/>
    </row>
    <row r="1055" spans="2:52" x14ac:dyDescent="0.2">
      <c r="V1055" s="55"/>
      <c r="W1055" s="55"/>
      <c r="X1055" s="55"/>
      <c r="Y1055" s="55"/>
      <c r="Z1055" s="55"/>
      <c r="AA1055" s="55"/>
      <c r="AB1055" s="55"/>
      <c r="AC1055" s="55"/>
      <c r="AD1055" s="55"/>
      <c r="AE1055" s="55"/>
      <c r="AF1055" s="55"/>
      <c r="AG1055" s="55"/>
      <c r="AH1055" s="55"/>
      <c r="AI1055" s="55"/>
      <c r="AJ1055" s="55"/>
      <c r="AK1055" s="55"/>
      <c r="AL1055" s="55"/>
      <c r="AM1055" s="55"/>
      <c r="AN1055" s="55"/>
      <c r="AO1055" s="55"/>
      <c r="AP1055" s="55"/>
      <c r="AQ1055" s="55"/>
      <c r="AR1055" s="55"/>
      <c r="AS1055" s="55"/>
      <c r="AT1055" s="55"/>
      <c r="AU1055" s="55"/>
      <c r="AV1055" s="55"/>
      <c r="AW1055" s="55"/>
      <c r="AX1055" s="55"/>
      <c r="AY1055" s="55"/>
      <c r="AZ1055" s="55"/>
    </row>
    <row r="1056" spans="2:52" x14ac:dyDescent="0.2">
      <c r="V1056" s="55"/>
      <c r="W1056" s="55"/>
      <c r="X1056" s="55"/>
      <c r="Y1056" s="55"/>
      <c r="Z1056" s="55"/>
      <c r="AA1056" s="55"/>
      <c r="AB1056" s="55"/>
      <c r="AC1056" s="55"/>
      <c r="AD1056" s="55"/>
      <c r="AE1056" s="55"/>
      <c r="AF1056" s="55"/>
      <c r="AG1056" s="55"/>
      <c r="AH1056" s="55"/>
      <c r="AI1056" s="55"/>
      <c r="AJ1056" s="55"/>
      <c r="AK1056" s="55"/>
      <c r="AL1056" s="55"/>
      <c r="AM1056" s="55"/>
      <c r="AN1056" s="55"/>
      <c r="AO1056" s="55"/>
      <c r="AP1056" s="55"/>
      <c r="AQ1056" s="55"/>
      <c r="AR1056" s="55"/>
      <c r="AS1056" s="55"/>
      <c r="AT1056" s="55"/>
      <c r="AU1056" s="55"/>
      <c r="AV1056" s="55"/>
      <c r="AW1056" s="55"/>
      <c r="AX1056" s="55"/>
      <c r="AY1056" s="55"/>
      <c r="AZ1056" s="55"/>
    </row>
    <row r="1057" spans="22:52" x14ac:dyDescent="0.2">
      <c r="V1057" s="55"/>
      <c r="W1057" s="55"/>
      <c r="X1057" s="55"/>
      <c r="Y1057" s="55"/>
      <c r="Z1057" s="55"/>
      <c r="AA1057" s="55"/>
      <c r="AB1057" s="55"/>
      <c r="AC1057" s="55"/>
      <c r="AD1057" s="55"/>
      <c r="AE1057" s="55"/>
      <c r="AF1057" s="55"/>
      <c r="AG1057" s="55"/>
      <c r="AH1057" s="55"/>
      <c r="AI1057" s="55"/>
      <c r="AJ1057" s="55"/>
      <c r="AK1057" s="55"/>
      <c r="AL1057" s="55"/>
      <c r="AM1057" s="55"/>
      <c r="AN1057" s="55"/>
      <c r="AO1057" s="55"/>
      <c r="AP1057" s="55"/>
      <c r="AQ1057" s="55"/>
      <c r="AR1057" s="55"/>
      <c r="AS1057" s="55"/>
      <c r="AT1057" s="55"/>
      <c r="AU1057" s="55"/>
      <c r="AV1057" s="55"/>
      <c r="AW1057" s="55"/>
      <c r="AX1057" s="55"/>
      <c r="AY1057" s="55"/>
      <c r="AZ1057" s="55"/>
    </row>
    <row r="1058" spans="22:52" x14ac:dyDescent="0.2">
      <c r="V1058" s="55"/>
      <c r="W1058" s="55"/>
      <c r="X1058" s="55"/>
      <c r="Y1058" s="55"/>
      <c r="Z1058" s="55"/>
      <c r="AA1058" s="55"/>
      <c r="AB1058" s="55"/>
      <c r="AC1058" s="55"/>
      <c r="AD1058" s="55"/>
      <c r="AE1058" s="55"/>
      <c r="AF1058" s="55"/>
      <c r="AG1058" s="55"/>
      <c r="AH1058" s="55"/>
      <c r="AI1058" s="55"/>
      <c r="AJ1058" s="55"/>
      <c r="AK1058" s="55"/>
      <c r="AL1058" s="55"/>
      <c r="AM1058" s="55"/>
      <c r="AN1058" s="55"/>
      <c r="AO1058" s="55"/>
      <c r="AP1058" s="55"/>
      <c r="AQ1058" s="55"/>
      <c r="AR1058" s="55"/>
      <c r="AS1058" s="55"/>
      <c r="AT1058" s="55"/>
      <c r="AU1058" s="55"/>
      <c r="AV1058" s="55"/>
      <c r="AW1058" s="55"/>
      <c r="AX1058" s="55"/>
      <c r="AY1058" s="55"/>
      <c r="AZ1058" s="55"/>
    </row>
    <row r="1059" spans="22:52" x14ac:dyDescent="0.2">
      <c r="V1059" s="55"/>
      <c r="W1059" s="55"/>
      <c r="X1059" s="55"/>
      <c r="Y1059" s="55"/>
      <c r="Z1059" s="55"/>
      <c r="AA1059" s="55"/>
      <c r="AB1059" s="55"/>
      <c r="AC1059" s="55"/>
      <c r="AD1059" s="55"/>
      <c r="AE1059" s="55"/>
      <c r="AF1059" s="55"/>
      <c r="AG1059" s="55"/>
      <c r="AH1059" s="55"/>
      <c r="AI1059" s="55"/>
      <c r="AJ1059" s="55"/>
      <c r="AK1059" s="55"/>
      <c r="AL1059" s="55"/>
      <c r="AM1059" s="55"/>
      <c r="AN1059" s="55"/>
      <c r="AO1059" s="55"/>
      <c r="AP1059" s="55"/>
      <c r="AQ1059" s="55"/>
      <c r="AR1059" s="55"/>
      <c r="AS1059" s="55"/>
      <c r="AT1059" s="55"/>
      <c r="AU1059" s="55"/>
      <c r="AV1059" s="55"/>
      <c r="AW1059" s="55"/>
      <c r="AX1059" s="55"/>
      <c r="AY1059" s="55"/>
      <c r="AZ1059" s="55"/>
    </row>
    <row r="1060" spans="22:52" x14ac:dyDescent="0.2">
      <c r="V1060" s="55"/>
      <c r="W1060" s="55"/>
      <c r="X1060" s="55"/>
      <c r="Y1060" s="55"/>
      <c r="Z1060" s="55"/>
      <c r="AA1060" s="55"/>
      <c r="AB1060" s="55"/>
      <c r="AC1060" s="55"/>
      <c r="AD1060" s="55"/>
      <c r="AE1060" s="55"/>
      <c r="AF1060" s="55"/>
      <c r="AG1060" s="55"/>
      <c r="AH1060" s="55"/>
      <c r="AI1060" s="55"/>
      <c r="AJ1060" s="55"/>
      <c r="AK1060" s="55"/>
      <c r="AL1060" s="55"/>
      <c r="AM1060" s="55"/>
      <c r="AN1060" s="55"/>
      <c r="AO1060" s="55"/>
      <c r="AP1060" s="55"/>
      <c r="AQ1060" s="55"/>
      <c r="AR1060" s="55"/>
      <c r="AS1060" s="55"/>
      <c r="AT1060" s="55"/>
      <c r="AU1060" s="55"/>
      <c r="AV1060" s="55"/>
      <c r="AW1060" s="55"/>
      <c r="AX1060" s="55"/>
      <c r="AY1060" s="55"/>
      <c r="AZ1060" s="55"/>
    </row>
    <row r="1061" spans="22:52" x14ac:dyDescent="0.2">
      <c r="V1061" s="55"/>
      <c r="W1061" s="55"/>
      <c r="X1061" s="55"/>
      <c r="Y1061" s="55"/>
      <c r="Z1061" s="55"/>
      <c r="AA1061" s="55"/>
      <c r="AB1061" s="55"/>
      <c r="AC1061" s="55"/>
      <c r="AD1061" s="55"/>
      <c r="AE1061" s="55"/>
      <c r="AF1061" s="55"/>
      <c r="AG1061" s="55"/>
      <c r="AH1061" s="55"/>
      <c r="AI1061" s="55"/>
      <c r="AJ1061" s="55"/>
      <c r="AK1061" s="55"/>
      <c r="AL1061" s="55"/>
      <c r="AM1061" s="55"/>
      <c r="AN1061" s="55"/>
      <c r="AO1061" s="55"/>
      <c r="AP1061" s="55"/>
      <c r="AQ1061" s="55"/>
      <c r="AR1061" s="55"/>
      <c r="AS1061" s="55"/>
      <c r="AT1061" s="55"/>
      <c r="AU1061" s="55"/>
      <c r="AV1061" s="55"/>
      <c r="AW1061" s="55"/>
      <c r="AX1061" s="55"/>
      <c r="AY1061" s="55"/>
      <c r="AZ1061" s="55"/>
    </row>
    <row r="1062" spans="22:52" x14ac:dyDescent="0.2">
      <c r="V1062" s="55"/>
      <c r="W1062" s="55"/>
      <c r="X1062" s="55"/>
      <c r="Y1062" s="55"/>
      <c r="Z1062" s="55"/>
      <c r="AA1062" s="55"/>
      <c r="AB1062" s="55"/>
      <c r="AC1062" s="55"/>
      <c r="AD1062" s="55"/>
      <c r="AE1062" s="55"/>
      <c r="AF1062" s="55"/>
      <c r="AG1062" s="55"/>
      <c r="AH1062" s="55"/>
      <c r="AI1062" s="55"/>
      <c r="AJ1062" s="55"/>
      <c r="AK1062" s="55"/>
      <c r="AL1062" s="55"/>
      <c r="AM1062" s="55"/>
      <c r="AN1062" s="55"/>
      <c r="AO1062" s="55"/>
      <c r="AP1062" s="55"/>
      <c r="AQ1062" s="55"/>
      <c r="AR1062" s="55"/>
      <c r="AS1062" s="55"/>
      <c r="AT1062" s="55"/>
      <c r="AU1062" s="55"/>
      <c r="AV1062" s="55"/>
      <c r="AW1062" s="55"/>
      <c r="AX1062" s="55"/>
      <c r="AY1062" s="55"/>
      <c r="AZ1062" s="55"/>
    </row>
    <row r="1063" spans="22:52" x14ac:dyDescent="0.2">
      <c r="V1063" s="55"/>
      <c r="W1063" s="55"/>
      <c r="X1063" s="55"/>
      <c r="Y1063" s="55"/>
      <c r="Z1063" s="55"/>
      <c r="AA1063" s="55"/>
      <c r="AB1063" s="55"/>
      <c r="AC1063" s="55"/>
      <c r="AD1063" s="55"/>
      <c r="AE1063" s="55"/>
      <c r="AF1063" s="55"/>
      <c r="AG1063" s="55"/>
      <c r="AH1063" s="55"/>
      <c r="AI1063" s="55"/>
      <c r="AJ1063" s="55"/>
      <c r="AK1063" s="55"/>
      <c r="AL1063" s="55"/>
      <c r="AM1063" s="55"/>
      <c r="AN1063" s="55"/>
      <c r="AO1063" s="55"/>
      <c r="AP1063" s="55"/>
      <c r="AQ1063" s="55"/>
      <c r="AR1063" s="55"/>
      <c r="AS1063" s="55"/>
      <c r="AT1063" s="55"/>
      <c r="AU1063" s="55"/>
      <c r="AV1063" s="55"/>
      <c r="AW1063" s="55"/>
      <c r="AX1063" s="55"/>
      <c r="AY1063" s="55"/>
      <c r="AZ1063" s="55"/>
    </row>
    <row r="1064" spans="22:52" x14ac:dyDescent="0.2">
      <c r="V1064" s="55"/>
      <c r="W1064" s="55"/>
      <c r="X1064" s="55"/>
      <c r="Y1064" s="55"/>
      <c r="Z1064" s="55"/>
      <c r="AA1064" s="55"/>
      <c r="AB1064" s="55"/>
      <c r="AC1064" s="55"/>
      <c r="AD1064" s="55"/>
      <c r="AE1064" s="55"/>
      <c r="AF1064" s="55"/>
      <c r="AG1064" s="55"/>
      <c r="AH1064" s="55"/>
      <c r="AI1064" s="55"/>
      <c r="AJ1064" s="55"/>
      <c r="AK1064" s="55"/>
      <c r="AL1064" s="55"/>
      <c r="AM1064" s="55"/>
      <c r="AN1064" s="55"/>
      <c r="AO1064" s="55"/>
      <c r="AP1064" s="55"/>
      <c r="AQ1064" s="55"/>
      <c r="AR1064" s="55"/>
      <c r="AS1064" s="55"/>
      <c r="AT1064" s="55"/>
      <c r="AU1064" s="55"/>
      <c r="AV1064" s="55"/>
      <c r="AW1064" s="55"/>
      <c r="AX1064" s="55"/>
      <c r="AY1064" s="55"/>
      <c r="AZ1064" s="55"/>
    </row>
    <row r="1065" spans="22:52" x14ac:dyDescent="0.2">
      <c r="V1065" s="55"/>
      <c r="W1065" s="55"/>
      <c r="X1065" s="55"/>
      <c r="Y1065" s="55"/>
      <c r="Z1065" s="55"/>
      <c r="AA1065" s="55"/>
      <c r="AB1065" s="55"/>
      <c r="AC1065" s="55"/>
      <c r="AD1065" s="55"/>
      <c r="AE1065" s="55"/>
      <c r="AF1065" s="55"/>
      <c r="AG1065" s="55"/>
      <c r="AH1065" s="55"/>
      <c r="AI1065" s="55"/>
      <c r="AJ1065" s="55"/>
      <c r="AK1065" s="55"/>
      <c r="AL1065" s="55"/>
      <c r="AM1065" s="55"/>
      <c r="AN1065" s="55"/>
      <c r="AO1065" s="55"/>
      <c r="AP1065" s="55"/>
      <c r="AQ1065" s="55"/>
      <c r="AR1065" s="55"/>
      <c r="AS1065" s="55"/>
      <c r="AT1065" s="55"/>
      <c r="AU1065" s="55"/>
      <c r="AV1065" s="55"/>
      <c r="AW1065" s="55"/>
      <c r="AX1065" s="55"/>
      <c r="AY1065" s="55"/>
      <c r="AZ1065" s="55"/>
    </row>
    <row r="1066" spans="22:52" x14ac:dyDescent="0.2">
      <c r="V1066" s="55"/>
      <c r="W1066" s="55"/>
      <c r="X1066" s="55"/>
      <c r="Y1066" s="55"/>
      <c r="Z1066" s="55"/>
      <c r="AA1066" s="55"/>
      <c r="AB1066" s="55"/>
      <c r="AC1066" s="55"/>
      <c r="AD1066" s="55"/>
      <c r="AE1066" s="55"/>
      <c r="AF1066" s="55"/>
      <c r="AG1066" s="55"/>
      <c r="AH1066" s="55"/>
      <c r="AI1066" s="55"/>
      <c r="AJ1066" s="55"/>
      <c r="AK1066" s="55"/>
      <c r="AL1066" s="55"/>
      <c r="AM1066" s="55"/>
      <c r="AN1066" s="55"/>
      <c r="AO1066" s="55"/>
      <c r="AP1066" s="55"/>
      <c r="AQ1066" s="55"/>
      <c r="AR1066" s="55"/>
      <c r="AS1066" s="55"/>
      <c r="AT1066" s="55"/>
      <c r="AU1066" s="55"/>
      <c r="AV1066" s="55"/>
      <c r="AW1066" s="55"/>
      <c r="AX1066" s="55"/>
      <c r="AY1066" s="55"/>
      <c r="AZ1066" s="55"/>
    </row>
    <row r="1067" spans="22:52" x14ac:dyDescent="0.2">
      <c r="V1067" s="55"/>
      <c r="W1067" s="55"/>
      <c r="X1067" s="55"/>
      <c r="Y1067" s="55"/>
      <c r="Z1067" s="55"/>
      <c r="AA1067" s="55"/>
      <c r="AB1067" s="55"/>
      <c r="AC1067" s="55"/>
      <c r="AD1067" s="55"/>
      <c r="AE1067" s="55"/>
      <c r="AF1067" s="55"/>
      <c r="AG1067" s="55"/>
      <c r="AH1067" s="55"/>
      <c r="AI1067" s="55"/>
      <c r="AJ1067" s="55"/>
      <c r="AK1067" s="55"/>
      <c r="AL1067" s="55"/>
      <c r="AM1067" s="55"/>
      <c r="AN1067" s="55"/>
      <c r="AO1067" s="55"/>
      <c r="AP1067" s="55"/>
      <c r="AQ1067" s="55"/>
      <c r="AR1067" s="55"/>
      <c r="AS1067" s="55"/>
      <c r="AT1067" s="55"/>
      <c r="AU1067" s="55"/>
      <c r="AV1067" s="55"/>
      <c r="AW1067" s="55"/>
      <c r="AX1067" s="55"/>
      <c r="AY1067" s="55"/>
      <c r="AZ1067" s="55"/>
    </row>
    <row r="1068" spans="22:52" x14ac:dyDescent="0.2">
      <c r="V1068" s="55"/>
      <c r="W1068" s="55"/>
      <c r="X1068" s="55"/>
      <c r="Y1068" s="55"/>
      <c r="Z1068" s="55"/>
      <c r="AA1068" s="55"/>
      <c r="AB1068" s="55"/>
      <c r="AC1068" s="55"/>
      <c r="AD1068" s="55"/>
      <c r="AE1068" s="55"/>
      <c r="AF1068" s="55"/>
      <c r="AG1068" s="55"/>
      <c r="AH1068" s="55"/>
      <c r="AI1068" s="55"/>
      <c r="AJ1068" s="55"/>
      <c r="AK1068" s="55"/>
      <c r="AL1068" s="55"/>
      <c r="AM1068" s="55"/>
      <c r="AN1068" s="55"/>
      <c r="AO1068" s="55"/>
      <c r="AP1068" s="55"/>
      <c r="AQ1068" s="55"/>
      <c r="AR1068" s="55"/>
      <c r="AS1068" s="55"/>
      <c r="AT1068" s="55"/>
      <c r="AU1068" s="55"/>
      <c r="AV1068" s="55"/>
      <c r="AW1068" s="55"/>
      <c r="AX1068" s="55"/>
      <c r="AY1068" s="55"/>
      <c r="AZ1068" s="55"/>
    </row>
    <row r="1069" spans="22:52" x14ac:dyDescent="0.2">
      <c r="V1069" s="55"/>
      <c r="W1069" s="55"/>
      <c r="X1069" s="55"/>
      <c r="Y1069" s="55"/>
      <c r="Z1069" s="55"/>
      <c r="AA1069" s="55"/>
      <c r="AB1069" s="55"/>
      <c r="AC1069" s="55"/>
      <c r="AD1069" s="55"/>
      <c r="AE1069" s="55"/>
      <c r="AF1069" s="55"/>
      <c r="AG1069" s="55"/>
      <c r="AH1069" s="55"/>
      <c r="AI1069" s="55"/>
      <c r="AJ1069" s="55"/>
      <c r="AK1069" s="55"/>
      <c r="AL1069" s="55"/>
      <c r="AM1069" s="55"/>
      <c r="AN1069" s="55"/>
      <c r="AO1069" s="55"/>
      <c r="AP1069" s="55"/>
      <c r="AQ1069" s="55"/>
      <c r="AR1069" s="55"/>
      <c r="AS1069" s="55"/>
      <c r="AT1069" s="55"/>
      <c r="AU1069" s="55"/>
      <c r="AV1069" s="55"/>
      <c r="AW1069" s="55"/>
      <c r="AX1069" s="55"/>
      <c r="AY1069" s="55"/>
      <c r="AZ1069" s="55"/>
    </row>
    <row r="1070" spans="22:52" x14ac:dyDescent="0.2">
      <c r="V1070" s="55"/>
      <c r="W1070" s="55"/>
      <c r="X1070" s="55"/>
      <c r="Y1070" s="55"/>
      <c r="Z1070" s="55"/>
      <c r="AA1070" s="55"/>
      <c r="AB1070" s="55"/>
      <c r="AC1070" s="55"/>
      <c r="AD1070" s="55"/>
      <c r="AE1070" s="55"/>
      <c r="AF1070" s="55"/>
      <c r="AG1070" s="55"/>
      <c r="AH1070" s="55"/>
      <c r="AI1070" s="55"/>
      <c r="AJ1070" s="55"/>
      <c r="AK1070" s="55"/>
      <c r="AL1070" s="55"/>
      <c r="AM1070" s="55"/>
      <c r="AN1070" s="55"/>
      <c r="AO1070" s="55"/>
      <c r="AP1070" s="55"/>
      <c r="AQ1070" s="55"/>
      <c r="AR1070" s="55"/>
      <c r="AS1070" s="55"/>
      <c r="AT1070" s="55"/>
      <c r="AU1070" s="55"/>
      <c r="AV1070" s="55"/>
      <c r="AW1070" s="55"/>
      <c r="AX1070" s="55"/>
      <c r="AY1070" s="55"/>
      <c r="AZ1070" s="55"/>
    </row>
    <row r="1071" spans="22:52" x14ac:dyDescent="0.2">
      <c r="V1071" s="55"/>
      <c r="W1071" s="55"/>
      <c r="X1071" s="55"/>
      <c r="Y1071" s="55"/>
      <c r="Z1071" s="55"/>
      <c r="AA1071" s="55"/>
      <c r="AB1071" s="55"/>
      <c r="AC1071" s="55"/>
      <c r="AD1071" s="55"/>
      <c r="AE1071" s="55"/>
      <c r="AF1071" s="55"/>
      <c r="AG1071" s="55"/>
      <c r="AH1071" s="55"/>
      <c r="AI1071" s="55"/>
      <c r="AJ1071" s="55"/>
      <c r="AK1071" s="55"/>
      <c r="AL1071" s="55"/>
      <c r="AM1071" s="55"/>
      <c r="AN1071" s="55"/>
      <c r="AO1071" s="55"/>
      <c r="AP1071" s="55"/>
      <c r="AQ1071" s="55"/>
      <c r="AR1071" s="55"/>
      <c r="AS1071" s="55"/>
      <c r="AT1071" s="55"/>
      <c r="AU1071" s="55"/>
      <c r="AV1071" s="55"/>
      <c r="AW1071" s="55"/>
      <c r="AX1071" s="55"/>
      <c r="AY1071" s="55"/>
      <c r="AZ1071" s="55"/>
    </row>
    <row r="1072" spans="22:52" x14ac:dyDescent="0.2">
      <c r="V1072" s="55"/>
      <c r="W1072" s="55"/>
      <c r="X1072" s="55"/>
      <c r="Y1072" s="55"/>
      <c r="Z1072" s="55"/>
      <c r="AA1072" s="55"/>
      <c r="AB1072" s="55"/>
      <c r="AC1072" s="55"/>
      <c r="AD1072" s="55"/>
      <c r="AE1072" s="55"/>
      <c r="AF1072" s="55"/>
      <c r="AG1072" s="55"/>
      <c r="AH1072" s="55"/>
      <c r="AI1072" s="55"/>
      <c r="AJ1072" s="55"/>
      <c r="AK1072" s="55"/>
      <c r="AL1072" s="55"/>
      <c r="AM1072" s="55"/>
      <c r="AN1072" s="55"/>
      <c r="AO1072" s="55"/>
      <c r="AP1072" s="55"/>
      <c r="AQ1072" s="55"/>
      <c r="AR1072" s="55"/>
      <c r="AS1072" s="55"/>
      <c r="AT1072" s="55"/>
      <c r="AU1072" s="55"/>
      <c r="AV1072" s="55"/>
      <c r="AW1072" s="55"/>
      <c r="AX1072" s="55"/>
      <c r="AY1072" s="55"/>
      <c r="AZ1072" s="55"/>
    </row>
    <row r="1073" spans="2:52" x14ac:dyDescent="0.2">
      <c r="V1073" s="55"/>
      <c r="W1073" s="55"/>
      <c r="X1073" s="55"/>
      <c r="Y1073" s="55"/>
      <c r="Z1073" s="55"/>
      <c r="AA1073" s="55"/>
      <c r="AB1073" s="55"/>
      <c r="AC1073" s="55"/>
      <c r="AD1073" s="55"/>
      <c r="AE1073" s="55"/>
      <c r="AF1073" s="55"/>
      <c r="AG1073" s="55"/>
      <c r="AH1073" s="55"/>
      <c r="AI1073" s="55"/>
      <c r="AJ1073" s="55"/>
      <c r="AK1073" s="55"/>
      <c r="AL1073" s="55"/>
      <c r="AM1073" s="55"/>
      <c r="AN1073" s="55"/>
      <c r="AO1073" s="55"/>
      <c r="AP1073" s="55"/>
      <c r="AQ1073" s="55"/>
      <c r="AR1073" s="55"/>
      <c r="AS1073" s="55"/>
      <c r="AT1073" s="55"/>
      <c r="AU1073" s="55"/>
      <c r="AV1073" s="55"/>
      <c r="AW1073" s="55"/>
      <c r="AX1073" s="55"/>
      <c r="AY1073" s="55"/>
      <c r="AZ1073" s="55"/>
    </row>
    <row r="1074" spans="2:52" x14ac:dyDescent="0.2">
      <c r="V1074" s="55"/>
      <c r="W1074" s="55"/>
      <c r="X1074" s="55"/>
      <c r="Y1074" s="55"/>
      <c r="Z1074" s="55"/>
      <c r="AA1074" s="55"/>
      <c r="AB1074" s="55"/>
      <c r="AC1074" s="55"/>
      <c r="AD1074" s="55"/>
      <c r="AE1074" s="55"/>
      <c r="AF1074" s="55"/>
      <c r="AG1074" s="55"/>
      <c r="AH1074" s="55"/>
      <c r="AI1074" s="55"/>
      <c r="AJ1074" s="55"/>
      <c r="AK1074" s="55"/>
      <c r="AL1074" s="55"/>
      <c r="AM1074" s="55"/>
      <c r="AN1074" s="55"/>
      <c r="AO1074" s="55"/>
      <c r="AP1074" s="55"/>
      <c r="AQ1074" s="55"/>
      <c r="AR1074" s="55"/>
      <c r="AS1074" s="55"/>
      <c r="AT1074" s="55"/>
      <c r="AU1074" s="55"/>
      <c r="AV1074" s="55"/>
      <c r="AW1074" s="55"/>
      <c r="AX1074" s="55"/>
      <c r="AY1074" s="55"/>
      <c r="AZ1074" s="55"/>
    </row>
    <row r="1075" spans="2:52" x14ac:dyDescent="0.2">
      <c r="V1075" s="55"/>
      <c r="W1075" s="55"/>
      <c r="X1075" s="55"/>
      <c r="Y1075" s="55"/>
      <c r="Z1075" s="55"/>
      <c r="AA1075" s="55"/>
      <c r="AB1075" s="55"/>
      <c r="AC1075" s="55"/>
      <c r="AD1075" s="55"/>
      <c r="AE1075" s="55"/>
      <c r="AF1075" s="55"/>
      <c r="AG1075" s="55"/>
      <c r="AH1075" s="55"/>
      <c r="AI1075" s="55"/>
      <c r="AJ1075" s="55"/>
      <c r="AK1075" s="55"/>
      <c r="AL1075" s="55"/>
      <c r="AM1075" s="55"/>
      <c r="AN1075" s="55"/>
      <c r="AO1075" s="55"/>
      <c r="AP1075" s="55"/>
      <c r="AQ1075" s="55"/>
      <c r="AR1075" s="55"/>
      <c r="AS1075" s="55"/>
      <c r="AT1075" s="55"/>
      <c r="AU1075" s="55"/>
      <c r="AV1075" s="55"/>
      <c r="AW1075" s="55"/>
      <c r="AX1075" s="55"/>
      <c r="AY1075" s="55"/>
      <c r="AZ1075" s="55"/>
    </row>
    <row r="1076" spans="2:52" x14ac:dyDescent="0.2">
      <c r="V1076" s="55"/>
      <c r="W1076" s="55"/>
      <c r="X1076" s="55"/>
      <c r="Y1076" s="55"/>
      <c r="Z1076" s="55"/>
      <c r="AA1076" s="55"/>
      <c r="AB1076" s="55"/>
      <c r="AC1076" s="55"/>
      <c r="AD1076" s="55"/>
      <c r="AE1076" s="55"/>
      <c r="AF1076" s="55"/>
      <c r="AG1076" s="55"/>
      <c r="AH1076" s="55"/>
      <c r="AI1076" s="55"/>
      <c r="AJ1076" s="55"/>
      <c r="AK1076" s="55"/>
      <c r="AL1076" s="55"/>
      <c r="AM1076" s="55"/>
      <c r="AN1076" s="55"/>
      <c r="AO1076" s="55"/>
      <c r="AP1076" s="55"/>
      <c r="AQ1076" s="55"/>
      <c r="AR1076" s="55"/>
      <c r="AS1076" s="55"/>
      <c r="AT1076" s="55"/>
      <c r="AU1076" s="55"/>
      <c r="AV1076" s="55"/>
      <c r="AW1076" s="55"/>
      <c r="AX1076" s="55"/>
      <c r="AY1076" s="55"/>
      <c r="AZ1076" s="55"/>
    </row>
    <row r="1077" spans="2:52" x14ac:dyDescent="0.2">
      <c r="B1077" s="82" t="s">
        <v>510</v>
      </c>
      <c r="C1077" s="3256"/>
      <c r="D1077" s="85"/>
      <c r="E1077" s="85"/>
      <c r="F1077" s="55"/>
      <c r="G1077" s="55"/>
      <c r="H1077" s="55"/>
      <c r="I1077" s="55"/>
      <c r="J1077" s="55"/>
      <c r="K1077" s="55"/>
      <c r="V1077" s="55"/>
      <c r="W1077" s="55"/>
      <c r="X1077" s="55"/>
      <c r="Y1077" s="55"/>
      <c r="Z1077" s="55"/>
      <c r="AA1077" s="55"/>
      <c r="AB1077" s="55"/>
      <c r="AC1077" s="55"/>
      <c r="AD1077" s="55"/>
      <c r="AE1077" s="55"/>
      <c r="AF1077" s="55"/>
      <c r="AG1077" s="55"/>
      <c r="AH1077" s="55"/>
      <c r="AI1077" s="55"/>
      <c r="AJ1077" s="55"/>
      <c r="AK1077" s="55"/>
      <c r="AL1077" s="55"/>
      <c r="AM1077" s="55"/>
      <c r="AN1077" s="55"/>
      <c r="AO1077" s="55"/>
      <c r="AP1077" s="55"/>
      <c r="AQ1077" s="55"/>
      <c r="AR1077" s="55"/>
      <c r="AS1077" s="55"/>
      <c r="AT1077" s="55"/>
      <c r="AU1077" s="55"/>
      <c r="AV1077" s="55"/>
      <c r="AW1077" s="55"/>
      <c r="AX1077" s="55"/>
      <c r="AY1077" s="55"/>
      <c r="AZ1077" s="55"/>
    </row>
    <row r="1078" spans="2:52" x14ac:dyDescent="0.2">
      <c r="V1078" s="55"/>
      <c r="W1078" s="55"/>
      <c r="X1078" s="55"/>
      <c r="Y1078" s="55"/>
      <c r="Z1078" s="55"/>
      <c r="AA1078" s="55"/>
      <c r="AB1078" s="55"/>
      <c r="AC1078" s="55"/>
      <c r="AD1078" s="55"/>
      <c r="AE1078" s="55"/>
      <c r="AF1078" s="55"/>
      <c r="AG1078" s="55"/>
      <c r="AH1078" s="55"/>
      <c r="AI1078" s="55"/>
      <c r="AJ1078" s="55"/>
      <c r="AK1078" s="55"/>
      <c r="AL1078" s="55"/>
      <c r="AM1078" s="55"/>
      <c r="AN1078" s="55"/>
      <c r="AO1078" s="55"/>
      <c r="AP1078" s="55"/>
      <c r="AQ1078" s="55"/>
      <c r="AR1078" s="55"/>
      <c r="AS1078" s="55"/>
      <c r="AT1078" s="55"/>
      <c r="AU1078" s="55"/>
      <c r="AV1078" s="55"/>
      <c r="AW1078" s="55"/>
      <c r="AX1078" s="55"/>
      <c r="AY1078" s="55"/>
      <c r="AZ1078" s="55"/>
    </row>
    <row r="1079" spans="2:52" x14ac:dyDescent="0.2">
      <c r="V1079" s="55"/>
      <c r="W1079" s="55"/>
      <c r="X1079" s="55"/>
      <c r="Y1079" s="55"/>
      <c r="Z1079" s="55"/>
      <c r="AA1079" s="55"/>
      <c r="AB1079" s="55"/>
      <c r="AC1079" s="55"/>
      <c r="AD1079" s="55"/>
      <c r="AE1079" s="55"/>
      <c r="AF1079" s="55"/>
      <c r="AG1079" s="55"/>
      <c r="AH1079" s="55"/>
      <c r="AI1079" s="55"/>
      <c r="AJ1079" s="55"/>
      <c r="AK1079" s="55"/>
      <c r="AL1079" s="55"/>
      <c r="AM1079" s="55"/>
      <c r="AN1079" s="55"/>
      <c r="AO1079" s="55"/>
      <c r="AP1079" s="55"/>
      <c r="AQ1079" s="55"/>
      <c r="AR1079" s="55"/>
      <c r="AS1079" s="55"/>
      <c r="AT1079" s="55"/>
      <c r="AU1079" s="55"/>
      <c r="AV1079" s="55"/>
      <c r="AW1079" s="55"/>
      <c r="AX1079" s="55"/>
      <c r="AY1079" s="55"/>
      <c r="AZ1079" s="55"/>
    </row>
    <row r="1080" spans="2:52" x14ac:dyDescent="0.2">
      <c r="V1080" s="55"/>
      <c r="W1080" s="55"/>
      <c r="X1080" s="55"/>
      <c r="Y1080" s="55"/>
      <c r="Z1080" s="55"/>
      <c r="AA1080" s="55"/>
      <c r="AB1080" s="55"/>
      <c r="AC1080" s="55"/>
      <c r="AD1080" s="55"/>
      <c r="AE1080" s="55"/>
      <c r="AF1080" s="55"/>
      <c r="AG1080" s="55"/>
      <c r="AH1080" s="55"/>
      <c r="AI1080" s="55"/>
      <c r="AJ1080" s="55"/>
      <c r="AK1080" s="55"/>
      <c r="AL1080" s="55"/>
      <c r="AM1080" s="55"/>
      <c r="AN1080" s="55"/>
      <c r="AO1080" s="55"/>
      <c r="AP1080" s="55"/>
      <c r="AQ1080" s="55"/>
      <c r="AR1080" s="55"/>
      <c r="AS1080" s="55"/>
      <c r="AT1080" s="55"/>
      <c r="AU1080" s="55"/>
      <c r="AV1080" s="55"/>
      <c r="AW1080" s="55"/>
      <c r="AX1080" s="55"/>
      <c r="AY1080" s="55"/>
      <c r="AZ1080" s="55"/>
    </row>
    <row r="1081" spans="2:52" x14ac:dyDescent="0.2">
      <c r="V1081" s="55"/>
      <c r="W1081" s="55"/>
      <c r="X1081" s="55"/>
      <c r="Y1081" s="55"/>
      <c r="Z1081" s="55"/>
      <c r="AA1081" s="55"/>
      <c r="AB1081" s="55"/>
      <c r="AC1081" s="55"/>
      <c r="AD1081" s="55"/>
      <c r="AE1081" s="55"/>
      <c r="AF1081" s="55"/>
      <c r="AG1081" s="55"/>
      <c r="AH1081" s="55"/>
      <c r="AI1081" s="55"/>
      <c r="AJ1081" s="55"/>
      <c r="AK1081" s="55"/>
      <c r="AL1081" s="55"/>
      <c r="AM1081" s="55"/>
      <c r="AN1081" s="55"/>
      <c r="AO1081" s="55"/>
      <c r="AP1081" s="55"/>
      <c r="AQ1081" s="55"/>
      <c r="AR1081" s="55"/>
      <c r="AS1081" s="55"/>
      <c r="AT1081" s="55"/>
      <c r="AU1081" s="55"/>
      <c r="AV1081" s="55"/>
      <c r="AW1081" s="55"/>
      <c r="AX1081" s="55"/>
      <c r="AY1081" s="55"/>
      <c r="AZ1081" s="55"/>
    </row>
    <row r="1082" spans="2:52" x14ac:dyDescent="0.2">
      <c r="V1082" s="55"/>
      <c r="W1082" s="55"/>
      <c r="X1082" s="55"/>
      <c r="Y1082" s="55"/>
      <c r="Z1082" s="55"/>
      <c r="AA1082" s="55"/>
      <c r="AB1082" s="55"/>
      <c r="AC1082" s="55"/>
      <c r="AD1082" s="55"/>
      <c r="AE1082" s="55"/>
      <c r="AF1082" s="55"/>
      <c r="AG1082" s="55"/>
      <c r="AH1082" s="55"/>
      <c r="AI1082" s="55"/>
      <c r="AJ1082" s="55"/>
      <c r="AK1082" s="55"/>
      <c r="AL1082" s="55"/>
      <c r="AM1082" s="55"/>
      <c r="AN1082" s="55"/>
      <c r="AO1082" s="55"/>
      <c r="AP1082" s="55"/>
      <c r="AQ1082" s="55"/>
      <c r="AR1082" s="55"/>
      <c r="AS1082" s="55"/>
      <c r="AT1082" s="55"/>
      <c r="AU1082" s="55"/>
      <c r="AV1082" s="55"/>
      <c r="AW1082" s="55"/>
      <c r="AX1082" s="55"/>
      <c r="AY1082" s="55"/>
      <c r="AZ1082" s="55"/>
    </row>
    <row r="1083" spans="2:52" x14ac:dyDescent="0.2">
      <c r="V1083" s="55"/>
      <c r="W1083" s="55"/>
      <c r="X1083" s="55"/>
      <c r="Y1083" s="55"/>
      <c r="Z1083" s="55"/>
      <c r="AA1083" s="55"/>
      <c r="AB1083" s="55"/>
      <c r="AC1083" s="55"/>
      <c r="AD1083" s="55"/>
      <c r="AE1083" s="55"/>
      <c r="AF1083" s="55"/>
      <c r="AG1083" s="55"/>
      <c r="AH1083" s="55"/>
      <c r="AI1083" s="55"/>
      <c r="AJ1083" s="55"/>
      <c r="AK1083" s="55"/>
      <c r="AL1083" s="55"/>
      <c r="AM1083" s="55"/>
      <c r="AN1083" s="55"/>
      <c r="AO1083" s="55"/>
      <c r="AP1083" s="55"/>
      <c r="AQ1083" s="55"/>
      <c r="AR1083" s="55"/>
      <c r="AS1083" s="55"/>
      <c r="AT1083" s="55"/>
      <c r="AU1083" s="55"/>
      <c r="AV1083" s="55"/>
      <c r="AW1083" s="55"/>
      <c r="AX1083" s="55"/>
      <c r="AY1083" s="55"/>
      <c r="AZ1083" s="55"/>
    </row>
    <row r="1084" spans="2:52" x14ac:dyDescent="0.2">
      <c r="V1084" s="55"/>
      <c r="W1084" s="55"/>
      <c r="X1084" s="55"/>
      <c r="Y1084" s="55"/>
      <c r="Z1084" s="55"/>
      <c r="AA1084" s="55"/>
      <c r="AB1084" s="55"/>
      <c r="AC1084" s="55"/>
      <c r="AD1084" s="55"/>
      <c r="AE1084" s="55"/>
      <c r="AF1084" s="55"/>
      <c r="AG1084" s="55"/>
      <c r="AH1084" s="55"/>
      <c r="AI1084" s="55"/>
      <c r="AJ1084" s="55"/>
      <c r="AK1084" s="55"/>
      <c r="AL1084" s="55"/>
      <c r="AM1084" s="55"/>
      <c r="AN1084" s="55"/>
      <c r="AO1084" s="55"/>
      <c r="AP1084" s="55"/>
      <c r="AQ1084" s="55"/>
      <c r="AR1084" s="55"/>
      <c r="AS1084" s="55"/>
      <c r="AT1084" s="55"/>
      <c r="AU1084" s="55"/>
      <c r="AV1084" s="55"/>
      <c r="AW1084" s="55"/>
      <c r="AX1084" s="55"/>
      <c r="AY1084" s="55"/>
      <c r="AZ1084" s="55"/>
    </row>
    <row r="1085" spans="2:52" x14ac:dyDescent="0.2">
      <c r="V1085" s="55"/>
      <c r="W1085" s="55"/>
      <c r="X1085" s="55"/>
      <c r="Y1085" s="55"/>
      <c r="Z1085" s="55"/>
      <c r="AA1085" s="55"/>
      <c r="AB1085" s="55"/>
      <c r="AC1085" s="55"/>
      <c r="AD1085" s="55"/>
      <c r="AE1085" s="55"/>
      <c r="AF1085" s="55"/>
      <c r="AG1085" s="55"/>
      <c r="AH1085" s="55"/>
      <c r="AI1085" s="55"/>
      <c r="AJ1085" s="55"/>
      <c r="AK1085" s="55"/>
      <c r="AL1085" s="55"/>
      <c r="AM1085" s="55"/>
      <c r="AN1085" s="55"/>
      <c r="AO1085" s="55"/>
      <c r="AP1085" s="55"/>
      <c r="AQ1085" s="55"/>
      <c r="AR1085" s="55"/>
      <c r="AS1085" s="55"/>
      <c r="AT1085" s="55"/>
      <c r="AU1085" s="55"/>
      <c r="AV1085" s="55"/>
      <c r="AW1085" s="55"/>
      <c r="AX1085" s="55"/>
      <c r="AY1085" s="55"/>
      <c r="AZ1085" s="55"/>
    </row>
    <row r="1086" spans="2:52" x14ac:dyDescent="0.2">
      <c r="V1086" s="55"/>
      <c r="W1086" s="55"/>
      <c r="X1086" s="55"/>
      <c r="Y1086" s="55"/>
      <c r="Z1086" s="55"/>
      <c r="AA1086" s="55"/>
      <c r="AB1086" s="55"/>
      <c r="AC1086" s="55"/>
      <c r="AD1086" s="55"/>
      <c r="AE1086" s="55"/>
      <c r="AF1086" s="55"/>
      <c r="AG1086" s="55"/>
      <c r="AH1086" s="55"/>
      <c r="AI1086" s="55"/>
      <c r="AJ1086" s="55"/>
      <c r="AK1086" s="55"/>
      <c r="AL1086" s="55"/>
      <c r="AM1086" s="55"/>
      <c r="AN1086" s="55"/>
      <c r="AO1086" s="55"/>
      <c r="AP1086" s="55"/>
      <c r="AQ1086" s="55"/>
      <c r="AR1086" s="55"/>
      <c r="AS1086" s="55"/>
      <c r="AT1086" s="55"/>
      <c r="AU1086" s="55"/>
      <c r="AV1086" s="55"/>
      <c r="AW1086" s="55"/>
      <c r="AX1086" s="55"/>
      <c r="AY1086" s="55"/>
      <c r="AZ1086" s="55"/>
    </row>
    <row r="1087" spans="2:52" x14ac:dyDescent="0.2">
      <c r="V1087" s="55"/>
      <c r="W1087" s="55"/>
      <c r="X1087" s="55"/>
      <c r="Y1087" s="55"/>
      <c r="Z1087" s="55"/>
      <c r="AA1087" s="55"/>
      <c r="AB1087" s="55"/>
      <c r="AC1087" s="55"/>
      <c r="AD1087" s="55"/>
      <c r="AE1087" s="55"/>
      <c r="AF1087" s="55"/>
      <c r="AG1087" s="55"/>
      <c r="AH1087" s="55"/>
      <c r="AI1087" s="55"/>
      <c r="AJ1087" s="55"/>
      <c r="AK1087" s="55"/>
      <c r="AL1087" s="55"/>
      <c r="AM1087" s="55"/>
      <c r="AN1087" s="55"/>
      <c r="AO1087" s="55"/>
      <c r="AP1087" s="55"/>
      <c r="AQ1087" s="55"/>
      <c r="AR1087" s="55"/>
      <c r="AS1087" s="55"/>
      <c r="AT1087" s="55"/>
      <c r="AU1087" s="55"/>
      <c r="AV1087" s="55"/>
      <c r="AW1087" s="55"/>
      <c r="AX1087" s="55"/>
      <c r="AY1087" s="55"/>
      <c r="AZ1087" s="55"/>
    </row>
    <row r="1088" spans="2:52" x14ac:dyDescent="0.2">
      <c r="V1088" s="55"/>
      <c r="W1088" s="55"/>
      <c r="X1088" s="55"/>
      <c r="Y1088" s="55"/>
      <c r="Z1088" s="55"/>
      <c r="AA1088" s="55"/>
      <c r="AB1088" s="55"/>
      <c r="AC1088" s="55"/>
      <c r="AD1088" s="55"/>
      <c r="AE1088" s="55"/>
      <c r="AF1088" s="55"/>
      <c r="AG1088" s="55"/>
      <c r="AH1088" s="55"/>
      <c r="AI1088" s="55"/>
      <c r="AJ1088" s="55"/>
      <c r="AK1088" s="55"/>
      <c r="AL1088" s="55"/>
      <c r="AM1088" s="55"/>
      <c r="AN1088" s="55"/>
      <c r="AO1088" s="55"/>
      <c r="AP1088" s="55"/>
      <c r="AQ1088" s="55"/>
      <c r="AR1088" s="55"/>
      <c r="AS1088" s="55"/>
      <c r="AT1088" s="55"/>
      <c r="AU1088" s="55"/>
      <c r="AV1088" s="55"/>
      <c r="AW1088" s="55"/>
      <c r="AX1088" s="55"/>
      <c r="AY1088" s="55"/>
      <c r="AZ1088" s="55"/>
    </row>
    <row r="1089" spans="22:52" x14ac:dyDescent="0.2">
      <c r="V1089" s="55"/>
      <c r="W1089" s="55"/>
      <c r="X1089" s="55"/>
      <c r="Y1089" s="55"/>
      <c r="Z1089" s="55"/>
      <c r="AA1089" s="55"/>
      <c r="AB1089" s="55"/>
      <c r="AC1089" s="55"/>
      <c r="AD1089" s="55"/>
      <c r="AE1089" s="55"/>
      <c r="AF1089" s="55"/>
      <c r="AG1089" s="55"/>
      <c r="AH1089" s="55"/>
      <c r="AI1089" s="55"/>
      <c r="AJ1089" s="55"/>
      <c r="AK1089" s="55"/>
      <c r="AL1089" s="55"/>
      <c r="AM1089" s="55"/>
      <c r="AN1089" s="55"/>
      <c r="AO1089" s="55"/>
      <c r="AP1089" s="55"/>
      <c r="AQ1089" s="55"/>
      <c r="AR1089" s="55"/>
      <c r="AS1089" s="55"/>
      <c r="AT1089" s="55"/>
      <c r="AU1089" s="55"/>
      <c r="AV1089" s="55"/>
      <c r="AW1089" s="55"/>
      <c r="AX1089" s="55"/>
      <c r="AY1089" s="55"/>
      <c r="AZ1089" s="55"/>
    </row>
    <row r="1090" spans="22:52" x14ac:dyDescent="0.2">
      <c r="V1090" s="55"/>
      <c r="W1090" s="55"/>
      <c r="X1090" s="55"/>
      <c r="Y1090" s="55"/>
      <c r="Z1090" s="55"/>
      <c r="AA1090" s="55"/>
      <c r="AB1090" s="55"/>
      <c r="AC1090" s="55"/>
      <c r="AD1090" s="55"/>
      <c r="AE1090" s="55"/>
      <c r="AF1090" s="55"/>
      <c r="AG1090" s="55"/>
      <c r="AH1090" s="55"/>
      <c r="AI1090" s="55"/>
      <c r="AJ1090" s="55"/>
      <c r="AK1090" s="55"/>
      <c r="AL1090" s="55"/>
      <c r="AM1090" s="55"/>
      <c r="AN1090" s="55"/>
      <c r="AO1090" s="55"/>
      <c r="AP1090" s="55"/>
      <c r="AQ1090" s="55"/>
      <c r="AR1090" s="55"/>
      <c r="AS1090" s="55"/>
      <c r="AT1090" s="55"/>
      <c r="AU1090" s="55"/>
      <c r="AV1090" s="55"/>
      <c r="AW1090" s="55"/>
      <c r="AX1090" s="55"/>
      <c r="AY1090" s="55"/>
      <c r="AZ1090" s="55"/>
    </row>
    <row r="1091" spans="22:52" x14ac:dyDescent="0.2">
      <c r="V1091" s="55"/>
      <c r="W1091" s="55"/>
      <c r="X1091" s="55"/>
      <c r="Y1091" s="55"/>
      <c r="Z1091" s="55"/>
      <c r="AA1091" s="55"/>
      <c r="AB1091" s="55"/>
      <c r="AC1091" s="55"/>
      <c r="AD1091" s="55"/>
      <c r="AE1091" s="55"/>
      <c r="AF1091" s="55"/>
      <c r="AG1091" s="55"/>
      <c r="AH1091" s="55"/>
      <c r="AI1091" s="55"/>
      <c r="AJ1091" s="55"/>
      <c r="AK1091" s="55"/>
      <c r="AL1091" s="55"/>
      <c r="AM1091" s="55"/>
      <c r="AN1091" s="55"/>
      <c r="AO1091" s="55"/>
      <c r="AP1091" s="55"/>
      <c r="AQ1091" s="55"/>
      <c r="AR1091" s="55"/>
      <c r="AS1091" s="55"/>
      <c r="AT1091" s="55"/>
      <c r="AU1091" s="55"/>
      <c r="AV1091" s="55"/>
      <c r="AW1091" s="55"/>
      <c r="AX1091" s="55"/>
      <c r="AY1091" s="55"/>
      <c r="AZ1091" s="55"/>
    </row>
    <row r="1092" spans="22:52" x14ac:dyDescent="0.2">
      <c r="V1092" s="55"/>
      <c r="W1092" s="55"/>
      <c r="X1092" s="55"/>
      <c r="Y1092" s="55"/>
      <c r="Z1092" s="55"/>
      <c r="AA1092" s="55"/>
      <c r="AB1092" s="55"/>
      <c r="AC1092" s="55"/>
      <c r="AD1092" s="55"/>
      <c r="AE1092" s="55"/>
      <c r="AF1092" s="55"/>
      <c r="AG1092" s="55"/>
      <c r="AH1092" s="55"/>
      <c r="AI1092" s="55"/>
      <c r="AJ1092" s="55"/>
      <c r="AK1092" s="55"/>
      <c r="AL1092" s="55"/>
      <c r="AM1092" s="55"/>
      <c r="AN1092" s="55"/>
      <c r="AO1092" s="55"/>
      <c r="AP1092" s="55"/>
      <c r="AQ1092" s="55"/>
      <c r="AR1092" s="55"/>
      <c r="AS1092" s="55"/>
      <c r="AT1092" s="55"/>
      <c r="AU1092" s="55"/>
      <c r="AV1092" s="55"/>
      <c r="AW1092" s="55"/>
      <c r="AX1092" s="55"/>
      <c r="AY1092" s="55"/>
      <c r="AZ1092" s="55"/>
    </row>
    <row r="1093" spans="22:52" x14ac:dyDescent="0.2">
      <c r="V1093" s="55"/>
      <c r="W1093" s="55"/>
      <c r="X1093" s="55"/>
      <c r="Y1093" s="55"/>
      <c r="Z1093" s="55"/>
      <c r="AA1093" s="55"/>
      <c r="AB1093" s="55"/>
      <c r="AC1093" s="55"/>
      <c r="AD1093" s="55"/>
      <c r="AE1093" s="55"/>
      <c r="AF1093" s="55"/>
      <c r="AG1093" s="55"/>
      <c r="AH1093" s="55"/>
      <c r="AI1093" s="55"/>
      <c r="AJ1093" s="55"/>
      <c r="AK1093" s="55"/>
      <c r="AL1093" s="55"/>
      <c r="AM1093" s="55"/>
      <c r="AN1093" s="55"/>
      <c r="AO1093" s="55"/>
      <c r="AP1093" s="55"/>
      <c r="AQ1093" s="55"/>
      <c r="AR1093" s="55"/>
      <c r="AS1093" s="55"/>
      <c r="AT1093" s="55"/>
      <c r="AU1093" s="55"/>
      <c r="AV1093" s="55"/>
      <c r="AW1093" s="55"/>
      <c r="AX1093" s="55"/>
      <c r="AY1093" s="55"/>
      <c r="AZ1093" s="55"/>
    </row>
    <row r="1094" spans="22:52" x14ac:dyDescent="0.2">
      <c r="V1094" s="55"/>
      <c r="W1094" s="55"/>
      <c r="X1094" s="55"/>
      <c r="Y1094" s="55"/>
      <c r="Z1094" s="55"/>
      <c r="AA1094" s="55"/>
      <c r="AB1094" s="55"/>
      <c r="AC1094" s="55"/>
      <c r="AD1094" s="55"/>
      <c r="AE1094" s="55"/>
      <c r="AF1094" s="55"/>
      <c r="AG1094" s="55"/>
      <c r="AH1094" s="55"/>
      <c r="AI1094" s="55"/>
      <c r="AJ1094" s="55"/>
      <c r="AK1094" s="55"/>
      <c r="AL1094" s="55"/>
      <c r="AM1094" s="55"/>
      <c r="AN1094" s="55"/>
      <c r="AO1094" s="55"/>
      <c r="AP1094" s="55"/>
      <c r="AQ1094" s="55"/>
      <c r="AR1094" s="55"/>
      <c r="AS1094" s="55"/>
      <c r="AT1094" s="55"/>
      <c r="AU1094" s="55"/>
      <c r="AV1094" s="55"/>
      <c r="AW1094" s="55"/>
      <c r="AX1094" s="55"/>
      <c r="AY1094" s="55"/>
      <c r="AZ1094" s="55"/>
    </row>
    <row r="1095" spans="22:52" x14ac:dyDescent="0.2">
      <c r="V1095" s="55"/>
      <c r="W1095" s="55"/>
      <c r="X1095" s="55"/>
      <c r="Y1095" s="55"/>
      <c r="Z1095" s="55"/>
      <c r="AA1095" s="55"/>
      <c r="AB1095" s="55"/>
      <c r="AC1095" s="55"/>
      <c r="AD1095" s="55"/>
      <c r="AE1095" s="55"/>
      <c r="AF1095" s="55"/>
      <c r="AG1095" s="55"/>
      <c r="AH1095" s="55"/>
      <c r="AI1095" s="55"/>
      <c r="AJ1095" s="55"/>
      <c r="AK1095" s="55"/>
      <c r="AL1095" s="55"/>
      <c r="AM1095" s="55"/>
      <c r="AN1095" s="55"/>
      <c r="AO1095" s="55"/>
      <c r="AP1095" s="55"/>
      <c r="AQ1095" s="55"/>
      <c r="AR1095" s="55"/>
      <c r="AS1095" s="55"/>
      <c r="AT1095" s="55"/>
      <c r="AU1095" s="55"/>
      <c r="AV1095" s="55"/>
      <c r="AW1095" s="55"/>
      <c r="AX1095" s="55"/>
      <c r="AY1095" s="55"/>
      <c r="AZ1095" s="55"/>
    </row>
    <row r="1096" spans="22:52" x14ac:dyDescent="0.2">
      <c r="V1096" s="55"/>
      <c r="W1096" s="55"/>
      <c r="X1096" s="55"/>
      <c r="Y1096" s="55"/>
      <c r="Z1096" s="55"/>
      <c r="AA1096" s="55"/>
      <c r="AB1096" s="55"/>
      <c r="AC1096" s="55"/>
      <c r="AD1096" s="55"/>
      <c r="AE1096" s="55"/>
      <c r="AF1096" s="55"/>
      <c r="AG1096" s="55"/>
      <c r="AH1096" s="55"/>
      <c r="AI1096" s="55"/>
      <c r="AJ1096" s="55"/>
      <c r="AK1096" s="55"/>
      <c r="AL1096" s="55"/>
      <c r="AM1096" s="55"/>
      <c r="AN1096" s="55"/>
      <c r="AO1096" s="55"/>
      <c r="AP1096" s="55"/>
      <c r="AQ1096" s="55"/>
      <c r="AR1096" s="55"/>
      <c r="AS1096" s="55"/>
      <c r="AT1096" s="55"/>
      <c r="AU1096" s="55"/>
      <c r="AV1096" s="55"/>
      <c r="AW1096" s="55"/>
      <c r="AX1096" s="55"/>
      <c r="AY1096" s="55"/>
      <c r="AZ1096" s="55"/>
    </row>
    <row r="1097" spans="22:52" x14ac:dyDescent="0.2">
      <c r="V1097" s="55"/>
      <c r="W1097" s="55"/>
      <c r="X1097" s="55"/>
      <c r="Y1097" s="55"/>
      <c r="Z1097" s="55"/>
      <c r="AA1097" s="55"/>
      <c r="AB1097" s="55"/>
      <c r="AC1097" s="55"/>
      <c r="AD1097" s="55"/>
      <c r="AE1097" s="55"/>
      <c r="AF1097" s="55"/>
      <c r="AG1097" s="55"/>
      <c r="AH1097" s="55"/>
      <c r="AI1097" s="55"/>
      <c r="AJ1097" s="55"/>
      <c r="AK1097" s="55"/>
      <c r="AL1097" s="55"/>
      <c r="AM1097" s="55"/>
      <c r="AN1097" s="55"/>
      <c r="AO1097" s="55"/>
      <c r="AP1097" s="55"/>
      <c r="AQ1097" s="55"/>
      <c r="AR1097" s="55"/>
      <c r="AS1097" s="55"/>
      <c r="AT1097" s="55"/>
      <c r="AU1097" s="55"/>
      <c r="AV1097" s="55"/>
      <c r="AW1097" s="55"/>
      <c r="AX1097" s="55"/>
      <c r="AY1097" s="55"/>
      <c r="AZ1097" s="55"/>
    </row>
    <row r="1098" spans="22:52" x14ac:dyDescent="0.2">
      <c r="V1098" s="55"/>
      <c r="W1098" s="55"/>
      <c r="X1098" s="55"/>
      <c r="Y1098" s="55"/>
      <c r="Z1098" s="55"/>
      <c r="AA1098" s="55"/>
      <c r="AB1098" s="55"/>
      <c r="AC1098" s="55"/>
      <c r="AD1098" s="55"/>
      <c r="AE1098" s="55"/>
      <c r="AF1098" s="55"/>
      <c r="AG1098" s="55"/>
      <c r="AH1098" s="55"/>
      <c r="AI1098" s="55"/>
      <c r="AJ1098" s="55"/>
      <c r="AK1098" s="55"/>
      <c r="AL1098" s="55"/>
      <c r="AM1098" s="55"/>
      <c r="AN1098" s="55"/>
      <c r="AO1098" s="55"/>
      <c r="AP1098" s="55"/>
      <c r="AQ1098" s="55"/>
      <c r="AR1098" s="55"/>
      <c r="AS1098" s="55"/>
      <c r="AT1098" s="55"/>
      <c r="AU1098" s="55"/>
      <c r="AV1098" s="55"/>
      <c r="AW1098" s="55"/>
      <c r="AX1098" s="55"/>
      <c r="AY1098" s="55"/>
      <c r="AZ1098" s="55"/>
    </row>
    <row r="1099" spans="22:52" x14ac:dyDescent="0.2">
      <c r="V1099" s="55"/>
      <c r="W1099" s="55"/>
      <c r="X1099" s="55"/>
      <c r="Y1099" s="55"/>
      <c r="Z1099" s="55"/>
      <c r="AA1099" s="55"/>
      <c r="AB1099" s="55"/>
      <c r="AC1099" s="55"/>
      <c r="AD1099" s="55"/>
      <c r="AE1099" s="55"/>
      <c r="AF1099" s="55"/>
      <c r="AG1099" s="55"/>
      <c r="AH1099" s="55"/>
      <c r="AI1099" s="55"/>
      <c r="AJ1099" s="55"/>
      <c r="AK1099" s="55"/>
      <c r="AL1099" s="55"/>
      <c r="AM1099" s="55"/>
      <c r="AN1099" s="55"/>
      <c r="AO1099" s="55"/>
      <c r="AP1099" s="55"/>
      <c r="AQ1099" s="55"/>
      <c r="AR1099" s="55"/>
      <c r="AS1099" s="55"/>
      <c r="AT1099" s="55"/>
      <c r="AU1099" s="55"/>
      <c r="AV1099" s="55"/>
      <c r="AW1099" s="55"/>
      <c r="AX1099" s="55"/>
      <c r="AY1099" s="55"/>
      <c r="AZ1099" s="55"/>
    </row>
    <row r="1100" spans="22:52" x14ac:dyDescent="0.2">
      <c r="V1100" s="55"/>
      <c r="W1100" s="55"/>
      <c r="X1100" s="55"/>
      <c r="Y1100" s="55"/>
      <c r="Z1100" s="55"/>
      <c r="AA1100" s="55"/>
      <c r="AB1100" s="55"/>
      <c r="AC1100" s="55"/>
      <c r="AD1100" s="55"/>
      <c r="AE1100" s="55"/>
      <c r="AF1100" s="55"/>
      <c r="AG1100" s="55"/>
      <c r="AH1100" s="55"/>
      <c r="AI1100" s="55"/>
      <c r="AJ1100" s="55"/>
      <c r="AK1100" s="55"/>
      <c r="AL1100" s="55"/>
      <c r="AM1100" s="55"/>
      <c r="AN1100" s="55"/>
      <c r="AO1100" s="55"/>
      <c r="AP1100" s="55"/>
      <c r="AQ1100" s="55"/>
      <c r="AR1100" s="55"/>
      <c r="AS1100" s="55"/>
      <c r="AT1100" s="55"/>
      <c r="AU1100" s="55"/>
      <c r="AV1100" s="55"/>
      <c r="AW1100" s="55"/>
      <c r="AX1100" s="55"/>
      <c r="AY1100" s="55"/>
      <c r="AZ1100" s="55"/>
    </row>
    <row r="1101" spans="22:52" x14ac:dyDescent="0.2">
      <c r="V1101" s="55"/>
      <c r="W1101" s="55"/>
      <c r="X1101" s="55"/>
      <c r="Y1101" s="55"/>
      <c r="Z1101" s="55"/>
      <c r="AA1101" s="55"/>
      <c r="AB1101" s="55"/>
      <c r="AC1101" s="55"/>
      <c r="AD1101" s="55"/>
      <c r="AE1101" s="55"/>
      <c r="AF1101" s="55"/>
      <c r="AG1101" s="55"/>
      <c r="AH1101" s="55"/>
      <c r="AI1101" s="55"/>
      <c r="AJ1101" s="55"/>
      <c r="AK1101" s="55"/>
      <c r="AL1101" s="55"/>
      <c r="AM1101" s="55"/>
      <c r="AN1101" s="55"/>
      <c r="AO1101" s="55"/>
      <c r="AP1101" s="55"/>
      <c r="AQ1101" s="55"/>
      <c r="AR1101" s="55"/>
      <c r="AS1101" s="55"/>
      <c r="AT1101" s="55"/>
      <c r="AU1101" s="55"/>
      <c r="AV1101" s="55"/>
      <c r="AW1101" s="55"/>
      <c r="AX1101" s="55"/>
      <c r="AY1101" s="55"/>
      <c r="AZ1101" s="55"/>
    </row>
    <row r="1102" spans="22:52" x14ac:dyDescent="0.2">
      <c r="V1102" s="55"/>
      <c r="W1102" s="55"/>
      <c r="X1102" s="55"/>
      <c r="Y1102" s="55"/>
      <c r="Z1102" s="55"/>
      <c r="AA1102" s="55"/>
      <c r="AB1102" s="55"/>
      <c r="AC1102" s="55"/>
      <c r="AD1102" s="55"/>
      <c r="AE1102" s="55"/>
      <c r="AF1102" s="55"/>
      <c r="AG1102" s="55"/>
      <c r="AH1102" s="55"/>
      <c r="AI1102" s="55"/>
      <c r="AJ1102" s="55"/>
      <c r="AK1102" s="55"/>
      <c r="AL1102" s="55"/>
      <c r="AM1102" s="55"/>
      <c r="AN1102" s="55"/>
      <c r="AO1102" s="55"/>
      <c r="AP1102" s="55"/>
      <c r="AQ1102" s="55"/>
      <c r="AR1102" s="55"/>
      <c r="AS1102" s="55"/>
      <c r="AT1102" s="55"/>
      <c r="AU1102" s="55"/>
      <c r="AV1102" s="55"/>
      <c r="AW1102" s="55"/>
      <c r="AX1102" s="55"/>
      <c r="AY1102" s="55"/>
      <c r="AZ1102" s="55"/>
    </row>
    <row r="1103" spans="22:52" x14ac:dyDescent="0.2">
      <c r="V1103" s="55"/>
      <c r="W1103" s="55"/>
      <c r="X1103" s="55"/>
      <c r="Y1103" s="55"/>
      <c r="Z1103" s="55"/>
      <c r="AA1103" s="55"/>
      <c r="AB1103" s="55"/>
      <c r="AC1103" s="55"/>
      <c r="AD1103" s="55"/>
      <c r="AE1103" s="55"/>
      <c r="AF1103" s="55"/>
      <c r="AG1103" s="55"/>
      <c r="AH1103" s="55"/>
      <c r="AI1103" s="55"/>
      <c r="AJ1103" s="55"/>
      <c r="AK1103" s="55"/>
      <c r="AL1103" s="55"/>
      <c r="AM1103" s="55"/>
      <c r="AN1103" s="55"/>
      <c r="AO1103" s="55"/>
      <c r="AP1103" s="55"/>
      <c r="AQ1103" s="55"/>
      <c r="AR1103" s="55"/>
      <c r="AS1103" s="55"/>
      <c r="AT1103" s="55"/>
      <c r="AU1103" s="55"/>
      <c r="AV1103" s="55"/>
      <c r="AW1103" s="55"/>
      <c r="AX1103" s="55"/>
      <c r="AY1103" s="55"/>
      <c r="AZ1103" s="55"/>
    </row>
    <row r="1104" spans="22:52" x14ac:dyDescent="0.2">
      <c r="V1104" s="55"/>
      <c r="W1104" s="55"/>
      <c r="X1104" s="55"/>
      <c r="Y1104" s="55"/>
      <c r="Z1104" s="55"/>
      <c r="AA1104" s="55"/>
      <c r="AB1104" s="55"/>
      <c r="AC1104" s="55"/>
      <c r="AD1104" s="55"/>
      <c r="AE1104" s="55"/>
      <c r="AF1104" s="55"/>
      <c r="AG1104" s="55"/>
      <c r="AH1104" s="55"/>
      <c r="AI1104" s="55"/>
      <c r="AJ1104" s="55"/>
      <c r="AK1104" s="55"/>
      <c r="AL1104" s="55"/>
      <c r="AM1104" s="55"/>
      <c r="AN1104" s="55"/>
      <c r="AO1104" s="55"/>
      <c r="AP1104" s="55"/>
      <c r="AQ1104" s="55"/>
      <c r="AR1104" s="55"/>
      <c r="AS1104" s="55"/>
      <c r="AT1104" s="55"/>
      <c r="AU1104" s="55"/>
      <c r="AV1104" s="55"/>
      <c r="AW1104" s="55"/>
      <c r="AX1104" s="55"/>
      <c r="AY1104" s="55"/>
      <c r="AZ1104" s="55"/>
    </row>
    <row r="1105" spans="1:52" x14ac:dyDescent="0.2">
      <c r="V1105" s="55"/>
      <c r="W1105" s="55"/>
      <c r="X1105" s="55"/>
      <c r="Y1105" s="55"/>
      <c r="Z1105" s="55"/>
      <c r="AA1105" s="55"/>
      <c r="AB1105" s="55"/>
      <c r="AC1105" s="55"/>
      <c r="AD1105" s="55"/>
      <c r="AE1105" s="55"/>
      <c r="AF1105" s="55"/>
      <c r="AG1105" s="55"/>
      <c r="AH1105" s="55"/>
      <c r="AI1105" s="55"/>
      <c r="AJ1105" s="55"/>
      <c r="AK1105" s="55"/>
      <c r="AL1105" s="55"/>
      <c r="AM1105" s="55"/>
      <c r="AN1105" s="55"/>
      <c r="AO1105" s="55"/>
      <c r="AP1105" s="55"/>
      <c r="AQ1105" s="55"/>
      <c r="AR1105" s="55"/>
      <c r="AS1105" s="55"/>
      <c r="AT1105" s="55"/>
      <c r="AU1105" s="55"/>
      <c r="AV1105" s="55"/>
      <c r="AW1105" s="55"/>
      <c r="AX1105" s="55"/>
      <c r="AY1105" s="55"/>
      <c r="AZ1105" s="55"/>
    </row>
    <row r="1106" spans="1:52" ht="33.75" customHeight="1" x14ac:dyDescent="0.2">
      <c r="A1106" s="55"/>
      <c r="B1106" s="76" t="s">
        <v>145</v>
      </c>
      <c r="C1106" s="77"/>
      <c r="D1106" s="77"/>
      <c r="E1106" s="55"/>
      <c r="F1106" s="55"/>
      <c r="G1106" s="55"/>
      <c r="H1106" s="55"/>
      <c r="I1106" s="55"/>
      <c r="J1106" s="55"/>
      <c r="K1106" s="55"/>
      <c r="L1106" s="55"/>
      <c r="M1106" s="55"/>
      <c r="N1106" s="55"/>
      <c r="O1106" s="55"/>
      <c r="P1106" s="55"/>
      <c r="Q1106" s="55"/>
      <c r="R1106" s="55"/>
      <c r="S1106" s="55"/>
      <c r="T1106" s="55"/>
      <c r="U1106" s="55"/>
      <c r="V1106" s="55"/>
      <c r="W1106" s="55"/>
      <c r="X1106" s="55"/>
      <c r="Y1106" s="55"/>
      <c r="Z1106" s="55"/>
      <c r="AA1106" s="55"/>
      <c r="AB1106" s="55"/>
      <c r="AC1106" s="55"/>
      <c r="AD1106" s="55"/>
      <c r="AE1106" s="55"/>
      <c r="AF1106" s="55"/>
      <c r="AG1106" s="55"/>
      <c r="AH1106" s="55"/>
      <c r="AI1106" s="55"/>
      <c r="AJ1106" s="55"/>
      <c r="AK1106" s="55"/>
      <c r="AL1106" s="55"/>
      <c r="AM1106" s="55"/>
      <c r="AN1106" s="55"/>
      <c r="AO1106" s="55"/>
      <c r="AP1106" s="55"/>
      <c r="AQ1106" s="55"/>
      <c r="AR1106" s="55"/>
      <c r="AS1106" s="55"/>
      <c r="AT1106" s="55"/>
      <c r="AU1106" s="55"/>
      <c r="AV1106" s="55"/>
      <c r="AW1106" s="55"/>
      <c r="AX1106" s="55"/>
      <c r="AY1106" s="55"/>
      <c r="AZ1106" s="55"/>
    </row>
    <row r="1107" spans="1:52" x14ac:dyDescent="0.2">
      <c r="B1107" s="59"/>
      <c r="C1107" s="68"/>
      <c r="D1107" s="68"/>
      <c r="V1107" s="55"/>
      <c r="W1107" s="55"/>
      <c r="X1107" s="55"/>
      <c r="Y1107" s="55"/>
      <c r="Z1107" s="55"/>
      <c r="AA1107" s="55"/>
      <c r="AB1107" s="55"/>
      <c r="AC1107" s="55"/>
      <c r="AD1107" s="55"/>
      <c r="AE1107" s="55"/>
      <c r="AF1107" s="55"/>
      <c r="AG1107" s="55"/>
      <c r="AH1107" s="55"/>
      <c r="AI1107" s="55"/>
      <c r="AJ1107" s="55"/>
      <c r="AK1107" s="55"/>
      <c r="AL1107" s="55"/>
      <c r="AM1107" s="55"/>
      <c r="AN1107" s="55"/>
      <c r="AO1107" s="55"/>
      <c r="AP1107" s="55"/>
      <c r="AQ1107" s="55"/>
      <c r="AR1107" s="55"/>
      <c r="AS1107" s="55"/>
      <c r="AT1107" s="55"/>
      <c r="AU1107" s="55"/>
      <c r="AV1107" s="55"/>
      <c r="AW1107" s="55"/>
      <c r="AX1107" s="55"/>
      <c r="AY1107" s="55"/>
      <c r="AZ1107" s="55"/>
    </row>
    <row r="1108" spans="1:52" x14ac:dyDescent="0.2">
      <c r="B1108" s="59"/>
      <c r="C1108" s="68"/>
      <c r="D1108" s="68"/>
      <c r="V1108" s="55"/>
      <c r="W1108" s="55"/>
      <c r="X1108" s="55"/>
      <c r="Y1108" s="55"/>
      <c r="Z1108" s="55"/>
      <c r="AA1108" s="55"/>
      <c r="AB1108" s="55"/>
      <c r="AC1108" s="55"/>
      <c r="AD1108" s="55"/>
      <c r="AE1108" s="55"/>
      <c r="AF1108" s="55"/>
      <c r="AG1108" s="55"/>
      <c r="AH1108" s="55"/>
      <c r="AI1108" s="55"/>
      <c r="AJ1108" s="55"/>
      <c r="AK1108" s="55"/>
      <c r="AL1108" s="55"/>
      <c r="AM1108" s="55"/>
      <c r="AN1108" s="55"/>
      <c r="AO1108" s="55"/>
      <c r="AP1108" s="55"/>
      <c r="AQ1108" s="55"/>
      <c r="AR1108" s="55"/>
      <c r="AS1108" s="55"/>
      <c r="AT1108" s="55"/>
      <c r="AU1108" s="55"/>
      <c r="AV1108" s="55"/>
      <c r="AW1108" s="55"/>
      <c r="AX1108" s="55"/>
      <c r="AY1108" s="55"/>
      <c r="AZ1108" s="55"/>
    </row>
    <row r="1109" spans="1:52" x14ac:dyDescent="0.2">
      <c r="B1109" s="82" t="s">
        <v>5152</v>
      </c>
      <c r="C1109" s="3256"/>
      <c r="D1109" s="85"/>
      <c r="E1109" s="85"/>
      <c r="F1109" s="55"/>
      <c r="G1109" s="55"/>
      <c r="H1109" s="55"/>
      <c r="I1109" s="55"/>
      <c r="J1109" s="55"/>
      <c r="K1109" s="55"/>
      <c r="V1109" s="55"/>
      <c r="W1109" s="55"/>
      <c r="X1109" s="55"/>
      <c r="Y1109" s="55"/>
      <c r="Z1109" s="55"/>
      <c r="AA1109" s="55"/>
      <c r="AB1109" s="55"/>
      <c r="AC1109" s="55"/>
      <c r="AD1109" s="55"/>
      <c r="AE1109" s="55"/>
      <c r="AF1109" s="55"/>
      <c r="AG1109" s="55"/>
      <c r="AH1109" s="55"/>
      <c r="AI1109" s="55"/>
      <c r="AJ1109" s="55"/>
      <c r="AK1109" s="55"/>
      <c r="AL1109" s="55"/>
      <c r="AM1109" s="55"/>
      <c r="AN1109" s="55"/>
      <c r="AO1109" s="55"/>
      <c r="AP1109" s="55"/>
      <c r="AQ1109" s="55"/>
      <c r="AR1109" s="55"/>
      <c r="AS1109" s="55"/>
      <c r="AT1109" s="55"/>
      <c r="AU1109" s="55"/>
      <c r="AV1109" s="55"/>
      <c r="AW1109" s="55"/>
      <c r="AX1109" s="55"/>
      <c r="AY1109" s="55"/>
      <c r="AZ1109" s="55"/>
    </row>
    <row r="1110" spans="1:52" x14ac:dyDescent="0.2">
      <c r="V1110" s="55"/>
      <c r="W1110" s="55"/>
      <c r="X1110" s="55"/>
      <c r="Y1110" s="55"/>
      <c r="Z1110" s="55"/>
      <c r="AA1110" s="55"/>
      <c r="AB1110" s="55"/>
      <c r="AC1110" s="55"/>
      <c r="AD1110" s="55"/>
      <c r="AE1110" s="55"/>
      <c r="AF1110" s="55"/>
      <c r="AG1110" s="55"/>
      <c r="AH1110" s="55"/>
      <c r="AI1110" s="55"/>
      <c r="AJ1110" s="55"/>
      <c r="AK1110" s="55"/>
      <c r="AL1110" s="55"/>
      <c r="AM1110" s="55"/>
      <c r="AN1110" s="55"/>
      <c r="AO1110" s="55"/>
      <c r="AP1110" s="55"/>
      <c r="AQ1110" s="55"/>
      <c r="AR1110" s="55"/>
      <c r="AS1110" s="55"/>
      <c r="AT1110" s="55"/>
      <c r="AU1110" s="55"/>
      <c r="AV1110" s="55"/>
      <c r="AW1110" s="55"/>
      <c r="AX1110" s="55"/>
      <c r="AY1110" s="55"/>
      <c r="AZ1110" s="55"/>
    </row>
    <row r="1111" spans="1:52" x14ac:dyDescent="0.2">
      <c r="B1111" s="58" t="s">
        <v>5152</v>
      </c>
      <c r="C1111" s="61" t="s">
        <v>79</v>
      </c>
      <c r="D1111" s="61" t="s">
        <v>79</v>
      </c>
      <c r="E1111" s="61" t="s">
        <v>79</v>
      </c>
      <c r="F1111" s="61" t="s">
        <v>79</v>
      </c>
      <c r="H1111" s="59"/>
      <c r="J1111" s="59"/>
      <c r="K1111" s="59"/>
      <c r="L1111" s="59"/>
      <c r="M1111" s="59"/>
      <c r="N1111" s="59"/>
      <c r="O1111" s="59"/>
      <c r="S1111" s="59"/>
      <c r="T1111" s="59"/>
      <c r="U1111" s="59"/>
      <c r="V1111" s="55"/>
      <c r="W1111" s="82"/>
      <c r="X1111" s="82"/>
      <c r="Y1111" s="82"/>
      <c r="Z1111" s="82"/>
      <c r="AA1111" s="82"/>
      <c r="AB1111" s="82"/>
      <c r="AC1111" s="82"/>
      <c r="AD1111" s="82"/>
      <c r="AE1111" s="82"/>
      <c r="AF1111" s="82"/>
      <c r="AG1111" s="82"/>
      <c r="AH1111" s="82"/>
      <c r="AI1111" s="55"/>
      <c r="AJ1111" s="55"/>
      <c r="AK1111" s="55"/>
      <c r="AL1111" s="55"/>
      <c r="AM1111" s="55"/>
      <c r="AN1111" s="55"/>
      <c r="AO1111" s="55"/>
      <c r="AP1111" s="55"/>
      <c r="AQ1111" s="55"/>
      <c r="AR1111" s="55"/>
      <c r="AS1111" s="55"/>
      <c r="AT1111" s="55"/>
      <c r="AU1111" s="55"/>
      <c r="AV1111" s="55"/>
      <c r="AW1111" s="55"/>
      <c r="AX1111" s="55"/>
      <c r="AY1111" s="55"/>
      <c r="AZ1111" s="55"/>
    </row>
    <row r="1112" spans="1:52" x14ac:dyDescent="0.2">
      <c r="B1112" s="3240"/>
      <c r="C1112" s="5020" t="s">
        <v>146</v>
      </c>
      <c r="D1112" s="5022"/>
      <c r="E1112" s="5020" t="s">
        <v>147</v>
      </c>
      <c r="F1112" s="5022"/>
      <c r="H1112" s="59"/>
      <c r="J1112" s="59"/>
      <c r="K1112" s="59"/>
      <c r="L1112" s="59"/>
      <c r="M1112" s="59"/>
      <c r="N1112" s="59"/>
      <c r="O1112" s="59"/>
      <c r="S1112" s="59"/>
      <c r="T1112" s="59"/>
      <c r="U1112" s="59"/>
      <c r="V1112" s="55"/>
      <c r="W1112" s="82"/>
      <c r="X1112" s="82"/>
      <c r="Y1112" s="82"/>
      <c r="Z1112" s="82"/>
      <c r="AA1112" s="82"/>
      <c r="AB1112" s="82"/>
      <c r="AC1112" s="82"/>
      <c r="AD1112" s="82"/>
      <c r="AE1112" s="82"/>
      <c r="AF1112" s="82"/>
      <c r="AG1112" s="82"/>
      <c r="AH1112" s="82"/>
      <c r="AI1112" s="55"/>
      <c r="AJ1112" s="55"/>
      <c r="AK1112" s="55"/>
      <c r="AL1112" s="55"/>
      <c r="AM1112" s="55"/>
      <c r="AN1112" s="55"/>
      <c r="AO1112" s="55"/>
      <c r="AP1112" s="55"/>
      <c r="AQ1112" s="55"/>
      <c r="AR1112" s="55"/>
      <c r="AS1112" s="55"/>
      <c r="AT1112" s="55"/>
      <c r="AU1112" s="55"/>
      <c r="AV1112" s="55"/>
      <c r="AW1112" s="55"/>
      <c r="AX1112" s="55"/>
      <c r="AY1112" s="55"/>
      <c r="AZ1112" s="55"/>
    </row>
    <row r="1113" spans="1:52" x14ac:dyDescent="0.2">
      <c r="B1113" s="69"/>
      <c r="C1113" s="3239">
        <f>D56</f>
        <v>2018</v>
      </c>
      <c r="D1113" s="3239">
        <f>E56</f>
        <v>2020</v>
      </c>
      <c r="E1113" s="3242">
        <f>D56</f>
        <v>2018</v>
      </c>
      <c r="F1113" s="3242">
        <f>E56</f>
        <v>2020</v>
      </c>
      <c r="K1113" s="59"/>
      <c r="L1113" s="59"/>
      <c r="M1113" s="59"/>
      <c r="N1113" s="59"/>
      <c r="O1113" s="59"/>
      <c r="S1113" s="59"/>
      <c r="T1113" s="59"/>
      <c r="U1113" s="59"/>
      <c r="V1113" s="55"/>
      <c r="W1113" s="82"/>
      <c r="X1113" s="82"/>
      <c r="Y1113" s="82"/>
      <c r="Z1113" s="82"/>
      <c r="AA1113" s="82"/>
      <c r="AB1113" s="82"/>
      <c r="AC1113" s="82"/>
      <c r="AD1113" s="82"/>
      <c r="AE1113" s="82"/>
      <c r="AF1113" s="82"/>
      <c r="AG1113" s="82"/>
      <c r="AH1113" s="82"/>
      <c r="AI1113" s="55"/>
      <c r="AJ1113" s="55"/>
      <c r="AK1113" s="55"/>
      <c r="AL1113" s="55"/>
      <c r="AM1113" s="55"/>
      <c r="AN1113" s="55"/>
      <c r="AO1113" s="55"/>
      <c r="AP1113" s="55"/>
      <c r="AQ1113" s="55"/>
      <c r="AR1113" s="55"/>
      <c r="AS1113" s="55"/>
      <c r="AT1113" s="55"/>
      <c r="AU1113" s="55"/>
      <c r="AV1113" s="55"/>
      <c r="AW1113" s="55"/>
      <c r="AX1113" s="55"/>
      <c r="AY1113" s="55"/>
      <c r="AZ1113" s="55"/>
    </row>
    <row r="1114" spans="1:52" x14ac:dyDescent="0.2">
      <c r="B1114" s="69" t="s">
        <v>148</v>
      </c>
      <c r="C1114" s="80"/>
      <c r="D1114" s="80"/>
      <c r="E1114" s="24">
        <f>SUM('E2018'!$AH$8:$AH$11)+'E2018'!$AH$55+'E2018'!$AH$64+'E2018'!$AH$70+'E2018'!$AH$74+'E2018'!$AH$78</f>
        <v>50.748835412953063</v>
      </c>
      <c r="F1114" s="24">
        <f>SUM('E2020'!$AH$8:$AH$11)+'E2020'!$AH$55+'E2020'!$AH$64+'E2020'!$AH$70+'E2020'!$AH$74+'E2020'!$AH$78</f>
        <v>50.798348559381594</v>
      </c>
      <c r="H1114" s="31"/>
      <c r="J1114" s="31"/>
      <c r="K1114" s="31"/>
      <c r="L1114" s="31"/>
      <c r="M1114" s="31"/>
      <c r="N1114" s="31"/>
      <c r="O1114" s="31"/>
      <c r="S1114" s="31"/>
      <c r="T1114" s="31"/>
      <c r="U1114" s="31"/>
      <c r="V1114" s="55"/>
      <c r="W1114" s="87"/>
      <c r="X1114" s="87"/>
      <c r="Y1114" s="87"/>
      <c r="Z1114" s="87"/>
      <c r="AA1114" s="87"/>
      <c r="AB1114" s="87"/>
      <c r="AC1114" s="85"/>
      <c r="AD1114" s="85"/>
      <c r="AE1114" s="85"/>
      <c r="AF1114" s="85"/>
      <c r="AG1114" s="85"/>
      <c r="AH1114" s="85"/>
      <c r="AI1114" s="55"/>
      <c r="AJ1114" s="55"/>
      <c r="AK1114" s="55"/>
      <c r="AL1114" s="55"/>
      <c r="AM1114" s="55"/>
      <c r="AN1114" s="55"/>
      <c r="AO1114" s="55"/>
      <c r="AP1114" s="55"/>
      <c r="AQ1114" s="55"/>
      <c r="AR1114" s="55"/>
      <c r="AS1114" s="55"/>
      <c r="AT1114" s="55"/>
      <c r="AU1114" s="55"/>
      <c r="AV1114" s="55"/>
      <c r="AW1114" s="55"/>
      <c r="AX1114" s="55"/>
      <c r="AY1114" s="55"/>
      <c r="AZ1114" s="55"/>
    </row>
    <row r="1115" spans="1:52" x14ac:dyDescent="0.2">
      <c r="B1115" s="69" t="s">
        <v>149</v>
      </c>
      <c r="C1115" s="80"/>
      <c r="D1115" s="80"/>
      <c r="E1115" s="126">
        <f>-(SUM('E2018'!$AG$8:$AG$11)+SUM('E2018'!$AH$8:$AH$11))-('E2018'!$AG$31+'E2018'!$AH$31)-('E2018'!$AG$32+'E2018'!$AH$32)-('E2018'!$AG$39+'E2018'!$AH$39)-('E2018'!$AG$40+'E2018'!$AH$40)-('E2018'!$AG$46+'E2018'!$AH$46)-
('E2018'!$AG$47+'E2018'!$AH$47)-('E2018'!$AG$64+'E2018'!$AH$64)-('E2018'!$AG$65+'E2018'!$AH$65)-('E2018'!$AG$70+'E2018'!$AH$70)-('E2018'!$AG$74+'E2018'!$AH$74)-('E2018'!$AG$78+'E2018'!$AH$78)</f>
        <v>4.5040228687152055</v>
      </c>
      <c r="F1115" s="24">
        <f>-(SUM('E2020'!$AG$8:$AG$11)+SUM('E2020'!$AH$8:$AH$11))-('E2020'!$AG$31+'E2020'!$AH$31)-('E2020'!$AG$32+'E2020'!$AH$32)-('E2020'!$AG$39+'E2020'!$AH$39)-('E2020'!$AG$40+'E2020'!$AH$40)-('E2020'!$AG$46+'E2020'!$AH$46)-
('E2020'!$AG$47+'E2020'!$AH$47)-('E2020'!$AG$64+'E2020'!$AH$64)-('E2020'!$AG$65+'E2020'!$AH$65)-('E2020'!$AG$70+'E2020'!$AH$70)-('E2020'!$AG$74+'E2020'!$AH$74)-('E2020'!$AG$78+'E2020'!$AH$78)</f>
        <v>4.366549213863693</v>
      </c>
      <c r="H1115" s="31"/>
      <c r="J1115" s="31"/>
      <c r="K1115" s="31"/>
      <c r="L1115" s="31"/>
      <c r="M1115" s="31"/>
      <c r="N1115" s="31"/>
      <c r="O1115" s="31"/>
      <c r="S1115" s="31"/>
      <c r="T1115" s="31"/>
      <c r="U1115" s="31"/>
      <c r="V1115" s="55"/>
      <c r="W1115" s="85"/>
      <c r="X1115" s="85"/>
      <c r="Y1115" s="85"/>
      <c r="Z1115" s="85"/>
      <c r="AA1115" s="85"/>
      <c r="AB1115" s="85"/>
      <c r="AC1115" s="85"/>
      <c r="AD1115" s="85"/>
      <c r="AE1115" s="85"/>
      <c r="AF1115" s="85"/>
      <c r="AG1115" s="85"/>
      <c r="AH1115" s="85"/>
      <c r="AI1115" s="55"/>
      <c r="AJ1115" s="55"/>
      <c r="AK1115" s="55"/>
      <c r="AL1115" s="55"/>
      <c r="AM1115" s="55"/>
      <c r="AN1115" s="55"/>
      <c r="AO1115" s="55"/>
      <c r="AP1115" s="55"/>
      <c r="AQ1115" s="55"/>
      <c r="AR1115" s="55"/>
      <c r="AS1115" s="55"/>
      <c r="AT1115" s="55"/>
      <c r="AU1115" s="55"/>
      <c r="AV1115" s="55"/>
      <c r="AW1115" s="55"/>
      <c r="AX1115" s="55"/>
      <c r="AY1115" s="55"/>
      <c r="AZ1115" s="55"/>
    </row>
    <row r="1116" spans="1:52" x14ac:dyDescent="0.2">
      <c r="B1116" s="69" t="s">
        <v>150</v>
      </c>
      <c r="C1116" s="80"/>
      <c r="D1116" s="80"/>
      <c r="E1116" s="24">
        <f>'E2018'!$AH$31+'E2018'!$AH$32+'E2018'!$AH$39+'E2018'!$AH$40+'E2018'!$AH$46+'E2018'!$AH$47</f>
        <v>0</v>
      </c>
      <c r="F1116" s="24">
        <f>'E2020'!$AH$31+'E2020'!$AH$32+'E2020'!$AH$39+'E2020'!$AH$40+'E2020'!$AH$46+'E2020'!$AH$47</f>
        <v>0</v>
      </c>
      <c r="H1116" s="31"/>
      <c r="J1116" s="31"/>
      <c r="K1116" s="31"/>
      <c r="L1116" s="31"/>
      <c r="M1116" s="31"/>
      <c r="N1116" s="31"/>
      <c r="O1116" s="31"/>
      <c r="S1116" s="31"/>
      <c r="T1116" s="31"/>
      <c r="U1116" s="31"/>
      <c r="V1116" s="55"/>
      <c r="W1116" s="85"/>
      <c r="X1116" s="85"/>
      <c r="Y1116" s="85"/>
      <c r="Z1116" s="85"/>
      <c r="AA1116" s="85"/>
      <c r="AB1116" s="85"/>
      <c r="AC1116" s="85"/>
      <c r="AD1116" s="85"/>
      <c r="AE1116" s="85"/>
      <c r="AF1116" s="85"/>
      <c r="AG1116" s="85"/>
      <c r="AH1116" s="85"/>
      <c r="AI1116" s="55"/>
      <c r="AJ1116" s="55"/>
      <c r="AK1116" s="55"/>
      <c r="AL1116" s="55"/>
      <c r="AM1116" s="55"/>
      <c r="AN1116" s="55"/>
      <c r="AO1116" s="55"/>
      <c r="AP1116" s="55"/>
      <c r="AQ1116" s="55"/>
      <c r="AR1116" s="55"/>
      <c r="AS1116" s="55"/>
      <c r="AT1116" s="55"/>
      <c r="AU1116" s="55"/>
      <c r="AV1116" s="55"/>
      <c r="AW1116" s="55"/>
      <c r="AX1116" s="55"/>
      <c r="AY1116" s="55"/>
      <c r="AZ1116" s="55"/>
    </row>
    <row r="1117" spans="1:52" x14ac:dyDescent="0.2">
      <c r="B1117" s="69"/>
      <c r="C1117" s="80"/>
      <c r="D1117" s="80"/>
      <c r="E1117" s="24"/>
      <c r="F1117" s="24"/>
      <c r="H1117" s="31"/>
      <c r="J1117" s="31"/>
      <c r="K1117" s="31"/>
      <c r="L1117" s="31"/>
      <c r="M1117" s="31"/>
      <c r="N1117" s="31"/>
      <c r="O1117" s="31"/>
      <c r="S1117" s="31"/>
      <c r="T1117" s="31"/>
      <c r="U1117" s="31"/>
      <c r="V1117" s="55"/>
      <c r="W1117" s="85"/>
      <c r="X1117" s="85"/>
      <c r="Y1117" s="85"/>
      <c r="Z1117" s="85"/>
      <c r="AA1117" s="85"/>
      <c r="AB1117" s="85"/>
      <c r="AC1117" s="85"/>
      <c r="AD1117" s="85"/>
      <c r="AE1117" s="85"/>
      <c r="AF1117" s="85"/>
      <c r="AG1117" s="85"/>
      <c r="AH1117" s="85"/>
      <c r="AI1117" s="55"/>
      <c r="AJ1117" s="55"/>
      <c r="AK1117" s="55"/>
      <c r="AL1117" s="55"/>
      <c r="AM1117" s="55"/>
      <c r="AN1117" s="55"/>
      <c r="AO1117" s="55"/>
      <c r="AP1117" s="55"/>
      <c r="AQ1117" s="55"/>
      <c r="AR1117" s="55"/>
      <c r="AS1117" s="55"/>
      <c r="AT1117" s="55"/>
      <c r="AU1117" s="55"/>
      <c r="AV1117" s="55"/>
      <c r="AW1117" s="55"/>
      <c r="AX1117" s="55"/>
      <c r="AY1117" s="55"/>
      <c r="AZ1117" s="55"/>
    </row>
    <row r="1118" spans="1:52" x14ac:dyDescent="0.2">
      <c r="B1118" s="69" t="s">
        <v>151</v>
      </c>
      <c r="C1118" s="80">
        <f>'E2018'!$AG$28+'E2018'!$AG$29+'E2018'!$AG$34+'E2018'!$AG$37+'E2018'!$AG$44+'E2018'!$AG$52</f>
        <v>0</v>
      </c>
      <c r="D1118" s="80">
        <f>'E2020'!$AG$28+'E2020'!$AG$29+'E2020'!$AG$34+'E2020'!$AG$37+'E2020'!$AG$44+'E2020'!$AG$52</f>
        <v>0</v>
      </c>
      <c r="E1118" s="24"/>
      <c r="F1118" s="24"/>
      <c r="H1118" s="31"/>
      <c r="J1118" s="31"/>
      <c r="K1118" s="31"/>
      <c r="L1118" s="31"/>
      <c r="M1118" s="31"/>
      <c r="N1118" s="31"/>
      <c r="O1118" s="31"/>
      <c r="S1118" s="31"/>
      <c r="T1118" s="31"/>
      <c r="U1118" s="31"/>
      <c r="V1118" s="55"/>
      <c r="W1118" s="85"/>
      <c r="X1118" s="85"/>
      <c r="Y1118" s="85"/>
      <c r="Z1118" s="85"/>
      <c r="AA1118" s="85"/>
      <c r="AB1118" s="85"/>
      <c r="AC1118" s="85"/>
      <c r="AD1118" s="85"/>
      <c r="AE1118" s="85"/>
      <c r="AF1118" s="85"/>
      <c r="AG1118" s="85"/>
      <c r="AH1118" s="85"/>
      <c r="AI1118" s="55"/>
      <c r="AJ1118" s="55"/>
      <c r="AK1118" s="55"/>
      <c r="AL1118" s="55"/>
      <c r="AM1118" s="55"/>
      <c r="AN1118" s="55"/>
      <c r="AO1118" s="55"/>
      <c r="AP1118" s="55"/>
      <c r="AQ1118" s="55"/>
      <c r="AR1118" s="55"/>
      <c r="AS1118" s="55"/>
      <c r="AT1118" s="55"/>
      <c r="AU1118" s="55"/>
      <c r="AV1118" s="55"/>
      <c r="AW1118" s="55"/>
      <c r="AX1118" s="55"/>
      <c r="AY1118" s="55"/>
      <c r="AZ1118" s="55"/>
    </row>
    <row r="1119" spans="1:52" x14ac:dyDescent="0.2">
      <c r="B1119" s="69" t="s">
        <v>152</v>
      </c>
      <c r="C1119" s="80">
        <f>'E2018'!$AG$24</f>
        <v>0.5</v>
      </c>
      <c r="D1119" s="80">
        <f>'E2020'!$AG$24</f>
        <v>0.78</v>
      </c>
      <c r="E1119" s="24"/>
      <c r="F1119" s="24"/>
      <c r="H1119" s="31"/>
      <c r="J1119" s="31"/>
      <c r="K1119" s="31"/>
      <c r="L1119" s="31"/>
      <c r="M1119" s="31"/>
      <c r="N1119" s="31"/>
      <c r="O1119" s="31"/>
      <c r="S1119" s="31"/>
      <c r="T1119" s="31"/>
      <c r="U1119" s="31"/>
      <c r="V1119" s="55"/>
      <c r="W1119" s="55"/>
      <c r="X1119" s="55"/>
      <c r="Y1119" s="55"/>
      <c r="Z1119" s="55"/>
      <c r="AA1119" s="55"/>
      <c r="AB1119" s="55"/>
      <c r="AC1119" s="85"/>
      <c r="AD1119" s="85"/>
      <c r="AE1119" s="85"/>
      <c r="AF1119" s="85"/>
      <c r="AG1119" s="85"/>
      <c r="AH1119" s="85"/>
      <c r="AI1119" s="55"/>
      <c r="AJ1119" s="55"/>
      <c r="AK1119" s="55"/>
      <c r="AL1119" s="55"/>
      <c r="AM1119" s="55"/>
      <c r="AN1119" s="55"/>
      <c r="AO1119" s="55"/>
      <c r="AP1119" s="55"/>
      <c r="AQ1119" s="55"/>
      <c r="AR1119" s="55"/>
      <c r="AS1119" s="55"/>
      <c r="AT1119" s="55"/>
      <c r="AU1119" s="55"/>
      <c r="AV1119" s="55"/>
      <c r="AW1119" s="55"/>
      <c r="AX1119" s="55"/>
      <c r="AY1119" s="55"/>
      <c r="AZ1119" s="55"/>
    </row>
    <row r="1120" spans="1:52" x14ac:dyDescent="0.2">
      <c r="B1120" s="69" t="s">
        <v>173</v>
      </c>
      <c r="C1120" s="80">
        <f>'E2018'!$AG$25</f>
        <v>0</v>
      </c>
      <c r="D1120" s="80">
        <f>'E2020'!$AG$25</f>
        <v>0</v>
      </c>
      <c r="E1120" s="24"/>
      <c r="F1120" s="24"/>
      <c r="H1120" s="31"/>
      <c r="J1120" s="31"/>
      <c r="K1120" s="31"/>
      <c r="L1120" s="31"/>
      <c r="M1120" s="31"/>
      <c r="N1120" s="31"/>
      <c r="O1120" s="31"/>
      <c r="S1120" s="31"/>
      <c r="T1120" s="31"/>
      <c r="U1120" s="31"/>
      <c r="V1120" s="55"/>
      <c r="W1120" s="55"/>
      <c r="X1120" s="55"/>
      <c r="Y1120" s="55"/>
      <c r="Z1120" s="55"/>
      <c r="AA1120" s="55"/>
      <c r="AB1120" s="55"/>
      <c r="AC1120" s="85"/>
      <c r="AD1120" s="85"/>
      <c r="AE1120" s="85"/>
      <c r="AF1120" s="85"/>
      <c r="AG1120" s="85"/>
      <c r="AH1120" s="85"/>
      <c r="AI1120" s="55"/>
      <c r="AJ1120" s="55"/>
      <c r="AK1120" s="55"/>
      <c r="AL1120" s="55"/>
      <c r="AM1120" s="55"/>
      <c r="AN1120" s="55"/>
      <c r="AO1120" s="55"/>
      <c r="AP1120" s="55"/>
      <c r="AQ1120" s="55"/>
      <c r="AR1120" s="55"/>
      <c r="AS1120" s="55"/>
      <c r="AT1120" s="55"/>
      <c r="AU1120" s="55"/>
      <c r="AV1120" s="55"/>
      <c r="AW1120" s="55"/>
      <c r="AX1120" s="55"/>
      <c r="AY1120" s="55"/>
      <c r="AZ1120" s="55"/>
    </row>
    <row r="1121" spans="2:52" x14ac:dyDescent="0.2">
      <c r="B1121" s="69" t="s">
        <v>153</v>
      </c>
      <c r="C1121" s="80">
        <f>'E2018'!$AG$23+'E2018'!$AG$26</f>
        <v>18.14</v>
      </c>
      <c r="D1121" s="80">
        <f>'E2020'!$AG$23+'E2020'!$AG$26</f>
        <v>26.16</v>
      </c>
      <c r="E1121" s="24"/>
      <c r="F1121" s="24"/>
      <c r="H1121" s="31"/>
      <c r="J1121" s="31"/>
      <c r="K1121" s="31"/>
      <c r="L1121" s="31"/>
      <c r="M1121" s="31"/>
      <c r="N1121" s="31"/>
      <c r="O1121" s="31"/>
      <c r="S1121" s="31"/>
      <c r="T1121" s="31"/>
      <c r="U1121" s="31"/>
      <c r="V1121" s="55"/>
      <c r="W1121" s="85"/>
      <c r="X1121" s="85"/>
      <c r="Y1121" s="85"/>
      <c r="Z1121" s="85"/>
      <c r="AA1121" s="85"/>
      <c r="AB1121" s="85"/>
      <c r="AC1121" s="85"/>
      <c r="AD1121" s="85"/>
      <c r="AE1121" s="85"/>
      <c r="AF1121" s="85"/>
      <c r="AG1121" s="85"/>
      <c r="AH1121" s="85"/>
      <c r="AI1121" s="55"/>
      <c r="AJ1121" s="55"/>
      <c r="AK1121" s="55"/>
      <c r="AL1121" s="55"/>
      <c r="AM1121" s="55"/>
      <c r="AN1121" s="55"/>
      <c r="AO1121" s="55"/>
      <c r="AP1121" s="55"/>
      <c r="AQ1121" s="55"/>
      <c r="AR1121" s="55"/>
      <c r="AS1121" s="55"/>
      <c r="AT1121" s="55"/>
      <c r="AU1121" s="55"/>
      <c r="AV1121" s="55"/>
      <c r="AW1121" s="55"/>
      <c r="AX1121" s="55"/>
      <c r="AY1121" s="55"/>
      <c r="AZ1121" s="55"/>
    </row>
    <row r="1122" spans="2:52" x14ac:dyDescent="0.2">
      <c r="B1122" s="69" t="s">
        <v>110</v>
      </c>
      <c r="C1122" s="80">
        <f>'E2018'!$AG$12</f>
        <v>36.624084278714058</v>
      </c>
      <c r="D1122" s="80">
        <f>'E2020'!$AG$12</f>
        <v>28.262897773245289</v>
      </c>
      <c r="E1122" s="24"/>
      <c r="F1122" s="24"/>
      <c r="H1122" s="68"/>
      <c r="J1122" s="68"/>
      <c r="K1122" s="68"/>
      <c r="L1122" s="68"/>
      <c r="M1122" s="68"/>
      <c r="N1122" s="68"/>
      <c r="O1122" s="68"/>
      <c r="S1122" s="68"/>
      <c r="T1122" s="68"/>
      <c r="U1122" s="68"/>
      <c r="V1122" s="55"/>
      <c r="W1122" s="77"/>
      <c r="X1122" s="77"/>
      <c r="Y1122" s="77"/>
      <c r="Z1122" s="77"/>
      <c r="AA1122" s="77"/>
      <c r="AB1122" s="77"/>
      <c r="AC1122" s="77"/>
      <c r="AD1122" s="77"/>
      <c r="AE1122" s="77"/>
      <c r="AF1122" s="77"/>
      <c r="AG1122" s="77"/>
      <c r="AH1122" s="77"/>
      <c r="AI1122" s="55"/>
      <c r="AJ1122" s="55"/>
      <c r="AK1122" s="55"/>
      <c r="AL1122" s="55"/>
      <c r="AM1122" s="55"/>
      <c r="AN1122" s="55"/>
      <c r="AO1122" s="55"/>
      <c r="AP1122" s="55"/>
      <c r="AQ1122" s="55"/>
      <c r="AR1122" s="55"/>
      <c r="AS1122" s="55"/>
      <c r="AT1122" s="55"/>
      <c r="AU1122" s="55"/>
      <c r="AV1122" s="55"/>
      <c r="AW1122" s="55"/>
      <c r="AX1122" s="55"/>
      <c r="AY1122" s="55"/>
      <c r="AZ1122" s="55"/>
    </row>
    <row r="1123" spans="2:52" x14ac:dyDescent="0.2">
      <c r="B1123" s="79" t="s">
        <v>97</v>
      </c>
      <c r="C1123" s="81">
        <f>SUM(C1114:C1122)</f>
        <v>55.264084278714058</v>
      </c>
      <c r="D1123" s="81">
        <f>SUM(D1114:D1122)</f>
        <v>55.20289777324529</v>
      </c>
      <c r="E1123" s="71">
        <f>SUM(E1114:E1122)</f>
        <v>55.252858281668267</v>
      </c>
      <c r="F1123" s="71">
        <f>SUM(F1114:F1122)</f>
        <v>55.164897773245286</v>
      </c>
      <c r="H1123" s="31"/>
      <c r="V1123" s="55"/>
      <c r="W1123" s="55"/>
      <c r="X1123" s="55"/>
      <c r="Y1123" s="55"/>
      <c r="Z1123" s="55"/>
      <c r="AA1123" s="55"/>
      <c r="AB1123" s="55"/>
      <c r="AC1123" s="55"/>
      <c r="AD1123" s="55"/>
      <c r="AE1123" s="55"/>
      <c r="AF1123" s="55"/>
      <c r="AG1123" s="55"/>
      <c r="AH1123" s="55"/>
      <c r="AI1123" s="55"/>
      <c r="AJ1123" s="55"/>
      <c r="AK1123" s="55"/>
      <c r="AL1123" s="55"/>
      <c r="AM1123" s="55"/>
      <c r="AN1123" s="55"/>
      <c r="AO1123" s="55"/>
      <c r="AP1123" s="55"/>
      <c r="AQ1123" s="55"/>
      <c r="AR1123" s="55"/>
      <c r="AS1123" s="55"/>
      <c r="AT1123" s="55"/>
      <c r="AU1123" s="55"/>
      <c r="AV1123" s="55"/>
      <c r="AW1123" s="55"/>
      <c r="AX1123" s="55"/>
      <c r="AY1123" s="55"/>
      <c r="AZ1123" s="55"/>
    </row>
    <row r="1124" spans="2:52" x14ac:dyDescent="0.2">
      <c r="I1124" s="72"/>
      <c r="V1124" s="55"/>
      <c r="W1124" s="55"/>
      <c r="X1124" s="55"/>
      <c r="Y1124" s="55"/>
      <c r="Z1124" s="55"/>
      <c r="AA1124" s="55"/>
      <c r="AB1124" s="55"/>
      <c r="AC1124" s="55"/>
      <c r="AD1124" s="55"/>
      <c r="AE1124" s="55"/>
      <c r="AF1124" s="55"/>
      <c r="AG1124" s="55"/>
      <c r="AH1124" s="55"/>
      <c r="AI1124" s="55"/>
      <c r="AJ1124" s="55"/>
      <c r="AK1124" s="55"/>
      <c r="AL1124" s="55"/>
      <c r="AM1124" s="55"/>
      <c r="AN1124" s="55"/>
      <c r="AO1124" s="55"/>
      <c r="AP1124" s="55"/>
      <c r="AQ1124" s="55"/>
      <c r="AR1124" s="55"/>
      <c r="AS1124" s="55"/>
      <c r="AT1124" s="55"/>
      <c r="AU1124" s="55"/>
      <c r="AV1124" s="55"/>
      <c r="AW1124" s="55"/>
      <c r="AX1124" s="55"/>
      <c r="AY1124" s="55"/>
      <c r="AZ1124" s="55"/>
    </row>
    <row r="1125" spans="2:52" x14ac:dyDescent="0.2">
      <c r="V1125" s="55"/>
      <c r="W1125" s="55"/>
      <c r="X1125" s="55"/>
      <c r="Y1125" s="55"/>
      <c r="Z1125" s="55"/>
      <c r="AA1125" s="55"/>
      <c r="AB1125" s="55"/>
      <c r="AC1125" s="55"/>
      <c r="AD1125" s="55"/>
      <c r="AE1125" s="55"/>
      <c r="AF1125" s="55"/>
      <c r="AG1125" s="55"/>
      <c r="AH1125" s="55"/>
      <c r="AI1125" s="55"/>
      <c r="AJ1125" s="55"/>
      <c r="AK1125" s="55"/>
      <c r="AL1125" s="55"/>
      <c r="AM1125" s="55"/>
      <c r="AN1125" s="55"/>
      <c r="AO1125" s="55"/>
      <c r="AP1125" s="55"/>
      <c r="AQ1125" s="55"/>
      <c r="AR1125" s="55"/>
      <c r="AS1125" s="55"/>
      <c r="AT1125" s="55"/>
      <c r="AU1125" s="55"/>
      <c r="AV1125" s="55"/>
      <c r="AW1125" s="55"/>
      <c r="AX1125" s="55"/>
      <c r="AY1125" s="55"/>
      <c r="AZ1125" s="55"/>
    </row>
    <row r="1126" spans="2:52" x14ac:dyDescent="0.2">
      <c r="V1126" s="55"/>
      <c r="W1126" s="55"/>
      <c r="X1126" s="55"/>
      <c r="Y1126" s="55"/>
      <c r="Z1126" s="55"/>
      <c r="AA1126" s="55"/>
      <c r="AB1126" s="55"/>
      <c r="AC1126" s="55"/>
      <c r="AD1126" s="55"/>
      <c r="AE1126" s="55"/>
      <c r="AF1126" s="55"/>
      <c r="AG1126" s="55"/>
      <c r="AH1126" s="55"/>
      <c r="AI1126" s="55"/>
      <c r="AJ1126" s="55"/>
      <c r="AK1126" s="55"/>
      <c r="AL1126" s="55"/>
      <c r="AM1126" s="55"/>
      <c r="AN1126" s="55"/>
      <c r="AO1126" s="55"/>
      <c r="AP1126" s="55"/>
      <c r="AQ1126" s="55"/>
      <c r="AR1126" s="55"/>
      <c r="AS1126" s="55"/>
      <c r="AT1126" s="55"/>
      <c r="AU1126" s="55"/>
      <c r="AV1126" s="55"/>
      <c r="AW1126" s="55"/>
      <c r="AX1126" s="55"/>
      <c r="AY1126" s="55"/>
      <c r="AZ1126" s="55"/>
    </row>
    <row r="1127" spans="2:52" x14ac:dyDescent="0.2">
      <c r="V1127" s="55"/>
      <c r="W1127" s="55"/>
      <c r="X1127" s="55"/>
      <c r="Y1127" s="55"/>
      <c r="Z1127" s="55"/>
      <c r="AA1127" s="55"/>
      <c r="AB1127" s="55"/>
      <c r="AC1127" s="55"/>
      <c r="AD1127" s="55"/>
      <c r="AE1127" s="55"/>
      <c r="AF1127" s="55"/>
      <c r="AG1127" s="55"/>
      <c r="AH1127" s="55"/>
      <c r="AI1127" s="55"/>
      <c r="AJ1127" s="55"/>
      <c r="AK1127" s="55"/>
      <c r="AL1127" s="55"/>
      <c r="AM1127" s="55"/>
      <c r="AN1127" s="55"/>
      <c r="AO1127" s="55"/>
      <c r="AP1127" s="55"/>
      <c r="AQ1127" s="55"/>
      <c r="AR1127" s="55"/>
      <c r="AS1127" s="55"/>
      <c r="AT1127" s="55"/>
      <c r="AU1127" s="55"/>
      <c r="AV1127" s="55"/>
      <c r="AW1127" s="55"/>
      <c r="AX1127" s="55"/>
      <c r="AY1127" s="55"/>
      <c r="AZ1127" s="55"/>
    </row>
    <row r="1128" spans="2:52" x14ac:dyDescent="0.2">
      <c r="V1128" s="55"/>
      <c r="W1128" s="55"/>
      <c r="X1128" s="55"/>
      <c r="Y1128" s="55"/>
      <c r="Z1128" s="55"/>
      <c r="AA1128" s="55"/>
      <c r="AB1128" s="55"/>
      <c r="AC1128" s="55"/>
      <c r="AD1128" s="55"/>
      <c r="AE1128" s="55"/>
      <c r="AF1128" s="55"/>
      <c r="AG1128" s="55"/>
      <c r="AH1128" s="55"/>
      <c r="AI1128" s="55"/>
      <c r="AJ1128" s="55"/>
      <c r="AK1128" s="55"/>
      <c r="AL1128" s="55"/>
      <c r="AM1128" s="55"/>
      <c r="AN1128" s="55"/>
      <c r="AO1128" s="55"/>
      <c r="AP1128" s="55"/>
      <c r="AQ1128" s="55"/>
      <c r="AR1128" s="55"/>
      <c r="AS1128" s="55"/>
      <c r="AT1128" s="55"/>
      <c r="AU1128" s="55"/>
      <c r="AV1128" s="55"/>
      <c r="AW1128" s="55"/>
      <c r="AX1128" s="55"/>
      <c r="AY1128" s="55"/>
      <c r="AZ1128" s="55"/>
    </row>
    <row r="1129" spans="2:52" x14ac:dyDescent="0.2">
      <c r="V1129" s="55"/>
      <c r="W1129" s="55"/>
      <c r="X1129" s="55"/>
      <c r="Y1129" s="55"/>
      <c r="Z1129" s="55"/>
      <c r="AA1129" s="55"/>
      <c r="AB1129" s="55"/>
      <c r="AC1129" s="55"/>
      <c r="AD1129" s="55"/>
      <c r="AE1129" s="55"/>
      <c r="AF1129" s="55"/>
      <c r="AG1129" s="55"/>
      <c r="AH1129" s="55"/>
      <c r="AI1129" s="55"/>
      <c r="AJ1129" s="55"/>
      <c r="AK1129" s="55"/>
      <c r="AL1129" s="55"/>
      <c r="AM1129" s="55"/>
      <c r="AN1129" s="55"/>
      <c r="AO1129" s="55"/>
      <c r="AP1129" s="55"/>
      <c r="AQ1129" s="55"/>
      <c r="AR1129" s="55"/>
      <c r="AS1129" s="55"/>
      <c r="AT1129" s="55"/>
      <c r="AU1129" s="55"/>
      <c r="AV1129" s="55"/>
      <c r="AW1129" s="55"/>
      <c r="AX1129" s="55"/>
      <c r="AY1129" s="55"/>
      <c r="AZ1129" s="55"/>
    </row>
    <row r="1130" spans="2:52" x14ac:dyDescent="0.2">
      <c r="V1130" s="55"/>
      <c r="W1130" s="55"/>
      <c r="X1130" s="55"/>
      <c r="Y1130" s="55"/>
      <c r="Z1130" s="55"/>
      <c r="AA1130" s="55"/>
      <c r="AB1130" s="55"/>
      <c r="AC1130" s="55"/>
      <c r="AD1130" s="55"/>
      <c r="AE1130" s="55"/>
      <c r="AF1130" s="55"/>
      <c r="AG1130" s="55"/>
      <c r="AH1130" s="55"/>
      <c r="AI1130" s="55"/>
      <c r="AJ1130" s="55"/>
      <c r="AK1130" s="55"/>
      <c r="AL1130" s="55"/>
      <c r="AM1130" s="55"/>
      <c r="AN1130" s="55"/>
      <c r="AO1130" s="55"/>
      <c r="AP1130" s="55"/>
      <c r="AQ1130" s="55"/>
      <c r="AR1130" s="55"/>
      <c r="AS1130" s="55"/>
      <c r="AT1130" s="55"/>
      <c r="AU1130" s="55"/>
      <c r="AV1130" s="55"/>
      <c r="AW1130" s="55"/>
      <c r="AX1130" s="55"/>
      <c r="AY1130" s="55"/>
      <c r="AZ1130" s="55"/>
    </row>
    <row r="1131" spans="2:52" x14ac:dyDescent="0.2">
      <c r="V1131" s="55"/>
      <c r="W1131" s="55"/>
      <c r="X1131" s="55"/>
      <c r="Y1131" s="55"/>
      <c r="Z1131" s="55"/>
      <c r="AA1131" s="55"/>
      <c r="AB1131" s="55"/>
      <c r="AC1131" s="55"/>
      <c r="AD1131" s="55"/>
      <c r="AE1131" s="55"/>
      <c r="AF1131" s="55"/>
      <c r="AG1131" s="55"/>
      <c r="AH1131" s="55"/>
      <c r="AI1131" s="55"/>
      <c r="AJ1131" s="55"/>
      <c r="AK1131" s="55"/>
      <c r="AL1131" s="55"/>
      <c r="AM1131" s="55"/>
      <c r="AN1131" s="55"/>
      <c r="AO1131" s="55"/>
      <c r="AP1131" s="55"/>
      <c r="AQ1131" s="55"/>
      <c r="AR1131" s="55"/>
      <c r="AS1131" s="55"/>
      <c r="AT1131" s="55"/>
      <c r="AU1131" s="55"/>
      <c r="AV1131" s="55"/>
      <c r="AW1131" s="55"/>
      <c r="AX1131" s="55"/>
      <c r="AY1131" s="55"/>
      <c r="AZ1131" s="55"/>
    </row>
    <row r="1132" spans="2:52" x14ac:dyDescent="0.2">
      <c r="V1132" s="55"/>
      <c r="W1132" s="55"/>
      <c r="X1132" s="55"/>
      <c r="Y1132" s="55"/>
      <c r="Z1132" s="55"/>
      <c r="AA1132" s="55"/>
      <c r="AB1132" s="55"/>
      <c r="AC1132" s="55"/>
      <c r="AD1132" s="55"/>
      <c r="AE1132" s="55"/>
      <c r="AF1132" s="55"/>
      <c r="AG1132" s="55"/>
      <c r="AH1132" s="55"/>
      <c r="AI1132" s="55"/>
      <c r="AJ1132" s="55"/>
      <c r="AK1132" s="55"/>
      <c r="AL1132" s="55"/>
      <c r="AM1132" s="55"/>
      <c r="AN1132" s="55"/>
      <c r="AO1132" s="55"/>
      <c r="AP1132" s="55"/>
      <c r="AQ1132" s="55"/>
      <c r="AR1132" s="55"/>
      <c r="AS1132" s="55"/>
      <c r="AT1132" s="55"/>
      <c r="AU1132" s="55"/>
      <c r="AV1132" s="55"/>
      <c r="AW1132" s="55"/>
      <c r="AX1132" s="55"/>
      <c r="AY1132" s="55"/>
      <c r="AZ1132" s="55"/>
    </row>
    <row r="1133" spans="2:52" x14ac:dyDescent="0.2">
      <c r="V1133" s="55"/>
      <c r="W1133" s="55"/>
      <c r="X1133" s="55"/>
      <c r="Y1133" s="55"/>
      <c r="Z1133" s="55"/>
      <c r="AA1133" s="55"/>
      <c r="AB1133" s="55"/>
      <c r="AC1133" s="55"/>
      <c r="AD1133" s="55"/>
      <c r="AE1133" s="55"/>
      <c r="AF1133" s="55"/>
      <c r="AG1133" s="55"/>
      <c r="AH1133" s="55"/>
      <c r="AI1133" s="55"/>
      <c r="AJ1133" s="55"/>
      <c r="AK1133" s="55"/>
      <c r="AL1133" s="55"/>
      <c r="AM1133" s="55"/>
      <c r="AN1133" s="55"/>
      <c r="AO1133" s="55"/>
      <c r="AP1133" s="55"/>
      <c r="AQ1133" s="55"/>
      <c r="AR1133" s="55"/>
      <c r="AS1133" s="55"/>
      <c r="AT1133" s="55"/>
      <c r="AU1133" s="55"/>
      <c r="AV1133" s="55"/>
      <c r="AW1133" s="55"/>
      <c r="AX1133" s="55"/>
      <c r="AY1133" s="55"/>
      <c r="AZ1133" s="55"/>
    </row>
    <row r="1134" spans="2:52" x14ac:dyDescent="0.2">
      <c r="V1134" s="55"/>
      <c r="W1134" s="55"/>
      <c r="X1134" s="55"/>
      <c r="Y1134" s="55"/>
      <c r="Z1134" s="55"/>
      <c r="AA1134" s="55"/>
      <c r="AB1134" s="55"/>
      <c r="AC1134" s="55"/>
      <c r="AD1134" s="55"/>
      <c r="AE1134" s="55"/>
      <c r="AF1134" s="55"/>
      <c r="AG1134" s="55"/>
      <c r="AH1134" s="55"/>
      <c r="AI1134" s="55"/>
      <c r="AJ1134" s="55"/>
      <c r="AK1134" s="55"/>
      <c r="AL1134" s="55"/>
      <c r="AM1134" s="55"/>
      <c r="AN1134" s="55"/>
      <c r="AO1134" s="55"/>
      <c r="AP1134" s="55"/>
      <c r="AQ1134" s="55"/>
      <c r="AR1134" s="55"/>
      <c r="AS1134" s="55"/>
      <c r="AT1134" s="55"/>
      <c r="AU1134" s="55"/>
      <c r="AV1134" s="55"/>
      <c r="AW1134" s="55"/>
      <c r="AX1134" s="55"/>
      <c r="AY1134" s="55"/>
      <c r="AZ1134" s="55"/>
    </row>
    <row r="1135" spans="2:52" x14ac:dyDescent="0.2">
      <c r="V1135" s="55"/>
      <c r="W1135" s="55"/>
      <c r="X1135" s="55"/>
      <c r="Y1135" s="55"/>
      <c r="Z1135" s="55"/>
      <c r="AA1135" s="55"/>
      <c r="AB1135" s="55"/>
      <c r="AC1135" s="55"/>
      <c r="AD1135" s="55"/>
      <c r="AE1135" s="55"/>
      <c r="AF1135" s="55"/>
      <c r="AG1135" s="55"/>
      <c r="AH1135" s="55"/>
      <c r="AI1135" s="55"/>
      <c r="AJ1135" s="55"/>
      <c r="AK1135" s="55"/>
      <c r="AL1135" s="55"/>
      <c r="AM1135" s="55"/>
      <c r="AN1135" s="55"/>
      <c r="AO1135" s="55"/>
      <c r="AP1135" s="55"/>
      <c r="AQ1135" s="55"/>
      <c r="AR1135" s="55"/>
      <c r="AS1135" s="55"/>
      <c r="AT1135" s="55"/>
      <c r="AU1135" s="55"/>
      <c r="AV1135" s="55"/>
      <c r="AW1135" s="55"/>
      <c r="AX1135" s="55"/>
      <c r="AY1135" s="55"/>
      <c r="AZ1135" s="55"/>
    </row>
    <row r="1136" spans="2:52" x14ac:dyDescent="0.2">
      <c r="V1136" s="55"/>
      <c r="W1136" s="55"/>
      <c r="X1136" s="55"/>
      <c r="Y1136" s="55"/>
      <c r="Z1136" s="55"/>
      <c r="AA1136" s="55"/>
      <c r="AB1136" s="55"/>
      <c r="AC1136" s="55"/>
      <c r="AD1136" s="55"/>
      <c r="AE1136" s="55"/>
      <c r="AF1136" s="55"/>
      <c r="AG1136" s="55"/>
      <c r="AH1136" s="55"/>
      <c r="AI1136" s="55"/>
      <c r="AJ1136" s="55"/>
      <c r="AK1136" s="55"/>
      <c r="AL1136" s="55"/>
      <c r="AM1136" s="55"/>
      <c r="AN1136" s="55"/>
      <c r="AO1136" s="55"/>
      <c r="AP1136" s="55"/>
      <c r="AQ1136" s="55"/>
      <c r="AR1136" s="55"/>
      <c r="AS1136" s="55"/>
      <c r="AT1136" s="55"/>
      <c r="AU1136" s="55"/>
      <c r="AV1136" s="55"/>
      <c r="AW1136" s="55"/>
      <c r="AX1136" s="55"/>
      <c r="AY1136" s="55"/>
      <c r="AZ1136" s="55"/>
    </row>
    <row r="1137" spans="3:52" x14ac:dyDescent="0.2">
      <c r="V1137" s="55"/>
      <c r="W1137" s="55"/>
      <c r="X1137" s="55"/>
      <c r="Y1137" s="55"/>
      <c r="Z1137" s="55"/>
      <c r="AA1137" s="55"/>
      <c r="AB1137" s="55"/>
      <c r="AC1137" s="55"/>
      <c r="AD1137" s="55"/>
      <c r="AE1137" s="55"/>
      <c r="AF1137" s="55"/>
      <c r="AG1137" s="55"/>
      <c r="AH1137" s="55"/>
      <c r="AI1137" s="55"/>
      <c r="AJ1137" s="55"/>
      <c r="AK1137" s="55"/>
      <c r="AL1137" s="55"/>
      <c r="AM1137" s="55"/>
      <c r="AN1137" s="55"/>
      <c r="AO1137" s="55"/>
      <c r="AP1137" s="55"/>
      <c r="AQ1137" s="55"/>
      <c r="AR1137" s="55"/>
      <c r="AS1137" s="55"/>
      <c r="AT1137" s="55"/>
      <c r="AU1137" s="55"/>
      <c r="AV1137" s="55"/>
      <c r="AW1137" s="55"/>
      <c r="AX1137" s="55"/>
      <c r="AY1137" s="55"/>
      <c r="AZ1137" s="55"/>
    </row>
    <row r="1138" spans="3:52" x14ac:dyDescent="0.2">
      <c r="V1138" s="55"/>
      <c r="W1138" s="55"/>
      <c r="X1138" s="55"/>
      <c r="Y1138" s="55"/>
      <c r="Z1138" s="55"/>
      <c r="AA1138" s="55"/>
      <c r="AB1138" s="55"/>
      <c r="AC1138" s="55"/>
      <c r="AD1138" s="55"/>
      <c r="AE1138" s="55"/>
      <c r="AF1138" s="55"/>
      <c r="AG1138" s="55"/>
      <c r="AH1138" s="55"/>
      <c r="AI1138" s="55"/>
      <c r="AJ1138" s="55"/>
      <c r="AK1138" s="55"/>
      <c r="AL1138" s="55"/>
      <c r="AM1138" s="55"/>
      <c r="AN1138" s="55"/>
      <c r="AO1138" s="55"/>
      <c r="AP1138" s="55"/>
      <c r="AQ1138" s="55"/>
      <c r="AR1138" s="55"/>
      <c r="AS1138" s="55"/>
      <c r="AT1138" s="55"/>
      <c r="AU1138" s="55"/>
      <c r="AV1138" s="55"/>
      <c r="AW1138" s="55"/>
      <c r="AX1138" s="55"/>
      <c r="AY1138" s="55"/>
      <c r="AZ1138" s="55"/>
    </row>
    <row r="1139" spans="3:52" x14ac:dyDescent="0.2">
      <c r="V1139" s="55"/>
      <c r="W1139" s="55"/>
      <c r="X1139" s="55"/>
      <c r="Y1139" s="55"/>
      <c r="Z1139" s="55"/>
      <c r="AA1139" s="55"/>
      <c r="AB1139" s="55"/>
      <c r="AC1139" s="55"/>
      <c r="AD1139" s="55"/>
      <c r="AE1139" s="55"/>
      <c r="AF1139" s="55"/>
      <c r="AG1139" s="55"/>
      <c r="AH1139" s="55"/>
      <c r="AI1139" s="55"/>
      <c r="AJ1139" s="55"/>
      <c r="AK1139" s="55"/>
      <c r="AL1139" s="55"/>
      <c r="AM1139" s="55"/>
      <c r="AN1139" s="55"/>
      <c r="AO1139" s="55"/>
      <c r="AP1139" s="55"/>
      <c r="AQ1139" s="55"/>
      <c r="AR1139" s="55"/>
      <c r="AS1139" s="55"/>
      <c r="AT1139" s="55"/>
      <c r="AU1139" s="55"/>
      <c r="AV1139" s="55"/>
      <c r="AW1139" s="55"/>
      <c r="AX1139" s="55"/>
      <c r="AY1139" s="55"/>
      <c r="AZ1139" s="55"/>
    </row>
    <row r="1140" spans="3:52" x14ac:dyDescent="0.2">
      <c r="V1140" s="55"/>
      <c r="W1140" s="55"/>
      <c r="X1140" s="55"/>
      <c r="Y1140" s="55"/>
      <c r="Z1140" s="55"/>
      <c r="AA1140" s="55"/>
      <c r="AB1140" s="55"/>
      <c r="AC1140" s="55"/>
      <c r="AD1140" s="55"/>
      <c r="AE1140" s="55"/>
      <c r="AF1140" s="55"/>
      <c r="AG1140" s="55"/>
      <c r="AH1140" s="55"/>
      <c r="AI1140" s="55"/>
      <c r="AJ1140" s="55"/>
      <c r="AK1140" s="55"/>
      <c r="AL1140" s="55"/>
      <c r="AM1140" s="55"/>
      <c r="AN1140" s="55"/>
      <c r="AO1140" s="55"/>
      <c r="AP1140" s="55"/>
      <c r="AQ1140" s="55"/>
      <c r="AR1140" s="55"/>
      <c r="AS1140" s="55"/>
      <c r="AT1140" s="55"/>
      <c r="AU1140" s="55"/>
      <c r="AV1140" s="55"/>
      <c r="AW1140" s="55"/>
      <c r="AX1140" s="55"/>
      <c r="AY1140" s="55"/>
      <c r="AZ1140" s="55"/>
    </row>
    <row r="1141" spans="3:52" x14ac:dyDescent="0.2">
      <c r="V1141" s="55"/>
      <c r="W1141" s="55"/>
      <c r="X1141" s="55"/>
      <c r="Y1141" s="55"/>
      <c r="Z1141" s="55"/>
      <c r="AA1141" s="55"/>
      <c r="AB1141" s="55"/>
      <c r="AC1141" s="55"/>
      <c r="AD1141" s="55"/>
      <c r="AE1141" s="55"/>
      <c r="AF1141" s="55"/>
      <c r="AG1141" s="55"/>
      <c r="AH1141" s="55"/>
      <c r="AI1141" s="55"/>
      <c r="AJ1141" s="55"/>
      <c r="AK1141" s="55"/>
      <c r="AL1141" s="55"/>
      <c r="AM1141" s="55"/>
      <c r="AN1141" s="55"/>
      <c r="AO1141" s="55"/>
      <c r="AP1141" s="55"/>
      <c r="AQ1141" s="55"/>
      <c r="AR1141" s="55"/>
      <c r="AS1141" s="55"/>
      <c r="AT1141" s="55"/>
      <c r="AU1141" s="55"/>
      <c r="AV1141" s="55"/>
      <c r="AW1141" s="55"/>
      <c r="AX1141" s="55"/>
      <c r="AY1141" s="55"/>
      <c r="AZ1141" s="55"/>
    </row>
    <row r="1142" spans="3:52" x14ac:dyDescent="0.2">
      <c r="V1142" s="55"/>
      <c r="W1142" s="55"/>
      <c r="X1142" s="55"/>
      <c r="Y1142" s="55"/>
      <c r="Z1142" s="55"/>
      <c r="AA1142" s="55"/>
      <c r="AB1142" s="55"/>
      <c r="AC1142" s="55"/>
      <c r="AD1142" s="55"/>
      <c r="AE1142" s="55"/>
      <c r="AF1142" s="55"/>
      <c r="AG1142" s="55"/>
      <c r="AH1142" s="55"/>
      <c r="AI1142" s="55"/>
      <c r="AJ1142" s="55"/>
      <c r="AK1142" s="55"/>
      <c r="AL1142" s="55"/>
      <c r="AM1142" s="55"/>
      <c r="AN1142" s="55"/>
      <c r="AO1142" s="55"/>
      <c r="AP1142" s="55"/>
      <c r="AQ1142" s="55"/>
      <c r="AR1142" s="55"/>
      <c r="AS1142" s="55"/>
      <c r="AT1142" s="55"/>
      <c r="AU1142" s="55"/>
      <c r="AV1142" s="55"/>
      <c r="AW1142" s="55"/>
      <c r="AX1142" s="55"/>
      <c r="AY1142" s="55"/>
      <c r="AZ1142" s="55"/>
    </row>
    <row r="1143" spans="3:52" x14ac:dyDescent="0.2">
      <c r="V1143" s="55"/>
      <c r="W1143" s="55"/>
      <c r="X1143" s="55"/>
      <c r="Y1143" s="55"/>
      <c r="Z1143" s="55"/>
      <c r="AA1143" s="55"/>
      <c r="AB1143" s="55"/>
      <c r="AC1143" s="55"/>
      <c r="AD1143" s="55"/>
      <c r="AE1143" s="55"/>
      <c r="AF1143" s="55"/>
      <c r="AG1143" s="55"/>
      <c r="AH1143" s="55"/>
      <c r="AI1143" s="55"/>
      <c r="AJ1143" s="55"/>
      <c r="AK1143" s="55"/>
      <c r="AL1143" s="55"/>
      <c r="AM1143" s="55"/>
      <c r="AN1143" s="55"/>
      <c r="AO1143" s="55"/>
      <c r="AP1143" s="55"/>
      <c r="AQ1143" s="55"/>
      <c r="AR1143" s="55"/>
      <c r="AS1143" s="55"/>
      <c r="AT1143" s="55"/>
      <c r="AU1143" s="55"/>
      <c r="AV1143" s="55"/>
      <c r="AW1143" s="55"/>
      <c r="AX1143" s="55"/>
      <c r="AY1143" s="55"/>
      <c r="AZ1143" s="55"/>
    </row>
    <row r="1144" spans="3:52" x14ac:dyDescent="0.2">
      <c r="V1144" s="55"/>
      <c r="W1144" s="55"/>
      <c r="X1144" s="55"/>
      <c r="Y1144" s="55"/>
      <c r="Z1144" s="55"/>
      <c r="AA1144" s="55"/>
      <c r="AB1144" s="55"/>
      <c r="AC1144" s="55"/>
      <c r="AD1144" s="55"/>
      <c r="AE1144" s="55"/>
      <c r="AF1144" s="55"/>
      <c r="AG1144" s="55"/>
      <c r="AH1144" s="55"/>
      <c r="AI1144" s="55"/>
      <c r="AJ1144" s="55"/>
      <c r="AK1144" s="55"/>
      <c r="AL1144" s="55"/>
      <c r="AM1144" s="55"/>
      <c r="AN1144" s="55"/>
      <c r="AO1144" s="55"/>
      <c r="AP1144" s="55"/>
      <c r="AQ1144" s="55"/>
      <c r="AR1144" s="55"/>
      <c r="AS1144" s="55"/>
      <c r="AT1144" s="55"/>
      <c r="AU1144" s="55"/>
      <c r="AV1144" s="55"/>
      <c r="AW1144" s="55"/>
      <c r="AX1144" s="55"/>
      <c r="AY1144" s="55"/>
      <c r="AZ1144" s="55"/>
    </row>
    <row r="1145" spans="3:52" x14ac:dyDescent="0.2">
      <c r="V1145" s="55"/>
      <c r="W1145" s="55"/>
      <c r="X1145" s="55"/>
      <c r="Y1145" s="55"/>
      <c r="Z1145" s="55"/>
      <c r="AA1145" s="55"/>
      <c r="AB1145" s="55"/>
      <c r="AC1145" s="55"/>
      <c r="AD1145" s="55"/>
      <c r="AE1145" s="55"/>
      <c r="AF1145" s="55"/>
      <c r="AG1145" s="55"/>
      <c r="AH1145" s="55"/>
      <c r="AI1145" s="55"/>
      <c r="AJ1145" s="55"/>
      <c r="AK1145" s="55"/>
      <c r="AL1145" s="55"/>
      <c r="AM1145" s="55"/>
      <c r="AN1145" s="55"/>
      <c r="AO1145" s="55"/>
      <c r="AP1145" s="55"/>
      <c r="AQ1145" s="55"/>
      <c r="AR1145" s="55"/>
      <c r="AS1145" s="55"/>
      <c r="AT1145" s="55"/>
      <c r="AU1145" s="55"/>
      <c r="AV1145" s="55"/>
      <c r="AW1145" s="55"/>
      <c r="AX1145" s="55"/>
      <c r="AY1145" s="55"/>
      <c r="AZ1145" s="55"/>
    </row>
    <row r="1146" spans="3:52" x14ac:dyDescent="0.2">
      <c r="V1146" s="55"/>
      <c r="W1146" s="55"/>
      <c r="X1146" s="55"/>
      <c r="Y1146" s="55"/>
      <c r="Z1146" s="55"/>
      <c r="AA1146" s="55"/>
      <c r="AB1146" s="55"/>
      <c r="AC1146" s="55"/>
      <c r="AD1146" s="55"/>
      <c r="AE1146" s="55"/>
      <c r="AF1146" s="55"/>
      <c r="AG1146" s="55"/>
      <c r="AH1146" s="55"/>
      <c r="AI1146" s="55"/>
      <c r="AJ1146" s="55"/>
      <c r="AK1146" s="55"/>
      <c r="AL1146" s="55"/>
      <c r="AM1146" s="55"/>
      <c r="AN1146" s="55"/>
      <c r="AO1146" s="55"/>
      <c r="AP1146" s="55"/>
      <c r="AQ1146" s="55"/>
      <c r="AR1146" s="55"/>
      <c r="AS1146" s="55"/>
      <c r="AT1146" s="55"/>
      <c r="AU1146" s="55"/>
      <c r="AV1146" s="55"/>
      <c r="AW1146" s="55"/>
      <c r="AX1146" s="55"/>
      <c r="AY1146" s="55"/>
      <c r="AZ1146" s="55"/>
    </row>
    <row r="1147" spans="3:52" x14ac:dyDescent="0.2">
      <c r="V1147" s="55"/>
      <c r="W1147" s="55"/>
      <c r="X1147" s="55"/>
      <c r="Y1147" s="55"/>
      <c r="Z1147" s="55"/>
      <c r="AA1147" s="55"/>
      <c r="AB1147" s="55"/>
      <c r="AC1147" s="55"/>
      <c r="AD1147" s="55"/>
      <c r="AE1147" s="55"/>
      <c r="AF1147" s="55"/>
      <c r="AG1147" s="55"/>
      <c r="AH1147" s="55"/>
      <c r="AI1147" s="55"/>
      <c r="AJ1147" s="55"/>
      <c r="AK1147" s="55"/>
      <c r="AL1147" s="55"/>
      <c r="AM1147" s="55"/>
      <c r="AN1147" s="55"/>
      <c r="AO1147" s="55"/>
      <c r="AP1147" s="55"/>
      <c r="AQ1147" s="55"/>
      <c r="AR1147" s="55"/>
      <c r="AS1147" s="55"/>
      <c r="AT1147" s="55"/>
      <c r="AU1147" s="55"/>
      <c r="AV1147" s="55"/>
      <c r="AW1147" s="55"/>
      <c r="AX1147" s="55"/>
      <c r="AY1147" s="55"/>
      <c r="AZ1147" s="55"/>
    </row>
    <row r="1148" spans="3:52" x14ac:dyDescent="0.2">
      <c r="V1148" s="55"/>
      <c r="W1148" s="55"/>
      <c r="X1148" s="55"/>
      <c r="Y1148" s="55"/>
      <c r="Z1148" s="55"/>
      <c r="AA1148" s="55"/>
      <c r="AB1148" s="55"/>
      <c r="AC1148" s="55"/>
      <c r="AD1148" s="55"/>
      <c r="AE1148" s="55"/>
      <c r="AF1148" s="55"/>
      <c r="AG1148" s="55"/>
      <c r="AH1148" s="55"/>
      <c r="AI1148" s="55"/>
      <c r="AJ1148" s="55"/>
      <c r="AK1148" s="55"/>
      <c r="AL1148" s="55"/>
      <c r="AM1148" s="55"/>
      <c r="AN1148" s="55"/>
      <c r="AO1148" s="55"/>
      <c r="AP1148" s="55"/>
      <c r="AQ1148" s="55"/>
      <c r="AR1148" s="55"/>
      <c r="AS1148" s="55"/>
      <c r="AT1148" s="55"/>
      <c r="AU1148" s="55"/>
      <c r="AV1148" s="55"/>
      <c r="AW1148" s="55"/>
      <c r="AX1148" s="55"/>
      <c r="AY1148" s="55"/>
      <c r="AZ1148" s="55"/>
    </row>
    <row r="1149" spans="3:52" x14ac:dyDescent="0.2">
      <c r="C1149" s="73"/>
      <c r="D1149" s="73"/>
      <c r="V1149" s="55"/>
      <c r="W1149" s="55"/>
      <c r="X1149" s="55"/>
      <c r="Y1149" s="55"/>
      <c r="Z1149" s="55"/>
      <c r="AA1149" s="55"/>
      <c r="AB1149" s="55"/>
      <c r="AC1149" s="55"/>
      <c r="AD1149" s="55"/>
      <c r="AE1149" s="55"/>
      <c r="AF1149" s="55"/>
      <c r="AG1149" s="55"/>
      <c r="AH1149" s="55"/>
      <c r="AI1149" s="55"/>
      <c r="AJ1149" s="55"/>
      <c r="AK1149" s="55"/>
      <c r="AL1149" s="55"/>
      <c r="AM1149" s="55"/>
      <c r="AN1149" s="55"/>
      <c r="AO1149" s="55"/>
      <c r="AP1149" s="55"/>
      <c r="AQ1149" s="55"/>
      <c r="AR1149" s="55"/>
      <c r="AS1149" s="55"/>
      <c r="AT1149" s="55"/>
      <c r="AU1149" s="55"/>
      <c r="AV1149" s="55"/>
      <c r="AW1149" s="55"/>
      <c r="AX1149" s="55"/>
      <c r="AY1149" s="55"/>
      <c r="AZ1149" s="55"/>
    </row>
    <row r="1150" spans="3:52" x14ac:dyDescent="0.2">
      <c r="C1150" s="73"/>
      <c r="D1150" s="73"/>
      <c r="V1150" s="55"/>
      <c r="W1150" s="55"/>
      <c r="X1150" s="55"/>
      <c r="Y1150" s="55"/>
      <c r="Z1150" s="55"/>
      <c r="AA1150" s="55"/>
      <c r="AB1150" s="55"/>
      <c r="AC1150" s="55"/>
      <c r="AD1150" s="55"/>
      <c r="AE1150" s="55"/>
      <c r="AF1150" s="55"/>
      <c r="AG1150" s="55"/>
      <c r="AH1150" s="55"/>
      <c r="AI1150" s="55"/>
      <c r="AJ1150" s="55"/>
      <c r="AK1150" s="55"/>
      <c r="AL1150" s="55"/>
      <c r="AM1150" s="55"/>
      <c r="AN1150" s="55"/>
      <c r="AO1150" s="55"/>
      <c r="AP1150" s="55"/>
      <c r="AQ1150" s="55"/>
      <c r="AR1150" s="55"/>
      <c r="AS1150" s="55"/>
      <c r="AT1150" s="55"/>
      <c r="AU1150" s="55"/>
      <c r="AV1150" s="55"/>
      <c r="AW1150" s="55"/>
      <c r="AX1150" s="55"/>
      <c r="AY1150" s="55"/>
      <c r="AZ1150" s="55"/>
    </row>
    <row r="1151" spans="3:52" x14ac:dyDescent="0.2">
      <c r="C1151" s="73"/>
      <c r="D1151" s="73"/>
      <c r="V1151" s="55"/>
      <c r="W1151" s="55"/>
      <c r="X1151" s="55"/>
      <c r="Y1151" s="55"/>
      <c r="Z1151" s="55"/>
      <c r="AA1151" s="55"/>
      <c r="AB1151" s="55"/>
      <c r="AC1151" s="55"/>
      <c r="AD1151" s="55"/>
      <c r="AE1151" s="55"/>
      <c r="AF1151" s="55"/>
      <c r="AG1151" s="55"/>
      <c r="AH1151" s="55"/>
      <c r="AI1151" s="55"/>
      <c r="AJ1151" s="55"/>
      <c r="AK1151" s="55"/>
      <c r="AL1151" s="55"/>
      <c r="AM1151" s="55"/>
      <c r="AN1151" s="55"/>
      <c r="AO1151" s="55"/>
      <c r="AP1151" s="55"/>
      <c r="AQ1151" s="55"/>
      <c r="AR1151" s="55"/>
      <c r="AS1151" s="55"/>
      <c r="AT1151" s="55"/>
      <c r="AU1151" s="55"/>
      <c r="AV1151" s="55"/>
      <c r="AW1151" s="55"/>
      <c r="AX1151" s="55"/>
      <c r="AY1151" s="55"/>
      <c r="AZ1151" s="55"/>
    </row>
    <row r="1152" spans="3:52" x14ac:dyDescent="0.2">
      <c r="C1152" s="73"/>
      <c r="D1152" s="73"/>
      <c r="V1152" s="55"/>
      <c r="W1152" s="55"/>
      <c r="X1152" s="55"/>
      <c r="Y1152" s="55"/>
      <c r="Z1152" s="55"/>
      <c r="AA1152" s="55"/>
      <c r="AB1152" s="55"/>
      <c r="AC1152" s="55"/>
      <c r="AD1152" s="55"/>
      <c r="AE1152" s="55"/>
      <c r="AF1152" s="55"/>
      <c r="AG1152" s="55"/>
      <c r="AH1152" s="55"/>
      <c r="AI1152" s="55"/>
      <c r="AJ1152" s="55"/>
      <c r="AK1152" s="55"/>
      <c r="AL1152" s="55"/>
      <c r="AM1152" s="55"/>
      <c r="AN1152" s="55"/>
      <c r="AO1152" s="55"/>
      <c r="AP1152" s="55"/>
      <c r="AQ1152" s="55"/>
      <c r="AR1152" s="55"/>
      <c r="AS1152" s="55"/>
      <c r="AT1152" s="55"/>
      <c r="AU1152" s="55"/>
      <c r="AV1152" s="55"/>
      <c r="AW1152" s="55"/>
      <c r="AX1152" s="55"/>
      <c r="AY1152" s="55"/>
      <c r="AZ1152" s="55"/>
    </row>
    <row r="1153" spans="2:52" x14ac:dyDescent="0.2">
      <c r="B1153" s="82" t="s">
        <v>5153</v>
      </c>
      <c r="C1153" s="3256"/>
      <c r="D1153" s="85"/>
      <c r="E1153" s="85"/>
      <c r="F1153" s="55"/>
      <c r="G1153" s="55"/>
      <c r="H1153" s="55"/>
      <c r="I1153" s="55"/>
      <c r="J1153" s="55"/>
      <c r="K1153" s="55"/>
      <c r="V1153" s="55"/>
      <c r="W1153" s="55"/>
      <c r="X1153" s="55"/>
      <c r="Y1153" s="55"/>
      <c r="Z1153" s="55"/>
      <c r="AA1153" s="55"/>
      <c r="AB1153" s="55"/>
      <c r="AC1153" s="55"/>
      <c r="AD1153" s="55"/>
      <c r="AE1153" s="55"/>
      <c r="AF1153" s="55"/>
      <c r="AG1153" s="55"/>
      <c r="AH1153" s="55"/>
      <c r="AI1153" s="55"/>
      <c r="AJ1153" s="55"/>
      <c r="AK1153" s="55"/>
      <c r="AL1153" s="55"/>
      <c r="AM1153" s="55"/>
      <c r="AN1153" s="55"/>
      <c r="AO1153" s="55"/>
      <c r="AP1153" s="55"/>
      <c r="AQ1153" s="55"/>
      <c r="AR1153" s="55"/>
      <c r="AS1153" s="55"/>
      <c r="AT1153" s="55"/>
      <c r="AU1153" s="55"/>
      <c r="AV1153" s="55"/>
      <c r="AW1153" s="55"/>
      <c r="AX1153" s="55"/>
      <c r="AY1153" s="55"/>
      <c r="AZ1153" s="55"/>
    </row>
    <row r="1154" spans="2:52" x14ac:dyDescent="0.2">
      <c r="V1154" s="55"/>
      <c r="W1154" s="55"/>
      <c r="X1154" s="55"/>
      <c r="Y1154" s="55"/>
      <c r="Z1154" s="55"/>
      <c r="AA1154" s="55"/>
      <c r="AB1154" s="55"/>
      <c r="AC1154" s="55"/>
      <c r="AD1154" s="55"/>
      <c r="AE1154" s="55"/>
      <c r="AF1154" s="55"/>
      <c r="AG1154" s="55"/>
      <c r="AH1154" s="55"/>
      <c r="AI1154" s="55"/>
      <c r="AJ1154" s="55"/>
      <c r="AK1154" s="55"/>
      <c r="AL1154" s="55"/>
      <c r="AM1154" s="55"/>
      <c r="AN1154" s="55"/>
      <c r="AO1154" s="55"/>
      <c r="AP1154" s="55"/>
      <c r="AQ1154" s="55"/>
      <c r="AR1154" s="55"/>
      <c r="AS1154" s="55"/>
      <c r="AT1154" s="55"/>
      <c r="AU1154" s="55"/>
      <c r="AV1154" s="55"/>
      <c r="AW1154" s="55"/>
      <c r="AX1154" s="55"/>
      <c r="AY1154" s="55"/>
      <c r="AZ1154" s="55"/>
    </row>
    <row r="1155" spans="2:52" x14ac:dyDescent="0.2">
      <c r="B1155" s="58" t="s">
        <v>5153</v>
      </c>
      <c r="C1155" s="61" t="s">
        <v>79</v>
      </c>
      <c r="D1155" s="61" t="s">
        <v>79</v>
      </c>
      <c r="E1155" s="61" t="s">
        <v>79</v>
      </c>
      <c r="F1155" s="61" t="s">
        <v>79</v>
      </c>
      <c r="V1155" s="55"/>
      <c r="W1155" s="55"/>
      <c r="X1155" s="55"/>
      <c r="Y1155" s="55"/>
      <c r="Z1155" s="55"/>
      <c r="AA1155" s="55"/>
      <c r="AB1155" s="55"/>
      <c r="AC1155" s="55"/>
      <c r="AD1155" s="55"/>
      <c r="AE1155" s="55"/>
      <c r="AF1155" s="55"/>
      <c r="AG1155" s="55"/>
      <c r="AH1155" s="55"/>
      <c r="AI1155" s="55"/>
      <c r="AJ1155" s="55"/>
      <c r="AK1155" s="55"/>
      <c r="AL1155" s="55"/>
      <c r="AM1155" s="55"/>
      <c r="AN1155" s="55"/>
      <c r="AO1155" s="55"/>
      <c r="AP1155" s="55"/>
      <c r="AQ1155" s="55"/>
      <c r="AR1155" s="55"/>
      <c r="AS1155" s="55"/>
      <c r="AT1155" s="55"/>
      <c r="AU1155" s="55"/>
      <c r="AV1155" s="55"/>
      <c r="AW1155" s="55"/>
      <c r="AX1155" s="55"/>
      <c r="AY1155" s="55"/>
      <c r="AZ1155" s="55"/>
    </row>
    <row r="1156" spans="2:52" x14ac:dyDescent="0.2">
      <c r="B1156" s="28"/>
      <c r="C1156" s="5020" t="s">
        <v>146</v>
      </c>
      <c r="D1156" s="5022"/>
      <c r="E1156" s="5020" t="s">
        <v>147</v>
      </c>
      <c r="F1156" s="5022"/>
      <c r="V1156" s="55"/>
      <c r="W1156" s="55"/>
      <c r="X1156" s="55"/>
      <c r="Y1156" s="55"/>
      <c r="Z1156" s="55"/>
      <c r="AA1156" s="55"/>
      <c r="AB1156" s="55"/>
      <c r="AC1156" s="55"/>
      <c r="AD1156" s="55"/>
      <c r="AE1156" s="55"/>
      <c r="AF1156" s="55"/>
      <c r="AG1156" s="55"/>
      <c r="AH1156" s="55"/>
      <c r="AI1156" s="55"/>
      <c r="AJ1156" s="55"/>
      <c r="AK1156" s="55"/>
      <c r="AL1156" s="55"/>
      <c r="AM1156" s="55"/>
      <c r="AN1156" s="55"/>
      <c r="AO1156" s="55"/>
      <c r="AP1156" s="55"/>
      <c r="AQ1156" s="55"/>
      <c r="AR1156" s="55"/>
      <c r="AS1156" s="55"/>
      <c r="AT1156" s="55"/>
      <c r="AU1156" s="55"/>
      <c r="AV1156" s="55"/>
      <c r="AW1156" s="55"/>
      <c r="AX1156" s="55"/>
      <c r="AY1156" s="55"/>
      <c r="AZ1156" s="55"/>
    </row>
    <row r="1157" spans="2:52" x14ac:dyDescent="0.2">
      <c r="B1157" s="2658"/>
      <c r="C1157" s="3242">
        <f>D56</f>
        <v>2018</v>
      </c>
      <c r="D1157" s="3242">
        <f>E56</f>
        <v>2020</v>
      </c>
      <c r="E1157" s="3242">
        <f>D56</f>
        <v>2018</v>
      </c>
      <c r="F1157" s="3242">
        <f>E56</f>
        <v>2020</v>
      </c>
      <c r="V1157" s="55"/>
      <c r="W1157" s="55"/>
      <c r="X1157" s="55"/>
      <c r="Y1157" s="55"/>
      <c r="Z1157" s="55"/>
      <c r="AA1157" s="55"/>
      <c r="AB1157" s="55"/>
      <c r="AC1157" s="55"/>
      <c r="AD1157" s="55"/>
      <c r="AE1157" s="55"/>
      <c r="AF1157" s="55"/>
      <c r="AG1157" s="55"/>
      <c r="AH1157" s="55"/>
      <c r="AI1157" s="55"/>
      <c r="AJ1157" s="55"/>
      <c r="AK1157" s="55"/>
      <c r="AL1157" s="55"/>
      <c r="AM1157" s="55"/>
      <c r="AN1157" s="55"/>
      <c r="AO1157" s="55"/>
      <c r="AP1157" s="55"/>
      <c r="AQ1157" s="55"/>
      <c r="AR1157" s="55"/>
      <c r="AS1157" s="55"/>
      <c r="AT1157" s="55"/>
      <c r="AU1157" s="55"/>
      <c r="AV1157" s="55"/>
      <c r="AW1157" s="55"/>
      <c r="AX1157" s="55"/>
      <c r="AY1157" s="55"/>
      <c r="AZ1157" s="55"/>
    </row>
    <row r="1158" spans="2:52" x14ac:dyDescent="0.2">
      <c r="B1158" s="28" t="s">
        <v>148</v>
      </c>
      <c r="C1158" s="24"/>
      <c r="D1158" s="24"/>
      <c r="E1158" s="24">
        <f>SUM('E2018'!$AH$8:$AH$11)+'E2018'!$AH$55+SUM('E2018'!$AH$61:$AH$80)</f>
        <v>50.760061409998855</v>
      </c>
      <c r="F1158" s="24">
        <f>SUM('E2020'!$AH$8:$AH$11)+'E2020'!$AH$55+SUM('E2020'!$AH$61:$AH$80)</f>
        <v>50.836348559381598</v>
      </c>
      <c r="V1158" s="55"/>
      <c r="W1158" s="55"/>
      <c r="X1158" s="55"/>
      <c r="Y1158" s="55"/>
      <c r="Z1158" s="55"/>
      <c r="AA1158" s="55"/>
      <c r="AB1158" s="55"/>
      <c r="AC1158" s="55"/>
      <c r="AD1158" s="55"/>
      <c r="AE1158" s="55"/>
      <c r="AF1158" s="55"/>
      <c r="AG1158" s="55"/>
      <c r="AH1158" s="55"/>
      <c r="AI1158" s="55"/>
      <c r="AJ1158" s="55"/>
      <c r="AK1158" s="55"/>
      <c r="AL1158" s="55"/>
      <c r="AM1158" s="55"/>
      <c r="AN1158" s="55"/>
      <c r="AO1158" s="55"/>
      <c r="AP1158" s="55"/>
      <c r="AQ1158" s="55"/>
      <c r="AR1158" s="55"/>
      <c r="AS1158" s="55"/>
      <c r="AT1158" s="55"/>
      <c r="AU1158" s="55"/>
      <c r="AV1158" s="55"/>
      <c r="AW1158" s="55"/>
      <c r="AX1158" s="55"/>
      <c r="AY1158" s="55"/>
      <c r="AZ1158" s="55"/>
    </row>
    <row r="1159" spans="2:52" x14ac:dyDescent="0.2">
      <c r="B1159" s="28" t="s">
        <v>149</v>
      </c>
      <c r="C1159" s="24"/>
      <c r="D1159" s="24"/>
      <c r="E1159" s="126">
        <f>-(SUM('E2018'!$AG$8:$AG$11)+SUM('E2018'!$AH$8:$AH$11))-('E2018'!$AG$31+'E2018'!$AH$31)-('E2018'!$AG$32+'E2018'!$AH$32)-('E2018'!$AG$39+'E2018'!$AH$39)-('E2018'!$AG$40+'E2018'!$AH$40)-('E2018'!$AG$46+'E2018'!$AH$46)-
('E2018'!$AG$47+'E2018'!$AH$47)-('E2018'!$AG$64+'E2018'!$AH$64)-('E2018'!$AG$65+'E2018'!$AH$65)-('E2018'!$AG$70+'E2018'!$AH$70)-('E2018'!$AG$74+'E2018'!$AH$74)-('E2018'!$AG$78+'E2018'!$AH$78)</f>
        <v>4.5040228687152055</v>
      </c>
      <c r="F1159" s="24">
        <f>-(SUM('E2020'!$AG$8:$AG$11)+SUM('E2020'!$AH$8:$AH$11))-('E2020'!$AG$31+'E2020'!$AH$31)-('E2020'!$AG$32+'E2020'!$AH$32)-('E2020'!$AG$39+'E2020'!$AH$39)-('E2020'!$AG$40+'E2020'!$AH$40)-('E2020'!$AG$46+'E2020'!$AH$46)-
('E2020'!$AG$47+'E2020'!$AH$47)-('E2020'!$AG$64+'E2020'!$AH$64)-('E2020'!$AG$65+'E2020'!$AH$65)-('E2020'!$AG$70+'E2020'!$AH$70)-('E2020'!$AG$74+'E2020'!$AH$74)-('E2020'!$AG$78+'E2020'!$AH$78)</f>
        <v>4.366549213863693</v>
      </c>
      <c r="V1159" s="55"/>
      <c r="W1159" s="55"/>
      <c r="X1159" s="55"/>
      <c r="Y1159" s="55"/>
      <c r="Z1159" s="55"/>
      <c r="AA1159" s="55"/>
      <c r="AB1159" s="55"/>
      <c r="AC1159" s="55"/>
      <c r="AD1159" s="55"/>
      <c r="AE1159" s="55"/>
      <c r="AF1159" s="55"/>
      <c r="AG1159" s="55"/>
      <c r="AH1159" s="55"/>
      <c r="AI1159" s="55"/>
      <c r="AJ1159" s="55"/>
      <c r="AK1159" s="55"/>
      <c r="AL1159" s="55"/>
      <c r="AM1159" s="55"/>
      <c r="AN1159" s="55"/>
      <c r="AO1159" s="55"/>
      <c r="AP1159" s="55"/>
      <c r="AQ1159" s="55"/>
      <c r="AR1159" s="55"/>
      <c r="AS1159" s="55"/>
      <c r="AT1159" s="55"/>
      <c r="AU1159" s="55"/>
      <c r="AV1159" s="55"/>
      <c r="AW1159" s="55"/>
      <c r="AX1159" s="55"/>
      <c r="AY1159" s="55"/>
      <c r="AZ1159" s="55"/>
    </row>
    <row r="1160" spans="2:52" x14ac:dyDescent="0.2">
      <c r="B1160" s="69" t="s">
        <v>150</v>
      </c>
      <c r="C1160" s="24"/>
      <c r="D1160" s="24"/>
      <c r="E1160" s="24">
        <f>'E2018'!$AH$31+'E2018'!$AH$32+'E2018'!$AH$39+'E2018'!$AH$40+'E2018'!$AH$46+'E2018'!$AH$47</f>
        <v>0</v>
      </c>
      <c r="F1160" s="24">
        <f>'E2020'!$AH$31+'E2020'!$AH$32+'E2020'!$AH$39+'E2020'!$AH$40+'E2020'!$AH$46+'E2020'!$AH$47</f>
        <v>0</v>
      </c>
      <c r="V1160" s="55"/>
      <c r="W1160" s="55"/>
      <c r="X1160" s="55"/>
      <c r="Y1160" s="55"/>
      <c r="Z1160" s="55"/>
      <c r="AA1160" s="55"/>
      <c r="AB1160" s="55"/>
      <c r="AC1160" s="55"/>
      <c r="AD1160" s="55"/>
      <c r="AE1160" s="55"/>
      <c r="AF1160" s="55"/>
      <c r="AG1160" s="55"/>
      <c r="AH1160" s="55"/>
      <c r="AI1160" s="55"/>
      <c r="AJ1160" s="55"/>
      <c r="AK1160" s="55"/>
      <c r="AL1160" s="55"/>
      <c r="AM1160" s="55"/>
      <c r="AN1160" s="55"/>
      <c r="AO1160" s="55"/>
      <c r="AP1160" s="55"/>
      <c r="AQ1160" s="55"/>
      <c r="AR1160" s="55"/>
      <c r="AS1160" s="55"/>
      <c r="AT1160" s="55"/>
      <c r="AU1160" s="55"/>
      <c r="AV1160" s="55"/>
      <c r="AW1160" s="55"/>
      <c r="AX1160" s="55"/>
      <c r="AY1160" s="55"/>
      <c r="AZ1160" s="55"/>
    </row>
    <row r="1161" spans="2:52" x14ac:dyDescent="0.2">
      <c r="B1161" s="69"/>
      <c r="C1161" s="24"/>
      <c r="D1161" s="24"/>
      <c r="E1161" s="24"/>
      <c r="F1161" s="24"/>
      <c r="V1161" s="55"/>
      <c r="W1161" s="55"/>
      <c r="X1161" s="55"/>
      <c r="Y1161" s="55"/>
      <c r="Z1161" s="55"/>
      <c r="AA1161" s="55"/>
      <c r="AB1161" s="55"/>
      <c r="AC1161" s="55"/>
      <c r="AD1161" s="55"/>
      <c r="AE1161" s="55"/>
      <c r="AF1161" s="55"/>
      <c r="AG1161" s="55"/>
      <c r="AH1161" s="55"/>
      <c r="AI1161" s="55"/>
      <c r="AJ1161" s="55"/>
      <c r="AK1161" s="55"/>
      <c r="AL1161" s="55"/>
      <c r="AM1161" s="55"/>
      <c r="AN1161" s="55"/>
      <c r="AO1161" s="55"/>
      <c r="AP1161" s="55"/>
      <c r="AQ1161" s="55"/>
      <c r="AR1161" s="55"/>
      <c r="AS1161" s="55"/>
      <c r="AT1161" s="55"/>
      <c r="AU1161" s="55"/>
      <c r="AV1161" s="55"/>
      <c r="AW1161" s="55"/>
      <c r="AX1161" s="55"/>
      <c r="AY1161" s="55"/>
      <c r="AZ1161" s="55"/>
    </row>
    <row r="1162" spans="2:52" x14ac:dyDescent="0.2">
      <c r="B1162" s="28" t="s">
        <v>85</v>
      </c>
      <c r="C1162" s="24">
        <f>'E2018'!$E$28*'E2018'!$AE$28%+'E2018'!$E$29*'E2018'!$AE$29%+'E2018'!$E$30*'E2018'!$AE$30%+'E2018'!$E$33*'E2018'!$AE$33%+'E2018'!$E$34*'E2018'!$AE$34%+'E2018'!$E$35*'E2018'!$AE$35%+'E2018'!$E$36*'E2018'!$AE$36%+'E2018'!$E$37*'E2018'!$AE$37%+'E2018'!$E$38*'E2018'!$AE$38%+'E2018'!$E$41*'E2018'!$AE$41%+'E2018'!$E$42*'E2018'!$AE$42%+'E2018'!$E$43*'E2018'!$AE$43%+'E2018'!$E$44*'E2018'!$AE$44%+'E2018'!$E$45*'E2018'!$AE$45%+'E2018'!$E$48*'E2018'!$AE$48%+'E2018'!$E$49*'E2018'!$AE$49%+'E2018'!$E$50*'E2018'!$AE$50%+'E2018'!$E$51*'E2018'!$AE$51%+'E2018'!$E$52*'E2018'!$AE$52%+'E2018'!$E$53*'E2018'!$AE$53%+'E2018'!$E$54*'E2018'!$AE$54%</f>
        <v>0.49800000000000011</v>
      </c>
      <c r="D1162" s="24">
        <f>'E2020'!$E$28*'E2020'!$AE$28%+'E2020'!$E$29*'E2020'!$AE$29%+'E2020'!$E$30*'E2020'!$AE$30%+'E2020'!$E$33*'E2020'!$AE$33%+'E2020'!$E$34*'E2020'!$AE$34%+'E2020'!$E$35*'E2020'!$AE$35%+'E2020'!$E$36*'E2020'!$AE$36%+'E2020'!$E$37*'E2020'!$AE$37%+'E2020'!$E$38*'E2020'!$AE$38%+'E2020'!$E$41*'E2020'!$AE$41%+'E2020'!$E$42*'E2020'!$AE$42%+'E2020'!$E$43*'E2020'!$AE$43%+'E2020'!$E$44*'E2020'!$AE$44%+'E2020'!$E$45*'E2020'!$AE$45%+'E2020'!$E$48*'E2020'!$AE$48%+'E2020'!$E$49*'E2020'!$AE$49%+'E2020'!$E$50*'E2020'!$AE$50%+'E2020'!$E$51*'E2020'!$AE$51%+'E2020'!$E$52*'E2020'!$AE$52%+'E2020'!$E$53*'E2020'!$AE$53%+'E2020'!$E$54*'E2020'!$AE$54%</f>
        <v>0.78686783999999987</v>
      </c>
      <c r="E1162" s="24"/>
      <c r="F1162" s="24"/>
      <c r="V1162" s="55"/>
      <c r="W1162" s="55"/>
      <c r="X1162" s="55"/>
      <c r="Y1162" s="55"/>
      <c r="Z1162" s="55"/>
      <c r="AA1162" s="55"/>
      <c r="AB1162" s="55"/>
      <c r="AC1162" s="55"/>
      <c r="AD1162" s="55"/>
      <c r="AE1162" s="55"/>
      <c r="AF1162" s="55"/>
      <c r="AG1162" s="55"/>
      <c r="AH1162" s="55"/>
      <c r="AI1162" s="55"/>
      <c r="AJ1162" s="55"/>
      <c r="AK1162" s="55"/>
      <c r="AL1162" s="55"/>
      <c r="AM1162" s="55"/>
      <c r="AN1162" s="55"/>
      <c r="AO1162" s="55"/>
      <c r="AP1162" s="55"/>
      <c r="AQ1162" s="55"/>
      <c r="AR1162" s="55"/>
      <c r="AS1162" s="55"/>
      <c r="AT1162" s="55"/>
      <c r="AU1162" s="55"/>
      <c r="AV1162" s="55"/>
      <c r="AW1162" s="55"/>
      <c r="AX1162" s="55"/>
      <c r="AY1162" s="55"/>
      <c r="AZ1162" s="55"/>
    </row>
    <row r="1163" spans="2:52" x14ac:dyDescent="0.2">
      <c r="B1163" s="28" t="s">
        <v>82</v>
      </c>
      <c r="C1163" s="24">
        <f>'E2018'!$C$28*'E2018'!$AC$28%+'E2018'!$C$29*'E2018'!$AC$29%+'E2018'!$C$32*'E2018'!$AC$32%+'E2018'!$C$33*'E2018'!$AC$33%+'E2018'!$C$34*'E2018'!$AC$34%+'E2018'!$C$35*'E2018'!$AC$35%+'E2018'!$C$36*'E2018'!$AC$36%+'E2018'!$C$37*'E2018'!$AC$37%+'E2018'!$C$38*'E2018'!$AC$38%+'E2018'!$C$41*'E2018'!$AC$41%+'E2018'!$C$42*'E2018'!$AC$42%+'E2018'!$C$43*'E2018'!$AC$43%+'E2018'!$C$44*'E2018'!$AC$44%+'E2018'!$C$45*'E2018'!$AC$45%+'E2018'!$C$48*'E2018'!$AC$48%+'E2018'!$C$49*'E2018'!$AC$49%+'E2018'!$C$50*'E2018'!$AC$50%+'E2018'!$C$51*'E2018'!$AC$51%+'E2018'!$C$52*'E2018'!$AC$52%+'E2018'!$C$53*'E2018'!$AC$53%+'E2018'!$C$54*'E2018'!$AC$54%</f>
        <v>0</v>
      </c>
      <c r="D1163" s="24">
        <f>'E2020'!$C$28*'E2020'!$AC$28%+'E2020'!$C$29*'E2020'!$AC$29%+'E2020'!$C$32*'E2020'!$AC$32%+'E2020'!$C$33*'E2020'!$AC$33%+'E2020'!$C$34*'E2020'!$AC$34%+'E2020'!$C$35*'E2020'!$AC$35%+'E2020'!$C$36*'E2020'!$AC$36%+'E2020'!$C$37*'E2020'!$AC$37%+'E2020'!$C$38*'E2020'!$AC$38%+'E2020'!$C$41*'E2020'!$AC$41%+'E2020'!$C$42*'E2020'!$AC$42%+'E2020'!$C$43*'E2020'!$AC$43%+'E2020'!$C$44*'E2020'!$AC$44%+'E2020'!$C$45*'E2020'!$AC$45%+'E2020'!$C$48*'E2020'!$AC$48%+'E2020'!$C$49*'E2020'!$AC$49%+'E2020'!$C$50*'E2020'!$AC$50%+'E2020'!$C$51*'E2020'!$AC$51%+'E2020'!$C$52*'E2020'!$AC$52%+'E2020'!$C$53*'E2020'!$AC$53%+'E2020'!$C$54*'E2020'!$AC$54%</f>
        <v>0</v>
      </c>
      <c r="E1163" s="24"/>
      <c r="F1163" s="24"/>
      <c r="J1163" s="31"/>
      <c r="V1163" s="55"/>
      <c r="W1163" s="55"/>
      <c r="X1163" s="55"/>
      <c r="Y1163" s="55"/>
      <c r="Z1163" s="55"/>
      <c r="AA1163" s="55"/>
      <c r="AB1163" s="55"/>
      <c r="AC1163" s="55"/>
      <c r="AD1163" s="55"/>
      <c r="AE1163" s="55"/>
      <c r="AF1163" s="55"/>
      <c r="AG1163" s="55"/>
      <c r="AH1163" s="55"/>
      <c r="AI1163" s="55"/>
      <c r="AJ1163" s="55"/>
      <c r="AK1163" s="55"/>
      <c r="AL1163" s="55"/>
      <c r="AM1163" s="55"/>
      <c r="AN1163" s="55"/>
      <c r="AO1163" s="55"/>
      <c r="AP1163" s="55"/>
      <c r="AQ1163" s="55"/>
      <c r="AR1163" s="55"/>
      <c r="AS1163" s="55"/>
      <c r="AT1163" s="55"/>
      <c r="AU1163" s="55"/>
      <c r="AV1163" s="55"/>
      <c r="AW1163" s="55"/>
      <c r="AX1163" s="55"/>
      <c r="AY1163" s="55"/>
      <c r="AZ1163" s="55"/>
    </row>
    <row r="1164" spans="2:52" x14ac:dyDescent="0.2">
      <c r="B1164" s="28" t="s">
        <v>84</v>
      </c>
      <c r="C1164" s="24">
        <f>'E2018'!$D$28*'E2018'!$AC$28%+'E2018'!$D$29*'E2018'!$AC$29%+'E2018'!$D$32*'E2018'!$AC$32%+'E2018'!$D$33*'E2018'!$AC$33%+'E2018'!$D$34*'E2018'!$AC$34%+'E2018'!$D$35*'E2018'!$AC$35%+'E2018'!$D$36*'E2018'!$AC$36%+'E2018'!$D$37*'E2018'!$AC$37%+'E2018'!$D$38*'E2018'!$AC$38%+'E2018'!$D$41*'E2018'!$AC$41%+'E2018'!$D$42*'E2018'!$AC$42%+'E2018'!$D$43*'E2018'!$AC$43%+'E2018'!$D$44*'E2018'!$AC$44%+'E2018'!$D$45*'E2018'!$AC$45%+'E2018'!$D$48*'E2018'!$AC$48%+'E2018'!$D$49*'E2018'!$AC$49%+'E2018'!$D$50*'E2018'!$AC$50%+'E2018'!$D$51*'E2018'!$AC$51%+'E2018'!$D$52*'E2018'!$AC$52%+'E2018'!$D$53*'E2018'!$AC$53%+'E2018'!$D$54*'E2018'!$AC$54%</f>
        <v>0</v>
      </c>
      <c r="D1164" s="24">
        <f>'E2020'!$D$28*'E2020'!$AC$28%+'E2020'!$D$29*'E2020'!$AC$29%+'E2020'!$D$32*'E2020'!$AC$32%+'E2020'!$D$33*'E2020'!$AC$33%+'E2020'!$D$34*'E2020'!$AC$34%+'E2020'!$D$35*'E2020'!$AC$35%+'E2020'!$D$36*'E2020'!$AC$36%+'E2020'!$D$37*'E2020'!$AC$37%+'E2020'!$D$38*'E2020'!$AC$38%+'E2020'!$D$41*'E2020'!$AC$41%+'E2020'!$D$42*'E2020'!$AC$42%+'E2020'!$D$43*'E2020'!$AC$43%+'E2020'!$D$44*'E2020'!$AC$44%+'E2020'!$D$45*'E2020'!$AC$45%+'E2020'!$D$48*'E2020'!$AC$48%+'E2020'!$D$49*'E2020'!$AC$49%+'E2020'!$D$50*'E2020'!$AC$50%+'E2020'!$D$51*'E2020'!$AC$51%+'E2020'!$D$52*'E2020'!$AC$52%+'E2020'!$D$53*'E2020'!$AC$53%+'E2020'!$D$54*'E2020'!$AC$54%</f>
        <v>0</v>
      </c>
      <c r="E1164" s="24"/>
      <c r="F1164" s="24"/>
      <c r="G1164" s="99"/>
      <c r="J1164" s="31"/>
      <c r="V1164" s="55"/>
      <c r="W1164" s="55"/>
      <c r="X1164" s="55"/>
      <c r="Y1164" s="55"/>
      <c r="Z1164" s="55"/>
      <c r="AA1164" s="55"/>
      <c r="AB1164" s="55"/>
      <c r="AC1164" s="55"/>
      <c r="AD1164" s="55"/>
      <c r="AE1164" s="55"/>
      <c r="AF1164" s="55"/>
      <c r="AG1164" s="55"/>
      <c r="AH1164" s="55"/>
      <c r="AI1164" s="55"/>
      <c r="AJ1164" s="55"/>
      <c r="AK1164" s="55"/>
      <c r="AL1164" s="55"/>
      <c r="AM1164" s="55"/>
      <c r="AN1164" s="55"/>
      <c r="AO1164" s="55"/>
      <c r="AP1164" s="55"/>
      <c r="AQ1164" s="55"/>
      <c r="AR1164" s="55"/>
      <c r="AS1164" s="55"/>
      <c r="AT1164" s="55"/>
      <c r="AU1164" s="55"/>
      <c r="AV1164" s="55"/>
      <c r="AW1164" s="55"/>
      <c r="AX1164" s="55"/>
      <c r="AY1164" s="55"/>
      <c r="AZ1164" s="55"/>
    </row>
    <row r="1165" spans="2:52" x14ac:dyDescent="0.2">
      <c r="B1165" s="28" t="s">
        <v>154</v>
      </c>
      <c r="C1165" s="24">
        <f>'E2018'!$I$28*'E2018'!$AC$28%+'E2018'!$I$29*'E2018'!$AC$29%+'E2018'!$I$32*'E2018'!$AC$32%+'E2018'!$I$33*'E2018'!$AC$33%+'E2018'!$I$34*'E2018'!$AC$34%+'E2018'!$I$35*'E2018'!$AC$35%+'E2018'!$I$36*'E2018'!$AC$36%+'E2018'!$I$37*'E2018'!$AC$37%+'E2018'!$I$38*'E2018'!$AC$38%+'E2018'!$I$41*'E2018'!$AC$41%+'E2018'!$I$42*'E2018'!$AC$42%+'E2018'!$I$43*'E2018'!$AC$43%+'E2018'!$I$44*'E2018'!$AC$44%+'E2018'!$I$45*'E2018'!$AC$45%+'E2018'!$I$48*'E2018'!$AC$48%+'E2018'!$I$49*'E2018'!$AC$49%+'E2018'!$I$50*'E2018'!$AC$50%+'E2018'!$I$51*'E2018'!$AC$51%+'E2018'!$I$52*'E2018'!$AC$52%+'E2018'!$I$53*'E2018'!$AC$53%+'E2018'!$I$54*'E2018'!$AC$54%</f>
        <v>0</v>
      </c>
      <c r="D1165" s="24">
        <f>'E2020'!$I$28*'E2020'!$AC$28%+'E2020'!$I$29*'E2020'!$AC$29%+'E2020'!$I$32*'E2020'!$AC$32%+'E2020'!$I$33*'E2020'!$AC$33%+'E2020'!$I$34*'E2020'!$AC$34%+'E2020'!$I$35*'E2020'!$AC$35%+'E2020'!$I$36*'E2020'!$AC$36%+'E2020'!$I$37*'E2020'!$AC$37%+'E2020'!$I$38*'E2020'!$AC$38%+'E2020'!$I$41*'E2020'!$AC$41%+'E2020'!$I$42*'E2020'!$AC$42%+'E2020'!$I$43*'E2020'!$AC$43%+'E2020'!$I$44*'E2020'!$AC$44%+'E2020'!$I$45*'E2020'!$AC$45%+'E2020'!$I$48*'E2020'!$AC$48%+'E2020'!$I$49*'E2020'!$AC$49%+'E2020'!$I$50*'E2020'!$AC$50%+'E2020'!$I$51*'E2020'!$AC$51%+'E2020'!$I$52*'E2020'!$AC$52%+'E2020'!$I$53*'E2020'!$AC$53%+'E2020'!$I$54*'E2020'!$AC$54%</f>
        <v>0</v>
      </c>
      <c r="E1165" s="24"/>
      <c r="F1165" s="24"/>
      <c r="G1165" s="99"/>
      <c r="J1165" s="31"/>
      <c r="V1165" s="55"/>
      <c r="W1165" s="55"/>
      <c r="X1165" s="55"/>
      <c r="Y1165" s="55"/>
      <c r="Z1165" s="55"/>
      <c r="AA1165" s="55"/>
      <c r="AB1165" s="55"/>
      <c r="AC1165" s="55"/>
      <c r="AD1165" s="55"/>
      <c r="AE1165" s="55"/>
      <c r="AF1165" s="55"/>
      <c r="AG1165" s="55"/>
      <c r="AH1165" s="55"/>
      <c r="AI1165" s="55"/>
      <c r="AJ1165" s="55"/>
      <c r="AK1165" s="55"/>
      <c r="AL1165" s="55"/>
      <c r="AM1165" s="55"/>
      <c r="AN1165" s="55"/>
      <c r="AO1165" s="55"/>
      <c r="AP1165" s="55"/>
      <c r="AQ1165" s="55"/>
      <c r="AR1165" s="55"/>
      <c r="AS1165" s="55"/>
      <c r="AT1165" s="55"/>
      <c r="AU1165" s="55"/>
      <c r="AV1165" s="55"/>
      <c r="AW1165" s="55"/>
      <c r="AX1165" s="55"/>
      <c r="AY1165" s="55"/>
      <c r="AZ1165" s="55"/>
    </row>
    <row r="1166" spans="2:52" x14ac:dyDescent="0.2">
      <c r="B1166" s="28" t="s">
        <v>88</v>
      </c>
      <c r="C1166" s="24">
        <f>'E2018'!$Z$28*'E2018'!$AC$28%+'E2018'!$Z$29*'E2018'!$AC$29%+'E2018'!$Z$32*'E2018'!$AC$32%+'E2018'!$Z$33*'E2018'!$AC$33%+'E2018'!$Z$34*'E2018'!$AC$34%+'E2018'!$Z$35*'E2018'!$AC$35%+'E2018'!$Z$36*'E2018'!$AC$36%+'E2018'!$Z$37*'E2018'!$AC$37%+'E2018'!$Z$38*'E2018'!$AC$38%+'E2018'!$Z$41*'E2018'!$AC$41%+'E2018'!$Z$42*'E2018'!$AC$42%+'E2018'!$Z$43*'E2018'!$AC$43%+'E2018'!$Z$44*'E2018'!$AC$44%+'E2018'!$Z$45*'E2018'!$AC$45%+'E2018'!$Z$48*'E2018'!$AC$48%+'E2018'!$Z$49*'E2018'!$AC$49%+'E2018'!$Z$50*'E2018'!$AC$50%+'E2018'!$Z$51*'E2018'!$AC$51%+'E2018'!$Z$52*'E2018'!$AC$52%+'E2018'!$Z$53*'E2018'!$AC$53%+'E2018'!$Z$54*'E2018'!$AC$54%</f>
        <v>0</v>
      </c>
      <c r="D1166" s="24">
        <f>'E2020'!$Z$28*'E2020'!$AC$28%+'E2020'!$Z$29*'E2020'!$AC$29%+'E2020'!$Z$32*'E2020'!$AC$32%+'E2020'!$Z$33*'E2020'!$AC$33%+'E2020'!$Z$34*'E2020'!$AC$34%+'E2020'!$Z$35*'E2020'!$AC$35%+'E2020'!$Z$36*'E2020'!$AC$36%+'E2020'!$Z$37*'E2020'!$AC$37%+'E2020'!$Z$38*'E2020'!$AC$38%+'E2020'!$Z$41*'E2020'!$AC$41%+'E2020'!$Z$42*'E2020'!$AC$42%+'E2020'!$Z$43*'E2020'!$AC$43%+'E2020'!$Z$44*'E2020'!$AC$44%+'E2020'!$Z$45*'E2020'!$AC$45%+'E2020'!$Z$48*'E2020'!$AC$48%+'E2020'!$Z$49*'E2020'!$AC$49%+'E2020'!$Z$50*'E2020'!$AC$50%+'E2020'!$Z$51*'E2020'!$AC$51%+'E2020'!$Z$52*'E2020'!$AC$52%+'E2020'!$Z$53*'E2020'!$AC$53%+'E2020'!$Z$54*'E2020'!$AC$54%</f>
        <v>0</v>
      </c>
      <c r="E1166" s="24"/>
      <c r="F1166" s="24"/>
      <c r="J1166" s="31"/>
      <c r="V1166" s="55"/>
      <c r="W1166" s="55"/>
      <c r="X1166" s="55"/>
      <c r="Y1166" s="55"/>
      <c r="Z1166" s="55"/>
      <c r="AA1166" s="55"/>
      <c r="AB1166" s="55"/>
      <c r="AC1166" s="55"/>
      <c r="AD1166" s="55"/>
      <c r="AE1166" s="55"/>
      <c r="AF1166" s="55"/>
      <c r="AG1166" s="55"/>
      <c r="AH1166" s="55"/>
      <c r="AI1166" s="55"/>
      <c r="AJ1166" s="55"/>
      <c r="AK1166" s="55"/>
      <c r="AL1166" s="55"/>
      <c r="AM1166" s="55"/>
      <c r="AN1166" s="55"/>
      <c r="AO1166" s="55"/>
      <c r="AP1166" s="55"/>
      <c r="AQ1166" s="55"/>
      <c r="AR1166" s="55"/>
      <c r="AS1166" s="55"/>
      <c r="AT1166" s="55"/>
      <c r="AU1166" s="55"/>
      <c r="AV1166" s="55"/>
      <c r="AW1166" s="55"/>
      <c r="AX1166" s="55"/>
      <c r="AY1166" s="55"/>
      <c r="AZ1166" s="55"/>
    </row>
    <row r="1167" spans="2:52" x14ac:dyDescent="0.2">
      <c r="B1167" s="28" t="s">
        <v>90</v>
      </c>
      <c r="C1167" s="24">
        <f>'E2018'!$X$28*'E2018'!$AC$28%+'E2018'!$X$29*'E2018'!$AC$29%+'E2018'!$X$32*'E2018'!$AC$32%+'E2018'!$X$33*'E2018'!$AC$33%+'E2018'!$X$34*'E2018'!$AC$34%+'E2018'!$X$35*'E2018'!$AC$35%+'E2018'!$X$36*'E2018'!$AC$36%+'E2018'!$X$37*'E2018'!$AC$37%+'E2018'!$X$38*'E2018'!$AC$38%+'E2018'!$X$41*'E2018'!$AC$41%+'E2018'!$X$42*'E2018'!$AC$42%+'E2018'!$X$43*'E2018'!$AC$43%+'E2018'!$X$44*'E2018'!$AC$44%+'E2018'!$X$45*'E2018'!$AC$45%+'E2018'!$X$48*'E2018'!$AC$48%+'E2018'!$X$49*'E2018'!$AC$49%+'E2018'!$X$50*'E2018'!$AC$50%+'E2018'!$X$51*'E2018'!$AC$51%+'E2018'!$X$52*'E2018'!$AC$52%+'E2018'!$X$53*'E2018'!$AC$53%+'E2018'!$X$54*'E2018'!$AC$54%</f>
        <v>0</v>
      </c>
      <c r="D1167" s="24">
        <f>'E2020'!$X$28*'E2020'!$AC$28%+'E2020'!$X$29*'E2020'!$AC$29%+'E2020'!$X$32*'E2020'!$AC$32%+'E2020'!$X$33*'E2020'!$AC$33%+'E2020'!$X$34*'E2020'!$AC$34%+'E2020'!$X$35*'E2020'!$AC$35%+'E2020'!$X$36*'E2020'!$AC$36%+'E2020'!$X$37*'E2020'!$AC$37%+'E2020'!$X$38*'E2020'!$AC$38%+'E2020'!$X$41*'E2020'!$AC$41%+'E2020'!$X$42*'E2020'!$AC$42%+'E2020'!$X$43*'E2020'!$AC$43%+'E2020'!$X$44*'E2020'!$AC$44%+'E2020'!$X$45*'E2020'!$AC$45%+'E2020'!$X$48*'E2020'!$AC$48%+'E2020'!$X$49*'E2020'!$AC$49%+'E2020'!$X$50*'E2020'!$AC$50%+'E2020'!$X$51*'E2020'!$AC$51%+'E2020'!$X$52*'E2020'!$AC$52%+'E2020'!$X$53*'E2020'!$AC$53%+'E2020'!$X$54*'E2020'!$AC$54%</f>
        <v>0</v>
      </c>
      <c r="E1167" s="24"/>
      <c r="F1167" s="24"/>
      <c r="J1167" s="31"/>
      <c r="V1167" s="55"/>
      <c r="W1167" s="55"/>
      <c r="X1167" s="55"/>
      <c r="Y1167" s="55"/>
      <c r="Z1167" s="55"/>
      <c r="AA1167" s="55"/>
      <c r="AB1167" s="55"/>
      <c r="AC1167" s="55"/>
      <c r="AD1167" s="55"/>
      <c r="AE1167" s="55"/>
      <c r="AF1167" s="55"/>
      <c r="AG1167" s="55"/>
      <c r="AH1167" s="55"/>
      <c r="AI1167" s="55"/>
      <c r="AJ1167" s="55"/>
      <c r="AK1167" s="55"/>
      <c r="AL1167" s="55"/>
      <c r="AM1167" s="55"/>
      <c r="AN1167" s="55"/>
      <c r="AO1167" s="55"/>
      <c r="AP1167" s="55"/>
      <c r="AQ1167" s="55"/>
      <c r="AR1167" s="55"/>
      <c r="AS1167" s="55"/>
      <c r="AT1167" s="55"/>
      <c r="AU1167" s="55"/>
      <c r="AV1167" s="55"/>
      <c r="AW1167" s="55"/>
      <c r="AX1167" s="55"/>
      <c r="AY1167" s="55"/>
      <c r="AZ1167" s="55"/>
    </row>
    <row r="1168" spans="2:52" x14ac:dyDescent="0.2">
      <c r="B1168" s="28" t="s">
        <v>217</v>
      </c>
      <c r="C1168" s="24">
        <f>SUM('E2018'!$R$28:'E2018'!$W$28,'E2018'!$Y$28)*'E2018'!$AC$28%+SUM('E2018'!$R$29:'E2018'!$W$29,'E2018'!$Y$29)*'E2018'!$AC$29%+SUM('E2018'!$R$30:'E2018'!$W$30,'E2018'!$Y$30)*'E2018'!$AC$30%+SUM('E2018'!$R$33:'E2018'!$W$33,'E2018'!$Y$33)*'E2018'!$AC$33%+SUM('E2018'!$R$34:'E2018'!$W$34,'E2018'!$Y$34)*'E2018'!$AC$34%+SUM('E2018'!$R$35:'E2018'!$W$35,'E2018'!$Y$35)*'E2018'!$AC$35%+SUM('E2018'!$R$36:'E2018'!$W$36,'E2018'!$Y$36)*'E2018'!$AC$36%+SUM('E2018'!$R$37:'E2018'!$W$37,'E2018'!$Y$37)*'E2018'!$AC$37%+SUM('E2018'!$R$38:'E2018'!$W$38,'E2018'!$Y$38)*'E2018'!$AC$38%+SUM('E2018'!$R$41:'E2018'!$W$41,'E2018'!$Y$41)*'E2018'!$AC$41%+SUM('E2018'!$R$42:'E2018'!$W$42,'E2018'!$Y$42)*'E2018'!$AC$42%+SUM('E2018'!$R$43:'E2018'!$W$43,'E2018'!$Y$43)*'E2018'!$AC$43%+SUM('E2018'!$R$44:'E2018'!$W$44,'E2018'!$Y$44)*'E2018'!$AC$44%+SUM('E2018'!$R$45:'E2018'!$W$45,'E2018'!$Y$45)*'E2018'!$AC$45%+SUM('E2018'!$R$48:'E2018'!$W$48,'E2018'!$Y$48)*'E2018'!$AC$48%+SUM('E2018'!$R$49:'E2018'!$W$49,'E2018'!$Y$49)*'E2018'!$AC$49%+SUM('E2018'!$R$50:'E2018'!$W$50,'E2018'!$Y$50)*'E2018'!$AC$50%+SUM('E2018'!$R$51:'E2018'!$W$51,'E2018'!$Y$51)*'E2018'!$AC$51%+SUM('E2018'!$R$52:'E2018'!$W$52,'E2018'!$Y$52)*'E2018'!$AC$52%+SUM('E2018'!$R$53:'E2018'!$W$53,'E2018'!$Y$53)*'E2018'!$AC$53%+SUM('E2018'!$R$54:'E2018'!$W$54,'E2018'!$Y$54)*'E2018'!$AC$54%</f>
        <v>0</v>
      </c>
      <c r="D1168" s="24">
        <f>SUM('E2020'!$R$28:'E2020'!$W$28,'E2020'!$Y$28)*'E2020'!$AC$28%+SUM('E2020'!$R$29:'E2020'!$W$29,'E2020'!$Y$29)*'E2020'!$AC$29%+SUM('E2020'!$R$30:'E2020'!$W$30,'E2020'!$Y$30)*'E2020'!$AC$30%+SUM('E2020'!$R$33:'E2020'!$W$33,'E2020'!$Y$33)*'E2020'!$AC$33%+SUM('E2020'!$R$34:'E2020'!$W$34,'E2020'!$Y$34)*'E2020'!$AC$34%+SUM('E2020'!$R$35:'E2020'!$W$35,'E2020'!$Y$35)*'E2020'!$AC$35%+SUM('E2020'!$R$36:'E2020'!$W$36,'E2020'!$Y$36)*'E2020'!$AC$36%+SUM('E2020'!$R$37:'E2020'!$W$37,'E2020'!$Y$37)*'E2020'!$AC$37%+SUM('E2020'!$R$38:'E2020'!$W$38,'E2020'!$Y$38)*'E2020'!$AC$38%+SUM('E2020'!$R$41:'E2020'!$W$41,'E2020'!$Y$41)*'E2020'!$AC$41%+SUM('E2020'!$R$42:'E2020'!$W$42,'E2020'!$Y$42)*'E2020'!$AC$42%+SUM('E2020'!$R$43:'E2020'!$W$43,'E2020'!$Y$43)*'E2020'!$AC$43%+SUM('E2020'!$R$44:'E2020'!$W$44,'E2020'!$Y$44)*'E2020'!$AC$44%+SUM('E2020'!$R$45:'E2020'!$W$45,'E2020'!$Y$45)*'E2020'!$AC$45%+SUM('E2020'!$R$48:'E2020'!$W$48,'E2020'!$Y$48)*'E2020'!$AC$48%+SUM('E2020'!$R$49:'E2020'!$W$49,'E2020'!$Y$49)*'E2020'!$AC$49%+SUM('E2020'!$R$50:'E2020'!$W$50,'E2020'!$Y$50)*'E2020'!$AC$50%+SUM('E2020'!$R$51:'E2020'!$W$51,'E2020'!$Y$51)*'E2020'!$AC$51%+SUM('E2020'!$R$52:'E2020'!$W$52,'E2020'!$Y$52)*'E2020'!$AC$52%+SUM('E2020'!$R$53:'E2020'!$W$53,'E2020'!$Y$53)*'E2020'!$AC$53%+SUM('E2020'!$R$54:'E2020'!$W$54,'E2020'!$Y$54)*'E2020'!$AC$54%</f>
        <v>0</v>
      </c>
      <c r="E1168" s="24"/>
      <c r="F1168" s="24"/>
      <c r="J1168" s="31"/>
      <c r="V1168" s="55"/>
      <c r="W1168" s="55"/>
      <c r="X1168" s="55"/>
      <c r="Y1168" s="55"/>
      <c r="Z1168" s="55"/>
      <c r="AA1168" s="55"/>
      <c r="AB1168" s="55"/>
      <c r="AC1168" s="55"/>
      <c r="AD1168" s="55"/>
      <c r="AE1168" s="55"/>
      <c r="AF1168" s="55"/>
      <c r="AG1168" s="55"/>
      <c r="AH1168" s="55"/>
      <c r="AI1168" s="55"/>
      <c r="AJ1168" s="55"/>
      <c r="AK1168" s="55"/>
      <c r="AL1168" s="55"/>
      <c r="AM1168" s="55"/>
      <c r="AN1168" s="55"/>
      <c r="AO1168" s="55"/>
      <c r="AP1168" s="55"/>
      <c r="AQ1168" s="55"/>
      <c r="AR1168" s="55"/>
      <c r="AS1168" s="55"/>
      <c r="AT1168" s="55"/>
      <c r="AU1168" s="55"/>
      <c r="AV1168" s="55"/>
      <c r="AW1168" s="55"/>
      <c r="AX1168" s="55"/>
      <c r="AY1168" s="55"/>
      <c r="AZ1168" s="55"/>
    </row>
    <row r="1169" spans="2:52" x14ac:dyDescent="0.2">
      <c r="B1169" s="28" t="s">
        <v>92</v>
      </c>
      <c r="C1169" s="24">
        <f>SUM('E2018'!$M$24:$M$25)</f>
        <v>0.5</v>
      </c>
      <c r="D1169" s="24">
        <f>SUM('E2020'!$M$24:$M$25)</f>
        <v>0.78</v>
      </c>
      <c r="E1169" s="24"/>
      <c r="F1169" s="24"/>
      <c r="J1169" s="31"/>
      <c r="V1169" s="55"/>
      <c r="W1169" s="55"/>
      <c r="X1169" s="55"/>
      <c r="Y1169" s="55"/>
      <c r="Z1169" s="55"/>
      <c r="AA1169" s="55"/>
      <c r="AB1169" s="55"/>
      <c r="AC1169" s="55"/>
      <c r="AD1169" s="55"/>
      <c r="AE1169" s="55"/>
      <c r="AF1169" s="55"/>
      <c r="AG1169" s="55"/>
      <c r="AH1169" s="55"/>
      <c r="AI1169" s="55"/>
      <c r="AJ1169" s="55"/>
      <c r="AK1169" s="55"/>
      <c r="AL1169" s="55"/>
      <c r="AM1169" s="55"/>
      <c r="AN1169" s="55"/>
      <c r="AO1169" s="55"/>
      <c r="AP1169" s="55"/>
      <c r="AQ1169" s="55"/>
      <c r="AR1169" s="55"/>
      <c r="AS1169" s="55"/>
      <c r="AT1169" s="55"/>
      <c r="AU1169" s="55"/>
      <c r="AV1169" s="55"/>
      <c r="AW1169" s="55"/>
      <c r="AX1169" s="55"/>
      <c r="AY1169" s="55"/>
      <c r="AZ1169" s="55"/>
    </row>
    <row r="1170" spans="2:52" x14ac:dyDescent="0.2">
      <c r="B1170" s="28" t="s">
        <v>94</v>
      </c>
      <c r="C1170" s="24">
        <f>'E2018'!$O$23*'E2018'!$AC$23%</f>
        <v>18.14</v>
      </c>
      <c r="D1170" s="24">
        <f>'E2020'!$O$23*'E2020'!$AC$23%</f>
        <v>26.16</v>
      </c>
      <c r="E1170" s="24"/>
      <c r="F1170" s="24"/>
      <c r="J1170" s="31"/>
      <c r="V1170" s="55"/>
      <c r="W1170" s="55"/>
      <c r="X1170" s="55"/>
      <c r="Y1170" s="55"/>
      <c r="Z1170" s="55"/>
      <c r="AA1170" s="55"/>
      <c r="AB1170" s="55"/>
      <c r="AC1170" s="55"/>
      <c r="AD1170" s="55"/>
      <c r="AE1170" s="55"/>
      <c r="AF1170" s="55"/>
      <c r="AG1170" s="55"/>
      <c r="AH1170" s="55"/>
      <c r="AI1170" s="55"/>
      <c r="AJ1170" s="55"/>
      <c r="AK1170" s="55"/>
      <c r="AL1170" s="55"/>
      <c r="AM1170" s="55"/>
      <c r="AN1170" s="55"/>
      <c r="AO1170" s="55"/>
      <c r="AP1170" s="55"/>
      <c r="AQ1170" s="55"/>
      <c r="AR1170" s="55"/>
      <c r="AS1170" s="55"/>
      <c r="AT1170" s="55"/>
      <c r="AU1170" s="55"/>
      <c r="AV1170" s="55"/>
      <c r="AW1170" s="55"/>
      <c r="AX1170" s="55"/>
      <c r="AY1170" s="55"/>
      <c r="AZ1170" s="55"/>
    </row>
    <row r="1171" spans="2:52" x14ac:dyDescent="0.2">
      <c r="B1171" s="28" t="s">
        <v>155</v>
      </c>
      <c r="C1171" s="24">
        <f>'E2018'!$N$26*'E2018'!$AC$26%</f>
        <v>0</v>
      </c>
      <c r="D1171" s="24">
        <f>'E2020'!$N$26*'E2020'!$AC$26%</f>
        <v>0</v>
      </c>
      <c r="E1171" s="24"/>
      <c r="F1171" s="24"/>
      <c r="J1171" s="31"/>
      <c r="V1171" s="55"/>
      <c r="W1171" s="55"/>
      <c r="X1171" s="55"/>
      <c r="Y1171" s="55"/>
      <c r="Z1171" s="55"/>
      <c r="AA1171" s="55"/>
      <c r="AB1171" s="55"/>
      <c r="AC1171" s="55"/>
      <c r="AD1171" s="55"/>
      <c r="AE1171" s="55"/>
      <c r="AF1171" s="55"/>
      <c r="AG1171" s="55"/>
      <c r="AH1171" s="55"/>
      <c r="AI1171" s="55"/>
      <c r="AJ1171" s="55"/>
      <c r="AK1171" s="55"/>
      <c r="AL1171" s="55"/>
      <c r="AM1171" s="55"/>
      <c r="AN1171" s="55"/>
      <c r="AO1171" s="55"/>
      <c r="AP1171" s="55"/>
      <c r="AQ1171" s="55"/>
      <c r="AR1171" s="55"/>
      <c r="AS1171" s="55"/>
      <c r="AT1171" s="55"/>
      <c r="AU1171" s="55"/>
      <c r="AV1171" s="55"/>
      <c r="AW1171" s="55"/>
      <c r="AX1171" s="55"/>
      <c r="AY1171" s="55"/>
      <c r="AZ1171" s="55"/>
    </row>
    <row r="1172" spans="2:52" x14ac:dyDescent="0.2">
      <c r="B1172" s="28" t="s">
        <v>10</v>
      </c>
      <c r="C1172" s="24">
        <f>'E2018'!$AG$12</f>
        <v>36.624084278714058</v>
      </c>
      <c r="D1172" s="24">
        <f>'E2020'!$AG$12</f>
        <v>28.262897773245289</v>
      </c>
      <c r="E1172" s="24"/>
      <c r="F1172" s="24"/>
      <c r="J1172" s="31"/>
      <c r="V1172" s="55"/>
      <c r="W1172" s="55"/>
      <c r="X1172" s="55"/>
      <c r="Y1172" s="55"/>
      <c r="Z1172" s="55"/>
      <c r="AA1172" s="55"/>
      <c r="AB1172" s="55"/>
      <c r="AC1172" s="55"/>
      <c r="AD1172" s="55"/>
      <c r="AE1172" s="55"/>
      <c r="AF1172" s="55"/>
      <c r="AG1172" s="55"/>
      <c r="AH1172" s="55"/>
      <c r="AI1172" s="55"/>
      <c r="AJ1172" s="55"/>
      <c r="AK1172" s="55"/>
      <c r="AL1172" s="55"/>
      <c r="AM1172" s="55"/>
      <c r="AN1172" s="55"/>
      <c r="AO1172" s="55"/>
      <c r="AP1172" s="55"/>
      <c r="AQ1172" s="55"/>
      <c r="AR1172" s="55"/>
      <c r="AS1172" s="55"/>
      <c r="AT1172" s="55"/>
      <c r="AU1172" s="55"/>
      <c r="AV1172" s="55"/>
      <c r="AW1172" s="55"/>
      <c r="AX1172" s="55"/>
      <c r="AY1172" s="55"/>
      <c r="AZ1172" s="55"/>
    </row>
    <row r="1173" spans="2:52" x14ac:dyDescent="0.2">
      <c r="B1173" s="70" t="s">
        <v>97</v>
      </c>
      <c r="C1173" s="71">
        <f>SUM(C1158:C1172)</f>
        <v>55.762084278714056</v>
      </c>
      <c r="D1173" s="71">
        <f>SUM(D1158:D1172)</f>
        <v>55.989765613245289</v>
      </c>
      <c r="E1173" s="71">
        <f>SUM(E1158:E1172)</f>
        <v>55.264084278714058</v>
      </c>
      <c r="F1173" s="71">
        <f>SUM(F1158:F1172)</f>
        <v>55.20289777324529</v>
      </c>
      <c r="J1173" s="31"/>
      <c r="V1173" s="55"/>
      <c r="W1173" s="55"/>
      <c r="X1173" s="55"/>
      <c r="Y1173" s="55"/>
      <c r="Z1173" s="55"/>
      <c r="AA1173" s="55"/>
      <c r="AB1173" s="55"/>
      <c r="AC1173" s="55"/>
      <c r="AD1173" s="55"/>
      <c r="AE1173" s="55"/>
      <c r="AF1173" s="55"/>
      <c r="AG1173" s="55"/>
      <c r="AH1173" s="55"/>
      <c r="AI1173" s="55"/>
      <c r="AJ1173" s="55"/>
      <c r="AK1173" s="55"/>
      <c r="AL1173" s="55"/>
      <c r="AM1173" s="55"/>
      <c r="AN1173" s="55"/>
      <c r="AO1173" s="55"/>
      <c r="AP1173" s="55"/>
      <c r="AQ1173" s="55"/>
      <c r="AR1173" s="55"/>
      <c r="AS1173" s="55"/>
      <c r="AT1173" s="55"/>
      <c r="AU1173" s="55"/>
      <c r="AV1173" s="55"/>
      <c r="AW1173" s="55"/>
      <c r="AX1173" s="55"/>
      <c r="AY1173" s="55"/>
      <c r="AZ1173" s="55"/>
    </row>
    <row r="1174" spans="2:52" x14ac:dyDescent="0.2">
      <c r="B1174" s="59"/>
      <c r="C1174" s="68"/>
      <c r="D1174" s="68"/>
      <c r="J1174" s="31"/>
      <c r="V1174" s="55"/>
      <c r="W1174" s="55"/>
      <c r="X1174" s="55"/>
      <c r="Y1174" s="55"/>
      <c r="Z1174" s="55"/>
      <c r="AA1174" s="55"/>
      <c r="AB1174" s="55"/>
      <c r="AC1174" s="55"/>
      <c r="AD1174" s="55"/>
      <c r="AE1174" s="55"/>
      <c r="AF1174" s="55"/>
      <c r="AG1174" s="55"/>
      <c r="AH1174" s="55"/>
      <c r="AI1174" s="55"/>
      <c r="AJ1174" s="55"/>
      <c r="AK1174" s="55"/>
      <c r="AL1174" s="55"/>
      <c r="AM1174" s="55"/>
      <c r="AN1174" s="55"/>
      <c r="AO1174" s="55"/>
      <c r="AP1174" s="55"/>
      <c r="AQ1174" s="55"/>
      <c r="AR1174" s="55"/>
      <c r="AS1174" s="55"/>
      <c r="AT1174" s="55"/>
      <c r="AU1174" s="55"/>
      <c r="AV1174" s="55"/>
      <c r="AW1174" s="55"/>
      <c r="AX1174" s="55"/>
      <c r="AY1174" s="55"/>
      <c r="AZ1174" s="55"/>
    </row>
    <row r="1175" spans="2:52" x14ac:dyDescent="0.2">
      <c r="B1175" s="59"/>
      <c r="C1175" s="68"/>
      <c r="D1175" s="68"/>
      <c r="J1175" s="31"/>
      <c r="V1175" s="55"/>
      <c r="W1175" s="55"/>
      <c r="X1175" s="55"/>
      <c r="Y1175" s="55"/>
      <c r="Z1175" s="55"/>
      <c r="AA1175" s="55"/>
      <c r="AB1175" s="55"/>
      <c r="AC1175" s="55"/>
      <c r="AD1175" s="55"/>
      <c r="AE1175" s="55"/>
      <c r="AF1175" s="55"/>
      <c r="AG1175" s="55"/>
      <c r="AH1175" s="55"/>
      <c r="AI1175" s="55"/>
      <c r="AJ1175" s="55"/>
      <c r="AK1175" s="55"/>
      <c r="AL1175" s="55"/>
      <c r="AM1175" s="55"/>
      <c r="AN1175" s="55"/>
      <c r="AO1175" s="55"/>
      <c r="AP1175" s="55"/>
      <c r="AQ1175" s="55"/>
      <c r="AR1175" s="55"/>
      <c r="AS1175" s="55"/>
      <c r="AT1175" s="55"/>
      <c r="AU1175" s="55"/>
      <c r="AV1175" s="55"/>
      <c r="AW1175" s="55"/>
      <c r="AX1175" s="55"/>
      <c r="AY1175" s="55"/>
      <c r="AZ1175" s="55"/>
    </row>
    <row r="1176" spans="2:52" x14ac:dyDescent="0.2">
      <c r="B1176" s="59"/>
      <c r="C1176" s="68"/>
      <c r="D1176" s="68"/>
      <c r="J1176" s="31"/>
      <c r="V1176" s="55"/>
      <c r="W1176" s="55"/>
      <c r="X1176" s="55"/>
      <c r="Y1176" s="55"/>
      <c r="Z1176" s="55"/>
      <c r="AA1176" s="55"/>
      <c r="AB1176" s="55"/>
      <c r="AC1176" s="55"/>
      <c r="AD1176" s="55"/>
      <c r="AE1176" s="55"/>
      <c r="AF1176" s="55"/>
      <c r="AG1176" s="55"/>
      <c r="AH1176" s="55"/>
      <c r="AI1176" s="55"/>
      <c r="AJ1176" s="55"/>
      <c r="AK1176" s="55"/>
      <c r="AL1176" s="55"/>
      <c r="AM1176" s="55"/>
      <c r="AN1176" s="55"/>
      <c r="AO1176" s="55"/>
      <c r="AP1176" s="55"/>
      <c r="AQ1176" s="55"/>
      <c r="AR1176" s="55"/>
      <c r="AS1176" s="55"/>
      <c r="AT1176" s="55"/>
      <c r="AU1176" s="55"/>
      <c r="AV1176" s="55"/>
      <c r="AW1176" s="55"/>
      <c r="AX1176" s="55"/>
      <c r="AY1176" s="55"/>
      <c r="AZ1176" s="55"/>
    </row>
    <row r="1177" spans="2:52" x14ac:dyDescent="0.2">
      <c r="B1177" s="59"/>
      <c r="C1177" s="68"/>
      <c r="D1177" s="68"/>
      <c r="J1177" s="31"/>
      <c r="V1177" s="55"/>
      <c r="W1177" s="55"/>
      <c r="X1177" s="55"/>
      <c r="Y1177" s="55"/>
      <c r="Z1177" s="55"/>
      <c r="AA1177" s="55"/>
      <c r="AB1177" s="55"/>
      <c r="AC1177" s="55"/>
      <c r="AD1177" s="55"/>
      <c r="AE1177" s="55"/>
      <c r="AF1177" s="55"/>
      <c r="AG1177" s="55"/>
      <c r="AH1177" s="55"/>
      <c r="AI1177" s="55"/>
      <c r="AJ1177" s="55"/>
      <c r="AK1177" s="55"/>
      <c r="AL1177" s="55"/>
      <c r="AM1177" s="55"/>
      <c r="AN1177" s="55"/>
      <c r="AO1177" s="55"/>
      <c r="AP1177" s="55"/>
      <c r="AQ1177" s="55"/>
      <c r="AR1177" s="55"/>
      <c r="AS1177" s="55"/>
      <c r="AT1177" s="55"/>
      <c r="AU1177" s="55"/>
      <c r="AV1177" s="55"/>
      <c r="AW1177" s="55"/>
      <c r="AX1177" s="55"/>
      <c r="AY1177" s="55"/>
      <c r="AZ1177" s="55"/>
    </row>
    <row r="1178" spans="2:52" x14ac:dyDescent="0.2">
      <c r="B1178" s="59"/>
      <c r="C1178" s="68"/>
      <c r="D1178" s="68"/>
      <c r="J1178" s="31"/>
      <c r="V1178" s="55"/>
      <c r="W1178" s="55"/>
      <c r="X1178" s="55"/>
      <c r="Y1178" s="55"/>
      <c r="Z1178" s="55"/>
      <c r="AA1178" s="55"/>
      <c r="AB1178" s="55"/>
      <c r="AC1178" s="55"/>
      <c r="AD1178" s="55"/>
      <c r="AE1178" s="55"/>
      <c r="AF1178" s="55"/>
      <c r="AG1178" s="55"/>
      <c r="AH1178" s="55"/>
      <c r="AI1178" s="55"/>
      <c r="AJ1178" s="55"/>
      <c r="AK1178" s="55"/>
      <c r="AL1178" s="55"/>
      <c r="AM1178" s="55"/>
      <c r="AN1178" s="55"/>
      <c r="AO1178" s="55"/>
      <c r="AP1178" s="55"/>
      <c r="AQ1178" s="55"/>
      <c r="AR1178" s="55"/>
      <c r="AS1178" s="55"/>
      <c r="AT1178" s="55"/>
      <c r="AU1178" s="55"/>
      <c r="AV1178" s="55"/>
      <c r="AW1178" s="55"/>
      <c r="AX1178" s="55"/>
      <c r="AY1178" s="55"/>
      <c r="AZ1178" s="55"/>
    </row>
    <row r="1179" spans="2:52" x14ac:dyDescent="0.2">
      <c r="B1179" s="59"/>
      <c r="C1179" s="68"/>
      <c r="D1179" s="68"/>
      <c r="J1179" s="31"/>
      <c r="V1179" s="55"/>
      <c r="W1179" s="55"/>
      <c r="X1179" s="55"/>
      <c r="Y1179" s="55"/>
      <c r="Z1179" s="55"/>
      <c r="AA1179" s="55"/>
      <c r="AB1179" s="55"/>
      <c r="AC1179" s="55"/>
      <c r="AD1179" s="55"/>
      <c r="AE1179" s="55"/>
      <c r="AF1179" s="55"/>
      <c r="AG1179" s="55"/>
      <c r="AH1179" s="55"/>
      <c r="AI1179" s="55"/>
      <c r="AJ1179" s="55"/>
      <c r="AK1179" s="55"/>
      <c r="AL1179" s="55"/>
      <c r="AM1179" s="55"/>
      <c r="AN1179" s="55"/>
      <c r="AO1179" s="55"/>
      <c r="AP1179" s="55"/>
      <c r="AQ1179" s="55"/>
      <c r="AR1179" s="55"/>
      <c r="AS1179" s="55"/>
      <c r="AT1179" s="55"/>
      <c r="AU1179" s="55"/>
      <c r="AV1179" s="55"/>
      <c r="AW1179" s="55"/>
      <c r="AX1179" s="55"/>
      <c r="AY1179" s="55"/>
      <c r="AZ1179" s="55"/>
    </row>
    <row r="1180" spans="2:52" x14ac:dyDescent="0.2">
      <c r="B1180" s="59"/>
      <c r="C1180" s="68"/>
      <c r="D1180" s="68"/>
      <c r="J1180" s="31"/>
      <c r="V1180" s="55"/>
      <c r="W1180" s="55"/>
      <c r="X1180" s="55"/>
      <c r="Y1180" s="55"/>
      <c r="Z1180" s="55"/>
      <c r="AA1180" s="55"/>
      <c r="AB1180" s="55"/>
      <c r="AC1180" s="55"/>
      <c r="AD1180" s="55"/>
      <c r="AE1180" s="55"/>
      <c r="AF1180" s="55"/>
      <c r="AG1180" s="55"/>
      <c r="AH1180" s="55"/>
      <c r="AI1180" s="55"/>
      <c r="AJ1180" s="55"/>
      <c r="AK1180" s="55"/>
      <c r="AL1180" s="55"/>
      <c r="AM1180" s="55"/>
      <c r="AN1180" s="55"/>
      <c r="AO1180" s="55"/>
      <c r="AP1180" s="55"/>
      <c r="AQ1180" s="55"/>
      <c r="AR1180" s="55"/>
      <c r="AS1180" s="55"/>
      <c r="AT1180" s="55"/>
      <c r="AU1180" s="55"/>
      <c r="AV1180" s="55"/>
      <c r="AW1180" s="55"/>
      <c r="AX1180" s="55"/>
      <c r="AY1180" s="55"/>
      <c r="AZ1180" s="55"/>
    </row>
    <row r="1181" spans="2:52" x14ac:dyDescent="0.2">
      <c r="B1181" s="59"/>
      <c r="C1181" s="68"/>
      <c r="D1181" s="68"/>
      <c r="J1181" s="31"/>
      <c r="V1181" s="55"/>
      <c r="W1181" s="55"/>
      <c r="X1181" s="55"/>
      <c r="Y1181" s="55"/>
      <c r="Z1181" s="55"/>
      <c r="AA1181" s="55"/>
      <c r="AB1181" s="55"/>
      <c r="AC1181" s="55"/>
      <c r="AD1181" s="55"/>
      <c r="AE1181" s="55"/>
      <c r="AF1181" s="55"/>
      <c r="AG1181" s="55"/>
      <c r="AH1181" s="55"/>
      <c r="AI1181" s="55"/>
      <c r="AJ1181" s="55"/>
      <c r="AK1181" s="55"/>
      <c r="AL1181" s="55"/>
      <c r="AM1181" s="55"/>
      <c r="AN1181" s="55"/>
      <c r="AO1181" s="55"/>
      <c r="AP1181" s="55"/>
      <c r="AQ1181" s="55"/>
      <c r="AR1181" s="55"/>
      <c r="AS1181" s="55"/>
      <c r="AT1181" s="55"/>
      <c r="AU1181" s="55"/>
      <c r="AV1181" s="55"/>
      <c r="AW1181" s="55"/>
      <c r="AX1181" s="55"/>
      <c r="AY1181" s="55"/>
      <c r="AZ1181" s="55"/>
    </row>
    <row r="1182" spans="2:52" x14ac:dyDescent="0.2">
      <c r="B1182" s="59"/>
      <c r="C1182" s="68"/>
      <c r="D1182" s="68"/>
      <c r="J1182" s="31"/>
      <c r="V1182" s="55"/>
      <c r="W1182" s="55"/>
      <c r="X1182" s="55"/>
      <c r="Y1182" s="55"/>
      <c r="Z1182" s="55"/>
      <c r="AA1182" s="55"/>
      <c r="AB1182" s="55"/>
      <c r="AC1182" s="55"/>
      <c r="AD1182" s="55"/>
      <c r="AE1182" s="55"/>
      <c r="AF1182" s="55"/>
      <c r="AG1182" s="55"/>
      <c r="AH1182" s="55"/>
      <c r="AI1182" s="55"/>
      <c r="AJ1182" s="55"/>
      <c r="AK1182" s="55"/>
      <c r="AL1182" s="55"/>
      <c r="AM1182" s="55"/>
      <c r="AN1182" s="55"/>
      <c r="AO1182" s="55"/>
      <c r="AP1182" s="55"/>
      <c r="AQ1182" s="55"/>
      <c r="AR1182" s="55"/>
      <c r="AS1182" s="55"/>
      <c r="AT1182" s="55"/>
      <c r="AU1182" s="55"/>
      <c r="AV1182" s="55"/>
      <c r="AW1182" s="55"/>
      <c r="AX1182" s="55"/>
      <c r="AY1182" s="55"/>
      <c r="AZ1182" s="55"/>
    </row>
    <row r="1183" spans="2:52" x14ac:dyDescent="0.2">
      <c r="B1183" s="59"/>
      <c r="C1183" s="68"/>
      <c r="D1183" s="68"/>
      <c r="J1183" s="31"/>
      <c r="V1183" s="55"/>
      <c r="W1183" s="55"/>
      <c r="X1183" s="55"/>
      <c r="Y1183" s="55"/>
      <c r="Z1183" s="55"/>
      <c r="AA1183" s="55"/>
      <c r="AB1183" s="55"/>
      <c r="AC1183" s="55"/>
      <c r="AD1183" s="55"/>
      <c r="AE1183" s="55"/>
      <c r="AF1183" s="55"/>
      <c r="AG1183" s="55"/>
      <c r="AH1183" s="55"/>
      <c r="AI1183" s="55"/>
      <c r="AJ1183" s="55"/>
      <c r="AK1183" s="55"/>
      <c r="AL1183" s="55"/>
      <c r="AM1183" s="55"/>
      <c r="AN1183" s="55"/>
      <c r="AO1183" s="55"/>
      <c r="AP1183" s="55"/>
      <c r="AQ1183" s="55"/>
      <c r="AR1183" s="55"/>
      <c r="AS1183" s="55"/>
      <c r="AT1183" s="55"/>
      <c r="AU1183" s="55"/>
      <c r="AV1183" s="55"/>
      <c r="AW1183" s="55"/>
      <c r="AX1183" s="55"/>
      <c r="AY1183" s="55"/>
      <c r="AZ1183" s="55"/>
    </row>
    <row r="1184" spans="2:52" x14ac:dyDescent="0.2">
      <c r="B1184" s="59"/>
      <c r="C1184" s="68"/>
      <c r="D1184" s="68"/>
      <c r="J1184" s="31"/>
      <c r="V1184" s="55"/>
      <c r="W1184" s="55"/>
      <c r="X1184" s="55"/>
      <c r="Y1184" s="55"/>
      <c r="Z1184" s="55"/>
      <c r="AA1184" s="55"/>
      <c r="AB1184" s="55"/>
      <c r="AC1184" s="55"/>
      <c r="AD1184" s="55"/>
      <c r="AE1184" s="55"/>
      <c r="AF1184" s="55"/>
      <c r="AG1184" s="55"/>
      <c r="AH1184" s="55"/>
      <c r="AI1184" s="55"/>
      <c r="AJ1184" s="55"/>
      <c r="AK1184" s="55"/>
      <c r="AL1184" s="55"/>
      <c r="AM1184" s="55"/>
      <c r="AN1184" s="55"/>
      <c r="AO1184" s="55"/>
      <c r="AP1184" s="55"/>
      <c r="AQ1184" s="55"/>
      <c r="AR1184" s="55"/>
      <c r="AS1184" s="55"/>
      <c r="AT1184" s="55"/>
      <c r="AU1184" s="55"/>
      <c r="AV1184" s="55"/>
      <c r="AW1184" s="55"/>
      <c r="AX1184" s="55"/>
      <c r="AY1184" s="55"/>
      <c r="AZ1184" s="55"/>
    </row>
    <row r="1185" spans="2:52" x14ac:dyDescent="0.2">
      <c r="B1185" s="59"/>
      <c r="C1185" s="68"/>
      <c r="D1185" s="68"/>
      <c r="J1185" s="31"/>
      <c r="V1185" s="55"/>
      <c r="W1185" s="55"/>
      <c r="X1185" s="55"/>
      <c r="Y1185" s="55"/>
      <c r="Z1185" s="55"/>
      <c r="AA1185" s="55"/>
      <c r="AB1185" s="55"/>
      <c r="AC1185" s="55"/>
      <c r="AD1185" s="55"/>
      <c r="AE1185" s="55"/>
      <c r="AF1185" s="55"/>
      <c r="AG1185" s="55"/>
      <c r="AH1185" s="55"/>
      <c r="AI1185" s="55"/>
      <c r="AJ1185" s="55"/>
      <c r="AK1185" s="55"/>
      <c r="AL1185" s="55"/>
      <c r="AM1185" s="55"/>
      <c r="AN1185" s="55"/>
      <c r="AO1185" s="55"/>
      <c r="AP1185" s="55"/>
      <c r="AQ1185" s="55"/>
      <c r="AR1185" s="55"/>
      <c r="AS1185" s="55"/>
      <c r="AT1185" s="55"/>
      <c r="AU1185" s="55"/>
      <c r="AV1185" s="55"/>
      <c r="AW1185" s="55"/>
      <c r="AX1185" s="55"/>
      <c r="AY1185" s="55"/>
      <c r="AZ1185" s="55"/>
    </row>
    <row r="1186" spans="2:52" x14ac:dyDescent="0.2">
      <c r="B1186" s="59"/>
      <c r="C1186" s="68"/>
      <c r="D1186" s="68"/>
      <c r="J1186" s="31"/>
      <c r="V1186" s="55"/>
      <c r="W1186" s="55"/>
      <c r="X1186" s="55"/>
      <c r="Y1186" s="55"/>
      <c r="Z1186" s="55"/>
      <c r="AA1186" s="55"/>
      <c r="AB1186" s="55"/>
      <c r="AC1186" s="55"/>
      <c r="AD1186" s="55"/>
      <c r="AE1186" s="55"/>
      <c r="AF1186" s="55"/>
      <c r="AG1186" s="55"/>
      <c r="AH1186" s="55"/>
      <c r="AI1186" s="55"/>
      <c r="AJ1186" s="55"/>
      <c r="AK1186" s="55"/>
      <c r="AL1186" s="55"/>
      <c r="AM1186" s="55"/>
      <c r="AN1186" s="55"/>
      <c r="AO1186" s="55"/>
      <c r="AP1186" s="55"/>
      <c r="AQ1186" s="55"/>
      <c r="AR1186" s="55"/>
      <c r="AS1186" s="55"/>
      <c r="AT1186" s="55"/>
      <c r="AU1186" s="55"/>
      <c r="AV1186" s="55"/>
      <c r="AW1186" s="55"/>
      <c r="AX1186" s="55"/>
      <c r="AY1186" s="55"/>
      <c r="AZ1186" s="55"/>
    </row>
    <row r="1187" spans="2:52" x14ac:dyDescent="0.2">
      <c r="B1187" s="59"/>
      <c r="C1187" s="68"/>
      <c r="D1187" s="68"/>
      <c r="J1187" s="31"/>
      <c r="V1187" s="55"/>
      <c r="W1187" s="55"/>
      <c r="X1187" s="55"/>
      <c r="Y1187" s="55"/>
      <c r="Z1187" s="55"/>
      <c r="AA1187" s="55"/>
      <c r="AB1187" s="55"/>
      <c r="AC1187" s="55"/>
      <c r="AD1187" s="55"/>
      <c r="AE1187" s="55"/>
      <c r="AF1187" s="55"/>
      <c r="AG1187" s="55"/>
      <c r="AH1187" s="55"/>
      <c r="AI1187" s="55"/>
      <c r="AJ1187" s="55"/>
      <c r="AK1187" s="55"/>
      <c r="AL1187" s="55"/>
      <c r="AM1187" s="55"/>
      <c r="AN1187" s="55"/>
      <c r="AO1187" s="55"/>
      <c r="AP1187" s="55"/>
      <c r="AQ1187" s="55"/>
      <c r="AR1187" s="55"/>
      <c r="AS1187" s="55"/>
      <c r="AT1187" s="55"/>
      <c r="AU1187" s="55"/>
      <c r="AV1187" s="55"/>
      <c r="AW1187" s="55"/>
      <c r="AX1187" s="55"/>
      <c r="AY1187" s="55"/>
      <c r="AZ1187" s="55"/>
    </row>
    <row r="1188" spans="2:52" x14ac:dyDescent="0.2">
      <c r="B1188" s="59"/>
      <c r="C1188" s="68"/>
      <c r="D1188" s="68"/>
      <c r="J1188" s="31"/>
      <c r="V1188" s="55"/>
      <c r="W1188" s="55"/>
      <c r="X1188" s="55"/>
      <c r="Y1188" s="55"/>
      <c r="Z1188" s="55"/>
      <c r="AA1188" s="55"/>
      <c r="AB1188" s="55"/>
      <c r="AC1188" s="55"/>
      <c r="AD1188" s="55"/>
      <c r="AE1188" s="55"/>
      <c r="AF1188" s="55"/>
      <c r="AG1188" s="55"/>
      <c r="AH1188" s="55"/>
      <c r="AI1188" s="55"/>
      <c r="AJ1188" s="55"/>
      <c r="AK1188" s="55"/>
      <c r="AL1188" s="55"/>
      <c r="AM1188" s="55"/>
      <c r="AN1188" s="55"/>
      <c r="AO1188" s="55"/>
      <c r="AP1188" s="55"/>
      <c r="AQ1188" s="55"/>
      <c r="AR1188" s="55"/>
      <c r="AS1188" s="55"/>
      <c r="AT1188" s="55"/>
      <c r="AU1188" s="55"/>
      <c r="AV1188" s="55"/>
      <c r="AW1188" s="55"/>
      <c r="AX1188" s="55"/>
      <c r="AY1188" s="55"/>
      <c r="AZ1188" s="55"/>
    </row>
    <row r="1189" spans="2:52" x14ac:dyDescent="0.2">
      <c r="B1189" s="59"/>
      <c r="C1189" s="68"/>
      <c r="D1189" s="68"/>
      <c r="J1189" s="31"/>
      <c r="V1189" s="55"/>
      <c r="W1189" s="55"/>
      <c r="X1189" s="55"/>
      <c r="Y1189" s="55"/>
      <c r="Z1189" s="55"/>
      <c r="AA1189" s="55"/>
      <c r="AB1189" s="55"/>
      <c r="AC1189" s="55"/>
      <c r="AD1189" s="55"/>
      <c r="AE1189" s="55"/>
      <c r="AF1189" s="55"/>
      <c r="AG1189" s="55"/>
      <c r="AH1189" s="55"/>
      <c r="AI1189" s="55"/>
      <c r="AJ1189" s="55"/>
      <c r="AK1189" s="55"/>
      <c r="AL1189" s="55"/>
      <c r="AM1189" s="55"/>
      <c r="AN1189" s="55"/>
      <c r="AO1189" s="55"/>
      <c r="AP1189" s="55"/>
      <c r="AQ1189" s="55"/>
      <c r="AR1189" s="55"/>
      <c r="AS1189" s="55"/>
      <c r="AT1189" s="55"/>
      <c r="AU1189" s="55"/>
      <c r="AV1189" s="55"/>
      <c r="AW1189" s="55"/>
      <c r="AX1189" s="55"/>
      <c r="AY1189" s="55"/>
      <c r="AZ1189" s="55"/>
    </row>
    <row r="1190" spans="2:52" x14ac:dyDescent="0.2">
      <c r="B1190" s="59"/>
      <c r="C1190" s="68"/>
      <c r="D1190" s="68"/>
      <c r="J1190" s="31"/>
      <c r="V1190" s="55"/>
      <c r="W1190" s="55"/>
      <c r="X1190" s="55"/>
      <c r="Y1190" s="55"/>
      <c r="Z1190" s="55"/>
      <c r="AA1190" s="55"/>
      <c r="AB1190" s="55"/>
      <c r="AC1190" s="55"/>
      <c r="AD1190" s="55"/>
      <c r="AE1190" s="55"/>
      <c r="AF1190" s="55"/>
      <c r="AG1190" s="55"/>
      <c r="AH1190" s="55"/>
      <c r="AI1190" s="55"/>
      <c r="AJ1190" s="55"/>
      <c r="AK1190" s="55"/>
      <c r="AL1190" s="55"/>
      <c r="AM1190" s="55"/>
      <c r="AN1190" s="55"/>
      <c r="AO1190" s="55"/>
      <c r="AP1190" s="55"/>
      <c r="AQ1190" s="55"/>
      <c r="AR1190" s="55"/>
      <c r="AS1190" s="55"/>
      <c r="AT1190" s="55"/>
      <c r="AU1190" s="55"/>
      <c r="AV1190" s="55"/>
      <c r="AW1190" s="55"/>
      <c r="AX1190" s="55"/>
      <c r="AY1190" s="55"/>
      <c r="AZ1190" s="55"/>
    </row>
    <row r="1191" spans="2:52" x14ac:dyDescent="0.2">
      <c r="B1191" s="59"/>
      <c r="C1191" s="68"/>
      <c r="D1191" s="68"/>
      <c r="J1191" s="31"/>
      <c r="V1191" s="55"/>
      <c r="W1191" s="55"/>
      <c r="X1191" s="55"/>
      <c r="Y1191" s="55"/>
      <c r="Z1191" s="55"/>
      <c r="AA1191" s="55"/>
      <c r="AB1191" s="55"/>
      <c r="AC1191" s="55"/>
      <c r="AD1191" s="55"/>
      <c r="AE1191" s="55"/>
      <c r="AF1191" s="55"/>
      <c r="AG1191" s="55"/>
      <c r="AH1191" s="55"/>
      <c r="AI1191" s="55"/>
      <c r="AJ1191" s="55"/>
      <c r="AK1191" s="55"/>
      <c r="AL1191" s="55"/>
      <c r="AM1191" s="55"/>
      <c r="AN1191" s="55"/>
      <c r="AO1191" s="55"/>
      <c r="AP1191" s="55"/>
      <c r="AQ1191" s="55"/>
      <c r="AR1191" s="55"/>
      <c r="AS1191" s="55"/>
      <c r="AT1191" s="55"/>
      <c r="AU1191" s="55"/>
      <c r="AV1191" s="55"/>
      <c r="AW1191" s="55"/>
      <c r="AX1191" s="55"/>
      <c r="AY1191" s="55"/>
      <c r="AZ1191" s="55"/>
    </row>
    <row r="1192" spans="2:52" x14ac:dyDescent="0.2">
      <c r="B1192" s="59"/>
      <c r="C1192" s="68"/>
      <c r="D1192" s="68"/>
      <c r="J1192" s="31"/>
      <c r="V1192" s="55"/>
      <c r="W1192" s="55"/>
      <c r="X1192" s="55"/>
      <c r="Y1192" s="55"/>
      <c r="Z1192" s="55"/>
      <c r="AA1192" s="55"/>
      <c r="AB1192" s="55"/>
      <c r="AC1192" s="55"/>
      <c r="AD1192" s="55"/>
      <c r="AE1192" s="55"/>
      <c r="AF1192" s="55"/>
      <c r="AG1192" s="55"/>
      <c r="AH1192" s="55"/>
      <c r="AI1192" s="55"/>
      <c r="AJ1192" s="55"/>
      <c r="AK1192" s="55"/>
      <c r="AL1192" s="55"/>
      <c r="AM1192" s="55"/>
      <c r="AN1192" s="55"/>
      <c r="AO1192" s="55"/>
      <c r="AP1192" s="55"/>
      <c r="AQ1192" s="55"/>
      <c r="AR1192" s="55"/>
      <c r="AS1192" s="55"/>
      <c r="AT1192" s="55"/>
      <c r="AU1192" s="55"/>
      <c r="AV1192" s="55"/>
      <c r="AW1192" s="55"/>
      <c r="AX1192" s="55"/>
      <c r="AY1192" s="55"/>
      <c r="AZ1192" s="55"/>
    </row>
    <row r="1193" spans="2:52" x14ac:dyDescent="0.2">
      <c r="B1193" s="59"/>
      <c r="C1193" s="68"/>
      <c r="D1193" s="68"/>
      <c r="J1193" s="31"/>
      <c r="V1193" s="55"/>
      <c r="W1193" s="55"/>
      <c r="X1193" s="55"/>
      <c r="Y1193" s="55"/>
      <c r="Z1193" s="55"/>
      <c r="AA1193" s="55"/>
      <c r="AB1193" s="55"/>
      <c r="AC1193" s="55"/>
      <c r="AD1193" s="55"/>
      <c r="AE1193" s="55"/>
      <c r="AF1193" s="55"/>
      <c r="AG1193" s="55"/>
      <c r="AH1193" s="55"/>
      <c r="AI1193" s="55"/>
      <c r="AJ1193" s="55"/>
      <c r="AK1193" s="55"/>
      <c r="AL1193" s="55"/>
      <c r="AM1193" s="55"/>
      <c r="AN1193" s="55"/>
      <c r="AO1193" s="55"/>
      <c r="AP1193" s="55"/>
      <c r="AQ1193" s="55"/>
      <c r="AR1193" s="55"/>
      <c r="AS1193" s="55"/>
      <c r="AT1193" s="55"/>
      <c r="AU1193" s="55"/>
      <c r="AV1193" s="55"/>
      <c r="AW1193" s="55"/>
      <c r="AX1193" s="55"/>
      <c r="AY1193" s="55"/>
      <c r="AZ1193" s="55"/>
    </row>
    <row r="1194" spans="2:52" x14ac:dyDescent="0.2">
      <c r="C1194" s="68"/>
      <c r="D1194" s="68"/>
      <c r="J1194" s="31"/>
      <c r="V1194" s="55"/>
      <c r="W1194" s="55"/>
      <c r="X1194" s="55"/>
      <c r="Y1194" s="55"/>
      <c r="Z1194" s="55"/>
      <c r="AA1194" s="55"/>
      <c r="AB1194" s="55"/>
      <c r="AC1194" s="55"/>
      <c r="AD1194" s="55"/>
      <c r="AE1194" s="55"/>
      <c r="AF1194" s="55"/>
      <c r="AG1194" s="55"/>
      <c r="AH1194" s="55"/>
      <c r="AI1194" s="55"/>
      <c r="AJ1194" s="55"/>
      <c r="AK1194" s="55"/>
      <c r="AL1194" s="55"/>
      <c r="AM1194" s="55"/>
      <c r="AN1194" s="55"/>
      <c r="AO1194" s="55"/>
      <c r="AP1194" s="55"/>
      <c r="AQ1194" s="55"/>
      <c r="AR1194" s="55"/>
      <c r="AS1194" s="55"/>
      <c r="AT1194" s="55"/>
      <c r="AU1194" s="55"/>
      <c r="AV1194" s="55"/>
      <c r="AW1194" s="55"/>
      <c r="AX1194" s="55"/>
      <c r="AY1194" s="55"/>
      <c r="AZ1194" s="55"/>
    </row>
    <row r="1195" spans="2:52" x14ac:dyDescent="0.2">
      <c r="C1195" s="68"/>
      <c r="D1195" s="68"/>
      <c r="J1195" s="31"/>
      <c r="V1195" s="55"/>
      <c r="W1195" s="55"/>
      <c r="X1195" s="55"/>
      <c r="Y1195" s="55"/>
      <c r="Z1195" s="55"/>
      <c r="AA1195" s="55"/>
      <c r="AB1195" s="55"/>
      <c r="AC1195" s="55"/>
      <c r="AD1195" s="55"/>
      <c r="AE1195" s="55"/>
      <c r="AF1195" s="55"/>
      <c r="AG1195" s="55"/>
      <c r="AH1195" s="55"/>
      <c r="AI1195" s="55"/>
      <c r="AJ1195" s="55"/>
      <c r="AK1195" s="55"/>
      <c r="AL1195" s="55"/>
      <c r="AM1195" s="55"/>
      <c r="AN1195" s="55"/>
      <c r="AO1195" s="55"/>
      <c r="AP1195" s="55"/>
      <c r="AQ1195" s="55"/>
      <c r="AR1195" s="55"/>
      <c r="AS1195" s="55"/>
      <c r="AT1195" s="55"/>
      <c r="AU1195" s="55"/>
      <c r="AV1195" s="55"/>
      <c r="AW1195" s="55"/>
      <c r="AX1195" s="55"/>
      <c r="AY1195" s="55"/>
      <c r="AZ1195" s="55"/>
    </row>
    <row r="1196" spans="2:52" x14ac:dyDescent="0.2">
      <c r="B1196" s="59"/>
      <c r="C1196" s="68"/>
      <c r="D1196" s="68"/>
      <c r="J1196" s="31"/>
      <c r="V1196" s="55"/>
      <c r="W1196" s="55"/>
      <c r="X1196" s="55"/>
      <c r="Y1196" s="55"/>
      <c r="Z1196" s="55"/>
      <c r="AA1196" s="55"/>
      <c r="AB1196" s="55"/>
      <c r="AC1196" s="55"/>
      <c r="AD1196" s="55"/>
      <c r="AE1196" s="55"/>
      <c r="AF1196" s="55"/>
      <c r="AG1196" s="55"/>
      <c r="AH1196" s="55"/>
      <c r="AI1196" s="55"/>
      <c r="AJ1196" s="55"/>
      <c r="AK1196" s="55"/>
      <c r="AL1196" s="55"/>
      <c r="AM1196" s="55"/>
      <c r="AN1196" s="55"/>
      <c r="AO1196" s="55"/>
      <c r="AP1196" s="55"/>
      <c r="AQ1196" s="55"/>
      <c r="AR1196" s="55"/>
      <c r="AS1196" s="55"/>
      <c r="AT1196" s="55"/>
      <c r="AU1196" s="55"/>
      <c r="AV1196" s="55"/>
      <c r="AW1196" s="55"/>
      <c r="AX1196" s="55"/>
      <c r="AY1196" s="55"/>
      <c r="AZ1196" s="55"/>
    </row>
    <row r="1197" spans="2:52" x14ac:dyDescent="0.2">
      <c r="C1197" s="68"/>
      <c r="D1197" s="68"/>
      <c r="J1197" s="31"/>
      <c r="V1197" s="55"/>
      <c r="W1197" s="55"/>
      <c r="X1197" s="55"/>
      <c r="Y1197" s="55"/>
      <c r="Z1197" s="55"/>
      <c r="AA1197" s="55"/>
      <c r="AB1197" s="55"/>
      <c r="AC1197" s="55"/>
      <c r="AD1197" s="55"/>
      <c r="AE1197" s="55"/>
      <c r="AF1197" s="55"/>
      <c r="AG1197" s="55"/>
      <c r="AH1197" s="55"/>
      <c r="AI1197" s="55"/>
      <c r="AJ1197" s="55"/>
      <c r="AK1197" s="55"/>
      <c r="AL1197" s="55"/>
      <c r="AM1197" s="55"/>
      <c r="AN1197" s="55"/>
      <c r="AO1197" s="55"/>
      <c r="AP1197" s="55"/>
      <c r="AQ1197" s="55"/>
      <c r="AR1197" s="55"/>
      <c r="AS1197" s="55"/>
      <c r="AT1197" s="55"/>
      <c r="AU1197" s="55"/>
      <c r="AV1197" s="55"/>
      <c r="AW1197" s="55"/>
      <c r="AX1197" s="55"/>
      <c r="AY1197" s="55"/>
      <c r="AZ1197" s="55"/>
    </row>
    <row r="1198" spans="2:52" x14ac:dyDescent="0.2">
      <c r="B1198" s="59"/>
      <c r="C1198" s="68"/>
      <c r="D1198" s="68"/>
      <c r="J1198" s="31"/>
      <c r="V1198" s="55"/>
      <c r="W1198" s="55"/>
      <c r="X1198" s="55"/>
      <c r="Y1198" s="55"/>
      <c r="Z1198" s="55"/>
      <c r="AA1198" s="55"/>
      <c r="AB1198" s="55"/>
      <c r="AC1198" s="55"/>
      <c r="AD1198" s="55"/>
      <c r="AE1198" s="55"/>
      <c r="AF1198" s="55"/>
      <c r="AG1198" s="55"/>
      <c r="AH1198" s="55"/>
      <c r="AI1198" s="55"/>
      <c r="AJ1198" s="55"/>
      <c r="AK1198" s="55"/>
      <c r="AL1198" s="55"/>
      <c r="AM1198" s="55"/>
      <c r="AN1198" s="55"/>
      <c r="AO1198" s="55"/>
      <c r="AP1198" s="55"/>
      <c r="AQ1198" s="55"/>
      <c r="AR1198" s="55"/>
      <c r="AS1198" s="55"/>
      <c r="AT1198" s="55"/>
      <c r="AU1198" s="55"/>
      <c r="AV1198" s="55"/>
      <c r="AW1198" s="55"/>
      <c r="AX1198" s="55"/>
      <c r="AY1198" s="55"/>
      <c r="AZ1198" s="55"/>
    </row>
    <row r="1199" spans="2:52" x14ac:dyDescent="0.2">
      <c r="B1199" s="59"/>
      <c r="C1199" s="68"/>
      <c r="D1199" s="68"/>
      <c r="J1199" s="31"/>
      <c r="V1199" s="55"/>
      <c r="W1199" s="55"/>
      <c r="X1199" s="55"/>
      <c r="Y1199" s="55"/>
      <c r="Z1199" s="55"/>
      <c r="AA1199" s="55"/>
      <c r="AB1199" s="55"/>
      <c r="AC1199" s="55"/>
      <c r="AD1199" s="55"/>
      <c r="AE1199" s="55"/>
      <c r="AF1199" s="55"/>
      <c r="AG1199" s="55"/>
      <c r="AH1199" s="55"/>
      <c r="AI1199" s="55"/>
      <c r="AJ1199" s="55"/>
      <c r="AK1199" s="55"/>
      <c r="AL1199" s="55"/>
      <c r="AM1199" s="55"/>
      <c r="AN1199" s="55"/>
      <c r="AO1199" s="55"/>
      <c r="AP1199" s="55"/>
      <c r="AQ1199" s="55"/>
      <c r="AR1199" s="55"/>
      <c r="AS1199" s="55"/>
      <c r="AT1199" s="55"/>
      <c r="AU1199" s="55"/>
      <c r="AV1199" s="55"/>
      <c r="AW1199" s="55"/>
      <c r="AX1199" s="55"/>
      <c r="AY1199" s="55"/>
      <c r="AZ1199" s="55"/>
    </row>
    <row r="1200" spans="2:52" x14ac:dyDescent="0.2">
      <c r="J1200" s="31"/>
      <c r="V1200" s="55"/>
      <c r="W1200" s="55"/>
      <c r="X1200" s="55"/>
      <c r="Y1200" s="55"/>
      <c r="Z1200" s="55"/>
      <c r="AA1200" s="55"/>
      <c r="AB1200" s="55"/>
      <c r="AC1200" s="55"/>
      <c r="AD1200" s="55"/>
      <c r="AE1200" s="55"/>
      <c r="AF1200" s="55"/>
      <c r="AG1200" s="55"/>
      <c r="AH1200" s="55"/>
      <c r="AI1200" s="55"/>
      <c r="AJ1200" s="55"/>
      <c r="AK1200" s="55"/>
      <c r="AL1200" s="55"/>
      <c r="AM1200" s="55"/>
      <c r="AN1200" s="55"/>
      <c r="AO1200" s="55"/>
      <c r="AP1200" s="55"/>
      <c r="AQ1200" s="55"/>
      <c r="AR1200" s="55"/>
      <c r="AS1200" s="55"/>
      <c r="AT1200" s="55"/>
      <c r="AU1200" s="55"/>
      <c r="AV1200" s="55"/>
      <c r="AW1200" s="55"/>
      <c r="AX1200" s="55"/>
      <c r="AY1200" s="55"/>
      <c r="AZ1200" s="55"/>
    </row>
    <row r="1201" spans="1:52" x14ac:dyDescent="0.2">
      <c r="J1201" s="31"/>
      <c r="V1201" s="55"/>
      <c r="W1201" s="55"/>
      <c r="X1201" s="55"/>
      <c r="Y1201" s="55"/>
      <c r="Z1201" s="55"/>
      <c r="AA1201" s="55"/>
      <c r="AB1201" s="55"/>
      <c r="AC1201" s="55"/>
      <c r="AD1201" s="55"/>
      <c r="AE1201" s="55"/>
      <c r="AF1201" s="55"/>
      <c r="AG1201" s="55"/>
      <c r="AH1201" s="55"/>
      <c r="AI1201" s="55"/>
      <c r="AJ1201" s="55"/>
      <c r="AK1201" s="55"/>
      <c r="AL1201" s="55"/>
      <c r="AM1201" s="55"/>
      <c r="AN1201" s="55"/>
      <c r="AO1201" s="55"/>
      <c r="AP1201" s="55"/>
      <c r="AQ1201" s="55"/>
      <c r="AR1201" s="55"/>
      <c r="AS1201" s="55"/>
      <c r="AT1201" s="55"/>
      <c r="AU1201" s="55"/>
      <c r="AV1201" s="55"/>
      <c r="AW1201" s="55"/>
      <c r="AX1201" s="55"/>
      <c r="AY1201" s="55"/>
      <c r="AZ1201" s="55"/>
    </row>
    <row r="1202" spans="1:52" x14ac:dyDescent="0.2">
      <c r="J1202" s="31"/>
      <c r="V1202" s="55"/>
      <c r="W1202" s="55"/>
      <c r="X1202" s="55"/>
      <c r="Y1202" s="55"/>
      <c r="Z1202" s="55"/>
      <c r="AA1202" s="55"/>
      <c r="AB1202" s="55"/>
      <c r="AC1202" s="55"/>
      <c r="AD1202" s="55"/>
      <c r="AE1202" s="55"/>
      <c r="AF1202" s="55"/>
      <c r="AG1202" s="55"/>
      <c r="AH1202" s="55"/>
      <c r="AI1202" s="55"/>
      <c r="AJ1202" s="55"/>
      <c r="AK1202" s="55"/>
      <c r="AL1202" s="55"/>
      <c r="AM1202" s="55"/>
      <c r="AN1202" s="55"/>
      <c r="AO1202" s="55"/>
      <c r="AP1202" s="55"/>
      <c r="AQ1202" s="55"/>
      <c r="AR1202" s="55"/>
      <c r="AS1202" s="55"/>
      <c r="AT1202" s="55"/>
      <c r="AU1202" s="55"/>
      <c r="AV1202" s="55"/>
      <c r="AW1202" s="55"/>
      <c r="AX1202" s="55"/>
      <c r="AY1202" s="55"/>
      <c r="AZ1202" s="55"/>
    </row>
    <row r="1203" spans="1:52" ht="33.75" customHeight="1" x14ac:dyDescent="0.2">
      <c r="A1203" s="55"/>
      <c r="B1203" s="76" t="s">
        <v>156</v>
      </c>
      <c r="C1203" s="77"/>
      <c r="D1203" s="77"/>
      <c r="E1203" s="55"/>
      <c r="F1203" s="55"/>
      <c r="G1203" s="55"/>
      <c r="H1203" s="55"/>
      <c r="I1203" s="55"/>
      <c r="J1203" s="55"/>
      <c r="K1203" s="55"/>
      <c r="L1203" s="55"/>
      <c r="M1203" s="55"/>
      <c r="N1203" s="55"/>
      <c r="O1203" s="55"/>
      <c r="P1203" s="55"/>
      <c r="Q1203" s="55"/>
      <c r="R1203" s="55"/>
      <c r="S1203" s="55"/>
      <c r="T1203" s="55"/>
      <c r="U1203" s="55"/>
      <c r="V1203" s="55"/>
      <c r="W1203" s="55"/>
      <c r="X1203" s="55"/>
      <c r="Y1203" s="55"/>
      <c r="Z1203" s="55"/>
      <c r="AA1203" s="55"/>
      <c r="AB1203" s="55"/>
      <c r="AC1203" s="55"/>
      <c r="AD1203" s="55"/>
      <c r="AE1203" s="55"/>
      <c r="AF1203" s="55"/>
      <c r="AG1203" s="55"/>
      <c r="AH1203" s="55"/>
      <c r="AI1203" s="55"/>
      <c r="AJ1203" s="55"/>
      <c r="AK1203" s="55"/>
      <c r="AL1203" s="55"/>
      <c r="AM1203" s="55"/>
      <c r="AN1203" s="55"/>
      <c r="AO1203" s="55"/>
      <c r="AP1203" s="55"/>
      <c r="AQ1203" s="55"/>
      <c r="AR1203" s="55"/>
      <c r="AS1203" s="55"/>
      <c r="AT1203" s="55"/>
      <c r="AU1203" s="55"/>
      <c r="AV1203" s="55"/>
      <c r="AW1203" s="55"/>
      <c r="AX1203" s="55"/>
      <c r="AY1203" s="55"/>
      <c r="AZ1203" s="55"/>
    </row>
    <row r="1204" spans="1:52" x14ac:dyDescent="0.2">
      <c r="J1204" s="31"/>
      <c r="V1204" s="55"/>
      <c r="W1204" s="55"/>
      <c r="X1204" s="55"/>
      <c r="Y1204" s="55"/>
      <c r="Z1204" s="55"/>
      <c r="AA1204" s="55"/>
      <c r="AB1204" s="55"/>
      <c r="AC1204" s="55"/>
      <c r="AD1204" s="55"/>
      <c r="AE1204" s="55"/>
      <c r="AF1204" s="55"/>
      <c r="AG1204" s="55"/>
      <c r="AH1204" s="55"/>
      <c r="AI1204" s="55"/>
      <c r="AJ1204" s="55"/>
      <c r="AK1204" s="55"/>
      <c r="AL1204" s="55"/>
      <c r="AM1204" s="55"/>
      <c r="AN1204" s="55"/>
      <c r="AO1204" s="55"/>
      <c r="AP1204" s="55"/>
      <c r="AQ1204" s="55"/>
      <c r="AR1204" s="55"/>
      <c r="AS1204" s="55"/>
      <c r="AT1204" s="55"/>
      <c r="AU1204" s="55"/>
      <c r="AV1204" s="55"/>
      <c r="AW1204" s="55"/>
      <c r="AX1204" s="55"/>
      <c r="AY1204" s="55"/>
      <c r="AZ1204" s="55"/>
    </row>
    <row r="1205" spans="1:52" x14ac:dyDescent="0.2">
      <c r="B1205" s="59"/>
      <c r="C1205" s="68"/>
      <c r="D1205" s="68"/>
      <c r="V1205" s="55"/>
      <c r="W1205" s="55"/>
      <c r="X1205" s="55"/>
      <c r="Y1205" s="55"/>
      <c r="Z1205" s="55"/>
      <c r="AA1205" s="55"/>
      <c r="AB1205" s="55"/>
      <c r="AC1205" s="55"/>
      <c r="AD1205" s="55"/>
      <c r="AE1205" s="55"/>
      <c r="AF1205" s="55"/>
      <c r="AG1205" s="55"/>
      <c r="AH1205" s="55"/>
      <c r="AI1205" s="55"/>
      <c r="AJ1205" s="55"/>
      <c r="AK1205" s="55"/>
      <c r="AL1205" s="55"/>
      <c r="AM1205" s="55"/>
      <c r="AN1205" s="55"/>
      <c r="AO1205" s="55"/>
      <c r="AP1205" s="55"/>
      <c r="AQ1205" s="55"/>
      <c r="AR1205" s="55"/>
      <c r="AS1205" s="55"/>
      <c r="AT1205" s="55"/>
      <c r="AU1205" s="55"/>
      <c r="AV1205" s="55"/>
      <c r="AW1205" s="55"/>
      <c r="AX1205" s="55"/>
      <c r="AY1205" s="55"/>
      <c r="AZ1205" s="55"/>
    </row>
    <row r="1206" spans="1:52" x14ac:dyDescent="0.2">
      <c r="B1206" s="82" t="s">
        <v>5154</v>
      </c>
      <c r="C1206" s="3256"/>
      <c r="D1206" s="85"/>
      <c r="E1206" s="85"/>
      <c r="F1206" s="55"/>
      <c r="G1206" s="55"/>
      <c r="H1206" s="55"/>
      <c r="I1206" s="55"/>
      <c r="J1206" s="55"/>
      <c r="K1206" s="55"/>
      <c r="V1206" s="55"/>
      <c r="W1206" s="55"/>
      <c r="X1206" s="55"/>
      <c r="Y1206" s="55"/>
      <c r="Z1206" s="55"/>
      <c r="AA1206" s="55"/>
      <c r="AB1206" s="55"/>
      <c r="AC1206" s="55"/>
      <c r="AD1206" s="55"/>
      <c r="AE1206" s="55"/>
      <c r="AF1206" s="55"/>
      <c r="AG1206" s="55"/>
      <c r="AH1206" s="55"/>
      <c r="AI1206" s="55"/>
      <c r="AJ1206" s="55"/>
      <c r="AK1206" s="55"/>
      <c r="AL1206" s="55"/>
      <c r="AM1206" s="55"/>
      <c r="AN1206" s="55"/>
      <c r="AO1206" s="55"/>
      <c r="AP1206" s="55"/>
      <c r="AQ1206" s="55"/>
      <c r="AR1206" s="55"/>
      <c r="AS1206" s="55"/>
      <c r="AT1206" s="55"/>
      <c r="AU1206" s="55"/>
      <c r="AV1206" s="55"/>
      <c r="AW1206" s="55"/>
      <c r="AX1206" s="55"/>
      <c r="AY1206" s="55"/>
      <c r="AZ1206" s="55"/>
    </row>
    <row r="1207" spans="1:52" x14ac:dyDescent="0.2">
      <c r="V1207" s="55"/>
      <c r="W1207" s="55"/>
      <c r="X1207" s="55"/>
      <c r="Y1207" s="55"/>
      <c r="Z1207" s="55"/>
      <c r="AA1207" s="55"/>
      <c r="AB1207" s="55"/>
      <c r="AC1207" s="55"/>
      <c r="AD1207" s="55"/>
      <c r="AE1207" s="55"/>
      <c r="AF1207" s="55"/>
      <c r="AG1207" s="55"/>
      <c r="AH1207" s="55"/>
      <c r="AI1207" s="55"/>
      <c r="AJ1207" s="55"/>
      <c r="AK1207" s="55"/>
      <c r="AL1207" s="55"/>
      <c r="AM1207" s="55"/>
      <c r="AN1207" s="55"/>
      <c r="AO1207" s="55"/>
      <c r="AP1207" s="55"/>
      <c r="AQ1207" s="55"/>
      <c r="AR1207" s="55"/>
      <c r="AS1207" s="55"/>
      <c r="AT1207" s="55"/>
      <c r="AU1207" s="55"/>
      <c r="AV1207" s="55"/>
      <c r="AW1207" s="55"/>
      <c r="AX1207" s="55"/>
      <c r="AY1207" s="55"/>
      <c r="AZ1207" s="55"/>
    </row>
    <row r="1208" spans="1:52" x14ac:dyDescent="0.2">
      <c r="B1208" s="58" t="s">
        <v>5154</v>
      </c>
      <c r="C1208" s="61" t="s">
        <v>79</v>
      </c>
      <c r="D1208" s="61" t="s">
        <v>79</v>
      </c>
      <c r="E1208" s="61" t="s">
        <v>79</v>
      </c>
      <c r="F1208" s="61" t="s">
        <v>79</v>
      </c>
      <c r="G1208" s="59"/>
      <c r="H1208" s="59"/>
      <c r="J1208" s="59"/>
      <c r="K1208" s="59"/>
      <c r="L1208" s="59"/>
      <c r="M1208" s="59"/>
      <c r="N1208" s="59"/>
      <c r="O1208" s="59"/>
      <c r="S1208" s="59"/>
      <c r="T1208" s="59"/>
      <c r="U1208" s="59"/>
      <c r="V1208" s="55"/>
      <c r="W1208" s="82"/>
      <c r="X1208" s="82"/>
      <c r="Y1208" s="82"/>
      <c r="Z1208" s="82"/>
      <c r="AA1208" s="82"/>
      <c r="AB1208" s="82"/>
      <c r="AC1208" s="82"/>
      <c r="AD1208" s="82"/>
      <c r="AE1208" s="82"/>
      <c r="AF1208" s="82"/>
      <c r="AG1208" s="82"/>
      <c r="AH1208" s="82"/>
      <c r="AI1208" s="55"/>
      <c r="AJ1208" s="55"/>
      <c r="AK1208" s="55"/>
      <c r="AL1208" s="55"/>
      <c r="AM1208" s="55"/>
      <c r="AN1208" s="55"/>
      <c r="AO1208" s="55"/>
      <c r="AP1208" s="55"/>
      <c r="AQ1208" s="55"/>
      <c r="AR1208" s="55"/>
      <c r="AS1208" s="55"/>
      <c r="AT1208" s="55"/>
      <c r="AU1208" s="55"/>
      <c r="AV1208" s="55"/>
      <c r="AW1208" s="55"/>
      <c r="AX1208" s="55"/>
      <c r="AY1208" s="55"/>
      <c r="AZ1208" s="55"/>
    </row>
    <row r="1209" spans="1:52" x14ac:dyDescent="0.2">
      <c r="B1209" s="69"/>
      <c r="C1209" s="5020" t="s">
        <v>146</v>
      </c>
      <c r="D1209" s="5022"/>
      <c r="E1209" s="5020" t="s">
        <v>147</v>
      </c>
      <c r="F1209" s="5022"/>
      <c r="G1209" s="59"/>
      <c r="H1209" s="59"/>
      <c r="J1209" s="59"/>
      <c r="K1209" s="59"/>
      <c r="L1209" s="59"/>
      <c r="M1209" s="59"/>
      <c r="N1209" s="59"/>
      <c r="O1209" s="59"/>
      <c r="S1209" s="59"/>
      <c r="T1209" s="59"/>
      <c r="U1209" s="59"/>
      <c r="V1209" s="55"/>
      <c r="W1209" s="82"/>
      <c r="X1209" s="82"/>
      <c r="Y1209" s="82"/>
      <c r="Z1209" s="82"/>
      <c r="AA1209" s="82"/>
      <c r="AB1209" s="82"/>
      <c r="AC1209" s="82"/>
      <c r="AD1209" s="82"/>
      <c r="AE1209" s="82"/>
      <c r="AF1209" s="82"/>
      <c r="AG1209" s="82"/>
      <c r="AH1209" s="82"/>
      <c r="AI1209" s="55"/>
      <c r="AJ1209" s="55"/>
      <c r="AK1209" s="55"/>
      <c r="AL1209" s="55"/>
      <c r="AM1209" s="55"/>
      <c r="AN1209" s="55"/>
      <c r="AO1209" s="55"/>
      <c r="AP1209" s="55"/>
      <c r="AQ1209" s="55"/>
      <c r="AR1209" s="55"/>
      <c r="AS1209" s="55"/>
      <c r="AT1209" s="55"/>
      <c r="AU1209" s="55"/>
      <c r="AV1209" s="55"/>
      <c r="AW1209" s="55"/>
      <c r="AX1209" s="55"/>
      <c r="AY1209" s="55"/>
      <c r="AZ1209" s="55"/>
    </row>
    <row r="1210" spans="1:52" x14ac:dyDescent="0.2">
      <c r="B1210" s="2545"/>
      <c r="C1210" s="3239">
        <f>D56</f>
        <v>2018</v>
      </c>
      <c r="D1210" s="3239">
        <f>E56</f>
        <v>2020</v>
      </c>
      <c r="E1210" s="3239">
        <f>D56</f>
        <v>2018</v>
      </c>
      <c r="F1210" s="3242">
        <f>E56</f>
        <v>2020</v>
      </c>
      <c r="G1210" s="59"/>
      <c r="H1210" s="59"/>
      <c r="J1210" s="59"/>
      <c r="K1210" s="59"/>
      <c r="L1210" s="59"/>
      <c r="M1210" s="59"/>
      <c r="N1210" s="59"/>
      <c r="O1210" s="59"/>
      <c r="S1210" s="59"/>
      <c r="T1210" s="59"/>
      <c r="U1210" s="59"/>
      <c r="V1210" s="55"/>
      <c r="W1210" s="82"/>
      <c r="X1210" s="82"/>
      <c r="Y1210" s="82"/>
      <c r="Z1210" s="82"/>
      <c r="AA1210" s="82"/>
      <c r="AB1210" s="82"/>
      <c r="AC1210" s="82"/>
      <c r="AD1210" s="82"/>
      <c r="AE1210" s="82"/>
      <c r="AF1210" s="82"/>
      <c r="AG1210" s="82"/>
      <c r="AH1210" s="82"/>
      <c r="AI1210" s="55"/>
      <c r="AJ1210" s="55"/>
      <c r="AK1210" s="55"/>
      <c r="AL1210" s="55"/>
      <c r="AM1210" s="55"/>
      <c r="AN1210" s="55"/>
      <c r="AO1210" s="55"/>
      <c r="AP1210" s="55"/>
      <c r="AQ1210" s="55"/>
      <c r="AR1210" s="55"/>
      <c r="AS1210" s="55"/>
      <c r="AT1210" s="55"/>
      <c r="AU1210" s="55"/>
      <c r="AV1210" s="55"/>
      <c r="AW1210" s="55"/>
      <c r="AX1210" s="55"/>
      <c r="AY1210" s="55"/>
      <c r="AZ1210" s="55"/>
    </row>
    <row r="1211" spans="1:52" x14ac:dyDescent="0.2">
      <c r="B1211" s="69" t="s">
        <v>147</v>
      </c>
      <c r="C1211" s="80"/>
      <c r="D1211" s="80"/>
      <c r="E1211" s="24">
        <f>SUM('E2018'!$AJ$33:$AJ$60)</f>
        <v>16.288500000000006</v>
      </c>
      <c r="F1211" s="24">
        <f>SUM('E2020'!$AJ$33:$AJ$60)</f>
        <v>15.199067663999998</v>
      </c>
      <c r="G1211" s="31"/>
      <c r="H1211" s="31"/>
      <c r="J1211" s="31"/>
      <c r="K1211" s="31"/>
      <c r="L1211" s="31"/>
      <c r="M1211" s="31"/>
      <c r="N1211" s="31"/>
      <c r="O1211" s="31"/>
      <c r="S1211" s="31"/>
      <c r="T1211" s="31"/>
      <c r="U1211" s="31"/>
      <c r="V1211" s="55"/>
      <c r="W1211" s="87"/>
      <c r="X1211" s="87"/>
      <c r="Y1211" s="87"/>
      <c r="Z1211" s="87"/>
      <c r="AA1211" s="87"/>
      <c r="AB1211" s="87"/>
      <c r="AC1211" s="85"/>
      <c r="AD1211" s="85"/>
      <c r="AE1211" s="85"/>
      <c r="AF1211" s="85"/>
      <c r="AG1211" s="85"/>
      <c r="AH1211" s="85"/>
      <c r="AI1211" s="55"/>
      <c r="AJ1211" s="55"/>
      <c r="AK1211" s="55"/>
      <c r="AL1211" s="55"/>
      <c r="AM1211" s="55"/>
      <c r="AN1211" s="55"/>
      <c r="AO1211" s="55"/>
      <c r="AP1211" s="55"/>
      <c r="AQ1211" s="55"/>
      <c r="AR1211" s="55"/>
      <c r="AS1211" s="55"/>
      <c r="AT1211" s="55"/>
      <c r="AU1211" s="55"/>
      <c r="AV1211" s="55"/>
      <c r="AW1211" s="55"/>
      <c r="AX1211" s="55"/>
      <c r="AY1211" s="55"/>
      <c r="AZ1211" s="55"/>
    </row>
    <row r="1212" spans="1:52" x14ac:dyDescent="0.2">
      <c r="B1212" s="69" t="s">
        <v>149</v>
      </c>
      <c r="C1212" s="80"/>
      <c r="D1212" s="80"/>
      <c r="E1212" s="24">
        <f>-('E2018'!$AI$33+'E2018'!$AJ$33)-('E2018'!$AI$36+'E2018'!$AJ$36)-('E2018'!$AI$43+'E2018'!$AJ$43)-('E2018'!$AI$51+'E2018'!$AJ$51)-('E2018'!$AI$60+'E2018'!$AJ$60)</f>
        <v>5.4295000000000009</v>
      </c>
      <c r="F1212" s="24">
        <f>-('E2020'!$AI$33+'E2020'!$AJ$33)-('E2020'!$AI$36+'E2020'!$AJ$36)-('E2020'!$AI$43+'E2020'!$AJ$43)-('E2020'!$AI$51+'E2020'!$AJ$51)-('E2020'!$AI$60+'E2020'!$AJ$60)</f>
        <v>5.0663558880000004</v>
      </c>
      <c r="G1212" s="31"/>
      <c r="H1212" s="31"/>
      <c r="J1212" s="31"/>
      <c r="K1212" s="31"/>
      <c r="L1212" s="31"/>
      <c r="M1212" s="31"/>
      <c r="N1212" s="31"/>
      <c r="O1212" s="31"/>
      <c r="S1212" s="31"/>
      <c r="T1212" s="31"/>
      <c r="U1212" s="31"/>
      <c r="V1212" s="55"/>
      <c r="W1212" s="85"/>
      <c r="X1212" s="85"/>
      <c r="Y1212" s="85"/>
      <c r="Z1212" s="85"/>
      <c r="AA1212" s="85"/>
      <c r="AB1212" s="85"/>
      <c r="AC1212" s="85"/>
      <c r="AD1212" s="85"/>
      <c r="AE1212" s="85"/>
      <c r="AF1212" s="85"/>
      <c r="AG1212" s="85"/>
      <c r="AH1212" s="85"/>
      <c r="AI1212" s="55"/>
      <c r="AJ1212" s="55"/>
      <c r="AK1212" s="55"/>
      <c r="AL1212" s="55"/>
      <c r="AM1212" s="55"/>
      <c r="AN1212" s="55"/>
      <c r="AO1212" s="55"/>
      <c r="AP1212" s="55"/>
      <c r="AQ1212" s="55"/>
      <c r="AR1212" s="55"/>
      <c r="AS1212" s="55"/>
      <c r="AT1212" s="55"/>
      <c r="AU1212" s="55"/>
      <c r="AV1212" s="55"/>
      <c r="AW1212" s="55"/>
      <c r="AX1212" s="55"/>
      <c r="AY1212" s="55"/>
      <c r="AZ1212" s="55"/>
    </row>
    <row r="1213" spans="1:52" x14ac:dyDescent="0.2">
      <c r="B1213" s="91" t="s">
        <v>166</v>
      </c>
      <c r="C1213" s="80"/>
      <c r="D1213" s="80"/>
      <c r="E1213" s="24">
        <f>(-'E2018'!$AI$56)</f>
        <v>0</v>
      </c>
      <c r="F1213" s="24">
        <f>(-'E2020'!$AI$56)</f>
        <v>0</v>
      </c>
      <c r="G1213" s="31"/>
      <c r="H1213" s="31"/>
      <c r="J1213" s="31"/>
      <c r="K1213" s="31"/>
      <c r="L1213" s="31"/>
      <c r="M1213" s="31"/>
      <c r="N1213" s="31"/>
      <c r="O1213" s="31"/>
      <c r="S1213" s="31"/>
      <c r="T1213" s="31"/>
      <c r="U1213" s="31"/>
      <c r="V1213" s="55"/>
      <c r="W1213" s="85"/>
      <c r="X1213" s="85"/>
      <c r="Y1213" s="85"/>
      <c r="Z1213" s="85"/>
      <c r="AA1213" s="85"/>
      <c r="AB1213" s="85"/>
      <c r="AC1213" s="85"/>
      <c r="AD1213" s="85"/>
      <c r="AE1213" s="85"/>
      <c r="AF1213" s="85"/>
      <c r="AG1213" s="85"/>
      <c r="AH1213" s="85"/>
      <c r="AI1213" s="55"/>
      <c r="AJ1213" s="55"/>
      <c r="AK1213" s="55"/>
      <c r="AL1213" s="55"/>
      <c r="AM1213" s="55"/>
      <c r="AN1213" s="55"/>
      <c r="AO1213" s="55"/>
      <c r="AP1213" s="55"/>
      <c r="AQ1213" s="55"/>
      <c r="AR1213" s="55"/>
      <c r="AS1213" s="55"/>
      <c r="AT1213" s="55"/>
      <c r="AU1213" s="55"/>
      <c r="AV1213" s="55"/>
      <c r="AW1213" s="55"/>
      <c r="AX1213" s="55"/>
      <c r="AY1213" s="55"/>
      <c r="AZ1213" s="55"/>
    </row>
    <row r="1214" spans="1:52" x14ac:dyDescent="0.2">
      <c r="B1214" s="69"/>
      <c r="C1214" s="80"/>
      <c r="D1214" s="80"/>
      <c r="E1214" s="24"/>
      <c r="F1214" s="24"/>
      <c r="G1214" s="31"/>
      <c r="H1214" s="31"/>
      <c r="J1214" s="31"/>
      <c r="K1214" s="31"/>
      <c r="L1214" s="31"/>
      <c r="M1214" s="31"/>
      <c r="N1214" s="31"/>
      <c r="O1214" s="31"/>
      <c r="S1214" s="31"/>
      <c r="T1214" s="31"/>
      <c r="U1214" s="31"/>
      <c r="V1214" s="55"/>
      <c r="W1214" s="85"/>
      <c r="X1214" s="85"/>
      <c r="Y1214" s="85"/>
      <c r="Z1214" s="85"/>
      <c r="AA1214" s="85"/>
      <c r="AB1214" s="85"/>
      <c r="AC1214" s="85"/>
      <c r="AD1214" s="85"/>
      <c r="AE1214" s="85"/>
      <c r="AF1214" s="85"/>
      <c r="AG1214" s="85"/>
      <c r="AH1214" s="85"/>
      <c r="AI1214" s="55"/>
      <c r="AJ1214" s="55"/>
      <c r="AK1214" s="55"/>
      <c r="AL1214" s="55"/>
      <c r="AM1214" s="55"/>
      <c r="AN1214" s="55"/>
      <c r="AO1214" s="55"/>
      <c r="AP1214" s="55"/>
      <c r="AQ1214" s="55"/>
      <c r="AR1214" s="55"/>
      <c r="AS1214" s="55"/>
      <c r="AT1214" s="55"/>
      <c r="AU1214" s="55"/>
      <c r="AV1214" s="55"/>
      <c r="AW1214" s="55"/>
      <c r="AX1214" s="55"/>
      <c r="AY1214" s="55"/>
      <c r="AZ1214" s="55"/>
    </row>
    <row r="1215" spans="1:52" x14ac:dyDescent="0.2">
      <c r="B1215" s="69" t="s">
        <v>151</v>
      </c>
      <c r="C1215" s="80">
        <f>'E2018'!$AI$29+'E2018'!$AI$34+'E2018'!$AI$37+'E2018'!$AI$44+'E2018'!$AI$52</f>
        <v>0</v>
      </c>
      <c r="D1215" s="80">
        <f>'E2020'!$AI$29+'E2020'!$AI$34+'E2020'!$AI$37+'E2020'!$AI$44+'E2020'!$AI$52</f>
        <v>0</v>
      </c>
      <c r="E1215" s="24"/>
      <c r="F1215" s="24"/>
      <c r="G1215" s="31"/>
      <c r="H1215" s="31"/>
      <c r="J1215" s="31"/>
      <c r="K1215" s="31"/>
      <c r="L1215" s="31"/>
      <c r="M1215" s="31"/>
      <c r="N1215" s="31"/>
      <c r="O1215" s="31"/>
      <c r="S1215" s="31"/>
      <c r="T1215" s="31"/>
      <c r="U1215" s="31"/>
      <c r="V1215" s="55"/>
      <c r="W1215" s="85"/>
      <c r="X1215" s="85"/>
      <c r="Y1215" s="85"/>
      <c r="Z1215" s="85"/>
      <c r="AA1215" s="85"/>
      <c r="AB1215" s="85"/>
      <c r="AC1215" s="85"/>
      <c r="AD1215" s="85"/>
      <c r="AE1215" s="85"/>
      <c r="AF1215" s="85"/>
      <c r="AG1215" s="85"/>
      <c r="AH1215" s="85"/>
      <c r="AI1215" s="55"/>
      <c r="AJ1215" s="55"/>
      <c r="AK1215" s="55"/>
      <c r="AL1215" s="55"/>
      <c r="AM1215" s="55"/>
      <c r="AN1215" s="55"/>
      <c r="AO1215" s="55"/>
      <c r="AP1215" s="55"/>
      <c r="AQ1215" s="55"/>
      <c r="AR1215" s="55"/>
      <c r="AS1215" s="55"/>
      <c r="AT1215" s="55"/>
      <c r="AU1215" s="55"/>
      <c r="AV1215" s="55"/>
      <c r="AW1215" s="55"/>
      <c r="AX1215" s="55"/>
      <c r="AY1215" s="55"/>
      <c r="AZ1215" s="55"/>
    </row>
    <row r="1216" spans="1:52" x14ac:dyDescent="0.2">
      <c r="B1216" s="69" t="s">
        <v>158</v>
      </c>
      <c r="C1216" s="80">
        <f>'E2018'!$AI$30+'E2018'!$AI$35+'E2018'!$AI$38+'E2018'!$AI$45+'E2018'!$AI$53</f>
        <v>21.718000000000007</v>
      </c>
      <c r="D1216" s="80">
        <f>'E2020'!$AI$30+'E2020'!$AI$35+'E2020'!$AI$38+'E2020'!$AI$45+'E2020'!$AI$53</f>
        <v>20.265423551999998</v>
      </c>
      <c r="E1216" s="24"/>
      <c r="F1216" s="24"/>
      <c r="G1216" s="31"/>
      <c r="H1216" s="31"/>
      <c r="J1216" s="31"/>
      <c r="K1216" s="31"/>
      <c r="L1216" s="31"/>
      <c r="M1216" s="31"/>
      <c r="N1216" s="31"/>
      <c r="O1216" s="31"/>
      <c r="S1216" s="31"/>
      <c r="T1216" s="31"/>
      <c r="U1216" s="31"/>
      <c r="V1216" s="55"/>
      <c r="W1216" s="55"/>
      <c r="X1216" s="55"/>
      <c r="Y1216" s="55"/>
      <c r="Z1216" s="55"/>
      <c r="AA1216" s="55"/>
      <c r="AB1216" s="55"/>
      <c r="AC1216" s="85"/>
      <c r="AD1216" s="85"/>
      <c r="AE1216" s="85"/>
      <c r="AF1216" s="85"/>
      <c r="AG1216" s="85"/>
      <c r="AH1216" s="85"/>
      <c r="AI1216" s="55"/>
      <c r="AJ1216" s="55"/>
      <c r="AK1216" s="55"/>
      <c r="AL1216" s="55"/>
      <c r="AM1216" s="55"/>
      <c r="AN1216" s="55"/>
      <c r="AO1216" s="55"/>
      <c r="AP1216" s="55"/>
      <c r="AQ1216" s="55"/>
      <c r="AR1216" s="55"/>
      <c r="AS1216" s="55"/>
      <c r="AT1216" s="55"/>
      <c r="AU1216" s="55"/>
      <c r="AV1216" s="55"/>
      <c r="AW1216" s="55"/>
      <c r="AX1216" s="55"/>
      <c r="AY1216" s="55"/>
      <c r="AZ1216" s="55"/>
    </row>
    <row r="1217" spans="2:52" x14ac:dyDescent="0.2">
      <c r="B1217" s="69" t="s">
        <v>159</v>
      </c>
      <c r="C1217" s="80">
        <f>'E2018'!$AI$31+'E2018'!$AI$32+'E2018'!$AI$39+'E2018'!$AI$40+'E2018'!$AI$46+'E2018'!$AI$47</f>
        <v>0</v>
      </c>
      <c r="D1217" s="80">
        <f>'E2020'!$AI$31+'E2020'!$AI$32+'E2020'!$AI$39+'E2020'!$AI$40+'E2020'!$AI$46+'E2020'!$AI$47</f>
        <v>0</v>
      </c>
      <c r="E1217" s="24"/>
      <c r="F1217" s="24"/>
      <c r="G1217" s="31"/>
      <c r="H1217" s="31"/>
      <c r="J1217" s="31"/>
      <c r="K1217" s="31"/>
      <c r="L1217" s="31"/>
      <c r="M1217" s="31"/>
      <c r="N1217" s="31"/>
      <c r="O1217" s="31"/>
      <c r="S1217" s="31"/>
      <c r="T1217" s="31"/>
      <c r="U1217" s="31"/>
      <c r="V1217" s="55"/>
      <c r="W1217" s="55"/>
      <c r="X1217" s="55"/>
      <c r="Y1217" s="55"/>
      <c r="Z1217" s="55"/>
      <c r="AA1217" s="55"/>
      <c r="AB1217" s="55"/>
      <c r="AC1217" s="85"/>
      <c r="AD1217" s="85"/>
      <c r="AE1217" s="85"/>
      <c r="AF1217" s="85"/>
      <c r="AG1217" s="85"/>
      <c r="AH1217" s="85"/>
      <c r="AI1217" s="55"/>
      <c r="AJ1217" s="55"/>
      <c r="AK1217" s="55"/>
      <c r="AL1217" s="55"/>
      <c r="AM1217" s="55"/>
      <c r="AN1217" s="55"/>
      <c r="AO1217" s="55"/>
      <c r="AP1217" s="55"/>
      <c r="AQ1217" s="55"/>
      <c r="AR1217" s="55"/>
      <c r="AS1217" s="55"/>
      <c r="AT1217" s="55"/>
      <c r="AU1217" s="55"/>
      <c r="AV1217" s="55"/>
      <c r="AW1217" s="55"/>
      <c r="AX1217" s="55"/>
      <c r="AY1217" s="55"/>
      <c r="AZ1217" s="55"/>
    </row>
    <row r="1218" spans="2:52" x14ac:dyDescent="0.2">
      <c r="B1218" s="69" t="s">
        <v>160</v>
      </c>
      <c r="C1218" s="80">
        <f>'E2018'!$AI$41+'E2018'!$AI$48</f>
        <v>0</v>
      </c>
      <c r="D1218" s="80">
        <f>'E2020'!$AI$41+'E2020'!$AI$48</f>
        <v>0</v>
      </c>
      <c r="E1218" s="24"/>
      <c r="F1218" s="24"/>
      <c r="G1218" s="31"/>
      <c r="H1218" s="31"/>
      <c r="J1218" s="31"/>
      <c r="K1218" s="31"/>
      <c r="L1218" s="31"/>
      <c r="M1218" s="31"/>
      <c r="N1218" s="31"/>
      <c r="O1218" s="31"/>
      <c r="S1218" s="31"/>
      <c r="T1218" s="31"/>
      <c r="U1218" s="31"/>
      <c r="V1218" s="55"/>
      <c r="W1218" s="85"/>
      <c r="X1218" s="85"/>
      <c r="Y1218" s="85"/>
      <c r="Z1218" s="85"/>
      <c r="AA1218" s="85"/>
      <c r="AB1218" s="85"/>
      <c r="AC1218" s="85"/>
      <c r="AD1218" s="85"/>
      <c r="AE1218" s="85"/>
      <c r="AF1218" s="85"/>
      <c r="AG1218" s="85"/>
      <c r="AH1218" s="85"/>
      <c r="AI1218" s="55"/>
      <c r="AJ1218" s="55"/>
      <c r="AK1218" s="55"/>
      <c r="AL1218" s="55"/>
      <c r="AM1218" s="55"/>
      <c r="AN1218" s="55"/>
      <c r="AO1218" s="55"/>
      <c r="AP1218" s="55"/>
      <c r="AQ1218" s="55"/>
      <c r="AR1218" s="55"/>
      <c r="AS1218" s="55"/>
      <c r="AT1218" s="55"/>
      <c r="AU1218" s="55"/>
      <c r="AV1218" s="55"/>
      <c r="AW1218" s="55"/>
      <c r="AX1218" s="55"/>
      <c r="AY1218" s="55"/>
      <c r="AZ1218" s="55"/>
    </row>
    <row r="1219" spans="2:52" x14ac:dyDescent="0.2">
      <c r="B1219" s="69" t="s">
        <v>172</v>
      </c>
      <c r="C1219" s="80">
        <f>'E2018'!$AI$42+'E2018'!$AI$49</f>
        <v>0</v>
      </c>
      <c r="D1219" s="80">
        <f>'E2020'!$AI$42+'E2020'!$AI$49</f>
        <v>0</v>
      </c>
      <c r="E1219" s="24"/>
      <c r="F1219" s="24"/>
      <c r="G1219" s="31"/>
      <c r="H1219" s="31"/>
      <c r="J1219" s="31"/>
      <c r="K1219" s="31"/>
      <c r="L1219" s="31"/>
      <c r="M1219" s="31"/>
      <c r="N1219" s="31"/>
      <c r="O1219" s="31"/>
      <c r="S1219" s="31"/>
      <c r="T1219" s="31"/>
      <c r="U1219" s="31"/>
      <c r="V1219" s="55"/>
      <c r="W1219" s="85"/>
      <c r="X1219" s="85"/>
      <c r="Y1219" s="85"/>
      <c r="Z1219" s="85"/>
      <c r="AA1219" s="85"/>
      <c r="AB1219" s="85"/>
      <c r="AC1219" s="85"/>
      <c r="AD1219" s="85"/>
      <c r="AE1219" s="85"/>
      <c r="AF1219" s="85"/>
      <c r="AG1219" s="85"/>
      <c r="AH1219" s="85"/>
      <c r="AI1219" s="55"/>
      <c r="AJ1219" s="55"/>
      <c r="AK1219" s="55"/>
      <c r="AL1219" s="55"/>
      <c r="AM1219" s="55"/>
      <c r="AN1219" s="55"/>
      <c r="AO1219" s="55"/>
      <c r="AP1219" s="55"/>
      <c r="AQ1219" s="55"/>
      <c r="AR1219" s="55"/>
      <c r="AS1219" s="55"/>
      <c r="AT1219" s="55"/>
      <c r="AU1219" s="55"/>
      <c r="AV1219" s="55"/>
      <c r="AW1219" s="55"/>
      <c r="AX1219" s="55"/>
      <c r="AY1219" s="55"/>
      <c r="AZ1219" s="55"/>
    </row>
    <row r="1220" spans="2:52" x14ac:dyDescent="0.2">
      <c r="B1220" s="69" t="s">
        <v>171</v>
      </c>
      <c r="C1220" s="80">
        <f>'E2018'!$AI$50+'E2018'!$AI$54</f>
        <v>0</v>
      </c>
      <c r="D1220" s="80">
        <f>'E2020'!$AI$50+'E2020'!$AI$54</f>
        <v>0</v>
      </c>
      <c r="E1220" s="24"/>
      <c r="F1220" s="24"/>
      <c r="G1220" s="31"/>
      <c r="H1220" s="31"/>
      <c r="V1220" s="55"/>
      <c r="W1220" s="55"/>
      <c r="X1220" s="55"/>
      <c r="Y1220" s="55"/>
      <c r="Z1220" s="55"/>
      <c r="AA1220" s="55"/>
      <c r="AB1220" s="55"/>
      <c r="AC1220" s="55"/>
      <c r="AD1220" s="55"/>
      <c r="AE1220" s="55"/>
      <c r="AF1220" s="55"/>
      <c r="AG1220" s="55"/>
      <c r="AH1220" s="55"/>
      <c r="AI1220" s="55"/>
      <c r="AJ1220" s="55"/>
      <c r="AK1220" s="55"/>
      <c r="AL1220" s="55"/>
      <c r="AM1220" s="55"/>
      <c r="AN1220" s="55"/>
      <c r="AO1220" s="55"/>
      <c r="AP1220" s="55"/>
      <c r="AQ1220" s="55"/>
      <c r="AR1220" s="55"/>
      <c r="AS1220" s="55"/>
      <c r="AT1220" s="55"/>
      <c r="AU1220" s="55"/>
      <c r="AV1220" s="55"/>
      <c r="AW1220" s="55"/>
      <c r="AX1220" s="55"/>
      <c r="AY1220" s="55"/>
      <c r="AZ1220" s="55"/>
    </row>
    <row r="1221" spans="2:52" x14ac:dyDescent="0.2">
      <c r="B1221" s="70" t="s">
        <v>97</v>
      </c>
      <c r="C1221" s="71">
        <f>SUM(C1211:C1220)</f>
        <v>21.718000000000007</v>
      </c>
      <c r="D1221" s="71">
        <f>SUM(D1211:D1220)</f>
        <v>20.265423551999998</v>
      </c>
      <c r="E1221" s="71">
        <f>SUM(E1211:E1220)</f>
        <v>21.718000000000007</v>
      </c>
      <c r="F1221" s="71">
        <f>SUM(F1211:F1220)</f>
        <v>20.265423551999998</v>
      </c>
      <c r="G1221" s="31"/>
      <c r="I1221" s="72"/>
      <c r="V1221" s="55"/>
      <c r="W1221" s="55"/>
      <c r="X1221" s="55"/>
      <c r="Y1221" s="55"/>
      <c r="Z1221" s="55"/>
      <c r="AA1221" s="55"/>
      <c r="AB1221" s="55"/>
      <c r="AC1221" s="55"/>
      <c r="AD1221" s="55"/>
      <c r="AE1221" s="55"/>
      <c r="AF1221" s="55"/>
      <c r="AG1221" s="55"/>
      <c r="AH1221" s="55"/>
      <c r="AI1221" s="55"/>
      <c r="AJ1221" s="55"/>
      <c r="AK1221" s="55"/>
      <c r="AL1221" s="55"/>
      <c r="AM1221" s="55"/>
      <c r="AN1221" s="55"/>
      <c r="AO1221" s="55"/>
      <c r="AP1221" s="55"/>
      <c r="AQ1221" s="55"/>
      <c r="AR1221" s="55"/>
      <c r="AS1221" s="55"/>
      <c r="AT1221" s="55"/>
      <c r="AU1221" s="55"/>
      <c r="AV1221" s="55"/>
      <c r="AW1221" s="55"/>
      <c r="AX1221" s="55"/>
      <c r="AY1221" s="55"/>
      <c r="AZ1221" s="55"/>
    </row>
    <row r="1222" spans="2:52" x14ac:dyDescent="0.2">
      <c r="V1222" s="55"/>
      <c r="W1222" s="55"/>
      <c r="X1222" s="55"/>
      <c r="Y1222" s="55"/>
      <c r="Z1222" s="55"/>
      <c r="AA1222" s="55"/>
      <c r="AB1222" s="55"/>
      <c r="AC1222" s="55"/>
      <c r="AD1222" s="55"/>
      <c r="AE1222" s="55"/>
      <c r="AF1222" s="55"/>
      <c r="AG1222" s="55"/>
      <c r="AH1222" s="55"/>
      <c r="AI1222" s="55"/>
      <c r="AJ1222" s="55"/>
      <c r="AK1222" s="55"/>
      <c r="AL1222" s="55"/>
      <c r="AM1222" s="55"/>
      <c r="AN1222" s="55"/>
      <c r="AO1222" s="55"/>
      <c r="AP1222" s="55"/>
      <c r="AQ1222" s="55"/>
      <c r="AR1222" s="55"/>
      <c r="AS1222" s="55"/>
      <c r="AT1222" s="55"/>
      <c r="AU1222" s="55"/>
      <c r="AV1222" s="55"/>
      <c r="AW1222" s="55"/>
      <c r="AX1222" s="55"/>
      <c r="AY1222" s="55"/>
      <c r="AZ1222" s="55"/>
    </row>
    <row r="1223" spans="2:52" x14ac:dyDescent="0.2">
      <c r="V1223" s="55"/>
      <c r="W1223" s="55"/>
      <c r="X1223" s="55"/>
      <c r="Y1223" s="55"/>
      <c r="Z1223" s="55"/>
      <c r="AA1223" s="55"/>
      <c r="AB1223" s="55"/>
      <c r="AC1223" s="55"/>
      <c r="AD1223" s="55"/>
      <c r="AE1223" s="55"/>
      <c r="AF1223" s="55"/>
      <c r="AG1223" s="55"/>
      <c r="AH1223" s="55"/>
      <c r="AI1223" s="55"/>
      <c r="AJ1223" s="55"/>
      <c r="AK1223" s="55"/>
      <c r="AL1223" s="55"/>
      <c r="AM1223" s="55"/>
      <c r="AN1223" s="55"/>
      <c r="AO1223" s="55"/>
      <c r="AP1223" s="55"/>
      <c r="AQ1223" s="55"/>
      <c r="AR1223" s="55"/>
      <c r="AS1223" s="55"/>
      <c r="AT1223" s="55"/>
      <c r="AU1223" s="55"/>
      <c r="AV1223" s="55"/>
      <c r="AW1223" s="55"/>
      <c r="AX1223" s="55"/>
      <c r="AY1223" s="55"/>
      <c r="AZ1223" s="55"/>
    </row>
    <row r="1224" spans="2:52" x14ac:dyDescent="0.2">
      <c r="V1224" s="55"/>
      <c r="W1224" s="55"/>
      <c r="X1224" s="55"/>
      <c r="Y1224" s="55"/>
      <c r="Z1224" s="55"/>
      <c r="AA1224" s="55"/>
      <c r="AB1224" s="55"/>
      <c r="AC1224" s="55"/>
      <c r="AD1224" s="55"/>
      <c r="AE1224" s="55"/>
      <c r="AF1224" s="55"/>
      <c r="AG1224" s="55"/>
      <c r="AH1224" s="55"/>
      <c r="AI1224" s="55"/>
      <c r="AJ1224" s="55"/>
      <c r="AK1224" s="55"/>
      <c r="AL1224" s="55"/>
      <c r="AM1224" s="55"/>
      <c r="AN1224" s="55"/>
      <c r="AO1224" s="55"/>
      <c r="AP1224" s="55"/>
      <c r="AQ1224" s="55"/>
      <c r="AR1224" s="55"/>
      <c r="AS1224" s="55"/>
      <c r="AT1224" s="55"/>
      <c r="AU1224" s="55"/>
      <c r="AV1224" s="55"/>
      <c r="AW1224" s="55"/>
      <c r="AX1224" s="55"/>
      <c r="AY1224" s="55"/>
      <c r="AZ1224" s="55"/>
    </row>
    <row r="1225" spans="2:52" x14ac:dyDescent="0.2">
      <c r="V1225" s="55"/>
      <c r="W1225" s="55"/>
      <c r="X1225" s="55"/>
      <c r="Y1225" s="55"/>
      <c r="Z1225" s="55"/>
      <c r="AA1225" s="55"/>
      <c r="AB1225" s="55"/>
      <c r="AC1225" s="55"/>
      <c r="AD1225" s="55"/>
      <c r="AE1225" s="55"/>
      <c r="AF1225" s="55"/>
      <c r="AG1225" s="55"/>
      <c r="AH1225" s="55"/>
      <c r="AI1225" s="55"/>
      <c r="AJ1225" s="55"/>
      <c r="AK1225" s="55"/>
      <c r="AL1225" s="55"/>
      <c r="AM1225" s="55"/>
      <c r="AN1225" s="55"/>
      <c r="AO1225" s="55"/>
      <c r="AP1225" s="55"/>
      <c r="AQ1225" s="55"/>
      <c r="AR1225" s="55"/>
      <c r="AS1225" s="55"/>
      <c r="AT1225" s="55"/>
      <c r="AU1225" s="55"/>
      <c r="AV1225" s="55"/>
      <c r="AW1225" s="55"/>
      <c r="AX1225" s="55"/>
      <c r="AY1225" s="55"/>
      <c r="AZ1225" s="55"/>
    </row>
    <row r="1226" spans="2:52" x14ac:dyDescent="0.2">
      <c r="V1226" s="55"/>
      <c r="W1226" s="55"/>
      <c r="X1226" s="55"/>
      <c r="Y1226" s="55"/>
      <c r="Z1226" s="55"/>
      <c r="AA1226" s="55"/>
      <c r="AB1226" s="55"/>
      <c r="AC1226" s="55"/>
      <c r="AD1226" s="55"/>
      <c r="AE1226" s="55"/>
      <c r="AF1226" s="55"/>
      <c r="AG1226" s="55"/>
      <c r="AH1226" s="55"/>
      <c r="AI1226" s="55"/>
      <c r="AJ1226" s="55"/>
      <c r="AK1226" s="55"/>
      <c r="AL1226" s="55"/>
      <c r="AM1226" s="55"/>
      <c r="AN1226" s="55"/>
      <c r="AO1226" s="55"/>
      <c r="AP1226" s="55"/>
      <c r="AQ1226" s="55"/>
      <c r="AR1226" s="55"/>
      <c r="AS1226" s="55"/>
      <c r="AT1226" s="55"/>
      <c r="AU1226" s="55"/>
      <c r="AV1226" s="55"/>
      <c r="AW1226" s="55"/>
      <c r="AX1226" s="55"/>
      <c r="AY1226" s="55"/>
      <c r="AZ1226" s="55"/>
    </row>
    <row r="1227" spans="2:52" x14ac:dyDescent="0.2">
      <c r="V1227" s="55"/>
      <c r="W1227" s="55"/>
      <c r="X1227" s="55"/>
      <c r="Y1227" s="55"/>
      <c r="Z1227" s="55"/>
      <c r="AA1227" s="55"/>
      <c r="AB1227" s="55"/>
      <c r="AC1227" s="55"/>
      <c r="AD1227" s="55"/>
      <c r="AE1227" s="55"/>
      <c r="AF1227" s="55"/>
      <c r="AG1227" s="55"/>
      <c r="AH1227" s="55"/>
      <c r="AI1227" s="55"/>
      <c r="AJ1227" s="55"/>
      <c r="AK1227" s="55"/>
      <c r="AL1227" s="55"/>
      <c r="AM1227" s="55"/>
      <c r="AN1227" s="55"/>
      <c r="AO1227" s="55"/>
      <c r="AP1227" s="55"/>
      <c r="AQ1227" s="55"/>
      <c r="AR1227" s="55"/>
      <c r="AS1227" s="55"/>
      <c r="AT1227" s="55"/>
      <c r="AU1227" s="55"/>
      <c r="AV1227" s="55"/>
      <c r="AW1227" s="55"/>
      <c r="AX1227" s="55"/>
      <c r="AY1227" s="55"/>
      <c r="AZ1227" s="55"/>
    </row>
    <row r="1228" spans="2:52" x14ac:dyDescent="0.2">
      <c r="V1228" s="55"/>
      <c r="W1228" s="55"/>
      <c r="X1228" s="55"/>
      <c r="Y1228" s="55"/>
      <c r="Z1228" s="55"/>
      <c r="AA1228" s="55"/>
      <c r="AB1228" s="55"/>
      <c r="AC1228" s="55"/>
      <c r="AD1228" s="55"/>
      <c r="AE1228" s="55"/>
      <c r="AF1228" s="55"/>
      <c r="AG1228" s="55"/>
      <c r="AH1228" s="55"/>
      <c r="AI1228" s="55"/>
      <c r="AJ1228" s="55"/>
      <c r="AK1228" s="55"/>
      <c r="AL1228" s="55"/>
      <c r="AM1228" s="55"/>
      <c r="AN1228" s="55"/>
      <c r="AO1228" s="55"/>
      <c r="AP1228" s="55"/>
      <c r="AQ1228" s="55"/>
      <c r="AR1228" s="55"/>
      <c r="AS1228" s="55"/>
      <c r="AT1228" s="55"/>
      <c r="AU1228" s="55"/>
      <c r="AV1228" s="55"/>
      <c r="AW1228" s="55"/>
      <c r="AX1228" s="55"/>
      <c r="AY1228" s="55"/>
      <c r="AZ1228" s="55"/>
    </row>
    <row r="1229" spans="2:52" x14ac:dyDescent="0.2">
      <c r="V1229" s="55"/>
      <c r="W1229" s="55"/>
      <c r="X1229" s="55"/>
      <c r="Y1229" s="55"/>
      <c r="Z1229" s="55"/>
      <c r="AA1229" s="55"/>
      <c r="AB1229" s="55"/>
      <c r="AC1229" s="55"/>
      <c r="AD1229" s="55"/>
      <c r="AE1229" s="55"/>
      <c r="AF1229" s="55"/>
      <c r="AG1229" s="55"/>
      <c r="AH1229" s="55"/>
      <c r="AI1229" s="55"/>
      <c r="AJ1229" s="55"/>
      <c r="AK1229" s="55"/>
      <c r="AL1229" s="55"/>
      <c r="AM1229" s="55"/>
      <c r="AN1229" s="55"/>
      <c r="AO1229" s="55"/>
      <c r="AP1229" s="55"/>
      <c r="AQ1229" s="55"/>
      <c r="AR1229" s="55"/>
      <c r="AS1229" s="55"/>
      <c r="AT1229" s="55"/>
      <c r="AU1229" s="55"/>
      <c r="AV1229" s="55"/>
      <c r="AW1229" s="55"/>
      <c r="AX1229" s="55"/>
      <c r="AY1229" s="55"/>
      <c r="AZ1229" s="55"/>
    </row>
    <row r="1230" spans="2:52" x14ac:dyDescent="0.2">
      <c r="V1230" s="55"/>
      <c r="W1230" s="55"/>
      <c r="X1230" s="55"/>
      <c r="Y1230" s="55"/>
      <c r="Z1230" s="55"/>
      <c r="AA1230" s="55"/>
      <c r="AB1230" s="55"/>
      <c r="AC1230" s="55"/>
      <c r="AD1230" s="55"/>
      <c r="AE1230" s="55"/>
      <c r="AF1230" s="55"/>
      <c r="AG1230" s="55"/>
      <c r="AH1230" s="55"/>
      <c r="AI1230" s="55"/>
      <c r="AJ1230" s="55"/>
      <c r="AK1230" s="55"/>
      <c r="AL1230" s="55"/>
      <c r="AM1230" s="55"/>
      <c r="AN1230" s="55"/>
      <c r="AO1230" s="55"/>
      <c r="AP1230" s="55"/>
      <c r="AQ1230" s="55"/>
      <c r="AR1230" s="55"/>
      <c r="AS1230" s="55"/>
      <c r="AT1230" s="55"/>
      <c r="AU1230" s="55"/>
      <c r="AV1230" s="55"/>
      <c r="AW1230" s="55"/>
      <c r="AX1230" s="55"/>
      <c r="AY1230" s="55"/>
      <c r="AZ1230" s="55"/>
    </row>
    <row r="1231" spans="2:52" x14ac:dyDescent="0.2">
      <c r="V1231" s="55"/>
      <c r="W1231" s="55"/>
      <c r="X1231" s="55"/>
      <c r="Y1231" s="55"/>
      <c r="Z1231" s="55"/>
      <c r="AA1231" s="55"/>
      <c r="AB1231" s="55"/>
      <c r="AC1231" s="55"/>
      <c r="AD1231" s="55"/>
      <c r="AE1231" s="55"/>
      <c r="AF1231" s="55"/>
      <c r="AG1231" s="55"/>
      <c r="AH1231" s="55"/>
      <c r="AI1231" s="55"/>
      <c r="AJ1231" s="55"/>
      <c r="AK1231" s="55"/>
      <c r="AL1231" s="55"/>
      <c r="AM1231" s="55"/>
      <c r="AN1231" s="55"/>
      <c r="AO1231" s="55"/>
      <c r="AP1231" s="55"/>
      <c r="AQ1231" s="55"/>
      <c r="AR1231" s="55"/>
      <c r="AS1231" s="55"/>
      <c r="AT1231" s="55"/>
      <c r="AU1231" s="55"/>
      <c r="AV1231" s="55"/>
      <c r="AW1231" s="55"/>
      <c r="AX1231" s="55"/>
      <c r="AY1231" s="55"/>
      <c r="AZ1231" s="55"/>
    </row>
    <row r="1232" spans="2:52" x14ac:dyDescent="0.2">
      <c r="V1232" s="55"/>
      <c r="W1232" s="55"/>
      <c r="X1232" s="55"/>
      <c r="Y1232" s="55"/>
      <c r="Z1232" s="55"/>
      <c r="AA1232" s="55"/>
      <c r="AB1232" s="55"/>
      <c r="AC1232" s="55"/>
      <c r="AD1232" s="55"/>
      <c r="AE1232" s="55"/>
      <c r="AF1232" s="55"/>
      <c r="AG1232" s="55"/>
      <c r="AH1232" s="55"/>
      <c r="AI1232" s="55"/>
      <c r="AJ1232" s="55"/>
      <c r="AK1232" s="55"/>
      <c r="AL1232" s="55"/>
      <c r="AM1232" s="55"/>
      <c r="AN1232" s="55"/>
      <c r="AO1232" s="55"/>
      <c r="AP1232" s="55"/>
      <c r="AQ1232" s="55"/>
      <c r="AR1232" s="55"/>
      <c r="AS1232" s="55"/>
      <c r="AT1232" s="55"/>
      <c r="AU1232" s="55"/>
      <c r="AV1232" s="55"/>
      <c r="AW1232" s="55"/>
      <c r="AX1232" s="55"/>
      <c r="AY1232" s="55"/>
      <c r="AZ1232" s="55"/>
    </row>
    <row r="1233" spans="3:52" x14ac:dyDescent="0.2">
      <c r="V1233" s="55"/>
      <c r="W1233" s="55"/>
      <c r="X1233" s="55"/>
      <c r="Y1233" s="55"/>
      <c r="Z1233" s="55"/>
      <c r="AA1233" s="55"/>
      <c r="AB1233" s="55"/>
      <c r="AC1233" s="55"/>
      <c r="AD1233" s="55"/>
      <c r="AE1233" s="55"/>
      <c r="AF1233" s="55"/>
      <c r="AG1233" s="55"/>
      <c r="AH1233" s="55"/>
      <c r="AI1233" s="55"/>
      <c r="AJ1233" s="55"/>
      <c r="AK1233" s="55"/>
      <c r="AL1233" s="55"/>
      <c r="AM1233" s="55"/>
      <c r="AN1233" s="55"/>
      <c r="AO1233" s="55"/>
      <c r="AP1233" s="55"/>
      <c r="AQ1233" s="55"/>
      <c r="AR1233" s="55"/>
      <c r="AS1233" s="55"/>
      <c r="AT1233" s="55"/>
      <c r="AU1233" s="55"/>
      <c r="AV1233" s="55"/>
      <c r="AW1233" s="55"/>
      <c r="AX1233" s="55"/>
      <c r="AY1233" s="55"/>
      <c r="AZ1233" s="55"/>
    </row>
    <row r="1234" spans="3:52" x14ac:dyDescent="0.2">
      <c r="V1234" s="55"/>
      <c r="W1234" s="55"/>
      <c r="X1234" s="55"/>
      <c r="Y1234" s="55"/>
      <c r="Z1234" s="55"/>
      <c r="AA1234" s="55"/>
      <c r="AB1234" s="55"/>
      <c r="AC1234" s="55"/>
      <c r="AD1234" s="55"/>
      <c r="AE1234" s="55"/>
      <c r="AF1234" s="55"/>
      <c r="AG1234" s="55"/>
      <c r="AH1234" s="55"/>
      <c r="AI1234" s="55"/>
      <c r="AJ1234" s="55"/>
      <c r="AK1234" s="55"/>
      <c r="AL1234" s="55"/>
      <c r="AM1234" s="55"/>
      <c r="AN1234" s="55"/>
      <c r="AO1234" s="55"/>
      <c r="AP1234" s="55"/>
      <c r="AQ1234" s="55"/>
      <c r="AR1234" s="55"/>
      <c r="AS1234" s="55"/>
      <c r="AT1234" s="55"/>
      <c r="AU1234" s="55"/>
      <c r="AV1234" s="55"/>
      <c r="AW1234" s="55"/>
      <c r="AX1234" s="55"/>
      <c r="AY1234" s="55"/>
      <c r="AZ1234" s="55"/>
    </row>
    <row r="1235" spans="3:52" x14ac:dyDescent="0.2">
      <c r="V1235" s="55"/>
      <c r="W1235" s="55"/>
      <c r="X1235" s="55"/>
      <c r="Y1235" s="55"/>
      <c r="Z1235" s="55"/>
      <c r="AA1235" s="55"/>
      <c r="AB1235" s="55"/>
      <c r="AC1235" s="55"/>
      <c r="AD1235" s="55"/>
      <c r="AE1235" s="55"/>
      <c r="AF1235" s="55"/>
      <c r="AG1235" s="55"/>
      <c r="AH1235" s="55"/>
      <c r="AI1235" s="55"/>
      <c r="AJ1235" s="55"/>
      <c r="AK1235" s="55"/>
      <c r="AL1235" s="55"/>
      <c r="AM1235" s="55"/>
      <c r="AN1235" s="55"/>
      <c r="AO1235" s="55"/>
      <c r="AP1235" s="55"/>
      <c r="AQ1235" s="55"/>
      <c r="AR1235" s="55"/>
      <c r="AS1235" s="55"/>
      <c r="AT1235" s="55"/>
      <c r="AU1235" s="55"/>
      <c r="AV1235" s="55"/>
      <c r="AW1235" s="55"/>
      <c r="AX1235" s="55"/>
      <c r="AY1235" s="55"/>
      <c r="AZ1235" s="55"/>
    </row>
    <row r="1236" spans="3:52" x14ac:dyDescent="0.2">
      <c r="V1236" s="55"/>
      <c r="W1236" s="55"/>
      <c r="X1236" s="55"/>
      <c r="Y1236" s="55"/>
      <c r="Z1236" s="55"/>
      <c r="AA1236" s="55"/>
      <c r="AB1236" s="55"/>
      <c r="AC1236" s="55"/>
      <c r="AD1236" s="55"/>
      <c r="AE1236" s="55"/>
      <c r="AF1236" s="55"/>
      <c r="AG1236" s="55"/>
      <c r="AH1236" s="55"/>
      <c r="AI1236" s="55"/>
      <c r="AJ1236" s="55"/>
      <c r="AK1236" s="55"/>
      <c r="AL1236" s="55"/>
      <c r="AM1236" s="55"/>
      <c r="AN1236" s="55"/>
      <c r="AO1236" s="55"/>
      <c r="AP1236" s="55"/>
      <c r="AQ1236" s="55"/>
      <c r="AR1236" s="55"/>
      <c r="AS1236" s="55"/>
      <c r="AT1236" s="55"/>
      <c r="AU1236" s="55"/>
      <c r="AV1236" s="55"/>
      <c r="AW1236" s="55"/>
      <c r="AX1236" s="55"/>
      <c r="AY1236" s="55"/>
      <c r="AZ1236" s="55"/>
    </row>
    <row r="1237" spans="3:52" x14ac:dyDescent="0.2">
      <c r="V1237" s="55"/>
      <c r="W1237" s="55"/>
      <c r="X1237" s="55"/>
      <c r="Y1237" s="55"/>
      <c r="Z1237" s="55"/>
      <c r="AA1237" s="55"/>
      <c r="AB1237" s="55"/>
      <c r="AC1237" s="55"/>
      <c r="AD1237" s="55"/>
      <c r="AE1237" s="55"/>
      <c r="AF1237" s="55"/>
      <c r="AG1237" s="55"/>
      <c r="AH1237" s="55"/>
      <c r="AI1237" s="55"/>
      <c r="AJ1237" s="55"/>
      <c r="AK1237" s="55"/>
      <c r="AL1237" s="55"/>
      <c r="AM1237" s="55"/>
      <c r="AN1237" s="55"/>
      <c r="AO1237" s="55"/>
      <c r="AP1237" s="55"/>
      <c r="AQ1237" s="55"/>
      <c r="AR1237" s="55"/>
      <c r="AS1237" s="55"/>
      <c r="AT1237" s="55"/>
      <c r="AU1237" s="55"/>
      <c r="AV1237" s="55"/>
      <c r="AW1237" s="55"/>
      <c r="AX1237" s="55"/>
      <c r="AY1237" s="55"/>
      <c r="AZ1237" s="55"/>
    </row>
    <row r="1238" spans="3:52" x14ac:dyDescent="0.2">
      <c r="V1238" s="55"/>
      <c r="W1238" s="55"/>
      <c r="X1238" s="55"/>
      <c r="Y1238" s="55"/>
      <c r="Z1238" s="55"/>
      <c r="AA1238" s="55"/>
      <c r="AB1238" s="55"/>
      <c r="AC1238" s="55"/>
      <c r="AD1238" s="55"/>
      <c r="AE1238" s="55"/>
      <c r="AF1238" s="55"/>
      <c r="AG1238" s="55"/>
      <c r="AH1238" s="55"/>
      <c r="AI1238" s="55"/>
      <c r="AJ1238" s="55"/>
      <c r="AK1238" s="55"/>
      <c r="AL1238" s="55"/>
      <c r="AM1238" s="55"/>
      <c r="AN1238" s="55"/>
      <c r="AO1238" s="55"/>
      <c r="AP1238" s="55"/>
      <c r="AQ1238" s="55"/>
      <c r="AR1238" s="55"/>
      <c r="AS1238" s="55"/>
      <c r="AT1238" s="55"/>
      <c r="AU1238" s="55"/>
      <c r="AV1238" s="55"/>
      <c r="AW1238" s="55"/>
      <c r="AX1238" s="55"/>
      <c r="AY1238" s="55"/>
      <c r="AZ1238" s="55"/>
    </row>
    <row r="1239" spans="3:52" x14ac:dyDescent="0.2">
      <c r="V1239" s="55"/>
      <c r="W1239" s="55"/>
      <c r="X1239" s="55"/>
      <c r="Y1239" s="55"/>
      <c r="Z1239" s="55"/>
      <c r="AA1239" s="55"/>
      <c r="AB1239" s="55"/>
      <c r="AC1239" s="55"/>
      <c r="AD1239" s="55"/>
      <c r="AE1239" s="55"/>
      <c r="AF1239" s="55"/>
      <c r="AG1239" s="55"/>
      <c r="AH1239" s="55"/>
      <c r="AI1239" s="55"/>
      <c r="AJ1239" s="55"/>
      <c r="AK1239" s="55"/>
      <c r="AL1239" s="55"/>
      <c r="AM1239" s="55"/>
      <c r="AN1239" s="55"/>
      <c r="AO1239" s="55"/>
      <c r="AP1239" s="55"/>
      <c r="AQ1239" s="55"/>
      <c r="AR1239" s="55"/>
      <c r="AS1239" s="55"/>
      <c r="AT1239" s="55"/>
      <c r="AU1239" s="55"/>
      <c r="AV1239" s="55"/>
      <c r="AW1239" s="55"/>
      <c r="AX1239" s="55"/>
      <c r="AY1239" s="55"/>
      <c r="AZ1239" s="55"/>
    </row>
    <row r="1240" spans="3:52" x14ac:dyDescent="0.2">
      <c r="V1240" s="55"/>
      <c r="W1240" s="55"/>
      <c r="X1240" s="55"/>
      <c r="Y1240" s="55"/>
      <c r="Z1240" s="55"/>
      <c r="AA1240" s="55"/>
      <c r="AB1240" s="55"/>
      <c r="AC1240" s="55"/>
      <c r="AD1240" s="55"/>
      <c r="AE1240" s="55"/>
      <c r="AF1240" s="55"/>
      <c r="AG1240" s="55"/>
      <c r="AH1240" s="55"/>
      <c r="AI1240" s="55"/>
      <c r="AJ1240" s="55"/>
      <c r="AK1240" s="55"/>
      <c r="AL1240" s="55"/>
      <c r="AM1240" s="55"/>
      <c r="AN1240" s="55"/>
      <c r="AO1240" s="55"/>
      <c r="AP1240" s="55"/>
      <c r="AQ1240" s="55"/>
      <c r="AR1240" s="55"/>
      <c r="AS1240" s="55"/>
      <c r="AT1240" s="55"/>
      <c r="AU1240" s="55"/>
      <c r="AV1240" s="55"/>
      <c r="AW1240" s="55"/>
      <c r="AX1240" s="55"/>
      <c r="AY1240" s="55"/>
      <c r="AZ1240" s="55"/>
    </row>
    <row r="1241" spans="3:52" x14ac:dyDescent="0.2">
      <c r="V1241" s="55"/>
      <c r="W1241" s="55"/>
      <c r="X1241" s="55"/>
      <c r="Y1241" s="55"/>
      <c r="Z1241" s="55"/>
      <c r="AA1241" s="55"/>
      <c r="AB1241" s="55"/>
      <c r="AC1241" s="55"/>
      <c r="AD1241" s="55"/>
      <c r="AE1241" s="55"/>
      <c r="AF1241" s="55"/>
      <c r="AG1241" s="55"/>
      <c r="AH1241" s="55"/>
      <c r="AI1241" s="55"/>
      <c r="AJ1241" s="55"/>
      <c r="AK1241" s="55"/>
      <c r="AL1241" s="55"/>
      <c r="AM1241" s="55"/>
      <c r="AN1241" s="55"/>
      <c r="AO1241" s="55"/>
      <c r="AP1241" s="55"/>
      <c r="AQ1241" s="55"/>
      <c r="AR1241" s="55"/>
      <c r="AS1241" s="55"/>
      <c r="AT1241" s="55"/>
      <c r="AU1241" s="55"/>
      <c r="AV1241" s="55"/>
      <c r="AW1241" s="55"/>
      <c r="AX1241" s="55"/>
      <c r="AY1241" s="55"/>
      <c r="AZ1241" s="55"/>
    </row>
    <row r="1242" spans="3:52" x14ac:dyDescent="0.2">
      <c r="V1242" s="55"/>
      <c r="W1242" s="55"/>
      <c r="X1242" s="55"/>
      <c r="Y1242" s="55"/>
      <c r="Z1242" s="55"/>
      <c r="AA1242" s="55"/>
      <c r="AB1242" s="55"/>
      <c r="AC1242" s="55"/>
      <c r="AD1242" s="55"/>
      <c r="AE1242" s="55"/>
      <c r="AF1242" s="55"/>
      <c r="AG1242" s="55"/>
      <c r="AH1242" s="55"/>
      <c r="AI1242" s="55"/>
      <c r="AJ1242" s="55"/>
      <c r="AK1242" s="55"/>
      <c r="AL1242" s="55"/>
      <c r="AM1242" s="55"/>
      <c r="AN1242" s="55"/>
      <c r="AO1242" s="55"/>
      <c r="AP1242" s="55"/>
      <c r="AQ1242" s="55"/>
      <c r="AR1242" s="55"/>
      <c r="AS1242" s="55"/>
      <c r="AT1242" s="55"/>
      <c r="AU1242" s="55"/>
      <c r="AV1242" s="55"/>
      <c r="AW1242" s="55"/>
      <c r="AX1242" s="55"/>
      <c r="AY1242" s="55"/>
      <c r="AZ1242" s="55"/>
    </row>
    <row r="1243" spans="3:52" x14ac:dyDescent="0.2">
      <c r="V1243" s="55"/>
      <c r="W1243" s="55"/>
      <c r="X1243" s="55"/>
      <c r="Y1243" s="55"/>
      <c r="Z1243" s="55"/>
      <c r="AA1243" s="55"/>
      <c r="AB1243" s="55"/>
      <c r="AC1243" s="55"/>
      <c r="AD1243" s="55"/>
      <c r="AE1243" s="55"/>
      <c r="AF1243" s="55"/>
      <c r="AG1243" s="55"/>
      <c r="AH1243" s="55"/>
      <c r="AI1243" s="55"/>
      <c r="AJ1243" s="55"/>
      <c r="AK1243" s="55"/>
      <c r="AL1243" s="55"/>
      <c r="AM1243" s="55"/>
      <c r="AN1243" s="55"/>
      <c r="AO1243" s="55"/>
      <c r="AP1243" s="55"/>
      <c r="AQ1243" s="55"/>
      <c r="AR1243" s="55"/>
      <c r="AS1243" s="55"/>
      <c r="AT1243" s="55"/>
      <c r="AU1243" s="55"/>
      <c r="AV1243" s="55"/>
      <c r="AW1243" s="55"/>
      <c r="AX1243" s="55"/>
      <c r="AY1243" s="55"/>
      <c r="AZ1243" s="55"/>
    </row>
    <row r="1244" spans="3:52" x14ac:dyDescent="0.2">
      <c r="V1244" s="55"/>
      <c r="W1244" s="55"/>
      <c r="X1244" s="55"/>
      <c r="Y1244" s="55"/>
      <c r="Z1244" s="55"/>
      <c r="AA1244" s="55"/>
      <c r="AB1244" s="55"/>
      <c r="AC1244" s="55"/>
      <c r="AD1244" s="55"/>
      <c r="AE1244" s="55"/>
      <c r="AF1244" s="55"/>
      <c r="AG1244" s="55"/>
      <c r="AH1244" s="55"/>
      <c r="AI1244" s="55"/>
      <c r="AJ1244" s="55"/>
      <c r="AK1244" s="55"/>
      <c r="AL1244" s="55"/>
      <c r="AM1244" s="55"/>
      <c r="AN1244" s="55"/>
      <c r="AO1244" s="55"/>
      <c r="AP1244" s="55"/>
      <c r="AQ1244" s="55"/>
      <c r="AR1244" s="55"/>
      <c r="AS1244" s="55"/>
      <c r="AT1244" s="55"/>
      <c r="AU1244" s="55"/>
      <c r="AV1244" s="55"/>
      <c r="AW1244" s="55"/>
      <c r="AX1244" s="55"/>
      <c r="AY1244" s="55"/>
      <c r="AZ1244" s="55"/>
    </row>
    <row r="1245" spans="3:52" x14ac:dyDescent="0.2">
      <c r="V1245" s="55"/>
      <c r="W1245" s="55"/>
      <c r="X1245" s="55"/>
      <c r="Y1245" s="55"/>
      <c r="Z1245" s="55"/>
      <c r="AA1245" s="55"/>
      <c r="AB1245" s="55"/>
      <c r="AC1245" s="55"/>
      <c r="AD1245" s="55"/>
      <c r="AE1245" s="55"/>
      <c r="AF1245" s="55"/>
      <c r="AG1245" s="55"/>
      <c r="AH1245" s="55"/>
      <c r="AI1245" s="55"/>
      <c r="AJ1245" s="55"/>
      <c r="AK1245" s="55"/>
      <c r="AL1245" s="55"/>
      <c r="AM1245" s="55"/>
      <c r="AN1245" s="55"/>
      <c r="AO1245" s="55"/>
      <c r="AP1245" s="55"/>
      <c r="AQ1245" s="55"/>
      <c r="AR1245" s="55"/>
      <c r="AS1245" s="55"/>
      <c r="AT1245" s="55"/>
      <c r="AU1245" s="55"/>
      <c r="AV1245" s="55"/>
      <c r="AW1245" s="55"/>
      <c r="AX1245" s="55"/>
      <c r="AY1245" s="55"/>
      <c r="AZ1245" s="55"/>
    </row>
    <row r="1246" spans="3:52" x14ac:dyDescent="0.2">
      <c r="V1246" s="55"/>
      <c r="W1246" s="55"/>
      <c r="X1246" s="55"/>
      <c r="Y1246" s="55"/>
      <c r="Z1246" s="55"/>
      <c r="AA1246" s="55"/>
      <c r="AB1246" s="55"/>
      <c r="AC1246" s="55"/>
      <c r="AD1246" s="55"/>
      <c r="AE1246" s="55"/>
      <c r="AF1246" s="55"/>
      <c r="AG1246" s="55"/>
      <c r="AH1246" s="55"/>
      <c r="AI1246" s="55"/>
      <c r="AJ1246" s="55"/>
      <c r="AK1246" s="55"/>
      <c r="AL1246" s="55"/>
      <c r="AM1246" s="55"/>
      <c r="AN1246" s="55"/>
      <c r="AO1246" s="55"/>
      <c r="AP1246" s="55"/>
      <c r="AQ1246" s="55"/>
      <c r="AR1246" s="55"/>
      <c r="AS1246" s="55"/>
      <c r="AT1246" s="55"/>
      <c r="AU1246" s="55"/>
      <c r="AV1246" s="55"/>
      <c r="AW1246" s="55"/>
      <c r="AX1246" s="55"/>
      <c r="AY1246" s="55"/>
      <c r="AZ1246" s="55"/>
    </row>
    <row r="1247" spans="3:52" x14ac:dyDescent="0.2">
      <c r="V1247" s="55"/>
      <c r="W1247" s="55"/>
      <c r="X1247" s="55"/>
      <c r="Y1247" s="55"/>
      <c r="Z1247" s="55"/>
      <c r="AA1247" s="55"/>
      <c r="AB1247" s="55"/>
      <c r="AC1247" s="55"/>
      <c r="AD1247" s="55"/>
      <c r="AE1247" s="55"/>
      <c r="AF1247" s="55"/>
      <c r="AG1247" s="55"/>
      <c r="AH1247" s="55"/>
      <c r="AI1247" s="55"/>
      <c r="AJ1247" s="55"/>
      <c r="AK1247" s="55"/>
      <c r="AL1247" s="55"/>
      <c r="AM1247" s="55"/>
      <c r="AN1247" s="55"/>
      <c r="AO1247" s="55"/>
      <c r="AP1247" s="55"/>
      <c r="AQ1247" s="55"/>
      <c r="AR1247" s="55"/>
      <c r="AS1247" s="55"/>
      <c r="AT1247" s="55"/>
      <c r="AU1247" s="55"/>
      <c r="AV1247" s="55"/>
      <c r="AW1247" s="55"/>
      <c r="AX1247" s="55"/>
      <c r="AY1247" s="55"/>
      <c r="AZ1247" s="55"/>
    </row>
    <row r="1248" spans="3:52" x14ac:dyDescent="0.2">
      <c r="C1248" s="73"/>
      <c r="D1248" s="73"/>
      <c r="H1248" s="31"/>
      <c r="I1248" s="31"/>
      <c r="J1248" s="31"/>
      <c r="K1248" s="31"/>
      <c r="L1248" s="31"/>
      <c r="M1248" s="31"/>
      <c r="N1248" s="31"/>
      <c r="O1248" s="31"/>
      <c r="T1248" s="31"/>
      <c r="U1248" s="31"/>
      <c r="V1248" s="62"/>
      <c r="W1248" s="62"/>
      <c r="X1248" s="55"/>
      <c r="Y1248" s="55"/>
      <c r="Z1248" s="55"/>
      <c r="AA1248" s="55"/>
      <c r="AB1248" s="55"/>
      <c r="AC1248" s="55"/>
      <c r="AD1248" s="55"/>
      <c r="AE1248" s="55"/>
      <c r="AF1248" s="55"/>
      <c r="AG1248" s="55"/>
      <c r="AH1248" s="55"/>
      <c r="AI1248" s="55"/>
      <c r="AJ1248" s="55"/>
      <c r="AK1248" s="55"/>
      <c r="AL1248" s="55"/>
      <c r="AM1248" s="55"/>
      <c r="AN1248" s="55"/>
      <c r="AO1248" s="55"/>
      <c r="AP1248" s="55"/>
      <c r="AQ1248" s="55"/>
      <c r="AR1248" s="55"/>
      <c r="AS1248" s="55"/>
      <c r="AT1248" s="55"/>
      <c r="AU1248" s="55"/>
      <c r="AV1248" s="55"/>
      <c r="AW1248" s="55"/>
      <c r="AX1248" s="55"/>
      <c r="AY1248" s="55"/>
      <c r="AZ1248" s="55"/>
    </row>
    <row r="1249" spans="2:52" x14ac:dyDescent="0.2">
      <c r="C1249" s="73"/>
      <c r="D1249" s="73"/>
      <c r="V1249" s="55"/>
      <c r="W1249" s="55"/>
      <c r="X1249" s="55"/>
      <c r="Y1249" s="55"/>
      <c r="Z1249" s="55"/>
      <c r="AA1249" s="55"/>
      <c r="AB1249" s="55"/>
      <c r="AC1249" s="55"/>
      <c r="AD1249" s="55"/>
      <c r="AE1249" s="55"/>
      <c r="AF1249" s="55"/>
      <c r="AG1249" s="55"/>
      <c r="AH1249" s="55"/>
      <c r="AI1249" s="55"/>
      <c r="AJ1249" s="55"/>
      <c r="AK1249" s="55"/>
      <c r="AL1249" s="55"/>
      <c r="AM1249" s="55"/>
      <c r="AN1249" s="55"/>
      <c r="AO1249" s="55"/>
      <c r="AP1249" s="55"/>
      <c r="AQ1249" s="55"/>
      <c r="AR1249" s="55"/>
      <c r="AS1249" s="55"/>
      <c r="AT1249" s="55"/>
      <c r="AU1249" s="55"/>
      <c r="AV1249" s="55"/>
      <c r="AW1249" s="55"/>
      <c r="AX1249" s="55"/>
      <c r="AY1249" s="55"/>
      <c r="AZ1249" s="55"/>
    </row>
    <row r="1250" spans="2:52" x14ac:dyDescent="0.2">
      <c r="E1250" s="31"/>
      <c r="F1250" s="31"/>
      <c r="G1250" s="31"/>
      <c r="V1250" s="55"/>
      <c r="W1250" s="55"/>
      <c r="X1250" s="55"/>
      <c r="Y1250" s="55"/>
      <c r="Z1250" s="55"/>
      <c r="AA1250" s="55"/>
      <c r="AB1250" s="55"/>
      <c r="AC1250" s="55"/>
      <c r="AD1250" s="55"/>
      <c r="AE1250" s="55"/>
      <c r="AF1250" s="55"/>
      <c r="AG1250" s="55"/>
      <c r="AH1250" s="55"/>
      <c r="AI1250" s="55"/>
      <c r="AJ1250" s="55"/>
      <c r="AK1250" s="55"/>
      <c r="AL1250" s="55"/>
      <c r="AM1250" s="55"/>
      <c r="AN1250" s="55"/>
      <c r="AO1250" s="55"/>
      <c r="AP1250" s="55"/>
      <c r="AQ1250" s="55"/>
      <c r="AR1250" s="55"/>
      <c r="AS1250" s="55"/>
      <c r="AT1250" s="55"/>
      <c r="AU1250" s="55"/>
      <c r="AV1250" s="55"/>
      <c r="AW1250" s="55"/>
      <c r="AX1250" s="55"/>
      <c r="AY1250" s="55"/>
      <c r="AZ1250" s="55"/>
    </row>
    <row r="1251" spans="2:52" x14ac:dyDescent="0.2">
      <c r="B1251" s="82" t="s">
        <v>5155</v>
      </c>
      <c r="C1251" s="3256"/>
      <c r="D1251" s="85"/>
      <c r="E1251" s="85"/>
      <c r="F1251" s="55"/>
      <c r="G1251" s="55"/>
      <c r="H1251" s="55"/>
      <c r="I1251" s="55"/>
      <c r="J1251" s="55"/>
      <c r="K1251" s="55"/>
      <c r="V1251" s="55"/>
      <c r="W1251" s="55"/>
      <c r="X1251" s="55"/>
      <c r="Y1251" s="55"/>
      <c r="Z1251" s="55"/>
      <c r="AA1251" s="55"/>
      <c r="AB1251" s="55"/>
      <c r="AC1251" s="55"/>
      <c r="AD1251" s="55"/>
      <c r="AE1251" s="55"/>
      <c r="AF1251" s="55"/>
      <c r="AG1251" s="55"/>
      <c r="AH1251" s="55"/>
      <c r="AI1251" s="55"/>
      <c r="AJ1251" s="55"/>
      <c r="AK1251" s="55"/>
      <c r="AL1251" s="55"/>
      <c r="AM1251" s="55"/>
      <c r="AN1251" s="55"/>
      <c r="AO1251" s="55"/>
      <c r="AP1251" s="55"/>
      <c r="AQ1251" s="55"/>
      <c r="AR1251" s="55"/>
      <c r="AS1251" s="55"/>
      <c r="AT1251" s="55"/>
      <c r="AU1251" s="55"/>
      <c r="AV1251" s="55"/>
      <c r="AW1251" s="55"/>
      <c r="AX1251" s="55"/>
      <c r="AY1251" s="55"/>
      <c r="AZ1251" s="55"/>
    </row>
    <row r="1252" spans="2:52" x14ac:dyDescent="0.2">
      <c r="E1252" s="31"/>
      <c r="F1252" s="31"/>
      <c r="G1252" s="31"/>
      <c r="V1252" s="55"/>
      <c r="W1252" s="55"/>
      <c r="X1252" s="55"/>
      <c r="Y1252" s="55"/>
      <c r="Z1252" s="55"/>
      <c r="AA1252" s="55"/>
      <c r="AB1252" s="55"/>
      <c r="AC1252" s="55"/>
      <c r="AD1252" s="55"/>
      <c r="AE1252" s="55"/>
      <c r="AF1252" s="55"/>
      <c r="AG1252" s="55"/>
      <c r="AH1252" s="55"/>
      <c r="AI1252" s="55"/>
      <c r="AJ1252" s="55"/>
      <c r="AK1252" s="55"/>
      <c r="AL1252" s="55"/>
      <c r="AM1252" s="55"/>
      <c r="AN1252" s="55"/>
      <c r="AO1252" s="55"/>
      <c r="AP1252" s="55"/>
      <c r="AQ1252" s="55"/>
      <c r="AR1252" s="55"/>
      <c r="AS1252" s="55"/>
      <c r="AT1252" s="55"/>
      <c r="AU1252" s="55"/>
      <c r="AV1252" s="55"/>
      <c r="AW1252" s="55"/>
      <c r="AX1252" s="55"/>
      <c r="AY1252" s="55"/>
      <c r="AZ1252" s="55"/>
    </row>
    <row r="1253" spans="2:52" x14ac:dyDescent="0.2">
      <c r="B1253" s="58" t="s">
        <v>5155</v>
      </c>
      <c r="C1253" s="61" t="s">
        <v>79</v>
      </c>
      <c r="D1253" s="61" t="s">
        <v>79</v>
      </c>
      <c r="E1253" s="61" t="s">
        <v>79</v>
      </c>
      <c r="F1253" s="61" t="s">
        <v>79</v>
      </c>
      <c r="V1253" s="55"/>
      <c r="W1253" s="55"/>
      <c r="X1253" s="55"/>
      <c r="Y1253" s="55"/>
      <c r="Z1253" s="55"/>
      <c r="AA1253" s="55"/>
      <c r="AB1253" s="55"/>
      <c r="AC1253" s="55"/>
      <c r="AD1253" s="55"/>
      <c r="AE1253" s="55"/>
      <c r="AF1253" s="55"/>
      <c r="AG1253" s="55"/>
      <c r="AH1253" s="55"/>
      <c r="AI1253" s="55"/>
      <c r="AJ1253" s="55"/>
      <c r="AK1253" s="55"/>
      <c r="AL1253" s="55"/>
      <c r="AM1253" s="55"/>
      <c r="AN1253" s="55"/>
      <c r="AO1253" s="55"/>
      <c r="AP1253" s="55"/>
      <c r="AQ1253" s="55"/>
      <c r="AR1253" s="55"/>
      <c r="AS1253" s="55"/>
      <c r="AT1253" s="55"/>
      <c r="AU1253" s="55"/>
      <c r="AV1253" s="55"/>
      <c r="AW1253" s="55"/>
      <c r="AX1253" s="55"/>
      <c r="AY1253" s="55"/>
      <c r="AZ1253" s="55"/>
    </row>
    <row r="1254" spans="2:52" x14ac:dyDescent="0.2">
      <c r="B1254" s="28"/>
      <c r="C1254" s="5020" t="s">
        <v>146</v>
      </c>
      <c r="D1254" s="5022"/>
      <c r="E1254" s="5020" t="s">
        <v>147</v>
      </c>
      <c r="F1254" s="5022"/>
      <c r="V1254" s="55"/>
      <c r="W1254" s="55"/>
      <c r="X1254" s="55"/>
      <c r="Y1254" s="55"/>
      <c r="Z1254" s="55"/>
      <c r="AA1254" s="55"/>
      <c r="AB1254" s="55"/>
      <c r="AC1254" s="55"/>
      <c r="AD1254" s="55"/>
      <c r="AE1254" s="55"/>
      <c r="AF1254" s="55"/>
      <c r="AG1254" s="55"/>
      <c r="AH1254" s="55"/>
      <c r="AI1254" s="55"/>
      <c r="AJ1254" s="55"/>
      <c r="AK1254" s="55"/>
      <c r="AL1254" s="55"/>
      <c r="AM1254" s="55"/>
      <c r="AN1254" s="55"/>
      <c r="AO1254" s="55"/>
      <c r="AP1254" s="55"/>
      <c r="AQ1254" s="55"/>
      <c r="AR1254" s="55"/>
      <c r="AS1254" s="55"/>
      <c r="AT1254" s="55"/>
      <c r="AU1254" s="55"/>
      <c r="AV1254" s="55"/>
      <c r="AW1254" s="55"/>
      <c r="AX1254" s="55"/>
      <c r="AY1254" s="55"/>
      <c r="AZ1254" s="55"/>
    </row>
    <row r="1255" spans="2:52" x14ac:dyDescent="0.2">
      <c r="B1255" s="2658"/>
      <c r="C1255" s="3239">
        <f>D56</f>
        <v>2018</v>
      </c>
      <c r="D1255" s="3239">
        <f>E56</f>
        <v>2020</v>
      </c>
      <c r="E1255" s="3239">
        <f>D56</f>
        <v>2018</v>
      </c>
      <c r="F1255" s="3242">
        <f>E56</f>
        <v>2020</v>
      </c>
      <c r="V1255" s="55"/>
      <c r="W1255" s="55"/>
      <c r="X1255" s="55"/>
      <c r="Y1255" s="55"/>
      <c r="Z1255" s="55"/>
      <c r="AA1255" s="55"/>
      <c r="AB1255" s="55"/>
      <c r="AC1255" s="55"/>
      <c r="AD1255" s="55"/>
      <c r="AE1255" s="55"/>
      <c r="AF1255" s="55"/>
      <c r="AG1255" s="55"/>
      <c r="AH1255" s="55"/>
      <c r="AI1255" s="55"/>
      <c r="AJ1255" s="55"/>
      <c r="AK1255" s="55"/>
      <c r="AL1255" s="55"/>
      <c r="AM1255" s="55"/>
      <c r="AN1255" s="55"/>
      <c r="AO1255" s="55"/>
      <c r="AP1255" s="55"/>
      <c r="AQ1255" s="55"/>
      <c r="AR1255" s="55"/>
      <c r="AS1255" s="55"/>
      <c r="AT1255" s="55"/>
      <c r="AU1255" s="55"/>
      <c r="AV1255" s="55"/>
      <c r="AW1255" s="55"/>
      <c r="AX1255" s="55"/>
      <c r="AY1255" s="55"/>
      <c r="AZ1255" s="55"/>
    </row>
    <row r="1256" spans="2:52" x14ac:dyDescent="0.2">
      <c r="B1256" s="28" t="s">
        <v>147</v>
      </c>
      <c r="C1256" s="24"/>
      <c r="D1256" s="24"/>
      <c r="E1256" s="24">
        <f>SUM('E2018'!$AJ$33:$AJ$60)</f>
        <v>16.288500000000006</v>
      </c>
      <c r="F1256" s="24">
        <f>SUM('E2020'!$AJ$33:$AJ$60)</f>
        <v>15.199067663999998</v>
      </c>
      <c r="V1256" s="55"/>
      <c r="W1256" s="55"/>
      <c r="X1256" s="55"/>
      <c r="Y1256" s="55"/>
      <c r="Z1256" s="55"/>
      <c r="AA1256" s="55"/>
      <c r="AB1256" s="55"/>
      <c r="AC1256" s="55"/>
      <c r="AD1256" s="55"/>
      <c r="AE1256" s="55"/>
      <c r="AF1256" s="55"/>
      <c r="AG1256" s="55"/>
      <c r="AH1256" s="55"/>
      <c r="AI1256" s="55"/>
      <c r="AJ1256" s="55"/>
      <c r="AK1256" s="55"/>
      <c r="AL1256" s="55"/>
      <c r="AM1256" s="55"/>
      <c r="AN1256" s="55"/>
      <c r="AO1256" s="55"/>
      <c r="AP1256" s="55"/>
      <c r="AQ1256" s="55"/>
      <c r="AR1256" s="55"/>
      <c r="AS1256" s="55"/>
      <c r="AT1256" s="55"/>
      <c r="AU1256" s="55"/>
      <c r="AV1256" s="55"/>
      <c r="AW1256" s="55"/>
      <c r="AX1256" s="55"/>
      <c r="AY1256" s="55"/>
      <c r="AZ1256" s="55"/>
    </row>
    <row r="1257" spans="2:52" x14ac:dyDescent="0.2">
      <c r="B1257" s="28" t="s">
        <v>149</v>
      </c>
      <c r="C1257" s="24"/>
      <c r="D1257" s="24"/>
      <c r="E1257" s="24">
        <f>-('E2018'!$AI$33+'E2018'!$AJ$33)-('E2018'!$AI$36+'E2018'!$AJ$36)-('E2018'!$AI$43+'E2018'!$AJ$43)-('E2018'!$AI$51+'E2018'!$AJ$51)-('E2018'!$AI$60+'E2018'!$AJ$60)</f>
        <v>5.4295000000000009</v>
      </c>
      <c r="F1257" s="24">
        <f>-('E2020'!$AI$33+'E2020'!$AJ$33)-('E2020'!$AI$36+'E2020'!$AJ$36)-('E2020'!$AI$43+'E2020'!$AJ$43)-('E2020'!$AI$51+'E2020'!$AJ$51)-('E2020'!$AI$60+'E2020'!$AJ$60)</f>
        <v>5.0663558880000004</v>
      </c>
      <c r="V1257" s="55"/>
      <c r="W1257" s="55"/>
      <c r="X1257" s="55"/>
      <c r="Y1257" s="55"/>
      <c r="Z1257" s="55"/>
      <c r="AA1257" s="55"/>
      <c r="AB1257" s="55"/>
      <c r="AC1257" s="55"/>
      <c r="AD1257" s="55"/>
      <c r="AE1257" s="55"/>
      <c r="AF1257" s="55"/>
      <c r="AG1257" s="55"/>
      <c r="AH1257" s="55"/>
      <c r="AI1257" s="55"/>
      <c r="AJ1257" s="55"/>
      <c r="AK1257" s="55"/>
      <c r="AL1257" s="55"/>
      <c r="AM1257" s="55"/>
      <c r="AN1257" s="55"/>
      <c r="AO1257" s="55"/>
      <c r="AP1257" s="55"/>
      <c r="AQ1257" s="55"/>
      <c r="AR1257" s="55"/>
      <c r="AS1257" s="55"/>
      <c r="AT1257" s="55"/>
      <c r="AU1257" s="55"/>
      <c r="AV1257" s="55"/>
      <c r="AW1257" s="55"/>
      <c r="AX1257" s="55"/>
      <c r="AY1257" s="55"/>
      <c r="AZ1257" s="55"/>
    </row>
    <row r="1258" spans="2:52" x14ac:dyDescent="0.2">
      <c r="B1258" s="91" t="s">
        <v>166</v>
      </c>
      <c r="C1258" s="91"/>
      <c r="D1258" s="91"/>
      <c r="E1258" s="86">
        <f>(-'E2018'!$AI$56)</f>
        <v>0</v>
      </c>
      <c r="F1258" s="86">
        <f>(-'E2020'!$AI$56)</f>
        <v>0</v>
      </c>
      <c r="V1258" s="55"/>
      <c r="W1258" s="55"/>
      <c r="X1258" s="55"/>
      <c r="Y1258" s="55"/>
      <c r="Z1258" s="55"/>
      <c r="AA1258" s="55"/>
      <c r="AB1258" s="55"/>
      <c r="AC1258" s="55"/>
      <c r="AD1258" s="55"/>
      <c r="AE1258" s="55"/>
      <c r="AF1258" s="55"/>
      <c r="AG1258" s="55"/>
      <c r="AH1258" s="55"/>
      <c r="AI1258" s="55"/>
      <c r="AJ1258" s="55"/>
      <c r="AK1258" s="55"/>
      <c r="AL1258" s="55"/>
      <c r="AM1258" s="55"/>
      <c r="AN1258" s="55"/>
      <c r="AO1258" s="55"/>
      <c r="AP1258" s="55"/>
      <c r="AQ1258" s="55"/>
      <c r="AR1258" s="55"/>
      <c r="AS1258" s="55"/>
      <c r="AT1258" s="55"/>
      <c r="AU1258" s="55"/>
      <c r="AV1258" s="55"/>
      <c r="AW1258" s="55"/>
      <c r="AX1258" s="55"/>
      <c r="AY1258" s="55"/>
      <c r="AZ1258" s="55"/>
    </row>
    <row r="1259" spans="2:52" x14ac:dyDescent="0.2">
      <c r="B1259" s="28"/>
      <c r="C1259" s="24"/>
      <c r="D1259" s="24"/>
      <c r="E1259" s="24"/>
      <c r="F1259" s="24"/>
      <c r="J1259" s="31"/>
      <c r="V1259" s="55"/>
      <c r="W1259" s="55"/>
      <c r="X1259" s="55"/>
      <c r="Y1259" s="55"/>
      <c r="Z1259" s="55"/>
      <c r="AA1259" s="55"/>
      <c r="AB1259" s="55"/>
      <c r="AC1259" s="55"/>
      <c r="AD1259" s="55"/>
      <c r="AE1259" s="55"/>
      <c r="AF1259" s="55"/>
      <c r="AG1259" s="55"/>
      <c r="AH1259" s="55"/>
      <c r="AI1259" s="55"/>
      <c r="AJ1259" s="55"/>
      <c r="AK1259" s="55"/>
      <c r="AL1259" s="55"/>
      <c r="AM1259" s="55"/>
      <c r="AN1259" s="55"/>
      <c r="AO1259" s="55"/>
      <c r="AP1259" s="55"/>
      <c r="AQ1259" s="55"/>
      <c r="AR1259" s="55"/>
      <c r="AS1259" s="55"/>
      <c r="AT1259" s="55"/>
      <c r="AU1259" s="55"/>
      <c r="AV1259" s="55"/>
      <c r="AW1259" s="55"/>
      <c r="AX1259" s="55"/>
      <c r="AY1259" s="55"/>
      <c r="AZ1259" s="55"/>
    </row>
    <row r="1260" spans="2:52" x14ac:dyDescent="0.2">
      <c r="B1260" s="28" t="s">
        <v>85</v>
      </c>
      <c r="C1260" s="24">
        <f>'E2018'!$E$28*'E2018'!$AE$28%+'E2018'!$E$29*'E2018'!$AE$29%+'E2018'!$E$30*'E2018'!$AE$30%+'E2018'!$E$33*'E2018'!$AE$33%+'E2018'!$E$34*'E2018'!$AE$34%+'E2018'!$E$35*'E2018'!$AE$35%+'E2018'!$E$36*'E2018'!$AE$36%+'E2018'!$E$37*'E2018'!$AE$37%+'E2018'!$E$38*'E2018'!$AE$38%+'E2018'!$E$41*'E2018'!$AE$41%+'E2018'!$E$42*'E2018'!$AE$42%+'E2018'!$E$43*'E2018'!$AE$43%+'E2018'!$E$44*'E2018'!$AE$44%+'E2018'!$E$45*'E2018'!$AE$45%+'E2018'!$E$48*'E2018'!$AE$48%+'E2018'!$E$49*'E2018'!$AE$49%+'E2018'!$E$50*'E2018'!$AE$50%+'E2018'!$E$51*'E2018'!$AE$51%+'E2018'!$E$52*'E2018'!$AE$52%+'E2018'!$E$53*'E2018'!$AE$53%+'E2018'!$E$54*'E2018'!$AE$54%</f>
        <v>0.49800000000000011</v>
      </c>
      <c r="D1260" s="24">
        <f>'E2020'!$E$28*'E2020'!$AE$28%+'E2020'!$E$29*'E2020'!$AE$29%+'E2020'!$E$30*'E2020'!$AE$30%+'E2020'!$E$33*'E2020'!$AE$33%+'E2020'!$E$34*'E2020'!$AE$34%+'E2020'!$E$35*'E2020'!$AE$35%+'E2020'!$E$36*'E2020'!$AE$36%+'E2020'!$E$37*'E2020'!$AE$37%+'E2020'!$E$38*'E2020'!$AE$38%+'E2020'!$E$41*'E2020'!$AE$41%+'E2020'!$E$42*'E2020'!$AE$42%+'E2020'!$E$43*'E2020'!$AE$43%+'E2020'!$E$44*'E2020'!$AE$44%+'E2020'!$E$45*'E2020'!$AE$45%+'E2020'!$E$48*'E2020'!$AE$48%+'E2020'!$E$49*'E2020'!$AE$49%+'E2020'!$E$50*'E2020'!$AE$50%+'E2020'!$E$51*'E2020'!$AE$51%+'E2020'!$E$52*'E2020'!$AE$52%+'E2020'!$E$53*'E2020'!$AE$53%+'E2020'!$E$54*'E2020'!$AE$54%</f>
        <v>0.78686783999999987</v>
      </c>
      <c r="E1260" s="24"/>
      <c r="F1260" s="24"/>
      <c r="J1260" s="31"/>
      <c r="V1260" s="55"/>
      <c r="W1260" s="55"/>
      <c r="X1260" s="55"/>
      <c r="Y1260" s="55"/>
      <c r="Z1260" s="55"/>
      <c r="AA1260" s="55"/>
      <c r="AB1260" s="55"/>
      <c r="AC1260" s="55"/>
      <c r="AD1260" s="55"/>
      <c r="AE1260" s="55"/>
      <c r="AF1260" s="55"/>
      <c r="AG1260" s="55"/>
      <c r="AH1260" s="55"/>
      <c r="AI1260" s="55"/>
      <c r="AJ1260" s="55"/>
      <c r="AK1260" s="55"/>
      <c r="AL1260" s="55"/>
      <c r="AM1260" s="55"/>
      <c r="AN1260" s="55"/>
      <c r="AO1260" s="55"/>
      <c r="AP1260" s="55"/>
      <c r="AQ1260" s="55"/>
      <c r="AR1260" s="55"/>
      <c r="AS1260" s="55"/>
      <c r="AT1260" s="55"/>
      <c r="AU1260" s="55"/>
      <c r="AV1260" s="55"/>
      <c r="AW1260" s="55"/>
      <c r="AX1260" s="55"/>
      <c r="AY1260" s="55"/>
      <c r="AZ1260" s="55"/>
    </row>
    <row r="1261" spans="2:52" x14ac:dyDescent="0.2">
      <c r="B1261" s="28" t="s">
        <v>82</v>
      </c>
      <c r="C1261" s="24">
        <f>'E2018'!$C$28*'E2018'!$AE$28%+'E2018'!$C$29*'E2018'!$AE$29%+'E2018'!$C$32*'E2018'!$AE$32%+'E2018'!$C$33*'E2018'!$AE$33%+'E2018'!$C$34*'E2018'!$AE$34%+'E2018'!$C$35*'E2018'!$AE$35%+'E2018'!$C$36*'E2018'!$AE$36%+'E2018'!$C$37*'E2018'!$AE$37%+'E2018'!$C$38*'E2018'!$AE$38%+'E2018'!$C$41*'E2018'!$AE$41%+'E2018'!$C$42*'E2018'!$AE$42%+'E2018'!$C$43*'E2018'!$AE$43%+'E2018'!$C$44*'E2018'!$AE$44%+'E2018'!$C$45*'E2018'!$AE$45%+'E2018'!$C$48*'E2018'!$AE$48%+'E2018'!$C$49*'E2018'!$AE$49%+'E2018'!$C$50*'E2018'!$AE$50%+'E2018'!$C$51*'E2018'!$AE$51%+'E2018'!$C$52*'E2018'!$AE$52%+'E2018'!$C$53*'E2018'!$AE$53%+'E2018'!$C$54*'E2018'!$AE$54%</f>
        <v>0</v>
      </c>
      <c r="D1261" s="24">
        <f>'E2020'!$C$28*'E2020'!$AE$28%+'E2020'!$C$29*'E2020'!$AE$29%+'E2020'!$C$32*'E2020'!$AE$32%+'E2020'!$C$33*'E2020'!$AE$33%+'E2020'!$C$34*'E2020'!$AE$34%+'E2020'!$C$35*'E2020'!$AE$35%+'E2020'!$C$36*'E2020'!$AE$36%+'E2020'!$C$37*'E2020'!$AE$37%+'E2020'!$C$38*'E2020'!$AE$38%+'E2020'!$C$41*'E2020'!$AE$41%+'E2020'!$C$42*'E2020'!$AE$42%+'E2020'!$C$43*'E2020'!$AE$43%+'E2020'!$C$44*'E2020'!$AE$44%+'E2020'!$C$45*'E2020'!$AE$45%+'E2020'!$C$48*'E2020'!$AE$48%+'E2020'!$C$49*'E2020'!$AE$49%+'E2020'!$C$50*'E2020'!$AE$50%+'E2020'!$C$51*'E2020'!$AE$51%+'E2020'!$C$52*'E2020'!$AE$52%+'E2020'!$C$53*'E2020'!$AE$53%+'E2020'!$C$54*'E2020'!$AE$54%</f>
        <v>0</v>
      </c>
      <c r="E1261" s="24"/>
      <c r="F1261" s="24"/>
      <c r="J1261" s="31"/>
      <c r="V1261" s="55"/>
      <c r="W1261" s="55"/>
      <c r="X1261" s="55"/>
      <c r="Y1261" s="55"/>
      <c r="Z1261" s="55"/>
      <c r="AA1261" s="55"/>
      <c r="AB1261" s="55"/>
      <c r="AC1261" s="55"/>
      <c r="AD1261" s="55"/>
      <c r="AE1261" s="55"/>
      <c r="AF1261" s="55"/>
      <c r="AG1261" s="55"/>
      <c r="AH1261" s="55"/>
      <c r="AI1261" s="55"/>
      <c r="AJ1261" s="55"/>
      <c r="AK1261" s="55"/>
      <c r="AL1261" s="55"/>
      <c r="AM1261" s="55"/>
      <c r="AN1261" s="55"/>
      <c r="AO1261" s="55"/>
      <c r="AP1261" s="55"/>
      <c r="AQ1261" s="55"/>
      <c r="AR1261" s="55"/>
      <c r="AS1261" s="55"/>
      <c r="AT1261" s="55"/>
      <c r="AU1261" s="55"/>
      <c r="AV1261" s="55"/>
      <c r="AW1261" s="55"/>
      <c r="AX1261" s="55"/>
      <c r="AY1261" s="55"/>
      <c r="AZ1261" s="55"/>
    </row>
    <row r="1262" spans="2:52" x14ac:dyDescent="0.2">
      <c r="B1262" s="28" t="s">
        <v>84</v>
      </c>
      <c r="C1262" s="24">
        <f>'E2018'!$D$28*'E2018'!$AE$28%+'E2018'!$D$29*'E2018'!$AE$29%+'E2018'!$D$32*'E2018'!$AE$32%+'E2018'!$D$33*'E2018'!$AE$33%+'E2018'!$D$34*'E2018'!$AE$34%+'E2018'!$D$35*'E2018'!$AE$35%+'E2018'!$D$36*'E2018'!$AE$36%+'E2018'!$D$37*'E2018'!$AE$37%+'E2018'!$D$38*'E2018'!$AE$38%+'E2018'!$D$41*'E2018'!$AE$41%+'E2018'!$D$42*'E2018'!$AE$42%+'E2018'!$D$43*'E2018'!$AE$43%+'E2018'!$D$44*'E2018'!$AE$44%+'E2018'!$D$45*'E2018'!$AE$45%+'E2018'!$D$48*'E2018'!$AE$48%+'E2018'!$D$49*'E2018'!$AE$49%+'E2018'!$D$50*'E2018'!$AE$50%+'E2018'!$D$51*'E2018'!$AE$51%+'E2018'!$D$52*'E2018'!$AE$52%+'E2018'!$D$53*'E2018'!$AE$53%+'E2018'!$D$54*'E2018'!$AE$54%</f>
        <v>0</v>
      </c>
      <c r="D1262" s="24">
        <f>'E2020'!$D$28*'E2020'!$AE$28%+'E2020'!$D$29*'E2020'!$AE$29%+'E2020'!$D$32*'E2020'!$AE$32%+'E2020'!$D$33*'E2020'!$AE$33%+'E2020'!$D$34*'E2020'!$AE$34%+'E2020'!$D$35*'E2020'!$AE$35%+'E2020'!$D$36*'E2020'!$AE$36%+'E2020'!$D$37*'E2020'!$AE$37%+'E2020'!$D$38*'E2020'!$AE$38%+'E2020'!$D$41*'E2020'!$AE$41%+'E2020'!$D$42*'E2020'!$AE$42%+'E2020'!$D$43*'E2020'!$AE$43%+'E2020'!$D$44*'E2020'!$AE$44%+'E2020'!$D$45*'E2020'!$AE$45%+'E2020'!$D$48*'E2020'!$AE$48%+'E2020'!$D$49*'E2020'!$AE$49%+'E2020'!$D$50*'E2020'!$AE$50%+'E2020'!$D$51*'E2020'!$AE$51%+'E2020'!$D$52*'E2020'!$AE$52%+'E2020'!$D$53*'E2020'!$AE$53%+'E2020'!$D$54*'E2020'!$AE$54%</f>
        <v>0</v>
      </c>
      <c r="E1262" s="24"/>
      <c r="F1262" s="24"/>
      <c r="J1262" s="31"/>
      <c r="V1262" s="55"/>
      <c r="W1262" s="55"/>
      <c r="X1262" s="55"/>
      <c r="Y1262" s="55"/>
      <c r="Z1262" s="55"/>
      <c r="AA1262" s="55"/>
      <c r="AB1262" s="55"/>
      <c r="AC1262" s="55"/>
      <c r="AD1262" s="55"/>
      <c r="AE1262" s="55"/>
      <c r="AF1262" s="55"/>
      <c r="AG1262" s="55"/>
      <c r="AH1262" s="55"/>
      <c r="AI1262" s="55"/>
      <c r="AJ1262" s="55"/>
      <c r="AK1262" s="55"/>
      <c r="AL1262" s="55"/>
      <c r="AM1262" s="55"/>
      <c r="AN1262" s="55"/>
      <c r="AO1262" s="55"/>
      <c r="AP1262" s="55"/>
      <c r="AQ1262" s="55"/>
      <c r="AR1262" s="55"/>
      <c r="AS1262" s="55"/>
      <c r="AT1262" s="55"/>
      <c r="AU1262" s="55"/>
      <c r="AV1262" s="55"/>
      <c r="AW1262" s="55"/>
      <c r="AX1262" s="55"/>
      <c r="AY1262" s="55"/>
      <c r="AZ1262" s="55"/>
    </row>
    <row r="1263" spans="2:52" x14ac:dyDescent="0.2">
      <c r="B1263" s="28" t="s">
        <v>154</v>
      </c>
      <c r="C1263" s="24">
        <f>'E2018'!$I$28*'E2018'!$AE$28%+'E2018'!$I$29*'E2018'!$AE$29%+'E2018'!$I$32*'E2018'!$AE$32%+'E2018'!$I$33*'E2018'!$AE$33%+'E2018'!$I$34*'E2018'!$AE$34%+'E2018'!$I$35*'E2018'!$AE$35%+'E2018'!$I$36*'E2018'!$AE$36%+'E2018'!$I$37*'E2018'!$AE$37%+'E2018'!$I$38*'E2018'!$AE$38%+'E2018'!$I$41*'E2018'!$AE$41%+'E2018'!$I$42*'E2018'!$AE$42%+'E2018'!$I$43*'E2018'!$AE$43%+'E2018'!$I$44*'E2018'!$AE$44%+'E2018'!$I$45*'E2018'!$AE$45%+'E2018'!$I$48*'E2018'!$AE$48%+'E2018'!$I$49*'E2018'!$AE$49%+'E2018'!$I$50*'E2018'!$AE$50%+'E2018'!$I$51*'E2018'!$AE$51%+'E2018'!$I$52*'E2018'!$AE$52%+'E2018'!$I$53*'E2018'!$AE$53%+'E2018'!$I$54*'E2018'!$AE$54%</f>
        <v>0</v>
      </c>
      <c r="D1263" s="24">
        <f>'E2020'!$I$28*'E2020'!$AE$28%+'E2020'!$I$29*'E2020'!$AE$29%+'E2020'!$I$32*'E2020'!$AE$32%+'E2020'!$I$33*'E2020'!$AE$33%+'E2020'!$I$34*'E2020'!$AE$34%+'E2020'!$I$35*'E2020'!$AE$35%+'E2020'!$I$36*'E2020'!$AE$36%+'E2020'!$I$37*'E2020'!$AE$37%+'E2020'!$I$38*'E2020'!$AE$38%+'E2020'!$I$41*'E2020'!$AE$41%+'E2020'!$I$42*'E2020'!$AE$42%+'E2020'!$I$43*'E2020'!$AE$43%+'E2020'!$I$44*'E2020'!$AE$44%+'E2020'!$I$45*'E2020'!$AE$45%+'E2020'!$I$48*'E2020'!$AE$48%+'E2020'!$I$49*'E2020'!$AE$49%+'E2020'!$I$50*'E2020'!$AE$50%+'E2020'!$I$51*'E2020'!$AE$51%+'E2020'!$I$52*'E2020'!$AE$52%+'E2020'!$I$53*'E2020'!$AE$53%+'E2020'!$I$54*'E2020'!$AE$54%</f>
        <v>0</v>
      </c>
      <c r="E1263" s="24"/>
      <c r="F1263" s="24"/>
      <c r="J1263" s="31"/>
      <c r="V1263" s="55"/>
      <c r="W1263" s="55"/>
      <c r="X1263" s="55"/>
      <c r="Y1263" s="55"/>
      <c r="Z1263" s="55"/>
      <c r="AA1263" s="55"/>
      <c r="AB1263" s="55"/>
      <c r="AC1263" s="55"/>
      <c r="AD1263" s="55"/>
      <c r="AE1263" s="55"/>
      <c r="AF1263" s="55"/>
      <c r="AG1263" s="55"/>
      <c r="AH1263" s="55"/>
      <c r="AI1263" s="55"/>
      <c r="AJ1263" s="55"/>
      <c r="AK1263" s="55"/>
      <c r="AL1263" s="55"/>
      <c r="AM1263" s="55"/>
      <c r="AN1263" s="55"/>
      <c r="AO1263" s="55"/>
      <c r="AP1263" s="55"/>
      <c r="AQ1263" s="55"/>
      <c r="AR1263" s="55"/>
      <c r="AS1263" s="55"/>
      <c r="AT1263" s="55"/>
      <c r="AU1263" s="55"/>
      <c r="AV1263" s="55"/>
      <c r="AW1263" s="55"/>
      <c r="AX1263" s="55"/>
      <c r="AY1263" s="55"/>
      <c r="AZ1263" s="55"/>
    </row>
    <row r="1264" spans="2:52" x14ac:dyDescent="0.2">
      <c r="B1264" s="28" t="s">
        <v>88</v>
      </c>
      <c r="C1264" s="24">
        <f>'E2018'!$Z$28*'E2018'!$AE$28%+'E2018'!$Z$29*'E2018'!$AE$29%+'E2018'!$Z$32*'E2018'!$AE$32%+'E2018'!$Z$33*'E2018'!$AE$33%+'E2018'!$Z$34*'E2018'!$AE$34%+'E2018'!$Z$35*'E2018'!$AE$35%+'E2018'!$Z$36*'E2018'!$AE$36%+'E2018'!$Z$37*'E2018'!$AE$37%+'E2018'!$Z$38*'E2018'!$AE$38%+'E2018'!$Z$41*'E2018'!$AE$41%+'E2018'!$Z$42*'E2018'!$AE$42%+'E2018'!$Z$43*'E2018'!$AE$43%+'E2018'!$Z$44*'E2018'!$AE$44%+'E2018'!$Z$45*'E2018'!$AE$45%+'E2018'!$Z$48*'E2018'!$AE$48%+'E2018'!$Z$49*'E2018'!$AE$49%+'E2018'!$Z$50*'E2018'!$AE$50%+'E2018'!$Z$51*'E2018'!$AE$51%+'E2018'!$Z$52*'E2018'!$AE$52%+'E2018'!$Z$53*'E2018'!$AE$53%+'E2018'!$Z$54*'E2018'!$AE$54%</f>
        <v>0</v>
      </c>
      <c r="D1264" s="24">
        <f>'E2020'!$Z$28*'E2020'!$AE$28%+'E2020'!$Z$29*'E2020'!$AE$29%+'E2020'!$Z$32*'E2020'!$AE$32%+'E2020'!$Z$33*'E2020'!$AE$33%+'E2020'!$Z$34*'E2020'!$AE$34%+'E2020'!$Z$35*'E2020'!$AE$35%+'E2020'!$Z$36*'E2020'!$AE$36%+'E2020'!$Z$37*'E2020'!$AE$37%+'E2020'!$Z$38*'E2020'!$AE$38%+'E2020'!$Z$41*'E2020'!$AE$41%+'E2020'!$Z$42*'E2020'!$AE$42%+'E2020'!$Z$43*'E2020'!$AE$43%+'E2020'!$Z$44*'E2020'!$AE$44%+'E2020'!$Z$45*'E2020'!$AE$45%+'E2020'!$Z$48*'E2020'!$AE$48%+'E2020'!$Z$49*'E2020'!$AE$49%+'E2020'!$Z$50*'E2020'!$AE$50%+'E2020'!$Z$51*'E2020'!$AE$51%+'E2020'!$Z$52*'E2020'!$AE$52%+'E2020'!$Z$53*'E2020'!$AE$53%+'E2020'!$Z$54*'E2020'!$AE$54%</f>
        <v>0</v>
      </c>
      <c r="E1264" s="24"/>
      <c r="F1264" s="24"/>
      <c r="J1264" s="31"/>
      <c r="V1264" s="55"/>
      <c r="W1264" s="55"/>
      <c r="X1264" s="55"/>
      <c r="Y1264" s="55"/>
      <c r="Z1264" s="55"/>
      <c r="AA1264" s="55"/>
      <c r="AB1264" s="55"/>
      <c r="AC1264" s="55"/>
      <c r="AD1264" s="55"/>
      <c r="AE1264" s="55"/>
      <c r="AF1264" s="55"/>
      <c r="AG1264" s="55"/>
      <c r="AH1264" s="55"/>
      <c r="AI1264" s="55"/>
      <c r="AJ1264" s="55"/>
      <c r="AK1264" s="55"/>
      <c r="AL1264" s="55"/>
      <c r="AM1264" s="55"/>
      <c r="AN1264" s="55"/>
      <c r="AO1264" s="55"/>
      <c r="AP1264" s="55"/>
      <c r="AQ1264" s="55"/>
      <c r="AR1264" s="55"/>
      <c r="AS1264" s="55"/>
      <c r="AT1264" s="55"/>
      <c r="AU1264" s="55"/>
      <c r="AV1264" s="55"/>
      <c r="AW1264" s="55"/>
      <c r="AX1264" s="55"/>
      <c r="AY1264" s="55"/>
      <c r="AZ1264" s="55"/>
    </row>
    <row r="1265" spans="2:52" x14ac:dyDescent="0.2">
      <c r="B1265" s="28" t="s">
        <v>90</v>
      </c>
      <c r="C1265" s="24">
        <f>'E2018'!$X$28*'E2018'!$AE$28%+'E2018'!$X$29*'E2018'!$AE$29%+'E2018'!$X$32*'E2018'!$AE$32%+'E2018'!$X$33*'E2018'!$AE$33%+'E2018'!$X$34*'E2018'!$AE$34%+'E2018'!$X$35*'E2018'!$AE$35%+'E2018'!$X$36*'E2018'!$AE$36%+'E2018'!$X$37*'E2018'!$AE$37%+'E2018'!$X$38*'E2018'!$AE$38%+'E2018'!$X$41*'E2018'!$AE$41%+'E2018'!$X$42*'E2018'!$AE$42%+'E2018'!$X$43*'E2018'!$AE$43%+'E2018'!$X$44*'E2018'!$AE$44%+'E2018'!$X$45*'E2018'!$AE$45%+'E2018'!$X$48*'E2018'!$AE$48%+'E2018'!$X$49*'E2018'!$AE$49%+'E2018'!$X$50*'E2018'!$AE$50%+'E2018'!$X$51*'E2018'!$AE$51%+'E2018'!$X$52*'E2018'!$AE$52%+'E2018'!$X$53*'E2018'!$AE$53%+'E2018'!$X$54*'E2018'!$AE$54%</f>
        <v>0</v>
      </c>
      <c r="D1265" s="24">
        <f>'E2020'!$X$28*'E2020'!$AE$28%+'E2020'!$X$29*'E2020'!$AE$29%+'E2020'!$X$32*'E2020'!$AE$32%+'E2020'!$X$33*'E2020'!$AE$33%+'E2020'!$X$34*'E2020'!$AE$34%+'E2020'!$X$35*'E2020'!$AE$35%+'E2020'!$X$36*'E2020'!$AE$36%+'E2020'!$X$37*'E2020'!$AE$37%+'E2020'!$X$38*'E2020'!$AE$38%+'E2020'!$X$41*'E2020'!$AE$41%+'E2020'!$X$42*'E2020'!$AE$42%+'E2020'!$X$43*'E2020'!$AE$43%+'E2020'!$X$44*'E2020'!$AE$44%+'E2020'!$X$45*'E2020'!$AE$45%+'E2020'!$X$48*'E2020'!$AE$48%+'E2020'!$X$49*'E2020'!$AE$49%+'E2020'!$X$50*'E2020'!$AE$50%+'E2020'!$X$51*'E2020'!$AE$51%+'E2020'!$X$52*'E2020'!$AE$52%+'E2020'!$X$53*'E2020'!$AE$53%+'E2020'!$X$54*'E2020'!$AE$54%</f>
        <v>0</v>
      </c>
      <c r="E1265" s="24"/>
      <c r="F1265" s="24"/>
      <c r="J1265" s="31"/>
      <c r="V1265" s="55"/>
      <c r="W1265" s="55"/>
      <c r="X1265" s="55"/>
      <c r="Y1265" s="55"/>
      <c r="Z1265" s="55"/>
      <c r="AA1265" s="55"/>
      <c r="AB1265" s="55"/>
      <c r="AC1265" s="55"/>
      <c r="AD1265" s="55"/>
      <c r="AE1265" s="55"/>
      <c r="AF1265" s="55"/>
      <c r="AG1265" s="55"/>
      <c r="AH1265" s="55"/>
      <c r="AI1265" s="55"/>
      <c r="AJ1265" s="55"/>
      <c r="AK1265" s="55"/>
      <c r="AL1265" s="55"/>
      <c r="AM1265" s="55"/>
      <c r="AN1265" s="55"/>
      <c r="AO1265" s="55"/>
      <c r="AP1265" s="55"/>
      <c r="AQ1265" s="55"/>
      <c r="AR1265" s="55"/>
      <c r="AS1265" s="55"/>
      <c r="AT1265" s="55"/>
      <c r="AU1265" s="55"/>
      <c r="AV1265" s="55"/>
      <c r="AW1265" s="55"/>
      <c r="AX1265" s="55"/>
      <c r="AY1265" s="55"/>
      <c r="AZ1265" s="55"/>
    </row>
    <row r="1266" spans="2:52" x14ac:dyDescent="0.2">
      <c r="B1266" s="28" t="s">
        <v>217</v>
      </c>
      <c r="C1266" s="24">
        <f>SUM('E2018'!$R$28:'E2018'!$W$28,'E2018'!$Y$28)*'E2018'!$AE$28%+SUM('E2018'!$R$29:'E2018'!$W$29,'E2018'!$Y$29)*'E2018'!$AE$29%+SUM('E2018'!$R$30:'E2018'!$W$30,'E2018'!$Y$30)*'E2018'!$AE$30%+SUM('E2018'!$R$33:'E2018'!$W$33,'E2018'!$Y$33)*'E2018'!$AE$33%+SUM('E2018'!$R$34:'E2018'!$W$34,'E2018'!$Y$34)*'E2018'!$AE$34%+SUM('E2018'!$R$35:'E2018'!$W$35,'E2018'!$Y$35)*'E2018'!$AE$35%+SUM('E2018'!$R$36:'E2018'!$W$36,'E2018'!$Y$36)*'E2018'!$AE$36%+SUM('E2018'!$R$37:'E2018'!$W$37,'E2018'!$Y$37)*'E2018'!$AE$37%+SUM('E2018'!$R$38:'E2018'!$W$38,'E2018'!$Y$38)*'E2018'!$AE$38%+SUM('E2018'!$R$41:'E2018'!$W$41,'E2018'!$Y$41)*'E2018'!$AE$41%+SUM('E2018'!$R$42:'E2018'!$W$42,'E2018'!$Y$42)*'E2018'!$AE$42%+SUM('E2018'!$R$43:'E2018'!$W$43,'E2018'!$Y$43)*'E2018'!$AE$43%+SUM('E2018'!$R$44:'E2018'!$W$44,'E2018'!$Y$44)*'E2018'!$AE$44%+SUM('E2018'!$R$45:'E2018'!$W$45,'E2018'!$Y$45)*'E2018'!$AE$45%+SUM('E2018'!$R$48:'E2018'!$W$48,'E2018'!$Y$48)*'E2018'!$AE$48%+SUM('E2018'!$R$49:'E2018'!$W$49,'E2018'!$Y$49)*'E2018'!$AE$49%+SUM('E2018'!$R$50:'E2018'!$W$50,'E2018'!$Y$50)*'E2018'!$AE$50%+SUM('E2018'!$R$51:'E2018'!$W$51,'E2018'!$Y$51)*'E2018'!$AE$51%+SUM('E2018'!$R$52:'E2018'!$W$52,'E2018'!$Y$52)*'E2018'!$AE$52%+SUM('E2018'!$R$53:'E2018'!$W$53,'E2018'!$Y$53)*'E2018'!$AE$53%+SUM('E2018'!$R$54:'E2018'!$W$54,'E2018'!$Y$54)*'E2018'!$AE$54%</f>
        <v>21.220000000000002</v>
      </c>
      <c r="D1266" s="24">
        <f>SUM('E2020'!$R$28:'E2020'!$W$28,'E2020'!$Y$28)*'E2020'!$AE$28%+SUM('E2020'!$R$29:'E2020'!$W$29,'E2020'!$Y$29)*'E2020'!$AE$29%+SUM('E2020'!$R$30:'E2020'!$W$30,'E2020'!$Y$30)*'E2020'!$AE$30%+SUM('E2020'!$R$33:'E2020'!$W$33,'E2020'!$Y$33)*'E2020'!$AE$33%+SUM('E2020'!$R$34:'E2020'!$W$34,'E2020'!$Y$34)*'E2020'!$AE$34%+SUM('E2020'!$R$35:'E2020'!$W$35,'E2020'!$Y$35)*'E2020'!$AE$35%+SUM('E2020'!$R$36:'E2020'!$W$36,'E2020'!$Y$36)*'E2020'!$AE$36%+SUM('E2020'!$R$37:'E2020'!$W$37,'E2020'!$Y$37)*'E2020'!$AE$37%+SUM('E2020'!$R$38:'E2020'!$W$38,'E2020'!$Y$38)*'E2020'!$AE$38%+SUM('E2020'!$R$41:'E2020'!$W$41,'E2020'!$Y$41)*'E2020'!$AE$41%+SUM('E2020'!$R$42:'E2020'!$W$42,'E2020'!$Y$42)*'E2020'!$AE$42%+SUM('E2020'!$R$43:'E2020'!$W$43,'E2020'!$Y$43)*'E2020'!$AE$43%+SUM('E2020'!$R$44:'E2020'!$W$44,'E2020'!$Y$44)*'E2020'!$AE$44%+SUM('E2020'!$R$45:'E2020'!$W$45,'E2020'!$Y$45)*'E2020'!$AE$45%+SUM('E2020'!$R$48:'E2020'!$W$48,'E2020'!$Y$48)*'E2020'!$AE$48%+SUM('E2020'!$R$49:'E2020'!$W$49,'E2020'!$Y$49)*'E2020'!$AE$49%+SUM('E2020'!$R$50:'E2020'!$W$50,'E2020'!$Y$50)*'E2020'!$AE$50%+SUM('E2020'!$R$51:'E2020'!$W$51,'E2020'!$Y$51)*'E2020'!$AE$51%+SUM('E2020'!$R$52:'E2020'!$W$52,'E2020'!$Y$52)*'E2020'!$AE$52%+SUM('E2020'!$R$53:'E2020'!$W$53,'E2020'!$Y$53)*'E2020'!$AE$53%+SUM('E2020'!$R$54:'E2020'!$W$54,'E2020'!$Y$54)*'E2020'!$AE$54%</f>
        <v>19.478555711999999</v>
      </c>
      <c r="E1266" s="24"/>
      <c r="F1266" s="24"/>
      <c r="J1266" s="31"/>
      <c r="V1266" s="55"/>
      <c r="W1266" s="55"/>
      <c r="X1266" s="55"/>
      <c r="Y1266" s="55"/>
      <c r="Z1266" s="55"/>
      <c r="AA1266" s="55"/>
      <c r="AB1266" s="55"/>
      <c r="AC1266" s="55"/>
      <c r="AD1266" s="55"/>
      <c r="AE1266" s="55"/>
      <c r="AF1266" s="55"/>
      <c r="AG1266" s="55"/>
      <c r="AH1266" s="55"/>
      <c r="AI1266" s="55"/>
      <c r="AJ1266" s="55"/>
      <c r="AK1266" s="55"/>
      <c r="AL1266" s="55"/>
      <c r="AM1266" s="55"/>
      <c r="AN1266" s="55"/>
      <c r="AO1266" s="55"/>
      <c r="AP1266" s="55"/>
      <c r="AQ1266" s="55"/>
      <c r="AR1266" s="55"/>
      <c r="AS1266" s="55"/>
      <c r="AT1266" s="55"/>
      <c r="AU1266" s="55"/>
      <c r="AV1266" s="55"/>
      <c r="AW1266" s="55"/>
      <c r="AX1266" s="55"/>
      <c r="AY1266" s="55"/>
      <c r="AZ1266" s="55"/>
    </row>
    <row r="1267" spans="2:52" x14ac:dyDescent="0.2">
      <c r="B1267" s="28" t="s">
        <v>161</v>
      </c>
      <c r="C1267" s="24">
        <f>'E2018'!$AI$31+'E2018'!$AI$32+'E2018'!$AI$39+'E2018'!$AI$40+'E2018'!$AI$46+'E2018'!$AI$47</f>
        <v>0</v>
      </c>
      <c r="D1267" s="24">
        <f>'E2020'!$AI$31+'E2020'!$AI$32+'E2020'!$AI$39+'E2020'!$AI$40+'E2020'!$AI$46+'E2020'!$AI$47</f>
        <v>0</v>
      </c>
      <c r="E1267" s="24"/>
      <c r="F1267" s="24"/>
      <c r="J1267" s="31"/>
      <c r="V1267" s="55"/>
      <c r="W1267" s="55"/>
      <c r="X1267" s="55"/>
      <c r="Y1267" s="55"/>
      <c r="Z1267" s="55"/>
      <c r="AA1267" s="55"/>
      <c r="AB1267" s="55"/>
      <c r="AC1267" s="55"/>
      <c r="AD1267" s="55"/>
      <c r="AE1267" s="55"/>
      <c r="AF1267" s="55"/>
      <c r="AG1267" s="55"/>
      <c r="AH1267" s="55"/>
      <c r="AI1267" s="55"/>
      <c r="AJ1267" s="55"/>
      <c r="AK1267" s="55"/>
      <c r="AL1267" s="55"/>
      <c r="AM1267" s="55"/>
      <c r="AN1267" s="55"/>
      <c r="AO1267" s="55"/>
      <c r="AP1267" s="55"/>
      <c r="AQ1267" s="55"/>
      <c r="AR1267" s="55"/>
      <c r="AS1267" s="55"/>
      <c r="AT1267" s="55"/>
      <c r="AU1267" s="55"/>
      <c r="AV1267" s="55"/>
      <c r="AW1267" s="55"/>
      <c r="AX1267" s="55"/>
      <c r="AY1267" s="55"/>
      <c r="AZ1267" s="55"/>
    </row>
    <row r="1268" spans="2:52" x14ac:dyDescent="0.2">
      <c r="B1268" s="28" t="s">
        <v>94</v>
      </c>
      <c r="C1268" s="24">
        <f>'E2018'!$O$41*'E2018'!$AE$41%+'E2018'!$O$48*'E2018'!$AE$48%</f>
        <v>0</v>
      </c>
      <c r="D1268" s="24">
        <f>'E2020'!$O$41*'E2020'!$AE$41%+'E2020'!$O$48*'E2020'!$AE$48%</f>
        <v>0</v>
      </c>
      <c r="E1268" s="24"/>
      <c r="F1268" s="24"/>
      <c r="J1268" s="31"/>
      <c r="V1268" s="55"/>
      <c r="W1268" s="55"/>
      <c r="X1268" s="55"/>
      <c r="Y1268" s="55"/>
      <c r="Z1268" s="55"/>
      <c r="AA1268" s="55"/>
      <c r="AB1268" s="55"/>
      <c r="AC1268" s="55"/>
      <c r="AD1268" s="55"/>
      <c r="AE1268" s="55"/>
      <c r="AF1268" s="55"/>
      <c r="AG1268" s="55"/>
      <c r="AH1268" s="55"/>
      <c r="AI1268" s="55"/>
      <c r="AJ1268" s="55"/>
      <c r="AK1268" s="55"/>
      <c r="AL1268" s="55"/>
      <c r="AM1268" s="55"/>
      <c r="AN1268" s="55"/>
      <c r="AO1268" s="55"/>
      <c r="AP1268" s="55"/>
      <c r="AQ1268" s="55"/>
      <c r="AR1268" s="55"/>
      <c r="AS1268" s="55"/>
      <c r="AT1268" s="55"/>
      <c r="AU1268" s="55"/>
      <c r="AV1268" s="55"/>
      <c r="AW1268" s="55"/>
      <c r="AX1268" s="55"/>
      <c r="AY1268" s="55"/>
      <c r="AZ1268" s="55"/>
    </row>
    <row r="1269" spans="2:52" x14ac:dyDescent="0.2">
      <c r="B1269" s="28" t="s">
        <v>172</v>
      </c>
      <c r="C1269" s="127">
        <f>'E2018'!$P$42*'E2018'!$AE$42%+'E2018'!$P$49*'E2018'!$AE$49%</f>
        <v>0</v>
      </c>
      <c r="D1269" s="127">
        <f>'E2020'!$P$42*'E2020'!$AE$42%+'E2020'!$P$49*'E2020'!$AE$49%</f>
        <v>0</v>
      </c>
      <c r="E1269" s="24"/>
      <c r="F1269" s="24"/>
      <c r="J1269" s="31"/>
      <c r="V1269" s="55"/>
      <c r="W1269" s="55"/>
      <c r="X1269" s="55"/>
      <c r="Y1269" s="55"/>
      <c r="Z1269" s="55"/>
      <c r="AA1269" s="55"/>
      <c r="AB1269" s="55"/>
      <c r="AC1269" s="55"/>
      <c r="AD1269" s="55"/>
      <c r="AE1269" s="55"/>
      <c r="AF1269" s="55"/>
      <c r="AG1269" s="55"/>
      <c r="AH1269" s="55"/>
      <c r="AI1269" s="55"/>
      <c r="AJ1269" s="55"/>
      <c r="AK1269" s="55"/>
      <c r="AL1269" s="55"/>
      <c r="AM1269" s="55"/>
      <c r="AN1269" s="55"/>
      <c r="AO1269" s="55"/>
      <c r="AP1269" s="55"/>
      <c r="AQ1269" s="55"/>
      <c r="AR1269" s="55"/>
      <c r="AS1269" s="55"/>
      <c r="AT1269" s="55"/>
      <c r="AU1269" s="55"/>
      <c r="AV1269" s="55"/>
      <c r="AW1269" s="55"/>
      <c r="AX1269" s="55"/>
      <c r="AY1269" s="55"/>
      <c r="AZ1269" s="55"/>
    </row>
    <row r="1270" spans="2:52" x14ac:dyDescent="0.2">
      <c r="B1270" s="28" t="s">
        <v>171</v>
      </c>
      <c r="C1270" s="24">
        <f>'E2018'!$AI$50+'E2018'!$AI$54</f>
        <v>0</v>
      </c>
      <c r="D1270" s="24">
        <f>'E2020'!$AI$50+'E2020'!$AI$54</f>
        <v>0</v>
      </c>
      <c r="E1270" s="24"/>
      <c r="F1270" s="24"/>
      <c r="J1270" s="31"/>
      <c r="V1270" s="55"/>
      <c r="W1270" s="55"/>
      <c r="X1270" s="55"/>
      <c r="Y1270" s="55"/>
      <c r="Z1270" s="55"/>
      <c r="AA1270" s="55"/>
      <c r="AB1270" s="55"/>
      <c r="AC1270" s="55"/>
      <c r="AD1270" s="55"/>
      <c r="AE1270" s="55"/>
      <c r="AF1270" s="55"/>
      <c r="AG1270" s="55"/>
      <c r="AH1270" s="55"/>
      <c r="AI1270" s="55"/>
      <c r="AJ1270" s="55"/>
      <c r="AK1270" s="55"/>
      <c r="AL1270" s="55"/>
      <c r="AM1270" s="55"/>
      <c r="AN1270" s="55"/>
      <c r="AO1270" s="55"/>
      <c r="AP1270" s="55"/>
      <c r="AQ1270" s="55"/>
      <c r="AR1270" s="55"/>
      <c r="AS1270" s="55"/>
      <c r="AT1270" s="55"/>
      <c r="AU1270" s="55"/>
      <c r="AV1270" s="55"/>
      <c r="AW1270" s="55"/>
      <c r="AX1270" s="55"/>
      <c r="AY1270" s="55"/>
      <c r="AZ1270" s="55"/>
    </row>
    <row r="1271" spans="2:52" x14ac:dyDescent="0.2">
      <c r="B1271" s="70" t="s">
        <v>97</v>
      </c>
      <c r="C1271" s="71">
        <f>SUM(C1256:C1270)</f>
        <v>21.718000000000004</v>
      </c>
      <c r="D1271" s="71">
        <f>SUM(D1256:D1270)</f>
        <v>20.265423551999998</v>
      </c>
      <c r="E1271" s="71">
        <f>SUM(E1256:E1270)</f>
        <v>21.718000000000007</v>
      </c>
      <c r="F1271" s="71">
        <f>SUM(F1256:F1270)</f>
        <v>20.265423551999998</v>
      </c>
      <c r="J1271" s="31"/>
      <c r="V1271" s="55"/>
      <c r="W1271" s="55"/>
      <c r="X1271" s="55"/>
      <c r="Y1271" s="55"/>
      <c r="Z1271" s="55"/>
      <c r="AA1271" s="55"/>
      <c r="AB1271" s="55"/>
      <c r="AC1271" s="55"/>
      <c r="AD1271" s="55"/>
      <c r="AE1271" s="55"/>
      <c r="AF1271" s="55"/>
      <c r="AG1271" s="55"/>
      <c r="AH1271" s="55"/>
      <c r="AI1271" s="55"/>
      <c r="AJ1271" s="55"/>
      <c r="AK1271" s="55"/>
      <c r="AL1271" s="55"/>
      <c r="AM1271" s="55"/>
      <c r="AN1271" s="55"/>
      <c r="AO1271" s="55"/>
      <c r="AP1271" s="55"/>
      <c r="AQ1271" s="55"/>
      <c r="AR1271" s="55"/>
      <c r="AS1271" s="55"/>
      <c r="AT1271" s="55"/>
      <c r="AU1271" s="55"/>
      <c r="AV1271" s="55"/>
      <c r="AW1271" s="55"/>
      <c r="AX1271" s="55"/>
      <c r="AY1271" s="55"/>
      <c r="AZ1271" s="55"/>
    </row>
    <row r="1272" spans="2:52" x14ac:dyDescent="0.2">
      <c r="B1272" s="59"/>
      <c r="C1272" s="68"/>
      <c r="D1272" s="68"/>
      <c r="J1272" s="31"/>
      <c r="V1272" s="55"/>
      <c r="W1272" s="55"/>
      <c r="X1272" s="55"/>
      <c r="Y1272" s="55"/>
      <c r="Z1272" s="55"/>
      <c r="AA1272" s="55"/>
      <c r="AB1272" s="55"/>
      <c r="AC1272" s="55"/>
      <c r="AD1272" s="55"/>
      <c r="AE1272" s="55"/>
      <c r="AF1272" s="55"/>
      <c r="AG1272" s="55"/>
      <c r="AH1272" s="55"/>
      <c r="AI1272" s="55"/>
      <c r="AJ1272" s="55"/>
      <c r="AK1272" s="55"/>
      <c r="AL1272" s="55"/>
      <c r="AM1272" s="55"/>
      <c r="AN1272" s="55"/>
      <c r="AO1272" s="55"/>
      <c r="AP1272" s="55"/>
      <c r="AQ1272" s="55"/>
      <c r="AR1272" s="55"/>
      <c r="AS1272" s="55"/>
      <c r="AT1272" s="55"/>
      <c r="AU1272" s="55"/>
      <c r="AV1272" s="55"/>
      <c r="AW1272" s="55"/>
      <c r="AX1272" s="55"/>
      <c r="AY1272" s="55"/>
      <c r="AZ1272" s="55"/>
    </row>
    <row r="1273" spans="2:52" x14ac:dyDescent="0.2">
      <c r="B1273" s="59"/>
      <c r="C1273" s="68"/>
      <c r="D1273" s="68"/>
      <c r="J1273" s="31"/>
      <c r="V1273" s="55"/>
      <c r="W1273" s="55"/>
      <c r="X1273" s="55"/>
      <c r="Y1273" s="55"/>
      <c r="Z1273" s="55"/>
      <c r="AA1273" s="55"/>
      <c r="AB1273" s="55"/>
      <c r="AC1273" s="55"/>
      <c r="AD1273" s="55"/>
      <c r="AE1273" s="55"/>
      <c r="AF1273" s="55"/>
      <c r="AG1273" s="55"/>
      <c r="AH1273" s="55"/>
      <c r="AI1273" s="55"/>
      <c r="AJ1273" s="55"/>
      <c r="AK1273" s="55"/>
      <c r="AL1273" s="55"/>
      <c r="AM1273" s="55"/>
      <c r="AN1273" s="55"/>
      <c r="AO1273" s="55"/>
      <c r="AP1273" s="55"/>
      <c r="AQ1273" s="55"/>
      <c r="AR1273" s="55"/>
      <c r="AS1273" s="55"/>
      <c r="AT1273" s="55"/>
      <c r="AU1273" s="55"/>
      <c r="AV1273" s="55"/>
      <c r="AW1273" s="55"/>
      <c r="AX1273" s="55"/>
      <c r="AY1273" s="55"/>
      <c r="AZ1273" s="55"/>
    </row>
    <row r="1274" spans="2:52" x14ac:dyDescent="0.2">
      <c r="B1274" s="59"/>
      <c r="C1274" s="68"/>
      <c r="D1274" s="68"/>
      <c r="J1274" s="31"/>
      <c r="V1274" s="55"/>
      <c r="W1274" s="55"/>
      <c r="X1274" s="55"/>
      <c r="Y1274" s="55"/>
      <c r="Z1274" s="55"/>
      <c r="AA1274" s="55"/>
      <c r="AB1274" s="55"/>
      <c r="AC1274" s="55"/>
      <c r="AD1274" s="55"/>
      <c r="AE1274" s="55"/>
      <c r="AF1274" s="55"/>
      <c r="AG1274" s="55"/>
      <c r="AH1274" s="55"/>
      <c r="AI1274" s="55"/>
      <c r="AJ1274" s="55"/>
      <c r="AK1274" s="55"/>
      <c r="AL1274" s="55"/>
      <c r="AM1274" s="55"/>
      <c r="AN1274" s="55"/>
      <c r="AO1274" s="55"/>
      <c r="AP1274" s="55"/>
      <c r="AQ1274" s="55"/>
      <c r="AR1274" s="55"/>
      <c r="AS1274" s="55"/>
      <c r="AT1274" s="55"/>
      <c r="AU1274" s="55"/>
      <c r="AV1274" s="55"/>
      <c r="AW1274" s="55"/>
      <c r="AX1274" s="55"/>
      <c r="AY1274" s="55"/>
      <c r="AZ1274" s="55"/>
    </row>
    <row r="1275" spans="2:52" x14ac:dyDescent="0.2">
      <c r="B1275" s="59"/>
      <c r="C1275" s="68"/>
      <c r="D1275" s="68"/>
      <c r="J1275" s="31"/>
      <c r="V1275" s="55"/>
      <c r="W1275" s="55"/>
      <c r="X1275" s="55"/>
      <c r="Y1275" s="55"/>
      <c r="Z1275" s="55"/>
      <c r="AA1275" s="55"/>
      <c r="AB1275" s="55"/>
      <c r="AC1275" s="55"/>
      <c r="AD1275" s="55"/>
      <c r="AE1275" s="55"/>
      <c r="AF1275" s="55"/>
      <c r="AG1275" s="55"/>
      <c r="AH1275" s="55"/>
      <c r="AI1275" s="55"/>
      <c r="AJ1275" s="55"/>
      <c r="AK1275" s="55"/>
      <c r="AL1275" s="55"/>
      <c r="AM1275" s="55"/>
      <c r="AN1275" s="55"/>
      <c r="AO1275" s="55"/>
      <c r="AP1275" s="55"/>
      <c r="AQ1275" s="55"/>
      <c r="AR1275" s="55"/>
      <c r="AS1275" s="55"/>
      <c r="AT1275" s="55"/>
      <c r="AU1275" s="55"/>
      <c r="AV1275" s="55"/>
      <c r="AW1275" s="55"/>
      <c r="AX1275" s="55"/>
      <c r="AY1275" s="55"/>
      <c r="AZ1275" s="55"/>
    </row>
    <row r="1276" spans="2:52" x14ac:dyDescent="0.2">
      <c r="B1276" s="59"/>
      <c r="C1276" s="68"/>
      <c r="D1276" s="68"/>
      <c r="J1276" s="31"/>
      <c r="V1276" s="55"/>
      <c r="W1276" s="55"/>
      <c r="X1276" s="55"/>
      <c r="Y1276" s="55"/>
      <c r="Z1276" s="55"/>
      <c r="AA1276" s="55"/>
      <c r="AB1276" s="55"/>
      <c r="AC1276" s="55"/>
      <c r="AD1276" s="55"/>
      <c r="AE1276" s="55"/>
      <c r="AF1276" s="55"/>
      <c r="AG1276" s="55"/>
      <c r="AH1276" s="55"/>
      <c r="AI1276" s="55"/>
      <c r="AJ1276" s="55"/>
      <c r="AK1276" s="55"/>
      <c r="AL1276" s="55"/>
      <c r="AM1276" s="55"/>
      <c r="AN1276" s="55"/>
      <c r="AO1276" s="55"/>
      <c r="AP1276" s="55"/>
      <c r="AQ1276" s="55"/>
      <c r="AR1276" s="55"/>
      <c r="AS1276" s="55"/>
      <c r="AT1276" s="55"/>
      <c r="AU1276" s="55"/>
      <c r="AV1276" s="55"/>
      <c r="AW1276" s="55"/>
      <c r="AX1276" s="55"/>
      <c r="AY1276" s="55"/>
      <c r="AZ1276" s="55"/>
    </row>
    <row r="1277" spans="2:52" x14ac:dyDescent="0.2">
      <c r="B1277" s="59"/>
      <c r="C1277" s="68"/>
      <c r="D1277" s="68"/>
      <c r="J1277" s="31"/>
      <c r="V1277" s="55"/>
      <c r="W1277" s="55"/>
      <c r="X1277" s="55"/>
      <c r="Y1277" s="55"/>
      <c r="Z1277" s="55"/>
      <c r="AA1277" s="55"/>
      <c r="AB1277" s="55"/>
      <c r="AC1277" s="55"/>
      <c r="AD1277" s="55"/>
      <c r="AE1277" s="55"/>
      <c r="AF1277" s="55"/>
      <c r="AG1277" s="55"/>
      <c r="AH1277" s="55"/>
      <c r="AI1277" s="55"/>
      <c r="AJ1277" s="55"/>
      <c r="AK1277" s="55"/>
      <c r="AL1277" s="55"/>
      <c r="AM1277" s="55"/>
      <c r="AN1277" s="55"/>
      <c r="AO1277" s="55"/>
      <c r="AP1277" s="55"/>
      <c r="AQ1277" s="55"/>
      <c r="AR1277" s="55"/>
      <c r="AS1277" s="55"/>
      <c r="AT1277" s="55"/>
      <c r="AU1277" s="55"/>
      <c r="AV1277" s="55"/>
      <c r="AW1277" s="55"/>
      <c r="AX1277" s="55"/>
      <c r="AY1277" s="55"/>
      <c r="AZ1277" s="55"/>
    </row>
    <row r="1278" spans="2:52" x14ac:dyDescent="0.2">
      <c r="B1278" s="59"/>
      <c r="C1278" s="68"/>
      <c r="D1278" s="68"/>
      <c r="J1278" s="31"/>
      <c r="V1278" s="55"/>
      <c r="W1278" s="55"/>
      <c r="X1278" s="55"/>
      <c r="Y1278" s="55"/>
      <c r="Z1278" s="55"/>
      <c r="AA1278" s="55"/>
      <c r="AB1278" s="55"/>
      <c r="AC1278" s="55"/>
      <c r="AD1278" s="55"/>
      <c r="AE1278" s="55"/>
      <c r="AF1278" s="55"/>
      <c r="AG1278" s="55"/>
      <c r="AH1278" s="55"/>
      <c r="AI1278" s="55"/>
      <c r="AJ1278" s="55"/>
      <c r="AK1278" s="55"/>
      <c r="AL1278" s="55"/>
      <c r="AM1278" s="55"/>
      <c r="AN1278" s="55"/>
      <c r="AO1278" s="55"/>
      <c r="AP1278" s="55"/>
      <c r="AQ1278" s="55"/>
      <c r="AR1278" s="55"/>
      <c r="AS1278" s="55"/>
      <c r="AT1278" s="55"/>
      <c r="AU1278" s="55"/>
      <c r="AV1278" s="55"/>
      <c r="AW1278" s="55"/>
      <c r="AX1278" s="55"/>
      <c r="AY1278" s="55"/>
      <c r="AZ1278" s="55"/>
    </row>
    <row r="1279" spans="2:52" x14ac:dyDescent="0.2">
      <c r="B1279" s="59"/>
      <c r="C1279" s="68"/>
      <c r="D1279" s="68"/>
      <c r="J1279" s="31"/>
      <c r="V1279" s="55"/>
      <c r="W1279" s="55"/>
      <c r="X1279" s="55"/>
      <c r="Y1279" s="55"/>
      <c r="Z1279" s="55"/>
      <c r="AA1279" s="55"/>
      <c r="AB1279" s="55"/>
      <c r="AC1279" s="55"/>
      <c r="AD1279" s="55"/>
      <c r="AE1279" s="55"/>
      <c r="AF1279" s="55"/>
      <c r="AG1279" s="55"/>
      <c r="AH1279" s="55"/>
      <c r="AI1279" s="55"/>
      <c r="AJ1279" s="55"/>
      <c r="AK1279" s="55"/>
      <c r="AL1279" s="55"/>
      <c r="AM1279" s="55"/>
      <c r="AN1279" s="55"/>
      <c r="AO1279" s="55"/>
      <c r="AP1279" s="55"/>
      <c r="AQ1279" s="55"/>
      <c r="AR1279" s="55"/>
      <c r="AS1279" s="55"/>
      <c r="AT1279" s="55"/>
      <c r="AU1279" s="55"/>
      <c r="AV1279" s="55"/>
      <c r="AW1279" s="55"/>
      <c r="AX1279" s="55"/>
      <c r="AY1279" s="55"/>
      <c r="AZ1279" s="55"/>
    </row>
    <row r="1280" spans="2:52" x14ac:dyDescent="0.2">
      <c r="B1280" s="59"/>
      <c r="C1280" s="68"/>
      <c r="D1280" s="68"/>
      <c r="J1280" s="31"/>
      <c r="V1280" s="55"/>
      <c r="W1280" s="55"/>
      <c r="X1280" s="55"/>
      <c r="Y1280" s="55"/>
      <c r="Z1280" s="55"/>
      <c r="AA1280" s="55"/>
      <c r="AB1280" s="55"/>
      <c r="AC1280" s="55"/>
      <c r="AD1280" s="55"/>
      <c r="AE1280" s="55"/>
      <c r="AF1280" s="55"/>
      <c r="AG1280" s="55"/>
      <c r="AH1280" s="55"/>
      <c r="AI1280" s="55"/>
      <c r="AJ1280" s="55"/>
      <c r="AK1280" s="55"/>
      <c r="AL1280" s="55"/>
      <c r="AM1280" s="55"/>
      <c r="AN1280" s="55"/>
      <c r="AO1280" s="55"/>
      <c r="AP1280" s="55"/>
      <c r="AQ1280" s="55"/>
      <c r="AR1280" s="55"/>
      <c r="AS1280" s="55"/>
      <c r="AT1280" s="55"/>
      <c r="AU1280" s="55"/>
      <c r="AV1280" s="55"/>
      <c r="AW1280" s="55"/>
      <c r="AX1280" s="55"/>
      <c r="AY1280" s="55"/>
      <c r="AZ1280" s="55"/>
    </row>
    <row r="1281" spans="2:52" x14ac:dyDescent="0.2">
      <c r="B1281" s="59"/>
      <c r="C1281" s="68"/>
      <c r="D1281" s="68"/>
      <c r="J1281" s="31"/>
      <c r="V1281" s="55"/>
      <c r="W1281" s="55"/>
      <c r="X1281" s="55"/>
      <c r="Y1281" s="55"/>
      <c r="Z1281" s="55"/>
      <c r="AA1281" s="55"/>
      <c r="AB1281" s="55"/>
      <c r="AC1281" s="55"/>
      <c r="AD1281" s="55"/>
      <c r="AE1281" s="55"/>
      <c r="AF1281" s="55"/>
      <c r="AG1281" s="55"/>
      <c r="AH1281" s="55"/>
      <c r="AI1281" s="55"/>
      <c r="AJ1281" s="55"/>
      <c r="AK1281" s="55"/>
      <c r="AL1281" s="55"/>
      <c r="AM1281" s="55"/>
      <c r="AN1281" s="55"/>
      <c r="AO1281" s="55"/>
      <c r="AP1281" s="55"/>
      <c r="AQ1281" s="55"/>
      <c r="AR1281" s="55"/>
      <c r="AS1281" s="55"/>
      <c r="AT1281" s="55"/>
      <c r="AU1281" s="55"/>
      <c r="AV1281" s="55"/>
      <c r="AW1281" s="55"/>
      <c r="AX1281" s="55"/>
      <c r="AY1281" s="55"/>
      <c r="AZ1281" s="55"/>
    </row>
    <row r="1282" spans="2:52" x14ac:dyDescent="0.2">
      <c r="B1282" s="59"/>
      <c r="C1282" s="68"/>
      <c r="D1282" s="68"/>
      <c r="J1282" s="31"/>
      <c r="V1282" s="55"/>
      <c r="W1282" s="55"/>
      <c r="X1282" s="55"/>
      <c r="Y1282" s="55"/>
      <c r="Z1282" s="55"/>
      <c r="AA1282" s="55"/>
      <c r="AB1282" s="55"/>
      <c r="AC1282" s="55"/>
      <c r="AD1282" s="55"/>
      <c r="AE1282" s="55"/>
      <c r="AF1282" s="55"/>
      <c r="AG1282" s="55"/>
      <c r="AH1282" s="55"/>
      <c r="AI1282" s="55"/>
      <c r="AJ1282" s="55"/>
      <c r="AK1282" s="55"/>
      <c r="AL1282" s="55"/>
      <c r="AM1282" s="55"/>
      <c r="AN1282" s="55"/>
      <c r="AO1282" s="55"/>
      <c r="AP1282" s="55"/>
      <c r="AQ1282" s="55"/>
      <c r="AR1282" s="55"/>
      <c r="AS1282" s="55"/>
      <c r="AT1282" s="55"/>
      <c r="AU1282" s="55"/>
      <c r="AV1282" s="55"/>
      <c r="AW1282" s="55"/>
      <c r="AX1282" s="55"/>
      <c r="AY1282" s="55"/>
      <c r="AZ1282" s="55"/>
    </row>
    <row r="1283" spans="2:52" x14ac:dyDescent="0.2">
      <c r="B1283" s="59"/>
      <c r="C1283" s="68"/>
      <c r="D1283" s="68"/>
      <c r="J1283" s="31"/>
      <c r="V1283" s="55"/>
      <c r="W1283" s="55"/>
      <c r="X1283" s="55"/>
      <c r="Y1283" s="55"/>
      <c r="Z1283" s="55"/>
      <c r="AA1283" s="55"/>
      <c r="AB1283" s="55"/>
      <c r="AC1283" s="55"/>
      <c r="AD1283" s="55"/>
      <c r="AE1283" s="55"/>
      <c r="AF1283" s="55"/>
      <c r="AG1283" s="55"/>
      <c r="AH1283" s="55"/>
      <c r="AI1283" s="55"/>
      <c r="AJ1283" s="55"/>
      <c r="AK1283" s="55"/>
      <c r="AL1283" s="55"/>
      <c r="AM1283" s="55"/>
      <c r="AN1283" s="55"/>
      <c r="AO1283" s="55"/>
      <c r="AP1283" s="55"/>
      <c r="AQ1283" s="55"/>
      <c r="AR1283" s="55"/>
      <c r="AS1283" s="55"/>
      <c r="AT1283" s="55"/>
      <c r="AU1283" s="55"/>
      <c r="AV1283" s="55"/>
      <c r="AW1283" s="55"/>
      <c r="AX1283" s="55"/>
      <c r="AY1283" s="55"/>
      <c r="AZ1283" s="55"/>
    </row>
    <row r="1284" spans="2:52" x14ac:dyDescent="0.2">
      <c r="B1284" s="59"/>
      <c r="C1284" s="68"/>
      <c r="D1284" s="68"/>
      <c r="J1284" s="31"/>
      <c r="V1284" s="55"/>
      <c r="W1284" s="55"/>
      <c r="X1284" s="55"/>
      <c r="Y1284" s="55"/>
      <c r="Z1284" s="55"/>
      <c r="AA1284" s="55"/>
      <c r="AB1284" s="55"/>
      <c r="AC1284" s="55"/>
      <c r="AD1284" s="55"/>
      <c r="AE1284" s="55"/>
      <c r="AF1284" s="55"/>
      <c r="AG1284" s="55"/>
      <c r="AH1284" s="55"/>
      <c r="AI1284" s="55"/>
      <c r="AJ1284" s="55"/>
      <c r="AK1284" s="55"/>
      <c r="AL1284" s="55"/>
      <c r="AM1284" s="55"/>
      <c r="AN1284" s="55"/>
      <c r="AO1284" s="55"/>
      <c r="AP1284" s="55"/>
      <c r="AQ1284" s="55"/>
      <c r="AR1284" s="55"/>
      <c r="AS1284" s="55"/>
      <c r="AT1284" s="55"/>
      <c r="AU1284" s="55"/>
      <c r="AV1284" s="55"/>
      <c r="AW1284" s="55"/>
      <c r="AX1284" s="55"/>
      <c r="AY1284" s="55"/>
      <c r="AZ1284" s="55"/>
    </row>
    <row r="1285" spans="2:52" x14ac:dyDescent="0.2">
      <c r="B1285" s="59"/>
      <c r="C1285" s="68"/>
      <c r="D1285" s="68"/>
      <c r="J1285" s="31"/>
      <c r="V1285" s="55"/>
      <c r="W1285" s="55"/>
      <c r="X1285" s="55"/>
      <c r="Y1285" s="55"/>
      <c r="Z1285" s="55"/>
      <c r="AA1285" s="55"/>
      <c r="AB1285" s="55"/>
      <c r="AC1285" s="55"/>
      <c r="AD1285" s="55"/>
      <c r="AE1285" s="55"/>
      <c r="AF1285" s="55"/>
      <c r="AG1285" s="55"/>
      <c r="AH1285" s="55"/>
      <c r="AI1285" s="55"/>
      <c r="AJ1285" s="55"/>
      <c r="AK1285" s="55"/>
      <c r="AL1285" s="55"/>
      <c r="AM1285" s="55"/>
      <c r="AN1285" s="55"/>
      <c r="AO1285" s="55"/>
      <c r="AP1285" s="55"/>
      <c r="AQ1285" s="55"/>
      <c r="AR1285" s="55"/>
      <c r="AS1285" s="55"/>
      <c r="AT1285" s="55"/>
      <c r="AU1285" s="55"/>
      <c r="AV1285" s="55"/>
      <c r="AW1285" s="55"/>
      <c r="AX1285" s="55"/>
      <c r="AY1285" s="55"/>
      <c r="AZ1285" s="55"/>
    </row>
    <row r="1286" spans="2:52" x14ac:dyDescent="0.2">
      <c r="B1286" s="59"/>
      <c r="C1286" s="68"/>
      <c r="D1286" s="68"/>
      <c r="J1286" s="31"/>
      <c r="V1286" s="55"/>
      <c r="W1286" s="55"/>
      <c r="X1286" s="55"/>
      <c r="Y1286" s="55"/>
      <c r="Z1286" s="55"/>
      <c r="AA1286" s="55"/>
      <c r="AB1286" s="55"/>
      <c r="AC1286" s="55"/>
      <c r="AD1286" s="55"/>
      <c r="AE1286" s="55"/>
      <c r="AF1286" s="55"/>
      <c r="AG1286" s="55"/>
      <c r="AH1286" s="55"/>
      <c r="AI1286" s="55"/>
      <c r="AJ1286" s="55"/>
      <c r="AK1286" s="55"/>
      <c r="AL1286" s="55"/>
      <c r="AM1286" s="55"/>
      <c r="AN1286" s="55"/>
      <c r="AO1286" s="55"/>
      <c r="AP1286" s="55"/>
      <c r="AQ1286" s="55"/>
      <c r="AR1286" s="55"/>
      <c r="AS1286" s="55"/>
      <c r="AT1286" s="55"/>
      <c r="AU1286" s="55"/>
      <c r="AV1286" s="55"/>
      <c r="AW1286" s="55"/>
      <c r="AX1286" s="55"/>
      <c r="AY1286" s="55"/>
      <c r="AZ1286" s="55"/>
    </row>
    <row r="1287" spans="2:52" x14ac:dyDescent="0.2">
      <c r="B1287" s="59"/>
      <c r="C1287" s="68"/>
      <c r="D1287" s="68"/>
      <c r="J1287" s="31"/>
      <c r="V1287" s="55"/>
      <c r="W1287" s="55"/>
      <c r="X1287" s="55"/>
      <c r="Y1287" s="55"/>
      <c r="Z1287" s="55"/>
      <c r="AA1287" s="55"/>
      <c r="AB1287" s="55"/>
      <c r="AC1287" s="55"/>
      <c r="AD1287" s="55"/>
      <c r="AE1287" s="55"/>
      <c r="AF1287" s="55"/>
      <c r="AG1287" s="55"/>
      <c r="AH1287" s="55"/>
      <c r="AI1287" s="55"/>
      <c r="AJ1287" s="55"/>
      <c r="AK1287" s="55"/>
      <c r="AL1287" s="55"/>
      <c r="AM1287" s="55"/>
      <c r="AN1287" s="55"/>
      <c r="AO1287" s="55"/>
      <c r="AP1287" s="55"/>
      <c r="AQ1287" s="55"/>
      <c r="AR1287" s="55"/>
      <c r="AS1287" s="55"/>
      <c r="AT1287" s="55"/>
      <c r="AU1287" s="55"/>
      <c r="AV1287" s="55"/>
      <c r="AW1287" s="55"/>
      <c r="AX1287" s="55"/>
      <c r="AY1287" s="55"/>
      <c r="AZ1287" s="55"/>
    </row>
    <row r="1288" spans="2:52" x14ac:dyDescent="0.2">
      <c r="B1288" s="59"/>
      <c r="C1288" s="68"/>
      <c r="D1288" s="68"/>
      <c r="J1288" s="31"/>
      <c r="V1288" s="55"/>
      <c r="W1288" s="55"/>
      <c r="X1288" s="55"/>
      <c r="Y1288" s="55"/>
      <c r="Z1288" s="55"/>
      <c r="AA1288" s="55"/>
      <c r="AB1288" s="55"/>
      <c r="AC1288" s="55"/>
      <c r="AD1288" s="55"/>
      <c r="AE1288" s="55"/>
      <c r="AF1288" s="55"/>
      <c r="AG1288" s="55"/>
      <c r="AH1288" s="55"/>
      <c r="AI1288" s="55"/>
      <c r="AJ1288" s="55"/>
      <c r="AK1288" s="55"/>
      <c r="AL1288" s="55"/>
      <c r="AM1288" s="55"/>
      <c r="AN1288" s="55"/>
      <c r="AO1288" s="55"/>
      <c r="AP1288" s="55"/>
      <c r="AQ1288" s="55"/>
      <c r="AR1288" s="55"/>
      <c r="AS1288" s="55"/>
      <c r="AT1288" s="55"/>
      <c r="AU1288" s="55"/>
      <c r="AV1288" s="55"/>
      <c r="AW1288" s="55"/>
      <c r="AX1288" s="55"/>
      <c r="AY1288" s="55"/>
      <c r="AZ1288" s="55"/>
    </row>
    <row r="1289" spans="2:52" x14ac:dyDescent="0.2">
      <c r="B1289" s="59"/>
      <c r="C1289" s="68"/>
      <c r="D1289" s="68"/>
      <c r="J1289" s="31"/>
      <c r="V1289" s="55"/>
      <c r="W1289" s="55"/>
      <c r="X1289" s="55"/>
      <c r="Y1289" s="55"/>
      <c r="Z1289" s="55"/>
      <c r="AA1289" s="55"/>
      <c r="AB1289" s="55"/>
      <c r="AC1289" s="55"/>
      <c r="AD1289" s="55"/>
      <c r="AE1289" s="55"/>
      <c r="AF1289" s="55"/>
      <c r="AG1289" s="55"/>
      <c r="AH1289" s="55"/>
      <c r="AI1289" s="55"/>
      <c r="AJ1289" s="55"/>
      <c r="AK1289" s="55"/>
      <c r="AL1289" s="55"/>
      <c r="AM1289" s="55"/>
      <c r="AN1289" s="55"/>
      <c r="AO1289" s="55"/>
      <c r="AP1289" s="55"/>
      <c r="AQ1289" s="55"/>
      <c r="AR1289" s="55"/>
      <c r="AS1289" s="55"/>
      <c r="AT1289" s="55"/>
      <c r="AU1289" s="55"/>
      <c r="AV1289" s="55"/>
      <c r="AW1289" s="55"/>
      <c r="AX1289" s="55"/>
      <c r="AY1289" s="55"/>
      <c r="AZ1289" s="55"/>
    </row>
    <row r="1290" spans="2:52" x14ac:dyDescent="0.2">
      <c r="B1290" s="59"/>
      <c r="C1290" s="68"/>
      <c r="D1290" s="68"/>
      <c r="J1290" s="31"/>
      <c r="V1290" s="55"/>
      <c r="W1290" s="55"/>
      <c r="X1290" s="55"/>
      <c r="Y1290" s="55"/>
      <c r="Z1290" s="55"/>
      <c r="AA1290" s="55"/>
      <c r="AB1290" s="55"/>
      <c r="AC1290" s="55"/>
      <c r="AD1290" s="55"/>
      <c r="AE1290" s="55"/>
      <c r="AF1290" s="55"/>
      <c r="AG1290" s="55"/>
      <c r="AH1290" s="55"/>
      <c r="AI1290" s="55"/>
      <c r="AJ1290" s="55"/>
      <c r="AK1290" s="55"/>
      <c r="AL1290" s="55"/>
      <c r="AM1290" s="55"/>
      <c r="AN1290" s="55"/>
      <c r="AO1290" s="55"/>
      <c r="AP1290" s="55"/>
      <c r="AQ1290" s="55"/>
      <c r="AR1290" s="55"/>
      <c r="AS1290" s="55"/>
      <c r="AT1290" s="55"/>
      <c r="AU1290" s="55"/>
      <c r="AV1290" s="55"/>
      <c r="AW1290" s="55"/>
      <c r="AX1290" s="55"/>
      <c r="AY1290" s="55"/>
      <c r="AZ1290" s="55"/>
    </row>
    <row r="1291" spans="2:52" x14ac:dyDescent="0.2">
      <c r="B1291" s="59"/>
      <c r="C1291" s="68"/>
      <c r="D1291" s="68"/>
      <c r="J1291" s="31"/>
      <c r="V1291" s="55"/>
      <c r="W1291" s="55"/>
      <c r="X1291" s="55"/>
      <c r="Y1291" s="55"/>
      <c r="Z1291" s="55"/>
      <c r="AA1291" s="55"/>
      <c r="AB1291" s="55"/>
      <c r="AC1291" s="55"/>
      <c r="AD1291" s="55"/>
      <c r="AE1291" s="55"/>
      <c r="AF1291" s="55"/>
      <c r="AG1291" s="55"/>
      <c r="AH1291" s="55"/>
      <c r="AI1291" s="55"/>
      <c r="AJ1291" s="55"/>
      <c r="AK1291" s="55"/>
      <c r="AL1291" s="55"/>
      <c r="AM1291" s="55"/>
      <c r="AN1291" s="55"/>
      <c r="AO1291" s="55"/>
      <c r="AP1291" s="55"/>
      <c r="AQ1291" s="55"/>
      <c r="AR1291" s="55"/>
      <c r="AS1291" s="55"/>
      <c r="AT1291" s="55"/>
      <c r="AU1291" s="55"/>
      <c r="AV1291" s="55"/>
      <c r="AW1291" s="55"/>
      <c r="AX1291" s="55"/>
      <c r="AY1291" s="55"/>
      <c r="AZ1291" s="55"/>
    </row>
    <row r="1292" spans="2:52" x14ac:dyDescent="0.2">
      <c r="C1292" s="68"/>
      <c r="D1292" s="68"/>
      <c r="J1292" s="31"/>
      <c r="V1292" s="55"/>
      <c r="W1292" s="55"/>
      <c r="X1292" s="55"/>
      <c r="Y1292" s="55"/>
      <c r="Z1292" s="55"/>
      <c r="AA1292" s="55"/>
      <c r="AB1292" s="55"/>
      <c r="AC1292" s="55"/>
      <c r="AD1292" s="55"/>
      <c r="AE1292" s="55"/>
      <c r="AF1292" s="55"/>
      <c r="AG1292" s="55"/>
      <c r="AH1292" s="55"/>
      <c r="AI1292" s="55"/>
      <c r="AJ1292" s="55"/>
      <c r="AK1292" s="55"/>
      <c r="AL1292" s="55"/>
      <c r="AM1292" s="55"/>
      <c r="AN1292" s="55"/>
      <c r="AO1292" s="55"/>
      <c r="AP1292" s="55"/>
      <c r="AQ1292" s="55"/>
      <c r="AR1292" s="55"/>
      <c r="AS1292" s="55"/>
      <c r="AT1292" s="55"/>
      <c r="AU1292" s="55"/>
      <c r="AV1292" s="55"/>
      <c r="AW1292" s="55"/>
      <c r="AX1292" s="55"/>
      <c r="AY1292" s="55"/>
      <c r="AZ1292" s="55"/>
    </row>
    <row r="1293" spans="2:52" x14ac:dyDescent="0.2">
      <c r="C1293" s="68"/>
      <c r="D1293" s="68"/>
      <c r="J1293" s="31"/>
      <c r="V1293" s="55"/>
      <c r="W1293" s="55"/>
      <c r="X1293" s="55"/>
      <c r="Y1293" s="55"/>
      <c r="Z1293" s="55"/>
      <c r="AA1293" s="55"/>
      <c r="AB1293" s="55"/>
      <c r="AC1293" s="55"/>
      <c r="AD1293" s="55"/>
      <c r="AE1293" s="55"/>
      <c r="AF1293" s="55"/>
      <c r="AG1293" s="55"/>
      <c r="AH1293" s="55"/>
      <c r="AI1293" s="55"/>
      <c r="AJ1293" s="55"/>
      <c r="AK1293" s="55"/>
      <c r="AL1293" s="55"/>
      <c r="AM1293" s="55"/>
      <c r="AN1293" s="55"/>
      <c r="AO1293" s="55"/>
      <c r="AP1293" s="55"/>
      <c r="AQ1293" s="55"/>
      <c r="AR1293" s="55"/>
      <c r="AS1293" s="55"/>
      <c r="AT1293" s="55"/>
      <c r="AU1293" s="55"/>
      <c r="AV1293" s="55"/>
      <c r="AW1293" s="55"/>
      <c r="AX1293" s="55"/>
      <c r="AY1293" s="55"/>
      <c r="AZ1293" s="55"/>
    </row>
    <row r="1294" spans="2:52" x14ac:dyDescent="0.2">
      <c r="B1294" s="59"/>
      <c r="C1294" s="68"/>
      <c r="D1294" s="68"/>
      <c r="J1294" s="31"/>
      <c r="V1294" s="55"/>
      <c r="W1294" s="55"/>
      <c r="X1294" s="55"/>
      <c r="Y1294" s="55"/>
      <c r="Z1294" s="55"/>
      <c r="AA1294" s="55"/>
      <c r="AB1294" s="55"/>
      <c r="AC1294" s="55"/>
      <c r="AD1294" s="55"/>
      <c r="AE1294" s="55"/>
      <c r="AF1294" s="55"/>
      <c r="AG1294" s="55"/>
      <c r="AH1294" s="55"/>
      <c r="AI1294" s="55"/>
      <c r="AJ1294" s="55"/>
      <c r="AK1294" s="55"/>
      <c r="AL1294" s="55"/>
      <c r="AM1294" s="55"/>
      <c r="AN1294" s="55"/>
      <c r="AO1294" s="55"/>
      <c r="AP1294" s="55"/>
      <c r="AQ1294" s="55"/>
      <c r="AR1294" s="55"/>
      <c r="AS1294" s="55"/>
      <c r="AT1294" s="55"/>
      <c r="AU1294" s="55"/>
      <c r="AV1294" s="55"/>
      <c r="AW1294" s="55"/>
      <c r="AX1294" s="55"/>
      <c r="AY1294" s="55"/>
      <c r="AZ1294" s="55"/>
    </row>
    <row r="1295" spans="2:52" x14ac:dyDescent="0.2">
      <c r="C1295" s="68"/>
      <c r="D1295" s="68"/>
      <c r="J1295" s="31"/>
      <c r="V1295" s="55"/>
      <c r="W1295" s="55"/>
      <c r="X1295" s="55"/>
      <c r="Y1295" s="55"/>
      <c r="Z1295" s="55"/>
      <c r="AA1295" s="55"/>
      <c r="AB1295" s="55"/>
      <c r="AC1295" s="55"/>
      <c r="AD1295" s="55"/>
      <c r="AE1295" s="55"/>
      <c r="AF1295" s="55"/>
      <c r="AG1295" s="55"/>
      <c r="AH1295" s="55"/>
      <c r="AI1295" s="55"/>
      <c r="AJ1295" s="55"/>
      <c r="AK1295" s="55"/>
      <c r="AL1295" s="55"/>
      <c r="AM1295" s="55"/>
      <c r="AN1295" s="55"/>
      <c r="AO1295" s="55"/>
      <c r="AP1295" s="55"/>
      <c r="AQ1295" s="55"/>
      <c r="AR1295" s="55"/>
      <c r="AS1295" s="55"/>
      <c r="AT1295" s="55"/>
      <c r="AU1295" s="55"/>
      <c r="AV1295" s="55"/>
      <c r="AW1295" s="55"/>
      <c r="AX1295" s="55"/>
      <c r="AY1295" s="55"/>
      <c r="AZ1295" s="55"/>
    </row>
    <row r="1296" spans="2:52" x14ac:dyDescent="0.2">
      <c r="B1296" s="59"/>
      <c r="C1296" s="68"/>
      <c r="D1296" s="68"/>
      <c r="J1296" s="31"/>
      <c r="V1296" s="55"/>
      <c r="W1296" s="55"/>
      <c r="X1296" s="55"/>
      <c r="Y1296" s="55"/>
      <c r="Z1296" s="55"/>
      <c r="AA1296" s="55"/>
      <c r="AB1296" s="55"/>
      <c r="AC1296" s="55"/>
      <c r="AD1296" s="55"/>
      <c r="AE1296" s="55"/>
      <c r="AF1296" s="55"/>
      <c r="AG1296" s="55"/>
      <c r="AH1296" s="55"/>
      <c r="AI1296" s="55"/>
      <c r="AJ1296" s="55"/>
      <c r="AK1296" s="55"/>
      <c r="AL1296" s="55"/>
      <c r="AM1296" s="55"/>
      <c r="AN1296" s="55"/>
      <c r="AO1296" s="55"/>
      <c r="AP1296" s="55"/>
      <c r="AQ1296" s="55"/>
      <c r="AR1296" s="55"/>
      <c r="AS1296" s="55"/>
      <c r="AT1296" s="55"/>
      <c r="AU1296" s="55"/>
      <c r="AV1296" s="55"/>
      <c r="AW1296" s="55"/>
      <c r="AX1296" s="55"/>
      <c r="AY1296" s="55"/>
      <c r="AZ1296" s="55"/>
    </row>
    <row r="1297" spans="1:52" x14ac:dyDescent="0.2">
      <c r="V1297" s="55"/>
      <c r="W1297" s="55"/>
      <c r="X1297" s="55"/>
      <c r="Y1297" s="55"/>
      <c r="Z1297" s="55"/>
      <c r="AA1297" s="55"/>
      <c r="AB1297" s="55"/>
      <c r="AC1297" s="55"/>
      <c r="AD1297" s="55"/>
      <c r="AE1297" s="55"/>
      <c r="AF1297" s="55"/>
      <c r="AG1297" s="55"/>
      <c r="AH1297" s="55"/>
      <c r="AI1297" s="55"/>
      <c r="AJ1297" s="55"/>
      <c r="AK1297" s="55"/>
      <c r="AL1297" s="55"/>
      <c r="AM1297" s="55"/>
      <c r="AN1297" s="55"/>
      <c r="AO1297" s="55"/>
      <c r="AP1297" s="55"/>
      <c r="AQ1297" s="55"/>
      <c r="AR1297" s="55"/>
      <c r="AS1297" s="55"/>
      <c r="AT1297" s="55"/>
      <c r="AU1297" s="55"/>
      <c r="AV1297" s="55"/>
      <c r="AW1297" s="55"/>
      <c r="AX1297" s="55"/>
      <c r="AY1297" s="55"/>
      <c r="AZ1297" s="55"/>
    </row>
    <row r="1298" spans="1:52" x14ac:dyDescent="0.2">
      <c r="V1298" s="55"/>
      <c r="W1298" s="55"/>
      <c r="X1298" s="55"/>
      <c r="Y1298" s="55"/>
      <c r="Z1298" s="55"/>
      <c r="AA1298" s="55"/>
      <c r="AB1298" s="55"/>
      <c r="AC1298" s="55"/>
      <c r="AD1298" s="55"/>
      <c r="AE1298" s="55"/>
      <c r="AF1298" s="55"/>
      <c r="AG1298" s="55"/>
      <c r="AH1298" s="55"/>
      <c r="AI1298" s="55"/>
      <c r="AJ1298" s="55"/>
      <c r="AK1298" s="55"/>
      <c r="AL1298" s="55"/>
      <c r="AM1298" s="55"/>
      <c r="AN1298" s="55"/>
      <c r="AO1298" s="55"/>
      <c r="AP1298" s="55"/>
      <c r="AQ1298" s="55"/>
      <c r="AR1298" s="55"/>
      <c r="AS1298" s="55"/>
      <c r="AT1298" s="55"/>
      <c r="AU1298" s="55"/>
      <c r="AV1298" s="55"/>
      <c r="AW1298" s="55"/>
      <c r="AX1298" s="55"/>
      <c r="AY1298" s="55"/>
      <c r="AZ1298" s="55"/>
    </row>
    <row r="1299" spans="1:52" x14ac:dyDescent="0.2">
      <c r="V1299" s="55"/>
      <c r="W1299" s="55"/>
      <c r="X1299" s="55"/>
      <c r="Y1299" s="55"/>
      <c r="Z1299" s="55"/>
      <c r="AA1299" s="55"/>
      <c r="AB1299" s="55"/>
      <c r="AC1299" s="55"/>
      <c r="AD1299" s="55"/>
      <c r="AE1299" s="55"/>
      <c r="AF1299" s="55"/>
      <c r="AG1299" s="55"/>
      <c r="AH1299" s="55"/>
      <c r="AI1299" s="55"/>
      <c r="AJ1299" s="55"/>
      <c r="AK1299" s="55"/>
      <c r="AL1299" s="55"/>
      <c r="AM1299" s="55"/>
      <c r="AN1299" s="55"/>
      <c r="AO1299" s="55"/>
      <c r="AP1299" s="55"/>
      <c r="AQ1299" s="55"/>
      <c r="AR1299" s="55"/>
      <c r="AS1299" s="55"/>
      <c r="AT1299" s="55"/>
      <c r="AU1299" s="55"/>
      <c r="AV1299" s="55"/>
      <c r="AW1299" s="55"/>
      <c r="AX1299" s="55"/>
      <c r="AY1299" s="55"/>
      <c r="AZ1299" s="55"/>
    </row>
    <row r="1300" spans="1:52" x14ac:dyDescent="0.2">
      <c r="V1300" s="55"/>
      <c r="W1300" s="55"/>
      <c r="X1300" s="55"/>
      <c r="Y1300" s="55"/>
      <c r="Z1300" s="55"/>
      <c r="AA1300" s="55"/>
      <c r="AB1300" s="55"/>
      <c r="AC1300" s="55"/>
      <c r="AD1300" s="55"/>
      <c r="AE1300" s="55"/>
      <c r="AF1300" s="55"/>
      <c r="AG1300" s="55"/>
      <c r="AH1300" s="55"/>
      <c r="AI1300" s="55"/>
      <c r="AJ1300" s="55"/>
      <c r="AK1300" s="55"/>
      <c r="AL1300" s="55"/>
      <c r="AM1300" s="55"/>
      <c r="AN1300" s="55"/>
      <c r="AO1300" s="55"/>
      <c r="AP1300" s="55"/>
      <c r="AQ1300" s="55"/>
      <c r="AR1300" s="55"/>
      <c r="AS1300" s="55"/>
      <c r="AT1300" s="55"/>
      <c r="AU1300" s="55"/>
      <c r="AV1300" s="55"/>
      <c r="AW1300" s="55"/>
      <c r="AX1300" s="55"/>
      <c r="AY1300" s="55"/>
      <c r="AZ1300" s="55"/>
    </row>
    <row r="1301" spans="1:52" ht="12.75" customHeight="1" x14ac:dyDescent="0.2">
      <c r="A1301" s="55"/>
      <c r="B1301" s="76"/>
      <c r="C1301" s="77"/>
      <c r="D1301" s="77"/>
      <c r="E1301" s="55"/>
      <c r="F1301" s="55"/>
      <c r="G1301" s="55"/>
      <c r="H1301" s="55"/>
      <c r="I1301" s="55"/>
      <c r="J1301" s="55"/>
      <c r="K1301" s="55"/>
      <c r="L1301" s="55"/>
      <c r="M1301" s="55"/>
      <c r="N1301" s="55"/>
      <c r="O1301" s="55"/>
      <c r="P1301" s="55"/>
      <c r="Q1301" s="55"/>
      <c r="R1301" s="55"/>
      <c r="S1301" s="55"/>
      <c r="T1301" s="55"/>
      <c r="U1301" s="55"/>
      <c r="V1301" s="55"/>
      <c r="W1301" s="55"/>
      <c r="X1301" s="55"/>
      <c r="Y1301" s="55"/>
      <c r="Z1301" s="55"/>
      <c r="AA1301" s="55"/>
      <c r="AB1301" s="55"/>
      <c r="AC1301" s="55"/>
      <c r="AD1301" s="55"/>
      <c r="AE1301" s="55"/>
      <c r="AF1301" s="55"/>
      <c r="AG1301" s="55"/>
      <c r="AH1301" s="55"/>
      <c r="AI1301" s="55"/>
      <c r="AJ1301" s="55"/>
      <c r="AK1301" s="55"/>
      <c r="AL1301" s="55"/>
      <c r="AM1301" s="55"/>
      <c r="AN1301" s="55"/>
      <c r="AO1301" s="55"/>
      <c r="AP1301" s="55"/>
      <c r="AQ1301" s="55"/>
      <c r="AR1301" s="55"/>
      <c r="AS1301" s="55"/>
      <c r="AT1301" s="55"/>
      <c r="AU1301" s="55"/>
      <c r="AV1301" s="55"/>
      <c r="AW1301" s="55"/>
      <c r="AX1301" s="55"/>
      <c r="AY1301" s="55"/>
      <c r="AZ1301" s="55"/>
    </row>
    <row r="1302" spans="1:52" ht="12.75" customHeight="1" x14ac:dyDescent="0.2">
      <c r="A1302" s="55"/>
      <c r="B1302" s="76"/>
      <c r="C1302" s="77"/>
      <c r="D1302" s="77"/>
      <c r="E1302" s="55"/>
      <c r="F1302" s="55"/>
      <c r="G1302" s="55"/>
      <c r="H1302" s="55"/>
      <c r="I1302" s="55"/>
      <c r="J1302" s="55"/>
      <c r="K1302" s="55"/>
      <c r="L1302" s="55"/>
      <c r="M1302" s="55"/>
      <c r="N1302" s="55"/>
      <c r="O1302" s="55"/>
      <c r="P1302" s="55"/>
      <c r="Q1302" s="55"/>
      <c r="R1302" s="55"/>
      <c r="S1302" s="55"/>
      <c r="T1302" s="55"/>
      <c r="U1302" s="55"/>
      <c r="V1302" s="55"/>
      <c r="W1302" s="55"/>
      <c r="X1302" s="55"/>
      <c r="Y1302" s="55"/>
      <c r="Z1302" s="55"/>
      <c r="AA1302" s="55"/>
      <c r="AB1302" s="55"/>
      <c r="AC1302" s="55"/>
      <c r="AD1302" s="55"/>
      <c r="AE1302" s="55"/>
      <c r="AF1302" s="55"/>
      <c r="AG1302" s="55"/>
      <c r="AH1302" s="55"/>
      <c r="AI1302" s="55"/>
      <c r="AJ1302" s="55"/>
      <c r="AK1302" s="55"/>
      <c r="AL1302" s="55"/>
      <c r="AM1302" s="55"/>
      <c r="AN1302" s="55"/>
      <c r="AO1302" s="55"/>
      <c r="AP1302" s="55"/>
      <c r="AQ1302" s="55"/>
      <c r="AR1302" s="55"/>
      <c r="AS1302" s="55"/>
      <c r="AT1302" s="55"/>
      <c r="AU1302" s="55"/>
      <c r="AV1302" s="55"/>
      <c r="AW1302" s="55"/>
      <c r="AX1302" s="55"/>
      <c r="AY1302" s="55"/>
      <c r="AZ1302" s="55"/>
    </row>
    <row r="1303" spans="1:52" ht="12.75" customHeight="1" x14ac:dyDescent="0.2">
      <c r="A1303" s="55"/>
      <c r="B1303" s="76"/>
      <c r="C1303" s="77"/>
      <c r="D1303" s="77"/>
      <c r="E1303" s="55"/>
      <c r="F1303" s="55"/>
      <c r="G1303" s="55"/>
      <c r="H1303" s="55"/>
      <c r="I1303" s="55"/>
      <c r="J1303" s="55"/>
      <c r="K1303" s="55"/>
      <c r="L1303" s="55"/>
      <c r="M1303" s="55"/>
      <c r="N1303" s="55"/>
      <c r="O1303" s="55"/>
      <c r="P1303" s="55"/>
      <c r="Q1303" s="55"/>
      <c r="R1303" s="55"/>
      <c r="S1303" s="55"/>
      <c r="T1303" s="55"/>
      <c r="U1303" s="55"/>
      <c r="V1303" s="55"/>
      <c r="W1303" s="55"/>
      <c r="X1303" s="55"/>
      <c r="Y1303" s="55"/>
      <c r="Z1303" s="55"/>
      <c r="AA1303" s="55"/>
      <c r="AB1303" s="55"/>
      <c r="AC1303" s="55"/>
      <c r="AD1303" s="55"/>
      <c r="AE1303" s="55"/>
      <c r="AF1303" s="55"/>
      <c r="AG1303" s="55"/>
      <c r="AH1303" s="55"/>
      <c r="AI1303" s="55"/>
      <c r="AJ1303" s="55"/>
      <c r="AK1303" s="55"/>
      <c r="AL1303" s="55"/>
      <c r="AM1303" s="55"/>
      <c r="AN1303" s="55"/>
      <c r="AO1303" s="55"/>
      <c r="AP1303" s="55"/>
      <c r="AQ1303" s="55"/>
      <c r="AR1303" s="55"/>
      <c r="AS1303" s="55"/>
      <c r="AT1303" s="55"/>
      <c r="AU1303" s="55"/>
      <c r="AV1303" s="55"/>
      <c r="AW1303" s="55"/>
      <c r="AX1303" s="55"/>
      <c r="AY1303" s="55"/>
      <c r="AZ1303" s="55"/>
    </row>
    <row r="1304" spans="1:52" ht="12.75" customHeight="1" x14ac:dyDescent="0.2">
      <c r="A1304" s="55"/>
      <c r="B1304" s="76"/>
      <c r="C1304" s="77"/>
      <c r="D1304" s="77"/>
      <c r="E1304" s="55"/>
      <c r="F1304" s="55"/>
      <c r="G1304" s="55"/>
      <c r="H1304" s="55"/>
      <c r="I1304" s="55"/>
      <c r="J1304" s="55"/>
      <c r="K1304" s="55"/>
      <c r="L1304" s="55"/>
      <c r="M1304" s="55"/>
      <c r="N1304" s="55"/>
      <c r="O1304" s="55"/>
      <c r="P1304" s="55"/>
      <c r="Q1304" s="55"/>
      <c r="R1304" s="55"/>
      <c r="S1304" s="55"/>
      <c r="T1304" s="55"/>
      <c r="U1304" s="55"/>
      <c r="V1304" s="55"/>
      <c r="W1304" s="55"/>
      <c r="X1304" s="55"/>
      <c r="Y1304" s="55"/>
      <c r="Z1304" s="55"/>
      <c r="AA1304" s="55"/>
      <c r="AB1304" s="55"/>
      <c r="AC1304" s="55"/>
      <c r="AD1304" s="55"/>
      <c r="AE1304" s="55"/>
      <c r="AF1304" s="55"/>
      <c r="AG1304" s="55"/>
      <c r="AH1304" s="55"/>
      <c r="AI1304" s="55"/>
      <c r="AJ1304" s="55"/>
      <c r="AK1304" s="55"/>
      <c r="AL1304" s="55"/>
      <c r="AM1304" s="55"/>
      <c r="AN1304" s="55"/>
      <c r="AO1304" s="55"/>
      <c r="AP1304" s="55"/>
      <c r="AQ1304" s="55"/>
      <c r="AR1304" s="55"/>
      <c r="AS1304" s="55"/>
      <c r="AT1304" s="55"/>
      <c r="AU1304" s="55"/>
      <c r="AV1304" s="55"/>
      <c r="AW1304" s="55"/>
      <c r="AX1304" s="55"/>
      <c r="AY1304" s="55"/>
      <c r="AZ1304" s="55"/>
    </row>
    <row r="1305" spans="1:52" ht="12.75" customHeight="1" x14ac:dyDescent="0.2">
      <c r="A1305" s="55"/>
      <c r="B1305" s="76"/>
      <c r="C1305" s="77"/>
      <c r="D1305" s="77"/>
      <c r="E1305" s="55"/>
      <c r="F1305" s="55"/>
      <c r="G1305" s="55"/>
      <c r="H1305" s="55"/>
      <c r="I1305" s="55"/>
      <c r="J1305" s="55"/>
      <c r="K1305" s="55"/>
      <c r="L1305" s="55"/>
      <c r="M1305" s="55"/>
      <c r="N1305" s="55"/>
      <c r="O1305" s="55"/>
      <c r="P1305" s="55"/>
      <c r="Q1305" s="55"/>
      <c r="R1305" s="55"/>
      <c r="S1305" s="55"/>
      <c r="T1305" s="55"/>
      <c r="U1305" s="55"/>
      <c r="V1305" s="55"/>
      <c r="W1305" s="55"/>
      <c r="X1305" s="55"/>
      <c r="Y1305" s="55"/>
      <c r="Z1305" s="55"/>
      <c r="AA1305" s="55"/>
      <c r="AB1305" s="55"/>
      <c r="AC1305" s="55"/>
      <c r="AD1305" s="55"/>
      <c r="AE1305" s="55"/>
      <c r="AF1305" s="55"/>
      <c r="AG1305" s="55"/>
      <c r="AH1305" s="55"/>
      <c r="AI1305" s="55"/>
      <c r="AJ1305" s="55"/>
      <c r="AK1305" s="55"/>
      <c r="AL1305" s="55"/>
      <c r="AM1305" s="55"/>
      <c r="AN1305" s="55"/>
      <c r="AO1305" s="55"/>
      <c r="AP1305" s="55"/>
      <c r="AQ1305" s="55"/>
      <c r="AR1305" s="55"/>
      <c r="AS1305" s="55"/>
      <c r="AT1305" s="55"/>
      <c r="AU1305" s="55"/>
      <c r="AV1305" s="55"/>
      <c r="AW1305" s="55"/>
      <c r="AX1305" s="55"/>
      <c r="AY1305" s="55"/>
      <c r="AZ1305" s="55"/>
    </row>
    <row r="1306" spans="1:52" ht="12.75" customHeight="1" x14ac:dyDescent="0.2">
      <c r="A1306" s="55"/>
      <c r="B1306" s="76"/>
      <c r="C1306" s="77"/>
      <c r="D1306" s="77"/>
      <c r="E1306" s="55"/>
      <c r="F1306" s="55"/>
      <c r="G1306" s="55"/>
      <c r="H1306" s="55"/>
      <c r="I1306" s="55"/>
      <c r="J1306" s="55"/>
      <c r="K1306" s="55"/>
      <c r="L1306" s="55"/>
      <c r="M1306" s="55"/>
      <c r="N1306" s="55"/>
      <c r="O1306" s="55"/>
      <c r="P1306" s="55"/>
      <c r="Q1306" s="55"/>
      <c r="R1306" s="55"/>
      <c r="S1306" s="55"/>
      <c r="T1306" s="55"/>
      <c r="U1306" s="55"/>
      <c r="V1306" s="55"/>
      <c r="W1306" s="55"/>
      <c r="X1306" s="55"/>
      <c r="Y1306" s="55"/>
      <c r="Z1306" s="55"/>
      <c r="AA1306" s="55"/>
      <c r="AB1306" s="55"/>
      <c r="AC1306" s="55"/>
      <c r="AD1306" s="55"/>
      <c r="AE1306" s="55"/>
      <c r="AF1306" s="55"/>
      <c r="AG1306" s="55"/>
      <c r="AH1306" s="55"/>
      <c r="AI1306" s="55"/>
      <c r="AJ1306" s="55"/>
      <c r="AK1306" s="55"/>
      <c r="AL1306" s="55"/>
      <c r="AM1306" s="55"/>
      <c r="AN1306" s="55"/>
      <c r="AO1306" s="55"/>
      <c r="AP1306" s="55"/>
      <c r="AQ1306" s="55"/>
      <c r="AR1306" s="55"/>
      <c r="AS1306" s="55"/>
      <c r="AT1306" s="55"/>
      <c r="AU1306" s="55"/>
      <c r="AV1306" s="55"/>
      <c r="AW1306" s="55"/>
      <c r="AX1306" s="55"/>
      <c r="AY1306" s="55"/>
      <c r="AZ1306" s="55"/>
    </row>
    <row r="1307" spans="1:52" ht="12.75" customHeight="1" x14ac:dyDescent="0.2">
      <c r="A1307" s="55"/>
      <c r="B1307" s="76"/>
      <c r="C1307" s="77"/>
      <c r="D1307" s="77"/>
      <c r="E1307" s="55"/>
      <c r="F1307" s="55"/>
      <c r="G1307" s="55"/>
      <c r="H1307" s="55"/>
      <c r="I1307" s="55"/>
      <c r="J1307" s="55"/>
      <c r="K1307" s="55"/>
      <c r="L1307" s="55"/>
      <c r="M1307" s="55"/>
      <c r="N1307" s="55"/>
      <c r="O1307" s="55"/>
      <c r="P1307" s="55"/>
      <c r="Q1307" s="55"/>
      <c r="R1307" s="55"/>
      <c r="S1307" s="55"/>
      <c r="T1307" s="55"/>
      <c r="U1307" s="55"/>
      <c r="V1307" s="55"/>
      <c r="W1307" s="55"/>
      <c r="X1307" s="55"/>
      <c r="Y1307" s="55"/>
      <c r="Z1307" s="55"/>
      <c r="AA1307" s="55"/>
      <c r="AB1307" s="55"/>
      <c r="AC1307" s="55"/>
      <c r="AD1307" s="55"/>
      <c r="AE1307" s="55"/>
      <c r="AF1307" s="55"/>
      <c r="AG1307" s="55"/>
      <c r="AH1307" s="55"/>
      <c r="AI1307" s="55"/>
      <c r="AJ1307" s="55"/>
      <c r="AK1307" s="55"/>
      <c r="AL1307" s="55"/>
      <c r="AM1307" s="55"/>
      <c r="AN1307" s="55"/>
      <c r="AO1307" s="55"/>
      <c r="AP1307" s="55"/>
      <c r="AQ1307" s="55"/>
      <c r="AR1307" s="55"/>
      <c r="AS1307" s="55"/>
      <c r="AT1307" s="55"/>
      <c r="AU1307" s="55"/>
      <c r="AV1307" s="55"/>
      <c r="AW1307" s="55"/>
      <c r="AX1307" s="55"/>
      <c r="AY1307" s="55"/>
      <c r="AZ1307" s="55"/>
    </row>
    <row r="1308" spans="1:52" ht="12.75" customHeight="1" x14ac:dyDescent="0.2">
      <c r="A1308" s="55"/>
      <c r="B1308" s="76"/>
      <c r="C1308" s="77"/>
      <c r="D1308" s="77"/>
      <c r="E1308" s="55"/>
      <c r="F1308" s="55"/>
      <c r="G1308" s="55"/>
      <c r="H1308" s="55"/>
      <c r="I1308" s="55"/>
      <c r="J1308" s="55"/>
      <c r="K1308" s="55"/>
      <c r="L1308" s="55"/>
      <c r="M1308" s="55"/>
      <c r="N1308" s="55"/>
      <c r="O1308" s="55"/>
      <c r="P1308" s="55"/>
      <c r="Q1308" s="55"/>
      <c r="R1308" s="55"/>
      <c r="S1308" s="55"/>
      <c r="T1308" s="55"/>
      <c r="U1308" s="55"/>
      <c r="V1308" s="55"/>
      <c r="W1308" s="55"/>
      <c r="X1308" s="55"/>
      <c r="Y1308" s="55"/>
      <c r="Z1308" s="55"/>
      <c r="AA1308" s="55"/>
      <c r="AB1308" s="55"/>
      <c r="AC1308" s="55"/>
      <c r="AD1308" s="55"/>
      <c r="AE1308" s="55"/>
      <c r="AF1308" s="55"/>
      <c r="AG1308" s="55"/>
      <c r="AH1308" s="55"/>
      <c r="AI1308" s="55"/>
      <c r="AJ1308" s="55"/>
      <c r="AK1308" s="55"/>
      <c r="AL1308" s="55"/>
      <c r="AM1308" s="55"/>
      <c r="AN1308" s="55"/>
      <c r="AO1308" s="55"/>
      <c r="AP1308" s="55"/>
      <c r="AQ1308" s="55"/>
      <c r="AR1308" s="55"/>
      <c r="AS1308" s="55"/>
      <c r="AT1308" s="55"/>
      <c r="AU1308" s="55"/>
      <c r="AV1308" s="55"/>
      <c r="AW1308" s="55"/>
      <c r="AX1308" s="55"/>
      <c r="AY1308" s="55"/>
      <c r="AZ1308" s="55"/>
    </row>
    <row r="1309" spans="1:52" ht="12.75" customHeight="1" x14ac:dyDescent="0.2">
      <c r="A1309" s="55"/>
      <c r="B1309" s="76"/>
      <c r="C1309" s="77"/>
      <c r="D1309" s="77"/>
      <c r="E1309" s="55"/>
      <c r="F1309" s="55"/>
      <c r="G1309" s="55"/>
      <c r="H1309" s="55"/>
      <c r="I1309" s="55"/>
      <c r="J1309" s="55"/>
      <c r="K1309" s="55"/>
      <c r="L1309" s="55"/>
      <c r="M1309" s="55"/>
      <c r="N1309" s="55"/>
      <c r="O1309" s="55"/>
      <c r="P1309" s="55"/>
      <c r="Q1309" s="55"/>
      <c r="R1309" s="55"/>
      <c r="S1309" s="55"/>
      <c r="T1309" s="55"/>
      <c r="U1309" s="55"/>
      <c r="V1309" s="55"/>
      <c r="W1309" s="55"/>
      <c r="X1309" s="55"/>
      <c r="Y1309" s="55"/>
      <c r="Z1309" s="55"/>
      <c r="AA1309" s="55"/>
      <c r="AB1309" s="55"/>
      <c r="AC1309" s="55"/>
      <c r="AD1309" s="55"/>
      <c r="AE1309" s="55"/>
      <c r="AF1309" s="55"/>
      <c r="AG1309" s="55"/>
      <c r="AH1309" s="55"/>
      <c r="AI1309" s="55"/>
      <c r="AJ1309" s="55"/>
      <c r="AK1309" s="55"/>
      <c r="AL1309" s="55"/>
      <c r="AM1309" s="55"/>
      <c r="AN1309" s="55"/>
      <c r="AO1309" s="55"/>
      <c r="AP1309" s="55"/>
      <c r="AQ1309" s="55"/>
      <c r="AR1309" s="55"/>
      <c r="AS1309" s="55"/>
      <c r="AT1309" s="55"/>
      <c r="AU1309" s="55"/>
      <c r="AV1309" s="55"/>
      <c r="AW1309" s="55"/>
      <c r="AX1309" s="55"/>
      <c r="AY1309" s="55"/>
      <c r="AZ1309" s="55"/>
    </row>
    <row r="1310" spans="1:52" ht="12.75" customHeight="1" x14ac:dyDescent="0.2">
      <c r="A1310" s="55"/>
      <c r="B1310" s="76"/>
      <c r="C1310" s="77"/>
      <c r="D1310" s="77"/>
      <c r="E1310" s="55"/>
      <c r="F1310" s="55"/>
      <c r="G1310" s="55"/>
      <c r="H1310" s="55"/>
      <c r="I1310" s="55"/>
      <c r="J1310" s="55"/>
      <c r="K1310" s="55"/>
      <c r="L1310" s="55"/>
      <c r="M1310" s="55"/>
      <c r="N1310" s="55"/>
      <c r="O1310" s="55"/>
      <c r="P1310" s="55"/>
      <c r="Q1310" s="55"/>
      <c r="R1310" s="55"/>
      <c r="S1310" s="55"/>
      <c r="T1310" s="55"/>
      <c r="U1310" s="55"/>
      <c r="V1310" s="55"/>
      <c r="W1310" s="55"/>
      <c r="X1310" s="55"/>
      <c r="Y1310" s="55"/>
      <c r="Z1310" s="55"/>
      <c r="AA1310" s="55"/>
      <c r="AB1310" s="55"/>
      <c r="AC1310" s="55"/>
      <c r="AD1310" s="55"/>
      <c r="AE1310" s="55"/>
      <c r="AF1310" s="55"/>
      <c r="AG1310" s="55"/>
      <c r="AH1310" s="55"/>
      <c r="AI1310" s="55"/>
      <c r="AJ1310" s="55"/>
      <c r="AK1310" s="55"/>
      <c r="AL1310" s="55"/>
      <c r="AM1310" s="55"/>
      <c r="AN1310" s="55"/>
      <c r="AO1310" s="55"/>
      <c r="AP1310" s="55"/>
      <c r="AQ1310" s="55"/>
      <c r="AR1310" s="55"/>
      <c r="AS1310" s="55"/>
      <c r="AT1310" s="55"/>
      <c r="AU1310" s="55"/>
      <c r="AV1310" s="55"/>
      <c r="AW1310" s="55"/>
      <c r="AX1310" s="55"/>
      <c r="AY1310" s="55"/>
      <c r="AZ1310" s="55"/>
    </row>
    <row r="1311" spans="1:52" ht="12.75" customHeight="1" x14ac:dyDescent="0.2">
      <c r="A1311" s="55"/>
      <c r="B1311" s="76"/>
      <c r="C1311" s="77"/>
      <c r="D1311" s="77"/>
      <c r="E1311" s="55"/>
      <c r="F1311" s="55"/>
      <c r="G1311" s="55"/>
      <c r="H1311" s="55"/>
      <c r="I1311" s="55"/>
      <c r="J1311" s="55"/>
      <c r="K1311" s="55"/>
      <c r="L1311" s="55"/>
      <c r="M1311" s="55"/>
      <c r="N1311" s="55"/>
      <c r="O1311" s="55"/>
      <c r="P1311" s="55"/>
      <c r="Q1311" s="55"/>
      <c r="R1311" s="55"/>
      <c r="S1311" s="55"/>
      <c r="T1311" s="55"/>
      <c r="U1311" s="55"/>
      <c r="V1311" s="55"/>
      <c r="W1311" s="55"/>
      <c r="X1311" s="55"/>
      <c r="Y1311" s="55"/>
      <c r="Z1311" s="55"/>
      <c r="AA1311" s="55"/>
      <c r="AB1311" s="55"/>
      <c r="AC1311" s="55"/>
      <c r="AD1311" s="55"/>
      <c r="AE1311" s="55"/>
      <c r="AF1311" s="55"/>
      <c r="AG1311" s="55"/>
      <c r="AH1311" s="55"/>
      <c r="AI1311" s="55"/>
      <c r="AJ1311" s="55"/>
      <c r="AK1311" s="55"/>
      <c r="AL1311" s="55"/>
      <c r="AM1311" s="55"/>
      <c r="AN1311" s="55"/>
      <c r="AO1311" s="55"/>
      <c r="AP1311" s="55"/>
      <c r="AQ1311" s="55"/>
      <c r="AR1311" s="55"/>
      <c r="AS1311" s="55"/>
      <c r="AT1311" s="55"/>
      <c r="AU1311" s="55"/>
      <c r="AV1311" s="55"/>
      <c r="AW1311" s="55"/>
      <c r="AX1311" s="55"/>
      <c r="AY1311" s="55"/>
      <c r="AZ1311" s="55"/>
    </row>
    <row r="1312" spans="1:52" ht="12.75" customHeight="1" x14ac:dyDescent="0.2">
      <c r="A1312" s="55"/>
      <c r="B1312" s="76"/>
      <c r="C1312" s="77"/>
      <c r="D1312" s="77"/>
      <c r="E1312" s="55"/>
      <c r="F1312" s="55"/>
      <c r="G1312" s="55"/>
      <c r="H1312" s="55"/>
      <c r="I1312" s="55"/>
      <c r="J1312" s="55"/>
      <c r="K1312" s="55"/>
      <c r="L1312" s="55"/>
      <c r="M1312" s="55"/>
      <c r="N1312" s="55"/>
      <c r="O1312" s="55"/>
      <c r="P1312" s="55"/>
      <c r="Q1312" s="55"/>
      <c r="R1312" s="55"/>
      <c r="S1312" s="55"/>
      <c r="T1312" s="55"/>
      <c r="U1312" s="55"/>
      <c r="V1312" s="55"/>
      <c r="W1312" s="55"/>
      <c r="X1312" s="55"/>
      <c r="Y1312" s="55"/>
      <c r="Z1312" s="55"/>
      <c r="AA1312" s="55"/>
      <c r="AB1312" s="55"/>
      <c r="AC1312" s="55"/>
      <c r="AD1312" s="55"/>
      <c r="AE1312" s="55"/>
      <c r="AF1312" s="55"/>
      <c r="AG1312" s="55"/>
      <c r="AH1312" s="55"/>
      <c r="AI1312" s="55"/>
      <c r="AJ1312" s="55"/>
      <c r="AK1312" s="55"/>
      <c r="AL1312" s="55"/>
      <c r="AM1312" s="55"/>
      <c r="AN1312" s="55"/>
      <c r="AO1312" s="55"/>
      <c r="AP1312" s="55"/>
      <c r="AQ1312" s="55"/>
      <c r="AR1312" s="55"/>
      <c r="AS1312" s="55"/>
      <c r="AT1312" s="55"/>
      <c r="AU1312" s="55"/>
      <c r="AV1312" s="55"/>
      <c r="AW1312" s="55"/>
      <c r="AX1312" s="55"/>
      <c r="AY1312" s="55"/>
      <c r="AZ1312" s="55"/>
    </row>
    <row r="1313" spans="1:52" ht="12.75" customHeight="1" x14ac:dyDescent="0.2">
      <c r="A1313" s="55"/>
      <c r="B1313" s="76"/>
      <c r="C1313" s="77"/>
      <c r="D1313" s="77"/>
      <c r="E1313" s="55"/>
      <c r="F1313" s="55"/>
      <c r="G1313" s="55"/>
      <c r="H1313" s="55"/>
      <c r="I1313" s="55"/>
      <c r="J1313" s="55"/>
      <c r="K1313" s="55"/>
      <c r="L1313" s="55"/>
      <c r="M1313" s="55"/>
      <c r="N1313" s="55"/>
      <c r="O1313" s="55"/>
      <c r="P1313" s="55"/>
      <c r="Q1313" s="55"/>
      <c r="R1313" s="55"/>
      <c r="S1313" s="55"/>
      <c r="T1313" s="55"/>
      <c r="U1313" s="55"/>
      <c r="V1313" s="55"/>
      <c r="W1313" s="55"/>
      <c r="X1313" s="55"/>
      <c r="Y1313" s="55"/>
      <c r="Z1313" s="55"/>
      <c r="AA1313" s="55"/>
      <c r="AB1313" s="55"/>
      <c r="AC1313" s="55"/>
      <c r="AD1313" s="55"/>
      <c r="AE1313" s="55"/>
      <c r="AF1313" s="55"/>
      <c r="AG1313" s="55"/>
      <c r="AH1313" s="55"/>
      <c r="AI1313" s="55"/>
      <c r="AJ1313" s="55"/>
      <c r="AK1313" s="55"/>
      <c r="AL1313" s="55"/>
      <c r="AM1313" s="55"/>
      <c r="AN1313" s="55"/>
      <c r="AO1313" s="55"/>
      <c r="AP1313" s="55"/>
      <c r="AQ1313" s="55"/>
      <c r="AR1313" s="55"/>
      <c r="AS1313" s="55"/>
      <c r="AT1313" s="55"/>
      <c r="AU1313" s="55"/>
      <c r="AV1313" s="55"/>
      <c r="AW1313" s="55"/>
      <c r="AX1313" s="55"/>
      <c r="AY1313" s="55"/>
      <c r="AZ1313" s="55"/>
    </row>
    <row r="1314" spans="1:52" ht="12.75" customHeight="1" x14ac:dyDescent="0.2">
      <c r="A1314" s="55"/>
      <c r="B1314" s="76"/>
      <c r="C1314" s="77"/>
      <c r="D1314" s="77"/>
      <c r="E1314" s="55"/>
      <c r="F1314" s="55"/>
      <c r="G1314" s="55"/>
      <c r="H1314" s="55"/>
      <c r="I1314" s="55"/>
      <c r="J1314" s="55"/>
      <c r="K1314" s="55"/>
      <c r="L1314" s="55"/>
      <c r="M1314" s="55"/>
      <c r="N1314" s="55"/>
      <c r="O1314" s="55"/>
      <c r="P1314" s="55"/>
      <c r="Q1314" s="55"/>
      <c r="R1314" s="55"/>
      <c r="S1314" s="55"/>
      <c r="T1314" s="55"/>
      <c r="U1314" s="55"/>
      <c r="V1314" s="55"/>
      <c r="W1314" s="55"/>
      <c r="X1314" s="55"/>
      <c r="Y1314" s="55"/>
      <c r="Z1314" s="55"/>
      <c r="AA1314" s="55"/>
      <c r="AB1314" s="55"/>
      <c r="AC1314" s="55"/>
      <c r="AD1314" s="55"/>
      <c r="AE1314" s="55"/>
      <c r="AF1314" s="55"/>
      <c r="AG1314" s="55"/>
      <c r="AH1314" s="55"/>
      <c r="AI1314" s="55"/>
      <c r="AJ1314" s="55"/>
      <c r="AK1314" s="55"/>
      <c r="AL1314" s="55"/>
      <c r="AM1314" s="55"/>
      <c r="AN1314" s="55"/>
      <c r="AO1314" s="55"/>
      <c r="AP1314" s="55"/>
      <c r="AQ1314" s="55"/>
      <c r="AR1314" s="55"/>
      <c r="AS1314" s="55"/>
      <c r="AT1314" s="55"/>
      <c r="AU1314" s="55"/>
      <c r="AV1314" s="55"/>
      <c r="AW1314" s="55"/>
      <c r="AX1314" s="55"/>
      <c r="AY1314" s="55"/>
      <c r="AZ1314" s="55"/>
    </row>
    <row r="1315" spans="1:52" ht="12.75" customHeight="1" x14ac:dyDescent="0.2">
      <c r="A1315" s="55"/>
      <c r="B1315" s="76"/>
      <c r="C1315" s="77"/>
      <c r="D1315" s="77"/>
      <c r="E1315" s="55"/>
      <c r="F1315" s="55"/>
      <c r="G1315" s="55"/>
      <c r="H1315" s="55"/>
      <c r="I1315" s="55"/>
      <c r="J1315" s="55"/>
      <c r="K1315" s="55"/>
      <c r="L1315" s="55"/>
      <c r="M1315" s="55"/>
      <c r="N1315" s="55"/>
      <c r="O1315" s="55"/>
      <c r="P1315" s="55"/>
      <c r="Q1315" s="55"/>
      <c r="R1315" s="55"/>
      <c r="S1315" s="55"/>
      <c r="T1315" s="55"/>
      <c r="U1315" s="55"/>
      <c r="V1315" s="55"/>
      <c r="W1315" s="55"/>
      <c r="X1315" s="55"/>
      <c r="Y1315" s="55"/>
      <c r="Z1315" s="55"/>
      <c r="AA1315" s="55"/>
      <c r="AB1315" s="55"/>
      <c r="AC1315" s="55"/>
      <c r="AD1315" s="55"/>
      <c r="AE1315" s="55"/>
      <c r="AF1315" s="55"/>
      <c r="AG1315" s="55"/>
      <c r="AH1315" s="55"/>
      <c r="AI1315" s="55"/>
      <c r="AJ1315" s="55"/>
      <c r="AK1315" s="55"/>
      <c r="AL1315" s="55"/>
      <c r="AM1315" s="55"/>
      <c r="AN1315" s="55"/>
      <c r="AO1315" s="55"/>
      <c r="AP1315" s="55"/>
      <c r="AQ1315" s="55"/>
      <c r="AR1315" s="55"/>
      <c r="AS1315" s="55"/>
      <c r="AT1315" s="55"/>
      <c r="AU1315" s="55"/>
      <c r="AV1315" s="55"/>
      <c r="AW1315" s="55"/>
      <c r="AX1315" s="55"/>
      <c r="AY1315" s="55"/>
      <c r="AZ1315" s="55"/>
    </row>
    <row r="1316" spans="1:52" ht="12.75" customHeight="1" x14ac:dyDescent="0.2">
      <c r="A1316" s="55"/>
      <c r="B1316" s="76"/>
      <c r="C1316" s="77"/>
      <c r="D1316" s="77"/>
      <c r="E1316" s="55"/>
      <c r="F1316" s="55"/>
      <c r="G1316" s="55"/>
      <c r="H1316" s="55"/>
      <c r="I1316" s="55"/>
      <c r="J1316" s="55"/>
      <c r="K1316" s="55"/>
      <c r="L1316" s="55"/>
      <c r="M1316" s="55"/>
      <c r="N1316" s="55"/>
      <c r="O1316" s="55"/>
      <c r="P1316" s="55"/>
      <c r="Q1316" s="55"/>
      <c r="R1316" s="55"/>
      <c r="S1316" s="55"/>
      <c r="T1316" s="55"/>
      <c r="U1316" s="55"/>
      <c r="V1316" s="55"/>
      <c r="W1316" s="55"/>
      <c r="X1316" s="55"/>
      <c r="Y1316" s="55"/>
      <c r="Z1316" s="55"/>
      <c r="AA1316" s="55"/>
      <c r="AB1316" s="55"/>
      <c r="AC1316" s="55"/>
      <c r="AD1316" s="55"/>
      <c r="AE1316" s="55"/>
      <c r="AF1316" s="55"/>
      <c r="AG1316" s="55"/>
      <c r="AH1316" s="55"/>
      <c r="AI1316" s="55"/>
      <c r="AJ1316" s="55"/>
      <c r="AK1316" s="55"/>
      <c r="AL1316" s="55"/>
      <c r="AM1316" s="55"/>
      <c r="AN1316" s="55"/>
      <c r="AO1316" s="55"/>
      <c r="AP1316" s="55"/>
      <c r="AQ1316" s="55"/>
      <c r="AR1316" s="55"/>
      <c r="AS1316" s="55"/>
      <c r="AT1316" s="55"/>
      <c r="AU1316" s="55"/>
      <c r="AV1316" s="55"/>
      <c r="AW1316" s="55"/>
      <c r="AX1316" s="55"/>
      <c r="AY1316" s="55"/>
      <c r="AZ1316" s="55"/>
    </row>
    <row r="1317" spans="1:52" ht="12.75" customHeight="1" x14ac:dyDescent="0.2">
      <c r="A1317" s="55"/>
      <c r="B1317" s="76"/>
      <c r="C1317" s="77"/>
      <c r="D1317" s="77"/>
      <c r="E1317" s="55"/>
      <c r="F1317" s="55"/>
      <c r="G1317" s="55"/>
      <c r="H1317" s="55"/>
      <c r="I1317" s="55"/>
      <c r="J1317" s="55"/>
      <c r="K1317" s="55"/>
      <c r="L1317" s="55"/>
      <c r="M1317" s="55"/>
      <c r="N1317" s="55"/>
      <c r="O1317" s="55"/>
      <c r="P1317" s="55"/>
      <c r="Q1317" s="55"/>
      <c r="R1317" s="55"/>
      <c r="S1317" s="55"/>
      <c r="T1317" s="55"/>
      <c r="U1317" s="55"/>
      <c r="V1317" s="55"/>
      <c r="W1317" s="55"/>
      <c r="X1317" s="55"/>
      <c r="Y1317" s="55"/>
      <c r="Z1317" s="55"/>
      <c r="AA1317" s="55"/>
      <c r="AB1317" s="55"/>
      <c r="AC1317" s="55"/>
      <c r="AD1317" s="55"/>
      <c r="AE1317" s="55"/>
      <c r="AF1317" s="55"/>
      <c r="AG1317" s="55"/>
      <c r="AH1317" s="55"/>
      <c r="AI1317" s="55"/>
      <c r="AJ1317" s="55"/>
      <c r="AK1317" s="55"/>
      <c r="AL1317" s="55"/>
      <c r="AM1317" s="55"/>
      <c r="AN1317" s="55"/>
      <c r="AO1317" s="55"/>
      <c r="AP1317" s="55"/>
      <c r="AQ1317" s="55"/>
      <c r="AR1317" s="55"/>
      <c r="AS1317" s="55"/>
      <c r="AT1317" s="55"/>
      <c r="AU1317" s="55"/>
      <c r="AV1317" s="55"/>
      <c r="AW1317" s="55"/>
      <c r="AX1317" s="55"/>
      <c r="AY1317" s="55"/>
      <c r="AZ1317" s="55"/>
    </row>
    <row r="1318" spans="1:52" ht="12.75" customHeight="1" x14ac:dyDescent="0.2">
      <c r="A1318" s="55"/>
      <c r="B1318" s="76"/>
      <c r="C1318" s="77"/>
      <c r="D1318" s="77"/>
      <c r="E1318" s="55"/>
      <c r="F1318" s="55"/>
      <c r="G1318" s="55"/>
      <c r="H1318" s="55"/>
      <c r="I1318" s="55"/>
      <c r="J1318" s="55"/>
      <c r="K1318" s="55"/>
      <c r="L1318" s="55"/>
      <c r="M1318" s="55"/>
      <c r="N1318" s="55"/>
      <c r="O1318" s="55"/>
      <c r="P1318" s="55"/>
      <c r="Q1318" s="55"/>
      <c r="R1318" s="55"/>
      <c r="S1318" s="55"/>
      <c r="T1318" s="55"/>
      <c r="U1318" s="55"/>
      <c r="V1318" s="55"/>
      <c r="W1318" s="55"/>
      <c r="X1318" s="55"/>
      <c r="Y1318" s="55"/>
      <c r="Z1318" s="55"/>
      <c r="AA1318" s="55"/>
      <c r="AB1318" s="55"/>
      <c r="AC1318" s="55"/>
      <c r="AD1318" s="55"/>
      <c r="AE1318" s="55"/>
      <c r="AF1318" s="55"/>
      <c r="AG1318" s="55"/>
      <c r="AH1318" s="55"/>
      <c r="AI1318" s="55"/>
      <c r="AJ1318" s="55"/>
      <c r="AK1318" s="55"/>
      <c r="AL1318" s="55"/>
      <c r="AM1318" s="55"/>
      <c r="AN1318" s="55"/>
      <c r="AO1318" s="55"/>
      <c r="AP1318" s="55"/>
      <c r="AQ1318" s="55"/>
      <c r="AR1318" s="55"/>
      <c r="AS1318" s="55"/>
      <c r="AT1318" s="55"/>
      <c r="AU1318" s="55"/>
      <c r="AV1318" s="55"/>
      <c r="AW1318" s="55"/>
      <c r="AX1318" s="55"/>
      <c r="AY1318" s="55"/>
      <c r="AZ1318" s="55"/>
    </row>
    <row r="1319" spans="1:52" ht="12.75" customHeight="1" x14ac:dyDescent="0.2">
      <c r="A1319" s="55"/>
      <c r="B1319" s="76"/>
      <c r="C1319" s="77"/>
      <c r="D1319" s="77"/>
      <c r="E1319" s="55"/>
      <c r="F1319" s="55"/>
      <c r="G1319" s="55"/>
      <c r="H1319" s="55"/>
      <c r="I1319" s="55"/>
      <c r="J1319" s="55"/>
      <c r="K1319" s="55"/>
      <c r="L1319" s="55"/>
      <c r="M1319" s="55"/>
      <c r="N1319" s="55"/>
      <c r="O1319" s="55"/>
      <c r="P1319" s="55"/>
      <c r="Q1319" s="55"/>
      <c r="R1319" s="55"/>
      <c r="S1319" s="55"/>
      <c r="T1319" s="55"/>
      <c r="U1319" s="55"/>
      <c r="V1319" s="55"/>
      <c r="W1319" s="55"/>
      <c r="X1319" s="55"/>
      <c r="Y1319" s="55"/>
      <c r="Z1319" s="55"/>
      <c r="AA1319" s="55"/>
      <c r="AB1319" s="55"/>
      <c r="AC1319" s="55"/>
      <c r="AD1319" s="55"/>
      <c r="AE1319" s="55"/>
      <c r="AF1319" s="55"/>
      <c r="AG1319" s="55"/>
      <c r="AH1319" s="55"/>
      <c r="AI1319" s="55"/>
      <c r="AJ1319" s="55"/>
      <c r="AK1319" s="55"/>
      <c r="AL1319" s="55"/>
      <c r="AM1319" s="55"/>
      <c r="AN1319" s="55"/>
      <c r="AO1319" s="55"/>
      <c r="AP1319" s="55"/>
      <c r="AQ1319" s="55"/>
      <c r="AR1319" s="55"/>
      <c r="AS1319" s="55"/>
      <c r="AT1319" s="55"/>
      <c r="AU1319" s="55"/>
      <c r="AV1319" s="55"/>
      <c r="AW1319" s="55"/>
      <c r="AX1319" s="55"/>
      <c r="AY1319" s="55"/>
      <c r="AZ1319" s="55"/>
    </row>
    <row r="1320" spans="1:52" ht="12.75" customHeight="1" x14ac:dyDescent="0.2">
      <c r="A1320" s="55"/>
      <c r="B1320" s="76"/>
      <c r="C1320" s="77"/>
      <c r="D1320" s="77"/>
      <c r="E1320" s="55"/>
      <c r="F1320" s="55"/>
      <c r="G1320" s="55"/>
      <c r="H1320" s="55"/>
      <c r="I1320" s="55"/>
      <c r="J1320" s="55"/>
      <c r="K1320" s="55"/>
      <c r="L1320" s="55"/>
      <c r="M1320" s="55"/>
      <c r="N1320" s="55"/>
      <c r="O1320" s="55"/>
      <c r="P1320" s="55"/>
      <c r="Q1320" s="55"/>
      <c r="R1320" s="55"/>
      <c r="S1320" s="55"/>
      <c r="T1320" s="55"/>
      <c r="U1320" s="55"/>
      <c r="V1320" s="55"/>
      <c r="W1320" s="55"/>
      <c r="X1320" s="55"/>
      <c r="Y1320" s="55"/>
      <c r="Z1320" s="55"/>
      <c r="AA1320" s="55"/>
      <c r="AB1320" s="55"/>
      <c r="AC1320" s="55"/>
      <c r="AD1320" s="55"/>
      <c r="AE1320" s="55"/>
      <c r="AF1320" s="55"/>
      <c r="AG1320" s="55"/>
      <c r="AH1320" s="55"/>
      <c r="AI1320" s="55"/>
      <c r="AJ1320" s="55"/>
      <c r="AK1320" s="55"/>
      <c r="AL1320" s="55"/>
      <c r="AM1320" s="55"/>
      <c r="AN1320" s="55"/>
      <c r="AO1320" s="55"/>
      <c r="AP1320" s="55"/>
      <c r="AQ1320" s="55"/>
      <c r="AR1320" s="55"/>
      <c r="AS1320" s="55"/>
      <c r="AT1320" s="55"/>
      <c r="AU1320" s="55"/>
      <c r="AV1320" s="55"/>
      <c r="AW1320" s="55"/>
      <c r="AX1320" s="55"/>
      <c r="AY1320" s="55"/>
      <c r="AZ1320" s="55"/>
    </row>
    <row r="1321" spans="1:52" ht="12.75" customHeight="1" x14ac:dyDescent="0.2">
      <c r="A1321" s="55"/>
      <c r="B1321" s="76"/>
      <c r="C1321" s="77"/>
      <c r="D1321" s="77"/>
      <c r="E1321" s="55"/>
      <c r="F1321" s="55"/>
      <c r="G1321" s="55"/>
      <c r="H1321" s="55"/>
      <c r="I1321" s="55"/>
      <c r="J1321" s="55"/>
      <c r="K1321" s="55"/>
      <c r="L1321" s="55"/>
      <c r="M1321" s="55"/>
      <c r="N1321" s="55"/>
      <c r="O1321" s="55"/>
      <c r="P1321" s="55"/>
      <c r="Q1321" s="55"/>
      <c r="R1321" s="55"/>
      <c r="S1321" s="55"/>
      <c r="T1321" s="55"/>
      <c r="U1321" s="55"/>
      <c r="V1321" s="55"/>
      <c r="W1321" s="55"/>
      <c r="X1321" s="55"/>
      <c r="Y1321" s="55"/>
      <c r="Z1321" s="55"/>
      <c r="AA1321" s="55"/>
      <c r="AB1321" s="55"/>
      <c r="AC1321" s="55"/>
      <c r="AD1321" s="55"/>
      <c r="AE1321" s="55"/>
      <c r="AF1321" s="55"/>
      <c r="AG1321" s="55"/>
      <c r="AH1321" s="55"/>
      <c r="AI1321" s="55"/>
      <c r="AJ1321" s="55"/>
      <c r="AK1321" s="55"/>
      <c r="AL1321" s="55"/>
      <c r="AM1321" s="55"/>
      <c r="AN1321" s="55"/>
      <c r="AO1321" s="55"/>
      <c r="AP1321" s="55"/>
      <c r="AQ1321" s="55"/>
      <c r="AR1321" s="55"/>
      <c r="AS1321" s="55"/>
      <c r="AT1321" s="55"/>
      <c r="AU1321" s="55"/>
      <c r="AV1321" s="55"/>
      <c r="AW1321" s="55"/>
      <c r="AX1321" s="55"/>
      <c r="AY1321" s="55"/>
      <c r="AZ1321" s="55"/>
    </row>
    <row r="1322" spans="1:52" ht="12.75" customHeight="1" x14ac:dyDescent="0.2">
      <c r="A1322" s="55"/>
      <c r="B1322" s="76"/>
      <c r="C1322" s="77"/>
      <c r="D1322" s="77"/>
      <c r="E1322" s="55"/>
      <c r="F1322" s="55"/>
      <c r="G1322" s="55"/>
      <c r="H1322" s="55"/>
      <c r="I1322" s="55"/>
      <c r="J1322" s="55"/>
      <c r="K1322" s="55"/>
      <c r="L1322" s="55"/>
      <c r="M1322" s="55"/>
      <c r="N1322" s="55"/>
      <c r="O1322" s="55"/>
      <c r="P1322" s="55"/>
      <c r="Q1322" s="55"/>
      <c r="R1322" s="55"/>
      <c r="S1322" s="55"/>
      <c r="T1322" s="55"/>
      <c r="U1322" s="55"/>
      <c r="V1322" s="55"/>
      <c r="W1322" s="55"/>
      <c r="X1322" s="55"/>
      <c r="Y1322" s="55"/>
      <c r="Z1322" s="55"/>
      <c r="AA1322" s="55"/>
      <c r="AB1322" s="55"/>
      <c r="AC1322" s="55"/>
      <c r="AD1322" s="55"/>
      <c r="AE1322" s="55"/>
      <c r="AF1322" s="55"/>
      <c r="AG1322" s="55"/>
      <c r="AH1322" s="55"/>
      <c r="AI1322" s="55"/>
      <c r="AJ1322" s="55"/>
      <c r="AK1322" s="55"/>
      <c r="AL1322" s="55"/>
      <c r="AM1322" s="55"/>
      <c r="AN1322" s="55"/>
      <c r="AO1322" s="55"/>
      <c r="AP1322" s="55"/>
      <c r="AQ1322" s="55"/>
      <c r="AR1322" s="55"/>
      <c r="AS1322" s="55"/>
      <c r="AT1322" s="55"/>
      <c r="AU1322" s="55"/>
      <c r="AV1322" s="55"/>
      <c r="AW1322" s="55"/>
      <c r="AX1322" s="55"/>
      <c r="AY1322" s="55"/>
      <c r="AZ1322" s="55"/>
    </row>
    <row r="1323" spans="1:52" ht="12.75" customHeight="1" x14ac:dyDescent="0.2">
      <c r="A1323" s="55"/>
      <c r="B1323" s="76"/>
      <c r="C1323" s="77"/>
      <c r="D1323" s="77"/>
      <c r="E1323" s="55"/>
      <c r="F1323" s="55"/>
      <c r="G1323" s="55"/>
      <c r="H1323" s="55"/>
      <c r="I1323" s="55"/>
      <c r="J1323" s="55"/>
      <c r="K1323" s="55"/>
      <c r="L1323" s="55"/>
      <c r="M1323" s="55"/>
      <c r="N1323" s="55"/>
      <c r="O1323" s="55"/>
      <c r="P1323" s="55"/>
      <c r="Q1323" s="55"/>
      <c r="R1323" s="55"/>
      <c r="S1323" s="55"/>
      <c r="T1323" s="55"/>
      <c r="U1323" s="55"/>
      <c r="V1323" s="55"/>
      <c r="W1323" s="55"/>
      <c r="X1323" s="55"/>
      <c r="Y1323" s="55"/>
      <c r="Z1323" s="55"/>
      <c r="AA1323" s="55"/>
      <c r="AB1323" s="55"/>
      <c r="AC1323" s="55"/>
      <c r="AD1323" s="55"/>
      <c r="AE1323" s="55"/>
      <c r="AF1323" s="55"/>
      <c r="AG1323" s="55"/>
      <c r="AH1323" s="55"/>
      <c r="AI1323" s="55"/>
      <c r="AJ1323" s="55"/>
      <c r="AK1323" s="55"/>
      <c r="AL1323" s="55"/>
      <c r="AM1323" s="55"/>
      <c r="AN1323" s="55"/>
      <c r="AO1323" s="55"/>
      <c r="AP1323" s="55"/>
      <c r="AQ1323" s="55"/>
      <c r="AR1323" s="55"/>
      <c r="AS1323" s="55"/>
      <c r="AT1323" s="55"/>
      <c r="AU1323" s="55"/>
      <c r="AV1323" s="55"/>
      <c r="AW1323" s="55"/>
      <c r="AX1323" s="55"/>
      <c r="AY1323" s="55"/>
      <c r="AZ1323" s="55"/>
    </row>
    <row r="1324" spans="1:52" ht="12.75" customHeight="1" x14ac:dyDescent="0.2">
      <c r="A1324" s="55"/>
      <c r="B1324" s="76"/>
      <c r="C1324" s="77"/>
      <c r="D1324" s="77"/>
      <c r="E1324" s="55"/>
      <c r="F1324" s="55"/>
      <c r="G1324" s="55"/>
      <c r="H1324" s="55"/>
      <c r="I1324" s="55"/>
      <c r="J1324" s="55"/>
      <c r="K1324" s="55"/>
      <c r="L1324" s="55"/>
      <c r="M1324" s="55"/>
      <c r="N1324" s="55"/>
      <c r="O1324" s="55"/>
      <c r="P1324" s="55"/>
      <c r="Q1324" s="55"/>
      <c r="R1324" s="55"/>
      <c r="S1324" s="55"/>
      <c r="T1324" s="55"/>
      <c r="U1324" s="55"/>
      <c r="V1324" s="55"/>
      <c r="W1324" s="55"/>
      <c r="X1324" s="55"/>
      <c r="Y1324" s="55"/>
      <c r="Z1324" s="55"/>
      <c r="AA1324" s="55"/>
      <c r="AB1324" s="55"/>
      <c r="AC1324" s="55"/>
      <c r="AD1324" s="55"/>
      <c r="AE1324" s="55"/>
      <c r="AF1324" s="55"/>
      <c r="AG1324" s="55"/>
      <c r="AH1324" s="55"/>
      <c r="AI1324" s="55"/>
      <c r="AJ1324" s="55"/>
      <c r="AK1324" s="55"/>
      <c r="AL1324" s="55"/>
      <c r="AM1324" s="55"/>
      <c r="AN1324" s="55"/>
      <c r="AO1324" s="55"/>
      <c r="AP1324" s="55"/>
      <c r="AQ1324" s="55"/>
      <c r="AR1324" s="55"/>
      <c r="AS1324" s="55"/>
      <c r="AT1324" s="55"/>
      <c r="AU1324" s="55"/>
      <c r="AV1324" s="55"/>
      <c r="AW1324" s="55"/>
      <c r="AX1324" s="55"/>
      <c r="AY1324" s="55"/>
      <c r="AZ1324" s="55"/>
    </row>
    <row r="1325" spans="1:52" ht="12.75" customHeight="1" x14ac:dyDescent="0.2">
      <c r="A1325" s="55"/>
      <c r="B1325" s="76"/>
      <c r="C1325" s="77"/>
      <c r="D1325" s="77"/>
      <c r="E1325" s="55"/>
      <c r="F1325" s="55"/>
      <c r="G1325" s="55"/>
      <c r="H1325" s="55"/>
      <c r="I1325" s="55"/>
      <c r="J1325" s="55"/>
      <c r="K1325" s="55"/>
      <c r="L1325" s="55"/>
      <c r="M1325" s="55"/>
      <c r="N1325" s="55"/>
      <c r="O1325" s="55"/>
      <c r="P1325" s="55"/>
      <c r="Q1325" s="55"/>
      <c r="R1325" s="55"/>
      <c r="S1325" s="55"/>
      <c r="T1325" s="55"/>
      <c r="U1325" s="55"/>
      <c r="V1325" s="55"/>
      <c r="W1325" s="55"/>
      <c r="X1325" s="55"/>
      <c r="Y1325" s="55"/>
      <c r="Z1325" s="55"/>
      <c r="AA1325" s="55"/>
      <c r="AB1325" s="55"/>
      <c r="AC1325" s="55"/>
      <c r="AD1325" s="55"/>
      <c r="AE1325" s="55"/>
      <c r="AF1325" s="55"/>
      <c r="AG1325" s="55"/>
      <c r="AH1325" s="55"/>
      <c r="AI1325" s="55"/>
      <c r="AJ1325" s="55"/>
      <c r="AK1325" s="55"/>
      <c r="AL1325" s="55"/>
      <c r="AM1325" s="55"/>
      <c r="AN1325" s="55"/>
      <c r="AO1325" s="55"/>
      <c r="AP1325" s="55"/>
      <c r="AQ1325" s="55"/>
      <c r="AR1325" s="55"/>
      <c r="AS1325" s="55"/>
      <c r="AT1325" s="55"/>
      <c r="AU1325" s="55"/>
      <c r="AV1325" s="55"/>
      <c r="AW1325" s="55"/>
      <c r="AX1325" s="55"/>
      <c r="AY1325" s="55"/>
      <c r="AZ1325" s="55"/>
    </row>
    <row r="1326" spans="1:52" ht="12.75" customHeight="1" x14ac:dyDescent="0.2">
      <c r="A1326" s="55"/>
      <c r="B1326" s="76"/>
      <c r="C1326" s="77"/>
      <c r="D1326" s="77"/>
      <c r="E1326" s="55"/>
      <c r="F1326" s="55"/>
      <c r="G1326" s="55"/>
      <c r="H1326" s="55"/>
      <c r="I1326" s="55"/>
      <c r="J1326" s="55"/>
      <c r="K1326" s="55"/>
      <c r="L1326" s="55"/>
      <c r="M1326" s="55"/>
      <c r="N1326" s="55"/>
      <c r="O1326" s="55"/>
      <c r="P1326" s="55"/>
      <c r="Q1326" s="55"/>
      <c r="R1326" s="55"/>
      <c r="S1326" s="55"/>
      <c r="T1326" s="55"/>
      <c r="U1326" s="55"/>
      <c r="V1326" s="55"/>
      <c r="W1326" s="55"/>
      <c r="X1326" s="55"/>
      <c r="Y1326" s="55"/>
      <c r="Z1326" s="55"/>
      <c r="AA1326" s="55"/>
      <c r="AB1326" s="55"/>
      <c r="AC1326" s="55"/>
      <c r="AD1326" s="55"/>
      <c r="AE1326" s="55"/>
      <c r="AF1326" s="55"/>
      <c r="AG1326" s="55"/>
      <c r="AH1326" s="55"/>
      <c r="AI1326" s="55"/>
      <c r="AJ1326" s="55"/>
      <c r="AK1326" s="55"/>
      <c r="AL1326" s="55"/>
      <c r="AM1326" s="55"/>
      <c r="AN1326" s="55"/>
      <c r="AO1326" s="55"/>
      <c r="AP1326" s="55"/>
      <c r="AQ1326" s="55"/>
      <c r="AR1326" s="55"/>
      <c r="AS1326" s="55"/>
      <c r="AT1326" s="55"/>
      <c r="AU1326" s="55"/>
      <c r="AV1326" s="55"/>
      <c r="AW1326" s="55"/>
      <c r="AX1326" s="55"/>
      <c r="AY1326" s="55"/>
      <c r="AZ1326" s="55"/>
    </row>
    <row r="1327" spans="1:52" ht="12.75" customHeight="1" x14ac:dyDescent="0.2">
      <c r="A1327" s="55"/>
      <c r="B1327" s="76"/>
      <c r="C1327" s="77"/>
      <c r="D1327" s="77"/>
      <c r="E1327" s="55"/>
      <c r="F1327" s="55"/>
      <c r="G1327" s="55"/>
      <c r="H1327" s="55"/>
      <c r="I1327" s="55"/>
      <c r="J1327" s="55"/>
      <c r="K1327" s="55"/>
      <c r="L1327" s="55"/>
      <c r="M1327" s="55"/>
      <c r="N1327" s="55"/>
      <c r="O1327" s="55"/>
      <c r="P1327" s="55"/>
      <c r="Q1327" s="55"/>
      <c r="R1327" s="55"/>
      <c r="S1327" s="55"/>
      <c r="T1327" s="55"/>
      <c r="U1327" s="55"/>
      <c r="V1327" s="55"/>
      <c r="W1327" s="55"/>
      <c r="X1327" s="55"/>
      <c r="Y1327" s="55"/>
      <c r="Z1327" s="55"/>
      <c r="AA1327" s="55"/>
      <c r="AB1327" s="55"/>
      <c r="AC1327" s="55"/>
      <c r="AD1327" s="55"/>
      <c r="AE1327" s="55"/>
      <c r="AF1327" s="55"/>
      <c r="AG1327" s="55"/>
      <c r="AH1327" s="55"/>
      <c r="AI1327" s="55"/>
      <c r="AJ1327" s="55"/>
      <c r="AK1327" s="55"/>
      <c r="AL1327" s="55"/>
      <c r="AM1327" s="55"/>
      <c r="AN1327" s="55"/>
      <c r="AO1327" s="55"/>
      <c r="AP1327" s="55"/>
      <c r="AQ1327" s="55"/>
      <c r="AR1327" s="55"/>
      <c r="AS1327" s="55"/>
      <c r="AT1327" s="55"/>
      <c r="AU1327" s="55"/>
      <c r="AV1327" s="55"/>
      <c r="AW1327" s="55"/>
      <c r="AX1327" s="55"/>
      <c r="AY1327" s="55"/>
      <c r="AZ1327" s="55"/>
    </row>
    <row r="1328" spans="1:52" ht="12.75" customHeight="1" x14ac:dyDescent="0.2">
      <c r="A1328" s="55"/>
      <c r="B1328" s="76"/>
      <c r="C1328" s="77"/>
      <c r="D1328" s="77"/>
      <c r="E1328" s="55"/>
      <c r="F1328" s="55"/>
      <c r="G1328" s="55"/>
      <c r="H1328" s="55"/>
      <c r="I1328" s="55"/>
      <c r="J1328" s="55"/>
      <c r="K1328" s="55"/>
      <c r="L1328" s="55"/>
      <c r="M1328" s="55"/>
      <c r="N1328" s="55"/>
      <c r="O1328" s="55"/>
      <c r="P1328" s="55"/>
      <c r="Q1328" s="55"/>
      <c r="R1328" s="55"/>
      <c r="S1328" s="82"/>
      <c r="T1328" s="55"/>
      <c r="U1328" s="55"/>
      <c r="V1328" s="55"/>
      <c r="W1328" s="55"/>
      <c r="X1328" s="55"/>
      <c r="Y1328" s="55"/>
      <c r="Z1328" s="55"/>
      <c r="AA1328" s="55"/>
      <c r="AB1328" s="55"/>
      <c r="AC1328" s="55"/>
      <c r="AD1328" s="55"/>
      <c r="AE1328" s="55"/>
      <c r="AF1328" s="55"/>
      <c r="AG1328" s="55"/>
      <c r="AH1328" s="55"/>
      <c r="AI1328" s="55"/>
      <c r="AJ1328" s="55"/>
      <c r="AK1328" s="55"/>
      <c r="AL1328" s="55"/>
      <c r="AM1328" s="55"/>
      <c r="AN1328" s="55"/>
      <c r="AO1328" s="55"/>
      <c r="AP1328" s="55"/>
      <c r="AQ1328" s="55"/>
      <c r="AR1328" s="55"/>
      <c r="AS1328" s="55"/>
      <c r="AT1328" s="55"/>
      <c r="AU1328" s="55"/>
      <c r="AV1328" s="55"/>
      <c r="AW1328" s="55"/>
      <c r="AX1328" s="55"/>
      <c r="AY1328" s="55"/>
      <c r="AZ1328" s="55"/>
    </row>
    <row r="1329" spans="1:52" ht="12.75" customHeight="1" x14ac:dyDescent="0.2">
      <c r="A1329" s="55"/>
      <c r="B1329" s="76"/>
      <c r="C1329" s="77"/>
      <c r="D1329" s="77"/>
      <c r="E1329" s="55"/>
      <c r="F1329" s="55"/>
      <c r="G1329" s="55"/>
      <c r="H1329" s="55"/>
      <c r="I1329" s="55"/>
      <c r="J1329" s="55"/>
      <c r="K1329" s="55"/>
      <c r="L1329" s="55"/>
      <c r="M1329" s="55"/>
      <c r="N1329" s="55"/>
      <c r="O1329" s="55"/>
      <c r="P1329" s="55"/>
      <c r="Q1329" s="55"/>
      <c r="R1329" s="55"/>
      <c r="S1329" s="82"/>
      <c r="T1329" s="55"/>
      <c r="U1329" s="55"/>
      <c r="V1329" s="55"/>
      <c r="W1329" s="55"/>
      <c r="X1329" s="55"/>
      <c r="Y1329" s="55"/>
      <c r="Z1329" s="55"/>
      <c r="AA1329" s="55"/>
      <c r="AB1329" s="55"/>
      <c r="AC1329" s="55"/>
      <c r="AD1329" s="55"/>
      <c r="AE1329" s="55"/>
      <c r="AF1329" s="55"/>
      <c r="AG1329" s="55"/>
      <c r="AH1329" s="55"/>
      <c r="AI1329" s="55"/>
      <c r="AJ1329" s="55"/>
      <c r="AK1329" s="55"/>
      <c r="AL1329" s="55"/>
      <c r="AM1329" s="55"/>
      <c r="AN1329" s="55"/>
      <c r="AO1329" s="55"/>
      <c r="AP1329" s="55"/>
      <c r="AQ1329" s="55"/>
      <c r="AR1329" s="55"/>
      <c r="AS1329" s="55"/>
      <c r="AT1329" s="55"/>
      <c r="AU1329" s="55"/>
      <c r="AV1329" s="55"/>
      <c r="AW1329" s="55"/>
      <c r="AX1329" s="55"/>
      <c r="AY1329" s="55"/>
      <c r="AZ1329" s="55"/>
    </row>
    <row r="1330" spans="1:52" ht="12.75" customHeight="1" x14ac:dyDescent="0.2">
      <c r="A1330" s="55"/>
      <c r="B1330" s="76"/>
      <c r="C1330" s="77"/>
      <c r="D1330" s="77"/>
      <c r="E1330" s="55"/>
      <c r="F1330" s="55"/>
      <c r="G1330" s="55"/>
      <c r="H1330" s="55"/>
      <c r="I1330" s="55"/>
      <c r="J1330" s="55"/>
      <c r="K1330" s="55"/>
      <c r="L1330" s="55"/>
      <c r="M1330" s="55"/>
      <c r="N1330" s="55"/>
      <c r="O1330" s="55"/>
      <c r="P1330" s="55"/>
      <c r="Q1330" s="55"/>
      <c r="R1330" s="55"/>
      <c r="S1330" s="62"/>
      <c r="T1330" s="55"/>
      <c r="U1330" s="55"/>
      <c r="V1330" s="55"/>
      <c r="W1330" s="55"/>
      <c r="X1330" s="55"/>
      <c r="Y1330" s="55"/>
      <c r="Z1330" s="55"/>
      <c r="AA1330" s="55"/>
      <c r="AB1330" s="55"/>
      <c r="AC1330" s="55"/>
      <c r="AD1330" s="55"/>
      <c r="AE1330" s="55"/>
      <c r="AF1330" s="55"/>
      <c r="AG1330" s="55"/>
      <c r="AH1330" s="55"/>
      <c r="AI1330" s="55"/>
      <c r="AJ1330" s="55"/>
      <c r="AK1330" s="55"/>
      <c r="AL1330" s="55"/>
      <c r="AM1330" s="55"/>
      <c r="AN1330" s="55"/>
      <c r="AO1330" s="55"/>
      <c r="AP1330" s="55"/>
      <c r="AQ1330" s="55"/>
      <c r="AR1330" s="55"/>
      <c r="AS1330" s="55"/>
      <c r="AT1330" s="55"/>
      <c r="AU1330" s="55"/>
      <c r="AV1330" s="55"/>
      <c r="AW1330" s="55"/>
      <c r="AX1330" s="55"/>
      <c r="AY1330" s="55"/>
      <c r="AZ1330" s="55"/>
    </row>
    <row r="1331" spans="1:52" ht="12.75" customHeight="1" x14ac:dyDescent="0.2">
      <c r="A1331" s="55"/>
      <c r="B1331" s="76"/>
      <c r="C1331" s="77"/>
      <c r="D1331" s="77"/>
      <c r="E1331" s="55"/>
      <c r="F1331" s="55"/>
      <c r="G1331" s="55"/>
      <c r="H1331" s="55"/>
      <c r="I1331" s="55"/>
      <c r="J1331" s="55"/>
      <c r="K1331" s="55"/>
      <c r="L1331" s="55"/>
      <c r="M1331" s="55"/>
      <c r="N1331" s="55"/>
      <c r="O1331" s="55"/>
      <c r="P1331" s="55"/>
      <c r="Q1331" s="55"/>
      <c r="R1331" s="55"/>
      <c r="S1331" s="62"/>
      <c r="T1331" s="55"/>
      <c r="U1331" s="55"/>
      <c r="V1331" s="55"/>
      <c r="W1331" s="55"/>
      <c r="X1331" s="55"/>
      <c r="Y1331" s="55"/>
      <c r="Z1331" s="55"/>
      <c r="AA1331" s="55"/>
      <c r="AB1331" s="55"/>
      <c r="AC1331" s="55"/>
      <c r="AD1331" s="55"/>
      <c r="AE1331" s="55"/>
      <c r="AF1331" s="55"/>
      <c r="AG1331" s="55"/>
      <c r="AH1331" s="55"/>
      <c r="AI1331" s="55"/>
      <c r="AJ1331" s="55"/>
      <c r="AK1331" s="55"/>
      <c r="AL1331" s="55"/>
      <c r="AM1331" s="55"/>
      <c r="AN1331" s="55"/>
      <c r="AO1331" s="55"/>
      <c r="AP1331" s="55"/>
      <c r="AQ1331" s="55"/>
      <c r="AR1331" s="55"/>
      <c r="AS1331" s="55"/>
      <c r="AT1331" s="55"/>
      <c r="AU1331" s="55"/>
      <c r="AV1331" s="55"/>
      <c r="AW1331" s="55"/>
      <c r="AX1331" s="55"/>
      <c r="AY1331" s="55"/>
      <c r="AZ1331" s="55"/>
    </row>
    <row r="1332" spans="1:52" ht="12.75" customHeight="1" x14ac:dyDescent="0.2">
      <c r="A1332" s="55"/>
      <c r="B1332" s="76"/>
      <c r="C1332" s="77"/>
      <c r="D1332" s="77"/>
      <c r="E1332" s="55"/>
      <c r="F1332" s="55"/>
      <c r="G1332" s="55"/>
      <c r="H1332" s="55"/>
      <c r="I1332" s="55"/>
      <c r="J1332" s="55"/>
      <c r="K1332" s="55"/>
      <c r="L1332" s="55"/>
      <c r="M1332" s="55"/>
      <c r="N1332" s="55"/>
      <c r="O1332" s="55"/>
      <c r="P1332" s="55"/>
      <c r="Q1332" s="55"/>
      <c r="R1332" s="55"/>
      <c r="S1332" s="62"/>
      <c r="T1332" s="55"/>
      <c r="U1332" s="55"/>
      <c r="V1332" s="55"/>
      <c r="W1332" s="55"/>
      <c r="X1332" s="55"/>
      <c r="Y1332" s="55"/>
      <c r="Z1332" s="55"/>
      <c r="AA1332" s="55"/>
      <c r="AB1332" s="55"/>
      <c r="AC1332" s="55"/>
      <c r="AD1332" s="55"/>
      <c r="AE1332" s="55"/>
      <c r="AF1332" s="55"/>
      <c r="AG1332" s="55"/>
      <c r="AH1332" s="55"/>
      <c r="AI1332" s="55"/>
      <c r="AJ1332" s="55"/>
      <c r="AK1332" s="55"/>
      <c r="AL1332" s="55"/>
      <c r="AM1332" s="55"/>
      <c r="AN1332" s="55"/>
      <c r="AO1332" s="55"/>
      <c r="AP1332" s="55"/>
      <c r="AQ1332" s="55"/>
      <c r="AR1332" s="55"/>
      <c r="AS1332" s="55"/>
      <c r="AT1332" s="55"/>
      <c r="AU1332" s="55"/>
      <c r="AV1332" s="55"/>
      <c r="AW1332" s="55"/>
      <c r="AX1332" s="55"/>
      <c r="AY1332" s="55"/>
      <c r="AZ1332" s="55"/>
    </row>
    <row r="1333" spans="1:52" ht="12.75" customHeight="1" x14ac:dyDescent="0.2">
      <c r="A1333" s="55"/>
      <c r="B1333" s="76"/>
      <c r="C1333" s="77"/>
      <c r="D1333" s="77"/>
      <c r="E1333" s="55"/>
      <c r="F1333" s="55"/>
      <c r="G1333" s="55"/>
      <c r="H1333" s="55"/>
      <c r="I1333" s="55"/>
      <c r="J1333" s="55"/>
      <c r="K1333" s="55"/>
      <c r="L1333" s="55"/>
      <c r="M1333" s="55"/>
      <c r="N1333" s="55"/>
      <c r="O1333" s="55"/>
      <c r="P1333" s="55"/>
      <c r="Q1333" s="55"/>
      <c r="R1333" s="55"/>
      <c r="S1333" s="62"/>
      <c r="T1333" s="55"/>
      <c r="U1333" s="55"/>
      <c r="V1333" s="55"/>
      <c r="W1333" s="55"/>
      <c r="X1333" s="55"/>
      <c r="Y1333" s="55"/>
      <c r="Z1333" s="55"/>
      <c r="AA1333" s="55"/>
      <c r="AB1333" s="55"/>
      <c r="AC1333" s="55"/>
      <c r="AD1333" s="55"/>
      <c r="AE1333" s="55"/>
      <c r="AF1333" s="55"/>
      <c r="AG1333" s="55"/>
      <c r="AH1333" s="55"/>
      <c r="AI1333" s="55"/>
      <c r="AJ1333" s="55"/>
      <c r="AK1333" s="55"/>
      <c r="AL1333" s="55"/>
      <c r="AM1333" s="55"/>
      <c r="AN1333" s="55"/>
      <c r="AO1333" s="55"/>
      <c r="AP1333" s="55"/>
      <c r="AQ1333" s="55"/>
      <c r="AR1333" s="55"/>
      <c r="AS1333" s="55"/>
      <c r="AT1333" s="55"/>
      <c r="AU1333" s="55"/>
      <c r="AV1333" s="55"/>
      <c r="AW1333" s="55"/>
      <c r="AX1333" s="55"/>
      <c r="AY1333" s="55"/>
      <c r="AZ1333" s="55"/>
    </row>
    <row r="1334" spans="1:52" ht="12.75" customHeight="1" x14ac:dyDescent="0.2">
      <c r="A1334" s="55"/>
      <c r="B1334" s="76"/>
      <c r="C1334" s="77"/>
      <c r="D1334" s="77"/>
      <c r="E1334" s="55"/>
      <c r="F1334" s="55"/>
      <c r="G1334" s="55"/>
      <c r="H1334" s="55"/>
      <c r="I1334" s="55"/>
      <c r="J1334" s="55"/>
      <c r="K1334" s="55"/>
      <c r="L1334" s="55"/>
      <c r="M1334" s="55"/>
      <c r="N1334" s="55"/>
      <c r="O1334" s="55"/>
      <c r="P1334" s="55"/>
      <c r="Q1334" s="55"/>
      <c r="R1334" s="55"/>
      <c r="S1334" s="62"/>
      <c r="T1334" s="55"/>
      <c r="U1334" s="55"/>
      <c r="V1334" s="55"/>
      <c r="W1334" s="55"/>
      <c r="X1334" s="55"/>
      <c r="Y1334" s="55"/>
      <c r="Z1334" s="55"/>
      <c r="AA1334" s="55"/>
      <c r="AB1334" s="55"/>
      <c r="AC1334" s="55"/>
      <c r="AD1334" s="55"/>
      <c r="AE1334" s="55"/>
      <c r="AF1334" s="55"/>
      <c r="AG1334" s="55"/>
      <c r="AH1334" s="55"/>
      <c r="AI1334" s="55"/>
      <c r="AJ1334" s="55"/>
      <c r="AK1334" s="55"/>
      <c r="AL1334" s="55"/>
      <c r="AM1334" s="55"/>
      <c r="AN1334" s="55"/>
      <c r="AO1334" s="55"/>
      <c r="AP1334" s="55"/>
      <c r="AQ1334" s="55"/>
      <c r="AR1334" s="55"/>
      <c r="AS1334" s="55"/>
      <c r="AT1334" s="55"/>
      <c r="AU1334" s="55"/>
      <c r="AV1334" s="55"/>
      <c r="AW1334" s="55"/>
      <c r="AX1334" s="55"/>
      <c r="AY1334" s="55"/>
      <c r="AZ1334" s="55"/>
    </row>
    <row r="1335" spans="1:52" ht="12.75" customHeight="1" x14ac:dyDescent="0.2">
      <c r="A1335" s="55"/>
      <c r="B1335" s="76"/>
      <c r="C1335" s="77"/>
      <c r="D1335" s="77"/>
      <c r="E1335" s="55"/>
      <c r="F1335" s="55"/>
      <c r="G1335" s="55"/>
      <c r="H1335" s="55"/>
      <c r="I1335" s="55"/>
      <c r="J1335" s="55"/>
      <c r="K1335" s="55"/>
      <c r="L1335" s="55"/>
      <c r="M1335" s="55"/>
      <c r="N1335" s="55"/>
      <c r="O1335" s="55"/>
      <c r="P1335" s="55"/>
      <c r="Q1335" s="55"/>
      <c r="R1335" s="55"/>
      <c r="S1335" s="62"/>
      <c r="T1335" s="55"/>
      <c r="U1335" s="55"/>
      <c r="V1335" s="55"/>
      <c r="W1335" s="55"/>
      <c r="X1335" s="55"/>
      <c r="Y1335" s="55"/>
      <c r="Z1335" s="55"/>
      <c r="AA1335" s="55"/>
      <c r="AB1335" s="55"/>
      <c r="AC1335" s="55"/>
      <c r="AD1335" s="55"/>
      <c r="AE1335" s="55"/>
      <c r="AF1335" s="55"/>
      <c r="AG1335" s="55"/>
      <c r="AH1335" s="55"/>
      <c r="AI1335" s="55"/>
      <c r="AJ1335" s="55"/>
      <c r="AK1335" s="55"/>
      <c r="AL1335" s="55"/>
      <c r="AM1335" s="55"/>
      <c r="AN1335" s="55"/>
      <c r="AO1335" s="55"/>
      <c r="AP1335" s="55"/>
      <c r="AQ1335" s="55"/>
      <c r="AR1335" s="55"/>
      <c r="AS1335" s="55"/>
      <c r="AT1335" s="55"/>
      <c r="AU1335" s="55"/>
      <c r="AV1335" s="55"/>
      <c r="AW1335" s="55"/>
      <c r="AX1335" s="55"/>
      <c r="AY1335" s="55"/>
      <c r="AZ1335" s="55"/>
    </row>
    <row r="1336" spans="1:52" ht="12.75" customHeight="1" x14ac:dyDescent="0.2">
      <c r="A1336" s="55"/>
      <c r="B1336" s="76"/>
      <c r="C1336" s="77"/>
      <c r="D1336" s="77"/>
      <c r="E1336" s="55"/>
      <c r="F1336" s="55"/>
      <c r="G1336" s="55"/>
      <c r="H1336" s="55"/>
      <c r="I1336" s="55"/>
      <c r="J1336" s="55"/>
      <c r="K1336" s="55"/>
      <c r="L1336" s="55"/>
      <c r="M1336" s="55"/>
      <c r="N1336" s="55"/>
      <c r="O1336" s="55"/>
      <c r="P1336" s="55"/>
      <c r="Q1336" s="55"/>
      <c r="R1336" s="55"/>
      <c r="S1336" s="62"/>
      <c r="T1336" s="55"/>
      <c r="U1336" s="55"/>
      <c r="V1336" s="55"/>
      <c r="W1336" s="55"/>
      <c r="X1336" s="55"/>
      <c r="Y1336" s="55"/>
      <c r="Z1336" s="55"/>
      <c r="AA1336" s="55"/>
      <c r="AB1336" s="55"/>
      <c r="AC1336" s="55"/>
      <c r="AD1336" s="55"/>
      <c r="AE1336" s="55"/>
      <c r="AF1336" s="55"/>
      <c r="AG1336" s="55"/>
      <c r="AH1336" s="55"/>
      <c r="AI1336" s="55"/>
      <c r="AJ1336" s="55"/>
      <c r="AK1336" s="55"/>
      <c r="AL1336" s="55"/>
      <c r="AM1336" s="55"/>
      <c r="AN1336" s="55"/>
      <c r="AO1336" s="55"/>
      <c r="AP1336" s="55"/>
      <c r="AQ1336" s="55"/>
      <c r="AR1336" s="55"/>
      <c r="AS1336" s="55"/>
      <c r="AT1336" s="55"/>
      <c r="AU1336" s="55"/>
      <c r="AV1336" s="55"/>
      <c r="AW1336" s="55"/>
      <c r="AX1336" s="55"/>
      <c r="AY1336" s="55"/>
      <c r="AZ1336" s="55"/>
    </row>
    <row r="1337" spans="1:52" ht="12.75" customHeight="1" x14ac:dyDescent="0.2">
      <c r="A1337" s="55"/>
      <c r="B1337" s="76"/>
      <c r="C1337" s="77"/>
      <c r="D1337" s="77"/>
      <c r="E1337" s="55"/>
      <c r="F1337" s="55"/>
      <c r="G1337" s="55"/>
      <c r="H1337" s="55"/>
      <c r="I1337" s="55"/>
      <c r="J1337" s="55"/>
      <c r="K1337" s="55"/>
      <c r="L1337" s="55"/>
      <c r="M1337" s="55"/>
      <c r="N1337" s="55"/>
      <c r="O1337" s="55"/>
      <c r="P1337" s="55"/>
      <c r="Q1337" s="55"/>
      <c r="R1337" s="55"/>
      <c r="S1337" s="62"/>
      <c r="T1337" s="55"/>
      <c r="U1337" s="55"/>
      <c r="V1337" s="55"/>
      <c r="W1337" s="55"/>
      <c r="X1337" s="55"/>
      <c r="Y1337" s="55"/>
      <c r="Z1337" s="55"/>
      <c r="AA1337" s="55"/>
      <c r="AB1337" s="55"/>
      <c r="AC1337" s="55"/>
      <c r="AD1337" s="55"/>
      <c r="AE1337" s="55"/>
      <c r="AF1337" s="55"/>
      <c r="AG1337" s="55"/>
      <c r="AH1337" s="55"/>
      <c r="AI1337" s="55"/>
      <c r="AJ1337" s="55"/>
      <c r="AK1337" s="55"/>
      <c r="AL1337" s="55"/>
      <c r="AM1337" s="55"/>
      <c r="AN1337" s="55"/>
      <c r="AO1337" s="55"/>
      <c r="AP1337" s="55"/>
      <c r="AQ1337" s="55"/>
      <c r="AR1337" s="55"/>
      <c r="AS1337" s="55"/>
      <c r="AT1337" s="55"/>
      <c r="AU1337" s="55"/>
      <c r="AV1337" s="55"/>
      <c r="AW1337" s="55"/>
      <c r="AX1337" s="55"/>
      <c r="AY1337" s="55"/>
      <c r="AZ1337" s="55"/>
    </row>
    <row r="1338" spans="1:52" ht="12.75" customHeight="1" x14ac:dyDescent="0.2">
      <c r="A1338" s="55"/>
      <c r="B1338" s="76"/>
      <c r="C1338" s="77"/>
      <c r="D1338" s="77"/>
      <c r="E1338" s="55"/>
      <c r="F1338" s="55"/>
      <c r="G1338" s="55"/>
      <c r="H1338" s="55"/>
      <c r="I1338" s="55"/>
      <c r="J1338" s="55"/>
      <c r="K1338" s="55"/>
      <c r="L1338" s="55"/>
      <c r="M1338" s="55"/>
      <c r="N1338" s="55"/>
      <c r="O1338" s="55"/>
      <c r="P1338" s="55"/>
      <c r="Q1338" s="55"/>
      <c r="R1338" s="55"/>
      <c r="S1338" s="77"/>
      <c r="T1338" s="55"/>
      <c r="U1338" s="55"/>
      <c r="V1338" s="55"/>
      <c r="W1338" s="55"/>
      <c r="X1338" s="55"/>
      <c r="Y1338" s="55"/>
      <c r="Z1338" s="55"/>
      <c r="AA1338" s="55"/>
      <c r="AB1338" s="55"/>
      <c r="AC1338" s="55"/>
      <c r="AD1338" s="55"/>
      <c r="AE1338" s="55"/>
      <c r="AF1338" s="55"/>
      <c r="AG1338" s="55"/>
      <c r="AH1338" s="55"/>
      <c r="AI1338" s="55"/>
      <c r="AJ1338" s="55"/>
      <c r="AK1338" s="55"/>
      <c r="AL1338" s="55"/>
      <c r="AM1338" s="55"/>
      <c r="AN1338" s="55"/>
      <c r="AO1338" s="55"/>
      <c r="AP1338" s="55"/>
      <c r="AQ1338" s="55"/>
      <c r="AR1338" s="55"/>
      <c r="AS1338" s="55"/>
      <c r="AT1338" s="55"/>
      <c r="AU1338" s="55"/>
      <c r="AV1338" s="55"/>
      <c r="AW1338" s="55"/>
      <c r="AX1338" s="55"/>
      <c r="AY1338" s="55"/>
      <c r="AZ1338" s="55"/>
    </row>
    <row r="1339" spans="1:52" ht="12.75" customHeight="1" x14ac:dyDescent="0.2">
      <c r="A1339" s="55"/>
      <c r="B1339" s="76"/>
      <c r="C1339" s="77"/>
      <c r="D1339" s="77"/>
      <c r="E1339" s="55"/>
      <c r="F1339" s="55"/>
      <c r="G1339" s="55"/>
      <c r="H1339" s="55"/>
      <c r="I1339" s="55"/>
      <c r="J1339" s="55"/>
      <c r="K1339" s="55"/>
      <c r="L1339" s="55"/>
      <c r="M1339" s="55"/>
      <c r="N1339" s="55"/>
      <c r="O1339" s="55"/>
      <c r="P1339" s="55"/>
      <c r="Q1339" s="55"/>
      <c r="R1339" s="55"/>
      <c r="S1339" s="55"/>
      <c r="T1339" s="55"/>
      <c r="U1339" s="55"/>
      <c r="V1339" s="55"/>
      <c r="W1339" s="55"/>
      <c r="X1339" s="55"/>
      <c r="Y1339" s="55"/>
      <c r="Z1339" s="55"/>
      <c r="AA1339" s="55"/>
      <c r="AB1339" s="55"/>
      <c r="AC1339" s="55"/>
      <c r="AD1339" s="55"/>
      <c r="AE1339" s="55"/>
      <c r="AF1339" s="55"/>
      <c r="AG1339" s="55"/>
      <c r="AH1339" s="55"/>
      <c r="AI1339" s="55"/>
      <c r="AJ1339" s="55"/>
      <c r="AK1339" s="55"/>
      <c r="AL1339" s="55"/>
      <c r="AM1339" s="55"/>
      <c r="AN1339" s="55"/>
      <c r="AO1339" s="55"/>
      <c r="AP1339" s="55"/>
      <c r="AQ1339" s="55"/>
      <c r="AR1339" s="55"/>
      <c r="AS1339" s="55"/>
      <c r="AT1339" s="55"/>
      <c r="AU1339" s="55"/>
      <c r="AV1339" s="55"/>
      <c r="AW1339" s="55"/>
      <c r="AX1339" s="55"/>
      <c r="AY1339" s="55"/>
      <c r="AZ1339" s="55"/>
    </row>
    <row r="1340" spans="1:52" ht="12.75" customHeight="1" x14ac:dyDescent="0.2">
      <c r="A1340" s="55"/>
      <c r="B1340" s="76"/>
      <c r="C1340" s="77"/>
      <c r="D1340" s="77"/>
      <c r="E1340" s="55"/>
      <c r="F1340" s="55"/>
      <c r="G1340" s="55"/>
      <c r="H1340" s="55"/>
      <c r="I1340" s="55"/>
      <c r="J1340" s="55"/>
      <c r="K1340" s="55"/>
      <c r="L1340" s="55"/>
      <c r="M1340" s="55"/>
      <c r="N1340" s="55"/>
      <c r="O1340" s="55"/>
      <c r="P1340" s="55"/>
      <c r="Q1340" s="55"/>
      <c r="R1340" s="55"/>
      <c r="S1340" s="55"/>
      <c r="T1340" s="55"/>
      <c r="U1340" s="55"/>
      <c r="V1340" s="55"/>
      <c r="W1340" s="55"/>
      <c r="X1340" s="55"/>
      <c r="Y1340" s="55"/>
      <c r="Z1340" s="55"/>
      <c r="AA1340" s="55"/>
      <c r="AB1340" s="55"/>
      <c r="AC1340" s="55"/>
      <c r="AD1340" s="55"/>
      <c r="AE1340" s="55"/>
      <c r="AF1340" s="55"/>
      <c r="AG1340" s="55"/>
      <c r="AH1340" s="55"/>
      <c r="AI1340" s="55"/>
      <c r="AJ1340" s="55"/>
      <c r="AK1340" s="55"/>
      <c r="AL1340" s="55"/>
      <c r="AM1340" s="55"/>
      <c r="AN1340" s="55"/>
      <c r="AO1340" s="55"/>
      <c r="AP1340" s="55"/>
      <c r="AQ1340" s="55"/>
      <c r="AR1340" s="55"/>
      <c r="AS1340" s="55"/>
      <c r="AT1340" s="55"/>
      <c r="AU1340" s="55"/>
      <c r="AV1340" s="55"/>
      <c r="AW1340" s="55"/>
      <c r="AX1340" s="55"/>
      <c r="AY1340" s="55"/>
      <c r="AZ1340" s="55"/>
    </row>
    <row r="1341" spans="1:52" ht="12.75" customHeight="1" x14ac:dyDescent="0.2">
      <c r="A1341" s="55"/>
      <c r="B1341" s="76"/>
      <c r="C1341" s="77"/>
      <c r="D1341" s="77"/>
      <c r="E1341" s="55"/>
      <c r="F1341" s="55"/>
      <c r="G1341" s="55"/>
      <c r="H1341" s="55"/>
      <c r="I1341" s="55"/>
      <c r="J1341" s="55"/>
      <c r="K1341" s="55"/>
      <c r="L1341" s="55"/>
      <c r="M1341" s="55"/>
      <c r="N1341" s="55"/>
      <c r="O1341" s="55"/>
      <c r="P1341" s="55"/>
      <c r="Q1341" s="55"/>
      <c r="R1341" s="55"/>
      <c r="S1341" s="55"/>
      <c r="T1341" s="55"/>
      <c r="U1341" s="55"/>
      <c r="V1341" s="55"/>
      <c r="W1341" s="55"/>
      <c r="X1341" s="55"/>
      <c r="Y1341" s="55"/>
      <c r="Z1341" s="55"/>
      <c r="AA1341" s="55"/>
      <c r="AB1341" s="55"/>
      <c r="AC1341" s="55"/>
      <c r="AD1341" s="55"/>
      <c r="AE1341" s="55"/>
      <c r="AF1341" s="55"/>
      <c r="AG1341" s="55"/>
      <c r="AH1341" s="55"/>
      <c r="AI1341" s="55"/>
      <c r="AJ1341" s="55"/>
      <c r="AK1341" s="55"/>
      <c r="AL1341" s="55"/>
      <c r="AM1341" s="55"/>
      <c r="AN1341" s="55"/>
      <c r="AO1341" s="55"/>
      <c r="AP1341" s="55"/>
      <c r="AQ1341" s="55"/>
      <c r="AR1341" s="55"/>
      <c r="AS1341" s="55"/>
      <c r="AT1341" s="55"/>
      <c r="AU1341" s="55"/>
      <c r="AV1341" s="55"/>
      <c r="AW1341" s="55"/>
      <c r="AX1341" s="55"/>
      <c r="AY1341" s="55"/>
      <c r="AZ1341" s="55"/>
    </row>
    <row r="1342" spans="1:52" ht="12.75" customHeight="1" x14ac:dyDescent="0.2">
      <c r="A1342" s="55"/>
      <c r="B1342" s="76"/>
      <c r="C1342" s="77"/>
      <c r="D1342" s="77"/>
      <c r="E1342" s="55"/>
      <c r="F1342" s="55"/>
      <c r="G1342" s="55"/>
      <c r="H1342" s="55"/>
      <c r="I1342" s="55"/>
      <c r="J1342" s="55"/>
      <c r="K1342" s="55"/>
      <c r="L1342" s="55"/>
      <c r="M1342" s="55"/>
      <c r="N1342" s="55"/>
      <c r="O1342" s="55"/>
      <c r="P1342" s="55"/>
      <c r="Q1342" s="55"/>
      <c r="R1342" s="55"/>
      <c r="S1342" s="55"/>
      <c r="T1342" s="55"/>
      <c r="U1342" s="55"/>
      <c r="V1342" s="55"/>
      <c r="W1342" s="55"/>
      <c r="X1342" s="55"/>
      <c r="Y1342" s="55"/>
      <c r="Z1342" s="55"/>
      <c r="AA1342" s="55"/>
      <c r="AB1342" s="55"/>
      <c r="AC1342" s="55"/>
      <c r="AD1342" s="55"/>
      <c r="AE1342" s="55"/>
      <c r="AF1342" s="55"/>
      <c r="AG1342" s="55"/>
      <c r="AH1342" s="55"/>
      <c r="AI1342" s="55"/>
      <c r="AJ1342" s="55"/>
      <c r="AK1342" s="55"/>
      <c r="AL1342" s="55"/>
      <c r="AM1342" s="55"/>
      <c r="AN1342" s="55"/>
      <c r="AO1342" s="55"/>
      <c r="AP1342" s="55"/>
      <c r="AQ1342" s="55"/>
      <c r="AR1342" s="55"/>
      <c r="AS1342" s="55"/>
      <c r="AT1342" s="55"/>
      <c r="AU1342" s="55"/>
      <c r="AV1342" s="55"/>
      <c r="AW1342" s="55"/>
      <c r="AX1342" s="55"/>
      <c r="AY1342" s="55"/>
      <c r="AZ1342" s="55"/>
    </row>
    <row r="1343" spans="1:52" ht="12.75" customHeight="1" x14ac:dyDescent="0.2">
      <c r="A1343" s="55"/>
      <c r="B1343" s="76"/>
      <c r="C1343" s="77"/>
      <c r="D1343" s="77"/>
      <c r="E1343" s="55"/>
      <c r="F1343" s="55"/>
      <c r="G1343" s="55"/>
      <c r="H1343" s="55"/>
      <c r="I1343" s="55"/>
      <c r="J1343" s="55"/>
      <c r="K1343" s="55"/>
      <c r="L1343" s="55"/>
      <c r="M1343" s="55"/>
      <c r="N1343" s="55"/>
      <c r="O1343" s="55"/>
      <c r="P1343" s="55"/>
      <c r="Q1343" s="55"/>
      <c r="R1343" s="55"/>
      <c r="S1343" s="55"/>
      <c r="T1343" s="55"/>
      <c r="U1343" s="55"/>
      <c r="V1343" s="55"/>
      <c r="W1343" s="55"/>
      <c r="X1343" s="55"/>
      <c r="Y1343" s="55"/>
      <c r="Z1343" s="55"/>
      <c r="AA1343" s="55"/>
      <c r="AB1343" s="55"/>
      <c r="AC1343" s="55"/>
      <c r="AD1343" s="55"/>
      <c r="AE1343" s="55"/>
      <c r="AF1343" s="55"/>
      <c r="AG1343" s="55"/>
      <c r="AH1343" s="55"/>
      <c r="AI1343" s="55"/>
      <c r="AJ1343" s="55"/>
      <c r="AK1343" s="55"/>
      <c r="AL1343" s="55"/>
      <c r="AM1343" s="55"/>
      <c r="AN1343" s="55"/>
      <c r="AO1343" s="55"/>
      <c r="AP1343" s="55"/>
      <c r="AQ1343" s="55"/>
      <c r="AR1343" s="55"/>
      <c r="AS1343" s="55"/>
      <c r="AT1343" s="55"/>
      <c r="AU1343" s="55"/>
      <c r="AV1343" s="55"/>
      <c r="AW1343" s="55"/>
      <c r="AX1343" s="55"/>
      <c r="AY1343" s="55"/>
      <c r="AZ1343" s="55"/>
    </row>
    <row r="1344" spans="1:52" ht="12.75" customHeight="1" x14ac:dyDescent="0.2">
      <c r="A1344" s="55"/>
      <c r="B1344" s="76"/>
      <c r="C1344" s="77"/>
      <c r="D1344" s="77"/>
      <c r="E1344" s="55"/>
      <c r="F1344" s="55"/>
      <c r="G1344" s="55"/>
      <c r="H1344" s="55"/>
      <c r="I1344" s="55"/>
      <c r="J1344" s="55"/>
      <c r="K1344" s="55"/>
      <c r="L1344" s="55"/>
      <c r="M1344" s="55"/>
      <c r="N1344" s="55"/>
      <c r="O1344" s="55"/>
      <c r="P1344" s="55"/>
      <c r="Q1344" s="55"/>
      <c r="R1344" s="55"/>
      <c r="S1344" s="55"/>
      <c r="T1344" s="55"/>
      <c r="U1344" s="55"/>
      <c r="V1344" s="55"/>
      <c r="W1344" s="55"/>
      <c r="X1344" s="55"/>
      <c r="Y1344" s="55"/>
      <c r="Z1344" s="55"/>
      <c r="AA1344" s="55"/>
      <c r="AB1344" s="55"/>
      <c r="AC1344" s="55"/>
      <c r="AD1344" s="55"/>
      <c r="AE1344" s="55"/>
      <c r="AF1344" s="55"/>
      <c r="AG1344" s="55"/>
      <c r="AH1344" s="55"/>
      <c r="AI1344" s="55"/>
      <c r="AJ1344" s="55"/>
      <c r="AK1344" s="55"/>
      <c r="AL1344" s="55"/>
      <c r="AM1344" s="55"/>
      <c r="AN1344" s="55"/>
      <c r="AO1344" s="55"/>
      <c r="AP1344" s="55"/>
      <c r="AQ1344" s="55"/>
      <c r="AR1344" s="55"/>
      <c r="AS1344" s="55"/>
      <c r="AT1344" s="55"/>
      <c r="AU1344" s="55"/>
      <c r="AV1344" s="55"/>
      <c r="AW1344" s="55"/>
      <c r="AX1344" s="55"/>
      <c r="AY1344" s="55"/>
      <c r="AZ1344" s="55"/>
    </row>
    <row r="1345" spans="1:52" ht="12.75" customHeight="1" x14ac:dyDescent="0.2">
      <c r="A1345" s="55"/>
      <c r="B1345" s="76"/>
      <c r="C1345" s="77"/>
      <c r="D1345" s="77"/>
      <c r="E1345" s="55"/>
      <c r="F1345" s="55"/>
      <c r="G1345" s="55"/>
      <c r="H1345" s="55"/>
      <c r="I1345" s="55"/>
      <c r="J1345" s="55"/>
      <c r="K1345" s="55"/>
      <c r="L1345" s="55"/>
      <c r="M1345" s="55"/>
      <c r="N1345" s="55"/>
      <c r="O1345" s="55"/>
      <c r="P1345" s="55"/>
      <c r="Q1345" s="55"/>
      <c r="R1345" s="55"/>
      <c r="S1345" s="55"/>
      <c r="T1345" s="55"/>
      <c r="U1345" s="55"/>
      <c r="V1345" s="55"/>
      <c r="W1345" s="55"/>
      <c r="X1345" s="55"/>
      <c r="Y1345" s="55"/>
      <c r="Z1345" s="55"/>
      <c r="AA1345" s="55"/>
      <c r="AB1345" s="55"/>
      <c r="AC1345" s="55"/>
      <c r="AD1345" s="55"/>
      <c r="AE1345" s="55"/>
      <c r="AF1345" s="55"/>
      <c r="AG1345" s="55"/>
      <c r="AH1345" s="55"/>
      <c r="AI1345" s="55"/>
      <c r="AJ1345" s="55"/>
      <c r="AK1345" s="55"/>
      <c r="AL1345" s="55"/>
      <c r="AM1345" s="55"/>
      <c r="AN1345" s="55"/>
      <c r="AO1345" s="55"/>
      <c r="AP1345" s="55"/>
      <c r="AQ1345" s="55"/>
      <c r="AR1345" s="55"/>
      <c r="AS1345" s="55"/>
      <c r="AT1345" s="55"/>
      <c r="AU1345" s="55"/>
      <c r="AV1345" s="55"/>
      <c r="AW1345" s="55"/>
      <c r="AX1345" s="55"/>
      <c r="AY1345" s="55"/>
      <c r="AZ1345" s="55"/>
    </row>
    <row r="1346" spans="1:52" ht="12.75" customHeight="1" x14ac:dyDescent="0.2">
      <c r="A1346" s="55"/>
      <c r="B1346" s="76"/>
      <c r="C1346" s="77"/>
      <c r="D1346" s="77"/>
      <c r="E1346" s="55"/>
      <c r="F1346" s="55"/>
      <c r="G1346" s="55"/>
      <c r="H1346" s="55"/>
      <c r="I1346" s="55"/>
      <c r="J1346" s="55"/>
      <c r="K1346" s="55"/>
      <c r="L1346" s="55"/>
      <c r="M1346" s="55"/>
      <c r="N1346" s="55"/>
      <c r="O1346" s="55"/>
      <c r="P1346" s="55"/>
      <c r="Q1346" s="55"/>
      <c r="R1346" s="55"/>
      <c r="S1346" s="55"/>
      <c r="T1346" s="55"/>
      <c r="U1346" s="55"/>
      <c r="V1346" s="55"/>
      <c r="W1346" s="55"/>
      <c r="X1346" s="55"/>
      <c r="Y1346" s="55"/>
      <c r="Z1346" s="55"/>
      <c r="AA1346" s="55"/>
      <c r="AB1346" s="55"/>
      <c r="AC1346" s="55"/>
      <c r="AD1346" s="55"/>
      <c r="AE1346" s="55"/>
      <c r="AF1346" s="55"/>
      <c r="AG1346" s="55"/>
      <c r="AH1346" s="55"/>
      <c r="AI1346" s="55"/>
      <c r="AJ1346" s="55"/>
      <c r="AK1346" s="55"/>
      <c r="AL1346" s="55"/>
      <c r="AM1346" s="55"/>
      <c r="AN1346" s="55"/>
      <c r="AO1346" s="55"/>
      <c r="AP1346" s="55"/>
      <c r="AQ1346" s="55"/>
      <c r="AR1346" s="55"/>
      <c r="AS1346" s="55"/>
      <c r="AT1346" s="55"/>
      <c r="AU1346" s="55"/>
      <c r="AV1346" s="55"/>
      <c r="AW1346" s="55"/>
      <c r="AX1346" s="55"/>
      <c r="AY1346" s="55"/>
      <c r="AZ1346" s="55"/>
    </row>
    <row r="1347" spans="1:52" ht="12.75" customHeight="1" x14ac:dyDescent="0.2">
      <c r="A1347" s="55"/>
      <c r="B1347" s="76"/>
      <c r="C1347" s="77"/>
      <c r="D1347" s="77"/>
      <c r="E1347" s="55"/>
      <c r="F1347" s="55"/>
      <c r="G1347" s="55"/>
      <c r="H1347" s="55"/>
      <c r="I1347" s="55"/>
      <c r="J1347" s="55"/>
      <c r="K1347" s="55"/>
      <c r="L1347" s="55"/>
      <c r="M1347" s="55"/>
      <c r="N1347" s="55"/>
      <c r="O1347" s="55"/>
      <c r="P1347" s="55"/>
      <c r="Q1347" s="55"/>
      <c r="R1347" s="55"/>
      <c r="S1347" s="55"/>
      <c r="T1347" s="55"/>
      <c r="U1347" s="55"/>
      <c r="V1347" s="55"/>
      <c r="W1347" s="55"/>
      <c r="X1347" s="55"/>
      <c r="Y1347" s="55"/>
      <c r="Z1347" s="55"/>
      <c r="AA1347" s="55"/>
      <c r="AB1347" s="55"/>
      <c r="AC1347" s="55"/>
      <c r="AD1347" s="55"/>
      <c r="AE1347" s="55"/>
      <c r="AF1347" s="55"/>
      <c r="AG1347" s="55"/>
      <c r="AH1347" s="55"/>
      <c r="AI1347" s="55"/>
      <c r="AJ1347" s="55"/>
      <c r="AK1347" s="55"/>
      <c r="AL1347" s="55"/>
      <c r="AM1347" s="55"/>
      <c r="AN1347" s="55"/>
      <c r="AO1347" s="55"/>
      <c r="AP1347" s="55"/>
      <c r="AQ1347" s="55"/>
      <c r="AR1347" s="55"/>
      <c r="AS1347" s="55"/>
      <c r="AT1347" s="55"/>
      <c r="AU1347" s="55"/>
      <c r="AV1347" s="55"/>
      <c r="AW1347" s="55"/>
      <c r="AX1347" s="55"/>
      <c r="AY1347" s="55"/>
      <c r="AZ1347" s="55"/>
    </row>
    <row r="1348" spans="1:52" ht="12.75" customHeight="1" x14ac:dyDescent="0.2">
      <c r="A1348" s="55"/>
      <c r="B1348" s="76"/>
      <c r="C1348" s="77"/>
      <c r="D1348" s="77"/>
      <c r="E1348" s="55"/>
      <c r="F1348" s="55"/>
      <c r="G1348" s="55"/>
      <c r="H1348" s="55"/>
      <c r="I1348" s="55"/>
      <c r="J1348" s="55"/>
      <c r="K1348" s="55"/>
      <c r="L1348" s="55"/>
      <c r="M1348" s="55"/>
      <c r="N1348" s="55"/>
      <c r="O1348" s="55"/>
      <c r="P1348" s="55"/>
      <c r="Q1348" s="55"/>
      <c r="R1348" s="55"/>
      <c r="S1348" s="55"/>
      <c r="T1348" s="55"/>
      <c r="U1348" s="55"/>
      <c r="V1348" s="55"/>
      <c r="W1348" s="55"/>
      <c r="X1348" s="55"/>
      <c r="Y1348" s="55"/>
      <c r="Z1348" s="55"/>
      <c r="AA1348" s="55"/>
      <c r="AB1348" s="55"/>
      <c r="AC1348" s="55"/>
      <c r="AD1348" s="55"/>
      <c r="AE1348" s="55"/>
      <c r="AF1348" s="55"/>
      <c r="AG1348" s="55"/>
      <c r="AH1348" s="55"/>
      <c r="AI1348" s="55"/>
      <c r="AJ1348" s="55"/>
      <c r="AK1348" s="55"/>
      <c r="AL1348" s="55"/>
      <c r="AM1348" s="55"/>
      <c r="AN1348" s="55"/>
      <c r="AO1348" s="55"/>
      <c r="AP1348" s="55"/>
      <c r="AQ1348" s="55"/>
      <c r="AR1348" s="55"/>
      <c r="AS1348" s="55"/>
      <c r="AT1348" s="55"/>
      <c r="AU1348" s="55"/>
      <c r="AV1348" s="55"/>
      <c r="AW1348" s="55"/>
      <c r="AX1348" s="55"/>
      <c r="AY1348" s="55"/>
      <c r="AZ1348" s="55"/>
    </row>
    <row r="1349" spans="1:52" ht="12.75" customHeight="1" x14ac:dyDescent="0.2">
      <c r="A1349" s="55"/>
      <c r="B1349" s="76"/>
      <c r="C1349" s="77"/>
      <c r="D1349" s="77"/>
      <c r="E1349" s="55"/>
      <c r="F1349" s="55"/>
      <c r="G1349" s="55"/>
      <c r="H1349" s="55"/>
      <c r="I1349" s="55"/>
      <c r="J1349" s="55"/>
      <c r="K1349" s="55"/>
      <c r="L1349" s="55"/>
      <c r="M1349" s="55"/>
      <c r="N1349" s="55"/>
      <c r="O1349" s="55"/>
      <c r="P1349" s="55"/>
      <c r="Q1349" s="55"/>
      <c r="R1349" s="55"/>
      <c r="S1349" s="55"/>
      <c r="T1349" s="55"/>
      <c r="U1349" s="55"/>
      <c r="V1349" s="55"/>
      <c r="W1349" s="55"/>
      <c r="X1349" s="55"/>
      <c r="Y1349" s="55"/>
      <c r="Z1349" s="55"/>
      <c r="AA1349" s="55"/>
      <c r="AB1349" s="55"/>
      <c r="AC1349" s="55"/>
      <c r="AD1349" s="55"/>
      <c r="AE1349" s="55"/>
      <c r="AF1349" s="55"/>
      <c r="AG1349" s="55"/>
      <c r="AH1349" s="55"/>
      <c r="AI1349" s="55"/>
      <c r="AJ1349" s="55"/>
      <c r="AK1349" s="55"/>
      <c r="AL1349" s="55"/>
      <c r="AM1349" s="55"/>
      <c r="AN1349" s="55"/>
      <c r="AO1349" s="55"/>
      <c r="AP1349" s="55"/>
      <c r="AQ1349" s="55"/>
      <c r="AR1349" s="55"/>
      <c r="AS1349" s="55"/>
      <c r="AT1349" s="55"/>
      <c r="AU1349" s="55"/>
      <c r="AV1349" s="55"/>
      <c r="AW1349" s="55"/>
      <c r="AX1349" s="55"/>
      <c r="AY1349" s="55"/>
      <c r="AZ1349" s="55"/>
    </row>
    <row r="1350" spans="1:52" ht="12.75" customHeight="1" x14ac:dyDescent="0.2">
      <c r="A1350" s="55"/>
      <c r="B1350" s="76"/>
      <c r="C1350" s="77"/>
      <c r="D1350" s="77"/>
      <c r="E1350" s="55"/>
      <c r="F1350" s="55"/>
      <c r="G1350" s="55"/>
      <c r="H1350" s="55"/>
      <c r="I1350" s="55"/>
      <c r="J1350" s="55"/>
      <c r="K1350" s="55"/>
      <c r="L1350" s="55"/>
      <c r="M1350" s="55"/>
      <c r="N1350" s="55"/>
      <c r="O1350" s="55"/>
      <c r="P1350" s="55"/>
      <c r="Q1350" s="55"/>
      <c r="R1350" s="55"/>
      <c r="S1350" s="55"/>
      <c r="T1350" s="55"/>
      <c r="U1350" s="55"/>
      <c r="V1350" s="55"/>
      <c r="W1350" s="55"/>
      <c r="X1350" s="55"/>
      <c r="Y1350" s="55"/>
      <c r="Z1350" s="55"/>
      <c r="AA1350" s="55"/>
      <c r="AB1350" s="55"/>
      <c r="AC1350" s="55"/>
      <c r="AD1350" s="55"/>
      <c r="AE1350" s="55"/>
      <c r="AF1350" s="55"/>
      <c r="AG1350" s="55"/>
      <c r="AH1350" s="55"/>
      <c r="AI1350" s="55"/>
      <c r="AJ1350" s="55"/>
      <c r="AK1350" s="55"/>
      <c r="AL1350" s="55"/>
      <c r="AM1350" s="55"/>
      <c r="AN1350" s="55"/>
      <c r="AO1350" s="55"/>
      <c r="AP1350" s="55"/>
      <c r="AQ1350" s="55"/>
      <c r="AR1350" s="55"/>
      <c r="AS1350" s="55"/>
      <c r="AT1350" s="55"/>
      <c r="AU1350" s="55"/>
      <c r="AV1350" s="55"/>
      <c r="AW1350" s="55"/>
      <c r="AX1350" s="55"/>
      <c r="AY1350" s="55"/>
      <c r="AZ1350" s="55"/>
    </row>
    <row r="1351" spans="1:52" ht="12.75" customHeight="1" x14ac:dyDescent="0.2">
      <c r="A1351" s="55"/>
      <c r="B1351" s="76"/>
      <c r="C1351" s="77"/>
      <c r="D1351" s="77"/>
      <c r="E1351" s="55"/>
      <c r="F1351" s="55"/>
      <c r="G1351" s="55"/>
      <c r="H1351" s="55"/>
      <c r="I1351" s="55"/>
      <c r="J1351" s="55"/>
      <c r="K1351" s="55"/>
      <c r="L1351" s="55"/>
      <c r="M1351" s="55"/>
      <c r="N1351" s="55"/>
      <c r="O1351" s="55"/>
      <c r="P1351" s="55"/>
      <c r="Q1351" s="55"/>
      <c r="R1351" s="55"/>
      <c r="S1351" s="55"/>
      <c r="T1351" s="55"/>
      <c r="U1351" s="55"/>
      <c r="V1351" s="55"/>
      <c r="W1351" s="55"/>
      <c r="X1351" s="55"/>
      <c r="Y1351" s="55"/>
      <c r="Z1351" s="55"/>
      <c r="AA1351" s="55"/>
      <c r="AB1351" s="55"/>
      <c r="AC1351" s="55"/>
      <c r="AD1351" s="55"/>
      <c r="AE1351" s="55"/>
      <c r="AF1351" s="55"/>
      <c r="AG1351" s="55"/>
      <c r="AH1351" s="55"/>
      <c r="AI1351" s="55"/>
      <c r="AJ1351" s="55"/>
      <c r="AK1351" s="55"/>
      <c r="AL1351" s="55"/>
      <c r="AM1351" s="55"/>
      <c r="AN1351" s="55"/>
      <c r="AO1351" s="55"/>
      <c r="AP1351" s="55"/>
      <c r="AQ1351" s="55"/>
      <c r="AR1351" s="55"/>
      <c r="AS1351" s="55"/>
      <c r="AT1351" s="55"/>
      <c r="AU1351" s="55"/>
      <c r="AV1351" s="55"/>
      <c r="AW1351" s="55"/>
      <c r="AX1351" s="55"/>
      <c r="AY1351" s="55"/>
      <c r="AZ1351" s="55"/>
    </row>
    <row r="1352" spans="1:52" ht="12.75" customHeight="1" x14ac:dyDescent="0.2">
      <c r="A1352" s="55"/>
      <c r="B1352" s="76"/>
      <c r="C1352" s="77"/>
      <c r="D1352" s="77"/>
      <c r="E1352" s="55"/>
      <c r="F1352" s="55"/>
      <c r="G1352" s="55"/>
      <c r="H1352" s="55"/>
      <c r="I1352" s="55"/>
      <c r="J1352" s="55"/>
      <c r="K1352" s="55"/>
      <c r="L1352" s="55"/>
      <c r="M1352" s="55"/>
      <c r="N1352" s="55"/>
      <c r="O1352" s="55"/>
      <c r="P1352" s="55"/>
      <c r="Q1352" s="55"/>
      <c r="R1352" s="55"/>
      <c r="S1352" s="55"/>
      <c r="T1352" s="55"/>
      <c r="U1352" s="55"/>
      <c r="V1352" s="55"/>
      <c r="W1352" s="55"/>
      <c r="X1352" s="55"/>
      <c r="Y1352" s="55"/>
      <c r="Z1352" s="55"/>
      <c r="AA1352" s="55"/>
      <c r="AB1352" s="55"/>
      <c r="AC1352" s="55"/>
      <c r="AD1352" s="55"/>
      <c r="AE1352" s="55"/>
      <c r="AF1352" s="55"/>
      <c r="AG1352" s="55"/>
      <c r="AH1352" s="55"/>
      <c r="AI1352" s="55"/>
      <c r="AJ1352" s="55"/>
      <c r="AK1352" s="55"/>
      <c r="AL1352" s="55"/>
      <c r="AM1352" s="55"/>
      <c r="AN1352" s="55"/>
      <c r="AO1352" s="55"/>
      <c r="AP1352" s="55"/>
      <c r="AQ1352" s="55"/>
      <c r="AR1352" s="55"/>
      <c r="AS1352" s="55"/>
      <c r="AT1352" s="55"/>
      <c r="AU1352" s="55"/>
      <c r="AV1352" s="55"/>
      <c r="AW1352" s="55"/>
      <c r="AX1352" s="55"/>
      <c r="AY1352" s="55"/>
      <c r="AZ1352" s="55"/>
    </row>
    <row r="1353" spans="1:52" ht="12.75" customHeight="1" x14ac:dyDescent="0.2">
      <c r="A1353" s="55"/>
      <c r="B1353" s="76"/>
      <c r="C1353" s="77"/>
      <c r="D1353" s="77"/>
      <c r="E1353" s="55"/>
      <c r="F1353" s="55"/>
      <c r="G1353" s="55"/>
      <c r="H1353" s="55"/>
      <c r="I1353" s="55"/>
      <c r="J1353" s="55"/>
      <c r="K1353" s="55"/>
      <c r="L1353" s="55"/>
      <c r="M1353" s="55"/>
      <c r="N1353" s="55"/>
      <c r="O1353" s="55"/>
      <c r="P1353" s="55"/>
      <c r="Q1353" s="55"/>
      <c r="R1353" s="55"/>
      <c r="S1353" s="55"/>
      <c r="T1353" s="55"/>
      <c r="U1353" s="55"/>
      <c r="V1353" s="55"/>
      <c r="W1353" s="55"/>
      <c r="X1353" s="55"/>
      <c r="Y1353" s="55"/>
      <c r="Z1353" s="55"/>
      <c r="AA1353" s="55"/>
      <c r="AB1353" s="55"/>
      <c r="AC1353" s="55"/>
      <c r="AD1353" s="55"/>
      <c r="AE1353" s="55"/>
      <c r="AF1353" s="55"/>
      <c r="AG1353" s="55"/>
      <c r="AH1353" s="55"/>
      <c r="AI1353" s="55"/>
      <c r="AJ1353" s="55"/>
      <c r="AK1353" s="55"/>
      <c r="AL1353" s="55"/>
      <c r="AM1353" s="55"/>
      <c r="AN1353" s="55"/>
      <c r="AO1353" s="55"/>
      <c r="AP1353" s="55"/>
      <c r="AQ1353" s="55"/>
      <c r="AR1353" s="55"/>
      <c r="AS1353" s="55"/>
      <c r="AT1353" s="55"/>
      <c r="AU1353" s="55"/>
      <c r="AV1353" s="55"/>
      <c r="AW1353" s="55"/>
      <c r="AX1353" s="55"/>
      <c r="AY1353" s="55"/>
      <c r="AZ1353" s="55"/>
    </row>
    <row r="1354" spans="1:52" ht="12.75" customHeight="1" x14ac:dyDescent="0.2">
      <c r="A1354" s="55"/>
      <c r="B1354" s="76"/>
      <c r="C1354" s="77"/>
      <c r="D1354" s="77"/>
      <c r="E1354" s="55"/>
      <c r="F1354" s="55"/>
      <c r="G1354" s="55"/>
      <c r="H1354" s="55"/>
      <c r="I1354" s="55"/>
      <c r="J1354" s="55"/>
      <c r="K1354" s="55"/>
      <c r="L1354" s="55"/>
      <c r="M1354" s="55"/>
      <c r="N1354" s="55"/>
      <c r="O1354" s="55"/>
      <c r="P1354" s="55"/>
      <c r="Q1354" s="55"/>
      <c r="R1354" s="55"/>
      <c r="S1354" s="55"/>
      <c r="T1354" s="55"/>
      <c r="U1354" s="55"/>
      <c r="V1354" s="55"/>
      <c r="W1354" s="55"/>
      <c r="X1354" s="55"/>
      <c r="Y1354" s="55"/>
      <c r="Z1354" s="55"/>
      <c r="AA1354" s="55"/>
      <c r="AB1354" s="55"/>
      <c r="AC1354" s="55"/>
      <c r="AD1354" s="55"/>
      <c r="AE1354" s="55"/>
      <c r="AF1354" s="55"/>
      <c r="AG1354" s="55"/>
      <c r="AH1354" s="55"/>
      <c r="AI1354" s="55"/>
      <c r="AJ1354" s="55"/>
      <c r="AK1354" s="55"/>
      <c r="AL1354" s="55"/>
      <c r="AM1354" s="55"/>
      <c r="AN1354" s="55"/>
      <c r="AO1354" s="55"/>
      <c r="AP1354" s="55"/>
      <c r="AQ1354" s="55"/>
      <c r="AR1354" s="55"/>
      <c r="AS1354" s="55"/>
      <c r="AT1354" s="55"/>
      <c r="AU1354" s="55"/>
      <c r="AV1354" s="55"/>
      <c r="AW1354" s="55"/>
      <c r="AX1354" s="55"/>
      <c r="AY1354" s="55"/>
      <c r="AZ1354" s="55"/>
    </row>
    <row r="1355" spans="1:52" ht="12.75" customHeight="1" x14ac:dyDescent="0.2">
      <c r="A1355" s="55"/>
      <c r="B1355" s="76"/>
      <c r="C1355" s="77"/>
      <c r="D1355" s="77"/>
      <c r="E1355" s="55"/>
      <c r="F1355" s="55"/>
      <c r="G1355" s="55"/>
      <c r="H1355" s="55"/>
      <c r="I1355" s="55"/>
      <c r="J1355" s="55"/>
      <c r="K1355" s="55"/>
      <c r="L1355" s="55"/>
      <c r="M1355" s="55"/>
      <c r="N1355" s="55"/>
      <c r="O1355" s="55"/>
      <c r="P1355" s="55"/>
      <c r="Q1355" s="55"/>
      <c r="R1355" s="55"/>
      <c r="S1355" s="55"/>
      <c r="T1355" s="55"/>
      <c r="U1355" s="55"/>
      <c r="V1355" s="55"/>
      <c r="W1355" s="55"/>
      <c r="X1355" s="55"/>
      <c r="Y1355" s="55"/>
      <c r="Z1355" s="55"/>
      <c r="AA1355" s="55"/>
      <c r="AB1355" s="55"/>
      <c r="AC1355" s="55"/>
      <c r="AD1355" s="55"/>
      <c r="AE1355" s="55"/>
      <c r="AF1355" s="55"/>
      <c r="AG1355" s="55"/>
      <c r="AH1355" s="55"/>
      <c r="AI1355" s="55"/>
      <c r="AJ1355" s="55"/>
      <c r="AK1355" s="55"/>
      <c r="AL1355" s="55"/>
      <c r="AM1355" s="55"/>
      <c r="AN1355" s="55"/>
      <c r="AO1355" s="55"/>
      <c r="AP1355" s="55"/>
      <c r="AQ1355" s="55"/>
      <c r="AR1355" s="55"/>
      <c r="AS1355" s="55"/>
      <c r="AT1355" s="55"/>
      <c r="AU1355" s="55"/>
      <c r="AV1355" s="55"/>
      <c r="AW1355" s="55"/>
      <c r="AX1355" s="55"/>
      <c r="AY1355" s="55"/>
      <c r="AZ1355" s="55"/>
    </row>
    <row r="1356" spans="1:52" ht="12.75" customHeight="1" x14ac:dyDescent="0.2">
      <c r="A1356" s="55"/>
      <c r="B1356" s="76"/>
      <c r="C1356" s="77"/>
      <c r="D1356" s="77"/>
      <c r="E1356" s="55"/>
      <c r="F1356" s="55"/>
      <c r="G1356" s="55"/>
      <c r="H1356" s="55"/>
      <c r="I1356" s="55"/>
      <c r="J1356" s="55"/>
      <c r="K1356" s="55"/>
      <c r="L1356" s="55"/>
      <c r="M1356" s="55"/>
      <c r="N1356" s="55"/>
      <c r="O1356" s="55"/>
      <c r="P1356" s="55"/>
      <c r="Q1356" s="55"/>
      <c r="R1356" s="55"/>
      <c r="S1356" s="55"/>
      <c r="T1356" s="55"/>
      <c r="U1356" s="55"/>
      <c r="V1356" s="55"/>
      <c r="W1356" s="55"/>
      <c r="X1356" s="55"/>
      <c r="Y1356" s="55"/>
      <c r="Z1356" s="55"/>
      <c r="AA1356" s="55"/>
      <c r="AB1356" s="55"/>
      <c r="AC1356" s="55"/>
      <c r="AD1356" s="55"/>
      <c r="AE1356" s="55"/>
      <c r="AF1356" s="55"/>
      <c r="AG1356" s="55"/>
      <c r="AH1356" s="55"/>
      <c r="AI1356" s="55"/>
      <c r="AJ1356" s="55"/>
      <c r="AK1356" s="55"/>
      <c r="AL1356" s="55"/>
      <c r="AM1356" s="55"/>
      <c r="AN1356" s="55"/>
      <c r="AO1356" s="55"/>
      <c r="AP1356" s="55"/>
      <c r="AQ1356" s="55"/>
      <c r="AR1356" s="55"/>
      <c r="AS1356" s="55"/>
      <c r="AT1356" s="55"/>
      <c r="AU1356" s="55"/>
      <c r="AV1356" s="55"/>
      <c r="AW1356" s="55"/>
      <c r="AX1356" s="55"/>
      <c r="AY1356" s="55"/>
      <c r="AZ1356" s="55"/>
    </row>
    <row r="1357" spans="1:52" ht="12.75" customHeight="1" x14ac:dyDescent="0.2">
      <c r="A1357" s="55"/>
      <c r="B1357" s="76"/>
      <c r="C1357" s="77"/>
      <c r="D1357" s="77"/>
      <c r="E1357" s="55"/>
      <c r="F1357" s="55"/>
      <c r="G1357" s="55"/>
      <c r="H1357" s="55"/>
      <c r="I1357" s="55"/>
      <c r="J1357" s="55"/>
      <c r="K1357" s="55"/>
      <c r="L1357" s="55"/>
      <c r="M1357" s="55"/>
      <c r="N1357" s="55"/>
      <c r="O1357" s="55"/>
      <c r="P1357" s="55"/>
      <c r="Q1357" s="55"/>
      <c r="R1357" s="55"/>
      <c r="S1357" s="55"/>
      <c r="T1357" s="55"/>
      <c r="U1357" s="55"/>
      <c r="V1357" s="55"/>
      <c r="W1357" s="55"/>
      <c r="X1357" s="55"/>
      <c r="Y1357" s="55"/>
      <c r="Z1357" s="55"/>
      <c r="AA1357" s="55"/>
      <c r="AB1357" s="55"/>
      <c r="AC1357" s="55"/>
      <c r="AD1357" s="55"/>
      <c r="AE1357" s="55"/>
      <c r="AF1357" s="55"/>
      <c r="AG1357" s="55"/>
      <c r="AH1357" s="55"/>
      <c r="AI1357" s="55"/>
      <c r="AJ1357" s="55"/>
      <c r="AK1357" s="55"/>
      <c r="AL1357" s="55"/>
      <c r="AM1357" s="55"/>
      <c r="AN1357" s="55"/>
      <c r="AO1357" s="55"/>
      <c r="AP1357" s="55"/>
      <c r="AQ1357" s="55"/>
      <c r="AR1357" s="55"/>
      <c r="AS1357" s="55"/>
      <c r="AT1357" s="55"/>
      <c r="AU1357" s="55"/>
      <c r="AV1357" s="55"/>
      <c r="AW1357" s="55"/>
      <c r="AX1357" s="55"/>
      <c r="AY1357" s="55"/>
      <c r="AZ1357" s="55"/>
    </row>
    <row r="1358" spans="1:52" ht="12.75" customHeight="1" x14ac:dyDescent="0.2">
      <c r="A1358" s="55"/>
      <c r="B1358" s="76"/>
      <c r="C1358" s="77"/>
      <c r="D1358" s="77"/>
      <c r="E1358" s="55"/>
      <c r="F1358" s="55"/>
      <c r="G1358" s="55"/>
      <c r="H1358" s="55"/>
      <c r="I1358" s="55"/>
      <c r="J1358" s="55"/>
      <c r="K1358" s="55"/>
      <c r="L1358" s="55"/>
      <c r="M1358" s="55"/>
      <c r="N1358" s="55"/>
      <c r="O1358" s="55"/>
      <c r="P1358" s="55"/>
      <c r="Q1358" s="55"/>
      <c r="R1358" s="55"/>
      <c r="S1358" s="55"/>
      <c r="T1358" s="55"/>
      <c r="U1358" s="55"/>
      <c r="V1358" s="55"/>
      <c r="W1358" s="55"/>
      <c r="X1358" s="55"/>
      <c r="Y1358" s="55"/>
      <c r="Z1358" s="55"/>
      <c r="AA1358" s="55"/>
      <c r="AB1358" s="55"/>
      <c r="AC1358" s="55"/>
      <c r="AD1358" s="55"/>
      <c r="AE1358" s="55"/>
      <c r="AF1358" s="55"/>
      <c r="AG1358" s="55"/>
      <c r="AH1358" s="55"/>
      <c r="AI1358" s="55"/>
      <c r="AJ1358" s="55"/>
      <c r="AK1358" s="55"/>
      <c r="AL1358" s="55"/>
      <c r="AM1358" s="55"/>
      <c r="AN1358" s="55"/>
      <c r="AO1358" s="55"/>
      <c r="AP1358" s="55"/>
      <c r="AQ1358" s="55"/>
      <c r="AR1358" s="55"/>
      <c r="AS1358" s="55"/>
      <c r="AT1358" s="55"/>
      <c r="AU1358" s="55"/>
      <c r="AV1358" s="55"/>
      <c r="AW1358" s="55"/>
      <c r="AX1358" s="55"/>
      <c r="AY1358" s="55"/>
      <c r="AZ1358" s="55"/>
    </row>
    <row r="1359" spans="1:52" ht="12.75" customHeight="1" x14ac:dyDescent="0.2">
      <c r="A1359" s="55"/>
      <c r="B1359" s="76"/>
      <c r="C1359" s="77"/>
      <c r="D1359" s="77"/>
      <c r="E1359" s="55"/>
      <c r="F1359" s="55"/>
      <c r="G1359" s="55"/>
      <c r="H1359" s="55"/>
      <c r="I1359" s="55"/>
      <c r="J1359" s="55"/>
      <c r="K1359" s="55"/>
      <c r="L1359" s="55"/>
      <c r="M1359" s="55"/>
      <c r="N1359" s="55"/>
      <c r="O1359" s="55"/>
      <c r="P1359" s="55"/>
      <c r="Q1359" s="55"/>
      <c r="R1359" s="55"/>
      <c r="S1359" s="55"/>
      <c r="T1359" s="55"/>
      <c r="U1359" s="55"/>
      <c r="V1359" s="55"/>
      <c r="W1359" s="55"/>
      <c r="X1359" s="55"/>
      <c r="Y1359" s="55"/>
      <c r="Z1359" s="55"/>
      <c r="AA1359" s="55"/>
      <c r="AB1359" s="55"/>
      <c r="AC1359" s="55"/>
      <c r="AD1359" s="55"/>
      <c r="AE1359" s="55"/>
      <c r="AF1359" s="55"/>
      <c r="AG1359" s="55"/>
      <c r="AH1359" s="55"/>
      <c r="AI1359" s="55"/>
      <c r="AJ1359" s="55"/>
      <c r="AK1359" s="55"/>
      <c r="AL1359" s="55"/>
      <c r="AM1359" s="55"/>
      <c r="AN1359" s="55"/>
      <c r="AO1359" s="55"/>
      <c r="AP1359" s="55"/>
      <c r="AQ1359" s="55"/>
      <c r="AR1359" s="55"/>
      <c r="AS1359" s="55"/>
      <c r="AT1359" s="55"/>
      <c r="AU1359" s="55"/>
      <c r="AV1359" s="55"/>
      <c r="AW1359" s="55"/>
      <c r="AX1359" s="55"/>
      <c r="AY1359" s="55"/>
      <c r="AZ1359" s="55"/>
    </row>
    <row r="1360" spans="1:52" ht="12.75" customHeight="1" x14ac:dyDescent="0.2">
      <c r="A1360" s="55"/>
      <c r="B1360" s="76"/>
      <c r="C1360" s="77"/>
      <c r="D1360" s="77"/>
      <c r="E1360" s="55"/>
      <c r="F1360" s="55"/>
      <c r="G1360" s="55"/>
      <c r="H1360" s="55"/>
      <c r="I1360" s="55"/>
      <c r="J1360" s="55"/>
      <c r="K1360" s="55"/>
      <c r="L1360" s="55"/>
      <c r="M1360" s="55"/>
      <c r="N1360" s="55"/>
      <c r="O1360" s="55"/>
      <c r="P1360" s="55"/>
      <c r="Q1360" s="55"/>
      <c r="R1360" s="55"/>
      <c r="S1360" s="55"/>
      <c r="T1360" s="55"/>
      <c r="U1360" s="55"/>
      <c r="V1360" s="55"/>
      <c r="W1360" s="55"/>
      <c r="X1360" s="55"/>
      <c r="Y1360" s="55"/>
      <c r="Z1360" s="55"/>
      <c r="AA1360" s="55"/>
      <c r="AB1360" s="55"/>
      <c r="AC1360" s="55"/>
      <c r="AD1360" s="55"/>
      <c r="AE1360" s="55"/>
      <c r="AF1360" s="55"/>
      <c r="AG1360" s="55"/>
      <c r="AH1360" s="55"/>
      <c r="AI1360" s="55"/>
      <c r="AJ1360" s="55"/>
      <c r="AK1360" s="55"/>
      <c r="AL1360" s="55"/>
      <c r="AM1360" s="55"/>
      <c r="AN1360" s="55"/>
      <c r="AO1360" s="55"/>
      <c r="AP1360" s="55"/>
      <c r="AQ1360" s="55"/>
      <c r="AR1360" s="55"/>
      <c r="AS1360" s="55"/>
      <c r="AT1360" s="55"/>
      <c r="AU1360" s="55"/>
      <c r="AV1360" s="55"/>
      <c r="AW1360" s="55"/>
      <c r="AX1360" s="55"/>
      <c r="AY1360" s="55"/>
      <c r="AZ1360" s="55"/>
    </row>
    <row r="1361" spans="1:52" ht="12.75" customHeight="1" x14ac:dyDescent="0.2">
      <c r="A1361" s="55"/>
      <c r="B1361" s="76"/>
      <c r="C1361" s="77"/>
      <c r="D1361" s="77"/>
      <c r="E1361" s="55"/>
      <c r="F1361" s="55"/>
      <c r="G1361" s="55"/>
      <c r="H1361" s="55"/>
      <c r="I1361" s="55"/>
      <c r="J1361" s="55"/>
      <c r="K1361" s="55"/>
      <c r="L1361" s="55"/>
      <c r="M1361" s="55"/>
      <c r="N1361" s="55"/>
      <c r="O1361" s="55"/>
      <c r="P1361" s="55"/>
      <c r="Q1361" s="55"/>
      <c r="R1361" s="55"/>
      <c r="S1361" s="55"/>
      <c r="T1361" s="55"/>
      <c r="U1361" s="55"/>
      <c r="V1361" s="55"/>
      <c r="W1361" s="55"/>
      <c r="X1361" s="55"/>
      <c r="Y1361" s="55"/>
      <c r="Z1361" s="55"/>
      <c r="AA1361" s="55"/>
      <c r="AB1361" s="55"/>
      <c r="AC1361" s="55"/>
      <c r="AD1361" s="55"/>
      <c r="AE1361" s="55"/>
      <c r="AF1361" s="55"/>
      <c r="AG1361" s="55"/>
      <c r="AH1361" s="55"/>
      <c r="AI1361" s="55"/>
      <c r="AJ1361" s="55"/>
      <c r="AK1361" s="55"/>
      <c r="AL1361" s="55"/>
      <c r="AM1361" s="55"/>
      <c r="AN1361" s="55"/>
      <c r="AO1361" s="55"/>
      <c r="AP1361" s="55"/>
      <c r="AQ1361" s="55"/>
      <c r="AR1361" s="55"/>
      <c r="AS1361" s="55"/>
      <c r="AT1361" s="55"/>
      <c r="AU1361" s="55"/>
      <c r="AV1361" s="55"/>
      <c r="AW1361" s="55"/>
      <c r="AX1361" s="55"/>
      <c r="AY1361" s="55"/>
      <c r="AZ1361" s="55"/>
    </row>
    <row r="1362" spans="1:52" ht="12.75" customHeight="1" x14ac:dyDescent="0.2">
      <c r="A1362" s="55"/>
      <c r="B1362" s="76"/>
      <c r="C1362" s="77"/>
      <c r="D1362" s="77"/>
      <c r="E1362" s="55"/>
      <c r="F1362" s="55"/>
      <c r="G1362" s="55"/>
      <c r="H1362" s="55"/>
      <c r="I1362" s="55"/>
      <c r="J1362" s="55"/>
      <c r="K1362" s="55"/>
      <c r="L1362" s="55"/>
      <c r="M1362" s="55"/>
      <c r="N1362" s="55"/>
      <c r="O1362" s="55"/>
      <c r="P1362" s="55"/>
      <c r="Q1362" s="55"/>
      <c r="R1362" s="55"/>
      <c r="S1362" s="55"/>
      <c r="T1362" s="55"/>
      <c r="U1362" s="55"/>
      <c r="V1362" s="55"/>
      <c r="W1362" s="55"/>
      <c r="X1362" s="55"/>
      <c r="Y1362" s="55"/>
      <c r="Z1362" s="55"/>
      <c r="AA1362" s="55"/>
      <c r="AB1362" s="55"/>
      <c r="AC1362" s="55"/>
      <c r="AD1362" s="55"/>
      <c r="AE1362" s="55"/>
      <c r="AF1362" s="55"/>
      <c r="AG1362" s="55"/>
      <c r="AH1362" s="55"/>
      <c r="AI1362" s="55"/>
      <c r="AJ1362" s="55"/>
      <c r="AK1362" s="55"/>
      <c r="AL1362" s="55"/>
      <c r="AM1362" s="55"/>
      <c r="AN1362" s="55"/>
      <c r="AO1362" s="55"/>
      <c r="AP1362" s="55"/>
      <c r="AQ1362" s="55"/>
      <c r="AR1362" s="55"/>
      <c r="AS1362" s="55"/>
      <c r="AT1362" s="55"/>
      <c r="AU1362" s="55"/>
      <c r="AV1362" s="55"/>
      <c r="AW1362" s="55"/>
      <c r="AX1362" s="55"/>
      <c r="AY1362" s="55"/>
      <c r="AZ1362" s="55"/>
    </row>
    <row r="1363" spans="1:52" ht="12.75" customHeight="1" x14ac:dyDescent="0.2">
      <c r="A1363" s="55"/>
      <c r="B1363" s="76"/>
      <c r="C1363" s="77"/>
      <c r="D1363" s="77"/>
      <c r="E1363" s="55"/>
      <c r="F1363" s="55"/>
      <c r="G1363" s="55"/>
      <c r="H1363" s="55"/>
      <c r="I1363" s="55"/>
      <c r="J1363" s="55"/>
      <c r="K1363" s="55"/>
      <c r="L1363" s="55"/>
      <c r="M1363" s="55"/>
      <c r="N1363" s="55"/>
      <c r="O1363" s="55"/>
      <c r="P1363" s="55"/>
      <c r="Q1363" s="55"/>
      <c r="R1363" s="55"/>
      <c r="S1363" s="55"/>
      <c r="T1363" s="55"/>
      <c r="U1363" s="55"/>
      <c r="V1363" s="55"/>
      <c r="W1363" s="55"/>
      <c r="X1363" s="55"/>
      <c r="Y1363" s="55"/>
      <c r="Z1363" s="55"/>
      <c r="AA1363" s="55"/>
      <c r="AB1363" s="55"/>
      <c r="AC1363" s="55"/>
      <c r="AD1363" s="55"/>
      <c r="AE1363" s="55"/>
      <c r="AF1363" s="55"/>
      <c r="AG1363" s="55"/>
      <c r="AH1363" s="55"/>
      <c r="AI1363" s="55"/>
      <c r="AJ1363" s="55"/>
      <c r="AK1363" s="55"/>
      <c r="AL1363" s="55"/>
      <c r="AM1363" s="55"/>
      <c r="AN1363" s="55"/>
      <c r="AO1363" s="55"/>
      <c r="AP1363" s="55"/>
      <c r="AQ1363" s="55"/>
      <c r="AR1363" s="55"/>
      <c r="AS1363" s="55"/>
      <c r="AT1363" s="55"/>
      <c r="AU1363" s="55"/>
      <c r="AV1363" s="55"/>
      <c r="AW1363" s="55"/>
      <c r="AX1363" s="55"/>
      <c r="AY1363" s="55"/>
      <c r="AZ1363" s="55"/>
    </row>
    <row r="1364" spans="1:52" ht="12.75" customHeight="1" x14ac:dyDescent="0.2">
      <c r="A1364" s="55"/>
      <c r="B1364" s="76"/>
      <c r="C1364" s="77"/>
      <c r="D1364" s="77"/>
      <c r="E1364" s="55"/>
      <c r="F1364" s="55"/>
      <c r="G1364" s="55"/>
      <c r="H1364" s="55"/>
      <c r="I1364" s="55"/>
      <c r="J1364" s="55"/>
      <c r="K1364" s="55"/>
      <c r="L1364" s="55"/>
      <c r="M1364" s="55"/>
      <c r="N1364" s="55"/>
      <c r="O1364" s="55"/>
      <c r="P1364" s="55"/>
      <c r="Q1364" s="55"/>
      <c r="R1364" s="55"/>
      <c r="S1364" s="55"/>
      <c r="T1364" s="55"/>
      <c r="U1364" s="55"/>
      <c r="V1364" s="55"/>
      <c r="W1364" s="55"/>
      <c r="X1364" s="55"/>
      <c r="Y1364" s="55"/>
      <c r="Z1364" s="55"/>
      <c r="AA1364" s="55"/>
      <c r="AB1364" s="55"/>
      <c r="AC1364" s="55"/>
      <c r="AD1364" s="55"/>
      <c r="AE1364" s="55"/>
      <c r="AF1364" s="55"/>
      <c r="AG1364" s="55"/>
      <c r="AH1364" s="55"/>
      <c r="AI1364" s="55"/>
      <c r="AJ1364" s="55"/>
      <c r="AK1364" s="55"/>
      <c r="AL1364" s="55"/>
      <c r="AM1364" s="55"/>
      <c r="AN1364" s="55"/>
      <c r="AO1364" s="55"/>
      <c r="AP1364" s="55"/>
      <c r="AQ1364" s="55"/>
      <c r="AR1364" s="55"/>
      <c r="AS1364" s="55"/>
      <c r="AT1364" s="55"/>
      <c r="AU1364" s="55"/>
      <c r="AV1364" s="55"/>
      <c r="AW1364" s="55"/>
      <c r="AX1364" s="55"/>
      <c r="AY1364" s="55"/>
      <c r="AZ1364" s="55"/>
    </row>
    <row r="1365" spans="1:52" ht="12.75" customHeight="1" x14ac:dyDescent="0.2">
      <c r="A1365" s="55"/>
      <c r="B1365" s="76"/>
      <c r="C1365" s="77"/>
      <c r="D1365" s="77"/>
      <c r="E1365" s="55"/>
      <c r="F1365" s="55"/>
      <c r="G1365" s="55"/>
      <c r="H1365" s="55"/>
      <c r="I1365" s="55"/>
      <c r="J1365" s="55"/>
      <c r="K1365" s="55"/>
      <c r="L1365" s="55"/>
      <c r="M1365" s="55"/>
      <c r="N1365" s="55"/>
      <c r="O1365" s="55"/>
      <c r="P1365" s="55"/>
      <c r="Q1365" s="55"/>
      <c r="R1365" s="55"/>
      <c r="S1365" s="55"/>
      <c r="T1365" s="55"/>
      <c r="U1365" s="55"/>
      <c r="V1365" s="55"/>
      <c r="W1365" s="55"/>
      <c r="X1365" s="55"/>
      <c r="Y1365" s="55"/>
      <c r="Z1365" s="55"/>
      <c r="AA1365" s="55"/>
      <c r="AB1365" s="55"/>
      <c r="AC1365" s="55"/>
      <c r="AD1365" s="55"/>
      <c r="AE1365" s="55"/>
      <c r="AF1365" s="55"/>
      <c r="AG1365" s="55"/>
      <c r="AH1365" s="55"/>
      <c r="AI1365" s="55"/>
      <c r="AJ1365" s="55"/>
      <c r="AK1365" s="55"/>
      <c r="AL1365" s="55"/>
      <c r="AM1365" s="55"/>
      <c r="AN1365" s="55"/>
      <c r="AO1365" s="55"/>
      <c r="AP1365" s="55"/>
      <c r="AQ1365" s="55"/>
      <c r="AR1365" s="55"/>
      <c r="AS1365" s="55"/>
      <c r="AT1365" s="55"/>
      <c r="AU1365" s="55"/>
      <c r="AV1365" s="55"/>
      <c r="AW1365" s="55"/>
      <c r="AX1365" s="55"/>
      <c r="AY1365" s="55"/>
      <c r="AZ1365" s="55"/>
    </row>
    <row r="1366" spans="1:52" ht="12.75" customHeight="1" x14ac:dyDescent="0.2">
      <c r="A1366" s="55"/>
      <c r="B1366" s="76"/>
      <c r="C1366" s="77"/>
      <c r="D1366" s="77"/>
      <c r="E1366" s="55"/>
      <c r="F1366" s="55"/>
      <c r="G1366" s="55"/>
      <c r="H1366" s="55"/>
      <c r="I1366" s="55"/>
      <c r="J1366" s="55"/>
      <c r="K1366" s="55"/>
      <c r="L1366" s="55"/>
      <c r="M1366" s="55"/>
      <c r="N1366" s="55"/>
      <c r="O1366" s="55"/>
      <c r="P1366" s="55"/>
      <c r="Q1366" s="55"/>
      <c r="R1366" s="55"/>
      <c r="S1366" s="55"/>
      <c r="T1366" s="55"/>
      <c r="U1366" s="55"/>
      <c r="V1366" s="55"/>
      <c r="W1366" s="55"/>
      <c r="X1366" s="55"/>
      <c r="Y1366" s="55"/>
      <c r="Z1366" s="55"/>
      <c r="AA1366" s="55"/>
      <c r="AB1366" s="55"/>
      <c r="AC1366" s="55"/>
      <c r="AD1366" s="55"/>
      <c r="AE1366" s="55"/>
      <c r="AF1366" s="55"/>
      <c r="AG1366" s="55"/>
      <c r="AH1366" s="55"/>
      <c r="AI1366" s="55"/>
      <c r="AJ1366" s="55"/>
      <c r="AK1366" s="55"/>
      <c r="AL1366" s="55"/>
      <c r="AM1366" s="55"/>
      <c r="AN1366" s="55"/>
      <c r="AO1366" s="55"/>
      <c r="AP1366" s="55"/>
      <c r="AQ1366" s="55"/>
      <c r="AR1366" s="55"/>
      <c r="AS1366" s="55"/>
      <c r="AT1366" s="55"/>
      <c r="AU1366" s="55"/>
      <c r="AV1366" s="55"/>
      <c r="AW1366" s="55"/>
      <c r="AX1366" s="55"/>
      <c r="AY1366" s="55"/>
      <c r="AZ1366" s="55"/>
    </row>
    <row r="1367" spans="1:52" ht="12.75" customHeight="1" x14ac:dyDescent="0.2">
      <c r="A1367" s="55"/>
      <c r="B1367" s="76"/>
      <c r="C1367" s="77"/>
      <c r="D1367" s="77"/>
      <c r="E1367" s="55"/>
      <c r="F1367" s="55"/>
      <c r="G1367" s="55"/>
      <c r="H1367" s="55"/>
      <c r="I1367" s="55"/>
      <c r="J1367" s="55"/>
      <c r="K1367" s="55"/>
      <c r="L1367" s="55"/>
      <c r="M1367" s="55"/>
      <c r="N1367" s="55"/>
      <c r="O1367" s="55"/>
      <c r="P1367" s="55"/>
      <c r="Q1367" s="55"/>
      <c r="R1367" s="55"/>
      <c r="S1367" s="55"/>
      <c r="T1367" s="55"/>
      <c r="U1367" s="55"/>
      <c r="V1367" s="55"/>
      <c r="W1367" s="55"/>
      <c r="X1367" s="55"/>
      <c r="Y1367" s="55"/>
      <c r="Z1367" s="55"/>
      <c r="AA1367" s="55"/>
      <c r="AB1367" s="55"/>
      <c r="AC1367" s="55"/>
      <c r="AD1367" s="55"/>
      <c r="AE1367" s="55"/>
      <c r="AF1367" s="55"/>
      <c r="AG1367" s="55"/>
      <c r="AH1367" s="55"/>
      <c r="AI1367" s="55"/>
      <c r="AJ1367" s="55"/>
      <c r="AK1367" s="55"/>
      <c r="AL1367" s="55"/>
      <c r="AM1367" s="55"/>
      <c r="AN1367" s="55"/>
      <c r="AO1367" s="55"/>
      <c r="AP1367" s="55"/>
      <c r="AQ1367" s="55"/>
      <c r="AR1367" s="55"/>
      <c r="AS1367" s="55"/>
      <c r="AT1367" s="55"/>
      <c r="AU1367" s="55"/>
      <c r="AV1367" s="55"/>
      <c r="AW1367" s="55"/>
      <c r="AX1367" s="55"/>
      <c r="AY1367" s="55"/>
      <c r="AZ1367" s="55"/>
    </row>
    <row r="1368" spans="1:52" ht="12.75" customHeight="1" x14ac:dyDescent="0.2">
      <c r="A1368" s="55"/>
      <c r="B1368" s="76"/>
      <c r="C1368" s="77"/>
      <c r="D1368" s="77"/>
      <c r="E1368" s="55"/>
      <c r="F1368" s="55"/>
      <c r="G1368" s="55"/>
      <c r="H1368" s="55"/>
      <c r="I1368" s="55"/>
      <c r="J1368" s="55"/>
      <c r="K1368" s="55"/>
      <c r="L1368" s="55"/>
      <c r="M1368" s="55"/>
      <c r="N1368" s="55"/>
      <c r="O1368" s="55"/>
      <c r="P1368" s="55"/>
      <c r="Q1368" s="55"/>
      <c r="R1368" s="55"/>
      <c r="S1368" s="55"/>
      <c r="T1368" s="55"/>
      <c r="U1368" s="55"/>
      <c r="V1368" s="55"/>
      <c r="W1368" s="55"/>
      <c r="X1368" s="55"/>
      <c r="Y1368" s="55"/>
      <c r="Z1368" s="55"/>
      <c r="AA1368" s="55"/>
      <c r="AB1368" s="55"/>
      <c r="AC1368" s="55"/>
      <c r="AD1368" s="55"/>
      <c r="AE1368" s="55"/>
      <c r="AF1368" s="55"/>
      <c r="AG1368" s="55"/>
      <c r="AH1368" s="55"/>
      <c r="AI1368" s="55"/>
      <c r="AJ1368" s="55"/>
      <c r="AK1368" s="55"/>
      <c r="AL1368" s="55"/>
      <c r="AM1368" s="55"/>
      <c r="AN1368" s="55"/>
      <c r="AO1368" s="55"/>
      <c r="AP1368" s="55"/>
      <c r="AQ1368" s="55"/>
      <c r="AR1368" s="55"/>
      <c r="AS1368" s="55"/>
      <c r="AT1368" s="55"/>
      <c r="AU1368" s="55"/>
      <c r="AV1368" s="55"/>
      <c r="AW1368" s="55"/>
      <c r="AX1368" s="55"/>
      <c r="AY1368" s="55"/>
      <c r="AZ1368" s="55"/>
    </row>
    <row r="1369" spans="1:52" ht="12.75" customHeight="1" x14ac:dyDescent="0.2">
      <c r="A1369" s="55"/>
      <c r="B1369" s="76"/>
      <c r="C1369" s="77"/>
      <c r="D1369" s="77"/>
      <c r="E1369" s="55"/>
      <c r="F1369" s="55"/>
      <c r="G1369" s="55"/>
      <c r="H1369" s="55"/>
      <c r="I1369" s="55"/>
      <c r="J1369" s="55"/>
      <c r="K1369" s="55"/>
      <c r="L1369" s="55"/>
      <c r="M1369" s="55"/>
      <c r="N1369" s="55"/>
      <c r="O1369" s="55"/>
      <c r="P1369" s="55"/>
      <c r="Q1369" s="55"/>
      <c r="R1369" s="55"/>
      <c r="S1369" s="55"/>
      <c r="T1369" s="55"/>
      <c r="U1369" s="55"/>
      <c r="V1369" s="55"/>
      <c r="W1369" s="55"/>
      <c r="X1369" s="55"/>
      <c r="Y1369" s="55"/>
      <c r="Z1369" s="55"/>
      <c r="AA1369" s="55"/>
      <c r="AB1369" s="55"/>
      <c r="AC1369" s="55"/>
      <c r="AD1369" s="55"/>
      <c r="AE1369" s="55"/>
      <c r="AF1369" s="55"/>
      <c r="AG1369" s="55"/>
      <c r="AH1369" s="55"/>
      <c r="AI1369" s="55"/>
      <c r="AJ1369" s="55"/>
      <c r="AK1369" s="55"/>
      <c r="AL1369" s="55"/>
      <c r="AM1369" s="55"/>
      <c r="AN1369" s="55"/>
      <c r="AO1369" s="55"/>
      <c r="AP1369" s="55"/>
      <c r="AQ1369" s="55"/>
      <c r="AR1369" s="55"/>
      <c r="AS1369" s="55"/>
      <c r="AT1369" s="55"/>
      <c r="AU1369" s="55"/>
      <c r="AV1369" s="55"/>
      <c r="AW1369" s="55"/>
      <c r="AX1369" s="55"/>
      <c r="AY1369" s="55"/>
      <c r="AZ1369" s="55"/>
    </row>
    <row r="1370" spans="1:52" ht="12.75" customHeight="1" x14ac:dyDescent="0.2">
      <c r="A1370" s="55"/>
      <c r="B1370" s="76"/>
      <c r="C1370" s="77"/>
      <c r="D1370" s="77"/>
      <c r="E1370" s="55"/>
      <c r="F1370" s="55"/>
      <c r="G1370" s="55"/>
      <c r="H1370" s="55"/>
      <c r="I1370" s="55"/>
      <c r="J1370" s="55"/>
      <c r="K1370" s="55"/>
      <c r="L1370" s="55"/>
      <c r="M1370" s="55"/>
      <c r="N1370" s="55"/>
      <c r="O1370" s="55"/>
      <c r="P1370" s="55"/>
      <c r="Q1370" s="55"/>
      <c r="R1370" s="55"/>
      <c r="S1370" s="55"/>
      <c r="T1370" s="55"/>
      <c r="U1370" s="55"/>
      <c r="V1370" s="55"/>
      <c r="W1370" s="55"/>
      <c r="X1370" s="55"/>
      <c r="Y1370" s="55"/>
      <c r="Z1370" s="55"/>
      <c r="AA1370" s="55"/>
      <c r="AB1370" s="55"/>
      <c r="AC1370" s="55"/>
      <c r="AD1370" s="55"/>
      <c r="AE1370" s="55"/>
      <c r="AF1370" s="55"/>
      <c r="AG1370" s="55"/>
      <c r="AH1370" s="55"/>
      <c r="AI1370" s="55"/>
      <c r="AJ1370" s="55"/>
      <c r="AK1370" s="55"/>
      <c r="AL1370" s="55"/>
      <c r="AM1370" s="55"/>
      <c r="AN1370" s="55"/>
      <c r="AO1370" s="55"/>
      <c r="AP1370" s="55"/>
      <c r="AQ1370" s="55"/>
      <c r="AR1370" s="55"/>
      <c r="AS1370" s="55"/>
      <c r="AT1370" s="55"/>
      <c r="AU1370" s="55"/>
      <c r="AV1370" s="55"/>
      <c r="AW1370" s="55"/>
      <c r="AX1370" s="55"/>
      <c r="AY1370" s="55"/>
      <c r="AZ1370" s="55"/>
    </row>
    <row r="1371" spans="1:52" ht="12.75" customHeight="1" x14ac:dyDescent="0.2">
      <c r="A1371" s="55"/>
      <c r="B1371" s="76"/>
      <c r="C1371" s="77"/>
      <c r="D1371" s="77"/>
      <c r="E1371" s="55"/>
      <c r="F1371" s="55"/>
      <c r="G1371" s="55"/>
      <c r="H1371" s="55"/>
      <c r="I1371" s="55"/>
      <c r="J1371" s="55"/>
      <c r="K1371" s="55"/>
      <c r="L1371" s="55"/>
      <c r="M1371" s="55"/>
      <c r="N1371" s="55"/>
      <c r="O1371" s="55"/>
      <c r="P1371" s="55"/>
      <c r="Q1371" s="55"/>
      <c r="R1371" s="55"/>
      <c r="S1371" s="62"/>
      <c r="T1371" s="55"/>
      <c r="U1371" s="55"/>
      <c r="V1371" s="55"/>
      <c r="W1371" s="55"/>
      <c r="X1371" s="55"/>
      <c r="Y1371" s="55"/>
      <c r="Z1371" s="55"/>
      <c r="AA1371" s="55"/>
      <c r="AB1371" s="55"/>
      <c r="AC1371" s="55"/>
      <c r="AD1371" s="55"/>
      <c r="AE1371" s="55"/>
      <c r="AF1371" s="55"/>
      <c r="AG1371" s="55"/>
      <c r="AH1371" s="55"/>
      <c r="AI1371" s="55"/>
      <c r="AJ1371" s="55"/>
      <c r="AK1371" s="55"/>
      <c r="AL1371" s="55"/>
      <c r="AM1371" s="55"/>
      <c r="AN1371" s="55"/>
      <c r="AO1371" s="55"/>
      <c r="AP1371" s="55"/>
      <c r="AQ1371" s="55"/>
      <c r="AR1371" s="55"/>
      <c r="AS1371" s="55"/>
      <c r="AT1371" s="55"/>
      <c r="AU1371" s="55"/>
      <c r="AV1371" s="55"/>
      <c r="AW1371" s="55"/>
      <c r="AX1371" s="55"/>
      <c r="AY1371" s="55"/>
      <c r="AZ1371" s="55"/>
    </row>
    <row r="1372" spans="1:52" ht="12.75" customHeight="1" x14ac:dyDescent="0.2">
      <c r="A1372" s="55"/>
      <c r="B1372" s="76"/>
      <c r="C1372" s="77"/>
      <c r="D1372" s="77"/>
      <c r="E1372" s="55"/>
      <c r="F1372" s="55"/>
      <c r="G1372" s="55"/>
      <c r="H1372" s="55"/>
      <c r="I1372" s="55"/>
      <c r="J1372" s="55"/>
      <c r="K1372" s="55"/>
      <c r="L1372" s="55"/>
      <c r="M1372" s="55"/>
      <c r="N1372" s="55"/>
      <c r="O1372" s="55"/>
      <c r="P1372" s="55"/>
      <c r="Q1372" s="55"/>
      <c r="R1372" s="55"/>
      <c r="S1372" s="55"/>
      <c r="T1372" s="55"/>
      <c r="U1372" s="55"/>
      <c r="V1372" s="55"/>
      <c r="W1372" s="55"/>
      <c r="X1372" s="55"/>
      <c r="Y1372" s="55"/>
      <c r="Z1372" s="55"/>
      <c r="AA1372" s="55"/>
      <c r="AB1372" s="55"/>
      <c r="AC1372" s="55"/>
      <c r="AD1372" s="55"/>
      <c r="AE1372" s="55"/>
      <c r="AF1372" s="55"/>
      <c r="AG1372" s="55"/>
      <c r="AH1372" s="55"/>
      <c r="AI1372" s="55"/>
      <c r="AJ1372" s="55"/>
      <c r="AK1372" s="55"/>
      <c r="AL1372" s="55"/>
      <c r="AM1372" s="55"/>
      <c r="AN1372" s="55"/>
      <c r="AO1372" s="55"/>
      <c r="AP1372" s="55"/>
      <c r="AQ1372" s="55"/>
      <c r="AR1372" s="55"/>
      <c r="AS1372" s="55"/>
      <c r="AT1372" s="55"/>
      <c r="AU1372" s="55"/>
      <c r="AV1372" s="55"/>
      <c r="AW1372" s="55"/>
      <c r="AX1372" s="55"/>
      <c r="AY1372" s="55"/>
      <c r="AZ1372" s="55"/>
    </row>
    <row r="1373" spans="1:52" ht="12.75" customHeight="1" x14ac:dyDescent="0.2">
      <c r="A1373" s="55"/>
      <c r="B1373" s="76"/>
      <c r="C1373" s="77"/>
      <c r="D1373" s="77"/>
      <c r="E1373" s="55"/>
      <c r="F1373" s="55"/>
      <c r="G1373" s="55"/>
      <c r="H1373" s="55"/>
      <c r="I1373" s="55"/>
      <c r="J1373" s="55"/>
      <c r="K1373" s="55"/>
      <c r="L1373" s="55"/>
      <c r="M1373" s="55"/>
      <c r="N1373" s="55"/>
      <c r="O1373" s="55"/>
      <c r="P1373" s="55"/>
      <c r="Q1373" s="55"/>
      <c r="R1373" s="55"/>
      <c r="S1373" s="55"/>
      <c r="T1373" s="55"/>
      <c r="U1373" s="55"/>
      <c r="V1373" s="55"/>
      <c r="W1373" s="55"/>
      <c r="X1373" s="55"/>
      <c r="Y1373" s="55"/>
      <c r="Z1373" s="55"/>
      <c r="AA1373" s="55"/>
      <c r="AB1373" s="55"/>
      <c r="AC1373" s="55"/>
      <c r="AD1373" s="55"/>
      <c r="AE1373" s="55"/>
      <c r="AF1373" s="55"/>
      <c r="AG1373" s="55"/>
      <c r="AH1373" s="55"/>
      <c r="AI1373" s="55"/>
      <c r="AJ1373" s="55"/>
      <c r="AK1373" s="55"/>
      <c r="AL1373" s="55"/>
      <c r="AM1373" s="55"/>
      <c r="AN1373" s="55"/>
      <c r="AO1373" s="55"/>
      <c r="AP1373" s="55"/>
      <c r="AQ1373" s="55"/>
      <c r="AR1373" s="55"/>
      <c r="AS1373" s="55"/>
      <c r="AT1373" s="55"/>
      <c r="AU1373" s="55"/>
      <c r="AV1373" s="55"/>
      <c r="AW1373" s="55"/>
      <c r="AX1373" s="55"/>
      <c r="AY1373" s="55"/>
      <c r="AZ1373" s="55"/>
    </row>
    <row r="1374" spans="1:52" ht="12.75" customHeight="1" x14ac:dyDescent="0.2">
      <c r="A1374" s="55"/>
      <c r="B1374" s="76"/>
      <c r="C1374" s="77"/>
      <c r="D1374" s="77"/>
      <c r="E1374" s="55"/>
      <c r="F1374" s="55"/>
      <c r="G1374" s="55"/>
      <c r="H1374" s="55"/>
      <c r="I1374" s="55"/>
      <c r="J1374" s="55"/>
      <c r="K1374" s="55"/>
      <c r="L1374" s="55"/>
      <c r="M1374" s="55"/>
      <c r="N1374" s="55"/>
      <c r="O1374" s="55"/>
      <c r="P1374" s="55"/>
      <c r="Q1374" s="55"/>
      <c r="R1374" s="55"/>
      <c r="S1374" s="55"/>
      <c r="T1374" s="55"/>
      <c r="U1374" s="55"/>
      <c r="V1374" s="55"/>
      <c r="W1374" s="55"/>
      <c r="X1374" s="55"/>
      <c r="Y1374" s="55"/>
      <c r="Z1374" s="55"/>
      <c r="AA1374" s="55"/>
      <c r="AB1374" s="55"/>
      <c r="AC1374" s="55"/>
      <c r="AD1374" s="55"/>
      <c r="AE1374" s="55"/>
      <c r="AF1374" s="55"/>
      <c r="AG1374" s="55"/>
      <c r="AH1374" s="55"/>
      <c r="AI1374" s="55"/>
      <c r="AJ1374" s="55"/>
      <c r="AK1374" s="55"/>
      <c r="AL1374" s="55"/>
      <c r="AM1374" s="55"/>
      <c r="AN1374" s="55"/>
      <c r="AO1374" s="55"/>
      <c r="AP1374" s="55"/>
      <c r="AQ1374" s="55"/>
      <c r="AR1374" s="55"/>
      <c r="AS1374" s="55"/>
      <c r="AT1374" s="55"/>
      <c r="AU1374" s="55"/>
      <c r="AV1374" s="55"/>
      <c r="AW1374" s="55"/>
      <c r="AX1374" s="55"/>
      <c r="AY1374" s="55"/>
      <c r="AZ1374" s="55"/>
    </row>
    <row r="1375" spans="1:52" ht="12.75" customHeight="1" x14ac:dyDescent="0.2">
      <c r="A1375" s="55"/>
      <c r="B1375" s="76"/>
      <c r="C1375" s="77"/>
      <c r="D1375" s="77"/>
      <c r="E1375" s="55"/>
      <c r="F1375" s="55"/>
      <c r="G1375" s="55"/>
      <c r="H1375" s="55"/>
      <c r="I1375" s="55"/>
      <c r="J1375" s="55"/>
      <c r="K1375" s="55"/>
      <c r="L1375" s="55"/>
      <c r="M1375" s="55"/>
      <c r="N1375" s="55"/>
      <c r="O1375" s="55"/>
      <c r="P1375" s="55"/>
      <c r="Q1375" s="55"/>
      <c r="R1375" s="55"/>
      <c r="S1375" s="55"/>
      <c r="T1375" s="55"/>
      <c r="U1375" s="55"/>
      <c r="V1375" s="55"/>
      <c r="W1375" s="55"/>
      <c r="X1375" s="55"/>
      <c r="Y1375" s="55"/>
      <c r="Z1375" s="55"/>
      <c r="AA1375" s="55"/>
      <c r="AB1375" s="55"/>
      <c r="AC1375" s="55"/>
      <c r="AD1375" s="55"/>
      <c r="AE1375" s="55"/>
      <c r="AF1375" s="55"/>
      <c r="AG1375" s="55"/>
      <c r="AH1375" s="55"/>
      <c r="AI1375" s="55"/>
      <c r="AJ1375" s="55"/>
      <c r="AK1375" s="55"/>
      <c r="AL1375" s="55"/>
      <c r="AM1375" s="55"/>
      <c r="AN1375" s="55"/>
      <c r="AO1375" s="55"/>
      <c r="AP1375" s="55"/>
      <c r="AQ1375" s="55"/>
      <c r="AR1375" s="55"/>
      <c r="AS1375" s="55"/>
      <c r="AT1375" s="55"/>
      <c r="AU1375" s="55"/>
      <c r="AV1375" s="55"/>
      <c r="AW1375" s="55"/>
      <c r="AX1375" s="55"/>
      <c r="AY1375" s="55"/>
      <c r="AZ1375" s="55"/>
    </row>
    <row r="1376" spans="1:52" ht="12.75" customHeight="1" x14ac:dyDescent="0.2">
      <c r="A1376" s="55"/>
      <c r="B1376" s="76"/>
      <c r="C1376" s="77"/>
      <c r="D1376" s="77"/>
      <c r="E1376" s="55"/>
      <c r="F1376" s="55"/>
      <c r="G1376" s="55"/>
      <c r="H1376" s="55"/>
      <c r="I1376" s="55"/>
      <c r="J1376" s="55"/>
      <c r="K1376" s="55"/>
      <c r="L1376" s="55"/>
      <c r="M1376" s="55"/>
      <c r="N1376" s="55"/>
      <c r="O1376" s="55"/>
      <c r="P1376" s="55"/>
      <c r="Q1376" s="55"/>
      <c r="R1376" s="55"/>
      <c r="S1376" s="55"/>
      <c r="T1376" s="55"/>
      <c r="U1376" s="55"/>
      <c r="V1376" s="55"/>
      <c r="W1376" s="55"/>
      <c r="X1376" s="55"/>
      <c r="Y1376" s="55"/>
      <c r="Z1376" s="55"/>
      <c r="AA1376" s="55"/>
      <c r="AB1376" s="55"/>
      <c r="AC1376" s="55"/>
      <c r="AD1376" s="55"/>
      <c r="AE1376" s="55"/>
      <c r="AF1376" s="55"/>
      <c r="AG1376" s="55"/>
      <c r="AH1376" s="55"/>
      <c r="AI1376" s="55"/>
      <c r="AJ1376" s="55"/>
      <c r="AK1376" s="55"/>
      <c r="AL1376" s="55"/>
      <c r="AM1376" s="55"/>
      <c r="AN1376" s="55"/>
      <c r="AO1376" s="55"/>
      <c r="AP1376" s="55"/>
      <c r="AQ1376" s="55"/>
      <c r="AR1376" s="55"/>
      <c r="AS1376" s="55"/>
      <c r="AT1376" s="55"/>
      <c r="AU1376" s="55"/>
      <c r="AV1376" s="55"/>
      <c r="AW1376" s="55"/>
      <c r="AX1376" s="55"/>
      <c r="AY1376" s="55"/>
      <c r="AZ1376" s="55"/>
    </row>
    <row r="1377" spans="1:52" ht="12.75" customHeight="1" x14ac:dyDescent="0.2">
      <c r="A1377" s="55"/>
      <c r="B1377" s="76"/>
      <c r="C1377" s="77"/>
      <c r="D1377" s="77"/>
      <c r="E1377" s="55"/>
      <c r="F1377" s="55"/>
      <c r="G1377" s="55"/>
      <c r="H1377" s="55"/>
      <c r="I1377" s="55"/>
      <c r="J1377" s="55"/>
      <c r="K1377" s="55"/>
      <c r="L1377" s="55"/>
      <c r="M1377" s="55"/>
      <c r="N1377" s="55"/>
      <c r="O1377" s="55"/>
      <c r="P1377" s="55"/>
      <c r="Q1377" s="55"/>
      <c r="R1377" s="55"/>
      <c r="S1377" s="55"/>
      <c r="T1377" s="55"/>
      <c r="U1377" s="55"/>
      <c r="V1377" s="55"/>
      <c r="W1377" s="55"/>
      <c r="X1377" s="55"/>
      <c r="Y1377" s="55"/>
      <c r="Z1377" s="55"/>
      <c r="AA1377" s="55"/>
      <c r="AB1377" s="55"/>
      <c r="AC1377" s="55"/>
      <c r="AD1377" s="55"/>
      <c r="AE1377" s="55"/>
      <c r="AF1377" s="55"/>
      <c r="AG1377" s="55"/>
      <c r="AH1377" s="55"/>
      <c r="AI1377" s="55"/>
      <c r="AJ1377" s="55"/>
      <c r="AK1377" s="55"/>
      <c r="AL1377" s="55"/>
      <c r="AM1377" s="55"/>
      <c r="AN1377" s="55"/>
      <c r="AO1377" s="55"/>
      <c r="AP1377" s="55"/>
      <c r="AQ1377" s="55"/>
      <c r="AR1377" s="55"/>
      <c r="AS1377" s="55"/>
      <c r="AT1377" s="55"/>
      <c r="AU1377" s="55"/>
      <c r="AV1377" s="55"/>
      <c r="AW1377" s="55"/>
      <c r="AX1377" s="55"/>
      <c r="AY1377" s="55"/>
      <c r="AZ1377" s="55"/>
    </row>
    <row r="1378" spans="1:52" ht="12.75" customHeight="1" x14ac:dyDescent="0.2">
      <c r="A1378" s="55"/>
      <c r="B1378" s="76"/>
      <c r="C1378" s="77"/>
      <c r="D1378" s="77"/>
      <c r="E1378" s="55"/>
      <c r="F1378" s="55"/>
      <c r="G1378" s="55"/>
      <c r="H1378" s="55"/>
      <c r="I1378" s="55"/>
      <c r="J1378" s="55"/>
      <c r="K1378" s="55"/>
      <c r="L1378" s="55"/>
      <c r="M1378" s="55"/>
      <c r="N1378" s="55"/>
      <c r="O1378" s="55"/>
      <c r="P1378" s="55"/>
      <c r="Q1378" s="55"/>
      <c r="R1378" s="55"/>
      <c r="S1378" s="55"/>
      <c r="T1378" s="55"/>
      <c r="U1378" s="55"/>
      <c r="V1378" s="55"/>
      <c r="W1378" s="55"/>
      <c r="X1378" s="55"/>
      <c r="Y1378" s="55"/>
      <c r="Z1378" s="55"/>
      <c r="AA1378" s="55"/>
      <c r="AB1378" s="55"/>
      <c r="AC1378" s="55"/>
      <c r="AD1378" s="55"/>
      <c r="AE1378" s="55"/>
      <c r="AF1378" s="55"/>
      <c r="AG1378" s="55"/>
      <c r="AH1378" s="55"/>
      <c r="AI1378" s="55"/>
      <c r="AJ1378" s="55"/>
      <c r="AK1378" s="55"/>
      <c r="AL1378" s="55"/>
      <c r="AM1378" s="55"/>
      <c r="AN1378" s="55"/>
      <c r="AO1378" s="55"/>
      <c r="AP1378" s="55"/>
      <c r="AQ1378" s="55"/>
      <c r="AR1378" s="55"/>
      <c r="AS1378" s="55"/>
      <c r="AT1378" s="55"/>
      <c r="AU1378" s="55"/>
      <c r="AV1378" s="55"/>
      <c r="AW1378" s="55"/>
      <c r="AX1378" s="55"/>
      <c r="AY1378" s="55"/>
      <c r="AZ1378" s="55"/>
    </row>
    <row r="1379" spans="1:52" ht="12.75" customHeight="1" x14ac:dyDescent="0.2">
      <c r="A1379" s="55"/>
      <c r="B1379" s="76"/>
      <c r="C1379" s="77"/>
      <c r="D1379" s="77"/>
      <c r="E1379" s="55"/>
      <c r="F1379" s="55"/>
      <c r="G1379" s="55"/>
      <c r="H1379" s="55"/>
      <c r="I1379" s="55"/>
      <c r="J1379" s="55"/>
      <c r="K1379" s="55"/>
      <c r="L1379" s="55"/>
      <c r="M1379" s="55"/>
      <c r="N1379" s="55"/>
      <c r="O1379" s="55"/>
      <c r="P1379" s="55"/>
      <c r="Q1379" s="55"/>
      <c r="R1379" s="55"/>
      <c r="S1379" s="55"/>
      <c r="T1379" s="55"/>
      <c r="U1379" s="55"/>
      <c r="V1379" s="55"/>
      <c r="W1379" s="55"/>
      <c r="X1379" s="55"/>
      <c r="Y1379" s="55"/>
      <c r="Z1379" s="55"/>
      <c r="AA1379" s="55"/>
      <c r="AB1379" s="55"/>
      <c r="AC1379" s="55"/>
      <c r="AD1379" s="55"/>
      <c r="AE1379" s="55"/>
      <c r="AF1379" s="55"/>
      <c r="AG1379" s="55"/>
      <c r="AH1379" s="55"/>
      <c r="AI1379" s="55"/>
      <c r="AJ1379" s="55"/>
      <c r="AK1379" s="55"/>
      <c r="AL1379" s="55"/>
      <c r="AM1379" s="55"/>
      <c r="AN1379" s="55"/>
      <c r="AO1379" s="55"/>
      <c r="AP1379" s="55"/>
      <c r="AQ1379" s="55"/>
      <c r="AR1379" s="55"/>
      <c r="AS1379" s="55"/>
      <c r="AT1379" s="55"/>
      <c r="AU1379" s="55"/>
      <c r="AV1379" s="55"/>
      <c r="AW1379" s="55"/>
      <c r="AX1379" s="55"/>
      <c r="AY1379" s="55"/>
      <c r="AZ1379" s="55"/>
    </row>
    <row r="1380" spans="1:52" ht="12.75" customHeight="1" x14ac:dyDescent="0.2">
      <c r="A1380" s="55"/>
      <c r="B1380" s="76"/>
      <c r="C1380" s="77"/>
      <c r="D1380" s="77"/>
      <c r="E1380" s="55"/>
      <c r="F1380" s="55"/>
      <c r="G1380" s="55"/>
      <c r="H1380" s="55"/>
      <c r="I1380" s="55"/>
      <c r="J1380" s="55"/>
      <c r="K1380" s="55"/>
      <c r="L1380" s="55"/>
      <c r="M1380" s="55"/>
      <c r="N1380" s="55"/>
      <c r="O1380" s="55"/>
      <c r="P1380" s="55"/>
      <c r="Q1380" s="55"/>
      <c r="R1380" s="55"/>
      <c r="S1380" s="55"/>
      <c r="T1380" s="55"/>
      <c r="U1380" s="55"/>
      <c r="V1380" s="55"/>
      <c r="W1380" s="55"/>
      <c r="X1380" s="55"/>
      <c r="Y1380" s="55"/>
      <c r="Z1380" s="55"/>
      <c r="AA1380" s="55"/>
      <c r="AB1380" s="55"/>
      <c r="AC1380" s="55"/>
      <c r="AD1380" s="55"/>
      <c r="AE1380" s="55"/>
      <c r="AF1380" s="55"/>
      <c r="AG1380" s="55"/>
      <c r="AH1380" s="55"/>
      <c r="AI1380" s="55"/>
      <c r="AJ1380" s="55"/>
      <c r="AK1380" s="55"/>
      <c r="AL1380" s="55"/>
      <c r="AM1380" s="55"/>
      <c r="AN1380" s="55"/>
      <c r="AO1380" s="55"/>
      <c r="AP1380" s="55"/>
      <c r="AQ1380" s="55"/>
      <c r="AR1380" s="55"/>
      <c r="AS1380" s="55"/>
      <c r="AT1380" s="55"/>
      <c r="AU1380" s="55"/>
      <c r="AV1380" s="55"/>
      <c r="AW1380" s="55"/>
      <c r="AX1380" s="55"/>
      <c r="AY1380" s="55"/>
      <c r="AZ1380" s="55"/>
    </row>
    <row r="1381" spans="1:52" ht="12.75" customHeight="1" x14ac:dyDescent="0.2">
      <c r="A1381" s="55"/>
      <c r="B1381" s="76"/>
      <c r="C1381" s="77"/>
      <c r="D1381" s="77"/>
      <c r="E1381" s="55"/>
      <c r="F1381" s="55"/>
      <c r="G1381" s="55"/>
      <c r="H1381" s="55"/>
      <c r="I1381" s="55"/>
      <c r="J1381" s="55"/>
      <c r="K1381" s="55"/>
      <c r="L1381" s="55"/>
      <c r="M1381" s="55"/>
      <c r="N1381" s="55"/>
      <c r="O1381" s="55"/>
      <c r="P1381" s="55"/>
      <c r="Q1381" s="55"/>
      <c r="R1381" s="55"/>
      <c r="S1381" s="55"/>
      <c r="T1381" s="55"/>
      <c r="U1381" s="55"/>
      <c r="V1381" s="55"/>
      <c r="W1381" s="55"/>
      <c r="X1381" s="55"/>
      <c r="Y1381" s="55"/>
      <c r="Z1381" s="55"/>
      <c r="AA1381" s="55"/>
      <c r="AB1381" s="55"/>
      <c r="AC1381" s="55"/>
      <c r="AD1381" s="55"/>
      <c r="AE1381" s="55"/>
      <c r="AF1381" s="55"/>
      <c r="AG1381" s="55"/>
      <c r="AH1381" s="55"/>
      <c r="AI1381" s="55"/>
      <c r="AJ1381" s="55"/>
      <c r="AK1381" s="55"/>
      <c r="AL1381" s="55"/>
      <c r="AM1381" s="55"/>
      <c r="AN1381" s="55"/>
      <c r="AO1381" s="55"/>
      <c r="AP1381" s="55"/>
      <c r="AQ1381" s="55"/>
      <c r="AR1381" s="55"/>
      <c r="AS1381" s="55"/>
      <c r="AT1381" s="55"/>
      <c r="AU1381" s="55"/>
      <c r="AV1381" s="55"/>
      <c r="AW1381" s="55"/>
      <c r="AX1381" s="55"/>
      <c r="AY1381" s="55"/>
      <c r="AZ1381" s="55"/>
    </row>
    <row r="1382" spans="1:52" ht="12.75" customHeight="1" x14ac:dyDescent="0.2">
      <c r="A1382" s="55"/>
      <c r="B1382" s="76"/>
      <c r="C1382" s="77"/>
      <c r="D1382" s="77"/>
      <c r="E1382" s="55"/>
      <c r="F1382" s="55"/>
      <c r="G1382" s="55"/>
      <c r="H1382" s="55"/>
      <c r="I1382" s="55"/>
      <c r="J1382" s="55"/>
      <c r="K1382" s="55"/>
      <c r="L1382" s="55"/>
      <c r="M1382" s="55"/>
      <c r="N1382" s="55"/>
      <c r="O1382" s="55"/>
      <c r="P1382" s="55"/>
      <c r="Q1382" s="55"/>
      <c r="R1382" s="55"/>
      <c r="S1382" s="55"/>
      <c r="T1382" s="55"/>
      <c r="U1382" s="55"/>
      <c r="V1382" s="55"/>
      <c r="W1382" s="55"/>
      <c r="X1382" s="55"/>
      <c r="Y1382" s="55"/>
      <c r="Z1382" s="55"/>
      <c r="AA1382" s="55"/>
      <c r="AB1382" s="55"/>
      <c r="AC1382" s="55"/>
      <c r="AD1382" s="55"/>
      <c r="AE1382" s="55"/>
      <c r="AF1382" s="55"/>
      <c r="AG1382" s="55"/>
      <c r="AH1382" s="55"/>
      <c r="AI1382" s="55"/>
      <c r="AJ1382" s="55"/>
      <c r="AK1382" s="55"/>
      <c r="AL1382" s="55"/>
      <c r="AM1382" s="55"/>
      <c r="AN1382" s="55"/>
      <c r="AO1382" s="55"/>
      <c r="AP1382" s="55"/>
      <c r="AQ1382" s="55"/>
      <c r="AR1382" s="55"/>
      <c r="AS1382" s="55"/>
      <c r="AT1382" s="55"/>
      <c r="AU1382" s="55"/>
      <c r="AV1382" s="55"/>
      <c r="AW1382" s="55"/>
      <c r="AX1382" s="55"/>
      <c r="AY1382" s="55"/>
      <c r="AZ1382" s="55"/>
    </row>
    <row r="1383" spans="1:52" ht="12.75" customHeight="1" x14ac:dyDescent="0.2">
      <c r="A1383" s="55"/>
      <c r="B1383" s="76"/>
      <c r="C1383" s="77"/>
      <c r="D1383" s="77"/>
      <c r="E1383" s="55"/>
      <c r="F1383" s="55"/>
      <c r="G1383" s="55"/>
      <c r="H1383" s="55"/>
      <c r="I1383" s="55"/>
      <c r="J1383" s="55"/>
      <c r="K1383" s="55"/>
      <c r="L1383" s="55"/>
      <c r="M1383" s="55"/>
      <c r="N1383" s="55"/>
      <c r="O1383" s="55"/>
      <c r="P1383" s="55"/>
      <c r="Q1383" s="55"/>
      <c r="R1383" s="55"/>
      <c r="S1383" s="55"/>
      <c r="T1383" s="55"/>
      <c r="U1383" s="55"/>
      <c r="V1383" s="55"/>
      <c r="W1383" s="55"/>
      <c r="X1383" s="55"/>
      <c r="Y1383" s="55"/>
      <c r="Z1383" s="55"/>
      <c r="AA1383" s="55"/>
      <c r="AB1383" s="55"/>
      <c r="AC1383" s="55"/>
      <c r="AD1383" s="55"/>
      <c r="AE1383" s="55"/>
      <c r="AF1383" s="55"/>
      <c r="AG1383" s="55"/>
      <c r="AH1383" s="55"/>
      <c r="AI1383" s="55"/>
      <c r="AJ1383" s="55"/>
      <c r="AK1383" s="55"/>
      <c r="AL1383" s="55"/>
      <c r="AM1383" s="55"/>
      <c r="AN1383" s="55"/>
      <c r="AO1383" s="55"/>
      <c r="AP1383" s="55"/>
      <c r="AQ1383" s="55"/>
      <c r="AR1383" s="55"/>
      <c r="AS1383" s="55"/>
      <c r="AT1383" s="55"/>
      <c r="AU1383" s="55"/>
      <c r="AV1383" s="55"/>
      <c r="AW1383" s="55"/>
      <c r="AX1383" s="55"/>
      <c r="AY1383" s="55"/>
      <c r="AZ1383" s="55"/>
    </row>
    <row r="1384" spans="1:52" ht="12.75" customHeight="1" x14ac:dyDescent="0.2">
      <c r="A1384" s="55"/>
      <c r="B1384" s="76"/>
      <c r="C1384" s="77"/>
      <c r="D1384" s="77"/>
      <c r="E1384" s="55"/>
      <c r="F1384" s="55"/>
      <c r="G1384" s="55"/>
      <c r="H1384" s="55"/>
      <c r="I1384" s="55"/>
      <c r="J1384" s="55"/>
      <c r="K1384" s="55"/>
      <c r="L1384" s="55"/>
      <c r="M1384" s="55"/>
      <c r="N1384" s="55"/>
      <c r="O1384" s="55"/>
      <c r="P1384" s="55"/>
      <c r="Q1384" s="55"/>
      <c r="R1384" s="55"/>
      <c r="S1384" s="55"/>
      <c r="T1384" s="55"/>
      <c r="U1384" s="55"/>
      <c r="V1384" s="55"/>
      <c r="W1384" s="55"/>
      <c r="X1384" s="55"/>
      <c r="Y1384" s="55"/>
      <c r="Z1384" s="55"/>
      <c r="AA1384" s="55"/>
      <c r="AB1384" s="55"/>
      <c r="AC1384" s="55"/>
      <c r="AD1384" s="55"/>
      <c r="AE1384" s="55"/>
      <c r="AF1384" s="55"/>
      <c r="AG1384" s="55"/>
      <c r="AH1384" s="55"/>
      <c r="AI1384" s="55"/>
      <c r="AJ1384" s="55"/>
      <c r="AK1384" s="55"/>
      <c r="AL1384" s="55"/>
      <c r="AM1384" s="55"/>
      <c r="AN1384" s="55"/>
      <c r="AO1384" s="55"/>
      <c r="AP1384" s="55"/>
      <c r="AQ1384" s="55"/>
      <c r="AR1384" s="55"/>
      <c r="AS1384" s="55"/>
      <c r="AT1384" s="55"/>
      <c r="AU1384" s="55"/>
      <c r="AV1384" s="55"/>
      <c r="AW1384" s="55"/>
      <c r="AX1384" s="55"/>
      <c r="AY1384" s="55"/>
      <c r="AZ1384" s="55"/>
    </row>
    <row r="1385" spans="1:52" ht="12.75" customHeight="1" x14ac:dyDescent="0.2">
      <c r="A1385" s="55"/>
      <c r="B1385" s="76"/>
      <c r="C1385" s="77"/>
      <c r="D1385" s="77"/>
      <c r="E1385" s="55"/>
      <c r="F1385" s="55"/>
      <c r="G1385" s="55"/>
      <c r="H1385" s="55"/>
      <c r="I1385" s="55"/>
      <c r="J1385" s="55"/>
      <c r="K1385" s="55"/>
      <c r="L1385" s="55"/>
      <c r="M1385" s="55"/>
      <c r="N1385" s="55"/>
      <c r="O1385" s="55"/>
      <c r="P1385" s="55"/>
      <c r="Q1385" s="55"/>
      <c r="R1385" s="55"/>
      <c r="S1385" s="55"/>
      <c r="T1385" s="55"/>
      <c r="U1385" s="55"/>
      <c r="V1385" s="55"/>
      <c r="W1385" s="55"/>
      <c r="X1385" s="55"/>
      <c r="Y1385" s="55"/>
      <c r="Z1385" s="55"/>
      <c r="AA1385" s="55"/>
      <c r="AB1385" s="55"/>
      <c r="AC1385" s="55"/>
      <c r="AD1385" s="55"/>
      <c r="AE1385" s="55"/>
      <c r="AF1385" s="55"/>
      <c r="AG1385" s="55"/>
      <c r="AH1385" s="55"/>
      <c r="AI1385" s="55"/>
      <c r="AJ1385" s="55"/>
      <c r="AK1385" s="55"/>
      <c r="AL1385" s="55"/>
      <c r="AM1385" s="55"/>
      <c r="AN1385" s="55"/>
      <c r="AO1385" s="55"/>
      <c r="AP1385" s="55"/>
      <c r="AQ1385" s="55"/>
      <c r="AR1385" s="55"/>
      <c r="AS1385" s="55"/>
      <c r="AT1385" s="55"/>
      <c r="AU1385" s="55"/>
      <c r="AV1385" s="55"/>
      <c r="AW1385" s="55"/>
      <c r="AX1385" s="55"/>
      <c r="AY1385" s="55"/>
      <c r="AZ1385" s="55"/>
    </row>
    <row r="1386" spans="1:52" ht="12.75" customHeight="1" x14ac:dyDescent="0.2">
      <c r="A1386" s="55"/>
      <c r="B1386" s="76"/>
      <c r="C1386" s="77"/>
      <c r="D1386" s="77"/>
      <c r="E1386" s="55"/>
      <c r="F1386" s="55"/>
      <c r="G1386" s="55"/>
      <c r="H1386" s="55"/>
      <c r="I1386" s="55"/>
      <c r="J1386" s="55"/>
      <c r="K1386" s="55"/>
      <c r="L1386" s="55"/>
      <c r="M1386" s="55"/>
      <c r="N1386" s="55"/>
      <c r="O1386" s="55"/>
      <c r="P1386" s="55"/>
      <c r="Q1386" s="55"/>
      <c r="R1386" s="55"/>
      <c r="S1386" s="55"/>
      <c r="T1386" s="55"/>
      <c r="U1386" s="55"/>
      <c r="V1386" s="55"/>
      <c r="W1386" s="55"/>
      <c r="X1386" s="55"/>
      <c r="Y1386" s="55"/>
      <c r="Z1386" s="55"/>
      <c r="AA1386" s="55"/>
      <c r="AB1386" s="55"/>
      <c r="AC1386" s="55"/>
      <c r="AD1386" s="55"/>
      <c r="AE1386" s="55"/>
      <c r="AF1386" s="55"/>
      <c r="AG1386" s="55"/>
      <c r="AH1386" s="55"/>
      <c r="AI1386" s="55"/>
      <c r="AJ1386" s="55"/>
      <c r="AK1386" s="55"/>
      <c r="AL1386" s="55"/>
      <c r="AM1386" s="55"/>
      <c r="AN1386" s="55"/>
      <c r="AO1386" s="55"/>
      <c r="AP1386" s="55"/>
      <c r="AQ1386" s="55"/>
      <c r="AR1386" s="55"/>
      <c r="AS1386" s="55"/>
      <c r="AT1386" s="55"/>
      <c r="AU1386" s="55"/>
      <c r="AV1386" s="55"/>
      <c r="AW1386" s="55"/>
      <c r="AX1386" s="55"/>
      <c r="AY1386" s="55"/>
      <c r="AZ1386" s="55"/>
    </row>
    <row r="1387" spans="1:52" ht="12.75" customHeight="1" x14ac:dyDescent="0.2">
      <c r="A1387" s="55"/>
      <c r="B1387" s="76"/>
      <c r="C1387" s="77"/>
      <c r="D1387" s="77"/>
      <c r="E1387" s="55"/>
      <c r="F1387" s="55"/>
      <c r="G1387" s="55"/>
      <c r="H1387" s="55"/>
      <c r="I1387" s="55"/>
      <c r="J1387" s="55"/>
      <c r="K1387" s="55"/>
      <c r="L1387" s="55"/>
      <c r="M1387" s="55"/>
      <c r="N1387" s="55"/>
      <c r="O1387" s="55"/>
      <c r="P1387" s="55"/>
      <c r="Q1387" s="55"/>
      <c r="R1387" s="55"/>
      <c r="S1387" s="55"/>
      <c r="T1387" s="55"/>
      <c r="U1387" s="55"/>
      <c r="V1387" s="55"/>
      <c r="W1387" s="55"/>
      <c r="X1387" s="55"/>
      <c r="Y1387" s="55"/>
      <c r="Z1387" s="55"/>
      <c r="AA1387" s="55"/>
      <c r="AB1387" s="55"/>
      <c r="AC1387" s="55"/>
      <c r="AD1387" s="55"/>
      <c r="AE1387" s="55"/>
      <c r="AF1387" s="55"/>
      <c r="AG1387" s="55"/>
      <c r="AH1387" s="55"/>
      <c r="AI1387" s="55"/>
      <c r="AJ1387" s="55"/>
      <c r="AK1387" s="55"/>
      <c r="AL1387" s="55"/>
      <c r="AM1387" s="55"/>
      <c r="AN1387" s="55"/>
      <c r="AO1387" s="55"/>
      <c r="AP1387" s="55"/>
      <c r="AQ1387" s="55"/>
      <c r="AR1387" s="55"/>
      <c r="AS1387" s="55"/>
      <c r="AT1387" s="55"/>
      <c r="AU1387" s="55"/>
      <c r="AV1387" s="55"/>
      <c r="AW1387" s="55"/>
      <c r="AX1387" s="55"/>
      <c r="AY1387" s="55"/>
      <c r="AZ1387" s="55"/>
    </row>
    <row r="1388" spans="1:52" ht="12.75" customHeight="1" x14ac:dyDescent="0.2">
      <c r="A1388" s="55"/>
      <c r="B1388" s="76"/>
      <c r="C1388" s="77"/>
      <c r="D1388" s="77"/>
      <c r="E1388" s="55"/>
      <c r="F1388" s="55"/>
      <c r="G1388" s="55"/>
      <c r="H1388" s="55"/>
      <c r="I1388" s="55"/>
      <c r="J1388" s="55"/>
      <c r="K1388" s="55"/>
      <c r="L1388" s="55"/>
      <c r="M1388" s="55"/>
      <c r="N1388" s="55"/>
      <c r="O1388" s="55"/>
      <c r="P1388" s="55"/>
      <c r="Q1388" s="55"/>
      <c r="R1388" s="55"/>
      <c r="S1388" s="55"/>
      <c r="T1388" s="55"/>
      <c r="U1388" s="55"/>
      <c r="V1388" s="55"/>
      <c r="W1388" s="55"/>
      <c r="X1388" s="55"/>
      <c r="Y1388" s="55"/>
      <c r="Z1388" s="55"/>
      <c r="AA1388" s="55"/>
      <c r="AB1388" s="55"/>
      <c r="AC1388" s="55"/>
      <c r="AD1388" s="55"/>
      <c r="AE1388" s="55"/>
      <c r="AF1388" s="55"/>
      <c r="AG1388" s="55"/>
      <c r="AH1388" s="55"/>
      <c r="AI1388" s="55"/>
      <c r="AJ1388" s="55"/>
      <c r="AK1388" s="55"/>
      <c r="AL1388" s="55"/>
      <c r="AM1388" s="55"/>
      <c r="AN1388" s="55"/>
      <c r="AO1388" s="55"/>
      <c r="AP1388" s="55"/>
      <c r="AQ1388" s="55"/>
      <c r="AR1388" s="55"/>
      <c r="AS1388" s="55"/>
      <c r="AT1388" s="55"/>
      <c r="AU1388" s="55"/>
      <c r="AV1388" s="55"/>
      <c r="AW1388" s="55"/>
      <c r="AX1388" s="55"/>
      <c r="AY1388" s="55"/>
      <c r="AZ1388" s="55"/>
    </row>
    <row r="1389" spans="1:52" ht="12.75" customHeight="1" x14ac:dyDescent="0.2">
      <c r="A1389" s="55"/>
      <c r="B1389" s="76"/>
      <c r="C1389" s="77"/>
      <c r="D1389" s="77"/>
      <c r="E1389" s="55"/>
      <c r="F1389" s="55"/>
      <c r="G1389" s="55"/>
      <c r="H1389" s="55"/>
      <c r="I1389" s="55"/>
      <c r="J1389" s="55"/>
      <c r="K1389" s="55"/>
      <c r="L1389" s="55"/>
      <c r="M1389" s="55"/>
      <c r="N1389" s="55"/>
      <c r="O1389" s="55"/>
      <c r="P1389" s="55"/>
      <c r="Q1389" s="55"/>
      <c r="R1389" s="55"/>
      <c r="S1389" s="55"/>
      <c r="T1389" s="55"/>
      <c r="U1389" s="55"/>
      <c r="V1389" s="55"/>
      <c r="W1389" s="55"/>
      <c r="X1389" s="55"/>
      <c r="Y1389" s="55"/>
      <c r="Z1389" s="55"/>
      <c r="AA1389" s="55"/>
      <c r="AB1389" s="55"/>
      <c r="AC1389" s="55"/>
      <c r="AD1389" s="55"/>
      <c r="AE1389" s="55"/>
      <c r="AF1389" s="55"/>
      <c r="AG1389" s="55"/>
      <c r="AH1389" s="55"/>
      <c r="AI1389" s="55"/>
      <c r="AJ1389" s="55"/>
      <c r="AK1389" s="55"/>
      <c r="AL1389" s="55"/>
      <c r="AM1389" s="55"/>
      <c r="AN1389" s="55"/>
      <c r="AO1389" s="55"/>
      <c r="AP1389" s="55"/>
      <c r="AQ1389" s="55"/>
      <c r="AR1389" s="55"/>
      <c r="AS1389" s="55"/>
      <c r="AT1389" s="55"/>
      <c r="AU1389" s="55"/>
      <c r="AV1389" s="55"/>
      <c r="AW1389" s="55"/>
      <c r="AX1389" s="55"/>
      <c r="AY1389" s="55"/>
      <c r="AZ1389" s="55"/>
    </row>
    <row r="1390" spans="1:52" ht="12.75" customHeight="1" x14ac:dyDescent="0.2">
      <c r="A1390" s="55"/>
      <c r="B1390" s="76"/>
      <c r="C1390" s="77"/>
      <c r="D1390" s="77"/>
      <c r="E1390" s="55"/>
      <c r="F1390" s="55"/>
      <c r="G1390" s="55"/>
      <c r="H1390" s="55"/>
      <c r="I1390" s="55"/>
      <c r="J1390" s="55"/>
      <c r="K1390" s="55"/>
      <c r="L1390" s="55"/>
      <c r="M1390" s="55"/>
      <c r="N1390" s="55"/>
      <c r="O1390" s="55"/>
      <c r="P1390" s="55"/>
      <c r="Q1390" s="55"/>
      <c r="R1390" s="55"/>
      <c r="S1390" s="55"/>
      <c r="T1390" s="55"/>
      <c r="U1390" s="55"/>
      <c r="V1390" s="55"/>
      <c r="W1390" s="55"/>
      <c r="X1390" s="55"/>
      <c r="Y1390" s="55"/>
      <c r="Z1390" s="55"/>
      <c r="AA1390" s="55"/>
      <c r="AB1390" s="55"/>
      <c r="AC1390" s="55"/>
      <c r="AD1390" s="55"/>
      <c r="AE1390" s="55"/>
      <c r="AF1390" s="55"/>
      <c r="AG1390" s="55"/>
      <c r="AH1390" s="55"/>
      <c r="AI1390" s="55"/>
      <c r="AJ1390" s="55"/>
      <c r="AK1390" s="55"/>
      <c r="AL1390" s="55"/>
      <c r="AM1390" s="55"/>
      <c r="AN1390" s="55"/>
      <c r="AO1390" s="55"/>
      <c r="AP1390" s="55"/>
      <c r="AQ1390" s="55"/>
      <c r="AR1390" s="55"/>
      <c r="AS1390" s="55"/>
      <c r="AT1390" s="55"/>
      <c r="AU1390" s="55"/>
      <c r="AV1390" s="55"/>
      <c r="AW1390" s="55"/>
      <c r="AX1390" s="55"/>
      <c r="AY1390" s="55"/>
      <c r="AZ1390" s="55"/>
    </row>
    <row r="1391" spans="1:52" ht="12.75" customHeight="1" x14ac:dyDescent="0.2">
      <c r="A1391" s="55"/>
      <c r="B1391" s="76"/>
      <c r="C1391" s="77"/>
      <c r="D1391" s="77"/>
      <c r="E1391" s="55"/>
      <c r="F1391" s="55"/>
      <c r="G1391" s="55"/>
      <c r="H1391" s="55"/>
      <c r="I1391" s="55"/>
      <c r="J1391" s="55"/>
      <c r="K1391" s="55"/>
      <c r="L1391" s="55"/>
      <c r="M1391" s="55"/>
      <c r="N1391" s="55"/>
      <c r="O1391" s="55"/>
      <c r="P1391" s="55"/>
      <c r="Q1391" s="55"/>
      <c r="R1391" s="55"/>
      <c r="S1391" s="55"/>
      <c r="T1391" s="55"/>
      <c r="U1391" s="55"/>
      <c r="V1391" s="55"/>
      <c r="W1391" s="55"/>
      <c r="X1391" s="55"/>
      <c r="Y1391" s="55"/>
      <c r="Z1391" s="55"/>
      <c r="AA1391" s="55"/>
      <c r="AB1391" s="55"/>
      <c r="AC1391" s="55"/>
      <c r="AD1391" s="55"/>
      <c r="AE1391" s="55"/>
      <c r="AF1391" s="55"/>
      <c r="AG1391" s="55"/>
      <c r="AH1391" s="55"/>
      <c r="AI1391" s="55"/>
      <c r="AJ1391" s="55"/>
      <c r="AK1391" s="55"/>
      <c r="AL1391" s="55"/>
      <c r="AM1391" s="55"/>
      <c r="AN1391" s="55"/>
      <c r="AO1391" s="55"/>
      <c r="AP1391" s="55"/>
      <c r="AQ1391" s="55"/>
      <c r="AR1391" s="55"/>
      <c r="AS1391" s="55"/>
      <c r="AT1391" s="55"/>
      <c r="AU1391" s="55"/>
      <c r="AV1391" s="55"/>
      <c r="AW1391" s="55"/>
      <c r="AX1391" s="55"/>
      <c r="AY1391" s="55"/>
      <c r="AZ1391" s="55"/>
    </row>
    <row r="1392" spans="1:52" ht="12.75" customHeight="1" x14ac:dyDescent="0.2">
      <c r="A1392" s="55"/>
      <c r="B1392" s="76"/>
      <c r="C1392" s="77"/>
      <c r="D1392" s="77"/>
      <c r="E1392" s="55"/>
      <c r="F1392" s="55"/>
      <c r="G1392" s="55"/>
      <c r="H1392" s="55"/>
      <c r="I1392" s="55"/>
      <c r="J1392" s="55"/>
      <c r="K1392" s="55"/>
      <c r="L1392" s="55"/>
      <c r="M1392" s="55"/>
      <c r="N1392" s="55"/>
      <c r="O1392" s="55"/>
      <c r="P1392" s="55"/>
      <c r="Q1392" s="55"/>
      <c r="R1392" s="55"/>
      <c r="S1392" s="55"/>
      <c r="T1392" s="55"/>
      <c r="U1392" s="55"/>
      <c r="V1392" s="55"/>
      <c r="W1392" s="55"/>
      <c r="X1392" s="55"/>
      <c r="Y1392" s="55"/>
      <c r="Z1392" s="55"/>
      <c r="AA1392" s="55"/>
      <c r="AB1392" s="55"/>
      <c r="AC1392" s="55"/>
      <c r="AD1392" s="55"/>
      <c r="AE1392" s="55"/>
      <c r="AF1392" s="55"/>
      <c r="AG1392" s="55"/>
      <c r="AH1392" s="55"/>
      <c r="AI1392" s="55"/>
      <c r="AJ1392" s="55"/>
      <c r="AK1392" s="55"/>
      <c r="AL1392" s="55"/>
      <c r="AM1392" s="55"/>
      <c r="AN1392" s="55"/>
      <c r="AO1392" s="55"/>
      <c r="AP1392" s="55"/>
      <c r="AQ1392" s="55"/>
      <c r="AR1392" s="55"/>
      <c r="AS1392" s="55"/>
      <c r="AT1392" s="55"/>
      <c r="AU1392" s="55"/>
      <c r="AV1392" s="55"/>
      <c r="AW1392" s="55"/>
      <c r="AX1392" s="55"/>
      <c r="AY1392" s="55"/>
      <c r="AZ1392" s="55"/>
    </row>
    <row r="1393" spans="1:52" ht="12.75" customHeight="1" x14ac:dyDescent="0.2">
      <c r="A1393" s="55"/>
      <c r="B1393" s="76"/>
      <c r="C1393" s="77"/>
      <c r="D1393" s="77"/>
      <c r="E1393" s="55"/>
      <c r="F1393" s="55"/>
      <c r="G1393" s="55"/>
      <c r="H1393" s="55"/>
      <c r="I1393" s="55"/>
      <c r="J1393" s="55"/>
      <c r="K1393" s="55"/>
      <c r="L1393" s="55"/>
      <c r="M1393" s="55"/>
      <c r="N1393" s="55"/>
      <c r="O1393" s="55"/>
      <c r="P1393" s="55"/>
      <c r="Q1393" s="55"/>
      <c r="R1393" s="55"/>
      <c r="S1393" s="55"/>
      <c r="T1393" s="55"/>
      <c r="U1393" s="55"/>
      <c r="V1393" s="55"/>
      <c r="W1393" s="55"/>
      <c r="X1393" s="55"/>
      <c r="Y1393" s="55"/>
      <c r="Z1393" s="55"/>
      <c r="AA1393" s="55"/>
      <c r="AB1393" s="55"/>
      <c r="AC1393" s="55"/>
      <c r="AD1393" s="55"/>
      <c r="AE1393" s="55"/>
      <c r="AF1393" s="55"/>
      <c r="AG1393" s="55"/>
      <c r="AH1393" s="55"/>
      <c r="AI1393" s="55"/>
      <c r="AJ1393" s="55"/>
      <c r="AK1393" s="55"/>
      <c r="AL1393" s="55"/>
      <c r="AM1393" s="55"/>
      <c r="AN1393" s="55"/>
      <c r="AO1393" s="55"/>
      <c r="AP1393" s="55"/>
      <c r="AQ1393" s="55"/>
      <c r="AR1393" s="55"/>
      <c r="AS1393" s="55"/>
      <c r="AT1393" s="55"/>
      <c r="AU1393" s="55"/>
      <c r="AV1393" s="55"/>
      <c r="AW1393" s="55"/>
      <c r="AX1393" s="55"/>
      <c r="AY1393" s="55"/>
      <c r="AZ1393" s="55"/>
    </row>
    <row r="1394" spans="1:52" ht="12.75" customHeight="1" x14ac:dyDescent="0.2">
      <c r="A1394" s="55"/>
      <c r="B1394" s="76"/>
      <c r="C1394" s="77"/>
      <c r="D1394" s="77"/>
      <c r="E1394" s="55"/>
      <c r="F1394" s="55"/>
      <c r="G1394" s="55"/>
      <c r="H1394" s="55"/>
      <c r="I1394" s="55"/>
      <c r="J1394" s="55"/>
      <c r="K1394" s="55"/>
      <c r="L1394" s="55"/>
      <c r="M1394" s="55"/>
      <c r="N1394" s="55"/>
      <c r="O1394" s="55"/>
      <c r="P1394" s="55"/>
      <c r="Q1394" s="55"/>
      <c r="R1394" s="55"/>
      <c r="S1394" s="55"/>
      <c r="T1394" s="55"/>
      <c r="U1394" s="55"/>
      <c r="V1394" s="55"/>
      <c r="W1394" s="55"/>
      <c r="X1394" s="55"/>
      <c r="Y1394" s="55"/>
      <c r="Z1394" s="55"/>
      <c r="AA1394" s="55"/>
      <c r="AB1394" s="55"/>
      <c r="AC1394" s="55"/>
      <c r="AD1394" s="55"/>
      <c r="AE1394" s="55"/>
      <c r="AF1394" s="55"/>
      <c r="AG1394" s="55"/>
      <c r="AH1394" s="55"/>
      <c r="AI1394" s="55"/>
      <c r="AJ1394" s="55"/>
      <c r="AK1394" s="55"/>
      <c r="AL1394" s="55"/>
      <c r="AM1394" s="55"/>
      <c r="AN1394" s="55"/>
      <c r="AO1394" s="55"/>
      <c r="AP1394" s="55"/>
      <c r="AQ1394" s="55"/>
      <c r="AR1394" s="55"/>
      <c r="AS1394" s="55"/>
      <c r="AT1394" s="55"/>
      <c r="AU1394" s="55"/>
      <c r="AV1394" s="55"/>
      <c r="AW1394" s="55"/>
      <c r="AX1394" s="55"/>
      <c r="AY1394" s="55"/>
      <c r="AZ1394" s="55"/>
    </row>
    <row r="1395" spans="1:52" ht="12.75" customHeight="1" x14ac:dyDescent="0.2">
      <c r="A1395" s="55"/>
      <c r="B1395" s="76"/>
      <c r="C1395" s="77"/>
      <c r="D1395" s="77"/>
      <c r="E1395" s="55"/>
      <c r="F1395" s="55"/>
      <c r="G1395" s="55"/>
      <c r="H1395" s="55"/>
      <c r="I1395" s="55"/>
      <c r="J1395" s="55"/>
      <c r="K1395" s="55"/>
      <c r="L1395" s="55"/>
      <c r="M1395" s="55"/>
      <c r="N1395" s="55"/>
      <c r="O1395" s="55"/>
      <c r="P1395" s="55"/>
      <c r="Q1395" s="55"/>
      <c r="R1395" s="55"/>
      <c r="S1395" s="55"/>
      <c r="T1395" s="55"/>
      <c r="U1395" s="55"/>
      <c r="V1395" s="55"/>
      <c r="W1395" s="55"/>
      <c r="X1395" s="55"/>
      <c r="Y1395" s="55"/>
      <c r="Z1395" s="55"/>
      <c r="AA1395" s="55"/>
      <c r="AB1395" s="55"/>
      <c r="AC1395" s="55"/>
      <c r="AD1395" s="55"/>
      <c r="AE1395" s="55"/>
      <c r="AF1395" s="55"/>
      <c r="AG1395" s="55"/>
      <c r="AH1395" s="55"/>
      <c r="AI1395" s="55"/>
      <c r="AJ1395" s="55"/>
      <c r="AK1395" s="55"/>
      <c r="AL1395" s="55"/>
      <c r="AM1395" s="55"/>
      <c r="AN1395" s="55"/>
      <c r="AO1395" s="55"/>
      <c r="AP1395" s="55"/>
      <c r="AQ1395" s="55"/>
      <c r="AR1395" s="55"/>
      <c r="AS1395" s="55"/>
      <c r="AT1395" s="55"/>
      <c r="AU1395" s="55"/>
      <c r="AV1395" s="55"/>
      <c r="AW1395" s="55"/>
      <c r="AX1395" s="55"/>
      <c r="AY1395" s="55"/>
      <c r="AZ1395" s="55"/>
    </row>
    <row r="1396" spans="1:52" ht="12.75" customHeight="1" x14ac:dyDescent="0.2">
      <c r="A1396" s="55"/>
      <c r="B1396" s="76"/>
      <c r="C1396" s="77"/>
      <c r="D1396" s="77"/>
      <c r="E1396" s="55"/>
      <c r="F1396" s="55"/>
      <c r="G1396" s="55"/>
      <c r="H1396" s="55"/>
      <c r="I1396" s="55"/>
      <c r="J1396" s="55"/>
      <c r="K1396" s="55"/>
      <c r="L1396" s="55"/>
      <c r="M1396" s="55"/>
      <c r="N1396" s="55"/>
      <c r="O1396" s="55"/>
      <c r="P1396" s="55"/>
      <c r="Q1396" s="55"/>
      <c r="R1396" s="55"/>
      <c r="S1396" s="55"/>
      <c r="T1396" s="55"/>
      <c r="U1396" s="55"/>
      <c r="V1396" s="55"/>
      <c r="W1396" s="55"/>
      <c r="X1396" s="55"/>
      <c r="Y1396" s="55"/>
      <c r="Z1396" s="55"/>
      <c r="AA1396" s="55"/>
      <c r="AB1396" s="55"/>
      <c r="AC1396" s="55"/>
      <c r="AD1396" s="55"/>
      <c r="AE1396" s="55"/>
      <c r="AF1396" s="55"/>
      <c r="AG1396" s="55"/>
      <c r="AH1396" s="55"/>
      <c r="AI1396" s="55"/>
      <c r="AJ1396" s="55"/>
      <c r="AK1396" s="55"/>
      <c r="AL1396" s="55"/>
      <c r="AM1396" s="55"/>
      <c r="AN1396" s="55"/>
      <c r="AO1396" s="55"/>
      <c r="AP1396" s="55"/>
      <c r="AQ1396" s="55"/>
      <c r="AR1396" s="55"/>
      <c r="AS1396" s="55"/>
      <c r="AT1396" s="55"/>
      <c r="AU1396" s="55"/>
      <c r="AV1396" s="55"/>
      <c r="AW1396" s="55"/>
      <c r="AX1396" s="55"/>
      <c r="AY1396" s="55"/>
      <c r="AZ1396" s="55"/>
    </row>
    <row r="1397" spans="1:52" ht="12.75" customHeight="1" x14ac:dyDescent="0.2">
      <c r="A1397" s="55"/>
      <c r="B1397" s="76"/>
      <c r="C1397" s="77"/>
      <c r="D1397" s="77"/>
      <c r="E1397" s="55"/>
      <c r="F1397" s="55"/>
      <c r="G1397" s="55"/>
      <c r="H1397" s="55"/>
      <c r="I1397" s="55"/>
      <c r="J1397" s="55"/>
      <c r="K1397" s="55"/>
      <c r="L1397" s="55"/>
      <c r="M1397" s="55"/>
      <c r="N1397" s="55"/>
      <c r="O1397" s="55"/>
      <c r="P1397" s="55"/>
      <c r="Q1397" s="55"/>
      <c r="R1397" s="55"/>
      <c r="S1397" s="55"/>
      <c r="T1397" s="55"/>
      <c r="U1397" s="55"/>
      <c r="V1397" s="55"/>
      <c r="W1397" s="55"/>
      <c r="X1397" s="55"/>
      <c r="Y1397" s="55"/>
      <c r="Z1397" s="55"/>
      <c r="AA1397" s="55"/>
      <c r="AB1397" s="55"/>
      <c r="AC1397" s="55"/>
      <c r="AD1397" s="55"/>
      <c r="AE1397" s="55"/>
      <c r="AF1397" s="55"/>
      <c r="AG1397" s="55"/>
      <c r="AH1397" s="55"/>
      <c r="AI1397" s="55"/>
      <c r="AJ1397" s="55"/>
      <c r="AK1397" s="55"/>
      <c r="AL1397" s="55"/>
      <c r="AM1397" s="55"/>
      <c r="AN1397" s="55"/>
      <c r="AO1397" s="55"/>
      <c r="AP1397" s="55"/>
      <c r="AQ1397" s="55"/>
      <c r="AR1397" s="55"/>
      <c r="AS1397" s="55"/>
      <c r="AT1397" s="55"/>
      <c r="AU1397" s="55"/>
      <c r="AV1397" s="55"/>
      <c r="AW1397" s="55"/>
      <c r="AX1397" s="55"/>
      <c r="AY1397" s="55"/>
      <c r="AZ1397" s="55"/>
    </row>
    <row r="1398" spans="1:52" ht="12.75" customHeight="1" x14ac:dyDescent="0.2">
      <c r="A1398" s="55"/>
      <c r="B1398" s="76"/>
      <c r="C1398" s="77"/>
      <c r="D1398" s="77"/>
      <c r="E1398" s="55"/>
      <c r="F1398" s="55"/>
      <c r="G1398" s="55"/>
      <c r="H1398" s="55"/>
      <c r="I1398" s="55"/>
      <c r="J1398" s="55"/>
      <c r="K1398" s="55"/>
      <c r="L1398" s="55"/>
      <c r="M1398" s="55"/>
      <c r="N1398" s="55"/>
      <c r="O1398" s="55"/>
      <c r="P1398" s="55"/>
      <c r="Q1398" s="55"/>
      <c r="R1398" s="55"/>
      <c r="S1398" s="55"/>
      <c r="T1398" s="55"/>
      <c r="U1398" s="55"/>
      <c r="V1398" s="55"/>
      <c r="W1398" s="55"/>
      <c r="X1398" s="55"/>
      <c r="Y1398" s="55"/>
      <c r="Z1398" s="55"/>
      <c r="AA1398" s="55"/>
      <c r="AB1398" s="55"/>
      <c r="AC1398" s="55"/>
      <c r="AD1398" s="55"/>
      <c r="AE1398" s="55"/>
      <c r="AF1398" s="55"/>
      <c r="AG1398" s="55"/>
      <c r="AH1398" s="55"/>
      <c r="AI1398" s="55"/>
      <c r="AJ1398" s="55"/>
      <c r="AK1398" s="55"/>
      <c r="AL1398" s="55"/>
      <c r="AM1398" s="55"/>
      <c r="AN1398" s="55"/>
      <c r="AO1398" s="55"/>
      <c r="AP1398" s="55"/>
      <c r="AQ1398" s="55"/>
      <c r="AR1398" s="55"/>
      <c r="AS1398" s="55"/>
      <c r="AT1398" s="55"/>
      <c r="AU1398" s="55"/>
      <c r="AV1398" s="55"/>
      <c r="AW1398" s="55"/>
      <c r="AX1398" s="55"/>
      <c r="AY1398" s="55"/>
      <c r="AZ1398" s="55"/>
    </row>
    <row r="1399" spans="1:52" ht="12.75" customHeight="1" x14ac:dyDescent="0.2">
      <c r="A1399" s="55"/>
      <c r="B1399" s="76"/>
      <c r="C1399" s="77"/>
      <c r="D1399" s="77"/>
      <c r="E1399" s="55"/>
      <c r="F1399" s="55"/>
      <c r="G1399" s="55"/>
      <c r="H1399" s="55"/>
      <c r="I1399" s="55"/>
      <c r="J1399" s="55"/>
      <c r="K1399" s="55"/>
      <c r="L1399" s="55"/>
      <c r="M1399" s="55"/>
      <c r="N1399" s="55"/>
      <c r="O1399" s="55"/>
      <c r="P1399" s="55"/>
      <c r="Q1399" s="55"/>
      <c r="R1399" s="55"/>
      <c r="S1399" s="55"/>
      <c r="T1399" s="55"/>
      <c r="U1399" s="55"/>
      <c r="V1399" s="55"/>
      <c r="W1399" s="55"/>
      <c r="X1399" s="55"/>
      <c r="Y1399" s="55"/>
      <c r="Z1399" s="55"/>
      <c r="AA1399" s="55"/>
      <c r="AB1399" s="55"/>
      <c r="AC1399" s="55"/>
      <c r="AD1399" s="55"/>
      <c r="AE1399" s="55"/>
      <c r="AF1399" s="55"/>
      <c r="AG1399" s="55"/>
      <c r="AH1399" s="55"/>
      <c r="AI1399" s="55"/>
      <c r="AJ1399" s="55"/>
      <c r="AK1399" s="55"/>
      <c r="AL1399" s="55"/>
      <c r="AM1399" s="55"/>
      <c r="AN1399" s="55"/>
      <c r="AO1399" s="55"/>
      <c r="AP1399" s="55"/>
      <c r="AQ1399" s="55"/>
      <c r="AR1399" s="55"/>
      <c r="AS1399" s="55"/>
      <c r="AT1399" s="55"/>
      <c r="AU1399" s="55"/>
      <c r="AV1399" s="55"/>
      <c r="AW1399" s="55"/>
      <c r="AX1399" s="55"/>
      <c r="AY1399" s="55"/>
      <c r="AZ1399" s="55"/>
    </row>
    <row r="1400" spans="1:52" ht="12.75" customHeight="1" x14ac:dyDescent="0.2">
      <c r="A1400" s="55"/>
      <c r="B1400" s="76"/>
      <c r="C1400" s="77"/>
      <c r="D1400" s="77"/>
      <c r="E1400" s="55"/>
      <c r="F1400" s="55"/>
      <c r="G1400" s="55"/>
      <c r="H1400" s="55"/>
      <c r="I1400" s="55"/>
      <c r="J1400" s="55"/>
      <c r="K1400" s="55"/>
      <c r="L1400" s="55"/>
      <c r="M1400" s="55"/>
      <c r="N1400" s="55"/>
      <c r="O1400" s="55"/>
      <c r="P1400" s="55"/>
      <c r="Q1400" s="55"/>
      <c r="R1400" s="55"/>
      <c r="S1400" s="55"/>
      <c r="T1400" s="55"/>
      <c r="U1400" s="55"/>
      <c r="V1400" s="55"/>
      <c r="W1400" s="55"/>
      <c r="X1400" s="55"/>
      <c r="Y1400" s="55"/>
      <c r="Z1400" s="55"/>
      <c r="AA1400" s="55"/>
      <c r="AB1400" s="55"/>
      <c r="AC1400" s="55"/>
      <c r="AD1400" s="55"/>
      <c r="AE1400" s="55"/>
      <c r="AF1400" s="55"/>
      <c r="AG1400" s="55"/>
      <c r="AH1400" s="55"/>
      <c r="AI1400" s="55"/>
      <c r="AJ1400" s="55"/>
      <c r="AK1400" s="55"/>
      <c r="AL1400" s="55"/>
      <c r="AM1400" s="55"/>
      <c r="AN1400" s="55"/>
      <c r="AO1400" s="55"/>
      <c r="AP1400" s="55"/>
      <c r="AQ1400" s="55"/>
      <c r="AR1400" s="55"/>
      <c r="AS1400" s="55"/>
      <c r="AT1400" s="55"/>
      <c r="AU1400" s="55"/>
      <c r="AV1400" s="55"/>
      <c r="AW1400" s="55"/>
      <c r="AX1400" s="55"/>
      <c r="AY1400" s="55"/>
      <c r="AZ1400" s="55"/>
    </row>
    <row r="1401" spans="1:52" ht="12.75" customHeight="1" x14ac:dyDescent="0.2">
      <c r="A1401" s="55"/>
      <c r="B1401" s="76"/>
      <c r="C1401" s="77"/>
      <c r="D1401" s="77"/>
      <c r="E1401" s="55"/>
      <c r="F1401" s="55"/>
      <c r="G1401" s="55"/>
      <c r="H1401" s="55"/>
      <c r="I1401" s="55"/>
      <c r="J1401" s="55"/>
      <c r="K1401" s="55"/>
      <c r="L1401" s="55"/>
      <c r="M1401" s="55"/>
      <c r="N1401" s="55"/>
      <c r="O1401" s="55"/>
      <c r="P1401" s="55"/>
      <c r="Q1401" s="55"/>
      <c r="R1401" s="55"/>
      <c r="S1401" s="55"/>
      <c r="T1401" s="55"/>
      <c r="U1401" s="55"/>
      <c r="V1401" s="55"/>
      <c r="W1401" s="55"/>
      <c r="X1401" s="55"/>
      <c r="Y1401" s="55"/>
      <c r="Z1401" s="55"/>
      <c r="AA1401" s="55"/>
      <c r="AB1401" s="55"/>
      <c r="AC1401" s="55"/>
      <c r="AD1401" s="55"/>
      <c r="AE1401" s="55"/>
      <c r="AF1401" s="55"/>
      <c r="AG1401" s="55"/>
      <c r="AH1401" s="55"/>
      <c r="AI1401" s="55"/>
      <c r="AJ1401" s="55"/>
      <c r="AK1401" s="55"/>
      <c r="AL1401" s="55"/>
      <c r="AM1401" s="55"/>
      <c r="AN1401" s="55"/>
      <c r="AO1401" s="55"/>
      <c r="AP1401" s="55"/>
      <c r="AQ1401" s="55"/>
      <c r="AR1401" s="55"/>
      <c r="AS1401" s="55"/>
      <c r="AT1401" s="55"/>
      <c r="AU1401" s="55"/>
      <c r="AV1401" s="55"/>
      <c r="AW1401" s="55"/>
      <c r="AX1401" s="55"/>
      <c r="AY1401" s="55"/>
      <c r="AZ1401" s="55"/>
    </row>
    <row r="1402" spans="1:52" ht="12.75" customHeight="1" x14ac:dyDescent="0.2">
      <c r="A1402" s="55"/>
      <c r="B1402" s="76"/>
      <c r="C1402" s="77"/>
      <c r="D1402" s="77"/>
      <c r="E1402" s="55"/>
      <c r="F1402" s="55"/>
      <c r="G1402" s="55"/>
      <c r="H1402" s="55"/>
      <c r="I1402" s="55"/>
      <c r="J1402" s="55"/>
      <c r="K1402" s="55"/>
      <c r="L1402" s="55"/>
      <c r="M1402" s="55"/>
      <c r="N1402" s="55"/>
      <c r="O1402" s="55"/>
      <c r="P1402" s="55"/>
      <c r="Q1402" s="55"/>
      <c r="R1402" s="55"/>
      <c r="S1402" s="55"/>
      <c r="T1402" s="55"/>
      <c r="U1402" s="55"/>
      <c r="V1402" s="55"/>
      <c r="W1402" s="55"/>
      <c r="X1402" s="55"/>
      <c r="Y1402" s="55"/>
      <c r="Z1402" s="55"/>
      <c r="AA1402" s="55"/>
      <c r="AB1402" s="55"/>
      <c r="AC1402" s="55"/>
      <c r="AD1402" s="55"/>
      <c r="AE1402" s="55"/>
      <c r="AF1402" s="55"/>
      <c r="AG1402" s="55"/>
      <c r="AH1402" s="55"/>
      <c r="AI1402" s="55"/>
      <c r="AJ1402" s="55"/>
      <c r="AK1402" s="55"/>
      <c r="AL1402" s="55"/>
      <c r="AM1402" s="55"/>
      <c r="AN1402" s="55"/>
      <c r="AO1402" s="55"/>
      <c r="AP1402" s="55"/>
      <c r="AQ1402" s="55"/>
      <c r="AR1402" s="55"/>
      <c r="AS1402" s="55"/>
      <c r="AT1402" s="55"/>
      <c r="AU1402" s="55"/>
      <c r="AV1402" s="55"/>
      <c r="AW1402" s="55"/>
      <c r="AX1402" s="55"/>
      <c r="AY1402" s="55"/>
      <c r="AZ1402" s="55"/>
    </row>
    <row r="1403" spans="1:52" ht="12.75" customHeight="1" x14ac:dyDescent="0.2">
      <c r="A1403" s="55"/>
      <c r="B1403" s="76"/>
      <c r="C1403" s="77"/>
      <c r="D1403" s="77"/>
      <c r="E1403" s="55"/>
      <c r="F1403" s="55"/>
      <c r="G1403" s="55"/>
      <c r="H1403" s="55"/>
      <c r="I1403" s="55"/>
      <c r="J1403" s="55"/>
      <c r="K1403" s="55"/>
      <c r="L1403" s="55"/>
      <c r="M1403" s="55"/>
      <c r="N1403" s="55"/>
      <c r="O1403" s="55"/>
      <c r="P1403" s="55"/>
      <c r="Q1403" s="55"/>
      <c r="R1403" s="55"/>
      <c r="S1403" s="55"/>
      <c r="T1403" s="55"/>
      <c r="U1403" s="55"/>
      <c r="V1403" s="55"/>
      <c r="W1403" s="55"/>
      <c r="X1403" s="55"/>
      <c r="Y1403" s="55"/>
      <c r="Z1403" s="55"/>
      <c r="AA1403" s="55"/>
      <c r="AB1403" s="55"/>
      <c r="AC1403" s="55"/>
      <c r="AD1403" s="55"/>
      <c r="AE1403" s="55"/>
      <c r="AF1403" s="55"/>
      <c r="AG1403" s="55"/>
      <c r="AH1403" s="55"/>
      <c r="AI1403" s="55"/>
      <c r="AJ1403" s="55"/>
      <c r="AK1403" s="55"/>
      <c r="AL1403" s="55"/>
      <c r="AM1403" s="55"/>
      <c r="AN1403" s="55"/>
      <c r="AO1403" s="55"/>
      <c r="AP1403" s="55"/>
      <c r="AQ1403" s="55"/>
      <c r="AR1403" s="55"/>
      <c r="AS1403" s="55"/>
      <c r="AT1403" s="55"/>
      <c r="AU1403" s="55"/>
      <c r="AV1403" s="55"/>
      <c r="AW1403" s="55"/>
      <c r="AX1403" s="55"/>
      <c r="AY1403" s="55"/>
      <c r="AZ1403" s="55"/>
    </row>
    <row r="1404" spans="1:52" ht="12.75" customHeight="1" x14ac:dyDescent="0.2">
      <c r="A1404" s="55"/>
      <c r="B1404" s="76"/>
      <c r="C1404" s="77"/>
      <c r="D1404" s="77"/>
      <c r="E1404" s="55"/>
      <c r="F1404" s="55"/>
      <c r="G1404" s="55"/>
      <c r="H1404" s="55"/>
      <c r="I1404" s="55"/>
      <c r="J1404" s="55"/>
      <c r="K1404" s="55"/>
      <c r="L1404" s="55"/>
      <c r="M1404" s="55"/>
      <c r="N1404" s="55"/>
      <c r="O1404" s="55"/>
      <c r="P1404" s="55"/>
      <c r="Q1404" s="55"/>
      <c r="R1404" s="55"/>
      <c r="S1404" s="55"/>
      <c r="T1404" s="55"/>
      <c r="U1404" s="55"/>
      <c r="V1404" s="55"/>
      <c r="W1404" s="55"/>
      <c r="X1404" s="55"/>
      <c r="Y1404" s="55"/>
      <c r="Z1404" s="55"/>
      <c r="AA1404" s="55"/>
      <c r="AB1404" s="55"/>
      <c r="AC1404" s="55"/>
      <c r="AD1404" s="55"/>
      <c r="AE1404" s="55"/>
      <c r="AF1404" s="55"/>
      <c r="AG1404" s="55"/>
      <c r="AH1404" s="55"/>
      <c r="AI1404" s="55"/>
      <c r="AJ1404" s="55"/>
      <c r="AK1404" s="55"/>
      <c r="AL1404" s="55"/>
      <c r="AM1404" s="55"/>
      <c r="AN1404" s="55"/>
      <c r="AO1404" s="55"/>
      <c r="AP1404" s="55"/>
      <c r="AQ1404" s="55"/>
      <c r="AR1404" s="55"/>
      <c r="AS1404" s="55"/>
      <c r="AT1404" s="55"/>
      <c r="AU1404" s="55"/>
      <c r="AV1404" s="55"/>
      <c r="AW1404" s="55"/>
      <c r="AX1404" s="55"/>
      <c r="AY1404" s="55"/>
      <c r="AZ1404" s="55"/>
    </row>
    <row r="1405" spans="1:52" ht="12.75" customHeight="1" x14ac:dyDescent="0.2">
      <c r="A1405" s="55"/>
      <c r="B1405" s="76"/>
      <c r="C1405" s="77"/>
      <c r="D1405" s="77"/>
      <c r="E1405" s="55"/>
      <c r="F1405" s="55"/>
      <c r="G1405" s="55"/>
      <c r="H1405" s="55"/>
      <c r="I1405" s="55"/>
      <c r="J1405" s="55"/>
      <c r="K1405" s="55"/>
      <c r="L1405" s="55"/>
      <c r="M1405" s="55"/>
      <c r="N1405" s="55"/>
      <c r="O1405" s="55"/>
      <c r="P1405" s="55"/>
      <c r="Q1405" s="55"/>
      <c r="R1405" s="55"/>
      <c r="S1405" s="55"/>
      <c r="T1405" s="55"/>
      <c r="U1405" s="55"/>
      <c r="V1405" s="55"/>
      <c r="W1405" s="55"/>
      <c r="X1405" s="55"/>
      <c r="Y1405" s="55"/>
      <c r="Z1405" s="55"/>
      <c r="AA1405" s="55"/>
      <c r="AB1405" s="55"/>
      <c r="AC1405" s="55"/>
      <c r="AD1405" s="55"/>
      <c r="AE1405" s="55"/>
      <c r="AF1405" s="55"/>
      <c r="AG1405" s="55"/>
      <c r="AH1405" s="55"/>
      <c r="AI1405" s="55"/>
      <c r="AJ1405" s="55"/>
      <c r="AK1405" s="55"/>
      <c r="AL1405" s="55"/>
      <c r="AM1405" s="55"/>
      <c r="AN1405" s="55"/>
      <c r="AO1405" s="55"/>
      <c r="AP1405" s="55"/>
      <c r="AQ1405" s="55"/>
      <c r="AR1405" s="55"/>
      <c r="AS1405" s="55"/>
      <c r="AT1405" s="55"/>
      <c r="AU1405" s="55"/>
      <c r="AV1405" s="55"/>
      <c r="AW1405" s="55"/>
      <c r="AX1405" s="55"/>
      <c r="AY1405" s="55"/>
      <c r="AZ1405" s="55"/>
    </row>
    <row r="1406" spans="1:52" ht="12.75" customHeight="1" x14ac:dyDescent="0.2">
      <c r="A1406" s="55"/>
      <c r="B1406" s="76"/>
      <c r="C1406" s="77"/>
      <c r="D1406" s="77"/>
      <c r="E1406" s="55"/>
      <c r="F1406" s="55"/>
      <c r="G1406" s="55"/>
      <c r="H1406" s="55"/>
      <c r="I1406" s="55"/>
      <c r="J1406" s="55"/>
      <c r="K1406" s="55"/>
      <c r="L1406" s="55"/>
      <c r="M1406" s="55"/>
      <c r="N1406" s="55"/>
      <c r="O1406" s="55"/>
      <c r="P1406" s="55"/>
      <c r="Q1406" s="55"/>
      <c r="R1406" s="55"/>
      <c r="S1406" s="55"/>
      <c r="T1406" s="55"/>
      <c r="U1406" s="55"/>
      <c r="V1406" s="55"/>
      <c r="W1406" s="55"/>
      <c r="X1406" s="55"/>
      <c r="Y1406" s="55"/>
      <c r="Z1406" s="55"/>
      <c r="AA1406" s="55"/>
      <c r="AB1406" s="55"/>
      <c r="AC1406" s="55"/>
      <c r="AD1406" s="55"/>
      <c r="AE1406" s="55"/>
      <c r="AF1406" s="55"/>
      <c r="AG1406" s="55"/>
      <c r="AH1406" s="55"/>
      <c r="AI1406" s="55"/>
      <c r="AJ1406" s="55"/>
      <c r="AK1406" s="55"/>
      <c r="AL1406" s="55"/>
      <c r="AM1406" s="55"/>
      <c r="AN1406" s="55"/>
      <c r="AO1406" s="55"/>
      <c r="AP1406" s="55"/>
      <c r="AQ1406" s="55"/>
      <c r="AR1406" s="55"/>
      <c r="AS1406" s="55"/>
      <c r="AT1406" s="55"/>
      <c r="AU1406" s="55"/>
      <c r="AV1406" s="55"/>
      <c r="AW1406" s="55"/>
      <c r="AX1406" s="55"/>
      <c r="AY1406" s="55"/>
      <c r="AZ1406" s="55"/>
    </row>
    <row r="1407" spans="1:52" ht="12.75" customHeight="1" x14ac:dyDescent="0.2">
      <c r="A1407" s="55"/>
      <c r="B1407" s="76"/>
      <c r="C1407" s="77"/>
      <c r="D1407" s="77"/>
      <c r="E1407" s="55"/>
      <c r="F1407" s="55"/>
      <c r="G1407" s="55"/>
      <c r="H1407" s="55"/>
      <c r="I1407" s="55"/>
      <c r="J1407" s="55"/>
      <c r="K1407" s="55"/>
      <c r="L1407" s="55"/>
      <c r="M1407" s="55"/>
      <c r="N1407" s="55"/>
      <c r="O1407" s="55"/>
      <c r="P1407" s="55"/>
      <c r="Q1407" s="55"/>
      <c r="R1407" s="55"/>
      <c r="S1407" s="55"/>
      <c r="T1407" s="55"/>
      <c r="U1407" s="55"/>
      <c r="V1407" s="55"/>
      <c r="W1407" s="55"/>
      <c r="X1407" s="55"/>
      <c r="Y1407" s="55"/>
      <c r="Z1407" s="55"/>
      <c r="AA1407" s="55"/>
      <c r="AB1407" s="55"/>
      <c r="AC1407" s="55"/>
      <c r="AD1407" s="55"/>
      <c r="AE1407" s="55"/>
      <c r="AF1407" s="55"/>
      <c r="AG1407" s="55"/>
      <c r="AH1407" s="55"/>
      <c r="AI1407" s="55"/>
      <c r="AJ1407" s="55"/>
      <c r="AK1407" s="55"/>
      <c r="AL1407" s="55"/>
      <c r="AM1407" s="55"/>
      <c r="AN1407" s="55"/>
      <c r="AO1407" s="55"/>
      <c r="AP1407" s="55"/>
      <c r="AQ1407" s="55"/>
      <c r="AR1407" s="55"/>
      <c r="AS1407" s="55"/>
      <c r="AT1407" s="55"/>
      <c r="AU1407" s="55"/>
      <c r="AV1407" s="55"/>
      <c r="AW1407" s="55"/>
      <c r="AX1407" s="55"/>
      <c r="AY1407" s="55"/>
      <c r="AZ1407" s="55"/>
    </row>
    <row r="1408" spans="1:52" ht="12.75" customHeight="1" x14ac:dyDescent="0.2">
      <c r="A1408" s="55"/>
      <c r="B1408" s="76"/>
      <c r="C1408" s="77"/>
      <c r="D1408" s="77"/>
      <c r="E1408" s="55"/>
      <c r="F1408" s="55"/>
      <c r="G1408" s="55"/>
      <c r="H1408" s="55"/>
      <c r="I1408" s="55"/>
      <c r="J1408" s="55"/>
      <c r="K1408" s="55"/>
      <c r="L1408" s="55"/>
      <c r="M1408" s="55"/>
      <c r="N1408" s="55"/>
      <c r="O1408" s="55"/>
      <c r="P1408" s="55"/>
      <c r="Q1408" s="55"/>
      <c r="R1408" s="55"/>
      <c r="S1408" s="55"/>
      <c r="T1408" s="55"/>
      <c r="U1408" s="55"/>
      <c r="V1408" s="55"/>
      <c r="W1408" s="55"/>
      <c r="X1408" s="55"/>
      <c r="Y1408" s="55"/>
      <c r="Z1408" s="55"/>
      <c r="AA1408" s="55"/>
      <c r="AB1408" s="55"/>
      <c r="AC1408" s="55"/>
      <c r="AD1408" s="55"/>
      <c r="AE1408" s="55"/>
      <c r="AF1408" s="55"/>
      <c r="AG1408" s="55"/>
      <c r="AH1408" s="55"/>
      <c r="AI1408" s="55"/>
      <c r="AJ1408" s="55"/>
      <c r="AK1408" s="55"/>
      <c r="AL1408" s="55"/>
      <c r="AM1408" s="55"/>
      <c r="AN1408" s="55"/>
      <c r="AO1408" s="55"/>
      <c r="AP1408" s="55"/>
      <c r="AQ1408" s="55"/>
      <c r="AR1408" s="55"/>
      <c r="AS1408" s="55"/>
      <c r="AT1408" s="55"/>
      <c r="AU1408" s="55"/>
      <c r="AV1408" s="55"/>
      <c r="AW1408" s="55"/>
      <c r="AX1408" s="55"/>
      <c r="AY1408" s="55"/>
      <c r="AZ1408" s="55"/>
    </row>
    <row r="1409" spans="1:52" ht="12.75" customHeight="1" x14ac:dyDescent="0.2">
      <c r="A1409" s="55"/>
      <c r="B1409" s="76"/>
      <c r="C1409" s="77"/>
      <c r="D1409" s="77"/>
      <c r="E1409" s="55"/>
      <c r="F1409" s="55"/>
      <c r="G1409" s="55"/>
      <c r="H1409" s="55"/>
      <c r="I1409" s="55"/>
      <c r="J1409" s="55"/>
      <c r="K1409" s="55"/>
      <c r="L1409" s="55"/>
      <c r="M1409" s="55"/>
      <c r="N1409" s="55"/>
      <c r="O1409" s="55"/>
      <c r="P1409" s="55"/>
      <c r="Q1409" s="55"/>
      <c r="R1409" s="55"/>
      <c r="S1409" s="55"/>
      <c r="T1409" s="55"/>
      <c r="U1409" s="55"/>
      <c r="V1409" s="55"/>
      <c r="W1409" s="55"/>
      <c r="X1409" s="55"/>
      <c r="Y1409" s="55"/>
      <c r="Z1409" s="55"/>
      <c r="AA1409" s="55"/>
      <c r="AB1409" s="55"/>
      <c r="AC1409" s="55"/>
      <c r="AD1409" s="55"/>
      <c r="AE1409" s="55"/>
      <c r="AF1409" s="55"/>
      <c r="AG1409" s="55"/>
      <c r="AH1409" s="55"/>
      <c r="AI1409" s="55"/>
      <c r="AJ1409" s="55"/>
      <c r="AK1409" s="55"/>
      <c r="AL1409" s="55"/>
      <c r="AM1409" s="55"/>
      <c r="AN1409" s="55"/>
      <c r="AO1409" s="55"/>
      <c r="AP1409" s="55"/>
      <c r="AQ1409" s="55"/>
      <c r="AR1409" s="55"/>
      <c r="AS1409" s="55"/>
      <c r="AT1409" s="55"/>
      <c r="AU1409" s="55"/>
      <c r="AV1409" s="55"/>
      <c r="AW1409" s="55"/>
      <c r="AX1409" s="55"/>
      <c r="AY1409" s="55"/>
      <c r="AZ1409" s="55"/>
    </row>
    <row r="1410" spans="1:52" ht="12.75" customHeight="1" x14ac:dyDescent="0.2">
      <c r="A1410" s="55"/>
      <c r="B1410" s="76"/>
      <c r="C1410" s="77"/>
      <c r="D1410" s="77"/>
      <c r="E1410" s="55"/>
      <c r="F1410" s="55"/>
      <c r="G1410" s="55"/>
      <c r="H1410" s="55"/>
      <c r="I1410" s="55"/>
      <c r="J1410" s="55"/>
      <c r="K1410" s="55"/>
      <c r="L1410" s="55"/>
      <c r="M1410" s="55"/>
      <c r="N1410" s="55"/>
      <c r="O1410" s="55"/>
      <c r="P1410" s="55"/>
      <c r="Q1410" s="55"/>
      <c r="R1410" s="55"/>
      <c r="S1410" s="55"/>
      <c r="T1410" s="55"/>
      <c r="U1410" s="55"/>
      <c r="V1410" s="55"/>
      <c r="W1410" s="55"/>
      <c r="X1410" s="55"/>
      <c r="Y1410" s="55"/>
      <c r="Z1410" s="55"/>
      <c r="AA1410" s="55"/>
      <c r="AB1410" s="55"/>
      <c r="AC1410" s="55"/>
      <c r="AD1410" s="55"/>
      <c r="AE1410" s="55"/>
      <c r="AF1410" s="55"/>
      <c r="AG1410" s="55"/>
      <c r="AH1410" s="55"/>
      <c r="AI1410" s="55"/>
      <c r="AJ1410" s="55"/>
      <c r="AK1410" s="55"/>
      <c r="AL1410" s="55"/>
      <c r="AM1410" s="55"/>
      <c r="AN1410" s="55"/>
      <c r="AO1410" s="55"/>
      <c r="AP1410" s="55"/>
      <c r="AQ1410" s="55"/>
      <c r="AR1410" s="55"/>
      <c r="AS1410" s="55"/>
      <c r="AT1410" s="55"/>
      <c r="AU1410" s="55"/>
      <c r="AV1410" s="55"/>
      <c r="AW1410" s="55"/>
      <c r="AX1410" s="55"/>
      <c r="AY1410" s="55"/>
      <c r="AZ1410" s="55"/>
    </row>
    <row r="1411" spans="1:52" ht="12.75" customHeight="1" x14ac:dyDescent="0.2">
      <c r="A1411" s="55"/>
      <c r="B1411" s="76"/>
      <c r="C1411" s="77"/>
      <c r="D1411" s="77"/>
      <c r="E1411" s="55"/>
      <c r="F1411" s="55"/>
      <c r="G1411" s="55"/>
      <c r="H1411" s="55"/>
      <c r="I1411" s="55"/>
      <c r="J1411" s="55"/>
      <c r="K1411" s="55"/>
      <c r="L1411" s="55"/>
      <c r="M1411" s="55"/>
      <c r="N1411" s="55"/>
      <c r="O1411" s="55"/>
      <c r="P1411" s="55"/>
      <c r="Q1411" s="55"/>
      <c r="R1411" s="55"/>
      <c r="S1411" s="55"/>
      <c r="T1411" s="55"/>
      <c r="U1411" s="55"/>
      <c r="V1411" s="55"/>
      <c r="W1411" s="55"/>
      <c r="X1411" s="55"/>
      <c r="Y1411" s="55"/>
      <c r="Z1411" s="55"/>
      <c r="AA1411" s="55"/>
      <c r="AB1411" s="55"/>
      <c r="AC1411" s="55"/>
      <c r="AD1411" s="55"/>
      <c r="AE1411" s="55"/>
      <c r="AF1411" s="55"/>
      <c r="AG1411" s="55"/>
      <c r="AH1411" s="55"/>
      <c r="AI1411" s="55"/>
      <c r="AJ1411" s="55"/>
      <c r="AK1411" s="55"/>
      <c r="AL1411" s="55"/>
      <c r="AM1411" s="55"/>
      <c r="AN1411" s="55"/>
      <c r="AO1411" s="55"/>
      <c r="AP1411" s="55"/>
      <c r="AQ1411" s="55"/>
      <c r="AR1411" s="55"/>
      <c r="AS1411" s="55"/>
      <c r="AT1411" s="55"/>
      <c r="AU1411" s="55"/>
      <c r="AV1411" s="55"/>
      <c r="AW1411" s="55"/>
      <c r="AX1411" s="55"/>
      <c r="AY1411" s="55"/>
      <c r="AZ1411" s="55"/>
    </row>
    <row r="1412" spans="1:52" ht="12.75" customHeight="1" x14ac:dyDescent="0.2">
      <c r="A1412" s="55"/>
      <c r="B1412" s="76"/>
      <c r="C1412" s="77"/>
      <c r="D1412" s="77"/>
      <c r="E1412" s="55"/>
      <c r="F1412" s="55"/>
      <c r="G1412" s="55"/>
      <c r="H1412" s="55"/>
      <c r="I1412" s="55"/>
      <c r="J1412" s="55"/>
      <c r="K1412" s="55"/>
      <c r="L1412" s="55"/>
      <c r="M1412" s="55"/>
      <c r="N1412" s="55"/>
      <c r="O1412" s="55"/>
      <c r="P1412" s="55"/>
      <c r="Q1412" s="55"/>
      <c r="R1412" s="55"/>
      <c r="S1412" s="55"/>
      <c r="T1412" s="55"/>
      <c r="U1412" s="55"/>
      <c r="V1412" s="55"/>
      <c r="W1412" s="55"/>
      <c r="X1412" s="55"/>
      <c r="Y1412" s="55"/>
      <c r="Z1412" s="55"/>
      <c r="AA1412" s="55"/>
      <c r="AB1412" s="55"/>
      <c r="AC1412" s="55"/>
      <c r="AD1412" s="55"/>
      <c r="AE1412" s="55"/>
      <c r="AF1412" s="55"/>
      <c r="AG1412" s="55"/>
      <c r="AH1412" s="55"/>
      <c r="AI1412" s="55"/>
      <c r="AJ1412" s="55"/>
      <c r="AK1412" s="55"/>
      <c r="AL1412" s="55"/>
      <c r="AM1412" s="55"/>
      <c r="AN1412" s="55"/>
      <c r="AO1412" s="55"/>
      <c r="AP1412" s="55"/>
      <c r="AQ1412" s="55"/>
      <c r="AR1412" s="55"/>
      <c r="AS1412" s="55"/>
      <c r="AT1412" s="55"/>
      <c r="AU1412" s="55"/>
      <c r="AV1412" s="55"/>
      <c r="AW1412" s="55"/>
      <c r="AX1412" s="55"/>
      <c r="AY1412" s="55"/>
      <c r="AZ1412" s="55"/>
    </row>
    <row r="1413" spans="1:52" ht="12.75" customHeight="1" x14ac:dyDescent="0.2">
      <c r="A1413" s="55"/>
      <c r="B1413" s="76"/>
      <c r="C1413" s="77"/>
      <c r="D1413" s="77"/>
      <c r="E1413" s="55"/>
      <c r="F1413" s="55"/>
      <c r="G1413" s="55"/>
      <c r="H1413" s="55"/>
      <c r="I1413" s="55"/>
      <c r="J1413" s="55"/>
      <c r="K1413" s="55"/>
      <c r="L1413" s="55"/>
      <c r="M1413" s="55"/>
      <c r="N1413" s="55"/>
      <c r="O1413" s="55"/>
      <c r="P1413" s="55"/>
      <c r="Q1413" s="55"/>
      <c r="R1413" s="55"/>
      <c r="S1413" s="55"/>
      <c r="T1413" s="55"/>
      <c r="U1413" s="55"/>
      <c r="V1413" s="55"/>
      <c r="W1413" s="55"/>
      <c r="X1413" s="55"/>
      <c r="Y1413" s="55"/>
      <c r="Z1413" s="55"/>
      <c r="AA1413" s="55"/>
      <c r="AB1413" s="55"/>
      <c r="AC1413" s="55"/>
      <c r="AD1413" s="55"/>
      <c r="AE1413" s="55"/>
      <c r="AF1413" s="55"/>
      <c r="AG1413" s="55"/>
      <c r="AH1413" s="55"/>
      <c r="AI1413" s="55"/>
      <c r="AJ1413" s="55"/>
      <c r="AK1413" s="55"/>
      <c r="AL1413" s="55"/>
      <c r="AM1413" s="55"/>
      <c r="AN1413" s="55"/>
      <c r="AO1413" s="55"/>
      <c r="AP1413" s="55"/>
      <c r="AQ1413" s="55"/>
      <c r="AR1413" s="55"/>
      <c r="AS1413" s="55"/>
      <c r="AT1413" s="55"/>
      <c r="AU1413" s="55"/>
      <c r="AV1413" s="55"/>
      <c r="AW1413" s="55"/>
      <c r="AX1413" s="55"/>
      <c r="AY1413" s="55"/>
      <c r="AZ1413" s="55"/>
    </row>
    <row r="1414" spans="1:52" ht="12.75" customHeight="1" x14ac:dyDescent="0.2">
      <c r="A1414" s="55"/>
      <c r="B1414" s="76"/>
      <c r="C1414" s="77"/>
      <c r="D1414" s="77"/>
      <c r="E1414" s="55"/>
      <c r="F1414" s="55"/>
      <c r="G1414" s="55"/>
      <c r="H1414" s="55"/>
      <c r="I1414" s="55"/>
      <c r="J1414" s="55"/>
      <c r="K1414" s="55"/>
      <c r="L1414" s="55"/>
      <c r="M1414" s="55"/>
      <c r="N1414" s="55"/>
      <c r="O1414" s="55"/>
      <c r="P1414" s="55"/>
      <c r="Q1414" s="55"/>
      <c r="R1414" s="55"/>
      <c r="S1414" s="55"/>
      <c r="T1414" s="55"/>
      <c r="U1414" s="55"/>
      <c r="V1414" s="55"/>
      <c r="W1414" s="55"/>
      <c r="X1414" s="55"/>
      <c r="Y1414" s="55"/>
      <c r="Z1414" s="55"/>
      <c r="AA1414" s="55"/>
      <c r="AB1414" s="55"/>
      <c r="AC1414" s="55"/>
      <c r="AD1414" s="55"/>
      <c r="AE1414" s="55"/>
      <c r="AF1414" s="55"/>
      <c r="AG1414" s="55"/>
      <c r="AH1414" s="55"/>
      <c r="AI1414" s="55"/>
      <c r="AJ1414" s="55"/>
      <c r="AK1414" s="55"/>
      <c r="AL1414" s="55"/>
      <c r="AM1414" s="55"/>
      <c r="AN1414" s="55"/>
      <c r="AO1414" s="55"/>
      <c r="AP1414" s="55"/>
      <c r="AQ1414" s="55"/>
      <c r="AR1414" s="55"/>
      <c r="AS1414" s="55"/>
      <c r="AT1414" s="55"/>
      <c r="AU1414" s="55"/>
      <c r="AV1414" s="55"/>
      <c r="AW1414" s="55"/>
      <c r="AX1414" s="55"/>
      <c r="AY1414" s="55"/>
      <c r="AZ1414" s="55"/>
    </row>
    <row r="1415" spans="1:52" ht="12.75" customHeight="1" x14ac:dyDescent="0.2">
      <c r="A1415" s="55"/>
      <c r="B1415" s="76"/>
      <c r="C1415" s="77"/>
      <c r="D1415" s="77"/>
      <c r="E1415" s="55"/>
      <c r="F1415" s="55"/>
      <c r="G1415" s="55"/>
      <c r="H1415" s="55"/>
      <c r="I1415" s="55"/>
      <c r="J1415" s="55"/>
      <c r="K1415" s="55"/>
      <c r="L1415" s="55"/>
      <c r="M1415" s="55"/>
      <c r="N1415" s="55"/>
      <c r="O1415" s="55"/>
      <c r="P1415" s="55"/>
      <c r="Q1415" s="55"/>
      <c r="R1415" s="55"/>
      <c r="S1415" s="55"/>
      <c r="T1415" s="55"/>
      <c r="U1415" s="55"/>
      <c r="V1415" s="55"/>
      <c r="W1415" s="55"/>
      <c r="X1415" s="55"/>
      <c r="Y1415" s="55"/>
      <c r="Z1415" s="55"/>
      <c r="AA1415" s="55"/>
      <c r="AB1415" s="55"/>
      <c r="AC1415" s="55"/>
      <c r="AD1415" s="55"/>
      <c r="AE1415" s="55"/>
      <c r="AF1415" s="55"/>
      <c r="AG1415" s="55"/>
      <c r="AH1415" s="55"/>
      <c r="AI1415" s="55"/>
      <c r="AJ1415" s="55"/>
      <c r="AK1415" s="55"/>
      <c r="AL1415" s="55"/>
      <c r="AM1415" s="55"/>
      <c r="AN1415" s="55"/>
      <c r="AO1415" s="55"/>
      <c r="AP1415" s="55"/>
      <c r="AQ1415" s="55"/>
      <c r="AR1415" s="55"/>
      <c r="AS1415" s="55"/>
      <c r="AT1415" s="55"/>
      <c r="AU1415" s="55"/>
      <c r="AV1415" s="55"/>
      <c r="AW1415" s="55"/>
      <c r="AX1415" s="55"/>
      <c r="AY1415" s="55"/>
      <c r="AZ1415" s="55"/>
    </row>
    <row r="1416" spans="1:52" ht="12.75" customHeight="1" x14ac:dyDescent="0.2">
      <c r="A1416" s="55"/>
      <c r="B1416" s="76"/>
      <c r="C1416" s="77"/>
      <c r="D1416" s="77"/>
      <c r="E1416" s="55"/>
      <c r="F1416" s="55"/>
      <c r="G1416" s="55"/>
      <c r="H1416" s="55"/>
      <c r="I1416" s="55"/>
      <c r="J1416" s="55"/>
      <c r="K1416" s="55"/>
      <c r="L1416" s="55"/>
      <c r="M1416" s="55"/>
      <c r="N1416" s="55"/>
      <c r="O1416" s="55"/>
      <c r="P1416" s="55"/>
      <c r="Q1416" s="55"/>
      <c r="R1416" s="55"/>
      <c r="S1416" s="55"/>
      <c r="T1416" s="55"/>
      <c r="U1416" s="55"/>
      <c r="V1416" s="55"/>
      <c r="W1416" s="55"/>
      <c r="X1416" s="55"/>
      <c r="Y1416" s="55"/>
      <c r="Z1416" s="55"/>
      <c r="AA1416" s="55"/>
      <c r="AB1416" s="55"/>
      <c r="AC1416" s="55"/>
      <c r="AD1416" s="55"/>
      <c r="AE1416" s="55"/>
      <c r="AF1416" s="55"/>
      <c r="AG1416" s="55"/>
      <c r="AH1416" s="55"/>
      <c r="AI1416" s="55"/>
      <c r="AJ1416" s="55"/>
      <c r="AK1416" s="55"/>
      <c r="AL1416" s="55"/>
      <c r="AM1416" s="55"/>
      <c r="AN1416" s="55"/>
      <c r="AO1416" s="55"/>
      <c r="AP1416" s="55"/>
      <c r="AQ1416" s="55"/>
      <c r="AR1416" s="55"/>
      <c r="AS1416" s="55"/>
      <c r="AT1416" s="55"/>
      <c r="AU1416" s="55"/>
      <c r="AV1416" s="55"/>
      <c r="AW1416" s="55"/>
      <c r="AX1416" s="55"/>
      <c r="AY1416" s="55"/>
      <c r="AZ1416" s="55"/>
    </row>
    <row r="1417" spans="1:52" ht="12.75" customHeight="1" x14ac:dyDescent="0.2">
      <c r="A1417" s="55"/>
      <c r="B1417" s="76"/>
      <c r="C1417" s="77"/>
      <c r="D1417" s="77"/>
      <c r="E1417" s="55"/>
      <c r="F1417" s="55"/>
      <c r="G1417" s="55"/>
      <c r="H1417" s="55"/>
      <c r="I1417" s="55"/>
      <c r="J1417" s="55"/>
      <c r="K1417" s="55"/>
      <c r="L1417" s="55"/>
      <c r="M1417" s="55"/>
      <c r="N1417" s="55"/>
      <c r="O1417" s="55"/>
      <c r="P1417" s="55"/>
      <c r="Q1417" s="55"/>
      <c r="R1417" s="55"/>
      <c r="S1417" s="55"/>
      <c r="T1417" s="55"/>
      <c r="U1417" s="55"/>
      <c r="V1417" s="55"/>
      <c r="W1417" s="55"/>
      <c r="X1417" s="55"/>
      <c r="Y1417" s="55"/>
      <c r="Z1417" s="55"/>
      <c r="AA1417" s="55"/>
      <c r="AB1417" s="55"/>
      <c r="AC1417" s="55"/>
      <c r="AD1417" s="55"/>
      <c r="AE1417" s="55"/>
      <c r="AF1417" s="55"/>
      <c r="AG1417" s="55"/>
      <c r="AH1417" s="55"/>
      <c r="AI1417" s="55"/>
      <c r="AJ1417" s="55"/>
      <c r="AK1417" s="55"/>
      <c r="AL1417" s="55"/>
      <c r="AM1417" s="55"/>
      <c r="AN1417" s="55"/>
      <c r="AO1417" s="55"/>
      <c r="AP1417" s="55"/>
      <c r="AQ1417" s="55"/>
      <c r="AR1417" s="55"/>
      <c r="AS1417" s="55"/>
      <c r="AT1417" s="55"/>
      <c r="AU1417" s="55"/>
      <c r="AV1417" s="55"/>
      <c r="AW1417" s="55"/>
      <c r="AX1417" s="55"/>
      <c r="AY1417" s="55"/>
      <c r="AZ1417" s="55"/>
    </row>
    <row r="1418" spans="1:52" ht="12.75" customHeight="1" x14ac:dyDescent="0.2">
      <c r="A1418" s="55"/>
      <c r="B1418" s="76"/>
      <c r="C1418" s="77"/>
      <c r="D1418" s="77"/>
      <c r="E1418" s="55"/>
      <c r="F1418" s="55"/>
      <c r="G1418" s="55"/>
      <c r="H1418" s="55"/>
      <c r="I1418" s="55"/>
      <c r="J1418" s="55"/>
      <c r="K1418" s="55"/>
      <c r="L1418" s="55"/>
      <c r="M1418" s="55"/>
      <c r="N1418" s="55"/>
      <c r="O1418" s="55"/>
      <c r="P1418" s="55"/>
      <c r="Q1418" s="55"/>
      <c r="R1418" s="55"/>
      <c r="S1418" s="55"/>
      <c r="T1418" s="55"/>
      <c r="U1418" s="55"/>
      <c r="V1418" s="55"/>
      <c r="W1418" s="55"/>
      <c r="X1418" s="55"/>
      <c r="Y1418" s="55"/>
      <c r="Z1418" s="55"/>
      <c r="AA1418" s="55"/>
      <c r="AB1418" s="55"/>
      <c r="AC1418" s="55"/>
      <c r="AD1418" s="55"/>
      <c r="AE1418" s="55"/>
      <c r="AF1418" s="55"/>
      <c r="AG1418" s="55"/>
      <c r="AH1418" s="55"/>
      <c r="AI1418" s="55"/>
      <c r="AJ1418" s="55"/>
      <c r="AK1418" s="55"/>
      <c r="AL1418" s="55"/>
      <c r="AM1418" s="55"/>
      <c r="AN1418" s="55"/>
      <c r="AO1418" s="55"/>
      <c r="AP1418" s="55"/>
      <c r="AQ1418" s="55"/>
      <c r="AR1418" s="55"/>
      <c r="AS1418" s="55"/>
      <c r="AT1418" s="55"/>
      <c r="AU1418" s="55"/>
      <c r="AV1418" s="55"/>
      <c r="AW1418" s="55"/>
      <c r="AX1418" s="55"/>
      <c r="AY1418" s="55"/>
      <c r="AZ1418" s="55"/>
    </row>
    <row r="1419" spans="1:52" ht="12.75" customHeight="1" x14ac:dyDescent="0.2">
      <c r="A1419" s="55"/>
      <c r="B1419" s="76"/>
      <c r="C1419" s="77"/>
      <c r="D1419" s="77"/>
      <c r="E1419" s="55"/>
      <c r="F1419" s="55"/>
      <c r="G1419" s="55"/>
      <c r="H1419" s="55"/>
      <c r="I1419" s="55"/>
      <c r="J1419" s="55"/>
      <c r="K1419" s="55"/>
      <c r="L1419" s="55"/>
      <c r="M1419" s="55"/>
      <c r="N1419" s="55"/>
      <c r="O1419" s="55"/>
      <c r="P1419" s="55"/>
      <c r="Q1419" s="55"/>
      <c r="R1419" s="55"/>
      <c r="S1419" s="55"/>
      <c r="T1419" s="55"/>
      <c r="U1419" s="55"/>
      <c r="V1419" s="55"/>
      <c r="W1419" s="55"/>
      <c r="X1419" s="55"/>
      <c r="Y1419" s="55"/>
      <c r="Z1419" s="55"/>
      <c r="AA1419" s="55"/>
      <c r="AB1419" s="55"/>
      <c r="AC1419" s="55"/>
      <c r="AD1419" s="55"/>
      <c r="AE1419" s="55"/>
      <c r="AF1419" s="55"/>
      <c r="AG1419" s="55"/>
      <c r="AH1419" s="55"/>
      <c r="AI1419" s="55"/>
      <c r="AJ1419" s="55"/>
      <c r="AK1419" s="55"/>
      <c r="AL1419" s="55"/>
      <c r="AM1419" s="55"/>
      <c r="AN1419" s="55"/>
      <c r="AO1419" s="55"/>
      <c r="AP1419" s="55"/>
      <c r="AQ1419" s="55"/>
      <c r="AR1419" s="55"/>
      <c r="AS1419" s="55"/>
      <c r="AT1419" s="55"/>
      <c r="AU1419" s="55"/>
      <c r="AV1419" s="55"/>
      <c r="AW1419" s="55"/>
      <c r="AX1419" s="55"/>
      <c r="AY1419" s="55"/>
      <c r="AZ1419" s="55"/>
    </row>
    <row r="1420" spans="1:52" ht="12.75" customHeight="1" x14ac:dyDescent="0.2">
      <c r="A1420" s="55"/>
      <c r="B1420" s="76"/>
      <c r="C1420" s="77"/>
      <c r="D1420" s="77"/>
      <c r="E1420" s="55"/>
      <c r="F1420" s="55"/>
      <c r="G1420" s="55"/>
      <c r="H1420" s="55"/>
      <c r="I1420" s="55"/>
      <c r="J1420" s="55"/>
      <c r="K1420" s="55"/>
      <c r="L1420" s="55"/>
      <c r="M1420" s="55"/>
      <c r="N1420" s="55"/>
      <c r="O1420" s="55"/>
      <c r="P1420" s="55"/>
      <c r="Q1420" s="55"/>
      <c r="R1420" s="55"/>
      <c r="S1420" s="55"/>
      <c r="T1420" s="55"/>
      <c r="U1420" s="55"/>
      <c r="V1420" s="55"/>
      <c r="W1420" s="55"/>
      <c r="X1420" s="55"/>
      <c r="Y1420" s="55"/>
      <c r="Z1420" s="55"/>
      <c r="AA1420" s="55"/>
      <c r="AB1420" s="55"/>
      <c r="AC1420" s="55"/>
      <c r="AD1420" s="55"/>
      <c r="AE1420" s="55"/>
      <c r="AF1420" s="55"/>
      <c r="AG1420" s="55"/>
      <c r="AH1420" s="55"/>
      <c r="AI1420" s="55"/>
      <c r="AJ1420" s="55"/>
      <c r="AK1420" s="55"/>
      <c r="AL1420" s="55"/>
      <c r="AM1420" s="55"/>
      <c r="AN1420" s="55"/>
      <c r="AO1420" s="55"/>
      <c r="AP1420" s="55"/>
      <c r="AQ1420" s="55"/>
      <c r="AR1420" s="55"/>
      <c r="AS1420" s="55"/>
      <c r="AT1420" s="55"/>
      <c r="AU1420" s="55"/>
      <c r="AV1420" s="55"/>
      <c r="AW1420" s="55"/>
      <c r="AX1420" s="55"/>
      <c r="AY1420" s="55"/>
      <c r="AZ1420" s="55"/>
    </row>
    <row r="1421" spans="1:52" ht="12.75" customHeight="1" x14ac:dyDescent="0.2">
      <c r="A1421" s="55"/>
      <c r="B1421" s="76"/>
      <c r="C1421" s="77"/>
      <c r="D1421" s="77"/>
      <c r="E1421" s="55"/>
      <c r="F1421" s="55"/>
      <c r="G1421" s="55"/>
      <c r="H1421" s="55"/>
      <c r="I1421" s="55"/>
      <c r="J1421" s="55"/>
      <c r="K1421" s="55"/>
      <c r="L1421" s="55"/>
      <c r="M1421" s="55"/>
      <c r="N1421" s="55"/>
      <c r="O1421" s="55"/>
      <c r="P1421" s="55"/>
      <c r="Q1421" s="55"/>
      <c r="R1421" s="55"/>
      <c r="S1421" s="55"/>
      <c r="T1421" s="55"/>
      <c r="U1421" s="55"/>
      <c r="V1421" s="55"/>
      <c r="W1421" s="55"/>
      <c r="X1421" s="55"/>
      <c r="Y1421" s="55"/>
      <c r="Z1421" s="55"/>
      <c r="AA1421" s="55"/>
      <c r="AB1421" s="55"/>
      <c r="AC1421" s="55"/>
      <c r="AD1421" s="55"/>
      <c r="AE1421" s="55"/>
      <c r="AF1421" s="55"/>
      <c r="AG1421" s="55"/>
      <c r="AH1421" s="55"/>
      <c r="AI1421" s="55"/>
      <c r="AJ1421" s="55"/>
      <c r="AK1421" s="55"/>
      <c r="AL1421" s="55"/>
      <c r="AM1421" s="55"/>
      <c r="AN1421" s="55"/>
      <c r="AO1421" s="55"/>
      <c r="AP1421" s="55"/>
      <c r="AQ1421" s="55"/>
      <c r="AR1421" s="55"/>
      <c r="AS1421" s="55"/>
      <c r="AT1421" s="55"/>
      <c r="AU1421" s="55"/>
      <c r="AV1421" s="55"/>
      <c r="AW1421" s="55"/>
      <c r="AX1421" s="55"/>
      <c r="AY1421" s="55"/>
      <c r="AZ1421" s="55"/>
    </row>
    <row r="1422" spans="1:52" ht="12.75" customHeight="1" x14ac:dyDescent="0.2">
      <c r="A1422" s="55"/>
      <c r="B1422" s="76"/>
      <c r="C1422" s="77"/>
      <c r="D1422" s="77"/>
      <c r="E1422" s="55"/>
      <c r="F1422" s="55"/>
      <c r="G1422" s="55"/>
      <c r="H1422" s="55"/>
      <c r="I1422" s="55"/>
      <c r="J1422" s="55"/>
      <c r="K1422" s="55"/>
      <c r="L1422" s="55"/>
      <c r="M1422" s="55"/>
      <c r="N1422" s="55"/>
      <c r="O1422" s="55"/>
      <c r="P1422" s="55"/>
      <c r="Q1422" s="55"/>
      <c r="R1422" s="55"/>
      <c r="S1422" s="55"/>
      <c r="T1422" s="55"/>
      <c r="U1422" s="55"/>
      <c r="V1422" s="55"/>
      <c r="W1422" s="55"/>
      <c r="X1422" s="55"/>
      <c r="Y1422" s="55"/>
      <c r="Z1422" s="55"/>
      <c r="AA1422" s="55"/>
      <c r="AB1422" s="55"/>
      <c r="AC1422" s="55"/>
      <c r="AD1422" s="55"/>
      <c r="AE1422" s="55"/>
      <c r="AF1422" s="55"/>
      <c r="AG1422" s="55"/>
      <c r="AH1422" s="55"/>
      <c r="AI1422" s="55"/>
      <c r="AJ1422" s="55"/>
      <c r="AK1422" s="55"/>
      <c r="AL1422" s="55"/>
      <c r="AM1422" s="55"/>
      <c r="AN1422" s="55"/>
      <c r="AO1422" s="55"/>
      <c r="AP1422" s="55"/>
      <c r="AQ1422" s="55"/>
      <c r="AR1422" s="55"/>
      <c r="AS1422" s="55"/>
      <c r="AT1422" s="55"/>
      <c r="AU1422" s="55"/>
      <c r="AV1422" s="55"/>
      <c r="AW1422" s="55"/>
      <c r="AX1422" s="55"/>
      <c r="AY1422" s="55"/>
      <c r="AZ1422" s="55"/>
    </row>
    <row r="1423" spans="1:52" ht="12.75" customHeight="1" x14ac:dyDescent="0.2">
      <c r="A1423" s="55"/>
      <c r="B1423" s="76"/>
      <c r="C1423" s="77"/>
      <c r="D1423" s="77"/>
      <c r="E1423" s="55"/>
      <c r="F1423" s="55"/>
      <c r="G1423" s="55"/>
      <c r="H1423" s="55"/>
      <c r="I1423" s="55"/>
      <c r="J1423" s="55"/>
      <c r="K1423" s="55"/>
      <c r="L1423" s="55"/>
      <c r="M1423" s="55"/>
      <c r="N1423" s="55"/>
      <c r="O1423" s="55"/>
      <c r="P1423" s="55"/>
      <c r="Q1423" s="55"/>
      <c r="R1423" s="55"/>
      <c r="S1423" s="55"/>
      <c r="T1423" s="55"/>
      <c r="U1423" s="55"/>
      <c r="V1423" s="55"/>
      <c r="W1423" s="55"/>
      <c r="X1423" s="55"/>
      <c r="Y1423" s="55"/>
      <c r="Z1423" s="55"/>
      <c r="AA1423" s="55"/>
      <c r="AB1423" s="55"/>
      <c r="AC1423" s="55"/>
      <c r="AD1423" s="55"/>
      <c r="AE1423" s="55"/>
      <c r="AF1423" s="55"/>
      <c r="AG1423" s="55"/>
      <c r="AH1423" s="55"/>
      <c r="AI1423" s="55"/>
      <c r="AJ1423" s="55"/>
      <c r="AK1423" s="55"/>
      <c r="AL1423" s="55"/>
      <c r="AM1423" s="55"/>
      <c r="AN1423" s="55"/>
      <c r="AO1423" s="55"/>
      <c r="AP1423" s="55"/>
      <c r="AQ1423" s="55"/>
      <c r="AR1423" s="55"/>
      <c r="AS1423" s="55"/>
      <c r="AT1423" s="55"/>
      <c r="AU1423" s="55"/>
      <c r="AV1423" s="55"/>
      <c r="AW1423" s="55"/>
      <c r="AX1423" s="55"/>
      <c r="AY1423" s="55"/>
      <c r="AZ1423" s="55"/>
    </row>
    <row r="1424" spans="1:52" ht="12.75" customHeight="1" x14ac:dyDescent="0.2">
      <c r="A1424" s="55"/>
      <c r="B1424" s="76"/>
      <c r="C1424" s="77"/>
      <c r="D1424" s="77"/>
      <c r="E1424" s="55"/>
      <c r="F1424" s="55"/>
      <c r="G1424" s="55"/>
      <c r="H1424" s="55"/>
      <c r="I1424" s="55"/>
      <c r="J1424" s="55"/>
      <c r="K1424" s="55"/>
      <c r="L1424" s="55"/>
      <c r="M1424" s="55"/>
      <c r="N1424" s="55"/>
      <c r="O1424" s="55"/>
      <c r="P1424" s="55"/>
      <c r="Q1424" s="55"/>
      <c r="R1424" s="55"/>
      <c r="S1424" s="55"/>
      <c r="T1424" s="55"/>
      <c r="U1424" s="55"/>
      <c r="V1424" s="55"/>
      <c r="W1424" s="55"/>
      <c r="X1424" s="55"/>
      <c r="Y1424" s="55"/>
      <c r="Z1424" s="55"/>
      <c r="AA1424" s="55"/>
      <c r="AB1424" s="55"/>
      <c r="AC1424" s="55"/>
      <c r="AD1424" s="55"/>
      <c r="AE1424" s="55"/>
      <c r="AF1424" s="55"/>
      <c r="AG1424" s="55"/>
      <c r="AH1424" s="55"/>
      <c r="AI1424" s="55"/>
      <c r="AJ1424" s="55"/>
      <c r="AK1424" s="55"/>
      <c r="AL1424" s="55"/>
      <c r="AM1424" s="55"/>
      <c r="AN1424" s="55"/>
      <c r="AO1424" s="55"/>
      <c r="AP1424" s="55"/>
      <c r="AQ1424" s="55"/>
      <c r="AR1424" s="55"/>
      <c r="AS1424" s="55"/>
      <c r="AT1424" s="55"/>
      <c r="AU1424" s="55"/>
      <c r="AV1424" s="55"/>
      <c r="AW1424" s="55"/>
      <c r="AX1424" s="55"/>
      <c r="AY1424" s="55"/>
      <c r="AZ1424" s="55"/>
    </row>
    <row r="1425" spans="1:52" ht="12.75" customHeight="1" x14ac:dyDescent="0.2">
      <c r="A1425" s="55"/>
      <c r="B1425" s="76"/>
      <c r="C1425" s="77"/>
      <c r="D1425" s="77"/>
      <c r="E1425" s="55"/>
      <c r="F1425" s="55"/>
      <c r="G1425" s="55"/>
      <c r="H1425" s="55"/>
      <c r="I1425" s="55"/>
      <c r="J1425" s="55"/>
      <c r="K1425" s="55"/>
      <c r="L1425" s="55"/>
      <c r="M1425" s="55"/>
      <c r="N1425" s="55"/>
      <c r="O1425" s="55"/>
      <c r="P1425" s="55"/>
      <c r="Q1425" s="55"/>
      <c r="R1425" s="55"/>
      <c r="S1425" s="55"/>
      <c r="T1425" s="55"/>
      <c r="U1425" s="55"/>
      <c r="V1425" s="55"/>
      <c r="W1425" s="55"/>
      <c r="X1425" s="55"/>
      <c r="Y1425" s="55"/>
      <c r="Z1425" s="55"/>
      <c r="AA1425" s="55"/>
      <c r="AB1425" s="55"/>
      <c r="AC1425" s="55"/>
      <c r="AD1425" s="55"/>
      <c r="AE1425" s="55"/>
      <c r="AF1425" s="55"/>
      <c r="AG1425" s="55"/>
      <c r="AH1425" s="55"/>
      <c r="AI1425" s="55"/>
      <c r="AJ1425" s="55"/>
      <c r="AK1425" s="55"/>
      <c r="AL1425" s="55"/>
      <c r="AM1425" s="55"/>
      <c r="AN1425" s="55"/>
      <c r="AO1425" s="55"/>
      <c r="AP1425" s="55"/>
      <c r="AQ1425" s="55"/>
      <c r="AR1425" s="55"/>
      <c r="AS1425" s="55"/>
      <c r="AT1425" s="55"/>
      <c r="AU1425" s="55"/>
      <c r="AV1425" s="55"/>
      <c r="AW1425" s="55"/>
      <c r="AX1425" s="55"/>
      <c r="AY1425" s="55"/>
      <c r="AZ1425" s="55"/>
    </row>
    <row r="1426" spans="1:52" ht="12.75" customHeight="1" x14ac:dyDescent="0.2">
      <c r="A1426" s="55"/>
      <c r="B1426" s="76"/>
      <c r="C1426" s="77"/>
      <c r="D1426" s="77"/>
      <c r="E1426" s="55"/>
      <c r="F1426" s="55"/>
      <c r="G1426" s="55"/>
      <c r="H1426" s="55"/>
      <c r="I1426" s="55"/>
      <c r="J1426" s="55"/>
      <c r="K1426" s="55"/>
      <c r="L1426" s="55"/>
      <c r="M1426" s="55"/>
      <c r="N1426" s="55"/>
      <c r="O1426" s="55"/>
      <c r="P1426" s="55"/>
      <c r="Q1426" s="55"/>
      <c r="R1426" s="55"/>
      <c r="S1426" s="82"/>
      <c r="T1426" s="55"/>
      <c r="U1426" s="55"/>
      <c r="V1426" s="55"/>
      <c r="W1426" s="55"/>
      <c r="X1426" s="55"/>
      <c r="Y1426" s="55"/>
      <c r="Z1426" s="55"/>
      <c r="AA1426" s="55"/>
      <c r="AB1426" s="55"/>
      <c r="AC1426" s="55"/>
      <c r="AD1426" s="55"/>
      <c r="AE1426" s="55"/>
      <c r="AF1426" s="55"/>
      <c r="AG1426" s="55"/>
      <c r="AH1426" s="55"/>
      <c r="AI1426" s="55"/>
      <c r="AJ1426" s="55"/>
      <c r="AK1426" s="55"/>
      <c r="AL1426" s="55"/>
      <c r="AM1426" s="55"/>
      <c r="AN1426" s="55"/>
      <c r="AO1426" s="55"/>
      <c r="AP1426" s="55"/>
      <c r="AQ1426" s="55"/>
      <c r="AR1426" s="55"/>
      <c r="AS1426" s="55"/>
      <c r="AT1426" s="55"/>
      <c r="AU1426" s="55"/>
      <c r="AV1426" s="55"/>
      <c r="AW1426" s="55"/>
      <c r="AX1426" s="55"/>
      <c r="AY1426" s="55"/>
      <c r="AZ1426" s="55"/>
    </row>
    <row r="1427" spans="1:52" ht="12.75" customHeight="1" x14ac:dyDescent="0.2">
      <c r="A1427" s="55"/>
      <c r="B1427" s="76"/>
      <c r="C1427" s="77"/>
      <c r="D1427" s="77"/>
      <c r="E1427" s="55"/>
      <c r="F1427" s="55"/>
      <c r="G1427" s="55"/>
      <c r="H1427" s="55"/>
      <c r="I1427" s="55"/>
      <c r="J1427" s="55"/>
      <c r="K1427" s="55"/>
      <c r="L1427" s="55"/>
      <c r="M1427" s="55"/>
      <c r="N1427" s="55"/>
      <c r="O1427" s="55"/>
      <c r="P1427" s="55"/>
      <c r="Q1427" s="55"/>
      <c r="R1427" s="55"/>
      <c r="S1427" s="82"/>
      <c r="T1427" s="55"/>
      <c r="U1427" s="55"/>
      <c r="V1427" s="55"/>
      <c r="W1427" s="55"/>
      <c r="X1427" s="55"/>
      <c r="Y1427" s="55"/>
      <c r="Z1427" s="55"/>
      <c r="AA1427" s="55"/>
      <c r="AB1427" s="55"/>
      <c r="AC1427" s="55"/>
      <c r="AD1427" s="55"/>
      <c r="AE1427" s="55"/>
      <c r="AF1427" s="55"/>
      <c r="AG1427" s="55"/>
      <c r="AH1427" s="55"/>
      <c r="AI1427" s="55"/>
      <c r="AJ1427" s="55"/>
      <c r="AK1427" s="55"/>
      <c r="AL1427" s="55"/>
      <c r="AM1427" s="55"/>
      <c r="AN1427" s="55"/>
      <c r="AO1427" s="55"/>
      <c r="AP1427" s="55"/>
      <c r="AQ1427" s="55"/>
      <c r="AR1427" s="55"/>
      <c r="AS1427" s="55"/>
      <c r="AT1427" s="55"/>
      <c r="AU1427" s="55"/>
      <c r="AV1427" s="55"/>
      <c r="AW1427" s="55"/>
      <c r="AX1427" s="55"/>
      <c r="AY1427" s="55"/>
      <c r="AZ1427" s="55"/>
    </row>
    <row r="1428" spans="1:52" ht="12.75" customHeight="1" x14ac:dyDescent="0.2">
      <c r="A1428" s="55"/>
      <c r="B1428" s="76"/>
      <c r="C1428" s="77"/>
      <c r="D1428" s="77"/>
      <c r="E1428" s="55"/>
      <c r="F1428" s="55"/>
      <c r="G1428" s="55"/>
      <c r="H1428" s="55"/>
      <c r="I1428" s="55"/>
      <c r="J1428" s="55"/>
      <c r="K1428" s="55"/>
      <c r="L1428" s="55"/>
      <c r="M1428" s="55"/>
      <c r="N1428" s="55"/>
      <c r="O1428" s="55"/>
      <c r="P1428" s="55"/>
      <c r="Q1428" s="55"/>
      <c r="R1428" s="55"/>
      <c r="S1428" s="62"/>
      <c r="T1428" s="55"/>
      <c r="U1428" s="55"/>
      <c r="V1428" s="55"/>
      <c r="W1428" s="55"/>
      <c r="X1428" s="55"/>
      <c r="Y1428" s="55"/>
      <c r="Z1428" s="55"/>
      <c r="AA1428" s="55"/>
      <c r="AB1428" s="55"/>
      <c r="AC1428" s="55"/>
      <c r="AD1428" s="55"/>
      <c r="AE1428" s="55"/>
      <c r="AF1428" s="55"/>
      <c r="AG1428" s="55"/>
      <c r="AH1428" s="55"/>
      <c r="AI1428" s="55"/>
      <c r="AJ1428" s="55"/>
      <c r="AK1428" s="55"/>
      <c r="AL1428" s="55"/>
      <c r="AM1428" s="55"/>
      <c r="AN1428" s="55"/>
      <c r="AO1428" s="55"/>
      <c r="AP1428" s="55"/>
      <c r="AQ1428" s="55"/>
      <c r="AR1428" s="55"/>
      <c r="AS1428" s="55"/>
      <c r="AT1428" s="55"/>
      <c r="AU1428" s="55"/>
      <c r="AV1428" s="55"/>
      <c r="AW1428" s="55"/>
      <c r="AX1428" s="55"/>
      <c r="AY1428" s="55"/>
      <c r="AZ1428" s="55"/>
    </row>
    <row r="1429" spans="1:52" ht="12.75" customHeight="1" x14ac:dyDescent="0.2">
      <c r="A1429" s="55"/>
      <c r="B1429" s="76"/>
      <c r="C1429" s="77"/>
      <c r="D1429" s="77"/>
      <c r="E1429" s="55"/>
      <c r="F1429" s="55"/>
      <c r="G1429" s="55"/>
      <c r="H1429" s="55"/>
      <c r="I1429" s="55"/>
      <c r="J1429" s="55"/>
      <c r="K1429" s="55"/>
      <c r="L1429" s="55"/>
      <c r="M1429" s="55"/>
      <c r="N1429" s="55"/>
      <c r="O1429" s="55"/>
      <c r="P1429" s="55"/>
      <c r="Q1429" s="55"/>
      <c r="R1429" s="55"/>
      <c r="S1429" s="62"/>
      <c r="T1429" s="55"/>
      <c r="U1429" s="55"/>
      <c r="V1429" s="55"/>
      <c r="W1429" s="55"/>
      <c r="X1429" s="55"/>
      <c r="Y1429" s="55"/>
      <c r="Z1429" s="55"/>
      <c r="AA1429" s="55"/>
      <c r="AB1429" s="55"/>
      <c r="AC1429" s="55"/>
      <c r="AD1429" s="55"/>
      <c r="AE1429" s="55"/>
      <c r="AF1429" s="55"/>
      <c r="AG1429" s="55"/>
      <c r="AH1429" s="55"/>
      <c r="AI1429" s="55"/>
      <c r="AJ1429" s="55"/>
      <c r="AK1429" s="55"/>
      <c r="AL1429" s="55"/>
      <c r="AM1429" s="55"/>
      <c r="AN1429" s="55"/>
      <c r="AO1429" s="55"/>
      <c r="AP1429" s="55"/>
      <c r="AQ1429" s="55"/>
      <c r="AR1429" s="55"/>
      <c r="AS1429" s="55"/>
      <c r="AT1429" s="55"/>
      <c r="AU1429" s="55"/>
      <c r="AV1429" s="55"/>
      <c r="AW1429" s="55"/>
      <c r="AX1429" s="55"/>
      <c r="AY1429" s="55"/>
      <c r="AZ1429" s="55"/>
    </row>
    <row r="1430" spans="1:52" ht="12.75" customHeight="1" x14ac:dyDescent="0.2">
      <c r="A1430" s="55"/>
      <c r="B1430" s="76"/>
      <c r="C1430" s="77"/>
      <c r="D1430" s="77"/>
      <c r="E1430" s="55"/>
      <c r="F1430" s="55"/>
      <c r="G1430" s="55"/>
      <c r="H1430" s="55"/>
      <c r="I1430" s="55"/>
      <c r="J1430" s="55"/>
      <c r="K1430" s="55"/>
      <c r="L1430" s="55"/>
      <c r="M1430" s="55"/>
      <c r="N1430" s="55"/>
      <c r="O1430" s="55"/>
      <c r="P1430" s="55"/>
      <c r="Q1430" s="55"/>
      <c r="R1430" s="55"/>
      <c r="S1430" s="62"/>
      <c r="T1430" s="55"/>
      <c r="U1430" s="55"/>
      <c r="V1430" s="55"/>
      <c r="W1430" s="55"/>
      <c r="X1430" s="55"/>
      <c r="Y1430" s="55"/>
      <c r="Z1430" s="55"/>
      <c r="AA1430" s="55"/>
      <c r="AB1430" s="55"/>
      <c r="AC1430" s="55"/>
      <c r="AD1430" s="55"/>
      <c r="AE1430" s="55"/>
      <c r="AF1430" s="55"/>
      <c r="AG1430" s="55"/>
      <c r="AH1430" s="55"/>
      <c r="AI1430" s="55"/>
      <c r="AJ1430" s="55"/>
      <c r="AK1430" s="55"/>
      <c r="AL1430" s="55"/>
      <c r="AM1430" s="55"/>
      <c r="AN1430" s="55"/>
      <c r="AO1430" s="55"/>
      <c r="AP1430" s="55"/>
      <c r="AQ1430" s="55"/>
      <c r="AR1430" s="55"/>
      <c r="AS1430" s="55"/>
      <c r="AT1430" s="55"/>
      <c r="AU1430" s="55"/>
      <c r="AV1430" s="55"/>
      <c r="AW1430" s="55"/>
      <c r="AX1430" s="55"/>
      <c r="AY1430" s="55"/>
      <c r="AZ1430" s="55"/>
    </row>
    <row r="1431" spans="1:52" ht="12.75" customHeight="1" x14ac:dyDescent="0.2">
      <c r="A1431" s="55"/>
      <c r="B1431" s="76"/>
      <c r="C1431" s="77"/>
      <c r="D1431" s="77"/>
      <c r="E1431" s="55"/>
      <c r="F1431" s="55"/>
      <c r="G1431" s="55"/>
      <c r="H1431" s="55"/>
      <c r="I1431" s="55"/>
      <c r="J1431" s="55"/>
      <c r="K1431" s="55"/>
      <c r="L1431" s="55"/>
      <c r="M1431" s="55"/>
      <c r="N1431" s="55"/>
      <c r="O1431" s="55"/>
      <c r="P1431" s="55"/>
      <c r="Q1431" s="55"/>
      <c r="R1431" s="55"/>
      <c r="S1431" s="62"/>
      <c r="T1431" s="55"/>
      <c r="U1431" s="55"/>
      <c r="V1431" s="55"/>
      <c r="W1431" s="55"/>
      <c r="X1431" s="55"/>
      <c r="Y1431" s="55"/>
      <c r="Z1431" s="55"/>
      <c r="AA1431" s="55"/>
      <c r="AB1431" s="55"/>
      <c r="AC1431" s="55"/>
      <c r="AD1431" s="55"/>
      <c r="AE1431" s="55"/>
      <c r="AF1431" s="55"/>
      <c r="AG1431" s="55"/>
      <c r="AH1431" s="55"/>
      <c r="AI1431" s="55"/>
      <c r="AJ1431" s="55"/>
      <c r="AK1431" s="55"/>
      <c r="AL1431" s="55"/>
      <c r="AM1431" s="55"/>
      <c r="AN1431" s="55"/>
      <c r="AO1431" s="55"/>
      <c r="AP1431" s="55"/>
      <c r="AQ1431" s="55"/>
      <c r="AR1431" s="55"/>
      <c r="AS1431" s="55"/>
      <c r="AT1431" s="55"/>
      <c r="AU1431" s="55"/>
      <c r="AV1431" s="55"/>
      <c r="AW1431" s="55"/>
      <c r="AX1431" s="55"/>
      <c r="AY1431" s="55"/>
      <c r="AZ1431" s="55"/>
    </row>
    <row r="1432" spans="1:52" ht="12.75" customHeight="1" x14ac:dyDescent="0.2">
      <c r="A1432" s="55"/>
      <c r="B1432" s="76"/>
      <c r="C1432" s="77"/>
      <c r="D1432" s="77"/>
      <c r="E1432" s="55"/>
      <c r="F1432" s="55"/>
      <c r="G1432" s="55"/>
      <c r="H1432" s="55"/>
      <c r="I1432" s="55"/>
      <c r="J1432" s="55"/>
      <c r="K1432" s="55"/>
      <c r="L1432" s="55"/>
      <c r="M1432" s="55"/>
      <c r="N1432" s="55"/>
      <c r="O1432" s="55"/>
      <c r="P1432" s="55"/>
      <c r="Q1432" s="55"/>
      <c r="R1432" s="55"/>
      <c r="S1432" s="62"/>
      <c r="T1432" s="55"/>
      <c r="U1432" s="55"/>
      <c r="V1432" s="55"/>
      <c r="W1432" s="55"/>
      <c r="X1432" s="55"/>
      <c r="Y1432" s="55"/>
      <c r="Z1432" s="55"/>
      <c r="AA1432" s="55"/>
      <c r="AB1432" s="55"/>
      <c r="AC1432" s="55"/>
      <c r="AD1432" s="55"/>
      <c r="AE1432" s="55"/>
      <c r="AF1432" s="55"/>
      <c r="AG1432" s="55"/>
      <c r="AH1432" s="55"/>
      <c r="AI1432" s="55"/>
      <c r="AJ1432" s="55"/>
      <c r="AK1432" s="55"/>
      <c r="AL1432" s="55"/>
      <c r="AM1432" s="55"/>
      <c r="AN1432" s="55"/>
      <c r="AO1432" s="55"/>
      <c r="AP1432" s="55"/>
      <c r="AQ1432" s="55"/>
      <c r="AR1432" s="55"/>
      <c r="AS1432" s="55"/>
      <c r="AT1432" s="55"/>
      <c r="AU1432" s="55"/>
      <c r="AV1432" s="55"/>
      <c r="AW1432" s="55"/>
      <c r="AX1432" s="55"/>
      <c r="AY1432" s="55"/>
      <c r="AZ1432" s="55"/>
    </row>
    <row r="1433" spans="1:52" ht="12.75" customHeight="1" x14ac:dyDescent="0.2">
      <c r="A1433" s="55"/>
      <c r="B1433" s="76"/>
      <c r="C1433" s="77"/>
      <c r="D1433" s="77"/>
      <c r="E1433" s="55"/>
      <c r="F1433" s="55"/>
      <c r="G1433" s="55"/>
      <c r="H1433" s="55"/>
      <c r="I1433" s="55"/>
      <c r="J1433" s="55"/>
      <c r="K1433" s="55"/>
      <c r="L1433" s="55"/>
      <c r="M1433" s="55"/>
      <c r="N1433" s="55"/>
      <c r="O1433" s="55"/>
      <c r="P1433" s="55"/>
      <c r="Q1433" s="55"/>
      <c r="R1433" s="55"/>
      <c r="S1433" s="62"/>
      <c r="T1433" s="55"/>
      <c r="U1433" s="55"/>
      <c r="V1433" s="55"/>
      <c r="W1433" s="55"/>
      <c r="X1433" s="55"/>
      <c r="Y1433" s="55"/>
      <c r="Z1433" s="55"/>
      <c r="AA1433" s="55"/>
      <c r="AB1433" s="55"/>
      <c r="AC1433" s="55"/>
      <c r="AD1433" s="55"/>
      <c r="AE1433" s="55"/>
      <c r="AF1433" s="55"/>
      <c r="AG1433" s="55"/>
      <c r="AH1433" s="55"/>
      <c r="AI1433" s="55"/>
      <c r="AJ1433" s="55"/>
      <c r="AK1433" s="55"/>
      <c r="AL1433" s="55"/>
      <c r="AM1433" s="55"/>
      <c r="AN1433" s="55"/>
      <c r="AO1433" s="55"/>
      <c r="AP1433" s="55"/>
      <c r="AQ1433" s="55"/>
      <c r="AR1433" s="55"/>
      <c r="AS1433" s="55"/>
      <c r="AT1433" s="55"/>
      <c r="AU1433" s="55"/>
      <c r="AV1433" s="55"/>
      <c r="AW1433" s="55"/>
      <c r="AX1433" s="55"/>
      <c r="AY1433" s="55"/>
      <c r="AZ1433" s="55"/>
    </row>
    <row r="1434" spans="1:52" ht="12.75" customHeight="1" x14ac:dyDescent="0.2">
      <c r="A1434" s="55"/>
      <c r="B1434" s="76"/>
      <c r="C1434" s="77"/>
      <c r="D1434" s="77"/>
      <c r="E1434" s="55"/>
      <c r="F1434" s="55"/>
      <c r="G1434" s="55"/>
      <c r="H1434" s="55"/>
      <c r="I1434" s="55"/>
      <c r="J1434" s="55"/>
      <c r="K1434" s="55"/>
      <c r="L1434" s="55"/>
      <c r="M1434" s="55"/>
      <c r="N1434" s="55"/>
      <c r="O1434" s="55"/>
      <c r="P1434" s="55"/>
      <c r="Q1434" s="55"/>
      <c r="R1434" s="55"/>
      <c r="S1434" s="62"/>
      <c r="T1434" s="55"/>
      <c r="U1434" s="55"/>
      <c r="V1434" s="55"/>
      <c r="W1434" s="55"/>
      <c r="X1434" s="55"/>
      <c r="Y1434" s="55"/>
      <c r="Z1434" s="55"/>
      <c r="AA1434" s="55"/>
      <c r="AB1434" s="55"/>
      <c r="AC1434" s="55"/>
      <c r="AD1434" s="55"/>
      <c r="AE1434" s="55"/>
      <c r="AF1434" s="55"/>
      <c r="AG1434" s="55"/>
      <c r="AH1434" s="55"/>
      <c r="AI1434" s="55"/>
      <c r="AJ1434" s="55"/>
      <c r="AK1434" s="55"/>
      <c r="AL1434" s="55"/>
      <c r="AM1434" s="55"/>
      <c r="AN1434" s="55"/>
      <c r="AO1434" s="55"/>
      <c r="AP1434" s="55"/>
      <c r="AQ1434" s="55"/>
      <c r="AR1434" s="55"/>
      <c r="AS1434" s="55"/>
      <c r="AT1434" s="55"/>
      <c r="AU1434" s="55"/>
      <c r="AV1434" s="55"/>
      <c r="AW1434" s="55"/>
      <c r="AX1434" s="55"/>
      <c r="AY1434" s="55"/>
      <c r="AZ1434" s="55"/>
    </row>
    <row r="1435" spans="1:52" ht="12.75" customHeight="1" x14ac:dyDescent="0.2">
      <c r="A1435" s="55"/>
      <c r="B1435" s="76"/>
      <c r="C1435" s="77"/>
      <c r="D1435" s="77"/>
      <c r="E1435" s="55"/>
      <c r="F1435" s="55"/>
      <c r="G1435" s="55"/>
      <c r="H1435" s="55"/>
      <c r="I1435" s="55"/>
      <c r="J1435" s="55"/>
      <c r="K1435" s="55"/>
      <c r="L1435" s="55"/>
      <c r="M1435" s="55"/>
      <c r="N1435" s="55"/>
      <c r="O1435" s="55"/>
      <c r="P1435" s="55"/>
      <c r="Q1435" s="55"/>
      <c r="R1435" s="55"/>
      <c r="S1435" s="62"/>
      <c r="T1435" s="55"/>
      <c r="U1435" s="55"/>
      <c r="V1435" s="55"/>
      <c r="W1435" s="55"/>
      <c r="X1435" s="55"/>
      <c r="Y1435" s="55"/>
      <c r="Z1435" s="55"/>
      <c r="AA1435" s="55"/>
      <c r="AB1435" s="55"/>
      <c r="AC1435" s="55"/>
      <c r="AD1435" s="55"/>
      <c r="AE1435" s="55"/>
      <c r="AF1435" s="55"/>
      <c r="AG1435" s="55"/>
      <c r="AH1435" s="55"/>
      <c r="AI1435" s="55"/>
      <c r="AJ1435" s="55"/>
      <c r="AK1435" s="55"/>
      <c r="AL1435" s="55"/>
      <c r="AM1435" s="55"/>
      <c r="AN1435" s="55"/>
      <c r="AO1435" s="55"/>
      <c r="AP1435" s="55"/>
      <c r="AQ1435" s="55"/>
      <c r="AR1435" s="55"/>
      <c r="AS1435" s="55"/>
      <c r="AT1435" s="55"/>
      <c r="AU1435" s="55"/>
      <c r="AV1435" s="55"/>
      <c r="AW1435" s="55"/>
      <c r="AX1435" s="55"/>
      <c r="AY1435" s="55"/>
      <c r="AZ1435" s="55"/>
    </row>
    <row r="1436" spans="1:52" ht="12.75" customHeight="1" x14ac:dyDescent="0.2">
      <c r="A1436" s="55"/>
      <c r="B1436" s="76"/>
      <c r="C1436" s="77"/>
      <c r="D1436" s="77"/>
      <c r="E1436" s="55"/>
      <c r="F1436" s="55"/>
      <c r="G1436" s="55"/>
      <c r="H1436" s="55"/>
      <c r="I1436" s="55"/>
      <c r="J1436" s="55"/>
      <c r="K1436" s="55"/>
      <c r="L1436" s="55"/>
      <c r="M1436" s="55"/>
      <c r="N1436" s="55"/>
      <c r="O1436" s="55"/>
      <c r="P1436" s="55"/>
      <c r="Q1436" s="55"/>
      <c r="R1436" s="55"/>
      <c r="S1436" s="62"/>
      <c r="T1436" s="55"/>
      <c r="U1436" s="55"/>
      <c r="V1436" s="55"/>
      <c r="W1436" s="55"/>
      <c r="X1436" s="55"/>
      <c r="Y1436" s="55"/>
      <c r="Z1436" s="55"/>
      <c r="AA1436" s="55"/>
      <c r="AB1436" s="55"/>
      <c r="AC1436" s="55"/>
      <c r="AD1436" s="55"/>
      <c r="AE1436" s="55"/>
      <c r="AF1436" s="55"/>
      <c r="AG1436" s="55"/>
      <c r="AH1436" s="55"/>
      <c r="AI1436" s="55"/>
      <c r="AJ1436" s="55"/>
      <c r="AK1436" s="55"/>
      <c r="AL1436" s="55"/>
      <c r="AM1436" s="55"/>
      <c r="AN1436" s="55"/>
      <c r="AO1436" s="55"/>
      <c r="AP1436" s="55"/>
      <c r="AQ1436" s="55"/>
      <c r="AR1436" s="55"/>
      <c r="AS1436" s="55"/>
      <c r="AT1436" s="55"/>
      <c r="AU1436" s="55"/>
      <c r="AV1436" s="55"/>
      <c r="AW1436" s="55"/>
      <c r="AX1436" s="55"/>
      <c r="AY1436" s="55"/>
      <c r="AZ1436" s="55"/>
    </row>
    <row r="1437" spans="1:52" ht="12.75" customHeight="1" x14ac:dyDescent="0.2">
      <c r="A1437" s="55"/>
      <c r="B1437" s="76"/>
      <c r="C1437" s="77"/>
      <c r="D1437" s="77"/>
      <c r="E1437" s="55"/>
      <c r="F1437" s="55"/>
      <c r="G1437" s="55"/>
      <c r="H1437" s="55"/>
      <c r="I1437" s="55"/>
      <c r="J1437" s="55"/>
      <c r="K1437" s="55"/>
      <c r="L1437" s="55"/>
      <c r="M1437" s="55"/>
      <c r="N1437" s="55"/>
      <c r="O1437" s="55"/>
      <c r="P1437" s="55"/>
      <c r="Q1437" s="55"/>
      <c r="R1437" s="55"/>
      <c r="S1437" s="55"/>
      <c r="T1437" s="55"/>
      <c r="U1437" s="55"/>
      <c r="V1437" s="55"/>
      <c r="W1437" s="55"/>
      <c r="X1437" s="55"/>
      <c r="Y1437" s="55"/>
      <c r="Z1437" s="55"/>
      <c r="AA1437" s="55"/>
      <c r="AB1437" s="55"/>
      <c r="AC1437" s="55"/>
      <c r="AD1437" s="55"/>
      <c r="AE1437" s="55"/>
      <c r="AF1437" s="55"/>
      <c r="AG1437" s="55"/>
      <c r="AH1437" s="55"/>
      <c r="AI1437" s="55"/>
      <c r="AJ1437" s="55"/>
      <c r="AK1437" s="55"/>
      <c r="AL1437" s="55"/>
      <c r="AM1437" s="55"/>
      <c r="AN1437" s="55"/>
      <c r="AO1437" s="55"/>
      <c r="AP1437" s="55"/>
      <c r="AQ1437" s="55"/>
      <c r="AR1437" s="55"/>
      <c r="AS1437" s="55"/>
      <c r="AT1437" s="55"/>
      <c r="AU1437" s="55"/>
      <c r="AV1437" s="55"/>
      <c r="AW1437" s="55"/>
      <c r="AX1437" s="55"/>
      <c r="AY1437" s="55"/>
      <c r="AZ1437" s="55"/>
    </row>
    <row r="1438" spans="1:52" ht="12.75" customHeight="1" x14ac:dyDescent="0.2">
      <c r="A1438" s="55"/>
      <c r="B1438" s="76"/>
      <c r="C1438" s="77"/>
      <c r="D1438" s="77"/>
      <c r="E1438" s="55"/>
      <c r="F1438" s="55"/>
      <c r="G1438" s="55"/>
      <c r="H1438" s="55"/>
      <c r="I1438" s="55"/>
      <c r="J1438" s="55"/>
      <c r="K1438" s="55"/>
      <c r="L1438" s="55"/>
      <c r="M1438" s="55"/>
      <c r="N1438" s="55"/>
      <c r="O1438" s="55"/>
      <c r="P1438" s="55"/>
      <c r="Q1438" s="55"/>
      <c r="R1438" s="55"/>
      <c r="S1438" s="55"/>
      <c r="T1438" s="55"/>
      <c r="U1438" s="55"/>
      <c r="V1438" s="55"/>
      <c r="W1438" s="55"/>
      <c r="X1438" s="55"/>
      <c r="Y1438" s="55"/>
      <c r="Z1438" s="55"/>
      <c r="AA1438" s="55"/>
      <c r="AB1438" s="55"/>
      <c r="AC1438" s="55"/>
      <c r="AD1438" s="55"/>
      <c r="AE1438" s="55"/>
      <c r="AF1438" s="55"/>
      <c r="AG1438" s="55"/>
      <c r="AH1438" s="55"/>
      <c r="AI1438" s="55"/>
      <c r="AJ1438" s="55"/>
      <c r="AK1438" s="55"/>
      <c r="AL1438" s="55"/>
      <c r="AM1438" s="55"/>
      <c r="AN1438" s="55"/>
      <c r="AO1438" s="55"/>
      <c r="AP1438" s="55"/>
      <c r="AQ1438" s="55"/>
      <c r="AR1438" s="55"/>
      <c r="AS1438" s="55"/>
      <c r="AT1438" s="55"/>
      <c r="AU1438" s="55"/>
      <c r="AV1438" s="55"/>
      <c r="AW1438" s="55"/>
      <c r="AX1438" s="55"/>
      <c r="AY1438" s="55"/>
      <c r="AZ1438" s="55"/>
    </row>
    <row r="1439" spans="1:52" ht="12.75" customHeight="1" x14ac:dyDescent="0.2">
      <c r="A1439" s="55"/>
      <c r="B1439" s="76"/>
      <c r="C1439" s="77"/>
      <c r="D1439" s="77"/>
      <c r="E1439" s="55"/>
      <c r="F1439" s="55"/>
      <c r="G1439" s="55"/>
      <c r="H1439" s="55"/>
      <c r="I1439" s="55"/>
      <c r="J1439" s="55"/>
      <c r="K1439" s="55"/>
      <c r="L1439" s="55"/>
      <c r="M1439" s="55"/>
      <c r="N1439" s="55"/>
      <c r="O1439" s="55"/>
      <c r="P1439" s="55"/>
      <c r="Q1439" s="55"/>
      <c r="R1439" s="55"/>
      <c r="S1439" s="55"/>
      <c r="T1439" s="55"/>
      <c r="U1439" s="55"/>
      <c r="V1439" s="55"/>
      <c r="W1439" s="55"/>
      <c r="X1439" s="55"/>
      <c r="Y1439" s="55"/>
      <c r="Z1439" s="55"/>
      <c r="AA1439" s="55"/>
      <c r="AB1439" s="55"/>
      <c r="AC1439" s="55"/>
      <c r="AD1439" s="55"/>
      <c r="AE1439" s="55"/>
      <c r="AF1439" s="55"/>
      <c r="AG1439" s="55"/>
      <c r="AH1439" s="55"/>
      <c r="AI1439" s="55"/>
      <c r="AJ1439" s="55"/>
      <c r="AK1439" s="55"/>
      <c r="AL1439" s="55"/>
      <c r="AM1439" s="55"/>
      <c r="AN1439" s="55"/>
      <c r="AO1439" s="55"/>
      <c r="AP1439" s="55"/>
      <c r="AQ1439" s="55"/>
      <c r="AR1439" s="55"/>
      <c r="AS1439" s="55"/>
      <c r="AT1439" s="55"/>
      <c r="AU1439" s="55"/>
      <c r="AV1439" s="55"/>
      <c r="AW1439" s="55"/>
      <c r="AX1439" s="55"/>
      <c r="AY1439" s="55"/>
      <c r="AZ1439" s="55"/>
    </row>
    <row r="1440" spans="1:52" ht="12.75" customHeight="1" x14ac:dyDescent="0.2">
      <c r="A1440" s="55"/>
      <c r="B1440" s="76"/>
      <c r="C1440" s="77"/>
      <c r="D1440" s="77"/>
      <c r="E1440" s="55"/>
      <c r="F1440" s="55"/>
      <c r="G1440" s="55"/>
      <c r="H1440" s="55"/>
      <c r="I1440" s="55"/>
      <c r="J1440" s="55"/>
      <c r="K1440" s="55"/>
      <c r="L1440" s="55"/>
      <c r="M1440" s="55"/>
      <c r="N1440" s="55"/>
      <c r="O1440" s="55"/>
      <c r="P1440" s="55"/>
      <c r="Q1440" s="55"/>
      <c r="R1440" s="55"/>
      <c r="S1440" s="55"/>
      <c r="T1440" s="55"/>
      <c r="U1440" s="55"/>
      <c r="V1440" s="55"/>
      <c r="W1440" s="55"/>
      <c r="X1440" s="55"/>
      <c r="Y1440" s="55"/>
      <c r="Z1440" s="55"/>
      <c r="AA1440" s="55"/>
      <c r="AB1440" s="55"/>
      <c r="AC1440" s="55"/>
      <c r="AD1440" s="55"/>
      <c r="AE1440" s="55"/>
      <c r="AF1440" s="55"/>
      <c r="AG1440" s="55"/>
      <c r="AH1440" s="55"/>
      <c r="AI1440" s="55"/>
      <c r="AJ1440" s="55"/>
      <c r="AK1440" s="55"/>
      <c r="AL1440" s="55"/>
      <c r="AM1440" s="55"/>
      <c r="AN1440" s="55"/>
      <c r="AO1440" s="55"/>
      <c r="AP1440" s="55"/>
      <c r="AQ1440" s="55"/>
      <c r="AR1440" s="55"/>
      <c r="AS1440" s="55"/>
      <c r="AT1440" s="55"/>
      <c r="AU1440" s="55"/>
      <c r="AV1440" s="55"/>
      <c r="AW1440" s="55"/>
      <c r="AX1440" s="55"/>
      <c r="AY1440" s="55"/>
      <c r="AZ1440" s="55"/>
    </row>
    <row r="1441" spans="1:52" ht="12.75" customHeight="1" x14ac:dyDescent="0.2">
      <c r="A1441" s="55"/>
      <c r="B1441" s="76"/>
      <c r="C1441" s="77"/>
      <c r="D1441" s="77"/>
      <c r="E1441" s="55"/>
      <c r="F1441" s="55"/>
      <c r="G1441" s="55"/>
      <c r="H1441" s="55"/>
      <c r="I1441" s="55"/>
      <c r="J1441" s="55"/>
      <c r="K1441" s="55"/>
      <c r="L1441" s="55"/>
      <c r="M1441" s="55"/>
      <c r="N1441" s="55"/>
      <c r="O1441" s="55"/>
      <c r="P1441" s="55"/>
      <c r="Q1441" s="55"/>
      <c r="R1441" s="55"/>
      <c r="S1441" s="55"/>
      <c r="T1441" s="55"/>
      <c r="U1441" s="55"/>
      <c r="V1441" s="55"/>
      <c r="W1441" s="55"/>
      <c r="X1441" s="55"/>
      <c r="Y1441" s="55"/>
      <c r="Z1441" s="55"/>
      <c r="AA1441" s="55"/>
      <c r="AB1441" s="55"/>
      <c r="AC1441" s="55"/>
      <c r="AD1441" s="55"/>
      <c r="AE1441" s="55"/>
      <c r="AF1441" s="55"/>
      <c r="AG1441" s="55"/>
      <c r="AH1441" s="55"/>
      <c r="AI1441" s="55"/>
      <c r="AJ1441" s="55"/>
      <c r="AK1441" s="55"/>
      <c r="AL1441" s="55"/>
      <c r="AM1441" s="55"/>
      <c r="AN1441" s="55"/>
      <c r="AO1441" s="55"/>
      <c r="AP1441" s="55"/>
      <c r="AQ1441" s="55"/>
      <c r="AR1441" s="55"/>
      <c r="AS1441" s="55"/>
      <c r="AT1441" s="55"/>
      <c r="AU1441" s="55"/>
      <c r="AV1441" s="55"/>
      <c r="AW1441" s="55"/>
      <c r="AX1441" s="55"/>
      <c r="AY1441" s="55"/>
      <c r="AZ1441" s="55"/>
    </row>
    <row r="1442" spans="1:52" ht="12.75" customHeight="1" x14ac:dyDescent="0.2">
      <c r="A1442" s="55"/>
      <c r="B1442" s="76"/>
      <c r="C1442" s="77"/>
      <c r="D1442" s="77"/>
      <c r="E1442" s="55"/>
      <c r="F1442" s="55"/>
      <c r="G1442" s="55"/>
      <c r="H1442" s="55"/>
      <c r="I1442" s="55"/>
      <c r="J1442" s="55"/>
      <c r="K1442" s="55"/>
      <c r="L1442" s="55"/>
      <c r="M1442" s="55"/>
      <c r="N1442" s="55"/>
      <c r="O1442" s="55"/>
      <c r="P1442" s="55"/>
      <c r="Q1442" s="55"/>
      <c r="R1442" s="55"/>
      <c r="S1442" s="55"/>
      <c r="T1442" s="55"/>
      <c r="U1442" s="55"/>
      <c r="V1442" s="55"/>
      <c r="W1442" s="55"/>
      <c r="X1442" s="55"/>
      <c r="Y1442" s="55"/>
      <c r="Z1442" s="55"/>
      <c r="AA1442" s="55"/>
      <c r="AB1442" s="55"/>
      <c r="AC1442" s="55"/>
      <c r="AD1442" s="55"/>
      <c r="AE1442" s="55"/>
      <c r="AF1442" s="55"/>
      <c r="AG1442" s="55"/>
      <c r="AH1442" s="55"/>
      <c r="AI1442" s="55"/>
      <c r="AJ1442" s="55"/>
      <c r="AK1442" s="55"/>
      <c r="AL1442" s="55"/>
      <c r="AM1442" s="55"/>
      <c r="AN1442" s="55"/>
      <c r="AO1442" s="55"/>
      <c r="AP1442" s="55"/>
      <c r="AQ1442" s="55"/>
      <c r="AR1442" s="55"/>
      <c r="AS1442" s="55"/>
      <c r="AT1442" s="55"/>
      <c r="AU1442" s="55"/>
      <c r="AV1442" s="55"/>
      <c r="AW1442" s="55"/>
      <c r="AX1442" s="55"/>
      <c r="AY1442" s="55"/>
      <c r="AZ1442" s="55"/>
    </row>
    <row r="1443" spans="1:52" ht="12.75" customHeight="1" x14ac:dyDescent="0.2">
      <c r="A1443" s="55"/>
      <c r="B1443" s="76"/>
      <c r="C1443" s="77"/>
      <c r="D1443" s="77"/>
      <c r="E1443" s="55"/>
      <c r="F1443" s="55"/>
      <c r="G1443" s="55"/>
      <c r="H1443" s="55"/>
      <c r="I1443" s="55"/>
      <c r="J1443" s="55"/>
      <c r="K1443" s="55"/>
      <c r="L1443" s="55"/>
      <c r="M1443" s="55"/>
      <c r="N1443" s="55"/>
      <c r="O1443" s="55"/>
      <c r="P1443" s="55"/>
      <c r="Q1443" s="55"/>
      <c r="R1443" s="55"/>
      <c r="S1443" s="55"/>
      <c r="T1443" s="55"/>
      <c r="U1443" s="55"/>
      <c r="V1443" s="55"/>
      <c r="W1443" s="55"/>
      <c r="X1443" s="55"/>
      <c r="Y1443" s="55"/>
      <c r="Z1443" s="55"/>
      <c r="AA1443" s="55"/>
      <c r="AB1443" s="55"/>
      <c r="AC1443" s="55"/>
      <c r="AD1443" s="55"/>
      <c r="AE1443" s="55"/>
      <c r="AF1443" s="55"/>
      <c r="AG1443" s="55"/>
      <c r="AH1443" s="55"/>
      <c r="AI1443" s="55"/>
      <c r="AJ1443" s="55"/>
      <c r="AK1443" s="55"/>
      <c r="AL1443" s="55"/>
      <c r="AM1443" s="55"/>
      <c r="AN1443" s="55"/>
      <c r="AO1443" s="55"/>
      <c r="AP1443" s="55"/>
      <c r="AQ1443" s="55"/>
      <c r="AR1443" s="55"/>
      <c r="AS1443" s="55"/>
      <c r="AT1443" s="55"/>
      <c r="AU1443" s="55"/>
      <c r="AV1443" s="55"/>
      <c r="AW1443" s="55"/>
      <c r="AX1443" s="55"/>
      <c r="AY1443" s="55"/>
      <c r="AZ1443" s="55"/>
    </row>
    <row r="1444" spans="1:52" ht="12.75" customHeight="1" x14ac:dyDescent="0.2">
      <c r="A1444" s="55"/>
      <c r="B1444" s="76"/>
      <c r="C1444" s="77"/>
      <c r="D1444" s="77"/>
      <c r="E1444" s="55"/>
      <c r="F1444" s="55"/>
      <c r="G1444" s="55"/>
      <c r="H1444" s="55"/>
      <c r="I1444" s="55"/>
      <c r="J1444" s="55"/>
      <c r="K1444" s="55"/>
      <c r="L1444" s="55"/>
      <c r="M1444" s="55"/>
      <c r="N1444" s="55"/>
      <c r="O1444" s="55"/>
      <c r="P1444" s="55"/>
      <c r="Q1444" s="55"/>
      <c r="R1444" s="55"/>
      <c r="S1444" s="55"/>
      <c r="T1444" s="55"/>
      <c r="U1444" s="55"/>
      <c r="V1444" s="55"/>
      <c r="W1444" s="55"/>
      <c r="X1444" s="55"/>
      <c r="Y1444" s="55"/>
      <c r="Z1444" s="55"/>
      <c r="AA1444" s="55"/>
      <c r="AB1444" s="55"/>
      <c r="AC1444" s="55"/>
      <c r="AD1444" s="55"/>
      <c r="AE1444" s="55"/>
      <c r="AF1444" s="55"/>
      <c r="AG1444" s="55"/>
      <c r="AH1444" s="55"/>
      <c r="AI1444" s="55"/>
      <c r="AJ1444" s="55"/>
      <c r="AK1444" s="55"/>
      <c r="AL1444" s="55"/>
      <c r="AM1444" s="55"/>
      <c r="AN1444" s="55"/>
      <c r="AO1444" s="55"/>
      <c r="AP1444" s="55"/>
      <c r="AQ1444" s="55"/>
      <c r="AR1444" s="55"/>
      <c r="AS1444" s="55"/>
      <c r="AT1444" s="55"/>
      <c r="AU1444" s="55"/>
      <c r="AV1444" s="55"/>
      <c r="AW1444" s="55"/>
      <c r="AX1444" s="55"/>
      <c r="AY1444" s="55"/>
      <c r="AZ1444" s="55"/>
    </row>
    <row r="1445" spans="1:52" ht="12.75" customHeight="1" x14ac:dyDescent="0.2">
      <c r="A1445" s="55"/>
      <c r="B1445" s="76"/>
      <c r="C1445" s="77"/>
      <c r="D1445" s="77"/>
      <c r="E1445" s="55"/>
      <c r="F1445" s="55"/>
      <c r="G1445" s="55"/>
      <c r="H1445" s="55"/>
      <c r="I1445" s="55"/>
      <c r="J1445" s="55"/>
      <c r="K1445" s="55"/>
      <c r="L1445" s="55"/>
      <c r="M1445" s="55"/>
      <c r="N1445" s="55"/>
      <c r="O1445" s="55"/>
      <c r="P1445" s="55"/>
      <c r="Q1445" s="55"/>
      <c r="R1445" s="55"/>
      <c r="S1445" s="55"/>
      <c r="T1445" s="55"/>
      <c r="U1445" s="55"/>
      <c r="V1445" s="55"/>
      <c r="W1445" s="55"/>
      <c r="X1445" s="55"/>
      <c r="Y1445" s="55"/>
      <c r="Z1445" s="55"/>
      <c r="AA1445" s="55"/>
      <c r="AB1445" s="55"/>
      <c r="AC1445" s="55"/>
      <c r="AD1445" s="55"/>
      <c r="AE1445" s="55"/>
      <c r="AF1445" s="55"/>
      <c r="AG1445" s="55"/>
      <c r="AH1445" s="55"/>
      <c r="AI1445" s="55"/>
      <c r="AJ1445" s="55"/>
      <c r="AK1445" s="55"/>
      <c r="AL1445" s="55"/>
      <c r="AM1445" s="55"/>
      <c r="AN1445" s="55"/>
      <c r="AO1445" s="55"/>
      <c r="AP1445" s="55"/>
      <c r="AQ1445" s="55"/>
      <c r="AR1445" s="55"/>
      <c r="AS1445" s="55"/>
      <c r="AT1445" s="55"/>
      <c r="AU1445" s="55"/>
      <c r="AV1445" s="55"/>
      <c r="AW1445" s="55"/>
      <c r="AX1445" s="55"/>
      <c r="AY1445" s="55"/>
      <c r="AZ1445" s="55"/>
    </row>
    <row r="1446" spans="1:52" ht="12.75" customHeight="1" x14ac:dyDescent="0.2">
      <c r="A1446" s="55"/>
      <c r="B1446" s="76"/>
      <c r="C1446" s="77"/>
      <c r="D1446" s="77"/>
      <c r="E1446" s="55"/>
      <c r="F1446" s="55"/>
      <c r="G1446" s="55"/>
      <c r="H1446" s="55"/>
      <c r="I1446" s="55"/>
      <c r="J1446" s="55"/>
      <c r="K1446" s="55"/>
      <c r="L1446" s="55"/>
      <c r="M1446" s="55"/>
      <c r="N1446" s="55"/>
      <c r="O1446" s="55"/>
      <c r="P1446" s="55"/>
      <c r="Q1446" s="55"/>
      <c r="R1446" s="55"/>
      <c r="S1446" s="55"/>
      <c r="T1446" s="55"/>
      <c r="U1446" s="55"/>
      <c r="V1446" s="55"/>
      <c r="W1446" s="55"/>
      <c r="X1446" s="55"/>
      <c r="Y1446" s="55"/>
      <c r="Z1446" s="55"/>
      <c r="AA1446" s="55"/>
      <c r="AB1446" s="55"/>
      <c r="AC1446" s="55"/>
      <c r="AD1446" s="55"/>
      <c r="AE1446" s="55"/>
      <c r="AF1446" s="55"/>
      <c r="AG1446" s="55"/>
      <c r="AH1446" s="55"/>
      <c r="AI1446" s="55"/>
      <c r="AJ1446" s="55"/>
      <c r="AK1446" s="55"/>
      <c r="AL1446" s="55"/>
      <c r="AM1446" s="55"/>
      <c r="AN1446" s="55"/>
      <c r="AO1446" s="55"/>
      <c r="AP1446" s="55"/>
      <c r="AQ1446" s="55"/>
      <c r="AR1446" s="55"/>
      <c r="AS1446" s="55"/>
      <c r="AT1446" s="55"/>
      <c r="AU1446" s="55"/>
      <c r="AV1446" s="55"/>
      <c r="AW1446" s="55"/>
      <c r="AX1446" s="55"/>
      <c r="AY1446" s="55"/>
      <c r="AZ1446" s="55"/>
    </row>
    <row r="1447" spans="1:52" ht="12.75" customHeight="1" x14ac:dyDescent="0.2">
      <c r="A1447" s="55"/>
      <c r="B1447" s="76"/>
      <c r="C1447" s="77"/>
      <c r="D1447" s="77"/>
      <c r="E1447" s="55"/>
      <c r="F1447" s="55"/>
      <c r="G1447" s="55"/>
      <c r="H1447" s="55"/>
      <c r="I1447" s="55"/>
      <c r="J1447" s="55"/>
      <c r="K1447" s="55"/>
      <c r="L1447" s="55"/>
      <c r="M1447" s="55"/>
      <c r="N1447" s="55"/>
      <c r="O1447" s="55"/>
      <c r="P1447" s="55"/>
      <c r="Q1447" s="55"/>
      <c r="R1447" s="55"/>
      <c r="S1447" s="55"/>
      <c r="T1447" s="55"/>
      <c r="U1447" s="55"/>
      <c r="V1447" s="55"/>
      <c r="W1447" s="55"/>
      <c r="X1447" s="55"/>
      <c r="Y1447" s="55"/>
      <c r="Z1447" s="55"/>
      <c r="AA1447" s="55"/>
      <c r="AB1447" s="55"/>
      <c r="AC1447" s="55"/>
      <c r="AD1447" s="55"/>
      <c r="AE1447" s="55"/>
      <c r="AF1447" s="55"/>
      <c r="AG1447" s="55"/>
      <c r="AH1447" s="55"/>
      <c r="AI1447" s="55"/>
      <c r="AJ1447" s="55"/>
      <c r="AK1447" s="55"/>
      <c r="AL1447" s="55"/>
      <c r="AM1447" s="55"/>
      <c r="AN1447" s="55"/>
      <c r="AO1447" s="55"/>
      <c r="AP1447" s="55"/>
      <c r="AQ1447" s="55"/>
      <c r="AR1447" s="55"/>
      <c r="AS1447" s="55"/>
      <c r="AT1447" s="55"/>
      <c r="AU1447" s="55"/>
      <c r="AV1447" s="55"/>
      <c r="AW1447" s="55"/>
      <c r="AX1447" s="55"/>
      <c r="AY1447" s="55"/>
      <c r="AZ1447" s="55"/>
    </row>
    <row r="1448" spans="1:52" ht="12.75" customHeight="1" x14ac:dyDescent="0.2">
      <c r="A1448" s="55"/>
      <c r="B1448" s="76"/>
      <c r="C1448" s="77"/>
      <c r="D1448" s="77"/>
      <c r="E1448" s="55"/>
      <c r="F1448" s="55"/>
      <c r="G1448" s="55"/>
      <c r="H1448" s="55"/>
      <c r="I1448" s="55"/>
      <c r="J1448" s="55"/>
      <c r="K1448" s="55"/>
      <c r="L1448" s="55"/>
      <c r="M1448" s="55"/>
      <c r="N1448" s="55"/>
      <c r="O1448" s="55"/>
      <c r="P1448" s="55"/>
      <c r="Q1448" s="55"/>
      <c r="R1448" s="55"/>
      <c r="S1448" s="55"/>
      <c r="T1448" s="55"/>
      <c r="U1448" s="55"/>
      <c r="V1448" s="55"/>
      <c r="W1448" s="55"/>
      <c r="X1448" s="55"/>
      <c r="Y1448" s="55"/>
      <c r="Z1448" s="55"/>
      <c r="AA1448" s="55"/>
      <c r="AB1448" s="55"/>
      <c r="AC1448" s="55"/>
      <c r="AD1448" s="55"/>
      <c r="AE1448" s="55"/>
      <c r="AF1448" s="55"/>
      <c r="AG1448" s="55"/>
      <c r="AH1448" s="55"/>
      <c r="AI1448" s="55"/>
      <c r="AJ1448" s="55"/>
      <c r="AK1448" s="55"/>
      <c r="AL1448" s="55"/>
      <c r="AM1448" s="55"/>
      <c r="AN1448" s="55"/>
      <c r="AO1448" s="55"/>
      <c r="AP1448" s="55"/>
      <c r="AQ1448" s="55"/>
      <c r="AR1448" s="55"/>
      <c r="AS1448" s="55"/>
      <c r="AT1448" s="55"/>
      <c r="AU1448" s="55"/>
      <c r="AV1448" s="55"/>
      <c r="AW1448" s="55"/>
      <c r="AX1448" s="55"/>
      <c r="AY1448" s="55"/>
      <c r="AZ1448" s="55"/>
    </row>
    <row r="1449" spans="1:52" ht="12.75" customHeight="1" x14ac:dyDescent="0.2">
      <c r="A1449" s="55"/>
      <c r="B1449" s="76"/>
      <c r="C1449" s="77"/>
      <c r="D1449" s="77"/>
      <c r="E1449" s="55"/>
      <c r="F1449" s="55"/>
      <c r="G1449" s="55"/>
      <c r="H1449" s="55"/>
      <c r="I1449" s="55"/>
      <c r="J1449" s="55"/>
      <c r="K1449" s="55"/>
      <c r="L1449" s="55"/>
      <c r="M1449" s="55"/>
      <c r="N1449" s="55"/>
      <c r="O1449" s="55"/>
      <c r="P1449" s="55"/>
      <c r="Q1449" s="55"/>
      <c r="R1449" s="55"/>
      <c r="S1449" s="55"/>
      <c r="T1449" s="55"/>
      <c r="U1449" s="55"/>
      <c r="V1449" s="55"/>
      <c r="W1449" s="55"/>
      <c r="X1449" s="55"/>
      <c r="Y1449" s="55"/>
      <c r="Z1449" s="55"/>
      <c r="AA1449" s="55"/>
      <c r="AB1449" s="55"/>
      <c r="AC1449" s="55"/>
      <c r="AD1449" s="55"/>
      <c r="AE1449" s="55"/>
      <c r="AF1449" s="55"/>
      <c r="AG1449" s="55"/>
      <c r="AH1449" s="55"/>
      <c r="AI1449" s="55"/>
      <c r="AJ1449" s="55"/>
      <c r="AK1449" s="55"/>
      <c r="AL1449" s="55"/>
      <c r="AM1449" s="55"/>
      <c r="AN1449" s="55"/>
      <c r="AO1449" s="55"/>
      <c r="AP1449" s="55"/>
      <c r="AQ1449" s="55"/>
      <c r="AR1449" s="55"/>
      <c r="AS1449" s="55"/>
      <c r="AT1449" s="55"/>
      <c r="AU1449" s="55"/>
      <c r="AV1449" s="55"/>
      <c r="AW1449" s="55"/>
      <c r="AX1449" s="55"/>
      <c r="AY1449" s="55"/>
      <c r="AZ1449" s="55"/>
    </row>
    <row r="1450" spans="1:52" ht="12.75" customHeight="1" x14ac:dyDescent="0.2">
      <c r="A1450" s="55"/>
      <c r="B1450" s="76"/>
      <c r="C1450" s="77"/>
      <c r="D1450" s="77"/>
      <c r="E1450" s="55"/>
      <c r="F1450" s="55"/>
      <c r="G1450" s="55"/>
      <c r="H1450" s="55"/>
      <c r="I1450" s="55"/>
      <c r="J1450" s="55"/>
      <c r="K1450" s="55"/>
      <c r="L1450" s="55"/>
      <c r="M1450" s="55"/>
      <c r="N1450" s="55"/>
      <c r="O1450" s="55"/>
      <c r="P1450" s="55"/>
      <c r="Q1450" s="55"/>
      <c r="R1450" s="55"/>
      <c r="S1450" s="55"/>
      <c r="T1450" s="55"/>
      <c r="U1450" s="55"/>
      <c r="V1450" s="55"/>
      <c r="W1450" s="55"/>
      <c r="X1450" s="55"/>
      <c r="Y1450" s="55"/>
      <c r="Z1450" s="55"/>
      <c r="AA1450" s="55"/>
      <c r="AB1450" s="55"/>
      <c r="AC1450" s="55"/>
      <c r="AD1450" s="55"/>
      <c r="AE1450" s="55"/>
      <c r="AF1450" s="55"/>
      <c r="AG1450" s="55"/>
      <c r="AH1450" s="55"/>
      <c r="AI1450" s="55"/>
      <c r="AJ1450" s="55"/>
      <c r="AK1450" s="55"/>
      <c r="AL1450" s="55"/>
      <c r="AM1450" s="55"/>
      <c r="AN1450" s="55"/>
      <c r="AO1450" s="55"/>
      <c r="AP1450" s="55"/>
      <c r="AQ1450" s="55"/>
      <c r="AR1450" s="55"/>
      <c r="AS1450" s="55"/>
      <c r="AT1450" s="55"/>
      <c r="AU1450" s="55"/>
      <c r="AV1450" s="55"/>
      <c r="AW1450" s="55"/>
      <c r="AX1450" s="55"/>
      <c r="AY1450" s="55"/>
      <c r="AZ1450" s="55"/>
    </row>
    <row r="1451" spans="1:52" ht="12.75" customHeight="1" x14ac:dyDescent="0.2">
      <c r="A1451" s="55"/>
      <c r="B1451" s="76"/>
      <c r="C1451" s="77"/>
      <c r="D1451" s="77"/>
      <c r="E1451" s="55"/>
      <c r="F1451" s="55"/>
      <c r="G1451" s="55"/>
      <c r="H1451" s="55"/>
      <c r="I1451" s="55"/>
      <c r="J1451" s="55"/>
      <c r="K1451" s="55"/>
      <c r="L1451" s="55"/>
      <c r="M1451" s="55"/>
      <c r="N1451" s="55"/>
      <c r="O1451" s="55"/>
      <c r="P1451" s="55"/>
      <c r="Q1451" s="55"/>
      <c r="R1451" s="55"/>
      <c r="S1451" s="55"/>
      <c r="T1451" s="55"/>
      <c r="U1451" s="55"/>
      <c r="V1451" s="55"/>
      <c r="W1451" s="55"/>
      <c r="X1451" s="55"/>
      <c r="Y1451" s="55"/>
      <c r="Z1451" s="55"/>
      <c r="AA1451" s="55"/>
      <c r="AB1451" s="55"/>
      <c r="AC1451" s="55"/>
      <c r="AD1451" s="55"/>
      <c r="AE1451" s="55"/>
      <c r="AF1451" s="55"/>
      <c r="AG1451" s="55"/>
      <c r="AH1451" s="55"/>
      <c r="AI1451" s="55"/>
      <c r="AJ1451" s="55"/>
      <c r="AK1451" s="55"/>
      <c r="AL1451" s="55"/>
      <c r="AM1451" s="55"/>
      <c r="AN1451" s="55"/>
      <c r="AO1451" s="55"/>
      <c r="AP1451" s="55"/>
      <c r="AQ1451" s="55"/>
      <c r="AR1451" s="55"/>
      <c r="AS1451" s="55"/>
      <c r="AT1451" s="55"/>
      <c r="AU1451" s="55"/>
      <c r="AV1451" s="55"/>
      <c r="AW1451" s="55"/>
      <c r="AX1451" s="55"/>
      <c r="AY1451" s="55"/>
      <c r="AZ1451" s="55"/>
    </row>
    <row r="1452" spans="1:52" ht="12.75" customHeight="1" x14ac:dyDescent="0.2">
      <c r="A1452" s="55"/>
      <c r="B1452" s="76"/>
      <c r="C1452" s="77"/>
      <c r="D1452" s="77"/>
      <c r="E1452" s="55"/>
      <c r="F1452" s="55"/>
      <c r="G1452" s="55"/>
      <c r="H1452" s="55"/>
      <c r="I1452" s="55"/>
      <c r="J1452" s="55"/>
      <c r="K1452" s="55"/>
      <c r="L1452" s="55"/>
      <c r="M1452" s="55"/>
      <c r="N1452" s="55"/>
      <c r="O1452" s="55"/>
      <c r="P1452" s="55"/>
      <c r="Q1452" s="55"/>
      <c r="R1452" s="55"/>
      <c r="S1452" s="55"/>
      <c r="T1452" s="55"/>
      <c r="U1452" s="55"/>
      <c r="V1452" s="55"/>
      <c r="W1452" s="55"/>
      <c r="X1452" s="55"/>
      <c r="Y1452" s="55"/>
      <c r="Z1452" s="55"/>
      <c r="AA1452" s="55"/>
      <c r="AB1452" s="55"/>
      <c r="AC1452" s="55"/>
      <c r="AD1452" s="55"/>
      <c r="AE1452" s="55"/>
      <c r="AF1452" s="55"/>
      <c r="AG1452" s="55"/>
      <c r="AH1452" s="55"/>
      <c r="AI1452" s="55"/>
      <c r="AJ1452" s="55"/>
      <c r="AK1452" s="55"/>
      <c r="AL1452" s="55"/>
      <c r="AM1452" s="55"/>
      <c r="AN1452" s="55"/>
      <c r="AO1452" s="55"/>
      <c r="AP1452" s="55"/>
      <c r="AQ1452" s="55"/>
      <c r="AR1452" s="55"/>
      <c r="AS1452" s="55"/>
      <c r="AT1452" s="55"/>
      <c r="AU1452" s="55"/>
      <c r="AV1452" s="55"/>
      <c r="AW1452" s="55"/>
      <c r="AX1452" s="55"/>
      <c r="AY1452" s="55"/>
      <c r="AZ1452" s="55"/>
    </row>
    <row r="1453" spans="1:52" ht="12.75" customHeight="1" x14ac:dyDescent="0.2">
      <c r="A1453" s="55"/>
      <c r="B1453" s="76"/>
      <c r="C1453" s="77"/>
      <c r="D1453" s="77"/>
      <c r="E1453" s="55"/>
      <c r="F1453" s="55"/>
      <c r="G1453" s="55"/>
      <c r="H1453" s="55"/>
      <c r="I1453" s="55"/>
      <c r="J1453" s="55"/>
      <c r="K1453" s="55"/>
      <c r="L1453" s="55"/>
      <c r="M1453" s="55"/>
      <c r="N1453" s="55"/>
      <c r="O1453" s="55"/>
      <c r="P1453" s="55"/>
      <c r="Q1453" s="55"/>
      <c r="R1453" s="55"/>
      <c r="S1453" s="55"/>
      <c r="T1453" s="55"/>
      <c r="U1453" s="55"/>
      <c r="V1453" s="55"/>
      <c r="W1453" s="55"/>
      <c r="X1453" s="55"/>
      <c r="Y1453" s="55"/>
      <c r="Z1453" s="55"/>
      <c r="AA1453" s="55"/>
      <c r="AB1453" s="55"/>
      <c r="AC1453" s="55"/>
      <c r="AD1453" s="55"/>
      <c r="AE1453" s="55"/>
      <c r="AF1453" s="55"/>
      <c r="AG1453" s="55"/>
      <c r="AH1453" s="55"/>
      <c r="AI1453" s="55"/>
      <c r="AJ1453" s="55"/>
      <c r="AK1453" s="55"/>
      <c r="AL1453" s="55"/>
      <c r="AM1453" s="55"/>
      <c r="AN1453" s="55"/>
      <c r="AO1453" s="55"/>
      <c r="AP1453" s="55"/>
      <c r="AQ1453" s="55"/>
      <c r="AR1453" s="55"/>
      <c r="AS1453" s="55"/>
      <c r="AT1453" s="55"/>
      <c r="AU1453" s="55"/>
      <c r="AV1453" s="55"/>
      <c r="AW1453" s="55"/>
      <c r="AX1453" s="55"/>
      <c r="AY1453" s="55"/>
      <c r="AZ1453" s="55"/>
    </row>
    <row r="1454" spans="1:52" ht="12.75" customHeight="1" x14ac:dyDescent="0.2">
      <c r="A1454" s="55"/>
      <c r="B1454" s="76"/>
      <c r="C1454" s="77"/>
      <c r="D1454" s="77"/>
      <c r="E1454" s="55"/>
      <c r="F1454" s="55"/>
      <c r="G1454" s="55"/>
      <c r="H1454" s="55"/>
      <c r="I1454" s="55"/>
      <c r="J1454" s="55"/>
      <c r="K1454" s="55"/>
      <c r="L1454" s="55"/>
      <c r="M1454" s="55"/>
      <c r="N1454" s="55"/>
      <c r="O1454" s="55"/>
      <c r="P1454" s="55"/>
      <c r="Q1454" s="55"/>
      <c r="R1454" s="55"/>
      <c r="S1454" s="55"/>
      <c r="T1454" s="55"/>
      <c r="U1454" s="55"/>
      <c r="V1454" s="55"/>
      <c r="W1454" s="55"/>
      <c r="X1454" s="55"/>
      <c r="Y1454" s="55"/>
      <c r="Z1454" s="55"/>
      <c r="AA1454" s="55"/>
      <c r="AB1454" s="55"/>
      <c r="AC1454" s="55"/>
      <c r="AD1454" s="55"/>
      <c r="AE1454" s="55"/>
      <c r="AF1454" s="55"/>
      <c r="AG1454" s="55"/>
      <c r="AH1454" s="55"/>
      <c r="AI1454" s="55"/>
      <c r="AJ1454" s="55"/>
      <c r="AK1454" s="55"/>
      <c r="AL1454" s="55"/>
      <c r="AM1454" s="55"/>
      <c r="AN1454" s="55"/>
      <c r="AO1454" s="55"/>
      <c r="AP1454" s="55"/>
      <c r="AQ1454" s="55"/>
      <c r="AR1454" s="55"/>
      <c r="AS1454" s="55"/>
      <c r="AT1454" s="55"/>
      <c r="AU1454" s="55"/>
      <c r="AV1454" s="55"/>
      <c r="AW1454" s="55"/>
      <c r="AX1454" s="55"/>
      <c r="AY1454" s="55"/>
      <c r="AZ1454" s="55"/>
    </row>
    <row r="1455" spans="1:52" ht="12.75" customHeight="1" x14ac:dyDescent="0.2">
      <c r="A1455" s="55"/>
      <c r="B1455" s="76"/>
      <c r="C1455" s="77"/>
      <c r="D1455" s="77"/>
      <c r="E1455" s="55"/>
      <c r="F1455" s="55"/>
      <c r="G1455" s="55"/>
      <c r="H1455" s="55"/>
      <c r="I1455" s="55"/>
      <c r="J1455" s="55"/>
      <c r="K1455" s="55"/>
      <c r="L1455" s="55"/>
      <c r="M1455" s="55"/>
      <c r="N1455" s="55"/>
      <c r="O1455" s="55"/>
      <c r="P1455" s="55"/>
      <c r="Q1455" s="55"/>
      <c r="R1455" s="55"/>
      <c r="S1455" s="55"/>
      <c r="T1455" s="55"/>
      <c r="U1455" s="55"/>
      <c r="V1455" s="55"/>
      <c r="W1455" s="55"/>
      <c r="X1455" s="55"/>
      <c r="Y1455" s="55"/>
      <c r="Z1455" s="55"/>
      <c r="AA1455" s="55"/>
      <c r="AB1455" s="55"/>
      <c r="AC1455" s="55"/>
      <c r="AD1455" s="55"/>
      <c r="AE1455" s="55"/>
      <c r="AF1455" s="55"/>
      <c r="AG1455" s="55"/>
      <c r="AH1455" s="55"/>
      <c r="AI1455" s="55"/>
      <c r="AJ1455" s="55"/>
      <c r="AK1455" s="55"/>
      <c r="AL1455" s="55"/>
      <c r="AM1455" s="55"/>
      <c r="AN1455" s="55"/>
      <c r="AO1455" s="55"/>
      <c r="AP1455" s="55"/>
      <c r="AQ1455" s="55"/>
      <c r="AR1455" s="55"/>
      <c r="AS1455" s="55"/>
      <c r="AT1455" s="55"/>
      <c r="AU1455" s="55"/>
      <c r="AV1455" s="55"/>
      <c r="AW1455" s="55"/>
      <c r="AX1455" s="55"/>
      <c r="AY1455" s="55"/>
      <c r="AZ1455" s="55"/>
    </row>
    <row r="1456" spans="1:52" ht="12.75" customHeight="1" x14ac:dyDescent="0.2">
      <c r="A1456" s="55"/>
      <c r="B1456" s="76"/>
      <c r="C1456" s="77"/>
      <c r="D1456" s="77"/>
      <c r="E1456" s="55"/>
      <c r="F1456" s="55"/>
      <c r="G1456" s="55"/>
      <c r="H1456" s="55"/>
      <c r="I1456" s="55"/>
      <c r="J1456" s="55"/>
      <c r="K1456" s="55"/>
      <c r="L1456" s="55"/>
      <c r="M1456" s="55"/>
      <c r="N1456" s="55"/>
      <c r="O1456" s="55"/>
      <c r="P1456" s="55"/>
      <c r="Q1456" s="55"/>
      <c r="R1456" s="55"/>
      <c r="S1456" s="55"/>
      <c r="T1456" s="55"/>
      <c r="U1456" s="55"/>
      <c r="V1456" s="55"/>
      <c r="W1456" s="55"/>
      <c r="X1456" s="55"/>
      <c r="Y1456" s="55"/>
      <c r="Z1456" s="55"/>
      <c r="AA1456" s="55"/>
      <c r="AB1456" s="55"/>
      <c r="AC1456" s="55"/>
      <c r="AD1456" s="55"/>
      <c r="AE1456" s="55"/>
      <c r="AF1456" s="55"/>
      <c r="AG1456" s="55"/>
      <c r="AH1456" s="55"/>
      <c r="AI1456" s="55"/>
      <c r="AJ1456" s="55"/>
      <c r="AK1456" s="55"/>
      <c r="AL1456" s="55"/>
      <c r="AM1456" s="55"/>
      <c r="AN1456" s="55"/>
      <c r="AO1456" s="55"/>
      <c r="AP1456" s="55"/>
      <c r="AQ1456" s="55"/>
      <c r="AR1456" s="55"/>
      <c r="AS1456" s="55"/>
      <c r="AT1456" s="55"/>
      <c r="AU1456" s="55"/>
      <c r="AV1456" s="55"/>
      <c r="AW1456" s="55"/>
      <c r="AX1456" s="55"/>
      <c r="AY1456" s="55"/>
      <c r="AZ1456" s="55"/>
    </row>
    <row r="1457" spans="1:52" ht="12.75" customHeight="1" x14ac:dyDescent="0.2">
      <c r="A1457" s="55"/>
      <c r="B1457" s="76"/>
      <c r="C1457" s="77"/>
      <c r="D1457" s="77"/>
      <c r="E1457" s="55"/>
      <c r="F1457" s="55"/>
      <c r="G1457" s="55"/>
      <c r="H1457" s="55"/>
      <c r="I1457" s="55"/>
      <c r="J1457" s="55"/>
      <c r="K1457" s="55"/>
      <c r="L1457" s="55"/>
      <c r="M1457" s="55"/>
      <c r="N1457" s="55"/>
      <c r="O1457" s="55"/>
      <c r="P1457" s="55"/>
      <c r="Q1457" s="55"/>
      <c r="R1457" s="55"/>
      <c r="S1457" s="55"/>
      <c r="T1457" s="55"/>
      <c r="U1457" s="55"/>
      <c r="V1457" s="55"/>
      <c r="W1457" s="55"/>
      <c r="X1457" s="55"/>
      <c r="Y1457" s="55"/>
      <c r="Z1457" s="55"/>
      <c r="AA1457" s="55"/>
      <c r="AB1457" s="55"/>
      <c r="AC1457" s="55"/>
      <c r="AD1457" s="55"/>
      <c r="AE1457" s="55"/>
      <c r="AF1457" s="55"/>
      <c r="AG1457" s="55"/>
      <c r="AH1457" s="55"/>
      <c r="AI1457" s="55"/>
      <c r="AJ1457" s="55"/>
      <c r="AK1457" s="55"/>
      <c r="AL1457" s="55"/>
      <c r="AM1457" s="55"/>
      <c r="AN1457" s="55"/>
      <c r="AO1457" s="55"/>
      <c r="AP1457" s="55"/>
      <c r="AQ1457" s="55"/>
      <c r="AR1457" s="55"/>
      <c r="AS1457" s="55"/>
      <c r="AT1457" s="55"/>
      <c r="AU1457" s="55"/>
      <c r="AV1457" s="55"/>
      <c r="AW1457" s="55"/>
      <c r="AX1457" s="55"/>
      <c r="AY1457" s="55"/>
      <c r="AZ1457" s="55"/>
    </row>
    <row r="1458" spans="1:52" ht="12.75" customHeight="1" x14ac:dyDescent="0.2">
      <c r="A1458" s="55"/>
      <c r="B1458" s="76"/>
      <c r="C1458" s="77"/>
      <c r="D1458" s="77"/>
      <c r="E1458" s="55"/>
      <c r="F1458" s="55"/>
      <c r="G1458" s="55"/>
      <c r="H1458" s="55"/>
      <c r="I1458" s="55"/>
      <c r="J1458" s="55"/>
      <c r="K1458" s="55"/>
      <c r="L1458" s="55"/>
      <c r="M1458" s="55"/>
      <c r="N1458" s="55"/>
      <c r="O1458" s="55"/>
      <c r="P1458" s="55"/>
      <c r="Q1458" s="55"/>
      <c r="R1458" s="55"/>
      <c r="S1458" s="55"/>
      <c r="T1458" s="55"/>
      <c r="U1458" s="55"/>
      <c r="V1458" s="55"/>
      <c r="W1458" s="55"/>
      <c r="X1458" s="55"/>
      <c r="Y1458" s="55"/>
      <c r="Z1458" s="55"/>
      <c r="AA1458" s="55"/>
      <c r="AB1458" s="55"/>
      <c r="AC1458" s="55"/>
      <c r="AD1458" s="55"/>
      <c r="AE1458" s="55"/>
      <c r="AF1458" s="55"/>
      <c r="AG1458" s="55"/>
      <c r="AH1458" s="55"/>
      <c r="AI1458" s="55"/>
      <c r="AJ1458" s="55"/>
      <c r="AK1458" s="55"/>
      <c r="AL1458" s="55"/>
      <c r="AM1458" s="55"/>
      <c r="AN1458" s="55"/>
      <c r="AO1458" s="55"/>
      <c r="AP1458" s="55"/>
      <c r="AQ1458" s="55"/>
      <c r="AR1458" s="55"/>
      <c r="AS1458" s="55"/>
      <c r="AT1458" s="55"/>
      <c r="AU1458" s="55"/>
      <c r="AV1458" s="55"/>
      <c r="AW1458" s="55"/>
      <c r="AX1458" s="55"/>
      <c r="AY1458" s="55"/>
      <c r="AZ1458" s="55"/>
    </row>
    <row r="1459" spans="1:52" ht="12.75" customHeight="1" x14ac:dyDescent="0.2">
      <c r="A1459" s="55"/>
      <c r="B1459" s="76"/>
      <c r="C1459" s="77"/>
      <c r="D1459" s="77"/>
      <c r="E1459" s="55"/>
      <c r="F1459" s="55"/>
      <c r="G1459" s="55"/>
      <c r="H1459" s="55"/>
      <c r="I1459" s="55"/>
      <c r="J1459" s="55"/>
      <c r="K1459" s="55"/>
      <c r="L1459" s="55"/>
      <c r="M1459" s="55"/>
      <c r="N1459" s="55"/>
      <c r="O1459" s="55"/>
      <c r="P1459" s="55"/>
      <c r="Q1459" s="55"/>
      <c r="R1459" s="55"/>
      <c r="S1459" s="55"/>
      <c r="T1459" s="55"/>
      <c r="U1459" s="55"/>
      <c r="V1459" s="55"/>
      <c r="W1459" s="55"/>
      <c r="X1459" s="55"/>
      <c r="Y1459" s="55"/>
      <c r="Z1459" s="55"/>
      <c r="AA1459" s="55"/>
      <c r="AB1459" s="55"/>
      <c r="AC1459" s="55"/>
      <c r="AD1459" s="55"/>
      <c r="AE1459" s="55"/>
      <c r="AF1459" s="55"/>
      <c r="AG1459" s="55"/>
      <c r="AH1459" s="55"/>
      <c r="AI1459" s="55"/>
      <c r="AJ1459" s="55"/>
      <c r="AK1459" s="55"/>
      <c r="AL1459" s="55"/>
      <c r="AM1459" s="55"/>
      <c r="AN1459" s="55"/>
      <c r="AO1459" s="55"/>
      <c r="AP1459" s="55"/>
      <c r="AQ1459" s="55"/>
      <c r="AR1459" s="55"/>
      <c r="AS1459" s="55"/>
      <c r="AT1459" s="55"/>
      <c r="AU1459" s="55"/>
      <c r="AV1459" s="55"/>
      <c r="AW1459" s="55"/>
      <c r="AX1459" s="55"/>
      <c r="AY1459" s="55"/>
      <c r="AZ1459" s="55"/>
    </row>
    <row r="1460" spans="1:52" ht="12.75" customHeight="1" x14ac:dyDescent="0.2">
      <c r="A1460" s="55"/>
      <c r="B1460" s="76"/>
      <c r="C1460" s="77"/>
      <c r="D1460" s="77"/>
      <c r="E1460" s="55"/>
      <c r="F1460" s="55"/>
      <c r="G1460" s="55"/>
      <c r="H1460" s="55"/>
      <c r="I1460" s="55"/>
      <c r="J1460" s="55"/>
      <c r="K1460" s="55"/>
      <c r="L1460" s="55"/>
      <c r="M1460" s="55"/>
      <c r="N1460" s="55"/>
      <c r="O1460" s="55"/>
      <c r="P1460" s="55"/>
      <c r="Q1460" s="55"/>
      <c r="R1460" s="55"/>
      <c r="S1460" s="55"/>
      <c r="T1460" s="55"/>
      <c r="U1460" s="55"/>
      <c r="V1460" s="55"/>
      <c r="W1460" s="55"/>
      <c r="X1460" s="55"/>
      <c r="Y1460" s="55"/>
      <c r="Z1460" s="55"/>
      <c r="AA1460" s="55"/>
      <c r="AB1460" s="55"/>
      <c r="AC1460" s="55"/>
      <c r="AD1460" s="55"/>
      <c r="AE1460" s="55"/>
      <c r="AF1460" s="55"/>
      <c r="AG1460" s="55"/>
      <c r="AH1460" s="55"/>
      <c r="AI1460" s="55"/>
      <c r="AJ1460" s="55"/>
      <c r="AK1460" s="55"/>
      <c r="AL1460" s="55"/>
      <c r="AM1460" s="55"/>
      <c r="AN1460" s="55"/>
      <c r="AO1460" s="55"/>
      <c r="AP1460" s="55"/>
      <c r="AQ1460" s="55"/>
      <c r="AR1460" s="55"/>
      <c r="AS1460" s="55"/>
      <c r="AT1460" s="55"/>
      <c r="AU1460" s="55"/>
      <c r="AV1460" s="55"/>
      <c r="AW1460" s="55"/>
      <c r="AX1460" s="55"/>
      <c r="AY1460" s="55"/>
      <c r="AZ1460" s="55"/>
    </row>
    <row r="1461" spans="1:52" ht="12.75" customHeight="1" x14ac:dyDescent="0.2">
      <c r="A1461" s="55"/>
      <c r="B1461" s="76"/>
      <c r="C1461" s="77"/>
      <c r="D1461" s="77"/>
      <c r="E1461" s="55"/>
      <c r="F1461" s="55"/>
      <c r="G1461" s="55"/>
      <c r="H1461" s="55"/>
      <c r="I1461" s="55"/>
      <c r="J1461" s="55"/>
      <c r="K1461" s="55"/>
      <c r="L1461" s="55"/>
      <c r="M1461" s="55"/>
      <c r="N1461" s="55"/>
      <c r="O1461" s="55"/>
      <c r="P1461" s="55"/>
      <c r="Q1461" s="55"/>
      <c r="R1461" s="55"/>
      <c r="S1461" s="55"/>
      <c r="T1461" s="55"/>
      <c r="U1461" s="55"/>
      <c r="V1461" s="55"/>
      <c r="W1461" s="55"/>
      <c r="X1461" s="55"/>
      <c r="Y1461" s="55"/>
      <c r="Z1461" s="55"/>
      <c r="AA1461" s="55"/>
      <c r="AB1461" s="55"/>
      <c r="AC1461" s="55"/>
      <c r="AD1461" s="55"/>
      <c r="AE1461" s="55"/>
      <c r="AF1461" s="55"/>
      <c r="AG1461" s="55"/>
      <c r="AH1461" s="55"/>
      <c r="AI1461" s="55"/>
      <c r="AJ1461" s="55"/>
      <c r="AK1461" s="55"/>
      <c r="AL1461" s="55"/>
      <c r="AM1461" s="55"/>
      <c r="AN1461" s="55"/>
      <c r="AO1461" s="55"/>
      <c r="AP1461" s="55"/>
      <c r="AQ1461" s="55"/>
      <c r="AR1461" s="55"/>
      <c r="AS1461" s="55"/>
      <c r="AT1461" s="55"/>
      <c r="AU1461" s="55"/>
      <c r="AV1461" s="55"/>
      <c r="AW1461" s="55"/>
      <c r="AX1461" s="55"/>
      <c r="AY1461" s="55"/>
      <c r="AZ1461" s="55"/>
    </row>
    <row r="1462" spans="1:52" ht="12.75" customHeight="1" x14ac:dyDescent="0.2">
      <c r="A1462" s="55"/>
      <c r="B1462" s="76"/>
      <c r="C1462" s="77"/>
      <c r="D1462" s="77"/>
      <c r="E1462" s="55"/>
      <c r="F1462" s="55"/>
      <c r="G1462" s="55"/>
      <c r="H1462" s="55"/>
      <c r="I1462" s="55"/>
      <c r="J1462" s="55"/>
      <c r="K1462" s="55"/>
      <c r="L1462" s="55"/>
      <c r="M1462" s="55"/>
      <c r="N1462" s="55"/>
      <c r="O1462" s="55"/>
      <c r="P1462" s="55"/>
      <c r="Q1462" s="55"/>
      <c r="R1462" s="55"/>
      <c r="S1462" s="55"/>
      <c r="T1462" s="55"/>
      <c r="U1462" s="55"/>
      <c r="V1462" s="55"/>
      <c r="W1462" s="55"/>
      <c r="X1462" s="55"/>
      <c r="Y1462" s="55"/>
      <c r="Z1462" s="55"/>
      <c r="AA1462" s="55"/>
      <c r="AB1462" s="55"/>
      <c r="AC1462" s="55"/>
      <c r="AD1462" s="55"/>
      <c r="AE1462" s="55"/>
      <c r="AF1462" s="55"/>
      <c r="AG1462" s="55"/>
      <c r="AH1462" s="55"/>
      <c r="AI1462" s="55"/>
      <c r="AJ1462" s="55"/>
      <c r="AK1462" s="55"/>
      <c r="AL1462" s="55"/>
      <c r="AM1462" s="55"/>
      <c r="AN1462" s="55"/>
      <c r="AO1462" s="55"/>
      <c r="AP1462" s="55"/>
      <c r="AQ1462" s="55"/>
      <c r="AR1462" s="55"/>
      <c r="AS1462" s="55"/>
      <c r="AT1462" s="55"/>
      <c r="AU1462" s="55"/>
      <c r="AV1462" s="55"/>
      <c r="AW1462" s="55"/>
      <c r="AX1462" s="55"/>
      <c r="AY1462" s="55"/>
      <c r="AZ1462" s="55"/>
    </row>
    <row r="1463" spans="1:52" ht="12.75" customHeight="1" x14ac:dyDescent="0.2">
      <c r="A1463" s="55"/>
      <c r="B1463" s="76"/>
      <c r="C1463" s="77"/>
      <c r="D1463" s="77"/>
      <c r="E1463" s="55"/>
      <c r="F1463" s="55"/>
      <c r="G1463" s="55"/>
      <c r="H1463" s="55"/>
      <c r="I1463" s="55"/>
      <c r="J1463" s="55"/>
      <c r="K1463" s="55"/>
      <c r="L1463" s="55"/>
      <c r="M1463" s="55"/>
      <c r="N1463" s="55"/>
      <c r="O1463" s="55"/>
      <c r="P1463" s="55"/>
      <c r="Q1463" s="55"/>
      <c r="R1463" s="55"/>
      <c r="S1463" s="55"/>
      <c r="T1463" s="55"/>
      <c r="U1463" s="55"/>
      <c r="V1463" s="55"/>
      <c r="W1463" s="55"/>
      <c r="X1463" s="55"/>
      <c r="Y1463" s="55"/>
      <c r="Z1463" s="55"/>
      <c r="AA1463" s="55"/>
      <c r="AB1463" s="55"/>
      <c r="AC1463" s="55"/>
      <c r="AD1463" s="55"/>
      <c r="AE1463" s="55"/>
      <c r="AF1463" s="55"/>
      <c r="AG1463" s="55"/>
      <c r="AH1463" s="55"/>
      <c r="AI1463" s="55"/>
      <c r="AJ1463" s="55"/>
      <c r="AK1463" s="55"/>
      <c r="AL1463" s="55"/>
      <c r="AM1463" s="55"/>
      <c r="AN1463" s="55"/>
      <c r="AO1463" s="55"/>
      <c r="AP1463" s="55"/>
      <c r="AQ1463" s="55"/>
      <c r="AR1463" s="55"/>
      <c r="AS1463" s="55"/>
      <c r="AT1463" s="55"/>
      <c r="AU1463" s="55"/>
      <c r="AV1463" s="55"/>
      <c r="AW1463" s="55"/>
      <c r="AX1463" s="55"/>
      <c r="AY1463" s="55"/>
      <c r="AZ1463" s="55"/>
    </row>
    <row r="1464" spans="1:52" ht="12.75" customHeight="1" x14ac:dyDescent="0.2">
      <c r="A1464" s="55"/>
      <c r="B1464" s="76"/>
      <c r="C1464" s="77"/>
      <c r="D1464" s="77"/>
      <c r="E1464" s="55"/>
      <c r="F1464" s="55"/>
      <c r="G1464" s="55"/>
      <c r="H1464" s="55"/>
      <c r="I1464" s="55"/>
      <c r="J1464" s="55"/>
      <c r="K1464" s="55"/>
      <c r="L1464" s="55"/>
      <c r="M1464" s="55"/>
      <c r="N1464" s="55"/>
      <c r="O1464" s="55"/>
      <c r="P1464" s="55"/>
      <c r="Q1464" s="55"/>
      <c r="R1464" s="55"/>
      <c r="S1464" s="55"/>
      <c r="T1464" s="55"/>
      <c r="U1464" s="55"/>
      <c r="V1464" s="55"/>
      <c r="W1464" s="55"/>
      <c r="X1464" s="55"/>
      <c r="Y1464" s="55"/>
      <c r="Z1464" s="55"/>
      <c r="AA1464" s="55"/>
      <c r="AB1464" s="55"/>
      <c r="AC1464" s="55"/>
      <c r="AD1464" s="55"/>
      <c r="AE1464" s="55"/>
      <c r="AF1464" s="55"/>
      <c r="AG1464" s="55"/>
      <c r="AH1464" s="55"/>
      <c r="AI1464" s="55"/>
      <c r="AJ1464" s="55"/>
      <c r="AK1464" s="55"/>
      <c r="AL1464" s="55"/>
      <c r="AM1464" s="55"/>
      <c r="AN1464" s="55"/>
      <c r="AO1464" s="55"/>
      <c r="AP1464" s="55"/>
      <c r="AQ1464" s="55"/>
      <c r="AR1464" s="55"/>
      <c r="AS1464" s="55"/>
      <c r="AT1464" s="55"/>
      <c r="AU1464" s="55"/>
      <c r="AV1464" s="55"/>
      <c r="AW1464" s="55"/>
      <c r="AX1464" s="55"/>
      <c r="AY1464" s="55"/>
      <c r="AZ1464" s="55"/>
    </row>
    <row r="1465" spans="1:52" ht="12.75" customHeight="1" x14ac:dyDescent="0.2">
      <c r="A1465" s="55"/>
      <c r="B1465" s="76"/>
      <c r="C1465" s="77"/>
      <c r="D1465" s="77"/>
      <c r="E1465" s="55"/>
      <c r="F1465" s="55"/>
      <c r="G1465" s="55"/>
      <c r="H1465" s="55"/>
      <c r="I1465" s="55"/>
      <c r="J1465" s="55"/>
      <c r="K1465" s="55"/>
      <c r="L1465" s="55"/>
      <c r="M1465" s="55"/>
      <c r="N1465" s="55"/>
      <c r="O1465" s="55"/>
      <c r="P1465" s="55"/>
      <c r="Q1465" s="55"/>
      <c r="R1465" s="55"/>
      <c r="S1465" s="55"/>
      <c r="T1465" s="55"/>
      <c r="U1465" s="55"/>
      <c r="V1465" s="55"/>
      <c r="W1465" s="55"/>
      <c r="X1465" s="55"/>
      <c r="Y1465" s="55"/>
      <c r="Z1465" s="55"/>
      <c r="AA1465" s="55"/>
      <c r="AB1465" s="55"/>
      <c r="AC1465" s="55"/>
      <c r="AD1465" s="55"/>
      <c r="AE1465" s="55"/>
      <c r="AF1465" s="55"/>
      <c r="AG1465" s="55"/>
      <c r="AH1465" s="55"/>
      <c r="AI1465" s="55"/>
      <c r="AJ1465" s="55"/>
      <c r="AK1465" s="55"/>
      <c r="AL1465" s="55"/>
      <c r="AM1465" s="55"/>
      <c r="AN1465" s="55"/>
      <c r="AO1465" s="55"/>
      <c r="AP1465" s="55"/>
      <c r="AQ1465" s="55"/>
      <c r="AR1465" s="55"/>
      <c r="AS1465" s="55"/>
      <c r="AT1465" s="55"/>
      <c r="AU1465" s="55"/>
      <c r="AV1465" s="55"/>
      <c r="AW1465" s="55"/>
      <c r="AX1465" s="55"/>
      <c r="AY1465" s="55"/>
      <c r="AZ1465" s="55"/>
    </row>
    <row r="1466" spans="1:52" ht="12.75" customHeight="1" x14ac:dyDescent="0.2">
      <c r="A1466" s="55"/>
      <c r="B1466" s="76"/>
      <c r="C1466" s="77"/>
      <c r="D1466" s="77"/>
      <c r="E1466" s="55"/>
      <c r="F1466" s="55"/>
      <c r="G1466" s="55"/>
      <c r="H1466" s="55"/>
      <c r="I1466" s="55"/>
      <c r="J1466" s="55"/>
      <c r="K1466" s="55"/>
      <c r="L1466" s="55"/>
      <c r="M1466" s="55"/>
      <c r="N1466" s="55"/>
      <c r="O1466" s="55"/>
      <c r="P1466" s="55"/>
      <c r="Q1466" s="55"/>
      <c r="R1466" s="55"/>
      <c r="S1466" s="55"/>
      <c r="T1466" s="55"/>
      <c r="U1466" s="55"/>
      <c r="V1466" s="55"/>
      <c r="W1466" s="55"/>
      <c r="X1466" s="55"/>
      <c r="Y1466" s="55"/>
      <c r="Z1466" s="55"/>
      <c r="AA1466" s="55"/>
      <c r="AB1466" s="55"/>
      <c r="AC1466" s="55"/>
      <c r="AD1466" s="55"/>
      <c r="AE1466" s="55"/>
      <c r="AF1466" s="55"/>
      <c r="AG1466" s="55"/>
      <c r="AH1466" s="55"/>
      <c r="AI1466" s="55"/>
      <c r="AJ1466" s="55"/>
      <c r="AK1466" s="55"/>
      <c r="AL1466" s="55"/>
      <c r="AM1466" s="55"/>
      <c r="AN1466" s="55"/>
      <c r="AO1466" s="55"/>
      <c r="AP1466" s="55"/>
      <c r="AQ1466" s="55"/>
      <c r="AR1466" s="55"/>
      <c r="AS1466" s="55"/>
      <c r="AT1466" s="55"/>
      <c r="AU1466" s="55"/>
      <c r="AV1466" s="55"/>
      <c r="AW1466" s="55"/>
      <c r="AX1466" s="55"/>
      <c r="AY1466" s="55"/>
      <c r="AZ1466" s="55"/>
    </row>
    <row r="1467" spans="1:52" ht="12.75" customHeight="1" x14ac:dyDescent="0.2">
      <c r="A1467" s="55"/>
      <c r="B1467" s="76"/>
      <c r="C1467" s="77"/>
      <c r="D1467" s="77"/>
      <c r="E1467" s="55"/>
      <c r="F1467" s="55"/>
      <c r="G1467" s="55"/>
      <c r="H1467" s="55"/>
      <c r="I1467" s="55"/>
      <c r="J1467" s="55"/>
      <c r="K1467" s="55"/>
      <c r="L1467" s="55"/>
      <c r="M1467" s="55"/>
      <c r="N1467" s="55"/>
      <c r="O1467" s="55"/>
      <c r="P1467" s="55"/>
      <c r="Q1467" s="55"/>
      <c r="R1467" s="55"/>
      <c r="S1467" s="55"/>
      <c r="T1467" s="55"/>
      <c r="U1467" s="55"/>
      <c r="V1467" s="55"/>
      <c r="W1467" s="55"/>
      <c r="X1467" s="55"/>
      <c r="Y1467" s="55"/>
      <c r="Z1467" s="55"/>
      <c r="AA1467" s="55"/>
      <c r="AB1467" s="55"/>
      <c r="AC1467" s="55"/>
      <c r="AD1467" s="55"/>
      <c r="AE1467" s="55"/>
      <c r="AF1467" s="55"/>
      <c r="AG1467" s="55"/>
      <c r="AH1467" s="55"/>
      <c r="AI1467" s="55"/>
      <c r="AJ1467" s="55"/>
      <c r="AK1467" s="55"/>
      <c r="AL1467" s="55"/>
      <c r="AM1467" s="55"/>
      <c r="AN1467" s="55"/>
      <c r="AO1467" s="55"/>
      <c r="AP1467" s="55"/>
      <c r="AQ1467" s="55"/>
      <c r="AR1467" s="55"/>
      <c r="AS1467" s="55"/>
      <c r="AT1467" s="55"/>
      <c r="AU1467" s="55"/>
      <c r="AV1467" s="55"/>
      <c r="AW1467" s="55"/>
      <c r="AX1467" s="55"/>
      <c r="AY1467" s="55"/>
      <c r="AZ1467" s="55"/>
    </row>
    <row r="1468" spans="1:52" ht="12.75" customHeight="1" x14ac:dyDescent="0.2">
      <c r="A1468" s="55"/>
      <c r="B1468" s="76"/>
      <c r="C1468" s="77"/>
      <c r="D1468" s="77"/>
      <c r="E1468" s="55"/>
      <c r="F1468" s="55"/>
      <c r="G1468" s="55"/>
      <c r="H1468" s="55"/>
      <c r="I1468" s="55"/>
      <c r="J1468" s="55"/>
      <c r="K1468" s="55"/>
      <c r="L1468" s="55"/>
      <c r="M1468" s="55"/>
      <c r="N1468" s="55"/>
      <c r="O1468" s="55"/>
      <c r="P1468" s="55"/>
      <c r="Q1468" s="55"/>
      <c r="R1468" s="55"/>
      <c r="S1468" s="55"/>
      <c r="T1468" s="55"/>
      <c r="U1468" s="55"/>
      <c r="V1468" s="55"/>
      <c r="W1468" s="55"/>
      <c r="X1468" s="55"/>
      <c r="Y1468" s="55"/>
      <c r="Z1468" s="55"/>
      <c r="AA1468" s="55"/>
      <c r="AB1468" s="55"/>
      <c r="AC1468" s="55"/>
      <c r="AD1468" s="55"/>
      <c r="AE1468" s="55"/>
      <c r="AF1468" s="55"/>
      <c r="AG1468" s="55"/>
      <c r="AH1468" s="55"/>
      <c r="AI1468" s="55"/>
      <c r="AJ1468" s="55"/>
      <c r="AK1468" s="55"/>
      <c r="AL1468" s="55"/>
      <c r="AM1468" s="55"/>
      <c r="AN1468" s="55"/>
      <c r="AO1468" s="55"/>
      <c r="AP1468" s="55"/>
      <c r="AQ1468" s="55"/>
      <c r="AR1468" s="55"/>
      <c r="AS1468" s="55"/>
      <c r="AT1468" s="55"/>
      <c r="AU1468" s="55"/>
      <c r="AV1468" s="55"/>
      <c r="AW1468" s="55"/>
      <c r="AX1468" s="55"/>
      <c r="AY1468" s="55"/>
      <c r="AZ1468" s="55"/>
    </row>
    <row r="1469" spans="1:52" ht="12.75" customHeight="1" x14ac:dyDescent="0.2">
      <c r="A1469" s="55"/>
      <c r="B1469" s="76"/>
      <c r="C1469" s="77"/>
      <c r="D1469" s="77"/>
      <c r="E1469" s="55"/>
      <c r="F1469" s="55"/>
      <c r="G1469" s="55"/>
      <c r="H1469" s="55"/>
      <c r="I1469" s="55"/>
      <c r="J1469" s="55"/>
      <c r="K1469" s="55"/>
      <c r="L1469" s="55"/>
      <c r="M1469" s="55"/>
      <c r="N1469" s="55"/>
      <c r="O1469" s="55"/>
      <c r="P1469" s="55"/>
      <c r="Q1469" s="55"/>
      <c r="R1469" s="55"/>
      <c r="S1469" s="62"/>
      <c r="T1469" s="55"/>
      <c r="U1469" s="55"/>
      <c r="V1469" s="55"/>
      <c r="W1469" s="55"/>
      <c r="X1469" s="55"/>
      <c r="Y1469" s="55"/>
      <c r="Z1469" s="55"/>
      <c r="AA1469" s="55"/>
      <c r="AB1469" s="55"/>
      <c r="AC1469" s="55"/>
      <c r="AD1469" s="55"/>
      <c r="AE1469" s="55"/>
      <c r="AF1469" s="55"/>
      <c r="AG1469" s="55"/>
      <c r="AH1469" s="55"/>
      <c r="AI1469" s="55"/>
      <c r="AJ1469" s="55"/>
      <c r="AK1469" s="55"/>
      <c r="AL1469" s="55"/>
      <c r="AM1469" s="55"/>
      <c r="AN1469" s="55"/>
      <c r="AO1469" s="55"/>
      <c r="AP1469" s="55"/>
      <c r="AQ1469" s="55"/>
      <c r="AR1469" s="55"/>
      <c r="AS1469" s="55"/>
      <c r="AT1469" s="55"/>
      <c r="AU1469" s="55"/>
      <c r="AV1469" s="55"/>
      <c r="AW1469" s="55"/>
      <c r="AX1469" s="55"/>
      <c r="AY1469" s="55"/>
      <c r="AZ1469" s="55"/>
    </row>
    <row r="1470" spans="1:52" ht="12.75" customHeight="1" x14ac:dyDescent="0.2">
      <c r="A1470" s="55"/>
      <c r="B1470" s="76"/>
      <c r="C1470" s="77"/>
      <c r="D1470" s="77"/>
      <c r="E1470" s="55"/>
      <c r="F1470" s="55"/>
      <c r="G1470" s="55"/>
      <c r="H1470" s="55"/>
      <c r="I1470" s="55"/>
      <c r="J1470" s="55"/>
      <c r="K1470" s="55"/>
      <c r="L1470" s="55"/>
      <c r="M1470" s="55"/>
      <c r="N1470" s="55"/>
      <c r="O1470" s="55"/>
      <c r="P1470" s="55"/>
      <c r="Q1470" s="55"/>
      <c r="R1470" s="55"/>
      <c r="S1470" s="55"/>
      <c r="T1470" s="55"/>
      <c r="U1470" s="55"/>
      <c r="V1470" s="55"/>
      <c r="W1470" s="55"/>
      <c r="X1470" s="55"/>
      <c r="Y1470" s="55"/>
      <c r="Z1470" s="55"/>
      <c r="AA1470" s="55"/>
      <c r="AB1470" s="55"/>
      <c r="AC1470" s="55"/>
      <c r="AD1470" s="55"/>
      <c r="AE1470" s="55"/>
      <c r="AF1470" s="55"/>
      <c r="AG1470" s="55"/>
      <c r="AH1470" s="55"/>
      <c r="AI1470" s="55"/>
      <c r="AJ1470" s="55"/>
      <c r="AK1470" s="55"/>
      <c r="AL1470" s="55"/>
      <c r="AM1470" s="55"/>
      <c r="AN1470" s="55"/>
      <c r="AO1470" s="55"/>
      <c r="AP1470" s="55"/>
      <c r="AQ1470" s="55"/>
      <c r="AR1470" s="55"/>
      <c r="AS1470" s="55"/>
      <c r="AT1470" s="55"/>
      <c r="AU1470" s="55"/>
      <c r="AV1470" s="55"/>
      <c r="AW1470" s="55"/>
      <c r="AX1470" s="55"/>
      <c r="AY1470" s="55"/>
      <c r="AZ1470" s="55"/>
    </row>
    <row r="1471" spans="1:52" ht="12.75" customHeight="1" x14ac:dyDescent="0.2">
      <c r="A1471" s="55"/>
      <c r="B1471" s="76"/>
      <c r="C1471" s="77"/>
      <c r="D1471" s="77"/>
      <c r="E1471" s="55"/>
      <c r="F1471" s="55"/>
      <c r="G1471" s="55"/>
      <c r="H1471" s="55"/>
      <c r="I1471" s="55"/>
      <c r="J1471" s="55"/>
      <c r="K1471" s="55"/>
      <c r="L1471" s="55"/>
      <c r="M1471" s="55"/>
      <c r="N1471" s="55"/>
      <c r="O1471" s="55"/>
      <c r="P1471" s="55"/>
      <c r="Q1471" s="55"/>
      <c r="R1471" s="55"/>
      <c r="S1471" s="55"/>
      <c r="T1471" s="55"/>
      <c r="U1471" s="55"/>
      <c r="V1471" s="55"/>
      <c r="W1471" s="55"/>
      <c r="X1471" s="55"/>
      <c r="Y1471" s="55"/>
      <c r="Z1471" s="55"/>
      <c r="AA1471" s="55"/>
      <c r="AB1471" s="55"/>
      <c r="AC1471" s="55"/>
      <c r="AD1471" s="55"/>
      <c r="AE1471" s="55"/>
      <c r="AF1471" s="55"/>
      <c r="AG1471" s="55"/>
      <c r="AH1471" s="55"/>
      <c r="AI1471" s="55"/>
      <c r="AJ1471" s="55"/>
      <c r="AK1471" s="55"/>
      <c r="AL1471" s="55"/>
      <c r="AM1471" s="55"/>
      <c r="AN1471" s="55"/>
      <c r="AO1471" s="55"/>
      <c r="AP1471" s="55"/>
      <c r="AQ1471" s="55"/>
      <c r="AR1471" s="55"/>
      <c r="AS1471" s="55"/>
      <c r="AT1471" s="55"/>
      <c r="AU1471" s="55"/>
      <c r="AV1471" s="55"/>
      <c r="AW1471" s="55"/>
      <c r="AX1471" s="55"/>
      <c r="AY1471" s="55"/>
      <c r="AZ1471" s="55"/>
    </row>
    <row r="1472" spans="1:52" ht="12.75" customHeight="1" x14ac:dyDescent="0.2">
      <c r="A1472" s="55"/>
      <c r="B1472" s="76"/>
      <c r="C1472" s="77"/>
      <c r="D1472" s="77"/>
      <c r="E1472" s="55"/>
      <c r="F1472" s="55"/>
      <c r="G1472" s="55"/>
      <c r="H1472" s="55"/>
      <c r="I1472" s="55"/>
      <c r="J1472" s="55"/>
      <c r="K1472" s="55"/>
      <c r="L1472" s="55"/>
      <c r="M1472" s="55"/>
      <c r="N1472" s="55"/>
      <c r="O1472" s="55"/>
      <c r="P1472" s="55"/>
      <c r="Q1472" s="55"/>
      <c r="R1472" s="55"/>
      <c r="S1472" s="55"/>
      <c r="T1472" s="55"/>
      <c r="U1472" s="55"/>
      <c r="V1472" s="55"/>
      <c r="W1472" s="55"/>
      <c r="X1472" s="55"/>
      <c r="Y1472" s="55"/>
      <c r="Z1472" s="55"/>
      <c r="AA1472" s="55"/>
      <c r="AB1472" s="55"/>
      <c r="AC1472" s="55"/>
      <c r="AD1472" s="55"/>
      <c r="AE1472" s="55"/>
      <c r="AF1472" s="55"/>
      <c r="AG1472" s="55"/>
      <c r="AH1472" s="55"/>
      <c r="AI1472" s="55"/>
      <c r="AJ1472" s="55"/>
      <c r="AK1472" s="55"/>
      <c r="AL1472" s="55"/>
      <c r="AM1472" s="55"/>
      <c r="AN1472" s="55"/>
      <c r="AO1472" s="55"/>
      <c r="AP1472" s="55"/>
      <c r="AQ1472" s="55"/>
      <c r="AR1472" s="55"/>
      <c r="AS1472" s="55"/>
      <c r="AT1472" s="55"/>
      <c r="AU1472" s="55"/>
      <c r="AV1472" s="55"/>
      <c r="AW1472" s="55"/>
      <c r="AX1472" s="55"/>
      <c r="AY1472" s="55"/>
      <c r="AZ1472" s="55"/>
    </row>
    <row r="1473" spans="1:52" ht="12.75" customHeight="1" x14ac:dyDescent="0.2">
      <c r="A1473" s="55"/>
      <c r="B1473" s="76"/>
      <c r="C1473" s="77"/>
      <c r="D1473" s="77"/>
      <c r="E1473" s="55"/>
      <c r="F1473" s="55"/>
      <c r="G1473" s="55"/>
      <c r="H1473" s="55"/>
      <c r="I1473" s="55"/>
      <c r="J1473" s="55"/>
      <c r="K1473" s="55"/>
      <c r="L1473" s="55"/>
      <c r="M1473" s="55"/>
      <c r="N1473" s="55"/>
      <c r="O1473" s="55"/>
      <c r="P1473" s="55"/>
      <c r="Q1473" s="55"/>
      <c r="R1473" s="55"/>
      <c r="S1473" s="55"/>
      <c r="T1473" s="55"/>
      <c r="U1473" s="55"/>
      <c r="V1473" s="55"/>
      <c r="W1473" s="55"/>
      <c r="X1473" s="55"/>
      <c r="Y1473" s="55"/>
      <c r="Z1473" s="55"/>
      <c r="AA1473" s="55"/>
      <c r="AB1473" s="55"/>
      <c r="AC1473" s="55"/>
      <c r="AD1473" s="55"/>
      <c r="AE1473" s="55"/>
      <c r="AF1473" s="55"/>
      <c r="AG1473" s="55"/>
      <c r="AH1473" s="55"/>
      <c r="AI1473" s="55"/>
      <c r="AJ1473" s="55"/>
      <c r="AK1473" s="55"/>
      <c r="AL1473" s="55"/>
      <c r="AM1473" s="55"/>
      <c r="AN1473" s="55"/>
      <c r="AO1473" s="55"/>
      <c r="AP1473" s="55"/>
      <c r="AQ1473" s="55"/>
      <c r="AR1473" s="55"/>
      <c r="AS1473" s="55"/>
      <c r="AT1473" s="55"/>
      <c r="AU1473" s="55"/>
      <c r="AV1473" s="55"/>
      <c r="AW1473" s="55"/>
      <c r="AX1473" s="55"/>
      <c r="AY1473" s="55"/>
      <c r="AZ1473" s="55"/>
    </row>
    <row r="1474" spans="1:52" ht="12.75" customHeight="1" x14ac:dyDescent="0.2">
      <c r="A1474" s="55"/>
      <c r="B1474" s="76"/>
      <c r="C1474" s="77"/>
      <c r="D1474" s="77"/>
      <c r="E1474" s="55"/>
      <c r="F1474" s="55"/>
      <c r="G1474" s="55"/>
      <c r="H1474" s="55"/>
      <c r="I1474" s="55"/>
      <c r="J1474" s="55"/>
      <c r="K1474" s="55"/>
      <c r="L1474" s="55"/>
      <c r="M1474" s="55"/>
      <c r="N1474" s="55"/>
      <c r="O1474" s="55"/>
      <c r="P1474" s="55"/>
      <c r="Q1474" s="55"/>
      <c r="R1474" s="55"/>
      <c r="S1474" s="55"/>
      <c r="T1474" s="55"/>
      <c r="U1474" s="55"/>
      <c r="V1474" s="55"/>
      <c r="W1474" s="55"/>
      <c r="X1474" s="55"/>
      <c r="Y1474" s="55"/>
      <c r="Z1474" s="55"/>
      <c r="AA1474" s="55"/>
      <c r="AB1474" s="55"/>
      <c r="AC1474" s="55"/>
      <c r="AD1474" s="55"/>
      <c r="AE1474" s="55"/>
      <c r="AF1474" s="55"/>
      <c r="AG1474" s="55"/>
      <c r="AH1474" s="55"/>
      <c r="AI1474" s="55"/>
      <c r="AJ1474" s="55"/>
      <c r="AK1474" s="55"/>
      <c r="AL1474" s="55"/>
      <c r="AM1474" s="55"/>
      <c r="AN1474" s="55"/>
      <c r="AO1474" s="55"/>
      <c r="AP1474" s="55"/>
      <c r="AQ1474" s="55"/>
      <c r="AR1474" s="55"/>
      <c r="AS1474" s="55"/>
      <c r="AT1474" s="55"/>
      <c r="AU1474" s="55"/>
      <c r="AV1474" s="55"/>
      <c r="AW1474" s="55"/>
      <c r="AX1474" s="55"/>
      <c r="AY1474" s="55"/>
      <c r="AZ1474" s="55"/>
    </row>
    <row r="1475" spans="1:52" ht="12.75" customHeight="1" x14ac:dyDescent="0.2">
      <c r="A1475" s="55"/>
      <c r="B1475" s="76"/>
      <c r="C1475" s="77"/>
      <c r="D1475" s="77"/>
      <c r="E1475" s="55"/>
      <c r="F1475" s="55"/>
      <c r="G1475" s="55"/>
      <c r="H1475" s="55"/>
      <c r="I1475" s="55"/>
      <c r="J1475" s="55"/>
      <c r="K1475" s="55"/>
      <c r="L1475" s="55"/>
      <c r="M1475" s="55"/>
      <c r="N1475" s="55"/>
      <c r="O1475" s="55"/>
      <c r="P1475" s="55"/>
      <c r="Q1475" s="55"/>
      <c r="R1475" s="55"/>
      <c r="S1475" s="55"/>
      <c r="T1475" s="55"/>
      <c r="U1475" s="55"/>
      <c r="V1475" s="55"/>
      <c r="W1475" s="55"/>
      <c r="X1475" s="55"/>
      <c r="Y1475" s="55"/>
      <c r="Z1475" s="55"/>
      <c r="AA1475" s="55"/>
      <c r="AB1475" s="55"/>
      <c r="AC1475" s="55"/>
      <c r="AD1475" s="55"/>
      <c r="AE1475" s="55"/>
      <c r="AF1475" s="55"/>
      <c r="AG1475" s="55"/>
      <c r="AH1475" s="55"/>
      <c r="AI1475" s="55"/>
      <c r="AJ1475" s="55"/>
      <c r="AK1475" s="55"/>
      <c r="AL1475" s="55"/>
      <c r="AM1475" s="55"/>
      <c r="AN1475" s="55"/>
      <c r="AO1475" s="55"/>
      <c r="AP1475" s="55"/>
      <c r="AQ1475" s="55"/>
      <c r="AR1475" s="55"/>
      <c r="AS1475" s="55"/>
      <c r="AT1475" s="55"/>
      <c r="AU1475" s="55"/>
      <c r="AV1475" s="55"/>
      <c r="AW1475" s="55"/>
      <c r="AX1475" s="55"/>
      <c r="AY1475" s="55"/>
      <c r="AZ1475" s="55"/>
    </row>
    <row r="1476" spans="1:52" ht="12.75" customHeight="1" x14ac:dyDescent="0.2">
      <c r="A1476" s="55"/>
      <c r="B1476" s="76"/>
      <c r="C1476" s="77"/>
      <c r="D1476" s="77"/>
      <c r="E1476" s="55"/>
      <c r="F1476" s="55"/>
      <c r="G1476" s="55"/>
      <c r="H1476" s="55"/>
      <c r="I1476" s="55"/>
      <c r="J1476" s="55"/>
      <c r="K1476" s="55"/>
      <c r="L1476" s="55"/>
      <c r="M1476" s="55"/>
      <c r="N1476" s="55"/>
      <c r="O1476" s="55"/>
      <c r="P1476" s="55"/>
      <c r="Q1476" s="55"/>
      <c r="R1476" s="55"/>
      <c r="S1476" s="55"/>
      <c r="T1476" s="55"/>
      <c r="U1476" s="55"/>
      <c r="V1476" s="55"/>
      <c r="W1476" s="55"/>
      <c r="X1476" s="55"/>
      <c r="Y1476" s="55"/>
      <c r="Z1476" s="55"/>
      <c r="AA1476" s="55"/>
      <c r="AB1476" s="55"/>
      <c r="AC1476" s="55"/>
      <c r="AD1476" s="55"/>
      <c r="AE1476" s="55"/>
      <c r="AF1476" s="55"/>
      <c r="AG1476" s="55"/>
      <c r="AH1476" s="55"/>
      <c r="AI1476" s="55"/>
      <c r="AJ1476" s="55"/>
      <c r="AK1476" s="55"/>
      <c r="AL1476" s="55"/>
      <c r="AM1476" s="55"/>
      <c r="AN1476" s="55"/>
      <c r="AO1476" s="55"/>
      <c r="AP1476" s="55"/>
      <c r="AQ1476" s="55"/>
      <c r="AR1476" s="55"/>
      <c r="AS1476" s="55"/>
      <c r="AT1476" s="55"/>
      <c r="AU1476" s="55"/>
      <c r="AV1476" s="55"/>
      <c r="AW1476" s="55"/>
      <c r="AX1476" s="55"/>
      <c r="AY1476" s="55"/>
      <c r="AZ1476" s="55"/>
    </row>
    <row r="1477" spans="1:52" ht="12.75" customHeight="1" x14ac:dyDescent="0.2">
      <c r="A1477" s="55"/>
      <c r="B1477" s="76"/>
      <c r="C1477" s="77"/>
      <c r="D1477" s="77"/>
      <c r="E1477" s="55"/>
      <c r="F1477" s="55"/>
      <c r="G1477" s="55"/>
      <c r="H1477" s="55"/>
      <c r="I1477" s="55"/>
      <c r="J1477" s="55"/>
      <c r="K1477" s="55"/>
      <c r="L1477" s="55"/>
      <c r="M1477" s="55"/>
      <c r="N1477" s="55"/>
      <c r="O1477" s="55"/>
      <c r="P1477" s="55"/>
      <c r="Q1477" s="55"/>
      <c r="R1477" s="55"/>
      <c r="S1477" s="55"/>
      <c r="T1477" s="55"/>
      <c r="U1477" s="55"/>
      <c r="V1477" s="55"/>
      <c r="W1477" s="55"/>
      <c r="X1477" s="55"/>
      <c r="Y1477" s="55"/>
      <c r="Z1477" s="55"/>
      <c r="AA1477" s="55"/>
      <c r="AB1477" s="55"/>
      <c r="AC1477" s="55"/>
      <c r="AD1477" s="55"/>
      <c r="AE1477" s="55"/>
      <c r="AF1477" s="55"/>
      <c r="AG1477" s="55"/>
      <c r="AH1477" s="55"/>
      <c r="AI1477" s="55"/>
      <c r="AJ1477" s="55"/>
      <c r="AK1477" s="55"/>
      <c r="AL1477" s="55"/>
      <c r="AM1477" s="55"/>
      <c r="AN1477" s="55"/>
      <c r="AO1477" s="55"/>
      <c r="AP1477" s="55"/>
      <c r="AQ1477" s="55"/>
      <c r="AR1477" s="55"/>
      <c r="AS1477" s="55"/>
      <c r="AT1477" s="55"/>
      <c r="AU1477" s="55"/>
      <c r="AV1477" s="55"/>
      <c r="AW1477" s="55"/>
      <c r="AX1477" s="55"/>
      <c r="AY1477" s="55"/>
      <c r="AZ1477" s="55"/>
    </row>
    <row r="1478" spans="1:52" ht="12.75" customHeight="1" x14ac:dyDescent="0.2">
      <c r="A1478" s="55"/>
      <c r="B1478" s="76"/>
      <c r="C1478" s="77"/>
      <c r="D1478" s="77"/>
      <c r="E1478" s="55"/>
      <c r="F1478" s="55"/>
      <c r="G1478" s="55"/>
      <c r="H1478" s="55"/>
      <c r="I1478" s="55"/>
      <c r="J1478" s="55"/>
      <c r="K1478" s="55"/>
      <c r="L1478" s="55"/>
      <c r="M1478" s="55"/>
      <c r="N1478" s="55"/>
      <c r="O1478" s="55"/>
      <c r="P1478" s="55"/>
      <c r="Q1478" s="55"/>
      <c r="R1478" s="55"/>
      <c r="S1478" s="55"/>
      <c r="T1478" s="55"/>
      <c r="U1478" s="55"/>
      <c r="V1478" s="55"/>
      <c r="W1478" s="55"/>
      <c r="X1478" s="55"/>
      <c r="Y1478" s="55"/>
      <c r="Z1478" s="55"/>
      <c r="AA1478" s="55"/>
      <c r="AB1478" s="55"/>
      <c r="AC1478" s="55"/>
      <c r="AD1478" s="55"/>
      <c r="AE1478" s="55"/>
      <c r="AF1478" s="55"/>
      <c r="AG1478" s="55"/>
      <c r="AH1478" s="55"/>
      <c r="AI1478" s="55"/>
      <c r="AJ1478" s="55"/>
      <c r="AK1478" s="55"/>
      <c r="AL1478" s="55"/>
      <c r="AM1478" s="55"/>
      <c r="AN1478" s="55"/>
      <c r="AO1478" s="55"/>
      <c r="AP1478" s="55"/>
      <c r="AQ1478" s="55"/>
      <c r="AR1478" s="55"/>
      <c r="AS1478" s="55"/>
      <c r="AT1478" s="55"/>
      <c r="AU1478" s="55"/>
      <c r="AV1478" s="55"/>
      <c r="AW1478" s="55"/>
      <c r="AX1478" s="55"/>
      <c r="AY1478" s="55"/>
      <c r="AZ1478" s="55"/>
    </row>
    <row r="1479" spans="1:52" ht="12.75" customHeight="1" x14ac:dyDescent="0.2">
      <c r="A1479" s="55"/>
      <c r="B1479" s="76"/>
      <c r="C1479" s="77"/>
      <c r="D1479" s="77"/>
      <c r="E1479" s="55"/>
      <c r="F1479" s="55"/>
      <c r="G1479" s="55"/>
      <c r="H1479" s="55"/>
      <c r="I1479" s="55"/>
      <c r="J1479" s="55"/>
      <c r="K1479" s="55"/>
      <c r="L1479" s="55"/>
      <c r="M1479" s="55"/>
      <c r="N1479" s="55"/>
      <c r="O1479" s="55"/>
      <c r="P1479" s="55"/>
      <c r="Q1479" s="55"/>
      <c r="R1479" s="55"/>
      <c r="S1479" s="55"/>
      <c r="T1479" s="55"/>
      <c r="U1479" s="55"/>
      <c r="V1479" s="55"/>
      <c r="W1479" s="55"/>
      <c r="X1479" s="55"/>
      <c r="Y1479" s="55"/>
      <c r="Z1479" s="55"/>
      <c r="AA1479" s="55"/>
      <c r="AB1479" s="55"/>
      <c r="AC1479" s="55"/>
      <c r="AD1479" s="55"/>
      <c r="AE1479" s="55"/>
      <c r="AF1479" s="55"/>
      <c r="AG1479" s="55"/>
      <c r="AH1479" s="55"/>
      <c r="AI1479" s="55"/>
      <c r="AJ1479" s="55"/>
      <c r="AK1479" s="55"/>
      <c r="AL1479" s="55"/>
      <c r="AM1479" s="55"/>
      <c r="AN1479" s="55"/>
      <c r="AO1479" s="55"/>
      <c r="AP1479" s="55"/>
      <c r="AQ1479" s="55"/>
      <c r="AR1479" s="55"/>
      <c r="AS1479" s="55"/>
      <c r="AT1479" s="55"/>
      <c r="AU1479" s="55"/>
      <c r="AV1479" s="55"/>
      <c r="AW1479" s="55"/>
      <c r="AX1479" s="55"/>
      <c r="AY1479" s="55"/>
      <c r="AZ1479" s="55"/>
    </row>
    <row r="1480" spans="1:52" ht="12.75" customHeight="1" x14ac:dyDescent="0.2">
      <c r="A1480" s="55"/>
      <c r="B1480" s="76"/>
      <c r="C1480" s="77"/>
      <c r="D1480" s="77"/>
      <c r="E1480" s="55"/>
      <c r="F1480" s="55"/>
      <c r="G1480" s="55"/>
      <c r="H1480" s="55"/>
      <c r="I1480" s="55"/>
      <c r="J1480" s="55"/>
      <c r="K1480" s="55"/>
      <c r="L1480" s="55"/>
      <c r="M1480" s="55"/>
      <c r="N1480" s="55"/>
      <c r="O1480" s="55"/>
      <c r="P1480" s="55"/>
      <c r="Q1480" s="55"/>
      <c r="R1480" s="55"/>
      <c r="S1480" s="55"/>
      <c r="T1480" s="55"/>
      <c r="U1480" s="55"/>
      <c r="V1480" s="55"/>
      <c r="W1480" s="55"/>
      <c r="X1480" s="55"/>
      <c r="Y1480" s="55"/>
      <c r="Z1480" s="55"/>
      <c r="AA1480" s="55"/>
      <c r="AB1480" s="55"/>
      <c r="AC1480" s="55"/>
      <c r="AD1480" s="55"/>
      <c r="AE1480" s="55"/>
      <c r="AF1480" s="55"/>
      <c r="AG1480" s="55"/>
      <c r="AH1480" s="55"/>
      <c r="AI1480" s="55"/>
      <c r="AJ1480" s="55"/>
      <c r="AK1480" s="55"/>
      <c r="AL1480" s="55"/>
      <c r="AM1480" s="55"/>
      <c r="AN1480" s="55"/>
      <c r="AO1480" s="55"/>
      <c r="AP1480" s="55"/>
      <c r="AQ1480" s="55"/>
      <c r="AR1480" s="55"/>
      <c r="AS1480" s="55"/>
      <c r="AT1480" s="55"/>
      <c r="AU1480" s="55"/>
      <c r="AV1480" s="55"/>
      <c r="AW1480" s="55"/>
      <c r="AX1480" s="55"/>
      <c r="AY1480" s="55"/>
      <c r="AZ1480" s="55"/>
    </row>
    <row r="1481" spans="1:52" ht="12.75" customHeight="1" x14ac:dyDescent="0.2">
      <c r="A1481" s="55"/>
      <c r="B1481" s="76"/>
      <c r="C1481" s="77"/>
      <c r="D1481" s="77"/>
      <c r="E1481" s="55"/>
      <c r="F1481" s="55"/>
      <c r="G1481" s="55"/>
      <c r="H1481" s="55"/>
      <c r="I1481" s="55"/>
      <c r="J1481" s="55"/>
      <c r="K1481" s="55"/>
      <c r="L1481" s="55"/>
      <c r="M1481" s="55"/>
      <c r="N1481" s="55"/>
      <c r="O1481" s="55"/>
      <c r="P1481" s="55"/>
      <c r="Q1481" s="55"/>
      <c r="R1481" s="55"/>
      <c r="S1481" s="55"/>
      <c r="T1481" s="55"/>
      <c r="U1481" s="55"/>
      <c r="V1481" s="55"/>
      <c r="W1481" s="55"/>
      <c r="X1481" s="55"/>
      <c r="Y1481" s="55"/>
      <c r="Z1481" s="55"/>
      <c r="AA1481" s="55"/>
      <c r="AB1481" s="55"/>
      <c r="AC1481" s="55"/>
      <c r="AD1481" s="55"/>
      <c r="AE1481" s="55"/>
      <c r="AF1481" s="55"/>
      <c r="AG1481" s="55"/>
      <c r="AH1481" s="55"/>
      <c r="AI1481" s="55"/>
      <c r="AJ1481" s="55"/>
      <c r="AK1481" s="55"/>
      <c r="AL1481" s="55"/>
      <c r="AM1481" s="55"/>
      <c r="AN1481" s="55"/>
      <c r="AO1481" s="55"/>
      <c r="AP1481" s="55"/>
      <c r="AQ1481" s="55"/>
      <c r="AR1481" s="55"/>
      <c r="AS1481" s="55"/>
      <c r="AT1481" s="55"/>
      <c r="AU1481" s="55"/>
      <c r="AV1481" s="55"/>
      <c r="AW1481" s="55"/>
      <c r="AX1481" s="55"/>
      <c r="AY1481" s="55"/>
      <c r="AZ1481" s="55"/>
    </row>
    <row r="1482" spans="1:52" ht="12.75" customHeight="1" x14ac:dyDescent="0.2">
      <c r="A1482" s="55"/>
      <c r="B1482" s="76"/>
      <c r="C1482" s="77"/>
      <c r="D1482" s="77"/>
      <c r="E1482" s="55"/>
      <c r="F1482" s="55"/>
      <c r="G1482" s="55"/>
      <c r="H1482" s="55"/>
      <c r="I1482" s="55"/>
      <c r="J1482" s="55"/>
      <c r="K1482" s="55"/>
      <c r="L1482" s="55"/>
      <c r="M1482" s="55"/>
      <c r="N1482" s="55"/>
      <c r="O1482" s="55"/>
      <c r="P1482" s="55"/>
      <c r="Q1482" s="55"/>
      <c r="R1482" s="55"/>
      <c r="S1482" s="55"/>
      <c r="T1482" s="55"/>
      <c r="U1482" s="55"/>
      <c r="V1482" s="55"/>
      <c r="W1482" s="55"/>
      <c r="X1482" s="55"/>
      <c r="Y1482" s="55"/>
      <c r="Z1482" s="55"/>
      <c r="AA1482" s="55"/>
      <c r="AB1482" s="55"/>
      <c r="AC1482" s="55"/>
      <c r="AD1482" s="55"/>
      <c r="AE1482" s="55"/>
      <c r="AF1482" s="55"/>
      <c r="AG1482" s="55"/>
      <c r="AH1482" s="55"/>
      <c r="AI1482" s="55"/>
      <c r="AJ1482" s="55"/>
      <c r="AK1482" s="55"/>
      <c r="AL1482" s="55"/>
      <c r="AM1482" s="55"/>
      <c r="AN1482" s="55"/>
      <c r="AO1482" s="55"/>
      <c r="AP1482" s="55"/>
      <c r="AQ1482" s="55"/>
      <c r="AR1482" s="55"/>
      <c r="AS1482" s="55"/>
      <c r="AT1482" s="55"/>
      <c r="AU1482" s="55"/>
      <c r="AV1482" s="55"/>
      <c r="AW1482" s="55"/>
      <c r="AX1482" s="55"/>
      <c r="AY1482" s="55"/>
      <c r="AZ1482" s="55"/>
    </row>
    <row r="1483" spans="1:52" ht="12.75" customHeight="1" x14ac:dyDescent="0.2">
      <c r="A1483" s="55"/>
      <c r="B1483" s="76"/>
      <c r="C1483" s="77"/>
      <c r="D1483" s="77"/>
      <c r="E1483" s="55"/>
      <c r="F1483" s="55"/>
      <c r="G1483" s="55"/>
      <c r="H1483" s="55"/>
      <c r="I1483" s="55"/>
      <c r="J1483" s="55"/>
      <c r="K1483" s="55"/>
      <c r="L1483" s="55"/>
      <c r="M1483" s="55"/>
      <c r="N1483" s="55"/>
      <c r="O1483" s="55"/>
      <c r="P1483" s="55"/>
      <c r="Q1483" s="55"/>
      <c r="R1483" s="55"/>
      <c r="S1483" s="55"/>
      <c r="T1483" s="55"/>
      <c r="U1483" s="55"/>
      <c r="V1483" s="55"/>
      <c r="W1483" s="55"/>
      <c r="X1483" s="55"/>
      <c r="Y1483" s="55"/>
      <c r="Z1483" s="55"/>
      <c r="AA1483" s="55"/>
      <c r="AB1483" s="55"/>
      <c r="AC1483" s="55"/>
      <c r="AD1483" s="55"/>
      <c r="AE1483" s="55"/>
      <c r="AF1483" s="55"/>
      <c r="AG1483" s="55"/>
      <c r="AH1483" s="55"/>
      <c r="AI1483" s="55"/>
      <c r="AJ1483" s="55"/>
      <c r="AK1483" s="55"/>
      <c r="AL1483" s="55"/>
      <c r="AM1483" s="55"/>
      <c r="AN1483" s="55"/>
      <c r="AO1483" s="55"/>
      <c r="AP1483" s="55"/>
      <c r="AQ1483" s="55"/>
      <c r="AR1483" s="55"/>
      <c r="AS1483" s="55"/>
      <c r="AT1483" s="55"/>
      <c r="AU1483" s="55"/>
      <c r="AV1483" s="55"/>
      <c r="AW1483" s="55"/>
      <c r="AX1483" s="55"/>
      <c r="AY1483" s="55"/>
      <c r="AZ1483" s="55"/>
    </row>
    <row r="1484" spans="1:52" ht="12.75" customHeight="1" x14ac:dyDescent="0.2">
      <c r="A1484" s="55"/>
      <c r="B1484" s="76"/>
      <c r="C1484" s="77"/>
      <c r="D1484" s="77"/>
      <c r="E1484" s="55"/>
      <c r="F1484" s="55"/>
      <c r="G1484" s="55"/>
      <c r="H1484" s="55"/>
      <c r="I1484" s="55"/>
      <c r="J1484" s="55"/>
      <c r="K1484" s="55"/>
      <c r="L1484" s="55"/>
      <c r="M1484" s="55"/>
      <c r="N1484" s="55"/>
      <c r="O1484" s="55"/>
      <c r="P1484" s="55"/>
      <c r="Q1484" s="55"/>
      <c r="R1484" s="55"/>
      <c r="S1484" s="55"/>
      <c r="T1484" s="55"/>
      <c r="U1484" s="55"/>
      <c r="V1484" s="55"/>
      <c r="W1484" s="55"/>
      <c r="X1484" s="55"/>
      <c r="Y1484" s="55"/>
      <c r="Z1484" s="55"/>
      <c r="AA1484" s="55"/>
      <c r="AB1484" s="55"/>
      <c r="AC1484" s="55"/>
      <c r="AD1484" s="55"/>
      <c r="AE1484" s="55"/>
      <c r="AF1484" s="55"/>
      <c r="AG1484" s="55"/>
      <c r="AH1484" s="55"/>
      <c r="AI1484" s="55"/>
      <c r="AJ1484" s="55"/>
      <c r="AK1484" s="55"/>
      <c r="AL1484" s="55"/>
      <c r="AM1484" s="55"/>
      <c r="AN1484" s="55"/>
      <c r="AO1484" s="55"/>
      <c r="AP1484" s="55"/>
      <c r="AQ1484" s="55"/>
      <c r="AR1484" s="55"/>
      <c r="AS1484" s="55"/>
      <c r="AT1484" s="55"/>
      <c r="AU1484" s="55"/>
      <c r="AV1484" s="55"/>
      <c r="AW1484" s="55"/>
      <c r="AX1484" s="55"/>
      <c r="AY1484" s="55"/>
      <c r="AZ1484" s="55"/>
    </row>
    <row r="1485" spans="1:52" ht="12.75" customHeight="1" x14ac:dyDescent="0.2">
      <c r="A1485" s="55"/>
      <c r="B1485" s="76"/>
      <c r="C1485" s="77"/>
      <c r="D1485" s="77"/>
      <c r="E1485" s="55"/>
      <c r="F1485" s="55"/>
      <c r="G1485" s="55"/>
      <c r="H1485" s="55"/>
      <c r="I1485" s="55"/>
      <c r="J1485" s="55"/>
      <c r="K1485" s="55"/>
      <c r="L1485" s="55"/>
      <c r="M1485" s="55"/>
      <c r="N1485" s="55"/>
      <c r="O1485" s="55"/>
      <c r="P1485" s="55"/>
      <c r="Q1485" s="55"/>
      <c r="R1485" s="55"/>
      <c r="S1485" s="55"/>
      <c r="T1485" s="55"/>
      <c r="U1485" s="55"/>
      <c r="V1485" s="55"/>
      <c r="W1485" s="55"/>
      <c r="X1485" s="55"/>
      <c r="Y1485" s="55"/>
      <c r="Z1485" s="55"/>
      <c r="AA1485" s="55"/>
      <c r="AB1485" s="55"/>
      <c r="AC1485" s="55"/>
      <c r="AD1485" s="55"/>
      <c r="AE1485" s="55"/>
      <c r="AF1485" s="55"/>
      <c r="AG1485" s="55"/>
      <c r="AH1485" s="55"/>
      <c r="AI1485" s="55"/>
      <c r="AJ1485" s="55"/>
      <c r="AK1485" s="55"/>
      <c r="AL1485" s="55"/>
      <c r="AM1485" s="55"/>
      <c r="AN1485" s="55"/>
      <c r="AO1485" s="55"/>
      <c r="AP1485" s="55"/>
      <c r="AQ1485" s="55"/>
      <c r="AR1485" s="55"/>
      <c r="AS1485" s="55"/>
      <c r="AT1485" s="55"/>
      <c r="AU1485" s="55"/>
      <c r="AV1485" s="55"/>
      <c r="AW1485" s="55"/>
      <c r="AX1485" s="55"/>
      <c r="AY1485" s="55"/>
      <c r="AZ1485" s="55"/>
    </row>
    <row r="1486" spans="1:52" ht="12.75" customHeight="1" x14ac:dyDescent="0.2">
      <c r="A1486" s="55"/>
      <c r="B1486" s="76"/>
      <c r="C1486" s="77"/>
      <c r="D1486" s="77"/>
      <c r="E1486" s="55"/>
      <c r="F1486" s="55"/>
      <c r="G1486" s="55"/>
      <c r="H1486" s="55"/>
      <c r="I1486" s="55"/>
      <c r="J1486" s="55"/>
      <c r="K1486" s="55"/>
      <c r="L1486" s="55"/>
      <c r="M1486" s="55"/>
      <c r="N1486" s="55"/>
      <c r="O1486" s="55"/>
      <c r="P1486" s="55"/>
      <c r="Q1486" s="55"/>
      <c r="R1486" s="55"/>
      <c r="S1486" s="55"/>
      <c r="T1486" s="55"/>
      <c r="U1486" s="55"/>
      <c r="V1486" s="55"/>
      <c r="W1486" s="55"/>
      <c r="X1486" s="55"/>
      <c r="Y1486" s="55"/>
      <c r="Z1486" s="55"/>
      <c r="AA1486" s="55"/>
      <c r="AB1486" s="55"/>
      <c r="AC1486" s="55"/>
      <c r="AD1486" s="55"/>
      <c r="AE1486" s="55"/>
      <c r="AF1486" s="55"/>
      <c r="AG1486" s="55"/>
      <c r="AH1486" s="55"/>
      <c r="AI1486" s="55"/>
      <c r="AJ1486" s="55"/>
      <c r="AK1486" s="55"/>
      <c r="AL1486" s="55"/>
      <c r="AM1486" s="55"/>
      <c r="AN1486" s="55"/>
      <c r="AO1486" s="55"/>
      <c r="AP1486" s="55"/>
      <c r="AQ1486" s="55"/>
      <c r="AR1486" s="55"/>
      <c r="AS1486" s="55"/>
      <c r="AT1486" s="55"/>
      <c r="AU1486" s="55"/>
      <c r="AV1486" s="55"/>
      <c r="AW1486" s="55"/>
      <c r="AX1486" s="55"/>
      <c r="AY1486" s="55"/>
      <c r="AZ1486" s="55"/>
    </row>
    <row r="1487" spans="1:52" ht="12.75" customHeight="1" x14ac:dyDescent="0.2">
      <c r="A1487" s="55"/>
      <c r="B1487" s="76"/>
      <c r="C1487" s="77"/>
      <c r="D1487" s="77"/>
      <c r="E1487" s="55"/>
      <c r="F1487" s="55"/>
      <c r="G1487" s="55"/>
      <c r="H1487" s="55"/>
      <c r="I1487" s="55"/>
      <c r="J1487" s="55"/>
      <c r="K1487" s="55"/>
      <c r="L1487" s="55"/>
      <c r="M1487" s="55"/>
      <c r="N1487" s="55"/>
      <c r="O1487" s="55"/>
      <c r="P1487" s="55"/>
      <c r="Q1487" s="55"/>
      <c r="R1487" s="55"/>
      <c r="S1487" s="55"/>
      <c r="T1487" s="55"/>
      <c r="U1487" s="55"/>
      <c r="V1487" s="55"/>
      <c r="W1487" s="55"/>
      <c r="X1487" s="55"/>
      <c r="Y1487" s="55"/>
      <c r="Z1487" s="55"/>
      <c r="AA1487" s="55"/>
      <c r="AB1487" s="55"/>
      <c r="AC1487" s="55"/>
      <c r="AD1487" s="55"/>
      <c r="AE1487" s="55"/>
      <c r="AF1487" s="55"/>
      <c r="AG1487" s="55"/>
      <c r="AH1487" s="55"/>
      <c r="AI1487" s="55"/>
      <c r="AJ1487" s="55"/>
      <c r="AK1487" s="55"/>
      <c r="AL1487" s="55"/>
      <c r="AM1487" s="55"/>
      <c r="AN1487" s="55"/>
      <c r="AO1487" s="55"/>
      <c r="AP1487" s="55"/>
      <c r="AQ1487" s="55"/>
      <c r="AR1487" s="55"/>
      <c r="AS1487" s="55"/>
      <c r="AT1487" s="55"/>
      <c r="AU1487" s="55"/>
      <c r="AV1487" s="55"/>
      <c r="AW1487" s="55"/>
      <c r="AX1487" s="55"/>
      <c r="AY1487" s="55"/>
      <c r="AZ1487" s="55"/>
    </row>
    <row r="1488" spans="1:52" ht="12.75" customHeight="1" x14ac:dyDescent="0.2">
      <c r="A1488" s="55"/>
      <c r="B1488" s="76"/>
      <c r="C1488" s="77"/>
      <c r="D1488" s="77"/>
      <c r="E1488" s="55"/>
      <c r="F1488" s="55"/>
      <c r="G1488" s="55"/>
      <c r="H1488" s="55"/>
      <c r="I1488" s="55"/>
      <c r="J1488" s="55"/>
      <c r="K1488" s="55"/>
      <c r="L1488" s="55"/>
      <c r="M1488" s="55"/>
      <c r="N1488" s="55"/>
      <c r="O1488" s="55"/>
      <c r="P1488" s="55"/>
      <c r="Q1488" s="55"/>
      <c r="R1488" s="55"/>
      <c r="S1488" s="55"/>
      <c r="T1488" s="55"/>
      <c r="U1488" s="55"/>
      <c r="V1488" s="55"/>
      <c r="W1488" s="55"/>
      <c r="X1488" s="55"/>
      <c r="Y1488" s="55"/>
      <c r="Z1488" s="55"/>
      <c r="AA1488" s="55"/>
      <c r="AB1488" s="55"/>
      <c r="AC1488" s="55"/>
      <c r="AD1488" s="55"/>
      <c r="AE1488" s="55"/>
      <c r="AF1488" s="55"/>
      <c r="AG1488" s="55"/>
      <c r="AH1488" s="55"/>
      <c r="AI1488" s="55"/>
      <c r="AJ1488" s="55"/>
      <c r="AK1488" s="55"/>
      <c r="AL1488" s="55"/>
      <c r="AM1488" s="55"/>
      <c r="AN1488" s="55"/>
      <c r="AO1488" s="55"/>
      <c r="AP1488" s="55"/>
      <c r="AQ1488" s="55"/>
      <c r="AR1488" s="55"/>
      <c r="AS1488" s="55"/>
      <c r="AT1488" s="55"/>
      <c r="AU1488" s="55"/>
      <c r="AV1488" s="55"/>
      <c r="AW1488" s="55"/>
      <c r="AX1488" s="55"/>
      <c r="AY1488" s="55"/>
      <c r="AZ1488" s="55"/>
    </row>
    <row r="1489" spans="1:52" ht="12.75" customHeight="1" x14ac:dyDescent="0.2">
      <c r="A1489" s="55"/>
      <c r="B1489" s="76"/>
      <c r="C1489" s="77"/>
      <c r="D1489" s="77"/>
      <c r="E1489" s="55"/>
      <c r="F1489" s="55"/>
      <c r="G1489" s="55"/>
      <c r="H1489" s="55"/>
      <c r="I1489" s="55"/>
      <c r="J1489" s="55"/>
      <c r="K1489" s="55"/>
      <c r="L1489" s="55"/>
      <c r="M1489" s="55"/>
      <c r="N1489" s="55"/>
      <c r="O1489" s="55"/>
      <c r="P1489" s="55"/>
      <c r="Q1489" s="55"/>
      <c r="R1489" s="55"/>
      <c r="S1489" s="55"/>
      <c r="T1489" s="55"/>
      <c r="U1489" s="55"/>
      <c r="V1489" s="55"/>
      <c r="W1489" s="55"/>
      <c r="X1489" s="55"/>
      <c r="Y1489" s="55"/>
      <c r="Z1489" s="55"/>
      <c r="AA1489" s="55"/>
      <c r="AB1489" s="55"/>
      <c r="AC1489" s="55"/>
      <c r="AD1489" s="55"/>
      <c r="AE1489" s="55"/>
      <c r="AF1489" s="55"/>
      <c r="AG1489" s="55"/>
      <c r="AH1489" s="55"/>
      <c r="AI1489" s="55"/>
      <c r="AJ1489" s="55"/>
      <c r="AK1489" s="55"/>
      <c r="AL1489" s="55"/>
      <c r="AM1489" s="55"/>
      <c r="AN1489" s="55"/>
      <c r="AO1489" s="55"/>
      <c r="AP1489" s="55"/>
      <c r="AQ1489" s="55"/>
      <c r="AR1489" s="55"/>
      <c r="AS1489" s="55"/>
      <c r="AT1489" s="55"/>
      <c r="AU1489" s="55"/>
      <c r="AV1489" s="55"/>
      <c r="AW1489" s="55"/>
      <c r="AX1489" s="55"/>
      <c r="AY1489" s="55"/>
      <c r="AZ1489" s="55"/>
    </row>
    <row r="1490" spans="1:52" ht="12.75" customHeight="1" x14ac:dyDescent="0.2">
      <c r="A1490" s="55"/>
      <c r="B1490" s="76"/>
      <c r="C1490" s="77"/>
      <c r="D1490" s="77"/>
      <c r="E1490" s="55"/>
      <c r="F1490" s="55"/>
      <c r="G1490" s="55"/>
      <c r="H1490" s="55"/>
      <c r="I1490" s="55"/>
      <c r="J1490" s="55"/>
      <c r="K1490" s="55"/>
      <c r="L1490" s="55"/>
      <c r="M1490" s="55"/>
      <c r="N1490" s="55"/>
      <c r="O1490" s="55"/>
      <c r="P1490" s="55"/>
      <c r="Q1490" s="55"/>
      <c r="R1490" s="55"/>
      <c r="S1490" s="55"/>
      <c r="T1490" s="55"/>
      <c r="U1490" s="55"/>
      <c r="V1490" s="55"/>
      <c r="W1490" s="55"/>
      <c r="X1490" s="55"/>
      <c r="Y1490" s="55"/>
      <c r="Z1490" s="55"/>
      <c r="AA1490" s="55"/>
      <c r="AB1490" s="55"/>
      <c r="AC1490" s="55"/>
      <c r="AD1490" s="55"/>
      <c r="AE1490" s="55"/>
      <c r="AF1490" s="55"/>
      <c r="AG1490" s="55"/>
      <c r="AH1490" s="55"/>
      <c r="AI1490" s="55"/>
      <c r="AJ1490" s="55"/>
      <c r="AK1490" s="55"/>
      <c r="AL1490" s="55"/>
      <c r="AM1490" s="55"/>
      <c r="AN1490" s="55"/>
      <c r="AO1490" s="55"/>
      <c r="AP1490" s="55"/>
      <c r="AQ1490" s="55"/>
      <c r="AR1490" s="55"/>
      <c r="AS1490" s="55"/>
      <c r="AT1490" s="55"/>
      <c r="AU1490" s="55"/>
      <c r="AV1490" s="55"/>
      <c r="AW1490" s="55"/>
      <c r="AX1490" s="55"/>
      <c r="AY1490" s="55"/>
      <c r="AZ1490" s="55"/>
    </row>
    <row r="1491" spans="1:52" ht="12.75" customHeight="1" x14ac:dyDescent="0.2">
      <c r="A1491" s="55"/>
      <c r="B1491" s="76"/>
      <c r="C1491" s="77"/>
      <c r="D1491" s="77"/>
      <c r="E1491" s="55"/>
      <c r="F1491" s="55"/>
      <c r="G1491" s="55"/>
      <c r="H1491" s="55"/>
      <c r="I1491" s="55"/>
      <c r="J1491" s="55"/>
      <c r="K1491" s="55"/>
      <c r="L1491" s="55"/>
      <c r="M1491" s="55"/>
      <c r="N1491" s="55"/>
      <c r="O1491" s="55"/>
      <c r="P1491" s="55"/>
      <c r="Q1491" s="55"/>
      <c r="R1491" s="55"/>
      <c r="S1491" s="55"/>
      <c r="T1491" s="55"/>
      <c r="U1491" s="55"/>
      <c r="V1491" s="55"/>
      <c r="W1491" s="55"/>
      <c r="X1491" s="55"/>
      <c r="Y1491" s="55"/>
      <c r="Z1491" s="55"/>
      <c r="AA1491" s="55"/>
      <c r="AB1491" s="55"/>
      <c r="AC1491" s="55"/>
      <c r="AD1491" s="55"/>
      <c r="AE1491" s="55"/>
      <c r="AF1491" s="55"/>
      <c r="AG1491" s="55"/>
      <c r="AH1491" s="55"/>
      <c r="AI1491" s="55"/>
      <c r="AJ1491" s="55"/>
      <c r="AK1491" s="55"/>
      <c r="AL1491" s="55"/>
      <c r="AM1491" s="55"/>
      <c r="AN1491" s="55"/>
      <c r="AO1491" s="55"/>
      <c r="AP1491" s="55"/>
      <c r="AQ1491" s="55"/>
      <c r="AR1491" s="55"/>
      <c r="AS1491" s="55"/>
      <c r="AT1491" s="55"/>
      <c r="AU1491" s="55"/>
      <c r="AV1491" s="55"/>
      <c r="AW1491" s="55"/>
      <c r="AX1491" s="55"/>
      <c r="AY1491" s="55"/>
      <c r="AZ1491" s="55"/>
    </row>
    <row r="1492" spans="1:52" ht="12.75" customHeight="1" x14ac:dyDescent="0.2">
      <c r="A1492" s="55"/>
      <c r="B1492" s="76"/>
      <c r="C1492" s="77"/>
      <c r="D1492" s="77"/>
      <c r="E1492" s="55"/>
      <c r="F1492" s="55"/>
      <c r="G1492" s="55"/>
      <c r="H1492" s="55"/>
      <c r="I1492" s="55"/>
      <c r="J1492" s="55"/>
      <c r="K1492" s="55"/>
      <c r="L1492" s="55"/>
      <c r="M1492" s="55"/>
      <c r="N1492" s="55"/>
      <c r="O1492" s="55"/>
      <c r="P1492" s="55"/>
      <c r="Q1492" s="55"/>
      <c r="R1492" s="55"/>
      <c r="S1492" s="55"/>
      <c r="T1492" s="55"/>
      <c r="U1492" s="55"/>
      <c r="V1492" s="55"/>
      <c r="W1492" s="55"/>
      <c r="X1492" s="55"/>
      <c r="Y1492" s="55"/>
      <c r="Z1492" s="55"/>
      <c r="AA1492" s="55"/>
      <c r="AB1492" s="55"/>
      <c r="AC1492" s="55"/>
      <c r="AD1492" s="55"/>
      <c r="AE1492" s="55"/>
      <c r="AF1492" s="55"/>
      <c r="AG1492" s="55"/>
      <c r="AH1492" s="55"/>
      <c r="AI1492" s="55"/>
      <c r="AJ1492" s="55"/>
      <c r="AK1492" s="55"/>
      <c r="AL1492" s="55"/>
      <c r="AM1492" s="55"/>
      <c r="AN1492" s="55"/>
      <c r="AO1492" s="55"/>
      <c r="AP1492" s="55"/>
      <c r="AQ1492" s="55"/>
      <c r="AR1492" s="55"/>
      <c r="AS1492" s="55"/>
      <c r="AT1492" s="55"/>
      <c r="AU1492" s="55"/>
      <c r="AV1492" s="55"/>
      <c r="AW1492" s="55"/>
      <c r="AX1492" s="55"/>
      <c r="AY1492" s="55"/>
      <c r="AZ1492" s="55"/>
    </row>
    <row r="1493" spans="1:52" ht="12.75" customHeight="1" x14ac:dyDescent="0.2">
      <c r="A1493" s="55"/>
      <c r="B1493" s="76"/>
      <c r="C1493" s="77"/>
      <c r="D1493" s="77"/>
      <c r="E1493" s="55"/>
      <c r="F1493" s="55"/>
      <c r="G1493" s="55"/>
      <c r="H1493" s="55"/>
      <c r="I1493" s="55"/>
      <c r="J1493" s="55"/>
      <c r="K1493" s="55"/>
      <c r="L1493" s="55"/>
      <c r="M1493" s="55"/>
      <c r="N1493" s="55"/>
      <c r="O1493" s="55"/>
      <c r="P1493" s="55"/>
      <c r="Q1493" s="55"/>
      <c r="R1493" s="55"/>
      <c r="S1493" s="55"/>
      <c r="T1493" s="55"/>
      <c r="U1493" s="55"/>
      <c r="V1493" s="55"/>
      <c r="W1493" s="55"/>
      <c r="X1493" s="55"/>
      <c r="Y1493" s="55"/>
      <c r="Z1493" s="55"/>
      <c r="AA1493" s="55"/>
      <c r="AB1493" s="55"/>
      <c r="AC1493" s="55"/>
      <c r="AD1493" s="55"/>
      <c r="AE1493" s="55"/>
      <c r="AF1493" s="55"/>
      <c r="AG1493" s="55"/>
      <c r="AH1493" s="55"/>
      <c r="AI1493" s="55"/>
      <c r="AJ1493" s="55"/>
      <c r="AK1493" s="55"/>
      <c r="AL1493" s="55"/>
      <c r="AM1493" s="55"/>
      <c r="AN1493" s="55"/>
      <c r="AO1493" s="55"/>
      <c r="AP1493" s="55"/>
      <c r="AQ1493" s="55"/>
      <c r="AR1493" s="55"/>
      <c r="AS1493" s="55"/>
      <c r="AT1493" s="55"/>
      <c r="AU1493" s="55"/>
      <c r="AV1493" s="55"/>
      <c r="AW1493" s="55"/>
      <c r="AX1493" s="55"/>
      <c r="AY1493" s="55"/>
      <c r="AZ1493" s="55"/>
    </row>
    <row r="1494" spans="1:52" ht="12.75" customHeight="1" x14ac:dyDescent="0.2">
      <c r="A1494" s="55"/>
      <c r="B1494" s="76"/>
      <c r="C1494" s="77"/>
      <c r="D1494" s="77"/>
      <c r="E1494" s="55"/>
      <c r="F1494" s="55"/>
      <c r="G1494" s="55"/>
      <c r="H1494" s="55"/>
      <c r="I1494" s="55"/>
      <c r="J1494" s="55"/>
      <c r="K1494" s="55"/>
      <c r="L1494" s="55"/>
      <c r="M1494" s="55"/>
      <c r="N1494" s="55"/>
      <c r="O1494" s="55"/>
      <c r="P1494" s="55"/>
      <c r="Q1494" s="55"/>
      <c r="R1494" s="55"/>
      <c r="S1494" s="55"/>
      <c r="T1494" s="55"/>
      <c r="U1494" s="55"/>
      <c r="V1494" s="55"/>
      <c r="W1494" s="55"/>
      <c r="X1494" s="55"/>
      <c r="Y1494" s="55"/>
      <c r="Z1494" s="55"/>
      <c r="AA1494" s="55"/>
      <c r="AB1494" s="55"/>
      <c r="AC1494" s="55"/>
      <c r="AD1494" s="55"/>
      <c r="AE1494" s="55"/>
      <c r="AF1494" s="55"/>
      <c r="AG1494" s="55"/>
      <c r="AH1494" s="55"/>
      <c r="AI1494" s="55"/>
      <c r="AJ1494" s="55"/>
      <c r="AK1494" s="55"/>
      <c r="AL1494" s="55"/>
      <c r="AM1494" s="55"/>
      <c r="AN1494" s="55"/>
      <c r="AO1494" s="55"/>
      <c r="AP1494" s="55"/>
      <c r="AQ1494" s="55"/>
      <c r="AR1494" s="55"/>
      <c r="AS1494" s="55"/>
      <c r="AT1494" s="55"/>
      <c r="AU1494" s="55"/>
      <c r="AV1494" s="55"/>
      <c r="AW1494" s="55"/>
      <c r="AX1494" s="55"/>
      <c r="AY1494" s="55"/>
      <c r="AZ1494" s="55"/>
    </row>
    <row r="1495" spans="1:52" ht="12.75" customHeight="1" x14ac:dyDescent="0.2">
      <c r="A1495" s="55"/>
      <c r="B1495" s="76"/>
      <c r="C1495" s="77"/>
      <c r="D1495" s="77"/>
      <c r="E1495" s="55"/>
      <c r="F1495" s="55"/>
      <c r="G1495" s="55"/>
      <c r="H1495" s="55"/>
      <c r="I1495" s="55"/>
      <c r="J1495" s="55"/>
      <c r="K1495" s="55"/>
      <c r="L1495" s="55"/>
      <c r="M1495" s="55"/>
      <c r="N1495" s="55"/>
      <c r="O1495" s="55"/>
      <c r="P1495" s="55"/>
      <c r="Q1495" s="55"/>
      <c r="R1495" s="55"/>
      <c r="S1495" s="55"/>
      <c r="T1495" s="55"/>
      <c r="U1495" s="55"/>
      <c r="V1495" s="55"/>
      <c r="W1495" s="55"/>
      <c r="X1495" s="55"/>
      <c r="Y1495" s="55"/>
      <c r="Z1495" s="55"/>
      <c r="AA1495" s="55"/>
      <c r="AB1495" s="55"/>
      <c r="AC1495" s="55"/>
      <c r="AD1495" s="55"/>
      <c r="AE1495" s="55"/>
      <c r="AF1495" s="55"/>
      <c r="AG1495" s="55"/>
      <c r="AH1495" s="55"/>
      <c r="AI1495" s="55"/>
      <c r="AJ1495" s="55"/>
      <c r="AK1495" s="55"/>
      <c r="AL1495" s="55"/>
      <c r="AM1495" s="55"/>
      <c r="AN1495" s="55"/>
      <c r="AO1495" s="55"/>
      <c r="AP1495" s="55"/>
      <c r="AQ1495" s="55"/>
      <c r="AR1495" s="55"/>
      <c r="AS1495" s="55"/>
      <c r="AT1495" s="55"/>
      <c r="AU1495" s="55"/>
      <c r="AV1495" s="55"/>
      <c r="AW1495" s="55"/>
      <c r="AX1495" s="55"/>
      <c r="AY1495" s="55"/>
      <c r="AZ1495" s="55"/>
    </row>
    <row r="1496" spans="1:52" ht="12.75" customHeight="1" x14ac:dyDescent="0.2">
      <c r="A1496" s="55"/>
      <c r="B1496" s="76"/>
      <c r="C1496" s="77"/>
      <c r="D1496" s="77"/>
      <c r="E1496" s="55"/>
      <c r="F1496" s="55"/>
      <c r="G1496" s="55"/>
      <c r="H1496" s="55"/>
      <c r="I1496" s="55"/>
      <c r="J1496" s="55"/>
      <c r="K1496" s="55"/>
      <c r="L1496" s="55"/>
      <c r="M1496" s="55"/>
      <c r="N1496" s="55"/>
      <c r="O1496" s="55"/>
      <c r="P1496" s="55"/>
      <c r="Q1496" s="55"/>
      <c r="R1496" s="55"/>
      <c r="S1496" s="55"/>
      <c r="T1496" s="55"/>
      <c r="U1496" s="55"/>
      <c r="V1496" s="55"/>
      <c r="W1496" s="55"/>
      <c r="X1496" s="55"/>
      <c r="Y1496" s="55"/>
      <c r="Z1496" s="55"/>
      <c r="AA1496" s="55"/>
      <c r="AB1496" s="55"/>
      <c r="AC1496" s="55"/>
      <c r="AD1496" s="55"/>
      <c r="AE1496" s="55"/>
      <c r="AF1496" s="55"/>
      <c r="AG1496" s="55"/>
      <c r="AH1496" s="55"/>
      <c r="AI1496" s="55"/>
      <c r="AJ1496" s="55"/>
      <c r="AK1496" s="55"/>
      <c r="AL1496" s="55"/>
      <c r="AM1496" s="55"/>
      <c r="AN1496" s="55"/>
      <c r="AO1496" s="55"/>
      <c r="AP1496" s="55"/>
      <c r="AQ1496" s="55"/>
      <c r="AR1496" s="55"/>
      <c r="AS1496" s="55"/>
      <c r="AT1496" s="55"/>
      <c r="AU1496" s="55"/>
      <c r="AV1496" s="55"/>
      <c r="AW1496" s="55"/>
      <c r="AX1496" s="55"/>
      <c r="AY1496" s="55"/>
      <c r="AZ1496" s="55"/>
    </row>
    <row r="1497" spans="1:52" ht="12.75" customHeight="1" x14ac:dyDescent="0.2">
      <c r="A1497" s="55"/>
      <c r="B1497" s="76"/>
      <c r="C1497" s="77"/>
      <c r="D1497" s="77"/>
      <c r="E1497" s="55"/>
      <c r="F1497" s="55"/>
      <c r="G1497" s="55"/>
      <c r="H1497" s="55"/>
      <c r="I1497" s="55"/>
      <c r="J1497" s="55"/>
      <c r="K1497" s="55"/>
      <c r="L1497" s="55"/>
      <c r="M1497" s="55"/>
      <c r="N1497" s="55"/>
      <c r="O1497" s="55"/>
      <c r="P1497" s="55"/>
      <c r="Q1497" s="55"/>
      <c r="R1497" s="55"/>
      <c r="S1497" s="55"/>
      <c r="T1497" s="55"/>
      <c r="U1497" s="55"/>
      <c r="V1497" s="55"/>
      <c r="W1497" s="55"/>
      <c r="X1497" s="55"/>
      <c r="Y1497" s="55"/>
      <c r="Z1497" s="55"/>
      <c r="AA1497" s="55"/>
      <c r="AB1497" s="55"/>
      <c r="AC1497" s="55"/>
      <c r="AD1497" s="55"/>
      <c r="AE1497" s="55"/>
      <c r="AF1497" s="55"/>
      <c r="AG1497" s="55"/>
      <c r="AH1497" s="55"/>
      <c r="AI1497" s="55"/>
      <c r="AJ1497" s="55"/>
      <c r="AK1497" s="55"/>
      <c r="AL1497" s="55"/>
      <c r="AM1497" s="55"/>
      <c r="AN1497" s="55"/>
      <c r="AO1497" s="55"/>
      <c r="AP1497" s="55"/>
      <c r="AQ1497" s="55"/>
      <c r="AR1497" s="55"/>
      <c r="AS1497" s="55"/>
      <c r="AT1497" s="55"/>
      <c r="AU1497" s="55"/>
      <c r="AV1497" s="55"/>
      <c r="AW1497" s="55"/>
      <c r="AX1497" s="55"/>
      <c r="AY1497" s="55"/>
      <c r="AZ1497" s="55"/>
    </row>
    <row r="1498" spans="1:52" ht="12.75" customHeight="1" x14ac:dyDescent="0.2">
      <c r="A1498" s="55"/>
      <c r="B1498" s="76"/>
      <c r="C1498" s="77"/>
      <c r="D1498" s="77"/>
      <c r="E1498" s="55"/>
      <c r="F1498" s="55"/>
      <c r="G1498" s="55"/>
      <c r="H1498" s="55"/>
      <c r="I1498" s="55"/>
      <c r="J1498" s="55"/>
      <c r="K1498" s="55"/>
      <c r="L1498" s="55"/>
      <c r="M1498" s="55"/>
      <c r="N1498" s="55"/>
      <c r="O1498" s="55"/>
      <c r="P1498" s="55"/>
      <c r="Q1498" s="55"/>
      <c r="R1498" s="55"/>
      <c r="S1498" s="55"/>
      <c r="T1498" s="55"/>
      <c r="U1498" s="55"/>
      <c r="V1498" s="55"/>
      <c r="W1498" s="55"/>
      <c r="X1498" s="55"/>
      <c r="Y1498" s="55"/>
      <c r="Z1498" s="55"/>
      <c r="AA1498" s="55"/>
      <c r="AB1498" s="55"/>
      <c r="AC1498" s="55"/>
      <c r="AD1498" s="55"/>
      <c r="AE1498" s="55"/>
      <c r="AF1498" s="55"/>
      <c r="AG1498" s="55"/>
      <c r="AH1498" s="55"/>
      <c r="AI1498" s="55"/>
      <c r="AJ1498" s="55"/>
      <c r="AK1498" s="55"/>
      <c r="AL1498" s="55"/>
      <c r="AM1498" s="55"/>
      <c r="AN1498" s="55"/>
      <c r="AO1498" s="55"/>
      <c r="AP1498" s="55"/>
      <c r="AQ1498" s="55"/>
      <c r="AR1498" s="55"/>
      <c r="AS1498" s="55"/>
      <c r="AT1498" s="55"/>
      <c r="AU1498" s="55"/>
      <c r="AV1498" s="55"/>
      <c r="AW1498" s="55"/>
      <c r="AX1498" s="55"/>
      <c r="AY1498" s="55"/>
      <c r="AZ1498" s="55"/>
    </row>
    <row r="1499" spans="1:52" ht="12.75" customHeight="1" x14ac:dyDescent="0.2">
      <c r="A1499" s="55"/>
      <c r="B1499" s="76"/>
      <c r="C1499" s="77"/>
      <c r="D1499" s="77"/>
      <c r="E1499" s="55"/>
      <c r="F1499" s="55"/>
      <c r="G1499" s="55"/>
      <c r="H1499" s="55"/>
      <c r="I1499" s="55"/>
      <c r="J1499" s="55"/>
      <c r="K1499" s="55"/>
      <c r="L1499" s="55"/>
      <c r="M1499" s="55"/>
      <c r="N1499" s="55"/>
      <c r="O1499" s="55"/>
      <c r="P1499" s="55"/>
      <c r="Q1499" s="55"/>
      <c r="R1499" s="55"/>
      <c r="S1499" s="55"/>
      <c r="T1499" s="55"/>
      <c r="U1499" s="55"/>
      <c r="V1499" s="55"/>
      <c r="W1499" s="55"/>
      <c r="X1499" s="55"/>
      <c r="Y1499" s="55"/>
      <c r="Z1499" s="55"/>
      <c r="AA1499" s="55"/>
      <c r="AB1499" s="55"/>
      <c r="AC1499" s="55"/>
      <c r="AD1499" s="55"/>
      <c r="AE1499" s="55"/>
      <c r="AF1499" s="55"/>
      <c r="AG1499" s="55"/>
      <c r="AH1499" s="55"/>
      <c r="AI1499" s="55"/>
      <c r="AJ1499" s="55"/>
      <c r="AK1499" s="55"/>
      <c r="AL1499" s="55"/>
      <c r="AM1499" s="55"/>
      <c r="AN1499" s="55"/>
      <c r="AO1499" s="55"/>
      <c r="AP1499" s="55"/>
      <c r="AQ1499" s="55"/>
      <c r="AR1499" s="55"/>
      <c r="AS1499" s="55"/>
      <c r="AT1499" s="55"/>
      <c r="AU1499" s="55"/>
      <c r="AV1499" s="55"/>
      <c r="AW1499" s="55"/>
      <c r="AX1499" s="55"/>
      <c r="AY1499" s="55"/>
      <c r="AZ1499" s="55"/>
    </row>
    <row r="1500" spans="1:52" ht="12.75" customHeight="1" x14ac:dyDescent="0.2">
      <c r="A1500" s="55"/>
      <c r="B1500" s="76"/>
      <c r="C1500" s="77"/>
      <c r="D1500" s="77"/>
      <c r="E1500" s="55"/>
      <c r="F1500" s="55"/>
      <c r="G1500" s="55"/>
      <c r="H1500" s="55"/>
      <c r="I1500" s="55"/>
      <c r="J1500" s="55"/>
      <c r="K1500" s="55"/>
      <c r="L1500" s="55"/>
      <c r="M1500" s="55"/>
      <c r="N1500" s="55"/>
      <c r="O1500" s="55"/>
      <c r="P1500" s="55"/>
      <c r="Q1500" s="55"/>
      <c r="R1500" s="55"/>
      <c r="S1500" s="55"/>
      <c r="T1500" s="55"/>
      <c r="U1500" s="55"/>
      <c r="V1500" s="55"/>
      <c r="W1500" s="55"/>
      <c r="X1500" s="55"/>
      <c r="Y1500" s="55"/>
      <c r="Z1500" s="55"/>
      <c r="AA1500" s="55"/>
      <c r="AB1500" s="55"/>
      <c r="AC1500" s="55"/>
      <c r="AD1500" s="55"/>
      <c r="AE1500" s="55"/>
      <c r="AF1500" s="55"/>
      <c r="AG1500" s="55"/>
      <c r="AH1500" s="55"/>
      <c r="AI1500" s="55"/>
      <c r="AJ1500" s="55"/>
      <c r="AK1500" s="55"/>
      <c r="AL1500" s="55"/>
      <c r="AM1500" s="55"/>
      <c r="AN1500" s="55"/>
      <c r="AO1500" s="55"/>
      <c r="AP1500" s="55"/>
      <c r="AQ1500" s="55"/>
      <c r="AR1500" s="55"/>
      <c r="AS1500" s="55"/>
      <c r="AT1500" s="55"/>
      <c r="AU1500" s="55"/>
      <c r="AV1500" s="55"/>
      <c r="AW1500" s="55"/>
      <c r="AX1500" s="55"/>
      <c r="AY1500" s="55"/>
      <c r="AZ1500" s="55"/>
    </row>
    <row r="1501" spans="1:52" ht="12.75" customHeight="1" x14ac:dyDescent="0.2">
      <c r="A1501" s="55"/>
      <c r="B1501" s="76"/>
      <c r="C1501" s="77"/>
      <c r="D1501" s="77"/>
      <c r="E1501" s="55"/>
      <c r="F1501" s="55"/>
      <c r="G1501" s="55"/>
      <c r="H1501" s="55"/>
      <c r="I1501" s="55"/>
      <c r="J1501" s="55"/>
      <c r="K1501" s="55"/>
      <c r="L1501" s="55"/>
      <c r="M1501" s="55"/>
      <c r="N1501" s="55"/>
      <c r="O1501" s="55"/>
      <c r="P1501" s="55"/>
      <c r="Q1501" s="55"/>
      <c r="R1501" s="55"/>
      <c r="S1501" s="55"/>
      <c r="T1501" s="55"/>
      <c r="U1501" s="55"/>
      <c r="V1501" s="55"/>
      <c r="W1501" s="55"/>
      <c r="X1501" s="55"/>
      <c r="Y1501" s="55"/>
      <c r="Z1501" s="55"/>
      <c r="AA1501" s="55"/>
      <c r="AB1501" s="55"/>
      <c r="AC1501" s="55"/>
      <c r="AD1501" s="55"/>
      <c r="AE1501" s="55"/>
      <c r="AF1501" s="55"/>
      <c r="AG1501" s="55"/>
      <c r="AH1501" s="55"/>
      <c r="AI1501" s="55"/>
      <c r="AJ1501" s="55"/>
      <c r="AK1501" s="55"/>
      <c r="AL1501" s="55"/>
      <c r="AM1501" s="55"/>
      <c r="AN1501" s="55"/>
      <c r="AO1501" s="55"/>
      <c r="AP1501" s="55"/>
      <c r="AQ1501" s="55"/>
      <c r="AR1501" s="55"/>
      <c r="AS1501" s="55"/>
      <c r="AT1501" s="55"/>
      <c r="AU1501" s="55"/>
      <c r="AV1501" s="55"/>
      <c r="AW1501" s="55"/>
      <c r="AX1501" s="55"/>
      <c r="AY1501" s="55"/>
      <c r="AZ1501" s="55"/>
    </row>
    <row r="1502" spans="1:52" ht="12.75" customHeight="1" x14ac:dyDescent="0.2">
      <c r="A1502" s="55"/>
      <c r="B1502" s="76"/>
      <c r="C1502" s="77"/>
      <c r="D1502" s="77"/>
      <c r="E1502" s="55"/>
      <c r="F1502" s="55"/>
      <c r="G1502" s="55"/>
      <c r="H1502" s="55"/>
      <c r="I1502" s="55"/>
      <c r="J1502" s="55"/>
      <c r="K1502" s="55"/>
      <c r="L1502" s="55"/>
      <c r="M1502" s="55"/>
      <c r="N1502" s="55"/>
      <c r="O1502" s="55"/>
      <c r="P1502" s="55"/>
      <c r="Q1502" s="55"/>
      <c r="R1502" s="55"/>
      <c r="S1502" s="55"/>
      <c r="T1502" s="55"/>
      <c r="U1502" s="55"/>
      <c r="V1502" s="55"/>
      <c r="W1502" s="55"/>
      <c r="X1502" s="55"/>
      <c r="Y1502" s="55"/>
      <c r="Z1502" s="55"/>
      <c r="AA1502" s="55"/>
      <c r="AB1502" s="55"/>
      <c r="AC1502" s="55"/>
      <c r="AD1502" s="55"/>
      <c r="AE1502" s="55"/>
      <c r="AF1502" s="55"/>
      <c r="AG1502" s="55"/>
      <c r="AH1502" s="55"/>
      <c r="AI1502" s="55"/>
      <c r="AJ1502" s="55"/>
      <c r="AK1502" s="55"/>
      <c r="AL1502" s="55"/>
      <c r="AM1502" s="55"/>
      <c r="AN1502" s="55"/>
      <c r="AO1502" s="55"/>
      <c r="AP1502" s="55"/>
      <c r="AQ1502" s="55"/>
      <c r="AR1502" s="55"/>
      <c r="AS1502" s="55"/>
      <c r="AT1502" s="55"/>
      <c r="AU1502" s="55"/>
      <c r="AV1502" s="55"/>
      <c r="AW1502" s="55"/>
      <c r="AX1502" s="55"/>
      <c r="AY1502" s="55"/>
      <c r="AZ1502" s="55"/>
    </row>
    <row r="1503" spans="1:52" ht="12.75" customHeight="1" x14ac:dyDescent="0.2">
      <c r="A1503" s="55"/>
      <c r="B1503" s="76"/>
      <c r="C1503" s="77"/>
      <c r="D1503" s="77"/>
      <c r="E1503" s="55"/>
      <c r="F1503" s="55"/>
      <c r="G1503" s="55"/>
      <c r="H1503" s="55"/>
      <c r="I1503" s="55"/>
      <c r="J1503" s="55"/>
      <c r="K1503" s="55"/>
      <c r="L1503" s="55"/>
      <c r="M1503" s="55"/>
      <c r="N1503" s="55"/>
      <c r="O1503" s="55"/>
      <c r="P1503" s="55"/>
      <c r="Q1503" s="55"/>
      <c r="R1503" s="55"/>
      <c r="S1503" s="55"/>
      <c r="T1503" s="55"/>
      <c r="U1503" s="55"/>
      <c r="V1503" s="55"/>
      <c r="W1503" s="55"/>
      <c r="X1503" s="55"/>
      <c r="Y1503" s="55"/>
      <c r="Z1503" s="55"/>
      <c r="AA1503" s="55"/>
      <c r="AB1503" s="55"/>
      <c r="AC1503" s="55"/>
      <c r="AD1503" s="55"/>
      <c r="AE1503" s="55"/>
      <c r="AF1503" s="55"/>
      <c r="AG1503" s="55"/>
      <c r="AH1503" s="55"/>
      <c r="AI1503" s="55"/>
      <c r="AJ1503" s="55"/>
      <c r="AK1503" s="55"/>
      <c r="AL1503" s="55"/>
      <c r="AM1503" s="55"/>
      <c r="AN1503" s="55"/>
      <c r="AO1503" s="55"/>
      <c r="AP1503" s="55"/>
      <c r="AQ1503" s="55"/>
      <c r="AR1503" s="55"/>
      <c r="AS1503" s="55"/>
      <c r="AT1503" s="55"/>
      <c r="AU1503" s="55"/>
      <c r="AV1503" s="55"/>
      <c r="AW1503" s="55"/>
      <c r="AX1503" s="55"/>
      <c r="AY1503" s="55"/>
      <c r="AZ1503" s="55"/>
    </row>
    <row r="1504" spans="1:52" ht="12.75" customHeight="1" x14ac:dyDescent="0.2">
      <c r="A1504" s="55"/>
      <c r="B1504" s="76"/>
      <c r="C1504" s="77"/>
      <c r="D1504" s="77"/>
      <c r="E1504" s="55"/>
      <c r="F1504" s="55"/>
      <c r="G1504" s="55"/>
      <c r="H1504" s="55"/>
      <c r="I1504" s="55"/>
      <c r="J1504" s="55"/>
      <c r="K1504" s="55"/>
      <c r="L1504" s="55"/>
      <c r="M1504" s="55"/>
      <c r="N1504" s="55"/>
      <c r="O1504" s="55"/>
      <c r="P1504" s="55"/>
      <c r="Q1504" s="55"/>
      <c r="R1504" s="55"/>
      <c r="S1504" s="55"/>
      <c r="T1504" s="55"/>
      <c r="U1504" s="55"/>
      <c r="V1504" s="55"/>
      <c r="W1504" s="55"/>
      <c r="X1504" s="55"/>
      <c r="Y1504" s="55"/>
      <c r="Z1504" s="55"/>
      <c r="AA1504" s="55"/>
      <c r="AB1504" s="55"/>
      <c r="AC1504" s="55"/>
      <c r="AD1504" s="55"/>
      <c r="AE1504" s="55"/>
      <c r="AF1504" s="55"/>
      <c r="AG1504" s="55"/>
      <c r="AH1504" s="55"/>
      <c r="AI1504" s="55"/>
      <c r="AJ1504" s="55"/>
      <c r="AK1504" s="55"/>
      <c r="AL1504" s="55"/>
      <c r="AM1504" s="55"/>
      <c r="AN1504" s="55"/>
      <c r="AO1504" s="55"/>
      <c r="AP1504" s="55"/>
      <c r="AQ1504" s="55"/>
      <c r="AR1504" s="55"/>
      <c r="AS1504" s="55"/>
      <c r="AT1504" s="55"/>
      <c r="AU1504" s="55"/>
      <c r="AV1504" s="55"/>
      <c r="AW1504" s="55"/>
      <c r="AX1504" s="55"/>
      <c r="AY1504" s="55"/>
      <c r="AZ1504" s="55"/>
    </row>
    <row r="1505" spans="1:52" ht="12.75" customHeight="1" x14ac:dyDescent="0.2">
      <c r="A1505" s="55"/>
      <c r="B1505" s="76"/>
      <c r="C1505" s="77"/>
      <c r="D1505" s="77"/>
      <c r="E1505" s="55"/>
      <c r="F1505" s="55"/>
      <c r="G1505" s="55"/>
      <c r="H1505" s="55"/>
      <c r="I1505" s="55"/>
      <c r="J1505" s="55"/>
      <c r="K1505" s="55"/>
      <c r="L1505" s="55"/>
      <c r="M1505" s="55"/>
      <c r="N1505" s="55"/>
      <c r="O1505" s="55"/>
      <c r="P1505" s="55"/>
      <c r="Q1505" s="55"/>
      <c r="R1505" s="55"/>
      <c r="S1505" s="55"/>
      <c r="T1505" s="55"/>
      <c r="U1505" s="55"/>
      <c r="V1505" s="55"/>
      <c r="W1505" s="55"/>
      <c r="X1505" s="55"/>
      <c r="Y1505" s="55"/>
      <c r="Z1505" s="55"/>
      <c r="AA1505" s="55"/>
      <c r="AB1505" s="55"/>
      <c r="AC1505" s="55"/>
      <c r="AD1505" s="55"/>
      <c r="AE1505" s="55"/>
      <c r="AF1505" s="55"/>
      <c r="AG1505" s="55"/>
      <c r="AH1505" s="55"/>
      <c r="AI1505" s="55"/>
      <c r="AJ1505" s="55"/>
      <c r="AK1505" s="55"/>
      <c r="AL1505" s="55"/>
      <c r="AM1505" s="55"/>
      <c r="AN1505" s="55"/>
      <c r="AO1505" s="55"/>
      <c r="AP1505" s="55"/>
      <c r="AQ1505" s="55"/>
      <c r="AR1505" s="55"/>
      <c r="AS1505" s="55"/>
      <c r="AT1505" s="55"/>
      <c r="AU1505" s="55"/>
      <c r="AV1505" s="55"/>
      <c r="AW1505" s="55"/>
      <c r="AX1505" s="55"/>
      <c r="AY1505" s="55"/>
      <c r="AZ1505" s="55"/>
    </row>
    <row r="1506" spans="1:52" ht="12.75" customHeight="1" x14ac:dyDescent="0.2">
      <c r="A1506" s="55"/>
      <c r="B1506" s="76"/>
      <c r="C1506" s="77"/>
      <c r="D1506" s="77"/>
      <c r="E1506" s="55"/>
      <c r="F1506" s="55"/>
      <c r="G1506" s="55"/>
      <c r="H1506" s="55"/>
      <c r="I1506" s="55"/>
      <c r="J1506" s="55"/>
      <c r="K1506" s="55"/>
      <c r="L1506" s="55"/>
      <c r="M1506" s="55"/>
      <c r="N1506" s="55"/>
      <c r="O1506" s="55"/>
      <c r="P1506" s="55"/>
      <c r="Q1506" s="55"/>
      <c r="R1506" s="55"/>
      <c r="S1506" s="55"/>
      <c r="T1506" s="55"/>
      <c r="U1506" s="55"/>
      <c r="V1506" s="55"/>
      <c r="W1506" s="55"/>
      <c r="X1506" s="55"/>
      <c r="Y1506" s="55"/>
      <c r="Z1506" s="55"/>
      <c r="AA1506" s="55"/>
      <c r="AB1506" s="55"/>
      <c r="AC1506" s="55"/>
      <c r="AD1506" s="55"/>
      <c r="AE1506" s="55"/>
      <c r="AF1506" s="55"/>
      <c r="AG1506" s="55"/>
      <c r="AH1506" s="55"/>
      <c r="AI1506" s="55"/>
      <c r="AJ1506" s="55"/>
      <c r="AK1506" s="55"/>
      <c r="AL1506" s="55"/>
      <c r="AM1506" s="55"/>
      <c r="AN1506" s="55"/>
      <c r="AO1506" s="55"/>
      <c r="AP1506" s="55"/>
      <c r="AQ1506" s="55"/>
      <c r="AR1506" s="55"/>
      <c r="AS1506" s="55"/>
      <c r="AT1506" s="55"/>
      <c r="AU1506" s="55"/>
      <c r="AV1506" s="55"/>
      <c r="AW1506" s="55"/>
      <c r="AX1506" s="55"/>
      <c r="AY1506" s="55"/>
      <c r="AZ1506" s="55"/>
    </row>
    <row r="1507" spans="1:52" ht="12.75" customHeight="1" x14ac:dyDescent="0.2">
      <c r="A1507" s="55"/>
      <c r="B1507" s="76"/>
      <c r="C1507" s="77"/>
      <c r="D1507" s="77"/>
      <c r="E1507" s="55"/>
      <c r="F1507" s="55"/>
      <c r="G1507" s="55"/>
      <c r="H1507" s="55"/>
      <c r="I1507" s="55"/>
      <c r="J1507" s="55"/>
      <c r="K1507" s="55"/>
      <c r="L1507" s="55"/>
      <c r="M1507" s="55"/>
      <c r="N1507" s="55"/>
      <c r="O1507" s="55"/>
      <c r="P1507" s="55"/>
      <c r="Q1507" s="55"/>
      <c r="R1507" s="55"/>
      <c r="S1507" s="55"/>
      <c r="T1507" s="55"/>
      <c r="U1507" s="55"/>
      <c r="V1507" s="55"/>
      <c r="W1507" s="55"/>
      <c r="X1507" s="55"/>
      <c r="Y1507" s="55"/>
      <c r="Z1507" s="55"/>
      <c r="AA1507" s="55"/>
      <c r="AB1507" s="55"/>
      <c r="AC1507" s="55"/>
      <c r="AD1507" s="55"/>
      <c r="AE1507" s="55"/>
      <c r="AF1507" s="55"/>
      <c r="AG1507" s="55"/>
      <c r="AH1507" s="55"/>
      <c r="AI1507" s="55"/>
      <c r="AJ1507" s="55"/>
      <c r="AK1507" s="55"/>
      <c r="AL1507" s="55"/>
      <c r="AM1507" s="55"/>
      <c r="AN1507" s="55"/>
      <c r="AO1507" s="55"/>
      <c r="AP1507" s="55"/>
      <c r="AQ1507" s="55"/>
      <c r="AR1507" s="55"/>
      <c r="AS1507" s="55"/>
      <c r="AT1507" s="55"/>
      <c r="AU1507" s="55"/>
      <c r="AV1507" s="55"/>
      <c r="AW1507" s="55"/>
      <c r="AX1507" s="55"/>
      <c r="AY1507" s="55"/>
      <c r="AZ1507" s="55"/>
    </row>
    <row r="1508" spans="1:52" ht="12.75" customHeight="1" x14ac:dyDescent="0.2">
      <c r="A1508" s="55"/>
      <c r="B1508" s="76"/>
      <c r="C1508" s="77"/>
      <c r="D1508" s="77"/>
      <c r="E1508" s="55"/>
      <c r="F1508" s="55"/>
      <c r="G1508" s="55"/>
      <c r="H1508" s="55"/>
      <c r="I1508" s="55"/>
      <c r="J1508" s="55"/>
      <c r="K1508" s="55"/>
      <c r="L1508" s="55"/>
      <c r="M1508" s="55"/>
      <c r="N1508" s="55"/>
      <c r="O1508" s="55"/>
      <c r="P1508" s="55"/>
      <c r="Q1508" s="55"/>
      <c r="R1508" s="55"/>
      <c r="S1508" s="55"/>
      <c r="T1508" s="55"/>
      <c r="U1508" s="55"/>
      <c r="V1508" s="55"/>
      <c r="W1508" s="55"/>
      <c r="X1508" s="55"/>
      <c r="Y1508" s="55"/>
      <c r="Z1508" s="55"/>
      <c r="AA1508" s="55"/>
      <c r="AB1508" s="55"/>
      <c r="AC1508" s="55"/>
      <c r="AD1508" s="55"/>
      <c r="AE1508" s="55"/>
      <c r="AF1508" s="55"/>
      <c r="AG1508" s="55"/>
      <c r="AH1508" s="55"/>
      <c r="AI1508" s="55"/>
      <c r="AJ1508" s="55"/>
      <c r="AK1508" s="55"/>
      <c r="AL1508" s="55"/>
      <c r="AM1508" s="55"/>
      <c r="AN1508" s="55"/>
      <c r="AO1508" s="55"/>
      <c r="AP1508" s="55"/>
      <c r="AQ1508" s="55"/>
      <c r="AR1508" s="55"/>
      <c r="AS1508" s="55"/>
      <c r="AT1508" s="55"/>
      <c r="AU1508" s="55"/>
      <c r="AV1508" s="55"/>
      <c r="AW1508" s="55"/>
      <c r="AX1508" s="55"/>
      <c r="AY1508" s="55"/>
      <c r="AZ1508" s="55"/>
    </row>
    <row r="1509" spans="1:52" ht="12.75" customHeight="1" x14ac:dyDescent="0.2">
      <c r="A1509" s="55"/>
      <c r="B1509" s="76"/>
      <c r="C1509" s="77"/>
      <c r="D1509" s="77"/>
      <c r="E1509" s="55"/>
      <c r="F1509" s="55"/>
      <c r="G1509" s="55"/>
      <c r="H1509" s="55"/>
      <c r="I1509" s="55"/>
      <c r="J1509" s="55"/>
      <c r="K1509" s="55"/>
      <c r="L1509" s="55"/>
      <c r="M1509" s="55"/>
      <c r="N1509" s="55"/>
      <c r="O1509" s="55"/>
      <c r="P1509" s="55"/>
      <c r="Q1509" s="55"/>
      <c r="R1509" s="55"/>
      <c r="S1509" s="55"/>
      <c r="T1509" s="55"/>
      <c r="U1509" s="55"/>
      <c r="V1509" s="55"/>
      <c r="W1509" s="55"/>
      <c r="X1509" s="55"/>
      <c r="Y1509" s="55"/>
      <c r="Z1509" s="55"/>
      <c r="AA1509" s="55"/>
      <c r="AB1509" s="55"/>
      <c r="AC1509" s="55"/>
      <c r="AD1509" s="55"/>
      <c r="AE1509" s="55"/>
      <c r="AF1509" s="55"/>
      <c r="AG1509" s="55"/>
      <c r="AH1509" s="55"/>
      <c r="AI1509" s="55"/>
      <c r="AJ1509" s="55"/>
      <c r="AK1509" s="55"/>
      <c r="AL1509" s="55"/>
      <c r="AM1509" s="55"/>
      <c r="AN1509" s="55"/>
      <c r="AO1509" s="55"/>
      <c r="AP1509" s="55"/>
      <c r="AQ1509" s="55"/>
      <c r="AR1509" s="55"/>
      <c r="AS1509" s="55"/>
      <c r="AT1509" s="55"/>
      <c r="AU1509" s="55"/>
      <c r="AV1509" s="55"/>
      <c r="AW1509" s="55"/>
      <c r="AX1509" s="55"/>
      <c r="AY1509" s="55"/>
      <c r="AZ1509" s="55"/>
    </row>
    <row r="1510" spans="1:52" ht="12.75" customHeight="1" x14ac:dyDescent="0.2">
      <c r="A1510" s="55"/>
      <c r="B1510" s="76"/>
      <c r="C1510" s="77"/>
      <c r="D1510" s="77"/>
      <c r="E1510" s="55"/>
      <c r="F1510" s="55"/>
      <c r="G1510" s="55"/>
      <c r="H1510" s="55"/>
      <c r="I1510" s="55"/>
      <c r="J1510" s="55"/>
      <c r="K1510" s="55"/>
      <c r="L1510" s="55"/>
      <c r="M1510" s="55"/>
      <c r="N1510" s="55"/>
      <c r="O1510" s="55"/>
      <c r="P1510" s="55"/>
      <c r="Q1510" s="55"/>
      <c r="R1510" s="55"/>
      <c r="S1510" s="55"/>
      <c r="T1510" s="55"/>
      <c r="U1510" s="55"/>
      <c r="V1510" s="55"/>
      <c r="W1510" s="55"/>
      <c r="X1510" s="55"/>
      <c r="Y1510" s="55"/>
      <c r="Z1510" s="55"/>
      <c r="AA1510" s="55"/>
      <c r="AB1510" s="55"/>
      <c r="AC1510" s="55"/>
      <c r="AD1510" s="55"/>
      <c r="AE1510" s="55"/>
      <c r="AF1510" s="55"/>
      <c r="AG1510" s="55"/>
      <c r="AH1510" s="55"/>
      <c r="AI1510" s="55"/>
      <c r="AJ1510" s="55"/>
      <c r="AK1510" s="55"/>
      <c r="AL1510" s="55"/>
      <c r="AM1510" s="55"/>
      <c r="AN1510" s="55"/>
      <c r="AO1510" s="55"/>
      <c r="AP1510" s="55"/>
      <c r="AQ1510" s="55"/>
      <c r="AR1510" s="55"/>
      <c r="AS1510" s="55"/>
      <c r="AT1510" s="55"/>
      <c r="AU1510" s="55"/>
      <c r="AV1510" s="55"/>
      <c r="AW1510" s="55"/>
      <c r="AX1510" s="55"/>
      <c r="AY1510" s="55"/>
      <c r="AZ1510" s="55"/>
    </row>
    <row r="1511" spans="1:52" ht="12.75" customHeight="1" x14ac:dyDescent="0.2">
      <c r="A1511" s="55"/>
      <c r="B1511" s="76"/>
      <c r="C1511" s="77"/>
      <c r="D1511" s="77"/>
      <c r="E1511" s="55"/>
      <c r="F1511" s="55"/>
      <c r="G1511" s="55"/>
      <c r="H1511" s="55"/>
      <c r="I1511" s="55"/>
      <c r="J1511" s="55"/>
      <c r="K1511" s="55"/>
      <c r="L1511" s="55"/>
      <c r="M1511" s="55"/>
      <c r="N1511" s="55"/>
      <c r="O1511" s="55"/>
      <c r="P1511" s="55"/>
      <c r="Q1511" s="55"/>
      <c r="R1511" s="55"/>
      <c r="S1511" s="55"/>
      <c r="T1511" s="55"/>
      <c r="U1511" s="55"/>
      <c r="V1511" s="55"/>
      <c r="W1511" s="55"/>
      <c r="X1511" s="55"/>
      <c r="Y1511" s="55"/>
      <c r="Z1511" s="55"/>
      <c r="AA1511" s="55"/>
      <c r="AB1511" s="55"/>
      <c r="AC1511" s="55"/>
      <c r="AD1511" s="55"/>
      <c r="AE1511" s="55"/>
      <c r="AF1511" s="55"/>
      <c r="AG1511" s="55"/>
      <c r="AH1511" s="55"/>
      <c r="AI1511" s="55"/>
      <c r="AJ1511" s="55"/>
      <c r="AK1511" s="55"/>
      <c r="AL1511" s="55"/>
      <c r="AM1511" s="55"/>
      <c r="AN1511" s="55"/>
      <c r="AO1511" s="55"/>
      <c r="AP1511" s="55"/>
      <c r="AQ1511" s="55"/>
      <c r="AR1511" s="55"/>
      <c r="AS1511" s="55"/>
      <c r="AT1511" s="55"/>
      <c r="AU1511" s="55"/>
      <c r="AV1511" s="55"/>
      <c r="AW1511" s="55"/>
      <c r="AX1511" s="55"/>
      <c r="AY1511" s="55"/>
      <c r="AZ1511" s="55"/>
    </row>
    <row r="1512" spans="1:52" ht="12.75" customHeight="1" x14ac:dyDescent="0.2">
      <c r="A1512" s="55"/>
      <c r="B1512" s="76"/>
      <c r="C1512" s="77"/>
      <c r="D1512" s="77"/>
      <c r="E1512" s="55"/>
      <c r="F1512" s="55"/>
      <c r="G1512" s="55"/>
      <c r="H1512" s="55"/>
      <c r="I1512" s="55"/>
      <c r="J1512" s="55"/>
      <c r="K1512" s="55"/>
      <c r="L1512" s="55"/>
      <c r="M1512" s="55"/>
      <c r="N1512" s="55"/>
      <c r="O1512" s="55"/>
      <c r="P1512" s="55"/>
      <c r="Q1512" s="55"/>
      <c r="R1512" s="55"/>
      <c r="S1512" s="55"/>
      <c r="T1512" s="55"/>
      <c r="U1512" s="55"/>
      <c r="V1512" s="55"/>
      <c r="W1512" s="55"/>
      <c r="X1512" s="55"/>
      <c r="Y1512" s="55"/>
      <c r="Z1512" s="55"/>
      <c r="AA1512" s="55"/>
      <c r="AB1512" s="55"/>
      <c r="AC1512" s="55"/>
      <c r="AD1512" s="55"/>
      <c r="AE1512" s="55"/>
      <c r="AF1512" s="55"/>
      <c r="AG1512" s="55"/>
      <c r="AH1512" s="55"/>
      <c r="AI1512" s="55"/>
      <c r="AJ1512" s="55"/>
      <c r="AK1512" s="55"/>
      <c r="AL1512" s="55"/>
      <c r="AM1512" s="55"/>
      <c r="AN1512" s="55"/>
      <c r="AO1512" s="55"/>
      <c r="AP1512" s="55"/>
      <c r="AQ1512" s="55"/>
      <c r="AR1512" s="55"/>
      <c r="AS1512" s="55"/>
      <c r="AT1512" s="55"/>
      <c r="AU1512" s="55"/>
      <c r="AV1512" s="55"/>
      <c r="AW1512" s="55"/>
      <c r="AX1512" s="55"/>
      <c r="AY1512" s="55"/>
      <c r="AZ1512" s="55"/>
    </row>
    <row r="1513" spans="1:52" ht="12.75" customHeight="1" x14ac:dyDescent="0.2">
      <c r="A1513" s="55"/>
      <c r="B1513" s="76"/>
      <c r="C1513" s="77"/>
      <c r="D1513" s="77"/>
      <c r="E1513" s="55"/>
      <c r="F1513" s="55"/>
      <c r="G1513" s="55"/>
      <c r="H1513" s="55"/>
      <c r="I1513" s="55"/>
      <c r="J1513" s="55"/>
      <c r="K1513" s="55"/>
      <c r="L1513" s="55"/>
      <c r="M1513" s="55"/>
      <c r="N1513" s="55"/>
      <c r="O1513" s="55"/>
      <c r="P1513" s="55"/>
      <c r="Q1513" s="55"/>
      <c r="R1513" s="55"/>
      <c r="S1513" s="55"/>
      <c r="T1513" s="55"/>
      <c r="U1513" s="55"/>
      <c r="V1513" s="55"/>
      <c r="W1513" s="55"/>
      <c r="X1513" s="55"/>
      <c r="Y1513" s="55"/>
      <c r="Z1513" s="55"/>
      <c r="AA1513" s="55"/>
      <c r="AB1513" s="55"/>
      <c r="AC1513" s="55"/>
      <c r="AD1513" s="55"/>
      <c r="AE1513" s="55"/>
      <c r="AF1513" s="55"/>
      <c r="AG1513" s="55"/>
      <c r="AH1513" s="55"/>
      <c r="AI1513" s="55"/>
      <c r="AJ1513" s="55"/>
      <c r="AK1513" s="55"/>
      <c r="AL1513" s="55"/>
      <c r="AM1513" s="55"/>
      <c r="AN1513" s="55"/>
      <c r="AO1513" s="55"/>
      <c r="AP1513" s="55"/>
      <c r="AQ1513" s="55"/>
      <c r="AR1513" s="55"/>
      <c r="AS1513" s="55"/>
      <c r="AT1513" s="55"/>
      <c r="AU1513" s="55"/>
      <c r="AV1513" s="55"/>
      <c r="AW1513" s="55"/>
      <c r="AX1513" s="55"/>
      <c r="AY1513" s="55"/>
      <c r="AZ1513" s="55"/>
    </row>
    <row r="1514" spans="1:52" ht="12.75" customHeight="1" x14ac:dyDescent="0.2">
      <c r="A1514" s="55"/>
      <c r="B1514" s="76"/>
      <c r="C1514" s="77"/>
      <c r="D1514" s="77"/>
      <c r="E1514" s="55"/>
      <c r="F1514" s="55"/>
      <c r="G1514" s="55"/>
      <c r="H1514" s="55"/>
      <c r="I1514" s="55"/>
      <c r="J1514" s="55"/>
      <c r="K1514" s="55"/>
      <c r="L1514" s="55"/>
      <c r="M1514" s="55"/>
      <c r="N1514" s="55"/>
      <c r="O1514" s="55"/>
      <c r="P1514" s="55"/>
      <c r="Q1514" s="55"/>
      <c r="R1514" s="55"/>
      <c r="S1514" s="55"/>
      <c r="T1514" s="55"/>
      <c r="U1514" s="55"/>
      <c r="V1514" s="55"/>
      <c r="W1514" s="55"/>
      <c r="X1514" s="55"/>
      <c r="Y1514" s="55"/>
      <c r="Z1514" s="55"/>
      <c r="AA1514" s="55"/>
      <c r="AB1514" s="55"/>
      <c r="AC1514" s="55"/>
      <c r="AD1514" s="55"/>
      <c r="AE1514" s="55"/>
      <c r="AF1514" s="55"/>
      <c r="AG1514" s="55"/>
      <c r="AH1514" s="55"/>
      <c r="AI1514" s="55"/>
      <c r="AJ1514" s="55"/>
      <c r="AK1514" s="55"/>
      <c r="AL1514" s="55"/>
      <c r="AM1514" s="55"/>
      <c r="AN1514" s="55"/>
      <c r="AO1514" s="55"/>
      <c r="AP1514" s="55"/>
      <c r="AQ1514" s="55"/>
      <c r="AR1514" s="55"/>
      <c r="AS1514" s="55"/>
      <c r="AT1514" s="55"/>
      <c r="AU1514" s="55"/>
      <c r="AV1514" s="55"/>
      <c r="AW1514" s="55"/>
      <c r="AX1514" s="55"/>
      <c r="AY1514" s="55"/>
      <c r="AZ1514" s="55"/>
    </row>
    <row r="1515" spans="1:52" ht="12.75" customHeight="1" x14ac:dyDescent="0.2">
      <c r="A1515" s="55"/>
      <c r="B1515" s="76"/>
      <c r="C1515" s="77"/>
      <c r="D1515" s="77"/>
      <c r="E1515" s="55"/>
      <c r="F1515" s="55"/>
      <c r="G1515" s="55"/>
      <c r="H1515" s="55"/>
      <c r="I1515" s="55"/>
      <c r="J1515" s="55"/>
      <c r="K1515" s="55"/>
      <c r="L1515" s="55"/>
      <c r="M1515" s="55"/>
      <c r="N1515" s="55"/>
      <c r="O1515" s="55"/>
      <c r="P1515" s="55"/>
      <c r="Q1515" s="55"/>
      <c r="R1515" s="55"/>
      <c r="S1515" s="55"/>
      <c r="T1515" s="55"/>
      <c r="U1515" s="55"/>
      <c r="V1515" s="55"/>
      <c r="W1515" s="55"/>
      <c r="X1515" s="55"/>
      <c r="Y1515" s="55"/>
      <c r="Z1515" s="55"/>
      <c r="AA1515" s="55"/>
      <c r="AB1515" s="55"/>
      <c r="AC1515" s="55"/>
      <c r="AD1515" s="55"/>
      <c r="AE1515" s="55"/>
      <c r="AF1515" s="55"/>
      <c r="AG1515" s="55"/>
      <c r="AH1515" s="55"/>
      <c r="AI1515" s="55"/>
      <c r="AJ1515" s="55"/>
      <c r="AK1515" s="55"/>
      <c r="AL1515" s="55"/>
      <c r="AM1515" s="55"/>
      <c r="AN1515" s="55"/>
      <c r="AO1515" s="55"/>
      <c r="AP1515" s="55"/>
      <c r="AQ1515" s="55"/>
      <c r="AR1515" s="55"/>
      <c r="AS1515" s="55"/>
      <c r="AT1515" s="55"/>
      <c r="AU1515" s="55"/>
      <c r="AV1515" s="55"/>
      <c r="AW1515" s="55"/>
      <c r="AX1515" s="55"/>
      <c r="AY1515" s="55"/>
      <c r="AZ1515" s="55"/>
    </row>
    <row r="1516" spans="1:52" ht="12.75" customHeight="1" x14ac:dyDescent="0.2">
      <c r="A1516" s="55"/>
      <c r="B1516" s="76"/>
      <c r="C1516" s="77"/>
      <c r="D1516" s="77"/>
      <c r="E1516" s="55"/>
      <c r="F1516" s="55"/>
      <c r="G1516" s="55"/>
      <c r="H1516" s="55"/>
      <c r="I1516" s="55"/>
      <c r="J1516" s="55"/>
      <c r="K1516" s="55"/>
      <c r="L1516" s="55"/>
      <c r="M1516" s="55"/>
      <c r="N1516" s="55"/>
      <c r="O1516" s="55"/>
      <c r="P1516" s="55"/>
      <c r="Q1516" s="55"/>
      <c r="R1516" s="55"/>
      <c r="S1516" s="55"/>
      <c r="T1516" s="55"/>
      <c r="U1516" s="55"/>
      <c r="V1516" s="55"/>
      <c r="W1516" s="55"/>
      <c r="X1516" s="55"/>
      <c r="Y1516" s="55"/>
      <c r="Z1516" s="55"/>
      <c r="AA1516" s="55"/>
      <c r="AB1516" s="55"/>
      <c r="AC1516" s="55"/>
      <c r="AD1516" s="55"/>
      <c r="AE1516" s="55"/>
      <c r="AF1516" s="55"/>
      <c r="AG1516" s="55"/>
      <c r="AH1516" s="55"/>
      <c r="AI1516" s="55"/>
      <c r="AJ1516" s="55"/>
      <c r="AK1516" s="55"/>
      <c r="AL1516" s="55"/>
      <c r="AM1516" s="55"/>
      <c r="AN1516" s="55"/>
      <c r="AO1516" s="55"/>
      <c r="AP1516" s="55"/>
      <c r="AQ1516" s="55"/>
      <c r="AR1516" s="55"/>
      <c r="AS1516" s="55"/>
      <c r="AT1516" s="55"/>
      <c r="AU1516" s="55"/>
      <c r="AV1516" s="55"/>
      <c r="AW1516" s="55"/>
      <c r="AX1516" s="55"/>
      <c r="AY1516" s="55"/>
      <c r="AZ1516" s="55"/>
    </row>
    <row r="1517" spans="1:52" ht="12.75" customHeight="1" x14ac:dyDescent="0.2">
      <c r="A1517" s="55"/>
      <c r="B1517" s="76"/>
      <c r="C1517" s="77"/>
      <c r="D1517" s="77"/>
      <c r="E1517" s="55"/>
      <c r="F1517" s="55"/>
      <c r="G1517" s="55"/>
      <c r="H1517" s="55"/>
      <c r="I1517" s="55"/>
      <c r="J1517" s="55"/>
      <c r="K1517" s="55"/>
      <c r="L1517" s="55"/>
      <c r="M1517" s="55"/>
      <c r="N1517" s="55"/>
      <c r="O1517" s="55"/>
      <c r="P1517" s="55"/>
      <c r="Q1517" s="55"/>
      <c r="R1517" s="55"/>
      <c r="S1517" s="55"/>
      <c r="T1517" s="55"/>
      <c r="U1517" s="55"/>
      <c r="V1517" s="55"/>
      <c r="W1517" s="55"/>
      <c r="X1517" s="55"/>
      <c r="Y1517" s="55"/>
      <c r="Z1517" s="55"/>
      <c r="AA1517" s="55"/>
      <c r="AB1517" s="55"/>
      <c r="AC1517" s="55"/>
      <c r="AD1517" s="55"/>
      <c r="AE1517" s="55"/>
      <c r="AF1517" s="55"/>
      <c r="AG1517" s="55"/>
      <c r="AH1517" s="55"/>
      <c r="AI1517" s="55"/>
      <c r="AJ1517" s="55"/>
      <c r="AK1517" s="55"/>
      <c r="AL1517" s="55"/>
      <c r="AM1517" s="55"/>
      <c r="AN1517" s="55"/>
      <c r="AO1517" s="55"/>
      <c r="AP1517" s="55"/>
      <c r="AQ1517" s="55"/>
      <c r="AR1517" s="55"/>
      <c r="AS1517" s="55"/>
      <c r="AT1517" s="55"/>
      <c r="AU1517" s="55"/>
      <c r="AV1517" s="55"/>
      <c r="AW1517" s="55"/>
      <c r="AX1517" s="55"/>
      <c r="AY1517" s="55"/>
      <c r="AZ1517" s="55"/>
    </row>
    <row r="1518" spans="1:52" ht="12.75" customHeight="1" x14ac:dyDescent="0.2">
      <c r="A1518" s="55"/>
      <c r="B1518" s="76"/>
      <c r="C1518" s="77"/>
      <c r="D1518" s="77"/>
      <c r="E1518" s="55"/>
      <c r="F1518" s="55"/>
      <c r="G1518" s="55"/>
      <c r="H1518" s="55"/>
      <c r="I1518" s="55"/>
      <c r="J1518" s="55"/>
      <c r="K1518" s="55"/>
      <c r="L1518" s="55"/>
      <c r="M1518" s="55"/>
      <c r="N1518" s="55"/>
      <c r="O1518" s="55"/>
      <c r="P1518" s="55"/>
      <c r="Q1518" s="55"/>
      <c r="R1518" s="55"/>
      <c r="S1518" s="55"/>
      <c r="T1518" s="55"/>
      <c r="U1518" s="55"/>
      <c r="V1518" s="55"/>
      <c r="W1518" s="55"/>
      <c r="X1518" s="55"/>
      <c r="Y1518" s="55"/>
      <c r="Z1518" s="55"/>
      <c r="AA1518" s="55"/>
      <c r="AB1518" s="55"/>
      <c r="AC1518" s="55"/>
      <c r="AD1518" s="55"/>
      <c r="AE1518" s="55"/>
      <c r="AF1518" s="55"/>
      <c r="AG1518" s="55"/>
      <c r="AH1518" s="55"/>
      <c r="AI1518" s="55"/>
      <c r="AJ1518" s="55"/>
      <c r="AK1518" s="55"/>
      <c r="AL1518" s="55"/>
      <c r="AM1518" s="55"/>
      <c r="AN1518" s="55"/>
      <c r="AO1518" s="55"/>
      <c r="AP1518" s="55"/>
      <c r="AQ1518" s="55"/>
      <c r="AR1518" s="55"/>
      <c r="AS1518" s="55"/>
      <c r="AT1518" s="55"/>
      <c r="AU1518" s="55"/>
      <c r="AV1518" s="55"/>
      <c r="AW1518" s="55"/>
      <c r="AX1518" s="55"/>
      <c r="AY1518" s="55"/>
      <c r="AZ1518" s="55"/>
    </row>
    <row r="1519" spans="1:52" ht="12.75" customHeight="1" x14ac:dyDescent="0.2">
      <c r="A1519" s="55"/>
      <c r="B1519" s="76"/>
      <c r="C1519" s="77"/>
      <c r="D1519" s="77"/>
      <c r="E1519" s="55"/>
      <c r="F1519" s="55"/>
      <c r="G1519" s="55"/>
      <c r="H1519" s="55"/>
      <c r="I1519" s="55"/>
      <c r="J1519" s="55"/>
      <c r="K1519" s="55"/>
      <c r="L1519" s="55"/>
      <c r="M1519" s="55"/>
      <c r="N1519" s="55"/>
      <c r="O1519" s="55"/>
      <c r="P1519" s="55"/>
      <c r="Q1519" s="55"/>
      <c r="R1519" s="55"/>
      <c r="S1519" s="55"/>
      <c r="T1519" s="55"/>
      <c r="U1519" s="55"/>
      <c r="V1519" s="55"/>
      <c r="W1519" s="55"/>
      <c r="X1519" s="55"/>
      <c r="Y1519" s="55"/>
      <c r="Z1519" s="55"/>
      <c r="AA1519" s="55"/>
      <c r="AB1519" s="55"/>
      <c r="AC1519" s="55"/>
      <c r="AD1519" s="55"/>
      <c r="AE1519" s="55"/>
      <c r="AF1519" s="55"/>
      <c r="AG1519" s="55"/>
      <c r="AH1519" s="55"/>
      <c r="AI1519" s="55"/>
      <c r="AJ1519" s="55"/>
      <c r="AK1519" s="55"/>
      <c r="AL1519" s="55"/>
      <c r="AM1519" s="55"/>
      <c r="AN1519" s="55"/>
      <c r="AO1519" s="55"/>
      <c r="AP1519" s="55"/>
      <c r="AQ1519" s="55"/>
      <c r="AR1519" s="55"/>
      <c r="AS1519" s="55"/>
      <c r="AT1519" s="55"/>
      <c r="AU1519" s="55"/>
      <c r="AV1519" s="55"/>
      <c r="AW1519" s="55"/>
      <c r="AX1519" s="55"/>
      <c r="AY1519" s="55"/>
      <c r="AZ1519" s="55"/>
    </row>
    <row r="1520" spans="1:52" ht="12.75" customHeight="1" x14ac:dyDescent="0.2">
      <c r="A1520" s="55"/>
      <c r="B1520" s="76"/>
      <c r="C1520" s="77"/>
      <c r="D1520" s="77"/>
      <c r="E1520" s="55"/>
      <c r="F1520" s="55"/>
      <c r="G1520" s="55"/>
      <c r="H1520" s="55"/>
      <c r="I1520" s="55"/>
      <c r="J1520" s="55"/>
      <c r="K1520" s="55"/>
      <c r="L1520" s="55"/>
      <c r="M1520" s="55"/>
      <c r="N1520" s="55"/>
      <c r="O1520" s="55"/>
      <c r="P1520" s="55"/>
      <c r="Q1520" s="55"/>
      <c r="R1520" s="55"/>
      <c r="S1520" s="55"/>
      <c r="T1520" s="55"/>
      <c r="U1520" s="55"/>
      <c r="V1520" s="55"/>
      <c r="W1520" s="55"/>
      <c r="X1520" s="55"/>
      <c r="Y1520" s="55"/>
      <c r="Z1520" s="55"/>
      <c r="AA1520" s="55"/>
      <c r="AB1520" s="55"/>
      <c r="AC1520" s="55"/>
      <c r="AD1520" s="55"/>
      <c r="AE1520" s="55"/>
      <c r="AF1520" s="55"/>
      <c r="AG1520" s="55"/>
      <c r="AH1520" s="55"/>
      <c r="AI1520" s="55"/>
      <c r="AJ1520" s="55"/>
      <c r="AK1520" s="55"/>
      <c r="AL1520" s="55"/>
      <c r="AM1520" s="55"/>
      <c r="AN1520" s="55"/>
      <c r="AO1520" s="55"/>
      <c r="AP1520" s="55"/>
      <c r="AQ1520" s="55"/>
      <c r="AR1520" s="55"/>
      <c r="AS1520" s="55"/>
      <c r="AT1520" s="55"/>
      <c r="AU1520" s="55"/>
      <c r="AV1520" s="55"/>
      <c r="AW1520" s="55"/>
      <c r="AX1520" s="55"/>
      <c r="AY1520" s="55"/>
      <c r="AZ1520" s="55"/>
    </row>
    <row r="1521" spans="1:52" ht="12.75" customHeight="1" x14ac:dyDescent="0.2">
      <c r="A1521" s="55"/>
      <c r="B1521" s="76"/>
      <c r="C1521" s="77"/>
      <c r="D1521" s="77"/>
      <c r="E1521" s="55"/>
      <c r="F1521" s="55"/>
      <c r="G1521" s="55"/>
      <c r="H1521" s="55"/>
      <c r="I1521" s="55"/>
      <c r="J1521" s="55"/>
      <c r="K1521" s="55"/>
      <c r="L1521" s="55"/>
      <c r="M1521" s="55"/>
      <c r="N1521" s="55"/>
      <c r="O1521" s="55"/>
      <c r="P1521" s="55"/>
      <c r="Q1521" s="55"/>
      <c r="R1521" s="55"/>
      <c r="S1521" s="55"/>
      <c r="T1521" s="55"/>
      <c r="U1521" s="55"/>
      <c r="V1521" s="55"/>
      <c r="W1521" s="55"/>
      <c r="X1521" s="55"/>
      <c r="Y1521" s="55"/>
      <c r="Z1521" s="55"/>
      <c r="AA1521" s="55"/>
      <c r="AB1521" s="55"/>
      <c r="AC1521" s="55"/>
      <c r="AD1521" s="55"/>
      <c r="AE1521" s="55"/>
      <c r="AF1521" s="55"/>
      <c r="AG1521" s="55"/>
      <c r="AH1521" s="55"/>
      <c r="AI1521" s="55"/>
      <c r="AJ1521" s="55"/>
      <c r="AK1521" s="55"/>
      <c r="AL1521" s="55"/>
      <c r="AM1521" s="55"/>
      <c r="AN1521" s="55"/>
      <c r="AO1521" s="55"/>
      <c r="AP1521" s="55"/>
      <c r="AQ1521" s="55"/>
      <c r="AR1521" s="55"/>
      <c r="AS1521" s="55"/>
      <c r="AT1521" s="55"/>
      <c r="AU1521" s="55"/>
      <c r="AV1521" s="55"/>
      <c r="AW1521" s="55"/>
      <c r="AX1521" s="55"/>
      <c r="AY1521" s="55"/>
      <c r="AZ1521" s="55"/>
    </row>
    <row r="1522" spans="1:52" ht="12.75" customHeight="1" x14ac:dyDescent="0.2">
      <c r="A1522" s="55"/>
      <c r="B1522" s="76"/>
      <c r="C1522" s="77"/>
      <c r="D1522" s="77"/>
      <c r="E1522" s="55"/>
      <c r="F1522" s="55"/>
      <c r="G1522" s="55"/>
      <c r="H1522" s="55"/>
      <c r="I1522" s="55"/>
      <c r="J1522" s="55"/>
      <c r="K1522" s="55"/>
      <c r="L1522" s="55"/>
      <c r="M1522" s="55"/>
      <c r="N1522" s="55"/>
      <c r="O1522" s="55"/>
      <c r="P1522" s="55"/>
      <c r="Q1522" s="55"/>
      <c r="R1522" s="55"/>
      <c r="S1522" s="55"/>
      <c r="T1522" s="55"/>
      <c r="U1522" s="55"/>
      <c r="V1522" s="55"/>
      <c r="W1522" s="55"/>
      <c r="X1522" s="55"/>
      <c r="Y1522" s="55"/>
      <c r="Z1522" s="55"/>
      <c r="AA1522" s="55"/>
      <c r="AB1522" s="55"/>
      <c r="AC1522" s="55"/>
      <c r="AD1522" s="55"/>
      <c r="AE1522" s="55"/>
      <c r="AF1522" s="55"/>
      <c r="AG1522" s="55"/>
      <c r="AH1522" s="55"/>
      <c r="AI1522" s="55"/>
      <c r="AJ1522" s="55"/>
      <c r="AK1522" s="55"/>
      <c r="AL1522" s="55"/>
      <c r="AM1522" s="55"/>
      <c r="AN1522" s="55"/>
      <c r="AO1522" s="55"/>
      <c r="AP1522" s="55"/>
      <c r="AQ1522" s="55"/>
      <c r="AR1522" s="55"/>
      <c r="AS1522" s="55"/>
      <c r="AT1522" s="55"/>
      <c r="AU1522" s="55"/>
      <c r="AV1522" s="55"/>
      <c r="AW1522" s="55"/>
      <c r="AX1522" s="55"/>
      <c r="AY1522" s="55"/>
      <c r="AZ1522" s="55"/>
    </row>
    <row r="1523" spans="1:52" ht="12.75" customHeight="1" x14ac:dyDescent="0.2">
      <c r="A1523" s="55"/>
      <c r="B1523" s="76"/>
      <c r="C1523" s="77"/>
      <c r="D1523" s="77"/>
      <c r="E1523" s="55"/>
      <c r="F1523" s="55"/>
      <c r="G1523" s="55"/>
      <c r="H1523" s="55"/>
      <c r="I1523" s="55"/>
      <c r="J1523" s="55"/>
      <c r="K1523" s="55"/>
      <c r="L1523" s="55"/>
      <c r="M1523" s="55"/>
      <c r="N1523" s="55"/>
      <c r="O1523" s="55"/>
      <c r="P1523" s="55"/>
      <c r="Q1523" s="55"/>
      <c r="R1523" s="55"/>
      <c r="S1523" s="55"/>
      <c r="T1523" s="55"/>
      <c r="U1523" s="55"/>
      <c r="V1523" s="55"/>
      <c r="W1523" s="55"/>
      <c r="X1523" s="55"/>
      <c r="Y1523" s="55"/>
      <c r="Z1523" s="55"/>
      <c r="AA1523" s="55"/>
      <c r="AB1523" s="55"/>
      <c r="AC1523" s="55"/>
      <c r="AD1523" s="55"/>
      <c r="AE1523" s="55"/>
      <c r="AF1523" s="55"/>
      <c r="AG1523" s="55"/>
      <c r="AH1523" s="55"/>
      <c r="AI1523" s="55"/>
      <c r="AJ1523" s="55"/>
      <c r="AK1523" s="55"/>
      <c r="AL1523" s="55"/>
      <c r="AM1523" s="55"/>
      <c r="AN1523" s="55"/>
      <c r="AO1523" s="55"/>
      <c r="AP1523" s="55"/>
      <c r="AQ1523" s="55"/>
      <c r="AR1523" s="55"/>
      <c r="AS1523" s="55"/>
      <c r="AT1523" s="55"/>
      <c r="AU1523" s="55"/>
      <c r="AV1523" s="55"/>
      <c r="AW1523" s="55"/>
      <c r="AX1523" s="55"/>
      <c r="AY1523" s="55"/>
      <c r="AZ1523" s="55"/>
    </row>
    <row r="1524" spans="1:52" ht="12.75" customHeight="1" x14ac:dyDescent="0.2">
      <c r="A1524" s="55"/>
      <c r="B1524" s="76"/>
      <c r="C1524" s="77"/>
      <c r="D1524" s="77"/>
      <c r="E1524" s="55"/>
      <c r="F1524" s="55"/>
      <c r="G1524" s="55"/>
      <c r="H1524" s="55"/>
      <c r="I1524" s="55"/>
      <c r="J1524" s="55"/>
      <c r="K1524" s="55"/>
      <c r="L1524" s="55"/>
      <c r="M1524" s="55"/>
      <c r="N1524" s="55"/>
      <c r="O1524" s="55"/>
      <c r="P1524" s="55"/>
      <c r="Q1524" s="55"/>
      <c r="R1524" s="55"/>
      <c r="S1524" s="55"/>
      <c r="T1524" s="55"/>
      <c r="U1524" s="55"/>
      <c r="V1524" s="55"/>
      <c r="W1524" s="55"/>
      <c r="X1524" s="55"/>
      <c r="Y1524" s="55"/>
      <c r="Z1524" s="55"/>
      <c r="AA1524" s="55"/>
      <c r="AB1524" s="55"/>
      <c r="AC1524" s="55"/>
      <c r="AD1524" s="55"/>
      <c r="AE1524" s="55"/>
      <c r="AF1524" s="55"/>
      <c r="AG1524" s="55"/>
      <c r="AH1524" s="55"/>
      <c r="AI1524" s="55"/>
      <c r="AJ1524" s="55"/>
      <c r="AK1524" s="55"/>
      <c r="AL1524" s="55"/>
      <c r="AM1524" s="55"/>
      <c r="AN1524" s="55"/>
      <c r="AO1524" s="55"/>
      <c r="AP1524" s="55"/>
      <c r="AQ1524" s="55"/>
      <c r="AR1524" s="55"/>
      <c r="AS1524" s="55"/>
      <c r="AT1524" s="55"/>
      <c r="AU1524" s="55"/>
      <c r="AV1524" s="55"/>
      <c r="AW1524" s="55"/>
      <c r="AX1524" s="55"/>
      <c r="AY1524" s="55"/>
      <c r="AZ1524" s="55"/>
    </row>
    <row r="1525" spans="1:52" ht="12.75" customHeight="1" x14ac:dyDescent="0.2">
      <c r="A1525" s="55"/>
      <c r="B1525" s="76"/>
      <c r="C1525" s="77"/>
      <c r="D1525" s="77"/>
      <c r="E1525" s="55"/>
      <c r="F1525" s="55"/>
      <c r="G1525" s="55"/>
      <c r="H1525" s="55"/>
      <c r="I1525" s="55"/>
      <c r="J1525" s="55"/>
      <c r="K1525" s="55"/>
      <c r="L1525" s="55"/>
      <c r="M1525" s="55"/>
      <c r="N1525" s="55"/>
      <c r="O1525" s="55"/>
      <c r="P1525" s="55"/>
      <c r="Q1525" s="55"/>
      <c r="R1525" s="55"/>
      <c r="S1525" s="55"/>
      <c r="T1525" s="55"/>
      <c r="U1525" s="55"/>
      <c r="V1525" s="55"/>
      <c r="W1525" s="55"/>
      <c r="X1525" s="55"/>
      <c r="Y1525" s="55"/>
      <c r="Z1525" s="55"/>
      <c r="AA1525" s="55"/>
      <c r="AB1525" s="55"/>
      <c r="AC1525" s="55"/>
      <c r="AD1525" s="55"/>
      <c r="AE1525" s="55"/>
      <c r="AF1525" s="55"/>
      <c r="AG1525" s="55"/>
      <c r="AH1525" s="55"/>
      <c r="AI1525" s="55"/>
      <c r="AJ1525" s="55"/>
      <c r="AK1525" s="55"/>
      <c r="AL1525" s="55"/>
      <c r="AM1525" s="55"/>
      <c r="AN1525" s="55"/>
      <c r="AO1525" s="55"/>
      <c r="AP1525" s="55"/>
      <c r="AQ1525" s="55"/>
      <c r="AR1525" s="55"/>
      <c r="AS1525" s="55"/>
      <c r="AT1525" s="55"/>
      <c r="AU1525" s="55"/>
      <c r="AV1525" s="55"/>
      <c r="AW1525" s="55"/>
      <c r="AX1525" s="55"/>
      <c r="AY1525" s="55"/>
      <c r="AZ1525" s="55"/>
    </row>
    <row r="1526" spans="1:52" ht="12.75" customHeight="1" x14ac:dyDescent="0.2">
      <c r="A1526" s="55"/>
      <c r="B1526" s="76"/>
      <c r="C1526" s="77"/>
      <c r="D1526" s="77"/>
      <c r="E1526" s="55"/>
      <c r="F1526" s="55"/>
      <c r="G1526" s="55"/>
      <c r="H1526" s="55"/>
      <c r="I1526" s="55"/>
      <c r="J1526" s="55"/>
      <c r="K1526" s="55"/>
      <c r="L1526" s="55"/>
      <c r="M1526" s="55"/>
      <c r="N1526" s="55"/>
      <c r="O1526" s="55"/>
      <c r="P1526" s="55"/>
      <c r="Q1526" s="55"/>
      <c r="R1526" s="55"/>
      <c r="S1526" s="55"/>
      <c r="T1526" s="55"/>
      <c r="U1526" s="55"/>
      <c r="V1526" s="55"/>
      <c r="W1526" s="55"/>
      <c r="X1526" s="55"/>
      <c r="Y1526" s="55"/>
      <c r="Z1526" s="55"/>
      <c r="AA1526" s="55"/>
      <c r="AB1526" s="55"/>
      <c r="AC1526" s="55"/>
      <c r="AD1526" s="55"/>
      <c r="AE1526" s="55"/>
      <c r="AF1526" s="55"/>
      <c r="AG1526" s="55"/>
      <c r="AH1526" s="55"/>
      <c r="AI1526" s="55"/>
      <c r="AJ1526" s="55"/>
      <c r="AK1526" s="55"/>
      <c r="AL1526" s="55"/>
      <c r="AM1526" s="55"/>
      <c r="AN1526" s="55"/>
      <c r="AO1526" s="55"/>
      <c r="AP1526" s="55"/>
      <c r="AQ1526" s="55"/>
      <c r="AR1526" s="55"/>
      <c r="AS1526" s="55"/>
      <c r="AT1526" s="55"/>
      <c r="AU1526" s="55"/>
      <c r="AV1526" s="55"/>
      <c r="AW1526" s="55"/>
      <c r="AX1526" s="55"/>
      <c r="AY1526" s="55"/>
      <c r="AZ1526" s="55"/>
    </row>
    <row r="1527" spans="1:52" ht="12.75" customHeight="1" x14ac:dyDescent="0.2">
      <c r="A1527" s="55"/>
      <c r="B1527" s="76"/>
      <c r="C1527" s="77"/>
      <c r="D1527" s="77"/>
      <c r="E1527" s="55"/>
      <c r="F1527" s="55"/>
      <c r="G1527" s="55"/>
      <c r="H1527" s="55"/>
      <c r="I1527" s="55"/>
      <c r="J1527" s="55"/>
      <c r="K1527" s="55"/>
      <c r="L1527" s="55"/>
      <c r="M1527" s="55"/>
      <c r="N1527" s="55"/>
      <c r="O1527" s="55"/>
      <c r="P1527" s="55"/>
      <c r="Q1527" s="55"/>
      <c r="R1527" s="55"/>
      <c r="S1527" s="55"/>
      <c r="T1527" s="55"/>
      <c r="U1527" s="55"/>
      <c r="V1527" s="55"/>
      <c r="W1527" s="55"/>
      <c r="X1527" s="55"/>
      <c r="Y1527" s="55"/>
      <c r="Z1527" s="55"/>
      <c r="AA1527" s="55"/>
      <c r="AB1527" s="55"/>
      <c r="AC1527" s="55"/>
      <c r="AD1527" s="55"/>
      <c r="AE1527" s="55"/>
      <c r="AF1527" s="55"/>
      <c r="AG1527" s="55"/>
      <c r="AH1527" s="55"/>
      <c r="AI1527" s="55"/>
      <c r="AJ1527" s="55"/>
      <c r="AK1527" s="55"/>
      <c r="AL1527" s="55"/>
      <c r="AM1527" s="55"/>
      <c r="AN1527" s="55"/>
      <c r="AO1527" s="55"/>
      <c r="AP1527" s="55"/>
      <c r="AQ1527" s="55"/>
      <c r="AR1527" s="55"/>
      <c r="AS1527" s="55"/>
      <c r="AT1527" s="55"/>
      <c r="AU1527" s="55"/>
      <c r="AV1527" s="55"/>
      <c r="AW1527" s="55"/>
      <c r="AX1527" s="55"/>
      <c r="AY1527" s="55"/>
      <c r="AZ1527" s="55"/>
    </row>
    <row r="1528" spans="1:52" ht="12.75" customHeight="1" x14ac:dyDescent="0.2">
      <c r="A1528" s="55"/>
      <c r="B1528" s="76"/>
      <c r="C1528" s="77"/>
      <c r="D1528" s="77"/>
      <c r="E1528" s="55"/>
      <c r="F1528" s="55"/>
      <c r="G1528" s="55"/>
      <c r="H1528" s="55"/>
      <c r="I1528" s="55"/>
      <c r="J1528" s="55"/>
      <c r="K1528" s="55"/>
      <c r="L1528" s="55"/>
      <c r="M1528" s="55"/>
      <c r="N1528" s="55"/>
      <c r="O1528" s="55"/>
      <c r="P1528" s="55"/>
      <c r="Q1528" s="55"/>
      <c r="R1528" s="55"/>
      <c r="S1528" s="55"/>
      <c r="T1528" s="55"/>
      <c r="U1528" s="55"/>
      <c r="V1528" s="55"/>
      <c r="W1528" s="55"/>
      <c r="X1528" s="55"/>
      <c r="Y1528" s="55"/>
      <c r="Z1528" s="55"/>
      <c r="AA1528" s="55"/>
      <c r="AB1528" s="55"/>
      <c r="AC1528" s="55"/>
      <c r="AD1528" s="55"/>
      <c r="AE1528" s="55"/>
      <c r="AF1528" s="55"/>
      <c r="AG1528" s="55"/>
      <c r="AH1528" s="55"/>
      <c r="AI1528" s="55"/>
      <c r="AJ1528" s="55"/>
      <c r="AK1528" s="55"/>
      <c r="AL1528" s="55"/>
      <c r="AM1528" s="55"/>
      <c r="AN1528" s="55"/>
      <c r="AO1528" s="55"/>
      <c r="AP1528" s="55"/>
      <c r="AQ1528" s="55"/>
      <c r="AR1528" s="55"/>
      <c r="AS1528" s="55"/>
      <c r="AT1528" s="55"/>
      <c r="AU1528" s="55"/>
      <c r="AV1528" s="55"/>
      <c r="AW1528" s="55"/>
      <c r="AX1528" s="55"/>
      <c r="AY1528" s="55"/>
      <c r="AZ1528" s="55"/>
    </row>
    <row r="1529" spans="1:52" ht="12.75" customHeight="1" x14ac:dyDescent="0.2">
      <c r="A1529" s="55"/>
      <c r="B1529" s="76"/>
      <c r="C1529" s="77"/>
      <c r="D1529" s="77"/>
      <c r="E1529" s="55"/>
      <c r="F1529" s="55"/>
      <c r="G1529" s="55"/>
      <c r="H1529" s="55"/>
      <c r="I1529" s="55"/>
      <c r="J1529" s="55"/>
      <c r="K1529" s="55"/>
      <c r="L1529" s="55"/>
      <c r="M1529" s="55"/>
      <c r="N1529" s="55"/>
      <c r="O1529" s="55"/>
      <c r="P1529" s="55"/>
      <c r="Q1529" s="55"/>
      <c r="R1529" s="55"/>
      <c r="S1529" s="55"/>
      <c r="T1529" s="55"/>
      <c r="U1529" s="55"/>
      <c r="V1529" s="55"/>
      <c r="W1529" s="55"/>
      <c r="X1529" s="55"/>
      <c r="Y1529" s="55"/>
      <c r="Z1529" s="55"/>
      <c r="AA1529" s="55"/>
      <c r="AB1529" s="55"/>
      <c r="AC1529" s="55"/>
      <c r="AD1529" s="55"/>
      <c r="AE1529" s="55"/>
      <c r="AF1529" s="55"/>
      <c r="AG1529" s="55"/>
      <c r="AH1529" s="55"/>
      <c r="AI1529" s="55"/>
      <c r="AJ1529" s="55"/>
      <c r="AK1529" s="55"/>
      <c r="AL1529" s="55"/>
      <c r="AM1529" s="55"/>
      <c r="AN1529" s="55"/>
      <c r="AO1529" s="55"/>
      <c r="AP1529" s="55"/>
      <c r="AQ1529" s="55"/>
      <c r="AR1529" s="55"/>
      <c r="AS1529" s="55"/>
      <c r="AT1529" s="55"/>
      <c r="AU1529" s="55"/>
      <c r="AV1529" s="55"/>
      <c r="AW1529" s="55"/>
      <c r="AX1529" s="55"/>
      <c r="AY1529" s="55"/>
      <c r="AZ1529" s="55"/>
    </row>
    <row r="1530" spans="1:52" ht="12.75" customHeight="1" x14ac:dyDescent="0.2">
      <c r="A1530" s="55"/>
      <c r="B1530" s="76"/>
      <c r="C1530" s="77"/>
      <c r="D1530" s="77"/>
      <c r="E1530" s="55"/>
      <c r="F1530" s="55"/>
      <c r="G1530" s="55"/>
      <c r="H1530" s="55"/>
      <c r="I1530" s="55"/>
      <c r="J1530" s="55"/>
      <c r="K1530" s="55"/>
      <c r="L1530" s="55"/>
      <c r="M1530" s="55"/>
      <c r="N1530" s="55"/>
      <c r="O1530" s="55"/>
      <c r="P1530" s="55"/>
      <c r="Q1530" s="55"/>
      <c r="R1530" s="55"/>
      <c r="S1530" s="55"/>
      <c r="T1530" s="55"/>
      <c r="U1530" s="55"/>
      <c r="V1530" s="55"/>
      <c r="W1530" s="55"/>
      <c r="X1530" s="55"/>
      <c r="Y1530" s="55"/>
      <c r="Z1530" s="55"/>
      <c r="AA1530" s="55"/>
      <c r="AB1530" s="55"/>
      <c r="AC1530" s="55"/>
      <c r="AD1530" s="55"/>
      <c r="AE1530" s="55"/>
      <c r="AF1530" s="55"/>
      <c r="AG1530" s="55"/>
      <c r="AH1530" s="55"/>
      <c r="AI1530" s="55"/>
      <c r="AJ1530" s="55"/>
      <c r="AK1530" s="55"/>
      <c r="AL1530" s="55"/>
      <c r="AM1530" s="55"/>
      <c r="AN1530" s="55"/>
      <c r="AO1530" s="55"/>
      <c r="AP1530" s="55"/>
      <c r="AQ1530" s="55"/>
      <c r="AR1530" s="55"/>
      <c r="AS1530" s="55"/>
      <c r="AT1530" s="55"/>
      <c r="AU1530" s="55"/>
      <c r="AV1530" s="55"/>
      <c r="AW1530" s="55"/>
      <c r="AX1530" s="55"/>
      <c r="AY1530" s="55"/>
      <c r="AZ1530" s="55"/>
    </row>
    <row r="1531" spans="1:52" ht="12.75" customHeight="1" x14ac:dyDescent="0.2">
      <c r="A1531" s="55"/>
      <c r="B1531" s="76"/>
      <c r="C1531" s="77"/>
      <c r="D1531" s="77"/>
      <c r="E1531" s="55"/>
      <c r="F1531" s="55"/>
      <c r="G1531" s="55"/>
      <c r="H1531" s="55"/>
      <c r="I1531" s="55"/>
      <c r="J1531" s="55"/>
      <c r="K1531" s="55"/>
      <c r="L1531" s="55"/>
      <c r="M1531" s="55"/>
      <c r="N1531" s="55"/>
      <c r="O1531" s="55"/>
      <c r="P1531" s="55"/>
      <c r="Q1531" s="55"/>
      <c r="R1531" s="55"/>
      <c r="S1531" s="55"/>
      <c r="T1531" s="55"/>
      <c r="U1531" s="55"/>
      <c r="V1531" s="55"/>
      <c r="W1531" s="55"/>
      <c r="X1531" s="55"/>
      <c r="Y1531" s="55"/>
      <c r="Z1531" s="55"/>
      <c r="AA1531" s="55"/>
      <c r="AB1531" s="55"/>
      <c r="AC1531" s="55"/>
      <c r="AD1531" s="55"/>
      <c r="AE1531" s="55"/>
      <c r="AF1531" s="55"/>
      <c r="AG1531" s="55"/>
      <c r="AH1531" s="55"/>
      <c r="AI1531" s="55"/>
      <c r="AJ1531" s="55"/>
      <c r="AK1531" s="55"/>
      <c r="AL1531" s="55"/>
      <c r="AM1531" s="55"/>
      <c r="AN1531" s="55"/>
      <c r="AO1531" s="55"/>
      <c r="AP1531" s="55"/>
      <c r="AQ1531" s="55"/>
      <c r="AR1531" s="55"/>
      <c r="AS1531" s="55"/>
      <c r="AT1531" s="55"/>
      <c r="AU1531" s="55"/>
      <c r="AV1531" s="55"/>
      <c r="AW1531" s="55"/>
      <c r="AX1531" s="55"/>
      <c r="AY1531" s="55"/>
      <c r="AZ1531" s="55"/>
    </row>
    <row r="1532" spans="1:52" ht="12.75" customHeight="1" x14ac:dyDescent="0.2">
      <c r="A1532" s="55"/>
      <c r="B1532" s="76"/>
      <c r="C1532" s="77"/>
      <c r="D1532" s="77"/>
      <c r="E1532" s="55"/>
      <c r="F1532" s="55"/>
      <c r="G1532" s="55"/>
      <c r="H1532" s="55"/>
      <c r="I1532" s="55"/>
      <c r="J1532" s="55"/>
      <c r="K1532" s="55"/>
      <c r="L1532" s="55"/>
      <c r="M1532" s="55"/>
      <c r="N1532" s="55"/>
      <c r="O1532" s="55"/>
      <c r="P1532" s="55"/>
      <c r="Q1532" s="55"/>
      <c r="R1532" s="55"/>
      <c r="S1532" s="55"/>
      <c r="T1532" s="55"/>
      <c r="U1532" s="55"/>
      <c r="V1532" s="55"/>
      <c r="W1532" s="55"/>
      <c r="X1532" s="55"/>
      <c r="Y1532" s="55"/>
      <c r="Z1532" s="55"/>
      <c r="AA1532" s="55"/>
      <c r="AB1532" s="55"/>
      <c r="AC1532" s="55"/>
      <c r="AD1532" s="55"/>
      <c r="AE1532" s="55"/>
      <c r="AF1532" s="55"/>
      <c r="AG1532" s="55"/>
      <c r="AH1532" s="55"/>
      <c r="AI1532" s="55"/>
      <c r="AJ1532" s="55"/>
      <c r="AK1532" s="55"/>
      <c r="AL1532" s="55"/>
      <c r="AM1532" s="55"/>
      <c r="AN1532" s="55"/>
      <c r="AO1532" s="55"/>
      <c r="AP1532" s="55"/>
      <c r="AQ1532" s="55"/>
      <c r="AR1532" s="55"/>
      <c r="AS1532" s="55"/>
      <c r="AT1532" s="55"/>
      <c r="AU1532" s="55"/>
      <c r="AV1532" s="55"/>
      <c r="AW1532" s="55"/>
      <c r="AX1532" s="55"/>
      <c r="AY1532" s="55"/>
      <c r="AZ1532" s="55"/>
    </row>
    <row r="1533" spans="1:52" ht="12.75" customHeight="1" x14ac:dyDescent="0.2">
      <c r="A1533" s="55"/>
      <c r="B1533" s="76"/>
      <c r="C1533" s="77"/>
      <c r="D1533" s="77"/>
      <c r="E1533" s="55"/>
      <c r="F1533" s="55"/>
      <c r="G1533" s="55"/>
      <c r="H1533" s="55"/>
      <c r="I1533" s="55"/>
      <c r="J1533" s="55"/>
      <c r="K1533" s="55"/>
      <c r="L1533" s="55"/>
      <c r="M1533" s="55"/>
      <c r="N1533" s="55"/>
      <c r="O1533" s="55"/>
      <c r="P1533" s="55"/>
      <c r="Q1533" s="55"/>
      <c r="R1533" s="55"/>
      <c r="S1533" s="55"/>
      <c r="T1533" s="55"/>
      <c r="U1533" s="55"/>
      <c r="V1533" s="55"/>
      <c r="W1533" s="55"/>
      <c r="X1533" s="55"/>
      <c r="Y1533" s="55"/>
      <c r="Z1533" s="55"/>
      <c r="AA1533" s="55"/>
      <c r="AB1533" s="55"/>
      <c r="AC1533" s="55"/>
      <c r="AD1533" s="55"/>
      <c r="AE1533" s="55"/>
      <c r="AF1533" s="55"/>
      <c r="AG1533" s="55"/>
      <c r="AH1533" s="55"/>
      <c r="AI1533" s="55"/>
      <c r="AJ1533" s="55"/>
      <c r="AK1533" s="55"/>
      <c r="AL1533" s="55"/>
      <c r="AM1533" s="55"/>
      <c r="AN1533" s="55"/>
      <c r="AO1533" s="55"/>
      <c r="AP1533" s="55"/>
      <c r="AQ1533" s="55"/>
      <c r="AR1533" s="55"/>
      <c r="AS1533" s="55"/>
      <c r="AT1533" s="55"/>
      <c r="AU1533" s="55"/>
      <c r="AV1533" s="55"/>
      <c r="AW1533" s="55"/>
      <c r="AX1533" s="55"/>
      <c r="AY1533" s="55"/>
      <c r="AZ1533" s="55"/>
    </row>
    <row r="1534" spans="1:52" ht="12.75" customHeight="1" x14ac:dyDescent="0.2">
      <c r="A1534" s="55"/>
      <c r="B1534" s="76"/>
      <c r="C1534" s="77"/>
      <c r="D1534" s="77"/>
      <c r="E1534" s="55"/>
      <c r="F1534" s="55"/>
      <c r="G1534" s="55"/>
      <c r="H1534" s="55"/>
      <c r="I1534" s="55"/>
      <c r="J1534" s="55"/>
      <c r="K1534" s="55"/>
      <c r="L1534" s="55"/>
      <c r="M1534" s="55"/>
      <c r="N1534" s="55"/>
      <c r="O1534" s="55"/>
      <c r="P1534" s="55"/>
      <c r="Q1534" s="55"/>
      <c r="R1534" s="55"/>
      <c r="S1534" s="55"/>
      <c r="T1534" s="55"/>
      <c r="U1534" s="55"/>
      <c r="V1534" s="55"/>
      <c r="W1534" s="55"/>
      <c r="X1534" s="55"/>
      <c r="Y1534" s="55"/>
      <c r="Z1534" s="55"/>
      <c r="AA1534" s="55"/>
      <c r="AB1534" s="55"/>
      <c r="AC1534" s="55"/>
      <c r="AD1534" s="55"/>
      <c r="AE1534" s="55"/>
      <c r="AF1534" s="55"/>
      <c r="AG1534" s="55"/>
      <c r="AH1534" s="55"/>
      <c r="AI1534" s="55"/>
      <c r="AJ1534" s="55"/>
      <c r="AK1534" s="55"/>
      <c r="AL1534" s="55"/>
      <c r="AM1534" s="55"/>
      <c r="AN1534" s="55"/>
      <c r="AO1534" s="55"/>
      <c r="AP1534" s="55"/>
      <c r="AQ1534" s="55"/>
      <c r="AR1534" s="55"/>
      <c r="AS1534" s="55"/>
      <c r="AT1534" s="55"/>
      <c r="AU1534" s="55"/>
      <c r="AV1534" s="55"/>
      <c r="AW1534" s="55"/>
      <c r="AX1534" s="55"/>
      <c r="AY1534" s="55"/>
      <c r="AZ1534" s="55"/>
    </row>
    <row r="1535" spans="1:52" ht="12.75" customHeight="1" x14ac:dyDescent="0.2">
      <c r="A1535" s="55"/>
      <c r="B1535" s="76"/>
      <c r="C1535" s="77"/>
      <c r="D1535" s="77"/>
      <c r="E1535" s="55"/>
      <c r="F1535" s="55"/>
      <c r="G1535" s="55"/>
      <c r="H1535" s="55"/>
      <c r="I1535" s="55"/>
      <c r="J1535" s="55"/>
      <c r="K1535" s="55"/>
      <c r="L1535" s="55"/>
      <c r="M1535" s="55"/>
      <c r="N1535" s="55"/>
      <c r="O1535" s="55"/>
      <c r="P1535" s="55"/>
      <c r="Q1535" s="55"/>
      <c r="R1535" s="55"/>
      <c r="S1535" s="55"/>
      <c r="T1535" s="55"/>
      <c r="U1535" s="55"/>
      <c r="V1535" s="55"/>
      <c r="W1535" s="55"/>
      <c r="X1535" s="55"/>
      <c r="Y1535" s="55"/>
      <c r="Z1535" s="55"/>
      <c r="AA1535" s="55"/>
      <c r="AB1535" s="55"/>
      <c r="AC1535" s="55"/>
      <c r="AD1535" s="55"/>
      <c r="AE1535" s="55"/>
      <c r="AF1535" s="55"/>
      <c r="AG1535" s="55"/>
      <c r="AH1535" s="55"/>
      <c r="AI1535" s="55"/>
      <c r="AJ1535" s="55"/>
      <c r="AK1535" s="55"/>
      <c r="AL1535" s="55"/>
      <c r="AM1535" s="55"/>
      <c r="AN1535" s="55"/>
      <c r="AO1535" s="55"/>
      <c r="AP1535" s="55"/>
      <c r="AQ1535" s="55"/>
      <c r="AR1535" s="55"/>
      <c r="AS1535" s="55"/>
      <c r="AT1535" s="55"/>
      <c r="AU1535" s="55"/>
      <c r="AV1535" s="55"/>
      <c r="AW1535" s="55"/>
      <c r="AX1535" s="55"/>
      <c r="AY1535" s="55"/>
      <c r="AZ1535" s="55"/>
    </row>
    <row r="1536" spans="1:52" ht="12.75" customHeight="1" x14ac:dyDescent="0.2">
      <c r="A1536" s="55"/>
      <c r="B1536" s="76"/>
      <c r="C1536" s="77"/>
      <c r="D1536" s="77"/>
      <c r="E1536" s="55"/>
      <c r="F1536" s="55"/>
      <c r="G1536" s="55"/>
      <c r="H1536" s="55"/>
      <c r="I1536" s="55"/>
      <c r="J1536" s="55"/>
      <c r="K1536" s="55"/>
      <c r="L1536" s="55"/>
      <c r="M1536" s="55"/>
      <c r="N1536" s="55"/>
      <c r="O1536" s="55"/>
      <c r="P1536" s="55"/>
      <c r="Q1536" s="55"/>
      <c r="R1536" s="55"/>
      <c r="S1536" s="55"/>
      <c r="T1536" s="55"/>
      <c r="U1536" s="55"/>
      <c r="V1536" s="55"/>
      <c r="W1536" s="55"/>
      <c r="X1536" s="55"/>
      <c r="Y1536" s="55"/>
      <c r="Z1536" s="55"/>
      <c r="AA1536" s="55"/>
      <c r="AB1536" s="55"/>
      <c r="AC1536" s="55"/>
      <c r="AD1536" s="55"/>
      <c r="AE1536" s="55"/>
      <c r="AF1536" s="55"/>
      <c r="AG1536" s="55"/>
      <c r="AH1536" s="55"/>
      <c r="AI1536" s="55"/>
      <c r="AJ1536" s="55"/>
      <c r="AK1536" s="55"/>
      <c r="AL1536" s="55"/>
      <c r="AM1536" s="55"/>
      <c r="AN1536" s="55"/>
      <c r="AO1536" s="55"/>
      <c r="AP1536" s="55"/>
      <c r="AQ1536" s="55"/>
      <c r="AR1536" s="55"/>
      <c r="AS1536" s="55"/>
      <c r="AT1536" s="55"/>
      <c r="AU1536" s="55"/>
      <c r="AV1536" s="55"/>
      <c r="AW1536" s="55"/>
      <c r="AX1536" s="55"/>
      <c r="AY1536" s="55"/>
      <c r="AZ1536" s="55"/>
    </row>
    <row r="1537" spans="1:52" ht="12.75" customHeight="1" x14ac:dyDescent="0.2">
      <c r="A1537" s="55"/>
      <c r="B1537" s="76"/>
      <c r="C1537" s="77"/>
      <c r="D1537" s="77"/>
      <c r="E1537" s="55"/>
      <c r="F1537" s="55"/>
      <c r="G1537" s="55"/>
      <c r="H1537" s="55"/>
      <c r="I1537" s="55"/>
      <c r="J1537" s="55"/>
      <c r="K1537" s="55"/>
      <c r="L1537" s="55"/>
      <c r="M1537" s="55"/>
      <c r="N1537" s="55"/>
      <c r="O1537" s="55"/>
      <c r="P1537" s="55"/>
      <c r="Q1537" s="55"/>
      <c r="R1537" s="55"/>
      <c r="S1537" s="55"/>
      <c r="T1537" s="55"/>
      <c r="U1537" s="55"/>
      <c r="V1537" s="55"/>
      <c r="W1537" s="55"/>
      <c r="X1537" s="55"/>
      <c r="Y1537" s="55"/>
      <c r="Z1537" s="55"/>
      <c r="AA1537" s="55"/>
      <c r="AB1537" s="55"/>
      <c r="AC1537" s="55"/>
      <c r="AD1537" s="55"/>
      <c r="AE1537" s="55"/>
      <c r="AF1537" s="55"/>
      <c r="AG1537" s="55"/>
      <c r="AH1537" s="55"/>
      <c r="AI1537" s="55"/>
      <c r="AJ1537" s="55"/>
      <c r="AK1537" s="55"/>
      <c r="AL1537" s="55"/>
      <c r="AM1537" s="55"/>
      <c r="AN1537" s="55"/>
      <c r="AO1537" s="55"/>
      <c r="AP1537" s="55"/>
      <c r="AQ1537" s="55"/>
      <c r="AR1537" s="55"/>
      <c r="AS1537" s="55"/>
      <c r="AT1537" s="55"/>
      <c r="AU1537" s="55"/>
      <c r="AV1537" s="55"/>
      <c r="AW1537" s="55"/>
      <c r="AX1537" s="55"/>
      <c r="AY1537" s="55"/>
      <c r="AZ1537" s="55"/>
    </row>
    <row r="1538" spans="1:52" ht="12.75" customHeight="1" x14ac:dyDescent="0.2">
      <c r="A1538" s="55"/>
      <c r="B1538" s="76"/>
      <c r="C1538" s="77"/>
      <c r="D1538" s="77"/>
      <c r="E1538" s="55"/>
      <c r="F1538" s="55"/>
      <c r="G1538" s="55"/>
      <c r="H1538" s="55"/>
      <c r="I1538" s="55"/>
      <c r="J1538" s="55"/>
      <c r="K1538" s="55"/>
      <c r="L1538" s="55"/>
      <c r="M1538" s="55"/>
      <c r="N1538" s="55"/>
      <c r="O1538" s="55"/>
      <c r="P1538" s="55"/>
      <c r="Q1538" s="55"/>
      <c r="R1538" s="55"/>
      <c r="S1538" s="55"/>
      <c r="T1538" s="55"/>
      <c r="U1538" s="55"/>
      <c r="V1538" s="55"/>
      <c r="W1538" s="55"/>
      <c r="X1538" s="55"/>
      <c r="Y1538" s="55"/>
      <c r="Z1538" s="55"/>
      <c r="AA1538" s="55"/>
      <c r="AB1538" s="55"/>
      <c r="AC1538" s="55"/>
      <c r="AD1538" s="55"/>
      <c r="AE1538" s="55"/>
      <c r="AF1538" s="55"/>
      <c r="AG1538" s="55"/>
      <c r="AH1538" s="55"/>
      <c r="AI1538" s="55"/>
      <c r="AJ1538" s="55"/>
      <c r="AK1538" s="55"/>
      <c r="AL1538" s="55"/>
      <c r="AM1538" s="55"/>
      <c r="AN1538" s="55"/>
      <c r="AO1538" s="55"/>
      <c r="AP1538" s="55"/>
      <c r="AQ1538" s="55"/>
      <c r="AR1538" s="55"/>
      <c r="AS1538" s="55"/>
      <c r="AT1538" s="55"/>
      <c r="AU1538" s="55"/>
      <c r="AV1538" s="55"/>
      <c r="AW1538" s="55"/>
      <c r="AX1538" s="55"/>
      <c r="AY1538" s="55"/>
      <c r="AZ1538" s="55"/>
    </row>
    <row r="1539" spans="1:52" ht="12.75" customHeight="1" x14ac:dyDescent="0.2">
      <c r="A1539" s="55"/>
      <c r="B1539" s="76"/>
      <c r="C1539" s="77"/>
      <c r="D1539" s="77"/>
      <c r="E1539" s="55"/>
      <c r="F1539" s="55"/>
      <c r="G1539" s="55"/>
      <c r="H1539" s="55"/>
      <c r="I1539" s="55"/>
      <c r="J1539" s="55"/>
      <c r="K1539" s="55"/>
      <c r="L1539" s="55"/>
      <c r="M1539" s="55"/>
      <c r="N1539" s="55"/>
      <c r="O1539" s="55"/>
      <c r="P1539" s="55"/>
      <c r="Q1539" s="55"/>
      <c r="R1539" s="55"/>
      <c r="S1539" s="55"/>
      <c r="T1539" s="55"/>
      <c r="U1539" s="55"/>
      <c r="V1539" s="55"/>
      <c r="W1539" s="55"/>
      <c r="X1539" s="55"/>
      <c r="Y1539" s="55"/>
      <c r="Z1539" s="55"/>
      <c r="AA1539" s="55"/>
      <c r="AB1539" s="55"/>
      <c r="AC1539" s="55"/>
      <c r="AD1539" s="55"/>
      <c r="AE1539" s="55"/>
      <c r="AF1539" s="55"/>
      <c r="AG1539" s="55"/>
      <c r="AH1539" s="55"/>
      <c r="AI1539" s="55"/>
      <c r="AJ1539" s="55"/>
      <c r="AK1539" s="55"/>
      <c r="AL1539" s="55"/>
      <c r="AM1539" s="55"/>
      <c r="AN1539" s="55"/>
      <c r="AO1539" s="55"/>
      <c r="AP1539" s="55"/>
      <c r="AQ1539" s="55"/>
      <c r="AR1539" s="55"/>
      <c r="AS1539" s="55"/>
      <c r="AT1539" s="55"/>
      <c r="AU1539" s="55"/>
      <c r="AV1539" s="55"/>
      <c r="AW1539" s="55"/>
      <c r="AX1539" s="55"/>
      <c r="AY1539" s="55"/>
      <c r="AZ1539" s="55"/>
    </row>
    <row r="1540" spans="1:52" ht="12.75" customHeight="1" x14ac:dyDescent="0.2">
      <c r="A1540" s="55"/>
      <c r="B1540" s="76"/>
      <c r="C1540" s="77"/>
      <c r="D1540" s="77"/>
      <c r="E1540" s="55"/>
      <c r="F1540" s="55"/>
      <c r="G1540" s="55"/>
      <c r="H1540" s="55"/>
      <c r="I1540" s="55"/>
      <c r="J1540" s="55"/>
      <c r="K1540" s="55"/>
      <c r="L1540" s="55"/>
      <c r="M1540" s="55"/>
      <c r="N1540" s="55"/>
      <c r="O1540" s="55"/>
      <c r="P1540" s="55"/>
      <c r="Q1540" s="55"/>
      <c r="R1540" s="55"/>
      <c r="S1540" s="55"/>
      <c r="T1540" s="55"/>
      <c r="U1540" s="55"/>
      <c r="V1540" s="55"/>
      <c r="W1540" s="55"/>
      <c r="X1540" s="55"/>
      <c r="Y1540" s="55"/>
      <c r="Z1540" s="55"/>
      <c r="AA1540" s="55"/>
      <c r="AB1540" s="55"/>
      <c r="AC1540" s="55"/>
      <c r="AD1540" s="55"/>
      <c r="AE1540" s="55"/>
      <c r="AF1540" s="55"/>
      <c r="AG1540" s="55"/>
      <c r="AH1540" s="55"/>
      <c r="AI1540" s="55"/>
      <c r="AJ1540" s="55"/>
      <c r="AK1540" s="55"/>
      <c r="AL1540" s="55"/>
      <c r="AM1540" s="55"/>
      <c r="AN1540" s="55"/>
      <c r="AO1540" s="55"/>
      <c r="AP1540" s="55"/>
      <c r="AQ1540" s="55"/>
      <c r="AR1540" s="55"/>
      <c r="AS1540" s="55"/>
      <c r="AT1540" s="55"/>
      <c r="AU1540" s="55"/>
      <c r="AV1540" s="55"/>
      <c r="AW1540" s="55"/>
      <c r="AX1540" s="55"/>
      <c r="AY1540" s="55"/>
      <c r="AZ1540" s="55"/>
    </row>
    <row r="1541" spans="1:52" ht="12.75" customHeight="1" x14ac:dyDescent="0.2">
      <c r="A1541" s="55"/>
      <c r="B1541" s="76"/>
      <c r="C1541" s="77"/>
      <c r="D1541" s="77"/>
      <c r="E1541" s="55"/>
      <c r="F1541" s="55"/>
      <c r="G1541" s="55"/>
      <c r="H1541" s="55"/>
      <c r="I1541" s="55"/>
      <c r="J1541" s="55"/>
      <c r="K1541" s="55"/>
      <c r="L1541" s="55"/>
      <c r="M1541" s="55"/>
      <c r="N1541" s="55"/>
      <c r="O1541" s="55"/>
      <c r="P1541" s="55"/>
      <c r="Q1541" s="55"/>
      <c r="R1541" s="55"/>
      <c r="S1541" s="55"/>
      <c r="T1541" s="55"/>
      <c r="U1541" s="55"/>
      <c r="V1541" s="55"/>
      <c r="W1541" s="55"/>
      <c r="X1541" s="55"/>
      <c r="Y1541" s="55"/>
      <c r="Z1541" s="55"/>
      <c r="AA1541" s="55"/>
      <c r="AB1541" s="55"/>
      <c r="AC1541" s="55"/>
      <c r="AD1541" s="55"/>
      <c r="AE1541" s="55"/>
      <c r="AF1541" s="55"/>
      <c r="AG1541" s="55"/>
      <c r="AH1541" s="55"/>
      <c r="AI1541" s="55"/>
      <c r="AJ1541" s="55"/>
      <c r="AK1541" s="55"/>
      <c r="AL1541" s="55"/>
      <c r="AM1541" s="55"/>
      <c r="AN1541" s="55"/>
      <c r="AO1541" s="55"/>
      <c r="AP1541" s="55"/>
      <c r="AQ1541" s="55"/>
      <c r="AR1541" s="55"/>
      <c r="AS1541" s="55"/>
      <c r="AT1541" s="55"/>
      <c r="AU1541" s="55"/>
      <c r="AV1541" s="55"/>
      <c r="AW1541" s="55"/>
      <c r="AX1541" s="55"/>
      <c r="AY1541" s="55"/>
      <c r="AZ1541" s="55"/>
    </row>
    <row r="1542" spans="1:52" ht="12.75" customHeight="1" x14ac:dyDescent="0.2">
      <c r="A1542" s="55"/>
      <c r="B1542" s="76"/>
      <c r="C1542" s="77"/>
      <c r="D1542" s="77"/>
      <c r="E1542" s="55"/>
      <c r="F1542" s="55"/>
      <c r="G1542" s="55"/>
      <c r="H1542" s="55"/>
      <c r="I1542" s="55"/>
      <c r="J1542" s="55"/>
      <c r="K1542" s="55"/>
      <c r="L1542" s="55"/>
      <c r="M1542" s="55"/>
      <c r="N1542" s="55"/>
      <c r="O1542" s="55"/>
      <c r="P1542" s="55"/>
      <c r="Q1542" s="55"/>
      <c r="R1542" s="55"/>
      <c r="S1542" s="55"/>
      <c r="T1542" s="55"/>
      <c r="U1542" s="55"/>
      <c r="V1542" s="55"/>
      <c r="W1542" s="55"/>
      <c r="X1542" s="55"/>
      <c r="Y1542" s="55"/>
      <c r="Z1542" s="55"/>
      <c r="AA1542" s="55"/>
      <c r="AB1542" s="55"/>
      <c r="AC1542" s="55"/>
      <c r="AD1542" s="55"/>
      <c r="AE1542" s="55"/>
      <c r="AF1542" s="55"/>
      <c r="AG1542" s="55"/>
      <c r="AH1542" s="55"/>
      <c r="AI1542" s="55"/>
      <c r="AJ1542" s="55"/>
      <c r="AK1542" s="55"/>
      <c r="AL1542" s="55"/>
      <c r="AM1542" s="55"/>
      <c r="AN1542" s="55"/>
      <c r="AO1542" s="55"/>
      <c r="AP1542" s="55"/>
      <c r="AQ1542" s="55"/>
      <c r="AR1542" s="55"/>
      <c r="AS1542" s="55"/>
      <c r="AT1542" s="55"/>
      <c r="AU1542" s="55"/>
      <c r="AV1542" s="55"/>
      <c r="AW1542" s="55"/>
      <c r="AX1542" s="55"/>
      <c r="AY1542" s="55"/>
      <c r="AZ1542" s="55"/>
    </row>
    <row r="1543" spans="1:52" ht="12.75" customHeight="1" x14ac:dyDescent="0.2">
      <c r="A1543" s="55"/>
      <c r="B1543" s="76"/>
      <c r="C1543" s="77"/>
      <c r="D1543" s="77"/>
      <c r="E1543" s="55"/>
      <c r="F1543" s="55"/>
      <c r="G1543" s="55"/>
      <c r="H1543" s="55"/>
      <c r="I1543" s="55"/>
      <c r="J1543" s="55"/>
      <c r="K1543" s="55"/>
      <c r="L1543" s="55"/>
      <c r="M1543" s="55"/>
      <c r="N1543" s="55"/>
      <c r="O1543" s="55"/>
      <c r="P1543" s="55"/>
      <c r="Q1543" s="55"/>
      <c r="R1543" s="55"/>
      <c r="S1543" s="55"/>
      <c r="T1543" s="55"/>
      <c r="U1543" s="55"/>
      <c r="V1543" s="55"/>
      <c r="W1543" s="55"/>
      <c r="X1543" s="55"/>
      <c r="Y1543" s="55"/>
      <c r="Z1543" s="55"/>
      <c r="AA1543" s="55"/>
      <c r="AB1543" s="55"/>
      <c r="AC1543" s="55"/>
      <c r="AD1543" s="55"/>
      <c r="AE1543" s="55"/>
      <c r="AF1543" s="55"/>
      <c r="AG1543" s="55"/>
      <c r="AH1543" s="55"/>
      <c r="AI1543" s="55"/>
      <c r="AJ1543" s="55"/>
      <c r="AK1543" s="55"/>
      <c r="AL1543" s="55"/>
      <c r="AM1543" s="55"/>
      <c r="AN1543" s="55"/>
      <c r="AO1543" s="55"/>
      <c r="AP1543" s="55"/>
      <c r="AQ1543" s="55"/>
      <c r="AR1543" s="55"/>
      <c r="AS1543" s="55"/>
      <c r="AT1543" s="55"/>
      <c r="AU1543" s="55"/>
      <c r="AV1543" s="55"/>
      <c r="AW1543" s="55"/>
      <c r="AX1543" s="55"/>
      <c r="AY1543" s="55"/>
      <c r="AZ1543" s="55"/>
    </row>
    <row r="1544" spans="1:52" ht="12.75" customHeight="1" x14ac:dyDescent="0.2">
      <c r="A1544" s="55"/>
      <c r="B1544" s="76"/>
      <c r="C1544" s="77"/>
      <c r="D1544" s="77"/>
      <c r="E1544" s="55"/>
      <c r="F1544" s="55"/>
      <c r="G1544" s="55"/>
      <c r="H1544" s="55"/>
      <c r="I1544" s="55"/>
      <c r="J1544" s="55"/>
      <c r="K1544" s="55"/>
      <c r="L1544" s="55"/>
      <c r="M1544" s="55"/>
      <c r="N1544" s="55"/>
      <c r="O1544" s="55"/>
      <c r="P1544" s="55"/>
      <c r="Q1544" s="55"/>
      <c r="R1544" s="55"/>
      <c r="S1544" s="55"/>
      <c r="T1544" s="55"/>
      <c r="U1544" s="55"/>
      <c r="V1544" s="55"/>
      <c r="W1544" s="55"/>
      <c r="X1544" s="55"/>
      <c r="Y1544" s="55"/>
      <c r="Z1544" s="55"/>
      <c r="AA1544" s="55"/>
      <c r="AB1544" s="55"/>
      <c r="AC1544" s="55"/>
      <c r="AD1544" s="55"/>
      <c r="AE1544" s="55"/>
      <c r="AF1544" s="55"/>
      <c r="AG1544" s="55"/>
      <c r="AH1544" s="55"/>
      <c r="AI1544" s="55"/>
      <c r="AJ1544" s="55"/>
      <c r="AK1544" s="55"/>
      <c r="AL1544" s="55"/>
      <c r="AM1544" s="55"/>
      <c r="AN1544" s="55"/>
      <c r="AO1544" s="55"/>
      <c r="AP1544" s="55"/>
      <c r="AQ1544" s="55"/>
      <c r="AR1544" s="55"/>
      <c r="AS1544" s="55"/>
      <c r="AT1544" s="55"/>
      <c r="AU1544" s="55"/>
      <c r="AV1544" s="55"/>
      <c r="AW1544" s="55"/>
      <c r="AX1544" s="55"/>
      <c r="AY1544" s="55"/>
      <c r="AZ1544" s="55"/>
    </row>
    <row r="1545" spans="1:52" ht="12.75" customHeight="1" x14ac:dyDescent="0.2">
      <c r="A1545" s="55"/>
      <c r="B1545" s="76"/>
      <c r="C1545" s="77"/>
      <c r="D1545" s="77"/>
      <c r="E1545" s="55"/>
      <c r="F1545" s="55"/>
      <c r="G1545" s="55"/>
      <c r="H1545" s="55"/>
      <c r="I1545" s="55"/>
      <c r="J1545" s="55"/>
      <c r="K1545" s="55"/>
      <c r="L1545" s="55"/>
      <c r="M1545" s="55"/>
      <c r="N1545" s="55"/>
      <c r="O1545" s="55"/>
      <c r="P1545" s="55"/>
      <c r="Q1545" s="55"/>
      <c r="R1545" s="55"/>
      <c r="S1545" s="55"/>
      <c r="T1545" s="55"/>
      <c r="U1545" s="55"/>
      <c r="V1545" s="55"/>
      <c r="W1545" s="55"/>
      <c r="X1545" s="55"/>
      <c r="Y1545" s="55"/>
      <c r="Z1545" s="55"/>
      <c r="AA1545" s="55"/>
      <c r="AB1545" s="55"/>
      <c r="AC1545" s="55"/>
      <c r="AD1545" s="55"/>
      <c r="AE1545" s="55"/>
      <c r="AF1545" s="55"/>
      <c r="AG1545" s="55"/>
      <c r="AH1545" s="55"/>
      <c r="AI1545" s="55"/>
      <c r="AJ1545" s="55"/>
      <c r="AK1545" s="55"/>
      <c r="AL1545" s="55"/>
      <c r="AM1545" s="55"/>
      <c r="AN1545" s="55"/>
      <c r="AO1545" s="55"/>
      <c r="AP1545" s="55"/>
      <c r="AQ1545" s="55"/>
      <c r="AR1545" s="55"/>
      <c r="AS1545" s="55"/>
      <c r="AT1545" s="55"/>
      <c r="AU1545" s="55"/>
      <c r="AV1545" s="55"/>
      <c r="AW1545" s="55"/>
      <c r="AX1545" s="55"/>
      <c r="AY1545" s="55"/>
      <c r="AZ1545" s="55"/>
    </row>
    <row r="1546" spans="1:52" ht="12.75" customHeight="1" x14ac:dyDescent="0.2">
      <c r="A1546" s="55"/>
      <c r="B1546" s="76"/>
      <c r="C1546" s="77"/>
      <c r="D1546" s="77"/>
      <c r="E1546" s="55"/>
      <c r="F1546" s="55"/>
      <c r="G1546" s="55"/>
      <c r="H1546" s="55"/>
      <c r="I1546" s="55"/>
      <c r="J1546" s="55"/>
      <c r="K1546" s="55"/>
      <c r="L1546" s="55"/>
      <c r="M1546" s="55"/>
      <c r="N1546" s="55"/>
      <c r="O1546" s="55"/>
      <c r="P1546" s="55"/>
      <c r="Q1546" s="55"/>
      <c r="R1546" s="55"/>
      <c r="S1546" s="55"/>
      <c r="T1546" s="55"/>
      <c r="U1546" s="55"/>
      <c r="V1546" s="55"/>
      <c r="W1546" s="55"/>
      <c r="X1546" s="55"/>
      <c r="Y1546" s="55"/>
      <c r="Z1546" s="55"/>
      <c r="AA1546" s="55"/>
      <c r="AB1546" s="55"/>
      <c r="AC1546" s="55"/>
      <c r="AD1546" s="55"/>
      <c r="AE1546" s="55"/>
      <c r="AF1546" s="55"/>
      <c r="AG1546" s="55"/>
      <c r="AH1546" s="55"/>
      <c r="AI1546" s="55"/>
      <c r="AJ1546" s="55"/>
      <c r="AK1546" s="55"/>
      <c r="AL1546" s="55"/>
      <c r="AM1546" s="55"/>
      <c r="AN1546" s="55"/>
      <c r="AO1546" s="55"/>
      <c r="AP1546" s="55"/>
      <c r="AQ1546" s="55"/>
      <c r="AR1546" s="55"/>
      <c r="AS1546" s="55"/>
      <c r="AT1546" s="55"/>
      <c r="AU1546" s="55"/>
      <c r="AV1546" s="55"/>
      <c r="AW1546" s="55"/>
      <c r="AX1546" s="55"/>
      <c r="AY1546" s="55"/>
      <c r="AZ1546" s="55"/>
    </row>
    <row r="1547" spans="1:52" ht="12.75" customHeight="1" x14ac:dyDescent="0.2">
      <c r="A1547" s="55"/>
      <c r="B1547" s="76"/>
      <c r="C1547" s="77"/>
      <c r="D1547" s="77"/>
      <c r="E1547" s="55"/>
      <c r="F1547" s="55"/>
      <c r="G1547" s="55"/>
      <c r="H1547" s="55"/>
      <c r="I1547" s="55"/>
      <c r="J1547" s="55"/>
      <c r="K1547" s="55"/>
      <c r="L1547" s="55"/>
      <c r="M1547" s="55"/>
      <c r="N1547" s="55"/>
      <c r="O1547" s="55"/>
      <c r="P1547" s="55"/>
      <c r="Q1547" s="55"/>
      <c r="R1547" s="55"/>
      <c r="S1547" s="55"/>
      <c r="T1547" s="55"/>
      <c r="U1547" s="55"/>
      <c r="V1547" s="55"/>
      <c r="W1547" s="55"/>
      <c r="X1547" s="55"/>
      <c r="Y1547" s="55"/>
      <c r="Z1547" s="55"/>
      <c r="AA1547" s="55"/>
      <c r="AB1547" s="55"/>
      <c r="AC1547" s="55"/>
      <c r="AD1547" s="55"/>
      <c r="AE1547" s="55"/>
      <c r="AF1547" s="55"/>
      <c r="AG1547" s="55"/>
      <c r="AH1547" s="55"/>
      <c r="AI1547" s="55"/>
      <c r="AJ1547" s="55"/>
      <c r="AK1547" s="55"/>
      <c r="AL1547" s="55"/>
      <c r="AM1547" s="55"/>
      <c r="AN1547" s="55"/>
      <c r="AO1547" s="55"/>
      <c r="AP1547" s="55"/>
      <c r="AQ1547" s="55"/>
      <c r="AR1547" s="55"/>
      <c r="AS1547" s="55"/>
      <c r="AT1547" s="55"/>
      <c r="AU1547" s="55"/>
      <c r="AV1547" s="55"/>
      <c r="AW1547" s="55"/>
      <c r="AX1547" s="55"/>
      <c r="AY1547" s="55"/>
      <c r="AZ1547" s="55"/>
    </row>
    <row r="1548" spans="1:52" ht="12.75" customHeight="1" x14ac:dyDescent="0.2">
      <c r="A1548" s="55"/>
      <c r="B1548" s="76"/>
      <c r="C1548" s="77"/>
      <c r="D1548" s="77"/>
      <c r="E1548" s="55"/>
      <c r="F1548" s="55"/>
      <c r="G1548" s="55"/>
      <c r="H1548" s="55"/>
      <c r="I1548" s="55"/>
      <c r="J1548" s="55"/>
      <c r="K1548" s="55"/>
      <c r="L1548" s="55"/>
      <c r="M1548" s="55"/>
      <c r="N1548" s="55"/>
      <c r="O1548" s="55"/>
      <c r="P1548" s="55"/>
      <c r="Q1548" s="55"/>
      <c r="R1548" s="55"/>
      <c r="S1548" s="55"/>
      <c r="T1548" s="55"/>
      <c r="U1548" s="55"/>
      <c r="V1548" s="55"/>
      <c r="W1548" s="55"/>
      <c r="X1548" s="55"/>
      <c r="Y1548" s="55"/>
      <c r="Z1548" s="55"/>
      <c r="AA1548" s="55"/>
      <c r="AB1548" s="55"/>
      <c r="AC1548" s="55"/>
      <c r="AD1548" s="55"/>
      <c r="AE1548" s="55"/>
      <c r="AF1548" s="55"/>
      <c r="AG1548" s="55"/>
      <c r="AH1548" s="55"/>
      <c r="AI1548" s="55"/>
      <c r="AJ1548" s="55"/>
      <c r="AK1548" s="55"/>
      <c r="AL1548" s="55"/>
      <c r="AM1548" s="55"/>
      <c r="AN1548" s="55"/>
      <c r="AO1548" s="55"/>
      <c r="AP1548" s="55"/>
      <c r="AQ1548" s="55"/>
      <c r="AR1548" s="55"/>
      <c r="AS1548" s="55"/>
      <c r="AT1548" s="55"/>
      <c r="AU1548" s="55"/>
      <c r="AV1548" s="55"/>
      <c r="AW1548" s="55"/>
      <c r="AX1548" s="55"/>
      <c r="AY1548" s="55"/>
      <c r="AZ1548" s="55"/>
    </row>
    <row r="1549" spans="1:52" ht="12.75" customHeight="1" x14ac:dyDescent="0.2">
      <c r="A1549" s="55"/>
      <c r="B1549" s="76"/>
      <c r="C1549" s="77"/>
      <c r="D1549" s="77"/>
      <c r="E1549" s="55"/>
      <c r="F1549" s="55"/>
      <c r="G1549" s="55"/>
      <c r="H1549" s="55"/>
      <c r="I1549" s="55"/>
      <c r="J1549" s="55"/>
      <c r="K1549" s="55"/>
      <c r="L1549" s="55"/>
      <c r="M1549" s="55"/>
      <c r="N1549" s="55"/>
      <c r="O1549" s="55"/>
      <c r="P1549" s="55"/>
      <c r="Q1549" s="55"/>
      <c r="R1549" s="55"/>
      <c r="S1549" s="55"/>
      <c r="T1549" s="55"/>
      <c r="U1549" s="55"/>
      <c r="V1549" s="55"/>
      <c r="W1549" s="55"/>
      <c r="X1549" s="55"/>
      <c r="Y1549" s="55"/>
      <c r="Z1549" s="55"/>
      <c r="AA1549" s="55"/>
      <c r="AB1549" s="55"/>
      <c r="AC1549" s="55"/>
      <c r="AD1549" s="55"/>
      <c r="AE1549" s="55"/>
      <c r="AF1549" s="55"/>
      <c r="AG1549" s="55"/>
      <c r="AH1549" s="55"/>
      <c r="AI1549" s="55"/>
      <c r="AJ1549" s="55"/>
      <c r="AK1549" s="55"/>
      <c r="AL1549" s="55"/>
      <c r="AM1549" s="55"/>
      <c r="AN1549" s="55"/>
      <c r="AO1549" s="55"/>
      <c r="AP1549" s="55"/>
      <c r="AQ1549" s="55"/>
      <c r="AR1549" s="55"/>
      <c r="AS1549" s="55"/>
      <c r="AT1549" s="55"/>
      <c r="AU1549" s="55"/>
      <c r="AV1549" s="55"/>
      <c r="AW1549" s="55"/>
      <c r="AX1549" s="55"/>
      <c r="AY1549" s="55"/>
      <c r="AZ1549" s="55"/>
    </row>
    <row r="1550" spans="1:52" ht="12.75" customHeight="1" x14ac:dyDescent="0.2">
      <c r="A1550" s="55"/>
      <c r="B1550" s="76"/>
      <c r="C1550" s="77"/>
      <c r="D1550" s="77"/>
      <c r="E1550" s="55"/>
      <c r="F1550" s="55"/>
      <c r="G1550" s="55"/>
      <c r="H1550" s="55"/>
      <c r="I1550" s="55"/>
      <c r="J1550" s="55"/>
      <c r="K1550" s="55"/>
      <c r="L1550" s="55"/>
      <c r="M1550" s="55"/>
      <c r="N1550" s="55"/>
      <c r="O1550" s="55"/>
      <c r="P1550" s="55"/>
      <c r="Q1550" s="55"/>
      <c r="R1550" s="55"/>
      <c r="S1550" s="55"/>
      <c r="T1550" s="55"/>
      <c r="U1550" s="55"/>
      <c r="V1550" s="55"/>
      <c r="W1550" s="55"/>
      <c r="X1550" s="55"/>
      <c r="Y1550" s="55"/>
      <c r="Z1550" s="55"/>
      <c r="AA1550" s="55"/>
      <c r="AB1550" s="55"/>
      <c r="AC1550" s="55"/>
      <c r="AD1550" s="55"/>
      <c r="AE1550" s="55"/>
      <c r="AF1550" s="55"/>
      <c r="AG1550" s="55"/>
      <c r="AH1550" s="55"/>
      <c r="AI1550" s="55"/>
      <c r="AJ1550" s="55"/>
      <c r="AK1550" s="55"/>
      <c r="AL1550" s="55"/>
      <c r="AM1550" s="55"/>
      <c r="AN1550" s="55"/>
      <c r="AO1550" s="55"/>
      <c r="AP1550" s="55"/>
      <c r="AQ1550" s="55"/>
      <c r="AR1550" s="55"/>
      <c r="AS1550" s="55"/>
      <c r="AT1550" s="55"/>
      <c r="AU1550" s="55"/>
      <c r="AV1550" s="55"/>
      <c r="AW1550" s="55"/>
      <c r="AX1550" s="55"/>
      <c r="AY1550" s="55"/>
      <c r="AZ1550" s="55"/>
    </row>
    <row r="1551" spans="1:52" ht="12.75" customHeight="1" x14ac:dyDescent="0.2">
      <c r="A1551" s="55"/>
      <c r="B1551" s="76"/>
      <c r="C1551" s="77"/>
      <c r="D1551" s="77"/>
      <c r="E1551" s="55"/>
      <c r="F1551" s="55"/>
      <c r="G1551" s="55"/>
      <c r="H1551" s="55"/>
      <c r="I1551" s="55"/>
      <c r="J1551" s="55"/>
      <c r="K1551" s="55"/>
      <c r="L1551" s="55"/>
      <c r="M1551" s="55"/>
      <c r="N1551" s="55"/>
      <c r="O1551" s="55"/>
      <c r="P1551" s="55"/>
      <c r="Q1551" s="55"/>
      <c r="R1551" s="55"/>
      <c r="S1551" s="55"/>
      <c r="T1551" s="55"/>
      <c r="U1551" s="55"/>
      <c r="V1551" s="55"/>
      <c r="W1551" s="55"/>
      <c r="X1551" s="55"/>
      <c r="Y1551" s="55"/>
      <c r="Z1551" s="55"/>
      <c r="AA1551" s="55"/>
      <c r="AB1551" s="55"/>
      <c r="AC1551" s="55"/>
      <c r="AD1551" s="55"/>
      <c r="AE1551" s="55"/>
      <c r="AF1551" s="55"/>
      <c r="AG1551" s="55"/>
      <c r="AH1551" s="55"/>
      <c r="AI1551" s="55"/>
      <c r="AJ1551" s="55"/>
      <c r="AK1551" s="55"/>
      <c r="AL1551" s="55"/>
      <c r="AM1551" s="55"/>
      <c r="AN1551" s="55"/>
      <c r="AO1551" s="55"/>
      <c r="AP1551" s="55"/>
      <c r="AQ1551" s="55"/>
      <c r="AR1551" s="55"/>
      <c r="AS1551" s="55"/>
      <c r="AT1551" s="55"/>
      <c r="AU1551" s="55"/>
      <c r="AV1551" s="55"/>
      <c r="AW1551" s="55"/>
      <c r="AX1551" s="55"/>
      <c r="AY1551" s="55"/>
      <c r="AZ1551" s="55"/>
    </row>
    <row r="1552" spans="1:52" ht="12.75" customHeight="1" x14ac:dyDescent="0.2">
      <c r="A1552" s="55"/>
      <c r="B1552" s="76"/>
      <c r="C1552" s="77"/>
      <c r="D1552" s="77"/>
      <c r="E1552" s="55"/>
      <c r="F1552" s="55"/>
      <c r="G1552" s="55"/>
      <c r="H1552" s="55"/>
      <c r="I1552" s="55"/>
      <c r="J1552" s="55"/>
      <c r="K1552" s="55"/>
      <c r="L1552" s="55"/>
      <c r="M1552" s="55"/>
      <c r="N1552" s="55"/>
      <c r="O1552" s="55"/>
      <c r="P1552" s="55"/>
      <c r="Q1552" s="55"/>
      <c r="R1552" s="55"/>
      <c r="S1552" s="55"/>
      <c r="T1552" s="55"/>
      <c r="U1552" s="55"/>
      <c r="V1552" s="55"/>
      <c r="W1552" s="55"/>
      <c r="X1552" s="55"/>
      <c r="Y1552" s="55"/>
      <c r="Z1552" s="55"/>
      <c r="AA1552" s="55"/>
      <c r="AB1552" s="55"/>
      <c r="AC1552" s="55"/>
      <c r="AD1552" s="55"/>
      <c r="AE1552" s="55"/>
      <c r="AF1552" s="55"/>
      <c r="AG1552" s="55"/>
      <c r="AH1552" s="55"/>
      <c r="AI1552" s="55"/>
      <c r="AJ1552" s="55"/>
      <c r="AK1552" s="55"/>
      <c r="AL1552" s="55"/>
      <c r="AM1552" s="55"/>
      <c r="AN1552" s="55"/>
      <c r="AO1552" s="55"/>
      <c r="AP1552" s="55"/>
      <c r="AQ1552" s="55"/>
      <c r="AR1552" s="55"/>
      <c r="AS1552" s="55"/>
      <c r="AT1552" s="55"/>
      <c r="AU1552" s="55"/>
      <c r="AV1552" s="55"/>
      <c r="AW1552" s="55"/>
      <c r="AX1552" s="55"/>
      <c r="AY1552" s="55"/>
      <c r="AZ1552" s="55"/>
    </row>
    <row r="1553" spans="1:52" ht="12.75" customHeight="1" x14ac:dyDescent="0.2">
      <c r="A1553" s="55"/>
      <c r="B1553" s="76"/>
      <c r="C1553" s="77"/>
      <c r="D1553" s="77"/>
      <c r="E1553" s="55"/>
      <c r="F1553" s="55"/>
      <c r="G1553" s="55"/>
      <c r="H1553" s="55"/>
      <c r="I1553" s="55"/>
      <c r="J1553" s="55"/>
      <c r="K1553" s="55"/>
      <c r="L1553" s="55"/>
      <c r="M1553" s="55"/>
      <c r="N1553" s="55"/>
      <c r="O1553" s="55"/>
      <c r="P1553" s="55"/>
      <c r="Q1553" s="55"/>
      <c r="R1553" s="55"/>
      <c r="S1553" s="55"/>
      <c r="T1553" s="55"/>
      <c r="U1553" s="55"/>
      <c r="V1553" s="55"/>
      <c r="W1553" s="55"/>
      <c r="X1553" s="55"/>
      <c r="Y1553" s="55"/>
      <c r="Z1553" s="55"/>
      <c r="AA1553" s="55"/>
      <c r="AB1553" s="55"/>
      <c r="AC1553" s="55"/>
      <c r="AD1553" s="55"/>
      <c r="AE1553" s="55"/>
      <c r="AF1553" s="55"/>
      <c r="AG1553" s="55"/>
      <c r="AH1553" s="55"/>
      <c r="AI1553" s="55"/>
      <c r="AJ1553" s="55"/>
      <c r="AK1553" s="55"/>
      <c r="AL1553" s="55"/>
      <c r="AM1553" s="55"/>
      <c r="AN1553" s="55"/>
      <c r="AO1553" s="55"/>
      <c r="AP1553" s="55"/>
      <c r="AQ1553" s="55"/>
      <c r="AR1553" s="55"/>
      <c r="AS1553" s="55"/>
      <c r="AT1553" s="55"/>
      <c r="AU1553" s="55"/>
      <c r="AV1553" s="55"/>
      <c r="AW1553" s="55"/>
      <c r="AX1553" s="55"/>
      <c r="AY1553" s="55"/>
      <c r="AZ1553" s="55"/>
    </row>
    <row r="1554" spans="1:52" ht="12.75" customHeight="1" x14ac:dyDescent="0.2">
      <c r="A1554" s="55"/>
      <c r="B1554" s="76"/>
      <c r="C1554" s="77"/>
      <c r="D1554" s="77"/>
      <c r="E1554" s="55"/>
      <c r="F1554" s="55"/>
      <c r="G1554" s="55"/>
      <c r="H1554" s="55"/>
      <c r="I1554" s="55"/>
      <c r="J1554" s="55"/>
      <c r="K1554" s="55"/>
      <c r="L1554" s="55"/>
      <c r="M1554" s="55"/>
      <c r="N1554" s="55"/>
      <c r="O1554" s="55"/>
      <c r="P1554" s="55"/>
      <c r="Q1554" s="55"/>
      <c r="R1554" s="55"/>
      <c r="S1554" s="55"/>
      <c r="T1554" s="55"/>
      <c r="U1554" s="55"/>
      <c r="V1554" s="55"/>
      <c r="W1554" s="55"/>
      <c r="X1554" s="55"/>
      <c r="Y1554" s="55"/>
      <c r="Z1554" s="55"/>
      <c r="AA1554" s="55"/>
      <c r="AB1554" s="55"/>
      <c r="AC1554" s="55"/>
      <c r="AD1554" s="55"/>
      <c r="AE1554" s="55"/>
      <c r="AF1554" s="55"/>
      <c r="AG1554" s="55"/>
      <c r="AH1554" s="55"/>
      <c r="AI1554" s="55"/>
      <c r="AJ1554" s="55"/>
      <c r="AK1554" s="55"/>
      <c r="AL1554" s="55"/>
      <c r="AM1554" s="55"/>
      <c r="AN1554" s="55"/>
      <c r="AO1554" s="55"/>
      <c r="AP1554" s="55"/>
      <c r="AQ1554" s="55"/>
      <c r="AR1554" s="55"/>
      <c r="AS1554" s="55"/>
      <c r="AT1554" s="55"/>
      <c r="AU1554" s="55"/>
      <c r="AV1554" s="55"/>
      <c r="AW1554" s="55"/>
      <c r="AX1554" s="55"/>
      <c r="AY1554" s="55"/>
      <c r="AZ1554" s="55"/>
    </row>
    <row r="1555" spans="1:52" ht="12.75" customHeight="1" x14ac:dyDescent="0.2">
      <c r="A1555" s="55"/>
      <c r="B1555" s="76"/>
      <c r="C1555" s="77"/>
      <c r="D1555" s="77"/>
      <c r="E1555" s="55"/>
      <c r="F1555" s="55"/>
      <c r="G1555" s="55"/>
      <c r="H1555" s="55"/>
      <c r="I1555" s="55"/>
      <c r="J1555" s="55"/>
      <c r="K1555" s="55"/>
      <c r="L1555" s="55"/>
      <c r="M1555" s="55"/>
      <c r="N1555" s="55"/>
      <c r="O1555" s="55"/>
      <c r="P1555" s="55"/>
      <c r="Q1555" s="55"/>
      <c r="R1555" s="55"/>
      <c r="S1555" s="55"/>
      <c r="T1555" s="55"/>
      <c r="U1555" s="55"/>
      <c r="V1555" s="55"/>
      <c r="W1555" s="55"/>
      <c r="X1555" s="55"/>
      <c r="Y1555" s="55"/>
      <c r="Z1555" s="55"/>
      <c r="AA1555" s="55"/>
      <c r="AB1555" s="55"/>
      <c r="AC1555" s="55"/>
      <c r="AD1555" s="55"/>
      <c r="AE1555" s="55"/>
      <c r="AF1555" s="55"/>
      <c r="AG1555" s="55"/>
      <c r="AH1555" s="55"/>
      <c r="AI1555" s="55"/>
      <c r="AJ1555" s="55"/>
      <c r="AK1555" s="55"/>
      <c r="AL1555" s="55"/>
      <c r="AM1555" s="55"/>
      <c r="AN1555" s="55"/>
      <c r="AO1555" s="55"/>
      <c r="AP1555" s="55"/>
      <c r="AQ1555" s="55"/>
      <c r="AR1555" s="55"/>
      <c r="AS1555" s="55"/>
      <c r="AT1555" s="55"/>
      <c r="AU1555" s="55"/>
      <c r="AV1555" s="55"/>
      <c r="AW1555" s="55"/>
      <c r="AX1555" s="55"/>
      <c r="AY1555" s="55"/>
      <c r="AZ1555" s="55"/>
    </row>
    <row r="1556" spans="1:52" ht="12.75" customHeight="1" x14ac:dyDescent="0.2">
      <c r="A1556" s="55"/>
      <c r="B1556" s="76"/>
      <c r="C1556" s="77"/>
      <c r="D1556" s="77"/>
      <c r="E1556" s="55"/>
      <c r="F1556" s="55"/>
      <c r="G1556" s="55"/>
      <c r="H1556" s="55"/>
      <c r="I1556" s="55"/>
      <c r="J1556" s="55"/>
      <c r="K1556" s="55"/>
      <c r="L1556" s="55"/>
      <c r="M1556" s="55"/>
      <c r="N1556" s="55"/>
      <c r="O1556" s="55"/>
      <c r="P1556" s="55"/>
      <c r="Q1556" s="55"/>
      <c r="R1556" s="55"/>
      <c r="S1556" s="55"/>
      <c r="T1556" s="55"/>
      <c r="U1556" s="55"/>
      <c r="V1556" s="55"/>
      <c r="W1556" s="55"/>
      <c r="X1556" s="55"/>
      <c r="Y1556" s="55"/>
      <c r="Z1556" s="55"/>
      <c r="AA1556" s="55"/>
      <c r="AB1556" s="55"/>
      <c r="AC1556" s="55"/>
      <c r="AD1556" s="55"/>
      <c r="AE1556" s="55"/>
      <c r="AF1556" s="55"/>
      <c r="AG1556" s="55"/>
      <c r="AH1556" s="55"/>
      <c r="AI1556" s="55"/>
      <c r="AJ1556" s="55"/>
      <c r="AK1556" s="55"/>
      <c r="AL1556" s="55"/>
      <c r="AM1556" s="55"/>
      <c r="AN1556" s="55"/>
      <c r="AO1556" s="55"/>
      <c r="AP1556" s="55"/>
      <c r="AQ1556" s="55"/>
      <c r="AR1556" s="55"/>
      <c r="AS1556" s="55"/>
      <c r="AT1556" s="55"/>
      <c r="AU1556" s="55"/>
      <c r="AV1556" s="55"/>
      <c r="AW1556" s="55"/>
      <c r="AX1556" s="55"/>
      <c r="AY1556" s="55"/>
      <c r="AZ1556" s="55"/>
    </row>
    <row r="1557" spans="1:52" ht="12.75" customHeight="1" x14ac:dyDescent="0.2">
      <c r="A1557" s="55"/>
      <c r="B1557" s="76"/>
      <c r="C1557" s="77"/>
      <c r="D1557" s="77"/>
      <c r="E1557" s="55"/>
      <c r="F1557" s="55"/>
      <c r="G1557" s="55"/>
      <c r="H1557" s="55"/>
      <c r="I1557" s="55"/>
      <c r="J1557" s="55"/>
      <c r="K1557" s="55"/>
      <c r="L1557" s="55"/>
      <c r="M1557" s="55"/>
      <c r="N1557" s="55"/>
      <c r="O1557" s="55"/>
      <c r="P1557" s="55"/>
      <c r="Q1557" s="55"/>
      <c r="R1557" s="55"/>
      <c r="S1557" s="55"/>
      <c r="T1557" s="55"/>
      <c r="U1557" s="55"/>
      <c r="V1557" s="55"/>
      <c r="W1557" s="55"/>
      <c r="X1557" s="55"/>
      <c r="Y1557" s="55"/>
      <c r="Z1557" s="55"/>
      <c r="AA1557" s="55"/>
      <c r="AB1557" s="55"/>
      <c r="AC1557" s="55"/>
      <c r="AD1557" s="55"/>
      <c r="AE1557" s="55"/>
      <c r="AF1557" s="55"/>
      <c r="AG1557" s="55"/>
      <c r="AH1557" s="55"/>
      <c r="AI1557" s="55"/>
      <c r="AJ1557" s="55"/>
      <c r="AK1557" s="55"/>
      <c r="AL1557" s="55"/>
      <c r="AM1557" s="55"/>
      <c r="AN1557" s="55"/>
      <c r="AO1557" s="55"/>
      <c r="AP1557" s="55"/>
      <c r="AQ1557" s="55"/>
      <c r="AR1557" s="55"/>
      <c r="AS1557" s="55"/>
      <c r="AT1557" s="55"/>
      <c r="AU1557" s="55"/>
      <c r="AV1557" s="55"/>
      <c r="AW1557" s="55"/>
      <c r="AX1557" s="55"/>
      <c r="AY1557" s="55"/>
      <c r="AZ1557" s="55"/>
    </row>
    <row r="1558" spans="1:52" ht="12.75" customHeight="1" x14ac:dyDescent="0.2">
      <c r="A1558" s="55"/>
      <c r="B1558" s="76"/>
      <c r="C1558" s="77"/>
      <c r="D1558" s="77"/>
      <c r="E1558" s="55"/>
      <c r="F1558" s="55"/>
      <c r="G1558" s="55"/>
      <c r="H1558" s="55"/>
      <c r="I1558" s="55"/>
      <c r="J1558" s="55"/>
      <c r="K1558" s="55"/>
      <c r="L1558" s="55"/>
      <c r="M1558" s="55"/>
      <c r="N1558" s="55"/>
      <c r="O1558" s="55"/>
      <c r="P1558" s="55"/>
      <c r="Q1558" s="55"/>
      <c r="R1558" s="55"/>
      <c r="S1558" s="55"/>
      <c r="T1558" s="55"/>
      <c r="U1558" s="55"/>
      <c r="V1558" s="55"/>
      <c r="W1558" s="55"/>
      <c r="X1558" s="55"/>
      <c r="Y1558" s="55"/>
      <c r="Z1558" s="55"/>
      <c r="AA1558" s="55"/>
      <c r="AB1558" s="55"/>
      <c r="AC1558" s="55"/>
      <c r="AD1558" s="55"/>
      <c r="AE1558" s="55"/>
      <c r="AF1558" s="55"/>
      <c r="AG1558" s="55"/>
      <c r="AH1558" s="55"/>
      <c r="AI1558" s="55"/>
      <c r="AJ1558" s="55"/>
      <c r="AK1558" s="55"/>
      <c r="AL1558" s="55"/>
      <c r="AM1558" s="55"/>
      <c r="AN1558" s="55"/>
      <c r="AO1558" s="55"/>
      <c r="AP1558" s="55"/>
      <c r="AQ1558" s="55"/>
      <c r="AR1558" s="55"/>
      <c r="AS1558" s="55"/>
      <c r="AT1558" s="55"/>
      <c r="AU1558" s="55"/>
      <c r="AV1558" s="55"/>
      <c r="AW1558" s="55"/>
      <c r="AX1558" s="55"/>
      <c r="AY1558" s="55"/>
      <c r="AZ1558" s="55"/>
    </row>
    <row r="1559" spans="1:52" ht="12.75" customHeight="1" x14ac:dyDescent="0.2">
      <c r="A1559" s="55"/>
      <c r="B1559" s="76"/>
      <c r="C1559" s="77"/>
      <c r="D1559" s="77"/>
      <c r="E1559" s="55"/>
      <c r="F1559" s="55"/>
      <c r="G1559" s="55"/>
      <c r="H1559" s="55"/>
      <c r="I1559" s="55"/>
      <c r="J1559" s="55"/>
      <c r="K1559" s="55"/>
      <c r="L1559" s="55"/>
      <c r="M1559" s="55"/>
      <c r="N1559" s="55"/>
      <c r="O1559" s="55"/>
      <c r="P1559" s="55"/>
      <c r="Q1559" s="55"/>
      <c r="R1559" s="55"/>
      <c r="S1559" s="55"/>
      <c r="T1559" s="55"/>
      <c r="U1559" s="55"/>
      <c r="V1559" s="55"/>
      <c r="W1559" s="55"/>
      <c r="X1559" s="55"/>
      <c r="Y1559" s="55"/>
      <c r="Z1559" s="55"/>
      <c r="AA1559" s="55"/>
      <c r="AB1559" s="55"/>
      <c r="AC1559" s="55"/>
      <c r="AD1559" s="55"/>
      <c r="AE1559" s="55"/>
      <c r="AF1559" s="55"/>
      <c r="AG1559" s="55"/>
      <c r="AH1559" s="55"/>
      <c r="AI1559" s="55"/>
      <c r="AJ1559" s="55"/>
      <c r="AK1559" s="55"/>
      <c r="AL1559" s="55"/>
      <c r="AM1559" s="55"/>
      <c r="AN1559" s="55"/>
      <c r="AO1559" s="55"/>
      <c r="AP1559" s="55"/>
      <c r="AQ1559" s="55"/>
      <c r="AR1559" s="55"/>
      <c r="AS1559" s="55"/>
      <c r="AT1559" s="55"/>
      <c r="AU1559" s="55"/>
      <c r="AV1559" s="55"/>
      <c r="AW1559" s="55"/>
      <c r="AX1559" s="55"/>
      <c r="AY1559" s="55"/>
      <c r="AZ1559" s="55"/>
    </row>
    <row r="1560" spans="1:52" ht="12.75" customHeight="1" x14ac:dyDescent="0.2">
      <c r="A1560" s="55"/>
      <c r="B1560" s="76"/>
      <c r="C1560" s="77"/>
      <c r="D1560" s="77"/>
      <c r="E1560" s="55"/>
      <c r="F1560" s="55"/>
      <c r="G1560" s="55"/>
      <c r="H1560" s="55"/>
      <c r="I1560" s="55"/>
      <c r="J1560" s="55"/>
      <c r="K1560" s="55"/>
      <c r="L1560" s="55"/>
      <c r="M1560" s="55"/>
      <c r="N1560" s="55"/>
      <c r="O1560" s="55"/>
      <c r="P1560" s="55"/>
      <c r="Q1560" s="55"/>
      <c r="R1560" s="55"/>
      <c r="S1560" s="55"/>
      <c r="T1560" s="55"/>
      <c r="U1560" s="55"/>
      <c r="V1560" s="55"/>
      <c r="W1560" s="55"/>
      <c r="X1560" s="55"/>
      <c r="Y1560" s="55"/>
      <c r="Z1560" s="55"/>
      <c r="AA1560" s="55"/>
      <c r="AB1560" s="55"/>
      <c r="AC1560" s="55"/>
      <c r="AD1560" s="55"/>
      <c r="AE1560" s="55"/>
      <c r="AF1560" s="55"/>
      <c r="AG1560" s="55"/>
      <c r="AH1560" s="55"/>
      <c r="AI1560" s="55"/>
      <c r="AJ1560" s="55"/>
      <c r="AK1560" s="55"/>
      <c r="AL1560" s="55"/>
      <c r="AM1560" s="55"/>
      <c r="AN1560" s="55"/>
      <c r="AO1560" s="55"/>
      <c r="AP1560" s="55"/>
      <c r="AQ1560" s="55"/>
      <c r="AR1560" s="55"/>
      <c r="AS1560" s="55"/>
      <c r="AT1560" s="55"/>
      <c r="AU1560" s="55"/>
      <c r="AV1560" s="55"/>
      <c r="AW1560" s="55"/>
      <c r="AX1560" s="55"/>
      <c r="AY1560" s="55"/>
      <c r="AZ1560" s="55"/>
    </row>
    <row r="1561" spans="1:52" ht="12.75" customHeight="1" x14ac:dyDescent="0.2">
      <c r="A1561" s="55"/>
      <c r="B1561" s="76"/>
      <c r="C1561" s="77"/>
      <c r="D1561" s="77"/>
      <c r="E1561" s="55"/>
      <c r="F1561" s="55"/>
      <c r="G1561" s="55"/>
      <c r="H1561" s="55"/>
      <c r="I1561" s="55"/>
      <c r="J1561" s="55"/>
      <c r="K1561" s="55"/>
      <c r="L1561" s="55"/>
      <c r="M1561" s="55"/>
      <c r="N1561" s="55"/>
      <c r="O1561" s="55"/>
      <c r="P1561" s="55"/>
      <c r="Q1561" s="55"/>
      <c r="R1561" s="55"/>
      <c r="S1561" s="55"/>
      <c r="T1561" s="55"/>
      <c r="U1561" s="55"/>
      <c r="V1561" s="55"/>
      <c r="W1561" s="55"/>
      <c r="X1561" s="55"/>
      <c r="Y1561" s="55"/>
      <c r="Z1561" s="55"/>
      <c r="AA1561" s="55"/>
      <c r="AB1561" s="55"/>
      <c r="AC1561" s="55"/>
      <c r="AD1561" s="55"/>
      <c r="AE1561" s="55"/>
      <c r="AF1561" s="55"/>
      <c r="AG1561" s="55"/>
      <c r="AH1561" s="55"/>
      <c r="AI1561" s="55"/>
      <c r="AJ1561" s="55"/>
      <c r="AK1561" s="55"/>
      <c r="AL1561" s="55"/>
      <c r="AM1561" s="55"/>
      <c r="AN1561" s="55"/>
      <c r="AO1561" s="55"/>
      <c r="AP1561" s="55"/>
      <c r="AQ1561" s="55"/>
      <c r="AR1561" s="55"/>
      <c r="AS1561" s="55"/>
      <c r="AT1561" s="55"/>
      <c r="AU1561" s="55"/>
      <c r="AV1561" s="55"/>
      <c r="AW1561" s="55"/>
      <c r="AX1561" s="55"/>
      <c r="AY1561" s="55"/>
      <c r="AZ1561" s="55"/>
    </row>
    <row r="1562" spans="1:52" ht="12.75" customHeight="1" x14ac:dyDescent="0.2">
      <c r="A1562" s="55"/>
      <c r="B1562" s="76"/>
      <c r="C1562" s="77"/>
      <c r="D1562" s="77"/>
      <c r="E1562" s="55"/>
      <c r="F1562" s="55"/>
      <c r="G1562" s="55"/>
      <c r="H1562" s="55"/>
      <c r="I1562" s="55"/>
      <c r="J1562" s="55"/>
      <c r="K1562" s="55"/>
      <c r="L1562" s="55"/>
      <c r="M1562" s="55"/>
      <c r="N1562" s="55"/>
      <c r="O1562" s="55"/>
      <c r="P1562" s="55"/>
      <c r="Q1562" s="55"/>
      <c r="R1562" s="55"/>
      <c r="S1562" s="55"/>
      <c r="T1562" s="55"/>
      <c r="U1562" s="55"/>
      <c r="V1562" s="55"/>
      <c r="W1562" s="55"/>
      <c r="X1562" s="55"/>
      <c r="Y1562" s="55"/>
      <c r="Z1562" s="55"/>
      <c r="AA1562" s="55"/>
      <c r="AB1562" s="55"/>
      <c r="AC1562" s="55"/>
      <c r="AD1562" s="55"/>
      <c r="AE1562" s="55"/>
      <c r="AF1562" s="55"/>
      <c r="AG1562" s="55"/>
      <c r="AH1562" s="55"/>
      <c r="AI1562" s="55"/>
      <c r="AJ1562" s="55"/>
      <c r="AK1562" s="55"/>
      <c r="AL1562" s="55"/>
      <c r="AM1562" s="55"/>
      <c r="AN1562" s="55"/>
      <c r="AO1562" s="55"/>
      <c r="AP1562" s="55"/>
      <c r="AQ1562" s="55"/>
      <c r="AR1562" s="55"/>
      <c r="AS1562" s="55"/>
      <c r="AT1562" s="55"/>
      <c r="AU1562" s="55"/>
      <c r="AV1562" s="55"/>
      <c r="AW1562" s="55"/>
      <c r="AX1562" s="55"/>
      <c r="AY1562" s="55"/>
      <c r="AZ1562" s="55"/>
    </row>
    <row r="1563" spans="1:52" ht="12.75" customHeight="1" x14ac:dyDescent="0.2">
      <c r="A1563" s="55"/>
      <c r="B1563" s="76"/>
      <c r="C1563" s="77"/>
      <c r="D1563" s="77"/>
      <c r="E1563" s="55"/>
      <c r="F1563" s="55"/>
      <c r="G1563" s="55"/>
      <c r="H1563" s="55"/>
      <c r="I1563" s="55"/>
      <c r="J1563" s="55"/>
      <c r="K1563" s="55"/>
      <c r="L1563" s="55"/>
      <c r="M1563" s="55"/>
      <c r="N1563" s="55"/>
      <c r="O1563" s="55"/>
      <c r="P1563" s="55"/>
      <c r="Q1563" s="55"/>
      <c r="R1563" s="55"/>
      <c r="S1563" s="55"/>
      <c r="T1563" s="55"/>
      <c r="U1563" s="55"/>
      <c r="V1563" s="55"/>
      <c r="W1563" s="55"/>
      <c r="X1563" s="55"/>
      <c r="Y1563" s="55"/>
      <c r="Z1563" s="55"/>
      <c r="AA1563" s="55"/>
      <c r="AB1563" s="55"/>
      <c r="AC1563" s="55"/>
      <c r="AD1563" s="55"/>
      <c r="AE1563" s="55"/>
      <c r="AF1563" s="55"/>
      <c r="AG1563" s="55"/>
      <c r="AH1563" s="55"/>
      <c r="AI1563" s="55"/>
      <c r="AJ1563" s="55"/>
      <c r="AK1563" s="55"/>
      <c r="AL1563" s="55"/>
      <c r="AM1563" s="55"/>
      <c r="AN1563" s="55"/>
      <c r="AO1563" s="55"/>
      <c r="AP1563" s="55"/>
      <c r="AQ1563" s="55"/>
      <c r="AR1563" s="55"/>
      <c r="AS1563" s="55"/>
      <c r="AT1563" s="55"/>
      <c r="AU1563" s="55"/>
      <c r="AV1563" s="55"/>
      <c r="AW1563" s="55"/>
      <c r="AX1563" s="55"/>
      <c r="AY1563" s="55"/>
      <c r="AZ1563" s="55"/>
    </row>
    <row r="1564" spans="1:52" ht="12.75" customHeight="1" x14ac:dyDescent="0.2">
      <c r="A1564" s="55"/>
      <c r="B1564" s="76"/>
      <c r="C1564" s="77"/>
      <c r="D1564" s="77"/>
      <c r="E1564" s="55"/>
      <c r="F1564" s="55"/>
      <c r="G1564" s="55"/>
      <c r="H1564" s="55"/>
      <c r="I1564" s="55"/>
      <c r="J1564" s="55"/>
      <c r="K1564" s="55"/>
      <c r="L1564" s="55"/>
      <c r="M1564" s="55"/>
      <c r="N1564" s="55"/>
      <c r="O1564" s="55"/>
      <c r="P1564" s="55"/>
      <c r="Q1564" s="55"/>
      <c r="R1564" s="55"/>
      <c r="S1564" s="55"/>
      <c r="T1564" s="55"/>
      <c r="U1564" s="55"/>
      <c r="V1564" s="55"/>
      <c r="W1564" s="55"/>
      <c r="X1564" s="55"/>
      <c r="Y1564" s="55"/>
      <c r="Z1564" s="55"/>
      <c r="AA1564" s="55"/>
      <c r="AB1564" s="55"/>
      <c r="AC1564" s="55"/>
      <c r="AD1564" s="55"/>
      <c r="AE1564" s="55"/>
      <c r="AF1564" s="55"/>
      <c r="AG1564" s="55"/>
      <c r="AH1564" s="55"/>
      <c r="AI1564" s="55"/>
      <c r="AJ1564" s="55"/>
      <c r="AK1564" s="55"/>
      <c r="AL1564" s="55"/>
      <c r="AM1564" s="55"/>
      <c r="AN1564" s="55"/>
      <c r="AO1564" s="55"/>
      <c r="AP1564" s="55"/>
      <c r="AQ1564" s="55"/>
      <c r="AR1564" s="55"/>
      <c r="AS1564" s="55"/>
      <c r="AT1564" s="55"/>
      <c r="AU1564" s="55"/>
      <c r="AV1564" s="55"/>
      <c r="AW1564" s="55"/>
      <c r="AX1564" s="55"/>
      <c r="AY1564" s="55"/>
      <c r="AZ1564" s="55"/>
    </row>
    <row r="1565" spans="1:52" ht="12.75" customHeight="1" x14ac:dyDescent="0.2">
      <c r="A1565" s="55"/>
      <c r="B1565" s="76"/>
      <c r="C1565" s="77"/>
      <c r="D1565" s="77"/>
      <c r="E1565" s="55"/>
      <c r="F1565" s="55"/>
      <c r="G1565" s="55"/>
      <c r="H1565" s="55"/>
      <c r="I1565" s="55"/>
      <c r="J1565" s="55"/>
      <c r="K1565" s="55"/>
      <c r="L1565" s="55"/>
      <c r="M1565" s="55"/>
      <c r="N1565" s="55"/>
      <c r="O1565" s="55"/>
      <c r="P1565" s="55"/>
      <c r="Q1565" s="55"/>
      <c r="R1565" s="55"/>
      <c r="S1565" s="55"/>
      <c r="T1565" s="55"/>
      <c r="U1565" s="55"/>
      <c r="V1565" s="55"/>
      <c r="W1565" s="55"/>
      <c r="X1565" s="55"/>
      <c r="Y1565" s="55"/>
      <c r="Z1565" s="55"/>
      <c r="AA1565" s="55"/>
      <c r="AB1565" s="55"/>
      <c r="AC1565" s="55"/>
      <c r="AD1565" s="55"/>
      <c r="AE1565" s="55"/>
      <c r="AF1565" s="55"/>
      <c r="AG1565" s="55"/>
      <c r="AH1565" s="55"/>
      <c r="AI1565" s="55"/>
      <c r="AJ1565" s="55"/>
      <c r="AK1565" s="55"/>
      <c r="AL1565" s="55"/>
      <c r="AM1565" s="55"/>
      <c r="AN1565" s="55"/>
      <c r="AO1565" s="55"/>
      <c r="AP1565" s="55"/>
      <c r="AQ1565" s="55"/>
      <c r="AR1565" s="55"/>
      <c r="AS1565" s="55"/>
      <c r="AT1565" s="55"/>
      <c r="AU1565" s="55"/>
      <c r="AV1565" s="55"/>
      <c r="AW1565" s="55"/>
      <c r="AX1565" s="55"/>
      <c r="AY1565" s="55"/>
      <c r="AZ1565" s="55"/>
    </row>
    <row r="1566" spans="1:52" ht="12.75" customHeight="1" x14ac:dyDescent="0.2">
      <c r="A1566" s="55"/>
      <c r="B1566" s="76"/>
      <c r="C1566" s="77"/>
      <c r="D1566" s="77"/>
      <c r="E1566" s="55"/>
      <c r="F1566" s="55"/>
      <c r="G1566" s="55"/>
      <c r="H1566" s="55"/>
      <c r="I1566" s="55"/>
      <c r="J1566" s="55"/>
      <c r="K1566" s="55"/>
      <c r="L1566" s="55"/>
      <c r="M1566" s="55"/>
      <c r="N1566" s="55"/>
      <c r="O1566" s="55"/>
      <c r="P1566" s="55"/>
      <c r="Q1566" s="55"/>
      <c r="R1566" s="55"/>
      <c r="S1566" s="55"/>
      <c r="T1566" s="55"/>
      <c r="U1566" s="55"/>
      <c r="V1566" s="55"/>
      <c r="W1566" s="55"/>
      <c r="X1566" s="55"/>
      <c r="Y1566" s="55"/>
      <c r="Z1566" s="55"/>
      <c r="AA1566" s="55"/>
      <c r="AB1566" s="55"/>
      <c r="AC1566" s="55"/>
      <c r="AD1566" s="55"/>
      <c r="AE1566" s="55"/>
      <c r="AF1566" s="55"/>
      <c r="AG1566" s="55"/>
      <c r="AH1566" s="55"/>
      <c r="AI1566" s="55"/>
      <c r="AJ1566" s="55"/>
      <c r="AK1566" s="55"/>
      <c r="AL1566" s="55"/>
      <c r="AM1566" s="55"/>
      <c r="AN1566" s="55"/>
      <c r="AO1566" s="55"/>
      <c r="AP1566" s="55"/>
      <c r="AQ1566" s="55"/>
      <c r="AR1566" s="55"/>
      <c r="AS1566" s="55"/>
      <c r="AT1566" s="55"/>
      <c r="AU1566" s="55"/>
      <c r="AV1566" s="55"/>
      <c r="AW1566" s="55"/>
      <c r="AX1566" s="55"/>
      <c r="AY1566" s="55"/>
      <c r="AZ1566" s="55"/>
    </row>
    <row r="1567" spans="1:52" ht="12.75" customHeight="1" x14ac:dyDescent="0.2">
      <c r="A1567" s="55"/>
      <c r="B1567" s="76"/>
      <c r="C1567" s="77"/>
      <c r="D1567" s="77"/>
      <c r="E1567" s="55"/>
      <c r="F1567" s="55"/>
      <c r="G1567" s="55"/>
      <c r="H1567" s="55"/>
      <c r="I1567" s="55"/>
      <c r="J1567" s="55"/>
      <c r="K1567" s="55"/>
      <c r="L1567" s="55"/>
      <c r="M1567" s="55"/>
      <c r="N1567" s="55"/>
      <c r="O1567" s="55"/>
      <c r="P1567" s="55"/>
      <c r="Q1567" s="55"/>
      <c r="R1567" s="55"/>
      <c r="S1567" s="55"/>
      <c r="T1567" s="55"/>
      <c r="U1567" s="55"/>
      <c r="V1567" s="55"/>
      <c r="W1567" s="55"/>
      <c r="X1567" s="55"/>
      <c r="Y1567" s="55"/>
      <c r="Z1567" s="55"/>
      <c r="AA1567" s="55"/>
      <c r="AB1567" s="55"/>
      <c r="AC1567" s="55"/>
      <c r="AD1567" s="55"/>
      <c r="AE1567" s="55"/>
      <c r="AF1567" s="55"/>
      <c r="AG1567" s="55"/>
      <c r="AH1567" s="55"/>
      <c r="AI1567" s="55"/>
      <c r="AJ1567" s="55"/>
      <c r="AK1567" s="55"/>
      <c r="AL1567" s="55"/>
      <c r="AM1567" s="55"/>
      <c r="AN1567" s="55"/>
      <c r="AO1567" s="55"/>
      <c r="AP1567" s="55"/>
      <c r="AQ1567" s="55"/>
      <c r="AR1567" s="55"/>
      <c r="AS1567" s="55"/>
      <c r="AT1567" s="55"/>
      <c r="AU1567" s="55"/>
      <c r="AV1567" s="55"/>
      <c r="AW1567" s="55"/>
      <c r="AX1567" s="55"/>
      <c r="AY1567" s="55"/>
      <c r="AZ1567" s="55"/>
    </row>
    <row r="1568" spans="1:52" ht="12.75" customHeight="1" x14ac:dyDescent="0.2">
      <c r="A1568" s="55"/>
      <c r="B1568" s="76"/>
      <c r="C1568" s="77"/>
      <c r="D1568" s="77"/>
      <c r="E1568" s="55"/>
      <c r="F1568" s="55"/>
      <c r="G1568" s="55"/>
      <c r="H1568" s="55"/>
      <c r="I1568" s="55"/>
      <c r="J1568" s="55"/>
      <c r="K1568" s="55"/>
      <c r="L1568" s="55"/>
      <c r="M1568" s="55"/>
      <c r="N1568" s="55"/>
      <c r="O1568" s="55"/>
      <c r="P1568" s="55"/>
      <c r="Q1568" s="55"/>
      <c r="R1568" s="55"/>
      <c r="S1568" s="55"/>
      <c r="T1568" s="55"/>
      <c r="U1568" s="55"/>
      <c r="V1568" s="55"/>
      <c r="W1568" s="55"/>
      <c r="X1568" s="55"/>
      <c r="Y1568" s="55"/>
      <c r="Z1568" s="55"/>
      <c r="AA1568" s="55"/>
      <c r="AB1568" s="55"/>
      <c r="AC1568" s="55"/>
      <c r="AD1568" s="55"/>
      <c r="AE1568" s="55"/>
      <c r="AF1568" s="55"/>
      <c r="AG1568" s="55"/>
      <c r="AH1568" s="55"/>
      <c r="AI1568" s="55"/>
      <c r="AJ1568" s="55"/>
      <c r="AK1568" s="55"/>
      <c r="AL1568" s="55"/>
      <c r="AM1568" s="55"/>
      <c r="AN1568" s="55"/>
      <c r="AO1568" s="55"/>
      <c r="AP1568" s="55"/>
      <c r="AQ1568" s="55"/>
      <c r="AR1568" s="55"/>
      <c r="AS1568" s="55"/>
      <c r="AT1568" s="55"/>
      <c r="AU1568" s="55"/>
      <c r="AV1568" s="55"/>
      <c r="AW1568" s="55"/>
      <c r="AX1568" s="55"/>
      <c r="AY1568" s="55"/>
      <c r="AZ1568" s="55"/>
    </row>
    <row r="1569" spans="1:52" ht="12.75" customHeight="1" x14ac:dyDescent="0.2">
      <c r="A1569" s="55"/>
      <c r="B1569" s="76"/>
      <c r="C1569" s="77"/>
      <c r="D1569" s="77"/>
      <c r="E1569" s="55"/>
      <c r="F1569" s="55"/>
      <c r="G1569" s="55"/>
      <c r="H1569" s="55"/>
      <c r="I1569" s="55"/>
      <c r="J1569" s="55"/>
      <c r="K1569" s="55"/>
      <c r="L1569" s="55"/>
      <c r="M1569" s="55"/>
      <c r="N1569" s="55"/>
      <c r="O1569" s="55"/>
      <c r="P1569" s="55"/>
      <c r="Q1569" s="55"/>
      <c r="R1569" s="55"/>
      <c r="S1569" s="55"/>
      <c r="T1569" s="55"/>
      <c r="U1569" s="55"/>
      <c r="V1569" s="55"/>
      <c r="W1569" s="55"/>
      <c r="X1569" s="55"/>
      <c r="Y1569" s="55"/>
      <c r="Z1569" s="55"/>
      <c r="AA1569" s="55"/>
      <c r="AB1569" s="55"/>
      <c r="AC1569" s="55"/>
      <c r="AD1569" s="55"/>
      <c r="AE1569" s="55"/>
      <c r="AF1569" s="55"/>
      <c r="AG1569" s="55"/>
      <c r="AH1569" s="55"/>
      <c r="AI1569" s="55"/>
      <c r="AJ1569" s="55"/>
      <c r="AK1569" s="55"/>
      <c r="AL1569" s="55"/>
      <c r="AM1569" s="55"/>
      <c r="AN1569" s="55"/>
      <c r="AO1569" s="55"/>
      <c r="AP1569" s="55"/>
      <c r="AQ1569" s="55"/>
      <c r="AR1569" s="55"/>
      <c r="AS1569" s="55"/>
      <c r="AT1569" s="55"/>
      <c r="AU1569" s="55"/>
      <c r="AV1569" s="55"/>
      <c r="AW1569" s="55"/>
      <c r="AX1569" s="55"/>
      <c r="AY1569" s="55"/>
      <c r="AZ1569" s="55"/>
    </row>
    <row r="1570" spans="1:52" ht="12.75" customHeight="1" x14ac:dyDescent="0.2">
      <c r="A1570" s="55"/>
      <c r="B1570" s="76"/>
      <c r="C1570" s="77"/>
      <c r="D1570" s="77"/>
      <c r="E1570" s="55"/>
      <c r="F1570" s="55"/>
      <c r="G1570" s="55"/>
      <c r="H1570" s="55"/>
      <c r="I1570" s="55"/>
      <c r="J1570" s="55"/>
      <c r="K1570" s="55"/>
      <c r="L1570" s="55"/>
      <c r="M1570" s="55"/>
      <c r="N1570" s="55"/>
      <c r="O1570" s="55"/>
      <c r="P1570" s="55"/>
      <c r="Q1570" s="55"/>
      <c r="R1570" s="55"/>
      <c r="S1570" s="55"/>
      <c r="T1570" s="55"/>
      <c r="U1570" s="55"/>
      <c r="V1570" s="55"/>
      <c r="W1570" s="55"/>
      <c r="X1570" s="55"/>
      <c r="Y1570" s="55"/>
      <c r="Z1570" s="55"/>
      <c r="AA1570" s="55"/>
      <c r="AB1570" s="55"/>
      <c r="AC1570" s="55"/>
      <c r="AD1570" s="55"/>
      <c r="AE1570" s="55"/>
      <c r="AF1570" s="55"/>
      <c r="AG1570" s="55"/>
      <c r="AH1570" s="55"/>
      <c r="AI1570" s="55"/>
      <c r="AJ1570" s="55"/>
      <c r="AK1570" s="55"/>
      <c r="AL1570" s="55"/>
      <c r="AM1570" s="55"/>
      <c r="AN1570" s="55"/>
      <c r="AO1570" s="55"/>
      <c r="AP1570" s="55"/>
      <c r="AQ1570" s="55"/>
      <c r="AR1570" s="55"/>
      <c r="AS1570" s="55"/>
      <c r="AT1570" s="55"/>
      <c r="AU1570" s="55"/>
      <c r="AV1570" s="55"/>
      <c r="AW1570" s="55"/>
      <c r="AX1570" s="55"/>
      <c r="AY1570" s="55"/>
      <c r="AZ1570" s="55"/>
    </row>
    <row r="1571" spans="1:52" ht="12.75" customHeight="1" x14ac:dyDescent="0.2">
      <c r="A1571" s="55"/>
      <c r="B1571" s="76"/>
      <c r="C1571" s="77"/>
      <c r="D1571" s="77"/>
      <c r="E1571" s="55"/>
      <c r="F1571" s="55"/>
      <c r="G1571" s="55"/>
      <c r="H1571" s="55"/>
      <c r="I1571" s="55"/>
      <c r="J1571" s="55"/>
      <c r="K1571" s="55"/>
      <c r="L1571" s="55"/>
      <c r="M1571" s="55"/>
      <c r="N1571" s="55"/>
      <c r="O1571" s="55"/>
      <c r="P1571" s="55"/>
      <c r="Q1571" s="55"/>
      <c r="R1571" s="55"/>
      <c r="S1571" s="55"/>
      <c r="T1571" s="55"/>
      <c r="U1571" s="55"/>
      <c r="V1571" s="55"/>
      <c r="W1571" s="55"/>
      <c r="X1571" s="55"/>
      <c r="Y1571" s="55"/>
      <c r="Z1571" s="55"/>
      <c r="AA1571" s="55"/>
      <c r="AB1571" s="55"/>
      <c r="AC1571" s="55"/>
      <c r="AD1571" s="55"/>
      <c r="AE1571" s="55"/>
      <c r="AF1571" s="55"/>
      <c r="AG1571" s="55"/>
      <c r="AH1571" s="55"/>
      <c r="AI1571" s="55"/>
      <c r="AJ1571" s="55"/>
      <c r="AK1571" s="55"/>
      <c r="AL1571" s="55"/>
      <c r="AM1571" s="55"/>
      <c r="AN1571" s="55"/>
      <c r="AO1571" s="55"/>
      <c r="AP1571" s="55"/>
      <c r="AQ1571" s="55"/>
      <c r="AR1571" s="55"/>
      <c r="AS1571" s="55"/>
      <c r="AT1571" s="55"/>
      <c r="AU1571" s="55"/>
      <c r="AV1571" s="55"/>
      <c r="AW1571" s="55"/>
      <c r="AX1571" s="55"/>
      <c r="AY1571" s="55"/>
      <c r="AZ1571" s="55"/>
    </row>
    <row r="1572" spans="1:52" ht="12.75" customHeight="1" x14ac:dyDescent="0.2">
      <c r="A1572" s="55"/>
      <c r="B1572" s="76"/>
      <c r="C1572" s="77"/>
      <c r="D1572" s="77"/>
      <c r="E1572" s="55"/>
      <c r="F1572" s="55"/>
      <c r="G1572" s="55"/>
      <c r="H1572" s="55"/>
      <c r="I1572" s="55"/>
      <c r="J1572" s="55"/>
      <c r="K1572" s="55"/>
      <c r="L1572" s="55"/>
      <c r="M1572" s="55"/>
      <c r="N1572" s="55"/>
      <c r="O1572" s="55"/>
      <c r="P1572" s="55"/>
      <c r="Q1572" s="55"/>
      <c r="R1572" s="55"/>
      <c r="S1572" s="55"/>
      <c r="T1572" s="55"/>
      <c r="U1572" s="55"/>
      <c r="V1572" s="55"/>
      <c r="W1572" s="55"/>
      <c r="X1572" s="55"/>
      <c r="Y1572" s="55"/>
      <c r="Z1572" s="55"/>
      <c r="AA1572" s="55"/>
      <c r="AB1572" s="55"/>
      <c r="AC1572" s="55"/>
      <c r="AD1572" s="55"/>
      <c r="AE1572" s="55"/>
      <c r="AF1572" s="55"/>
      <c r="AG1572" s="55"/>
      <c r="AH1572" s="55"/>
      <c r="AI1572" s="55"/>
      <c r="AJ1572" s="55"/>
      <c r="AK1572" s="55"/>
      <c r="AL1572" s="55"/>
      <c r="AM1572" s="55"/>
      <c r="AN1572" s="55"/>
      <c r="AO1572" s="55"/>
      <c r="AP1572" s="55"/>
      <c r="AQ1572" s="55"/>
      <c r="AR1572" s="55"/>
      <c r="AS1572" s="55"/>
      <c r="AT1572" s="55"/>
      <c r="AU1572" s="55"/>
      <c r="AV1572" s="55"/>
      <c r="AW1572" s="55"/>
      <c r="AX1572" s="55"/>
      <c r="AY1572" s="55"/>
      <c r="AZ1572" s="55"/>
    </row>
    <row r="1573" spans="1:52" ht="12.75" customHeight="1" x14ac:dyDescent="0.2">
      <c r="A1573" s="55"/>
      <c r="B1573" s="76"/>
      <c r="C1573" s="77"/>
      <c r="D1573" s="77"/>
      <c r="E1573" s="55"/>
      <c r="F1573" s="55"/>
      <c r="G1573" s="55"/>
      <c r="H1573" s="55"/>
      <c r="I1573" s="55"/>
      <c r="J1573" s="55"/>
      <c r="K1573" s="55"/>
      <c r="L1573" s="55"/>
      <c r="M1573" s="55"/>
      <c r="N1573" s="55"/>
      <c r="O1573" s="55"/>
      <c r="P1573" s="55"/>
      <c r="Q1573" s="55"/>
      <c r="R1573" s="55"/>
      <c r="S1573" s="55"/>
      <c r="T1573" s="55"/>
      <c r="U1573" s="55"/>
      <c r="V1573" s="55"/>
      <c r="W1573" s="55"/>
      <c r="X1573" s="55"/>
      <c r="Y1573" s="55"/>
      <c r="Z1573" s="55"/>
      <c r="AA1573" s="55"/>
      <c r="AB1573" s="55"/>
      <c r="AC1573" s="55"/>
      <c r="AD1573" s="55"/>
      <c r="AE1573" s="55"/>
      <c r="AF1573" s="55"/>
      <c r="AG1573" s="55"/>
      <c r="AH1573" s="55"/>
      <c r="AI1573" s="55"/>
      <c r="AJ1573" s="55"/>
      <c r="AK1573" s="55"/>
      <c r="AL1573" s="55"/>
      <c r="AM1573" s="55"/>
      <c r="AN1573" s="55"/>
      <c r="AO1573" s="55"/>
      <c r="AP1573" s="55"/>
      <c r="AQ1573" s="55"/>
      <c r="AR1573" s="55"/>
      <c r="AS1573" s="55"/>
      <c r="AT1573" s="55"/>
      <c r="AU1573" s="55"/>
      <c r="AV1573" s="55"/>
      <c r="AW1573" s="55"/>
      <c r="AX1573" s="55"/>
      <c r="AY1573" s="55"/>
      <c r="AZ1573" s="55"/>
    </row>
    <row r="1574" spans="1:52" ht="12.75" customHeight="1" x14ac:dyDescent="0.2">
      <c r="A1574" s="55"/>
      <c r="B1574" s="76"/>
      <c r="C1574" s="77"/>
      <c r="D1574" s="77"/>
      <c r="E1574" s="55"/>
      <c r="F1574" s="55"/>
      <c r="G1574" s="55"/>
      <c r="H1574" s="55"/>
      <c r="I1574" s="55"/>
      <c r="J1574" s="55"/>
      <c r="K1574" s="55"/>
      <c r="L1574" s="55"/>
      <c r="M1574" s="55"/>
      <c r="N1574" s="55"/>
      <c r="O1574" s="55"/>
      <c r="P1574" s="55"/>
      <c r="Q1574" s="55"/>
      <c r="R1574" s="55"/>
      <c r="S1574" s="55"/>
      <c r="T1574" s="55"/>
      <c r="U1574" s="55"/>
      <c r="V1574" s="55"/>
      <c r="W1574" s="55"/>
      <c r="X1574" s="55"/>
      <c r="Y1574" s="55"/>
      <c r="Z1574" s="55"/>
      <c r="AA1574" s="55"/>
      <c r="AB1574" s="55"/>
      <c r="AC1574" s="55"/>
      <c r="AD1574" s="55"/>
      <c r="AE1574" s="55"/>
      <c r="AF1574" s="55"/>
      <c r="AG1574" s="55"/>
      <c r="AH1574" s="55"/>
      <c r="AI1574" s="55"/>
      <c r="AJ1574" s="55"/>
      <c r="AK1574" s="55"/>
      <c r="AL1574" s="55"/>
      <c r="AM1574" s="55"/>
      <c r="AN1574" s="55"/>
      <c r="AO1574" s="55"/>
      <c r="AP1574" s="55"/>
      <c r="AQ1574" s="55"/>
      <c r="AR1574" s="55"/>
      <c r="AS1574" s="55"/>
      <c r="AT1574" s="55"/>
      <c r="AU1574" s="55"/>
      <c r="AV1574" s="55"/>
      <c r="AW1574" s="55"/>
      <c r="AX1574" s="55"/>
      <c r="AY1574" s="55"/>
      <c r="AZ1574" s="55"/>
    </row>
    <row r="1575" spans="1:52" ht="12.75" customHeight="1" x14ac:dyDescent="0.2">
      <c r="A1575" s="55"/>
      <c r="B1575" s="76"/>
      <c r="C1575" s="77"/>
      <c r="D1575" s="77"/>
      <c r="E1575" s="55"/>
      <c r="F1575" s="55"/>
      <c r="G1575" s="55"/>
      <c r="H1575" s="55"/>
      <c r="I1575" s="55"/>
      <c r="J1575" s="55"/>
      <c r="K1575" s="55"/>
      <c r="L1575" s="55"/>
      <c r="M1575" s="55"/>
      <c r="N1575" s="55"/>
      <c r="O1575" s="55"/>
      <c r="P1575" s="55"/>
      <c r="Q1575" s="55"/>
      <c r="R1575" s="55"/>
      <c r="S1575" s="55"/>
      <c r="T1575" s="55"/>
      <c r="U1575" s="55"/>
      <c r="V1575" s="55"/>
      <c r="W1575" s="55"/>
      <c r="X1575" s="55"/>
      <c r="Y1575" s="55"/>
      <c r="Z1575" s="55"/>
      <c r="AA1575" s="55"/>
      <c r="AB1575" s="55"/>
      <c r="AC1575" s="55"/>
      <c r="AD1575" s="55"/>
      <c r="AE1575" s="55"/>
      <c r="AF1575" s="55"/>
      <c r="AG1575" s="55"/>
      <c r="AH1575" s="55"/>
      <c r="AI1575" s="55"/>
      <c r="AJ1575" s="55"/>
      <c r="AK1575" s="55"/>
      <c r="AL1575" s="55"/>
      <c r="AM1575" s="55"/>
      <c r="AN1575" s="55"/>
      <c r="AO1575" s="55"/>
      <c r="AP1575" s="55"/>
      <c r="AQ1575" s="55"/>
      <c r="AR1575" s="55"/>
      <c r="AS1575" s="55"/>
      <c r="AT1575" s="55"/>
      <c r="AU1575" s="55"/>
      <c r="AV1575" s="55"/>
      <c r="AW1575" s="55"/>
      <c r="AX1575" s="55"/>
      <c r="AY1575" s="55"/>
      <c r="AZ1575" s="55"/>
    </row>
    <row r="1576" spans="1:52" ht="12.75" customHeight="1" x14ac:dyDescent="0.2">
      <c r="A1576" s="55"/>
      <c r="B1576" s="76"/>
      <c r="C1576" s="77"/>
      <c r="D1576" s="77"/>
      <c r="E1576" s="55"/>
      <c r="F1576" s="55"/>
      <c r="G1576" s="55"/>
      <c r="H1576" s="55"/>
      <c r="I1576" s="55"/>
      <c r="J1576" s="55"/>
      <c r="K1576" s="55"/>
      <c r="L1576" s="55"/>
      <c r="M1576" s="55"/>
      <c r="N1576" s="55"/>
      <c r="O1576" s="55"/>
      <c r="P1576" s="55"/>
      <c r="Q1576" s="55"/>
      <c r="R1576" s="55"/>
      <c r="S1576" s="55"/>
      <c r="T1576" s="55"/>
      <c r="U1576" s="55"/>
      <c r="V1576" s="55"/>
      <c r="W1576" s="55"/>
      <c r="X1576" s="55"/>
      <c r="Y1576" s="55"/>
      <c r="Z1576" s="55"/>
      <c r="AA1576" s="55"/>
      <c r="AB1576" s="55"/>
      <c r="AC1576" s="55"/>
      <c r="AD1576" s="55"/>
      <c r="AE1576" s="55"/>
      <c r="AF1576" s="55"/>
      <c r="AG1576" s="55"/>
      <c r="AH1576" s="55"/>
      <c r="AI1576" s="55"/>
      <c r="AJ1576" s="55"/>
      <c r="AK1576" s="55"/>
      <c r="AL1576" s="55"/>
      <c r="AM1576" s="55"/>
      <c r="AN1576" s="55"/>
      <c r="AO1576" s="55"/>
      <c r="AP1576" s="55"/>
      <c r="AQ1576" s="55"/>
      <c r="AR1576" s="55"/>
      <c r="AS1576" s="55"/>
      <c r="AT1576" s="55"/>
      <c r="AU1576" s="55"/>
      <c r="AV1576" s="55"/>
      <c r="AW1576" s="55"/>
      <c r="AX1576" s="55"/>
      <c r="AY1576" s="55"/>
      <c r="AZ1576" s="55"/>
    </row>
    <row r="1577" spans="1:52" ht="12.75" customHeight="1" x14ac:dyDescent="0.2">
      <c r="A1577" s="55"/>
      <c r="B1577" s="76"/>
      <c r="C1577" s="77"/>
      <c r="D1577" s="77"/>
      <c r="E1577" s="55"/>
      <c r="F1577" s="55"/>
      <c r="G1577" s="55"/>
      <c r="H1577" s="55"/>
      <c r="I1577" s="55"/>
      <c r="J1577" s="55"/>
      <c r="K1577" s="55"/>
      <c r="L1577" s="55"/>
      <c r="M1577" s="55"/>
      <c r="N1577" s="55"/>
      <c r="O1577" s="55"/>
      <c r="P1577" s="55"/>
      <c r="Q1577" s="55"/>
      <c r="R1577" s="55"/>
      <c r="S1577" s="55"/>
      <c r="T1577" s="55"/>
      <c r="U1577" s="55"/>
      <c r="V1577" s="55"/>
      <c r="W1577" s="55"/>
      <c r="X1577" s="55"/>
      <c r="Y1577" s="55"/>
      <c r="Z1577" s="55"/>
      <c r="AA1577" s="55"/>
      <c r="AB1577" s="55"/>
      <c r="AC1577" s="55"/>
      <c r="AD1577" s="55"/>
      <c r="AE1577" s="55"/>
      <c r="AF1577" s="55"/>
      <c r="AG1577" s="55"/>
      <c r="AH1577" s="55"/>
      <c r="AI1577" s="55"/>
      <c r="AJ1577" s="55"/>
      <c r="AK1577" s="55"/>
      <c r="AL1577" s="55"/>
      <c r="AM1577" s="55"/>
      <c r="AN1577" s="55"/>
      <c r="AO1577" s="55"/>
      <c r="AP1577" s="55"/>
      <c r="AQ1577" s="55"/>
      <c r="AR1577" s="55"/>
      <c r="AS1577" s="55"/>
      <c r="AT1577" s="55"/>
      <c r="AU1577" s="55"/>
      <c r="AV1577" s="55"/>
      <c r="AW1577" s="55"/>
      <c r="AX1577" s="55"/>
      <c r="AY1577" s="55"/>
      <c r="AZ1577" s="55"/>
    </row>
    <row r="1578" spans="1:52" ht="12.75" customHeight="1" x14ac:dyDescent="0.2">
      <c r="A1578" s="55"/>
      <c r="B1578" s="76"/>
      <c r="C1578" s="77"/>
      <c r="D1578" s="77"/>
      <c r="E1578" s="55"/>
      <c r="F1578" s="55"/>
      <c r="G1578" s="55"/>
      <c r="H1578" s="55"/>
      <c r="I1578" s="55"/>
      <c r="J1578" s="55"/>
      <c r="K1578" s="55"/>
      <c r="L1578" s="55"/>
      <c r="M1578" s="55"/>
      <c r="N1578" s="55"/>
      <c r="O1578" s="55"/>
      <c r="P1578" s="55"/>
      <c r="Q1578" s="55"/>
      <c r="R1578" s="55"/>
      <c r="S1578" s="55"/>
      <c r="T1578" s="55"/>
      <c r="U1578" s="55"/>
      <c r="V1578" s="55"/>
      <c r="W1578" s="55"/>
      <c r="X1578" s="55"/>
      <c r="Y1578" s="55"/>
      <c r="Z1578" s="55"/>
      <c r="AA1578" s="55"/>
      <c r="AB1578" s="55"/>
      <c r="AC1578" s="55"/>
      <c r="AD1578" s="55"/>
      <c r="AE1578" s="55"/>
      <c r="AF1578" s="55"/>
      <c r="AG1578" s="55"/>
      <c r="AH1578" s="55"/>
      <c r="AI1578" s="55"/>
      <c r="AJ1578" s="55"/>
      <c r="AK1578" s="55"/>
      <c r="AL1578" s="55"/>
      <c r="AM1578" s="55"/>
      <c r="AN1578" s="55"/>
      <c r="AO1578" s="55"/>
      <c r="AP1578" s="55"/>
      <c r="AQ1578" s="55"/>
      <c r="AR1578" s="55"/>
      <c r="AS1578" s="55"/>
      <c r="AT1578" s="55"/>
      <c r="AU1578" s="55"/>
      <c r="AV1578" s="55"/>
      <c r="AW1578" s="55"/>
      <c r="AX1578" s="55"/>
      <c r="AY1578" s="55"/>
      <c r="AZ1578" s="55"/>
    </row>
    <row r="1579" spans="1:52" ht="12.75" customHeight="1" x14ac:dyDescent="0.2">
      <c r="A1579" s="55"/>
      <c r="B1579" s="76"/>
      <c r="C1579" s="77"/>
      <c r="D1579" s="77"/>
      <c r="E1579" s="55"/>
      <c r="F1579" s="55"/>
      <c r="G1579" s="55"/>
      <c r="H1579" s="55"/>
      <c r="I1579" s="55"/>
      <c r="J1579" s="55"/>
      <c r="K1579" s="55"/>
      <c r="L1579" s="55"/>
      <c r="M1579" s="55"/>
      <c r="N1579" s="55"/>
      <c r="O1579" s="55"/>
      <c r="P1579" s="55"/>
      <c r="Q1579" s="55"/>
      <c r="R1579" s="55"/>
      <c r="S1579" s="55"/>
      <c r="T1579" s="55"/>
      <c r="U1579" s="55"/>
      <c r="V1579" s="55"/>
      <c r="W1579" s="55"/>
      <c r="X1579" s="55"/>
      <c r="Y1579" s="55"/>
      <c r="Z1579" s="55"/>
      <c r="AA1579" s="55"/>
      <c r="AB1579" s="55"/>
      <c r="AC1579" s="55"/>
      <c r="AD1579" s="55"/>
      <c r="AE1579" s="55"/>
      <c r="AF1579" s="55"/>
      <c r="AG1579" s="55"/>
      <c r="AH1579" s="55"/>
      <c r="AI1579" s="55"/>
      <c r="AJ1579" s="55"/>
      <c r="AK1579" s="55"/>
      <c r="AL1579" s="55"/>
      <c r="AM1579" s="55"/>
      <c r="AN1579" s="55"/>
      <c r="AO1579" s="55"/>
      <c r="AP1579" s="55"/>
      <c r="AQ1579" s="55"/>
      <c r="AR1579" s="55"/>
      <c r="AS1579" s="55"/>
      <c r="AT1579" s="55"/>
      <c r="AU1579" s="55"/>
      <c r="AV1579" s="55"/>
      <c r="AW1579" s="55"/>
      <c r="AX1579" s="55"/>
      <c r="AY1579" s="55"/>
      <c r="AZ1579" s="55"/>
    </row>
    <row r="1580" spans="1:52" ht="12.75" customHeight="1" x14ac:dyDescent="0.2">
      <c r="A1580" s="55"/>
      <c r="B1580" s="76"/>
      <c r="C1580" s="77"/>
      <c r="D1580" s="77"/>
      <c r="E1580" s="55"/>
      <c r="F1580" s="55"/>
      <c r="G1580" s="55"/>
      <c r="H1580" s="55"/>
      <c r="I1580" s="55"/>
      <c r="J1580" s="55"/>
      <c r="K1580" s="55"/>
      <c r="L1580" s="55"/>
      <c r="M1580" s="55"/>
      <c r="N1580" s="55"/>
      <c r="O1580" s="55"/>
      <c r="P1580" s="55"/>
      <c r="Q1580" s="55"/>
      <c r="R1580" s="55"/>
      <c r="S1580" s="55"/>
      <c r="T1580" s="55"/>
      <c r="U1580" s="55"/>
      <c r="V1580" s="55"/>
      <c r="W1580" s="55"/>
      <c r="X1580" s="55"/>
      <c r="Y1580" s="55"/>
      <c r="Z1580" s="55"/>
      <c r="AA1580" s="55"/>
      <c r="AB1580" s="55"/>
      <c r="AC1580" s="55"/>
      <c r="AD1580" s="55"/>
      <c r="AE1580" s="55"/>
      <c r="AF1580" s="55"/>
      <c r="AG1580" s="55"/>
      <c r="AH1580" s="55"/>
      <c r="AI1580" s="55"/>
      <c r="AJ1580" s="55"/>
      <c r="AK1580" s="55"/>
      <c r="AL1580" s="55"/>
      <c r="AM1580" s="55"/>
      <c r="AN1580" s="55"/>
      <c r="AO1580" s="55"/>
      <c r="AP1580" s="55"/>
      <c r="AQ1580" s="55"/>
      <c r="AR1580" s="55"/>
      <c r="AS1580" s="55"/>
      <c r="AT1580" s="55"/>
      <c r="AU1580" s="55"/>
      <c r="AV1580" s="55"/>
      <c r="AW1580" s="55"/>
      <c r="AX1580" s="55"/>
      <c r="AY1580" s="55"/>
      <c r="AZ1580" s="55"/>
    </row>
    <row r="1581" spans="1:52" ht="12.75" customHeight="1" x14ac:dyDescent="0.2">
      <c r="A1581" s="55"/>
      <c r="B1581" s="76"/>
      <c r="C1581" s="77"/>
      <c r="D1581" s="77"/>
      <c r="E1581" s="55"/>
      <c r="F1581" s="55"/>
      <c r="G1581" s="55"/>
      <c r="H1581" s="55"/>
      <c r="I1581" s="55"/>
      <c r="J1581" s="55"/>
      <c r="K1581" s="55"/>
      <c r="L1581" s="55"/>
      <c r="M1581" s="55"/>
      <c r="N1581" s="55"/>
      <c r="O1581" s="55"/>
      <c r="P1581" s="55"/>
      <c r="Q1581" s="55"/>
      <c r="R1581" s="55"/>
      <c r="S1581" s="55"/>
      <c r="T1581" s="55"/>
      <c r="U1581" s="55"/>
      <c r="V1581" s="55"/>
      <c r="W1581" s="55"/>
      <c r="X1581" s="55"/>
      <c r="Y1581" s="55"/>
      <c r="Z1581" s="55"/>
      <c r="AA1581" s="55"/>
      <c r="AB1581" s="55"/>
      <c r="AC1581" s="55"/>
      <c r="AD1581" s="55"/>
      <c r="AE1581" s="55"/>
      <c r="AF1581" s="55"/>
      <c r="AG1581" s="55"/>
      <c r="AH1581" s="55"/>
      <c r="AI1581" s="55"/>
      <c r="AJ1581" s="55"/>
      <c r="AK1581" s="55"/>
      <c r="AL1581" s="55"/>
      <c r="AM1581" s="55"/>
      <c r="AN1581" s="55"/>
      <c r="AO1581" s="55"/>
      <c r="AP1581" s="55"/>
      <c r="AQ1581" s="55"/>
      <c r="AR1581" s="55"/>
      <c r="AS1581" s="55"/>
      <c r="AT1581" s="55"/>
      <c r="AU1581" s="55"/>
      <c r="AV1581" s="55"/>
      <c r="AW1581" s="55"/>
      <c r="AX1581" s="55"/>
      <c r="AY1581" s="55"/>
      <c r="AZ1581" s="55"/>
    </row>
    <row r="1582" spans="1:52" ht="12.75" customHeight="1" x14ac:dyDescent="0.2">
      <c r="A1582" s="55"/>
      <c r="B1582" s="76"/>
      <c r="C1582" s="77"/>
      <c r="D1582" s="77"/>
      <c r="E1582" s="55"/>
      <c r="F1582" s="55"/>
      <c r="G1582" s="55"/>
      <c r="H1582" s="55"/>
      <c r="I1582" s="55"/>
      <c r="J1582" s="55"/>
      <c r="K1582" s="55"/>
      <c r="L1582" s="55"/>
      <c r="M1582" s="55"/>
      <c r="N1582" s="55"/>
      <c r="O1582" s="55"/>
      <c r="P1582" s="55"/>
      <c r="Q1582" s="55"/>
      <c r="R1582" s="55"/>
      <c r="S1582" s="55"/>
      <c r="T1582" s="55"/>
      <c r="U1582" s="55"/>
      <c r="V1582" s="55"/>
      <c r="W1582" s="55"/>
      <c r="X1582" s="55"/>
      <c r="Y1582" s="55"/>
      <c r="Z1582" s="55"/>
      <c r="AA1582" s="55"/>
      <c r="AB1582" s="55"/>
      <c r="AC1582" s="55"/>
      <c r="AD1582" s="55"/>
      <c r="AE1582" s="55"/>
      <c r="AF1582" s="55"/>
      <c r="AG1582" s="55"/>
      <c r="AH1582" s="55"/>
      <c r="AI1582" s="55"/>
      <c r="AJ1582" s="55"/>
      <c r="AK1582" s="55"/>
      <c r="AL1582" s="55"/>
      <c r="AM1582" s="55"/>
      <c r="AN1582" s="55"/>
      <c r="AO1582" s="55"/>
      <c r="AP1582" s="55"/>
      <c r="AQ1582" s="55"/>
      <c r="AR1582" s="55"/>
      <c r="AS1582" s="55"/>
      <c r="AT1582" s="55"/>
      <c r="AU1582" s="55"/>
      <c r="AV1582" s="55"/>
      <c r="AW1582" s="55"/>
      <c r="AX1582" s="55"/>
      <c r="AY1582" s="55"/>
      <c r="AZ1582" s="55"/>
    </row>
    <row r="1583" spans="1:52" ht="12.75" customHeight="1" x14ac:dyDescent="0.2">
      <c r="A1583" s="55"/>
      <c r="B1583" s="76"/>
      <c r="C1583" s="77"/>
      <c r="D1583" s="77"/>
      <c r="E1583" s="55"/>
      <c r="F1583" s="55"/>
      <c r="G1583" s="55"/>
      <c r="H1583" s="55"/>
      <c r="I1583" s="55"/>
      <c r="J1583" s="55"/>
      <c r="K1583" s="55"/>
      <c r="L1583" s="55"/>
      <c r="M1583" s="55"/>
      <c r="N1583" s="55"/>
      <c r="O1583" s="55"/>
      <c r="P1583" s="55"/>
      <c r="Q1583" s="55"/>
      <c r="R1583" s="55"/>
      <c r="S1583" s="55"/>
      <c r="T1583" s="55"/>
      <c r="U1583" s="55"/>
      <c r="V1583" s="55"/>
      <c r="W1583" s="55"/>
      <c r="X1583" s="55"/>
      <c r="Y1583" s="55"/>
      <c r="Z1583" s="55"/>
      <c r="AA1583" s="55"/>
      <c r="AB1583" s="55"/>
      <c r="AC1583" s="55"/>
      <c r="AD1583" s="55"/>
      <c r="AE1583" s="55"/>
      <c r="AF1583" s="55"/>
      <c r="AG1583" s="55"/>
      <c r="AH1583" s="55"/>
      <c r="AI1583" s="55"/>
      <c r="AJ1583" s="55"/>
      <c r="AK1583" s="55"/>
      <c r="AL1583" s="55"/>
      <c r="AM1583" s="55"/>
      <c r="AN1583" s="55"/>
      <c r="AO1583" s="55"/>
      <c r="AP1583" s="55"/>
      <c r="AQ1583" s="55"/>
      <c r="AR1583" s="55"/>
      <c r="AS1583" s="55"/>
      <c r="AT1583" s="55"/>
      <c r="AU1583" s="55"/>
      <c r="AV1583" s="55"/>
      <c r="AW1583" s="55"/>
      <c r="AX1583" s="55"/>
      <c r="AY1583" s="55"/>
      <c r="AZ1583" s="55"/>
    </row>
    <row r="1584" spans="1:52" ht="12.75" customHeight="1" x14ac:dyDescent="0.2">
      <c r="A1584" s="55"/>
      <c r="B1584" s="76"/>
      <c r="C1584" s="77"/>
      <c r="D1584" s="77"/>
      <c r="E1584" s="55"/>
      <c r="F1584" s="55"/>
      <c r="G1584" s="55"/>
      <c r="H1584" s="55"/>
      <c r="I1584" s="55"/>
      <c r="J1584" s="55"/>
      <c r="K1584" s="55"/>
      <c r="L1584" s="55"/>
      <c r="M1584" s="55"/>
      <c r="N1584" s="55"/>
      <c r="O1584" s="55"/>
      <c r="P1584" s="55"/>
      <c r="Q1584" s="55"/>
      <c r="R1584" s="55"/>
      <c r="S1584" s="55"/>
      <c r="T1584" s="55"/>
      <c r="U1584" s="55"/>
      <c r="V1584" s="55"/>
      <c r="W1584" s="55"/>
      <c r="X1584" s="55"/>
      <c r="Y1584" s="55"/>
      <c r="Z1584" s="55"/>
      <c r="AA1584" s="55"/>
      <c r="AB1584" s="55"/>
      <c r="AC1584" s="55"/>
      <c r="AD1584" s="55"/>
      <c r="AE1584" s="55"/>
      <c r="AF1584" s="55"/>
      <c r="AG1584" s="55"/>
      <c r="AH1584" s="55"/>
      <c r="AI1584" s="55"/>
      <c r="AJ1584" s="55"/>
      <c r="AK1584" s="55"/>
      <c r="AL1584" s="55"/>
      <c r="AM1584" s="55"/>
      <c r="AN1584" s="55"/>
      <c r="AO1584" s="55"/>
      <c r="AP1584" s="55"/>
      <c r="AQ1584" s="55"/>
      <c r="AR1584" s="55"/>
      <c r="AS1584" s="55"/>
      <c r="AT1584" s="55"/>
      <c r="AU1584" s="55"/>
      <c r="AV1584" s="55"/>
      <c r="AW1584" s="55"/>
      <c r="AX1584" s="55"/>
      <c r="AY1584" s="55"/>
      <c r="AZ1584" s="55"/>
    </row>
    <row r="1585" spans="1:52" ht="12.75" customHeight="1" x14ac:dyDescent="0.2">
      <c r="A1585" s="55"/>
      <c r="B1585" s="76"/>
      <c r="C1585" s="77"/>
      <c r="D1585" s="77"/>
      <c r="E1585" s="55"/>
      <c r="F1585" s="55"/>
      <c r="G1585" s="55"/>
      <c r="H1585" s="55"/>
      <c r="I1585" s="55"/>
      <c r="J1585" s="55"/>
      <c r="K1585" s="55"/>
      <c r="L1585" s="55"/>
      <c r="M1585" s="55"/>
      <c r="N1585" s="55"/>
      <c r="O1585" s="55"/>
      <c r="P1585" s="55"/>
      <c r="Q1585" s="55"/>
      <c r="R1585" s="55"/>
      <c r="S1585" s="55"/>
      <c r="T1585" s="55"/>
      <c r="U1585" s="55"/>
      <c r="V1585" s="55"/>
      <c r="W1585" s="55"/>
      <c r="X1585" s="55"/>
      <c r="Y1585" s="55"/>
      <c r="Z1585" s="55"/>
      <c r="AA1585" s="55"/>
      <c r="AB1585" s="55"/>
      <c r="AC1585" s="55"/>
      <c r="AD1585" s="55"/>
      <c r="AE1585" s="55"/>
      <c r="AF1585" s="55"/>
      <c r="AG1585" s="55"/>
      <c r="AH1585" s="55"/>
      <c r="AI1585" s="55"/>
      <c r="AJ1585" s="55"/>
      <c r="AK1585" s="55"/>
      <c r="AL1585" s="55"/>
      <c r="AM1585" s="55"/>
      <c r="AN1585" s="55"/>
      <c r="AO1585" s="55"/>
      <c r="AP1585" s="55"/>
      <c r="AQ1585" s="55"/>
      <c r="AR1585" s="55"/>
      <c r="AS1585" s="55"/>
      <c r="AT1585" s="55"/>
      <c r="AU1585" s="55"/>
      <c r="AV1585" s="55"/>
      <c r="AW1585" s="55"/>
      <c r="AX1585" s="55"/>
      <c r="AY1585" s="55"/>
      <c r="AZ1585" s="55"/>
    </row>
    <row r="1586" spans="1:52" ht="12.75" customHeight="1" x14ac:dyDescent="0.2">
      <c r="A1586" s="55"/>
      <c r="B1586" s="76"/>
      <c r="C1586" s="77"/>
      <c r="D1586" s="77"/>
      <c r="E1586" s="55"/>
      <c r="F1586" s="55"/>
      <c r="G1586" s="55"/>
      <c r="H1586" s="55"/>
      <c r="I1586" s="55"/>
      <c r="J1586" s="55"/>
      <c r="K1586" s="55"/>
      <c r="L1586" s="55"/>
      <c r="M1586" s="55"/>
      <c r="N1586" s="55"/>
      <c r="O1586" s="55"/>
      <c r="P1586" s="55"/>
      <c r="Q1586" s="55"/>
      <c r="R1586" s="55"/>
      <c r="S1586" s="55"/>
      <c r="T1586" s="55"/>
      <c r="U1586" s="55"/>
      <c r="V1586" s="55"/>
      <c r="W1586" s="55"/>
      <c r="X1586" s="55"/>
      <c r="Y1586" s="55"/>
      <c r="Z1586" s="55"/>
      <c r="AA1586" s="55"/>
      <c r="AB1586" s="55"/>
      <c r="AC1586" s="55"/>
      <c r="AD1586" s="55"/>
      <c r="AE1586" s="55"/>
      <c r="AF1586" s="55"/>
      <c r="AG1586" s="55"/>
      <c r="AH1586" s="55"/>
      <c r="AI1586" s="55"/>
      <c r="AJ1586" s="55"/>
      <c r="AK1586" s="55"/>
      <c r="AL1586" s="55"/>
      <c r="AM1586" s="55"/>
      <c r="AN1586" s="55"/>
      <c r="AO1586" s="55"/>
      <c r="AP1586" s="55"/>
      <c r="AQ1586" s="55"/>
      <c r="AR1586" s="55"/>
      <c r="AS1586" s="55"/>
      <c r="AT1586" s="55"/>
      <c r="AU1586" s="55"/>
      <c r="AV1586" s="55"/>
      <c r="AW1586" s="55"/>
      <c r="AX1586" s="55"/>
      <c r="AY1586" s="55"/>
      <c r="AZ1586" s="55"/>
    </row>
    <row r="1587" spans="1:52" ht="12.75" customHeight="1" x14ac:dyDescent="0.2">
      <c r="A1587" s="55"/>
      <c r="B1587" s="76"/>
      <c r="C1587" s="77"/>
      <c r="D1587" s="77"/>
      <c r="E1587" s="55"/>
      <c r="F1587" s="55"/>
      <c r="G1587" s="55"/>
      <c r="H1587" s="55"/>
      <c r="I1587" s="55"/>
      <c r="J1587" s="55"/>
      <c r="K1587" s="55"/>
      <c r="L1587" s="55"/>
      <c r="M1587" s="55"/>
      <c r="N1587" s="55"/>
      <c r="O1587" s="55"/>
      <c r="P1587" s="55"/>
      <c r="Q1587" s="55"/>
      <c r="R1587" s="55"/>
      <c r="S1587" s="55"/>
      <c r="T1587" s="55"/>
      <c r="U1587" s="55"/>
      <c r="V1587" s="55"/>
      <c r="W1587" s="55"/>
      <c r="X1587" s="55"/>
      <c r="Y1587" s="55"/>
      <c r="Z1587" s="55"/>
      <c r="AA1587" s="55"/>
      <c r="AB1587" s="55"/>
      <c r="AC1587" s="55"/>
      <c r="AD1587" s="55"/>
      <c r="AE1587" s="55"/>
      <c r="AF1587" s="55"/>
      <c r="AG1587" s="55"/>
      <c r="AH1587" s="55"/>
      <c r="AI1587" s="55"/>
      <c r="AJ1587" s="55"/>
      <c r="AK1587" s="55"/>
      <c r="AL1587" s="55"/>
      <c r="AM1587" s="55"/>
      <c r="AN1587" s="55"/>
      <c r="AO1587" s="55"/>
      <c r="AP1587" s="55"/>
      <c r="AQ1587" s="55"/>
      <c r="AR1587" s="55"/>
      <c r="AS1587" s="55"/>
      <c r="AT1587" s="55"/>
      <c r="AU1587" s="55"/>
      <c r="AV1587" s="55"/>
      <c r="AW1587" s="55"/>
      <c r="AX1587" s="55"/>
      <c r="AY1587" s="55"/>
      <c r="AZ1587" s="55"/>
    </row>
    <row r="1588" spans="1:52" ht="12.75" customHeight="1" x14ac:dyDescent="0.2">
      <c r="A1588" s="55"/>
      <c r="B1588" s="76"/>
      <c r="C1588" s="77"/>
      <c r="D1588" s="77"/>
      <c r="E1588" s="55"/>
      <c r="F1588" s="55"/>
      <c r="G1588" s="55"/>
      <c r="H1588" s="55"/>
      <c r="I1588" s="55"/>
      <c r="J1588" s="55"/>
      <c r="K1588" s="55"/>
      <c r="L1588" s="55"/>
      <c r="M1588" s="55"/>
      <c r="N1588" s="55"/>
      <c r="O1588" s="55"/>
      <c r="P1588" s="55"/>
      <c r="Q1588" s="55"/>
      <c r="R1588" s="55"/>
      <c r="S1588" s="55"/>
      <c r="T1588" s="55"/>
      <c r="U1588" s="55"/>
      <c r="V1588" s="55"/>
      <c r="W1588" s="55"/>
      <c r="X1588" s="55"/>
      <c r="Y1588" s="55"/>
      <c r="Z1588" s="55"/>
      <c r="AA1588" s="55"/>
      <c r="AB1588" s="55"/>
      <c r="AC1588" s="55"/>
      <c r="AD1588" s="55"/>
      <c r="AE1588" s="55"/>
      <c r="AF1588" s="55"/>
      <c r="AG1588" s="55"/>
      <c r="AH1588" s="55"/>
      <c r="AI1588" s="55"/>
      <c r="AJ1588" s="55"/>
      <c r="AK1588" s="55"/>
      <c r="AL1588" s="55"/>
      <c r="AM1588" s="55"/>
      <c r="AN1588" s="55"/>
      <c r="AO1588" s="55"/>
      <c r="AP1588" s="55"/>
      <c r="AQ1588" s="55"/>
      <c r="AR1588" s="55"/>
      <c r="AS1588" s="55"/>
      <c r="AT1588" s="55"/>
      <c r="AU1588" s="55"/>
      <c r="AV1588" s="55"/>
      <c r="AW1588" s="55"/>
      <c r="AX1588" s="55"/>
      <c r="AY1588" s="55"/>
      <c r="AZ1588" s="55"/>
    </row>
    <row r="1589" spans="1:52" ht="12.75" customHeight="1" x14ac:dyDescent="0.2">
      <c r="A1589" s="55"/>
      <c r="B1589" s="76"/>
      <c r="C1589" s="77"/>
      <c r="D1589" s="77"/>
      <c r="E1589" s="55"/>
      <c r="F1589" s="55"/>
      <c r="G1589" s="55"/>
      <c r="H1589" s="55"/>
      <c r="I1589" s="55"/>
      <c r="J1589" s="55"/>
      <c r="K1589" s="55"/>
      <c r="L1589" s="55"/>
      <c r="M1589" s="55"/>
      <c r="N1589" s="55"/>
      <c r="O1589" s="55"/>
      <c r="P1589" s="55"/>
      <c r="Q1589" s="55"/>
      <c r="R1589" s="55"/>
      <c r="S1589" s="55"/>
      <c r="T1589" s="55"/>
      <c r="U1589" s="55"/>
      <c r="V1589" s="55"/>
      <c r="W1589" s="55"/>
      <c r="X1589" s="55"/>
      <c r="Y1589" s="55"/>
      <c r="Z1589" s="55"/>
      <c r="AA1589" s="55"/>
      <c r="AB1589" s="55"/>
      <c r="AC1589" s="55"/>
      <c r="AD1589" s="55"/>
      <c r="AE1589" s="55"/>
      <c r="AF1589" s="55"/>
      <c r="AG1589" s="55"/>
      <c r="AH1589" s="55"/>
      <c r="AI1589" s="55"/>
      <c r="AJ1589" s="55"/>
      <c r="AK1589" s="55"/>
      <c r="AL1589" s="55"/>
      <c r="AM1589" s="55"/>
      <c r="AN1589" s="55"/>
      <c r="AO1589" s="55"/>
      <c r="AP1589" s="55"/>
      <c r="AQ1589" s="55"/>
      <c r="AR1589" s="55"/>
      <c r="AS1589" s="55"/>
      <c r="AT1589" s="55"/>
      <c r="AU1589" s="55"/>
      <c r="AV1589" s="55"/>
      <c r="AW1589" s="55"/>
      <c r="AX1589" s="55"/>
      <c r="AY1589" s="55"/>
      <c r="AZ1589" s="55"/>
    </row>
    <row r="1590" spans="1:52" ht="12.75" customHeight="1" x14ac:dyDescent="0.2">
      <c r="A1590" s="55"/>
      <c r="B1590" s="76"/>
      <c r="C1590" s="77"/>
      <c r="D1590" s="77"/>
      <c r="E1590" s="55"/>
      <c r="F1590" s="55"/>
      <c r="G1590" s="55"/>
      <c r="H1590" s="55"/>
      <c r="I1590" s="55"/>
      <c r="J1590" s="55"/>
      <c r="K1590" s="55"/>
      <c r="L1590" s="55"/>
      <c r="M1590" s="55"/>
      <c r="N1590" s="55"/>
      <c r="O1590" s="55"/>
      <c r="P1590" s="55"/>
      <c r="Q1590" s="55"/>
      <c r="R1590" s="55"/>
      <c r="S1590" s="55"/>
      <c r="T1590" s="55"/>
      <c r="U1590" s="55"/>
      <c r="V1590" s="55"/>
      <c r="W1590" s="55"/>
      <c r="X1590" s="55"/>
      <c r="Y1590" s="55"/>
      <c r="Z1590" s="55"/>
      <c r="AA1590" s="55"/>
      <c r="AB1590" s="55"/>
      <c r="AC1590" s="55"/>
      <c r="AD1590" s="55"/>
      <c r="AE1590" s="55"/>
      <c r="AF1590" s="55"/>
      <c r="AG1590" s="55"/>
      <c r="AH1590" s="55"/>
      <c r="AI1590" s="55"/>
      <c r="AJ1590" s="55"/>
      <c r="AK1590" s="55"/>
      <c r="AL1590" s="55"/>
      <c r="AM1590" s="55"/>
      <c r="AN1590" s="55"/>
      <c r="AO1590" s="55"/>
      <c r="AP1590" s="55"/>
      <c r="AQ1590" s="55"/>
      <c r="AR1590" s="55"/>
      <c r="AS1590" s="55"/>
      <c r="AT1590" s="55"/>
      <c r="AU1590" s="55"/>
      <c r="AV1590" s="55"/>
      <c r="AW1590" s="55"/>
      <c r="AX1590" s="55"/>
      <c r="AY1590" s="55"/>
      <c r="AZ1590" s="55"/>
    </row>
    <row r="1591" spans="1:52" ht="12.75" customHeight="1" x14ac:dyDescent="0.2">
      <c r="A1591" s="55"/>
      <c r="B1591" s="76"/>
      <c r="C1591" s="77"/>
      <c r="D1591" s="77"/>
      <c r="E1591" s="55"/>
      <c r="F1591" s="55"/>
      <c r="G1591" s="55"/>
      <c r="H1591" s="55"/>
      <c r="I1591" s="55"/>
      <c r="J1591" s="55"/>
      <c r="K1591" s="55"/>
      <c r="L1591" s="55"/>
      <c r="M1591" s="55"/>
      <c r="N1591" s="55"/>
      <c r="O1591" s="55"/>
      <c r="P1591" s="55"/>
      <c r="Q1591" s="55"/>
      <c r="R1591" s="55"/>
      <c r="S1591" s="55"/>
      <c r="T1591" s="55"/>
      <c r="U1591" s="55"/>
      <c r="V1591" s="55"/>
      <c r="W1591" s="55"/>
      <c r="X1591" s="55"/>
      <c r="Y1591" s="55"/>
      <c r="Z1591" s="55"/>
      <c r="AA1591" s="55"/>
      <c r="AB1591" s="55"/>
      <c r="AC1591" s="55"/>
      <c r="AD1591" s="55"/>
      <c r="AE1591" s="55"/>
      <c r="AF1591" s="55"/>
      <c r="AG1591" s="55"/>
      <c r="AH1591" s="55"/>
      <c r="AI1591" s="55"/>
      <c r="AJ1591" s="55"/>
      <c r="AK1591" s="55"/>
      <c r="AL1591" s="55"/>
      <c r="AM1591" s="55"/>
      <c r="AN1591" s="55"/>
      <c r="AO1591" s="55"/>
      <c r="AP1591" s="55"/>
      <c r="AQ1591" s="55"/>
      <c r="AR1591" s="55"/>
      <c r="AS1591" s="55"/>
      <c r="AT1591" s="55"/>
      <c r="AU1591" s="55"/>
      <c r="AV1591" s="55"/>
      <c r="AW1591" s="55"/>
      <c r="AX1591" s="55"/>
      <c r="AY1591" s="55"/>
      <c r="AZ1591" s="55"/>
    </row>
    <row r="1592" spans="1:52" ht="12.75" customHeight="1" x14ac:dyDescent="0.2">
      <c r="A1592" s="55"/>
      <c r="B1592" s="76"/>
      <c r="C1592" s="77"/>
      <c r="D1592" s="77"/>
      <c r="E1592" s="55"/>
      <c r="F1592" s="55"/>
      <c r="G1592" s="55"/>
      <c r="H1592" s="55"/>
      <c r="I1592" s="55"/>
      <c r="J1592" s="55"/>
      <c r="K1592" s="55"/>
      <c r="L1592" s="55"/>
      <c r="M1592" s="55"/>
      <c r="N1592" s="55"/>
      <c r="O1592" s="55"/>
      <c r="P1592" s="55"/>
      <c r="Q1592" s="55"/>
      <c r="R1592" s="55"/>
      <c r="S1592" s="55"/>
      <c r="T1592" s="55"/>
      <c r="U1592" s="55"/>
      <c r="V1592" s="55"/>
      <c r="W1592" s="55"/>
      <c r="X1592" s="55"/>
      <c r="Y1592" s="55"/>
      <c r="Z1592" s="55"/>
      <c r="AA1592" s="55"/>
      <c r="AB1592" s="55"/>
      <c r="AC1592" s="55"/>
      <c r="AD1592" s="55"/>
      <c r="AE1592" s="55"/>
      <c r="AF1592" s="55"/>
      <c r="AG1592" s="55"/>
      <c r="AH1592" s="55"/>
      <c r="AI1592" s="55"/>
      <c r="AJ1592" s="55"/>
      <c r="AK1592" s="55"/>
      <c r="AL1592" s="55"/>
      <c r="AM1592" s="55"/>
      <c r="AN1592" s="55"/>
      <c r="AO1592" s="55"/>
      <c r="AP1592" s="55"/>
      <c r="AQ1592" s="55"/>
      <c r="AR1592" s="55"/>
      <c r="AS1592" s="55"/>
      <c r="AT1592" s="55"/>
      <c r="AU1592" s="55"/>
      <c r="AV1592" s="55"/>
      <c r="AW1592" s="55"/>
      <c r="AX1592" s="55"/>
      <c r="AY1592" s="55"/>
      <c r="AZ1592" s="55"/>
    </row>
    <row r="1593" spans="1:52" ht="12.75" customHeight="1" x14ac:dyDescent="0.2">
      <c r="A1593" s="55"/>
      <c r="B1593" s="76"/>
      <c r="C1593" s="77"/>
      <c r="D1593" s="77"/>
      <c r="E1593" s="55"/>
      <c r="F1593" s="55"/>
      <c r="G1593" s="55"/>
      <c r="H1593" s="55"/>
      <c r="I1593" s="55"/>
      <c r="J1593" s="55"/>
      <c r="K1593" s="55"/>
      <c r="L1593" s="55"/>
      <c r="M1593" s="55"/>
      <c r="N1593" s="55"/>
      <c r="O1593" s="55"/>
      <c r="P1593" s="55"/>
      <c r="Q1593" s="55"/>
      <c r="R1593" s="55"/>
      <c r="S1593" s="55"/>
      <c r="T1593" s="55"/>
      <c r="U1593" s="55"/>
      <c r="V1593" s="55"/>
      <c r="W1593" s="55"/>
      <c r="X1593" s="55"/>
      <c r="Y1593" s="55"/>
      <c r="Z1593" s="55"/>
      <c r="AA1593" s="55"/>
      <c r="AB1593" s="55"/>
      <c r="AC1593" s="55"/>
      <c r="AD1593" s="55"/>
      <c r="AE1593" s="55"/>
      <c r="AF1593" s="55"/>
      <c r="AG1593" s="55"/>
      <c r="AH1593" s="55"/>
      <c r="AI1593" s="55"/>
      <c r="AJ1593" s="55"/>
      <c r="AK1593" s="55"/>
      <c r="AL1593" s="55"/>
      <c r="AM1593" s="55"/>
      <c r="AN1593" s="55"/>
      <c r="AO1593" s="55"/>
      <c r="AP1593" s="55"/>
      <c r="AQ1593" s="55"/>
      <c r="AR1593" s="55"/>
      <c r="AS1593" s="55"/>
      <c r="AT1593" s="55"/>
      <c r="AU1593" s="55"/>
      <c r="AV1593" s="55"/>
      <c r="AW1593" s="55"/>
      <c r="AX1593" s="55"/>
      <c r="AY1593" s="55"/>
      <c r="AZ1593" s="55"/>
    </row>
    <row r="1594" spans="1:52" ht="12.75" customHeight="1" x14ac:dyDescent="0.2">
      <c r="A1594" s="55"/>
      <c r="B1594" s="76"/>
      <c r="C1594" s="77"/>
      <c r="D1594" s="77"/>
      <c r="E1594" s="55"/>
      <c r="F1594" s="55"/>
      <c r="G1594" s="55"/>
      <c r="H1594" s="55"/>
      <c r="I1594" s="55"/>
      <c r="J1594" s="55"/>
      <c r="K1594" s="55"/>
      <c r="L1594" s="55"/>
      <c r="M1594" s="55"/>
      <c r="N1594" s="55"/>
      <c r="O1594" s="55"/>
      <c r="P1594" s="55"/>
      <c r="Q1594" s="55"/>
      <c r="R1594" s="55"/>
      <c r="S1594" s="55"/>
      <c r="T1594" s="55"/>
      <c r="U1594" s="55"/>
      <c r="V1594" s="55"/>
      <c r="W1594" s="55"/>
      <c r="X1594" s="55"/>
      <c r="Y1594" s="55"/>
      <c r="Z1594" s="55"/>
      <c r="AA1594" s="55"/>
      <c r="AB1594" s="55"/>
      <c r="AC1594" s="55"/>
      <c r="AD1594" s="55"/>
      <c r="AE1594" s="55"/>
      <c r="AF1594" s="55"/>
      <c r="AG1594" s="55"/>
      <c r="AH1594" s="55"/>
      <c r="AI1594" s="55"/>
      <c r="AJ1594" s="55"/>
      <c r="AK1594" s="55"/>
      <c r="AL1594" s="55"/>
      <c r="AM1594" s="55"/>
      <c r="AN1594" s="55"/>
      <c r="AO1594" s="55"/>
      <c r="AP1594" s="55"/>
      <c r="AQ1594" s="55"/>
      <c r="AR1594" s="55"/>
      <c r="AS1594" s="55"/>
      <c r="AT1594" s="55"/>
      <c r="AU1594" s="55"/>
      <c r="AV1594" s="55"/>
      <c r="AW1594" s="55"/>
      <c r="AX1594" s="55"/>
      <c r="AY1594" s="55"/>
      <c r="AZ1594" s="55"/>
    </row>
    <row r="1595" spans="1:52" ht="12.75" customHeight="1" x14ac:dyDescent="0.2">
      <c r="A1595" s="55"/>
      <c r="B1595" s="76"/>
      <c r="C1595" s="77"/>
      <c r="D1595" s="77"/>
      <c r="E1595" s="55"/>
      <c r="F1595" s="55"/>
      <c r="G1595" s="55"/>
      <c r="H1595" s="55"/>
      <c r="I1595" s="55"/>
      <c r="J1595" s="55"/>
      <c r="K1595" s="55"/>
      <c r="L1595" s="55"/>
      <c r="M1595" s="55"/>
      <c r="N1595" s="55"/>
      <c r="O1595" s="55"/>
      <c r="P1595" s="55"/>
      <c r="Q1595" s="55"/>
      <c r="R1595" s="55"/>
      <c r="S1595" s="55"/>
      <c r="T1595" s="55"/>
      <c r="U1595" s="55"/>
      <c r="V1595" s="55"/>
      <c r="W1595" s="55"/>
      <c r="X1595" s="55"/>
      <c r="Y1595" s="55"/>
      <c r="Z1595" s="55"/>
      <c r="AA1595" s="55"/>
      <c r="AB1595" s="55"/>
      <c r="AC1595" s="55"/>
      <c r="AD1595" s="55"/>
      <c r="AE1595" s="55"/>
      <c r="AF1595" s="55"/>
      <c r="AG1595" s="55"/>
      <c r="AH1595" s="55"/>
      <c r="AI1595" s="55"/>
      <c r="AJ1595" s="55"/>
      <c r="AK1595" s="55"/>
      <c r="AL1595" s="55"/>
      <c r="AM1595" s="55"/>
      <c r="AN1595" s="55"/>
      <c r="AO1595" s="55"/>
      <c r="AP1595" s="55"/>
      <c r="AQ1595" s="55"/>
      <c r="AR1595" s="55"/>
      <c r="AS1595" s="55"/>
      <c r="AT1595" s="55"/>
      <c r="AU1595" s="55"/>
      <c r="AV1595" s="55"/>
      <c r="AW1595" s="55"/>
      <c r="AX1595" s="55"/>
      <c r="AY1595" s="55"/>
      <c r="AZ1595" s="55"/>
    </row>
    <row r="1596" spans="1:52" ht="12.75" customHeight="1" x14ac:dyDescent="0.2">
      <c r="A1596" s="55"/>
      <c r="B1596" s="76"/>
      <c r="C1596" s="77"/>
      <c r="D1596" s="77"/>
      <c r="E1596" s="55"/>
      <c r="F1596" s="55"/>
      <c r="G1596" s="55"/>
      <c r="H1596" s="55"/>
      <c r="I1596" s="55"/>
      <c r="J1596" s="55"/>
      <c r="K1596" s="55"/>
      <c r="L1596" s="55"/>
      <c r="M1596" s="55"/>
      <c r="N1596" s="55"/>
      <c r="O1596" s="55"/>
      <c r="P1596" s="55"/>
      <c r="Q1596" s="55"/>
      <c r="R1596" s="55"/>
      <c r="S1596" s="55"/>
      <c r="T1596" s="55"/>
      <c r="U1596" s="55"/>
      <c r="V1596" s="55"/>
      <c r="W1596" s="55"/>
      <c r="X1596" s="55"/>
      <c r="Y1596" s="55"/>
      <c r="Z1596" s="55"/>
      <c r="AA1596" s="55"/>
      <c r="AB1596" s="55"/>
      <c r="AC1596" s="55"/>
      <c r="AD1596" s="55"/>
      <c r="AE1596" s="55"/>
      <c r="AF1596" s="55"/>
      <c r="AG1596" s="55"/>
      <c r="AH1596" s="55"/>
      <c r="AI1596" s="55"/>
      <c r="AJ1596" s="55"/>
      <c r="AK1596" s="55"/>
      <c r="AL1596" s="55"/>
      <c r="AM1596" s="55"/>
      <c r="AN1596" s="55"/>
      <c r="AO1596" s="55"/>
      <c r="AP1596" s="55"/>
      <c r="AQ1596" s="55"/>
      <c r="AR1596" s="55"/>
      <c r="AS1596" s="55"/>
      <c r="AT1596" s="55"/>
      <c r="AU1596" s="55"/>
      <c r="AV1596" s="55"/>
      <c r="AW1596" s="55"/>
      <c r="AX1596" s="55"/>
      <c r="AY1596" s="55"/>
      <c r="AZ1596" s="55"/>
    </row>
    <row r="1597" spans="1:52" ht="12.75" customHeight="1" x14ac:dyDescent="0.2">
      <c r="A1597" s="55"/>
      <c r="B1597" s="76"/>
      <c r="C1597" s="77"/>
      <c r="D1597" s="77"/>
      <c r="E1597" s="55"/>
      <c r="F1597" s="55"/>
      <c r="G1597" s="55"/>
      <c r="H1597" s="55"/>
      <c r="I1597" s="55"/>
      <c r="J1597" s="55"/>
      <c r="K1597" s="55"/>
      <c r="L1597" s="55"/>
      <c r="M1597" s="55"/>
      <c r="N1597" s="55"/>
      <c r="O1597" s="55"/>
      <c r="P1597" s="55"/>
      <c r="Q1597" s="55"/>
      <c r="R1597" s="55"/>
      <c r="S1597" s="55"/>
      <c r="T1597" s="55"/>
      <c r="U1597" s="55"/>
      <c r="V1597" s="55"/>
      <c r="W1597" s="55"/>
      <c r="X1597" s="55"/>
      <c r="Y1597" s="55"/>
      <c r="Z1597" s="55"/>
      <c r="AA1597" s="55"/>
      <c r="AB1597" s="55"/>
      <c r="AC1597" s="55"/>
      <c r="AD1597" s="55"/>
      <c r="AE1597" s="55"/>
      <c r="AF1597" s="55"/>
      <c r="AG1597" s="55"/>
      <c r="AH1597" s="55"/>
      <c r="AI1597" s="55"/>
      <c r="AJ1597" s="55"/>
      <c r="AK1597" s="55"/>
      <c r="AL1597" s="55"/>
      <c r="AM1597" s="55"/>
      <c r="AN1597" s="55"/>
      <c r="AO1597" s="55"/>
      <c r="AP1597" s="55"/>
      <c r="AQ1597" s="55"/>
      <c r="AR1597" s="55"/>
      <c r="AS1597" s="55"/>
      <c r="AT1597" s="55"/>
      <c r="AU1597" s="55"/>
      <c r="AV1597" s="55"/>
      <c r="AW1597" s="55"/>
      <c r="AX1597" s="55"/>
      <c r="AY1597" s="55"/>
      <c r="AZ1597" s="55"/>
    </row>
    <row r="1598" spans="1:52" ht="12.75" customHeight="1" x14ac:dyDescent="0.2">
      <c r="A1598" s="55"/>
      <c r="B1598" s="76"/>
      <c r="C1598" s="77"/>
      <c r="D1598" s="77"/>
      <c r="E1598" s="55"/>
      <c r="F1598" s="55"/>
      <c r="G1598" s="55"/>
      <c r="H1598" s="55"/>
      <c r="I1598" s="55"/>
      <c r="J1598" s="55"/>
      <c r="K1598" s="55"/>
      <c r="L1598" s="55"/>
      <c r="M1598" s="55"/>
      <c r="N1598" s="55"/>
      <c r="O1598" s="55"/>
      <c r="P1598" s="55"/>
      <c r="Q1598" s="55"/>
      <c r="R1598" s="55"/>
      <c r="S1598" s="55"/>
      <c r="T1598" s="55"/>
      <c r="U1598" s="55"/>
      <c r="V1598" s="55"/>
      <c r="W1598" s="55"/>
      <c r="X1598" s="55"/>
      <c r="Y1598" s="55"/>
      <c r="Z1598" s="55"/>
      <c r="AA1598" s="55"/>
      <c r="AB1598" s="55"/>
      <c r="AC1598" s="55"/>
      <c r="AD1598" s="55"/>
      <c r="AE1598" s="55"/>
      <c r="AF1598" s="55"/>
      <c r="AG1598" s="55"/>
      <c r="AH1598" s="55"/>
      <c r="AI1598" s="55"/>
      <c r="AJ1598" s="55"/>
      <c r="AK1598" s="55"/>
      <c r="AL1598" s="55"/>
      <c r="AM1598" s="55"/>
      <c r="AN1598" s="55"/>
      <c r="AO1598" s="55"/>
      <c r="AP1598" s="55"/>
      <c r="AQ1598" s="55"/>
      <c r="AR1598" s="55"/>
      <c r="AS1598" s="55"/>
      <c r="AT1598" s="55"/>
      <c r="AU1598" s="55"/>
      <c r="AV1598" s="55"/>
      <c r="AW1598" s="55"/>
      <c r="AX1598" s="55"/>
      <c r="AY1598" s="55"/>
      <c r="AZ1598" s="55"/>
    </row>
    <row r="1599" spans="1:52" ht="12.75" customHeight="1" x14ac:dyDescent="0.2">
      <c r="A1599" s="55"/>
      <c r="B1599" s="76"/>
      <c r="C1599" s="77"/>
      <c r="D1599" s="77"/>
      <c r="E1599" s="55"/>
      <c r="F1599" s="55"/>
      <c r="G1599" s="55"/>
      <c r="H1599" s="55"/>
      <c r="I1599" s="55"/>
      <c r="J1599" s="55"/>
      <c r="K1599" s="55"/>
      <c r="L1599" s="55"/>
      <c r="M1599" s="55"/>
      <c r="N1599" s="55"/>
      <c r="O1599" s="55"/>
      <c r="P1599" s="55"/>
      <c r="Q1599" s="55"/>
      <c r="R1599" s="55"/>
      <c r="S1599" s="55"/>
      <c r="T1599" s="55"/>
      <c r="U1599" s="55"/>
      <c r="V1599" s="55"/>
      <c r="W1599" s="55"/>
      <c r="X1599" s="55"/>
      <c r="Y1599" s="55"/>
      <c r="Z1599" s="55"/>
      <c r="AA1599" s="55"/>
      <c r="AB1599" s="55"/>
      <c r="AC1599" s="55"/>
      <c r="AD1599" s="55"/>
      <c r="AE1599" s="55"/>
      <c r="AF1599" s="55"/>
      <c r="AG1599" s="55"/>
      <c r="AH1599" s="55"/>
      <c r="AI1599" s="55"/>
      <c r="AJ1599" s="55"/>
      <c r="AK1599" s="55"/>
      <c r="AL1599" s="55"/>
      <c r="AM1599" s="55"/>
      <c r="AN1599" s="55"/>
      <c r="AO1599" s="55"/>
      <c r="AP1599" s="55"/>
      <c r="AQ1599" s="55"/>
      <c r="AR1599" s="55"/>
      <c r="AS1599" s="55"/>
      <c r="AT1599" s="55"/>
      <c r="AU1599" s="55"/>
      <c r="AV1599" s="55"/>
      <c r="AW1599" s="55"/>
      <c r="AX1599" s="55"/>
      <c r="AY1599" s="55"/>
      <c r="AZ1599" s="55"/>
    </row>
    <row r="1600" spans="1:52" ht="12.75" customHeight="1" x14ac:dyDescent="0.2">
      <c r="A1600" s="55"/>
      <c r="B1600" s="76"/>
      <c r="C1600" s="77"/>
      <c r="D1600" s="77"/>
      <c r="E1600" s="55"/>
      <c r="F1600" s="55"/>
      <c r="G1600" s="55"/>
      <c r="H1600" s="55"/>
      <c r="I1600" s="55"/>
      <c r="J1600" s="55"/>
      <c r="K1600" s="55"/>
      <c r="L1600" s="55"/>
      <c r="M1600" s="55"/>
      <c r="N1600" s="55"/>
      <c r="O1600" s="55"/>
      <c r="P1600" s="55"/>
      <c r="Q1600" s="55"/>
      <c r="R1600" s="55"/>
      <c r="S1600" s="55"/>
      <c r="T1600" s="55"/>
      <c r="U1600" s="55"/>
      <c r="V1600" s="55"/>
      <c r="W1600" s="55"/>
      <c r="X1600" s="55"/>
      <c r="Y1600" s="55"/>
      <c r="Z1600" s="55"/>
      <c r="AA1600" s="55"/>
      <c r="AB1600" s="55"/>
      <c r="AC1600" s="55"/>
      <c r="AD1600" s="55"/>
      <c r="AE1600" s="55"/>
      <c r="AF1600" s="55"/>
      <c r="AG1600" s="55"/>
      <c r="AH1600" s="55"/>
      <c r="AI1600" s="55"/>
      <c r="AJ1600" s="55"/>
      <c r="AK1600" s="55"/>
      <c r="AL1600" s="55"/>
      <c r="AM1600" s="55"/>
      <c r="AN1600" s="55"/>
      <c r="AO1600" s="55"/>
      <c r="AP1600" s="55"/>
      <c r="AQ1600" s="55"/>
      <c r="AR1600" s="55"/>
      <c r="AS1600" s="55"/>
      <c r="AT1600" s="55"/>
      <c r="AU1600" s="55"/>
      <c r="AV1600" s="55"/>
      <c r="AW1600" s="55"/>
      <c r="AX1600" s="55"/>
      <c r="AY1600" s="55"/>
      <c r="AZ1600" s="55"/>
    </row>
    <row r="1601" spans="1:52" ht="12.75" customHeight="1" x14ac:dyDescent="0.2">
      <c r="A1601" s="55"/>
      <c r="B1601" s="76"/>
      <c r="C1601" s="77"/>
      <c r="D1601" s="77"/>
      <c r="E1601" s="55"/>
      <c r="F1601" s="55"/>
      <c r="G1601" s="55"/>
      <c r="H1601" s="55"/>
      <c r="I1601" s="55"/>
      <c r="J1601" s="55"/>
      <c r="K1601" s="55"/>
      <c r="L1601" s="55"/>
      <c r="M1601" s="55"/>
      <c r="N1601" s="55"/>
      <c r="O1601" s="55"/>
      <c r="P1601" s="55"/>
      <c r="Q1601" s="55"/>
      <c r="R1601" s="55"/>
      <c r="S1601" s="55"/>
      <c r="T1601" s="55"/>
      <c r="U1601" s="55"/>
      <c r="V1601" s="55"/>
      <c r="W1601" s="55"/>
      <c r="X1601" s="55"/>
      <c r="Y1601" s="55"/>
      <c r="Z1601" s="55"/>
      <c r="AA1601" s="55"/>
      <c r="AB1601" s="55"/>
      <c r="AC1601" s="55"/>
      <c r="AD1601" s="55"/>
      <c r="AE1601" s="55"/>
      <c r="AF1601" s="55"/>
      <c r="AG1601" s="55"/>
      <c r="AH1601" s="55"/>
      <c r="AI1601" s="55"/>
      <c r="AJ1601" s="55"/>
      <c r="AK1601" s="55"/>
      <c r="AL1601" s="55"/>
      <c r="AM1601" s="55"/>
      <c r="AN1601" s="55"/>
      <c r="AO1601" s="55"/>
      <c r="AP1601" s="55"/>
      <c r="AQ1601" s="55"/>
      <c r="AR1601" s="55"/>
      <c r="AS1601" s="55"/>
      <c r="AT1601" s="55"/>
      <c r="AU1601" s="55"/>
      <c r="AV1601" s="55"/>
      <c r="AW1601" s="55"/>
      <c r="AX1601" s="55"/>
      <c r="AY1601" s="55"/>
      <c r="AZ1601" s="55"/>
    </row>
    <row r="1602" spans="1:52" ht="12.75" customHeight="1" x14ac:dyDescent="0.2">
      <c r="A1602" s="55"/>
      <c r="B1602" s="76"/>
      <c r="C1602" s="77"/>
      <c r="D1602" s="77"/>
      <c r="E1602" s="55"/>
      <c r="F1602" s="55"/>
      <c r="G1602" s="55"/>
      <c r="H1602" s="55"/>
      <c r="I1602" s="55"/>
      <c r="J1602" s="55"/>
      <c r="K1602" s="55"/>
      <c r="L1602" s="55"/>
      <c r="M1602" s="55"/>
      <c r="N1602" s="55"/>
      <c r="O1602" s="55"/>
      <c r="P1602" s="55"/>
      <c r="Q1602" s="55"/>
      <c r="R1602" s="55"/>
      <c r="S1602" s="55"/>
      <c r="T1602" s="55"/>
      <c r="U1602" s="55"/>
      <c r="V1602" s="55"/>
      <c r="W1602" s="55"/>
      <c r="X1602" s="55"/>
      <c r="Y1602" s="55"/>
      <c r="Z1602" s="55"/>
      <c r="AA1602" s="55"/>
      <c r="AB1602" s="55"/>
      <c r="AC1602" s="55"/>
      <c r="AD1602" s="55"/>
      <c r="AE1602" s="55"/>
      <c r="AF1602" s="55"/>
      <c r="AG1602" s="55"/>
      <c r="AH1602" s="55"/>
      <c r="AI1602" s="55"/>
      <c r="AJ1602" s="55"/>
      <c r="AK1602" s="55"/>
      <c r="AL1602" s="55"/>
      <c r="AM1602" s="55"/>
      <c r="AN1602" s="55"/>
      <c r="AO1602" s="55"/>
      <c r="AP1602" s="55"/>
      <c r="AQ1602" s="55"/>
      <c r="AR1602" s="55"/>
      <c r="AS1602" s="55"/>
      <c r="AT1602" s="55"/>
      <c r="AU1602" s="55"/>
      <c r="AV1602" s="55"/>
      <c r="AW1602" s="55"/>
      <c r="AX1602" s="55"/>
      <c r="AY1602" s="55"/>
      <c r="AZ1602" s="55"/>
    </row>
    <row r="1603" spans="1:52" ht="12.75" customHeight="1" x14ac:dyDescent="0.2">
      <c r="A1603" s="55"/>
      <c r="B1603" s="76"/>
      <c r="C1603" s="77"/>
      <c r="D1603" s="77"/>
      <c r="E1603" s="55"/>
      <c r="F1603" s="55"/>
      <c r="G1603" s="55"/>
      <c r="H1603" s="55"/>
      <c r="I1603" s="55"/>
      <c r="J1603" s="55"/>
      <c r="K1603" s="55"/>
      <c r="L1603" s="55"/>
      <c r="M1603" s="55"/>
      <c r="N1603" s="55"/>
      <c r="O1603" s="55"/>
      <c r="P1603" s="55"/>
      <c r="Q1603" s="55"/>
      <c r="R1603" s="55"/>
      <c r="S1603" s="55"/>
      <c r="T1603" s="55"/>
      <c r="U1603" s="55"/>
      <c r="V1603" s="55"/>
      <c r="W1603" s="55"/>
      <c r="X1603" s="55"/>
      <c r="Y1603" s="55"/>
      <c r="Z1603" s="55"/>
      <c r="AA1603" s="55"/>
      <c r="AB1603" s="55"/>
      <c r="AC1603" s="55"/>
      <c r="AD1603" s="55"/>
      <c r="AE1603" s="55"/>
      <c r="AF1603" s="55"/>
      <c r="AG1603" s="55"/>
      <c r="AH1603" s="55"/>
      <c r="AI1603" s="55"/>
      <c r="AJ1603" s="55"/>
      <c r="AK1603" s="55"/>
      <c r="AL1603" s="55"/>
      <c r="AM1603" s="55"/>
      <c r="AN1603" s="55"/>
      <c r="AO1603" s="55"/>
      <c r="AP1603" s="55"/>
      <c r="AQ1603" s="55"/>
      <c r="AR1603" s="55"/>
      <c r="AS1603" s="55"/>
      <c r="AT1603" s="55"/>
      <c r="AU1603" s="55"/>
      <c r="AV1603" s="55"/>
      <c r="AW1603" s="55"/>
      <c r="AX1603" s="55"/>
      <c r="AY1603" s="55"/>
      <c r="AZ1603" s="55"/>
    </row>
    <row r="1604" spans="1:52" ht="12.75" customHeight="1" x14ac:dyDescent="0.2">
      <c r="A1604" s="55"/>
      <c r="B1604" s="76"/>
      <c r="C1604" s="77"/>
      <c r="D1604" s="77"/>
      <c r="E1604" s="55"/>
      <c r="F1604" s="55"/>
      <c r="G1604" s="55"/>
      <c r="H1604" s="55"/>
      <c r="I1604" s="55"/>
      <c r="J1604" s="55"/>
      <c r="K1604" s="55"/>
      <c r="L1604" s="55"/>
      <c r="M1604" s="55"/>
      <c r="N1604" s="55"/>
      <c r="O1604" s="55"/>
      <c r="P1604" s="55"/>
      <c r="Q1604" s="55"/>
      <c r="R1604" s="55"/>
      <c r="S1604" s="55"/>
      <c r="T1604" s="55"/>
      <c r="U1604" s="55"/>
      <c r="V1604" s="55"/>
      <c r="W1604" s="55"/>
      <c r="X1604" s="55"/>
      <c r="Y1604" s="55"/>
      <c r="Z1604" s="55"/>
      <c r="AA1604" s="55"/>
      <c r="AB1604" s="55"/>
      <c r="AC1604" s="55"/>
      <c r="AD1604" s="55"/>
      <c r="AE1604" s="55"/>
      <c r="AF1604" s="55"/>
      <c r="AG1604" s="55"/>
      <c r="AH1604" s="55"/>
      <c r="AI1604" s="55"/>
      <c r="AJ1604" s="55"/>
      <c r="AK1604" s="55"/>
      <c r="AL1604" s="55"/>
      <c r="AM1604" s="55"/>
      <c r="AN1604" s="55"/>
      <c r="AO1604" s="55"/>
      <c r="AP1604" s="55"/>
      <c r="AQ1604" s="55"/>
      <c r="AR1604" s="55"/>
      <c r="AS1604" s="55"/>
      <c r="AT1604" s="55"/>
      <c r="AU1604" s="55"/>
      <c r="AV1604" s="55"/>
      <c r="AW1604" s="55"/>
      <c r="AX1604" s="55"/>
      <c r="AY1604" s="55"/>
      <c r="AZ1604" s="55"/>
    </row>
    <row r="1605" spans="1:52" ht="12.75" customHeight="1" x14ac:dyDescent="0.2">
      <c r="A1605" s="55"/>
      <c r="B1605" s="76"/>
      <c r="C1605" s="77"/>
      <c r="D1605" s="77"/>
      <c r="E1605" s="55"/>
      <c r="F1605" s="55"/>
      <c r="G1605" s="55"/>
      <c r="H1605" s="55"/>
      <c r="I1605" s="55"/>
      <c r="J1605" s="55"/>
      <c r="K1605" s="55"/>
      <c r="L1605" s="55"/>
      <c r="M1605" s="55"/>
      <c r="N1605" s="55"/>
      <c r="O1605" s="55"/>
      <c r="P1605" s="55"/>
      <c r="Q1605" s="55"/>
      <c r="R1605" s="55"/>
      <c r="S1605" s="55"/>
      <c r="T1605" s="55"/>
      <c r="U1605" s="55"/>
      <c r="V1605" s="55"/>
      <c r="W1605" s="55"/>
      <c r="X1605" s="55"/>
      <c r="Y1605" s="55"/>
      <c r="Z1605" s="55"/>
      <c r="AA1605" s="55"/>
      <c r="AB1605" s="55"/>
      <c r="AC1605" s="55"/>
      <c r="AD1605" s="55"/>
      <c r="AE1605" s="55"/>
      <c r="AF1605" s="55"/>
      <c r="AG1605" s="55"/>
      <c r="AH1605" s="55"/>
      <c r="AI1605" s="55"/>
      <c r="AJ1605" s="55"/>
      <c r="AK1605" s="55"/>
      <c r="AL1605" s="55"/>
      <c r="AM1605" s="55"/>
      <c r="AN1605" s="55"/>
      <c r="AO1605" s="55"/>
      <c r="AP1605" s="55"/>
      <c r="AQ1605" s="55"/>
      <c r="AR1605" s="55"/>
      <c r="AS1605" s="55"/>
      <c r="AT1605" s="55"/>
      <c r="AU1605" s="55"/>
      <c r="AV1605" s="55"/>
      <c r="AW1605" s="55"/>
      <c r="AX1605" s="55"/>
      <c r="AY1605" s="55"/>
      <c r="AZ1605" s="55"/>
    </row>
    <row r="1606" spans="1:52" ht="12.75" customHeight="1" x14ac:dyDescent="0.2">
      <c r="A1606" s="55"/>
      <c r="B1606" s="76"/>
      <c r="C1606" s="77"/>
      <c r="D1606" s="77"/>
      <c r="E1606" s="55"/>
      <c r="F1606" s="55"/>
      <c r="G1606" s="55"/>
      <c r="H1606" s="55"/>
      <c r="I1606" s="55"/>
      <c r="J1606" s="55"/>
      <c r="K1606" s="55"/>
      <c r="L1606" s="55"/>
      <c r="M1606" s="55"/>
      <c r="N1606" s="55"/>
      <c r="O1606" s="55"/>
      <c r="P1606" s="55"/>
      <c r="Q1606" s="55"/>
      <c r="R1606" s="55"/>
      <c r="S1606" s="55"/>
      <c r="T1606" s="55"/>
      <c r="U1606" s="55"/>
      <c r="V1606" s="55"/>
      <c r="W1606" s="55"/>
      <c r="X1606" s="55"/>
      <c r="Y1606" s="55"/>
      <c r="Z1606" s="55"/>
      <c r="AA1606" s="55"/>
      <c r="AB1606" s="55"/>
      <c r="AC1606" s="55"/>
      <c r="AD1606" s="55"/>
      <c r="AE1606" s="55"/>
      <c r="AF1606" s="55"/>
      <c r="AG1606" s="55"/>
      <c r="AH1606" s="55"/>
      <c r="AI1606" s="55"/>
      <c r="AJ1606" s="55"/>
      <c r="AK1606" s="55"/>
      <c r="AL1606" s="55"/>
      <c r="AM1606" s="55"/>
      <c r="AN1606" s="55"/>
      <c r="AO1606" s="55"/>
      <c r="AP1606" s="55"/>
      <c r="AQ1606" s="55"/>
      <c r="AR1606" s="55"/>
      <c r="AS1606" s="55"/>
      <c r="AT1606" s="55"/>
      <c r="AU1606" s="55"/>
      <c r="AV1606" s="55"/>
      <c r="AW1606" s="55"/>
      <c r="AX1606" s="55"/>
      <c r="AY1606" s="55"/>
      <c r="AZ1606" s="55"/>
    </row>
    <row r="1607" spans="1:52" ht="12.75" customHeight="1" x14ac:dyDescent="0.2"/>
  </sheetData>
  <mergeCells count="32">
    <mergeCell ref="C1209:D1209"/>
    <mergeCell ref="E1209:F1209"/>
    <mergeCell ref="C1254:D1254"/>
    <mergeCell ref="E1254:F1254"/>
    <mergeCell ref="C1112:D1112"/>
    <mergeCell ref="E1112:F1112"/>
    <mergeCell ref="C1156:D1156"/>
    <mergeCell ref="E1156:F1156"/>
    <mergeCell ref="C947:T947"/>
    <mergeCell ref="B371:B372"/>
    <mergeCell ref="B947:B948"/>
    <mergeCell ref="F371:H371"/>
    <mergeCell ref="I371:K371"/>
    <mergeCell ref="B556:B558"/>
    <mergeCell ref="I372:K372"/>
    <mergeCell ref="C372:E372"/>
    <mergeCell ref="F372:H372"/>
    <mergeCell ref="B96:B97"/>
    <mergeCell ref="B185:B186"/>
    <mergeCell ref="A717:A723"/>
    <mergeCell ref="B487:B489"/>
    <mergeCell ref="B490:B492"/>
    <mergeCell ref="A710:A716"/>
    <mergeCell ref="A98:A105"/>
    <mergeCell ref="A106:A112"/>
    <mergeCell ref="B475:B477"/>
    <mergeCell ref="B478:B480"/>
    <mergeCell ref="B481:B483"/>
    <mergeCell ref="B484:B486"/>
    <mergeCell ref="B473:C474"/>
    <mergeCell ref="B146:B147"/>
    <mergeCell ref="C371:E371"/>
  </mergeCells>
  <phoneticPr fontId="51" type="noConversion"/>
  <hyperlinks>
    <hyperlink ref="A2" location="Index!A1" display="Til index" xr:uid="{97682902-B9D7-4416-9BC9-ED9409E7306A}"/>
  </hyperlinks>
  <pageMargins left="0.7" right="0.7" top="0.75" bottom="0.75" header="0.3" footer="0.3"/>
  <pageSetup paperSize="9" scale="51"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77214-31A7-47C7-A2DD-548DD5478DAA}">
  <sheetPr codeName="Ark129">
    <tabColor theme="8" tint="0.39997558519241921"/>
  </sheetPr>
  <dimension ref="A1:AJ87"/>
  <sheetViews>
    <sheetView showGridLines="0" topLeftCell="J9" zoomScale="115" zoomScaleNormal="115" workbookViewId="0">
      <selection activeCell="Q12" sqref="Q12"/>
    </sheetView>
  </sheetViews>
  <sheetFormatPr defaultColWidth="8.7109375" defaultRowHeight="14.25" x14ac:dyDescent="0.2"/>
  <cols>
    <col min="1" max="1" width="8.7109375" style="132"/>
    <col min="2" max="2" width="8.7109375" style="129"/>
    <col min="3" max="3" width="12.85546875" style="129" bestFit="1" customWidth="1"/>
    <col min="4" max="4" width="12.7109375" style="129" bestFit="1" customWidth="1"/>
    <col min="5" max="5" width="16.28515625" style="129" bestFit="1" customWidth="1"/>
    <col min="6" max="6" width="12.7109375" style="129" bestFit="1" customWidth="1"/>
    <col min="7" max="7" width="9" style="129" customWidth="1"/>
    <col min="8" max="8" width="12" style="129" bestFit="1" customWidth="1"/>
    <col min="9" max="9" width="12.85546875" style="129" bestFit="1" customWidth="1"/>
    <col min="10" max="10" width="10.7109375" style="129" customWidth="1"/>
    <col min="11" max="11" width="60.42578125" style="132" customWidth="1"/>
    <col min="12" max="12" width="12.85546875" style="129" customWidth="1"/>
    <col min="13" max="13" width="10.5703125" style="129" bestFit="1" customWidth="1"/>
    <col min="14" max="14" width="9.5703125" style="219" bestFit="1" customWidth="1"/>
    <col min="15" max="15" width="12.5703125" style="129" bestFit="1" customWidth="1"/>
    <col min="16" max="16" width="12.42578125" style="129" customWidth="1"/>
    <col min="17" max="17" width="14.42578125" style="170" customWidth="1"/>
    <col min="18" max="36" width="9.140625" style="129" customWidth="1"/>
    <col min="37" max="16384" width="8.7109375" style="132"/>
  </cols>
  <sheetData>
    <row r="1" spans="1:36" s="129" customFormat="1" ht="21.75" thickBot="1" x14ac:dyDescent="0.4">
      <c r="A1" s="1740" t="s">
        <v>4206</v>
      </c>
      <c r="N1" s="219"/>
      <c r="Q1" s="170"/>
    </row>
    <row r="2" spans="1:36" s="129" customFormat="1" x14ac:dyDescent="0.2">
      <c r="C2" s="237" t="s">
        <v>362</v>
      </c>
      <c r="D2" s="238"/>
      <c r="E2" s="238"/>
      <c r="F2" s="239">
        <f>'Dyrehold 2018'!G2</f>
        <v>2018</v>
      </c>
      <c r="K2" s="1746" t="s">
        <v>390</v>
      </c>
      <c r="N2" s="219"/>
      <c r="Q2" s="170"/>
    </row>
    <row r="3" spans="1:36" s="129" customFormat="1" ht="35.1" customHeight="1" thickBot="1" x14ac:dyDescent="0.25">
      <c r="C3" s="240" t="s">
        <v>391</v>
      </c>
      <c r="D3" s="241" t="s">
        <v>392</v>
      </c>
      <c r="E3" s="242" t="s">
        <v>393</v>
      </c>
      <c r="F3" s="243"/>
      <c r="K3" s="152" t="s">
        <v>325</v>
      </c>
      <c r="N3" s="219"/>
      <c r="Q3" s="170"/>
    </row>
    <row r="4" spans="1:36" s="129" customFormat="1" x14ac:dyDescent="0.2">
      <c r="K4" s="1745" t="str">
        <f>'Dyrehold 2018'!U4</f>
        <v>Læsø Kommune 2018</v>
      </c>
      <c r="N4" s="219"/>
      <c r="Q4" s="170"/>
    </row>
    <row r="5" spans="1:36" s="129" customFormat="1" x14ac:dyDescent="0.2">
      <c r="C5" s="10"/>
      <c r="D5" s="10"/>
      <c r="E5" s="10"/>
      <c r="F5" s="223"/>
      <c r="G5" s="10"/>
      <c r="N5" s="219"/>
      <c r="Q5" s="170"/>
    </row>
    <row r="6" spans="1:36" s="129" customFormat="1" ht="21" customHeight="1" x14ac:dyDescent="0.4">
      <c r="C6" s="10"/>
      <c r="D6" s="224"/>
      <c r="E6" s="225"/>
      <c r="F6" s="223"/>
      <c r="G6" s="10"/>
      <c r="N6" s="219"/>
      <c r="Q6" s="170"/>
    </row>
    <row r="7" spans="1:36" s="129" customFormat="1" ht="17.25" thickBot="1" x14ac:dyDescent="0.25">
      <c r="C7" s="5169" t="s">
        <v>365</v>
      </c>
      <c r="D7" s="5170"/>
      <c r="E7" s="5170"/>
      <c r="F7" s="5170"/>
      <c r="G7" s="5170"/>
      <c r="H7" s="5170"/>
      <c r="I7" s="5171"/>
      <c r="J7" s="154" t="s">
        <v>394</v>
      </c>
      <c r="K7" s="244" t="s">
        <v>327</v>
      </c>
      <c r="L7" s="5169" t="s">
        <v>328</v>
      </c>
      <c r="M7" s="5170"/>
      <c r="N7" s="5170"/>
      <c r="O7" s="5170"/>
      <c r="P7" s="5170"/>
      <c r="Q7" s="5171"/>
    </row>
    <row r="8" spans="1:36" s="129" customFormat="1" ht="230.25" customHeight="1" x14ac:dyDescent="0.2">
      <c r="C8" s="473" t="s">
        <v>243</v>
      </c>
      <c r="D8" s="451" t="s">
        <v>395</v>
      </c>
      <c r="E8" s="451" t="s">
        <v>254</v>
      </c>
      <c r="F8" s="451" t="s">
        <v>246</v>
      </c>
      <c r="G8" s="451" t="s">
        <v>247</v>
      </c>
      <c r="H8" s="451" t="s">
        <v>248</v>
      </c>
      <c r="I8" s="474" t="s">
        <v>249</v>
      </c>
      <c r="J8" s="448" t="s">
        <v>630</v>
      </c>
      <c r="K8" s="450"/>
      <c r="L8" s="229" t="s">
        <v>377</v>
      </c>
      <c r="M8" s="451" t="s">
        <v>628</v>
      </c>
      <c r="N8" s="230" t="s">
        <v>347</v>
      </c>
      <c r="O8" s="451" t="s">
        <v>396</v>
      </c>
      <c r="P8" s="229" t="s">
        <v>533</v>
      </c>
      <c r="Q8" s="231" t="s">
        <v>397</v>
      </c>
    </row>
    <row r="9" spans="1:36" s="129" customFormat="1" ht="17.25" customHeight="1" x14ac:dyDescent="0.2">
      <c r="B9" s="232"/>
      <c r="C9" s="475"/>
      <c r="D9" s="476"/>
      <c r="E9" s="476"/>
      <c r="F9" s="476"/>
      <c r="G9" s="476"/>
      <c r="H9" s="476"/>
      <c r="I9" s="477"/>
      <c r="J9" s="478"/>
      <c r="K9" s="479" t="s">
        <v>223</v>
      </c>
      <c r="L9" s="480"/>
      <c r="M9" s="476"/>
      <c r="N9" s="476"/>
      <c r="O9" s="476"/>
      <c r="P9" s="476"/>
      <c r="Q9" s="245"/>
    </row>
    <row r="10" spans="1:36" s="129" customFormat="1" ht="14.45" customHeight="1" x14ac:dyDescent="0.2">
      <c r="B10" s="232"/>
      <c r="C10" s="565">
        <f>'K6 2018'!B10</f>
        <v>3163.8125</v>
      </c>
      <c r="D10" s="517"/>
      <c r="E10" s="517"/>
      <c r="F10" s="517"/>
      <c r="G10" s="517"/>
      <c r="H10" s="517"/>
      <c r="I10" s="553"/>
      <c r="J10" s="539"/>
      <c r="K10" s="93" t="s">
        <v>398</v>
      </c>
      <c r="L10" s="541"/>
      <c r="M10" s="517"/>
      <c r="N10" s="517"/>
      <c r="O10" s="516">
        <f>'K6 2018'!T10</f>
        <v>-564.73028267284235</v>
      </c>
      <c r="P10" s="517">
        <f>Q10/SUM(C10:J10)</f>
        <v>0.65448812252108968</v>
      </c>
      <c r="Q10" s="528">
        <f>O10*-(44/12)</f>
        <v>2070.6777031337551</v>
      </c>
      <c r="R10" s="130"/>
      <c r="U10" s="246"/>
      <c r="V10" s="246"/>
      <c r="W10" s="246"/>
      <c r="X10" s="246"/>
      <c r="Y10" s="246"/>
      <c r="Z10" s="246"/>
      <c r="AA10" s="246"/>
      <c r="AB10" s="246"/>
      <c r="AC10" s="246"/>
      <c r="AD10" s="246"/>
      <c r="AE10" s="246"/>
      <c r="AF10" s="246"/>
      <c r="AG10" s="246"/>
      <c r="AH10" s="246"/>
      <c r="AI10" s="246"/>
      <c r="AJ10" s="246"/>
    </row>
    <row r="11" spans="1:36" s="129" customFormat="1" ht="14.45" customHeight="1" x14ac:dyDescent="0.2">
      <c r="B11" s="232"/>
      <c r="C11" s="515"/>
      <c r="D11" s="516">
        <f>'K7 2018'!B10</f>
        <v>2921.5625</v>
      </c>
      <c r="E11" s="517"/>
      <c r="F11" s="517"/>
      <c r="G11" s="517"/>
      <c r="H11" s="517"/>
      <c r="I11" s="553"/>
      <c r="J11" s="539"/>
      <c r="K11" s="93" t="s">
        <v>399</v>
      </c>
      <c r="L11" s="541"/>
      <c r="M11" s="517"/>
      <c r="N11" s="517"/>
      <c r="O11" s="516">
        <f>'K7 2018'!R10</f>
        <v>-250.8015783620387</v>
      </c>
      <c r="P11" s="517">
        <f>Q11/SUM(C11:J11)</f>
        <v>0.31476505716631947</v>
      </c>
      <c r="Q11" s="528">
        <f>O11*-(44/12)</f>
        <v>919.60578732747524</v>
      </c>
      <c r="R11" s="130"/>
      <c r="S11" s="170"/>
    </row>
    <row r="12" spans="1:36" s="129" customFormat="1" ht="14.45" customHeight="1" x14ac:dyDescent="0.2">
      <c r="B12" s="232"/>
      <c r="C12" s="515"/>
      <c r="D12" s="517"/>
      <c r="E12" s="516">
        <f>'K7 2018'!B26</f>
        <v>2026.625</v>
      </c>
      <c r="F12" s="517"/>
      <c r="G12" s="517"/>
      <c r="H12" s="517"/>
      <c r="I12" s="553"/>
      <c r="J12" s="539"/>
      <c r="K12" s="93" t="s">
        <v>400</v>
      </c>
      <c r="L12" s="541"/>
      <c r="M12" s="517"/>
      <c r="N12" s="517"/>
      <c r="O12" s="516">
        <f>'K7 2018'!R26</f>
        <v>-562.19005972818616</v>
      </c>
      <c r="P12" s="517">
        <f>Q12/SUM(C12:J12)</f>
        <v>1.0171410854680478</v>
      </c>
      <c r="Q12" s="528">
        <f>O12*-(44/12)</f>
        <v>2061.3635523366825</v>
      </c>
      <c r="R12" s="247"/>
    </row>
    <row r="13" spans="1:36" s="129" customFormat="1" ht="14.45" customHeight="1" x14ac:dyDescent="0.2">
      <c r="B13" s="232"/>
      <c r="C13" s="515"/>
      <c r="D13" s="517"/>
      <c r="E13" s="517"/>
      <c r="F13" s="516">
        <f>'K7 2018'!B45</f>
        <v>347.25</v>
      </c>
      <c r="G13" s="517"/>
      <c r="H13" s="517"/>
      <c r="I13" s="553"/>
      <c r="J13" s="539"/>
      <c r="K13" s="93" t="s">
        <v>401</v>
      </c>
      <c r="L13" s="541"/>
      <c r="M13" s="517"/>
      <c r="N13" s="517"/>
      <c r="O13" s="516">
        <f>'K7 2018'!R42</f>
        <v>0</v>
      </c>
      <c r="P13" s="517"/>
      <c r="Q13" s="528">
        <f>O13*-(44/12)</f>
        <v>0</v>
      </c>
      <c r="R13" s="248"/>
    </row>
    <row r="14" spans="1:36" s="129" customFormat="1" ht="14.45" customHeight="1" x14ac:dyDescent="0.2">
      <c r="B14" s="232"/>
      <c r="C14" s="515"/>
      <c r="D14" s="517"/>
      <c r="E14" s="517"/>
      <c r="F14" s="517"/>
      <c r="G14" s="516">
        <f>'K7 2018'!B44</f>
        <v>57.5625</v>
      </c>
      <c r="H14" s="517"/>
      <c r="I14" s="553"/>
      <c r="J14" s="539"/>
      <c r="K14" s="93" t="s">
        <v>402</v>
      </c>
      <c r="L14" s="541"/>
      <c r="M14" s="517"/>
      <c r="N14" s="517"/>
      <c r="O14" s="516" t="s">
        <v>455</v>
      </c>
      <c r="P14" s="517"/>
      <c r="Q14" s="528" t="s">
        <v>455</v>
      </c>
      <c r="R14" s="248"/>
      <c r="S14" s="130"/>
      <c r="T14" s="130"/>
      <c r="U14" s="130"/>
      <c r="V14" s="249"/>
      <c r="W14" s="130"/>
      <c r="X14" s="130"/>
    </row>
    <row r="15" spans="1:36" s="129" customFormat="1" ht="14.45" customHeight="1" x14ac:dyDescent="0.2">
      <c r="B15" s="232"/>
      <c r="C15" s="515"/>
      <c r="D15" s="517"/>
      <c r="E15" s="517"/>
      <c r="F15" s="517"/>
      <c r="G15" s="517"/>
      <c r="H15" s="516">
        <f>'K7 2018'!B66</f>
        <v>1188.25</v>
      </c>
      <c r="I15" s="553"/>
      <c r="J15" s="539"/>
      <c r="K15" s="93" t="s">
        <v>403</v>
      </c>
      <c r="L15" s="541"/>
      <c r="M15" s="517"/>
      <c r="N15" s="517"/>
      <c r="O15" s="517">
        <f>'K7 2018'!R66</f>
        <v>0</v>
      </c>
      <c r="P15" s="517"/>
      <c r="Q15" s="528" t="s">
        <v>259</v>
      </c>
    </row>
    <row r="16" spans="1:36" s="129" customFormat="1" ht="14.45" customHeight="1" x14ac:dyDescent="0.2">
      <c r="B16" s="232"/>
      <c r="C16" s="515"/>
      <c r="D16" s="517"/>
      <c r="E16" s="517"/>
      <c r="F16" s="517"/>
      <c r="G16" s="517"/>
      <c r="H16" s="517"/>
      <c r="I16" s="566">
        <f>'K7 2018'!B82</f>
        <v>366.625</v>
      </c>
      <c r="J16" s="539"/>
      <c r="K16" s="93" t="s">
        <v>404</v>
      </c>
      <c r="L16" s="541"/>
      <c r="M16" s="517"/>
      <c r="N16" s="517"/>
      <c r="O16" s="517">
        <f>'K7 2018'!R82</f>
        <v>0</v>
      </c>
      <c r="P16" s="517"/>
      <c r="Q16" s="528" t="s">
        <v>259</v>
      </c>
    </row>
    <row r="17" spans="2:24" s="129" customFormat="1" ht="14.45" customHeight="1" x14ac:dyDescent="0.2">
      <c r="B17" s="232"/>
      <c r="C17" s="515"/>
      <c r="D17" s="517"/>
      <c r="E17" s="517"/>
      <c r="F17" s="517"/>
      <c r="G17" s="517"/>
      <c r="H17" s="517"/>
      <c r="I17" s="553"/>
      <c r="J17" s="539"/>
      <c r="K17" s="93" t="s">
        <v>405</v>
      </c>
      <c r="L17" s="541"/>
      <c r="M17" s="517"/>
      <c r="N17" s="517"/>
      <c r="O17" s="517"/>
      <c r="P17" s="517"/>
      <c r="Q17" s="528">
        <f>O17*-(44/12)</f>
        <v>0</v>
      </c>
    </row>
    <row r="18" spans="2:24" s="129" customFormat="1" ht="14.45" customHeight="1" x14ac:dyDescent="0.2">
      <c r="B18" s="232"/>
      <c r="C18" s="515"/>
      <c r="D18" s="516">
        <f>'K6 2018'!B12</f>
        <v>380.9375</v>
      </c>
      <c r="E18" s="516">
        <f>'K6 2018'!B13</f>
        <v>113.5</v>
      </c>
      <c r="F18" s="516">
        <f>'K6 2018'!B14</f>
        <v>1.6875</v>
      </c>
      <c r="G18" s="517">
        <f>'K6 2018'!B17</f>
        <v>0</v>
      </c>
      <c r="H18" s="517">
        <f>'K6 2018'!B15</f>
        <v>0</v>
      </c>
      <c r="I18" s="566">
        <f>'K6 2018'!B16+'K6 2018'!B18</f>
        <v>6.25E-2</v>
      </c>
      <c r="J18" s="539"/>
      <c r="K18" s="93" t="s">
        <v>406</v>
      </c>
      <c r="L18" s="541"/>
      <c r="M18" s="517"/>
      <c r="N18" s="517"/>
      <c r="O18" s="516">
        <f>'K6 2018'!T11</f>
        <v>369.80048882772962</v>
      </c>
      <c r="P18" s="517">
        <f>Q18/SUM(C18:J18)</f>
        <v>-2.7327071433715582</v>
      </c>
      <c r="Q18" s="528">
        <f>O18*-(44/12)</f>
        <v>-1355.9351257016751</v>
      </c>
    </row>
    <row r="19" spans="2:24" s="129" customFormat="1" ht="14.45" customHeight="1" x14ac:dyDescent="0.2">
      <c r="B19" s="232"/>
      <c r="C19" s="565">
        <f>'K7 2018'!B12</f>
        <v>137.6875</v>
      </c>
      <c r="D19" s="567"/>
      <c r="E19" s="516">
        <f>'K7 2018'!B13</f>
        <v>128.875</v>
      </c>
      <c r="F19" s="516">
        <f>'K7 2018'!B14</f>
        <v>0.125</v>
      </c>
      <c r="G19" s="517">
        <f>'K7 2018'!B17</f>
        <v>0</v>
      </c>
      <c r="H19" s="517">
        <f>'K7 2018'!B15</f>
        <v>0</v>
      </c>
      <c r="I19" s="566">
        <f>'K7 2018'!B16+'K7 2018'!B18</f>
        <v>0.1875</v>
      </c>
      <c r="J19" s="539"/>
      <c r="K19" s="93" t="s">
        <v>407</v>
      </c>
      <c r="L19" s="541"/>
      <c r="M19" s="517"/>
      <c r="N19" s="517"/>
      <c r="O19" s="516">
        <f>'K7 2018'!R11</f>
        <v>-433.12327565708739</v>
      </c>
      <c r="P19" s="517">
        <f>Q19/SUM(C19:J19)</f>
        <v>5.9507959809248536</v>
      </c>
      <c r="Q19" s="528">
        <f t="shared" ref="Q19:Q24" si="0">O19*-(44/12)</f>
        <v>1588.1186774093203</v>
      </c>
    </row>
    <row r="20" spans="2:24" s="129" customFormat="1" ht="14.45" customHeight="1" x14ac:dyDescent="0.2">
      <c r="B20" s="232"/>
      <c r="C20" s="565">
        <f>'K7 2018'!B28</f>
        <v>143.75</v>
      </c>
      <c r="D20" s="516">
        <f>'K7 2018'!B29</f>
        <v>611.125</v>
      </c>
      <c r="E20" s="567"/>
      <c r="F20" s="517">
        <f>'K7 2018'!B30</f>
        <v>0</v>
      </c>
      <c r="G20" s="517">
        <f>'K7 2018'!B33</f>
        <v>0</v>
      </c>
      <c r="H20" s="517">
        <f>'K7 2018'!B31</f>
        <v>0</v>
      </c>
      <c r="I20" s="553">
        <f>'K7 2018'!B32+'K7 2018'!B34</f>
        <v>0</v>
      </c>
      <c r="J20" s="539"/>
      <c r="K20" s="93" t="s">
        <v>408</v>
      </c>
      <c r="L20" s="541"/>
      <c r="M20" s="517"/>
      <c r="N20" s="517"/>
      <c r="O20" s="516">
        <f>'K7 2018'!R27</f>
        <v>-406.04411543685404</v>
      </c>
      <c r="P20" s="517">
        <f>Q20/SUM(C20:J20)</f>
        <v>1.9722847137187809</v>
      </c>
      <c r="Q20" s="528">
        <f>O20*-(44/12)</f>
        <v>1488.8284232684648</v>
      </c>
      <c r="R20" s="247"/>
      <c r="X20" s="170"/>
    </row>
    <row r="21" spans="2:24" s="129" customFormat="1" ht="14.45" customHeight="1" x14ac:dyDescent="0.2">
      <c r="B21" s="232"/>
      <c r="C21" s="565">
        <f>'K7 2018'!B54</f>
        <v>7.875</v>
      </c>
      <c r="D21" s="516">
        <f>'K7 2018'!B55</f>
        <v>0.875</v>
      </c>
      <c r="E21" s="516">
        <f>'K7 2018'!B56</f>
        <v>11.125</v>
      </c>
      <c r="F21" s="567"/>
      <c r="G21" s="517"/>
      <c r="H21" s="517"/>
      <c r="I21" s="553"/>
      <c r="J21" s="539"/>
      <c r="K21" s="93" t="s">
        <v>409</v>
      </c>
      <c r="L21" s="541"/>
      <c r="M21" s="517"/>
      <c r="N21" s="517"/>
      <c r="O21" s="517">
        <f>'K7 2018'!R53</f>
        <v>0</v>
      </c>
      <c r="P21" s="517"/>
      <c r="Q21" s="528">
        <f t="shared" ref="Q21:Q22" si="1">O21*-(44/12)</f>
        <v>0</v>
      </c>
      <c r="V21" s="170"/>
      <c r="W21" s="170"/>
    </row>
    <row r="22" spans="2:24" s="129" customFormat="1" ht="14.45" customHeight="1" x14ac:dyDescent="0.2">
      <c r="B22" s="232"/>
      <c r="C22" s="565">
        <f>'K7 2018'!B49</f>
        <v>0</v>
      </c>
      <c r="D22" s="516">
        <f>'K7 2018'!B50</f>
        <v>0.4375</v>
      </c>
      <c r="E22" s="516">
        <f>'K7 2018'!B51</f>
        <v>6.25E-2</v>
      </c>
      <c r="F22" s="567"/>
      <c r="G22" s="517"/>
      <c r="H22" s="517"/>
      <c r="I22" s="553"/>
      <c r="J22" s="539"/>
      <c r="K22" s="93" t="s">
        <v>410</v>
      </c>
      <c r="L22" s="541"/>
      <c r="M22" s="517"/>
      <c r="N22" s="517"/>
      <c r="O22" s="517">
        <f>'K7 2018'!R47</f>
        <v>0</v>
      </c>
      <c r="P22" s="517"/>
      <c r="Q22" s="528">
        <f t="shared" si="1"/>
        <v>0</v>
      </c>
      <c r="V22" s="170"/>
      <c r="W22" s="170"/>
    </row>
    <row r="23" spans="2:24" s="129" customFormat="1" ht="14.45" customHeight="1" x14ac:dyDescent="0.2">
      <c r="B23" s="232"/>
      <c r="C23" s="565">
        <f>'K7 2018'!B68</f>
        <v>3.125</v>
      </c>
      <c r="D23" s="516">
        <f>'K7 2018'!B69</f>
        <v>25.8125</v>
      </c>
      <c r="E23" s="516">
        <f>'K7 2018'!B70</f>
        <v>0</v>
      </c>
      <c r="F23" s="516">
        <f>'K7 2018'!B71</f>
        <v>0</v>
      </c>
      <c r="G23" s="517">
        <f>'K7 2018'!B73</f>
        <v>0</v>
      </c>
      <c r="H23" s="567"/>
      <c r="I23" s="566">
        <f>'K7 2018'!B72+'K7 2018'!B74</f>
        <v>0</v>
      </c>
      <c r="J23" s="539"/>
      <c r="K23" s="93" t="s">
        <v>411</v>
      </c>
      <c r="L23" s="541"/>
      <c r="M23" s="517"/>
      <c r="N23" s="517"/>
      <c r="O23" s="516">
        <f>'K7 2018'!R67</f>
        <v>-49.394989749903331</v>
      </c>
      <c r="P23" s="517">
        <f>Q23/SUM(C23:J23)</f>
        <v>6.2588323945161886</v>
      </c>
      <c r="Q23" s="528">
        <f t="shared" si="0"/>
        <v>181.11496241631221</v>
      </c>
      <c r="R23" s="247"/>
      <c r="S23" s="130"/>
      <c r="V23" s="219"/>
      <c r="W23" s="170"/>
    </row>
    <row r="24" spans="2:24" s="129" customFormat="1" ht="14.45" customHeight="1" x14ac:dyDescent="0.2">
      <c r="B24" s="232"/>
      <c r="C24" s="515"/>
      <c r="D24" s="517"/>
      <c r="E24" s="517"/>
      <c r="F24" s="517"/>
      <c r="G24" s="517"/>
      <c r="H24" s="517"/>
      <c r="I24" s="566"/>
      <c r="J24" s="539"/>
      <c r="K24" s="93" t="s">
        <v>412</v>
      </c>
      <c r="L24" s="541"/>
      <c r="M24" s="517"/>
      <c r="N24" s="517"/>
      <c r="O24" s="517"/>
      <c r="P24" s="517"/>
      <c r="Q24" s="528">
        <f t="shared" si="0"/>
        <v>0</v>
      </c>
      <c r="V24" s="170"/>
      <c r="W24" s="170"/>
    </row>
    <row r="25" spans="2:24" s="129" customFormat="1" ht="14.45" customHeight="1" x14ac:dyDescent="0.2">
      <c r="B25" s="232"/>
      <c r="C25" s="568">
        <f>'K9 2018'!C8</f>
        <v>137.6875</v>
      </c>
      <c r="D25" s="2"/>
      <c r="E25" s="2">
        <f>'K9 2018'!C9</f>
        <v>128.875</v>
      </c>
      <c r="F25" s="567"/>
      <c r="G25" s="567"/>
      <c r="H25" s="567"/>
      <c r="I25" s="569"/>
      <c r="J25" s="570"/>
      <c r="K25" s="93" t="s">
        <v>413</v>
      </c>
      <c r="L25" s="571"/>
      <c r="M25" s="516"/>
      <c r="N25" s="1689">
        <f>'K9 2018'!E8</f>
        <v>0.1616500375789513</v>
      </c>
      <c r="O25" s="516"/>
      <c r="P25" s="517"/>
      <c r="Q25" s="514">
        <f>+L25+M25*'Grafer-klima-&gt;VÆLG GWP og NIR&lt;-'!$E$8+N25*'Grafer-klima-&gt;VÆLG GWP og NIR&lt;-'!$F$8+O25</f>
        <v>48.17171119852749</v>
      </c>
      <c r="V25" s="170"/>
      <c r="W25" s="170"/>
    </row>
    <row r="26" spans="2:24" s="129" customFormat="1" ht="14.45" customHeight="1" x14ac:dyDescent="0.2">
      <c r="B26" s="232"/>
      <c r="C26" s="568">
        <f>'K9 2018'!C11</f>
        <v>143.75</v>
      </c>
      <c r="D26" s="2">
        <f>'K9 2018'!C12</f>
        <v>611.125</v>
      </c>
      <c r="E26" s="2"/>
      <c r="F26" s="572"/>
      <c r="G26" s="572"/>
      <c r="H26" s="572"/>
      <c r="I26" s="573"/>
      <c r="J26" s="574"/>
      <c r="K26" s="94" t="s">
        <v>414</v>
      </c>
      <c r="L26" s="575"/>
      <c r="M26" s="576"/>
      <c r="N26" s="1689">
        <f>'K9 2018'!E11</f>
        <v>0.10879098703141192</v>
      </c>
      <c r="O26" s="576"/>
      <c r="P26" s="577"/>
      <c r="Q26" s="514">
        <f>+L26+M26*'Grafer-klima-&gt;VÆLG GWP og NIR&lt;-'!$E$8+N26*'Grafer-klima-&gt;VÆLG GWP og NIR&lt;-'!$F$8+O26</f>
        <v>32.419714135360749</v>
      </c>
      <c r="V26" s="170"/>
      <c r="W26" s="170"/>
    </row>
    <row r="27" spans="2:24" s="129" customFormat="1" ht="14.45" customHeight="1" thickBot="1" x14ac:dyDescent="0.25">
      <c r="B27" s="232"/>
      <c r="C27" s="578">
        <f>'K9 2018'!C16</f>
        <v>3.125</v>
      </c>
      <c r="D27" s="579">
        <f>'K9 2018'!C17</f>
        <v>25.8125</v>
      </c>
      <c r="E27" s="579">
        <f>'K9 2018'!C18</f>
        <v>0</v>
      </c>
      <c r="F27" s="572"/>
      <c r="G27" s="572"/>
      <c r="H27" s="572"/>
      <c r="I27" s="573"/>
      <c r="J27" s="574"/>
      <c r="K27" s="94" t="s">
        <v>415</v>
      </c>
      <c r="L27" s="575"/>
      <c r="M27" s="576"/>
      <c r="N27" s="1700">
        <f>SUM('K9 2018'!E16:E18)</f>
        <v>1.223325644509907</v>
      </c>
      <c r="O27" s="576"/>
      <c r="P27" s="577"/>
      <c r="Q27" s="529">
        <f>+L27+M27*'Grafer-klima-&gt;VÆLG GWP og NIR&lt;-'!$E$8+N27*'Grafer-klima-&gt;VÆLG GWP og NIR&lt;-'!$F$8+O27</f>
        <v>364.55104206395231</v>
      </c>
      <c r="R27" s="248"/>
      <c r="V27" s="170"/>
      <c r="W27" s="170"/>
    </row>
    <row r="28" spans="2:24" s="129" customFormat="1" ht="14.45" customHeight="1" x14ac:dyDescent="0.2">
      <c r="B28" s="232"/>
      <c r="C28" s="580">
        <f>'K8 2018'!C10</f>
        <v>0</v>
      </c>
      <c r="D28" s="522">
        <f>'K8 2018'!C28</f>
        <v>0</v>
      </c>
      <c r="E28" s="522">
        <f>'K8 2018'!C48</f>
        <v>6.25E-2</v>
      </c>
      <c r="F28" s="522"/>
      <c r="G28" s="522"/>
      <c r="H28" s="522"/>
      <c r="I28" s="581"/>
      <c r="J28" s="582"/>
      <c r="K28" s="583" t="s">
        <v>416</v>
      </c>
      <c r="L28" s="584">
        <f>'K8 2018'!G28+'K8 2018'!G48</f>
        <v>1.494128944306115E-2</v>
      </c>
      <c r="M28" s="522">
        <f>'K8 2018'!I10+'K8 2018'!I28+'K8 2018'!I48</f>
        <v>3.5786798101869167E-3</v>
      </c>
      <c r="N28" s="522">
        <f>'K8 2018'!H10+'K8 2018'!H28+'K8 2018'!H48</f>
        <v>0</v>
      </c>
      <c r="O28" s="522"/>
      <c r="P28" s="521">
        <f>Q28/SUM(C28:J28)</f>
        <v>1.6705325551637451</v>
      </c>
      <c r="Q28" s="530">
        <f>+L28+M28*'Grafer-klima-&gt;VÆLG GWP og NIR&lt;-'!$E$8+N28*'Grafer-klima-&gt;VÆLG GWP og NIR&lt;-'!$F$8+O28</f>
        <v>0.10440828469773407</v>
      </c>
      <c r="V28" s="170"/>
      <c r="W28" s="170"/>
    </row>
    <row r="29" spans="2:24" s="129" customFormat="1" ht="14.45" customHeight="1" x14ac:dyDescent="0.2">
      <c r="B29" s="232"/>
      <c r="C29" s="565"/>
      <c r="D29" s="516">
        <f>'K8 2018'!C29</f>
        <v>0</v>
      </c>
      <c r="E29" s="516">
        <f>'K8 2018'!C49</f>
        <v>0</v>
      </c>
      <c r="F29" s="516"/>
      <c r="G29" s="516"/>
      <c r="H29" s="516"/>
      <c r="I29" s="566"/>
      <c r="J29" s="554"/>
      <c r="K29" s="93" t="s">
        <v>417</v>
      </c>
      <c r="L29" s="571">
        <f>'K8 2018'!G29+'K8 2018'!G49</f>
        <v>0</v>
      </c>
      <c r="M29" s="516">
        <f>'K8 2018'!I29+'K8 2018'!I49</f>
        <v>0</v>
      </c>
      <c r="N29" s="516"/>
      <c r="O29" s="516"/>
      <c r="P29" s="517" t="e">
        <f>Q29/SUM(C29:J29)</f>
        <v>#DIV/0!</v>
      </c>
      <c r="Q29" s="514">
        <f>+L29+M29*'Grafer-klima-&gt;VÆLG GWP og NIR&lt;-'!$E$8+N29*'Grafer-klima-&gt;VÆLG GWP og NIR&lt;-'!$F$8+O29</f>
        <v>0</v>
      </c>
      <c r="V29" s="170"/>
      <c r="W29" s="170"/>
    </row>
    <row r="30" spans="2:24" s="129" customFormat="1" ht="14.45" customHeight="1" x14ac:dyDescent="0.2">
      <c r="B30" s="232"/>
      <c r="C30" s="565"/>
      <c r="D30" s="516">
        <f>'K8 2018'!C30</f>
        <v>0</v>
      </c>
      <c r="E30" s="516">
        <f>'K8 2018'!C50</f>
        <v>0</v>
      </c>
      <c r="F30" s="516"/>
      <c r="G30" s="516"/>
      <c r="H30" s="516"/>
      <c r="I30" s="566"/>
      <c r="J30" s="554"/>
      <c r="K30" s="93" t="s">
        <v>418</v>
      </c>
      <c r="L30" s="571"/>
      <c r="M30" s="516">
        <f>'K8 2018'!I30+'K8 2018'!I50</f>
        <v>0</v>
      </c>
      <c r="N30" s="516"/>
      <c r="O30" s="516"/>
      <c r="P30" s="517"/>
      <c r="Q30" s="514">
        <f>+L30+M30*'Grafer-klima-&gt;VÆLG GWP og NIR&lt;-'!$E$8+N30*'Grafer-klima-&gt;VÆLG GWP og NIR&lt;-'!$F$8+O30</f>
        <v>0</v>
      </c>
      <c r="V30" s="170"/>
      <c r="W30" s="170"/>
    </row>
    <row r="31" spans="2:24" s="129" customFormat="1" ht="14.45" customHeight="1" x14ac:dyDescent="0.2">
      <c r="B31" s="232"/>
      <c r="C31" s="565"/>
      <c r="D31" s="516">
        <f>'K8 2018'!C31</f>
        <v>0</v>
      </c>
      <c r="E31" s="516">
        <f>'K8 2018'!C51</f>
        <v>0</v>
      </c>
      <c r="F31" s="516"/>
      <c r="G31" s="516"/>
      <c r="H31" s="516"/>
      <c r="I31" s="566"/>
      <c r="J31" s="554"/>
      <c r="K31" s="93" t="s">
        <v>631</v>
      </c>
      <c r="L31" s="571"/>
      <c r="M31" s="516">
        <f>'K8 2018'!I31+'K8 2018'!I51</f>
        <v>0</v>
      </c>
      <c r="N31" s="516"/>
      <c r="O31" s="516"/>
      <c r="P31" s="517"/>
      <c r="Q31" s="514">
        <f>+L31+M31*'Grafer-klima-&gt;VÆLG GWP og NIR&lt;-'!$E$8+N31*'Grafer-klima-&gt;VÆLG GWP og NIR&lt;-'!$F$8+O31</f>
        <v>0</v>
      </c>
      <c r="V31" s="170"/>
      <c r="W31" s="170"/>
    </row>
    <row r="32" spans="2:24" s="129" customFormat="1" ht="14.45" customHeight="1" x14ac:dyDescent="0.2">
      <c r="B32" s="232"/>
      <c r="C32" s="565"/>
      <c r="D32" s="516"/>
      <c r="E32" s="516"/>
      <c r="F32" s="516"/>
      <c r="G32" s="516"/>
      <c r="H32" s="516"/>
      <c r="I32" s="566">
        <f>'K8 2018'!C66</f>
        <v>0</v>
      </c>
      <c r="J32" s="554"/>
      <c r="K32" s="93" t="s">
        <v>419</v>
      </c>
      <c r="L32" s="571"/>
      <c r="M32" s="516">
        <f>'K8 2018'!I66</f>
        <v>0</v>
      </c>
      <c r="N32" s="516">
        <f>'K8 2018'!H66</f>
        <v>0</v>
      </c>
      <c r="O32" s="516"/>
      <c r="P32" s="517"/>
      <c r="Q32" s="514">
        <f>+L32+M32*'Grafer-klima-&gt;VÆLG GWP og NIR&lt;-'!$E$8+N32*'Grafer-klima-&gt;VÆLG GWP og NIR&lt;-'!$F$8+O32</f>
        <v>0</v>
      </c>
      <c r="V32" s="170"/>
      <c r="W32" s="170"/>
    </row>
    <row r="33" spans="2:23" s="129" customFormat="1" ht="14.45" customHeight="1" x14ac:dyDescent="0.2">
      <c r="B33" s="232"/>
      <c r="C33" s="565"/>
      <c r="D33" s="516"/>
      <c r="E33" s="516"/>
      <c r="F33" s="516">
        <f>'K8 2018'!C67</f>
        <v>41.5</v>
      </c>
      <c r="G33" s="516"/>
      <c r="H33" s="516"/>
      <c r="I33" s="566"/>
      <c r="J33" s="554"/>
      <c r="K33" s="93" t="s">
        <v>420</v>
      </c>
      <c r="L33" s="571"/>
      <c r="M33" s="516">
        <f>'K8 2018'!I67</f>
        <v>11.933337931516357</v>
      </c>
      <c r="N33" s="516"/>
      <c r="O33" s="516"/>
      <c r="P33" s="517">
        <f>Q33/SUM(C33:J33)</f>
        <v>7.1887577900700945</v>
      </c>
      <c r="Q33" s="514">
        <f>+L33+M33*'Grafer-klima-&gt;VÆLG GWP og NIR&lt;-'!$E$8+N33*'Grafer-klima-&gt;VÆLG GWP og NIR&lt;-'!$F$8+O33</f>
        <v>298.33344828790894</v>
      </c>
      <c r="R33" s="248"/>
      <c r="V33" s="170"/>
      <c r="W33" s="170"/>
    </row>
    <row r="34" spans="2:23" s="129" customFormat="1" ht="14.45" customHeight="1" x14ac:dyDescent="0.2">
      <c r="B34" s="232"/>
      <c r="C34" s="565"/>
      <c r="D34" s="516"/>
      <c r="E34" s="517" t="str">
        <f>'K10 2018'!B11</f>
        <v>NR</v>
      </c>
      <c r="F34" s="516"/>
      <c r="G34" s="516"/>
      <c r="H34" s="516"/>
      <c r="I34" s="566"/>
      <c r="J34" s="554"/>
      <c r="K34" s="93" t="s">
        <v>421</v>
      </c>
      <c r="L34" s="571"/>
      <c r="M34" s="516" t="str">
        <f>'K10 2018'!G11</f>
        <v>NR</v>
      </c>
      <c r="N34" s="516" t="str">
        <f>'K10 2018'!H11</f>
        <v>NR</v>
      </c>
      <c r="O34" s="516"/>
      <c r="P34" s="517"/>
      <c r="Q34" s="514" t="str">
        <f>IFERROR(+L34+M34*'Grafer-klima-&gt;VÆLG GWP og NIR&lt;-'!$E$8+N34*'Grafer-klima-&gt;VÆLG GWP og NIR&lt;-'!$F$8+O34,"NR")</f>
        <v>NR</v>
      </c>
      <c r="V34" s="170"/>
      <c r="W34" s="170"/>
    </row>
    <row r="35" spans="2:23" s="129" customFormat="1" ht="14.45" customHeight="1" x14ac:dyDescent="0.2">
      <c r="B35" s="232"/>
      <c r="C35" s="515"/>
      <c r="D35" s="517"/>
      <c r="E35" s="516" t="str">
        <f>'K10 2018'!B10</f>
        <v>NR</v>
      </c>
      <c r="F35" s="517"/>
      <c r="G35" s="517"/>
      <c r="H35" s="517"/>
      <c r="I35" s="585"/>
      <c r="J35" s="539"/>
      <c r="K35" s="93" t="s">
        <v>422</v>
      </c>
      <c r="L35" s="571"/>
      <c r="M35" s="516" t="str">
        <f>'K10 2018'!G10</f>
        <v>NR</v>
      </c>
      <c r="N35" s="516" t="str">
        <f>'K10 2018'!H10</f>
        <v>NR</v>
      </c>
      <c r="O35" s="516"/>
      <c r="P35" s="517"/>
      <c r="Q35" s="514" t="str">
        <f>IFERROR(+L35+M35*'Grafer-klima-&gt;VÆLG GWP og NIR&lt;-'!$E$8+N35*'Grafer-klima-&gt;VÆLG GWP og NIR&lt;-'!$F$8+O35,"NR")</f>
        <v>NR</v>
      </c>
      <c r="R35" s="247"/>
      <c r="V35" s="170"/>
      <c r="W35" s="170"/>
    </row>
    <row r="36" spans="2:23" s="129" customFormat="1" ht="18.75" customHeight="1" x14ac:dyDescent="0.2">
      <c r="B36" s="232"/>
      <c r="C36" s="586"/>
      <c r="D36" s="587"/>
      <c r="E36" s="587"/>
      <c r="F36" s="587"/>
      <c r="G36" s="587"/>
      <c r="H36" s="587"/>
      <c r="I36" s="588"/>
      <c r="J36" s="589"/>
      <c r="K36" s="590" t="s">
        <v>423</v>
      </c>
      <c r="L36" s="587"/>
      <c r="M36" s="587"/>
      <c r="N36" s="587"/>
      <c r="O36" s="587"/>
      <c r="P36" s="587"/>
      <c r="Q36" s="531"/>
      <c r="V36" s="170"/>
    </row>
    <row r="37" spans="2:23" s="129" customFormat="1" x14ac:dyDescent="0.2">
      <c r="B37" s="235"/>
      <c r="C37" s="515"/>
      <c r="D37" s="517"/>
      <c r="E37" s="517"/>
      <c r="F37" s="517"/>
      <c r="G37" s="517"/>
      <c r="H37" s="517"/>
      <c r="I37" s="553"/>
      <c r="J37" s="554">
        <f>'K11 2018'!I43</f>
        <v>-319094.86783871055</v>
      </c>
      <c r="K37" s="93" t="s">
        <v>424</v>
      </c>
      <c r="L37" s="571">
        <f>'K11 2018'!P43</f>
        <v>198.004592748747</v>
      </c>
      <c r="M37" s="517"/>
      <c r="N37" s="517"/>
      <c r="O37" s="517"/>
      <c r="P37" s="517"/>
      <c r="Q37" s="514">
        <f>+L37+M37*'Grafer-klima-&gt;VÆLG GWP og NIR&lt;-'!$E$8+N37*'Grafer-klima-&gt;VÆLG GWP og NIR&lt;-'!$F$8+O37</f>
        <v>198.004592748747</v>
      </c>
    </row>
    <row r="38" spans="2:23" s="129" customFormat="1" x14ac:dyDescent="0.2">
      <c r="B38" s="235"/>
      <c r="C38" s="515"/>
      <c r="D38" s="517"/>
      <c r="E38" s="517"/>
      <c r="F38" s="517"/>
      <c r="G38" s="517"/>
      <c r="H38" s="517"/>
      <c r="I38" s="553"/>
      <c r="J38" s="554">
        <f>'K11 2018'!I84</f>
        <v>211587.35748800635</v>
      </c>
      <c r="K38" s="93" t="s">
        <v>425</v>
      </c>
      <c r="L38" s="571">
        <f>'K11 2018'!P84</f>
        <v>-154.22754907338012</v>
      </c>
      <c r="M38" s="517"/>
      <c r="N38" s="517"/>
      <c r="O38" s="517"/>
      <c r="P38" s="517"/>
      <c r="Q38" s="514">
        <f>+L38+M38*'Grafer-klima-&gt;VÆLG GWP og NIR&lt;-'!$E$8+N38*'Grafer-klima-&gt;VÆLG GWP og NIR&lt;-'!$F$8+O38</f>
        <v>-154.22754907338012</v>
      </c>
    </row>
    <row r="39" spans="2:23" s="129" customFormat="1" ht="15" thickBot="1" x14ac:dyDescent="0.25">
      <c r="B39" s="235"/>
      <c r="C39" s="518"/>
      <c r="D39" s="519"/>
      <c r="E39" s="519"/>
      <c r="F39" s="519"/>
      <c r="G39" s="519"/>
      <c r="H39" s="519"/>
      <c r="I39" s="558"/>
      <c r="J39" s="591">
        <f>'K11 2018'!I125</f>
        <v>-152253.59746839432</v>
      </c>
      <c r="K39" s="95" t="s">
        <v>426</v>
      </c>
      <c r="L39" s="592">
        <f>'K11 2018'!P125</f>
        <v>67.354591710668544</v>
      </c>
      <c r="M39" s="519"/>
      <c r="N39" s="519"/>
      <c r="O39" s="519"/>
      <c r="P39" s="519"/>
      <c r="Q39" s="529">
        <f>+L39+M39*'Grafer-klima-&gt;VÆLG GWP og NIR&lt;-'!$E$8+N39*'Grafer-klima-&gt;VÆLG GWP og NIR&lt;-'!$F$8+O39</f>
        <v>67.354591710668544</v>
      </c>
      <c r="T39" s="170"/>
    </row>
    <row r="40" spans="2:23" s="129" customFormat="1" ht="15" thickBot="1" x14ac:dyDescent="0.25">
      <c r="C40" s="4052">
        <f>SUM(C10:C39)</f>
        <v>3740.8125</v>
      </c>
      <c r="D40" s="4053">
        <f t="shared" ref="D40:I40" si="2">SUM(D10:D39)</f>
        <v>4577.6875</v>
      </c>
      <c r="E40" s="4053">
        <f t="shared" si="2"/>
        <v>2409.125</v>
      </c>
      <c r="F40" s="4053">
        <f t="shared" si="2"/>
        <v>390.5625</v>
      </c>
      <c r="G40" s="4053">
        <f t="shared" si="2"/>
        <v>57.5625</v>
      </c>
      <c r="H40" s="4053">
        <f t="shared" si="2"/>
        <v>1188.25</v>
      </c>
      <c r="I40" s="4054">
        <f t="shared" si="2"/>
        <v>366.875</v>
      </c>
      <c r="J40" s="484"/>
      <c r="K40" s="532" t="s">
        <v>427</v>
      </c>
      <c r="L40" s="533">
        <f>SUM(L10:L35)+SUM(L37:L39)</f>
        <v>111.14657667547849</v>
      </c>
      <c r="M40" s="534">
        <f>SUM(M10:M35)+SUM(M37:M39)</f>
        <v>11.936916611326545</v>
      </c>
      <c r="N40" s="534">
        <f>SUM(N10:N35)+SUM(N37:N39)</f>
        <v>1.4937666691202702</v>
      </c>
      <c r="O40" s="534">
        <f>SUM(O10:O35)+SUM(O37:O39)</f>
        <v>-1896.4838127791825</v>
      </c>
      <c r="P40" s="534"/>
      <c r="Q40" s="561">
        <f>SUM(Q10:Q35,Q37:Q39)</f>
        <v>7808.4859395468175</v>
      </c>
    </row>
    <row r="41" spans="2:23" s="129" customFormat="1" x14ac:dyDescent="0.2">
      <c r="N41" s="219"/>
      <c r="Q41" s="170"/>
    </row>
    <row r="42" spans="2:23" s="129" customFormat="1" ht="23.25" customHeight="1" x14ac:dyDescent="0.2">
      <c r="C42" s="250"/>
      <c r="N42" s="219"/>
      <c r="Q42" s="170"/>
    </row>
    <row r="43" spans="2:23" s="129" customFormat="1" x14ac:dyDescent="0.2">
      <c r="N43" s="219"/>
      <c r="Q43" s="170"/>
    </row>
    <row r="44" spans="2:23" s="129" customFormat="1" x14ac:dyDescent="0.2">
      <c r="C44" s="130"/>
      <c r="N44" s="219"/>
      <c r="Q44" s="170"/>
    </row>
    <row r="45" spans="2:23" s="129" customFormat="1" x14ac:dyDescent="0.2">
      <c r="N45" s="219"/>
      <c r="Q45" s="170"/>
    </row>
    <row r="46" spans="2:23" s="129" customFormat="1" x14ac:dyDescent="0.2">
      <c r="N46" s="219"/>
      <c r="Q46" s="170"/>
    </row>
    <row r="47" spans="2:23" s="129" customFormat="1" x14ac:dyDescent="0.2">
      <c r="N47" s="219"/>
      <c r="Q47" s="170"/>
    </row>
    <row r="48" spans="2:23" s="129" customFormat="1" x14ac:dyDescent="0.2">
      <c r="N48" s="219"/>
      <c r="Q48" s="170"/>
    </row>
    <row r="49" spans="14:17" s="129" customFormat="1" x14ac:dyDescent="0.2">
      <c r="N49" s="219"/>
      <c r="Q49" s="170"/>
    </row>
    <row r="50" spans="14:17" s="129" customFormat="1" x14ac:dyDescent="0.2">
      <c r="N50" s="219"/>
      <c r="Q50" s="170"/>
    </row>
    <row r="51" spans="14:17" s="129" customFormat="1" x14ac:dyDescent="0.2">
      <c r="N51" s="219"/>
      <c r="Q51" s="170"/>
    </row>
    <row r="52" spans="14:17" s="129" customFormat="1" x14ac:dyDescent="0.2">
      <c r="N52" s="219"/>
      <c r="Q52" s="170"/>
    </row>
    <row r="53" spans="14:17" s="129" customFormat="1" x14ac:dyDescent="0.2">
      <c r="N53" s="219"/>
      <c r="Q53" s="170"/>
    </row>
    <row r="54" spans="14:17" s="129" customFormat="1" x14ac:dyDescent="0.2">
      <c r="N54" s="219"/>
      <c r="Q54" s="170"/>
    </row>
    <row r="55" spans="14:17" s="129" customFormat="1" x14ac:dyDescent="0.2">
      <c r="N55" s="219"/>
      <c r="Q55" s="170"/>
    </row>
    <row r="56" spans="14:17" s="129" customFormat="1" x14ac:dyDescent="0.2">
      <c r="N56" s="219"/>
      <c r="Q56" s="170"/>
    </row>
    <row r="57" spans="14:17" s="129" customFormat="1" x14ac:dyDescent="0.2">
      <c r="N57" s="219"/>
      <c r="Q57" s="170"/>
    </row>
    <row r="58" spans="14:17" s="129" customFormat="1" x14ac:dyDescent="0.2">
      <c r="N58" s="219"/>
      <c r="Q58" s="170"/>
    </row>
    <row r="59" spans="14:17" s="129" customFormat="1" x14ac:dyDescent="0.2">
      <c r="N59" s="219"/>
      <c r="Q59" s="170"/>
    </row>
    <row r="60" spans="14:17" s="129" customFormat="1" x14ac:dyDescent="0.2">
      <c r="N60" s="219"/>
      <c r="Q60" s="170"/>
    </row>
    <row r="61" spans="14:17" s="129" customFormat="1" x14ac:dyDescent="0.2">
      <c r="N61" s="219"/>
      <c r="Q61" s="170"/>
    </row>
    <row r="62" spans="14:17" s="129" customFormat="1" x14ac:dyDescent="0.2">
      <c r="N62" s="219"/>
      <c r="Q62" s="170"/>
    </row>
    <row r="63" spans="14:17" s="129" customFormat="1" x14ac:dyDescent="0.2">
      <c r="N63" s="219"/>
      <c r="Q63" s="170"/>
    </row>
    <row r="64" spans="14:17" s="129" customFormat="1" x14ac:dyDescent="0.2">
      <c r="N64" s="219"/>
      <c r="Q64" s="170"/>
    </row>
    <row r="65" spans="14:17" s="129" customFormat="1" x14ac:dyDescent="0.2">
      <c r="N65" s="219"/>
      <c r="Q65" s="170"/>
    </row>
    <row r="66" spans="14:17" s="129" customFormat="1" x14ac:dyDescent="0.2">
      <c r="N66" s="219"/>
      <c r="Q66" s="170"/>
    </row>
    <row r="67" spans="14:17" s="129" customFormat="1" x14ac:dyDescent="0.2">
      <c r="N67" s="219"/>
      <c r="Q67" s="170"/>
    </row>
    <row r="68" spans="14:17" s="129" customFormat="1" x14ac:dyDescent="0.2">
      <c r="N68" s="219"/>
      <c r="Q68" s="170"/>
    </row>
    <row r="69" spans="14:17" s="129" customFormat="1" x14ac:dyDescent="0.2">
      <c r="N69" s="219"/>
      <c r="Q69" s="170"/>
    </row>
    <row r="70" spans="14:17" s="129" customFormat="1" x14ac:dyDescent="0.2">
      <c r="N70" s="219"/>
      <c r="Q70" s="170"/>
    </row>
    <row r="71" spans="14:17" s="129" customFormat="1" x14ac:dyDescent="0.2">
      <c r="N71" s="219"/>
      <c r="Q71" s="170"/>
    </row>
    <row r="72" spans="14:17" s="129" customFormat="1" x14ac:dyDescent="0.2">
      <c r="N72" s="219"/>
      <c r="Q72" s="170"/>
    </row>
    <row r="73" spans="14:17" s="129" customFormat="1" x14ac:dyDescent="0.2">
      <c r="N73" s="219"/>
      <c r="Q73" s="170"/>
    </row>
    <row r="74" spans="14:17" s="129" customFormat="1" x14ac:dyDescent="0.2">
      <c r="N74" s="219"/>
      <c r="Q74" s="170"/>
    </row>
    <row r="75" spans="14:17" s="129" customFormat="1" x14ac:dyDescent="0.2">
      <c r="N75" s="219"/>
      <c r="Q75" s="170"/>
    </row>
    <row r="76" spans="14:17" s="129" customFormat="1" x14ac:dyDescent="0.2">
      <c r="N76" s="219"/>
      <c r="Q76" s="170"/>
    </row>
    <row r="77" spans="14:17" s="129" customFormat="1" x14ac:dyDescent="0.2">
      <c r="N77" s="219"/>
      <c r="Q77" s="170"/>
    </row>
    <row r="78" spans="14:17" s="129" customFormat="1" x14ac:dyDescent="0.2">
      <c r="N78" s="219"/>
      <c r="Q78" s="170"/>
    </row>
    <row r="79" spans="14:17" s="129" customFormat="1" x14ac:dyDescent="0.2">
      <c r="N79" s="219"/>
      <c r="Q79" s="170"/>
    </row>
    <row r="80" spans="14:17" s="129" customFormat="1" x14ac:dyDescent="0.2">
      <c r="N80" s="219"/>
      <c r="Q80" s="170"/>
    </row>
    <row r="81" spans="14:17" s="129" customFormat="1" x14ac:dyDescent="0.2">
      <c r="N81" s="219"/>
      <c r="Q81" s="170"/>
    </row>
    <row r="82" spans="14:17" s="129" customFormat="1" x14ac:dyDescent="0.2">
      <c r="N82" s="219"/>
      <c r="Q82" s="170"/>
    </row>
    <row r="83" spans="14:17" s="129" customFormat="1" x14ac:dyDescent="0.2">
      <c r="N83" s="219"/>
      <c r="Q83" s="170"/>
    </row>
    <row r="84" spans="14:17" s="129" customFormat="1" x14ac:dyDescent="0.2">
      <c r="N84" s="219"/>
      <c r="Q84" s="170"/>
    </row>
    <row r="85" spans="14:17" s="129" customFormat="1" x14ac:dyDescent="0.2">
      <c r="N85" s="219"/>
      <c r="Q85" s="170"/>
    </row>
    <row r="86" spans="14:17" s="129" customFormat="1" x14ac:dyDescent="0.2">
      <c r="N86" s="219"/>
      <c r="Q86" s="170"/>
    </row>
    <row r="87" spans="14:17" s="129" customFormat="1" x14ac:dyDescent="0.2">
      <c r="N87" s="219"/>
      <c r="Q87" s="170"/>
    </row>
  </sheetData>
  <mergeCells count="2">
    <mergeCell ref="C7:I7"/>
    <mergeCell ref="L7:Q7"/>
  </mergeCells>
  <hyperlinks>
    <hyperlink ref="A1" location="Index!A1" display="Til index" xr:uid="{2685195C-7028-4BEB-B857-F5AFB0ED625F}"/>
  </hyperlinks>
  <pageMargins left="0.7" right="0.7" top="0.75" bottom="0.75" header="0.3" footer="0.3"/>
  <pageSetup paperSize="9"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3536A-D2C1-4518-9CAB-7AFD185020BF}">
  <sheetPr codeName="Ark14">
    <tabColor theme="8" tint="-0.249977111117893"/>
  </sheetPr>
  <dimension ref="A1:AJ87"/>
  <sheetViews>
    <sheetView showGridLines="0" topLeftCell="F13" zoomScale="115" zoomScaleNormal="115" workbookViewId="0">
      <selection activeCell="K8" sqref="K8"/>
    </sheetView>
  </sheetViews>
  <sheetFormatPr defaultColWidth="8.7109375" defaultRowHeight="14.25" x14ac:dyDescent="0.2"/>
  <cols>
    <col min="1" max="1" width="8.7109375" style="132"/>
    <col min="2" max="2" width="8.7109375" style="129"/>
    <col min="3" max="3" width="12.85546875" style="129" bestFit="1" customWidth="1"/>
    <col min="4" max="4" width="12.7109375" style="129" bestFit="1" customWidth="1"/>
    <col min="5" max="5" width="16.28515625" style="129" bestFit="1" customWidth="1"/>
    <col min="6" max="6" width="12.7109375" style="129" bestFit="1" customWidth="1"/>
    <col min="7" max="7" width="9" style="129" customWidth="1"/>
    <col min="8" max="8" width="12" style="129" bestFit="1" customWidth="1"/>
    <col min="9" max="9" width="12.85546875" style="129" bestFit="1" customWidth="1"/>
    <col min="10" max="10" width="10.7109375" style="129" customWidth="1"/>
    <col min="11" max="11" width="60.42578125" style="132" customWidth="1"/>
    <col min="12" max="12" width="12.85546875" style="129" customWidth="1"/>
    <col min="13" max="13" width="10.5703125" style="129" bestFit="1" customWidth="1"/>
    <col min="14" max="14" width="9.5703125" style="219" bestFit="1" customWidth="1"/>
    <col min="15" max="15" width="12.5703125" style="129" bestFit="1" customWidth="1"/>
    <col min="16" max="16" width="12.42578125" style="129" customWidth="1"/>
    <col min="17" max="17" width="14.42578125" style="170" customWidth="1"/>
    <col min="18" max="36" width="9.140625" style="129" customWidth="1"/>
    <col min="37" max="16384" width="8.7109375" style="132"/>
  </cols>
  <sheetData>
    <row r="1" spans="1:36" s="129" customFormat="1" ht="21.75" thickBot="1" x14ac:dyDescent="0.4">
      <c r="A1" s="1740" t="s">
        <v>4206</v>
      </c>
      <c r="N1" s="219"/>
      <c r="Q1" s="170"/>
    </row>
    <row r="2" spans="1:36" s="129" customFormat="1" x14ac:dyDescent="0.2">
      <c r="C2" s="237" t="s">
        <v>362</v>
      </c>
      <c r="D2" s="238"/>
      <c r="E2" s="238"/>
      <c r="F2" s="239" t="str">
        <f>'Dyrehold 2018G'!G2</f>
        <v>2018G</v>
      </c>
      <c r="K2" s="1746" t="s">
        <v>390</v>
      </c>
      <c r="N2" s="219"/>
      <c r="Q2" s="170"/>
    </row>
    <row r="3" spans="1:36" s="129" customFormat="1" ht="35.1" customHeight="1" thickBot="1" x14ac:dyDescent="0.25">
      <c r="C3" s="240" t="s">
        <v>391</v>
      </c>
      <c r="D3" s="241" t="s">
        <v>392</v>
      </c>
      <c r="E3" s="242" t="s">
        <v>393</v>
      </c>
      <c r="F3" s="243"/>
      <c r="K3" s="152" t="s">
        <v>325</v>
      </c>
      <c r="N3" s="219"/>
      <c r="Q3" s="170"/>
    </row>
    <row r="4" spans="1:36" s="129" customFormat="1" x14ac:dyDescent="0.2">
      <c r="K4" s="1745" t="str">
        <f>'Dyrehold 2018G'!U4</f>
        <v>Læsø 2018G</v>
      </c>
      <c r="N4" s="219"/>
      <c r="Q4" s="170"/>
    </row>
    <row r="5" spans="1:36" s="129" customFormat="1" x14ac:dyDescent="0.2">
      <c r="C5" s="10"/>
      <c r="D5" s="10"/>
      <c r="E5" s="10"/>
      <c r="F5" s="223"/>
      <c r="G5" s="10"/>
      <c r="N5" s="219"/>
      <c r="Q5" s="170"/>
    </row>
    <row r="6" spans="1:36" s="129" customFormat="1" ht="21" customHeight="1" x14ac:dyDescent="0.4">
      <c r="C6" s="10"/>
      <c r="D6" s="224"/>
      <c r="E6" s="225"/>
      <c r="F6" s="223"/>
      <c r="G6" s="10"/>
      <c r="N6" s="219"/>
      <c r="Q6" s="170"/>
    </row>
    <row r="7" spans="1:36" s="129" customFormat="1" ht="17.25" thickBot="1" x14ac:dyDescent="0.25">
      <c r="C7" s="5169" t="s">
        <v>365</v>
      </c>
      <c r="D7" s="5170"/>
      <c r="E7" s="5170"/>
      <c r="F7" s="5170"/>
      <c r="G7" s="5170"/>
      <c r="H7" s="5170"/>
      <c r="I7" s="5171"/>
      <c r="J7" s="154" t="s">
        <v>394</v>
      </c>
      <c r="K7" s="244" t="s">
        <v>327</v>
      </c>
      <c r="L7" s="5169" t="s">
        <v>328</v>
      </c>
      <c r="M7" s="5170"/>
      <c r="N7" s="5170"/>
      <c r="O7" s="5170"/>
      <c r="P7" s="5170"/>
      <c r="Q7" s="5171"/>
    </row>
    <row r="8" spans="1:36" s="129" customFormat="1" ht="230.25" customHeight="1" x14ac:dyDescent="0.2">
      <c r="C8" s="473" t="s">
        <v>243</v>
      </c>
      <c r="D8" s="451" t="s">
        <v>395</v>
      </c>
      <c r="E8" s="451" t="s">
        <v>254</v>
      </c>
      <c r="F8" s="451" t="s">
        <v>246</v>
      </c>
      <c r="G8" s="451" t="s">
        <v>247</v>
      </c>
      <c r="H8" s="451" t="s">
        <v>248</v>
      </c>
      <c r="I8" s="474" t="s">
        <v>249</v>
      </c>
      <c r="J8" s="448" t="s">
        <v>630</v>
      </c>
      <c r="K8" s="450"/>
      <c r="L8" s="229" t="s">
        <v>377</v>
      </c>
      <c r="M8" s="451" t="s">
        <v>628</v>
      </c>
      <c r="N8" s="230" t="s">
        <v>347</v>
      </c>
      <c r="O8" s="451" t="s">
        <v>396</v>
      </c>
      <c r="P8" s="229" t="s">
        <v>533</v>
      </c>
      <c r="Q8" s="231" t="s">
        <v>397</v>
      </c>
    </row>
    <row r="9" spans="1:36" s="129" customFormat="1" ht="17.25" customHeight="1" x14ac:dyDescent="0.2">
      <c r="B9" s="232"/>
      <c r="C9" s="475"/>
      <c r="D9" s="476"/>
      <c r="E9" s="476"/>
      <c r="F9" s="476"/>
      <c r="G9" s="476"/>
      <c r="H9" s="476"/>
      <c r="I9" s="477"/>
      <c r="J9" s="478"/>
      <c r="K9" s="479" t="s">
        <v>223</v>
      </c>
      <c r="L9" s="480"/>
      <c r="M9" s="476"/>
      <c r="N9" s="476"/>
      <c r="O9" s="476"/>
      <c r="P9" s="476"/>
      <c r="Q9" s="245"/>
    </row>
    <row r="10" spans="1:36" s="129" customFormat="1" ht="14.45" customHeight="1" x14ac:dyDescent="0.2">
      <c r="B10" s="232"/>
      <c r="C10" s="565">
        <f>'K6 2018G'!B10</f>
        <v>3163.8125</v>
      </c>
      <c r="D10" s="517"/>
      <c r="E10" s="517"/>
      <c r="F10" s="517"/>
      <c r="G10" s="517"/>
      <c r="H10" s="517"/>
      <c r="I10" s="553"/>
      <c r="J10" s="539"/>
      <c r="K10" s="93" t="s">
        <v>398</v>
      </c>
      <c r="L10" s="541"/>
      <c r="M10" s="517"/>
      <c r="N10" s="517"/>
      <c r="O10" s="516">
        <f>'K6 2018G'!T10</f>
        <v>-564.73028267284235</v>
      </c>
      <c r="P10" s="517">
        <f>Q10/SUM(C10:J10)</f>
        <v>0.65448812252108968</v>
      </c>
      <c r="Q10" s="528">
        <f>O10*-(44/12)</f>
        <v>2070.6777031337551</v>
      </c>
      <c r="R10" s="130"/>
      <c r="U10" s="246"/>
      <c r="V10" s="246"/>
      <c r="W10" s="246"/>
      <c r="X10" s="246"/>
      <c r="Y10" s="246"/>
      <c r="Z10" s="246"/>
      <c r="AA10" s="246"/>
      <c r="AB10" s="246"/>
      <c r="AC10" s="246"/>
      <c r="AD10" s="246"/>
      <c r="AE10" s="246"/>
      <c r="AF10" s="246"/>
      <c r="AG10" s="246"/>
      <c r="AH10" s="246"/>
      <c r="AI10" s="246"/>
      <c r="AJ10" s="246"/>
    </row>
    <row r="11" spans="1:36" s="129" customFormat="1" ht="14.45" customHeight="1" x14ac:dyDescent="0.2">
      <c r="B11" s="232"/>
      <c r="C11" s="515"/>
      <c r="D11" s="516">
        <f>'K7 2018G'!B10</f>
        <v>2921.5625</v>
      </c>
      <c r="E11" s="517"/>
      <c r="F11" s="517"/>
      <c r="G11" s="517"/>
      <c r="H11" s="517"/>
      <c r="I11" s="553"/>
      <c r="J11" s="539"/>
      <c r="K11" s="93" t="s">
        <v>399</v>
      </c>
      <c r="L11" s="541"/>
      <c r="M11" s="517"/>
      <c r="N11" s="517"/>
      <c r="O11" s="516">
        <f>'K7 2018G'!R10</f>
        <v>-250.8015783620387</v>
      </c>
      <c r="P11" s="517">
        <f>Q11/SUM(C11:J11)</f>
        <v>0.31476505716631947</v>
      </c>
      <c r="Q11" s="528">
        <f>O11*-(44/12)</f>
        <v>919.60578732747524</v>
      </c>
      <c r="R11" s="130"/>
      <c r="S11" s="170"/>
    </row>
    <row r="12" spans="1:36" s="129" customFormat="1" ht="14.45" customHeight="1" x14ac:dyDescent="0.2">
      <c r="B12" s="232"/>
      <c r="C12" s="515"/>
      <c r="D12" s="517"/>
      <c r="E12" s="516">
        <f>'K7 2018G'!B26</f>
        <v>2026.625</v>
      </c>
      <c r="F12" s="517"/>
      <c r="G12" s="517"/>
      <c r="H12" s="517"/>
      <c r="I12" s="553"/>
      <c r="J12" s="539"/>
      <c r="K12" s="93" t="s">
        <v>400</v>
      </c>
      <c r="L12" s="541"/>
      <c r="M12" s="517"/>
      <c r="N12" s="517"/>
      <c r="O12" s="516">
        <f>'K7 2018G'!R26</f>
        <v>-562.19005972818616</v>
      </c>
      <c r="P12" s="517">
        <f>Q12/SUM(C12:J12)</f>
        <v>1.0171410854680478</v>
      </c>
      <c r="Q12" s="528">
        <f>O12*-(44/12)</f>
        <v>2061.3635523366825</v>
      </c>
      <c r="R12" s="247"/>
    </row>
    <row r="13" spans="1:36" s="129" customFormat="1" ht="14.45" customHeight="1" x14ac:dyDescent="0.2">
      <c r="B13" s="232"/>
      <c r="C13" s="515"/>
      <c r="D13" s="517"/>
      <c r="E13" s="517"/>
      <c r="F13" s="516">
        <f>'K7 2018G'!B45</f>
        <v>347.25</v>
      </c>
      <c r="G13" s="517"/>
      <c r="H13" s="517"/>
      <c r="I13" s="553"/>
      <c r="J13" s="539"/>
      <c r="K13" s="93" t="s">
        <v>401</v>
      </c>
      <c r="L13" s="541"/>
      <c r="M13" s="517"/>
      <c r="N13" s="517"/>
      <c r="O13" s="516">
        <f>'K7 2018G'!R42</f>
        <v>0</v>
      </c>
      <c r="P13" s="517"/>
      <c r="Q13" s="528">
        <f>O13*-(44/12)</f>
        <v>0</v>
      </c>
      <c r="R13" s="248"/>
    </row>
    <row r="14" spans="1:36" s="129" customFormat="1" ht="14.45" customHeight="1" x14ac:dyDescent="0.2">
      <c r="B14" s="232"/>
      <c r="C14" s="515"/>
      <c r="D14" s="517"/>
      <c r="E14" s="517"/>
      <c r="F14" s="517"/>
      <c r="G14" s="516">
        <f>'K7 2018G'!B44</f>
        <v>57.5625</v>
      </c>
      <c r="H14" s="517"/>
      <c r="I14" s="553"/>
      <c r="J14" s="539"/>
      <c r="K14" s="93" t="s">
        <v>402</v>
      </c>
      <c r="L14" s="541"/>
      <c r="M14" s="517"/>
      <c r="N14" s="517"/>
      <c r="O14" s="516" t="s">
        <v>455</v>
      </c>
      <c r="P14" s="517"/>
      <c r="Q14" s="528" t="s">
        <v>455</v>
      </c>
      <c r="R14" s="248"/>
      <c r="S14" s="130"/>
      <c r="T14" s="130"/>
      <c r="U14" s="130"/>
      <c r="V14" s="249"/>
      <c r="W14" s="130"/>
      <c r="X14" s="130"/>
    </row>
    <row r="15" spans="1:36" s="129" customFormat="1" ht="14.45" customHeight="1" x14ac:dyDescent="0.2">
      <c r="B15" s="232"/>
      <c r="C15" s="515"/>
      <c r="D15" s="517"/>
      <c r="E15" s="517"/>
      <c r="F15" s="517"/>
      <c r="G15" s="517"/>
      <c r="H15" s="516">
        <f>'K7 2018G'!B66</f>
        <v>1188.25</v>
      </c>
      <c r="I15" s="553"/>
      <c r="J15" s="539"/>
      <c r="K15" s="93" t="s">
        <v>403</v>
      </c>
      <c r="L15" s="541"/>
      <c r="M15" s="517"/>
      <c r="N15" s="517"/>
      <c r="O15" s="517">
        <f>'K7 2018G'!R66</f>
        <v>0</v>
      </c>
      <c r="P15" s="517"/>
      <c r="Q15" s="528" t="s">
        <v>259</v>
      </c>
    </row>
    <row r="16" spans="1:36" s="129" customFormat="1" ht="14.45" customHeight="1" x14ac:dyDescent="0.2">
      <c r="B16" s="232"/>
      <c r="C16" s="515"/>
      <c r="D16" s="517"/>
      <c r="E16" s="517"/>
      <c r="F16" s="517"/>
      <c r="G16" s="517"/>
      <c r="H16" s="517"/>
      <c r="I16" s="566">
        <f>'K7 2018G'!B82</f>
        <v>366.625</v>
      </c>
      <c r="J16" s="539"/>
      <c r="K16" s="93" t="s">
        <v>404</v>
      </c>
      <c r="L16" s="541"/>
      <c r="M16" s="517"/>
      <c r="N16" s="517"/>
      <c r="O16" s="517">
        <f>'K7 2018G'!R82</f>
        <v>0</v>
      </c>
      <c r="P16" s="517"/>
      <c r="Q16" s="528" t="s">
        <v>259</v>
      </c>
    </row>
    <row r="17" spans="2:24" s="129" customFormat="1" ht="14.45" customHeight="1" x14ac:dyDescent="0.2">
      <c r="B17" s="232"/>
      <c r="C17" s="515"/>
      <c r="D17" s="517"/>
      <c r="E17" s="517"/>
      <c r="F17" s="517"/>
      <c r="G17" s="517"/>
      <c r="H17" s="517"/>
      <c r="I17" s="553"/>
      <c r="J17" s="539"/>
      <c r="K17" s="93" t="s">
        <v>405</v>
      </c>
      <c r="L17" s="541"/>
      <c r="M17" s="517"/>
      <c r="N17" s="517"/>
      <c r="O17" s="517"/>
      <c r="P17" s="517"/>
      <c r="Q17" s="528">
        <f>M17*25+N17*298+L17</f>
        <v>0</v>
      </c>
    </row>
    <row r="18" spans="2:24" s="129" customFormat="1" ht="14.45" customHeight="1" x14ac:dyDescent="0.2">
      <c r="B18" s="232"/>
      <c r="C18" s="515"/>
      <c r="D18" s="516">
        <f>'K6 2018G'!B12</f>
        <v>380.9375</v>
      </c>
      <c r="E18" s="516">
        <f>'K6 2018G'!B13</f>
        <v>113.5</v>
      </c>
      <c r="F18" s="516">
        <f>'K6 2018G'!B14</f>
        <v>1.6875</v>
      </c>
      <c r="G18" s="517">
        <f>'K6 2018G'!B17</f>
        <v>0</v>
      </c>
      <c r="H18" s="517">
        <f>'K6 2018G'!B15</f>
        <v>0</v>
      </c>
      <c r="I18" s="566">
        <f>'K6 2018G'!B16+'K6 2018G'!B18</f>
        <v>6.25E-2</v>
      </c>
      <c r="J18" s="539"/>
      <c r="K18" s="93" t="s">
        <v>406</v>
      </c>
      <c r="L18" s="541"/>
      <c r="M18" s="517"/>
      <c r="N18" s="517"/>
      <c r="O18" s="516">
        <f>'K6 2018G'!T11</f>
        <v>369.80048882772962</v>
      </c>
      <c r="P18" s="517">
        <f>Q18/SUM(C18:J18)</f>
        <v>-2.7327071433715582</v>
      </c>
      <c r="Q18" s="528">
        <f>O18*-(44/12)</f>
        <v>-1355.9351257016751</v>
      </c>
    </row>
    <row r="19" spans="2:24" s="129" customFormat="1" ht="14.45" customHeight="1" x14ac:dyDescent="0.2">
      <c r="B19" s="232"/>
      <c r="C19" s="565">
        <f>'K7 2018G'!B12</f>
        <v>137.6875</v>
      </c>
      <c r="D19" s="567"/>
      <c r="E19" s="516">
        <f>'K7 2018G'!B13</f>
        <v>128.875</v>
      </c>
      <c r="F19" s="516">
        <f>'K7 2018G'!B14</f>
        <v>0.125</v>
      </c>
      <c r="G19" s="517">
        <f>'K7 2018G'!B17</f>
        <v>0</v>
      </c>
      <c r="H19" s="517">
        <f>'K7 2018G'!B15</f>
        <v>0</v>
      </c>
      <c r="I19" s="566">
        <f>'K7 2018G'!B16+'K7 2018G'!B18</f>
        <v>0.1875</v>
      </c>
      <c r="J19" s="539"/>
      <c r="K19" s="93" t="s">
        <v>407</v>
      </c>
      <c r="L19" s="541"/>
      <c r="M19" s="517"/>
      <c r="N19" s="517"/>
      <c r="O19" s="516">
        <f>'K7 2018G'!R11</f>
        <v>-433.12327565708739</v>
      </c>
      <c r="P19" s="517">
        <f>Q19/SUM(C19:J19)</f>
        <v>5.9507959809248536</v>
      </c>
      <c r="Q19" s="528">
        <f t="shared" ref="Q19:Q24" si="0">O19*-(44/12)</f>
        <v>1588.1186774093203</v>
      </c>
    </row>
    <row r="20" spans="2:24" s="129" customFormat="1" ht="14.45" customHeight="1" x14ac:dyDescent="0.2">
      <c r="B20" s="232"/>
      <c r="C20" s="565">
        <f>'K7 2018G'!B28</f>
        <v>143.75</v>
      </c>
      <c r="D20" s="516">
        <f>'K7 2018G'!B29</f>
        <v>611.125</v>
      </c>
      <c r="E20" s="567"/>
      <c r="F20" s="517">
        <f>'K7 2018G'!B30</f>
        <v>0</v>
      </c>
      <c r="G20" s="517">
        <f>'K7 2018G'!B33</f>
        <v>0</v>
      </c>
      <c r="H20" s="517">
        <f>'K7 2018G'!B31</f>
        <v>0</v>
      </c>
      <c r="I20" s="553">
        <f>'K7 2018G'!B32+'K7 2018G'!B34</f>
        <v>0</v>
      </c>
      <c r="J20" s="539"/>
      <c r="K20" s="93" t="s">
        <v>408</v>
      </c>
      <c r="L20" s="541"/>
      <c r="M20" s="517"/>
      <c r="N20" s="517"/>
      <c r="O20" s="516">
        <f>'K7 2018G'!R27</f>
        <v>-406.04411543685404</v>
      </c>
      <c r="P20" s="517">
        <f>Q20/SUM(C20:J20)</f>
        <v>1.9722847137187809</v>
      </c>
      <c r="Q20" s="528">
        <f>O20*-(44/12)</f>
        <v>1488.8284232684648</v>
      </c>
      <c r="R20" s="247"/>
      <c r="X20" s="170"/>
    </row>
    <row r="21" spans="2:24" s="129" customFormat="1" ht="14.45" customHeight="1" x14ac:dyDescent="0.2">
      <c r="B21" s="232"/>
      <c r="C21" s="565">
        <f>'K7 2018G'!B54</f>
        <v>7.875</v>
      </c>
      <c r="D21" s="516">
        <f>'K7 2018G'!B55</f>
        <v>0.875</v>
      </c>
      <c r="E21" s="516">
        <f>'K7 2018G'!B56</f>
        <v>11.125</v>
      </c>
      <c r="F21" s="567"/>
      <c r="G21" s="517"/>
      <c r="H21" s="517"/>
      <c r="I21" s="553"/>
      <c r="J21" s="539"/>
      <c r="K21" s="93" t="s">
        <v>409</v>
      </c>
      <c r="L21" s="541"/>
      <c r="M21" s="517"/>
      <c r="N21" s="517"/>
      <c r="O21" s="517">
        <f>'K7 2018G'!R53</f>
        <v>0</v>
      </c>
      <c r="P21" s="517"/>
      <c r="Q21" s="528">
        <f t="shared" ref="Q21:Q22" si="1">O21*-(44/12)</f>
        <v>0</v>
      </c>
      <c r="V21" s="170"/>
      <c r="W21" s="170"/>
    </row>
    <row r="22" spans="2:24" s="129" customFormat="1" ht="14.45" customHeight="1" x14ac:dyDescent="0.2">
      <c r="B22" s="232"/>
      <c r="C22" s="565">
        <f>'K7 2018G'!B49</f>
        <v>0</v>
      </c>
      <c r="D22" s="516">
        <f>'K7 2018G'!B50</f>
        <v>0.4375</v>
      </c>
      <c r="E22" s="516">
        <f>'K7 2018G'!B51</f>
        <v>6.25E-2</v>
      </c>
      <c r="F22" s="567"/>
      <c r="G22" s="517"/>
      <c r="H22" s="517"/>
      <c r="I22" s="553"/>
      <c r="J22" s="539"/>
      <c r="K22" s="93" t="s">
        <v>410</v>
      </c>
      <c r="L22" s="541"/>
      <c r="M22" s="517"/>
      <c r="N22" s="517"/>
      <c r="O22" s="517">
        <f>'K7 2018G'!R47</f>
        <v>0</v>
      </c>
      <c r="P22" s="517"/>
      <c r="Q22" s="528">
        <f t="shared" si="1"/>
        <v>0</v>
      </c>
      <c r="V22" s="170"/>
      <c r="W22" s="170"/>
    </row>
    <row r="23" spans="2:24" s="129" customFormat="1" ht="14.45" customHeight="1" x14ac:dyDescent="0.2">
      <c r="B23" s="232"/>
      <c r="C23" s="565">
        <f>'K7 2018G'!B68</f>
        <v>3.125</v>
      </c>
      <c r="D23" s="516">
        <f>'K7 2018G'!B69</f>
        <v>25.8125</v>
      </c>
      <c r="E23" s="516">
        <f>'K7 2018G'!B70</f>
        <v>0</v>
      </c>
      <c r="F23" s="516">
        <f>'K7 2018G'!B71</f>
        <v>0</v>
      </c>
      <c r="G23" s="517">
        <f>'K7 2018G'!B73</f>
        <v>0</v>
      </c>
      <c r="H23" s="567"/>
      <c r="I23" s="566">
        <f>'K7 2018G'!B72+'K7 2018G'!B74</f>
        <v>0</v>
      </c>
      <c r="J23" s="539"/>
      <c r="K23" s="93" t="s">
        <v>411</v>
      </c>
      <c r="L23" s="541"/>
      <c r="M23" s="517"/>
      <c r="N23" s="517"/>
      <c r="O23" s="516">
        <f>'K7 2018G'!R67</f>
        <v>-49.394989749903331</v>
      </c>
      <c r="P23" s="517">
        <f>Q23/SUM(C23:J23)</f>
        <v>6.2588323945161886</v>
      </c>
      <c r="Q23" s="528">
        <f t="shared" si="0"/>
        <v>181.11496241631221</v>
      </c>
      <c r="R23" s="247"/>
      <c r="S23" s="130"/>
      <c r="V23" s="219"/>
      <c r="W23" s="170"/>
    </row>
    <row r="24" spans="2:24" s="129" customFormat="1" ht="14.45" customHeight="1" x14ac:dyDescent="0.2">
      <c r="B24" s="232"/>
      <c r="C24" s="515"/>
      <c r="D24" s="517"/>
      <c r="E24" s="517"/>
      <c r="F24" s="517"/>
      <c r="G24" s="517"/>
      <c r="H24" s="517"/>
      <c r="I24" s="566"/>
      <c r="J24" s="539"/>
      <c r="K24" s="93" t="s">
        <v>412</v>
      </c>
      <c r="L24" s="541"/>
      <c r="M24" s="517"/>
      <c r="N24" s="517"/>
      <c r="O24" s="517"/>
      <c r="P24" s="517"/>
      <c r="Q24" s="528">
        <f t="shared" si="0"/>
        <v>0</v>
      </c>
      <c r="V24" s="170"/>
      <c r="W24" s="170"/>
    </row>
    <row r="25" spans="2:24" s="129" customFormat="1" ht="14.45" customHeight="1" x14ac:dyDescent="0.2">
      <c r="B25" s="232"/>
      <c r="C25" s="568">
        <f>'K9 2018G'!C8</f>
        <v>137.6875</v>
      </c>
      <c r="D25" s="2"/>
      <c r="E25" s="2">
        <f>'K9 2018G'!C9</f>
        <v>128.875</v>
      </c>
      <c r="F25" s="567"/>
      <c r="G25" s="567"/>
      <c r="H25" s="567"/>
      <c r="I25" s="569"/>
      <c r="J25" s="570"/>
      <c r="K25" s="93" t="s">
        <v>413</v>
      </c>
      <c r="L25" s="571"/>
      <c r="M25" s="516"/>
      <c r="N25" s="1689">
        <f>'K9 2018G'!E8</f>
        <v>0.1616500375789513</v>
      </c>
      <c r="O25" s="516"/>
      <c r="P25" s="517"/>
      <c r="Q25" s="514">
        <f>+L25+M25*'Grafer-klima-&gt;VÆLG GWP og NIR&lt;-'!$E$8+N25*'Grafer-klima-&gt;VÆLG GWP og NIR&lt;-'!$F$8+O25</f>
        <v>48.17171119852749</v>
      </c>
      <c r="V25" s="170"/>
      <c r="W25" s="170"/>
    </row>
    <row r="26" spans="2:24" s="129" customFormat="1" ht="14.45" customHeight="1" x14ac:dyDescent="0.2">
      <c r="B26" s="232"/>
      <c r="C26" s="568">
        <f>'K9 2018G'!C11</f>
        <v>143.75</v>
      </c>
      <c r="D26" s="2">
        <f>'K9 2018G'!C12</f>
        <v>611.125</v>
      </c>
      <c r="E26" s="2"/>
      <c r="F26" s="572"/>
      <c r="G26" s="572"/>
      <c r="H26" s="572"/>
      <c r="I26" s="573"/>
      <c r="J26" s="574"/>
      <c r="K26" s="94" t="s">
        <v>414</v>
      </c>
      <c r="L26" s="575"/>
      <c r="M26" s="576"/>
      <c r="N26" s="1689">
        <f>'K9 2018G'!E11</f>
        <v>0.10879098703141192</v>
      </c>
      <c r="O26" s="576"/>
      <c r="P26" s="577"/>
      <c r="Q26" s="514">
        <f>+L26+M26*'Grafer-klima-&gt;VÆLG GWP og NIR&lt;-'!$E$8+N26*'Grafer-klima-&gt;VÆLG GWP og NIR&lt;-'!$F$8+O26</f>
        <v>32.419714135360749</v>
      </c>
      <c r="V26" s="170"/>
      <c r="W26" s="170"/>
    </row>
    <row r="27" spans="2:24" s="129" customFormat="1" ht="14.45" customHeight="1" thickBot="1" x14ac:dyDescent="0.25">
      <c r="B27" s="232"/>
      <c r="C27" s="578">
        <f>'K9 2018G'!C16</f>
        <v>3.125</v>
      </c>
      <c r="D27" s="579">
        <f>'K9 2018G'!C17</f>
        <v>25.8125</v>
      </c>
      <c r="E27" s="579">
        <f>'K9 2018G'!C18</f>
        <v>0</v>
      </c>
      <c r="F27" s="572"/>
      <c r="G27" s="572"/>
      <c r="H27" s="572"/>
      <c r="I27" s="573"/>
      <c r="J27" s="574"/>
      <c r="K27" s="94" t="s">
        <v>415</v>
      </c>
      <c r="L27" s="575"/>
      <c r="M27" s="576"/>
      <c r="N27" s="1700">
        <f>SUM('K9 2018G'!E16:E18)</f>
        <v>1.223325644509907</v>
      </c>
      <c r="O27" s="576"/>
      <c r="P27" s="577"/>
      <c r="Q27" s="529">
        <f>+L27+M27*'Grafer-klima-&gt;VÆLG GWP og NIR&lt;-'!$E$8+N27*'Grafer-klima-&gt;VÆLG GWP og NIR&lt;-'!$F$8+O27</f>
        <v>364.55104206395231</v>
      </c>
      <c r="R27" s="248"/>
      <c r="V27" s="170"/>
      <c r="W27" s="170"/>
    </row>
    <row r="28" spans="2:24" s="129" customFormat="1" ht="14.45" customHeight="1" x14ac:dyDescent="0.2">
      <c r="B28" s="232"/>
      <c r="C28" s="580">
        <f>'K8 2018G'!C10</f>
        <v>0</v>
      </c>
      <c r="D28" s="522">
        <f>'K8 2018G'!C28</f>
        <v>0</v>
      </c>
      <c r="E28" s="522">
        <f>'K8 2018G'!C48</f>
        <v>6.25E-2</v>
      </c>
      <c r="F28" s="522"/>
      <c r="G28" s="522"/>
      <c r="H28" s="522"/>
      <c r="I28" s="581"/>
      <c r="J28" s="582"/>
      <c r="K28" s="583" t="s">
        <v>416</v>
      </c>
      <c r="L28" s="584">
        <f>'K8 2018G'!G28+'K8 2018G'!G48</f>
        <v>1.494128944306115E-2</v>
      </c>
      <c r="M28" s="522">
        <f>'K8 2018G'!I10+'K8 2018G'!I28+'K8 2018G'!I48</f>
        <v>3.5786798101869167E-3</v>
      </c>
      <c r="N28" s="522">
        <f>'K8 2018G'!H10+'K8 2018G'!H28+'K8 2018G'!H48</f>
        <v>0</v>
      </c>
      <c r="O28" s="522"/>
      <c r="P28" s="521">
        <f>Q28/SUM(C28:J28)</f>
        <v>1.6705325551637451</v>
      </c>
      <c r="Q28" s="530">
        <f>+L28+M28*'Grafer-klima-&gt;VÆLG GWP og NIR&lt;-'!$E$8+N28*'Grafer-klima-&gt;VÆLG GWP og NIR&lt;-'!$F$8+O28</f>
        <v>0.10440828469773407</v>
      </c>
      <c r="V28" s="170"/>
      <c r="W28" s="170"/>
    </row>
    <row r="29" spans="2:24" s="129" customFormat="1" ht="14.45" customHeight="1" x14ac:dyDescent="0.2">
      <c r="B29" s="232"/>
      <c r="C29" s="565"/>
      <c r="D29" s="516">
        <f>'K8 2018G'!C29</f>
        <v>0</v>
      </c>
      <c r="E29" s="516">
        <f>'K8 2018G'!C49</f>
        <v>0</v>
      </c>
      <c r="F29" s="516"/>
      <c r="G29" s="516"/>
      <c r="H29" s="516"/>
      <c r="I29" s="566"/>
      <c r="J29" s="554"/>
      <c r="K29" s="93" t="s">
        <v>417</v>
      </c>
      <c r="L29" s="571">
        <f>'K8 2018G'!G29+'K8 2018G'!G49</f>
        <v>0</v>
      </c>
      <c r="M29" s="516">
        <f>'K8 2018G'!I29+'K8 2018G'!I49</f>
        <v>0</v>
      </c>
      <c r="N29" s="516"/>
      <c r="O29" s="516"/>
      <c r="P29" s="517" t="e">
        <f>Q29/SUM(C29:J29)</f>
        <v>#DIV/0!</v>
      </c>
      <c r="Q29" s="514">
        <f>+L29+M29*'Grafer-klima-&gt;VÆLG GWP og NIR&lt;-'!$E$8+N29*'Grafer-klima-&gt;VÆLG GWP og NIR&lt;-'!$F$8+O29</f>
        <v>0</v>
      </c>
      <c r="V29" s="170"/>
      <c r="W29" s="170"/>
    </row>
    <row r="30" spans="2:24" s="129" customFormat="1" ht="14.45" customHeight="1" x14ac:dyDescent="0.2">
      <c r="B30" s="232"/>
      <c r="C30" s="565"/>
      <c r="D30" s="516">
        <f>'K8 2018G'!C30</f>
        <v>0</v>
      </c>
      <c r="E30" s="516">
        <f>'K8 2018G'!C50</f>
        <v>0</v>
      </c>
      <c r="F30" s="516"/>
      <c r="G30" s="516"/>
      <c r="H30" s="516"/>
      <c r="I30" s="566"/>
      <c r="J30" s="554"/>
      <c r="K30" s="93" t="s">
        <v>418</v>
      </c>
      <c r="L30" s="571"/>
      <c r="M30" s="516">
        <f>'K8 2018G'!I30+'K8 2018G'!I50</f>
        <v>0</v>
      </c>
      <c r="N30" s="516"/>
      <c r="O30" s="516"/>
      <c r="P30" s="517"/>
      <c r="Q30" s="514">
        <f>+L30+M30*'Grafer-klima-&gt;VÆLG GWP og NIR&lt;-'!$E$8+N30*'Grafer-klima-&gt;VÆLG GWP og NIR&lt;-'!$F$8+O30</f>
        <v>0</v>
      </c>
      <c r="V30" s="170"/>
      <c r="W30" s="170"/>
    </row>
    <row r="31" spans="2:24" s="129" customFormat="1" ht="14.45" customHeight="1" x14ac:dyDescent="0.2">
      <c r="B31" s="232"/>
      <c r="C31" s="565"/>
      <c r="D31" s="516">
        <f>'K8 2018G'!C31</f>
        <v>0</v>
      </c>
      <c r="E31" s="516">
        <f>'K8 2018G'!C51</f>
        <v>0</v>
      </c>
      <c r="F31" s="516"/>
      <c r="G31" s="516"/>
      <c r="H31" s="516"/>
      <c r="I31" s="566"/>
      <c r="J31" s="554"/>
      <c r="K31" s="93" t="s">
        <v>631</v>
      </c>
      <c r="L31" s="571"/>
      <c r="M31" s="516">
        <f>'K8 2018G'!I31+'K8 2018G'!I51</f>
        <v>0</v>
      </c>
      <c r="N31" s="516"/>
      <c r="O31" s="516"/>
      <c r="P31" s="517"/>
      <c r="Q31" s="514">
        <f>+L31+M31*'Grafer-klima-&gt;VÆLG GWP og NIR&lt;-'!$E$8+N31*'Grafer-klima-&gt;VÆLG GWP og NIR&lt;-'!$F$8+O31</f>
        <v>0</v>
      </c>
      <c r="V31" s="170"/>
      <c r="W31" s="170"/>
    </row>
    <row r="32" spans="2:24" s="129" customFormat="1" ht="14.45" customHeight="1" x14ac:dyDescent="0.2">
      <c r="B32" s="232"/>
      <c r="C32" s="565"/>
      <c r="D32" s="516"/>
      <c r="E32" s="516"/>
      <c r="F32" s="516"/>
      <c r="G32" s="516"/>
      <c r="H32" s="516"/>
      <c r="I32" s="566">
        <f>'K8 2018G'!C66</f>
        <v>0</v>
      </c>
      <c r="J32" s="554"/>
      <c r="K32" s="93" t="s">
        <v>419</v>
      </c>
      <c r="L32" s="571"/>
      <c r="M32" s="516">
        <f>'K8 2018G'!I66</f>
        <v>0</v>
      </c>
      <c r="N32" s="516">
        <f>'K8 2018G'!H66</f>
        <v>0</v>
      </c>
      <c r="O32" s="516"/>
      <c r="P32" s="517"/>
      <c r="Q32" s="514">
        <f>+L32+M32*'Grafer-klima-&gt;VÆLG GWP og NIR&lt;-'!$E$8+N32*'Grafer-klima-&gt;VÆLG GWP og NIR&lt;-'!$F$8+O32</f>
        <v>0</v>
      </c>
      <c r="V32" s="170"/>
      <c r="W32" s="170"/>
    </row>
    <row r="33" spans="2:23" s="129" customFormat="1" ht="14.45" customHeight="1" x14ac:dyDescent="0.2">
      <c r="B33" s="232"/>
      <c r="C33" s="565"/>
      <c r="D33" s="516"/>
      <c r="E33" s="516"/>
      <c r="F33" s="516">
        <f>'K8 2018G'!C67</f>
        <v>41.5</v>
      </c>
      <c r="G33" s="516"/>
      <c r="H33" s="516"/>
      <c r="I33" s="566"/>
      <c r="J33" s="554"/>
      <c r="K33" s="93" t="s">
        <v>420</v>
      </c>
      <c r="L33" s="571"/>
      <c r="M33" s="516">
        <f>'K8 2018G'!I67</f>
        <v>11.933337931516357</v>
      </c>
      <c r="N33" s="516"/>
      <c r="O33" s="516"/>
      <c r="P33" s="517">
        <f>Q33/SUM(C33:J33)</f>
        <v>7.1887577900700945</v>
      </c>
      <c r="Q33" s="514">
        <f>+L33+M33*'Grafer-klima-&gt;VÆLG GWP og NIR&lt;-'!$E$8+N33*'Grafer-klima-&gt;VÆLG GWP og NIR&lt;-'!$F$8+O33</f>
        <v>298.33344828790894</v>
      </c>
      <c r="R33" s="248"/>
      <c r="V33" s="170"/>
      <c r="W33" s="170"/>
    </row>
    <row r="34" spans="2:23" s="129" customFormat="1" ht="14.45" customHeight="1" x14ac:dyDescent="0.2">
      <c r="B34" s="232"/>
      <c r="C34" s="565"/>
      <c r="D34" s="516"/>
      <c r="E34" s="517">
        <f>'K10 2018G'!B11</f>
        <v>0</v>
      </c>
      <c r="F34" s="516"/>
      <c r="G34" s="516"/>
      <c r="H34" s="516"/>
      <c r="I34" s="566"/>
      <c r="J34" s="554"/>
      <c r="K34" s="93" t="s">
        <v>421</v>
      </c>
      <c r="L34" s="571"/>
      <c r="M34" s="516">
        <f>'K10 2018G'!G11</f>
        <v>0</v>
      </c>
      <c r="N34" s="516">
        <f>'K10 2018G'!H11</f>
        <v>0</v>
      </c>
      <c r="O34" s="516"/>
      <c r="P34" s="517"/>
      <c r="Q34" s="514">
        <f>+L34+M34*'Grafer-klima-&gt;VÆLG GWP og NIR&lt;-'!$E$8+N34*'Grafer-klima-&gt;VÆLG GWP og NIR&lt;-'!$F$8+O34</f>
        <v>0</v>
      </c>
      <c r="V34" s="170"/>
      <c r="W34" s="170"/>
    </row>
    <row r="35" spans="2:23" s="129" customFormat="1" ht="14.45" customHeight="1" x14ac:dyDescent="0.2">
      <c r="B35" s="232"/>
      <c r="C35" s="515"/>
      <c r="D35" s="517"/>
      <c r="E35" s="516">
        <f>'K10 2018G'!B10</f>
        <v>0</v>
      </c>
      <c r="F35" s="517"/>
      <c r="G35" s="517"/>
      <c r="H35" s="517"/>
      <c r="I35" s="585"/>
      <c r="J35" s="539"/>
      <c r="K35" s="93" t="s">
        <v>422</v>
      </c>
      <c r="L35" s="571"/>
      <c r="M35" s="516">
        <f>'K10 2018G'!G10</f>
        <v>0</v>
      </c>
      <c r="N35" s="516">
        <f>'K10 2018G'!H10</f>
        <v>0</v>
      </c>
      <c r="O35" s="516"/>
      <c r="P35" s="517"/>
      <c r="Q35" s="514">
        <f>+L35+M35*'Grafer-klima-&gt;VÆLG GWP og NIR&lt;-'!$E$8+N35*'Grafer-klima-&gt;VÆLG GWP og NIR&lt;-'!$F$8+O35</f>
        <v>0</v>
      </c>
      <c r="R35" s="247"/>
      <c r="V35" s="170"/>
      <c r="W35" s="170"/>
    </row>
    <row r="36" spans="2:23" s="129" customFormat="1" ht="18.75" customHeight="1" x14ac:dyDescent="0.2">
      <c r="B36" s="232"/>
      <c r="C36" s="586"/>
      <c r="D36" s="587"/>
      <c r="E36" s="587"/>
      <c r="F36" s="587"/>
      <c r="G36" s="587"/>
      <c r="H36" s="587"/>
      <c r="I36" s="588"/>
      <c r="J36" s="589"/>
      <c r="K36" s="590" t="s">
        <v>423</v>
      </c>
      <c r="L36" s="587"/>
      <c r="M36" s="587"/>
      <c r="N36" s="587"/>
      <c r="O36" s="587"/>
      <c r="P36" s="587"/>
      <c r="Q36" s="531"/>
      <c r="V36" s="170"/>
    </row>
    <row r="37" spans="2:23" s="129" customFormat="1" x14ac:dyDescent="0.2">
      <c r="B37" s="235"/>
      <c r="C37" s="515"/>
      <c r="D37" s="517"/>
      <c r="E37" s="517"/>
      <c r="F37" s="517"/>
      <c r="G37" s="517"/>
      <c r="H37" s="517"/>
      <c r="I37" s="553"/>
      <c r="J37" s="554">
        <f>'K11 2018G'!I43</f>
        <v>-319094.86783871055</v>
      </c>
      <c r="K37" s="93" t="s">
        <v>424</v>
      </c>
      <c r="L37" s="571">
        <f>'K11 2018G'!P43</f>
        <v>198.004592748747</v>
      </c>
      <c r="M37" s="517"/>
      <c r="N37" s="517"/>
      <c r="O37" s="517"/>
      <c r="P37" s="517"/>
      <c r="Q37" s="514">
        <f>+L37+M37*'Grafer-klima-&gt;VÆLG GWP og NIR&lt;-'!$E$8+N37*'Grafer-klima-&gt;VÆLG GWP og NIR&lt;-'!$F$8+O37</f>
        <v>198.004592748747</v>
      </c>
    </row>
    <row r="38" spans="2:23" s="129" customFormat="1" x14ac:dyDescent="0.2">
      <c r="B38" s="235"/>
      <c r="C38" s="515"/>
      <c r="D38" s="517"/>
      <c r="E38" s="517"/>
      <c r="F38" s="517"/>
      <c r="G38" s="517"/>
      <c r="H38" s="517"/>
      <c r="I38" s="553"/>
      <c r="J38" s="554">
        <f>'K11 2018G'!I86</f>
        <v>0</v>
      </c>
      <c r="K38" s="93" t="s">
        <v>425</v>
      </c>
      <c r="L38" s="571">
        <f>'K11 2018G'!P84</f>
        <v>-154.22754907338012</v>
      </c>
      <c r="M38" s="517"/>
      <c r="N38" s="517"/>
      <c r="O38" s="517"/>
      <c r="P38" s="517"/>
      <c r="Q38" s="514">
        <f>+L38+M38*'Grafer-klima-&gt;VÆLG GWP og NIR&lt;-'!$E$8+N38*'Grafer-klima-&gt;VÆLG GWP og NIR&lt;-'!$F$8+O38</f>
        <v>-154.22754907338012</v>
      </c>
    </row>
    <row r="39" spans="2:23" s="129" customFormat="1" ht="15" thickBot="1" x14ac:dyDescent="0.25">
      <c r="B39" s="235"/>
      <c r="C39" s="518"/>
      <c r="D39" s="519"/>
      <c r="E39" s="519"/>
      <c r="F39" s="519"/>
      <c r="G39" s="519"/>
      <c r="H39" s="519"/>
      <c r="I39" s="558"/>
      <c r="J39" s="591">
        <f>'K11 2018G'!I129</f>
        <v>0</v>
      </c>
      <c r="K39" s="95" t="s">
        <v>426</v>
      </c>
      <c r="L39" s="592">
        <f>'K11 2018G'!P125</f>
        <v>67.354591710668544</v>
      </c>
      <c r="M39" s="519"/>
      <c r="N39" s="519"/>
      <c r="O39" s="519"/>
      <c r="P39" s="519"/>
      <c r="Q39" s="529">
        <f>+L39+M39*'Grafer-klima-&gt;VÆLG GWP og NIR&lt;-'!$E$8+N39*'Grafer-klima-&gt;VÆLG GWP og NIR&lt;-'!$F$8+O39</f>
        <v>67.354591710668544</v>
      </c>
      <c r="T39" s="170"/>
    </row>
    <row r="40" spans="2:23" s="129" customFormat="1" ht="15" thickBot="1" x14ac:dyDescent="0.25">
      <c r="C40" s="4052">
        <f>SUM(C10:C39)</f>
        <v>3740.8125</v>
      </c>
      <c r="D40" s="4053">
        <f t="shared" ref="D40:I40" si="2">SUM(D10:D39)</f>
        <v>4577.6875</v>
      </c>
      <c r="E40" s="4053">
        <f t="shared" si="2"/>
        <v>2409.125</v>
      </c>
      <c r="F40" s="4053">
        <f t="shared" si="2"/>
        <v>390.5625</v>
      </c>
      <c r="G40" s="4053">
        <f t="shared" si="2"/>
        <v>57.5625</v>
      </c>
      <c r="H40" s="4053">
        <f t="shared" si="2"/>
        <v>1188.25</v>
      </c>
      <c r="I40" s="4054">
        <f t="shared" si="2"/>
        <v>366.875</v>
      </c>
      <c r="J40" s="484"/>
      <c r="K40" s="532" t="s">
        <v>427</v>
      </c>
      <c r="L40" s="533">
        <f>SUM(L10:L35)+SUM(L37:L39)</f>
        <v>111.14657667547849</v>
      </c>
      <c r="M40" s="534">
        <f>SUM(M10:M35)+SUM(M37:M39)</f>
        <v>11.936916611326545</v>
      </c>
      <c r="N40" s="534">
        <f>SUM(N10:N35)+SUM(N37:N39)</f>
        <v>1.4937666691202702</v>
      </c>
      <c r="O40" s="534">
        <f>SUM(O10:O35)+SUM(O37:O39)</f>
        <v>-1896.4838127791825</v>
      </c>
      <c r="P40" s="534"/>
      <c r="Q40" s="561">
        <f>SUM(Q10:Q35,Q37:Q39)</f>
        <v>7808.4859395468175</v>
      </c>
    </row>
    <row r="41" spans="2:23" s="129" customFormat="1" x14ac:dyDescent="0.2">
      <c r="N41" s="219"/>
      <c r="Q41" s="170"/>
    </row>
    <row r="42" spans="2:23" s="129" customFormat="1" ht="23.25" customHeight="1" x14ac:dyDescent="0.2">
      <c r="C42" s="250"/>
      <c r="N42" s="219"/>
      <c r="Q42" s="170"/>
    </row>
    <row r="43" spans="2:23" s="129" customFormat="1" x14ac:dyDescent="0.2">
      <c r="N43" s="219"/>
      <c r="Q43" s="170"/>
    </row>
    <row r="44" spans="2:23" s="129" customFormat="1" x14ac:dyDescent="0.2">
      <c r="C44" s="130"/>
      <c r="N44" s="219"/>
      <c r="Q44" s="170"/>
    </row>
    <row r="45" spans="2:23" s="129" customFormat="1" x14ac:dyDescent="0.2">
      <c r="N45" s="219"/>
      <c r="Q45" s="170"/>
    </row>
    <row r="46" spans="2:23" s="129" customFormat="1" x14ac:dyDescent="0.2">
      <c r="N46" s="219"/>
      <c r="Q46" s="170"/>
    </row>
    <row r="47" spans="2:23" s="129" customFormat="1" x14ac:dyDescent="0.2">
      <c r="N47" s="219"/>
      <c r="Q47" s="170"/>
    </row>
    <row r="48" spans="2:23" s="129" customFormat="1" x14ac:dyDescent="0.2">
      <c r="N48" s="219"/>
      <c r="Q48" s="170"/>
    </row>
    <row r="49" spans="14:17" s="129" customFormat="1" x14ac:dyDescent="0.2">
      <c r="N49" s="219"/>
      <c r="Q49" s="170"/>
    </row>
    <row r="50" spans="14:17" s="129" customFormat="1" x14ac:dyDescent="0.2">
      <c r="N50" s="219"/>
      <c r="Q50" s="170"/>
    </row>
    <row r="51" spans="14:17" s="129" customFormat="1" x14ac:dyDescent="0.2">
      <c r="N51" s="219"/>
      <c r="Q51" s="170"/>
    </row>
    <row r="52" spans="14:17" s="129" customFormat="1" x14ac:dyDescent="0.2">
      <c r="N52" s="219"/>
      <c r="Q52" s="170"/>
    </row>
    <row r="53" spans="14:17" s="129" customFormat="1" x14ac:dyDescent="0.2">
      <c r="N53" s="219"/>
      <c r="Q53" s="170"/>
    </row>
    <row r="54" spans="14:17" s="129" customFormat="1" x14ac:dyDescent="0.2">
      <c r="N54" s="219"/>
      <c r="Q54" s="170"/>
    </row>
    <row r="55" spans="14:17" s="129" customFormat="1" x14ac:dyDescent="0.2">
      <c r="N55" s="219"/>
      <c r="Q55" s="170"/>
    </row>
    <row r="56" spans="14:17" s="129" customFormat="1" x14ac:dyDescent="0.2">
      <c r="N56" s="219"/>
      <c r="Q56" s="170"/>
    </row>
    <row r="57" spans="14:17" s="129" customFormat="1" x14ac:dyDescent="0.2">
      <c r="N57" s="219"/>
      <c r="Q57" s="170"/>
    </row>
    <row r="58" spans="14:17" s="129" customFormat="1" x14ac:dyDescent="0.2">
      <c r="N58" s="219"/>
      <c r="Q58" s="170"/>
    </row>
    <row r="59" spans="14:17" s="129" customFormat="1" x14ac:dyDescent="0.2">
      <c r="N59" s="219"/>
      <c r="Q59" s="170"/>
    </row>
    <row r="60" spans="14:17" s="129" customFormat="1" x14ac:dyDescent="0.2">
      <c r="N60" s="219"/>
      <c r="Q60" s="170"/>
    </row>
    <row r="61" spans="14:17" s="129" customFormat="1" x14ac:dyDescent="0.2">
      <c r="N61" s="219"/>
      <c r="Q61" s="170"/>
    </row>
    <row r="62" spans="14:17" s="129" customFormat="1" x14ac:dyDescent="0.2">
      <c r="N62" s="219"/>
      <c r="Q62" s="170"/>
    </row>
    <row r="63" spans="14:17" s="129" customFormat="1" x14ac:dyDescent="0.2">
      <c r="N63" s="219"/>
      <c r="Q63" s="170"/>
    </row>
    <row r="64" spans="14:17" s="129" customFormat="1" x14ac:dyDescent="0.2">
      <c r="N64" s="219"/>
      <c r="Q64" s="170"/>
    </row>
    <row r="65" spans="14:17" s="129" customFormat="1" x14ac:dyDescent="0.2">
      <c r="N65" s="219"/>
      <c r="Q65" s="170"/>
    </row>
    <row r="66" spans="14:17" s="129" customFormat="1" x14ac:dyDescent="0.2">
      <c r="N66" s="219"/>
      <c r="Q66" s="170"/>
    </row>
    <row r="67" spans="14:17" s="129" customFormat="1" x14ac:dyDescent="0.2">
      <c r="N67" s="219"/>
      <c r="Q67" s="170"/>
    </row>
    <row r="68" spans="14:17" s="129" customFormat="1" x14ac:dyDescent="0.2">
      <c r="N68" s="219"/>
      <c r="Q68" s="170"/>
    </row>
    <row r="69" spans="14:17" s="129" customFormat="1" x14ac:dyDescent="0.2">
      <c r="N69" s="219"/>
      <c r="Q69" s="170"/>
    </row>
    <row r="70" spans="14:17" s="129" customFormat="1" x14ac:dyDescent="0.2">
      <c r="N70" s="219"/>
      <c r="Q70" s="170"/>
    </row>
    <row r="71" spans="14:17" s="129" customFormat="1" x14ac:dyDescent="0.2">
      <c r="N71" s="219"/>
      <c r="Q71" s="170"/>
    </row>
    <row r="72" spans="14:17" s="129" customFormat="1" x14ac:dyDescent="0.2">
      <c r="N72" s="219"/>
      <c r="Q72" s="170"/>
    </row>
    <row r="73" spans="14:17" s="129" customFormat="1" x14ac:dyDescent="0.2">
      <c r="N73" s="219"/>
      <c r="Q73" s="170"/>
    </row>
    <row r="74" spans="14:17" s="129" customFormat="1" x14ac:dyDescent="0.2">
      <c r="N74" s="219"/>
      <c r="Q74" s="170"/>
    </row>
    <row r="75" spans="14:17" s="129" customFormat="1" x14ac:dyDescent="0.2">
      <c r="N75" s="219"/>
      <c r="Q75" s="170"/>
    </row>
    <row r="76" spans="14:17" s="129" customFormat="1" x14ac:dyDescent="0.2">
      <c r="N76" s="219"/>
      <c r="Q76" s="170"/>
    </row>
    <row r="77" spans="14:17" s="129" customFormat="1" x14ac:dyDescent="0.2">
      <c r="N77" s="219"/>
      <c r="Q77" s="170"/>
    </row>
    <row r="78" spans="14:17" s="129" customFormat="1" x14ac:dyDescent="0.2">
      <c r="N78" s="219"/>
      <c r="Q78" s="170"/>
    </row>
    <row r="79" spans="14:17" s="129" customFormat="1" x14ac:dyDescent="0.2">
      <c r="N79" s="219"/>
      <c r="Q79" s="170"/>
    </row>
    <row r="80" spans="14:17" s="129" customFormat="1" x14ac:dyDescent="0.2">
      <c r="N80" s="219"/>
      <c r="Q80" s="170"/>
    </row>
    <row r="81" spans="14:17" s="129" customFormat="1" x14ac:dyDescent="0.2">
      <c r="N81" s="219"/>
      <c r="Q81" s="170"/>
    </row>
    <row r="82" spans="14:17" s="129" customFormat="1" x14ac:dyDescent="0.2">
      <c r="N82" s="219"/>
      <c r="Q82" s="170"/>
    </row>
    <row r="83" spans="14:17" s="129" customFormat="1" x14ac:dyDescent="0.2">
      <c r="N83" s="219"/>
      <c r="Q83" s="170"/>
    </row>
    <row r="84" spans="14:17" s="129" customFormat="1" x14ac:dyDescent="0.2">
      <c r="N84" s="219"/>
      <c r="Q84" s="170"/>
    </row>
    <row r="85" spans="14:17" s="129" customFormat="1" x14ac:dyDescent="0.2">
      <c r="N85" s="219"/>
      <c r="Q85" s="170"/>
    </row>
    <row r="86" spans="14:17" s="129" customFormat="1" x14ac:dyDescent="0.2">
      <c r="N86" s="219"/>
      <c r="Q86" s="170"/>
    </row>
    <row r="87" spans="14:17" s="129" customFormat="1" x14ac:dyDescent="0.2">
      <c r="N87" s="219"/>
      <c r="Q87" s="170"/>
    </row>
  </sheetData>
  <mergeCells count="2">
    <mergeCell ref="C7:I7"/>
    <mergeCell ref="L7:Q7"/>
  </mergeCells>
  <hyperlinks>
    <hyperlink ref="A1" location="Index!A1" display="Til index" xr:uid="{1FE8708F-CCB1-4395-8280-66D3D3856743}"/>
  </hyperlinks>
  <pageMargins left="0.7" right="0.7" top="0.75" bottom="0.75" header="0.3" footer="0.3"/>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84943-BD25-457C-8641-BF0273BD147B}">
  <sheetPr codeName="Ark130">
    <tabColor theme="8" tint="0.39997558519241921"/>
  </sheetPr>
  <dimension ref="A1:W191"/>
  <sheetViews>
    <sheetView showGridLines="0" zoomScale="85" zoomScaleNormal="85" workbookViewId="0">
      <selection activeCell="H10" sqref="H10"/>
    </sheetView>
  </sheetViews>
  <sheetFormatPr defaultColWidth="9.140625" defaultRowHeight="14.25" x14ac:dyDescent="0.2"/>
  <cols>
    <col min="1" max="1" width="12.140625" style="129" customWidth="1"/>
    <col min="2" max="2" width="7.85546875" style="129" customWidth="1"/>
    <col min="3" max="3" width="8.5703125" style="129" customWidth="1"/>
    <col min="4" max="4" width="9.140625" style="129"/>
    <col min="5" max="5" width="18" style="129" bestFit="1" customWidth="1"/>
    <col min="6" max="6" width="9.140625" style="129"/>
    <col min="7" max="7" width="17.85546875" style="129" bestFit="1" customWidth="1"/>
    <col min="8" max="8" width="64.5703125" style="132" customWidth="1"/>
    <col min="9" max="9" width="9.42578125" style="129" customWidth="1"/>
    <col min="10" max="10" width="17.42578125" style="129" bestFit="1" customWidth="1"/>
    <col min="11" max="12" width="10" style="129" bestFit="1" customWidth="1"/>
    <col min="13" max="13" width="9.140625" style="129"/>
    <col min="14" max="14" width="9.85546875" style="129" bestFit="1" customWidth="1"/>
    <col min="15" max="19" width="9.140625" style="129"/>
    <col min="20" max="20" width="15.42578125" style="129" bestFit="1" customWidth="1"/>
    <col min="21" max="21" width="16.140625" style="129" bestFit="1" customWidth="1"/>
    <col min="22" max="22" width="16.28515625" style="129" bestFit="1" customWidth="1"/>
    <col min="23" max="16384" width="9.140625" style="129"/>
  </cols>
  <sheetData>
    <row r="1" spans="1:22" ht="21.75" thickBot="1" x14ac:dyDescent="0.4">
      <c r="A1" s="1740" t="s">
        <v>4206</v>
      </c>
      <c r="B1" s="1740"/>
      <c r="H1" s="129"/>
    </row>
    <row r="2" spans="1:22" x14ac:dyDescent="0.2">
      <c r="C2" s="251" t="s">
        <v>320</v>
      </c>
      <c r="D2" s="252"/>
      <c r="E2" s="253"/>
      <c r="F2" s="148">
        <f>'Dyrehold 2018'!G2</f>
        <v>2018</v>
      </c>
    </row>
    <row r="3" spans="1:22" ht="15" thickBot="1" x14ac:dyDescent="0.25">
      <c r="C3" s="254" t="s">
        <v>428</v>
      </c>
      <c r="D3" s="149" t="s">
        <v>226</v>
      </c>
      <c r="E3" s="149" t="s">
        <v>465</v>
      </c>
      <c r="F3" s="150"/>
      <c r="H3" s="1746" t="s">
        <v>4207</v>
      </c>
    </row>
    <row r="4" spans="1:22" ht="27.75" x14ac:dyDescent="0.2">
      <c r="F4" s="10"/>
      <c r="G4" s="10"/>
      <c r="H4" s="152" t="s">
        <v>466</v>
      </c>
    </row>
    <row r="5" spans="1:22" x14ac:dyDescent="0.2">
      <c r="E5" s="10"/>
      <c r="F5" s="10"/>
      <c r="G5" s="10"/>
      <c r="H5" s="1745" t="str">
        <f>'Dyrehold 2018'!U4</f>
        <v>Læsø Kommune 2018</v>
      </c>
    </row>
    <row r="6" spans="1:22" x14ac:dyDescent="0.2">
      <c r="E6" s="10"/>
      <c r="F6" s="10"/>
      <c r="G6" s="10"/>
      <c r="H6" s="129"/>
    </row>
    <row r="7" spans="1:22" x14ac:dyDescent="0.2">
      <c r="H7" s="129"/>
    </row>
    <row r="8" spans="1:22" ht="15.75" customHeight="1" x14ac:dyDescent="0.2">
      <c r="H8" s="129"/>
    </row>
    <row r="9" spans="1:22" ht="30.75" customHeight="1" thickBot="1" x14ac:dyDescent="0.25">
      <c r="C9" s="260" t="s">
        <v>467</v>
      </c>
      <c r="D9" s="5188" t="s">
        <v>468</v>
      </c>
      <c r="E9" s="5189"/>
      <c r="F9" s="5189"/>
      <c r="G9" s="5190"/>
      <c r="H9" s="261" t="s">
        <v>327</v>
      </c>
      <c r="I9" s="5191" t="s">
        <v>468</v>
      </c>
      <c r="J9" s="5192"/>
      <c r="K9" s="5192"/>
      <c r="L9" s="5193"/>
    </row>
    <row r="10" spans="1:22" ht="100.5" customHeight="1" thickBot="1" x14ac:dyDescent="0.25">
      <c r="C10" s="159" t="s">
        <v>314</v>
      </c>
      <c r="D10" s="262" t="s">
        <v>469</v>
      </c>
      <c r="E10" s="157" t="s">
        <v>308</v>
      </c>
      <c r="F10" s="157" t="s">
        <v>309</v>
      </c>
      <c r="G10" s="158" t="s">
        <v>310</v>
      </c>
      <c r="H10" s="255"/>
      <c r="I10" s="263" t="s">
        <v>345</v>
      </c>
      <c r="J10" s="157" t="s">
        <v>432</v>
      </c>
      <c r="K10" s="157" t="s">
        <v>433</v>
      </c>
      <c r="L10" s="163" t="s">
        <v>349</v>
      </c>
    </row>
    <row r="11" spans="1:22" ht="14.45" customHeight="1" x14ac:dyDescent="0.2">
      <c r="A11" s="5172"/>
      <c r="B11" s="1741"/>
      <c r="C11" s="486"/>
      <c r="D11" s="487"/>
      <c r="E11" s="487"/>
      <c r="F11" s="487"/>
      <c r="G11" s="487"/>
      <c r="H11" s="488" t="s">
        <v>470</v>
      </c>
      <c r="I11" s="487"/>
      <c r="J11" s="487"/>
      <c r="K11" s="487"/>
      <c r="L11" s="264"/>
    </row>
    <row r="12" spans="1:22" ht="15" x14ac:dyDescent="0.25">
      <c r="A12" s="5172"/>
      <c r="B12" s="1741"/>
      <c r="C12" s="460"/>
      <c r="D12" s="265"/>
      <c r="E12" s="256"/>
      <c r="F12" s="256"/>
      <c r="G12" s="485">
        <f>'K12 2018'!I10</f>
        <v>218.92304485770231</v>
      </c>
      <c r="H12" s="93" t="s">
        <v>471</v>
      </c>
      <c r="I12" s="259"/>
      <c r="J12" s="166">
        <f>'K12 2018'!K10</f>
        <v>7.0063529993170279</v>
      </c>
      <c r="K12" s="258"/>
      <c r="L12" s="136">
        <f>+I12+J12*'Grafer-klima-&gt;VÆLG GWP og NIR&lt;-'!$E$8+'Affald og spildevand 2018'!K12*'Grafer-klima-&gt;VÆLG GWP og NIR&lt;-'!$F$8</f>
        <v>175.15882498292569</v>
      </c>
      <c r="S12" s="1773"/>
    </row>
    <row r="13" spans="1:22" ht="15" x14ac:dyDescent="0.2">
      <c r="A13" s="5172"/>
      <c r="B13" s="1741"/>
      <c r="C13" s="167"/>
      <c r="D13" s="265"/>
      <c r="E13" s="256"/>
      <c r="F13" s="256"/>
      <c r="G13" s="485" t="str">
        <f>'K12 2018'!I13</f>
        <v>NO</v>
      </c>
      <c r="H13" s="93" t="s">
        <v>472</v>
      </c>
      <c r="I13" s="259"/>
      <c r="J13" s="166" t="str">
        <f>'K12 2018'!K13</f>
        <v>NO</v>
      </c>
      <c r="K13" s="258"/>
      <c r="L13" s="136"/>
      <c r="O13" s="266"/>
      <c r="P13" s="266"/>
    </row>
    <row r="14" spans="1:22" ht="15" x14ac:dyDescent="0.2">
      <c r="A14" s="5172"/>
      <c r="B14" s="1741"/>
      <c r="C14" s="167"/>
      <c r="D14" s="265"/>
      <c r="E14" s="256"/>
      <c r="F14" s="256"/>
      <c r="G14" s="257" t="s">
        <v>259</v>
      </c>
      <c r="H14" s="93" t="s">
        <v>473</v>
      </c>
      <c r="I14" s="259"/>
      <c r="J14" s="258"/>
      <c r="K14" s="258"/>
      <c r="L14" s="136">
        <f>+I14+J14*'Grafer-klima-&gt;VÆLG GWP og NIR&lt;-'!$E$8+'Affald og spildevand 2018'!K14*'Grafer-klima-&gt;VÆLG GWP og NIR&lt;-'!$F$8</f>
        <v>0</v>
      </c>
      <c r="O14" s="266"/>
      <c r="P14" s="266"/>
      <c r="U14" s="3661"/>
      <c r="V14" s="3661"/>
    </row>
    <row r="15" spans="1:22" ht="16.5" x14ac:dyDescent="0.2">
      <c r="A15" s="5172"/>
      <c r="B15" s="1741"/>
      <c r="C15" s="167"/>
      <c r="D15" s="265"/>
      <c r="E15" s="256"/>
      <c r="F15" s="256" t="s">
        <v>474</v>
      </c>
      <c r="G15" s="257"/>
      <c r="H15" s="93" t="s">
        <v>475</v>
      </c>
      <c r="I15" s="259"/>
      <c r="J15" s="166">
        <f>'K12 2018'!I25</f>
        <v>1.3353089211146361</v>
      </c>
      <c r="K15" s="166">
        <f>'K12 2018'!J25</f>
        <v>8.7574923379203903E-2</v>
      </c>
      <c r="L15" s="136">
        <f>+I15+J15*'Grafer-klima-&gt;VÆLG GWP og NIR&lt;-'!$E$8+'Affald og spildevand 2018'!K15*'Grafer-klima-&gt;VÆLG GWP og NIR&lt;-'!$F$8</f>
        <v>59.480050194868667</v>
      </c>
      <c r="O15" s="266"/>
      <c r="P15" s="266"/>
      <c r="U15" s="3661"/>
      <c r="V15" s="3661"/>
    </row>
    <row r="16" spans="1:22" ht="16.5" x14ac:dyDescent="0.2">
      <c r="C16" s="460"/>
      <c r="D16" s="461"/>
      <c r="E16" s="435"/>
      <c r="F16" s="435" t="s">
        <v>476</v>
      </c>
      <c r="G16" s="463"/>
      <c r="H16" s="93" t="s">
        <v>477</v>
      </c>
      <c r="I16" s="461"/>
      <c r="J16" s="434">
        <f>'K12 2018'!I29</f>
        <v>3.1516784733960299</v>
      </c>
      <c r="K16" s="435"/>
      <c r="L16" s="136">
        <f>+I16+J16*'Grafer-klima-&gt;VÆLG GWP og NIR&lt;-'!$E$8+'Affald og spildevand 2018'!K16*'Grafer-klima-&gt;VÆLG GWP og NIR&lt;-'!$F$8</f>
        <v>78.791961834900746</v>
      </c>
    </row>
    <row r="17" spans="3:23" ht="15" x14ac:dyDescent="0.25">
      <c r="C17" s="460"/>
      <c r="D17" s="461"/>
      <c r="E17" s="434">
        <f>'K12 2018'!I46</f>
        <v>0.36538895971244673</v>
      </c>
      <c r="F17" s="435"/>
      <c r="G17" s="463"/>
      <c r="H17" s="93" t="s">
        <v>478</v>
      </c>
      <c r="I17" s="481" t="str">
        <f>'K12 2018'!J46</f>
        <v>NO</v>
      </c>
      <c r="J17" s="481">
        <f>'K12 2018'!K46</f>
        <v>2.3643400640698537E-4</v>
      </c>
      <c r="K17" s="481">
        <f>'K12 2018'!L46</f>
        <v>2.9555303121077148E-4</v>
      </c>
      <c r="L17" s="136">
        <f>+J17*'Grafer-klima-&gt;VÆLG GWP og NIR&lt;-'!$E$8+'Affald og spildevand 2018'!K17*'Grafer-klima-&gt;VÆLG GWP og NIR&lt;-'!$F$8</f>
        <v>9.3985653460984531E-2</v>
      </c>
      <c r="S17" s="1773"/>
    </row>
    <row r="18" spans="3:23" x14ac:dyDescent="0.2">
      <c r="C18" s="460"/>
      <c r="D18" s="461"/>
      <c r="E18" s="434" t="str">
        <f>'K12 2018'!I55</f>
        <v>NO</v>
      </c>
      <c r="F18" s="435"/>
      <c r="G18" s="463"/>
      <c r="H18" s="93" t="s">
        <v>479</v>
      </c>
      <c r="I18" s="481" t="str">
        <f>'K12 2018'!I55</f>
        <v>NO</v>
      </c>
      <c r="J18" s="481" t="str">
        <f>'K12 2018'!J55</f>
        <v>NO</v>
      </c>
      <c r="K18" s="481" t="str">
        <f>'K12 2018'!K55</f>
        <v>NO</v>
      </c>
      <c r="L18" s="136"/>
      <c r="V18" s="5187"/>
      <c r="W18" s="5187"/>
    </row>
    <row r="19" spans="3:23" ht="14.45" customHeight="1" x14ac:dyDescent="0.2">
      <c r="C19" s="267"/>
      <c r="D19" s="268"/>
      <c r="E19" s="268"/>
      <c r="F19" s="268"/>
      <c r="G19" s="268"/>
      <c r="H19" s="489" t="s">
        <v>480</v>
      </c>
      <c r="I19" s="268"/>
      <c r="J19" s="268"/>
      <c r="K19" s="268"/>
      <c r="L19" s="269"/>
      <c r="T19" s="3662"/>
      <c r="U19" s="3662"/>
    </row>
    <row r="20" spans="3:23" ht="16.5" x14ac:dyDescent="0.2">
      <c r="C20" s="460"/>
      <c r="D20" s="461" t="s">
        <v>476</v>
      </c>
      <c r="E20" s="435"/>
      <c r="F20" s="435"/>
      <c r="G20" s="463"/>
      <c r="H20" s="93" t="s">
        <v>481</v>
      </c>
      <c r="I20" s="461"/>
      <c r="J20" s="434">
        <f>'K13 2018'!M9</f>
        <v>0.63458286031907951</v>
      </c>
      <c r="K20" s="434">
        <f>'K13 2018'!N9</f>
        <v>6.1341931919452961E-2</v>
      </c>
      <c r="L20" s="136">
        <f>+I20+J20*'Grafer-klima-&gt;VÆLG GWP og NIR&lt;-'!$E$8+'Affald og spildevand 2018'!K20*'Grafer-klima-&gt;VÆLG GWP og NIR&lt;-'!$F$8</f>
        <v>34.144467219973968</v>
      </c>
      <c r="T20" s="3662"/>
      <c r="U20" s="3662"/>
    </row>
    <row r="21" spans="3:23" ht="16.5" x14ac:dyDescent="0.2">
      <c r="C21" s="460"/>
      <c r="D21" s="461" t="s">
        <v>476</v>
      </c>
      <c r="E21" s="435"/>
      <c r="F21" s="435"/>
      <c r="G21" s="463"/>
      <c r="H21" s="93" t="s">
        <v>482</v>
      </c>
      <c r="I21" s="461"/>
      <c r="J21" s="434"/>
      <c r="K21" s="434">
        <f>'K13 2018'!N10</f>
        <v>7.2302174636949806E-3</v>
      </c>
      <c r="L21" s="136">
        <f>+I21+J21*'Grafer-klima-&gt;VÆLG GWP og NIR&lt;-'!$E$8+'Affald og spildevand 2018'!K21*'Grafer-klima-&gt;VÆLG GWP og NIR&lt;-'!$F$8</f>
        <v>2.1546048041811043</v>
      </c>
    </row>
    <row r="22" spans="3:23" ht="16.5" x14ac:dyDescent="0.2">
      <c r="C22" s="460"/>
      <c r="D22" s="461" t="s">
        <v>476</v>
      </c>
      <c r="E22" s="435"/>
      <c r="F22" s="435"/>
      <c r="G22" s="463"/>
      <c r="H22" s="93" t="s">
        <v>483</v>
      </c>
      <c r="I22" s="461"/>
      <c r="J22" s="435"/>
      <c r="K22" s="435"/>
      <c r="L22" s="136">
        <f>+I22+J22*'Grafer-klima-&gt;VÆLG GWP og NIR&lt;-'!$E$8+'Affald og spildevand 2018'!K22*'Grafer-klima-&gt;VÆLG GWP og NIR&lt;-'!$F$8</f>
        <v>0</v>
      </c>
    </row>
    <row r="23" spans="3:23" ht="14.45" customHeight="1" x14ac:dyDescent="0.2">
      <c r="C23" s="267"/>
      <c r="D23" s="268"/>
      <c r="E23" s="268"/>
      <c r="F23" s="268"/>
      <c r="G23" s="268"/>
      <c r="H23" s="489" t="s">
        <v>484</v>
      </c>
      <c r="I23" s="268"/>
      <c r="J23" s="268"/>
      <c r="K23" s="268"/>
      <c r="L23" s="269"/>
    </row>
    <row r="24" spans="3:23" x14ac:dyDescent="0.2">
      <c r="C24" s="464">
        <f>'K14 2018'!K8</f>
        <v>2.3862223686794293</v>
      </c>
      <c r="D24" s="461"/>
      <c r="E24" s="435"/>
      <c r="F24" s="435"/>
      <c r="G24" s="463"/>
      <c r="H24" s="93" t="s">
        <v>485</v>
      </c>
      <c r="I24" s="481">
        <f>'K14 2018'!L8</f>
        <v>31.742721727850714</v>
      </c>
      <c r="J24" s="481">
        <f>'K14 2018'!M8</f>
        <v>3.1152537861101479E-2</v>
      </c>
      <c r="K24" s="481">
        <f>'K14 2018'!N8</f>
        <v>0</v>
      </c>
      <c r="L24" s="136">
        <f>+I24+J24*'Grafer-klima-&gt;VÆLG GWP og NIR&lt;-'!$E$8+'Affald og spildevand 2018'!K24*'Grafer-klima-&gt;VÆLG GWP og NIR&lt;-'!$F$8</f>
        <v>32.521535174378251</v>
      </c>
    </row>
    <row r="25" spans="3:23" ht="15" thickBot="1" x14ac:dyDescent="0.25">
      <c r="C25" s="464">
        <f>'K14 2018'!K10</f>
        <v>0.78918912907782823</v>
      </c>
      <c r="D25" s="490"/>
      <c r="E25" s="483"/>
      <c r="F25" s="483"/>
      <c r="G25" s="491"/>
      <c r="H25" s="94" t="s">
        <v>486</v>
      </c>
      <c r="I25" s="482">
        <f>'K14 2018'!L10</f>
        <v>1.9796642559749809</v>
      </c>
      <c r="J25" s="482">
        <f>'K14 2018'!M10</f>
        <v>4.1243005332812109E-3</v>
      </c>
      <c r="K25" s="483"/>
      <c r="L25" s="136">
        <f>+I25+J25*'Grafer-klima-&gt;VÆLG GWP og NIR&lt;-'!$E$8+'Affald og spildevand 2018'!K25*'Grafer-klima-&gt;VÆLG GWP og NIR&lt;-'!$F$8</f>
        <v>2.0827717693070111</v>
      </c>
    </row>
    <row r="26" spans="3:23" ht="15.75" thickBot="1" x14ac:dyDescent="0.3">
      <c r="C26" s="441">
        <f>SUM(C11:C25)</f>
        <v>3.1754114977572576</v>
      </c>
      <c r="D26" s="492">
        <f>SUM(D11:D25)</f>
        <v>0</v>
      </c>
      <c r="E26" s="440">
        <f>SUM(E11:E25)</f>
        <v>0.36538895971244673</v>
      </c>
      <c r="F26" s="440">
        <f>SUM(F11:F25)</f>
        <v>0</v>
      </c>
      <c r="G26" s="440">
        <f>SUM(G11:G25)</f>
        <v>218.92304485770231</v>
      </c>
      <c r="H26" s="493" t="s">
        <v>228</v>
      </c>
      <c r="I26" s="471">
        <f>SUM(I11:I25)</f>
        <v>33.722385983825696</v>
      </c>
      <c r="J26" s="472">
        <f>SUM(J11:J25)</f>
        <v>12.163436526547564</v>
      </c>
      <c r="K26" s="472">
        <f>SUM(K11:K25)</f>
        <v>0.15644262579356263</v>
      </c>
      <c r="L26" s="234">
        <f>SUM(L11:L25)</f>
        <v>384.42820163399642</v>
      </c>
    </row>
    <row r="27" spans="3:23" ht="16.5" x14ac:dyDescent="0.2">
      <c r="C27" s="623" t="s">
        <v>487</v>
      </c>
      <c r="H27" s="129"/>
    </row>
    <row r="28" spans="3:23" ht="16.5" x14ac:dyDescent="0.2">
      <c r="C28" s="250"/>
      <c r="H28" s="129"/>
    </row>
    <row r="29" spans="3:23" x14ac:dyDescent="0.2">
      <c r="H29" s="129"/>
    </row>
    <row r="30" spans="3:23" x14ac:dyDescent="0.2">
      <c r="H30" s="129"/>
    </row>
    <row r="31" spans="3:23" x14ac:dyDescent="0.2">
      <c r="H31" s="129"/>
    </row>
    <row r="32" spans="3:23" x14ac:dyDescent="0.2">
      <c r="H32" s="129"/>
    </row>
    <row r="33" spans="8:8" x14ac:dyDescent="0.2">
      <c r="H33" s="129"/>
    </row>
    <row r="34" spans="8:8" x14ac:dyDescent="0.2">
      <c r="H34" s="129"/>
    </row>
    <row r="35" spans="8:8" x14ac:dyDescent="0.2">
      <c r="H35" s="129"/>
    </row>
    <row r="36" spans="8:8" x14ac:dyDescent="0.2">
      <c r="H36" s="129"/>
    </row>
    <row r="37" spans="8:8" x14ac:dyDescent="0.2">
      <c r="H37" s="129"/>
    </row>
    <row r="38" spans="8:8" x14ac:dyDescent="0.2">
      <c r="H38" s="129"/>
    </row>
    <row r="39" spans="8:8" x14ac:dyDescent="0.2">
      <c r="H39" s="129"/>
    </row>
    <row r="40" spans="8:8" x14ac:dyDescent="0.2">
      <c r="H40" s="129"/>
    </row>
    <row r="41" spans="8:8" x14ac:dyDescent="0.2">
      <c r="H41" s="129"/>
    </row>
    <row r="42" spans="8:8" x14ac:dyDescent="0.2">
      <c r="H42" s="129"/>
    </row>
    <row r="43" spans="8:8" x14ac:dyDescent="0.2">
      <c r="H43" s="129"/>
    </row>
    <row r="44" spans="8:8" x14ac:dyDescent="0.2">
      <c r="H44" s="129"/>
    </row>
    <row r="45" spans="8:8" x14ac:dyDescent="0.2">
      <c r="H45" s="129"/>
    </row>
    <row r="46" spans="8:8" x14ac:dyDescent="0.2">
      <c r="H46" s="129"/>
    </row>
    <row r="47" spans="8:8" x14ac:dyDescent="0.2">
      <c r="H47" s="129"/>
    </row>
    <row r="48" spans="8:8" x14ac:dyDescent="0.2">
      <c r="H48" s="129"/>
    </row>
    <row r="49" spans="8:8" x14ac:dyDescent="0.2">
      <c r="H49" s="129"/>
    </row>
    <row r="50" spans="8:8" x14ac:dyDescent="0.2">
      <c r="H50" s="129"/>
    </row>
    <row r="51" spans="8:8" x14ac:dyDescent="0.2">
      <c r="H51" s="129"/>
    </row>
    <row r="52" spans="8:8" x14ac:dyDescent="0.2">
      <c r="H52" s="129"/>
    </row>
    <row r="53" spans="8:8" x14ac:dyDescent="0.2">
      <c r="H53" s="129"/>
    </row>
    <row r="54" spans="8:8" x14ac:dyDescent="0.2">
      <c r="H54" s="129"/>
    </row>
    <row r="55" spans="8:8" x14ac:dyDescent="0.2">
      <c r="H55" s="129"/>
    </row>
    <row r="56" spans="8:8" x14ac:dyDescent="0.2">
      <c r="H56" s="129"/>
    </row>
    <row r="57" spans="8:8" x14ac:dyDescent="0.2">
      <c r="H57" s="129"/>
    </row>
    <row r="58" spans="8:8" x14ac:dyDescent="0.2">
      <c r="H58" s="129"/>
    </row>
    <row r="59" spans="8:8" x14ac:dyDescent="0.2">
      <c r="H59" s="129"/>
    </row>
    <row r="60" spans="8:8" x14ac:dyDescent="0.2">
      <c r="H60" s="129"/>
    </row>
    <row r="61" spans="8:8" x14ac:dyDescent="0.2">
      <c r="H61" s="129"/>
    </row>
    <row r="62" spans="8:8" x14ac:dyDescent="0.2">
      <c r="H62" s="129"/>
    </row>
    <row r="63" spans="8:8" x14ac:dyDescent="0.2">
      <c r="H63" s="129"/>
    </row>
    <row r="64" spans="8:8" x14ac:dyDescent="0.2">
      <c r="H64" s="129"/>
    </row>
    <row r="65" spans="8:8" x14ac:dyDescent="0.2">
      <c r="H65" s="129"/>
    </row>
    <row r="66" spans="8:8" x14ac:dyDescent="0.2">
      <c r="H66" s="129"/>
    </row>
    <row r="67" spans="8:8" x14ac:dyDescent="0.2">
      <c r="H67" s="129"/>
    </row>
    <row r="68" spans="8:8" x14ac:dyDescent="0.2">
      <c r="H68" s="129"/>
    </row>
    <row r="69" spans="8:8" x14ac:dyDescent="0.2">
      <c r="H69" s="129"/>
    </row>
    <row r="70" spans="8:8" x14ac:dyDescent="0.2">
      <c r="H70" s="129"/>
    </row>
    <row r="71" spans="8:8" x14ac:dyDescent="0.2">
      <c r="H71" s="129"/>
    </row>
    <row r="72" spans="8:8" x14ac:dyDescent="0.2">
      <c r="H72" s="129"/>
    </row>
    <row r="73" spans="8:8" x14ac:dyDescent="0.2">
      <c r="H73" s="129"/>
    </row>
    <row r="74" spans="8:8" x14ac:dyDescent="0.2">
      <c r="H74" s="129"/>
    </row>
    <row r="75" spans="8:8" x14ac:dyDescent="0.2">
      <c r="H75" s="129"/>
    </row>
    <row r="76" spans="8:8" x14ac:dyDescent="0.2">
      <c r="H76" s="129"/>
    </row>
    <row r="77" spans="8:8" x14ac:dyDescent="0.2">
      <c r="H77" s="129"/>
    </row>
    <row r="78" spans="8:8" x14ac:dyDescent="0.2">
      <c r="H78" s="129"/>
    </row>
    <row r="79" spans="8:8" x14ac:dyDescent="0.2">
      <c r="H79" s="129"/>
    </row>
    <row r="80" spans="8:8" x14ac:dyDescent="0.2">
      <c r="H80" s="129"/>
    </row>
    <row r="81" spans="8:8" x14ac:dyDescent="0.2">
      <c r="H81" s="129"/>
    </row>
    <row r="82" spans="8:8" x14ac:dyDescent="0.2">
      <c r="H82" s="129"/>
    </row>
    <row r="83" spans="8:8" x14ac:dyDescent="0.2">
      <c r="H83" s="129"/>
    </row>
    <row r="84" spans="8:8" x14ac:dyDescent="0.2">
      <c r="H84" s="129"/>
    </row>
    <row r="85" spans="8:8" x14ac:dyDescent="0.2">
      <c r="H85" s="129"/>
    </row>
    <row r="86" spans="8:8" x14ac:dyDescent="0.2">
      <c r="H86" s="129"/>
    </row>
    <row r="87" spans="8:8" x14ac:dyDescent="0.2">
      <c r="H87" s="129"/>
    </row>
    <row r="88" spans="8:8" x14ac:dyDescent="0.2">
      <c r="H88" s="129"/>
    </row>
    <row r="89" spans="8:8" x14ac:dyDescent="0.2">
      <c r="H89" s="129"/>
    </row>
    <row r="90" spans="8:8" x14ac:dyDescent="0.2">
      <c r="H90" s="129"/>
    </row>
    <row r="91" spans="8:8" x14ac:dyDescent="0.2">
      <c r="H91" s="129"/>
    </row>
    <row r="92" spans="8:8" x14ac:dyDescent="0.2">
      <c r="H92" s="129"/>
    </row>
    <row r="93" spans="8:8" x14ac:dyDescent="0.2">
      <c r="H93" s="129"/>
    </row>
    <row r="94" spans="8:8" x14ac:dyDescent="0.2">
      <c r="H94" s="129"/>
    </row>
    <row r="95" spans="8:8" x14ac:dyDescent="0.2">
      <c r="H95" s="129"/>
    </row>
    <row r="96" spans="8:8" x14ac:dyDescent="0.2">
      <c r="H96" s="129"/>
    </row>
    <row r="97" spans="8:8" x14ac:dyDescent="0.2">
      <c r="H97" s="129"/>
    </row>
    <row r="98" spans="8:8" x14ac:dyDescent="0.2">
      <c r="H98" s="129"/>
    </row>
    <row r="99" spans="8:8" x14ac:dyDescent="0.2">
      <c r="H99" s="129"/>
    </row>
    <row r="100" spans="8:8" x14ac:dyDescent="0.2">
      <c r="H100" s="129"/>
    </row>
    <row r="101" spans="8:8" x14ac:dyDescent="0.2">
      <c r="H101" s="129"/>
    </row>
    <row r="102" spans="8:8" x14ac:dyDescent="0.2">
      <c r="H102" s="129"/>
    </row>
    <row r="103" spans="8:8" x14ac:dyDescent="0.2">
      <c r="H103" s="129"/>
    </row>
    <row r="104" spans="8:8" x14ac:dyDescent="0.2">
      <c r="H104" s="129"/>
    </row>
    <row r="105" spans="8:8" x14ac:dyDescent="0.2">
      <c r="H105" s="129"/>
    </row>
    <row r="106" spans="8:8" x14ac:dyDescent="0.2">
      <c r="H106" s="129"/>
    </row>
    <row r="107" spans="8:8" x14ac:dyDescent="0.2">
      <c r="H107" s="129"/>
    </row>
    <row r="108" spans="8:8" x14ac:dyDescent="0.2">
      <c r="H108" s="129"/>
    </row>
    <row r="109" spans="8:8" x14ac:dyDescent="0.2">
      <c r="H109" s="129"/>
    </row>
    <row r="110" spans="8:8" x14ac:dyDescent="0.2">
      <c r="H110" s="129"/>
    </row>
    <row r="111" spans="8:8" x14ac:dyDescent="0.2">
      <c r="H111" s="129"/>
    </row>
    <row r="112" spans="8:8" x14ac:dyDescent="0.2">
      <c r="H112" s="129"/>
    </row>
    <row r="113" spans="8:8" x14ac:dyDescent="0.2">
      <c r="H113" s="129"/>
    </row>
    <row r="114" spans="8:8" x14ac:dyDescent="0.2">
      <c r="H114" s="129"/>
    </row>
    <row r="115" spans="8:8" x14ac:dyDescent="0.2">
      <c r="H115" s="129"/>
    </row>
    <row r="116" spans="8:8" x14ac:dyDescent="0.2">
      <c r="H116" s="129"/>
    </row>
    <row r="117" spans="8:8" x14ac:dyDescent="0.2">
      <c r="H117" s="129"/>
    </row>
    <row r="118" spans="8:8" x14ac:dyDescent="0.2">
      <c r="H118" s="129"/>
    </row>
    <row r="119" spans="8:8" x14ac:dyDescent="0.2">
      <c r="H119" s="129"/>
    </row>
    <row r="120" spans="8:8" x14ac:dyDescent="0.2">
      <c r="H120" s="129"/>
    </row>
    <row r="121" spans="8:8" x14ac:dyDescent="0.2">
      <c r="H121" s="129"/>
    </row>
    <row r="122" spans="8:8" x14ac:dyDescent="0.2">
      <c r="H122" s="129"/>
    </row>
    <row r="123" spans="8:8" x14ac:dyDescent="0.2">
      <c r="H123" s="129"/>
    </row>
    <row r="124" spans="8:8" x14ac:dyDescent="0.2">
      <c r="H124" s="129"/>
    </row>
    <row r="125" spans="8:8" x14ac:dyDescent="0.2">
      <c r="H125" s="129"/>
    </row>
    <row r="126" spans="8:8" x14ac:dyDescent="0.2">
      <c r="H126" s="129"/>
    </row>
    <row r="127" spans="8:8" x14ac:dyDescent="0.2">
      <c r="H127" s="129"/>
    </row>
    <row r="128" spans="8:8" x14ac:dyDescent="0.2">
      <c r="H128" s="129"/>
    </row>
    <row r="129" spans="8:8" x14ac:dyDescent="0.2">
      <c r="H129" s="129"/>
    </row>
    <row r="130" spans="8:8" x14ac:dyDescent="0.2">
      <c r="H130" s="129"/>
    </row>
    <row r="131" spans="8:8" x14ac:dyDescent="0.2">
      <c r="H131" s="129"/>
    </row>
    <row r="132" spans="8:8" x14ac:dyDescent="0.2">
      <c r="H132" s="129"/>
    </row>
    <row r="133" spans="8:8" x14ac:dyDescent="0.2">
      <c r="H133" s="129"/>
    </row>
    <row r="134" spans="8:8" x14ac:dyDescent="0.2">
      <c r="H134" s="129"/>
    </row>
    <row r="135" spans="8:8" x14ac:dyDescent="0.2">
      <c r="H135" s="129"/>
    </row>
    <row r="136" spans="8:8" x14ac:dyDescent="0.2">
      <c r="H136" s="129"/>
    </row>
    <row r="137" spans="8:8" x14ac:dyDescent="0.2">
      <c r="H137" s="129"/>
    </row>
    <row r="138" spans="8:8" x14ac:dyDescent="0.2">
      <c r="H138" s="129"/>
    </row>
    <row r="139" spans="8:8" x14ac:dyDescent="0.2">
      <c r="H139" s="129"/>
    </row>
    <row r="140" spans="8:8" x14ac:dyDescent="0.2">
      <c r="H140" s="129"/>
    </row>
    <row r="141" spans="8:8" x14ac:dyDescent="0.2">
      <c r="H141" s="129"/>
    </row>
    <row r="142" spans="8:8" x14ac:dyDescent="0.2">
      <c r="H142" s="129"/>
    </row>
    <row r="143" spans="8:8" x14ac:dyDescent="0.2">
      <c r="H143" s="129"/>
    </row>
    <row r="144" spans="8:8" x14ac:dyDescent="0.2">
      <c r="H144" s="129"/>
    </row>
    <row r="145" spans="8:8" x14ac:dyDescent="0.2">
      <c r="H145" s="129"/>
    </row>
    <row r="146" spans="8:8" x14ac:dyDescent="0.2">
      <c r="H146" s="129"/>
    </row>
    <row r="147" spans="8:8" x14ac:dyDescent="0.2">
      <c r="H147" s="129"/>
    </row>
    <row r="148" spans="8:8" x14ac:dyDescent="0.2">
      <c r="H148" s="129"/>
    </row>
    <row r="149" spans="8:8" x14ac:dyDescent="0.2">
      <c r="H149" s="129"/>
    </row>
    <row r="150" spans="8:8" x14ac:dyDescent="0.2">
      <c r="H150" s="129"/>
    </row>
    <row r="151" spans="8:8" x14ac:dyDescent="0.2">
      <c r="H151" s="129"/>
    </row>
    <row r="152" spans="8:8" x14ac:dyDescent="0.2">
      <c r="H152" s="129"/>
    </row>
    <row r="153" spans="8:8" x14ac:dyDescent="0.2">
      <c r="H153" s="129"/>
    </row>
    <row r="154" spans="8:8" x14ac:dyDescent="0.2">
      <c r="H154" s="129"/>
    </row>
    <row r="155" spans="8:8" x14ac:dyDescent="0.2">
      <c r="H155" s="129"/>
    </row>
    <row r="156" spans="8:8" x14ac:dyDescent="0.2">
      <c r="H156" s="129"/>
    </row>
    <row r="157" spans="8:8" x14ac:dyDescent="0.2">
      <c r="H157" s="129"/>
    </row>
    <row r="158" spans="8:8" x14ac:dyDescent="0.2">
      <c r="H158" s="129"/>
    </row>
    <row r="159" spans="8:8" x14ac:dyDescent="0.2">
      <c r="H159" s="129"/>
    </row>
    <row r="160" spans="8:8" x14ac:dyDescent="0.2">
      <c r="H160" s="129"/>
    </row>
    <row r="161" spans="8:8" x14ac:dyDescent="0.2">
      <c r="H161" s="129"/>
    </row>
    <row r="162" spans="8:8" x14ac:dyDescent="0.2">
      <c r="H162" s="129"/>
    </row>
    <row r="163" spans="8:8" x14ac:dyDescent="0.2">
      <c r="H163" s="129"/>
    </row>
    <row r="164" spans="8:8" x14ac:dyDescent="0.2">
      <c r="H164" s="129"/>
    </row>
    <row r="165" spans="8:8" x14ac:dyDescent="0.2">
      <c r="H165" s="129"/>
    </row>
    <row r="166" spans="8:8" x14ac:dyDescent="0.2">
      <c r="H166" s="129"/>
    </row>
    <row r="167" spans="8:8" x14ac:dyDescent="0.2">
      <c r="H167" s="129"/>
    </row>
    <row r="168" spans="8:8" x14ac:dyDescent="0.2">
      <c r="H168" s="129"/>
    </row>
    <row r="169" spans="8:8" x14ac:dyDescent="0.2">
      <c r="H169" s="129"/>
    </row>
    <row r="170" spans="8:8" x14ac:dyDescent="0.2">
      <c r="H170" s="129"/>
    </row>
    <row r="171" spans="8:8" x14ac:dyDescent="0.2">
      <c r="H171" s="129"/>
    </row>
    <row r="172" spans="8:8" x14ac:dyDescent="0.2">
      <c r="H172" s="129"/>
    </row>
    <row r="173" spans="8:8" x14ac:dyDescent="0.2">
      <c r="H173" s="129"/>
    </row>
    <row r="174" spans="8:8" x14ac:dyDescent="0.2">
      <c r="H174" s="129"/>
    </row>
    <row r="175" spans="8:8" x14ac:dyDescent="0.2">
      <c r="H175" s="129"/>
    </row>
    <row r="176" spans="8:8" x14ac:dyDescent="0.2">
      <c r="H176" s="129"/>
    </row>
    <row r="177" spans="1:12" x14ac:dyDescent="0.2">
      <c r="H177" s="129"/>
    </row>
    <row r="178" spans="1:12" x14ac:dyDescent="0.2">
      <c r="H178" s="129"/>
    </row>
    <row r="179" spans="1:12" x14ac:dyDescent="0.2">
      <c r="H179" s="129"/>
    </row>
    <row r="180" spans="1:12" x14ac:dyDescent="0.2">
      <c r="H180" s="129"/>
    </row>
    <row r="181" spans="1:12" x14ac:dyDescent="0.2">
      <c r="H181" s="129"/>
    </row>
    <row r="182" spans="1:12" x14ac:dyDescent="0.2">
      <c r="H182" s="129"/>
    </row>
    <row r="183" spans="1:12" x14ac:dyDescent="0.2">
      <c r="H183" s="129"/>
    </row>
    <row r="184" spans="1:12" x14ac:dyDescent="0.2">
      <c r="H184" s="129"/>
    </row>
    <row r="185" spans="1:12" ht="15" thickBot="1" x14ac:dyDescent="0.25">
      <c r="H185" s="129"/>
    </row>
    <row r="186" spans="1:12" ht="15.75" thickBot="1" x14ac:dyDescent="0.25">
      <c r="A186" s="5173" t="s">
        <v>355</v>
      </c>
      <c r="B186" s="1742"/>
      <c r="C186" s="5176" t="s">
        <v>356</v>
      </c>
      <c r="D186" s="5177"/>
      <c r="E186" s="5177"/>
      <c r="F186" s="5177"/>
      <c r="G186" s="5177"/>
      <c r="H186" s="5177"/>
      <c r="I186" s="5177"/>
      <c r="J186" s="5177"/>
      <c r="K186" s="5177"/>
      <c r="L186" s="5178"/>
    </row>
    <row r="187" spans="1:12" ht="15.75" thickBot="1" x14ac:dyDescent="0.25">
      <c r="A187" s="5194"/>
      <c r="B187" s="1743"/>
      <c r="C187" s="171"/>
      <c r="D187" s="172"/>
      <c r="E187" s="172"/>
      <c r="F187" s="172"/>
      <c r="G187" s="172"/>
      <c r="H187" s="176" t="s">
        <v>357</v>
      </c>
      <c r="I187" s="34"/>
      <c r="J187" s="35"/>
      <c r="K187" s="177"/>
      <c r="L187" s="179"/>
    </row>
    <row r="188" spans="1:12" ht="15" x14ac:dyDescent="0.2">
      <c r="A188" s="5194"/>
      <c r="B188" s="1743"/>
      <c r="C188" s="180"/>
      <c r="D188" s="181"/>
      <c r="E188" s="181"/>
      <c r="F188" s="181"/>
      <c r="G188" s="181"/>
      <c r="H188" s="185" t="s">
        <v>358</v>
      </c>
      <c r="I188" s="186"/>
      <c r="J188" s="187"/>
      <c r="K188" s="188"/>
      <c r="L188" s="190"/>
    </row>
    <row r="189" spans="1:12" ht="15" x14ac:dyDescent="0.2">
      <c r="A189" s="5194"/>
      <c r="B189" s="1743"/>
      <c r="C189" s="191"/>
      <c r="D189" s="192"/>
      <c r="E189" s="192"/>
      <c r="F189" s="192"/>
      <c r="G189" s="192"/>
      <c r="H189" s="196" t="s">
        <v>359</v>
      </c>
      <c r="I189" s="19"/>
      <c r="J189" s="20"/>
      <c r="K189" s="197"/>
      <c r="L189" s="179"/>
    </row>
    <row r="190" spans="1:12" ht="15.75" thickBot="1" x14ac:dyDescent="0.25">
      <c r="A190" s="5194"/>
      <c r="B190" s="1743"/>
      <c r="C190" s="199"/>
      <c r="D190" s="200"/>
      <c r="E190" s="200"/>
      <c r="F190" s="200"/>
      <c r="G190" s="200"/>
      <c r="H190" s="204" t="s">
        <v>360</v>
      </c>
      <c r="I190" s="38"/>
      <c r="J190" s="39"/>
      <c r="K190" s="205"/>
      <c r="L190" s="207"/>
    </row>
    <row r="191" spans="1:12" ht="15.75" thickBot="1" x14ac:dyDescent="0.25">
      <c r="A191" s="5195"/>
      <c r="B191" s="1744"/>
      <c r="C191" s="208"/>
      <c r="D191" s="209"/>
      <c r="E191" s="209"/>
      <c r="F191" s="209"/>
      <c r="G191" s="209"/>
      <c r="H191" s="213" t="s">
        <v>361</v>
      </c>
      <c r="I191" s="214"/>
      <c r="J191" s="215"/>
      <c r="K191" s="216"/>
      <c r="L191" s="218"/>
    </row>
  </sheetData>
  <mergeCells count="6">
    <mergeCell ref="V18:W18"/>
    <mergeCell ref="D9:G9"/>
    <mergeCell ref="I9:L9"/>
    <mergeCell ref="A11:A15"/>
    <mergeCell ref="A186:A191"/>
    <mergeCell ref="C186:L186"/>
  </mergeCells>
  <hyperlinks>
    <hyperlink ref="A1" location="Index!A1" display="Til index" xr:uid="{C33D18FE-8949-4D85-8F01-08CF68CE4818}"/>
  </hyperlinks>
  <pageMargins left="0.7" right="0.7" top="0.75" bottom="0.75" header="0.3" footer="0.3"/>
  <pageSetup paperSize="9"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48970-882E-4E3B-87C5-9A2DA750A99E}">
  <sheetPr codeName="Ark16">
    <tabColor theme="8" tint="-0.249977111117893"/>
  </sheetPr>
  <dimension ref="A1:P191"/>
  <sheetViews>
    <sheetView showGridLines="0" zoomScale="85" zoomScaleNormal="85" workbookViewId="0">
      <selection activeCell="J12" sqref="J12"/>
    </sheetView>
  </sheetViews>
  <sheetFormatPr defaultColWidth="9.140625" defaultRowHeight="14.25" x14ac:dyDescent="0.2"/>
  <cols>
    <col min="1" max="1" width="12.140625" style="129" customWidth="1"/>
    <col min="2" max="2" width="7.85546875" style="129" customWidth="1"/>
    <col min="3" max="3" width="8.5703125" style="129" customWidth="1"/>
    <col min="4" max="4" width="9.140625" style="129"/>
    <col min="5" max="5" width="18" style="129" bestFit="1" customWidth="1"/>
    <col min="6" max="6" width="9.140625" style="129"/>
    <col min="7" max="7" width="17.85546875" style="129" bestFit="1" customWidth="1"/>
    <col min="8" max="8" width="64.5703125" style="132" customWidth="1"/>
    <col min="9" max="9" width="9.42578125" style="129" customWidth="1"/>
    <col min="10" max="10" width="17.42578125" style="129" bestFit="1" customWidth="1"/>
    <col min="11" max="11" width="9.140625" style="129"/>
    <col min="12" max="12" width="9.85546875" style="129" bestFit="1" customWidth="1"/>
    <col min="13" max="16384" width="9.140625" style="129"/>
  </cols>
  <sheetData>
    <row r="1" spans="1:16" ht="21.75" thickBot="1" x14ac:dyDescent="0.4">
      <c r="A1" s="1740" t="s">
        <v>4206</v>
      </c>
      <c r="B1" s="1740"/>
      <c r="H1" s="129"/>
    </row>
    <row r="2" spans="1:16" x14ac:dyDescent="0.2">
      <c r="C2" s="251" t="s">
        <v>320</v>
      </c>
      <c r="D2" s="252"/>
      <c r="E2" s="253"/>
      <c r="F2" s="148" t="str">
        <f>'Dyrehold 2018G'!G2</f>
        <v>2018G</v>
      </c>
    </row>
    <row r="3" spans="1:16" ht="15" thickBot="1" x14ac:dyDescent="0.25">
      <c r="C3" s="254" t="s">
        <v>428</v>
      </c>
      <c r="D3" s="149" t="s">
        <v>226</v>
      </c>
      <c r="E3" s="149" t="s">
        <v>465</v>
      </c>
      <c r="F3" s="150"/>
      <c r="H3" s="1746" t="s">
        <v>4207</v>
      </c>
    </row>
    <row r="4" spans="1:16" ht="27.75" x14ac:dyDescent="0.2">
      <c r="F4" s="10"/>
      <c r="G4" s="10"/>
      <c r="H4" s="152" t="s">
        <v>466</v>
      </c>
    </row>
    <row r="5" spans="1:16" x14ac:dyDescent="0.2">
      <c r="E5" s="10"/>
      <c r="F5" s="10"/>
      <c r="G5" s="10"/>
      <c r="H5" s="1745" t="str">
        <f>'Dyrehold 2018G'!U4</f>
        <v>Læsø 2018G</v>
      </c>
    </row>
    <row r="6" spans="1:16" x14ac:dyDescent="0.2">
      <c r="E6" s="10"/>
      <c r="F6" s="10"/>
      <c r="G6" s="10"/>
      <c r="H6" s="129"/>
    </row>
    <row r="7" spans="1:16" x14ac:dyDescent="0.2">
      <c r="H7" s="129"/>
    </row>
    <row r="8" spans="1:16" ht="15.75" customHeight="1" x14ac:dyDescent="0.2">
      <c r="H8" s="129"/>
    </row>
    <row r="9" spans="1:16" ht="30.75" customHeight="1" thickBot="1" x14ac:dyDescent="0.25">
      <c r="C9" s="260" t="s">
        <v>467</v>
      </c>
      <c r="D9" s="5188" t="s">
        <v>468</v>
      </c>
      <c r="E9" s="5189"/>
      <c r="F9" s="5189"/>
      <c r="G9" s="5190"/>
      <c r="H9" s="261" t="s">
        <v>327</v>
      </c>
      <c r="I9" s="5191" t="s">
        <v>468</v>
      </c>
      <c r="J9" s="5192"/>
      <c r="K9" s="5192"/>
      <c r="L9" s="5193"/>
    </row>
    <row r="10" spans="1:16" ht="100.5" customHeight="1" thickBot="1" x14ac:dyDescent="0.25">
      <c r="C10" s="159" t="s">
        <v>314</v>
      </c>
      <c r="D10" s="262" t="s">
        <v>469</v>
      </c>
      <c r="E10" s="157" t="s">
        <v>308</v>
      </c>
      <c r="F10" s="157" t="s">
        <v>309</v>
      </c>
      <c r="G10" s="158" t="s">
        <v>310</v>
      </c>
      <c r="H10" s="255"/>
      <c r="I10" s="263" t="s">
        <v>345</v>
      </c>
      <c r="J10" s="157" t="s">
        <v>432</v>
      </c>
      <c r="K10" s="157" t="s">
        <v>433</v>
      </c>
      <c r="L10" s="163" t="s">
        <v>349</v>
      </c>
    </row>
    <row r="11" spans="1:16" ht="14.45" customHeight="1" x14ac:dyDescent="0.2">
      <c r="A11" s="5172"/>
      <c r="B11" s="1741"/>
      <c r="C11" s="486"/>
      <c r="D11" s="487"/>
      <c r="E11" s="487"/>
      <c r="F11" s="487"/>
      <c r="G11" s="487"/>
      <c r="H11" s="488" t="s">
        <v>470</v>
      </c>
      <c r="I11" s="487"/>
      <c r="J11" s="487"/>
      <c r="K11" s="487"/>
      <c r="L11" s="264"/>
    </row>
    <row r="12" spans="1:16" ht="15" x14ac:dyDescent="0.2">
      <c r="A12" s="5172"/>
      <c r="B12" s="1741"/>
      <c r="C12" s="460"/>
      <c r="D12" s="265"/>
      <c r="E12" s="256"/>
      <c r="F12" s="256"/>
      <c r="G12" s="485">
        <f>'K12 2018G'!I10</f>
        <v>218.92304485770231</v>
      </c>
      <c r="H12" s="93" t="s">
        <v>471</v>
      </c>
      <c r="I12" s="259"/>
      <c r="J12" s="166">
        <f>'K12 2018G'!K10</f>
        <v>7.0063529993170279</v>
      </c>
      <c r="K12" s="258"/>
      <c r="L12" s="136">
        <f>+I12+J12*'Grafer-klima-&gt;VÆLG GWP og NIR&lt;-'!$E$8+'Affald og spildevand 2018G'!K12*'Grafer-klima-&gt;VÆLG GWP og NIR&lt;-'!$F$8</f>
        <v>175.15882498292569</v>
      </c>
    </row>
    <row r="13" spans="1:16" ht="15" x14ac:dyDescent="0.2">
      <c r="A13" s="5172"/>
      <c r="B13" s="1741"/>
      <c r="C13" s="167"/>
      <c r="D13" s="265"/>
      <c r="E13" s="256"/>
      <c r="F13" s="256"/>
      <c r="G13" s="485" t="str">
        <f>'K12 2018G'!I13</f>
        <v>NO</v>
      </c>
      <c r="H13" s="93" t="s">
        <v>472</v>
      </c>
      <c r="I13" s="259"/>
      <c r="J13" s="166" t="str">
        <f>'K12 2018G'!K13</f>
        <v>NO</v>
      </c>
      <c r="K13" s="258"/>
      <c r="L13" s="136"/>
      <c r="O13" s="266"/>
      <c r="P13" s="266"/>
    </row>
    <row r="14" spans="1:16" ht="15" x14ac:dyDescent="0.2">
      <c r="A14" s="5172"/>
      <c r="B14" s="1741"/>
      <c r="C14" s="167"/>
      <c r="D14" s="265"/>
      <c r="E14" s="256"/>
      <c r="F14" s="256"/>
      <c r="G14" s="257" t="s">
        <v>259</v>
      </c>
      <c r="H14" s="93" t="s">
        <v>473</v>
      </c>
      <c r="I14" s="259"/>
      <c r="J14" s="258"/>
      <c r="K14" s="258"/>
      <c r="L14" s="136">
        <f>+I14+J14*'Grafer-klima-&gt;VÆLG GWP og NIR&lt;-'!$E$8+'Affald og spildevand 2018G'!K14*'Grafer-klima-&gt;VÆLG GWP og NIR&lt;-'!$F$8</f>
        <v>0</v>
      </c>
      <c r="O14" s="266"/>
      <c r="P14" s="266"/>
    </row>
    <row r="15" spans="1:16" ht="16.5" x14ac:dyDescent="0.2">
      <c r="A15" s="5172"/>
      <c r="B15" s="1741"/>
      <c r="C15" s="167"/>
      <c r="D15" s="265"/>
      <c r="E15" s="256"/>
      <c r="F15" s="256" t="s">
        <v>474</v>
      </c>
      <c r="G15" s="257"/>
      <c r="H15" s="93" t="s">
        <v>475</v>
      </c>
      <c r="I15" s="259"/>
      <c r="J15" s="166">
        <f>'K12 2018G'!I25</f>
        <v>1.3353089211146361</v>
      </c>
      <c r="K15" s="166">
        <f>'K12 2018G'!J25</f>
        <v>8.7574923379203903E-2</v>
      </c>
      <c r="L15" s="136">
        <f>+I15+J15*'Grafer-klima-&gt;VÆLG GWP og NIR&lt;-'!$E$8+'Affald og spildevand 2018G'!K15*'Grafer-klima-&gt;VÆLG GWP og NIR&lt;-'!$F$8</f>
        <v>59.480050194868667</v>
      </c>
      <c r="O15" s="266"/>
      <c r="P15" s="266"/>
    </row>
    <row r="16" spans="1:16" ht="16.5" x14ac:dyDescent="0.2">
      <c r="C16" s="460"/>
      <c r="D16" s="461"/>
      <c r="E16" s="435"/>
      <c r="F16" s="435" t="s">
        <v>476</v>
      </c>
      <c r="G16" s="463"/>
      <c r="H16" s="93" t="s">
        <v>477</v>
      </c>
      <c r="I16" s="461"/>
      <c r="J16" s="434">
        <f>'K12 2018G'!I29</f>
        <v>3.1516784733960299</v>
      </c>
      <c r="K16" s="435"/>
      <c r="L16" s="136">
        <f>+I16+J16*'Grafer-klima-&gt;VÆLG GWP og NIR&lt;-'!$E$8+'Affald og spildevand 2018G'!K16*'Grafer-klima-&gt;VÆLG GWP og NIR&lt;-'!$F$8</f>
        <v>78.791961834900746</v>
      </c>
    </row>
    <row r="17" spans="3:12" x14ac:dyDescent="0.2">
      <c r="C17" s="460"/>
      <c r="D17" s="461"/>
      <c r="E17" s="434">
        <f>'K12 2018G'!I46</f>
        <v>0.36538895971244673</v>
      </c>
      <c r="F17" s="435"/>
      <c r="G17" s="463"/>
      <c r="H17" s="93" t="s">
        <v>478</v>
      </c>
      <c r="I17" s="481" t="str">
        <f>'K12 2018G'!J46</f>
        <v>NO</v>
      </c>
      <c r="J17" s="481">
        <f>'K12 2018G'!K46</f>
        <v>2.3643400640698537E-4</v>
      </c>
      <c r="K17" s="481">
        <f>'K12 2018G'!L46</f>
        <v>2.9555303121077148E-4</v>
      </c>
      <c r="L17" s="136">
        <f>+J17*'Grafer-klima-&gt;VÆLG GWP og NIR&lt;-'!$E$8+'Affald og spildevand 2018G'!K17*'Grafer-klima-&gt;VÆLG GWP og NIR&lt;-'!$F$8</f>
        <v>9.3985653460984531E-2</v>
      </c>
    </row>
    <row r="18" spans="3:12" x14ac:dyDescent="0.2">
      <c r="C18" s="460"/>
      <c r="D18" s="461"/>
      <c r="E18" s="434" t="str">
        <f>'K12 2018G'!I55</f>
        <v>NO</v>
      </c>
      <c r="F18" s="435"/>
      <c r="G18" s="463"/>
      <c r="H18" s="93" t="s">
        <v>479</v>
      </c>
      <c r="I18" s="481" t="str">
        <f>'K12 2018G'!I55</f>
        <v>NO</v>
      </c>
      <c r="J18" s="481" t="str">
        <f>'K12 2018G'!J55</f>
        <v>NO</v>
      </c>
      <c r="K18" s="481" t="str">
        <f>'K12 2018G'!K55</f>
        <v>NO</v>
      </c>
      <c r="L18" s="136"/>
    </row>
    <row r="19" spans="3:12" ht="14.45" customHeight="1" x14ac:dyDescent="0.2">
      <c r="C19" s="267"/>
      <c r="D19" s="268"/>
      <c r="E19" s="268"/>
      <c r="F19" s="268"/>
      <c r="G19" s="268"/>
      <c r="H19" s="489" t="s">
        <v>480</v>
      </c>
      <c r="I19" s="268"/>
      <c r="J19" s="268"/>
      <c r="K19" s="268"/>
      <c r="L19" s="269"/>
    </row>
    <row r="20" spans="3:12" ht="16.5" x14ac:dyDescent="0.2">
      <c r="C20" s="460"/>
      <c r="D20" s="461" t="s">
        <v>476</v>
      </c>
      <c r="E20" s="435"/>
      <c r="F20" s="435"/>
      <c r="G20" s="463"/>
      <c r="H20" s="93" t="s">
        <v>481</v>
      </c>
      <c r="I20" s="461"/>
      <c r="J20" s="434">
        <f>'K13 2018G'!M9</f>
        <v>0.63458286031907951</v>
      </c>
      <c r="K20" s="434">
        <f>'K13 2018G'!N9</f>
        <v>6.1341931919452961E-2</v>
      </c>
      <c r="L20" s="136">
        <f>+I20+J20*'Grafer-klima-&gt;VÆLG GWP og NIR&lt;-'!$E$8+'Affald og spildevand 2018G'!K20*'Grafer-klima-&gt;VÆLG GWP og NIR&lt;-'!$F$8</f>
        <v>34.144467219973968</v>
      </c>
    </row>
    <row r="21" spans="3:12" ht="16.5" x14ac:dyDescent="0.2">
      <c r="C21" s="460"/>
      <c r="D21" s="461" t="s">
        <v>476</v>
      </c>
      <c r="E21" s="435"/>
      <c r="F21" s="435"/>
      <c r="G21" s="463"/>
      <c r="H21" s="93" t="s">
        <v>482</v>
      </c>
      <c r="I21" s="461"/>
      <c r="J21" s="434"/>
      <c r="K21" s="434">
        <f>'K13 2018G'!N10</f>
        <v>7.2302174636949806E-3</v>
      </c>
      <c r="L21" s="136">
        <f>+I21+J21*'Grafer-klima-&gt;VÆLG GWP og NIR&lt;-'!$E$8+'Affald og spildevand 2018G'!K21*'Grafer-klima-&gt;VÆLG GWP og NIR&lt;-'!$F$8</f>
        <v>2.1546048041811043</v>
      </c>
    </row>
    <row r="22" spans="3:12" ht="16.5" x14ac:dyDescent="0.2">
      <c r="C22" s="460"/>
      <c r="D22" s="461" t="s">
        <v>476</v>
      </c>
      <c r="E22" s="435"/>
      <c r="F22" s="435"/>
      <c r="G22" s="463"/>
      <c r="H22" s="93" t="s">
        <v>483</v>
      </c>
      <c r="I22" s="461"/>
      <c r="J22" s="435"/>
      <c r="K22" s="435"/>
      <c r="L22" s="136">
        <f>+I22+J22*'Grafer-klima-&gt;VÆLG GWP og NIR&lt;-'!$E$8+'Affald og spildevand 2018G'!K22*'Grafer-klima-&gt;VÆLG GWP og NIR&lt;-'!$F$8</f>
        <v>0</v>
      </c>
    </row>
    <row r="23" spans="3:12" ht="14.45" customHeight="1" x14ac:dyDescent="0.2">
      <c r="C23" s="267"/>
      <c r="D23" s="268"/>
      <c r="E23" s="268"/>
      <c r="F23" s="268"/>
      <c r="G23" s="268"/>
      <c r="H23" s="489" t="s">
        <v>484</v>
      </c>
      <c r="I23" s="268"/>
      <c r="J23" s="268"/>
      <c r="K23" s="268"/>
      <c r="L23" s="269"/>
    </row>
    <row r="24" spans="3:12" x14ac:dyDescent="0.2">
      <c r="C24" s="464">
        <f>'K14 2018G'!K8</f>
        <v>2.3862223686794293</v>
      </c>
      <c r="D24" s="461"/>
      <c r="E24" s="435"/>
      <c r="F24" s="435"/>
      <c r="G24" s="463"/>
      <c r="H24" s="93" t="s">
        <v>485</v>
      </c>
      <c r="I24" s="481">
        <f>'K14 2018G'!L8</f>
        <v>31.742721727850714</v>
      </c>
      <c r="J24" s="481">
        <f>'K14 2018G'!M8</f>
        <v>3.1152537861101479E-2</v>
      </c>
      <c r="K24" s="481">
        <f>'K14 2018G'!N8</f>
        <v>0</v>
      </c>
      <c r="L24" s="136">
        <f>+I24+J24*'Grafer-klima-&gt;VÆLG GWP og NIR&lt;-'!$E$8+'Affald og spildevand 2018G'!K24*'Grafer-klima-&gt;VÆLG GWP og NIR&lt;-'!$F$8</f>
        <v>32.521535174378251</v>
      </c>
    </row>
    <row r="25" spans="3:12" ht="15" thickBot="1" x14ac:dyDescent="0.25">
      <c r="C25" s="464">
        <f>'K14 2018G'!K10</f>
        <v>0.78918912907782823</v>
      </c>
      <c r="D25" s="490"/>
      <c r="E25" s="483"/>
      <c r="F25" s="483"/>
      <c r="G25" s="491"/>
      <c r="H25" s="94" t="s">
        <v>486</v>
      </c>
      <c r="I25" s="482">
        <f>'K14 2018G'!L10</f>
        <v>1.9796642559749809</v>
      </c>
      <c r="J25" s="482">
        <f>'K14 2018G'!M10</f>
        <v>4.1243005332812109E-3</v>
      </c>
      <c r="K25" s="483"/>
      <c r="L25" s="136">
        <f>+I25+J25*'Grafer-klima-&gt;VÆLG GWP og NIR&lt;-'!$E$8+'Affald og spildevand 2018G'!K25*'Grafer-klima-&gt;VÆLG GWP og NIR&lt;-'!$F$8</f>
        <v>2.0827717693070111</v>
      </c>
    </row>
    <row r="26" spans="3:12" ht="15.75" thickBot="1" x14ac:dyDescent="0.3">
      <c r="C26" s="441">
        <f>SUM(C11:C25)</f>
        <v>3.1754114977572576</v>
      </c>
      <c r="D26" s="492">
        <f>SUM(D11:D25)</f>
        <v>0</v>
      </c>
      <c r="E26" s="440">
        <f>SUM(E11:E25)</f>
        <v>0.36538895971244673</v>
      </c>
      <c r="F26" s="440">
        <f>SUM(F11:F25)</f>
        <v>0</v>
      </c>
      <c r="G26" s="440">
        <f>SUM(G11:G25)</f>
        <v>218.92304485770231</v>
      </c>
      <c r="H26" s="493" t="s">
        <v>228</v>
      </c>
      <c r="I26" s="471">
        <f>SUM(I11:I25)</f>
        <v>33.722385983825696</v>
      </c>
      <c r="J26" s="472">
        <f>SUM(J11:J25)</f>
        <v>12.163436526547564</v>
      </c>
      <c r="K26" s="472">
        <f>SUM(K11:K25)</f>
        <v>0.15644262579356263</v>
      </c>
      <c r="L26" s="234">
        <f>SUM(L11:L25)</f>
        <v>384.42820163399642</v>
      </c>
    </row>
    <row r="27" spans="3:12" ht="16.5" x14ac:dyDescent="0.2">
      <c r="C27" s="623" t="s">
        <v>487</v>
      </c>
      <c r="H27" s="129"/>
    </row>
    <row r="28" spans="3:12" ht="16.5" x14ac:dyDescent="0.2">
      <c r="C28" s="250"/>
      <c r="H28" s="129"/>
    </row>
    <row r="29" spans="3:12" x14ac:dyDescent="0.2">
      <c r="H29" s="129"/>
    </row>
    <row r="30" spans="3:12" x14ac:dyDescent="0.2">
      <c r="H30" s="129"/>
    </row>
    <row r="31" spans="3:12" x14ac:dyDescent="0.2">
      <c r="H31" s="129"/>
    </row>
    <row r="32" spans="3:12" x14ac:dyDescent="0.2">
      <c r="H32" s="129"/>
    </row>
    <row r="33" spans="8:8" x14ac:dyDescent="0.2">
      <c r="H33" s="129"/>
    </row>
    <row r="34" spans="8:8" x14ac:dyDescent="0.2">
      <c r="H34" s="129"/>
    </row>
    <row r="35" spans="8:8" x14ac:dyDescent="0.2">
      <c r="H35" s="129"/>
    </row>
    <row r="36" spans="8:8" x14ac:dyDescent="0.2">
      <c r="H36" s="129"/>
    </row>
    <row r="37" spans="8:8" x14ac:dyDescent="0.2">
      <c r="H37" s="129"/>
    </row>
    <row r="38" spans="8:8" x14ac:dyDescent="0.2">
      <c r="H38" s="129"/>
    </row>
    <row r="39" spans="8:8" x14ac:dyDescent="0.2">
      <c r="H39" s="129"/>
    </row>
    <row r="40" spans="8:8" x14ac:dyDescent="0.2">
      <c r="H40" s="129"/>
    </row>
    <row r="41" spans="8:8" x14ac:dyDescent="0.2">
      <c r="H41" s="129"/>
    </row>
    <row r="42" spans="8:8" x14ac:dyDescent="0.2">
      <c r="H42" s="129"/>
    </row>
    <row r="43" spans="8:8" x14ac:dyDescent="0.2">
      <c r="H43" s="129"/>
    </row>
    <row r="44" spans="8:8" x14ac:dyDescent="0.2">
      <c r="H44" s="129"/>
    </row>
    <row r="45" spans="8:8" x14ac:dyDescent="0.2">
      <c r="H45" s="129"/>
    </row>
    <row r="46" spans="8:8" x14ac:dyDescent="0.2">
      <c r="H46" s="129"/>
    </row>
    <row r="47" spans="8:8" x14ac:dyDescent="0.2">
      <c r="H47" s="129"/>
    </row>
    <row r="48" spans="8:8" x14ac:dyDescent="0.2">
      <c r="H48" s="129"/>
    </row>
    <row r="49" spans="8:8" x14ac:dyDescent="0.2">
      <c r="H49" s="129"/>
    </row>
    <row r="50" spans="8:8" x14ac:dyDescent="0.2">
      <c r="H50" s="129"/>
    </row>
    <row r="51" spans="8:8" x14ac:dyDescent="0.2">
      <c r="H51" s="129"/>
    </row>
    <row r="52" spans="8:8" x14ac:dyDescent="0.2">
      <c r="H52" s="129"/>
    </row>
    <row r="53" spans="8:8" x14ac:dyDescent="0.2">
      <c r="H53" s="129"/>
    </row>
    <row r="54" spans="8:8" x14ac:dyDescent="0.2">
      <c r="H54" s="129"/>
    </row>
    <row r="55" spans="8:8" x14ac:dyDescent="0.2">
      <c r="H55" s="129"/>
    </row>
    <row r="56" spans="8:8" x14ac:dyDescent="0.2">
      <c r="H56" s="129"/>
    </row>
    <row r="57" spans="8:8" x14ac:dyDescent="0.2">
      <c r="H57" s="129"/>
    </row>
    <row r="58" spans="8:8" x14ac:dyDescent="0.2">
      <c r="H58" s="129"/>
    </row>
    <row r="59" spans="8:8" x14ac:dyDescent="0.2">
      <c r="H59" s="129"/>
    </row>
    <row r="60" spans="8:8" x14ac:dyDescent="0.2">
      <c r="H60" s="129"/>
    </row>
    <row r="61" spans="8:8" x14ac:dyDescent="0.2">
      <c r="H61" s="129"/>
    </row>
    <row r="62" spans="8:8" x14ac:dyDescent="0.2">
      <c r="H62" s="129"/>
    </row>
    <row r="63" spans="8:8" x14ac:dyDescent="0.2">
      <c r="H63" s="129"/>
    </row>
    <row r="64" spans="8:8" x14ac:dyDescent="0.2">
      <c r="H64" s="129"/>
    </row>
    <row r="65" spans="8:8" x14ac:dyDescent="0.2">
      <c r="H65" s="129"/>
    </row>
    <row r="66" spans="8:8" x14ac:dyDescent="0.2">
      <c r="H66" s="129"/>
    </row>
    <row r="67" spans="8:8" x14ac:dyDescent="0.2">
      <c r="H67" s="129"/>
    </row>
    <row r="68" spans="8:8" x14ac:dyDescent="0.2">
      <c r="H68" s="129"/>
    </row>
    <row r="69" spans="8:8" x14ac:dyDescent="0.2">
      <c r="H69" s="129"/>
    </row>
    <row r="70" spans="8:8" x14ac:dyDescent="0.2">
      <c r="H70" s="129"/>
    </row>
    <row r="71" spans="8:8" x14ac:dyDescent="0.2">
      <c r="H71" s="129"/>
    </row>
    <row r="72" spans="8:8" x14ac:dyDescent="0.2">
      <c r="H72" s="129"/>
    </row>
    <row r="73" spans="8:8" x14ac:dyDescent="0.2">
      <c r="H73" s="129"/>
    </row>
    <row r="74" spans="8:8" x14ac:dyDescent="0.2">
      <c r="H74" s="129"/>
    </row>
    <row r="75" spans="8:8" x14ac:dyDescent="0.2">
      <c r="H75" s="129"/>
    </row>
    <row r="76" spans="8:8" x14ac:dyDescent="0.2">
      <c r="H76" s="129"/>
    </row>
    <row r="77" spans="8:8" x14ac:dyDescent="0.2">
      <c r="H77" s="129"/>
    </row>
    <row r="78" spans="8:8" x14ac:dyDescent="0.2">
      <c r="H78" s="129"/>
    </row>
    <row r="79" spans="8:8" x14ac:dyDescent="0.2">
      <c r="H79" s="129"/>
    </row>
    <row r="80" spans="8:8" x14ac:dyDescent="0.2">
      <c r="H80" s="129"/>
    </row>
    <row r="81" spans="8:8" x14ac:dyDescent="0.2">
      <c r="H81" s="129"/>
    </row>
    <row r="82" spans="8:8" x14ac:dyDescent="0.2">
      <c r="H82" s="129"/>
    </row>
    <row r="83" spans="8:8" x14ac:dyDescent="0.2">
      <c r="H83" s="129"/>
    </row>
    <row r="84" spans="8:8" x14ac:dyDescent="0.2">
      <c r="H84" s="129"/>
    </row>
    <row r="85" spans="8:8" x14ac:dyDescent="0.2">
      <c r="H85" s="129"/>
    </row>
    <row r="86" spans="8:8" x14ac:dyDescent="0.2">
      <c r="H86" s="129"/>
    </row>
    <row r="87" spans="8:8" x14ac:dyDescent="0.2">
      <c r="H87" s="129"/>
    </row>
    <row r="88" spans="8:8" x14ac:dyDescent="0.2">
      <c r="H88" s="129"/>
    </row>
    <row r="89" spans="8:8" x14ac:dyDescent="0.2">
      <c r="H89" s="129"/>
    </row>
    <row r="90" spans="8:8" x14ac:dyDescent="0.2">
      <c r="H90" s="129"/>
    </row>
    <row r="91" spans="8:8" x14ac:dyDescent="0.2">
      <c r="H91" s="129"/>
    </row>
    <row r="92" spans="8:8" x14ac:dyDescent="0.2">
      <c r="H92" s="129"/>
    </row>
    <row r="93" spans="8:8" x14ac:dyDescent="0.2">
      <c r="H93" s="129"/>
    </row>
    <row r="94" spans="8:8" x14ac:dyDescent="0.2">
      <c r="H94" s="129"/>
    </row>
    <row r="95" spans="8:8" x14ac:dyDescent="0.2">
      <c r="H95" s="129"/>
    </row>
    <row r="96" spans="8:8" x14ac:dyDescent="0.2">
      <c r="H96" s="129"/>
    </row>
    <row r="97" spans="8:8" x14ac:dyDescent="0.2">
      <c r="H97" s="129"/>
    </row>
    <row r="98" spans="8:8" x14ac:dyDescent="0.2">
      <c r="H98" s="129"/>
    </row>
    <row r="99" spans="8:8" x14ac:dyDescent="0.2">
      <c r="H99" s="129"/>
    </row>
    <row r="100" spans="8:8" x14ac:dyDescent="0.2">
      <c r="H100" s="129"/>
    </row>
    <row r="101" spans="8:8" x14ac:dyDescent="0.2">
      <c r="H101" s="129"/>
    </row>
    <row r="102" spans="8:8" x14ac:dyDescent="0.2">
      <c r="H102" s="129"/>
    </row>
    <row r="103" spans="8:8" x14ac:dyDescent="0.2">
      <c r="H103" s="129"/>
    </row>
    <row r="104" spans="8:8" x14ac:dyDescent="0.2">
      <c r="H104" s="129"/>
    </row>
    <row r="105" spans="8:8" x14ac:dyDescent="0.2">
      <c r="H105" s="129"/>
    </row>
    <row r="106" spans="8:8" x14ac:dyDescent="0.2">
      <c r="H106" s="129"/>
    </row>
    <row r="107" spans="8:8" x14ac:dyDescent="0.2">
      <c r="H107" s="129"/>
    </row>
    <row r="108" spans="8:8" x14ac:dyDescent="0.2">
      <c r="H108" s="129"/>
    </row>
    <row r="109" spans="8:8" x14ac:dyDescent="0.2">
      <c r="H109" s="129"/>
    </row>
    <row r="110" spans="8:8" x14ac:dyDescent="0.2">
      <c r="H110" s="129"/>
    </row>
    <row r="111" spans="8:8" x14ac:dyDescent="0.2">
      <c r="H111" s="129"/>
    </row>
    <row r="112" spans="8:8" x14ac:dyDescent="0.2">
      <c r="H112" s="129"/>
    </row>
    <row r="113" spans="8:8" x14ac:dyDescent="0.2">
      <c r="H113" s="129"/>
    </row>
    <row r="114" spans="8:8" x14ac:dyDescent="0.2">
      <c r="H114" s="129"/>
    </row>
    <row r="115" spans="8:8" x14ac:dyDescent="0.2">
      <c r="H115" s="129"/>
    </row>
    <row r="116" spans="8:8" x14ac:dyDescent="0.2">
      <c r="H116" s="129"/>
    </row>
    <row r="117" spans="8:8" x14ac:dyDescent="0.2">
      <c r="H117" s="129"/>
    </row>
    <row r="118" spans="8:8" x14ac:dyDescent="0.2">
      <c r="H118" s="129"/>
    </row>
    <row r="119" spans="8:8" x14ac:dyDescent="0.2">
      <c r="H119" s="129"/>
    </row>
    <row r="120" spans="8:8" x14ac:dyDescent="0.2">
      <c r="H120" s="129"/>
    </row>
    <row r="121" spans="8:8" x14ac:dyDescent="0.2">
      <c r="H121" s="129"/>
    </row>
    <row r="122" spans="8:8" x14ac:dyDescent="0.2">
      <c r="H122" s="129"/>
    </row>
    <row r="123" spans="8:8" x14ac:dyDescent="0.2">
      <c r="H123" s="129"/>
    </row>
    <row r="124" spans="8:8" x14ac:dyDescent="0.2">
      <c r="H124" s="129"/>
    </row>
    <row r="125" spans="8:8" x14ac:dyDescent="0.2">
      <c r="H125" s="129"/>
    </row>
    <row r="126" spans="8:8" x14ac:dyDescent="0.2">
      <c r="H126" s="129"/>
    </row>
    <row r="127" spans="8:8" x14ac:dyDescent="0.2">
      <c r="H127" s="129"/>
    </row>
    <row r="128" spans="8:8" x14ac:dyDescent="0.2">
      <c r="H128" s="129"/>
    </row>
    <row r="129" spans="8:8" x14ac:dyDescent="0.2">
      <c r="H129" s="129"/>
    </row>
    <row r="130" spans="8:8" x14ac:dyDescent="0.2">
      <c r="H130" s="129"/>
    </row>
    <row r="131" spans="8:8" x14ac:dyDescent="0.2">
      <c r="H131" s="129"/>
    </row>
    <row r="132" spans="8:8" x14ac:dyDescent="0.2">
      <c r="H132" s="129"/>
    </row>
    <row r="133" spans="8:8" x14ac:dyDescent="0.2">
      <c r="H133" s="129"/>
    </row>
    <row r="134" spans="8:8" x14ac:dyDescent="0.2">
      <c r="H134" s="129"/>
    </row>
    <row r="135" spans="8:8" x14ac:dyDescent="0.2">
      <c r="H135" s="129"/>
    </row>
    <row r="136" spans="8:8" x14ac:dyDescent="0.2">
      <c r="H136" s="129"/>
    </row>
    <row r="137" spans="8:8" x14ac:dyDescent="0.2">
      <c r="H137" s="129"/>
    </row>
    <row r="138" spans="8:8" x14ac:dyDescent="0.2">
      <c r="H138" s="129"/>
    </row>
    <row r="139" spans="8:8" x14ac:dyDescent="0.2">
      <c r="H139" s="129"/>
    </row>
    <row r="140" spans="8:8" x14ac:dyDescent="0.2">
      <c r="H140" s="129"/>
    </row>
    <row r="141" spans="8:8" x14ac:dyDescent="0.2">
      <c r="H141" s="129"/>
    </row>
    <row r="142" spans="8:8" x14ac:dyDescent="0.2">
      <c r="H142" s="129"/>
    </row>
    <row r="143" spans="8:8" x14ac:dyDescent="0.2">
      <c r="H143" s="129"/>
    </row>
    <row r="144" spans="8:8" x14ac:dyDescent="0.2">
      <c r="H144" s="129"/>
    </row>
    <row r="145" spans="8:8" x14ac:dyDescent="0.2">
      <c r="H145" s="129"/>
    </row>
    <row r="146" spans="8:8" x14ac:dyDescent="0.2">
      <c r="H146" s="129"/>
    </row>
    <row r="147" spans="8:8" x14ac:dyDescent="0.2">
      <c r="H147" s="129"/>
    </row>
    <row r="148" spans="8:8" x14ac:dyDescent="0.2">
      <c r="H148" s="129"/>
    </row>
    <row r="149" spans="8:8" x14ac:dyDescent="0.2">
      <c r="H149" s="129"/>
    </row>
    <row r="150" spans="8:8" x14ac:dyDescent="0.2">
      <c r="H150" s="129"/>
    </row>
    <row r="151" spans="8:8" x14ac:dyDescent="0.2">
      <c r="H151" s="129"/>
    </row>
    <row r="152" spans="8:8" x14ac:dyDescent="0.2">
      <c r="H152" s="129"/>
    </row>
    <row r="153" spans="8:8" x14ac:dyDescent="0.2">
      <c r="H153" s="129"/>
    </row>
    <row r="154" spans="8:8" x14ac:dyDescent="0.2">
      <c r="H154" s="129"/>
    </row>
    <row r="155" spans="8:8" x14ac:dyDescent="0.2">
      <c r="H155" s="129"/>
    </row>
    <row r="156" spans="8:8" x14ac:dyDescent="0.2">
      <c r="H156" s="129"/>
    </row>
    <row r="157" spans="8:8" x14ac:dyDescent="0.2">
      <c r="H157" s="129"/>
    </row>
    <row r="158" spans="8:8" x14ac:dyDescent="0.2">
      <c r="H158" s="129"/>
    </row>
    <row r="159" spans="8:8" x14ac:dyDescent="0.2">
      <c r="H159" s="129"/>
    </row>
    <row r="160" spans="8:8" x14ac:dyDescent="0.2">
      <c r="H160" s="129"/>
    </row>
    <row r="161" spans="8:8" x14ac:dyDescent="0.2">
      <c r="H161" s="129"/>
    </row>
    <row r="162" spans="8:8" x14ac:dyDescent="0.2">
      <c r="H162" s="129"/>
    </row>
    <row r="163" spans="8:8" x14ac:dyDescent="0.2">
      <c r="H163" s="129"/>
    </row>
    <row r="164" spans="8:8" x14ac:dyDescent="0.2">
      <c r="H164" s="129"/>
    </row>
    <row r="165" spans="8:8" x14ac:dyDescent="0.2">
      <c r="H165" s="129"/>
    </row>
    <row r="166" spans="8:8" x14ac:dyDescent="0.2">
      <c r="H166" s="129"/>
    </row>
    <row r="167" spans="8:8" x14ac:dyDescent="0.2">
      <c r="H167" s="129"/>
    </row>
    <row r="168" spans="8:8" x14ac:dyDescent="0.2">
      <c r="H168" s="129"/>
    </row>
    <row r="169" spans="8:8" x14ac:dyDescent="0.2">
      <c r="H169" s="129"/>
    </row>
    <row r="170" spans="8:8" x14ac:dyDescent="0.2">
      <c r="H170" s="129"/>
    </row>
    <row r="171" spans="8:8" x14ac:dyDescent="0.2">
      <c r="H171" s="129"/>
    </row>
    <row r="172" spans="8:8" x14ac:dyDescent="0.2">
      <c r="H172" s="129"/>
    </row>
    <row r="173" spans="8:8" x14ac:dyDescent="0.2">
      <c r="H173" s="129"/>
    </row>
    <row r="174" spans="8:8" x14ac:dyDescent="0.2">
      <c r="H174" s="129"/>
    </row>
    <row r="175" spans="8:8" x14ac:dyDescent="0.2">
      <c r="H175" s="129"/>
    </row>
    <row r="176" spans="8:8" x14ac:dyDescent="0.2">
      <c r="H176" s="129"/>
    </row>
    <row r="177" spans="1:12" x14ac:dyDescent="0.2">
      <c r="H177" s="129"/>
    </row>
    <row r="178" spans="1:12" x14ac:dyDescent="0.2">
      <c r="H178" s="129"/>
    </row>
    <row r="179" spans="1:12" x14ac:dyDescent="0.2">
      <c r="H179" s="129"/>
    </row>
    <row r="180" spans="1:12" x14ac:dyDescent="0.2">
      <c r="H180" s="129"/>
    </row>
    <row r="181" spans="1:12" x14ac:dyDescent="0.2">
      <c r="H181" s="129"/>
    </row>
    <row r="182" spans="1:12" x14ac:dyDescent="0.2">
      <c r="H182" s="129"/>
    </row>
    <row r="183" spans="1:12" x14ac:dyDescent="0.2">
      <c r="H183" s="129"/>
    </row>
    <row r="184" spans="1:12" x14ac:dyDescent="0.2">
      <c r="H184" s="129"/>
    </row>
    <row r="185" spans="1:12" ht="15" thickBot="1" x14ac:dyDescent="0.25">
      <c r="H185" s="129"/>
    </row>
    <row r="186" spans="1:12" ht="15.75" thickBot="1" x14ac:dyDescent="0.25">
      <c r="A186" s="5173" t="s">
        <v>355</v>
      </c>
      <c r="B186" s="1742"/>
      <c r="C186" s="5176" t="s">
        <v>356</v>
      </c>
      <c r="D186" s="5177"/>
      <c r="E186" s="5177"/>
      <c r="F186" s="5177"/>
      <c r="G186" s="5177"/>
      <c r="H186" s="5177"/>
      <c r="I186" s="5177"/>
      <c r="J186" s="5177"/>
      <c r="K186" s="5177"/>
      <c r="L186" s="5178"/>
    </row>
    <row r="187" spans="1:12" ht="15.75" thickBot="1" x14ac:dyDescent="0.25">
      <c r="A187" s="5194"/>
      <c r="B187" s="1743"/>
      <c r="C187" s="171"/>
      <c r="D187" s="172"/>
      <c r="E187" s="172"/>
      <c r="F187" s="172"/>
      <c r="G187" s="172"/>
      <c r="H187" s="176" t="s">
        <v>357</v>
      </c>
      <c r="I187" s="34"/>
      <c r="J187" s="35"/>
      <c r="K187" s="177"/>
      <c r="L187" s="179"/>
    </row>
    <row r="188" spans="1:12" ht="15" x14ac:dyDescent="0.2">
      <c r="A188" s="5194"/>
      <c r="B188" s="1743"/>
      <c r="C188" s="180"/>
      <c r="D188" s="181"/>
      <c r="E188" s="181"/>
      <c r="F188" s="181"/>
      <c r="G188" s="181"/>
      <c r="H188" s="185" t="s">
        <v>358</v>
      </c>
      <c r="I188" s="186"/>
      <c r="J188" s="187"/>
      <c r="K188" s="188"/>
      <c r="L188" s="190"/>
    </row>
    <row r="189" spans="1:12" ht="15" x14ac:dyDescent="0.2">
      <c r="A189" s="5194"/>
      <c r="B189" s="1743"/>
      <c r="C189" s="191"/>
      <c r="D189" s="192"/>
      <c r="E189" s="192"/>
      <c r="F189" s="192"/>
      <c r="G189" s="192"/>
      <c r="H189" s="196" t="s">
        <v>359</v>
      </c>
      <c r="I189" s="19"/>
      <c r="J189" s="20"/>
      <c r="K189" s="197"/>
      <c r="L189" s="179"/>
    </row>
    <row r="190" spans="1:12" ht="15.75" thickBot="1" x14ac:dyDescent="0.25">
      <c r="A190" s="5194"/>
      <c r="B190" s="1743"/>
      <c r="C190" s="199"/>
      <c r="D190" s="200"/>
      <c r="E190" s="200"/>
      <c r="F190" s="200"/>
      <c r="G190" s="200"/>
      <c r="H190" s="204" t="s">
        <v>360</v>
      </c>
      <c r="I190" s="38"/>
      <c r="J190" s="39"/>
      <c r="K190" s="205"/>
      <c r="L190" s="207"/>
    </row>
    <row r="191" spans="1:12" ht="15.75" thickBot="1" x14ac:dyDescent="0.25">
      <c r="A191" s="5195"/>
      <c r="B191" s="1744"/>
      <c r="C191" s="208"/>
      <c r="D191" s="209"/>
      <c r="E191" s="209"/>
      <c r="F191" s="209"/>
      <c r="G191" s="209"/>
      <c r="H191" s="213" t="s">
        <v>361</v>
      </c>
      <c r="I191" s="214"/>
      <c r="J191" s="215"/>
      <c r="K191" s="216"/>
      <c r="L191" s="218"/>
    </row>
  </sheetData>
  <mergeCells count="5">
    <mergeCell ref="D9:G9"/>
    <mergeCell ref="I9:L9"/>
    <mergeCell ref="A11:A15"/>
    <mergeCell ref="A186:A191"/>
    <mergeCell ref="C186:L186"/>
  </mergeCells>
  <hyperlinks>
    <hyperlink ref="A1" location="Index!A1" display="Til index" xr:uid="{858169E1-B633-4A91-BA01-EC9693E1F0BA}"/>
  </hyperlinks>
  <pageMargins left="0.7" right="0.7" top="0.75" bottom="0.75" header="0.3" footer="0.3"/>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FBEAF-B09A-41CB-BE5D-B44E2FF080FB}">
  <sheetPr codeName="Ark131">
    <tabColor theme="8" tint="0.39997558519241921"/>
  </sheetPr>
  <dimension ref="A1:S207"/>
  <sheetViews>
    <sheetView showGridLines="0" topLeftCell="A2" zoomScale="80" zoomScaleNormal="80" workbookViewId="0">
      <selection activeCell="R2" sqref="R2"/>
    </sheetView>
  </sheetViews>
  <sheetFormatPr defaultColWidth="9.140625" defaultRowHeight="14.25" x14ac:dyDescent="0.2"/>
  <cols>
    <col min="1" max="1" width="9.140625" style="129"/>
    <col min="2" max="2" width="9.5703125" style="129" customWidth="1"/>
    <col min="3" max="4" width="8.5703125" style="129" customWidth="1"/>
    <col min="5" max="5" width="11.85546875" style="129" customWidth="1"/>
    <col min="6" max="6" width="18.42578125" style="129" bestFit="1" customWidth="1"/>
    <col min="7" max="8" width="9.140625" style="129"/>
    <col min="9" max="9" width="18.7109375" style="129" bestFit="1" customWidth="1"/>
    <col min="10" max="10" width="64.5703125" style="132" customWidth="1"/>
    <col min="11" max="11" width="10.5703125" style="129" customWidth="1"/>
    <col min="12" max="13" width="9.140625" style="129"/>
    <col min="14" max="14" width="18.5703125" style="129" bestFit="1" customWidth="1"/>
    <col min="15" max="15" width="10.5703125" style="129" customWidth="1"/>
    <col min="16" max="16384" width="9.140625" style="129"/>
  </cols>
  <sheetData>
    <row r="1" spans="1:16" ht="21.75" thickBot="1" x14ac:dyDescent="0.4">
      <c r="A1" s="1740" t="s">
        <v>4206</v>
      </c>
      <c r="J1" s="129"/>
    </row>
    <row r="2" spans="1:16" x14ac:dyDescent="0.2">
      <c r="C2" s="251" t="s">
        <v>320</v>
      </c>
      <c r="D2" s="252"/>
      <c r="E2" s="253"/>
      <c r="F2" s="148">
        <f>'Dyrehold 2018'!G2</f>
        <v>2018</v>
      </c>
      <c r="G2" s="10"/>
      <c r="H2" s="10"/>
      <c r="I2" s="10"/>
    </row>
    <row r="3" spans="1:16" ht="15" thickBot="1" x14ac:dyDescent="0.25">
      <c r="C3" s="254" t="s">
        <v>428</v>
      </c>
      <c r="D3" s="149" t="s">
        <v>226</v>
      </c>
      <c r="E3" s="149"/>
      <c r="F3" s="150"/>
      <c r="G3" s="151"/>
      <c r="H3" s="151"/>
      <c r="I3" s="151"/>
      <c r="J3" s="1746" t="s">
        <v>222</v>
      </c>
    </row>
    <row r="4" spans="1:16" ht="27.75" x14ac:dyDescent="0.2">
      <c r="G4" s="10"/>
      <c r="H4" s="10"/>
      <c r="I4" s="10"/>
      <c r="J4" s="152" t="s">
        <v>429</v>
      </c>
    </row>
    <row r="5" spans="1:16" x14ac:dyDescent="0.2">
      <c r="G5" s="10"/>
      <c r="H5" s="10"/>
      <c r="I5" s="10"/>
      <c r="J5" s="1745" t="str">
        <f>'Dyrehold 2018'!U4</f>
        <v>Læsø Kommune 2018</v>
      </c>
    </row>
    <row r="6" spans="1:16" x14ac:dyDescent="0.2">
      <c r="G6" s="10"/>
      <c r="H6" s="10"/>
      <c r="I6" s="10"/>
      <c r="J6" s="129"/>
    </row>
    <row r="7" spans="1:16" ht="21" x14ac:dyDescent="0.35">
      <c r="A7" s="1740"/>
      <c r="J7" s="129"/>
    </row>
    <row r="8" spans="1:16" x14ac:dyDescent="0.2">
      <c r="J8" s="129"/>
    </row>
    <row r="9" spans="1:16" ht="15" thickBot="1" x14ac:dyDescent="0.25">
      <c r="C9" s="5169" t="s">
        <v>430</v>
      </c>
      <c r="D9" s="5170"/>
      <c r="E9" s="5170"/>
      <c r="F9" s="5170"/>
      <c r="G9" s="5170"/>
      <c r="H9" s="5170"/>
      <c r="I9" s="5171"/>
      <c r="J9" s="155" t="s">
        <v>327</v>
      </c>
      <c r="K9" s="5169" t="s">
        <v>328</v>
      </c>
      <c r="L9" s="5170"/>
      <c r="M9" s="5170"/>
      <c r="N9" s="5170"/>
      <c r="O9" s="5171"/>
    </row>
    <row r="10" spans="1:16" ht="130.5" customHeight="1" thickBot="1" x14ac:dyDescent="0.25">
      <c r="C10" s="156" t="s">
        <v>431</v>
      </c>
      <c r="D10" s="157" t="s">
        <v>300</v>
      </c>
      <c r="E10" s="157" t="s">
        <v>301</v>
      </c>
      <c r="F10" s="157" t="s">
        <v>302</v>
      </c>
      <c r="G10" s="157" t="s">
        <v>303</v>
      </c>
      <c r="H10" s="157" t="s">
        <v>304</v>
      </c>
      <c r="I10" s="158" t="s">
        <v>305</v>
      </c>
      <c r="J10" s="255"/>
      <c r="K10" s="162" t="s">
        <v>345</v>
      </c>
      <c r="L10" s="157" t="s">
        <v>432</v>
      </c>
      <c r="M10" s="157" t="s">
        <v>433</v>
      </c>
      <c r="N10" s="157" t="s">
        <v>434</v>
      </c>
      <c r="O10" s="163" t="s">
        <v>349</v>
      </c>
    </row>
    <row r="11" spans="1:16" x14ac:dyDescent="0.2">
      <c r="B11" s="5172"/>
      <c r="C11" s="593"/>
      <c r="D11" s="594"/>
      <c r="E11" s="594"/>
      <c r="F11" s="594"/>
      <c r="G11" s="594"/>
      <c r="H11" s="594"/>
      <c r="I11" s="595"/>
      <c r="J11" s="583" t="s">
        <v>4210</v>
      </c>
      <c r="K11" s="1748">
        <f>'K15 2018'!H9</f>
        <v>0</v>
      </c>
      <c r="L11" s="26"/>
      <c r="M11" s="26"/>
      <c r="N11" s="596"/>
      <c r="O11" s="528">
        <f>+K11+L11*'Grafer-klima-&gt;VÆLG GWP og NIR&lt;-'!$E$8+'Industrielle processer 2018'!M11*'Grafer-klima-&gt;VÆLG GWP og NIR&lt;-'!$F$8+'Industrielle processer 2018'!N11</f>
        <v>0</v>
      </c>
      <c r="P11" s="512"/>
    </row>
    <row r="12" spans="1:16" x14ac:dyDescent="0.2">
      <c r="B12" s="5172"/>
      <c r="C12" s="565"/>
      <c r="D12" s="597"/>
      <c r="E12" s="597"/>
      <c r="F12" s="597"/>
      <c r="G12" s="597"/>
      <c r="H12" s="597"/>
      <c r="I12" s="598"/>
      <c r="J12" s="93" t="s">
        <v>435</v>
      </c>
      <c r="K12" s="302"/>
      <c r="L12" s="24"/>
      <c r="M12" s="24"/>
      <c r="N12" s="516"/>
      <c r="O12" s="528">
        <f>+K12+L12*'Grafer-klima-&gt;VÆLG GWP og NIR&lt;-'!$E$8+'Industrielle processer 2018'!M12*'Grafer-klima-&gt;VÆLG GWP og NIR&lt;-'!$F$8+'Industrielle processer 2018'!N12</f>
        <v>0</v>
      </c>
      <c r="P12" s="512"/>
    </row>
    <row r="13" spans="1:16" x14ac:dyDescent="0.2">
      <c r="B13" s="5172"/>
      <c r="C13" s="599"/>
      <c r="D13" s="597"/>
      <c r="E13" s="597"/>
      <c r="F13" s="597"/>
      <c r="G13" s="597"/>
      <c r="H13" s="597"/>
      <c r="I13" s="598"/>
      <c r="J13" s="93" t="s">
        <v>436</v>
      </c>
      <c r="K13" s="302"/>
      <c r="L13" s="24"/>
      <c r="M13" s="24"/>
      <c r="N13" s="516"/>
      <c r="O13" s="528">
        <f>+K13+L13*'Grafer-klima-&gt;VÆLG GWP og NIR&lt;-'!$E$8+'Industrielle processer 2018'!M13*'Grafer-klima-&gt;VÆLG GWP og NIR&lt;-'!$F$8+'Industrielle processer 2018'!N13</f>
        <v>0</v>
      </c>
      <c r="P13" s="512"/>
    </row>
    <row r="14" spans="1:16" x14ac:dyDescent="0.2">
      <c r="B14" s="5172"/>
      <c r="C14" s="599"/>
      <c r="D14" s="597"/>
      <c r="E14" s="597"/>
      <c r="F14" s="597"/>
      <c r="G14" s="597"/>
      <c r="H14" s="597"/>
      <c r="I14" s="598"/>
      <c r="J14" s="93" t="s">
        <v>4209</v>
      </c>
      <c r="L14" s="24"/>
      <c r="M14" s="24"/>
      <c r="N14" s="516"/>
      <c r="O14" s="528">
        <f>+K14+L14*'Grafer-klima-&gt;VÆLG GWP og NIR&lt;-'!$E$8+'Industrielle processer 2018'!M14*'Grafer-klima-&gt;VÆLG GWP og NIR&lt;-'!$F$8+'Industrielle processer 2018'!N14</f>
        <v>0</v>
      </c>
      <c r="P14" s="512"/>
    </row>
    <row r="15" spans="1:16" x14ac:dyDescent="0.2">
      <c r="B15" s="5172"/>
      <c r="C15" s="599">
        <f>'K15 2018'!D16</f>
        <v>14.03856264886641</v>
      </c>
      <c r="D15" s="597"/>
      <c r="E15" s="597"/>
      <c r="F15" s="597"/>
      <c r="G15" s="597"/>
      <c r="H15" s="597"/>
      <c r="I15" s="598"/>
      <c r="J15" s="93" t="s">
        <v>437</v>
      </c>
      <c r="K15" s="302">
        <f>'K15 2018'!H16</f>
        <v>5.8248804142676507</v>
      </c>
      <c r="L15" s="24"/>
      <c r="M15" s="24"/>
      <c r="N15" s="516"/>
      <c r="O15" s="528">
        <f>+K15+L15*'Grafer-klima-&gt;VÆLG GWP og NIR&lt;-'!$E$8+'Industrielle processer 2018'!M15*'Grafer-klima-&gt;VÆLG GWP og NIR&lt;-'!$F$8+'Industrielle processer 2018'!N15</f>
        <v>5.8248804142676507</v>
      </c>
      <c r="P15" s="512"/>
    </row>
    <row r="16" spans="1:16" x14ac:dyDescent="0.2">
      <c r="C16" s="565"/>
      <c r="D16" s="516"/>
      <c r="E16" s="516"/>
      <c r="F16" s="516"/>
      <c r="G16" s="516"/>
      <c r="H16" s="516"/>
      <c r="I16" s="566"/>
      <c r="J16" s="93" t="s">
        <v>438</v>
      </c>
      <c r="K16" s="571"/>
      <c r="L16" s="516"/>
      <c r="M16" s="516"/>
      <c r="N16" s="516"/>
      <c r="O16" s="528">
        <f>+K16+L16*'Grafer-klima-&gt;VÆLG GWP og NIR&lt;-'!$E$8+'Industrielle processer 2018'!M16*'Grafer-klima-&gt;VÆLG GWP og NIR&lt;-'!$F$8+'Industrielle processer 2018'!N16</f>
        <v>0</v>
      </c>
      <c r="P16" s="512"/>
    </row>
    <row r="17" spans="3:16" x14ac:dyDescent="0.2">
      <c r="C17" s="600"/>
      <c r="D17" s="576"/>
      <c r="E17" s="576"/>
      <c r="F17" s="576"/>
      <c r="G17" s="576"/>
      <c r="H17" s="576"/>
      <c r="I17" s="601"/>
      <c r="J17" s="94" t="s">
        <v>439</v>
      </c>
      <c r="K17" s="575"/>
      <c r="L17" s="576"/>
      <c r="M17" s="576"/>
      <c r="N17" s="576"/>
      <c r="O17" s="528">
        <f>+K17+L17*'Grafer-klima-&gt;VÆLG GWP og NIR&lt;-'!$E$8+'Industrielle processer 2018'!M17*'Grafer-klima-&gt;VÆLG GWP og NIR&lt;-'!$F$8+'Industrielle processer 2018'!N17</f>
        <v>0</v>
      </c>
      <c r="P17" s="512"/>
    </row>
    <row r="18" spans="3:16" x14ac:dyDescent="0.2">
      <c r="C18" s="565"/>
      <c r="D18" s="516"/>
      <c r="E18" s="516"/>
      <c r="F18" s="516"/>
      <c r="G18" s="516"/>
      <c r="H18" s="516"/>
      <c r="I18" s="566"/>
      <c r="J18" s="93" t="s">
        <v>440</v>
      </c>
      <c r="K18" s="571"/>
      <c r="L18" s="516"/>
      <c r="M18" s="516"/>
      <c r="N18" s="516"/>
      <c r="O18" s="528">
        <f>+K18+L18*'Grafer-klima-&gt;VÆLG GWP og NIR&lt;-'!$E$8+'Industrielle processer 2018'!M18*'Grafer-klima-&gt;VÆLG GWP og NIR&lt;-'!$F$8+'Industrielle processer 2018'!N18</f>
        <v>0</v>
      </c>
      <c r="P18" s="512"/>
    </row>
    <row r="19" spans="3:16" ht="15" thickBot="1" x14ac:dyDescent="0.25">
      <c r="C19" s="1703"/>
      <c r="D19" s="602"/>
      <c r="E19" s="602"/>
      <c r="F19" s="602"/>
      <c r="G19" s="602"/>
      <c r="H19" s="602"/>
      <c r="I19" s="603"/>
      <c r="J19" s="604" t="s">
        <v>441</v>
      </c>
      <c r="L19" s="602"/>
      <c r="M19" s="602"/>
      <c r="N19" s="602"/>
      <c r="O19" s="1749">
        <f>+K19+L19*'Grafer-klima-&gt;VÆLG GWP og NIR&lt;-'!$E$8+'Industrielle processer 2018'!M19*'Grafer-klima-&gt;VÆLG GWP og NIR&lt;-'!$F$8+'Industrielle processer 2018'!N19</f>
        <v>0</v>
      </c>
      <c r="P19" s="512"/>
    </row>
    <row r="20" spans="3:16" x14ac:dyDescent="0.2">
      <c r="C20" s="580"/>
      <c r="D20" s="522">
        <f>'K15 2018'!C29</f>
        <v>18.536066277012171</v>
      </c>
      <c r="E20" s="522"/>
      <c r="F20" s="522"/>
      <c r="G20" s="522"/>
      <c r="H20" s="522"/>
      <c r="I20" s="581"/>
      <c r="J20" s="583" t="s">
        <v>442</v>
      </c>
      <c r="K20" s="580">
        <f>'K15 2018'!L29</f>
        <v>0.4467191972759933</v>
      </c>
      <c r="L20" s="522"/>
      <c r="M20" s="522"/>
      <c r="N20" s="522"/>
      <c r="O20" s="514">
        <f>+K20+L20*'Grafer-klima-&gt;VÆLG GWP og NIR&lt;-'!$E$8+'Industrielle processer 2018'!M20*'Grafer-klima-&gt;VÆLG GWP og NIR&lt;-'!$F$8+'Industrielle processer 2018'!N20</f>
        <v>0.4467191972759933</v>
      </c>
      <c r="P20" s="512"/>
    </row>
    <row r="21" spans="3:16" x14ac:dyDescent="0.2">
      <c r="C21" s="565"/>
      <c r="D21" s="516"/>
      <c r="E21" s="516"/>
      <c r="F21" s="516"/>
      <c r="G21" s="516"/>
      <c r="H21" s="516"/>
      <c r="I21" s="566"/>
      <c r="J21" s="93" t="s">
        <v>443</v>
      </c>
      <c r="K21" s="565"/>
      <c r="L21" s="516"/>
      <c r="M21" s="516"/>
      <c r="N21" s="516"/>
      <c r="O21" s="528">
        <f>+K21+L21*'Grafer-klima-&gt;VÆLG GWP og NIR&lt;-'!$E$8+'Industrielle processer 2018'!M21*'Grafer-klima-&gt;VÆLG GWP og NIR&lt;-'!$F$8+'Industrielle processer 2018'!N21</f>
        <v>0</v>
      </c>
      <c r="P21" s="512"/>
    </row>
    <row r="22" spans="3:16" x14ac:dyDescent="0.2">
      <c r="C22" s="565"/>
      <c r="D22" s="516"/>
      <c r="E22" s="516"/>
      <c r="F22" s="516"/>
      <c r="G22" s="516"/>
      <c r="H22" s="516"/>
      <c r="I22" s="566"/>
      <c r="J22" s="93" t="s">
        <v>444</v>
      </c>
      <c r="K22" s="565"/>
      <c r="L22" s="516"/>
      <c r="M22" s="516"/>
      <c r="N22" s="516"/>
      <c r="O22" s="528">
        <f>+K22+L22*'Grafer-klima-&gt;VÆLG GWP og NIR&lt;-'!$E$8+'Industrielle processer 2018'!M22*'Grafer-klima-&gt;VÆLG GWP og NIR&lt;-'!$F$8+'Industrielle processer 2018'!N22</f>
        <v>0</v>
      </c>
      <c r="P22" s="512"/>
    </row>
    <row r="23" spans="3:16" ht="15" thickBot="1" x14ac:dyDescent="0.25">
      <c r="C23" s="605"/>
      <c r="D23" s="606"/>
      <c r="E23" s="606"/>
      <c r="F23" s="606"/>
      <c r="G23" s="606"/>
      <c r="H23" s="606"/>
      <c r="I23" s="607"/>
      <c r="J23" s="95" t="s">
        <v>445</v>
      </c>
      <c r="K23" s="605"/>
      <c r="L23" s="606"/>
      <c r="M23" s="606"/>
      <c r="N23" s="606"/>
      <c r="O23" s="520">
        <f>+K23+L23*'Grafer-klima-&gt;VÆLG GWP og NIR&lt;-'!$E$8+'Industrielle processer 2018'!M23*'Grafer-klima-&gt;VÆLG GWP og NIR&lt;-'!$F$8+'Industrielle processer 2018'!N23</f>
        <v>0</v>
      </c>
      <c r="P23" s="512"/>
    </row>
    <row r="24" spans="3:16" ht="15" thickBot="1" x14ac:dyDescent="0.25">
      <c r="C24" s="608"/>
      <c r="D24" s="609"/>
      <c r="E24" s="609">
        <f>'K15 2018'!C36</f>
        <v>0.18691411283836026</v>
      </c>
      <c r="F24" s="609"/>
      <c r="G24" s="609"/>
      <c r="H24" s="609"/>
      <c r="I24" s="610"/>
      <c r="J24" s="611" t="s">
        <v>446</v>
      </c>
      <c r="K24" s="612">
        <f>'K15 2018'!L36</f>
        <v>3.7382822567672058E-2</v>
      </c>
      <c r="L24" s="609"/>
      <c r="M24" s="609"/>
      <c r="N24" s="609"/>
      <c r="O24" s="613">
        <f>+K24+L24*'Grafer-klima-&gt;VÆLG GWP og NIR&lt;-'!$E$8+'Industrielle processer 2018'!M24*'Grafer-klima-&gt;VÆLG GWP og NIR&lt;-'!$F$8+'Industrielle processer 2018'!N24</f>
        <v>3.7382822567672058E-2</v>
      </c>
      <c r="P24" s="512"/>
    </row>
    <row r="25" spans="3:16" x14ac:dyDescent="0.2">
      <c r="C25" s="580"/>
      <c r="D25" s="522"/>
      <c r="E25" s="522"/>
      <c r="F25" s="522">
        <f>'K15 2018'!C44</f>
        <v>16.040856640241891</v>
      </c>
      <c r="G25" s="522"/>
      <c r="H25" s="522"/>
      <c r="I25" s="581"/>
      <c r="J25" s="583" t="s">
        <v>447</v>
      </c>
      <c r="K25" s="522">
        <f>'K15 2018'!L44</f>
        <v>9.899935492658086</v>
      </c>
      <c r="L25" s="522"/>
      <c r="M25" s="522"/>
      <c r="N25" s="522"/>
      <c r="O25" s="514">
        <f>+K25+L25*'Grafer-klima-&gt;VÆLG GWP og NIR&lt;-'!$E$8+'Industrielle processer 2018'!M25*'Grafer-klima-&gt;VÆLG GWP og NIR&lt;-'!$F$8+'Industrielle processer 2018'!N25</f>
        <v>9.899935492658086</v>
      </c>
      <c r="P25" s="512"/>
    </row>
    <row r="26" spans="3:16" x14ac:dyDescent="0.2">
      <c r="C26" s="565"/>
      <c r="D26" s="516"/>
      <c r="E26" s="516"/>
      <c r="F26" s="516">
        <f>'K15 2018'!C45</f>
        <v>6.2847526201353006</v>
      </c>
      <c r="G26" s="516"/>
      <c r="H26" s="516"/>
      <c r="I26" s="566"/>
      <c r="J26" s="93" t="s">
        <v>448</v>
      </c>
      <c r="K26" s="516">
        <f>'K15 2018'!L45</f>
        <v>18.352590052008843</v>
      </c>
      <c r="L26" s="516">
        <f>F26*0.00012</f>
        <v>7.5417031441623607E-4</v>
      </c>
      <c r="M26" s="516">
        <f>F26*0.000024</f>
        <v>1.5083406288324722E-4</v>
      </c>
      <c r="N26" s="516"/>
      <c r="O26" s="528">
        <f>+K26+L26*'Grafer-klima-&gt;VÆLG GWP og NIR&lt;-'!$E$8+'Industrielle processer 2018'!M26*'Grafer-klima-&gt;VÆLG GWP og NIR&lt;-'!$F$8+'Industrielle processer 2018'!N26</f>
        <v>18.416392860608454</v>
      </c>
      <c r="P26" s="512"/>
    </row>
    <row r="27" spans="3:16" x14ac:dyDescent="0.2">
      <c r="C27" s="600"/>
      <c r="D27" s="576"/>
      <c r="E27" s="576"/>
      <c r="F27" s="576">
        <f>'K15 2018'!C46</f>
        <v>227.92372558244929</v>
      </c>
      <c r="G27" s="576"/>
      <c r="H27" s="576"/>
      <c r="I27" s="601"/>
      <c r="J27" s="93" t="s">
        <v>449</v>
      </c>
      <c r="K27" s="576">
        <f>'K15 2018'!L46</f>
        <v>18.975784579889968</v>
      </c>
      <c r="L27" s="576"/>
      <c r="M27" s="576"/>
      <c r="N27" s="576"/>
      <c r="O27" s="528">
        <f>+K27+L27*'Grafer-klima-&gt;VÆLG GWP og NIR&lt;-'!$E$8+'Industrielle processer 2018'!M27*'Grafer-klima-&gt;VÆLG GWP og NIR&lt;-'!$F$8+'Industrielle processer 2018'!N27</f>
        <v>18.975784579889968</v>
      </c>
      <c r="P27" s="512"/>
    </row>
    <row r="28" spans="3:16" x14ac:dyDescent="0.2">
      <c r="C28" s="600"/>
      <c r="D28" s="576"/>
      <c r="E28" s="576"/>
      <c r="F28" s="576">
        <f>'K15 2018'!C47</f>
        <v>1278.1124522805858</v>
      </c>
      <c r="G28" s="576"/>
      <c r="H28" s="576"/>
      <c r="I28" s="601"/>
      <c r="J28" s="93" t="s">
        <v>450</v>
      </c>
      <c r="K28" s="576">
        <f>'K15 2018'!L47</f>
        <v>0.43455823377539921</v>
      </c>
      <c r="L28" s="576">
        <f>F28*0.0000044</f>
        <v>5.623694790034578E-3</v>
      </c>
      <c r="M28" s="576"/>
      <c r="N28" s="576"/>
      <c r="O28" s="528">
        <f>+K28+L28*'Grafer-klima-&gt;VÆLG GWP og NIR&lt;-'!$E$8+'Industrielle processer 2018'!M28*'Grafer-klima-&gt;VÆLG GWP og NIR&lt;-'!$F$8+'Industrielle processer 2018'!N28</f>
        <v>0.57515060352626368</v>
      </c>
      <c r="P28" s="512"/>
    </row>
    <row r="29" spans="3:16" x14ac:dyDescent="0.2">
      <c r="C29" s="600"/>
      <c r="D29" s="576"/>
      <c r="E29" s="576"/>
      <c r="F29" s="576">
        <f>'K15 2018'!C48</f>
        <v>18.375407658284885</v>
      </c>
      <c r="G29" s="576"/>
      <c r="H29" s="576"/>
      <c r="I29" s="601"/>
      <c r="J29" s="93" t="s">
        <v>451</v>
      </c>
      <c r="K29" s="576">
        <f>'K15 2018'!L48</f>
        <v>7.3501630633139546E-3</v>
      </c>
      <c r="L29" s="576"/>
      <c r="M29" s="576"/>
      <c r="N29" s="576"/>
      <c r="O29" s="528">
        <f>+K29+L29*'Grafer-klima-&gt;VÆLG GWP og NIR&lt;-'!$E$8+'Industrielle processer 2018'!M29*'Grafer-klima-&gt;VÆLG GWP og NIR&lt;-'!$F$8+'Industrielle processer 2018'!N29</f>
        <v>7.3501630633139546E-3</v>
      </c>
      <c r="P29" s="512"/>
    </row>
    <row r="30" spans="3:16" ht="15" thickBot="1" x14ac:dyDescent="0.25">
      <c r="C30" s="605"/>
      <c r="D30" s="606"/>
      <c r="E30" s="606"/>
      <c r="F30" s="606">
        <f>'K15 2018'!C49</f>
        <v>11.718251241037967</v>
      </c>
      <c r="G30" s="606"/>
      <c r="H30" s="606"/>
      <c r="I30" s="607"/>
      <c r="J30" s="95" t="s">
        <v>452</v>
      </c>
      <c r="K30" s="606">
        <f>'K15 2018'!L49</f>
        <v>2.7951791951099367</v>
      </c>
      <c r="L30" s="606"/>
      <c r="M30" s="606"/>
      <c r="N30" s="606"/>
      <c r="O30" s="520">
        <f>+K30+L30*'Grafer-klima-&gt;VÆLG GWP og NIR&lt;-'!$E$8+'Industrielle processer 2018'!M30*'Grafer-klima-&gt;VÆLG GWP og NIR&lt;-'!$F$8+'Industrielle processer 2018'!N30</f>
        <v>2.7951791951099367</v>
      </c>
      <c r="P30" s="512"/>
    </row>
    <row r="31" spans="3:16" x14ac:dyDescent="0.2">
      <c r="C31" s="580"/>
      <c r="D31" s="522"/>
      <c r="E31" s="522"/>
      <c r="F31" s="522"/>
      <c r="G31" s="522"/>
      <c r="H31" s="522"/>
      <c r="I31" s="581"/>
      <c r="J31" s="583" t="s">
        <v>453</v>
      </c>
      <c r="K31" s="584"/>
      <c r="L31" s="522"/>
      <c r="M31" s="522"/>
      <c r="N31" s="522"/>
      <c r="O31" s="514">
        <f>+K31+L31*'Grafer-klima-&gt;VÆLG GWP og NIR&lt;-'!$E$8+'Industrielle processer 2018'!M31*'Grafer-klima-&gt;VÆLG GWP og NIR&lt;-'!$F$8+'Industrielle processer 2018'!N31</f>
        <v>0</v>
      </c>
      <c r="P31" s="512"/>
    </row>
    <row r="32" spans="3:16" ht="15" thickBot="1" x14ac:dyDescent="0.25">
      <c r="C32" s="605"/>
      <c r="D32" s="606"/>
      <c r="E32" s="606"/>
      <c r="F32" s="606"/>
      <c r="G32" s="606"/>
      <c r="H32" s="606"/>
      <c r="I32" s="607"/>
      <c r="J32" s="95" t="s">
        <v>454</v>
      </c>
      <c r="K32" s="592"/>
      <c r="L32" s="606"/>
      <c r="M32" s="606"/>
      <c r="N32" s="606"/>
      <c r="O32" s="520">
        <f>+K32+L32*'Grafer-klima-&gt;VÆLG GWP og NIR&lt;-'!$E$8+'Industrielle processer 2018'!M32*'Grafer-klima-&gt;VÆLG GWP og NIR&lt;-'!$F$8+'Industrielle processer 2018'!N32</f>
        <v>0</v>
      </c>
      <c r="P32" s="512"/>
    </row>
    <row r="33" spans="3:19" x14ac:dyDescent="0.2">
      <c r="C33" s="580"/>
      <c r="D33" s="522"/>
      <c r="E33" s="522"/>
      <c r="F33" s="522"/>
      <c r="G33" s="522"/>
      <c r="H33" s="522" t="s">
        <v>455</v>
      </c>
      <c r="I33" s="581"/>
      <c r="J33" s="583" t="s">
        <v>456</v>
      </c>
      <c r="K33" s="584"/>
      <c r="L33" s="522"/>
      <c r="M33" s="522"/>
      <c r="N33" s="522">
        <f>'K15 2018'!C63</f>
        <v>148.08987177465065</v>
      </c>
      <c r="O33" s="514">
        <f>+K33+L33*'Grafer-klima-&gt;VÆLG GWP og NIR&lt;-'!$E$8+M33*'Grafer-klima-&gt;VÆLG GWP og NIR&lt;-'!$F$8+N33</f>
        <v>148.08987177465065</v>
      </c>
      <c r="P33" s="512"/>
    </row>
    <row r="34" spans="3:19" x14ac:dyDescent="0.2">
      <c r="C34" s="565"/>
      <c r="D34" s="516"/>
      <c r="E34" s="516"/>
      <c r="F34" s="516"/>
      <c r="G34" s="516"/>
      <c r="H34" s="516" t="s">
        <v>455</v>
      </c>
      <c r="I34" s="566"/>
      <c r="J34" s="93" t="s">
        <v>457</v>
      </c>
      <c r="K34" s="571"/>
      <c r="L34" s="516"/>
      <c r="M34" s="516"/>
      <c r="N34" s="516">
        <f>'K15 2018'!C64</f>
        <v>0.24509096792528876</v>
      </c>
      <c r="O34" s="528">
        <f>+K34+L34*'Grafer-klima-&gt;VÆLG GWP og NIR&lt;-'!$E$8+'Industrielle processer 2018'!M34*'Grafer-klima-&gt;VÆLG GWP og NIR&lt;-'!$F$8+'Industrielle processer 2018'!N34</f>
        <v>0.24509096792528876</v>
      </c>
      <c r="P34" s="512"/>
    </row>
    <row r="35" spans="3:19" ht="15" thickBot="1" x14ac:dyDescent="0.25">
      <c r="C35" s="605"/>
      <c r="D35" s="606"/>
      <c r="E35" s="606"/>
      <c r="F35" s="606"/>
      <c r="G35" s="606"/>
      <c r="H35" s="606" t="s">
        <v>455</v>
      </c>
      <c r="I35" s="607"/>
      <c r="J35" s="95" t="s">
        <v>458</v>
      </c>
      <c r="K35" s="575"/>
      <c r="L35" s="576"/>
      <c r="M35" s="576"/>
      <c r="N35" s="576">
        <f>'K15 2018'!C65</f>
        <v>3.9926164842532383</v>
      </c>
      <c r="O35" s="520">
        <f>+K35+L35*'Grafer-klima-&gt;VÆLG GWP og NIR&lt;-'!$E$8+'Industrielle processer 2018'!M35*'Grafer-klima-&gt;VÆLG GWP og NIR&lt;-'!$F$8+'Industrielle processer 2018'!N35</f>
        <v>3.9926164842532383</v>
      </c>
      <c r="P35" s="512"/>
    </row>
    <row r="36" spans="3:19" ht="15" thickBot="1" x14ac:dyDescent="0.25">
      <c r="C36" s="580"/>
      <c r="D36" s="522"/>
      <c r="E36" s="522"/>
      <c r="F36" s="522"/>
      <c r="G36" s="522"/>
      <c r="H36" s="522"/>
      <c r="I36" s="581">
        <f>'K15 2018'!C72</f>
        <v>1.187748543120015E-2</v>
      </c>
      <c r="J36" s="614" t="s">
        <v>459</v>
      </c>
      <c r="K36" s="580"/>
      <c r="L36" s="522"/>
      <c r="M36" s="522">
        <f>$I36*'K15 2018'!F72</f>
        <v>1.187748543120015E-2</v>
      </c>
      <c r="N36" s="522"/>
      <c r="O36" s="530">
        <f>+K36+L36*'Grafer-klima-&gt;VÆLG GWP og NIR&lt;-'!$E$8+'Industrielle processer 2018'!M36*'Grafer-klima-&gt;VÆLG GWP og NIR&lt;-'!$F$8+'Industrielle processer 2018'!N36</f>
        <v>3.5394906584976447</v>
      </c>
      <c r="P36" s="512"/>
    </row>
    <row r="37" spans="3:19" ht="15" thickBot="1" x14ac:dyDescent="0.25">
      <c r="C37" s="565"/>
      <c r="D37" s="516"/>
      <c r="E37" s="516"/>
      <c r="F37" s="516"/>
      <c r="G37" s="516"/>
      <c r="H37" s="516"/>
      <c r="I37" s="581">
        <f>'K15 2018'!C73</f>
        <v>0.10846019591122243</v>
      </c>
      <c r="J37" s="615" t="s">
        <v>460</v>
      </c>
      <c r="K37" s="565"/>
      <c r="L37" s="516"/>
      <c r="M37" s="522">
        <f>$I37*'K15 2018'!F73</f>
        <v>5.1518593057830655E-3</v>
      </c>
      <c r="N37" s="516"/>
      <c r="O37" s="528">
        <f>+K37+L37*'Grafer-klima-&gt;VÆLG GWP og NIR&lt;-'!$E$8+'Industrielle processer 2018'!M37*'Grafer-klima-&gt;VÆLG GWP og NIR&lt;-'!$F$8+'Industrielle processer 2018'!N37</f>
        <v>1.5352540731233535</v>
      </c>
      <c r="P37" s="512"/>
    </row>
    <row r="38" spans="3:19" ht="15" thickBot="1" x14ac:dyDescent="0.25">
      <c r="C38" s="565"/>
      <c r="D38" s="516"/>
      <c r="E38" s="516"/>
      <c r="F38" s="516"/>
      <c r="G38" s="516"/>
      <c r="H38" s="516"/>
      <c r="I38" s="581">
        <f>'K15 2018'!C74</f>
        <v>1.9485014849883848</v>
      </c>
      <c r="J38" s="615" t="s">
        <v>461</v>
      </c>
      <c r="K38" s="1704">
        <f>$I38*'K15 2018'!D74</f>
        <v>8.4272689225747641E-2</v>
      </c>
      <c r="L38" s="516">
        <f>$I38*'K15 2018'!E74</f>
        <v>1.6075137251154174E-3</v>
      </c>
      <c r="M38" s="522">
        <f>$I38*'K15 2018'!F74</f>
        <v>3.770350373452525E-3</v>
      </c>
      <c r="N38" s="516"/>
      <c r="O38" s="528">
        <f>+K38+L38*'Grafer-klima-&gt;VÆLG GWP og NIR&lt;-'!$E$8+'Industrielle processer 2018'!M38*'Grafer-klima-&gt;VÆLG GWP og NIR&lt;-'!$F$8+'Industrielle processer 2018'!N38</f>
        <v>1.2480249436424855</v>
      </c>
      <c r="P38" s="512"/>
    </row>
    <row r="39" spans="3:19" ht="15" thickBot="1" x14ac:dyDescent="0.25">
      <c r="C39" s="565"/>
      <c r="D39" s="516"/>
      <c r="E39" s="516"/>
      <c r="F39" s="516"/>
      <c r="G39" s="516"/>
      <c r="H39" s="516"/>
      <c r="I39" s="581">
        <f>'K15 2018'!C75</f>
        <v>1.9460322182803194</v>
      </c>
      <c r="J39" s="615" t="s">
        <v>462</v>
      </c>
      <c r="K39" s="1704"/>
      <c r="L39" s="516">
        <f>$I39*'K15 2018'!E75</f>
        <v>6.2020046796593779E-3</v>
      </c>
      <c r="M39" s="522">
        <f>$I39*'K15 2018'!F75</f>
        <v>1.2454606196994045E-4</v>
      </c>
      <c r="N39" s="516"/>
      <c r="O39" s="528">
        <f>+K39+L39*'Grafer-klima-&gt;VÆLG GWP og NIR&lt;-'!$E$8+'Industrielle processer 2018'!M39*'Grafer-klima-&gt;VÆLG GWP og NIR&lt;-'!$F$8+'Industrielle processer 2018'!N39</f>
        <v>0.19216484345852669</v>
      </c>
      <c r="P39" s="512"/>
    </row>
    <row r="40" spans="3:19" x14ac:dyDescent="0.2">
      <c r="C40" s="565"/>
      <c r="D40" s="516"/>
      <c r="E40" s="516"/>
      <c r="F40" s="516"/>
      <c r="G40" s="516"/>
      <c r="H40" s="516"/>
      <c r="I40" s="581">
        <f>'K15 2018'!C76</f>
        <v>2.5001231649539282</v>
      </c>
      <c r="J40" s="615" t="s">
        <v>463</v>
      </c>
      <c r="K40" s="1704"/>
      <c r="L40" s="516">
        <f>$I40*'K15 2018'!E76</f>
        <v>1.4750726673228175E-2</v>
      </c>
      <c r="M40" s="522">
        <f>$I40*'K15 2018'!F76</f>
        <v>7.3753633366140876E-5</v>
      </c>
      <c r="N40" s="516"/>
      <c r="O40" s="528">
        <f>+K40+L40*'Grafer-klima-&gt;VÆLG GWP og NIR&lt;-'!$E$8+'Industrielle processer 2018'!M40*'Grafer-klima-&gt;VÆLG GWP og NIR&lt;-'!$F$8+'Industrielle processer 2018'!N40</f>
        <v>0.39074674957381439</v>
      </c>
      <c r="P40" s="512"/>
    </row>
    <row r="41" spans="3:19" x14ac:dyDescent="0.2">
      <c r="C41" s="600"/>
      <c r="D41" s="576"/>
      <c r="E41" s="576"/>
      <c r="F41" s="576"/>
      <c r="G41" s="576"/>
      <c r="H41" s="576"/>
      <c r="I41" s="601" t="str">
        <f>'K15 2018'!B77</f>
        <v>NO</v>
      </c>
      <c r="J41" s="615" t="s">
        <v>464</v>
      </c>
      <c r="K41" s="565"/>
      <c r="L41" s="516"/>
      <c r="M41" s="516"/>
      <c r="N41" s="4236">
        <f>IF('K15 2018'!L77="IE",0)</f>
        <v>0</v>
      </c>
      <c r="O41" s="616">
        <f>+K41+L41*'Grafer-klima-&gt;VÆLG GWP og NIR&lt;-'!$E$8+'Industrielle processer 2018'!M41*'Grafer-klima-&gt;VÆLG GWP og NIR&lt;-'!$F$8+'Industrielle processer 2018'!N41</f>
        <v>0</v>
      </c>
      <c r="P41" s="512"/>
    </row>
    <row r="42" spans="3:19" ht="15" thickBot="1" x14ac:dyDescent="0.25">
      <c r="C42" s="565"/>
      <c r="D42" s="516"/>
      <c r="E42" s="516"/>
      <c r="F42" s="516"/>
      <c r="G42" s="516"/>
      <c r="H42" s="516"/>
      <c r="I42" s="566" t="str">
        <f>'K15 2018'!B78</f>
        <v>NO</v>
      </c>
      <c r="J42" s="615" t="s">
        <v>632</v>
      </c>
      <c r="K42" s="617"/>
      <c r="L42" s="523"/>
      <c r="M42" s="523"/>
      <c r="N42" s="4236">
        <f>+'K15 2018'!L78</f>
        <v>1.1826577204990045</v>
      </c>
      <c r="O42" s="616">
        <f>+K42+L42*'Grafer-klima-&gt;VÆLG GWP og NIR&lt;-'!$E$8+'Industrielle processer 2018'!M42*'Grafer-klima-&gt;VÆLG GWP og NIR&lt;-'!$F$8+'Industrielle processer 2018'!N42</f>
        <v>1.1826577204990045</v>
      </c>
      <c r="P42" s="512"/>
      <c r="Q42" s="129" t="s">
        <v>986</v>
      </c>
      <c r="R42" s="129" t="s">
        <v>986</v>
      </c>
      <c r="S42" s="129" t="s">
        <v>986</v>
      </c>
    </row>
    <row r="43" spans="3:19" ht="15" thickBot="1" x14ac:dyDescent="0.25">
      <c r="C43" s="618">
        <f t="shared" ref="C43:I43" si="0">SUM(C11:C42)</f>
        <v>14.03856264886641</v>
      </c>
      <c r="D43" s="610">
        <f t="shared" si="0"/>
        <v>18.536066277012171</v>
      </c>
      <c r="E43" s="610">
        <f t="shared" si="0"/>
        <v>0.18691411283836026</v>
      </c>
      <c r="F43" s="610">
        <f t="shared" si="0"/>
        <v>1558.4554460227353</v>
      </c>
      <c r="G43" s="610">
        <f t="shared" si="0"/>
        <v>0</v>
      </c>
      <c r="H43" s="610">
        <f t="shared" si="0"/>
        <v>0</v>
      </c>
      <c r="I43" s="610">
        <f t="shared" si="0"/>
        <v>6.5149945495650545</v>
      </c>
      <c r="J43" s="619" t="s">
        <v>228</v>
      </c>
      <c r="K43" s="620">
        <f>SUM(K11:K42)</f>
        <v>56.858652839842613</v>
      </c>
      <c r="L43" s="621">
        <f>SUM(L11:L42)</f>
        <v>2.8938110182453784E-2</v>
      </c>
      <c r="M43" s="621">
        <f>SUM(M11:M42)</f>
        <v>2.1148828868655066E-2</v>
      </c>
      <c r="N43" s="621">
        <f>SUM(N11:N42)</f>
        <v>153.51023694732817</v>
      </c>
      <c r="O43" s="622">
        <f>SUM(O11:O42)</f>
        <v>217.39469354459135</v>
      </c>
      <c r="P43" s="512"/>
      <c r="Q43" s="129" t="s">
        <v>986</v>
      </c>
      <c r="R43" s="129" t="s">
        <v>986</v>
      </c>
      <c r="S43" s="129" t="s">
        <v>986</v>
      </c>
    </row>
    <row r="44" spans="3:19" x14ac:dyDescent="0.2">
      <c r="C44" s="562"/>
      <c r="D44" s="512"/>
      <c r="E44" s="512"/>
      <c r="F44" s="512"/>
      <c r="G44" s="512"/>
      <c r="H44" s="512"/>
      <c r="I44" s="512"/>
      <c r="J44" s="512"/>
      <c r="K44" s="512"/>
      <c r="L44" s="512"/>
      <c r="M44" s="512"/>
      <c r="N44" s="512"/>
      <c r="O44" s="512"/>
      <c r="P44" s="512"/>
    </row>
    <row r="45" spans="3:19" x14ac:dyDescent="0.2">
      <c r="C45" s="512"/>
      <c r="D45" s="512"/>
      <c r="E45" s="512"/>
      <c r="F45" s="512"/>
      <c r="G45" s="512"/>
      <c r="H45" s="512"/>
      <c r="I45" s="512"/>
      <c r="J45" s="512"/>
      <c r="K45" s="512"/>
      <c r="L45" s="512"/>
      <c r="M45" s="512"/>
      <c r="N45" s="512"/>
      <c r="O45" s="512"/>
      <c r="P45" s="512"/>
    </row>
    <row r="46" spans="3:19" x14ac:dyDescent="0.2">
      <c r="C46" s="512"/>
      <c r="D46" s="512"/>
      <c r="E46" s="512"/>
      <c r="F46" s="512"/>
      <c r="G46" s="512"/>
      <c r="H46" s="512"/>
      <c r="I46" s="512"/>
      <c r="J46" s="512"/>
      <c r="K46" s="512"/>
      <c r="L46" s="512"/>
      <c r="M46" s="512"/>
      <c r="N46" s="512"/>
      <c r="O46" s="512"/>
      <c r="P46" s="512"/>
    </row>
    <row r="47" spans="3:19" x14ac:dyDescent="0.2">
      <c r="J47" s="129"/>
    </row>
    <row r="48" spans="3:19" x14ac:dyDescent="0.2">
      <c r="J48" s="129"/>
    </row>
    <row r="49" spans="10:10" x14ac:dyDescent="0.2">
      <c r="J49" s="129"/>
    </row>
    <row r="50" spans="10:10" x14ac:dyDescent="0.2">
      <c r="J50" s="129"/>
    </row>
    <row r="51" spans="10:10" x14ac:dyDescent="0.2">
      <c r="J51" s="129"/>
    </row>
    <row r="52" spans="10:10" x14ac:dyDescent="0.2">
      <c r="J52" s="129"/>
    </row>
    <row r="53" spans="10:10" x14ac:dyDescent="0.2">
      <c r="J53" s="129"/>
    </row>
    <row r="54" spans="10:10" x14ac:dyDescent="0.2">
      <c r="J54" s="129"/>
    </row>
    <row r="55" spans="10:10" x14ac:dyDescent="0.2">
      <c r="J55" s="129"/>
    </row>
    <row r="56" spans="10:10" x14ac:dyDescent="0.2">
      <c r="J56" s="129"/>
    </row>
    <row r="57" spans="10:10" x14ac:dyDescent="0.2">
      <c r="J57" s="129"/>
    </row>
    <row r="58" spans="10:10" x14ac:dyDescent="0.2">
      <c r="J58" s="129"/>
    </row>
    <row r="59" spans="10:10" x14ac:dyDescent="0.2">
      <c r="J59" s="129"/>
    </row>
    <row r="60" spans="10:10" x14ac:dyDescent="0.2">
      <c r="J60" s="129"/>
    </row>
    <row r="61" spans="10:10" x14ac:dyDescent="0.2">
      <c r="J61" s="129"/>
    </row>
    <row r="62" spans="10:10" x14ac:dyDescent="0.2">
      <c r="J62" s="129"/>
    </row>
    <row r="63" spans="10:10" x14ac:dyDescent="0.2">
      <c r="J63" s="129"/>
    </row>
    <row r="64" spans="10:10" x14ac:dyDescent="0.2">
      <c r="J64" s="129"/>
    </row>
    <row r="65" spans="10:10" x14ac:dyDescent="0.2">
      <c r="J65" s="129"/>
    </row>
    <row r="66" spans="10:10" x14ac:dyDescent="0.2">
      <c r="J66" s="129"/>
    </row>
    <row r="67" spans="10:10" x14ac:dyDescent="0.2">
      <c r="J67" s="129"/>
    </row>
    <row r="68" spans="10:10" x14ac:dyDescent="0.2">
      <c r="J68" s="129"/>
    </row>
    <row r="69" spans="10:10" x14ac:dyDescent="0.2">
      <c r="J69" s="129"/>
    </row>
    <row r="70" spans="10:10" x14ac:dyDescent="0.2">
      <c r="J70" s="129"/>
    </row>
    <row r="71" spans="10:10" x14ac:dyDescent="0.2">
      <c r="J71" s="129"/>
    </row>
    <row r="72" spans="10:10" x14ac:dyDescent="0.2">
      <c r="J72" s="129"/>
    </row>
    <row r="73" spans="10:10" x14ac:dyDescent="0.2">
      <c r="J73" s="129"/>
    </row>
    <row r="74" spans="10:10" x14ac:dyDescent="0.2">
      <c r="J74" s="129"/>
    </row>
    <row r="75" spans="10:10" x14ac:dyDescent="0.2">
      <c r="J75" s="129"/>
    </row>
    <row r="76" spans="10:10" x14ac:dyDescent="0.2">
      <c r="J76" s="129"/>
    </row>
    <row r="77" spans="10:10" x14ac:dyDescent="0.2">
      <c r="J77" s="129"/>
    </row>
    <row r="78" spans="10:10" x14ac:dyDescent="0.2">
      <c r="J78" s="129"/>
    </row>
    <row r="79" spans="10:10" x14ac:dyDescent="0.2">
      <c r="J79" s="129"/>
    </row>
    <row r="80" spans="10:10" x14ac:dyDescent="0.2">
      <c r="J80" s="129"/>
    </row>
    <row r="81" spans="10:10" x14ac:dyDescent="0.2">
      <c r="J81" s="129"/>
    </row>
    <row r="82" spans="10:10" x14ac:dyDescent="0.2">
      <c r="J82" s="129"/>
    </row>
    <row r="83" spans="10:10" x14ac:dyDescent="0.2">
      <c r="J83" s="129"/>
    </row>
    <row r="84" spans="10:10" x14ac:dyDescent="0.2">
      <c r="J84" s="129"/>
    </row>
    <row r="85" spans="10:10" x14ac:dyDescent="0.2">
      <c r="J85" s="129"/>
    </row>
    <row r="86" spans="10:10" x14ac:dyDescent="0.2">
      <c r="J86" s="129"/>
    </row>
    <row r="87" spans="10:10" x14ac:dyDescent="0.2">
      <c r="J87" s="129"/>
    </row>
    <row r="88" spans="10:10" x14ac:dyDescent="0.2">
      <c r="J88" s="129"/>
    </row>
    <row r="89" spans="10:10" x14ac:dyDescent="0.2">
      <c r="J89" s="129"/>
    </row>
    <row r="90" spans="10:10" x14ac:dyDescent="0.2">
      <c r="J90" s="129"/>
    </row>
    <row r="91" spans="10:10" x14ac:dyDescent="0.2">
      <c r="J91" s="129"/>
    </row>
    <row r="92" spans="10:10" x14ac:dyDescent="0.2">
      <c r="J92" s="129"/>
    </row>
    <row r="93" spans="10:10" x14ac:dyDescent="0.2">
      <c r="J93" s="129"/>
    </row>
    <row r="94" spans="10:10" x14ac:dyDescent="0.2">
      <c r="J94" s="129"/>
    </row>
    <row r="95" spans="10:10" x14ac:dyDescent="0.2">
      <c r="J95" s="129"/>
    </row>
    <row r="96" spans="10:10" x14ac:dyDescent="0.2">
      <c r="J96" s="129"/>
    </row>
    <row r="97" spans="10:10" x14ac:dyDescent="0.2">
      <c r="J97" s="129"/>
    </row>
    <row r="98" spans="10:10" x14ac:dyDescent="0.2">
      <c r="J98" s="129"/>
    </row>
    <row r="99" spans="10:10" x14ac:dyDescent="0.2">
      <c r="J99" s="129"/>
    </row>
    <row r="100" spans="10:10" x14ac:dyDescent="0.2">
      <c r="J100" s="129"/>
    </row>
    <row r="101" spans="10:10" x14ac:dyDescent="0.2">
      <c r="J101" s="129"/>
    </row>
    <row r="102" spans="10:10" x14ac:dyDescent="0.2">
      <c r="J102" s="129"/>
    </row>
    <row r="103" spans="10:10" x14ac:dyDescent="0.2">
      <c r="J103" s="129"/>
    </row>
    <row r="104" spans="10:10" x14ac:dyDescent="0.2">
      <c r="J104" s="129"/>
    </row>
    <row r="105" spans="10:10" x14ac:dyDescent="0.2">
      <c r="J105" s="129"/>
    </row>
    <row r="106" spans="10:10" x14ac:dyDescent="0.2">
      <c r="J106" s="129"/>
    </row>
    <row r="107" spans="10:10" x14ac:dyDescent="0.2">
      <c r="J107" s="129"/>
    </row>
    <row r="108" spans="10:10" x14ac:dyDescent="0.2">
      <c r="J108" s="129"/>
    </row>
    <row r="109" spans="10:10" x14ac:dyDescent="0.2">
      <c r="J109" s="129"/>
    </row>
    <row r="110" spans="10:10" x14ac:dyDescent="0.2">
      <c r="J110" s="129"/>
    </row>
    <row r="111" spans="10:10" x14ac:dyDescent="0.2">
      <c r="J111" s="129"/>
    </row>
    <row r="112" spans="10:10" x14ac:dyDescent="0.2">
      <c r="J112" s="129"/>
    </row>
    <row r="113" spans="10:10" x14ac:dyDescent="0.2">
      <c r="J113" s="129"/>
    </row>
    <row r="114" spans="10:10" x14ac:dyDescent="0.2">
      <c r="J114" s="129"/>
    </row>
    <row r="115" spans="10:10" x14ac:dyDescent="0.2">
      <c r="J115" s="129"/>
    </row>
    <row r="116" spans="10:10" x14ac:dyDescent="0.2">
      <c r="J116" s="129"/>
    </row>
    <row r="117" spans="10:10" x14ac:dyDescent="0.2">
      <c r="J117" s="129"/>
    </row>
    <row r="118" spans="10:10" x14ac:dyDescent="0.2">
      <c r="J118" s="129"/>
    </row>
    <row r="119" spans="10:10" x14ac:dyDescent="0.2">
      <c r="J119" s="129"/>
    </row>
    <row r="120" spans="10:10" x14ac:dyDescent="0.2">
      <c r="J120" s="129"/>
    </row>
    <row r="121" spans="10:10" x14ac:dyDescent="0.2">
      <c r="J121" s="129"/>
    </row>
    <row r="122" spans="10:10" x14ac:dyDescent="0.2">
      <c r="J122" s="129"/>
    </row>
    <row r="123" spans="10:10" x14ac:dyDescent="0.2">
      <c r="J123" s="129"/>
    </row>
    <row r="124" spans="10:10" x14ac:dyDescent="0.2">
      <c r="J124" s="129"/>
    </row>
    <row r="125" spans="10:10" x14ac:dyDescent="0.2">
      <c r="J125" s="129"/>
    </row>
    <row r="126" spans="10:10" x14ac:dyDescent="0.2">
      <c r="J126" s="129"/>
    </row>
    <row r="127" spans="10:10" x14ac:dyDescent="0.2">
      <c r="J127" s="129"/>
    </row>
    <row r="128" spans="10:10" x14ac:dyDescent="0.2">
      <c r="J128" s="129"/>
    </row>
    <row r="129" spans="10:10" x14ac:dyDescent="0.2">
      <c r="J129" s="129"/>
    </row>
    <row r="130" spans="10:10" x14ac:dyDescent="0.2">
      <c r="J130" s="129"/>
    </row>
    <row r="131" spans="10:10" x14ac:dyDescent="0.2">
      <c r="J131" s="129"/>
    </row>
    <row r="132" spans="10:10" x14ac:dyDescent="0.2">
      <c r="J132" s="129"/>
    </row>
    <row r="133" spans="10:10" x14ac:dyDescent="0.2">
      <c r="J133" s="129"/>
    </row>
    <row r="134" spans="10:10" x14ac:dyDescent="0.2">
      <c r="J134" s="129"/>
    </row>
    <row r="135" spans="10:10" x14ac:dyDescent="0.2">
      <c r="J135" s="129"/>
    </row>
    <row r="136" spans="10:10" x14ac:dyDescent="0.2">
      <c r="J136" s="129"/>
    </row>
    <row r="137" spans="10:10" x14ac:dyDescent="0.2">
      <c r="J137" s="129"/>
    </row>
    <row r="138" spans="10:10" x14ac:dyDescent="0.2">
      <c r="J138" s="129"/>
    </row>
    <row r="139" spans="10:10" x14ac:dyDescent="0.2">
      <c r="J139" s="129"/>
    </row>
    <row r="140" spans="10:10" x14ac:dyDescent="0.2">
      <c r="J140" s="129"/>
    </row>
    <row r="141" spans="10:10" x14ac:dyDescent="0.2">
      <c r="J141" s="129"/>
    </row>
    <row r="142" spans="10:10" x14ac:dyDescent="0.2">
      <c r="J142" s="129"/>
    </row>
    <row r="143" spans="10:10" x14ac:dyDescent="0.2">
      <c r="J143" s="129"/>
    </row>
    <row r="144" spans="10:10" x14ac:dyDescent="0.2">
      <c r="J144" s="129"/>
    </row>
    <row r="145" spans="10:10" x14ac:dyDescent="0.2">
      <c r="J145" s="129"/>
    </row>
    <row r="146" spans="10:10" x14ac:dyDescent="0.2">
      <c r="J146" s="129"/>
    </row>
    <row r="147" spans="10:10" x14ac:dyDescent="0.2">
      <c r="J147" s="129"/>
    </row>
    <row r="148" spans="10:10" x14ac:dyDescent="0.2">
      <c r="J148" s="129"/>
    </row>
    <row r="149" spans="10:10" x14ac:dyDescent="0.2">
      <c r="J149" s="129"/>
    </row>
    <row r="150" spans="10:10" x14ac:dyDescent="0.2">
      <c r="J150" s="129"/>
    </row>
    <row r="151" spans="10:10" x14ac:dyDescent="0.2">
      <c r="J151" s="129"/>
    </row>
    <row r="152" spans="10:10" x14ac:dyDescent="0.2">
      <c r="J152" s="129"/>
    </row>
    <row r="153" spans="10:10" x14ac:dyDescent="0.2">
      <c r="J153" s="129"/>
    </row>
    <row r="154" spans="10:10" x14ac:dyDescent="0.2">
      <c r="J154" s="129"/>
    </row>
    <row r="155" spans="10:10" x14ac:dyDescent="0.2">
      <c r="J155" s="129"/>
    </row>
    <row r="156" spans="10:10" x14ac:dyDescent="0.2">
      <c r="J156" s="129"/>
    </row>
    <row r="157" spans="10:10" x14ac:dyDescent="0.2">
      <c r="J157" s="129"/>
    </row>
    <row r="158" spans="10:10" x14ac:dyDescent="0.2">
      <c r="J158" s="129"/>
    </row>
    <row r="159" spans="10:10" x14ac:dyDescent="0.2">
      <c r="J159" s="129"/>
    </row>
    <row r="160" spans="10:10" x14ac:dyDescent="0.2">
      <c r="J160" s="129"/>
    </row>
    <row r="161" spans="10:10" x14ac:dyDescent="0.2">
      <c r="J161" s="129"/>
    </row>
    <row r="162" spans="10:10" x14ac:dyDescent="0.2">
      <c r="J162" s="129"/>
    </row>
    <row r="163" spans="10:10" x14ac:dyDescent="0.2">
      <c r="J163" s="129"/>
    </row>
    <row r="164" spans="10:10" x14ac:dyDescent="0.2">
      <c r="J164" s="129"/>
    </row>
    <row r="165" spans="10:10" x14ac:dyDescent="0.2">
      <c r="J165" s="129"/>
    </row>
    <row r="166" spans="10:10" x14ac:dyDescent="0.2">
      <c r="J166" s="129"/>
    </row>
    <row r="167" spans="10:10" x14ac:dyDescent="0.2">
      <c r="J167" s="129"/>
    </row>
    <row r="168" spans="10:10" x14ac:dyDescent="0.2">
      <c r="J168" s="129"/>
    </row>
    <row r="169" spans="10:10" x14ac:dyDescent="0.2">
      <c r="J169" s="129"/>
    </row>
    <row r="170" spans="10:10" x14ac:dyDescent="0.2">
      <c r="J170" s="129"/>
    </row>
    <row r="171" spans="10:10" x14ac:dyDescent="0.2">
      <c r="J171" s="129"/>
    </row>
    <row r="172" spans="10:10" x14ac:dyDescent="0.2">
      <c r="J172" s="129"/>
    </row>
    <row r="173" spans="10:10" x14ac:dyDescent="0.2">
      <c r="J173" s="129"/>
    </row>
    <row r="174" spans="10:10" x14ac:dyDescent="0.2">
      <c r="J174" s="129"/>
    </row>
    <row r="175" spans="10:10" x14ac:dyDescent="0.2">
      <c r="J175" s="129"/>
    </row>
    <row r="176" spans="10:10" x14ac:dyDescent="0.2">
      <c r="J176" s="129"/>
    </row>
    <row r="177" spans="10:10" x14ac:dyDescent="0.2">
      <c r="J177" s="129"/>
    </row>
    <row r="178" spans="10:10" x14ac:dyDescent="0.2">
      <c r="J178" s="129"/>
    </row>
    <row r="179" spans="10:10" x14ac:dyDescent="0.2">
      <c r="J179" s="129"/>
    </row>
    <row r="180" spans="10:10" x14ac:dyDescent="0.2">
      <c r="J180" s="129"/>
    </row>
    <row r="181" spans="10:10" x14ac:dyDescent="0.2">
      <c r="J181" s="129"/>
    </row>
    <row r="182" spans="10:10" x14ac:dyDescent="0.2">
      <c r="J182" s="129"/>
    </row>
    <row r="183" spans="10:10" x14ac:dyDescent="0.2">
      <c r="J183" s="129"/>
    </row>
    <row r="184" spans="10:10" x14ac:dyDescent="0.2">
      <c r="J184" s="129"/>
    </row>
    <row r="185" spans="10:10" x14ac:dyDescent="0.2">
      <c r="J185" s="129"/>
    </row>
    <row r="186" spans="10:10" x14ac:dyDescent="0.2">
      <c r="J186" s="129"/>
    </row>
    <row r="187" spans="10:10" x14ac:dyDescent="0.2">
      <c r="J187" s="129"/>
    </row>
    <row r="188" spans="10:10" x14ac:dyDescent="0.2">
      <c r="J188" s="129"/>
    </row>
    <row r="189" spans="10:10" x14ac:dyDescent="0.2">
      <c r="J189" s="129"/>
    </row>
    <row r="190" spans="10:10" x14ac:dyDescent="0.2">
      <c r="J190" s="129"/>
    </row>
    <row r="191" spans="10:10" x14ac:dyDescent="0.2">
      <c r="J191" s="129"/>
    </row>
    <row r="192" spans="10:10" x14ac:dyDescent="0.2">
      <c r="J192" s="129"/>
    </row>
    <row r="193" spans="2:15" x14ac:dyDescent="0.2">
      <c r="J193" s="129"/>
    </row>
    <row r="194" spans="2:15" x14ac:dyDescent="0.2">
      <c r="J194" s="129"/>
    </row>
    <row r="195" spans="2:15" x14ac:dyDescent="0.2">
      <c r="J195" s="129"/>
    </row>
    <row r="196" spans="2:15" x14ac:dyDescent="0.2">
      <c r="J196" s="129"/>
    </row>
    <row r="197" spans="2:15" x14ac:dyDescent="0.2">
      <c r="J197" s="129"/>
    </row>
    <row r="198" spans="2:15" x14ac:dyDescent="0.2">
      <c r="J198" s="129"/>
    </row>
    <row r="199" spans="2:15" x14ac:dyDescent="0.2">
      <c r="J199" s="129"/>
    </row>
    <row r="200" spans="2:15" x14ac:dyDescent="0.2">
      <c r="J200" s="129"/>
    </row>
    <row r="201" spans="2:15" ht="15" thickBot="1" x14ac:dyDescent="0.25">
      <c r="J201" s="129"/>
    </row>
    <row r="202" spans="2:15" ht="15" thickBot="1" x14ac:dyDescent="0.25">
      <c r="B202" s="5173" t="s">
        <v>355</v>
      </c>
      <c r="C202" s="5176" t="s">
        <v>356</v>
      </c>
      <c r="D202" s="5177"/>
      <c r="E202" s="5177"/>
      <c r="F202" s="5177"/>
      <c r="G202" s="5177"/>
      <c r="H202" s="5177"/>
      <c r="I202" s="5177"/>
      <c r="J202" s="5177"/>
      <c r="K202" s="5177"/>
      <c r="L202" s="5177"/>
      <c r="M202" s="5177"/>
      <c r="N202" s="5177"/>
      <c r="O202" s="5178"/>
    </row>
    <row r="203" spans="2:15" ht="15" thickBot="1" x14ac:dyDescent="0.25">
      <c r="B203" s="5174"/>
      <c r="C203" s="171"/>
      <c r="D203" s="172"/>
      <c r="E203" s="173"/>
      <c r="F203" s="172"/>
      <c r="G203" s="172"/>
      <c r="H203" s="172"/>
      <c r="I203" s="172"/>
      <c r="J203" s="176" t="s">
        <v>357</v>
      </c>
      <c r="K203" s="34"/>
      <c r="L203" s="35"/>
      <c r="M203" s="177"/>
      <c r="N203" s="178"/>
      <c r="O203" s="179"/>
    </row>
    <row r="204" spans="2:15" x14ac:dyDescent="0.2">
      <c r="B204" s="5174"/>
      <c r="C204" s="180"/>
      <c r="D204" s="181"/>
      <c r="E204" s="182"/>
      <c r="F204" s="181"/>
      <c r="G204" s="181"/>
      <c r="H204" s="181"/>
      <c r="I204" s="181"/>
      <c r="J204" s="185" t="s">
        <v>358</v>
      </c>
      <c r="K204" s="186"/>
      <c r="L204" s="187"/>
      <c r="M204" s="188"/>
      <c r="N204" s="189"/>
      <c r="O204" s="190"/>
    </row>
    <row r="205" spans="2:15" x14ac:dyDescent="0.2">
      <c r="B205" s="5174"/>
      <c r="C205" s="191"/>
      <c r="D205" s="192"/>
      <c r="E205" s="193"/>
      <c r="F205" s="192"/>
      <c r="G205" s="192"/>
      <c r="H205" s="192"/>
      <c r="I205" s="192"/>
      <c r="J205" s="196" t="s">
        <v>359</v>
      </c>
      <c r="K205" s="19"/>
      <c r="L205" s="20"/>
      <c r="M205" s="197"/>
      <c r="N205" s="198"/>
      <c r="O205" s="179"/>
    </row>
    <row r="206" spans="2:15" ht="15" thickBot="1" x14ac:dyDescent="0.25">
      <c r="B206" s="5174"/>
      <c r="C206" s="199"/>
      <c r="D206" s="200"/>
      <c r="E206" s="201"/>
      <c r="F206" s="200"/>
      <c r="G206" s="200"/>
      <c r="H206" s="200"/>
      <c r="I206" s="200"/>
      <c r="J206" s="204" t="s">
        <v>360</v>
      </c>
      <c r="K206" s="38"/>
      <c r="L206" s="39"/>
      <c r="M206" s="205"/>
      <c r="N206" s="206"/>
      <c r="O206" s="207"/>
    </row>
    <row r="207" spans="2:15" ht="15" thickBot="1" x14ac:dyDescent="0.25">
      <c r="B207" s="5175"/>
      <c r="C207" s="208"/>
      <c r="D207" s="209"/>
      <c r="E207" s="210"/>
      <c r="F207" s="209"/>
      <c r="G207" s="209"/>
      <c r="H207" s="209"/>
      <c r="I207" s="209"/>
      <c r="J207" s="213" t="s">
        <v>361</v>
      </c>
      <c r="K207" s="214"/>
      <c r="L207" s="215"/>
      <c r="M207" s="216"/>
      <c r="N207" s="217"/>
      <c r="O207" s="218"/>
    </row>
  </sheetData>
  <mergeCells count="5">
    <mergeCell ref="C9:I9"/>
    <mergeCell ref="K9:O9"/>
    <mergeCell ref="B11:B15"/>
    <mergeCell ref="B202:B207"/>
    <mergeCell ref="C202:O202"/>
  </mergeCells>
  <hyperlinks>
    <hyperlink ref="A1" location="Index!A1" display="Til index" xr:uid="{FD347E0E-4D3A-4CB8-820C-6A8E8E29EA45}"/>
  </hyperlinks>
  <pageMargins left="0.7" right="0.7" top="0.75" bottom="0.75" header="0.3" footer="0.3"/>
  <pageSetup paperSize="9"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67E0B-EEE6-4941-BA9F-733C4B032858}">
  <sheetPr codeName="Ark15">
    <tabColor theme="8" tint="-0.249977111117893"/>
  </sheetPr>
  <dimension ref="A1:S207"/>
  <sheetViews>
    <sheetView showGridLines="0" topLeftCell="A11" zoomScale="70" zoomScaleNormal="70" workbookViewId="0">
      <selection activeCell="I36" sqref="I36:I40"/>
    </sheetView>
  </sheetViews>
  <sheetFormatPr defaultColWidth="9.140625" defaultRowHeight="14.25" x14ac:dyDescent="0.2"/>
  <cols>
    <col min="1" max="1" width="9.140625" style="129"/>
    <col min="2" max="2" width="9.5703125" style="129" customWidth="1"/>
    <col min="3" max="4" width="8.5703125" style="129" customWidth="1"/>
    <col min="5" max="5" width="11.85546875" style="129" customWidth="1"/>
    <col min="6" max="6" width="18.42578125" style="129" bestFit="1" customWidth="1"/>
    <col min="7" max="8" width="9.140625" style="129"/>
    <col min="9" max="9" width="18.7109375" style="129" bestFit="1" customWidth="1"/>
    <col min="10" max="10" width="64.5703125" style="132" customWidth="1"/>
    <col min="11" max="11" width="10.5703125" style="129" customWidth="1"/>
    <col min="12" max="13" width="9.140625" style="129"/>
    <col min="14" max="14" width="18.5703125" style="129" bestFit="1" customWidth="1"/>
    <col min="15" max="15" width="10.5703125" style="129" customWidth="1"/>
    <col min="16" max="16384" width="9.140625" style="129"/>
  </cols>
  <sheetData>
    <row r="1" spans="1:16" ht="21.75" thickBot="1" x14ac:dyDescent="0.4">
      <c r="A1" s="1740" t="s">
        <v>4206</v>
      </c>
      <c r="J1" s="129"/>
    </row>
    <row r="2" spans="1:16" x14ac:dyDescent="0.2">
      <c r="C2" s="251" t="s">
        <v>320</v>
      </c>
      <c r="D2" s="252"/>
      <c r="E2" s="253"/>
      <c r="F2" s="148" t="str">
        <f>'Dyrehold 2018G'!G2</f>
        <v>2018G</v>
      </c>
      <c r="G2" s="10"/>
      <c r="H2" s="10"/>
      <c r="I2" s="10"/>
    </row>
    <row r="3" spans="1:16" ht="15" thickBot="1" x14ac:dyDescent="0.25">
      <c r="C3" s="254" t="s">
        <v>428</v>
      </c>
      <c r="D3" s="149" t="s">
        <v>226</v>
      </c>
      <c r="E3" s="149"/>
      <c r="F3" s="150"/>
      <c r="G3" s="151"/>
      <c r="H3" s="151"/>
      <c r="I3" s="151"/>
      <c r="J3" s="1746" t="s">
        <v>222</v>
      </c>
    </row>
    <row r="4" spans="1:16" ht="27.75" x14ac:dyDescent="0.2">
      <c r="G4" s="10"/>
      <c r="H4" s="10"/>
      <c r="I4" s="10"/>
      <c r="J4" s="152" t="s">
        <v>429</v>
      </c>
    </row>
    <row r="5" spans="1:16" x14ac:dyDescent="0.2">
      <c r="G5" s="10"/>
      <c r="H5" s="10"/>
      <c r="I5" s="10"/>
      <c r="J5" s="1745" t="str">
        <f>'Dyrehold 2018G'!U4</f>
        <v>Læsø 2018G</v>
      </c>
    </row>
    <row r="6" spans="1:16" x14ac:dyDescent="0.2">
      <c r="G6" s="10"/>
      <c r="H6" s="10"/>
      <c r="I6" s="10"/>
      <c r="J6" s="129"/>
    </row>
    <row r="7" spans="1:16" ht="21" x14ac:dyDescent="0.35">
      <c r="A7" s="1740"/>
      <c r="J7" s="129"/>
    </row>
    <row r="8" spans="1:16" x14ac:dyDescent="0.2">
      <c r="J8" s="129"/>
    </row>
    <row r="9" spans="1:16" ht="15" thickBot="1" x14ac:dyDescent="0.25">
      <c r="C9" s="5169" t="s">
        <v>430</v>
      </c>
      <c r="D9" s="5170"/>
      <c r="E9" s="5170"/>
      <c r="F9" s="5170"/>
      <c r="G9" s="5170"/>
      <c r="H9" s="5170"/>
      <c r="I9" s="5171"/>
      <c r="J9" s="155" t="s">
        <v>327</v>
      </c>
      <c r="K9" s="5169" t="s">
        <v>328</v>
      </c>
      <c r="L9" s="5170"/>
      <c r="M9" s="5170"/>
      <c r="N9" s="5170"/>
      <c r="O9" s="5171"/>
    </row>
    <row r="10" spans="1:16" ht="130.5" customHeight="1" thickBot="1" x14ac:dyDescent="0.25">
      <c r="C10" s="156" t="s">
        <v>431</v>
      </c>
      <c r="D10" s="157" t="s">
        <v>300</v>
      </c>
      <c r="E10" s="157" t="s">
        <v>301</v>
      </c>
      <c r="F10" s="157" t="s">
        <v>302</v>
      </c>
      <c r="G10" s="157" t="s">
        <v>303</v>
      </c>
      <c r="H10" s="157" t="s">
        <v>304</v>
      </c>
      <c r="I10" s="158" t="s">
        <v>305</v>
      </c>
      <c r="J10" s="255"/>
      <c r="K10" s="162" t="s">
        <v>345</v>
      </c>
      <c r="L10" s="157" t="s">
        <v>432</v>
      </c>
      <c r="M10" s="157" t="s">
        <v>433</v>
      </c>
      <c r="N10" s="157" t="s">
        <v>434</v>
      </c>
      <c r="O10" s="163" t="s">
        <v>349</v>
      </c>
    </row>
    <row r="11" spans="1:16" x14ac:dyDescent="0.2">
      <c r="B11" s="5172"/>
      <c r="C11" s="593"/>
      <c r="D11" s="594"/>
      <c r="E11" s="594"/>
      <c r="F11" s="594"/>
      <c r="G11" s="594"/>
      <c r="H11" s="594"/>
      <c r="I11" s="595"/>
      <c r="J11" s="583" t="s">
        <v>4210</v>
      </c>
      <c r="K11" s="1748">
        <f>'K15 2018G'!H9</f>
        <v>0</v>
      </c>
      <c r="L11" s="26"/>
      <c r="M11" s="26"/>
      <c r="N11" s="596"/>
      <c r="O11" s="528">
        <f>+K11+L11*'Grafer-klima-&gt;VÆLG GWP og NIR&lt;-'!$E$8+'Industrielle processer 2018G'!M11*'Grafer-klima-&gt;VÆLG GWP og NIR&lt;-'!$F$8+'Industrielle processer 2018G'!N11</f>
        <v>0</v>
      </c>
      <c r="P11" s="512"/>
    </row>
    <row r="12" spans="1:16" x14ac:dyDescent="0.2">
      <c r="B12" s="5172"/>
      <c r="C12" s="565"/>
      <c r="D12" s="597"/>
      <c r="E12" s="597"/>
      <c r="F12" s="597"/>
      <c r="G12" s="597"/>
      <c r="H12" s="597"/>
      <c r="I12" s="598"/>
      <c r="J12" s="93" t="s">
        <v>435</v>
      </c>
      <c r="K12" s="302"/>
      <c r="L12" s="24"/>
      <c r="M12" s="24"/>
      <c r="N12" s="516"/>
      <c r="O12" s="528">
        <f>+K12+L12*'Grafer-klima-&gt;VÆLG GWP og NIR&lt;-'!$E$8+'Industrielle processer 2018G'!M12*'Grafer-klima-&gt;VÆLG GWP og NIR&lt;-'!$F$8+'Industrielle processer 2018G'!N12</f>
        <v>0</v>
      </c>
      <c r="P12" s="512"/>
    </row>
    <row r="13" spans="1:16" x14ac:dyDescent="0.2">
      <c r="B13" s="5172"/>
      <c r="C13" s="599"/>
      <c r="D13" s="597"/>
      <c r="E13" s="597"/>
      <c r="F13" s="597"/>
      <c r="G13" s="597"/>
      <c r="H13" s="597"/>
      <c r="I13" s="598"/>
      <c r="J13" s="93" t="s">
        <v>436</v>
      </c>
      <c r="K13" s="302"/>
      <c r="L13" s="24"/>
      <c r="M13" s="24"/>
      <c r="N13" s="516"/>
      <c r="O13" s="528">
        <f>+K13+L13*'Grafer-klima-&gt;VÆLG GWP og NIR&lt;-'!$E$8+'Industrielle processer 2018G'!M13*'Grafer-klima-&gt;VÆLG GWP og NIR&lt;-'!$F$8+'Industrielle processer 2018G'!N13</f>
        <v>0</v>
      </c>
      <c r="P13" s="512"/>
    </row>
    <row r="14" spans="1:16" x14ac:dyDescent="0.2">
      <c r="B14" s="5172"/>
      <c r="C14" s="599"/>
      <c r="D14" s="597"/>
      <c r="E14" s="597"/>
      <c r="F14" s="597"/>
      <c r="G14" s="597"/>
      <c r="H14" s="597"/>
      <c r="I14" s="598"/>
      <c r="J14" s="93" t="s">
        <v>4209</v>
      </c>
      <c r="L14" s="24"/>
      <c r="M14" s="24"/>
      <c r="N14" s="516"/>
      <c r="O14" s="528">
        <f>+K14+L14*'Grafer-klima-&gt;VÆLG GWP og NIR&lt;-'!$E$8+'Industrielle processer 2018G'!M14*'Grafer-klima-&gt;VÆLG GWP og NIR&lt;-'!$F$8+'Industrielle processer 2018G'!N14</f>
        <v>0</v>
      </c>
      <c r="P14" s="512"/>
    </row>
    <row r="15" spans="1:16" x14ac:dyDescent="0.2">
      <c r="B15" s="5172"/>
      <c r="C15" s="599">
        <f>'K15 2018G'!D16</f>
        <v>14.03856264886641</v>
      </c>
      <c r="D15" s="597"/>
      <c r="E15" s="597"/>
      <c r="F15" s="597"/>
      <c r="G15" s="597"/>
      <c r="H15" s="597"/>
      <c r="I15" s="598"/>
      <c r="J15" s="93" t="s">
        <v>437</v>
      </c>
      <c r="K15" s="302">
        <f>'K15 2018G'!H16</f>
        <v>5.8248804142676507</v>
      </c>
      <c r="L15" s="24"/>
      <c r="M15" s="24"/>
      <c r="N15" s="516"/>
      <c r="O15" s="528">
        <f>+K15+L15*'Grafer-klima-&gt;VÆLG GWP og NIR&lt;-'!$E$8+'Industrielle processer 2018G'!M15*'Grafer-klima-&gt;VÆLG GWP og NIR&lt;-'!$F$8+'Industrielle processer 2018G'!N15</f>
        <v>5.8248804142676507</v>
      </c>
      <c r="P15" s="512"/>
    </row>
    <row r="16" spans="1:16" x14ac:dyDescent="0.2">
      <c r="C16" s="565"/>
      <c r="D16" s="516"/>
      <c r="E16" s="516"/>
      <c r="F16" s="516"/>
      <c r="G16" s="516"/>
      <c r="H16" s="516"/>
      <c r="I16" s="566"/>
      <c r="J16" s="93" t="s">
        <v>438</v>
      </c>
      <c r="K16" s="571"/>
      <c r="L16" s="516"/>
      <c r="M16" s="516"/>
      <c r="N16" s="516"/>
      <c r="O16" s="528">
        <f>+K16+L16*'Grafer-klima-&gt;VÆLG GWP og NIR&lt;-'!$E$8+'Industrielle processer 2018G'!M16*'Grafer-klima-&gt;VÆLG GWP og NIR&lt;-'!$F$8+'Industrielle processer 2018G'!N16</f>
        <v>0</v>
      </c>
      <c r="P16" s="512"/>
    </row>
    <row r="17" spans="3:16" x14ac:dyDescent="0.2">
      <c r="C17" s="600"/>
      <c r="D17" s="576"/>
      <c r="E17" s="576"/>
      <c r="F17" s="576"/>
      <c r="G17" s="576"/>
      <c r="H17" s="576"/>
      <c r="I17" s="601"/>
      <c r="J17" s="94" t="s">
        <v>439</v>
      </c>
      <c r="K17" s="575"/>
      <c r="L17" s="576"/>
      <c r="M17" s="576"/>
      <c r="N17" s="576"/>
      <c r="O17" s="528">
        <f>+K17+L17*'Grafer-klima-&gt;VÆLG GWP og NIR&lt;-'!$E$8+'Industrielle processer 2018G'!M17*'Grafer-klima-&gt;VÆLG GWP og NIR&lt;-'!$F$8+'Industrielle processer 2018G'!N17</f>
        <v>0</v>
      </c>
      <c r="P17" s="512"/>
    </row>
    <row r="18" spans="3:16" x14ac:dyDescent="0.2">
      <c r="C18" s="565"/>
      <c r="D18" s="516"/>
      <c r="E18" s="516"/>
      <c r="F18" s="516"/>
      <c r="G18" s="516"/>
      <c r="H18" s="516"/>
      <c r="I18" s="566"/>
      <c r="J18" s="93" t="s">
        <v>440</v>
      </c>
      <c r="K18" s="571"/>
      <c r="L18" s="516"/>
      <c r="M18" s="516"/>
      <c r="N18" s="516"/>
      <c r="O18" s="528">
        <f>+K18+L18*'Grafer-klima-&gt;VÆLG GWP og NIR&lt;-'!$E$8+'Industrielle processer 2018G'!M18*'Grafer-klima-&gt;VÆLG GWP og NIR&lt;-'!$F$8+'Industrielle processer 2018G'!N18</f>
        <v>0</v>
      </c>
      <c r="P18" s="512"/>
    </row>
    <row r="19" spans="3:16" ht="15" thickBot="1" x14ac:dyDescent="0.25">
      <c r="C19" s="1703"/>
      <c r="D19" s="602"/>
      <c r="E19" s="602"/>
      <c r="F19" s="602"/>
      <c r="G19" s="602"/>
      <c r="H19" s="602"/>
      <c r="I19" s="603"/>
      <c r="J19" s="604" t="s">
        <v>441</v>
      </c>
      <c r="L19" s="602"/>
      <c r="M19" s="602"/>
      <c r="N19" s="602"/>
      <c r="O19" s="1749">
        <f>+K19+L19*'Grafer-klima-&gt;VÆLG GWP og NIR&lt;-'!$E$8+'Industrielle processer 2018G'!M19*'Grafer-klima-&gt;VÆLG GWP og NIR&lt;-'!$F$8+'Industrielle processer 2018G'!N19</f>
        <v>0</v>
      </c>
      <c r="P19" s="512"/>
    </row>
    <row r="20" spans="3:16" x14ac:dyDescent="0.2">
      <c r="C20" s="580"/>
      <c r="D20" s="522">
        <f>'K15 2018G'!C29</f>
        <v>18.536066277012171</v>
      </c>
      <c r="E20" s="522"/>
      <c r="F20" s="522"/>
      <c r="G20" s="522"/>
      <c r="H20" s="522"/>
      <c r="I20" s="581"/>
      <c r="J20" s="583" t="s">
        <v>442</v>
      </c>
      <c r="K20" s="580">
        <f>'K15 2018G'!L29</f>
        <v>0.4467191972759933</v>
      </c>
      <c r="L20" s="522"/>
      <c r="M20" s="522"/>
      <c r="N20" s="522"/>
      <c r="O20" s="514">
        <f>+K20+L20*'Grafer-klima-&gt;VÆLG GWP og NIR&lt;-'!$E$8+'Industrielle processer 2018G'!M20*'Grafer-klima-&gt;VÆLG GWP og NIR&lt;-'!$F$8+'Industrielle processer 2018G'!N20</f>
        <v>0.4467191972759933</v>
      </c>
      <c r="P20" s="512"/>
    </row>
    <row r="21" spans="3:16" x14ac:dyDescent="0.2">
      <c r="C21" s="565"/>
      <c r="D21" s="516"/>
      <c r="E21" s="516"/>
      <c r="F21" s="516"/>
      <c r="G21" s="516"/>
      <c r="H21" s="516"/>
      <c r="I21" s="566"/>
      <c r="J21" s="93" t="s">
        <v>443</v>
      </c>
      <c r="K21" s="565"/>
      <c r="L21" s="516"/>
      <c r="M21" s="516"/>
      <c r="N21" s="516"/>
      <c r="O21" s="528">
        <f>+K21+L21*'Grafer-klima-&gt;VÆLG GWP og NIR&lt;-'!$E$8+'Industrielle processer 2018G'!M21*'Grafer-klima-&gt;VÆLG GWP og NIR&lt;-'!$F$8+'Industrielle processer 2018G'!N21</f>
        <v>0</v>
      </c>
      <c r="P21" s="512"/>
    </row>
    <row r="22" spans="3:16" x14ac:dyDescent="0.2">
      <c r="C22" s="565"/>
      <c r="D22" s="516"/>
      <c r="E22" s="516"/>
      <c r="F22" s="516"/>
      <c r="G22" s="516"/>
      <c r="H22" s="516"/>
      <c r="I22" s="566"/>
      <c r="J22" s="93" t="s">
        <v>444</v>
      </c>
      <c r="K22" s="565"/>
      <c r="L22" s="516"/>
      <c r="M22" s="516"/>
      <c r="N22" s="516"/>
      <c r="O22" s="528">
        <f>+K22+L22*'Grafer-klima-&gt;VÆLG GWP og NIR&lt;-'!$E$8+'Industrielle processer 2018G'!M22*'Grafer-klima-&gt;VÆLG GWP og NIR&lt;-'!$F$8+'Industrielle processer 2018G'!N22</f>
        <v>0</v>
      </c>
      <c r="P22" s="512"/>
    </row>
    <row r="23" spans="3:16" ht="15" thickBot="1" x14ac:dyDescent="0.25">
      <c r="C23" s="605"/>
      <c r="D23" s="606"/>
      <c r="E23" s="606"/>
      <c r="F23" s="606"/>
      <c r="G23" s="606"/>
      <c r="H23" s="606"/>
      <c r="I23" s="607"/>
      <c r="J23" s="95" t="s">
        <v>445</v>
      </c>
      <c r="K23" s="605"/>
      <c r="L23" s="606"/>
      <c r="M23" s="606"/>
      <c r="N23" s="606"/>
      <c r="O23" s="520">
        <f>+K23+L23*'Grafer-klima-&gt;VÆLG GWP og NIR&lt;-'!$E$8+'Industrielle processer 2018G'!M23*'Grafer-klima-&gt;VÆLG GWP og NIR&lt;-'!$F$8+'Industrielle processer 2018G'!N23</f>
        <v>0</v>
      </c>
      <c r="P23" s="512"/>
    </row>
    <row r="24" spans="3:16" ht="15" thickBot="1" x14ac:dyDescent="0.25">
      <c r="C24" s="608"/>
      <c r="D24" s="609"/>
      <c r="E24" s="609">
        <f>'K15 2018G'!C36</f>
        <v>0.18691411283836026</v>
      </c>
      <c r="F24" s="609"/>
      <c r="G24" s="609"/>
      <c r="H24" s="609"/>
      <c r="I24" s="610"/>
      <c r="J24" s="611" t="s">
        <v>446</v>
      </c>
      <c r="K24" s="612">
        <f>'K15 2018G'!L36</f>
        <v>3.7382822567672058E-2</v>
      </c>
      <c r="L24" s="609"/>
      <c r="M24" s="609"/>
      <c r="N24" s="609"/>
      <c r="O24" s="613">
        <f>+K24+L24*'Grafer-klima-&gt;VÆLG GWP og NIR&lt;-'!$E$8+'Industrielle processer 2018G'!M24*'Grafer-klima-&gt;VÆLG GWP og NIR&lt;-'!$F$8+'Industrielle processer 2018G'!N24</f>
        <v>3.7382822567672058E-2</v>
      </c>
      <c r="P24" s="512"/>
    </row>
    <row r="25" spans="3:16" x14ac:dyDescent="0.2">
      <c r="C25" s="580"/>
      <c r="D25" s="522"/>
      <c r="E25" s="522"/>
      <c r="F25" s="522">
        <f>'K15 2018G'!C44</f>
        <v>16.040856640241891</v>
      </c>
      <c r="G25" s="522"/>
      <c r="H25" s="522"/>
      <c r="I25" s="581"/>
      <c r="J25" s="583" t="s">
        <v>447</v>
      </c>
      <c r="K25" s="522">
        <f>'K15 2018G'!L44</f>
        <v>9.899935492658086</v>
      </c>
      <c r="L25" s="522"/>
      <c r="M25" s="522"/>
      <c r="N25" s="522"/>
      <c r="O25" s="514">
        <f>+K25+L25*'Grafer-klima-&gt;VÆLG GWP og NIR&lt;-'!$E$8+'Industrielle processer 2018G'!M25*'Grafer-klima-&gt;VÆLG GWP og NIR&lt;-'!$F$8+'Industrielle processer 2018G'!N25</f>
        <v>9.899935492658086</v>
      </c>
      <c r="P25" s="512"/>
    </row>
    <row r="26" spans="3:16" x14ac:dyDescent="0.2">
      <c r="C26" s="565"/>
      <c r="D26" s="516"/>
      <c r="E26" s="516"/>
      <c r="F26" s="516">
        <f>'K15 2018G'!C45</f>
        <v>6.2847526201353006</v>
      </c>
      <c r="G26" s="516"/>
      <c r="H26" s="516"/>
      <c r="I26" s="566"/>
      <c r="J26" s="93" t="s">
        <v>448</v>
      </c>
      <c r="K26" s="516">
        <f>'K15 2018G'!L45</f>
        <v>18.352590052008843</v>
      </c>
      <c r="L26" s="516">
        <f>F26*0.00012</f>
        <v>7.5417031441623607E-4</v>
      </c>
      <c r="M26" s="516">
        <f>F26*0.000024</f>
        <v>1.5083406288324722E-4</v>
      </c>
      <c r="N26" s="516"/>
      <c r="O26" s="528">
        <f>+K26+L26*'Grafer-klima-&gt;VÆLG GWP og NIR&lt;-'!$E$8+'Industrielle processer 2018G'!M26*'Grafer-klima-&gt;VÆLG GWP og NIR&lt;-'!$F$8+'Industrielle processer 2018G'!N26</f>
        <v>18.416392860608454</v>
      </c>
      <c r="P26" s="512"/>
    </row>
    <row r="27" spans="3:16" x14ac:dyDescent="0.2">
      <c r="C27" s="600"/>
      <c r="D27" s="576"/>
      <c r="E27" s="576"/>
      <c r="F27" s="576">
        <f>'K15 2018G'!C46</f>
        <v>227.92372558244929</v>
      </c>
      <c r="G27" s="576"/>
      <c r="H27" s="576"/>
      <c r="I27" s="601"/>
      <c r="J27" s="93" t="s">
        <v>449</v>
      </c>
      <c r="K27" s="576">
        <f>'K15 2018G'!L46</f>
        <v>18.975784579889968</v>
      </c>
      <c r="L27" s="576"/>
      <c r="M27" s="576"/>
      <c r="N27" s="576"/>
      <c r="O27" s="528">
        <f>+K27+L27*'Grafer-klima-&gt;VÆLG GWP og NIR&lt;-'!$E$8+'Industrielle processer 2018G'!M27*'Grafer-klima-&gt;VÆLG GWP og NIR&lt;-'!$F$8+'Industrielle processer 2018G'!N27</f>
        <v>18.975784579889968</v>
      </c>
      <c r="P27" s="512"/>
    </row>
    <row r="28" spans="3:16" x14ac:dyDescent="0.2">
      <c r="C28" s="600"/>
      <c r="D28" s="576"/>
      <c r="E28" s="576"/>
      <c r="F28" s="576">
        <f>'K15 2018G'!C47</f>
        <v>1278.1124522805858</v>
      </c>
      <c r="G28" s="576"/>
      <c r="H28" s="576"/>
      <c r="I28" s="601"/>
      <c r="J28" s="93" t="s">
        <v>450</v>
      </c>
      <c r="K28" s="576">
        <f>'K15 2018G'!L47</f>
        <v>0.43455823377539921</v>
      </c>
      <c r="L28" s="576">
        <f>F28*0.0000044</f>
        <v>5.623694790034578E-3</v>
      </c>
      <c r="M28" s="576"/>
      <c r="N28" s="576"/>
      <c r="O28" s="528">
        <f>+K28+L28*'Grafer-klima-&gt;VÆLG GWP og NIR&lt;-'!$E$8+'Industrielle processer 2018G'!M28*'Grafer-klima-&gt;VÆLG GWP og NIR&lt;-'!$F$8+'Industrielle processer 2018G'!N28</f>
        <v>0.57515060352626368</v>
      </c>
      <c r="P28" s="512"/>
    </row>
    <row r="29" spans="3:16" x14ac:dyDescent="0.2">
      <c r="C29" s="600"/>
      <c r="D29" s="576"/>
      <c r="E29" s="576"/>
      <c r="F29" s="576">
        <f>'K15 2018G'!C48</f>
        <v>18.375407658284885</v>
      </c>
      <c r="G29" s="576"/>
      <c r="H29" s="576"/>
      <c r="I29" s="601"/>
      <c r="J29" s="93" t="s">
        <v>451</v>
      </c>
      <c r="K29" s="576">
        <f>'K15 2018G'!L48</f>
        <v>7.3501630633139546E-3</v>
      </c>
      <c r="L29" s="576"/>
      <c r="M29" s="576"/>
      <c r="N29" s="576"/>
      <c r="O29" s="528">
        <f>+K29+L29*'Grafer-klima-&gt;VÆLG GWP og NIR&lt;-'!$E$8+'Industrielle processer 2018G'!M29*'Grafer-klima-&gt;VÆLG GWP og NIR&lt;-'!$F$8+'Industrielle processer 2018G'!N29</f>
        <v>7.3501630633139546E-3</v>
      </c>
      <c r="P29" s="512"/>
    </row>
    <row r="30" spans="3:16" ht="15" thickBot="1" x14ac:dyDescent="0.25">
      <c r="C30" s="605"/>
      <c r="D30" s="606"/>
      <c r="E30" s="606"/>
      <c r="F30" s="606">
        <f>'K15 2018G'!C49</f>
        <v>11.718251241037967</v>
      </c>
      <c r="G30" s="606"/>
      <c r="H30" s="606"/>
      <c r="I30" s="607"/>
      <c r="J30" s="95" t="s">
        <v>452</v>
      </c>
      <c r="K30" s="606">
        <f>'K15 2018G'!L49</f>
        <v>2.7951791951099367</v>
      </c>
      <c r="L30" s="606"/>
      <c r="M30" s="606"/>
      <c r="N30" s="606"/>
      <c r="O30" s="520">
        <f>+K30+L30*'Grafer-klima-&gt;VÆLG GWP og NIR&lt;-'!$E$8+'Industrielle processer 2018G'!M30*'Grafer-klima-&gt;VÆLG GWP og NIR&lt;-'!$F$8+'Industrielle processer 2018G'!N30</f>
        <v>2.7951791951099367</v>
      </c>
      <c r="P30" s="512"/>
    </row>
    <row r="31" spans="3:16" x14ac:dyDescent="0.2">
      <c r="C31" s="580"/>
      <c r="D31" s="522"/>
      <c r="E31" s="522"/>
      <c r="F31" s="522"/>
      <c r="G31" s="522"/>
      <c r="H31" s="522"/>
      <c r="I31" s="581"/>
      <c r="J31" s="583" t="s">
        <v>453</v>
      </c>
      <c r="K31" s="584"/>
      <c r="L31" s="522"/>
      <c r="M31" s="522"/>
      <c r="N31" s="522"/>
      <c r="O31" s="514">
        <f>+K31+L31*'Grafer-klima-&gt;VÆLG GWP og NIR&lt;-'!$E$8+'Industrielle processer 2018G'!M31*'Grafer-klima-&gt;VÆLG GWP og NIR&lt;-'!$F$8+'Industrielle processer 2018G'!N31</f>
        <v>0</v>
      </c>
      <c r="P31" s="512"/>
    </row>
    <row r="32" spans="3:16" ht="15" thickBot="1" x14ac:dyDescent="0.25">
      <c r="C32" s="605"/>
      <c r="D32" s="606"/>
      <c r="E32" s="606"/>
      <c r="F32" s="606"/>
      <c r="G32" s="606"/>
      <c r="H32" s="606"/>
      <c r="I32" s="607"/>
      <c r="J32" s="95" t="s">
        <v>454</v>
      </c>
      <c r="K32" s="592"/>
      <c r="L32" s="606"/>
      <c r="M32" s="606"/>
      <c r="N32" s="606"/>
      <c r="O32" s="520">
        <f>+K32+L32*'Grafer-klima-&gt;VÆLG GWP og NIR&lt;-'!$E$8+'Industrielle processer 2018G'!M32*'Grafer-klima-&gt;VÆLG GWP og NIR&lt;-'!$F$8+'Industrielle processer 2018G'!N32</f>
        <v>0</v>
      </c>
      <c r="P32" s="512"/>
    </row>
    <row r="33" spans="3:19" x14ac:dyDescent="0.2">
      <c r="C33" s="580"/>
      <c r="D33" s="522"/>
      <c r="E33" s="522"/>
      <c r="F33" s="522"/>
      <c r="G33" s="522"/>
      <c r="H33" s="522" t="s">
        <v>455</v>
      </c>
      <c r="I33" s="581"/>
      <c r="J33" s="583" t="s">
        <v>456</v>
      </c>
      <c r="K33" s="584"/>
      <c r="L33" s="522"/>
      <c r="M33" s="522"/>
      <c r="N33" s="522">
        <f>'K15 2018G'!C63</f>
        <v>148.08987177465065</v>
      </c>
      <c r="O33" s="514">
        <f>+K33+L33*'Grafer-klima-&gt;VÆLG GWP og NIR&lt;-'!$E$8+M33*'Grafer-klima-&gt;VÆLG GWP og NIR&lt;-'!$F$8+N33</f>
        <v>148.08987177465065</v>
      </c>
      <c r="P33" s="512"/>
    </row>
    <row r="34" spans="3:19" x14ac:dyDescent="0.2">
      <c r="C34" s="565"/>
      <c r="D34" s="516"/>
      <c r="E34" s="516"/>
      <c r="F34" s="516"/>
      <c r="G34" s="516"/>
      <c r="H34" s="516" t="s">
        <v>455</v>
      </c>
      <c r="I34" s="566"/>
      <c r="J34" s="93" t="s">
        <v>457</v>
      </c>
      <c r="K34" s="571"/>
      <c r="L34" s="516"/>
      <c r="M34" s="516"/>
      <c r="N34" s="516">
        <f>'K15 2018G'!C64</f>
        <v>0.24509096792528876</v>
      </c>
      <c r="O34" s="528">
        <f>+K34+L34*'Grafer-klima-&gt;VÆLG GWP og NIR&lt;-'!$E$8+'Industrielle processer 2018G'!M34*'Grafer-klima-&gt;VÆLG GWP og NIR&lt;-'!$F$8+'Industrielle processer 2018G'!N34</f>
        <v>0.24509096792528876</v>
      </c>
      <c r="P34" s="512"/>
    </row>
    <row r="35" spans="3:19" ht="15" thickBot="1" x14ac:dyDescent="0.25">
      <c r="C35" s="605"/>
      <c r="D35" s="606"/>
      <c r="E35" s="606"/>
      <c r="F35" s="606"/>
      <c r="G35" s="606"/>
      <c r="H35" s="606" t="s">
        <v>455</v>
      </c>
      <c r="I35" s="607"/>
      <c r="J35" s="95" t="s">
        <v>458</v>
      </c>
      <c r="K35" s="575"/>
      <c r="L35" s="576"/>
      <c r="M35" s="576"/>
      <c r="N35" s="576">
        <f>'K15 2018G'!C65</f>
        <v>3.9926164842532383</v>
      </c>
      <c r="O35" s="520">
        <f>+K35+L35*'Grafer-klima-&gt;VÆLG GWP og NIR&lt;-'!$E$8+'Industrielle processer 2018G'!M35*'Grafer-klima-&gt;VÆLG GWP og NIR&lt;-'!$F$8+'Industrielle processer 2018G'!N35</f>
        <v>3.9926164842532383</v>
      </c>
      <c r="P35" s="512"/>
    </row>
    <row r="36" spans="3:19" ht="15" thickBot="1" x14ac:dyDescent="0.25">
      <c r="C36" s="580"/>
      <c r="D36" s="522"/>
      <c r="E36" s="522"/>
      <c r="F36" s="522"/>
      <c r="G36" s="522"/>
      <c r="H36" s="522"/>
      <c r="I36" s="581">
        <f>'K15 2018G'!C72</f>
        <v>1.187748543120015E-2</v>
      </c>
      <c r="J36" s="614" t="s">
        <v>459</v>
      </c>
      <c r="K36" s="580"/>
      <c r="L36" s="522"/>
      <c r="M36" s="522">
        <f>$I36*'K15 2018G'!F72</f>
        <v>1.187748543120015E-2</v>
      </c>
      <c r="N36" s="522"/>
      <c r="O36" s="530">
        <f>+K36+L36*'Grafer-klima-&gt;VÆLG GWP og NIR&lt;-'!$E$8+'Industrielle processer 2018G'!M36*'Grafer-klima-&gt;VÆLG GWP og NIR&lt;-'!$F$8+'Industrielle processer 2018G'!N36</f>
        <v>3.5394906584976447</v>
      </c>
      <c r="P36" s="512"/>
    </row>
    <row r="37" spans="3:19" ht="15" thickBot="1" x14ac:dyDescent="0.25">
      <c r="C37" s="565"/>
      <c r="D37" s="516"/>
      <c r="E37" s="516"/>
      <c r="F37" s="516"/>
      <c r="G37" s="516"/>
      <c r="H37" s="516"/>
      <c r="I37" s="581">
        <f>'K15 2018G'!C73</f>
        <v>0.10846019591122243</v>
      </c>
      <c r="J37" s="615" t="s">
        <v>460</v>
      </c>
      <c r="K37" s="565"/>
      <c r="L37" s="516"/>
      <c r="M37" s="522">
        <f>$I37*'K15 2018G'!F73</f>
        <v>5.1518593057830655E-3</v>
      </c>
      <c r="N37" s="516"/>
      <c r="O37" s="528">
        <f>+K37+L37*'Grafer-klima-&gt;VÆLG GWP og NIR&lt;-'!$E$8+'Industrielle processer 2018G'!M37*'Grafer-klima-&gt;VÆLG GWP og NIR&lt;-'!$F$8+'Industrielle processer 2018G'!N37</f>
        <v>1.5352540731233535</v>
      </c>
      <c r="P37" s="512"/>
    </row>
    <row r="38" spans="3:19" ht="15" thickBot="1" x14ac:dyDescent="0.25">
      <c r="C38" s="565"/>
      <c r="D38" s="516"/>
      <c r="E38" s="516"/>
      <c r="F38" s="516"/>
      <c r="G38" s="516"/>
      <c r="H38" s="516"/>
      <c r="I38" s="581">
        <f>'K15 2018G'!C74</f>
        <v>1.9485014849883848</v>
      </c>
      <c r="J38" s="615" t="s">
        <v>461</v>
      </c>
      <c r="K38" s="1704">
        <f>$I38*'K15 2018G'!D74</f>
        <v>8.4272689225747641E-2</v>
      </c>
      <c r="L38" s="516">
        <f>$I38*'K15 2018G'!E74</f>
        <v>1.6075137251154174E-3</v>
      </c>
      <c r="M38" s="522">
        <f>$I38*'K15 2018G'!F74</f>
        <v>3.770350373452525E-3</v>
      </c>
      <c r="N38" s="516"/>
      <c r="O38" s="528">
        <f>+K38+L38*'Grafer-klima-&gt;VÆLG GWP og NIR&lt;-'!$E$8+'Industrielle processer 2018G'!M38*'Grafer-klima-&gt;VÆLG GWP og NIR&lt;-'!$F$8+'Industrielle processer 2018G'!N38</f>
        <v>1.2480249436424855</v>
      </c>
      <c r="P38" s="512"/>
    </row>
    <row r="39" spans="3:19" ht="15" thickBot="1" x14ac:dyDescent="0.25">
      <c r="C39" s="565"/>
      <c r="D39" s="516"/>
      <c r="E39" s="516"/>
      <c r="F39" s="516"/>
      <c r="G39" s="516"/>
      <c r="H39" s="516"/>
      <c r="I39" s="581">
        <f>'K15 2018G'!C75</f>
        <v>1.9460322182803194</v>
      </c>
      <c r="J39" s="615" t="s">
        <v>462</v>
      </c>
      <c r="K39" s="1704"/>
      <c r="L39" s="516">
        <f>$I39*'K15 2018G'!E75</f>
        <v>6.2020046796593779E-3</v>
      </c>
      <c r="M39" s="522">
        <f>$I39*'K15 2018G'!F75</f>
        <v>1.2454606196994045E-4</v>
      </c>
      <c r="N39" s="516"/>
      <c r="O39" s="528">
        <f>+K39+L39*'Grafer-klima-&gt;VÆLG GWP og NIR&lt;-'!$E$8+'Industrielle processer 2018G'!M39*'Grafer-klima-&gt;VÆLG GWP og NIR&lt;-'!$F$8+'Industrielle processer 2018G'!N39</f>
        <v>0.19216484345852669</v>
      </c>
      <c r="P39" s="512"/>
    </row>
    <row r="40" spans="3:19" x14ac:dyDescent="0.2">
      <c r="C40" s="565"/>
      <c r="D40" s="516"/>
      <c r="E40" s="516"/>
      <c r="F40" s="516"/>
      <c r="G40" s="516"/>
      <c r="H40" s="516"/>
      <c r="I40" s="581">
        <f>'K15 2018G'!C76</f>
        <v>2.5001231649539282</v>
      </c>
      <c r="J40" s="615" t="s">
        <v>463</v>
      </c>
      <c r="K40" s="1704"/>
      <c r="L40" s="516">
        <f>$I40*'K15 2018G'!E76</f>
        <v>1.4750726673228175E-2</v>
      </c>
      <c r="M40" s="522">
        <f>$I40*'K15 2018G'!F76</f>
        <v>7.3753633366140876E-5</v>
      </c>
      <c r="N40" s="516"/>
      <c r="O40" s="528">
        <f>+K40+L40*'Grafer-klima-&gt;VÆLG GWP og NIR&lt;-'!$E$8+'Industrielle processer 2018G'!M40*'Grafer-klima-&gt;VÆLG GWP og NIR&lt;-'!$F$8+'Industrielle processer 2018G'!N40</f>
        <v>0.39074674957381439</v>
      </c>
      <c r="P40" s="512"/>
    </row>
    <row r="41" spans="3:19" x14ac:dyDescent="0.2">
      <c r="C41" s="600"/>
      <c r="D41" s="576"/>
      <c r="E41" s="576"/>
      <c r="F41" s="576"/>
      <c r="G41" s="576"/>
      <c r="H41" s="576"/>
      <c r="I41" s="601" t="str">
        <f>'K15 2018G'!B77</f>
        <v>NO</v>
      </c>
      <c r="J41" s="615" t="s">
        <v>464</v>
      </c>
      <c r="K41" s="565"/>
      <c r="L41" s="516"/>
      <c r="M41" s="516"/>
      <c r="N41" s="4236">
        <f>IF('K15 2018G'!L77="IE",0)</f>
        <v>0</v>
      </c>
      <c r="O41" s="616">
        <f>+K41+L41*'Grafer-klima-&gt;VÆLG GWP og NIR&lt;-'!$E$8+'Industrielle processer 2018G'!M41*'Grafer-klima-&gt;VÆLG GWP og NIR&lt;-'!$F$8+'Industrielle processer 2018G'!N41</f>
        <v>0</v>
      </c>
      <c r="P41" s="512"/>
    </row>
    <row r="42" spans="3:19" ht="15" thickBot="1" x14ac:dyDescent="0.25">
      <c r="C42" s="565"/>
      <c r="D42" s="516"/>
      <c r="E42" s="516"/>
      <c r="F42" s="516"/>
      <c r="G42" s="516"/>
      <c r="H42" s="516"/>
      <c r="I42" s="566" t="str">
        <f>'K15 2018G'!B78</f>
        <v>NO</v>
      </c>
      <c r="J42" s="615" t="s">
        <v>632</v>
      </c>
      <c r="K42" s="617"/>
      <c r="L42" s="523"/>
      <c r="M42" s="523"/>
      <c r="N42" s="4236">
        <f>+'K15 2018G'!L78</f>
        <v>1.1826577204990045</v>
      </c>
      <c r="O42" s="616">
        <f>+K42+L42*'Grafer-klima-&gt;VÆLG GWP og NIR&lt;-'!$E$8+'Industrielle processer 2018G'!M42*'Grafer-klima-&gt;VÆLG GWP og NIR&lt;-'!$F$8+'Industrielle processer 2018G'!N42</f>
        <v>1.1826577204990045</v>
      </c>
      <c r="P42" s="512"/>
      <c r="Q42" s="129" t="s">
        <v>986</v>
      </c>
      <c r="R42" s="129" t="s">
        <v>986</v>
      </c>
      <c r="S42" s="129" t="s">
        <v>986</v>
      </c>
    </row>
    <row r="43" spans="3:19" ht="15" thickBot="1" x14ac:dyDescent="0.25">
      <c r="C43" s="618">
        <f t="shared" ref="C43:I43" si="0">SUM(C11:C42)</f>
        <v>14.03856264886641</v>
      </c>
      <c r="D43" s="610">
        <f t="shared" si="0"/>
        <v>18.536066277012171</v>
      </c>
      <c r="E43" s="610">
        <f t="shared" si="0"/>
        <v>0.18691411283836026</v>
      </c>
      <c r="F43" s="610">
        <f t="shared" si="0"/>
        <v>1558.4554460227353</v>
      </c>
      <c r="G43" s="610">
        <f t="shared" si="0"/>
        <v>0</v>
      </c>
      <c r="H43" s="610">
        <f t="shared" si="0"/>
        <v>0</v>
      </c>
      <c r="I43" s="610">
        <f t="shared" si="0"/>
        <v>6.5149945495650545</v>
      </c>
      <c r="J43" s="619" t="s">
        <v>228</v>
      </c>
      <c r="K43" s="620">
        <f>SUM(K11:K42)</f>
        <v>56.858652839842613</v>
      </c>
      <c r="L43" s="621">
        <f>SUM(L11:L42)</f>
        <v>2.8938110182453784E-2</v>
      </c>
      <c r="M43" s="621">
        <f>SUM(M11:M42)</f>
        <v>2.1148828868655066E-2</v>
      </c>
      <c r="N43" s="621">
        <f>SUM(N11:N42)</f>
        <v>153.51023694732817</v>
      </c>
      <c r="O43" s="622">
        <f>SUM(O11:O42)</f>
        <v>217.39469354459135</v>
      </c>
      <c r="P43" s="512"/>
      <c r="Q43" s="129" t="s">
        <v>986</v>
      </c>
      <c r="R43" s="129" t="s">
        <v>986</v>
      </c>
      <c r="S43" s="129" t="s">
        <v>986</v>
      </c>
    </row>
    <row r="44" spans="3:19" x14ac:dyDescent="0.2">
      <c r="C44" s="562"/>
      <c r="D44" s="512"/>
      <c r="E44" s="512"/>
      <c r="F44" s="512"/>
      <c r="G44" s="512"/>
      <c r="H44" s="512"/>
      <c r="I44" s="512"/>
      <c r="J44" s="512"/>
      <c r="K44" s="512"/>
      <c r="L44" s="512"/>
      <c r="M44" s="512"/>
      <c r="N44" s="512"/>
      <c r="O44" s="512"/>
      <c r="P44" s="512"/>
    </row>
    <row r="45" spans="3:19" x14ac:dyDescent="0.2">
      <c r="C45" s="512"/>
      <c r="D45" s="512"/>
      <c r="E45" s="512"/>
      <c r="F45" s="512"/>
      <c r="G45" s="512"/>
      <c r="H45" s="512"/>
      <c r="I45" s="512"/>
      <c r="J45" s="512"/>
      <c r="K45" s="512"/>
      <c r="L45" s="512"/>
      <c r="M45" s="512"/>
      <c r="N45" s="512"/>
      <c r="O45" s="512"/>
      <c r="P45" s="512"/>
    </row>
    <row r="46" spans="3:19" x14ac:dyDescent="0.2">
      <c r="C46" s="512"/>
      <c r="D46" s="512"/>
      <c r="E46" s="512"/>
      <c r="F46" s="512"/>
      <c r="G46" s="512"/>
      <c r="H46" s="512"/>
      <c r="I46" s="512"/>
      <c r="J46" s="512"/>
      <c r="K46" s="512"/>
      <c r="L46" s="512"/>
      <c r="M46" s="512"/>
      <c r="N46" s="512"/>
      <c r="O46" s="512"/>
      <c r="P46" s="512"/>
    </row>
    <row r="47" spans="3:19" x14ac:dyDescent="0.2">
      <c r="J47" s="129"/>
    </row>
    <row r="48" spans="3:19" x14ac:dyDescent="0.2">
      <c r="J48" s="129"/>
    </row>
    <row r="49" spans="10:10" x14ac:dyDescent="0.2">
      <c r="J49" s="129"/>
    </row>
    <row r="50" spans="10:10" x14ac:dyDescent="0.2">
      <c r="J50" s="129"/>
    </row>
    <row r="51" spans="10:10" x14ac:dyDescent="0.2">
      <c r="J51" s="129"/>
    </row>
    <row r="52" spans="10:10" x14ac:dyDescent="0.2">
      <c r="J52" s="129"/>
    </row>
    <row r="53" spans="10:10" x14ac:dyDescent="0.2">
      <c r="J53" s="129"/>
    </row>
    <row r="54" spans="10:10" x14ac:dyDescent="0.2">
      <c r="J54" s="129"/>
    </row>
    <row r="55" spans="10:10" x14ac:dyDescent="0.2">
      <c r="J55" s="129"/>
    </row>
    <row r="56" spans="10:10" x14ac:dyDescent="0.2">
      <c r="J56" s="129"/>
    </row>
    <row r="57" spans="10:10" x14ac:dyDescent="0.2">
      <c r="J57" s="129"/>
    </row>
    <row r="58" spans="10:10" x14ac:dyDescent="0.2">
      <c r="J58" s="129"/>
    </row>
    <row r="59" spans="10:10" x14ac:dyDescent="0.2">
      <c r="J59" s="129"/>
    </row>
    <row r="60" spans="10:10" x14ac:dyDescent="0.2">
      <c r="J60" s="129"/>
    </row>
    <row r="61" spans="10:10" x14ac:dyDescent="0.2">
      <c r="J61" s="129"/>
    </row>
    <row r="62" spans="10:10" x14ac:dyDescent="0.2">
      <c r="J62" s="129"/>
    </row>
    <row r="63" spans="10:10" x14ac:dyDescent="0.2">
      <c r="J63" s="129"/>
    </row>
    <row r="64" spans="10:10" x14ac:dyDescent="0.2">
      <c r="J64" s="129"/>
    </row>
    <row r="65" spans="10:10" x14ac:dyDescent="0.2">
      <c r="J65" s="129"/>
    </row>
    <row r="66" spans="10:10" x14ac:dyDescent="0.2">
      <c r="J66" s="129"/>
    </row>
    <row r="67" spans="10:10" x14ac:dyDescent="0.2">
      <c r="J67" s="129"/>
    </row>
    <row r="68" spans="10:10" x14ac:dyDescent="0.2">
      <c r="J68" s="129"/>
    </row>
    <row r="69" spans="10:10" x14ac:dyDescent="0.2">
      <c r="J69" s="129"/>
    </row>
    <row r="70" spans="10:10" x14ac:dyDescent="0.2">
      <c r="J70" s="129"/>
    </row>
    <row r="71" spans="10:10" x14ac:dyDescent="0.2">
      <c r="J71" s="129"/>
    </row>
    <row r="72" spans="10:10" x14ac:dyDescent="0.2">
      <c r="J72" s="129"/>
    </row>
    <row r="73" spans="10:10" x14ac:dyDescent="0.2">
      <c r="J73" s="129"/>
    </row>
    <row r="74" spans="10:10" x14ac:dyDescent="0.2">
      <c r="J74" s="129"/>
    </row>
    <row r="75" spans="10:10" x14ac:dyDescent="0.2">
      <c r="J75" s="129"/>
    </row>
    <row r="76" spans="10:10" x14ac:dyDescent="0.2">
      <c r="J76" s="129"/>
    </row>
    <row r="77" spans="10:10" x14ac:dyDescent="0.2">
      <c r="J77" s="129"/>
    </row>
    <row r="78" spans="10:10" x14ac:dyDescent="0.2">
      <c r="J78" s="129"/>
    </row>
    <row r="79" spans="10:10" x14ac:dyDescent="0.2">
      <c r="J79" s="129"/>
    </row>
    <row r="80" spans="10:10" x14ac:dyDescent="0.2">
      <c r="J80" s="129"/>
    </row>
    <row r="81" spans="10:10" x14ac:dyDescent="0.2">
      <c r="J81" s="129"/>
    </row>
    <row r="82" spans="10:10" x14ac:dyDescent="0.2">
      <c r="J82" s="129"/>
    </row>
    <row r="83" spans="10:10" x14ac:dyDescent="0.2">
      <c r="J83" s="129"/>
    </row>
    <row r="84" spans="10:10" x14ac:dyDescent="0.2">
      <c r="J84" s="129"/>
    </row>
    <row r="85" spans="10:10" x14ac:dyDescent="0.2">
      <c r="J85" s="129"/>
    </row>
    <row r="86" spans="10:10" x14ac:dyDescent="0.2">
      <c r="J86" s="129"/>
    </row>
    <row r="87" spans="10:10" x14ac:dyDescent="0.2">
      <c r="J87" s="129"/>
    </row>
    <row r="88" spans="10:10" x14ac:dyDescent="0.2">
      <c r="J88" s="129"/>
    </row>
    <row r="89" spans="10:10" x14ac:dyDescent="0.2">
      <c r="J89" s="129"/>
    </row>
    <row r="90" spans="10:10" x14ac:dyDescent="0.2">
      <c r="J90" s="129"/>
    </row>
    <row r="91" spans="10:10" x14ac:dyDescent="0.2">
      <c r="J91" s="129"/>
    </row>
    <row r="92" spans="10:10" x14ac:dyDescent="0.2">
      <c r="J92" s="129"/>
    </row>
    <row r="93" spans="10:10" x14ac:dyDescent="0.2">
      <c r="J93" s="129"/>
    </row>
    <row r="94" spans="10:10" x14ac:dyDescent="0.2">
      <c r="J94" s="129"/>
    </row>
    <row r="95" spans="10:10" x14ac:dyDescent="0.2">
      <c r="J95" s="129"/>
    </row>
    <row r="96" spans="10:10" x14ac:dyDescent="0.2">
      <c r="J96" s="129"/>
    </row>
    <row r="97" spans="10:10" x14ac:dyDescent="0.2">
      <c r="J97" s="129"/>
    </row>
    <row r="98" spans="10:10" x14ac:dyDescent="0.2">
      <c r="J98" s="129"/>
    </row>
    <row r="99" spans="10:10" x14ac:dyDescent="0.2">
      <c r="J99" s="129"/>
    </row>
    <row r="100" spans="10:10" x14ac:dyDescent="0.2">
      <c r="J100" s="129"/>
    </row>
    <row r="101" spans="10:10" x14ac:dyDescent="0.2">
      <c r="J101" s="129"/>
    </row>
    <row r="102" spans="10:10" x14ac:dyDescent="0.2">
      <c r="J102" s="129"/>
    </row>
    <row r="103" spans="10:10" x14ac:dyDescent="0.2">
      <c r="J103" s="129"/>
    </row>
    <row r="104" spans="10:10" x14ac:dyDescent="0.2">
      <c r="J104" s="129"/>
    </row>
    <row r="105" spans="10:10" x14ac:dyDescent="0.2">
      <c r="J105" s="129"/>
    </row>
    <row r="106" spans="10:10" x14ac:dyDescent="0.2">
      <c r="J106" s="129"/>
    </row>
    <row r="107" spans="10:10" x14ac:dyDescent="0.2">
      <c r="J107" s="129"/>
    </row>
    <row r="108" spans="10:10" x14ac:dyDescent="0.2">
      <c r="J108" s="129"/>
    </row>
    <row r="109" spans="10:10" x14ac:dyDescent="0.2">
      <c r="J109" s="129"/>
    </row>
    <row r="110" spans="10:10" x14ac:dyDescent="0.2">
      <c r="J110" s="129"/>
    </row>
    <row r="111" spans="10:10" x14ac:dyDescent="0.2">
      <c r="J111" s="129"/>
    </row>
    <row r="112" spans="10:10" x14ac:dyDescent="0.2">
      <c r="J112" s="129"/>
    </row>
    <row r="113" spans="10:10" x14ac:dyDescent="0.2">
      <c r="J113" s="129"/>
    </row>
    <row r="114" spans="10:10" x14ac:dyDescent="0.2">
      <c r="J114" s="129"/>
    </row>
    <row r="115" spans="10:10" x14ac:dyDescent="0.2">
      <c r="J115" s="129"/>
    </row>
    <row r="116" spans="10:10" x14ac:dyDescent="0.2">
      <c r="J116" s="129"/>
    </row>
    <row r="117" spans="10:10" x14ac:dyDescent="0.2">
      <c r="J117" s="129"/>
    </row>
    <row r="118" spans="10:10" x14ac:dyDescent="0.2">
      <c r="J118" s="129"/>
    </row>
    <row r="119" spans="10:10" x14ac:dyDescent="0.2">
      <c r="J119" s="129"/>
    </row>
    <row r="120" spans="10:10" x14ac:dyDescent="0.2">
      <c r="J120" s="129"/>
    </row>
    <row r="121" spans="10:10" x14ac:dyDescent="0.2">
      <c r="J121" s="129"/>
    </row>
    <row r="122" spans="10:10" x14ac:dyDescent="0.2">
      <c r="J122" s="129"/>
    </row>
    <row r="123" spans="10:10" x14ac:dyDescent="0.2">
      <c r="J123" s="129"/>
    </row>
    <row r="124" spans="10:10" x14ac:dyDescent="0.2">
      <c r="J124" s="129"/>
    </row>
    <row r="125" spans="10:10" x14ac:dyDescent="0.2">
      <c r="J125" s="129"/>
    </row>
    <row r="126" spans="10:10" x14ac:dyDescent="0.2">
      <c r="J126" s="129"/>
    </row>
    <row r="127" spans="10:10" x14ac:dyDescent="0.2">
      <c r="J127" s="129"/>
    </row>
    <row r="128" spans="10:10" x14ac:dyDescent="0.2">
      <c r="J128" s="129"/>
    </row>
    <row r="129" spans="10:10" x14ac:dyDescent="0.2">
      <c r="J129" s="129"/>
    </row>
    <row r="130" spans="10:10" x14ac:dyDescent="0.2">
      <c r="J130" s="129"/>
    </row>
    <row r="131" spans="10:10" x14ac:dyDescent="0.2">
      <c r="J131" s="129"/>
    </row>
    <row r="132" spans="10:10" x14ac:dyDescent="0.2">
      <c r="J132" s="129"/>
    </row>
    <row r="133" spans="10:10" x14ac:dyDescent="0.2">
      <c r="J133" s="129"/>
    </row>
    <row r="134" spans="10:10" x14ac:dyDescent="0.2">
      <c r="J134" s="129"/>
    </row>
    <row r="135" spans="10:10" x14ac:dyDescent="0.2">
      <c r="J135" s="129"/>
    </row>
    <row r="136" spans="10:10" x14ac:dyDescent="0.2">
      <c r="J136" s="129"/>
    </row>
    <row r="137" spans="10:10" x14ac:dyDescent="0.2">
      <c r="J137" s="129"/>
    </row>
    <row r="138" spans="10:10" x14ac:dyDescent="0.2">
      <c r="J138" s="129"/>
    </row>
    <row r="139" spans="10:10" x14ac:dyDescent="0.2">
      <c r="J139" s="129"/>
    </row>
    <row r="140" spans="10:10" x14ac:dyDescent="0.2">
      <c r="J140" s="129"/>
    </row>
    <row r="141" spans="10:10" x14ac:dyDescent="0.2">
      <c r="J141" s="129"/>
    </row>
    <row r="142" spans="10:10" x14ac:dyDescent="0.2">
      <c r="J142" s="129"/>
    </row>
    <row r="143" spans="10:10" x14ac:dyDescent="0.2">
      <c r="J143" s="129"/>
    </row>
    <row r="144" spans="10:10" x14ac:dyDescent="0.2">
      <c r="J144" s="129"/>
    </row>
    <row r="145" spans="10:10" x14ac:dyDescent="0.2">
      <c r="J145" s="129"/>
    </row>
    <row r="146" spans="10:10" x14ac:dyDescent="0.2">
      <c r="J146" s="129"/>
    </row>
    <row r="147" spans="10:10" x14ac:dyDescent="0.2">
      <c r="J147" s="129"/>
    </row>
    <row r="148" spans="10:10" x14ac:dyDescent="0.2">
      <c r="J148" s="129"/>
    </row>
    <row r="149" spans="10:10" x14ac:dyDescent="0.2">
      <c r="J149" s="129"/>
    </row>
    <row r="150" spans="10:10" x14ac:dyDescent="0.2">
      <c r="J150" s="129"/>
    </row>
    <row r="151" spans="10:10" x14ac:dyDescent="0.2">
      <c r="J151" s="129"/>
    </row>
    <row r="152" spans="10:10" x14ac:dyDescent="0.2">
      <c r="J152" s="129"/>
    </row>
    <row r="153" spans="10:10" x14ac:dyDescent="0.2">
      <c r="J153" s="129"/>
    </row>
    <row r="154" spans="10:10" x14ac:dyDescent="0.2">
      <c r="J154" s="129"/>
    </row>
    <row r="155" spans="10:10" x14ac:dyDescent="0.2">
      <c r="J155" s="129"/>
    </row>
    <row r="156" spans="10:10" x14ac:dyDescent="0.2">
      <c r="J156" s="129"/>
    </row>
    <row r="157" spans="10:10" x14ac:dyDescent="0.2">
      <c r="J157" s="129"/>
    </row>
    <row r="158" spans="10:10" x14ac:dyDescent="0.2">
      <c r="J158" s="129"/>
    </row>
    <row r="159" spans="10:10" x14ac:dyDescent="0.2">
      <c r="J159" s="129"/>
    </row>
    <row r="160" spans="10:10" x14ac:dyDescent="0.2">
      <c r="J160" s="129"/>
    </row>
    <row r="161" spans="10:10" x14ac:dyDescent="0.2">
      <c r="J161" s="129"/>
    </row>
    <row r="162" spans="10:10" x14ac:dyDescent="0.2">
      <c r="J162" s="129"/>
    </row>
    <row r="163" spans="10:10" x14ac:dyDescent="0.2">
      <c r="J163" s="129"/>
    </row>
    <row r="164" spans="10:10" x14ac:dyDescent="0.2">
      <c r="J164" s="129"/>
    </row>
    <row r="165" spans="10:10" x14ac:dyDescent="0.2">
      <c r="J165" s="129"/>
    </row>
    <row r="166" spans="10:10" x14ac:dyDescent="0.2">
      <c r="J166" s="129"/>
    </row>
    <row r="167" spans="10:10" x14ac:dyDescent="0.2">
      <c r="J167" s="129"/>
    </row>
    <row r="168" spans="10:10" x14ac:dyDescent="0.2">
      <c r="J168" s="129"/>
    </row>
    <row r="169" spans="10:10" x14ac:dyDescent="0.2">
      <c r="J169" s="129"/>
    </row>
    <row r="170" spans="10:10" x14ac:dyDescent="0.2">
      <c r="J170" s="129"/>
    </row>
    <row r="171" spans="10:10" x14ac:dyDescent="0.2">
      <c r="J171" s="129"/>
    </row>
    <row r="172" spans="10:10" x14ac:dyDescent="0.2">
      <c r="J172" s="129"/>
    </row>
    <row r="173" spans="10:10" x14ac:dyDescent="0.2">
      <c r="J173" s="129"/>
    </row>
    <row r="174" spans="10:10" x14ac:dyDescent="0.2">
      <c r="J174" s="129"/>
    </row>
    <row r="175" spans="10:10" x14ac:dyDescent="0.2">
      <c r="J175" s="129"/>
    </row>
    <row r="176" spans="10:10" x14ac:dyDescent="0.2">
      <c r="J176" s="129"/>
    </row>
    <row r="177" spans="10:10" x14ac:dyDescent="0.2">
      <c r="J177" s="129"/>
    </row>
    <row r="178" spans="10:10" x14ac:dyDescent="0.2">
      <c r="J178" s="129"/>
    </row>
    <row r="179" spans="10:10" x14ac:dyDescent="0.2">
      <c r="J179" s="129"/>
    </row>
    <row r="180" spans="10:10" x14ac:dyDescent="0.2">
      <c r="J180" s="129"/>
    </row>
    <row r="181" spans="10:10" x14ac:dyDescent="0.2">
      <c r="J181" s="129"/>
    </row>
    <row r="182" spans="10:10" x14ac:dyDescent="0.2">
      <c r="J182" s="129"/>
    </row>
    <row r="183" spans="10:10" x14ac:dyDescent="0.2">
      <c r="J183" s="129"/>
    </row>
    <row r="184" spans="10:10" x14ac:dyDescent="0.2">
      <c r="J184" s="129"/>
    </row>
    <row r="185" spans="10:10" x14ac:dyDescent="0.2">
      <c r="J185" s="129"/>
    </row>
    <row r="186" spans="10:10" x14ac:dyDescent="0.2">
      <c r="J186" s="129"/>
    </row>
    <row r="187" spans="10:10" x14ac:dyDescent="0.2">
      <c r="J187" s="129"/>
    </row>
    <row r="188" spans="10:10" x14ac:dyDescent="0.2">
      <c r="J188" s="129"/>
    </row>
    <row r="189" spans="10:10" x14ac:dyDescent="0.2">
      <c r="J189" s="129"/>
    </row>
    <row r="190" spans="10:10" x14ac:dyDescent="0.2">
      <c r="J190" s="129"/>
    </row>
    <row r="191" spans="10:10" x14ac:dyDescent="0.2">
      <c r="J191" s="129"/>
    </row>
    <row r="192" spans="10:10" x14ac:dyDescent="0.2">
      <c r="J192" s="129"/>
    </row>
    <row r="193" spans="2:15" x14ac:dyDescent="0.2">
      <c r="J193" s="129"/>
    </row>
    <row r="194" spans="2:15" x14ac:dyDescent="0.2">
      <c r="J194" s="129"/>
    </row>
    <row r="195" spans="2:15" x14ac:dyDescent="0.2">
      <c r="J195" s="129"/>
    </row>
    <row r="196" spans="2:15" x14ac:dyDescent="0.2">
      <c r="J196" s="129"/>
    </row>
    <row r="197" spans="2:15" x14ac:dyDescent="0.2">
      <c r="J197" s="129"/>
    </row>
    <row r="198" spans="2:15" x14ac:dyDescent="0.2">
      <c r="J198" s="129"/>
    </row>
    <row r="199" spans="2:15" x14ac:dyDescent="0.2">
      <c r="J199" s="129"/>
    </row>
    <row r="200" spans="2:15" x14ac:dyDescent="0.2">
      <c r="J200" s="129"/>
    </row>
    <row r="201" spans="2:15" ht="15" thickBot="1" x14ac:dyDescent="0.25">
      <c r="J201" s="129"/>
    </row>
    <row r="202" spans="2:15" ht="15" thickBot="1" x14ac:dyDescent="0.25">
      <c r="B202" s="5173" t="s">
        <v>355</v>
      </c>
      <c r="C202" s="5176" t="s">
        <v>356</v>
      </c>
      <c r="D202" s="5177"/>
      <c r="E202" s="5177"/>
      <c r="F202" s="5177"/>
      <c r="G202" s="5177"/>
      <c r="H202" s="5177"/>
      <c r="I202" s="5177"/>
      <c r="J202" s="5177"/>
      <c r="K202" s="5177"/>
      <c r="L202" s="5177"/>
      <c r="M202" s="5177"/>
      <c r="N202" s="5177"/>
      <c r="O202" s="5178"/>
    </row>
    <row r="203" spans="2:15" ht="15" thickBot="1" x14ac:dyDescent="0.25">
      <c r="B203" s="5174"/>
      <c r="C203" s="171"/>
      <c r="D203" s="172"/>
      <c r="E203" s="173"/>
      <c r="F203" s="172"/>
      <c r="G203" s="172"/>
      <c r="H203" s="172"/>
      <c r="I203" s="172"/>
      <c r="J203" s="176" t="s">
        <v>357</v>
      </c>
      <c r="K203" s="34"/>
      <c r="L203" s="35"/>
      <c r="M203" s="177"/>
      <c r="N203" s="178"/>
      <c r="O203" s="179"/>
    </row>
    <row r="204" spans="2:15" x14ac:dyDescent="0.2">
      <c r="B204" s="5174"/>
      <c r="C204" s="180"/>
      <c r="D204" s="181"/>
      <c r="E204" s="182"/>
      <c r="F204" s="181"/>
      <c r="G204" s="181"/>
      <c r="H204" s="181"/>
      <c r="I204" s="181"/>
      <c r="J204" s="185" t="s">
        <v>358</v>
      </c>
      <c r="K204" s="186"/>
      <c r="L204" s="187"/>
      <c r="M204" s="188"/>
      <c r="N204" s="189"/>
      <c r="O204" s="190"/>
    </row>
    <row r="205" spans="2:15" x14ac:dyDescent="0.2">
      <c r="B205" s="5174"/>
      <c r="C205" s="191"/>
      <c r="D205" s="192"/>
      <c r="E205" s="193"/>
      <c r="F205" s="192"/>
      <c r="G205" s="192"/>
      <c r="H205" s="192"/>
      <c r="I205" s="192"/>
      <c r="J205" s="196" t="s">
        <v>359</v>
      </c>
      <c r="K205" s="19"/>
      <c r="L205" s="20"/>
      <c r="M205" s="197"/>
      <c r="N205" s="198"/>
      <c r="O205" s="179"/>
    </row>
    <row r="206" spans="2:15" ht="15" thickBot="1" x14ac:dyDescent="0.25">
      <c r="B206" s="5174"/>
      <c r="C206" s="199"/>
      <c r="D206" s="200"/>
      <c r="E206" s="201"/>
      <c r="F206" s="200"/>
      <c r="G206" s="200"/>
      <c r="H206" s="200"/>
      <c r="I206" s="200"/>
      <c r="J206" s="204" t="s">
        <v>360</v>
      </c>
      <c r="K206" s="38"/>
      <c r="L206" s="39"/>
      <c r="M206" s="205"/>
      <c r="N206" s="206"/>
      <c r="O206" s="207"/>
    </row>
    <row r="207" spans="2:15" ht="15" thickBot="1" x14ac:dyDescent="0.25">
      <c r="B207" s="5175"/>
      <c r="C207" s="208"/>
      <c r="D207" s="209"/>
      <c r="E207" s="210"/>
      <c r="F207" s="209"/>
      <c r="G207" s="209"/>
      <c r="H207" s="209"/>
      <c r="I207" s="209"/>
      <c r="J207" s="213" t="s">
        <v>361</v>
      </c>
      <c r="K207" s="214"/>
      <c r="L207" s="215"/>
      <c r="M207" s="216"/>
      <c r="N207" s="217"/>
      <c r="O207" s="218"/>
    </row>
  </sheetData>
  <mergeCells count="5">
    <mergeCell ref="C9:I9"/>
    <mergeCell ref="K9:O9"/>
    <mergeCell ref="B11:B15"/>
    <mergeCell ref="B202:B207"/>
    <mergeCell ref="C202:O202"/>
  </mergeCells>
  <hyperlinks>
    <hyperlink ref="A1" location="Index!A1" display="Til index" xr:uid="{122D0A29-8C55-4B71-825F-BE09DF65FC6C}"/>
  </hyperlinks>
  <pageMargins left="0.7" right="0.7" top="0.75" bottom="0.75" header="0.3" footer="0.3"/>
  <pageSetup paperSize="9"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58BE0-07EE-48ED-B37E-CE5CA11A7C9B}">
  <sheetPr codeName="Ark132">
    <tabColor theme="4" tint="0.59999389629810485"/>
  </sheetPr>
  <dimension ref="A1:N40"/>
  <sheetViews>
    <sheetView topLeftCell="A6" zoomScale="85" zoomScaleNormal="85" workbookViewId="0">
      <selection activeCell="J24" sqref="J24"/>
    </sheetView>
  </sheetViews>
  <sheetFormatPr defaultColWidth="8.7109375" defaultRowHeight="15" x14ac:dyDescent="0.25"/>
  <cols>
    <col min="1" max="1" width="12.5703125" style="965" customWidth="1"/>
    <col min="2" max="2" width="16.7109375" style="965" customWidth="1"/>
    <col min="3" max="3" width="27.140625" style="965" customWidth="1"/>
    <col min="4" max="4" width="21.42578125" style="965" customWidth="1"/>
    <col min="5" max="5" width="19.7109375" style="965" customWidth="1"/>
    <col min="6" max="6" width="25.42578125" style="965" customWidth="1"/>
    <col min="7" max="7" width="23.7109375" style="965" customWidth="1"/>
    <col min="8" max="8" width="24.5703125" style="965" customWidth="1"/>
    <col min="9" max="9" width="25.7109375" style="965" customWidth="1"/>
    <col min="10" max="10" width="23" style="965" customWidth="1"/>
    <col min="11" max="16384" width="8.7109375" style="965"/>
  </cols>
  <sheetData>
    <row r="1" spans="1:14" s="963" customFormat="1" ht="49.5" customHeight="1" x14ac:dyDescent="0.35">
      <c r="C1" s="658" t="s">
        <v>1850</v>
      </c>
      <c r="D1" s="658"/>
      <c r="E1" s="658"/>
    </row>
    <row r="2" spans="1:14" ht="21" x14ac:dyDescent="0.35">
      <c r="A2" s="1740" t="s">
        <v>4206</v>
      </c>
    </row>
    <row r="3" spans="1:14" x14ac:dyDescent="0.25">
      <c r="A3" s="964"/>
      <c r="B3" s="965" t="s">
        <v>1849</v>
      </c>
    </row>
    <row r="4" spans="1:14" x14ac:dyDescent="0.25">
      <c r="A4" s="1456"/>
      <c r="B4" s="965" t="s">
        <v>2088</v>
      </c>
    </row>
    <row r="5" spans="1:14" ht="15.75" thickBot="1" x14ac:dyDescent="0.3"/>
    <row r="6" spans="1:14" s="858" customFormat="1" ht="81.75" customHeight="1" thickBot="1" x14ac:dyDescent="0.3">
      <c r="A6" s="5198" t="s">
        <v>969</v>
      </c>
      <c r="B6" s="5199"/>
      <c r="C6" s="1758" t="s">
        <v>4768</v>
      </c>
      <c r="D6" s="1758" t="s">
        <v>1848</v>
      </c>
      <c r="E6" s="1758" t="s">
        <v>1847</v>
      </c>
      <c r="F6" s="1758" t="s">
        <v>975</v>
      </c>
      <c r="G6" s="1758" t="s">
        <v>968</v>
      </c>
      <c r="H6" s="1758" t="s">
        <v>1846</v>
      </c>
      <c r="I6" s="1758" t="s">
        <v>4770</v>
      </c>
      <c r="J6" s="648" t="s">
        <v>4961</v>
      </c>
    </row>
    <row r="7" spans="1:14" x14ac:dyDescent="0.25">
      <c r="A7" s="5200" t="s">
        <v>966</v>
      </c>
      <c r="B7" s="5201"/>
      <c r="C7" s="3883">
        <v>188.07</v>
      </c>
      <c r="D7" s="1457">
        <v>1</v>
      </c>
      <c r="E7" s="1458">
        <f>IFERROR(C7*D7,C7)</f>
        <v>188.07</v>
      </c>
      <c r="F7" s="861">
        <f>INDEX('NIR faktorer'!$D$26:$D$48,MATCH('K1 2018'!$A7,'NIR faktorer'!$B$26:$B$48,0))</f>
        <v>415.47455765394949</v>
      </c>
      <c r="G7" s="861" t="str">
        <f>INDEX('NIR faktorer'!$D$54:$D$70,MATCH('K1 2018'!$A7,'NIR faktorer'!$B$54:$B$70,0))</f>
        <v>0,06</v>
      </c>
      <c r="H7" s="857">
        <v>55.65</v>
      </c>
      <c r="I7" s="1459">
        <f>F7*G7*365/H7</f>
        <v>163.5021170282389</v>
      </c>
      <c r="J7" s="1460">
        <f t="shared" ref="J7:J20" si="0">E7*I7/1000</f>
        <v>30.749843149500887</v>
      </c>
      <c r="K7" s="966"/>
      <c r="L7" s="966"/>
      <c r="M7" s="966"/>
      <c r="N7" s="966"/>
    </row>
    <row r="8" spans="1:14" x14ac:dyDescent="0.25">
      <c r="A8" s="5196" t="s">
        <v>965</v>
      </c>
      <c r="B8" s="5197"/>
      <c r="C8" s="3883">
        <v>493.31</v>
      </c>
      <c r="D8" s="1461" t="s">
        <v>455</v>
      </c>
      <c r="E8" s="1462">
        <f t="shared" ref="E8:E22" si="1">IFERROR(C8*D8,C8)</f>
        <v>493.31</v>
      </c>
      <c r="F8" s="861">
        <f>INDEX('NIR faktorer'!$D$26:$D$48,MATCH('K1 2018'!$A8,'NIR faktorer'!$B$26:$B$48,0))</f>
        <v>66.391596891435441</v>
      </c>
      <c r="G8" s="861" t="str">
        <f>INDEX('NIR faktorer'!$D$54:$D$70,MATCH('K1 2018'!A8,'NIR faktorer'!$B$54:$B$70,0))</f>
        <v>0,03</v>
      </c>
      <c r="H8" s="854">
        <v>55.65</v>
      </c>
      <c r="I8" s="1463">
        <v>6.56</v>
      </c>
      <c r="J8" s="1460">
        <f t="shared" si="0"/>
        <v>3.2361135999999995</v>
      </c>
      <c r="K8" s="966"/>
      <c r="L8" s="966"/>
      <c r="M8" s="966"/>
      <c r="N8" s="966"/>
    </row>
    <row r="9" spans="1:14" x14ac:dyDescent="0.25">
      <c r="A9" s="5196" t="s">
        <v>964</v>
      </c>
      <c r="B9" s="5197"/>
      <c r="C9" s="3883">
        <v>553.46</v>
      </c>
      <c r="D9" s="1461" t="s">
        <v>455</v>
      </c>
      <c r="E9" s="1462">
        <f t="shared" si="1"/>
        <v>553.46</v>
      </c>
      <c r="F9" s="861">
        <f>INDEX('NIR faktorer'!$D$26:$D$48,MATCH('K1 2018'!$A9,'NIR faktorer'!$B$26:$B$48,0))</f>
        <v>104.17662081845917</v>
      </c>
      <c r="G9" s="861" t="str">
        <f>INDEX('NIR faktorer'!$D$54:$D$70,MATCH('K1 2018'!A9,'NIR faktorer'!$B$54:$B$70,0))</f>
        <v>0,03</v>
      </c>
      <c r="H9" s="854">
        <v>55.65</v>
      </c>
      <c r="I9" s="1463">
        <v>12.17</v>
      </c>
      <c r="J9" s="1460">
        <f t="shared" si="0"/>
        <v>6.7356082000000006</v>
      </c>
      <c r="K9" s="966"/>
      <c r="L9" s="966"/>
      <c r="M9" s="966"/>
      <c r="N9" s="966"/>
    </row>
    <row r="10" spans="1:14" x14ac:dyDescent="0.25">
      <c r="A10" s="5196" t="s">
        <v>330</v>
      </c>
      <c r="B10" s="5197"/>
      <c r="C10" s="3883">
        <v>10.94</v>
      </c>
      <c r="D10" s="1461">
        <v>1</v>
      </c>
      <c r="E10" s="1462">
        <f t="shared" si="1"/>
        <v>10.94</v>
      </c>
      <c r="F10" s="861">
        <f>INDEX('NIR faktorer'!$D$26:$D$48,MATCH('K1 2018'!$A10,'NIR faktorer'!$B$26:$B$48,0))</f>
        <v>159.17092654643409</v>
      </c>
      <c r="G10" s="861" t="str">
        <f>INDEX('NIR faktorer'!$D$54:$D$70,MATCH('K1 2018'!A10,'NIR faktorer'!$B$54:$B$70,0))</f>
        <v>0,03</v>
      </c>
      <c r="H10" s="854">
        <v>55.65</v>
      </c>
      <c r="I10" s="1463">
        <f>F10*G10*365/H10</f>
        <v>31.3193467328563</v>
      </c>
      <c r="J10" s="1460">
        <f t="shared" si="0"/>
        <v>0.34263365325744793</v>
      </c>
      <c r="K10" s="966"/>
      <c r="L10" s="966"/>
      <c r="M10" s="966"/>
      <c r="N10" s="966"/>
    </row>
    <row r="11" spans="1:14" x14ac:dyDescent="0.25">
      <c r="A11" s="5196" t="s">
        <v>340</v>
      </c>
      <c r="B11" s="5197"/>
      <c r="C11" s="3883">
        <v>175.85</v>
      </c>
      <c r="D11" s="1464">
        <v>0.5</v>
      </c>
      <c r="E11" s="1462">
        <f t="shared" si="1"/>
        <v>87.924999999999997</v>
      </c>
      <c r="F11" s="861">
        <f>INDEX('NIR faktorer'!$D$26:$D$48,MATCH('K1 2018'!$A11,'NIR faktorer'!$B$26:$B$48,0))</f>
        <v>50.851438356164387</v>
      </c>
      <c r="G11" s="861" t="str">
        <f>INDEX('NIR faktorer'!$D$54:$D$70,MATCH('K1 2018'!A11,'NIR faktorer'!$B$54:$B$70,0))</f>
        <v>0,065</v>
      </c>
      <c r="H11" s="854">
        <v>55.65</v>
      </c>
      <c r="I11" s="1463">
        <f>F11*G11*365/H11</f>
        <v>21.679252021563347</v>
      </c>
      <c r="J11" s="1460">
        <f t="shared" si="0"/>
        <v>1.9061482339959572</v>
      </c>
      <c r="K11" s="966"/>
      <c r="L11" s="966"/>
      <c r="M11" s="966"/>
      <c r="N11" s="966"/>
    </row>
    <row r="12" spans="1:14" x14ac:dyDescent="0.25">
      <c r="A12" s="5196" t="s">
        <v>336</v>
      </c>
      <c r="B12" s="5197"/>
      <c r="C12" s="3883">
        <v>570.12000000000012</v>
      </c>
      <c r="D12" s="1461">
        <v>1</v>
      </c>
      <c r="E12" s="1462">
        <f t="shared" si="1"/>
        <v>570.12000000000012</v>
      </c>
      <c r="F12" s="861">
        <f>INDEX('NIR faktorer'!$D$26:$D$48,MATCH('K1 2018'!$A12,'NIR faktorer'!$B$26:$B$48,0))</f>
        <v>129.70598046156394</v>
      </c>
      <c r="G12" s="861" t="str">
        <f>INDEX('NIR faktorer'!$D$54:$D$70,MATCH('K1 2018'!A12,'NIR faktorer'!$B$54:$B$70,0))</f>
        <v>0,065</v>
      </c>
      <c r="H12" s="854">
        <v>55.65</v>
      </c>
      <c r="I12" s="1463">
        <f>F12*G12*365/H12</f>
        <v>55.296934168025246</v>
      </c>
      <c r="J12" s="1460">
        <f t="shared" si="0"/>
        <v>31.525888107874557</v>
      </c>
      <c r="K12" s="966"/>
      <c r="L12" s="966"/>
      <c r="M12" s="966"/>
      <c r="N12" s="966"/>
    </row>
    <row r="13" spans="1:14" x14ac:dyDescent="0.25">
      <c r="A13" s="5196" t="s">
        <v>329</v>
      </c>
      <c r="B13" s="5197"/>
      <c r="C13" s="3883">
        <v>626.68999999999994</v>
      </c>
      <c r="D13" s="1461">
        <v>1</v>
      </c>
      <c r="E13" s="1462">
        <f t="shared" si="1"/>
        <v>626.68999999999994</v>
      </c>
      <c r="F13" s="861">
        <f>INDEX('NIR faktorer'!$D$26:$D$48,MATCH('K1 2018'!$A13,'NIR faktorer'!$B$26:$B$48,0))</f>
        <v>159.17092654643409</v>
      </c>
      <c r="G13" s="861" t="str">
        <f>INDEX('NIR faktorer'!$D$54:$D$70,MATCH('K1 2018'!A13,'NIR faktorer'!$B$54:$B$70,0))</f>
        <v>0,065</v>
      </c>
      <c r="H13" s="854">
        <v>55.65</v>
      </c>
      <c r="I13" s="1463">
        <f>F13*G13*365/H13</f>
        <v>67.858584587855333</v>
      </c>
      <c r="J13" s="1460">
        <f t="shared" si="0"/>
        <v>42.526296375363053</v>
      </c>
      <c r="K13" s="966"/>
      <c r="L13" s="966"/>
      <c r="M13" s="966"/>
      <c r="N13" s="966"/>
    </row>
    <row r="14" spans="1:14" x14ac:dyDescent="0.25">
      <c r="A14" s="5196" t="s">
        <v>342</v>
      </c>
      <c r="B14" s="5197"/>
      <c r="C14" s="3883">
        <v>0</v>
      </c>
      <c r="D14" s="1461">
        <v>1</v>
      </c>
      <c r="E14" s="1462">
        <f t="shared" si="1"/>
        <v>0</v>
      </c>
      <c r="F14" s="861">
        <f>INDEX('NIR faktorer'!$D$26:$D$48,MATCH('K1 2018'!$A14,'NIR faktorer'!$B$26:$B$48,0))</f>
        <v>71.898754520547939</v>
      </c>
      <c r="G14" s="861" t="str">
        <f>INDEX('NIR faktorer'!$D$54:$D$70,MATCH('K1 2018'!A14,'NIR faktorer'!$B$54:$B$70,0))</f>
        <v>0,006</v>
      </c>
      <c r="H14" s="854">
        <v>55.65</v>
      </c>
      <c r="I14" s="1463">
        <f>F14*G14*365/H14</f>
        <v>2.8294388571428568</v>
      </c>
      <c r="J14" s="1460">
        <f t="shared" si="0"/>
        <v>0</v>
      </c>
      <c r="K14" s="966"/>
      <c r="L14" s="966"/>
      <c r="M14" s="966"/>
      <c r="N14" s="966"/>
    </row>
    <row r="15" spans="1:14" x14ac:dyDescent="0.25">
      <c r="A15" s="5196" t="s">
        <v>339</v>
      </c>
      <c r="B15" s="5197"/>
      <c r="C15" s="3883">
        <v>27.54</v>
      </c>
      <c r="D15" s="1461" t="s">
        <v>455</v>
      </c>
      <c r="E15" s="1462">
        <f t="shared" si="1"/>
        <v>27.54</v>
      </c>
      <c r="F15" s="861">
        <f>INDEX('NIR faktorer'!$D$26:$D$48,MATCH('K1 2018'!$A15,'NIR faktorer'!$B$26:$B$48,0))</f>
        <v>10.292322345213647</v>
      </c>
      <c r="G15" s="861" t="str">
        <f>INDEX('NIR faktorer'!$D$54:$D$70,MATCH('K1 2018'!A15,'NIR faktorer'!$B$54:$B$70,0))</f>
        <v>0,006</v>
      </c>
      <c r="H15" s="854">
        <v>55.65</v>
      </c>
      <c r="I15" s="1463">
        <v>0.08</v>
      </c>
      <c r="J15" s="1460">
        <f t="shared" si="0"/>
        <v>2.2031999999999998E-3</v>
      </c>
      <c r="K15" s="966"/>
      <c r="L15" s="966"/>
      <c r="M15" s="966"/>
      <c r="N15" s="966"/>
    </row>
    <row r="16" spans="1:14" x14ac:dyDescent="0.25">
      <c r="A16" s="5196" t="s">
        <v>332</v>
      </c>
      <c r="B16" s="5197"/>
      <c r="C16" s="3883">
        <v>0</v>
      </c>
      <c r="D16" s="1461" t="s">
        <v>455</v>
      </c>
      <c r="E16" s="1462">
        <f t="shared" si="1"/>
        <v>0</v>
      </c>
      <c r="F16" s="861">
        <f>INDEX('NIR faktorer'!$D$26:$D$48,MATCH('K1 2018'!$A16,'NIR faktorer'!$B$26:$B$48,0))</f>
        <v>31.04595760670378</v>
      </c>
      <c r="G16" s="861" t="str">
        <f>INDEX('NIR faktorer'!$D$54:$D$70,MATCH('K1 2018'!A16,'NIR faktorer'!$B$54:$B$70,0))</f>
        <v>0,006</v>
      </c>
      <c r="H16" s="854">
        <v>55.65</v>
      </c>
      <c r="I16" s="1463">
        <v>0.43</v>
      </c>
      <c r="J16" s="1460">
        <f t="shared" si="0"/>
        <v>0</v>
      </c>
      <c r="K16" s="966"/>
      <c r="L16" s="966"/>
      <c r="M16" s="966"/>
      <c r="N16" s="966"/>
    </row>
    <row r="17" spans="1:14" x14ac:dyDescent="0.25">
      <c r="A17" s="5196" t="s">
        <v>948</v>
      </c>
      <c r="B17" s="5197"/>
      <c r="C17" s="3883">
        <v>27.54</v>
      </c>
      <c r="D17" s="1461" t="s">
        <v>455</v>
      </c>
      <c r="E17" s="1462">
        <f t="shared" si="1"/>
        <v>27.54</v>
      </c>
      <c r="F17" s="861">
        <f>INDEX('NIR faktorer'!$D$26:$D$48,MATCH('K1 2018'!$A17,'NIR faktorer'!$B$26:$B$48,0))</f>
        <v>37.649387008087018</v>
      </c>
      <c r="G17" s="861" t="str">
        <f>INDEX('NIR faktorer'!$D$54:$D$70,MATCH('K1 2018'!A17,'NIR faktorer'!$B$54:$B$70,0))</f>
        <v>0,006</v>
      </c>
      <c r="H17" s="854">
        <v>55.65</v>
      </c>
      <c r="I17" s="1463">
        <v>0.43</v>
      </c>
      <c r="J17" s="1460">
        <f t="shared" si="0"/>
        <v>1.1842200000000001E-2</v>
      </c>
      <c r="K17" s="966"/>
      <c r="L17" s="966"/>
      <c r="M17" s="966"/>
      <c r="N17" s="966"/>
    </row>
    <row r="18" spans="1:14" x14ac:dyDescent="0.25">
      <c r="A18" s="5196" t="s">
        <v>963</v>
      </c>
      <c r="B18" s="5197"/>
      <c r="C18" s="3883">
        <v>403.89</v>
      </c>
      <c r="D18" s="1461">
        <v>1</v>
      </c>
      <c r="E18" s="1462">
        <f t="shared" si="1"/>
        <v>403.89</v>
      </c>
      <c r="F18" s="861">
        <f>INDEX('NIR faktorer'!$D$26:$D$48,MATCH('K1 2018'!$A18,'NIR faktorer'!$B$26:$B$48,0))</f>
        <v>20.192378720210169</v>
      </c>
      <c r="G18" s="861" t="str">
        <f>INDEX('NIR faktorer'!$D$54:$D$70,MATCH('K1 2018'!A18,'NIR faktorer'!$B$54:$B$70,0))</f>
        <v>0,065</v>
      </c>
      <c r="H18" s="854">
        <v>55.65</v>
      </c>
      <c r="I18" s="1463">
        <f>F18*G18*365/H18</f>
        <v>8.6085208470258081</v>
      </c>
      <c r="J18" s="1460">
        <f t="shared" si="0"/>
        <v>3.4768954849052536</v>
      </c>
      <c r="K18" s="966"/>
      <c r="L18" s="966"/>
      <c r="M18" s="966"/>
      <c r="N18" s="966"/>
    </row>
    <row r="19" spans="1:14" x14ac:dyDescent="0.25">
      <c r="A19" s="5196" t="s">
        <v>962</v>
      </c>
      <c r="B19" s="5197"/>
      <c r="C19" s="3883">
        <v>0</v>
      </c>
      <c r="D19" s="1461">
        <v>1</v>
      </c>
      <c r="E19" s="1462">
        <f t="shared" si="1"/>
        <v>0</v>
      </c>
      <c r="F19" s="861">
        <f>INDEX('NIR faktorer'!$D$26:$D$48,MATCH('K1 2018'!$A19,'NIR faktorer'!$B$26:$B$48,0))</f>
        <v>34.461479452054789</v>
      </c>
      <c r="G19" s="861" t="str">
        <f>INDEX('NIR faktorer'!$D$54:$D$70,MATCH('K1 2018'!A19,'NIR faktorer'!$B$54:$B$70,0))</f>
        <v>0,05</v>
      </c>
      <c r="H19" s="854">
        <v>55.65</v>
      </c>
      <c r="I19" s="1463">
        <f>F19*G19*365/H19</f>
        <v>11.30138364779874</v>
      </c>
      <c r="J19" s="1460">
        <f t="shared" si="0"/>
        <v>0</v>
      </c>
      <c r="K19" s="966"/>
      <c r="L19" s="966"/>
      <c r="M19" s="966"/>
      <c r="N19" s="966"/>
    </row>
    <row r="20" spans="1:14" x14ac:dyDescent="0.25">
      <c r="A20" s="5196" t="s">
        <v>961</v>
      </c>
      <c r="B20" s="5197"/>
      <c r="C20" s="3883">
        <v>0</v>
      </c>
      <c r="D20" s="1461">
        <v>1</v>
      </c>
      <c r="E20" s="1462">
        <f t="shared" si="1"/>
        <v>0</v>
      </c>
      <c r="F20" s="861">
        <f>INDEX('NIR faktorer'!$D$26:$D$48,MATCH('K1 2018'!$A20,'NIR faktorer'!$B$26:$B$48,0))</f>
        <v>39.885851650966416</v>
      </c>
      <c r="G20" s="861" t="str">
        <f>INDEX('NIR faktorer'!$D$54:$D$70,MATCH('K1 2018'!A20,'NIR faktorer'!$B$54:$B$70,0))</f>
        <v>0,05</v>
      </c>
      <c r="H20" s="854">
        <v>55.65</v>
      </c>
      <c r="I20" s="1463">
        <f>F20*G20*365/H20</f>
        <v>13.080265815456194</v>
      </c>
      <c r="J20" s="1460">
        <f t="shared" si="0"/>
        <v>0</v>
      </c>
      <c r="K20" s="966"/>
      <c r="L20" s="966"/>
      <c r="M20" s="966"/>
      <c r="N20" s="966"/>
    </row>
    <row r="21" spans="1:14" x14ac:dyDescent="0.25">
      <c r="A21" s="5196" t="s">
        <v>337</v>
      </c>
      <c r="B21" s="5197"/>
      <c r="C21" s="3883">
        <v>28565.51</v>
      </c>
      <c r="D21" s="1461">
        <v>1</v>
      </c>
      <c r="E21" s="1462">
        <f t="shared" si="1"/>
        <v>28565.51</v>
      </c>
      <c r="F21" s="861">
        <f>INDEX('NIR faktorer'!$D$26:$D$48,MATCH('K1 2018'!$A21,'NIR faktorer'!$B$26:$B$48,0))</f>
        <v>7.5073506849315077</v>
      </c>
      <c r="G21" s="861" t="str">
        <f>INDEX('NIR faktorer'!$D$54:$D$70,MATCH('K1 2018'!A21,'NIR faktorer'!$B$54:$B$70,0))</f>
        <v>NA</v>
      </c>
      <c r="H21" s="854">
        <v>55.65</v>
      </c>
      <c r="I21" s="1465" t="s">
        <v>799</v>
      </c>
      <c r="J21" s="1466" t="s">
        <v>799</v>
      </c>
      <c r="K21" s="966"/>
      <c r="L21" s="966"/>
      <c r="M21" s="966"/>
      <c r="N21" s="966"/>
    </row>
    <row r="22" spans="1:14" x14ac:dyDescent="0.25">
      <c r="A22" s="5196" t="s">
        <v>334</v>
      </c>
      <c r="B22" s="5197"/>
      <c r="C22" s="3883">
        <v>318.72999999999996</v>
      </c>
      <c r="D22" s="1461">
        <v>1</v>
      </c>
      <c r="E22" s="1462">
        <f t="shared" si="1"/>
        <v>318.72999999999996</v>
      </c>
      <c r="F22" s="861">
        <f>INDEX('NIR faktorer'!$D$26:$D$48,MATCH('K1 2018'!$A22,'NIR faktorer'!$B$26:$B$48,0))</f>
        <v>148.19402999999997</v>
      </c>
      <c r="G22" s="861" t="str">
        <f>INDEX('NIR faktorer'!$D$54:$D$70,MATCH('K1 2018'!A22,'NIR faktorer'!$B$54:$B$70,0))</f>
        <v>0,025</v>
      </c>
      <c r="H22" s="854">
        <v>55.65</v>
      </c>
      <c r="I22" s="1463">
        <f>F22*G22*365/H22</f>
        <v>24.299560175202153</v>
      </c>
      <c r="J22" s="1460">
        <f>E22*I22/1000</f>
        <v>7.7449988146421811</v>
      </c>
      <c r="K22" s="966"/>
      <c r="L22" s="966"/>
      <c r="M22" s="966"/>
      <c r="N22" s="966"/>
    </row>
    <row r="23" spans="1:14" ht="15.75" thickBot="1" x14ac:dyDescent="0.3">
      <c r="A23" s="5202" t="s">
        <v>331</v>
      </c>
      <c r="B23" s="5203"/>
      <c r="C23" s="3883">
        <v>0</v>
      </c>
      <c r="D23" s="1461" t="s">
        <v>455</v>
      </c>
      <c r="E23" s="1462" t="s">
        <v>455</v>
      </c>
      <c r="F23" s="1462" t="s">
        <v>455</v>
      </c>
      <c r="G23" s="1462" t="s">
        <v>455</v>
      </c>
      <c r="H23" s="854">
        <v>55.65</v>
      </c>
      <c r="I23" s="853" t="e">
        <f>+J23/C23</f>
        <v>#DIV/0!</v>
      </c>
      <c r="J23" s="1460">
        <f>+E38/1000</f>
        <v>0</v>
      </c>
      <c r="K23" s="966"/>
      <c r="L23" s="966"/>
      <c r="M23" s="966"/>
      <c r="N23" s="966"/>
    </row>
    <row r="24" spans="1:14" ht="15.75" thickBot="1" x14ac:dyDescent="0.3">
      <c r="A24" s="5210" t="s">
        <v>228</v>
      </c>
      <c r="B24" s="5211"/>
      <c r="C24" s="1467">
        <f>SUM(C7:C23)</f>
        <v>31961.649999999998</v>
      </c>
      <c r="D24" s="1467"/>
      <c r="E24" s="1467"/>
      <c r="F24" s="1468"/>
      <c r="G24" s="1468"/>
      <c r="H24" s="1468"/>
      <c r="I24" s="1469"/>
      <c r="J24" s="1470">
        <f>SUM(J7:J23)</f>
        <v>128.25847101953934</v>
      </c>
    </row>
    <row r="27" spans="1:14" s="849" customFormat="1" ht="114.75" customHeight="1" x14ac:dyDescent="0.2">
      <c r="A27" s="851" t="s">
        <v>651</v>
      </c>
      <c r="B27" s="851"/>
      <c r="C27" s="850" t="s">
        <v>1845</v>
      </c>
      <c r="D27" s="959"/>
      <c r="E27" s="851"/>
      <c r="F27" s="850" t="str">
        <f>'NIR faktorer'!D51</f>
        <v>NIR Tier II Annex 3D-11 NIR, 2022 (2020)</v>
      </c>
      <c r="G27" s="850" t="str">
        <f>'NIR faktorer'!D73</f>
        <v>NIR Tier II 2020 (2018) Tabel  5.7 og 5.8 og CRF Tabel 3.As1 2020 (2018)</v>
      </c>
      <c r="H27" s="850" t="s">
        <v>1844</v>
      </c>
      <c r="I27" s="962" t="s">
        <v>2209</v>
      </c>
    </row>
    <row r="30" spans="1:14" ht="15.75" hidden="1" thickBot="1" x14ac:dyDescent="0.3">
      <c r="A30" s="5212" t="s">
        <v>2210</v>
      </c>
      <c r="B30" s="5213"/>
      <c r="C30" s="5213"/>
      <c r="D30" s="5213"/>
      <c r="E30" s="5214"/>
    </row>
    <row r="31" spans="1:14" ht="15" hidden="1" customHeight="1" thickBot="1" x14ac:dyDescent="0.3">
      <c r="A31" s="963"/>
      <c r="B31" s="963"/>
      <c r="C31" s="967" t="s">
        <v>1843</v>
      </c>
      <c r="D31" s="967" t="s">
        <v>2206</v>
      </c>
      <c r="E31" s="968" t="s">
        <v>2208</v>
      </c>
    </row>
    <row r="32" spans="1:14" hidden="1" x14ac:dyDescent="0.25">
      <c r="A32" s="5215" t="s">
        <v>1842</v>
      </c>
      <c r="B32" s="5216"/>
      <c r="C32" s="969">
        <f>SUMIF(staldtype_total_18G!$C$3:$C$225,"*slagtekyllinger*",staldtype_total_18G!$J$3:$J$226)</f>
        <v>0</v>
      </c>
      <c r="D32" s="969">
        <f>0.01/1000</f>
        <v>1.0000000000000001E-5</v>
      </c>
      <c r="E32" s="970">
        <f t="shared" ref="E32:E37" si="2">+C32*D32</f>
        <v>0</v>
      </c>
    </row>
    <row r="33" spans="1:5" hidden="1" x14ac:dyDescent="0.25">
      <c r="A33" s="5204" t="s">
        <v>1841</v>
      </c>
      <c r="B33" s="5205"/>
      <c r="C33" s="971">
        <f>SUMIF(staldtype_total_18G!$C$3:$C$225,"*konsumæg*",staldtype_total_18G!$J$3:$J$226)+SUMIF(staldtype_total_18G!$C$3:$C$225,"*rugeæg*",staldtype_total_18G!$J$3:$J$226)</f>
        <v>0</v>
      </c>
      <c r="D33" s="971">
        <f>1.06/100</f>
        <v>1.06E-2</v>
      </c>
      <c r="E33" s="970">
        <f t="shared" si="2"/>
        <v>0</v>
      </c>
    </row>
    <row r="34" spans="1:5" hidden="1" x14ac:dyDescent="0.25">
      <c r="A34" s="5204" t="s">
        <v>1840</v>
      </c>
      <c r="B34" s="5205"/>
      <c r="C34" s="971">
        <f>SUMIF(staldtype_total_18G!$C$3:$C$225,"*hønniker*",staldtype_total_18G!$J$3:$J$226)</f>
        <v>0</v>
      </c>
      <c r="D34" s="971">
        <f>1.06/100</f>
        <v>1.06E-2</v>
      </c>
      <c r="E34" s="970">
        <f t="shared" si="2"/>
        <v>0</v>
      </c>
    </row>
    <row r="35" spans="1:5" hidden="1" x14ac:dyDescent="0.25">
      <c r="A35" s="5204" t="s">
        <v>1839</v>
      </c>
      <c r="B35" s="5205"/>
      <c r="C35" s="972">
        <f>SUMIF(staldtype_total_18G!$C$3:$C$225,"*fasan*",staldtype_total_18G!$J$3:$J$226)</f>
        <v>0</v>
      </c>
      <c r="D35" s="972">
        <f>0.47/100</f>
        <v>4.6999999999999993E-3</v>
      </c>
      <c r="E35" s="970">
        <f t="shared" si="2"/>
        <v>0</v>
      </c>
    </row>
    <row r="36" spans="1:5" hidden="1" x14ac:dyDescent="0.25">
      <c r="A36" s="5204" t="s">
        <v>1838</v>
      </c>
      <c r="B36" s="5205"/>
      <c r="C36" s="972">
        <f>SUMIF(staldtype_total_18G!$C$3:$C$225,"*gæs*",staldtype_total_18G!$J$3:$J$226)</f>
        <v>0</v>
      </c>
      <c r="D36" s="971">
        <f>0.005/100</f>
        <v>5.0000000000000002E-5</v>
      </c>
      <c r="E36" s="970">
        <f t="shared" si="2"/>
        <v>0</v>
      </c>
    </row>
    <row r="37" spans="1:5" ht="15.75" hidden="1" thickBot="1" x14ac:dyDescent="0.3">
      <c r="A37" s="5206" t="s">
        <v>1837</v>
      </c>
      <c r="B37" s="5207"/>
      <c r="C37" s="972">
        <f>SUMIF(staldtype_total_18G!$C$3:$C$225,"*ænder*",staldtype_total_18G!$J$3:$J$226)</f>
        <v>0</v>
      </c>
      <c r="D37" s="973">
        <f>0.003/100</f>
        <v>3.0000000000000001E-5</v>
      </c>
      <c r="E37" s="970">
        <f t="shared" si="2"/>
        <v>0</v>
      </c>
    </row>
    <row r="38" spans="1:5" ht="15.75" hidden="1" thickBot="1" x14ac:dyDescent="0.3">
      <c r="A38" s="5208" t="s">
        <v>228</v>
      </c>
      <c r="B38" s="5209"/>
      <c r="C38" s="974">
        <f>SUM(C32:C37)</f>
        <v>0</v>
      </c>
      <c r="D38" s="974"/>
      <c r="E38" s="975">
        <f>SUM(E32:E37)</f>
        <v>0</v>
      </c>
    </row>
    <row r="39" spans="1:5" hidden="1" x14ac:dyDescent="0.25">
      <c r="A39" s="976"/>
      <c r="B39" s="976"/>
      <c r="C39" s="976"/>
      <c r="D39" s="976"/>
      <c r="E39" s="976"/>
    </row>
    <row r="40" spans="1:5" ht="105.75" hidden="1" customHeight="1" x14ac:dyDescent="0.25">
      <c r="A40" s="960" t="s">
        <v>651</v>
      </c>
      <c r="B40" s="961"/>
      <c r="C40" s="961"/>
      <c r="D40" s="962" t="s">
        <v>2207</v>
      </c>
      <c r="E40" s="961"/>
    </row>
  </sheetData>
  <mergeCells count="27">
    <mergeCell ref="A36:B36"/>
    <mergeCell ref="A37:B37"/>
    <mergeCell ref="A38:B38"/>
    <mergeCell ref="A24:B24"/>
    <mergeCell ref="A30:E30"/>
    <mergeCell ref="A32:B32"/>
    <mergeCell ref="A33:B33"/>
    <mergeCell ref="A34:B34"/>
    <mergeCell ref="A35:B35"/>
    <mergeCell ref="A23:B23"/>
    <mergeCell ref="A12:B12"/>
    <mergeCell ref="A13:B13"/>
    <mergeCell ref="A14:B14"/>
    <mergeCell ref="A15:B15"/>
    <mergeCell ref="A16:B16"/>
    <mergeCell ref="A17:B17"/>
    <mergeCell ref="A18:B18"/>
    <mergeCell ref="A19:B19"/>
    <mergeCell ref="A20:B20"/>
    <mergeCell ref="A21:B21"/>
    <mergeCell ref="A22:B22"/>
    <mergeCell ref="A11:B11"/>
    <mergeCell ref="A6:B6"/>
    <mergeCell ref="A7:B7"/>
    <mergeCell ref="A8:B8"/>
    <mergeCell ref="A9:B9"/>
    <mergeCell ref="A10:B10"/>
  </mergeCells>
  <hyperlinks>
    <hyperlink ref="A2" location="Index!A1" display="Til index" xr:uid="{DE5A017A-F278-4EFB-BB97-40309DB01A1C}"/>
  </hyperlinks>
  <pageMargins left="0.7" right="0.7" top="0.75" bottom="0.75" header="0.3" footer="0.3"/>
  <pageSetup paperSize="9" orientation="portrait" horizontalDpi="4294967293" verticalDpi="4294967293"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EC407-6D40-4E3D-AF59-79DC222067F0}">
  <sheetPr codeName="Ark84">
    <tabColor theme="4" tint="-0.249977111117893"/>
  </sheetPr>
  <dimension ref="A1:N40"/>
  <sheetViews>
    <sheetView topLeftCell="A2" zoomScale="85" zoomScaleNormal="85" workbookViewId="0">
      <selection activeCell="C2" sqref="C2"/>
    </sheetView>
  </sheetViews>
  <sheetFormatPr defaultColWidth="8.7109375" defaultRowHeight="15" x14ac:dyDescent="0.25"/>
  <cols>
    <col min="1" max="1" width="12.5703125" style="965" customWidth="1"/>
    <col min="2" max="2" width="16.7109375" style="965" customWidth="1"/>
    <col min="3" max="3" width="27.140625" style="965" customWidth="1"/>
    <col min="4" max="4" width="21.42578125" style="965" customWidth="1"/>
    <col min="5" max="5" width="19.7109375" style="965" customWidth="1"/>
    <col min="6" max="6" width="25.42578125" style="965" customWidth="1"/>
    <col min="7" max="7" width="23.7109375" style="965" customWidth="1"/>
    <col min="8" max="8" width="24.5703125" style="965" customWidth="1"/>
    <col min="9" max="9" width="25.7109375" style="965" customWidth="1"/>
    <col min="10" max="10" width="23" style="965" customWidth="1"/>
    <col min="11" max="16384" width="8.7109375" style="965"/>
  </cols>
  <sheetData>
    <row r="1" spans="1:14" s="963" customFormat="1" ht="49.5" customHeight="1" x14ac:dyDescent="0.35">
      <c r="C1" s="658" t="s">
        <v>1850</v>
      </c>
      <c r="D1" s="658"/>
      <c r="E1" s="658"/>
    </row>
    <row r="2" spans="1:14" ht="21" x14ac:dyDescent="0.35">
      <c r="A2" s="1740" t="s">
        <v>4206</v>
      </c>
    </row>
    <row r="3" spans="1:14" x14ac:dyDescent="0.25">
      <c r="A3" s="964"/>
      <c r="B3" s="965" t="s">
        <v>1849</v>
      </c>
    </row>
    <row r="4" spans="1:14" x14ac:dyDescent="0.25">
      <c r="A4" s="1456"/>
      <c r="B4" s="965" t="s">
        <v>2088</v>
      </c>
    </row>
    <row r="5" spans="1:14" ht="15.75" thickBot="1" x14ac:dyDescent="0.3"/>
    <row r="6" spans="1:14" s="858" customFormat="1" ht="81.75" customHeight="1" thickBot="1" x14ac:dyDescent="0.3">
      <c r="A6" s="5198" t="s">
        <v>969</v>
      </c>
      <c r="B6" s="5199"/>
      <c r="C6" s="1758" t="s">
        <v>4768</v>
      </c>
      <c r="D6" s="1758" t="s">
        <v>1848</v>
      </c>
      <c r="E6" s="1758" t="s">
        <v>1847</v>
      </c>
      <c r="F6" s="1758" t="s">
        <v>975</v>
      </c>
      <c r="G6" s="1758" t="s">
        <v>968</v>
      </c>
      <c r="H6" s="1758" t="s">
        <v>1846</v>
      </c>
      <c r="I6" s="1758" t="s">
        <v>4770</v>
      </c>
      <c r="J6" s="648" t="s">
        <v>4961</v>
      </c>
    </row>
    <row r="7" spans="1:14" x14ac:dyDescent="0.25">
      <c r="A7" s="5200" t="s">
        <v>966</v>
      </c>
      <c r="B7" s="5201"/>
      <c r="C7" s="3883">
        <v>188.07</v>
      </c>
      <c r="D7" s="1457">
        <v>1</v>
      </c>
      <c r="E7" s="1458">
        <f t="shared" ref="E7:E22" si="0">IFERROR(C7*D7,C7)</f>
        <v>188.07</v>
      </c>
      <c r="F7" s="861">
        <f>INDEX('NIR faktorer'!$D$26:$D$48,MATCH('K1 2018G'!$A7,'NIR faktorer'!$B$26:$B$48,0))</f>
        <v>415.47455765394949</v>
      </c>
      <c r="G7" s="861" t="str">
        <f>INDEX('NIR faktorer'!$D$54:$D$70,MATCH('K1 2018G'!$A7,'NIR faktorer'!$B$54:$B$70,0))</f>
        <v>0,06</v>
      </c>
      <c r="H7" s="857">
        <v>55.65</v>
      </c>
      <c r="I7" s="1459">
        <f>F7*G7*365/H7</f>
        <v>163.5021170282389</v>
      </c>
      <c r="J7" s="1460">
        <f t="shared" ref="J7:J20" si="1">E7*I7/1000</f>
        <v>30.749843149500887</v>
      </c>
      <c r="K7" s="966"/>
      <c r="L7" s="966"/>
      <c r="M7" s="966"/>
      <c r="N7" s="966"/>
    </row>
    <row r="8" spans="1:14" x14ac:dyDescent="0.25">
      <c r="A8" s="5196" t="s">
        <v>965</v>
      </c>
      <c r="B8" s="5197"/>
      <c r="C8" s="3883">
        <v>493.31</v>
      </c>
      <c r="D8" s="1461" t="s">
        <v>455</v>
      </c>
      <c r="E8" s="1462">
        <f t="shared" si="0"/>
        <v>493.31</v>
      </c>
      <c r="F8" s="861">
        <f>INDEX('NIR faktorer'!$D$26:$D$48,MATCH('K1 2018G'!$A8,'NIR faktorer'!$B$26:$B$48,0))</f>
        <v>66.391596891435441</v>
      </c>
      <c r="G8" s="861" t="str">
        <f>INDEX('NIR faktorer'!$D$54:$D$70,MATCH('K1 2018G'!A8,'NIR faktorer'!$B$54:$B$70,0))</f>
        <v>0,03</v>
      </c>
      <c r="H8" s="854">
        <v>55.65</v>
      </c>
      <c r="I8" s="1463">
        <v>6.56</v>
      </c>
      <c r="J8" s="1460">
        <f t="shared" si="1"/>
        <v>3.2361135999999995</v>
      </c>
      <c r="K8" s="966"/>
      <c r="L8" s="966"/>
      <c r="M8" s="966"/>
      <c r="N8" s="966"/>
    </row>
    <row r="9" spans="1:14" x14ac:dyDescent="0.25">
      <c r="A9" s="5196" t="s">
        <v>964</v>
      </c>
      <c r="B9" s="5197"/>
      <c r="C9" s="3883">
        <v>553.46</v>
      </c>
      <c r="D9" s="1461" t="s">
        <v>455</v>
      </c>
      <c r="E9" s="1462">
        <f t="shared" si="0"/>
        <v>553.46</v>
      </c>
      <c r="F9" s="861">
        <f>INDEX('NIR faktorer'!$D$26:$D$48,MATCH('K1 2018G'!$A9,'NIR faktorer'!$B$26:$B$48,0))</f>
        <v>104.17662081845917</v>
      </c>
      <c r="G9" s="861" t="str">
        <f>INDEX('NIR faktorer'!$D$54:$D$70,MATCH('K1 2018G'!A9,'NIR faktorer'!$B$54:$B$70,0))</f>
        <v>0,03</v>
      </c>
      <c r="H9" s="854">
        <v>55.65</v>
      </c>
      <c r="I9" s="1463">
        <v>12.17</v>
      </c>
      <c r="J9" s="1460">
        <f t="shared" si="1"/>
        <v>6.7356082000000006</v>
      </c>
      <c r="K9" s="966"/>
      <c r="L9" s="966"/>
      <c r="M9" s="966"/>
      <c r="N9" s="966"/>
    </row>
    <row r="10" spans="1:14" x14ac:dyDescent="0.25">
      <c r="A10" s="5196" t="s">
        <v>330</v>
      </c>
      <c r="B10" s="5197"/>
      <c r="C10" s="3883">
        <v>10.94</v>
      </c>
      <c r="D10" s="1461">
        <v>1</v>
      </c>
      <c r="E10" s="1462">
        <f t="shared" si="0"/>
        <v>10.94</v>
      </c>
      <c r="F10" s="861">
        <f>INDEX('NIR faktorer'!$D$26:$D$48,MATCH('K1 2018G'!$A10,'NIR faktorer'!$B$26:$B$48,0))</f>
        <v>159.17092654643409</v>
      </c>
      <c r="G10" s="861" t="str">
        <f>INDEX('NIR faktorer'!$D$54:$D$70,MATCH('K1 2018G'!A10,'NIR faktorer'!$B$54:$B$70,0))</f>
        <v>0,03</v>
      </c>
      <c r="H10" s="854">
        <v>55.65</v>
      </c>
      <c r="I10" s="1463">
        <f>F10*G10*365/H10</f>
        <v>31.3193467328563</v>
      </c>
      <c r="J10" s="1460">
        <f t="shared" si="1"/>
        <v>0.34263365325744793</v>
      </c>
      <c r="K10" s="966"/>
      <c r="L10" s="966"/>
      <c r="M10" s="966"/>
      <c r="N10" s="966"/>
    </row>
    <row r="11" spans="1:14" x14ac:dyDescent="0.25">
      <c r="A11" s="5196" t="s">
        <v>340</v>
      </c>
      <c r="B11" s="5197"/>
      <c r="C11" s="3883">
        <v>175.85</v>
      </c>
      <c r="D11" s="1464">
        <v>0.5</v>
      </c>
      <c r="E11" s="1462">
        <f t="shared" si="0"/>
        <v>87.924999999999997</v>
      </c>
      <c r="F11" s="861">
        <f>INDEX('NIR faktorer'!$D$26:$D$48,MATCH('K1 2018G'!$A11,'NIR faktorer'!$B$26:$B$48,0))</f>
        <v>50.851438356164387</v>
      </c>
      <c r="G11" s="861" t="str">
        <f>INDEX('NIR faktorer'!$D$54:$D$70,MATCH('K1 2018G'!A11,'NIR faktorer'!$B$54:$B$70,0))</f>
        <v>0,065</v>
      </c>
      <c r="H11" s="854">
        <v>55.65</v>
      </c>
      <c r="I11" s="1463">
        <f>F11*G11*365/H11</f>
        <v>21.679252021563347</v>
      </c>
      <c r="J11" s="1460">
        <f t="shared" si="1"/>
        <v>1.9061482339959572</v>
      </c>
      <c r="K11" s="966"/>
      <c r="L11" s="966"/>
      <c r="M11" s="966"/>
      <c r="N11" s="966"/>
    </row>
    <row r="12" spans="1:14" x14ac:dyDescent="0.25">
      <c r="A12" s="5196" t="s">
        <v>336</v>
      </c>
      <c r="B12" s="5197"/>
      <c r="C12" s="3883">
        <v>570.12000000000012</v>
      </c>
      <c r="D12" s="1461">
        <v>1</v>
      </c>
      <c r="E12" s="1462">
        <f t="shared" si="0"/>
        <v>570.12000000000012</v>
      </c>
      <c r="F12" s="861">
        <f>INDEX('NIR faktorer'!$D$26:$D$48,MATCH('K1 2018G'!$A12,'NIR faktorer'!$B$26:$B$48,0))</f>
        <v>129.70598046156394</v>
      </c>
      <c r="G12" s="861" t="str">
        <f>INDEX('NIR faktorer'!$D$54:$D$70,MATCH('K1 2018G'!A12,'NIR faktorer'!$B$54:$B$70,0))</f>
        <v>0,065</v>
      </c>
      <c r="H12" s="854">
        <v>55.65</v>
      </c>
      <c r="I12" s="1463">
        <f>F12*G12*365/H12</f>
        <v>55.296934168025246</v>
      </c>
      <c r="J12" s="1460">
        <f t="shared" si="1"/>
        <v>31.525888107874557</v>
      </c>
      <c r="K12" s="966"/>
      <c r="L12" s="966"/>
      <c r="M12" s="966"/>
      <c r="N12" s="966"/>
    </row>
    <row r="13" spans="1:14" x14ac:dyDescent="0.25">
      <c r="A13" s="5196" t="s">
        <v>329</v>
      </c>
      <c r="B13" s="5197"/>
      <c r="C13" s="3883">
        <v>626.68999999999994</v>
      </c>
      <c r="D13" s="1461">
        <v>1</v>
      </c>
      <c r="E13" s="1462">
        <f t="shared" si="0"/>
        <v>626.68999999999994</v>
      </c>
      <c r="F13" s="861">
        <f>INDEX('NIR faktorer'!$D$26:$D$48,MATCH('K1 2018G'!$A13,'NIR faktorer'!$B$26:$B$48,0))</f>
        <v>159.17092654643409</v>
      </c>
      <c r="G13" s="861" t="str">
        <f>INDEX('NIR faktorer'!$D$54:$D$70,MATCH('K1 2018G'!A13,'NIR faktorer'!$B$54:$B$70,0))</f>
        <v>0,065</v>
      </c>
      <c r="H13" s="854">
        <v>55.65</v>
      </c>
      <c r="I13" s="1463">
        <f>F13*G13*365/H13</f>
        <v>67.858584587855333</v>
      </c>
      <c r="J13" s="1460">
        <f t="shared" si="1"/>
        <v>42.526296375363053</v>
      </c>
      <c r="K13" s="966"/>
      <c r="L13" s="966"/>
      <c r="M13" s="966"/>
      <c r="N13" s="966"/>
    </row>
    <row r="14" spans="1:14" x14ac:dyDescent="0.25">
      <c r="A14" s="5196" t="s">
        <v>342</v>
      </c>
      <c r="B14" s="5197"/>
      <c r="C14" s="3883">
        <v>0</v>
      </c>
      <c r="D14" s="1461">
        <v>1</v>
      </c>
      <c r="E14" s="1462">
        <f t="shared" si="0"/>
        <v>0</v>
      </c>
      <c r="F14" s="861">
        <f>INDEX('NIR faktorer'!$D$26:$D$48,MATCH('K1 2018G'!$A14,'NIR faktorer'!$B$26:$B$48,0))</f>
        <v>71.898754520547939</v>
      </c>
      <c r="G14" s="861" t="str">
        <f>INDEX('NIR faktorer'!$D$54:$D$70,MATCH('K1 2018G'!A14,'NIR faktorer'!$B$54:$B$70,0))</f>
        <v>0,006</v>
      </c>
      <c r="H14" s="854">
        <v>55.65</v>
      </c>
      <c r="I14" s="1463">
        <f>F14*G14*365/H14</f>
        <v>2.8294388571428568</v>
      </c>
      <c r="J14" s="1460">
        <f t="shared" si="1"/>
        <v>0</v>
      </c>
      <c r="K14" s="966"/>
      <c r="L14" s="966"/>
      <c r="M14" s="966"/>
      <c r="N14" s="966"/>
    </row>
    <row r="15" spans="1:14" x14ac:dyDescent="0.25">
      <c r="A15" s="5196" t="s">
        <v>339</v>
      </c>
      <c r="B15" s="5197"/>
      <c r="C15" s="3883">
        <v>27.54</v>
      </c>
      <c r="D15" s="1461" t="s">
        <v>455</v>
      </c>
      <c r="E15" s="1462">
        <f t="shared" si="0"/>
        <v>27.54</v>
      </c>
      <c r="F15" s="861">
        <f>INDEX('NIR faktorer'!$D$26:$D$48,MATCH('K1 2018G'!$A15,'NIR faktorer'!$B$26:$B$48,0))</f>
        <v>10.292322345213647</v>
      </c>
      <c r="G15" s="861" t="str">
        <f>INDEX('NIR faktorer'!$D$54:$D$70,MATCH('K1 2018G'!A15,'NIR faktorer'!$B$54:$B$70,0))</f>
        <v>0,006</v>
      </c>
      <c r="H15" s="854">
        <v>55.65</v>
      </c>
      <c r="I15" s="1463">
        <v>0.08</v>
      </c>
      <c r="J15" s="1460">
        <f t="shared" si="1"/>
        <v>2.2031999999999998E-3</v>
      </c>
      <c r="K15" s="966"/>
      <c r="L15" s="966"/>
      <c r="M15" s="966"/>
      <c r="N15" s="966"/>
    </row>
    <row r="16" spans="1:14" x14ac:dyDescent="0.25">
      <c r="A16" s="5196" t="s">
        <v>332</v>
      </c>
      <c r="B16" s="5197"/>
      <c r="C16" s="3883">
        <v>0</v>
      </c>
      <c r="D16" s="1461" t="s">
        <v>455</v>
      </c>
      <c r="E16" s="1462">
        <f t="shared" si="0"/>
        <v>0</v>
      </c>
      <c r="F16" s="861">
        <f>INDEX('NIR faktorer'!$D$26:$D$48,MATCH('K1 2018G'!$A16,'NIR faktorer'!$B$26:$B$48,0))</f>
        <v>31.04595760670378</v>
      </c>
      <c r="G16" s="861" t="str">
        <f>INDEX('NIR faktorer'!$D$54:$D$70,MATCH('K1 2018G'!A16,'NIR faktorer'!$B$54:$B$70,0))</f>
        <v>0,006</v>
      </c>
      <c r="H16" s="854">
        <v>55.65</v>
      </c>
      <c r="I16" s="1463">
        <v>0.43</v>
      </c>
      <c r="J16" s="1460">
        <f t="shared" si="1"/>
        <v>0</v>
      </c>
      <c r="K16" s="966"/>
      <c r="L16" s="966"/>
      <c r="M16" s="966"/>
      <c r="N16" s="966"/>
    </row>
    <row r="17" spans="1:14" x14ac:dyDescent="0.25">
      <c r="A17" s="5196" t="s">
        <v>948</v>
      </c>
      <c r="B17" s="5197"/>
      <c r="C17" s="3883">
        <v>27.54</v>
      </c>
      <c r="D17" s="1461" t="s">
        <v>455</v>
      </c>
      <c r="E17" s="1462">
        <f t="shared" si="0"/>
        <v>27.54</v>
      </c>
      <c r="F17" s="861">
        <f>INDEX('NIR faktorer'!$D$26:$D$48,MATCH('K1 2018G'!$A17,'NIR faktorer'!$B$26:$B$48,0))</f>
        <v>37.649387008087018</v>
      </c>
      <c r="G17" s="861" t="str">
        <f>INDEX('NIR faktorer'!$D$54:$D$70,MATCH('K1 2018G'!A17,'NIR faktorer'!$B$54:$B$70,0))</f>
        <v>0,006</v>
      </c>
      <c r="H17" s="854">
        <v>55.65</v>
      </c>
      <c r="I17" s="1463">
        <v>0.43</v>
      </c>
      <c r="J17" s="1460">
        <f t="shared" si="1"/>
        <v>1.1842200000000001E-2</v>
      </c>
      <c r="K17" s="966"/>
      <c r="L17" s="966"/>
      <c r="M17" s="966"/>
      <c r="N17" s="966"/>
    </row>
    <row r="18" spans="1:14" x14ac:dyDescent="0.25">
      <c r="A18" s="5196" t="s">
        <v>963</v>
      </c>
      <c r="B18" s="5197"/>
      <c r="C18" s="3883">
        <v>403.89</v>
      </c>
      <c r="D18" s="1461">
        <v>1</v>
      </c>
      <c r="E18" s="1462">
        <f t="shared" si="0"/>
        <v>403.89</v>
      </c>
      <c r="F18" s="861">
        <f>INDEX('NIR faktorer'!$D$26:$D$48,MATCH('K1 2018G'!$A18,'NIR faktorer'!$B$26:$B$48,0))</f>
        <v>20.192378720210169</v>
      </c>
      <c r="G18" s="861" t="str">
        <f>INDEX('NIR faktorer'!$D$54:$D$70,MATCH('K1 2018G'!A18,'NIR faktorer'!$B$54:$B$70,0))</f>
        <v>0,065</v>
      </c>
      <c r="H18" s="854">
        <v>55.65</v>
      </c>
      <c r="I18" s="1463">
        <f>F18*G18*365/H18</f>
        <v>8.6085208470258081</v>
      </c>
      <c r="J18" s="1460">
        <f t="shared" si="1"/>
        <v>3.4768954849052536</v>
      </c>
      <c r="K18" s="966"/>
      <c r="L18" s="966"/>
      <c r="M18" s="966"/>
      <c r="N18" s="966"/>
    </row>
    <row r="19" spans="1:14" x14ac:dyDescent="0.25">
      <c r="A19" s="5196" t="s">
        <v>962</v>
      </c>
      <c r="B19" s="5197"/>
      <c r="C19" s="3883">
        <v>0</v>
      </c>
      <c r="D19" s="1461">
        <v>1</v>
      </c>
      <c r="E19" s="1462">
        <f t="shared" si="0"/>
        <v>0</v>
      </c>
      <c r="F19" s="861">
        <f>INDEX('NIR faktorer'!$D$26:$D$48,MATCH('K1 2018G'!$A19,'NIR faktorer'!$B$26:$B$48,0))</f>
        <v>34.461479452054789</v>
      </c>
      <c r="G19" s="861" t="str">
        <f>INDEX('NIR faktorer'!$D$54:$D$70,MATCH('K1 2018G'!A19,'NIR faktorer'!$B$54:$B$70,0))</f>
        <v>0,05</v>
      </c>
      <c r="H19" s="854">
        <v>55.65</v>
      </c>
      <c r="I19" s="1463">
        <f>F19*G19*365/H19</f>
        <v>11.30138364779874</v>
      </c>
      <c r="J19" s="1460">
        <f t="shared" si="1"/>
        <v>0</v>
      </c>
      <c r="K19" s="966"/>
      <c r="L19" s="966"/>
      <c r="M19" s="966"/>
      <c r="N19" s="966"/>
    </row>
    <row r="20" spans="1:14" x14ac:dyDescent="0.25">
      <c r="A20" s="5196" t="s">
        <v>961</v>
      </c>
      <c r="B20" s="5197"/>
      <c r="C20" s="3883">
        <v>0</v>
      </c>
      <c r="D20" s="1461">
        <v>1</v>
      </c>
      <c r="E20" s="1462">
        <f t="shared" si="0"/>
        <v>0</v>
      </c>
      <c r="F20" s="861">
        <f>INDEX('NIR faktorer'!$D$26:$D$48,MATCH('K1 2018G'!$A20,'NIR faktorer'!$B$26:$B$48,0))</f>
        <v>39.885851650966416</v>
      </c>
      <c r="G20" s="861" t="str">
        <f>INDEX('NIR faktorer'!$D$54:$D$70,MATCH('K1 2018G'!A20,'NIR faktorer'!$B$54:$B$70,0))</f>
        <v>0,05</v>
      </c>
      <c r="H20" s="854">
        <v>55.65</v>
      </c>
      <c r="I20" s="1463">
        <f>F20*G20*365/H20</f>
        <v>13.080265815456194</v>
      </c>
      <c r="J20" s="1460">
        <f t="shared" si="1"/>
        <v>0</v>
      </c>
      <c r="K20" s="966"/>
      <c r="L20" s="966"/>
      <c r="M20" s="966"/>
      <c r="N20" s="966"/>
    </row>
    <row r="21" spans="1:14" x14ac:dyDescent="0.25">
      <c r="A21" s="5196" t="s">
        <v>337</v>
      </c>
      <c r="B21" s="5197"/>
      <c r="C21" s="3883">
        <v>28565.51</v>
      </c>
      <c r="D21" s="1461">
        <v>1</v>
      </c>
      <c r="E21" s="1462">
        <f t="shared" si="0"/>
        <v>28565.51</v>
      </c>
      <c r="F21" s="861">
        <f>INDEX('NIR faktorer'!$D$26:$D$48,MATCH('K1 2018G'!$A21,'NIR faktorer'!$B$26:$B$48,0))</f>
        <v>7.5073506849315077</v>
      </c>
      <c r="G21" s="861" t="str">
        <f>INDEX('NIR faktorer'!$D$54:$D$70,MATCH('K1 2018G'!A21,'NIR faktorer'!$B$54:$B$70,0))</f>
        <v>NA</v>
      </c>
      <c r="H21" s="854">
        <v>55.65</v>
      </c>
      <c r="I21" s="1465" t="s">
        <v>799</v>
      </c>
      <c r="J21" s="1466" t="s">
        <v>799</v>
      </c>
      <c r="K21" s="966"/>
      <c r="L21" s="966"/>
      <c r="M21" s="966"/>
      <c r="N21" s="966"/>
    </row>
    <row r="22" spans="1:14" x14ac:dyDescent="0.25">
      <c r="A22" s="5196" t="s">
        <v>334</v>
      </c>
      <c r="B22" s="5197"/>
      <c r="C22" s="3883">
        <v>318.72999999999996</v>
      </c>
      <c r="D22" s="1461">
        <v>1</v>
      </c>
      <c r="E22" s="1462">
        <f t="shared" si="0"/>
        <v>318.72999999999996</v>
      </c>
      <c r="F22" s="861">
        <f>INDEX('NIR faktorer'!$D$26:$D$48,MATCH('K1 2018G'!$A22,'NIR faktorer'!$B$26:$B$48,0))</f>
        <v>148.19402999999997</v>
      </c>
      <c r="G22" s="861" t="str">
        <f>INDEX('NIR faktorer'!$D$54:$D$70,MATCH('K1 2018G'!A22,'NIR faktorer'!$B$54:$B$70,0))</f>
        <v>0,025</v>
      </c>
      <c r="H22" s="854">
        <v>55.65</v>
      </c>
      <c r="I22" s="1463">
        <f>F22*G22*365/H22</f>
        <v>24.299560175202153</v>
      </c>
      <c r="J22" s="1460">
        <f>E22*I22/1000</f>
        <v>7.7449988146421811</v>
      </c>
      <c r="K22" s="966"/>
      <c r="L22" s="966"/>
      <c r="M22" s="966"/>
      <c r="N22" s="966"/>
    </row>
    <row r="23" spans="1:14" ht="15.75" thickBot="1" x14ac:dyDescent="0.3">
      <c r="A23" s="5202" t="s">
        <v>331</v>
      </c>
      <c r="B23" s="5203"/>
      <c r="C23" s="3883">
        <v>0</v>
      </c>
      <c r="D23" s="1461" t="s">
        <v>455</v>
      </c>
      <c r="E23" s="1462" t="s">
        <v>455</v>
      </c>
      <c r="F23" s="1462" t="s">
        <v>455</v>
      </c>
      <c r="G23" s="1462" t="s">
        <v>455</v>
      </c>
      <c r="H23" s="854">
        <v>55.65</v>
      </c>
      <c r="I23" s="853" t="e">
        <f>+J23/C23</f>
        <v>#DIV/0!</v>
      </c>
      <c r="J23" s="1460">
        <f>+E38/1000</f>
        <v>0</v>
      </c>
      <c r="K23" s="966"/>
      <c r="L23" s="966"/>
      <c r="M23" s="966"/>
      <c r="N23" s="966"/>
    </row>
    <row r="24" spans="1:14" ht="15.75" thickBot="1" x14ac:dyDescent="0.3">
      <c r="A24" s="5210" t="s">
        <v>228</v>
      </c>
      <c r="B24" s="5211"/>
      <c r="C24" s="1467">
        <f>SUM(C7:C23)</f>
        <v>31961.649999999998</v>
      </c>
      <c r="D24" s="1467"/>
      <c r="E24" s="1467"/>
      <c r="F24" s="1468"/>
      <c r="G24" s="1468"/>
      <c r="H24" s="1468"/>
      <c r="I24" s="1469"/>
      <c r="J24" s="1470">
        <f>SUM(J7:J23)</f>
        <v>128.25847101953934</v>
      </c>
    </row>
    <row r="27" spans="1:14" s="849" customFormat="1" ht="114.75" customHeight="1" x14ac:dyDescent="0.2">
      <c r="A27" s="851" t="s">
        <v>651</v>
      </c>
      <c r="B27" s="851"/>
      <c r="C27" s="850" t="s">
        <v>1845</v>
      </c>
      <c r="D27" s="959"/>
      <c r="E27" s="851"/>
      <c r="F27" s="850" t="str">
        <f>'NIR faktorer'!D51</f>
        <v>NIR Tier II Annex 3D-11 NIR, 2022 (2020)</v>
      </c>
      <c r="G27" s="850" t="str">
        <f>'NIR faktorer'!D73</f>
        <v>NIR Tier II 2020 (2018) Tabel  5.7 og 5.8 og CRF Tabel 3.As1 2020 (2018)</v>
      </c>
      <c r="H27" s="850" t="s">
        <v>1844</v>
      </c>
      <c r="I27" s="962" t="s">
        <v>2209</v>
      </c>
    </row>
    <row r="30" spans="1:14" ht="15.75" hidden="1" thickBot="1" x14ac:dyDescent="0.3">
      <c r="A30" s="5212" t="s">
        <v>2210</v>
      </c>
      <c r="B30" s="5213"/>
      <c r="C30" s="5213"/>
      <c r="D30" s="5213"/>
      <c r="E30" s="5214"/>
    </row>
    <row r="31" spans="1:14" ht="15" hidden="1" customHeight="1" thickBot="1" x14ac:dyDescent="0.3">
      <c r="A31" s="963"/>
      <c r="B31" s="963"/>
      <c r="C31" s="967" t="s">
        <v>1843</v>
      </c>
      <c r="D31" s="967" t="s">
        <v>2206</v>
      </c>
      <c r="E31" s="968" t="s">
        <v>2208</v>
      </c>
    </row>
    <row r="32" spans="1:14" hidden="1" x14ac:dyDescent="0.25">
      <c r="A32" s="5215" t="s">
        <v>1842</v>
      </c>
      <c r="B32" s="5216"/>
      <c r="C32" s="969">
        <f>SUMIF(staldtype_total_18G!$C$3:$C$225,"*slagtekyllinger*",staldtype_total_18G!$J$3:$J$226)</f>
        <v>0</v>
      </c>
      <c r="D32" s="969">
        <f>0.01/1000</f>
        <v>1.0000000000000001E-5</v>
      </c>
      <c r="E32" s="970">
        <f t="shared" ref="E32:E37" si="2">+C32*D32</f>
        <v>0</v>
      </c>
    </row>
    <row r="33" spans="1:5" hidden="1" x14ac:dyDescent="0.25">
      <c r="A33" s="5204" t="s">
        <v>1841</v>
      </c>
      <c r="B33" s="5205"/>
      <c r="C33" s="971">
        <f>SUMIF(staldtype_total_18G!$C$3:$C$225,"*konsumæg*",staldtype_total_18G!$J$3:$J$226)+SUMIF(staldtype_total_18G!$C$3:$C$225,"*rugeæg*",staldtype_total_18G!$J$3:$J$226)</f>
        <v>0</v>
      </c>
      <c r="D33" s="971">
        <f>1.06/100</f>
        <v>1.06E-2</v>
      </c>
      <c r="E33" s="970">
        <f t="shared" si="2"/>
        <v>0</v>
      </c>
    </row>
    <row r="34" spans="1:5" hidden="1" x14ac:dyDescent="0.25">
      <c r="A34" s="5204" t="s">
        <v>1840</v>
      </c>
      <c r="B34" s="5205"/>
      <c r="C34" s="971">
        <f>SUMIF(staldtype_total_18G!$C$3:$C$225,"*hønniker*",staldtype_total_18G!$J$3:$J$226)</f>
        <v>0</v>
      </c>
      <c r="D34" s="971">
        <f>1.06/100</f>
        <v>1.06E-2</v>
      </c>
      <c r="E34" s="970">
        <f t="shared" si="2"/>
        <v>0</v>
      </c>
    </row>
    <row r="35" spans="1:5" hidden="1" x14ac:dyDescent="0.25">
      <c r="A35" s="5204" t="s">
        <v>1839</v>
      </c>
      <c r="B35" s="5205"/>
      <c r="C35" s="972">
        <f>SUMIF(staldtype_total_18G!$C$3:$C$225,"*fasan*",staldtype_total_18G!$J$3:$J$226)</f>
        <v>0</v>
      </c>
      <c r="D35" s="972">
        <f>0.47/100</f>
        <v>4.6999999999999993E-3</v>
      </c>
      <c r="E35" s="970">
        <f t="shared" si="2"/>
        <v>0</v>
      </c>
    </row>
    <row r="36" spans="1:5" hidden="1" x14ac:dyDescent="0.25">
      <c r="A36" s="5204" t="s">
        <v>1838</v>
      </c>
      <c r="B36" s="5205"/>
      <c r="C36" s="972">
        <f>SUMIF(staldtype_total_18G!$C$3:$C$225,"*gæs*",staldtype_total_18G!$J$3:$J$226)</f>
        <v>0</v>
      </c>
      <c r="D36" s="971">
        <f>0.005/100</f>
        <v>5.0000000000000002E-5</v>
      </c>
      <c r="E36" s="970">
        <f t="shared" si="2"/>
        <v>0</v>
      </c>
    </row>
    <row r="37" spans="1:5" ht="15.75" hidden="1" thickBot="1" x14ac:dyDescent="0.3">
      <c r="A37" s="5206" t="s">
        <v>1837</v>
      </c>
      <c r="B37" s="5207"/>
      <c r="C37" s="972">
        <f>SUMIF(staldtype_total_18G!$C$3:$C$225,"*ænder*",staldtype_total_18G!$J$3:$J$226)</f>
        <v>0</v>
      </c>
      <c r="D37" s="973">
        <f>0.003/100</f>
        <v>3.0000000000000001E-5</v>
      </c>
      <c r="E37" s="970">
        <f t="shared" si="2"/>
        <v>0</v>
      </c>
    </row>
    <row r="38" spans="1:5" ht="15.75" hidden="1" thickBot="1" x14ac:dyDescent="0.3">
      <c r="A38" s="5208" t="s">
        <v>228</v>
      </c>
      <c r="B38" s="5209"/>
      <c r="C38" s="974">
        <f>SUM(C32:C37)</f>
        <v>0</v>
      </c>
      <c r="D38" s="974"/>
      <c r="E38" s="975">
        <f>SUM(E32:E37)</f>
        <v>0</v>
      </c>
    </row>
    <row r="39" spans="1:5" hidden="1" x14ac:dyDescent="0.25">
      <c r="A39" s="976"/>
      <c r="B39" s="976"/>
      <c r="C39" s="976"/>
      <c r="D39" s="976"/>
      <c r="E39" s="976"/>
    </row>
    <row r="40" spans="1:5" ht="105.75" hidden="1" customHeight="1" x14ac:dyDescent="0.25">
      <c r="A40" s="960" t="s">
        <v>651</v>
      </c>
      <c r="B40" s="961"/>
      <c r="C40" s="961"/>
      <c r="D40" s="962" t="s">
        <v>2207</v>
      </c>
      <c r="E40" s="961"/>
    </row>
  </sheetData>
  <mergeCells count="27">
    <mergeCell ref="A22:B22"/>
    <mergeCell ref="A17:B17"/>
    <mergeCell ref="A23:B23"/>
    <mergeCell ref="A24:B24"/>
    <mergeCell ref="A11:B11"/>
    <mergeCell ref="A18:B18"/>
    <mergeCell ref="A19:B19"/>
    <mergeCell ref="A20:B20"/>
    <mergeCell ref="A21:B21"/>
    <mergeCell ref="A12:B12"/>
    <mergeCell ref="A13:B13"/>
    <mergeCell ref="A14:B14"/>
    <mergeCell ref="A15:B15"/>
    <mergeCell ref="A16:B16"/>
    <mergeCell ref="A6:B6"/>
    <mergeCell ref="A7:B7"/>
    <mergeCell ref="A8:B8"/>
    <mergeCell ref="A9:B9"/>
    <mergeCell ref="A10:B10"/>
    <mergeCell ref="A36:B36"/>
    <mergeCell ref="A37:B37"/>
    <mergeCell ref="A38:B38"/>
    <mergeCell ref="A30:E30"/>
    <mergeCell ref="A32:B32"/>
    <mergeCell ref="A33:B33"/>
    <mergeCell ref="A34:B34"/>
    <mergeCell ref="A35:B35"/>
  </mergeCells>
  <hyperlinks>
    <hyperlink ref="A2" location="Index!A1" display="Til index" xr:uid="{E00A453D-AE17-4012-BD9D-ADC1F79F59A4}"/>
  </hyperlinks>
  <pageMargins left="0.7" right="0.7" top="0.75" bottom="0.75" header="0.3" footer="0.3"/>
  <pageSetup paperSize="9" orientation="portrait" horizontalDpi="4294967293" verticalDpi="4294967293" r:id="rId1"/>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F5442-DA9D-422F-AB1B-6BB63120C2BB}">
  <sheetPr codeName="Ark122">
    <tabColor theme="4" tint="0.59999389629810485"/>
  </sheetPr>
  <dimension ref="A1:S37"/>
  <sheetViews>
    <sheetView zoomScale="85" zoomScaleNormal="85" workbookViewId="0">
      <selection activeCell="I12" sqref="I12"/>
    </sheetView>
  </sheetViews>
  <sheetFormatPr defaultColWidth="9.140625" defaultRowHeight="12.75" x14ac:dyDescent="0.2"/>
  <cols>
    <col min="1" max="1" width="17.28515625" style="976" bestFit="1" customWidth="1"/>
    <col min="2" max="2" width="10.7109375" style="976" bestFit="1" customWidth="1"/>
    <col min="3" max="3" width="7.28515625" style="976" bestFit="1" customWidth="1"/>
    <col min="4" max="4" width="7.5703125" style="976" bestFit="1" customWidth="1"/>
    <col min="5" max="5" width="10.5703125" style="976" bestFit="1" customWidth="1"/>
    <col min="6" max="6" width="10.7109375" style="976" bestFit="1" customWidth="1"/>
    <col min="7" max="7" width="5.85546875" style="976" bestFit="1" customWidth="1"/>
    <col min="8" max="8" width="8.42578125" style="976" bestFit="1" customWidth="1"/>
    <col min="9" max="9" width="5.42578125" style="976" bestFit="1" customWidth="1"/>
    <col min="10" max="10" width="7.42578125" style="976" bestFit="1" customWidth="1"/>
    <col min="11" max="11" width="7" style="976" bestFit="1" customWidth="1"/>
    <col min="12" max="12" width="19.85546875" style="976" bestFit="1" customWidth="1"/>
    <col min="13" max="13" width="18.140625" style="976" bestFit="1" customWidth="1"/>
    <col min="14" max="14" width="8.85546875" style="976" bestFit="1" customWidth="1"/>
    <col min="15" max="15" width="9.42578125" style="976" bestFit="1" customWidth="1"/>
    <col min="16" max="16" width="17.28515625" style="976" bestFit="1" customWidth="1"/>
    <col min="17" max="17" width="5.7109375" style="976" bestFit="1" customWidth="1"/>
    <col min="18" max="18" width="11" style="976" bestFit="1" customWidth="1"/>
    <col min="19" max="19" width="9.85546875" style="976" bestFit="1" customWidth="1"/>
    <col min="20" max="20" width="60.28515625" style="976" bestFit="1" customWidth="1"/>
    <col min="21" max="21" width="59.85546875" style="976" bestFit="1" customWidth="1"/>
    <col min="22" max="22" width="50.85546875" style="976" bestFit="1" customWidth="1"/>
    <col min="23" max="23" width="68.140625" style="976" bestFit="1" customWidth="1"/>
    <col min="24" max="24" width="24.7109375" style="976" bestFit="1" customWidth="1"/>
    <col min="25" max="25" width="17.28515625" style="976" bestFit="1" customWidth="1"/>
    <col min="26" max="26" width="28.28515625" style="976" bestFit="1" customWidth="1"/>
    <col min="27" max="27" width="36.85546875" style="976" bestFit="1" customWidth="1"/>
    <col min="28" max="28" width="47.28515625" style="976" bestFit="1" customWidth="1"/>
    <col min="29" max="29" width="40.42578125" style="976" bestFit="1" customWidth="1"/>
    <col min="30" max="30" width="49" style="976" bestFit="1" customWidth="1"/>
    <col min="31" max="31" width="19.7109375" style="976" bestFit="1" customWidth="1"/>
    <col min="32" max="32" width="8.5703125" style="976" bestFit="1" customWidth="1"/>
    <col min="33" max="33" width="6.140625" style="976" bestFit="1" customWidth="1"/>
    <col min="34" max="34" width="14.28515625" style="976" bestFit="1" customWidth="1"/>
    <col min="35" max="35" width="15.5703125" style="976" bestFit="1" customWidth="1"/>
    <col min="36" max="36" width="18.140625" style="976" bestFit="1" customWidth="1"/>
    <col min="37" max="37" width="22.7109375" style="976" bestFit="1" customWidth="1"/>
    <col min="38" max="38" width="25.85546875" style="976" bestFit="1" customWidth="1"/>
    <col min="39" max="39" width="35" style="976" bestFit="1" customWidth="1"/>
    <col min="40" max="41" width="39" style="976" bestFit="1" customWidth="1"/>
    <col min="42" max="42" width="36.140625" style="976" bestFit="1" customWidth="1"/>
    <col min="43" max="43" width="31.7109375" style="976" bestFit="1" customWidth="1"/>
    <col min="44" max="44" width="15.5703125" style="976" bestFit="1" customWidth="1"/>
    <col min="45" max="45" width="15.140625" style="976" bestFit="1" customWidth="1"/>
    <col min="46" max="46" width="13.85546875" style="976" bestFit="1" customWidth="1"/>
    <col min="47" max="47" width="17.85546875" style="976" bestFit="1" customWidth="1"/>
    <col min="48" max="48" width="23.140625" style="976" bestFit="1" customWidth="1"/>
    <col min="49" max="49" width="45.140625" style="976" bestFit="1" customWidth="1"/>
    <col min="50" max="50" width="45.7109375" style="976" bestFit="1" customWidth="1"/>
    <col min="51" max="51" width="31.85546875" style="976" bestFit="1" customWidth="1"/>
    <col min="52" max="52" width="34.140625" style="976" bestFit="1" customWidth="1"/>
    <col min="53" max="53" width="15.28515625" style="976" bestFit="1" customWidth="1"/>
    <col min="54" max="54" width="33" style="976" bestFit="1" customWidth="1"/>
    <col min="55" max="55" width="36.42578125" style="976" bestFit="1" customWidth="1"/>
    <col min="56" max="56" width="35.42578125" style="976" bestFit="1" customWidth="1"/>
    <col min="57" max="57" width="34.85546875" style="976" bestFit="1" customWidth="1"/>
    <col min="58" max="61" width="34.42578125" style="976" bestFit="1" customWidth="1"/>
    <col min="62" max="64" width="59.28515625" style="976" bestFit="1" customWidth="1"/>
    <col min="65" max="65" width="59.85546875" style="976" bestFit="1" customWidth="1"/>
    <col min="66" max="66" width="19.85546875" style="976" bestFit="1" customWidth="1"/>
    <col min="67" max="67" width="20.28515625" style="976" bestFit="1" customWidth="1"/>
    <col min="68" max="68" width="23" style="976" bestFit="1" customWidth="1"/>
    <col min="69" max="69" width="23.42578125" style="976" bestFit="1" customWidth="1"/>
    <col min="70" max="70" width="23.85546875" style="976" bestFit="1" customWidth="1"/>
    <col min="71" max="72" width="41.85546875" style="976" bestFit="1" customWidth="1"/>
    <col min="73" max="73" width="27.5703125" style="976" bestFit="1" customWidth="1"/>
    <col min="74" max="74" width="27.7109375" style="976" bestFit="1" customWidth="1"/>
    <col min="75" max="75" width="21" style="976" bestFit="1" customWidth="1"/>
    <col min="76" max="76" width="20.5703125" style="976" bestFit="1" customWidth="1"/>
    <col min="77" max="77" width="29.140625" style="976" bestFit="1" customWidth="1"/>
    <col min="78" max="78" width="33.140625" style="976" bestFit="1" customWidth="1"/>
    <col min="79" max="79" width="23" style="976" bestFit="1" customWidth="1"/>
    <col min="80" max="80" width="7.85546875" style="976" bestFit="1" customWidth="1"/>
    <col min="81" max="81" width="10.85546875" style="976" bestFit="1" customWidth="1"/>
    <col min="82" max="83" width="12" style="976" bestFit="1" customWidth="1"/>
    <col min="84" max="84" width="6" style="976" bestFit="1" customWidth="1"/>
    <col min="85" max="85" width="22.5703125" style="976" bestFit="1" customWidth="1"/>
    <col min="86" max="86" width="7.7109375" style="976" bestFit="1" customWidth="1"/>
    <col min="87" max="87" width="10" style="976" bestFit="1" customWidth="1"/>
    <col min="88" max="88" width="12" style="976" bestFit="1" customWidth="1"/>
    <col min="89" max="89" width="11" style="976" bestFit="1" customWidth="1"/>
    <col min="90" max="93" width="12" style="976" bestFit="1" customWidth="1"/>
    <col min="94" max="94" width="6" style="976" bestFit="1" customWidth="1"/>
    <col min="95" max="95" width="10.7109375" style="976" bestFit="1" customWidth="1"/>
    <col min="96" max="96" width="10.85546875" style="976" bestFit="1" customWidth="1"/>
    <col min="97" max="16384" width="9.140625" style="976"/>
  </cols>
  <sheetData>
    <row r="1" spans="1:19" s="1547" customFormat="1" ht="53.45" customHeight="1" x14ac:dyDescent="0.45">
      <c r="B1" s="1546" t="s">
        <v>2824</v>
      </c>
    </row>
    <row r="2" spans="1:19" ht="21" x14ac:dyDescent="0.35">
      <c r="A2" s="1740" t="s">
        <v>4206</v>
      </c>
      <c r="B2" s="1588"/>
    </row>
    <row r="3" spans="1:19" ht="13.5" customHeight="1" x14ac:dyDescent="0.2"/>
    <row r="4" spans="1:19" ht="12" customHeight="1" x14ac:dyDescent="0.25">
      <c r="A4" s="1456"/>
      <c r="B4" s="965" t="s">
        <v>2088</v>
      </c>
    </row>
    <row r="5" spans="1:19" ht="12" customHeight="1" thickBot="1" x14ac:dyDescent="0.25"/>
    <row r="6" spans="1:19" ht="17.45" customHeight="1" thickBot="1" x14ac:dyDescent="0.3">
      <c r="A6" s="5217" t="s">
        <v>4994</v>
      </c>
      <c r="B6" s="5218"/>
      <c r="C6" s="5218"/>
      <c r="D6" s="5218"/>
      <c r="E6" s="5218"/>
      <c r="F6" s="5218"/>
      <c r="G6" s="5218"/>
      <c r="H6" s="5218"/>
      <c r="I6" s="5218"/>
      <c r="J6" s="5218"/>
      <c r="K6" s="5218"/>
      <c r="L6" s="5218"/>
      <c r="M6" s="5218"/>
      <c r="N6" s="5218"/>
      <c r="O6" s="5218"/>
      <c r="P6" s="5218"/>
      <c r="Q6" s="5218"/>
      <c r="R6" s="5219"/>
    </row>
    <row r="7" spans="1:19" ht="15.75" thickBot="1" x14ac:dyDescent="0.3">
      <c r="A7" s="2874" t="s">
        <v>4748</v>
      </c>
      <c r="B7" s="2875"/>
      <c r="C7" s="2876"/>
      <c r="D7" s="2877"/>
      <c r="E7" s="2877"/>
      <c r="F7" s="2877"/>
      <c r="G7" s="2877"/>
      <c r="H7" s="2877"/>
      <c r="I7" s="2877"/>
      <c r="J7" s="2877"/>
      <c r="K7" s="2877"/>
      <c r="L7" s="2877"/>
      <c r="M7" s="2877"/>
      <c r="N7" s="2877"/>
      <c r="O7" s="2877"/>
      <c r="P7" s="2877"/>
      <c r="Q7" s="2877"/>
      <c r="R7" s="2878"/>
      <c r="S7" s="3"/>
    </row>
    <row r="8" spans="1:19" ht="15.75" thickBot="1" x14ac:dyDescent="0.3">
      <c r="A8" s="2879"/>
      <c r="B8" s="2877" t="s">
        <v>329</v>
      </c>
      <c r="C8" s="2877" t="s">
        <v>330</v>
      </c>
      <c r="D8" s="2877" t="s">
        <v>331</v>
      </c>
      <c r="E8" s="2877" t="s">
        <v>2754</v>
      </c>
      <c r="F8" s="2877" t="s">
        <v>333</v>
      </c>
      <c r="G8" s="2877" t="s">
        <v>334</v>
      </c>
      <c r="H8" s="2877" t="s">
        <v>335</v>
      </c>
      <c r="I8" s="2877" t="s">
        <v>336</v>
      </c>
      <c r="J8" s="2877" t="s">
        <v>337</v>
      </c>
      <c r="K8" s="2877" t="s">
        <v>2747</v>
      </c>
      <c r="L8" s="2877" t="s">
        <v>2794</v>
      </c>
      <c r="M8" s="2877" t="s">
        <v>2796</v>
      </c>
      <c r="N8" s="2877" t="s">
        <v>339</v>
      </c>
      <c r="O8" s="2877" t="s">
        <v>340</v>
      </c>
      <c r="P8" s="2877" t="s">
        <v>341</v>
      </c>
      <c r="Q8" s="2877" t="s">
        <v>342</v>
      </c>
      <c r="R8" s="2874" t="s">
        <v>2825</v>
      </c>
      <c r="S8" s="3"/>
    </row>
    <row r="9" spans="1:19" ht="15" x14ac:dyDescent="0.25">
      <c r="A9" s="4139" t="s">
        <v>639</v>
      </c>
      <c r="B9" s="4136">
        <v>50.06</v>
      </c>
      <c r="C9" s="4203">
        <v>0</v>
      </c>
      <c r="D9" s="4203"/>
      <c r="E9" s="4203"/>
      <c r="F9" s="4203"/>
      <c r="G9" s="4203"/>
      <c r="H9" s="4203"/>
      <c r="I9" s="4203">
        <v>37.799999999999997</v>
      </c>
      <c r="J9" s="4203"/>
      <c r="K9" s="4203"/>
      <c r="L9" s="4203"/>
      <c r="M9" s="4203">
        <v>5.1100000000000003</v>
      </c>
      <c r="N9" s="4203"/>
      <c r="O9" s="4203"/>
      <c r="P9" s="4203">
        <v>0</v>
      </c>
      <c r="Q9" s="4203"/>
      <c r="R9" s="4137">
        <v>92.97</v>
      </c>
      <c r="S9" s="3"/>
    </row>
    <row r="10" spans="1:19" ht="15" x14ac:dyDescent="0.25">
      <c r="A10" s="4139" t="s">
        <v>350</v>
      </c>
      <c r="B10" s="4136">
        <v>476.63</v>
      </c>
      <c r="C10" s="4203">
        <v>10.94</v>
      </c>
      <c r="D10" s="4203">
        <v>0</v>
      </c>
      <c r="E10" s="4203">
        <v>0</v>
      </c>
      <c r="F10" s="4203"/>
      <c r="G10" s="4203"/>
      <c r="H10" s="4203"/>
      <c r="I10" s="4203">
        <v>532.31999999999994</v>
      </c>
      <c r="J10" s="4203">
        <v>0</v>
      </c>
      <c r="K10" s="4203">
        <v>27.54</v>
      </c>
      <c r="L10" s="4203">
        <v>493.31</v>
      </c>
      <c r="M10" s="4203">
        <v>548.35</v>
      </c>
      <c r="N10" s="4203">
        <v>27.54</v>
      </c>
      <c r="O10" s="4203">
        <v>175.85</v>
      </c>
      <c r="P10" s="4203">
        <v>0</v>
      </c>
      <c r="Q10" s="4203">
        <v>0</v>
      </c>
      <c r="R10" s="4137">
        <v>2292.4799999999996</v>
      </c>
      <c r="S10" s="3"/>
    </row>
    <row r="11" spans="1:19" ht="15" x14ac:dyDescent="0.25">
      <c r="A11" s="4139" t="s">
        <v>351</v>
      </c>
      <c r="B11" s="4136"/>
      <c r="C11" s="4203"/>
      <c r="D11" s="4203">
        <v>0</v>
      </c>
      <c r="E11" s="4203"/>
      <c r="F11" s="4203"/>
      <c r="G11" s="4203"/>
      <c r="H11" s="4203"/>
      <c r="I11" s="4203"/>
      <c r="J11" s="4203"/>
      <c r="K11" s="4203"/>
      <c r="L11" s="4203"/>
      <c r="M11" s="4203"/>
      <c r="N11" s="4203"/>
      <c r="O11" s="4203"/>
      <c r="P11" s="4203"/>
      <c r="Q11" s="4203">
        <v>0</v>
      </c>
      <c r="R11" s="4137">
        <v>0</v>
      </c>
      <c r="S11" s="3"/>
    </row>
    <row r="12" spans="1:19" ht="15" x14ac:dyDescent="0.25">
      <c r="A12" s="4139" t="s">
        <v>352</v>
      </c>
      <c r="B12" s="4136"/>
      <c r="C12" s="4203"/>
      <c r="D12" s="4203">
        <v>0</v>
      </c>
      <c r="E12" s="4203">
        <v>0</v>
      </c>
      <c r="F12" s="4203">
        <v>403.89</v>
      </c>
      <c r="G12" s="4203"/>
      <c r="H12" s="4203"/>
      <c r="I12" s="4203"/>
      <c r="J12" s="4203"/>
      <c r="K12" s="4203">
        <v>0</v>
      </c>
      <c r="L12" s="4203"/>
      <c r="M12" s="4203"/>
      <c r="N12" s="4203">
        <v>0</v>
      </c>
      <c r="O12" s="4203"/>
      <c r="P12" s="4203"/>
      <c r="Q12" s="4203"/>
      <c r="R12" s="4137">
        <v>403.89</v>
      </c>
      <c r="S12" s="3"/>
    </row>
    <row r="13" spans="1:19" ht="15" x14ac:dyDescent="0.25">
      <c r="A13" s="4139" t="s">
        <v>2743</v>
      </c>
      <c r="B13" s="4136"/>
      <c r="C13" s="4203"/>
      <c r="D13" s="4203">
        <v>0</v>
      </c>
      <c r="E13" s="4203"/>
      <c r="F13" s="4203">
        <v>0</v>
      </c>
      <c r="G13" s="4203">
        <v>318.72999999999996</v>
      </c>
      <c r="H13" s="4203">
        <v>0</v>
      </c>
      <c r="I13" s="4203"/>
      <c r="J13" s="4203">
        <v>28565.51</v>
      </c>
      <c r="K13" s="4203"/>
      <c r="L13" s="4203"/>
      <c r="M13" s="4203"/>
      <c r="N13" s="4203"/>
      <c r="O13" s="4203"/>
      <c r="P13" s="4203"/>
      <c r="Q13" s="4203"/>
      <c r="R13" s="4137">
        <v>28884.239999999998</v>
      </c>
      <c r="S13" s="3"/>
    </row>
    <row r="14" spans="1:19" ht="15" x14ac:dyDescent="0.25">
      <c r="A14" s="4139" t="s">
        <v>353</v>
      </c>
      <c r="B14" s="4136"/>
      <c r="C14" s="4203">
        <v>0</v>
      </c>
      <c r="D14" s="4203"/>
      <c r="E14" s="4203">
        <v>0</v>
      </c>
      <c r="F14" s="4203"/>
      <c r="G14" s="4203"/>
      <c r="H14" s="4203"/>
      <c r="I14" s="4203">
        <v>0</v>
      </c>
      <c r="J14" s="4203"/>
      <c r="K14" s="4203">
        <v>0</v>
      </c>
      <c r="L14" s="4203"/>
      <c r="M14" s="4203">
        <v>0</v>
      </c>
      <c r="N14" s="4203">
        <v>0</v>
      </c>
      <c r="O14" s="4203"/>
      <c r="P14" s="4203"/>
      <c r="Q14" s="4203">
        <v>0</v>
      </c>
      <c r="R14" s="4137">
        <v>0</v>
      </c>
      <c r="S14" s="3"/>
    </row>
    <row r="15" spans="1:19" ht="15.75" thickBot="1" x14ac:dyDescent="0.3">
      <c r="A15" s="2880" t="s">
        <v>354</v>
      </c>
      <c r="B15" s="4048">
        <v>100</v>
      </c>
      <c r="C15" s="4140">
        <v>0</v>
      </c>
      <c r="D15" s="4140"/>
      <c r="E15" s="4140"/>
      <c r="F15" s="4140"/>
      <c r="G15" s="4140"/>
      <c r="H15" s="4140"/>
      <c r="I15" s="4140">
        <v>0</v>
      </c>
      <c r="J15" s="4140"/>
      <c r="K15" s="4140"/>
      <c r="L15" s="4140"/>
      <c r="M15" s="4140">
        <v>0</v>
      </c>
      <c r="N15" s="4140"/>
      <c r="O15" s="4140"/>
      <c r="P15" s="4140">
        <v>188.07</v>
      </c>
      <c r="Q15" s="4140"/>
      <c r="R15" s="2881">
        <v>288.07</v>
      </c>
      <c r="S15" s="3"/>
    </row>
    <row r="16" spans="1:19" ht="15.75" thickBot="1" x14ac:dyDescent="0.3">
      <c r="A16" s="2880" t="s">
        <v>2825</v>
      </c>
      <c r="B16" s="4048">
        <v>626.69000000000005</v>
      </c>
      <c r="C16" s="4140">
        <v>10.94</v>
      </c>
      <c r="D16" s="4140">
        <v>0</v>
      </c>
      <c r="E16" s="4140">
        <v>0</v>
      </c>
      <c r="F16" s="4140">
        <v>403.89</v>
      </c>
      <c r="G16" s="4140">
        <v>318.72999999999996</v>
      </c>
      <c r="H16" s="4140">
        <v>0</v>
      </c>
      <c r="I16" s="4140">
        <v>570.11999999999989</v>
      </c>
      <c r="J16" s="4140">
        <v>28565.51</v>
      </c>
      <c r="K16" s="4140">
        <v>27.54</v>
      </c>
      <c r="L16" s="4140">
        <v>493.31</v>
      </c>
      <c r="M16" s="4140">
        <v>553.46</v>
      </c>
      <c r="N16" s="4140">
        <v>27.54</v>
      </c>
      <c r="O16" s="4140">
        <v>175.85</v>
      </c>
      <c r="P16" s="4140">
        <v>188.07</v>
      </c>
      <c r="Q16" s="4140">
        <v>0</v>
      </c>
      <c r="R16" s="2881">
        <v>31961.649999999998</v>
      </c>
      <c r="S16" s="3"/>
    </row>
    <row r="17" spans="1:19" ht="14.25" x14ac:dyDescent="0.2">
      <c r="A17" s="2882"/>
      <c r="B17" s="2882"/>
      <c r="C17" s="2882"/>
      <c r="D17" s="2882"/>
      <c r="E17" s="2882"/>
      <c r="F17" s="2882"/>
      <c r="G17" s="2882"/>
      <c r="H17" s="2882"/>
      <c r="I17" s="2882"/>
      <c r="J17" s="2882"/>
      <c r="K17" s="2882"/>
      <c r="L17" s="2882"/>
      <c r="M17" s="2882"/>
      <c r="N17" s="2882"/>
      <c r="O17" s="2882"/>
      <c r="P17" s="2882"/>
      <c r="Q17" s="2882"/>
      <c r="R17" s="2882"/>
    </row>
    <row r="18" spans="1:19" ht="14.25" x14ac:dyDescent="0.2">
      <c r="A18" s="2882"/>
      <c r="B18" s="2882"/>
      <c r="C18" s="2882"/>
      <c r="D18" s="2882"/>
      <c r="E18" s="2882"/>
      <c r="F18" s="2882"/>
      <c r="G18" s="2882"/>
      <c r="H18" s="2882"/>
      <c r="I18" s="2882"/>
      <c r="J18" s="2882"/>
      <c r="K18" s="2882"/>
      <c r="L18" s="2882"/>
      <c r="M18" s="2882"/>
      <c r="N18" s="2883"/>
      <c r="O18" s="2882"/>
      <c r="P18" s="2882"/>
      <c r="Q18" s="2882"/>
      <c r="R18" s="2882"/>
    </row>
    <row r="19" spans="1:19" ht="14.25" x14ac:dyDescent="0.2">
      <c r="A19" s="2882"/>
      <c r="B19" s="2882"/>
      <c r="C19" s="2882"/>
      <c r="D19" s="2882"/>
      <c r="E19" s="2882"/>
      <c r="F19" s="2882"/>
      <c r="G19" s="2882"/>
      <c r="H19" s="2882"/>
      <c r="I19" s="2882"/>
      <c r="J19" s="2882"/>
      <c r="K19" s="2882"/>
      <c r="L19" s="2882"/>
      <c r="M19" s="2882"/>
      <c r="N19" s="2883"/>
      <c r="O19" s="2882"/>
      <c r="P19" s="2882"/>
      <c r="Q19" s="2882"/>
      <c r="R19" s="2882"/>
    </row>
    <row r="20" spans="1:19" ht="23.45" customHeight="1" thickBot="1" x14ac:dyDescent="0.3">
      <c r="A20" s="2884"/>
      <c r="B20" s="2884"/>
      <c r="C20" s="2884"/>
      <c r="D20" s="2884"/>
      <c r="E20" s="2884"/>
      <c r="F20" s="2884"/>
      <c r="G20" s="2884"/>
      <c r="H20" s="2884"/>
      <c r="I20" s="2884"/>
      <c r="J20" s="2884"/>
      <c r="K20" s="2884"/>
      <c r="L20" s="2884"/>
      <c r="M20" s="2884"/>
      <c r="N20" s="2884"/>
      <c r="O20" s="2884"/>
      <c r="P20" s="2884"/>
      <c r="Q20" s="2884"/>
      <c r="R20" s="2884"/>
    </row>
    <row r="21" spans="1:19" ht="18.75" thickBot="1" x14ac:dyDescent="0.4">
      <c r="A21" s="5220" t="s">
        <v>4960</v>
      </c>
      <c r="B21" s="5221"/>
      <c r="C21" s="5221"/>
      <c r="D21" s="5221"/>
      <c r="E21" s="5221"/>
      <c r="F21" s="5221"/>
      <c r="G21" s="5221"/>
      <c r="H21" s="5221"/>
      <c r="I21" s="5221"/>
      <c r="J21" s="5221"/>
      <c r="K21" s="5221"/>
      <c r="L21" s="5221"/>
      <c r="M21" s="5221"/>
      <c r="N21" s="5221"/>
      <c r="O21" s="5221"/>
      <c r="P21" s="5221"/>
      <c r="Q21" s="5221"/>
      <c r="R21" s="5222"/>
    </row>
    <row r="22" spans="1:19" ht="15.75" thickBot="1" x14ac:dyDescent="0.3">
      <c r="A22" s="2885" t="s">
        <v>2826</v>
      </c>
      <c r="B22" s="2886" t="s">
        <v>986</v>
      </c>
      <c r="C22" s="2887"/>
      <c r="D22" s="2888"/>
      <c r="E22" s="2888"/>
      <c r="F22" s="2888"/>
      <c r="G22" s="2888"/>
      <c r="H22" s="2888"/>
      <c r="I22" s="2888"/>
      <c r="J22" s="2888"/>
      <c r="K22" s="2888"/>
      <c r="L22" s="2888"/>
      <c r="M22" s="2888"/>
      <c r="N22" s="2888"/>
      <c r="O22" s="2888"/>
      <c r="P22" s="2888"/>
      <c r="Q22" s="2888"/>
      <c r="R22" s="2889"/>
      <c r="S22" s="3"/>
    </row>
    <row r="23" spans="1:19" ht="15.75" thickBot="1" x14ac:dyDescent="0.3">
      <c r="A23" s="2885" t="s">
        <v>2827</v>
      </c>
      <c r="B23" s="4315" t="s">
        <v>329</v>
      </c>
      <c r="C23" s="4315" t="s">
        <v>330</v>
      </c>
      <c r="D23" s="4315" t="s">
        <v>331</v>
      </c>
      <c r="E23" s="4315" t="s">
        <v>2754</v>
      </c>
      <c r="F23" s="4315" t="s">
        <v>333</v>
      </c>
      <c r="G23" s="4315" t="s">
        <v>334</v>
      </c>
      <c r="H23" s="4315" t="s">
        <v>335</v>
      </c>
      <c r="I23" s="4315" t="s">
        <v>336</v>
      </c>
      <c r="J23" s="4315" t="s">
        <v>337</v>
      </c>
      <c r="K23" s="4315" t="s">
        <v>2747</v>
      </c>
      <c r="L23" s="4315" t="s">
        <v>2794</v>
      </c>
      <c r="M23" s="4315" t="s">
        <v>2796</v>
      </c>
      <c r="N23" s="4315" t="s">
        <v>339</v>
      </c>
      <c r="O23" s="4315" t="s">
        <v>340</v>
      </c>
      <c r="P23" s="4315" t="s">
        <v>341</v>
      </c>
      <c r="Q23" s="4315" t="s">
        <v>342</v>
      </c>
      <c r="R23" s="2885" t="s">
        <v>2825</v>
      </c>
      <c r="S23" s="3"/>
    </row>
    <row r="24" spans="1:19" ht="15" x14ac:dyDescent="0.25">
      <c r="A24" s="2890" t="s">
        <v>639</v>
      </c>
      <c r="B24" s="2891">
        <v>8.9891174718720018E-2</v>
      </c>
      <c r="C24" s="2892">
        <v>0</v>
      </c>
      <c r="D24" s="2892"/>
      <c r="E24" s="2892"/>
      <c r="F24" s="2892"/>
      <c r="G24" s="2892"/>
      <c r="H24" s="2892"/>
      <c r="I24" s="2892">
        <v>5.9869691481599992E-2</v>
      </c>
      <c r="J24" s="2892"/>
      <c r="K24" s="2892"/>
      <c r="L24" s="2892"/>
      <c r="M24" s="2892">
        <v>3.8999284531199994E-3</v>
      </c>
      <c r="N24" s="2892"/>
      <c r="O24" s="2892"/>
      <c r="P24" s="2892">
        <v>0</v>
      </c>
      <c r="Q24" s="2892"/>
      <c r="R24" s="2893">
        <v>0.15366079465344001</v>
      </c>
      <c r="S24" s="3"/>
    </row>
    <row r="25" spans="1:19" ht="15" x14ac:dyDescent="0.25">
      <c r="A25" s="2894" t="s">
        <v>350</v>
      </c>
      <c r="B25" s="4136">
        <v>26.717687775391362</v>
      </c>
      <c r="C25" s="4203">
        <v>0.34625994677879784</v>
      </c>
      <c r="D25" s="4203">
        <v>0</v>
      </c>
      <c r="E25" s="4203">
        <v>0</v>
      </c>
      <c r="F25" s="4203"/>
      <c r="G25" s="4203"/>
      <c r="H25" s="4203"/>
      <c r="I25" s="4203">
        <v>15.93930925166954</v>
      </c>
      <c r="J25" s="4203">
        <v>0</v>
      </c>
      <c r="K25" s="4203">
        <v>5.6201391983701804E-2</v>
      </c>
      <c r="L25" s="4203">
        <v>5.6547949264618946</v>
      </c>
      <c r="M25" s="4203">
        <v>6.5174064743826836</v>
      </c>
      <c r="N25" s="4203">
        <v>5.1271445318464811E-3</v>
      </c>
      <c r="O25" s="4203">
        <v>1.7797286015229152</v>
      </c>
      <c r="P25" s="4203">
        <v>0</v>
      </c>
      <c r="Q25" s="4203">
        <v>0</v>
      </c>
      <c r="R25" s="4138">
        <v>57.016515512722734</v>
      </c>
      <c r="S25" s="3"/>
    </row>
    <row r="26" spans="1:19" ht="15" x14ac:dyDescent="0.25">
      <c r="A26" s="2894" t="s">
        <v>351</v>
      </c>
      <c r="B26" s="4136"/>
      <c r="C26" s="4203"/>
      <c r="D26" s="4203">
        <v>0</v>
      </c>
      <c r="E26" s="4203"/>
      <c r="F26" s="4203"/>
      <c r="G26" s="4203"/>
      <c r="H26" s="4203"/>
      <c r="I26" s="4203"/>
      <c r="J26" s="4203"/>
      <c r="K26" s="4203"/>
      <c r="L26" s="4203"/>
      <c r="M26" s="4203"/>
      <c r="N26" s="4203"/>
      <c r="O26" s="4203"/>
      <c r="P26" s="4203"/>
      <c r="Q26" s="4203">
        <v>0</v>
      </c>
      <c r="R26" s="4138">
        <v>0</v>
      </c>
      <c r="S26" s="3"/>
    </row>
    <row r="27" spans="1:19" ht="15" x14ac:dyDescent="0.25">
      <c r="A27" s="2894" t="s">
        <v>352</v>
      </c>
      <c r="B27" s="4136"/>
      <c r="C27" s="4203"/>
      <c r="D27" s="4203">
        <v>0</v>
      </c>
      <c r="E27" s="4203">
        <v>0</v>
      </c>
      <c r="F27" s="4203">
        <v>0.92433076583088314</v>
      </c>
      <c r="G27" s="4203"/>
      <c r="H27" s="4203"/>
      <c r="I27" s="4203"/>
      <c r="J27" s="4203"/>
      <c r="K27" s="4203">
        <v>0</v>
      </c>
      <c r="L27" s="4203"/>
      <c r="M27" s="4203"/>
      <c r="N27" s="4203">
        <v>0</v>
      </c>
      <c r="O27" s="4203"/>
      <c r="P27" s="4203"/>
      <c r="Q27" s="4203"/>
      <c r="R27" s="4138">
        <v>0.92433076583088314</v>
      </c>
      <c r="S27" s="3"/>
    </row>
    <row r="28" spans="1:19" ht="15" x14ac:dyDescent="0.25">
      <c r="A28" s="2894" t="s">
        <v>2743</v>
      </c>
      <c r="B28" s="4136"/>
      <c r="C28" s="4203"/>
      <c r="D28" s="4203">
        <v>0</v>
      </c>
      <c r="E28" s="4203"/>
      <c r="F28" s="4203">
        <v>0</v>
      </c>
      <c r="G28" s="4203">
        <v>1.3735264978172601</v>
      </c>
      <c r="H28" s="4203">
        <v>0</v>
      </c>
      <c r="I28" s="4203"/>
      <c r="J28" s="4203">
        <v>101.76944894784721</v>
      </c>
      <c r="K28" s="4203"/>
      <c r="L28" s="4203"/>
      <c r="M28" s="4203"/>
      <c r="N28" s="4203"/>
      <c r="O28" s="4203"/>
      <c r="P28" s="4203"/>
      <c r="Q28" s="4203"/>
      <c r="R28" s="4138">
        <v>103.14297544566448</v>
      </c>
      <c r="S28" s="3"/>
    </row>
    <row r="29" spans="1:19" ht="15" x14ac:dyDescent="0.25">
      <c r="A29" s="2894" t="s">
        <v>353</v>
      </c>
      <c r="B29" s="4136"/>
      <c r="C29" s="4203">
        <v>0</v>
      </c>
      <c r="D29" s="4203"/>
      <c r="E29" s="4203">
        <v>0</v>
      </c>
      <c r="F29" s="4203"/>
      <c r="G29" s="4203"/>
      <c r="H29" s="4203"/>
      <c r="I29" s="4203">
        <v>0</v>
      </c>
      <c r="J29" s="4203"/>
      <c r="K29" s="4203">
        <v>0</v>
      </c>
      <c r="L29" s="4203"/>
      <c r="M29" s="4203">
        <v>0</v>
      </c>
      <c r="N29" s="4203">
        <v>0</v>
      </c>
      <c r="O29" s="4203"/>
      <c r="P29" s="4203"/>
      <c r="Q29" s="4203">
        <v>0</v>
      </c>
      <c r="R29" s="4138">
        <v>0</v>
      </c>
      <c r="S29" s="3"/>
    </row>
    <row r="30" spans="1:19" ht="15.75" thickBot="1" x14ac:dyDescent="0.3">
      <c r="A30" s="2895" t="s">
        <v>354</v>
      </c>
      <c r="B30" s="4141">
        <v>1.0623412800000001</v>
      </c>
      <c r="C30" s="4316">
        <v>0</v>
      </c>
      <c r="D30" s="4316"/>
      <c r="E30" s="4316"/>
      <c r="F30" s="4316"/>
      <c r="G30" s="4316"/>
      <c r="H30" s="4316"/>
      <c r="I30" s="4316">
        <v>0</v>
      </c>
      <c r="J30" s="4316"/>
      <c r="K30" s="4316"/>
      <c r="L30" s="4316"/>
      <c r="M30" s="4316">
        <v>0</v>
      </c>
      <c r="N30" s="4316"/>
      <c r="O30" s="4316"/>
      <c r="P30" s="4316">
        <v>7.7563799308799997</v>
      </c>
      <c r="Q30" s="4316"/>
      <c r="R30" s="4204">
        <v>8.8187212108799997</v>
      </c>
      <c r="S30" s="3"/>
    </row>
    <row r="31" spans="1:19" ht="15.75" thickBot="1" x14ac:dyDescent="0.3">
      <c r="A31" s="2896" t="s">
        <v>2825</v>
      </c>
      <c r="B31" s="2887">
        <v>27.869920230110083</v>
      </c>
      <c r="C31" s="2888">
        <v>0.34625994677879784</v>
      </c>
      <c r="D31" s="2888">
        <v>0</v>
      </c>
      <c r="E31" s="2888">
        <v>0</v>
      </c>
      <c r="F31" s="2888">
        <v>0.92433076583088314</v>
      </c>
      <c r="G31" s="2888">
        <v>1.3735264978172601</v>
      </c>
      <c r="H31" s="2888">
        <v>0</v>
      </c>
      <c r="I31" s="2888">
        <v>15.99917894315114</v>
      </c>
      <c r="J31" s="2888">
        <v>101.76944894784721</v>
      </c>
      <c r="K31" s="2888">
        <v>5.6201391983701804E-2</v>
      </c>
      <c r="L31" s="2888">
        <v>5.6547949264618946</v>
      </c>
      <c r="M31" s="2888">
        <v>6.5213064028358039</v>
      </c>
      <c r="N31" s="2888">
        <v>5.1271445318464811E-3</v>
      </c>
      <c r="O31" s="2888">
        <v>1.7797286015229152</v>
      </c>
      <c r="P31" s="2888">
        <v>7.7563799308799997</v>
      </c>
      <c r="Q31" s="2888">
        <v>0</v>
      </c>
      <c r="R31" s="2885">
        <v>170.05620372975153</v>
      </c>
      <c r="S31" s="3"/>
    </row>
    <row r="32" spans="1:19" ht="14.25" x14ac:dyDescent="0.2">
      <c r="A32" s="2882"/>
      <c r="B32" s="2882"/>
      <c r="C32" s="2882"/>
      <c r="D32" s="2882"/>
      <c r="E32" s="2882"/>
      <c r="F32" s="2882"/>
      <c r="G32" s="2882"/>
      <c r="H32" s="2882"/>
      <c r="I32" s="2882"/>
      <c r="J32" s="2882"/>
      <c r="K32" s="2882"/>
      <c r="L32" s="2882"/>
      <c r="M32" s="2882"/>
      <c r="N32" s="2882"/>
      <c r="O32" s="2882"/>
      <c r="P32" s="2882"/>
      <c r="Q32" s="2882"/>
      <c r="R32" s="2882"/>
    </row>
    <row r="33" spans="1:18" x14ac:dyDescent="0.2">
      <c r="A33" s="3"/>
      <c r="B33" s="3"/>
      <c r="C33" s="3"/>
      <c r="D33" s="3"/>
      <c r="E33" s="3"/>
      <c r="F33" s="3"/>
      <c r="G33" s="3"/>
      <c r="H33" s="3"/>
      <c r="I33" s="3"/>
      <c r="J33" s="3"/>
      <c r="K33" s="3"/>
      <c r="L33" s="3"/>
      <c r="M33" s="3"/>
      <c r="N33" s="3"/>
      <c r="O33" s="3"/>
      <c r="P33" s="3"/>
      <c r="Q33" s="3"/>
      <c r="R33" s="3"/>
    </row>
    <row r="34" spans="1:18" x14ac:dyDescent="0.2">
      <c r="A34" s="3"/>
      <c r="B34" s="3"/>
      <c r="C34" s="3"/>
      <c r="D34" s="3"/>
      <c r="E34" s="3"/>
      <c r="F34" s="3"/>
      <c r="G34" s="3"/>
      <c r="H34" s="3"/>
      <c r="I34" s="3"/>
      <c r="J34" s="3"/>
      <c r="K34" s="3"/>
      <c r="L34" s="3"/>
      <c r="M34" s="3"/>
      <c r="N34" s="3"/>
      <c r="O34" s="3"/>
      <c r="P34" s="3"/>
      <c r="Q34" s="3"/>
      <c r="R34" s="3"/>
    </row>
    <row r="37" spans="1:18" x14ac:dyDescent="0.2">
      <c r="C37" s="1548"/>
    </row>
  </sheetData>
  <mergeCells count="2">
    <mergeCell ref="A6:R6"/>
    <mergeCell ref="A21:R21"/>
  </mergeCells>
  <hyperlinks>
    <hyperlink ref="A2" location="Index!A1" display="Til index" xr:uid="{F5D1AC5F-DCBA-4EAA-AF39-1EEE09741175}"/>
  </hyperlinks>
  <pageMargins left="0.7" right="0.7" top="0.75" bottom="0.75" header="0.3" footer="0.3"/>
  <pageSetup paperSize="9" orientation="portrait"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F32B0-43CA-404E-851D-AE244743FF9C}">
  <sheetPr codeName="Ark118">
    <tabColor theme="4" tint="-0.249977111117893"/>
  </sheetPr>
  <dimension ref="A1:S37"/>
  <sheetViews>
    <sheetView topLeftCell="A12" zoomScale="85" zoomScaleNormal="85" workbookViewId="0">
      <selection activeCell="B32" sqref="B32"/>
    </sheetView>
  </sheetViews>
  <sheetFormatPr defaultColWidth="9.140625" defaultRowHeight="12.75" x14ac:dyDescent="0.2"/>
  <cols>
    <col min="1" max="1" width="17.28515625" style="976" bestFit="1" customWidth="1"/>
    <col min="2" max="2" width="10.7109375" style="976" bestFit="1" customWidth="1"/>
    <col min="3" max="3" width="7.28515625" style="976" bestFit="1" customWidth="1"/>
    <col min="4" max="4" width="7.5703125" style="976" bestFit="1" customWidth="1"/>
    <col min="5" max="5" width="10.5703125" style="976" bestFit="1" customWidth="1"/>
    <col min="6" max="6" width="10.7109375" style="976" bestFit="1" customWidth="1"/>
    <col min="7" max="7" width="5.85546875" style="976" bestFit="1" customWidth="1"/>
    <col min="8" max="8" width="8.42578125" style="976" bestFit="1" customWidth="1"/>
    <col min="9" max="9" width="5.42578125" style="976" bestFit="1" customWidth="1"/>
    <col min="10" max="10" width="7.42578125" style="976" bestFit="1" customWidth="1"/>
    <col min="11" max="11" width="7" style="976" bestFit="1" customWidth="1"/>
    <col min="12" max="12" width="19.85546875" style="976" bestFit="1" customWidth="1"/>
    <col min="13" max="13" width="18.140625" style="976" bestFit="1" customWidth="1"/>
    <col min="14" max="14" width="8.85546875" style="976" bestFit="1" customWidth="1"/>
    <col min="15" max="15" width="9.42578125" style="976" bestFit="1" customWidth="1"/>
    <col min="16" max="16" width="17.28515625" style="976" bestFit="1" customWidth="1"/>
    <col min="17" max="17" width="5.7109375" style="976" bestFit="1" customWidth="1"/>
    <col min="18" max="18" width="11" style="976" bestFit="1" customWidth="1"/>
    <col min="19" max="19" width="9.85546875" style="976" bestFit="1" customWidth="1"/>
    <col min="20" max="20" width="60.28515625" style="976" bestFit="1" customWidth="1"/>
    <col min="21" max="21" width="59.85546875" style="976" bestFit="1" customWidth="1"/>
    <col min="22" max="22" width="50.85546875" style="976" bestFit="1" customWidth="1"/>
    <col min="23" max="23" width="68.140625" style="976" bestFit="1" customWidth="1"/>
    <col min="24" max="24" width="24.7109375" style="976" bestFit="1" customWidth="1"/>
    <col min="25" max="25" width="17.28515625" style="976" bestFit="1" customWidth="1"/>
    <col min="26" max="26" width="28.28515625" style="976" bestFit="1" customWidth="1"/>
    <col min="27" max="27" width="36.85546875" style="976" bestFit="1" customWidth="1"/>
    <col min="28" max="28" width="47.28515625" style="976" bestFit="1" customWidth="1"/>
    <col min="29" max="29" width="40.42578125" style="976" bestFit="1" customWidth="1"/>
    <col min="30" max="30" width="49" style="976" bestFit="1" customWidth="1"/>
    <col min="31" max="31" width="19.7109375" style="976" bestFit="1" customWidth="1"/>
    <col min="32" max="32" width="8.5703125" style="976" bestFit="1" customWidth="1"/>
    <col min="33" max="33" width="6.140625" style="976" bestFit="1" customWidth="1"/>
    <col min="34" max="34" width="14.28515625" style="976" bestFit="1" customWidth="1"/>
    <col min="35" max="35" width="15.5703125" style="976" bestFit="1" customWidth="1"/>
    <col min="36" max="36" width="18.140625" style="976" bestFit="1" customWidth="1"/>
    <col min="37" max="37" width="22.7109375" style="976" bestFit="1" customWidth="1"/>
    <col min="38" max="38" width="25.85546875" style="976" bestFit="1" customWidth="1"/>
    <col min="39" max="39" width="35" style="976" bestFit="1" customWidth="1"/>
    <col min="40" max="41" width="39" style="976" bestFit="1" customWidth="1"/>
    <col min="42" max="42" width="36.140625" style="976" bestFit="1" customWidth="1"/>
    <col min="43" max="43" width="31.7109375" style="976" bestFit="1" customWidth="1"/>
    <col min="44" max="44" width="15.5703125" style="976" bestFit="1" customWidth="1"/>
    <col min="45" max="45" width="15.140625" style="976" bestFit="1" customWidth="1"/>
    <col min="46" max="46" width="13.85546875" style="976" bestFit="1" customWidth="1"/>
    <col min="47" max="47" width="17.85546875" style="976" bestFit="1" customWidth="1"/>
    <col min="48" max="48" width="23.140625" style="976" bestFit="1" customWidth="1"/>
    <col min="49" max="49" width="45.140625" style="976" bestFit="1" customWidth="1"/>
    <col min="50" max="50" width="45.7109375" style="976" bestFit="1" customWidth="1"/>
    <col min="51" max="51" width="31.85546875" style="976" bestFit="1" customWidth="1"/>
    <col min="52" max="52" width="34.140625" style="976" bestFit="1" customWidth="1"/>
    <col min="53" max="53" width="15.28515625" style="976" bestFit="1" customWidth="1"/>
    <col min="54" max="54" width="33" style="976" bestFit="1" customWidth="1"/>
    <col min="55" max="55" width="36.42578125" style="976" bestFit="1" customWidth="1"/>
    <col min="56" max="56" width="35.42578125" style="976" bestFit="1" customWidth="1"/>
    <col min="57" max="57" width="34.85546875" style="976" bestFit="1" customWidth="1"/>
    <col min="58" max="61" width="34.42578125" style="976" bestFit="1" customWidth="1"/>
    <col min="62" max="64" width="59.28515625" style="976" bestFit="1" customWidth="1"/>
    <col min="65" max="65" width="59.85546875" style="976" bestFit="1" customWidth="1"/>
    <col min="66" max="66" width="19.85546875" style="976" bestFit="1" customWidth="1"/>
    <col min="67" max="67" width="20.28515625" style="976" bestFit="1" customWidth="1"/>
    <col min="68" max="68" width="23" style="976" bestFit="1" customWidth="1"/>
    <col min="69" max="69" width="23.42578125" style="976" bestFit="1" customWidth="1"/>
    <col min="70" max="70" width="23.85546875" style="976" bestFit="1" customWidth="1"/>
    <col min="71" max="72" width="41.85546875" style="976" bestFit="1" customWidth="1"/>
    <col min="73" max="73" width="27.5703125" style="976" bestFit="1" customWidth="1"/>
    <col min="74" max="74" width="27.7109375" style="976" bestFit="1" customWidth="1"/>
    <col min="75" max="75" width="21" style="976" bestFit="1" customWidth="1"/>
    <col min="76" max="76" width="20.5703125" style="976" bestFit="1" customWidth="1"/>
    <col min="77" max="77" width="29.140625" style="976" bestFit="1" customWidth="1"/>
    <col min="78" max="78" width="33.140625" style="976" bestFit="1" customWidth="1"/>
    <col min="79" max="79" width="23" style="976" bestFit="1" customWidth="1"/>
    <col min="80" max="80" width="7.85546875" style="976" bestFit="1" customWidth="1"/>
    <col min="81" max="81" width="10.85546875" style="976" bestFit="1" customWidth="1"/>
    <col min="82" max="83" width="12" style="976" bestFit="1" customWidth="1"/>
    <col min="84" max="84" width="6" style="976" bestFit="1" customWidth="1"/>
    <col min="85" max="85" width="22.5703125" style="976" bestFit="1" customWidth="1"/>
    <col min="86" max="86" width="7.7109375" style="976" bestFit="1" customWidth="1"/>
    <col min="87" max="87" width="10" style="976" bestFit="1" customWidth="1"/>
    <col min="88" max="88" width="12" style="976" bestFit="1" customWidth="1"/>
    <col min="89" max="89" width="11" style="976" bestFit="1" customWidth="1"/>
    <col min="90" max="93" width="12" style="976" bestFit="1" customWidth="1"/>
    <col min="94" max="94" width="6" style="976" bestFit="1" customWidth="1"/>
    <col min="95" max="95" width="10.7109375" style="976" bestFit="1" customWidth="1"/>
    <col min="96" max="96" width="10.85546875" style="976" bestFit="1" customWidth="1"/>
    <col min="97" max="16384" width="9.140625" style="976"/>
  </cols>
  <sheetData>
    <row r="1" spans="1:19" s="1547" customFormat="1" ht="53.45" customHeight="1" x14ac:dyDescent="0.45">
      <c r="B1" s="1546" t="s">
        <v>2824</v>
      </c>
    </row>
    <row r="2" spans="1:19" ht="21" x14ac:dyDescent="0.35">
      <c r="A2" s="1740" t="s">
        <v>4206</v>
      </c>
      <c r="B2" s="1588"/>
    </row>
    <row r="3" spans="1:19" ht="13.5" customHeight="1" x14ac:dyDescent="0.2"/>
    <row r="4" spans="1:19" ht="12" customHeight="1" x14ac:dyDescent="0.25">
      <c r="A4" s="1456"/>
      <c r="B4" s="965" t="s">
        <v>2088</v>
      </c>
    </row>
    <row r="5" spans="1:19" ht="12" customHeight="1" thickBot="1" x14ac:dyDescent="0.25"/>
    <row r="6" spans="1:19" ht="17.45" customHeight="1" thickBot="1" x14ac:dyDescent="0.3">
      <c r="A6" s="5217" t="s">
        <v>4994</v>
      </c>
      <c r="B6" s="5218"/>
      <c r="C6" s="5218"/>
      <c r="D6" s="5218"/>
      <c r="E6" s="5218"/>
      <c r="F6" s="5218"/>
      <c r="G6" s="5218"/>
      <c r="H6" s="5218"/>
      <c r="I6" s="5218"/>
      <c r="J6" s="5218"/>
      <c r="K6" s="5218"/>
      <c r="L6" s="5218"/>
      <c r="M6" s="5218"/>
      <c r="N6" s="5218"/>
      <c r="O6" s="5218"/>
      <c r="P6" s="5218"/>
      <c r="Q6" s="5218"/>
      <c r="R6" s="5219"/>
    </row>
    <row r="7" spans="1:19" ht="15.75" thickBot="1" x14ac:dyDescent="0.3">
      <c r="A7" s="2874" t="s">
        <v>4748</v>
      </c>
      <c r="B7" s="2875"/>
      <c r="C7" s="2876"/>
      <c r="D7" s="2877"/>
      <c r="E7" s="2877"/>
      <c r="F7" s="2877"/>
      <c r="G7" s="2877"/>
      <c r="H7" s="2877"/>
      <c r="I7" s="2877"/>
      <c r="J7" s="2877"/>
      <c r="K7" s="2877"/>
      <c r="L7" s="2877"/>
      <c r="M7" s="2877"/>
      <c r="N7" s="2877"/>
      <c r="O7" s="2877"/>
      <c r="P7" s="2877"/>
      <c r="Q7" s="2877"/>
      <c r="R7" s="2878"/>
      <c r="S7"/>
    </row>
    <row r="8" spans="1:19" ht="15.75" thickBot="1" x14ac:dyDescent="0.3">
      <c r="A8" s="2879"/>
      <c r="B8" s="2877" t="s">
        <v>329</v>
      </c>
      <c r="C8" s="2877" t="s">
        <v>330</v>
      </c>
      <c r="D8" s="2877" t="s">
        <v>331</v>
      </c>
      <c r="E8" s="2877" t="s">
        <v>2754</v>
      </c>
      <c r="F8" s="2877" t="s">
        <v>333</v>
      </c>
      <c r="G8" s="2877" t="s">
        <v>334</v>
      </c>
      <c r="H8" s="2877" t="s">
        <v>335</v>
      </c>
      <c r="I8" s="2877" t="s">
        <v>336</v>
      </c>
      <c r="J8" s="2877" t="s">
        <v>337</v>
      </c>
      <c r="K8" s="2877" t="s">
        <v>2747</v>
      </c>
      <c r="L8" s="2877" t="s">
        <v>2794</v>
      </c>
      <c r="M8" s="2877" t="s">
        <v>2796</v>
      </c>
      <c r="N8" s="2877" t="s">
        <v>339</v>
      </c>
      <c r="O8" s="2877" t="s">
        <v>340</v>
      </c>
      <c r="P8" s="2877" t="s">
        <v>341</v>
      </c>
      <c r="Q8" s="2877" t="s">
        <v>342</v>
      </c>
      <c r="R8" s="2874" t="s">
        <v>2825</v>
      </c>
      <c r="S8"/>
    </row>
    <row r="9" spans="1:19" ht="15" x14ac:dyDescent="0.25">
      <c r="A9" s="4139" t="s">
        <v>639</v>
      </c>
      <c r="B9" s="4136">
        <v>50.06</v>
      </c>
      <c r="C9" s="4203">
        <v>0</v>
      </c>
      <c r="D9" s="4203"/>
      <c r="E9" s="4203"/>
      <c r="F9" s="4203"/>
      <c r="G9" s="4203"/>
      <c r="H9" s="4203"/>
      <c r="I9" s="4203">
        <v>37.799999999999997</v>
      </c>
      <c r="J9" s="4203"/>
      <c r="K9" s="4203"/>
      <c r="L9" s="4203"/>
      <c r="M9" s="4203">
        <v>5.1100000000000003</v>
      </c>
      <c r="N9" s="4203"/>
      <c r="O9" s="4203"/>
      <c r="P9" s="4203">
        <v>0</v>
      </c>
      <c r="Q9" s="4203"/>
      <c r="R9" s="4137">
        <v>92.97</v>
      </c>
      <c r="S9"/>
    </row>
    <row r="10" spans="1:19" ht="15" x14ac:dyDescent="0.25">
      <c r="A10" s="4139" t="s">
        <v>350</v>
      </c>
      <c r="B10" s="4136">
        <v>476.63</v>
      </c>
      <c r="C10" s="4203">
        <v>10.94</v>
      </c>
      <c r="D10" s="4203">
        <v>0</v>
      </c>
      <c r="E10" s="4203">
        <v>0</v>
      </c>
      <c r="F10" s="4203"/>
      <c r="G10" s="4203"/>
      <c r="H10" s="4203"/>
      <c r="I10" s="4203">
        <v>532.31999999999994</v>
      </c>
      <c r="J10" s="4203">
        <v>0</v>
      </c>
      <c r="K10" s="4203">
        <v>27.54</v>
      </c>
      <c r="L10" s="4203">
        <v>493.31</v>
      </c>
      <c r="M10" s="4203">
        <v>548.35</v>
      </c>
      <c r="N10" s="4203">
        <v>27.54</v>
      </c>
      <c r="O10" s="4203">
        <v>175.85</v>
      </c>
      <c r="P10" s="4203">
        <v>0</v>
      </c>
      <c r="Q10" s="4203">
        <v>0</v>
      </c>
      <c r="R10" s="4137">
        <v>2292.4799999999996</v>
      </c>
      <c r="S10"/>
    </row>
    <row r="11" spans="1:19" ht="15" x14ac:dyDescent="0.25">
      <c r="A11" s="4139" t="s">
        <v>351</v>
      </c>
      <c r="B11" s="4136"/>
      <c r="C11" s="4203"/>
      <c r="D11" s="4203">
        <v>0</v>
      </c>
      <c r="E11" s="4203"/>
      <c r="F11" s="4203"/>
      <c r="G11" s="4203"/>
      <c r="H11" s="4203"/>
      <c r="I11" s="4203"/>
      <c r="J11" s="4203"/>
      <c r="K11" s="4203"/>
      <c r="L11" s="4203"/>
      <c r="M11" s="4203"/>
      <c r="N11" s="4203"/>
      <c r="O11" s="4203"/>
      <c r="P11" s="4203"/>
      <c r="Q11" s="4203">
        <v>0</v>
      </c>
      <c r="R11" s="4137">
        <v>0</v>
      </c>
      <c r="S11"/>
    </row>
    <row r="12" spans="1:19" ht="15" x14ac:dyDescent="0.25">
      <c r="A12" s="4139" t="s">
        <v>352</v>
      </c>
      <c r="B12" s="4136"/>
      <c r="C12" s="4203"/>
      <c r="D12" s="4203">
        <v>0</v>
      </c>
      <c r="E12" s="4203">
        <v>0</v>
      </c>
      <c r="F12" s="4203">
        <v>403.89</v>
      </c>
      <c r="G12" s="4203"/>
      <c r="H12" s="4203"/>
      <c r="I12" s="4203"/>
      <c r="J12" s="4203"/>
      <c r="K12" s="4203">
        <v>0</v>
      </c>
      <c r="L12" s="4203"/>
      <c r="M12" s="4203"/>
      <c r="N12" s="4203">
        <v>0</v>
      </c>
      <c r="O12" s="4203"/>
      <c r="P12" s="4203"/>
      <c r="Q12" s="4203"/>
      <c r="R12" s="4137">
        <v>403.89</v>
      </c>
      <c r="S12"/>
    </row>
    <row r="13" spans="1:19" ht="15" x14ac:dyDescent="0.25">
      <c r="A13" s="4139" t="s">
        <v>2743</v>
      </c>
      <c r="B13" s="4136"/>
      <c r="C13" s="4203"/>
      <c r="D13" s="4203">
        <v>0</v>
      </c>
      <c r="E13" s="4203"/>
      <c r="F13" s="4203">
        <v>0</v>
      </c>
      <c r="G13" s="4203">
        <v>318.72999999999996</v>
      </c>
      <c r="H13" s="4203">
        <v>0</v>
      </c>
      <c r="I13" s="4203"/>
      <c r="J13" s="4203">
        <v>28565.51</v>
      </c>
      <c r="K13" s="4203"/>
      <c r="L13" s="4203"/>
      <c r="M13" s="4203"/>
      <c r="N13" s="4203"/>
      <c r="O13" s="4203"/>
      <c r="P13" s="4203"/>
      <c r="Q13" s="4203"/>
      <c r="R13" s="4137">
        <v>28884.239999999998</v>
      </c>
      <c r="S13"/>
    </row>
    <row r="14" spans="1:19" ht="15" x14ac:dyDescent="0.25">
      <c r="A14" s="4139" t="s">
        <v>353</v>
      </c>
      <c r="B14" s="4136"/>
      <c r="C14" s="4203">
        <v>0</v>
      </c>
      <c r="D14" s="4203"/>
      <c r="E14" s="4203">
        <v>0</v>
      </c>
      <c r="F14" s="4203"/>
      <c r="G14" s="4203"/>
      <c r="H14" s="4203"/>
      <c r="I14" s="4203">
        <v>0</v>
      </c>
      <c r="J14" s="4203"/>
      <c r="K14" s="4203">
        <v>0</v>
      </c>
      <c r="L14" s="4203"/>
      <c r="M14" s="4203">
        <v>0</v>
      </c>
      <c r="N14" s="4203">
        <v>0</v>
      </c>
      <c r="O14" s="4203"/>
      <c r="P14" s="4203"/>
      <c r="Q14" s="4203">
        <v>0</v>
      </c>
      <c r="R14" s="4137">
        <v>0</v>
      </c>
      <c r="S14"/>
    </row>
    <row r="15" spans="1:19" ht="15.75" thickBot="1" x14ac:dyDescent="0.3">
      <c r="A15" s="2880" t="s">
        <v>354</v>
      </c>
      <c r="B15" s="4048">
        <v>100</v>
      </c>
      <c r="C15" s="4140">
        <v>0</v>
      </c>
      <c r="D15" s="4140"/>
      <c r="E15" s="4140"/>
      <c r="F15" s="4140"/>
      <c r="G15" s="4140"/>
      <c r="H15" s="4140"/>
      <c r="I15" s="4140">
        <v>0</v>
      </c>
      <c r="J15" s="4140"/>
      <c r="K15" s="4140"/>
      <c r="L15" s="4140"/>
      <c r="M15" s="4140">
        <v>0</v>
      </c>
      <c r="N15" s="4140"/>
      <c r="O15" s="4140"/>
      <c r="P15" s="4140">
        <v>188.07</v>
      </c>
      <c r="Q15" s="4140"/>
      <c r="R15" s="2881">
        <v>288.07</v>
      </c>
      <c r="S15"/>
    </row>
    <row r="16" spans="1:19" ht="15.75" thickBot="1" x14ac:dyDescent="0.3">
      <c r="A16" s="2880" t="s">
        <v>2825</v>
      </c>
      <c r="B16" s="4048">
        <v>626.69000000000005</v>
      </c>
      <c r="C16" s="4140">
        <v>10.94</v>
      </c>
      <c r="D16" s="4140">
        <v>0</v>
      </c>
      <c r="E16" s="4140">
        <v>0</v>
      </c>
      <c r="F16" s="4140">
        <v>403.89</v>
      </c>
      <c r="G16" s="4140">
        <v>318.72999999999996</v>
      </c>
      <c r="H16" s="4140">
        <v>0</v>
      </c>
      <c r="I16" s="4140">
        <v>570.11999999999989</v>
      </c>
      <c r="J16" s="4140">
        <v>28565.51</v>
      </c>
      <c r="K16" s="4140">
        <v>27.54</v>
      </c>
      <c r="L16" s="4140">
        <v>493.31</v>
      </c>
      <c r="M16" s="4140">
        <v>553.46</v>
      </c>
      <c r="N16" s="4140">
        <v>27.54</v>
      </c>
      <c r="O16" s="4140">
        <v>175.85</v>
      </c>
      <c r="P16" s="4140">
        <v>188.07</v>
      </c>
      <c r="Q16" s="4140">
        <v>0</v>
      </c>
      <c r="R16" s="2881">
        <v>31961.649999999998</v>
      </c>
      <c r="S16"/>
    </row>
    <row r="17" spans="1:18" ht="14.25" x14ac:dyDescent="0.2">
      <c r="A17" s="2882"/>
      <c r="B17" s="2882"/>
      <c r="C17" s="2882"/>
      <c r="D17" s="2882"/>
      <c r="E17" s="2882"/>
      <c r="F17" s="2882"/>
      <c r="G17" s="2882"/>
      <c r="H17" s="2882"/>
      <c r="I17" s="2882"/>
      <c r="J17" s="2882"/>
      <c r="K17" s="2882"/>
      <c r="L17" s="2882"/>
      <c r="M17" s="2882"/>
      <c r="N17" s="2882"/>
      <c r="O17" s="2882"/>
      <c r="P17" s="2882"/>
      <c r="Q17" s="2882"/>
      <c r="R17" s="2882"/>
    </row>
    <row r="18" spans="1:18" ht="14.25" x14ac:dyDescent="0.2">
      <c r="A18" s="2882"/>
      <c r="B18" s="2882"/>
      <c r="C18" s="2882"/>
      <c r="D18" s="2882"/>
      <c r="E18" s="2882"/>
      <c r="F18" s="2882"/>
      <c r="G18" s="2882"/>
      <c r="H18" s="2882"/>
      <c r="I18" s="2882"/>
      <c r="J18" s="2882"/>
      <c r="K18" s="2882"/>
      <c r="L18" s="2882"/>
      <c r="M18" s="2882"/>
      <c r="N18" s="2882"/>
      <c r="O18" s="2882"/>
      <c r="P18" s="2882"/>
      <c r="Q18" s="2882"/>
      <c r="R18" s="2882"/>
    </row>
    <row r="19" spans="1:18" ht="15" thickBot="1" x14ac:dyDescent="0.25">
      <c r="A19" s="2882"/>
      <c r="B19" s="2882"/>
      <c r="C19" s="2882"/>
      <c r="D19" s="2882"/>
      <c r="E19" s="2882"/>
      <c r="F19" s="2882"/>
      <c r="G19" s="2882"/>
      <c r="H19" s="2882"/>
      <c r="I19" s="2882"/>
      <c r="J19" s="2882"/>
      <c r="K19" s="2882"/>
      <c r="L19" s="2882"/>
      <c r="M19" s="2882"/>
      <c r="N19" s="2882"/>
      <c r="O19" s="2882"/>
      <c r="P19" s="2882"/>
      <c r="Q19" s="2882"/>
      <c r="R19" s="2882"/>
    </row>
    <row r="20" spans="1:18" ht="23.45" customHeight="1" thickBot="1" x14ac:dyDescent="0.3">
      <c r="A20" s="2884"/>
      <c r="B20" s="2884"/>
      <c r="C20" s="2884"/>
      <c r="D20" s="2884"/>
      <c r="E20" s="2884"/>
      <c r="F20" s="2884"/>
      <c r="G20" s="2884"/>
      <c r="H20" s="2884"/>
      <c r="I20" s="2884"/>
      <c r="J20" s="2884"/>
      <c r="K20" s="2884"/>
      <c r="L20" s="2884"/>
      <c r="M20" s="2884"/>
      <c r="N20" s="2884"/>
      <c r="O20" s="2884"/>
      <c r="P20" s="2884"/>
      <c r="Q20" s="2884"/>
      <c r="R20" s="2884"/>
    </row>
    <row r="21" spans="1:18" ht="18.75" thickBot="1" x14ac:dyDescent="0.4">
      <c r="A21" s="5220" t="s">
        <v>4960</v>
      </c>
      <c r="B21" s="5221"/>
      <c r="C21" s="5221"/>
      <c r="D21" s="5221"/>
      <c r="E21" s="5221"/>
      <c r="F21" s="5221"/>
      <c r="G21" s="5221"/>
      <c r="H21" s="5221"/>
      <c r="I21" s="5221"/>
      <c r="J21" s="5221"/>
      <c r="K21" s="5221"/>
      <c r="L21" s="5221"/>
      <c r="M21" s="5221"/>
      <c r="N21" s="5221"/>
      <c r="O21" s="5221"/>
      <c r="P21" s="5221"/>
      <c r="Q21" s="5221"/>
      <c r="R21" s="5222"/>
    </row>
    <row r="22" spans="1:18" ht="15.75" thickBot="1" x14ac:dyDescent="0.3">
      <c r="A22" s="2885" t="s">
        <v>2826</v>
      </c>
      <c r="B22" s="2886" t="s">
        <v>986</v>
      </c>
      <c r="C22" s="2887"/>
      <c r="D22" s="2888"/>
      <c r="E22" s="2888"/>
      <c r="F22" s="2888"/>
      <c r="G22" s="2888"/>
      <c r="H22" s="2888"/>
      <c r="I22" s="2888"/>
      <c r="J22" s="2888"/>
      <c r="K22" s="2888"/>
      <c r="L22" s="2888"/>
      <c r="M22" s="2888"/>
      <c r="N22" s="2888"/>
      <c r="O22" s="2888"/>
      <c r="P22" s="2888"/>
      <c r="Q22" s="2888"/>
      <c r="R22" s="2889"/>
    </row>
    <row r="23" spans="1:18" ht="15.75" thickBot="1" x14ac:dyDescent="0.3">
      <c r="A23" s="2885" t="s">
        <v>2827</v>
      </c>
      <c r="B23" s="4315" t="s">
        <v>329</v>
      </c>
      <c r="C23" s="4315" t="s">
        <v>330</v>
      </c>
      <c r="D23" s="4315" t="s">
        <v>331</v>
      </c>
      <c r="E23" s="4315" t="s">
        <v>2754</v>
      </c>
      <c r="F23" s="4315" t="s">
        <v>333</v>
      </c>
      <c r="G23" s="4315" t="s">
        <v>334</v>
      </c>
      <c r="H23" s="4315" t="s">
        <v>335</v>
      </c>
      <c r="I23" s="4315" t="s">
        <v>336</v>
      </c>
      <c r="J23" s="4315" t="s">
        <v>337</v>
      </c>
      <c r="K23" s="4315" t="s">
        <v>2747</v>
      </c>
      <c r="L23" s="4315" t="s">
        <v>2794</v>
      </c>
      <c r="M23" s="4315" t="s">
        <v>2796</v>
      </c>
      <c r="N23" s="4315" t="s">
        <v>339</v>
      </c>
      <c r="O23" s="4315" t="s">
        <v>340</v>
      </c>
      <c r="P23" s="4315" t="s">
        <v>341</v>
      </c>
      <c r="Q23" s="4315" t="s">
        <v>342</v>
      </c>
      <c r="R23" s="2885" t="s">
        <v>2825</v>
      </c>
    </row>
    <row r="24" spans="1:18" ht="15" x14ac:dyDescent="0.25">
      <c r="A24" s="2890" t="s">
        <v>639</v>
      </c>
      <c r="B24" s="2891">
        <v>8.9891174718720018E-2</v>
      </c>
      <c r="C24" s="2892">
        <v>0</v>
      </c>
      <c r="D24" s="2892"/>
      <c r="E24" s="2892"/>
      <c r="F24" s="2892"/>
      <c r="G24" s="2892"/>
      <c r="H24" s="2892"/>
      <c r="I24" s="2892">
        <v>5.9869691481599992E-2</v>
      </c>
      <c r="J24" s="2892"/>
      <c r="K24" s="2892"/>
      <c r="L24" s="2892"/>
      <c r="M24" s="2892">
        <v>3.8999284531199994E-3</v>
      </c>
      <c r="N24" s="2892"/>
      <c r="O24" s="2892"/>
      <c r="P24" s="2892">
        <v>0</v>
      </c>
      <c r="Q24" s="2892"/>
      <c r="R24" s="2893">
        <v>0.15366079465344001</v>
      </c>
    </row>
    <row r="25" spans="1:18" ht="15" x14ac:dyDescent="0.25">
      <c r="A25" s="2894" t="s">
        <v>350</v>
      </c>
      <c r="B25" s="4136">
        <v>26.717687775391362</v>
      </c>
      <c r="C25" s="4203">
        <v>0.34625994677879784</v>
      </c>
      <c r="D25" s="4203">
        <v>0</v>
      </c>
      <c r="E25" s="4203">
        <v>0</v>
      </c>
      <c r="F25" s="4203"/>
      <c r="G25" s="4203"/>
      <c r="H25" s="4203"/>
      <c r="I25" s="4203">
        <v>15.93930925166954</v>
      </c>
      <c r="J25" s="4203">
        <v>0</v>
      </c>
      <c r="K25" s="4203">
        <v>5.6201391983701804E-2</v>
      </c>
      <c r="L25" s="4203">
        <v>5.6547949264618946</v>
      </c>
      <c r="M25" s="4203">
        <v>6.5174064743826836</v>
      </c>
      <c r="N25" s="4203">
        <v>5.1271445318464811E-3</v>
      </c>
      <c r="O25" s="4203">
        <v>1.7797286015229152</v>
      </c>
      <c r="P25" s="4203">
        <v>0</v>
      </c>
      <c r="Q25" s="4203">
        <v>0</v>
      </c>
      <c r="R25" s="4138">
        <v>57.016515512722734</v>
      </c>
    </row>
    <row r="26" spans="1:18" ht="15" x14ac:dyDescent="0.25">
      <c r="A26" s="2894" t="s">
        <v>351</v>
      </c>
      <c r="B26" s="4136"/>
      <c r="C26" s="4203"/>
      <c r="D26" s="4203">
        <v>0</v>
      </c>
      <c r="E26" s="4203"/>
      <c r="F26" s="4203"/>
      <c r="G26" s="4203"/>
      <c r="H26" s="4203"/>
      <c r="I26" s="4203"/>
      <c r="J26" s="4203"/>
      <c r="K26" s="4203"/>
      <c r="L26" s="4203"/>
      <c r="M26" s="4203"/>
      <c r="N26" s="4203"/>
      <c r="O26" s="4203"/>
      <c r="P26" s="4203"/>
      <c r="Q26" s="4203">
        <v>0</v>
      </c>
      <c r="R26" s="4138">
        <v>0</v>
      </c>
    </row>
    <row r="27" spans="1:18" ht="15" x14ac:dyDescent="0.25">
      <c r="A27" s="2894" t="s">
        <v>352</v>
      </c>
      <c r="B27" s="4136"/>
      <c r="C27" s="4203"/>
      <c r="D27" s="4203">
        <v>0</v>
      </c>
      <c r="E27" s="4203">
        <v>0</v>
      </c>
      <c r="F27" s="4203">
        <v>0.92433076583088314</v>
      </c>
      <c r="G27" s="4203"/>
      <c r="H27" s="4203"/>
      <c r="I27" s="4203"/>
      <c r="J27" s="4203"/>
      <c r="K27" s="4203">
        <v>0</v>
      </c>
      <c r="L27" s="4203"/>
      <c r="M27" s="4203"/>
      <c r="N27" s="4203">
        <v>0</v>
      </c>
      <c r="O27" s="4203"/>
      <c r="P27" s="4203"/>
      <c r="Q27" s="4203"/>
      <c r="R27" s="4138">
        <v>0.92433076583088314</v>
      </c>
    </row>
    <row r="28" spans="1:18" ht="15" x14ac:dyDescent="0.25">
      <c r="A28" s="2894" t="s">
        <v>2743</v>
      </c>
      <c r="B28" s="4136"/>
      <c r="C28" s="4203"/>
      <c r="D28" s="4203">
        <v>0</v>
      </c>
      <c r="E28" s="4203"/>
      <c r="F28" s="4203">
        <v>0</v>
      </c>
      <c r="G28" s="4203">
        <v>1.3735264978172601</v>
      </c>
      <c r="H28" s="4203">
        <v>0</v>
      </c>
      <c r="I28" s="4203"/>
      <c r="J28" s="4203">
        <v>101.76944894784721</v>
      </c>
      <c r="K28" s="4203"/>
      <c r="L28" s="4203"/>
      <c r="M28" s="4203"/>
      <c r="N28" s="4203"/>
      <c r="O28" s="4203"/>
      <c r="P28" s="4203"/>
      <c r="Q28" s="4203"/>
      <c r="R28" s="4138">
        <v>103.14297544566448</v>
      </c>
    </row>
    <row r="29" spans="1:18" ht="15" x14ac:dyDescent="0.25">
      <c r="A29" s="2894" t="s">
        <v>353</v>
      </c>
      <c r="B29" s="4136"/>
      <c r="C29" s="4203">
        <v>0</v>
      </c>
      <c r="D29" s="4203"/>
      <c r="E29" s="4203">
        <v>0</v>
      </c>
      <c r="F29" s="4203"/>
      <c r="G29" s="4203"/>
      <c r="H29" s="4203"/>
      <c r="I29" s="4203">
        <v>0</v>
      </c>
      <c r="J29" s="4203"/>
      <c r="K29" s="4203">
        <v>0</v>
      </c>
      <c r="L29" s="4203"/>
      <c r="M29" s="4203">
        <v>0</v>
      </c>
      <c r="N29" s="4203">
        <v>0</v>
      </c>
      <c r="O29" s="4203"/>
      <c r="P29" s="4203"/>
      <c r="Q29" s="4203">
        <v>0</v>
      </c>
      <c r="R29" s="4138">
        <v>0</v>
      </c>
    </row>
    <row r="30" spans="1:18" ht="15.75" thickBot="1" x14ac:dyDescent="0.3">
      <c r="A30" s="2895" t="s">
        <v>354</v>
      </c>
      <c r="B30" s="4141">
        <v>1.0623412800000001</v>
      </c>
      <c r="C30" s="4316">
        <v>0</v>
      </c>
      <c r="D30" s="4316"/>
      <c r="E30" s="4316"/>
      <c r="F30" s="4316"/>
      <c r="G30" s="4316"/>
      <c r="H30" s="4316"/>
      <c r="I30" s="4316">
        <v>0</v>
      </c>
      <c r="J30" s="4316"/>
      <c r="K30" s="4316"/>
      <c r="L30" s="4316"/>
      <c r="M30" s="4316">
        <v>0</v>
      </c>
      <c r="N30" s="4316"/>
      <c r="O30" s="4316"/>
      <c r="P30" s="4316">
        <v>7.7563799308799997</v>
      </c>
      <c r="Q30" s="4316"/>
      <c r="R30" s="4204">
        <v>8.8187212108799997</v>
      </c>
    </row>
    <row r="31" spans="1:18" ht="15.75" thickBot="1" x14ac:dyDescent="0.3">
      <c r="A31" s="2896" t="s">
        <v>2825</v>
      </c>
      <c r="B31" s="2887">
        <v>27.869920230110083</v>
      </c>
      <c r="C31" s="2888">
        <v>0.34625994677879784</v>
      </c>
      <c r="D31" s="2888">
        <v>0</v>
      </c>
      <c r="E31" s="2888">
        <v>0</v>
      </c>
      <c r="F31" s="2888">
        <v>0.92433076583088314</v>
      </c>
      <c r="G31" s="2888">
        <v>1.3735264978172601</v>
      </c>
      <c r="H31" s="2888">
        <v>0</v>
      </c>
      <c r="I31" s="2888">
        <v>15.99917894315114</v>
      </c>
      <c r="J31" s="2888">
        <v>101.76944894784721</v>
      </c>
      <c r="K31" s="2888">
        <v>5.6201391983701804E-2</v>
      </c>
      <c r="L31" s="2888">
        <v>5.6547949264618946</v>
      </c>
      <c r="M31" s="2888">
        <v>6.5213064028358039</v>
      </c>
      <c r="N31" s="2888">
        <v>5.1271445318464811E-3</v>
      </c>
      <c r="O31" s="2888">
        <v>1.7797286015229152</v>
      </c>
      <c r="P31" s="2888">
        <v>7.7563799308799997</v>
      </c>
      <c r="Q31" s="2888">
        <v>0</v>
      </c>
      <c r="R31" s="2885">
        <v>170.05620372975153</v>
      </c>
    </row>
    <row r="32" spans="1:18" x14ac:dyDescent="0.2">
      <c r="A32" s="3"/>
      <c r="B32" s="3"/>
      <c r="C32" s="3"/>
      <c r="D32" s="3"/>
      <c r="E32" s="3"/>
      <c r="F32" s="3"/>
      <c r="G32" s="3"/>
      <c r="H32" s="3"/>
      <c r="I32" s="3"/>
      <c r="J32" s="3"/>
      <c r="K32" s="3"/>
      <c r="L32" s="3"/>
      <c r="M32" s="3"/>
      <c r="N32" s="3"/>
      <c r="O32" s="3"/>
      <c r="P32" s="3"/>
      <c r="Q32" s="3"/>
      <c r="R32" s="3"/>
    </row>
    <row r="33" spans="1:18" x14ac:dyDescent="0.2">
      <c r="A33" s="3"/>
      <c r="B33" s="3"/>
      <c r="C33" s="3"/>
      <c r="D33" s="3"/>
      <c r="E33" s="3"/>
      <c r="F33" s="3"/>
      <c r="G33" s="3"/>
      <c r="H33" s="3"/>
      <c r="I33" s="3"/>
      <c r="J33" s="3"/>
      <c r="K33" s="3"/>
      <c r="L33" s="3"/>
      <c r="M33" s="3"/>
      <c r="N33" s="3"/>
      <c r="O33" s="3"/>
      <c r="P33" s="3"/>
      <c r="Q33" s="3"/>
      <c r="R33" s="3"/>
    </row>
    <row r="34" spans="1:18" ht="13.5" thickBot="1" x14ac:dyDescent="0.25">
      <c r="A34" s="3"/>
      <c r="B34" s="3"/>
      <c r="C34" s="3"/>
      <c r="D34" s="3"/>
      <c r="E34" s="3"/>
      <c r="F34" s="3"/>
      <c r="G34" s="3"/>
      <c r="H34" s="3"/>
      <c r="I34" s="3"/>
      <c r="J34" s="3"/>
      <c r="K34" s="3"/>
      <c r="L34" s="3"/>
      <c r="M34" s="3"/>
      <c r="N34" s="3"/>
      <c r="O34" s="3"/>
      <c r="P34" s="3"/>
      <c r="Q34" s="3"/>
      <c r="R34" s="3"/>
    </row>
    <row r="37" spans="1:18" x14ac:dyDescent="0.2">
      <c r="C37" s="1548"/>
    </row>
  </sheetData>
  <mergeCells count="2">
    <mergeCell ref="A6:R6"/>
    <mergeCell ref="A21:R21"/>
  </mergeCells>
  <hyperlinks>
    <hyperlink ref="A2" location="Index!A1" display="Til index" xr:uid="{ADF9C113-8102-4506-925E-C8D7759B43D1}"/>
  </hyperlink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CD3B-034B-447E-8D01-05070D3CC37C}">
  <sheetPr codeName="Ark2">
    <tabColor rgb="FFFFC000"/>
    <pageSetUpPr fitToPage="1"/>
  </sheetPr>
  <dimension ref="A1:AH802"/>
  <sheetViews>
    <sheetView showGridLines="0" zoomScale="85" zoomScaleNormal="85" workbookViewId="0">
      <selection activeCell="D1" sqref="D1"/>
    </sheetView>
  </sheetViews>
  <sheetFormatPr defaultColWidth="9.140625" defaultRowHeight="14.25" x14ac:dyDescent="0.2"/>
  <cols>
    <col min="1" max="1" width="8.7109375" style="132" customWidth="1"/>
    <col min="2" max="2" width="47.85546875" style="132" customWidth="1"/>
    <col min="3" max="6" width="21.28515625" style="132" customWidth="1"/>
    <col min="7" max="7" width="37.5703125" style="132" customWidth="1"/>
    <col min="8" max="8" width="23.5703125" style="132" customWidth="1"/>
    <col min="9" max="9" width="25" style="132" customWidth="1"/>
    <col min="10" max="10" width="31.140625" style="132" customWidth="1"/>
    <col min="11" max="11" width="25.5703125" style="132" customWidth="1"/>
    <col min="12" max="12" width="14.42578125" style="128" customWidth="1"/>
    <col min="13" max="13" width="38.5703125" style="128" customWidth="1"/>
    <col min="14" max="14" width="18.7109375" style="128" customWidth="1"/>
    <col min="15" max="15" width="19.85546875" style="128" customWidth="1"/>
    <col min="16" max="16" width="19.28515625" style="128" bestFit="1" customWidth="1"/>
    <col min="17" max="17" width="18.7109375" style="128" customWidth="1"/>
    <col min="18" max="18" width="32.42578125" style="128" customWidth="1"/>
    <col min="19" max="19" width="23.42578125" style="128" customWidth="1"/>
    <col min="20" max="20" width="13.140625" style="128" customWidth="1"/>
    <col min="21" max="21" width="9.140625" style="128"/>
    <col min="22" max="22" width="22.140625" style="128" bestFit="1" customWidth="1"/>
    <col min="23" max="28" width="11" style="128" customWidth="1"/>
    <col min="29" max="29" width="9.140625" style="128"/>
    <col min="30" max="32" width="11.140625" style="128" bestFit="1" customWidth="1"/>
    <col min="33" max="33" width="11.140625" style="128" customWidth="1"/>
    <col min="34" max="34" width="13.5703125" style="128" customWidth="1"/>
    <col min="35" max="16384" width="9.140625" style="128"/>
  </cols>
  <sheetData>
    <row r="1" spans="1:28" s="4254" customFormat="1" ht="58.5" customHeight="1" x14ac:dyDescent="0.35">
      <c r="C1" s="658"/>
      <c r="D1" s="658"/>
      <c r="E1" s="658"/>
    </row>
    <row r="2" spans="1:28" ht="21" x14ac:dyDescent="0.35">
      <c r="A2" s="1740" t="s">
        <v>4206</v>
      </c>
      <c r="L2" s="132"/>
      <c r="M2" s="132"/>
      <c r="N2" s="132"/>
      <c r="O2" s="132"/>
      <c r="P2" s="132"/>
      <c r="Q2" s="132"/>
      <c r="R2" s="132"/>
      <c r="S2" s="132"/>
      <c r="T2" s="129"/>
      <c r="U2" s="129"/>
      <c r="V2" s="129"/>
      <c r="W2" s="129"/>
      <c r="X2" s="129"/>
      <c r="Y2" s="129"/>
      <c r="Z2" s="129"/>
      <c r="AA2" s="129"/>
      <c r="AB2" s="129"/>
    </row>
    <row r="3" spans="1:28" ht="21" x14ac:dyDescent="0.35">
      <c r="A3" s="1740"/>
      <c r="B3" s="2934"/>
      <c r="C3" s="2934"/>
      <c r="L3" s="132"/>
      <c r="M3" s="132"/>
      <c r="N3" s="132"/>
      <c r="O3" s="132"/>
      <c r="P3" s="132"/>
      <c r="Q3" s="132"/>
      <c r="R3" s="132"/>
      <c r="S3" s="132"/>
      <c r="T3" s="129"/>
      <c r="U3" s="129"/>
      <c r="V3" s="129"/>
      <c r="W3" s="129"/>
      <c r="X3" s="129"/>
      <c r="Y3" s="129"/>
      <c r="Z3" s="129"/>
      <c r="AA3" s="129"/>
      <c r="AB3" s="129"/>
    </row>
    <row r="4" spans="1:28" ht="21.75" thickBot="1" x14ac:dyDescent="0.4">
      <c r="A4" s="1740"/>
      <c r="B4" s="3245" t="s">
        <v>318</v>
      </c>
      <c r="C4" s="2934"/>
      <c r="D4" s="2936" t="s">
        <v>4993</v>
      </c>
      <c r="E4" s="2935"/>
      <c r="F4" s="2935"/>
      <c r="H4" s="5033" t="s">
        <v>4216</v>
      </c>
      <c r="I4" s="5033"/>
      <c r="L4" s="132"/>
      <c r="M4" s="132"/>
      <c r="N4" s="132"/>
      <c r="O4" s="132"/>
      <c r="P4" s="132"/>
      <c r="Q4" s="132"/>
      <c r="R4" s="132"/>
      <c r="S4" s="132"/>
      <c r="T4" s="129"/>
      <c r="U4" s="129"/>
      <c r="V4" s="129"/>
      <c r="W4" s="129"/>
      <c r="X4" s="129"/>
      <c r="Y4" s="129"/>
      <c r="Z4" s="129"/>
      <c r="AA4" s="129"/>
      <c r="AB4" s="129"/>
    </row>
    <row r="5" spans="1:28" ht="21.75" thickBot="1" x14ac:dyDescent="0.4">
      <c r="A5" s="1740"/>
      <c r="B5" s="3244" t="s">
        <v>317</v>
      </c>
      <c r="C5" s="2934"/>
      <c r="D5" s="3225"/>
      <c r="E5" s="3226" t="s">
        <v>319</v>
      </c>
      <c r="F5" s="3227" t="s">
        <v>316</v>
      </c>
      <c r="H5" s="5034">
        <v>2018</v>
      </c>
      <c r="I5" s="5035"/>
      <c r="K5" s="272"/>
      <c r="L5" s="132"/>
      <c r="M5" s="132"/>
      <c r="N5" s="132"/>
      <c r="O5" s="132"/>
      <c r="P5" s="132"/>
      <c r="Q5" s="132"/>
      <c r="R5" s="132"/>
      <c r="S5" s="132"/>
      <c r="T5" s="129"/>
      <c r="U5" s="129"/>
      <c r="V5" s="129"/>
      <c r="W5" s="129"/>
      <c r="X5" s="129"/>
      <c r="Y5" s="129"/>
      <c r="Z5" s="129"/>
      <c r="AA5" s="129"/>
      <c r="AB5" s="129"/>
    </row>
    <row r="6" spans="1:28" ht="21" x14ac:dyDescent="0.35">
      <c r="A6" s="1740"/>
      <c r="B6" s="2934"/>
      <c r="C6" s="2934"/>
      <c r="D6" s="3228" t="s">
        <v>317</v>
      </c>
      <c r="E6" s="3229">
        <v>25</v>
      </c>
      <c r="F6" s="3230">
        <v>298</v>
      </c>
      <c r="H6" s="141" t="s">
        <v>4217</v>
      </c>
      <c r="L6" s="132"/>
      <c r="M6" s="132"/>
      <c r="N6" s="132"/>
      <c r="O6" s="132"/>
      <c r="P6" s="132"/>
      <c r="Q6" s="132"/>
      <c r="R6" s="132"/>
      <c r="S6" s="132"/>
      <c r="T6" s="129"/>
      <c r="U6" s="129"/>
      <c r="V6" s="129"/>
      <c r="W6" s="129"/>
      <c r="X6" s="129"/>
      <c r="Y6" s="129"/>
      <c r="Z6" s="129"/>
      <c r="AA6" s="129"/>
      <c r="AB6" s="129"/>
    </row>
    <row r="7" spans="1:28" ht="21.75" thickBot="1" x14ac:dyDescent="0.4">
      <c r="A7" s="1740"/>
      <c r="C7" s="2934"/>
      <c r="D7" s="4255" t="s">
        <v>315</v>
      </c>
      <c r="E7" s="4256">
        <v>28</v>
      </c>
      <c r="F7" s="4257">
        <v>265</v>
      </c>
      <c r="H7" s="3243" t="s">
        <v>4218</v>
      </c>
      <c r="L7" s="132"/>
      <c r="M7" s="132"/>
      <c r="N7" s="132"/>
      <c r="O7" s="132"/>
      <c r="P7" s="132"/>
      <c r="Q7" s="132"/>
      <c r="R7" s="132"/>
      <c r="S7" s="132"/>
      <c r="T7" s="129"/>
      <c r="U7" s="129"/>
      <c r="V7" s="129"/>
      <c r="W7" s="129"/>
      <c r="X7" s="129"/>
      <c r="Y7" s="129"/>
      <c r="Z7" s="129"/>
      <c r="AA7" s="129"/>
      <c r="AB7" s="129"/>
    </row>
    <row r="8" spans="1:28" ht="21.75" thickBot="1" x14ac:dyDescent="0.4">
      <c r="A8" s="1740"/>
      <c r="D8" s="3225" t="s">
        <v>5139</v>
      </c>
      <c r="E8" s="3226">
        <f>IF(B5="AR4",E6,E7)</f>
        <v>25</v>
      </c>
      <c r="F8" s="3227">
        <f>IF(B5="AR4",F6,F7)</f>
        <v>298</v>
      </c>
      <c r="L8" s="132"/>
      <c r="M8" s="132"/>
      <c r="N8" s="132"/>
      <c r="O8" s="132"/>
      <c r="P8" s="132"/>
      <c r="Q8" s="132"/>
      <c r="R8" s="132"/>
      <c r="S8" s="132"/>
      <c r="T8" s="129"/>
      <c r="U8" s="129"/>
      <c r="V8" s="129"/>
      <c r="W8" s="129"/>
      <c r="X8" s="129"/>
      <c r="Y8" s="129"/>
      <c r="Z8" s="129"/>
      <c r="AA8" s="129"/>
      <c r="AB8" s="129"/>
    </row>
    <row r="9" spans="1:28" ht="21" x14ac:dyDescent="0.35">
      <c r="A9" s="1740"/>
      <c r="L9" s="132"/>
      <c r="M9" s="132"/>
      <c r="N9" s="132"/>
      <c r="O9" s="132"/>
      <c r="P9" s="132"/>
      <c r="Q9" s="132"/>
      <c r="R9" s="132"/>
      <c r="S9" s="132"/>
      <c r="T9" s="129"/>
      <c r="U9" s="129"/>
      <c r="V9" s="129"/>
      <c r="W9" s="129"/>
      <c r="X9" s="129"/>
      <c r="Y9" s="129"/>
      <c r="Z9" s="129"/>
      <c r="AA9" s="129"/>
      <c r="AB9" s="129"/>
    </row>
    <row r="10" spans="1:28" ht="33.6" customHeight="1" x14ac:dyDescent="0.4">
      <c r="A10" s="56" t="s">
        <v>75</v>
      </c>
      <c r="B10" s="273"/>
      <c r="L10" s="132"/>
      <c r="M10" s="132"/>
      <c r="N10" s="132"/>
      <c r="O10" s="132"/>
      <c r="P10" s="132"/>
      <c r="Q10" s="132"/>
      <c r="R10" s="132"/>
      <c r="S10" s="132"/>
      <c r="T10" s="132"/>
      <c r="U10" s="132"/>
      <c r="V10" s="132"/>
      <c r="W10" s="132"/>
      <c r="X10" s="132"/>
      <c r="Y10" s="132"/>
      <c r="Z10" s="132"/>
      <c r="AA10" s="132"/>
      <c r="AB10" s="132"/>
    </row>
    <row r="11" spans="1:28" x14ac:dyDescent="0.2">
      <c r="L11" s="132"/>
      <c r="M11" s="132"/>
      <c r="N11" s="132"/>
      <c r="O11" s="132"/>
      <c r="P11" s="132"/>
      <c r="Q11" s="132"/>
      <c r="R11" s="132"/>
      <c r="S11" s="132"/>
      <c r="T11" s="132"/>
      <c r="U11" s="132"/>
      <c r="V11" s="132"/>
      <c r="W11" s="132"/>
      <c r="X11" s="132"/>
      <c r="Y11" s="132"/>
      <c r="Z11" s="132"/>
      <c r="AA11" s="132"/>
      <c r="AB11" s="132"/>
    </row>
    <row r="12" spans="1:28" x14ac:dyDescent="0.2">
      <c r="L12" s="132"/>
      <c r="M12" s="132"/>
      <c r="N12" s="132"/>
      <c r="O12" s="132"/>
      <c r="P12" s="132"/>
      <c r="Q12" s="132"/>
      <c r="R12" s="132"/>
      <c r="S12" s="132"/>
      <c r="T12" s="132"/>
      <c r="U12" s="132"/>
      <c r="V12" s="132"/>
      <c r="W12" s="132"/>
      <c r="X12" s="132"/>
      <c r="Y12" s="132"/>
      <c r="Z12" s="132"/>
      <c r="AA12" s="132"/>
      <c r="AB12" s="132"/>
    </row>
    <row r="13" spans="1:28" x14ac:dyDescent="0.2">
      <c r="L13" s="132"/>
      <c r="M13" s="132"/>
      <c r="N13" s="132"/>
      <c r="O13" s="132"/>
      <c r="P13" s="132"/>
      <c r="Q13" s="132"/>
      <c r="R13" s="132"/>
      <c r="S13" s="132"/>
      <c r="T13" s="132"/>
      <c r="U13" s="132"/>
      <c r="V13" s="132"/>
      <c r="W13" s="132"/>
      <c r="X13" s="132"/>
      <c r="Y13" s="132"/>
      <c r="Z13" s="132"/>
      <c r="AA13" s="132"/>
      <c r="AB13" s="132"/>
    </row>
    <row r="14" spans="1:28" x14ac:dyDescent="0.2">
      <c r="L14" s="132"/>
      <c r="M14" s="132"/>
      <c r="N14" s="132"/>
      <c r="O14" s="132"/>
      <c r="P14" s="132"/>
      <c r="Q14" s="132"/>
      <c r="R14" s="132"/>
      <c r="S14" s="132"/>
      <c r="T14" s="132"/>
      <c r="U14" s="132"/>
      <c r="V14" s="132"/>
      <c r="W14" s="132"/>
      <c r="X14" s="132"/>
      <c r="Y14" s="132"/>
      <c r="Z14" s="132"/>
      <c r="AA14" s="132"/>
      <c r="AB14" s="132"/>
    </row>
    <row r="15" spans="1:28" x14ac:dyDescent="0.2">
      <c r="L15" s="132"/>
      <c r="M15" s="132"/>
      <c r="N15" s="132"/>
      <c r="O15" s="132"/>
      <c r="P15" s="132"/>
      <c r="Q15" s="132"/>
      <c r="R15" s="132"/>
      <c r="S15" s="132"/>
      <c r="T15" s="132"/>
      <c r="U15" s="132"/>
      <c r="V15" s="132"/>
      <c r="W15" s="132"/>
      <c r="X15" s="132"/>
      <c r="Y15" s="132"/>
      <c r="Z15" s="132"/>
      <c r="AA15" s="132"/>
      <c r="AB15" s="132"/>
    </row>
    <row r="16" spans="1:28" x14ac:dyDescent="0.2">
      <c r="L16" s="132"/>
      <c r="M16" s="132"/>
      <c r="N16" s="132"/>
      <c r="O16" s="132"/>
      <c r="P16" s="132"/>
      <c r="Q16" s="132"/>
      <c r="R16" s="132"/>
      <c r="S16" s="132"/>
      <c r="T16" s="132"/>
      <c r="U16" s="132"/>
      <c r="V16" s="132"/>
      <c r="W16" s="132"/>
      <c r="X16" s="132"/>
      <c r="Y16" s="132"/>
      <c r="Z16" s="132"/>
      <c r="AA16" s="132"/>
      <c r="AB16" s="132"/>
    </row>
    <row r="17" spans="1:28" x14ac:dyDescent="0.2">
      <c r="L17" s="132"/>
      <c r="M17" s="132"/>
      <c r="N17" s="132"/>
      <c r="O17" s="132"/>
      <c r="P17" s="132"/>
      <c r="Q17" s="132"/>
      <c r="R17" s="132"/>
      <c r="S17" s="132"/>
      <c r="T17" s="132"/>
      <c r="U17" s="132"/>
      <c r="V17" s="132"/>
      <c r="W17" s="132"/>
      <c r="X17" s="132"/>
      <c r="Y17" s="132"/>
      <c r="Z17" s="132"/>
      <c r="AA17" s="132"/>
      <c r="AB17" s="132"/>
    </row>
    <row r="18" spans="1:28" x14ac:dyDescent="0.2">
      <c r="L18" s="132"/>
      <c r="M18" s="132"/>
      <c r="N18" s="132"/>
      <c r="O18" s="132"/>
      <c r="P18" s="132"/>
      <c r="Q18" s="132"/>
      <c r="R18" s="132"/>
      <c r="S18" s="132"/>
      <c r="T18" s="132"/>
      <c r="U18" s="132"/>
      <c r="V18" s="132"/>
      <c r="W18" s="132"/>
      <c r="X18" s="132"/>
      <c r="Y18" s="132"/>
      <c r="Z18" s="132"/>
      <c r="AA18" s="132"/>
      <c r="AB18" s="132"/>
    </row>
    <row r="19" spans="1:28" ht="15" x14ac:dyDescent="0.25">
      <c r="L19" s="132"/>
      <c r="M19" s="132"/>
      <c r="N19" s="132"/>
      <c r="O19" s="132"/>
      <c r="P19" s="132"/>
      <c r="Q19" s="143"/>
      <c r="R19" s="132"/>
      <c r="S19" s="132"/>
      <c r="T19" s="132"/>
      <c r="U19" s="132"/>
      <c r="V19" s="132"/>
      <c r="W19" s="132"/>
      <c r="X19" s="132"/>
      <c r="Y19" s="132"/>
      <c r="Z19" s="132"/>
      <c r="AA19" s="132"/>
      <c r="AB19" s="132"/>
    </row>
    <row r="20" spans="1:28" ht="15" x14ac:dyDescent="0.25">
      <c r="L20" s="132"/>
      <c r="M20" s="132"/>
      <c r="N20" s="132"/>
      <c r="O20" s="132"/>
      <c r="P20" s="132"/>
      <c r="Q20" s="143"/>
      <c r="R20" s="132"/>
      <c r="S20" s="132"/>
      <c r="T20" s="132"/>
      <c r="U20" s="132"/>
      <c r="V20" s="132"/>
      <c r="W20" s="132"/>
      <c r="X20" s="132"/>
      <c r="Y20" s="132"/>
      <c r="Z20" s="132"/>
      <c r="AA20" s="132"/>
      <c r="AB20" s="132"/>
    </row>
    <row r="21" spans="1:28" ht="15" x14ac:dyDescent="0.25">
      <c r="L21" s="132"/>
      <c r="M21" s="132"/>
      <c r="N21" s="132"/>
      <c r="O21" s="132"/>
      <c r="P21" s="132"/>
      <c r="Q21" s="143"/>
      <c r="R21" s="132"/>
      <c r="S21" s="132"/>
      <c r="T21" s="132"/>
      <c r="U21" s="132"/>
      <c r="V21" s="132"/>
      <c r="W21" s="132"/>
      <c r="X21" s="132"/>
      <c r="Y21" s="132"/>
      <c r="Z21" s="132"/>
      <c r="AA21" s="132"/>
      <c r="AB21" s="132"/>
    </row>
    <row r="22" spans="1:28" ht="15" x14ac:dyDescent="0.25">
      <c r="J22" s="1775"/>
      <c r="L22" s="132"/>
      <c r="M22" s="132"/>
      <c r="N22" s="132"/>
      <c r="O22" s="132"/>
      <c r="P22" s="132"/>
      <c r="Q22" s="143"/>
      <c r="R22" s="132"/>
      <c r="S22" s="132"/>
      <c r="T22" s="132"/>
      <c r="U22" s="132"/>
      <c r="V22" s="132"/>
      <c r="W22" s="132"/>
      <c r="X22" s="132"/>
      <c r="Y22" s="132"/>
      <c r="Z22" s="132"/>
      <c r="AA22" s="132"/>
      <c r="AB22" s="132"/>
    </row>
    <row r="23" spans="1:28" ht="15" x14ac:dyDescent="0.25">
      <c r="L23" s="132"/>
      <c r="M23" s="132"/>
      <c r="N23" s="132"/>
      <c r="O23" s="132"/>
      <c r="P23" s="132"/>
      <c r="Q23" s="143"/>
      <c r="R23" s="132"/>
      <c r="S23" s="132"/>
      <c r="T23" s="132"/>
      <c r="U23" s="132"/>
      <c r="V23" s="132"/>
      <c r="W23" s="132"/>
      <c r="X23" s="132"/>
      <c r="Y23" s="132"/>
      <c r="Z23" s="132"/>
      <c r="AA23" s="132"/>
      <c r="AB23" s="132"/>
    </row>
    <row r="24" spans="1:28" ht="15" x14ac:dyDescent="0.25">
      <c r="L24" s="132"/>
      <c r="M24" s="132"/>
      <c r="N24" s="132"/>
      <c r="O24" s="132"/>
      <c r="P24" s="132"/>
      <c r="Q24" s="143"/>
      <c r="R24" s="132"/>
      <c r="S24" s="132"/>
      <c r="T24" s="132"/>
      <c r="U24" s="132"/>
      <c r="V24" s="132"/>
      <c r="W24" s="132"/>
      <c r="X24" s="132"/>
      <c r="Y24" s="132"/>
      <c r="Z24" s="132"/>
      <c r="AA24" s="132"/>
      <c r="AB24" s="132"/>
    </row>
    <row r="25" spans="1:28" ht="15" x14ac:dyDescent="0.25">
      <c r="L25" s="132"/>
      <c r="M25" s="132"/>
      <c r="N25" s="132"/>
      <c r="O25" s="132"/>
      <c r="P25" s="132"/>
      <c r="Q25" s="143"/>
      <c r="R25" s="132"/>
      <c r="S25" s="132"/>
      <c r="T25" s="132"/>
      <c r="U25" s="132"/>
      <c r="V25" s="132"/>
      <c r="W25" s="132"/>
      <c r="X25" s="132"/>
      <c r="Y25" s="132"/>
      <c r="Z25" s="132"/>
      <c r="AA25" s="132"/>
      <c r="AB25" s="132"/>
    </row>
    <row r="26" spans="1:28" x14ac:dyDescent="0.2">
      <c r="L26" s="132"/>
      <c r="M26" s="132"/>
      <c r="N26" s="132"/>
      <c r="O26" s="132"/>
      <c r="P26" s="132"/>
      <c r="Q26" s="132"/>
      <c r="R26" s="132"/>
      <c r="S26" s="132"/>
      <c r="T26" s="132"/>
      <c r="U26" s="132"/>
      <c r="V26" s="132"/>
      <c r="W26" s="132"/>
      <c r="X26" s="132"/>
      <c r="Y26" s="132"/>
      <c r="Z26" s="132"/>
      <c r="AA26" s="132"/>
      <c r="AB26" s="132"/>
    </row>
    <row r="27" spans="1:28" x14ac:dyDescent="0.2">
      <c r="L27" s="132"/>
      <c r="M27" s="132"/>
      <c r="N27" s="132"/>
      <c r="O27" s="132"/>
      <c r="P27" s="132"/>
      <c r="Q27" s="132"/>
      <c r="R27" s="132"/>
      <c r="S27" s="132"/>
      <c r="T27" s="132"/>
      <c r="U27" s="132"/>
      <c r="V27" s="132"/>
      <c r="W27" s="132"/>
      <c r="X27" s="132"/>
      <c r="Y27" s="132"/>
      <c r="Z27" s="132"/>
      <c r="AA27" s="132"/>
      <c r="AB27" s="132"/>
    </row>
    <row r="28" spans="1:28" x14ac:dyDescent="0.2">
      <c r="L28" s="132"/>
      <c r="M28" s="132"/>
      <c r="N28" s="132"/>
      <c r="O28" s="132"/>
      <c r="P28" s="132"/>
      <c r="Q28" s="132"/>
      <c r="R28" s="132"/>
      <c r="S28" s="132"/>
      <c r="T28" s="132"/>
      <c r="U28" s="132"/>
      <c r="V28" s="132"/>
      <c r="W28" s="132"/>
      <c r="X28" s="132"/>
      <c r="Y28" s="132"/>
      <c r="Z28" s="132"/>
      <c r="AA28" s="132"/>
      <c r="AB28" s="132"/>
    </row>
    <row r="29" spans="1:28" x14ac:dyDescent="0.2">
      <c r="L29" s="132"/>
      <c r="M29" s="132"/>
      <c r="N29" s="132"/>
      <c r="O29" s="132"/>
      <c r="P29" s="132"/>
      <c r="Q29" s="132"/>
      <c r="R29" s="132"/>
      <c r="S29" s="132"/>
      <c r="T29" s="132"/>
      <c r="U29" s="132"/>
      <c r="V29" s="132"/>
      <c r="W29" s="132"/>
      <c r="X29" s="132"/>
      <c r="Y29" s="132"/>
      <c r="Z29" s="132"/>
      <c r="AA29" s="132"/>
      <c r="AB29" s="132"/>
    </row>
    <row r="30" spans="1:28" ht="14.25" customHeight="1" x14ac:dyDescent="0.2">
      <c r="C30" s="272"/>
      <c r="J30" s="272"/>
      <c r="L30" s="132"/>
      <c r="M30" s="132"/>
      <c r="N30" s="132"/>
      <c r="O30" s="132"/>
      <c r="P30" s="132"/>
      <c r="Q30" s="132"/>
      <c r="R30" s="132"/>
      <c r="S30" s="132"/>
      <c r="T30" s="132"/>
      <c r="U30" s="132"/>
      <c r="V30" s="132"/>
      <c r="W30" s="132"/>
      <c r="X30" s="132"/>
      <c r="Y30" s="132"/>
      <c r="Z30" s="132"/>
      <c r="AA30" s="132"/>
      <c r="AB30" s="132"/>
    </row>
    <row r="31" spans="1:28" ht="34.5" customHeight="1" x14ac:dyDescent="0.2">
      <c r="A31" s="128"/>
      <c r="B31" s="274" t="s">
        <v>4742</v>
      </c>
      <c r="C31" s="128"/>
      <c r="D31" s="128"/>
      <c r="E31" s="128"/>
      <c r="F31" s="128"/>
      <c r="G31" s="128"/>
      <c r="H31" s="128"/>
      <c r="I31" s="128"/>
      <c r="J31" s="128"/>
      <c r="K31" s="128"/>
      <c r="M31" s="274" t="s">
        <v>4743</v>
      </c>
    </row>
    <row r="32" spans="1:28" ht="23.25" x14ac:dyDescent="0.35">
      <c r="A32" s="129"/>
      <c r="B32" s="131"/>
      <c r="C32" s="1773"/>
      <c r="D32" s="129"/>
      <c r="E32" s="129"/>
      <c r="F32" s="129"/>
      <c r="G32" s="129"/>
      <c r="H32" s="129"/>
      <c r="I32" s="129"/>
      <c r="J32" s="129"/>
      <c r="K32" s="129"/>
      <c r="L32" s="275"/>
      <c r="M32" s="131"/>
      <c r="N32" s="129"/>
      <c r="O32" s="1773"/>
      <c r="P32" s="129"/>
      <c r="Q32" s="129"/>
      <c r="R32" s="129"/>
      <c r="S32" s="129"/>
      <c r="T32" s="129"/>
      <c r="U32" s="129"/>
      <c r="V32" s="129"/>
      <c r="W32" s="129"/>
      <c r="X32" s="129"/>
      <c r="Y32" s="129"/>
      <c r="Z32" s="129"/>
      <c r="AA32" s="129"/>
      <c r="AB32" s="129"/>
    </row>
    <row r="33" spans="1:34" ht="46.5" x14ac:dyDescent="0.35">
      <c r="A33" s="129"/>
      <c r="B33" s="4258"/>
      <c r="C33" s="4259">
        <f>C39</f>
        <v>1990</v>
      </c>
      <c r="D33" s="4260" t="str">
        <f>D39</f>
        <v>2018/2020</v>
      </c>
      <c r="E33" s="129"/>
      <c r="G33" s="4261" t="s">
        <v>4977</v>
      </c>
      <c r="H33" s="4260" t="str">
        <f>D39</f>
        <v>2018/2020</v>
      </c>
      <c r="I33" s="129"/>
      <c r="J33" s="129"/>
      <c r="K33" s="129"/>
      <c r="L33" s="275"/>
      <c r="M33" s="4258"/>
      <c r="N33" s="4259">
        <f>N39</f>
        <v>1990</v>
      </c>
      <c r="O33" s="4259">
        <f>O39</f>
        <v>2018</v>
      </c>
      <c r="P33" s="129"/>
      <c r="Q33" s="4261" t="s">
        <v>4977</v>
      </c>
      <c r="R33" s="4262" t="str">
        <f>D39</f>
        <v>2018/2020</v>
      </c>
      <c r="S33" s="129"/>
      <c r="T33" s="129"/>
      <c r="U33" s="129"/>
      <c r="V33" s="129"/>
      <c r="W33" s="129"/>
      <c r="X33" s="129"/>
      <c r="Y33" s="129"/>
      <c r="Z33" s="129"/>
      <c r="AA33" s="129"/>
    </row>
    <row r="34" spans="1:34" ht="14.25" customHeight="1" x14ac:dyDescent="0.2">
      <c r="A34" s="3249"/>
      <c r="B34" s="4263" t="s">
        <v>5162</v>
      </c>
      <c r="C34" s="4264">
        <f>'E1990'!D1</f>
        <v>2512</v>
      </c>
      <c r="D34" s="4264">
        <f>'E2018'!D1</f>
        <v>1807</v>
      </c>
      <c r="E34" s="129"/>
      <c r="G34" s="4265" t="s">
        <v>4978</v>
      </c>
      <c r="H34" s="4266">
        <f>D47/D34</f>
        <v>17.224290678994294</v>
      </c>
      <c r="I34" s="129"/>
      <c r="L34" s="276"/>
      <c r="M34" s="4263" t="s">
        <v>5158</v>
      </c>
      <c r="N34" s="4267" t="s">
        <v>2910</v>
      </c>
      <c r="O34" s="4264">
        <f>FOLK1A!M4</f>
        <v>5806081</v>
      </c>
      <c r="P34" s="132"/>
      <c r="Q34" s="4265" t="s">
        <v>4978</v>
      </c>
      <c r="R34" s="4268">
        <f>O47*1000/O34</f>
        <v>9.3929629593795099</v>
      </c>
      <c r="S34" s="129"/>
      <c r="T34" s="132"/>
      <c r="U34" s="132"/>
      <c r="V34" s="132"/>
      <c r="W34" s="132"/>
      <c r="X34" s="132"/>
      <c r="Y34" s="132"/>
      <c r="Z34" s="132"/>
      <c r="AA34" s="132"/>
    </row>
    <row r="35" spans="1:34" ht="14.25" customHeight="1" x14ac:dyDescent="0.2">
      <c r="B35" s="4263" t="s">
        <v>5163</v>
      </c>
      <c r="C35" s="4269" t="s">
        <v>2910</v>
      </c>
      <c r="D35" s="4270">
        <f>'ARE207'!M6</f>
        <v>120.5</v>
      </c>
      <c r="E35" s="129"/>
      <c r="G35" s="4265" t="s">
        <v>4979</v>
      </c>
      <c r="H35" s="4266">
        <f>D47/D35</f>
        <v>258.29289009910946</v>
      </c>
      <c r="I35" s="129"/>
      <c r="L35" s="276"/>
      <c r="M35" s="4263" t="s">
        <v>5159</v>
      </c>
      <c r="N35" s="4269" t="s">
        <v>2910</v>
      </c>
      <c r="O35" s="4270">
        <f>'ARE207'!N4</f>
        <v>42937.8</v>
      </c>
      <c r="P35" s="132" t="s">
        <v>529</v>
      </c>
      <c r="Q35" s="4265" t="s">
        <v>4979</v>
      </c>
      <c r="R35" s="4268">
        <f>(O47*1000)/O35</f>
        <v>1270.1233824778433</v>
      </c>
      <c r="S35" s="129"/>
      <c r="T35" s="132"/>
      <c r="U35" s="132"/>
      <c r="V35" s="132"/>
      <c r="W35" s="132"/>
      <c r="X35" s="132"/>
      <c r="Y35" s="132"/>
      <c r="Z35" s="132"/>
      <c r="AA35" s="132"/>
    </row>
    <row r="36" spans="1:34" ht="14.25" customHeight="1" x14ac:dyDescent="0.2">
      <c r="B36" s="4263" t="s">
        <v>5164</v>
      </c>
      <c r="C36" s="4269" t="s">
        <v>2910</v>
      </c>
      <c r="D36" s="4270">
        <f>BNP!C108*1000000</f>
        <v>614789172</v>
      </c>
      <c r="E36" s="129"/>
      <c r="G36" s="4265" t="s">
        <v>4980</v>
      </c>
      <c r="H36" s="4271">
        <f>(H34)/(D37)</f>
        <v>5.0625961995541926E-5</v>
      </c>
      <c r="I36" s="129"/>
      <c r="L36" s="276"/>
      <c r="M36" s="4263" t="s">
        <v>5160</v>
      </c>
      <c r="N36" s="4269" t="s">
        <v>2910</v>
      </c>
      <c r="O36" s="4270">
        <f>BNP!C14*1000000</f>
        <v>2253557994000.9995</v>
      </c>
      <c r="P36" s="132" t="s">
        <v>218</v>
      </c>
      <c r="Q36" s="4265" t="s">
        <v>4980</v>
      </c>
      <c r="R36" s="4272">
        <f>R34/O37</f>
        <v>2.4200088889362283E-5</v>
      </c>
      <c r="S36" s="129"/>
      <c r="T36" s="132"/>
      <c r="U36" s="132"/>
      <c r="V36" s="132"/>
      <c r="W36" s="132"/>
      <c r="X36" s="132"/>
      <c r="Y36" s="132"/>
      <c r="Z36" s="132"/>
      <c r="AA36" s="132"/>
      <c r="AC36" s="3279" t="s">
        <v>5166</v>
      </c>
      <c r="AD36" s="3279"/>
    </row>
    <row r="37" spans="1:34" ht="14.25" customHeight="1" x14ac:dyDescent="0.2">
      <c r="B37" s="4263" t="s">
        <v>5165</v>
      </c>
      <c r="C37" s="4269" t="s">
        <v>2910</v>
      </c>
      <c r="D37" s="4270">
        <f>D36/D34</f>
        <v>340226.43718871055</v>
      </c>
      <c r="E37" s="129"/>
      <c r="I37" s="129"/>
      <c r="L37" s="276"/>
      <c r="M37" s="4263" t="s">
        <v>5161</v>
      </c>
      <c r="N37" s="4269" t="s">
        <v>2910</v>
      </c>
      <c r="O37" s="4270">
        <f>O36/O34</f>
        <v>388137.53959012963</v>
      </c>
      <c r="P37" s="132" t="s">
        <v>218</v>
      </c>
      <c r="Q37" s="132"/>
      <c r="R37" s="132"/>
      <c r="S37" s="129"/>
      <c r="T37" s="132"/>
      <c r="U37" s="132"/>
      <c r="V37" s="132"/>
      <c r="W37" s="132"/>
      <c r="X37" s="132"/>
      <c r="Y37" s="132"/>
      <c r="Z37" s="132"/>
      <c r="AA37" s="132"/>
      <c r="AC37" s="3279">
        <f>H40</f>
        <v>14248.544937238428</v>
      </c>
      <c r="AD37" s="3279">
        <f>H40</f>
        <v>14248.544937238428</v>
      </c>
      <c r="AE37" s="3279">
        <f>H40</f>
        <v>14248.544937238428</v>
      </c>
    </row>
    <row r="38" spans="1:34" ht="14.25" customHeight="1" x14ac:dyDescent="0.2">
      <c r="B38" s="133"/>
      <c r="C38" s="134"/>
      <c r="E38" s="129"/>
      <c r="L38" s="276"/>
      <c r="M38" s="132"/>
      <c r="N38" s="132"/>
      <c r="O38" s="132"/>
      <c r="P38" s="132"/>
      <c r="Q38" s="132"/>
      <c r="R38" s="132"/>
      <c r="S38" s="129"/>
      <c r="T38" s="132"/>
      <c r="U38" s="132"/>
      <c r="V38" s="132"/>
      <c r="W38" s="132"/>
      <c r="X38" s="132"/>
      <c r="Y38" s="132"/>
      <c r="Z38" s="132"/>
      <c r="AA38" s="132"/>
      <c r="AB38" s="132"/>
      <c r="AD38" s="3279"/>
      <c r="AE38" s="3279"/>
    </row>
    <row r="39" spans="1:34" ht="41.25" customHeight="1" x14ac:dyDescent="0.25">
      <c r="B39" s="4261" t="s">
        <v>4975</v>
      </c>
      <c r="C39" s="4273">
        <v>1990</v>
      </c>
      <c r="D39" s="4274" t="s">
        <v>5434</v>
      </c>
      <c r="E39" s="129"/>
      <c r="G39" s="5032" t="s">
        <v>224</v>
      </c>
      <c r="H39" s="5032"/>
      <c r="I39" s="5032"/>
      <c r="L39" s="276"/>
      <c r="M39" s="4261" t="s">
        <v>4976</v>
      </c>
      <c r="N39" s="4259">
        <v>1990</v>
      </c>
      <c r="O39" s="4259">
        <v>2018</v>
      </c>
      <c r="P39" s="4275" t="s">
        <v>5435</v>
      </c>
      <c r="Q39" s="132"/>
      <c r="R39" s="132"/>
      <c r="S39" s="129"/>
      <c r="T39" s="132"/>
      <c r="U39" s="132"/>
      <c r="V39" s="132"/>
      <c r="W39" s="132"/>
      <c r="X39" s="132"/>
      <c r="Y39" s="132"/>
      <c r="Z39" s="132"/>
      <c r="AA39" s="132"/>
      <c r="AC39" s="3279" t="s">
        <v>5167</v>
      </c>
      <c r="AD39" s="3279"/>
    </row>
    <row r="40" spans="1:34" ht="14.25" customHeight="1" x14ac:dyDescent="0.2">
      <c r="B40" s="4276" t="s">
        <v>219</v>
      </c>
      <c r="C40" s="4266">
        <f>IF(D40&lt;0,D40/(1+P40),D40/(1-P40))</f>
        <v>5781.9474119843626</v>
      </c>
      <c r="D40" s="4266">
        <f>'Planteavl 2018'!$AG$24</f>
        <v>3858.0500830944293</v>
      </c>
      <c r="E40" s="129"/>
      <c r="F40" s="141"/>
      <c r="G40" s="4276" t="s">
        <v>493</v>
      </c>
      <c r="H40" s="4266">
        <f>C47*30%</f>
        <v>14248.544937238428</v>
      </c>
      <c r="I40" s="4277" t="s">
        <v>636</v>
      </c>
      <c r="L40" s="276"/>
      <c r="M40" s="4278" t="s">
        <v>220</v>
      </c>
      <c r="N40" s="4270">
        <f>(Summary2_1990!J32+Summary2_1990!J34+Summary2_1990!J35+Summary2_1990!J36+Summary2_1990!J37)</f>
        <v>6476.5165633871375</v>
      </c>
      <c r="O40" s="4279">
        <f>Summary2_2018!J32+Summary2_2018!J34+Summary2_2018!J35+Summary2_2018!J36+Summary2_2018!J37</f>
        <v>4321.506835871196</v>
      </c>
      <c r="P40" s="4280">
        <f t="shared" ref="P40:P47" si="0">(N40-O40)/N40</f>
        <v>0.33274210085381117</v>
      </c>
      <c r="Q40" s="132"/>
      <c r="R40" s="132"/>
      <c r="S40" s="132"/>
      <c r="T40" s="132"/>
      <c r="U40" s="132"/>
      <c r="V40" s="132"/>
      <c r="W40" s="132"/>
      <c r="X40" s="132"/>
      <c r="Y40" s="132"/>
      <c r="Z40" s="132"/>
      <c r="AA40" s="132"/>
      <c r="AC40" s="3279">
        <f>N47*30%</f>
        <v>23062.588266674302</v>
      </c>
      <c r="AD40" s="3279">
        <f>AC40</f>
        <v>23062.588266674302</v>
      </c>
      <c r="AF40" s="137"/>
      <c r="AG40" s="137"/>
    </row>
    <row r="41" spans="1:34" ht="14.25" customHeight="1" x14ac:dyDescent="0.2">
      <c r="B41" s="4276" t="s">
        <v>221</v>
      </c>
      <c r="C41" s="4266">
        <f>IF(D41&lt;0,D41/(1+P41),D41/(1-P41))</f>
        <v>8689.0803083732771</v>
      </c>
      <c r="D41" s="4266">
        <f>'Dyrehold 2018'!$Z$18</f>
        <v>8510.0041033403995</v>
      </c>
      <c r="E41" s="129"/>
      <c r="F41" s="141"/>
      <c r="G41" s="4276" t="s">
        <v>5359</v>
      </c>
      <c r="H41" s="4266">
        <f>E47-H40</f>
        <v>-14248.544937238428</v>
      </c>
      <c r="I41" s="4277" t="s">
        <v>636</v>
      </c>
      <c r="L41" s="276"/>
      <c r="M41" s="4278" t="s">
        <v>221</v>
      </c>
      <c r="N41" s="4270">
        <f>Summary2_1990!J29+Summary2_1990!J30</f>
        <v>6861.1572169950632</v>
      </c>
      <c r="O41" s="4279">
        <f>Summary2_2018!J29+Summary2_2018!J30</f>
        <v>6719.7532993250425</v>
      </c>
      <c r="P41" s="4280">
        <f t="shared" si="0"/>
        <v>2.0609339386621798E-2</v>
      </c>
      <c r="Q41" s="132"/>
      <c r="R41" s="132"/>
      <c r="S41" s="132"/>
      <c r="T41" s="132"/>
      <c r="U41" s="132"/>
      <c r="V41" s="132"/>
      <c r="W41" s="132"/>
      <c r="X41" s="132"/>
      <c r="Y41" s="132"/>
      <c r="Z41" s="132"/>
      <c r="AA41" s="132"/>
      <c r="AF41" s="137"/>
      <c r="AG41" s="137"/>
      <c r="AH41" s="137"/>
    </row>
    <row r="42" spans="1:34" ht="14.25" customHeight="1" x14ac:dyDescent="0.2">
      <c r="B42" s="4276" t="s">
        <v>222</v>
      </c>
      <c r="C42" s="4266">
        <f>IF(D42&lt;0,D42/(1+P42),D42/(1-P42))</f>
        <v>249.24384191104065</v>
      </c>
      <c r="D42" s="4266">
        <f>'Industrielle processer 2018'!$O$43</f>
        <v>217.39469354459135</v>
      </c>
      <c r="E42" s="129"/>
      <c r="F42" s="141"/>
      <c r="G42" s="4276" t="s">
        <v>229</v>
      </c>
      <c r="H42" s="4281">
        <f>H41/D34</f>
        <v>-7.8851936564684166</v>
      </c>
      <c r="I42" s="4277" t="s">
        <v>637</v>
      </c>
      <c r="L42" s="276"/>
      <c r="M42" s="4278" t="s">
        <v>222</v>
      </c>
      <c r="N42" s="4270">
        <f>Summary2_1990!J19</f>
        <v>2343.0087467434059</v>
      </c>
      <c r="O42" s="4279">
        <f>Summary2_2018!J19</f>
        <v>2043.6118484017677</v>
      </c>
      <c r="P42" s="4280">
        <f t="shared" si="0"/>
        <v>0.12778309033535443</v>
      </c>
      <c r="Q42" s="132"/>
      <c r="R42" s="132"/>
      <c r="S42" s="132"/>
      <c r="T42" s="132"/>
      <c r="U42" s="132"/>
      <c r="V42" s="132"/>
      <c r="W42" s="132"/>
      <c r="X42" s="132"/>
      <c r="Y42" s="132"/>
      <c r="Z42" s="132"/>
      <c r="AA42" s="132"/>
      <c r="AF42" s="137"/>
      <c r="AG42" s="137"/>
    </row>
    <row r="43" spans="1:34" ht="14.25" customHeight="1" x14ac:dyDescent="0.2">
      <c r="B43" s="4276" t="s">
        <v>109</v>
      </c>
      <c r="C43" s="4266">
        <f>('E1990'!$F$82+'E1990'!$G$82+'E1990'!$H$82)*1000</f>
        <v>5236.8684347403105</v>
      </c>
      <c r="D43" s="4266">
        <f>('E2020'!$F$82+'E2020'!$G$82+'E2020'!$H$82)*1000</f>
        <v>5569.0544719999998</v>
      </c>
      <c r="E43" s="129"/>
      <c r="F43" s="141"/>
      <c r="L43" s="276"/>
      <c r="M43" s="4278" t="s">
        <v>109</v>
      </c>
      <c r="N43" s="4270">
        <f>Summary2_1990!J12</f>
        <v>10786.945673650229</v>
      </c>
      <c r="O43" s="4279">
        <f>Summary2_2018!J12</f>
        <v>13436.520733955069</v>
      </c>
      <c r="P43" s="4280">
        <f t="shared" si="0"/>
        <v>-0.24562792290472729</v>
      </c>
      <c r="Q43" s="132"/>
      <c r="R43" s="132"/>
      <c r="S43" s="132"/>
      <c r="T43" s="132"/>
      <c r="U43" s="132"/>
      <c r="V43" s="132"/>
      <c r="W43" s="132"/>
      <c r="X43" s="132"/>
      <c r="Y43" s="132"/>
      <c r="Z43" s="132"/>
      <c r="AA43" s="132"/>
      <c r="AF43" s="137"/>
      <c r="AG43" s="137"/>
    </row>
    <row r="44" spans="1:34" ht="14.25" customHeight="1" x14ac:dyDescent="0.2">
      <c r="B44" s="4276" t="s">
        <v>635</v>
      </c>
      <c r="C44" s="4266">
        <f>('E1990'!$A$82+'E1990'!$B$82+'E1990'!$C$82+'E1990'!$D$82+'E1990'!$E$82+'E1990'!$I$82+'E1990'!$Z$82)*1000</f>
        <v>18758.217234292362</v>
      </c>
      <c r="D44" s="4266">
        <f>('E2020'!$A$82+'E2020'!$B$82+'E2020'!$C$82+'E2020'!$D$82+'E2020'!$E$82+'E2020'!$I$82+'E2020'!$Z$82)*1000</f>
        <v>4776.8757637824538</v>
      </c>
      <c r="E44" s="129"/>
      <c r="F44" s="141"/>
      <c r="L44" s="276"/>
      <c r="M44" s="4278" t="s">
        <v>635</v>
      </c>
      <c r="N44" s="4270">
        <f>Summary2_1990!J8-Summary2_1990!J12</f>
        <v>41638.357419676599</v>
      </c>
      <c r="O44" s="4279">
        <f>Summary2_2018!J8-Summary2_2018!J12</f>
        <v>20282.051066684871</v>
      </c>
      <c r="P44" s="4280">
        <f t="shared" si="0"/>
        <v>0.51289982786159583</v>
      </c>
      <c r="Q44" s="132"/>
      <c r="R44" s="132"/>
      <c r="S44" s="132"/>
      <c r="T44" s="132"/>
      <c r="U44" s="132"/>
      <c r="V44" s="132"/>
      <c r="W44" s="132"/>
      <c r="X44" s="132"/>
      <c r="Y44" s="132"/>
      <c r="Z44" s="132"/>
      <c r="AA44" s="132"/>
      <c r="AF44" s="137"/>
      <c r="AG44" s="137"/>
      <c r="AH44" s="137"/>
    </row>
    <row r="45" spans="1:34" ht="19.5" customHeight="1" x14ac:dyDescent="0.2">
      <c r="B45" s="4276" t="s">
        <v>223</v>
      </c>
      <c r="C45" s="4266">
        <f>IF(D45&lt;0,D45/(1+P45),D45/(1-P45))</f>
        <v>8140.1362946083145</v>
      </c>
      <c r="D45" s="4266">
        <f>'Arealanvendelse 2018'!$Q$40</f>
        <v>7808.4859395468175</v>
      </c>
      <c r="E45" s="129"/>
      <c r="F45" s="141"/>
      <c r="L45" s="276"/>
      <c r="M45" s="4278" t="s">
        <v>223</v>
      </c>
      <c r="N45" s="4270">
        <f>Summary2_1990!J39</f>
        <v>6873.608197395909</v>
      </c>
      <c r="O45" s="4279">
        <f>Summary2_2018!J39</f>
        <v>6593.5594959104183</v>
      </c>
      <c r="P45" s="4280">
        <f t="shared" si="0"/>
        <v>4.0742604676185672E-2</v>
      </c>
      <c r="Q45" s="132"/>
      <c r="R45" s="132"/>
      <c r="S45" s="132"/>
      <c r="T45" s="132"/>
      <c r="U45" s="132"/>
      <c r="V45" s="132"/>
      <c r="W45" s="132"/>
      <c r="X45" s="132"/>
      <c r="Y45" s="132"/>
      <c r="Z45" s="132"/>
      <c r="AA45" s="132"/>
      <c r="AF45" s="137"/>
      <c r="AG45" s="137"/>
    </row>
    <row r="46" spans="1:34" ht="14.25" customHeight="1" x14ac:dyDescent="0.2">
      <c r="B46" s="4276" t="s">
        <v>225</v>
      </c>
      <c r="C46" s="4266">
        <f>IF(D46&lt;0,D46/(1+P46),D46/(1-P46))</f>
        <v>639.65626488508724</v>
      </c>
      <c r="D46" s="4266">
        <f>'Affald og spildevand 2018'!$L$26</f>
        <v>384.42820163399642</v>
      </c>
      <c r="E46" s="129"/>
      <c r="F46" s="141"/>
      <c r="L46" s="276"/>
      <c r="M46" s="4278" t="s">
        <v>227</v>
      </c>
      <c r="N46" s="4270">
        <f>Summary2_1990!J48</f>
        <v>1895.7004043993231</v>
      </c>
      <c r="O46" s="4279">
        <f>Summary2_2018!J48</f>
        <v>1139.3004920087692</v>
      </c>
      <c r="P46" s="4280">
        <f t="shared" si="0"/>
        <v>0.39900815056808986</v>
      </c>
      <c r="Q46" s="132"/>
      <c r="R46" s="132"/>
      <c r="S46" s="132"/>
      <c r="T46" s="132"/>
      <c r="U46" s="132"/>
      <c r="V46" s="132"/>
      <c r="W46" s="132"/>
      <c r="X46" s="132"/>
      <c r="Y46" s="132"/>
      <c r="Z46" s="132"/>
      <c r="AA46" s="132"/>
    </row>
    <row r="47" spans="1:34" ht="14.25" customHeight="1" x14ac:dyDescent="0.25">
      <c r="B47" s="4282" t="s">
        <v>228</v>
      </c>
      <c r="C47" s="4283">
        <f>SUM(C40:C46)</f>
        <v>47495.149790794763</v>
      </c>
      <c r="D47" s="4283">
        <f>SUM(D40:D46)</f>
        <v>31124.293256942688</v>
      </c>
      <c r="E47" s="129"/>
      <c r="L47" s="276"/>
      <c r="M47" s="4284" t="s">
        <v>228</v>
      </c>
      <c r="N47" s="4285">
        <f>SUM(N40:N46)</f>
        <v>76875.29422224767</v>
      </c>
      <c r="O47" s="4285">
        <f>SUM(O40:O46)</f>
        <v>54536.303772157138</v>
      </c>
      <c r="P47" s="4286">
        <f t="shared" si="0"/>
        <v>0.29058738150007157</v>
      </c>
      <c r="Q47" s="132"/>
      <c r="R47" s="132"/>
      <c r="S47" s="132"/>
      <c r="T47" s="132"/>
      <c r="U47" s="132"/>
      <c r="V47" s="132"/>
      <c r="W47" s="132"/>
      <c r="X47" s="132"/>
      <c r="Y47" s="132"/>
      <c r="Z47" s="132"/>
      <c r="AA47" s="132"/>
    </row>
    <row r="48" spans="1:34" ht="14.25" customHeight="1" x14ac:dyDescent="0.2">
      <c r="B48" s="138"/>
      <c r="L48" s="276"/>
      <c r="M48" s="132"/>
      <c r="N48" s="132"/>
      <c r="O48" s="132"/>
      <c r="P48" s="132"/>
      <c r="Q48" s="132"/>
      <c r="R48" s="132"/>
      <c r="S48" s="132"/>
      <c r="T48" s="132"/>
      <c r="U48" s="132"/>
      <c r="V48" s="132"/>
      <c r="W48" s="132"/>
      <c r="X48" s="132"/>
      <c r="Y48" s="132"/>
      <c r="Z48" s="132"/>
      <c r="AA48" s="132"/>
      <c r="AB48" s="132"/>
    </row>
    <row r="49" spans="2:28" ht="14.25" customHeight="1" x14ac:dyDescent="0.2">
      <c r="B49" s="138"/>
      <c r="C49" s="134"/>
      <c r="D49" s="134"/>
      <c r="L49" s="276"/>
      <c r="M49" s="132"/>
      <c r="N49" s="132"/>
      <c r="O49" s="132"/>
      <c r="P49" s="132"/>
      <c r="Q49" s="132"/>
      <c r="R49" s="132"/>
      <c r="S49" s="132"/>
      <c r="T49" s="132"/>
      <c r="U49" s="132"/>
      <c r="V49" s="132"/>
      <c r="W49" s="132"/>
      <c r="X49" s="132"/>
      <c r="Y49" s="132"/>
      <c r="Z49" s="132"/>
      <c r="AA49" s="132"/>
      <c r="AB49" s="132"/>
    </row>
    <row r="50" spans="2:28" ht="14.25" customHeight="1" x14ac:dyDescent="0.2">
      <c r="L50" s="276"/>
      <c r="M50" s="132"/>
      <c r="N50" s="132"/>
      <c r="O50" s="132"/>
      <c r="P50" s="132"/>
      <c r="Q50" s="132"/>
      <c r="R50" s="132"/>
      <c r="S50" s="132"/>
      <c r="T50" s="132"/>
      <c r="U50" s="132"/>
      <c r="V50" s="132"/>
      <c r="W50" s="132"/>
      <c r="X50" s="132"/>
      <c r="Y50" s="132"/>
      <c r="Z50" s="132"/>
      <c r="AA50" s="132"/>
      <c r="AB50" s="132"/>
    </row>
    <row r="51" spans="2:28" ht="14.25" customHeight="1" x14ac:dyDescent="0.2">
      <c r="L51" s="276"/>
      <c r="M51" s="132"/>
      <c r="N51" s="132"/>
      <c r="O51" s="132"/>
      <c r="P51" s="132"/>
      <c r="Q51" s="132"/>
      <c r="R51" s="132"/>
      <c r="S51" s="132"/>
      <c r="T51" s="132"/>
      <c r="U51" s="132"/>
      <c r="V51" s="132"/>
      <c r="W51" s="132"/>
      <c r="X51" s="132"/>
      <c r="Y51" s="132"/>
      <c r="Z51" s="132"/>
      <c r="AA51" s="132"/>
      <c r="AB51" s="132"/>
    </row>
    <row r="52" spans="2:28" ht="14.25" customHeight="1" x14ac:dyDescent="0.2">
      <c r="L52" s="276"/>
      <c r="M52" s="132"/>
      <c r="N52" s="132"/>
      <c r="O52" s="132"/>
      <c r="P52" s="132"/>
      <c r="Q52" s="132"/>
      <c r="R52" s="132"/>
      <c r="S52" s="132"/>
      <c r="T52" s="132"/>
      <c r="U52" s="132"/>
      <c r="V52" s="132"/>
      <c r="W52" s="132"/>
      <c r="X52" s="132"/>
      <c r="Y52" s="132"/>
      <c r="Z52" s="132"/>
      <c r="AA52" s="132"/>
      <c r="AB52" s="132"/>
    </row>
    <row r="53" spans="2:28" ht="14.25" customHeight="1" x14ac:dyDescent="0.2">
      <c r="L53" s="276"/>
      <c r="M53" s="132"/>
      <c r="N53" s="132"/>
      <c r="O53" s="132"/>
      <c r="P53" s="132"/>
      <c r="Q53" s="132"/>
      <c r="R53" s="132"/>
      <c r="S53" s="132"/>
      <c r="T53" s="132"/>
      <c r="U53" s="132"/>
      <c r="V53" s="132"/>
      <c r="W53" s="132"/>
      <c r="X53" s="132"/>
      <c r="Y53" s="132"/>
      <c r="Z53" s="132"/>
      <c r="AA53" s="132"/>
      <c r="AB53" s="132"/>
    </row>
    <row r="54" spans="2:28" ht="14.25" customHeight="1" x14ac:dyDescent="0.25">
      <c r="B54" s="270" t="s">
        <v>5169</v>
      </c>
      <c r="C54" s="137"/>
      <c r="D54" s="137"/>
      <c r="E54" s="128"/>
      <c r="F54" s="128"/>
      <c r="G54" s="128"/>
      <c r="H54" s="128"/>
      <c r="I54" s="128"/>
      <c r="J54" s="128"/>
      <c r="L54" s="276"/>
      <c r="M54" s="270" t="s">
        <v>5168</v>
      </c>
      <c r="N54" s="137"/>
      <c r="Z54" s="132"/>
      <c r="AA54" s="132"/>
      <c r="AB54" s="132"/>
    </row>
    <row r="55" spans="2:28" ht="14.25" customHeight="1" x14ac:dyDescent="0.2">
      <c r="B55" s="138"/>
      <c r="C55" s="134"/>
      <c r="D55" s="134"/>
      <c r="L55" s="276"/>
      <c r="M55" s="132"/>
      <c r="N55" s="132"/>
      <c r="O55" s="132"/>
      <c r="P55" s="132"/>
      <c r="Q55" s="132"/>
      <c r="R55" s="132"/>
      <c r="S55" s="132"/>
      <c r="T55" s="132"/>
      <c r="U55" s="132"/>
      <c r="V55" s="132"/>
      <c r="W55" s="132"/>
      <c r="X55" s="132"/>
      <c r="Y55" s="132"/>
      <c r="Z55" s="132"/>
      <c r="AA55" s="132"/>
      <c r="AB55" s="132"/>
    </row>
    <row r="56" spans="2:28" ht="14.25" customHeight="1" x14ac:dyDescent="0.2">
      <c r="B56" s="138"/>
      <c r="C56" s="134"/>
      <c r="D56" s="134"/>
      <c r="L56" s="276"/>
      <c r="M56" s="132"/>
      <c r="N56" s="132"/>
      <c r="O56" s="132"/>
      <c r="P56" s="132"/>
      <c r="Q56" s="132"/>
      <c r="R56" s="132"/>
      <c r="S56" s="132"/>
      <c r="T56" s="132"/>
      <c r="U56" s="132"/>
      <c r="V56" s="132"/>
      <c r="W56" s="132"/>
      <c r="X56" s="132"/>
      <c r="Y56" s="132"/>
      <c r="Z56" s="132"/>
      <c r="AA56" s="132"/>
      <c r="AB56" s="132"/>
    </row>
    <row r="57" spans="2:28" ht="14.25" customHeight="1" x14ac:dyDescent="0.2">
      <c r="B57" s="138"/>
      <c r="C57" s="134"/>
      <c r="D57" s="134"/>
      <c r="L57" s="276"/>
      <c r="M57" s="132"/>
      <c r="N57" s="132"/>
      <c r="O57" s="132"/>
      <c r="P57" s="132"/>
      <c r="Q57" s="132"/>
      <c r="R57" s="132"/>
      <c r="S57" s="132"/>
      <c r="T57" s="132"/>
      <c r="U57" s="132"/>
      <c r="V57" s="132"/>
      <c r="W57" s="132"/>
      <c r="X57" s="132"/>
      <c r="Y57" s="132"/>
      <c r="Z57" s="132"/>
      <c r="AA57" s="132"/>
      <c r="AB57" s="132"/>
    </row>
    <row r="58" spans="2:28" ht="14.25" customHeight="1" x14ac:dyDescent="0.2">
      <c r="B58" s="138"/>
      <c r="C58" s="134"/>
      <c r="D58" s="134"/>
      <c r="L58" s="276"/>
      <c r="M58" s="132"/>
      <c r="N58" s="132"/>
      <c r="O58" s="132"/>
      <c r="P58" s="132"/>
      <c r="Q58" s="132"/>
      <c r="R58" s="132"/>
      <c r="S58" s="132"/>
      <c r="T58" s="132"/>
      <c r="U58" s="132"/>
      <c r="V58" s="132"/>
      <c r="W58" s="132"/>
      <c r="X58" s="132"/>
      <c r="Y58" s="132"/>
      <c r="Z58" s="132"/>
      <c r="AA58" s="132"/>
      <c r="AB58" s="132"/>
    </row>
    <row r="59" spans="2:28" ht="14.25" customHeight="1" x14ac:dyDescent="0.2">
      <c r="B59" s="138"/>
      <c r="C59" s="134"/>
      <c r="D59" s="134"/>
      <c r="L59" s="276"/>
      <c r="M59" s="132"/>
      <c r="N59" s="132"/>
      <c r="O59" s="132"/>
      <c r="P59" s="132"/>
      <c r="Q59" s="132"/>
      <c r="R59" s="132"/>
      <c r="S59" s="132"/>
      <c r="T59" s="132"/>
      <c r="U59" s="132"/>
      <c r="V59" s="132"/>
      <c r="W59" s="132"/>
      <c r="X59" s="132"/>
      <c r="Y59" s="132"/>
      <c r="Z59" s="132"/>
      <c r="AA59" s="132"/>
      <c r="AB59" s="132"/>
    </row>
    <row r="60" spans="2:28" ht="14.25" customHeight="1" x14ac:dyDescent="0.2">
      <c r="B60" s="138"/>
      <c r="C60" s="134"/>
      <c r="D60" s="134"/>
      <c r="L60" s="276"/>
      <c r="M60" s="132"/>
      <c r="N60" s="132"/>
      <c r="O60" s="132"/>
      <c r="P60" s="132"/>
      <c r="Q60" s="132"/>
      <c r="R60" s="132"/>
      <c r="S60" s="132"/>
      <c r="T60" s="132"/>
      <c r="U60" s="132"/>
      <c r="V60" s="132"/>
      <c r="W60" s="132"/>
      <c r="X60" s="132"/>
      <c r="Y60" s="132"/>
      <c r="Z60" s="132"/>
      <c r="AA60" s="132"/>
      <c r="AB60" s="132"/>
    </row>
    <row r="61" spans="2:28" ht="14.25" customHeight="1" x14ac:dyDescent="0.2">
      <c r="B61" s="138"/>
      <c r="C61" s="134"/>
      <c r="D61" s="134"/>
      <c r="L61" s="276"/>
      <c r="M61" s="132"/>
      <c r="N61" s="132"/>
      <c r="O61" s="132"/>
      <c r="P61" s="132"/>
      <c r="Q61" s="132"/>
      <c r="R61" s="132"/>
      <c r="S61" s="132"/>
      <c r="T61" s="132"/>
      <c r="U61" s="132"/>
      <c r="V61" s="132"/>
      <c r="W61" s="132"/>
      <c r="X61" s="132"/>
      <c r="Y61" s="132"/>
      <c r="Z61" s="132"/>
      <c r="AA61" s="132"/>
      <c r="AB61" s="132"/>
    </row>
    <row r="62" spans="2:28" ht="14.25" customHeight="1" x14ac:dyDescent="0.2">
      <c r="B62" s="138"/>
      <c r="C62" s="134"/>
      <c r="D62" s="134"/>
      <c r="L62" s="276"/>
      <c r="M62" s="132"/>
      <c r="N62" s="132"/>
      <c r="O62" s="132"/>
      <c r="P62" s="132"/>
      <c r="Q62" s="132"/>
      <c r="R62" s="132"/>
      <c r="S62" s="132"/>
      <c r="T62" s="132"/>
      <c r="U62" s="132"/>
      <c r="V62" s="132"/>
      <c r="W62" s="132"/>
      <c r="X62" s="132"/>
      <c r="Y62" s="132"/>
      <c r="Z62" s="132"/>
      <c r="AA62" s="132"/>
      <c r="AB62" s="132"/>
    </row>
    <row r="63" spans="2:28" ht="14.25" customHeight="1" x14ac:dyDescent="0.2">
      <c r="B63" s="138"/>
      <c r="C63" s="134"/>
      <c r="D63" s="134"/>
      <c r="L63" s="276"/>
      <c r="M63" s="132"/>
      <c r="N63" s="132"/>
      <c r="O63" s="132"/>
      <c r="P63" s="132"/>
      <c r="Q63" s="132"/>
      <c r="R63" s="132"/>
      <c r="S63" s="132"/>
      <c r="T63" s="132"/>
      <c r="U63" s="132"/>
      <c r="V63" s="132"/>
      <c r="W63" s="132"/>
      <c r="X63" s="132"/>
      <c r="Y63" s="132"/>
      <c r="Z63" s="132"/>
      <c r="AA63" s="132"/>
      <c r="AB63" s="132"/>
    </row>
    <row r="64" spans="2:28" ht="14.25" customHeight="1" x14ac:dyDescent="0.2">
      <c r="B64" s="138"/>
      <c r="C64" s="134"/>
      <c r="D64" s="134"/>
      <c r="L64" s="276"/>
      <c r="M64" s="132"/>
      <c r="N64" s="132"/>
      <c r="O64" s="132"/>
      <c r="P64" s="132"/>
      <c r="Q64" s="132"/>
      <c r="R64" s="132"/>
      <c r="S64" s="132"/>
      <c r="T64" s="132"/>
      <c r="U64" s="132"/>
      <c r="V64" s="132"/>
      <c r="W64" s="132"/>
      <c r="X64" s="132"/>
      <c r="Y64" s="132"/>
      <c r="Z64" s="132"/>
      <c r="AA64" s="132"/>
      <c r="AB64" s="132"/>
    </row>
    <row r="65" spans="2:28" x14ac:dyDescent="0.2">
      <c r="B65" s="138"/>
      <c r="C65" s="134"/>
      <c r="D65" s="134"/>
      <c r="L65" s="276"/>
      <c r="M65" s="132"/>
      <c r="N65" s="132"/>
      <c r="O65" s="132"/>
      <c r="P65" s="132"/>
      <c r="Q65" s="132"/>
      <c r="R65" s="132"/>
      <c r="S65" s="132"/>
      <c r="T65" s="132"/>
      <c r="U65" s="132"/>
      <c r="V65" s="132"/>
      <c r="W65" s="132"/>
      <c r="X65" s="132"/>
      <c r="Y65" s="132"/>
      <c r="Z65" s="132"/>
      <c r="AA65" s="132"/>
      <c r="AB65" s="132"/>
    </row>
    <row r="66" spans="2:28" x14ac:dyDescent="0.2">
      <c r="B66" s="138"/>
      <c r="C66" s="134"/>
      <c r="D66" s="134"/>
      <c r="L66" s="276"/>
      <c r="M66" s="132"/>
      <c r="N66" s="132"/>
      <c r="O66" s="132"/>
      <c r="P66" s="132"/>
      <c r="Q66" s="132"/>
      <c r="R66" s="132"/>
      <c r="S66" s="132"/>
      <c r="T66" s="132"/>
      <c r="U66" s="132"/>
      <c r="V66" s="132"/>
      <c r="W66" s="132"/>
      <c r="X66" s="132"/>
      <c r="Y66" s="132"/>
      <c r="Z66" s="132"/>
      <c r="AA66" s="132"/>
      <c r="AB66" s="132"/>
    </row>
    <row r="67" spans="2:28" x14ac:dyDescent="0.2">
      <c r="B67" s="138"/>
      <c r="C67" s="134"/>
      <c r="D67" s="134"/>
      <c r="L67" s="276"/>
      <c r="M67" s="132"/>
      <c r="N67" s="132"/>
      <c r="O67" s="132"/>
      <c r="P67" s="132"/>
      <c r="Q67" s="132"/>
      <c r="R67" s="132"/>
      <c r="S67" s="132"/>
      <c r="T67" s="132"/>
      <c r="U67" s="132"/>
      <c r="V67" s="132"/>
      <c r="W67" s="132"/>
      <c r="X67" s="132"/>
      <c r="Y67" s="132"/>
      <c r="Z67" s="132"/>
      <c r="AA67" s="132"/>
      <c r="AB67" s="132"/>
    </row>
    <row r="68" spans="2:28" x14ac:dyDescent="0.2">
      <c r="B68" s="138"/>
      <c r="C68" s="134"/>
      <c r="D68" s="134"/>
      <c r="L68" s="276"/>
      <c r="M68" s="132"/>
      <c r="N68" s="132"/>
      <c r="O68" s="132"/>
      <c r="P68" s="132"/>
      <c r="Q68" s="132"/>
      <c r="R68" s="132"/>
      <c r="S68" s="132"/>
      <c r="T68" s="132"/>
      <c r="U68" s="132"/>
      <c r="V68" s="132"/>
      <c r="W68" s="132"/>
      <c r="X68" s="132"/>
      <c r="Y68" s="132"/>
      <c r="Z68" s="132"/>
      <c r="AA68" s="132"/>
      <c r="AB68" s="132"/>
    </row>
    <row r="69" spans="2:28" x14ac:dyDescent="0.2">
      <c r="L69" s="276"/>
      <c r="M69" s="132"/>
      <c r="N69" s="132"/>
      <c r="O69" s="132"/>
      <c r="P69" s="132"/>
      <c r="Q69" s="132"/>
      <c r="R69" s="132"/>
      <c r="S69" s="132"/>
      <c r="T69" s="132"/>
      <c r="U69" s="132"/>
      <c r="V69" s="132"/>
      <c r="W69" s="132"/>
      <c r="X69" s="132"/>
      <c r="Y69" s="132"/>
      <c r="Z69" s="132"/>
      <c r="AA69" s="132"/>
      <c r="AB69" s="132"/>
    </row>
    <row r="70" spans="2:28" x14ac:dyDescent="0.2">
      <c r="L70" s="276"/>
      <c r="M70" s="132"/>
      <c r="N70" s="132"/>
      <c r="O70" s="132"/>
      <c r="P70" s="132"/>
      <c r="Q70" s="132"/>
      <c r="R70" s="132"/>
      <c r="S70" s="132"/>
      <c r="T70" s="132"/>
      <c r="U70" s="132"/>
      <c r="V70" s="132"/>
      <c r="W70" s="132"/>
      <c r="X70" s="132"/>
      <c r="Y70" s="132"/>
      <c r="Z70" s="132"/>
      <c r="AA70" s="132"/>
      <c r="AB70" s="132"/>
    </row>
    <row r="71" spans="2:28" x14ac:dyDescent="0.2">
      <c r="L71" s="276"/>
      <c r="M71" s="132"/>
      <c r="N71" s="132"/>
      <c r="O71" s="132"/>
      <c r="P71" s="132"/>
      <c r="Q71" s="132"/>
      <c r="R71" s="132"/>
      <c r="S71" s="132"/>
      <c r="T71" s="132"/>
      <c r="U71" s="132"/>
      <c r="V71" s="132"/>
      <c r="W71" s="132"/>
      <c r="X71" s="132"/>
      <c r="Y71" s="132"/>
      <c r="Z71" s="132"/>
      <c r="AA71" s="132"/>
      <c r="AB71" s="132"/>
    </row>
    <row r="72" spans="2:28" x14ac:dyDescent="0.2">
      <c r="L72" s="276"/>
      <c r="M72" s="132"/>
      <c r="N72" s="132"/>
      <c r="O72" s="132"/>
      <c r="P72" s="132"/>
      <c r="Q72" s="132"/>
      <c r="R72" s="132"/>
      <c r="S72" s="132"/>
      <c r="T72" s="132"/>
      <c r="U72" s="132"/>
      <c r="V72" s="132"/>
      <c r="W72" s="132"/>
      <c r="X72" s="132"/>
      <c r="Y72" s="132"/>
      <c r="Z72" s="132"/>
      <c r="AA72" s="132"/>
      <c r="AB72" s="132"/>
    </row>
    <row r="73" spans="2:28" x14ac:dyDescent="0.2">
      <c r="L73" s="276"/>
      <c r="M73" s="132"/>
      <c r="N73" s="132"/>
      <c r="O73" s="132"/>
      <c r="P73" s="132"/>
      <c r="Q73" s="132"/>
      <c r="R73" s="132"/>
      <c r="S73" s="132"/>
      <c r="T73" s="132"/>
      <c r="U73" s="132"/>
      <c r="V73" s="132"/>
      <c r="W73" s="132"/>
      <c r="X73" s="132"/>
      <c r="Y73" s="132"/>
      <c r="Z73" s="132"/>
      <c r="AA73" s="132"/>
      <c r="AB73" s="132"/>
    </row>
    <row r="74" spans="2:28" x14ac:dyDescent="0.2">
      <c r="L74" s="276"/>
      <c r="M74" s="132"/>
      <c r="N74" s="132"/>
      <c r="O74" s="132"/>
      <c r="P74" s="132"/>
      <c r="Q74" s="132"/>
      <c r="R74" s="132"/>
      <c r="S74" s="132"/>
      <c r="T74" s="132"/>
      <c r="U74" s="132"/>
      <c r="V74" s="132"/>
      <c r="W74" s="132"/>
      <c r="X74" s="132"/>
      <c r="Y74" s="132"/>
      <c r="Z74" s="132"/>
      <c r="AA74" s="132"/>
      <c r="AB74" s="132"/>
    </row>
    <row r="75" spans="2:28" x14ac:dyDescent="0.2">
      <c r="L75" s="276"/>
      <c r="M75" s="132"/>
      <c r="N75" s="132"/>
      <c r="O75" s="132"/>
      <c r="P75" s="132"/>
      <c r="Q75" s="132"/>
      <c r="R75" s="132"/>
      <c r="S75" s="132"/>
      <c r="T75" s="139"/>
      <c r="U75" s="132"/>
      <c r="V75" s="132"/>
      <c r="W75" s="132"/>
      <c r="X75" s="132"/>
      <c r="Y75" s="132"/>
      <c r="Z75" s="132"/>
      <c r="AA75" s="132"/>
      <c r="AB75" s="132"/>
    </row>
    <row r="76" spans="2:28" x14ac:dyDescent="0.2">
      <c r="L76" s="276"/>
      <c r="M76" s="132"/>
      <c r="N76" s="132"/>
      <c r="O76" s="132"/>
      <c r="P76" s="132"/>
      <c r="Q76" s="132"/>
      <c r="R76" s="132"/>
      <c r="S76" s="132"/>
      <c r="T76" s="134"/>
      <c r="U76" s="132"/>
      <c r="V76" s="132"/>
      <c r="W76" s="132"/>
      <c r="X76" s="132"/>
      <c r="Y76" s="132"/>
      <c r="Z76" s="132"/>
      <c r="AA76" s="132"/>
      <c r="AB76" s="132"/>
    </row>
    <row r="77" spans="2:28" x14ac:dyDescent="0.2">
      <c r="L77" s="276"/>
      <c r="M77" s="132"/>
      <c r="N77" s="132"/>
      <c r="O77" s="132"/>
      <c r="P77" s="132"/>
      <c r="Q77" s="132"/>
      <c r="R77" s="132"/>
      <c r="S77" s="132"/>
      <c r="T77" s="132"/>
      <c r="U77" s="132"/>
      <c r="V77" s="132"/>
      <c r="W77" s="132"/>
      <c r="X77" s="132"/>
      <c r="Y77" s="132"/>
      <c r="Z77" s="132"/>
      <c r="AA77" s="132"/>
      <c r="AB77" s="132"/>
    </row>
    <row r="78" spans="2:28" x14ac:dyDescent="0.2">
      <c r="L78" s="276"/>
      <c r="M78" s="132"/>
      <c r="N78" s="132"/>
      <c r="O78" s="132"/>
      <c r="P78" s="132"/>
      <c r="Q78" s="132"/>
      <c r="R78" s="132"/>
      <c r="S78" s="132"/>
      <c r="T78" s="132"/>
      <c r="U78" s="132"/>
      <c r="V78" s="132"/>
      <c r="W78" s="132"/>
      <c r="X78" s="132"/>
      <c r="Y78" s="132"/>
      <c r="Z78" s="132"/>
      <c r="AA78" s="132"/>
      <c r="AB78" s="132"/>
    </row>
    <row r="79" spans="2:28" x14ac:dyDescent="0.2">
      <c r="L79" s="276"/>
      <c r="M79" s="132"/>
      <c r="N79" s="132"/>
      <c r="O79" s="132"/>
      <c r="P79" s="132"/>
      <c r="Q79" s="132"/>
      <c r="R79" s="132"/>
      <c r="S79" s="132"/>
      <c r="T79" s="132"/>
      <c r="U79" s="132"/>
      <c r="V79" s="132"/>
      <c r="W79" s="132"/>
      <c r="X79" s="132"/>
      <c r="Y79" s="132"/>
      <c r="Z79" s="132"/>
      <c r="AA79" s="132"/>
      <c r="AB79" s="132"/>
    </row>
    <row r="80" spans="2:28" x14ac:dyDescent="0.2">
      <c r="L80" s="276"/>
      <c r="M80" s="132"/>
      <c r="N80" s="132"/>
      <c r="O80" s="132"/>
      <c r="P80" s="132"/>
      <c r="Q80" s="132"/>
      <c r="R80" s="132"/>
      <c r="S80" s="132"/>
      <c r="T80" s="132"/>
      <c r="U80" s="132"/>
      <c r="V80" s="132"/>
      <c r="W80" s="132"/>
      <c r="X80" s="132"/>
      <c r="Y80" s="132"/>
      <c r="Z80" s="132"/>
      <c r="AA80" s="132"/>
      <c r="AB80" s="132"/>
    </row>
    <row r="81" spans="2:28" x14ac:dyDescent="0.2">
      <c r="L81" s="276"/>
      <c r="M81" s="132"/>
      <c r="N81" s="140"/>
      <c r="O81" s="132"/>
      <c r="P81" s="132"/>
      <c r="Q81" s="132"/>
      <c r="R81" s="132"/>
      <c r="S81" s="132"/>
      <c r="T81" s="132"/>
      <c r="U81" s="132"/>
      <c r="V81" s="132"/>
      <c r="W81" s="132"/>
      <c r="X81" s="132"/>
      <c r="Y81" s="132"/>
      <c r="Z81" s="132"/>
      <c r="AA81" s="132"/>
      <c r="AB81" s="132"/>
    </row>
    <row r="82" spans="2:28" x14ac:dyDescent="0.2">
      <c r="L82" s="276"/>
      <c r="M82" s="132"/>
      <c r="N82" s="140"/>
      <c r="O82" s="132"/>
      <c r="P82" s="132"/>
      <c r="Q82" s="132"/>
      <c r="R82" s="132"/>
      <c r="S82" s="132"/>
      <c r="T82" s="132"/>
      <c r="U82" s="132"/>
      <c r="V82" s="132"/>
      <c r="W82" s="132"/>
      <c r="X82" s="132"/>
      <c r="Y82" s="132"/>
      <c r="Z82" s="132"/>
      <c r="AA82" s="132"/>
      <c r="AB82" s="132"/>
    </row>
    <row r="83" spans="2:28" x14ac:dyDescent="0.2">
      <c r="L83" s="276"/>
      <c r="M83" s="132"/>
      <c r="N83" s="140"/>
      <c r="O83" s="132"/>
      <c r="P83" s="132"/>
      <c r="Q83" s="132"/>
      <c r="R83" s="132"/>
      <c r="S83" s="132"/>
      <c r="T83" s="132"/>
      <c r="U83" s="132"/>
      <c r="V83" s="132"/>
      <c r="W83" s="132"/>
      <c r="X83" s="132"/>
      <c r="Y83" s="132"/>
      <c r="Z83" s="132"/>
      <c r="AA83" s="132"/>
      <c r="AB83" s="132"/>
    </row>
    <row r="84" spans="2:28" x14ac:dyDescent="0.2">
      <c r="L84" s="276"/>
      <c r="M84" s="132"/>
      <c r="N84" s="132"/>
      <c r="O84" s="132"/>
      <c r="P84" s="132"/>
      <c r="Q84" s="132"/>
      <c r="R84" s="132"/>
      <c r="S84" s="132"/>
      <c r="T84" s="132"/>
      <c r="U84" s="132"/>
      <c r="V84" s="132"/>
      <c r="W84" s="132"/>
      <c r="X84" s="132"/>
      <c r="Y84" s="132"/>
      <c r="Z84" s="132"/>
      <c r="AA84" s="132"/>
      <c r="AB84" s="132"/>
    </row>
    <row r="85" spans="2:28" ht="15" x14ac:dyDescent="0.25">
      <c r="B85" s="271" t="s">
        <v>5170</v>
      </c>
      <c r="C85" s="128"/>
      <c r="D85" s="128"/>
      <c r="E85" s="128"/>
      <c r="F85" s="128"/>
      <c r="G85" s="128"/>
      <c r="H85" s="128"/>
      <c r="I85" s="128"/>
      <c r="J85" s="128"/>
      <c r="L85" s="276"/>
      <c r="M85" s="271" t="s">
        <v>5168</v>
      </c>
      <c r="N85" s="271"/>
      <c r="O85" s="271"/>
      <c r="P85" s="271"/>
      <c r="Q85" s="271"/>
      <c r="R85" s="271"/>
      <c r="S85" s="271"/>
      <c r="T85" s="271"/>
      <c r="U85" s="271"/>
      <c r="V85" s="271"/>
      <c r="W85" s="271"/>
      <c r="X85" s="271"/>
      <c r="Y85" s="271"/>
      <c r="Z85" s="132"/>
      <c r="AA85" s="132"/>
      <c r="AB85" s="132"/>
    </row>
    <row r="86" spans="2:28" x14ac:dyDescent="0.2">
      <c r="L86" s="276"/>
      <c r="M86" s="132"/>
      <c r="N86" s="132"/>
      <c r="O86" s="132"/>
      <c r="P86" s="132"/>
      <c r="Q86" s="132"/>
      <c r="R86" s="132"/>
      <c r="S86" s="132"/>
      <c r="T86" s="132"/>
      <c r="U86" s="132"/>
      <c r="V86" s="132"/>
      <c r="W86" s="132"/>
      <c r="X86" s="132"/>
      <c r="Y86" s="132"/>
      <c r="Z86" s="132"/>
      <c r="AA86" s="132"/>
      <c r="AB86" s="132"/>
    </row>
    <row r="87" spans="2:28" x14ac:dyDescent="0.2">
      <c r="L87" s="276"/>
      <c r="M87" s="132"/>
      <c r="N87" s="132"/>
      <c r="O87" s="132"/>
      <c r="P87" s="132"/>
      <c r="Q87" s="132"/>
      <c r="R87" s="132"/>
      <c r="S87" s="132"/>
      <c r="T87" s="132"/>
      <c r="U87" s="132"/>
      <c r="V87" s="132"/>
      <c r="W87" s="132"/>
      <c r="X87" s="132"/>
      <c r="Y87" s="132"/>
      <c r="Z87" s="132"/>
      <c r="AA87" s="132"/>
      <c r="AB87" s="132"/>
    </row>
    <row r="88" spans="2:28" x14ac:dyDescent="0.2">
      <c r="L88" s="276"/>
      <c r="M88" s="132"/>
      <c r="N88" s="132"/>
      <c r="O88" s="132"/>
      <c r="P88" s="132"/>
      <c r="Q88" s="132"/>
      <c r="R88" s="132"/>
      <c r="S88" s="132"/>
      <c r="T88" s="132"/>
      <c r="U88" s="132"/>
      <c r="V88" s="132"/>
      <c r="W88" s="132"/>
      <c r="X88" s="132"/>
      <c r="Y88" s="132"/>
      <c r="Z88" s="132"/>
      <c r="AA88" s="132"/>
      <c r="AB88" s="132"/>
    </row>
    <row r="89" spans="2:28" x14ac:dyDescent="0.2">
      <c r="L89" s="276"/>
      <c r="M89" s="132"/>
      <c r="N89" s="132"/>
      <c r="O89" s="132"/>
      <c r="P89" s="132"/>
      <c r="Q89" s="132"/>
      <c r="R89" s="132"/>
      <c r="S89" s="132"/>
      <c r="T89" s="132"/>
      <c r="U89" s="132"/>
      <c r="V89" s="132"/>
      <c r="W89" s="132"/>
      <c r="X89" s="132"/>
      <c r="Y89" s="132"/>
      <c r="Z89" s="132"/>
      <c r="AA89" s="132"/>
      <c r="AB89" s="132"/>
    </row>
    <row r="90" spans="2:28" x14ac:dyDescent="0.2">
      <c r="L90" s="276"/>
      <c r="M90" s="132"/>
      <c r="N90" s="132"/>
      <c r="O90" s="132"/>
      <c r="P90" s="132"/>
      <c r="Q90" s="132"/>
      <c r="R90" s="132"/>
      <c r="S90" s="132"/>
      <c r="T90" s="132"/>
      <c r="U90" s="132"/>
      <c r="V90" s="132"/>
      <c r="W90" s="132"/>
      <c r="X90" s="132"/>
      <c r="Y90" s="132"/>
      <c r="Z90" s="132"/>
      <c r="AA90" s="132"/>
      <c r="AB90" s="132"/>
    </row>
    <row r="91" spans="2:28" x14ac:dyDescent="0.2">
      <c r="L91" s="276"/>
      <c r="M91" s="132"/>
      <c r="N91" s="132"/>
      <c r="O91" s="132"/>
      <c r="P91" s="132"/>
      <c r="Q91" s="132"/>
      <c r="R91" s="132"/>
      <c r="S91" s="132"/>
      <c r="T91" s="132"/>
      <c r="U91" s="132"/>
      <c r="V91" s="132"/>
      <c r="W91" s="132"/>
      <c r="X91" s="132"/>
      <c r="Y91" s="132"/>
      <c r="Z91" s="132"/>
      <c r="AA91" s="132"/>
      <c r="AB91" s="132"/>
    </row>
    <row r="92" spans="2:28" x14ac:dyDescent="0.2">
      <c r="L92" s="276"/>
      <c r="M92" s="132"/>
      <c r="N92" s="132"/>
      <c r="O92" s="132"/>
      <c r="P92" s="132"/>
      <c r="Q92" s="132"/>
      <c r="R92" s="132"/>
      <c r="S92" s="132"/>
      <c r="T92" s="132"/>
      <c r="U92" s="132"/>
      <c r="V92" s="132"/>
      <c r="W92" s="132"/>
      <c r="X92" s="132"/>
      <c r="Y92" s="132"/>
      <c r="Z92" s="132"/>
      <c r="AA92" s="132"/>
      <c r="AB92" s="132"/>
    </row>
    <row r="93" spans="2:28" x14ac:dyDescent="0.2">
      <c r="L93" s="276"/>
      <c r="M93" s="132"/>
      <c r="N93" s="132"/>
      <c r="O93" s="132"/>
      <c r="P93" s="132"/>
      <c r="Q93" s="132"/>
      <c r="R93" s="132"/>
      <c r="S93" s="132"/>
      <c r="T93" s="132"/>
      <c r="U93" s="132"/>
      <c r="V93" s="132"/>
      <c r="W93" s="132"/>
      <c r="X93" s="132"/>
      <c r="Y93" s="132"/>
      <c r="Z93" s="132"/>
      <c r="AA93" s="132"/>
      <c r="AB93" s="132"/>
    </row>
    <row r="94" spans="2:28" x14ac:dyDescent="0.2">
      <c r="L94" s="276"/>
      <c r="M94" s="132"/>
      <c r="N94" s="132"/>
      <c r="O94" s="132"/>
      <c r="P94" s="132"/>
      <c r="Q94" s="132"/>
      <c r="R94" s="132"/>
      <c r="S94" s="132"/>
      <c r="T94" s="132"/>
      <c r="U94" s="132"/>
      <c r="V94" s="132"/>
      <c r="W94" s="132"/>
      <c r="X94" s="132"/>
      <c r="Y94" s="132"/>
      <c r="Z94" s="132"/>
      <c r="AA94" s="132"/>
      <c r="AB94" s="132"/>
    </row>
    <row r="95" spans="2:28" x14ac:dyDescent="0.2">
      <c r="L95" s="276"/>
      <c r="M95" s="132"/>
      <c r="N95" s="132"/>
      <c r="O95" s="132"/>
      <c r="P95" s="132"/>
      <c r="Q95" s="132"/>
      <c r="R95" s="132"/>
      <c r="S95" s="132"/>
      <c r="T95" s="132"/>
      <c r="U95" s="132"/>
      <c r="V95" s="132"/>
      <c r="W95" s="132"/>
      <c r="X95" s="132"/>
      <c r="Y95" s="132"/>
      <c r="Z95" s="132"/>
      <c r="AA95" s="132"/>
      <c r="AB95" s="132"/>
    </row>
    <row r="96" spans="2:28" x14ac:dyDescent="0.2">
      <c r="L96" s="276"/>
      <c r="M96" s="132"/>
      <c r="N96" s="132"/>
      <c r="O96" s="132"/>
      <c r="P96" s="132"/>
      <c r="Q96" s="132"/>
      <c r="R96" s="132"/>
      <c r="S96" s="132"/>
      <c r="T96" s="132"/>
      <c r="U96" s="132"/>
      <c r="V96" s="132"/>
      <c r="W96" s="132"/>
      <c r="X96" s="132"/>
      <c r="Y96" s="132"/>
      <c r="Z96" s="132"/>
      <c r="AA96" s="132"/>
      <c r="AB96" s="132"/>
    </row>
    <row r="97" spans="12:28" x14ac:dyDescent="0.2">
      <c r="L97" s="276"/>
      <c r="M97" s="132"/>
      <c r="N97" s="132"/>
      <c r="O97" s="132"/>
      <c r="P97" s="132"/>
      <c r="Q97" s="132"/>
      <c r="R97" s="132"/>
      <c r="S97" s="132"/>
      <c r="T97" s="132"/>
      <c r="U97" s="132"/>
      <c r="V97" s="132"/>
      <c r="W97" s="132"/>
      <c r="X97" s="132"/>
      <c r="Y97" s="132"/>
      <c r="Z97" s="132"/>
      <c r="AA97" s="132"/>
      <c r="AB97" s="132"/>
    </row>
    <row r="98" spans="12:28" x14ac:dyDescent="0.2">
      <c r="L98" s="276"/>
      <c r="M98" s="132"/>
      <c r="N98" s="132"/>
      <c r="O98" s="132"/>
      <c r="P98" s="132"/>
      <c r="Q98" s="132"/>
      <c r="R98" s="132"/>
      <c r="S98" s="132"/>
      <c r="T98" s="132"/>
      <c r="U98" s="132"/>
      <c r="V98" s="132"/>
      <c r="W98" s="132"/>
      <c r="X98" s="132"/>
      <c r="Y98" s="132"/>
      <c r="Z98" s="132"/>
      <c r="AA98" s="132"/>
      <c r="AB98" s="132"/>
    </row>
    <row r="99" spans="12:28" x14ac:dyDescent="0.2">
      <c r="L99" s="276"/>
      <c r="M99" s="132"/>
      <c r="N99" s="132"/>
      <c r="O99" s="132"/>
      <c r="P99" s="132"/>
      <c r="Q99" s="132"/>
      <c r="R99" s="132"/>
      <c r="S99" s="132"/>
      <c r="T99" s="132"/>
      <c r="U99" s="132"/>
      <c r="V99" s="132"/>
      <c r="W99" s="132"/>
      <c r="X99" s="132"/>
      <c r="Y99" s="132"/>
      <c r="Z99" s="132"/>
      <c r="AA99" s="132"/>
      <c r="AB99" s="132"/>
    </row>
    <row r="100" spans="12:28" x14ac:dyDescent="0.2">
      <c r="L100" s="276"/>
      <c r="M100" s="132"/>
      <c r="N100" s="132"/>
      <c r="O100" s="132"/>
      <c r="P100" s="132"/>
      <c r="Q100" s="132"/>
      <c r="R100" s="132"/>
      <c r="S100" s="132"/>
      <c r="T100" s="132"/>
      <c r="U100" s="132"/>
      <c r="V100" s="132"/>
      <c r="W100" s="132"/>
      <c r="X100" s="132"/>
      <c r="Y100" s="132"/>
      <c r="Z100" s="132"/>
      <c r="AA100" s="132"/>
      <c r="AB100" s="132"/>
    </row>
    <row r="101" spans="12:28" x14ac:dyDescent="0.2">
      <c r="L101" s="276"/>
      <c r="M101" s="132"/>
      <c r="N101" s="132"/>
      <c r="O101" s="132"/>
      <c r="P101" s="132"/>
      <c r="Q101" s="132"/>
      <c r="R101" s="132"/>
      <c r="S101" s="132"/>
      <c r="T101" s="132"/>
      <c r="U101" s="132"/>
      <c r="V101" s="132"/>
      <c r="W101" s="132"/>
      <c r="X101" s="132"/>
      <c r="Y101" s="132"/>
      <c r="Z101" s="132"/>
      <c r="AA101" s="132"/>
      <c r="AB101" s="132"/>
    </row>
    <row r="102" spans="12:28" x14ac:dyDescent="0.2">
      <c r="L102" s="276"/>
      <c r="M102" s="132"/>
      <c r="N102" s="132"/>
      <c r="O102" s="132"/>
      <c r="P102" s="132"/>
      <c r="Q102" s="132"/>
      <c r="R102" s="132"/>
      <c r="S102" s="132"/>
      <c r="T102" s="132"/>
      <c r="U102" s="132"/>
      <c r="V102" s="132"/>
      <c r="W102" s="132"/>
      <c r="X102" s="132"/>
      <c r="Y102" s="132"/>
      <c r="Z102" s="132"/>
      <c r="AA102" s="132"/>
      <c r="AB102" s="132"/>
    </row>
    <row r="103" spans="12:28" x14ac:dyDescent="0.2">
      <c r="L103" s="276"/>
      <c r="M103" s="132"/>
      <c r="N103" s="132"/>
      <c r="O103" s="132"/>
      <c r="P103" s="132"/>
      <c r="Q103" s="132"/>
      <c r="R103" s="132"/>
      <c r="S103" s="132"/>
      <c r="T103" s="132"/>
      <c r="U103" s="132"/>
      <c r="V103" s="132"/>
      <c r="W103" s="132"/>
      <c r="X103" s="132"/>
      <c r="Y103" s="132"/>
      <c r="Z103" s="132"/>
      <c r="AA103" s="132"/>
      <c r="AB103" s="132"/>
    </row>
    <row r="104" spans="12:28" x14ac:dyDescent="0.2">
      <c r="L104" s="276"/>
      <c r="M104" s="132"/>
      <c r="N104" s="132"/>
      <c r="O104" s="132"/>
      <c r="P104" s="132"/>
      <c r="Q104" s="132"/>
      <c r="R104" s="132"/>
      <c r="S104" s="132"/>
      <c r="T104" s="132"/>
      <c r="U104" s="132"/>
      <c r="V104" s="132"/>
      <c r="W104" s="132"/>
      <c r="X104" s="132"/>
      <c r="Y104" s="132"/>
      <c r="Z104" s="132"/>
      <c r="AA104" s="132"/>
      <c r="AB104" s="132"/>
    </row>
    <row r="105" spans="12:28" x14ac:dyDescent="0.2">
      <c r="L105" s="276"/>
      <c r="M105" s="132"/>
      <c r="N105" s="132"/>
      <c r="O105" s="132"/>
      <c r="P105" s="132"/>
      <c r="Q105" s="132"/>
      <c r="R105" s="132"/>
      <c r="S105" s="132"/>
      <c r="T105" s="132"/>
      <c r="U105" s="132"/>
      <c r="V105" s="132"/>
      <c r="W105" s="132"/>
      <c r="X105" s="132"/>
      <c r="Y105" s="132"/>
      <c r="Z105" s="132"/>
      <c r="AA105" s="132"/>
      <c r="AB105" s="132"/>
    </row>
    <row r="106" spans="12:28" x14ac:dyDescent="0.2">
      <c r="L106" s="276"/>
      <c r="M106" s="132"/>
      <c r="N106" s="132"/>
      <c r="O106" s="132"/>
      <c r="P106" s="132"/>
      <c r="Q106" s="132"/>
      <c r="R106" s="132"/>
      <c r="S106" s="132"/>
      <c r="T106" s="132"/>
      <c r="U106" s="132"/>
      <c r="V106" s="132"/>
      <c r="W106" s="132"/>
      <c r="X106" s="132"/>
      <c r="Y106" s="132"/>
      <c r="Z106" s="132"/>
      <c r="AA106" s="132"/>
      <c r="AB106" s="132"/>
    </row>
    <row r="107" spans="12:28" x14ac:dyDescent="0.2">
      <c r="L107" s="276"/>
      <c r="M107" s="132"/>
      <c r="N107" s="132"/>
      <c r="O107" s="132"/>
      <c r="P107" s="132"/>
      <c r="Q107" s="132"/>
      <c r="R107" s="132"/>
      <c r="S107" s="132"/>
      <c r="T107" s="132"/>
      <c r="U107" s="132"/>
      <c r="V107" s="132"/>
      <c r="W107" s="132"/>
      <c r="X107" s="132"/>
      <c r="Y107" s="132"/>
      <c r="Z107" s="132"/>
      <c r="AA107" s="132"/>
      <c r="AB107" s="132"/>
    </row>
    <row r="108" spans="12:28" x14ac:dyDescent="0.2">
      <c r="L108" s="276"/>
      <c r="M108" s="132"/>
      <c r="N108" s="132"/>
      <c r="O108" s="132"/>
      <c r="P108" s="132"/>
      <c r="Q108" s="132"/>
      <c r="R108" s="132"/>
      <c r="S108" s="132"/>
      <c r="T108" s="132"/>
      <c r="U108" s="132"/>
      <c r="V108" s="132"/>
      <c r="W108" s="132"/>
      <c r="X108" s="132"/>
      <c r="Y108" s="132"/>
      <c r="Z108" s="132"/>
      <c r="AA108" s="132"/>
      <c r="AB108" s="132"/>
    </row>
    <row r="109" spans="12:28" x14ac:dyDescent="0.2">
      <c r="L109" s="276"/>
      <c r="M109" s="132"/>
      <c r="N109" s="132"/>
      <c r="O109" s="132"/>
      <c r="P109" s="132"/>
      <c r="Q109" s="132"/>
      <c r="R109" s="132"/>
      <c r="S109" s="132"/>
      <c r="T109" s="132"/>
      <c r="U109" s="132"/>
      <c r="V109" s="132"/>
      <c r="W109" s="132"/>
      <c r="X109" s="132"/>
      <c r="Y109" s="132"/>
      <c r="Z109" s="132"/>
      <c r="AA109" s="132"/>
      <c r="AB109" s="132"/>
    </row>
    <row r="110" spans="12:28" x14ac:dyDescent="0.2">
      <c r="L110" s="276"/>
      <c r="M110" s="132"/>
      <c r="N110" s="132"/>
      <c r="O110" s="132"/>
      <c r="P110" s="132"/>
      <c r="Q110" s="132"/>
      <c r="R110" s="132"/>
      <c r="S110" s="132"/>
      <c r="T110" s="132"/>
      <c r="U110" s="132"/>
      <c r="V110" s="132"/>
      <c r="W110" s="132"/>
      <c r="X110" s="132"/>
      <c r="Y110" s="132"/>
      <c r="Z110" s="132"/>
      <c r="AA110" s="132"/>
      <c r="AB110" s="132"/>
    </row>
    <row r="111" spans="12:28" x14ac:dyDescent="0.2">
      <c r="L111" s="276"/>
      <c r="M111" s="132"/>
      <c r="N111" s="132"/>
      <c r="O111" s="132"/>
      <c r="P111" s="132"/>
      <c r="Q111" s="132"/>
      <c r="R111" s="132"/>
      <c r="S111" s="132"/>
      <c r="T111" s="132"/>
      <c r="U111" s="132"/>
      <c r="V111" s="132"/>
      <c r="W111" s="132"/>
      <c r="X111" s="132"/>
      <c r="Y111" s="132"/>
      <c r="Z111" s="132"/>
      <c r="AA111" s="132"/>
      <c r="AB111" s="132"/>
    </row>
    <row r="112" spans="12:28" x14ac:dyDescent="0.2">
      <c r="L112" s="276"/>
      <c r="M112" s="132"/>
      <c r="N112" s="132"/>
      <c r="O112" s="132"/>
      <c r="P112" s="132"/>
      <c r="Q112" s="132"/>
      <c r="R112" s="132"/>
      <c r="S112" s="132"/>
      <c r="T112" s="132"/>
      <c r="U112" s="132"/>
      <c r="V112" s="132"/>
      <c r="W112" s="132"/>
      <c r="X112" s="132"/>
      <c r="Y112" s="132"/>
      <c r="Z112" s="132"/>
      <c r="AA112" s="132"/>
      <c r="AB112" s="132"/>
    </row>
    <row r="113" spans="12:28" x14ac:dyDescent="0.2">
      <c r="L113" s="276"/>
      <c r="M113" s="132"/>
      <c r="N113" s="132"/>
      <c r="O113" s="132"/>
      <c r="P113" s="132"/>
      <c r="Q113" s="132"/>
      <c r="R113" s="132"/>
      <c r="S113" s="132"/>
      <c r="T113" s="132"/>
      <c r="U113" s="132"/>
      <c r="V113" s="132"/>
      <c r="W113" s="132"/>
      <c r="X113" s="132"/>
      <c r="Y113" s="132"/>
      <c r="Z113" s="132"/>
      <c r="AA113" s="132"/>
      <c r="AB113" s="132"/>
    </row>
    <row r="114" spans="12:28" x14ac:dyDescent="0.2">
      <c r="L114" s="276"/>
      <c r="M114" s="132"/>
      <c r="N114" s="132"/>
      <c r="O114" s="132"/>
      <c r="P114" s="132"/>
      <c r="Q114" s="132"/>
      <c r="R114" s="132"/>
      <c r="S114" s="132"/>
      <c r="T114" s="132"/>
      <c r="U114" s="132"/>
      <c r="V114" s="132"/>
      <c r="W114" s="132"/>
      <c r="X114" s="132"/>
      <c r="Y114" s="132"/>
      <c r="Z114" s="132"/>
      <c r="AA114" s="132"/>
      <c r="AB114" s="132"/>
    </row>
    <row r="115" spans="12:28" x14ac:dyDescent="0.2">
      <c r="L115" s="276"/>
      <c r="M115" s="132"/>
      <c r="N115" s="132"/>
      <c r="O115" s="132"/>
      <c r="P115" s="132"/>
      <c r="Q115" s="132"/>
      <c r="R115" s="132"/>
      <c r="S115" s="132"/>
      <c r="T115" s="132"/>
      <c r="U115" s="132"/>
      <c r="V115" s="132"/>
      <c r="W115" s="132"/>
      <c r="X115" s="132"/>
      <c r="Y115" s="132"/>
      <c r="Z115" s="132"/>
      <c r="AA115" s="132"/>
      <c r="AB115" s="132"/>
    </row>
    <row r="116" spans="12:28" x14ac:dyDescent="0.2">
      <c r="L116" s="276"/>
      <c r="M116" s="132"/>
      <c r="N116" s="132"/>
      <c r="O116" s="132"/>
      <c r="P116" s="132"/>
      <c r="Q116" s="132"/>
      <c r="R116" s="132"/>
      <c r="S116" s="132"/>
      <c r="T116" s="132"/>
      <c r="U116" s="132"/>
      <c r="V116" s="132"/>
      <c r="W116" s="132"/>
      <c r="X116" s="132"/>
      <c r="Y116" s="132"/>
      <c r="Z116" s="132"/>
      <c r="AA116" s="132"/>
      <c r="AB116" s="132"/>
    </row>
    <row r="117" spans="12:28" x14ac:dyDescent="0.2">
      <c r="L117" s="276"/>
      <c r="M117" s="132"/>
      <c r="N117" s="132"/>
      <c r="O117" s="132"/>
      <c r="P117" s="132"/>
      <c r="Q117" s="132"/>
      <c r="R117" s="132"/>
      <c r="S117" s="132"/>
      <c r="T117" s="132"/>
      <c r="U117" s="132"/>
      <c r="V117" s="132"/>
      <c r="W117" s="132"/>
      <c r="X117" s="132"/>
      <c r="Y117" s="132"/>
      <c r="Z117" s="132"/>
      <c r="AA117" s="132"/>
      <c r="AB117" s="132"/>
    </row>
    <row r="118" spans="12:28" x14ac:dyDescent="0.2">
      <c r="L118" s="276"/>
      <c r="M118" s="132"/>
      <c r="N118" s="132"/>
      <c r="O118" s="132"/>
      <c r="P118" s="132"/>
      <c r="Q118" s="132"/>
      <c r="R118" s="132"/>
      <c r="S118" s="132"/>
      <c r="T118" s="132"/>
      <c r="U118" s="132"/>
      <c r="V118" s="132"/>
      <c r="W118" s="132"/>
      <c r="X118" s="132"/>
      <c r="Y118" s="132"/>
      <c r="Z118" s="132"/>
      <c r="AA118" s="132"/>
      <c r="AB118" s="132"/>
    </row>
    <row r="119" spans="12:28" x14ac:dyDescent="0.2">
      <c r="L119" s="276"/>
      <c r="M119" s="132"/>
      <c r="N119" s="132"/>
      <c r="O119" s="132"/>
      <c r="P119" s="132"/>
      <c r="Q119" s="132"/>
      <c r="R119" s="132"/>
      <c r="S119" s="132"/>
      <c r="T119" s="132"/>
      <c r="U119" s="132"/>
      <c r="V119" s="132"/>
      <c r="W119" s="132"/>
      <c r="X119" s="132"/>
      <c r="Y119" s="132"/>
      <c r="Z119" s="132"/>
      <c r="AA119" s="132"/>
      <c r="AB119" s="132"/>
    </row>
    <row r="120" spans="12:28" x14ac:dyDescent="0.2">
      <c r="L120" s="276"/>
      <c r="M120" s="132"/>
      <c r="N120" s="132"/>
      <c r="O120" s="132"/>
      <c r="P120" s="132"/>
      <c r="Q120" s="132"/>
      <c r="R120" s="132"/>
      <c r="S120" s="132"/>
      <c r="T120" s="132"/>
      <c r="U120" s="132"/>
      <c r="V120" s="132"/>
      <c r="W120" s="132"/>
      <c r="X120" s="132"/>
      <c r="Y120" s="132"/>
      <c r="Z120" s="132"/>
      <c r="AA120" s="132"/>
      <c r="AB120" s="132"/>
    </row>
    <row r="121" spans="12:28" x14ac:dyDescent="0.2">
      <c r="L121" s="276"/>
      <c r="M121" s="132"/>
      <c r="N121" s="132"/>
      <c r="O121" s="132"/>
      <c r="P121" s="132"/>
      <c r="Q121" s="132"/>
      <c r="R121" s="132"/>
      <c r="S121" s="132"/>
      <c r="T121" s="132"/>
      <c r="U121" s="132"/>
      <c r="V121" s="132"/>
      <c r="W121" s="132"/>
      <c r="X121" s="132"/>
      <c r="Y121" s="132"/>
      <c r="Z121" s="132"/>
      <c r="AA121" s="132"/>
      <c r="AB121" s="132"/>
    </row>
    <row r="122" spans="12:28" x14ac:dyDescent="0.2">
      <c r="L122" s="276"/>
      <c r="M122" s="132"/>
      <c r="N122" s="132"/>
      <c r="O122" s="132"/>
      <c r="P122" s="132"/>
      <c r="Q122" s="132"/>
      <c r="R122" s="132"/>
      <c r="S122" s="132"/>
      <c r="T122" s="132"/>
      <c r="U122" s="132"/>
      <c r="V122" s="132"/>
      <c r="W122" s="132"/>
      <c r="X122" s="132"/>
      <c r="Y122" s="132"/>
      <c r="Z122" s="132"/>
      <c r="AA122" s="132"/>
      <c r="AB122" s="132"/>
    </row>
    <row r="123" spans="12:28" x14ac:dyDescent="0.2">
      <c r="L123" s="276"/>
      <c r="M123" s="132"/>
      <c r="N123" s="132"/>
      <c r="O123" s="132"/>
      <c r="P123" s="132"/>
      <c r="Q123" s="132"/>
      <c r="R123" s="132"/>
      <c r="S123" s="132"/>
      <c r="T123" s="132"/>
      <c r="U123" s="132"/>
      <c r="V123" s="132"/>
      <c r="W123" s="132"/>
      <c r="X123" s="132"/>
      <c r="Y123" s="132"/>
      <c r="Z123" s="132"/>
      <c r="AA123" s="132"/>
      <c r="AB123" s="132"/>
    </row>
    <row r="124" spans="12:28" x14ac:dyDescent="0.2">
      <c r="L124" s="276"/>
      <c r="M124" s="132"/>
      <c r="N124" s="132"/>
      <c r="O124" s="132"/>
      <c r="P124" s="132"/>
      <c r="Q124" s="132"/>
      <c r="R124" s="132"/>
      <c r="S124" s="132"/>
      <c r="T124" s="132"/>
      <c r="U124" s="132"/>
      <c r="V124" s="132"/>
      <c r="W124" s="132"/>
      <c r="X124" s="132"/>
      <c r="Y124" s="132"/>
      <c r="Z124" s="132"/>
      <c r="AA124" s="132"/>
      <c r="AB124" s="132"/>
    </row>
    <row r="125" spans="12:28" x14ac:dyDescent="0.2">
      <c r="L125" s="276"/>
      <c r="M125" s="132"/>
      <c r="N125" s="132"/>
      <c r="O125" s="132"/>
      <c r="P125" s="132"/>
      <c r="Q125" s="132"/>
      <c r="R125" s="132"/>
      <c r="S125" s="132"/>
      <c r="T125" s="132"/>
      <c r="U125" s="132"/>
      <c r="V125" s="132"/>
      <c r="W125" s="132"/>
      <c r="X125" s="132"/>
      <c r="Y125" s="132"/>
      <c r="Z125" s="132"/>
      <c r="AA125" s="132"/>
      <c r="AB125" s="132"/>
    </row>
    <row r="126" spans="12:28" x14ac:dyDescent="0.2">
      <c r="L126" s="276"/>
      <c r="M126" s="132"/>
      <c r="N126" s="132"/>
      <c r="O126" s="132"/>
      <c r="P126" s="132"/>
      <c r="Q126" s="132"/>
      <c r="R126" s="132"/>
      <c r="S126" s="132"/>
      <c r="T126" s="132"/>
      <c r="U126" s="132"/>
      <c r="V126" s="132"/>
      <c r="W126" s="132"/>
      <c r="X126" s="132"/>
      <c r="Y126" s="132"/>
      <c r="Z126" s="132"/>
      <c r="AA126" s="132"/>
      <c r="AB126" s="132"/>
    </row>
    <row r="127" spans="12:28" x14ac:dyDescent="0.2">
      <c r="L127" s="276"/>
      <c r="M127" s="132"/>
      <c r="N127" s="132"/>
      <c r="O127" s="132"/>
      <c r="P127" s="132"/>
      <c r="Q127" s="132"/>
      <c r="R127" s="132"/>
      <c r="S127" s="132"/>
      <c r="T127" s="132"/>
      <c r="U127" s="132"/>
      <c r="V127" s="132"/>
      <c r="W127" s="132"/>
      <c r="X127" s="132"/>
      <c r="Y127" s="132"/>
      <c r="Z127" s="132"/>
      <c r="AA127" s="132"/>
      <c r="AB127" s="132"/>
    </row>
    <row r="128" spans="12:28" x14ac:dyDescent="0.2">
      <c r="L128" s="276"/>
      <c r="M128" s="132"/>
      <c r="N128" s="132"/>
      <c r="O128" s="132"/>
      <c r="P128" s="132"/>
      <c r="Q128" s="132"/>
      <c r="R128" s="132"/>
      <c r="S128" s="132"/>
      <c r="T128" s="132"/>
      <c r="U128" s="132"/>
      <c r="V128" s="132"/>
      <c r="W128" s="132"/>
      <c r="X128" s="132"/>
      <c r="Y128" s="132"/>
      <c r="Z128" s="132"/>
      <c r="AA128" s="132"/>
      <c r="AB128" s="132"/>
    </row>
    <row r="129" spans="1:28" x14ac:dyDescent="0.2">
      <c r="L129" s="276"/>
      <c r="M129" s="132"/>
      <c r="N129" s="132"/>
      <c r="O129" s="132"/>
      <c r="P129" s="132"/>
      <c r="Q129" s="132"/>
      <c r="R129" s="132"/>
      <c r="S129" s="132"/>
      <c r="T129" s="132"/>
      <c r="U129" s="132"/>
      <c r="V129" s="132"/>
      <c r="W129" s="132"/>
      <c r="X129" s="132"/>
      <c r="Y129" s="132"/>
      <c r="Z129" s="132"/>
      <c r="AA129" s="132"/>
      <c r="AB129" s="132"/>
    </row>
    <row r="130" spans="1:28" x14ac:dyDescent="0.2">
      <c r="L130" s="276"/>
      <c r="M130" s="132"/>
      <c r="N130" s="132"/>
      <c r="O130" s="132"/>
      <c r="P130" s="132"/>
      <c r="Q130" s="132"/>
      <c r="R130" s="132"/>
      <c r="S130" s="132"/>
      <c r="T130" s="132"/>
      <c r="U130" s="132"/>
      <c r="V130" s="132"/>
      <c r="W130" s="132"/>
      <c r="X130" s="132"/>
      <c r="Y130" s="132"/>
      <c r="Z130" s="132"/>
      <c r="AA130" s="132"/>
      <c r="AB130" s="132"/>
    </row>
    <row r="131" spans="1:28" x14ac:dyDescent="0.2">
      <c r="L131" s="276"/>
      <c r="M131" s="132"/>
      <c r="N131" s="132"/>
      <c r="O131" s="132"/>
      <c r="P131" s="132"/>
      <c r="Q131" s="132"/>
      <c r="R131" s="132"/>
      <c r="S131" s="132"/>
      <c r="T131" s="132"/>
      <c r="U131" s="132"/>
      <c r="V131" s="132"/>
      <c r="W131" s="132"/>
      <c r="X131" s="132"/>
      <c r="Y131" s="132"/>
      <c r="Z131" s="132"/>
      <c r="AA131" s="132"/>
      <c r="AB131" s="132"/>
    </row>
    <row r="132" spans="1:28" ht="36" customHeight="1" x14ac:dyDescent="0.2">
      <c r="A132" s="128"/>
      <c r="B132" s="146" t="s">
        <v>4744</v>
      </c>
      <c r="C132" s="128"/>
      <c r="D132" s="128"/>
      <c r="E132" s="128"/>
      <c r="F132" s="128"/>
      <c r="G132" s="128"/>
      <c r="H132" s="128"/>
      <c r="I132" s="128"/>
      <c r="J132" s="128"/>
      <c r="K132" s="128"/>
    </row>
    <row r="134" spans="1:28" ht="15" x14ac:dyDescent="0.25">
      <c r="B134" s="270" t="s">
        <v>5171</v>
      </c>
      <c r="C134" s="137"/>
      <c r="D134" s="137"/>
      <c r="E134" s="128"/>
      <c r="F134" s="128"/>
      <c r="G134" s="128"/>
      <c r="H134" s="128"/>
      <c r="I134" s="128"/>
      <c r="J134" s="128"/>
    </row>
    <row r="136" spans="1:28" ht="37.5" customHeight="1" x14ac:dyDescent="0.2">
      <c r="B136" s="4261" t="s">
        <v>4999</v>
      </c>
      <c r="C136" s="4287">
        <v>2018</v>
      </c>
    </row>
    <row r="137" spans="1:28" ht="15" customHeight="1" x14ac:dyDescent="0.2">
      <c r="B137" s="4276" t="s">
        <v>230</v>
      </c>
      <c r="C137" s="4266">
        <f>'Dyrehold 2018'!$Z$8</f>
        <v>3206.4617754884835</v>
      </c>
    </row>
    <row r="138" spans="1:28" x14ac:dyDescent="0.2">
      <c r="B138" s="4276" t="s">
        <v>231</v>
      </c>
      <c r="C138" s="4266">
        <f>SUBTOTAL(9,'Dyrehold 2018'!$Z$9:$Z$17)</f>
        <v>5303.5423278519156</v>
      </c>
    </row>
    <row r="139" spans="1:28" x14ac:dyDescent="0.2">
      <c r="B139" s="4276" t="s">
        <v>232</v>
      </c>
      <c r="C139" s="4266">
        <f>'Planteavl 2018'!$AG$13</f>
        <v>9.272057142857143E-2</v>
      </c>
    </row>
    <row r="140" spans="1:28" x14ac:dyDescent="0.2">
      <c r="B140" s="4276" t="s">
        <v>233</v>
      </c>
      <c r="C140" s="4266">
        <f>'Planteavl 2018'!$AG$19</f>
        <v>176.73493836362195</v>
      </c>
    </row>
    <row r="141" spans="1:28" x14ac:dyDescent="0.2">
      <c r="B141" s="4276" t="s">
        <v>234</v>
      </c>
      <c r="C141" s="4266">
        <f>'Planteavl 2018'!$AG$20</f>
        <v>423.85656617876566</v>
      </c>
    </row>
    <row r="142" spans="1:28" x14ac:dyDescent="0.2">
      <c r="B142" s="4276" t="s">
        <v>235</v>
      </c>
      <c r="C142" s="4266">
        <f>'Planteavl 2018'!$AG$15</f>
        <v>107.64871556872481</v>
      </c>
    </row>
    <row r="143" spans="1:28" x14ac:dyDescent="0.2">
      <c r="B143" s="4276" t="s">
        <v>236</v>
      </c>
      <c r="C143" s="4266">
        <f>'Planteavl 2018'!$AG$11+'Planteavl 2018'!$AG$10</f>
        <v>544.32878515994616</v>
      </c>
    </row>
    <row r="144" spans="1:28" x14ac:dyDescent="0.2">
      <c r="B144" s="4276" t="s">
        <v>237</v>
      </c>
      <c r="C144" s="4266">
        <f>'Planteavl 2018'!$AG$16</f>
        <v>1437.1571031714291</v>
      </c>
    </row>
    <row r="145" spans="2:3" x14ac:dyDescent="0.2">
      <c r="B145" s="4276" t="s">
        <v>238</v>
      </c>
      <c r="C145" s="4266">
        <f>'Planteavl 2018'!$AG$17</f>
        <v>780.97984737142849</v>
      </c>
    </row>
    <row r="146" spans="2:3" x14ac:dyDescent="0.2">
      <c r="B146" s="4276" t="s">
        <v>239</v>
      </c>
      <c r="C146" s="4266">
        <f>'Planteavl 2018'!$AG$18</f>
        <v>252.63901164234568</v>
      </c>
    </row>
    <row r="147" spans="2:3" x14ac:dyDescent="0.2">
      <c r="B147" s="4276" t="s">
        <v>240</v>
      </c>
      <c r="C147" s="4266">
        <f>'Planteavl 2018'!$AG$21+'Planteavl 2018'!$AG$22+'Planteavl 2018'!$AG$23</f>
        <v>188.28498405793394</v>
      </c>
    </row>
    <row r="148" spans="2:3" ht="15" x14ac:dyDescent="0.2">
      <c r="B148" s="4288" t="s">
        <v>228</v>
      </c>
      <c r="C148" s="4289">
        <f>SUM(C137:C147)</f>
        <v>12421.726775426025</v>
      </c>
    </row>
    <row r="149" spans="2:3" x14ac:dyDescent="0.2">
      <c r="B149" s="141" t="s">
        <v>241</v>
      </c>
    </row>
    <row r="150" spans="2:3" x14ac:dyDescent="0.2">
      <c r="B150" s="129" t="s">
        <v>242</v>
      </c>
    </row>
    <row r="151" spans="2:3" x14ac:dyDescent="0.2">
      <c r="B151" s="129"/>
    </row>
    <row r="152" spans="2:3" x14ac:dyDescent="0.2">
      <c r="B152" s="129"/>
    </row>
    <row r="153" spans="2:3" x14ac:dyDescent="0.2">
      <c r="B153" s="129"/>
    </row>
    <row r="154" spans="2:3" x14ac:dyDescent="0.2">
      <c r="B154" s="129"/>
    </row>
    <row r="155" spans="2:3" x14ac:dyDescent="0.2">
      <c r="B155" s="129"/>
    </row>
    <row r="156" spans="2:3" x14ac:dyDescent="0.2">
      <c r="B156" s="129"/>
    </row>
    <row r="157" spans="2:3" x14ac:dyDescent="0.2">
      <c r="B157" s="129"/>
    </row>
    <row r="158" spans="2:3" x14ac:dyDescent="0.2">
      <c r="B158" s="129"/>
    </row>
    <row r="159" spans="2:3" x14ac:dyDescent="0.2">
      <c r="B159" s="129"/>
    </row>
    <row r="160" spans="2:3" x14ac:dyDescent="0.2">
      <c r="B160" s="129"/>
    </row>
    <row r="161" spans="2:2" x14ac:dyDescent="0.2">
      <c r="B161" s="129"/>
    </row>
    <row r="162" spans="2:2" x14ac:dyDescent="0.2">
      <c r="B162" s="129"/>
    </row>
    <row r="163" spans="2:2" x14ac:dyDescent="0.2">
      <c r="B163" s="129"/>
    </row>
    <row r="164" spans="2:2" x14ac:dyDescent="0.2">
      <c r="B164" s="129"/>
    </row>
    <row r="165" spans="2:2" x14ac:dyDescent="0.2">
      <c r="B165" s="129"/>
    </row>
    <row r="166" spans="2:2" x14ac:dyDescent="0.2">
      <c r="B166" s="129"/>
    </row>
    <row r="167" spans="2:2" x14ac:dyDescent="0.2">
      <c r="B167" s="129"/>
    </row>
    <row r="168" spans="2:2" x14ac:dyDescent="0.2">
      <c r="B168" s="129"/>
    </row>
    <row r="169" spans="2:2" x14ac:dyDescent="0.2">
      <c r="B169" s="129"/>
    </row>
    <row r="198" spans="2:11" ht="15" x14ac:dyDescent="0.25">
      <c r="B198" s="270" t="s">
        <v>5172</v>
      </c>
      <c r="C198" s="137"/>
      <c r="D198" s="137"/>
      <c r="E198" s="128"/>
      <c r="F198" s="128"/>
      <c r="G198" s="128"/>
      <c r="H198" s="128"/>
      <c r="I198" s="128"/>
      <c r="J198" s="128"/>
    </row>
    <row r="200" spans="2:11" ht="30" x14ac:dyDescent="0.25">
      <c r="B200" s="4290" t="s">
        <v>4981</v>
      </c>
      <c r="C200" s="4260">
        <f>C136</f>
        <v>2018</v>
      </c>
      <c r="K200" s="134"/>
    </row>
    <row r="201" spans="2:11" x14ac:dyDescent="0.2">
      <c r="B201" s="4278" t="s">
        <v>243</v>
      </c>
      <c r="C201" s="4270">
        <f>'Arealanvendelse 2018'!$C$10+'Arealanvendelse 2018'!$D$18+'Arealanvendelse 2018'!$E$18+'Arealanvendelse 2018'!$F$18+'Arealanvendelse 2018'!$I$18</f>
        <v>3660</v>
      </c>
      <c r="K201" s="134"/>
    </row>
    <row r="202" spans="2:11" x14ac:dyDescent="0.2">
      <c r="B202" s="4278" t="s">
        <v>244</v>
      </c>
      <c r="C202" s="4270">
        <f>'Arealanvendelse 2018'!$D$11+'Arealanvendelse 2018'!$C$19+'Arealanvendelse 2018'!$E$19+'Arealanvendelse 2018'!$F$19+'Arealanvendelse 2018'!$I$19</f>
        <v>3188.4375</v>
      </c>
      <c r="K202" s="134"/>
    </row>
    <row r="203" spans="2:11" x14ac:dyDescent="0.2">
      <c r="B203" s="4278" t="s">
        <v>245</v>
      </c>
      <c r="C203" s="4270">
        <f>'Arealanvendelse 2018'!$E$12+'Arealanvendelse 2018'!$C$20+'Arealanvendelse 2018'!$D$20+'Arealanvendelse 2018'!$F$20+'Arealanvendelse 2018'!$I$20</f>
        <v>2781.5</v>
      </c>
      <c r="K203" s="134"/>
    </row>
    <row r="204" spans="2:11" x14ac:dyDescent="0.2">
      <c r="B204" s="4278" t="s">
        <v>246</v>
      </c>
      <c r="C204" s="4270">
        <f>'Arealanvendelse 2018'!$F$13+'Arealanvendelse 2018'!$C$21+'Arealanvendelse 2018'!$D$21+'Arealanvendelse 2018'!$E$21+'Arealanvendelse 2018'!$I$21</f>
        <v>367.125</v>
      </c>
      <c r="K204" s="134"/>
    </row>
    <row r="205" spans="2:11" x14ac:dyDescent="0.2">
      <c r="B205" s="4278" t="s">
        <v>247</v>
      </c>
      <c r="C205" s="4270">
        <f>'Arealanvendelse 2018'!$G$14+'Arealanvendelse 2018'!$C$22+'Arealanvendelse 2018'!$D$22+'Arealanvendelse 2018'!$E$22+'Arealanvendelse 2018'!$I$22</f>
        <v>58.0625</v>
      </c>
      <c r="K205" s="134"/>
    </row>
    <row r="206" spans="2:11" x14ac:dyDescent="0.2">
      <c r="B206" s="4278" t="s">
        <v>248</v>
      </c>
      <c r="C206" s="4270">
        <f>'Arealanvendelse 2018'!$H$15+'Arealanvendelse 2018'!$C$23+'Arealanvendelse 2018'!$D$23+'Arealanvendelse 2018'!$E$23+'Arealanvendelse 2018'!$F$23+'Arealanvendelse 2018'!$I$23</f>
        <v>1217.1875</v>
      </c>
      <c r="K206" s="134"/>
    </row>
    <row r="207" spans="2:11" x14ac:dyDescent="0.2">
      <c r="B207" s="4278" t="s">
        <v>249</v>
      </c>
      <c r="C207" s="4270">
        <f>'Arealanvendelse 2018'!$I$16+'Arealanvendelse 2018'!$I$24</f>
        <v>366.625</v>
      </c>
      <c r="K207" s="134"/>
    </row>
    <row r="208" spans="2:11" ht="15" x14ac:dyDescent="0.25">
      <c r="B208" s="4284" t="s">
        <v>490</v>
      </c>
      <c r="C208" s="4285">
        <f>SUM(C201:C207)</f>
        <v>11638.9375</v>
      </c>
      <c r="K208" s="134"/>
    </row>
    <row r="209" spans="11:11" x14ac:dyDescent="0.2">
      <c r="K209" s="134"/>
    </row>
    <row r="210" spans="11:11" x14ac:dyDescent="0.2">
      <c r="K210" s="134"/>
    </row>
    <row r="211" spans="11:11" x14ac:dyDescent="0.2">
      <c r="K211" s="134"/>
    </row>
    <row r="212" spans="11:11" x14ac:dyDescent="0.2">
      <c r="K212" s="134"/>
    </row>
    <row r="213" spans="11:11" x14ac:dyDescent="0.2">
      <c r="K213" s="134"/>
    </row>
    <row r="214" spans="11:11" x14ac:dyDescent="0.2">
      <c r="K214" s="134"/>
    </row>
    <row r="215" spans="11:11" x14ac:dyDescent="0.2">
      <c r="K215" s="134"/>
    </row>
    <row r="216" spans="11:11" x14ac:dyDescent="0.2">
      <c r="K216" s="134"/>
    </row>
    <row r="217" spans="11:11" x14ac:dyDescent="0.2">
      <c r="K217" s="134"/>
    </row>
    <row r="218" spans="11:11" x14ac:dyDescent="0.2">
      <c r="K218" s="134"/>
    </row>
    <row r="219" spans="11:11" x14ac:dyDescent="0.2">
      <c r="K219" s="134"/>
    </row>
    <row r="220" spans="11:11" x14ac:dyDescent="0.2">
      <c r="K220" s="134"/>
    </row>
    <row r="221" spans="11:11" x14ac:dyDescent="0.2">
      <c r="K221" s="134"/>
    </row>
    <row r="222" spans="11:11" x14ac:dyDescent="0.2">
      <c r="K222" s="134"/>
    </row>
    <row r="223" spans="11:11" x14ac:dyDescent="0.2">
      <c r="K223" s="134"/>
    </row>
    <row r="224" spans="11:11" x14ac:dyDescent="0.2">
      <c r="K224" s="134"/>
    </row>
    <row r="225" spans="2:11" x14ac:dyDescent="0.2">
      <c r="K225" s="134"/>
    </row>
    <row r="226" spans="2:11" x14ac:dyDescent="0.2">
      <c r="K226" s="134"/>
    </row>
    <row r="227" spans="2:11" x14ac:dyDescent="0.2">
      <c r="K227" s="134"/>
    </row>
    <row r="232" spans="2:11" ht="15" x14ac:dyDescent="0.25">
      <c r="B232" s="270" t="s">
        <v>5173</v>
      </c>
      <c r="C232" s="137"/>
      <c r="D232" s="137"/>
      <c r="E232" s="128"/>
      <c r="F232" s="128"/>
      <c r="G232" s="128"/>
      <c r="H232" s="128"/>
      <c r="I232" s="128"/>
      <c r="J232" s="128"/>
    </row>
    <row r="234" spans="2:11" ht="42.75" customHeight="1" x14ac:dyDescent="0.25">
      <c r="B234" s="4291" t="s">
        <v>4982</v>
      </c>
      <c r="C234" s="4260">
        <f>C200</f>
        <v>2018</v>
      </c>
    </row>
    <row r="235" spans="2:11" x14ac:dyDescent="0.2">
      <c r="B235" s="4278" t="s">
        <v>243</v>
      </c>
      <c r="C235" s="4270">
        <f>'Arealanvendelse 2018'!$Q$10</f>
        <v>2070.6777031337551</v>
      </c>
    </row>
    <row r="236" spans="2:11" x14ac:dyDescent="0.2">
      <c r="B236" s="4278" t="s">
        <v>244</v>
      </c>
      <c r="C236" s="4270">
        <f>'Arealanvendelse 2018'!$Q$11</f>
        <v>919.60578732747524</v>
      </c>
    </row>
    <row r="237" spans="2:11" x14ac:dyDescent="0.2">
      <c r="B237" s="4278" t="s">
        <v>254</v>
      </c>
      <c r="C237" s="4270">
        <f>'Arealanvendelse 2018'!$Q$12</f>
        <v>2061.3635523366825</v>
      </c>
    </row>
    <row r="238" spans="2:11" x14ac:dyDescent="0.2">
      <c r="B238" s="4278" t="s">
        <v>256</v>
      </c>
      <c r="C238" s="4270">
        <f>'Arealanvendelse 2018'!$Q$13</f>
        <v>0</v>
      </c>
    </row>
    <row r="259" spans="2:10" ht="15" x14ac:dyDescent="0.25">
      <c r="B259" s="270" t="s">
        <v>5174</v>
      </c>
      <c r="C259" s="137"/>
      <c r="D259" s="137"/>
      <c r="E259" s="128"/>
      <c r="F259" s="128"/>
      <c r="G259" s="128"/>
      <c r="H259" s="128"/>
      <c r="I259" s="128"/>
      <c r="J259" s="128"/>
    </row>
    <row r="261" spans="2:10" ht="15" x14ac:dyDescent="0.25">
      <c r="B261" s="5036" t="s">
        <v>4983</v>
      </c>
      <c r="C261" s="5037">
        <f>C234</f>
        <v>2018</v>
      </c>
      <c r="D261" s="5031"/>
      <c r="E261" s="5031"/>
      <c r="F261" s="5031"/>
    </row>
    <row r="262" spans="2:10" ht="32.25" customHeight="1" x14ac:dyDescent="0.2">
      <c r="B262" s="5036"/>
      <c r="C262" s="4292" t="s">
        <v>4985</v>
      </c>
      <c r="D262" s="4293" t="s">
        <v>250</v>
      </c>
      <c r="E262" s="4293" t="s">
        <v>251</v>
      </c>
      <c r="F262" s="4293" t="s">
        <v>252</v>
      </c>
    </row>
    <row r="263" spans="2:10" ht="28.5" x14ac:dyDescent="0.2">
      <c r="B263" s="4294" t="s">
        <v>253</v>
      </c>
      <c r="C263" s="4270">
        <f>'Arealanvendelse 2018'!$Q$28+'Arealanvendelse 2018'!$Q$29</f>
        <v>0.10440828469773407</v>
      </c>
      <c r="D263" s="4270">
        <f>'Arealanvendelse 2018'!$L$28+'Arealanvendelse 2018'!$L$29</f>
        <v>1.494128944306115E-2</v>
      </c>
      <c r="E263" s="4270">
        <f>'Arealanvendelse 2018'!$M$28+'Arealanvendelse 2018'!$M$29</f>
        <v>3.5786798101869167E-3</v>
      </c>
      <c r="F263" s="4270">
        <f>'Arealanvendelse 2018'!$N$28+'Arealanvendelse 2018'!$N$29</f>
        <v>0</v>
      </c>
    </row>
    <row r="264" spans="2:10" ht="28.5" x14ac:dyDescent="0.2">
      <c r="B264" s="4294" t="s">
        <v>255</v>
      </c>
      <c r="C264" s="4270">
        <f>'Arealanvendelse 2018'!$Q$30+'Arealanvendelse 2018'!$Q$31</f>
        <v>0</v>
      </c>
      <c r="D264" s="4270">
        <f>'Arealanvendelse 2018'!$L$30+'Arealanvendelse 2018'!$L$31</f>
        <v>0</v>
      </c>
      <c r="E264" s="4270">
        <f>'Arealanvendelse 2018'!M30+'Arealanvendelse 2018'!M31</f>
        <v>0</v>
      </c>
      <c r="F264" s="4270">
        <f>'Arealanvendelse 2018'!$N$30+'Arealanvendelse 2018'!$N$31</f>
        <v>0</v>
      </c>
    </row>
    <row r="279" spans="2:14" ht="15" x14ac:dyDescent="0.25">
      <c r="M279" s="2265"/>
    </row>
    <row r="280" spans="2:14" ht="15" x14ac:dyDescent="0.25">
      <c r="M280" s="2266"/>
    </row>
    <row r="281" spans="2:14" ht="15" x14ac:dyDescent="0.25">
      <c r="M281" s="2266"/>
    </row>
    <row r="282" spans="2:14" ht="15" x14ac:dyDescent="0.25">
      <c r="B282" s="270" t="s">
        <v>5175</v>
      </c>
      <c r="C282" s="137"/>
      <c r="D282" s="137"/>
      <c r="E282" s="128"/>
      <c r="F282" s="128"/>
      <c r="G282" s="128"/>
      <c r="H282" s="128"/>
      <c r="I282" s="128"/>
      <c r="J282" s="128"/>
    </row>
    <row r="283" spans="2:14" x14ac:dyDescent="0.2">
      <c r="M283" s="2267"/>
      <c r="N283" s="137"/>
    </row>
    <row r="284" spans="2:14" ht="15" x14ac:dyDescent="0.25">
      <c r="B284" s="5032" t="s">
        <v>4984</v>
      </c>
      <c r="C284" s="5038">
        <f>C234</f>
        <v>2018</v>
      </c>
      <c r="D284" s="5039"/>
      <c r="E284" s="5039"/>
      <c r="M284" s="2268"/>
    </row>
    <row r="285" spans="2:14" ht="33.75" customHeight="1" x14ac:dyDescent="0.25">
      <c r="B285" s="5032"/>
      <c r="C285" s="4293" t="s">
        <v>4986</v>
      </c>
      <c r="D285" s="4292" t="s">
        <v>235</v>
      </c>
      <c r="E285" s="4292" t="s">
        <v>228</v>
      </c>
      <c r="M285" s="2268"/>
    </row>
    <row r="286" spans="2:14" ht="15" x14ac:dyDescent="0.25">
      <c r="B286" s="4294" t="s">
        <v>258</v>
      </c>
      <c r="C286" s="4270">
        <f>'Arealanvendelse 2018'!$Q$18</f>
        <v>-1355.9351257016751</v>
      </c>
      <c r="D286" s="4296" t="s">
        <v>259</v>
      </c>
      <c r="E286" s="4297">
        <f>SUM(C286:D286)</f>
        <v>-1355.9351257016751</v>
      </c>
      <c r="M286" s="2268"/>
    </row>
    <row r="287" spans="2:14" ht="15" x14ac:dyDescent="0.25">
      <c r="B287" s="4294" t="s">
        <v>261</v>
      </c>
      <c r="C287" s="4270">
        <f>'Arealanvendelse 2018'!$Q$19</f>
        <v>1588.1186774093203</v>
      </c>
      <c r="D287" s="4270">
        <f>'Arealanvendelse 2018'!$Q$25</f>
        <v>48.17171119852749</v>
      </c>
      <c r="E287" s="4297">
        <f>SUM(C287:D287)</f>
        <v>1636.2903886078477</v>
      </c>
      <c r="M287" s="2268"/>
    </row>
    <row r="288" spans="2:14" ht="15" x14ac:dyDescent="0.25">
      <c r="B288" s="4294" t="s">
        <v>262</v>
      </c>
      <c r="C288" s="4270">
        <f>'Arealanvendelse 2018'!$Q$20</f>
        <v>1488.8284232684648</v>
      </c>
      <c r="D288" s="4270">
        <f>'Arealanvendelse 2018'!$Q$26</f>
        <v>32.419714135360749</v>
      </c>
      <c r="E288" s="4297">
        <f>SUM(C288:D288)</f>
        <v>1521.2481374038255</v>
      </c>
      <c r="M288" s="2269"/>
    </row>
    <row r="289" spans="2:13" ht="15" x14ac:dyDescent="0.25">
      <c r="B289" s="4298" t="s">
        <v>263</v>
      </c>
      <c r="C289" s="4299">
        <f>'Arealanvendelse 2018'!$Q$21</f>
        <v>0</v>
      </c>
      <c r="D289" s="4269" t="s">
        <v>259</v>
      </c>
      <c r="E289" s="4297">
        <f>SUM(C289:D289)</f>
        <v>0</v>
      </c>
      <c r="M289" s="2270"/>
    </row>
    <row r="290" spans="2:13" ht="15" x14ac:dyDescent="0.25">
      <c r="B290" s="4294" t="s">
        <v>264</v>
      </c>
      <c r="C290" s="4270">
        <f>'Arealanvendelse 2018'!$Q$23</f>
        <v>181.11496241631221</v>
      </c>
      <c r="D290" s="4270">
        <f>'Arealanvendelse 2018'!$Q$27</f>
        <v>364.55104206395231</v>
      </c>
      <c r="E290" s="4297">
        <f>SUM(C290:D290)</f>
        <v>545.66600448026452</v>
      </c>
      <c r="M290" s="2268"/>
    </row>
    <row r="291" spans="2:13" ht="15" x14ac:dyDescent="0.25">
      <c r="M291" s="2268"/>
    </row>
    <row r="292" spans="2:13" ht="15" x14ac:dyDescent="0.25">
      <c r="M292" s="2269"/>
    </row>
    <row r="293" spans="2:13" ht="15" x14ac:dyDescent="0.25">
      <c r="M293" s="2265"/>
    </row>
    <row r="294" spans="2:13" ht="15" x14ac:dyDescent="0.25">
      <c r="M294" s="2266"/>
    </row>
    <row r="295" spans="2:13" ht="15" x14ac:dyDescent="0.25">
      <c r="M295" s="2266"/>
    </row>
    <row r="296" spans="2:13" ht="15" x14ac:dyDescent="0.25">
      <c r="M296" s="2266"/>
    </row>
    <row r="297" spans="2:13" ht="15" x14ac:dyDescent="0.25">
      <c r="M297" s="2266"/>
    </row>
    <row r="298" spans="2:13" ht="15" x14ac:dyDescent="0.25">
      <c r="M298" s="2266"/>
    </row>
    <row r="299" spans="2:13" ht="17.25" customHeight="1" x14ac:dyDescent="0.25">
      <c r="M299" s="2271"/>
    </row>
    <row r="300" spans="2:13" ht="15" x14ac:dyDescent="0.25">
      <c r="F300" s="135"/>
      <c r="M300" s="2266"/>
    </row>
    <row r="301" spans="2:13" ht="15" x14ac:dyDescent="0.25">
      <c r="F301" s="135"/>
      <c r="M301" s="2266"/>
    </row>
    <row r="302" spans="2:13" ht="15" x14ac:dyDescent="0.25">
      <c r="M302" s="2266"/>
    </row>
    <row r="303" spans="2:13" ht="15" x14ac:dyDescent="0.25">
      <c r="M303" s="2266"/>
    </row>
    <row r="304" spans="2:13" ht="15" x14ac:dyDescent="0.25">
      <c r="M304" s="2266"/>
    </row>
    <row r="311" spans="2:10" ht="15" x14ac:dyDescent="0.25">
      <c r="B311" s="270" t="s">
        <v>5176</v>
      </c>
      <c r="C311" s="137"/>
      <c r="D311" s="137"/>
      <c r="E311" s="128"/>
      <c r="F311" s="128"/>
      <c r="G311" s="128"/>
      <c r="H311" s="128"/>
      <c r="I311" s="128"/>
      <c r="J311" s="128"/>
    </row>
    <row r="313" spans="2:10" ht="68.25" customHeight="1" x14ac:dyDescent="0.25">
      <c r="B313" s="4261" t="s">
        <v>4987</v>
      </c>
      <c r="C313" s="4300">
        <f>C234</f>
        <v>2018</v>
      </c>
    </row>
    <row r="314" spans="2:10" x14ac:dyDescent="0.2">
      <c r="B314" s="4294" t="s">
        <v>257</v>
      </c>
      <c r="C314" s="4270">
        <f>'Arealanvendelse 2018'!$Q$33</f>
        <v>298.33344828790894</v>
      </c>
    </row>
    <row r="315" spans="2:10" x14ac:dyDescent="0.2">
      <c r="B315" s="4294" t="s">
        <v>260</v>
      </c>
      <c r="C315" s="4270" t="str">
        <f>IFERROR('Arealanvendelse 2018'!$Q$35+'Arealanvendelse 2018'!$Q$34,"NR")</f>
        <v>NR</v>
      </c>
    </row>
    <row r="335" spans="2:2" ht="18.75" x14ac:dyDescent="0.35">
      <c r="B335" s="132" t="s">
        <v>5000</v>
      </c>
    </row>
    <row r="337" spans="1:11" ht="15" x14ac:dyDescent="0.25">
      <c r="B337" s="270" t="s">
        <v>5177</v>
      </c>
      <c r="C337" s="137"/>
      <c r="D337" s="137"/>
      <c r="E337" s="128"/>
      <c r="F337" s="128"/>
      <c r="G337" s="128"/>
      <c r="H337" s="128"/>
      <c r="I337" s="128"/>
      <c r="J337" s="128"/>
    </row>
    <row r="339" spans="1:11" ht="16.5" customHeight="1" x14ac:dyDescent="0.25">
      <c r="B339" s="5032" t="s">
        <v>4996</v>
      </c>
      <c r="C339" s="5031">
        <v>2018</v>
      </c>
      <c r="D339" s="5031"/>
      <c r="K339" s="128"/>
    </row>
    <row r="340" spans="1:11" ht="45" x14ac:dyDescent="0.2">
      <c r="B340" s="5032"/>
      <c r="C340" s="4293" t="s">
        <v>221</v>
      </c>
      <c r="D340" s="4292" t="s">
        <v>488</v>
      </c>
      <c r="K340" s="128"/>
    </row>
    <row r="341" spans="1:11" x14ac:dyDescent="0.2">
      <c r="B341" s="4294" t="s">
        <v>265</v>
      </c>
      <c r="C341" s="4270">
        <f>'Dyrehold 2018'!$Z$8</f>
        <v>3206.4617754884835</v>
      </c>
      <c r="D341" s="4270"/>
      <c r="K341" s="128"/>
    </row>
    <row r="342" spans="1:11" x14ac:dyDescent="0.2">
      <c r="B342" s="4294" t="s">
        <v>266</v>
      </c>
      <c r="C342" s="4270">
        <f>('Dyrehold 2018'!$X$9+'Dyrehold 2018'!$X$10+'Dyrehold 2018'!$X$11+'Dyrehold 2018'!$X$12+'Dyrehold 2018'!$X$13+'Dyrehold 2018'!$X$14+'Dyrehold 2018'!$X$15)*298</f>
        <v>1052.1372346081278</v>
      </c>
      <c r="D342" s="4270"/>
      <c r="K342" s="128"/>
    </row>
    <row r="343" spans="1:11" x14ac:dyDescent="0.2">
      <c r="B343" s="4294" t="s">
        <v>267</v>
      </c>
      <c r="C343" s="4270">
        <f>('Dyrehold 2018'!$W$9+'Dyrehold 2018'!$W$10+'Dyrehold 2018'!$W$11+'Dyrehold 2018'!$W$12+'Dyrehold 2018'!$W$13+'Dyrehold 2018'!$W$14+'Dyrehold 2018'!$W$15)*25</f>
        <v>4251.4050932437885</v>
      </c>
      <c r="D343" s="4270"/>
      <c r="K343" s="128"/>
    </row>
    <row r="344" spans="1:11" x14ac:dyDescent="0.2">
      <c r="B344" s="4294" t="s">
        <v>268</v>
      </c>
      <c r="C344" s="4301"/>
      <c r="D344" s="4279" t="str">
        <f>('Dyrehold 2018'!$Z$16)</f>
        <v xml:space="preserve"> </v>
      </c>
      <c r="K344" s="128"/>
    </row>
    <row r="345" spans="1:11" x14ac:dyDescent="0.2">
      <c r="B345" s="4294" t="s">
        <v>269</v>
      </c>
      <c r="C345" s="4301"/>
      <c r="D345" s="4279" t="str">
        <f>('Dyrehold 2018'!$Z$17)</f>
        <v xml:space="preserve"> </v>
      </c>
      <c r="K345" s="128"/>
    </row>
    <row r="346" spans="1:11" x14ac:dyDescent="0.2">
      <c r="A346" s="132" t="s">
        <v>270</v>
      </c>
      <c r="B346" s="144" t="s">
        <v>271</v>
      </c>
      <c r="C346" s="134"/>
    </row>
    <row r="347" spans="1:11" x14ac:dyDescent="0.2">
      <c r="C347" s="134"/>
    </row>
    <row r="348" spans="1:11" x14ac:dyDescent="0.2">
      <c r="C348" s="134"/>
    </row>
    <row r="349" spans="1:11" x14ac:dyDescent="0.2">
      <c r="C349" s="134"/>
    </row>
    <row r="350" spans="1:11" x14ac:dyDescent="0.2">
      <c r="C350" s="134"/>
    </row>
    <row r="351" spans="1:11" x14ac:dyDescent="0.2">
      <c r="C351" s="134"/>
    </row>
    <row r="352" spans="1:11" x14ac:dyDescent="0.2">
      <c r="C352" s="134"/>
    </row>
    <row r="353" spans="3:3" x14ac:dyDescent="0.2">
      <c r="C353" s="134"/>
    </row>
    <row r="354" spans="3:3" x14ac:dyDescent="0.2">
      <c r="C354" s="134"/>
    </row>
    <row r="355" spans="3:3" x14ac:dyDescent="0.2">
      <c r="C355" s="134"/>
    </row>
    <row r="356" spans="3:3" x14ac:dyDescent="0.2">
      <c r="C356" s="134"/>
    </row>
    <row r="357" spans="3:3" x14ac:dyDescent="0.2">
      <c r="C357" s="134"/>
    </row>
    <row r="358" spans="3:3" x14ac:dyDescent="0.2">
      <c r="C358" s="134"/>
    </row>
    <row r="359" spans="3:3" x14ac:dyDescent="0.2">
      <c r="C359" s="134"/>
    </row>
    <row r="360" spans="3:3" x14ac:dyDescent="0.2">
      <c r="C360" s="134"/>
    </row>
    <row r="361" spans="3:3" x14ac:dyDescent="0.2">
      <c r="C361" s="134"/>
    </row>
    <row r="362" spans="3:3" x14ac:dyDescent="0.2">
      <c r="C362" s="134"/>
    </row>
    <row r="363" spans="3:3" x14ac:dyDescent="0.2">
      <c r="C363" s="134"/>
    </row>
    <row r="364" spans="3:3" x14ac:dyDescent="0.2">
      <c r="C364" s="134"/>
    </row>
    <row r="365" spans="3:3" x14ac:dyDescent="0.2">
      <c r="C365" s="134"/>
    </row>
    <row r="366" spans="3:3" x14ac:dyDescent="0.2">
      <c r="C366" s="134"/>
    </row>
    <row r="367" spans="3:3" x14ac:dyDescent="0.2">
      <c r="C367" s="134"/>
    </row>
    <row r="368" spans="3:3" x14ac:dyDescent="0.2">
      <c r="C368" s="134"/>
    </row>
    <row r="369" spans="2:10" ht="15" customHeight="1" x14ac:dyDescent="0.2"/>
    <row r="370" spans="2:10" ht="15" x14ac:dyDescent="0.25">
      <c r="B370" s="270" t="s">
        <v>5178</v>
      </c>
      <c r="C370" s="137"/>
      <c r="D370" s="137"/>
      <c r="E370" s="128"/>
      <c r="F370" s="128"/>
      <c r="G370" s="128"/>
      <c r="H370" s="128"/>
      <c r="I370" s="128"/>
      <c r="J370" s="128"/>
    </row>
    <row r="371" spans="2:10" ht="15" customHeight="1" x14ac:dyDescent="0.2"/>
    <row r="372" spans="2:10" ht="30" x14ac:dyDescent="0.25">
      <c r="B372" s="4261" t="s">
        <v>4988</v>
      </c>
      <c r="C372" s="4260">
        <f>C313</f>
        <v>2018</v>
      </c>
    </row>
    <row r="373" spans="2:10" ht="15" customHeight="1" x14ac:dyDescent="0.2">
      <c r="B373" s="4278" t="s">
        <v>272</v>
      </c>
      <c r="C373" s="4270">
        <f>'Planteavl 2018'!$C$10</f>
        <v>6.37</v>
      </c>
    </row>
    <row r="374" spans="2:10" ht="15" customHeight="1" x14ac:dyDescent="0.2">
      <c r="B374" s="4278" t="s">
        <v>491</v>
      </c>
      <c r="C374" s="4270">
        <f>'Planteavl 2018'!$D$10</f>
        <v>13.59</v>
      </c>
    </row>
    <row r="375" spans="2:10" ht="15" customHeight="1" x14ac:dyDescent="0.2">
      <c r="B375" s="4278" t="s">
        <v>273</v>
      </c>
      <c r="C375" s="4270">
        <f>'Planteavl 2018'!$E$10</f>
        <v>67.430000000000007</v>
      </c>
    </row>
    <row r="376" spans="2:10" ht="15" customHeight="1" x14ac:dyDescent="0.2">
      <c r="B376" s="4278" t="s">
        <v>274</v>
      </c>
      <c r="C376" s="4270">
        <f>'Planteavl 2018'!$F$10</f>
        <v>0</v>
      </c>
    </row>
    <row r="377" spans="2:10" ht="15" customHeight="1" x14ac:dyDescent="0.2">
      <c r="B377" s="4278" t="s">
        <v>275</v>
      </c>
      <c r="C377" s="4270">
        <f>'Planteavl 2018'!$G$10</f>
        <v>582.6</v>
      </c>
    </row>
    <row r="378" spans="2:10" ht="15" customHeight="1" x14ac:dyDescent="0.2">
      <c r="B378" s="4278" t="s">
        <v>276</v>
      </c>
      <c r="C378" s="4270">
        <f>'Planteavl 2018'!$H$10</f>
        <v>216.75</v>
      </c>
    </row>
    <row r="379" spans="2:10" ht="15" customHeight="1" x14ac:dyDescent="0.2">
      <c r="B379" s="4278" t="s">
        <v>277</v>
      </c>
      <c r="C379" s="4270">
        <f>'Planteavl 2018'!$I$10</f>
        <v>0</v>
      </c>
    </row>
    <row r="380" spans="2:10" ht="15" customHeight="1" x14ac:dyDescent="0.2">
      <c r="B380" s="4278" t="s">
        <v>278</v>
      </c>
      <c r="C380" s="4270" t="str">
        <f>'Planteavl 2018'!$K$10</f>
        <v>IE</v>
      </c>
    </row>
    <row r="381" spans="2:10" ht="15" customHeight="1" x14ac:dyDescent="0.2">
      <c r="B381" s="4278" t="s">
        <v>279</v>
      </c>
      <c r="C381" s="4270">
        <f>'Planteavl 2018'!$L$10</f>
        <v>9.2800000000000011</v>
      </c>
    </row>
    <row r="382" spans="2:10" ht="15" customHeight="1" x14ac:dyDescent="0.2">
      <c r="B382" s="4278" t="s">
        <v>280</v>
      </c>
      <c r="C382" s="4270">
        <f>'Planteavl 2018'!$M$10</f>
        <v>0</v>
      </c>
    </row>
    <row r="383" spans="2:10" ht="15" customHeight="1" x14ac:dyDescent="0.2">
      <c r="B383" s="4278" t="s">
        <v>281</v>
      </c>
      <c r="C383" s="4270">
        <f>'Planteavl 2018'!$N$10</f>
        <v>5.01</v>
      </c>
    </row>
    <row r="384" spans="2:10" ht="15" customHeight="1" x14ac:dyDescent="0.2">
      <c r="B384" s="4278" t="s">
        <v>282</v>
      </c>
      <c r="C384" s="4270">
        <f>'Planteavl 2018'!$O$10</f>
        <v>0.35</v>
      </c>
    </row>
    <row r="385" spans="2:3" ht="15" customHeight="1" x14ac:dyDescent="0.2">
      <c r="B385" s="4278" t="s">
        <v>283</v>
      </c>
      <c r="C385" s="4270">
        <f>'Planteavl 2018'!$P$10</f>
        <v>16.689999999999998</v>
      </c>
    </row>
    <row r="386" spans="2:3" ht="15" customHeight="1" x14ac:dyDescent="0.2">
      <c r="B386" s="4278" t="s">
        <v>284</v>
      </c>
      <c r="C386" s="4270">
        <f>'Planteavl 2018'!$Q$10</f>
        <v>724.94</v>
      </c>
    </row>
    <row r="387" spans="2:3" ht="15" customHeight="1" x14ac:dyDescent="0.2">
      <c r="B387" s="4278" t="s">
        <v>285</v>
      </c>
      <c r="C387" s="4270">
        <f>'Planteavl 2018'!$R$10</f>
        <v>497.95000000000005</v>
      </c>
    </row>
    <row r="388" spans="2:3" ht="15" customHeight="1" x14ac:dyDescent="0.2">
      <c r="B388" s="4278" t="s">
        <v>286</v>
      </c>
      <c r="C388" s="4270">
        <f>'Planteavl 2018'!$S$10</f>
        <v>1.91</v>
      </c>
    </row>
    <row r="389" spans="2:3" ht="15" customHeight="1" x14ac:dyDescent="0.25">
      <c r="B389" s="4284" t="s">
        <v>287</v>
      </c>
      <c r="C389" s="4285">
        <f>SUM(C373:C388)-C386-C387</f>
        <v>919.97999999999979</v>
      </c>
    </row>
    <row r="390" spans="2:3" ht="15" customHeight="1" x14ac:dyDescent="0.35">
      <c r="B390" s="145"/>
    </row>
    <row r="391" spans="2:3" ht="15" customHeight="1" x14ac:dyDescent="0.35">
      <c r="B391" s="145"/>
    </row>
    <row r="392" spans="2:3" ht="15" customHeight="1" x14ac:dyDescent="0.35">
      <c r="B392" s="145"/>
    </row>
    <row r="393" spans="2:3" ht="15" customHeight="1" x14ac:dyDescent="0.35">
      <c r="B393" s="145"/>
    </row>
    <row r="394" spans="2:3" ht="15" customHeight="1" x14ac:dyDescent="0.35">
      <c r="B394" s="145"/>
    </row>
    <row r="395" spans="2:3" ht="15" customHeight="1" x14ac:dyDescent="0.35">
      <c r="B395" s="145"/>
    </row>
    <row r="396" spans="2:3" ht="15" customHeight="1" x14ac:dyDescent="0.35">
      <c r="B396" s="145"/>
    </row>
    <row r="397" spans="2:3" ht="15" customHeight="1" x14ac:dyDescent="0.35">
      <c r="B397" s="145"/>
    </row>
    <row r="398" spans="2:3" ht="15" customHeight="1" x14ac:dyDescent="0.35">
      <c r="B398" s="145"/>
    </row>
    <row r="399" spans="2:3" ht="15" customHeight="1" x14ac:dyDescent="0.35">
      <c r="B399" s="145"/>
    </row>
    <row r="400" spans="2:3" ht="15" customHeight="1" x14ac:dyDescent="0.35">
      <c r="B400" s="145"/>
    </row>
    <row r="401" spans="2:2" ht="15" customHeight="1" x14ac:dyDescent="0.35">
      <c r="B401" s="145"/>
    </row>
    <row r="402" spans="2:2" ht="15" customHeight="1" x14ac:dyDescent="0.35">
      <c r="B402" s="145"/>
    </row>
    <row r="403" spans="2:2" ht="15" customHeight="1" x14ac:dyDescent="0.35">
      <c r="B403" s="145"/>
    </row>
    <row r="404" spans="2:2" ht="15" customHeight="1" x14ac:dyDescent="0.35">
      <c r="B404" s="145"/>
    </row>
    <row r="405" spans="2:2" ht="15" customHeight="1" x14ac:dyDescent="0.35">
      <c r="B405" s="145"/>
    </row>
    <row r="406" spans="2:2" ht="15" customHeight="1" x14ac:dyDescent="0.35">
      <c r="B406" s="145"/>
    </row>
    <row r="407" spans="2:2" ht="15" customHeight="1" x14ac:dyDescent="0.35">
      <c r="B407" s="145"/>
    </row>
    <row r="408" spans="2:2" ht="15" customHeight="1" x14ac:dyDescent="0.35">
      <c r="B408" s="145"/>
    </row>
    <row r="409" spans="2:2" ht="15" customHeight="1" x14ac:dyDescent="0.35">
      <c r="B409" s="145"/>
    </row>
    <row r="410" spans="2:2" ht="15" customHeight="1" x14ac:dyDescent="0.35">
      <c r="B410" s="145"/>
    </row>
    <row r="411" spans="2:2" ht="15" customHeight="1" x14ac:dyDescent="0.35">
      <c r="B411" s="145"/>
    </row>
    <row r="412" spans="2:2" ht="15" customHeight="1" x14ac:dyDescent="0.35">
      <c r="B412" s="145"/>
    </row>
    <row r="413" spans="2:2" ht="15" customHeight="1" x14ac:dyDescent="0.35">
      <c r="B413" s="145"/>
    </row>
    <row r="414" spans="2:2" ht="15" customHeight="1" x14ac:dyDescent="0.35">
      <c r="B414" s="145"/>
    </row>
    <row r="415" spans="2:2" ht="15" customHeight="1" x14ac:dyDescent="0.35">
      <c r="B415" s="145"/>
    </row>
    <row r="416" spans="2:2" ht="15" customHeight="1" x14ac:dyDescent="0.35">
      <c r="B416" s="145"/>
    </row>
    <row r="417" spans="2:2" ht="15" customHeight="1" x14ac:dyDescent="0.35">
      <c r="B417" s="145"/>
    </row>
    <row r="418" spans="2:2" ht="15" customHeight="1" x14ac:dyDescent="0.35">
      <c r="B418" s="145"/>
    </row>
    <row r="419" spans="2:2" ht="15" customHeight="1" x14ac:dyDescent="0.35">
      <c r="B419" s="145"/>
    </row>
    <row r="420" spans="2:2" ht="15" customHeight="1" x14ac:dyDescent="0.35">
      <c r="B420" s="145"/>
    </row>
    <row r="421" spans="2:2" ht="15" customHeight="1" x14ac:dyDescent="0.35">
      <c r="B421" s="145"/>
    </row>
    <row r="422" spans="2:2" ht="15" customHeight="1" x14ac:dyDescent="0.35">
      <c r="B422" s="145"/>
    </row>
    <row r="423" spans="2:2" ht="15" customHeight="1" x14ac:dyDescent="0.35">
      <c r="B423" s="145"/>
    </row>
    <row r="424" spans="2:2" ht="15" customHeight="1" x14ac:dyDescent="0.35">
      <c r="B424" s="145"/>
    </row>
    <row r="425" spans="2:2" ht="15" customHeight="1" x14ac:dyDescent="0.35">
      <c r="B425" s="145"/>
    </row>
    <row r="426" spans="2:2" ht="15" customHeight="1" x14ac:dyDescent="0.35">
      <c r="B426" s="145"/>
    </row>
    <row r="427" spans="2:2" ht="15" customHeight="1" x14ac:dyDescent="0.35">
      <c r="B427" s="145"/>
    </row>
    <row r="428" spans="2:2" ht="15" customHeight="1" x14ac:dyDescent="0.35">
      <c r="B428" s="145"/>
    </row>
    <row r="429" spans="2:2" ht="15" customHeight="1" x14ac:dyDescent="0.35">
      <c r="B429" s="145"/>
    </row>
    <row r="430" spans="2:2" ht="15" customHeight="1" x14ac:dyDescent="0.35">
      <c r="B430" s="145"/>
    </row>
    <row r="431" spans="2:2" ht="15" customHeight="1" x14ac:dyDescent="0.35">
      <c r="B431" s="145"/>
    </row>
    <row r="432" spans="2:2" ht="15" customHeight="1" x14ac:dyDescent="0.35">
      <c r="B432" s="145"/>
    </row>
    <row r="433" spans="2:11" ht="15" customHeight="1" x14ac:dyDescent="0.35">
      <c r="B433" s="145"/>
    </row>
    <row r="434" spans="2:11" ht="15" customHeight="1" x14ac:dyDescent="0.35">
      <c r="B434" s="145"/>
    </row>
    <row r="435" spans="2:11" ht="15" customHeight="1" x14ac:dyDescent="0.35">
      <c r="B435" s="145"/>
    </row>
    <row r="436" spans="2:11" ht="15" customHeight="1" x14ac:dyDescent="0.35">
      <c r="B436" s="145"/>
    </row>
    <row r="437" spans="2:11" ht="15" customHeight="1" x14ac:dyDescent="0.35">
      <c r="B437" s="145"/>
    </row>
    <row r="438" spans="2:11" ht="15" customHeight="1" x14ac:dyDescent="0.35">
      <c r="B438" s="145"/>
    </row>
    <row r="439" spans="2:11" ht="15" customHeight="1" x14ac:dyDescent="0.35">
      <c r="B439" s="145"/>
    </row>
    <row r="440" spans="2:11" ht="15" customHeight="1" x14ac:dyDescent="0.35">
      <c r="B440" s="145"/>
    </row>
    <row r="441" spans="2:11" ht="15" customHeight="1" x14ac:dyDescent="0.35">
      <c r="B441" s="145"/>
    </row>
    <row r="442" spans="2:11" ht="15" customHeight="1" x14ac:dyDescent="0.35">
      <c r="B442" s="145"/>
    </row>
    <row r="443" spans="2:11" ht="15" customHeight="1" x14ac:dyDescent="0.35">
      <c r="B443" s="145"/>
    </row>
    <row r="444" spans="2:11" ht="15" customHeight="1" x14ac:dyDescent="0.25">
      <c r="B444" s="5032" t="s">
        <v>4997</v>
      </c>
      <c r="C444" s="5037">
        <f>C372</f>
        <v>2018</v>
      </c>
      <c r="D444" s="5031"/>
      <c r="K444" s="128"/>
    </row>
    <row r="445" spans="2:11" ht="45" customHeight="1" x14ac:dyDescent="0.2">
      <c r="B445" s="5032"/>
      <c r="C445" s="4292" t="s">
        <v>288</v>
      </c>
      <c r="D445" s="4292" t="s">
        <v>489</v>
      </c>
      <c r="K445" s="128"/>
    </row>
    <row r="446" spans="2:11" ht="15" customHeight="1" x14ac:dyDescent="0.2">
      <c r="B446" s="4278" t="s">
        <v>289</v>
      </c>
      <c r="C446" s="4270">
        <f>'Planteavl 2018'!$AG$10</f>
        <v>552.32273515994621</v>
      </c>
      <c r="D446" s="4270"/>
      <c r="K446" s="128"/>
    </row>
    <row r="447" spans="2:11" ht="15" customHeight="1" x14ac:dyDescent="0.2">
      <c r="B447" s="4278" t="s">
        <v>290</v>
      </c>
      <c r="C447" s="4270"/>
      <c r="D447" s="4270">
        <f>'Planteavl 2018'!$AG$11</f>
        <v>-7.9939500000000008</v>
      </c>
      <c r="K447" s="128"/>
    </row>
    <row r="448" spans="2:11" ht="15" customHeight="1" x14ac:dyDescent="0.2">
      <c r="B448" s="4278" t="s">
        <v>291</v>
      </c>
      <c r="C448" s="4270">
        <f>'Planteavl 2018'!$AG$13</f>
        <v>9.272057142857143E-2</v>
      </c>
      <c r="D448" s="4270"/>
      <c r="K448" s="128"/>
    </row>
    <row r="449" spans="2:11" ht="15" customHeight="1" x14ac:dyDescent="0.2">
      <c r="B449" s="4278" t="s">
        <v>292</v>
      </c>
      <c r="C449" s="4270"/>
      <c r="D449" s="4270">
        <f>'Planteavl 2018'!$AG$14</f>
        <v>-53.67258899119544</v>
      </c>
      <c r="K449" s="128"/>
    </row>
    <row r="450" spans="2:11" ht="15" customHeight="1" x14ac:dyDescent="0.2">
      <c r="B450" s="4278" t="s">
        <v>293</v>
      </c>
      <c r="C450" s="4270">
        <f>'Planteavl 2018'!$AG$15</f>
        <v>107.64871556872481</v>
      </c>
      <c r="D450" s="4270"/>
      <c r="K450" s="128"/>
    </row>
    <row r="451" spans="2:11" ht="15" customHeight="1" x14ac:dyDescent="0.2">
      <c r="B451" s="4278" t="s">
        <v>294</v>
      </c>
      <c r="C451" s="4270">
        <f>'Planteavl 2018'!$AG$16</f>
        <v>1437.1571031714291</v>
      </c>
      <c r="D451" s="4270"/>
      <c r="K451" s="128"/>
    </row>
    <row r="452" spans="2:11" ht="15" customHeight="1" x14ac:dyDescent="0.2">
      <c r="B452" s="4278" t="s">
        <v>295</v>
      </c>
      <c r="C452" s="4270">
        <f>'Planteavl 2018'!$AG$17</f>
        <v>780.97984737142849</v>
      </c>
      <c r="D452" s="4270"/>
      <c r="K452" s="128"/>
    </row>
    <row r="453" spans="2:11" ht="15" customHeight="1" x14ac:dyDescent="0.2">
      <c r="B453" s="4278" t="s">
        <v>296</v>
      </c>
      <c r="C453" s="4270">
        <f>'Planteavl 2018'!$AG$18</f>
        <v>252.63901164234568</v>
      </c>
      <c r="D453" s="4270"/>
      <c r="K453" s="128"/>
    </row>
    <row r="454" spans="2:11" ht="15" customHeight="1" x14ac:dyDescent="0.2">
      <c r="B454" s="4278" t="s">
        <v>233</v>
      </c>
      <c r="C454" s="4270">
        <f>'Planteavl 2018'!$AG$19</f>
        <v>176.73493836362195</v>
      </c>
      <c r="D454" s="4270"/>
      <c r="K454" s="128"/>
    </row>
    <row r="455" spans="2:11" ht="15" customHeight="1" x14ac:dyDescent="0.2">
      <c r="B455" s="4278" t="s">
        <v>297</v>
      </c>
      <c r="C455" s="4270">
        <f>'Planteavl 2018'!$AG$20</f>
        <v>423.85656617876566</v>
      </c>
      <c r="D455" s="4270"/>
      <c r="K455" s="128"/>
    </row>
    <row r="456" spans="2:11" ht="15" customHeight="1" x14ac:dyDescent="0.35">
      <c r="B456" s="4278" t="s">
        <v>492</v>
      </c>
      <c r="C456" s="4270">
        <f>'Planteavl 2018'!$AG$21</f>
        <v>184.9968000321222</v>
      </c>
      <c r="D456" s="4270"/>
      <c r="K456" s="128"/>
    </row>
    <row r="457" spans="2:11" ht="15" customHeight="1" x14ac:dyDescent="0.2">
      <c r="B457" s="4278" t="s">
        <v>298</v>
      </c>
      <c r="C457" s="4270">
        <f>'Planteavl 2018'!$AG$22</f>
        <v>1.0743851503082198</v>
      </c>
      <c r="D457" s="4270"/>
      <c r="K457" s="128"/>
    </row>
    <row r="458" spans="2:11" ht="15" customHeight="1" x14ac:dyDescent="0.3">
      <c r="B458" s="4278" t="s">
        <v>388</v>
      </c>
      <c r="C458" s="4270">
        <f>'Planteavl 2018'!$AG$23</f>
        <v>2.2137988755035161</v>
      </c>
      <c r="D458" s="4270"/>
      <c r="K458" s="128"/>
    </row>
    <row r="459" spans="2:11" ht="15" customHeight="1" x14ac:dyDescent="0.35">
      <c r="B459" s="145"/>
    </row>
    <row r="460" spans="2:11" ht="15" customHeight="1" x14ac:dyDescent="0.35">
      <c r="B460" s="145"/>
    </row>
    <row r="461" spans="2:11" ht="15" customHeight="1" x14ac:dyDescent="0.35">
      <c r="B461" s="145"/>
    </row>
    <row r="462" spans="2:11" ht="15" customHeight="1" x14ac:dyDescent="0.35">
      <c r="B462" s="145"/>
    </row>
    <row r="463" spans="2:11" ht="15" customHeight="1" x14ac:dyDescent="0.35">
      <c r="B463" s="145"/>
    </row>
    <row r="464" spans="2:11" ht="15" customHeight="1" x14ac:dyDescent="0.35">
      <c r="B464" s="145"/>
    </row>
    <row r="465" spans="2:2" ht="15" customHeight="1" x14ac:dyDescent="0.35">
      <c r="B465" s="145"/>
    </row>
    <row r="466" spans="2:2" ht="15" customHeight="1" x14ac:dyDescent="0.35">
      <c r="B466" s="145"/>
    </row>
    <row r="467" spans="2:2" ht="15" customHeight="1" x14ac:dyDescent="0.35">
      <c r="B467" s="145"/>
    </row>
    <row r="468" spans="2:2" ht="15" customHeight="1" x14ac:dyDescent="0.35">
      <c r="B468" s="145"/>
    </row>
    <row r="469" spans="2:2" ht="15" customHeight="1" x14ac:dyDescent="0.35">
      <c r="B469" s="145"/>
    </row>
    <row r="470" spans="2:2" ht="15" customHeight="1" x14ac:dyDescent="0.35">
      <c r="B470" s="145"/>
    </row>
    <row r="471" spans="2:2" ht="15" customHeight="1" x14ac:dyDescent="0.35">
      <c r="B471" s="145"/>
    </row>
    <row r="472" spans="2:2" ht="15" customHeight="1" x14ac:dyDescent="0.35">
      <c r="B472" s="145"/>
    </row>
    <row r="473" spans="2:2" ht="15" customHeight="1" x14ac:dyDescent="0.35">
      <c r="B473" s="145"/>
    </row>
    <row r="474" spans="2:2" ht="15" customHeight="1" x14ac:dyDescent="0.35">
      <c r="B474" s="145"/>
    </row>
    <row r="475" spans="2:2" ht="15" customHeight="1" x14ac:dyDescent="0.35">
      <c r="B475" s="145"/>
    </row>
    <row r="476" spans="2:2" ht="15" customHeight="1" x14ac:dyDescent="0.35">
      <c r="B476" s="145"/>
    </row>
    <row r="477" spans="2:2" ht="15" customHeight="1" x14ac:dyDescent="0.35">
      <c r="B477" s="145"/>
    </row>
    <row r="478" spans="2:2" ht="15" customHeight="1" x14ac:dyDescent="0.35">
      <c r="B478" s="145"/>
    </row>
    <row r="479" spans="2:2" ht="15" customHeight="1" x14ac:dyDescent="0.35">
      <c r="B479" s="145"/>
    </row>
    <row r="480" spans="2:2" ht="15" customHeight="1" x14ac:dyDescent="0.35">
      <c r="B480" s="145"/>
    </row>
    <row r="481" spans="1:11" ht="15" customHeight="1" x14ac:dyDescent="0.35">
      <c r="B481" s="145"/>
    </row>
    <row r="482" spans="1:11" ht="15" customHeight="1" x14ac:dyDescent="0.35">
      <c r="B482" s="145"/>
    </row>
    <row r="483" spans="1:11" ht="36" customHeight="1" x14ac:dyDescent="0.2">
      <c r="A483" s="128"/>
      <c r="B483" s="146" t="s">
        <v>4745</v>
      </c>
      <c r="C483" s="128"/>
      <c r="D483" s="128"/>
      <c r="E483" s="128"/>
      <c r="F483" s="128"/>
      <c r="G483" s="128"/>
      <c r="H483" s="128"/>
      <c r="I483" s="128"/>
      <c r="J483" s="128"/>
      <c r="K483" s="128"/>
    </row>
    <row r="485" spans="1:11" ht="15" x14ac:dyDescent="0.25">
      <c r="B485" s="270" t="s">
        <v>5179</v>
      </c>
      <c r="C485" s="137"/>
      <c r="D485" s="137"/>
      <c r="E485" s="128"/>
      <c r="F485" s="128"/>
      <c r="G485" s="128"/>
      <c r="H485" s="128"/>
      <c r="I485" s="128"/>
      <c r="J485" s="128"/>
    </row>
    <row r="487" spans="1:11" ht="37.5" customHeight="1" x14ac:dyDescent="0.25">
      <c r="B487" s="4261" t="s">
        <v>4989</v>
      </c>
      <c r="C487" s="4300">
        <f>C372</f>
        <v>2018</v>
      </c>
    </row>
    <row r="488" spans="1:11" x14ac:dyDescent="0.2">
      <c r="B488" s="4302" t="s">
        <v>299</v>
      </c>
      <c r="C488" s="4270">
        <f>SUM('Industrielle processer 2018'!$O$11:$O$19)</f>
        <v>5.8248804142676507</v>
      </c>
    </row>
    <row r="489" spans="1:11" x14ac:dyDescent="0.2">
      <c r="B489" s="4303" t="s">
        <v>300</v>
      </c>
      <c r="C489" s="4270">
        <f>SUM('Industrielle processer 2018'!$O$20:$O$23)</f>
        <v>0.4467191972759933</v>
      </c>
    </row>
    <row r="490" spans="1:11" x14ac:dyDescent="0.2">
      <c r="B490" s="4303" t="s">
        <v>301</v>
      </c>
      <c r="C490" s="4304">
        <f>SUM('Industrielle processer 2018'!$O$24)</f>
        <v>3.7382822567672058E-2</v>
      </c>
    </row>
    <row r="491" spans="1:11" x14ac:dyDescent="0.2">
      <c r="B491" s="4303" t="s">
        <v>302</v>
      </c>
      <c r="C491" s="4270">
        <f>SUM('Industrielle processer 2018'!$O$25:$O$30)</f>
        <v>50.669792894856023</v>
      </c>
    </row>
    <row r="492" spans="1:11" x14ac:dyDescent="0.2">
      <c r="B492" s="4303" t="s">
        <v>303</v>
      </c>
      <c r="C492" s="4270">
        <f>SUM('Industrielle processer 2018'!$O$31:$O$32)</f>
        <v>0</v>
      </c>
    </row>
    <row r="493" spans="1:11" x14ac:dyDescent="0.2">
      <c r="B493" s="4303" t="s">
        <v>304</v>
      </c>
      <c r="C493" s="4270">
        <f>SUM('Industrielle processer 2018'!$O$33:$O$35)</f>
        <v>152.32757922682916</v>
      </c>
    </row>
    <row r="494" spans="1:11" x14ac:dyDescent="0.2">
      <c r="B494" s="4303" t="s">
        <v>305</v>
      </c>
      <c r="C494" s="4270">
        <f>SUM('Industrielle processer 2018'!$O$36:$O$41)</f>
        <v>6.9056812682958251</v>
      </c>
    </row>
    <row r="495" spans="1:11" x14ac:dyDescent="0.2">
      <c r="B495" s="4303" t="s">
        <v>306</v>
      </c>
      <c r="C495" s="4270">
        <f>SUM(C488:C494)</f>
        <v>216.21203582409234</v>
      </c>
    </row>
    <row r="515" ht="14.25" customHeight="1" x14ac:dyDescent="0.2"/>
    <row r="547" spans="2:10" ht="15" x14ac:dyDescent="0.25">
      <c r="B547" s="270" t="s">
        <v>5180</v>
      </c>
      <c r="C547" s="137"/>
      <c r="D547" s="137"/>
      <c r="E547" s="128"/>
      <c r="F547" s="128"/>
      <c r="G547" s="128"/>
      <c r="H547" s="128"/>
      <c r="I547" s="128"/>
      <c r="J547" s="128"/>
    </row>
    <row r="549" spans="2:10" ht="15" x14ac:dyDescent="0.25">
      <c r="B549" s="5032" t="s">
        <v>4998</v>
      </c>
      <c r="C549" s="5037">
        <f>C444</f>
        <v>2018</v>
      </c>
      <c r="D549" s="5031"/>
      <c r="E549" s="5031"/>
      <c r="F549" s="5031"/>
    </row>
    <row r="550" spans="2:10" ht="16.5" x14ac:dyDescent="0.2">
      <c r="B550" s="5032"/>
      <c r="C550" s="4293" t="s">
        <v>250</v>
      </c>
      <c r="D550" s="4293" t="s">
        <v>251</v>
      </c>
      <c r="E550" s="4293" t="s">
        <v>4990</v>
      </c>
      <c r="F550" s="4293" t="s">
        <v>307</v>
      </c>
    </row>
    <row r="551" spans="2:10" x14ac:dyDescent="0.2">
      <c r="B551" s="4302" t="s">
        <v>299</v>
      </c>
      <c r="C551" s="4270">
        <f>SUM('Industrielle processer 2018'!$K$11:$K$18)</f>
        <v>5.8248804142676507</v>
      </c>
      <c r="D551" s="4270">
        <f>SUM('Industrielle processer 2018'!$L$11:$L$19)</f>
        <v>0</v>
      </c>
      <c r="E551" s="4270">
        <f>SUM('Industrielle processer 2018'!$M$11:$M$19)</f>
        <v>0</v>
      </c>
      <c r="F551" s="4270">
        <f>SUM('Industrielle processer 2018'!$N$11:$N$19)</f>
        <v>0</v>
      </c>
    </row>
    <row r="552" spans="2:10" x14ac:dyDescent="0.2">
      <c r="B552" s="4303" t="s">
        <v>300</v>
      </c>
      <c r="C552" s="4270">
        <f>SUM('Industrielle processer 2018'!$K$20:$K$23)</f>
        <v>0.4467191972759933</v>
      </c>
      <c r="D552" s="4270">
        <f>SUM('Industrielle processer 2018'!$L$20:$L$23)</f>
        <v>0</v>
      </c>
      <c r="E552" s="4270">
        <f>SUM('Industrielle processer 2018'!$M$20:$M$23)</f>
        <v>0</v>
      </c>
      <c r="F552" s="4270">
        <f>SUM('Industrielle processer 2018'!$N$20:$N$23)</f>
        <v>0</v>
      </c>
    </row>
    <row r="553" spans="2:10" x14ac:dyDescent="0.2">
      <c r="B553" s="4303" t="s">
        <v>301</v>
      </c>
      <c r="C553" s="4270">
        <f>SUM('Industrielle processer 2018'!$K$24)</f>
        <v>3.7382822567672058E-2</v>
      </c>
      <c r="D553" s="4270">
        <f>SUM('Industrielle processer 2018'!$L$24)</f>
        <v>0</v>
      </c>
      <c r="E553" s="4270">
        <f>SUM('Industrielle processer 2018'!$M$24)</f>
        <v>0</v>
      </c>
      <c r="F553" s="4270">
        <f>SUM('Industrielle processer 2018'!$N$24)</f>
        <v>0</v>
      </c>
    </row>
    <row r="554" spans="2:10" x14ac:dyDescent="0.2">
      <c r="B554" s="4303" t="s">
        <v>302</v>
      </c>
      <c r="C554" s="4270">
        <f>SUM('Industrielle processer 2018'!$K$25:$K$30)</f>
        <v>50.465397716505549</v>
      </c>
      <c r="D554" s="4270">
        <f>SUM('Industrielle processer 2018'!$L$25:$L$30)</f>
        <v>6.3778651044508142E-3</v>
      </c>
      <c r="E554" s="4270">
        <f>SUM('Industrielle processer 2018'!$M$25:$M$30)</f>
        <v>1.5083406288324722E-4</v>
      </c>
      <c r="F554" s="4270">
        <f>SUM('Industrielle processer 2018'!$N$25:$N$30)</f>
        <v>0</v>
      </c>
    </row>
    <row r="555" spans="2:10" x14ac:dyDescent="0.2">
      <c r="B555" s="4303" t="s">
        <v>303</v>
      </c>
      <c r="C555" s="4270">
        <f>SUM('Industrielle processer 2018'!$K$31:$K$32)</f>
        <v>0</v>
      </c>
      <c r="D555" s="4270">
        <f>SUM('Industrielle processer 2018'!$L$31:$L$32)</f>
        <v>0</v>
      </c>
      <c r="E555" s="4270">
        <f>SUM('Industrielle processer 2018'!$M$31:$M$32)</f>
        <v>0</v>
      </c>
      <c r="F555" s="4270">
        <f>SUM('Industrielle processer 2018'!$N$31:$N$32)</f>
        <v>0</v>
      </c>
    </row>
    <row r="556" spans="2:10" x14ac:dyDescent="0.2">
      <c r="B556" s="4303" t="s">
        <v>304</v>
      </c>
      <c r="C556" s="4270">
        <f>SUM('Industrielle processer 2018'!$K$33:$K$35)</f>
        <v>0</v>
      </c>
      <c r="D556" s="4270">
        <f>SUM('Industrielle processer 2018'!$L$33:$L$35)</f>
        <v>0</v>
      </c>
      <c r="E556" s="4270">
        <f>SUM('Industrielle processer 2018'!$M$33:$M$35)</f>
        <v>0</v>
      </c>
      <c r="F556" s="4270">
        <f>SUM('Industrielle processer 2018'!$N$33:$N$35)</f>
        <v>152.32757922682916</v>
      </c>
    </row>
    <row r="557" spans="2:10" x14ac:dyDescent="0.2">
      <c r="B557" s="4303" t="s">
        <v>305</v>
      </c>
      <c r="C557" s="4270">
        <f>SUM('Industrielle processer 2018'!$K$36:$K$41)</f>
        <v>8.4272689225747641E-2</v>
      </c>
      <c r="D557" s="4270">
        <f>SUM('Industrielle processer 2018'!$L$36:$L$41)</f>
        <v>2.2560245078002972E-2</v>
      </c>
      <c r="E557" s="4270">
        <f>SUM('Industrielle processer 2018'!$M$36:$M$41)</f>
        <v>2.099799480577182E-2</v>
      </c>
      <c r="F557" s="4270">
        <f>SUM('Industrielle processer 2018'!$N$36:$N$41)</f>
        <v>0</v>
      </c>
    </row>
    <row r="558" spans="2:10" x14ac:dyDescent="0.2">
      <c r="B558" s="4303" t="s">
        <v>306</v>
      </c>
      <c r="C558" s="4270">
        <f t="shared" ref="C558:F558" si="1">SUM(C551:C557)</f>
        <v>56.858652839842613</v>
      </c>
      <c r="D558" s="4270">
        <f t="shared" si="1"/>
        <v>2.8938110182453784E-2</v>
      </c>
      <c r="E558" s="4270">
        <f t="shared" si="1"/>
        <v>2.1148828868655066E-2</v>
      </c>
      <c r="F558" s="4270">
        <f t="shared" si="1"/>
        <v>152.32757922682916</v>
      </c>
    </row>
    <row r="582" spans="1:19" ht="15" x14ac:dyDescent="0.25">
      <c r="A582" s="143"/>
      <c r="F582" s="143"/>
      <c r="G582" s="143"/>
      <c r="H582" s="143"/>
      <c r="I582" s="143"/>
      <c r="J582" s="143"/>
      <c r="K582" s="143"/>
      <c r="L582" s="2269"/>
      <c r="M582" s="2269"/>
      <c r="N582" s="2269"/>
      <c r="O582" s="2269"/>
      <c r="P582" s="2269"/>
      <c r="Q582" s="2269"/>
      <c r="R582" s="2269"/>
      <c r="S582" s="2269"/>
    </row>
    <row r="583" spans="1:19" ht="35.25" customHeight="1" x14ac:dyDescent="0.2">
      <c r="A583" s="128"/>
      <c r="B583" s="146" t="s">
        <v>4746</v>
      </c>
      <c r="C583" s="128"/>
      <c r="D583" s="128"/>
      <c r="E583" s="128"/>
      <c r="F583" s="128"/>
      <c r="G583" s="128"/>
      <c r="H583" s="128"/>
      <c r="I583" s="128"/>
      <c r="J583" s="128"/>
      <c r="K583" s="128"/>
    </row>
    <row r="584" spans="1:19" ht="15" x14ac:dyDescent="0.25">
      <c r="A584" s="143"/>
      <c r="B584" s="143"/>
      <c r="C584" s="143"/>
      <c r="D584" s="143"/>
      <c r="E584" s="143"/>
      <c r="F584" s="143"/>
      <c r="G584" s="143"/>
      <c r="H584" s="143"/>
      <c r="I584" s="143"/>
      <c r="J584" s="143"/>
      <c r="K584" s="143"/>
      <c r="L584" s="2269"/>
      <c r="M584" s="2269"/>
      <c r="N584" s="2269"/>
      <c r="O584" s="2269"/>
      <c r="P584" s="2269"/>
      <c r="Q584" s="2269"/>
      <c r="R584" s="2269"/>
      <c r="S584" s="2269"/>
    </row>
    <row r="585" spans="1:19" ht="15" x14ac:dyDescent="0.25">
      <c r="B585" s="270" t="s">
        <v>5181</v>
      </c>
      <c r="C585" s="137"/>
      <c r="D585" s="137"/>
      <c r="E585" s="128"/>
      <c r="F585" s="128"/>
      <c r="G585" s="128"/>
      <c r="H585" s="128"/>
      <c r="I585" s="128"/>
      <c r="J585" s="128"/>
    </row>
    <row r="586" spans="1:19" ht="15" x14ac:dyDescent="0.25">
      <c r="A586" s="143"/>
      <c r="F586" s="143"/>
      <c r="G586" s="142"/>
      <c r="H586" s="143"/>
      <c r="I586" s="143"/>
      <c r="J586" s="143"/>
      <c r="K586" s="143"/>
      <c r="L586" s="2269"/>
      <c r="M586" s="2269"/>
      <c r="N586" s="2269"/>
      <c r="O586" s="2269"/>
      <c r="P586" s="2269"/>
      <c r="Q586" s="2269"/>
      <c r="R586" s="2269"/>
      <c r="S586" s="2269"/>
    </row>
    <row r="587" spans="1:19" ht="54" customHeight="1" x14ac:dyDescent="0.25">
      <c r="A587" s="143"/>
      <c r="B587" s="4261" t="s">
        <v>4991</v>
      </c>
      <c r="C587" s="4295">
        <f>C444</f>
        <v>2018</v>
      </c>
      <c r="L587" s="2269"/>
      <c r="M587" s="2269"/>
      <c r="N587" s="2269"/>
      <c r="O587" s="2269"/>
      <c r="P587" s="2269"/>
      <c r="Q587" s="2269"/>
      <c r="R587" s="2269"/>
      <c r="S587" s="2269"/>
    </row>
    <row r="588" spans="1:19" ht="15" x14ac:dyDescent="0.25">
      <c r="A588" s="143"/>
      <c r="B588" s="4305" t="s">
        <v>313</v>
      </c>
      <c r="C588" s="4270">
        <f>SUBTOTAL(9,'Affald og spildevand 2018'!$L$12:$L$18)</f>
        <v>313.52482266615613</v>
      </c>
      <c r="L588" s="2269"/>
      <c r="M588" s="2269"/>
      <c r="N588" s="2269"/>
      <c r="O588" s="2269"/>
      <c r="P588" s="2269"/>
      <c r="Q588" s="2269"/>
      <c r="R588" s="2269"/>
      <c r="S588" s="2269"/>
    </row>
    <row r="589" spans="1:19" ht="15" x14ac:dyDescent="0.25">
      <c r="A589" s="143"/>
      <c r="B589" s="4306" t="s">
        <v>308</v>
      </c>
      <c r="C589" s="4270">
        <f>SUBTOTAL(9,'Affald og spildevand 2018'!$L$17:$L$18)</f>
        <v>9.3985653460984531E-2</v>
      </c>
      <c r="L589" s="2269"/>
      <c r="M589" s="2269"/>
      <c r="N589" s="2269"/>
      <c r="O589" s="2269"/>
      <c r="P589" s="2269"/>
      <c r="Q589" s="2269"/>
      <c r="R589" s="2269"/>
      <c r="S589" s="2269"/>
    </row>
    <row r="590" spans="1:19" ht="15" x14ac:dyDescent="0.25">
      <c r="A590" s="143"/>
      <c r="B590" s="4306" t="s">
        <v>309</v>
      </c>
      <c r="C590" s="4270">
        <f>SUBTOTAL(9,'Affald og spildevand 2018'!$L$15:$L$16)</f>
        <v>138.27201202976943</v>
      </c>
      <c r="L590" s="2269"/>
      <c r="M590" s="2269"/>
      <c r="N590" s="2269"/>
      <c r="O590" s="2269"/>
      <c r="P590" s="2269"/>
      <c r="Q590" s="2269"/>
      <c r="R590" s="2269"/>
      <c r="S590" s="2269"/>
    </row>
    <row r="591" spans="1:19" ht="15" x14ac:dyDescent="0.25">
      <c r="A591" s="143"/>
      <c r="B591" s="4306" t="s">
        <v>310</v>
      </c>
      <c r="C591" s="4270">
        <f>SUBTOTAL(9,'Affald og spildevand 2018'!$L$12:$L$14)</f>
        <v>175.15882498292569</v>
      </c>
      <c r="F591" s="143"/>
      <c r="G591" s="143"/>
      <c r="H591" s="143"/>
      <c r="I591" s="143"/>
      <c r="J591" s="143"/>
      <c r="K591" s="143"/>
      <c r="L591" s="2269"/>
      <c r="M591" s="2269"/>
      <c r="N591" s="2269"/>
      <c r="O591" s="2269"/>
      <c r="P591" s="2269"/>
      <c r="Q591" s="2269"/>
      <c r="R591" s="2269"/>
      <c r="S591" s="2269"/>
    </row>
    <row r="592" spans="1:19" ht="15" x14ac:dyDescent="0.25">
      <c r="A592" s="143"/>
      <c r="B592" s="4307" t="s">
        <v>311</v>
      </c>
      <c r="C592" s="4270">
        <f>SUBTOTAL(9,'Affald og spildevand 2018'!$L$20:$L$22)</f>
        <v>36.299072024155073</v>
      </c>
      <c r="F592" s="143"/>
      <c r="G592" s="143"/>
      <c r="H592" s="143"/>
      <c r="I592" s="143"/>
      <c r="J592" s="143"/>
      <c r="K592" s="143"/>
      <c r="L592" s="2269"/>
      <c r="M592" s="2269"/>
      <c r="N592" s="2269"/>
      <c r="O592" s="2269"/>
      <c r="P592" s="2269"/>
      <c r="Q592" s="2269"/>
      <c r="R592" s="2269"/>
      <c r="S592" s="2269"/>
    </row>
    <row r="593" spans="1:19" ht="15" x14ac:dyDescent="0.25">
      <c r="A593" s="143"/>
      <c r="B593" s="4307" t="s">
        <v>314</v>
      </c>
      <c r="C593" s="4270">
        <f>SUBTOTAL(9,'Affald og spildevand 2018'!$L$24:$L$25)</f>
        <v>34.604306943685259</v>
      </c>
      <c r="F593" s="143"/>
      <c r="G593" s="143"/>
      <c r="H593" s="143"/>
      <c r="I593" s="143"/>
      <c r="J593" s="143"/>
      <c r="K593" s="143"/>
      <c r="L593" s="2269"/>
      <c r="M593" s="2269"/>
      <c r="N593" s="2269"/>
      <c r="O593" s="2269"/>
      <c r="P593" s="2269"/>
      <c r="Q593" s="2269"/>
      <c r="R593" s="2269"/>
      <c r="S593" s="2269"/>
    </row>
    <row r="594" spans="1:19" ht="15" x14ac:dyDescent="0.25">
      <c r="A594" s="143"/>
      <c r="B594" s="4308" t="s">
        <v>228</v>
      </c>
      <c r="C594" s="4309">
        <f>C588+C592+C593</f>
        <v>384.42820163399642</v>
      </c>
      <c r="F594" s="143"/>
      <c r="G594" s="143"/>
      <c r="H594" s="143"/>
      <c r="I594" s="143"/>
      <c r="J594" s="143"/>
      <c r="K594" s="143"/>
      <c r="L594" s="2269"/>
      <c r="M594" s="2269"/>
      <c r="N594" s="2269"/>
      <c r="O594" s="2269"/>
      <c r="P594" s="2269"/>
      <c r="Q594" s="2269"/>
      <c r="R594" s="2269"/>
      <c r="S594" s="2269"/>
    </row>
    <row r="595" spans="1:19" ht="15" x14ac:dyDescent="0.25">
      <c r="A595" s="143"/>
      <c r="F595" s="143"/>
      <c r="G595" s="143"/>
      <c r="H595" s="143"/>
      <c r="I595" s="143"/>
      <c r="J595" s="143"/>
      <c r="K595" s="143"/>
      <c r="L595" s="2269"/>
      <c r="M595" s="2269"/>
      <c r="N595" s="2269"/>
      <c r="O595" s="2269"/>
      <c r="P595" s="2269"/>
      <c r="Q595" s="2269"/>
      <c r="R595" s="2269"/>
      <c r="S595" s="2269"/>
    </row>
    <row r="596" spans="1:19" ht="15" x14ac:dyDescent="0.25">
      <c r="A596" s="143"/>
      <c r="G596" s="143"/>
      <c r="H596" s="143"/>
      <c r="I596" s="143"/>
      <c r="J596" s="143"/>
      <c r="K596" s="143"/>
      <c r="L596" s="2269"/>
      <c r="M596" s="2269"/>
      <c r="N596" s="2269"/>
      <c r="O596" s="2269"/>
      <c r="P596" s="2269"/>
      <c r="Q596" s="2269"/>
      <c r="R596" s="2269"/>
      <c r="S596" s="2269"/>
    </row>
    <row r="597" spans="1:19" ht="15" x14ac:dyDescent="0.25">
      <c r="A597" s="143"/>
      <c r="G597" s="143"/>
      <c r="H597" s="143"/>
      <c r="I597" s="143"/>
      <c r="J597" s="143"/>
      <c r="K597" s="143"/>
      <c r="L597" s="2269"/>
      <c r="M597" s="2269"/>
      <c r="N597" s="2269"/>
      <c r="O597" s="2269"/>
      <c r="P597" s="2269"/>
      <c r="Q597" s="2269"/>
      <c r="R597" s="2269"/>
      <c r="S597" s="2269"/>
    </row>
    <row r="598" spans="1:19" ht="15" x14ac:dyDescent="0.25">
      <c r="A598" s="143"/>
      <c r="G598" s="143"/>
      <c r="H598" s="143"/>
      <c r="I598" s="143"/>
      <c r="J598" s="143"/>
      <c r="K598" s="143"/>
      <c r="L598" s="2269"/>
      <c r="M598" s="2269"/>
      <c r="N598" s="2269"/>
      <c r="O598" s="2269"/>
      <c r="P598" s="2269"/>
      <c r="Q598" s="2269"/>
      <c r="R598" s="2269"/>
      <c r="S598" s="2269"/>
    </row>
    <row r="599" spans="1:19" ht="15" x14ac:dyDescent="0.25">
      <c r="A599" s="143"/>
      <c r="G599" s="143"/>
      <c r="H599" s="143"/>
      <c r="I599" s="143"/>
      <c r="J599" s="143"/>
      <c r="K599" s="143"/>
      <c r="L599" s="2269"/>
      <c r="M599" s="2269"/>
      <c r="N599" s="2269"/>
      <c r="O599" s="2269"/>
      <c r="P599" s="2269"/>
      <c r="Q599" s="2269"/>
      <c r="R599" s="2269"/>
      <c r="S599" s="2269"/>
    </row>
    <row r="600" spans="1:19" ht="15" x14ac:dyDescent="0.25">
      <c r="A600" s="143"/>
      <c r="G600" s="143"/>
      <c r="H600" s="143"/>
      <c r="I600" s="143"/>
      <c r="J600" s="143"/>
      <c r="K600" s="143"/>
      <c r="L600" s="2269"/>
      <c r="M600" s="2269"/>
      <c r="N600" s="2269"/>
      <c r="O600" s="2269"/>
      <c r="P600" s="2269"/>
      <c r="Q600" s="2269"/>
      <c r="R600" s="2269"/>
      <c r="S600" s="2269"/>
    </row>
    <row r="601" spans="1:19" ht="15" x14ac:dyDescent="0.25">
      <c r="A601" s="143"/>
      <c r="G601" s="143"/>
      <c r="H601" s="143"/>
      <c r="I601" s="143"/>
      <c r="J601" s="143"/>
      <c r="K601" s="143"/>
      <c r="L601" s="2269"/>
      <c r="M601" s="2269"/>
      <c r="N601" s="2269"/>
      <c r="O601" s="2269"/>
      <c r="P601" s="2269"/>
      <c r="Q601" s="2269"/>
      <c r="R601" s="2269"/>
      <c r="S601" s="2269"/>
    </row>
    <row r="602" spans="1:19" ht="15" x14ac:dyDescent="0.25">
      <c r="A602" s="143"/>
      <c r="G602" s="143"/>
      <c r="H602" s="143"/>
      <c r="I602" s="143"/>
      <c r="J602" s="143"/>
      <c r="K602" s="143"/>
      <c r="L602" s="2269"/>
      <c r="M602" s="2269"/>
      <c r="N602" s="2269"/>
      <c r="O602" s="2269"/>
      <c r="P602" s="2269"/>
      <c r="Q602" s="2269"/>
      <c r="R602" s="2269"/>
      <c r="S602" s="2269"/>
    </row>
    <row r="603" spans="1:19" ht="15" x14ac:dyDescent="0.25">
      <c r="A603" s="143"/>
      <c r="G603" s="143"/>
      <c r="H603" s="143"/>
      <c r="I603" s="143"/>
      <c r="J603" s="143"/>
      <c r="K603" s="143"/>
      <c r="L603" s="2269"/>
      <c r="M603" s="2269"/>
      <c r="N603" s="2269"/>
      <c r="O603" s="2269"/>
      <c r="P603" s="2269"/>
      <c r="Q603" s="2269"/>
      <c r="R603" s="2269"/>
      <c r="S603" s="2269"/>
    </row>
    <row r="604" spans="1:19" ht="15" x14ac:dyDescent="0.25">
      <c r="A604" s="143"/>
      <c r="G604" s="143"/>
      <c r="H604" s="143"/>
      <c r="I604" s="143"/>
      <c r="J604" s="143"/>
      <c r="K604" s="143"/>
      <c r="L604" s="2269"/>
      <c r="M604" s="2269"/>
      <c r="N604" s="2269"/>
      <c r="O604" s="2269"/>
      <c r="P604" s="2269"/>
      <c r="Q604" s="2269"/>
      <c r="R604" s="2269"/>
      <c r="S604" s="2269"/>
    </row>
    <row r="605" spans="1:19" ht="15" x14ac:dyDescent="0.25">
      <c r="A605" s="143"/>
      <c r="G605" s="143"/>
      <c r="H605" s="143"/>
      <c r="I605" s="143"/>
      <c r="J605" s="143"/>
      <c r="K605" s="143"/>
      <c r="L605" s="2269"/>
      <c r="M605" s="2269"/>
      <c r="N605" s="2269"/>
      <c r="O605" s="2269"/>
      <c r="P605" s="2269"/>
      <c r="Q605" s="2269"/>
      <c r="R605" s="2269"/>
      <c r="S605" s="2269"/>
    </row>
    <row r="618" spans="2:7" ht="46.5" x14ac:dyDescent="0.25">
      <c r="B618" s="4292" t="s">
        <v>4992</v>
      </c>
      <c r="C618" s="4275" t="s">
        <v>308</v>
      </c>
      <c r="D618" s="4275" t="s">
        <v>309</v>
      </c>
      <c r="E618" s="4275" t="s">
        <v>310</v>
      </c>
      <c r="F618" s="4275" t="s">
        <v>311</v>
      </c>
      <c r="G618" s="4275" t="s">
        <v>312</v>
      </c>
    </row>
    <row r="619" spans="2:7" ht="15" x14ac:dyDescent="0.25">
      <c r="B619" s="5031">
        <v>2018</v>
      </c>
      <c r="C619" s="5031"/>
      <c r="D619" s="5031"/>
      <c r="E619" s="5031"/>
      <c r="F619" s="5031"/>
      <c r="G619" s="5031"/>
    </row>
    <row r="620" spans="2:7" ht="15" x14ac:dyDescent="0.25">
      <c r="B620" s="4305" t="s">
        <v>313</v>
      </c>
      <c r="C620" s="4270">
        <f>$C$589</f>
        <v>9.3985653460984531E-2</v>
      </c>
      <c r="D620" s="4270">
        <f>$C$590</f>
        <v>138.27201202976943</v>
      </c>
      <c r="E620" s="4270">
        <f>$C$591</f>
        <v>175.15882498292569</v>
      </c>
      <c r="F620" s="4304"/>
      <c r="G620" s="4304"/>
    </row>
    <row r="621" spans="2:7" ht="15" x14ac:dyDescent="0.25">
      <c r="B621" s="4307" t="s">
        <v>311</v>
      </c>
      <c r="C621" s="4301"/>
      <c r="D621" s="4301"/>
      <c r="E621" s="4301"/>
      <c r="F621" s="4270">
        <f>$C$592</f>
        <v>36.299072024155073</v>
      </c>
      <c r="G621" s="4270"/>
    </row>
    <row r="622" spans="2:7" ht="15.75" thickBot="1" x14ac:dyDescent="0.3">
      <c r="B622" s="4310" t="s">
        <v>314</v>
      </c>
      <c r="C622" s="4311"/>
      <c r="D622" s="4311"/>
      <c r="E622" s="4311"/>
      <c r="F622" s="4311"/>
      <c r="G622" s="4312">
        <f>'Affald og spildevand 2018'!$L$24+'Affald og spildevand 2018'!$L$25</f>
        <v>34.604306943685259</v>
      </c>
    </row>
    <row r="652" spans="1:11" x14ac:dyDescent="0.2">
      <c r="A652" s="129"/>
    </row>
    <row r="654" spans="1:11" x14ac:dyDescent="0.2">
      <c r="A654" s="128"/>
      <c r="B654" s="128"/>
      <c r="C654" s="128"/>
      <c r="D654" s="128"/>
      <c r="E654" s="128"/>
      <c r="F654" s="128"/>
      <c r="G654" s="128"/>
      <c r="H654" s="128"/>
      <c r="I654" s="128"/>
      <c r="J654" s="128"/>
      <c r="K654" s="128"/>
    </row>
    <row r="655" spans="1:11" x14ac:dyDescent="0.2">
      <c r="A655" s="128"/>
      <c r="B655" s="128"/>
      <c r="C655" s="128"/>
      <c r="D655" s="128"/>
      <c r="E655" s="128"/>
      <c r="F655" s="128"/>
      <c r="G655" s="128"/>
      <c r="H655" s="128"/>
      <c r="I655" s="128"/>
      <c r="J655" s="128"/>
      <c r="K655" s="128"/>
    </row>
    <row r="656" spans="1:11" x14ac:dyDescent="0.2">
      <c r="A656" s="128"/>
      <c r="B656" s="128"/>
      <c r="C656" s="128"/>
      <c r="D656" s="128"/>
      <c r="E656" s="128"/>
      <c r="F656" s="128"/>
      <c r="G656" s="128"/>
      <c r="H656" s="128"/>
      <c r="I656" s="128"/>
      <c r="J656" s="128"/>
      <c r="K656" s="128"/>
    </row>
    <row r="657" s="128" customFormat="1" x14ac:dyDescent="0.2"/>
    <row r="658" s="128" customFormat="1" x14ac:dyDescent="0.2"/>
    <row r="659" s="128" customFormat="1" x14ac:dyDescent="0.2"/>
    <row r="660" s="128" customFormat="1" x14ac:dyDescent="0.2"/>
    <row r="661" s="128" customFormat="1" x14ac:dyDescent="0.2"/>
    <row r="662" s="128" customFormat="1" x14ac:dyDescent="0.2"/>
    <row r="663" s="128" customFormat="1" x14ac:dyDescent="0.2"/>
    <row r="664" s="128" customFormat="1" x14ac:dyDescent="0.2"/>
    <row r="665" s="128" customFormat="1" x14ac:dyDescent="0.2"/>
    <row r="666" s="128" customFormat="1" x14ac:dyDescent="0.2"/>
    <row r="667" s="128" customFormat="1" x14ac:dyDescent="0.2"/>
    <row r="668" s="128" customFormat="1" x14ac:dyDescent="0.2"/>
    <row r="669" s="128" customFormat="1" x14ac:dyDescent="0.2"/>
    <row r="670" s="128" customFormat="1" x14ac:dyDescent="0.2"/>
    <row r="671" s="128" customFormat="1" x14ac:dyDescent="0.2"/>
    <row r="672" s="128" customFormat="1" x14ac:dyDescent="0.2"/>
    <row r="673" s="128" customFormat="1" x14ac:dyDescent="0.2"/>
    <row r="674" s="128" customFormat="1" x14ac:dyDescent="0.2"/>
    <row r="675" s="128" customFormat="1" x14ac:dyDescent="0.2"/>
    <row r="676" s="128" customFormat="1" x14ac:dyDescent="0.2"/>
    <row r="677" s="128" customFormat="1" x14ac:dyDescent="0.2"/>
    <row r="678" s="128" customFormat="1" x14ac:dyDescent="0.2"/>
    <row r="679" s="128" customFormat="1" x14ac:dyDescent="0.2"/>
    <row r="680" s="128" customFormat="1" x14ac:dyDescent="0.2"/>
    <row r="681" s="128" customFormat="1" x14ac:dyDescent="0.2"/>
    <row r="682" s="128" customFormat="1" x14ac:dyDescent="0.2"/>
    <row r="683" s="128" customFormat="1" x14ac:dyDescent="0.2"/>
    <row r="684" s="128" customFormat="1" x14ac:dyDescent="0.2"/>
    <row r="685" s="128" customFormat="1" x14ac:dyDescent="0.2"/>
    <row r="686" s="128" customFormat="1" x14ac:dyDescent="0.2"/>
    <row r="687" s="128" customFormat="1" x14ac:dyDescent="0.2"/>
    <row r="688" s="128" customFormat="1" x14ac:dyDescent="0.2"/>
    <row r="689" s="128" customFormat="1" x14ac:dyDescent="0.2"/>
    <row r="690" s="128" customFormat="1" x14ac:dyDescent="0.2"/>
    <row r="691" s="128" customFormat="1" x14ac:dyDescent="0.2"/>
    <row r="692" s="128" customFormat="1" x14ac:dyDescent="0.2"/>
    <row r="693" s="128" customFormat="1" x14ac:dyDescent="0.2"/>
    <row r="694" s="128" customFormat="1" x14ac:dyDescent="0.2"/>
    <row r="695" s="128" customFormat="1" x14ac:dyDescent="0.2"/>
    <row r="696" s="128" customFormat="1" x14ac:dyDescent="0.2"/>
    <row r="697" s="128" customFormat="1" x14ac:dyDescent="0.2"/>
    <row r="698" s="128" customFormat="1" x14ac:dyDescent="0.2"/>
    <row r="699" s="128" customFormat="1" x14ac:dyDescent="0.2"/>
    <row r="700" s="128" customFormat="1" x14ac:dyDescent="0.2"/>
    <row r="701" s="128" customFormat="1" x14ac:dyDescent="0.2"/>
    <row r="702" s="128" customFormat="1" x14ac:dyDescent="0.2"/>
    <row r="703" s="128" customFormat="1" x14ac:dyDescent="0.2"/>
    <row r="704" s="128" customFormat="1" x14ac:dyDescent="0.2"/>
    <row r="705" s="128" customFormat="1" x14ac:dyDescent="0.2"/>
    <row r="706" s="128" customFormat="1" x14ac:dyDescent="0.2"/>
    <row r="707" s="128" customFormat="1" x14ac:dyDescent="0.2"/>
    <row r="708" s="128" customFormat="1" x14ac:dyDescent="0.2"/>
    <row r="709" s="128" customFormat="1" x14ac:dyDescent="0.2"/>
    <row r="710" s="128" customFormat="1" x14ac:dyDescent="0.2"/>
    <row r="711" s="128" customFormat="1" x14ac:dyDescent="0.2"/>
    <row r="712" s="128" customFormat="1" x14ac:dyDescent="0.2"/>
    <row r="713" s="128" customFormat="1" x14ac:dyDescent="0.2"/>
    <row r="714" s="128" customFormat="1" x14ac:dyDescent="0.2"/>
    <row r="715" s="128" customFormat="1" x14ac:dyDescent="0.2"/>
    <row r="716" s="128" customFormat="1" x14ac:dyDescent="0.2"/>
    <row r="717" s="128" customFormat="1" x14ac:dyDescent="0.2"/>
    <row r="718" s="128" customFormat="1" x14ac:dyDescent="0.2"/>
    <row r="719" s="128" customFormat="1" x14ac:dyDescent="0.2"/>
    <row r="720" s="128" customFormat="1" x14ac:dyDescent="0.2"/>
    <row r="721" s="128" customFormat="1" x14ac:dyDescent="0.2"/>
    <row r="722" s="128" customFormat="1" x14ac:dyDescent="0.2"/>
    <row r="723" s="128" customFormat="1" x14ac:dyDescent="0.2"/>
    <row r="724" s="128" customFormat="1" x14ac:dyDescent="0.2"/>
    <row r="725" s="128" customFormat="1" x14ac:dyDescent="0.2"/>
    <row r="726" s="128" customFormat="1" x14ac:dyDescent="0.2"/>
    <row r="727" s="128" customFormat="1" x14ac:dyDescent="0.2"/>
    <row r="728" s="128" customFormat="1" x14ac:dyDescent="0.2"/>
    <row r="729" s="128" customFormat="1" x14ac:dyDescent="0.2"/>
    <row r="730" s="128" customFormat="1" x14ac:dyDescent="0.2"/>
    <row r="731" s="128" customFormat="1" x14ac:dyDescent="0.2"/>
    <row r="732" s="128" customFormat="1" x14ac:dyDescent="0.2"/>
    <row r="733" s="128" customFormat="1" x14ac:dyDescent="0.2"/>
    <row r="734" s="128" customFormat="1" x14ac:dyDescent="0.2"/>
    <row r="735" s="128" customFormat="1" x14ac:dyDescent="0.2"/>
    <row r="736" s="128" customFormat="1" x14ac:dyDescent="0.2"/>
    <row r="737" s="128" customFormat="1" x14ac:dyDescent="0.2"/>
    <row r="738" s="128" customFormat="1" x14ac:dyDescent="0.2"/>
    <row r="739" s="128" customFormat="1" x14ac:dyDescent="0.2"/>
    <row r="740" s="128" customFormat="1" x14ac:dyDescent="0.2"/>
    <row r="741" s="128" customFormat="1" x14ac:dyDescent="0.2"/>
    <row r="742" s="128" customFormat="1" x14ac:dyDescent="0.2"/>
    <row r="743" s="128" customFormat="1" x14ac:dyDescent="0.2"/>
    <row r="744" s="128" customFormat="1" x14ac:dyDescent="0.2"/>
    <row r="745" s="128" customFormat="1" x14ac:dyDescent="0.2"/>
    <row r="746" s="128" customFormat="1" x14ac:dyDescent="0.2"/>
    <row r="747" s="128" customFormat="1" x14ac:dyDescent="0.2"/>
    <row r="748" s="128" customFormat="1" x14ac:dyDescent="0.2"/>
    <row r="749" s="128" customFormat="1" x14ac:dyDescent="0.2"/>
    <row r="750" s="128" customFormat="1" x14ac:dyDescent="0.2"/>
    <row r="751" s="128" customFormat="1" x14ac:dyDescent="0.2"/>
    <row r="752" s="128" customFormat="1" x14ac:dyDescent="0.2"/>
    <row r="753" s="128" customFormat="1" x14ac:dyDescent="0.2"/>
    <row r="754" s="128" customFormat="1" x14ac:dyDescent="0.2"/>
    <row r="755" s="128" customFormat="1" x14ac:dyDescent="0.2"/>
    <row r="756" s="128" customFormat="1" x14ac:dyDescent="0.2"/>
    <row r="757" s="128" customFormat="1" x14ac:dyDescent="0.2"/>
    <row r="758" s="128" customFormat="1" x14ac:dyDescent="0.2"/>
    <row r="759" s="128" customFormat="1" x14ac:dyDescent="0.2"/>
    <row r="760" s="128" customFormat="1" x14ac:dyDescent="0.2"/>
    <row r="761" s="128" customFormat="1" x14ac:dyDescent="0.2"/>
    <row r="762" s="128" customFormat="1" x14ac:dyDescent="0.2"/>
    <row r="763" s="128" customFormat="1" x14ac:dyDescent="0.2"/>
    <row r="764" s="128" customFormat="1" x14ac:dyDescent="0.2"/>
    <row r="765" s="128" customFormat="1" x14ac:dyDescent="0.2"/>
    <row r="766" s="128" customFormat="1" x14ac:dyDescent="0.2"/>
    <row r="767" s="128" customFormat="1" x14ac:dyDescent="0.2"/>
    <row r="768" s="128" customFormat="1" x14ac:dyDescent="0.2"/>
    <row r="769" s="128" customFormat="1" x14ac:dyDescent="0.2"/>
    <row r="770" s="128" customFormat="1" x14ac:dyDescent="0.2"/>
    <row r="771" s="128" customFormat="1" x14ac:dyDescent="0.2"/>
    <row r="772" s="128" customFormat="1" x14ac:dyDescent="0.2"/>
    <row r="773" s="128" customFormat="1" x14ac:dyDescent="0.2"/>
    <row r="774" s="128" customFormat="1" x14ac:dyDescent="0.2"/>
    <row r="775" s="128" customFormat="1" x14ac:dyDescent="0.2"/>
    <row r="776" s="128" customFormat="1" x14ac:dyDescent="0.2"/>
    <row r="777" s="128" customFormat="1" x14ac:dyDescent="0.2"/>
    <row r="778" s="128" customFormat="1" x14ac:dyDescent="0.2"/>
    <row r="779" s="128" customFormat="1" x14ac:dyDescent="0.2"/>
    <row r="780" s="128" customFormat="1" x14ac:dyDescent="0.2"/>
    <row r="781" s="128" customFormat="1" x14ac:dyDescent="0.2"/>
    <row r="782" s="128" customFormat="1" x14ac:dyDescent="0.2"/>
    <row r="783" s="128" customFormat="1" x14ac:dyDescent="0.2"/>
    <row r="784" s="128" customFormat="1" x14ac:dyDescent="0.2"/>
    <row r="785" s="128" customFormat="1" x14ac:dyDescent="0.2"/>
    <row r="786" s="128" customFormat="1" x14ac:dyDescent="0.2"/>
    <row r="787" s="128" customFormat="1" x14ac:dyDescent="0.2"/>
    <row r="788" s="128" customFormat="1" x14ac:dyDescent="0.2"/>
    <row r="789" s="128" customFormat="1" x14ac:dyDescent="0.2"/>
    <row r="790" s="128" customFormat="1" x14ac:dyDescent="0.2"/>
    <row r="791" s="128" customFormat="1" x14ac:dyDescent="0.2"/>
    <row r="792" s="128" customFormat="1" x14ac:dyDescent="0.2"/>
    <row r="793" s="128" customFormat="1" x14ac:dyDescent="0.2"/>
    <row r="794" s="128" customFormat="1" x14ac:dyDescent="0.2"/>
    <row r="795" s="128" customFormat="1" x14ac:dyDescent="0.2"/>
    <row r="796" s="128" customFormat="1" x14ac:dyDescent="0.2"/>
    <row r="797" s="128" customFormat="1" x14ac:dyDescent="0.2"/>
    <row r="798" s="128" customFormat="1" x14ac:dyDescent="0.2"/>
    <row r="799" s="128" customFormat="1" x14ac:dyDescent="0.2"/>
    <row r="800" s="128" customFormat="1" x14ac:dyDescent="0.2"/>
    <row r="801" s="128" customFormat="1" x14ac:dyDescent="0.2"/>
    <row r="802" s="128" customFormat="1" x14ac:dyDescent="0.2"/>
  </sheetData>
  <mergeCells count="14">
    <mergeCell ref="B619:G619"/>
    <mergeCell ref="B339:B340"/>
    <mergeCell ref="B444:B445"/>
    <mergeCell ref="H4:I4"/>
    <mergeCell ref="H5:I5"/>
    <mergeCell ref="B549:B550"/>
    <mergeCell ref="B261:B262"/>
    <mergeCell ref="B284:B285"/>
    <mergeCell ref="C261:F261"/>
    <mergeCell ref="C284:E284"/>
    <mergeCell ref="C339:D339"/>
    <mergeCell ref="C444:D444"/>
    <mergeCell ref="C549:F549"/>
    <mergeCell ref="G39:I39"/>
  </mergeCells>
  <dataValidations count="1">
    <dataValidation type="list" allowBlank="1" showInputMessage="1" showErrorMessage="1" promptTitle="GWP-værdier" prompt="Vælg mellem AR4 og AR5" sqref="B5" xr:uid="{EDCEEAD9-F1A8-4C98-B43C-14E21D7D2E95}">
      <formula1>$D$6:$D$7</formula1>
    </dataValidation>
  </dataValidations>
  <hyperlinks>
    <hyperlink ref="A2" location="Index!A1" display="Til index" xr:uid="{3B42EBAA-7590-4A10-960F-34A5E8B2501B}"/>
    <hyperlink ref="H7" location="'NIR faktorer'!A1" display="NIR faktorer" xr:uid="{2DB4DE58-1C76-4590-ACC3-D1A2784A231A}"/>
  </hyperlinks>
  <pageMargins left="0.7" right="0.7" top="0.75" bottom="0.75" header="0.3" footer="0.3"/>
  <pageSetup paperSize="8" scale="67"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264E7-739F-4089-A35D-D663AFB992D0}">
  <sheetPr codeName="Ark134">
    <tabColor theme="4" tint="0.59999389629810485"/>
  </sheetPr>
  <dimension ref="A1:S18"/>
  <sheetViews>
    <sheetView zoomScaleNormal="100" workbookViewId="0">
      <selection activeCell="F8" sqref="F8"/>
    </sheetView>
  </sheetViews>
  <sheetFormatPr defaultColWidth="8.7109375" defaultRowHeight="15" x14ac:dyDescent="0.25"/>
  <cols>
    <col min="1" max="1" width="8.7109375" style="992"/>
    <col min="2" max="2" width="23" style="992" customWidth="1"/>
    <col min="3" max="3" width="21.5703125" style="992" customWidth="1"/>
    <col min="4" max="4" width="20.7109375" style="992" customWidth="1"/>
    <col min="5" max="5" width="16.5703125" style="992" bestFit="1" customWidth="1"/>
    <col min="6" max="6" width="20.5703125" style="992" customWidth="1"/>
    <col min="7" max="7" width="22" style="992" customWidth="1"/>
    <col min="8" max="8" width="18" style="992" customWidth="1"/>
    <col min="9" max="9" width="20.7109375" style="992" customWidth="1"/>
    <col min="10" max="16384" width="8.7109375" style="992"/>
  </cols>
  <sheetData>
    <row r="1" spans="1:19" s="1006" customFormat="1" ht="47.1" customHeight="1" x14ac:dyDescent="0.35">
      <c r="C1" s="1007" t="s">
        <v>2838</v>
      </c>
      <c r="D1" s="1553"/>
      <c r="H1" s="1552"/>
      <c r="I1" s="1552"/>
      <c r="J1" s="1552"/>
      <c r="K1" s="1552"/>
      <c r="L1" s="1552"/>
      <c r="M1" s="1552"/>
      <c r="N1" s="1552"/>
      <c r="O1" s="1552"/>
      <c r="P1" s="1552"/>
      <c r="Q1" s="1552"/>
      <c r="R1" s="1552"/>
      <c r="S1" s="1552"/>
    </row>
    <row r="2" spans="1:19" ht="21" x14ac:dyDescent="0.35">
      <c r="A2" s="1740" t="s">
        <v>4206</v>
      </c>
    </row>
    <row r="3" spans="1:19" x14ac:dyDescent="0.25">
      <c r="A3" s="3675"/>
      <c r="B3" s="992" t="s">
        <v>1849</v>
      </c>
    </row>
    <row r="4" spans="1:19" x14ac:dyDescent="0.25">
      <c r="A4" s="1512"/>
      <c r="B4" s="992" t="s">
        <v>2837</v>
      </c>
    </row>
    <row r="5" spans="1:19" x14ac:dyDescent="0.25">
      <c r="D5" s="1091"/>
    </row>
    <row r="6" spans="1:19" ht="15.75" thickBot="1" x14ac:dyDescent="0.3"/>
    <row r="7" spans="1:19" s="1233" customFormat="1" ht="78.599999999999994" customHeight="1" thickBot="1" x14ac:dyDescent="0.25">
      <c r="B7" s="1551" t="s">
        <v>2836</v>
      </c>
      <c r="C7" s="1550" t="s">
        <v>4771</v>
      </c>
      <c r="D7" s="1550" t="s">
        <v>4772</v>
      </c>
      <c r="E7" s="1550" t="s">
        <v>4773</v>
      </c>
      <c r="F7" s="1550" t="s">
        <v>4794</v>
      </c>
      <c r="G7" s="1550" t="s">
        <v>4795</v>
      </c>
      <c r="H7" s="1550" t="s">
        <v>4774</v>
      </c>
      <c r="I7" s="2832" t="s">
        <v>4961</v>
      </c>
    </row>
    <row r="8" spans="1:19" x14ac:dyDescent="0.25">
      <c r="B8" s="2860" t="s">
        <v>1977</v>
      </c>
      <c r="C8" s="4341">
        <v>7142.1352999999999</v>
      </c>
      <c r="D8" s="3961" t="s">
        <v>799</v>
      </c>
      <c r="E8" s="2871" t="str">
        <f>IFERROR(IF(D8&lt;=0,"NA",D8/C8),"NA")</f>
        <v>NA</v>
      </c>
      <c r="F8" s="4239">
        <f>SUM('K2 2018'!B24:C24,GETPIVOTDATA("Total udledning af metan (ton)",'K2 2018'!$A$22,"Fordeling af dyretyper","Kvier","Staldtype fordeling","Bindestald"),'K2 2018'!L24:M24,'K2 2018'!O24:P24,'K2 2018'!B29:C30,'K2 2018'!I29:I30,'K2 2018'!L29:M30,'K2 2018'!O29:P30)</f>
        <v>8.97238200553344</v>
      </c>
      <c r="G8" s="2861" t="str">
        <f>IFERROR(F8*E8,"NA")</f>
        <v>NA</v>
      </c>
      <c r="H8" s="1670">
        <v>0.41</v>
      </c>
      <c r="I8" s="2862" t="str" cm="1">
        <f t="array" ref="I8">IFERROR(IF(D8&lt;=0,NA,-G8*H8),"NA")</f>
        <v>NA</v>
      </c>
    </row>
    <row r="9" spans="1:19" x14ac:dyDescent="0.25">
      <c r="B9" s="4026" t="s">
        <v>1941</v>
      </c>
      <c r="C9" s="4342">
        <v>0</v>
      </c>
      <c r="D9" s="3960" t="s">
        <v>799</v>
      </c>
      <c r="E9" s="4027" t="str">
        <f t="shared" ref="E9:E14" si="0">IFERROR(IF(D9&lt;=0,"NA",D9/C9),"NA")</f>
        <v>NA</v>
      </c>
      <c r="F9" s="4240">
        <f>SUM('K2 2018'!E27:E29,'K2 2018'!K27:K29,'K2 2018'!N27:N29,'K2 2018'!Q27:Q29)</f>
        <v>0</v>
      </c>
      <c r="G9" s="4028" t="str">
        <f t="shared" ref="G9:G14" si="1">IFERROR(F9*E9,"NA")</f>
        <v>NA</v>
      </c>
      <c r="H9" s="4029">
        <v>0.25</v>
      </c>
      <c r="I9" s="4030" t="str" cm="1">
        <f t="array" ref="I9">IFERROR(IF(D9&lt;=0,NA,-G9*H9),"NA")</f>
        <v>NA</v>
      </c>
    </row>
    <row r="10" spans="1:19" x14ac:dyDescent="0.25">
      <c r="B10" s="4026" t="s">
        <v>2835</v>
      </c>
      <c r="C10" s="4342">
        <v>10854.8938</v>
      </c>
      <c r="D10" s="4100">
        <v>0</v>
      </c>
      <c r="E10" s="4027" t="str">
        <f t="shared" si="0"/>
        <v>NA</v>
      </c>
      <c r="F10" s="4241">
        <f>SUM('K2 2018'!F30,'K2 2018'!G30,'K2 2018'!H30,'K2 2018'!J30)</f>
        <v>0</v>
      </c>
      <c r="G10" s="4028" t="str">
        <f t="shared" si="1"/>
        <v>NA</v>
      </c>
      <c r="H10" s="4029" t="s">
        <v>799</v>
      </c>
      <c r="I10" s="4030" t="str" cm="1">
        <f t="array" ref="I10">IFERROR(IF(D10&lt;=0,NA,-G10*H10),"NA")</f>
        <v>NA</v>
      </c>
    </row>
    <row r="11" spans="1:19" ht="16.5" customHeight="1" x14ac:dyDescent="0.25">
      <c r="B11" s="4026" t="s">
        <v>2834</v>
      </c>
      <c r="C11" s="4342">
        <v>0</v>
      </c>
      <c r="D11" s="4100">
        <v>0</v>
      </c>
      <c r="E11" s="4027" t="str">
        <f t="shared" si="0"/>
        <v>NA</v>
      </c>
      <c r="F11" s="4028">
        <f>GETPIVOTDATA("Total udledning af metan (ton)",'K2 2018'!$A$22,"Fordeling af dyretyper","Fjerkræ")</f>
        <v>0</v>
      </c>
      <c r="G11" s="4028" t="str">
        <f t="shared" si="1"/>
        <v>NA</v>
      </c>
      <c r="H11" s="4029" t="s">
        <v>799</v>
      </c>
      <c r="I11" s="4030" t="str" cm="1">
        <f t="array" ref="I11">IFERROR(IF(D11&lt;=0,NA,-G11*H11),"NA")</f>
        <v>NA</v>
      </c>
    </row>
    <row r="12" spans="1:19" ht="15.6" customHeight="1" x14ac:dyDescent="0.25">
      <c r="B12" s="4026" t="s">
        <v>2833</v>
      </c>
      <c r="C12" s="4342" t="s">
        <v>2910</v>
      </c>
      <c r="D12" s="4100">
        <v>0</v>
      </c>
      <c r="E12" s="4027" t="str">
        <f t="shared" si="0"/>
        <v>NA</v>
      </c>
      <c r="F12" s="4031">
        <f>GETPIVOTDATA("Total udledning af metan (ton)",'K2 2018'!$A$22,"Staldtype fordeling","Dybstrøelse")-'K2a 2018'!F13-'K2a 2018'!F14</f>
        <v>6.1328536515546261E-2</v>
      </c>
      <c r="G12" s="4031" t="str">
        <f t="shared" si="1"/>
        <v>NA</v>
      </c>
      <c r="H12" s="4032" t="s">
        <v>799</v>
      </c>
      <c r="I12" s="4030" t="str" cm="1">
        <f t="array" ref="I12">IFERROR(IF(D12&lt;=0,NA,-G12*H12),"NA")</f>
        <v>NA</v>
      </c>
    </row>
    <row r="13" spans="1:19" ht="15.6" customHeight="1" x14ac:dyDescent="0.25">
      <c r="B13" s="4026" t="s">
        <v>2832</v>
      </c>
      <c r="C13" s="4342" t="s">
        <v>2910</v>
      </c>
      <c r="D13" s="4100">
        <v>0</v>
      </c>
      <c r="E13" s="4027" t="str">
        <f t="shared" si="0"/>
        <v>NA</v>
      </c>
      <c r="F13" s="4028">
        <f>SUM('K2 2018'!D25)</f>
        <v>0</v>
      </c>
      <c r="G13" s="4031" t="str">
        <f t="shared" si="1"/>
        <v>NA</v>
      </c>
      <c r="H13" s="4032" t="s">
        <v>799</v>
      </c>
      <c r="I13" s="4030" t="str" cm="1">
        <f t="array" ref="I13">IFERROR(IF(D13&lt;=0,NA,-G13*H13),"NA")</f>
        <v>NA</v>
      </c>
    </row>
    <row r="14" spans="1:19" ht="15.75" thickBot="1" x14ac:dyDescent="0.3">
      <c r="B14" s="2867" t="s">
        <v>2831</v>
      </c>
      <c r="C14" s="4343" t="s">
        <v>2910</v>
      </c>
      <c r="D14" s="3976">
        <v>0</v>
      </c>
      <c r="E14" s="4033" t="str">
        <f t="shared" si="0"/>
        <v>NA</v>
      </c>
      <c r="F14" s="2868">
        <f>SUM('K2 2018'!B25,'K2 2018'!C25,'K2 2018'!I25,'K2 2018'!L25,'K2 2018'!M25,'K2 2018'!O25,'K2 2018'!P25)</f>
        <v>56.955186976207187</v>
      </c>
      <c r="G14" s="2869" t="str">
        <f t="shared" si="1"/>
        <v>NA</v>
      </c>
      <c r="H14" s="1673" t="s">
        <v>799</v>
      </c>
      <c r="I14" s="2870" t="str" cm="1">
        <f t="array" ref="I14">IFERROR(IF(D14&lt;=0,NA,-G14*H14),"NA")</f>
        <v>NA</v>
      </c>
    </row>
    <row r="15" spans="1:19" ht="25.9" customHeight="1" x14ac:dyDescent="0.25">
      <c r="F15" s="1091"/>
    </row>
    <row r="16" spans="1:19" s="1233" customFormat="1" ht="69.75" customHeight="1" x14ac:dyDescent="0.2">
      <c r="B16" s="1012" t="s">
        <v>2062</v>
      </c>
      <c r="C16" s="1549" t="s">
        <v>5229</v>
      </c>
      <c r="D16" s="1771" t="s">
        <v>1845</v>
      </c>
      <c r="E16" s="1766" t="s">
        <v>2830</v>
      </c>
      <c r="F16" s="1250"/>
      <c r="G16" s="1766"/>
      <c r="H16" s="1765" t="s">
        <v>2829</v>
      </c>
      <c r="I16" s="2922" t="s">
        <v>2304</v>
      </c>
    </row>
    <row r="17" spans="2:8" x14ac:dyDescent="0.25">
      <c r="E17" s="1091"/>
      <c r="H17" s="1091"/>
    </row>
    <row r="18" spans="2:8" x14ac:dyDescent="0.25">
      <c r="B18" s="1110"/>
    </row>
  </sheetData>
  <hyperlinks>
    <hyperlink ref="A2" location="Index!A1" display="Til index" xr:uid="{280BEB62-5DA0-4217-AE01-A43C20FA6E05}"/>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3AB39-C062-4932-B809-292402207B54}">
  <sheetPr codeName="Ark119">
    <tabColor theme="4" tint="-0.249977111117893"/>
  </sheetPr>
  <dimension ref="A1:S18"/>
  <sheetViews>
    <sheetView zoomScaleNormal="100" workbookViewId="0">
      <selection activeCell="F8" sqref="F8:F10"/>
    </sheetView>
  </sheetViews>
  <sheetFormatPr defaultColWidth="8.7109375" defaultRowHeight="15" x14ac:dyDescent="0.25"/>
  <cols>
    <col min="1" max="1" width="8.7109375" style="992"/>
    <col min="2" max="2" width="23" style="992" customWidth="1"/>
    <col min="3" max="3" width="21.5703125" style="992" customWidth="1"/>
    <col min="4" max="4" width="22" style="992" customWidth="1"/>
    <col min="5" max="5" width="16.5703125" style="992" bestFit="1" customWidth="1"/>
    <col min="6" max="6" width="20.42578125" style="992" customWidth="1"/>
    <col min="7" max="7" width="22.7109375" style="992" customWidth="1"/>
    <col min="8" max="8" width="18" style="992" customWidth="1"/>
    <col min="9" max="9" width="20" style="992" customWidth="1"/>
    <col min="10" max="16384" width="8.7109375" style="992"/>
  </cols>
  <sheetData>
    <row r="1" spans="1:19" s="1006" customFormat="1" ht="47.1" customHeight="1" x14ac:dyDescent="0.35">
      <c r="C1" s="1007" t="s">
        <v>2838</v>
      </c>
      <c r="D1" s="1553"/>
      <c r="H1" s="1552"/>
      <c r="I1" s="1552"/>
      <c r="J1" s="1552"/>
      <c r="K1" s="1552"/>
      <c r="L1" s="1552"/>
      <c r="M1" s="1552"/>
      <c r="N1" s="1552"/>
      <c r="O1" s="1552"/>
      <c r="P1" s="1552"/>
      <c r="Q1" s="1552"/>
      <c r="R1" s="1552"/>
      <c r="S1" s="1552"/>
    </row>
    <row r="2" spans="1:19" ht="21" x14ac:dyDescent="0.35">
      <c r="A2" s="1740" t="s">
        <v>4206</v>
      </c>
      <c r="F2" s="1144"/>
    </row>
    <row r="3" spans="1:19" x14ac:dyDescent="0.25">
      <c r="A3" s="3675"/>
      <c r="B3" s="992" t="s">
        <v>1849</v>
      </c>
    </row>
    <row r="4" spans="1:19" x14ac:dyDescent="0.25">
      <c r="A4" s="1512"/>
      <c r="B4" s="992" t="s">
        <v>2837</v>
      </c>
    </row>
    <row r="5" spans="1:19" x14ac:dyDescent="0.25">
      <c r="D5" s="1091"/>
    </row>
    <row r="6" spans="1:19" ht="15.75" thickBot="1" x14ac:dyDescent="0.3"/>
    <row r="7" spans="1:19" s="1233" customFormat="1" ht="78.599999999999994" customHeight="1" thickBot="1" x14ac:dyDescent="0.25">
      <c r="B7" s="1551" t="s">
        <v>2836</v>
      </c>
      <c r="C7" s="1550" t="s">
        <v>4771</v>
      </c>
      <c r="D7" s="1550" t="s">
        <v>4772</v>
      </c>
      <c r="E7" s="1550" t="s">
        <v>4773</v>
      </c>
      <c r="F7" s="1550" t="s">
        <v>4794</v>
      </c>
      <c r="G7" s="1550" t="s">
        <v>4795</v>
      </c>
      <c r="H7" s="1550" t="s">
        <v>4774</v>
      </c>
      <c r="I7" s="2832" t="s">
        <v>4961</v>
      </c>
    </row>
    <row r="8" spans="1:19" x14ac:dyDescent="0.25">
      <c r="B8" s="2860" t="s">
        <v>1977</v>
      </c>
      <c r="C8" s="4344">
        <v>7142.1352999999999</v>
      </c>
      <c r="D8" s="3672" t="s">
        <v>799</v>
      </c>
      <c r="E8" s="2871" t="str">
        <f t="shared" ref="E8:E14" si="0">IFERROR(IF(D8&lt;=0,"NA",D8/C8),"NA")</f>
        <v>NA</v>
      </c>
      <c r="F8" s="4239">
        <f>SUM('K2 2018G'!B24:C24,GETPIVOTDATA("Total udledning af metan (ton)",'K2 2018G'!$A$22,"Fordeling af dyretyper","Kvier","Staldtype fordeling","Bindestald"),'K2 2018G'!L24:M24,'K2 2018G'!O24:P24,'K2 2018G'!B29:C30,'K2 2018G'!I29:I30,'K2 2018G'!L29:M30,'K2 2018G'!O29:P30)</f>
        <v>8.97238200553344</v>
      </c>
      <c r="G8" s="2861" t="str">
        <f t="shared" ref="G8:G14" si="1">IFERROR(F8*E8,"NA")</f>
        <v>NA</v>
      </c>
      <c r="H8" s="1670">
        <v>0.41</v>
      </c>
      <c r="I8" s="2862" t="str" cm="1">
        <f t="array" ref="I8">IFERROR(IF(D8&lt;=0,NA,-G8*H8),"NA")</f>
        <v>NA</v>
      </c>
    </row>
    <row r="9" spans="1:19" x14ac:dyDescent="0.25">
      <c r="B9" s="2863" t="s">
        <v>1941</v>
      </c>
      <c r="C9" s="4345">
        <v>0</v>
      </c>
      <c r="D9" s="3673" t="s">
        <v>799</v>
      </c>
      <c r="E9" s="2872" t="str">
        <f t="shared" si="0"/>
        <v>NA</v>
      </c>
      <c r="F9" s="4240">
        <f>SUM('K2 2018G'!E27:E29,'K2 2018G'!K27:K29,'K2 2018G'!N27:N29,'K2 2018G'!Q27:Q29)</f>
        <v>0</v>
      </c>
      <c r="G9" s="2865" t="str">
        <f t="shared" si="1"/>
        <v>NA</v>
      </c>
      <c r="H9" s="1671">
        <v>0.25</v>
      </c>
      <c r="I9" s="2866" t="str" cm="1">
        <f t="array" ref="I9">IFERROR(IF(D9&lt;=0,NA,-G9*H9),"NA")</f>
        <v>NA</v>
      </c>
    </row>
    <row r="10" spans="1:19" x14ac:dyDescent="0.25">
      <c r="B10" s="2863" t="s">
        <v>2835</v>
      </c>
      <c r="C10" s="4345">
        <v>10854.8938</v>
      </c>
      <c r="D10" s="3673">
        <v>0</v>
      </c>
      <c r="E10" s="2872" t="str">
        <f>IFERROR(IF(D10&lt;=0,"NA",D10/C10),"NA")</f>
        <v>NA</v>
      </c>
      <c r="F10" s="4241">
        <f>SUM('K2 2018G'!F30,'K2 2018G'!G30,'K2 2018G'!H30,'K2 2018G'!J30)</f>
        <v>0</v>
      </c>
      <c r="G10" s="2865" t="str">
        <f t="shared" si="1"/>
        <v>NA</v>
      </c>
      <c r="H10" s="1671" t="s">
        <v>799</v>
      </c>
      <c r="I10" s="2866" t="str" cm="1">
        <f t="array" ref="I10">IFERROR(IF(D10&lt;=0,NA,-G10*H10),"NA")</f>
        <v>NA</v>
      </c>
    </row>
    <row r="11" spans="1:19" ht="16.5" customHeight="1" x14ac:dyDescent="0.25">
      <c r="B11" s="2863" t="s">
        <v>2834</v>
      </c>
      <c r="C11" s="4345">
        <v>0</v>
      </c>
      <c r="D11" s="3673">
        <v>0</v>
      </c>
      <c r="E11" s="2872" t="str">
        <f t="shared" si="0"/>
        <v>NA</v>
      </c>
      <c r="F11" s="2865">
        <f>GETPIVOTDATA("Total udledning af metan (ton)",'K2 2018G'!$A$22,"Fordeling af dyretyper","Fjerkræ")</f>
        <v>0</v>
      </c>
      <c r="G11" s="2865" t="str">
        <f t="shared" si="1"/>
        <v>NA</v>
      </c>
      <c r="H11" s="1671" t="s">
        <v>799</v>
      </c>
      <c r="I11" s="2866" t="str" cm="1">
        <f t="array" ref="I11">IFERROR(IF(D11&lt;=0,NA,-G11*H11),"NA")</f>
        <v>NA</v>
      </c>
    </row>
    <row r="12" spans="1:19" ht="15.6" customHeight="1" x14ac:dyDescent="0.25">
      <c r="B12" s="2863" t="s">
        <v>2833</v>
      </c>
      <c r="C12" s="4345" t="s">
        <v>2910</v>
      </c>
      <c r="D12" s="3673">
        <v>0</v>
      </c>
      <c r="E12" s="2872" t="str">
        <f t="shared" si="0"/>
        <v>NA</v>
      </c>
      <c r="F12" s="2864">
        <f>GETPIVOTDATA("Total udledning af metan (ton)",'K2 2018G'!$A$22,"Staldtype fordeling","Dybstrøelse")-'K2a 2018G'!F13-'K2a 2018G'!F14</f>
        <v>6.1328536515546261E-2</v>
      </c>
      <c r="G12" s="2864" t="str">
        <f t="shared" si="1"/>
        <v>NA</v>
      </c>
      <c r="H12" s="1672" t="s">
        <v>799</v>
      </c>
      <c r="I12" s="2866" t="str" cm="1">
        <f t="array" ref="I12">IFERROR(IF(D12&lt;=0,NA,-G12*H12),"NA")</f>
        <v>NA</v>
      </c>
    </row>
    <row r="13" spans="1:19" ht="15.6" customHeight="1" x14ac:dyDescent="0.25">
      <c r="B13" s="2863" t="s">
        <v>2832</v>
      </c>
      <c r="C13" s="4345" t="s">
        <v>2910</v>
      </c>
      <c r="D13" s="3673">
        <v>0</v>
      </c>
      <c r="E13" s="2872" t="str">
        <f t="shared" si="0"/>
        <v>NA</v>
      </c>
      <c r="F13" s="2865">
        <f>SUM('K2 2018G'!D25)</f>
        <v>0</v>
      </c>
      <c r="G13" s="2864" t="str">
        <f t="shared" si="1"/>
        <v>NA</v>
      </c>
      <c r="H13" s="1672" t="s">
        <v>799</v>
      </c>
      <c r="I13" s="2866" t="str" cm="1">
        <f t="array" ref="I13">IFERROR(IF(D13&lt;=0,NA,-G13*H13),"NA")</f>
        <v>NA</v>
      </c>
    </row>
    <row r="14" spans="1:19" ht="15.75" thickBot="1" x14ac:dyDescent="0.3">
      <c r="B14" s="2867" t="s">
        <v>2831</v>
      </c>
      <c r="C14" s="4346" t="s">
        <v>2910</v>
      </c>
      <c r="D14" s="3674">
        <v>0</v>
      </c>
      <c r="E14" s="2873" t="str">
        <f t="shared" si="0"/>
        <v>NA</v>
      </c>
      <c r="F14" s="2868">
        <f>SUM('K2 2018G'!B25,'K2 2018G'!C25,'K2 2018G'!I25,'K2 2018G'!L25,'K2 2018G'!M25,'K2 2018G'!O25,'K2 2018G'!P25)</f>
        <v>56.955186976207187</v>
      </c>
      <c r="G14" s="2869" t="str">
        <f t="shared" si="1"/>
        <v>NA</v>
      </c>
      <c r="H14" s="1673" t="s">
        <v>799</v>
      </c>
      <c r="I14" s="2870" t="str" cm="1">
        <f t="array" ref="I14">IFERROR(IF(D14&lt;=0,NA,-G14*H14),"NA")</f>
        <v>NA</v>
      </c>
    </row>
    <row r="15" spans="1:19" ht="25.9" customHeight="1" x14ac:dyDescent="0.25">
      <c r="F15" s="1091"/>
    </row>
    <row r="16" spans="1:19" s="1233" customFormat="1" ht="69.75" customHeight="1" x14ac:dyDescent="0.2">
      <c r="B16" s="1012" t="s">
        <v>2062</v>
      </c>
      <c r="C16" s="1549" t="s">
        <v>5229</v>
      </c>
      <c r="D16" s="1771" t="s">
        <v>1845</v>
      </c>
      <c r="E16" s="1766" t="s">
        <v>2830</v>
      </c>
      <c r="F16" s="1250"/>
      <c r="G16" s="1766"/>
      <c r="H16" s="1765" t="s">
        <v>2829</v>
      </c>
      <c r="I16" s="2922" t="s">
        <v>2304</v>
      </c>
    </row>
    <row r="17" spans="2:8" x14ac:dyDescent="0.25">
      <c r="E17" s="1091"/>
      <c r="H17" s="1091"/>
    </row>
    <row r="18" spans="2:8" x14ac:dyDescent="0.25">
      <c r="B18" s="1110"/>
    </row>
  </sheetData>
  <hyperlinks>
    <hyperlink ref="A2" location="Index!A1" display="Til index" xr:uid="{37CDC904-5E1A-446A-B351-574DECFFD395}"/>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4FA6D-078B-4DF0-A85C-317FF513F37F}">
  <sheetPr codeName="Ark133">
    <tabColor theme="4" tint="0.59999389629810485"/>
  </sheetPr>
  <dimension ref="A1:R154"/>
  <sheetViews>
    <sheetView topLeftCell="A13" zoomScale="85" zoomScaleNormal="85" workbookViewId="0">
      <selection activeCell="A40" sqref="A40"/>
    </sheetView>
  </sheetViews>
  <sheetFormatPr defaultColWidth="9.140625" defaultRowHeight="15" x14ac:dyDescent="0.25"/>
  <cols>
    <col min="1" max="1" width="20.28515625" style="992" bestFit="1" customWidth="1"/>
    <col min="2" max="2" width="20.140625" style="992" bestFit="1" customWidth="1"/>
    <col min="3" max="3" width="8.140625" style="992" bestFit="1" customWidth="1"/>
    <col min="4" max="4" width="8.7109375" style="992" bestFit="1" customWidth="1"/>
    <col min="5" max="5" width="13" style="992" bestFit="1" customWidth="1"/>
    <col min="6" max="6" width="11.28515625" style="992" bestFit="1" customWidth="1"/>
    <col min="7" max="7" width="6.85546875" style="992" bestFit="1" customWidth="1"/>
    <col min="8" max="8" width="9.28515625" style="992" bestFit="1" customWidth="1"/>
    <col min="9" max="9" width="6.28515625" style="992" bestFit="1" customWidth="1"/>
    <col min="10" max="10" width="8.85546875" style="992" bestFit="1" customWidth="1"/>
    <col min="11" max="11" width="8.28515625" style="992" bestFit="1" customWidth="1"/>
    <col min="12" max="12" width="21.85546875" style="992" bestFit="1" customWidth="1"/>
    <col min="13" max="13" width="20.140625" style="992" bestFit="1" customWidth="1"/>
    <col min="14" max="14" width="10.5703125" style="992" bestFit="1" customWidth="1"/>
    <col min="15" max="15" width="10.7109375" style="992" bestFit="1" customWidth="1"/>
    <col min="16" max="16" width="19.5703125" style="992" bestFit="1" customWidth="1"/>
    <col min="17" max="17" width="7" style="992" bestFit="1" customWidth="1"/>
    <col min="18" max="18" width="12" style="992" bestFit="1" customWidth="1"/>
    <col min="19" max="77" width="68.140625" style="992" bestFit="1" customWidth="1"/>
    <col min="78" max="78" width="10.85546875" style="992" bestFit="1" customWidth="1"/>
    <col min="79" max="16384" width="9.140625" style="992"/>
  </cols>
  <sheetData>
    <row r="1" spans="1:18" s="1006" customFormat="1" ht="47.45" customHeight="1" x14ac:dyDescent="0.35">
      <c r="B1" s="1007" t="s">
        <v>2881</v>
      </c>
    </row>
    <row r="2" spans="1:18" ht="21" x14ac:dyDescent="0.35">
      <c r="A2" s="1740" t="s">
        <v>4206</v>
      </c>
    </row>
    <row r="4" spans="1:18" x14ac:dyDescent="0.25">
      <c r="A4" s="1512"/>
      <c r="B4" s="992" t="s">
        <v>2837</v>
      </c>
    </row>
    <row r="5" spans="1:18" ht="15.75" thickBot="1" x14ac:dyDescent="0.3"/>
    <row r="6" spans="1:18" ht="15.75" thickBot="1" x14ac:dyDescent="0.3">
      <c r="A6" s="5217" t="s">
        <v>4994</v>
      </c>
      <c r="B6" s="5218"/>
      <c r="C6" s="5218"/>
      <c r="D6" s="5218"/>
      <c r="E6" s="5218"/>
      <c r="F6" s="5218"/>
      <c r="G6" s="5218"/>
      <c r="H6" s="5218"/>
      <c r="I6" s="5218"/>
      <c r="J6" s="5218"/>
      <c r="K6" s="5218"/>
      <c r="L6" s="5218"/>
      <c r="M6" s="5218"/>
      <c r="N6" s="5218"/>
      <c r="O6" s="5218"/>
      <c r="P6" s="5218"/>
      <c r="Q6" s="5218"/>
      <c r="R6" s="5219"/>
    </row>
    <row r="7" spans="1:18" ht="15.75" thickBot="1" x14ac:dyDescent="0.3">
      <c r="A7" s="4317" t="s">
        <v>4748</v>
      </c>
      <c r="B7" s="4317" t="s">
        <v>2880</v>
      </c>
      <c r="C7" s="4318"/>
      <c r="D7" s="4319"/>
      <c r="E7" s="4319"/>
      <c r="F7" s="4319"/>
      <c r="G7" s="4319"/>
      <c r="H7" s="4319"/>
      <c r="I7" s="4319"/>
      <c r="J7" s="4319"/>
      <c r="K7" s="4319"/>
      <c r="L7" s="4319"/>
      <c r="M7" s="4319"/>
      <c r="N7" s="4319"/>
      <c r="O7" s="4319"/>
      <c r="P7" s="4319"/>
      <c r="Q7" s="4319"/>
      <c r="R7" s="4320"/>
    </row>
    <row r="8" spans="1:18" s="1144" customFormat="1" ht="15.75" thickBot="1" x14ac:dyDescent="0.3">
      <c r="A8" s="4321" t="s">
        <v>2827</v>
      </c>
      <c r="B8" s="4322" t="s">
        <v>329</v>
      </c>
      <c r="C8" s="4323" t="s">
        <v>330</v>
      </c>
      <c r="D8" s="4323" t="s">
        <v>331</v>
      </c>
      <c r="E8" s="4323" t="s">
        <v>2754</v>
      </c>
      <c r="F8" s="4323" t="s">
        <v>333</v>
      </c>
      <c r="G8" s="4323" t="s">
        <v>334</v>
      </c>
      <c r="H8" s="4323" t="s">
        <v>335</v>
      </c>
      <c r="I8" s="4323" t="s">
        <v>336</v>
      </c>
      <c r="J8" s="4323" t="s">
        <v>337</v>
      </c>
      <c r="K8" s="4323" t="s">
        <v>2747</v>
      </c>
      <c r="L8" s="4323" t="s">
        <v>2794</v>
      </c>
      <c r="M8" s="4323" t="s">
        <v>2796</v>
      </c>
      <c r="N8" s="4323" t="s">
        <v>339</v>
      </c>
      <c r="O8" s="4323" t="s">
        <v>340</v>
      </c>
      <c r="P8" s="4323" t="s">
        <v>341</v>
      </c>
      <c r="Q8" s="4324" t="s">
        <v>342</v>
      </c>
      <c r="R8" s="4325" t="s">
        <v>2825</v>
      </c>
    </row>
    <row r="9" spans="1:18" x14ac:dyDescent="0.25">
      <c r="A9" s="4326" t="s">
        <v>639</v>
      </c>
      <c r="B9" s="4327">
        <v>50.06</v>
      </c>
      <c r="C9" s="4328">
        <v>0</v>
      </c>
      <c r="D9" s="4328"/>
      <c r="E9" s="4328"/>
      <c r="F9" s="4328"/>
      <c r="G9" s="4328"/>
      <c r="H9" s="4328"/>
      <c r="I9" s="4328">
        <v>37.799999999999997</v>
      </c>
      <c r="J9" s="4328"/>
      <c r="K9" s="4328"/>
      <c r="L9" s="4328"/>
      <c r="M9" s="4328">
        <v>5.1100000000000003</v>
      </c>
      <c r="N9" s="4328"/>
      <c r="O9" s="4328"/>
      <c r="P9" s="4328">
        <v>0</v>
      </c>
      <c r="Q9" s="4328"/>
      <c r="R9" s="4329">
        <v>92.97</v>
      </c>
    </row>
    <row r="10" spans="1:18" x14ac:dyDescent="0.25">
      <c r="A10" s="4326" t="s">
        <v>350</v>
      </c>
      <c r="B10" s="4327">
        <v>476.63</v>
      </c>
      <c r="C10" s="4328">
        <v>10.94</v>
      </c>
      <c r="D10" s="4328"/>
      <c r="E10" s="4328">
        <v>0</v>
      </c>
      <c r="F10" s="4328"/>
      <c r="G10" s="4328"/>
      <c r="H10" s="4328"/>
      <c r="I10" s="4328">
        <v>532.31999999999994</v>
      </c>
      <c r="J10" s="4328"/>
      <c r="K10" s="4328">
        <v>27.54</v>
      </c>
      <c r="L10" s="4328">
        <v>493.31</v>
      </c>
      <c r="M10" s="4328">
        <v>548.35</v>
      </c>
      <c r="N10" s="4328">
        <v>27.54</v>
      </c>
      <c r="O10" s="4328">
        <v>175.85</v>
      </c>
      <c r="P10" s="4328">
        <v>0</v>
      </c>
      <c r="Q10" s="4328">
        <v>0</v>
      </c>
      <c r="R10" s="4329">
        <v>2292.4799999999996</v>
      </c>
    </row>
    <row r="11" spans="1:18" x14ac:dyDescent="0.25">
      <c r="A11" s="4326" t="s">
        <v>351</v>
      </c>
      <c r="B11" s="4327"/>
      <c r="C11" s="4328"/>
      <c r="D11" s="4328">
        <v>0</v>
      </c>
      <c r="E11" s="4328"/>
      <c r="F11" s="4328"/>
      <c r="G11" s="4328"/>
      <c r="H11" s="4328"/>
      <c r="I11" s="4328"/>
      <c r="J11" s="4328"/>
      <c r="K11" s="4328"/>
      <c r="L11" s="4328"/>
      <c r="M11" s="4328"/>
      <c r="N11" s="4328"/>
      <c r="O11" s="4328"/>
      <c r="P11" s="4328"/>
      <c r="Q11" s="4328">
        <v>0</v>
      </c>
      <c r="R11" s="4329">
        <v>0</v>
      </c>
    </row>
    <row r="12" spans="1:18" x14ac:dyDescent="0.25">
      <c r="A12" s="4326" t="s">
        <v>352</v>
      </c>
      <c r="B12" s="4327"/>
      <c r="C12" s="4328"/>
      <c r="D12" s="4328">
        <v>0</v>
      </c>
      <c r="E12" s="4328">
        <v>0</v>
      </c>
      <c r="F12" s="4328"/>
      <c r="G12" s="4328"/>
      <c r="H12" s="4328"/>
      <c r="I12" s="4328"/>
      <c r="J12" s="4328"/>
      <c r="K12" s="4328">
        <v>0</v>
      </c>
      <c r="L12" s="4328"/>
      <c r="M12" s="4328"/>
      <c r="N12" s="4328">
        <v>0</v>
      </c>
      <c r="O12" s="4328"/>
      <c r="P12" s="4328"/>
      <c r="Q12" s="4328"/>
      <c r="R12" s="4329">
        <v>0</v>
      </c>
    </row>
    <row r="13" spans="1:18" x14ac:dyDescent="0.25">
      <c r="A13" s="4326" t="s">
        <v>2879</v>
      </c>
      <c r="B13" s="4327"/>
      <c r="C13" s="4328"/>
      <c r="D13" s="4328">
        <v>0</v>
      </c>
      <c r="E13" s="4328"/>
      <c r="F13" s="4328">
        <v>403.89</v>
      </c>
      <c r="G13" s="4328">
        <v>318.72999999999996</v>
      </c>
      <c r="H13" s="4328">
        <v>0</v>
      </c>
      <c r="I13" s="4328"/>
      <c r="J13" s="4328">
        <v>28565.51</v>
      </c>
      <c r="K13" s="4328"/>
      <c r="L13" s="4328"/>
      <c r="M13" s="4328"/>
      <c r="N13" s="4328"/>
      <c r="O13" s="4328"/>
      <c r="P13" s="4328"/>
      <c r="Q13" s="4328"/>
      <c r="R13" s="4329">
        <v>29288.129999999997</v>
      </c>
    </row>
    <row r="14" spans="1:18" x14ac:dyDescent="0.25">
      <c r="A14" s="4326" t="s">
        <v>353</v>
      </c>
      <c r="B14" s="4327"/>
      <c r="C14" s="4328">
        <v>0</v>
      </c>
      <c r="D14" s="4328"/>
      <c r="E14" s="4328">
        <v>0</v>
      </c>
      <c r="F14" s="4328"/>
      <c r="G14" s="4328"/>
      <c r="H14" s="4328"/>
      <c r="I14" s="4328">
        <v>0</v>
      </c>
      <c r="J14" s="4328"/>
      <c r="K14" s="4328">
        <v>0</v>
      </c>
      <c r="L14" s="4328"/>
      <c r="M14" s="4328">
        <v>0</v>
      </c>
      <c r="N14" s="4328">
        <v>0</v>
      </c>
      <c r="O14" s="4328"/>
      <c r="P14" s="4328"/>
      <c r="Q14" s="4328">
        <v>0</v>
      </c>
      <c r="R14" s="4329">
        <v>0</v>
      </c>
    </row>
    <row r="15" spans="1:18" ht="15.75" thickBot="1" x14ac:dyDescent="0.3">
      <c r="A15" s="4330" t="s">
        <v>354</v>
      </c>
      <c r="B15" s="4327">
        <v>100</v>
      </c>
      <c r="C15" s="4328">
        <v>0</v>
      </c>
      <c r="D15" s="4328"/>
      <c r="E15" s="4328"/>
      <c r="F15" s="4328"/>
      <c r="G15" s="4328"/>
      <c r="H15" s="4328"/>
      <c r="I15" s="4328">
        <v>0</v>
      </c>
      <c r="J15" s="4328"/>
      <c r="K15" s="4328"/>
      <c r="L15" s="4328"/>
      <c r="M15" s="4328">
        <v>0</v>
      </c>
      <c r="N15" s="4328"/>
      <c r="O15" s="4328"/>
      <c r="P15" s="4328">
        <v>188.07</v>
      </c>
      <c r="Q15" s="4328"/>
      <c r="R15" s="4329">
        <v>288.07</v>
      </c>
    </row>
    <row r="16" spans="1:18" ht="15.75" thickBot="1" x14ac:dyDescent="0.3">
      <c r="A16" s="4331" t="s">
        <v>2825</v>
      </c>
      <c r="B16" s="4332">
        <v>626.69000000000005</v>
      </c>
      <c r="C16" s="4333">
        <v>10.94</v>
      </c>
      <c r="D16" s="4333">
        <v>0</v>
      </c>
      <c r="E16" s="4333">
        <v>0</v>
      </c>
      <c r="F16" s="4333">
        <v>403.89</v>
      </c>
      <c r="G16" s="4333">
        <v>318.72999999999996</v>
      </c>
      <c r="H16" s="4333">
        <v>0</v>
      </c>
      <c r="I16" s="4333">
        <v>570.11999999999989</v>
      </c>
      <c r="J16" s="4333">
        <v>28565.51</v>
      </c>
      <c r="K16" s="4333">
        <v>27.54</v>
      </c>
      <c r="L16" s="4333">
        <v>493.31</v>
      </c>
      <c r="M16" s="4333">
        <v>553.46</v>
      </c>
      <c r="N16" s="4333">
        <v>27.54</v>
      </c>
      <c r="O16" s="4333">
        <v>175.85</v>
      </c>
      <c r="P16" s="4333">
        <v>188.07</v>
      </c>
      <c r="Q16" s="4333">
        <v>0</v>
      </c>
      <c r="R16" s="4334">
        <v>31961.649999999998</v>
      </c>
    </row>
    <row r="17" spans="1:18" s="1144" customFormat="1" x14ac:dyDescent="0.25">
      <c r="A17" s="2882"/>
      <c r="B17" s="2882"/>
      <c r="C17" s="2882"/>
      <c r="D17" s="2882"/>
      <c r="E17" s="2882"/>
      <c r="F17" s="2882"/>
      <c r="G17" s="2882"/>
      <c r="H17" s="2882"/>
      <c r="I17" s="2882"/>
      <c r="J17" s="2882"/>
      <c r="K17" s="2882"/>
      <c r="L17" s="2882"/>
      <c r="M17" s="2882"/>
      <c r="N17" s="2882"/>
      <c r="O17" s="2882"/>
      <c r="P17" s="2882"/>
      <c r="Q17" s="2882"/>
      <c r="R17" s="2882"/>
    </row>
    <row r="18" spans="1:18" x14ac:dyDescent="0.25">
      <c r="A18" s="2897"/>
      <c r="B18" s="2897"/>
      <c r="C18" s="2897"/>
      <c r="D18" s="2897"/>
      <c r="E18" s="2897"/>
      <c r="F18" s="2897"/>
      <c r="G18" s="2897"/>
      <c r="H18" s="2897"/>
      <c r="I18" s="2897"/>
      <c r="J18" s="2897"/>
      <c r="K18" s="2897"/>
      <c r="L18" s="2897"/>
      <c r="M18" s="2897"/>
      <c r="N18" s="2897"/>
      <c r="O18" s="2897"/>
      <c r="P18" s="2897"/>
      <c r="Q18" s="2897"/>
      <c r="R18" s="2897"/>
    </row>
    <row r="19" spans="1:18" ht="15.75" thickBot="1" x14ac:dyDescent="0.3">
      <c r="A19" s="2897"/>
      <c r="B19" s="2897"/>
      <c r="C19" s="2897"/>
      <c r="D19" s="2897"/>
      <c r="E19" s="2897"/>
      <c r="F19" s="2897"/>
      <c r="G19" s="2897"/>
      <c r="H19" s="2897"/>
      <c r="I19" s="2897"/>
      <c r="J19" s="2897"/>
      <c r="K19" s="2897"/>
      <c r="L19" s="2897"/>
      <c r="M19" s="2897"/>
      <c r="N19" s="2897"/>
      <c r="O19" s="2897"/>
      <c r="P19" s="2897"/>
      <c r="Q19" s="2897"/>
      <c r="R19" s="2897"/>
    </row>
    <row r="20" spans="1:18" ht="18.75" thickBot="1" x14ac:dyDescent="0.4">
      <c r="A20" s="5223" t="s">
        <v>4962</v>
      </c>
      <c r="B20" s="5218"/>
      <c r="C20" s="5218"/>
      <c r="D20" s="5218"/>
      <c r="E20" s="5218"/>
      <c r="F20" s="5218"/>
      <c r="G20" s="5218"/>
      <c r="H20" s="5218"/>
      <c r="I20" s="5218"/>
      <c r="J20" s="5218"/>
      <c r="K20" s="5218"/>
      <c r="L20" s="5218"/>
      <c r="M20" s="5218"/>
      <c r="N20" s="5218"/>
      <c r="O20" s="5218"/>
      <c r="P20" s="5218"/>
      <c r="Q20" s="5218"/>
      <c r="R20" s="5219"/>
    </row>
    <row r="21" spans="1:18" ht="15.75" thickBot="1" x14ac:dyDescent="0.3">
      <c r="A21" s="4317" t="s">
        <v>4246</v>
      </c>
      <c r="B21" s="4317" t="s">
        <v>2880</v>
      </c>
      <c r="C21" s="4318"/>
      <c r="D21" s="4319"/>
      <c r="E21" s="4319"/>
      <c r="F21" s="4319"/>
      <c r="G21" s="4319"/>
      <c r="H21" s="4319"/>
      <c r="I21" s="4319"/>
      <c r="J21" s="4319"/>
      <c r="K21" s="4319"/>
      <c r="L21" s="4319"/>
      <c r="M21" s="4319"/>
      <c r="N21" s="4319"/>
      <c r="O21" s="4319"/>
      <c r="P21" s="4319"/>
      <c r="Q21" s="4319"/>
      <c r="R21" s="4320"/>
    </row>
    <row r="22" spans="1:18" s="1144" customFormat="1" ht="15.75" thickBot="1" x14ac:dyDescent="0.3">
      <c r="A22" s="4321" t="s">
        <v>2827</v>
      </c>
      <c r="B22" s="4322" t="s">
        <v>329</v>
      </c>
      <c r="C22" s="4323" t="s">
        <v>330</v>
      </c>
      <c r="D22" s="4323" t="s">
        <v>331</v>
      </c>
      <c r="E22" s="4323" t="s">
        <v>2754</v>
      </c>
      <c r="F22" s="4323" t="s">
        <v>333</v>
      </c>
      <c r="G22" s="4323" t="s">
        <v>334</v>
      </c>
      <c r="H22" s="4323" t="s">
        <v>335</v>
      </c>
      <c r="I22" s="4323" t="s">
        <v>336</v>
      </c>
      <c r="J22" s="4323" t="s">
        <v>337</v>
      </c>
      <c r="K22" s="4323" t="s">
        <v>2747</v>
      </c>
      <c r="L22" s="4323" t="s">
        <v>2794</v>
      </c>
      <c r="M22" s="4323" t="s">
        <v>2796</v>
      </c>
      <c r="N22" s="4323" t="s">
        <v>339</v>
      </c>
      <c r="O22" s="4323" t="s">
        <v>340</v>
      </c>
      <c r="P22" s="4323" t="s">
        <v>341</v>
      </c>
      <c r="Q22" s="4324" t="s">
        <v>342</v>
      </c>
      <c r="R22" s="4325" t="s">
        <v>2825</v>
      </c>
    </row>
    <row r="23" spans="1:18" x14ac:dyDescent="0.25">
      <c r="A23" s="4326" t="s">
        <v>639</v>
      </c>
      <c r="B23" s="4335">
        <v>3.3360304032000007E-2</v>
      </c>
      <c r="C23" s="4336">
        <v>0</v>
      </c>
      <c r="D23" s="4336"/>
      <c r="E23" s="4336"/>
      <c r="F23" s="4336"/>
      <c r="G23" s="4336"/>
      <c r="H23" s="4336"/>
      <c r="I23" s="4336">
        <v>1.7881728479999998E-2</v>
      </c>
      <c r="J23" s="4336"/>
      <c r="K23" s="4336"/>
      <c r="L23" s="4336"/>
      <c r="M23" s="4336">
        <v>1.1271349650000002E-3</v>
      </c>
      <c r="N23" s="4336"/>
      <c r="O23" s="4336"/>
      <c r="P23" s="4336">
        <v>0</v>
      </c>
      <c r="Q23" s="4336"/>
      <c r="R23" s="4337">
        <v>5.2369167477000003E-2</v>
      </c>
    </row>
    <row r="24" spans="1:18" x14ac:dyDescent="0.25">
      <c r="A24" s="4326" t="s">
        <v>350</v>
      </c>
      <c r="B24" s="4335">
        <v>0.55924493312285728</v>
      </c>
      <c r="C24" s="4336">
        <v>9.2769049575714274E-3</v>
      </c>
      <c r="D24" s="4336"/>
      <c r="E24" s="4336">
        <v>0</v>
      </c>
      <c r="F24" s="4336"/>
      <c r="G24" s="4336"/>
      <c r="H24" s="4336"/>
      <c r="I24" s="4336">
        <v>0.44697921076914293</v>
      </c>
      <c r="J24" s="4336"/>
      <c r="K24" s="4336">
        <v>9.0668790828000011E-3</v>
      </c>
      <c r="L24" s="4336">
        <v>0.10634458668318571</v>
      </c>
      <c r="M24" s="4336">
        <v>0.21939994633857141</v>
      </c>
      <c r="N24" s="4336">
        <v>1.4494670642571431E-3</v>
      </c>
      <c r="O24" s="4336">
        <v>8.0281168925571467E-2</v>
      </c>
      <c r="P24" s="4336">
        <v>0</v>
      </c>
      <c r="Q24" s="4336">
        <v>0</v>
      </c>
      <c r="R24" s="4337">
        <v>1.432043096943957</v>
      </c>
    </row>
    <row r="25" spans="1:18" x14ac:dyDescent="0.25">
      <c r="A25" s="4326" t="s">
        <v>351</v>
      </c>
      <c r="B25" s="4335"/>
      <c r="C25" s="4336"/>
      <c r="D25" s="4336">
        <v>0</v>
      </c>
      <c r="E25" s="4336"/>
      <c r="F25" s="4336"/>
      <c r="G25" s="4336"/>
      <c r="H25" s="4336"/>
      <c r="I25" s="4336"/>
      <c r="J25" s="4336"/>
      <c r="K25" s="4336"/>
      <c r="L25" s="4336"/>
      <c r="M25" s="4336"/>
      <c r="N25" s="4336"/>
      <c r="O25" s="4336"/>
      <c r="P25" s="4336"/>
      <c r="Q25" s="4336">
        <v>0</v>
      </c>
      <c r="R25" s="4337">
        <v>0</v>
      </c>
    </row>
    <row r="26" spans="1:18" x14ac:dyDescent="0.25">
      <c r="A26" s="4326" t="s">
        <v>352</v>
      </c>
      <c r="B26" s="4335"/>
      <c r="C26" s="4336"/>
      <c r="D26" s="4336">
        <v>0</v>
      </c>
      <c r="E26" s="4336">
        <v>0</v>
      </c>
      <c r="F26" s="4336"/>
      <c r="G26" s="4336"/>
      <c r="H26" s="4336"/>
      <c r="I26" s="4336"/>
      <c r="J26" s="4336"/>
      <c r="K26" s="4336">
        <v>0</v>
      </c>
      <c r="L26" s="4336"/>
      <c r="M26" s="4336"/>
      <c r="N26" s="4336">
        <v>0</v>
      </c>
      <c r="O26" s="4336"/>
      <c r="P26" s="4336"/>
      <c r="Q26" s="4336"/>
      <c r="R26" s="4337">
        <v>0</v>
      </c>
    </row>
    <row r="27" spans="1:18" x14ac:dyDescent="0.25">
      <c r="A27" s="4326" t="s">
        <v>2879</v>
      </c>
      <c r="B27" s="4335"/>
      <c r="C27" s="4336"/>
      <c r="D27" s="4336">
        <v>0</v>
      </c>
      <c r="E27" s="4336"/>
      <c r="F27" s="4336">
        <v>0.11478068555014286</v>
      </c>
      <c r="G27" s="4336">
        <v>0.25767840687285715</v>
      </c>
      <c r="H27" s="4336">
        <v>0</v>
      </c>
      <c r="I27" s="4336"/>
      <c r="J27" s="4336">
        <v>1.3399264583571429</v>
      </c>
      <c r="K27" s="4336"/>
      <c r="L27" s="4336"/>
      <c r="M27" s="4336"/>
      <c r="N27" s="4336"/>
      <c r="O27" s="4336"/>
      <c r="P27" s="4336"/>
      <c r="Q27" s="4336"/>
      <c r="R27" s="4337">
        <v>1.7123855507801429</v>
      </c>
    </row>
    <row r="28" spans="1:18" x14ac:dyDescent="0.25">
      <c r="A28" s="4326" t="s">
        <v>353</v>
      </c>
      <c r="B28" s="4335"/>
      <c r="C28" s="4336">
        <v>0</v>
      </c>
      <c r="D28" s="4336"/>
      <c r="E28" s="4336">
        <v>0</v>
      </c>
      <c r="F28" s="4336"/>
      <c r="G28" s="4336"/>
      <c r="H28" s="4336"/>
      <c r="I28" s="4336">
        <v>0</v>
      </c>
      <c r="J28" s="4336"/>
      <c r="K28" s="4336">
        <v>0</v>
      </c>
      <c r="L28" s="4336"/>
      <c r="M28" s="4336">
        <v>0</v>
      </c>
      <c r="N28" s="4336">
        <v>0</v>
      </c>
      <c r="O28" s="4336"/>
      <c r="P28" s="4336"/>
      <c r="Q28" s="4336">
        <v>0</v>
      </c>
      <c r="R28" s="4337">
        <v>0</v>
      </c>
    </row>
    <row r="29" spans="1:18" ht="15.75" thickBot="1" x14ac:dyDescent="0.3">
      <c r="A29" s="4330" t="s">
        <v>354</v>
      </c>
      <c r="B29" s="4335">
        <v>5.9695868571428577E-2</v>
      </c>
      <c r="C29" s="4336">
        <v>0</v>
      </c>
      <c r="D29" s="4336"/>
      <c r="E29" s="4336"/>
      <c r="F29" s="4336"/>
      <c r="G29" s="4336"/>
      <c r="H29" s="4336"/>
      <c r="I29" s="4336">
        <v>0</v>
      </c>
      <c r="J29" s="4336"/>
      <c r="K29" s="4336"/>
      <c r="L29" s="4336"/>
      <c r="M29" s="4336">
        <v>0</v>
      </c>
      <c r="N29" s="4336"/>
      <c r="O29" s="4336"/>
      <c r="P29" s="4336">
        <v>0.27416817732857141</v>
      </c>
      <c r="Q29" s="4336"/>
      <c r="R29" s="4337">
        <v>0.33386404589999996</v>
      </c>
    </row>
    <row r="30" spans="1:18" ht="15.75" thickBot="1" x14ac:dyDescent="0.3">
      <c r="A30" s="4331" t="s">
        <v>2825</v>
      </c>
      <c r="B30" s="4338">
        <v>0.65230110572628586</v>
      </c>
      <c r="C30" s="4339">
        <v>9.2769049575714274E-3</v>
      </c>
      <c r="D30" s="4339">
        <v>0</v>
      </c>
      <c r="E30" s="4339">
        <v>0</v>
      </c>
      <c r="F30" s="4339">
        <v>0.11478068555014286</v>
      </c>
      <c r="G30" s="4339">
        <v>0.25767840687285715</v>
      </c>
      <c r="H30" s="4339">
        <v>0</v>
      </c>
      <c r="I30" s="4339">
        <v>0.46486093924914296</v>
      </c>
      <c r="J30" s="4339">
        <v>1.3399264583571429</v>
      </c>
      <c r="K30" s="4339">
        <v>9.0668790828000011E-3</v>
      </c>
      <c r="L30" s="4339">
        <v>0.10634458668318571</v>
      </c>
      <c r="M30" s="4339">
        <v>0.2205270813035714</v>
      </c>
      <c r="N30" s="4339">
        <v>1.4494670642571431E-3</v>
      </c>
      <c r="O30" s="4339">
        <v>8.0281168925571467E-2</v>
      </c>
      <c r="P30" s="4339">
        <v>0.27416817732857141</v>
      </c>
      <c r="Q30" s="4339">
        <v>0</v>
      </c>
      <c r="R30" s="4340">
        <v>3.5306618611010996</v>
      </c>
    </row>
    <row r="31" spans="1:18" s="1144" customFormat="1" x14ac:dyDescent="0.25">
      <c r="A31" s="2882"/>
      <c r="B31" s="2882"/>
      <c r="C31" s="2882"/>
      <c r="D31" s="2882"/>
      <c r="E31" s="2882"/>
      <c r="F31" s="2882"/>
      <c r="G31" s="2882"/>
      <c r="H31" s="2882"/>
      <c r="I31" s="2882"/>
      <c r="J31" s="2882"/>
      <c r="K31" s="2882"/>
      <c r="L31" s="2882"/>
      <c r="M31" s="2882"/>
      <c r="N31" s="2882"/>
      <c r="O31" s="2882"/>
      <c r="P31" s="2882"/>
      <c r="Q31" s="2882"/>
      <c r="R31" s="2882"/>
    </row>
    <row r="32" spans="1:18" x14ac:dyDescent="0.25">
      <c r="A32" s="3"/>
      <c r="B32" s="3"/>
      <c r="C32" s="3"/>
      <c r="D32" s="3"/>
      <c r="E32" s="3"/>
      <c r="F32" s="3"/>
      <c r="G32" s="3"/>
      <c r="H32" s="3"/>
      <c r="I32" s="3"/>
      <c r="J32" s="3"/>
      <c r="K32" s="3"/>
      <c r="L32" s="3"/>
      <c r="M32" s="3"/>
      <c r="N32" s="3"/>
      <c r="O32" s="3"/>
      <c r="P32" s="3"/>
      <c r="Q32" s="3"/>
      <c r="R32" s="3"/>
    </row>
    <row r="33" spans="1:18" x14ac:dyDescent="0.25">
      <c r="A33" s="3"/>
      <c r="B33" s="3"/>
      <c r="C33" s="3"/>
      <c r="D33" s="3"/>
      <c r="E33" s="3"/>
      <c r="F33" s="3"/>
      <c r="G33" s="3"/>
      <c r="H33" s="3"/>
      <c r="I33" s="3"/>
      <c r="J33" s="3"/>
      <c r="K33" s="3"/>
      <c r="L33" s="3"/>
      <c r="M33" s="3"/>
      <c r="N33" s="3"/>
      <c r="O33" s="3"/>
      <c r="P33" s="3"/>
      <c r="Q33" s="3"/>
      <c r="R33" s="3"/>
    </row>
    <row r="34" spans="1:18" x14ac:dyDescent="0.25">
      <c r="A34" s="3"/>
      <c r="B34" s="3"/>
      <c r="C34" s="3"/>
      <c r="D34" s="3"/>
      <c r="E34" s="3"/>
      <c r="F34" s="3"/>
      <c r="G34" s="3"/>
      <c r="H34" s="3"/>
      <c r="I34" s="3"/>
      <c r="J34" s="3"/>
      <c r="K34" s="3"/>
      <c r="L34" s="3"/>
      <c r="M34" s="3"/>
      <c r="N34" s="3"/>
      <c r="O34" s="3"/>
      <c r="P34" s="3"/>
      <c r="Q34" s="3"/>
      <c r="R34" s="3"/>
    </row>
    <row r="35" spans="1:18" x14ac:dyDescent="0.25">
      <c r="A35" s="3"/>
      <c r="B35" s="3"/>
      <c r="C35" s="3"/>
      <c r="D35" s="3"/>
      <c r="E35" s="3"/>
      <c r="F35" s="3"/>
      <c r="G35" s="3"/>
      <c r="H35" s="3"/>
      <c r="I35" s="3"/>
      <c r="J35" s="3"/>
      <c r="K35" s="3"/>
      <c r="L35" s="3"/>
      <c r="M35" s="3"/>
      <c r="N35" s="3"/>
      <c r="O35" s="3"/>
      <c r="P35" s="3"/>
      <c r="Q35" s="3"/>
      <c r="R35" s="3"/>
    </row>
    <row r="36" spans="1:18" x14ac:dyDescent="0.25">
      <c r="A36" s="3"/>
      <c r="B36" s="3"/>
      <c r="C36" s="3"/>
      <c r="D36" s="3"/>
      <c r="E36" s="3"/>
      <c r="F36" s="3"/>
      <c r="G36" s="3"/>
      <c r="H36" s="3"/>
      <c r="I36" s="3"/>
      <c r="J36" s="3"/>
      <c r="K36" s="3"/>
      <c r="L36" s="3"/>
      <c r="M36" s="3"/>
      <c r="N36" s="3"/>
      <c r="O36" s="3"/>
      <c r="P36" s="3"/>
      <c r="Q36" s="3"/>
      <c r="R36" s="3"/>
    </row>
    <row r="37" spans="1:18" x14ac:dyDescent="0.25">
      <c r="A37" s="3"/>
      <c r="B37" s="3"/>
      <c r="C37" s="3"/>
      <c r="D37" s="3"/>
      <c r="E37" s="3"/>
      <c r="F37" s="3"/>
      <c r="G37" s="3"/>
      <c r="H37" s="3"/>
      <c r="I37" s="3"/>
      <c r="J37" s="3"/>
      <c r="K37" s="3"/>
      <c r="L37" s="3"/>
      <c r="M37" s="3"/>
      <c r="N37" s="3"/>
      <c r="O37" s="3"/>
      <c r="P37" s="3"/>
      <c r="Q37" s="3"/>
      <c r="R37" s="3"/>
    </row>
    <row r="38" spans="1:18" x14ac:dyDescent="0.25">
      <c r="A38" s="3"/>
      <c r="B38" s="3"/>
      <c r="C38" s="3"/>
      <c r="D38" s="3"/>
      <c r="E38" s="3"/>
      <c r="F38" s="3"/>
      <c r="G38" s="3"/>
      <c r="H38" s="3"/>
      <c r="I38" s="3"/>
      <c r="J38" s="3"/>
      <c r="K38" s="3"/>
      <c r="L38" s="3"/>
      <c r="M38" s="3"/>
      <c r="N38" s="3"/>
      <c r="O38" s="3"/>
      <c r="P38" s="3"/>
      <c r="Q38" s="3"/>
      <c r="R38" s="3"/>
    </row>
    <row r="39" spans="1:18" x14ac:dyDescent="0.25">
      <c r="A39" s="3"/>
      <c r="B39" s="3"/>
      <c r="C39" s="3"/>
      <c r="D39" s="3"/>
      <c r="E39" s="3"/>
      <c r="F39" s="3"/>
      <c r="G39" s="3"/>
      <c r="H39" s="3"/>
      <c r="I39" s="3"/>
      <c r="J39" s="3"/>
      <c r="K39" s="3"/>
      <c r="L39" s="3"/>
      <c r="M39" s="3"/>
      <c r="N39" s="3"/>
      <c r="O39" s="3"/>
      <c r="P39" s="3"/>
      <c r="Q39" s="3"/>
      <c r="R39" s="3"/>
    </row>
    <row r="40" spans="1:18" x14ac:dyDescent="0.25">
      <c r="A40" s="3"/>
      <c r="B40" s="3"/>
      <c r="C40" s="3"/>
      <c r="D40" s="3"/>
      <c r="E40" s="3"/>
      <c r="F40" s="3"/>
      <c r="G40" s="3"/>
      <c r="H40" s="3"/>
      <c r="I40" s="3"/>
      <c r="J40" s="3"/>
      <c r="K40" s="3"/>
      <c r="L40" s="3"/>
      <c r="M40" s="3"/>
      <c r="N40" s="3"/>
      <c r="O40" s="3"/>
      <c r="P40" s="3"/>
      <c r="Q40" s="3"/>
      <c r="R40" s="3"/>
    </row>
    <row r="41" spans="1:18" x14ac:dyDescent="0.25">
      <c r="A41" s="3"/>
      <c r="B41" s="3"/>
      <c r="C41" s="3"/>
      <c r="D41" s="3"/>
      <c r="E41" s="3"/>
      <c r="F41" s="3"/>
      <c r="G41" s="3"/>
      <c r="H41" s="3"/>
      <c r="I41" s="3"/>
      <c r="J41" s="3"/>
      <c r="K41" s="3"/>
      <c r="L41" s="3"/>
      <c r="M41" s="3"/>
      <c r="N41" s="3"/>
      <c r="O41" s="3"/>
      <c r="P41" s="3"/>
      <c r="Q41" s="3"/>
      <c r="R41" s="3"/>
    </row>
    <row r="42" spans="1:18" x14ac:dyDescent="0.25">
      <c r="A42" s="3"/>
      <c r="B42" s="3"/>
      <c r="C42" s="3"/>
      <c r="D42" s="3"/>
      <c r="E42" s="3"/>
      <c r="F42" s="3"/>
      <c r="G42" s="3"/>
      <c r="H42" s="3"/>
      <c r="I42" s="3"/>
      <c r="J42" s="3"/>
      <c r="K42" s="3"/>
      <c r="L42" s="3"/>
      <c r="M42" s="3"/>
      <c r="N42" s="3"/>
      <c r="O42" s="3"/>
      <c r="P42" s="3"/>
      <c r="Q42" s="3"/>
      <c r="R42" s="3"/>
    </row>
    <row r="43" spans="1:18" x14ac:dyDescent="0.25">
      <c r="A43" s="3"/>
      <c r="B43" s="3"/>
      <c r="C43" s="3"/>
      <c r="D43" s="3"/>
      <c r="E43" s="3"/>
      <c r="F43" s="3"/>
      <c r="G43" s="3"/>
      <c r="H43" s="3"/>
      <c r="I43" s="3"/>
      <c r="J43" s="3"/>
      <c r="K43" s="3"/>
      <c r="L43" s="3"/>
      <c r="M43" s="3"/>
      <c r="N43" s="3"/>
      <c r="O43" s="3"/>
      <c r="P43" s="3"/>
      <c r="Q43" s="3"/>
      <c r="R43" s="3"/>
    </row>
    <row r="44" spans="1:18" x14ac:dyDescent="0.25">
      <c r="A44" s="3"/>
      <c r="B44" s="3"/>
      <c r="C44" s="3"/>
      <c r="D44" s="3"/>
      <c r="E44" s="3"/>
      <c r="F44" s="3"/>
      <c r="G44" s="3"/>
      <c r="H44" s="3"/>
      <c r="I44" s="3"/>
      <c r="J44" s="3"/>
      <c r="K44" s="3"/>
      <c r="L44" s="3"/>
      <c r="M44" s="3"/>
      <c r="N44" s="3"/>
      <c r="O44" s="3"/>
      <c r="P44" s="3"/>
      <c r="Q44" s="3"/>
      <c r="R44" s="3"/>
    </row>
    <row r="45" spans="1:18" x14ac:dyDescent="0.25">
      <c r="A45" s="3"/>
      <c r="B45" s="3"/>
      <c r="C45" s="3"/>
      <c r="D45" s="3"/>
      <c r="E45" s="3"/>
      <c r="F45" s="3"/>
      <c r="G45" s="3"/>
      <c r="H45" s="3"/>
      <c r="I45" s="3"/>
      <c r="J45" s="3"/>
      <c r="K45" s="3"/>
      <c r="L45" s="3"/>
      <c r="M45" s="3"/>
      <c r="N45" s="3"/>
      <c r="O45" s="3"/>
      <c r="P45" s="3"/>
      <c r="Q45" s="3"/>
      <c r="R45" s="3"/>
    </row>
    <row r="46" spans="1:18" x14ac:dyDescent="0.25">
      <c r="A46" s="3"/>
      <c r="B46" s="3"/>
      <c r="C46" s="3"/>
      <c r="D46" s="3"/>
      <c r="E46" s="3"/>
      <c r="F46" s="3"/>
      <c r="G46" s="3"/>
      <c r="H46" s="3"/>
      <c r="I46" s="3"/>
      <c r="J46" s="3"/>
      <c r="K46" s="3"/>
      <c r="L46" s="3"/>
      <c r="M46" s="3"/>
      <c r="N46" s="3"/>
      <c r="O46" s="3"/>
      <c r="P46" s="3"/>
      <c r="Q46" s="3"/>
      <c r="R46" s="3"/>
    </row>
    <row r="47" spans="1:18" x14ac:dyDescent="0.25">
      <c r="A47" s="3"/>
      <c r="B47" s="3"/>
      <c r="C47" s="3"/>
      <c r="D47" s="3"/>
      <c r="E47" s="3"/>
      <c r="F47" s="3"/>
      <c r="G47" s="3"/>
      <c r="H47" s="3"/>
      <c r="I47" s="3"/>
      <c r="J47" s="3"/>
      <c r="K47" s="3"/>
      <c r="L47" s="3"/>
      <c r="M47" s="3"/>
      <c r="N47" s="3"/>
      <c r="O47" s="3"/>
      <c r="P47" s="3"/>
      <c r="Q47" s="3"/>
      <c r="R47" s="3"/>
    </row>
    <row r="48" spans="1:1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sheetData>
  <mergeCells count="2">
    <mergeCell ref="A6:R6"/>
    <mergeCell ref="A20:R20"/>
  </mergeCells>
  <hyperlinks>
    <hyperlink ref="A2" location="Index!A1" display="Til index" xr:uid="{48436AE9-D7A0-4B63-86BE-58A4642E04F3}"/>
  </hyperlinks>
  <pageMargins left="0.7" right="0.7" top="0.75" bottom="0.75" header="0.3" footer="0.3"/>
  <pageSetup paperSize="9" orientation="portrait" r:id="rId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908E1-996F-4840-8184-D9F38D8418D4}">
  <sheetPr codeName="Ark120">
    <tabColor theme="4" tint="-0.249977111117893"/>
  </sheetPr>
  <dimension ref="A1:R154"/>
  <sheetViews>
    <sheetView zoomScale="85" zoomScaleNormal="85" workbookViewId="0">
      <selection activeCell="I12" sqref="I12"/>
    </sheetView>
  </sheetViews>
  <sheetFormatPr defaultColWidth="9.140625" defaultRowHeight="15" x14ac:dyDescent="0.25"/>
  <cols>
    <col min="1" max="1" width="20.28515625" style="992" bestFit="1" customWidth="1"/>
    <col min="2" max="2" width="20.140625" style="992" bestFit="1" customWidth="1"/>
    <col min="3" max="3" width="8.140625" style="992" bestFit="1" customWidth="1"/>
    <col min="4" max="4" width="8.7109375" style="992" bestFit="1" customWidth="1"/>
    <col min="5" max="5" width="13" style="992" bestFit="1" customWidth="1"/>
    <col min="6" max="6" width="11.28515625" style="992" bestFit="1" customWidth="1"/>
    <col min="7" max="7" width="6.85546875" style="992" bestFit="1" customWidth="1"/>
    <col min="8" max="8" width="9.28515625" style="992" bestFit="1" customWidth="1"/>
    <col min="9" max="9" width="6.28515625" style="992" bestFit="1" customWidth="1"/>
    <col min="10" max="10" width="8.85546875" style="992" bestFit="1" customWidth="1"/>
    <col min="11" max="11" width="8.28515625" style="992" bestFit="1" customWidth="1"/>
    <col min="12" max="12" width="21.85546875" style="992" bestFit="1" customWidth="1"/>
    <col min="13" max="13" width="20.140625" style="992" bestFit="1" customWidth="1"/>
    <col min="14" max="14" width="10.5703125" style="992" bestFit="1" customWidth="1"/>
    <col min="15" max="15" width="10.7109375" style="992" bestFit="1" customWidth="1"/>
    <col min="16" max="16" width="19.5703125" style="992" bestFit="1" customWidth="1"/>
    <col min="17" max="17" width="7" style="992" bestFit="1" customWidth="1"/>
    <col min="18" max="18" width="12" style="992" bestFit="1" customWidth="1"/>
    <col min="19" max="77" width="68.140625" style="992" bestFit="1" customWidth="1"/>
    <col min="78" max="78" width="10.85546875" style="992" bestFit="1" customWidth="1"/>
    <col min="79" max="16384" width="9.140625" style="992"/>
  </cols>
  <sheetData>
    <row r="1" spans="1:18" s="1006" customFormat="1" ht="47.45" customHeight="1" x14ac:dyDescent="0.35">
      <c r="B1" s="1007" t="s">
        <v>2881</v>
      </c>
    </row>
    <row r="2" spans="1:18" ht="21" x14ac:dyDescent="0.35">
      <c r="A2" s="1740" t="s">
        <v>4206</v>
      </c>
    </row>
    <row r="4" spans="1:18" x14ac:dyDescent="0.25">
      <c r="A4" s="1512"/>
      <c r="B4" s="992" t="s">
        <v>2837</v>
      </c>
    </row>
    <row r="5" spans="1:18" ht="15.75" thickBot="1" x14ac:dyDescent="0.3"/>
    <row r="6" spans="1:18" ht="15.75" thickBot="1" x14ac:dyDescent="0.3">
      <c r="A6" s="5217" t="s">
        <v>4994</v>
      </c>
      <c r="B6" s="5218"/>
      <c r="C6" s="5218"/>
      <c r="D6" s="5218"/>
      <c r="E6" s="5218"/>
      <c r="F6" s="5218"/>
      <c r="G6" s="5218"/>
      <c r="H6" s="5218"/>
      <c r="I6" s="5218"/>
      <c r="J6" s="5218"/>
      <c r="K6" s="5218"/>
      <c r="L6" s="5218"/>
      <c r="M6" s="5218"/>
      <c r="N6" s="5218"/>
      <c r="O6" s="5218"/>
      <c r="P6" s="5218"/>
      <c r="Q6" s="5218"/>
      <c r="R6" s="5219"/>
    </row>
    <row r="7" spans="1:18" ht="15.75" thickBot="1" x14ac:dyDescent="0.3">
      <c r="A7" s="4317" t="s">
        <v>4748</v>
      </c>
      <c r="B7" s="4317" t="s">
        <v>2880</v>
      </c>
      <c r="C7" s="4318"/>
      <c r="D7" s="4319"/>
      <c r="E7" s="4319"/>
      <c r="F7" s="4319"/>
      <c r="G7" s="4319"/>
      <c r="H7" s="4319"/>
      <c r="I7" s="4319"/>
      <c r="J7" s="4319"/>
      <c r="K7" s="4319"/>
      <c r="L7" s="4319"/>
      <c r="M7" s="4319"/>
      <c r="N7" s="4319"/>
      <c r="O7" s="4319"/>
      <c r="P7" s="4319"/>
      <c r="Q7" s="4319"/>
      <c r="R7" s="4320"/>
    </row>
    <row r="8" spans="1:18" s="1144" customFormat="1" ht="15.75" thickBot="1" x14ac:dyDescent="0.3">
      <c r="A8" s="4321" t="s">
        <v>2827</v>
      </c>
      <c r="B8" s="4322" t="s">
        <v>329</v>
      </c>
      <c r="C8" s="4323" t="s">
        <v>330</v>
      </c>
      <c r="D8" s="4323" t="s">
        <v>331</v>
      </c>
      <c r="E8" s="4323" t="s">
        <v>2754</v>
      </c>
      <c r="F8" s="4323" t="s">
        <v>333</v>
      </c>
      <c r="G8" s="4323" t="s">
        <v>334</v>
      </c>
      <c r="H8" s="4323" t="s">
        <v>335</v>
      </c>
      <c r="I8" s="4323" t="s">
        <v>336</v>
      </c>
      <c r="J8" s="4323" t="s">
        <v>337</v>
      </c>
      <c r="K8" s="4323" t="s">
        <v>2747</v>
      </c>
      <c r="L8" s="4323" t="s">
        <v>2794</v>
      </c>
      <c r="M8" s="4323" t="s">
        <v>2796</v>
      </c>
      <c r="N8" s="4323" t="s">
        <v>339</v>
      </c>
      <c r="O8" s="4323" t="s">
        <v>340</v>
      </c>
      <c r="P8" s="4323" t="s">
        <v>341</v>
      </c>
      <c r="Q8" s="4324" t="s">
        <v>342</v>
      </c>
      <c r="R8" s="4325" t="s">
        <v>2825</v>
      </c>
    </row>
    <row r="9" spans="1:18" x14ac:dyDescent="0.25">
      <c r="A9" s="4326" t="s">
        <v>639</v>
      </c>
      <c r="B9" s="4327">
        <v>50.06</v>
      </c>
      <c r="C9" s="4328">
        <v>0</v>
      </c>
      <c r="D9" s="4328"/>
      <c r="E9" s="4328"/>
      <c r="F9" s="4328"/>
      <c r="G9" s="4328"/>
      <c r="H9" s="4328"/>
      <c r="I9" s="4328">
        <v>37.799999999999997</v>
      </c>
      <c r="J9" s="4328"/>
      <c r="K9" s="4328"/>
      <c r="L9" s="4328"/>
      <c r="M9" s="4328">
        <v>5.1100000000000003</v>
      </c>
      <c r="N9" s="4328"/>
      <c r="O9" s="4328"/>
      <c r="P9" s="4328">
        <v>0</v>
      </c>
      <c r="Q9" s="4328"/>
      <c r="R9" s="4329">
        <v>92.97</v>
      </c>
    </row>
    <row r="10" spans="1:18" x14ac:dyDescent="0.25">
      <c r="A10" s="4326" t="s">
        <v>350</v>
      </c>
      <c r="B10" s="4327">
        <v>476.63</v>
      </c>
      <c r="C10" s="4328">
        <v>10.94</v>
      </c>
      <c r="D10" s="4328"/>
      <c r="E10" s="4328">
        <v>0</v>
      </c>
      <c r="F10" s="4328"/>
      <c r="G10" s="4328"/>
      <c r="H10" s="4328"/>
      <c r="I10" s="4328">
        <v>532.31999999999994</v>
      </c>
      <c r="J10" s="4328"/>
      <c r="K10" s="4328">
        <v>27.54</v>
      </c>
      <c r="L10" s="4328">
        <v>493.31</v>
      </c>
      <c r="M10" s="4328">
        <v>548.35</v>
      </c>
      <c r="N10" s="4328">
        <v>27.54</v>
      </c>
      <c r="O10" s="4328">
        <v>175.85</v>
      </c>
      <c r="P10" s="4328">
        <v>0</v>
      </c>
      <c r="Q10" s="4328">
        <v>0</v>
      </c>
      <c r="R10" s="4329">
        <v>2292.4799999999996</v>
      </c>
    </row>
    <row r="11" spans="1:18" x14ac:dyDescent="0.25">
      <c r="A11" s="4326" t="s">
        <v>351</v>
      </c>
      <c r="B11" s="4327"/>
      <c r="C11" s="4328"/>
      <c r="D11" s="4328">
        <v>0</v>
      </c>
      <c r="E11" s="4328"/>
      <c r="F11" s="4328"/>
      <c r="G11" s="4328"/>
      <c r="H11" s="4328"/>
      <c r="I11" s="4328"/>
      <c r="J11" s="4328"/>
      <c r="K11" s="4328"/>
      <c r="L11" s="4328"/>
      <c r="M11" s="4328"/>
      <c r="N11" s="4328"/>
      <c r="O11" s="4328"/>
      <c r="P11" s="4328"/>
      <c r="Q11" s="4328">
        <v>0</v>
      </c>
      <c r="R11" s="4329">
        <v>0</v>
      </c>
    </row>
    <row r="12" spans="1:18" x14ac:dyDescent="0.25">
      <c r="A12" s="4326" t="s">
        <v>352</v>
      </c>
      <c r="B12" s="4327"/>
      <c r="C12" s="4328"/>
      <c r="D12" s="4328">
        <v>0</v>
      </c>
      <c r="E12" s="4328">
        <v>0</v>
      </c>
      <c r="F12" s="4328"/>
      <c r="G12" s="4328"/>
      <c r="H12" s="4328"/>
      <c r="I12" s="4328"/>
      <c r="J12" s="4328"/>
      <c r="K12" s="4328">
        <v>0</v>
      </c>
      <c r="L12" s="4328"/>
      <c r="M12" s="4328"/>
      <c r="N12" s="4328">
        <v>0</v>
      </c>
      <c r="O12" s="4328"/>
      <c r="P12" s="4328"/>
      <c r="Q12" s="4328"/>
      <c r="R12" s="4329">
        <v>0</v>
      </c>
    </row>
    <row r="13" spans="1:18" x14ac:dyDescent="0.25">
      <c r="A13" s="4326" t="s">
        <v>2879</v>
      </c>
      <c r="B13" s="4327"/>
      <c r="C13" s="4328"/>
      <c r="D13" s="4328">
        <v>0</v>
      </c>
      <c r="E13" s="4328"/>
      <c r="F13" s="4328">
        <v>403.89</v>
      </c>
      <c r="G13" s="4328">
        <v>318.72999999999996</v>
      </c>
      <c r="H13" s="4328">
        <v>0</v>
      </c>
      <c r="I13" s="4328"/>
      <c r="J13" s="4328">
        <v>28565.51</v>
      </c>
      <c r="K13" s="4328"/>
      <c r="L13" s="4328"/>
      <c r="M13" s="4328"/>
      <c r="N13" s="4328"/>
      <c r="O13" s="4328"/>
      <c r="P13" s="4328"/>
      <c r="Q13" s="4328"/>
      <c r="R13" s="4329">
        <v>29288.129999999997</v>
      </c>
    </row>
    <row r="14" spans="1:18" x14ac:dyDescent="0.25">
      <c r="A14" s="4326" t="s">
        <v>353</v>
      </c>
      <c r="B14" s="4327"/>
      <c r="C14" s="4328">
        <v>0</v>
      </c>
      <c r="D14" s="4328"/>
      <c r="E14" s="4328">
        <v>0</v>
      </c>
      <c r="F14" s="4328"/>
      <c r="G14" s="4328"/>
      <c r="H14" s="4328"/>
      <c r="I14" s="4328">
        <v>0</v>
      </c>
      <c r="J14" s="4328"/>
      <c r="K14" s="4328">
        <v>0</v>
      </c>
      <c r="L14" s="4328"/>
      <c r="M14" s="4328">
        <v>0</v>
      </c>
      <c r="N14" s="4328">
        <v>0</v>
      </c>
      <c r="O14" s="4328"/>
      <c r="P14" s="4328"/>
      <c r="Q14" s="4328">
        <v>0</v>
      </c>
      <c r="R14" s="4329">
        <v>0</v>
      </c>
    </row>
    <row r="15" spans="1:18" ht="15.75" thickBot="1" x14ac:dyDescent="0.3">
      <c r="A15" s="4330" t="s">
        <v>354</v>
      </c>
      <c r="B15" s="4327">
        <v>100</v>
      </c>
      <c r="C15" s="4328">
        <v>0</v>
      </c>
      <c r="D15" s="4328"/>
      <c r="E15" s="4328"/>
      <c r="F15" s="4328"/>
      <c r="G15" s="4328"/>
      <c r="H15" s="4328"/>
      <c r="I15" s="4328">
        <v>0</v>
      </c>
      <c r="J15" s="4328"/>
      <c r="K15" s="4328"/>
      <c r="L15" s="4328"/>
      <c r="M15" s="4328">
        <v>0</v>
      </c>
      <c r="N15" s="4328"/>
      <c r="O15" s="4328"/>
      <c r="P15" s="4328">
        <v>188.07</v>
      </c>
      <c r="Q15" s="4328"/>
      <c r="R15" s="4329">
        <v>288.07</v>
      </c>
    </row>
    <row r="16" spans="1:18" ht="15.75" thickBot="1" x14ac:dyDescent="0.3">
      <c r="A16" s="4331" t="s">
        <v>2825</v>
      </c>
      <c r="B16" s="4332">
        <v>626.69000000000005</v>
      </c>
      <c r="C16" s="4333">
        <v>10.94</v>
      </c>
      <c r="D16" s="4333">
        <v>0</v>
      </c>
      <c r="E16" s="4333">
        <v>0</v>
      </c>
      <c r="F16" s="4333">
        <v>403.89</v>
      </c>
      <c r="G16" s="4333">
        <v>318.72999999999996</v>
      </c>
      <c r="H16" s="4333">
        <v>0</v>
      </c>
      <c r="I16" s="4333">
        <v>570.11999999999989</v>
      </c>
      <c r="J16" s="4333">
        <v>28565.51</v>
      </c>
      <c r="K16" s="4333">
        <v>27.54</v>
      </c>
      <c r="L16" s="4333">
        <v>493.31</v>
      </c>
      <c r="M16" s="4333">
        <v>553.46</v>
      </c>
      <c r="N16" s="4333">
        <v>27.54</v>
      </c>
      <c r="O16" s="4333">
        <v>175.85</v>
      </c>
      <c r="P16" s="4333">
        <v>188.07</v>
      </c>
      <c r="Q16" s="4333">
        <v>0</v>
      </c>
      <c r="R16" s="4334">
        <v>31961.649999999998</v>
      </c>
    </row>
    <row r="17" spans="1:18" x14ac:dyDescent="0.25">
      <c r="A17" s="2897"/>
      <c r="B17" s="2897"/>
      <c r="C17" s="2897"/>
      <c r="D17" s="2897"/>
      <c r="E17" s="2897"/>
      <c r="F17" s="2897"/>
      <c r="G17" s="2897"/>
      <c r="H17" s="2897"/>
      <c r="I17" s="2897"/>
      <c r="J17" s="2897"/>
      <c r="K17" s="2897"/>
      <c r="L17" s="2897"/>
      <c r="M17" s="2897"/>
      <c r="N17" s="2897"/>
      <c r="O17" s="2897"/>
      <c r="P17" s="2897"/>
      <c r="Q17" s="2897"/>
      <c r="R17" s="2897"/>
    </row>
    <row r="18" spans="1:18" x14ac:dyDescent="0.25">
      <c r="A18" s="2897"/>
      <c r="B18" s="2897"/>
      <c r="C18" s="2897"/>
      <c r="D18" s="2897"/>
      <c r="E18" s="2897"/>
      <c r="F18" s="2897"/>
      <c r="G18" s="2897"/>
      <c r="H18" s="2897"/>
      <c r="I18" s="2897"/>
      <c r="J18" s="2897"/>
      <c r="K18" s="2897"/>
      <c r="L18" s="2897"/>
      <c r="M18" s="2897"/>
      <c r="N18" s="2897"/>
      <c r="O18" s="2897"/>
      <c r="P18" s="2897"/>
      <c r="Q18" s="2897"/>
      <c r="R18" s="2897"/>
    </row>
    <row r="19" spans="1:18" ht="15.75" thickBot="1" x14ac:dyDescent="0.3">
      <c r="A19" s="2897"/>
      <c r="B19" s="2897"/>
      <c r="C19" s="2897"/>
      <c r="D19" s="2897"/>
      <c r="E19" s="2897"/>
      <c r="F19" s="2897"/>
      <c r="G19" s="2897"/>
      <c r="H19" s="2897"/>
      <c r="I19" s="2897"/>
      <c r="J19" s="2897"/>
      <c r="K19" s="2897"/>
      <c r="L19" s="2897"/>
      <c r="M19" s="2897"/>
      <c r="N19" s="2897"/>
      <c r="O19" s="2897"/>
      <c r="P19" s="2897"/>
      <c r="Q19" s="2897"/>
      <c r="R19" s="2897"/>
    </row>
    <row r="20" spans="1:18" ht="18.75" customHeight="1" thickBot="1" x14ac:dyDescent="0.4">
      <c r="A20" s="5223" t="s">
        <v>4962</v>
      </c>
      <c r="B20" s="5218"/>
      <c r="C20" s="5218"/>
      <c r="D20" s="5218"/>
      <c r="E20" s="5218"/>
      <c r="F20" s="5218"/>
      <c r="G20" s="5218"/>
      <c r="H20" s="5218"/>
      <c r="I20" s="5218"/>
      <c r="J20" s="5218"/>
      <c r="K20" s="5218"/>
      <c r="L20" s="5218"/>
      <c r="M20" s="5218"/>
      <c r="N20" s="5218"/>
      <c r="O20" s="5218"/>
      <c r="P20" s="5218"/>
      <c r="Q20" s="5218"/>
      <c r="R20" s="5219"/>
    </row>
    <row r="21" spans="1:18" ht="15.75" thickBot="1" x14ac:dyDescent="0.3">
      <c r="A21" s="4317" t="s">
        <v>4246</v>
      </c>
      <c r="B21" s="4317" t="s">
        <v>2880</v>
      </c>
      <c r="C21" s="4318"/>
      <c r="D21" s="4319"/>
      <c r="E21" s="4319"/>
      <c r="F21" s="4319"/>
      <c r="G21" s="4319"/>
      <c r="H21" s="4319"/>
      <c r="I21" s="4319"/>
      <c r="J21" s="4319"/>
      <c r="K21" s="4319"/>
      <c r="L21" s="4319"/>
      <c r="M21" s="4319"/>
      <c r="N21" s="4319"/>
      <c r="O21" s="4319"/>
      <c r="P21" s="4319"/>
      <c r="Q21" s="4319"/>
      <c r="R21" s="4320"/>
    </row>
    <row r="22" spans="1:18" s="1144" customFormat="1" ht="15.75" thickBot="1" x14ac:dyDescent="0.3">
      <c r="A22" s="4321" t="s">
        <v>2827</v>
      </c>
      <c r="B22" s="4322" t="s">
        <v>329</v>
      </c>
      <c r="C22" s="4323" t="s">
        <v>330</v>
      </c>
      <c r="D22" s="4323" t="s">
        <v>331</v>
      </c>
      <c r="E22" s="4323" t="s">
        <v>2754</v>
      </c>
      <c r="F22" s="4323" t="s">
        <v>333</v>
      </c>
      <c r="G22" s="4323" t="s">
        <v>334</v>
      </c>
      <c r="H22" s="4323" t="s">
        <v>335</v>
      </c>
      <c r="I22" s="4323" t="s">
        <v>336</v>
      </c>
      <c r="J22" s="4323" t="s">
        <v>337</v>
      </c>
      <c r="K22" s="4323" t="s">
        <v>2747</v>
      </c>
      <c r="L22" s="4323" t="s">
        <v>2794</v>
      </c>
      <c r="M22" s="4323" t="s">
        <v>2796</v>
      </c>
      <c r="N22" s="4323" t="s">
        <v>339</v>
      </c>
      <c r="O22" s="4323" t="s">
        <v>340</v>
      </c>
      <c r="P22" s="4323" t="s">
        <v>341</v>
      </c>
      <c r="Q22" s="4324" t="s">
        <v>342</v>
      </c>
      <c r="R22" s="4325" t="s">
        <v>2825</v>
      </c>
    </row>
    <row r="23" spans="1:18" x14ac:dyDescent="0.25">
      <c r="A23" s="4326" t="s">
        <v>639</v>
      </c>
      <c r="B23" s="4335">
        <v>3.3360304032000007E-2</v>
      </c>
      <c r="C23" s="4336">
        <v>0</v>
      </c>
      <c r="D23" s="4336"/>
      <c r="E23" s="4336"/>
      <c r="F23" s="4336"/>
      <c r="G23" s="4336"/>
      <c r="H23" s="4336"/>
      <c r="I23" s="4336">
        <v>1.7881728479999998E-2</v>
      </c>
      <c r="J23" s="4336"/>
      <c r="K23" s="4336"/>
      <c r="L23" s="4336"/>
      <c r="M23" s="4336">
        <v>1.1271349650000002E-3</v>
      </c>
      <c r="N23" s="4336"/>
      <c r="O23" s="4336"/>
      <c r="P23" s="4336">
        <v>0</v>
      </c>
      <c r="Q23" s="4336"/>
      <c r="R23" s="4337">
        <v>5.2369167477000003E-2</v>
      </c>
    </row>
    <row r="24" spans="1:18" x14ac:dyDescent="0.25">
      <c r="A24" s="4326" t="s">
        <v>350</v>
      </c>
      <c r="B24" s="4335">
        <v>0.55924493312285728</v>
      </c>
      <c r="C24" s="4336">
        <v>9.2769049575714274E-3</v>
      </c>
      <c r="D24" s="4336"/>
      <c r="E24" s="4336">
        <v>0</v>
      </c>
      <c r="F24" s="4336"/>
      <c r="G24" s="4336"/>
      <c r="H24" s="4336"/>
      <c r="I24" s="4336">
        <v>0.44697921076914293</v>
      </c>
      <c r="J24" s="4336"/>
      <c r="K24" s="4336">
        <v>9.0668790828000011E-3</v>
      </c>
      <c r="L24" s="4336">
        <v>0.10634458668318571</v>
      </c>
      <c r="M24" s="4336">
        <v>0.21939994633857141</v>
      </c>
      <c r="N24" s="4336">
        <v>1.4494670642571431E-3</v>
      </c>
      <c r="O24" s="4336">
        <v>8.0281168925571467E-2</v>
      </c>
      <c r="P24" s="4336">
        <v>0</v>
      </c>
      <c r="Q24" s="4336">
        <v>0</v>
      </c>
      <c r="R24" s="4337">
        <v>1.432043096943957</v>
      </c>
    </row>
    <row r="25" spans="1:18" x14ac:dyDescent="0.25">
      <c r="A25" s="4326" t="s">
        <v>351</v>
      </c>
      <c r="B25" s="4335"/>
      <c r="C25" s="4336"/>
      <c r="D25" s="4336">
        <v>0</v>
      </c>
      <c r="E25" s="4336"/>
      <c r="F25" s="4336"/>
      <c r="G25" s="4336"/>
      <c r="H25" s="4336"/>
      <c r="I25" s="4336"/>
      <c r="J25" s="4336"/>
      <c r="K25" s="4336"/>
      <c r="L25" s="4336"/>
      <c r="M25" s="4336"/>
      <c r="N25" s="4336"/>
      <c r="O25" s="4336"/>
      <c r="P25" s="4336"/>
      <c r="Q25" s="4336">
        <v>0</v>
      </c>
      <c r="R25" s="4337">
        <v>0</v>
      </c>
    </row>
    <row r="26" spans="1:18" x14ac:dyDescent="0.25">
      <c r="A26" s="4326" t="s">
        <v>352</v>
      </c>
      <c r="B26" s="4335"/>
      <c r="C26" s="4336"/>
      <c r="D26" s="4336">
        <v>0</v>
      </c>
      <c r="E26" s="4336">
        <v>0</v>
      </c>
      <c r="F26" s="4336"/>
      <c r="G26" s="4336"/>
      <c r="H26" s="4336"/>
      <c r="I26" s="4336"/>
      <c r="J26" s="4336"/>
      <c r="K26" s="4336">
        <v>0</v>
      </c>
      <c r="L26" s="4336"/>
      <c r="M26" s="4336"/>
      <c r="N26" s="4336">
        <v>0</v>
      </c>
      <c r="O26" s="4336"/>
      <c r="P26" s="4336"/>
      <c r="Q26" s="4336"/>
      <c r="R26" s="4337">
        <v>0</v>
      </c>
    </row>
    <row r="27" spans="1:18" x14ac:dyDescent="0.25">
      <c r="A27" s="4326" t="s">
        <v>2879</v>
      </c>
      <c r="B27" s="4335"/>
      <c r="C27" s="4336"/>
      <c r="D27" s="4336">
        <v>0</v>
      </c>
      <c r="E27" s="4336"/>
      <c r="F27" s="4336">
        <v>0.11478068555014286</v>
      </c>
      <c r="G27" s="4336">
        <v>0.25767840687285715</v>
      </c>
      <c r="H27" s="4336">
        <v>0</v>
      </c>
      <c r="I27" s="4336"/>
      <c r="J27" s="4336">
        <v>1.3399264583571429</v>
      </c>
      <c r="K27" s="4336"/>
      <c r="L27" s="4336"/>
      <c r="M27" s="4336"/>
      <c r="N27" s="4336"/>
      <c r="O27" s="4336"/>
      <c r="P27" s="4336"/>
      <c r="Q27" s="4336"/>
      <c r="R27" s="4337">
        <v>1.7123855507801429</v>
      </c>
    </row>
    <row r="28" spans="1:18" x14ac:dyDescent="0.25">
      <c r="A28" s="4326" t="s">
        <v>353</v>
      </c>
      <c r="B28" s="4335"/>
      <c r="C28" s="4336">
        <v>0</v>
      </c>
      <c r="D28" s="4336"/>
      <c r="E28" s="4336">
        <v>0</v>
      </c>
      <c r="F28" s="4336"/>
      <c r="G28" s="4336"/>
      <c r="H28" s="4336"/>
      <c r="I28" s="4336">
        <v>0</v>
      </c>
      <c r="J28" s="4336"/>
      <c r="K28" s="4336">
        <v>0</v>
      </c>
      <c r="L28" s="4336"/>
      <c r="M28" s="4336">
        <v>0</v>
      </c>
      <c r="N28" s="4336">
        <v>0</v>
      </c>
      <c r="O28" s="4336"/>
      <c r="P28" s="4336"/>
      <c r="Q28" s="4336">
        <v>0</v>
      </c>
      <c r="R28" s="4337">
        <v>0</v>
      </c>
    </row>
    <row r="29" spans="1:18" ht="15.75" thickBot="1" x14ac:dyDescent="0.3">
      <c r="A29" s="4330" t="s">
        <v>354</v>
      </c>
      <c r="B29" s="4335">
        <v>5.9695868571428577E-2</v>
      </c>
      <c r="C29" s="4336">
        <v>0</v>
      </c>
      <c r="D29" s="4336"/>
      <c r="E29" s="4336"/>
      <c r="F29" s="4336"/>
      <c r="G29" s="4336"/>
      <c r="H29" s="4336"/>
      <c r="I29" s="4336">
        <v>0</v>
      </c>
      <c r="J29" s="4336"/>
      <c r="K29" s="4336"/>
      <c r="L29" s="4336"/>
      <c r="M29" s="4336">
        <v>0</v>
      </c>
      <c r="N29" s="4336"/>
      <c r="O29" s="4336"/>
      <c r="P29" s="4336">
        <v>0.27416817732857141</v>
      </c>
      <c r="Q29" s="4336"/>
      <c r="R29" s="4337">
        <v>0.33386404589999996</v>
      </c>
    </row>
    <row r="30" spans="1:18" ht="15.75" thickBot="1" x14ac:dyDescent="0.3">
      <c r="A30" s="4331" t="s">
        <v>2825</v>
      </c>
      <c r="B30" s="4338">
        <v>0.65230110572628586</v>
      </c>
      <c r="C30" s="4339">
        <v>9.2769049575714274E-3</v>
      </c>
      <c r="D30" s="4339">
        <v>0</v>
      </c>
      <c r="E30" s="4339">
        <v>0</v>
      </c>
      <c r="F30" s="4339">
        <v>0.11478068555014286</v>
      </c>
      <c r="G30" s="4339">
        <v>0.25767840687285715</v>
      </c>
      <c r="H30" s="4339">
        <v>0</v>
      </c>
      <c r="I30" s="4339">
        <v>0.46486093924914296</v>
      </c>
      <c r="J30" s="4339">
        <v>1.3399264583571429</v>
      </c>
      <c r="K30" s="4339">
        <v>9.0668790828000011E-3</v>
      </c>
      <c r="L30" s="4339">
        <v>0.10634458668318571</v>
      </c>
      <c r="M30" s="4339">
        <v>0.2205270813035714</v>
      </c>
      <c r="N30" s="4339">
        <v>1.4494670642571431E-3</v>
      </c>
      <c r="O30" s="4339">
        <v>8.0281168925571467E-2</v>
      </c>
      <c r="P30" s="4339">
        <v>0.27416817732857141</v>
      </c>
      <c r="Q30" s="4339">
        <v>0</v>
      </c>
      <c r="R30" s="4340">
        <v>3.5306618611010996</v>
      </c>
    </row>
    <row r="31" spans="1:18" s="1144" customFormat="1" x14ac:dyDescent="0.25">
      <c r="A31" s="2882"/>
      <c r="B31" s="2882"/>
      <c r="C31" s="2882"/>
      <c r="D31" s="2882"/>
      <c r="E31" s="2882"/>
      <c r="F31" s="2882"/>
      <c r="G31" s="2882"/>
      <c r="H31" s="2882"/>
      <c r="I31" s="2882"/>
      <c r="J31" s="2882"/>
      <c r="K31" s="2882"/>
      <c r="L31" s="2882"/>
      <c r="M31" s="2882"/>
      <c r="N31" s="2882"/>
      <c r="O31" s="2882"/>
      <c r="P31" s="2882"/>
      <c r="Q31" s="2882"/>
      <c r="R31" s="2882"/>
    </row>
    <row r="32" spans="1:18" x14ac:dyDescent="0.25">
      <c r="A32" s="2882"/>
      <c r="B32" s="2882"/>
      <c r="C32" s="2882"/>
      <c r="D32" s="2882"/>
      <c r="E32" s="2882"/>
      <c r="F32" s="2882"/>
      <c r="G32" s="2882"/>
      <c r="H32" s="2882"/>
      <c r="I32" s="2882"/>
      <c r="J32" s="2882"/>
      <c r="K32" s="2882"/>
      <c r="L32" s="2882"/>
      <c r="M32" s="2882"/>
      <c r="N32" s="2882"/>
      <c r="O32" s="2882"/>
      <c r="P32" s="2882"/>
      <c r="Q32" s="2882"/>
      <c r="R32" s="2882"/>
    </row>
    <row r="33" spans="1:18" x14ac:dyDescent="0.25">
      <c r="A33" s="3"/>
      <c r="B33" s="3"/>
      <c r="C33" s="3"/>
      <c r="D33" s="3"/>
      <c r="E33" s="3"/>
      <c r="F33" s="3"/>
      <c r="G33" s="3"/>
      <c r="H33" s="3"/>
      <c r="I33" s="3"/>
      <c r="J33" s="3"/>
      <c r="K33" s="3"/>
      <c r="L33" s="3"/>
      <c r="M33" s="3"/>
      <c r="N33" s="3"/>
      <c r="O33" s="3"/>
      <c r="P33" s="3"/>
      <c r="Q33" s="3"/>
      <c r="R33" s="3"/>
    </row>
    <row r="34" spans="1:18" x14ac:dyDescent="0.25">
      <c r="A34" s="3"/>
      <c r="B34" s="3"/>
      <c r="C34" s="3"/>
      <c r="D34" s="3"/>
      <c r="E34" s="3"/>
      <c r="F34" s="3"/>
      <c r="G34" s="3"/>
      <c r="H34" s="3"/>
      <c r="I34" s="3"/>
      <c r="J34" s="3"/>
      <c r="K34" s="3"/>
      <c r="L34" s="3"/>
      <c r="M34" s="3"/>
      <c r="N34" s="3"/>
      <c r="O34" s="3"/>
      <c r="P34" s="3"/>
      <c r="Q34" s="3"/>
      <c r="R34" s="3"/>
    </row>
    <row r="35" spans="1:18" x14ac:dyDescent="0.25">
      <c r="A35" s="3"/>
      <c r="B35" s="3"/>
      <c r="C35" s="3"/>
      <c r="D35" s="3"/>
      <c r="E35" s="3"/>
      <c r="F35" s="3"/>
      <c r="G35" s="3"/>
      <c r="H35" s="3"/>
      <c r="I35" s="3"/>
      <c r="J35" s="3"/>
      <c r="K35" s="3"/>
      <c r="L35" s="3"/>
      <c r="M35" s="3"/>
      <c r="N35" s="3"/>
      <c r="O35" s="3"/>
      <c r="P35" s="3"/>
      <c r="Q35" s="3"/>
      <c r="R35" s="3"/>
    </row>
    <row r="36" spans="1:18" x14ac:dyDescent="0.25">
      <c r="A36" s="3"/>
      <c r="B36" s="3"/>
      <c r="C36" s="3"/>
      <c r="D36" s="3"/>
      <c r="E36" s="3"/>
      <c r="F36" s="3"/>
      <c r="G36" s="3"/>
      <c r="H36" s="3"/>
      <c r="I36" s="3"/>
      <c r="J36" s="3"/>
      <c r="K36" s="3"/>
      <c r="L36" s="3"/>
      <c r="M36" s="3"/>
      <c r="N36" s="3"/>
      <c r="O36" s="3"/>
      <c r="P36" s="3"/>
      <c r="Q36" s="3"/>
      <c r="R36" s="3"/>
    </row>
    <row r="37" spans="1:18" x14ac:dyDescent="0.25">
      <c r="A37" s="3"/>
      <c r="B37" s="3"/>
      <c r="C37" s="3"/>
      <c r="D37" s="3"/>
      <c r="E37" s="3"/>
      <c r="F37" s="3"/>
      <c r="G37" s="3"/>
      <c r="H37" s="3"/>
      <c r="I37" s="3"/>
      <c r="J37" s="3"/>
      <c r="K37" s="3"/>
      <c r="L37" s="3"/>
      <c r="M37" s="3"/>
      <c r="N37" s="3"/>
      <c r="O37" s="3"/>
      <c r="P37" s="3"/>
      <c r="Q37" s="3"/>
      <c r="R37" s="3"/>
    </row>
    <row r="38" spans="1:18" x14ac:dyDescent="0.25">
      <c r="A38" s="3"/>
      <c r="B38" s="3"/>
      <c r="C38" s="3"/>
      <c r="D38" s="3"/>
      <c r="E38" s="3"/>
      <c r="F38" s="3"/>
      <c r="G38" s="3"/>
      <c r="H38" s="3"/>
      <c r="I38" s="3"/>
      <c r="J38" s="3"/>
      <c r="K38" s="3"/>
      <c r="L38" s="3"/>
      <c r="M38" s="3"/>
      <c r="N38" s="3"/>
      <c r="O38" s="3"/>
      <c r="P38" s="3"/>
      <c r="Q38" s="3"/>
      <c r="R38" s="3"/>
    </row>
    <row r="39" spans="1:18" ht="15.75" thickBot="1" x14ac:dyDescent="0.3">
      <c r="A39" s="3"/>
      <c r="B39" s="3"/>
      <c r="C39" s="3"/>
      <c r="D39" s="3"/>
      <c r="E39" s="3"/>
      <c r="F39" s="3"/>
      <c r="G39" s="3"/>
      <c r="H39" s="3"/>
      <c r="I39" s="3"/>
      <c r="J39" s="3"/>
      <c r="K39" s="3"/>
      <c r="L39" s="3"/>
      <c r="M39" s="3"/>
      <c r="N39" s="3"/>
      <c r="O39" s="3"/>
      <c r="P39" s="3"/>
      <c r="Q39" s="3"/>
      <c r="R39" s="3"/>
    </row>
    <row r="40" spans="1:18" x14ac:dyDescent="0.25">
      <c r="A40" s="3"/>
      <c r="B40" s="3"/>
      <c r="C40" s="3"/>
      <c r="D40" s="3"/>
      <c r="E40" s="3"/>
      <c r="F40" s="3"/>
      <c r="G40" s="3"/>
      <c r="H40" s="3"/>
      <c r="I40" s="3"/>
      <c r="J40" s="3"/>
      <c r="K40" s="3"/>
      <c r="L40" s="3"/>
      <c r="M40" s="3"/>
      <c r="N40" s="3"/>
      <c r="O40" s="3"/>
      <c r="P40" s="3"/>
      <c r="Q40" s="3"/>
      <c r="R40" s="3"/>
    </row>
    <row r="41" spans="1:18" x14ac:dyDescent="0.25">
      <c r="A41" s="3"/>
      <c r="B41" s="3"/>
      <c r="C41" s="3"/>
      <c r="D41" s="3"/>
      <c r="E41" s="3"/>
      <c r="F41" s="3"/>
      <c r="G41" s="3"/>
      <c r="H41" s="3"/>
      <c r="I41" s="3"/>
      <c r="J41" s="3"/>
      <c r="K41" s="3"/>
      <c r="L41" s="3"/>
      <c r="M41" s="3"/>
      <c r="N41" s="3"/>
      <c r="O41" s="3"/>
      <c r="P41" s="3"/>
      <c r="Q41" s="3"/>
      <c r="R41" s="3"/>
    </row>
    <row r="42" spans="1:18" x14ac:dyDescent="0.25">
      <c r="A42" s="3"/>
      <c r="B42" s="3"/>
      <c r="C42" s="3"/>
      <c r="D42" s="3"/>
      <c r="E42" s="3"/>
      <c r="F42" s="3"/>
      <c r="G42" s="3"/>
      <c r="H42" s="3"/>
      <c r="I42" s="3"/>
      <c r="J42" s="3"/>
      <c r="K42" s="3"/>
      <c r="L42" s="3"/>
      <c r="M42" s="3"/>
      <c r="N42" s="3"/>
      <c r="O42" s="3"/>
      <c r="P42" s="3"/>
      <c r="Q42" s="3"/>
      <c r="R42" s="3"/>
    </row>
    <row r="43" spans="1:18" x14ac:dyDescent="0.25">
      <c r="A43" s="3"/>
      <c r="B43" s="3"/>
      <c r="C43" s="3"/>
      <c r="D43" s="3"/>
      <c r="E43" s="3"/>
      <c r="F43" s="3"/>
      <c r="G43" s="3"/>
      <c r="H43" s="3"/>
      <c r="I43" s="3"/>
      <c r="J43" s="3"/>
      <c r="K43" s="3"/>
      <c r="L43" s="3"/>
      <c r="M43" s="3"/>
      <c r="N43" s="3"/>
      <c r="O43" s="3"/>
      <c r="P43" s="3"/>
      <c r="Q43" s="3"/>
      <c r="R43" s="3"/>
    </row>
    <row r="44" spans="1:18" x14ac:dyDescent="0.25">
      <c r="A44" s="3"/>
      <c r="B44" s="3"/>
      <c r="C44" s="3"/>
      <c r="D44" s="3"/>
      <c r="E44" s="3"/>
      <c r="F44" s="3"/>
      <c r="G44" s="3"/>
      <c r="H44" s="3"/>
      <c r="I44" s="3"/>
      <c r="J44" s="3"/>
      <c r="K44" s="3"/>
      <c r="L44" s="3"/>
      <c r="M44" s="3"/>
      <c r="N44" s="3"/>
      <c r="O44" s="3"/>
      <c r="P44" s="3"/>
      <c r="Q44" s="3"/>
      <c r="R44" s="3"/>
    </row>
    <row r="45" spans="1:18" x14ac:dyDescent="0.25">
      <c r="A45" s="3"/>
      <c r="B45" s="3"/>
      <c r="C45" s="3"/>
      <c r="D45" s="3"/>
      <c r="E45" s="3"/>
      <c r="F45" s="3"/>
      <c r="G45" s="3"/>
      <c r="H45" s="3"/>
      <c r="I45" s="3"/>
      <c r="J45" s="3"/>
      <c r="K45" s="3"/>
      <c r="L45" s="3"/>
      <c r="M45" s="3"/>
      <c r="N45" s="3"/>
      <c r="O45" s="3"/>
      <c r="P45" s="3"/>
      <c r="Q45" s="3"/>
      <c r="R45" s="3"/>
    </row>
    <row r="46" spans="1:18" x14ac:dyDescent="0.25">
      <c r="A46" s="3"/>
      <c r="B46" s="3"/>
      <c r="C46" s="3"/>
      <c r="D46" s="3"/>
      <c r="E46" s="3"/>
      <c r="F46" s="3"/>
      <c r="G46" s="3"/>
      <c r="H46" s="3"/>
      <c r="I46" s="3"/>
      <c r="J46" s="3"/>
      <c r="K46" s="3"/>
      <c r="L46" s="3"/>
      <c r="M46" s="3"/>
      <c r="N46" s="3"/>
      <c r="O46" s="3"/>
      <c r="P46" s="3"/>
      <c r="Q46" s="3"/>
      <c r="R46" s="3"/>
    </row>
    <row r="47" spans="1:18" x14ac:dyDescent="0.25">
      <c r="A47" s="3"/>
      <c r="B47" s="3"/>
      <c r="C47" s="3"/>
      <c r="D47" s="3"/>
      <c r="E47" s="3"/>
      <c r="F47" s="3"/>
      <c r="G47" s="3"/>
      <c r="H47" s="3"/>
      <c r="I47" s="3"/>
      <c r="J47" s="3"/>
      <c r="K47" s="3"/>
      <c r="L47" s="3"/>
      <c r="M47" s="3"/>
      <c r="N47" s="3"/>
      <c r="O47" s="3"/>
      <c r="P47" s="3"/>
      <c r="Q47" s="3"/>
      <c r="R47" s="3"/>
    </row>
    <row r="48" spans="1:1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ht="15.75" thickBot="1" x14ac:dyDescent="0.3">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ht="15.75" thickBot="1" x14ac:dyDescent="0.3">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ht="15.75" thickBot="1" x14ac:dyDescent="0.3">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ht="15.75" thickBot="1" x14ac:dyDescent="0.3">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ht="15.75" thickBot="1" x14ac:dyDescent="0.3">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ht="15.75" thickBot="1" x14ac:dyDescent="0.3">
      <c r="A153" s="3"/>
      <c r="B153" s="3"/>
      <c r="C153" s="3"/>
      <c r="D153" s="3"/>
      <c r="E153" s="3"/>
      <c r="F153" s="3"/>
      <c r="G153" s="3"/>
      <c r="H153" s="3"/>
      <c r="I153" s="3"/>
      <c r="J153" s="3"/>
      <c r="K153" s="3"/>
      <c r="L153" s="3"/>
      <c r="M153" s="3"/>
      <c r="N153" s="3"/>
      <c r="O153" s="3"/>
      <c r="P153" s="3"/>
      <c r="Q153" s="3"/>
      <c r="R153" s="3"/>
    </row>
    <row r="154" spans="1:18" ht="15.75" thickBot="1" x14ac:dyDescent="0.3">
      <c r="A154" s="3"/>
      <c r="B154" s="3"/>
      <c r="C154" s="3"/>
      <c r="D154" s="3"/>
      <c r="E154" s="3"/>
      <c r="F154" s="3"/>
      <c r="G154" s="3"/>
      <c r="H154" s="3"/>
      <c r="I154" s="3"/>
      <c r="J154" s="3"/>
      <c r="K154" s="3"/>
      <c r="L154" s="3"/>
      <c r="M154" s="3"/>
      <c r="N154" s="3"/>
      <c r="O154" s="3"/>
      <c r="P154" s="3"/>
      <c r="Q154" s="3"/>
      <c r="R154" s="3"/>
    </row>
  </sheetData>
  <mergeCells count="2">
    <mergeCell ref="A6:R6"/>
    <mergeCell ref="A20:R20"/>
  </mergeCells>
  <hyperlinks>
    <hyperlink ref="A2" location="Index!A1" display="Til index" xr:uid="{A322D3C0-EB3A-4A4F-996E-E5950CCB7FDC}"/>
  </hyperlinks>
  <pageMargins left="0.7" right="0.7" top="0.75" bottom="0.75" header="0.3" footer="0.3"/>
  <pageSetup paperSize="9" orientation="portrait" r:id="rId3"/>
  <drawing r:id="rId4"/>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A60A9-760C-408E-95C4-A8940AC15000}">
  <sheetPr codeName="Ark137">
    <tabColor theme="4" tint="0.59999389629810485"/>
  </sheetPr>
  <dimension ref="A1:AM125"/>
  <sheetViews>
    <sheetView topLeftCell="A28" zoomScale="85" zoomScaleNormal="85" workbookViewId="0">
      <selection activeCell="F40" sqref="F40"/>
    </sheetView>
  </sheetViews>
  <sheetFormatPr defaultColWidth="8.7109375" defaultRowHeight="15" x14ac:dyDescent="0.25"/>
  <cols>
    <col min="1" max="1" width="47.28515625" style="847" customWidth="1"/>
    <col min="2" max="2" width="30.5703125" style="847" customWidth="1"/>
    <col min="3" max="3" width="31.140625" style="847" customWidth="1"/>
    <col min="4" max="4" width="33.85546875" style="847" customWidth="1"/>
    <col min="5" max="5" width="29.5703125" style="847" customWidth="1"/>
    <col min="6" max="6" width="27.85546875" style="847" customWidth="1"/>
    <col min="7" max="7" width="20.42578125" style="847" customWidth="1"/>
    <col min="8" max="8" width="20.7109375" style="847" customWidth="1"/>
    <col min="9" max="10" width="8.7109375" style="847"/>
    <col min="11" max="11" width="25" style="847" bestFit="1" customWidth="1"/>
    <col min="12" max="13" width="12" style="847" bestFit="1" customWidth="1"/>
    <col min="14" max="14" width="21.5703125" style="847" customWidth="1"/>
    <col min="15" max="15" width="18.5703125" style="847" customWidth="1"/>
    <col min="16" max="16" width="18.85546875" style="847" customWidth="1"/>
    <col min="17" max="17" width="17" style="847" customWidth="1"/>
    <col min="18" max="18" width="8.7109375" style="847"/>
    <col min="19" max="19" width="11.85546875" style="847" bestFit="1" customWidth="1"/>
    <col min="20" max="21" width="8.7109375" style="847"/>
    <col min="22" max="22" width="10.140625" style="847" bestFit="1" customWidth="1"/>
    <col min="23" max="23" width="8.7109375" style="847"/>
    <col min="24" max="25" width="12.85546875" style="847" customWidth="1"/>
    <col min="26" max="37" width="8.7109375" style="847"/>
    <col min="38" max="38" width="12.85546875" style="847" customWidth="1"/>
    <col min="39" max="16384" width="8.7109375" style="847"/>
  </cols>
  <sheetData>
    <row r="1" spans="1:24" s="657" customFormat="1" ht="53.1" customHeight="1" x14ac:dyDescent="0.35">
      <c r="B1" s="658" t="s">
        <v>2089</v>
      </c>
    </row>
    <row r="2" spans="1:24" ht="21" x14ac:dyDescent="0.35">
      <c r="A2" s="1740" t="s">
        <v>4206</v>
      </c>
    </row>
    <row r="3" spans="1:24" x14ac:dyDescent="0.25">
      <c r="A3" s="3676"/>
      <c r="B3" s="847" t="str">
        <f>'K1 2018'!B3</f>
        <v>Tal fra register</v>
      </c>
      <c r="I3" s="946"/>
    </row>
    <row r="4" spans="1:24" x14ac:dyDescent="0.25">
      <c r="A4" s="1471"/>
      <c r="B4" s="1475" t="str">
        <f>'K1 2018'!B4</f>
        <v>Overført til regnskab</v>
      </c>
    </row>
    <row r="5" spans="1:24" x14ac:dyDescent="0.25">
      <c r="A5" s="1476"/>
      <c r="B5" s="847" t="s">
        <v>2087</v>
      </c>
    </row>
    <row r="6" spans="1:24" x14ac:dyDescent="0.25">
      <c r="A6" s="632"/>
      <c r="I6" s="867"/>
    </row>
    <row r="7" spans="1:24" ht="33.75" thickBot="1" x14ac:dyDescent="0.3">
      <c r="A7" s="948" t="s">
        <v>4943</v>
      </c>
      <c r="B7" s="947"/>
      <c r="C7" s="947"/>
      <c r="D7" s="947"/>
      <c r="E7" s="947"/>
      <c r="F7" s="946"/>
    </row>
    <row r="8" spans="1:24" ht="38.25" customHeight="1" thickBot="1" x14ac:dyDescent="0.3">
      <c r="A8" s="2900" t="s">
        <v>2086</v>
      </c>
      <c r="B8" s="2898" t="s">
        <v>4790</v>
      </c>
      <c r="C8" s="649" t="s">
        <v>4775</v>
      </c>
      <c r="D8" s="2899" t="s">
        <v>4963</v>
      </c>
      <c r="E8" s="648" t="s">
        <v>4964</v>
      </c>
      <c r="G8" s="939"/>
      <c r="V8" s="939"/>
      <c r="W8" s="892"/>
      <c r="X8" s="892"/>
    </row>
    <row r="9" spans="1:24" x14ac:dyDescent="0.25">
      <c r="A9" s="638" t="s">
        <v>2085</v>
      </c>
      <c r="B9" s="3960">
        <v>306.89749000000006</v>
      </c>
      <c r="C9" s="938">
        <v>1</v>
      </c>
      <c r="D9" s="1697">
        <f>B9*C9%</f>
        <v>3.0689749000000006</v>
      </c>
      <c r="E9" s="1472">
        <f>D9*44/28</f>
        <v>4.8226748428571442</v>
      </c>
      <c r="G9" s="873"/>
      <c r="Q9" s="867"/>
      <c r="R9" s="867"/>
      <c r="U9" s="873"/>
      <c r="V9" s="873"/>
      <c r="W9" s="873"/>
      <c r="X9" s="873"/>
    </row>
    <row r="10" spans="1:24" x14ac:dyDescent="0.25">
      <c r="A10" s="862" t="s">
        <v>2084</v>
      </c>
      <c r="B10" s="903">
        <f>B11+B12+B13</f>
        <v>166.77421999999999</v>
      </c>
      <c r="C10" s="944">
        <v>1</v>
      </c>
      <c r="D10" s="1694">
        <f>D11+D12+D13</f>
        <v>1.6677422</v>
      </c>
      <c r="E10" s="1473">
        <f t="shared" ref="E10:E17" si="0">D10*44/28</f>
        <v>2.6207377428571426</v>
      </c>
      <c r="G10" s="873"/>
      <c r="Q10" s="867"/>
      <c r="R10" s="867"/>
      <c r="U10" s="873"/>
      <c r="V10" s="873"/>
      <c r="W10" s="873"/>
      <c r="X10" s="873"/>
    </row>
    <row r="11" spans="1:24" x14ac:dyDescent="0.25">
      <c r="A11" s="862" t="s">
        <v>2083</v>
      </c>
      <c r="B11" s="3960">
        <v>165.87657999999999</v>
      </c>
      <c r="C11" s="944">
        <v>1</v>
      </c>
      <c r="D11" s="903">
        <f t="shared" ref="D11:D17" si="1">B11*C11%</f>
        <v>1.6587657999999998</v>
      </c>
      <c r="E11" s="945">
        <f t="shared" si="0"/>
        <v>2.6066319714285711</v>
      </c>
      <c r="G11" s="873"/>
      <c r="Q11" s="867"/>
      <c r="R11" s="867"/>
      <c r="U11" s="873"/>
      <c r="V11" s="873"/>
      <c r="W11" s="873"/>
      <c r="X11" s="873"/>
    </row>
    <row r="12" spans="1:24" x14ac:dyDescent="0.25">
      <c r="A12" s="862" t="s">
        <v>2082</v>
      </c>
      <c r="B12" s="3960">
        <v>0</v>
      </c>
      <c r="C12" s="944">
        <v>1</v>
      </c>
      <c r="D12" s="903">
        <f t="shared" si="1"/>
        <v>0</v>
      </c>
      <c r="E12" s="945">
        <f t="shared" si="0"/>
        <v>0</v>
      </c>
      <c r="F12" s="867"/>
      <c r="G12" s="873"/>
      <c r="Q12" s="867"/>
      <c r="R12" s="867"/>
      <c r="U12" s="873"/>
      <c r="V12" s="873"/>
      <c r="W12" s="873"/>
      <c r="X12" s="873"/>
    </row>
    <row r="13" spans="1:24" x14ac:dyDescent="0.25">
      <c r="A13" s="862" t="s">
        <v>2081</v>
      </c>
      <c r="B13" s="3960">
        <v>0.8976400000000001</v>
      </c>
      <c r="C13" s="944">
        <v>1</v>
      </c>
      <c r="D13" s="903">
        <f t="shared" si="1"/>
        <v>8.9764000000000007E-3</v>
      </c>
      <c r="E13" s="945">
        <f t="shared" si="0"/>
        <v>1.410577142857143E-2</v>
      </c>
      <c r="G13" s="873"/>
      <c r="Q13" s="867"/>
      <c r="U13" s="873"/>
      <c r="V13" s="873"/>
      <c r="W13" s="873"/>
      <c r="X13" s="873"/>
    </row>
    <row r="14" spans="1:24" x14ac:dyDescent="0.25">
      <c r="A14" s="862" t="s">
        <v>2080</v>
      </c>
      <c r="B14" s="903">
        <f>F83/1000</f>
        <v>29.929423562141963</v>
      </c>
      <c r="C14" s="944">
        <v>1.8025659038470001</v>
      </c>
      <c r="D14" s="1694">
        <f t="shared" si="1"/>
        <v>0.53949758434912132</v>
      </c>
      <c r="E14" s="1473">
        <f t="shared" si="0"/>
        <v>0.84778191826290494</v>
      </c>
      <c r="G14" s="873"/>
      <c r="Q14" s="867"/>
      <c r="R14" s="869"/>
      <c r="S14" s="868"/>
      <c r="T14" s="868"/>
      <c r="U14" s="873"/>
      <c r="V14" s="873"/>
      <c r="W14" s="873"/>
      <c r="X14" s="873"/>
    </row>
    <row r="15" spans="1:24" x14ac:dyDescent="0.25">
      <c r="A15" s="862" t="s">
        <v>2079</v>
      </c>
      <c r="B15" s="903">
        <f>SUM(O31:O47)/1000</f>
        <v>117.94567254788355</v>
      </c>
      <c r="C15" s="944">
        <v>1</v>
      </c>
      <c r="D15" s="1699">
        <f t="shared" si="1"/>
        <v>1.1794567254788355</v>
      </c>
      <c r="E15" s="2923">
        <f t="shared" si="0"/>
        <v>1.8534319971810274</v>
      </c>
      <c r="G15" s="873"/>
      <c r="W15" s="873"/>
      <c r="X15" s="873"/>
    </row>
    <row r="16" spans="1:24" x14ac:dyDescent="0.25">
      <c r="A16" s="862" t="s">
        <v>2078</v>
      </c>
      <c r="B16" s="1694">
        <f>-O50/1000</f>
        <v>-11.461504665600001</v>
      </c>
      <c r="C16" s="944">
        <v>1</v>
      </c>
      <c r="D16" s="1699">
        <f t="shared" si="1"/>
        <v>-0.11461504665600002</v>
      </c>
      <c r="E16" s="1473">
        <f t="shared" si="0"/>
        <v>-0.18010935903085717</v>
      </c>
      <c r="G16" s="873"/>
      <c r="O16" s="940"/>
      <c r="P16" s="940"/>
      <c r="Q16" s="940"/>
      <c r="S16" s="869"/>
      <c r="T16" s="940"/>
      <c r="U16" s="940"/>
      <c r="V16" s="939"/>
      <c r="W16" s="873"/>
      <c r="X16" s="873"/>
    </row>
    <row r="17" spans="1:39" x14ac:dyDescent="0.25">
      <c r="A17" s="862" t="s">
        <v>2077</v>
      </c>
      <c r="B17" s="903">
        <f>F91/1000</f>
        <v>22.987828228560822</v>
      </c>
      <c r="C17" s="944">
        <v>0.99999999953399998</v>
      </c>
      <c r="D17" s="1694">
        <f t="shared" si="1"/>
        <v>0.22987828217848494</v>
      </c>
      <c r="E17" s="1473">
        <f t="shared" si="0"/>
        <v>0.36123730056619063</v>
      </c>
      <c r="G17" s="873"/>
      <c r="Q17" s="867"/>
      <c r="R17" s="867"/>
      <c r="U17" s="873"/>
      <c r="V17" s="873"/>
      <c r="W17" s="873"/>
      <c r="X17" s="873"/>
    </row>
    <row r="18" spans="1:39" ht="15.75" thickBot="1" x14ac:dyDescent="0.3">
      <c r="A18" s="2901" t="s">
        <v>4808</v>
      </c>
      <c r="B18" s="943" t="s">
        <v>2076</v>
      </c>
      <c r="C18" s="942" t="s">
        <v>2076</v>
      </c>
      <c r="D18" s="1698">
        <f>D105/1000</f>
        <v>1.9800000000000002E-4</v>
      </c>
      <c r="E18" s="1474">
        <f>D18*44/28</f>
        <v>3.1114285714285716E-4</v>
      </c>
      <c r="G18" s="873"/>
      <c r="Q18" s="867"/>
      <c r="R18" s="867"/>
      <c r="U18" s="873"/>
      <c r="V18" s="873"/>
      <c r="W18" s="873"/>
      <c r="X18" s="873"/>
    </row>
    <row r="19" spans="1:39" x14ac:dyDescent="0.25">
      <c r="D19" s="873"/>
      <c r="E19" s="873"/>
      <c r="G19" s="873"/>
      <c r="U19" s="873"/>
      <c r="V19" s="873"/>
      <c r="W19" s="873"/>
      <c r="X19" s="873"/>
    </row>
    <row r="20" spans="1:39" ht="15.75" thickBot="1" x14ac:dyDescent="0.3">
      <c r="D20" s="873"/>
      <c r="E20" s="873"/>
      <c r="G20" s="873"/>
      <c r="U20" s="873"/>
      <c r="V20" s="873"/>
      <c r="W20" s="873"/>
      <c r="X20" s="873"/>
    </row>
    <row r="21" spans="1:39" ht="33.75" thickBot="1" x14ac:dyDescent="0.3">
      <c r="A21" s="941" t="s">
        <v>2075</v>
      </c>
      <c r="B21" s="650" t="s">
        <v>4790</v>
      </c>
      <c r="C21" s="649" t="s">
        <v>4775</v>
      </c>
      <c r="D21" s="2899" t="s">
        <v>4963</v>
      </c>
      <c r="E21" s="648" t="s">
        <v>4964</v>
      </c>
      <c r="G21" s="939"/>
      <c r="N21" s="940"/>
      <c r="O21" s="940"/>
      <c r="P21" s="940"/>
      <c r="Q21" s="869"/>
      <c r="R21" s="869"/>
      <c r="S21" s="940"/>
      <c r="T21" s="940"/>
      <c r="U21" s="939"/>
      <c r="V21" s="939"/>
      <c r="W21" s="892"/>
      <c r="X21" s="892"/>
    </row>
    <row r="22" spans="1:39" x14ac:dyDescent="0.25">
      <c r="A22" s="638" t="s">
        <v>2074</v>
      </c>
      <c r="B22" s="891">
        <f>D115/1000</f>
        <v>37.740834915965635</v>
      </c>
      <c r="C22" s="938">
        <v>1</v>
      </c>
      <c r="D22" s="1695">
        <f>B22*C22%</f>
        <v>0.37740834915965638</v>
      </c>
      <c r="E22" s="1472">
        <f>D22*44/28</f>
        <v>0.59307026296517429</v>
      </c>
      <c r="G22" s="873"/>
      <c r="Q22" s="867"/>
      <c r="U22" s="873"/>
      <c r="V22" s="873"/>
      <c r="W22" s="873"/>
      <c r="X22" s="873"/>
    </row>
    <row r="23" spans="1:39" ht="15.75" thickBot="1" x14ac:dyDescent="0.3">
      <c r="A23" s="1757" t="s">
        <v>2073</v>
      </c>
      <c r="B23" s="901">
        <f>D122/1000</f>
        <v>120.683179306543</v>
      </c>
      <c r="C23" s="635">
        <v>0.75</v>
      </c>
      <c r="D23" s="1696">
        <f>B23*C23%</f>
        <v>0.90512384479907249</v>
      </c>
      <c r="E23" s="1474">
        <f>D23*44/28</f>
        <v>1.4223374703985425</v>
      </c>
      <c r="G23" s="873"/>
      <c r="Q23" s="867"/>
      <c r="S23" s="868"/>
      <c r="T23" s="868"/>
      <c r="U23" s="873"/>
      <c r="V23" s="873"/>
      <c r="W23" s="873"/>
      <c r="X23" s="873"/>
    </row>
    <row r="24" spans="1:39" ht="15.75" thickBot="1" x14ac:dyDescent="0.3">
      <c r="A24" s="866"/>
      <c r="B24" s="865"/>
      <c r="C24" s="865"/>
      <c r="D24" s="937"/>
      <c r="E24" s="937"/>
      <c r="F24" s="865"/>
      <c r="G24" s="865"/>
      <c r="N24" s="877"/>
    </row>
    <row r="25" spans="1:39" ht="15.75" thickBot="1" x14ac:dyDescent="0.3">
      <c r="A25" s="866"/>
      <c r="B25" s="865"/>
      <c r="C25" s="865"/>
      <c r="D25" s="3666" t="s">
        <v>2072</v>
      </c>
      <c r="E25" s="936">
        <f>E9+E10+E14+E15+E17+E18+E22+E23+E16</f>
        <v>12.341473318914412</v>
      </c>
      <c r="F25" s="865"/>
      <c r="G25" s="865"/>
      <c r="N25" s="877"/>
    </row>
    <row r="26" spans="1:39" x14ac:dyDescent="0.25">
      <c r="A26" s="866"/>
      <c r="B26" s="865"/>
      <c r="C26" s="865"/>
      <c r="D26" s="3667"/>
      <c r="E26" s="3667"/>
      <c r="F26" s="865"/>
      <c r="G26" s="865"/>
      <c r="N26" s="877"/>
    </row>
    <row r="27" spans="1:39" ht="30" customHeight="1" x14ac:dyDescent="0.25">
      <c r="A27" s="849" t="s">
        <v>2062</v>
      </c>
      <c r="B27" s="848" t="s">
        <v>1845</v>
      </c>
      <c r="C27" s="3668" t="s">
        <v>2194</v>
      </c>
      <c r="F27" s="867"/>
      <c r="L27" s="873"/>
      <c r="M27" s="873"/>
      <c r="O27" s="877"/>
      <c r="W27" s="873"/>
      <c r="X27" s="873"/>
    </row>
    <row r="28" spans="1:39" x14ac:dyDescent="0.25">
      <c r="A28" s="865"/>
      <c r="B28" s="865"/>
    </row>
    <row r="29" spans="1:39" ht="29.1" customHeight="1" thickBot="1" x14ac:dyDescent="0.3">
      <c r="A29" s="871" t="s">
        <v>2071</v>
      </c>
      <c r="B29" s="935"/>
      <c r="C29" s="935"/>
      <c r="D29" s="886"/>
      <c r="E29" s="886"/>
    </row>
    <row r="30" spans="1:39" ht="89.45" customHeight="1" thickBot="1" x14ac:dyDescent="0.3">
      <c r="A30" s="934" t="s">
        <v>945</v>
      </c>
      <c r="B30" s="647" t="s">
        <v>4797</v>
      </c>
      <c r="C30" s="646" t="s">
        <v>4796</v>
      </c>
      <c r="D30" s="646" t="s">
        <v>4798</v>
      </c>
      <c r="E30" s="646" t="s">
        <v>4799</v>
      </c>
      <c r="F30" s="653" t="s">
        <v>4800</v>
      </c>
      <c r="G30" s="646" t="s">
        <v>4801</v>
      </c>
      <c r="H30" s="653" t="s">
        <v>4802</v>
      </c>
      <c r="I30" s="653" t="s">
        <v>2070</v>
      </c>
      <c r="J30" s="653" t="s">
        <v>2069</v>
      </c>
      <c r="K30" s="1758" t="s">
        <v>4806</v>
      </c>
      <c r="L30" s="653" t="s">
        <v>2068</v>
      </c>
      <c r="M30" s="653" t="s">
        <v>2067</v>
      </c>
      <c r="N30" s="646" t="s">
        <v>4803</v>
      </c>
      <c r="O30" s="934" t="s">
        <v>4804</v>
      </c>
      <c r="P30" s="934" t="s">
        <v>4805</v>
      </c>
      <c r="S30" s="869"/>
      <c r="T30" s="869"/>
      <c r="X30" s="858"/>
      <c r="Y30" s="858"/>
      <c r="AA30" s="869"/>
      <c r="AC30" s="869"/>
      <c r="AM30" s="869"/>
    </row>
    <row r="31" spans="1:39" x14ac:dyDescent="0.25">
      <c r="A31" s="637" t="s">
        <v>944</v>
      </c>
      <c r="B31" s="645">
        <f>'HST77'!D35</f>
        <v>63.1</v>
      </c>
      <c r="C31" s="932">
        <f t="shared" ref="C31:C47" si="2">B31*100</f>
        <v>6310</v>
      </c>
      <c r="D31" s="636">
        <f>Fodermiddeltabel!L106</f>
        <v>85</v>
      </c>
      <c r="E31" s="933">
        <f t="shared" ref="E31:E47" si="3">C31*D31%</f>
        <v>5363.5</v>
      </c>
      <c r="F31" s="3960">
        <v>6.37</v>
      </c>
      <c r="G31" s="636">
        <v>1</v>
      </c>
      <c r="H31" s="933">
        <f>'NIR faktorer'!D94</f>
        <v>8491.1597339062973</v>
      </c>
      <c r="I31" s="932">
        <f>IFERROR(H31/E31,"NE")</f>
        <v>1.5831378267747362</v>
      </c>
      <c r="J31" s="931">
        <v>6.0000000000000001E-3</v>
      </c>
      <c r="K31" s="930">
        <f t="shared" ref="K31:K38" si="4">E31*F31*I31*J31</f>
        <v>324.53212502989874</v>
      </c>
      <c r="L31" s="655">
        <v>0.23</v>
      </c>
      <c r="M31" s="655">
        <v>8.9999999999999993E-3</v>
      </c>
      <c r="N31" s="929">
        <f t="shared" ref="N31:N37" si="5">E31*F31*L31*M31*G31</f>
        <v>70.722574650000013</v>
      </c>
      <c r="O31" s="1477">
        <f>K31+N31</f>
        <v>395.25469967989875</v>
      </c>
      <c r="P31" s="928">
        <f t="shared" ref="P31:P36" si="6">O31/F31</f>
        <v>62.049403403437793</v>
      </c>
      <c r="S31" s="873"/>
      <c r="T31" s="873"/>
      <c r="X31" s="873"/>
      <c r="Y31" s="873"/>
      <c r="AA31" s="873"/>
      <c r="AC31" s="873"/>
    </row>
    <row r="32" spans="1:39" x14ac:dyDescent="0.25">
      <c r="A32" s="862" t="s">
        <v>943</v>
      </c>
      <c r="B32" s="923">
        <f>'HST77'!D36</f>
        <v>43.1</v>
      </c>
      <c r="C32" s="921">
        <f t="shared" si="2"/>
        <v>4310</v>
      </c>
      <c r="D32" s="1751">
        <f>Fodermiddeltabel!L106</f>
        <v>85</v>
      </c>
      <c r="E32" s="855">
        <f t="shared" si="3"/>
        <v>3663.5</v>
      </c>
      <c r="F32" s="3960">
        <v>13.59</v>
      </c>
      <c r="G32" s="856">
        <v>1</v>
      </c>
      <c r="H32" s="855">
        <f>'NIR faktorer'!D95</f>
        <v>4380.9988335925345</v>
      </c>
      <c r="I32" s="921">
        <f t="shared" ref="I32:I47" si="7">IFERROR(H32/E32,"NE")</f>
        <v>1.1958506438085259</v>
      </c>
      <c r="J32" s="922">
        <v>6.0000000000000001E-3</v>
      </c>
      <c r="K32" s="921">
        <f t="shared" si="4"/>
        <v>357.22664489113527</v>
      </c>
      <c r="L32" s="852">
        <v>0.28000000000000003</v>
      </c>
      <c r="M32" s="852">
        <v>8.9999999999999993E-3</v>
      </c>
      <c r="N32" s="903">
        <f t="shared" si="5"/>
        <v>125.46315179999999</v>
      </c>
      <c r="O32" s="1478">
        <f t="shared" ref="O32:O38" si="8">K32+N32</f>
        <v>482.68979669113526</v>
      </c>
      <c r="P32" s="917">
        <f t="shared" si="6"/>
        <v>35.518013001555204</v>
      </c>
      <c r="S32" s="873"/>
      <c r="T32" s="873"/>
      <c r="X32" s="873"/>
      <c r="Y32" s="873"/>
      <c r="AA32" s="873"/>
      <c r="AC32" s="873"/>
    </row>
    <row r="33" spans="1:29" x14ac:dyDescent="0.25">
      <c r="A33" s="862" t="s">
        <v>942</v>
      </c>
      <c r="B33" s="923">
        <f>'HST77'!D37</f>
        <v>54.8</v>
      </c>
      <c r="C33" s="921">
        <f t="shared" si="2"/>
        <v>5480</v>
      </c>
      <c r="D33" s="1751">
        <f>Fodermiddeltabel!L210</f>
        <v>85</v>
      </c>
      <c r="E33" s="855">
        <f t="shared" si="3"/>
        <v>4658</v>
      </c>
      <c r="F33" s="3960">
        <v>67.430000000000007</v>
      </c>
      <c r="G33" s="856">
        <v>1</v>
      </c>
      <c r="H33" s="855">
        <f>'NIR faktorer'!D96</f>
        <v>4965.909283959948</v>
      </c>
      <c r="I33" s="921">
        <f t="shared" si="7"/>
        <v>1.0661033241648665</v>
      </c>
      <c r="J33" s="922">
        <v>5.0000000000000001E-3</v>
      </c>
      <c r="K33" s="921">
        <f>E33*F33*I33*J33</f>
        <v>1674.2563150870969</v>
      </c>
      <c r="L33" s="852">
        <v>0.22</v>
      </c>
      <c r="M33" s="852">
        <v>1.0999999999999999E-2</v>
      </c>
      <c r="N33" s="903">
        <f t="shared" si="5"/>
        <v>760.09523480000007</v>
      </c>
      <c r="O33" s="1478">
        <f t="shared" si="8"/>
        <v>2434.351549887097</v>
      </c>
      <c r="P33" s="925">
        <f t="shared" si="6"/>
        <v>36.101906419799747</v>
      </c>
      <c r="S33" s="873"/>
      <c r="T33" s="873"/>
      <c r="X33" s="873"/>
      <c r="Y33" s="873"/>
      <c r="AA33" s="873"/>
      <c r="AC33" s="873"/>
    </row>
    <row r="34" spans="1:29" x14ac:dyDescent="0.25">
      <c r="A34" s="862" t="s">
        <v>941</v>
      </c>
      <c r="B34" s="923">
        <f>'HST77'!D39</f>
        <v>52</v>
      </c>
      <c r="C34" s="921">
        <f t="shared" si="2"/>
        <v>5200</v>
      </c>
      <c r="D34" s="1751">
        <f>Fodermiddeltabel!L18</f>
        <v>85</v>
      </c>
      <c r="E34" s="855">
        <f t="shared" si="3"/>
        <v>4420</v>
      </c>
      <c r="F34" s="3960">
        <v>0</v>
      </c>
      <c r="G34" s="856">
        <v>1</v>
      </c>
      <c r="H34" s="855">
        <f>'NIR faktorer'!D97</f>
        <v>4455.8096360352001</v>
      </c>
      <c r="I34" s="921">
        <f t="shared" si="7"/>
        <v>1.0081017276097737</v>
      </c>
      <c r="J34" s="922">
        <v>7.0000000000000001E-3</v>
      </c>
      <c r="K34" s="921">
        <f t="shared" si="4"/>
        <v>0</v>
      </c>
      <c r="L34" s="852">
        <v>0.22</v>
      </c>
      <c r="M34" s="852">
        <v>1.4E-2</v>
      </c>
      <c r="N34" s="903">
        <f>E34*F34*L34*M34*G34</f>
        <v>0</v>
      </c>
      <c r="O34" s="1478">
        <f>K34+N34</f>
        <v>0</v>
      </c>
      <c r="P34" s="925" t="str">
        <f>IFERROR(O34/F34,"0")</f>
        <v>0</v>
      </c>
      <c r="S34" s="873"/>
      <c r="T34" s="873"/>
      <c r="X34" s="873"/>
      <c r="Y34" s="873"/>
      <c r="AA34" s="873"/>
      <c r="AC34" s="873"/>
    </row>
    <row r="35" spans="1:29" x14ac:dyDescent="0.25">
      <c r="A35" s="862" t="s">
        <v>940</v>
      </c>
      <c r="B35" s="923">
        <f>'HST77'!D40</f>
        <v>42.4</v>
      </c>
      <c r="C35" s="921">
        <f t="shared" si="2"/>
        <v>4240</v>
      </c>
      <c r="D35" s="1751">
        <f>Fodermiddeltabel!L32</f>
        <v>85</v>
      </c>
      <c r="E35" s="855">
        <f t="shared" si="3"/>
        <v>3604</v>
      </c>
      <c r="F35" s="3960">
        <v>582.6</v>
      </c>
      <c r="G35" s="856">
        <v>1</v>
      </c>
      <c r="H35" s="855">
        <f>'NIR faktorer'!D98</f>
        <v>3587.7079471237407</v>
      </c>
      <c r="I35" s="921">
        <f t="shared" si="7"/>
        <v>0.9954794525870535</v>
      </c>
      <c r="J35" s="922">
        <v>7.0000000000000001E-3</v>
      </c>
      <c r="K35" s="921">
        <f t="shared" si="4"/>
        <v>14631.390549960041</v>
      </c>
      <c r="L35" s="852">
        <v>0.22</v>
      </c>
      <c r="M35" s="852">
        <v>1.4E-2</v>
      </c>
      <c r="N35" s="903">
        <f t="shared" si="5"/>
        <v>6467.0464320000001</v>
      </c>
      <c r="O35" s="1478">
        <f t="shared" si="8"/>
        <v>21098.43698196004</v>
      </c>
      <c r="P35" s="925">
        <f t="shared" si="6"/>
        <v>36.214275629866187</v>
      </c>
      <c r="S35" s="873"/>
      <c r="T35" s="873"/>
      <c r="X35" s="873"/>
      <c r="Y35" s="873"/>
      <c r="AA35" s="873"/>
      <c r="AC35" s="873"/>
    </row>
    <row r="36" spans="1:29" x14ac:dyDescent="0.25">
      <c r="A36" s="862" t="s">
        <v>939</v>
      </c>
      <c r="B36" s="923">
        <f>'HST77'!D41</f>
        <v>32.6</v>
      </c>
      <c r="C36" s="921">
        <f t="shared" si="2"/>
        <v>3260</v>
      </c>
      <c r="D36" s="1751">
        <f>Fodermiddeltabel!L85</f>
        <v>85</v>
      </c>
      <c r="E36" s="855">
        <f t="shared" si="3"/>
        <v>2771</v>
      </c>
      <c r="F36" s="3960">
        <v>216.75</v>
      </c>
      <c r="G36" s="856">
        <v>1</v>
      </c>
      <c r="H36" s="855">
        <f>'NIR faktorer'!D99</f>
        <v>2984.7608470051027</v>
      </c>
      <c r="I36" s="921">
        <f t="shared" si="7"/>
        <v>1.0771421317232417</v>
      </c>
      <c r="J36" s="922">
        <v>7.0000000000000001E-3</v>
      </c>
      <c r="K36" s="921">
        <f t="shared" si="4"/>
        <v>4528.6283951184923</v>
      </c>
      <c r="L36" s="852">
        <v>0.25</v>
      </c>
      <c r="M36" s="852">
        <v>8.0000000000000002E-3</v>
      </c>
      <c r="N36" s="903">
        <f t="shared" si="5"/>
        <v>1201.2284999999999</v>
      </c>
      <c r="O36" s="1478">
        <f t="shared" si="8"/>
        <v>5729.8568951184925</v>
      </c>
      <c r="P36" s="925">
        <f t="shared" si="6"/>
        <v>26.43532592903572</v>
      </c>
      <c r="S36" s="873"/>
      <c r="T36" s="873"/>
      <c r="X36" s="873"/>
      <c r="Y36" s="873"/>
      <c r="AA36" s="873"/>
      <c r="AC36" s="873"/>
    </row>
    <row r="37" spans="1:29" x14ac:dyDescent="0.25">
      <c r="A37" s="862" t="s">
        <v>938</v>
      </c>
      <c r="B37" s="923">
        <f>'HST77'!D38</f>
        <v>55.8</v>
      </c>
      <c r="C37" s="921">
        <f t="shared" si="2"/>
        <v>5580</v>
      </c>
      <c r="D37" s="1751">
        <f>Fodermiddeltabel!L294</f>
        <v>85</v>
      </c>
      <c r="E37" s="855">
        <f t="shared" si="3"/>
        <v>4743</v>
      </c>
      <c r="F37" s="3960">
        <v>0</v>
      </c>
      <c r="G37" s="856">
        <v>1</v>
      </c>
      <c r="H37" s="855">
        <f>'NIR faktorer'!D100</f>
        <v>3266.9591366906479</v>
      </c>
      <c r="I37" s="921">
        <f t="shared" si="7"/>
        <v>0.68879593858120347</v>
      </c>
      <c r="J37" s="922">
        <v>5.0000000000000001E-3</v>
      </c>
      <c r="K37" s="921">
        <f t="shared" si="4"/>
        <v>0</v>
      </c>
      <c r="L37" s="852">
        <v>0.22</v>
      </c>
      <c r="M37" s="852">
        <v>1.0999999999999999E-2</v>
      </c>
      <c r="N37" s="903">
        <f t="shared" si="5"/>
        <v>0</v>
      </c>
      <c r="O37" s="1478">
        <f t="shared" si="8"/>
        <v>0</v>
      </c>
      <c r="P37" s="925" t="str">
        <f>IFERROR(O37/F37,"0")</f>
        <v>0</v>
      </c>
      <c r="S37" s="873"/>
      <c r="T37" s="873"/>
      <c r="X37" s="873"/>
      <c r="Y37" s="873"/>
      <c r="AA37" s="873"/>
      <c r="AC37" s="873"/>
    </row>
    <row r="38" spans="1:29" x14ac:dyDescent="0.25">
      <c r="A38" s="862" t="s">
        <v>2066</v>
      </c>
      <c r="B38" s="923">
        <f>'HST77'!D42</f>
        <v>59</v>
      </c>
      <c r="C38" s="921">
        <f t="shared" si="2"/>
        <v>5900</v>
      </c>
      <c r="D38" s="1751">
        <f>Fodermiddeltabel!L136</f>
        <v>88</v>
      </c>
      <c r="E38" s="855">
        <f t="shared" si="3"/>
        <v>5192</v>
      </c>
      <c r="F38" s="3960">
        <v>0</v>
      </c>
      <c r="G38" s="856">
        <v>1</v>
      </c>
      <c r="H38" s="855">
        <f>'NIR faktorer'!D101</f>
        <v>1982.164075998701</v>
      </c>
      <c r="I38" s="921">
        <f t="shared" si="7"/>
        <v>0.38177274191038157</v>
      </c>
      <c r="J38" s="922">
        <v>6.0000000000000001E-3</v>
      </c>
      <c r="K38" s="921">
        <f t="shared" si="4"/>
        <v>0</v>
      </c>
      <c r="L38" s="852">
        <v>0.22</v>
      </c>
      <c r="M38" s="852">
        <v>7.0000000000000001E-3</v>
      </c>
      <c r="N38" s="903">
        <f>E38*F38*L38*M38*G38</f>
        <v>0</v>
      </c>
      <c r="O38" s="1478">
        <f t="shared" si="8"/>
        <v>0</v>
      </c>
      <c r="P38" s="925" t="str">
        <f>IFERROR(O38/F38,"0")</f>
        <v>0</v>
      </c>
      <c r="S38" s="873"/>
      <c r="T38" s="873"/>
      <c r="X38" s="873"/>
      <c r="Y38" s="873"/>
      <c r="AA38" s="873"/>
      <c r="AC38" s="873"/>
    </row>
    <row r="39" spans="1:29" x14ac:dyDescent="0.25">
      <c r="A39" s="862" t="s">
        <v>278</v>
      </c>
      <c r="B39" s="923">
        <f>'HST77'!D59</f>
        <v>336.3</v>
      </c>
      <c r="C39" s="921">
        <f t="shared" si="2"/>
        <v>33630</v>
      </c>
      <c r="D39" s="1751">
        <f>Fodermiddeltabel!L170</f>
        <v>32.5</v>
      </c>
      <c r="E39" s="855">
        <f t="shared" si="3"/>
        <v>10929.75</v>
      </c>
      <c r="F39" s="3960" t="s">
        <v>455</v>
      </c>
      <c r="G39" s="856">
        <v>1</v>
      </c>
      <c r="H39" s="855">
        <f>'NIR faktorer'!D102</f>
        <v>12081.658188295682</v>
      </c>
      <c r="I39" s="921">
        <f t="shared" si="7"/>
        <v>1.1053919978312112</v>
      </c>
      <c r="J39" s="922">
        <v>1.4999999999999999E-2</v>
      </c>
      <c r="K39" s="927" t="str">
        <f>IFERROR(E39*F39*I39*J39,"NE")</f>
        <v>NE</v>
      </c>
      <c r="L39" s="852">
        <v>0.54</v>
      </c>
      <c r="M39" s="852">
        <v>1.2E-2</v>
      </c>
      <c r="N39" s="926" t="str">
        <f>IFERROR(E39*F39*L39*M39*G39,"NE")</f>
        <v>NE</v>
      </c>
      <c r="O39" s="1479" t="str">
        <f>IFERROR(K39+N39,"IE")</f>
        <v>IE</v>
      </c>
      <c r="P39" s="925" t="str">
        <f>IFERROR(O39/F39,"NE")</f>
        <v>NE</v>
      </c>
      <c r="S39" s="873"/>
      <c r="T39" s="873"/>
      <c r="X39" s="873"/>
      <c r="Y39" s="873"/>
      <c r="AA39" s="873"/>
      <c r="AC39" s="873"/>
    </row>
    <row r="40" spans="1:29" x14ac:dyDescent="0.25">
      <c r="A40" s="862" t="s">
        <v>936</v>
      </c>
      <c r="B40" s="924">
        <f>('HST77'!D22*'HST77'!D52+'HST77'!D23*'HST77'!D53+'HST77'!D24*'HST77'!D54)/SUM('HST77'!D22:D24)</f>
        <v>324.32127659574473</v>
      </c>
      <c r="C40" s="921">
        <f t="shared" si="2"/>
        <v>32432.127659574475</v>
      </c>
      <c r="D40" s="1752">
        <v>24</v>
      </c>
      <c r="E40" s="855">
        <f t="shared" si="3"/>
        <v>7783.7106382978736</v>
      </c>
      <c r="F40" s="3960">
        <v>9.2800000000000011</v>
      </c>
      <c r="G40" s="856">
        <v>1</v>
      </c>
      <c r="H40" s="855">
        <f>'NIR faktorer'!D103</f>
        <v>892.66481134985077</v>
      </c>
      <c r="I40" s="921">
        <f t="shared" si="7"/>
        <v>0.11468370971522356</v>
      </c>
      <c r="J40" s="922">
        <v>1.9E-2</v>
      </c>
      <c r="K40" s="921">
        <f t="shared" ref="K40:K47" si="9">E40*F40*I40*J40</f>
        <v>157.39465953720571</v>
      </c>
      <c r="L40" s="852">
        <v>0.2</v>
      </c>
      <c r="M40" s="852">
        <v>1.4E-2</v>
      </c>
      <c r="N40" s="903">
        <f t="shared" ref="N40:N47" si="10">E40*F40*L40*M40*G40</f>
        <v>202.25193722553198</v>
      </c>
      <c r="O40" s="1478">
        <f t="shared" ref="O40:O47" si="11">K40+N40</f>
        <v>359.64659676273766</v>
      </c>
      <c r="P40" s="917">
        <f t="shared" ref="P40:P47" si="12">O40/F40</f>
        <v>38.75502120288121</v>
      </c>
      <c r="S40" s="873"/>
      <c r="T40" s="873"/>
      <c r="X40" s="873"/>
      <c r="Y40" s="873"/>
      <c r="AA40" s="873"/>
      <c r="AC40" s="873"/>
    </row>
    <row r="41" spans="1:29" x14ac:dyDescent="0.25">
      <c r="A41" s="862" t="s">
        <v>935</v>
      </c>
      <c r="B41" s="923">
        <f>'HST77'!D58</f>
        <v>357.7</v>
      </c>
      <c r="C41" s="921">
        <f t="shared" si="2"/>
        <v>35770</v>
      </c>
      <c r="D41" s="1752">
        <v>21</v>
      </c>
      <c r="E41" s="855">
        <f t="shared" si="3"/>
        <v>7511.7</v>
      </c>
      <c r="F41" s="3960">
        <v>0</v>
      </c>
      <c r="G41" s="856">
        <f>1/3</f>
        <v>0.33333333333333331</v>
      </c>
      <c r="H41" s="855">
        <f>'NIR faktorer'!D104</f>
        <v>1349.3877551020407</v>
      </c>
      <c r="I41" s="921">
        <f t="shared" si="7"/>
        <v>0.17963813186123523</v>
      </c>
      <c r="J41" s="922">
        <v>2.7E-2</v>
      </c>
      <c r="K41" s="921">
        <f t="shared" si="9"/>
        <v>0</v>
      </c>
      <c r="L41" s="852">
        <v>0.4</v>
      </c>
      <c r="M41" s="852">
        <v>1.9E-2</v>
      </c>
      <c r="N41" s="903">
        <f t="shared" si="10"/>
        <v>0</v>
      </c>
      <c r="O41" s="1478">
        <f t="shared" si="11"/>
        <v>0</v>
      </c>
      <c r="P41" s="925" t="str">
        <f>IFERROR(O41/F41,"0")</f>
        <v>0</v>
      </c>
      <c r="S41" s="873"/>
      <c r="T41" s="873"/>
      <c r="X41" s="873"/>
      <c r="Y41" s="873"/>
      <c r="AA41" s="873"/>
      <c r="AC41" s="873"/>
    </row>
    <row r="42" spans="1:29" x14ac:dyDescent="0.25">
      <c r="A42" s="862" t="s">
        <v>934</v>
      </c>
      <c r="B42" s="923">
        <f>'HST77'!D46</f>
        <v>25.1</v>
      </c>
      <c r="C42" s="921">
        <f t="shared" si="2"/>
        <v>2510</v>
      </c>
      <c r="D42" s="1752">
        <v>85.2</v>
      </c>
      <c r="E42" s="855">
        <f t="shared" si="3"/>
        <v>2138.52</v>
      </c>
      <c r="F42" s="3960">
        <v>5.01</v>
      </c>
      <c r="G42" s="856">
        <v>1</v>
      </c>
      <c r="H42" s="855">
        <f>'NIR faktorer'!D105</f>
        <v>2530.7757864226223</v>
      </c>
      <c r="I42" s="921">
        <f t="shared" si="7"/>
        <v>1.1834239504061792</v>
      </c>
      <c r="J42" s="922">
        <v>8.0000000000000002E-3</v>
      </c>
      <c r="K42" s="921">
        <f t="shared" si="9"/>
        <v>101.4334935198187</v>
      </c>
      <c r="L42" s="852">
        <v>0.19</v>
      </c>
      <c r="M42" s="852">
        <v>8.0000000000000002E-3</v>
      </c>
      <c r="N42" s="903">
        <f t="shared" si="10"/>
        <v>16.285257504</v>
      </c>
      <c r="O42" s="1478">
        <f t="shared" si="11"/>
        <v>117.7187510238187</v>
      </c>
      <c r="P42" s="917">
        <f t="shared" si="12"/>
        <v>23.496756691380977</v>
      </c>
      <c r="S42" s="873"/>
      <c r="T42" s="873"/>
      <c r="X42" s="873"/>
      <c r="Y42" s="873"/>
      <c r="AA42" s="873"/>
      <c r="AC42" s="873"/>
    </row>
    <row r="43" spans="1:29" x14ac:dyDescent="0.25">
      <c r="A43" s="862" t="s">
        <v>933</v>
      </c>
      <c r="B43" s="923">
        <f>'HST77'!D56</f>
        <v>625</v>
      </c>
      <c r="C43" s="921">
        <f t="shared" si="2"/>
        <v>62500</v>
      </c>
      <c r="D43" s="1752">
        <v>20</v>
      </c>
      <c r="E43" s="855">
        <f t="shared" si="3"/>
        <v>12500</v>
      </c>
      <c r="F43" s="3960">
        <v>0.35</v>
      </c>
      <c r="G43" s="856">
        <v>1</v>
      </c>
      <c r="H43" s="855">
        <f>'NIR faktorer'!D106</f>
        <v>919.89896253602308</v>
      </c>
      <c r="I43" s="921">
        <f t="shared" si="7"/>
        <v>7.359191700288184E-2</v>
      </c>
      <c r="J43" s="922">
        <v>1.9E-2</v>
      </c>
      <c r="K43" s="921">
        <f t="shared" si="9"/>
        <v>6.1173281008645528</v>
      </c>
      <c r="L43" s="852">
        <v>0.2</v>
      </c>
      <c r="M43" s="852">
        <v>1.4E-2</v>
      </c>
      <c r="N43" s="903">
        <f t="shared" si="10"/>
        <v>12.25</v>
      </c>
      <c r="O43" s="1478">
        <f t="shared" si="11"/>
        <v>18.367328100864555</v>
      </c>
      <c r="P43" s="917">
        <f t="shared" si="12"/>
        <v>52.478080288184444</v>
      </c>
      <c r="S43" s="873"/>
      <c r="T43" s="873"/>
      <c r="X43" s="873"/>
      <c r="Y43" s="873"/>
      <c r="AA43" s="873"/>
      <c r="AC43" s="873"/>
    </row>
    <row r="44" spans="1:29" x14ac:dyDescent="0.25">
      <c r="A44" s="862" t="s">
        <v>932</v>
      </c>
      <c r="B44" s="923">
        <f>'HST77'!D60</f>
        <v>182.6</v>
      </c>
      <c r="C44" s="921">
        <f t="shared" si="2"/>
        <v>18260</v>
      </c>
      <c r="D44" s="1751">
        <f>Fodermiddeltabel!L140</f>
        <v>32.1</v>
      </c>
      <c r="E44" s="855">
        <f t="shared" si="3"/>
        <v>5861.46</v>
      </c>
      <c r="F44" s="3960">
        <v>16.689999999999998</v>
      </c>
      <c r="G44" s="856">
        <v>1</v>
      </c>
      <c r="H44" s="855">
        <f>'NIR faktorer'!D107</f>
        <v>1213.2965132277213</v>
      </c>
      <c r="I44" s="921">
        <f t="shared" si="7"/>
        <v>0.20699561427148208</v>
      </c>
      <c r="J44" s="922">
        <v>7.0000000000000001E-3</v>
      </c>
      <c r="K44" s="921">
        <f t="shared" si="9"/>
        <v>141.74943164039468</v>
      </c>
      <c r="L44" s="852">
        <v>0.22</v>
      </c>
      <c r="M44" s="852">
        <v>1.4E-2</v>
      </c>
      <c r="N44" s="903">
        <f t="shared" si="10"/>
        <v>301.30952359199995</v>
      </c>
      <c r="O44" s="1478">
        <f t="shared" si="11"/>
        <v>443.05895523239462</v>
      </c>
      <c r="P44" s="917">
        <f t="shared" si="12"/>
        <v>26.546372392594048</v>
      </c>
      <c r="S44" s="873"/>
      <c r="T44" s="873"/>
      <c r="X44" s="873"/>
      <c r="Y44" s="873"/>
      <c r="AA44" s="873"/>
      <c r="AC44" s="873"/>
    </row>
    <row r="45" spans="1:29" x14ac:dyDescent="0.25">
      <c r="A45" s="862" t="s">
        <v>931</v>
      </c>
      <c r="B45" s="923">
        <f>'HST77'!D61</f>
        <v>380.2</v>
      </c>
      <c r="C45" s="921">
        <f t="shared" si="2"/>
        <v>38020</v>
      </c>
      <c r="D45" s="1752">
        <v>17.5</v>
      </c>
      <c r="E45" s="855">
        <f t="shared" si="3"/>
        <v>6653.5</v>
      </c>
      <c r="F45" s="3960">
        <v>724.94</v>
      </c>
      <c r="G45" s="856">
        <v>0.5</v>
      </c>
      <c r="H45" s="855">
        <f>'NIR faktorer'!D108</f>
        <v>2218.6366702451737</v>
      </c>
      <c r="I45" s="921">
        <f t="shared" si="7"/>
        <v>0.33345407232962709</v>
      </c>
      <c r="J45" s="922">
        <v>2.5000000000000001E-2</v>
      </c>
      <c r="K45" s="921">
        <f t="shared" si="9"/>
        <v>40209.461693188408</v>
      </c>
      <c r="L45" s="852">
        <v>0.8</v>
      </c>
      <c r="M45" s="852">
        <v>1.6E-2</v>
      </c>
      <c r="N45" s="903">
        <f t="shared" si="10"/>
        <v>30869.685056000002</v>
      </c>
      <c r="O45" s="1478">
        <f t="shared" si="11"/>
        <v>71079.14674918841</v>
      </c>
      <c r="P45" s="917">
        <f t="shared" si="12"/>
        <v>98.048316756129339</v>
      </c>
      <c r="S45" s="873"/>
      <c r="T45" s="873"/>
      <c r="X45" s="873"/>
      <c r="Y45" s="873"/>
      <c r="AA45" s="873"/>
      <c r="AC45" s="873"/>
    </row>
    <row r="46" spans="1:29" x14ac:dyDescent="0.25">
      <c r="A46" s="862" t="s">
        <v>930</v>
      </c>
      <c r="B46" s="923">
        <f>'HST77'!D62</f>
        <v>173.2</v>
      </c>
      <c r="C46" s="921">
        <f t="shared" si="2"/>
        <v>17320</v>
      </c>
      <c r="D46" s="1752">
        <v>17.5</v>
      </c>
      <c r="E46" s="855">
        <f t="shared" si="3"/>
        <v>3031</v>
      </c>
      <c r="F46" s="3960">
        <v>497.95000000000005</v>
      </c>
      <c r="G46" s="856">
        <f>1/99999</f>
        <v>1.000010000100001E-5</v>
      </c>
      <c r="H46" s="855">
        <f>'NIR faktorer'!D109</f>
        <v>1264.0002445252212</v>
      </c>
      <c r="I46" s="921">
        <f t="shared" si="7"/>
        <v>0.41702416513534185</v>
      </c>
      <c r="J46" s="922">
        <v>2.5000000000000001E-2</v>
      </c>
      <c r="K46" s="921">
        <f t="shared" si="9"/>
        <v>15735.22304403335</v>
      </c>
      <c r="L46" s="852">
        <v>0.8</v>
      </c>
      <c r="M46" s="852">
        <v>1.6E-2</v>
      </c>
      <c r="N46" s="903">
        <f t="shared" si="10"/>
        <v>0.19319059750597509</v>
      </c>
      <c r="O46" s="1478">
        <f t="shared" si="11"/>
        <v>15735.416234630855</v>
      </c>
      <c r="P46" s="917">
        <f t="shared" si="12"/>
        <v>31.600394085010247</v>
      </c>
      <c r="S46" s="873"/>
      <c r="T46" s="873"/>
      <c r="X46" s="873"/>
      <c r="Y46" s="873"/>
      <c r="AA46" s="873"/>
      <c r="AC46" s="873"/>
    </row>
    <row r="47" spans="1:29" ht="15.75" thickBot="1" x14ac:dyDescent="0.3">
      <c r="A47" s="1757" t="s">
        <v>929</v>
      </c>
      <c r="B47" s="644">
        <v>35.9</v>
      </c>
      <c r="C47" s="918">
        <f t="shared" si="2"/>
        <v>3590</v>
      </c>
      <c r="D47" s="634">
        <f>Fodermiddeltabel!L203</f>
        <v>92.5</v>
      </c>
      <c r="E47" s="1728">
        <f t="shared" si="3"/>
        <v>3320.75</v>
      </c>
      <c r="F47" s="3960">
        <v>1.91</v>
      </c>
      <c r="G47" s="634">
        <v>1</v>
      </c>
      <c r="H47" s="920">
        <f>'NIR faktorer'!D110</f>
        <v>3368.129173892265</v>
      </c>
      <c r="I47" s="918">
        <f t="shared" si="7"/>
        <v>1.0142676124045065</v>
      </c>
      <c r="J47" s="919">
        <v>6.0000000000000001E-3</v>
      </c>
      <c r="K47" s="918">
        <f t="shared" si="9"/>
        <v>38.598760332805355</v>
      </c>
      <c r="L47" s="654">
        <v>0.23</v>
      </c>
      <c r="M47" s="654">
        <v>8.9999999999999993E-3</v>
      </c>
      <c r="N47" s="901">
        <f t="shared" si="10"/>
        <v>13.129249274999998</v>
      </c>
      <c r="O47" s="1480">
        <f t="shared" si="11"/>
        <v>51.728009607805355</v>
      </c>
      <c r="P47" s="917">
        <f t="shared" si="12"/>
        <v>27.082727543353592</v>
      </c>
      <c r="S47" s="873"/>
      <c r="T47" s="873"/>
      <c r="X47" s="873"/>
      <c r="Y47" s="873"/>
      <c r="AA47" s="873"/>
      <c r="AC47" s="873"/>
    </row>
    <row r="48" spans="1:29" ht="15.75" thickBot="1" x14ac:dyDescent="0.3">
      <c r="A48" s="876" t="s">
        <v>2065</v>
      </c>
      <c r="B48" s="913"/>
      <c r="C48" s="657"/>
      <c r="D48" s="657"/>
      <c r="E48" s="657"/>
      <c r="F48" s="657"/>
      <c r="G48" s="657"/>
      <c r="H48" s="657"/>
      <c r="I48" s="657"/>
      <c r="J48" s="657"/>
      <c r="K48" s="657"/>
      <c r="L48" s="657"/>
      <c r="M48" s="657"/>
      <c r="N48" s="657"/>
      <c r="O48" s="916">
        <f>SUM(O31:O47)</f>
        <v>117945.67254788354</v>
      </c>
      <c r="P48" s="915"/>
      <c r="AC48" s="873"/>
    </row>
    <row r="49" spans="1:29" ht="18.75" thickBot="1" x14ac:dyDescent="0.3">
      <c r="A49" s="876" t="s">
        <v>4807</v>
      </c>
      <c r="B49" s="913"/>
      <c r="C49" s="657"/>
      <c r="D49" s="657"/>
      <c r="E49" s="657"/>
      <c r="F49" s="657"/>
      <c r="G49" s="657"/>
      <c r="H49" s="657"/>
      <c r="I49" s="657"/>
      <c r="J49" s="657"/>
      <c r="K49" s="657"/>
      <c r="L49" s="657"/>
      <c r="M49" s="657"/>
      <c r="N49" s="657"/>
      <c r="O49" s="1823">
        <f>(SUM($F$31:$F$37))*'HST77'!D50*100</f>
        <v>2553811.2000000002</v>
      </c>
      <c r="P49" s="912"/>
      <c r="S49" s="914"/>
      <c r="AA49" s="873"/>
      <c r="AC49" s="873"/>
    </row>
    <row r="50" spans="1:29" ht="15.75" thickBot="1" x14ac:dyDescent="0.3">
      <c r="A50" s="876" t="s">
        <v>2064</v>
      </c>
      <c r="B50" s="913"/>
      <c r="C50" s="657"/>
      <c r="D50" s="657"/>
      <c r="E50" s="657"/>
      <c r="F50" s="657"/>
      <c r="G50" s="657"/>
      <c r="H50" s="657"/>
      <c r="I50" s="657"/>
      <c r="J50" s="657"/>
      <c r="K50" s="657"/>
      <c r="L50" s="657"/>
      <c r="M50" s="657"/>
      <c r="N50" s="657"/>
      <c r="O50" s="1823">
        <f>O49*0.85*0.033/6.25</f>
        <v>11461.504665600001</v>
      </c>
      <c r="P50" s="912"/>
      <c r="AA50" s="867"/>
      <c r="AC50" s="873"/>
    </row>
    <row r="51" spans="1:29" ht="15.75" thickBot="1" x14ac:dyDescent="0.3">
      <c r="A51" s="876" t="s">
        <v>2063</v>
      </c>
      <c r="B51" s="911"/>
      <c r="C51" s="910"/>
      <c r="D51" s="910"/>
      <c r="E51" s="910"/>
      <c r="F51" s="910"/>
      <c r="G51" s="910"/>
      <c r="H51" s="910"/>
      <c r="I51" s="910"/>
      <c r="J51" s="910"/>
      <c r="K51" s="910"/>
      <c r="L51" s="910"/>
      <c r="M51" s="910"/>
      <c r="N51" s="910"/>
      <c r="O51" s="909">
        <f>O48-O50</f>
        <v>106484.16788228354</v>
      </c>
      <c r="P51" s="908"/>
      <c r="AA51" s="873"/>
      <c r="AC51" s="873"/>
    </row>
    <row r="52" spans="1:29" x14ac:dyDescent="0.25">
      <c r="B52" s="907"/>
      <c r="C52" s="907"/>
      <c r="D52" s="907"/>
      <c r="E52" s="907"/>
      <c r="F52" s="907"/>
      <c r="G52" s="907"/>
      <c r="H52" s="907"/>
      <c r="I52" s="907"/>
      <c r="J52" s="907"/>
      <c r="L52" s="907"/>
      <c r="M52" s="907"/>
      <c r="N52" s="907"/>
      <c r="P52" s="907"/>
      <c r="Q52" s="907"/>
      <c r="R52" s="907"/>
      <c r="S52" s="907"/>
      <c r="T52" s="907"/>
      <c r="X52" s="907"/>
      <c r="Y52" s="907"/>
      <c r="Z52" s="907"/>
      <c r="AA52" s="907"/>
    </row>
    <row r="53" spans="1:29" x14ac:dyDescent="0.25">
      <c r="A53" s="907"/>
      <c r="B53" s="907"/>
      <c r="C53" s="907"/>
      <c r="D53" s="907"/>
      <c r="E53" s="907"/>
      <c r="F53" s="907"/>
      <c r="G53" s="907"/>
      <c r="H53" s="907"/>
      <c r="I53" s="907"/>
      <c r="J53" s="907"/>
      <c r="L53" s="907"/>
      <c r="M53" s="907"/>
      <c r="N53" s="907"/>
      <c r="P53" s="907"/>
      <c r="Q53" s="907"/>
      <c r="R53" s="907"/>
      <c r="S53" s="907"/>
      <c r="T53" s="907"/>
      <c r="X53" s="907"/>
      <c r="Y53" s="907"/>
      <c r="Z53" s="907"/>
      <c r="AA53" s="907"/>
    </row>
    <row r="54" spans="1:29" s="849" customFormat="1" ht="108.75" customHeight="1" x14ac:dyDescent="0.2">
      <c r="A54" s="849" t="s">
        <v>2062</v>
      </c>
      <c r="B54" s="848" t="s">
        <v>2061</v>
      </c>
      <c r="D54" s="1753" t="s">
        <v>4219</v>
      </c>
      <c r="F54" s="850" t="s">
        <v>5230</v>
      </c>
      <c r="G54" s="851"/>
      <c r="H54" s="850" t="str">
        <f>'NIR faktorer'!D112</f>
        <v>NIR Annex 3D-20 2022 (2018)</v>
      </c>
      <c r="K54" s="851"/>
      <c r="L54" s="850" t="s">
        <v>2060</v>
      </c>
      <c r="M54" s="850" t="s">
        <v>2060</v>
      </c>
      <c r="N54" s="850" t="s">
        <v>2060</v>
      </c>
      <c r="O54" s="850" t="s">
        <v>2059</v>
      </c>
      <c r="P54" s="851"/>
      <c r="X54" s="851"/>
      <c r="AA54" s="906"/>
    </row>
    <row r="57" spans="1:29" ht="15.75" thickBot="1" x14ac:dyDescent="0.3">
      <c r="A57" s="871" t="s">
        <v>2058</v>
      </c>
      <c r="B57" s="863"/>
      <c r="C57" s="863"/>
      <c r="D57" s="886"/>
      <c r="E57" s="886"/>
    </row>
    <row r="58" spans="1:29" ht="40.5" customHeight="1" thickBot="1" x14ac:dyDescent="0.3">
      <c r="A58" s="650" t="s">
        <v>928</v>
      </c>
      <c r="B58" s="649" t="s">
        <v>927</v>
      </c>
      <c r="C58" s="649" t="s">
        <v>4769</v>
      </c>
      <c r="D58" s="649" t="s">
        <v>4809</v>
      </c>
      <c r="E58" s="649" t="s">
        <v>926</v>
      </c>
      <c r="F58" s="648" t="s">
        <v>4810</v>
      </c>
      <c r="G58" s="892"/>
      <c r="I58" s="892"/>
    </row>
    <row r="59" spans="1:29" ht="15.75" customHeight="1" x14ac:dyDescent="0.25">
      <c r="A59" s="905" t="s">
        <v>925</v>
      </c>
      <c r="B59" s="891" t="s">
        <v>923</v>
      </c>
      <c r="C59" s="3960">
        <v>188.07</v>
      </c>
      <c r="D59" s="891">
        <v>160.5</v>
      </c>
      <c r="E59" s="891" t="str">
        <f>'NIR faktorer'!D115</f>
        <v>18</v>
      </c>
      <c r="F59" s="882">
        <f t="shared" ref="F59:F68" si="13">C59*D59*E59/365</f>
        <v>1488.5869315068492</v>
      </c>
      <c r="G59" s="867"/>
      <c r="I59" s="867"/>
    </row>
    <row r="60" spans="1:29" ht="15.75" customHeight="1" x14ac:dyDescent="0.25">
      <c r="A60" s="904" t="s">
        <v>925</v>
      </c>
      <c r="B60" s="903" t="s">
        <v>921</v>
      </c>
      <c r="C60" s="3960">
        <v>0</v>
      </c>
      <c r="D60" s="903">
        <v>130.5</v>
      </c>
      <c r="E60" s="891" t="str">
        <f>'NIR faktorer'!D116</f>
        <v>18</v>
      </c>
      <c r="F60" s="880">
        <f t="shared" si="13"/>
        <v>0</v>
      </c>
      <c r="G60" s="867"/>
      <c r="I60" s="867"/>
    </row>
    <row r="61" spans="1:29" x14ac:dyDescent="0.25">
      <c r="A61" s="904" t="s">
        <v>924</v>
      </c>
      <c r="B61" s="903" t="s">
        <v>923</v>
      </c>
      <c r="C61" s="3960">
        <v>497.56000000000006</v>
      </c>
      <c r="D61" s="903">
        <v>50.4</v>
      </c>
      <c r="E61" s="891">
        <f>'NIR faktorer'!D117</f>
        <v>131.85454545454544</v>
      </c>
      <c r="F61" s="880">
        <f t="shared" si="13"/>
        <v>9058.9578106102108</v>
      </c>
      <c r="G61" s="867"/>
      <c r="I61" s="867"/>
    </row>
    <row r="62" spans="1:29" x14ac:dyDescent="0.25">
      <c r="A62" s="904" t="s">
        <v>924</v>
      </c>
      <c r="B62" s="903" t="s">
        <v>921</v>
      </c>
      <c r="C62" s="3960">
        <v>72.56</v>
      </c>
      <c r="D62" s="903">
        <v>37.9</v>
      </c>
      <c r="E62" s="891">
        <f>'NIR faktorer'!D118</f>
        <v>131.85454545454544</v>
      </c>
      <c r="F62" s="880">
        <f t="shared" si="13"/>
        <v>993.43332742216683</v>
      </c>
      <c r="G62" s="867"/>
      <c r="I62" s="867"/>
    </row>
    <row r="63" spans="1:29" x14ac:dyDescent="0.25">
      <c r="A63" s="904" t="s">
        <v>922</v>
      </c>
      <c r="B63" s="903" t="s">
        <v>923</v>
      </c>
      <c r="C63" s="3960">
        <v>169.88</v>
      </c>
      <c r="D63" s="903">
        <v>26.7</v>
      </c>
      <c r="E63" s="891" t="str">
        <f>'NIR faktorer'!D119</f>
        <v>224</v>
      </c>
      <c r="F63" s="880">
        <f t="shared" si="13"/>
        <v>2783.6117917808215</v>
      </c>
      <c r="G63" s="867"/>
      <c r="I63" s="867"/>
    </row>
    <row r="64" spans="1:29" x14ac:dyDescent="0.25">
      <c r="A64" s="904" t="s">
        <v>922</v>
      </c>
      <c r="B64" s="903" t="s">
        <v>921</v>
      </c>
      <c r="C64" s="3960">
        <v>5.97</v>
      </c>
      <c r="D64" s="903">
        <v>20.100000000000001</v>
      </c>
      <c r="E64" s="891" t="str">
        <f>'NIR faktorer'!D120</f>
        <v>224</v>
      </c>
      <c r="F64" s="880">
        <f t="shared" si="13"/>
        <v>73.641994520547954</v>
      </c>
      <c r="G64" s="867"/>
      <c r="I64" s="867"/>
    </row>
    <row r="65" spans="1:9" x14ac:dyDescent="0.25">
      <c r="A65" s="904" t="s">
        <v>912</v>
      </c>
      <c r="B65" s="903" t="s">
        <v>920</v>
      </c>
      <c r="C65" s="3960">
        <v>485</v>
      </c>
      <c r="D65" s="903">
        <v>12.56</v>
      </c>
      <c r="E65" s="891" t="str">
        <f>'NIR faktorer'!D121</f>
        <v>18</v>
      </c>
      <c r="F65" s="880">
        <f t="shared" si="13"/>
        <v>300.40767123287674</v>
      </c>
      <c r="G65" s="867"/>
      <c r="I65" s="867"/>
    </row>
    <row r="66" spans="1:9" x14ac:dyDescent="0.25">
      <c r="A66" s="904" t="s">
        <v>912</v>
      </c>
      <c r="B66" s="903" t="s">
        <v>919</v>
      </c>
      <c r="C66" s="3960">
        <v>8.31</v>
      </c>
      <c r="D66" s="903">
        <v>9.11</v>
      </c>
      <c r="E66" s="891" t="str">
        <f>'NIR faktorer'!D122</f>
        <v>18</v>
      </c>
      <c r="F66" s="880">
        <f t="shared" si="13"/>
        <v>3.733352876712329</v>
      </c>
      <c r="G66" s="867"/>
      <c r="I66" s="867"/>
    </row>
    <row r="67" spans="1:9" x14ac:dyDescent="0.25">
      <c r="A67" s="904" t="s">
        <v>912</v>
      </c>
      <c r="B67" s="903" t="s">
        <v>918</v>
      </c>
      <c r="C67" s="3960">
        <v>31.85</v>
      </c>
      <c r="D67" s="903">
        <v>18.399999999999999</v>
      </c>
      <c r="E67" s="891" t="str">
        <f>'NIR faktorer'!D123</f>
        <v>18</v>
      </c>
      <c r="F67" s="880">
        <f t="shared" si="13"/>
        <v>28.900602739726025</v>
      </c>
      <c r="G67" s="867"/>
      <c r="I67" s="867"/>
    </row>
    <row r="68" spans="1:9" x14ac:dyDescent="0.25">
      <c r="A68" s="904" t="s">
        <v>912</v>
      </c>
      <c r="B68" s="903" t="s">
        <v>917</v>
      </c>
      <c r="C68" s="3960">
        <v>521.61</v>
      </c>
      <c r="D68" s="903">
        <v>23.5</v>
      </c>
      <c r="E68" s="891" t="str">
        <f>'NIR faktorer'!D124</f>
        <v>18</v>
      </c>
      <c r="F68" s="880">
        <f t="shared" si="13"/>
        <v>604.49597260273981</v>
      </c>
      <c r="G68" s="867"/>
      <c r="I68" s="867"/>
    </row>
    <row r="69" spans="1:9" x14ac:dyDescent="0.25">
      <c r="A69" s="904" t="s">
        <v>912</v>
      </c>
      <c r="B69" s="903" t="s">
        <v>916</v>
      </c>
      <c r="C69" s="3960">
        <v>9.8699999999999992</v>
      </c>
      <c r="D69" s="903" t="s">
        <v>799</v>
      </c>
      <c r="E69" s="891" t="str">
        <f>'NIR faktorer'!D125</f>
        <v>18</v>
      </c>
      <c r="F69" s="880">
        <v>0</v>
      </c>
      <c r="G69" s="867"/>
      <c r="I69" s="867"/>
    </row>
    <row r="70" spans="1:9" x14ac:dyDescent="0.25">
      <c r="A70" s="904" t="s">
        <v>912</v>
      </c>
      <c r="B70" s="903" t="s">
        <v>915</v>
      </c>
      <c r="C70" s="3960">
        <v>1.07</v>
      </c>
      <c r="D70" s="903" t="s">
        <v>799</v>
      </c>
      <c r="E70" s="891" t="str">
        <f>'NIR faktorer'!D126</f>
        <v>18</v>
      </c>
      <c r="F70" s="880">
        <v>0</v>
      </c>
      <c r="G70" s="867"/>
      <c r="I70" s="867"/>
    </row>
    <row r="71" spans="1:9" x14ac:dyDescent="0.25">
      <c r="A71" s="904" t="s">
        <v>912</v>
      </c>
      <c r="B71" s="903" t="s">
        <v>914</v>
      </c>
      <c r="C71" s="3960">
        <v>0</v>
      </c>
      <c r="D71" s="903">
        <v>43.6</v>
      </c>
      <c r="E71" s="891" t="str">
        <f>'NIR faktorer'!D127</f>
        <v>18</v>
      </c>
      <c r="F71" s="880">
        <f t="shared" ref="F71:F82" si="14">C71*D71*E71/365</f>
        <v>0</v>
      </c>
      <c r="G71" s="867"/>
      <c r="I71" s="867"/>
    </row>
    <row r="72" spans="1:9" x14ac:dyDescent="0.25">
      <c r="A72" s="904" t="s">
        <v>912</v>
      </c>
      <c r="B72" s="903" t="s">
        <v>913</v>
      </c>
      <c r="C72" s="3960">
        <v>343.81</v>
      </c>
      <c r="D72" s="903">
        <v>63.6</v>
      </c>
      <c r="E72" s="891" t="str">
        <f>'NIR faktorer'!D128</f>
        <v>18</v>
      </c>
      <c r="F72" s="880">
        <f t="shared" si="14"/>
        <v>1078.3388712328767</v>
      </c>
      <c r="G72" s="867"/>
      <c r="I72" s="867"/>
    </row>
    <row r="73" spans="1:9" x14ac:dyDescent="0.25">
      <c r="A73" s="904" t="s">
        <v>912</v>
      </c>
      <c r="B73" s="903" t="s">
        <v>911</v>
      </c>
      <c r="C73" s="3960">
        <v>282.88</v>
      </c>
      <c r="D73" s="903">
        <v>72.400000000000006</v>
      </c>
      <c r="E73" s="891" t="str">
        <f>'NIR faktorer'!D129</f>
        <v>18</v>
      </c>
      <c r="F73" s="880">
        <f t="shared" si="14"/>
        <v>1009.9978520547945</v>
      </c>
      <c r="G73" s="867"/>
      <c r="I73" s="867"/>
    </row>
    <row r="74" spans="1:9" x14ac:dyDescent="0.25">
      <c r="A74" s="904" t="s">
        <v>910</v>
      </c>
      <c r="B74" s="903"/>
      <c r="C74" s="3960">
        <v>403.89</v>
      </c>
      <c r="D74" s="903">
        <f>(16.9)</f>
        <v>16.899999999999999</v>
      </c>
      <c r="E74" s="891" t="str">
        <f>'NIR faktorer'!D130</f>
        <v>195</v>
      </c>
      <c r="F74" s="880">
        <f t="shared" si="14"/>
        <v>3646.6287534246571</v>
      </c>
      <c r="G74" s="867"/>
      <c r="I74" s="867"/>
    </row>
    <row r="75" spans="1:9" x14ac:dyDescent="0.25">
      <c r="A75" s="904" t="s">
        <v>909</v>
      </c>
      <c r="B75" s="903"/>
      <c r="C75" s="3960">
        <v>0</v>
      </c>
      <c r="D75" s="903">
        <f>(16.4+17+18.5)/3</f>
        <v>17.3</v>
      </c>
      <c r="E75" s="891" t="str">
        <f>'NIR faktorer'!D131</f>
        <v>195</v>
      </c>
      <c r="F75" s="880">
        <f t="shared" si="14"/>
        <v>0</v>
      </c>
      <c r="G75" s="867"/>
      <c r="I75" s="867"/>
    </row>
    <row r="76" spans="1:9" x14ac:dyDescent="0.25">
      <c r="A76" s="904" t="s">
        <v>907</v>
      </c>
      <c r="B76" s="903" t="s">
        <v>342</v>
      </c>
      <c r="C76" s="3960">
        <v>0</v>
      </c>
      <c r="D76" s="903">
        <v>24.2</v>
      </c>
      <c r="E76" s="891" t="str">
        <f>'NIR faktorer'!D132</f>
        <v>0</v>
      </c>
      <c r="F76" s="880">
        <f t="shared" si="14"/>
        <v>0</v>
      </c>
      <c r="G76" s="867"/>
      <c r="I76" s="867"/>
    </row>
    <row r="77" spans="1:9" x14ac:dyDescent="0.25">
      <c r="A77" s="904" t="s">
        <v>907</v>
      </c>
      <c r="B77" s="903" t="s">
        <v>908</v>
      </c>
      <c r="C77" s="3960">
        <v>27.54</v>
      </c>
      <c r="D77" s="903">
        <v>2.94</v>
      </c>
      <c r="E77" s="891" t="str">
        <f>'NIR faktorer'!D133</f>
        <v>0</v>
      </c>
      <c r="F77" s="880">
        <f t="shared" si="14"/>
        <v>0</v>
      </c>
      <c r="G77" s="867"/>
      <c r="I77" s="867"/>
    </row>
    <row r="78" spans="1:9" x14ac:dyDescent="0.25">
      <c r="A78" s="904" t="s">
        <v>907</v>
      </c>
      <c r="B78" s="903" t="s">
        <v>906</v>
      </c>
      <c r="C78" s="3960">
        <v>27.54</v>
      </c>
      <c r="D78" s="903">
        <v>0.47</v>
      </c>
      <c r="E78" s="891" t="str">
        <f>'NIR faktorer'!D134</f>
        <v>0</v>
      </c>
      <c r="F78" s="880">
        <f t="shared" si="14"/>
        <v>0</v>
      </c>
      <c r="G78" s="867"/>
      <c r="I78" s="867"/>
    </row>
    <row r="79" spans="1:9" x14ac:dyDescent="0.25">
      <c r="A79" s="902" t="s">
        <v>334</v>
      </c>
      <c r="B79" s="903" t="s">
        <v>905</v>
      </c>
      <c r="C79" s="3960">
        <v>15.21</v>
      </c>
      <c r="D79" s="903">
        <v>23</v>
      </c>
      <c r="E79" s="891" t="str">
        <f>'NIR faktorer'!D135</f>
        <v>265</v>
      </c>
      <c r="F79" s="880">
        <f t="shared" si="14"/>
        <v>253.98616438356169</v>
      </c>
      <c r="G79" s="867"/>
      <c r="I79" s="867"/>
    </row>
    <row r="80" spans="1:9" x14ac:dyDescent="0.25">
      <c r="A80" s="902" t="s">
        <v>334</v>
      </c>
      <c r="B80" s="903" t="s">
        <v>904</v>
      </c>
      <c r="C80" s="3960">
        <v>277.02</v>
      </c>
      <c r="D80" s="903">
        <v>38</v>
      </c>
      <c r="E80" s="891" t="str">
        <f>'NIR faktorer'!D136</f>
        <v>265</v>
      </c>
      <c r="F80" s="880">
        <f t="shared" si="14"/>
        <v>7642.7161643835598</v>
      </c>
      <c r="G80" s="867"/>
      <c r="I80" s="867"/>
    </row>
    <row r="81" spans="1:15" x14ac:dyDescent="0.25">
      <c r="A81" s="902" t="s">
        <v>334</v>
      </c>
      <c r="B81" s="903" t="s">
        <v>903</v>
      </c>
      <c r="C81" s="3960">
        <v>26.5</v>
      </c>
      <c r="D81" s="903">
        <v>50</v>
      </c>
      <c r="E81" s="891" t="str">
        <f>'NIR faktorer'!D137</f>
        <v>265</v>
      </c>
      <c r="F81" s="880">
        <f t="shared" si="14"/>
        <v>961.98630136986299</v>
      </c>
      <c r="G81" s="867"/>
      <c r="I81" s="867"/>
    </row>
    <row r="82" spans="1:15" ht="15.75" thickBot="1" x14ac:dyDescent="0.3">
      <c r="A82" s="902" t="s">
        <v>334</v>
      </c>
      <c r="B82" s="901" t="s">
        <v>902</v>
      </c>
      <c r="C82" s="3960">
        <v>0</v>
      </c>
      <c r="D82" s="901">
        <v>63</v>
      </c>
      <c r="E82" s="891" t="str">
        <f>'NIR faktorer'!D138</f>
        <v>265</v>
      </c>
      <c r="F82" s="880">
        <f t="shared" si="14"/>
        <v>0</v>
      </c>
      <c r="G82" s="867"/>
      <c r="I82" s="867"/>
    </row>
    <row r="83" spans="1:15" ht="15.75" thickBot="1" x14ac:dyDescent="0.3">
      <c r="A83" s="900" t="s">
        <v>228</v>
      </c>
      <c r="B83" s="899"/>
      <c r="C83" s="875">
        <f>SUM(C59:C82)</f>
        <v>3396.14</v>
      </c>
      <c r="D83" s="875"/>
      <c r="E83" s="651"/>
      <c r="F83" s="1481">
        <f>SUM(F59:F82)</f>
        <v>29929.423562141965</v>
      </c>
      <c r="G83" s="867"/>
      <c r="I83" s="867"/>
      <c r="L83" s="898"/>
    </row>
    <row r="86" spans="1:15" ht="30" customHeight="1" x14ac:dyDescent="0.25">
      <c r="A86" s="849" t="s">
        <v>651</v>
      </c>
      <c r="B86" s="897"/>
      <c r="C86" s="848" t="s">
        <v>1845</v>
      </c>
      <c r="D86" s="850" t="s">
        <v>2057</v>
      </c>
      <c r="E86" s="850" t="s">
        <v>2056</v>
      </c>
      <c r="G86" s="896"/>
    </row>
    <row r="89" spans="1:15" ht="15.75" thickBot="1" x14ac:dyDescent="0.3">
      <c r="A89" s="871" t="s">
        <v>2055</v>
      </c>
      <c r="B89" s="863"/>
      <c r="C89" s="863"/>
      <c r="D89" s="886"/>
      <c r="E89" s="886"/>
      <c r="G89" s="895"/>
    </row>
    <row r="90" spans="1:15" ht="64.5" customHeight="1" thickBot="1" x14ac:dyDescent="0.3">
      <c r="A90" s="641" t="s">
        <v>900</v>
      </c>
      <c r="B90" s="649" t="s">
        <v>4811</v>
      </c>
      <c r="C90" s="649" t="s">
        <v>4812</v>
      </c>
      <c r="D90" s="649" t="s">
        <v>4813</v>
      </c>
      <c r="E90" s="649" t="s">
        <v>4815</v>
      </c>
      <c r="F90" s="648" t="s">
        <v>4814</v>
      </c>
      <c r="G90" s="869"/>
      <c r="I90" s="869"/>
      <c r="O90" s="877"/>
    </row>
    <row r="91" spans="1:15" ht="39.6" customHeight="1" thickBot="1" x14ac:dyDescent="0.3">
      <c r="A91" s="889" t="s">
        <v>898</v>
      </c>
      <c r="B91" s="3677">
        <v>2142.87</v>
      </c>
      <c r="C91" s="888">
        <f>'NIR faktorer'!D144</f>
        <v>2690053.1375623001</v>
      </c>
      <c r="D91" s="888">
        <f>'NIR faktorer'!D149</f>
        <v>28857783.930888601</v>
      </c>
      <c r="E91" s="894">
        <f>D91/C91</f>
        <v>10.727588807795538</v>
      </c>
      <c r="F91" s="1482">
        <f>B91*E91</f>
        <v>22987.828228560822</v>
      </c>
      <c r="G91" s="893"/>
      <c r="I91" s="867"/>
    </row>
    <row r="94" spans="1:15" ht="60.95" customHeight="1" x14ac:dyDescent="0.25">
      <c r="A94" s="849" t="s">
        <v>651</v>
      </c>
      <c r="B94" s="872" t="s">
        <v>1845</v>
      </c>
      <c r="C94" s="872" t="str">
        <f>'NIR faktorer'!D146</f>
        <v>NIR CRF tabel 4B 2020 (2018)</v>
      </c>
      <c r="D94" s="1669" t="str">
        <f>'NIR faktorer'!D151</f>
        <v>NIR CRF tabel 3D 2020 (2018)</v>
      </c>
    </row>
    <row r="97" spans="1:15" ht="15.75" thickBot="1" x14ac:dyDescent="0.3">
      <c r="A97" s="871" t="s">
        <v>2053</v>
      </c>
      <c r="B97" s="863"/>
      <c r="C97" s="863"/>
      <c r="D97" s="886"/>
      <c r="E97" s="886"/>
    </row>
    <row r="98" spans="1:15" ht="54" customHeight="1" thickBot="1" x14ac:dyDescent="0.3">
      <c r="A98" s="650" t="s">
        <v>2052</v>
      </c>
      <c r="B98" s="649" t="s">
        <v>4816</v>
      </c>
      <c r="C98" s="649" t="s">
        <v>4818</v>
      </c>
      <c r="D98" s="648" t="s">
        <v>4817</v>
      </c>
      <c r="E98" s="892"/>
      <c r="G98" s="892"/>
    </row>
    <row r="99" spans="1:15" ht="29.1" customHeight="1" x14ac:dyDescent="0.25">
      <c r="A99" s="883" t="s">
        <v>2051</v>
      </c>
      <c r="B99" s="3960">
        <v>0</v>
      </c>
      <c r="C99" s="891">
        <v>13</v>
      </c>
      <c r="D99" s="882">
        <f>B99*C99</f>
        <v>0</v>
      </c>
      <c r="M99" s="877"/>
    </row>
    <row r="100" spans="1:15" ht="29.1" customHeight="1" x14ac:dyDescent="0.25">
      <c r="A100" s="890" t="s">
        <v>2050</v>
      </c>
      <c r="B100" s="3960">
        <v>0</v>
      </c>
      <c r="C100" s="855">
        <v>6.5</v>
      </c>
      <c r="D100" s="880">
        <f t="shared" ref="D100:D104" si="15">B100*C100</f>
        <v>0</v>
      </c>
      <c r="G100" s="865"/>
      <c r="M100" s="877"/>
    </row>
    <row r="101" spans="1:15" ht="29.1" customHeight="1" x14ac:dyDescent="0.25">
      <c r="A101" s="890" t="s">
        <v>2049</v>
      </c>
      <c r="B101" s="3960">
        <v>0</v>
      </c>
      <c r="C101" s="855">
        <v>8.1999999999999993</v>
      </c>
      <c r="D101" s="880">
        <f t="shared" si="15"/>
        <v>0</v>
      </c>
      <c r="E101" s="877"/>
      <c r="O101" s="877"/>
    </row>
    <row r="102" spans="1:15" ht="29.1" customHeight="1" x14ac:dyDescent="0.25">
      <c r="A102" s="890" t="s">
        <v>2048</v>
      </c>
      <c r="B102" s="3960">
        <v>0</v>
      </c>
      <c r="C102" s="855">
        <v>4.0999999999999996</v>
      </c>
      <c r="D102" s="880">
        <f t="shared" si="15"/>
        <v>0</v>
      </c>
      <c r="G102" s="865"/>
      <c r="O102" s="877"/>
    </row>
    <row r="103" spans="1:15" ht="29.1" customHeight="1" x14ac:dyDescent="0.25">
      <c r="A103" s="890" t="s">
        <v>2047</v>
      </c>
      <c r="B103" s="3960">
        <v>0</v>
      </c>
      <c r="C103" s="855">
        <v>1.6</v>
      </c>
      <c r="D103" s="880">
        <f t="shared" si="15"/>
        <v>0</v>
      </c>
      <c r="G103" s="865"/>
      <c r="O103" s="877"/>
    </row>
    <row r="104" spans="1:15" ht="29.1" customHeight="1" thickBot="1" x14ac:dyDescent="0.3">
      <c r="A104" s="889" t="s">
        <v>2046</v>
      </c>
      <c r="B104" s="3960">
        <v>0.2475</v>
      </c>
      <c r="C104" s="888">
        <v>0.8</v>
      </c>
      <c r="D104" s="880">
        <f t="shared" si="15"/>
        <v>0.19800000000000001</v>
      </c>
      <c r="G104" s="865"/>
      <c r="O104" s="877"/>
    </row>
    <row r="105" spans="1:15" ht="18.75" thickBot="1" x14ac:dyDescent="0.4">
      <c r="A105" s="876" t="s">
        <v>5315</v>
      </c>
      <c r="B105" s="875">
        <f>SUM(B99:B101)</f>
        <v>0</v>
      </c>
      <c r="C105" s="875"/>
      <c r="D105" s="1481">
        <f>SUM(D99:D104)</f>
        <v>0.19800000000000001</v>
      </c>
    </row>
    <row r="106" spans="1:15" x14ac:dyDescent="0.25">
      <c r="A106" s="866"/>
      <c r="B106" s="865"/>
      <c r="C106" s="865"/>
      <c r="E106" s="865"/>
      <c r="F106" s="865"/>
      <c r="G106" s="865"/>
    </row>
    <row r="108" spans="1:15" ht="30" customHeight="1" x14ac:dyDescent="0.25">
      <c r="A108" s="849" t="s">
        <v>651</v>
      </c>
      <c r="B108" s="864" t="s">
        <v>1845</v>
      </c>
      <c r="C108" s="850" t="s">
        <v>2045</v>
      </c>
      <c r="E108" s="887"/>
    </row>
    <row r="110" spans="1:15" ht="15.75" thickBot="1" x14ac:dyDescent="0.3">
      <c r="A110" s="871" t="s">
        <v>2044</v>
      </c>
      <c r="B110" s="863"/>
      <c r="C110" s="863"/>
      <c r="D110" s="886"/>
      <c r="E110" s="886"/>
    </row>
    <row r="111" spans="1:15" ht="61.5" customHeight="1" thickBot="1" x14ac:dyDescent="0.3">
      <c r="A111" s="650" t="s">
        <v>897</v>
      </c>
      <c r="B111" s="649" t="s">
        <v>4820</v>
      </c>
      <c r="C111" s="885" t="s">
        <v>4819</v>
      </c>
      <c r="D111" s="648" t="s">
        <v>4821</v>
      </c>
      <c r="E111" s="884"/>
      <c r="G111" s="869"/>
    </row>
    <row r="112" spans="1:15" ht="28.5" customHeight="1" x14ac:dyDescent="0.25">
      <c r="A112" s="883" t="s">
        <v>895</v>
      </c>
      <c r="B112" s="3960">
        <v>306897.49000000005</v>
      </c>
      <c r="C112" s="1691">
        <f>'NIR faktorer'!D154</f>
        <v>5.183311592651E-2</v>
      </c>
      <c r="D112" s="882">
        <f>B112*C112</f>
        <v>15907.453176724946</v>
      </c>
      <c r="E112" s="873"/>
      <c r="G112" s="867"/>
    </row>
    <row r="113" spans="1:14" ht="28.5" customHeight="1" x14ac:dyDescent="0.25">
      <c r="A113" s="881" t="s">
        <v>894</v>
      </c>
      <c r="B113" s="3960">
        <v>196703.64356214192</v>
      </c>
      <c r="C113" s="1692">
        <f>'NIR faktorer'!D155</f>
        <v>9.2872287052539998E-2</v>
      </c>
      <c r="D113" s="880">
        <f>B113*C113</f>
        <v>18268.317249183758</v>
      </c>
      <c r="E113" s="873"/>
      <c r="G113" s="867"/>
    </row>
    <row r="114" spans="1:14" ht="28.5" customHeight="1" thickBot="1" x14ac:dyDescent="0.3">
      <c r="A114" s="879" t="s">
        <v>893</v>
      </c>
      <c r="B114" s="3960">
        <v>117945.67254788354</v>
      </c>
      <c r="C114" s="1692">
        <f>'NIR faktorer'!D156</f>
        <v>3.0226327198308901E-2</v>
      </c>
      <c r="D114" s="652">
        <f>B114*C114</f>
        <v>3565.0644900569278</v>
      </c>
      <c r="E114" s="873"/>
      <c r="F114" s="878"/>
      <c r="G114" s="867"/>
      <c r="N114" s="877"/>
    </row>
    <row r="115" spans="1:14" ht="15.75" thickBot="1" x14ac:dyDescent="0.3">
      <c r="A115" s="876" t="s">
        <v>2043</v>
      </c>
      <c r="B115" s="875">
        <f>SUM(B112:C114)</f>
        <v>621546.98104175576</v>
      </c>
      <c r="C115" s="874"/>
      <c r="D115" s="1481">
        <f>SUM(D112:D114)</f>
        <v>37740.834915965635</v>
      </c>
      <c r="E115" s="873"/>
      <c r="G115" s="867"/>
    </row>
    <row r="116" spans="1:14" x14ac:dyDescent="0.25">
      <c r="A116" s="866"/>
      <c r="B116" s="865"/>
      <c r="C116" s="865"/>
      <c r="D116" s="865"/>
      <c r="E116" s="865"/>
      <c r="F116" s="865"/>
      <c r="G116" s="865"/>
    </row>
    <row r="118" spans="1:14" ht="32.25" customHeight="1" x14ac:dyDescent="0.25">
      <c r="A118" s="849" t="s">
        <v>2042</v>
      </c>
      <c r="B118" s="872" t="s">
        <v>1845</v>
      </c>
      <c r="C118" s="848" t="str">
        <f>'NIR faktorer'!D158</f>
        <v>NIR CRF tabel 3D 2020 (2018)</v>
      </c>
      <c r="E118" s="863"/>
    </row>
    <row r="120" spans="1:14" ht="15.75" thickBot="1" x14ac:dyDescent="0.3">
      <c r="A120" s="871" t="s">
        <v>2041</v>
      </c>
      <c r="B120" s="863"/>
      <c r="C120" s="863"/>
      <c r="D120" s="863"/>
      <c r="E120" s="863"/>
      <c r="F120" s="863"/>
      <c r="G120" s="863"/>
    </row>
    <row r="121" spans="1:14" ht="45.75" customHeight="1" thickBot="1" x14ac:dyDescent="0.3">
      <c r="A121" s="870"/>
      <c r="B121" s="649" t="s">
        <v>4822</v>
      </c>
      <c r="C121" s="649" t="s">
        <v>4823</v>
      </c>
      <c r="D121" s="648" t="s">
        <v>4824</v>
      </c>
      <c r="E121" s="869"/>
      <c r="G121" s="869"/>
    </row>
    <row r="122" spans="1:14" ht="15.75" thickBot="1" x14ac:dyDescent="0.3">
      <c r="A122" s="639" t="s">
        <v>891</v>
      </c>
      <c r="B122" s="3960">
        <v>473671.71000000008</v>
      </c>
      <c r="C122" s="1693">
        <f>'NIR faktorer'!D161</f>
        <v>0.2547823244638</v>
      </c>
      <c r="D122" s="1482">
        <f>B122*C122</f>
        <v>120683.179306543</v>
      </c>
      <c r="E122" s="868"/>
      <c r="G122" s="867"/>
    </row>
    <row r="123" spans="1:14" x14ac:dyDescent="0.25">
      <c r="A123" s="866"/>
      <c r="B123" s="865"/>
      <c r="D123" s="865"/>
    </row>
    <row r="125" spans="1:14" x14ac:dyDescent="0.25">
      <c r="A125" s="849" t="s">
        <v>651</v>
      </c>
      <c r="B125" s="864" t="s">
        <v>2040</v>
      </c>
      <c r="C125" s="848" t="str">
        <f>'NIR faktorer'!D163</f>
        <v>NIR CRF tabel 3D 2020 (2018)</v>
      </c>
      <c r="E125" s="863"/>
    </row>
  </sheetData>
  <hyperlinks>
    <hyperlink ref="A2" location="Index!A1" display="Til index" xr:uid="{73A724CA-5386-47C7-8ED4-B09BC049CD29}"/>
  </hyperlinks>
  <pageMargins left="0.7" right="0.7" top="0.75" bottom="0.75" header="0.3" footer="0.3"/>
  <pageSetup paperSize="9" orientation="portrait" horizontalDpi="4294967293" verticalDpi="4294967293"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4508B-1F96-4E0D-9940-756582DC3454}">
  <sheetPr codeName="Ark86">
    <tabColor theme="4" tint="-0.249977111117893"/>
  </sheetPr>
  <dimension ref="A1:AM125"/>
  <sheetViews>
    <sheetView topLeftCell="B13" zoomScale="80" zoomScaleNormal="80" workbookViewId="0">
      <selection activeCell="P34" sqref="P34:P38"/>
    </sheetView>
  </sheetViews>
  <sheetFormatPr defaultColWidth="8.7109375" defaultRowHeight="15" x14ac:dyDescent="0.25"/>
  <cols>
    <col min="1" max="1" width="47.28515625" style="1791" customWidth="1"/>
    <col min="2" max="2" width="34.42578125" style="1791" customWidth="1"/>
    <col min="3" max="3" width="32.85546875" style="1791" customWidth="1"/>
    <col min="4" max="4" width="32.7109375" style="1791" customWidth="1"/>
    <col min="5" max="5" width="30.42578125" style="1791" customWidth="1"/>
    <col min="6" max="6" width="27.85546875" style="1791" customWidth="1"/>
    <col min="7" max="7" width="16" style="1791" bestFit="1" customWidth="1"/>
    <col min="8" max="8" width="13.42578125" style="1791" bestFit="1" customWidth="1"/>
    <col min="9" max="10" width="8.7109375" style="1791"/>
    <col min="11" max="11" width="25" style="1791" bestFit="1" customWidth="1"/>
    <col min="12" max="13" width="12" style="1791" bestFit="1" customWidth="1"/>
    <col min="14" max="14" width="17.42578125" style="1791" bestFit="1" customWidth="1"/>
    <col min="15" max="15" width="16.5703125" style="1791" customWidth="1"/>
    <col min="16" max="16" width="15.140625" style="1791" customWidth="1"/>
    <col min="17" max="17" width="17" style="1791" customWidth="1"/>
    <col min="18" max="18" width="8.7109375" style="1791"/>
    <col min="19" max="19" width="11.85546875" style="1791" bestFit="1" customWidth="1"/>
    <col min="20" max="21" width="8.7109375" style="1791"/>
    <col min="22" max="22" width="10.140625" style="1791" bestFit="1" customWidth="1"/>
    <col min="23" max="23" width="8.7109375" style="1791"/>
    <col min="24" max="25" width="12.85546875" style="1791" customWidth="1"/>
    <col min="26" max="37" width="8.7109375" style="1791"/>
    <col min="38" max="38" width="12.85546875" style="1791" customWidth="1"/>
    <col min="39" max="16384" width="8.7109375" style="1791"/>
  </cols>
  <sheetData>
    <row r="1" spans="1:24" s="1790" customFormat="1" ht="53.1" customHeight="1" x14ac:dyDescent="0.35">
      <c r="B1" s="658" t="s">
        <v>2089</v>
      </c>
    </row>
    <row r="2" spans="1:24" ht="21" x14ac:dyDescent="0.35">
      <c r="A2" s="1740" t="s">
        <v>4206</v>
      </c>
    </row>
    <row r="3" spans="1:24" x14ac:dyDescent="0.25">
      <c r="A3" s="2088"/>
      <c r="B3" s="1791" t="str">
        <f>'K1 2018G'!B3</f>
        <v>Tal fra register</v>
      </c>
      <c r="I3" s="946"/>
    </row>
    <row r="4" spans="1:24" x14ac:dyDescent="0.25">
      <c r="A4" s="1792"/>
      <c r="B4" s="1791" t="str">
        <f>'K1 2018G'!B4</f>
        <v>Overført til regnskab</v>
      </c>
    </row>
    <row r="5" spans="1:24" x14ac:dyDescent="0.25">
      <c r="A5" s="1476"/>
      <c r="B5" s="1791" t="s">
        <v>2087</v>
      </c>
    </row>
    <row r="6" spans="1:24" x14ac:dyDescent="0.25">
      <c r="A6" s="1793"/>
      <c r="I6" s="1794"/>
    </row>
    <row r="7" spans="1:24" ht="33.75" thickBot="1" x14ac:dyDescent="0.3">
      <c r="A7" s="948" t="s">
        <v>4939</v>
      </c>
      <c r="B7" s="947"/>
      <c r="C7" s="947"/>
      <c r="D7" s="947"/>
      <c r="E7" s="947"/>
      <c r="F7" s="946"/>
    </row>
    <row r="8" spans="1:24" s="847" customFormat="1" ht="38.25" customHeight="1" thickBot="1" x14ac:dyDescent="0.3">
      <c r="A8" s="2900" t="s">
        <v>2086</v>
      </c>
      <c r="B8" s="2898" t="s">
        <v>4790</v>
      </c>
      <c r="C8" s="649" t="s">
        <v>4775</v>
      </c>
      <c r="D8" s="2899" t="s">
        <v>4963</v>
      </c>
      <c r="E8" s="648" t="s">
        <v>4964</v>
      </c>
      <c r="G8" s="939"/>
      <c r="V8" s="939"/>
      <c r="W8" s="892"/>
      <c r="X8" s="892"/>
    </row>
    <row r="9" spans="1:24" x14ac:dyDescent="0.25">
      <c r="A9" s="1795" t="s">
        <v>2085</v>
      </c>
      <c r="B9" s="3960">
        <v>306.89749000000006</v>
      </c>
      <c r="C9" s="938">
        <v>1</v>
      </c>
      <c r="D9" s="1697">
        <f>B9*C9%</f>
        <v>3.0689749000000006</v>
      </c>
      <c r="E9" s="1472">
        <f>D9*44/28</f>
        <v>4.8226748428571442</v>
      </c>
      <c r="G9" s="1798"/>
      <c r="Q9" s="1794"/>
      <c r="R9" s="1794"/>
      <c r="U9" s="1798"/>
      <c r="V9" s="1798"/>
      <c r="W9" s="1798"/>
      <c r="X9" s="1798"/>
    </row>
    <row r="10" spans="1:24" x14ac:dyDescent="0.25">
      <c r="A10" s="1799" t="s">
        <v>2084</v>
      </c>
      <c r="B10" s="903">
        <f>B11+B12+B13</f>
        <v>166.77421999999999</v>
      </c>
      <c r="C10" s="944">
        <v>1</v>
      </c>
      <c r="D10" s="1694">
        <f>D11+D12+D13</f>
        <v>1.6677422</v>
      </c>
      <c r="E10" s="1473">
        <f t="shared" ref="E10:E17" si="0">D10*44/28</f>
        <v>2.6207377428571426</v>
      </c>
      <c r="G10" s="1798"/>
      <c r="Q10" s="1794"/>
      <c r="R10" s="1794"/>
      <c r="U10" s="1798"/>
      <c r="V10" s="1798"/>
      <c r="W10" s="1798"/>
      <c r="X10" s="1798"/>
    </row>
    <row r="11" spans="1:24" x14ac:dyDescent="0.25">
      <c r="A11" s="1799" t="s">
        <v>2083</v>
      </c>
      <c r="B11" s="3960">
        <v>165.87657999999999</v>
      </c>
      <c r="C11" s="944">
        <v>1</v>
      </c>
      <c r="D11" s="903">
        <f t="shared" ref="D11:D17" si="1">B11*C11%</f>
        <v>1.6587657999999998</v>
      </c>
      <c r="E11" s="945">
        <f t="shared" si="0"/>
        <v>2.6066319714285711</v>
      </c>
      <c r="G11" s="1798"/>
      <c r="Q11" s="1794"/>
      <c r="R11" s="1794"/>
      <c r="U11" s="1798"/>
      <c r="V11" s="1798"/>
      <c r="W11" s="1798"/>
      <c r="X11" s="1798"/>
    </row>
    <row r="12" spans="1:24" x14ac:dyDescent="0.25">
      <c r="A12" s="1799" t="s">
        <v>2082</v>
      </c>
      <c r="B12" s="3960">
        <v>0</v>
      </c>
      <c r="C12" s="944">
        <v>1</v>
      </c>
      <c r="D12" s="903">
        <f t="shared" si="1"/>
        <v>0</v>
      </c>
      <c r="E12" s="945">
        <f t="shared" si="0"/>
        <v>0</v>
      </c>
      <c r="F12" s="1794"/>
      <c r="G12" s="1798"/>
      <c r="Q12" s="1794"/>
      <c r="R12" s="1794"/>
      <c r="U12" s="1798"/>
      <c r="V12" s="1798"/>
      <c r="W12" s="1798"/>
      <c r="X12" s="1798"/>
    </row>
    <row r="13" spans="1:24" x14ac:dyDescent="0.25">
      <c r="A13" s="1799" t="s">
        <v>2081</v>
      </c>
      <c r="B13" s="3960">
        <v>0.8976400000000001</v>
      </c>
      <c r="C13" s="944">
        <v>1</v>
      </c>
      <c r="D13" s="903">
        <f t="shared" si="1"/>
        <v>8.9764000000000007E-3</v>
      </c>
      <c r="E13" s="945">
        <f t="shared" si="0"/>
        <v>1.410577142857143E-2</v>
      </c>
      <c r="G13" s="1798"/>
      <c r="Q13" s="1794"/>
      <c r="U13" s="1798"/>
      <c r="V13" s="1798"/>
      <c r="W13" s="1798"/>
      <c r="X13" s="1798"/>
    </row>
    <row r="14" spans="1:24" x14ac:dyDescent="0.25">
      <c r="A14" s="1799" t="s">
        <v>2080</v>
      </c>
      <c r="B14" s="903">
        <f>F83/1000</f>
        <v>16.082241038356162</v>
      </c>
      <c r="C14" s="944">
        <v>1.8025659038470001</v>
      </c>
      <c r="D14" s="1694">
        <f t="shared" si="1"/>
        <v>0.28989299353189796</v>
      </c>
      <c r="E14" s="1473">
        <f t="shared" si="0"/>
        <v>0.4555461326929825</v>
      </c>
      <c r="G14" s="1798"/>
      <c r="Q14" s="1794"/>
      <c r="R14" s="869"/>
      <c r="S14" s="1801"/>
      <c r="T14" s="1801"/>
      <c r="U14" s="1798"/>
      <c r="V14" s="1798"/>
      <c r="W14" s="1798"/>
      <c r="X14" s="1798"/>
    </row>
    <row r="15" spans="1:24" x14ac:dyDescent="0.25">
      <c r="A15" s="1799" t="s">
        <v>2079</v>
      </c>
      <c r="B15" s="903">
        <f>SUM(O31:O47)/1000</f>
        <v>117.94821142199055</v>
      </c>
      <c r="C15" s="944">
        <v>1</v>
      </c>
      <c r="D15" s="1699">
        <f t="shared" si="1"/>
        <v>1.1794821142199055</v>
      </c>
      <c r="E15" s="2923">
        <f t="shared" si="0"/>
        <v>1.853471893774137</v>
      </c>
      <c r="G15" s="1798"/>
      <c r="W15" s="1798"/>
      <c r="X15" s="1798"/>
    </row>
    <row r="16" spans="1:24" x14ac:dyDescent="0.25">
      <c r="A16" s="1799" t="s">
        <v>2078</v>
      </c>
      <c r="B16" s="1694">
        <f>-O50/1000</f>
        <v>-11.461504665600001</v>
      </c>
      <c r="C16" s="944">
        <v>1</v>
      </c>
      <c r="D16" s="1699">
        <f t="shared" si="1"/>
        <v>-0.11461504665600002</v>
      </c>
      <c r="E16" s="1473">
        <f t="shared" si="0"/>
        <v>-0.18010935903085717</v>
      </c>
      <c r="G16" s="1798"/>
      <c r="O16" s="940"/>
      <c r="P16" s="940"/>
      <c r="Q16" s="940"/>
      <c r="S16" s="869"/>
      <c r="T16" s="940"/>
      <c r="U16" s="940"/>
      <c r="V16" s="939"/>
      <c r="W16" s="1798"/>
      <c r="X16" s="1798"/>
    </row>
    <row r="17" spans="1:39" x14ac:dyDescent="0.25">
      <c r="A17" s="1799" t="s">
        <v>2077</v>
      </c>
      <c r="B17" s="903">
        <f>F91/1000</f>
        <v>22.987828228560822</v>
      </c>
      <c r="C17" s="944">
        <v>0.99999999953399998</v>
      </c>
      <c r="D17" s="1694">
        <f t="shared" si="1"/>
        <v>0.22987828217848494</v>
      </c>
      <c r="E17" s="1473">
        <f t="shared" si="0"/>
        <v>0.36123730056619063</v>
      </c>
      <c r="G17" s="1798"/>
      <c r="Q17" s="1794"/>
      <c r="R17" s="1794"/>
      <c r="U17" s="1798"/>
      <c r="V17" s="1798"/>
      <c r="W17" s="1798"/>
      <c r="X17" s="1798"/>
    </row>
    <row r="18" spans="1:39" ht="15.75" thickBot="1" x14ac:dyDescent="0.3">
      <c r="A18" s="2901" t="s">
        <v>4808</v>
      </c>
      <c r="B18" s="943" t="s">
        <v>2076</v>
      </c>
      <c r="C18" s="942" t="s">
        <v>2076</v>
      </c>
      <c r="D18" s="1698">
        <f>D105/1000</f>
        <v>1.0147499999999998E-3</v>
      </c>
      <c r="E18" s="1474">
        <f>D18*44/28</f>
        <v>1.5946071428571426E-3</v>
      </c>
      <c r="G18" s="1798"/>
      <c r="Q18" s="1794"/>
      <c r="R18" s="1794"/>
      <c r="U18" s="1798"/>
      <c r="V18" s="1798"/>
      <c r="W18" s="1798"/>
      <c r="X18" s="1798"/>
    </row>
    <row r="19" spans="1:39" x14ac:dyDescent="0.25">
      <c r="D19" s="1798"/>
      <c r="E19" s="1798"/>
      <c r="G19" s="1798"/>
      <c r="U19" s="1798"/>
      <c r="V19" s="1798"/>
      <c r="W19" s="1798"/>
      <c r="X19" s="1798"/>
    </row>
    <row r="20" spans="1:39" ht="15.75" thickBot="1" x14ac:dyDescent="0.3">
      <c r="D20" s="1798"/>
      <c r="E20" s="1798"/>
      <c r="G20" s="1798"/>
      <c r="U20" s="1798"/>
      <c r="V20" s="1798"/>
      <c r="W20" s="1798"/>
      <c r="X20" s="1798"/>
    </row>
    <row r="21" spans="1:39" s="847" customFormat="1" ht="33.75" thickBot="1" x14ac:dyDescent="0.3">
      <c r="A21" s="941" t="s">
        <v>2075</v>
      </c>
      <c r="B21" s="650" t="s">
        <v>4790</v>
      </c>
      <c r="C21" s="649" t="s">
        <v>4775</v>
      </c>
      <c r="D21" s="2899" t="s">
        <v>4963</v>
      </c>
      <c r="E21" s="648" t="s">
        <v>4964</v>
      </c>
      <c r="G21" s="939"/>
      <c r="N21" s="940"/>
      <c r="O21" s="940"/>
      <c r="P21" s="940"/>
      <c r="Q21" s="869"/>
      <c r="R21" s="869"/>
      <c r="S21" s="940"/>
      <c r="T21" s="940"/>
      <c r="U21" s="939"/>
      <c r="V21" s="939"/>
      <c r="W21" s="892"/>
      <c r="X21" s="892"/>
    </row>
    <row r="22" spans="1:39" x14ac:dyDescent="0.25">
      <c r="A22" s="1795" t="s">
        <v>2074</v>
      </c>
      <c r="B22" s="1804">
        <f>D115/1000</f>
        <v>36.454892146587149</v>
      </c>
      <c r="C22" s="1796">
        <v>1</v>
      </c>
      <c r="D22" s="1805">
        <f>B22*C22%</f>
        <v>0.36454892146587148</v>
      </c>
      <c r="E22" s="1797">
        <f>D22*44/28</f>
        <v>0.57286259087494085</v>
      </c>
      <c r="G22" s="1798"/>
      <c r="Q22" s="1794"/>
      <c r="U22" s="1798"/>
      <c r="V22" s="1798"/>
      <c r="W22" s="1798"/>
      <c r="X22" s="1798"/>
    </row>
    <row r="23" spans="1:39" ht="15.75" thickBot="1" x14ac:dyDescent="0.3">
      <c r="A23" s="1802" t="s">
        <v>2073</v>
      </c>
      <c r="B23" s="1806">
        <f>D122/1000</f>
        <v>120.683179306543</v>
      </c>
      <c r="C23" s="1807">
        <v>0.75</v>
      </c>
      <c r="D23" s="1808">
        <f>B23*C23%</f>
        <v>0.90512384479907249</v>
      </c>
      <c r="E23" s="1803">
        <f>D23*44/28</f>
        <v>1.4223374703985425</v>
      </c>
      <c r="G23" s="1798"/>
      <c r="Q23" s="1794"/>
      <c r="S23" s="1801"/>
      <c r="T23" s="1801"/>
      <c r="U23" s="1798"/>
      <c r="V23" s="1798"/>
      <c r="W23" s="1798"/>
      <c r="X23" s="1798"/>
    </row>
    <row r="24" spans="1:39" ht="15.75" thickBot="1" x14ac:dyDescent="0.3">
      <c r="A24" s="1809"/>
      <c r="B24" s="1810"/>
      <c r="C24" s="1810"/>
      <c r="D24" s="1811"/>
      <c r="E24" s="1811"/>
      <c r="F24" s="1810"/>
      <c r="G24" s="1810"/>
      <c r="N24" s="877"/>
    </row>
    <row r="25" spans="1:39" ht="15.75" thickBot="1" x14ac:dyDescent="0.3">
      <c r="A25" s="1809"/>
      <c r="B25" s="1810"/>
      <c r="C25" s="1810"/>
      <c r="D25" s="3670" t="s">
        <v>2072</v>
      </c>
      <c r="E25" s="1812">
        <f>E9+E10+E14+E15+E17+E18+E22+E23+E16</f>
        <v>11.930353222133082</v>
      </c>
      <c r="F25" s="1810"/>
      <c r="G25" s="1810"/>
      <c r="N25" s="877"/>
    </row>
    <row r="26" spans="1:39" x14ac:dyDescent="0.25">
      <c r="A26" s="1809"/>
      <c r="B26" s="1810"/>
      <c r="C26" s="1810"/>
      <c r="D26" s="3669"/>
      <c r="E26" s="3669"/>
      <c r="F26" s="1810"/>
      <c r="G26" s="1810"/>
      <c r="N26" s="877"/>
    </row>
    <row r="27" spans="1:39" ht="30" customHeight="1" x14ac:dyDescent="0.25">
      <c r="A27" s="849" t="s">
        <v>2062</v>
      </c>
      <c r="B27" s="848" t="s">
        <v>1845</v>
      </c>
      <c r="C27" s="3671" t="s">
        <v>2194</v>
      </c>
      <c r="F27" s="1794"/>
      <c r="L27" s="1798"/>
      <c r="M27" s="1798"/>
      <c r="O27" s="877"/>
      <c r="W27" s="1798"/>
      <c r="X27" s="1798"/>
    </row>
    <row r="28" spans="1:39" x14ac:dyDescent="0.25">
      <c r="A28" s="1810"/>
      <c r="B28" s="1810"/>
    </row>
    <row r="29" spans="1:39" ht="29.1" customHeight="1" thickBot="1" x14ac:dyDescent="0.3">
      <c r="A29" s="871" t="s">
        <v>2071</v>
      </c>
      <c r="B29" s="935"/>
      <c r="C29" s="935"/>
      <c r="D29" s="886"/>
      <c r="E29" s="886"/>
    </row>
    <row r="30" spans="1:39" s="847" customFormat="1" ht="89.45" customHeight="1" thickBot="1" x14ac:dyDescent="0.3">
      <c r="A30" s="934" t="s">
        <v>945</v>
      </c>
      <c r="B30" s="647" t="s">
        <v>4797</v>
      </c>
      <c r="C30" s="646" t="s">
        <v>4796</v>
      </c>
      <c r="D30" s="646" t="s">
        <v>4798</v>
      </c>
      <c r="E30" s="646" t="s">
        <v>4799</v>
      </c>
      <c r="F30" s="653" t="s">
        <v>4800</v>
      </c>
      <c r="G30" s="646" t="s">
        <v>4801</v>
      </c>
      <c r="H30" s="653" t="s">
        <v>4802</v>
      </c>
      <c r="I30" s="653" t="s">
        <v>2070</v>
      </c>
      <c r="J30" s="653" t="s">
        <v>2069</v>
      </c>
      <c r="K30" s="653" t="s">
        <v>4806</v>
      </c>
      <c r="L30" s="653" t="s">
        <v>2068</v>
      </c>
      <c r="M30" s="653" t="s">
        <v>2067</v>
      </c>
      <c r="N30" s="646" t="s">
        <v>4803</v>
      </c>
      <c r="O30" s="934" t="s">
        <v>4804</v>
      </c>
      <c r="P30" s="934" t="s">
        <v>4805</v>
      </c>
      <c r="S30" s="869"/>
      <c r="T30" s="869"/>
      <c r="X30" s="858"/>
      <c r="Y30" s="858"/>
      <c r="AA30" s="869"/>
      <c r="AC30" s="869"/>
      <c r="AM30" s="869"/>
    </row>
    <row r="31" spans="1:39" x14ac:dyDescent="0.25">
      <c r="A31" s="1813" t="s">
        <v>944</v>
      </c>
      <c r="B31" s="1814">
        <f>'HST77'!E35</f>
        <v>63.1</v>
      </c>
      <c r="C31" s="1815">
        <f t="shared" ref="C31:C47" si="2">B31*100</f>
        <v>6310</v>
      </c>
      <c r="D31" s="1816">
        <f>Fodermiddeltabel!L113</f>
        <v>86.1</v>
      </c>
      <c r="E31" s="1817">
        <f t="shared" ref="E31:E43" si="3">C31*D31%</f>
        <v>5432.91</v>
      </c>
      <c r="F31" s="3961">
        <v>6.37</v>
      </c>
      <c r="G31" s="1816">
        <v>1</v>
      </c>
      <c r="H31" s="1817">
        <f>'NIR faktorer'!D94</f>
        <v>8491.1597339062973</v>
      </c>
      <c r="I31" s="1815">
        <f>IFERROR(H31/E31,"NE")</f>
        <v>1.5629119079657674</v>
      </c>
      <c r="J31" s="1818">
        <v>6.0000000000000001E-3</v>
      </c>
      <c r="K31" s="1815">
        <f t="shared" ref="K31:K37" si="4">E31*F31*I31*J31</f>
        <v>324.53212502989874</v>
      </c>
      <c r="L31" s="1819">
        <v>0.23</v>
      </c>
      <c r="M31" s="1819">
        <v>8.9999999999999993E-3</v>
      </c>
      <c r="N31" s="3962">
        <f t="shared" ref="N31:N37" si="5">E31*F31*L31*M31*G31</f>
        <v>71.637807969000008</v>
      </c>
      <c r="O31" s="1820">
        <f>K31+N31</f>
        <v>396.16993299889873</v>
      </c>
      <c r="P31" s="1821">
        <f t="shared" ref="P31:P36" si="6">O31/F31</f>
        <v>62.193082103437789</v>
      </c>
      <c r="S31" s="1798"/>
      <c r="T31" s="1798"/>
      <c r="X31" s="1798"/>
      <c r="Y31" s="1798"/>
      <c r="AA31" s="1798"/>
      <c r="AC31" s="1798"/>
    </row>
    <row r="32" spans="1:39" x14ac:dyDescent="0.25">
      <c r="A32" s="1799" t="s">
        <v>943</v>
      </c>
      <c r="B32" s="3963">
        <f>'HST77'!E36</f>
        <v>43.1</v>
      </c>
      <c r="C32" s="3964">
        <f t="shared" si="2"/>
        <v>4310</v>
      </c>
      <c r="D32" s="3965">
        <f>Fodermiddeltabel!L113</f>
        <v>86.1</v>
      </c>
      <c r="E32" s="3966">
        <f t="shared" si="3"/>
        <v>3710.91</v>
      </c>
      <c r="F32" s="3960">
        <v>13.59</v>
      </c>
      <c r="G32" s="3965">
        <v>1</v>
      </c>
      <c r="H32" s="3966">
        <f>'NIR faktorer'!D95</f>
        <v>4380.9988335925345</v>
      </c>
      <c r="I32" s="3964">
        <f t="shared" ref="I32:I47" si="7">IFERROR(H32/E32,"NE")</f>
        <v>1.1805726448748515</v>
      </c>
      <c r="J32" s="3967">
        <v>6.0000000000000001E-3</v>
      </c>
      <c r="K32" s="3964">
        <f t="shared" si="4"/>
        <v>357.22664489113532</v>
      </c>
      <c r="L32" s="3968">
        <v>0.28000000000000003</v>
      </c>
      <c r="M32" s="3968">
        <v>8.9999999999999993E-3</v>
      </c>
      <c r="N32" s="3969">
        <f t="shared" si="5"/>
        <v>127.08679258799998</v>
      </c>
      <c r="O32" s="1823">
        <f t="shared" ref="O32:O38" si="8">K32+N32</f>
        <v>484.3134374791353</v>
      </c>
      <c r="P32" s="1824">
        <f t="shared" si="6"/>
        <v>35.637486201555213</v>
      </c>
      <c r="S32" s="1798"/>
      <c r="T32" s="1798"/>
      <c r="X32" s="1798"/>
      <c r="Y32" s="1798"/>
      <c r="AA32" s="1798"/>
      <c r="AC32" s="1798"/>
    </row>
    <row r="33" spans="1:29" x14ac:dyDescent="0.25">
      <c r="A33" s="1799" t="s">
        <v>942</v>
      </c>
      <c r="B33" s="3963">
        <f>'HST77'!E37</f>
        <v>54.8</v>
      </c>
      <c r="C33" s="3964">
        <f t="shared" si="2"/>
        <v>5480</v>
      </c>
      <c r="D33" s="3965">
        <f>Fodermiddeltabel!L210</f>
        <v>85</v>
      </c>
      <c r="E33" s="3966">
        <f t="shared" si="3"/>
        <v>4658</v>
      </c>
      <c r="F33" s="3960">
        <v>67.430000000000007</v>
      </c>
      <c r="G33" s="3965">
        <v>1</v>
      </c>
      <c r="H33" s="3966">
        <f>'NIR faktorer'!D96</f>
        <v>4965.909283959948</v>
      </c>
      <c r="I33" s="3964">
        <f t="shared" si="7"/>
        <v>1.0661033241648665</v>
      </c>
      <c r="J33" s="3967">
        <v>5.0000000000000001E-3</v>
      </c>
      <c r="K33" s="3964">
        <f>E33*F33*I33*J33</f>
        <v>1674.2563150870969</v>
      </c>
      <c r="L33" s="3968">
        <v>0.22</v>
      </c>
      <c r="M33" s="3968">
        <v>1.0999999999999999E-2</v>
      </c>
      <c r="N33" s="3969">
        <f t="shared" si="5"/>
        <v>760.09523480000007</v>
      </c>
      <c r="O33" s="1823">
        <f t="shared" si="8"/>
        <v>2434.351549887097</v>
      </c>
      <c r="P33" s="1824">
        <f t="shared" si="6"/>
        <v>36.101906419799747</v>
      </c>
      <c r="S33" s="1798"/>
      <c r="T33" s="1798"/>
      <c r="X33" s="1798"/>
      <c r="Y33" s="1798"/>
      <c r="AA33" s="1798"/>
      <c r="AC33" s="1798"/>
    </row>
    <row r="34" spans="1:29" x14ac:dyDescent="0.25">
      <c r="A34" s="1799" t="s">
        <v>941</v>
      </c>
      <c r="B34" s="3963">
        <f>'HST77'!E39</f>
        <v>52</v>
      </c>
      <c r="C34" s="3964">
        <f t="shared" si="2"/>
        <v>5200</v>
      </c>
      <c r="D34" s="3965">
        <f>Fodermiddeltabel!L18</f>
        <v>85</v>
      </c>
      <c r="E34" s="3966">
        <f t="shared" si="3"/>
        <v>4420</v>
      </c>
      <c r="F34" s="3960">
        <v>0</v>
      </c>
      <c r="G34" s="3965">
        <v>1</v>
      </c>
      <c r="H34" s="3966">
        <f>'NIR faktorer'!D97</f>
        <v>4455.8096360352001</v>
      </c>
      <c r="I34" s="3964">
        <f t="shared" si="7"/>
        <v>1.0081017276097737</v>
      </c>
      <c r="J34" s="3967">
        <v>7.0000000000000001E-3</v>
      </c>
      <c r="K34" s="3964">
        <f t="shared" si="4"/>
        <v>0</v>
      </c>
      <c r="L34" s="3968">
        <v>0.22</v>
      </c>
      <c r="M34" s="3968">
        <v>1.4E-2</v>
      </c>
      <c r="N34" s="3969">
        <f>E34*F34*L34*M34*G34</f>
        <v>0</v>
      </c>
      <c r="O34" s="1823">
        <f>K34+N34</f>
        <v>0</v>
      </c>
      <c r="P34" s="1826" t="str">
        <f>IFERROR(O34/F34,"0")</f>
        <v>0</v>
      </c>
      <c r="S34" s="1798"/>
      <c r="T34" s="1798"/>
      <c r="X34" s="1798"/>
      <c r="Y34" s="1798"/>
      <c r="AA34" s="1798"/>
      <c r="AC34" s="1798"/>
    </row>
    <row r="35" spans="1:29" x14ac:dyDescent="0.25">
      <c r="A35" s="1799" t="s">
        <v>940</v>
      </c>
      <c r="B35" s="3963">
        <f>'HST77'!E40</f>
        <v>42.4</v>
      </c>
      <c r="C35" s="3964">
        <f t="shared" si="2"/>
        <v>4240</v>
      </c>
      <c r="D35" s="3965">
        <f>Fodermiddeltabel!L32</f>
        <v>85</v>
      </c>
      <c r="E35" s="3966">
        <f t="shared" si="3"/>
        <v>3604</v>
      </c>
      <c r="F35" s="3960">
        <v>582.6</v>
      </c>
      <c r="G35" s="3965">
        <v>1</v>
      </c>
      <c r="H35" s="3966">
        <f>'NIR faktorer'!D98</f>
        <v>3587.7079471237407</v>
      </c>
      <c r="I35" s="3964">
        <f t="shared" si="7"/>
        <v>0.9954794525870535</v>
      </c>
      <c r="J35" s="3967">
        <v>7.0000000000000001E-3</v>
      </c>
      <c r="K35" s="3964">
        <f t="shared" si="4"/>
        <v>14631.390549960041</v>
      </c>
      <c r="L35" s="3968">
        <v>0.22</v>
      </c>
      <c r="M35" s="3968">
        <v>1.4E-2</v>
      </c>
      <c r="N35" s="3969">
        <f t="shared" si="5"/>
        <v>6467.0464320000001</v>
      </c>
      <c r="O35" s="1823">
        <f t="shared" si="8"/>
        <v>21098.43698196004</v>
      </c>
      <c r="P35" s="1826">
        <f t="shared" si="6"/>
        <v>36.214275629866187</v>
      </c>
      <c r="S35" s="1798"/>
      <c r="T35" s="1798"/>
      <c r="X35" s="1798"/>
      <c r="Y35" s="1798"/>
      <c r="AA35" s="1798"/>
      <c r="AC35" s="1798"/>
    </row>
    <row r="36" spans="1:29" x14ac:dyDescent="0.25">
      <c r="A36" s="1799" t="s">
        <v>939</v>
      </c>
      <c r="B36" s="3963">
        <f>'HST77'!E41</f>
        <v>32.6</v>
      </c>
      <c r="C36" s="3964">
        <f t="shared" si="2"/>
        <v>3260</v>
      </c>
      <c r="D36" s="3965">
        <f>Fodermiddeltabel!L85</f>
        <v>85</v>
      </c>
      <c r="E36" s="3966">
        <f t="shared" si="3"/>
        <v>2771</v>
      </c>
      <c r="F36" s="3960">
        <v>216.75</v>
      </c>
      <c r="G36" s="3965">
        <v>1</v>
      </c>
      <c r="H36" s="3966">
        <f>'NIR faktorer'!D99</f>
        <v>2984.7608470051027</v>
      </c>
      <c r="I36" s="3964">
        <f t="shared" si="7"/>
        <v>1.0771421317232417</v>
      </c>
      <c r="J36" s="3967">
        <v>7.0000000000000001E-3</v>
      </c>
      <c r="K36" s="3964">
        <f t="shared" si="4"/>
        <v>4528.6283951184923</v>
      </c>
      <c r="L36" s="3968">
        <v>0.25</v>
      </c>
      <c r="M36" s="3968">
        <v>8.0000000000000002E-3</v>
      </c>
      <c r="N36" s="3969">
        <f t="shared" si="5"/>
        <v>1201.2284999999999</v>
      </c>
      <c r="O36" s="1823">
        <f t="shared" si="8"/>
        <v>5729.8568951184925</v>
      </c>
      <c r="P36" s="1826">
        <f t="shared" si="6"/>
        <v>26.43532592903572</v>
      </c>
      <c r="S36" s="1798"/>
      <c r="T36" s="1798"/>
      <c r="X36" s="1798"/>
      <c r="Y36" s="1798"/>
      <c r="AA36" s="1798"/>
      <c r="AC36" s="1798"/>
    </row>
    <row r="37" spans="1:29" x14ac:dyDescent="0.25">
      <c r="A37" s="1799" t="s">
        <v>938</v>
      </c>
      <c r="B37" s="3963">
        <f>'HST77'!E38</f>
        <v>55.8</v>
      </c>
      <c r="C37" s="3964">
        <f t="shared" si="2"/>
        <v>5580</v>
      </c>
      <c r="D37" s="3965">
        <f>Fodermiddeltabel!L294</f>
        <v>85</v>
      </c>
      <c r="E37" s="3966">
        <f t="shared" si="3"/>
        <v>4743</v>
      </c>
      <c r="F37" s="3960">
        <v>0</v>
      </c>
      <c r="G37" s="3965">
        <v>1</v>
      </c>
      <c r="H37" s="3966">
        <f>'NIR faktorer'!D100</f>
        <v>3266.9591366906479</v>
      </c>
      <c r="I37" s="3964">
        <f t="shared" si="7"/>
        <v>0.68879593858120347</v>
      </c>
      <c r="J37" s="3967">
        <v>5.0000000000000001E-3</v>
      </c>
      <c r="K37" s="3964">
        <f t="shared" si="4"/>
        <v>0</v>
      </c>
      <c r="L37" s="3968">
        <v>0.22</v>
      </c>
      <c r="M37" s="3968">
        <v>1.0999999999999999E-2</v>
      </c>
      <c r="N37" s="3969">
        <f t="shared" si="5"/>
        <v>0</v>
      </c>
      <c r="O37" s="1823">
        <f t="shared" si="8"/>
        <v>0</v>
      </c>
      <c r="P37" s="1826" t="str">
        <f>IFERROR(O37/F37,"0")</f>
        <v>0</v>
      </c>
      <c r="S37" s="1798"/>
      <c r="T37" s="1798"/>
      <c r="X37" s="1798"/>
      <c r="Y37" s="1798"/>
      <c r="AA37" s="1798"/>
      <c r="AC37" s="1798"/>
    </row>
    <row r="38" spans="1:29" x14ac:dyDescent="0.25">
      <c r="A38" s="1799" t="s">
        <v>2066</v>
      </c>
      <c r="B38" s="3963">
        <f>'HST77'!E42</f>
        <v>59</v>
      </c>
      <c r="C38" s="3964">
        <f t="shared" si="2"/>
        <v>5900</v>
      </c>
      <c r="D38" s="3965">
        <f>Fodermiddeltabel!L136</f>
        <v>88</v>
      </c>
      <c r="E38" s="3966">
        <f t="shared" si="3"/>
        <v>5192</v>
      </c>
      <c r="F38" s="3960">
        <v>0</v>
      </c>
      <c r="G38" s="3965">
        <v>1</v>
      </c>
      <c r="H38" s="3966">
        <f>'NIR faktorer'!D101</f>
        <v>1982.164075998701</v>
      </c>
      <c r="I38" s="3964">
        <f t="shared" si="7"/>
        <v>0.38177274191038157</v>
      </c>
      <c r="J38" s="3967">
        <v>6.0000000000000001E-3</v>
      </c>
      <c r="K38" s="3964">
        <f>E38*F38*I38*J38</f>
        <v>0</v>
      </c>
      <c r="L38" s="3968">
        <v>0.22</v>
      </c>
      <c r="M38" s="3968">
        <v>7.0000000000000001E-3</v>
      </c>
      <c r="N38" s="3969">
        <f>E38*F38*L38*M38*G38</f>
        <v>0</v>
      </c>
      <c r="O38" s="1823">
        <f t="shared" si="8"/>
        <v>0</v>
      </c>
      <c r="P38" s="1826" t="str">
        <f>IFERROR(O38/F38,"0")</f>
        <v>0</v>
      </c>
      <c r="S38" s="1798"/>
      <c r="T38" s="1798"/>
      <c r="X38" s="1798"/>
      <c r="Y38" s="1798"/>
      <c r="AA38" s="1798"/>
      <c r="AC38" s="1798"/>
    </row>
    <row r="39" spans="1:29" x14ac:dyDescent="0.25">
      <c r="A39" s="1799" t="s">
        <v>278</v>
      </c>
      <c r="B39" s="3963">
        <f>'HST77'!E59</f>
        <v>336.3</v>
      </c>
      <c r="C39" s="3964">
        <f t="shared" si="2"/>
        <v>33630</v>
      </c>
      <c r="D39" s="3965">
        <f>Fodermiddeltabel!L170</f>
        <v>32.5</v>
      </c>
      <c r="E39" s="3966">
        <f t="shared" si="3"/>
        <v>10929.75</v>
      </c>
      <c r="F39" s="3960" t="s">
        <v>455</v>
      </c>
      <c r="G39" s="3965">
        <v>1</v>
      </c>
      <c r="H39" s="3966">
        <f>'NIR faktorer'!D102</f>
        <v>12081.658188295682</v>
      </c>
      <c r="I39" s="3964">
        <f t="shared" si="7"/>
        <v>1.1053919978312112</v>
      </c>
      <c r="J39" s="3967">
        <v>1.4999999999999999E-2</v>
      </c>
      <c r="K39" s="3970" t="str">
        <f>IFERROR(E39*F39*I39*J39,"NE")</f>
        <v>NE</v>
      </c>
      <c r="L39" s="3968">
        <v>0.54</v>
      </c>
      <c r="M39" s="3968">
        <v>1.2E-2</v>
      </c>
      <c r="N39" s="3971" t="str">
        <f>IFERROR(E39*F39*L39*M39*G39,"NE")</f>
        <v>NE</v>
      </c>
      <c r="O39" s="1825" t="str">
        <f>IFERROR(K39+N39,"IE")</f>
        <v>IE</v>
      </c>
      <c r="P39" s="1826" t="str">
        <f>IFERROR(O39/F39,"NE")</f>
        <v>NE</v>
      </c>
      <c r="S39" s="1798"/>
      <c r="T39" s="1798"/>
      <c r="X39" s="1798"/>
      <c r="Y39" s="1798"/>
      <c r="AA39" s="1798"/>
      <c r="AC39" s="1798"/>
    </row>
    <row r="40" spans="1:29" x14ac:dyDescent="0.25">
      <c r="A40" s="1799" t="s">
        <v>936</v>
      </c>
      <c r="B40" s="3972">
        <f>('HST77'!E22*'HST77'!E52+'HST77'!E23*'HST77'!E53+'HST77'!E24*'HST77'!E54)/SUM('HST77'!E22:E24)</f>
        <v>324.32127659574473</v>
      </c>
      <c r="C40" s="3964">
        <f t="shared" si="2"/>
        <v>32432.127659574475</v>
      </c>
      <c r="D40" s="3968">
        <v>24</v>
      </c>
      <c r="E40" s="3966">
        <f t="shared" si="3"/>
        <v>7783.7106382978736</v>
      </c>
      <c r="F40" s="3960">
        <v>9.2800000000000011</v>
      </c>
      <c r="G40" s="3965">
        <v>1</v>
      </c>
      <c r="H40" s="3966">
        <f>'NIR faktorer'!D103</f>
        <v>892.66481134985077</v>
      </c>
      <c r="I40" s="3964">
        <f t="shared" si="7"/>
        <v>0.11468370971522356</v>
      </c>
      <c r="J40" s="3967">
        <v>1.9E-2</v>
      </c>
      <c r="K40" s="3964">
        <f t="shared" ref="K40:K47" si="9">E40*F40*I40*J40</f>
        <v>157.39465953720571</v>
      </c>
      <c r="L40" s="3968">
        <v>0.2</v>
      </c>
      <c r="M40" s="3968">
        <v>1.4E-2</v>
      </c>
      <c r="N40" s="3969">
        <f t="shared" ref="N40:N47" si="10">E40*F40*L40*M40*G40</f>
        <v>202.25193722553198</v>
      </c>
      <c r="O40" s="1823">
        <f t="shared" ref="O40:O47" si="11">K40+N40</f>
        <v>359.64659676273766</v>
      </c>
      <c r="P40" s="1824">
        <f t="shared" ref="P40:P47" si="12">O40/F40</f>
        <v>38.75502120288121</v>
      </c>
      <c r="S40" s="1798"/>
      <c r="T40" s="1798"/>
      <c r="X40" s="1798"/>
      <c r="Y40" s="1798"/>
      <c r="AA40" s="1798"/>
      <c r="AC40" s="1798"/>
    </row>
    <row r="41" spans="1:29" x14ac:dyDescent="0.25">
      <c r="A41" s="1799" t="s">
        <v>935</v>
      </c>
      <c r="B41" s="3963">
        <f>'HST77'!E58</f>
        <v>357.7</v>
      </c>
      <c r="C41" s="3964">
        <f t="shared" si="2"/>
        <v>35770</v>
      </c>
      <c r="D41" s="3968">
        <v>21</v>
      </c>
      <c r="E41" s="3966">
        <f t="shared" si="3"/>
        <v>7511.7</v>
      </c>
      <c r="F41" s="3960">
        <v>0</v>
      </c>
      <c r="G41" s="3965">
        <f>1/3</f>
        <v>0.33333333333333331</v>
      </c>
      <c r="H41" s="3966">
        <f>'NIR faktorer'!D104</f>
        <v>1349.3877551020407</v>
      </c>
      <c r="I41" s="3964">
        <f t="shared" si="7"/>
        <v>0.17963813186123523</v>
      </c>
      <c r="J41" s="3967">
        <v>2.7E-2</v>
      </c>
      <c r="K41" s="3964">
        <f t="shared" si="9"/>
        <v>0</v>
      </c>
      <c r="L41" s="3968">
        <v>0.4</v>
      </c>
      <c r="M41" s="3968">
        <v>1.9E-2</v>
      </c>
      <c r="N41" s="3969">
        <f t="shared" si="10"/>
        <v>0</v>
      </c>
      <c r="O41" s="1823">
        <f t="shared" si="11"/>
        <v>0</v>
      </c>
      <c r="P41" s="1826" t="str">
        <f>IFERROR(O41/F41,"0")</f>
        <v>0</v>
      </c>
      <c r="S41" s="1798"/>
      <c r="T41" s="1798"/>
      <c r="X41" s="1798"/>
      <c r="Y41" s="1798"/>
      <c r="AA41" s="1798"/>
      <c r="AC41" s="1798"/>
    </row>
    <row r="42" spans="1:29" x14ac:dyDescent="0.25">
      <c r="A42" s="1799" t="s">
        <v>934</v>
      </c>
      <c r="B42" s="3963">
        <f>'HST77'!E46</f>
        <v>25.1</v>
      </c>
      <c r="C42" s="3964">
        <f t="shared" si="2"/>
        <v>2510</v>
      </c>
      <c r="D42" s="3968">
        <v>85.2</v>
      </c>
      <c r="E42" s="3966">
        <f t="shared" si="3"/>
        <v>2138.52</v>
      </c>
      <c r="F42" s="3960">
        <v>5.01</v>
      </c>
      <c r="G42" s="3965">
        <v>1</v>
      </c>
      <c r="H42" s="3966">
        <f>'NIR faktorer'!D105</f>
        <v>2530.7757864226223</v>
      </c>
      <c r="I42" s="3964">
        <f t="shared" si="7"/>
        <v>1.1834239504061792</v>
      </c>
      <c r="J42" s="3967">
        <v>8.0000000000000002E-3</v>
      </c>
      <c r="K42" s="3964">
        <f t="shared" si="9"/>
        <v>101.4334935198187</v>
      </c>
      <c r="L42" s="3968">
        <v>0.19</v>
      </c>
      <c r="M42" s="3968">
        <v>8.0000000000000002E-3</v>
      </c>
      <c r="N42" s="3969">
        <f t="shared" si="10"/>
        <v>16.285257504</v>
      </c>
      <c r="O42" s="1823">
        <f t="shared" si="11"/>
        <v>117.7187510238187</v>
      </c>
      <c r="P42" s="1824">
        <f t="shared" si="12"/>
        <v>23.496756691380977</v>
      </c>
      <c r="S42" s="1798"/>
      <c r="T42" s="1798"/>
      <c r="X42" s="1798"/>
      <c r="Y42" s="1798"/>
      <c r="AA42" s="1798"/>
      <c r="AC42" s="1798"/>
    </row>
    <row r="43" spans="1:29" x14ac:dyDescent="0.25">
      <c r="A43" s="1799" t="s">
        <v>933</v>
      </c>
      <c r="B43" s="3963">
        <f>'HST77'!E56</f>
        <v>625</v>
      </c>
      <c r="C43" s="3964">
        <f t="shared" si="2"/>
        <v>62500</v>
      </c>
      <c r="D43" s="3968">
        <v>20</v>
      </c>
      <c r="E43" s="3966">
        <f t="shared" si="3"/>
        <v>12500</v>
      </c>
      <c r="F43" s="3960">
        <v>0.35</v>
      </c>
      <c r="G43" s="3965">
        <v>1</v>
      </c>
      <c r="H43" s="3966">
        <f>'NIR faktorer'!D106</f>
        <v>919.89896253602308</v>
      </c>
      <c r="I43" s="3964">
        <f t="shared" si="7"/>
        <v>7.359191700288184E-2</v>
      </c>
      <c r="J43" s="3967">
        <v>1.9E-2</v>
      </c>
      <c r="K43" s="3964">
        <f t="shared" si="9"/>
        <v>6.1173281008645528</v>
      </c>
      <c r="L43" s="3968">
        <v>0.2</v>
      </c>
      <c r="M43" s="3968">
        <v>1.4E-2</v>
      </c>
      <c r="N43" s="3969">
        <f t="shared" si="10"/>
        <v>12.25</v>
      </c>
      <c r="O43" s="1823">
        <f t="shared" si="11"/>
        <v>18.367328100864555</v>
      </c>
      <c r="P43" s="1824">
        <f t="shared" si="12"/>
        <v>52.478080288184444</v>
      </c>
      <c r="S43" s="1798"/>
      <c r="T43" s="1798"/>
      <c r="X43" s="1798"/>
      <c r="Y43" s="1798"/>
      <c r="AA43" s="1798"/>
      <c r="AC43" s="1798"/>
    </row>
    <row r="44" spans="1:29" x14ac:dyDescent="0.25">
      <c r="A44" s="1799" t="s">
        <v>932</v>
      </c>
      <c r="B44" s="3963">
        <f>'HST77'!E60</f>
        <v>182.6</v>
      </c>
      <c r="C44" s="3964">
        <f t="shared" si="2"/>
        <v>18260</v>
      </c>
      <c r="D44" s="3965">
        <f>Fodermiddeltabel!L140</f>
        <v>32.1</v>
      </c>
      <c r="E44" s="3966">
        <f t="shared" ref="E44:E47" si="13">C44*D44%</f>
        <v>5861.46</v>
      </c>
      <c r="F44" s="3960">
        <v>16.689999999999998</v>
      </c>
      <c r="G44" s="3965">
        <v>1</v>
      </c>
      <c r="H44" s="3966">
        <f>'NIR faktorer'!D107</f>
        <v>1213.2965132277213</v>
      </c>
      <c r="I44" s="3964">
        <f t="shared" si="7"/>
        <v>0.20699561427148208</v>
      </c>
      <c r="J44" s="3967">
        <v>7.0000000000000001E-3</v>
      </c>
      <c r="K44" s="3964">
        <f t="shared" si="9"/>
        <v>141.74943164039468</v>
      </c>
      <c r="L44" s="3968">
        <v>0.22</v>
      </c>
      <c r="M44" s="3968">
        <v>1.4E-2</v>
      </c>
      <c r="N44" s="3969">
        <f t="shared" si="10"/>
        <v>301.30952359199995</v>
      </c>
      <c r="O44" s="1823">
        <f t="shared" si="11"/>
        <v>443.05895523239462</v>
      </c>
      <c r="P44" s="1824">
        <f t="shared" si="12"/>
        <v>26.546372392594048</v>
      </c>
      <c r="S44" s="1798"/>
      <c r="T44" s="1798"/>
      <c r="X44" s="1798"/>
      <c r="Y44" s="1798"/>
      <c r="AA44" s="1798"/>
      <c r="AC44" s="1798"/>
    </row>
    <row r="45" spans="1:29" x14ac:dyDescent="0.25">
      <c r="A45" s="1799" t="s">
        <v>931</v>
      </c>
      <c r="B45" s="3963">
        <f>'HST77'!E61</f>
        <v>380.2</v>
      </c>
      <c r="C45" s="3964">
        <f t="shared" si="2"/>
        <v>38020</v>
      </c>
      <c r="D45" s="3968">
        <v>17.5</v>
      </c>
      <c r="E45" s="3966">
        <f t="shared" si="13"/>
        <v>6653.5</v>
      </c>
      <c r="F45" s="3960">
        <v>724.94</v>
      </c>
      <c r="G45" s="3965">
        <v>0.5</v>
      </c>
      <c r="H45" s="3966">
        <f>'NIR faktorer'!D108</f>
        <v>2218.6366702451737</v>
      </c>
      <c r="I45" s="3964">
        <f t="shared" si="7"/>
        <v>0.33345407232962709</v>
      </c>
      <c r="J45" s="3967">
        <v>2.5000000000000001E-2</v>
      </c>
      <c r="K45" s="3964">
        <f t="shared" si="9"/>
        <v>40209.461693188408</v>
      </c>
      <c r="L45" s="3968">
        <v>0.8</v>
      </c>
      <c r="M45" s="3968">
        <v>1.6E-2</v>
      </c>
      <c r="N45" s="3969">
        <f t="shared" si="10"/>
        <v>30869.685056000002</v>
      </c>
      <c r="O45" s="1823">
        <f t="shared" si="11"/>
        <v>71079.14674918841</v>
      </c>
      <c r="P45" s="1824">
        <f t="shared" si="12"/>
        <v>98.048316756129339</v>
      </c>
      <c r="S45" s="1798"/>
      <c r="T45" s="1798"/>
      <c r="X45" s="1798"/>
      <c r="Y45" s="1798"/>
      <c r="AA45" s="1798"/>
      <c r="AC45" s="1798"/>
    </row>
    <row r="46" spans="1:29" x14ac:dyDescent="0.25">
      <c r="A46" s="1799" t="s">
        <v>930</v>
      </c>
      <c r="B46" s="3963">
        <f>'HST77'!E62</f>
        <v>173.2</v>
      </c>
      <c r="C46" s="3964">
        <f t="shared" si="2"/>
        <v>17320</v>
      </c>
      <c r="D46" s="3968">
        <v>17.5</v>
      </c>
      <c r="E46" s="3966">
        <f t="shared" si="13"/>
        <v>3031</v>
      </c>
      <c r="F46" s="3960">
        <v>497.95000000000005</v>
      </c>
      <c r="G46" s="3965">
        <f>1/99999</f>
        <v>1.000010000100001E-5</v>
      </c>
      <c r="H46" s="3966">
        <f>'NIR faktorer'!D109</f>
        <v>1264.0002445252212</v>
      </c>
      <c r="I46" s="3964">
        <f t="shared" si="7"/>
        <v>0.41702416513534185</v>
      </c>
      <c r="J46" s="3967">
        <v>2.5000000000000001E-2</v>
      </c>
      <c r="K46" s="3964">
        <f t="shared" si="9"/>
        <v>15735.22304403335</v>
      </c>
      <c r="L46" s="3968">
        <v>0.8</v>
      </c>
      <c r="M46" s="3968">
        <v>1.6E-2</v>
      </c>
      <c r="N46" s="3969">
        <f t="shared" si="10"/>
        <v>0.19319059750597509</v>
      </c>
      <c r="O46" s="1823">
        <f t="shared" si="11"/>
        <v>15735.416234630855</v>
      </c>
      <c r="P46" s="1824">
        <f t="shared" si="12"/>
        <v>31.600394085010247</v>
      </c>
      <c r="S46" s="1798"/>
      <c r="T46" s="1798"/>
      <c r="X46" s="1798"/>
      <c r="Y46" s="1798"/>
      <c r="AA46" s="1798"/>
      <c r="AC46" s="1798"/>
    </row>
    <row r="47" spans="1:29" ht="15.75" thickBot="1" x14ac:dyDescent="0.3">
      <c r="A47" s="1802" t="s">
        <v>929</v>
      </c>
      <c r="B47" s="1827">
        <v>35.9</v>
      </c>
      <c r="C47" s="3973">
        <f t="shared" si="2"/>
        <v>3590</v>
      </c>
      <c r="D47" s="3974">
        <f>Fodermiddeltabel!L203</f>
        <v>92.5</v>
      </c>
      <c r="E47" s="3975">
        <f t="shared" si="13"/>
        <v>3320.75</v>
      </c>
      <c r="F47" s="3976">
        <v>1.91</v>
      </c>
      <c r="G47" s="3974">
        <v>1</v>
      </c>
      <c r="H47" s="3975">
        <f>'NIR faktorer'!D110</f>
        <v>3368.129173892265</v>
      </c>
      <c r="I47" s="3973">
        <f t="shared" si="7"/>
        <v>1.0142676124045065</v>
      </c>
      <c r="J47" s="3977">
        <v>6.0000000000000001E-3</v>
      </c>
      <c r="K47" s="3973">
        <f t="shared" si="9"/>
        <v>38.598760332805355</v>
      </c>
      <c r="L47" s="3978">
        <v>0.23</v>
      </c>
      <c r="M47" s="3978">
        <v>8.9999999999999993E-3</v>
      </c>
      <c r="N47" s="3979">
        <f t="shared" si="10"/>
        <v>13.129249274999998</v>
      </c>
      <c r="O47" s="1828">
        <f t="shared" si="11"/>
        <v>51.728009607805355</v>
      </c>
      <c r="P47" s="1824">
        <f t="shared" si="12"/>
        <v>27.082727543353592</v>
      </c>
      <c r="S47" s="1798"/>
      <c r="T47" s="1798"/>
      <c r="X47" s="1798"/>
      <c r="Y47" s="1798"/>
      <c r="AA47" s="1798"/>
      <c r="AC47" s="1798"/>
    </row>
    <row r="48" spans="1:29" ht="15.75" thickBot="1" x14ac:dyDescent="0.3">
      <c r="A48" s="876" t="s">
        <v>2065</v>
      </c>
      <c r="B48" s="1829"/>
      <c r="C48" s="1790"/>
      <c r="D48" s="1790"/>
      <c r="E48" s="1790"/>
      <c r="F48" s="1790"/>
      <c r="G48" s="1790"/>
      <c r="H48" s="1790"/>
      <c r="I48" s="1790"/>
      <c r="J48" s="1790"/>
      <c r="K48" s="1790"/>
      <c r="L48" s="1790"/>
      <c r="M48" s="1790"/>
      <c r="N48" s="1790"/>
      <c r="O48" s="1830">
        <f>SUM(O31:O47)</f>
        <v>117948.21142199055</v>
      </c>
      <c r="P48" s="1831"/>
      <c r="AC48" s="1798"/>
    </row>
    <row r="49" spans="1:29" ht="19.5" thickBot="1" x14ac:dyDescent="0.35">
      <c r="A49" s="876" t="s">
        <v>4807</v>
      </c>
      <c r="B49" s="1829"/>
      <c r="C49" s="1790"/>
      <c r="D49" s="1790"/>
      <c r="E49" s="1790"/>
      <c r="F49" s="1790"/>
      <c r="G49" s="1790"/>
      <c r="H49" s="1790"/>
      <c r="I49" s="1790"/>
      <c r="J49" s="1790"/>
      <c r="K49" s="1790"/>
      <c r="L49" s="1790"/>
      <c r="M49" s="1790"/>
      <c r="N49" s="1790"/>
      <c r="O49" s="1823">
        <f>(SUM($F$31:$F$37))*'HST77'!E50*100</f>
        <v>2553811.2000000002</v>
      </c>
      <c r="P49" s="1832"/>
      <c r="S49" s="1833"/>
      <c r="AA49" s="1798"/>
      <c r="AC49" s="1798"/>
    </row>
    <row r="50" spans="1:29" ht="15.75" thickBot="1" x14ac:dyDescent="0.3">
      <c r="A50" s="876" t="s">
        <v>2064</v>
      </c>
      <c r="B50" s="1829"/>
      <c r="C50" s="1790"/>
      <c r="D50" s="1790"/>
      <c r="E50" s="1790"/>
      <c r="F50" s="1790"/>
      <c r="G50" s="1790"/>
      <c r="H50" s="1790"/>
      <c r="I50" s="1790"/>
      <c r="J50" s="1790"/>
      <c r="K50" s="1790"/>
      <c r="L50" s="1790"/>
      <c r="M50" s="1790"/>
      <c r="N50" s="1790"/>
      <c r="O50" s="1823">
        <f>O49*0.85*0.033/6.25</f>
        <v>11461.504665600001</v>
      </c>
      <c r="P50" s="1832"/>
      <c r="AA50" s="1794"/>
      <c r="AC50" s="1798"/>
    </row>
    <row r="51" spans="1:29" ht="15.75" thickBot="1" x14ac:dyDescent="0.3">
      <c r="A51" s="876" t="s">
        <v>2063</v>
      </c>
      <c r="B51" s="1834"/>
      <c r="C51" s="1835"/>
      <c r="D51" s="1835"/>
      <c r="E51" s="1835"/>
      <c r="F51" s="1835"/>
      <c r="G51" s="1835"/>
      <c r="H51" s="1835"/>
      <c r="I51" s="1835"/>
      <c r="J51" s="1835"/>
      <c r="K51" s="1835"/>
      <c r="L51" s="1835"/>
      <c r="M51" s="1835"/>
      <c r="N51" s="1835"/>
      <c r="O51" s="1836">
        <f>O48-O50</f>
        <v>106486.70675639054</v>
      </c>
      <c r="P51" s="1837"/>
      <c r="AA51" s="1798"/>
      <c r="AC51" s="1798"/>
    </row>
    <row r="52" spans="1:29" x14ac:dyDescent="0.25">
      <c r="B52" s="907"/>
      <c r="C52" s="907"/>
      <c r="D52" s="907"/>
      <c r="E52" s="907"/>
      <c r="F52" s="907"/>
      <c r="G52" s="907"/>
      <c r="H52" s="907"/>
      <c r="I52" s="907"/>
      <c r="J52" s="907"/>
      <c r="L52" s="907"/>
      <c r="M52" s="907"/>
      <c r="N52" s="907"/>
      <c r="P52" s="907"/>
      <c r="Q52" s="907"/>
      <c r="R52" s="907"/>
      <c r="S52" s="907"/>
      <c r="T52" s="907"/>
      <c r="X52" s="907"/>
      <c r="Y52" s="907"/>
      <c r="Z52" s="907"/>
      <c r="AA52" s="907"/>
    </row>
    <row r="53" spans="1:29" x14ac:dyDescent="0.25">
      <c r="A53" s="907"/>
      <c r="B53" s="907"/>
      <c r="C53" s="907"/>
      <c r="D53" s="907"/>
      <c r="E53" s="907"/>
      <c r="F53" s="907"/>
      <c r="G53" s="907"/>
      <c r="H53" s="907"/>
      <c r="I53" s="907"/>
      <c r="J53" s="907"/>
      <c r="L53" s="907"/>
      <c r="M53" s="907"/>
      <c r="N53" s="907"/>
      <c r="P53" s="907"/>
      <c r="Q53" s="907"/>
      <c r="R53" s="907"/>
      <c r="S53" s="907"/>
      <c r="T53" s="907"/>
      <c r="X53" s="907"/>
      <c r="Y53" s="907"/>
      <c r="Z53" s="907"/>
      <c r="AA53" s="907"/>
    </row>
    <row r="54" spans="1:29" s="849" customFormat="1" ht="108.75" customHeight="1" x14ac:dyDescent="0.2">
      <c r="A54" s="849" t="s">
        <v>2062</v>
      </c>
      <c r="B54" s="848" t="s">
        <v>2061</v>
      </c>
      <c r="D54" s="1753" t="s">
        <v>4219</v>
      </c>
      <c r="F54" s="850" t="s">
        <v>5230</v>
      </c>
      <c r="G54" s="851"/>
      <c r="H54" s="850" t="str">
        <f>'NIR faktorer'!D112</f>
        <v>NIR Annex 3D-20 2022 (2018)</v>
      </c>
      <c r="K54" s="851"/>
      <c r="L54" s="850" t="s">
        <v>2060</v>
      </c>
      <c r="M54" s="850" t="s">
        <v>2060</v>
      </c>
      <c r="N54" s="850" t="s">
        <v>2060</v>
      </c>
      <c r="O54" s="850" t="s">
        <v>2059</v>
      </c>
      <c r="P54" s="851"/>
      <c r="X54" s="851"/>
      <c r="AA54" s="906"/>
    </row>
    <row r="57" spans="1:29" ht="15.75" thickBot="1" x14ac:dyDescent="0.3">
      <c r="A57" s="871" t="s">
        <v>2058</v>
      </c>
      <c r="B57" s="863"/>
      <c r="C57" s="863"/>
      <c r="D57" s="886"/>
      <c r="E57" s="886"/>
    </row>
    <row r="58" spans="1:29" s="847" customFormat="1" ht="40.5" customHeight="1" thickBot="1" x14ac:dyDescent="0.3">
      <c r="A58" s="650" t="s">
        <v>928</v>
      </c>
      <c r="B58" s="649" t="s">
        <v>927</v>
      </c>
      <c r="C58" s="649" t="s">
        <v>4769</v>
      </c>
      <c r="D58" s="649" t="s">
        <v>4809</v>
      </c>
      <c r="E58" s="649" t="s">
        <v>926</v>
      </c>
      <c r="F58" s="648" t="s">
        <v>4810</v>
      </c>
      <c r="G58" s="892"/>
      <c r="I58" s="892"/>
    </row>
    <row r="59" spans="1:29" ht="15.75" customHeight="1" x14ac:dyDescent="0.25">
      <c r="A59" s="1838" t="s">
        <v>925</v>
      </c>
      <c r="B59" s="1804" t="s">
        <v>923</v>
      </c>
      <c r="C59" s="3960">
        <v>188.07</v>
      </c>
      <c r="D59" s="1804">
        <v>160.5</v>
      </c>
      <c r="E59" s="1804" t="str">
        <f>'NIR faktorer'!D115</f>
        <v>18</v>
      </c>
      <c r="F59" s="1839">
        <f t="shared" ref="F59:F68" si="14">C59*D59*E59/365</f>
        <v>1488.5869315068492</v>
      </c>
      <c r="G59" s="1794"/>
      <c r="I59" s="1794"/>
    </row>
    <row r="60" spans="1:29" ht="15.75" customHeight="1" x14ac:dyDescent="0.25">
      <c r="A60" s="1840" t="s">
        <v>925</v>
      </c>
      <c r="B60" s="1800" t="s">
        <v>921</v>
      </c>
      <c r="C60" s="3960">
        <v>0</v>
      </c>
      <c r="D60" s="1800">
        <v>130.5</v>
      </c>
      <c r="E60" s="1804" t="str">
        <f>'NIR faktorer'!D116</f>
        <v>18</v>
      </c>
      <c r="F60" s="1841">
        <f t="shared" si="14"/>
        <v>0</v>
      </c>
      <c r="G60" s="1794"/>
      <c r="I60" s="1794"/>
    </row>
    <row r="61" spans="1:29" x14ac:dyDescent="0.25">
      <c r="A61" s="1840" t="s">
        <v>924</v>
      </c>
      <c r="B61" s="1800" t="s">
        <v>923</v>
      </c>
      <c r="C61" s="3960">
        <v>0</v>
      </c>
      <c r="D61" s="1800">
        <v>50.4</v>
      </c>
      <c r="E61" s="1804">
        <f>'NIR faktorer'!D117</f>
        <v>131.85454545454544</v>
      </c>
      <c r="F61" s="1841">
        <f t="shared" si="14"/>
        <v>0</v>
      </c>
      <c r="G61" s="1794"/>
      <c r="I61" s="1794"/>
    </row>
    <row r="62" spans="1:29" x14ac:dyDescent="0.25">
      <c r="A62" s="1840" t="s">
        <v>924</v>
      </c>
      <c r="B62" s="1800" t="s">
        <v>921</v>
      </c>
      <c r="C62" s="3960">
        <v>0</v>
      </c>
      <c r="D62" s="1800">
        <v>37.9</v>
      </c>
      <c r="E62" s="1804">
        <f>'NIR faktorer'!D118</f>
        <v>131.85454545454544</v>
      </c>
      <c r="F62" s="1841">
        <f t="shared" si="14"/>
        <v>0</v>
      </c>
      <c r="G62" s="1794"/>
      <c r="I62" s="1794"/>
    </row>
    <row r="63" spans="1:29" x14ac:dyDescent="0.25">
      <c r="A63" s="1840" t="s">
        <v>922</v>
      </c>
      <c r="B63" s="1800" t="s">
        <v>923</v>
      </c>
      <c r="C63" s="3960">
        <v>0</v>
      </c>
      <c r="D63" s="1800">
        <v>26.7</v>
      </c>
      <c r="E63" s="1804" t="str">
        <f>'NIR faktorer'!D119</f>
        <v>224</v>
      </c>
      <c r="F63" s="1841">
        <f t="shared" si="14"/>
        <v>0</v>
      </c>
      <c r="G63" s="1794"/>
      <c r="I63" s="1794"/>
    </row>
    <row r="64" spans="1:29" x14ac:dyDescent="0.25">
      <c r="A64" s="1840" t="s">
        <v>922</v>
      </c>
      <c r="B64" s="1800" t="s">
        <v>921</v>
      </c>
      <c r="C64" s="3960">
        <v>0</v>
      </c>
      <c r="D64" s="1800">
        <v>20.100000000000001</v>
      </c>
      <c r="E64" s="1804" t="str">
        <f>'NIR faktorer'!D120</f>
        <v>224</v>
      </c>
      <c r="F64" s="1841">
        <f t="shared" si="14"/>
        <v>0</v>
      </c>
      <c r="G64" s="1794"/>
      <c r="I64" s="1794"/>
    </row>
    <row r="65" spans="1:9" x14ac:dyDescent="0.25">
      <c r="A65" s="1840" t="s">
        <v>912</v>
      </c>
      <c r="B65" s="1800" t="s">
        <v>920</v>
      </c>
      <c r="C65" s="3960">
        <v>0</v>
      </c>
      <c r="D65" s="1800">
        <v>12.56</v>
      </c>
      <c r="E65" s="1804" t="str">
        <f>'NIR faktorer'!D121</f>
        <v>18</v>
      </c>
      <c r="F65" s="1841">
        <f t="shared" si="14"/>
        <v>0</v>
      </c>
      <c r="G65" s="1794"/>
      <c r="I65" s="1794"/>
    </row>
    <row r="66" spans="1:9" x14ac:dyDescent="0.25">
      <c r="A66" s="1840" t="s">
        <v>912</v>
      </c>
      <c r="B66" s="1800" t="s">
        <v>919</v>
      </c>
      <c r="C66" s="3960">
        <v>0</v>
      </c>
      <c r="D66" s="1800">
        <v>9.11</v>
      </c>
      <c r="E66" s="1804" t="str">
        <f>'NIR faktorer'!D122</f>
        <v>18</v>
      </c>
      <c r="F66" s="1841">
        <f t="shared" si="14"/>
        <v>0</v>
      </c>
      <c r="G66" s="1794"/>
      <c r="I66" s="1794"/>
    </row>
    <row r="67" spans="1:9" x14ac:dyDescent="0.25">
      <c r="A67" s="1840" t="s">
        <v>912</v>
      </c>
      <c r="B67" s="1800" t="s">
        <v>918</v>
      </c>
      <c r="C67" s="3960">
        <v>0</v>
      </c>
      <c r="D67" s="1800">
        <v>18.399999999999999</v>
      </c>
      <c r="E67" s="1804" t="str">
        <f>'NIR faktorer'!D123</f>
        <v>18</v>
      </c>
      <c r="F67" s="1841">
        <f t="shared" si="14"/>
        <v>0</v>
      </c>
      <c r="G67" s="1794"/>
      <c r="I67" s="1794"/>
    </row>
    <row r="68" spans="1:9" x14ac:dyDescent="0.25">
      <c r="A68" s="1840" t="s">
        <v>912</v>
      </c>
      <c r="B68" s="1800" t="s">
        <v>917</v>
      </c>
      <c r="C68" s="3960">
        <v>0</v>
      </c>
      <c r="D68" s="1800">
        <v>23.5</v>
      </c>
      <c r="E68" s="1804" t="str">
        <f>'NIR faktorer'!D124</f>
        <v>18</v>
      </c>
      <c r="F68" s="1841">
        <f t="shared" si="14"/>
        <v>0</v>
      </c>
      <c r="G68" s="1794"/>
      <c r="I68" s="1794"/>
    </row>
    <row r="69" spans="1:9" x14ac:dyDescent="0.25">
      <c r="A69" s="1840" t="s">
        <v>912</v>
      </c>
      <c r="B69" s="1800" t="s">
        <v>916</v>
      </c>
      <c r="C69" s="3960">
        <v>9.8699999999999992</v>
      </c>
      <c r="D69" s="1800" t="s">
        <v>799</v>
      </c>
      <c r="E69" s="1804" t="str">
        <f>'NIR faktorer'!D125</f>
        <v>18</v>
      </c>
      <c r="F69" s="1841">
        <v>0</v>
      </c>
      <c r="G69" s="1794"/>
      <c r="I69" s="1794"/>
    </row>
    <row r="70" spans="1:9" x14ac:dyDescent="0.25">
      <c r="A70" s="1840" t="s">
        <v>912</v>
      </c>
      <c r="B70" s="1800" t="s">
        <v>915</v>
      </c>
      <c r="C70" s="3960">
        <v>1.07</v>
      </c>
      <c r="D70" s="1800" t="s">
        <v>799</v>
      </c>
      <c r="E70" s="1804" t="str">
        <f>'NIR faktorer'!D126</f>
        <v>18</v>
      </c>
      <c r="F70" s="1841">
        <v>0</v>
      </c>
      <c r="G70" s="1794"/>
      <c r="I70" s="1794"/>
    </row>
    <row r="71" spans="1:9" x14ac:dyDescent="0.25">
      <c r="A71" s="1840" t="s">
        <v>912</v>
      </c>
      <c r="B71" s="1800" t="s">
        <v>914</v>
      </c>
      <c r="C71" s="3960">
        <v>0</v>
      </c>
      <c r="D71" s="1800">
        <v>43.6</v>
      </c>
      <c r="E71" s="1804" t="str">
        <f>'NIR faktorer'!D127</f>
        <v>18</v>
      </c>
      <c r="F71" s="1841">
        <f t="shared" ref="F71:F82" si="15">C71*D71*E71/365</f>
        <v>0</v>
      </c>
      <c r="G71" s="1794"/>
      <c r="I71" s="1794"/>
    </row>
    <row r="72" spans="1:9" x14ac:dyDescent="0.25">
      <c r="A72" s="1840" t="s">
        <v>912</v>
      </c>
      <c r="B72" s="1800" t="s">
        <v>913</v>
      </c>
      <c r="C72" s="3960">
        <v>343.81</v>
      </c>
      <c r="D72" s="1800">
        <v>63.6</v>
      </c>
      <c r="E72" s="1804" t="str">
        <f>'NIR faktorer'!D128</f>
        <v>18</v>
      </c>
      <c r="F72" s="1841">
        <f t="shared" si="15"/>
        <v>1078.3388712328767</v>
      </c>
      <c r="G72" s="1794"/>
      <c r="I72" s="1794"/>
    </row>
    <row r="73" spans="1:9" x14ac:dyDescent="0.25">
      <c r="A73" s="1840" t="s">
        <v>912</v>
      </c>
      <c r="B73" s="1800" t="s">
        <v>911</v>
      </c>
      <c r="C73" s="3960">
        <v>282.88</v>
      </c>
      <c r="D73" s="1800">
        <v>72.400000000000006</v>
      </c>
      <c r="E73" s="1804" t="str">
        <f>'NIR faktorer'!D129</f>
        <v>18</v>
      </c>
      <c r="F73" s="1841">
        <f t="shared" si="15"/>
        <v>1009.9978520547945</v>
      </c>
      <c r="G73" s="1794"/>
      <c r="I73" s="1794"/>
    </row>
    <row r="74" spans="1:9" x14ac:dyDescent="0.25">
      <c r="A74" s="1840" t="s">
        <v>910</v>
      </c>
      <c r="B74" s="1800"/>
      <c r="C74" s="3960">
        <v>403.89</v>
      </c>
      <c r="D74" s="1800">
        <f>(16.9)</f>
        <v>16.899999999999999</v>
      </c>
      <c r="E74" s="1804" t="str">
        <f>'NIR faktorer'!D130</f>
        <v>195</v>
      </c>
      <c r="F74" s="1841">
        <f t="shared" si="15"/>
        <v>3646.6287534246571</v>
      </c>
      <c r="G74" s="1794"/>
      <c r="I74" s="1794"/>
    </row>
    <row r="75" spans="1:9" x14ac:dyDescent="0.25">
      <c r="A75" s="1840" t="s">
        <v>909</v>
      </c>
      <c r="B75" s="1800"/>
      <c r="C75" s="3960">
        <v>0</v>
      </c>
      <c r="D75" s="1800">
        <f>(16.4+17+18.5)/3</f>
        <v>17.3</v>
      </c>
      <c r="E75" s="1804" t="str">
        <f>'NIR faktorer'!D131</f>
        <v>195</v>
      </c>
      <c r="F75" s="1841">
        <f t="shared" si="15"/>
        <v>0</v>
      </c>
      <c r="G75" s="1794"/>
      <c r="I75" s="1794"/>
    </row>
    <row r="76" spans="1:9" x14ac:dyDescent="0.25">
      <c r="A76" s="1840" t="s">
        <v>907</v>
      </c>
      <c r="B76" s="1800" t="s">
        <v>342</v>
      </c>
      <c r="C76" s="3960">
        <v>0</v>
      </c>
      <c r="D76" s="1800">
        <v>24.2</v>
      </c>
      <c r="E76" s="1804" t="str">
        <f>'NIR faktorer'!D132</f>
        <v>0</v>
      </c>
      <c r="F76" s="1841">
        <f t="shared" si="15"/>
        <v>0</v>
      </c>
      <c r="G76" s="1794"/>
      <c r="I76" s="1794"/>
    </row>
    <row r="77" spans="1:9" x14ac:dyDescent="0.25">
      <c r="A77" s="1840" t="s">
        <v>907</v>
      </c>
      <c r="B77" s="1800" t="s">
        <v>908</v>
      </c>
      <c r="C77" s="3960">
        <v>27.54</v>
      </c>
      <c r="D77" s="1800">
        <v>2.94</v>
      </c>
      <c r="E77" s="1804" t="str">
        <f>'NIR faktorer'!D133</f>
        <v>0</v>
      </c>
      <c r="F77" s="1841">
        <f t="shared" si="15"/>
        <v>0</v>
      </c>
      <c r="G77" s="1794"/>
      <c r="I77" s="1794"/>
    </row>
    <row r="78" spans="1:9" x14ac:dyDescent="0.25">
      <c r="A78" s="1840" t="s">
        <v>907</v>
      </c>
      <c r="B78" s="1800" t="s">
        <v>906</v>
      </c>
      <c r="C78" s="3960">
        <v>27.54</v>
      </c>
      <c r="D78" s="1800">
        <v>0.47</v>
      </c>
      <c r="E78" s="1804" t="str">
        <f>'NIR faktorer'!D134</f>
        <v>0</v>
      </c>
      <c r="F78" s="1841">
        <f t="shared" si="15"/>
        <v>0</v>
      </c>
      <c r="G78" s="1794"/>
      <c r="I78" s="1794"/>
    </row>
    <row r="79" spans="1:9" x14ac:dyDescent="0.25">
      <c r="A79" s="1842" t="s">
        <v>334</v>
      </c>
      <c r="B79" s="1800" t="s">
        <v>905</v>
      </c>
      <c r="C79" s="3960">
        <v>15.21</v>
      </c>
      <c r="D79" s="1800">
        <v>23</v>
      </c>
      <c r="E79" s="1804" t="str">
        <f>'NIR faktorer'!D135</f>
        <v>265</v>
      </c>
      <c r="F79" s="1841">
        <f t="shared" si="15"/>
        <v>253.98616438356169</v>
      </c>
      <c r="G79" s="1794"/>
      <c r="I79" s="1794"/>
    </row>
    <row r="80" spans="1:9" x14ac:dyDescent="0.25">
      <c r="A80" s="1842" t="s">
        <v>334</v>
      </c>
      <c r="B80" s="1800" t="s">
        <v>904</v>
      </c>
      <c r="C80" s="3960">
        <v>277.02</v>
      </c>
      <c r="D80" s="1800">
        <v>38</v>
      </c>
      <c r="E80" s="1804" t="str">
        <f>'NIR faktorer'!D136</f>
        <v>265</v>
      </c>
      <c r="F80" s="1841">
        <f t="shared" si="15"/>
        <v>7642.7161643835598</v>
      </c>
      <c r="G80" s="1794"/>
      <c r="I80" s="1794"/>
    </row>
    <row r="81" spans="1:15" x14ac:dyDescent="0.25">
      <c r="A81" s="1842" t="s">
        <v>334</v>
      </c>
      <c r="B81" s="1800" t="s">
        <v>903</v>
      </c>
      <c r="C81" s="3960">
        <v>26.5</v>
      </c>
      <c r="D81" s="1800">
        <v>50</v>
      </c>
      <c r="E81" s="1804" t="str">
        <f>'NIR faktorer'!D137</f>
        <v>265</v>
      </c>
      <c r="F81" s="1841">
        <f t="shared" si="15"/>
        <v>961.98630136986299</v>
      </c>
      <c r="G81" s="1794"/>
      <c r="I81" s="1794"/>
    </row>
    <row r="82" spans="1:15" ht="15.75" thickBot="1" x14ac:dyDescent="0.3">
      <c r="A82" s="1842" t="s">
        <v>334</v>
      </c>
      <c r="B82" s="1806" t="s">
        <v>902</v>
      </c>
      <c r="C82" s="3960">
        <v>0</v>
      </c>
      <c r="D82" s="1806">
        <v>63</v>
      </c>
      <c r="E82" s="1804" t="str">
        <f>'NIR faktorer'!D138</f>
        <v>265</v>
      </c>
      <c r="F82" s="1841">
        <f t="shared" si="15"/>
        <v>0</v>
      </c>
      <c r="G82" s="1794"/>
      <c r="I82" s="1794"/>
    </row>
    <row r="83" spans="1:15" ht="15.75" thickBot="1" x14ac:dyDescent="0.3">
      <c r="A83" s="900" t="s">
        <v>228</v>
      </c>
      <c r="B83" s="1843"/>
      <c r="C83" s="1844">
        <f>SUM(C59:C82)</f>
        <v>1603.3999999999999</v>
      </c>
      <c r="D83" s="1844"/>
      <c r="E83" s="1845"/>
      <c r="F83" s="1846">
        <f>SUM(F59:F82)</f>
        <v>16082.241038356162</v>
      </c>
      <c r="G83" s="1794"/>
      <c r="I83" s="1794"/>
      <c r="L83" s="1847"/>
    </row>
    <row r="86" spans="1:15" ht="30" customHeight="1" x14ac:dyDescent="0.25">
      <c r="A86" s="849" t="s">
        <v>651</v>
      </c>
      <c r="B86" s="897"/>
      <c r="C86" s="848" t="s">
        <v>1845</v>
      </c>
      <c r="D86" s="850" t="s">
        <v>2057</v>
      </c>
      <c r="E86" s="850" t="s">
        <v>2056</v>
      </c>
      <c r="G86" s="896"/>
    </row>
    <row r="89" spans="1:15" ht="15.75" thickBot="1" x14ac:dyDescent="0.3">
      <c r="A89" s="871" t="s">
        <v>2055</v>
      </c>
      <c r="B89" s="863"/>
      <c r="C89" s="863"/>
      <c r="D89" s="886"/>
      <c r="E89" s="886"/>
      <c r="G89" s="895"/>
    </row>
    <row r="90" spans="1:15" s="847" customFormat="1" ht="64.5" customHeight="1" thickBot="1" x14ac:dyDescent="0.3">
      <c r="A90" s="641" t="s">
        <v>900</v>
      </c>
      <c r="B90" s="649" t="s">
        <v>4811</v>
      </c>
      <c r="C90" s="649" t="s">
        <v>4812</v>
      </c>
      <c r="D90" s="649" t="s">
        <v>4813</v>
      </c>
      <c r="E90" s="649" t="s">
        <v>4815</v>
      </c>
      <c r="F90" s="648" t="s">
        <v>4814</v>
      </c>
      <c r="G90" s="869"/>
      <c r="I90" s="869"/>
      <c r="O90" s="877"/>
    </row>
    <row r="91" spans="1:15" ht="39.6" customHeight="1" thickBot="1" x14ac:dyDescent="0.3">
      <c r="A91" s="3980" t="s">
        <v>898</v>
      </c>
      <c r="B91" s="3981">
        <v>2142.87</v>
      </c>
      <c r="C91" s="1844">
        <f>'NIR faktorer'!D144</f>
        <v>2690053.1375623001</v>
      </c>
      <c r="D91" s="1844">
        <f>'NIR faktorer'!D149</f>
        <v>28857783.930888601</v>
      </c>
      <c r="E91" s="1860">
        <f>D91/C91</f>
        <v>10.727588807795538</v>
      </c>
      <c r="F91" s="1846">
        <f>B91*E91</f>
        <v>22987.828228560822</v>
      </c>
      <c r="G91" s="1850"/>
      <c r="I91" s="1794"/>
    </row>
    <row r="94" spans="1:15" ht="60.95" customHeight="1" x14ac:dyDescent="0.25">
      <c r="A94" s="849" t="s">
        <v>651</v>
      </c>
      <c r="B94" s="872" t="s">
        <v>1845</v>
      </c>
      <c r="C94" s="872" t="str">
        <f>'NIR faktorer'!D146</f>
        <v>NIR CRF tabel 4B 2020 (2018)</v>
      </c>
      <c r="D94" s="1669" t="str">
        <f>'NIR faktorer'!D151</f>
        <v>NIR CRF tabel 3D 2020 (2018)</v>
      </c>
    </row>
    <row r="97" spans="1:15" ht="15.75" thickBot="1" x14ac:dyDescent="0.3">
      <c r="A97" s="871" t="s">
        <v>2053</v>
      </c>
      <c r="B97" s="863"/>
      <c r="C97" s="863"/>
      <c r="D97" s="886"/>
      <c r="E97" s="886"/>
    </row>
    <row r="98" spans="1:15" s="847" customFormat="1" ht="54" customHeight="1" thickBot="1" x14ac:dyDescent="0.3">
      <c r="A98" s="650" t="s">
        <v>2052</v>
      </c>
      <c r="B98" s="649" t="s">
        <v>4816</v>
      </c>
      <c r="C98" s="649" t="s">
        <v>4818</v>
      </c>
      <c r="D98" s="648" t="s">
        <v>4817</v>
      </c>
      <c r="E98" s="892"/>
      <c r="G98" s="892"/>
    </row>
    <row r="99" spans="1:15" ht="29.1" customHeight="1" x14ac:dyDescent="0.25">
      <c r="A99" s="1851" t="s">
        <v>2051</v>
      </c>
      <c r="B99" s="3960">
        <v>0</v>
      </c>
      <c r="C99" s="1804">
        <v>13</v>
      </c>
      <c r="D99" s="1839">
        <f t="shared" ref="D99:D104" si="16">B99*C99</f>
        <v>0</v>
      </c>
      <c r="M99" s="877"/>
    </row>
    <row r="100" spans="1:15" ht="29.1" customHeight="1" x14ac:dyDescent="0.25">
      <c r="A100" s="1852" t="s">
        <v>2050</v>
      </c>
      <c r="B100" s="3960">
        <v>0</v>
      </c>
      <c r="C100" s="1822">
        <v>6.5</v>
      </c>
      <c r="D100" s="1841">
        <f t="shared" si="16"/>
        <v>0</v>
      </c>
      <c r="G100" s="1810"/>
      <c r="M100" s="877"/>
    </row>
    <row r="101" spans="1:15" ht="29.1" customHeight="1" x14ac:dyDescent="0.25">
      <c r="A101" s="1852" t="s">
        <v>2049</v>
      </c>
      <c r="B101" s="3960">
        <v>0</v>
      </c>
      <c r="C101" s="1822">
        <v>8.1999999999999993</v>
      </c>
      <c r="D101" s="1841">
        <f t="shared" si="16"/>
        <v>0</v>
      </c>
      <c r="E101" s="877"/>
      <c r="O101" s="877"/>
    </row>
    <row r="102" spans="1:15" ht="29.1" customHeight="1" x14ac:dyDescent="0.25">
      <c r="A102" s="1852" t="s">
        <v>2048</v>
      </c>
      <c r="B102" s="3960">
        <v>0.2475</v>
      </c>
      <c r="C102" s="1822">
        <v>4.0999999999999996</v>
      </c>
      <c r="D102" s="1841">
        <f t="shared" si="16"/>
        <v>1.0147499999999998</v>
      </c>
      <c r="G102" s="1810"/>
      <c r="O102" s="877"/>
    </row>
    <row r="103" spans="1:15" ht="29.1" customHeight="1" x14ac:dyDescent="0.25">
      <c r="A103" s="1852" t="s">
        <v>2047</v>
      </c>
      <c r="B103" s="3960">
        <v>0</v>
      </c>
      <c r="C103" s="1822">
        <v>1.6</v>
      </c>
      <c r="D103" s="1841">
        <f t="shared" si="16"/>
        <v>0</v>
      </c>
      <c r="G103" s="1810"/>
      <c r="O103" s="877"/>
    </row>
    <row r="104" spans="1:15" ht="29.1" customHeight="1" thickBot="1" x14ac:dyDescent="0.3">
      <c r="A104" s="1848" t="s">
        <v>2046</v>
      </c>
      <c r="B104" s="3960">
        <v>0</v>
      </c>
      <c r="C104" s="1849">
        <v>0.8</v>
      </c>
      <c r="D104" s="1841">
        <f t="shared" si="16"/>
        <v>0</v>
      </c>
      <c r="G104" s="1810"/>
      <c r="O104" s="877"/>
    </row>
    <row r="105" spans="1:15" ht="18.75" thickBot="1" x14ac:dyDescent="0.4">
      <c r="A105" s="876" t="s">
        <v>5315</v>
      </c>
      <c r="B105" s="1844">
        <f>SUM(B99:B101)</f>
        <v>0</v>
      </c>
      <c r="C105" s="1844"/>
      <c r="D105" s="1846">
        <f>SUM(D99:D104)</f>
        <v>1.0147499999999998</v>
      </c>
    </row>
    <row r="106" spans="1:15" x14ac:dyDescent="0.25">
      <c r="A106" s="1809"/>
      <c r="B106" s="1810"/>
      <c r="C106" s="1810"/>
      <c r="E106" s="1810"/>
      <c r="F106" s="1810"/>
      <c r="G106" s="1810"/>
    </row>
    <row r="108" spans="1:15" ht="30" customHeight="1" x14ac:dyDescent="0.25">
      <c r="A108" s="849" t="s">
        <v>651</v>
      </c>
      <c r="B108" s="864" t="s">
        <v>1845</v>
      </c>
      <c r="C108" s="850" t="s">
        <v>2045</v>
      </c>
      <c r="E108" s="1853"/>
    </row>
    <row r="110" spans="1:15" ht="15.75" thickBot="1" x14ac:dyDescent="0.3">
      <c r="A110" s="871" t="s">
        <v>2044</v>
      </c>
      <c r="B110" s="863"/>
      <c r="C110" s="863"/>
      <c r="D110" s="886"/>
      <c r="E110" s="886"/>
    </row>
    <row r="111" spans="1:15" s="847" customFormat="1" ht="61.5" customHeight="1" thickBot="1" x14ac:dyDescent="0.3">
      <c r="A111" s="650" t="s">
        <v>897</v>
      </c>
      <c r="B111" s="649" t="s">
        <v>4820</v>
      </c>
      <c r="C111" s="885" t="s">
        <v>4819</v>
      </c>
      <c r="D111" s="648" t="s">
        <v>4821</v>
      </c>
      <c r="E111" s="884"/>
      <c r="G111" s="869"/>
    </row>
    <row r="112" spans="1:15" ht="28.5" customHeight="1" x14ac:dyDescent="0.25">
      <c r="A112" s="1851" t="s">
        <v>895</v>
      </c>
      <c r="B112" s="3960">
        <v>306897.49000000005</v>
      </c>
      <c r="C112" s="1854">
        <f>'NIR faktorer'!D154</f>
        <v>5.183311592651E-2</v>
      </c>
      <c r="D112" s="1839">
        <f>B112*C112</f>
        <v>15907.453176724946</v>
      </c>
      <c r="E112" s="1798"/>
      <c r="G112" s="1794"/>
    </row>
    <row r="113" spans="1:14" ht="28.5" customHeight="1" x14ac:dyDescent="0.25">
      <c r="A113" s="1855" t="s">
        <v>894</v>
      </c>
      <c r="B113" s="3960">
        <v>182856.46103835612</v>
      </c>
      <c r="C113" s="1856">
        <f>'NIR faktorer'!D155</f>
        <v>9.2872287052539998E-2</v>
      </c>
      <c r="D113" s="1841">
        <f>B113*C113</f>
        <v>16982.297738965804</v>
      </c>
      <c r="E113" s="1798"/>
      <c r="G113" s="1794"/>
    </row>
    <row r="114" spans="1:14" ht="28.5" customHeight="1" thickBot="1" x14ac:dyDescent="0.3">
      <c r="A114" s="1857" t="s">
        <v>893</v>
      </c>
      <c r="B114" s="3960">
        <v>117948.21142199055</v>
      </c>
      <c r="C114" s="1856">
        <f>'NIR faktorer'!D156</f>
        <v>3.0226327198308901E-2</v>
      </c>
      <c r="D114" s="1858">
        <f>B114*C114</f>
        <v>3565.1412308964013</v>
      </c>
      <c r="E114" s="1798"/>
      <c r="F114" s="1859"/>
      <c r="G114" s="1794"/>
      <c r="N114" s="877"/>
    </row>
    <row r="115" spans="1:14" ht="15.75" thickBot="1" x14ac:dyDescent="0.3">
      <c r="A115" s="876" t="s">
        <v>2043</v>
      </c>
      <c r="B115" s="1844">
        <f>SUM(B112:C114)</f>
        <v>607702.33739207697</v>
      </c>
      <c r="C115" s="1860"/>
      <c r="D115" s="1846">
        <f>SUM(D112:D114)</f>
        <v>36454.892146587146</v>
      </c>
      <c r="E115" s="1798"/>
      <c r="G115" s="1794"/>
    </row>
    <row r="116" spans="1:14" x14ac:dyDescent="0.25">
      <c r="A116" s="1809"/>
      <c r="B116" s="1810"/>
      <c r="C116" s="1810"/>
      <c r="D116" s="1810"/>
      <c r="E116" s="1810"/>
      <c r="F116" s="1810"/>
      <c r="G116" s="1810"/>
    </row>
    <row r="118" spans="1:14" ht="32.25" customHeight="1" x14ac:dyDescent="0.25">
      <c r="A118" s="849" t="s">
        <v>2042</v>
      </c>
      <c r="B118" s="872" t="s">
        <v>1845</v>
      </c>
      <c r="C118" s="848" t="str">
        <f>'NIR faktorer'!D158</f>
        <v>NIR CRF tabel 3D 2020 (2018)</v>
      </c>
      <c r="E118" s="863"/>
    </row>
    <row r="120" spans="1:14" ht="15.75" thickBot="1" x14ac:dyDescent="0.3">
      <c r="A120" s="871" t="s">
        <v>2041</v>
      </c>
      <c r="B120" s="863"/>
      <c r="C120" s="863"/>
      <c r="D120" s="863"/>
      <c r="E120" s="863"/>
      <c r="F120" s="863"/>
      <c r="G120" s="863"/>
    </row>
    <row r="121" spans="1:14" s="847" customFormat="1" ht="45.75" customHeight="1" thickBot="1" x14ac:dyDescent="0.3">
      <c r="A121" s="870"/>
      <c r="B121" s="649" t="s">
        <v>4822</v>
      </c>
      <c r="C121" s="649" t="s">
        <v>4823</v>
      </c>
      <c r="D121" s="648" t="s">
        <v>4824</v>
      </c>
      <c r="E121" s="869"/>
      <c r="G121" s="869"/>
    </row>
    <row r="122" spans="1:14" ht="15.75" thickBot="1" x14ac:dyDescent="0.3">
      <c r="A122" s="3982" t="s">
        <v>891</v>
      </c>
      <c r="B122" s="3981">
        <v>473671.71000000008</v>
      </c>
      <c r="C122" s="3983">
        <f>'NIR faktorer'!D161</f>
        <v>0.2547823244638</v>
      </c>
      <c r="D122" s="1846">
        <f>B122*C122</f>
        <v>120683.179306543</v>
      </c>
      <c r="E122" s="1801"/>
      <c r="G122" s="1794"/>
    </row>
    <row r="123" spans="1:14" x14ac:dyDescent="0.25">
      <c r="A123" s="1809"/>
      <c r="B123" s="1810"/>
      <c r="D123" s="1810"/>
    </row>
    <row r="125" spans="1:14" x14ac:dyDescent="0.25">
      <c r="A125" s="849" t="s">
        <v>651</v>
      </c>
      <c r="B125" s="864" t="s">
        <v>2040</v>
      </c>
      <c r="C125" s="848" t="str">
        <f>'NIR faktorer'!D163</f>
        <v>NIR CRF tabel 3D 2020 (2018)</v>
      </c>
      <c r="E125" s="863"/>
    </row>
  </sheetData>
  <hyperlinks>
    <hyperlink ref="A2" location="Index!A1" display="Til index" xr:uid="{AF083830-F051-4294-B897-2D98F8A84B06}"/>
  </hyperlinks>
  <pageMargins left="0.7" right="0.7" top="0.75" bottom="0.75" header="0.3" footer="0.3"/>
  <pageSetup paperSize="9" orientation="portrait" horizontalDpi="4294967293" verticalDpi="4294967293" r:id="rId1"/>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219F1-EC66-4EF0-A8D2-C4528F8022B5}">
  <sheetPr codeName="Ark138">
    <tabColor theme="4" tint="0.59999389629810485"/>
  </sheetPr>
  <dimension ref="A1:O29"/>
  <sheetViews>
    <sheetView zoomScale="90" zoomScaleNormal="90" workbookViewId="0">
      <selection activeCell="G16" sqref="G16"/>
    </sheetView>
  </sheetViews>
  <sheetFormatPr defaultColWidth="8.7109375" defaultRowHeight="15" x14ac:dyDescent="0.25"/>
  <cols>
    <col min="1" max="2" width="13.5703125" style="977" customWidth="1"/>
    <col min="3" max="3" width="13" style="977" customWidth="1"/>
    <col min="4" max="4" width="10.7109375" style="977" customWidth="1"/>
    <col min="5" max="5" width="11.28515625" style="977" customWidth="1"/>
    <col min="6" max="6" width="13.28515625" style="977" customWidth="1"/>
    <col min="7" max="7" width="26.5703125" style="977" customWidth="1"/>
    <col min="8" max="8" width="27.28515625" style="977" customWidth="1"/>
    <col min="9" max="10" width="11.7109375" style="977" customWidth="1"/>
    <col min="11" max="12" width="11.85546875" style="977" customWidth="1"/>
    <col min="13" max="13" width="16.42578125" style="977" customWidth="1"/>
    <col min="14" max="16384" width="8.7109375" style="977"/>
  </cols>
  <sheetData>
    <row r="1" spans="1:15" s="990" customFormat="1" ht="44.45" customHeight="1" x14ac:dyDescent="0.45">
      <c r="C1" s="991" t="s">
        <v>2215</v>
      </c>
    </row>
    <row r="2" spans="1:15" ht="21" x14ac:dyDescent="0.35">
      <c r="A2" s="1740" t="s">
        <v>4206</v>
      </c>
    </row>
    <row r="3" spans="1:15" x14ac:dyDescent="0.25">
      <c r="A3" s="3678"/>
      <c r="B3" s="977" t="str">
        <f>'K1 2018'!B3</f>
        <v>Tal fra register</v>
      </c>
    </row>
    <row r="4" spans="1:15" x14ac:dyDescent="0.25">
      <c r="A4" s="1483"/>
      <c r="B4" s="977" t="str">
        <f>'K1 2018'!B4</f>
        <v>Overført til regnskab</v>
      </c>
    </row>
    <row r="6" spans="1:15" ht="18.75" thickBot="1" x14ac:dyDescent="0.3">
      <c r="A6" s="985" t="s">
        <v>2214</v>
      </c>
      <c r="B6" s="984"/>
    </row>
    <row r="7" spans="1:15" ht="45" customHeight="1" thickBot="1" x14ac:dyDescent="0.3">
      <c r="A7" s="989"/>
      <c r="B7" s="5224" t="s">
        <v>4825</v>
      </c>
      <c r="C7" s="5225"/>
      <c r="D7" s="5226" t="s">
        <v>4828</v>
      </c>
      <c r="E7" s="5226"/>
      <c r="F7" s="1760" t="s">
        <v>4832</v>
      </c>
      <c r="G7" s="1760" t="s">
        <v>4829</v>
      </c>
      <c r="H7" s="1760" t="s">
        <v>4835</v>
      </c>
      <c r="I7" s="5225" t="s">
        <v>4941</v>
      </c>
      <c r="J7" s="5227"/>
      <c r="K7" s="5226" t="s">
        <v>4966</v>
      </c>
      <c r="L7" s="5226"/>
      <c r="M7" s="983" t="s">
        <v>4965</v>
      </c>
      <c r="N7" s="988"/>
    </row>
    <row r="8" spans="1:15" ht="15.75" thickBot="1" x14ac:dyDescent="0.3">
      <c r="B8" s="5228">
        <f>('NIR faktorer'!D168)</f>
        <v>545300000</v>
      </c>
      <c r="C8" s="5229"/>
      <c r="D8" s="5230">
        <f>'NIR faktorer'!D175</f>
        <v>2779014.7687200001</v>
      </c>
      <c r="E8" s="5230"/>
      <c r="F8" s="3984">
        <f>B8/D8</f>
        <v>196.22061967348318</v>
      </c>
      <c r="G8" s="3981">
        <v>2142.87</v>
      </c>
      <c r="H8" s="3985">
        <f>G8*F8/1000</f>
        <v>420.47527927971691</v>
      </c>
      <c r="I8" s="5231">
        <f>'NIR faktorer'!D180</f>
        <v>0.11999200719353</v>
      </c>
      <c r="J8" s="5232"/>
      <c r="K8" s="5229">
        <f>H8*I8</f>
        <v>50.453672736033326</v>
      </c>
      <c r="L8" s="5233"/>
      <c r="M8" s="3986">
        <f>K8*44/12</f>
        <v>184.9968000321222</v>
      </c>
      <c r="O8" s="987"/>
    </row>
    <row r="11" spans="1:15" s="978" customFormat="1" ht="46.5" customHeight="1" x14ac:dyDescent="0.2">
      <c r="A11" s="981" t="s">
        <v>2042</v>
      </c>
      <c r="B11" s="5238" t="str">
        <f>'NIR faktorer'!D172</f>
        <v>NIR CRF tabel 3G-I 2020 (2018)</v>
      </c>
      <c r="C11" s="5239"/>
      <c r="D11" s="5238" t="str">
        <f>'NIR faktorer'!D177</f>
        <v>NIR tabel 4B 2020 (2018)</v>
      </c>
      <c r="E11" s="5240"/>
      <c r="F11" s="986"/>
      <c r="G11" s="1761" t="s">
        <v>1845</v>
      </c>
      <c r="H11" s="986"/>
      <c r="I11" s="5241" t="str">
        <f>'NIR faktorer'!D184</f>
        <v>NIR CRF tabel 3G-I 2020 (2018)</v>
      </c>
      <c r="J11" s="5241"/>
      <c r="K11" s="981"/>
      <c r="L11" s="981"/>
      <c r="M11" s="982"/>
    </row>
    <row r="12" spans="1:15" s="978" customFormat="1" ht="15" customHeight="1" x14ac:dyDescent="0.2">
      <c r="D12" s="980"/>
      <c r="E12" s="980"/>
      <c r="M12" s="979"/>
    </row>
    <row r="13" spans="1:15" s="978" customFormat="1" ht="15" customHeight="1" x14ac:dyDescent="0.2">
      <c r="D13" s="980"/>
      <c r="E13" s="980"/>
      <c r="M13" s="979"/>
    </row>
    <row r="14" spans="1:15" s="978" customFormat="1" ht="15" customHeight="1" thickBot="1" x14ac:dyDescent="0.3">
      <c r="A14" s="985" t="s">
        <v>2213</v>
      </c>
      <c r="B14" s="984"/>
      <c r="C14" s="977"/>
      <c r="D14" s="977"/>
      <c r="E14" s="977"/>
      <c r="M14" s="979"/>
    </row>
    <row r="15" spans="1:15" s="978" customFormat="1" ht="48" customHeight="1" thickBot="1" x14ac:dyDescent="0.25">
      <c r="B15" s="5224" t="s">
        <v>4826</v>
      </c>
      <c r="C15" s="5225"/>
      <c r="D15" s="5226" t="s">
        <v>4830</v>
      </c>
      <c r="E15" s="5226"/>
      <c r="F15" s="1760" t="s">
        <v>4833</v>
      </c>
      <c r="G15" s="1760" t="s">
        <v>4831</v>
      </c>
      <c r="H15" s="1760" t="s">
        <v>4836</v>
      </c>
      <c r="I15" s="5225" t="s">
        <v>4940</v>
      </c>
      <c r="J15" s="5227"/>
      <c r="K15" s="5226" t="s">
        <v>4966</v>
      </c>
      <c r="L15" s="5226"/>
      <c r="M15" s="983" t="s">
        <v>4965</v>
      </c>
    </row>
    <row r="16" spans="1:15" s="978" customFormat="1" ht="15" customHeight="1" thickBot="1" x14ac:dyDescent="0.3">
      <c r="B16" s="5228">
        <f>'NIR faktorer'!D169</f>
        <v>1900000</v>
      </c>
      <c r="C16" s="5230"/>
      <c r="D16" s="5230">
        <f>'NIR faktorer'!D175</f>
        <v>2779014.7687200001</v>
      </c>
      <c r="E16" s="5230"/>
      <c r="F16" s="3984">
        <f>B16/D16</f>
        <v>0.68369553893199719</v>
      </c>
      <c r="G16" s="3981">
        <v>2142.87</v>
      </c>
      <c r="H16" s="3985">
        <f>G16*F16/1000</f>
        <v>1.4650706595112089</v>
      </c>
      <c r="I16" s="5231">
        <f>'NIR faktorer'!D181</f>
        <v>0.2</v>
      </c>
      <c r="J16" s="5232"/>
      <c r="K16" s="5229">
        <f>H16*I16</f>
        <v>0.29301413190224179</v>
      </c>
      <c r="L16" s="5233"/>
      <c r="M16" s="3987">
        <f>K16*44/12</f>
        <v>1.0743851503082198</v>
      </c>
    </row>
    <row r="17" spans="1:13" s="978" customFormat="1" ht="15" customHeight="1" x14ac:dyDescent="0.25">
      <c r="B17" s="977"/>
      <c r="C17" s="977"/>
      <c r="D17" s="977"/>
      <c r="E17" s="977"/>
      <c r="F17" s="977"/>
      <c r="G17" s="977"/>
      <c r="H17" s="977"/>
      <c r="I17" s="977"/>
      <c r="J17" s="977"/>
      <c r="K17" s="977"/>
      <c r="L17" s="977"/>
      <c r="M17" s="977"/>
    </row>
    <row r="18" spans="1:13" s="978" customFormat="1" ht="15" customHeight="1" x14ac:dyDescent="0.25">
      <c r="B18" s="977"/>
      <c r="C18" s="977"/>
      <c r="D18" s="977"/>
      <c r="E18" s="977"/>
      <c r="F18" s="977"/>
      <c r="G18" s="977"/>
      <c r="H18" s="977"/>
      <c r="I18" s="977"/>
      <c r="J18" s="977"/>
      <c r="K18" s="977"/>
      <c r="L18" s="977"/>
      <c r="M18" s="977"/>
    </row>
    <row r="19" spans="1:13" s="981" customFormat="1" ht="39.950000000000003" customHeight="1" x14ac:dyDescent="0.2">
      <c r="A19" s="981" t="s">
        <v>2042</v>
      </c>
      <c r="B19" s="5234" t="str">
        <f>B11</f>
        <v>NIR CRF tabel 3G-I 2020 (2018)</v>
      </c>
      <c r="C19" s="5235"/>
      <c r="D19" s="5234" t="str">
        <f>'NIR faktorer'!D177</f>
        <v>NIR tabel 4B 2020 (2018)</v>
      </c>
      <c r="E19" s="5236"/>
      <c r="G19" s="1759" t="s">
        <v>1845</v>
      </c>
      <c r="I19" s="5237" t="str">
        <f>'NIR faktorer'!D184</f>
        <v>NIR CRF tabel 3G-I 2020 (2018)</v>
      </c>
      <c r="J19" s="5237"/>
      <c r="M19" s="982"/>
    </row>
    <row r="20" spans="1:13" s="978" customFormat="1" ht="15" customHeight="1" x14ac:dyDescent="0.2">
      <c r="D20" s="980"/>
      <c r="E20" s="980"/>
      <c r="M20" s="979"/>
    </row>
    <row r="21" spans="1:13" s="978" customFormat="1" ht="15" customHeight="1" x14ac:dyDescent="0.2">
      <c r="D21" s="980"/>
      <c r="E21" s="980"/>
      <c r="M21" s="979"/>
    </row>
    <row r="22" spans="1:13" s="978" customFormat="1" ht="18.75" thickBot="1" x14ac:dyDescent="0.3">
      <c r="A22" s="985" t="s">
        <v>2212</v>
      </c>
      <c r="B22" s="984"/>
      <c r="C22" s="984"/>
      <c r="D22" s="984"/>
      <c r="E22" s="980"/>
      <c r="M22" s="979"/>
    </row>
    <row r="23" spans="1:13" s="978" customFormat="1" ht="48" customHeight="1" thickBot="1" x14ac:dyDescent="0.25">
      <c r="B23" s="5224" t="s">
        <v>4827</v>
      </c>
      <c r="C23" s="5225"/>
      <c r="D23" s="5226" t="s">
        <v>4830</v>
      </c>
      <c r="E23" s="5226"/>
      <c r="F23" s="1760" t="s">
        <v>4834</v>
      </c>
      <c r="G23" s="1760" t="s">
        <v>4829</v>
      </c>
      <c r="H23" s="1760" t="s">
        <v>4837</v>
      </c>
      <c r="I23" s="5225" t="s">
        <v>4942</v>
      </c>
      <c r="J23" s="5227"/>
      <c r="K23" s="5226" t="s">
        <v>4966</v>
      </c>
      <c r="L23" s="5226"/>
      <c r="M23" s="983" t="s">
        <v>4965</v>
      </c>
    </row>
    <row r="24" spans="1:13" s="978" customFormat="1" ht="15" customHeight="1" thickBot="1" x14ac:dyDescent="0.3">
      <c r="B24" s="5228">
        <f>'NIR faktorer'!D170</f>
        <v>26100000</v>
      </c>
      <c r="C24" s="5230"/>
      <c r="D24" s="5230">
        <f>'NIR faktorer'!D175</f>
        <v>2779014.7687200001</v>
      </c>
      <c r="E24" s="5230"/>
      <c r="F24" s="3984">
        <f>B24/D24</f>
        <v>9.3918176663816464</v>
      </c>
      <c r="G24" s="3981">
        <v>2142.87</v>
      </c>
      <c r="H24" s="3985">
        <f>G24*F24/1000</f>
        <v>20.12544432275924</v>
      </c>
      <c r="I24" s="5231">
        <f>'NIR faktorer'!D182</f>
        <v>0.03</v>
      </c>
      <c r="J24" s="5232"/>
      <c r="K24" s="5229">
        <f>H24*I24</f>
        <v>0.60376332968277713</v>
      </c>
      <c r="L24" s="5233"/>
      <c r="M24" s="3987">
        <f>K24*(44/12)</f>
        <v>2.2137988755035161</v>
      </c>
    </row>
    <row r="25" spans="1:13" s="978" customFormat="1" ht="15" customHeight="1" x14ac:dyDescent="0.25">
      <c r="B25" s="977"/>
      <c r="C25" s="977"/>
      <c r="D25" s="977"/>
      <c r="E25" s="977"/>
      <c r="F25" s="977"/>
      <c r="G25" s="977"/>
      <c r="H25" s="977"/>
      <c r="I25" s="977"/>
      <c r="J25" s="977"/>
      <c r="K25" s="977"/>
      <c r="L25" s="977"/>
      <c r="M25" s="977"/>
    </row>
    <row r="26" spans="1:13" s="978" customFormat="1" ht="15" customHeight="1" x14ac:dyDescent="0.25">
      <c r="B26" s="977"/>
      <c r="C26" s="977"/>
      <c r="D26" s="977"/>
      <c r="E26" s="977"/>
      <c r="F26" s="977"/>
      <c r="G26" s="977"/>
      <c r="H26" s="977"/>
      <c r="I26" s="977"/>
      <c r="J26" s="977"/>
      <c r="K26" s="977"/>
      <c r="L26" s="977"/>
      <c r="M26" s="977"/>
    </row>
    <row r="27" spans="1:13" s="981" customFormat="1" ht="45.6" customHeight="1" x14ac:dyDescent="0.2">
      <c r="A27" s="981" t="s">
        <v>2042</v>
      </c>
      <c r="B27" s="5237" t="str">
        <f>B11</f>
        <v>NIR CRF tabel 3G-I 2020 (2018)</v>
      </c>
      <c r="C27" s="5237"/>
      <c r="D27" s="5242" t="str">
        <f>'NIR faktorer'!D177</f>
        <v>NIR tabel 4B 2020 (2018)</v>
      </c>
      <c r="E27" s="5242"/>
      <c r="G27" s="1759" t="s">
        <v>1845</v>
      </c>
      <c r="I27" s="5237" t="str">
        <f>'NIR faktorer'!D184</f>
        <v>NIR CRF tabel 3G-I 2020 (2018)</v>
      </c>
      <c r="J27" s="5237"/>
      <c r="M27" s="982"/>
    </row>
    <row r="28" spans="1:13" s="978" customFormat="1" ht="15" customHeight="1" x14ac:dyDescent="0.2">
      <c r="D28" s="980"/>
      <c r="E28" s="980"/>
      <c r="M28" s="979"/>
    </row>
    <row r="29" spans="1:13" s="978" customFormat="1" ht="15" customHeight="1" x14ac:dyDescent="0.2">
      <c r="D29" s="980"/>
      <c r="E29" s="980"/>
      <c r="M29" s="979"/>
    </row>
  </sheetData>
  <mergeCells count="33">
    <mergeCell ref="B27:C27"/>
    <mergeCell ref="D27:E27"/>
    <mergeCell ref="I27:J27"/>
    <mergeCell ref="B23:C23"/>
    <mergeCell ref="D23:E23"/>
    <mergeCell ref="I23:J23"/>
    <mergeCell ref="K23:L23"/>
    <mergeCell ref="B24:C24"/>
    <mergeCell ref="D24:E24"/>
    <mergeCell ref="I24:J24"/>
    <mergeCell ref="K24:L24"/>
    <mergeCell ref="K15:L15"/>
    <mergeCell ref="B16:C16"/>
    <mergeCell ref="D16:E16"/>
    <mergeCell ref="I16:J16"/>
    <mergeCell ref="K16:L16"/>
    <mergeCell ref="B19:C19"/>
    <mergeCell ref="D19:E19"/>
    <mergeCell ref="I19:J19"/>
    <mergeCell ref="B11:C11"/>
    <mergeCell ref="D11:E11"/>
    <mergeCell ref="I11:J11"/>
    <mergeCell ref="B15:C15"/>
    <mergeCell ref="D15:E15"/>
    <mergeCell ref="I15:J15"/>
    <mergeCell ref="B7:C7"/>
    <mergeCell ref="D7:E7"/>
    <mergeCell ref="I7:J7"/>
    <mergeCell ref="K7:L7"/>
    <mergeCell ref="B8:C8"/>
    <mergeCell ref="D8:E8"/>
    <mergeCell ref="I8:J8"/>
    <mergeCell ref="K8:L8"/>
  </mergeCells>
  <hyperlinks>
    <hyperlink ref="A2" location="Index!A1" display="Til index" xr:uid="{6584F75E-1ABC-44FF-822C-F266FDF848B5}"/>
  </hyperlinks>
  <pageMargins left="0.7" right="0.7" top="0.75" bottom="0.75" header="0.3" footer="0.3"/>
  <pageSetup paperSize="9" orientation="portrait" horizontalDpi="4294967293" vertic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BCD7A-1FA5-48ED-ACBF-4D50148CE8BA}">
  <sheetPr codeName="Ark87">
    <tabColor theme="4" tint="-0.249977111117893"/>
  </sheetPr>
  <dimension ref="A1:O29"/>
  <sheetViews>
    <sheetView zoomScale="90" zoomScaleNormal="90" workbookViewId="0">
      <selection activeCell="G24" sqref="G24"/>
    </sheetView>
  </sheetViews>
  <sheetFormatPr defaultColWidth="8.7109375" defaultRowHeight="15" x14ac:dyDescent="0.25"/>
  <cols>
    <col min="1" max="2" width="13.5703125" style="1862" customWidth="1"/>
    <col min="3" max="3" width="13" style="1862" customWidth="1"/>
    <col min="4" max="4" width="10.7109375" style="1862" customWidth="1"/>
    <col min="5" max="5" width="11.28515625" style="1862" customWidth="1"/>
    <col min="6" max="6" width="13.28515625" style="1862" customWidth="1"/>
    <col min="7" max="7" width="26.5703125" style="1862" customWidth="1"/>
    <col min="8" max="8" width="27.28515625" style="1862" customWidth="1"/>
    <col min="9" max="10" width="11.7109375" style="1862" customWidth="1"/>
    <col min="11" max="11" width="8.7109375" style="1862"/>
    <col min="12" max="12" width="15.7109375" style="1862" customWidth="1"/>
    <col min="13" max="13" width="16.42578125" style="1862" customWidth="1"/>
    <col min="14" max="16384" width="8.7109375" style="1862"/>
  </cols>
  <sheetData>
    <row r="1" spans="1:15" s="1861" customFormat="1" ht="44.45" customHeight="1" x14ac:dyDescent="0.45">
      <c r="C1" s="991" t="s">
        <v>2215</v>
      </c>
    </row>
    <row r="2" spans="1:15" ht="21" x14ac:dyDescent="0.35">
      <c r="A2" s="1740" t="s">
        <v>4206</v>
      </c>
    </row>
    <row r="3" spans="1:15" x14ac:dyDescent="0.25">
      <c r="A3" s="3679"/>
      <c r="B3" s="1862" t="str">
        <f>'K1 2018G'!B3</f>
        <v>Tal fra register</v>
      </c>
    </row>
    <row r="4" spans="1:15" x14ac:dyDescent="0.25">
      <c r="A4" s="1863"/>
      <c r="B4" s="1862" t="str">
        <f>'K1 2018G'!B4</f>
        <v>Overført til regnskab</v>
      </c>
    </row>
    <row r="6" spans="1:15" ht="18.75" thickBot="1" x14ac:dyDescent="0.3">
      <c r="A6" s="1864" t="s">
        <v>4255</v>
      </c>
      <c r="B6" s="1865"/>
    </row>
    <row r="7" spans="1:15" s="977" customFormat="1" ht="45" customHeight="1" thickBot="1" x14ac:dyDescent="0.3">
      <c r="A7" s="989"/>
      <c r="B7" s="5224" t="s">
        <v>4825</v>
      </c>
      <c r="C7" s="5225"/>
      <c r="D7" s="5226" t="s">
        <v>4828</v>
      </c>
      <c r="E7" s="5226"/>
      <c r="F7" s="1760" t="s">
        <v>4832</v>
      </c>
      <c r="G7" s="1760" t="s">
        <v>4829</v>
      </c>
      <c r="H7" s="1760" t="s">
        <v>4835</v>
      </c>
      <c r="I7" s="5225" t="s">
        <v>4941</v>
      </c>
      <c r="J7" s="5227"/>
      <c r="K7" s="5226" t="s">
        <v>4966</v>
      </c>
      <c r="L7" s="5226"/>
      <c r="M7" s="983" t="s">
        <v>4965</v>
      </c>
      <c r="N7" s="988"/>
    </row>
    <row r="8" spans="1:15" ht="15.75" thickBot="1" x14ac:dyDescent="0.3">
      <c r="B8" s="5245">
        <f>('NIR faktorer'!D168)</f>
        <v>545300000</v>
      </c>
      <c r="C8" s="5243"/>
      <c r="D8" s="5246">
        <f>'NIR faktorer'!D175</f>
        <v>2779014.7687200001</v>
      </c>
      <c r="E8" s="5246"/>
      <c r="F8" s="3988">
        <f>B8/D8</f>
        <v>196.22061967348318</v>
      </c>
      <c r="G8" s="3981">
        <v>2142.87</v>
      </c>
      <c r="H8" s="3989">
        <f>G8*F8/1000</f>
        <v>420.47527927971691</v>
      </c>
      <c r="I8" s="5247">
        <f>'NIR faktorer'!D180</f>
        <v>0.11999200719353</v>
      </c>
      <c r="J8" s="5248"/>
      <c r="K8" s="5243">
        <f>H8*I8</f>
        <v>50.453672736033326</v>
      </c>
      <c r="L8" s="5244"/>
      <c r="M8" s="3990">
        <f>K8*44/12</f>
        <v>184.9968000321222</v>
      </c>
      <c r="O8" s="987"/>
    </row>
    <row r="11" spans="1:15" s="978" customFormat="1" ht="46.5" customHeight="1" x14ac:dyDescent="0.2">
      <c r="A11" s="981" t="s">
        <v>2042</v>
      </c>
      <c r="B11" s="5238" t="str">
        <f>'NIR faktorer'!D172</f>
        <v>NIR CRF tabel 3G-I 2020 (2018)</v>
      </c>
      <c r="C11" s="5239"/>
      <c r="D11" s="5238" t="str">
        <f>'NIR faktorer'!D177</f>
        <v>NIR tabel 4B 2020 (2018)</v>
      </c>
      <c r="E11" s="5240"/>
      <c r="F11" s="986"/>
      <c r="G11" s="1761" t="s">
        <v>1845</v>
      </c>
      <c r="H11" s="986"/>
      <c r="I11" s="5241" t="str">
        <f>'NIR faktorer'!D184</f>
        <v>NIR CRF tabel 3G-I 2020 (2018)</v>
      </c>
      <c r="J11" s="5241"/>
      <c r="K11" s="981"/>
      <c r="L11" s="981"/>
      <c r="M11" s="982"/>
    </row>
    <row r="12" spans="1:15" s="978" customFormat="1" ht="15" customHeight="1" x14ac:dyDescent="0.2">
      <c r="D12" s="980"/>
      <c r="E12" s="980"/>
      <c r="M12" s="979"/>
    </row>
    <row r="13" spans="1:15" s="978" customFormat="1" ht="15" customHeight="1" x14ac:dyDescent="0.2">
      <c r="D13" s="980"/>
      <c r="E13" s="980"/>
      <c r="M13" s="979"/>
    </row>
    <row r="14" spans="1:15" s="978" customFormat="1" ht="15" customHeight="1" thickBot="1" x14ac:dyDescent="0.3">
      <c r="A14" s="1864" t="s">
        <v>4256</v>
      </c>
      <c r="B14" s="1865"/>
      <c r="C14" s="1862"/>
      <c r="D14" s="1862"/>
      <c r="E14" s="1862"/>
      <c r="M14" s="979"/>
    </row>
    <row r="15" spans="1:15" s="978" customFormat="1" ht="48" customHeight="1" thickBot="1" x14ac:dyDescent="0.25">
      <c r="B15" s="5224" t="s">
        <v>4826</v>
      </c>
      <c r="C15" s="5225"/>
      <c r="D15" s="5226" t="s">
        <v>4830</v>
      </c>
      <c r="E15" s="5226"/>
      <c r="F15" s="1760" t="s">
        <v>4833</v>
      </c>
      <c r="G15" s="1760" t="s">
        <v>4831</v>
      </c>
      <c r="H15" s="1760" t="s">
        <v>4836</v>
      </c>
      <c r="I15" s="5225" t="s">
        <v>4940</v>
      </c>
      <c r="J15" s="5227"/>
      <c r="K15" s="5226" t="s">
        <v>4966</v>
      </c>
      <c r="L15" s="5226"/>
      <c r="M15" s="983" t="s">
        <v>4965</v>
      </c>
    </row>
    <row r="16" spans="1:15" s="978" customFormat="1" ht="15" customHeight="1" thickBot="1" x14ac:dyDescent="0.3">
      <c r="B16" s="5245">
        <f>'NIR faktorer'!D169</f>
        <v>1900000</v>
      </c>
      <c r="C16" s="5246"/>
      <c r="D16" s="5246">
        <f>'NIR faktorer'!D175</f>
        <v>2779014.7687200001</v>
      </c>
      <c r="E16" s="5246"/>
      <c r="F16" s="3988">
        <f>B16/D16</f>
        <v>0.68369553893199719</v>
      </c>
      <c r="G16" s="3981">
        <v>2142.87</v>
      </c>
      <c r="H16" s="3989">
        <f>G16*F16/1000</f>
        <v>1.4650706595112089</v>
      </c>
      <c r="I16" s="5247">
        <f>'NIR faktorer'!D181</f>
        <v>0.2</v>
      </c>
      <c r="J16" s="5248"/>
      <c r="K16" s="5243">
        <f>H16*I16</f>
        <v>0.29301413190224179</v>
      </c>
      <c r="L16" s="5244"/>
      <c r="M16" s="3991">
        <f>K16*44/12</f>
        <v>1.0743851503082198</v>
      </c>
    </row>
    <row r="17" spans="1:13" s="978" customFormat="1" ht="15" customHeight="1" x14ac:dyDescent="0.25">
      <c r="B17" s="1862"/>
      <c r="C17" s="1862"/>
      <c r="D17" s="1862"/>
      <c r="E17" s="1862"/>
      <c r="F17" s="1862"/>
      <c r="G17" s="1862"/>
      <c r="H17" s="1862"/>
      <c r="I17" s="1862"/>
      <c r="J17" s="1862"/>
      <c r="K17" s="1862"/>
      <c r="L17" s="1862"/>
      <c r="M17" s="1862"/>
    </row>
    <row r="18" spans="1:13" s="978" customFormat="1" ht="15" customHeight="1" x14ac:dyDescent="0.25">
      <c r="B18" s="1862"/>
      <c r="C18" s="1862"/>
      <c r="D18" s="1862"/>
      <c r="E18" s="1862"/>
      <c r="F18" s="1862"/>
      <c r="G18" s="1862"/>
      <c r="H18" s="1862"/>
      <c r="I18" s="1862"/>
      <c r="J18" s="1862"/>
      <c r="K18" s="1862"/>
      <c r="L18" s="1862"/>
      <c r="M18" s="1862"/>
    </row>
    <row r="19" spans="1:13" s="981" customFormat="1" ht="39.950000000000003" customHeight="1" x14ac:dyDescent="0.2">
      <c r="A19" s="981" t="s">
        <v>2042</v>
      </c>
      <c r="B19" s="5234" t="str">
        <f>B11</f>
        <v>NIR CRF tabel 3G-I 2020 (2018)</v>
      </c>
      <c r="C19" s="5235"/>
      <c r="D19" s="5234" t="str">
        <f>'NIR faktorer'!D177</f>
        <v>NIR tabel 4B 2020 (2018)</v>
      </c>
      <c r="E19" s="5236"/>
      <c r="G19" s="1759" t="s">
        <v>1845</v>
      </c>
      <c r="I19" s="5237" t="str">
        <f>'NIR faktorer'!D184</f>
        <v>NIR CRF tabel 3G-I 2020 (2018)</v>
      </c>
      <c r="J19" s="5237"/>
      <c r="M19" s="982"/>
    </row>
    <row r="20" spans="1:13" s="978" customFormat="1" ht="15" customHeight="1" x14ac:dyDescent="0.2">
      <c r="D20" s="980"/>
      <c r="E20" s="980"/>
      <c r="M20" s="979"/>
    </row>
    <row r="21" spans="1:13" s="978" customFormat="1" ht="15" customHeight="1" x14ac:dyDescent="0.2">
      <c r="D21" s="980"/>
      <c r="E21" s="980"/>
      <c r="M21" s="979"/>
    </row>
    <row r="22" spans="1:13" s="978" customFormat="1" ht="18.75" thickBot="1" x14ac:dyDescent="0.3">
      <c r="A22" s="1864" t="s">
        <v>4257</v>
      </c>
      <c r="B22" s="1865"/>
      <c r="C22" s="1865"/>
      <c r="D22" s="980"/>
      <c r="E22" s="980"/>
      <c r="M22" s="979"/>
    </row>
    <row r="23" spans="1:13" s="978" customFormat="1" ht="48" customHeight="1" thickBot="1" x14ac:dyDescent="0.25">
      <c r="B23" s="5224" t="s">
        <v>4827</v>
      </c>
      <c r="C23" s="5225"/>
      <c r="D23" s="5226" t="s">
        <v>4830</v>
      </c>
      <c r="E23" s="5226"/>
      <c r="F23" s="1760" t="s">
        <v>4834</v>
      </c>
      <c r="G23" s="1760" t="s">
        <v>4829</v>
      </c>
      <c r="H23" s="1760" t="s">
        <v>4837</v>
      </c>
      <c r="I23" s="5225" t="s">
        <v>4942</v>
      </c>
      <c r="J23" s="5227"/>
      <c r="K23" s="5226" t="s">
        <v>4966</v>
      </c>
      <c r="L23" s="5226"/>
      <c r="M23" s="983" t="s">
        <v>4965</v>
      </c>
    </row>
    <row r="24" spans="1:13" s="978" customFormat="1" ht="15" customHeight="1" thickBot="1" x14ac:dyDescent="0.3">
      <c r="B24" s="5245">
        <f>'NIR faktorer'!D170</f>
        <v>26100000</v>
      </c>
      <c r="C24" s="5246"/>
      <c r="D24" s="5246">
        <f>'NIR faktorer'!D175</f>
        <v>2779014.7687200001</v>
      </c>
      <c r="E24" s="5246"/>
      <c r="F24" s="3988">
        <f>B24/D24</f>
        <v>9.3918176663816464</v>
      </c>
      <c r="G24" s="3981">
        <v>2142.87</v>
      </c>
      <c r="H24" s="3989">
        <f>G24*F24/1000</f>
        <v>20.12544432275924</v>
      </c>
      <c r="I24" s="5247">
        <f>'NIR faktorer'!D182</f>
        <v>0.03</v>
      </c>
      <c r="J24" s="5248"/>
      <c r="K24" s="5243">
        <f>H24*I24</f>
        <v>0.60376332968277713</v>
      </c>
      <c r="L24" s="5244"/>
      <c r="M24" s="3991">
        <f>K24*(44/12)</f>
        <v>2.2137988755035161</v>
      </c>
    </row>
    <row r="25" spans="1:13" s="978" customFormat="1" ht="15" customHeight="1" x14ac:dyDescent="0.25">
      <c r="B25" s="1862"/>
      <c r="C25" s="1862"/>
      <c r="D25" s="1862"/>
      <c r="E25" s="1862"/>
      <c r="F25" s="1862"/>
      <c r="G25" s="1862"/>
      <c r="H25" s="1862"/>
      <c r="I25" s="1862"/>
      <c r="J25" s="1862"/>
      <c r="K25" s="1862"/>
      <c r="L25" s="1862"/>
      <c r="M25" s="1862"/>
    </row>
    <row r="26" spans="1:13" s="978" customFormat="1" ht="15" customHeight="1" x14ac:dyDescent="0.25">
      <c r="B26" s="1862"/>
      <c r="C26" s="1862"/>
      <c r="D26" s="1862"/>
      <c r="E26" s="1862"/>
      <c r="F26" s="1862"/>
      <c r="G26" s="1862"/>
      <c r="H26" s="1862"/>
      <c r="I26" s="1862"/>
      <c r="J26" s="1862"/>
      <c r="K26" s="1862"/>
      <c r="L26" s="1862"/>
      <c r="M26" s="1862"/>
    </row>
    <row r="27" spans="1:13" s="981" customFormat="1" ht="45.6" customHeight="1" x14ac:dyDescent="0.2">
      <c r="A27" s="981" t="s">
        <v>2042</v>
      </c>
      <c r="B27" s="5237" t="str">
        <f>B11</f>
        <v>NIR CRF tabel 3G-I 2020 (2018)</v>
      </c>
      <c r="C27" s="5237"/>
      <c r="D27" s="5242" t="str">
        <f>'NIR faktorer'!D177</f>
        <v>NIR tabel 4B 2020 (2018)</v>
      </c>
      <c r="E27" s="5242"/>
      <c r="G27" s="1759" t="s">
        <v>1845</v>
      </c>
      <c r="I27" s="5237" t="str">
        <f>'NIR faktorer'!D184</f>
        <v>NIR CRF tabel 3G-I 2020 (2018)</v>
      </c>
      <c r="J27" s="5237"/>
      <c r="M27" s="982"/>
    </row>
    <row r="28" spans="1:13" s="978" customFormat="1" ht="15" customHeight="1" x14ac:dyDescent="0.2">
      <c r="D28" s="980"/>
      <c r="E28" s="980"/>
      <c r="M28" s="979"/>
    </row>
    <row r="29" spans="1:13" s="978" customFormat="1" ht="15" customHeight="1" x14ac:dyDescent="0.2">
      <c r="D29" s="980"/>
      <c r="E29" s="980"/>
      <c r="M29" s="979"/>
    </row>
  </sheetData>
  <mergeCells count="33">
    <mergeCell ref="I27:J27"/>
    <mergeCell ref="B27:C27"/>
    <mergeCell ref="D27:E27"/>
    <mergeCell ref="B19:C19"/>
    <mergeCell ref="D19:E19"/>
    <mergeCell ref="B24:C24"/>
    <mergeCell ref="D24:E24"/>
    <mergeCell ref="I24:J24"/>
    <mergeCell ref="B7:C7"/>
    <mergeCell ref="D7:E7"/>
    <mergeCell ref="I8:J8"/>
    <mergeCell ref="K23:L23"/>
    <mergeCell ref="B23:C23"/>
    <mergeCell ref="D23:E23"/>
    <mergeCell ref="I23:J23"/>
    <mergeCell ref="B16:C16"/>
    <mergeCell ref="I11:J11"/>
    <mergeCell ref="I15:J15"/>
    <mergeCell ref="I19:J19"/>
    <mergeCell ref="D16:E16"/>
    <mergeCell ref="D15:E15"/>
    <mergeCell ref="K7:L7"/>
    <mergeCell ref="I7:J7"/>
    <mergeCell ref="K24:L24"/>
    <mergeCell ref="B8:C8"/>
    <mergeCell ref="D8:E8"/>
    <mergeCell ref="B11:C11"/>
    <mergeCell ref="D11:E11"/>
    <mergeCell ref="B15:C15"/>
    <mergeCell ref="K15:L15"/>
    <mergeCell ref="K8:L8"/>
    <mergeCell ref="I16:J16"/>
    <mergeCell ref="K16:L16"/>
  </mergeCells>
  <hyperlinks>
    <hyperlink ref="A2" location="Index!A1" display="Til index" xr:uid="{C450E498-E8A2-40FC-8804-87D587CAE468}"/>
  </hyperlinks>
  <pageMargins left="0.7" right="0.7" top="0.75" bottom="0.75" header="0.3" footer="0.3"/>
  <pageSetup paperSize="9" orientation="portrait" horizontalDpi="4294967293" vertic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6A1CD-1E3B-4C1D-AA51-B6966419DD1E}">
  <sheetPr codeName="Ark139">
    <tabColor theme="4" tint="0.59999389629810485"/>
  </sheetPr>
  <dimension ref="A1:M19"/>
  <sheetViews>
    <sheetView workbookViewId="0">
      <selection activeCell="D7" sqref="D7"/>
    </sheetView>
  </sheetViews>
  <sheetFormatPr defaultColWidth="8.7109375" defaultRowHeight="15" x14ac:dyDescent="0.25"/>
  <cols>
    <col min="1" max="1" width="15.42578125" style="992" customWidth="1"/>
    <col min="2" max="2" width="11.7109375" style="992" customWidth="1"/>
    <col min="3" max="3" width="10.7109375" style="992" customWidth="1"/>
    <col min="4" max="4" width="17.7109375" style="992" customWidth="1"/>
    <col min="5" max="10" width="13.140625" style="992" customWidth="1"/>
    <col min="11" max="15" width="8.7109375" style="992"/>
    <col min="16" max="16" width="16.42578125" style="992" customWidth="1"/>
    <col min="17" max="16384" width="8.7109375" style="992"/>
  </cols>
  <sheetData>
    <row r="1" spans="1:13" s="1006" customFormat="1" ht="45.95" customHeight="1" x14ac:dyDescent="0.45">
      <c r="C1" s="1007" t="s">
        <v>2225</v>
      </c>
    </row>
    <row r="2" spans="1:13" ht="21" x14ac:dyDescent="0.35">
      <c r="A2" s="1740" t="s">
        <v>4206</v>
      </c>
    </row>
    <row r="3" spans="1:13" x14ac:dyDescent="0.25">
      <c r="A3" s="3678"/>
      <c r="B3" s="977" t="str">
        <f>'K1 2018'!B3</f>
        <v>Tal fra register</v>
      </c>
      <c r="C3" s="1005"/>
      <c r="D3" s="1005"/>
      <c r="E3" s="1005"/>
      <c r="F3" s="1005"/>
      <c r="G3" s="1005"/>
      <c r="H3" s="1005"/>
      <c r="I3" s="1005"/>
      <c r="J3" s="1005"/>
    </row>
    <row r="4" spans="1:13" x14ac:dyDescent="0.25">
      <c r="A4" s="1483"/>
      <c r="B4" s="977" t="str">
        <f>'K1 2018'!B4</f>
        <v>Overført til regnskab</v>
      </c>
    </row>
    <row r="5" spans="1:13" ht="15.75" thickBot="1" x14ac:dyDescent="0.3">
      <c r="E5" s="1005"/>
    </row>
    <row r="6" spans="1:13" ht="34.5" customHeight="1" thickBot="1" x14ac:dyDescent="0.3">
      <c r="B6" s="5249" t="s">
        <v>945</v>
      </c>
      <c r="C6" s="5250"/>
      <c r="D6" s="1762" t="s">
        <v>4816</v>
      </c>
      <c r="E6" s="5251" t="s">
        <v>4838</v>
      </c>
      <c r="F6" s="5251"/>
      <c r="G6" s="5251" t="s">
        <v>4839</v>
      </c>
      <c r="H6" s="5251"/>
      <c r="I6" s="5251" t="s">
        <v>4967</v>
      </c>
      <c r="J6" s="5252"/>
      <c r="M6" s="1005"/>
    </row>
    <row r="7" spans="1:13" ht="30.6" customHeight="1" thickBot="1" x14ac:dyDescent="0.3">
      <c r="B7" s="5253" t="s">
        <v>2224</v>
      </c>
      <c r="C7" s="5254"/>
      <c r="D7" s="3981">
        <v>11.67</v>
      </c>
      <c r="E7" s="5255">
        <f>AVERAGE(E15,D15,D16,E16)</f>
        <v>48</v>
      </c>
      <c r="F7" s="5255"/>
      <c r="G7" s="5255">
        <v>-733</v>
      </c>
      <c r="H7" s="5255"/>
      <c r="I7" s="5256">
        <f>((D7*E7)+(D7*G7))/1000</f>
        <v>-7.9939500000000008</v>
      </c>
      <c r="J7" s="5257"/>
      <c r="L7" s="1004"/>
    </row>
    <row r="9" spans="1:13" x14ac:dyDescent="0.25">
      <c r="D9" s="1000"/>
      <c r="E9" s="1000"/>
      <c r="F9" s="1000"/>
      <c r="G9" s="1000"/>
      <c r="H9" s="1000"/>
    </row>
    <row r="10" spans="1:13" s="1001" customFormat="1" ht="27" customHeight="1" x14ac:dyDescent="0.2">
      <c r="A10" s="993" t="s">
        <v>651</v>
      </c>
      <c r="B10" s="1003"/>
      <c r="C10" s="1003"/>
      <c r="D10" s="1002" t="s">
        <v>1845</v>
      </c>
      <c r="E10" s="5262"/>
      <c r="F10" s="5263"/>
      <c r="G10" s="5260" t="s">
        <v>2218</v>
      </c>
      <c r="H10" s="5261"/>
      <c r="I10" s="5258" t="s">
        <v>2304</v>
      </c>
      <c r="J10" s="5259"/>
    </row>
    <row r="12" spans="1:13" ht="15.75" thickBot="1" x14ac:dyDescent="0.3">
      <c r="A12" s="1000" t="s">
        <v>2223</v>
      </c>
    </row>
    <row r="13" spans="1:13" ht="34.5" customHeight="1" thickBot="1" x14ac:dyDescent="0.3">
      <c r="B13" s="5264" t="s">
        <v>945</v>
      </c>
      <c r="C13" s="5265"/>
      <c r="D13" s="5268" t="s">
        <v>4838</v>
      </c>
      <c r="E13" s="5269"/>
    </row>
    <row r="14" spans="1:13" ht="15.75" customHeight="1" thickBot="1" x14ac:dyDescent="0.3">
      <c r="B14" s="5266"/>
      <c r="C14" s="5267"/>
      <c r="D14" s="999" t="s">
        <v>2222</v>
      </c>
      <c r="E14" s="998" t="s">
        <v>2221</v>
      </c>
    </row>
    <row r="15" spans="1:13" x14ac:dyDescent="0.25">
      <c r="B15" s="5270" t="s">
        <v>2220</v>
      </c>
      <c r="C15" s="5271"/>
      <c r="D15" s="997">
        <f>0.005*1000</f>
        <v>5</v>
      </c>
      <c r="E15" s="996">
        <f>0.113*1000</f>
        <v>113</v>
      </c>
    </row>
    <row r="16" spans="1:13" ht="15.75" thickBot="1" x14ac:dyDescent="0.3">
      <c r="B16" s="5272" t="s">
        <v>2219</v>
      </c>
      <c r="C16" s="5273"/>
      <c r="D16" s="995">
        <f>0.05*1000</f>
        <v>50</v>
      </c>
      <c r="E16" s="994">
        <f>0.024*1000</f>
        <v>24</v>
      </c>
    </row>
    <row r="19" spans="1:5" ht="27" customHeight="1" x14ac:dyDescent="0.25">
      <c r="A19" s="993" t="s">
        <v>651</v>
      </c>
      <c r="D19" s="5260" t="s">
        <v>2218</v>
      </c>
      <c r="E19" s="5261"/>
    </row>
  </sheetData>
  <mergeCells count="16">
    <mergeCell ref="I10:J10"/>
    <mergeCell ref="D19:E19"/>
    <mergeCell ref="E10:F10"/>
    <mergeCell ref="G10:H10"/>
    <mergeCell ref="B13:C14"/>
    <mergeCell ref="D13:E13"/>
    <mergeCell ref="B15:C15"/>
    <mergeCell ref="B16:C16"/>
    <mergeCell ref="B6:C6"/>
    <mergeCell ref="E6:F6"/>
    <mergeCell ref="G6:H6"/>
    <mergeCell ref="I6:J6"/>
    <mergeCell ref="B7:C7"/>
    <mergeCell ref="E7:F7"/>
    <mergeCell ref="G7:H7"/>
    <mergeCell ref="I7:J7"/>
  </mergeCells>
  <hyperlinks>
    <hyperlink ref="A2" location="Index!A1" display="Til index" xr:uid="{E46919EE-14DA-4EAD-A818-9B9B1BE71B55}"/>
  </hyperlinks>
  <pageMargins left="0.7" right="0.7" top="0.75" bottom="0.75" header="0.3" footer="0.3"/>
  <pageSetup paperSize="9" orientation="portrait" horizontalDpi="4294967293" vertic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FE304-286C-4910-8528-00364627E5F3}">
  <sheetPr codeName="Ark90">
    <tabColor theme="4" tint="-0.249977111117893"/>
  </sheetPr>
  <dimension ref="A1:M19"/>
  <sheetViews>
    <sheetView workbookViewId="0">
      <selection activeCell="A2" sqref="A2"/>
    </sheetView>
  </sheetViews>
  <sheetFormatPr defaultColWidth="8.7109375" defaultRowHeight="15" x14ac:dyDescent="0.25"/>
  <cols>
    <col min="1" max="1" width="15.42578125" style="1777" customWidth="1"/>
    <col min="2" max="2" width="11.7109375" style="1777" customWidth="1"/>
    <col min="3" max="3" width="10.7109375" style="1777" customWidth="1"/>
    <col min="4" max="4" width="17.7109375" style="1777" customWidth="1"/>
    <col min="5" max="10" width="13.140625" style="1777" customWidth="1"/>
    <col min="11" max="15" width="8.7109375" style="1777"/>
    <col min="16" max="16" width="16.42578125" style="1777" customWidth="1"/>
    <col min="17" max="16384" width="8.7109375" style="1777"/>
  </cols>
  <sheetData>
    <row r="1" spans="1:13" s="1866" customFormat="1" ht="45.95" customHeight="1" x14ac:dyDescent="0.45">
      <c r="C1" s="1007" t="s">
        <v>2225</v>
      </c>
    </row>
    <row r="2" spans="1:13" ht="21" x14ac:dyDescent="0.35">
      <c r="A2" s="1740" t="s">
        <v>4206</v>
      </c>
    </row>
    <row r="3" spans="1:13" x14ac:dyDescent="0.25">
      <c r="A3" s="3679"/>
      <c r="B3" s="1862" t="str">
        <f>'K1 2018G'!B3</f>
        <v>Tal fra register</v>
      </c>
      <c r="C3" s="1005"/>
      <c r="D3" s="1005"/>
      <c r="E3" s="1005"/>
      <c r="F3" s="1005"/>
      <c r="G3" s="1005"/>
      <c r="H3" s="1005"/>
      <c r="I3" s="1005"/>
      <c r="J3" s="1005"/>
    </row>
    <row r="4" spans="1:13" x14ac:dyDescent="0.25">
      <c r="A4" s="1863"/>
      <c r="B4" s="1862" t="str">
        <f>'K1 2018G'!B4</f>
        <v>Overført til regnskab</v>
      </c>
    </row>
    <row r="5" spans="1:13" ht="15.75" thickBot="1" x14ac:dyDescent="0.3">
      <c r="E5" s="1005"/>
    </row>
    <row r="6" spans="1:13" s="992" customFormat="1" ht="34.5" customHeight="1" thickBot="1" x14ac:dyDescent="0.3">
      <c r="B6" s="5249" t="s">
        <v>945</v>
      </c>
      <c r="C6" s="5250"/>
      <c r="D6" s="1762" t="s">
        <v>4816</v>
      </c>
      <c r="E6" s="5251" t="s">
        <v>4838</v>
      </c>
      <c r="F6" s="5251"/>
      <c r="G6" s="5251" t="s">
        <v>4839</v>
      </c>
      <c r="H6" s="5251"/>
      <c r="I6" s="5251" t="s">
        <v>4967</v>
      </c>
      <c r="J6" s="5252"/>
      <c r="M6" s="1005"/>
    </row>
    <row r="7" spans="1:13" ht="30.6" customHeight="1" thickBot="1" x14ac:dyDescent="0.3">
      <c r="B7" s="5278" t="s">
        <v>2224</v>
      </c>
      <c r="C7" s="5279"/>
      <c r="D7" s="3981">
        <v>11.67</v>
      </c>
      <c r="E7" s="5280">
        <f>AVERAGE(E15,D15,D16,E16)</f>
        <v>48</v>
      </c>
      <c r="F7" s="5280"/>
      <c r="G7" s="5280">
        <v>-733</v>
      </c>
      <c r="H7" s="5280"/>
      <c r="I7" s="5281">
        <f>((D7*E7)+(D7*G7))/1000</f>
        <v>-7.9939500000000008</v>
      </c>
      <c r="J7" s="5282"/>
      <c r="L7" s="1004"/>
    </row>
    <row r="9" spans="1:13" x14ac:dyDescent="0.25">
      <c r="D9" s="1000"/>
      <c r="E9" s="1000"/>
      <c r="F9" s="1000"/>
      <c r="G9" s="1000"/>
      <c r="H9" s="1000"/>
    </row>
    <row r="10" spans="1:13" s="1867" customFormat="1" ht="27" customHeight="1" x14ac:dyDescent="0.2">
      <c r="A10" s="993" t="s">
        <v>651</v>
      </c>
      <c r="B10" s="1003"/>
      <c r="C10" s="1003"/>
      <c r="D10" s="1002" t="s">
        <v>1845</v>
      </c>
      <c r="E10" s="5262"/>
      <c r="F10" s="5263"/>
      <c r="G10" s="5260" t="s">
        <v>2218</v>
      </c>
      <c r="H10" s="5261"/>
      <c r="I10" s="5258" t="s">
        <v>2304</v>
      </c>
      <c r="J10" s="5259"/>
    </row>
    <row r="12" spans="1:13" ht="15.75" thickBot="1" x14ac:dyDescent="0.3">
      <c r="A12" s="1000" t="s">
        <v>2223</v>
      </c>
    </row>
    <row r="13" spans="1:13" s="992" customFormat="1" ht="34.5" customHeight="1" thickBot="1" x14ac:dyDescent="0.3">
      <c r="B13" s="5264" t="s">
        <v>945</v>
      </c>
      <c r="C13" s="5265"/>
      <c r="D13" s="5268" t="s">
        <v>4838</v>
      </c>
      <c r="E13" s="5269"/>
    </row>
    <row r="14" spans="1:13" ht="15.75" customHeight="1" thickBot="1" x14ac:dyDescent="0.3">
      <c r="B14" s="5266"/>
      <c r="C14" s="5267"/>
      <c r="D14" s="1868" t="s">
        <v>2222</v>
      </c>
      <c r="E14" s="1869" t="s">
        <v>2221</v>
      </c>
    </row>
    <row r="15" spans="1:13" x14ac:dyDescent="0.25">
      <c r="B15" s="5274" t="s">
        <v>2220</v>
      </c>
      <c r="C15" s="5275"/>
      <c r="D15" s="1870">
        <f>0.005*1000</f>
        <v>5</v>
      </c>
      <c r="E15" s="1871">
        <f>0.113*1000</f>
        <v>113</v>
      </c>
    </row>
    <row r="16" spans="1:13" ht="15.75" thickBot="1" x14ac:dyDescent="0.3">
      <c r="B16" s="5276" t="s">
        <v>2219</v>
      </c>
      <c r="C16" s="5277"/>
      <c r="D16" s="1872">
        <f>0.05*1000</f>
        <v>50</v>
      </c>
      <c r="E16" s="1873">
        <f>0.024*1000</f>
        <v>24</v>
      </c>
    </row>
    <row r="19" spans="1:5" ht="27" customHeight="1" x14ac:dyDescent="0.25">
      <c r="A19" s="993" t="s">
        <v>651</v>
      </c>
      <c r="D19" s="5260" t="s">
        <v>2218</v>
      </c>
      <c r="E19" s="5261"/>
    </row>
  </sheetData>
  <mergeCells count="16">
    <mergeCell ref="I10:J10"/>
    <mergeCell ref="I6:J6"/>
    <mergeCell ref="B7:C7"/>
    <mergeCell ref="E7:F7"/>
    <mergeCell ref="G7:H7"/>
    <mergeCell ref="I7:J7"/>
    <mergeCell ref="E10:F10"/>
    <mergeCell ref="G10:H10"/>
    <mergeCell ref="B6:C6"/>
    <mergeCell ref="E6:F6"/>
    <mergeCell ref="G6:H6"/>
    <mergeCell ref="D19:E19"/>
    <mergeCell ref="B15:C15"/>
    <mergeCell ref="B16:C16"/>
    <mergeCell ref="B13:C14"/>
    <mergeCell ref="D13:E13"/>
  </mergeCells>
  <hyperlinks>
    <hyperlink ref="A2" location="Index!A1" display="Til index" xr:uid="{C20D7520-C3B4-4826-AB7F-1838F4BC54D5}"/>
  </hyperlinks>
  <pageMargins left="0.7" right="0.7" top="0.75" bottom="0.75" header="0.3" footer="0.3"/>
  <pageSetup paperSize="9" orientation="portrait" horizontalDpi="4294967293" verticalDpi="4294967293"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2F420-5E0C-4B99-BC07-0C914DD6BEDB}">
  <sheetPr codeName="Ark9">
    <tabColor rgb="FFC00000"/>
  </sheetPr>
  <dimension ref="A1:M1469"/>
  <sheetViews>
    <sheetView topLeftCell="A19" zoomScale="85" zoomScaleNormal="85" workbookViewId="0">
      <selection activeCell="E664" sqref="E664"/>
    </sheetView>
  </sheetViews>
  <sheetFormatPr defaultColWidth="9.140625" defaultRowHeight="15" x14ac:dyDescent="0.25"/>
  <cols>
    <col min="1" max="1" width="6.42578125" style="632" customWidth="1"/>
    <col min="2" max="2" width="21.28515625" style="632" customWidth="1"/>
    <col min="3" max="3" width="62" style="632" customWidth="1"/>
    <col min="4" max="7" width="30.85546875" style="632" customWidth="1"/>
    <col min="8" max="8" width="32.5703125" style="632" hidden="1" customWidth="1"/>
    <col min="9" max="9" width="34" style="632" hidden="1" customWidth="1"/>
    <col min="10" max="10" width="35.42578125" style="632" hidden="1" customWidth="1"/>
    <col min="11" max="11" width="18" style="632" customWidth="1"/>
    <col min="12" max="12" width="11.140625" style="632" customWidth="1"/>
    <col min="13" max="13" width="18.5703125" style="632" customWidth="1"/>
    <col min="14" max="16384" width="9.140625" style="632"/>
  </cols>
  <sheetData>
    <row r="1" spans="1:13" s="657" customFormat="1" ht="50.1" customHeight="1" x14ac:dyDescent="0.35">
      <c r="A1" s="4350"/>
      <c r="B1" s="4350"/>
      <c r="C1" s="4350"/>
      <c r="D1" s="4351" t="s">
        <v>979</v>
      </c>
      <c r="E1" s="4352"/>
      <c r="F1" s="4351"/>
      <c r="G1" s="4351"/>
      <c r="H1" s="4350"/>
      <c r="I1" s="4350"/>
      <c r="J1" s="4350"/>
      <c r="K1" s="4350"/>
      <c r="L1" s="4350"/>
      <c r="M1" s="4350"/>
    </row>
    <row r="2" spans="1:13" ht="21" x14ac:dyDescent="0.35">
      <c r="A2" s="4353" t="s">
        <v>4206</v>
      </c>
      <c r="B2" s="4354"/>
      <c r="C2" s="4354"/>
      <c r="D2" s="4355" t="s">
        <v>978</v>
      </c>
      <c r="E2" s="4356"/>
      <c r="F2" s="4354"/>
      <c r="G2" s="4354"/>
      <c r="H2" s="4354"/>
      <c r="I2" s="4354"/>
      <c r="J2" s="4354"/>
      <c r="K2" s="4354"/>
      <c r="L2" s="4354"/>
      <c r="M2" s="4354"/>
    </row>
    <row r="3" spans="1:13" s="656" customFormat="1" ht="18.75" x14ac:dyDescent="0.3">
      <c r="A3" s="4357"/>
      <c r="B3" s="4358" t="s">
        <v>977</v>
      </c>
      <c r="C3" s="4357"/>
      <c r="D3" s="4359">
        <f>'Grafer-klima-&gt;VÆLG GWP og NIR&lt;-'!H5</f>
        <v>2018</v>
      </c>
      <c r="E3" s="4360">
        <v>2018</v>
      </c>
      <c r="F3" s="4361">
        <v>2019</v>
      </c>
      <c r="G3" s="4361">
        <v>2020</v>
      </c>
      <c r="H3" s="4361">
        <v>2021</v>
      </c>
      <c r="I3" s="4357"/>
      <c r="J3" s="4357"/>
      <c r="K3" s="4357"/>
      <c r="L3" s="4357"/>
      <c r="M3" s="4357"/>
    </row>
    <row r="4" spans="1:13" s="957" customFormat="1" ht="23.45" customHeight="1" x14ac:dyDescent="0.25">
      <c r="A4" s="4362"/>
      <c r="B4" s="4363" t="s">
        <v>2205</v>
      </c>
      <c r="C4" s="4364"/>
      <c r="D4" s="4365"/>
      <c r="E4" s="4366"/>
      <c r="F4" s="4367"/>
      <c r="G4" s="4367"/>
      <c r="H4" s="4367"/>
      <c r="I4" s="4362"/>
      <c r="J4" s="4362"/>
      <c r="K4" s="4362"/>
      <c r="L4" s="4362"/>
      <c r="M4" s="4362"/>
    </row>
    <row r="5" spans="1:13" s="956" customFormat="1" x14ac:dyDescent="0.25">
      <c r="A5" s="4368"/>
      <c r="B5" s="4369" t="s">
        <v>972</v>
      </c>
      <c r="C5" s="4368"/>
      <c r="D5" s="4370"/>
      <c r="E5" s="4371"/>
      <c r="F5" s="4372"/>
      <c r="G5" s="4372"/>
      <c r="H5" s="4372"/>
      <c r="I5" s="4368"/>
      <c r="J5" s="4368"/>
      <c r="K5" s="4368"/>
      <c r="L5" s="4368"/>
      <c r="M5" s="4368"/>
    </row>
    <row r="6" spans="1:13" s="956" customFormat="1" x14ac:dyDescent="0.25">
      <c r="A6" s="4368"/>
      <c r="B6" s="4369" t="s">
        <v>971</v>
      </c>
      <c r="C6" s="4368"/>
      <c r="D6" s="4370"/>
      <c r="E6" s="4371"/>
      <c r="F6" s="4372"/>
      <c r="G6" s="4372"/>
      <c r="H6" s="4372"/>
      <c r="I6" s="4368"/>
      <c r="J6" s="4368"/>
      <c r="K6" s="4368"/>
      <c r="L6" s="4368"/>
      <c r="M6" s="4368"/>
    </row>
    <row r="7" spans="1:13" s="956" customFormat="1" x14ac:dyDescent="0.25">
      <c r="A7" s="4368"/>
      <c r="B7" s="4369" t="s">
        <v>953</v>
      </c>
      <c r="C7" s="4368"/>
      <c r="D7" s="4370"/>
      <c r="E7" s="4371"/>
      <c r="F7" s="4372"/>
      <c r="G7" s="4372"/>
      <c r="H7" s="4372"/>
      <c r="I7" s="4368"/>
      <c r="J7" s="4368"/>
      <c r="K7" s="4368"/>
      <c r="L7" s="4368"/>
      <c r="M7" s="4368"/>
    </row>
    <row r="8" spans="1:13" s="956" customFormat="1" x14ac:dyDescent="0.25">
      <c r="A8" s="4368"/>
      <c r="B8" s="4369" t="s">
        <v>952</v>
      </c>
      <c r="C8" s="4368"/>
      <c r="D8" s="4370"/>
      <c r="E8" s="4371"/>
      <c r="F8" s="4372"/>
      <c r="G8" s="4372"/>
      <c r="H8" s="4372"/>
      <c r="I8" s="4368"/>
      <c r="J8" s="4368"/>
      <c r="K8" s="4368"/>
      <c r="L8" s="4368"/>
      <c r="M8" s="4368"/>
    </row>
    <row r="9" spans="1:13" s="956" customFormat="1" x14ac:dyDescent="0.25">
      <c r="A9" s="4368"/>
      <c r="B9" s="4369" t="s">
        <v>949</v>
      </c>
      <c r="C9" s="4368"/>
      <c r="D9" s="4370"/>
      <c r="E9" s="4371"/>
      <c r="F9" s="4372"/>
      <c r="G9" s="4372"/>
      <c r="H9" s="4372"/>
      <c r="I9" s="4368"/>
      <c r="J9" s="4368"/>
      <c r="K9" s="4368"/>
      <c r="L9" s="4368"/>
      <c r="M9" s="4368"/>
    </row>
    <row r="10" spans="1:13" s="956" customFormat="1" x14ac:dyDescent="0.25">
      <c r="A10" s="4368"/>
      <c r="B10" s="4369" t="s">
        <v>946</v>
      </c>
      <c r="C10" s="4368"/>
      <c r="D10" s="4370"/>
      <c r="E10" s="4371"/>
      <c r="F10" s="4372"/>
      <c r="G10" s="4372"/>
      <c r="H10" s="4372"/>
      <c r="I10" s="4368"/>
      <c r="J10" s="4368"/>
      <c r="K10" s="4368"/>
      <c r="L10" s="4368"/>
      <c r="M10" s="4368"/>
    </row>
    <row r="11" spans="1:13" s="956" customFormat="1" x14ac:dyDescent="0.25">
      <c r="A11" s="4368"/>
      <c r="B11" s="4369" t="s">
        <v>890</v>
      </c>
      <c r="C11" s="4368"/>
      <c r="D11" s="4370"/>
      <c r="E11" s="4371"/>
      <c r="F11" s="4372"/>
      <c r="G11" s="4372"/>
      <c r="H11" s="4372"/>
      <c r="I11" s="4368"/>
      <c r="J11" s="4368"/>
      <c r="K11" s="4368"/>
      <c r="L11" s="4368"/>
      <c r="M11" s="4368"/>
    </row>
    <row r="12" spans="1:13" s="956" customFormat="1" x14ac:dyDescent="0.25">
      <c r="A12" s="4368"/>
      <c r="B12" s="4369" t="s">
        <v>881</v>
      </c>
      <c r="C12" s="4368"/>
      <c r="D12" s="4370"/>
      <c r="E12" s="4371"/>
      <c r="F12" s="4372"/>
      <c r="G12" s="4372"/>
      <c r="H12" s="4372"/>
      <c r="I12" s="4368"/>
      <c r="J12" s="4368"/>
      <c r="K12" s="4368"/>
      <c r="L12" s="4368"/>
      <c r="M12" s="4368"/>
    </row>
    <row r="13" spans="1:13" s="956" customFormat="1" x14ac:dyDescent="0.25">
      <c r="A13" s="4368"/>
      <c r="B13" s="4369" t="s">
        <v>866</v>
      </c>
      <c r="C13" s="4368"/>
      <c r="D13" s="4370"/>
      <c r="E13" s="4371"/>
      <c r="F13" s="4372"/>
      <c r="G13" s="4372"/>
      <c r="H13" s="4372"/>
      <c r="I13" s="4368"/>
      <c r="J13" s="4368"/>
      <c r="K13" s="4368"/>
      <c r="L13" s="4368"/>
      <c r="M13" s="4368"/>
    </row>
    <row r="14" spans="1:13" s="956" customFormat="1" x14ac:dyDescent="0.25">
      <c r="A14" s="4368"/>
      <c r="B14" s="4369" t="s">
        <v>798</v>
      </c>
      <c r="C14" s="4368"/>
      <c r="D14" s="4370"/>
      <c r="E14" s="4371"/>
      <c r="F14" s="4372"/>
      <c r="G14" s="4372"/>
      <c r="H14" s="4372"/>
      <c r="I14" s="4368"/>
      <c r="J14" s="4368"/>
      <c r="K14" s="4368"/>
      <c r="L14" s="4368"/>
      <c r="M14" s="4368"/>
    </row>
    <row r="15" spans="1:13" s="956" customFormat="1" x14ac:dyDescent="0.25">
      <c r="A15" s="4368"/>
      <c r="B15" s="4369" t="s">
        <v>770</v>
      </c>
      <c r="C15" s="4368"/>
      <c r="D15" s="4370"/>
      <c r="E15" s="4371"/>
      <c r="F15" s="4372"/>
      <c r="G15" s="4372"/>
      <c r="H15" s="4372"/>
      <c r="I15" s="4368"/>
      <c r="J15" s="4368"/>
      <c r="K15" s="4368"/>
      <c r="L15" s="4368"/>
      <c r="M15" s="4368"/>
    </row>
    <row r="16" spans="1:13" s="956" customFormat="1" x14ac:dyDescent="0.25">
      <c r="A16" s="4368"/>
      <c r="B16" s="4369" t="s">
        <v>757</v>
      </c>
      <c r="C16" s="4368"/>
      <c r="D16" s="4370"/>
      <c r="E16" s="4371"/>
      <c r="F16" s="4372"/>
      <c r="G16" s="4372"/>
      <c r="H16" s="4372"/>
      <c r="I16" s="4368"/>
      <c r="J16" s="4368"/>
      <c r="K16" s="4368"/>
      <c r="L16" s="4368"/>
      <c r="M16" s="4368"/>
    </row>
    <row r="17" spans="1:13" s="956" customFormat="1" x14ac:dyDescent="0.25">
      <c r="A17" s="4368"/>
      <c r="B17" s="4369" t="s">
        <v>752</v>
      </c>
      <c r="C17" s="4368"/>
      <c r="D17" s="4370"/>
      <c r="E17" s="4371"/>
      <c r="F17" s="4372"/>
      <c r="G17" s="4372"/>
      <c r="H17" s="4372"/>
      <c r="I17" s="4368"/>
      <c r="J17" s="4368"/>
      <c r="K17" s="4368"/>
      <c r="L17" s="4368"/>
      <c r="M17" s="4368"/>
    </row>
    <row r="18" spans="1:13" s="956" customFormat="1" x14ac:dyDescent="0.25">
      <c r="A18" s="4368"/>
      <c r="B18" s="4369" t="s">
        <v>745</v>
      </c>
      <c r="C18" s="4368"/>
      <c r="D18" s="4370"/>
      <c r="E18" s="4371"/>
      <c r="F18" s="4372"/>
      <c r="G18" s="4372"/>
      <c r="H18" s="4372"/>
      <c r="I18" s="4368"/>
      <c r="J18" s="4368"/>
      <c r="K18" s="4368"/>
      <c r="L18" s="4368"/>
      <c r="M18" s="4368"/>
    </row>
    <row r="19" spans="1:13" s="956" customFormat="1" x14ac:dyDescent="0.25">
      <c r="A19" s="4368"/>
      <c r="B19" s="4369" t="s">
        <v>702</v>
      </c>
      <c r="C19" s="4368"/>
      <c r="D19" s="4370"/>
      <c r="E19" s="4371"/>
      <c r="F19" s="4372"/>
      <c r="G19" s="4372"/>
      <c r="H19" s="4372"/>
      <c r="I19" s="4368"/>
      <c r="J19" s="4368"/>
      <c r="K19" s="4368"/>
      <c r="L19" s="4368"/>
      <c r="M19" s="4368"/>
    </row>
    <row r="20" spans="1:13" s="956" customFormat="1" x14ac:dyDescent="0.25">
      <c r="A20" s="4368"/>
      <c r="B20" s="4369" t="s">
        <v>687</v>
      </c>
      <c r="C20" s="4368"/>
      <c r="D20" s="4370"/>
      <c r="E20" s="4371"/>
      <c r="F20" s="4372"/>
      <c r="G20" s="4372"/>
      <c r="H20" s="4372"/>
      <c r="I20" s="4368"/>
      <c r="J20" s="4368"/>
      <c r="K20" s="4368"/>
      <c r="L20" s="4368"/>
      <c r="M20" s="4368"/>
    </row>
    <row r="21" spans="1:13" s="958" customFormat="1" ht="24.95" customHeight="1" x14ac:dyDescent="0.25">
      <c r="A21" s="4373"/>
      <c r="B21" s="4374" t="s">
        <v>679</v>
      </c>
      <c r="C21" s="4373"/>
      <c r="D21" s="4375"/>
      <c r="E21" s="4376"/>
      <c r="F21" s="4377"/>
      <c r="G21" s="4377"/>
      <c r="H21" s="4377"/>
      <c r="I21" s="4373"/>
      <c r="J21" s="4373"/>
      <c r="K21" s="4373"/>
      <c r="L21" s="4373"/>
      <c r="M21" s="4373"/>
    </row>
    <row r="22" spans="1:13" x14ac:dyDescent="0.25">
      <c r="A22" s="4354"/>
      <c r="B22" s="4354"/>
      <c r="C22" s="4354"/>
      <c r="D22" s="4354"/>
      <c r="E22" s="4356"/>
      <c r="F22" s="4354"/>
      <c r="G22" s="4354"/>
      <c r="H22" s="4354"/>
      <c r="I22" s="4354"/>
      <c r="J22" s="4354"/>
      <c r="K22" s="4354"/>
      <c r="L22" s="4354"/>
      <c r="M22" s="4354"/>
    </row>
    <row r="23" spans="1:13" s="640" customFormat="1" ht="24.75" customHeight="1" x14ac:dyDescent="0.3">
      <c r="A23" s="4357"/>
      <c r="B23" s="4361" t="s">
        <v>976</v>
      </c>
      <c r="C23" s="4357"/>
      <c r="D23" s="4357"/>
      <c r="E23" s="4357"/>
      <c r="F23" s="4357"/>
      <c r="G23" s="4357"/>
      <c r="H23" s="4357"/>
      <c r="I23" s="4357"/>
      <c r="J23" s="4357"/>
      <c r="K23" s="4357"/>
      <c r="L23" s="4357"/>
      <c r="M23" s="4357"/>
    </row>
    <row r="24" spans="1:13" ht="15.75" thickBot="1" x14ac:dyDescent="0.3">
      <c r="A24" s="4354"/>
      <c r="B24" s="4354"/>
      <c r="C24" s="4354"/>
      <c r="D24" s="4354"/>
      <c r="E24" s="4356"/>
      <c r="F24" s="4354"/>
      <c r="G24" s="4354"/>
      <c r="H24" s="4354"/>
      <c r="I24" s="4354"/>
      <c r="J24" s="4354"/>
      <c r="K24" s="4354"/>
      <c r="L24" s="4354"/>
      <c r="M24" s="4354"/>
    </row>
    <row r="25" spans="1:13" ht="14.45" customHeight="1" thickBot="1" x14ac:dyDescent="0.3">
      <c r="A25" s="4354"/>
      <c r="B25" s="5118" t="s">
        <v>969</v>
      </c>
      <c r="C25" s="5125"/>
      <c r="D25" s="4379" t="s">
        <v>975</v>
      </c>
      <c r="E25" s="4380" t="s">
        <v>975</v>
      </c>
      <c r="F25" s="4381" t="s">
        <v>975</v>
      </c>
      <c r="G25" s="4382" t="s">
        <v>975</v>
      </c>
      <c r="H25" s="4354"/>
      <c r="I25" s="4364" t="s">
        <v>974</v>
      </c>
      <c r="J25" s="4364" t="s">
        <v>973</v>
      </c>
      <c r="K25" s="4354"/>
      <c r="L25" s="4354"/>
      <c r="M25" s="4354"/>
    </row>
    <row r="26" spans="1:13" x14ac:dyDescent="0.25">
      <c r="A26" s="4354"/>
      <c r="B26" s="5126" t="s">
        <v>966</v>
      </c>
      <c r="C26" s="5127"/>
      <c r="D26" s="4383">
        <f>IF($D$3=$E$3,E26,IF($D$3=$F$3,F26,IF($D$3=$G$3,G26,"-")))</f>
        <v>415.47455765394949</v>
      </c>
      <c r="E26" s="4384">
        <f>'Annex 3D-11 20'!AF8</f>
        <v>415.47455765394949</v>
      </c>
      <c r="F26" s="4385">
        <f>'Annex 3D-11 20'!AF8</f>
        <v>415.47455765394949</v>
      </c>
      <c r="G26" s="4386">
        <f>'Annex 3D-11 20'!AF8</f>
        <v>415.47455765394949</v>
      </c>
      <c r="H26" s="4354"/>
      <c r="I26" s="4387">
        <f>IFERROR(ABS(F26-E26)/E26,"NO")</f>
        <v>0</v>
      </c>
      <c r="J26" s="4387">
        <f>IFERROR(ABS(G26-F26)/F26,"NO")</f>
        <v>0</v>
      </c>
      <c r="K26" s="4354"/>
      <c r="L26" s="4354"/>
      <c r="M26" s="4354"/>
    </row>
    <row r="27" spans="1:13" x14ac:dyDescent="0.25">
      <c r="A27" s="4354"/>
      <c r="B27" s="5114" t="s">
        <v>965</v>
      </c>
      <c r="C27" s="5115"/>
      <c r="D27" s="4388">
        <f t="shared" ref="D27:D48" si="0">IF($D$3=$E$3,E27,IF($D$3=$F$3,F27,IF($D$3=$G$3,G27,"-")))</f>
        <v>66.391596891435441</v>
      </c>
      <c r="E27" s="4389">
        <f>'Annex 3D-11 20'!AF9</f>
        <v>66.391596891435441</v>
      </c>
      <c r="F27" s="4390">
        <f>'Annex 3D-11 20'!AF9</f>
        <v>66.391596891435441</v>
      </c>
      <c r="G27" s="4391">
        <f>'Annex 3D-11 20'!AF9</f>
        <v>66.391596891435441</v>
      </c>
      <c r="H27" s="4354"/>
      <c r="I27" s="4387">
        <f t="shared" ref="I27:I90" si="1">IFERROR(ABS(F27-E27)/E27,"NO")</f>
        <v>0</v>
      </c>
      <c r="J27" s="4387">
        <f t="shared" ref="J27:J90" si="2">IFERROR(ABS(G27-F27)/F27,"NO")</f>
        <v>0</v>
      </c>
      <c r="K27" s="4354"/>
      <c r="L27" s="4354"/>
      <c r="M27" s="4354"/>
    </row>
    <row r="28" spans="1:13" x14ac:dyDescent="0.25">
      <c r="A28" s="4354"/>
      <c r="B28" s="5114" t="s">
        <v>964</v>
      </c>
      <c r="C28" s="5115"/>
      <c r="D28" s="4388">
        <f t="shared" si="0"/>
        <v>104.17662081845917</v>
      </c>
      <c r="E28" s="4389">
        <f>'Annex 3D-11 20'!AF11</f>
        <v>104.17662081845917</v>
      </c>
      <c r="F28" s="4390">
        <f>'Annex 3D-11 20'!AF11</f>
        <v>104.17662081845917</v>
      </c>
      <c r="G28" s="4391">
        <f>'Annex 3D-11 20'!AF11</f>
        <v>104.17662081845917</v>
      </c>
      <c r="H28" s="4354"/>
      <c r="I28" s="4387">
        <f t="shared" si="1"/>
        <v>0</v>
      </c>
      <c r="J28" s="4387">
        <f t="shared" si="2"/>
        <v>0</v>
      </c>
      <c r="K28" s="4354"/>
      <c r="L28" s="4354"/>
      <c r="M28" s="4354"/>
    </row>
    <row r="29" spans="1:13" x14ac:dyDescent="0.25">
      <c r="A29" s="4354"/>
      <c r="B29" s="5114" t="s">
        <v>330</v>
      </c>
      <c r="C29" s="5115"/>
      <c r="D29" s="4388">
        <f t="shared" si="0"/>
        <v>159.17092654643409</v>
      </c>
      <c r="E29" s="4389">
        <f>'Annex 3D-11 20'!AF13</f>
        <v>159.17092654643409</v>
      </c>
      <c r="F29" s="4390">
        <f>'Annex 3D-11 20'!AF13</f>
        <v>159.17092654643409</v>
      </c>
      <c r="G29" s="4391">
        <f>'Annex 3D-11 20'!AF13</f>
        <v>159.17092654643409</v>
      </c>
      <c r="H29" s="4354"/>
      <c r="I29" s="4387">
        <f t="shared" si="1"/>
        <v>0</v>
      </c>
      <c r="J29" s="4387">
        <f t="shared" si="2"/>
        <v>0</v>
      </c>
      <c r="K29" s="4354"/>
      <c r="L29" s="4354"/>
      <c r="M29" s="4354"/>
    </row>
    <row r="30" spans="1:13" x14ac:dyDescent="0.25">
      <c r="A30" s="4354"/>
      <c r="B30" s="5114" t="s">
        <v>340</v>
      </c>
      <c r="C30" s="5115"/>
      <c r="D30" s="4388">
        <f t="shared" si="0"/>
        <v>50.851438356164387</v>
      </c>
      <c r="E30" s="4389">
        <f>'Annex 3D-11 20'!AF10</f>
        <v>50.851438356164387</v>
      </c>
      <c r="F30" s="4390">
        <f>'Annex 3D-11 20'!AF10</f>
        <v>50.851438356164387</v>
      </c>
      <c r="G30" s="4391">
        <f>'Annex 3D-11 20'!AF10</f>
        <v>50.851438356164387</v>
      </c>
      <c r="H30" s="4354"/>
      <c r="I30" s="4387">
        <f t="shared" si="1"/>
        <v>0</v>
      </c>
      <c r="J30" s="4387">
        <f t="shared" si="2"/>
        <v>0</v>
      </c>
      <c r="K30" s="4354"/>
      <c r="L30" s="4354"/>
      <c r="M30" s="4354"/>
    </row>
    <row r="31" spans="1:13" x14ac:dyDescent="0.25">
      <c r="A31" s="4354"/>
      <c r="B31" s="5114" t="s">
        <v>336</v>
      </c>
      <c r="C31" s="5115"/>
      <c r="D31" s="4388">
        <f t="shared" si="0"/>
        <v>129.70598046156394</v>
      </c>
      <c r="E31" s="4389">
        <f>'Annex 3D-11 20'!AF12</f>
        <v>129.70598046156394</v>
      </c>
      <c r="F31" s="4390">
        <f>'Annex 3D-11 20'!AF12</f>
        <v>129.70598046156394</v>
      </c>
      <c r="G31" s="4391">
        <f>'Annex 3D-11 20'!AF12</f>
        <v>129.70598046156394</v>
      </c>
      <c r="H31" s="4354"/>
      <c r="I31" s="4387">
        <f t="shared" si="1"/>
        <v>0</v>
      </c>
      <c r="J31" s="4387">
        <f t="shared" si="2"/>
        <v>0</v>
      </c>
      <c r="K31" s="4354"/>
      <c r="L31" s="4354"/>
      <c r="M31" s="4354"/>
    </row>
    <row r="32" spans="1:13" x14ac:dyDescent="0.25">
      <c r="A32" s="4354"/>
      <c r="B32" s="5114" t="s">
        <v>329</v>
      </c>
      <c r="C32" s="5115"/>
      <c r="D32" s="4388">
        <f t="shared" si="0"/>
        <v>159.17092654643409</v>
      </c>
      <c r="E32" s="4389">
        <f>'Annex 3D-11 20'!AF13</f>
        <v>159.17092654643409</v>
      </c>
      <c r="F32" s="4390">
        <f>'Annex 3D-11 20'!AF13</f>
        <v>159.17092654643409</v>
      </c>
      <c r="G32" s="4391">
        <f>'Annex 3D-11 20'!AF13</f>
        <v>159.17092654643409</v>
      </c>
      <c r="H32" s="4354"/>
      <c r="I32" s="4387">
        <f t="shared" si="1"/>
        <v>0</v>
      </c>
      <c r="J32" s="4387">
        <f t="shared" si="2"/>
        <v>0</v>
      </c>
      <c r="K32" s="4354"/>
      <c r="L32" s="4354"/>
      <c r="M32" s="4354"/>
    </row>
    <row r="33" spans="1:13" x14ac:dyDescent="0.25">
      <c r="A33" s="4354"/>
      <c r="B33" s="5114" t="s">
        <v>342</v>
      </c>
      <c r="C33" s="5115"/>
      <c r="D33" s="4388">
        <f t="shared" si="0"/>
        <v>71.898754520547939</v>
      </c>
      <c r="E33" s="4389">
        <f>'Annex 3D-11 20'!AF16</f>
        <v>71.898754520547939</v>
      </c>
      <c r="F33" s="4390">
        <f>'Annex 3D-11 20'!AF16</f>
        <v>71.898754520547939</v>
      </c>
      <c r="G33" s="4391">
        <f>'Annex 3D-11 20'!AF16</f>
        <v>71.898754520547939</v>
      </c>
      <c r="H33" s="4354"/>
      <c r="I33" s="4387">
        <f t="shared" si="1"/>
        <v>0</v>
      </c>
      <c r="J33" s="4387">
        <f t="shared" si="2"/>
        <v>0</v>
      </c>
      <c r="K33" s="4354"/>
      <c r="L33" s="4354"/>
      <c r="M33" s="4354"/>
    </row>
    <row r="34" spans="1:13" x14ac:dyDescent="0.25">
      <c r="A34" s="4354"/>
      <c r="B34" s="5114" t="s">
        <v>339</v>
      </c>
      <c r="C34" s="5115"/>
      <c r="D34" s="4388">
        <f t="shared" si="0"/>
        <v>10.292322345213647</v>
      </c>
      <c r="E34" s="4389">
        <f>'Annex 3D-11 20'!AF17</f>
        <v>10.292322345213647</v>
      </c>
      <c r="F34" s="4390">
        <f>'Annex 3D-11 20'!AF17</f>
        <v>10.292322345213647</v>
      </c>
      <c r="G34" s="4391">
        <f>'Annex 3D-11 20'!AF17</f>
        <v>10.292322345213647</v>
      </c>
      <c r="H34" s="4354"/>
      <c r="I34" s="4387">
        <f t="shared" si="1"/>
        <v>0</v>
      </c>
      <c r="J34" s="4387">
        <f t="shared" si="2"/>
        <v>0</v>
      </c>
      <c r="K34" s="4354"/>
      <c r="L34" s="4354"/>
      <c r="M34" s="4354"/>
    </row>
    <row r="35" spans="1:13" x14ac:dyDescent="0.25">
      <c r="A35" s="4354"/>
      <c r="B35" s="5114" t="s">
        <v>332</v>
      </c>
      <c r="C35" s="5115"/>
      <c r="D35" s="4388">
        <f t="shared" si="0"/>
        <v>31.04595760670378</v>
      </c>
      <c r="E35" s="4389">
        <f>+'Annex 3D-11 20'!AF17*0.241379310344828+'Annex 3D-11 20'!AF18*0.758620689655172</f>
        <v>31.04595760670378</v>
      </c>
      <c r="F35" s="4390">
        <f>+'Annex 3D-11 20'!AF17*0.241379310344828+'Annex 3D-11 20'!AF18*0.758620689655172</f>
        <v>31.04595760670378</v>
      </c>
      <c r="G35" s="4391">
        <f>+'Annex 3D-11 20'!AF17*0.241379310344828+'Annex 3D-11 20'!AF18*0.758620689655172</f>
        <v>31.04595760670378</v>
      </c>
      <c r="H35" s="4354"/>
      <c r="I35" s="4387">
        <f t="shared" si="1"/>
        <v>0</v>
      </c>
      <c r="J35" s="4387">
        <f t="shared" si="2"/>
        <v>0</v>
      </c>
      <c r="K35" s="4354"/>
      <c r="L35" s="4354"/>
      <c r="M35" s="4354"/>
    </row>
    <row r="36" spans="1:13" x14ac:dyDescent="0.25">
      <c r="A36" s="4354"/>
      <c r="B36" s="5114" t="s">
        <v>948</v>
      </c>
      <c r="C36" s="5115"/>
      <c r="D36" s="4388">
        <f t="shared" si="0"/>
        <v>37.649387008087018</v>
      </c>
      <c r="E36" s="4389">
        <f>'Annex 3D-11 20'!AF18</f>
        <v>37.649387008087018</v>
      </c>
      <c r="F36" s="4390">
        <f>'Annex 3D-11 20'!AF18</f>
        <v>37.649387008087018</v>
      </c>
      <c r="G36" s="4391">
        <f>'Annex 3D-11 20'!AF18</f>
        <v>37.649387008087018</v>
      </c>
      <c r="H36" s="4354"/>
      <c r="I36" s="4387">
        <f t="shared" si="1"/>
        <v>0</v>
      </c>
      <c r="J36" s="4387">
        <f t="shared" si="2"/>
        <v>0</v>
      </c>
      <c r="K36" s="4354"/>
      <c r="L36" s="4354"/>
      <c r="M36" s="4354"/>
    </row>
    <row r="37" spans="1:13" x14ac:dyDescent="0.25">
      <c r="A37" s="4354"/>
      <c r="B37" s="5114" t="s">
        <v>963</v>
      </c>
      <c r="C37" s="5115"/>
      <c r="D37" s="4388">
        <f t="shared" si="0"/>
        <v>20.192378720210169</v>
      </c>
      <c r="E37" s="4389">
        <f>'Annex 3D-11 20'!AF14</f>
        <v>20.192378720210169</v>
      </c>
      <c r="F37" s="4390">
        <f>'Annex 3D-11 20'!AF14</f>
        <v>20.192378720210169</v>
      </c>
      <c r="G37" s="4391">
        <f>'Annex 3D-11 20'!AF14</f>
        <v>20.192378720210169</v>
      </c>
      <c r="H37" s="4354"/>
      <c r="I37" s="4387">
        <f t="shared" si="1"/>
        <v>0</v>
      </c>
      <c r="J37" s="4387">
        <f t="shared" si="2"/>
        <v>0</v>
      </c>
      <c r="K37" s="4354"/>
      <c r="L37" s="4354"/>
      <c r="M37" s="4354"/>
    </row>
    <row r="38" spans="1:13" x14ac:dyDescent="0.25">
      <c r="A38" s="4354"/>
      <c r="B38" s="5114" t="s">
        <v>962</v>
      </c>
      <c r="C38" s="5115"/>
      <c r="D38" s="4388">
        <f t="shared" si="0"/>
        <v>34.461479452054789</v>
      </c>
      <c r="E38" s="4389">
        <f>'Annex 3D-11 20'!AF26</f>
        <v>34.461479452054789</v>
      </c>
      <c r="F38" s="4390">
        <f>'Annex 3D-11 20'!AF26</f>
        <v>34.461479452054789</v>
      </c>
      <c r="G38" s="4391">
        <f>'Annex 3D-11 20'!AF26</f>
        <v>34.461479452054789</v>
      </c>
      <c r="H38" s="4354"/>
      <c r="I38" s="4387">
        <f t="shared" si="1"/>
        <v>0</v>
      </c>
      <c r="J38" s="4387">
        <f t="shared" si="2"/>
        <v>0</v>
      </c>
      <c r="K38" s="4354"/>
      <c r="L38" s="4354"/>
      <c r="M38" s="4354"/>
    </row>
    <row r="39" spans="1:13" x14ac:dyDescent="0.25">
      <c r="A39" s="4354"/>
      <c r="B39" s="5114" t="s">
        <v>961</v>
      </c>
      <c r="C39" s="5115"/>
      <c r="D39" s="4388">
        <f t="shared" si="0"/>
        <v>39.885851650966416</v>
      </c>
      <c r="E39" s="4389">
        <f>'Annex 3D-11 20'!AF19</f>
        <v>39.885851650966416</v>
      </c>
      <c r="F39" s="4390">
        <f>'Annex 3D-11 20'!AF19</f>
        <v>39.885851650966416</v>
      </c>
      <c r="G39" s="4391">
        <f>'Annex 3D-11 20'!AF19</f>
        <v>39.885851650966416</v>
      </c>
      <c r="H39" s="4354"/>
      <c r="I39" s="4387">
        <f t="shared" si="1"/>
        <v>0</v>
      </c>
      <c r="J39" s="4387">
        <f t="shared" si="2"/>
        <v>0</v>
      </c>
      <c r="K39" s="4354"/>
      <c r="L39" s="4354"/>
      <c r="M39" s="4354"/>
    </row>
    <row r="40" spans="1:13" x14ac:dyDescent="0.25">
      <c r="A40" s="4354"/>
      <c r="B40" s="5114" t="s">
        <v>337</v>
      </c>
      <c r="C40" s="5115"/>
      <c r="D40" s="4388">
        <f t="shared" si="0"/>
        <v>7.5073506849315077</v>
      </c>
      <c r="E40" s="4389">
        <f>'Annex 3D-11 20'!AF27</f>
        <v>7.5073506849315077</v>
      </c>
      <c r="F40" s="4390">
        <f>'Annex 3D-11 20'!AF27</f>
        <v>7.5073506849315077</v>
      </c>
      <c r="G40" s="4391">
        <f>'Annex 3D-11 20'!AF27</f>
        <v>7.5073506849315077</v>
      </c>
      <c r="H40" s="4354"/>
      <c r="I40" s="4387">
        <f t="shared" si="1"/>
        <v>0</v>
      </c>
      <c r="J40" s="4387">
        <f t="shared" si="2"/>
        <v>0</v>
      </c>
      <c r="K40" s="4354"/>
      <c r="L40" s="4354"/>
      <c r="M40" s="4354"/>
    </row>
    <row r="41" spans="1:13" x14ac:dyDescent="0.25">
      <c r="A41" s="4354"/>
      <c r="B41" s="5114" t="s">
        <v>334</v>
      </c>
      <c r="C41" s="5115"/>
      <c r="D41" s="4388">
        <f t="shared" si="0"/>
        <v>148.19402999999997</v>
      </c>
      <c r="E41" s="4389">
        <f>'Annex 3D-11 20'!AF20</f>
        <v>148.19402999999997</v>
      </c>
      <c r="F41" s="4390">
        <f>'Annex 3D-11 20'!AF20</f>
        <v>148.19402999999997</v>
      </c>
      <c r="G41" s="4391">
        <f>'Annex 3D-11 20'!AF20</f>
        <v>148.19402999999997</v>
      </c>
      <c r="H41" s="4354"/>
      <c r="I41" s="4387">
        <f t="shared" si="1"/>
        <v>0</v>
      </c>
      <c r="J41" s="4387">
        <f t="shared" si="2"/>
        <v>0</v>
      </c>
      <c r="K41" s="4354"/>
      <c r="L41" s="4354"/>
      <c r="M41" s="4354"/>
    </row>
    <row r="42" spans="1:13" x14ac:dyDescent="0.25">
      <c r="A42" s="4354"/>
      <c r="B42" s="5120" t="s">
        <v>331</v>
      </c>
      <c r="C42" s="5121"/>
      <c r="D42" s="4388">
        <f t="shared" si="0"/>
        <v>0</v>
      </c>
      <c r="E42" s="4392"/>
      <c r="F42" s="4393"/>
      <c r="G42" s="4394"/>
      <c r="H42" s="4354"/>
      <c r="I42" s="4387" t="str">
        <f t="shared" si="1"/>
        <v>NO</v>
      </c>
      <c r="J42" s="4387" t="str">
        <f t="shared" si="2"/>
        <v>NO</v>
      </c>
      <c r="K42" s="4354"/>
      <c r="L42" s="4354"/>
      <c r="M42" s="4354"/>
    </row>
    <row r="43" spans="1:13" x14ac:dyDescent="0.25">
      <c r="A43" s="4354"/>
      <c r="B43" s="5122" t="s">
        <v>1851</v>
      </c>
      <c r="C43" s="5123"/>
      <c r="D43" s="4388">
        <f t="shared" si="0"/>
        <v>1.4963368425701997</v>
      </c>
      <c r="E43" s="4395">
        <f>'Annex 3D-11 20'!AF24</f>
        <v>1.4963368425701997</v>
      </c>
      <c r="F43" s="4395">
        <f>'Annex 3D-11 20'!AF24</f>
        <v>1.4963368425701997</v>
      </c>
      <c r="G43" s="4395">
        <f>'Annex 3D-11 20'!AF24</f>
        <v>1.4963368425701997</v>
      </c>
      <c r="H43" s="4354"/>
      <c r="I43" s="4387">
        <f t="shared" si="1"/>
        <v>0</v>
      </c>
      <c r="J43" s="4387">
        <f t="shared" si="2"/>
        <v>0</v>
      </c>
      <c r="K43" s="4354"/>
      <c r="L43" s="4354"/>
      <c r="M43" s="4354"/>
    </row>
    <row r="44" spans="1:13" x14ac:dyDescent="0.25">
      <c r="A44" s="4354"/>
      <c r="B44" s="5122" t="s">
        <v>1852</v>
      </c>
      <c r="C44" s="5124"/>
      <c r="D44" s="4388">
        <f t="shared" si="0"/>
        <v>2.9659019848633452</v>
      </c>
      <c r="E44" s="4395">
        <f>'Annex 3D-11 20'!AF22</f>
        <v>2.9659019848633452</v>
      </c>
      <c r="F44" s="4395">
        <f>'Annex 3D-11 20'!AF22</f>
        <v>2.9659019848633452</v>
      </c>
      <c r="G44" s="4395">
        <f>'Annex 3D-11 20'!AF22</f>
        <v>2.9659019848633452</v>
      </c>
      <c r="H44" s="4354"/>
      <c r="I44" s="4387">
        <f t="shared" si="1"/>
        <v>0</v>
      </c>
      <c r="J44" s="4387">
        <f t="shared" si="2"/>
        <v>0</v>
      </c>
      <c r="K44" s="4354"/>
      <c r="L44" s="4354"/>
      <c r="M44" s="4396"/>
    </row>
    <row r="45" spans="1:13" x14ac:dyDescent="0.25">
      <c r="A45" s="4354"/>
      <c r="B45" s="5122" t="s">
        <v>1853</v>
      </c>
      <c r="C45" s="5124"/>
      <c r="D45" s="4388">
        <f t="shared" si="0"/>
        <v>0.40141638206170399</v>
      </c>
      <c r="E45" s="4395">
        <f>'Annex 3D-11 20'!AF23</f>
        <v>0.40141638206170399</v>
      </c>
      <c r="F45" s="4395">
        <f>'Annex 3D-11 20'!AF23</f>
        <v>0.40141638206170399</v>
      </c>
      <c r="G45" s="4395">
        <f>'Annex 3D-11 20'!AF23</f>
        <v>0.40141638206170399</v>
      </c>
      <c r="H45" s="4354"/>
      <c r="I45" s="4387">
        <f t="shared" si="1"/>
        <v>0</v>
      </c>
      <c r="J45" s="4387">
        <f t="shared" si="2"/>
        <v>0</v>
      </c>
      <c r="K45" s="4354"/>
      <c r="L45" s="4354"/>
      <c r="M45" s="4396"/>
    </row>
    <row r="46" spans="1:13" x14ac:dyDescent="0.25">
      <c r="A46" s="4354"/>
      <c r="B46" s="5122" t="s">
        <v>1854</v>
      </c>
      <c r="C46" s="5124"/>
      <c r="D46" s="4388">
        <f t="shared" si="0"/>
        <v>1.4963368425701997</v>
      </c>
      <c r="E46" s="4395">
        <f>'Annex 3D-11 20'!AF24</f>
        <v>1.4963368425701997</v>
      </c>
      <c r="F46" s="4395">
        <f>'Annex 3D-11 20'!AF24</f>
        <v>1.4963368425701997</v>
      </c>
      <c r="G46" s="4395">
        <f>'Annex 3D-11 20'!AF24</f>
        <v>1.4963368425701997</v>
      </c>
      <c r="H46" s="4354"/>
      <c r="I46" s="4387">
        <f t="shared" si="1"/>
        <v>0</v>
      </c>
      <c r="J46" s="4387">
        <f t="shared" si="2"/>
        <v>0</v>
      </c>
      <c r="K46" s="4354"/>
      <c r="L46" s="4354"/>
      <c r="M46" s="4396"/>
    </row>
    <row r="47" spans="1:13" x14ac:dyDescent="0.25">
      <c r="A47" s="4354"/>
      <c r="B47" s="5122" t="s">
        <v>1855</v>
      </c>
      <c r="C47" s="5124"/>
      <c r="D47" s="4388">
        <f t="shared" si="0"/>
        <v>5.120096497552419</v>
      </c>
      <c r="E47" s="4395">
        <f>'Annex 3D-11 20'!AF25</f>
        <v>5.120096497552419</v>
      </c>
      <c r="F47" s="4395">
        <f>'Annex 3D-11 20'!AF25</f>
        <v>5.120096497552419</v>
      </c>
      <c r="G47" s="4395">
        <f>'Annex 3D-11 20'!AF25</f>
        <v>5.120096497552419</v>
      </c>
      <c r="H47" s="4354"/>
      <c r="I47" s="4387">
        <f t="shared" si="1"/>
        <v>0</v>
      </c>
      <c r="J47" s="4387">
        <f t="shared" si="2"/>
        <v>0</v>
      </c>
      <c r="K47" s="4354"/>
      <c r="L47" s="4354"/>
      <c r="M47" s="4396"/>
    </row>
    <row r="48" spans="1:13" ht="15.75" thickBot="1" x14ac:dyDescent="0.3">
      <c r="A48" s="4354"/>
      <c r="B48" s="5130" t="s">
        <v>1856</v>
      </c>
      <c r="C48" s="5131"/>
      <c r="D48" s="4388">
        <f t="shared" si="0"/>
        <v>5.120096497552419</v>
      </c>
      <c r="E48" s="4397">
        <f>'Annex 3D-11 20'!AF25</f>
        <v>5.120096497552419</v>
      </c>
      <c r="F48" s="4397">
        <f>'Annex 3D-11 20'!AF25</f>
        <v>5.120096497552419</v>
      </c>
      <c r="G48" s="4397">
        <f>'Annex 3D-11 20'!AF25</f>
        <v>5.120096497552419</v>
      </c>
      <c r="H48" s="4354"/>
      <c r="I48" s="4387">
        <f t="shared" si="1"/>
        <v>0</v>
      </c>
      <c r="J48" s="4387">
        <f t="shared" si="2"/>
        <v>0</v>
      </c>
      <c r="K48" s="4354"/>
      <c r="L48" s="4354"/>
      <c r="M48" s="4354"/>
    </row>
    <row r="49" spans="1:13" ht="15.75" thickBot="1" x14ac:dyDescent="0.3">
      <c r="A49" s="4354"/>
      <c r="B49" s="5116" t="s">
        <v>228</v>
      </c>
      <c r="C49" s="5117"/>
      <c r="D49" s="4398" t="str">
        <f t="shared" ref="D49:D83" si="3">""&amp;IF($D$3=$E$3,E49,IF($D$3=$F$3,F49,IF($D$3=$G$3,G49,"-")))</f>
        <v/>
      </c>
      <c r="E49" s="4399"/>
      <c r="F49" s="4400"/>
      <c r="G49" s="4401"/>
      <c r="H49" s="4354"/>
      <c r="I49" s="4387" t="str">
        <f t="shared" si="1"/>
        <v>NO</v>
      </c>
      <c r="J49" s="4387" t="str">
        <f t="shared" si="2"/>
        <v>NO</v>
      </c>
      <c r="K49" s="4354"/>
      <c r="L49" s="4354"/>
      <c r="M49" s="4354"/>
    </row>
    <row r="50" spans="1:13" x14ac:dyDescent="0.25">
      <c r="A50" s="4354"/>
      <c r="B50" s="4354"/>
      <c r="C50" s="4354"/>
      <c r="D50" s="4354" t="str">
        <f t="shared" si="3"/>
        <v/>
      </c>
      <c r="E50" s="4356"/>
      <c r="F50" s="4354"/>
      <c r="G50" s="4354"/>
      <c r="H50" s="4354"/>
      <c r="I50" s="4387" t="str">
        <f t="shared" si="1"/>
        <v>NO</v>
      </c>
      <c r="J50" s="4387" t="str">
        <f t="shared" si="2"/>
        <v>NO</v>
      </c>
      <c r="K50" s="4354"/>
      <c r="L50" s="4354"/>
      <c r="M50" s="4354"/>
    </row>
    <row r="51" spans="1:13" ht="48" customHeight="1" x14ac:dyDescent="0.25">
      <c r="A51" s="4354"/>
      <c r="B51" s="4402" t="s">
        <v>651</v>
      </c>
      <c r="C51" s="4354"/>
      <c r="D51" s="4403" t="str">
        <f t="shared" si="3"/>
        <v>NIR Tier II Annex 3D-11 NIR, 2022 (2020)</v>
      </c>
      <c r="E51" s="4403" t="s">
        <v>970</v>
      </c>
      <c r="F51" s="4403" t="s">
        <v>970</v>
      </c>
      <c r="G51" s="4403" t="s">
        <v>970</v>
      </c>
      <c r="H51" s="4354"/>
      <c r="I51" s="4387" t="str">
        <f t="shared" si="1"/>
        <v>NO</v>
      </c>
      <c r="J51" s="4387" t="str">
        <f t="shared" si="2"/>
        <v>NO</v>
      </c>
      <c r="K51" s="4354"/>
      <c r="L51" s="4354"/>
      <c r="M51" s="4354"/>
    </row>
    <row r="52" spans="1:13" ht="15.75" thickBot="1" x14ac:dyDescent="0.3">
      <c r="A52" s="4354"/>
      <c r="B52" s="4354"/>
      <c r="C52" s="4354"/>
      <c r="D52" s="4354" t="str">
        <f t="shared" si="3"/>
        <v/>
      </c>
      <c r="E52" s="4356"/>
      <c r="F52" s="4354"/>
      <c r="G52" s="4354"/>
      <c r="H52" s="4354"/>
      <c r="I52" s="4387" t="str">
        <f t="shared" si="1"/>
        <v>NO</v>
      </c>
      <c r="J52" s="4387" t="str">
        <f t="shared" si="2"/>
        <v>NO</v>
      </c>
      <c r="K52" s="4354"/>
      <c r="L52" s="4354"/>
      <c r="M52" s="4354"/>
    </row>
    <row r="53" spans="1:13" ht="17.100000000000001" customHeight="1" thickBot="1" x14ac:dyDescent="0.3">
      <c r="A53" s="4354"/>
      <c r="B53" s="5118" t="s">
        <v>969</v>
      </c>
      <c r="C53" s="5119"/>
      <c r="D53" s="4405" t="str">
        <f t="shared" si="3"/>
        <v>CH4 konveteringsrate</v>
      </c>
      <c r="E53" s="4378" t="s">
        <v>967</v>
      </c>
      <c r="F53" s="4406" t="s">
        <v>967</v>
      </c>
      <c r="G53" s="4404" t="s">
        <v>967</v>
      </c>
      <c r="H53" s="4354"/>
      <c r="I53" s="4387" t="str">
        <f t="shared" si="1"/>
        <v>NO</v>
      </c>
      <c r="J53" s="4387" t="str">
        <f t="shared" si="2"/>
        <v>NO</v>
      </c>
      <c r="K53" s="4354"/>
      <c r="L53" s="4354"/>
      <c r="M53" s="4354"/>
    </row>
    <row r="54" spans="1:13" x14ac:dyDescent="0.25">
      <c r="A54" s="4354"/>
      <c r="B54" s="4407" t="s">
        <v>966</v>
      </c>
      <c r="C54" s="4408"/>
      <c r="D54" s="4409" t="str">
        <f>""&amp;IF($D$3=$E$3,E54,IF($D$3=$F$3,F54,IF($D$3=$G$3,G54,"-")))</f>
        <v>0,06</v>
      </c>
      <c r="E54" s="4410">
        <f>Table3.As1_2018!D11/100</f>
        <v>0.06</v>
      </c>
      <c r="F54" s="4411">
        <f>Table3.As1_2019!D11/100</f>
        <v>0.06</v>
      </c>
      <c r="G54" s="4412">
        <f>Table3.As1_2020!D11/100</f>
        <v>5.7599999999999998E-2</v>
      </c>
      <c r="H54" s="4354"/>
      <c r="I54" s="4387">
        <f t="shared" si="1"/>
        <v>0</v>
      </c>
      <c r="J54" s="4387">
        <f t="shared" si="2"/>
        <v>3.9999999999999994E-2</v>
      </c>
      <c r="K54" s="4354"/>
      <c r="L54" s="4354"/>
      <c r="M54" s="4354"/>
    </row>
    <row r="55" spans="1:13" x14ac:dyDescent="0.25">
      <c r="A55" s="4354"/>
      <c r="B55" s="4413" t="s">
        <v>965</v>
      </c>
      <c r="C55" s="4414"/>
      <c r="D55" s="4415" t="str">
        <f t="shared" si="3"/>
        <v>0,03</v>
      </c>
      <c r="E55" s="4416">
        <v>0.03</v>
      </c>
      <c r="F55" s="4416">
        <v>0.03</v>
      </c>
      <c r="G55" s="4416">
        <v>0.03</v>
      </c>
      <c r="H55" s="4354"/>
      <c r="I55" s="4387">
        <f t="shared" si="1"/>
        <v>0</v>
      </c>
      <c r="J55" s="4387">
        <f t="shared" si="2"/>
        <v>0</v>
      </c>
      <c r="K55" s="4354"/>
      <c r="L55" s="4354"/>
      <c r="M55" s="4354"/>
    </row>
    <row r="56" spans="1:13" x14ac:dyDescent="0.25">
      <c r="A56" s="4354"/>
      <c r="B56" s="4417" t="s">
        <v>964</v>
      </c>
      <c r="C56" s="4418"/>
      <c r="D56" s="4415" t="str">
        <f t="shared" si="3"/>
        <v>0,03</v>
      </c>
      <c r="E56" s="4416">
        <v>0.03</v>
      </c>
      <c r="F56" s="4416">
        <v>0.03</v>
      </c>
      <c r="G56" s="4416">
        <v>0.03</v>
      </c>
      <c r="H56" s="4354"/>
      <c r="I56" s="4387">
        <f t="shared" si="1"/>
        <v>0</v>
      </c>
      <c r="J56" s="4387">
        <f t="shared" si="2"/>
        <v>0</v>
      </c>
      <c r="K56" s="4354"/>
      <c r="L56" s="4354"/>
      <c r="M56" s="4354"/>
    </row>
    <row r="57" spans="1:13" x14ac:dyDescent="0.25">
      <c r="A57" s="4354"/>
      <c r="B57" s="4413" t="s">
        <v>330</v>
      </c>
      <c r="C57" s="4414"/>
      <c r="D57" s="4415" t="str">
        <f t="shared" si="3"/>
        <v>0,03</v>
      </c>
      <c r="E57" s="4416">
        <v>0.03</v>
      </c>
      <c r="F57" s="4416">
        <v>0.03</v>
      </c>
      <c r="G57" s="4416">
        <v>0.03</v>
      </c>
      <c r="H57" s="4354"/>
      <c r="I57" s="4387">
        <f t="shared" si="1"/>
        <v>0</v>
      </c>
      <c r="J57" s="4387">
        <f t="shared" si="2"/>
        <v>0</v>
      </c>
      <c r="K57" s="4354"/>
      <c r="L57" s="4354"/>
      <c r="M57" s="4354"/>
    </row>
    <row r="58" spans="1:13" x14ac:dyDescent="0.25">
      <c r="A58" s="4354"/>
      <c r="B58" s="4417" t="s">
        <v>340</v>
      </c>
      <c r="C58" s="4418"/>
      <c r="D58" s="4415" t="str">
        <f t="shared" si="3"/>
        <v>0,065</v>
      </c>
      <c r="E58" s="4419">
        <f>Table3.As1_2018!D12/100</f>
        <v>6.5000000000000002E-2</v>
      </c>
      <c r="F58" s="4420">
        <f>Table3.As1_2019!D12/100</f>
        <v>6.5000000000000002E-2</v>
      </c>
      <c r="G58" s="4421">
        <f>Table3.As1_2020!D12/100</f>
        <v>6.5000000000000002E-2</v>
      </c>
      <c r="H58" s="4354"/>
      <c r="I58" s="4387">
        <f t="shared" si="1"/>
        <v>0</v>
      </c>
      <c r="J58" s="4387">
        <f t="shared" si="2"/>
        <v>0</v>
      </c>
      <c r="K58" s="4354"/>
      <c r="L58" s="4354"/>
      <c r="M58" s="4354"/>
    </row>
    <row r="59" spans="1:13" x14ac:dyDescent="0.25">
      <c r="A59" s="4354"/>
      <c r="B59" s="4413" t="s">
        <v>336</v>
      </c>
      <c r="C59" s="4414"/>
      <c r="D59" s="4415" t="str">
        <f t="shared" si="3"/>
        <v>0,065</v>
      </c>
      <c r="E59" s="4419">
        <f>Table3.As1_2018!D12/100</f>
        <v>6.5000000000000002E-2</v>
      </c>
      <c r="F59" s="4420">
        <f>Table3.As1_2019!D12/100</f>
        <v>6.5000000000000002E-2</v>
      </c>
      <c r="G59" s="4421">
        <f>Table3.As1_2020!D12/100</f>
        <v>6.5000000000000002E-2</v>
      </c>
      <c r="H59" s="4354"/>
      <c r="I59" s="4387">
        <f t="shared" si="1"/>
        <v>0</v>
      </c>
      <c r="J59" s="4387">
        <f t="shared" si="2"/>
        <v>0</v>
      </c>
      <c r="K59" s="4354"/>
      <c r="L59" s="4354"/>
      <c r="M59" s="4354"/>
    </row>
    <row r="60" spans="1:13" x14ac:dyDescent="0.25">
      <c r="A60" s="4354"/>
      <c r="B60" s="4417" t="s">
        <v>329</v>
      </c>
      <c r="C60" s="4418"/>
      <c r="D60" s="4415" t="str">
        <f t="shared" si="3"/>
        <v>0,065</v>
      </c>
      <c r="E60" s="4419">
        <f>Table3.As1_2018!D12/100</f>
        <v>6.5000000000000002E-2</v>
      </c>
      <c r="F60" s="4420">
        <f>Table3.As1_2019!D12/100</f>
        <v>6.5000000000000002E-2</v>
      </c>
      <c r="G60" s="4421">
        <f>Table3.As1_2020!D12/100</f>
        <v>6.5000000000000002E-2</v>
      </c>
      <c r="H60" s="4354"/>
      <c r="I60" s="4387">
        <f t="shared" si="1"/>
        <v>0</v>
      </c>
      <c r="J60" s="4387">
        <f t="shared" si="2"/>
        <v>0</v>
      </c>
      <c r="K60" s="4354"/>
      <c r="L60" s="4354"/>
      <c r="M60" s="4354"/>
    </row>
    <row r="61" spans="1:13" x14ac:dyDescent="0.25">
      <c r="A61" s="4354"/>
      <c r="B61" s="4413" t="s">
        <v>342</v>
      </c>
      <c r="C61" s="4414"/>
      <c r="D61" s="4415" t="str">
        <f t="shared" si="3"/>
        <v>0,006</v>
      </c>
      <c r="E61" s="4419">
        <f>Table3.As1_2018!D24/100</f>
        <v>6.0000000000000001E-3</v>
      </c>
      <c r="F61" s="4420">
        <f>Table3.As1_2019!D24/100</f>
        <v>6.0000000000000001E-3</v>
      </c>
      <c r="G61" s="4421">
        <f>Table3.As1_2020!D24/100</f>
        <v>6.0000000000000001E-3</v>
      </c>
      <c r="H61" s="4354"/>
      <c r="I61" s="4387">
        <f t="shared" si="1"/>
        <v>0</v>
      </c>
      <c r="J61" s="4387">
        <f t="shared" si="2"/>
        <v>0</v>
      </c>
      <c r="K61" s="4354"/>
      <c r="L61" s="4354"/>
      <c r="M61" s="4354"/>
    </row>
    <row r="62" spans="1:13" x14ac:dyDescent="0.25">
      <c r="A62" s="4354"/>
      <c r="B62" s="4417" t="s">
        <v>339</v>
      </c>
      <c r="C62" s="4418"/>
      <c r="D62" s="4415" t="str">
        <f t="shared" si="3"/>
        <v>0,006</v>
      </c>
      <c r="E62" s="4419">
        <f>Table3.As1_2018!D24/100</f>
        <v>6.0000000000000001E-3</v>
      </c>
      <c r="F62" s="4420">
        <f>Table3.As1_2019!D24/100</f>
        <v>6.0000000000000001E-3</v>
      </c>
      <c r="G62" s="4421">
        <f>Table3.As1_2020!D24/100</f>
        <v>6.0000000000000001E-3</v>
      </c>
      <c r="H62" s="4354"/>
      <c r="I62" s="4387">
        <f t="shared" si="1"/>
        <v>0</v>
      </c>
      <c r="J62" s="4387">
        <f t="shared" si="2"/>
        <v>0</v>
      </c>
      <c r="K62" s="4354"/>
      <c r="L62" s="4354"/>
      <c r="M62" s="4354"/>
    </row>
    <row r="63" spans="1:13" x14ac:dyDescent="0.25">
      <c r="A63" s="4354"/>
      <c r="B63" s="4413" t="s">
        <v>332</v>
      </c>
      <c r="C63" s="4414"/>
      <c r="D63" s="4415" t="str">
        <f t="shared" si="3"/>
        <v>0,006</v>
      </c>
      <c r="E63" s="4419">
        <f>Table3.As1_2018!D24/100</f>
        <v>6.0000000000000001E-3</v>
      </c>
      <c r="F63" s="4420">
        <f>Table3.As1_2019!D24/100</f>
        <v>6.0000000000000001E-3</v>
      </c>
      <c r="G63" s="4421">
        <f>Table3.As1_2020!D24/100</f>
        <v>6.0000000000000001E-3</v>
      </c>
      <c r="H63" s="4354"/>
      <c r="I63" s="4387">
        <f t="shared" si="1"/>
        <v>0</v>
      </c>
      <c r="J63" s="4387">
        <f t="shared" si="2"/>
        <v>0</v>
      </c>
      <c r="K63" s="4354"/>
      <c r="L63" s="4354"/>
      <c r="M63" s="4354"/>
    </row>
    <row r="64" spans="1:13" x14ac:dyDescent="0.25">
      <c r="A64" s="4354"/>
      <c r="B64" s="4417" t="s">
        <v>948</v>
      </c>
      <c r="C64" s="4418"/>
      <c r="D64" s="4415" t="str">
        <f t="shared" si="3"/>
        <v>0,006</v>
      </c>
      <c r="E64" s="4419">
        <f>Table3.As1_2018!D24/100</f>
        <v>6.0000000000000001E-3</v>
      </c>
      <c r="F64" s="4420">
        <f>Table3.As1_2019!D24/100</f>
        <v>6.0000000000000001E-3</v>
      </c>
      <c r="G64" s="4421">
        <f>Table3.As1_2020!D24/100</f>
        <v>6.0000000000000001E-3</v>
      </c>
      <c r="H64" s="4354"/>
      <c r="I64" s="4387">
        <f t="shared" si="1"/>
        <v>0</v>
      </c>
      <c r="J64" s="4387">
        <f t="shared" si="2"/>
        <v>0</v>
      </c>
      <c r="K64" s="4354"/>
      <c r="L64" s="4354"/>
      <c r="M64" s="4354"/>
    </row>
    <row r="65" spans="1:13" x14ac:dyDescent="0.25">
      <c r="A65" s="4354"/>
      <c r="B65" s="4413" t="s">
        <v>963</v>
      </c>
      <c r="C65" s="4414"/>
      <c r="D65" s="4415" t="str">
        <f t="shared" si="3"/>
        <v>0,065</v>
      </c>
      <c r="E65" s="4419">
        <f>Table3.As1_2018!D21/100</f>
        <v>6.5000000000000002E-2</v>
      </c>
      <c r="F65" s="4420">
        <f>Table3.As1_2019!D21/100</f>
        <v>6.5000000000000002E-2</v>
      </c>
      <c r="G65" s="4421">
        <f>Table3.As1_2020!D21/100</f>
        <v>6.5000000000000002E-2</v>
      </c>
      <c r="H65" s="4354"/>
      <c r="I65" s="4387">
        <f t="shared" si="1"/>
        <v>0</v>
      </c>
      <c r="J65" s="4387">
        <f t="shared" si="2"/>
        <v>0</v>
      </c>
      <c r="K65" s="4354"/>
      <c r="L65" s="4354"/>
      <c r="M65" s="4354"/>
    </row>
    <row r="66" spans="1:13" x14ac:dyDescent="0.25">
      <c r="A66" s="4354"/>
      <c r="B66" s="4417" t="s">
        <v>962</v>
      </c>
      <c r="C66" s="4418"/>
      <c r="D66" s="4415" t="str">
        <f t="shared" si="3"/>
        <v>0,05</v>
      </c>
      <c r="E66" s="4419">
        <f>Table3.As1_2018!D26/100</f>
        <v>0.05</v>
      </c>
      <c r="F66" s="4420">
        <f>Table3.As1_2019!D26/100</f>
        <v>0.05</v>
      </c>
      <c r="G66" s="4421">
        <f>Table3.As1_2020!D26/100</f>
        <v>0.05</v>
      </c>
      <c r="H66" s="4354"/>
      <c r="I66" s="4387">
        <f t="shared" si="1"/>
        <v>0</v>
      </c>
      <c r="J66" s="4387">
        <f t="shared" si="2"/>
        <v>0</v>
      </c>
      <c r="K66" s="4354"/>
      <c r="L66" s="4354"/>
      <c r="M66" s="4354"/>
    </row>
    <row r="67" spans="1:13" x14ac:dyDescent="0.25">
      <c r="A67" s="4354"/>
      <c r="B67" s="4413" t="s">
        <v>961</v>
      </c>
      <c r="C67" s="4414"/>
      <c r="D67" s="4415" t="str">
        <f t="shared" si="3"/>
        <v>0,05</v>
      </c>
      <c r="E67" s="4419">
        <f>Table3.As1_2018!D27/100</f>
        <v>0.05</v>
      </c>
      <c r="F67" s="4420">
        <f>Table3.As1_2019!D27/100</f>
        <v>0.05</v>
      </c>
      <c r="G67" s="4421">
        <f>Table3.As1_2020!D27/100</f>
        <v>0.05</v>
      </c>
      <c r="H67" s="4354"/>
      <c r="I67" s="4387">
        <f t="shared" si="1"/>
        <v>0</v>
      </c>
      <c r="J67" s="4387">
        <f t="shared" si="2"/>
        <v>0</v>
      </c>
      <c r="K67" s="4354"/>
      <c r="L67" s="4354"/>
      <c r="M67" s="4354"/>
    </row>
    <row r="68" spans="1:13" x14ac:dyDescent="0.25">
      <c r="A68" s="4354"/>
      <c r="B68" s="4417" t="s">
        <v>337</v>
      </c>
      <c r="C68" s="4418"/>
      <c r="D68" s="4422" t="str">
        <f t="shared" si="3"/>
        <v>NA</v>
      </c>
      <c r="E68" s="4423" t="s">
        <v>799</v>
      </c>
      <c r="F68" s="4416" t="s">
        <v>799</v>
      </c>
      <c r="G68" s="4424" t="s">
        <v>799</v>
      </c>
      <c r="H68" s="4354"/>
      <c r="I68" s="4387" t="str">
        <f t="shared" si="1"/>
        <v>NO</v>
      </c>
      <c r="J68" s="4387" t="str">
        <f t="shared" si="2"/>
        <v>NO</v>
      </c>
      <c r="K68" s="4354"/>
      <c r="L68" s="4354"/>
      <c r="M68" s="4354"/>
    </row>
    <row r="69" spans="1:13" x14ac:dyDescent="0.25">
      <c r="A69" s="4354"/>
      <c r="B69" s="4413" t="s">
        <v>334</v>
      </c>
      <c r="C69" s="4414"/>
      <c r="D69" s="4415" t="str">
        <f t="shared" si="3"/>
        <v>0,025</v>
      </c>
      <c r="E69" s="4419">
        <f>Table3.As1_2018!D28/100</f>
        <v>2.5000000000000001E-2</v>
      </c>
      <c r="F69" s="4420">
        <f>Table3.As1_2019!D28/100</f>
        <v>2.5000000000000001E-2</v>
      </c>
      <c r="G69" s="4421">
        <f>Table3.As1_2020!D28/100</f>
        <v>2.5000000000000001E-2</v>
      </c>
      <c r="H69" s="4354"/>
      <c r="I69" s="4387">
        <f t="shared" si="1"/>
        <v>0</v>
      </c>
      <c r="J69" s="4387">
        <f t="shared" si="2"/>
        <v>0</v>
      </c>
      <c r="K69" s="4354"/>
      <c r="L69" s="4354"/>
      <c r="M69" s="4354"/>
    </row>
    <row r="70" spans="1:13" ht="15.75" thickBot="1" x14ac:dyDescent="0.3">
      <c r="A70" s="4354"/>
      <c r="B70" s="4407" t="s">
        <v>331</v>
      </c>
      <c r="C70" s="4408"/>
      <c r="D70" s="4425" t="str">
        <f t="shared" si="3"/>
        <v>NA</v>
      </c>
      <c r="E70" s="4426" t="s">
        <v>799</v>
      </c>
      <c r="F70" s="4426" t="s">
        <v>799</v>
      </c>
      <c r="G70" s="4426" t="s">
        <v>799</v>
      </c>
      <c r="H70" s="4354"/>
      <c r="I70" s="4387" t="str">
        <f t="shared" si="1"/>
        <v>NO</v>
      </c>
      <c r="J70" s="4387" t="str">
        <f t="shared" si="2"/>
        <v>NO</v>
      </c>
      <c r="K70" s="4354"/>
      <c r="L70" s="4354"/>
      <c r="M70" s="4354"/>
    </row>
    <row r="71" spans="1:13" ht="15.75" thickBot="1" x14ac:dyDescent="0.3">
      <c r="A71" s="4354"/>
      <c r="B71" s="5128" t="s">
        <v>228</v>
      </c>
      <c r="C71" s="5129"/>
      <c r="D71" s="4427" t="str">
        <f t="shared" si="3"/>
        <v/>
      </c>
      <c r="E71" s="4428"/>
      <c r="F71" s="4429"/>
      <c r="G71" s="4430"/>
      <c r="H71" s="4354"/>
      <c r="I71" s="4387" t="str">
        <f t="shared" si="1"/>
        <v>NO</v>
      </c>
      <c r="J71" s="4387" t="str">
        <f t="shared" si="2"/>
        <v>NO</v>
      </c>
      <c r="K71" s="4354"/>
      <c r="L71" s="4354"/>
      <c r="M71" s="4354"/>
    </row>
    <row r="72" spans="1:13" x14ac:dyDescent="0.25">
      <c r="A72" s="4354"/>
      <c r="B72" s="4354"/>
      <c r="C72" s="4354"/>
      <c r="D72" s="4354" t="str">
        <f t="shared" si="3"/>
        <v/>
      </c>
      <c r="E72" s="4356"/>
      <c r="F72" s="4354"/>
      <c r="G72" s="4354"/>
      <c r="H72" s="4354"/>
      <c r="I72" s="4387" t="str">
        <f t="shared" si="1"/>
        <v>NO</v>
      </c>
      <c r="J72" s="4387" t="str">
        <f t="shared" si="2"/>
        <v>NO</v>
      </c>
      <c r="K72" s="4354"/>
      <c r="L72" s="4354"/>
      <c r="M72" s="4354"/>
    </row>
    <row r="73" spans="1:13" ht="53.25" customHeight="1" x14ac:dyDescent="0.25">
      <c r="A73" s="4354"/>
      <c r="B73" s="4402" t="s">
        <v>651</v>
      </c>
      <c r="C73" s="4354"/>
      <c r="D73" s="4431" t="str">
        <f t="shared" si="3"/>
        <v>NIR Tier II 2020 (2018) Tabel  5.7 og 5.8 og CRF Tabel 3.As1 2020 (2018)</v>
      </c>
      <c r="E73" s="4403" t="s">
        <v>5310</v>
      </c>
      <c r="F73" s="4403" t="s">
        <v>5311</v>
      </c>
      <c r="G73" s="4403" t="s">
        <v>960</v>
      </c>
      <c r="H73" s="4354"/>
      <c r="I73" s="4387" t="str">
        <f t="shared" si="1"/>
        <v>NO</v>
      </c>
      <c r="J73" s="4387" t="str">
        <f t="shared" si="2"/>
        <v>NO</v>
      </c>
      <c r="K73" s="4354"/>
      <c r="L73" s="4354"/>
      <c r="M73" s="4354"/>
    </row>
    <row r="74" spans="1:13" x14ac:dyDescent="0.25">
      <c r="A74" s="4354"/>
      <c r="B74" s="4354"/>
      <c r="C74" s="4354"/>
      <c r="D74" s="4354" t="str">
        <f t="shared" si="3"/>
        <v/>
      </c>
      <c r="E74" s="4356"/>
      <c r="F74" s="4354"/>
      <c r="G74" s="4354"/>
      <c r="H74" s="4354"/>
      <c r="I74" s="4387" t="str">
        <f t="shared" si="1"/>
        <v>NO</v>
      </c>
      <c r="J74" s="4387" t="str">
        <f t="shared" si="2"/>
        <v>NO</v>
      </c>
      <c r="K74" s="4354"/>
      <c r="L74" s="4354"/>
      <c r="M74" s="4354"/>
    </row>
    <row r="75" spans="1:13" s="640" customFormat="1" ht="25.5" customHeight="1" x14ac:dyDescent="0.3">
      <c r="A75" s="4357"/>
      <c r="B75" s="4432" t="s">
        <v>959</v>
      </c>
      <c r="C75" s="4357"/>
      <c r="D75" s="4357" t="str">
        <f t="shared" si="3"/>
        <v/>
      </c>
      <c r="E75" s="4357"/>
      <c r="F75" s="4357"/>
      <c r="G75" s="4357"/>
      <c r="H75" s="4357"/>
      <c r="I75" s="4387" t="str">
        <f t="shared" si="1"/>
        <v>NO</v>
      </c>
      <c r="J75" s="4387" t="str">
        <f t="shared" si="2"/>
        <v>NO</v>
      </c>
      <c r="K75" s="4357"/>
      <c r="L75" s="4357"/>
      <c r="M75" s="4357"/>
    </row>
    <row r="76" spans="1:13" x14ac:dyDescent="0.25">
      <c r="A76" s="4354"/>
      <c r="B76" s="4354"/>
      <c r="C76" s="4354"/>
      <c r="D76" s="4354" t="str">
        <f t="shared" si="3"/>
        <v/>
      </c>
      <c r="E76" s="4356"/>
      <c r="F76" s="4354"/>
      <c r="G76" s="4354"/>
      <c r="H76" s="4354"/>
      <c r="I76" s="4387" t="str">
        <f t="shared" si="1"/>
        <v>NO</v>
      </c>
      <c r="J76" s="4387" t="str">
        <f t="shared" si="2"/>
        <v>NO</v>
      </c>
      <c r="K76" s="4354"/>
      <c r="L76" s="4354"/>
      <c r="M76" s="4354"/>
    </row>
    <row r="77" spans="1:13" x14ac:dyDescent="0.25">
      <c r="A77" s="4354"/>
      <c r="B77" s="4433" t="s">
        <v>4215</v>
      </c>
      <c r="C77" s="4354"/>
      <c r="D77" s="4354" t="str">
        <f t="shared" si="3"/>
        <v/>
      </c>
      <c r="E77" s="4356"/>
      <c r="F77" s="4354"/>
      <c r="G77" s="4354"/>
      <c r="H77" s="4354"/>
      <c r="I77" s="4387" t="str">
        <f t="shared" si="1"/>
        <v>NO</v>
      </c>
      <c r="J77" s="4387" t="str">
        <f t="shared" si="2"/>
        <v>NO</v>
      </c>
      <c r="K77" s="4354"/>
      <c r="L77" s="4354"/>
      <c r="M77" s="4354"/>
    </row>
    <row r="78" spans="1:13" x14ac:dyDescent="0.25">
      <c r="A78" s="4354"/>
      <c r="B78" s="4354"/>
      <c r="C78" s="4354"/>
      <c r="D78" s="4354" t="str">
        <f t="shared" si="3"/>
        <v/>
      </c>
      <c r="E78" s="4356"/>
      <c r="F78" s="4354"/>
      <c r="G78" s="4354"/>
      <c r="H78" s="4354"/>
      <c r="I78" s="4387" t="str">
        <f t="shared" si="1"/>
        <v>NO</v>
      </c>
      <c r="J78" s="4387" t="str">
        <f t="shared" si="2"/>
        <v>NO</v>
      </c>
      <c r="K78" s="4354"/>
      <c r="L78" s="4354"/>
      <c r="M78" s="4354"/>
    </row>
    <row r="79" spans="1:13" s="640" customFormat="1" ht="26.25" customHeight="1" x14ac:dyDescent="0.3">
      <c r="A79" s="4357"/>
      <c r="B79" s="4432" t="s">
        <v>953</v>
      </c>
      <c r="C79" s="4357"/>
      <c r="D79" s="4357" t="str">
        <f t="shared" si="3"/>
        <v/>
      </c>
      <c r="E79" s="4357"/>
      <c r="F79" s="4357"/>
      <c r="G79" s="4357"/>
      <c r="H79" s="4357"/>
      <c r="I79" s="4387" t="str">
        <f t="shared" si="1"/>
        <v>NO</v>
      </c>
      <c r="J79" s="4387" t="str">
        <f t="shared" si="2"/>
        <v>NO</v>
      </c>
      <c r="K79" s="4357"/>
      <c r="L79" s="4357"/>
      <c r="M79" s="4357"/>
    </row>
    <row r="80" spans="1:13" x14ac:dyDescent="0.25">
      <c r="A80" s="4354"/>
      <c r="B80" s="4354"/>
      <c r="C80" s="4354"/>
      <c r="D80" s="4354" t="str">
        <f t="shared" si="3"/>
        <v/>
      </c>
      <c r="E80" s="4356"/>
      <c r="F80" s="4354"/>
      <c r="G80" s="4354"/>
      <c r="H80" s="4354"/>
      <c r="I80" s="4387" t="str">
        <f t="shared" si="1"/>
        <v>NO</v>
      </c>
      <c r="J80" s="4387" t="str">
        <f t="shared" si="2"/>
        <v>NO</v>
      </c>
      <c r="K80" s="4354"/>
      <c r="L80" s="4354"/>
      <c r="M80" s="4354"/>
    </row>
    <row r="81" spans="1:13" x14ac:dyDescent="0.25">
      <c r="A81" s="4354"/>
      <c r="B81" s="4433" t="s">
        <v>4215</v>
      </c>
      <c r="C81" s="4354"/>
      <c r="D81" s="4354" t="str">
        <f t="shared" si="3"/>
        <v/>
      </c>
      <c r="E81" s="4356"/>
      <c r="F81" s="4354"/>
      <c r="G81" s="4354"/>
      <c r="H81" s="4354"/>
      <c r="I81" s="4387" t="str">
        <f t="shared" si="1"/>
        <v>NO</v>
      </c>
      <c r="J81" s="4387" t="str">
        <f t="shared" si="2"/>
        <v>NO</v>
      </c>
      <c r="K81" s="4354"/>
      <c r="L81" s="4354"/>
      <c r="M81" s="4354"/>
    </row>
    <row r="82" spans="1:13" x14ac:dyDescent="0.25">
      <c r="A82" s="4354"/>
      <c r="B82" s="4354"/>
      <c r="C82" s="4354"/>
      <c r="D82" s="4354" t="str">
        <f t="shared" si="3"/>
        <v/>
      </c>
      <c r="E82" s="4356"/>
      <c r="F82" s="4354"/>
      <c r="G82" s="4354"/>
      <c r="H82" s="4354"/>
      <c r="I82" s="4387" t="str">
        <f t="shared" si="1"/>
        <v>NO</v>
      </c>
      <c r="J82" s="4387" t="str">
        <f t="shared" si="2"/>
        <v>NO</v>
      </c>
      <c r="K82" s="4354"/>
      <c r="L82" s="4354"/>
      <c r="M82" s="4354"/>
    </row>
    <row r="83" spans="1:13" s="640" customFormat="1" ht="27.75" customHeight="1" x14ac:dyDescent="0.3">
      <c r="A83" s="4357"/>
      <c r="B83" s="4432" t="s">
        <v>952</v>
      </c>
      <c r="C83" s="4357"/>
      <c r="D83" s="4357" t="str">
        <f t="shared" si="3"/>
        <v/>
      </c>
      <c r="E83" s="4357"/>
      <c r="F83" s="4357"/>
      <c r="G83" s="4357"/>
      <c r="H83" s="4357"/>
      <c r="I83" s="4387" t="str">
        <f t="shared" si="1"/>
        <v>NO</v>
      </c>
      <c r="J83" s="4387" t="str">
        <f t="shared" si="2"/>
        <v>NO</v>
      </c>
      <c r="K83" s="4357"/>
      <c r="L83" s="4357"/>
      <c r="M83" s="4357"/>
    </row>
    <row r="84" spans="1:13" x14ac:dyDescent="0.25">
      <c r="A84" s="4354"/>
      <c r="B84" s="4354"/>
      <c r="C84" s="4354"/>
      <c r="D84" s="4354" t="str">
        <f t="shared" ref="D84:D93" si="4">""&amp;IF($D$3=$E$3,E84,IF($D$3=$F$3,F84,IF($D$3=$G$3,G84,"-")))</f>
        <v/>
      </c>
      <c r="E84" s="4356"/>
      <c r="F84" s="4354"/>
      <c r="G84" s="4354"/>
      <c r="H84" s="4354"/>
      <c r="I84" s="4387" t="str">
        <f t="shared" si="1"/>
        <v>NO</v>
      </c>
      <c r="J84" s="4387" t="str">
        <f t="shared" si="2"/>
        <v>NO</v>
      </c>
      <c r="K84" s="4354"/>
      <c r="L84" s="4354"/>
      <c r="M84" s="4354"/>
    </row>
    <row r="85" spans="1:13" x14ac:dyDescent="0.25">
      <c r="A85" s="4354"/>
      <c r="B85" s="4433" t="s">
        <v>4215</v>
      </c>
      <c r="C85" s="4354"/>
      <c r="D85" s="4354" t="str">
        <f t="shared" si="4"/>
        <v/>
      </c>
      <c r="E85" s="4356"/>
      <c r="F85" s="4354"/>
      <c r="G85" s="4354"/>
      <c r="H85" s="4354"/>
      <c r="I85" s="4387" t="str">
        <f t="shared" si="1"/>
        <v>NO</v>
      </c>
      <c r="J85" s="4387" t="str">
        <f t="shared" si="2"/>
        <v>NO</v>
      </c>
      <c r="K85" s="4354"/>
      <c r="L85" s="4354"/>
      <c r="M85" s="4354"/>
    </row>
    <row r="86" spans="1:13" x14ac:dyDescent="0.25">
      <c r="A86" s="4354"/>
      <c r="B86" s="4354"/>
      <c r="C86" s="4354"/>
      <c r="D86" s="4354" t="str">
        <f t="shared" si="4"/>
        <v/>
      </c>
      <c r="E86" s="4356"/>
      <c r="F86" s="4354"/>
      <c r="G86" s="4354"/>
      <c r="H86" s="4354"/>
      <c r="I86" s="4387" t="str">
        <f t="shared" si="1"/>
        <v>NO</v>
      </c>
      <c r="J86" s="4387" t="str">
        <f t="shared" si="2"/>
        <v>NO</v>
      </c>
      <c r="K86" s="4354"/>
      <c r="L86" s="4354"/>
      <c r="M86" s="4354"/>
    </row>
    <row r="87" spans="1:13" s="640" customFormat="1" ht="28.5" customHeight="1" x14ac:dyDescent="0.3">
      <c r="A87" s="4357"/>
      <c r="B87" s="4432" t="s">
        <v>949</v>
      </c>
      <c r="C87" s="4357"/>
      <c r="D87" s="4357" t="str">
        <f t="shared" si="4"/>
        <v/>
      </c>
      <c r="E87" s="4357"/>
      <c r="F87" s="4357"/>
      <c r="G87" s="4357"/>
      <c r="H87" s="4357"/>
      <c r="I87" s="4387" t="str">
        <f t="shared" si="1"/>
        <v>NO</v>
      </c>
      <c r="J87" s="4387" t="str">
        <f t="shared" si="2"/>
        <v>NO</v>
      </c>
      <c r="K87" s="4357"/>
      <c r="L87" s="4357"/>
      <c r="M87" s="4357"/>
    </row>
    <row r="88" spans="1:13" x14ac:dyDescent="0.25">
      <c r="A88" s="4354"/>
      <c r="B88" s="4354"/>
      <c r="C88" s="4354"/>
      <c r="D88" s="4354" t="str">
        <f t="shared" si="4"/>
        <v/>
      </c>
      <c r="E88" s="4356"/>
      <c r="F88" s="4354"/>
      <c r="G88" s="4354"/>
      <c r="H88" s="4354"/>
      <c r="I88" s="4387" t="str">
        <f t="shared" si="1"/>
        <v>NO</v>
      </c>
      <c r="J88" s="4387" t="str">
        <f t="shared" si="2"/>
        <v>NO</v>
      </c>
      <c r="K88" s="4354"/>
      <c r="L88" s="4354"/>
      <c r="M88" s="4354"/>
    </row>
    <row r="89" spans="1:13" x14ac:dyDescent="0.25">
      <c r="A89" s="4354"/>
      <c r="B89" s="4433" t="s">
        <v>4215</v>
      </c>
      <c r="C89" s="4354"/>
      <c r="D89" s="4354"/>
      <c r="E89" s="4356"/>
      <c r="F89" s="4354"/>
      <c r="G89" s="4354"/>
      <c r="H89" s="4354"/>
      <c r="I89" s="4387" t="str">
        <f t="shared" si="1"/>
        <v>NO</v>
      </c>
      <c r="J89" s="4387" t="str">
        <f t="shared" si="2"/>
        <v>NO</v>
      </c>
      <c r="K89" s="4354"/>
      <c r="L89" s="4354"/>
      <c r="M89" s="4354"/>
    </row>
    <row r="90" spans="1:13" x14ac:dyDescent="0.25">
      <c r="A90" s="4354"/>
      <c r="B90" s="4354"/>
      <c r="C90" s="4354"/>
      <c r="D90" s="4354" t="str">
        <f t="shared" si="4"/>
        <v/>
      </c>
      <c r="E90" s="4356"/>
      <c r="F90" s="4354"/>
      <c r="G90" s="4354"/>
      <c r="H90" s="4354"/>
      <c r="I90" s="4387" t="str">
        <f t="shared" si="1"/>
        <v>NO</v>
      </c>
      <c r="J90" s="4387" t="str">
        <f t="shared" si="2"/>
        <v>NO</v>
      </c>
      <c r="K90" s="4354"/>
      <c r="L90" s="4354"/>
      <c r="M90" s="4354"/>
    </row>
    <row r="91" spans="1:13" s="640" customFormat="1" ht="28.5" customHeight="1" x14ac:dyDescent="0.3">
      <c r="A91" s="4357"/>
      <c r="B91" s="4432" t="s">
        <v>946</v>
      </c>
      <c r="C91" s="4357"/>
      <c r="D91" s="4357" t="str">
        <f t="shared" si="4"/>
        <v/>
      </c>
      <c r="E91" s="4357"/>
      <c r="F91" s="4357"/>
      <c r="G91" s="4357"/>
      <c r="H91" s="4357"/>
      <c r="I91" s="4387" t="str">
        <f t="shared" ref="I91:J154" si="5">IFERROR(ABS(F91-E91)/E91,"NO")</f>
        <v>NO</v>
      </c>
      <c r="J91" s="4387" t="str">
        <f t="shared" si="5"/>
        <v>NO</v>
      </c>
      <c r="K91" s="4357"/>
      <c r="L91" s="4357"/>
      <c r="M91" s="4357"/>
    </row>
    <row r="92" spans="1:13" ht="15.75" thickBot="1" x14ac:dyDescent="0.3">
      <c r="A92" s="4354"/>
      <c r="B92" s="4354"/>
      <c r="C92" s="4354"/>
      <c r="D92" s="4354" t="str">
        <f t="shared" si="4"/>
        <v/>
      </c>
      <c r="E92" s="4356"/>
      <c r="F92" s="4354"/>
      <c r="G92" s="4354"/>
      <c r="H92" s="4354"/>
      <c r="I92" s="4387" t="str">
        <f t="shared" si="5"/>
        <v>NO</v>
      </c>
      <c r="J92" s="4387" t="str">
        <f t="shared" si="5"/>
        <v>NO</v>
      </c>
      <c r="K92" s="4354"/>
      <c r="L92" s="4354"/>
      <c r="M92" s="4354"/>
    </row>
    <row r="93" spans="1:13" ht="31.5" customHeight="1" thickBot="1" x14ac:dyDescent="0.3">
      <c r="A93" s="4354"/>
      <c r="B93" s="5132" t="s">
        <v>945</v>
      </c>
      <c r="C93" s="5133"/>
      <c r="D93" s="4434" t="str">
        <f t="shared" si="4"/>
        <v xml:space="preserve">AGDM(T) Tørstofindhold i afgrøderester over jord </v>
      </c>
      <c r="E93" s="4435" t="s">
        <v>5221</v>
      </c>
      <c r="F93" s="4436" t="s">
        <v>5221</v>
      </c>
      <c r="G93" s="4437" t="s">
        <v>5221</v>
      </c>
      <c r="H93" s="4354"/>
      <c r="I93" s="4387" t="str">
        <f t="shared" si="5"/>
        <v>NO</v>
      </c>
      <c r="J93" s="4387" t="str">
        <f t="shared" si="5"/>
        <v>NO</v>
      </c>
      <c r="K93" s="4354"/>
      <c r="L93" s="4354"/>
      <c r="M93" s="4354"/>
    </row>
    <row r="94" spans="1:13" x14ac:dyDescent="0.25">
      <c r="A94" s="4354"/>
      <c r="B94" s="5134" t="s">
        <v>944</v>
      </c>
      <c r="C94" s="5135"/>
      <c r="D94" s="4440">
        <f>IF($D$3=$E$3,E94,IF($D$3=$F$3,F94,IF($D$3=$G$3,G94,"-")))</f>
        <v>8491.1597339062973</v>
      </c>
      <c r="E94" s="4441">
        <f>'Annex 3D-20 20'!AD5</f>
        <v>8491.1597339062973</v>
      </c>
      <c r="F94" s="4442">
        <f>'Annex 3D-20 20'!AE5</f>
        <v>11326.10970130832</v>
      </c>
      <c r="G94" s="4443">
        <f>'Annex 3D-20 20'!AF5</f>
        <v>11375.10353401111</v>
      </c>
      <c r="H94" s="4354"/>
      <c r="I94" s="4387">
        <f t="shared" si="5"/>
        <v>0.33387076162066548</v>
      </c>
      <c r="J94" s="4387">
        <f t="shared" si="5"/>
        <v>4.3257423771139048E-3</v>
      </c>
      <c r="K94" s="4354"/>
      <c r="L94" s="4354"/>
      <c r="M94" s="4354"/>
    </row>
    <row r="95" spans="1:13" x14ac:dyDescent="0.25">
      <c r="A95" s="4354"/>
      <c r="B95" s="5112" t="s">
        <v>943</v>
      </c>
      <c r="C95" s="5113"/>
      <c r="D95" s="4446">
        <f t="shared" ref="D95:D102" si="6">IF($D$3=$E$3,E95,IF($D$3=$F$3,F95,IF($D$3=$G$3,G95,"-")))</f>
        <v>4380.9988335925345</v>
      </c>
      <c r="E95" s="4447">
        <f>'Annex 3D-20 20'!AD6</f>
        <v>4380.9988335925345</v>
      </c>
      <c r="F95" s="4448">
        <f>'Annex 3D-20 20'!AE6</f>
        <v>6072.2073459715639</v>
      </c>
      <c r="G95" s="4449">
        <f>'Annex 3D-20 20'!AF6</f>
        <v>5996.4849081364828</v>
      </c>
      <c r="H95" s="4354"/>
      <c r="I95" s="4387">
        <f t="shared" si="5"/>
        <v>0.38603263242418939</v>
      </c>
      <c r="J95" s="4387">
        <f t="shared" si="5"/>
        <v>1.2470331383745821E-2</v>
      </c>
      <c r="K95" s="4354"/>
      <c r="L95" s="4354"/>
      <c r="M95" s="4354"/>
    </row>
    <row r="96" spans="1:13" x14ac:dyDescent="0.25">
      <c r="A96" s="4354"/>
      <c r="B96" s="5112" t="s">
        <v>942</v>
      </c>
      <c r="C96" s="5113"/>
      <c r="D96" s="4446">
        <f t="shared" si="6"/>
        <v>4965.909283959948</v>
      </c>
      <c r="E96" s="4447">
        <f>'Annex 3D-20 20'!AD7</f>
        <v>4965.909283959948</v>
      </c>
      <c r="F96" s="4448">
        <f>'Annex 3D-20 20'!AE7</f>
        <v>5716.297926103819</v>
      </c>
      <c r="G96" s="4449">
        <f>'Annex 3D-20 20'!AF7</f>
        <v>5701.5756400758246</v>
      </c>
      <c r="H96" s="4354"/>
      <c r="I96" s="4387">
        <f t="shared" si="5"/>
        <v>0.15110800444294287</v>
      </c>
      <c r="J96" s="4387">
        <f t="shared" si="5"/>
        <v>2.5754931282997353E-3</v>
      </c>
      <c r="K96" s="4354"/>
      <c r="L96" s="4354"/>
      <c r="M96" s="4354"/>
    </row>
    <row r="97" spans="1:13" x14ac:dyDescent="0.25">
      <c r="A97" s="4354"/>
      <c r="B97" s="5112" t="s">
        <v>941</v>
      </c>
      <c r="C97" s="5113"/>
      <c r="D97" s="4446">
        <f t="shared" si="6"/>
        <v>4455.8096360352001</v>
      </c>
      <c r="E97" s="4447">
        <f>'Annex 3D-20 20'!AD8</f>
        <v>4455.8096360352001</v>
      </c>
      <c r="F97" s="4448">
        <f>'Annex 3D-20 20'!AE8</f>
        <v>5849.4696921658615</v>
      </c>
      <c r="G97" s="4449">
        <f>'Annex 3D-20 20'!AF8</f>
        <v>5913.7354970626811</v>
      </c>
      <c r="H97" s="4354"/>
      <c r="I97" s="4387">
        <f t="shared" si="5"/>
        <v>0.31277369770463231</v>
      </c>
      <c r="J97" s="4387">
        <f t="shared" si="5"/>
        <v>1.0986603620305995E-2</v>
      </c>
      <c r="K97" s="4354"/>
      <c r="L97" s="4354"/>
      <c r="M97" s="4354"/>
    </row>
    <row r="98" spans="1:13" x14ac:dyDescent="0.25">
      <c r="A98" s="4354"/>
      <c r="B98" s="5112" t="s">
        <v>940</v>
      </c>
      <c r="C98" s="5113"/>
      <c r="D98" s="4446">
        <f t="shared" si="6"/>
        <v>3587.7079471237407</v>
      </c>
      <c r="E98" s="4447">
        <f>'Annex 3D-20 20'!AD9</f>
        <v>3587.7079471237407</v>
      </c>
      <c r="F98" s="4448">
        <f>'Annex 3D-20 20'!AE9</f>
        <v>5035.0505937624785</v>
      </c>
      <c r="G98" s="4449">
        <f>'Annex 3D-20 20'!AF9</f>
        <v>5293.7864127055627</v>
      </c>
      <c r="H98" s="4354"/>
      <c r="I98" s="4387">
        <f t="shared" si="5"/>
        <v>0.40341707518279735</v>
      </c>
      <c r="J98" s="4387">
        <f t="shared" si="5"/>
        <v>5.1386935270047014E-2</v>
      </c>
      <c r="K98" s="4354"/>
      <c r="L98" s="4354"/>
      <c r="M98" s="4354"/>
    </row>
    <row r="99" spans="1:13" x14ac:dyDescent="0.25">
      <c r="A99" s="4354"/>
      <c r="B99" s="5112" t="s">
        <v>939</v>
      </c>
      <c r="C99" s="5113"/>
      <c r="D99" s="4446">
        <f t="shared" si="6"/>
        <v>2984.7608470051027</v>
      </c>
      <c r="E99" s="4447">
        <f>'Annex 3D-20 20'!AD10</f>
        <v>2984.7608470051027</v>
      </c>
      <c r="F99" s="4448">
        <f>'Annex 3D-20 20'!AE10</f>
        <v>4280.3875013881179</v>
      </c>
      <c r="G99" s="4449">
        <f>'Annex 3D-20 20'!AF10</f>
        <v>4837.7912367183426</v>
      </c>
      <c r="H99" s="4354"/>
      <c r="I99" s="4387">
        <f t="shared" si="5"/>
        <v>0.43408055814020807</v>
      </c>
      <c r="J99" s="4387">
        <f t="shared" si="5"/>
        <v>0.13022272753330397</v>
      </c>
      <c r="K99" s="4354"/>
      <c r="L99" s="4354"/>
      <c r="M99" s="4354"/>
    </row>
    <row r="100" spans="1:13" x14ac:dyDescent="0.25">
      <c r="A100" s="4354"/>
      <c r="B100" s="5112" t="s">
        <v>938</v>
      </c>
      <c r="C100" s="5113"/>
      <c r="D100" s="4446">
        <f t="shared" si="6"/>
        <v>3266.9591366906479</v>
      </c>
      <c r="E100" s="4447">
        <f>'Annex 3D-20 20'!AD11</f>
        <v>3266.9591366906479</v>
      </c>
      <c r="F100" s="4448">
        <f>'Annex 3D-20 20'!AE11</f>
        <v>9771.2054337226436</v>
      </c>
      <c r="G100" s="4449">
        <f>'Annex 3D-20 20'!AF11</f>
        <v>11598.21755209137</v>
      </c>
      <c r="H100" s="4354"/>
      <c r="I100" s="4387">
        <f t="shared" si="5"/>
        <v>1.9909175551000748</v>
      </c>
      <c r="J100" s="4387">
        <f t="shared" si="5"/>
        <v>0.18697919420088061</v>
      </c>
      <c r="K100" s="4354"/>
      <c r="L100" s="4354"/>
      <c r="M100" s="4354"/>
    </row>
    <row r="101" spans="1:13" x14ac:dyDescent="0.25">
      <c r="A101" s="4354"/>
      <c r="B101" s="5112" t="s">
        <v>2066</v>
      </c>
      <c r="C101" s="5113"/>
      <c r="D101" s="4446">
        <f t="shared" si="6"/>
        <v>1982.164075998701</v>
      </c>
      <c r="E101" s="4447">
        <f>'Annex 3D-20 20'!AD12</f>
        <v>1982.164075998701</v>
      </c>
      <c r="F101" s="4448">
        <f>'Annex 3D-20 20'!AE12</f>
        <v>2842.2840890688262</v>
      </c>
      <c r="G101" s="4449">
        <f>'Annex 3D-20 20'!AF12</f>
        <v>2151.3896610169495</v>
      </c>
      <c r="H101" s="4354"/>
      <c r="I101" s="4387">
        <f t="shared" si="5"/>
        <v>0.43392977578647673</v>
      </c>
      <c r="J101" s="4387">
        <f t="shared" si="5"/>
        <v>0.24307718947201504</v>
      </c>
      <c r="K101" s="4354"/>
      <c r="L101" s="4354"/>
      <c r="M101" s="4354"/>
    </row>
    <row r="102" spans="1:13" x14ac:dyDescent="0.25">
      <c r="A102" s="4354"/>
      <c r="B102" s="5112" t="s">
        <v>937</v>
      </c>
      <c r="C102" s="5113"/>
      <c r="D102" s="4450">
        <f t="shared" si="6"/>
        <v>12081.658188295682</v>
      </c>
      <c r="E102" s="4451">
        <f>'Annex 3D-20 20'!AD13</f>
        <v>12081.658188295682</v>
      </c>
      <c r="F102" s="4452">
        <f>'Annex 3D-20 20'!AE13</f>
        <v>15159.416509362452</v>
      </c>
      <c r="G102" s="4453">
        <f>'Annex 3D-20 20'!AF13</f>
        <v>11152.622911514716</v>
      </c>
      <c r="H102" s="4354"/>
      <c r="I102" s="4387">
        <f t="shared" si="5"/>
        <v>0.25474634964001908</v>
      </c>
      <c r="J102" s="4387">
        <f t="shared" si="5"/>
        <v>0.26431054225425771</v>
      </c>
      <c r="K102" s="4354"/>
      <c r="L102" s="4354"/>
      <c r="M102" s="4354"/>
    </row>
    <row r="103" spans="1:13" x14ac:dyDescent="0.25">
      <c r="A103" s="4354"/>
      <c r="B103" s="5112" t="s">
        <v>936</v>
      </c>
      <c r="C103" s="5113"/>
      <c r="D103" s="4446">
        <f>IF($D$3=$E$3,E103,IF($D$3=$F$3,F103,IF($D$3=$G$3,G103,"-")))</f>
        <v>892.66481134985077</v>
      </c>
      <c r="E103" s="4447">
        <f>'Annex 3D-20 20'!AD14</f>
        <v>892.66481134985077</v>
      </c>
      <c r="F103" s="4448">
        <f>'Annex 3D-20 20'!AE14</f>
        <v>1079.8037720427699</v>
      </c>
      <c r="G103" s="4449">
        <f>'Annex 3D-20 20'!AF14</f>
        <v>1058.9837065045708</v>
      </c>
      <c r="H103" s="4354"/>
      <c r="I103" s="4387">
        <f t="shared" si="5"/>
        <v>0.20964079496976623</v>
      </c>
      <c r="J103" s="4387">
        <f t="shared" si="5"/>
        <v>1.92813417375008E-2</v>
      </c>
      <c r="K103" s="4354"/>
      <c r="L103" s="4354"/>
      <c r="M103" s="4354"/>
    </row>
    <row r="104" spans="1:13" x14ac:dyDescent="0.25">
      <c r="A104" s="4354"/>
      <c r="B104" s="5112" t="s">
        <v>935</v>
      </c>
      <c r="C104" s="5113"/>
      <c r="D104" s="4446">
        <f t="shared" ref="D104:D110" si="7">IF($D$3=$E$3,E104,IF($D$3=$F$3,F104,IF($D$3=$G$3,G104,"-")))</f>
        <v>1349.3877551020407</v>
      </c>
      <c r="E104" s="4447">
        <f>'Annex 3D-20 20'!AD15</f>
        <v>1349.3877551020407</v>
      </c>
      <c r="F104" s="4448">
        <f>'Annex 3D-20 20'!AE15</f>
        <v>3935.6624999999999</v>
      </c>
      <c r="G104" s="4449">
        <f>'Annex 3D-20 20'!AF15</f>
        <v>3474.0206185567004</v>
      </c>
      <c r="H104" s="4354"/>
      <c r="I104" s="4387">
        <f t="shared" si="5"/>
        <v>1.9166282894736841</v>
      </c>
      <c r="J104" s="4387">
        <f t="shared" si="5"/>
        <v>0.11729712124535566</v>
      </c>
      <c r="K104" s="4354"/>
      <c r="L104" s="4354"/>
      <c r="M104" s="4354"/>
    </row>
    <row r="105" spans="1:13" x14ac:dyDescent="0.25">
      <c r="A105" s="4354"/>
      <c r="B105" s="5112" t="s">
        <v>934</v>
      </c>
      <c r="C105" s="5113"/>
      <c r="D105" s="4446">
        <f t="shared" si="7"/>
        <v>2530.7757864226223</v>
      </c>
      <c r="E105" s="4447">
        <f>'Annex 3D-20 20'!AD16</f>
        <v>2530.7757864226223</v>
      </c>
      <c r="F105" s="4448">
        <f>'Annex 3D-20 20'!AE16</f>
        <v>3838.6500371678117</v>
      </c>
      <c r="G105" s="4449">
        <f>'Annex 3D-20 20'!AF16</f>
        <v>3943.9546089539099</v>
      </c>
      <c r="H105" s="4354"/>
      <c r="I105" s="4387">
        <f t="shared" si="5"/>
        <v>0.51678787894281808</v>
      </c>
      <c r="J105" s="4387">
        <f t="shared" si="5"/>
        <v>2.7432709615746276E-2</v>
      </c>
      <c r="K105" s="4354"/>
      <c r="L105" s="4354"/>
      <c r="M105" s="4354"/>
    </row>
    <row r="106" spans="1:13" x14ac:dyDescent="0.25">
      <c r="A106" s="4354"/>
      <c r="B106" s="5112" t="s">
        <v>933</v>
      </c>
      <c r="C106" s="5113"/>
      <c r="D106" s="4446">
        <f t="shared" si="7"/>
        <v>919.89896253602308</v>
      </c>
      <c r="E106" s="4447">
        <f>'Annex 3D-20 20'!AD17</f>
        <v>919.89896253602308</v>
      </c>
      <c r="F106" s="4448">
        <f>'Annex 3D-20 20'!AE17</f>
        <v>1312.679102251542</v>
      </c>
      <c r="G106" s="4449">
        <f>'Annex 3D-20 20'!AF17</f>
        <v>1281.062151289429</v>
      </c>
      <c r="H106" s="4354"/>
      <c r="I106" s="4387">
        <f t="shared" si="5"/>
        <v>0.42698182703966003</v>
      </c>
      <c r="J106" s="4387">
        <f t="shared" si="5"/>
        <v>2.408581877161196E-2</v>
      </c>
      <c r="K106" s="4354"/>
      <c r="L106" s="4354"/>
      <c r="M106" s="4354"/>
    </row>
    <row r="107" spans="1:13" x14ac:dyDescent="0.25">
      <c r="A107" s="4354"/>
      <c r="B107" s="5112" t="s">
        <v>932</v>
      </c>
      <c r="C107" s="5113"/>
      <c r="D107" s="4446">
        <f t="shared" si="7"/>
        <v>1213.2965132277213</v>
      </c>
      <c r="E107" s="4447">
        <f>'Annex 3D-20 20'!AD18</f>
        <v>1213.2965132277213</v>
      </c>
      <c r="F107" s="4448">
        <f>'Annex 3D-20 20'!AE18</f>
        <v>1823.555539240878</v>
      </c>
      <c r="G107" s="4449">
        <f>'Annex 3D-20 20'!AF18</f>
        <v>1535.6767291256422</v>
      </c>
      <c r="H107" s="4354"/>
      <c r="I107" s="4387">
        <f t="shared" si="5"/>
        <v>0.50297599915596092</v>
      </c>
      <c r="J107" s="4387">
        <f t="shared" si="5"/>
        <v>0.15786676299153246</v>
      </c>
      <c r="K107" s="4354"/>
      <c r="L107" s="4354"/>
      <c r="M107" s="4354"/>
    </row>
    <row r="108" spans="1:13" x14ac:dyDescent="0.25">
      <c r="A108" s="4354"/>
      <c r="B108" s="5112" t="s">
        <v>931</v>
      </c>
      <c r="C108" s="5113"/>
      <c r="D108" s="4446">
        <f t="shared" si="7"/>
        <v>2218.6366702451737</v>
      </c>
      <c r="E108" s="4447">
        <f>'Annex 3D-20 20'!AD21</f>
        <v>2218.6366702451737</v>
      </c>
      <c r="F108" s="4448">
        <f>'Annex 3D-20 20'!AE21</f>
        <v>2923.0673235175473</v>
      </c>
      <c r="G108" s="4449">
        <f>'Annex 3D-20 20'!AF21</f>
        <v>2627.7454170536498</v>
      </c>
      <c r="H108" s="4354"/>
      <c r="I108" s="4387">
        <f t="shared" si="5"/>
        <v>0.31750608953674664</v>
      </c>
      <c r="J108" s="4387">
        <f t="shared" si="5"/>
        <v>0.10103151032064302</v>
      </c>
      <c r="K108" s="4354"/>
      <c r="L108" s="4354"/>
      <c r="M108" s="4354"/>
    </row>
    <row r="109" spans="1:13" x14ac:dyDescent="0.25">
      <c r="A109" s="4354"/>
      <c r="B109" s="5112" t="s">
        <v>930</v>
      </c>
      <c r="C109" s="5113"/>
      <c r="D109" s="4446">
        <f t="shared" si="7"/>
        <v>1264.0002445252212</v>
      </c>
      <c r="E109" s="4447">
        <f>'Annex 3D-20 20'!AD22</f>
        <v>1264.0002445252212</v>
      </c>
      <c r="F109" s="4448">
        <f>'Annex 3D-20 20'!AE22</f>
        <v>1212.5682795724936</v>
      </c>
      <c r="G109" s="4449">
        <f>'Annex 3D-20 20'!AF22</f>
        <v>859.33095029338369</v>
      </c>
      <c r="H109" s="4354"/>
      <c r="I109" s="4387">
        <f t="shared" si="5"/>
        <v>4.0689837818857634E-2</v>
      </c>
      <c r="J109" s="4387">
        <f t="shared" si="5"/>
        <v>0.2913133513633131</v>
      </c>
      <c r="K109" s="4354"/>
      <c r="L109" s="4354"/>
      <c r="M109" s="4354"/>
    </row>
    <row r="110" spans="1:13" ht="15.75" thickBot="1" x14ac:dyDescent="0.3">
      <c r="A110" s="4354"/>
      <c r="B110" s="5110" t="s">
        <v>929</v>
      </c>
      <c r="C110" s="5111"/>
      <c r="D110" s="4455">
        <f t="shared" si="7"/>
        <v>3368.129173892265</v>
      </c>
      <c r="E110" s="4456">
        <f>'Annex 3D-20 20'!AD23</f>
        <v>3368.129173892265</v>
      </c>
      <c r="F110" s="4457">
        <f>'Annex 3D-20 20'!AE23</f>
        <v>4408.1280286706124</v>
      </c>
      <c r="G110" s="4458">
        <f>'Annex 3D-20 20'!AF23</f>
        <v>3842.8440344553196</v>
      </c>
      <c r="H110" s="4354"/>
      <c r="I110" s="4387">
        <f t="shared" si="5"/>
        <v>0.30877641595215533</v>
      </c>
      <c r="J110" s="4387">
        <f t="shared" si="5"/>
        <v>0.128236745969869</v>
      </c>
      <c r="K110" s="4354"/>
      <c r="L110" s="4354"/>
      <c r="M110" s="4354"/>
    </row>
    <row r="111" spans="1:13" x14ac:dyDescent="0.25">
      <c r="A111" s="4354"/>
      <c r="B111" s="4354"/>
      <c r="C111" s="4354"/>
      <c r="D111" s="4354" t="str">
        <f t="shared" ref="D111:D167" si="8">""&amp;IF($D$3=$E$3,E111,IF($D$3=$F$3,F111,IF($D$3=$G$3,G111,"-")))</f>
        <v/>
      </c>
      <c r="E111" s="4356"/>
      <c r="F111" s="4354"/>
      <c r="G111" s="4354"/>
      <c r="H111" s="4354"/>
      <c r="I111" s="4387" t="str">
        <f t="shared" si="5"/>
        <v>NO</v>
      </c>
      <c r="J111" s="4387" t="str">
        <f t="shared" si="5"/>
        <v>NO</v>
      </c>
      <c r="K111" s="4354"/>
      <c r="L111" s="4354"/>
      <c r="M111" s="4354"/>
    </row>
    <row r="112" spans="1:13" x14ac:dyDescent="0.25">
      <c r="A112" s="4354"/>
      <c r="B112" s="4402" t="s">
        <v>651</v>
      </c>
      <c r="C112" s="4354"/>
      <c r="D112" s="4403" t="str">
        <f t="shared" si="8"/>
        <v>NIR Annex 3D-20 2022 (2018)</v>
      </c>
      <c r="E112" s="4403" t="s">
        <v>5258</v>
      </c>
      <c r="F112" s="4403" t="s">
        <v>5257</v>
      </c>
      <c r="G112" s="4403" t="s">
        <v>2196</v>
      </c>
      <c r="H112" s="4354"/>
      <c r="I112" s="4387" t="str">
        <f t="shared" si="5"/>
        <v>NO</v>
      </c>
      <c r="J112" s="4387" t="str">
        <f t="shared" si="5"/>
        <v>NO</v>
      </c>
      <c r="K112" s="4354"/>
      <c r="L112" s="4354"/>
      <c r="M112" s="4354"/>
    </row>
    <row r="113" spans="1:13" ht="15.75" thickBot="1" x14ac:dyDescent="0.3">
      <c r="A113" s="4354"/>
      <c r="B113" s="4354"/>
      <c r="C113" s="4354"/>
      <c r="D113" s="4354" t="str">
        <f t="shared" si="8"/>
        <v/>
      </c>
      <c r="E113" s="4356"/>
      <c r="F113" s="4354"/>
      <c r="G113" s="4354"/>
      <c r="H113" s="4354"/>
      <c r="I113" s="4387" t="str">
        <f t="shared" si="5"/>
        <v>NO</v>
      </c>
      <c r="J113" s="4387" t="str">
        <f t="shared" si="5"/>
        <v>NO</v>
      </c>
      <c r="K113" s="4354"/>
      <c r="L113" s="4354"/>
      <c r="M113" s="4354"/>
    </row>
    <row r="114" spans="1:13" ht="14.45" customHeight="1" x14ac:dyDescent="0.25">
      <c r="A114" s="4354"/>
      <c r="B114" s="4459" t="s">
        <v>928</v>
      </c>
      <c r="C114" s="4460" t="s">
        <v>927</v>
      </c>
      <c r="D114" s="4461" t="str">
        <f t="shared" si="8"/>
        <v>Dage på græs</v>
      </c>
      <c r="E114" s="4459" t="s">
        <v>926</v>
      </c>
      <c r="F114" s="4462" t="s">
        <v>926</v>
      </c>
      <c r="G114" s="4460" t="s">
        <v>926</v>
      </c>
      <c r="H114" s="4354"/>
      <c r="I114" s="4387" t="str">
        <f t="shared" si="5"/>
        <v>NO</v>
      </c>
      <c r="J114" s="4387" t="str">
        <f t="shared" si="5"/>
        <v>NO</v>
      </c>
      <c r="K114" s="4354"/>
      <c r="L114" s="4354"/>
      <c r="M114" s="4354"/>
    </row>
    <row r="115" spans="1:13" x14ac:dyDescent="0.25">
      <c r="A115" s="4354"/>
      <c r="B115" s="4463" t="s">
        <v>925</v>
      </c>
      <c r="C115" s="4464" t="s">
        <v>923</v>
      </c>
      <c r="D115" s="4465" t="str">
        <f t="shared" si="8"/>
        <v>18</v>
      </c>
      <c r="E115" s="4463">
        <f>'Annex 3D-9 20'!AF5</f>
        <v>18</v>
      </c>
      <c r="F115" s="4466">
        <f>'Annex 3D-9 20'!AF5</f>
        <v>18</v>
      </c>
      <c r="G115" s="4464">
        <f>'Annex 3D-9 20'!AF5</f>
        <v>18</v>
      </c>
      <c r="H115" s="4354"/>
      <c r="I115" s="4387">
        <f t="shared" si="5"/>
        <v>0</v>
      </c>
      <c r="J115" s="4387">
        <f t="shared" si="5"/>
        <v>0</v>
      </c>
      <c r="K115" s="4354"/>
      <c r="L115" s="4354"/>
      <c r="M115" s="4354"/>
    </row>
    <row r="116" spans="1:13" x14ac:dyDescent="0.25">
      <c r="A116" s="4354"/>
      <c r="B116" s="4463" t="s">
        <v>925</v>
      </c>
      <c r="C116" s="4464" t="s">
        <v>921</v>
      </c>
      <c r="D116" s="4465" t="str">
        <f t="shared" si="8"/>
        <v>18</v>
      </c>
      <c r="E116" s="4463">
        <f>'Annex 3D-9 20'!AF5</f>
        <v>18</v>
      </c>
      <c r="F116" s="4466">
        <f>'Annex 3D-9 20'!AF5</f>
        <v>18</v>
      </c>
      <c r="G116" s="4464">
        <f>'Annex 3D-9 20'!AF5</f>
        <v>18</v>
      </c>
      <c r="H116" s="4354"/>
      <c r="I116" s="4387">
        <f t="shared" si="5"/>
        <v>0</v>
      </c>
      <c r="J116" s="4387">
        <f t="shared" si="5"/>
        <v>0</v>
      </c>
      <c r="K116" s="4354"/>
      <c r="L116" s="4354"/>
      <c r="M116" s="4354"/>
    </row>
    <row r="117" spans="1:13" x14ac:dyDescent="0.25">
      <c r="A117" s="4354"/>
      <c r="B117" s="4463" t="s">
        <v>924</v>
      </c>
      <c r="C117" s="4464" t="s">
        <v>923</v>
      </c>
      <c r="D117" s="4465">
        <f>IF($D$3=$E$3,E117,IF($D$3=$F$3,F117,IF($D$3=$G$3,G117,"-")))</f>
        <v>131.85454545454544</v>
      </c>
      <c r="E117" s="4463">
        <f>'Annex 3D-9 20'!AF6</f>
        <v>131.85454545454544</v>
      </c>
      <c r="F117" s="4466">
        <f>'Annex 3D-9 20'!AF6</f>
        <v>131.85454545454544</v>
      </c>
      <c r="G117" s="4464">
        <f>'Annex 3D-9 20'!AF6</f>
        <v>131.85454545454544</v>
      </c>
      <c r="H117" s="4354"/>
      <c r="I117" s="4387">
        <f t="shared" si="5"/>
        <v>0</v>
      </c>
      <c r="J117" s="4387">
        <f t="shared" si="5"/>
        <v>0</v>
      </c>
      <c r="K117" s="4354"/>
      <c r="L117" s="4354"/>
      <c r="M117" s="4354"/>
    </row>
    <row r="118" spans="1:13" x14ac:dyDescent="0.25">
      <c r="A118" s="4354"/>
      <c r="B118" s="4463" t="s">
        <v>924</v>
      </c>
      <c r="C118" s="4464" t="s">
        <v>921</v>
      </c>
      <c r="D118" s="4465">
        <f>IF($D$3=$E$3,E118,IF($D$3=$F$3,F118,IF($D$3=$G$3,G118,"-")))</f>
        <v>131.85454545454544</v>
      </c>
      <c r="E118" s="4463">
        <f>'Annex 3D-9 20'!AF6</f>
        <v>131.85454545454544</v>
      </c>
      <c r="F118" s="4466">
        <f>'Annex 3D-9 20'!AF6</f>
        <v>131.85454545454544</v>
      </c>
      <c r="G118" s="4464">
        <f>'Annex 3D-9 20'!AF6</f>
        <v>131.85454545454544</v>
      </c>
      <c r="H118" s="4354"/>
      <c r="I118" s="4387">
        <f t="shared" si="5"/>
        <v>0</v>
      </c>
      <c r="J118" s="4387">
        <f t="shared" si="5"/>
        <v>0</v>
      </c>
      <c r="K118" s="4354"/>
      <c r="L118" s="4354"/>
      <c r="M118" s="4354"/>
    </row>
    <row r="119" spans="1:13" x14ac:dyDescent="0.25">
      <c r="A119" s="4354"/>
      <c r="B119" s="4463" t="s">
        <v>922</v>
      </c>
      <c r="C119" s="4464" t="s">
        <v>923</v>
      </c>
      <c r="D119" s="4465" t="str">
        <f t="shared" si="8"/>
        <v>224</v>
      </c>
      <c r="E119" s="4463">
        <f>'Annex 3D-9 20'!AF7</f>
        <v>224</v>
      </c>
      <c r="F119" s="4466">
        <f>'Annex 3D-9 20'!AF7</f>
        <v>224</v>
      </c>
      <c r="G119" s="4464">
        <f>'Annex 3D-9 20'!AF7</f>
        <v>224</v>
      </c>
      <c r="H119" s="4354"/>
      <c r="I119" s="4387">
        <f t="shared" si="5"/>
        <v>0</v>
      </c>
      <c r="J119" s="4387">
        <f t="shared" si="5"/>
        <v>0</v>
      </c>
      <c r="K119" s="4354"/>
      <c r="L119" s="4354"/>
      <c r="M119" s="4354"/>
    </row>
    <row r="120" spans="1:13" x14ac:dyDescent="0.25">
      <c r="A120" s="4354"/>
      <c r="B120" s="4463" t="s">
        <v>922</v>
      </c>
      <c r="C120" s="4464" t="s">
        <v>921</v>
      </c>
      <c r="D120" s="4465" t="str">
        <f t="shared" si="8"/>
        <v>224</v>
      </c>
      <c r="E120" s="4463">
        <f>'Annex 3D-9 20'!AF7</f>
        <v>224</v>
      </c>
      <c r="F120" s="4466">
        <f>'Annex 3D-9 20'!AF7</f>
        <v>224</v>
      </c>
      <c r="G120" s="4464">
        <f>'Annex 3D-9 20'!AF7</f>
        <v>224</v>
      </c>
      <c r="H120" s="4354"/>
      <c r="I120" s="4387">
        <f t="shared" si="5"/>
        <v>0</v>
      </c>
      <c r="J120" s="4387">
        <f t="shared" si="5"/>
        <v>0</v>
      </c>
      <c r="K120" s="4354"/>
      <c r="L120" s="4354"/>
      <c r="M120" s="4354"/>
    </row>
    <row r="121" spans="1:13" x14ac:dyDescent="0.25">
      <c r="A121" s="4354"/>
      <c r="B121" s="4463" t="s">
        <v>912</v>
      </c>
      <c r="C121" s="4464" t="s">
        <v>920</v>
      </c>
      <c r="D121" s="4467" t="str">
        <f t="shared" si="8"/>
        <v>18</v>
      </c>
      <c r="E121" s="4447">
        <f>'Annex 3D-9 20'!AF5</f>
        <v>18</v>
      </c>
      <c r="F121" s="4468">
        <f>'Annex 3D-9 20'!AF5</f>
        <v>18</v>
      </c>
      <c r="G121" s="4469">
        <f>'Annex 3D-9 20'!AF5</f>
        <v>18</v>
      </c>
      <c r="H121" s="4354"/>
      <c r="I121" s="4387">
        <f t="shared" si="5"/>
        <v>0</v>
      </c>
      <c r="J121" s="4387">
        <f t="shared" si="5"/>
        <v>0</v>
      </c>
      <c r="K121" s="4354"/>
      <c r="L121" s="4354"/>
      <c r="M121" s="4354"/>
    </row>
    <row r="122" spans="1:13" x14ac:dyDescent="0.25">
      <c r="A122" s="4354"/>
      <c r="B122" s="4463" t="s">
        <v>912</v>
      </c>
      <c r="C122" s="4464" t="s">
        <v>919</v>
      </c>
      <c r="D122" s="4465" t="str">
        <f t="shared" si="8"/>
        <v>18</v>
      </c>
      <c r="E122" s="4463">
        <f>'Annex 3D-9 20'!AF5</f>
        <v>18</v>
      </c>
      <c r="F122" s="4466">
        <f>'Annex 3D-9 20'!AF5</f>
        <v>18</v>
      </c>
      <c r="G122" s="4464">
        <f>'Annex 3D-9 20'!AF5</f>
        <v>18</v>
      </c>
      <c r="H122" s="4354"/>
      <c r="I122" s="4387">
        <f t="shared" si="5"/>
        <v>0</v>
      </c>
      <c r="J122" s="4387">
        <f t="shared" si="5"/>
        <v>0</v>
      </c>
      <c r="K122" s="4354"/>
      <c r="L122" s="4354"/>
      <c r="M122" s="4354"/>
    </row>
    <row r="123" spans="1:13" x14ac:dyDescent="0.25">
      <c r="A123" s="4354"/>
      <c r="B123" s="4463" t="s">
        <v>912</v>
      </c>
      <c r="C123" s="4464" t="s">
        <v>918</v>
      </c>
      <c r="D123" s="4465" t="str">
        <f t="shared" si="8"/>
        <v>18</v>
      </c>
      <c r="E123" s="4463">
        <f>'Annex 3D-9 20'!AF5</f>
        <v>18</v>
      </c>
      <c r="F123" s="4466">
        <f>'Annex 3D-9 20'!AF5</f>
        <v>18</v>
      </c>
      <c r="G123" s="4464">
        <f>'Annex 3D-9 20'!AF5</f>
        <v>18</v>
      </c>
      <c r="H123" s="4354"/>
      <c r="I123" s="4387">
        <f t="shared" si="5"/>
        <v>0</v>
      </c>
      <c r="J123" s="4387">
        <f t="shared" si="5"/>
        <v>0</v>
      </c>
      <c r="K123" s="4354"/>
      <c r="L123" s="4354"/>
      <c r="M123" s="4354"/>
    </row>
    <row r="124" spans="1:13" x14ac:dyDescent="0.25">
      <c r="A124" s="4354"/>
      <c r="B124" s="4463" t="s">
        <v>912</v>
      </c>
      <c r="C124" s="4464" t="s">
        <v>917</v>
      </c>
      <c r="D124" s="4465" t="str">
        <f t="shared" si="8"/>
        <v>18</v>
      </c>
      <c r="E124" s="4463">
        <f>'Annex 3D-9 20'!AF5</f>
        <v>18</v>
      </c>
      <c r="F124" s="4466">
        <f>'Annex 3D-9 20'!AF5</f>
        <v>18</v>
      </c>
      <c r="G124" s="4464">
        <f>'Annex 3D-9 20'!AF5</f>
        <v>18</v>
      </c>
      <c r="H124" s="4354"/>
      <c r="I124" s="4387">
        <f t="shared" si="5"/>
        <v>0</v>
      </c>
      <c r="J124" s="4387">
        <f t="shared" si="5"/>
        <v>0</v>
      </c>
      <c r="K124" s="4354"/>
      <c r="L124" s="4354"/>
      <c r="M124" s="4354"/>
    </row>
    <row r="125" spans="1:13" x14ac:dyDescent="0.25">
      <c r="A125" s="4354"/>
      <c r="B125" s="4463" t="s">
        <v>912</v>
      </c>
      <c r="C125" s="4464" t="s">
        <v>916</v>
      </c>
      <c r="D125" s="4465" t="str">
        <f t="shared" si="8"/>
        <v>18</v>
      </c>
      <c r="E125" s="4463">
        <f>'Annex 3D-9 20'!AF5</f>
        <v>18</v>
      </c>
      <c r="F125" s="4466">
        <f>'Annex 3D-9 20'!AF5</f>
        <v>18</v>
      </c>
      <c r="G125" s="4464">
        <f>'Annex 3D-9 20'!AF5</f>
        <v>18</v>
      </c>
      <c r="H125" s="4354"/>
      <c r="I125" s="4387">
        <f t="shared" si="5"/>
        <v>0</v>
      </c>
      <c r="J125" s="4387">
        <f t="shared" si="5"/>
        <v>0</v>
      </c>
      <c r="K125" s="4354"/>
      <c r="L125" s="4354"/>
      <c r="M125" s="4354"/>
    </row>
    <row r="126" spans="1:13" x14ac:dyDescent="0.25">
      <c r="A126" s="4354"/>
      <c r="B126" s="4463" t="s">
        <v>912</v>
      </c>
      <c r="C126" s="4464" t="s">
        <v>915</v>
      </c>
      <c r="D126" s="4465" t="str">
        <f t="shared" si="8"/>
        <v>18</v>
      </c>
      <c r="E126" s="4463">
        <f>'Annex 3D-9 20'!AF5</f>
        <v>18</v>
      </c>
      <c r="F126" s="4466">
        <f>'Annex 3D-9 20'!AF5</f>
        <v>18</v>
      </c>
      <c r="G126" s="4464">
        <f>'Annex 3D-9 20'!AF5</f>
        <v>18</v>
      </c>
      <c r="H126" s="4354"/>
      <c r="I126" s="4387">
        <f t="shared" si="5"/>
        <v>0</v>
      </c>
      <c r="J126" s="4387">
        <f t="shared" si="5"/>
        <v>0</v>
      </c>
      <c r="K126" s="4354"/>
      <c r="L126" s="4354"/>
      <c r="M126" s="4354"/>
    </row>
    <row r="127" spans="1:13" x14ac:dyDescent="0.25">
      <c r="A127" s="4354"/>
      <c r="B127" s="4463" t="s">
        <v>912</v>
      </c>
      <c r="C127" s="4464" t="s">
        <v>914</v>
      </c>
      <c r="D127" s="4465" t="str">
        <f t="shared" si="8"/>
        <v>18</v>
      </c>
      <c r="E127" s="4463">
        <f>'Annex 3D-9 20'!AF5</f>
        <v>18</v>
      </c>
      <c r="F127" s="4466">
        <f>'Annex 3D-9 20'!AF5</f>
        <v>18</v>
      </c>
      <c r="G127" s="4464">
        <f>'Annex 3D-9 20'!AF5</f>
        <v>18</v>
      </c>
      <c r="H127" s="4354"/>
      <c r="I127" s="4387">
        <f t="shared" si="5"/>
        <v>0</v>
      </c>
      <c r="J127" s="4387">
        <f t="shared" si="5"/>
        <v>0</v>
      </c>
      <c r="K127" s="4354"/>
      <c r="L127" s="4354"/>
      <c r="M127" s="4354"/>
    </row>
    <row r="128" spans="1:13" x14ac:dyDescent="0.25">
      <c r="A128" s="4354"/>
      <c r="B128" s="4463" t="s">
        <v>912</v>
      </c>
      <c r="C128" s="4464" t="s">
        <v>913</v>
      </c>
      <c r="D128" s="4465" t="str">
        <f t="shared" si="8"/>
        <v>18</v>
      </c>
      <c r="E128" s="4463">
        <f>'Annex 3D-9 20'!AF5</f>
        <v>18</v>
      </c>
      <c r="F128" s="4466">
        <f>'Annex 3D-9 20'!AF5</f>
        <v>18</v>
      </c>
      <c r="G128" s="4464">
        <f>'Annex 3D-9 20'!AF5</f>
        <v>18</v>
      </c>
      <c r="H128" s="4354"/>
      <c r="I128" s="4387">
        <f t="shared" si="5"/>
        <v>0</v>
      </c>
      <c r="J128" s="4387">
        <f t="shared" si="5"/>
        <v>0</v>
      </c>
      <c r="K128" s="4354"/>
      <c r="L128" s="4354"/>
      <c r="M128" s="4354"/>
    </row>
    <row r="129" spans="1:13" x14ac:dyDescent="0.25">
      <c r="A129" s="4354"/>
      <c r="B129" s="4463" t="s">
        <v>912</v>
      </c>
      <c r="C129" s="4464" t="s">
        <v>911</v>
      </c>
      <c r="D129" s="4465" t="str">
        <f t="shared" si="8"/>
        <v>18</v>
      </c>
      <c r="E129" s="4463">
        <f>'Annex 3D-9 20'!AF5</f>
        <v>18</v>
      </c>
      <c r="F129" s="4466">
        <f>'Annex 3D-9 20'!AF5</f>
        <v>18</v>
      </c>
      <c r="G129" s="4464">
        <f>'Annex 3D-9 20'!AF5</f>
        <v>18</v>
      </c>
      <c r="H129" s="4354"/>
      <c r="I129" s="4387">
        <f t="shared" si="5"/>
        <v>0</v>
      </c>
      <c r="J129" s="4387">
        <f t="shared" si="5"/>
        <v>0</v>
      </c>
      <c r="K129" s="4354"/>
      <c r="L129" s="4354"/>
      <c r="M129" s="4354"/>
    </row>
    <row r="130" spans="1:13" x14ac:dyDescent="0.25">
      <c r="A130" s="4470"/>
      <c r="B130" s="4463" t="s">
        <v>910</v>
      </c>
      <c r="C130" s="4464"/>
      <c r="D130" s="4465" t="str">
        <f t="shared" si="8"/>
        <v>195</v>
      </c>
      <c r="E130" s="4471">
        <f>'Annex 3D-9 20'!AF8</f>
        <v>195</v>
      </c>
      <c r="F130" s="4466">
        <f>'Annex 3D-9 20'!AF8</f>
        <v>195</v>
      </c>
      <c r="G130" s="4464">
        <f>'Annex 3D-9 20'!AF8</f>
        <v>195</v>
      </c>
      <c r="H130" s="4354"/>
      <c r="I130" s="4387">
        <f t="shared" si="5"/>
        <v>0</v>
      </c>
      <c r="J130" s="4387">
        <f t="shared" si="5"/>
        <v>0</v>
      </c>
      <c r="K130" s="4354"/>
      <c r="L130" s="4354"/>
      <c r="M130" s="4354"/>
    </row>
    <row r="131" spans="1:13" x14ac:dyDescent="0.25">
      <c r="A131" s="4470"/>
      <c r="B131" s="4463" t="s">
        <v>909</v>
      </c>
      <c r="C131" s="4464"/>
      <c r="D131" s="4465" t="str">
        <f t="shared" si="8"/>
        <v>195</v>
      </c>
      <c r="E131" s="4471">
        <f>'Annex 3D-9 20'!AF8</f>
        <v>195</v>
      </c>
      <c r="F131" s="4466">
        <f>'Annex 3D-9 20'!AF8</f>
        <v>195</v>
      </c>
      <c r="G131" s="4464">
        <f>'Annex 3D-9 20'!AF8</f>
        <v>195</v>
      </c>
      <c r="H131" s="4354"/>
      <c r="I131" s="4387">
        <f t="shared" si="5"/>
        <v>0</v>
      </c>
      <c r="J131" s="4387">
        <f t="shared" si="5"/>
        <v>0</v>
      </c>
      <c r="K131" s="4354"/>
      <c r="L131" s="4354"/>
      <c r="M131" s="4354"/>
    </row>
    <row r="132" spans="1:13" x14ac:dyDescent="0.25">
      <c r="A132" s="4354"/>
      <c r="B132" s="4463" t="s">
        <v>907</v>
      </c>
      <c r="C132" s="4464" t="s">
        <v>342</v>
      </c>
      <c r="D132" s="4465" t="str">
        <f t="shared" si="8"/>
        <v>0</v>
      </c>
      <c r="E132" s="4463">
        <v>0</v>
      </c>
      <c r="F132" s="4466">
        <v>0</v>
      </c>
      <c r="G132" s="4464">
        <v>0</v>
      </c>
      <c r="H132" s="4354"/>
      <c r="I132" s="4387" t="str">
        <f t="shared" si="5"/>
        <v>NO</v>
      </c>
      <c r="J132" s="4387" t="str">
        <f t="shared" si="5"/>
        <v>NO</v>
      </c>
      <c r="K132" s="4354"/>
      <c r="L132" s="4354"/>
      <c r="M132" s="4354"/>
    </row>
    <row r="133" spans="1:13" x14ac:dyDescent="0.25">
      <c r="A133" s="4354"/>
      <c r="B133" s="4463" t="s">
        <v>907</v>
      </c>
      <c r="C133" s="4464" t="s">
        <v>908</v>
      </c>
      <c r="D133" s="4465" t="str">
        <f t="shared" si="8"/>
        <v>0</v>
      </c>
      <c r="E133" s="4463">
        <v>0</v>
      </c>
      <c r="F133" s="4466">
        <v>0</v>
      </c>
      <c r="G133" s="4464">
        <v>0</v>
      </c>
      <c r="H133" s="4354"/>
      <c r="I133" s="4387" t="str">
        <f t="shared" si="5"/>
        <v>NO</v>
      </c>
      <c r="J133" s="4387" t="str">
        <f t="shared" si="5"/>
        <v>NO</v>
      </c>
      <c r="K133" s="4354"/>
      <c r="L133" s="4354"/>
      <c r="M133" s="4354"/>
    </row>
    <row r="134" spans="1:13" x14ac:dyDescent="0.25">
      <c r="A134" s="4354"/>
      <c r="B134" s="4463" t="s">
        <v>907</v>
      </c>
      <c r="C134" s="4464" t="s">
        <v>906</v>
      </c>
      <c r="D134" s="4465" t="str">
        <f t="shared" si="8"/>
        <v>0</v>
      </c>
      <c r="E134" s="4463">
        <v>0</v>
      </c>
      <c r="F134" s="4466">
        <v>0</v>
      </c>
      <c r="G134" s="4464">
        <v>0</v>
      </c>
      <c r="H134" s="4354"/>
      <c r="I134" s="4387" t="str">
        <f t="shared" si="5"/>
        <v>NO</v>
      </c>
      <c r="J134" s="4387" t="str">
        <f t="shared" si="5"/>
        <v>NO</v>
      </c>
      <c r="K134" s="4354"/>
      <c r="L134" s="4354"/>
      <c r="M134" s="4354"/>
    </row>
    <row r="135" spans="1:13" x14ac:dyDescent="0.25">
      <c r="A135" s="4354"/>
      <c r="B135" s="4472" t="s">
        <v>334</v>
      </c>
      <c r="C135" s="4464" t="s">
        <v>905</v>
      </c>
      <c r="D135" s="4465" t="str">
        <f t="shared" si="8"/>
        <v>265</v>
      </c>
      <c r="E135" s="4463">
        <f>'Annex 3D-9 20'!AF9</f>
        <v>265</v>
      </c>
      <c r="F135" s="4466">
        <f>'Annex 3D-9 20'!AF9</f>
        <v>265</v>
      </c>
      <c r="G135" s="4464">
        <f>'Annex 3D-9 20'!AF9</f>
        <v>265</v>
      </c>
      <c r="H135" s="4354"/>
      <c r="I135" s="4387">
        <f t="shared" si="5"/>
        <v>0</v>
      </c>
      <c r="J135" s="4387">
        <f t="shared" si="5"/>
        <v>0</v>
      </c>
      <c r="K135" s="4354"/>
      <c r="L135" s="4354"/>
      <c r="M135" s="4354"/>
    </row>
    <row r="136" spans="1:13" x14ac:dyDescent="0.25">
      <c r="A136" s="4354"/>
      <c r="B136" s="4472" t="s">
        <v>334</v>
      </c>
      <c r="C136" s="4464" t="s">
        <v>904</v>
      </c>
      <c r="D136" s="4465" t="str">
        <f t="shared" si="8"/>
        <v>265</v>
      </c>
      <c r="E136" s="4463">
        <f>'Annex 3D-9 20'!AF9</f>
        <v>265</v>
      </c>
      <c r="F136" s="4466">
        <f>'Annex 3D-9 20'!AF9</f>
        <v>265</v>
      </c>
      <c r="G136" s="4464">
        <f>'Annex 3D-9 20'!AF9</f>
        <v>265</v>
      </c>
      <c r="H136" s="4354"/>
      <c r="I136" s="4387">
        <f t="shared" si="5"/>
        <v>0</v>
      </c>
      <c r="J136" s="4387">
        <f t="shared" si="5"/>
        <v>0</v>
      </c>
      <c r="K136" s="4354"/>
      <c r="L136" s="4354"/>
      <c r="M136" s="4354"/>
    </row>
    <row r="137" spans="1:13" x14ac:dyDescent="0.25">
      <c r="A137" s="4354"/>
      <c r="B137" s="4472" t="s">
        <v>334</v>
      </c>
      <c r="C137" s="4464" t="s">
        <v>903</v>
      </c>
      <c r="D137" s="4465" t="str">
        <f t="shared" si="8"/>
        <v>265</v>
      </c>
      <c r="E137" s="4463">
        <f>'Annex 3D-9 20'!AF9</f>
        <v>265</v>
      </c>
      <c r="F137" s="4466">
        <f>'Annex 3D-9 20'!AF9</f>
        <v>265</v>
      </c>
      <c r="G137" s="4464">
        <f>'Annex 3D-9 20'!AF9</f>
        <v>265</v>
      </c>
      <c r="H137" s="4354"/>
      <c r="I137" s="4387">
        <f t="shared" si="5"/>
        <v>0</v>
      </c>
      <c r="J137" s="4387">
        <f t="shared" si="5"/>
        <v>0</v>
      </c>
      <c r="K137" s="4354"/>
      <c r="L137" s="4354"/>
      <c r="M137" s="4354"/>
    </row>
    <row r="138" spans="1:13" ht="15.75" thickBot="1" x14ac:dyDescent="0.3">
      <c r="A138" s="4354"/>
      <c r="B138" s="4472" t="s">
        <v>334</v>
      </c>
      <c r="C138" s="4473" t="s">
        <v>902</v>
      </c>
      <c r="D138" s="4474" t="str">
        <f t="shared" si="8"/>
        <v>265</v>
      </c>
      <c r="E138" s="4475">
        <f>'Annex 3D-9 20'!AF9</f>
        <v>265</v>
      </c>
      <c r="F138" s="4476">
        <f>'Annex 3D-9 20'!AF9</f>
        <v>265</v>
      </c>
      <c r="G138" s="4473">
        <f>'Annex 3D-9 20'!AF9</f>
        <v>265</v>
      </c>
      <c r="H138" s="4354"/>
      <c r="I138" s="4387">
        <f t="shared" si="5"/>
        <v>0</v>
      </c>
      <c r="J138" s="4387">
        <f t="shared" si="5"/>
        <v>0</v>
      </c>
      <c r="K138" s="4354"/>
      <c r="L138" s="4354"/>
      <c r="M138" s="4354"/>
    </row>
    <row r="139" spans="1:13" ht="15.75" thickBot="1" x14ac:dyDescent="0.3">
      <c r="A139" s="4354"/>
      <c r="B139" s="4477" t="s">
        <v>228</v>
      </c>
      <c r="C139" s="4478"/>
      <c r="D139" s="4479" t="str">
        <f t="shared" si="8"/>
        <v/>
      </c>
      <c r="E139" s="4477"/>
      <c r="F139" s="4479"/>
      <c r="G139" s="4480"/>
      <c r="H139" s="4354"/>
      <c r="I139" s="4387" t="str">
        <f t="shared" si="5"/>
        <v>NO</v>
      </c>
      <c r="J139" s="4387" t="str">
        <f t="shared" si="5"/>
        <v>NO</v>
      </c>
      <c r="K139" s="4354"/>
      <c r="L139" s="4354"/>
      <c r="M139" s="4354"/>
    </row>
    <row r="140" spans="1:13" x14ac:dyDescent="0.25">
      <c r="A140" s="4354"/>
      <c r="B140" s="4354"/>
      <c r="C140" s="4354"/>
      <c r="D140" s="4354" t="str">
        <f t="shared" si="8"/>
        <v/>
      </c>
      <c r="E140" s="4356"/>
      <c r="F140" s="4354"/>
      <c r="G140" s="4354"/>
      <c r="H140" s="4354"/>
      <c r="I140" s="4387" t="str">
        <f t="shared" si="5"/>
        <v>NO</v>
      </c>
      <c r="J140" s="4387" t="str">
        <f t="shared" si="5"/>
        <v>NO</v>
      </c>
      <c r="K140" s="4354"/>
      <c r="L140" s="4354"/>
      <c r="M140" s="4354"/>
    </row>
    <row r="141" spans="1:13" ht="14.45" customHeight="1" x14ac:dyDescent="0.25">
      <c r="A141" s="4354"/>
      <c r="B141" s="4402" t="s">
        <v>651</v>
      </c>
      <c r="C141" s="4354"/>
      <c r="D141" s="4481" t="str">
        <f t="shared" si="8"/>
        <v>NIR Annex 3D-9 2022 (2020)</v>
      </c>
      <c r="E141" s="4481" t="s">
        <v>2195</v>
      </c>
      <c r="F141" s="4481" t="s">
        <v>2195</v>
      </c>
      <c r="G141" s="4481" t="s">
        <v>2195</v>
      </c>
      <c r="H141" s="4354"/>
      <c r="I141" s="4387" t="str">
        <f t="shared" si="5"/>
        <v>NO</v>
      </c>
      <c r="J141" s="4387" t="str">
        <f t="shared" si="5"/>
        <v>NO</v>
      </c>
      <c r="K141" s="4354"/>
      <c r="L141" s="4354"/>
      <c r="M141" s="4354"/>
    </row>
    <row r="142" spans="1:13" ht="15.75" thickBot="1" x14ac:dyDescent="0.3">
      <c r="A142" s="4354"/>
      <c r="B142" s="4354"/>
      <c r="C142" s="4354"/>
      <c r="D142" s="4354" t="str">
        <f t="shared" si="8"/>
        <v/>
      </c>
      <c r="E142" s="4356"/>
      <c r="F142" s="4354"/>
      <c r="G142" s="4354"/>
      <c r="H142" s="4354"/>
      <c r="I142" s="4387" t="str">
        <f t="shared" si="5"/>
        <v>NO</v>
      </c>
      <c r="J142" s="4387" t="str">
        <f t="shared" si="5"/>
        <v>NO</v>
      </c>
      <c r="K142" s="4354"/>
      <c r="L142" s="4354"/>
      <c r="M142" s="4354"/>
    </row>
    <row r="143" spans="1:13" ht="29.45" customHeight="1" thickBot="1" x14ac:dyDescent="0.3">
      <c r="A143" s="4354"/>
      <c r="B143" s="5104" t="s">
        <v>900</v>
      </c>
      <c r="C143" s="5105"/>
      <c r="D143" s="4379" t="str">
        <f t="shared" si="8"/>
        <v xml:space="preserve"> Total areal i DK mineralsk jord, dyrket  (ha)</v>
      </c>
      <c r="E143" s="4482" t="s">
        <v>901</v>
      </c>
      <c r="F143" s="4483" t="s">
        <v>901</v>
      </c>
      <c r="G143" s="4382" t="s">
        <v>901</v>
      </c>
      <c r="H143" s="4354"/>
      <c r="I143" s="4387" t="str">
        <f t="shared" si="5"/>
        <v>NO</v>
      </c>
      <c r="J143" s="4387" t="str">
        <f t="shared" si="5"/>
        <v>NO</v>
      </c>
      <c r="K143" s="4354"/>
      <c r="L143" s="4354"/>
      <c r="M143" s="4354"/>
    </row>
    <row r="144" spans="1:13" ht="15.75" thickBot="1" x14ac:dyDescent="0.3">
      <c r="A144" s="4354"/>
      <c r="B144" s="5106" t="s">
        <v>898</v>
      </c>
      <c r="C144" s="5107"/>
      <c r="D144" s="4484">
        <f>IF($D$3=$E$3,E144,IF($D$3=$F$3,F144,IF($D$3=$G$3,G144,"-")))</f>
        <v>2690053.1375623001</v>
      </c>
      <c r="E144" s="4485">
        <f>Table4.B_2018!D10*1000</f>
        <v>2690053.1375623001</v>
      </c>
      <c r="F144" s="4486">
        <f>Table4.B_2019!D10*1000</f>
        <v>2711357.8139601001</v>
      </c>
      <c r="G144" s="4487">
        <f>Table4.B_2020!D10*1000</f>
        <v>2709548.676064</v>
      </c>
      <c r="H144" s="4354"/>
      <c r="I144" s="4387">
        <f t="shared" si="5"/>
        <v>7.919797605598999E-3</v>
      </c>
      <c r="J144" s="4387">
        <f t="shared" si="5"/>
        <v>6.6724424448343284E-4</v>
      </c>
      <c r="K144" s="4354"/>
      <c r="L144" s="4354"/>
      <c r="M144" s="4354"/>
    </row>
    <row r="145" spans="1:13" x14ac:dyDescent="0.25">
      <c r="A145" s="4354"/>
      <c r="B145" s="4354"/>
      <c r="C145" s="4354"/>
      <c r="D145" s="4354" t="str">
        <f t="shared" si="8"/>
        <v/>
      </c>
      <c r="E145" s="4354"/>
      <c r="F145" s="4354"/>
      <c r="G145" s="4354"/>
      <c r="H145" s="4354"/>
      <c r="I145" s="4387" t="str">
        <f t="shared" si="5"/>
        <v>NO</v>
      </c>
      <c r="J145" s="4387" t="str">
        <f t="shared" si="5"/>
        <v>NO</v>
      </c>
      <c r="K145" s="4354"/>
      <c r="L145" s="4354"/>
      <c r="M145" s="4354"/>
    </row>
    <row r="146" spans="1:13" ht="14.45" customHeight="1" x14ac:dyDescent="0.25">
      <c r="A146" s="4354"/>
      <c r="B146" s="4402" t="s">
        <v>651</v>
      </c>
      <c r="C146" s="4354"/>
      <c r="D146" s="4481" t="str">
        <f t="shared" si="8"/>
        <v>NIR CRF tabel 4B 2020 (2018)</v>
      </c>
      <c r="E146" s="4481" t="s">
        <v>5260</v>
      </c>
      <c r="F146" s="4481" t="s">
        <v>5259</v>
      </c>
      <c r="G146" s="4481" t="s">
        <v>2197</v>
      </c>
      <c r="H146" s="4354"/>
      <c r="I146" s="4387" t="str">
        <f t="shared" si="5"/>
        <v>NO</v>
      </c>
      <c r="J146" s="4387" t="str">
        <f t="shared" si="5"/>
        <v>NO</v>
      </c>
      <c r="K146" s="4354"/>
      <c r="L146" s="4354"/>
      <c r="M146" s="4354"/>
    </row>
    <row r="147" spans="1:13" ht="15.75" thickBot="1" x14ac:dyDescent="0.3">
      <c r="A147" s="4354"/>
      <c r="B147" s="4354"/>
      <c r="C147" s="4354"/>
      <c r="D147" s="4354" t="str">
        <f t="shared" si="8"/>
        <v/>
      </c>
      <c r="E147" s="4356"/>
      <c r="F147" s="4354"/>
      <c r="G147" s="4354"/>
      <c r="H147" s="4354"/>
      <c r="I147" s="4387" t="str">
        <f t="shared" si="5"/>
        <v>NO</v>
      </c>
      <c r="J147" s="4387" t="str">
        <f t="shared" si="5"/>
        <v>NO</v>
      </c>
      <c r="K147" s="4354"/>
      <c r="L147" s="4354"/>
      <c r="M147" s="4354"/>
    </row>
    <row r="148" spans="1:13" ht="15" customHeight="1" thickBot="1" x14ac:dyDescent="0.3">
      <c r="A148" s="4354"/>
      <c r="B148" s="5104" t="s">
        <v>900</v>
      </c>
      <c r="C148" s="5105"/>
      <c r="D148" s="4379" t="str">
        <f t="shared" si="8"/>
        <v>Total mineraliseret N i Dk (kg)</v>
      </c>
      <c r="E148" s="4488" t="s">
        <v>899</v>
      </c>
      <c r="F148" s="4489" t="s">
        <v>899</v>
      </c>
      <c r="G148" s="4437" t="s">
        <v>899</v>
      </c>
      <c r="H148" s="4354"/>
      <c r="I148" s="4387" t="str">
        <f t="shared" si="5"/>
        <v>NO</v>
      </c>
      <c r="J148" s="4387" t="str">
        <f t="shared" si="5"/>
        <v>NO</v>
      </c>
      <c r="K148" s="4354"/>
      <c r="L148" s="4354"/>
      <c r="M148" s="4354"/>
    </row>
    <row r="149" spans="1:13" ht="15.75" thickBot="1" x14ac:dyDescent="0.3">
      <c r="A149" s="4354"/>
      <c r="B149" s="5106" t="s">
        <v>898</v>
      </c>
      <c r="C149" s="5107"/>
      <c r="D149" s="4490">
        <f>IF($D$3=$E$3,E149,IF($D$3=$F$3,F149,IF($D$3=$G$3,G149,"-")))</f>
        <v>28857783.930888601</v>
      </c>
      <c r="E149" s="4485">
        <f>Table3.D_2018!C16</f>
        <v>28857783.930888601</v>
      </c>
      <c r="F149" s="4486">
        <f>Table3.D_2019!C16</f>
        <v>13365420.528078601</v>
      </c>
      <c r="G149" s="4487">
        <f>Table3.D_2020!C16</f>
        <v>13610410.6706756</v>
      </c>
      <c r="H149" s="4354"/>
      <c r="I149" s="4387">
        <f t="shared" si="5"/>
        <v>0.53685215191549718</v>
      </c>
      <c r="J149" s="4387">
        <f t="shared" si="5"/>
        <v>1.833014846650835E-2</v>
      </c>
      <c r="K149" s="4354"/>
      <c r="L149" s="4354"/>
      <c r="M149" s="4354"/>
    </row>
    <row r="150" spans="1:13" x14ac:dyDescent="0.25">
      <c r="A150" s="4354"/>
      <c r="B150" s="4354"/>
      <c r="C150" s="4354"/>
      <c r="D150" s="4354" t="str">
        <f t="shared" si="8"/>
        <v/>
      </c>
      <c r="E150" s="4354"/>
      <c r="F150" s="4354"/>
      <c r="G150" s="4354"/>
      <c r="H150" s="4354"/>
      <c r="I150" s="4387" t="str">
        <f t="shared" si="5"/>
        <v>NO</v>
      </c>
      <c r="J150" s="4387" t="str">
        <f t="shared" si="5"/>
        <v>NO</v>
      </c>
      <c r="K150" s="4354"/>
      <c r="L150" s="4354"/>
      <c r="M150" s="4354"/>
    </row>
    <row r="151" spans="1:13" ht="14.45" customHeight="1" x14ac:dyDescent="0.25">
      <c r="A151" s="4354"/>
      <c r="B151" s="4402" t="s">
        <v>651</v>
      </c>
      <c r="C151" s="4354"/>
      <c r="D151" s="4481" t="str">
        <f t="shared" si="8"/>
        <v>NIR CRF tabel 3D 2020 (2018)</v>
      </c>
      <c r="E151" s="4481" t="s">
        <v>5261</v>
      </c>
      <c r="F151" s="4481" t="s">
        <v>5262</v>
      </c>
      <c r="G151" s="4481" t="s">
        <v>2198</v>
      </c>
      <c r="H151" s="4354"/>
      <c r="I151" s="4387" t="str">
        <f t="shared" si="5"/>
        <v>NO</v>
      </c>
      <c r="J151" s="4387" t="str">
        <f t="shared" si="5"/>
        <v>NO</v>
      </c>
      <c r="K151" s="4354"/>
      <c r="L151" s="4354"/>
      <c r="M151" s="4354"/>
    </row>
    <row r="152" spans="1:13" ht="15.75" thickBot="1" x14ac:dyDescent="0.3">
      <c r="A152" s="4354"/>
      <c r="B152" s="4354"/>
      <c r="C152" s="4354"/>
      <c r="D152" s="4354" t="str">
        <f t="shared" si="8"/>
        <v/>
      </c>
      <c r="E152" s="4356"/>
      <c r="F152" s="4354"/>
      <c r="G152" s="4354"/>
      <c r="H152" s="4354"/>
      <c r="I152" s="4387" t="str">
        <f t="shared" si="5"/>
        <v>NO</v>
      </c>
      <c r="J152" s="4387" t="str">
        <f t="shared" si="5"/>
        <v>NO</v>
      </c>
      <c r="K152" s="4354"/>
      <c r="L152" s="4354"/>
      <c r="M152" s="4354"/>
    </row>
    <row r="153" spans="1:13" ht="15" customHeight="1" thickBot="1" x14ac:dyDescent="0.3">
      <c r="A153" s="4354"/>
      <c r="B153" s="5099" t="s">
        <v>897</v>
      </c>
      <c r="C153" s="5101"/>
      <c r="D153" s="4491" t="str">
        <f t="shared" si="8"/>
        <v>Fordampet andel (%)</v>
      </c>
      <c r="E153" s="4492" t="s">
        <v>896</v>
      </c>
      <c r="F153" s="4493" t="s">
        <v>896</v>
      </c>
      <c r="G153" s="4494" t="s">
        <v>896</v>
      </c>
      <c r="H153" s="4354"/>
      <c r="I153" s="4387" t="str">
        <f t="shared" si="5"/>
        <v>NO</v>
      </c>
      <c r="J153" s="4387" t="str">
        <f t="shared" si="5"/>
        <v>NO</v>
      </c>
      <c r="K153" s="4354"/>
      <c r="L153" s="4354"/>
      <c r="M153" s="4354"/>
    </row>
    <row r="154" spans="1:13" x14ac:dyDescent="0.25">
      <c r="A154" s="4354"/>
      <c r="B154" s="5108" t="s">
        <v>895</v>
      </c>
      <c r="C154" s="5109"/>
      <c r="D154" s="4495">
        <f>IF($D$3=$E$3,E154,IF($D$3=$F$3,F154,IF($D$3=$G$3,G154,"-")))</f>
        <v>5.183311592651E-2</v>
      </c>
      <c r="E154" s="4496">
        <f>Table3.D_2018!C32</f>
        <v>5.183311592651E-2</v>
      </c>
      <c r="F154" s="4497">
        <f>Table3.D_2019!C32</f>
        <v>6.0668830699839998E-2</v>
      </c>
      <c r="G154" s="4498">
        <f>Table3.D_2020!C32</f>
        <v>5.1925729797410003E-2</v>
      </c>
      <c r="H154" s="4354"/>
      <c r="I154" s="4387">
        <f t="shared" si="5"/>
        <v>0.1704646655982914</v>
      </c>
      <c r="J154" s="4387">
        <f t="shared" si="5"/>
        <v>0.14411190724420955</v>
      </c>
      <c r="K154" s="4354"/>
      <c r="L154" s="4354"/>
      <c r="M154" s="4354"/>
    </row>
    <row r="155" spans="1:13" x14ac:dyDescent="0.25">
      <c r="A155" s="4354"/>
      <c r="B155" s="5108" t="s">
        <v>894</v>
      </c>
      <c r="C155" s="5109"/>
      <c r="D155" s="4495">
        <f t="shared" ref="D155:D156" si="9">IF($D$3=$E$3,E155,IF($D$3=$F$3,F155,IF($D$3=$G$3,G155,"-")))</f>
        <v>9.2872287052539998E-2</v>
      </c>
      <c r="E155" s="4496">
        <f>Table3.D_2018!C33</f>
        <v>9.2872287052539998E-2</v>
      </c>
      <c r="F155" s="4497">
        <f>Table3.D_2019!C33</f>
        <v>7.535430977193E-2</v>
      </c>
      <c r="G155" s="4498">
        <f>Table3.D_2020!C33</f>
        <v>8.6302256331159996E-2</v>
      </c>
      <c r="H155" s="4354"/>
      <c r="I155" s="4387">
        <f t="shared" ref="I155:J218" si="10">IFERROR(ABS(F155-E155)/E155,"NO")</f>
        <v>0.18862437694357276</v>
      </c>
      <c r="J155" s="4387">
        <f t="shared" si="10"/>
        <v>0.14528626952281076</v>
      </c>
      <c r="K155" s="4354"/>
      <c r="L155" s="4354"/>
      <c r="M155" s="4354"/>
    </row>
    <row r="156" spans="1:13" ht="15.75" thickBot="1" x14ac:dyDescent="0.3">
      <c r="A156" s="4499"/>
      <c r="B156" s="5102" t="s">
        <v>893</v>
      </c>
      <c r="C156" s="5103"/>
      <c r="D156" s="4500">
        <f t="shared" si="9"/>
        <v>3.0226327198308901E-2</v>
      </c>
      <c r="E156" s="4501">
        <v>3.0226327198308901E-2</v>
      </c>
      <c r="F156" s="4502">
        <v>3.0226327198308901E-2</v>
      </c>
      <c r="G156" s="4503">
        <v>3.0226327198308901E-2</v>
      </c>
      <c r="H156" s="4504"/>
      <c r="I156" s="4387">
        <f t="shared" si="10"/>
        <v>0</v>
      </c>
      <c r="J156" s="4387">
        <f t="shared" si="10"/>
        <v>0</v>
      </c>
      <c r="K156" s="4354"/>
      <c r="L156" s="4354"/>
      <c r="M156" s="4354"/>
    </row>
    <row r="157" spans="1:13" x14ac:dyDescent="0.25">
      <c r="A157" s="4354"/>
      <c r="B157" s="4354"/>
      <c r="C157" s="4354"/>
      <c r="D157" s="4354" t="str">
        <f t="shared" si="8"/>
        <v/>
      </c>
      <c r="E157" s="4356"/>
      <c r="F157" s="4354"/>
      <c r="G157" s="4354"/>
      <c r="H157" s="4354"/>
      <c r="I157" s="4387" t="str">
        <f t="shared" si="10"/>
        <v>NO</v>
      </c>
      <c r="J157" s="4387" t="str">
        <f t="shared" si="10"/>
        <v>NO</v>
      </c>
      <c r="K157" s="4354"/>
      <c r="L157" s="4354"/>
      <c r="M157" s="4354"/>
    </row>
    <row r="158" spans="1:13" ht="14.45" customHeight="1" x14ac:dyDescent="0.25">
      <c r="A158" s="4354"/>
      <c r="B158" s="4402" t="s">
        <v>651</v>
      </c>
      <c r="C158" s="4354"/>
      <c r="D158" s="4481" t="str">
        <f t="shared" si="8"/>
        <v>NIR CRF tabel 3D 2020 (2018)</v>
      </c>
      <c r="E158" s="4481" t="s">
        <v>5261</v>
      </c>
      <c r="F158" s="4481" t="s">
        <v>5262</v>
      </c>
      <c r="G158" s="4481" t="s">
        <v>2198</v>
      </c>
      <c r="H158" s="4354"/>
      <c r="I158" s="4387" t="str">
        <f t="shared" si="10"/>
        <v>NO</v>
      </c>
      <c r="J158" s="4387" t="str">
        <f t="shared" si="10"/>
        <v>NO</v>
      </c>
      <c r="K158" s="4354"/>
      <c r="L158" s="4354"/>
      <c r="M158" s="4354"/>
    </row>
    <row r="159" spans="1:13" ht="15.75" thickBot="1" x14ac:dyDescent="0.3">
      <c r="A159" s="4354"/>
      <c r="B159" s="4354"/>
      <c r="C159" s="4354"/>
      <c r="D159" s="4354" t="str">
        <f t="shared" si="8"/>
        <v/>
      </c>
      <c r="E159" s="4356"/>
      <c r="F159" s="4354"/>
      <c r="G159" s="4354"/>
      <c r="H159" s="4354"/>
      <c r="I159" s="4387" t="str">
        <f t="shared" si="10"/>
        <v>NO</v>
      </c>
      <c r="J159" s="4387" t="str">
        <f t="shared" si="10"/>
        <v>NO</v>
      </c>
      <c r="K159" s="4354"/>
      <c r="L159" s="4354"/>
      <c r="M159" s="4354"/>
    </row>
    <row r="160" spans="1:13" ht="30.95" customHeight="1" x14ac:dyDescent="0.25">
      <c r="A160" s="4354"/>
      <c r="B160" s="4505"/>
      <c r="C160" s="4506"/>
      <c r="D160" s="4507" t="str">
        <f t="shared" si="8"/>
        <v>Frac Leach - andel af N input som udvaskes (%)</v>
      </c>
      <c r="E160" s="4508" t="s">
        <v>892</v>
      </c>
      <c r="F160" s="4509" t="s">
        <v>892</v>
      </c>
      <c r="G160" s="4510" t="s">
        <v>892</v>
      </c>
      <c r="H160" s="4354"/>
      <c r="I160" s="4387" t="str">
        <f t="shared" si="10"/>
        <v>NO</v>
      </c>
      <c r="J160" s="4387" t="str">
        <f t="shared" si="10"/>
        <v>NO</v>
      </c>
      <c r="K160" s="4354"/>
      <c r="L160" s="4354"/>
      <c r="M160" s="4354"/>
    </row>
    <row r="161" spans="1:13" ht="15.75" thickBot="1" x14ac:dyDescent="0.3">
      <c r="A161" s="4354"/>
      <c r="B161" s="4511" t="s">
        <v>891</v>
      </c>
      <c r="C161" s="4445"/>
      <c r="D161" s="4500">
        <f>IF($D$3=$E$3,E161,IF($D$3=$F$3,F161,IF($D$3=$G$3,G161,"-")))</f>
        <v>0.2547823244638</v>
      </c>
      <c r="E161" s="4512">
        <f>Table3.D_2018!C34</f>
        <v>0.2547823244638</v>
      </c>
      <c r="F161" s="4513">
        <f>Table3.D_2019!C34</f>
        <v>0.25489330416588002</v>
      </c>
      <c r="G161" s="4514">
        <f>Table3.D_2020!C34</f>
        <v>0.21412016230006001</v>
      </c>
      <c r="H161" s="4354"/>
      <c r="I161" s="4387">
        <f t="shared" si="10"/>
        <v>4.3558634734013703E-4</v>
      </c>
      <c r="J161" s="4387">
        <f t="shared" si="10"/>
        <v>0.15996160432400208</v>
      </c>
      <c r="K161" s="4354"/>
      <c r="L161" s="4354"/>
      <c r="M161" s="4354"/>
    </row>
    <row r="162" spans="1:13" x14ac:dyDescent="0.25">
      <c r="A162" s="4354"/>
      <c r="B162" s="4354"/>
      <c r="C162" s="4354"/>
      <c r="D162" s="4354" t="str">
        <f t="shared" si="8"/>
        <v/>
      </c>
      <c r="E162" s="4356"/>
      <c r="F162" s="4354"/>
      <c r="G162" s="4354"/>
      <c r="H162" s="4354"/>
      <c r="I162" s="4387" t="str">
        <f t="shared" si="10"/>
        <v>NO</v>
      </c>
      <c r="J162" s="4387" t="str">
        <f t="shared" si="10"/>
        <v>NO</v>
      </c>
      <c r="K162" s="4354"/>
      <c r="L162" s="4354"/>
      <c r="M162" s="4354"/>
    </row>
    <row r="163" spans="1:13" ht="14.45" customHeight="1" x14ac:dyDescent="0.25">
      <c r="A163" s="4354"/>
      <c r="B163" s="4402" t="s">
        <v>651</v>
      </c>
      <c r="C163" s="4354"/>
      <c r="D163" s="4481" t="str">
        <f t="shared" si="8"/>
        <v>NIR CRF tabel 3D 2020 (2018)</v>
      </c>
      <c r="E163" s="4481" t="s">
        <v>5261</v>
      </c>
      <c r="F163" s="4481" t="s">
        <v>5262</v>
      </c>
      <c r="G163" s="4481" t="s">
        <v>2198</v>
      </c>
      <c r="H163" s="4354"/>
      <c r="I163" s="4387" t="str">
        <f t="shared" si="10"/>
        <v>NO</v>
      </c>
      <c r="J163" s="4387" t="str">
        <f t="shared" si="10"/>
        <v>NO</v>
      </c>
      <c r="K163" s="4354"/>
      <c r="L163" s="4354"/>
      <c r="M163" s="4354"/>
    </row>
    <row r="164" spans="1:13" x14ac:dyDescent="0.25">
      <c r="A164" s="4354"/>
      <c r="B164" s="4354"/>
      <c r="C164" s="4354"/>
      <c r="D164" s="4354" t="str">
        <f t="shared" si="8"/>
        <v/>
      </c>
      <c r="E164" s="4356"/>
      <c r="F164" s="4354"/>
      <c r="G164" s="4354"/>
      <c r="H164" s="4354"/>
      <c r="I164" s="4387" t="str">
        <f t="shared" si="10"/>
        <v>NO</v>
      </c>
      <c r="J164" s="4387" t="str">
        <f t="shared" si="10"/>
        <v>NO</v>
      </c>
      <c r="K164" s="4354"/>
      <c r="L164" s="4354"/>
      <c r="M164" s="4354"/>
    </row>
    <row r="165" spans="1:13" s="640" customFormat="1" ht="29.25" customHeight="1" x14ac:dyDescent="0.3">
      <c r="A165" s="4357"/>
      <c r="B165" s="4432" t="s">
        <v>890</v>
      </c>
      <c r="C165" s="4357"/>
      <c r="D165" s="4357" t="str">
        <f t="shared" si="8"/>
        <v/>
      </c>
      <c r="E165" s="4357"/>
      <c r="F165" s="4357"/>
      <c r="G165" s="4357"/>
      <c r="H165" s="4357"/>
      <c r="I165" s="4387" t="str">
        <f t="shared" si="10"/>
        <v>NO</v>
      </c>
      <c r="J165" s="4387" t="str">
        <f t="shared" si="10"/>
        <v>NO</v>
      </c>
      <c r="K165" s="4357"/>
      <c r="L165" s="4357"/>
      <c r="M165" s="4357"/>
    </row>
    <row r="166" spans="1:13" ht="15.75" thickBot="1" x14ac:dyDescent="0.3">
      <c r="A166" s="4354"/>
      <c r="B166" s="4354"/>
      <c r="C166" s="4354"/>
      <c r="D166" s="4354" t="str">
        <f t="shared" si="8"/>
        <v/>
      </c>
      <c r="E166" s="4356"/>
      <c r="F166" s="4354"/>
      <c r="G166" s="4354"/>
      <c r="H166" s="4354"/>
      <c r="I166" s="4387" t="str">
        <f t="shared" si="10"/>
        <v>NO</v>
      </c>
      <c r="J166" s="4387" t="str">
        <f t="shared" si="10"/>
        <v>NO</v>
      </c>
      <c r="K166" s="4354"/>
      <c r="L166" s="4354"/>
      <c r="M166" s="4354"/>
    </row>
    <row r="167" spans="1:13" ht="23.25" customHeight="1" thickBot="1" x14ac:dyDescent="0.3">
      <c r="A167" s="4354"/>
      <c r="B167" s="4354"/>
      <c r="C167" s="4354"/>
      <c r="D167" s="4515" t="str">
        <f t="shared" si="8"/>
        <v>Kg</v>
      </c>
      <c r="E167" s="4516" t="s">
        <v>889</v>
      </c>
      <c r="F167" s="4517" t="s">
        <v>889</v>
      </c>
      <c r="G167" s="4518" t="s">
        <v>889</v>
      </c>
      <c r="H167" s="4354"/>
      <c r="I167" s="4387" t="str">
        <f t="shared" si="10"/>
        <v>NO</v>
      </c>
      <c r="J167" s="4387" t="str">
        <f t="shared" si="10"/>
        <v>NO</v>
      </c>
      <c r="K167" s="4354"/>
      <c r="L167" s="4354"/>
      <c r="M167" s="4354"/>
    </row>
    <row r="168" spans="1:13" ht="15.75" customHeight="1" thickBot="1" x14ac:dyDescent="0.3">
      <c r="A168" s="4354"/>
      <c r="B168" s="5099" t="s">
        <v>888</v>
      </c>
      <c r="C168" s="5100"/>
      <c r="D168" s="4519">
        <f>IF($D$3=$E$3,E168,IF($D$3=$F$3,F168,IF($D$3=$G$3,G168,"-")))</f>
        <v>545300000</v>
      </c>
      <c r="E168" s="4520">
        <f>('Table3.G-I_2018'!B9*1000)</f>
        <v>545300000</v>
      </c>
      <c r="F168" s="4521">
        <f>'Table3.G-I_2019'!B9*1000</f>
        <v>412300000</v>
      </c>
      <c r="G168" s="4522">
        <f>('Table3.G-I_2020'!B9)*1000</f>
        <v>567300000</v>
      </c>
      <c r="H168" s="4354"/>
      <c r="I168" s="4387">
        <f t="shared" si="10"/>
        <v>0.24390243902439024</v>
      </c>
      <c r="J168" s="4387">
        <f t="shared" si="10"/>
        <v>0.37593984962406013</v>
      </c>
      <c r="K168" s="4354"/>
      <c r="L168" s="4354"/>
      <c r="M168" s="4354"/>
    </row>
    <row r="169" spans="1:13" ht="15.75" customHeight="1" thickBot="1" x14ac:dyDescent="0.3">
      <c r="A169" s="4354"/>
      <c r="B169" s="5099" t="s">
        <v>887</v>
      </c>
      <c r="C169" s="5100"/>
      <c r="D169" s="4519">
        <f t="shared" ref="D169:D170" si="11">IF($D$3=$E$3,E169,IF($D$3=$F$3,F169,IF($D$3=$G$3,G169,"-")))</f>
        <v>1900000</v>
      </c>
      <c r="E169" s="4523">
        <f>'Table3.G-I_2018'!B11*1000</f>
        <v>1900000</v>
      </c>
      <c r="F169" s="4524">
        <f>'Table3.G-I_2019'!B11*1000</f>
        <v>981000</v>
      </c>
      <c r="G169" s="4525">
        <f>'Table3.G-I_2020'!B11*1000</f>
        <v>1268000</v>
      </c>
      <c r="H169" s="4354"/>
      <c r="I169" s="4387">
        <f t="shared" si="10"/>
        <v>0.48368421052631577</v>
      </c>
      <c r="J169" s="4387">
        <f t="shared" si="10"/>
        <v>0.29255861365953106</v>
      </c>
      <c r="K169" s="4354"/>
      <c r="L169" s="4354"/>
      <c r="M169" s="4354"/>
    </row>
    <row r="170" spans="1:13" ht="15.75" thickBot="1" x14ac:dyDescent="0.3">
      <c r="A170" s="4354"/>
      <c r="B170" s="5099" t="s">
        <v>886</v>
      </c>
      <c r="C170" s="5101"/>
      <c r="D170" s="4526">
        <f t="shared" si="11"/>
        <v>26100000</v>
      </c>
      <c r="E170" s="4485">
        <f>'Table3.G-I_2018'!B12*1000</f>
        <v>26100000</v>
      </c>
      <c r="F170" s="4486">
        <f>'Table3.G-I_2019'!B12*1000</f>
        <v>28100000</v>
      </c>
      <c r="G170" s="4487">
        <f>'Table3.G-I_2020'!B12*1000</f>
        <v>40140000</v>
      </c>
      <c r="H170" s="4354"/>
      <c r="I170" s="4387">
        <f t="shared" si="10"/>
        <v>7.662835249042145E-2</v>
      </c>
      <c r="J170" s="4387">
        <f t="shared" si="10"/>
        <v>0.4284697508896797</v>
      </c>
      <c r="K170" s="4354"/>
      <c r="L170" s="4354"/>
      <c r="M170" s="4354"/>
    </row>
    <row r="171" spans="1:13" x14ac:dyDescent="0.25">
      <c r="A171" s="4354"/>
      <c r="B171" s="4354"/>
      <c r="C171" s="4354"/>
      <c r="D171" s="4527" t="str">
        <f t="shared" ref="D171:D225" si="12">""&amp;IF($D$3=$E$3,E171,IF($D$3=$F$3,F171,IF($D$3=$G$3,G171,"-")))</f>
        <v/>
      </c>
      <c r="E171" s="4528"/>
      <c r="F171" s="4527"/>
      <c r="G171" s="4527"/>
      <c r="H171" s="4354"/>
      <c r="I171" s="4387" t="str">
        <f t="shared" si="10"/>
        <v>NO</v>
      </c>
      <c r="J171" s="4387" t="str">
        <f t="shared" si="10"/>
        <v>NO</v>
      </c>
      <c r="K171" s="4354"/>
      <c r="L171" s="4354"/>
      <c r="M171" s="4354"/>
    </row>
    <row r="172" spans="1:13" ht="14.45" customHeight="1" x14ac:dyDescent="0.25">
      <c r="A172" s="4354"/>
      <c r="B172" s="4402" t="s">
        <v>651</v>
      </c>
      <c r="C172" s="4354"/>
      <c r="D172" s="4529" t="str">
        <f t="shared" si="12"/>
        <v>NIR CRF tabel 3G-I 2020 (2018)</v>
      </c>
      <c r="E172" s="4529" t="s">
        <v>5263</v>
      </c>
      <c r="F172" s="4529" t="s">
        <v>5264</v>
      </c>
      <c r="G172" s="4529" t="s">
        <v>2199</v>
      </c>
      <c r="H172" s="4354"/>
      <c r="I172" s="4387" t="str">
        <f t="shared" si="10"/>
        <v>NO</v>
      </c>
      <c r="J172" s="4387" t="str">
        <f t="shared" si="10"/>
        <v>NO</v>
      </c>
      <c r="K172" s="4354"/>
      <c r="L172" s="4354"/>
      <c r="M172" s="4354"/>
    </row>
    <row r="173" spans="1:13" ht="14.45" customHeight="1" thickBot="1" x14ac:dyDescent="0.3">
      <c r="A173" s="4354"/>
      <c r="B173" s="4402"/>
      <c r="C173" s="4354"/>
      <c r="D173" s="4530" t="str">
        <f t="shared" si="12"/>
        <v/>
      </c>
      <c r="E173" s="4531"/>
      <c r="F173" s="4530"/>
      <c r="G173" s="4530"/>
      <c r="H173" s="4354"/>
      <c r="I173" s="4387" t="str">
        <f t="shared" si="10"/>
        <v>NO</v>
      </c>
      <c r="J173" s="4387" t="str">
        <f t="shared" si="10"/>
        <v>NO</v>
      </c>
      <c r="K173" s="4354"/>
      <c r="L173" s="4354"/>
      <c r="M173" s="4354"/>
    </row>
    <row r="174" spans="1:13" ht="30.75" thickBot="1" x14ac:dyDescent="0.3">
      <c r="A174" s="4354"/>
      <c r="B174" s="4354"/>
      <c r="C174" s="4354"/>
      <c r="D174" s="4532" t="str">
        <f t="shared" si="12"/>
        <v xml:space="preserve">Landbrugsjord og gartneri i Danmark (ha) </v>
      </c>
      <c r="E174" s="4533" t="s">
        <v>2211</v>
      </c>
      <c r="F174" s="4534" t="s">
        <v>2211</v>
      </c>
      <c r="G174" s="4535" t="s">
        <v>2211</v>
      </c>
      <c r="H174" s="4354"/>
      <c r="I174" s="4387" t="str">
        <f t="shared" si="10"/>
        <v>NO</v>
      </c>
      <c r="J174" s="4387" t="str">
        <f t="shared" si="10"/>
        <v>NO</v>
      </c>
      <c r="K174" s="4354"/>
      <c r="L174" s="4354"/>
      <c r="M174" s="4354"/>
    </row>
    <row r="175" spans="1:13" ht="15.75" customHeight="1" thickBot="1" x14ac:dyDescent="0.3">
      <c r="A175" s="4354"/>
      <c r="B175" s="5099" t="s">
        <v>2211</v>
      </c>
      <c r="C175" s="5100"/>
      <c r="D175" s="4526">
        <f>IF($D$3=$E$3,E175,IF($D$3=$F$3,F175,IF($D$3=$G$3,G175,"-")))</f>
        <v>2779014.7687200001</v>
      </c>
      <c r="E175" s="4536">
        <f>Table4.B_2018!C11*1000</f>
        <v>2779014.7687200001</v>
      </c>
      <c r="F175" s="4537">
        <f>Table4.B_2019!C11*1000</f>
        <v>2760872.5624600002</v>
      </c>
      <c r="G175" s="4538">
        <f>Table4.B_2020!C11*1000</f>
        <v>2750275.6833160003</v>
      </c>
      <c r="H175" s="4354"/>
      <c r="I175" s="4387">
        <f t="shared" si="10"/>
        <v>6.5282870980768832E-3</v>
      </c>
      <c r="J175" s="4387">
        <f t="shared" si="10"/>
        <v>3.8382355231049961E-3</v>
      </c>
      <c r="K175" s="4354"/>
      <c r="L175" s="4354"/>
      <c r="M175" s="4354"/>
    </row>
    <row r="176" spans="1:13" x14ac:dyDescent="0.25">
      <c r="A176" s="4354"/>
      <c r="B176" s="4354"/>
      <c r="C176" s="4354"/>
      <c r="D176" s="4354" t="str">
        <f t="shared" si="12"/>
        <v/>
      </c>
      <c r="E176" s="4356"/>
      <c r="F176" s="4354"/>
      <c r="G176" s="4354"/>
      <c r="H176" s="4354"/>
      <c r="I176" s="4387" t="str">
        <f t="shared" si="10"/>
        <v>NO</v>
      </c>
      <c r="J176" s="4387" t="str">
        <f t="shared" si="10"/>
        <v>NO</v>
      </c>
      <c r="K176" s="4354"/>
      <c r="L176" s="4354"/>
      <c r="M176" s="4354"/>
    </row>
    <row r="177" spans="1:13" ht="14.45" customHeight="1" x14ac:dyDescent="0.25">
      <c r="A177" s="4354"/>
      <c r="B177" s="4402" t="s">
        <v>651</v>
      </c>
      <c r="C177" s="4354"/>
      <c r="D177" s="4481" t="str">
        <f t="shared" si="12"/>
        <v>NIR tabel 4B 2020 (2018)</v>
      </c>
      <c r="E177" s="4481" t="s">
        <v>5265</v>
      </c>
      <c r="F177" s="4481" t="s">
        <v>5266</v>
      </c>
      <c r="G177" s="4481" t="s">
        <v>2738</v>
      </c>
      <c r="H177" s="4354"/>
      <c r="I177" s="4387" t="str">
        <f t="shared" si="10"/>
        <v>NO</v>
      </c>
      <c r="J177" s="4387" t="str">
        <f t="shared" si="10"/>
        <v>NO</v>
      </c>
      <c r="K177" s="4354"/>
      <c r="L177" s="4354"/>
      <c r="M177" s="4354"/>
    </row>
    <row r="178" spans="1:13" ht="15.75" thickBot="1" x14ac:dyDescent="0.3">
      <c r="A178" s="4354"/>
      <c r="B178" s="4354"/>
      <c r="C178" s="4354"/>
      <c r="D178" s="4354" t="str">
        <f t="shared" si="12"/>
        <v/>
      </c>
      <c r="E178" s="4356"/>
      <c r="F178" s="4354"/>
      <c r="G178" s="4354"/>
      <c r="H178" s="4354"/>
      <c r="I178" s="4387" t="str">
        <f t="shared" si="10"/>
        <v>NO</v>
      </c>
      <c r="J178" s="4387" t="str">
        <f t="shared" si="10"/>
        <v>NO</v>
      </c>
      <c r="K178" s="4354"/>
      <c r="L178" s="4354"/>
      <c r="M178" s="4354"/>
    </row>
    <row r="179" spans="1:13" ht="15.75" thickBot="1" x14ac:dyDescent="0.3">
      <c r="A179" s="4354"/>
      <c r="B179" s="4354"/>
      <c r="C179" s="4354"/>
      <c r="D179" s="4515" t="str">
        <f t="shared" si="12"/>
        <v>Emissionsfaktor (kg CO2 -C/ kg)</v>
      </c>
      <c r="E179" s="4517" t="s">
        <v>4945</v>
      </c>
      <c r="F179" s="4517" t="s">
        <v>4945</v>
      </c>
      <c r="G179" s="4517" t="s">
        <v>4945</v>
      </c>
      <c r="H179" s="4354"/>
      <c r="I179" s="4387" t="str">
        <f t="shared" si="10"/>
        <v>NO</v>
      </c>
      <c r="J179" s="4387" t="str">
        <f t="shared" si="10"/>
        <v>NO</v>
      </c>
      <c r="K179" s="4354"/>
      <c r="L179" s="4354"/>
      <c r="M179" s="4354"/>
    </row>
    <row r="180" spans="1:13" ht="15.75" customHeight="1" thickBot="1" x14ac:dyDescent="0.3">
      <c r="A180" s="4354"/>
      <c r="B180" s="5099" t="s">
        <v>885</v>
      </c>
      <c r="C180" s="5100"/>
      <c r="D180" s="4539">
        <f>IF($D$3=$E$3,E180,IF($D$3=$F$3,F180,IF($D$3=$G$3,G180,"-")))</f>
        <v>0.11999200719353</v>
      </c>
      <c r="E180" s="4540">
        <f>'Table3.G-I_2018'!C9</f>
        <v>0.11999200719353</v>
      </c>
      <c r="F180" s="4541">
        <f>'Table3.G-I_2019'!C9</f>
        <v>0.11999200719353</v>
      </c>
      <c r="G180" s="4542">
        <f>'Table3.G-I_2020'!C9</f>
        <v>0.11999200719353</v>
      </c>
      <c r="H180" s="4354"/>
      <c r="I180" s="4387">
        <f t="shared" si="10"/>
        <v>0</v>
      </c>
      <c r="J180" s="4387">
        <f t="shared" si="10"/>
        <v>0</v>
      </c>
      <c r="K180" s="4354"/>
      <c r="L180" s="4354"/>
      <c r="M180" s="4354"/>
    </row>
    <row r="181" spans="1:13" ht="15.75" customHeight="1" thickBot="1" x14ac:dyDescent="0.3">
      <c r="A181" s="4354"/>
      <c r="B181" s="5099" t="s">
        <v>884</v>
      </c>
      <c r="C181" s="5100"/>
      <c r="D181" s="4539">
        <f t="shared" ref="D181:D182" si="13">IF($D$3=$E$3,E181,IF($D$3=$F$3,F181,IF($D$3=$G$3,G181,"-")))</f>
        <v>0.2</v>
      </c>
      <c r="E181" s="4543">
        <f>'Table3.G-I_2018'!C11</f>
        <v>0.2</v>
      </c>
      <c r="F181" s="4544">
        <f>'Table3.G-I_2019'!C11</f>
        <v>0.2</v>
      </c>
      <c r="G181" s="4545">
        <f>'Table3.G-I_2020'!C11</f>
        <v>0.2</v>
      </c>
      <c r="H181" s="4354"/>
      <c r="I181" s="4387">
        <f t="shared" si="10"/>
        <v>0</v>
      </c>
      <c r="J181" s="4387">
        <f t="shared" si="10"/>
        <v>0</v>
      </c>
      <c r="K181" s="4354"/>
      <c r="L181" s="4354"/>
      <c r="M181" s="4354"/>
    </row>
    <row r="182" spans="1:13" ht="15.75" thickBot="1" x14ac:dyDescent="0.3">
      <c r="A182" s="4354"/>
      <c r="B182" s="5099" t="s">
        <v>883</v>
      </c>
      <c r="C182" s="5100"/>
      <c r="D182" s="4398">
        <f t="shared" si="13"/>
        <v>0.03</v>
      </c>
      <c r="E182" s="4512">
        <f>'Table3.G-I_2018'!C12</f>
        <v>0.03</v>
      </c>
      <c r="F182" s="4513">
        <f>'Table3.G-I_2019'!C12</f>
        <v>0.03</v>
      </c>
      <c r="G182" s="4514">
        <f>'Table3.G-I_2020'!C12</f>
        <v>2.5999999999999999E-2</v>
      </c>
      <c r="H182" s="4354"/>
      <c r="I182" s="4387">
        <f t="shared" si="10"/>
        <v>0</v>
      </c>
      <c r="J182" s="4387">
        <f t="shared" si="10"/>
        <v>0.13333333333333333</v>
      </c>
      <c r="K182" s="4354"/>
      <c r="L182" s="4354"/>
      <c r="M182" s="4354"/>
    </row>
    <row r="183" spans="1:13" x14ac:dyDescent="0.25">
      <c r="A183" s="4354"/>
      <c r="B183" s="4354"/>
      <c r="C183" s="4354"/>
      <c r="D183" s="4354" t="str">
        <f t="shared" si="12"/>
        <v/>
      </c>
      <c r="E183" s="4356"/>
      <c r="F183" s="4354"/>
      <c r="G183" s="4354"/>
      <c r="H183" s="4354"/>
      <c r="I183" s="4387" t="str">
        <f t="shared" si="10"/>
        <v>NO</v>
      </c>
      <c r="J183" s="4387" t="str">
        <f t="shared" si="10"/>
        <v>NO</v>
      </c>
      <c r="K183" s="4354"/>
      <c r="L183" s="4354"/>
      <c r="M183" s="4354"/>
    </row>
    <row r="184" spans="1:13" ht="14.45" customHeight="1" x14ac:dyDescent="0.25">
      <c r="A184" s="4354"/>
      <c r="B184" s="4402" t="s">
        <v>651</v>
      </c>
      <c r="C184" s="4354"/>
      <c r="D184" s="4481" t="str">
        <f t="shared" si="12"/>
        <v>NIR CRF tabel 3G-I 2020 (2018)</v>
      </c>
      <c r="E184" s="4481" t="s">
        <v>5263</v>
      </c>
      <c r="F184" s="4481" t="s">
        <v>5264</v>
      </c>
      <c r="G184" s="4481" t="s">
        <v>2199</v>
      </c>
      <c r="H184" s="4354"/>
      <c r="I184" s="4387" t="str">
        <f t="shared" si="10"/>
        <v>NO</v>
      </c>
      <c r="J184" s="4387" t="str">
        <f t="shared" si="10"/>
        <v>NO</v>
      </c>
      <c r="K184" s="4354"/>
      <c r="L184" s="4354"/>
      <c r="M184" s="4354"/>
    </row>
    <row r="185" spans="1:13" x14ac:dyDescent="0.25">
      <c r="A185" s="4354"/>
      <c r="B185" s="4354"/>
      <c r="C185" s="4354"/>
      <c r="D185" s="4354" t="str">
        <f t="shared" si="12"/>
        <v/>
      </c>
      <c r="E185" s="4356"/>
      <c r="F185" s="4354"/>
      <c r="G185" s="4354"/>
      <c r="H185" s="4354"/>
      <c r="I185" s="4387" t="str">
        <f t="shared" si="10"/>
        <v>NO</v>
      </c>
      <c r="J185" s="4387" t="str">
        <f t="shared" si="10"/>
        <v>NO</v>
      </c>
      <c r="K185" s="4354"/>
      <c r="L185" s="4354"/>
      <c r="M185" s="4354"/>
    </row>
    <row r="186" spans="1:13" s="640" customFormat="1" ht="27.75" customHeight="1" x14ac:dyDescent="0.3">
      <c r="A186" s="4357"/>
      <c r="B186" s="4432" t="s">
        <v>882</v>
      </c>
      <c r="C186" s="4357"/>
      <c r="D186" s="4357" t="str">
        <f t="shared" si="12"/>
        <v/>
      </c>
      <c r="E186" s="4357"/>
      <c r="F186" s="4357"/>
      <c r="G186" s="4357"/>
      <c r="H186" s="4357"/>
      <c r="I186" s="4387" t="str">
        <f t="shared" si="10"/>
        <v>NO</v>
      </c>
      <c r="J186" s="4387" t="str">
        <f t="shared" si="10"/>
        <v>NO</v>
      </c>
      <c r="K186" s="4357"/>
      <c r="L186" s="4357"/>
      <c r="M186" s="4357"/>
    </row>
    <row r="187" spans="1:13" x14ac:dyDescent="0.25">
      <c r="A187" s="4354"/>
      <c r="B187" s="4354"/>
      <c r="C187" s="4354"/>
      <c r="D187" s="4354" t="str">
        <f t="shared" si="12"/>
        <v/>
      </c>
      <c r="E187" s="4356"/>
      <c r="F187" s="4354"/>
      <c r="G187" s="4354"/>
      <c r="H187" s="4354"/>
      <c r="I187" s="4387" t="str">
        <f t="shared" si="10"/>
        <v>NO</v>
      </c>
      <c r="J187" s="4387" t="str">
        <f t="shared" si="10"/>
        <v>NO</v>
      </c>
      <c r="K187" s="4354"/>
      <c r="L187" s="4354"/>
      <c r="M187" s="4354"/>
    </row>
    <row r="188" spans="1:13" x14ac:dyDescent="0.25">
      <c r="A188" s="4354"/>
      <c r="B188" s="4433" t="s">
        <v>4215</v>
      </c>
      <c r="C188" s="4354"/>
      <c r="D188" s="4354"/>
      <c r="E188" s="4356"/>
      <c r="F188" s="4354"/>
      <c r="G188" s="4354"/>
      <c r="H188" s="4354"/>
      <c r="I188" s="4387" t="str">
        <f t="shared" si="10"/>
        <v>NO</v>
      </c>
      <c r="J188" s="4387" t="str">
        <f t="shared" si="10"/>
        <v>NO</v>
      </c>
      <c r="K188" s="4354"/>
      <c r="L188" s="4354"/>
      <c r="M188" s="4354"/>
    </row>
    <row r="189" spans="1:13" x14ac:dyDescent="0.25">
      <c r="A189" s="4354"/>
      <c r="B189" s="4354"/>
      <c r="C189" s="4354"/>
      <c r="D189" s="4354" t="str">
        <f t="shared" si="12"/>
        <v/>
      </c>
      <c r="E189" s="4356"/>
      <c r="F189" s="4354"/>
      <c r="G189" s="4354"/>
      <c r="H189" s="4354"/>
      <c r="I189" s="4387" t="str">
        <f t="shared" si="10"/>
        <v>NO</v>
      </c>
      <c r="J189" s="4387" t="str">
        <f t="shared" si="10"/>
        <v>NO</v>
      </c>
      <c r="K189" s="4354"/>
      <c r="L189" s="4354"/>
      <c r="M189" s="4354"/>
    </row>
    <row r="190" spans="1:13" s="640" customFormat="1" ht="28.5" customHeight="1" x14ac:dyDescent="0.3">
      <c r="A190" s="4357"/>
      <c r="B190" s="4432" t="s">
        <v>881</v>
      </c>
      <c r="C190" s="4357"/>
      <c r="D190" s="4357" t="str">
        <f t="shared" si="12"/>
        <v/>
      </c>
      <c r="E190" s="4357"/>
      <c r="F190" s="4357"/>
      <c r="G190" s="4357"/>
      <c r="H190" s="4357"/>
      <c r="I190" s="4387" t="str">
        <f t="shared" si="10"/>
        <v>NO</v>
      </c>
      <c r="J190" s="4387" t="str">
        <f t="shared" si="10"/>
        <v>NO</v>
      </c>
      <c r="K190" s="4357"/>
      <c r="L190" s="4357"/>
      <c r="M190" s="4357"/>
    </row>
    <row r="191" spans="1:13" ht="15.75" thickBot="1" x14ac:dyDescent="0.3">
      <c r="A191" s="4354"/>
      <c r="B191" s="4354"/>
      <c r="C191" s="4354"/>
      <c r="D191" s="4354" t="str">
        <f t="shared" si="12"/>
        <v/>
      </c>
      <c r="E191" s="4356"/>
      <c r="F191" s="4354"/>
      <c r="G191" s="4354"/>
      <c r="H191" s="4354"/>
      <c r="I191" s="4387" t="str">
        <f t="shared" si="10"/>
        <v>NO</v>
      </c>
      <c r="J191" s="4387" t="str">
        <f t="shared" si="10"/>
        <v>NO</v>
      </c>
      <c r="K191" s="4354"/>
      <c r="L191" s="4354"/>
      <c r="M191" s="4354"/>
    </row>
    <row r="192" spans="1:13" ht="15.75" thickBot="1" x14ac:dyDescent="0.3">
      <c r="A192" s="4354"/>
      <c r="B192" s="5097" t="s">
        <v>880</v>
      </c>
      <c r="C192" s="5098"/>
      <c r="D192" s="4546" t="str">
        <f t="shared" si="12"/>
        <v>ton C / ha</v>
      </c>
      <c r="E192" s="4547" t="s">
        <v>4776</v>
      </c>
      <c r="F192" s="4548" t="s">
        <v>4776</v>
      </c>
      <c r="G192" s="4549" t="s">
        <v>4776</v>
      </c>
      <c r="H192" s="4354"/>
      <c r="I192" s="4387" t="str">
        <f t="shared" si="10"/>
        <v>NO</v>
      </c>
      <c r="J192" s="4387" t="str">
        <f t="shared" si="10"/>
        <v>NO</v>
      </c>
      <c r="K192" s="4354"/>
      <c r="L192" s="4354"/>
      <c r="M192" s="4354"/>
    </row>
    <row r="193" spans="1:13" x14ac:dyDescent="0.25">
      <c r="A193" s="4354"/>
      <c r="B193" s="5094" t="s">
        <v>815</v>
      </c>
      <c r="C193" s="4550" t="s">
        <v>875</v>
      </c>
      <c r="D193" s="4551" t="str">
        <f t="shared" si="12"/>
        <v/>
      </c>
      <c r="E193" s="4552"/>
      <c r="F193" s="4553"/>
      <c r="G193" s="4554"/>
      <c r="H193" s="4354"/>
      <c r="I193" s="4387" t="str">
        <f t="shared" si="10"/>
        <v>NO</v>
      </c>
      <c r="J193" s="4387" t="str">
        <f t="shared" si="10"/>
        <v>NO</v>
      </c>
      <c r="K193" s="4354"/>
      <c r="L193" s="4354"/>
      <c r="M193" s="4354"/>
    </row>
    <row r="194" spans="1:13" x14ac:dyDescent="0.25">
      <c r="A194" s="4354"/>
      <c r="B194" s="5095"/>
      <c r="C194" s="4555" t="s">
        <v>874</v>
      </c>
      <c r="D194" s="4556">
        <f>IF($D$3=$E$3,E194,IF($D$3=$F$3,F194,IF($D$3=$G$3,G194,"-")))</f>
        <v>1.2553517570647501</v>
      </c>
      <c r="E194" s="4557">
        <f>Table4.A_2018!F12</f>
        <v>1.2553517570647501</v>
      </c>
      <c r="F194" s="4558">
        <f>Table4.A_2019!F12</f>
        <v>0.13941526258303999</v>
      </c>
      <c r="G194" s="4559">
        <f>Table4.A_2020!F12</f>
        <v>0.15352787710616</v>
      </c>
      <c r="H194" s="4354"/>
      <c r="I194" s="4387">
        <f t="shared" si="10"/>
        <v>0.88894326884998409</v>
      </c>
      <c r="J194" s="4387">
        <f t="shared" si="10"/>
        <v>0.10122718461125525</v>
      </c>
      <c r="K194" s="4354"/>
      <c r="L194" s="4354"/>
      <c r="M194" s="4354"/>
    </row>
    <row r="195" spans="1:13" x14ac:dyDescent="0.25">
      <c r="A195" s="4354"/>
      <c r="B195" s="5095"/>
      <c r="C195" s="4555" t="s">
        <v>873</v>
      </c>
      <c r="D195" s="4560" t="str">
        <f t="shared" si="12"/>
        <v/>
      </c>
      <c r="E195" s="4561"/>
      <c r="F195" s="4562"/>
      <c r="G195" s="4563"/>
      <c r="H195" s="4354"/>
      <c r="I195" s="4387" t="str">
        <f t="shared" si="10"/>
        <v>NO</v>
      </c>
      <c r="J195" s="4387" t="str">
        <f t="shared" si="10"/>
        <v>NO</v>
      </c>
      <c r="K195" s="4354"/>
      <c r="L195" s="4354"/>
      <c r="M195" s="4354"/>
    </row>
    <row r="196" spans="1:13" x14ac:dyDescent="0.25">
      <c r="A196" s="4354"/>
      <c r="B196" s="5095"/>
      <c r="C196" s="4564" t="s">
        <v>872</v>
      </c>
      <c r="D196" s="4556">
        <f>IF($D$3=$E$3,E196,IF($D$3=$F$3,F196,IF($D$3=$G$3,G196,"-")))</f>
        <v>0.82247632357768996</v>
      </c>
      <c r="E196" s="4557">
        <f>Table4.A_2018!F15</f>
        <v>0.82247632357768996</v>
      </c>
      <c r="F196" s="4558">
        <f>Table4.A_2019!F15</f>
        <v>3.0874346417004599</v>
      </c>
      <c r="G196" s="4559">
        <f>Table4.A_2020!F15</f>
        <v>2.81046089135365</v>
      </c>
      <c r="H196" s="4354"/>
      <c r="I196" s="4387">
        <f t="shared" si="10"/>
        <v>2.7538279865254078</v>
      </c>
      <c r="J196" s="4387">
        <f t="shared" si="10"/>
        <v>8.9709996320525079E-2</v>
      </c>
      <c r="K196" s="4354"/>
      <c r="L196" s="4354"/>
      <c r="M196" s="4354"/>
    </row>
    <row r="197" spans="1:13" x14ac:dyDescent="0.25">
      <c r="A197" s="4354"/>
      <c r="B197" s="5095"/>
      <c r="C197" s="4564" t="s">
        <v>871</v>
      </c>
      <c r="D197" s="4556">
        <f>IF($D$3=$E$3,E197,IF($D$3=$F$3,F197,IF($D$3=$G$3,G197,"-")))</f>
        <v>0.95216711824668998</v>
      </c>
      <c r="E197" s="4557">
        <f>Table4.A_2018!F17</f>
        <v>0.95216711824668998</v>
      </c>
      <c r="F197" s="4558">
        <f>Table4.A_2019!F17</f>
        <v>3.3952123070168501</v>
      </c>
      <c r="G197" s="4559">
        <f>Table4.A_2020!F17</f>
        <v>3.05601608182611</v>
      </c>
      <c r="H197" s="4354"/>
      <c r="I197" s="4387">
        <f t="shared" si="10"/>
        <v>2.5657735306683942</v>
      </c>
      <c r="J197" s="4387">
        <f t="shared" si="10"/>
        <v>9.9904275349652447E-2</v>
      </c>
      <c r="K197" s="4354"/>
      <c r="L197" s="4354"/>
      <c r="M197" s="4354"/>
    </row>
    <row r="198" spans="1:13" x14ac:dyDescent="0.25">
      <c r="A198" s="4354"/>
      <c r="B198" s="5095"/>
      <c r="C198" s="4564" t="s">
        <v>870</v>
      </c>
      <c r="D198" s="4556">
        <f>IF($D$3=$E$3,E198,IF($D$3=$F$3,F198,IF($D$3=$G$3,G198,"-")))</f>
        <v>0.73650195589039003</v>
      </c>
      <c r="E198" s="4557">
        <f>Table4.A_2018!F19</f>
        <v>0.73650195589039003</v>
      </c>
      <c r="F198" s="4558">
        <f>Table4.A_2019!F19</f>
        <v>3.6217350249565601</v>
      </c>
      <c r="G198" s="4559">
        <f>Table4.A_2020!F19</f>
        <v>3.28786231106278</v>
      </c>
      <c r="H198" s="4354"/>
      <c r="I198" s="4387">
        <f t="shared" si="10"/>
        <v>3.9174818830970835</v>
      </c>
      <c r="J198" s="4387">
        <f t="shared" si="10"/>
        <v>9.2185847830705006E-2</v>
      </c>
      <c r="K198" s="4354"/>
      <c r="L198" s="4354"/>
      <c r="M198" s="4354"/>
    </row>
    <row r="199" spans="1:13" x14ac:dyDescent="0.25">
      <c r="A199" s="4354"/>
      <c r="B199" s="5095"/>
      <c r="C199" s="4564" t="s">
        <v>869</v>
      </c>
      <c r="D199" s="4565" t="str">
        <f t="shared" si="12"/>
        <v>NO</v>
      </c>
      <c r="E199" s="4566" t="str">
        <f>Table4.A_2018!F21</f>
        <v>NO</v>
      </c>
      <c r="F199" s="4567" t="str">
        <f>Table4.A_2019!F21</f>
        <v>NO</v>
      </c>
      <c r="G199" s="4568" t="str">
        <f>Table4.A_2020!F21</f>
        <v>NA</v>
      </c>
      <c r="H199" s="4354"/>
      <c r="I199" s="4387" t="str">
        <f t="shared" si="10"/>
        <v>NO</v>
      </c>
      <c r="J199" s="4387" t="str">
        <f t="shared" si="10"/>
        <v>NO</v>
      </c>
      <c r="K199" s="4354"/>
      <c r="L199" s="4354"/>
      <c r="M199" s="4354"/>
    </row>
    <row r="200" spans="1:13" x14ac:dyDescent="0.25">
      <c r="A200" s="4354"/>
      <c r="B200" s="5095"/>
      <c r="C200" s="4564" t="s">
        <v>868</v>
      </c>
      <c r="D200" s="4565" t="str">
        <f t="shared" si="12"/>
        <v>NO</v>
      </c>
      <c r="E200" s="4566" t="str">
        <f>Table4.A_2018!F23</f>
        <v>NO</v>
      </c>
      <c r="F200" s="4567" t="str">
        <f>Table4.A_2019!F23</f>
        <v>NO</v>
      </c>
      <c r="G200" s="4568" t="str">
        <f>Table4.A_2020!F23</f>
        <v>NA</v>
      </c>
      <c r="H200" s="4354"/>
      <c r="I200" s="4387" t="str">
        <f t="shared" si="10"/>
        <v>NO</v>
      </c>
      <c r="J200" s="4387" t="str">
        <f t="shared" si="10"/>
        <v>NO</v>
      </c>
      <c r="K200" s="4354"/>
      <c r="L200" s="4354"/>
      <c r="M200" s="4354"/>
    </row>
    <row r="201" spans="1:13" x14ac:dyDescent="0.25">
      <c r="A201" s="4354"/>
      <c r="B201" s="5095"/>
      <c r="C201" s="4564" t="s">
        <v>857</v>
      </c>
      <c r="D201" s="4565" t="str">
        <f t="shared" si="12"/>
        <v>NO</v>
      </c>
      <c r="E201" s="4566" t="str">
        <f>Table4.A_2018!F23</f>
        <v>NO</v>
      </c>
      <c r="F201" s="4567" t="str">
        <f>Table4.A_2019!F23</f>
        <v>NO</v>
      </c>
      <c r="G201" s="4568" t="str">
        <f>Table4.A_2020!F23</f>
        <v>NA</v>
      </c>
      <c r="H201" s="4354"/>
      <c r="I201" s="4387" t="str">
        <f t="shared" si="10"/>
        <v>NO</v>
      </c>
      <c r="J201" s="4387" t="str">
        <f t="shared" si="10"/>
        <v>NO</v>
      </c>
      <c r="K201" s="4354"/>
      <c r="L201" s="4354"/>
      <c r="M201" s="4354"/>
    </row>
    <row r="202" spans="1:13" ht="15.75" thickBot="1" x14ac:dyDescent="0.3">
      <c r="A202" s="4354"/>
      <c r="B202" s="5096"/>
      <c r="C202" s="4569" t="s">
        <v>867</v>
      </c>
      <c r="D202" s="4570" t="str">
        <f t="shared" si="12"/>
        <v>NO</v>
      </c>
      <c r="E202" s="4571" t="str">
        <f>Table4.A_2018!F23</f>
        <v>NO</v>
      </c>
      <c r="F202" s="4572" t="str">
        <f>Table4.A_2019!F23</f>
        <v>NO</v>
      </c>
      <c r="G202" s="4573" t="str">
        <f>Table4.A_2020!F23</f>
        <v>NA</v>
      </c>
      <c r="H202" s="4354"/>
      <c r="I202" s="4387" t="str">
        <f t="shared" si="10"/>
        <v>NO</v>
      </c>
      <c r="J202" s="4387" t="str">
        <f t="shared" si="10"/>
        <v>NO</v>
      </c>
      <c r="K202" s="4354"/>
      <c r="L202" s="4354"/>
      <c r="M202" s="4354"/>
    </row>
    <row r="203" spans="1:13" x14ac:dyDescent="0.25">
      <c r="A203" s="4354"/>
      <c r="B203" s="5094" t="s">
        <v>814</v>
      </c>
      <c r="C203" s="4550" t="s">
        <v>875</v>
      </c>
      <c r="D203" s="4574" t="str">
        <f t="shared" si="12"/>
        <v/>
      </c>
      <c r="E203" s="4575"/>
      <c r="F203" s="4576"/>
      <c r="G203" s="4577"/>
      <c r="H203" s="4354"/>
      <c r="I203" s="4387" t="str">
        <f t="shared" si="10"/>
        <v>NO</v>
      </c>
      <c r="J203" s="4387" t="str">
        <f t="shared" si="10"/>
        <v>NO</v>
      </c>
      <c r="K203" s="4354"/>
      <c r="L203" s="4354"/>
      <c r="M203" s="4354"/>
    </row>
    <row r="204" spans="1:13" x14ac:dyDescent="0.25">
      <c r="A204" s="4354"/>
      <c r="B204" s="5095"/>
      <c r="C204" s="4555" t="s">
        <v>874</v>
      </c>
      <c r="D204" s="4578" t="str">
        <f>IF($D$3=$E$3,E204,IF($D$3=$F$3,F204,IF($D$3=$G$3,G204,"-")))</f>
        <v>NO</v>
      </c>
      <c r="E204" s="4566" t="str">
        <f>Table4.A_2018!G11</f>
        <v>NO</v>
      </c>
      <c r="F204" s="4567" t="str">
        <f>Table4.A_2019!G11</f>
        <v>NO</v>
      </c>
      <c r="G204" s="4568" t="str">
        <f>Table4.A_2020!G11</f>
        <v>IE</v>
      </c>
      <c r="H204" s="4354"/>
      <c r="I204" s="4387" t="str">
        <f t="shared" si="10"/>
        <v>NO</v>
      </c>
      <c r="J204" s="4387" t="str">
        <f t="shared" si="10"/>
        <v>NO</v>
      </c>
      <c r="K204" s="4354"/>
      <c r="L204" s="4354"/>
      <c r="M204" s="4354"/>
    </row>
    <row r="205" spans="1:13" x14ac:dyDescent="0.25">
      <c r="A205" s="4354"/>
      <c r="B205" s="5095"/>
      <c r="C205" s="4555" t="s">
        <v>873</v>
      </c>
      <c r="D205" s="4560" t="str">
        <f t="shared" si="12"/>
        <v/>
      </c>
      <c r="E205" s="4561"/>
      <c r="F205" s="4562"/>
      <c r="G205" s="4563"/>
      <c r="H205" s="4354"/>
      <c r="I205" s="4387" t="str">
        <f t="shared" si="10"/>
        <v>NO</v>
      </c>
      <c r="J205" s="4387" t="str">
        <f t="shared" si="10"/>
        <v>NO</v>
      </c>
      <c r="K205" s="4354"/>
      <c r="L205" s="4354"/>
      <c r="M205" s="4354"/>
    </row>
    <row r="206" spans="1:13" x14ac:dyDescent="0.25">
      <c r="A206" s="4354"/>
      <c r="B206" s="5095"/>
      <c r="C206" s="4564" t="s">
        <v>872</v>
      </c>
      <c r="D206" s="4556">
        <f>IF($D$3=$E$3,E206,IF($D$3=$F$3,F206,IF($D$3=$G$3,G206,"-")))</f>
        <v>-0.15331466993166001</v>
      </c>
      <c r="E206" s="4557">
        <f>Table4.A_2018!G15</f>
        <v>-0.15331466993166001</v>
      </c>
      <c r="F206" s="4558">
        <f>Table4.A_2019!G15</f>
        <v>-8.5120474067890001E-2</v>
      </c>
      <c r="G206" s="4559">
        <f>Table4.A_2020!G15</f>
        <v>-0.16976690240341999</v>
      </c>
      <c r="H206" s="4354"/>
      <c r="I206" s="4387">
        <f t="shared" si="10"/>
        <v>-0.44479889559275421</v>
      </c>
      <c r="J206" s="4387">
        <f t="shared" si="10"/>
        <v>-0.99443088472484398</v>
      </c>
      <c r="K206" s="4354"/>
      <c r="L206" s="4354"/>
      <c r="M206" s="4354"/>
    </row>
    <row r="207" spans="1:13" x14ac:dyDescent="0.25">
      <c r="A207" s="4354"/>
      <c r="B207" s="5095"/>
      <c r="C207" s="4564" t="s">
        <v>871</v>
      </c>
      <c r="D207" s="4556">
        <f>IF($D$3=$E$3,E207,IF($D$3=$F$3,F207,IF($D$3=$G$3,G207,"-")))</f>
        <v>-0.16289308446433001</v>
      </c>
      <c r="E207" s="4557">
        <f>Table4.A_2018!G17</f>
        <v>-0.16289308446433001</v>
      </c>
      <c r="F207" s="4558">
        <f>Table4.A_2019!G17</f>
        <v>-4.8877853608449998E-2</v>
      </c>
      <c r="G207" s="4559">
        <f>Table4.A_2020!G17</f>
        <v>-0.10082055843567</v>
      </c>
      <c r="H207" s="4354"/>
      <c r="I207" s="4387">
        <f t="shared" si="10"/>
        <v>-0.69993905039502669</v>
      </c>
      <c r="J207" s="4387">
        <f t="shared" si="10"/>
        <v>-1.062704292281774</v>
      </c>
      <c r="K207" s="4354"/>
      <c r="L207" s="4354"/>
      <c r="M207" s="4354"/>
    </row>
    <row r="208" spans="1:13" x14ac:dyDescent="0.25">
      <c r="A208" s="4354"/>
      <c r="B208" s="5095"/>
      <c r="C208" s="4564" t="s">
        <v>870</v>
      </c>
      <c r="D208" s="4579" t="str">
        <f t="shared" si="12"/>
        <v>NO</v>
      </c>
      <c r="E208" s="4557" t="str">
        <f>Table4.A_2018!G19</f>
        <v>NO</v>
      </c>
      <c r="F208" s="4558" t="str">
        <f>Table4.A_2019!G19</f>
        <v>NO</v>
      </c>
      <c r="G208" s="4559" t="str">
        <f>Table4.A_2020!G19</f>
        <v>IE</v>
      </c>
      <c r="H208" s="4354"/>
      <c r="I208" s="4387" t="str">
        <f t="shared" si="10"/>
        <v>NO</v>
      </c>
      <c r="J208" s="4387" t="str">
        <f t="shared" si="10"/>
        <v>NO</v>
      </c>
      <c r="K208" s="4354"/>
      <c r="L208" s="4354"/>
      <c r="M208" s="4354"/>
    </row>
    <row r="209" spans="1:13" x14ac:dyDescent="0.25">
      <c r="A209" s="4354"/>
      <c r="B209" s="5095"/>
      <c r="C209" s="4564" t="s">
        <v>869</v>
      </c>
      <c r="D209" s="4565" t="str">
        <f t="shared" si="12"/>
        <v>NO</v>
      </c>
      <c r="E209" s="4566" t="str">
        <f>Table4.A_2018!G21</f>
        <v>NO</v>
      </c>
      <c r="F209" s="4567" t="str">
        <f>Table4.A_2019!G21</f>
        <v>NO</v>
      </c>
      <c r="G209" s="4568" t="str">
        <f>Table4.A_2020!G21</f>
        <v>NA</v>
      </c>
      <c r="H209" s="4354"/>
      <c r="I209" s="4387" t="str">
        <f t="shared" si="10"/>
        <v>NO</v>
      </c>
      <c r="J209" s="4387" t="str">
        <f t="shared" si="10"/>
        <v>NO</v>
      </c>
      <c r="K209" s="4354"/>
      <c r="L209" s="4354"/>
      <c r="M209" s="4354"/>
    </row>
    <row r="210" spans="1:13" x14ac:dyDescent="0.25">
      <c r="A210" s="4354"/>
      <c r="B210" s="5095"/>
      <c r="C210" s="4564" t="s">
        <v>868</v>
      </c>
      <c r="D210" s="4565" t="str">
        <f t="shared" si="12"/>
        <v>NO</v>
      </c>
      <c r="E210" s="4566" t="str">
        <f>Table4.A_2018!G23</f>
        <v>NO</v>
      </c>
      <c r="F210" s="4567" t="str">
        <f>Table4.A_2019!G23</f>
        <v>NO</v>
      </c>
      <c r="G210" s="4568" t="str">
        <f>Table4.A_2020!G23</f>
        <v>NA</v>
      </c>
      <c r="H210" s="4354"/>
      <c r="I210" s="4387" t="str">
        <f t="shared" si="10"/>
        <v>NO</v>
      </c>
      <c r="J210" s="4387" t="str">
        <f t="shared" si="10"/>
        <v>NO</v>
      </c>
      <c r="K210" s="4354"/>
      <c r="L210" s="4354"/>
      <c r="M210" s="4354"/>
    </row>
    <row r="211" spans="1:13" x14ac:dyDescent="0.25">
      <c r="A211" s="4354"/>
      <c r="B211" s="5095"/>
      <c r="C211" s="4564" t="s">
        <v>857</v>
      </c>
      <c r="D211" s="4565" t="str">
        <f t="shared" si="12"/>
        <v>NO</v>
      </c>
      <c r="E211" s="4580" t="s">
        <v>259</v>
      </c>
      <c r="F211" s="4581" t="s">
        <v>259</v>
      </c>
      <c r="G211" s="4582" t="s">
        <v>259</v>
      </c>
      <c r="H211" s="4354"/>
      <c r="I211" s="4387" t="str">
        <f t="shared" si="10"/>
        <v>NO</v>
      </c>
      <c r="J211" s="4387" t="str">
        <f t="shared" si="10"/>
        <v>NO</v>
      </c>
      <c r="K211" s="4354"/>
      <c r="L211" s="4354"/>
      <c r="M211" s="4354"/>
    </row>
    <row r="212" spans="1:13" ht="15.75" thickBot="1" x14ac:dyDescent="0.3">
      <c r="A212" s="4354"/>
      <c r="B212" s="5096"/>
      <c r="C212" s="4569" t="s">
        <v>867</v>
      </c>
      <c r="D212" s="4570" t="str">
        <f t="shared" si="12"/>
        <v>NO</v>
      </c>
      <c r="E212" s="4583" t="s">
        <v>259</v>
      </c>
      <c r="F212" s="4584" t="s">
        <v>259</v>
      </c>
      <c r="G212" s="4585" t="s">
        <v>259</v>
      </c>
      <c r="H212" s="4354"/>
      <c r="I212" s="4387" t="str">
        <f t="shared" si="10"/>
        <v>NO</v>
      </c>
      <c r="J212" s="4387" t="str">
        <f t="shared" si="10"/>
        <v>NO</v>
      </c>
      <c r="K212" s="4354"/>
      <c r="L212" s="4354"/>
      <c r="M212" s="4354"/>
    </row>
    <row r="213" spans="1:13" x14ac:dyDescent="0.25">
      <c r="A213" s="4354"/>
      <c r="B213" s="5094" t="s">
        <v>813</v>
      </c>
      <c r="C213" s="4550" t="s">
        <v>875</v>
      </c>
      <c r="D213" s="4574" t="str">
        <f t="shared" si="12"/>
        <v/>
      </c>
      <c r="E213" s="4575"/>
      <c r="F213" s="4576"/>
      <c r="G213" s="4577"/>
      <c r="H213" s="4354"/>
      <c r="I213" s="4387" t="str">
        <f t="shared" si="10"/>
        <v>NO</v>
      </c>
      <c r="J213" s="4387" t="str">
        <f t="shared" si="10"/>
        <v>NO</v>
      </c>
      <c r="K213" s="4354"/>
      <c r="L213" s="4354"/>
      <c r="M213" s="4354"/>
    </row>
    <row r="214" spans="1:13" x14ac:dyDescent="0.25">
      <c r="A214" s="4354"/>
      <c r="B214" s="5095"/>
      <c r="C214" s="4555" t="s">
        <v>874</v>
      </c>
      <c r="D214" s="4565">
        <f>IF($D$3=$E$3,E214,IF($D$3=$F$3,F214,IF($D$3=$G$3,G214,"-")))</f>
        <v>1.2553517570647501</v>
      </c>
      <c r="E214" s="4566">
        <f>Table4.A_2018!H12</f>
        <v>1.2553517570647501</v>
      </c>
      <c r="F214" s="4567">
        <f>Table4.A_2019!H12</f>
        <v>0.13941526258303999</v>
      </c>
      <c r="G214" s="4568">
        <f>Table4.A_2020!H12</f>
        <v>0.15352787710616</v>
      </c>
      <c r="H214" s="4354"/>
      <c r="I214" s="4387">
        <f t="shared" si="10"/>
        <v>0.88894326884998409</v>
      </c>
      <c r="J214" s="4387">
        <f t="shared" si="10"/>
        <v>0.10122718461125525</v>
      </c>
      <c r="K214" s="4354"/>
      <c r="L214" s="4354"/>
      <c r="M214" s="4354"/>
    </row>
    <row r="215" spans="1:13" x14ac:dyDescent="0.25">
      <c r="A215" s="4354"/>
      <c r="B215" s="5095"/>
      <c r="C215" s="4555" t="s">
        <v>873</v>
      </c>
      <c r="D215" s="4586" t="str">
        <f t="shared" si="12"/>
        <v/>
      </c>
      <c r="E215" s="4561"/>
      <c r="F215" s="4562"/>
      <c r="G215" s="4563"/>
      <c r="H215" s="4354"/>
      <c r="I215" s="4387" t="str">
        <f t="shared" si="10"/>
        <v>NO</v>
      </c>
      <c r="J215" s="4387" t="str">
        <f t="shared" si="10"/>
        <v>NO</v>
      </c>
      <c r="K215" s="4354"/>
      <c r="L215" s="4354"/>
      <c r="M215" s="4354"/>
    </row>
    <row r="216" spans="1:13" x14ac:dyDescent="0.25">
      <c r="A216" s="4354"/>
      <c r="B216" s="5095"/>
      <c r="C216" s="4564" t="s">
        <v>872</v>
      </c>
      <c r="D216" s="4556">
        <f>IF($D$3=$E$3,E216,IF($D$3=$F$3,F216,IF($D$3=$G$3,G216,"-")))</f>
        <v>0.66916165364602997</v>
      </c>
      <c r="E216" s="4557">
        <f>Table4.A_2018!H15</f>
        <v>0.66916165364602997</v>
      </c>
      <c r="F216" s="4558">
        <f>Table4.A_2019!H15</f>
        <v>3.0023141676325702</v>
      </c>
      <c r="G216" s="4559">
        <f>Table4.A_2020!H15</f>
        <v>2.6406939889502299</v>
      </c>
      <c r="H216" s="4354"/>
      <c r="I216" s="4387">
        <f t="shared" si="10"/>
        <v>3.4866799394047767</v>
      </c>
      <c r="J216" s="4387">
        <f t="shared" si="10"/>
        <v>0.12044714793038813</v>
      </c>
      <c r="K216" s="4354"/>
      <c r="L216" s="4354"/>
      <c r="M216" s="4354"/>
    </row>
    <row r="217" spans="1:13" x14ac:dyDescent="0.25">
      <c r="A217" s="4354"/>
      <c r="B217" s="5095"/>
      <c r="C217" s="4564" t="s">
        <v>871</v>
      </c>
      <c r="D217" s="4556">
        <f t="shared" ref="D217:D222" si="14">IF($D$3=$E$3,E217,IF($D$3=$F$3,F217,IF($D$3=$G$3,G217,"-")))</f>
        <v>0.78927403378236005</v>
      </c>
      <c r="E217" s="4557">
        <f>Table4.A_2018!H17</f>
        <v>0.78927403378236005</v>
      </c>
      <c r="F217" s="4558">
        <f>Table4.A_2019!H17</f>
        <v>3.3463344534083999</v>
      </c>
      <c r="G217" s="4559">
        <f>Table4.A_2020!H17</f>
        <v>2.9551955233904401</v>
      </c>
      <c r="H217" s="4354"/>
      <c r="I217" s="4387">
        <f t="shared" si="10"/>
        <v>3.2397625034895565</v>
      </c>
      <c r="J217" s="4387">
        <f t="shared" si="10"/>
        <v>0.11688578516698062</v>
      </c>
      <c r="K217" s="4354"/>
      <c r="L217" s="4354"/>
      <c r="M217" s="4354"/>
    </row>
    <row r="218" spans="1:13" x14ac:dyDescent="0.25">
      <c r="A218" s="4354"/>
      <c r="B218" s="5095"/>
      <c r="C218" s="4564" t="s">
        <v>870</v>
      </c>
      <c r="D218" s="4556">
        <f t="shared" si="14"/>
        <v>0.73650195589039003</v>
      </c>
      <c r="E218" s="4557">
        <f>Table4.A_2018!H19</f>
        <v>0.73650195589039003</v>
      </c>
      <c r="F218" s="4558">
        <f>Table4.A_2019!H19</f>
        <v>3.6217350249565601</v>
      </c>
      <c r="G218" s="4559">
        <f>Table4.A_2020!H19</f>
        <v>3.28786231106278</v>
      </c>
      <c r="H218" s="4354"/>
      <c r="I218" s="4387">
        <f t="shared" si="10"/>
        <v>3.9174818830970835</v>
      </c>
      <c r="J218" s="4387">
        <f t="shared" si="10"/>
        <v>9.2185847830705006E-2</v>
      </c>
      <c r="K218" s="4354"/>
      <c r="L218" s="4354"/>
      <c r="M218" s="4354"/>
    </row>
    <row r="219" spans="1:13" x14ac:dyDescent="0.25">
      <c r="A219" s="4354"/>
      <c r="B219" s="5095"/>
      <c r="C219" s="4564" t="s">
        <v>869</v>
      </c>
      <c r="D219" s="4579" t="str">
        <f t="shared" si="14"/>
        <v>NO</v>
      </c>
      <c r="E219" s="4566" t="str">
        <f>Table4.A_2018!H21</f>
        <v>NO</v>
      </c>
      <c r="F219" s="4567" t="str">
        <f>Table4.A_2019!H21</f>
        <v>NO</v>
      </c>
      <c r="G219" s="4568" t="str">
        <f>Table4.A_2020!H21</f>
        <v>NA</v>
      </c>
      <c r="H219" s="4354"/>
      <c r="I219" s="4387" t="str">
        <f t="shared" ref="I219:J282" si="15">IFERROR(ABS(F219-E219)/E219,"NO")</f>
        <v>NO</v>
      </c>
      <c r="J219" s="4387" t="str">
        <f t="shared" si="15"/>
        <v>NO</v>
      </c>
      <c r="K219" s="4354"/>
      <c r="L219" s="4354"/>
      <c r="M219" s="4354"/>
    </row>
    <row r="220" spans="1:13" x14ac:dyDescent="0.25">
      <c r="A220" s="4354"/>
      <c r="B220" s="5095"/>
      <c r="C220" s="4564" t="s">
        <v>868</v>
      </c>
      <c r="D220" s="4579" t="str">
        <f t="shared" si="14"/>
        <v>NO</v>
      </c>
      <c r="E220" s="4566" t="str">
        <f>Table4.A_2018!H23</f>
        <v>NO</v>
      </c>
      <c r="F220" s="4567" t="str">
        <f>Table4.A_2019!H23</f>
        <v>NO</v>
      </c>
      <c r="G220" s="4568" t="str">
        <f>Table4.A_2020!H23</f>
        <v>NA</v>
      </c>
      <c r="H220" s="4354"/>
      <c r="I220" s="4387" t="str">
        <f t="shared" si="15"/>
        <v>NO</v>
      </c>
      <c r="J220" s="4387" t="str">
        <f t="shared" si="15"/>
        <v>NO</v>
      </c>
      <c r="K220" s="4354"/>
      <c r="L220" s="4354"/>
      <c r="M220" s="4354"/>
    </row>
    <row r="221" spans="1:13" x14ac:dyDescent="0.25">
      <c r="A221" s="4354"/>
      <c r="B221" s="5095"/>
      <c r="C221" s="4564" t="s">
        <v>857</v>
      </c>
      <c r="D221" s="4579" t="str">
        <f t="shared" si="14"/>
        <v>NO</v>
      </c>
      <c r="E221" s="4580" t="s">
        <v>259</v>
      </c>
      <c r="F221" s="4581" t="s">
        <v>259</v>
      </c>
      <c r="G221" s="4582" t="s">
        <v>259</v>
      </c>
      <c r="H221" s="4354"/>
      <c r="I221" s="4387" t="str">
        <f t="shared" si="15"/>
        <v>NO</v>
      </c>
      <c r="J221" s="4387" t="str">
        <f t="shared" si="15"/>
        <v>NO</v>
      </c>
      <c r="K221" s="4354"/>
      <c r="L221" s="4354"/>
      <c r="M221" s="4354"/>
    </row>
    <row r="222" spans="1:13" ht="15.75" thickBot="1" x14ac:dyDescent="0.3">
      <c r="A222" s="4354"/>
      <c r="B222" s="5096"/>
      <c r="C222" s="4569" t="s">
        <v>867</v>
      </c>
      <c r="D222" s="4579" t="str">
        <f t="shared" si="14"/>
        <v>NO</v>
      </c>
      <c r="E222" s="4583" t="s">
        <v>259</v>
      </c>
      <c r="F222" s="4584" t="s">
        <v>259</v>
      </c>
      <c r="G222" s="4585" t="s">
        <v>259</v>
      </c>
      <c r="H222" s="4354"/>
      <c r="I222" s="4387" t="str">
        <f t="shared" si="15"/>
        <v>NO</v>
      </c>
      <c r="J222" s="4387" t="str">
        <f t="shared" si="15"/>
        <v>NO</v>
      </c>
      <c r="K222" s="4354"/>
      <c r="L222" s="4354"/>
      <c r="M222" s="4354"/>
    </row>
    <row r="223" spans="1:13" x14ac:dyDescent="0.25">
      <c r="A223" s="4354"/>
      <c r="B223" s="5094" t="s">
        <v>879</v>
      </c>
      <c r="C223" s="4550" t="s">
        <v>875</v>
      </c>
      <c r="D223" s="4574" t="str">
        <f t="shared" si="12"/>
        <v/>
      </c>
      <c r="E223" s="4575"/>
      <c r="F223" s="4576"/>
      <c r="G223" s="4577"/>
      <c r="H223" s="4354"/>
      <c r="I223" s="4387" t="str">
        <f t="shared" si="15"/>
        <v>NO</v>
      </c>
      <c r="J223" s="4387" t="str">
        <f t="shared" si="15"/>
        <v>NO</v>
      </c>
      <c r="K223" s="4354"/>
      <c r="L223" s="4354"/>
      <c r="M223" s="4354"/>
    </row>
    <row r="224" spans="1:13" x14ac:dyDescent="0.25">
      <c r="A224" s="4354"/>
      <c r="B224" s="5095"/>
      <c r="C224" s="4555" t="s">
        <v>874</v>
      </c>
      <c r="D224" s="4587">
        <f>IF($D$3=$E$3,E224,IF($D$3=$F$3,F224,IF($D$3=$G$3,G224,"-")))</f>
        <v>-9.7953953314079995E-2</v>
      </c>
      <c r="E224" s="4566">
        <f>Table4.A_2018!I12</f>
        <v>-9.7953953314079995E-2</v>
      </c>
      <c r="F224" s="4567">
        <f>Table4.A_2019!I12</f>
        <v>6.9938276129620003E-2</v>
      </c>
      <c r="G224" s="4568">
        <f>Table4.A_2020!I12</f>
        <v>6.9933864410800003E-2</v>
      </c>
      <c r="H224" s="4354"/>
      <c r="I224" s="4387">
        <f t="shared" si="15"/>
        <v>-1.7139913578104358</v>
      </c>
      <c r="J224" s="4387">
        <f t="shared" si="15"/>
        <v>6.3080176752182198E-5</v>
      </c>
      <c r="K224" s="4354"/>
      <c r="L224" s="4354"/>
      <c r="M224" s="4354"/>
    </row>
    <row r="225" spans="1:13" x14ac:dyDescent="0.25">
      <c r="A225" s="4354"/>
      <c r="B225" s="5095"/>
      <c r="C225" s="4555" t="s">
        <v>873</v>
      </c>
      <c r="D225" s="4586" t="str">
        <f t="shared" si="12"/>
        <v/>
      </c>
      <c r="E225" s="4561"/>
      <c r="F225" s="4562"/>
      <c r="G225" s="4563"/>
      <c r="H225" s="4354"/>
      <c r="I225" s="4387" t="str">
        <f t="shared" si="15"/>
        <v>NO</v>
      </c>
      <c r="J225" s="4387" t="str">
        <f t="shared" si="15"/>
        <v>NO</v>
      </c>
      <c r="K225" s="4354"/>
      <c r="L225" s="4354"/>
      <c r="M225" s="4354"/>
    </row>
    <row r="226" spans="1:13" x14ac:dyDescent="0.25">
      <c r="A226" s="4354"/>
      <c r="B226" s="5095"/>
      <c r="C226" s="4564" t="s">
        <v>872</v>
      </c>
      <c r="D226" s="4556">
        <f>IF($D$3=$E$3,E226,IF($D$3=$F$3,F226,IF($D$3=$G$3,G226,"-")))</f>
        <v>-2.8575816589899998E-3</v>
      </c>
      <c r="E226" s="4557">
        <f>Table4.A_2018!I15</f>
        <v>-2.8575816589899998E-3</v>
      </c>
      <c r="F226" s="4558">
        <f>Table4.A_2019!I15</f>
        <v>4.8916457425700003E-3</v>
      </c>
      <c r="G226" s="4559">
        <f>Table4.A_2020!I15</f>
        <v>7.0965135670299998E-3</v>
      </c>
      <c r="H226" s="4354"/>
      <c r="I226" s="4387">
        <f t="shared" si="15"/>
        <v>-2.7118131085356039</v>
      </c>
      <c r="J226" s="4387">
        <f t="shared" si="15"/>
        <v>0.45074151737357693</v>
      </c>
      <c r="K226" s="4354"/>
      <c r="L226" s="4354"/>
      <c r="M226" s="4354"/>
    </row>
    <row r="227" spans="1:13" x14ac:dyDescent="0.25">
      <c r="A227" s="4354"/>
      <c r="B227" s="5095"/>
      <c r="C227" s="4564" t="s">
        <v>871</v>
      </c>
      <c r="D227" s="4556">
        <f t="shared" ref="D227:D232" si="16">IF($D$3=$E$3,E227,IF($D$3=$F$3,F227,IF($D$3=$G$3,G227,"-")))</f>
        <v>-3.34165038412E-3</v>
      </c>
      <c r="E227" s="4557">
        <f>Table4.A_2018!I17</f>
        <v>-3.34165038412E-3</v>
      </c>
      <c r="F227" s="4558">
        <f>Table4.A_2019!I17</f>
        <v>5.44278346337E-3</v>
      </c>
      <c r="G227" s="4559">
        <f>Table4.A_2020!I17</f>
        <v>7.8616341529400002E-3</v>
      </c>
      <c r="H227" s="4354"/>
      <c r="I227" s="4387">
        <f t="shared" si="15"/>
        <v>-2.6287710675045135</v>
      </c>
      <c r="J227" s="4387">
        <f t="shared" si="15"/>
        <v>0.44441427917331183</v>
      </c>
      <c r="K227" s="4354"/>
      <c r="L227" s="4354"/>
      <c r="M227" s="4354"/>
    </row>
    <row r="228" spans="1:13" x14ac:dyDescent="0.25">
      <c r="A228" s="4354"/>
      <c r="B228" s="5095"/>
      <c r="C228" s="4564" t="s">
        <v>870</v>
      </c>
      <c r="D228" s="4556">
        <f t="shared" si="16"/>
        <v>-2.59248305415E-3</v>
      </c>
      <c r="E228" s="4557">
        <f>Table4.A_2018!I19</f>
        <v>-2.59248305415E-3</v>
      </c>
      <c r="F228" s="4558">
        <f>Table4.A_2019!I19</f>
        <v>5.8484178825599998E-3</v>
      </c>
      <c r="G228" s="4559">
        <f>Table4.A_2020!I19</f>
        <v>8.5840392564899993E-3</v>
      </c>
      <c r="H228" s="4354"/>
      <c r="I228" s="4387">
        <f t="shared" si="15"/>
        <v>-3.2559136397045902</v>
      </c>
      <c r="J228" s="4387">
        <f t="shared" si="15"/>
        <v>0.46775408817615971</v>
      </c>
      <c r="K228" s="4354"/>
      <c r="L228" s="4354"/>
      <c r="M228" s="4354"/>
    </row>
    <row r="229" spans="1:13" x14ac:dyDescent="0.25">
      <c r="A229" s="4354"/>
      <c r="B229" s="5095"/>
      <c r="C229" s="4564" t="s">
        <v>869</v>
      </c>
      <c r="D229" s="4579" t="str">
        <f t="shared" si="16"/>
        <v>NO</v>
      </c>
      <c r="E229" s="4566" t="str">
        <f>Table4.A_2018!I21</f>
        <v>NO</v>
      </c>
      <c r="F229" s="4567" t="str">
        <f>Table4.A_2019!I21</f>
        <v>NO</v>
      </c>
      <c r="G229" s="4568" t="str">
        <f>Table4.A_2020!I21</f>
        <v>NA</v>
      </c>
      <c r="H229" s="4354"/>
      <c r="I229" s="4387" t="str">
        <f t="shared" si="15"/>
        <v>NO</v>
      </c>
      <c r="J229" s="4387" t="str">
        <f t="shared" si="15"/>
        <v>NO</v>
      </c>
      <c r="K229" s="4354"/>
      <c r="L229" s="4354"/>
      <c r="M229" s="4354"/>
    </row>
    <row r="230" spans="1:13" x14ac:dyDescent="0.25">
      <c r="A230" s="4354"/>
      <c r="B230" s="5095"/>
      <c r="C230" s="4564" t="s">
        <v>868</v>
      </c>
      <c r="D230" s="4579" t="str">
        <f t="shared" si="16"/>
        <v>NO</v>
      </c>
      <c r="E230" s="4566" t="str">
        <f>Table4.A_2018!I23</f>
        <v>NO</v>
      </c>
      <c r="F230" s="4567" t="str">
        <f>Table4.A_2019!I23</f>
        <v>NO</v>
      </c>
      <c r="G230" s="4568" t="str">
        <f>Table4.A_2020!I23</f>
        <v>NA</v>
      </c>
      <c r="H230" s="4354"/>
      <c r="I230" s="4387" t="str">
        <f t="shared" si="15"/>
        <v>NO</v>
      </c>
      <c r="J230" s="4387" t="str">
        <f t="shared" si="15"/>
        <v>NO</v>
      </c>
      <c r="K230" s="4354"/>
      <c r="L230" s="4354"/>
      <c r="M230" s="4354"/>
    </row>
    <row r="231" spans="1:13" x14ac:dyDescent="0.25">
      <c r="A231" s="4354"/>
      <c r="B231" s="5095"/>
      <c r="C231" s="4564" t="s">
        <v>857</v>
      </c>
      <c r="D231" s="4579" t="str">
        <f t="shared" si="16"/>
        <v>NO</v>
      </c>
      <c r="E231" s="4580" t="s">
        <v>259</v>
      </c>
      <c r="F231" s="4581" t="s">
        <v>259</v>
      </c>
      <c r="G231" s="4582" t="s">
        <v>259</v>
      </c>
      <c r="H231" s="4354"/>
      <c r="I231" s="4387" t="str">
        <f t="shared" si="15"/>
        <v>NO</v>
      </c>
      <c r="J231" s="4387" t="str">
        <f t="shared" si="15"/>
        <v>NO</v>
      </c>
      <c r="K231" s="4354"/>
      <c r="L231" s="4354"/>
      <c r="M231" s="4354"/>
    </row>
    <row r="232" spans="1:13" ht="15.75" thickBot="1" x14ac:dyDescent="0.3">
      <c r="A232" s="4354"/>
      <c r="B232" s="5096"/>
      <c r="C232" s="4569" t="s">
        <v>867</v>
      </c>
      <c r="D232" s="4579" t="str">
        <f t="shared" si="16"/>
        <v>NO</v>
      </c>
      <c r="E232" s="4583" t="s">
        <v>259</v>
      </c>
      <c r="F232" s="4584" t="s">
        <v>259</v>
      </c>
      <c r="G232" s="4585" t="s">
        <v>259</v>
      </c>
      <c r="H232" s="4354"/>
      <c r="I232" s="4387" t="str">
        <f t="shared" si="15"/>
        <v>NO</v>
      </c>
      <c r="J232" s="4387" t="str">
        <f t="shared" si="15"/>
        <v>NO</v>
      </c>
      <c r="K232" s="4354"/>
      <c r="L232" s="4354"/>
      <c r="M232" s="4354"/>
    </row>
    <row r="233" spans="1:13" x14ac:dyDescent="0.25">
      <c r="A233" s="4354"/>
      <c r="B233" s="5094" t="s">
        <v>878</v>
      </c>
      <c r="C233" s="4550" t="s">
        <v>875</v>
      </c>
      <c r="D233" s="4574" t="str">
        <f t="shared" ref="D233:D291" si="17">""&amp;IF($D$3=$E$3,E233,IF($D$3=$F$3,F233,IF($D$3=$G$3,G233,"-")))</f>
        <v/>
      </c>
      <c r="E233" s="4575"/>
      <c r="F233" s="4576"/>
      <c r="G233" s="4577"/>
      <c r="H233" s="4354"/>
      <c r="I233" s="4387" t="str">
        <f t="shared" si="15"/>
        <v>NO</v>
      </c>
      <c r="J233" s="4387" t="str">
        <f t="shared" si="15"/>
        <v>NO</v>
      </c>
      <c r="K233" s="4354"/>
      <c r="L233" s="4354"/>
      <c r="M233" s="4354"/>
    </row>
    <row r="234" spans="1:13" x14ac:dyDescent="0.25">
      <c r="A234" s="4354"/>
      <c r="B234" s="5095"/>
      <c r="C234" s="4555" t="s">
        <v>874</v>
      </c>
      <c r="D234" s="4587">
        <f>IF($D$3=$E$3,E234,IF($D$3=$F$3,F234,IF($D$3=$G$3,G234,"-")))</f>
        <v>-1.3358945644382401</v>
      </c>
      <c r="E234" s="4566">
        <f>Table4.A_2018!J12</f>
        <v>-1.3358945644382401</v>
      </c>
      <c r="F234" s="4567">
        <f>Table4.A_2019!J12</f>
        <v>0.47464340967364999</v>
      </c>
      <c r="G234" s="4568">
        <f>Table4.A_2020!J12</f>
        <v>0.35774860585431001</v>
      </c>
      <c r="H234" s="4354"/>
      <c r="I234" s="4387">
        <f t="shared" si="15"/>
        <v>-1.3553000530945669</v>
      </c>
      <c r="J234" s="4387">
        <f t="shared" si="15"/>
        <v>0.24627920969073014</v>
      </c>
      <c r="K234" s="4354"/>
      <c r="L234" s="4354"/>
      <c r="M234" s="4354"/>
    </row>
    <row r="235" spans="1:13" x14ac:dyDescent="0.25">
      <c r="A235" s="4354"/>
      <c r="B235" s="5095"/>
      <c r="C235" s="4555" t="s">
        <v>873</v>
      </c>
      <c r="D235" s="4586" t="str">
        <f t="shared" si="17"/>
        <v/>
      </c>
      <c r="E235" s="4561"/>
      <c r="F235" s="4562"/>
      <c r="G235" s="4563"/>
      <c r="H235" s="4354"/>
      <c r="I235" s="4387" t="str">
        <f t="shared" si="15"/>
        <v>NO</v>
      </c>
      <c r="J235" s="4387" t="str">
        <f t="shared" si="15"/>
        <v>NO</v>
      </c>
      <c r="K235" s="4354"/>
      <c r="L235" s="4354"/>
      <c r="M235" s="4354"/>
    </row>
    <row r="236" spans="1:13" x14ac:dyDescent="0.25">
      <c r="A236" s="4354"/>
      <c r="B236" s="5095"/>
      <c r="C236" s="4564" t="s">
        <v>872</v>
      </c>
      <c r="D236" s="4556">
        <f>IF($D$3=$E$3,E236,IF($D$3=$F$3,F236,IF($D$3=$G$3,G236,"-")))</f>
        <v>-7.9111546554760007E-2</v>
      </c>
      <c r="E236" s="4557">
        <f>Table4.A_2018!J15</f>
        <v>-7.9111546554760007E-2</v>
      </c>
      <c r="F236" s="4558">
        <f>Table4.A_2019!J15</f>
        <v>0.29590384858404001</v>
      </c>
      <c r="G236" s="4559">
        <f>Table4.A_2020!J15</f>
        <v>0.30878652155361003</v>
      </c>
      <c r="H236" s="4354"/>
      <c r="I236" s="4387">
        <f t="shared" si="15"/>
        <v>-4.7403370490200079</v>
      </c>
      <c r="J236" s="4387">
        <f t="shared" si="15"/>
        <v>4.3536686093189475E-2</v>
      </c>
      <c r="K236" s="4354"/>
      <c r="L236" s="4354"/>
      <c r="M236" s="4354"/>
    </row>
    <row r="237" spans="1:13" x14ac:dyDescent="0.25">
      <c r="A237" s="4354"/>
      <c r="B237" s="5095"/>
      <c r="C237" s="4564" t="s">
        <v>871</v>
      </c>
      <c r="D237" s="4556">
        <f t="shared" ref="D237:D241" si="18">IF($D$3=$E$3,E237,IF($D$3=$F$3,F237,IF($D$3=$G$3,G237,"-")))</f>
        <v>-9.2512887284920006E-2</v>
      </c>
      <c r="E237" s="4557">
        <f>Table4.A_2018!J17</f>
        <v>-9.2512887284920006E-2</v>
      </c>
      <c r="F237" s="4558">
        <f>Table4.A_2019!J17</f>
        <v>0.32924309294243997</v>
      </c>
      <c r="G237" s="4559">
        <f>Table4.A_2020!J17</f>
        <v>0.34207877445031998</v>
      </c>
      <c r="H237" s="4354"/>
      <c r="I237" s="4387">
        <f t="shared" si="15"/>
        <v>-4.5588889570427238</v>
      </c>
      <c r="J237" s="4387">
        <f t="shared" si="15"/>
        <v>3.8985423788750535E-2</v>
      </c>
      <c r="K237" s="4354"/>
      <c r="L237" s="4354"/>
      <c r="M237" s="4354"/>
    </row>
    <row r="238" spans="1:13" x14ac:dyDescent="0.25">
      <c r="A238" s="4354"/>
      <c r="B238" s="5095"/>
      <c r="C238" s="4564" t="s">
        <v>870</v>
      </c>
      <c r="D238" s="4556">
        <f t="shared" si="18"/>
        <v>-7.1772347496070005E-2</v>
      </c>
      <c r="E238" s="4557">
        <f>Table4.A_2018!J19</f>
        <v>-7.1772347496070005E-2</v>
      </c>
      <c r="F238" s="4558">
        <f>Table4.A_2019!J19</f>
        <v>0.35378059873124001</v>
      </c>
      <c r="G238" s="4559">
        <f>Table4.A_2020!J19</f>
        <v>0.37351237306222002</v>
      </c>
      <c r="H238" s="4354"/>
      <c r="I238" s="4387">
        <f t="shared" si="15"/>
        <v>-5.9292047853194676</v>
      </c>
      <c r="J238" s="4387">
        <f t="shared" si="15"/>
        <v>5.5774043013505754E-2</v>
      </c>
      <c r="K238" s="4354"/>
      <c r="L238" s="4354"/>
      <c r="M238" s="4354"/>
    </row>
    <row r="239" spans="1:13" x14ac:dyDescent="0.25">
      <c r="A239" s="4354"/>
      <c r="B239" s="5095"/>
      <c r="C239" s="4564" t="s">
        <v>869</v>
      </c>
      <c r="D239" s="4579" t="str">
        <f t="shared" si="18"/>
        <v>NO</v>
      </c>
      <c r="E239" s="4566" t="str">
        <f>Table4.A_2018!J21</f>
        <v>NO</v>
      </c>
      <c r="F239" s="4567" t="str">
        <f>Table4.A_2019!J21</f>
        <v>NO</v>
      </c>
      <c r="G239" s="4568" t="str">
        <f>Table4.A_2020!J21</f>
        <v>NA</v>
      </c>
      <c r="H239" s="4354"/>
      <c r="I239" s="4387" t="str">
        <f t="shared" si="15"/>
        <v>NO</v>
      </c>
      <c r="J239" s="4387" t="str">
        <f t="shared" si="15"/>
        <v>NO</v>
      </c>
      <c r="K239" s="4354"/>
      <c r="L239" s="4354"/>
      <c r="M239" s="4354"/>
    </row>
    <row r="240" spans="1:13" x14ac:dyDescent="0.25">
      <c r="A240" s="4354"/>
      <c r="B240" s="5095"/>
      <c r="C240" s="4564" t="s">
        <v>868</v>
      </c>
      <c r="D240" s="4579" t="str">
        <f t="shared" si="18"/>
        <v>NO</v>
      </c>
      <c r="E240" s="4566" t="str">
        <f>Table4.A_2018!J23</f>
        <v>NO</v>
      </c>
      <c r="F240" s="4567" t="str">
        <f>Table4.A_2019!J23</f>
        <v>NO</v>
      </c>
      <c r="G240" s="4568" t="str">
        <f>Table4.A_2020!J23</f>
        <v>NA</v>
      </c>
      <c r="H240" s="4354"/>
      <c r="I240" s="4387" t="str">
        <f t="shared" si="15"/>
        <v>NO</v>
      </c>
      <c r="J240" s="4387" t="str">
        <f t="shared" si="15"/>
        <v>NO</v>
      </c>
      <c r="K240" s="4354"/>
      <c r="L240" s="4354"/>
      <c r="M240" s="4354"/>
    </row>
    <row r="241" spans="1:13" x14ac:dyDescent="0.25">
      <c r="A241" s="4354"/>
      <c r="B241" s="5095"/>
      <c r="C241" s="4564" t="s">
        <v>857</v>
      </c>
      <c r="D241" s="4579" t="str">
        <f t="shared" si="18"/>
        <v>NO</v>
      </c>
      <c r="E241" s="4580" t="s">
        <v>259</v>
      </c>
      <c r="F241" s="4581" t="s">
        <v>259</v>
      </c>
      <c r="G241" s="4582" t="s">
        <v>259</v>
      </c>
      <c r="H241" s="4354"/>
      <c r="I241" s="4387" t="str">
        <f t="shared" si="15"/>
        <v>NO</v>
      </c>
      <c r="J241" s="4387" t="str">
        <f t="shared" si="15"/>
        <v>NO</v>
      </c>
      <c r="K241" s="4354"/>
      <c r="L241" s="4354"/>
      <c r="M241" s="4354"/>
    </row>
    <row r="242" spans="1:13" ht="15.75" thickBot="1" x14ac:dyDescent="0.3">
      <c r="A242" s="4354"/>
      <c r="B242" s="5096"/>
      <c r="C242" s="4569" t="s">
        <v>867</v>
      </c>
      <c r="D242" s="4570" t="str">
        <f t="shared" si="17"/>
        <v>NO</v>
      </c>
      <c r="E242" s="4583" t="s">
        <v>259</v>
      </c>
      <c r="F242" s="4584" t="s">
        <v>259</v>
      </c>
      <c r="G242" s="4585" t="s">
        <v>259</v>
      </c>
      <c r="H242" s="4354"/>
      <c r="I242" s="4387" t="str">
        <f t="shared" si="15"/>
        <v>NO</v>
      </c>
      <c r="J242" s="4387" t="str">
        <f t="shared" si="15"/>
        <v>NO</v>
      </c>
      <c r="K242" s="4354"/>
      <c r="L242" s="4354"/>
      <c r="M242" s="4354"/>
    </row>
    <row r="243" spans="1:13" x14ac:dyDescent="0.25">
      <c r="A243" s="4354"/>
      <c r="B243" s="5094" t="s">
        <v>877</v>
      </c>
      <c r="C243" s="4550" t="s">
        <v>875</v>
      </c>
      <c r="D243" s="4574" t="str">
        <f t="shared" si="17"/>
        <v/>
      </c>
      <c r="E243" s="4575"/>
      <c r="F243" s="4576"/>
      <c r="G243" s="4577"/>
      <c r="H243" s="4354"/>
      <c r="I243" s="4387" t="str">
        <f t="shared" si="15"/>
        <v>NO</v>
      </c>
      <c r="J243" s="4387" t="str">
        <f t="shared" si="15"/>
        <v>NO</v>
      </c>
      <c r="K243" s="4354"/>
      <c r="L243" s="4354"/>
      <c r="M243" s="4354"/>
    </row>
    <row r="244" spans="1:13" x14ac:dyDescent="0.25">
      <c r="A244" s="4354"/>
      <c r="B244" s="5095"/>
      <c r="C244" s="4555" t="s">
        <v>874</v>
      </c>
      <c r="D244" s="4565" t="str">
        <f t="shared" si="17"/>
        <v>NA</v>
      </c>
      <c r="E244" s="4566" t="str">
        <f>Table4.A_2018!K12</f>
        <v>NA</v>
      </c>
      <c r="F244" s="4567" t="str">
        <f>Table4.A_2019!K12</f>
        <v>NA</v>
      </c>
      <c r="G244" s="4568" t="str">
        <f>Table4.A_2020!K12</f>
        <v>NA</v>
      </c>
      <c r="H244" s="4354"/>
      <c r="I244" s="4387" t="str">
        <f t="shared" si="15"/>
        <v>NO</v>
      </c>
      <c r="J244" s="4387" t="str">
        <f t="shared" si="15"/>
        <v>NO</v>
      </c>
      <c r="K244" s="4354"/>
      <c r="L244" s="4354"/>
      <c r="M244" s="4354"/>
    </row>
    <row r="245" spans="1:13" x14ac:dyDescent="0.25">
      <c r="A245" s="4354"/>
      <c r="B245" s="5095"/>
      <c r="C245" s="4555" t="s">
        <v>873</v>
      </c>
      <c r="D245" s="4586" t="str">
        <f t="shared" si="17"/>
        <v/>
      </c>
      <c r="E245" s="4561"/>
      <c r="F245" s="4562"/>
      <c r="G245" s="4563"/>
      <c r="H245" s="4354"/>
      <c r="I245" s="4387" t="str">
        <f t="shared" si="15"/>
        <v>NO</v>
      </c>
      <c r="J245" s="4387" t="str">
        <f t="shared" si="15"/>
        <v>NO</v>
      </c>
      <c r="K245" s="4354"/>
      <c r="L245" s="4354"/>
      <c r="M245" s="4354"/>
    </row>
    <row r="246" spans="1:13" x14ac:dyDescent="0.25">
      <c r="A246" s="4354"/>
      <c r="B246" s="5095"/>
      <c r="C246" s="4564" t="s">
        <v>872</v>
      </c>
      <c r="D246" s="4556">
        <f>IF($D$3=$E$3,E246,IF($D$3=$F$3,F246,IF($D$3=$G$3,G246,"-")))</f>
        <v>0.17406331988971999</v>
      </c>
      <c r="E246" s="4557">
        <f>Table4.A_2018!K15</f>
        <v>0.17406331988971999</v>
      </c>
      <c r="F246" s="4558">
        <f>Table4.A_2019!K15</f>
        <v>0.17453123015728</v>
      </c>
      <c r="G246" s="4559">
        <f>Table4.A_2020!K15</f>
        <v>0.17035181812948</v>
      </c>
      <c r="H246" s="4354"/>
      <c r="I246" s="4387">
        <f t="shared" si="15"/>
        <v>2.6881612269401053E-3</v>
      </c>
      <c r="J246" s="4387">
        <f t="shared" si="15"/>
        <v>2.394649956935329E-2</v>
      </c>
      <c r="K246" s="4354"/>
      <c r="L246" s="4354"/>
      <c r="M246" s="4354"/>
    </row>
    <row r="247" spans="1:13" x14ac:dyDescent="0.25">
      <c r="A247" s="4354"/>
      <c r="B247" s="5095"/>
      <c r="C247" s="4564" t="s">
        <v>871</v>
      </c>
      <c r="D247" s="4579" t="str">
        <f t="shared" si="17"/>
        <v>NO</v>
      </c>
      <c r="E247" s="4557" t="str">
        <f>Table4.A_2018!K17</f>
        <v>NO</v>
      </c>
      <c r="F247" s="4558" t="str">
        <f>Table4.A_2019!K17</f>
        <v>NO</v>
      </c>
      <c r="G247" s="4559" t="str">
        <f>Table4.A_2020!K17</f>
        <v>NA</v>
      </c>
      <c r="H247" s="4354"/>
      <c r="I247" s="4387" t="str">
        <f t="shared" si="15"/>
        <v>NO</v>
      </c>
      <c r="J247" s="4387" t="str">
        <f t="shared" si="15"/>
        <v>NO</v>
      </c>
      <c r="K247" s="4354"/>
      <c r="L247" s="4354"/>
      <c r="M247" s="4354"/>
    </row>
    <row r="248" spans="1:13" x14ac:dyDescent="0.25">
      <c r="A248" s="4354"/>
      <c r="B248" s="5095"/>
      <c r="C248" s="4564" t="s">
        <v>870</v>
      </c>
      <c r="D248" s="4579" t="str">
        <f t="shared" si="17"/>
        <v>NO</v>
      </c>
      <c r="E248" s="4557" t="str">
        <f>Table4.A_2018!K19</f>
        <v>NO</v>
      </c>
      <c r="F248" s="4558" t="str">
        <f>Table4.A_2019!K19</f>
        <v>NO</v>
      </c>
      <c r="G248" s="4559" t="str">
        <f>Table4.A_2020!K19</f>
        <v>NA</v>
      </c>
      <c r="H248" s="4354"/>
      <c r="I248" s="4387" t="str">
        <f t="shared" si="15"/>
        <v>NO</v>
      </c>
      <c r="J248" s="4387" t="str">
        <f t="shared" si="15"/>
        <v>NO</v>
      </c>
      <c r="K248" s="4354"/>
      <c r="L248" s="4354"/>
      <c r="M248" s="4354"/>
    </row>
    <row r="249" spans="1:13" x14ac:dyDescent="0.25">
      <c r="A249" s="4354"/>
      <c r="B249" s="5095"/>
      <c r="C249" s="4564" t="s">
        <v>869</v>
      </c>
      <c r="D249" s="4565" t="str">
        <f t="shared" si="17"/>
        <v>NO</v>
      </c>
      <c r="E249" s="4566" t="str">
        <f>Table4.A_2018!K21</f>
        <v>NO</v>
      </c>
      <c r="F249" s="4567" t="str">
        <f>Table4.A_2019!K21</f>
        <v>NO</v>
      </c>
      <c r="G249" s="4568" t="str">
        <f>Table4.A_2020!K21</f>
        <v>NA</v>
      </c>
      <c r="H249" s="4354"/>
      <c r="I249" s="4387" t="str">
        <f t="shared" si="15"/>
        <v>NO</v>
      </c>
      <c r="J249" s="4387" t="str">
        <f t="shared" si="15"/>
        <v>NO</v>
      </c>
      <c r="K249" s="4354"/>
      <c r="L249" s="4354"/>
      <c r="M249" s="4354"/>
    </row>
    <row r="250" spans="1:13" x14ac:dyDescent="0.25">
      <c r="A250" s="4354"/>
      <c r="B250" s="5095"/>
      <c r="C250" s="4564" t="s">
        <v>868</v>
      </c>
      <c r="D250" s="4565" t="str">
        <f t="shared" si="17"/>
        <v>NO</v>
      </c>
      <c r="E250" s="4566" t="str">
        <f>Table4.A_2018!K23</f>
        <v>NO</v>
      </c>
      <c r="F250" s="4567" t="str">
        <f>Table4.A_2019!K23</f>
        <v>NO</v>
      </c>
      <c r="G250" s="4568" t="str">
        <f>Table4.A_2020!K23</f>
        <v>NA</v>
      </c>
      <c r="H250" s="4354"/>
      <c r="I250" s="4387" t="str">
        <f t="shared" si="15"/>
        <v>NO</v>
      </c>
      <c r="J250" s="4387" t="str">
        <f t="shared" si="15"/>
        <v>NO</v>
      </c>
      <c r="K250" s="4354"/>
      <c r="L250" s="4354"/>
      <c r="M250" s="4354"/>
    </row>
    <row r="251" spans="1:13" x14ac:dyDescent="0.25">
      <c r="A251" s="4354"/>
      <c r="B251" s="5095"/>
      <c r="C251" s="4564" t="s">
        <v>857</v>
      </c>
      <c r="D251" s="4565" t="str">
        <f t="shared" si="17"/>
        <v>NO</v>
      </c>
      <c r="E251" s="4580" t="s">
        <v>259</v>
      </c>
      <c r="F251" s="4581" t="s">
        <v>259</v>
      </c>
      <c r="G251" s="4582" t="s">
        <v>259</v>
      </c>
      <c r="H251" s="4354"/>
      <c r="I251" s="4387" t="str">
        <f t="shared" si="15"/>
        <v>NO</v>
      </c>
      <c r="J251" s="4387" t="str">
        <f t="shared" si="15"/>
        <v>NO</v>
      </c>
      <c r="K251" s="4354"/>
      <c r="L251" s="4354"/>
      <c r="M251" s="4354"/>
    </row>
    <row r="252" spans="1:13" ht="15.75" thickBot="1" x14ac:dyDescent="0.3">
      <c r="A252" s="4354"/>
      <c r="B252" s="5096"/>
      <c r="C252" s="4569" t="s">
        <v>867</v>
      </c>
      <c r="D252" s="4570" t="str">
        <f t="shared" si="17"/>
        <v>NO</v>
      </c>
      <c r="E252" s="4583" t="s">
        <v>259</v>
      </c>
      <c r="F252" s="4584" t="s">
        <v>259</v>
      </c>
      <c r="G252" s="4585" t="s">
        <v>259</v>
      </c>
      <c r="H252" s="4354"/>
      <c r="I252" s="4387" t="str">
        <f t="shared" si="15"/>
        <v>NO</v>
      </c>
      <c r="J252" s="4387" t="str">
        <f t="shared" si="15"/>
        <v>NO</v>
      </c>
      <c r="K252" s="4354"/>
      <c r="L252" s="4354"/>
      <c r="M252" s="4354"/>
    </row>
    <row r="253" spans="1:13" x14ac:dyDescent="0.25">
      <c r="A253" s="4354"/>
      <c r="B253" s="5094" t="s">
        <v>876</v>
      </c>
      <c r="C253" s="4550" t="s">
        <v>875</v>
      </c>
      <c r="D253" s="4574" t="str">
        <f t="shared" si="17"/>
        <v/>
      </c>
      <c r="E253" s="4575"/>
      <c r="F253" s="4576"/>
      <c r="G253" s="4577"/>
      <c r="H253" s="4354"/>
      <c r="I253" s="4387" t="str">
        <f t="shared" si="15"/>
        <v>NO</v>
      </c>
      <c r="J253" s="4387" t="str">
        <f t="shared" si="15"/>
        <v>NO</v>
      </c>
      <c r="K253" s="4354"/>
      <c r="L253" s="4354"/>
      <c r="M253" s="4354"/>
    </row>
    <row r="254" spans="1:13" x14ac:dyDescent="0.25">
      <c r="A254" s="4354"/>
      <c r="B254" s="5095"/>
      <c r="C254" s="4555" t="s">
        <v>874</v>
      </c>
      <c r="D254" s="4587">
        <f>IF($D$3=$E$3,E254,IF($D$3=$F$3,F254,IF($D$3=$G$3,G254,"-")))</f>
        <v>-1.29999999998315</v>
      </c>
      <c r="E254" s="4566">
        <f>Table4.A_2018!L12</f>
        <v>-1.29999999998315</v>
      </c>
      <c r="F254" s="4567">
        <f>Table4.A_2019!L12</f>
        <v>-1.30000000000389</v>
      </c>
      <c r="G254" s="4568">
        <f>Table4.A_2020!L12</f>
        <v>-1.29999999998449</v>
      </c>
      <c r="H254" s="4354"/>
      <c r="I254" s="4387">
        <f t="shared" si="15"/>
        <v>-1.5953904864070288E-11</v>
      </c>
      <c r="J254" s="4387">
        <f t="shared" si="15"/>
        <v>-1.492310548633995E-11</v>
      </c>
      <c r="K254" s="4354"/>
      <c r="L254" s="4354"/>
      <c r="M254" s="4354"/>
    </row>
    <row r="255" spans="1:13" x14ac:dyDescent="0.25">
      <c r="A255" s="4354"/>
      <c r="B255" s="5095"/>
      <c r="C255" s="4555" t="s">
        <v>873</v>
      </c>
      <c r="D255" s="4586" t="str">
        <f t="shared" si="17"/>
        <v/>
      </c>
      <c r="E255" s="4561"/>
      <c r="F255" s="4562"/>
      <c r="G255" s="4563"/>
      <c r="H255" s="4354"/>
      <c r="I255" s="4387" t="str">
        <f t="shared" si="15"/>
        <v>NO</v>
      </c>
      <c r="J255" s="4387" t="str">
        <f t="shared" si="15"/>
        <v>NO</v>
      </c>
      <c r="K255" s="4354"/>
      <c r="L255" s="4354"/>
      <c r="M255" s="4354"/>
    </row>
    <row r="256" spans="1:13" x14ac:dyDescent="0.25">
      <c r="A256" s="4354"/>
      <c r="B256" s="5095"/>
      <c r="C256" s="4564" t="s">
        <v>872</v>
      </c>
      <c r="D256" s="4556">
        <f>IF($D$3=$E$3,E256,IF($D$3=$F$3,F256,IF($D$3=$G$3,G256,"-")))</f>
        <v>-1.2638168035934101</v>
      </c>
      <c r="E256" s="4557">
        <f>Table4.A_2018!L15</f>
        <v>-1.2638168035934101</v>
      </c>
      <c r="F256" s="4558">
        <f>Table4.A_2019!L15</f>
        <v>-1.30000000001973</v>
      </c>
      <c r="G256" s="4559">
        <f>Table4.A_2020!L15</f>
        <v>-1.2999999999901599</v>
      </c>
      <c r="H256" s="4354"/>
      <c r="I256" s="4387">
        <f t="shared" si="15"/>
        <v>-2.8630096010308043E-2</v>
      </c>
      <c r="J256" s="4387">
        <f t="shared" si="15"/>
        <v>-2.2746249328174989E-11</v>
      </c>
      <c r="K256" s="4354"/>
      <c r="L256" s="4354"/>
      <c r="M256" s="4354"/>
    </row>
    <row r="257" spans="1:13" x14ac:dyDescent="0.25">
      <c r="A257" s="4354"/>
      <c r="B257" s="5095"/>
      <c r="C257" s="4564" t="s">
        <v>871</v>
      </c>
      <c r="D257" s="4556">
        <f t="shared" ref="D257:D262" si="19">IF($D$3=$E$3,E257,IF($D$3=$F$3,F257,IF($D$3=$G$3,G257,"-")))</f>
        <v>-1.1206322829978701</v>
      </c>
      <c r="E257" s="4557">
        <f>Table4.A_2018!L17</f>
        <v>-1.1206322829978701</v>
      </c>
      <c r="F257" s="4558">
        <f>Table4.A_2019!L17</f>
        <v>-1.3</v>
      </c>
      <c r="G257" s="4559">
        <f>Table4.A_2020!L17</f>
        <v>-1.29999999999734</v>
      </c>
      <c r="H257" s="4354"/>
      <c r="I257" s="4387">
        <f t="shared" si="15"/>
        <v>-0.16005938765416672</v>
      </c>
      <c r="J257" s="4387">
        <f t="shared" si="15"/>
        <v>-2.0462264361552885E-12</v>
      </c>
      <c r="K257" s="4354"/>
      <c r="L257" s="4354"/>
      <c r="M257" s="4354"/>
    </row>
    <row r="258" spans="1:13" x14ac:dyDescent="0.25">
      <c r="A258" s="4354"/>
      <c r="B258" s="5095"/>
      <c r="C258" s="4564" t="s">
        <v>870</v>
      </c>
      <c r="D258" s="4556">
        <f t="shared" si="19"/>
        <v>-0.95975455201717996</v>
      </c>
      <c r="E258" s="4557">
        <f>Table4.A_2018!L19</f>
        <v>-0.95975455201717996</v>
      </c>
      <c r="F258" s="4558">
        <f>Table4.A_2019!L19</f>
        <v>-1.2999999999468901</v>
      </c>
      <c r="G258" s="4559">
        <f>Table4.A_2020!L19</f>
        <v>-1.3000000000232801</v>
      </c>
      <c r="H258" s="4354"/>
      <c r="I258" s="4387">
        <f t="shared" si="15"/>
        <v>-0.35451298169369827</v>
      </c>
      <c r="J258" s="4387">
        <f t="shared" si="15"/>
        <v>-5.8761542642676411E-11</v>
      </c>
      <c r="K258" s="4354"/>
      <c r="L258" s="4354"/>
      <c r="M258" s="4354"/>
    </row>
    <row r="259" spans="1:13" x14ac:dyDescent="0.25">
      <c r="A259" s="4354"/>
      <c r="B259" s="5095"/>
      <c r="C259" s="4564" t="s">
        <v>869</v>
      </c>
      <c r="D259" s="4579" t="str">
        <f t="shared" si="19"/>
        <v>NO</v>
      </c>
      <c r="E259" s="4566" t="str">
        <f>Table4.A_2018!L21</f>
        <v>NO</v>
      </c>
      <c r="F259" s="4567" t="str">
        <f>Table4.A_2019!L21</f>
        <v>NO</v>
      </c>
      <c r="G259" s="4568" t="str">
        <f>Table4.A_2020!L21</f>
        <v>NA</v>
      </c>
      <c r="H259" s="4354"/>
      <c r="I259" s="4387" t="str">
        <f t="shared" si="15"/>
        <v>NO</v>
      </c>
      <c r="J259" s="4387" t="str">
        <f t="shared" si="15"/>
        <v>NO</v>
      </c>
      <c r="K259" s="4354"/>
      <c r="L259" s="4354"/>
      <c r="M259" s="4354"/>
    </row>
    <row r="260" spans="1:13" x14ac:dyDescent="0.25">
      <c r="A260" s="4354"/>
      <c r="B260" s="5095"/>
      <c r="C260" s="4564" t="s">
        <v>868</v>
      </c>
      <c r="D260" s="4579" t="str">
        <f t="shared" si="19"/>
        <v>NO</v>
      </c>
      <c r="E260" s="4566" t="str">
        <f>Table4.A_2018!L23</f>
        <v>NO</v>
      </c>
      <c r="F260" s="4567" t="str">
        <f>Table4.A_2019!L23</f>
        <v>NO</v>
      </c>
      <c r="G260" s="4568" t="str">
        <f>Table4.A_2020!L23</f>
        <v>NA</v>
      </c>
      <c r="H260" s="4354"/>
      <c r="I260" s="4387" t="str">
        <f t="shared" si="15"/>
        <v>NO</v>
      </c>
      <c r="J260" s="4387" t="str">
        <f t="shared" si="15"/>
        <v>NO</v>
      </c>
      <c r="K260" s="4354"/>
      <c r="L260" s="4354"/>
      <c r="M260" s="4354"/>
    </row>
    <row r="261" spans="1:13" x14ac:dyDescent="0.25">
      <c r="A261" s="4354"/>
      <c r="B261" s="5095"/>
      <c r="C261" s="4564" t="s">
        <v>857</v>
      </c>
      <c r="D261" s="4579" t="str">
        <f t="shared" si="19"/>
        <v>NO</v>
      </c>
      <c r="E261" s="4580" t="s">
        <v>259</v>
      </c>
      <c r="F261" s="4581" t="s">
        <v>259</v>
      </c>
      <c r="G261" s="4582" t="s">
        <v>259</v>
      </c>
      <c r="H261" s="4354"/>
      <c r="I261" s="4387" t="str">
        <f t="shared" si="15"/>
        <v>NO</v>
      </c>
      <c r="J261" s="4387" t="str">
        <f t="shared" si="15"/>
        <v>NO</v>
      </c>
      <c r="K261" s="4354"/>
      <c r="L261" s="4354"/>
      <c r="M261" s="4354"/>
    </row>
    <row r="262" spans="1:13" ht="15.75" thickBot="1" x14ac:dyDescent="0.3">
      <c r="A262" s="4354"/>
      <c r="B262" s="5096"/>
      <c r="C262" s="4569" t="s">
        <v>867</v>
      </c>
      <c r="D262" s="4588" t="str">
        <f t="shared" si="19"/>
        <v>NO</v>
      </c>
      <c r="E262" s="4583" t="s">
        <v>259</v>
      </c>
      <c r="F262" s="4584" t="s">
        <v>259</v>
      </c>
      <c r="G262" s="4585" t="s">
        <v>259</v>
      </c>
      <c r="H262" s="4354"/>
      <c r="I262" s="4387" t="str">
        <f t="shared" si="15"/>
        <v>NO</v>
      </c>
      <c r="J262" s="4387" t="str">
        <f t="shared" si="15"/>
        <v>NO</v>
      </c>
      <c r="K262" s="4354"/>
      <c r="L262" s="4354"/>
      <c r="M262" s="4354"/>
    </row>
    <row r="263" spans="1:13" x14ac:dyDescent="0.25">
      <c r="A263" s="4354"/>
      <c r="B263" s="4354"/>
      <c r="C263" s="4354"/>
      <c r="D263" s="4589" t="str">
        <f t="shared" si="17"/>
        <v/>
      </c>
      <c r="E263" s="4356"/>
      <c r="F263" s="4590"/>
      <c r="G263" s="4354"/>
      <c r="H263" s="4354"/>
      <c r="I263" s="4387" t="str">
        <f t="shared" si="15"/>
        <v>NO</v>
      </c>
      <c r="J263" s="4387" t="str">
        <f t="shared" si="15"/>
        <v>NO</v>
      </c>
      <c r="K263" s="4354"/>
      <c r="L263" s="4354"/>
      <c r="M263" s="4354"/>
    </row>
    <row r="264" spans="1:13" ht="14.45" customHeight="1" x14ac:dyDescent="0.25">
      <c r="A264" s="4354"/>
      <c r="B264" s="4402" t="s">
        <v>651</v>
      </c>
      <c r="C264" s="4354"/>
      <c r="D264" s="4591" t="str">
        <f t="shared" si="17"/>
        <v xml:space="preserve"> NIR 2020 (2018) CRF tabel 4A</v>
      </c>
      <c r="E264" s="4481" t="s">
        <v>5268</v>
      </c>
      <c r="F264" s="4481" t="s">
        <v>5267</v>
      </c>
      <c r="G264" s="4481" t="s">
        <v>5269</v>
      </c>
      <c r="H264" s="4354"/>
      <c r="I264" s="4387" t="str">
        <f t="shared" si="15"/>
        <v>NO</v>
      </c>
      <c r="J264" s="4387" t="str">
        <f t="shared" si="15"/>
        <v>NO</v>
      </c>
      <c r="K264" s="4354"/>
      <c r="L264" s="4354"/>
      <c r="M264" s="4354"/>
    </row>
    <row r="265" spans="1:13" x14ac:dyDescent="0.25">
      <c r="A265" s="4354"/>
      <c r="B265" s="4354"/>
      <c r="C265" s="4354"/>
      <c r="D265" s="4589" t="str">
        <f t="shared" si="17"/>
        <v/>
      </c>
      <c r="E265" s="4356"/>
      <c r="F265" s="4354"/>
      <c r="G265" s="4354"/>
      <c r="H265" s="4354"/>
      <c r="I265" s="4387" t="str">
        <f t="shared" si="15"/>
        <v>NO</v>
      </c>
      <c r="J265" s="4387" t="str">
        <f t="shared" si="15"/>
        <v>NO</v>
      </c>
      <c r="K265" s="4354"/>
      <c r="L265" s="4354"/>
      <c r="M265" s="4354"/>
    </row>
    <row r="266" spans="1:13" s="640" customFormat="1" ht="27.75" customHeight="1" x14ac:dyDescent="0.3">
      <c r="A266" s="4357"/>
      <c r="B266" s="4432" t="s">
        <v>866</v>
      </c>
      <c r="C266" s="4357"/>
      <c r="D266" s="4592" t="str">
        <f t="shared" si="17"/>
        <v/>
      </c>
      <c r="E266" s="4357"/>
      <c r="F266" s="4357"/>
      <c r="G266" s="4357"/>
      <c r="H266" s="4357"/>
      <c r="I266" s="4387" t="str">
        <f t="shared" si="15"/>
        <v>NO</v>
      </c>
      <c r="J266" s="4387" t="str">
        <f t="shared" si="15"/>
        <v>NO</v>
      </c>
      <c r="K266" s="4357"/>
      <c r="L266" s="4357"/>
      <c r="M266" s="4357"/>
    </row>
    <row r="267" spans="1:13" ht="15.75" thickBot="1" x14ac:dyDescent="0.3">
      <c r="A267" s="4354"/>
      <c r="B267" s="4354"/>
      <c r="C267" s="4354"/>
      <c r="D267" s="4589" t="str">
        <f t="shared" si="17"/>
        <v/>
      </c>
      <c r="E267" s="4356"/>
      <c r="F267" s="4354"/>
      <c r="G267" s="4354"/>
      <c r="H267" s="4354"/>
      <c r="I267" s="4387" t="str">
        <f t="shared" si="15"/>
        <v>NO</v>
      </c>
      <c r="J267" s="4387" t="str">
        <f t="shared" si="15"/>
        <v>NO</v>
      </c>
      <c r="K267" s="4354"/>
      <c r="L267" s="4354"/>
      <c r="M267" s="4354"/>
    </row>
    <row r="268" spans="1:13" ht="15.75" thickBot="1" x14ac:dyDescent="0.3">
      <c r="A268" s="4354"/>
      <c r="B268" s="5097" t="s">
        <v>395</v>
      </c>
      <c r="C268" s="5098"/>
      <c r="D268" s="4593" t="str">
        <f t="shared" si="17"/>
        <v>ton C / ha</v>
      </c>
      <c r="E268" s="4594" t="s">
        <v>4776</v>
      </c>
      <c r="F268" s="4548" t="s">
        <v>4776</v>
      </c>
      <c r="G268" s="4549" t="s">
        <v>4776</v>
      </c>
      <c r="H268" s="4354"/>
      <c r="I268" s="4387" t="str">
        <f t="shared" si="15"/>
        <v>NO</v>
      </c>
      <c r="J268" s="4387" t="str">
        <f t="shared" si="15"/>
        <v>NO</v>
      </c>
      <c r="K268" s="4354"/>
      <c r="L268" s="4354"/>
      <c r="M268" s="4354"/>
    </row>
    <row r="269" spans="1:13" ht="15.75" thickBot="1" x14ac:dyDescent="0.3">
      <c r="A269" s="4354"/>
      <c r="B269" s="5094" t="s">
        <v>815</v>
      </c>
      <c r="C269" s="4595" t="s">
        <v>865</v>
      </c>
      <c r="D269" s="4551" t="str">
        <f t="shared" si="17"/>
        <v/>
      </c>
      <c r="E269" s="4596"/>
      <c r="F269" s="4597"/>
      <c r="G269" s="4554"/>
      <c r="H269" s="4354"/>
      <c r="I269" s="4387" t="str">
        <f t="shared" si="15"/>
        <v>NO</v>
      </c>
      <c r="J269" s="4387" t="str">
        <f t="shared" si="15"/>
        <v>NO</v>
      </c>
      <c r="K269" s="4354"/>
      <c r="L269" s="4354"/>
      <c r="M269" s="4354"/>
    </row>
    <row r="270" spans="1:13" ht="15.75" thickBot="1" x14ac:dyDescent="0.3">
      <c r="A270" s="4354"/>
      <c r="B270" s="5095"/>
      <c r="C270" s="4595" t="s">
        <v>864</v>
      </c>
      <c r="D270" s="4556">
        <f>IF($D$3=$E$3,E270,IF($D$3=$F$3,F270,IF($D$3=$G$3,G270,"-")))</f>
        <v>1.4941326769239999E-2</v>
      </c>
      <c r="E270" s="4598">
        <f>Table4.B_2018!F12</f>
        <v>1.4941326769239999E-2</v>
      </c>
      <c r="F270" s="4558">
        <f>Table4.B_2019!F12</f>
        <v>8.1887701552800004E-3</v>
      </c>
      <c r="G270" s="4559">
        <f>Table4.B_2020!F12</f>
        <v>5.7931775471289998E-2</v>
      </c>
      <c r="H270" s="4354"/>
      <c r="I270" s="4387">
        <f t="shared" si="15"/>
        <v>0.45193821929265471</v>
      </c>
      <c r="J270" s="4387">
        <f t="shared" si="15"/>
        <v>6.0745392009734731</v>
      </c>
      <c r="K270" s="4354"/>
      <c r="L270" s="4354"/>
      <c r="M270" s="4354"/>
    </row>
    <row r="271" spans="1:13" x14ac:dyDescent="0.25">
      <c r="A271" s="4354"/>
      <c r="B271" s="5095"/>
      <c r="C271" s="4599" t="s">
        <v>863</v>
      </c>
      <c r="D271" s="4586" t="str">
        <f t="shared" si="17"/>
        <v/>
      </c>
      <c r="E271" s="4600"/>
      <c r="F271" s="4562"/>
      <c r="G271" s="4563"/>
      <c r="H271" s="4354"/>
      <c r="I271" s="4387" t="str">
        <f t="shared" si="15"/>
        <v>NO</v>
      </c>
      <c r="J271" s="4387" t="str">
        <f t="shared" si="15"/>
        <v>NO</v>
      </c>
      <c r="K271" s="4354"/>
      <c r="L271" s="4354"/>
      <c r="M271" s="4354"/>
    </row>
    <row r="272" spans="1:13" x14ac:dyDescent="0.25">
      <c r="A272" s="4354"/>
      <c r="B272" s="5095"/>
      <c r="C272" s="4601" t="s">
        <v>862</v>
      </c>
      <c r="D272" s="4556">
        <f>IF($D$3=$E$3,E272,IF($D$3=$F$3,F272,IF($D$3=$G$3,G272,"-")))</f>
        <v>0.84401652238873004</v>
      </c>
      <c r="E272" s="4598">
        <f>Table4.B_2018!F15</f>
        <v>0.84401652238873004</v>
      </c>
      <c r="F272" s="4558">
        <f>Table4.B_2019!F15</f>
        <v>0.22243649850857999</v>
      </c>
      <c r="G272" s="4559">
        <f>Table4.B_2020!F15</f>
        <v>1.0524742538315399</v>
      </c>
      <c r="H272" s="4354"/>
      <c r="I272" s="4387">
        <f t="shared" si="15"/>
        <v>0.73645480555399367</v>
      </c>
      <c r="J272" s="4387">
        <f t="shared" si="15"/>
        <v>3.7315717559316957</v>
      </c>
      <c r="K272" s="4354"/>
      <c r="L272" s="4354"/>
      <c r="M272" s="4354"/>
    </row>
    <row r="273" spans="1:13" ht="15" customHeight="1" x14ac:dyDescent="0.25">
      <c r="A273" s="4354"/>
      <c r="B273" s="5095"/>
      <c r="C273" s="4601" t="s">
        <v>861</v>
      </c>
      <c r="D273" s="4556">
        <f t="shared" ref="D273:D278" si="20">IF($D$3=$E$3,E273,IF($D$3=$F$3,F273,IF($D$3=$G$3,G273,"-")))</f>
        <v>0.95678513259447995</v>
      </c>
      <c r="E273" s="4598">
        <f>Table4.B_2018!F17</f>
        <v>0.95678513259447995</v>
      </c>
      <c r="F273" s="4558">
        <f>Table4.B_2019!F17</f>
        <v>0.62065770868261005</v>
      </c>
      <c r="G273" s="4559">
        <f>Table4.B_2020!F17</f>
        <v>0.77652957416970003</v>
      </c>
      <c r="H273" s="4354"/>
      <c r="I273" s="4387">
        <f t="shared" si="15"/>
        <v>0.35130920460731369</v>
      </c>
      <c r="J273" s="4387">
        <f t="shared" si="15"/>
        <v>0.25113982039784705</v>
      </c>
      <c r="K273" s="4354"/>
      <c r="L273" s="4354"/>
      <c r="M273" s="4354"/>
    </row>
    <row r="274" spans="1:13" ht="15" customHeight="1" x14ac:dyDescent="0.25">
      <c r="A274" s="4354"/>
      <c r="B274" s="5095"/>
      <c r="C274" s="4601" t="s">
        <v>860</v>
      </c>
      <c r="D274" s="4579" t="str">
        <f t="shared" si="20"/>
        <v>NO</v>
      </c>
      <c r="E274" s="4598" t="str">
        <f>Table4.B_2018!F20</f>
        <v>NO</v>
      </c>
      <c r="F274" s="4558" t="str">
        <f>Table4.B_2019!F20</f>
        <v>NO</v>
      </c>
      <c r="G274" s="4559" t="str">
        <f>Table4.B_2020!F20</f>
        <v>NA</v>
      </c>
      <c r="H274" s="4354"/>
      <c r="I274" s="4387" t="str">
        <f t="shared" si="15"/>
        <v>NO</v>
      </c>
      <c r="J274" s="4387" t="str">
        <f t="shared" si="15"/>
        <v>NO</v>
      </c>
      <c r="K274" s="4354"/>
      <c r="L274" s="4354"/>
      <c r="M274" s="4354"/>
    </row>
    <row r="275" spans="1:13" x14ac:dyDescent="0.25">
      <c r="A275" s="4354"/>
      <c r="B275" s="5095"/>
      <c r="C275" s="4601" t="s">
        <v>859</v>
      </c>
      <c r="D275" s="4579" t="str">
        <f t="shared" si="20"/>
        <v>NO</v>
      </c>
      <c r="E275" s="4602" t="str">
        <f>Table4.B_2018!F21</f>
        <v>NO</v>
      </c>
      <c r="F275" s="4567" t="str">
        <f>Table4.B_2019!F21</f>
        <v>NO</v>
      </c>
      <c r="G275" s="4568" t="str">
        <f>Table4.B_2020!F21</f>
        <v>NA</v>
      </c>
      <c r="H275" s="4354"/>
      <c r="I275" s="4387" t="str">
        <f t="shared" si="15"/>
        <v>NO</v>
      </c>
      <c r="J275" s="4387" t="str">
        <f t="shared" si="15"/>
        <v>NO</v>
      </c>
      <c r="K275" s="4354"/>
      <c r="L275" s="4354"/>
      <c r="M275" s="4354"/>
    </row>
    <row r="276" spans="1:13" x14ac:dyDescent="0.25">
      <c r="A276" s="4354"/>
      <c r="B276" s="5095"/>
      <c r="C276" s="4601" t="s">
        <v>858</v>
      </c>
      <c r="D276" s="4579" t="str">
        <f t="shared" si="20"/>
        <v>NO</v>
      </c>
      <c r="E276" s="4602" t="str">
        <f>Table4.B_2018!F22</f>
        <v>NO</v>
      </c>
      <c r="F276" s="4567" t="str">
        <f>Table4.B_2019!F22</f>
        <v>NO</v>
      </c>
      <c r="G276" s="4568" t="str">
        <f>Table4.B_2020!F22</f>
        <v>NA</v>
      </c>
      <c r="H276" s="4354"/>
      <c r="I276" s="4387" t="str">
        <f t="shared" si="15"/>
        <v>NO</v>
      </c>
      <c r="J276" s="4387" t="str">
        <f t="shared" si="15"/>
        <v>NO</v>
      </c>
      <c r="K276" s="4354"/>
      <c r="L276" s="4354"/>
      <c r="M276" s="4354"/>
    </row>
    <row r="277" spans="1:13" x14ac:dyDescent="0.25">
      <c r="A277" s="4354"/>
      <c r="B277" s="5095"/>
      <c r="C277" s="4601" t="s">
        <v>857</v>
      </c>
      <c r="D277" s="4579" t="str">
        <f t="shared" si="20"/>
        <v>NA</v>
      </c>
      <c r="E277" s="4603" t="s">
        <v>799</v>
      </c>
      <c r="F277" s="4581" t="s">
        <v>799</v>
      </c>
      <c r="G277" s="4582" t="s">
        <v>799</v>
      </c>
      <c r="H277" s="4354"/>
      <c r="I277" s="4387" t="str">
        <f t="shared" si="15"/>
        <v>NO</v>
      </c>
      <c r="J277" s="4387" t="str">
        <f t="shared" si="15"/>
        <v>NO</v>
      </c>
      <c r="K277" s="4354"/>
      <c r="L277" s="4354"/>
      <c r="M277" s="4354"/>
    </row>
    <row r="278" spans="1:13" ht="15.75" thickBot="1" x14ac:dyDescent="0.3">
      <c r="A278" s="4354"/>
      <c r="B278" s="5096"/>
      <c r="C278" s="4604" t="s">
        <v>856</v>
      </c>
      <c r="D278" s="4579" t="str">
        <f t="shared" si="20"/>
        <v>NA</v>
      </c>
      <c r="E278" s="4605" t="s">
        <v>799</v>
      </c>
      <c r="F278" s="4584" t="s">
        <v>799</v>
      </c>
      <c r="G278" s="4585" t="s">
        <v>799</v>
      </c>
      <c r="H278" s="4354"/>
      <c r="I278" s="4387" t="str">
        <f t="shared" si="15"/>
        <v>NO</v>
      </c>
      <c r="J278" s="4387" t="str">
        <f t="shared" si="15"/>
        <v>NO</v>
      </c>
      <c r="K278" s="4354"/>
      <c r="L278" s="4354"/>
      <c r="M278" s="4354"/>
    </row>
    <row r="279" spans="1:13" ht="15.75" thickBot="1" x14ac:dyDescent="0.3">
      <c r="A279" s="4354"/>
      <c r="B279" s="5094" t="s">
        <v>814</v>
      </c>
      <c r="C279" s="4595" t="s">
        <v>865</v>
      </c>
      <c r="D279" s="4574" t="str">
        <f t="shared" si="17"/>
        <v/>
      </c>
      <c r="E279" s="4606"/>
      <c r="F279" s="4576"/>
      <c r="G279" s="4577"/>
      <c r="H279" s="4354"/>
      <c r="I279" s="4387" t="str">
        <f t="shared" si="15"/>
        <v>NO</v>
      </c>
      <c r="J279" s="4387" t="str">
        <f t="shared" si="15"/>
        <v>NO</v>
      </c>
      <c r="K279" s="4354"/>
      <c r="L279" s="4354"/>
      <c r="M279" s="4354"/>
    </row>
    <row r="280" spans="1:13" ht="15.75" thickBot="1" x14ac:dyDescent="0.3">
      <c r="A280" s="4354"/>
      <c r="B280" s="5095"/>
      <c r="C280" s="4595" t="s">
        <v>864</v>
      </c>
      <c r="D280" s="4587">
        <f>IF($D$3=$E$3,E280,IF($D$3=$F$3,F280,IF($D$3=$G$3,G280,"-")))</f>
        <v>-1.9678227297509999E-2</v>
      </c>
      <c r="E280" s="4602">
        <f>Table4.B_2018!G12</f>
        <v>-1.9678227297509999E-2</v>
      </c>
      <c r="F280" s="4567">
        <f>Table4.B_2019!G12</f>
        <v>-1.171129647041E-2</v>
      </c>
      <c r="G280" s="4568">
        <f>Table4.B_2020!G12</f>
        <v>-7.3293466626940001E-2</v>
      </c>
      <c r="H280" s="4354"/>
      <c r="I280" s="4387">
        <f t="shared" si="15"/>
        <v>-0.40486018921572781</v>
      </c>
      <c r="J280" s="4387">
        <f t="shared" si="15"/>
        <v>-5.2583563495403576</v>
      </c>
      <c r="K280" s="4354"/>
      <c r="L280" s="4354"/>
      <c r="M280" s="4354"/>
    </row>
    <row r="281" spans="1:13" x14ac:dyDescent="0.25">
      <c r="A281" s="4354"/>
      <c r="B281" s="5095"/>
      <c r="C281" s="4599" t="s">
        <v>863</v>
      </c>
      <c r="D281" s="4586" t="str">
        <f t="shared" si="17"/>
        <v/>
      </c>
      <c r="E281" s="4600"/>
      <c r="F281" s="4562"/>
      <c r="G281" s="4563"/>
      <c r="H281" s="4354"/>
      <c r="I281" s="4387" t="str">
        <f t="shared" si="15"/>
        <v>NO</v>
      </c>
      <c r="J281" s="4387" t="str">
        <f t="shared" si="15"/>
        <v>NO</v>
      </c>
      <c r="K281" s="4354"/>
      <c r="L281" s="4354"/>
      <c r="M281" s="4354"/>
    </row>
    <row r="282" spans="1:13" x14ac:dyDescent="0.25">
      <c r="A282" s="4354"/>
      <c r="B282" s="5095"/>
      <c r="C282" s="4601" t="s">
        <v>862</v>
      </c>
      <c r="D282" s="4556">
        <f>IF($D$3=$E$3,E282,IF($D$3=$F$3,F282,IF($D$3=$G$3,G282,"-")))</f>
        <v>-2.2454215246064502</v>
      </c>
      <c r="E282" s="4598">
        <f>Table4.B_2018!G15</f>
        <v>-2.2454215246064502</v>
      </c>
      <c r="F282" s="4558">
        <f>Table4.B_2019!G15</f>
        <v>-0.38949970659299998</v>
      </c>
      <c r="G282" s="4559">
        <f>Table4.B_2020!G15</f>
        <v>-2.7961465448190199</v>
      </c>
      <c r="H282" s="4354"/>
      <c r="I282" s="4387">
        <f t="shared" si="15"/>
        <v>-0.82653604130686931</v>
      </c>
      <c r="J282" s="4387">
        <f t="shared" si="15"/>
        <v>-6.1788155356450574</v>
      </c>
      <c r="K282" s="4354"/>
      <c r="L282" s="4354"/>
      <c r="M282" s="4354"/>
    </row>
    <row r="283" spans="1:13" x14ac:dyDescent="0.25">
      <c r="A283" s="4354"/>
      <c r="B283" s="5095"/>
      <c r="C283" s="4601" t="s">
        <v>861</v>
      </c>
      <c r="D283" s="4556">
        <f t="shared" ref="D283:D288" si="21">IF($D$3=$E$3,E283,IF($D$3=$F$3,F283,IF($D$3=$G$3,G283,"-")))</f>
        <v>-0.67356498071182003</v>
      </c>
      <c r="E283" s="4598">
        <f>Table4.B_2018!G17</f>
        <v>-0.67356498071182003</v>
      </c>
      <c r="F283" s="4558">
        <f>Table4.B_2019!G17</f>
        <v>-0.43693540307120998</v>
      </c>
      <c r="G283" s="4559">
        <f>Table4.B_2020!G17</f>
        <v>-0.54666728173333001</v>
      </c>
      <c r="H283" s="4354"/>
      <c r="I283" s="4387">
        <f t="shared" ref="I283:J346" si="22">IFERROR(ABS(F283-E283)/E283,"NO")</f>
        <v>-0.35130920463017706</v>
      </c>
      <c r="J283" s="4387">
        <f t="shared" si="22"/>
        <v>-0.25113982041925859</v>
      </c>
      <c r="K283" s="4354"/>
      <c r="L283" s="4354"/>
      <c r="M283" s="4354"/>
    </row>
    <row r="284" spans="1:13" x14ac:dyDescent="0.25">
      <c r="A284" s="4354"/>
      <c r="B284" s="5095"/>
      <c r="C284" s="4601" t="s">
        <v>860</v>
      </c>
      <c r="D284" s="4579" t="str">
        <f t="shared" si="21"/>
        <v>NO</v>
      </c>
      <c r="E284" s="4598" t="str">
        <f>Table4.B_2018!G20</f>
        <v>NO</v>
      </c>
      <c r="F284" s="4558" t="str">
        <f>Table4.B_2019!G20</f>
        <v>NO</v>
      </c>
      <c r="G284" s="4559" t="str">
        <f>Table4.B_2020!G20</f>
        <v>NA</v>
      </c>
      <c r="H284" s="4354"/>
      <c r="I284" s="4387" t="str">
        <f t="shared" si="22"/>
        <v>NO</v>
      </c>
      <c r="J284" s="4387" t="str">
        <f t="shared" si="22"/>
        <v>NO</v>
      </c>
      <c r="K284" s="4354"/>
      <c r="L284" s="4354"/>
      <c r="M284" s="4354"/>
    </row>
    <row r="285" spans="1:13" x14ac:dyDescent="0.25">
      <c r="A285" s="4354"/>
      <c r="B285" s="5095"/>
      <c r="C285" s="4601" t="s">
        <v>859</v>
      </c>
      <c r="D285" s="4579" t="str">
        <f t="shared" si="21"/>
        <v>NO</v>
      </c>
      <c r="E285" s="4602" t="str">
        <f>Table4.B_2018!G21</f>
        <v>NO</v>
      </c>
      <c r="F285" s="4567" t="str">
        <f>Table4.B_2019!G21</f>
        <v>NO</v>
      </c>
      <c r="G285" s="4568" t="str">
        <f>Table4.B_2020!G21</f>
        <v>NA</v>
      </c>
      <c r="H285" s="4354"/>
      <c r="I285" s="4387" t="str">
        <f t="shared" si="22"/>
        <v>NO</v>
      </c>
      <c r="J285" s="4387" t="str">
        <f t="shared" si="22"/>
        <v>NO</v>
      </c>
      <c r="K285" s="4354"/>
      <c r="L285" s="4354"/>
      <c r="M285" s="4354"/>
    </row>
    <row r="286" spans="1:13" x14ac:dyDescent="0.25">
      <c r="A286" s="4354"/>
      <c r="B286" s="5095"/>
      <c r="C286" s="4601" t="s">
        <v>858</v>
      </c>
      <c r="D286" s="4579" t="str">
        <f t="shared" si="21"/>
        <v>NO</v>
      </c>
      <c r="E286" s="4602" t="str">
        <f>Table4.B_2018!G22</f>
        <v>NO</v>
      </c>
      <c r="F286" s="4567" t="str">
        <f>Table4.B_2019!G22</f>
        <v>NO</v>
      </c>
      <c r="G286" s="4568" t="str">
        <f>Table4.B_2020!G22</f>
        <v>NA</v>
      </c>
      <c r="H286" s="4354"/>
      <c r="I286" s="4387" t="str">
        <f t="shared" si="22"/>
        <v>NO</v>
      </c>
      <c r="J286" s="4387" t="str">
        <f t="shared" si="22"/>
        <v>NO</v>
      </c>
      <c r="K286" s="4354"/>
      <c r="L286" s="4354"/>
      <c r="M286" s="4354"/>
    </row>
    <row r="287" spans="1:13" x14ac:dyDescent="0.25">
      <c r="A287" s="4354"/>
      <c r="B287" s="5095"/>
      <c r="C287" s="4601" t="s">
        <v>857</v>
      </c>
      <c r="D287" s="4579" t="str">
        <f t="shared" si="21"/>
        <v>NA</v>
      </c>
      <c r="E287" s="4603" t="s">
        <v>799</v>
      </c>
      <c r="F287" s="4581" t="s">
        <v>799</v>
      </c>
      <c r="G287" s="4582" t="s">
        <v>799</v>
      </c>
      <c r="H287" s="4354"/>
      <c r="I287" s="4387" t="str">
        <f t="shared" si="22"/>
        <v>NO</v>
      </c>
      <c r="J287" s="4387" t="str">
        <f t="shared" si="22"/>
        <v>NO</v>
      </c>
      <c r="K287" s="4354"/>
      <c r="L287" s="4354"/>
      <c r="M287" s="4354"/>
    </row>
    <row r="288" spans="1:13" ht="15.75" thickBot="1" x14ac:dyDescent="0.3">
      <c r="A288" s="4354"/>
      <c r="B288" s="5096"/>
      <c r="C288" s="4604" t="s">
        <v>856</v>
      </c>
      <c r="D288" s="4579" t="str">
        <f t="shared" si="21"/>
        <v>NA</v>
      </c>
      <c r="E288" s="4605" t="s">
        <v>799</v>
      </c>
      <c r="F288" s="4584" t="s">
        <v>799</v>
      </c>
      <c r="G288" s="4585" t="s">
        <v>799</v>
      </c>
      <c r="H288" s="4354"/>
      <c r="I288" s="4387" t="str">
        <f t="shared" si="22"/>
        <v>NO</v>
      </c>
      <c r="J288" s="4387" t="str">
        <f t="shared" si="22"/>
        <v>NO</v>
      </c>
      <c r="K288" s="4354"/>
      <c r="L288" s="4354"/>
      <c r="M288" s="4354"/>
    </row>
    <row r="289" spans="1:13" ht="15.75" thickBot="1" x14ac:dyDescent="0.3">
      <c r="A289" s="4354"/>
      <c r="B289" s="5094" t="s">
        <v>813</v>
      </c>
      <c r="C289" s="4595" t="s">
        <v>865</v>
      </c>
      <c r="D289" s="4574" t="str">
        <f t="shared" si="17"/>
        <v/>
      </c>
      <c r="E289" s="4606"/>
      <c r="F289" s="4576"/>
      <c r="G289" s="4577"/>
      <c r="H289" s="4354"/>
      <c r="I289" s="4387" t="str">
        <f t="shared" si="22"/>
        <v>NO</v>
      </c>
      <c r="J289" s="4387" t="str">
        <f t="shared" si="22"/>
        <v>NO</v>
      </c>
      <c r="K289" s="4354"/>
      <c r="L289" s="4354"/>
      <c r="M289" s="4354"/>
    </row>
    <row r="290" spans="1:13" ht="15.75" thickBot="1" x14ac:dyDescent="0.3">
      <c r="A290" s="4354"/>
      <c r="B290" s="5095"/>
      <c r="C290" s="4595" t="s">
        <v>864</v>
      </c>
      <c r="D290" s="4587">
        <f>IF($D$3=$E$3,E290,IF($D$3=$F$3,F290,IF($D$3=$G$3,G290,"-")))</f>
        <v>-4.7369005282599996E-3</v>
      </c>
      <c r="E290" s="4602">
        <f>Table4.B_2018!H12</f>
        <v>-4.7369005282599996E-3</v>
      </c>
      <c r="F290" s="4567">
        <f>Table4.B_2019!H12</f>
        <v>-3.5225263151399998E-3</v>
      </c>
      <c r="G290" s="4568">
        <f>Table4.B_2020!H12</f>
        <v>-1.536169115565E-2</v>
      </c>
      <c r="H290" s="4354"/>
      <c r="I290" s="4387">
        <f t="shared" si="22"/>
        <v>-0.25636472749958178</v>
      </c>
      <c r="J290" s="4387">
        <f t="shared" si="22"/>
        <v>-3.3609869114744892</v>
      </c>
      <c r="K290" s="4354"/>
      <c r="L290" s="4354"/>
      <c r="M290" s="4354"/>
    </row>
    <row r="291" spans="1:13" x14ac:dyDescent="0.25">
      <c r="A291" s="4354"/>
      <c r="B291" s="5095"/>
      <c r="C291" s="4599" t="s">
        <v>863</v>
      </c>
      <c r="D291" s="4586" t="str">
        <f t="shared" si="17"/>
        <v/>
      </c>
      <c r="E291" s="4600"/>
      <c r="F291" s="4562"/>
      <c r="G291" s="4563"/>
      <c r="H291" s="4354"/>
      <c r="I291" s="4387" t="str">
        <f t="shared" si="22"/>
        <v>NO</v>
      </c>
      <c r="J291" s="4387" t="str">
        <f t="shared" si="22"/>
        <v>NO</v>
      </c>
      <c r="K291" s="4354"/>
      <c r="L291" s="4354"/>
      <c r="M291" s="4354"/>
    </row>
    <row r="292" spans="1:13" x14ac:dyDescent="0.25">
      <c r="A292" s="4354"/>
      <c r="B292" s="5095"/>
      <c r="C292" s="4601" t="s">
        <v>862</v>
      </c>
      <c r="D292" s="4556">
        <f>IF($D$3=$E$3,E292,IF($D$3=$F$3,F292,IF($D$3=$G$3,G292,"-")))</f>
        <v>-1.40140500221772</v>
      </c>
      <c r="E292" s="4598">
        <f>Table4.B_2018!H15</f>
        <v>-1.40140500221772</v>
      </c>
      <c r="F292" s="4558">
        <f>Table4.B_2019!H15</f>
        <v>-0.16706320808441999</v>
      </c>
      <c r="G292" s="4559">
        <f>Table4.B_2020!H15</f>
        <v>-1.74367229098748</v>
      </c>
      <c r="H292" s="4354"/>
      <c r="I292" s="4387">
        <f t="shared" si="22"/>
        <v>-0.88078877425152413</v>
      </c>
      <c r="J292" s="4387">
        <f t="shared" si="22"/>
        <v>-9.4372010509122486</v>
      </c>
      <c r="K292" s="4354"/>
      <c r="L292" s="4354"/>
      <c r="M292" s="4354"/>
    </row>
    <row r="293" spans="1:13" x14ac:dyDescent="0.25">
      <c r="A293" s="4354"/>
      <c r="B293" s="5095"/>
      <c r="C293" s="4601" t="s">
        <v>861</v>
      </c>
      <c r="D293" s="4556">
        <f t="shared" ref="D293:D298" si="23">IF($D$3=$E$3,E293,IF($D$3=$F$3,F293,IF($D$3=$G$3,G293,"-")))</f>
        <v>0.28322015188265998</v>
      </c>
      <c r="E293" s="4598">
        <f>Table4.B_2018!H17</f>
        <v>0.28322015188265998</v>
      </c>
      <c r="F293" s="4558">
        <f>Table4.B_2019!H17</f>
        <v>0.18372230561139999</v>
      </c>
      <c r="G293" s="4559">
        <f>Table4.B_2020!H17</f>
        <v>0.22986229243636999</v>
      </c>
      <c r="H293" s="4354"/>
      <c r="I293" s="4387">
        <f t="shared" si="22"/>
        <v>0.35130920455293951</v>
      </c>
      <c r="J293" s="4387">
        <f t="shared" si="22"/>
        <v>0.25113982034692589</v>
      </c>
      <c r="K293" s="4354"/>
      <c r="L293" s="4354"/>
      <c r="M293" s="4354"/>
    </row>
    <row r="294" spans="1:13" x14ac:dyDescent="0.25">
      <c r="A294" s="4354"/>
      <c r="B294" s="5095"/>
      <c r="C294" s="4601" t="s">
        <v>860</v>
      </c>
      <c r="D294" s="4556" t="str">
        <f t="shared" si="23"/>
        <v>NO</v>
      </c>
      <c r="E294" s="4598" t="str">
        <f>Table4.B_2018!H20</f>
        <v>NO</v>
      </c>
      <c r="F294" s="4558" t="str">
        <f>Table4.B_2019!H20</f>
        <v>NO</v>
      </c>
      <c r="G294" s="4559" t="str">
        <f>Table4.B_2020!H20</f>
        <v>NA</v>
      </c>
      <c r="H294" s="4354"/>
      <c r="I294" s="4387" t="str">
        <f t="shared" si="22"/>
        <v>NO</v>
      </c>
      <c r="J294" s="4387" t="str">
        <f t="shared" si="22"/>
        <v>NO</v>
      </c>
      <c r="K294" s="4354"/>
      <c r="L294" s="4354"/>
      <c r="M294" s="4354"/>
    </row>
    <row r="295" spans="1:13" x14ac:dyDescent="0.25">
      <c r="A295" s="4354"/>
      <c r="B295" s="5095"/>
      <c r="C295" s="4601" t="s">
        <v>859</v>
      </c>
      <c r="D295" s="4556" t="str">
        <f t="shared" si="23"/>
        <v>NO</v>
      </c>
      <c r="E295" s="4602" t="str">
        <f>Table4.B_2018!H21</f>
        <v>NO</v>
      </c>
      <c r="F295" s="4567" t="str">
        <f>Table4.B_2019!H21</f>
        <v>NO</v>
      </c>
      <c r="G295" s="4568" t="str">
        <f>Table4.B_2020!H21</f>
        <v>NA</v>
      </c>
      <c r="H295" s="4354"/>
      <c r="I295" s="4387" t="str">
        <f t="shared" si="22"/>
        <v>NO</v>
      </c>
      <c r="J295" s="4387" t="str">
        <f t="shared" si="22"/>
        <v>NO</v>
      </c>
      <c r="K295" s="4354"/>
      <c r="L295" s="4354"/>
      <c r="M295" s="4354"/>
    </row>
    <row r="296" spans="1:13" x14ac:dyDescent="0.25">
      <c r="A296" s="4354"/>
      <c r="B296" s="5095"/>
      <c r="C296" s="4601" t="s">
        <v>858</v>
      </c>
      <c r="D296" s="4556" t="str">
        <f t="shared" si="23"/>
        <v>NO</v>
      </c>
      <c r="E296" s="4602" t="str">
        <f>Table4.B_2018!H22</f>
        <v>NO</v>
      </c>
      <c r="F296" s="4567" t="str">
        <f>Table4.B_2019!H22</f>
        <v>NO</v>
      </c>
      <c r="G296" s="4568" t="str">
        <f>Table4.B_2020!H22</f>
        <v>NA</v>
      </c>
      <c r="H296" s="4354"/>
      <c r="I296" s="4387" t="str">
        <f t="shared" si="22"/>
        <v>NO</v>
      </c>
      <c r="J296" s="4387" t="str">
        <f t="shared" si="22"/>
        <v>NO</v>
      </c>
      <c r="K296" s="4354"/>
      <c r="L296" s="4354"/>
      <c r="M296" s="4354"/>
    </row>
    <row r="297" spans="1:13" x14ac:dyDescent="0.25">
      <c r="A297" s="4354"/>
      <c r="B297" s="5095"/>
      <c r="C297" s="4601" t="s">
        <v>857</v>
      </c>
      <c r="D297" s="4556" t="str">
        <f t="shared" si="23"/>
        <v>NA</v>
      </c>
      <c r="E297" s="4603" t="s">
        <v>799</v>
      </c>
      <c r="F297" s="4581" t="s">
        <v>799</v>
      </c>
      <c r="G297" s="4582" t="s">
        <v>799</v>
      </c>
      <c r="H297" s="4354"/>
      <c r="I297" s="4387" t="str">
        <f t="shared" si="22"/>
        <v>NO</v>
      </c>
      <c r="J297" s="4387" t="str">
        <f t="shared" si="22"/>
        <v>NO</v>
      </c>
      <c r="K297" s="4354"/>
      <c r="L297" s="4354"/>
      <c r="M297" s="4354"/>
    </row>
    <row r="298" spans="1:13" ht="15.75" thickBot="1" x14ac:dyDescent="0.3">
      <c r="A298" s="4354"/>
      <c r="B298" s="5096"/>
      <c r="C298" s="4604" t="s">
        <v>856</v>
      </c>
      <c r="D298" s="4556" t="str">
        <f t="shared" si="23"/>
        <v>NA</v>
      </c>
      <c r="E298" s="4605" t="s">
        <v>799</v>
      </c>
      <c r="F298" s="4584" t="s">
        <v>799</v>
      </c>
      <c r="G298" s="4585" t="s">
        <v>799</v>
      </c>
      <c r="H298" s="4354"/>
      <c r="I298" s="4387" t="str">
        <f t="shared" si="22"/>
        <v>NO</v>
      </c>
      <c r="J298" s="4387" t="str">
        <f t="shared" si="22"/>
        <v>NO</v>
      </c>
      <c r="K298" s="4354"/>
      <c r="L298" s="4354"/>
      <c r="M298" s="4354"/>
    </row>
    <row r="299" spans="1:13" ht="15.75" thickBot="1" x14ac:dyDescent="0.3">
      <c r="A299" s="4354"/>
      <c r="B299" s="5094" t="s">
        <v>812</v>
      </c>
      <c r="C299" s="4595" t="s">
        <v>865</v>
      </c>
      <c r="D299" s="4574" t="str">
        <f t="shared" ref="D299:D355" si="24">""&amp;IF($D$3=$E$3,E299,IF($D$3=$F$3,F299,IF($D$3=$G$3,G299,"-")))</f>
        <v/>
      </c>
      <c r="E299" s="4606"/>
      <c r="F299" s="4576"/>
      <c r="G299" s="4577"/>
      <c r="H299" s="4354"/>
      <c r="I299" s="4387" t="str">
        <f t="shared" si="22"/>
        <v>NO</v>
      </c>
      <c r="J299" s="4387" t="str">
        <f t="shared" si="22"/>
        <v>NO</v>
      </c>
      <c r="K299" s="4354"/>
      <c r="L299" s="4354"/>
      <c r="M299" s="4354"/>
    </row>
    <row r="300" spans="1:13" ht="15.75" thickBot="1" x14ac:dyDescent="0.3">
      <c r="A300" s="4354"/>
      <c r="B300" s="5095"/>
      <c r="C300" s="4595" t="s">
        <v>864</v>
      </c>
      <c r="D300" s="4565" t="str">
        <f>IF($D$3=$E$3,E300,IF($D$3=$F$3,F300,IF($D$3=$G$3,G300,"-")))</f>
        <v>NO</v>
      </c>
      <c r="E300" s="4602" t="str">
        <f>Table4.B_2018!I12</f>
        <v>NO</v>
      </c>
      <c r="F300" s="4567" t="str">
        <f>Table4.B_2019!I12</f>
        <v>NO</v>
      </c>
      <c r="G300" s="4568" t="str">
        <f>Table4.B_2020!I12</f>
        <v>NA</v>
      </c>
      <c r="H300" s="4354"/>
      <c r="I300" s="4387" t="str">
        <f t="shared" si="22"/>
        <v>NO</v>
      </c>
      <c r="J300" s="4387" t="str">
        <f t="shared" si="22"/>
        <v>NO</v>
      </c>
      <c r="K300" s="4354"/>
      <c r="L300" s="4354"/>
      <c r="M300" s="4354"/>
    </row>
    <row r="301" spans="1:13" x14ac:dyDescent="0.25">
      <c r="A301" s="4354"/>
      <c r="B301" s="5095"/>
      <c r="C301" s="4599" t="s">
        <v>863</v>
      </c>
      <c r="D301" s="4586" t="str">
        <f t="shared" si="24"/>
        <v/>
      </c>
      <c r="E301" s="4600"/>
      <c r="F301" s="4562"/>
      <c r="G301" s="4563"/>
      <c r="H301" s="4354"/>
      <c r="I301" s="4387" t="str">
        <f t="shared" si="22"/>
        <v>NO</v>
      </c>
      <c r="J301" s="4387" t="str">
        <f t="shared" si="22"/>
        <v>NO</v>
      </c>
      <c r="K301" s="4354"/>
      <c r="L301" s="4354"/>
      <c r="M301" s="4354"/>
    </row>
    <row r="302" spans="1:13" x14ac:dyDescent="0.25">
      <c r="A302" s="4354"/>
      <c r="B302" s="5095"/>
      <c r="C302" s="4601" t="s">
        <v>862</v>
      </c>
      <c r="D302" s="4556">
        <f>IF($D$3=$E$3,E302,IF($D$3=$F$3,F302,IF($D$3=$G$3,G302,"-")))</f>
        <v>-1.6256504778760701</v>
      </c>
      <c r="E302" s="4598">
        <f>Table4.B_2018!I15</f>
        <v>-1.6256504778760701</v>
      </c>
      <c r="F302" s="4558">
        <f>Table4.B_2019!I15</f>
        <v>-0.54643414814545999</v>
      </c>
      <c r="G302" s="4559">
        <f>Table4.B_2020!I15</f>
        <v>-1.87787003034059</v>
      </c>
      <c r="H302" s="4354"/>
      <c r="I302" s="4387">
        <f t="shared" si="22"/>
        <v>-0.66386738380603061</v>
      </c>
      <c r="J302" s="4387">
        <f t="shared" si="22"/>
        <v>-2.4365898191280384</v>
      </c>
      <c r="K302" s="4354"/>
      <c r="L302" s="4354"/>
      <c r="M302" s="4354"/>
    </row>
    <row r="303" spans="1:13" x14ac:dyDescent="0.25">
      <c r="A303" s="4354"/>
      <c r="B303" s="5095"/>
      <c r="C303" s="4601" t="s">
        <v>861</v>
      </c>
      <c r="D303" s="4556" t="str">
        <f t="shared" ref="D303:D308" si="25">IF($D$3=$E$3,E303,IF($D$3=$F$3,F303,IF($D$3=$G$3,G303,"-")))</f>
        <v>NA</v>
      </c>
      <c r="E303" s="4598" t="str">
        <f>Table4.B_2018!I17</f>
        <v>NA</v>
      </c>
      <c r="F303" s="4558" t="str">
        <f>Table4.B_2019!I17</f>
        <v>NA</v>
      </c>
      <c r="G303" s="4559" t="str">
        <f>Table4.B_2020!I17</f>
        <v>NA</v>
      </c>
      <c r="H303" s="4354"/>
      <c r="I303" s="4387" t="str">
        <f t="shared" si="22"/>
        <v>NO</v>
      </c>
      <c r="J303" s="4387" t="str">
        <f t="shared" si="22"/>
        <v>NO</v>
      </c>
      <c r="K303" s="4354"/>
      <c r="L303" s="4354"/>
      <c r="M303" s="4354"/>
    </row>
    <row r="304" spans="1:13" x14ac:dyDescent="0.25">
      <c r="A304" s="4354"/>
      <c r="B304" s="5095"/>
      <c r="C304" s="4601" t="s">
        <v>860</v>
      </c>
      <c r="D304" s="4556" t="str">
        <f t="shared" si="25"/>
        <v>NO</v>
      </c>
      <c r="E304" s="4598" t="str">
        <f>Table4.B_2018!I20</f>
        <v>NO</v>
      </c>
      <c r="F304" s="4558" t="str">
        <f>Table4.B_2019!I20</f>
        <v>NO</v>
      </c>
      <c r="G304" s="4559" t="str">
        <f>Table4.B_2020!I20</f>
        <v>NA</v>
      </c>
      <c r="H304" s="4354"/>
      <c r="I304" s="4387" t="str">
        <f t="shared" si="22"/>
        <v>NO</v>
      </c>
      <c r="J304" s="4387" t="str">
        <f t="shared" si="22"/>
        <v>NO</v>
      </c>
      <c r="K304" s="4354"/>
      <c r="L304" s="4354"/>
      <c r="M304" s="4354"/>
    </row>
    <row r="305" spans="1:13" x14ac:dyDescent="0.25">
      <c r="A305" s="4354"/>
      <c r="B305" s="5095"/>
      <c r="C305" s="4601" t="s">
        <v>859</v>
      </c>
      <c r="D305" s="4556" t="str">
        <f t="shared" si="25"/>
        <v>NO</v>
      </c>
      <c r="E305" s="4602" t="str">
        <f>Table4.B_2018!I21</f>
        <v>NO</v>
      </c>
      <c r="F305" s="4567" t="str">
        <f>Table4.B_2019!I21</f>
        <v>NO</v>
      </c>
      <c r="G305" s="4568" t="str">
        <f>Table4.B_2020!I21</f>
        <v>NA</v>
      </c>
      <c r="H305" s="4354"/>
      <c r="I305" s="4387" t="str">
        <f t="shared" si="22"/>
        <v>NO</v>
      </c>
      <c r="J305" s="4387" t="str">
        <f t="shared" si="22"/>
        <v>NO</v>
      </c>
      <c r="K305" s="4354"/>
      <c r="L305" s="4354"/>
      <c r="M305" s="4354"/>
    </row>
    <row r="306" spans="1:13" x14ac:dyDescent="0.25">
      <c r="A306" s="4354"/>
      <c r="B306" s="5095"/>
      <c r="C306" s="4601" t="s">
        <v>858</v>
      </c>
      <c r="D306" s="4556" t="str">
        <f t="shared" si="25"/>
        <v>NO</v>
      </c>
      <c r="E306" s="4602" t="str">
        <f>Table4.B_2018!I22</f>
        <v>NO</v>
      </c>
      <c r="F306" s="4567" t="str">
        <f>Table4.B_2019!I22</f>
        <v>NO</v>
      </c>
      <c r="G306" s="4568" t="str">
        <f>Table4.B_2020!I22</f>
        <v>NA</v>
      </c>
      <c r="H306" s="4354"/>
      <c r="I306" s="4387" t="str">
        <f t="shared" si="22"/>
        <v>NO</v>
      </c>
      <c r="J306" s="4387" t="str">
        <f t="shared" si="22"/>
        <v>NO</v>
      </c>
      <c r="K306" s="4354"/>
      <c r="L306" s="4354"/>
      <c r="M306" s="4354"/>
    </row>
    <row r="307" spans="1:13" x14ac:dyDescent="0.25">
      <c r="A307" s="4354"/>
      <c r="B307" s="5095"/>
      <c r="C307" s="4601" t="s">
        <v>857</v>
      </c>
      <c r="D307" s="4556" t="str">
        <f t="shared" si="25"/>
        <v>NA</v>
      </c>
      <c r="E307" s="4603" t="s">
        <v>799</v>
      </c>
      <c r="F307" s="4581" t="s">
        <v>799</v>
      </c>
      <c r="G307" s="4582" t="s">
        <v>799</v>
      </c>
      <c r="H307" s="4354"/>
      <c r="I307" s="4387" t="str">
        <f t="shared" si="22"/>
        <v>NO</v>
      </c>
      <c r="J307" s="4387" t="str">
        <f t="shared" si="22"/>
        <v>NO</v>
      </c>
      <c r="K307" s="4354"/>
      <c r="L307" s="4354"/>
      <c r="M307" s="4354"/>
    </row>
    <row r="308" spans="1:13" ht="15.75" thickBot="1" x14ac:dyDescent="0.3">
      <c r="A308" s="4354"/>
      <c r="B308" s="5096"/>
      <c r="C308" s="4604" t="s">
        <v>856</v>
      </c>
      <c r="D308" s="4556" t="str">
        <f t="shared" si="25"/>
        <v>NA</v>
      </c>
      <c r="E308" s="4605" t="s">
        <v>799</v>
      </c>
      <c r="F308" s="4584" t="s">
        <v>799</v>
      </c>
      <c r="G308" s="4585" t="s">
        <v>799</v>
      </c>
      <c r="H308" s="4354"/>
      <c r="I308" s="4387" t="str">
        <f t="shared" si="22"/>
        <v>NO</v>
      </c>
      <c r="J308" s="4387" t="str">
        <f t="shared" si="22"/>
        <v>NO</v>
      </c>
      <c r="K308" s="4354"/>
      <c r="L308" s="4354"/>
      <c r="M308" s="4354"/>
    </row>
    <row r="309" spans="1:13" ht="15.75" thickBot="1" x14ac:dyDescent="0.3">
      <c r="A309" s="4354"/>
      <c r="B309" s="5094" t="s">
        <v>811</v>
      </c>
      <c r="C309" s="4595" t="s">
        <v>865</v>
      </c>
      <c r="D309" s="4574" t="str">
        <f t="shared" si="24"/>
        <v/>
      </c>
      <c r="E309" s="4606"/>
      <c r="F309" s="4576"/>
      <c r="G309" s="4577"/>
      <c r="H309" s="4354"/>
      <c r="I309" s="4387" t="str">
        <f t="shared" si="22"/>
        <v>NO</v>
      </c>
      <c r="J309" s="4387" t="str">
        <f t="shared" si="22"/>
        <v>NO</v>
      </c>
      <c r="K309" s="4354"/>
      <c r="L309" s="4354"/>
      <c r="M309" s="4354"/>
    </row>
    <row r="310" spans="1:13" ht="15.75" thickBot="1" x14ac:dyDescent="0.3">
      <c r="A310" s="4354"/>
      <c r="B310" s="5095"/>
      <c r="C310" s="4595" t="s">
        <v>864</v>
      </c>
      <c r="D310" s="4587">
        <f>IF($D$3=$E$3,E310,IF($D$3=$F$3,F310,IF($D$3=$G$3,G310,"-")))</f>
        <v>-8.1809917974260002E-2</v>
      </c>
      <c r="E310" s="4602">
        <f>Table4.B_2018!J12</f>
        <v>-8.1809917974260002E-2</v>
      </c>
      <c r="F310" s="4567">
        <f>Table4.B_2019!J12</f>
        <v>-4.9885985614600004E-3</v>
      </c>
      <c r="G310" s="4568">
        <f>Table4.B_2020!J12</f>
        <v>1.123704905655E-2</v>
      </c>
      <c r="H310" s="4354"/>
      <c r="I310" s="4387">
        <f t="shared" si="22"/>
        <v>-0.9390220808798565</v>
      </c>
      <c r="J310" s="4387">
        <f t="shared" si="22"/>
        <v>-3.252546264869483</v>
      </c>
      <c r="K310" s="4354"/>
      <c r="L310" s="4354"/>
      <c r="M310" s="4354"/>
    </row>
    <row r="311" spans="1:13" x14ac:dyDescent="0.25">
      <c r="A311" s="4354"/>
      <c r="B311" s="5095"/>
      <c r="C311" s="4599" t="s">
        <v>863</v>
      </c>
      <c r="D311" s="4586" t="str">
        <f t="shared" si="24"/>
        <v/>
      </c>
      <c r="E311" s="4600"/>
      <c r="F311" s="4562"/>
      <c r="G311" s="4563"/>
      <c r="H311" s="4354"/>
      <c r="I311" s="4387" t="str">
        <f t="shared" si="22"/>
        <v>NO</v>
      </c>
      <c r="J311" s="4387" t="str">
        <f t="shared" si="22"/>
        <v>NO</v>
      </c>
      <c r="K311" s="4354"/>
      <c r="L311" s="4354"/>
      <c r="M311" s="4354"/>
    </row>
    <row r="312" spans="1:13" x14ac:dyDescent="0.25">
      <c r="A312" s="4354"/>
      <c r="B312" s="5095"/>
      <c r="C312" s="4601" t="s">
        <v>862</v>
      </c>
      <c r="D312" s="4556">
        <f>IF($D$3=$E$3,E312,IF($D$3=$F$3,F312,IF($D$3=$G$3,G312,"-")))</f>
        <v>-0.38204713756886</v>
      </c>
      <c r="E312" s="4598">
        <f>Table4.B_2018!J15</f>
        <v>-0.38204713756886</v>
      </c>
      <c r="F312" s="4558">
        <f>Table4.B_2019!J15</f>
        <v>-0.33998674296532999</v>
      </c>
      <c r="G312" s="4559">
        <f>Table4.B_2020!J15</f>
        <v>-0.35562273989971999</v>
      </c>
      <c r="H312" s="4354"/>
      <c r="I312" s="4387">
        <f t="shared" si="22"/>
        <v>-0.11009216001768646</v>
      </c>
      <c r="J312" s="4387">
        <f t="shared" si="22"/>
        <v>-4.5990019487272979E-2</v>
      </c>
      <c r="K312" s="4354"/>
      <c r="L312" s="4354"/>
      <c r="M312" s="4354"/>
    </row>
    <row r="313" spans="1:13" x14ac:dyDescent="0.25">
      <c r="A313" s="4354"/>
      <c r="B313" s="5095"/>
      <c r="C313" s="4601" t="s">
        <v>861</v>
      </c>
      <c r="D313" s="4556" t="str">
        <f t="shared" ref="D313:D318" si="26">IF($D$3=$E$3,E313,IF($D$3=$F$3,F313,IF($D$3=$G$3,G313,"-")))</f>
        <v>IE</v>
      </c>
      <c r="E313" s="4598" t="str">
        <f>Table4.B_2018!J17</f>
        <v>IE</v>
      </c>
      <c r="F313" s="4558" t="str">
        <f>Table4.B_2019!J17</f>
        <v>IE</v>
      </c>
      <c r="G313" s="4559" t="str">
        <f>Table4.B_2020!J17</f>
        <v>IE</v>
      </c>
      <c r="H313" s="4354"/>
      <c r="I313" s="4387" t="str">
        <f t="shared" si="22"/>
        <v>NO</v>
      </c>
      <c r="J313" s="4387" t="str">
        <f t="shared" si="22"/>
        <v>NO</v>
      </c>
      <c r="K313" s="4354"/>
      <c r="L313" s="4354"/>
      <c r="M313" s="4354"/>
    </row>
    <row r="314" spans="1:13" x14ac:dyDescent="0.25">
      <c r="A314" s="4354"/>
      <c r="B314" s="5095"/>
      <c r="C314" s="4601" t="s">
        <v>860</v>
      </c>
      <c r="D314" s="4556">
        <f t="shared" si="26"/>
        <v>-1.8596484923123799</v>
      </c>
      <c r="E314" s="4598">
        <f>Table4.B_2018!J18</f>
        <v>-1.8596484923123799</v>
      </c>
      <c r="F314" s="4558">
        <f>Table4.B_2019!J18</f>
        <v>-1.7739743612950201</v>
      </c>
      <c r="G314" s="4559">
        <f>Table4.B_2020!J18</f>
        <v>-1.7739743613893999</v>
      </c>
      <c r="H314" s="4354"/>
      <c r="I314" s="4387">
        <f t="shared" si="22"/>
        <v>-4.6070067204382469E-2</v>
      </c>
      <c r="J314" s="4387">
        <f t="shared" si="22"/>
        <v>-5.3202481015498643E-11</v>
      </c>
      <c r="K314" s="4354"/>
      <c r="L314" s="4354"/>
      <c r="M314" s="4354"/>
    </row>
    <row r="315" spans="1:13" x14ac:dyDescent="0.25">
      <c r="A315" s="4354"/>
      <c r="B315" s="5095"/>
      <c r="C315" s="4601" t="s">
        <v>859</v>
      </c>
      <c r="D315" s="4556" t="str">
        <f t="shared" si="26"/>
        <v>NO</v>
      </c>
      <c r="E315" s="4602" t="str">
        <f>Table4.B_2018!J21</f>
        <v>NO</v>
      </c>
      <c r="F315" s="4567" t="str">
        <f>Table4.B_2019!J21</f>
        <v>NO</v>
      </c>
      <c r="G315" s="4568" t="str">
        <f>Table4.B_2020!J21</f>
        <v>NA</v>
      </c>
      <c r="H315" s="4354"/>
      <c r="I315" s="4387" t="str">
        <f t="shared" si="22"/>
        <v>NO</v>
      </c>
      <c r="J315" s="4387" t="str">
        <f t="shared" si="22"/>
        <v>NO</v>
      </c>
      <c r="K315" s="4354"/>
      <c r="L315" s="4354"/>
      <c r="M315" s="4354"/>
    </row>
    <row r="316" spans="1:13" x14ac:dyDescent="0.25">
      <c r="A316" s="4354"/>
      <c r="B316" s="5095"/>
      <c r="C316" s="4601" t="s">
        <v>858</v>
      </c>
      <c r="D316" s="4556" t="str">
        <f t="shared" si="26"/>
        <v>NO</v>
      </c>
      <c r="E316" s="4602" t="str">
        <f>Table4.B_2018!J23</f>
        <v>NO</v>
      </c>
      <c r="F316" s="4567" t="str">
        <f>Table4.B_2019!J23</f>
        <v>NO</v>
      </c>
      <c r="G316" s="4568" t="str">
        <f>Table4.B_2020!J23</f>
        <v>NA</v>
      </c>
      <c r="H316" s="4354"/>
      <c r="I316" s="4387" t="str">
        <f t="shared" si="22"/>
        <v>NO</v>
      </c>
      <c r="J316" s="4387" t="str">
        <f t="shared" si="22"/>
        <v>NO</v>
      </c>
      <c r="K316" s="4354"/>
      <c r="L316" s="4354"/>
      <c r="M316" s="4354"/>
    </row>
    <row r="317" spans="1:13" x14ac:dyDescent="0.25">
      <c r="A317" s="4354"/>
      <c r="B317" s="5095"/>
      <c r="C317" s="4601" t="s">
        <v>857</v>
      </c>
      <c r="D317" s="4556" t="str">
        <f t="shared" si="26"/>
        <v>NA</v>
      </c>
      <c r="E317" s="4603" t="s">
        <v>799</v>
      </c>
      <c r="F317" s="4581" t="s">
        <v>799</v>
      </c>
      <c r="G317" s="4582" t="s">
        <v>799</v>
      </c>
      <c r="H317" s="4354"/>
      <c r="I317" s="4387" t="str">
        <f t="shared" si="22"/>
        <v>NO</v>
      </c>
      <c r="J317" s="4387" t="str">
        <f t="shared" si="22"/>
        <v>NO</v>
      </c>
      <c r="K317" s="4354"/>
      <c r="L317" s="4354"/>
      <c r="M317" s="4354"/>
    </row>
    <row r="318" spans="1:13" ht="15.75" thickBot="1" x14ac:dyDescent="0.3">
      <c r="A318" s="4354"/>
      <c r="B318" s="5096"/>
      <c r="C318" s="4604" t="s">
        <v>856</v>
      </c>
      <c r="D318" s="4556" t="str">
        <f t="shared" si="26"/>
        <v>NA</v>
      </c>
      <c r="E318" s="4605" t="s">
        <v>799</v>
      </c>
      <c r="F318" s="4584" t="s">
        <v>799</v>
      </c>
      <c r="G318" s="4585" t="s">
        <v>799</v>
      </c>
      <c r="H318" s="4354"/>
      <c r="I318" s="4387" t="str">
        <f t="shared" si="22"/>
        <v>NO</v>
      </c>
      <c r="J318" s="4387" t="str">
        <f t="shared" si="22"/>
        <v>NO</v>
      </c>
      <c r="K318" s="4354"/>
      <c r="L318" s="4354"/>
      <c r="M318" s="4354"/>
    </row>
    <row r="319" spans="1:13" ht="15.75" thickBot="1" x14ac:dyDescent="0.3">
      <c r="A319" s="4354"/>
      <c r="B319" s="5094" t="s">
        <v>810</v>
      </c>
      <c r="C319" s="4595" t="s">
        <v>865</v>
      </c>
      <c r="D319" s="4574" t="str">
        <f t="shared" si="24"/>
        <v/>
      </c>
      <c r="E319" s="4606"/>
      <c r="F319" s="4576"/>
      <c r="G319" s="4577"/>
      <c r="H319" s="4354"/>
      <c r="I319" s="4387" t="str">
        <f t="shared" si="22"/>
        <v>NO</v>
      </c>
      <c r="J319" s="4387" t="str">
        <f t="shared" si="22"/>
        <v>NO</v>
      </c>
      <c r="K319" s="4354"/>
      <c r="L319" s="4354"/>
      <c r="M319" s="4354"/>
    </row>
    <row r="320" spans="1:13" ht="15.75" thickBot="1" x14ac:dyDescent="0.3">
      <c r="A320" s="4354"/>
      <c r="B320" s="5095"/>
      <c r="C320" s="4595" t="s">
        <v>864</v>
      </c>
      <c r="D320" s="4587">
        <f>IF($D$3=$E$3,E320,IF($D$3=$F$3,F320,IF($D$3=$G$3,G320,"-")))</f>
        <v>-7.5945859439531302</v>
      </c>
      <c r="E320" s="4602">
        <f>Table4.B_2018!K12</f>
        <v>-7.5945859439531302</v>
      </c>
      <c r="F320" s="4567">
        <f>Table4.B_2019!K12</f>
        <v>-7.5515057820746998</v>
      </c>
      <c r="G320" s="4568">
        <f>Table4.B_2020!K12</f>
        <v>-7.53160072095024</v>
      </c>
      <c r="H320" s="4354"/>
      <c r="I320" s="4387">
        <f t="shared" si="22"/>
        <v>-5.672483292223615E-3</v>
      </c>
      <c r="J320" s="4387">
        <f t="shared" si="22"/>
        <v>-2.63590622835901E-3</v>
      </c>
      <c r="K320" s="4354"/>
      <c r="L320" s="4354"/>
      <c r="M320" s="4354"/>
    </row>
    <row r="321" spans="1:13" x14ac:dyDescent="0.25">
      <c r="A321" s="4354"/>
      <c r="B321" s="5095"/>
      <c r="C321" s="4599" t="s">
        <v>863</v>
      </c>
      <c r="D321" s="4586" t="str">
        <f t="shared" si="24"/>
        <v/>
      </c>
      <c r="E321" s="4600"/>
      <c r="F321" s="4562"/>
      <c r="G321" s="4563"/>
      <c r="H321" s="4354"/>
      <c r="I321" s="4387" t="str">
        <f t="shared" si="22"/>
        <v>NO</v>
      </c>
      <c r="J321" s="4387" t="str">
        <f t="shared" si="22"/>
        <v>NO</v>
      </c>
      <c r="K321" s="4354"/>
      <c r="L321" s="4354"/>
      <c r="M321" s="4354"/>
    </row>
    <row r="322" spans="1:13" x14ac:dyDescent="0.25">
      <c r="A322" s="4354"/>
      <c r="B322" s="5095"/>
      <c r="C322" s="4601" t="s">
        <v>862</v>
      </c>
      <c r="D322" s="4579" t="str">
        <f>IF($D$3=$E$3,E322,IF($D$3=$F$3,F322,IF($D$3=$G$3,G322,"-")))</f>
        <v>IE</v>
      </c>
      <c r="E322" s="4598" t="str">
        <f>Table4.B_2018!K15</f>
        <v>IE</v>
      </c>
      <c r="F322" s="4558" t="str">
        <f>Table4.B_2019!K15</f>
        <v>IE</v>
      </c>
      <c r="G322" s="4559" t="str">
        <f>Table4.B_2020!K15</f>
        <v>IE</v>
      </c>
      <c r="H322" s="4354"/>
      <c r="I322" s="4387" t="str">
        <f t="shared" si="22"/>
        <v>NO</v>
      </c>
      <c r="J322" s="4387" t="str">
        <f t="shared" si="22"/>
        <v>NO</v>
      </c>
      <c r="K322" s="4354"/>
      <c r="L322" s="4354"/>
      <c r="M322" s="4354"/>
    </row>
    <row r="323" spans="1:13" x14ac:dyDescent="0.25">
      <c r="A323" s="4354"/>
      <c r="B323" s="5095"/>
      <c r="C323" s="4601" t="s">
        <v>861</v>
      </c>
      <c r="D323" s="4579" t="str">
        <f t="shared" ref="D323:D328" si="27">IF($D$3=$E$3,E323,IF($D$3=$F$3,F323,IF($D$3=$G$3,G323,"-")))</f>
        <v>IE</v>
      </c>
      <c r="E323" s="4598" t="str">
        <f>Table4.B_2018!K17</f>
        <v>IE</v>
      </c>
      <c r="F323" s="4558" t="str">
        <f>Table4.B_2019!K17</f>
        <v>IE</v>
      </c>
      <c r="G323" s="4559" t="str">
        <f>Table4.B_2020!K17</f>
        <v>IE</v>
      </c>
      <c r="H323" s="4354"/>
      <c r="I323" s="4387" t="str">
        <f t="shared" si="22"/>
        <v>NO</v>
      </c>
      <c r="J323" s="4387" t="str">
        <f t="shared" si="22"/>
        <v>NO</v>
      </c>
      <c r="K323" s="4354"/>
      <c r="L323" s="4354"/>
      <c r="M323" s="4354"/>
    </row>
    <row r="324" spans="1:13" x14ac:dyDescent="0.25">
      <c r="A324" s="4354"/>
      <c r="B324" s="5095"/>
      <c r="C324" s="4601" t="s">
        <v>860</v>
      </c>
      <c r="D324" s="4579" t="str">
        <f t="shared" si="27"/>
        <v>IE</v>
      </c>
      <c r="E324" s="4598" t="str">
        <f>Table4.B_2018!K19</f>
        <v>IE</v>
      </c>
      <c r="F324" s="4558" t="str">
        <f>Table4.B_2019!K19</f>
        <v>IE</v>
      </c>
      <c r="G324" s="4559" t="str">
        <f>Table4.B_2020!K19</f>
        <v>IE</v>
      </c>
      <c r="H324" s="4354"/>
      <c r="I324" s="4387" t="str">
        <f t="shared" si="22"/>
        <v>NO</v>
      </c>
      <c r="J324" s="4387" t="str">
        <f t="shared" si="22"/>
        <v>NO</v>
      </c>
      <c r="K324" s="4354"/>
      <c r="L324" s="4354"/>
      <c r="M324" s="4354"/>
    </row>
    <row r="325" spans="1:13" x14ac:dyDescent="0.25">
      <c r="A325" s="4354"/>
      <c r="B325" s="5095"/>
      <c r="C325" s="4601" t="s">
        <v>859</v>
      </c>
      <c r="D325" s="4579" t="str">
        <f t="shared" si="27"/>
        <v>NO</v>
      </c>
      <c r="E325" s="4602" t="str">
        <f>Table4.B_2018!K21</f>
        <v>NO</v>
      </c>
      <c r="F325" s="4567" t="str">
        <f>Table4.B_2019!K21</f>
        <v>NO</v>
      </c>
      <c r="G325" s="4568" t="str">
        <f>Table4.B_2020!K21</f>
        <v>NA</v>
      </c>
      <c r="H325" s="4354"/>
      <c r="I325" s="4387" t="str">
        <f t="shared" si="22"/>
        <v>NO</v>
      </c>
      <c r="J325" s="4387" t="str">
        <f t="shared" si="22"/>
        <v>NO</v>
      </c>
      <c r="K325" s="4354"/>
      <c r="L325" s="4354"/>
      <c r="M325" s="4354"/>
    </row>
    <row r="326" spans="1:13" x14ac:dyDescent="0.25">
      <c r="A326" s="4354"/>
      <c r="B326" s="5095"/>
      <c r="C326" s="4601" t="s">
        <v>858</v>
      </c>
      <c r="D326" s="4579" t="str">
        <f t="shared" si="27"/>
        <v>NO</v>
      </c>
      <c r="E326" s="4602" t="str">
        <f>Table4.B_2018!K23</f>
        <v>NO</v>
      </c>
      <c r="F326" s="4567" t="str">
        <f>Table4.B_2019!K23</f>
        <v>NO</v>
      </c>
      <c r="G326" s="4568" t="str">
        <f>Table4.B_2020!K23</f>
        <v>NA</v>
      </c>
      <c r="H326" s="4354"/>
      <c r="I326" s="4387" t="str">
        <f t="shared" si="22"/>
        <v>NO</v>
      </c>
      <c r="J326" s="4387" t="str">
        <f t="shared" si="22"/>
        <v>NO</v>
      </c>
      <c r="K326" s="4354"/>
      <c r="L326" s="4354"/>
      <c r="M326" s="4354"/>
    </row>
    <row r="327" spans="1:13" x14ac:dyDescent="0.25">
      <c r="A327" s="4354"/>
      <c r="B327" s="5095"/>
      <c r="C327" s="4601" t="s">
        <v>857</v>
      </c>
      <c r="D327" s="4579" t="str">
        <f t="shared" si="27"/>
        <v>NA</v>
      </c>
      <c r="E327" s="4603" t="s">
        <v>799</v>
      </c>
      <c r="F327" s="4581" t="s">
        <v>799</v>
      </c>
      <c r="G327" s="4582" t="s">
        <v>799</v>
      </c>
      <c r="H327" s="4354"/>
      <c r="I327" s="4387" t="str">
        <f t="shared" si="22"/>
        <v>NO</v>
      </c>
      <c r="J327" s="4387" t="str">
        <f t="shared" si="22"/>
        <v>NO</v>
      </c>
      <c r="K327" s="4354"/>
      <c r="L327" s="4354"/>
      <c r="M327" s="4354"/>
    </row>
    <row r="328" spans="1:13" ht="15.75" thickBot="1" x14ac:dyDescent="0.3">
      <c r="A328" s="4354"/>
      <c r="B328" s="5096"/>
      <c r="C328" s="4604" t="s">
        <v>856</v>
      </c>
      <c r="D328" s="4588" t="str">
        <f t="shared" si="27"/>
        <v>NA</v>
      </c>
      <c r="E328" s="4605" t="s">
        <v>799</v>
      </c>
      <c r="F328" s="4584" t="s">
        <v>799</v>
      </c>
      <c r="G328" s="4585" t="s">
        <v>799</v>
      </c>
      <c r="H328" s="4354"/>
      <c r="I328" s="4387" t="str">
        <f t="shared" si="22"/>
        <v>NO</v>
      </c>
      <c r="J328" s="4387" t="str">
        <f t="shared" si="22"/>
        <v>NO</v>
      </c>
      <c r="K328" s="4354"/>
      <c r="L328" s="4354"/>
      <c r="M328" s="4354"/>
    </row>
    <row r="329" spans="1:13" x14ac:dyDescent="0.25">
      <c r="A329" s="4354"/>
      <c r="B329" s="4354"/>
      <c r="C329" s="4354"/>
      <c r="D329" s="4589" t="str">
        <f t="shared" si="24"/>
        <v/>
      </c>
      <c r="E329" s="4356"/>
      <c r="F329" s="4590"/>
      <c r="G329" s="4354"/>
      <c r="H329" s="4354"/>
      <c r="I329" s="4387" t="str">
        <f t="shared" si="22"/>
        <v>NO</v>
      </c>
      <c r="J329" s="4387" t="str">
        <f t="shared" si="22"/>
        <v>NO</v>
      </c>
      <c r="K329" s="4354"/>
      <c r="L329" s="4354"/>
      <c r="M329" s="4354"/>
    </row>
    <row r="330" spans="1:13" ht="14.45" customHeight="1" x14ac:dyDescent="0.25">
      <c r="A330" s="4354"/>
      <c r="B330" s="4402" t="s">
        <v>651</v>
      </c>
      <c r="C330" s="4354"/>
      <c r="D330" s="4591" t="str">
        <f t="shared" si="24"/>
        <v xml:space="preserve"> NIR 2020 (2018) CRF tabel 4B</v>
      </c>
      <c r="E330" s="4481" t="s">
        <v>5270</v>
      </c>
      <c r="F330" s="4481" t="s">
        <v>5271</v>
      </c>
      <c r="G330" s="4481" t="s">
        <v>5275</v>
      </c>
      <c r="H330" s="4354"/>
      <c r="I330" s="4387" t="str">
        <f t="shared" si="22"/>
        <v>NO</v>
      </c>
      <c r="J330" s="4387" t="str">
        <f t="shared" si="22"/>
        <v>NO</v>
      </c>
      <c r="K330" s="4354"/>
      <c r="L330" s="4354"/>
      <c r="M330" s="4354"/>
    </row>
    <row r="331" spans="1:13" ht="15.75" thickBot="1" x14ac:dyDescent="0.3">
      <c r="A331" s="4354"/>
      <c r="B331" s="4354"/>
      <c r="C331" s="4354"/>
      <c r="D331" s="4589" t="str">
        <f t="shared" si="24"/>
        <v/>
      </c>
      <c r="E331" s="4356"/>
      <c r="F331" s="4354"/>
      <c r="G331" s="4354"/>
      <c r="H331" s="4354"/>
      <c r="I331" s="4387" t="str">
        <f t="shared" si="22"/>
        <v>NO</v>
      </c>
      <c r="J331" s="4387" t="str">
        <f t="shared" si="22"/>
        <v>NO</v>
      </c>
      <c r="K331" s="4354"/>
      <c r="L331" s="4354"/>
      <c r="M331" s="4354"/>
    </row>
    <row r="332" spans="1:13" ht="15.75" thickBot="1" x14ac:dyDescent="0.3">
      <c r="A332" s="4354"/>
      <c r="B332" s="5097" t="s">
        <v>254</v>
      </c>
      <c r="C332" s="5098"/>
      <c r="D332" s="4593" t="str">
        <f t="shared" si="24"/>
        <v>ton C / ha</v>
      </c>
      <c r="E332" s="4594" t="s">
        <v>4776</v>
      </c>
      <c r="F332" s="4548" t="s">
        <v>4776</v>
      </c>
      <c r="G332" s="4549" t="s">
        <v>4776</v>
      </c>
      <c r="H332" s="4354"/>
      <c r="I332" s="4387" t="str">
        <f t="shared" si="22"/>
        <v>NO</v>
      </c>
      <c r="J332" s="4387" t="str">
        <f t="shared" si="22"/>
        <v>NO</v>
      </c>
      <c r="K332" s="4354"/>
      <c r="L332" s="4354"/>
      <c r="M332" s="4354"/>
    </row>
    <row r="333" spans="1:13" ht="15.75" thickBot="1" x14ac:dyDescent="0.3">
      <c r="A333" s="4354"/>
      <c r="B333" s="5094" t="s">
        <v>815</v>
      </c>
      <c r="C333" s="4607" t="s">
        <v>855</v>
      </c>
      <c r="D333" s="4551" t="str">
        <f t="shared" si="24"/>
        <v/>
      </c>
      <c r="E333" s="4596"/>
      <c r="F333" s="4596"/>
      <c r="G333" s="4554"/>
      <c r="H333" s="4354"/>
      <c r="I333" s="4387" t="str">
        <f t="shared" si="22"/>
        <v>NO</v>
      </c>
      <c r="J333" s="4387" t="str">
        <f t="shared" si="22"/>
        <v>NO</v>
      </c>
      <c r="K333" s="4354"/>
      <c r="L333" s="4354"/>
      <c r="M333" s="4354"/>
    </row>
    <row r="334" spans="1:13" ht="15.75" thickBot="1" x14ac:dyDescent="0.3">
      <c r="A334" s="4354"/>
      <c r="B334" s="5095"/>
      <c r="C334" s="4608" t="s">
        <v>854</v>
      </c>
      <c r="D334" s="4556">
        <f>IF($D$3=$E$3,E334,IF($D$3=$F$3,F334,IF($D$3=$G$3,G334,"-")))</f>
        <v>0.14583697996391001</v>
      </c>
      <c r="E334" s="4598">
        <f>Table4.C_2018!F12</f>
        <v>0.14583697996391001</v>
      </c>
      <c r="F334" s="4558">
        <f>Table4.C_2019!F12</f>
        <v>0.47685104897169001</v>
      </c>
      <c r="G334" s="4559">
        <f>Table4.C_2020!F12</f>
        <v>0.81012427838758005</v>
      </c>
      <c r="H334" s="4354"/>
      <c r="I334" s="4387">
        <f t="shared" si="22"/>
        <v>2.2697540026521077</v>
      </c>
      <c r="J334" s="4387">
        <f t="shared" si="22"/>
        <v>0.69890425979890425</v>
      </c>
      <c r="K334" s="4354"/>
      <c r="L334" s="4354"/>
      <c r="M334" s="4354"/>
    </row>
    <row r="335" spans="1:13" x14ac:dyDescent="0.25">
      <c r="A335" s="4354"/>
      <c r="B335" s="5095"/>
      <c r="C335" s="4609" t="s">
        <v>853</v>
      </c>
      <c r="D335" s="4586" t="str">
        <f t="shared" si="24"/>
        <v/>
      </c>
      <c r="E335" s="4600"/>
      <c r="F335" s="4562"/>
      <c r="G335" s="4563"/>
      <c r="H335" s="4354"/>
      <c r="I335" s="4387" t="str">
        <f t="shared" si="22"/>
        <v>NO</v>
      </c>
      <c r="J335" s="4387" t="str">
        <f t="shared" si="22"/>
        <v>NO</v>
      </c>
      <c r="K335" s="4354"/>
      <c r="L335" s="4354"/>
      <c r="M335" s="4354"/>
    </row>
    <row r="336" spans="1:13" x14ac:dyDescent="0.25">
      <c r="A336" s="4354"/>
      <c r="B336" s="5095"/>
      <c r="C336" s="4610" t="s">
        <v>852</v>
      </c>
      <c r="D336" s="4556">
        <f>IF($D$3=$E$3,E336,IF($D$3=$F$3,F336,IF($D$3=$G$3,G336,"-")))</f>
        <v>0.34181013905354002</v>
      </c>
      <c r="E336" s="4598">
        <f>Table4.C_2018!F15</f>
        <v>0.34181013905354002</v>
      </c>
      <c r="F336" s="4558">
        <f>Table4.C_2019!F15</f>
        <v>4.1055435325450002E-2</v>
      </c>
      <c r="G336" s="4559">
        <f>Table4.C_2020!F15</f>
        <v>0.13756222821253</v>
      </c>
      <c r="H336" s="4354"/>
      <c r="I336" s="4387">
        <f t="shared" si="22"/>
        <v>0.87988818752091136</v>
      </c>
      <c r="J336" s="4387">
        <f t="shared" si="22"/>
        <v>2.3506459527724473</v>
      </c>
      <c r="K336" s="4354"/>
      <c r="L336" s="4354"/>
      <c r="M336" s="4354"/>
    </row>
    <row r="337" spans="1:13" x14ac:dyDescent="0.25">
      <c r="A337" s="4354"/>
      <c r="B337" s="5095"/>
      <c r="C337" s="4610" t="s">
        <v>851</v>
      </c>
      <c r="D337" s="4556">
        <f t="shared" ref="D337:D342" si="28">IF($D$3=$E$3,E337,IF($D$3=$F$3,F337,IF($D$3=$G$3,G337,"-")))</f>
        <v>0.21192419666236001</v>
      </c>
      <c r="E337" s="4598">
        <f>Table4.C_2018!F17</f>
        <v>0.21192419666236001</v>
      </c>
      <c r="F337" s="4558">
        <f>Table4.C_2019!F17</f>
        <v>0.31177136667979999</v>
      </c>
      <c r="G337" s="4559">
        <f>Table4.C_2020!F17</f>
        <v>0.23148519481372001</v>
      </c>
      <c r="H337" s="4354"/>
      <c r="I337" s="4387">
        <f t="shared" si="22"/>
        <v>0.47114568128583073</v>
      </c>
      <c r="J337" s="4387">
        <f t="shared" si="22"/>
        <v>0.25751618155664902</v>
      </c>
      <c r="K337" s="4354"/>
      <c r="L337" s="4354"/>
      <c r="M337" s="4354"/>
    </row>
    <row r="338" spans="1:13" x14ac:dyDescent="0.25">
      <c r="A338" s="4354"/>
      <c r="B338" s="5095"/>
      <c r="C338" s="4610" t="s">
        <v>850</v>
      </c>
      <c r="D338" s="4556" t="str">
        <f t="shared" si="28"/>
        <v>NO</v>
      </c>
      <c r="E338" s="4598" t="str">
        <f>Table4.C_2018!F19</f>
        <v>NO</v>
      </c>
      <c r="F338" s="4558" t="str">
        <f>Table4.C_2019!F19</f>
        <v>NO</v>
      </c>
      <c r="G338" s="4559" t="str">
        <f>Table4.C_2020!F19</f>
        <v>NA</v>
      </c>
      <c r="H338" s="4354"/>
      <c r="I338" s="4387" t="str">
        <f t="shared" si="22"/>
        <v>NO</v>
      </c>
      <c r="J338" s="4387" t="str">
        <f t="shared" si="22"/>
        <v>NO</v>
      </c>
      <c r="K338" s="4354"/>
      <c r="L338" s="4354"/>
      <c r="M338" s="4354"/>
    </row>
    <row r="339" spans="1:13" x14ac:dyDescent="0.25">
      <c r="A339" s="4354"/>
      <c r="B339" s="5095"/>
      <c r="C339" s="4610" t="s">
        <v>849</v>
      </c>
      <c r="D339" s="4556" t="str">
        <f t="shared" si="28"/>
        <v>NO</v>
      </c>
      <c r="E339" s="4602" t="str">
        <f>Table4.C_2018!F21</f>
        <v>NO</v>
      </c>
      <c r="F339" s="4567" t="str">
        <f>Table4.C_2019!F21</f>
        <v>NO</v>
      </c>
      <c r="G339" s="4568" t="str">
        <f>Table4.C_2020!F21</f>
        <v>NA</v>
      </c>
      <c r="H339" s="4354"/>
      <c r="I339" s="4387" t="str">
        <f t="shared" si="22"/>
        <v>NO</v>
      </c>
      <c r="J339" s="4387" t="str">
        <f t="shared" si="22"/>
        <v>NO</v>
      </c>
      <c r="K339" s="4354"/>
      <c r="L339" s="4354"/>
      <c r="M339" s="4354"/>
    </row>
    <row r="340" spans="1:13" x14ac:dyDescent="0.25">
      <c r="A340" s="4354"/>
      <c r="B340" s="5095"/>
      <c r="C340" s="4610" t="s">
        <v>848</v>
      </c>
      <c r="D340" s="4556" t="str">
        <f t="shared" si="28"/>
        <v>NO</v>
      </c>
      <c r="E340" s="4602" t="str">
        <f>Table4.C_2018!F23</f>
        <v>NO</v>
      </c>
      <c r="F340" s="4567" t="str">
        <f>Table4.C_2019!F23</f>
        <v>NO</v>
      </c>
      <c r="G340" s="4568" t="str">
        <f>Table4.C_2020!F23</f>
        <v>NA</v>
      </c>
      <c r="H340" s="4354"/>
      <c r="I340" s="4387" t="str">
        <f t="shared" si="22"/>
        <v>NO</v>
      </c>
      <c r="J340" s="4387" t="str">
        <f t="shared" si="22"/>
        <v>NO</v>
      </c>
      <c r="K340" s="4354"/>
      <c r="L340" s="4354"/>
      <c r="M340" s="4354"/>
    </row>
    <row r="341" spans="1:13" x14ac:dyDescent="0.25">
      <c r="A341" s="4354"/>
      <c r="B341" s="5095"/>
      <c r="C341" s="4610" t="s">
        <v>847</v>
      </c>
      <c r="D341" s="4556" t="str">
        <f t="shared" si="28"/>
        <v>NA</v>
      </c>
      <c r="E341" s="4603" t="s">
        <v>799</v>
      </c>
      <c r="F341" s="4581" t="s">
        <v>799</v>
      </c>
      <c r="G341" s="4582" t="s">
        <v>799</v>
      </c>
      <c r="H341" s="4354"/>
      <c r="I341" s="4387" t="str">
        <f t="shared" si="22"/>
        <v>NO</v>
      </c>
      <c r="J341" s="4387" t="str">
        <f t="shared" si="22"/>
        <v>NO</v>
      </c>
      <c r="K341" s="4354"/>
      <c r="L341" s="4354"/>
      <c r="M341" s="4354"/>
    </row>
    <row r="342" spans="1:13" ht="15.75" thickBot="1" x14ac:dyDescent="0.3">
      <c r="A342" s="4354"/>
      <c r="B342" s="5096"/>
      <c r="C342" s="4611" t="s">
        <v>846</v>
      </c>
      <c r="D342" s="4556" t="str">
        <f t="shared" si="28"/>
        <v>NA</v>
      </c>
      <c r="E342" s="4605" t="s">
        <v>799</v>
      </c>
      <c r="F342" s="4584" t="s">
        <v>799</v>
      </c>
      <c r="G342" s="4585" t="s">
        <v>799</v>
      </c>
      <c r="H342" s="4354"/>
      <c r="I342" s="4387" t="str">
        <f t="shared" si="22"/>
        <v>NO</v>
      </c>
      <c r="J342" s="4387" t="str">
        <f t="shared" si="22"/>
        <v>NO</v>
      </c>
      <c r="K342" s="4354"/>
      <c r="L342" s="4354"/>
      <c r="M342" s="4354"/>
    </row>
    <row r="343" spans="1:13" ht="15.75" thickBot="1" x14ac:dyDescent="0.3">
      <c r="A343" s="4354"/>
      <c r="B343" s="5094" t="s">
        <v>814</v>
      </c>
      <c r="C343" s="4607" t="s">
        <v>855</v>
      </c>
      <c r="D343" s="4574" t="str">
        <f t="shared" si="24"/>
        <v/>
      </c>
      <c r="E343" s="4606"/>
      <c r="F343" s="4576"/>
      <c r="G343" s="4577"/>
      <c r="H343" s="4354"/>
      <c r="I343" s="4387" t="str">
        <f t="shared" si="22"/>
        <v>NO</v>
      </c>
      <c r="J343" s="4387" t="str">
        <f t="shared" si="22"/>
        <v>NO</v>
      </c>
      <c r="K343" s="4354"/>
      <c r="L343" s="4354"/>
      <c r="M343" s="4354"/>
    </row>
    <row r="344" spans="1:13" ht="15.75" thickBot="1" x14ac:dyDescent="0.3">
      <c r="A344" s="4354"/>
      <c r="B344" s="5095"/>
      <c r="C344" s="4608" t="s">
        <v>854</v>
      </c>
      <c r="D344" s="4587">
        <f>IF($D$3=$E$3,E344,IF($D$3=$F$3,F344,IF($D$3=$G$3,G344,"-")))</f>
        <v>-0.42244234340203002</v>
      </c>
      <c r="E344" s="4602">
        <f>Table4.C_2018!G12</f>
        <v>-0.42244234340203002</v>
      </c>
      <c r="F344" s="4567">
        <f>Table4.C_2019!G12</f>
        <v>-0.66844353489931996</v>
      </c>
      <c r="G344" s="4568">
        <f>Table4.C_2020!G12</f>
        <v>-1.25297687376028</v>
      </c>
      <c r="H344" s="4354"/>
      <c r="I344" s="4387">
        <f t="shared" si="22"/>
        <v>-0.58233080878252652</v>
      </c>
      <c r="J344" s="4387">
        <f t="shared" si="22"/>
        <v>-0.87446928325666529</v>
      </c>
      <c r="K344" s="4354"/>
      <c r="L344" s="4354"/>
      <c r="M344" s="4354"/>
    </row>
    <row r="345" spans="1:13" x14ac:dyDescent="0.25">
      <c r="A345" s="4354"/>
      <c r="B345" s="5095"/>
      <c r="C345" s="4609" t="s">
        <v>853</v>
      </c>
      <c r="D345" s="4586" t="str">
        <f t="shared" si="24"/>
        <v/>
      </c>
      <c r="E345" s="4600"/>
      <c r="F345" s="4562"/>
      <c r="G345" s="4563"/>
      <c r="H345" s="4354"/>
      <c r="I345" s="4387" t="str">
        <f t="shared" si="22"/>
        <v>NO</v>
      </c>
      <c r="J345" s="4387" t="str">
        <f t="shared" si="22"/>
        <v>NO</v>
      </c>
      <c r="K345" s="4354"/>
      <c r="L345" s="4354"/>
      <c r="M345" s="4354"/>
    </row>
    <row r="346" spans="1:13" x14ac:dyDescent="0.25">
      <c r="A346" s="4354"/>
      <c r="B346" s="5095"/>
      <c r="C346" s="4610" t="s">
        <v>852</v>
      </c>
      <c r="D346" s="4556">
        <f>IF($D$3=$E$3,E346,IF($D$3=$F$3,F346,IF($D$3=$G$3,G346,"-")))</f>
        <v>-1.5232191310562599</v>
      </c>
      <c r="E346" s="4598">
        <f>Table4.C_2018!G15</f>
        <v>-1.5232191310562599</v>
      </c>
      <c r="F346" s="4558">
        <f>Table4.C_2019!G15</f>
        <v>-9.7893019242400001E-2</v>
      </c>
      <c r="G346" s="4559">
        <f>Table4.C_2020!G15</f>
        <v>-0.50048537125911996</v>
      </c>
      <c r="H346" s="4354"/>
      <c r="I346" s="4387">
        <f t="shared" si="22"/>
        <v>-0.93573280610353349</v>
      </c>
      <c r="J346" s="4387">
        <f t="shared" si="22"/>
        <v>-4.1125746772589764</v>
      </c>
      <c r="K346" s="4354"/>
      <c r="L346" s="4354"/>
      <c r="M346" s="4354"/>
    </row>
    <row r="347" spans="1:13" x14ac:dyDescent="0.25">
      <c r="A347" s="4354"/>
      <c r="B347" s="5095"/>
      <c r="C347" s="4610" t="s">
        <v>851</v>
      </c>
      <c r="D347" s="4556">
        <f t="shared" ref="D347:D352" si="29">IF($D$3=$E$3,E347,IF($D$3=$F$3,F347,IF($D$3=$G$3,G347,"-")))</f>
        <v>-0.30103394092229002</v>
      </c>
      <c r="E347" s="4598">
        <f>Table4.C_2018!G17</f>
        <v>-0.30103394092229002</v>
      </c>
      <c r="F347" s="4558">
        <f>Table4.C_2019!G17</f>
        <v>-0.44286478209768998</v>
      </c>
      <c r="G347" s="4559">
        <f>Table4.C_2020!G17</f>
        <v>-0.32881993446537</v>
      </c>
      <c r="H347" s="4354"/>
      <c r="I347" s="4387">
        <f t="shared" ref="I347:J410" si="30">IFERROR(ABS(F347-E347)/E347,"NO")</f>
        <v>-0.47114568125064898</v>
      </c>
      <c r="J347" s="4387">
        <f t="shared" si="30"/>
        <v>-0.25751618155801614</v>
      </c>
      <c r="K347" s="4354"/>
      <c r="L347" s="4354"/>
      <c r="M347" s="4354"/>
    </row>
    <row r="348" spans="1:13" x14ac:dyDescent="0.25">
      <c r="A348" s="4354"/>
      <c r="B348" s="5095"/>
      <c r="C348" s="4610" t="s">
        <v>850</v>
      </c>
      <c r="D348" s="4556" t="str">
        <f t="shared" si="29"/>
        <v>NO</v>
      </c>
      <c r="E348" s="4598" t="str">
        <f>Table4.C_2018!G19</f>
        <v>NO</v>
      </c>
      <c r="F348" s="4558" t="str">
        <f>Table4.C_2019!G19</f>
        <v>NO</v>
      </c>
      <c r="G348" s="4559" t="str">
        <f>Table4.C_2020!G19</f>
        <v>NA</v>
      </c>
      <c r="H348" s="4354"/>
      <c r="I348" s="4387" t="str">
        <f t="shared" si="30"/>
        <v>NO</v>
      </c>
      <c r="J348" s="4387" t="str">
        <f t="shared" si="30"/>
        <v>NO</v>
      </c>
      <c r="K348" s="4354"/>
      <c r="L348" s="4354"/>
      <c r="M348" s="4354"/>
    </row>
    <row r="349" spans="1:13" x14ac:dyDescent="0.25">
      <c r="A349" s="4354"/>
      <c r="B349" s="5095"/>
      <c r="C349" s="4610" t="s">
        <v>849</v>
      </c>
      <c r="D349" s="4556" t="str">
        <f t="shared" si="29"/>
        <v>NO</v>
      </c>
      <c r="E349" s="4602" t="str">
        <f>Table4.C_2018!G21</f>
        <v>NO</v>
      </c>
      <c r="F349" s="4567" t="str">
        <f>Table4.C_2019!G21</f>
        <v>NO</v>
      </c>
      <c r="G349" s="4568" t="str">
        <f>Table4.C_2020!G21</f>
        <v>NA</v>
      </c>
      <c r="H349" s="4354"/>
      <c r="I349" s="4387" t="str">
        <f t="shared" si="30"/>
        <v>NO</v>
      </c>
      <c r="J349" s="4387" t="str">
        <f t="shared" si="30"/>
        <v>NO</v>
      </c>
      <c r="K349" s="4354"/>
      <c r="L349" s="4354"/>
      <c r="M349" s="4354"/>
    </row>
    <row r="350" spans="1:13" x14ac:dyDescent="0.25">
      <c r="A350" s="4354"/>
      <c r="B350" s="5095"/>
      <c r="C350" s="4610" t="s">
        <v>848</v>
      </c>
      <c r="D350" s="4556" t="str">
        <f t="shared" si="29"/>
        <v>NO</v>
      </c>
      <c r="E350" s="4602" t="str">
        <f>Table4.C_2018!G23</f>
        <v>NO</v>
      </c>
      <c r="F350" s="4567" t="str">
        <f>Table4.C_2019!G23</f>
        <v>NO</v>
      </c>
      <c r="G350" s="4568" t="str">
        <f>Table4.C_2020!G23</f>
        <v>NA</v>
      </c>
      <c r="H350" s="4354"/>
      <c r="I350" s="4387" t="str">
        <f t="shared" si="30"/>
        <v>NO</v>
      </c>
      <c r="J350" s="4387" t="str">
        <f t="shared" si="30"/>
        <v>NO</v>
      </c>
      <c r="K350" s="4354"/>
      <c r="L350" s="4354"/>
      <c r="M350" s="4354"/>
    </row>
    <row r="351" spans="1:13" x14ac:dyDescent="0.25">
      <c r="A351" s="4354"/>
      <c r="B351" s="5095"/>
      <c r="C351" s="4610" t="s">
        <v>847</v>
      </c>
      <c r="D351" s="4556" t="str">
        <f t="shared" si="29"/>
        <v>NA</v>
      </c>
      <c r="E351" s="4603" t="s">
        <v>799</v>
      </c>
      <c r="F351" s="4581" t="s">
        <v>799</v>
      </c>
      <c r="G351" s="4582" t="s">
        <v>799</v>
      </c>
      <c r="H351" s="4354"/>
      <c r="I351" s="4387" t="str">
        <f t="shared" si="30"/>
        <v>NO</v>
      </c>
      <c r="J351" s="4387" t="str">
        <f t="shared" si="30"/>
        <v>NO</v>
      </c>
      <c r="K351" s="4354"/>
      <c r="L351" s="4354"/>
      <c r="M351" s="4354"/>
    </row>
    <row r="352" spans="1:13" ht="15.75" thickBot="1" x14ac:dyDescent="0.3">
      <c r="A352" s="4354"/>
      <c r="B352" s="5096"/>
      <c r="C352" s="4611" t="s">
        <v>846</v>
      </c>
      <c r="D352" s="4556" t="str">
        <f t="shared" si="29"/>
        <v>NA</v>
      </c>
      <c r="E352" s="4605" t="s">
        <v>799</v>
      </c>
      <c r="F352" s="4584" t="s">
        <v>799</v>
      </c>
      <c r="G352" s="4585" t="s">
        <v>799</v>
      </c>
      <c r="H352" s="4354"/>
      <c r="I352" s="4387" t="str">
        <f t="shared" si="30"/>
        <v>NO</v>
      </c>
      <c r="J352" s="4387" t="str">
        <f t="shared" si="30"/>
        <v>NO</v>
      </c>
      <c r="K352" s="4354"/>
      <c r="L352" s="4354"/>
      <c r="M352" s="4354"/>
    </row>
    <row r="353" spans="1:13" ht="15.75" thickBot="1" x14ac:dyDescent="0.3">
      <c r="A353" s="4354"/>
      <c r="B353" s="5094" t="s">
        <v>813</v>
      </c>
      <c r="C353" s="4607" t="s">
        <v>855</v>
      </c>
      <c r="D353" s="4574" t="str">
        <f t="shared" si="24"/>
        <v/>
      </c>
      <c r="E353" s="4606"/>
      <c r="F353" s="4576"/>
      <c r="G353" s="4577"/>
      <c r="H353" s="4354"/>
      <c r="I353" s="4387" t="str">
        <f t="shared" si="30"/>
        <v>NO</v>
      </c>
      <c r="J353" s="4387" t="str">
        <f t="shared" si="30"/>
        <v>NO</v>
      </c>
      <c r="K353" s="4354"/>
      <c r="L353" s="4354"/>
      <c r="M353" s="4354"/>
    </row>
    <row r="354" spans="1:13" ht="15.75" thickBot="1" x14ac:dyDescent="0.3">
      <c r="A354" s="4354"/>
      <c r="B354" s="5095"/>
      <c r="C354" s="4608" t="s">
        <v>854</v>
      </c>
      <c r="D354" s="4587">
        <f>IF($D$3=$E$3,E354,IF($D$3=$F$3,F354,IF($D$3=$G$3,G354,"-")))</f>
        <v>-0.27660536343811998</v>
      </c>
      <c r="E354" s="4602">
        <f>Table4.C_2018!H12</f>
        <v>-0.27660536343811998</v>
      </c>
      <c r="F354" s="4567">
        <f>Table4.C_2019!H12</f>
        <v>-0.19159248592764</v>
      </c>
      <c r="G354" s="4568">
        <f>Table4.C_2020!H12</f>
        <v>-0.4428525953727</v>
      </c>
      <c r="H354" s="4354"/>
      <c r="I354" s="4387">
        <f t="shared" si="30"/>
        <v>-0.30734356143277897</v>
      </c>
      <c r="J354" s="4387">
        <f t="shared" si="30"/>
        <v>-1.3114298727767177</v>
      </c>
      <c r="K354" s="4354"/>
      <c r="L354" s="4354"/>
      <c r="M354" s="4354"/>
    </row>
    <row r="355" spans="1:13" x14ac:dyDescent="0.25">
      <c r="A355" s="4354"/>
      <c r="B355" s="5095"/>
      <c r="C355" s="4609" t="s">
        <v>853</v>
      </c>
      <c r="D355" s="4586" t="str">
        <f t="shared" si="24"/>
        <v/>
      </c>
      <c r="E355" s="4600"/>
      <c r="F355" s="4562"/>
      <c r="G355" s="4563"/>
      <c r="H355" s="4354"/>
      <c r="I355" s="4387" t="str">
        <f t="shared" si="30"/>
        <v>NO</v>
      </c>
      <c r="J355" s="4387" t="str">
        <f t="shared" si="30"/>
        <v>NO</v>
      </c>
      <c r="K355" s="4354"/>
      <c r="L355" s="4354"/>
      <c r="M355" s="4354"/>
    </row>
    <row r="356" spans="1:13" x14ac:dyDescent="0.25">
      <c r="A356" s="4354"/>
      <c r="B356" s="5095"/>
      <c r="C356" s="4610" t="s">
        <v>852</v>
      </c>
      <c r="D356" s="4556">
        <f>IF($D$3=$E$3,E356,IF($D$3=$F$3,F356,IF($D$3=$G$3,G356,"-")))</f>
        <v>-1.18140899200271</v>
      </c>
      <c r="E356" s="4598">
        <f>Table4.C_2018!H15</f>
        <v>-1.18140899200271</v>
      </c>
      <c r="F356" s="4558">
        <f>Table4.C_2019!H15</f>
        <v>-5.6837583916949999E-2</v>
      </c>
      <c r="G356" s="4559">
        <f>Table4.C_2020!H15</f>
        <v>-0.36292314304659001</v>
      </c>
      <c r="H356" s="4354"/>
      <c r="I356" s="4387">
        <f t="shared" si="30"/>
        <v>-0.95189000227550358</v>
      </c>
      <c r="J356" s="4387">
        <f t="shared" si="30"/>
        <v>-5.3852668962299042</v>
      </c>
      <c r="K356" s="4354"/>
      <c r="L356" s="4354"/>
      <c r="M356" s="4354"/>
    </row>
    <row r="357" spans="1:13" x14ac:dyDescent="0.25">
      <c r="A357" s="4354"/>
      <c r="B357" s="5095"/>
      <c r="C357" s="4610" t="s">
        <v>851</v>
      </c>
      <c r="D357" s="4556">
        <f t="shared" ref="D357:D362" si="31">IF($D$3=$E$3,E357,IF($D$3=$F$3,F357,IF($D$3=$G$3,G357,"-")))</f>
        <v>-8.9109744259929999E-2</v>
      </c>
      <c r="E357" s="4598">
        <f>Table4.C_2018!H17</f>
        <v>-8.9109744259929999E-2</v>
      </c>
      <c r="F357" s="4558">
        <f>Table4.C_2019!H17</f>
        <v>-0.13109341541788999</v>
      </c>
      <c r="G357" s="4559">
        <f>Table4.C_2020!H17</f>
        <v>-9.7334739651650001E-2</v>
      </c>
      <c r="H357" s="4354"/>
      <c r="I357" s="4387">
        <f t="shared" si="30"/>
        <v>-0.47114568116697875</v>
      </c>
      <c r="J357" s="4387">
        <f t="shared" si="30"/>
        <v>-0.25751618156126727</v>
      </c>
      <c r="K357" s="4354"/>
      <c r="L357" s="4354"/>
      <c r="M357" s="4354"/>
    </row>
    <row r="358" spans="1:13" x14ac:dyDescent="0.25">
      <c r="A358" s="4354"/>
      <c r="B358" s="5095"/>
      <c r="C358" s="4610" t="s">
        <v>850</v>
      </c>
      <c r="D358" s="4556" t="str">
        <f t="shared" si="31"/>
        <v>NO</v>
      </c>
      <c r="E358" s="4598" t="str">
        <f>Table4.C_2018!H19</f>
        <v>NO</v>
      </c>
      <c r="F358" s="4558" t="str">
        <f>Table4.C_2019!H19</f>
        <v>NO</v>
      </c>
      <c r="G358" s="4559" t="str">
        <f>Table4.C_2020!H19</f>
        <v>NA</v>
      </c>
      <c r="H358" s="4354"/>
      <c r="I358" s="4387" t="str">
        <f t="shared" si="30"/>
        <v>NO</v>
      </c>
      <c r="J358" s="4387" t="str">
        <f t="shared" si="30"/>
        <v>NO</v>
      </c>
      <c r="K358" s="4354"/>
      <c r="L358" s="4354"/>
      <c r="M358" s="4354"/>
    </row>
    <row r="359" spans="1:13" x14ac:dyDescent="0.25">
      <c r="A359" s="4354"/>
      <c r="B359" s="5095"/>
      <c r="C359" s="4610" t="s">
        <v>849</v>
      </c>
      <c r="D359" s="4556" t="str">
        <f t="shared" si="31"/>
        <v>NO</v>
      </c>
      <c r="E359" s="4602" t="str">
        <f>Table4.C_2018!H21</f>
        <v>NO</v>
      </c>
      <c r="F359" s="4567" t="str">
        <f>Table4.C_2019!H21</f>
        <v>NO</v>
      </c>
      <c r="G359" s="4568" t="str">
        <f>Table4.C_2020!H21</f>
        <v>NA</v>
      </c>
      <c r="H359" s="4354"/>
      <c r="I359" s="4387" t="str">
        <f t="shared" si="30"/>
        <v>NO</v>
      </c>
      <c r="J359" s="4387" t="str">
        <f t="shared" si="30"/>
        <v>NO</v>
      </c>
      <c r="K359" s="4354"/>
      <c r="L359" s="4354"/>
      <c r="M359" s="4354"/>
    </row>
    <row r="360" spans="1:13" x14ac:dyDescent="0.25">
      <c r="A360" s="4354"/>
      <c r="B360" s="5095"/>
      <c r="C360" s="4610" t="s">
        <v>848</v>
      </c>
      <c r="D360" s="4556" t="str">
        <f t="shared" si="31"/>
        <v>NO</v>
      </c>
      <c r="E360" s="4602" t="str">
        <f>Table4.C_2018!H23</f>
        <v>NO</v>
      </c>
      <c r="F360" s="4567" t="str">
        <f>Table4.C_2019!H23</f>
        <v>NO</v>
      </c>
      <c r="G360" s="4568" t="str">
        <f>Table4.C_2020!H23</f>
        <v>NA</v>
      </c>
      <c r="H360" s="4354"/>
      <c r="I360" s="4387" t="str">
        <f t="shared" si="30"/>
        <v>NO</v>
      </c>
      <c r="J360" s="4387" t="str">
        <f t="shared" si="30"/>
        <v>NO</v>
      </c>
      <c r="K360" s="4354"/>
      <c r="L360" s="4354"/>
      <c r="M360" s="4354"/>
    </row>
    <row r="361" spans="1:13" x14ac:dyDescent="0.25">
      <c r="A361" s="4354"/>
      <c r="B361" s="5095"/>
      <c r="C361" s="4610" t="s">
        <v>847</v>
      </c>
      <c r="D361" s="4556" t="str">
        <f t="shared" si="31"/>
        <v>NA</v>
      </c>
      <c r="E361" s="4603" t="s">
        <v>799</v>
      </c>
      <c r="F361" s="4581" t="s">
        <v>799</v>
      </c>
      <c r="G361" s="4582" t="s">
        <v>799</v>
      </c>
      <c r="H361" s="4354"/>
      <c r="I361" s="4387" t="str">
        <f t="shared" si="30"/>
        <v>NO</v>
      </c>
      <c r="J361" s="4387" t="str">
        <f t="shared" si="30"/>
        <v>NO</v>
      </c>
      <c r="K361" s="4354"/>
      <c r="L361" s="4354"/>
      <c r="M361" s="4354"/>
    </row>
    <row r="362" spans="1:13" ht="15.75" thickBot="1" x14ac:dyDescent="0.3">
      <c r="A362" s="4354"/>
      <c r="B362" s="5096"/>
      <c r="C362" s="4611" t="s">
        <v>846</v>
      </c>
      <c r="D362" s="4556" t="str">
        <f t="shared" si="31"/>
        <v>NA</v>
      </c>
      <c r="E362" s="4605" t="s">
        <v>799</v>
      </c>
      <c r="F362" s="4584" t="s">
        <v>799</v>
      </c>
      <c r="G362" s="4585" t="s">
        <v>799</v>
      </c>
      <c r="H362" s="4354"/>
      <c r="I362" s="4387" t="str">
        <f t="shared" si="30"/>
        <v>NO</v>
      </c>
      <c r="J362" s="4387" t="str">
        <f t="shared" si="30"/>
        <v>NO</v>
      </c>
      <c r="K362" s="4354"/>
      <c r="L362" s="4354"/>
      <c r="M362" s="4354"/>
    </row>
    <row r="363" spans="1:13" ht="15.75" thickBot="1" x14ac:dyDescent="0.3">
      <c r="A363" s="4354"/>
      <c r="B363" s="5094" t="s">
        <v>812</v>
      </c>
      <c r="C363" s="4607" t="s">
        <v>855</v>
      </c>
      <c r="D363" s="4574" t="str">
        <f t="shared" ref="D363:D424" si="32">""&amp;IF($D$3=$E$3,E363,IF($D$3=$F$3,F363,IF($D$3=$G$3,G363,"-")))</f>
        <v/>
      </c>
      <c r="E363" s="4606"/>
      <c r="F363" s="4576"/>
      <c r="G363" s="4577"/>
      <c r="H363" s="4354"/>
      <c r="I363" s="4387" t="str">
        <f t="shared" si="30"/>
        <v>NO</v>
      </c>
      <c r="J363" s="4387" t="str">
        <f t="shared" si="30"/>
        <v>NO</v>
      </c>
      <c r="K363" s="4354"/>
      <c r="L363" s="4354"/>
      <c r="M363" s="4354"/>
    </row>
    <row r="364" spans="1:13" ht="15.75" thickBot="1" x14ac:dyDescent="0.3">
      <c r="A364" s="4354"/>
      <c r="B364" s="5095"/>
      <c r="C364" s="4608" t="s">
        <v>854</v>
      </c>
      <c r="D364" s="4565" t="str">
        <f>IF($D$3=$E$3,E364,IF($D$3=$F$3,F364,IF($D$3=$G$3,G364,"-")))</f>
        <v>NO</v>
      </c>
      <c r="E364" s="4602" t="str">
        <f>Table4.C_2018!I12</f>
        <v>NO</v>
      </c>
      <c r="F364" s="4567" t="str">
        <f>Table4.C_2019!I12</f>
        <v>NO</v>
      </c>
      <c r="G364" s="4568" t="str">
        <f>Table4.C_2020!I12</f>
        <v>NA</v>
      </c>
      <c r="H364" s="4354"/>
      <c r="I364" s="4387" t="str">
        <f t="shared" si="30"/>
        <v>NO</v>
      </c>
      <c r="J364" s="4387" t="str">
        <f t="shared" si="30"/>
        <v>NO</v>
      </c>
      <c r="K364" s="4354"/>
      <c r="L364" s="4354"/>
      <c r="M364" s="4354"/>
    </row>
    <row r="365" spans="1:13" x14ac:dyDescent="0.25">
      <c r="A365" s="4354"/>
      <c r="B365" s="5095"/>
      <c r="C365" s="4609" t="s">
        <v>853</v>
      </c>
      <c r="D365" s="4586" t="str">
        <f t="shared" si="32"/>
        <v/>
      </c>
      <c r="E365" s="4600"/>
      <c r="F365" s="4562"/>
      <c r="G365" s="4563"/>
      <c r="H365" s="4354"/>
      <c r="I365" s="4387" t="str">
        <f t="shared" si="30"/>
        <v>NO</v>
      </c>
      <c r="J365" s="4387" t="str">
        <f t="shared" si="30"/>
        <v>NO</v>
      </c>
      <c r="K365" s="4354"/>
      <c r="L365" s="4354"/>
      <c r="M365" s="4354"/>
    </row>
    <row r="366" spans="1:13" x14ac:dyDescent="0.25">
      <c r="A366" s="4354"/>
      <c r="B366" s="5095"/>
      <c r="C366" s="4610" t="s">
        <v>852</v>
      </c>
      <c r="D366" s="4556">
        <f>IF($D$3=$E$3,E366,IF($D$3=$F$3,F366,IF($D$3=$G$3,G366,"-")))</f>
        <v>-1.4849684325350601</v>
      </c>
      <c r="E366" s="4598">
        <f>Table4.C_2018!I15</f>
        <v>-1.4849684325350601</v>
      </c>
      <c r="F366" s="4558">
        <f>Table4.C_2019!I15</f>
        <v>-0.18172036730723001</v>
      </c>
      <c r="G366" s="4559">
        <f>Table4.C_2020!I15</f>
        <v>-0.29629815983110003</v>
      </c>
      <c r="H366" s="4354"/>
      <c r="I366" s="4387">
        <f t="shared" si="30"/>
        <v>-0.87762678092960766</v>
      </c>
      <c r="J366" s="4387">
        <f t="shared" si="30"/>
        <v>-0.63051706433190424</v>
      </c>
      <c r="K366" s="4354"/>
      <c r="L366" s="4354"/>
      <c r="M366" s="4354"/>
    </row>
    <row r="367" spans="1:13" x14ac:dyDescent="0.25">
      <c r="A367" s="4354"/>
      <c r="B367" s="5095"/>
      <c r="C367" s="4610" t="s">
        <v>851</v>
      </c>
      <c r="D367" s="4579" t="str">
        <f t="shared" ref="D367:D372" si="33">IF($D$3=$E$3,E367,IF($D$3=$F$3,F367,IF($D$3=$G$3,G367,"-")))</f>
        <v>NO</v>
      </c>
      <c r="E367" s="4598" t="str">
        <f>Table4.C_2018!I17</f>
        <v>NO</v>
      </c>
      <c r="F367" s="4558" t="str">
        <f>Table4.C_2019!I17</f>
        <v>NO</v>
      </c>
      <c r="G367" s="4559" t="str">
        <f>Table4.C_2020!I17</f>
        <v>NA</v>
      </c>
      <c r="H367" s="4354"/>
      <c r="I367" s="4387" t="str">
        <f t="shared" si="30"/>
        <v>NO</v>
      </c>
      <c r="J367" s="4387" t="str">
        <f t="shared" si="30"/>
        <v>NO</v>
      </c>
      <c r="K367" s="4354"/>
      <c r="L367" s="4354"/>
      <c r="M367" s="4354"/>
    </row>
    <row r="368" spans="1:13" x14ac:dyDescent="0.25">
      <c r="A368" s="4354"/>
      <c r="B368" s="5095"/>
      <c r="C368" s="4610" t="s">
        <v>850</v>
      </c>
      <c r="D368" s="4579" t="str">
        <f t="shared" si="33"/>
        <v>NO</v>
      </c>
      <c r="E368" s="4598" t="str">
        <f>Table4.C_2018!I19</f>
        <v>NO</v>
      </c>
      <c r="F368" s="4558" t="str">
        <f>Table4.C_2019!I19</f>
        <v>NO</v>
      </c>
      <c r="G368" s="4559" t="str">
        <f>Table4.C_2020!I19</f>
        <v>NA</v>
      </c>
      <c r="H368" s="4354"/>
      <c r="I368" s="4387" t="str">
        <f t="shared" si="30"/>
        <v>NO</v>
      </c>
      <c r="J368" s="4387" t="str">
        <f t="shared" si="30"/>
        <v>NO</v>
      </c>
      <c r="K368" s="4354"/>
      <c r="L368" s="4354"/>
      <c r="M368" s="4354"/>
    </row>
    <row r="369" spans="1:13" x14ac:dyDescent="0.25">
      <c r="A369" s="4354"/>
      <c r="B369" s="5095"/>
      <c r="C369" s="4610" t="s">
        <v>849</v>
      </c>
      <c r="D369" s="4579" t="str">
        <f t="shared" si="33"/>
        <v>NO</v>
      </c>
      <c r="E369" s="4602" t="str">
        <f>Table4.C_2018!I21</f>
        <v>NO</v>
      </c>
      <c r="F369" s="4567" t="str">
        <f>Table4.C_2019!I21</f>
        <v>NO</v>
      </c>
      <c r="G369" s="4568" t="str">
        <f>Table4.C_2020!I21</f>
        <v>NA</v>
      </c>
      <c r="H369" s="4354"/>
      <c r="I369" s="4387" t="str">
        <f t="shared" si="30"/>
        <v>NO</v>
      </c>
      <c r="J369" s="4387" t="str">
        <f t="shared" si="30"/>
        <v>NO</v>
      </c>
      <c r="K369" s="4354"/>
      <c r="L369" s="4354"/>
      <c r="M369" s="4354"/>
    </row>
    <row r="370" spans="1:13" x14ac:dyDescent="0.25">
      <c r="A370" s="4354"/>
      <c r="B370" s="5095"/>
      <c r="C370" s="4610" t="s">
        <v>848</v>
      </c>
      <c r="D370" s="4579" t="str">
        <f t="shared" si="33"/>
        <v>NO</v>
      </c>
      <c r="E370" s="4602" t="str">
        <f>Table4.C_2018!I23</f>
        <v>NO</v>
      </c>
      <c r="F370" s="4567" t="str">
        <f>Table4.C_2019!I23</f>
        <v>NO</v>
      </c>
      <c r="G370" s="4568" t="str">
        <f>Table4.C_2020!I23</f>
        <v>NA</v>
      </c>
      <c r="H370" s="4354"/>
      <c r="I370" s="4387" t="str">
        <f t="shared" si="30"/>
        <v>NO</v>
      </c>
      <c r="J370" s="4387" t="str">
        <f t="shared" si="30"/>
        <v>NO</v>
      </c>
      <c r="K370" s="4354"/>
      <c r="L370" s="4354"/>
      <c r="M370" s="4354"/>
    </row>
    <row r="371" spans="1:13" x14ac:dyDescent="0.25">
      <c r="A371" s="4354"/>
      <c r="B371" s="5095"/>
      <c r="C371" s="4610" t="s">
        <v>847</v>
      </c>
      <c r="D371" s="4579" t="str">
        <f t="shared" si="33"/>
        <v>NA</v>
      </c>
      <c r="E371" s="4603" t="s">
        <v>799</v>
      </c>
      <c r="F371" s="4581" t="s">
        <v>799</v>
      </c>
      <c r="G371" s="4582" t="s">
        <v>799</v>
      </c>
      <c r="H371" s="4354"/>
      <c r="I371" s="4387" t="str">
        <f t="shared" si="30"/>
        <v>NO</v>
      </c>
      <c r="J371" s="4387" t="str">
        <f t="shared" si="30"/>
        <v>NO</v>
      </c>
      <c r="K371" s="4354"/>
      <c r="L371" s="4354"/>
      <c r="M371" s="4354"/>
    </row>
    <row r="372" spans="1:13" ht="15.75" thickBot="1" x14ac:dyDescent="0.3">
      <c r="A372" s="4354"/>
      <c r="B372" s="5096"/>
      <c r="C372" s="4611" t="s">
        <v>846</v>
      </c>
      <c r="D372" s="4579" t="str">
        <f t="shared" si="33"/>
        <v>NA</v>
      </c>
      <c r="E372" s="4605" t="s">
        <v>799</v>
      </c>
      <c r="F372" s="4584" t="s">
        <v>799</v>
      </c>
      <c r="G372" s="4585" t="s">
        <v>799</v>
      </c>
      <c r="H372" s="4354"/>
      <c r="I372" s="4387" t="str">
        <f t="shared" si="30"/>
        <v>NO</v>
      </c>
      <c r="J372" s="4387" t="str">
        <f t="shared" si="30"/>
        <v>NO</v>
      </c>
      <c r="K372" s="4354"/>
      <c r="L372" s="4354"/>
      <c r="M372" s="4354"/>
    </row>
    <row r="373" spans="1:13" ht="15.75" thickBot="1" x14ac:dyDescent="0.3">
      <c r="A373" s="4354"/>
      <c r="B373" s="5094" t="s">
        <v>811</v>
      </c>
      <c r="C373" s="4607" t="s">
        <v>855</v>
      </c>
      <c r="D373" s="4574" t="str">
        <f t="shared" si="32"/>
        <v/>
      </c>
      <c r="E373" s="4606"/>
      <c r="F373" s="4576"/>
      <c r="G373" s="4577"/>
      <c r="H373" s="4354"/>
      <c r="I373" s="4387" t="str">
        <f t="shared" si="30"/>
        <v>NO</v>
      </c>
      <c r="J373" s="4387" t="str">
        <f t="shared" si="30"/>
        <v>NO</v>
      </c>
      <c r="K373" s="4354"/>
      <c r="L373" s="4354"/>
      <c r="M373" s="4354"/>
    </row>
    <row r="374" spans="1:13" ht="15.75" thickBot="1" x14ac:dyDescent="0.3">
      <c r="A374" s="4354"/>
      <c r="B374" s="5095"/>
      <c r="C374" s="4608" t="s">
        <v>854</v>
      </c>
      <c r="D374" s="4565" t="str">
        <f>IF($D$3=$E$3,E374,IF($D$3=$F$3,F374,IF($D$3=$G$3,G374,"-")))</f>
        <v>IE</v>
      </c>
      <c r="E374" s="4602" t="str">
        <f>Table4.C_2018!J12</f>
        <v>IE</v>
      </c>
      <c r="F374" s="4567" t="str">
        <f>Table4.C_2019!J12</f>
        <v>IE</v>
      </c>
      <c r="G374" s="4568" t="str">
        <f>Table4.C_2020!J12</f>
        <v>IE</v>
      </c>
      <c r="H374" s="4354"/>
      <c r="I374" s="4387" t="str">
        <f t="shared" si="30"/>
        <v>NO</v>
      </c>
      <c r="J374" s="4387" t="str">
        <f t="shared" si="30"/>
        <v>NO</v>
      </c>
      <c r="K374" s="4354"/>
      <c r="L374" s="4354"/>
      <c r="M374" s="4354"/>
    </row>
    <row r="375" spans="1:13" x14ac:dyDescent="0.25">
      <c r="A375" s="4354"/>
      <c r="B375" s="5095"/>
      <c r="C375" s="4609" t="s">
        <v>853</v>
      </c>
      <c r="D375" s="4586" t="str">
        <f t="shared" si="32"/>
        <v/>
      </c>
      <c r="E375" s="4600"/>
      <c r="F375" s="4562"/>
      <c r="G375" s="4563"/>
      <c r="H375" s="4354"/>
      <c r="I375" s="4387" t="str">
        <f t="shared" si="30"/>
        <v>NO</v>
      </c>
      <c r="J375" s="4387" t="str">
        <f t="shared" si="30"/>
        <v>NO</v>
      </c>
      <c r="K375" s="4354"/>
      <c r="L375" s="4354"/>
      <c r="M375" s="4354"/>
    </row>
    <row r="376" spans="1:13" x14ac:dyDescent="0.25">
      <c r="A376" s="4354"/>
      <c r="B376" s="5095"/>
      <c r="C376" s="4610" t="s">
        <v>852</v>
      </c>
      <c r="D376" s="4556">
        <f>IF($D$3=$E$3,E376,IF($D$3=$F$3,F376,IF($D$3=$G$3,G376,"-")))</f>
        <v>0.22074730584020999</v>
      </c>
      <c r="E376" s="4598">
        <f>Table4.C_2018!J15</f>
        <v>0.22074730584020999</v>
      </c>
      <c r="F376" s="4558">
        <f>Table4.C_2019!J15</f>
        <v>0.19802294827854</v>
      </c>
      <c r="G376" s="4559">
        <f>Table4.C_2020!J15</f>
        <v>0.24059059677238001</v>
      </c>
      <c r="H376" s="4354"/>
      <c r="I376" s="4387">
        <f t="shared" si="30"/>
        <v>0.102942853482068</v>
      </c>
      <c r="J376" s="4387">
        <f t="shared" si="30"/>
        <v>0.21496320938502622</v>
      </c>
      <c r="K376" s="4354"/>
      <c r="L376" s="4354"/>
      <c r="M376" s="4354"/>
    </row>
    <row r="377" spans="1:13" x14ac:dyDescent="0.25">
      <c r="A377" s="4354"/>
      <c r="B377" s="5095"/>
      <c r="C377" s="4610" t="s">
        <v>851</v>
      </c>
      <c r="D377" s="4556" t="str">
        <f t="shared" ref="D377:D382" si="34">IF($D$3=$E$3,E377,IF($D$3=$F$3,F377,IF($D$3=$G$3,G377,"-")))</f>
        <v>IE</v>
      </c>
      <c r="E377" s="4598" t="str">
        <f>Table4.C_2018!J17</f>
        <v>IE</v>
      </c>
      <c r="F377" s="4558" t="str">
        <f>Table4.C_2019!J17</f>
        <v>IE</v>
      </c>
      <c r="G377" s="4559" t="str">
        <f>Table4.C_2020!J17</f>
        <v>IE</v>
      </c>
      <c r="H377" s="4354"/>
      <c r="I377" s="4387" t="str">
        <f t="shared" si="30"/>
        <v>NO</v>
      </c>
      <c r="J377" s="4387" t="str">
        <f t="shared" si="30"/>
        <v>NO</v>
      </c>
      <c r="K377" s="4354"/>
      <c r="L377" s="4354"/>
      <c r="M377" s="4354"/>
    </row>
    <row r="378" spans="1:13" x14ac:dyDescent="0.25">
      <c r="A378" s="4354"/>
      <c r="B378" s="5095"/>
      <c r="C378" s="4610" t="s">
        <v>850</v>
      </c>
      <c r="D378" s="4556" t="str">
        <f t="shared" si="34"/>
        <v>NO</v>
      </c>
      <c r="E378" s="4598" t="str">
        <f>Table4.C_2018!J19</f>
        <v>NO</v>
      </c>
      <c r="F378" s="4558">
        <f>Table4.C_2019!J19</f>
        <v>-1.06666666666667</v>
      </c>
      <c r="G378" s="4559">
        <f>Table4.C_2020!J19</f>
        <v>-1.06666666666667</v>
      </c>
      <c r="H378" s="4354"/>
      <c r="I378" s="4387" t="str">
        <f t="shared" si="30"/>
        <v>NO</v>
      </c>
      <c r="J378" s="4387">
        <f t="shared" si="30"/>
        <v>0</v>
      </c>
      <c r="K378" s="4354"/>
      <c r="L378" s="4354"/>
      <c r="M378" s="4354"/>
    </row>
    <row r="379" spans="1:13" x14ac:dyDescent="0.25">
      <c r="A379" s="4354"/>
      <c r="B379" s="5095"/>
      <c r="C379" s="4610" t="s">
        <v>849</v>
      </c>
      <c r="D379" s="4556" t="str">
        <f t="shared" si="34"/>
        <v>NO</v>
      </c>
      <c r="E379" s="4602" t="str">
        <f>Table4.C_2018!J21</f>
        <v>NO</v>
      </c>
      <c r="F379" s="4567" t="str">
        <f>Table4.C_2019!J21</f>
        <v>NO</v>
      </c>
      <c r="G379" s="4568" t="str">
        <f>Table4.C_2020!J21</f>
        <v>NA</v>
      </c>
      <c r="H379" s="4354"/>
      <c r="I379" s="4387" t="str">
        <f t="shared" si="30"/>
        <v>NO</v>
      </c>
      <c r="J379" s="4387" t="str">
        <f t="shared" si="30"/>
        <v>NO</v>
      </c>
      <c r="K379" s="4354"/>
      <c r="L379" s="4354"/>
      <c r="M379" s="4354"/>
    </row>
    <row r="380" spans="1:13" x14ac:dyDescent="0.25">
      <c r="A380" s="4354"/>
      <c r="B380" s="5095"/>
      <c r="C380" s="4610" t="s">
        <v>848</v>
      </c>
      <c r="D380" s="4556" t="str">
        <f t="shared" si="34"/>
        <v>NO</v>
      </c>
      <c r="E380" s="4602" t="str">
        <f>Table4.C_2018!J23</f>
        <v>NO</v>
      </c>
      <c r="F380" s="4567" t="str">
        <f>Table4.C_2019!J23</f>
        <v>NO</v>
      </c>
      <c r="G380" s="4568" t="str">
        <f>Table4.C_2020!J23</f>
        <v>NA</v>
      </c>
      <c r="H380" s="4354"/>
      <c r="I380" s="4387" t="str">
        <f t="shared" si="30"/>
        <v>NO</v>
      </c>
      <c r="J380" s="4387" t="str">
        <f t="shared" si="30"/>
        <v>NO</v>
      </c>
      <c r="K380" s="4354"/>
      <c r="L380" s="4354"/>
      <c r="M380" s="4354"/>
    </row>
    <row r="381" spans="1:13" x14ac:dyDescent="0.25">
      <c r="A381" s="4354"/>
      <c r="B381" s="5095"/>
      <c r="C381" s="4610" t="s">
        <v>847</v>
      </c>
      <c r="D381" s="4556" t="str">
        <f t="shared" si="34"/>
        <v>NA</v>
      </c>
      <c r="E381" s="4603" t="s">
        <v>799</v>
      </c>
      <c r="F381" s="4581" t="s">
        <v>799</v>
      </c>
      <c r="G381" s="4582" t="s">
        <v>799</v>
      </c>
      <c r="H381" s="4354"/>
      <c r="I381" s="4387" t="str">
        <f t="shared" si="30"/>
        <v>NO</v>
      </c>
      <c r="J381" s="4387" t="str">
        <f t="shared" si="30"/>
        <v>NO</v>
      </c>
      <c r="K381" s="4354"/>
      <c r="L381" s="4354"/>
      <c r="M381" s="4354"/>
    </row>
    <row r="382" spans="1:13" ht="15.75" thickBot="1" x14ac:dyDescent="0.3">
      <c r="A382" s="4354"/>
      <c r="B382" s="5096"/>
      <c r="C382" s="4611" t="s">
        <v>846</v>
      </c>
      <c r="D382" s="4556" t="str">
        <f t="shared" si="34"/>
        <v>NA</v>
      </c>
      <c r="E382" s="4605" t="s">
        <v>799</v>
      </c>
      <c r="F382" s="4584" t="s">
        <v>799</v>
      </c>
      <c r="G382" s="4585" t="s">
        <v>799</v>
      </c>
      <c r="H382" s="4354"/>
      <c r="I382" s="4387" t="str">
        <f t="shared" si="30"/>
        <v>NO</v>
      </c>
      <c r="J382" s="4387" t="str">
        <f t="shared" si="30"/>
        <v>NO</v>
      </c>
      <c r="K382" s="4354"/>
      <c r="L382" s="4354"/>
      <c r="M382" s="4354"/>
    </row>
    <row r="383" spans="1:13" ht="15.75" thickBot="1" x14ac:dyDescent="0.3">
      <c r="A383" s="4354"/>
      <c r="B383" s="5094" t="s">
        <v>810</v>
      </c>
      <c r="C383" s="4607" t="s">
        <v>855</v>
      </c>
      <c r="D383" s="4574" t="str">
        <f t="shared" si="32"/>
        <v/>
      </c>
      <c r="E383" s="4606"/>
      <c r="F383" s="4576"/>
      <c r="G383" s="4577"/>
      <c r="H383" s="4354"/>
      <c r="I383" s="4387" t="str">
        <f t="shared" si="30"/>
        <v>NO</v>
      </c>
      <c r="J383" s="4387" t="str">
        <f t="shared" si="30"/>
        <v>NO</v>
      </c>
      <c r="K383" s="4354"/>
      <c r="L383" s="4354"/>
      <c r="M383" s="4354"/>
    </row>
    <row r="384" spans="1:13" ht="15.75" thickBot="1" x14ac:dyDescent="0.3">
      <c r="A384" s="4354"/>
      <c r="B384" s="5095"/>
      <c r="C384" s="4608" t="s">
        <v>854</v>
      </c>
      <c r="D384" s="4565">
        <f>IF($D$3=$E$3,E384,IF($D$3=$F$3,F384,IF($D$3=$G$3,G384,"-")))</f>
        <v>-6.4588602016251704</v>
      </c>
      <c r="E384" s="4602">
        <f>Table4.C_2018!K12</f>
        <v>-6.4588602016251704</v>
      </c>
      <c r="F384" s="4567">
        <f>Table4.C_2019!K12</f>
        <v>-6.4178284247483797</v>
      </c>
      <c r="G384" s="4568">
        <f>Table4.C_2020!K12</f>
        <v>-6.4123739562642399</v>
      </c>
      <c r="H384" s="4354"/>
      <c r="I384" s="4387">
        <f t="shared" si="30"/>
        <v>-6.3527891293368374E-3</v>
      </c>
      <c r="J384" s="4387">
        <f t="shared" si="30"/>
        <v>-8.4989316060652157E-4</v>
      </c>
      <c r="K384" s="4354"/>
      <c r="L384" s="4354"/>
      <c r="M384" s="4354"/>
    </row>
    <row r="385" spans="1:13" x14ac:dyDescent="0.25">
      <c r="A385" s="4354"/>
      <c r="B385" s="5095"/>
      <c r="C385" s="4609" t="s">
        <v>853</v>
      </c>
      <c r="D385" s="4586" t="str">
        <f t="shared" si="32"/>
        <v/>
      </c>
      <c r="E385" s="4600"/>
      <c r="F385" s="4562"/>
      <c r="G385" s="4563"/>
      <c r="H385" s="4354"/>
      <c r="I385" s="4387" t="str">
        <f t="shared" si="30"/>
        <v>NO</v>
      </c>
      <c r="J385" s="4387" t="str">
        <f t="shared" si="30"/>
        <v>NO</v>
      </c>
      <c r="K385" s="4354"/>
      <c r="L385" s="4354"/>
      <c r="M385" s="4354"/>
    </row>
    <row r="386" spans="1:13" x14ac:dyDescent="0.25">
      <c r="A386" s="4354"/>
      <c r="B386" s="5095"/>
      <c r="C386" s="4610" t="s">
        <v>852</v>
      </c>
      <c r="D386" s="4579">
        <f>IF($D$3=$E$3,E386,IF($D$3=$F$3,F386,IF($D$3=$G$3,G386,"-")))</f>
        <v>-8.9397128076417598</v>
      </c>
      <c r="E386" s="4598">
        <f>Table4.C_2018!K15</f>
        <v>-8.9397128076417598</v>
      </c>
      <c r="F386" s="4558">
        <f>Table4.C_2019!K15</f>
        <v>-10.408344278869309</v>
      </c>
      <c r="G386" s="4559">
        <f>Table4.C_2020!K15</f>
        <v>-9.6515456653804907</v>
      </c>
      <c r="H386" s="4354"/>
      <c r="I386" s="4387">
        <f t="shared" si="30"/>
        <v>-0.16428172837634653</v>
      </c>
      <c r="J386" s="4387">
        <f t="shared" si="30"/>
        <v>-7.2710759099816405E-2</v>
      </c>
      <c r="K386" s="4354"/>
      <c r="L386" s="4354"/>
      <c r="M386" s="4354"/>
    </row>
    <row r="387" spans="1:13" x14ac:dyDescent="0.25">
      <c r="A387" s="4354"/>
      <c r="B387" s="5095"/>
      <c r="C387" s="4610" t="s">
        <v>851</v>
      </c>
      <c r="D387" s="4579" t="str">
        <f t="shared" ref="D387:D392" si="35">IF($D$3=$E$3,E387,IF($D$3=$F$3,F387,IF($D$3=$G$3,G387,"-")))</f>
        <v>IE</v>
      </c>
      <c r="E387" s="4598" t="str">
        <f>Table4.C_2018!K17</f>
        <v>IE</v>
      </c>
      <c r="F387" s="4558" t="str">
        <f>Table4.C_2019!K17</f>
        <v>IE</v>
      </c>
      <c r="G387" s="4559" t="str">
        <f>Table4.C_2020!K17</f>
        <v>IE</v>
      </c>
      <c r="H387" s="4354"/>
      <c r="I387" s="4387" t="str">
        <f t="shared" si="30"/>
        <v>NO</v>
      </c>
      <c r="J387" s="4387" t="str">
        <f t="shared" si="30"/>
        <v>NO</v>
      </c>
      <c r="K387" s="4354"/>
      <c r="L387" s="4354"/>
      <c r="M387" s="4354"/>
    </row>
    <row r="388" spans="1:13" x14ac:dyDescent="0.25">
      <c r="A388" s="4354"/>
      <c r="B388" s="5095"/>
      <c r="C388" s="4610" t="s">
        <v>850</v>
      </c>
      <c r="D388" s="4579" t="str">
        <f t="shared" si="35"/>
        <v>NO</v>
      </c>
      <c r="E388" s="4598" t="str">
        <f>Table4.C_2018!K19</f>
        <v>NO</v>
      </c>
      <c r="F388" s="4558" t="str">
        <f>Table4.C_2019!K19</f>
        <v>NO</v>
      </c>
      <c r="G388" s="4559" t="str">
        <f>Table4.C_2020!K19</f>
        <v>NA</v>
      </c>
      <c r="H388" s="4354"/>
      <c r="I388" s="4387" t="str">
        <f t="shared" si="30"/>
        <v>NO</v>
      </c>
      <c r="J388" s="4387" t="str">
        <f t="shared" si="30"/>
        <v>NO</v>
      </c>
      <c r="K388" s="4354"/>
      <c r="L388" s="4354"/>
      <c r="M388" s="4354"/>
    </row>
    <row r="389" spans="1:13" x14ac:dyDescent="0.25">
      <c r="A389" s="4354"/>
      <c r="B389" s="5095"/>
      <c r="C389" s="4610" t="s">
        <v>849</v>
      </c>
      <c r="D389" s="4579" t="str">
        <f t="shared" si="35"/>
        <v>NO</v>
      </c>
      <c r="E389" s="4602" t="str">
        <f>Table4.C_2018!K21</f>
        <v>NO</v>
      </c>
      <c r="F389" s="4567" t="str">
        <f>Table4.C_2019!K21</f>
        <v>NO</v>
      </c>
      <c r="G389" s="4568" t="str">
        <f>Table4.C_2020!K21</f>
        <v>NA</v>
      </c>
      <c r="H389" s="4354"/>
      <c r="I389" s="4387" t="str">
        <f t="shared" si="30"/>
        <v>NO</v>
      </c>
      <c r="J389" s="4387" t="str">
        <f t="shared" si="30"/>
        <v>NO</v>
      </c>
      <c r="K389" s="4354"/>
      <c r="L389" s="4354"/>
      <c r="M389" s="4354"/>
    </row>
    <row r="390" spans="1:13" x14ac:dyDescent="0.25">
      <c r="A390" s="4354"/>
      <c r="B390" s="5095"/>
      <c r="C390" s="4610" t="s">
        <v>848</v>
      </c>
      <c r="D390" s="4579" t="str">
        <f t="shared" si="35"/>
        <v>NO</v>
      </c>
      <c r="E390" s="4602" t="str">
        <f>Table4.C_2018!K23</f>
        <v>NO</v>
      </c>
      <c r="F390" s="4567" t="str">
        <f>Table4.C_2019!K23</f>
        <v>NO</v>
      </c>
      <c r="G390" s="4568" t="str">
        <f>Table4.C_2020!K23</f>
        <v>NA</v>
      </c>
      <c r="H390" s="4354"/>
      <c r="I390" s="4387" t="str">
        <f t="shared" si="30"/>
        <v>NO</v>
      </c>
      <c r="J390" s="4387" t="str">
        <f t="shared" si="30"/>
        <v>NO</v>
      </c>
      <c r="K390" s="4354"/>
      <c r="L390" s="4354"/>
      <c r="M390" s="4354"/>
    </row>
    <row r="391" spans="1:13" x14ac:dyDescent="0.25">
      <c r="A391" s="4354"/>
      <c r="B391" s="5095"/>
      <c r="C391" s="4610" t="s">
        <v>847</v>
      </c>
      <c r="D391" s="4579" t="str">
        <f t="shared" si="35"/>
        <v>NA</v>
      </c>
      <c r="E391" s="4603" t="s">
        <v>799</v>
      </c>
      <c r="F391" s="4581" t="s">
        <v>799</v>
      </c>
      <c r="G391" s="4582" t="s">
        <v>799</v>
      </c>
      <c r="H391" s="4354"/>
      <c r="I391" s="4387" t="str">
        <f t="shared" si="30"/>
        <v>NO</v>
      </c>
      <c r="J391" s="4387" t="str">
        <f t="shared" si="30"/>
        <v>NO</v>
      </c>
      <c r="K391" s="4354"/>
      <c r="L391" s="4354"/>
      <c r="M391" s="4354"/>
    </row>
    <row r="392" spans="1:13" ht="15.75" thickBot="1" x14ac:dyDescent="0.3">
      <c r="A392" s="4354"/>
      <c r="B392" s="5096"/>
      <c r="C392" s="4611" t="s">
        <v>846</v>
      </c>
      <c r="D392" s="4588" t="str">
        <f t="shared" si="35"/>
        <v>NA</v>
      </c>
      <c r="E392" s="4605" t="s">
        <v>799</v>
      </c>
      <c r="F392" s="4584" t="s">
        <v>799</v>
      </c>
      <c r="G392" s="4585" t="s">
        <v>799</v>
      </c>
      <c r="H392" s="4354"/>
      <c r="I392" s="4387" t="str">
        <f t="shared" si="30"/>
        <v>NO</v>
      </c>
      <c r="J392" s="4387" t="str">
        <f t="shared" si="30"/>
        <v>NO</v>
      </c>
      <c r="K392" s="4354"/>
      <c r="L392" s="4354"/>
      <c r="M392" s="4354"/>
    </row>
    <row r="393" spans="1:13" x14ac:dyDescent="0.25">
      <c r="A393" s="4354"/>
      <c r="B393" s="4354"/>
      <c r="C393" s="4354"/>
      <c r="D393" s="4589" t="str">
        <f t="shared" si="32"/>
        <v/>
      </c>
      <c r="E393" s="4356"/>
      <c r="F393" s="4590"/>
      <c r="G393" s="4354"/>
      <c r="H393" s="4354"/>
      <c r="I393" s="4387" t="str">
        <f t="shared" si="30"/>
        <v>NO</v>
      </c>
      <c r="J393" s="4387" t="str">
        <f t="shared" si="30"/>
        <v>NO</v>
      </c>
      <c r="K393" s="4354"/>
      <c r="L393" s="4354"/>
      <c r="M393" s="4354"/>
    </row>
    <row r="394" spans="1:13" ht="14.45" customHeight="1" x14ac:dyDescent="0.25">
      <c r="A394" s="4354"/>
      <c r="B394" s="4402" t="s">
        <v>651</v>
      </c>
      <c r="C394" s="4354"/>
      <c r="D394" s="4591" t="str">
        <f t="shared" si="32"/>
        <v xml:space="preserve"> NIR 2020 (2018) CRF tabel 4D</v>
      </c>
      <c r="E394" s="4481" t="s">
        <v>5272</v>
      </c>
      <c r="F394" s="4481" t="s">
        <v>5273</v>
      </c>
      <c r="G394" s="4481" t="s">
        <v>5274</v>
      </c>
      <c r="H394" s="4354"/>
      <c r="I394" s="4387" t="str">
        <f t="shared" si="30"/>
        <v>NO</v>
      </c>
      <c r="J394" s="4387" t="str">
        <f t="shared" si="30"/>
        <v>NO</v>
      </c>
      <c r="K394" s="4354"/>
      <c r="L394" s="4354"/>
      <c r="M394" s="4354"/>
    </row>
    <row r="395" spans="1:13" ht="15.75" thickBot="1" x14ac:dyDescent="0.3">
      <c r="A395" s="4354"/>
      <c r="B395" s="4354"/>
      <c r="C395" s="4354"/>
      <c r="D395" s="4612" t="str">
        <f t="shared" si="32"/>
        <v/>
      </c>
      <c r="E395" s="4613"/>
      <c r="F395" s="4614"/>
      <c r="G395" s="4615"/>
      <c r="H395" s="4354"/>
      <c r="I395" s="4387" t="str">
        <f t="shared" si="30"/>
        <v>NO</v>
      </c>
      <c r="J395" s="4387" t="str">
        <f t="shared" si="30"/>
        <v>NO</v>
      </c>
      <c r="K395" s="4354"/>
      <c r="L395" s="4354"/>
      <c r="M395" s="4354"/>
    </row>
    <row r="396" spans="1:13" ht="15.75" thickBot="1" x14ac:dyDescent="0.3">
      <c r="A396" s="4354"/>
      <c r="B396" s="5097" t="s">
        <v>845</v>
      </c>
      <c r="C396" s="5098"/>
      <c r="D396" s="4593" t="str">
        <f t="shared" si="32"/>
        <v>ton C / ha</v>
      </c>
      <c r="E396" s="4594" t="s">
        <v>4776</v>
      </c>
      <c r="F396" s="4548" t="s">
        <v>4776</v>
      </c>
      <c r="G396" s="4549" t="s">
        <v>4776</v>
      </c>
      <c r="H396" s="4354"/>
      <c r="I396" s="4387" t="str">
        <f t="shared" si="30"/>
        <v>NO</v>
      </c>
      <c r="J396" s="4387" t="str">
        <f t="shared" si="30"/>
        <v>NO</v>
      </c>
      <c r="K396" s="4354"/>
      <c r="L396" s="4354"/>
      <c r="M396" s="4354"/>
    </row>
    <row r="397" spans="1:13" ht="15.75" thickBot="1" x14ac:dyDescent="0.3">
      <c r="A397" s="4354"/>
      <c r="B397" s="5094" t="s">
        <v>815</v>
      </c>
      <c r="C397" s="4595" t="s">
        <v>841</v>
      </c>
      <c r="D397" s="4616" t="str">
        <f t="shared" si="32"/>
        <v>´</v>
      </c>
      <c r="E397" s="4617" t="s">
        <v>844</v>
      </c>
      <c r="F397" s="4597" t="s">
        <v>844</v>
      </c>
      <c r="G397" s="4618" t="s">
        <v>844</v>
      </c>
      <c r="H397" s="4354"/>
      <c r="I397" s="4387" t="str">
        <f t="shared" si="30"/>
        <v>NO</v>
      </c>
      <c r="J397" s="4387" t="str">
        <f t="shared" si="30"/>
        <v>NO</v>
      </c>
      <c r="K397" s="4354"/>
      <c r="L397" s="4354"/>
      <c r="M397" s="4354"/>
    </row>
    <row r="398" spans="1:13" x14ac:dyDescent="0.25">
      <c r="A398" s="4354"/>
      <c r="B398" s="5095"/>
      <c r="C398" s="4619" t="s">
        <v>840</v>
      </c>
      <c r="D398" s="4579" t="str">
        <f t="shared" si="32"/>
        <v>NO</v>
      </c>
      <c r="E398" s="4598" t="str">
        <f>Table4.D_2018!F11</f>
        <v>NO</v>
      </c>
      <c r="F398" s="4558" t="str">
        <f>Table4.D_2019!F11</f>
        <v>NO</v>
      </c>
      <c r="G398" s="4559" t="str">
        <f>Table4.D_2020!F11</f>
        <v>NA</v>
      </c>
      <c r="H398" s="4354"/>
      <c r="I398" s="4387" t="str">
        <f t="shared" si="30"/>
        <v>NO</v>
      </c>
      <c r="J398" s="4387" t="str">
        <f t="shared" si="30"/>
        <v>NO</v>
      </c>
      <c r="K398" s="4354"/>
      <c r="L398" s="4354"/>
      <c r="M398" s="4354"/>
    </row>
    <row r="399" spans="1:13" x14ac:dyDescent="0.25">
      <c r="A399" s="4354"/>
      <c r="B399" s="5095"/>
      <c r="C399" s="4620" t="s">
        <v>839</v>
      </c>
      <c r="D399" s="4565" t="str">
        <f t="shared" si="32"/>
        <v>NO</v>
      </c>
      <c r="E399" s="4602" t="str">
        <f>Table4.D_2018!F13</f>
        <v>NO</v>
      </c>
      <c r="F399" s="4567" t="str">
        <f>Table4.D_2019!F13</f>
        <v>NO</v>
      </c>
      <c r="G399" s="4568" t="str">
        <f>Table4.D_2020!F13</f>
        <v>NA</v>
      </c>
      <c r="H399" s="4354"/>
      <c r="I399" s="4387" t="str">
        <f t="shared" si="30"/>
        <v>NO</v>
      </c>
      <c r="J399" s="4387" t="str">
        <f t="shared" si="30"/>
        <v>NO</v>
      </c>
      <c r="K399" s="4354"/>
      <c r="L399" s="4354"/>
      <c r="M399" s="4354"/>
    </row>
    <row r="400" spans="1:13" x14ac:dyDescent="0.25">
      <c r="A400" s="4354"/>
      <c r="B400" s="5095"/>
      <c r="C400" s="4620" t="s">
        <v>838</v>
      </c>
      <c r="D400" s="4565" t="str">
        <f t="shared" si="32"/>
        <v>NO</v>
      </c>
      <c r="E400" s="4602" t="str">
        <f>Table4.D_2018!F15</f>
        <v>NO</v>
      </c>
      <c r="F400" s="4567" t="str">
        <f>Table4.D_2019!F15</f>
        <v>NO</v>
      </c>
      <c r="G400" s="4568" t="str">
        <f>Table4.D_2020!F15</f>
        <v>NA</v>
      </c>
      <c r="H400" s="4354"/>
      <c r="I400" s="4387" t="str">
        <f t="shared" si="30"/>
        <v>NO</v>
      </c>
      <c r="J400" s="4387" t="str">
        <f t="shared" si="30"/>
        <v>NO</v>
      </c>
      <c r="K400" s="4354"/>
      <c r="L400" s="4354"/>
      <c r="M400" s="4354"/>
    </row>
    <row r="401" spans="1:13" ht="15.75" thickBot="1" x14ac:dyDescent="0.3">
      <c r="A401" s="4354"/>
      <c r="B401" s="5095"/>
      <c r="C401" s="4621" t="s">
        <v>837</v>
      </c>
      <c r="D401" s="4565" t="str">
        <f t="shared" si="32"/>
        <v>NO</v>
      </c>
      <c r="E401" s="4602" t="str">
        <f>Table4.D_2018!F17</f>
        <v>NO</v>
      </c>
      <c r="F401" s="4567" t="str">
        <f>Table4.D_2019!F17</f>
        <v>NO</v>
      </c>
      <c r="G401" s="4568" t="str">
        <f>Table4.D_2020!F17</f>
        <v>NA</v>
      </c>
      <c r="H401" s="4354"/>
      <c r="I401" s="4387" t="str">
        <f t="shared" si="30"/>
        <v>NO</v>
      </c>
      <c r="J401" s="4387" t="str">
        <f t="shared" si="30"/>
        <v>NO</v>
      </c>
      <c r="K401" s="4354"/>
      <c r="L401" s="4354"/>
      <c r="M401" s="4354"/>
    </row>
    <row r="402" spans="1:13" ht="15.75" thickBot="1" x14ac:dyDescent="0.3">
      <c r="A402" s="4354"/>
      <c r="B402" s="5095"/>
      <c r="C402" s="4622"/>
      <c r="D402" s="4623" t="str">
        <f t="shared" si="32"/>
        <v/>
      </c>
      <c r="E402" s="4624"/>
      <c r="F402" s="4625"/>
      <c r="G402" s="4626"/>
      <c r="H402" s="4354"/>
      <c r="I402" s="4387" t="str">
        <f t="shared" si="30"/>
        <v>NO</v>
      </c>
      <c r="J402" s="4387" t="str">
        <f t="shared" si="30"/>
        <v>NO</v>
      </c>
      <c r="K402" s="4354"/>
      <c r="L402" s="4354"/>
      <c r="M402" s="4354"/>
    </row>
    <row r="403" spans="1:13" x14ac:dyDescent="0.25">
      <c r="A403" s="4354"/>
      <c r="B403" s="5095"/>
      <c r="C403" s="4619" t="s">
        <v>836</v>
      </c>
      <c r="D403" s="4565" t="str">
        <f t="shared" si="32"/>
        <v>NO</v>
      </c>
      <c r="E403" s="4602" t="str">
        <f>Table4.D_2018!F22</f>
        <v>NO</v>
      </c>
      <c r="F403" s="4567" t="str">
        <f>Table4.D_2019!F22</f>
        <v>NO</v>
      </c>
      <c r="G403" s="4568" t="str">
        <f>Table4.D_2020!F22</f>
        <v>NA</v>
      </c>
      <c r="H403" s="4354"/>
      <c r="I403" s="4387" t="str">
        <f t="shared" si="30"/>
        <v>NO</v>
      </c>
      <c r="J403" s="4387" t="str">
        <f t="shared" si="30"/>
        <v>NO</v>
      </c>
      <c r="K403" s="4354"/>
      <c r="L403" s="4354"/>
      <c r="M403" s="4354"/>
    </row>
    <row r="404" spans="1:13" x14ac:dyDescent="0.25">
      <c r="A404" s="4354"/>
      <c r="B404" s="5095"/>
      <c r="C404" s="4620" t="s">
        <v>835</v>
      </c>
      <c r="D404" s="4587" t="str">
        <f>IF($D$3=$E$3,E404,IF($D$3=$F$3,F404,IF($D$3=$G$3,G404,"-")))</f>
        <v>NO</v>
      </c>
      <c r="E404" s="4602" t="str">
        <f>Table4.D_2018!F19</f>
        <v>NO</v>
      </c>
      <c r="F404" s="4567" t="str">
        <f>Table4.D_2019!F19</f>
        <v>NO</v>
      </c>
      <c r="G404" s="4568" t="str">
        <f>Table4.D_2020!F19</f>
        <v>NA</v>
      </c>
      <c r="H404" s="4354"/>
      <c r="I404" s="4387" t="str">
        <f t="shared" si="30"/>
        <v>NO</v>
      </c>
      <c r="J404" s="4387" t="str">
        <f t="shared" si="30"/>
        <v>NO</v>
      </c>
      <c r="K404" s="4354"/>
      <c r="L404" s="4354"/>
      <c r="M404" s="4354"/>
    </row>
    <row r="405" spans="1:13" x14ac:dyDescent="0.25">
      <c r="A405" s="4354"/>
      <c r="B405" s="5095"/>
      <c r="C405" s="4620" t="s">
        <v>834</v>
      </c>
      <c r="D405" s="4565" t="str">
        <f t="shared" ref="D405:D407" si="36">IF($D$3=$E$3,E405,IF($D$3=$F$3,F405,IF($D$3=$G$3,G405,"-")))</f>
        <v>NO</v>
      </c>
      <c r="E405" s="4602" t="str">
        <f>Table4.D_2018!F23</f>
        <v>NO</v>
      </c>
      <c r="F405" s="4567" t="str">
        <f>Table4.D_2019!F23</f>
        <v>NO</v>
      </c>
      <c r="G405" s="4568" t="str">
        <f>Table4.D_2020!F23</f>
        <v>NA</v>
      </c>
      <c r="H405" s="4354"/>
      <c r="I405" s="4387" t="str">
        <f t="shared" si="30"/>
        <v>NO</v>
      </c>
      <c r="J405" s="4387" t="str">
        <f t="shared" si="30"/>
        <v>NO</v>
      </c>
      <c r="K405" s="4354"/>
      <c r="L405" s="4354"/>
      <c r="M405" s="4354"/>
    </row>
    <row r="406" spans="1:13" x14ac:dyDescent="0.25">
      <c r="A406" s="4354"/>
      <c r="B406" s="5095"/>
      <c r="C406" s="4620" t="s">
        <v>833</v>
      </c>
      <c r="D406" s="4565" t="str">
        <f t="shared" si="36"/>
        <v>NO</v>
      </c>
      <c r="E406" s="4627" t="str">
        <f>Table4.D_2018!F25</f>
        <v>NO</v>
      </c>
      <c r="F406" s="4628" t="str">
        <f>Table4.D_2019!F25</f>
        <v>NO</v>
      </c>
      <c r="G406" s="4629" t="str">
        <f>Table4.D_2020!F25</f>
        <v>NA</v>
      </c>
      <c r="H406" s="4354"/>
      <c r="I406" s="4387" t="str">
        <f t="shared" si="30"/>
        <v>NO</v>
      </c>
      <c r="J406" s="4387" t="str">
        <f t="shared" si="30"/>
        <v>NO</v>
      </c>
      <c r="K406" s="4354"/>
      <c r="L406" s="4354"/>
      <c r="M406" s="4354"/>
    </row>
    <row r="407" spans="1:13" ht="15.75" thickBot="1" x14ac:dyDescent="0.3">
      <c r="A407" s="4354"/>
      <c r="B407" s="5095"/>
      <c r="C407" s="4621" t="s">
        <v>832</v>
      </c>
      <c r="D407" s="4565" t="str">
        <f t="shared" si="36"/>
        <v>NO</v>
      </c>
      <c r="E407" s="4627" t="str">
        <f>Table4.D_2018!F27</f>
        <v>NO</v>
      </c>
      <c r="F407" s="4628" t="str">
        <f>Table4.D_2019!F27</f>
        <v>NO</v>
      </c>
      <c r="G407" s="4629" t="str">
        <f>Table4.D_2020!F27</f>
        <v>NA</v>
      </c>
      <c r="H407" s="4354"/>
      <c r="I407" s="4387" t="str">
        <f t="shared" si="30"/>
        <v>NO</v>
      </c>
      <c r="J407" s="4387" t="str">
        <f t="shared" si="30"/>
        <v>NO</v>
      </c>
      <c r="K407" s="4354"/>
      <c r="L407" s="4354"/>
      <c r="M407" s="4354"/>
    </row>
    <row r="408" spans="1:13" ht="15.75" thickBot="1" x14ac:dyDescent="0.3">
      <c r="A408" s="4354"/>
      <c r="B408" s="5095"/>
      <c r="C408" s="4622"/>
      <c r="D408" s="4623" t="str">
        <f t="shared" si="32"/>
        <v/>
      </c>
      <c r="E408" s="4630"/>
      <c r="F408" s="4631"/>
      <c r="G408" s="4632"/>
      <c r="H408" s="4354"/>
      <c r="I408" s="4387" t="str">
        <f t="shared" si="30"/>
        <v>NO</v>
      </c>
      <c r="J408" s="4387" t="str">
        <f t="shared" si="30"/>
        <v>NO</v>
      </c>
      <c r="K408" s="4354"/>
      <c r="L408" s="4354"/>
      <c r="M408" s="4354"/>
    </row>
    <row r="409" spans="1:13" ht="17.25" x14ac:dyDescent="0.25">
      <c r="A409" s="4354"/>
      <c r="B409" s="5095"/>
      <c r="C409" s="4619" t="s">
        <v>831</v>
      </c>
      <c r="D409" s="4587" t="str">
        <f>IF($D$3=$E$3,E409,IF($D$3=$F$3,F409,IF($D$3=$G$3,G409,"-")))</f>
        <v>NO</v>
      </c>
      <c r="E409" s="4627" t="str">
        <f>Table4.D_2018!F28</f>
        <v>NO</v>
      </c>
      <c r="F409" s="4628">
        <f>Table4.D_2019!F28</f>
        <v>0.35225581785108001</v>
      </c>
      <c r="G409" s="4629">
        <f>Table4.D_2020!F28</f>
        <v>0.38446149768007998</v>
      </c>
      <c r="H409" s="4354"/>
      <c r="I409" s="4387" t="str">
        <f t="shared" si="30"/>
        <v>NO</v>
      </c>
      <c r="J409" s="4387">
        <f t="shared" si="30"/>
        <v>9.1426963578541284E-2</v>
      </c>
      <c r="K409" s="4354"/>
      <c r="L409" s="4354"/>
      <c r="M409" s="4354"/>
    </row>
    <row r="410" spans="1:13" x14ac:dyDescent="0.25">
      <c r="A410" s="4354"/>
      <c r="B410" s="5095"/>
      <c r="C410" s="4620" t="s">
        <v>830</v>
      </c>
      <c r="D410" s="4587" t="str">
        <f t="shared" ref="D410:D412" si="37">IF($D$3=$E$3,E410,IF($D$3=$F$3,F410,IF($D$3=$G$3,G410,"-")))</f>
        <v>NO</v>
      </c>
      <c r="E410" s="4627" t="str">
        <f>Table4.D_2018!F29</f>
        <v>NO</v>
      </c>
      <c r="F410" s="4628">
        <f>Table4.D_2019!F29</f>
        <v>0.27662633943887999</v>
      </c>
      <c r="G410" s="4629">
        <f>Table4.D_2020!F29</f>
        <v>0.31771338752721001</v>
      </c>
      <c r="H410" s="4354"/>
      <c r="I410" s="4387" t="str">
        <f t="shared" si="30"/>
        <v>NO</v>
      </c>
      <c r="J410" s="4387">
        <f t="shared" si="30"/>
        <v>0.14852905248167131</v>
      </c>
      <c r="K410" s="4354"/>
      <c r="L410" s="4354"/>
      <c r="M410" s="4354"/>
    </row>
    <row r="411" spans="1:13" x14ac:dyDescent="0.25">
      <c r="A411" s="4354"/>
      <c r="B411" s="5095"/>
      <c r="C411" s="4620" t="s">
        <v>829</v>
      </c>
      <c r="D411" s="4587" t="str">
        <f t="shared" si="37"/>
        <v>NO</v>
      </c>
      <c r="E411" s="4627" t="str">
        <f>Table4.D_2018!F31</f>
        <v>NO</v>
      </c>
      <c r="F411" s="4628">
        <f>Table4.D_2019!F31</f>
        <v>0.54788832624488004</v>
      </c>
      <c r="G411" s="4629">
        <f>Table4.D_2020!F31</f>
        <v>0.48284984647155998</v>
      </c>
      <c r="H411" s="4354"/>
      <c r="I411" s="4387" t="str">
        <f t="shared" ref="I411:J474" si="38">IFERROR(ABS(F411-E411)/E411,"NO")</f>
        <v>NO</v>
      </c>
      <c r="J411" s="4387">
        <f t="shared" si="38"/>
        <v>0.11870754797621103</v>
      </c>
      <c r="K411" s="4354"/>
      <c r="L411" s="4354"/>
      <c r="M411" s="4354"/>
    </row>
    <row r="412" spans="1:13" ht="15.75" thickBot="1" x14ac:dyDescent="0.3">
      <c r="A412" s="4354"/>
      <c r="B412" s="5096"/>
      <c r="C412" s="4621" t="s">
        <v>828</v>
      </c>
      <c r="D412" s="4587" t="str">
        <f t="shared" si="37"/>
        <v>NO</v>
      </c>
      <c r="E412" s="4633" t="str">
        <f>Table4.D_2018!F33</f>
        <v>NO</v>
      </c>
      <c r="F412" s="4572">
        <f>Table4.D_2019!F33</f>
        <v>0.16199988402734</v>
      </c>
      <c r="G412" s="4573">
        <f>Table4.D_2020!F33</f>
        <v>0.28671386760612</v>
      </c>
      <c r="H412" s="4354"/>
      <c r="I412" s="4387" t="str">
        <f t="shared" si="38"/>
        <v>NO</v>
      </c>
      <c r="J412" s="4387">
        <f t="shared" si="38"/>
        <v>0.7698399559207868</v>
      </c>
      <c r="K412" s="4354"/>
      <c r="L412" s="4354"/>
      <c r="M412" s="4354"/>
    </row>
    <row r="413" spans="1:13" ht="15.75" thickBot="1" x14ac:dyDescent="0.3">
      <c r="A413" s="4354"/>
      <c r="B413" s="5094" t="s">
        <v>843</v>
      </c>
      <c r="C413" s="4595" t="s">
        <v>841</v>
      </c>
      <c r="D413" s="4616" t="str">
        <f t="shared" si="32"/>
        <v/>
      </c>
      <c r="E413" s="4617"/>
      <c r="F413" s="4597"/>
      <c r="G413" s="4618"/>
      <c r="H413" s="4354"/>
      <c r="I413" s="4387" t="str">
        <f t="shared" si="38"/>
        <v>NO</v>
      </c>
      <c r="J413" s="4387" t="str">
        <f t="shared" si="38"/>
        <v>NO</v>
      </c>
      <c r="K413" s="4354"/>
      <c r="L413" s="4354"/>
      <c r="M413" s="4354"/>
    </row>
    <row r="414" spans="1:13" x14ac:dyDescent="0.25">
      <c r="A414" s="4354"/>
      <c r="B414" s="5095"/>
      <c r="C414" s="4619" t="s">
        <v>840</v>
      </c>
      <c r="D414" s="4565" t="str">
        <f t="shared" si="32"/>
        <v>NO</v>
      </c>
      <c r="E414" s="4602" t="str">
        <f>Table4.D_2018!G11</f>
        <v>NO</v>
      </c>
      <c r="F414" s="4567" t="str">
        <f>Table4.D_2019!G11</f>
        <v>NO</v>
      </c>
      <c r="G414" s="4568" t="str">
        <f>Table4.D_2020!G11</f>
        <v>NA</v>
      </c>
      <c r="H414" s="4354"/>
      <c r="I414" s="4387" t="str">
        <f t="shared" si="38"/>
        <v>NO</v>
      </c>
      <c r="J414" s="4387" t="str">
        <f t="shared" si="38"/>
        <v>NO</v>
      </c>
      <c r="K414" s="4354"/>
      <c r="L414" s="4354"/>
      <c r="M414" s="4354"/>
    </row>
    <row r="415" spans="1:13" x14ac:dyDescent="0.25">
      <c r="A415" s="4354"/>
      <c r="B415" s="5095"/>
      <c r="C415" s="4620" t="s">
        <v>839</v>
      </c>
      <c r="D415" s="4565" t="str">
        <f t="shared" si="32"/>
        <v>NO</v>
      </c>
      <c r="E415" s="4602" t="str">
        <f>Table4.D_2018!G13</f>
        <v>NO</v>
      </c>
      <c r="F415" s="4567" t="str">
        <f>Table4.D_2019!G13</f>
        <v>NO</v>
      </c>
      <c r="G415" s="4568" t="str">
        <f>Table4.D_2020!G13</f>
        <v>NA</v>
      </c>
      <c r="H415" s="4354"/>
      <c r="I415" s="4387" t="str">
        <f t="shared" si="38"/>
        <v>NO</v>
      </c>
      <c r="J415" s="4387" t="str">
        <f t="shared" si="38"/>
        <v>NO</v>
      </c>
      <c r="K415" s="4354"/>
      <c r="L415" s="4354"/>
      <c r="M415" s="4354"/>
    </row>
    <row r="416" spans="1:13" x14ac:dyDescent="0.25">
      <c r="A416" s="4354"/>
      <c r="B416" s="5095"/>
      <c r="C416" s="4620" t="s">
        <v>838</v>
      </c>
      <c r="D416" s="4565" t="str">
        <f t="shared" si="32"/>
        <v>NO</v>
      </c>
      <c r="E416" s="4602" t="str">
        <f>Table4.D_2018!G15</f>
        <v>NO</v>
      </c>
      <c r="F416" s="4567" t="str">
        <f>Table4.D_2019!G15</f>
        <v>NO</v>
      </c>
      <c r="G416" s="4568" t="str">
        <f>Table4.D_2020!G15</f>
        <v>NA</v>
      </c>
      <c r="H416" s="4354"/>
      <c r="I416" s="4387" t="str">
        <f t="shared" si="38"/>
        <v>NO</v>
      </c>
      <c r="J416" s="4387" t="str">
        <f t="shared" si="38"/>
        <v>NO</v>
      </c>
      <c r="K416" s="4354"/>
      <c r="L416" s="4354"/>
      <c r="M416" s="4354"/>
    </row>
    <row r="417" spans="1:13" ht="15.75" thickBot="1" x14ac:dyDescent="0.3">
      <c r="A417" s="4354"/>
      <c r="B417" s="5095"/>
      <c r="C417" s="4621" t="s">
        <v>837</v>
      </c>
      <c r="D417" s="4565" t="str">
        <f t="shared" si="32"/>
        <v>NO</v>
      </c>
      <c r="E417" s="4602" t="str">
        <f>Table4.D_2018!G17</f>
        <v>NO</v>
      </c>
      <c r="F417" s="4567" t="str">
        <f>Table4.D_2019!G17</f>
        <v>NO</v>
      </c>
      <c r="G417" s="4568" t="str">
        <f>Table4.D_2020!G17</f>
        <v>NA</v>
      </c>
      <c r="H417" s="4354"/>
      <c r="I417" s="4387" t="str">
        <f t="shared" si="38"/>
        <v>NO</v>
      </c>
      <c r="J417" s="4387" t="str">
        <f t="shared" si="38"/>
        <v>NO</v>
      </c>
      <c r="K417" s="4354"/>
      <c r="L417" s="4354"/>
      <c r="M417" s="4354"/>
    </row>
    <row r="418" spans="1:13" ht="15.75" thickBot="1" x14ac:dyDescent="0.3">
      <c r="A418" s="4354"/>
      <c r="B418" s="5095"/>
      <c r="C418" s="4622"/>
      <c r="D418" s="4623" t="str">
        <f t="shared" si="32"/>
        <v/>
      </c>
      <c r="E418" s="4624"/>
      <c r="F418" s="4625"/>
      <c r="G418" s="4626"/>
      <c r="H418" s="4354"/>
      <c r="I418" s="4387" t="str">
        <f t="shared" si="38"/>
        <v>NO</v>
      </c>
      <c r="J418" s="4387" t="str">
        <f t="shared" si="38"/>
        <v>NO</v>
      </c>
      <c r="K418" s="4354"/>
      <c r="L418" s="4354"/>
      <c r="M418" s="4354"/>
    </row>
    <row r="419" spans="1:13" x14ac:dyDescent="0.25">
      <c r="A419" s="4354"/>
      <c r="B419" s="5095"/>
      <c r="C419" s="4619" t="s">
        <v>836</v>
      </c>
      <c r="D419" s="4587" t="str">
        <f>IF($D$3=$E$3,E419,IF($D$3=$F$3,F419,IF($D$3=$G$3,G419,"-")))</f>
        <v>NO</v>
      </c>
      <c r="E419" s="4602" t="str">
        <f>Table4.D_2018!G21</f>
        <v>NO</v>
      </c>
      <c r="F419" s="4567">
        <f>Table4.D_2019!G21</f>
        <v>-1.0140144698417499</v>
      </c>
      <c r="G419" s="4568">
        <f>Table4.D_2020!G21</f>
        <v>-1.93437412473071</v>
      </c>
      <c r="H419" s="4354"/>
      <c r="I419" s="4387" t="str">
        <f t="shared" si="38"/>
        <v>NO</v>
      </c>
      <c r="J419" s="4387">
        <f t="shared" si="38"/>
        <v>-0.90763956754245734</v>
      </c>
      <c r="K419" s="4354"/>
      <c r="L419" s="4354"/>
      <c r="M419" s="4354"/>
    </row>
    <row r="420" spans="1:13" x14ac:dyDescent="0.25">
      <c r="A420" s="4354"/>
      <c r="B420" s="5095"/>
      <c r="C420" s="4620" t="s">
        <v>835</v>
      </c>
      <c r="D420" s="4587" t="str">
        <f t="shared" ref="D420:D423" si="39">IF($D$3=$E$3,E420,IF($D$3=$F$3,F420,IF($D$3=$G$3,G420,"-")))</f>
        <v>NO</v>
      </c>
      <c r="E420" s="4602" t="str">
        <f>Table4.D_2018!G20</f>
        <v>NO</v>
      </c>
      <c r="F420" s="4567" t="str">
        <f>Table4.D_2019!G20</f>
        <v>NO</v>
      </c>
      <c r="G420" s="4568" t="str">
        <f>Table4.D_2020!G20</f>
        <v>NA</v>
      </c>
      <c r="H420" s="4354"/>
      <c r="I420" s="4387" t="str">
        <f t="shared" si="38"/>
        <v>NO</v>
      </c>
      <c r="J420" s="4387" t="str">
        <f t="shared" si="38"/>
        <v>NO</v>
      </c>
      <c r="K420" s="4354"/>
      <c r="L420" s="4354"/>
      <c r="M420" s="4354"/>
    </row>
    <row r="421" spans="1:13" x14ac:dyDescent="0.25">
      <c r="A421" s="4354"/>
      <c r="B421" s="5095"/>
      <c r="C421" s="4620" t="s">
        <v>834</v>
      </c>
      <c r="D421" s="4587" t="str">
        <f t="shared" si="39"/>
        <v>NO</v>
      </c>
      <c r="E421" s="4602" t="str">
        <f>Table4.D_2018!G22</f>
        <v>NO</v>
      </c>
      <c r="F421" s="4567">
        <f>Table4.D_2019!G22</f>
        <v>-2.5665427509497198</v>
      </c>
      <c r="G421" s="4568">
        <f>Table4.D_2020!G22</f>
        <v>-30.135187202052421</v>
      </c>
      <c r="H421" s="4354"/>
      <c r="I421" s="4387" t="str">
        <f t="shared" si="38"/>
        <v>NO</v>
      </c>
      <c r="J421" s="4387">
        <f t="shared" si="38"/>
        <v>-10.741548895260459</v>
      </c>
      <c r="K421" s="4354"/>
      <c r="L421" s="4354"/>
      <c r="M421" s="4354"/>
    </row>
    <row r="422" spans="1:13" x14ac:dyDescent="0.25">
      <c r="A422" s="4354"/>
      <c r="B422" s="5095"/>
      <c r="C422" s="4620" t="s">
        <v>833</v>
      </c>
      <c r="D422" s="4587" t="str">
        <f t="shared" si="39"/>
        <v>NO</v>
      </c>
      <c r="E422" s="4627" t="str">
        <f>Table4.D_2018!G24</f>
        <v>NO</v>
      </c>
      <c r="F422" s="4628">
        <f>Table4.D_2019!G24</f>
        <v>-0.23653062818921</v>
      </c>
      <c r="G422" s="4629">
        <f>Table4.D_2020!G24</f>
        <v>-0.73183203744416003</v>
      </c>
      <c r="H422" s="4354"/>
      <c r="I422" s="4387" t="str">
        <f t="shared" si="38"/>
        <v>NO</v>
      </c>
      <c r="J422" s="4387">
        <f t="shared" si="38"/>
        <v>-2.0940265243735761</v>
      </c>
      <c r="K422" s="4354"/>
      <c r="L422" s="4354"/>
      <c r="M422" s="4354"/>
    </row>
    <row r="423" spans="1:13" ht="15.75" thickBot="1" x14ac:dyDescent="0.3">
      <c r="A423" s="4354"/>
      <c r="B423" s="5095"/>
      <c r="C423" s="4621" t="s">
        <v>832</v>
      </c>
      <c r="D423" s="4587" t="str">
        <f t="shared" si="39"/>
        <v>NO</v>
      </c>
      <c r="E423" s="4627" t="str">
        <f>Table4.D_2018!G26</f>
        <v>NO</v>
      </c>
      <c r="F423" s="4628">
        <f>Table4.D_2019!G26</f>
        <v>-2.50580804071038</v>
      </c>
      <c r="G423" s="4629">
        <f>Table4.D_2020!G26</f>
        <v>-0.67484961910854002</v>
      </c>
      <c r="H423" s="4354"/>
      <c r="I423" s="4387" t="str">
        <f t="shared" si="38"/>
        <v>NO</v>
      </c>
      <c r="J423" s="4387">
        <f t="shared" si="38"/>
        <v>-0.73068582742785648</v>
      </c>
      <c r="K423" s="4354"/>
      <c r="L423" s="4354"/>
      <c r="M423" s="4354"/>
    </row>
    <row r="424" spans="1:13" ht="15.75" thickBot="1" x14ac:dyDescent="0.3">
      <c r="A424" s="4354"/>
      <c r="B424" s="5095"/>
      <c r="C424" s="4622"/>
      <c r="D424" s="4623" t="str">
        <f t="shared" si="32"/>
        <v/>
      </c>
      <c r="E424" s="4630"/>
      <c r="F424" s="4631"/>
      <c r="G424" s="4632"/>
      <c r="H424" s="4354"/>
      <c r="I424" s="4387" t="str">
        <f t="shared" si="38"/>
        <v>NO</v>
      </c>
      <c r="J424" s="4387" t="str">
        <f t="shared" si="38"/>
        <v>NO</v>
      </c>
      <c r="K424" s="4354"/>
      <c r="L424" s="4354"/>
      <c r="M424" s="4354"/>
    </row>
    <row r="425" spans="1:13" ht="17.25" x14ac:dyDescent="0.25">
      <c r="A425" s="4354"/>
      <c r="B425" s="5095"/>
      <c r="C425" s="4619" t="s">
        <v>831</v>
      </c>
      <c r="D425" s="4587" t="str">
        <f>IF($D$3=$E$3,E425,IF($D$3=$F$3,F425,IF($D$3=$G$3,G425,"-")))</f>
        <v>NO</v>
      </c>
      <c r="E425" s="4627" t="str">
        <f>Table4.D_2018!G28</f>
        <v>NO</v>
      </c>
      <c r="F425" s="4628">
        <f>Table4.D_2019!G28</f>
        <v>-0.27710571516888999</v>
      </c>
      <c r="G425" s="4629">
        <f>Table4.D_2020!G28</f>
        <v>-0.29201759135826</v>
      </c>
      <c r="H425" s="4354"/>
      <c r="I425" s="4387" t="str">
        <f t="shared" si="38"/>
        <v>NO</v>
      </c>
      <c r="J425" s="4387">
        <f t="shared" si="38"/>
        <v>-5.3812950701076452E-2</v>
      </c>
      <c r="K425" s="4354"/>
      <c r="L425" s="4354"/>
      <c r="M425" s="4354"/>
    </row>
    <row r="426" spans="1:13" x14ac:dyDescent="0.25">
      <c r="A426" s="4354"/>
      <c r="B426" s="5095"/>
      <c r="C426" s="4620" t="s">
        <v>830</v>
      </c>
      <c r="D426" s="4587" t="str">
        <f t="shared" ref="D426:D428" si="40">IF($D$3=$E$3,E426,IF($D$3=$F$3,F426,IF($D$3=$G$3,G426,"-")))</f>
        <v>NO</v>
      </c>
      <c r="E426" s="4627" t="str">
        <f>Table4.D_2018!G29</f>
        <v>NO</v>
      </c>
      <c r="F426" s="4628" t="str">
        <f>Table4.D_2019!G29</f>
        <v>NO</v>
      </c>
      <c r="G426" s="4629">
        <f>Table4.D_2020!G29</f>
        <v>-7.641163613884E-2</v>
      </c>
      <c r="H426" s="4354"/>
      <c r="I426" s="4387" t="str">
        <f t="shared" si="38"/>
        <v>NO</v>
      </c>
      <c r="J426" s="4387" t="str">
        <f t="shared" si="38"/>
        <v>NO</v>
      </c>
      <c r="K426" s="4354"/>
      <c r="L426" s="4354"/>
      <c r="M426" s="4354"/>
    </row>
    <row r="427" spans="1:13" x14ac:dyDescent="0.25">
      <c r="A427" s="4354"/>
      <c r="B427" s="5095"/>
      <c r="C427" s="4620" t="s">
        <v>829</v>
      </c>
      <c r="D427" s="4587" t="str">
        <f t="shared" si="40"/>
        <v>NO</v>
      </c>
      <c r="E427" s="4627" t="str">
        <f>Table4.D_2018!G31</f>
        <v>NO</v>
      </c>
      <c r="F427" s="4628">
        <f>Table4.D_2019!G31</f>
        <v>-0.47560580384384998</v>
      </c>
      <c r="G427" s="4629">
        <f>Table4.D_2020!G31</f>
        <v>-0.41914780506857002</v>
      </c>
      <c r="H427" s="4354"/>
      <c r="I427" s="4387" t="str">
        <f t="shared" si="38"/>
        <v>NO</v>
      </c>
      <c r="J427" s="4387">
        <f t="shared" si="38"/>
        <v>-0.11870754797142077</v>
      </c>
      <c r="K427" s="4354"/>
      <c r="L427" s="4354"/>
      <c r="M427" s="4354"/>
    </row>
    <row r="428" spans="1:13" ht="15.75" thickBot="1" x14ac:dyDescent="0.3">
      <c r="A428" s="4354"/>
      <c r="B428" s="5096"/>
      <c r="C428" s="4621" t="s">
        <v>828</v>
      </c>
      <c r="D428" s="4587" t="str">
        <f t="shared" si="40"/>
        <v>NO</v>
      </c>
      <c r="E428" s="4633" t="str">
        <f>Table4.D_2018!G33</f>
        <v>NO</v>
      </c>
      <c r="F428" s="4572">
        <f>Table4.D_2019!G33</f>
        <v>-9.8999929127820005E-2</v>
      </c>
      <c r="G428" s="4573">
        <f>Table4.D_2020!G33</f>
        <v>-0.17521403020373999</v>
      </c>
      <c r="H428" s="4354"/>
      <c r="I428" s="4387" t="str">
        <f t="shared" si="38"/>
        <v>NO</v>
      </c>
      <c r="J428" s="4387">
        <f t="shared" si="38"/>
        <v>-0.76983995592076671</v>
      </c>
      <c r="K428" s="4354"/>
      <c r="L428" s="4354"/>
      <c r="M428" s="4354"/>
    </row>
    <row r="429" spans="1:13" ht="15.75" thickBot="1" x14ac:dyDescent="0.3">
      <c r="A429" s="4354"/>
      <c r="B429" s="5094" t="s">
        <v>842</v>
      </c>
      <c r="C429" s="4595" t="s">
        <v>841</v>
      </c>
      <c r="D429" s="4616" t="str">
        <f t="shared" ref="D429:D488" si="41">""&amp;IF($D$3=$E$3,E429,IF($D$3=$F$3,F429,IF($D$3=$G$3,G429,"-")))</f>
        <v/>
      </c>
      <c r="E429" s="4617"/>
      <c r="F429" s="4597"/>
      <c r="G429" s="4618"/>
      <c r="H429" s="4354"/>
      <c r="I429" s="4387" t="str">
        <f t="shared" si="38"/>
        <v>NO</v>
      </c>
      <c r="J429" s="4387" t="str">
        <f t="shared" si="38"/>
        <v>NO</v>
      </c>
      <c r="K429" s="4354"/>
      <c r="L429" s="4354"/>
      <c r="M429" s="4354"/>
    </row>
    <row r="430" spans="1:13" x14ac:dyDescent="0.25">
      <c r="A430" s="4354"/>
      <c r="B430" s="5095"/>
      <c r="C430" s="4619" t="s">
        <v>840</v>
      </c>
      <c r="D430" s="4565" t="str">
        <f t="shared" si="41"/>
        <v>NO</v>
      </c>
      <c r="E430" s="4602" t="str">
        <f>Table4.D_2018!H11</f>
        <v>NO</v>
      </c>
      <c r="F430" s="4567" t="str">
        <f>Table4.D_2019!H11</f>
        <v>NO</v>
      </c>
      <c r="G430" s="4568" t="str">
        <f>Table4.D_2020!H11</f>
        <v>NA</v>
      </c>
      <c r="H430" s="4354"/>
      <c r="I430" s="4387" t="str">
        <f t="shared" si="38"/>
        <v>NO</v>
      </c>
      <c r="J430" s="4387" t="str">
        <f t="shared" si="38"/>
        <v>NO</v>
      </c>
      <c r="K430" s="4354"/>
      <c r="L430" s="4354"/>
      <c r="M430" s="4354"/>
    </row>
    <row r="431" spans="1:13" x14ac:dyDescent="0.25">
      <c r="A431" s="4354"/>
      <c r="B431" s="5095"/>
      <c r="C431" s="4620" t="s">
        <v>839</v>
      </c>
      <c r="D431" s="4565" t="str">
        <f t="shared" si="41"/>
        <v>NO</v>
      </c>
      <c r="E431" s="4602" t="str">
        <f>Table4.D_2018!H13</f>
        <v>NO</v>
      </c>
      <c r="F431" s="4567" t="str">
        <f>Table4.D_2019!H13</f>
        <v>NO</v>
      </c>
      <c r="G431" s="4568" t="str">
        <f>Table4.D_2020!H13</f>
        <v>NA</v>
      </c>
      <c r="H431" s="4354"/>
      <c r="I431" s="4387" t="str">
        <f t="shared" si="38"/>
        <v>NO</v>
      </c>
      <c r="J431" s="4387" t="str">
        <f t="shared" si="38"/>
        <v>NO</v>
      </c>
      <c r="K431" s="4354"/>
      <c r="L431" s="4354"/>
      <c r="M431" s="4354"/>
    </row>
    <row r="432" spans="1:13" x14ac:dyDescent="0.25">
      <c r="A432" s="4354"/>
      <c r="B432" s="5095"/>
      <c r="C432" s="4620" t="s">
        <v>838</v>
      </c>
      <c r="D432" s="4565" t="str">
        <f t="shared" si="41"/>
        <v>NO</v>
      </c>
      <c r="E432" s="4602" t="str">
        <f>Table4.D_2018!H15</f>
        <v>NO</v>
      </c>
      <c r="F432" s="4567" t="str">
        <f>Table4.D_2019!H15</f>
        <v>NO</v>
      </c>
      <c r="G432" s="4568" t="str">
        <f>Table4.D_2020!H15</f>
        <v>NA</v>
      </c>
      <c r="H432" s="4354"/>
      <c r="I432" s="4387" t="str">
        <f t="shared" si="38"/>
        <v>NO</v>
      </c>
      <c r="J432" s="4387" t="str">
        <f t="shared" si="38"/>
        <v>NO</v>
      </c>
      <c r="K432" s="4354"/>
      <c r="L432" s="4354"/>
      <c r="M432" s="4354"/>
    </row>
    <row r="433" spans="1:13" ht="15.75" thickBot="1" x14ac:dyDescent="0.3">
      <c r="A433" s="4354"/>
      <c r="B433" s="5095"/>
      <c r="C433" s="4621" t="s">
        <v>837</v>
      </c>
      <c r="D433" s="4565" t="str">
        <f t="shared" si="41"/>
        <v>NO</v>
      </c>
      <c r="E433" s="4602" t="str">
        <f>Table4.D_2018!H17</f>
        <v>NO</v>
      </c>
      <c r="F433" s="4567" t="str">
        <f>Table4.D_2019!H17</f>
        <v>NO</v>
      </c>
      <c r="G433" s="4568" t="str">
        <f>Table4.D_2020!H17</f>
        <v>NA</v>
      </c>
      <c r="H433" s="4354"/>
      <c r="I433" s="4387" t="str">
        <f t="shared" si="38"/>
        <v>NO</v>
      </c>
      <c r="J433" s="4387" t="str">
        <f t="shared" si="38"/>
        <v>NO</v>
      </c>
      <c r="K433" s="4354"/>
      <c r="L433" s="4354"/>
      <c r="M433" s="4354"/>
    </row>
    <row r="434" spans="1:13" ht="15.75" thickBot="1" x14ac:dyDescent="0.3">
      <c r="A434" s="4354"/>
      <c r="B434" s="5095"/>
      <c r="C434" s="4622"/>
      <c r="D434" s="4623" t="str">
        <f t="shared" si="41"/>
        <v/>
      </c>
      <c r="E434" s="4624"/>
      <c r="F434" s="4625"/>
      <c r="G434" s="4626"/>
      <c r="H434" s="4354"/>
      <c r="I434" s="4387" t="str">
        <f t="shared" si="38"/>
        <v>NO</v>
      </c>
      <c r="J434" s="4387" t="str">
        <f t="shared" si="38"/>
        <v>NO</v>
      </c>
      <c r="K434" s="4354"/>
      <c r="L434" s="4354"/>
      <c r="M434" s="4354"/>
    </row>
    <row r="435" spans="1:13" x14ac:dyDescent="0.25">
      <c r="A435" s="4354"/>
      <c r="B435" s="5095"/>
      <c r="C435" s="4619" t="s">
        <v>836</v>
      </c>
      <c r="D435" s="4587" t="str">
        <f>IF($D$3=$E$3,E435,IF($D$3=$F$3,F435,IF($D$3=$G$3,G435,"-")))</f>
        <v>NO</v>
      </c>
      <c r="E435" s="4602" t="str">
        <f>Table4.D_2018!H21</f>
        <v>NO</v>
      </c>
      <c r="F435" s="4567">
        <f>Table4.D_2019!H21</f>
        <v>-1.0140144698417499</v>
      </c>
      <c r="G435" s="4568">
        <f>Table4.D_2020!H21</f>
        <v>-1.93437412473071</v>
      </c>
      <c r="H435" s="4354"/>
      <c r="I435" s="4387" t="str">
        <f t="shared" si="38"/>
        <v>NO</v>
      </c>
      <c r="J435" s="4387">
        <f t="shared" si="38"/>
        <v>-0.90763956754245734</v>
      </c>
      <c r="K435" s="4354"/>
      <c r="L435" s="4354"/>
      <c r="M435" s="4354"/>
    </row>
    <row r="436" spans="1:13" x14ac:dyDescent="0.25">
      <c r="A436" s="4354"/>
      <c r="B436" s="5095"/>
      <c r="C436" s="4620" t="s">
        <v>835</v>
      </c>
      <c r="D436" s="4587" t="str">
        <f t="shared" ref="D436:D439" si="42">IF($D$3=$E$3,E436,IF($D$3=$F$3,F436,IF($D$3=$G$3,G436,"-")))</f>
        <v>NO</v>
      </c>
      <c r="E436" s="4602" t="str">
        <f>Table4.D_2018!H20</f>
        <v>NO</v>
      </c>
      <c r="F436" s="4567" t="str">
        <f>Table4.D_2019!H20</f>
        <v>NO</v>
      </c>
      <c r="G436" s="4568" t="str">
        <f>Table4.D_2020!H20</f>
        <v>NA</v>
      </c>
      <c r="H436" s="4354"/>
      <c r="I436" s="4387" t="str">
        <f t="shared" si="38"/>
        <v>NO</v>
      </c>
      <c r="J436" s="4387" t="str">
        <f t="shared" si="38"/>
        <v>NO</v>
      </c>
      <c r="K436" s="4354"/>
      <c r="L436" s="4354"/>
      <c r="M436" s="4354"/>
    </row>
    <row r="437" spans="1:13" x14ac:dyDescent="0.25">
      <c r="A437" s="4354"/>
      <c r="B437" s="5095"/>
      <c r="C437" s="4620" t="s">
        <v>834</v>
      </c>
      <c r="D437" s="4587" t="str">
        <f t="shared" si="42"/>
        <v>NO</v>
      </c>
      <c r="E437" s="4602" t="str">
        <f>Table4.D_2018!H22</f>
        <v>NO</v>
      </c>
      <c r="F437" s="4567">
        <f>Table4.D_2019!H22</f>
        <v>-2.5665427509497198</v>
      </c>
      <c r="G437" s="4568">
        <f>Table4.D_2020!H22</f>
        <v>-30.135187202052421</v>
      </c>
      <c r="H437" s="4354"/>
      <c r="I437" s="4387" t="str">
        <f t="shared" si="38"/>
        <v>NO</v>
      </c>
      <c r="J437" s="4387">
        <f t="shared" si="38"/>
        <v>-10.741548895260459</v>
      </c>
      <c r="K437" s="4354"/>
      <c r="L437" s="4354"/>
      <c r="M437" s="4354"/>
    </row>
    <row r="438" spans="1:13" x14ac:dyDescent="0.25">
      <c r="A438" s="4354"/>
      <c r="B438" s="5095"/>
      <c r="C438" s="4620" t="s">
        <v>833</v>
      </c>
      <c r="D438" s="4587" t="str">
        <f t="shared" si="42"/>
        <v>NO</v>
      </c>
      <c r="E438" s="4627" t="str">
        <f>Table4.D_2018!H24</f>
        <v>NO</v>
      </c>
      <c r="F438" s="4628">
        <f>Table4.D_2019!H24</f>
        <v>-0.23653062818921</v>
      </c>
      <c r="G438" s="4629">
        <f>Table4.D_2020!H24</f>
        <v>-0.73183203744416003</v>
      </c>
      <c r="H438" s="4354"/>
      <c r="I438" s="4387" t="str">
        <f t="shared" si="38"/>
        <v>NO</v>
      </c>
      <c r="J438" s="4387">
        <f t="shared" si="38"/>
        <v>-2.0940265243735761</v>
      </c>
      <c r="K438" s="4354"/>
      <c r="L438" s="4354"/>
      <c r="M438" s="4354"/>
    </row>
    <row r="439" spans="1:13" ht="15.75" thickBot="1" x14ac:dyDescent="0.3">
      <c r="A439" s="4354"/>
      <c r="B439" s="5095"/>
      <c r="C439" s="4621" t="s">
        <v>832</v>
      </c>
      <c r="D439" s="4587" t="str">
        <f t="shared" si="42"/>
        <v>NO</v>
      </c>
      <c r="E439" s="4627" t="str">
        <f>Table4.D_2018!H26</f>
        <v>NO</v>
      </c>
      <c r="F439" s="4628">
        <f>Table4.D_2019!H26</f>
        <v>-2.50580804071038</v>
      </c>
      <c r="G439" s="4629">
        <f>Table4.D_2020!H26</f>
        <v>-0.67484961910854002</v>
      </c>
      <c r="H439" s="4354"/>
      <c r="I439" s="4387" t="str">
        <f t="shared" si="38"/>
        <v>NO</v>
      </c>
      <c r="J439" s="4387">
        <f t="shared" si="38"/>
        <v>-0.73068582742785648</v>
      </c>
      <c r="K439" s="4354"/>
      <c r="L439" s="4354"/>
      <c r="M439" s="4354"/>
    </row>
    <row r="440" spans="1:13" ht="15.75" thickBot="1" x14ac:dyDescent="0.3">
      <c r="A440" s="4354"/>
      <c r="B440" s="5095"/>
      <c r="C440" s="4622"/>
      <c r="D440" s="4623" t="str">
        <f t="shared" si="41"/>
        <v/>
      </c>
      <c r="E440" s="4630"/>
      <c r="F440" s="4631"/>
      <c r="G440" s="4632"/>
      <c r="H440" s="4354"/>
      <c r="I440" s="4387" t="str">
        <f t="shared" si="38"/>
        <v>NO</v>
      </c>
      <c r="J440" s="4387" t="str">
        <f t="shared" si="38"/>
        <v>NO</v>
      </c>
      <c r="K440" s="4354"/>
      <c r="L440" s="4354"/>
      <c r="M440" s="4354"/>
    </row>
    <row r="441" spans="1:13" ht="17.25" x14ac:dyDescent="0.25">
      <c r="A441" s="4354"/>
      <c r="B441" s="5095"/>
      <c r="C441" s="4619" t="s">
        <v>831</v>
      </c>
      <c r="D441" s="4587" t="str">
        <f>IF($D$3=$E$3,E441,IF($D$3=$F$3,F441,IF($D$3=$G$3,G441,"-")))</f>
        <v>NO</v>
      </c>
      <c r="E441" s="4627" t="str">
        <f>Table4.D_2018!H28</f>
        <v>NO</v>
      </c>
      <c r="F441" s="4628">
        <f>Table4.D_2019!H28</f>
        <v>7.5150102682189995E-2</v>
      </c>
      <c r="G441" s="4629">
        <f>Table4.D_2020!H28</f>
        <v>9.2443906321819994E-2</v>
      </c>
      <c r="H441" s="4354"/>
      <c r="I441" s="4387" t="str">
        <f t="shared" si="38"/>
        <v>NO</v>
      </c>
      <c r="J441" s="4387">
        <f t="shared" si="38"/>
        <v>0.2301234864942972</v>
      </c>
      <c r="K441" s="4354"/>
      <c r="L441" s="4354"/>
      <c r="M441" s="4354"/>
    </row>
    <row r="442" spans="1:13" x14ac:dyDescent="0.25">
      <c r="A442" s="4354"/>
      <c r="B442" s="5095"/>
      <c r="C442" s="4620" t="s">
        <v>830</v>
      </c>
      <c r="D442" s="4587" t="str">
        <f t="shared" ref="D442:D444" si="43">IF($D$3=$E$3,E442,IF($D$3=$F$3,F442,IF($D$3=$G$3,G442,"-")))</f>
        <v>NO</v>
      </c>
      <c r="E442" s="4627" t="str">
        <f>Table4.D_2018!H29</f>
        <v>NO</v>
      </c>
      <c r="F442" s="4628">
        <f>Table4.D_2019!H29</f>
        <v>0.27662633943887999</v>
      </c>
      <c r="G442" s="4629">
        <f>Table4.D_2020!H29</f>
        <v>0.24130175138838</v>
      </c>
      <c r="H442" s="4354"/>
      <c r="I442" s="4387" t="str">
        <f t="shared" si="38"/>
        <v>NO</v>
      </c>
      <c r="J442" s="4387">
        <f t="shared" si="38"/>
        <v>0.12769784729159847</v>
      </c>
      <c r="K442" s="4354"/>
      <c r="L442" s="4354"/>
      <c r="M442" s="4354"/>
    </row>
    <row r="443" spans="1:13" x14ac:dyDescent="0.25">
      <c r="A443" s="4354"/>
      <c r="B443" s="5095"/>
      <c r="C443" s="4620" t="s">
        <v>829</v>
      </c>
      <c r="D443" s="4587" t="str">
        <f t="shared" si="43"/>
        <v>NO</v>
      </c>
      <c r="E443" s="4627" t="str">
        <f>Table4.D_2018!H31</f>
        <v>NO</v>
      </c>
      <c r="F443" s="4628">
        <f>Table4.D_2019!H31</f>
        <v>7.2282522401019997E-2</v>
      </c>
      <c r="G443" s="4629">
        <f>Table4.D_2020!H31</f>
        <v>6.3702041402999995E-2</v>
      </c>
      <c r="H443" s="4354"/>
      <c r="I443" s="4387" t="str">
        <f t="shared" si="38"/>
        <v>NO</v>
      </c>
      <c r="J443" s="4387">
        <f t="shared" si="38"/>
        <v>0.11870754800746854</v>
      </c>
      <c r="K443" s="4354"/>
      <c r="L443" s="4354"/>
      <c r="M443" s="4354"/>
    </row>
    <row r="444" spans="1:13" ht="15.75" thickBot="1" x14ac:dyDescent="0.3">
      <c r="A444" s="4354"/>
      <c r="B444" s="5096"/>
      <c r="C444" s="4621" t="s">
        <v>828</v>
      </c>
      <c r="D444" s="4587" t="str">
        <f t="shared" si="43"/>
        <v>NO</v>
      </c>
      <c r="E444" s="4633" t="str">
        <f>Table4.D_2018!H33</f>
        <v>NO</v>
      </c>
      <c r="F444" s="4572">
        <f>Table4.D_2019!H33</f>
        <v>6.2999954899519997E-2</v>
      </c>
      <c r="G444" s="4573">
        <f>Table4.D_2020!H33</f>
        <v>0.11149983740237999</v>
      </c>
      <c r="H444" s="4354"/>
      <c r="I444" s="4387" t="str">
        <f t="shared" si="38"/>
        <v>NO</v>
      </c>
      <c r="J444" s="4387">
        <f t="shared" si="38"/>
        <v>0.769839955920818</v>
      </c>
      <c r="K444" s="4354"/>
      <c r="L444" s="4354"/>
      <c r="M444" s="4354"/>
    </row>
    <row r="445" spans="1:13" ht="15.75" thickBot="1" x14ac:dyDescent="0.3">
      <c r="A445" s="4354"/>
      <c r="B445" s="5094" t="s">
        <v>815</v>
      </c>
      <c r="C445" s="4595" t="s">
        <v>841</v>
      </c>
      <c r="D445" s="4616" t="str">
        <f t="shared" si="41"/>
        <v/>
      </c>
      <c r="E445" s="4617"/>
      <c r="F445" s="4597"/>
      <c r="G445" s="4618"/>
      <c r="H445" s="4354"/>
      <c r="I445" s="4387" t="str">
        <f t="shared" si="38"/>
        <v>NO</v>
      </c>
      <c r="J445" s="4387" t="str">
        <f t="shared" si="38"/>
        <v>NO</v>
      </c>
      <c r="K445" s="4354"/>
      <c r="L445" s="4354"/>
      <c r="M445" s="4354"/>
    </row>
    <row r="446" spans="1:13" x14ac:dyDescent="0.25">
      <c r="A446" s="4354"/>
      <c r="B446" s="5095"/>
      <c r="C446" s="4619" t="s">
        <v>840</v>
      </c>
      <c r="D446" s="4565" t="str">
        <f t="shared" si="41"/>
        <v>NO</v>
      </c>
      <c r="E446" s="4602" t="str">
        <f>Table4.D_2018!I11</f>
        <v>NO</v>
      </c>
      <c r="F446" s="4567" t="str">
        <f>Table4.D_2019!I11</f>
        <v>NO</v>
      </c>
      <c r="G446" s="4568" t="str">
        <f>Table4.D_2020!I11</f>
        <v>NA</v>
      </c>
      <c r="H446" s="4354"/>
      <c r="I446" s="4387" t="str">
        <f t="shared" si="38"/>
        <v>NO</v>
      </c>
      <c r="J446" s="4387" t="str">
        <f t="shared" si="38"/>
        <v>NO</v>
      </c>
      <c r="K446" s="4354"/>
      <c r="L446" s="4354"/>
      <c r="M446" s="4354"/>
    </row>
    <row r="447" spans="1:13" x14ac:dyDescent="0.25">
      <c r="A447" s="4354"/>
      <c r="B447" s="5095"/>
      <c r="C447" s="4620" t="s">
        <v>839</v>
      </c>
      <c r="D447" s="4565" t="str">
        <f t="shared" si="41"/>
        <v>NO</v>
      </c>
      <c r="E447" s="4602" t="str">
        <f>Table4.D_2018!I13</f>
        <v>NO</v>
      </c>
      <c r="F447" s="4567" t="str">
        <f>Table4.D_2019!I13</f>
        <v>NO</v>
      </c>
      <c r="G447" s="4568" t="str">
        <f>Table4.D_2020!I13</f>
        <v>NA</v>
      </c>
      <c r="H447" s="4354"/>
      <c r="I447" s="4387" t="str">
        <f t="shared" si="38"/>
        <v>NO</v>
      </c>
      <c r="J447" s="4387" t="str">
        <f t="shared" si="38"/>
        <v>NO</v>
      </c>
      <c r="K447" s="4354"/>
      <c r="L447" s="4354"/>
      <c r="M447" s="4354"/>
    </row>
    <row r="448" spans="1:13" x14ac:dyDescent="0.25">
      <c r="A448" s="4354"/>
      <c r="B448" s="5095"/>
      <c r="C448" s="4620" t="s">
        <v>838</v>
      </c>
      <c r="D448" s="4565" t="str">
        <f t="shared" si="41"/>
        <v>NO</v>
      </c>
      <c r="E448" s="4602" t="str">
        <f>Table4.D_2018!I15</f>
        <v>NO</v>
      </c>
      <c r="F448" s="4567" t="str">
        <f>Table4.D_2019!I15</f>
        <v>NO</v>
      </c>
      <c r="G448" s="4568" t="str">
        <f>Table4.D_2020!I15</f>
        <v>NA</v>
      </c>
      <c r="H448" s="4354"/>
      <c r="I448" s="4387" t="str">
        <f t="shared" si="38"/>
        <v>NO</v>
      </c>
      <c r="J448" s="4387" t="str">
        <f t="shared" si="38"/>
        <v>NO</v>
      </c>
      <c r="K448" s="4354"/>
      <c r="L448" s="4354"/>
      <c r="M448" s="4354"/>
    </row>
    <row r="449" spans="1:13" ht="15.75" thickBot="1" x14ac:dyDescent="0.3">
      <c r="A449" s="4354"/>
      <c r="B449" s="5095"/>
      <c r="C449" s="4621" t="s">
        <v>837</v>
      </c>
      <c r="D449" s="4565" t="str">
        <f t="shared" si="41"/>
        <v>NO</v>
      </c>
      <c r="E449" s="4602" t="str">
        <f>Table4.D_2018!I18</f>
        <v>NO</v>
      </c>
      <c r="F449" s="4567" t="str">
        <f>Table4.D_2019!I18</f>
        <v>NO</v>
      </c>
      <c r="G449" s="4568" t="str">
        <f>Table4.D_2020!I18</f>
        <v>NA</v>
      </c>
      <c r="H449" s="4354"/>
      <c r="I449" s="4387" t="str">
        <f t="shared" si="38"/>
        <v>NO</v>
      </c>
      <c r="J449" s="4387" t="str">
        <f t="shared" si="38"/>
        <v>NO</v>
      </c>
      <c r="K449" s="4354"/>
      <c r="L449" s="4354"/>
      <c r="M449" s="4354"/>
    </row>
    <row r="450" spans="1:13" ht="15.75" thickBot="1" x14ac:dyDescent="0.3">
      <c r="A450" s="4354"/>
      <c r="B450" s="5095"/>
      <c r="C450" s="4622"/>
      <c r="D450" s="4623" t="str">
        <f t="shared" si="41"/>
        <v/>
      </c>
      <c r="E450" s="4624"/>
      <c r="F450" s="4625"/>
      <c r="G450" s="4626"/>
      <c r="H450" s="4354"/>
      <c r="I450" s="4387" t="str">
        <f t="shared" si="38"/>
        <v>NO</v>
      </c>
      <c r="J450" s="4387" t="str">
        <f t="shared" si="38"/>
        <v>NO</v>
      </c>
      <c r="K450" s="4354"/>
      <c r="L450" s="4354"/>
      <c r="M450" s="4354"/>
    </row>
    <row r="451" spans="1:13" x14ac:dyDescent="0.25">
      <c r="A451" s="4354"/>
      <c r="B451" s="5095"/>
      <c r="C451" s="4619" t="s">
        <v>836</v>
      </c>
      <c r="D451" s="4565" t="str">
        <f t="shared" si="41"/>
        <v>NO</v>
      </c>
      <c r="E451" s="4602" t="str">
        <f>Table4.D_2018!I22</f>
        <v>NO</v>
      </c>
      <c r="F451" s="4567" t="str">
        <f>Table4.D_2019!I22</f>
        <v>NO</v>
      </c>
      <c r="G451" s="4568" t="str">
        <f>Table4.D_2020!I22</f>
        <v>NA</v>
      </c>
      <c r="H451" s="4354"/>
      <c r="I451" s="4387" t="str">
        <f t="shared" si="38"/>
        <v>NO</v>
      </c>
      <c r="J451" s="4387" t="str">
        <f t="shared" si="38"/>
        <v>NO</v>
      </c>
      <c r="K451" s="4354"/>
      <c r="L451" s="4354"/>
      <c r="M451" s="4354"/>
    </row>
    <row r="452" spans="1:13" x14ac:dyDescent="0.25">
      <c r="A452" s="4354"/>
      <c r="B452" s="5095"/>
      <c r="C452" s="4620" t="s">
        <v>835</v>
      </c>
      <c r="D452" s="4565" t="str">
        <f t="shared" si="41"/>
        <v>NO</v>
      </c>
      <c r="E452" s="4602" t="str">
        <f>Table4.D_2018!I21</f>
        <v>NO</v>
      </c>
      <c r="F452" s="4567" t="str">
        <f>Table4.D_2019!I21</f>
        <v>NO</v>
      </c>
      <c r="G452" s="4568" t="str">
        <f>Table4.D_2020!I21</f>
        <v>NA</v>
      </c>
      <c r="H452" s="4354"/>
      <c r="I452" s="4387" t="str">
        <f t="shared" si="38"/>
        <v>NO</v>
      </c>
      <c r="J452" s="4387" t="str">
        <f t="shared" si="38"/>
        <v>NO</v>
      </c>
      <c r="K452" s="4354"/>
      <c r="L452" s="4354"/>
      <c r="M452" s="4354"/>
    </row>
    <row r="453" spans="1:13" x14ac:dyDescent="0.25">
      <c r="A453" s="4354"/>
      <c r="B453" s="5095"/>
      <c r="C453" s="4620" t="s">
        <v>834</v>
      </c>
      <c r="D453" s="4565" t="str">
        <f t="shared" si="41"/>
        <v>NO</v>
      </c>
      <c r="E453" s="4602" t="str">
        <f>Table4.D_2018!I23</f>
        <v>NO</v>
      </c>
      <c r="F453" s="4567" t="str">
        <f>Table4.D_2019!I23</f>
        <v>NO</v>
      </c>
      <c r="G453" s="4568" t="str">
        <f>Table4.D_2020!I23</f>
        <v>NA</v>
      </c>
      <c r="H453" s="4354"/>
      <c r="I453" s="4387" t="str">
        <f t="shared" si="38"/>
        <v>NO</v>
      </c>
      <c r="J453" s="4387" t="str">
        <f t="shared" si="38"/>
        <v>NO</v>
      </c>
      <c r="K453" s="4354"/>
      <c r="L453" s="4354"/>
      <c r="M453" s="4354"/>
    </row>
    <row r="454" spans="1:13" x14ac:dyDescent="0.25">
      <c r="A454" s="4354"/>
      <c r="B454" s="5095"/>
      <c r="C454" s="4620" t="s">
        <v>833</v>
      </c>
      <c r="D454" s="4565" t="str">
        <f t="shared" si="41"/>
        <v>NO</v>
      </c>
      <c r="E454" s="4627" t="str">
        <f>Table4.D_2018!I25</f>
        <v>NO</v>
      </c>
      <c r="F454" s="4628" t="str">
        <f>Table4.D_2019!I25</f>
        <v>NO</v>
      </c>
      <c r="G454" s="4629" t="str">
        <f>Table4.D_2020!I25</f>
        <v>NA</v>
      </c>
      <c r="H454" s="4354"/>
      <c r="I454" s="4387" t="str">
        <f t="shared" si="38"/>
        <v>NO</v>
      </c>
      <c r="J454" s="4387" t="str">
        <f t="shared" si="38"/>
        <v>NO</v>
      </c>
      <c r="K454" s="4354"/>
      <c r="L454" s="4354"/>
      <c r="M454" s="4354"/>
    </row>
    <row r="455" spans="1:13" ht="15.75" thickBot="1" x14ac:dyDescent="0.3">
      <c r="A455" s="4354"/>
      <c r="B455" s="5095"/>
      <c r="C455" s="4621" t="s">
        <v>832</v>
      </c>
      <c r="D455" s="4565" t="str">
        <f t="shared" si="41"/>
        <v>NO</v>
      </c>
      <c r="E455" s="4627" t="str">
        <f>Table4.D_2018!I27</f>
        <v>NO</v>
      </c>
      <c r="F455" s="4628" t="str">
        <f>Table4.D_2019!I27</f>
        <v>NO</v>
      </c>
      <c r="G455" s="4629" t="str">
        <f>Table4.D_2020!I27</f>
        <v>NA</v>
      </c>
      <c r="H455" s="4354"/>
      <c r="I455" s="4387" t="str">
        <f t="shared" si="38"/>
        <v>NO</v>
      </c>
      <c r="J455" s="4387" t="str">
        <f t="shared" si="38"/>
        <v>NO</v>
      </c>
      <c r="K455" s="4354"/>
      <c r="L455" s="4354"/>
      <c r="M455" s="4354"/>
    </row>
    <row r="456" spans="1:13" ht="15.75" thickBot="1" x14ac:dyDescent="0.3">
      <c r="A456" s="4354"/>
      <c r="B456" s="5095"/>
      <c r="C456" s="4622"/>
      <c r="D456" s="4623" t="str">
        <f t="shared" si="41"/>
        <v/>
      </c>
      <c r="E456" s="4630"/>
      <c r="F456" s="4631"/>
      <c r="G456" s="4632"/>
      <c r="H456" s="4354"/>
      <c r="I456" s="4387" t="str">
        <f t="shared" si="38"/>
        <v>NO</v>
      </c>
      <c r="J456" s="4387" t="str">
        <f t="shared" si="38"/>
        <v>NO</v>
      </c>
      <c r="K456" s="4354"/>
      <c r="L456" s="4354"/>
      <c r="M456" s="4354"/>
    </row>
    <row r="457" spans="1:13" ht="17.25" x14ac:dyDescent="0.25">
      <c r="A457" s="4354"/>
      <c r="B457" s="5095"/>
      <c r="C457" s="4619" t="s">
        <v>831</v>
      </c>
      <c r="D457" s="4565" t="str">
        <f t="shared" si="41"/>
        <v>NO</v>
      </c>
      <c r="E457" s="4627" t="str">
        <f>Table4.D_2018!I29</f>
        <v>NO</v>
      </c>
      <c r="F457" s="4628" t="str">
        <f>Table4.D_2019!I29</f>
        <v>NO</v>
      </c>
      <c r="G457" s="4629" t="str">
        <f>Table4.D_2020!I29</f>
        <v>NA</v>
      </c>
      <c r="H457" s="4354"/>
      <c r="I457" s="4387" t="str">
        <f t="shared" si="38"/>
        <v>NO</v>
      </c>
      <c r="J457" s="4387" t="str">
        <f t="shared" si="38"/>
        <v>NO</v>
      </c>
      <c r="K457" s="4354"/>
      <c r="L457" s="4354"/>
      <c r="M457" s="4354"/>
    </row>
    <row r="458" spans="1:13" x14ac:dyDescent="0.25">
      <c r="A458" s="4354"/>
      <c r="B458" s="5095"/>
      <c r="C458" s="4620" t="s">
        <v>830</v>
      </c>
      <c r="D458" s="4565" t="str">
        <f t="shared" si="41"/>
        <v>NO</v>
      </c>
      <c r="E458" s="4627" t="str">
        <f>Table4.D_2018!I30</f>
        <v>NO</v>
      </c>
      <c r="F458" s="4628" t="str">
        <f>Table4.D_2019!I30</f>
        <v>NO</v>
      </c>
      <c r="G458" s="4629" t="str">
        <f>Table4.D_2020!I30</f>
        <v>NA</v>
      </c>
      <c r="H458" s="4354"/>
      <c r="I458" s="4387" t="str">
        <f t="shared" si="38"/>
        <v>NO</v>
      </c>
      <c r="J458" s="4387" t="str">
        <f t="shared" si="38"/>
        <v>NO</v>
      </c>
      <c r="K458" s="4354"/>
      <c r="L458" s="4354"/>
      <c r="M458" s="4354"/>
    </row>
    <row r="459" spans="1:13" x14ac:dyDescent="0.25">
      <c r="A459" s="4354"/>
      <c r="B459" s="5095"/>
      <c r="C459" s="4620" t="s">
        <v>829</v>
      </c>
      <c r="D459" s="4565" t="str">
        <f t="shared" si="41"/>
        <v>NO</v>
      </c>
      <c r="E459" s="4627" t="str">
        <f>Table4.D_2018!I32</f>
        <v>NO</v>
      </c>
      <c r="F459" s="4628" t="str">
        <f>Table4.D_2019!I32</f>
        <v>NO</v>
      </c>
      <c r="G459" s="4629" t="str">
        <f>Table4.D_2020!I32</f>
        <v>NA</v>
      </c>
      <c r="H459" s="4354"/>
      <c r="I459" s="4387" t="str">
        <f t="shared" si="38"/>
        <v>NO</v>
      </c>
      <c r="J459" s="4387" t="str">
        <f t="shared" si="38"/>
        <v>NO</v>
      </c>
      <c r="K459" s="4354"/>
      <c r="L459" s="4354"/>
      <c r="M459" s="4354"/>
    </row>
    <row r="460" spans="1:13" ht="15.75" thickBot="1" x14ac:dyDescent="0.3">
      <c r="A460" s="4354"/>
      <c r="B460" s="5096"/>
      <c r="C460" s="4621" t="s">
        <v>828</v>
      </c>
      <c r="D460" s="4570" t="str">
        <f t="shared" si="41"/>
        <v>NO</v>
      </c>
      <c r="E460" s="4633" t="str">
        <f>Table4.D_2018!I34</f>
        <v>NO</v>
      </c>
      <c r="F460" s="4572" t="str">
        <f>Table4.D_2019!I34</f>
        <v>NO</v>
      </c>
      <c r="G460" s="4573" t="str">
        <f>Table4.D_2020!I34</f>
        <v>NA</v>
      </c>
      <c r="H460" s="4354"/>
      <c r="I460" s="4387" t="str">
        <f t="shared" si="38"/>
        <v>NO</v>
      </c>
      <c r="J460" s="4387" t="str">
        <f t="shared" si="38"/>
        <v>NO</v>
      </c>
      <c r="K460" s="4354"/>
      <c r="L460" s="4354"/>
      <c r="M460" s="4354"/>
    </row>
    <row r="461" spans="1:13" ht="15.75" thickBot="1" x14ac:dyDescent="0.3">
      <c r="A461" s="4354"/>
      <c r="B461" s="5094" t="s">
        <v>811</v>
      </c>
      <c r="C461" s="4595" t="s">
        <v>841</v>
      </c>
      <c r="D461" s="4616" t="str">
        <f t="shared" si="41"/>
        <v/>
      </c>
      <c r="E461" s="4617"/>
      <c r="F461" s="4597"/>
      <c r="G461" s="4618"/>
      <c r="H461" s="4354"/>
      <c r="I461" s="4387" t="str">
        <f t="shared" si="38"/>
        <v>NO</v>
      </c>
      <c r="J461" s="4387" t="str">
        <f t="shared" si="38"/>
        <v>NO</v>
      </c>
      <c r="K461" s="4354"/>
      <c r="L461" s="4354"/>
      <c r="M461" s="4354"/>
    </row>
    <row r="462" spans="1:13" x14ac:dyDescent="0.25">
      <c r="A462" s="4354"/>
      <c r="B462" s="5095"/>
      <c r="C462" s="4619" t="s">
        <v>840</v>
      </c>
      <c r="D462" s="4565" t="str">
        <f t="shared" si="41"/>
        <v>NO</v>
      </c>
      <c r="E462" s="4602" t="str">
        <f>Table4.D_2018!J11</f>
        <v>NO</v>
      </c>
      <c r="F462" s="4567" t="str">
        <f>Table4.D_2019!J11</f>
        <v>NO</v>
      </c>
      <c r="G462" s="4568" t="str">
        <f>Table4.D_2020!J11</f>
        <v>NA</v>
      </c>
      <c r="H462" s="4354"/>
      <c r="I462" s="4387" t="str">
        <f t="shared" si="38"/>
        <v>NO</v>
      </c>
      <c r="J462" s="4387" t="str">
        <f t="shared" si="38"/>
        <v>NO</v>
      </c>
      <c r="K462" s="4354"/>
      <c r="L462" s="4354"/>
      <c r="M462" s="4354"/>
    </row>
    <row r="463" spans="1:13" x14ac:dyDescent="0.25">
      <c r="A463" s="4354"/>
      <c r="B463" s="5095"/>
      <c r="C463" s="4620" t="s">
        <v>839</v>
      </c>
      <c r="D463" s="4565" t="str">
        <f t="shared" si="41"/>
        <v>NO</v>
      </c>
      <c r="E463" s="4602" t="str">
        <f>Table4.D_2018!J13</f>
        <v>NO</v>
      </c>
      <c r="F463" s="4567" t="str">
        <f>Table4.D_2019!J13</f>
        <v>NO</v>
      </c>
      <c r="G463" s="4568" t="str">
        <f>Table4.D_2020!J13</f>
        <v>NA</v>
      </c>
      <c r="H463" s="4354"/>
      <c r="I463" s="4387" t="str">
        <f t="shared" si="38"/>
        <v>NO</v>
      </c>
      <c r="J463" s="4387" t="str">
        <f t="shared" si="38"/>
        <v>NO</v>
      </c>
      <c r="K463" s="4354"/>
      <c r="L463" s="4354"/>
      <c r="M463" s="4354"/>
    </row>
    <row r="464" spans="1:13" x14ac:dyDescent="0.25">
      <c r="A464" s="4354"/>
      <c r="B464" s="5095"/>
      <c r="C464" s="4620" t="s">
        <v>838</v>
      </c>
      <c r="D464" s="4565" t="str">
        <f t="shared" si="41"/>
        <v>NO</v>
      </c>
      <c r="E464" s="4602" t="str">
        <f>Table4.D_2018!J15</f>
        <v>NO</v>
      </c>
      <c r="F464" s="4567" t="str">
        <f>Table4.D_2019!J15</f>
        <v>NO</v>
      </c>
      <c r="G464" s="4568" t="str">
        <f>Table4.D_2020!J15</f>
        <v>NA</v>
      </c>
      <c r="H464" s="4354"/>
      <c r="I464" s="4387" t="str">
        <f t="shared" si="38"/>
        <v>NO</v>
      </c>
      <c r="J464" s="4387" t="str">
        <f t="shared" si="38"/>
        <v>NO</v>
      </c>
      <c r="K464" s="4354"/>
      <c r="L464" s="4354"/>
      <c r="M464" s="4354"/>
    </row>
    <row r="465" spans="1:13" ht="15.75" thickBot="1" x14ac:dyDescent="0.3">
      <c r="A465" s="4354"/>
      <c r="B465" s="5095"/>
      <c r="C465" s="4621" t="s">
        <v>837</v>
      </c>
      <c r="D465" s="4565" t="str">
        <f t="shared" si="41"/>
        <v>NO</v>
      </c>
      <c r="E465" s="4602" t="str">
        <f>Table4.D_2018!J18</f>
        <v>NO</v>
      </c>
      <c r="F465" s="4567" t="str">
        <f>Table4.D_2019!J18</f>
        <v>NO</v>
      </c>
      <c r="G465" s="4568" t="str">
        <f>Table4.D_2020!J18</f>
        <v>NA</v>
      </c>
      <c r="H465" s="4354"/>
      <c r="I465" s="4387" t="str">
        <f t="shared" si="38"/>
        <v>NO</v>
      </c>
      <c r="J465" s="4387" t="str">
        <f t="shared" si="38"/>
        <v>NO</v>
      </c>
      <c r="K465" s="4354"/>
      <c r="L465" s="4354"/>
      <c r="M465" s="4354"/>
    </row>
    <row r="466" spans="1:13" ht="15.75" thickBot="1" x14ac:dyDescent="0.3">
      <c r="A466" s="4354"/>
      <c r="B466" s="5095"/>
      <c r="C466" s="4622"/>
      <c r="D466" s="4623" t="str">
        <f t="shared" si="41"/>
        <v/>
      </c>
      <c r="E466" s="4624"/>
      <c r="F466" s="4625"/>
      <c r="G466" s="4626"/>
      <c r="H466" s="4354"/>
      <c r="I466" s="4387" t="str">
        <f t="shared" si="38"/>
        <v>NO</v>
      </c>
      <c r="J466" s="4387" t="str">
        <f t="shared" si="38"/>
        <v>NO</v>
      </c>
      <c r="K466" s="4354"/>
      <c r="L466" s="4354"/>
      <c r="M466" s="4354"/>
    </row>
    <row r="467" spans="1:13" x14ac:dyDescent="0.25">
      <c r="A467" s="4354"/>
      <c r="B467" s="5095"/>
      <c r="C467" s="4619" t="s">
        <v>836</v>
      </c>
      <c r="D467" s="4565" t="str">
        <f t="shared" si="41"/>
        <v>NO</v>
      </c>
      <c r="E467" s="4602" t="str">
        <f>Table4.D_2018!J22</f>
        <v>NO</v>
      </c>
      <c r="F467" s="4567" t="str">
        <f>Table4.D_2019!J22</f>
        <v>NO</v>
      </c>
      <c r="G467" s="4568" t="str">
        <f>Table4.D_2020!J22</f>
        <v>NA</v>
      </c>
      <c r="H467" s="4354"/>
      <c r="I467" s="4387" t="str">
        <f t="shared" si="38"/>
        <v>NO</v>
      </c>
      <c r="J467" s="4387" t="str">
        <f t="shared" si="38"/>
        <v>NO</v>
      </c>
      <c r="K467" s="4354"/>
      <c r="L467" s="4354"/>
      <c r="M467" s="4354"/>
    </row>
    <row r="468" spans="1:13" x14ac:dyDescent="0.25">
      <c r="A468" s="4354"/>
      <c r="B468" s="5095"/>
      <c r="C468" s="4620" t="s">
        <v>835</v>
      </c>
      <c r="D468" s="4565" t="str">
        <f t="shared" si="41"/>
        <v>NO</v>
      </c>
      <c r="E468" s="4602" t="str">
        <f>Table4.D_2018!J21</f>
        <v>NO</v>
      </c>
      <c r="F468" s="4567" t="str">
        <f>Table4.D_2019!J21</f>
        <v>NO</v>
      </c>
      <c r="G468" s="4568" t="str">
        <f>Table4.D_2020!J21</f>
        <v>NA</v>
      </c>
      <c r="H468" s="4354"/>
      <c r="I468" s="4387" t="str">
        <f t="shared" si="38"/>
        <v>NO</v>
      </c>
      <c r="J468" s="4387" t="str">
        <f t="shared" si="38"/>
        <v>NO</v>
      </c>
      <c r="K468" s="4354"/>
      <c r="L468" s="4354"/>
      <c r="M468" s="4354"/>
    </row>
    <row r="469" spans="1:13" x14ac:dyDescent="0.25">
      <c r="A469" s="4354"/>
      <c r="B469" s="5095"/>
      <c r="C469" s="4620" t="s">
        <v>834</v>
      </c>
      <c r="D469" s="4565" t="str">
        <f t="shared" si="41"/>
        <v>NO</v>
      </c>
      <c r="E469" s="4602" t="str">
        <f>Table4.D_2018!K23</f>
        <v>NO</v>
      </c>
      <c r="F469" s="4567" t="str">
        <f>Table4.D_2019!K23</f>
        <v>NO</v>
      </c>
      <c r="G469" s="4568" t="str">
        <f>Table4.D_2020!K23</f>
        <v>NA</v>
      </c>
      <c r="H469" s="4354"/>
      <c r="I469" s="4387" t="str">
        <f t="shared" si="38"/>
        <v>NO</v>
      </c>
      <c r="J469" s="4387" t="str">
        <f t="shared" si="38"/>
        <v>NO</v>
      </c>
      <c r="K469" s="4354"/>
      <c r="L469" s="4354"/>
      <c r="M469" s="4354"/>
    </row>
    <row r="470" spans="1:13" x14ac:dyDescent="0.25">
      <c r="A470" s="4354"/>
      <c r="B470" s="5095"/>
      <c r="C470" s="4620" t="s">
        <v>833</v>
      </c>
      <c r="D470" s="4565" t="str">
        <f t="shared" si="41"/>
        <v>NO</v>
      </c>
      <c r="E470" s="4627" t="str">
        <f>Table4.D_2018!J25</f>
        <v>NO</v>
      </c>
      <c r="F470" s="4628" t="str">
        <f>Table4.D_2019!J25</f>
        <v>NO</v>
      </c>
      <c r="G470" s="4629" t="str">
        <f>Table4.D_2020!J25</f>
        <v>NA</v>
      </c>
      <c r="H470" s="4354"/>
      <c r="I470" s="4387" t="str">
        <f t="shared" si="38"/>
        <v>NO</v>
      </c>
      <c r="J470" s="4387" t="str">
        <f t="shared" si="38"/>
        <v>NO</v>
      </c>
      <c r="K470" s="4354"/>
      <c r="L470" s="4354"/>
      <c r="M470" s="4354"/>
    </row>
    <row r="471" spans="1:13" ht="15.75" thickBot="1" x14ac:dyDescent="0.3">
      <c r="A471" s="4354"/>
      <c r="B471" s="5095"/>
      <c r="C471" s="4621" t="s">
        <v>832</v>
      </c>
      <c r="D471" s="4565" t="str">
        <f t="shared" si="41"/>
        <v>NO</v>
      </c>
      <c r="E471" s="4627" t="str">
        <f>Table4.D_2018!J27</f>
        <v>NO</v>
      </c>
      <c r="F471" s="4628" t="str">
        <f>Table4.D_2019!J27</f>
        <v>NO</v>
      </c>
      <c r="G471" s="4629" t="str">
        <f>Table4.D_2020!J27</f>
        <v>NA</v>
      </c>
      <c r="H471" s="4354"/>
      <c r="I471" s="4387" t="str">
        <f t="shared" si="38"/>
        <v>NO</v>
      </c>
      <c r="J471" s="4387" t="str">
        <f t="shared" si="38"/>
        <v>NO</v>
      </c>
      <c r="K471" s="4354"/>
      <c r="L471" s="4354"/>
      <c r="M471" s="4354"/>
    </row>
    <row r="472" spans="1:13" ht="15.75" thickBot="1" x14ac:dyDescent="0.3">
      <c r="A472" s="4354"/>
      <c r="B472" s="5095"/>
      <c r="C472" s="4622"/>
      <c r="D472" s="4623" t="str">
        <f t="shared" si="41"/>
        <v/>
      </c>
      <c r="E472" s="4630"/>
      <c r="F472" s="4631"/>
      <c r="G472" s="4632"/>
      <c r="H472" s="4354"/>
      <c r="I472" s="4387" t="str">
        <f t="shared" si="38"/>
        <v>NO</v>
      </c>
      <c r="J472" s="4387" t="str">
        <f t="shared" si="38"/>
        <v>NO</v>
      </c>
      <c r="K472" s="4354"/>
      <c r="L472" s="4354"/>
      <c r="M472" s="4354"/>
    </row>
    <row r="473" spans="1:13" ht="17.25" x14ac:dyDescent="0.25">
      <c r="A473" s="4354"/>
      <c r="B473" s="5095"/>
      <c r="C473" s="4619" t="s">
        <v>831</v>
      </c>
      <c r="D473" s="4565" t="str">
        <f t="shared" si="41"/>
        <v>NO</v>
      </c>
      <c r="E473" s="4627" t="str">
        <f>Table4.D_2018!J29</f>
        <v>NO</v>
      </c>
      <c r="F473" s="4628" t="str">
        <f>Table4.D_2019!J29</f>
        <v>NO</v>
      </c>
      <c r="G473" s="4629" t="str">
        <f>Table4.D_2020!J29</f>
        <v>NA</v>
      </c>
      <c r="H473" s="4354"/>
      <c r="I473" s="4387" t="str">
        <f t="shared" si="38"/>
        <v>NO</v>
      </c>
      <c r="J473" s="4387" t="str">
        <f t="shared" si="38"/>
        <v>NO</v>
      </c>
      <c r="K473" s="4354"/>
      <c r="L473" s="4354"/>
      <c r="M473" s="4354"/>
    </row>
    <row r="474" spans="1:13" x14ac:dyDescent="0.25">
      <c r="A474" s="4354"/>
      <c r="B474" s="5095"/>
      <c r="C474" s="4620" t="s">
        <v>830</v>
      </c>
      <c r="D474" s="4565" t="str">
        <f t="shared" si="41"/>
        <v>NO</v>
      </c>
      <c r="E474" s="4627" t="str">
        <f>Table4.D_2018!J30</f>
        <v>NO</v>
      </c>
      <c r="F474" s="4628" t="str">
        <f>Table4.D_2019!J30</f>
        <v>NO</v>
      </c>
      <c r="G474" s="4629" t="str">
        <f>Table4.D_2020!J30</f>
        <v>NA</v>
      </c>
      <c r="H474" s="4354"/>
      <c r="I474" s="4387" t="str">
        <f t="shared" si="38"/>
        <v>NO</v>
      </c>
      <c r="J474" s="4387" t="str">
        <f t="shared" si="38"/>
        <v>NO</v>
      </c>
      <c r="K474" s="4354"/>
      <c r="L474" s="4354"/>
      <c r="M474" s="4354"/>
    </row>
    <row r="475" spans="1:13" x14ac:dyDescent="0.25">
      <c r="A475" s="4354"/>
      <c r="B475" s="5095"/>
      <c r="C475" s="4620" t="s">
        <v>829</v>
      </c>
      <c r="D475" s="4565" t="str">
        <f t="shared" si="41"/>
        <v>NO</v>
      </c>
      <c r="E475" s="4627" t="str">
        <f>Table4.D_2018!J32</f>
        <v>NO</v>
      </c>
      <c r="F475" s="4628" t="str">
        <f>Table4.D_2019!J32</f>
        <v>NO</v>
      </c>
      <c r="G475" s="4629" t="str">
        <f>Table4.D_2020!J32</f>
        <v>NA</v>
      </c>
      <c r="H475" s="4354"/>
      <c r="I475" s="4387" t="str">
        <f t="shared" ref="I475:J538" si="44">IFERROR(ABS(F475-E475)/E475,"NO")</f>
        <v>NO</v>
      </c>
      <c r="J475" s="4387" t="str">
        <f t="shared" si="44"/>
        <v>NO</v>
      </c>
      <c r="K475" s="4354"/>
      <c r="L475" s="4354"/>
      <c r="M475" s="4354"/>
    </row>
    <row r="476" spans="1:13" ht="15.75" thickBot="1" x14ac:dyDescent="0.3">
      <c r="A476" s="4354"/>
      <c r="B476" s="5096"/>
      <c r="C476" s="4621" t="s">
        <v>828</v>
      </c>
      <c r="D476" s="4570" t="str">
        <f t="shared" si="41"/>
        <v>NO</v>
      </c>
      <c r="E476" s="4633" t="str">
        <f>Table4.D_2018!J34</f>
        <v>NO</v>
      </c>
      <c r="F476" s="4572" t="str">
        <f>Table4.D_2019!J34</f>
        <v>NO</v>
      </c>
      <c r="G476" s="4573" t="str">
        <f>Table4.D_2020!J34</f>
        <v>NA</v>
      </c>
      <c r="H476" s="4354"/>
      <c r="I476" s="4387" t="str">
        <f t="shared" si="44"/>
        <v>NO</v>
      </c>
      <c r="J476" s="4387" t="str">
        <f t="shared" si="44"/>
        <v>NO</v>
      </c>
      <c r="K476" s="4354"/>
      <c r="L476" s="4354"/>
      <c r="M476" s="4354"/>
    </row>
    <row r="477" spans="1:13" ht="15.75" thickBot="1" x14ac:dyDescent="0.3">
      <c r="A477" s="4354"/>
      <c r="B477" s="5094" t="s">
        <v>810</v>
      </c>
      <c r="C477" s="4595" t="s">
        <v>841</v>
      </c>
      <c r="D477" s="4616" t="str">
        <f t="shared" si="41"/>
        <v/>
      </c>
      <c r="E477" s="4617"/>
      <c r="F477" s="4597"/>
      <c r="G477" s="4618"/>
      <c r="H477" s="4354"/>
      <c r="I477" s="4387" t="str">
        <f t="shared" si="44"/>
        <v>NO</v>
      </c>
      <c r="J477" s="4387" t="str">
        <f t="shared" si="44"/>
        <v>NO</v>
      </c>
      <c r="K477" s="4354"/>
      <c r="L477" s="4354"/>
      <c r="M477" s="4354"/>
    </row>
    <row r="478" spans="1:13" x14ac:dyDescent="0.25">
      <c r="A478" s="4354"/>
      <c r="B478" s="5095"/>
      <c r="C478" s="4619" t="s">
        <v>840</v>
      </c>
      <c r="D478" s="4587">
        <f>IF($D$3=$E$3,E478,IF($D$3=$F$3,F478,IF($D$3=$G$3,G478,"-")))</f>
        <v>-3.9226870252658799</v>
      </c>
      <c r="E478" s="4602">
        <f>Table4.D_2018!K11</f>
        <v>-3.9226870252658799</v>
      </c>
      <c r="F478" s="4567">
        <f>Table4.D_2019!K11</f>
        <v>-5.6066847810739198</v>
      </c>
      <c r="G478" s="4568">
        <f>Table4.D_2020!K11</f>
        <v>-0.47841545122722001</v>
      </c>
      <c r="H478" s="4354"/>
      <c r="I478" s="4387">
        <f t="shared" si="44"/>
        <v>-0.42929699590139964</v>
      </c>
      <c r="J478" s="4387">
        <f t="shared" si="44"/>
        <v>-0.91467052814487226</v>
      </c>
      <c r="K478" s="4354"/>
      <c r="L478" s="4354"/>
      <c r="M478" s="4354"/>
    </row>
    <row r="479" spans="1:13" x14ac:dyDescent="0.25">
      <c r="A479" s="4354"/>
      <c r="B479" s="5095"/>
      <c r="C479" s="4620" t="s">
        <v>839</v>
      </c>
      <c r="D479" s="4587">
        <f t="shared" ref="D479:D481" si="45">IF($D$3=$E$3,E479,IF($D$3=$F$3,F479,IF($D$3=$G$3,G479,"-")))</f>
        <v>-17.93365</v>
      </c>
      <c r="E479" s="4602">
        <f>Table4.D_2018!K13</f>
        <v>-17.93365</v>
      </c>
      <c r="F479" s="4567">
        <f>Table4.D_2019!K13</f>
        <v>-10.11815</v>
      </c>
      <c r="G479" s="4568">
        <f>Table4.D_2020!K13</f>
        <v>-2.8</v>
      </c>
      <c r="H479" s="4354"/>
      <c r="I479" s="4387">
        <f t="shared" si="44"/>
        <v>-0.43580085481761938</v>
      </c>
      <c r="J479" s="4387">
        <f t="shared" si="44"/>
        <v>-0.7232695700300944</v>
      </c>
      <c r="K479" s="4354"/>
      <c r="L479" s="4354"/>
      <c r="M479" s="4354"/>
    </row>
    <row r="480" spans="1:13" x14ac:dyDescent="0.25">
      <c r="A480" s="4354"/>
      <c r="B480" s="5095"/>
      <c r="C480" s="4620" t="s">
        <v>838</v>
      </c>
      <c r="D480" s="4587" t="str">
        <f t="shared" si="45"/>
        <v>NO</v>
      </c>
      <c r="E480" s="4602" t="str">
        <f>Table4.D_2018!K15</f>
        <v>NO</v>
      </c>
      <c r="F480" s="4567" t="str">
        <f>Table4.D_2019!K15</f>
        <v>NO</v>
      </c>
      <c r="G480" s="4568" t="str">
        <f>Table4.D_2020!K15</f>
        <v>NA</v>
      </c>
      <c r="H480" s="4354"/>
      <c r="I480" s="4387" t="str">
        <f t="shared" si="44"/>
        <v>NO</v>
      </c>
      <c r="J480" s="4387" t="str">
        <f t="shared" si="44"/>
        <v>NO</v>
      </c>
      <c r="K480" s="4354"/>
      <c r="L480" s="4354"/>
      <c r="M480" s="4354"/>
    </row>
    <row r="481" spans="1:13" ht="15.75" thickBot="1" x14ac:dyDescent="0.3">
      <c r="A481" s="4354"/>
      <c r="B481" s="5095"/>
      <c r="C481" s="4621" t="s">
        <v>837</v>
      </c>
      <c r="D481" s="4587" t="str">
        <f t="shared" si="45"/>
        <v>NO</v>
      </c>
      <c r="E481" s="4602" t="str">
        <f>Table4.D_2018!K18</f>
        <v>NO</v>
      </c>
      <c r="F481" s="4567" t="str">
        <f>Table4.D_2019!K18</f>
        <v>NO</v>
      </c>
      <c r="G481" s="4568" t="str">
        <f>Table4.D_2020!K18</f>
        <v>NA</v>
      </c>
      <c r="H481" s="4354"/>
      <c r="I481" s="4387" t="str">
        <f t="shared" si="44"/>
        <v>NO</v>
      </c>
      <c r="J481" s="4387" t="str">
        <f t="shared" si="44"/>
        <v>NO</v>
      </c>
      <c r="K481" s="4354"/>
      <c r="L481" s="4354"/>
      <c r="M481" s="4354"/>
    </row>
    <row r="482" spans="1:13" ht="15.75" thickBot="1" x14ac:dyDescent="0.3">
      <c r="A482" s="4354"/>
      <c r="B482" s="5095"/>
      <c r="C482" s="4622"/>
      <c r="D482" s="4623" t="str">
        <f t="shared" si="41"/>
        <v/>
      </c>
      <c r="E482" s="4624"/>
      <c r="F482" s="4625"/>
      <c r="G482" s="4626"/>
      <c r="H482" s="4354"/>
      <c r="I482" s="4387" t="str">
        <f t="shared" si="44"/>
        <v>NO</v>
      </c>
      <c r="J482" s="4387" t="str">
        <f t="shared" si="44"/>
        <v>NO</v>
      </c>
      <c r="K482" s="4354"/>
      <c r="L482" s="4354"/>
      <c r="M482" s="4354"/>
    </row>
    <row r="483" spans="1:13" x14ac:dyDescent="0.25">
      <c r="A483" s="4354"/>
      <c r="B483" s="5095"/>
      <c r="C483" s="4619" t="s">
        <v>836</v>
      </c>
      <c r="D483" s="4565" t="str">
        <f t="shared" si="41"/>
        <v>NO</v>
      </c>
      <c r="E483" s="4602" t="str">
        <f>Table4.D_2018!K22</f>
        <v>NO</v>
      </c>
      <c r="F483" s="4567" t="str">
        <f>Table4.D_2019!K22</f>
        <v>NO</v>
      </c>
      <c r="G483" s="4568" t="str">
        <f>Table4.D_2020!K22</f>
        <v>NA</v>
      </c>
      <c r="H483" s="4354"/>
      <c r="I483" s="4387" t="str">
        <f t="shared" si="44"/>
        <v>NO</v>
      </c>
      <c r="J483" s="4387" t="str">
        <f t="shared" si="44"/>
        <v>NO</v>
      </c>
      <c r="K483" s="4354"/>
      <c r="L483" s="4354"/>
      <c r="M483" s="4354"/>
    </row>
    <row r="484" spans="1:13" x14ac:dyDescent="0.25">
      <c r="A484" s="4354"/>
      <c r="B484" s="5095"/>
      <c r="C484" s="4620" t="s">
        <v>835</v>
      </c>
      <c r="D484" s="4565" t="str">
        <f t="shared" si="41"/>
        <v>NO</v>
      </c>
      <c r="E484" s="4602" t="str">
        <f>Table4.D_2018!K21</f>
        <v>NO</v>
      </c>
      <c r="F484" s="4567" t="str">
        <f>Table4.D_2019!K21</f>
        <v>NO</v>
      </c>
      <c r="G484" s="4568" t="str">
        <f>Table4.D_2020!K21</f>
        <v>NA</v>
      </c>
      <c r="H484" s="4354"/>
      <c r="I484" s="4387" t="str">
        <f t="shared" si="44"/>
        <v>NO</v>
      </c>
      <c r="J484" s="4387" t="str">
        <f t="shared" si="44"/>
        <v>NO</v>
      </c>
      <c r="K484" s="4354"/>
      <c r="L484" s="4354"/>
      <c r="M484" s="4354"/>
    </row>
    <row r="485" spans="1:13" x14ac:dyDescent="0.25">
      <c r="A485" s="4354"/>
      <c r="B485" s="5095"/>
      <c r="C485" s="4620" t="s">
        <v>834</v>
      </c>
      <c r="D485" s="4565" t="str">
        <f t="shared" si="41"/>
        <v>NO</v>
      </c>
      <c r="E485" s="4602" t="str">
        <f>Table4.D_2018!L23</f>
        <v>NO</v>
      </c>
      <c r="F485" s="4567" t="str">
        <f>Table4.D_2019!L23</f>
        <v>NO</v>
      </c>
      <c r="G485" s="4568" t="str">
        <f>Table4.D_2020!L23</f>
        <v>NA</v>
      </c>
      <c r="H485" s="4354"/>
      <c r="I485" s="4387" t="str">
        <f t="shared" si="44"/>
        <v>NO</v>
      </c>
      <c r="J485" s="4387" t="str">
        <f t="shared" si="44"/>
        <v>NO</v>
      </c>
      <c r="K485" s="4354"/>
      <c r="L485" s="4354"/>
      <c r="M485" s="4354"/>
    </row>
    <row r="486" spans="1:13" x14ac:dyDescent="0.25">
      <c r="A486" s="4354"/>
      <c r="B486" s="5095"/>
      <c r="C486" s="4620" t="s">
        <v>833</v>
      </c>
      <c r="D486" s="4565" t="str">
        <f t="shared" si="41"/>
        <v>NO</v>
      </c>
      <c r="E486" s="4627" t="str">
        <f>Table4.D_2018!K25</f>
        <v>NO</v>
      </c>
      <c r="F486" s="4628" t="str">
        <f>Table4.D_2019!K25</f>
        <v>NO</v>
      </c>
      <c r="G486" s="4629" t="str">
        <f>Table4.D_2020!K25</f>
        <v>NA</v>
      </c>
      <c r="H486" s="4354"/>
      <c r="I486" s="4387" t="str">
        <f t="shared" si="44"/>
        <v>NO</v>
      </c>
      <c r="J486" s="4387" t="str">
        <f t="shared" si="44"/>
        <v>NO</v>
      </c>
      <c r="K486" s="4354"/>
      <c r="L486" s="4354"/>
      <c r="M486" s="4354"/>
    </row>
    <row r="487" spans="1:13" ht="15.75" thickBot="1" x14ac:dyDescent="0.3">
      <c r="A487" s="4354"/>
      <c r="B487" s="5095"/>
      <c r="C487" s="4621" t="s">
        <v>832</v>
      </c>
      <c r="D487" s="4565" t="str">
        <f t="shared" si="41"/>
        <v>NO</v>
      </c>
      <c r="E487" s="4627" t="str">
        <f>Table4.D_2018!K27</f>
        <v>NO</v>
      </c>
      <c r="F487" s="4628" t="str">
        <f>Table4.D_2019!K27</f>
        <v>NO</v>
      </c>
      <c r="G487" s="4629" t="str">
        <f>Table4.D_2020!K27</f>
        <v>NA</v>
      </c>
      <c r="H487" s="4354"/>
      <c r="I487" s="4387" t="str">
        <f t="shared" si="44"/>
        <v>NO</v>
      </c>
      <c r="J487" s="4387" t="str">
        <f t="shared" si="44"/>
        <v>NO</v>
      </c>
      <c r="K487" s="4354"/>
      <c r="L487" s="4354"/>
      <c r="M487" s="4354"/>
    </row>
    <row r="488" spans="1:13" ht="15.75" thickBot="1" x14ac:dyDescent="0.3">
      <c r="A488" s="4354"/>
      <c r="B488" s="5095"/>
      <c r="C488" s="4622"/>
      <c r="D488" s="4623" t="str">
        <f t="shared" si="41"/>
        <v/>
      </c>
      <c r="E488" s="4630"/>
      <c r="F488" s="4631"/>
      <c r="G488" s="4632"/>
      <c r="H488" s="4354"/>
      <c r="I488" s="4387" t="str">
        <f t="shared" si="44"/>
        <v>NO</v>
      </c>
      <c r="J488" s="4387" t="str">
        <f t="shared" si="44"/>
        <v>NO</v>
      </c>
      <c r="K488" s="4354"/>
      <c r="L488" s="4354"/>
      <c r="M488" s="4354"/>
    </row>
    <row r="489" spans="1:13" ht="17.25" x14ac:dyDescent="0.25">
      <c r="A489" s="4354"/>
      <c r="B489" s="5095"/>
      <c r="C489" s="4619" t="s">
        <v>831</v>
      </c>
      <c r="D489" s="4565" t="str">
        <f t="shared" ref="D489:D552" si="46">""&amp;IF($D$3=$E$3,E489,IF($D$3=$F$3,F489,IF($D$3=$G$3,G489,"-")))</f>
        <v>NO</v>
      </c>
      <c r="E489" s="4627" t="str">
        <f>Table4.D_2018!K29</f>
        <v>NO</v>
      </c>
      <c r="F489" s="4628" t="str">
        <f>Table4.D_2019!K29</f>
        <v>NO</v>
      </c>
      <c r="G489" s="4629" t="str">
        <f>Table4.D_2020!K29</f>
        <v>NA</v>
      </c>
      <c r="H489" s="4354"/>
      <c r="I489" s="4387" t="str">
        <f t="shared" si="44"/>
        <v>NO</v>
      </c>
      <c r="J489" s="4387" t="str">
        <f t="shared" si="44"/>
        <v>NO</v>
      </c>
      <c r="K489" s="4354"/>
      <c r="L489" s="4354"/>
      <c r="M489" s="4354"/>
    </row>
    <row r="490" spans="1:13" x14ac:dyDescent="0.25">
      <c r="A490" s="4354"/>
      <c r="B490" s="5095"/>
      <c r="C490" s="4620" t="s">
        <v>830</v>
      </c>
      <c r="D490" s="4565" t="str">
        <f t="shared" si="46"/>
        <v>NO</v>
      </c>
      <c r="E490" s="4627" t="str">
        <f>Table4.D_2018!K30</f>
        <v>NO</v>
      </c>
      <c r="F490" s="4628" t="str">
        <f>Table4.D_2019!K30</f>
        <v>NO</v>
      </c>
      <c r="G490" s="4629" t="str">
        <f>Table4.D_2020!K30</f>
        <v>NA</v>
      </c>
      <c r="H490" s="4354"/>
      <c r="I490" s="4387" t="str">
        <f t="shared" si="44"/>
        <v>NO</v>
      </c>
      <c r="J490" s="4387" t="str">
        <f t="shared" si="44"/>
        <v>NO</v>
      </c>
      <c r="K490" s="4354"/>
      <c r="L490" s="4354"/>
      <c r="M490" s="4354"/>
    </row>
    <row r="491" spans="1:13" x14ac:dyDescent="0.25">
      <c r="A491" s="4354"/>
      <c r="B491" s="5095"/>
      <c r="C491" s="4620" t="s">
        <v>829</v>
      </c>
      <c r="D491" s="4565" t="str">
        <f t="shared" si="46"/>
        <v>NO</v>
      </c>
      <c r="E491" s="4627" t="str">
        <f>Table4.D_2018!K32</f>
        <v>NO</v>
      </c>
      <c r="F491" s="4628" t="str">
        <f>Table4.D_2019!K32</f>
        <v>NO</v>
      </c>
      <c r="G491" s="4629" t="str">
        <f>Table4.D_2020!K32</f>
        <v>NA</v>
      </c>
      <c r="H491" s="4354"/>
      <c r="I491" s="4387" t="str">
        <f t="shared" si="44"/>
        <v>NO</v>
      </c>
      <c r="J491" s="4387" t="str">
        <f t="shared" si="44"/>
        <v>NO</v>
      </c>
      <c r="K491" s="4354"/>
      <c r="L491" s="4354"/>
      <c r="M491" s="4354"/>
    </row>
    <row r="492" spans="1:13" ht="15.75" thickBot="1" x14ac:dyDescent="0.3">
      <c r="A492" s="4354"/>
      <c r="B492" s="5096"/>
      <c r="C492" s="4621" t="s">
        <v>828</v>
      </c>
      <c r="D492" s="4570" t="str">
        <f t="shared" si="46"/>
        <v>NO</v>
      </c>
      <c r="E492" s="4633" t="str">
        <f>Table4.D_2018!K34</f>
        <v>NO</v>
      </c>
      <c r="F492" s="4572" t="str">
        <f>Table4.D_2019!K34</f>
        <v>NO</v>
      </c>
      <c r="G492" s="4573" t="str">
        <f>Table4.D_2020!K34</f>
        <v>NA</v>
      </c>
      <c r="H492" s="4354"/>
      <c r="I492" s="4387" t="str">
        <f t="shared" si="44"/>
        <v>NO</v>
      </c>
      <c r="J492" s="4387" t="str">
        <f t="shared" si="44"/>
        <v>NO</v>
      </c>
      <c r="K492" s="4354"/>
      <c r="L492" s="4354"/>
      <c r="M492" s="4354"/>
    </row>
    <row r="493" spans="1:13" x14ac:dyDescent="0.25">
      <c r="A493" s="4354"/>
      <c r="B493" s="4354"/>
      <c r="C493" s="4354"/>
      <c r="D493" s="4589" t="str">
        <f t="shared" si="46"/>
        <v/>
      </c>
      <c r="E493" s="4356"/>
      <c r="F493" s="4354"/>
      <c r="G493" s="4354"/>
      <c r="H493" s="4354"/>
      <c r="I493" s="4387" t="str">
        <f t="shared" si="44"/>
        <v>NO</v>
      </c>
      <c r="J493" s="4387" t="str">
        <f t="shared" si="44"/>
        <v>NO</v>
      </c>
      <c r="K493" s="4354"/>
      <c r="L493" s="4354"/>
      <c r="M493" s="4354"/>
    </row>
    <row r="494" spans="1:13" ht="14.45" customHeight="1" x14ac:dyDescent="0.25">
      <c r="A494" s="4354"/>
      <c r="B494" s="4402" t="s">
        <v>651</v>
      </c>
      <c r="C494" s="4354"/>
      <c r="D494" s="4591" t="str">
        <f t="shared" si="46"/>
        <v xml:space="preserve"> NIR 2020 (2018) CRF tabel 4D</v>
      </c>
      <c r="E494" s="4481" t="s">
        <v>5272</v>
      </c>
      <c r="F494" s="4481" t="s">
        <v>5273</v>
      </c>
      <c r="G494" s="4481" t="s">
        <v>5274</v>
      </c>
      <c r="H494" s="4354"/>
      <c r="I494" s="4387" t="str">
        <f t="shared" si="44"/>
        <v>NO</v>
      </c>
      <c r="J494" s="4387" t="str">
        <f t="shared" si="44"/>
        <v>NO</v>
      </c>
      <c r="K494" s="4354"/>
      <c r="L494" s="4354"/>
      <c r="M494" s="4354"/>
    </row>
    <row r="495" spans="1:13" ht="15.75" thickBot="1" x14ac:dyDescent="0.3">
      <c r="A495" s="4354"/>
      <c r="B495" s="4354"/>
      <c r="C495" s="4354"/>
      <c r="D495" s="4612" t="str">
        <f t="shared" si="46"/>
        <v/>
      </c>
      <c r="E495" s="4613"/>
      <c r="F495" s="4614"/>
      <c r="G495" s="4615"/>
      <c r="H495" s="4354"/>
      <c r="I495" s="4387" t="str">
        <f t="shared" si="44"/>
        <v>NO</v>
      </c>
      <c r="J495" s="4387" t="str">
        <f t="shared" si="44"/>
        <v>NO</v>
      </c>
      <c r="K495" s="4354"/>
      <c r="L495" s="4354"/>
      <c r="M495" s="4354"/>
    </row>
    <row r="496" spans="1:13" ht="15.75" thickBot="1" x14ac:dyDescent="0.3">
      <c r="A496" s="4354"/>
      <c r="B496" s="5097" t="s">
        <v>827</v>
      </c>
      <c r="C496" s="5098"/>
      <c r="D496" s="4593" t="str">
        <f t="shared" si="46"/>
        <v>ton C / ha</v>
      </c>
      <c r="E496" s="4594" t="s">
        <v>4776</v>
      </c>
      <c r="F496" s="4548" t="s">
        <v>4776</v>
      </c>
      <c r="G496" s="4549" t="s">
        <v>4776</v>
      </c>
      <c r="H496" s="4354"/>
      <c r="I496" s="4387" t="str">
        <f t="shared" si="44"/>
        <v>NO</v>
      </c>
      <c r="J496" s="4387" t="str">
        <f t="shared" si="44"/>
        <v>NO</v>
      </c>
      <c r="K496" s="4354"/>
      <c r="L496" s="4354"/>
      <c r="M496" s="4354"/>
    </row>
    <row r="497" spans="1:13" ht="15.75" thickBot="1" x14ac:dyDescent="0.3">
      <c r="A497" s="4354"/>
      <c r="B497" s="5094" t="s">
        <v>815</v>
      </c>
      <c r="C497" s="4634" t="s">
        <v>826</v>
      </c>
      <c r="D497" s="4551" t="str">
        <f t="shared" si="46"/>
        <v/>
      </c>
      <c r="E497" s="4596"/>
      <c r="F497" s="4596"/>
      <c r="G497" s="4554"/>
      <c r="H497" s="4354"/>
      <c r="I497" s="4387" t="str">
        <f t="shared" si="44"/>
        <v>NO</v>
      </c>
      <c r="J497" s="4387" t="str">
        <f t="shared" si="44"/>
        <v>NO</v>
      </c>
      <c r="K497" s="4354"/>
      <c r="L497" s="4354"/>
      <c r="M497" s="4354"/>
    </row>
    <row r="498" spans="1:13" ht="15.75" thickBot="1" x14ac:dyDescent="0.3">
      <c r="A498" s="4354"/>
      <c r="B498" s="5095"/>
      <c r="C498" s="4608" t="s">
        <v>825</v>
      </c>
      <c r="D498" s="4579" t="str">
        <f t="shared" si="46"/>
        <v>NO</v>
      </c>
      <c r="E498" s="4598" t="str">
        <f>Table4.E_2018!F11</f>
        <v>NO</v>
      </c>
      <c r="F498" s="4558" t="str">
        <f>Table4.E_2019!F11</f>
        <v>NO</v>
      </c>
      <c r="G498" s="4559" t="str">
        <f>Table4.E_2020!F11</f>
        <v>NA</v>
      </c>
      <c r="H498" s="4354"/>
      <c r="I498" s="4387" t="str">
        <f t="shared" si="44"/>
        <v>NO</v>
      </c>
      <c r="J498" s="4387" t="str">
        <f t="shared" si="44"/>
        <v>NO</v>
      </c>
      <c r="K498" s="4354"/>
      <c r="L498" s="4354"/>
      <c r="M498" s="4354"/>
    </row>
    <row r="499" spans="1:13" x14ac:dyDescent="0.25">
      <c r="A499" s="4354"/>
      <c r="B499" s="5095"/>
      <c r="C499" s="4609" t="s">
        <v>824</v>
      </c>
      <c r="D499" s="4586" t="str">
        <f t="shared" si="46"/>
        <v/>
      </c>
      <c r="E499" s="4600"/>
      <c r="F499" s="4562"/>
      <c r="G499" s="4563"/>
      <c r="H499" s="4354"/>
      <c r="I499" s="4387" t="str">
        <f t="shared" si="44"/>
        <v>NO</v>
      </c>
      <c r="J499" s="4387" t="str">
        <f t="shared" si="44"/>
        <v>NO</v>
      </c>
      <c r="K499" s="4354"/>
      <c r="L499" s="4354"/>
      <c r="M499" s="4354"/>
    </row>
    <row r="500" spans="1:13" x14ac:dyDescent="0.25">
      <c r="A500" s="4354"/>
      <c r="B500" s="5095"/>
      <c r="C500" s="4610" t="s">
        <v>823</v>
      </c>
      <c r="D500" s="4556">
        <f>IF($D$3=$E$3,E500,IF($D$3=$F$3,F500,IF($D$3=$G$3,G500,"-")))</f>
        <v>0.34258221552902002</v>
      </c>
      <c r="E500" s="4598">
        <f>Table4.E_2018!F14</f>
        <v>0.34258221552902002</v>
      </c>
      <c r="F500" s="4558">
        <f>Table4.E_2019!F14</f>
        <v>0.27157901911999999</v>
      </c>
      <c r="G500" s="4559">
        <f>Table4.E_2020!F14</f>
        <v>0.21973221130928999</v>
      </c>
      <c r="H500" s="4354"/>
      <c r="I500" s="4387">
        <f t="shared" si="44"/>
        <v>0.20725885113264256</v>
      </c>
      <c r="J500" s="4387">
        <f t="shared" si="44"/>
        <v>0.19090873801190419</v>
      </c>
      <c r="K500" s="4354"/>
      <c r="L500" s="4354"/>
      <c r="M500" s="4354"/>
    </row>
    <row r="501" spans="1:13" x14ac:dyDescent="0.25">
      <c r="A501" s="4354"/>
      <c r="B501" s="5095"/>
      <c r="C501" s="4610" t="s">
        <v>822</v>
      </c>
      <c r="D501" s="4556">
        <f t="shared" ref="D501:D506" si="47">IF($D$3=$E$3,E501,IF($D$3=$F$3,F501,IF($D$3=$G$3,G501,"-")))</f>
        <v>6.0319142860860001E-2</v>
      </c>
      <c r="E501" s="4598">
        <f>Table4.E_2018!F16</f>
        <v>6.0319142860860001E-2</v>
      </c>
      <c r="F501" s="4558">
        <f>Table4.E_2019!F16</f>
        <v>7.5303676519849996E-2</v>
      </c>
      <c r="G501" s="4559">
        <f>Table4.E_2020!F16</f>
        <v>0.10742939800562</v>
      </c>
      <c r="H501" s="4354"/>
      <c r="I501" s="4387">
        <f t="shared" si="44"/>
        <v>0.24842086522275814</v>
      </c>
      <c r="J501" s="4387">
        <f t="shared" si="44"/>
        <v>0.42661557802296263</v>
      </c>
      <c r="K501" s="4354"/>
      <c r="L501" s="4354"/>
      <c r="M501" s="4354"/>
    </row>
    <row r="502" spans="1:13" x14ac:dyDescent="0.25">
      <c r="A502" s="4354"/>
      <c r="B502" s="5095"/>
      <c r="C502" s="4610" t="s">
        <v>821</v>
      </c>
      <c r="D502" s="4556">
        <f t="shared" si="47"/>
        <v>0.35187009210366998</v>
      </c>
      <c r="E502" s="4598">
        <f>Table4.E_2018!F18</f>
        <v>0.35187009210366998</v>
      </c>
      <c r="F502" s="4558">
        <f>Table4.E_2019!F18</f>
        <v>5.4246411483249997E-2</v>
      </c>
      <c r="G502" s="4559">
        <f>Table4.E_2020!F18</f>
        <v>8.5918500543439996E-2</v>
      </c>
      <c r="H502" s="4354"/>
      <c r="I502" s="4387">
        <f t="shared" si="44"/>
        <v>0.84583398049281322</v>
      </c>
      <c r="J502" s="4387">
        <f t="shared" si="44"/>
        <v>0.58385593063551466</v>
      </c>
      <c r="K502" s="4354"/>
      <c r="L502" s="4354"/>
      <c r="M502" s="4354"/>
    </row>
    <row r="503" spans="1:13" x14ac:dyDescent="0.25">
      <c r="A503" s="4354"/>
      <c r="B503" s="5095"/>
      <c r="C503" s="4610" t="s">
        <v>820</v>
      </c>
      <c r="D503" s="4556">
        <f t="shared" si="47"/>
        <v>0.26096228175397002</v>
      </c>
      <c r="E503" s="4602">
        <f>Table4.E_2018!F20</f>
        <v>0.26096228175397002</v>
      </c>
      <c r="F503" s="4567">
        <f>Table4.E_2019!F20</f>
        <v>2.739577693557E-2</v>
      </c>
      <c r="G503" s="4568">
        <f>Table4.E_2020!F20</f>
        <v>2.40788033571E-3</v>
      </c>
      <c r="H503" s="4354"/>
      <c r="I503" s="4387">
        <f t="shared" si="44"/>
        <v>0.89502016631890824</v>
      </c>
      <c r="J503" s="4387">
        <f t="shared" si="44"/>
        <v>0.91210760908979127</v>
      </c>
      <c r="K503" s="4354"/>
      <c r="L503" s="4354"/>
      <c r="M503" s="4354"/>
    </row>
    <row r="504" spans="1:13" x14ac:dyDescent="0.25">
      <c r="A504" s="4354"/>
      <c r="B504" s="5095"/>
      <c r="C504" s="4610" t="s">
        <v>819</v>
      </c>
      <c r="D504" s="4556" t="str">
        <f t="shared" si="47"/>
        <v>NO</v>
      </c>
      <c r="E504" s="4602" t="str">
        <f>Table4.E_2018!F22</f>
        <v>NO</v>
      </c>
      <c r="F504" s="4567" t="str">
        <f>Table4.E_2019!F22</f>
        <v>NO</v>
      </c>
      <c r="G504" s="4568" t="str">
        <f>Table4.E_2020!F22</f>
        <v>NA</v>
      </c>
      <c r="H504" s="4354"/>
      <c r="I504" s="4387" t="str">
        <f t="shared" si="44"/>
        <v>NO</v>
      </c>
      <c r="J504" s="4387" t="str">
        <f t="shared" si="44"/>
        <v>NO</v>
      </c>
      <c r="K504" s="4354"/>
      <c r="L504" s="4354"/>
      <c r="M504" s="4354"/>
    </row>
    <row r="505" spans="1:13" x14ac:dyDescent="0.25">
      <c r="A505" s="4354"/>
      <c r="B505" s="5095"/>
      <c r="C505" s="4610" t="s">
        <v>818</v>
      </c>
      <c r="D505" s="4556" t="str">
        <f t="shared" si="47"/>
        <v>NA</v>
      </c>
      <c r="E505" s="4603" t="s">
        <v>799</v>
      </c>
      <c r="F505" s="4581" t="s">
        <v>799</v>
      </c>
      <c r="G505" s="4582" t="s">
        <v>799</v>
      </c>
      <c r="H505" s="4354"/>
      <c r="I505" s="4387" t="str">
        <f t="shared" si="44"/>
        <v>NO</v>
      </c>
      <c r="J505" s="4387" t="str">
        <f t="shared" si="44"/>
        <v>NO</v>
      </c>
      <c r="K505" s="4354"/>
      <c r="L505" s="4354"/>
      <c r="M505" s="4354"/>
    </row>
    <row r="506" spans="1:13" ht="15.75" thickBot="1" x14ac:dyDescent="0.3">
      <c r="A506" s="4354"/>
      <c r="B506" s="5096"/>
      <c r="C506" s="4611" t="s">
        <v>817</v>
      </c>
      <c r="D506" s="4556" t="str">
        <f t="shared" si="47"/>
        <v>NA</v>
      </c>
      <c r="E506" s="4605" t="s">
        <v>799</v>
      </c>
      <c r="F506" s="4584" t="s">
        <v>799</v>
      </c>
      <c r="G506" s="4585" t="s">
        <v>799</v>
      </c>
      <c r="H506" s="4354"/>
      <c r="I506" s="4387" t="str">
        <f t="shared" si="44"/>
        <v>NO</v>
      </c>
      <c r="J506" s="4387" t="str">
        <f t="shared" si="44"/>
        <v>NO</v>
      </c>
      <c r="K506" s="4354"/>
      <c r="L506" s="4354"/>
      <c r="M506" s="4354"/>
    </row>
    <row r="507" spans="1:13" ht="15.75" thickBot="1" x14ac:dyDescent="0.3">
      <c r="A507" s="4354"/>
      <c r="B507" s="5094" t="s">
        <v>814</v>
      </c>
      <c r="C507" s="4634" t="s">
        <v>826</v>
      </c>
      <c r="D507" s="4574" t="str">
        <f t="shared" si="46"/>
        <v/>
      </c>
      <c r="E507" s="4606"/>
      <c r="F507" s="4576"/>
      <c r="G507" s="4577"/>
      <c r="H507" s="4354"/>
      <c r="I507" s="4387" t="str">
        <f t="shared" si="44"/>
        <v>NO</v>
      </c>
      <c r="J507" s="4387" t="str">
        <f t="shared" si="44"/>
        <v>NO</v>
      </c>
      <c r="K507" s="4354"/>
      <c r="L507" s="4354"/>
      <c r="M507" s="4354"/>
    </row>
    <row r="508" spans="1:13" ht="15.75" thickBot="1" x14ac:dyDescent="0.3">
      <c r="A508" s="4354"/>
      <c r="B508" s="5095"/>
      <c r="C508" s="4608" t="s">
        <v>825</v>
      </c>
      <c r="D508" s="4565" t="str">
        <f t="shared" si="46"/>
        <v>NO</v>
      </c>
      <c r="E508" s="4602" t="str">
        <f>Table4.E_2018!G11</f>
        <v>NO</v>
      </c>
      <c r="F508" s="4567" t="str">
        <f>Table4.E_2019!G11</f>
        <v>NO</v>
      </c>
      <c r="G508" s="4568" t="str">
        <f>Table4.E_2020!G11</f>
        <v>NA</v>
      </c>
      <c r="H508" s="4354"/>
      <c r="I508" s="4387" t="str">
        <f t="shared" si="44"/>
        <v>NO</v>
      </c>
      <c r="J508" s="4387" t="str">
        <f t="shared" si="44"/>
        <v>NO</v>
      </c>
      <c r="K508" s="4354"/>
      <c r="L508" s="4354"/>
      <c r="M508" s="4354"/>
    </row>
    <row r="509" spans="1:13" x14ac:dyDescent="0.25">
      <c r="A509" s="4354"/>
      <c r="B509" s="5095"/>
      <c r="C509" s="4609" t="s">
        <v>824</v>
      </c>
      <c r="D509" s="4586" t="str">
        <f t="shared" si="46"/>
        <v/>
      </c>
      <c r="E509" s="4600"/>
      <c r="F509" s="4562"/>
      <c r="G509" s="4563"/>
      <c r="H509" s="4354"/>
      <c r="I509" s="4387" t="str">
        <f t="shared" si="44"/>
        <v>NO</v>
      </c>
      <c r="J509" s="4387" t="str">
        <f t="shared" si="44"/>
        <v>NO</v>
      </c>
      <c r="K509" s="4354"/>
      <c r="L509" s="4354"/>
      <c r="M509" s="4354"/>
    </row>
    <row r="510" spans="1:13" x14ac:dyDescent="0.25">
      <c r="A510" s="4354"/>
      <c r="B510" s="5095"/>
      <c r="C510" s="4610" t="s">
        <v>823</v>
      </c>
      <c r="D510" s="4556">
        <f>IF($D$3=$E$3,E510,IF($D$3=$F$3,F510,IF($D$3=$G$3,G510,"-")))</f>
        <v>-2.7654025116800298</v>
      </c>
      <c r="E510" s="4598">
        <f>Table4.E_2018!G14</f>
        <v>-2.7654025116800298</v>
      </c>
      <c r="F510" s="4558">
        <f>Table4.E_2019!G14</f>
        <v>-1.2385329700282901</v>
      </c>
      <c r="G510" s="4559">
        <f>Table4.E_2020!G14</f>
        <v>-1.80260813831598</v>
      </c>
      <c r="H510" s="4354"/>
      <c r="I510" s="4387">
        <f t="shared" si="44"/>
        <v>-0.55213283968710225</v>
      </c>
      <c r="J510" s="4387">
        <f t="shared" si="44"/>
        <v>-0.45543815299063495</v>
      </c>
      <c r="K510" s="4354"/>
      <c r="L510" s="4354"/>
      <c r="M510" s="4354"/>
    </row>
    <row r="511" spans="1:13" x14ac:dyDescent="0.25">
      <c r="A511" s="4354"/>
      <c r="B511" s="5095"/>
      <c r="C511" s="4610" t="s">
        <v>822</v>
      </c>
      <c r="D511" s="4556">
        <f t="shared" ref="D511:D516" si="48">IF($D$3=$E$3,E511,IF($D$3=$F$3,F511,IF($D$3=$G$3,G511,"-")))</f>
        <v>-0.16279598172788001</v>
      </c>
      <c r="E511" s="4598">
        <f>Table4.E_2018!G16</f>
        <v>-0.16279598172788001</v>
      </c>
      <c r="F511" s="4558">
        <f>Table4.E_2019!G16</f>
        <v>-0.20323790036601999</v>
      </c>
      <c r="G511" s="4559">
        <f>Table4.E_2020!G16</f>
        <v>-0.28994235470405999</v>
      </c>
      <c r="H511" s="4354"/>
      <c r="I511" s="4387">
        <f t="shared" si="44"/>
        <v>-0.24842086523818666</v>
      </c>
      <c r="J511" s="4387">
        <f t="shared" si="44"/>
        <v>-0.42661557800926975</v>
      </c>
      <c r="K511" s="4354"/>
      <c r="L511" s="4354"/>
      <c r="M511" s="4354"/>
    </row>
    <row r="512" spans="1:13" x14ac:dyDescent="0.25">
      <c r="A512" s="4354"/>
      <c r="B512" s="5095"/>
      <c r="C512" s="4610" t="s">
        <v>821</v>
      </c>
      <c r="D512" s="4556">
        <f t="shared" si="48"/>
        <v>-0.66855317499697997</v>
      </c>
      <c r="E512" s="4598">
        <f>Table4.E_2018!G18</f>
        <v>-0.66855317499697997</v>
      </c>
      <c r="F512" s="4558">
        <f>Table4.E_2019!G18</f>
        <v>-0.10306818181818</v>
      </c>
      <c r="G512" s="4559">
        <f>Table4.E_2020!G18</f>
        <v>-0.16324515103254</v>
      </c>
      <c r="H512" s="4354"/>
      <c r="I512" s="4387">
        <f t="shared" si="44"/>
        <v>-0.84583398049280734</v>
      </c>
      <c r="J512" s="4387">
        <f t="shared" si="44"/>
        <v>-0.58385593063547658</v>
      </c>
      <c r="K512" s="4354"/>
      <c r="L512" s="4354"/>
      <c r="M512" s="4354"/>
    </row>
    <row r="513" spans="1:13" x14ac:dyDescent="0.25">
      <c r="A513" s="4354"/>
      <c r="B513" s="5095"/>
      <c r="C513" s="4610" t="s">
        <v>820</v>
      </c>
      <c r="D513" s="4556">
        <f t="shared" si="48"/>
        <v>-0.81135545781687002</v>
      </c>
      <c r="E513" s="4602">
        <f>Table4.E_2018!G20</f>
        <v>-0.81135545781687002</v>
      </c>
      <c r="F513" s="4567">
        <f>Table4.E_2019!G20</f>
        <v>-8.5175961017870006E-2</v>
      </c>
      <c r="G513" s="4568">
        <f>Table4.E_2020!G20</f>
        <v>-7.4863188619499997E-3</v>
      </c>
      <c r="H513" s="4354"/>
      <c r="I513" s="4387">
        <f t="shared" si="44"/>
        <v>-0.89502016631889725</v>
      </c>
      <c r="J513" s="4387">
        <f t="shared" si="44"/>
        <v>-0.91210760908961896</v>
      </c>
      <c r="K513" s="4354"/>
      <c r="L513" s="4354"/>
      <c r="M513" s="4354"/>
    </row>
    <row r="514" spans="1:13" x14ac:dyDescent="0.25">
      <c r="A514" s="4354"/>
      <c r="B514" s="5095"/>
      <c r="C514" s="4610" t="s">
        <v>819</v>
      </c>
      <c r="D514" s="4556" t="str">
        <f t="shared" si="48"/>
        <v>NO</v>
      </c>
      <c r="E514" s="4602" t="str">
        <f>Table4.E_2018!G22</f>
        <v>NO</v>
      </c>
      <c r="F514" s="4567" t="str">
        <f>Table4.E_2019!G22</f>
        <v>NO</v>
      </c>
      <c r="G514" s="4568" t="str">
        <f>Table4.E_2020!G22</f>
        <v>NA</v>
      </c>
      <c r="H514" s="4354"/>
      <c r="I514" s="4387" t="str">
        <f t="shared" si="44"/>
        <v>NO</v>
      </c>
      <c r="J514" s="4387" t="str">
        <f t="shared" si="44"/>
        <v>NO</v>
      </c>
      <c r="K514" s="4354"/>
      <c r="L514" s="4354"/>
      <c r="M514" s="4354"/>
    </row>
    <row r="515" spans="1:13" x14ac:dyDescent="0.25">
      <c r="A515" s="4354"/>
      <c r="B515" s="5095"/>
      <c r="C515" s="4610" t="s">
        <v>818</v>
      </c>
      <c r="D515" s="4556" t="str">
        <f t="shared" si="48"/>
        <v>NA</v>
      </c>
      <c r="E515" s="4603" t="s">
        <v>799</v>
      </c>
      <c r="F515" s="4581" t="s">
        <v>799</v>
      </c>
      <c r="G515" s="4582" t="s">
        <v>799</v>
      </c>
      <c r="H515" s="4354"/>
      <c r="I515" s="4387" t="str">
        <f t="shared" si="44"/>
        <v>NO</v>
      </c>
      <c r="J515" s="4387" t="str">
        <f t="shared" si="44"/>
        <v>NO</v>
      </c>
      <c r="K515" s="4354"/>
      <c r="L515" s="4354"/>
      <c r="M515" s="4354"/>
    </row>
    <row r="516" spans="1:13" ht="15.75" thickBot="1" x14ac:dyDescent="0.3">
      <c r="A516" s="4354"/>
      <c r="B516" s="5096"/>
      <c r="C516" s="4611" t="s">
        <v>817</v>
      </c>
      <c r="D516" s="4556" t="str">
        <f t="shared" si="48"/>
        <v>NA</v>
      </c>
      <c r="E516" s="4605" t="s">
        <v>799</v>
      </c>
      <c r="F516" s="4584" t="s">
        <v>799</v>
      </c>
      <c r="G516" s="4585" t="s">
        <v>799</v>
      </c>
      <c r="H516" s="4354"/>
      <c r="I516" s="4387" t="str">
        <f t="shared" si="44"/>
        <v>NO</v>
      </c>
      <c r="J516" s="4387" t="str">
        <f t="shared" si="44"/>
        <v>NO</v>
      </c>
      <c r="K516" s="4354"/>
      <c r="L516" s="4354"/>
      <c r="M516" s="4354"/>
    </row>
    <row r="517" spans="1:13" ht="15.75" thickBot="1" x14ac:dyDescent="0.3">
      <c r="A517" s="4354"/>
      <c r="B517" s="5094" t="s">
        <v>813</v>
      </c>
      <c r="C517" s="4634" t="s">
        <v>826</v>
      </c>
      <c r="D517" s="4574" t="str">
        <f t="shared" si="46"/>
        <v/>
      </c>
      <c r="E517" s="4606"/>
      <c r="F517" s="4576"/>
      <c r="G517" s="4577"/>
      <c r="H517" s="4354"/>
      <c r="I517" s="4387" t="str">
        <f t="shared" si="44"/>
        <v>NO</v>
      </c>
      <c r="J517" s="4387" t="str">
        <f t="shared" si="44"/>
        <v>NO</v>
      </c>
      <c r="K517" s="4354"/>
      <c r="L517" s="4354"/>
      <c r="M517" s="4354"/>
    </row>
    <row r="518" spans="1:13" ht="15.75" thickBot="1" x14ac:dyDescent="0.3">
      <c r="A518" s="4354"/>
      <c r="B518" s="5095"/>
      <c r="C518" s="4608" t="s">
        <v>825</v>
      </c>
      <c r="D518" s="4565" t="str">
        <f t="shared" si="46"/>
        <v>NO</v>
      </c>
      <c r="E518" s="4602" t="str">
        <f>Table4.E_2018!H12</f>
        <v>NO</v>
      </c>
      <c r="F518" s="4567" t="str">
        <f>Table4.E_2019!H12</f>
        <v>NO</v>
      </c>
      <c r="G518" s="4568" t="str">
        <f>Table4.E_2020!H12</f>
        <v>NA</v>
      </c>
      <c r="H518" s="4354"/>
      <c r="I518" s="4387" t="str">
        <f t="shared" si="44"/>
        <v>NO</v>
      </c>
      <c r="J518" s="4387" t="str">
        <f t="shared" si="44"/>
        <v>NO</v>
      </c>
      <c r="K518" s="4354"/>
      <c r="L518" s="4354"/>
      <c r="M518" s="4354"/>
    </row>
    <row r="519" spans="1:13" x14ac:dyDescent="0.25">
      <c r="A519" s="4354"/>
      <c r="B519" s="5095"/>
      <c r="C519" s="4609" t="s">
        <v>824</v>
      </c>
      <c r="D519" s="4586" t="str">
        <f t="shared" si="46"/>
        <v/>
      </c>
      <c r="E519" s="4600"/>
      <c r="F519" s="4562"/>
      <c r="G519" s="4563"/>
      <c r="H519" s="4354"/>
      <c r="I519" s="4387" t="str">
        <f t="shared" si="44"/>
        <v>NO</v>
      </c>
      <c r="J519" s="4387" t="str">
        <f t="shared" si="44"/>
        <v>NO</v>
      </c>
      <c r="K519" s="4354"/>
      <c r="L519" s="4354"/>
      <c r="M519" s="4354"/>
    </row>
    <row r="520" spans="1:13" x14ac:dyDescent="0.25">
      <c r="A520" s="4354"/>
      <c r="B520" s="5095"/>
      <c r="C520" s="4610" t="s">
        <v>823</v>
      </c>
      <c r="D520" s="4556">
        <f>IF($D$3=$E$3,E520,IF($D$3=$F$3,F520,IF($D$3=$G$3,G520,"-")))</f>
        <v>-2.4228202961510199</v>
      </c>
      <c r="E520" s="4598">
        <f>Table4.E_2018!H14</f>
        <v>-2.4228202961510199</v>
      </c>
      <c r="F520" s="4558">
        <f>Table4.E_2019!H14</f>
        <v>-0.96695395090828995</v>
      </c>
      <c r="G520" s="4559">
        <f>Table4.E_2020!H14</f>
        <v>-1.5828759270066799</v>
      </c>
      <c r="H520" s="4354"/>
      <c r="I520" s="4387">
        <f t="shared" si="44"/>
        <v>-0.6008973705377868</v>
      </c>
      <c r="J520" s="4387">
        <f t="shared" si="44"/>
        <v>-0.63697136303113011</v>
      </c>
      <c r="K520" s="4354"/>
      <c r="L520" s="4354"/>
      <c r="M520" s="4354"/>
    </row>
    <row r="521" spans="1:13" x14ac:dyDescent="0.25">
      <c r="A521" s="4354"/>
      <c r="B521" s="5095"/>
      <c r="C521" s="4610" t="s">
        <v>822</v>
      </c>
      <c r="D521" s="4556">
        <f t="shared" ref="D521:D526" si="49">IF($D$3=$E$3,E521,IF($D$3=$F$3,F521,IF($D$3=$G$3,G521,"-")))</f>
        <v>-0.10247683886702</v>
      </c>
      <c r="E521" s="4598">
        <f>Table4.E_2018!H16</f>
        <v>-0.10247683886702</v>
      </c>
      <c r="F521" s="4558">
        <f>Table4.E_2019!H16</f>
        <v>-0.12793422384617001</v>
      </c>
      <c r="G521" s="4559">
        <f>Table4.E_2020!H16</f>
        <v>-0.18251295669844</v>
      </c>
      <c r="H521" s="4354"/>
      <c r="I521" s="4387">
        <f t="shared" si="44"/>
        <v>-0.24842086524726839</v>
      </c>
      <c r="J521" s="4387">
        <f t="shared" si="44"/>
        <v>-0.42661557800120997</v>
      </c>
      <c r="K521" s="4354"/>
      <c r="L521" s="4354"/>
      <c r="M521" s="4354"/>
    </row>
    <row r="522" spans="1:13" x14ac:dyDescent="0.25">
      <c r="A522" s="4354"/>
      <c r="B522" s="5095"/>
      <c r="C522" s="4610" t="s">
        <v>821</v>
      </c>
      <c r="D522" s="4556">
        <f t="shared" si="49"/>
        <v>-0.31668308289329999</v>
      </c>
      <c r="E522" s="4598">
        <f>Table4.E_2018!H18</f>
        <v>-0.31668308289329999</v>
      </c>
      <c r="F522" s="4558">
        <f>Table4.E_2019!H18</f>
        <v>-4.8821770334930001E-2</v>
      </c>
      <c r="G522" s="4559">
        <f>Table4.E_2020!H18</f>
        <v>-7.7326650489099993E-2</v>
      </c>
      <c r="H522" s="4354"/>
      <c r="I522" s="4387">
        <f t="shared" si="44"/>
        <v>-0.8458339804927959</v>
      </c>
      <c r="J522" s="4387">
        <f t="shared" si="44"/>
        <v>-0.58385593063543428</v>
      </c>
      <c r="K522" s="4354"/>
      <c r="L522" s="4354"/>
      <c r="M522" s="4354"/>
    </row>
    <row r="523" spans="1:13" x14ac:dyDescent="0.25">
      <c r="A523" s="4354"/>
      <c r="B523" s="5095"/>
      <c r="C523" s="4610" t="s">
        <v>820</v>
      </c>
      <c r="D523" s="4556">
        <f t="shared" si="49"/>
        <v>-0.55039317606291005</v>
      </c>
      <c r="E523" s="4602">
        <f>Table4.E_2018!H20</f>
        <v>-0.55039317606291005</v>
      </c>
      <c r="F523" s="4567">
        <f>Table4.E_2019!H20</f>
        <v>-5.7780184082299998E-2</v>
      </c>
      <c r="G523" s="4568">
        <f>Table4.E_2020!H20</f>
        <v>-5.0784385262299999E-3</v>
      </c>
      <c r="H523" s="4354"/>
      <c r="I523" s="4387">
        <f t="shared" si="44"/>
        <v>-0.89502016631889392</v>
      </c>
      <c r="J523" s="4387">
        <f t="shared" si="44"/>
        <v>-0.91210760908971045</v>
      </c>
      <c r="K523" s="4354"/>
      <c r="L523" s="4354"/>
      <c r="M523" s="4354"/>
    </row>
    <row r="524" spans="1:13" x14ac:dyDescent="0.25">
      <c r="A524" s="4354"/>
      <c r="B524" s="5095"/>
      <c r="C524" s="4610" t="s">
        <v>819</v>
      </c>
      <c r="D524" s="4556" t="str">
        <f t="shared" si="49"/>
        <v>NO</v>
      </c>
      <c r="E524" s="4602" t="str">
        <f>Table4.E_2018!H22</f>
        <v>NO</v>
      </c>
      <c r="F524" s="4567" t="str">
        <f>Table4.E_2019!H22</f>
        <v>NO</v>
      </c>
      <c r="G524" s="4568" t="str">
        <f>Table4.E_2020!H22</f>
        <v>NA</v>
      </c>
      <c r="H524" s="4354"/>
      <c r="I524" s="4387" t="str">
        <f t="shared" si="44"/>
        <v>NO</v>
      </c>
      <c r="J524" s="4387" t="str">
        <f t="shared" si="44"/>
        <v>NO</v>
      </c>
      <c r="K524" s="4354"/>
      <c r="L524" s="4354"/>
      <c r="M524" s="4354"/>
    </row>
    <row r="525" spans="1:13" x14ac:dyDescent="0.25">
      <c r="A525" s="4354"/>
      <c r="B525" s="5095"/>
      <c r="C525" s="4610" t="s">
        <v>818</v>
      </c>
      <c r="D525" s="4556" t="str">
        <f t="shared" si="49"/>
        <v>NA</v>
      </c>
      <c r="E525" s="4603" t="s">
        <v>799</v>
      </c>
      <c r="F525" s="4581" t="s">
        <v>799</v>
      </c>
      <c r="G525" s="4582" t="s">
        <v>799</v>
      </c>
      <c r="H525" s="4354"/>
      <c r="I525" s="4387" t="str">
        <f t="shared" si="44"/>
        <v>NO</v>
      </c>
      <c r="J525" s="4387" t="str">
        <f t="shared" si="44"/>
        <v>NO</v>
      </c>
      <c r="K525" s="4354"/>
      <c r="L525" s="4354"/>
      <c r="M525" s="4354"/>
    </row>
    <row r="526" spans="1:13" ht="15.75" thickBot="1" x14ac:dyDescent="0.3">
      <c r="A526" s="4354"/>
      <c r="B526" s="5096"/>
      <c r="C526" s="4611" t="s">
        <v>817</v>
      </c>
      <c r="D526" s="4556" t="str">
        <f t="shared" si="49"/>
        <v>NA</v>
      </c>
      <c r="E526" s="4605" t="s">
        <v>799</v>
      </c>
      <c r="F526" s="4584" t="s">
        <v>799</v>
      </c>
      <c r="G526" s="4585" t="s">
        <v>799</v>
      </c>
      <c r="H526" s="4354"/>
      <c r="I526" s="4387" t="str">
        <f t="shared" si="44"/>
        <v>NO</v>
      </c>
      <c r="J526" s="4387" t="str">
        <f t="shared" si="44"/>
        <v>NO</v>
      </c>
      <c r="K526" s="4354"/>
      <c r="L526" s="4354"/>
      <c r="M526" s="4354"/>
    </row>
    <row r="527" spans="1:13" ht="15.75" thickBot="1" x14ac:dyDescent="0.3">
      <c r="A527" s="4354"/>
      <c r="B527" s="5094" t="s">
        <v>812</v>
      </c>
      <c r="C527" s="4634" t="s">
        <v>826</v>
      </c>
      <c r="D527" s="4574" t="str">
        <f t="shared" si="46"/>
        <v/>
      </c>
      <c r="E527" s="4606"/>
      <c r="F527" s="4576"/>
      <c r="G527" s="4577"/>
      <c r="H527" s="4354"/>
      <c r="I527" s="4387" t="str">
        <f t="shared" si="44"/>
        <v>NO</v>
      </c>
      <c r="J527" s="4387" t="str">
        <f t="shared" si="44"/>
        <v>NO</v>
      </c>
      <c r="K527" s="4354"/>
      <c r="L527" s="4354"/>
      <c r="M527" s="4354"/>
    </row>
    <row r="528" spans="1:13" ht="15.75" thickBot="1" x14ac:dyDescent="0.3">
      <c r="A528" s="4354"/>
      <c r="B528" s="5095"/>
      <c r="C528" s="4608" t="s">
        <v>825</v>
      </c>
      <c r="D528" s="4565" t="str">
        <f t="shared" si="46"/>
        <v>NO</v>
      </c>
      <c r="E528" s="4602" t="str">
        <f>Table4.E_2018!I12</f>
        <v>NO</v>
      </c>
      <c r="F528" s="4567" t="str">
        <f>Table4.E_2019!I12</f>
        <v>NO</v>
      </c>
      <c r="G528" s="4568" t="str">
        <f>Table4.E_2020!I12</f>
        <v>NA</v>
      </c>
      <c r="H528" s="4354"/>
      <c r="I528" s="4387" t="str">
        <f t="shared" si="44"/>
        <v>NO</v>
      </c>
      <c r="J528" s="4387" t="str">
        <f t="shared" si="44"/>
        <v>NO</v>
      </c>
      <c r="K528" s="4354"/>
      <c r="L528" s="4354"/>
      <c r="M528" s="4354"/>
    </row>
    <row r="529" spans="1:13" x14ac:dyDescent="0.25">
      <c r="A529" s="4354"/>
      <c r="B529" s="5095"/>
      <c r="C529" s="4609" t="s">
        <v>824</v>
      </c>
      <c r="D529" s="4586" t="str">
        <f t="shared" si="46"/>
        <v/>
      </c>
      <c r="E529" s="4600"/>
      <c r="F529" s="4562"/>
      <c r="G529" s="4563"/>
      <c r="H529" s="4354"/>
      <c r="I529" s="4387" t="str">
        <f t="shared" si="44"/>
        <v>NO</v>
      </c>
      <c r="J529" s="4387" t="str">
        <f t="shared" si="44"/>
        <v>NO</v>
      </c>
      <c r="K529" s="4354"/>
      <c r="L529" s="4354"/>
      <c r="M529" s="4354"/>
    </row>
    <row r="530" spans="1:13" x14ac:dyDescent="0.25">
      <c r="A530" s="4354"/>
      <c r="B530" s="5095"/>
      <c r="C530" s="4610" t="s">
        <v>823</v>
      </c>
      <c r="D530" s="4556">
        <f>IF($D$3=$E$3,E530,IF($D$3=$F$3,F530,IF($D$3=$G$3,G530,"-")))</f>
        <v>-2.7032241816271498</v>
      </c>
      <c r="E530" s="4598">
        <f>Table4.E_2018!I14</f>
        <v>-2.7032241816271498</v>
      </c>
      <c r="F530" s="4558">
        <f>Table4.E_2019!I14</f>
        <v>-2.2095224184042799</v>
      </c>
      <c r="G530" s="4559">
        <f>Table4.E_2020!I14</f>
        <v>-1.69541226104837</v>
      </c>
      <c r="H530" s="4354"/>
      <c r="I530" s="4387">
        <f t="shared" si="44"/>
        <v>-0.18263441359336183</v>
      </c>
      <c r="J530" s="4387">
        <f t="shared" si="44"/>
        <v>-0.23267931253994742</v>
      </c>
      <c r="K530" s="4354"/>
      <c r="L530" s="4354"/>
      <c r="M530" s="4354"/>
    </row>
    <row r="531" spans="1:13" x14ac:dyDescent="0.25">
      <c r="A531" s="4354"/>
      <c r="B531" s="5095"/>
      <c r="C531" s="4610" t="s">
        <v>822</v>
      </c>
      <c r="D531" s="4556" t="str">
        <f t="shared" ref="D531:D536" si="50">IF($D$3=$E$3,E531,IF($D$3=$F$3,F531,IF($D$3=$G$3,G531,"-")))</f>
        <v>NO</v>
      </c>
      <c r="E531" s="4598" t="str">
        <f>Table4.E_2018!I16</f>
        <v>NO</v>
      </c>
      <c r="F531" s="4558" t="str">
        <f>Table4.E_2019!I16</f>
        <v>NO</v>
      </c>
      <c r="G531" s="4559" t="str">
        <f>Table4.E_2020!I16</f>
        <v>NO</v>
      </c>
      <c r="H531" s="4354"/>
      <c r="I531" s="4387" t="str">
        <f t="shared" si="44"/>
        <v>NO</v>
      </c>
      <c r="J531" s="4387" t="str">
        <f t="shared" si="44"/>
        <v>NO</v>
      </c>
      <c r="K531" s="4354"/>
      <c r="L531" s="4354"/>
      <c r="M531" s="4354"/>
    </row>
    <row r="532" spans="1:13" x14ac:dyDescent="0.25">
      <c r="A532" s="4354"/>
      <c r="B532" s="5095"/>
      <c r="C532" s="4610" t="s">
        <v>821</v>
      </c>
      <c r="D532" s="4556" t="str">
        <f t="shared" si="50"/>
        <v>NO</v>
      </c>
      <c r="E532" s="4598" t="str">
        <f>Table4.E_2018!I18</f>
        <v>NO</v>
      </c>
      <c r="F532" s="4558" t="str">
        <f>Table4.E_2019!I18</f>
        <v>NO</v>
      </c>
      <c r="G532" s="4559" t="str">
        <f>Table4.E_2020!I18</f>
        <v>NA</v>
      </c>
      <c r="H532" s="4354"/>
      <c r="I532" s="4387" t="str">
        <f t="shared" si="44"/>
        <v>NO</v>
      </c>
      <c r="J532" s="4387" t="str">
        <f t="shared" si="44"/>
        <v>NO</v>
      </c>
      <c r="K532" s="4354"/>
      <c r="L532" s="4354"/>
      <c r="M532" s="4354"/>
    </row>
    <row r="533" spans="1:13" x14ac:dyDescent="0.25">
      <c r="A533" s="4354"/>
      <c r="B533" s="5095"/>
      <c r="C533" s="4610" t="s">
        <v>820</v>
      </c>
      <c r="D533" s="4556" t="str">
        <f t="shared" si="50"/>
        <v>NO</v>
      </c>
      <c r="E533" s="4602" t="str">
        <f>Table4.E_2018!I20</f>
        <v>NO</v>
      </c>
      <c r="F533" s="4567" t="str">
        <f>Table4.E_2019!I20</f>
        <v>NO</v>
      </c>
      <c r="G533" s="4568" t="str">
        <f>Table4.E_2020!I20</f>
        <v>NA</v>
      </c>
      <c r="H533" s="4354"/>
      <c r="I533" s="4387" t="str">
        <f t="shared" si="44"/>
        <v>NO</v>
      </c>
      <c r="J533" s="4387" t="str">
        <f t="shared" si="44"/>
        <v>NO</v>
      </c>
      <c r="K533" s="4354"/>
      <c r="L533" s="4354"/>
      <c r="M533" s="4354"/>
    </row>
    <row r="534" spans="1:13" x14ac:dyDescent="0.25">
      <c r="A534" s="4354"/>
      <c r="B534" s="5095"/>
      <c r="C534" s="4610" t="s">
        <v>819</v>
      </c>
      <c r="D534" s="4556" t="str">
        <f t="shared" si="50"/>
        <v>NO</v>
      </c>
      <c r="E534" s="4602" t="str">
        <f>Table4.E_2018!I22</f>
        <v>NO</v>
      </c>
      <c r="F534" s="4567" t="str">
        <f>Table4.E_2019!I22</f>
        <v>NO</v>
      </c>
      <c r="G534" s="4568" t="str">
        <f>Table4.E_2020!I22</f>
        <v>NA</v>
      </c>
      <c r="H534" s="4354"/>
      <c r="I534" s="4387" t="str">
        <f t="shared" si="44"/>
        <v>NO</v>
      </c>
      <c r="J534" s="4387" t="str">
        <f t="shared" si="44"/>
        <v>NO</v>
      </c>
      <c r="K534" s="4354"/>
      <c r="L534" s="4354"/>
      <c r="M534" s="4354"/>
    </row>
    <row r="535" spans="1:13" x14ac:dyDescent="0.25">
      <c r="A535" s="4354"/>
      <c r="B535" s="5095"/>
      <c r="C535" s="4610" t="s">
        <v>818</v>
      </c>
      <c r="D535" s="4556" t="str">
        <f t="shared" si="50"/>
        <v>NA</v>
      </c>
      <c r="E535" s="4603" t="s">
        <v>799</v>
      </c>
      <c r="F535" s="4581" t="s">
        <v>799</v>
      </c>
      <c r="G535" s="4582" t="s">
        <v>799</v>
      </c>
      <c r="H535" s="4354"/>
      <c r="I535" s="4387" t="str">
        <f t="shared" si="44"/>
        <v>NO</v>
      </c>
      <c r="J535" s="4387" t="str">
        <f t="shared" si="44"/>
        <v>NO</v>
      </c>
      <c r="K535" s="4354"/>
      <c r="L535" s="4354"/>
      <c r="M535" s="4354"/>
    </row>
    <row r="536" spans="1:13" ht="15.75" thickBot="1" x14ac:dyDescent="0.3">
      <c r="A536" s="4354"/>
      <c r="B536" s="5096"/>
      <c r="C536" s="4611" t="s">
        <v>817</v>
      </c>
      <c r="D536" s="4556" t="str">
        <f t="shared" si="50"/>
        <v>NA</v>
      </c>
      <c r="E536" s="4605" t="s">
        <v>799</v>
      </c>
      <c r="F536" s="4584" t="s">
        <v>799</v>
      </c>
      <c r="G536" s="4585" t="s">
        <v>799</v>
      </c>
      <c r="H536" s="4354"/>
      <c r="I536" s="4387" t="str">
        <f t="shared" si="44"/>
        <v>NO</v>
      </c>
      <c r="J536" s="4387" t="str">
        <f t="shared" si="44"/>
        <v>NO</v>
      </c>
      <c r="K536" s="4354"/>
      <c r="L536" s="4354"/>
      <c r="M536" s="4354"/>
    </row>
    <row r="537" spans="1:13" ht="15.75" thickBot="1" x14ac:dyDescent="0.3">
      <c r="A537" s="4354"/>
      <c r="B537" s="5094" t="s">
        <v>811</v>
      </c>
      <c r="C537" s="4634" t="s">
        <v>826</v>
      </c>
      <c r="D537" s="4574" t="str">
        <f t="shared" si="46"/>
        <v/>
      </c>
      <c r="E537" s="4606"/>
      <c r="F537" s="4576"/>
      <c r="G537" s="4577"/>
      <c r="H537" s="4354"/>
      <c r="I537" s="4387" t="str">
        <f t="shared" si="44"/>
        <v>NO</v>
      </c>
      <c r="J537" s="4387" t="str">
        <f t="shared" si="44"/>
        <v>NO</v>
      </c>
      <c r="K537" s="4354"/>
      <c r="L537" s="4354"/>
      <c r="M537" s="4354"/>
    </row>
    <row r="538" spans="1:13" ht="15.75" thickBot="1" x14ac:dyDescent="0.3">
      <c r="A538" s="4354"/>
      <c r="B538" s="5095"/>
      <c r="C538" s="4608" t="s">
        <v>825</v>
      </c>
      <c r="D538" s="4565" t="str">
        <f t="shared" si="46"/>
        <v>NO</v>
      </c>
      <c r="E538" s="4602" t="str">
        <f>Table4.E_2018!J11</f>
        <v>NO</v>
      </c>
      <c r="F538" s="4567" t="str">
        <f>Table4.E_2019!J11</f>
        <v>NO</v>
      </c>
      <c r="G538" s="4568" t="str">
        <f>Table4.E_2020!J11</f>
        <v>NA</v>
      </c>
      <c r="H538" s="4354"/>
      <c r="I538" s="4387" t="str">
        <f t="shared" si="44"/>
        <v>NO</v>
      </c>
      <c r="J538" s="4387" t="str">
        <f t="shared" si="44"/>
        <v>NO</v>
      </c>
      <c r="K538" s="4354"/>
      <c r="L538" s="4354"/>
      <c r="M538" s="4354"/>
    </row>
    <row r="539" spans="1:13" x14ac:dyDescent="0.25">
      <c r="A539" s="4354"/>
      <c r="B539" s="5095"/>
      <c r="C539" s="4609" t="s">
        <v>824</v>
      </c>
      <c r="D539" s="4586" t="str">
        <f t="shared" si="46"/>
        <v/>
      </c>
      <c r="E539" s="4600"/>
      <c r="F539" s="4562"/>
      <c r="G539" s="4563"/>
      <c r="H539" s="4354"/>
      <c r="I539" s="4387" t="str">
        <f t="shared" ref="I539:I602" si="51">IFERROR(ABS(F539-E539)/E539,"NO")</f>
        <v>NO</v>
      </c>
      <c r="J539" s="4387" t="str">
        <f t="shared" ref="J539:J602" si="52">IFERROR(ABS(G539-F539)/F539,"NO")</f>
        <v>NO</v>
      </c>
      <c r="K539" s="4354"/>
      <c r="L539" s="4354"/>
      <c r="M539" s="4354"/>
    </row>
    <row r="540" spans="1:13" x14ac:dyDescent="0.25">
      <c r="A540" s="4354"/>
      <c r="B540" s="5095"/>
      <c r="C540" s="4610" t="s">
        <v>823</v>
      </c>
      <c r="D540" s="4556">
        <f>IF($D$3=$E$3,E540,IF($D$3=$F$3,F540,IF($D$3=$G$3,G540,"-")))</f>
        <v>-1.65936449577978</v>
      </c>
      <c r="E540" s="4598">
        <f>Table4.E_2018!J14</f>
        <v>-1.65936449577978</v>
      </c>
      <c r="F540" s="4558">
        <f>Table4.E_2019!J14</f>
        <v>-1.48307883259603</v>
      </c>
      <c r="G540" s="4559">
        <f>Table4.E_2020!J14</f>
        <v>-1.4797148665172399</v>
      </c>
      <c r="H540" s="4354"/>
      <c r="I540" s="4387">
        <f t="shared" si="51"/>
        <v>-0.10623685370639956</v>
      </c>
      <c r="J540" s="4387">
        <f t="shared" si="52"/>
        <v>-2.2682314687896155E-3</v>
      </c>
      <c r="K540" s="4354"/>
      <c r="L540" s="4354"/>
      <c r="M540" s="4354"/>
    </row>
    <row r="541" spans="1:13" x14ac:dyDescent="0.25">
      <c r="A541" s="4354"/>
      <c r="B541" s="5095"/>
      <c r="C541" s="4610" t="s">
        <v>822</v>
      </c>
      <c r="D541" s="4556">
        <f t="shared" ref="D541:D546" si="53">IF($D$3=$E$3,E541,IF($D$3=$F$3,F541,IF($D$3=$G$3,G541,"-")))</f>
        <v>-0.98965242825296995</v>
      </c>
      <c r="E541" s="4598">
        <f>Table4.E_2018!J16</f>
        <v>-0.98965242825296995</v>
      </c>
      <c r="F541" s="4558">
        <f>Table4.E_2019!J16</f>
        <v>-0.80520512773868003</v>
      </c>
      <c r="G541" s="4559">
        <f>Table4.E_2020!J16</f>
        <v>-0.80520512773764996</v>
      </c>
      <c r="H541" s="4354"/>
      <c r="I541" s="4387">
        <f t="shared" si="51"/>
        <v>-0.18637583786854756</v>
      </c>
      <c r="J541" s="4387">
        <f t="shared" si="52"/>
        <v>-1.2792577776299455E-12</v>
      </c>
      <c r="K541" s="4354"/>
      <c r="L541" s="4354"/>
      <c r="M541" s="4354"/>
    </row>
    <row r="542" spans="1:13" x14ac:dyDescent="0.25">
      <c r="A542" s="4354"/>
      <c r="B542" s="5095"/>
      <c r="C542" s="4610" t="s">
        <v>821</v>
      </c>
      <c r="D542" s="4556">
        <f t="shared" si="53"/>
        <v>-1.74265663188402</v>
      </c>
      <c r="E542" s="4598">
        <f>Table4.E_2018!J18</f>
        <v>-1.74265663188402</v>
      </c>
      <c r="F542" s="4558">
        <f>Table4.E_2019!J18</f>
        <v>-1.51251282240104</v>
      </c>
      <c r="G542" s="4559">
        <f>Table4.E_2020!J18</f>
        <v>-1.5125128224028801</v>
      </c>
      <c r="H542" s="4354"/>
      <c r="I542" s="4387">
        <f t="shared" si="51"/>
        <v>-0.13206492046236729</v>
      </c>
      <c r="J542" s="4387">
        <f t="shared" si="52"/>
        <v>-1.2165739118116643E-12</v>
      </c>
      <c r="K542" s="4354"/>
      <c r="L542" s="4354"/>
      <c r="M542" s="4354"/>
    </row>
    <row r="543" spans="1:13" x14ac:dyDescent="0.25">
      <c r="A543" s="4354"/>
      <c r="B543" s="5095"/>
      <c r="C543" s="4610" t="s">
        <v>820</v>
      </c>
      <c r="D543" s="4556">
        <f t="shared" si="53"/>
        <v>2.9081512032000001E-3</v>
      </c>
      <c r="E543" s="4602">
        <f>Table4.E_2018!J20</f>
        <v>2.9081512032000001E-3</v>
      </c>
      <c r="F543" s="4567">
        <f>Table4.E_2019!J20</f>
        <v>2.5791794890699998E-3</v>
      </c>
      <c r="G543" s="4568">
        <f>Table4.E_2020!J20</f>
        <v>2.5791794891099999E-3</v>
      </c>
      <c r="H543" s="4354"/>
      <c r="I543" s="4387">
        <f t="shared" si="51"/>
        <v>0.11312056737903259</v>
      </c>
      <c r="J543" s="4387">
        <f t="shared" si="52"/>
        <v>1.5508855215514469E-11</v>
      </c>
      <c r="K543" s="4354"/>
      <c r="L543" s="4354"/>
      <c r="M543" s="4354"/>
    </row>
    <row r="544" spans="1:13" x14ac:dyDescent="0.25">
      <c r="A544" s="4354"/>
      <c r="B544" s="5095"/>
      <c r="C544" s="4610" t="s">
        <v>819</v>
      </c>
      <c r="D544" s="4556" t="str">
        <f t="shared" si="53"/>
        <v>NO</v>
      </c>
      <c r="E544" s="4602" t="str">
        <f>Table4.E_2018!J22</f>
        <v>NO</v>
      </c>
      <c r="F544" s="4567" t="str">
        <f>Table4.E_2019!J22</f>
        <v>NO</v>
      </c>
      <c r="G544" s="4568" t="str">
        <f>Table4.E_2020!J22</f>
        <v>NA</v>
      </c>
      <c r="H544" s="4354"/>
      <c r="I544" s="4387" t="str">
        <f t="shared" si="51"/>
        <v>NO</v>
      </c>
      <c r="J544" s="4387" t="str">
        <f t="shared" si="52"/>
        <v>NO</v>
      </c>
      <c r="K544" s="4354"/>
      <c r="L544" s="4354"/>
      <c r="M544" s="4354"/>
    </row>
    <row r="545" spans="1:13" x14ac:dyDescent="0.25">
      <c r="A545" s="4354"/>
      <c r="B545" s="5095"/>
      <c r="C545" s="4610" t="s">
        <v>818</v>
      </c>
      <c r="D545" s="4556" t="str">
        <f t="shared" si="53"/>
        <v>NA</v>
      </c>
      <c r="E545" s="4603" t="s">
        <v>799</v>
      </c>
      <c r="F545" s="4581" t="s">
        <v>799</v>
      </c>
      <c r="G545" s="4582" t="s">
        <v>799</v>
      </c>
      <c r="H545" s="4354"/>
      <c r="I545" s="4387" t="str">
        <f t="shared" si="51"/>
        <v>NO</v>
      </c>
      <c r="J545" s="4387" t="str">
        <f t="shared" si="52"/>
        <v>NO</v>
      </c>
      <c r="K545" s="4354"/>
      <c r="L545" s="4354"/>
      <c r="M545" s="4354"/>
    </row>
    <row r="546" spans="1:13" ht="15.75" thickBot="1" x14ac:dyDescent="0.3">
      <c r="A546" s="4354"/>
      <c r="B546" s="5096"/>
      <c r="C546" s="4611" t="s">
        <v>817</v>
      </c>
      <c r="D546" s="4556" t="str">
        <f t="shared" si="53"/>
        <v>NA</v>
      </c>
      <c r="E546" s="4605" t="s">
        <v>799</v>
      </c>
      <c r="F546" s="4584" t="s">
        <v>799</v>
      </c>
      <c r="G546" s="4585" t="s">
        <v>799</v>
      </c>
      <c r="H546" s="4354"/>
      <c r="I546" s="4387" t="str">
        <f t="shared" si="51"/>
        <v>NO</v>
      </c>
      <c r="J546" s="4387" t="str">
        <f t="shared" si="52"/>
        <v>NO</v>
      </c>
      <c r="K546" s="4354"/>
      <c r="L546" s="4354"/>
      <c r="M546" s="4354"/>
    </row>
    <row r="547" spans="1:13" ht="15.75" thickBot="1" x14ac:dyDescent="0.3">
      <c r="A547" s="4354"/>
      <c r="B547" s="5094" t="s">
        <v>810</v>
      </c>
      <c r="C547" s="4634" t="s">
        <v>826</v>
      </c>
      <c r="D547" s="4574" t="str">
        <f t="shared" si="46"/>
        <v/>
      </c>
      <c r="E547" s="4606"/>
      <c r="F547" s="4576"/>
      <c r="G547" s="4577"/>
      <c r="H547" s="4354"/>
      <c r="I547" s="4387" t="str">
        <f t="shared" si="51"/>
        <v>NO</v>
      </c>
      <c r="J547" s="4387" t="str">
        <f t="shared" si="52"/>
        <v>NO</v>
      </c>
      <c r="K547" s="4354"/>
      <c r="L547" s="4354"/>
      <c r="M547" s="4354"/>
    </row>
    <row r="548" spans="1:13" ht="15.75" thickBot="1" x14ac:dyDescent="0.3">
      <c r="A548" s="4354"/>
      <c r="B548" s="5095"/>
      <c r="C548" s="4608" t="s">
        <v>825</v>
      </c>
      <c r="D548" s="4565" t="str">
        <f t="shared" si="46"/>
        <v>NO</v>
      </c>
      <c r="E548" s="4602" t="str">
        <f>Table4.E_2018!K11</f>
        <v>NO</v>
      </c>
      <c r="F548" s="4567" t="str">
        <f>Table4.E_2019!K11</f>
        <v>NO</v>
      </c>
      <c r="G548" s="4568" t="str">
        <f>Table4.E_2020!K11</f>
        <v>NA</v>
      </c>
      <c r="H548" s="4354"/>
      <c r="I548" s="4387" t="str">
        <f t="shared" si="51"/>
        <v>NO</v>
      </c>
      <c r="J548" s="4387" t="str">
        <f t="shared" si="52"/>
        <v>NO</v>
      </c>
      <c r="K548" s="4354"/>
      <c r="L548" s="4354"/>
      <c r="M548" s="4354"/>
    </row>
    <row r="549" spans="1:13" x14ac:dyDescent="0.25">
      <c r="A549" s="4354"/>
      <c r="B549" s="5095"/>
      <c r="C549" s="4609" t="s">
        <v>824</v>
      </c>
      <c r="D549" s="4586" t="str">
        <f t="shared" si="46"/>
        <v/>
      </c>
      <c r="E549" s="4600"/>
      <c r="F549" s="4562"/>
      <c r="G549" s="4563"/>
      <c r="H549" s="4354"/>
      <c r="I549" s="4387" t="str">
        <f t="shared" si="51"/>
        <v>NO</v>
      </c>
      <c r="J549" s="4387" t="str">
        <f t="shared" si="52"/>
        <v>NO</v>
      </c>
      <c r="K549" s="4354"/>
      <c r="L549" s="4354"/>
      <c r="M549" s="4354"/>
    </row>
    <row r="550" spans="1:13" x14ac:dyDescent="0.25">
      <c r="A550" s="4354"/>
      <c r="B550" s="5095"/>
      <c r="C550" s="4610" t="s">
        <v>823</v>
      </c>
      <c r="D550" s="4579" t="str">
        <f t="shared" si="46"/>
        <v>NO</v>
      </c>
      <c r="E550" s="4598" t="str">
        <f>Table4.E_2018!K14</f>
        <v>NO</v>
      </c>
      <c r="F550" s="4558" t="str">
        <f>Table4.E_2019!K14</f>
        <v>NO</v>
      </c>
      <c r="G550" s="4559" t="str">
        <f>Table4.E_2020!K14</f>
        <v>NA</v>
      </c>
      <c r="H550" s="4354"/>
      <c r="I550" s="4387" t="str">
        <f t="shared" si="51"/>
        <v>NO</v>
      </c>
      <c r="J550" s="4387" t="str">
        <f t="shared" si="52"/>
        <v>NO</v>
      </c>
      <c r="K550" s="4354"/>
      <c r="L550" s="4354"/>
      <c r="M550" s="4354"/>
    </row>
    <row r="551" spans="1:13" x14ac:dyDescent="0.25">
      <c r="A551" s="4354"/>
      <c r="B551" s="5095"/>
      <c r="C551" s="4610" t="s">
        <v>822</v>
      </c>
      <c r="D551" s="4579" t="str">
        <f t="shared" si="46"/>
        <v>NO</v>
      </c>
      <c r="E551" s="4598" t="str">
        <f>Table4.E_2018!K16</f>
        <v>NO</v>
      </c>
      <c r="F551" s="4558" t="str">
        <f>Table4.E_2019!K16</f>
        <v>NO</v>
      </c>
      <c r="G551" s="4559" t="str">
        <f>Table4.E_2020!K16</f>
        <v>NA</v>
      </c>
      <c r="H551" s="4354"/>
      <c r="I551" s="4387" t="str">
        <f t="shared" si="51"/>
        <v>NO</v>
      </c>
      <c r="J551" s="4387" t="str">
        <f t="shared" si="52"/>
        <v>NO</v>
      </c>
      <c r="K551" s="4354"/>
      <c r="L551" s="4354"/>
      <c r="M551" s="4354"/>
    </row>
    <row r="552" spans="1:13" x14ac:dyDescent="0.25">
      <c r="A552" s="4354"/>
      <c r="B552" s="5095"/>
      <c r="C552" s="4610" t="s">
        <v>821</v>
      </c>
      <c r="D552" s="4579" t="str">
        <f t="shared" si="46"/>
        <v>NO</v>
      </c>
      <c r="E552" s="4598" t="str">
        <f>Table4.E_2018!K18</f>
        <v>NO</v>
      </c>
      <c r="F552" s="4558" t="str">
        <f>Table4.E_2019!K18</f>
        <v>NO</v>
      </c>
      <c r="G552" s="4559" t="str">
        <f>Table4.E_2020!K18</f>
        <v>NO</v>
      </c>
      <c r="H552" s="4354"/>
      <c r="I552" s="4387" t="str">
        <f t="shared" si="51"/>
        <v>NO</v>
      </c>
      <c r="J552" s="4387" t="str">
        <f t="shared" si="52"/>
        <v>NO</v>
      </c>
      <c r="K552" s="4354"/>
      <c r="L552" s="4354"/>
      <c r="M552" s="4354"/>
    </row>
    <row r="553" spans="1:13" x14ac:dyDescent="0.25">
      <c r="A553" s="4354"/>
      <c r="B553" s="5095"/>
      <c r="C553" s="4610" t="s">
        <v>820</v>
      </c>
      <c r="D553" s="4565" t="str">
        <f t="shared" ref="D553:D616" si="54">""&amp;IF($D$3=$E$3,E553,IF($D$3=$F$3,F553,IF($D$3=$G$3,G553,"-")))</f>
        <v>NO</v>
      </c>
      <c r="E553" s="4602" t="str">
        <f>Table4.E_2018!K20</f>
        <v>NO</v>
      </c>
      <c r="F553" s="4567" t="str">
        <f>Table4.E_2019!K20</f>
        <v>NO</v>
      </c>
      <c r="G553" s="4568" t="str">
        <f>Table4.E_2020!K20</f>
        <v>NA</v>
      </c>
      <c r="H553" s="4354"/>
      <c r="I553" s="4387" t="str">
        <f t="shared" si="51"/>
        <v>NO</v>
      </c>
      <c r="J553" s="4387" t="str">
        <f t="shared" si="52"/>
        <v>NO</v>
      </c>
      <c r="K553" s="4354"/>
      <c r="L553" s="4354"/>
      <c r="M553" s="4354"/>
    </row>
    <row r="554" spans="1:13" x14ac:dyDescent="0.25">
      <c r="A554" s="4354"/>
      <c r="B554" s="5095"/>
      <c r="C554" s="4610" t="s">
        <v>819</v>
      </c>
      <c r="D554" s="4565" t="str">
        <f t="shared" si="54"/>
        <v>NO</v>
      </c>
      <c r="E554" s="4602" t="str">
        <f>Table4.E_2018!K22</f>
        <v>NO</v>
      </c>
      <c r="F554" s="4567" t="str">
        <f>Table4.E_2019!K22</f>
        <v>NO</v>
      </c>
      <c r="G554" s="4568" t="str">
        <f>Table4.E_2020!K22</f>
        <v>NA</v>
      </c>
      <c r="H554" s="4354"/>
      <c r="I554" s="4387" t="str">
        <f t="shared" si="51"/>
        <v>NO</v>
      </c>
      <c r="J554" s="4387" t="str">
        <f t="shared" si="52"/>
        <v>NO</v>
      </c>
      <c r="K554" s="4354"/>
      <c r="L554" s="4354"/>
      <c r="M554" s="4354"/>
    </row>
    <row r="555" spans="1:13" x14ac:dyDescent="0.25">
      <c r="A555" s="4354"/>
      <c r="B555" s="5095"/>
      <c r="C555" s="4610" t="s">
        <v>818</v>
      </c>
      <c r="D555" s="4565" t="str">
        <f t="shared" si="54"/>
        <v>NA</v>
      </c>
      <c r="E555" s="4603" t="s">
        <v>799</v>
      </c>
      <c r="F555" s="4581" t="s">
        <v>799</v>
      </c>
      <c r="G555" s="4582" t="s">
        <v>799</v>
      </c>
      <c r="H555" s="4354"/>
      <c r="I555" s="4387" t="str">
        <f t="shared" si="51"/>
        <v>NO</v>
      </c>
      <c r="J555" s="4387" t="str">
        <f t="shared" si="52"/>
        <v>NO</v>
      </c>
      <c r="K555" s="4354"/>
      <c r="L555" s="4354"/>
      <c r="M555" s="4354"/>
    </row>
    <row r="556" spans="1:13" ht="15.75" thickBot="1" x14ac:dyDescent="0.3">
      <c r="A556" s="4354"/>
      <c r="B556" s="5096"/>
      <c r="C556" s="4611" t="s">
        <v>817</v>
      </c>
      <c r="D556" s="4570" t="str">
        <f t="shared" si="54"/>
        <v>NA</v>
      </c>
      <c r="E556" s="4605" t="s">
        <v>799</v>
      </c>
      <c r="F556" s="4584" t="s">
        <v>799</v>
      </c>
      <c r="G556" s="4585" t="s">
        <v>799</v>
      </c>
      <c r="H556" s="4354"/>
      <c r="I556" s="4387" t="str">
        <f t="shared" si="51"/>
        <v>NO</v>
      </c>
      <c r="J556" s="4387" t="str">
        <f t="shared" si="52"/>
        <v>NO</v>
      </c>
      <c r="K556" s="4354"/>
      <c r="L556" s="4354"/>
      <c r="M556" s="4354"/>
    </row>
    <row r="557" spans="1:13" x14ac:dyDescent="0.25">
      <c r="A557" s="4354"/>
      <c r="B557" s="4354"/>
      <c r="C557" s="4354"/>
      <c r="D557" s="4589" t="str">
        <f t="shared" si="54"/>
        <v/>
      </c>
      <c r="E557" s="4356"/>
      <c r="F557" s="4590"/>
      <c r="G557" s="4354"/>
      <c r="H557" s="4354"/>
      <c r="I557" s="4387" t="str">
        <f t="shared" si="51"/>
        <v>NO</v>
      </c>
      <c r="J557" s="4387" t="str">
        <f t="shared" si="52"/>
        <v>NO</v>
      </c>
      <c r="K557" s="4354"/>
      <c r="L557" s="4354"/>
      <c r="M557" s="4354"/>
    </row>
    <row r="558" spans="1:13" ht="14.45" customHeight="1" x14ac:dyDescent="0.25">
      <c r="A558" s="4354"/>
      <c r="B558" s="4402" t="s">
        <v>651</v>
      </c>
      <c r="C558" s="4354"/>
      <c r="D558" s="4591" t="str">
        <f t="shared" si="54"/>
        <v xml:space="preserve"> NIR 2020 (2018) CRF tabel 4E</v>
      </c>
      <c r="E558" s="4481" t="s">
        <v>5276</v>
      </c>
      <c r="F558" s="4481" t="s">
        <v>5277</v>
      </c>
      <c r="G558" s="4481" t="s">
        <v>5278</v>
      </c>
      <c r="H558" s="4354"/>
      <c r="I558" s="4387" t="str">
        <f t="shared" si="51"/>
        <v>NO</v>
      </c>
      <c r="J558" s="4387" t="str">
        <f t="shared" si="52"/>
        <v>NO</v>
      </c>
      <c r="K558" s="4354"/>
      <c r="L558" s="4354"/>
      <c r="M558" s="4354"/>
    </row>
    <row r="559" spans="1:13" ht="15.75" thickBot="1" x14ac:dyDescent="0.3">
      <c r="A559" s="4354"/>
      <c r="B559" s="4354"/>
      <c r="C559" s="4354"/>
      <c r="D559" s="4589" t="str">
        <f t="shared" si="54"/>
        <v/>
      </c>
      <c r="E559" s="4356"/>
      <c r="F559" s="4354"/>
      <c r="G559" s="4354"/>
      <c r="H559" s="4354"/>
      <c r="I559" s="4387" t="str">
        <f t="shared" si="51"/>
        <v>NO</v>
      </c>
      <c r="J559" s="4387" t="str">
        <f t="shared" si="52"/>
        <v>NO</v>
      </c>
      <c r="K559" s="4354"/>
      <c r="L559" s="4354"/>
      <c r="M559" s="4354"/>
    </row>
    <row r="560" spans="1:13" ht="15.75" thickBot="1" x14ac:dyDescent="0.3">
      <c r="A560" s="4354"/>
      <c r="B560" s="5097" t="s">
        <v>816</v>
      </c>
      <c r="C560" s="5098"/>
      <c r="D560" s="4593" t="str">
        <f t="shared" si="54"/>
        <v>ton C / ha</v>
      </c>
      <c r="E560" s="4594" t="s">
        <v>4776</v>
      </c>
      <c r="F560" s="4548" t="s">
        <v>4776</v>
      </c>
      <c r="G560" s="4549" t="s">
        <v>4776</v>
      </c>
      <c r="H560" s="4354"/>
      <c r="I560" s="4387" t="str">
        <f t="shared" si="51"/>
        <v>NO</v>
      </c>
      <c r="J560" s="4387" t="str">
        <f t="shared" si="52"/>
        <v>NO</v>
      </c>
      <c r="K560" s="4354"/>
      <c r="L560" s="4354"/>
      <c r="M560" s="4354"/>
    </row>
    <row r="561" spans="1:13" ht="15.75" thickBot="1" x14ac:dyDescent="0.3">
      <c r="A561" s="4354"/>
      <c r="B561" s="5094" t="s">
        <v>815</v>
      </c>
      <c r="C561" s="4635" t="s">
        <v>809</v>
      </c>
      <c r="D561" s="4636" t="str">
        <f>IF($D$3=$E$3,E561,IF($D$3=$F$3,F561,IF($D$3=$G$3,G561,"-")))</f>
        <v>NO</v>
      </c>
      <c r="E561" s="4637" t="str">
        <f>Table4.F_2018!F10</f>
        <v>NO</v>
      </c>
      <c r="F561" s="4637" t="str">
        <f>Table4.F_2019!F10</f>
        <v>NO</v>
      </c>
      <c r="G561" s="4638" t="str">
        <f>Table4.F_2020!F10</f>
        <v>NA</v>
      </c>
      <c r="H561" s="4354"/>
      <c r="I561" s="4387" t="str">
        <f t="shared" si="51"/>
        <v>NO</v>
      </c>
      <c r="J561" s="4387" t="str">
        <f t="shared" si="52"/>
        <v>NO</v>
      </c>
      <c r="K561" s="4354"/>
      <c r="L561" s="4354"/>
      <c r="M561" s="4354"/>
    </row>
    <row r="562" spans="1:13" ht="15.75" thickBot="1" x14ac:dyDescent="0.3">
      <c r="A562" s="4354"/>
      <c r="B562" s="5095"/>
      <c r="C562" s="4635" t="s">
        <v>808</v>
      </c>
      <c r="D562" s="4639" t="str">
        <f t="shared" si="54"/>
        <v/>
      </c>
      <c r="E562" s="4624" t="str">
        <f>Table4.F_2018!F11</f>
        <v/>
      </c>
      <c r="F562" s="4625" t="str">
        <f>Table4.F_2019!F11</f>
        <v/>
      </c>
      <c r="G562" s="4626" t="str">
        <f>Table4.F_2020!F11</f>
        <v/>
      </c>
      <c r="H562" s="4354"/>
      <c r="I562" s="4387" t="str">
        <f t="shared" si="51"/>
        <v>NO</v>
      </c>
      <c r="J562" s="4387" t="str">
        <f t="shared" si="52"/>
        <v>NO</v>
      </c>
      <c r="K562" s="4354"/>
      <c r="L562" s="4354"/>
      <c r="M562" s="4354"/>
    </row>
    <row r="563" spans="1:13" x14ac:dyDescent="0.25">
      <c r="A563" s="4354"/>
      <c r="B563" s="5095"/>
      <c r="C563" s="4599" t="s">
        <v>807</v>
      </c>
      <c r="D563" s="4623" t="str">
        <f t="shared" si="54"/>
        <v/>
      </c>
      <c r="E563" s="4640"/>
      <c r="F563" s="4641"/>
      <c r="G563" s="4642"/>
      <c r="H563" s="4354"/>
      <c r="I563" s="4387" t="str">
        <f t="shared" si="51"/>
        <v>NO</v>
      </c>
      <c r="J563" s="4387" t="str">
        <f t="shared" si="52"/>
        <v>NO</v>
      </c>
      <c r="K563" s="4354"/>
      <c r="L563" s="4354"/>
      <c r="M563" s="4354"/>
    </row>
    <row r="564" spans="1:13" x14ac:dyDescent="0.25">
      <c r="A564" s="4354"/>
      <c r="B564" s="5095"/>
      <c r="C564" s="4643" t="s">
        <v>806</v>
      </c>
      <c r="D564" s="4579" t="str">
        <f t="shared" si="54"/>
        <v>NO</v>
      </c>
      <c r="E564" s="4598" t="str">
        <f>Table4.F_2018!F14</f>
        <v>NO</v>
      </c>
      <c r="F564" s="4558" t="str">
        <f>Table4.F_2019!F14</f>
        <v>NO</v>
      </c>
      <c r="G564" s="4559" t="str">
        <f>Table4.F_2020!F14</f>
        <v>NA</v>
      </c>
      <c r="H564" s="4354"/>
      <c r="I564" s="4387" t="str">
        <f t="shared" si="51"/>
        <v>NO</v>
      </c>
      <c r="J564" s="4387" t="str">
        <f t="shared" si="52"/>
        <v>NO</v>
      </c>
      <c r="K564" s="4354"/>
      <c r="L564" s="4354"/>
      <c r="M564" s="4354"/>
    </row>
    <row r="565" spans="1:13" x14ac:dyDescent="0.25">
      <c r="A565" s="4354"/>
      <c r="B565" s="5095"/>
      <c r="C565" s="4643" t="s">
        <v>805</v>
      </c>
      <c r="D565" s="4579" t="str">
        <f t="shared" si="54"/>
        <v>NO</v>
      </c>
      <c r="E565" s="4598" t="str">
        <f>Table4.F_2018!F16</f>
        <v>NO</v>
      </c>
      <c r="F565" s="4558" t="str">
        <f>Table4.F_2019!F16</f>
        <v>NO</v>
      </c>
      <c r="G565" s="4559" t="str">
        <f>Table4.F_2020!F16</f>
        <v>NA</v>
      </c>
      <c r="H565" s="4354"/>
      <c r="I565" s="4387" t="str">
        <f t="shared" si="51"/>
        <v>NO</v>
      </c>
      <c r="J565" s="4387" t="str">
        <f t="shared" si="52"/>
        <v>NO</v>
      </c>
      <c r="K565" s="4354"/>
      <c r="L565" s="4354"/>
      <c r="M565" s="4354"/>
    </row>
    <row r="566" spans="1:13" x14ac:dyDescent="0.25">
      <c r="A566" s="4354"/>
      <c r="B566" s="5095"/>
      <c r="C566" s="4643" t="s">
        <v>804</v>
      </c>
      <c r="D566" s="4579" t="str">
        <f t="shared" si="54"/>
        <v>NO</v>
      </c>
      <c r="E566" s="4598" t="str">
        <f>Table4.F_2018!F18</f>
        <v>NO</v>
      </c>
      <c r="F566" s="4558" t="str">
        <f>Table4.F_2019!F18</f>
        <v>NO</v>
      </c>
      <c r="G566" s="4559" t="str">
        <f>Table4.F_2020!F18</f>
        <v>NA</v>
      </c>
      <c r="H566" s="4354"/>
      <c r="I566" s="4387" t="str">
        <f t="shared" si="51"/>
        <v>NO</v>
      </c>
      <c r="J566" s="4387" t="str">
        <f t="shared" si="52"/>
        <v>NO</v>
      </c>
      <c r="K566" s="4354"/>
      <c r="L566" s="4354"/>
      <c r="M566" s="4354"/>
    </row>
    <row r="567" spans="1:13" x14ac:dyDescent="0.25">
      <c r="A567" s="4354"/>
      <c r="B567" s="5095"/>
      <c r="C567" s="4643" t="s">
        <v>803</v>
      </c>
      <c r="D567" s="4565" t="str">
        <f t="shared" si="54"/>
        <v>NO</v>
      </c>
      <c r="E567" s="4602" t="str">
        <f>Table4.F_2018!F20</f>
        <v>NO</v>
      </c>
      <c r="F567" s="4567" t="str">
        <f>Table4.F_2019!F20</f>
        <v>NO</v>
      </c>
      <c r="G567" s="4568" t="str">
        <f>Table4.F_2020!F20</f>
        <v>NA</v>
      </c>
      <c r="H567" s="4354"/>
      <c r="I567" s="4387" t="str">
        <f t="shared" si="51"/>
        <v>NO</v>
      </c>
      <c r="J567" s="4387" t="str">
        <f t="shared" si="52"/>
        <v>NO</v>
      </c>
      <c r="K567" s="4354"/>
      <c r="L567" s="4354"/>
      <c r="M567" s="4354"/>
    </row>
    <row r="568" spans="1:13" x14ac:dyDescent="0.25">
      <c r="A568" s="4354"/>
      <c r="B568" s="5095"/>
      <c r="C568" s="4643" t="s">
        <v>802</v>
      </c>
      <c r="D568" s="4565" t="str">
        <f t="shared" si="54"/>
        <v>NO</v>
      </c>
      <c r="E568" s="4602" t="str">
        <f>Table4.F_2018!F22</f>
        <v>NO</v>
      </c>
      <c r="F568" s="4567" t="str">
        <f>Table4.F_2019!F22</f>
        <v>NO</v>
      </c>
      <c r="G568" s="4568" t="str">
        <f>Table4.F_2020!F22</f>
        <v>NA</v>
      </c>
      <c r="H568" s="4354"/>
      <c r="I568" s="4387" t="str">
        <f t="shared" si="51"/>
        <v>NO</v>
      </c>
      <c r="J568" s="4387" t="str">
        <f t="shared" si="52"/>
        <v>NO</v>
      </c>
      <c r="K568" s="4354"/>
      <c r="L568" s="4354"/>
      <c r="M568" s="4354"/>
    </row>
    <row r="569" spans="1:13" x14ac:dyDescent="0.25">
      <c r="A569" s="4354"/>
      <c r="B569" s="5095"/>
      <c r="C569" s="4643" t="s">
        <v>801</v>
      </c>
      <c r="D569" s="4565" t="str">
        <f t="shared" si="54"/>
        <v>NA</v>
      </c>
      <c r="E569" s="4603" t="s">
        <v>799</v>
      </c>
      <c r="F569" s="4581" t="s">
        <v>799</v>
      </c>
      <c r="G569" s="4582" t="s">
        <v>799</v>
      </c>
      <c r="H569" s="4354"/>
      <c r="I569" s="4387" t="str">
        <f t="shared" si="51"/>
        <v>NO</v>
      </c>
      <c r="J569" s="4387" t="str">
        <f t="shared" si="52"/>
        <v>NO</v>
      </c>
      <c r="K569" s="4354"/>
      <c r="L569" s="4354"/>
      <c r="M569" s="4354"/>
    </row>
    <row r="570" spans="1:13" ht="15.75" thickBot="1" x14ac:dyDescent="0.3">
      <c r="A570" s="4354"/>
      <c r="B570" s="5096"/>
      <c r="C570" s="4644" t="s">
        <v>800</v>
      </c>
      <c r="D570" s="4570" t="str">
        <f t="shared" si="54"/>
        <v>NA</v>
      </c>
      <c r="E570" s="4605" t="s">
        <v>799</v>
      </c>
      <c r="F570" s="4584" t="s">
        <v>799</v>
      </c>
      <c r="G570" s="4585" t="s">
        <v>799</v>
      </c>
      <c r="H570" s="4354"/>
      <c r="I570" s="4387" t="str">
        <f t="shared" si="51"/>
        <v>NO</v>
      </c>
      <c r="J570" s="4387" t="str">
        <f t="shared" si="52"/>
        <v>NO</v>
      </c>
      <c r="K570" s="4354"/>
      <c r="L570" s="4354"/>
      <c r="M570" s="4354"/>
    </row>
    <row r="571" spans="1:13" ht="15.75" thickBot="1" x14ac:dyDescent="0.3">
      <c r="A571" s="4354"/>
      <c r="B571" s="5094" t="s">
        <v>814</v>
      </c>
      <c r="C571" s="4635" t="s">
        <v>809</v>
      </c>
      <c r="D571" s="4645" t="str">
        <f>IF($D$3=$E$3,E571,IF($D$3=$F$3,F571,IF($D$3=$G$3,G571,"-")))</f>
        <v>NO</v>
      </c>
      <c r="E571" s="4646" t="str">
        <f>Table4.F_2018!G10</f>
        <v>NO</v>
      </c>
      <c r="F571" s="4647" t="str">
        <f>Table4.F_2019!G10</f>
        <v>NO</v>
      </c>
      <c r="G571" s="4648" t="str">
        <f>Table4.F_2020!G10</f>
        <v>NA</v>
      </c>
      <c r="H571" s="4354"/>
      <c r="I571" s="4387" t="str">
        <f t="shared" si="51"/>
        <v>NO</v>
      </c>
      <c r="J571" s="4387" t="str">
        <f t="shared" si="52"/>
        <v>NO</v>
      </c>
      <c r="K571" s="4354"/>
      <c r="L571" s="4354"/>
      <c r="M571" s="4354"/>
    </row>
    <row r="572" spans="1:13" ht="15.75" thickBot="1" x14ac:dyDescent="0.3">
      <c r="A572" s="4354"/>
      <c r="B572" s="5095"/>
      <c r="C572" s="4635" t="s">
        <v>808</v>
      </c>
      <c r="D572" s="4623" t="str">
        <f t="shared" si="54"/>
        <v/>
      </c>
      <c r="E572" s="4624" t="str">
        <f>Table4.F_2018!G11</f>
        <v/>
      </c>
      <c r="F572" s="4625" t="str">
        <f>Table4.F_2019!G11</f>
        <v/>
      </c>
      <c r="G572" s="4626" t="str">
        <f>Table4.F_2020!G11</f>
        <v/>
      </c>
      <c r="H572" s="4354"/>
      <c r="I572" s="4387" t="str">
        <f t="shared" si="51"/>
        <v>NO</v>
      </c>
      <c r="J572" s="4387" t="str">
        <f t="shared" si="52"/>
        <v>NO</v>
      </c>
      <c r="K572" s="4354"/>
      <c r="L572" s="4354"/>
      <c r="M572" s="4354"/>
    </row>
    <row r="573" spans="1:13" x14ac:dyDescent="0.25">
      <c r="A573" s="4354"/>
      <c r="B573" s="5095"/>
      <c r="C573" s="4599" t="s">
        <v>807</v>
      </c>
      <c r="D573" s="4586" t="str">
        <f t="shared" si="54"/>
        <v/>
      </c>
      <c r="E573" s="4600"/>
      <c r="F573" s="4562"/>
      <c r="G573" s="4563"/>
      <c r="H573" s="4354"/>
      <c r="I573" s="4387" t="str">
        <f t="shared" si="51"/>
        <v>NO</v>
      </c>
      <c r="J573" s="4387" t="str">
        <f t="shared" si="52"/>
        <v>NO</v>
      </c>
      <c r="K573" s="4354"/>
      <c r="L573" s="4354"/>
      <c r="M573" s="4354"/>
    </row>
    <row r="574" spans="1:13" x14ac:dyDescent="0.25">
      <c r="A574" s="4354"/>
      <c r="B574" s="5095"/>
      <c r="C574" s="4643" t="s">
        <v>806</v>
      </c>
      <c r="D574" s="4579" t="str">
        <f t="shared" si="54"/>
        <v>NO</v>
      </c>
      <c r="E574" s="4598" t="str">
        <f>Table4.F_2018!G14</f>
        <v>NO</v>
      </c>
      <c r="F574" s="4558" t="str">
        <f>Table4.F_2019!G14</f>
        <v>NO</v>
      </c>
      <c r="G574" s="4559" t="str">
        <f>Table4.F_2020!G14</f>
        <v>NA</v>
      </c>
      <c r="H574" s="4354"/>
      <c r="I574" s="4387" t="str">
        <f t="shared" si="51"/>
        <v>NO</v>
      </c>
      <c r="J574" s="4387" t="str">
        <f t="shared" si="52"/>
        <v>NO</v>
      </c>
      <c r="K574" s="4354"/>
      <c r="L574" s="4354"/>
      <c r="M574" s="4354"/>
    </row>
    <row r="575" spans="1:13" x14ac:dyDescent="0.25">
      <c r="A575" s="4354"/>
      <c r="B575" s="5095"/>
      <c r="C575" s="4643" t="s">
        <v>805</v>
      </c>
      <c r="D575" s="4579" t="str">
        <f t="shared" si="54"/>
        <v>NO</v>
      </c>
      <c r="E575" s="4598" t="str">
        <f>Table4.F_2018!G16</f>
        <v>NO</v>
      </c>
      <c r="F575" s="4558" t="str">
        <f>Table4.F_2019!G16</f>
        <v>NO</v>
      </c>
      <c r="G575" s="4559" t="str">
        <f>Table4.F_2020!G16</f>
        <v>NA</v>
      </c>
      <c r="H575" s="4354"/>
      <c r="I575" s="4387" t="str">
        <f t="shared" si="51"/>
        <v>NO</v>
      </c>
      <c r="J575" s="4387" t="str">
        <f t="shared" si="52"/>
        <v>NO</v>
      </c>
      <c r="K575" s="4354"/>
      <c r="L575" s="4354"/>
      <c r="M575" s="4354"/>
    </row>
    <row r="576" spans="1:13" x14ac:dyDescent="0.25">
      <c r="A576" s="4354"/>
      <c r="B576" s="5095"/>
      <c r="C576" s="4643" t="s">
        <v>804</v>
      </c>
      <c r="D576" s="4579" t="str">
        <f t="shared" si="54"/>
        <v>NO</v>
      </c>
      <c r="E576" s="4598" t="str">
        <f>Table4.F_2018!G18</f>
        <v>NO</v>
      </c>
      <c r="F576" s="4558" t="str">
        <f>Table4.F_2019!G18</f>
        <v>NO</v>
      </c>
      <c r="G576" s="4559" t="str">
        <f>Table4.F_2020!G18</f>
        <v>NA</v>
      </c>
      <c r="H576" s="4354"/>
      <c r="I576" s="4387" t="str">
        <f t="shared" si="51"/>
        <v>NO</v>
      </c>
      <c r="J576" s="4387" t="str">
        <f t="shared" si="52"/>
        <v>NO</v>
      </c>
      <c r="K576" s="4354"/>
      <c r="L576" s="4354"/>
      <c r="M576" s="4354"/>
    </row>
    <row r="577" spans="1:13" x14ac:dyDescent="0.25">
      <c r="A577" s="4354"/>
      <c r="B577" s="5095"/>
      <c r="C577" s="4643" t="s">
        <v>803</v>
      </c>
      <c r="D577" s="4565" t="str">
        <f t="shared" si="54"/>
        <v>NO</v>
      </c>
      <c r="E577" s="4602" t="str">
        <f>Table4.F_2018!G20</f>
        <v>NO</v>
      </c>
      <c r="F577" s="4567" t="str">
        <f>Table4.F_2019!G20</f>
        <v>NO</v>
      </c>
      <c r="G577" s="4568" t="str">
        <f>Table4.F_2020!G20</f>
        <v>NA</v>
      </c>
      <c r="H577" s="4354"/>
      <c r="I577" s="4387" t="str">
        <f t="shared" si="51"/>
        <v>NO</v>
      </c>
      <c r="J577" s="4387" t="str">
        <f t="shared" si="52"/>
        <v>NO</v>
      </c>
      <c r="K577" s="4354"/>
      <c r="L577" s="4354"/>
      <c r="M577" s="4354"/>
    </row>
    <row r="578" spans="1:13" x14ac:dyDescent="0.25">
      <c r="A578" s="4354"/>
      <c r="B578" s="5095"/>
      <c r="C578" s="4643" t="s">
        <v>802</v>
      </c>
      <c r="D578" s="4565" t="str">
        <f t="shared" si="54"/>
        <v>NO</v>
      </c>
      <c r="E578" s="4602" t="str">
        <f>Table4.F_2018!G22</f>
        <v>NO</v>
      </c>
      <c r="F578" s="4567" t="str">
        <f>Table4.F_2019!G22</f>
        <v>NO</v>
      </c>
      <c r="G578" s="4568" t="str">
        <f>Table4.F_2020!G22</f>
        <v>NA</v>
      </c>
      <c r="H578" s="4354"/>
      <c r="I578" s="4387" t="str">
        <f t="shared" si="51"/>
        <v>NO</v>
      </c>
      <c r="J578" s="4387" t="str">
        <f t="shared" si="52"/>
        <v>NO</v>
      </c>
      <c r="K578" s="4354"/>
      <c r="L578" s="4354"/>
      <c r="M578" s="4354"/>
    </row>
    <row r="579" spans="1:13" x14ac:dyDescent="0.25">
      <c r="A579" s="4354"/>
      <c r="B579" s="5095"/>
      <c r="C579" s="4643" t="s">
        <v>801</v>
      </c>
      <c r="D579" s="4565" t="str">
        <f t="shared" si="54"/>
        <v>NA</v>
      </c>
      <c r="E579" s="4603" t="s">
        <v>799</v>
      </c>
      <c r="F579" s="4581" t="s">
        <v>799</v>
      </c>
      <c r="G579" s="4582" t="s">
        <v>799</v>
      </c>
      <c r="H579" s="4354"/>
      <c r="I579" s="4387" t="str">
        <f t="shared" si="51"/>
        <v>NO</v>
      </c>
      <c r="J579" s="4387" t="str">
        <f t="shared" si="52"/>
        <v>NO</v>
      </c>
      <c r="K579" s="4354"/>
      <c r="L579" s="4354"/>
      <c r="M579" s="4354"/>
    </row>
    <row r="580" spans="1:13" ht="15.75" thickBot="1" x14ac:dyDescent="0.3">
      <c r="A580" s="4354"/>
      <c r="B580" s="5096"/>
      <c r="C580" s="4644" t="s">
        <v>800</v>
      </c>
      <c r="D580" s="4570" t="str">
        <f t="shared" si="54"/>
        <v>NA</v>
      </c>
      <c r="E580" s="4605" t="s">
        <v>799</v>
      </c>
      <c r="F580" s="4584" t="s">
        <v>799</v>
      </c>
      <c r="G580" s="4585" t="s">
        <v>799</v>
      </c>
      <c r="H580" s="4354"/>
      <c r="I580" s="4387" t="str">
        <f t="shared" si="51"/>
        <v>NO</v>
      </c>
      <c r="J580" s="4387" t="str">
        <f t="shared" si="52"/>
        <v>NO</v>
      </c>
      <c r="K580" s="4354"/>
      <c r="L580" s="4354"/>
      <c r="M580" s="4354"/>
    </row>
    <row r="581" spans="1:13" ht="15.75" thickBot="1" x14ac:dyDescent="0.3">
      <c r="A581" s="4354"/>
      <c r="B581" s="5094" t="s">
        <v>813</v>
      </c>
      <c r="C581" s="4635" t="s">
        <v>809</v>
      </c>
      <c r="D581" s="4645" t="str">
        <f>IF($D$3=$E$3,E581,IF($D$3=$F$3,F581,IF($D$3=$G$3,G581,"-")))</f>
        <v>NO</v>
      </c>
      <c r="E581" s="4646" t="str">
        <f>Table4.F_2018!H10</f>
        <v>NO</v>
      </c>
      <c r="F581" s="4647" t="str">
        <f>Table4.F_2019!H10</f>
        <v>NO</v>
      </c>
      <c r="G581" s="4648" t="str">
        <f>Table4.F_2020!H10</f>
        <v>NA</v>
      </c>
      <c r="H581" s="4354"/>
      <c r="I581" s="4387" t="str">
        <f t="shared" si="51"/>
        <v>NO</v>
      </c>
      <c r="J581" s="4387" t="str">
        <f t="shared" si="52"/>
        <v>NO</v>
      </c>
      <c r="K581" s="4354"/>
      <c r="L581" s="4354"/>
      <c r="M581" s="4354"/>
    </row>
    <row r="582" spans="1:13" ht="15.75" thickBot="1" x14ac:dyDescent="0.3">
      <c r="A582" s="4354"/>
      <c r="B582" s="5095"/>
      <c r="C582" s="4635" t="s">
        <v>808</v>
      </c>
      <c r="D582" s="4623" t="str">
        <f t="shared" si="54"/>
        <v/>
      </c>
      <c r="E582" s="4624" t="str">
        <f>Table4.F_2018!H11</f>
        <v/>
      </c>
      <c r="F582" s="4625" t="str">
        <f>Table4.F_2019!H11</f>
        <v/>
      </c>
      <c r="G582" s="4626" t="str">
        <f>Table4.F_2020!H11</f>
        <v/>
      </c>
      <c r="H582" s="4354"/>
      <c r="I582" s="4387" t="str">
        <f t="shared" si="51"/>
        <v>NO</v>
      </c>
      <c r="J582" s="4387" t="str">
        <f t="shared" si="52"/>
        <v>NO</v>
      </c>
      <c r="K582" s="4354"/>
      <c r="L582" s="4354"/>
      <c r="M582" s="4354"/>
    </row>
    <row r="583" spans="1:13" x14ac:dyDescent="0.25">
      <c r="A583" s="4354"/>
      <c r="B583" s="5095"/>
      <c r="C583" s="4599" t="s">
        <v>807</v>
      </c>
      <c r="D583" s="4586" t="str">
        <f t="shared" si="54"/>
        <v/>
      </c>
      <c r="E583" s="4600"/>
      <c r="F583" s="4562"/>
      <c r="G583" s="4563"/>
      <c r="H583" s="4354"/>
      <c r="I583" s="4387" t="str">
        <f t="shared" si="51"/>
        <v>NO</v>
      </c>
      <c r="J583" s="4387" t="str">
        <f t="shared" si="52"/>
        <v>NO</v>
      </c>
      <c r="K583" s="4354"/>
      <c r="L583" s="4354"/>
      <c r="M583" s="4354"/>
    </row>
    <row r="584" spans="1:13" x14ac:dyDescent="0.25">
      <c r="A584" s="4354"/>
      <c r="B584" s="5095"/>
      <c r="C584" s="4643" t="s">
        <v>806</v>
      </c>
      <c r="D584" s="4579" t="str">
        <f t="shared" si="54"/>
        <v>NO</v>
      </c>
      <c r="E584" s="4598" t="str">
        <f>Table4.F_2018!H14</f>
        <v>NO</v>
      </c>
      <c r="F584" s="4558" t="str">
        <f>Table4.F_2019!H14</f>
        <v>NO</v>
      </c>
      <c r="G584" s="4559" t="str">
        <f>Table4.F_2020!H14</f>
        <v>NA</v>
      </c>
      <c r="H584" s="4354"/>
      <c r="I584" s="4387" t="str">
        <f t="shared" si="51"/>
        <v>NO</v>
      </c>
      <c r="J584" s="4387" t="str">
        <f t="shared" si="52"/>
        <v>NO</v>
      </c>
      <c r="K584" s="4354"/>
      <c r="L584" s="4354"/>
      <c r="M584" s="4354"/>
    </row>
    <row r="585" spans="1:13" x14ac:dyDescent="0.25">
      <c r="A585" s="4354"/>
      <c r="B585" s="5095"/>
      <c r="C585" s="4643" t="s">
        <v>805</v>
      </c>
      <c r="D585" s="4579" t="str">
        <f t="shared" si="54"/>
        <v>NO</v>
      </c>
      <c r="E585" s="4598" t="str">
        <f>Table4.F_2018!H16</f>
        <v>NO</v>
      </c>
      <c r="F585" s="4558" t="str">
        <f>Table4.F_2019!H16</f>
        <v>NO</v>
      </c>
      <c r="G585" s="4559" t="str">
        <f>Table4.F_2020!H16</f>
        <v>NA</v>
      </c>
      <c r="H585" s="4354"/>
      <c r="I585" s="4387" t="str">
        <f t="shared" si="51"/>
        <v>NO</v>
      </c>
      <c r="J585" s="4387" t="str">
        <f t="shared" si="52"/>
        <v>NO</v>
      </c>
      <c r="K585" s="4354"/>
      <c r="L585" s="4354"/>
      <c r="M585" s="4354"/>
    </row>
    <row r="586" spans="1:13" x14ac:dyDescent="0.25">
      <c r="A586" s="4354"/>
      <c r="B586" s="5095"/>
      <c r="C586" s="4643" t="s">
        <v>804</v>
      </c>
      <c r="D586" s="4579" t="str">
        <f t="shared" si="54"/>
        <v>NO</v>
      </c>
      <c r="E586" s="4598" t="str">
        <f>Table4.F_2018!H18</f>
        <v>NO</v>
      </c>
      <c r="F586" s="4558" t="str">
        <f>Table4.F_2019!H18</f>
        <v>NO</v>
      </c>
      <c r="G586" s="4559" t="str">
        <f>Table4.F_2020!H18</f>
        <v>NA</v>
      </c>
      <c r="H586" s="4354"/>
      <c r="I586" s="4387" t="str">
        <f t="shared" si="51"/>
        <v>NO</v>
      </c>
      <c r="J586" s="4387" t="str">
        <f t="shared" si="52"/>
        <v>NO</v>
      </c>
      <c r="K586" s="4354"/>
      <c r="L586" s="4354"/>
      <c r="M586" s="4354"/>
    </row>
    <row r="587" spans="1:13" x14ac:dyDescent="0.25">
      <c r="A587" s="4354"/>
      <c r="B587" s="5095"/>
      <c r="C587" s="4643" t="s">
        <v>803</v>
      </c>
      <c r="D587" s="4565" t="str">
        <f t="shared" si="54"/>
        <v>NO</v>
      </c>
      <c r="E587" s="4602" t="str">
        <f>Table4.F_2018!H20</f>
        <v>NO</v>
      </c>
      <c r="F587" s="4567" t="str">
        <f>Table4.F_2019!H20</f>
        <v>NO</v>
      </c>
      <c r="G587" s="4568" t="str">
        <f>Table4.F_2020!H20</f>
        <v>NA</v>
      </c>
      <c r="H587" s="4354"/>
      <c r="I587" s="4387" t="str">
        <f t="shared" si="51"/>
        <v>NO</v>
      </c>
      <c r="J587" s="4387" t="str">
        <f t="shared" si="52"/>
        <v>NO</v>
      </c>
      <c r="K587" s="4354"/>
      <c r="L587" s="4354"/>
      <c r="M587" s="4354"/>
    </row>
    <row r="588" spans="1:13" x14ac:dyDescent="0.25">
      <c r="A588" s="4354"/>
      <c r="B588" s="5095"/>
      <c r="C588" s="4643" t="s">
        <v>802</v>
      </c>
      <c r="D588" s="4565" t="str">
        <f t="shared" si="54"/>
        <v>NO</v>
      </c>
      <c r="E588" s="4602" t="str">
        <f>Table4.F_2018!H22</f>
        <v>NO</v>
      </c>
      <c r="F588" s="4567" t="str">
        <f>Table4.F_2019!H22</f>
        <v>NO</v>
      </c>
      <c r="G588" s="4568" t="str">
        <f>Table4.F_2020!H22</f>
        <v>NA</v>
      </c>
      <c r="H588" s="4354"/>
      <c r="I588" s="4387" t="str">
        <f t="shared" si="51"/>
        <v>NO</v>
      </c>
      <c r="J588" s="4387" t="str">
        <f t="shared" si="52"/>
        <v>NO</v>
      </c>
      <c r="K588" s="4354"/>
      <c r="L588" s="4354"/>
      <c r="M588" s="4354"/>
    </row>
    <row r="589" spans="1:13" x14ac:dyDescent="0.25">
      <c r="A589" s="4354"/>
      <c r="B589" s="5095"/>
      <c r="C589" s="4643" t="s">
        <v>801</v>
      </c>
      <c r="D589" s="4565" t="str">
        <f t="shared" si="54"/>
        <v>NA</v>
      </c>
      <c r="E589" s="4603" t="s">
        <v>799</v>
      </c>
      <c r="F589" s="4581" t="s">
        <v>799</v>
      </c>
      <c r="G589" s="4582" t="s">
        <v>799</v>
      </c>
      <c r="H589" s="4354"/>
      <c r="I589" s="4387" t="str">
        <f t="shared" si="51"/>
        <v>NO</v>
      </c>
      <c r="J589" s="4387" t="str">
        <f t="shared" si="52"/>
        <v>NO</v>
      </c>
      <c r="K589" s="4354"/>
      <c r="L589" s="4354"/>
      <c r="M589" s="4354"/>
    </row>
    <row r="590" spans="1:13" ht="15.75" thickBot="1" x14ac:dyDescent="0.3">
      <c r="A590" s="4354"/>
      <c r="B590" s="5096"/>
      <c r="C590" s="4644" t="s">
        <v>800</v>
      </c>
      <c r="D590" s="4570" t="str">
        <f t="shared" si="54"/>
        <v>NA</v>
      </c>
      <c r="E590" s="4605" t="s">
        <v>799</v>
      </c>
      <c r="F590" s="4584" t="s">
        <v>799</v>
      </c>
      <c r="G590" s="4585" t="s">
        <v>799</v>
      </c>
      <c r="H590" s="4354"/>
      <c r="I590" s="4387" t="str">
        <f t="shared" si="51"/>
        <v>NO</v>
      </c>
      <c r="J590" s="4387" t="str">
        <f t="shared" si="52"/>
        <v>NO</v>
      </c>
      <c r="K590" s="4354"/>
      <c r="L590" s="4354"/>
      <c r="M590" s="4354"/>
    </row>
    <row r="591" spans="1:13" ht="15.75" thickBot="1" x14ac:dyDescent="0.3">
      <c r="A591" s="4354"/>
      <c r="B591" s="5094" t="s">
        <v>812</v>
      </c>
      <c r="C591" s="4635" t="s">
        <v>809</v>
      </c>
      <c r="D591" s="4645" t="str">
        <f>IF($D$3=$E$3,E591,IF($D$3=$F$3,F591,IF($D$3=$G$3,G591,"-")))</f>
        <v>NO</v>
      </c>
      <c r="E591" s="4646" t="str">
        <f>Table4.F_2018!I10</f>
        <v>NO</v>
      </c>
      <c r="F591" s="4647" t="str">
        <f>Table4.F_2019!I10</f>
        <v>NO</v>
      </c>
      <c r="G591" s="4648" t="str">
        <f>Table4.F_2020!I10</f>
        <v>NA</v>
      </c>
      <c r="H591" s="4354"/>
      <c r="I591" s="4387" t="str">
        <f t="shared" si="51"/>
        <v>NO</v>
      </c>
      <c r="J591" s="4387" t="str">
        <f t="shared" si="52"/>
        <v>NO</v>
      </c>
      <c r="K591" s="4354"/>
      <c r="L591" s="4354"/>
      <c r="M591" s="4354"/>
    </row>
    <row r="592" spans="1:13" ht="15.75" thickBot="1" x14ac:dyDescent="0.3">
      <c r="A592" s="4354"/>
      <c r="B592" s="5095"/>
      <c r="C592" s="4635" t="s">
        <v>808</v>
      </c>
      <c r="D592" s="4623" t="str">
        <f t="shared" si="54"/>
        <v/>
      </c>
      <c r="E592" s="4624" t="str">
        <f>Table4.F_2018!I11</f>
        <v/>
      </c>
      <c r="F592" s="4625" t="str">
        <f>Table4.F_2019!I11</f>
        <v/>
      </c>
      <c r="G592" s="4626" t="str">
        <f>Table4.F_2020!I11</f>
        <v/>
      </c>
      <c r="H592" s="4354"/>
      <c r="I592" s="4387" t="str">
        <f t="shared" si="51"/>
        <v>NO</v>
      </c>
      <c r="J592" s="4387" t="str">
        <f t="shared" si="52"/>
        <v>NO</v>
      </c>
      <c r="K592" s="4354"/>
      <c r="L592" s="4354"/>
      <c r="M592" s="4354"/>
    </row>
    <row r="593" spans="1:13" x14ac:dyDescent="0.25">
      <c r="A593" s="4354"/>
      <c r="B593" s="5095"/>
      <c r="C593" s="4599" t="s">
        <v>807</v>
      </c>
      <c r="D593" s="4586" t="str">
        <f t="shared" si="54"/>
        <v/>
      </c>
      <c r="E593" s="4600"/>
      <c r="F593" s="4562"/>
      <c r="G593" s="4563"/>
      <c r="H593" s="4354"/>
      <c r="I593" s="4387" t="str">
        <f t="shared" si="51"/>
        <v>NO</v>
      </c>
      <c r="J593" s="4387" t="str">
        <f t="shared" si="52"/>
        <v>NO</v>
      </c>
      <c r="K593" s="4354"/>
      <c r="L593" s="4354"/>
      <c r="M593" s="4354"/>
    </row>
    <row r="594" spans="1:13" x14ac:dyDescent="0.25">
      <c r="A594" s="4354"/>
      <c r="B594" s="5095"/>
      <c r="C594" s="4643" t="s">
        <v>806</v>
      </c>
      <c r="D594" s="4579" t="str">
        <f t="shared" si="54"/>
        <v>NO</v>
      </c>
      <c r="E594" s="4598" t="str">
        <f>Table4.F_2018!I14</f>
        <v>NO</v>
      </c>
      <c r="F594" s="4558" t="str">
        <f>Table4.F_2019!I14</f>
        <v>NO</v>
      </c>
      <c r="G594" s="4559" t="str">
        <f>Table4.F_2020!I14</f>
        <v>NA</v>
      </c>
      <c r="H594" s="4354"/>
      <c r="I594" s="4387" t="str">
        <f t="shared" si="51"/>
        <v>NO</v>
      </c>
      <c r="J594" s="4387" t="str">
        <f t="shared" si="52"/>
        <v>NO</v>
      </c>
      <c r="K594" s="4354"/>
      <c r="L594" s="4354"/>
      <c r="M594" s="4354"/>
    </row>
    <row r="595" spans="1:13" x14ac:dyDescent="0.25">
      <c r="A595" s="4354"/>
      <c r="B595" s="5095"/>
      <c r="C595" s="4643" t="s">
        <v>805</v>
      </c>
      <c r="D595" s="4579" t="str">
        <f t="shared" si="54"/>
        <v>NO</v>
      </c>
      <c r="E595" s="4598" t="str">
        <f>Table4.F_2018!I16</f>
        <v>NO</v>
      </c>
      <c r="F595" s="4558" t="str">
        <f>Table4.F_2019!I16</f>
        <v>NO</v>
      </c>
      <c r="G595" s="4559" t="str">
        <f>Table4.F_2020!I16</f>
        <v>NA</v>
      </c>
      <c r="H595" s="4354"/>
      <c r="I595" s="4387" t="str">
        <f t="shared" si="51"/>
        <v>NO</v>
      </c>
      <c r="J595" s="4387" t="str">
        <f t="shared" si="52"/>
        <v>NO</v>
      </c>
      <c r="K595" s="4354"/>
      <c r="L595" s="4354"/>
      <c r="M595" s="4354"/>
    </row>
    <row r="596" spans="1:13" x14ac:dyDescent="0.25">
      <c r="A596" s="4354"/>
      <c r="B596" s="5095"/>
      <c r="C596" s="4643" t="s">
        <v>804</v>
      </c>
      <c r="D596" s="4579" t="str">
        <f t="shared" si="54"/>
        <v>NO</v>
      </c>
      <c r="E596" s="4598" t="str">
        <f>Table4.F_2018!I18</f>
        <v>NO</v>
      </c>
      <c r="F596" s="4558" t="str">
        <f>Table4.F_2019!I18</f>
        <v>NO</v>
      </c>
      <c r="G596" s="4559" t="str">
        <f>Table4.F_2020!I18</f>
        <v>NA</v>
      </c>
      <c r="H596" s="4354"/>
      <c r="I596" s="4387" t="str">
        <f t="shared" si="51"/>
        <v>NO</v>
      </c>
      <c r="J596" s="4387" t="str">
        <f t="shared" si="52"/>
        <v>NO</v>
      </c>
      <c r="K596" s="4354"/>
      <c r="L596" s="4354"/>
      <c r="M596" s="4354"/>
    </row>
    <row r="597" spans="1:13" x14ac:dyDescent="0.25">
      <c r="A597" s="4354"/>
      <c r="B597" s="5095"/>
      <c r="C597" s="4643" t="s">
        <v>803</v>
      </c>
      <c r="D597" s="4565" t="str">
        <f t="shared" si="54"/>
        <v>NO</v>
      </c>
      <c r="E597" s="4602" t="str">
        <f>Table4.F_2018!I20</f>
        <v>NO</v>
      </c>
      <c r="F597" s="4567" t="str">
        <f>Table4.F_2019!I20</f>
        <v>NO</v>
      </c>
      <c r="G597" s="4568" t="str">
        <f>Table4.F_2020!I20</f>
        <v>NA</v>
      </c>
      <c r="H597" s="4354"/>
      <c r="I597" s="4387" t="str">
        <f t="shared" si="51"/>
        <v>NO</v>
      </c>
      <c r="J597" s="4387" t="str">
        <f t="shared" si="52"/>
        <v>NO</v>
      </c>
      <c r="K597" s="4354"/>
      <c r="L597" s="4354"/>
      <c r="M597" s="4354"/>
    </row>
    <row r="598" spans="1:13" x14ac:dyDescent="0.25">
      <c r="A598" s="4354"/>
      <c r="B598" s="5095"/>
      <c r="C598" s="4643" t="s">
        <v>802</v>
      </c>
      <c r="D598" s="4565" t="str">
        <f t="shared" si="54"/>
        <v>NO</v>
      </c>
      <c r="E598" s="4602" t="str">
        <f>Table4.F_2018!I22</f>
        <v>NO</v>
      </c>
      <c r="F598" s="4567" t="str">
        <f>Table4.F_2019!I22</f>
        <v>NO</v>
      </c>
      <c r="G598" s="4568" t="str">
        <f>Table4.F_2020!I22</f>
        <v>NA</v>
      </c>
      <c r="H598" s="4354"/>
      <c r="I598" s="4387" t="str">
        <f t="shared" si="51"/>
        <v>NO</v>
      </c>
      <c r="J598" s="4387" t="str">
        <f t="shared" si="52"/>
        <v>NO</v>
      </c>
      <c r="K598" s="4354"/>
      <c r="L598" s="4354"/>
      <c r="M598" s="4354"/>
    </row>
    <row r="599" spans="1:13" x14ac:dyDescent="0.25">
      <c r="A599" s="4354"/>
      <c r="B599" s="5095"/>
      <c r="C599" s="4643" t="s">
        <v>801</v>
      </c>
      <c r="D599" s="4565" t="str">
        <f t="shared" si="54"/>
        <v>NA</v>
      </c>
      <c r="E599" s="4603" t="s">
        <v>799</v>
      </c>
      <c r="F599" s="4581" t="s">
        <v>799</v>
      </c>
      <c r="G599" s="4582" t="s">
        <v>799</v>
      </c>
      <c r="H599" s="4354"/>
      <c r="I599" s="4387" t="str">
        <f t="shared" si="51"/>
        <v>NO</v>
      </c>
      <c r="J599" s="4387" t="str">
        <f t="shared" si="52"/>
        <v>NO</v>
      </c>
      <c r="K599" s="4354"/>
      <c r="L599" s="4354"/>
      <c r="M599" s="4354"/>
    </row>
    <row r="600" spans="1:13" ht="15.75" thickBot="1" x14ac:dyDescent="0.3">
      <c r="A600" s="4354"/>
      <c r="B600" s="5096"/>
      <c r="C600" s="4644" t="s">
        <v>800</v>
      </c>
      <c r="D600" s="4570" t="str">
        <f t="shared" si="54"/>
        <v>NA</v>
      </c>
      <c r="E600" s="4605" t="s">
        <v>799</v>
      </c>
      <c r="F600" s="4584" t="s">
        <v>799</v>
      </c>
      <c r="G600" s="4585" t="s">
        <v>799</v>
      </c>
      <c r="H600" s="4354"/>
      <c r="I600" s="4387" t="str">
        <f t="shared" si="51"/>
        <v>NO</v>
      </c>
      <c r="J600" s="4387" t="str">
        <f t="shared" si="52"/>
        <v>NO</v>
      </c>
      <c r="K600" s="4354"/>
      <c r="L600" s="4354"/>
      <c r="M600" s="4354"/>
    </row>
    <row r="601" spans="1:13" ht="15.75" thickBot="1" x14ac:dyDescent="0.3">
      <c r="A601" s="4354"/>
      <c r="B601" s="5094" t="s">
        <v>811</v>
      </c>
      <c r="C601" s="4635" t="s">
        <v>809</v>
      </c>
      <c r="D601" s="4645" t="str">
        <f>IF($D$3=$E$3,E601,IF($D$3=$F$3,F601,IF($D$3=$G$3,G601,"-")))</f>
        <v>NO</v>
      </c>
      <c r="E601" s="4646" t="str">
        <f>Table4.F_2018!J10</f>
        <v>NO</v>
      </c>
      <c r="F601" s="4647" t="str">
        <f>Table4.F_2019!J10</f>
        <v>NO</v>
      </c>
      <c r="G601" s="4648" t="str">
        <f>Table4.F_2020!J10</f>
        <v>NA</v>
      </c>
      <c r="H601" s="4354"/>
      <c r="I601" s="4387" t="str">
        <f t="shared" si="51"/>
        <v>NO</v>
      </c>
      <c r="J601" s="4387" t="str">
        <f t="shared" si="52"/>
        <v>NO</v>
      </c>
      <c r="K601" s="4354"/>
      <c r="L601" s="4354"/>
      <c r="M601" s="4354"/>
    </row>
    <row r="602" spans="1:13" ht="15.75" thickBot="1" x14ac:dyDescent="0.3">
      <c r="A602" s="4354"/>
      <c r="B602" s="5095"/>
      <c r="C602" s="4635" t="s">
        <v>808</v>
      </c>
      <c r="D602" s="4623" t="str">
        <f t="shared" si="54"/>
        <v/>
      </c>
      <c r="E602" s="4624" t="str">
        <f>Table4.F_2018!J11</f>
        <v/>
      </c>
      <c r="F602" s="4625" t="str">
        <f>Table4.F_2019!J11</f>
        <v/>
      </c>
      <c r="G602" s="4626" t="str">
        <f>Table4.F_2020!J11</f>
        <v/>
      </c>
      <c r="H602" s="4354"/>
      <c r="I602" s="4387" t="str">
        <f t="shared" si="51"/>
        <v>NO</v>
      </c>
      <c r="J602" s="4387" t="str">
        <f t="shared" si="52"/>
        <v>NO</v>
      </c>
      <c r="K602" s="4354"/>
      <c r="L602" s="4354"/>
      <c r="M602" s="4354"/>
    </row>
    <row r="603" spans="1:13" x14ac:dyDescent="0.25">
      <c r="A603" s="4354"/>
      <c r="B603" s="5095"/>
      <c r="C603" s="4599" t="s">
        <v>807</v>
      </c>
      <c r="D603" s="4623" t="str">
        <f t="shared" si="54"/>
        <v/>
      </c>
      <c r="E603" s="4640"/>
      <c r="F603" s="4641"/>
      <c r="G603" s="4642"/>
      <c r="H603" s="4354"/>
      <c r="I603" s="4387" t="str">
        <f t="shared" ref="I603:J666" si="55">IFERROR(ABS(F603-E603)/E603,"NO")</f>
        <v>NO</v>
      </c>
      <c r="J603" s="4387" t="str">
        <f t="shared" si="55"/>
        <v>NO</v>
      </c>
      <c r="K603" s="4354"/>
      <c r="L603" s="4354"/>
      <c r="M603" s="4354"/>
    </row>
    <row r="604" spans="1:13" x14ac:dyDescent="0.25">
      <c r="A604" s="4354"/>
      <c r="B604" s="5095"/>
      <c r="C604" s="4643" t="s">
        <v>806</v>
      </c>
      <c r="D604" s="4579" t="str">
        <f t="shared" si="54"/>
        <v>NO</v>
      </c>
      <c r="E604" s="4598" t="str">
        <f>Table4.F_2018!J14</f>
        <v>NO</v>
      </c>
      <c r="F604" s="4558" t="str">
        <f>Table4.F_2019!J14</f>
        <v>NO</v>
      </c>
      <c r="G604" s="4559" t="str">
        <f>Table4.F_2020!J14</f>
        <v>NA</v>
      </c>
      <c r="H604" s="4354"/>
      <c r="I604" s="4387" t="str">
        <f t="shared" si="55"/>
        <v>NO</v>
      </c>
      <c r="J604" s="4387" t="str">
        <f t="shared" si="55"/>
        <v>NO</v>
      </c>
      <c r="K604" s="4354"/>
      <c r="L604" s="4354"/>
      <c r="M604" s="4354"/>
    </row>
    <row r="605" spans="1:13" x14ac:dyDescent="0.25">
      <c r="A605" s="4354"/>
      <c r="B605" s="5095"/>
      <c r="C605" s="4643" t="s">
        <v>805</v>
      </c>
      <c r="D605" s="4579" t="str">
        <f t="shared" si="54"/>
        <v>NO</v>
      </c>
      <c r="E605" s="4598" t="str">
        <f>Table4.F_2018!J16</f>
        <v>NO</v>
      </c>
      <c r="F605" s="4558" t="str">
        <f>Table4.F_2019!J16</f>
        <v>NO</v>
      </c>
      <c r="G605" s="4559" t="str">
        <f>Table4.F_2020!J16</f>
        <v>NA</v>
      </c>
      <c r="H605" s="4354"/>
      <c r="I605" s="4387" t="str">
        <f t="shared" si="55"/>
        <v>NO</v>
      </c>
      <c r="J605" s="4387" t="str">
        <f t="shared" si="55"/>
        <v>NO</v>
      </c>
      <c r="K605" s="4354"/>
      <c r="L605" s="4354"/>
      <c r="M605" s="4354"/>
    </row>
    <row r="606" spans="1:13" x14ac:dyDescent="0.25">
      <c r="A606" s="4354"/>
      <c r="B606" s="5095"/>
      <c r="C606" s="4643" t="s">
        <v>804</v>
      </c>
      <c r="D606" s="4579" t="str">
        <f t="shared" si="54"/>
        <v>NO</v>
      </c>
      <c r="E606" s="4598" t="str">
        <f>Table4.F_2018!J18</f>
        <v>NO</v>
      </c>
      <c r="F606" s="4558" t="str">
        <f>Table4.F_2019!J18</f>
        <v>NO</v>
      </c>
      <c r="G606" s="4559" t="str">
        <f>Table4.F_2020!J18</f>
        <v>NA</v>
      </c>
      <c r="H606" s="4354"/>
      <c r="I606" s="4387" t="str">
        <f t="shared" si="55"/>
        <v>NO</v>
      </c>
      <c r="J606" s="4387" t="str">
        <f t="shared" si="55"/>
        <v>NO</v>
      </c>
      <c r="K606" s="4354"/>
      <c r="L606" s="4354"/>
      <c r="M606" s="4354"/>
    </row>
    <row r="607" spans="1:13" x14ac:dyDescent="0.25">
      <c r="A607" s="4354"/>
      <c r="B607" s="5095"/>
      <c r="C607" s="4643" t="s">
        <v>803</v>
      </c>
      <c r="D607" s="4565" t="str">
        <f t="shared" si="54"/>
        <v>NO</v>
      </c>
      <c r="E607" s="4602" t="str">
        <f>Table4.F_2018!J20</f>
        <v>NO</v>
      </c>
      <c r="F607" s="4567" t="str">
        <f>Table4.F_2019!J20</f>
        <v>NO</v>
      </c>
      <c r="G607" s="4568" t="str">
        <f>Table4.F_2020!J20</f>
        <v>NA</v>
      </c>
      <c r="H607" s="4354"/>
      <c r="I607" s="4387" t="str">
        <f t="shared" si="55"/>
        <v>NO</v>
      </c>
      <c r="J607" s="4387" t="str">
        <f t="shared" si="55"/>
        <v>NO</v>
      </c>
      <c r="K607" s="4354"/>
      <c r="L607" s="4354"/>
      <c r="M607" s="4354"/>
    </row>
    <row r="608" spans="1:13" x14ac:dyDescent="0.25">
      <c r="A608" s="4354"/>
      <c r="B608" s="5095"/>
      <c r="C608" s="4643" t="s">
        <v>802</v>
      </c>
      <c r="D608" s="4565" t="str">
        <f t="shared" si="54"/>
        <v>NO</v>
      </c>
      <c r="E608" s="4602" t="str">
        <f>Table4.F_2018!J22</f>
        <v>NO</v>
      </c>
      <c r="F608" s="4567" t="str">
        <f>Table4.F_2019!J22</f>
        <v>NO</v>
      </c>
      <c r="G608" s="4568" t="str">
        <f>Table4.F_2020!J22</f>
        <v>NA</v>
      </c>
      <c r="H608" s="4354"/>
      <c r="I608" s="4387" t="str">
        <f t="shared" si="55"/>
        <v>NO</v>
      </c>
      <c r="J608" s="4387" t="str">
        <f t="shared" si="55"/>
        <v>NO</v>
      </c>
      <c r="K608" s="4354"/>
      <c r="L608" s="4354"/>
      <c r="M608" s="4354"/>
    </row>
    <row r="609" spans="1:13" x14ac:dyDescent="0.25">
      <c r="A609" s="4354"/>
      <c r="B609" s="5095"/>
      <c r="C609" s="4643" t="s">
        <v>801</v>
      </c>
      <c r="D609" s="4565" t="str">
        <f t="shared" si="54"/>
        <v>NA</v>
      </c>
      <c r="E609" s="4603" t="s">
        <v>799</v>
      </c>
      <c r="F609" s="4581" t="s">
        <v>799</v>
      </c>
      <c r="G609" s="4582" t="s">
        <v>799</v>
      </c>
      <c r="H609" s="4354"/>
      <c r="I609" s="4387" t="str">
        <f t="shared" si="55"/>
        <v>NO</v>
      </c>
      <c r="J609" s="4387" t="str">
        <f t="shared" si="55"/>
        <v>NO</v>
      </c>
      <c r="K609" s="4354"/>
      <c r="L609" s="4354"/>
      <c r="M609" s="4354"/>
    </row>
    <row r="610" spans="1:13" ht="15.75" thickBot="1" x14ac:dyDescent="0.3">
      <c r="A610" s="4354"/>
      <c r="B610" s="5096"/>
      <c r="C610" s="4644" t="s">
        <v>800</v>
      </c>
      <c r="D610" s="4570" t="str">
        <f t="shared" si="54"/>
        <v>NA</v>
      </c>
      <c r="E610" s="4605" t="s">
        <v>799</v>
      </c>
      <c r="F610" s="4584" t="s">
        <v>799</v>
      </c>
      <c r="G610" s="4585" t="s">
        <v>799</v>
      </c>
      <c r="H610" s="4354"/>
      <c r="I610" s="4387" t="str">
        <f t="shared" si="55"/>
        <v>NO</v>
      </c>
      <c r="J610" s="4387" t="str">
        <f t="shared" si="55"/>
        <v>NO</v>
      </c>
      <c r="K610" s="4354"/>
      <c r="L610" s="4354"/>
      <c r="M610" s="4354"/>
    </row>
    <row r="611" spans="1:13" ht="15.75" thickBot="1" x14ac:dyDescent="0.3">
      <c r="A611" s="4354"/>
      <c r="B611" s="5094" t="s">
        <v>810</v>
      </c>
      <c r="C611" s="4635" t="s">
        <v>809</v>
      </c>
      <c r="D611" s="4649" t="str">
        <f t="shared" si="54"/>
        <v>NO</v>
      </c>
      <c r="E611" s="4646" t="str">
        <f>Table4.F_2018!K10</f>
        <v>NO</v>
      </c>
      <c r="F611" s="4647" t="str">
        <f>Table4.F_2019!K10</f>
        <v>NO</v>
      </c>
      <c r="G611" s="4648" t="str">
        <f>Table4.F_2020!K10</f>
        <v>NA</v>
      </c>
      <c r="H611" s="4354"/>
      <c r="I611" s="4387" t="str">
        <f t="shared" si="55"/>
        <v>NO</v>
      </c>
      <c r="J611" s="4387" t="str">
        <f t="shared" si="55"/>
        <v>NO</v>
      </c>
      <c r="K611" s="4354"/>
      <c r="L611" s="4354"/>
      <c r="M611" s="4354"/>
    </row>
    <row r="612" spans="1:13" ht="15.75" thickBot="1" x14ac:dyDescent="0.3">
      <c r="A612" s="4354"/>
      <c r="B612" s="5095"/>
      <c r="C612" s="4635" t="s">
        <v>808</v>
      </c>
      <c r="D612" s="4623" t="str">
        <f t="shared" si="54"/>
        <v/>
      </c>
      <c r="E612" s="4624" t="str">
        <f>Table4.F_2018!K11</f>
        <v/>
      </c>
      <c r="F612" s="4625" t="str">
        <f>Table4.F_2019!K11</f>
        <v/>
      </c>
      <c r="G612" s="4626" t="str">
        <f>Table4.F_2020!K11</f>
        <v/>
      </c>
      <c r="H612" s="4354"/>
      <c r="I612" s="4387" t="str">
        <f t="shared" si="55"/>
        <v>NO</v>
      </c>
      <c r="J612" s="4387" t="str">
        <f t="shared" si="55"/>
        <v>NO</v>
      </c>
      <c r="K612" s="4354"/>
      <c r="L612" s="4354"/>
      <c r="M612" s="4354"/>
    </row>
    <row r="613" spans="1:13" x14ac:dyDescent="0.25">
      <c r="A613" s="4354"/>
      <c r="B613" s="5095"/>
      <c r="C613" s="4599" t="s">
        <v>807</v>
      </c>
      <c r="D613" s="4623" t="str">
        <f t="shared" si="54"/>
        <v/>
      </c>
      <c r="E613" s="4640"/>
      <c r="F613" s="4641"/>
      <c r="G613" s="4642"/>
      <c r="H613" s="4354"/>
      <c r="I613" s="4387" t="str">
        <f t="shared" si="55"/>
        <v>NO</v>
      </c>
      <c r="J613" s="4387" t="str">
        <f t="shared" si="55"/>
        <v>NO</v>
      </c>
      <c r="K613" s="4354"/>
      <c r="L613" s="4354"/>
      <c r="M613" s="4354"/>
    </row>
    <row r="614" spans="1:13" x14ac:dyDescent="0.25">
      <c r="A614" s="4354"/>
      <c r="B614" s="5095"/>
      <c r="C614" s="4643" t="s">
        <v>806</v>
      </c>
      <c r="D614" s="4579" t="str">
        <f t="shared" si="54"/>
        <v>NO</v>
      </c>
      <c r="E614" s="4598" t="str">
        <f>Table4.F_2018!K14</f>
        <v>NO</v>
      </c>
      <c r="F614" s="4558" t="str">
        <f>Table4.F_2019!K14</f>
        <v>NO</v>
      </c>
      <c r="G614" s="4559" t="str">
        <f>Table4.F_2020!K14</f>
        <v>NA</v>
      </c>
      <c r="H614" s="4354"/>
      <c r="I614" s="4387" t="str">
        <f t="shared" si="55"/>
        <v>NO</v>
      </c>
      <c r="J614" s="4387" t="str">
        <f t="shared" si="55"/>
        <v>NO</v>
      </c>
      <c r="K614" s="4354"/>
      <c r="L614" s="4354"/>
      <c r="M614" s="4354"/>
    </row>
    <row r="615" spans="1:13" x14ac:dyDescent="0.25">
      <c r="A615" s="4354"/>
      <c r="B615" s="5095"/>
      <c r="C615" s="4643" t="s">
        <v>805</v>
      </c>
      <c r="D615" s="4579" t="str">
        <f t="shared" si="54"/>
        <v>NO</v>
      </c>
      <c r="E615" s="4598" t="str">
        <f>Table4.F_2018!K16</f>
        <v>NO</v>
      </c>
      <c r="F615" s="4558" t="str">
        <f>Table4.F_2019!K16</f>
        <v>NO</v>
      </c>
      <c r="G615" s="4559" t="str">
        <f>Table4.F_2020!K16</f>
        <v>NA</v>
      </c>
      <c r="H615" s="4354"/>
      <c r="I615" s="4387" t="str">
        <f t="shared" si="55"/>
        <v>NO</v>
      </c>
      <c r="J615" s="4387" t="str">
        <f t="shared" si="55"/>
        <v>NO</v>
      </c>
      <c r="K615" s="4354"/>
      <c r="L615" s="4354"/>
      <c r="M615" s="4354"/>
    </row>
    <row r="616" spans="1:13" x14ac:dyDescent="0.25">
      <c r="A616" s="4354"/>
      <c r="B616" s="5095"/>
      <c r="C616" s="4643" t="s">
        <v>804</v>
      </c>
      <c r="D616" s="4579" t="str">
        <f t="shared" si="54"/>
        <v>NO</v>
      </c>
      <c r="E616" s="4598" t="str">
        <f>Table4.F_2018!K18</f>
        <v>NO</v>
      </c>
      <c r="F616" s="4558" t="str">
        <f>Table4.F_2019!K18</f>
        <v>NO</v>
      </c>
      <c r="G616" s="4559" t="str">
        <f>Table4.F_2020!K18</f>
        <v>NA</v>
      </c>
      <c r="H616" s="4354"/>
      <c r="I616" s="4387" t="str">
        <f t="shared" si="55"/>
        <v>NO</v>
      </c>
      <c r="J616" s="4387" t="str">
        <f t="shared" si="55"/>
        <v>NO</v>
      </c>
      <c r="K616" s="4354"/>
      <c r="L616" s="4354"/>
      <c r="M616" s="4354"/>
    </row>
    <row r="617" spans="1:13" x14ac:dyDescent="0.25">
      <c r="A617" s="4354"/>
      <c r="B617" s="5095"/>
      <c r="C617" s="4643" t="s">
        <v>803</v>
      </c>
      <c r="D617" s="4565" t="str">
        <f t="shared" ref="D617:D680" si="56">""&amp;IF($D$3=$E$3,E617,IF($D$3=$F$3,F617,IF($D$3=$G$3,G617,"-")))</f>
        <v>NO</v>
      </c>
      <c r="E617" s="4602" t="str">
        <f>Table4.F_2018!K20</f>
        <v>NO</v>
      </c>
      <c r="F617" s="4567" t="str">
        <f>Table4.F_2019!K20</f>
        <v>NO</v>
      </c>
      <c r="G617" s="4568" t="str">
        <f>Table4.F_2020!K20</f>
        <v>NA</v>
      </c>
      <c r="H617" s="4354"/>
      <c r="I617" s="4387" t="str">
        <f t="shared" si="55"/>
        <v>NO</v>
      </c>
      <c r="J617" s="4387" t="str">
        <f t="shared" si="55"/>
        <v>NO</v>
      </c>
      <c r="K617" s="4354"/>
      <c r="L617" s="4354"/>
      <c r="M617" s="4354"/>
    </row>
    <row r="618" spans="1:13" x14ac:dyDescent="0.25">
      <c r="A618" s="4354"/>
      <c r="B618" s="5095"/>
      <c r="C618" s="4643" t="s">
        <v>802</v>
      </c>
      <c r="D618" s="4565" t="str">
        <f t="shared" si="56"/>
        <v>NO</v>
      </c>
      <c r="E618" s="4602" t="str">
        <f>Table4.F_2018!K22</f>
        <v>NO</v>
      </c>
      <c r="F618" s="4567" t="str">
        <f>Table4.F_2019!K22</f>
        <v>NO</v>
      </c>
      <c r="G618" s="4568" t="str">
        <f>Table4.F_2020!K22</f>
        <v>NA</v>
      </c>
      <c r="H618" s="4354"/>
      <c r="I618" s="4387" t="str">
        <f t="shared" si="55"/>
        <v>NO</v>
      </c>
      <c r="J618" s="4387" t="str">
        <f t="shared" si="55"/>
        <v>NO</v>
      </c>
      <c r="K618" s="4354"/>
      <c r="L618" s="4354"/>
      <c r="M618" s="4354"/>
    </row>
    <row r="619" spans="1:13" x14ac:dyDescent="0.25">
      <c r="A619" s="4354"/>
      <c r="B619" s="5095"/>
      <c r="C619" s="4643" t="s">
        <v>801</v>
      </c>
      <c r="D619" s="4565" t="str">
        <f t="shared" si="56"/>
        <v>NA</v>
      </c>
      <c r="E619" s="4603" t="s">
        <v>799</v>
      </c>
      <c r="F619" s="4581" t="s">
        <v>799</v>
      </c>
      <c r="G619" s="4582" t="s">
        <v>799</v>
      </c>
      <c r="H619" s="4354"/>
      <c r="I619" s="4387" t="str">
        <f t="shared" si="55"/>
        <v>NO</v>
      </c>
      <c r="J619" s="4387" t="str">
        <f t="shared" si="55"/>
        <v>NO</v>
      </c>
      <c r="K619" s="4354"/>
      <c r="L619" s="4354"/>
      <c r="M619" s="4354"/>
    </row>
    <row r="620" spans="1:13" ht="15.75" thickBot="1" x14ac:dyDescent="0.3">
      <c r="A620" s="4354"/>
      <c r="B620" s="5096"/>
      <c r="C620" s="4644" t="s">
        <v>800</v>
      </c>
      <c r="D620" s="4570" t="str">
        <f t="shared" si="56"/>
        <v>NA</v>
      </c>
      <c r="E620" s="4605" t="s">
        <v>799</v>
      </c>
      <c r="F620" s="4584" t="s">
        <v>799</v>
      </c>
      <c r="G620" s="4585" t="s">
        <v>799</v>
      </c>
      <c r="H620" s="4354"/>
      <c r="I620" s="4387" t="str">
        <f t="shared" si="55"/>
        <v>NO</v>
      </c>
      <c r="J620" s="4387" t="str">
        <f t="shared" si="55"/>
        <v>NO</v>
      </c>
      <c r="K620" s="4354"/>
      <c r="L620" s="4354"/>
      <c r="M620" s="4354"/>
    </row>
    <row r="621" spans="1:13" x14ac:dyDescent="0.25">
      <c r="A621" s="4354"/>
      <c r="B621" s="4354"/>
      <c r="C621" s="4354"/>
      <c r="D621" s="4589" t="str">
        <f t="shared" si="56"/>
        <v/>
      </c>
      <c r="E621" s="4356"/>
      <c r="F621" s="4590"/>
      <c r="G621" s="4354"/>
      <c r="H621" s="4354"/>
      <c r="I621" s="4387" t="str">
        <f t="shared" si="55"/>
        <v>NO</v>
      </c>
      <c r="J621" s="4387" t="str">
        <f t="shared" si="55"/>
        <v>NO</v>
      </c>
      <c r="K621" s="4354"/>
      <c r="L621" s="4354"/>
      <c r="M621" s="4354"/>
    </row>
    <row r="622" spans="1:13" ht="14.45" customHeight="1" x14ac:dyDescent="0.25">
      <c r="A622" s="4354"/>
      <c r="B622" s="4354"/>
      <c r="C622" s="4354"/>
      <c r="D622" s="4591" t="str">
        <f t="shared" si="56"/>
        <v xml:space="preserve"> NIR 2020 (2018) CRF tabel 4F</v>
      </c>
      <c r="E622" s="4481" t="s">
        <v>5279</v>
      </c>
      <c r="F622" s="4481" t="s">
        <v>5280</v>
      </c>
      <c r="G622" s="4481" t="s">
        <v>5281</v>
      </c>
      <c r="H622" s="4354"/>
      <c r="I622" s="4387" t="str">
        <f t="shared" si="55"/>
        <v>NO</v>
      </c>
      <c r="J622" s="4387" t="str">
        <f t="shared" si="55"/>
        <v>NO</v>
      </c>
      <c r="K622" s="4354"/>
      <c r="L622" s="4354"/>
      <c r="M622" s="4354"/>
    </row>
    <row r="623" spans="1:13" x14ac:dyDescent="0.25">
      <c r="A623" s="4354"/>
      <c r="B623" s="4354"/>
      <c r="C623" s="4354"/>
      <c r="D623" s="4589" t="str">
        <f t="shared" si="56"/>
        <v/>
      </c>
      <c r="E623" s="4356"/>
      <c r="F623" s="4354"/>
      <c r="G623" s="4354"/>
      <c r="H623" s="4354"/>
      <c r="I623" s="4387" t="str">
        <f t="shared" si="55"/>
        <v>NO</v>
      </c>
      <c r="J623" s="4387" t="str">
        <f t="shared" si="55"/>
        <v>NO</v>
      </c>
      <c r="K623" s="4354"/>
      <c r="L623" s="4354"/>
      <c r="M623" s="4354"/>
    </row>
    <row r="624" spans="1:13" s="640" customFormat="1" ht="27.75" customHeight="1" x14ac:dyDescent="0.3">
      <c r="A624" s="4357"/>
      <c r="B624" s="4432" t="s">
        <v>798</v>
      </c>
      <c r="C624" s="4357"/>
      <c r="D624" s="4592" t="str">
        <f t="shared" si="56"/>
        <v/>
      </c>
      <c r="E624" s="4357"/>
      <c r="F624" s="4357"/>
      <c r="G624" s="4357"/>
      <c r="H624" s="4357"/>
      <c r="I624" s="4387" t="str">
        <f t="shared" si="55"/>
        <v>NO</v>
      </c>
      <c r="J624" s="4387" t="str">
        <f t="shared" si="55"/>
        <v>NO</v>
      </c>
      <c r="K624" s="4357"/>
      <c r="L624" s="4357"/>
      <c r="M624" s="4357"/>
    </row>
    <row r="625" spans="1:13" ht="15.75" thickBot="1" x14ac:dyDescent="0.3">
      <c r="A625" s="4354"/>
      <c r="B625" s="4354"/>
      <c r="C625" s="4354"/>
      <c r="D625" s="4589" t="str">
        <f t="shared" si="56"/>
        <v/>
      </c>
      <c r="E625" s="4356"/>
      <c r="F625" s="4354"/>
      <c r="G625" s="4354"/>
      <c r="H625" s="4354"/>
      <c r="I625" s="4387" t="str">
        <f t="shared" si="55"/>
        <v>NO</v>
      </c>
      <c r="J625" s="4387" t="str">
        <f t="shared" si="55"/>
        <v>NO</v>
      </c>
      <c r="K625" s="4354"/>
      <c r="L625" s="4354"/>
      <c r="M625" s="4354"/>
    </row>
    <row r="626" spans="1:13" ht="15.75" thickBot="1" x14ac:dyDescent="0.3">
      <c r="A626" s="4354"/>
      <c r="B626" s="4650" t="s">
        <v>797</v>
      </c>
      <c r="C626" s="4651"/>
      <c r="D626" s="4652" t="str">
        <f t="shared" si="56"/>
        <v>Kg pr ha</v>
      </c>
      <c r="E626" s="4653" t="s">
        <v>769</v>
      </c>
      <c r="F626" s="4654" t="s">
        <v>769</v>
      </c>
      <c r="G626" s="4655" t="s">
        <v>769</v>
      </c>
      <c r="H626" s="4354"/>
      <c r="I626" s="4387" t="str">
        <f t="shared" si="55"/>
        <v>NO</v>
      </c>
      <c r="J626" s="4387" t="str">
        <f t="shared" si="55"/>
        <v>NO</v>
      </c>
      <c r="K626" s="4354"/>
      <c r="L626" s="4354"/>
      <c r="M626" s="4354"/>
    </row>
    <row r="627" spans="1:13" ht="17.25" x14ac:dyDescent="0.25">
      <c r="A627" s="4354"/>
      <c r="B627" s="5070" t="s">
        <v>774</v>
      </c>
      <c r="C627" s="4656" t="s">
        <v>796</v>
      </c>
      <c r="D627" s="4657" t="str">
        <f t="shared" si="56"/>
        <v/>
      </c>
      <c r="E627" s="4658"/>
      <c r="F627" s="4659"/>
      <c r="G627" s="4660"/>
      <c r="H627" s="4354"/>
      <c r="I627" s="4387" t="str">
        <f t="shared" si="55"/>
        <v>NO</v>
      </c>
      <c r="J627" s="4387" t="str">
        <f t="shared" si="55"/>
        <v>NO</v>
      </c>
      <c r="K627" s="4354"/>
      <c r="L627" s="4354"/>
      <c r="M627" s="4354"/>
    </row>
    <row r="628" spans="1:13" ht="17.25" x14ac:dyDescent="0.25">
      <c r="A628" s="4354"/>
      <c r="B628" s="5071"/>
      <c r="C628" s="4661" t="s">
        <v>795</v>
      </c>
      <c r="D628" s="4662" t="str">
        <f t="shared" si="56"/>
        <v>NO,IE</v>
      </c>
      <c r="E628" s="4663" t="str">
        <f>'Table4(II)_2018'!D10</f>
        <v>NO,IE</v>
      </c>
      <c r="F628" s="4664" t="str">
        <f>'Table4(II)_2019'!D10</f>
        <v>NO,IE</v>
      </c>
      <c r="G628" s="4665" t="str">
        <f>'Table4(II)_2020'!D10</f>
        <v>IE,NA</v>
      </c>
      <c r="H628" s="4354"/>
      <c r="I628" s="4387" t="str">
        <f t="shared" si="55"/>
        <v>NO</v>
      </c>
      <c r="J628" s="4387" t="str">
        <f t="shared" si="55"/>
        <v>NO</v>
      </c>
      <c r="K628" s="4354"/>
      <c r="L628" s="4354"/>
      <c r="M628" s="4354"/>
    </row>
    <row r="629" spans="1:13" ht="17.25" x14ac:dyDescent="0.25">
      <c r="A629" s="4354"/>
      <c r="B629" s="5071"/>
      <c r="C629" s="4666" t="s">
        <v>794</v>
      </c>
      <c r="D629" s="4667" t="str">
        <f t="shared" si="56"/>
        <v>IE</v>
      </c>
      <c r="E629" s="4668" t="str">
        <f>'Table4(II)_2018'!D12</f>
        <v>IE</v>
      </c>
      <c r="F629" s="4669" t="str">
        <f>'Table4(II)_2019'!D12</f>
        <v>IE</v>
      </c>
      <c r="G629" s="4498" t="str">
        <f>'Table4(II)_2020'!D12</f>
        <v>IE</v>
      </c>
      <c r="H629" s="4354"/>
      <c r="I629" s="4387" t="str">
        <f t="shared" si="55"/>
        <v>NO</v>
      </c>
      <c r="J629" s="4387" t="str">
        <f t="shared" si="55"/>
        <v>NO</v>
      </c>
      <c r="K629" s="4354"/>
      <c r="L629" s="4354"/>
      <c r="M629" s="4354"/>
    </row>
    <row r="630" spans="1:13" x14ac:dyDescent="0.25">
      <c r="A630" s="4354"/>
      <c r="B630" s="5071"/>
      <c r="C630" s="4666" t="s">
        <v>793</v>
      </c>
      <c r="D630" s="4667" t="str">
        <f t="shared" si="56"/>
        <v>IE</v>
      </c>
      <c r="E630" s="4668" t="str">
        <f>'Table4(II)_2018'!D14</f>
        <v>IE</v>
      </c>
      <c r="F630" s="4669" t="str">
        <f>'Table4(II)_2019'!D14</f>
        <v>IE</v>
      </c>
      <c r="G630" s="4498" t="str">
        <f>'Table4(II)_2020'!D14</f>
        <v>IE</v>
      </c>
      <c r="H630" s="4354"/>
      <c r="I630" s="4387" t="str">
        <f t="shared" si="55"/>
        <v>NO</v>
      </c>
      <c r="J630" s="4387" t="str">
        <f t="shared" si="55"/>
        <v>NO</v>
      </c>
      <c r="K630" s="4354"/>
      <c r="L630" s="4354"/>
      <c r="M630" s="4354"/>
    </row>
    <row r="631" spans="1:13" x14ac:dyDescent="0.25">
      <c r="A631" s="4354"/>
      <c r="B631" s="5071"/>
      <c r="C631" s="4666" t="s">
        <v>792</v>
      </c>
      <c r="D631" s="4667" t="str">
        <f t="shared" si="56"/>
        <v>IE</v>
      </c>
      <c r="E631" s="4668" t="str">
        <f>'Table4(II)_2018'!D14</f>
        <v>IE</v>
      </c>
      <c r="F631" s="4669" t="str">
        <f>'Table4(II)_2019'!D14</f>
        <v>IE</v>
      </c>
      <c r="G631" s="4498" t="str">
        <f>'Table4(II)_2020'!D14</f>
        <v>IE</v>
      </c>
      <c r="H631" s="4354"/>
      <c r="I631" s="4387" t="str">
        <f t="shared" si="55"/>
        <v>NO</v>
      </c>
      <c r="J631" s="4387" t="str">
        <f t="shared" si="55"/>
        <v>NO</v>
      </c>
      <c r="K631" s="4354"/>
      <c r="L631" s="4354"/>
      <c r="M631" s="4354"/>
    </row>
    <row r="632" spans="1:13" x14ac:dyDescent="0.25">
      <c r="A632" s="4354"/>
      <c r="B632" s="5071"/>
      <c r="C632" s="4661" t="s">
        <v>791</v>
      </c>
      <c r="D632" s="4662" t="str">
        <f t="shared" si="56"/>
        <v/>
      </c>
      <c r="E632" s="4663"/>
      <c r="F632" s="4664"/>
      <c r="G632" s="4665"/>
      <c r="H632" s="4354"/>
      <c r="I632" s="4387" t="str">
        <f t="shared" si="55"/>
        <v>NO</v>
      </c>
      <c r="J632" s="4387" t="str">
        <f t="shared" si="55"/>
        <v>NO</v>
      </c>
      <c r="K632" s="4354"/>
      <c r="L632" s="4354"/>
      <c r="M632" s="4354"/>
    </row>
    <row r="633" spans="1:13" ht="15.75" thickBot="1" x14ac:dyDescent="0.3">
      <c r="A633" s="4354"/>
      <c r="B633" s="5072"/>
      <c r="C633" s="4670" t="s">
        <v>790</v>
      </c>
      <c r="D633" s="4671" t="str">
        <f t="shared" si="56"/>
        <v>NO</v>
      </c>
      <c r="E633" s="4672" t="str">
        <f>'Table4(II)_2018'!D18</f>
        <v>NO</v>
      </c>
      <c r="F633" s="4513" t="str">
        <f>'Table4(II)_2019'!D18</f>
        <v>NO</v>
      </c>
      <c r="G633" s="4514" t="str">
        <f>'Table4(II)_2020'!D18</f>
        <v>NA</v>
      </c>
      <c r="H633" s="4354"/>
      <c r="I633" s="4387" t="str">
        <f t="shared" si="55"/>
        <v>NO</v>
      </c>
      <c r="J633" s="4387" t="str">
        <f t="shared" si="55"/>
        <v>NO</v>
      </c>
      <c r="K633" s="4354"/>
      <c r="L633" s="4354"/>
      <c r="M633" s="4354"/>
    </row>
    <row r="634" spans="1:13" ht="17.25" x14ac:dyDescent="0.25">
      <c r="A634" s="4354"/>
      <c r="B634" s="5070" t="s">
        <v>773</v>
      </c>
      <c r="C634" s="4656" t="s">
        <v>796</v>
      </c>
      <c r="D634" s="4657" t="str">
        <f t="shared" si="56"/>
        <v/>
      </c>
      <c r="E634" s="4658"/>
      <c r="F634" s="4659"/>
      <c r="G634" s="4660"/>
      <c r="H634" s="4354"/>
      <c r="I634" s="4387" t="str">
        <f t="shared" si="55"/>
        <v>NO</v>
      </c>
      <c r="J634" s="4387" t="str">
        <f t="shared" si="55"/>
        <v>NO</v>
      </c>
      <c r="K634" s="4354"/>
      <c r="L634" s="4354"/>
      <c r="M634" s="4354"/>
    </row>
    <row r="635" spans="1:13" ht="17.25" x14ac:dyDescent="0.25">
      <c r="A635" s="4354"/>
      <c r="B635" s="5071"/>
      <c r="C635" s="4661" t="s">
        <v>795</v>
      </c>
      <c r="D635" s="4673">
        <f>IF($D$3=$E$3,E635,IF($D$3=$F$3,F635,IF($D$3=$G$3,G635,"-")))</f>
        <v>2.8000000000763401</v>
      </c>
      <c r="E635" s="4663">
        <f>'Table4(II)_2018'!E10</f>
        <v>2.8000000000763401</v>
      </c>
      <c r="F635" s="4664">
        <f>'Table4(II)_2019'!E10</f>
        <v>1.4000000000244599</v>
      </c>
      <c r="G635" s="4665">
        <f>'Table4(II)_2020'!E10</f>
        <v>1.39999999998965</v>
      </c>
      <c r="H635" s="4354"/>
      <c r="I635" s="4387">
        <f t="shared" si="55"/>
        <v>0.50000000000489653</v>
      </c>
      <c r="J635" s="4387">
        <f t="shared" si="55"/>
        <v>2.4864237652492131E-11</v>
      </c>
      <c r="K635" s="4354"/>
      <c r="L635" s="4354"/>
      <c r="M635" s="4354"/>
    </row>
    <row r="636" spans="1:13" ht="17.25" x14ac:dyDescent="0.25">
      <c r="A636" s="4354"/>
      <c r="B636" s="5071"/>
      <c r="C636" s="4666" t="s">
        <v>794</v>
      </c>
      <c r="D636" s="4674">
        <f>IF($D$3=$E$3,E636,IF($D$3=$F$3,F636,IF($D$3=$G$3,G636,"-")))</f>
        <v>2.8000000000763401</v>
      </c>
      <c r="E636" s="4668">
        <f>'Table4(II)_2018'!E12</f>
        <v>2.8000000000763401</v>
      </c>
      <c r="F636" s="4669">
        <f>'Table4(II)_2019'!E12</f>
        <v>2.8000000000489198</v>
      </c>
      <c r="G636" s="4498">
        <f>'Table4(II)_2020'!E12</f>
        <v>2.7999999999792999</v>
      </c>
      <c r="H636" s="4354"/>
      <c r="I636" s="4387">
        <f t="shared" si="55"/>
        <v>9.7929600933730429E-12</v>
      </c>
      <c r="J636" s="4387">
        <f t="shared" si="55"/>
        <v>2.4864237652492131E-11</v>
      </c>
      <c r="K636" s="4354"/>
      <c r="L636" s="4354"/>
      <c r="M636" s="4354"/>
    </row>
    <row r="637" spans="1:13" x14ac:dyDescent="0.25">
      <c r="A637" s="4354"/>
      <c r="B637" s="5071"/>
      <c r="C637" s="4666" t="s">
        <v>793</v>
      </c>
      <c r="D637" s="4667" t="str">
        <f t="shared" si="56"/>
        <v>NO</v>
      </c>
      <c r="E637" s="4668" t="str">
        <f>'Table4(II)_2018'!E15</f>
        <v>NO</v>
      </c>
      <c r="F637" s="4669" t="str">
        <f>'Table4(II)_2019'!E15</f>
        <v>NO</v>
      </c>
      <c r="G637" s="4498" t="str">
        <f>'Table4(II)_2020'!E15</f>
        <v>NA</v>
      </c>
      <c r="H637" s="4354"/>
      <c r="I637" s="4387" t="str">
        <f t="shared" si="55"/>
        <v>NO</v>
      </c>
      <c r="J637" s="4387" t="str">
        <f t="shared" si="55"/>
        <v>NO</v>
      </c>
      <c r="K637" s="4354"/>
      <c r="L637" s="4354"/>
      <c r="M637" s="4354"/>
    </row>
    <row r="638" spans="1:13" x14ac:dyDescent="0.25">
      <c r="A638" s="4354"/>
      <c r="B638" s="5071"/>
      <c r="C638" s="4666" t="s">
        <v>792</v>
      </c>
      <c r="D638" s="4667" t="str">
        <f t="shared" si="56"/>
        <v>NO</v>
      </c>
      <c r="E638" s="4668" t="str">
        <f>'Table4(II)_2018'!E15</f>
        <v>NO</v>
      </c>
      <c r="F638" s="4669" t="str">
        <f>'Table4(II)_2019'!E15</f>
        <v>NO</v>
      </c>
      <c r="G638" s="4498" t="str">
        <f>'Table4(II)_2020'!E15</f>
        <v>NA</v>
      </c>
      <c r="H638" s="4354"/>
      <c r="I638" s="4387" t="str">
        <f t="shared" si="55"/>
        <v>NO</v>
      </c>
      <c r="J638" s="4387" t="str">
        <f t="shared" si="55"/>
        <v>NO</v>
      </c>
      <c r="K638" s="4354"/>
      <c r="L638" s="4354"/>
      <c r="M638" s="4354"/>
    </row>
    <row r="639" spans="1:13" x14ac:dyDescent="0.25">
      <c r="A639" s="4354"/>
      <c r="B639" s="5071"/>
      <c r="C639" s="4661" t="s">
        <v>791</v>
      </c>
      <c r="D639" s="4662" t="str">
        <f t="shared" si="56"/>
        <v/>
      </c>
      <c r="E639" s="4663"/>
      <c r="F639" s="4664"/>
      <c r="G639" s="4665"/>
      <c r="H639" s="4354"/>
      <c r="I639" s="4387" t="str">
        <f t="shared" si="55"/>
        <v>NO</v>
      </c>
      <c r="J639" s="4387" t="str">
        <f t="shared" si="55"/>
        <v>NO</v>
      </c>
      <c r="K639" s="4354"/>
      <c r="L639" s="4354"/>
      <c r="M639" s="4354"/>
    </row>
    <row r="640" spans="1:13" ht="15.75" thickBot="1" x14ac:dyDescent="0.3">
      <c r="A640" s="4354"/>
      <c r="B640" s="5072"/>
      <c r="C640" s="4670" t="s">
        <v>790</v>
      </c>
      <c r="D640" s="4671" t="str">
        <f t="shared" si="56"/>
        <v>NO</v>
      </c>
      <c r="E640" s="4672" t="str">
        <f>'Table4(II)_2018'!E18</f>
        <v>NO</v>
      </c>
      <c r="F640" s="4513" t="str">
        <f>'Table4(II)_2019'!E18</f>
        <v>NO</v>
      </c>
      <c r="G640" s="4514" t="str">
        <f>'Table4(II)_2020'!E18</f>
        <v>NA</v>
      </c>
      <c r="H640" s="4354"/>
      <c r="I640" s="4387" t="str">
        <f t="shared" si="55"/>
        <v>NO</v>
      </c>
      <c r="J640" s="4387" t="str">
        <f t="shared" si="55"/>
        <v>NO</v>
      </c>
      <c r="K640" s="4354"/>
      <c r="L640" s="4354"/>
      <c r="M640" s="4354"/>
    </row>
    <row r="641" spans="1:13" ht="17.25" x14ac:dyDescent="0.25">
      <c r="A641" s="4354"/>
      <c r="B641" s="5070" t="s">
        <v>772</v>
      </c>
      <c r="C641" s="4656" t="s">
        <v>796</v>
      </c>
      <c r="D641" s="4657" t="str">
        <f t="shared" si="56"/>
        <v/>
      </c>
      <c r="E641" s="4658"/>
      <c r="F641" s="4659"/>
      <c r="G641" s="4660"/>
      <c r="H641" s="4354"/>
      <c r="I641" s="4387" t="str">
        <f t="shared" si="55"/>
        <v>NO</v>
      </c>
      <c r="J641" s="4387" t="str">
        <f t="shared" si="55"/>
        <v>NO</v>
      </c>
      <c r="K641" s="4354"/>
      <c r="L641" s="4354"/>
      <c r="M641" s="4354"/>
    </row>
    <row r="642" spans="1:13" ht="17.25" x14ac:dyDescent="0.25">
      <c r="A642" s="4354"/>
      <c r="B642" s="5071"/>
      <c r="C642" s="4661" t="s">
        <v>795</v>
      </c>
      <c r="D642" s="4662" t="str">
        <f t="shared" si="56"/>
        <v/>
      </c>
      <c r="E642" s="4663"/>
      <c r="F642" s="4664"/>
      <c r="G642" s="4665"/>
      <c r="H642" s="4354"/>
      <c r="I642" s="4387" t="str">
        <f t="shared" si="55"/>
        <v>NO</v>
      </c>
      <c r="J642" s="4387" t="str">
        <f t="shared" si="55"/>
        <v>NO</v>
      </c>
      <c r="K642" s="4354"/>
      <c r="L642" s="4354"/>
      <c r="M642" s="4354"/>
    </row>
    <row r="643" spans="1:13" ht="17.25" x14ac:dyDescent="0.25">
      <c r="A643" s="4354"/>
      <c r="B643" s="5071"/>
      <c r="C643" s="4666" t="s">
        <v>794</v>
      </c>
      <c r="D643" s="4674">
        <f>IF($D$3=$E$3,E643,IF($D$3=$F$3,F643,IF($D$3=$G$3,G643,"-")))</f>
        <v>64.174309373087723</v>
      </c>
      <c r="E643" s="4668">
        <f>'Table4(II)_2018'!F12</f>
        <v>64.174309373087723</v>
      </c>
      <c r="F643" s="4669">
        <f>'Table4(II)_2019'!F12</f>
        <v>7.9249999999375396</v>
      </c>
      <c r="G643" s="4498">
        <f>'Table4(II)_2020'!F12</f>
        <v>7.9249999997315799</v>
      </c>
      <c r="H643" s="4354"/>
      <c r="I643" s="4387">
        <f t="shared" si="55"/>
        <v>0.87650821524444822</v>
      </c>
      <c r="J643" s="4387">
        <f t="shared" si="55"/>
        <v>2.59886048890707E-11</v>
      </c>
      <c r="K643" s="4354"/>
      <c r="L643" s="4354"/>
      <c r="M643" s="4354"/>
    </row>
    <row r="644" spans="1:13" x14ac:dyDescent="0.25">
      <c r="A644" s="4354"/>
      <c r="B644" s="5071"/>
      <c r="C644" s="4666" t="s">
        <v>793</v>
      </c>
      <c r="D644" s="4667" t="str">
        <f t="shared" si="56"/>
        <v>NO</v>
      </c>
      <c r="E644" s="4668" t="str">
        <f>'Table4(II)_2018'!F15</f>
        <v>NO</v>
      </c>
      <c r="F644" s="4669" t="str">
        <f>'Table4(II)_2019'!F15</f>
        <v>NO</v>
      </c>
      <c r="G644" s="4498" t="str">
        <f>'Table4(II)_2020'!F15</f>
        <v>NA</v>
      </c>
      <c r="H644" s="4354"/>
      <c r="I644" s="4387" t="str">
        <f t="shared" si="55"/>
        <v>NO</v>
      </c>
      <c r="J644" s="4387" t="str">
        <f t="shared" si="55"/>
        <v>NO</v>
      </c>
      <c r="K644" s="4354"/>
      <c r="L644" s="4354"/>
      <c r="M644" s="4354"/>
    </row>
    <row r="645" spans="1:13" x14ac:dyDescent="0.25">
      <c r="A645" s="4354"/>
      <c r="B645" s="5071"/>
      <c r="C645" s="4666" t="s">
        <v>792</v>
      </c>
      <c r="D645" s="4667" t="str">
        <f t="shared" si="56"/>
        <v>NO</v>
      </c>
      <c r="E645" s="4668" t="str">
        <f>'Table4(II)_2018'!F15</f>
        <v>NO</v>
      </c>
      <c r="F645" s="4669" t="str">
        <f>'Table4(II)_2019'!F15</f>
        <v>NO</v>
      </c>
      <c r="G645" s="4498" t="str">
        <f>'Table4(II)_2020'!F15</f>
        <v>NA</v>
      </c>
      <c r="H645" s="4354"/>
      <c r="I645" s="4387" t="str">
        <f t="shared" si="55"/>
        <v>NO</v>
      </c>
      <c r="J645" s="4387" t="str">
        <f t="shared" si="55"/>
        <v>NO</v>
      </c>
      <c r="K645" s="4354"/>
      <c r="L645" s="4354"/>
      <c r="M645" s="4354"/>
    </row>
    <row r="646" spans="1:13" x14ac:dyDescent="0.25">
      <c r="A646" s="4354"/>
      <c r="B646" s="5071"/>
      <c r="C646" s="4661" t="s">
        <v>791</v>
      </c>
      <c r="D646" s="4662" t="str">
        <f t="shared" si="56"/>
        <v/>
      </c>
      <c r="E646" s="4663"/>
      <c r="F646" s="4664"/>
      <c r="G646" s="4665"/>
      <c r="H646" s="4354"/>
      <c r="I646" s="4387" t="str">
        <f t="shared" si="55"/>
        <v>NO</v>
      </c>
      <c r="J646" s="4387" t="str">
        <f t="shared" si="55"/>
        <v>NO</v>
      </c>
      <c r="K646" s="4354"/>
      <c r="L646" s="4354"/>
      <c r="M646" s="4354"/>
    </row>
    <row r="647" spans="1:13" ht="15.75" thickBot="1" x14ac:dyDescent="0.3">
      <c r="A647" s="4354"/>
      <c r="B647" s="5072"/>
      <c r="C647" s="4670" t="s">
        <v>790</v>
      </c>
      <c r="D647" s="4671" t="str">
        <f t="shared" si="56"/>
        <v>NO</v>
      </c>
      <c r="E647" s="4672" t="str">
        <f>'Table4(II)_2018'!F18</f>
        <v>NO</v>
      </c>
      <c r="F647" s="4513" t="str">
        <f>'Table4(II)_2019'!F18</f>
        <v>NO</v>
      </c>
      <c r="G647" s="4514" t="str">
        <f>'Table4(II)_2020'!F18</f>
        <v>NA</v>
      </c>
      <c r="H647" s="4354"/>
      <c r="I647" s="4387" t="str">
        <f t="shared" si="55"/>
        <v>NO</v>
      </c>
      <c r="J647" s="4387" t="str">
        <f t="shared" si="55"/>
        <v>NO</v>
      </c>
      <c r="K647" s="4354"/>
      <c r="L647" s="4354"/>
      <c r="M647" s="4354"/>
    </row>
    <row r="648" spans="1:13" x14ac:dyDescent="0.25">
      <c r="A648" s="4354"/>
      <c r="B648" s="4354"/>
      <c r="C648" s="4354"/>
      <c r="D648" s="4589" t="str">
        <f t="shared" si="56"/>
        <v/>
      </c>
      <c r="E648" s="4356"/>
      <c r="F648" s="4354"/>
      <c r="G648" s="4354"/>
      <c r="H648" s="4354"/>
      <c r="I648" s="4387" t="str">
        <f t="shared" si="55"/>
        <v>NO</v>
      </c>
      <c r="J648" s="4387" t="str">
        <f t="shared" si="55"/>
        <v>NO</v>
      </c>
      <c r="K648" s="4354"/>
      <c r="L648" s="4354"/>
      <c r="M648" s="4354"/>
    </row>
    <row r="649" spans="1:13" ht="24.75" x14ac:dyDescent="0.25">
      <c r="A649" s="4354"/>
      <c r="B649" s="4402" t="s">
        <v>651</v>
      </c>
      <c r="C649" s="4354"/>
      <c r="D649" s="4591" t="str">
        <f t="shared" si="56"/>
        <v xml:space="preserve"> NIR 2020 (2018) CRF tabel 4II samt afsnit 6.9.4 i PDF NIR</v>
      </c>
      <c r="E649" s="4675" t="s">
        <v>5312</v>
      </c>
      <c r="F649" s="4675" t="s">
        <v>5313</v>
      </c>
      <c r="G649" s="4675" t="s">
        <v>5314</v>
      </c>
      <c r="H649" s="4354"/>
      <c r="I649" s="4387" t="str">
        <f t="shared" si="55"/>
        <v>NO</v>
      </c>
      <c r="J649" s="4387" t="str">
        <f t="shared" si="55"/>
        <v>NO</v>
      </c>
      <c r="K649" s="4354"/>
      <c r="L649" s="4354"/>
      <c r="M649" s="4354"/>
    </row>
    <row r="650" spans="1:13" ht="15.75" thickBot="1" x14ac:dyDescent="0.3">
      <c r="A650" s="4354"/>
      <c r="B650" s="4354"/>
      <c r="C650" s="4354"/>
      <c r="D650" s="4589" t="str">
        <f t="shared" si="56"/>
        <v/>
      </c>
      <c r="E650" s="4356"/>
      <c r="F650" s="4354"/>
      <c r="G650" s="4354"/>
      <c r="H650" s="4354"/>
      <c r="I650" s="4387" t="str">
        <f t="shared" si="55"/>
        <v>NO</v>
      </c>
      <c r="J650" s="4387" t="str">
        <f t="shared" si="55"/>
        <v>NO</v>
      </c>
      <c r="K650" s="4354"/>
      <c r="L650" s="4354"/>
      <c r="M650" s="4354"/>
    </row>
    <row r="651" spans="1:13" ht="15.75" thickBot="1" x14ac:dyDescent="0.3">
      <c r="A651" s="4354"/>
      <c r="B651" s="4676" t="s">
        <v>789</v>
      </c>
      <c r="C651" s="4651"/>
      <c r="D651" s="4652" t="str">
        <f t="shared" si="56"/>
        <v>Kg pr ha</v>
      </c>
      <c r="E651" s="4677" t="s">
        <v>769</v>
      </c>
      <c r="F651" s="4654" t="s">
        <v>769</v>
      </c>
      <c r="G651" s="4678" t="s">
        <v>769</v>
      </c>
      <c r="H651" s="4354"/>
      <c r="I651" s="4387" t="str">
        <f t="shared" si="55"/>
        <v>NO</v>
      </c>
      <c r="J651" s="4387" t="str">
        <f t="shared" si="55"/>
        <v>NO</v>
      </c>
      <c r="K651" s="4354"/>
      <c r="L651" s="4354"/>
      <c r="M651" s="4354"/>
    </row>
    <row r="652" spans="1:13" ht="17.25" x14ac:dyDescent="0.25">
      <c r="A652" s="4354"/>
      <c r="B652" s="5070" t="s">
        <v>774</v>
      </c>
      <c r="C652" s="4679" t="s">
        <v>788</v>
      </c>
      <c r="D652" s="4657" t="str">
        <f t="shared" si="56"/>
        <v/>
      </c>
      <c r="E652" s="4680"/>
      <c r="F652" s="4664"/>
      <c r="G652" s="4681"/>
      <c r="H652" s="4354"/>
      <c r="I652" s="4387" t="str">
        <f t="shared" si="55"/>
        <v>NO</v>
      </c>
      <c r="J652" s="4387" t="str">
        <f t="shared" si="55"/>
        <v>NO</v>
      </c>
      <c r="K652" s="4354"/>
      <c r="L652" s="4354"/>
      <c r="M652" s="4354"/>
    </row>
    <row r="653" spans="1:13" ht="17.25" x14ac:dyDescent="0.25">
      <c r="A653" s="4354"/>
      <c r="B653" s="5071"/>
      <c r="C653" s="4661" t="s">
        <v>782</v>
      </c>
      <c r="D653" s="4674" t="str">
        <f>IF($D$3=$E$3,E653,IF($D$3=$F$3,F653,IF($D$3=$G$3,G653,"-")))</f>
        <v>NO,IE</v>
      </c>
      <c r="E653" s="4668" t="str">
        <f>'Table4(II)_2018'!D10</f>
        <v>NO,IE</v>
      </c>
      <c r="F653" s="4669" t="str">
        <f>'Table4(II)_2019'!D10</f>
        <v>NO,IE</v>
      </c>
      <c r="G653" s="4498" t="str">
        <f>'Table4(II)_2020'!D10</f>
        <v>IE,NA</v>
      </c>
      <c r="H653" s="4354"/>
      <c r="I653" s="4387" t="str">
        <f t="shared" si="55"/>
        <v>NO</v>
      </c>
      <c r="J653" s="4387" t="str">
        <f t="shared" si="55"/>
        <v>NO</v>
      </c>
      <c r="K653" s="4354"/>
      <c r="L653" s="4354"/>
      <c r="M653" s="4354"/>
    </row>
    <row r="654" spans="1:13" x14ac:dyDescent="0.25">
      <c r="A654" s="4354"/>
      <c r="B654" s="5071"/>
      <c r="C654" s="4666" t="s">
        <v>781</v>
      </c>
      <c r="D654" s="4674">
        <f>IF($D$3=$E$3,E654,IF($D$3=$F$3,F654,IF($D$3=$G$3,G654,"-")))</f>
        <v>216.30945768355886</v>
      </c>
      <c r="E654" s="4668">
        <f>'Table4(II)_2018'!D23</f>
        <v>216.30945768355886</v>
      </c>
      <c r="F654" s="4669">
        <f>'Table4(II)_2019'!D23</f>
        <v>765.43659948405195</v>
      </c>
      <c r="G654" s="4498">
        <f>'Table4(II)_2020'!D23</f>
        <v>792.28627790165808</v>
      </c>
      <c r="H654" s="4354"/>
      <c r="I654" s="4387">
        <f t="shared" si="55"/>
        <v>2.5386182725482875</v>
      </c>
      <c r="J654" s="4387">
        <f t="shared" si="55"/>
        <v>3.5077599419343609E-2</v>
      </c>
      <c r="K654" s="4354"/>
      <c r="L654" s="4354"/>
      <c r="M654" s="4354"/>
    </row>
    <row r="655" spans="1:13" x14ac:dyDescent="0.25">
      <c r="A655" s="4354"/>
      <c r="B655" s="5071"/>
      <c r="C655" s="4666" t="s">
        <v>787</v>
      </c>
      <c r="D655" s="4674">
        <f>IF($D$3=$E$3,E655,IF($D$3=$F$3,F655,IF($D$3=$G$3,G655,"-")))</f>
        <v>216.30945768355886</v>
      </c>
      <c r="E655" s="4668">
        <f>'Table4(II)_2018'!D23</f>
        <v>216.30945768355886</v>
      </c>
      <c r="F655" s="4669">
        <f>'Table4(II)_2019'!D23</f>
        <v>765.43659948405195</v>
      </c>
      <c r="G655" s="4498">
        <f>'Table4(II)_2020'!D23</f>
        <v>792.28627790165808</v>
      </c>
      <c r="H655" s="4354"/>
      <c r="I655" s="4387">
        <f t="shared" si="55"/>
        <v>2.5386182725482875</v>
      </c>
      <c r="J655" s="4387">
        <f t="shared" si="55"/>
        <v>3.5077599419343609E-2</v>
      </c>
      <c r="K655" s="4354"/>
      <c r="L655" s="4354"/>
      <c r="M655" s="4354"/>
    </row>
    <row r="656" spans="1:13" x14ac:dyDescent="0.25">
      <c r="A656" s="4354"/>
      <c r="B656" s="5071"/>
      <c r="C656" s="4666" t="s">
        <v>786</v>
      </c>
      <c r="D656" s="4662" t="str">
        <f t="shared" si="56"/>
        <v>IE</v>
      </c>
      <c r="E656" s="4663" t="s">
        <v>455</v>
      </c>
      <c r="F656" s="4664" t="s">
        <v>455</v>
      </c>
      <c r="G656" s="4665" t="s">
        <v>455</v>
      </c>
      <c r="H656" s="4354"/>
      <c r="I656" s="4387" t="str">
        <f t="shared" si="55"/>
        <v>NO</v>
      </c>
      <c r="J656" s="4387" t="str">
        <f t="shared" si="55"/>
        <v>NO</v>
      </c>
      <c r="K656" s="4354"/>
      <c r="L656" s="4354"/>
      <c r="M656" s="4354"/>
    </row>
    <row r="657" spans="1:13" x14ac:dyDescent="0.25">
      <c r="A657" s="4354"/>
      <c r="B657" s="5071"/>
      <c r="C657" s="4666" t="s">
        <v>778</v>
      </c>
      <c r="D657" s="4662" t="str">
        <f t="shared" si="56"/>
        <v>IE</v>
      </c>
      <c r="E657" s="4663" t="s">
        <v>455</v>
      </c>
      <c r="F657" s="4663" t="s">
        <v>455</v>
      </c>
      <c r="G657" s="4663" t="s">
        <v>455</v>
      </c>
      <c r="H657" s="4354"/>
      <c r="I657" s="4387" t="str">
        <f t="shared" si="55"/>
        <v>NO</v>
      </c>
      <c r="J657" s="4387" t="str">
        <f t="shared" si="55"/>
        <v>NO</v>
      </c>
      <c r="K657" s="4354"/>
      <c r="L657" s="4354"/>
      <c r="M657" s="4354"/>
    </row>
    <row r="658" spans="1:13" ht="17.25" x14ac:dyDescent="0.25">
      <c r="A658" s="4354"/>
      <c r="B658" s="5071"/>
      <c r="C658" s="4661" t="s">
        <v>785</v>
      </c>
      <c r="D658" s="4682" t="str">
        <f t="shared" si="56"/>
        <v>NO</v>
      </c>
      <c r="E658" s="4683" t="str">
        <f>'Table4(II)_2018'!D27</f>
        <v>NO</v>
      </c>
      <c r="F658" s="4684" t="str">
        <f>'Table4(II)_2019'!D27</f>
        <v>NO</v>
      </c>
      <c r="G658" s="4685" t="str">
        <f>'Table4(II)_2020'!D27</f>
        <v>NA</v>
      </c>
      <c r="H658" s="4354"/>
      <c r="I658" s="4387" t="str">
        <f t="shared" si="55"/>
        <v>NO</v>
      </c>
      <c r="J658" s="4387" t="str">
        <f t="shared" si="55"/>
        <v>NO</v>
      </c>
      <c r="K658" s="4354"/>
      <c r="L658" s="4354"/>
      <c r="M658" s="4354"/>
    </row>
    <row r="659" spans="1:13" ht="15.75" thickBot="1" x14ac:dyDescent="0.3">
      <c r="A659" s="4354"/>
      <c r="B659" s="5072"/>
      <c r="C659" s="4686" t="s">
        <v>776</v>
      </c>
      <c r="D659" s="4671" t="str">
        <f t="shared" si="56"/>
        <v>NO</v>
      </c>
      <c r="E659" s="4672" t="str">
        <f>'Table4(II)_2018'!D29</f>
        <v>NO</v>
      </c>
      <c r="F659" s="4513" t="str">
        <f>'Table4(II)_2019'!D29</f>
        <v>NO</v>
      </c>
      <c r="G659" s="4514" t="str">
        <f>'Table4(II)_2020'!D29</f>
        <v>NA</v>
      </c>
      <c r="H659" s="4354"/>
      <c r="I659" s="4387" t="str">
        <f t="shared" si="55"/>
        <v>NO</v>
      </c>
      <c r="J659" s="4387" t="str">
        <f t="shared" si="55"/>
        <v>NO</v>
      </c>
      <c r="K659" s="4354"/>
      <c r="L659" s="4354"/>
      <c r="M659" s="4354"/>
    </row>
    <row r="660" spans="1:13" ht="17.25" x14ac:dyDescent="0.25">
      <c r="A660" s="4354"/>
      <c r="B660" s="5070" t="s">
        <v>773</v>
      </c>
      <c r="C660" s="4679" t="s">
        <v>788</v>
      </c>
      <c r="D660" s="4657" t="str">
        <f t="shared" si="56"/>
        <v/>
      </c>
      <c r="E660" s="4687"/>
      <c r="F660" s="4687"/>
      <c r="G660" s="4687"/>
      <c r="H660" s="4354"/>
      <c r="I660" s="4387" t="str">
        <f t="shared" si="55"/>
        <v>NO</v>
      </c>
      <c r="J660" s="4387" t="str">
        <f t="shared" si="55"/>
        <v>NO</v>
      </c>
      <c r="K660" s="4354"/>
      <c r="L660" s="4354"/>
      <c r="M660" s="4354"/>
    </row>
    <row r="661" spans="1:13" ht="17.25" x14ac:dyDescent="0.25">
      <c r="A661" s="4354"/>
      <c r="B661" s="5071"/>
      <c r="C661" s="4661" t="s">
        <v>782</v>
      </c>
      <c r="D661" s="4674">
        <f>IF($D$3=$E$3,E661,IF($D$3=$F$3,F661,IF($D$3=$G$3,G661,"-")))</f>
        <v>2.8000000000763401</v>
      </c>
      <c r="E661" s="4668">
        <f>'Table4(II)_2018'!E10</f>
        <v>2.8000000000763401</v>
      </c>
      <c r="F661" s="4669">
        <f>'Table4(II)_2019'!E10</f>
        <v>1.4000000000244599</v>
      </c>
      <c r="G661" s="4498">
        <f>'Table4(II)_2020'!E10</f>
        <v>1.39999999998965</v>
      </c>
      <c r="H661" s="4354"/>
      <c r="I661" s="4387">
        <f t="shared" si="55"/>
        <v>0.50000000000489653</v>
      </c>
      <c r="J661" s="4387">
        <f t="shared" si="55"/>
        <v>2.4864237652492131E-11</v>
      </c>
      <c r="K661" s="4354"/>
      <c r="L661" s="4354"/>
      <c r="M661" s="4354"/>
    </row>
    <row r="662" spans="1:13" x14ac:dyDescent="0.25">
      <c r="A662" s="4354"/>
      <c r="B662" s="5071"/>
      <c r="C662" s="4666" t="s">
        <v>781</v>
      </c>
      <c r="D662" s="4667" t="str">
        <f t="shared" si="56"/>
        <v/>
      </c>
      <c r="E662" s="4668" t="str">
        <f>'Table4(II)_2018'!E23</f>
        <v/>
      </c>
      <c r="F662" s="4669" t="str">
        <f>'Table4(II)_2019'!E23</f>
        <v/>
      </c>
      <c r="G662" s="4498" t="str">
        <f>'Table4(II)_2020'!E23</f>
        <v/>
      </c>
      <c r="H662" s="4354"/>
      <c r="I662" s="4387" t="str">
        <f t="shared" si="55"/>
        <v>NO</v>
      </c>
      <c r="J662" s="4387" t="str">
        <f t="shared" si="55"/>
        <v>NO</v>
      </c>
      <c r="K662" s="4354"/>
      <c r="L662" s="4354"/>
      <c r="M662" s="4354"/>
    </row>
    <row r="663" spans="1:13" x14ac:dyDescent="0.25">
      <c r="A663" s="4354"/>
      <c r="B663" s="5071"/>
      <c r="C663" s="4666" t="s">
        <v>787</v>
      </c>
      <c r="D663" s="4667" t="str">
        <f t="shared" si="56"/>
        <v/>
      </c>
      <c r="E663" s="4668" t="str">
        <f>'Table4(II)_2018'!E23</f>
        <v/>
      </c>
      <c r="F663" s="4669" t="str">
        <f>'Table4(II)_2019'!E23</f>
        <v/>
      </c>
      <c r="G663" s="4498" t="str">
        <f>'Table4(II)_2020'!E23</f>
        <v/>
      </c>
      <c r="H663" s="4354"/>
      <c r="I663" s="4387" t="str">
        <f t="shared" si="55"/>
        <v>NO</v>
      </c>
      <c r="J663" s="4387" t="str">
        <f t="shared" si="55"/>
        <v>NO</v>
      </c>
      <c r="K663" s="4354"/>
      <c r="L663" s="4354"/>
      <c r="M663" s="4354"/>
    </row>
    <row r="664" spans="1:13" x14ac:dyDescent="0.25">
      <c r="A664" s="4354"/>
      <c r="B664" s="5071"/>
      <c r="C664" s="4666" t="s">
        <v>786</v>
      </c>
      <c r="D664" s="4662" t="str">
        <f t="shared" si="56"/>
        <v/>
      </c>
      <c r="E664" s="4663"/>
      <c r="F664" s="4663"/>
      <c r="G664" s="4663"/>
      <c r="H664" s="4354"/>
      <c r="I664" s="4387" t="str">
        <f t="shared" si="55"/>
        <v>NO</v>
      </c>
      <c r="J664" s="4387" t="str">
        <f t="shared" si="55"/>
        <v>NO</v>
      </c>
      <c r="K664" s="4354"/>
      <c r="L664" s="4354"/>
      <c r="M664" s="4354"/>
    </row>
    <row r="665" spans="1:13" x14ac:dyDescent="0.25">
      <c r="A665" s="4354"/>
      <c r="B665" s="5071"/>
      <c r="C665" s="4666" t="s">
        <v>778</v>
      </c>
      <c r="D665" s="4662" t="str">
        <f t="shared" si="56"/>
        <v/>
      </c>
      <c r="E665" s="4663"/>
      <c r="F665" s="4663"/>
      <c r="G665" s="4663"/>
      <c r="H665" s="4354"/>
      <c r="I665" s="4387" t="str">
        <f t="shared" si="55"/>
        <v>NO</v>
      </c>
      <c r="J665" s="4387" t="str">
        <f t="shared" si="55"/>
        <v>NO</v>
      </c>
      <c r="K665" s="4354"/>
      <c r="L665" s="4354"/>
      <c r="M665" s="4354"/>
    </row>
    <row r="666" spans="1:13" ht="17.25" x14ac:dyDescent="0.25">
      <c r="A666" s="4354"/>
      <c r="B666" s="5071"/>
      <c r="C666" s="4661" t="s">
        <v>785</v>
      </c>
      <c r="D666" s="4682" t="str">
        <f t="shared" si="56"/>
        <v>NO</v>
      </c>
      <c r="E666" s="4683" t="str">
        <f>'Table4(II)_2018'!E27</f>
        <v>NO</v>
      </c>
      <c r="F666" s="4684" t="str">
        <f>'Table4(II)_2019'!E27</f>
        <v>NO</v>
      </c>
      <c r="G666" s="4685" t="str">
        <f>'Table4(II)_2020'!E27</f>
        <v>NA</v>
      </c>
      <c r="H666" s="4354"/>
      <c r="I666" s="4387" t="str">
        <f t="shared" si="55"/>
        <v>NO</v>
      </c>
      <c r="J666" s="4387" t="str">
        <f t="shared" si="55"/>
        <v>NO</v>
      </c>
      <c r="K666" s="4354"/>
      <c r="L666" s="4354"/>
      <c r="M666" s="4354"/>
    </row>
    <row r="667" spans="1:13" ht="15.75" thickBot="1" x14ac:dyDescent="0.3">
      <c r="A667" s="4354"/>
      <c r="B667" s="5072"/>
      <c r="C667" s="4686" t="s">
        <v>776</v>
      </c>
      <c r="D667" s="4671" t="str">
        <f t="shared" si="56"/>
        <v/>
      </c>
      <c r="E667" s="4672" t="str">
        <f>'Table4(II)_2018'!E29</f>
        <v/>
      </c>
      <c r="F667" s="4513" t="str">
        <f>'Table4(II)_2019'!E29</f>
        <v/>
      </c>
      <c r="G667" s="4514" t="str">
        <f>'Table4(II)_2020'!E29</f>
        <v/>
      </c>
      <c r="H667" s="4354"/>
      <c r="I667" s="4387" t="str">
        <f t="shared" ref="I667:J730" si="57">IFERROR(ABS(F667-E667)/E667,"NO")</f>
        <v>NO</v>
      </c>
      <c r="J667" s="4387" t="str">
        <f t="shared" si="57"/>
        <v>NO</v>
      </c>
      <c r="K667" s="4354"/>
      <c r="L667" s="4354"/>
      <c r="M667" s="4354"/>
    </row>
    <row r="668" spans="1:13" ht="17.25" x14ac:dyDescent="0.25">
      <c r="A668" s="4354"/>
      <c r="B668" s="5070" t="s">
        <v>772</v>
      </c>
      <c r="C668" s="4679" t="s">
        <v>788</v>
      </c>
      <c r="D668" s="4657" t="str">
        <f t="shared" si="56"/>
        <v/>
      </c>
      <c r="E668" s="4687"/>
      <c r="F668" s="4687"/>
      <c r="G668" s="4687"/>
      <c r="H668" s="4354"/>
      <c r="I668" s="4387" t="str">
        <f t="shared" si="57"/>
        <v>NO</v>
      </c>
      <c r="J668" s="4387" t="str">
        <f t="shared" si="57"/>
        <v>NO</v>
      </c>
      <c r="K668" s="4354"/>
      <c r="L668" s="4354"/>
      <c r="M668" s="4354"/>
    </row>
    <row r="669" spans="1:13" ht="17.25" x14ac:dyDescent="0.25">
      <c r="A669" s="4354"/>
      <c r="B669" s="5071"/>
      <c r="C669" s="4661" t="s">
        <v>782</v>
      </c>
      <c r="D669" s="4674">
        <f>IF($D$3=$E$3,E669,IF($D$3=$F$3,F669,IF($D$3=$G$3,G669,"-")))</f>
        <v>64.174309373087723</v>
      </c>
      <c r="E669" s="4668">
        <f>'Table4(II)_2018'!F10</f>
        <v>64.174309373087723</v>
      </c>
      <c r="F669" s="4669">
        <f>'Table4(II)_2019'!F10</f>
        <v>3.9624999999687698</v>
      </c>
      <c r="G669" s="4498">
        <f>'Table4(II)_2020'!F10</f>
        <v>3.9624999998657899</v>
      </c>
      <c r="H669" s="4354"/>
      <c r="I669" s="4387">
        <f t="shared" si="57"/>
        <v>0.93825410762222405</v>
      </c>
      <c r="J669" s="4387">
        <f t="shared" si="57"/>
        <v>2.59886048890707E-11</v>
      </c>
      <c r="K669" s="4354"/>
      <c r="L669" s="4354"/>
      <c r="M669" s="4354"/>
    </row>
    <row r="670" spans="1:13" x14ac:dyDescent="0.25">
      <c r="A670" s="4354"/>
      <c r="B670" s="5071"/>
      <c r="C670" s="4666" t="s">
        <v>781</v>
      </c>
      <c r="D670" s="4674">
        <f t="shared" ref="D670:D671" si="58">IF($D$3=$E$3,E670,IF($D$3=$F$3,F670,IF($D$3=$G$3,G670,"-")))</f>
        <v>43.007760527829937</v>
      </c>
      <c r="E670" s="4668">
        <f>'Table4(II)_2018'!F23</f>
        <v>43.007760527829937</v>
      </c>
      <c r="F670" s="4669">
        <f>'Table4(II)_2019'!F23</f>
        <v>40.185639984158001</v>
      </c>
      <c r="G670" s="4498">
        <f>'Table4(II)_2020'!F23</f>
        <v>40.601767467614849</v>
      </c>
      <c r="H670" s="4354"/>
      <c r="I670" s="4387">
        <f t="shared" si="57"/>
        <v>6.5618867595902061E-2</v>
      </c>
      <c r="J670" s="4387">
        <f t="shared" si="57"/>
        <v>1.0355128937125134E-2</v>
      </c>
      <c r="K670" s="4354"/>
      <c r="L670" s="4354"/>
      <c r="M670" s="4354"/>
    </row>
    <row r="671" spans="1:13" x14ac:dyDescent="0.25">
      <c r="A671" s="4354"/>
      <c r="B671" s="5071"/>
      <c r="C671" s="4666" t="s">
        <v>787</v>
      </c>
      <c r="D671" s="4674">
        <f t="shared" si="58"/>
        <v>43.007760527829937</v>
      </c>
      <c r="E671" s="4668">
        <f>'Table4(II)_2018'!F23</f>
        <v>43.007760527829937</v>
      </c>
      <c r="F671" s="4669">
        <f>'Table4(II)_2019'!F23</f>
        <v>40.185639984158001</v>
      </c>
      <c r="G671" s="4498">
        <f>'Table4(II)_2020'!F23</f>
        <v>40.601767467614849</v>
      </c>
      <c r="H671" s="4354"/>
      <c r="I671" s="4387">
        <f t="shared" si="57"/>
        <v>6.5618867595902061E-2</v>
      </c>
      <c r="J671" s="4387">
        <f t="shared" si="57"/>
        <v>1.0355128937125134E-2</v>
      </c>
      <c r="K671" s="4354"/>
      <c r="L671" s="4354"/>
      <c r="M671" s="4354"/>
    </row>
    <row r="672" spans="1:13" x14ac:dyDescent="0.25">
      <c r="A672" s="4354"/>
      <c r="B672" s="5071"/>
      <c r="C672" s="4666" t="s">
        <v>786</v>
      </c>
      <c r="D672" s="4688" t="str">
        <f t="shared" si="56"/>
        <v>19,5</v>
      </c>
      <c r="E672" s="4689">
        <v>19.5</v>
      </c>
      <c r="F672" s="4690">
        <v>19.5</v>
      </c>
      <c r="G672" s="4691">
        <v>19.5</v>
      </c>
      <c r="H672" s="4354"/>
      <c r="I672" s="4387">
        <f t="shared" si="57"/>
        <v>0</v>
      </c>
      <c r="J672" s="4387">
        <f t="shared" si="57"/>
        <v>0</v>
      </c>
      <c r="K672" s="4354"/>
      <c r="L672" s="4354"/>
      <c r="M672" s="4354"/>
    </row>
    <row r="673" spans="1:13" x14ac:dyDescent="0.25">
      <c r="A673" s="4354"/>
      <c r="B673" s="5071"/>
      <c r="C673" s="4666" t="s">
        <v>778</v>
      </c>
      <c r="D673" s="4688" t="str">
        <f t="shared" si="56"/>
        <v>39</v>
      </c>
      <c r="E673" s="4689">
        <v>39</v>
      </c>
      <c r="F673" s="4690">
        <v>39</v>
      </c>
      <c r="G673" s="4691">
        <v>39</v>
      </c>
      <c r="H673" s="4354"/>
      <c r="I673" s="4387">
        <f t="shared" si="57"/>
        <v>0</v>
      </c>
      <c r="J673" s="4387">
        <f t="shared" si="57"/>
        <v>0</v>
      </c>
      <c r="K673" s="4354"/>
      <c r="L673" s="4354"/>
      <c r="M673" s="4354"/>
    </row>
    <row r="674" spans="1:13" ht="17.25" x14ac:dyDescent="0.25">
      <c r="A674" s="4354"/>
      <c r="B674" s="5071"/>
      <c r="C674" s="4661" t="s">
        <v>785</v>
      </c>
      <c r="D674" s="4682" t="str">
        <f t="shared" si="56"/>
        <v>NO</v>
      </c>
      <c r="E674" s="4683" t="str">
        <f>'Table4(II)_2018'!F27</f>
        <v>NO</v>
      </c>
      <c r="F674" s="4684" t="str">
        <f>'Table4(II)_2019'!F27</f>
        <v>NO</v>
      </c>
      <c r="G674" s="4685" t="str">
        <f>'Table4(II)_2020'!F27</f>
        <v>NA</v>
      </c>
      <c r="H674" s="4354"/>
      <c r="I674" s="4387" t="str">
        <f t="shared" si="57"/>
        <v>NO</v>
      </c>
      <c r="J674" s="4387" t="str">
        <f t="shared" si="57"/>
        <v>NO</v>
      </c>
      <c r="K674" s="4354"/>
      <c r="L674" s="4354"/>
      <c r="M674" s="4354"/>
    </row>
    <row r="675" spans="1:13" ht="15.75" thickBot="1" x14ac:dyDescent="0.3">
      <c r="A675" s="4354"/>
      <c r="B675" s="5072"/>
      <c r="C675" s="4686" t="s">
        <v>776</v>
      </c>
      <c r="D675" s="4671" t="str">
        <f t="shared" si="56"/>
        <v>NO</v>
      </c>
      <c r="E675" s="4672" t="str">
        <f>'Table4(II)_2018'!F29</f>
        <v>NO</v>
      </c>
      <c r="F675" s="4513" t="str">
        <f>'Table4(II)_2019'!F29</f>
        <v>NO</v>
      </c>
      <c r="G675" s="4514" t="str">
        <f>'Table4(II)_2020'!F29</f>
        <v>NA</v>
      </c>
      <c r="H675" s="4354"/>
      <c r="I675" s="4387" t="str">
        <f t="shared" si="57"/>
        <v>NO</v>
      </c>
      <c r="J675" s="4387" t="str">
        <f t="shared" si="57"/>
        <v>NO</v>
      </c>
      <c r="K675" s="4354"/>
      <c r="L675" s="4354"/>
      <c r="M675" s="4354"/>
    </row>
    <row r="676" spans="1:13" x14ac:dyDescent="0.25">
      <c r="A676" s="4354"/>
      <c r="B676" s="4354"/>
      <c r="C676" s="4354"/>
      <c r="D676" s="4589" t="str">
        <f t="shared" si="56"/>
        <v/>
      </c>
      <c r="E676" s="4356"/>
      <c r="F676" s="4354"/>
      <c r="G676" s="4354"/>
      <c r="H676" s="4354"/>
      <c r="I676" s="4387" t="str">
        <f t="shared" si="57"/>
        <v>NO</v>
      </c>
      <c r="J676" s="4387" t="str">
        <f t="shared" si="57"/>
        <v>NO</v>
      </c>
      <c r="K676" s="4354"/>
      <c r="L676" s="4354"/>
      <c r="M676" s="4354"/>
    </row>
    <row r="677" spans="1:13" ht="24.75" x14ac:dyDescent="0.25">
      <c r="A677" s="4354"/>
      <c r="B677" s="4402" t="s">
        <v>651</v>
      </c>
      <c r="C677" s="4354"/>
      <c r="D677" s="4591" t="str">
        <f t="shared" si="56"/>
        <v xml:space="preserve"> NIR 2020 (2018) CRF tabel 4II samt afsnit 6.9.4 i PDF NIR</v>
      </c>
      <c r="E677" s="4675" t="s">
        <v>5312</v>
      </c>
      <c r="F677" s="4675" t="s">
        <v>5313</v>
      </c>
      <c r="G677" s="4675" t="s">
        <v>5314</v>
      </c>
      <c r="H677" s="4354"/>
      <c r="I677" s="4387" t="str">
        <f t="shared" si="57"/>
        <v>NO</v>
      </c>
      <c r="J677" s="4387" t="str">
        <f t="shared" si="57"/>
        <v>NO</v>
      </c>
      <c r="K677" s="4354"/>
      <c r="L677" s="4354"/>
      <c r="M677" s="4354"/>
    </row>
    <row r="678" spans="1:13" ht="15.75" thickBot="1" x14ac:dyDescent="0.3">
      <c r="A678" s="4354"/>
      <c r="B678" s="4354"/>
      <c r="C678" s="4354"/>
      <c r="D678" s="4589" t="str">
        <f t="shared" si="56"/>
        <v/>
      </c>
      <c r="E678" s="4356"/>
      <c r="F678" s="4354"/>
      <c r="G678" s="4354"/>
      <c r="H678" s="4354"/>
      <c r="I678" s="4387" t="str">
        <f t="shared" si="57"/>
        <v>NO</v>
      </c>
      <c r="J678" s="4387" t="str">
        <f t="shared" si="57"/>
        <v>NO</v>
      </c>
      <c r="K678" s="4354"/>
      <c r="L678" s="4354"/>
      <c r="M678" s="4354"/>
    </row>
    <row r="679" spans="1:13" ht="15.75" thickBot="1" x14ac:dyDescent="0.3">
      <c r="A679" s="4354"/>
      <c r="B679" s="4676" t="s">
        <v>784</v>
      </c>
      <c r="C679" s="4651"/>
      <c r="D679" s="4652" t="str">
        <f t="shared" si="56"/>
        <v>Kg pr ha</v>
      </c>
      <c r="E679" s="4653" t="s">
        <v>769</v>
      </c>
      <c r="F679" s="4654" t="s">
        <v>769</v>
      </c>
      <c r="G679" s="4655" t="s">
        <v>769</v>
      </c>
      <c r="H679" s="4354"/>
      <c r="I679" s="4387" t="str">
        <f t="shared" si="57"/>
        <v>NO</v>
      </c>
      <c r="J679" s="4387" t="str">
        <f t="shared" si="57"/>
        <v>NO</v>
      </c>
      <c r="K679" s="4354"/>
      <c r="L679" s="4354"/>
      <c r="M679" s="4354"/>
    </row>
    <row r="680" spans="1:13" ht="17.25" x14ac:dyDescent="0.25">
      <c r="A680" s="4354"/>
      <c r="B680" s="5070" t="s">
        <v>774</v>
      </c>
      <c r="C680" s="4692" t="s">
        <v>783</v>
      </c>
      <c r="D680" s="4657" t="str">
        <f t="shared" si="56"/>
        <v/>
      </c>
      <c r="E680" s="4687" t="str">
        <f>'Table4(II)_2018'!D31</f>
        <v/>
      </c>
      <c r="F680" s="4693" t="str">
        <f>'Table4(II)_2019'!D31</f>
        <v/>
      </c>
      <c r="G680" s="4694" t="str">
        <f>'Table4(II)_2020'!D31</f>
        <v/>
      </c>
      <c r="H680" s="4354"/>
      <c r="I680" s="4387" t="str">
        <f t="shared" si="57"/>
        <v>NO</v>
      </c>
      <c r="J680" s="4387" t="str">
        <f t="shared" si="57"/>
        <v>NO</v>
      </c>
      <c r="K680" s="4354"/>
      <c r="L680" s="4354"/>
      <c r="M680" s="4354"/>
    </row>
    <row r="681" spans="1:13" ht="17.25" x14ac:dyDescent="0.25">
      <c r="A681" s="4354"/>
      <c r="B681" s="5071"/>
      <c r="C681" s="4695" t="s">
        <v>782</v>
      </c>
      <c r="D681" s="4674">
        <f>IF($D$3=$E$3,E681,IF($D$3=$F$3,F681,IF($D$3=$G$3,G681,"-")))</f>
        <v>239.0606310889784</v>
      </c>
      <c r="E681" s="4668">
        <f>'Table4(II)_2018'!D32</f>
        <v>239.0606310889784</v>
      </c>
      <c r="F681" s="4669">
        <f>'Table4(II)_2019'!D32</f>
        <v>869.40456640382536</v>
      </c>
      <c r="G681" s="4498">
        <f>'Table4(II)_2020'!D32</f>
        <v>868.940398671965</v>
      </c>
      <c r="H681" s="4354"/>
      <c r="I681" s="4387">
        <f t="shared" si="57"/>
        <v>2.6367534145772118</v>
      </c>
      <c r="J681" s="4387">
        <f t="shared" si="57"/>
        <v>5.3389152737065115E-4</v>
      </c>
      <c r="K681" s="4354"/>
      <c r="L681" s="4354"/>
      <c r="M681" s="4354"/>
    </row>
    <row r="682" spans="1:13" x14ac:dyDescent="0.25">
      <c r="A682" s="4354"/>
      <c r="B682" s="5071"/>
      <c r="C682" s="4696" t="s">
        <v>781</v>
      </c>
      <c r="D682" s="4674">
        <f t="shared" ref="D682:D683" si="59">IF($D$3=$E$3,E682,IF($D$3=$F$3,F682,IF($D$3=$G$3,G682,"-")))</f>
        <v>239.0606310889784</v>
      </c>
      <c r="E682" s="4668">
        <f>'Table4(II)_2018'!D34</f>
        <v>239.0606310889784</v>
      </c>
      <c r="F682" s="4669">
        <f>'Table4(II)_2019'!D34</f>
        <v>869.40456640382536</v>
      </c>
      <c r="G682" s="4498">
        <f>'Table4(II)_2020'!D34</f>
        <v>868.940398671965</v>
      </c>
      <c r="H682" s="4354"/>
      <c r="I682" s="4387">
        <f t="shared" si="57"/>
        <v>2.6367534145772118</v>
      </c>
      <c r="J682" s="4387">
        <f t="shared" si="57"/>
        <v>5.3389152737065115E-4</v>
      </c>
      <c r="K682" s="4354"/>
      <c r="L682" s="4354"/>
      <c r="M682" s="4354"/>
    </row>
    <row r="683" spans="1:13" x14ac:dyDescent="0.25">
      <c r="A683" s="4354"/>
      <c r="B683" s="5071"/>
      <c r="C683" s="4696" t="s">
        <v>780</v>
      </c>
      <c r="D683" s="4674">
        <f t="shared" si="59"/>
        <v>239.0606310889784</v>
      </c>
      <c r="E683" s="4668">
        <f>'Table4(II)_2018'!D34</f>
        <v>239.0606310889784</v>
      </c>
      <c r="F683" s="4669">
        <f>'Table4(II)_2019'!D34</f>
        <v>869.40456640382536</v>
      </c>
      <c r="G683" s="4498">
        <f>'Table4(II)_2020'!D34</f>
        <v>868.940398671965</v>
      </c>
      <c r="H683" s="4354"/>
      <c r="I683" s="4387">
        <f t="shared" si="57"/>
        <v>2.6367534145772118</v>
      </c>
      <c r="J683" s="4387">
        <f t="shared" si="57"/>
        <v>5.3389152737065115E-4</v>
      </c>
      <c r="K683" s="4354"/>
      <c r="L683" s="4354"/>
      <c r="M683" s="4354"/>
    </row>
    <row r="684" spans="1:13" x14ac:dyDescent="0.25">
      <c r="A684" s="4354"/>
      <c r="B684" s="5071"/>
      <c r="C684" s="4696" t="s">
        <v>779</v>
      </c>
      <c r="D684" s="4662" t="str">
        <f t="shared" ref="D684:D744" si="60">""&amp;IF($D$3=$E$3,E684,IF($D$3=$F$3,F684,IF($D$3=$G$3,G684,"-")))</f>
        <v>IE</v>
      </c>
      <c r="E684" s="4663" t="str">
        <f>'Table4(II)_2018'!D36</f>
        <v>IE</v>
      </c>
      <c r="F684" s="4664" t="str">
        <f>'Table4(II)_2019'!D36</f>
        <v>IE</v>
      </c>
      <c r="G684" s="4665" t="str">
        <f>'Table4(II)_2020'!D36</f>
        <v>IE</v>
      </c>
      <c r="H684" s="4354"/>
      <c r="I684" s="4387" t="str">
        <f t="shared" si="57"/>
        <v>NO</v>
      </c>
      <c r="J684" s="4387" t="str">
        <f t="shared" si="57"/>
        <v>NO</v>
      </c>
      <c r="K684" s="4354"/>
      <c r="L684" s="4354"/>
      <c r="M684" s="4354"/>
    </row>
    <row r="685" spans="1:13" x14ac:dyDescent="0.25">
      <c r="A685" s="4354"/>
      <c r="B685" s="5071"/>
      <c r="C685" s="4696" t="s">
        <v>778</v>
      </c>
      <c r="D685" s="4662" t="str">
        <f t="shared" si="60"/>
        <v>0</v>
      </c>
      <c r="E685" s="4663">
        <f>H684</f>
        <v>0</v>
      </c>
      <c r="F685" s="4664">
        <f>H684</f>
        <v>0</v>
      </c>
      <c r="G685" s="4665">
        <f>H684</f>
        <v>0</v>
      </c>
      <c r="H685" s="4354"/>
      <c r="I685" s="4387" t="str">
        <f t="shared" si="57"/>
        <v>NO</v>
      </c>
      <c r="J685" s="4387" t="str">
        <f t="shared" si="57"/>
        <v>NO</v>
      </c>
      <c r="K685" s="4354"/>
      <c r="L685" s="4354"/>
      <c r="M685" s="4354"/>
    </row>
    <row r="686" spans="1:13" ht="17.25" x14ac:dyDescent="0.25">
      <c r="A686" s="4354"/>
      <c r="B686" s="5071"/>
      <c r="C686" s="4695" t="s">
        <v>777</v>
      </c>
      <c r="D686" s="4682" t="str">
        <f t="shared" si="60"/>
        <v>NO,IE</v>
      </c>
      <c r="E686" s="4683" t="str">
        <f>'Table4(II)_2018'!D38</f>
        <v>NO,IE</v>
      </c>
      <c r="F686" s="4684" t="str">
        <f>'Table4(II)_2019'!D38</f>
        <v>NO,IE</v>
      </c>
      <c r="G686" s="4685" t="str">
        <f>'Table4(II)_2020'!D38</f>
        <v>IE,NA</v>
      </c>
      <c r="H686" s="4354"/>
      <c r="I686" s="4387" t="str">
        <f t="shared" si="57"/>
        <v>NO</v>
      </c>
      <c r="J686" s="4387" t="str">
        <f t="shared" si="57"/>
        <v>NO</v>
      </c>
      <c r="K686" s="4354"/>
      <c r="L686" s="4354"/>
      <c r="M686" s="4354"/>
    </row>
    <row r="687" spans="1:13" ht="15.75" thickBot="1" x14ac:dyDescent="0.3">
      <c r="A687" s="4354"/>
      <c r="B687" s="5072"/>
      <c r="C687" s="4697" t="s">
        <v>776</v>
      </c>
      <c r="D687" s="4671" t="str">
        <f t="shared" si="60"/>
        <v>IE</v>
      </c>
      <c r="E687" s="4672" t="str">
        <f>'Table4(II)_2018'!D40</f>
        <v>IE</v>
      </c>
      <c r="F687" s="4513" t="str">
        <f>'Table4(II)_2019'!D40</f>
        <v>IE</v>
      </c>
      <c r="G687" s="4514" t="str">
        <f>'Table4(II)_2020'!D40</f>
        <v>IE</v>
      </c>
      <c r="H687" s="4354"/>
      <c r="I687" s="4387" t="str">
        <f t="shared" si="57"/>
        <v>NO</v>
      </c>
      <c r="J687" s="4387" t="str">
        <f t="shared" si="57"/>
        <v>NO</v>
      </c>
      <c r="K687" s="4354"/>
      <c r="L687" s="4354"/>
      <c r="M687" s="4354"/>
    </row>
    <row r="688" spans="1:13" ht="17.25" x14ac:dyDescent="0.25">
      <c r="A688" s="4354"/>
      <c r="B688" s="5070" t="s">
        <v>773</v>
      </c>
      <c r="C688" s="4692" t="s">
        <v>783</v>
      </c>
      <c r="D688" s="4657" t="str">
        <f t="shared" si="60"/>
        <v>0</v>
      </c>
      <c r="E688" s="4687">
        <f>H680</f>
        <v>0</v>
      </c>
      <c r="F688" s="4687">
        <f>H680</f>
        <v>0</v>
      </c>
      <c r="G688" s="4687">
        <f>H680</f>
        <v>0</v>
      </c>
      <c r="H688" s="4354"/>
      <c r="I688" s="4387" t="str">
        <f t="shared" si="57"/>
        <v>NO</v>
      </c>
      <c r="J688" s="4387" t="str">
        <f t="shared" si="57"/>
        <v>NO</v>
      </c>
      <c r="K688" s="4354"/>
      <c r="L688" s="4354"/>
      <c r="M688" s="4354"/>
    </row>
    <row r="689" spans="1:13" ht="17.25" x14ac:dyDescent="0.25">
      <c r="A689" s="4354"/>
      <c r="B689" s="5071"/>
      <c r="C689" s="4695" t="s">
        <v>782</v>
      </c>
      <c r="D689" s="4667" t="str">
        <f t="shared" si="60"/>
        <v/>
      </c>
      <c r="E689" s="4668" t="str">
        <f>'Table4(II)_2018'!E32</f>
        <v/>
      </c>
      <c r="F689" s="4669" t="str">
        <f>'Table4(II)_2019'!E32</f>
        <v/>
      </c>
      <c r="G689" s="4498" t="str">
        <f>'Table4(II)_2020'!E32</f>
        <v/>
      </c>
      <c r="H689" s="4354"/>
      <c r="I689" s="4387" t="str">
        <f t="shared" si="57"/>
        <v>NO</v>
      </c>
      <c r="J689" s="4387" t="str">
        <f t="shared" si="57"/>
        <v>NO</v>
      </c>
      <c r="K689" s="4354"/>
      <c r="L689" s="4354"/>
      <c r="M689" s="4354"/>
    </row>
    <row r="690" spans="1:13" x14ac:dyDescent="0.25">
      <c r="A690" s="4354"/>
      <c r="B690" s="5071"/>
      <c r="C690" s="4696" t="s">
        <v>781</v>
      </c>
      <c r="D690" s="4667" t="str">
        <f t="shared" si="60"/>
        <v/>
      </c>
      <c r="E690" s="4668" t="str">
        <f>'Table4(II)_2018'!E40</f>
        <v/>
      </c>
      <c r="F690" s="4669" t="str">
        <f>'Table4(II)_2019'!E40</f>
        <v/>
      </c>
      <c r="G690" s="4498" t="str">
        <f>'Table4(II)_2020'!E40</f>
        <v/>
      </c>
      <c r="H690" s="4354"/>
      <c r="I690" s="4387" t="str">
        <f t="shared" si="57"/>
        <v>NO</v>
      </c>
      <c r="J690" s="4387" t="str">
        <f t="shared" si="57"/>
        <v>NO</v>
      </c>
      <c r="K690" s="4354"/>
      <c r="L690" s="4354"/>
      <c r="M690" s="4354"/>
    </row>
    <row r="691" spans="1:13" x14ac:dyDescent="0.25">
      <c r="A691" s="4354"/>
      <c r="B691" s="5071"/>
      <c r="C691" s="4696" t="s">
        <v>780</v>
      </c>
      <c r="D691" s="4667" t="str">
        <f t="shared" si="60"/>
        <v/>
      </c>
      <c r="E691" s="4668" t="str">
        <f>'Table4(II)_2018'!E40</f>
        <v/>
      </c>
      <c r="F691" s="4669" t="str">
        <f>'Table4(II)_2019'!E40</f>
        <v/>
      </c>
      <c r="G691" s="4498" t="str">
        <f>'Table4(II)_2020'!E40</f>
        <v/>
      </c>
      <c r="H691" s="4354"/>
      <c r="I691" s="4387" t="str">
        <f t="shared" si="57"/>
        <v>NO</v>
      </c>
      <c r="J691" s="4387" t="str">
        <f t="shared" si="57"/>
        <v>NO</v>
      </c>
      <c r="K691" s="4354"/>
      <c r="L691" s="4354"/>
      <c r="M691" s="4354"/>
    </row>
    <row r="692" spans="1:13" x14ac:dyDescent="0.25">
      <c r="A692" s="4354"/>
      <c r="B692" s="5071"/>
      <c r="C692" s="4696" t="s">
        <v>779</v>
      </c>
      <c r="D692" s="4662" t="str">
        <f t="shared" si="60"/>
        <v/>
      </c>
      <c r="E692" s="4663"/>
      <c r="F692" s="4663"/>
      <c r="G692" s="4663"/>
      <c r="H692" s="4354"/>
      <c r="I692" s="4387" t="str">
        <f t="shared" si="57"/>
        <v>NO</v>
      </c>
      <c r="J692" s="4387" t="str">
        <f t="shared" si="57"/>
        <v>NO</v>
      </c>
      <c r="K692" s="4354"/>
      <c r="L692" s="4354"/>
      <c r="M692" s="4354"/>
    </row>
    <row r="693" spans="1:13" x14ac:dyDescent="0.25">
      <c r="A693" s="4354"/>
      <c r="B693" s="5071"/>
      <c r="C693" s="4696" t="s">
        <v>778</v>
      </c>
      <c r="D693" s="4662" t="str">
        <f t="shared" si="60"/>
        <v/>
      </c>
      <c r="E693" s="4663"/>
      <c r="F693" s="4663"/>
      <c r="G693" s="4663"/>
      <c r="H693" s="4354"/>
      <c r="I693" s="4387" t="str">
        <f t="shared" si="57"/>
        <v>NO</v>
      </c>
      <c r="J693" s="4387" t="str">
        <f t="shared" si="57"/>
        <v>NO</v>
      </c>
      <c r="K693" s="4354"/>
      <c r="L693" s="4354"/>
      <c r="M693" s="4354"/>
    </row>
    <row r="694" spans="1:13" ht="17.25" x14ac:dyDescent="0.25">
      <c r="A694" s="4354"/>
      <c r="B694" s="5071"/>
      <c r="C694" s="4695" t="s">
        <v>777</v>
      </c>
      <c r="D694" s="4682" t="str">
        <f t="shared" si="60"/>
        <v>0</v>
      </c>
      <c r="E694" s="4683">
        <f>H686</f>
        <v>0</v>
      </c>
      <c r="F694" s="4684">
        <f>H686</f>
        <v>0</v>
      </c>
      <c r="G694" s="4685">
        <f>H686</f>
        <v>0</v>
      </c>
      <c r="H694" s="4354"/>
      <c r="I694" s="4387" t="str">
        <f t="shared" si="57"/>
        <v>NO</v>
      </c>
      <c r="J694" s="4387" t="str">
        <f t="shared" si="57"/>
        <v>NO</v>
      </c>
      <c r="K694" s="4354"/>
      <c r="L694" s="4354"/>
      <c r="M694" s="4354"/>
    </row>
    <row r="695" spans="1:13" ht="15.75" thickBot="1" x14ac:dyDescent="0.3">
      <c r="A695" s="4354"/>
      <c r="B695" s="5072"/>
      <c r="C695" s="4697" t="s">
        <v>776</v>
      </c>
      <c r="D695" s="4671" t="str">
        <f t="shared" si="60"/>
        <v/>
      </c>
      <c r="E695" s="4672" t="str">
        <f>'Table4(II)_2018'!E40</f>
        <v/>
      </c>
      <c r="F695" s="4513" t="str">
        <f>'Table4(II)_2019'!E40</f>
        <v/>
      </c>
      <c r="G695" s="4514" t="str">
        <f>'Table4(II)_2020'!E40</f>
        <v/>
      </c>
      <c r="H695" s="4354"/>
      <c r="I695" s="4387" t="str">
        <f t="shared" si="57"/>
        <v>NO</v>
      </c>
      <c r="J695" s="4387" t="str">
        <f t="shared" si="57"/>
        <v>NO</v>
      </c>
      <c r="K695" s="4354"/>
      <c r="L695" s="4354"/>
      <c r="M695" s="4354"/>
    </row>
    <row r="696" spans="1:13" ht="17.25" x14ac:dyDescent="0.25">
      <c r="A696" s="4354"/>
      <c r="B696" s="5070" t="s">
        <v>772</v>
      </c>
      <c r="C696" s="4692" t="s">
        <v>783</v>
      </c>
      <c r="D696" s="4657" t="str">
        <f t="shared" si="60"/>
        <v>0</v>
      </c>
      <c r="E696" s="4658">
        <f>H688</f>
        <v>0</v>
      </c>
      <c r="F696" s="4658">
        <f>H688</f>
        <v>0</v>
      </c>
      <c r="G696" s="4658">
        <f>H688</f>
        <v>0</v>
      </c>
      <c r="H696" s="4354"/>
      <c r="I696" s="4387" t="str">
        <f t="shared" si="57"/>
        <v>NO</v>
      </c>
      <c r="J696" s="4387" t="str">
        <f t="shared" si="57"/>
        <v>NO</v>
      </c>
      <c r="K696" s="4354"/>
      <c r="L696" s="4354"/>
      <c r="M696" s="4354"/>
    </row>
    <row r="697" spans="1:13" ht="17.25" x14ac:dyDescent="0.25">
      <c r="A697" s="4354"/>
      <c r="B697" s="5071"/>
      <c r="C697" s="4695" t="s">
        <v>782</v>
      </c>
      <c r="D697" s="4674">
        <f>IF($D$3=$E$3,E697,IF($D$3=$F$3,F697,IF($D$3=$G$3,G697,"-")))</f>
        <v>57.258876962990669</v>
      </c>
      <c r="E697" s="4668">
        <f>'Table4(II)_2018'!F32</f>
        <v>57.258876962990669</v>
      </c>
      <c r="F697" s="4669">
        <f>'Table4(II)_2019'!F32</f>
        <v>56.791749902185359</v>
      </c>
      <c r="G697" s="4498">
        <f>'Table4(II)_2020'!F32</f>
        <v>56.761429267603688</v>
      </c>
      <c r="H697" s="4354"/>
      <c r="I697" s="4387">
        <f t="shared" si="57"/>
        <v>8.158159670285511E-3</v>
      </c>
      <c r="J697" s="4387">
        <f t="shared" si="57"/>
        <v>5.338915358990145E-4</v>
      </c>
      <c r="K697" s="4354"/>
      <c r="L697" s="4354"/>
      <c r="M697" s="4354"/>
    </row>
    <row r="698" spans="1:13" x14ac:dyDescent="0.25">
      <c r="A698" s="4354"/>
      <c r="B698" s="5071"/>
      <c r="C698" s="4696" t="s">
        <v>781</v>
      </c>
      <c r="D698" s="4674">
        <f t="shared" ref="D698:D699" si="61">IF($D$3=$E$3,E698,IF($D$3=$F$3,F698,IF($D$3=$G$3,G698,"-")))</f>
        <v>57.258876962990669</v>
      </c>
      <c r="E698" s="4668">
        <f>'Table4(II)_2018'!F34</f>
        <v>57.258876962990669</v>
      </c>
      <c r="F698" s="4669">
        <f>'Table4(II)_2019'!F34</f>
        <v>56.791749902185359</v>
      </c>
      <c r="G698" s="4498">
        <f>'Table4(II)_2020'!F34</f>
        <v>56.761429267603688</v>
      </c>
      <c r="H698" s="4354"/>
      <c r="I698" s="4387">
        <f t="shared" si="57"/>
        <v>8.158159670285511E-3</v>
      </c>
      <c r="J698" s="4387">
        <f t="shared" si="57"/>
        <v>5.338915358990145E-4</v>
      </c>
      <c r="K698" s="4354"/>
      <c r="L698" s="4354"/>
      <c r="M698" s="4354"/>
    </row>
    <row r="699" spans="1:13" x14ac:dyDescent="0.25">
      <c r="A699" s="4354"/>
      <c r="B699" s="5071"/>
      <c r="C699" s="4696" t="s">
        <v>780</v>
      </c>
      <c r="D699" s="4674">
        <f t="shared" si="61"/>
        <v>57.258876962990669</v>
      </c>
      <c r="E699" s="4668">
        <f>'Table4(II)_2018'!F34</f>
        <v>57.258876962990669</v>
      </c>
      <c r="F699" s="4669">
        <f>'Table4(II)_2019'!F34</f>
        <v>56.791749902185359</v>
      </c>
      <c r="G699" s="4498">
        <f>'Table4(II)_2020'!F34</f>
        <v>56.761429267603688</v>
      </c>
      <c r="H699" s="4354"/>
      <c r="I699" s="4387">
        <f t="shared" si="57"/>
        <v>8.158159670285511E-3</v>
      </c>
      <c r="J699" s="4387">
        <f t="shared" si="57"/>
        <v>5.338915358990145E-4</v>
      </c>
      <c r="K699" s="4354"/>
      <c r="L699" s="4354"/>
      <c r="M699" s="4354"/>
    </row>
    <row r="700" spans="1:13" x14ac:dyDescent="0.25">
      <c r="A700" s="4354"/>
      <c r="B700" s="5071"/>
      <c r="C700" s="4696" t="s">
        <v>779</v>
      </c>
      <c r="D700" s="4688" t="str">
        <f t="shared" si="60"/>
        <v>19,5</v>
      </c>
      <c r="E700" s="4689">
        <v>19.5</v>
      </c>
      <c r="F700" s="4690">
        <v>19.5</v>
      </c>
      <c r="G700" s="4691">
        <v>19.5</v>
      </c>
      <c r="H700" s="4354"/>
      <c r="I700" s="4387">
        <f t="shared" si="57"/>
        <v>0</v>
      </c>
      <c r="J700" s="4387">
        <f t="shared" si="57"/>
        <v>0</v>
      </c>
      <c r="K700" s="4354"/>
      <c r="L700" s="4354"/>
      <c r="M700" s="4354"/>
    </row>
    <row r="701" spans="1:13" x14ac:dyDescent="0.25">
      <c r="A701" s="4354"/>
      <c r="B701" s="5071"/>
      <c r="C701" s="4696" t="s">
        <v>778</v>
      </c>
      <c r="D701" s="4688" t="str">
        <f t="shared" si="60"/>
        <v>39</v>
      </c>
      <c r="E701" s="4689">
        <v>39</v>
      </c>
      <c r="F701" s="4690">
        <v>39</v>
      </c>
      <c r="G701" s="4691">
        <v>39</v>
      </c>
      <c r="H701" s="4354"/>
      <c r="I701" s="4387">
        <f t="shared" si="57"/>
        <v>0</v>
      </c>
      <c r="J701" s="4387">
        <f t="shared" si="57"/>
        <v>0</v>
      </c>
      <c r="K701" s="4354"/>
      <c r="L701" s="4354"/>
      <c r="M701" s="4354"/>
    </row>
    <row r="702" spans="1:13" ht="17.25" x14ac:dyDescent="0.25">
      <c r="A702" s="4354"/>
      <c r="B702" s="5071"/>
      <c r="C702" s="4695" t="s">
        <v>777</v>
      </c>
      <c r="D702" s="4682" t="str">
        <f t="shared" si="60"/>
        <v>NO,IE</v>
      </c>
      <c r="E702" s="4683" t="str">
        <f>'Table4(II)_2018'!F38</f>
        <v>NO,IE</v>
      </c>
      <c r="F702" s="4684" t="str">
        <f>'Table4(II)_2019'!F38</f>
        <v>NO,IE</v>
      </c>
      <c r="G702" s="4685" t="str">
        <f>'Table4(II)_2020'!F38</f>
        <v>IE,NA</v>
      </c>
      <c r="H702" s="4354"/>
      <c r="I702" s="4387" t="str">
        <f t="shared" si="57"/>
        <v>NO</v>
      </c>
      <c r="J702" s="4387" t="str">
        <f t="shared" si="57"/>
        <v>NO</v>
      </c>
      <c r="K702" s="4354"/>
      <c r="L702" s="4354"/>
      <c r="M702" s="4354"/>
    </row>
    <row r="703" spans="1:13" ht="15.75" thickBot="1" x14ac:dyDescent="0.3">
      <c r="A703" s="4354"/>
      <c r="B703" s="5072"/>
      <c r="C703" s="4697" t="s">
        <v>776</v>
      </c>
      <c r="D703" s="4671" t="str">
        <f t="shared" si="60"/>
        <v>IE</v>
      </c>
      <c r="E703" s="4672" t="str">
        <f>'Table4(II)_2018'!F40</f>
        <v>IE</v>
      </c>
      <c r="F703" s="4513" t="str">
        <f>'Table4(II)_2019'!F40</f>
        <v>IE</v>
      </c>
      <c r="G703" s="4514" t="str">
        <f>'Table4(II)_2020'!F40</f>
        <v>IE</v>
      </c>
      <c r="H703" s="4354"/>
      <c r="I703" s="4387" t="str">
        <f t="shared" si="57"/>
        <v>NO</v>
      </c>
      <c r="J703" s="4387" t="str">
        <f t="shared" si="57"/>
        <v>NO</v>
      </c>
      <c r="K703" s="4354"/>
      <c r="L703" s="4354"/>
      <c r="M703" s="4354"/>
    </row>
    <row r="704" spans="1:13" x14ac:dyDescent="0.25">
      <c r="A704" s="4354"/>
      <c r="B704" s="4354"/>
      <c r="C704" s="4354"/>
      <c r="D704" s="4589" t="str">
        <f t="shared" si="60"/>
        <v/>
      </c>
      <c r="E704" s="4356"/>
      <c r="F704" s="4354"/>
      <c r="G704" s="4354"/>
      <c r="H704" s="4354"/>
      <c r="I704" s="4387" t="str">
        <f t="shared" si="57"/>
        <v>NO</v>
      </c>
      <c r="J704" s="4387" t="str">
        <f t="shared" si="57"/>
        <v>NO</v>
      </c>
      <c r="K704" s="4354"/>
      <c r="L704" s="4354"/>
      <c r="M704" s="4354"/>
    </row>
    <row r="705" spans="1:13" ht="24.75" x14ac:dyDescent="0.25">
      <c r="A705" s="4354"/>
      <c r="B705" s="4402" t="s">
        <v>651</v>
      </c>
      <c r="C705" s="4354"/>
      <c r="D705" s="4591" t="str">
        <f t="shared" si="60"/>
        <v xml:space="preserve"> NIR 2020 (2018) CRF tabel 4II samt afsnit 6.9.4 i PDF NIR</v>
      </c>
      <c r="E705" s="4675" t="s">
        <v>5312</v>
      </c>
      <c r="F705" s="4675" t="s">
        <v>5313</v>
      </c>
      <c r="G705" s="4675" t="s">
        <v>5314</v>
      </c>
      <c r="H705" s="4354"/>
      <c r="I705" s="4387" t="str">
        <f t="shared" si="57"/>
        <v>NO</v>
      </c>
      <c r="J705" s="4387" t="str">
        <f t="shared" si="57"/>
        <v>NO</v>
      </c>
      <c r="K705" s="4354"/>
      <c r="L705" s="4354"/>
      <c r="M705" s="4354"/>
    </row>
    <row r="706" spans="1:13" ht="15.75" thickBot="1" x14ac:dyDescent="0.3">
      <c r="A706" s="4354"/>
      <c r="B706" s="4354"/>
      <c r="C706" s="4354"/>
      <c r="D706" s="4589" t="str">
        <f t="shared" si="60"/>
        <v/>
      </c>
      <c r="E706" s="4356"/>
      <c r="F706" s="4354"/>
      <c r="G706" s="4354"/>
      <c r="H706" s="4354"/>
      <c r="I706" s="4387" t="str">
        <f t="shared" si="57"/>
        <v>NO</v>
      </c>
      <c r="J706" s="4387" t="str">
        <f t="shared" si="57"/>
        <v>NO</v>
      </c>
      <c r="K706" s="4354"/>
      <c r="L706" s="4354"/>
      <c r="M706" s="4354"/>
    </row>
    <row r="707" spans="1:13" ht="15.75" thickBot="1" x14ac:dyDescent="0.3">
      <c r="A707" s="4354"/>
      <c r="B707" s="4676" t="s">
        <v>775</v>
      </c>
      <c r="C707" s="4651"/>
      <c r="D707" s="4652" t="str">
        <f t="shared" si="60"/>
        <v>Kg pr ha</v>
      </c>
      <c r="E707" s="4653" t="s">
        <v>769</v>
      </c>
      <c r="F707" s="4678" t="s">
        <v>769</v>
      </c>
      <c r="G707" s="4698" t="s">
        <v>769</v>
      </c>
      <c r="H707" s="4354"/>
      <c r="I707" s="4387" t="str">
        <f t="shared" si="57"/>
        <v>NO</v>
      </c>
      <c r="J707" s="4387" t="str">
        <f t="shared" si="57"/>
        <v>NO</v>
      </c>
      <c r="K707" s="4354"/>
      <c r="L707" s="4354"/>
      <c r="M707" s="4354"/>
    </row>
    <row r="708" spans="1:13" x14ac:dyDescent="0.25">
      <c r="A708" s="4354"/>
      <c r="B708" s="5070" t="s">
        <v>774</v>
      </c>
      <c r="C708" s="4699" t="s">
        <v>763</v>
      </c>
      <c r="D708" s="4657" t="str">
        <f t="shared" si="60"/>
        <v/>
      </c>
      <c r="E708" s="4687"/>
      <c r="F708" s="4687"/>
      <c r="G708" s="4687"/>
      <c r="H708" s="4354"/>
      <c r="I708" s="4387" t="str">
        <f t="shared" si="57"/>
        <v>NO</v>
      </c>
      <c r="J708" s="4387" t="str">
        <f t="shared" si="57"/>
        <v>NO</v>
      </c>
      <c r="K708" s="4354"/>
      <c r="L708" s="4354"/>
      <c r="M708" s="4354"/>
    </row>
    <row r="709" spans="1:13" ht="17.25" x14ac:dyDescent="0.25">
      <c r="A709" s="4354"/>
      <c r="B709" s="5071"/>
      <c r="C709" s="4700" t="s">
        <v>771</v>
      </c>
      <c r="D709" s="4667" t="str">
        <f t="shared" si="60"/>
        <v>IE</v>
      </c>
      <c r="E709" s="4668" t="str">
        <f>'Table4(II)_2018'!D46</f>
        <v>IE</v>
      </c>
      <c r="F709" s="4669" t="str">
        <f>'Table4(II)_2019'!D46</f>
        <v>IE</v>
      </c>
      <c r="G709" s="4498" t="str">
        <f>'Table4(II)_2020'!D46</f>
        <v>IE</v>
      </c>
      <c r="H709" s="4354"/>
      <c r="I709" s="4387" t="str">
        <f t="shared" si="57"/>
        <v>NO</v>
      </c>
      <c r="J709" s="4387" t="str">
        <f t="shared" si="57"/>
        <v>NO</v>
      </c>
      <c r="K709" s="4354"/>
      <c r="L709" s="4354"/>
      <c r="M709" s="4354"/>
    </row>
    <row r="710" spans="1:13" ht="15.75" thickBot="1" x14ac:dyDescent="0.3">
      <c r="A710" s="4354"/>
      <c r="B710" s="5071"/>
      <c r="C710" s="4701" t="s">
        <v>4755</v>
      </c>
      <c r="D710" s="4667" t="str">
        <f t="shared" si="60"/>
        <v>NO</v>
      </c>
      <c r="E710" s="4668" t="str">
        <f>'Table4(II)_2018'!D66</f>
        <v>NO</v>
      </c>
      <c r="F710" s="4669" t="str">
        <f>'Table4(II)_2019'!D66</f>
        <v>NO</v>
      </c>
      <c r="G710" s="4498" t="str">
        <f>'Table4(II)_2020'!D66</f>
        <v>NA</v>
      </c>
      <c r="H710" s="4354"/>
      <c r="I710" s="4387" t="str">
        <f t="shared" si="57"/>
        <v>NO</v>
      </c>
      <c r="J710" s="4387" t="str">
        <f t="shared" si="57"/>
        <v>NO</v>
      </c>
      <c r="K710" s="4354"/>
      <c r="L710" s="4354"/>
      <c r="M710" s="4354"/>
    </row>
    <row r="711" spans="1:13" x14ac:dyDescent="0.25">
      <c r="A711" s="4354"/>
      <c r="B711" s="5070" t="s">
        <v>773</v>
      </c>
      <c r="C711" s="4699" t="s">
        <v>763</v>
      </c>
      <c r="D711" s="4657" t="str">
        <f t="shared" si="60"/>
        <v/>
      </c>
      <c r="E711" s="4687"/>
      <c r="F711" s="4687"/>
      <c r="G711" s="4687"/>
      <c r="H711" s="4354"/>
      <c r="I711" s="4387" t="str">
        <f t="shared" si="57"/>
        <v>NO</v>
      </c>
      <c r="J711" s="4387" t="str">
        <f t="shared" si="57"/>
        <v>NO</v>
      </c>
      <c r="K711" s="4354"/>
      <c r="L711" s="4354"/>
      <c r="M711" s="4354"/>
    </row>
    <row r="712" spans="1:13" ht="17.25" x14ac:dyDescent="0.25">
      <c r="A712" s="4354"/>
      <c r="B712" s="5071"/>
      <c r="C712" s="4700" t="s">
        <v>771</v>
      </c>
      <c r="D712" s="4674">
        <f>IF($D$3=$E$3,E712,IF($D$3=$F$3,F712,IF($D$3=$G$3,G712,"-")))</f>
        <v>0.29992213354091002</v>
      </c>
      <c r="E712" s="4668">
        <f>'Table4(II)_2018'!E46</f>
        <v>0.29992213354091002</v>
      </c>
      <c r="F712" s="4669">
        <f>'Table4(II)_2019'!E46</f>
        <v>0.29992213354091002</v>
      </c>
      <c r="G712" s="4498">
        <f>'Table4(II)_2020'!E46</f>
        <v>0.29992213354091002</v>
      </c>
      <c r="H712" s="4354"/>
      <c r="I712" s="4387">
        <f t="shared" si="57"/>
        <v>0</v>
      </c>
      <c r="J712" s="4387">
        <f t="shared" si="57"/>
        <v>0</v>
      </c>
      <c r="K712" s="4354"/>
      <c r="L712" s="4354"/>
      <c r="M712" s="4354"/>
    </row>
    <row r="713" spans="1:13" ht="15.75" thickBot="1" x14ac:dyDescent="0.3">
      <c r="A713" s="4354"/>
      <c r="B713" s="5071"/>
      <c r="C713" s="4701" t="s">
        <v>4755</v>
      </c>
      <c r="D713" s="4667" t="str">
        <f t="shared" si="60"/>
        <v>NO</v>
      </c>
      <c r="E713" s="4668" t="str">
        <f>'Table4(II)_2018'!E66</f>
        <v>NO</v>
      </c>
      <c r="F713" s="4669" t="str">
        <f>'Table4(II)_2019'!E66</f>
        <v>NO</v>
      </c>
      <c r="G713" s="4498" t="str">
        <f>'Table4(II)_2020'!E66</f>
        <v>NA</v>
      </c>
      <c r="H713" s="4354"/>
      <c r="I713" s="4387" t="str">
        <f t="shared" si="57"/>
        <v>NO</v>
      </c>
      <c r="J713" s="4387" t="str">
        <f t="shared" si="57"/>
        <v>NO</v>
      </c>
      <c r="K713" s="4354"/>
      <c r="L713" s="4354"/>
      <c r="M713" s="4354"/>
    </row>
    <row r="714" spans="1:13" x14ac:dyDescent="0.25">
      <c r="A714" s="4354"/>
      <c r="B714" s="5070" t="s">
        <v>772</v>
      </c>
      <c r="C714" s="4699" t="s">
        <v>763</v>
      </c>
      <c r="D714" s="4657" t="str">
        <f t="shared" si="60"/>
        <v/>
      </c>
      <c r="E714" s="4687"/>
      <c r="F714" s="4687"/>
      <c r="G714" s="4687"/>
      <c r="H714" s="4354"/>
      <c r="I714" s="4387" t="str">
        <f t="shared" si="57"/>
        <v>NO</v>
      </c>
      <c r="J714" s="4387" t="str">
        <f t="shared" si="57"/>
        <v>NO</v>
      </c>
      <c r="K714" s="4354"/>
      <c r="L714" s="4354"/>
      <c r="M714" s="4354"/>
    </row>
    <row r="715" spans="1:13" ht="17.25" x14ac:dyDescent="0.25">
      <c r="A715" s="4354"/>
      <c r="B715" s="5071"/>
      <c r="C715" s="4700" t="s">
        <v>771</v>
      </c>
      <c r="D715" s="4674">
        <f>IF($D$3=$E$3,E715,IF($D$3=$F$3,F715,IF($D$3=$G$3,G715,"-")))</f>
        <v>33.200000000000003</v>
      </c>
      <c r="E715" s="4668">
        <f>'Table4(II)_2018'!F46</f>
        <v>33.200000000000003</v>
      </c>
      <c r="F715" s="4669">
        <f>'Table4(II)_2019'!F46</f>
        <v>33.200000000000003</v>
      </c>
      <c r="G715" s="4498">
        <f>'Table4(II)_2020'!F46</f>
        <v>33.200000000000003</v>
      </c>
      <c r="H715" s="4354"/>
      <c r="I715" s="4387">
        <f t="shared" si="57"/>
        <v>0</v>
      </c>
      <c r="J715" s="4387">
        <f t="shared" si="57"/>
        <v>0</v>
      </c>
      <c r="K715" s="4354"/>
      <c r="L715" s="4354"/>
      <c r="M715" s="4354"/>
    </row>
    <row r="716" spans="1:13" ht="15.75" thickBot="1" x14ac:dyDescent="0.3">
      <c r="A716" s="4354"/>
      <c r="B716" s="5072"/>
      <c r="C716" s="4701" t="s">
        <v>4755</v>
      </c>
      <c r="D716" s="4702">
        <f>IF($D$3=$E$3,E716,IF($D$3=$F$3,F716,IF($D$3=$G$3,G716,"-")))</f>
        <v>287.55031160280379</v>
      </c>
      <c r="E716" s="4672">
        <f>'Table4(II)_2018'!F66</f>
        <v>287.55031160280379</v>
      </c>
      <c r="F716" s="4513">
        <f>'Table4(II)_2019'!F66</f>
        <v>52.022857480549092</v>
      </c>
      <c r="G716" s="4514">
        <f>'Table4(II)_2020'!F66</f>
        <v>53.13815317367024</v>
      </c>
      <c r="H716" s="4354"/>
      <c r="I716" s="4387">
        <f t="shared" si="57"/>
        <v>0.81908259048451737</v>
      </c>
      <c r="J716" s="4387">
        <f t="shared" si="57"/>
        <v>2.1438570411826136E-2</v>
      </c>
      <c r="K716" s="4354"/>
      <c r="L716" s="4354"/>
      <c r="M716" s="4354"/>
    </row>
    <row r="717" spans="1:13" x14ac:dyDescent="0.25">
      <c r="A717" s="4354"/>
      <c r="B717" s="4354"/>
      <c r="C717" s="4354"/>
      <c r="D717" s="4589" t="str">
        <f t="shared" si="60"/>
        <v/>
      </c>
      <c r="E717" s="4356"/>
      <c r="F717" s="4354"/>
      <c r="G717" s="4354"/>
      <c r="H717" s="4354"/>
      <c r="I717" s="4387" t="str">
        <f t="shared" si="57"/>
        <v>NO</v>
      </c>
      <c r="J717" s="4387" t="str">
        <f t="shared" si="57"/>
        <v>NO</v>
      </c>
      <c r="K717" s="4354"/>
      <c r="L717" s="4354"/>
      <c r="M717" s="4354"/>
    </row>
    <row r="718" spans="1:13" ht="14.45" customHeight="1" x14ac:dyDescent="0.25">
      <c r="A718" s="4354"/>
      <c r="B718" s="4402" t="s">
        <v>651</v>
      </c>
      <c r="C718" s="4354"/>
      <c r="D718" s="4591" t="str">
        <f t="shared" si="60"/>
        <v xml:space="preserve"> NIR 2020 (2018) CRF tabel 4II</v>
      </c>
      <c r="E718" s="4481" t="s">
        <v>5282</v>
      </c>
      <c r="F718" s="4481" t="s">
        <v>5283</v>
      </c>
      <c r="G718" s="4481" t="s">
        <v>2200</v>
      </c>
      <c r="H718" s="4354"/>
      <c r="I718" s="4387" t="str">
        <f t="shared" si="57"/>
        <v>NO</v>
      </c>
      <c r="J718" s="4387" t="str">
        <f t="shared" si="57"/>
        <v>NO</v>
      </c>
      <c r="K718" s="4354"/>
      <c r="L718" s="4354"/>
      <c r="M718" s="4354"/>
    </row>
    <row r="719" spans="1:13" x14ac:dyDescent="0.25">
      <c r="A719" s="4354"/>
      <c r="B719" s="4354"/>
      <c r="C719" s="4354"/>
      <c r="D719" s="4589" t="str">
        <f t="shared" si="60"/>
        <v/>
      </c>
      <c r="E719" s="4354"/>
      <c r="F719" s="4354"/>
      <c r="G719" s="4354"/>
      <c r="H719" s="4354"/>
      <c r="I719" s="4387" t="str">
        <f t="shared" si="57"/>
        <v>NO</v>
      </c>
      <c r="J719" s="4387" t="str">
        <f t="shared" si="57"/>
        <v>NO</v>
      </c>
      <c r="K719" s="4354"/>
      <c r="L719" s="4354"/>
      <c r="M719" s="4354"/>
    </row>
    <row r="720" spans="1:13" s="640" customFormat="1" ht="26.25" customHeight="1" x14ac:dyDescent="0.3">
      <c r="A720" s="4357"/>
      <c r="B720" s="4432" t="s">
        <v>770</v>
      </c>
      <c r="C720" s="4357"/>
      <c r="D720" s="4592" t="str">
        <f t="shared" si="60"/>
        <v/>
      </c>
      <c r="E720" s="4357"/>
      <c r="F720" s="4357"/>
      <c r="G720" s="4357"/>
      <c r="H720" s="4357"/>
      <c r="I720" s="4387" t="str">
        <f t="shared" si="57"/>
        <v>NO</v>
      </c>
      <c r="J720" s="4387" t="str">
        <f t="shared" si="57"/>
        <v>NO</v>
      </c>
      <c r="K720" s="4357"/>
      <c r="L720" s="4357"/>
      <c r="M720" s="4357"/>
    </row>
    <row r="721" spans="1:13" ht="15.75" thickBot="1" x14ac:dyDescent="0.3">
      <c r="A721" s="4354"/>
      <c r="B721" s="4354"/>
      <c r="C721" s="4354"/>
      <c r="D721" s="4589" t="str">
        <f t="shared" si="60"/>
        <v/>
      </c>
      <c r="E721" s="4356"/>
      <c r="F721" s="4354"/>
      <c r="G721" s="4354"/>
      <c r="H721" s="4354"/>
      <c r="I721" s="4387" t="str">
        <f t="shared" si="57"/>
        <v>NO</v>
      </c>
      <c r="J721" s="4387" t="str">
        <f t="shared" si="57"/>
        <v>NO</v>
      </c>
      <c r="K721" s="4354"/>
      <c r="L721" s="4354"/>
      <c r="M721" s="4354"/>
    </row>
    <row r="722" spans="1:13" ht="15.75" thickBot="1" x14ac:dyDescent="0.3">
      <c r="A722" s="4354"/>
      <c r="B722" s="4703" t="s">
        <v>756</v>
      </c>
      <c r="C722" s="4703"/>
      <c r="D722" s="4704" t="str">
        <f t="shared" si="60"/>
        <v>Kg pr ha</v>
      </c>
      <c r="E722" s="4650" t="s">
        <v>769</v>
      </c>
      <c r="F722" s="4654" t="s">
        <v>769</v>
      </c>
      <c r="G722" s="4655" t="s">
        <v>769</v>
      </c>
      <c r="H722" s="4354"/>
      <c r="I722" s="4387" t="str">
        <f t="shared" si="57"/>
        <v>NO</v>
      </c>
      <c r="J722" s="4387" t="str">
        <f t="shared" si="57"/>
        <v>NO</v>
      </c>
      <c r="K722" s="4354"/>
      <c r="L722" s="4354"/>
      <c r="M722" s="4354"/>
    </row>
    <row r="723" spans="1:13" ht="17.100000000000001" customHeight="1" x14ac:dyDescent="0.25">
      <c r="A723" s="4354"/>
      <c r="B723" s="5091" t="s">
        <v>768</v>
      </c>
      <c r="C723" s="4705" t="s">
        <v>395</v>
      </c>
      <c r="D723" s="4706">
        <f>IF($D$3=$E$3,E723,IF($D$3=$F$3,F723,IF($D$3=$G$3,G723,"-")))</f>
        <v>0</v>
      </c>
      <c r="E723" s="4707"/>
      <c r="F723" s="4708"/>
      <c r="G723" s="4424"/>
      <c r="H723" s="4354"/>
      <c r="I723" s="4387" t="str">
        <f t="shared" si="57"/>
        <v>NO</v>
      </c>
      <c r="J723" s="4387" t="str">
        <f t="shared" si="57"/>
        <v>NO</v>
      </c>
      <c r="K723" s="4354"/>
      <c r="L723" s="4354"/>
      <c r="M723" s="4354"/>
    </row>
    <row r="724" spans="1:13" x14ac:dyDescent="0.25">
      <c r="A724" s="4354"/>
      <c r="B724" s="5092"/>
      <c r="C724" s="4709" t="s">
        <v>767</v>
      </c>
      <c r="D724" s="4710">
        <f>IF($D$3=$E$3,E724,IF($D$3=$F$3,F724,IF($D$3=$G$3,G724,"-")))</f>
        <v>0.74711361403220999</v>
      </c>
      <c r="E724" s="4711">
        <f>'Table4(III)_2018'!C16</f>
        <v>0.74711361403220999</v>
      </c>
      <c r="F724" s="4712">
        <f>'Table4(III)_2019'!C16</f>
        <v>1.1030896954775</v>
      </c>
      <c r="G724" s="4713">
        <f>'Table4(III)_2020'!C16</f>
        <v>1.4593933545339199</v>
      </c>
      <c r="H724" s="4354"/>
      <c r="I724" s="4387">
        <f t="shared" si="57"/>
        <v>0.47646847113930785</v>
      </c>
      <c r="J724" s="4387">
        <f t="shared" si="57"/>
        <v>0.32300515589730439</v>
      </c>
      <c r="K724" s="4354"/>
      <c r="L724" s="4354"/>
      <c r="M724" s="4354"/>
    </row>
    <row r="725" spans="1:13" ht="15.75" thickBot="1" x14ac:dyDescent="0.3">
      <c r="A725" s="4354"/>
      <c r="B725" s="5092"/>
      <c r="C725" s="4714" t="s">
        <v>766</v>
      </c>
      <c r="D725" s="4715" t="str">
        <f t="shared" si="60"/>
        <v>IE</v>
      </c>
      <c r="E725" s="4716" t="str">
        <f>'Table4(III)_2018'!C17</f>
        <v>IE</v>
      </c>
      <c r="F725" s="4717" t="str">
        <f>'Table4(III)_2019'!C17</f>
        <v>IE</v>
      </c>
      <c r="G725" s="4718" t="str">
        <f>'Table4(III)_2020'!C17</f>
        <v>IE</v>
      </c>
      <c r="H725" s="4354"/>
      <c r="I725" s="4387" t="str">
        <f t="shared" si="57"/>
        <v>NO</v>
      </c>
      <c r="J725" s="4387" t="str">
        <f t="shared" si="57"/>
        <v>NO</v>
      </c>
      <c r="K725" s="4354"/>
      <c r="L725" s="4354"/>
      <c r="M725" s="4354"/>
    </row>
    <row r="726" spans="1:13" x14ac:dyDescent="0.25">
      <c r="A726" s="4354"/>
      <c r="B726" s="5092"/>
      <c r="C726" s="4719" t="s">
        <v>254</v>
      </c>
      <c r="D726" s="4706">
        <f>IF($D$3=$E$3,E726,IF($D$3=$F$3,F726,IF($D$3=$G$3,G726,"-")))</f>
        <v>0</v>
      </c>
      <c r="E726" s="4720"/>
      <c r="F726" s="4721"/>
      <c r="G726" s="4722"/>
      <c r="H726" s="4354"/>
      <c r="I726" s="4387" t="str">
        <f t="shared" si="57"/>
        <v>NO</v>
      </c>
      <c r="J726" s="4387" t="str">
        <f t="shared" si="57"/>
        <v>NO</v>
      </c>
      <c r="K726" s="4354"/>
      <c r="L726" s="4354"/>
      <c r="M726" s="4354"/>
    </row>
    <row r="727" spans="1:13" x14ac:dyDescent="0.25">
      <c r="A727" s="4354"/>
      <c r="B727" s="5092"/>
      <c r="C727" s="4709" t="s">
        <v>765</v>
      </c>
      <c r="D727" s="4710">
        <f>IF($D$3=$E$3,E727,IF($D$3=$F$3,F727,IF($D$3=$G$3,G727,"-")))</f>
        <v>0.48160436946711999</v>
      </c>
      <c r="E727" s="4723">
        <f>'Table4(III)_2018'!C21</f>
        <v>0.48160436946711999</v>
      </c>
      <c r="F727" s="4724">
        <f>'Table4(III)_2019'!C21</f>
        <v>5.2152287960650003E-2</v>
      </c>
      <c r="G727" s="4725">
        <f>'Table4(III)_2020'!C21</f>
        <v>8.6352129963089996E-2</v>
      </c>
      <c r="H727" s="4354"/>
      <c r="I727" s="4387">
        <f t="shared" si="57"/>
        <v>0.89171134801298646</v>
      </c>
      <c r="J727" s="4387">
        <f t="shared" si="57"/>
        <v>0.65576877524998511</v>
      </c>
      <c r="K727" s="4354"/>
      <c r="L727" s="4354"/>
      <c r="M727" s="4354"/>
    </row>
    <row r="728" spans="1:13" ht="15.75" thickBot="1" x14ac:dyDescent="0.3">
      <c r="A728" s="4354"/>
      <c r="B728" s="5092"/>
      <c r="C728" s="4726" t="s">
        <v>764</v>
      </c>
      <c r="D728" s="4727" t="str">
        <f t="shared" si="60"/>
        <v>IE</v>
      </c>
      <c r="E728" s="4728" t="str">
        <f>'Table4(III)_2018'!C22</f>
        <v>IE</v>
      </c>
      <c r="F728" s="4729" t="str">
        <f>'Table4(III)_2019'!C22</f>
        <v>IE</v>
      </c>
      <c r="G728" s="4730" t="str">
        <f>'Table4(III)_2020'!C22</f>
        <v>IE</v>
      </c>
      <c r="H728" s="4354"/>
      <c r="I728" s="4387" t="str">
        <f t="shared" si="57"/>
        <v>NO</v>
      </c>
      <c r="J728" s="4387" t="str">
        <f t="shared" si="57"/>
        <v>NO</v>
      </c>
      <c r="K728" s="4354"/>
      <c r="L728" s="4354"/>
      <c r="M728" s="4354"/>
    </row>
    <row r="729" spans="1:13" x14ac:dyDescent="0.25">
      <c r="A729" s="4354"/>
      <c r="B729" s="5092"/>
      <c r="C729" s="4731" t="s">
        <v>763</v>
      </c>
      <c r="D729" s="4732" t="str">
        <f t="shared" si="60"/>
        <v>NO</v>
      </c>
      <c r="E729" s="4733" t="str">
        <f>'Table4(III)_2018'!C23</f>
        <v>NO</v>
      </c>
      <c r="F729" s="4734" t="str">
        <f>'Table4(III)_2019'!C23</f>
        <v>NO</v>
      </c>
      <c r="G729" s="4735" t="str">
        <f>'Table4(III)_2020'!C23</f>
        <v>NO,NA</v>
      </c>
      <c r="H729" s="4354"/>
      <c r="I729" s="4387" t="str">
        <f t="shared" si="57"/>
        <v>NO</v>
      </c>
      <c r="J729" s="4387" t="str">
        <f t="shared" si="57"/>
        <v>NO</v>
      </c>
      <c r="K729" s="4354"/>
      <c r="L729" s="4354"/>
      <c r="M729" s="4354"/>
    </row>
    <row r="730" spans="1:13" ht="15.75" thickBot="1" x14ac:dyDescent="0.3">
      <c r="A730" s="4354"/>
      <c r="B730" s="5092"/>
      <c r="C730" s="4736" t="s">
        <v>762</v>
      </c>
      <c r="D730" s="4737" t="str">
        <f t="shared" si="60"/>
        <v>NO</v>
      </c>
      <c r="E730" s="4738" t="str">
        <f>'Table4(III)_2018'!C25</f>
        <v>NO</v>
      </c>
      <c r="F730" s="4739" t="str">
        <f>'Table4(III)_2019'!C25</f>
        <v>NO</v>
      </c>
      <c r="G730" s="4740" t="str">
        <f>'Table4(III)_2020'!C25</f>
        <v>NO,NA</v>
      </c>
      <c r="H730" s="4354"/>
      <c r="I730" s="4387" t="str">
        <f t="shared" si="57"/>
        <v>NO</v>
      </c>
      <c r="J730" s="4387" t="str">
        <f t="shared" si="57"/>
        <v>NO</v>
      </c>
      <c r="K730" s="4354"/>
      <c r="L730" s="4354"/>
      <c r="M730" s="4354"/>
    </row>
    <row r="731" spans="1:13" x14ac:dyDescent="0.25">
      <c r="A731" s="4354"/>
      <c r="B731" s="5092"/>
      <c r="C731" s="4741" t="s">
        <v>248</v>
      </c>
      <c r="D731" s="4710">
        <f>IF($D$3=$E$3,E731,IF($D$3=$F$3,F731,IF($D$3=$G$3,G731,"-")))</f>
        <v>10.65260578096119</v>
      </c>
      <c r="E731" s="4742">
        <f>'Table4(III)_2018'!C29</f>
        <v>10.65260578096119</v>
      </c>
      <c r="F731" s="4743">
        <f>'Table4(III)_2019'!C29</f>
        <v>0.72600390924901004</v>
      </c>
      <c r="G731" s="4744">
        <f>'Table4(III)_2020'!C29</f>
        <v>0.72572050159752999</v>
      </c>
      <c r="H731" s="4354"/>
      <c r="I731" s="4387">
        <f t="shared" ref="I731:J794" si="62">IFERROR(ABS(F731-E731)/E731,"NO")</f>
        <v>0.9318472940633401</v>
      </c>
      <c r="J731" s="4387">
        <f t="shared" si="62"/>
        <v>3.9036656396686795E-4</v>
      </c>
      <c r="K731" s="4354"/>
      <c r="L731" s="4354"/>
      <c r="M731" s="4354"/>
    </row>
    <row r="732" spans="1:13" x14ac:dyDescent="0.25">
      <c r="A732" s="4354"/>
      <c r="B732" s="5092"/>
      <c r="C732" s="4709" t="s">
        <v>761</v>
      </c>
      <c r="D732" s="4710">
        <f t="shared" ref="D732:D734" si="63">IF($D$3=$E$3,E732,IF($D$3=$F$3,F732,IF($D$3=$G$3,G732,"-")))</f>
        <v>0.65785690130520003</v>
      </c>
      <c r="E732" s="4711">
        <f>'Table4(III)_2018'!C32</f>
        <v>0.65785690130520003</v>
      </c>
      <c r="F732" s="4712">
        <f>'Table4(III)_2019'!C32</f>
        <v>0.68682404711991996</v>
      </c>
      <c r="G732" s="4713">
        <f>'Table4(III)_2020'!C32</f>
        <v>0.68674554106785002</v>
      </c>
      <c r="H732" s="4354"/>
      <c r="I732" s="4387">
        <f t="shared" si="62"/>
        <v>4.4032593953561308E-2</v>
      </c>
      <c r="J732" s="4387">
        <f t="shared" si="62"/>
        <v>1.143030043853873E-4</v>
      </c>
      <c r="K732" s="4354"/>
      <c r="L732" s="4354"/>
      <c r="M732" s="4354"/>
    </row>
    <row r="733" spans="1:13" x14ac:dyDescent="0.25">
      <c r="A733" s="4354"/>
      <c r="B733" s="5092"/>
      <c r="C733" s="4709" t="s">
        <v>760</v>
      </c>
      <c r="D733" s="4710">
        <f t="shared" si="63"/>
        <v>30.07938606414081</v>
      </c>
      <c r="E733" s="4711">
        <f>'Table4(III)_2018'!C33</f>
        <v>30.07938606414081</v>
      </c>
      <c r="F733" s="4712">
        <f>'Table4(III)_2019'!C33</f>
        <v>0.67100427310613997</v>
      </c>
      <c r="G733" s="4713">
        <f>'Table4(III)_2020'!C33</f>
        <v>0.67100427312217004</v>
      </c>
      <c r="H733" s="4354"/>
      <c r="I733" s="4387">
        <f t="shared" si="62"/>
        <v>0.97769222178686432</v>
      </c>
      <c r="J733" s="4387">
        <f t="shared" si="62"/>
        <v>2.3889663308920743E-11</v>
      </c>
      <c r="K733" s="4354"/>
      <c r="L733" s="4354"/>
      <c r="M733" s="4354"/>
    </row>
    <row r="734" spans="1:13" ht="15.75" thickBot="1" x14ac:dyDescent="0.3">
      <c r="A734" s="4354"/>
      <c r="B734" s="5092"/>
      <c r="C734" s="4726" t="s">
        <v>759</v>
      </c>
      <c r="D734" s="4745">
        <f t="shared" si="63"/>
        <v>9.0796875422414196</v>
      </c>
      <c r="E734" s="4746">
        <f>'Table4(III)_2018'!C34</f>
        <v>9.0796875422414196</v>
      </c>
      <c r="F734" s="4747">
        <f>'Table4(III)_2019'!C34</f>
        <v>1.2604273520068101</v>
      </c>
      <c r="G734" s="4748">
        <f>'Table4(III)_2020'!C34</f>
        <v>1.2604273520043401</v>
      </c>
      <c r="H734" s="4354"/>
      <c r="I734" s="4387">
        <f t="shared" si="62"/>
        <v>0.86118163800869518</v>
      </c>
      <c r="J734" s="4387">
        <f t="shared" si="62"/>
        <v>1.9596719963696111E-12</v>
      </c>
      <c r="K734" s="4354"/>
      <c r="L734" s="4354"/>
      <c r="M734" s="4354"/>
    </row>
    <row r="735" spans="1:13" ht="15.75" thickBot="1" x14ac:dyDescent="0.3">
      <c r="A735" s="4354"/>
      <c r="B735" s="5093"/>
      <c r="C735" s="4749" t="s">
        <v>758</v>
      </c>
      <c r="D735" s="4750" t="str">
        <f t="shared" si="60"/>
        <v>NO</v>
      </c>
      <c r="E735" s="4750" t="str">
        <f>'Table4(III)_2018'!C35</f>
        <v>NO</v>
      </c>
      <c r="F735" s="4751" t="str">
        <f>'Table4(III)_2019'!C35</f>
        <v>NO</v>
      </c>
      <c r="G735" s="4752" t="str">
        <f>'Table4(III)_2020'!C35</f>
        <v>NA</v>
      </c>
      <c r="H735" s="4354"/>
      <c r="I735" s="4387" t="str">
        <f t="shared" si="62"/>
        <v>NO</v>
      </c>
      <c r="J735" s="4387" t="str">
        <f t="shared" si="62"/>
        <v>NO</v>
      </c>
      <c r="K735" s="4354"/>
      <c r="L735" s="4354"/>
      <c r="M735" s="4354"/>
    </row>
    <row r="736" spans="1:13" x14ac:dyDescent="0.25">
      <c r="A736" s="4354"/>
      <c r="B736" s="4354"/>
      <c r="C736" s="4354"/>
      <c r="D736" s="4354" t="str">
        <f t="shared" si="60"/>
        <v/>
      </c>
      <c r="E736" s="4356"/>
      <c r="F736" s="4354"/>
      <c r="G736" s="4354"/>
      <c r="H736" s="4354"/>
      <c r="I736" s="4387" t="str">
        <f t="shared" si="62"/>
        <v>NO</v>
      </c>
      <c r="J736" s="4387" t="str">
        <f t="shared" si="62"/>
        <v>NO</v>
      </c>
      <c r="K736" s="4354"/>
      <c r="L736" s="4354"/>
      <c r="M736" s="4354"/>
    </row>
    <row r="737" spans="1:13" ht="14.45" customHeight="1" x14ac:dyDescent="0.25">
      <c r="A737" s="4354"/>
      <c r="B737" s="4402" t="s">
        <v>651</v>
      </c>
      <c r="C737" s="4354"/>
      <c r="D737" s="4481" t="str">
        <f t="shared" si="60"/>
        <v xml:space="preserve"> NIR 2020 (2018) CRF tabel 4III</v>
      </c>
      <c r="E737" s="4481" t="s">
        <v>5284</v>
      </c>
      <c r="F737" s="4481" t="s">
        <v>5285</v>
      </c>
      <c r="G737" s="4481" t="s">
        <v>5286</v>
      </c>
      <c r="H737" s="4354"/>
      <c r="I737" s="4387" t="str">
        <f t="shared" si="62"/>
        <v>NO</v>
      </c>
      <c r="J737" s="4387" t="str">
        <f t="shared" si="62"/>
        <v>NO</v>
      </c>
      <c r="K737" s="4354"/>
      <c r="L737" s="4354"/>
      <c r="M737" s="4354"/>
    </row>
    <row r="738" spans="1:13" x14ac:dyDescent="0.25">
      <c r="A738" s="4354"/>
      <c r="B738" s="4354"/>
      <c r="C738" s="4354"/>
      <c r="D738" s="4354" t="str">
        <f t="shared" si="60"/>
        <v/>
      </c>
      <c r="E738" s="4356"/>
      <c r="F738" s="4354"/>
      <c r="G738" s="4354"/>
      <c r="H738" s="4354"/>
      <c r="I738" s="4387" t="str">
        <f t="shared" si="62"/>
        <v>NO</v>
      </c>
      <c r="J738" s="4387" t="str">
        <f t="shared" si="62"/>
        <v>NO</v>
      </c>
      <c r="K738" s="4354"/>
      <c r="L738" s="4354"/>
      <c r="M738" s="4354"/>
    </row>
    <row r="739" spans="1:13" s="640" customFormat="1" ht="27.75" customHeight="1" x14ac:dyDescent="0.3">
      <c r="A739" s="4357"/>
      <c r="B739" s="4432" t="s">
        <v>757</v>
      </c>
      <c r="C739" s="4357"/>
      <c r="D739" s="4357" t="str">
        <f t="shared" si="60"/>
        <v/>
      </c>
      <c r="E739" s="4357"/>
      <c r="F739" s="4357"/>
      <c r="G739" s="4357"/>
      <c r="H739" s="4357"/>
      <c r="I739" s="4387" t="str">
        <f t="shared" si="62"/>
        <v>NO</v>
      </c>
      <c r="J739" s="4387" t="str">
        <f t="shared" si="62"/>
        <v>NO</v>
      </c>
      <c r="K739" s="4357"/>
      <c r="L739" s="4357"/>
      <c r="M739" s="4357"/>
    </row>
    <row r="740" spans="1:13" ht="15.75" thickBot="1" x14ac:dyDescent="0.3">
      <c r="A740" s="4354"/>
      <c r="B740" s="4354"/>
      <c r="C740" s="4354"/>
      <c r="D740" s="4354" t="str">
        <f t="shared" si="60"/>
        <v/>
      </c>
      <c r="E740" s="4356"/>
      <c r="F740" s="4354"/>
      <c r="G740" s="4354"/>
      <c r="H740" s="4354"/>
      <c r="I740" s="4387" t="str">
        <f t="shared" si="62"/>
        <v>NO</v>
      </c>
      <c r="J740" s="4387" t="str">
        <f t="shared" si="62"/>
        <v>NO</v>
      </c>
      <c r="K740" s="4354"/>
      <c r="L740" s="4354"/>
      <c r="M740" s="4354"/>
    </row>
    <row r="741" spans="1:13" ht="15.75" thickBot="1" x14ac:dyDescent="0.3">
      <c r="A741" s="4354"/>
      <c r="B741" s="4703" t="s">
        <v>756</v>
      </c>
      <c r="C741" s="4703"/>
      <c r="D741" s="4698" t="str">
        <f t="shared" si="60"/>
        <v>ton pr ha</v>
      </c>
      <c r="E741" s="4753" t="s">
        <v>4777</v>
      </c>
      <c r="F741" s="4754" t="s">
        <v>4777</v>
      </c>
      <c r="G741" s="4655" t="s">
        <v>4777</v>
      </c>
      <c r="H741" s="4354"/>
      <c r="I741" s="4387" t="str">
        <f t="shared" si="62"/>
        <v>NO</v>
      </c>
      <c r="J741" s="4387" t="str">
        <f t="shared" si="62"/>
        <v>NO</v>
      </c>
      <c r="K741" s="4354"/>
      <c r="L741" s="4354"/>
      <c r="M741" s="4354"/>
    </row>
    <row r="742" spans="1:13" ht="15.75" thickBot="1" x14ac:dyDescent="0.3">
      <c r="A742" s="4354"/>
      <c r="B742" s="5070" t="s">
        <v>684</v>
      </c>
      <c r="C742" s="4755" t="s">
        <v>755</v>
      </c>
      <c r="D742" s="4756" t="str">
        <f t="shared" si="60"/>
        <v>NO,IE</v>
      </c>
      <c r="E742" s="4757" t="str">
        <f>'Table4(V)_2018'!F32</f>
        <v>NO,IE</v>
      </c>
      <c r="F742" s="4541" t="str">
        <f>'Table4(V)_2019'!F32</f>
        <v>IE</v>
      </c>
      <c r="G742" s="4542" t="str">
        <f>'Table4(V)_2020'!F32</f>
        <v>IE</v>
      </c>
      <c r="H742" s="4354"/>
      <c r="I742" s="4387" t="str">
        <f t="shared" si="62"/>
        <v>NO</v>
      </c>
      <c r="J742" s="4387" t="str">
        <f t="shared" si="62"/>
        <v>NO</v>
      </c>
      <c r="K742" s="4354"/>
      <c r="L742" s="4354"/>
      <c r="M742" s="4354"/>
    </row>
    <row r="743" spans="1:13" x14ac:dyDescent="0.25">
      <c r="A743" s="4354"/>
      <c r="B743" s="5071"/>
      <c r="C743" s="4758" t="s">
        <v>754</v>
      </c>
      <c r="D743" s="4759" t="str">
        <f t="shared" si="60"/>
        <v>IE</v>
      </c>
      <c r="E743" s="4760" t="str">
        <f>'Table4(V)_2018'!F34</f>
        <v>IE</v>
      </c>
      <c r="F743" s="4544" t="str">
        <f>'Table4(V)_2019'!F34</f>
        <v>IE</v>
      </c>
      <c r="G743" s="4498" t="str">
        <f>'Table4(V)_2020'!F34</f>
        <v>IE</v>
      </c>
      <c r="H743" s="4354"/>
      <c r="I743" s="4387" t="str">
        <f t="shared" si="62"/>
        <v>NO</v>
      </c>
      <c r="J743" s="4387" t="str">
        <f t="shared" si="62"/>
        <v>NO</v>
      </c>
      <c r="K743" s="4354"/>
      <c r="L743" s="4354"/>
      <c r="M743" s="4354"/>
    </row>
    <row r="744" spans="1:13" ht="15.75" thickBot="1" x14ac:dyDescent="0.3">
      <c r="A744" s="4354"/>
      <c r="B744" s="5072"/>
      <c r="C744" s="4761" t="s">
        <v>753</v>
      </c>
      <c r="D744" s="4759" t="str">
        <f t="shared" si="60"/>
        <v>NO</v>
      </c>
      <c r="E744" s="4760" t="str">
        <f>'Table4(V)_2018'!F36</f>
        <v>NO</v>
      </c>
      <c r="F744" s="4544" t="str">
        <f>'Table4(V)_2019'!F36</f>
        <v>IE</v>
      </c>
      <c r="G744" s="4498" t="str">
        <f>'Table4(V)_2020'!F36</f>
        <v>IE</v>
      </c>
      <c r="H744" s="4354"/>
      <c r="I744" s="4387" t="str">
        <f t="shared" si="62"/>
        <v>NO</v>
      </c>
      <c r="J744" s="4387" t="str">
        <f t="shared" si="62"/>
        <v>NO</v>
      </c>
      <c r="K744" s="4354"/>
      <c r="L744" s="4354"/>
      <c r="M744" s="4354"/>
    </row>
    <row r="745" spans="1:13" ht="15.75" thickBot="1" x14ac:dyDescent="0.3">
      <c r="A745" s="4354"/>
      <c r="B745" s="5070" t="s">
        <v>683</v>
      </c>
      <c r="C745" s="4755" t="s">
        <v>755</v>
      </c>
      <c r="D745" s="4495">
        <f>IF($D$3=$E$3,E745,IF($D$3=$F$3,F745,IF($D$3=$G$3,G745,"-")))</f>
        <v>1.6698</v>
      </c>
      <c r="E745" s="4760">
        <f>'Table4(V)_2018'!G32</f>
        <v>1.6698</v>
      </c>
      <c r="F745" s="4544">
        <f>'Table4(V)_2019'!G32</f>
        <v>1.6698</v>
      </c>
      <c r="G745" s="4498">
        <f>'Table4(V)_2020'!G32</f>
        <v>1.6698</v>
      </c>
      <c r="H745" s="4354"/>
      <c r="I745" s="4387">
        <f t="shared" si="62"/>
        <v>0</v>
      </c>
      <c r="J745" s="4387">
        <f t="shared" si="62"/>
        <v>0</v>
      </c>
      <c r="K745" s="4354"/>
      <c r="L745" s="4354"/>
      <c r="M745" s="4354"/>
    </row>
    <row r="746" spans="1:13" x14ac:dyDescent="0.25">
      <c r="A746" s="4354"/>
      <c r="B746" s="5071"/>
      <c r="C746" s="4758" t="s">
        <v>754</v>
      </c>
      <c r="D746" s="4759" t="str">
        <f t="shared" ref="D746:D756" si="64">""&amp;IF($D$3=$E$3,E746,IF($D$3=$F$3,F746,IF($D$3=$G$3,G746,"-")))</f>
        <v>1,6698</v>
      </c>
      <c r="E746" s="4760">
        <f>'Table4(V)_2018'!G34</f>
        <v>1.6698</v>
      </c>
      <c r="F746" s="4544">
        <f>'Table4(V)_2019'!G34</f>
        <v>1.6698</v>
      </c>
      <c r="G746" s="4498">
        <f>'Table4(V)_2020'!G34</f>
        <v>1.6698</v>
      </c>
      <c r="H746" s="4354"/>
      <c r="I746" s="4387">
        <f t="shared" si="62"/>
        <v>0</v>
      </c>
      <c r="J746" s="4387">
        <f t="shared" si="62"/>
        <v>0</v>
      </c>
      <c r="K746" s="4354"/>
      <c r="L746" s="4354"/>
      <c r="M746" s="4354"/>
    </row>
    <row r="747" spans="1:13" ht="15.75" thickBot="1" x14ac:dyDescent="0.3">
      <c r="A747" s="4354"/>
      <c r="B747" s="5072"/>
      <c r="C747" s="4761" t="s">
        <v>753</v>
      </c>
      <c r="D747" s="4759" t="str">
        <f t="shared" si="64"/>
        <v>1,6698</v>
      </c>
      <c r="E747" s="4760">
        <f>'Table4(V)_2018'!G34</f>
        <v>1.6698</v>
      </c>
      <c r="F747" s="4544">
        <f>'Table4(V)_2019'!G34</f>
        <v>1.6698</v>
      </c>
      <c r="G747" s="4498">
        <f>'Table4(V)_2020'!G34</f>
        <v>1.6698</v>
      </c>
      <c r="H747" s="4354"/>
      <c r="I747" s="4387">
        <f t="shared" si="62"/>
        <v>0</v>
      </c>
      <c r="J747" s="4387">
        <f t="shared" si="62"/>
        <v>0</v>
      </c>
      <c r="K747" s="4354"/>
      <c r="L747" s="4354"/>
      <c r="M747" s="4354"/>
    </row>
    <row r="748" spans="1:13" ht="15.75" thickBot="1" x14ac:dyDescent="0.3">
      <c r="A748" s="4354"/>
      <c r="B748" s="5070" t="s">
        <v>690</v>
      </c>
      <c r="C748" s="4755" t="s">
        <v>755</v>
      </c>
      <c r="D748" s="4759" t="str">
        <f t="shared" si="64"/>
        <v>0,15246</v>
      </c>
      <c r="E748" s="4760">
        <f>'Table4(V)_2018'!H32</f>
        <v>0.15246000000000001</v>
      </c>
      <c r="F748" s="4544">
        <f>'Table4(V)_2019'!H32</f>
        <v>0.15246000000000001</v>
      </c>
      <c r="G748" s="4498">
        <f>'Table4(V)_2020'!H32</f>
        <v>0.15246000000000001</v>
      </c>
      <c r="H748" s="4354"/>
      <c r="I748" s="4387">
        <f t="shared" si="62"/>
        <v>0</v>
      </c>
      <c r="J748" s="4387">
        <f t="shared" si="62"/>
        <v>0</v>
      </c>
      <c r="K748" s="4354"/>
      <c r="L748" s="4354"/>
      <c r="M748" s="4354"/>
    </row>
    <row r="749" spans="1:13" x14ac:dyDescent="0.25">
      <c r="A749" s="4354"/>
      <c r="B749" s="5071"/>
      <c r="C749" s="4758" t="s">
        <v>754</v>
      </c>
      <c r="D749" s="4759" t="str">
        <f t="shared" si="64"/>
        <v>0,15246</v>
      </c>
      <c r="E749" s="4760">
        <f>'Table4(V)_2018'!H34</f>
        <v>0.15246000000000001</v>
      </c>
      <c r="F749" s="4544">
        <f>'Table4(V)_2019'!H34</f>
        <v>0.15246000000000001</v>
      </c>
      <c r="G749" s="4498">
        <f>'Table4(V)_2020'!H34</f>
        <v>0.15246000000000001</v>
      </c>
      <c r="H749" s="4354"/>
      <c r="I749" s="4387">
        <f t="shared" si="62"/>
        <v>0</v>
      </c>
      <c r="J749" s="4387">
        <f t="shared" si="62"/>
        <v>0</v>
      </c>
      <c r="K749" s="4354"/>
      <c r="L749" s="4354"/>
      <c r="M749" s="4354"/>
    </row>
    <row r="750" spans="1:13" ht="15.75" thickBot="1" x14ac:dyDescent="0.3">
      <c r="A750" s="4354"/>
      <c r="B750" s="5072"/>
      <c r="C750" s="4761" t="s">
        <v>753</v>
      </c>
      <c r="D750" s="4762" t="str">
        <f t="shared" si="64"/>
        <v>0,15246</v>
      </c>
      <c r="E750" s="4763">
        <f>'Table4(V)_2018'!H34</f>
        <v>0.15246000000000001</v>
      </c>
      <c r="F750" s="4513">
        <f>'Table4(V)_2019'!H34</f>
        <v>0.15246000000000001</v>
      </c>
      <c r="G750" s="4514">
        <f>'Table4(V)_2020'!H34</f>
        <v>0.15246000000000001</v>
      </c>
      <c r="H750" s="4354"/>
      <c r="I750" s="4387">
        <f t="shared" si="62"/>
        <v>0</v>
      </c>
      <c r="J750" s="4387">
        <f t="shared" si="62"/>
        <v>0</v>
      </c>
      <c r="K750" s="4354"/>
      <c r="L750" s="4354"/>
      <c r="M750" s="4354"/>
    </row>
    <row r="751" spans="1:13" x14ac:dyDescent="0.25">
      <c r="A751" s="4354"/>
      <c r="B751" s="4354"/>
      <c r="C751" s="4354"/>
      <c r="D751" s="4354" t="str">
        <f t="shared" si="64"/>
        <v/>
      </c>
      <c r="E751" s="4356"/>
      <c r="F751" s="4354"/>
      <c r="G751" s="4354"/>
      <c r="H751" s="4354"/>
      <c r="I751" s="4387" t="str">
        <f t="shared" si="62"/>
        <v>NO</v>
      </c>
      <c r="J751" s="4387" t="str">
        <f t="shared" si="62"/>
        <v>NO</v>
      </c>
      <c r="K751" s="4354"/>
      <c r="L751" s="4354"/>
      <c r="M751" s="4354"/>
    </row>
    <row r="752" spans="1:13" ht="14.45" customHeight="1" x14ac:dyDescent="0.25">
      <c r="A752" s="4354"/>
      <c r="B752" s="4402" t="s">
        <v>651</v>
      </c>
      <c r="C752" s="4354"/>
      <c r="D752" s="4481" t="str">
        <f t="shared" si="64"/>
        <v xml:space="preserve"> NIR 2020 (2018) CRF tabel 4V</v>
      </c>
      <c r="E752" s="4481" t="s">
        <v>5287</v>
      </c>
      <c r="F752" s="4481" t="s">
        <v>5288</v>
      </c>
      <c r="G752" s="4481" t="s">
        <v>2201</v>
      </c>
      <c r="H752" s="4354"/>
      <c r="I752" s="4387" t="str">
        <f t="shared" si="62"/>
        <v>NO</v>
      </c>
      <c r="J752" s="4387" t="str">
        <f t="shared" si="62"/>
        <v>NO</v>
      </c>
      <c r="K752" s="4354"/>
      <c r="L752" s="4354"/>
      <c r="M752" s="4354"/>
    </row>
    <row r="753" spans="1:13" x14ac:dyDescent="0.25">
      <c r="A753" s="4354"/>
      <c r="B753" s="4354"/>
      <c r="C753" s="4354"/>
      <c r="D753" s="4354" t="str">
        <f t="shared" si="64"/>
        <v/>
      </c>
      <c r="E753" s="4356"/>
      <c r="F753" s="4354"/>
      <c r="G753" s="4354"/>
      <c r="H753" s="4354"/>
      <c r="I753" s="4387" t="str">
        <f t="shared" si="62"/>
        <v>NO</v>
      </c>
      <c r="J753" s="4387" t="str">
        <f t="shared" si="62"/>
        <v>NO</v>
      </c>
      <c r="K753" s="4354"/>
      <c r="L753" s="4354"/>
      <c r="M753" s="4354"/>
    </row>
    <row r="754" spans="1:13" s="640" customFormat="1" ht="27.75" customHeight="1" x14ac:dyDescent="0.3">
      <c r="A754" s="4357"/>
      <c r="B754" s="4432" t="s">
        <v>752</v>
      </c>
      <c r="C754" s="4764"/>
      <c r="D754" s="4357" t="str">
        <f t="shared" si="64"/>
        <v/>
      </c>
      <c r="E754" s="4357"/>
      <c r="F754" s="4357"/>
      <c r="G754" s="4357"/>
      <c r="H754" s="4357"/>
      <c r="I754" s="4387" t="str">
        <f t="shared" si="62"/>
        <v>NO</v>
      </c>
      <c r="J754" s="4387" t="str">
        <f t="shared" si="62"/>
        <v>NO</v>
      </c>
      <c r="K754" s="4357"/>
      <c r="L754" s="4357"/>
      <c r="M754" s="4357"/>
    </row>
    <row r="755" spans="1:13" ht="15.75" thickBot="1" x14ac:dyDescent="0.3">
      <c r="A755" s="4354"/>
      <c r="B755" s="4354"/>
      <c r="C755" s="4765"/>
      <c r="D755" s="4354" t="str">
        <f t="shared" si="64"/>
        <v/>
      </c>
      <c r="E755" s="4356"/>
      <c r="F755" s="4354"/>
      <c r="G755" s="4354"/>
      <c r="H755" s="4354"/>
      <c r="I755" s="4387" t="str">
        <f t="shared" si="62"/>
        <v>NO</v>
      </c>
      <c r="J755" s="4387" t="str">
        <f t="shared" si="62"/>
        <v>NO</v>
      </c>
      <c r="K755" s="4354"/>
      <c r="L755" s="4354"/>
      <c r="M755" s="4354"/>
    </row>
    <row r="756" spans="1:13" ht="18" thickBot="1" x14ac:dyDescent="0.3">
      <c r="A756" s="4354"/>
      <c r="B756" s="4766" t="s">
        <v>362</v>
      </c>
      <c r="C756" s="4676" t="s">
        <v>751</v>
      </c>
      <c r="D756" s="4753" t="str">
        <f t="shared" si="64"/>
        <v>m3</v>
      </c>
      <c r="E756" s="4753" t="s">
        <v>749</v>
      </c>
      <c r="F756" s="4754" t="s">
        <v>749</v>
      </c>
      <c r="G756" s="4655" t="s">
        <v>749</v>
      </c>
      <c r="H756" s="4354"/>
      <c r="I756" s="4387" t="str">
        <f t="shared" si="62"/>
        <v>NO</v>
      </c>
      <c r="J756" s="4387" t="str">
        <f t="shared" si="62"/>
        <v>NO</v>
      </c>
      <c r="K756" s="4354"/>
      <c r="L756" s="4354"/>
      <c r="M756" s="4354"/>
    </row>
    <row r="757" spans="1:13" ht="17.100000000000001" customHeight="1" x14ac:dyDescent="0.25">
      <c r="A757" s="4354"/>
      <c r="B757" s="4767">
        <v>1990</v>
      </c>
      <c r="C757" s="5088" t="s">
        <v>748</v>
      </c>
      <c r="D757" s="4768">
        <f>IF($D$3=$E$3,E757,IF($D$3=$F$3,F757,IF($D$3=$G$3,G757,"-")))</f>
        <v>339361.22093000001</v>
      </c>
      <c r="E757" s="4769">
        <f>Table4.Gs2_2018!B40</f>
        <v>339361.22093000001</v>
      </c>
      <c r="F757" s="4770">
        <f>Table4.Gs2_2019!B40</f>
        <v>339361.22093000001</v>
      </c>
      <c r="G757" s="4522">
        <f>Table4.Gs2_2020!B40</f>
        <v>339361.22093000001</v>
      </c>
      <c r="H757" s="4354"/>
      <c r="I757" s="4387">
        <f t="shared" si="62"/>
        <v>0</v>
      </c>
      <c r="J757" s="4387">
        <f t="shared" si="62"/>
        <v>0</v>
      </c>
      <c r="K757" s="4354"/>
      <c r="L757" s="4354"/>
      <c r="M757" s="4354"/>
    </row>
    <row r="758" spans="1:13" x14ac:dyDescent="0.25">
      <c r="A758" s="4354"/>
      <c r="B758" s="4771">
        <v>1991</v>
      </c>
      <c r="C758" s="5089"/>
      <c r="D758" s="4772">
        <f t="shared" ref="D758:D821" si="65">IF($D$3=$E$3,E758,IF($D$3=$F$3,F758,IF($D$3=$G$3,G758,"-")))</f>
        <v>264951.14730999997</v>
      </c>
      <c r="E758" s="4773">
        <f>Table4.Gs2_2018!B41</f>
        <v>264951.14730999997</v>
      </c>
      <c r="F758" s="4774">
        <f>Table4.Gs2_2019!B41</f>
        <v>264951.14730999997</v>
      </c>
      <c r="G758" s="4525">
        <f>Table4.Gs2_2020!B41</f>
        <v>264951.14730999997</v>
      </c>
      <c r="H758" s="4354"/>
      <c r="I758" s="4387">
        <f t="shared" si="62"/>
        <v>0</v>
      </c>
      <c r="J758" s="4387">
        <f t="shared" si="62"/>
        <v>0</v>
      </c>
      <c r="K758" s="4354"/>
      <c r="L758" s="4354"/>
      <c r="M758" s="4354"/>
    </row>
    <row r="759" spans="1:13" x14ac:dyDescent="0.25">
      <c r="A759" s="4354"/>
      <c r="B759" s="4771">
        <v>1992</v>
      </c>
      <c r="C759" s="5089"/>
      <c r="D759" s="4772">
        <f t="shared" si="65"/>
        <v>293062.29751</v>
      </c>
      <c r="E759" s="4773">
        <f>Table4.Gs2_2018!B42</f>
        <v>293062.29751</v>
      </c>
      <c r="F759" s="4774">
        <f>Table4.Gs2_2019!B42</f>
        <v>293062.29751</v>
      </c>
      <c r="G759" s="4525">
        <f>Table4.Gs2_2020!B42</f>
        <v>293062.29751</v>
      </c>
      <c r="H759" s="4354"/>
      <c r="I759" s="4387">
        <f t="shared" si="62"/>
        <v>0</v>
      </c>
      <c r="J759" s="4387">
        <f t="shared" si="62"/>
        <v>0</v>
      </c>
      <c r="K759" s="4354"/>
      <c r="L759" s="4354"/>
      <c r="M759" s="4354"/>
    </row>
    <row r="760" spans="1:13" x14ac:dyDescent="0.25">
      <c r="A760" s="4354"/>
      <c r="B760" s="4771">
        <v>1993</v>
      </c>
      <c r="C760" s="5089"/>
      <c r="D760" s="4772">
        <f t="shared" si="65"/>
        <v>362455.97227999999</v>
      </c>
      <c r="E760" s="4773">
        <f>Table4.Gs2_2018!B43</f>
        <v>362455.97227999999</v>
      </c>
      <c r="F760" s="4774">
        <f>Table4.Gs2_2019!B43</f>
        <v>362455.97227999999</v>
      </c>
      <c r="G760" s="4525">
        <f>Table4.Gs2_2020!B43</f>
        <v>362455.97227999999</v>
      </c>
      <c r="H760" s="4354"/>
      <c r="I760" s="4387">
        <f t="shared" si="62"/>
        <v>0</v>
      </c>
      <c r="J760" s="4387">
        <f t="shared" si="62"/>
        <v>0</v>
      </c>
      <c r="K760" s="4354"/>
      <c r="L760" s="4354"/>
      <c r="M760" s="4354"/>
    </row>
    <row r="761" spans="1:13" x14ac:dyDescent="0.25">
      <c r="A761" s="4354"/>
      <c r="B761" s="4771">
        <v>1994</v>
      </c>
      <c r="C761" s="5089"/>
      <c r="D761" s="4772">
        <f t="shared" si="65"/>
        <v>384594.23787999997</v>
      </c>
      <c r="E761" s="4773">
        <f>Table4.Gs2_2018!B44</f>
        <v>384594.23787999997</v>
      </c>
      <c r="F761" s="4774">
        <f>Table4.Gs2_2019!B44</f>
        <v>384594.23787999997</v>
      </c>
      <c r="G761" s="4525">
        <f>Table4.Gs2_2020!B44</f>
        <v>384594.23787999997</v>
      </c>
      <c r="H761" s="4354"/>
      <c r="I761" s="4387">
        <f t="shared" si="62"/>
        <v>0</v>
      </c>
      <c r="J761" s="4387">
        <f t="shared" si="62"/>
        <v>0</v>
      </c>
      <c r="K761" s="4354"/>
      <c r="L761" s="4354"/>
      <c r="M761" s="4354"/>
    </row>
    <row r="762" spans="1:13" x14ac:dyDescent="0.25">
      <c r="A762" s="4354"/>
      <c r="B762" s="4771">
        <v>1995</v>
      </c>
      <c r="C762" s="5089"/>
      <c r="D762" s="4772">
        <f t="shared" si="65"/>
        <v>398208.91083000001</v>
      </c>
      <c r="E762" s="4773">
        <f>Table4.Gs2_2018!B45</f>
        <v>398208.91083000001</v>
      </c>
      <c r="F762" s="4774">
        <f>Table4.Gs2_2019!B45</f>
        <v>398208.91083000001</v>
      </c>
      <c r="G762" s="4525">
        <f>Table4.Gs2_2020!B45</f>
        <v>398208.91083000001</v>
      </c>
      <c r="H762" s="4354"/>
      <c r="I762" s="4387">
        <f t="shared" si="62"/>
        <v>0</v>
      </c>
      <c r="J762" s="4387">
        <f t="shared" si="62"/>
        <v>0</v>
      </c>
      <c r="K762" s="4354"/>
      <c r="L762" s="4354"/>
      <c r="M762" s="4354"/>
    </row>
    <row r="763" spans="1:13" x14ac:dyDescent="0.25">
      <c r="A763" s="4354"/>
      <c r="B763" s="4771">
        <v>1996</v>
      </c>
      <c r="C763" s="5089"/>
      <c r="D763" s="4772">
        <f t="shared" si="65"/>
        <v>456925.52717999998</v>
      </c>
      <c r="E763" s="4773">
        <f>Table4.Gs2_2018!B46</f>
        <v>456925.52717999998</v>
      </c>
      <c r="F763" s="4774">
        <f>Table4.Gs2_2019!B46</f>
        <v>456925.52717999998</v>
      </c>
      <c r="G763" s="4525">
        <f>Table4.Gs2_2020!B46</f>
        <v>456925.52717999998</v>
      </c>
      <c r="H763" s="4354"/>
      <c r="I763" s="4387">
        <f t="shared" si="62"/>
        <v>0</v>
      </c>
      <c r="J763" s="4387">
        <f t="shared" si="62"/>
        <v>0</v>
      </c>
      <c r="K763" s="4354"/>
      <c r="L763" s="4354"/>
      <c r="M763" s="4354"/>
    </row>
    <row r="764" spans="1:13" x14ac:dyDescent="0.25">
      <c r="A764" s="4354"/>
      <c r="B764" s="4771">
        <v>1997</v>
      </c>
      <c r="C764" s="5089"/>
      <c r="D764" s="4772">
        <f t="shared" si="65"/>
        <v>500541.25858000002</v>
      </c>
      <c r="E764" s="4773">
        <f>Table4.Gs2_2018!B47</f>
        <v>500541.25858000002</v>
      </c>
      <c r="F764" s="4774">
        <f>Table4.Gs2_2019!B47</f>
        <v>500541.25858000002</v>
      </c>
      <c r="G764" s="4525">
        <f>Table4.Gs2_2020!B47</f>
        <v>500541.25858000002</v>
      </c>
      <c r="H764" s="4354"/>
      <c r="I764" s="4387">
        <f t="shared" si="62"/>
        <v>0</v>
      </c>
      <c r="J764" s="4387">
        <f t="shared" si="62"/>
        <v>0</v>
      </c>
      <c r="K764" s="4354"/>
      <c r="L764" s="4354"/>
      <c r="M764" s="4354"/>
    </row>
    <row r="765" spans="1:13" x14ac:dyDescent="0.25">
      <c r="A765" s="4354"/>
      <c r="B765" s="4771">
        <v>1998</v>
      </c>
      <c r="C765" s="5089"/>
      <c r="D765" s="4772">
        <f t="shared" si="65"/>
        <v>443284.67806000001</v>
      </c>
      <c r="E765" s="4773">
        <f>Table4.Gs2_2018!B48</f>
        <v>443284.67806000001</v>
      </c>
      <c r="F765" s="4774">
        <f>Table4.Gs2_2019!B48</f>
        <v>443284.67806000001</v>
      </c>
      <c r="G765" s="4525">
        <f>Table4.Gs2_2020!B48</f>
        <v>443284.67806000001</v>
      </c>
      <c r="H765" s="4354"/>
      <c r="I765" s="4387">
        <f t="shared" si="62"/>
        <v>0</v>
      </c>
      <c r="J765" s="4387">
        <f t="shared" si="62"/>
        <v>0</v>
      </c>
      <c r="K765" s="4354"/>
      <c r="L765" s="4354"/>
      <c r="M765" s="4354"/>
    </row>
    <row r="766" spans="1:13" x14ac:dyDescent="0.25">
      <c r="A766" s="4354"/>
      <c r="B766" s="4771">
        <v>1999</v>
      </c>
      <c r="C766" s="5089"/>
      <c r="D766" s="4772">
        <f t="shared" si="65"/>
        <v>441924.20535</v>
      </c>
      <c r="E766" s="4773">
        <f>Table4.Gs2_2018!B49</f>
        <v>441924.20535</v>
      </c>
      <c r="F766" s="4774">
        <f>Table4.Gs2_2019!B49</f>
        <v>441924.20535</v>
      </c>
      <c r="G766" s="4525">
        <f>Table4.Gs2_2020!B49</f>
        <v>441924.20535</v>
      </c>
      <c r="H766" s="4354"/>
      <c r="I766" s="4387">
        <f t="shared" si="62"/>
        <v>0</v>
      </c>
      <c r="J766" s="4387">
        <f t="shared" si="62"/>
        <v>0</v>
      </c>
      <c r="K766" s="4354"/>
      <c r="L766" s="4354"/>
      <c r="M766" s="4354"/>
    </row>
    <row r="767" spans="1:13" x14ac:dyDescent="0.25">
      <c r="A767" s="4354"/>
      <c r="B767" s="4771">
        <v>2000</v>
      </c>
      <c r="C767" s="5089"/>
      <c r="D767" s="4772">
        <f t="shared" si="65"/>
        <v>411572.85252999997</v>
      </c>
      <c r="E767" s="4773">
        <f>Table4.Gs2_2018!B50</f>
        <v>411572.85252999997</v>
      </c>
      <c r="F767" s="4774">
        <f>Table4.Gs2_2019!B50</f>
        <v>411572.85252999997</v>
      </c>
      <c r="G767" s="4525">
        <f>Table4.Gs2_2020!B50</f>
        <v>411572.85252999997</v>
      </c>
      <c r="H767" s="4354"/>
      <c r="I767" s="4387">
        <f t="shared" si="62"/>
        <v>0</v>
      </c>
      <c r="J767" s="4387">
        <f t="shared" si="62"/>
        <v>0</v>
      </c>
      <c r="K767" s="4354"/>
      <c r="L767" s="4354"/>
      <c r="M767" s="4354"/>
    </row>
    <row r="768" spans="1:13" x14ac:dyDescent="0.25">
      <c r="A768" s="4354"/>
      <c r="B768" s="4771">
        <v>2001</v>
      </c>
      <c r="C768" s="5089"/>
      <c r="D768" s="4772">
        <f t="shared" si="65"/>
        <v>328396.21136999998</v>
      </c>
      <c r="E768" s="4773">
        <f>Table4.Gs2_2018!B51</f>
        <v>328396.21136999998</v>
      </c>
      <c r="F768" s="4774">
        <f>Table4.Gs2_2019!B51</f>
        <v>328396.21136999998</v>
      </c>
      <c r="G768" s="4525">
        <f>Table4.Gs2_2020!B51</f>
        <v>328396.21136999998</v>
      </c>
      <c r="H768" s="4354"/>
      <c r="I768" s="4387">
        <f t="shared" si="62"/>
        <v>0</v>
      </c>
      <c r="J768" s="4387">
        <f t="shared" si="62"/>
        <v>0</v>
      </c>
      <c r="K768" s="4354"/>
      <c r="L768" s="4354"/>
      <c r="M768" s="4354"/>
    </row>
    <row r="769" spans="1:13" x14ac:dyDescent="0.25">
      <c r="A769" s="4354"/>
      <c r="B769" s="4771">
        <v>2002</v>
      </c>
      <c r="C769" s="5089"/>
      <c r="D769" s="4772">
        <f t="shared" si="65"/>
        <v>270229.17060000001</v>
      </c>
      <c r="E769" s="4773">
        <f>Table4.Gs2_2018!B52</f>
        <v>270229.17060000001</v>
      </c>
      <c r="F769" s="4774">
        <f>Table4.Gs2_2019!B52</f>
        <v>270229.17060000001</v>
      </c>
      <c r="G769" s="4525">
        <f>Table4.Gs2_2020!B52</f>
        <v>270229.17060000001</v>
      </c>
      <c r="H769" s="4354"/>
      <c r="I769" s="4387">
        <f t="shared" si="62"/>
        <v>0</v>
      </c>
      <c r="J769" s="4387">
        <f t="shared" si="62"/>
        <v>0</v>
      </c>
      <c r="K769" s="4354"/>
      <c r="L769" s="4354"/>
      <c r="M769" s="4354"/>
    </row>
    <row r="770" spans="1:13" x14ac:dyDescent="0.25">
      <c r="A770" s="4354"/>
      <c r="B770" s="4771">
        <v>2003</v>
      </c>
      <c r="C770" s="5089"/>
      <c r="D770" s="4772">
        <f t="shared" si="65"/>
        <v>309128.22749000002</v>
      </c>
      <c r="E770" s="4773">
        <f>Table4.Gs2_2018!B53</f>
        <v>309128.22749000002</v>
      </c>
      <c r="F770" s="4774">
        <f>Table4.Gs2_2019!B53</f>
        <v>309128.22749000002</v>
      </c>
      <c r="G770" s="4525">
        <f>Table4.Gs2_2020!B53</f>
        <v>309128.22749000002</v>
      </c>
      <c r="H770" s="4354"/>
      <c r="I770" s="4387">
        <f t="shared" si="62"/>
        <v>0</v>
      </c>
      <c r="J770" s="4387">
        <f t="shared" si="62"/>
        <v>0</v>
      </c>
      <c r="K770" s="4354"/>
      <c r="L770" s="4354"/>
      <c r="M770" s="4354"/>
    </row>
    <row r="771" spans="1:13" x14ac:dyDescent="0.25">
      <c r="A771" s="4354"/>
      <c r="B771" s="4771">
        <v>2004</v>
      </c>
      <c r="C771" s="5089"/>
      <c r="D771" s="4772">
        <f t="shared" si="65"/>
        <v>275317.00290999998</v>
      </c>
      <c r="E771" s="4773">
        <f>Table4.Gs2_2018!B54</f>
        <v>275317.00290999998</v>
      </c>
      <c r="F771" s="4774">
        <f>Table4.Gs2_2019!B54</f>
        <v>275317.00290999998</v>
      </c>
      <c r="G771" s="4525">
        <f>Table4.Gs2_2020!B54</f>
        <v>275317.00290999998</v>
      </c>
      <c r="H771" s="4354"/>
      <c r="I771" s="4387">
        <f t="shared" si="62"/>
        <v>0</v>
      </c>
      <c r="J771" s="4387">
        <f t="shared" si="62"/>
        <v>0</v>
      </c>
      <c r="K771" s="4354"/>
      <c r="L771" s="4354"/>
      <c r="M771" s="4354"/>
    </row>
    <row r="772" spans="1:13" x14ac:dyDescent="0.25">
      <c r="A772" s="4354"/>
      <c r="B772" s="4771">
        <v>2005</v>
      </c>
      <c r="C772" s="5089"/>
      <c r="D772" s="4772">
        <f t="shared" si="65"/>
        <v>312454.51329999999</v>
      </c>
      <c r="E772" s="4773">
        <f>Table4.Gs2_2018!B55</f>
        <v>312454.51329999999</v>
      </c>
      <c r="F772" s="4774">
        <f>Table4.Gs2_2019!B55</f>
        <v>312454.51329999999</v>
      </c>
      <c r="G772" s="4525">
        <f>Table4.Gs2_2020!B55</f>
        <v>312454.51329999999</v>
      </c>
      <c r="H772" s="4354"/>
      <c r="I772" s="4387">
        <f t="shared" si="62"/>
        <v>0</v>
      </c>
      <c r="J772" s="4387">
        <f t="shared" si="62"/>
        <v>0</v>
      </c>
      <c r="K772" s="4354"/>
      <c r="L772" s="4354"/>
      <c r="M772" s="4354"/>
    </row>
    <row r="773" spans="1:13" x14ac:dyDescent="0.25">
      <c r="A773" s="4354"/>
      <c r="B773" s="4771">
        <v>2006</v>
      </c>
      <c r="C773" s="5089"/>
      <c r="D773" s="4772">
        <f t="shared" si="65"/>
        <v>314735.21117000002</v>
      </c>
      <c r="E773" s="4773">
        <f>Table4.Gs2_2018!B56</f>
        <v>314735.21117000002</v>
      </c>
      <c r="F773" s="4774">
        <f>Table4.Gs2_2019!B56</f>
        <v>314735.21117000002</v>
      </c>
      <c r="G773" s="4525">
        <f>Table4.Gs2_2020!B56</f>
        <v>314735.21117000002</v>
      </c>
      <c r="H773" s="4354"/>
      <c r="I773" s="4387">
        <f t="shared" si="62"/>
        <v>0</v>
      </c>
      <c r="J773" s="4387">
        <f t="shared" si="62"/>
        <v>0</v>
      </c>
      <c r="K773" s="4354"/>
      <c r="L773" s="4354"/>
      <c r="M773" s="4354"/>
    </row>
    <row r="774" spans="1:13" x14ac:dyDescent="0.25">
      <c r="A774" s="4354"/>
      <c r="B774" s="4771">
        <v>2007</v>
      </c>
      <c r="C774" s="5089"/>
      <c r="D774" s="4772">
        <f t="shared" si="65"/>
        <v>317015.90904</v>
      </c>
      <c r="E774" s="4773">
        <f>Table4.Gs2_2018!B57</f>
        <v>317015.90904</v>
      </c>
      <c r="F774" s="4774">
        <f>Table4.Gs2_2019!B57</f>
        <v>317015.90904</v>
      </c>
      <c r="G774" s="4525">
        <f>Table4.Gs2_2020!B57</f>
        <v>317015.90904</v>
      </c>
      <c r="H774" s="4354"/>
      <c r="I774" s="4387">
        <f t="shared" si="62"/>
        <v>0</v>
      </c>
      <c r="J774" s="4387">
        <f t="shared" si="62"/>
        <v>0</v>
      </c>
      <c r="K774" s="4354"/>
      <c r="L774" s="4354"/>
      <c r="M774" s="4354"/>
    </row>
    <row r="775" spans="1:13" x14ac:dyDescent="0.25">
      <c r="A775" s="4354"/>
      <c r="B775" s="4771">
        <v>2008</v>
      </c>
      <c r="C775" s="5089"/>
      <c r="D775" s="4772">
        <f t="shared" si="65"/>
        <v>324759.82900999999</v>
      </c>
      <c r="E775" s="4773">
        <f>Table4.Gs2_2018!B58</f>
        <v>324759.82900999999</v>
      </c>
      <c r="F775" s="4774">
        <f>Table4.Gs2_2019!B58</f>
        <v>324759.82900999999</v>
      </c>
      <c r="G775" s="4525">
        <f>Table4.Gs2_2020!B58</f>
        <v>324759.82900999999</v>
      </c>
      <c r="H775" s="4354"/>
      <c r="I775" s="4387">
        <f t="shared" si="62"/>
        <v>0</v>
      </c>
      <c r="J775" s="4387">
        <f t="shared" si="62"/>
        <v>0</v>
      </c>
      <c r="K775" s="4354"/>
      <c r="L775" s="4354"/>
      <c r="M775" s="4354"/>
    </row>
    <row r="776" spans="1:13" x14ac:dyDescent="0.25">
      <c r="A776" s="4354"/>
      <c r="B776" s="4771">
        <v>2009</v>
      </c>
      <c r="C776" s="5089"/>
      <c r="D776" s="4772">
        <f t="shared" si="65"/>
        <v>332503.74897999997</v>
      </c>
      <c r="E776" s="4773">
        <f>Table4.Gs2_2018!B59</f>
        <v>332503.74897999997</v>
      </c>
      <c r="F776" s="4774">
        <f>Table4.Gs2_2019!B59</f>
        <v>332503.74897999997</v>
      </c>
      <c r="G776" s="4525">
        <f>Table4.Gs2_2020!B59</f>
        <v>332503.74897999997</v>
      </c>
      <c r="H776" s="4354"/>
      <c r="I776" s="4387">
        <f t="shared" si="62"/>
        <v>0</v>
      </c>
      <c r="J776" s="4387">
        <f t="shared" si="62"/>
        <v>0</v>
      </c>
      <c r="K776" s="4354"/>
      <c r="L776" s="4354"/>
      <c r="M776" s="4354"/>
    </row>
    <row r="777" spans="1:13" x14ac:dyDescent="0.25">
      <c r="A777" s="4354"/>
      <c r="B777" s="4771">
        <v>2010</v>
      </c>
      <c r="C777" s="5089"/>
      <c r="D777" s="4772">
        <f t="shared" si="65"/>
        <v>340247.66895000002</v>
      </c>
      <c r="E777" s="4773">
        <f>Table4.Gs2_2018!B60</f>
        <v>340247.66895000002</v>
      </c>
      <c r="F777" s="4774">
        <f>Table4.Gs2_2019!B60</f>
        <v>340247.66895000002</v>
      </c>
      <c r="G777" s="4525">
        <f>Table4.Gs2_2020!B60</f>
        <v>340247.66895000002</v>
      </c>
      <c r="H777" s="4354"/>
      <c r="I777" s="4387">
        <f t="shared" si="62"/>
        <v>0</v>
      </c>
      <c r="J777" s="4387">
        <f t="shared" si="62"/>
        <v>0</v>
      </c>
      <c r="K777" s="4354"/>
      <c r="L777" s="4354"/>
      <c r="M777" s="4354"/>
    </row>
    <row r="778" spans="1:13" x14ac:dyDescent="0.25">
      <c r="A778" s="4354"/>
      <c r="B778" s="4771">
        <v>2011</v>
      </c>
      <c r="C778" s="5089"/>
      <c r="D778" s="4772">
        <f t="shared" si="65"/>
        <v>357748.5</v>
      </c>
      <c r="E778" s="4773">
        <f>Table4.Gs2_2018!B61</f>
        <v>357748.5</v>
      </c>
      <c r="F778" s="4774">
        <f>Table4.Gs2_2019!B61</f>
        <v>357748.5</v>
      </c>
      <c r="G778" s="4525">
        <f>Table4.Gs2_2020!B61</f>
        <v>357748.5</v>
      </c>
      <c r="H778" s="4354"/>
      <c r="I778" s="4387">
        <f t="shared" si="62"/>
        <v>0</v>
      </c>
      <c r="J778" s="4387">
        <f t="shared" si="62"/>
        <v>0</v>
      </c>
      <c r="K778" s="4354"/>
      <c r="L778" s="4354"/>
      <c r="M778" s="4354"/>
    </row>
    <row r="779" spans="1:13" x14ac:dyDescent="0.25">
      <c r="A779" s="4354"/>
      <c r="B779" s="4771">
        <v>2012</v>
      </c>
      <c r="C779" s="5089"/>
      <c r="D779" s="4772">
        <f t="shared" si="65"/>
        <v>353762</v>
      </c>
      <c r="E779" s="4773">
        <f>Table4.Gs2_2018!B62</f>
        <v>353762</v>
      </c>
      <c r="F779" s="4774">
        <f>Table4.Gs2_2019!B62</f>
        <v>353762</v>
      </c>
      <c r="G779" s="4525">
        <f>Table4.Gs2_2020!B62</f>
        <v>353762</v>
      </c>
      <c r="H779" s="4354"/>
      <c r="I779" s="4387">
        <f t="shared" si="62"/>
        <v>0</v>
      </c>
      <c r="J779" s="4387">
        <f t="shared" si="62"/>
        <v>0</v>
      </c>
      <c r="K779" s="4354"/>
      <c r="L779" s="4354"/>
      <c r="M779" s="4354"/>
    </row>
    <row r="780" spans="1:13" x14ac:dyDescent="0.25">
      <c r="A780" s="4354"/>
      <c r="B780" s="4771">
        <v>2013</v>
      </c>
      <c r="C780" s="5089"/>
      <c r="D780" s="4772">
        <f t="shared" si="65"/>
        <v>357602</v>
      </c>
      <c r="E780" s="4773">
        <f>Table4.Gs2_2018!B63</f>
        <v>357602</v>
      </c>
      <c r="F780" s="4774">
        <f>Table4.Gs2_2019!B63</f>
        <v>357602</v>
      </c>
      <c r="G780" s="4525">
        <f>Table4.Gs2_2020!B63</f>
        <v>357602</v>
      </c>
      <c r="H780" s="4354"/>
      <c r="I780" s="4387">
        <f t="shared" si="62"/>
        <v>0</v>
      </c>
      <c r="J780" s="4387">
        <f t="shared" si="62"/>
        <v>0</v>
      </c>
      <c r="K780" s="4354"/>
      <c r="L780" s="4354"/>
      <c r="M780" s="4354"/>
    </row>
    <row r="781" spans="1:13" x14ac:dyDescent="0.25">
      <c r="A781" s="4354"/>
      <c r="B781" s="4771">
        <v>2014</v>
      </c>
      <c r="C781" s="5089"/>
      <c r="D781" s="4772">
        <f t="shared" si="65"/>
        <v>415219.66126000002</v>
      </c>
      <c r="E781" s="4773">
        <f>Table4.Gs2_2018!B64</f>
        <v>415219.66126000002</v>
      </c>
      <c r="F781" s="4774">
        <f>Table4.Gs2_2019!B64</f>
        <v>415219.66126000002</v>
      </c>
      <c r="G781" s="4525">
        <f>Table4.Gs2_2020!B64</f>
        <v>415219.66126000002</v>
      </c>
      <c r="H781" s="4354"/>
      <c r="I781" s="4387">
        <f t="shared" si="62"/>
        <v>0</v>
      </c>
      <c r="J781" s="4387">
        <f t="shared" si="62"/>
        <v>0</v>
      </c>
      <c r="K781" s="4354"/>
      <c r="L781" s="4354"/>
      <c r="M781" s="4354"/>
    </row>
    <row r="782" spans="1:13" x14ac:dyDescent="0.25">
      <c r="A782" s="4354"/>
      <c r="B782" s="4771">
        <v>2015</v>
      </c>
      <c r="C782" s="5089"/>
      <c r="D782" s="4772">
        <f t="shared" si="65"/>
        <v>427699.74852000002</v>
      </c>
      <c r="E782" s="4773">
        <f>Table4.Gs2_2018!B65</f>
        <v>427699.74852000002</v>
      </c>
      <c r="F782" s="4774">
        <f>Table4.Gs2_2019!B65</f>
        <v>427699.74852000002</v>
      </c>
      <c r="G782" s="4525">
        <f>Table4.Gs2_2020!B65</f>
        <v>427699.74852000002</v>
      </c>
      <c r="H782" s="4354"/>
      <c r="I782" s="4387">
        <f t="shared" si="62"/>
        <v>0</v>
      </c>
      <c r="J782" s="4387">
        <f t="shared" si="62"/>
        <v>0</v>
      </c>
      <c r="K782" s="4354"/>
      <c r="L782" s="4354"/>
      <c r="M782" s="4354"/>
    </row>
    <row r="783" spans="1:13" x14ac:dyDescent="0.25">
      <c r="A783" s="4354"/>
      <c r="B783" s="4771">
        <v>2016</v>
      </c>
      <c r="C783" s="5089"/>
      <c r="D783" s="4772">
        <f t="shared" si="65"/>
        <v>448401.01948999998</v>
      </c>
      <c r="E783" s="4773">
        <f>Table4.Gs2_2018!B66</f>
        <v>448401.01948999998</v>
      </c>
      <c r="F783" s="4774">
        <f>Table4.Gs2_2019!B66</f>
        <v>448401.01948999998</v>
      </c>
      <c r="G783" s="4525">
        <f>Table4.Gs2_2020!B66</f>
        <v>448401.01948999998</v>
      </c>
      <c r="H783" s="4354"/>
      <c r="I783" s="4387">
        <f t="shared" si="62"/>
        <v>0</v>
      </c>
      <c r="J783" s="4387">
        <f t="shared" si="62"/>
        <v>0</v>
      </c>
      <c r="K783" s="4354"/>
      <c r="L783" s="4354"/>
      <c r="M783" s="4354"/>
    </row>
    <row r="784" spans="1:13" x14ac:dyDescent="0.25">
      <c r="A784" s="4354"/>
      <c r="B784" s="4771">
        <v>2017</v>
      </c>
      <c r="C784" s="5089"/>
      <c r="D784" s="4772">
        <f t="shared" si="65"/>
        <v>382000</v>
      </c>
      <c r="E784" s="4773">
        <f>Table4.Gs2_2018!B67</f>
        <v>382000</v>
      </c>
      <c r="F784" s="4774">
        <f>Table4.Gs2_2019!B67</f>
        <v>382000</v>
      </c>
      <c r="G784" s="4525">
        <f>Table4.Gs2_2020!B67</f>
        <v>382000</v>
      </c>
      <c r="H784" s="4354"/>
      <c r="I784" s="4387">
        <f t="shared" si="62"/>
        <v>0</v>
      </c>
      <c r="J784" s="4387">
        <f t="shared" si="62"/>
        <v>0</v>
      </c>
      <c r="K784" s="4354"/>
      <c r="L784" s="4354"/>
      <c r="M784" s="4354"/>
    </row>
    <row r="785" spans="1:13" x14ac:dyDescent="0.25">
      <c r="A785" s="4354"/>
      <c r="B785" s="4771">
        <v>2018</v>
      </c>
      <c r="C785" s="5089"/>
      <c r="D785" s="4772">
        <f t="shared" si="65"/>
        <v>270315</v>
      </c>
      <c r="E785" s="4773">
        <f>Table4.Gs2_2018!B68</f>
        <v>270315</v>
      </c>
      <c r="F785" s="4774">
        <f>Table4.Gs2_2019!B68</f>
        <v>270315</v>
      </c>
      <c r="G785" s="4525">
        <f>Table4.Gs2_2020!B68</f>
        <v>270315</v>
      </c>
      <c r="H785" s="4354"/>
      <c r="I785" s="4387">
        <f t="shared" si="62"/>
        <v>0</v>
      </c>
      <c r="J785" s="4387">
        <f t="shared" si="62"/>
        <v>0</v>
      </c>
      <c r="K785" s="4354"/>
      <c r="L785" s="4354"/>
      <c r="M785" s="4354"/>
    </row>
    <row r="786" spans="1:13" x14ac:dyDescent="0.25">
      <c r="A786" s="4499"/>
      <c r="B786" s="4771">
        <v>2019</v>
      </c>
      <c r="C786" s="5089"/>
      <c r="D786" s="4772">
        <f t="shared" si="65"/>
        <v>394267</v>
      </c>
      <c r="E786" s="4775">
        <f>G786</f>
        <v>394267</v>
      </c>
      <c r="F786" s="4774">
        <f>Table4.Gs2_2019!B69</f>
        <v>394267</v>
      </c>
      <c r="G786" s="4525">
        <f>Table4.Gs2_2020!B69</f>
        <v>394267</v>
      </c>
      <c r="H786" s="4354"/>
      <c r="I786" s="4387">
        <f t="shared" si="62"/>
        <v>0</v>
      </c>
      <c r="J786" s="4387">
        <f t="shared" si="62"/>
        <v>0</v>
      </c>
      <c r="K786" s="4354"/>
      <c r="L786" s="4354"/>
      <c r="M786" s="4354"/>
    </row>
    <row r="787" spans="1:13" ht="15.75" thickBot="1" x14ac:dyDescent="0.3">
      <c r="A787" s="4499"/>
      <c r="B787" s="4776">
        <v>2020</v>
      </c>
      <c r="C787" s="5090"/>
      <c r="D787" s="4777">
        <f t="shared" si="65"/>
        <v>469061</v>
      </c>
      <c r="E787" s="4777">
        <f>F787</f>
        <v>469061</v>
      </c>
      <c r="F787" s="4778">
        <f>G787</f>
        <v>469061</v>
      </c>
      <c r="G787" s="4525">
        <f>Table4.Gs2_2020!B70</f>
        <v>469061</v>
      </c>
      <c r="H787" s="4354"/>
      <c r="I787" s="4387">
        <f t="shared" si="62"/>
        <v>0</v>
      </c>
      <c r="J787" s="4387">
        <f t="shared" si="62"/>
        <v>0</v>
      </c>
      <c r="K787" s="4354"/>
      <c r="L787" s="4354"/>
      <c r="M787" s="4354"/>
    </row>
    <row r="788" spans="1:13" x14ac:dyDescent="0.25">
      <c r="A788" s="4499"/>
      <c r="B788" s="4767">
        <v>1990</v>
      </c>
      <c r="C788" s="5088" t="s">
        <v>5255</v>
      </c>
      <c r="D788" s="4438">
        <f t="shared" si="65"/>
        <v>1483000</v>
      </c>
      <c r="E788" s="4757">
        <f>E789</f>
        <v>1483000</v>
      </c>
      <c r="F788" s="4541">
        <f>Table4.Gs2_2019!C40</f>
        <v>1496000</v>
      </c>
      <c r="G788" s="4542">
        <f>Table4.Gs2_2020!C40</f>
        <v>1496000</v>
      </c>
      <c r="H788" s="4354"/>
      <c r="I788" s="4387">
        <f t="shared" si="62"/>
        <v>8.7660148347943351E-3</v>
      </c>
      <c r="J788" s="4387">
        <f t="shared" si="62"/>
        <v>0</v>
      </c>
      <c r="K788" s="4354"/>
      <c r="L788" s="4354"/>
      <c r="M788" s="4354"/>
    </row>
    <row r="789" spans="1:13" x14ac:dyDescent="0.25">
      <c r="A789" s="4354"/>
      <c r="B789" s="4771">
        <v>1991</v>
      </c>
      <c r="C789" s="5089"/>
      <c r="D789" s="4444">
        <f t="shared" si="65"/>
        <v>1483000</v>
      </c>
      <c r="E789" s="4779">
        <f>Table4.Gs2_2018!C41</f>
        <v>1483000</v>
      </c>
      <c r="F789" s="4544">
        <f>Table4.Gs2_2019!C41</f>
        <v>1483000</v>
      </c>
      <c r="G789" s="4498">
        <f>Table4.Gs2_2020!C41</f>
        <v>1483000</v>
      </c>
      <c r="H789" s="4354"/>
      <c r="I789" s="4387">
        <f t="shared" si="62"/>
        <v>0</v>
      </c>
      <c r="J789" s="4387">
        <f t="shared" si="62"/>
        <v>0</v>
      </c>
      <c r="K789" s="4354"/>
      <c r="L789" s="4354"/>
      <c r="M789" s="4354"/>
    </row>
    <row r="790" spans="1:13" x14ac:dyDescent="0.25">
      <c r="A790" s="4354"/>
      <c r="B790" s="4771">
        <v>1992</v>
      </c>
      <c r="C790" s="5089"/>
      <c r="D790" s="4444">
        <f t="shared" si="65"/>
        <v>1735833</v>
      </c>
      <c r="E790" s="4779">
        <f>Table4.Gs2_2018!C42</f>
        <v>1735833</v>
      </c>
      <c r="F790" s="4544">
        <f>Table4.Gs2_2019!C42</f>
        <v>1735833</v>
      </c>
      <c r="G790" s="4498">
        <f>Table4.Gs2_2020!C42</f>
        <v>1735833</v>
      </c>
      <c r="H790" s="4354"/>
      <c r="I790" s="4387">
        <f t="shared" si="62"/>
        <v>0</v>
      </c>
      <c r="J790" s="4387">
        <f t="shared" si="62"/>
        <v>0</v>
      </c>
      <c r="K790" s="4354"/>
      <c r="L790" s="4354"/>
      <c r="M790" s="4354"/>
    </row>
    <row r="791" spans="1:13" x14ac:dyDescent="0.25">
      <c r="A791" s="4354"/>
      <c r="B791" s="4771">
        <v>1993</v>
      </c>
      <c r="C791" s="5089"/>
      <c r="D791" s="4444">
        <f t="shared" si="65"/>
        <v>1722000</v>
      </c>
      <c r="E791" s="4779">
        <f>Table4.Gs2_2018!C43</f>
        <v>1722000</v>
      </c>
      <c r="F791" s="4544">
        <f>Table4.Gs2_2019!C43</f>
        <v>1722000</v>
      </c>
      <c r="G791" s="4498">
        <f>Table4.Gs2_2020!C43</f>
        <v>1722000</v>
      </c>
      <c r="H791" s="4354"/>
      <c r="I791" s="4387">
        <f t="shared" si="62"/>
        <v>0</v>
      </c>
      <c r="J791" s="4387">
        <f t="shared" si="62"/>
        <v>0</v>
      </c>
      <c r="K791" s="4354"/>
      <c r="L791" s="4354"/>
      <c r="M791" s="4354"/>
    </row>
    <row r="792" spans="1:13" x14ac:dyDescent="0.25">
      <c r="A792" s="4354"/>
      <c r="B792" s="4771">
        <v>1994</v>
      </c>
      <c r="C792" s="5089"/>
      <c r="D792" s="4444">
        <f t="shared" si="65"/>
        <v>2326000</v>
      </c>
      <c r="E792" s="4779">
        <f>Table4.Gs2_2018!C44</f>
        <v>2326000</v>
      </c>
      <c r="F792" s="4544">
        <f>Table4.Gs2_2019!C44</f>
        <v>2326000</v>
      </c>
      <c r="G792" s="4498">
        <f>Table4.Gs2_2020!C44</f>
        <v>2326000</v>
      </c>
      <c r="H792" s="4354"/>
      <c r="I792" s="4387">
        <f t="shared" si="62"/>
        <v>0</v>
      </c>
      <c r="J792" s="4387">
        <f t="shared" si="62"/>
        <v>0</v>
      </c>
      <c r="K792" s="4354"/>
      <c r="L792" s="4354"/>
      <c r="M792" s="4354"/>
    </row>
    <row r="793" spans="1:13" x14ac:dyDescent="0.25">
      <c r="A793" s="4354"/>
      <c r="B793" s="4771">
        <v>1995</v>
      </c>
      <c r="C793" s="5089"/>
      <c r="D793" s="4444">
        <f t="shared" si="65"/>
        <v>1921000</v>
      </c>
      <c r="E793" s="4779">
        <f>Table4.Gs2_2018!C45</f>
        <v>1921000</v>
      </c>
      <c r="F793" s="4544">
        <f>Table4.Gs2_2019!C45</f>
        <v>1921000</v>
      </c>
      <c r="G793" s="4498">
        <f>Table4.Gs2_2020!C45</f>
        <v>1921000</v>
      </c>
      <c r="H793" s="4354"/>
      <c r="I793" s="4387">
        <f t="shared" si="62"/>
        <v>0</v>
      </c>
      <c r="J793" s="4387">
        <f t="shared" si="62"/>
        <v>0</v>
      </c>
      <c r="K793" s="4354"/>
      <c r="L793" s="4354"/>
      <c r="M793" s="4354"/>
    </row>
    <row r="794" spans="1:13" x14ac:dyDescent="0.25">
      <c r="A794" s="4354"/>
      <c r="B794" s="4771">
        <v>1996</v>
      </c>
      <c r="C794" s="5089"/>
      <c r="D794" s="4444">
        <f t="shared" si="65"/>
        <v>1630000</v>
      </c>
      <c r="E794" s="4779">
        <f>Table4.Gs2_2018!C46</f>
        <v>1630000</v>
      </c>
      <c r="F794" s="4544">
        <f>Table4.Gs2_2019!C46</f>
        <v>1630000</v>
      </c>
      <c r="G794" s="4498">
        <f>Table4.Gs2_2020!C46</f>
        <v>1630000</v>
      </c>
      <c r="H794" s="4354"/>
      <c r="I794" s="4387">
        <f t="shared" si="62"/>
        <v>0</v>
      </c>
      <c r="J794" s="4387">
        <f t="shared" si="62"/>
        <v>0</v>
      </c>
      <c r="K794" s="4354"/>
      <c r="L794" s="4354"/>
      <c r="M794" s="4354"/>
    </row>
    <row r="795" spans="1:13" x14ac:dyDescent="0.25">
      <c r="A795" s="4354"/>
      <c r="B795" s="4771">
        <v>1997</v>
      </c>
      <c r="C795" s="5089"/>
      <c r="D795" s="4444">
        <f t="shared" si="65"/>
        <v>2354000</v>
      </c>
      <c r="E795" s="4779">
        <f>Table4.Gs2_2018!C47</f>
        <v>2354000</v>
      </c>
      <c r="F795" s="4544">
        <f>Table4.Gs2_2019!C47</f>
        <v>2354000</v>
      </c>
      <c r="G795" s="4498">
        <f>Table4.Gs2_2020!C47</f>
        <v>2354000</v>
      </c>
      <c r="H795" s="4354"/>
      <c r="I795" s="4387">
        <f t="shared" ref="I795:J858" si="66">IFERROR(ABS(F795-E795)/E795,"NO")</f>
        <v>0</v>
      </c>
      <c r="J795" s="4387">
        <f t="shared" si="66"/>
        <v>0</v>
      </c>
      <c r="K795" s="4354"/>
      <c r="L795" s="4354"/>
      <c r="M795" s="4354"/>
    </row>
    <row r="796" spans="1:13" x14ac:dyDescent="0.25">
      <c r="A796" s="4354"/>
      <c r="B796" s="4771">
        <v>1998</v>
      </c>
      <c r="C796" s="5089"/>
      <c r="D796" s="4444">
        <f t="shared" si="65"/>
        <v>4383000</v>
      </c>
      <c r="E796" s="4779">
        <f>Table4.Gs2_2018!C48</f>
        <v>4383000</v>
      </c>
      <c r="F796" s="4544">
        <f>Table4.Gs2_2019!C48</f>
        <v>4383000</v>
      </c>
      <c r="G796" s="4498">
        <f>Table4.Gs2_2020!C48</f>
        <v>4383000</v>
      </c>
      <c r="H796" s="4354"/>
      <c r="I796" s="4387">
        <f t="shared" si="66"/>
        <v>0</v>
      </c>
      <c r="J796" s="4387">
        <f t="shared" si="66"/>
        <v>0</v>
      </c>
      <c r="K796" s="4354"/>
      <c r="L796" s="4354"/>
      <c r="M796" s="4354"/>
    </row>
    <row r="797" spans="1:13" x14ac:dyDescent="0.25">
      <c r="A797" s="4354"/>
      <c r="B797" s="4771">
        <v>1999</v>
      </c>
      <c r="C797" s="5089"/>
      <c r="D797" s="4444">
        <f t="shared" si="65"/>
        <v>4744000</v>
      </c>
      <c r="E797" s="4779">
        <f>Table4.Gs2_2018!C49</f>
        <v>4744000</v>
      </c>
      <c r="F797" s="4544">
        <f>Table4.Gs2_2019!C49</f>
        <v>4744000</v>
      </c>
      <c r="G797" s="4498">
        <f>Table4.Gs2_2020!C49</f>
        <v>4744000</v>
      </c>
      <c r="H797" s="4354"/>
      <c r="I797" s="4387">
        <f t="shared" si="66"/>
        <v>0</v>
      </c>
      <c r="J797" s="4387">
        <f t="shared" si="66"/>
        <v>0</v>
      </c>
      <c r="K797" s="4354"/>
      <c r="L797" s="4354"/>
      <c r="M797" s="4354"/>
    </row>
    <row r="798" spans="1:13" x14ac:dyDescent="0.25">
      <c r="A798" s="4354"/>
      <c r="B798" s="4771">
        <v>2000</v>
      </c>
      <c r="C798" s="5089"/>
      <c r="D798" s="4444">
        <f t="shared" si="65"/>
        <v>2925000</v>
      </c>
      <c r="E798" s="4779">
        <f>Table4.Gs2_2018!C50</f>
        <v>2925000</v>
      </c>
      <c r="F798" s="4544">
        <f>Table4.Gs2_2019!C50</f>
        <v>2925000</v>
      </c>
      <c r="G798" s="4498">
        <f>Table4.Gs2_2020!C50</f>
        <v>2925000</v>
      </c>
      <c r="H798" s="4354"/>
      <c r="I798" s="4387">
        <f t="shared" si="66"/>
        <v>0</v>
      </c>
      <c r="J798" s="4387">
        <f t="shared" si="66"/>
        <v>0</v>
      </c>
      <c r="K798" s="4354"/>
      <c r="L798" s="4354"/>
      <c r="M798" s="4354"/>
    </row>
    <row r="799" spans="1:13" x14ac:dyDescent="0.25">
      <c r="A799" s="4354"/>
      <c r="B799" s="4771">
        <v>2001</v>
      </c>
      <c r="C799" s="5089"/>
      <c r="D799" s="4444">
        <f t="shared" si="65"/>
        <v>2659000</v>
      </c>
      <c r="E799" s="4779">
        <f>Table4.Gs2_2018!C51</f>
        <v>2659000</v>
      </c>
      <c r="F799" s="4544">
        <f>Table4.Gs2_2019!C51</f>
        <v>2659000</v>
      </c>
      <c r="G799" s="4498">
        <f>Table4.Gs2_2020!C51</f>
        <v>2659000</v>
      </c>
      <c r="H799" s="4354"/>
      <c r="I799" s="4387">
        <f t="shared" si="66"/>
        <v>0</v>
      </c>
      <c r="J799" s="4387">
        <f t="shared" si="66"/>
        <v>0</v>
      </c>
      <c r="K799" s="4354"/>
      <c r="L799" s="4354"/>
      <c r="M799" s="4354"/>
    </row>
    <row r="800" spans="1:13" x14ac:dyDescent="0.25">
      <c r="A800" s="4354"/>
      <c r="B800" s="4771">
        <v>2002</v>
      </c>
      <c r="C800" s="5089"/>
      <c r="D800" s="4444">
        <f t="shared" si="65"/>
        <v>2679269</v>
      </c>
      <c r="E800" s="4779">
        <f>Table4.Gs2_2018!C52</f>
        <v>2679269</v>
      </c>
      <c r="F800" s="4544">
        <f>Table4.Gs2_2019!C52</f>
        <v>2679269</v>
      </c>
      <c r="G800" s="4498">
        <f>Table4.Gs2_2020!C52</f>
        <v>2679269</v>
      </c>
      <c r="H800" s="4354"/>
      <c r="I800" s="4387">
        <f t="shared" si="66"/>
        <v>0</v>
      </c>
      <c r="J800" s="4387">
        <f t="shared" si="66"/>
        <v>0</v>
      </c>
      <c r="K800" s="4354"/>
      <c r="L800" s="4354"/>
      <c r="M800" s="4354"/>
    </row>
    <row r="801" spans="1:13" x14ac:dyDescent="0.25">
      <c r="A801" s="4354"/>
      <c r="B801" s="4771">
        <v>2003</v>
      </c>
      <c r="C801" s="5089"/>
      <c r="D801" s="4444">
        <f t="shared" si="65"/>
        <v>2301681</v>
      </c>
      <c r="E801" s="4779">
        <f>Table4.Gs2_2018!C53</f>
        <v>2301681</v>
      </c>
      <c r="F801" s="4544">
        <f>Table4.Gs2_2019!C53</f>
        <v>2301681</v>
      </c>
      <c r="G801" s="4498">
        <f>Table4.Gs2_2020!C53</f>
        <v>2301681</v>
      </c>
      <c r="H801" s="4354"/>
      <c r="I801" s="4387">
        <f t="shared" si="66"/>
        <v>0</v>
      </c>
      <c r="J801" s="4387">
        <f t="shared" si="66"/>
        <v>0</v>
      </c>
      <c r="K801" s="4354"/>
      <c r="L801" s="4354"/>
      <c r="M801" s="4354"/>
    </row>
    <row r="802" spans="1:13" x14ac:dyDescent="0.25">
      <c r="A802" s="4354"/>
      <c r="B802" s="4771">
        <v>2004</v>
      </c>
      <c r="C802" s="5089"/>
      <c r="D802" s="4444">
        <f t="shared" si="65"/>
        <v>2350616</v>
      </c>
      <c r="E802" s="4779">
        <f>Table4.Gs2_2018!C54</f>
        <v>2350616</v>
      </c>
      <c r="F802" s="4544">
        <f>Table4.Gs2_2019!C54</f>
        <v>2350616</v>
      </c>
      <c r="G802" s="4498">
        <f>Table4.Gs2_2020!C54</f>
        <v>2350616</v>
      </c>
      <c r="H802" s="4354"/>
      <c r="I802" s="4387">
        <f t="shared" si="66"/>
        <v>0</v>
      </c>
      <c r="J802" s="4387">
        <f t="shared" si="66"/>
        <v>0</v>
      </c>
      <c r="K802" s="4354"/>
      <c r="L802" s="4354"/>
      <c r="M802" s="4354"/>
    </row>
    <row r="803" spans="1:13" x14ac:dyDescent="0.25">
      <c r="A803" s="4354"/>
      <c r="B803" s="4771">
        <v>2005</v>
      </c>
      <c r="C803" s="5089"/>
      <c r="D803" s="4444">
        <f t="shared" si="65"/>
        <v>2200547</v>
      </c>
      <c r="E803" s="4779">
        <f>Table4.Gs2_2018!C55</f>
        <v>2200547</v>
      </c>
      <c r="F803" s="4544">
        <f>Table4.Gs2_2019!C55</f>
        <v>2200547</v>
      </c>
      <c r="G803" s="4498">
        <f>Table4.Gs2_2020!C55</f>
        <v>2200547</v>
      </c>
      <c r="H803" s="4354"/>
      <c r="I803" s="4387">
        <f t="shared" si="66"/>
        <v>0</v>
      </c>
      <c r="J803" s="4387">
        <f t="shared" si="66"/>
        <v>0</v>
      </c>
      <c r="K803" s="4354"/>
      <c r="L803" s="4354"/>
      <c r="M803" s="4354"/>
    </row>
    <row r="804" spans="1:13" x14ac:dyDescent="0.25">
      <c r="A804" s="4354"/>
      <c r="B804" s="4771">
        <v>2006</v>
      </c>
      <c r="C804" s="5089"/>
      <c r="D804" s="4444">
        <f t="shared" si="65"/>
        <v>2650861</v>
      </c>
      <c r="E804" s="4779">
        <f>Table4.Gs2_2018!C56</f>
        <v>2650861</v>
      </c>
      <c r="F804" s="4544">
        <f>Table4.Gs2_2019!C56</f>
        <v>2650861</v>
      </c>
      <c r="G804" s="4498">
        <f>Table4.Gs2_2020!C56</f>
        <v>2650861</v>
      </c>
      <c r="H804" s="4354"/>
      <c r="I804" s="4387">
        <f t="shared" si="66"/>
        <v>0</v>
      </c>
      <c r="J804" s="4387">
        <f t="shared" si="66"/>
        <v>0</v>
      </c>
      <c r="K804" s="4354"/>
      <c r="L804" s="4354"/>
      <c r="M804" s="4354"/>
    </row>
    <row r="805" spans="1:13" x14ac:dyDescent="0.25">
      <c r="A805" s="4354"/>
      <c r="B805" s="4771">
        <v>2007</v>
      </c>
      <c r="C805" s="5089"/>
      <c r="D805" s="4444">
        <f t="shared" si="65"/>
        <v>2298201</v>
      </c>
      <c r="E805" s="4779">
        <f>Table4.Gs2_2018!C57</f>
        <v>2298201</v>
      </c>
      <c r="F805" s="4544">
        <f>Table4.Gs2_2019!C57</f>
        <v>2298201</v>
      </c>
      <c r="G805" s="4498">
        <f>Table4.Gs2_2020!C57</f>
        <v>2298201</v>
      </c>
      <c r="H805" s="4354"/>
      <c r="I805" s="4387">
        <f t="shared" si="66"/>
        <v>0</v>
      </c>
      <c r="J805" s="4387">
        <f t="shared" si="66"/>
        <v>0</v>
      </c>
      <c r="K805" s="4354"/>
      <c r="L805" s="4354"/>
      <c r="M805" s="4354"/>
    </row>
    <row r="806" spans="1:13" x14ac:dyDescent="0.25">
      <c r="A806" s="4354"/>
      <c r="B806" s="4771">
        <v>2008</v>
      </c>
      <c r="C806" s="5089"/>
      <c r="D806" s="4444">
        <f t="shared" si="65"/>
        <v>1775438</v>
      </c>
      <c r="E806" s="4779">
        <f>Table4.Gs2_2018!C58</f>
        <v>1775438</v>
      </c>
      <c r="F806" s="4544">
        <f>Table4.Gs2_2019!C58</f>
        <v>1775438</v>
      </c>
      <c r="G806" s="4498">
        <f>Table4.Gs2_2020!C58</f>
        <v>1775438</v>
      </c>
      <c r="H806" s="4354"/>
      <c r="I806" s="4387">
        <f t="shared" si="66"/>
        <v>0</v>
      </c>
      <c r="J806" s="4387">
        <f t="shared" si="66"/>
        <v>0</v>
      </c>
      <c r="K806" s="4354"/>
      <c r="L806" s="4354"/>
      <c r="M806" s="4354"/>
    </row>
    <row r="807" spans="1:13" x14ac:dyDescent="0.25">
      <c r="A807" s="4354"/>
      <c r="B807" s="4771">
        <v>2009</v>
      </c>
      <c r="C807" s="5089"/>
      <c r="D807" s="4444">
        <f t="shared" si="65"/>
        <v>1246520</v>
      </c>
      <c r="E807" s="4779">
        <f>Table4.Gs2_2018!C59</f>
        <v>1246520</v>
      </c>
      <c r="F807" s="4544">
        <f>Table4.Gs2_2019!C59</f>
        <v>1246520</v>
      </c>
      <c r="G807" s="4498">
        <f>Table4.Gs2_2020!C59</f>
        <v>1246520</v>
      </c>
      <c r="H807" s="4354"/>
      <c r="I807" s="4387">
        <f t="shared" si="66"/>
        <v>0</v>
      </c>
      <c r="J807" s="4387">
        <f t="shared" si="66"/>
        <v>0</v>
      </c>
      <c r="K807" s="4354"/>
      <c r="L807" s="4354"/>
      <c r="M807" s="4354"/>
    </row>
    <row r="808" spans="1:13" x14ac:dyDescent="0.25">
      <c r="A808" s="4354"/>
      <c r="B808" s="4771">
        <v>2010</v>
      </c>
      <c r="C808" s="5089"/>
      <c r="D808" s="4444">
        <f t="shared" si="65"/>
        <v>1310706</v>
      </c>
      <c r="E808" s="4779">
        <f>Table4.Gs2_2018!C60</f>
        <v>1310706</v>
      </c>
      <c r="F808" s="4544">
        <f>Table4.Gs2_2019!C60</f>
        <v>1310706</v>
      </c>
      <c r="G808" s="4498">
        <f>Table4.Gs2_2020!C60</f>
        <v>1310706</v>
      </c>
      <c r="H808" s="4354"/>
      <c r="I808" s="4387">
        <f t="shared" si="66"/>
        <v>0</v>
      </c>
      <c r="J808" s="4387">
        <f t="shared" si="66"/>
        <v>0</v>
      </c>
      <c r="K808" s="4354"/>
      <c r="L808" s="4354"/>
      <c r="M808" s="4354"/>
    </row>
    <row r="809" spans="1:13" x14ac:dyDescent="0.25">
      <c r="A809" s="4354"/>
      <c r="B809" s="4771">
        <v>2011</v>
      </c>
      <c r="C809" s="5089"/>
      <c r="D809" s="4444">
        <f t="shared" si="65"/>
        <v>1356124</v>
      </c>
      <c r="E809" s="4779">
        <f>Table4.Gs2_2018!C61</f>
        <v>1356124</v>
      </c>
      <c r="F809" s="4544">
        <f>Table4.Gs2_2019!C61</f>
        <v>1356124</v>
      </c>
      <c r="G809" s="4498">
        <f>Table4.Gs2_2020!C61</f>
        <v>1356124</v>
      </c>
      <c r="H809" s="4354"/>
      <c r="I809" s="4387">
        <f t="shared" si="66"/>
        <v>0</v>
      </c>
      <c r="J809" s="4387">
        <f t="shared" si="66"/>
        <v>0</v>
      </c>
      <c r="K809" s="4354"/>
      <c r="L809" s="4354"/>
      <c r="M809" s="4354"/>
    </row>
    <row r="810" spans="1:13" x14ac:dyDescent="0.25">
      <c r="A810" s="4354"/>
      <c r="B810" s="4771">
        <v>2012</v>
      </c>
      <c r="C810" s="5089"/>
      <c r="D810" s="4444">
        <f t="shared" si="65"/>
        <v>1370738</v>
      </c>
      <c r="E810" s="4779">
        <f>Table4.Gs2_2018!C62</f>
        <v>1370738</v>
      </c>
      <c r="F810" s="4544">
        <f>Table4.Gs2_2019!C62</f>
        <v>1370738</v>
      </c>
      <c r="G810" s="4498">
        <f>Table4.Gs2_2020!C62</f>
        <v>1370738</v>
      </c>
      <c r="H810" s="4354"/>
      <c r="I810" s="4387">
        <f t="shared" si="66"/>
        <v>0</v>
      </c>
      <c r="J810" s="4387">
        <f t="shared" si="66"/>
        <v>0</v>
      </c>
      <c r="K810" s="4354"/>
      <c r="L810" s="4354"/>
      <c r="M810" s="4354"/>
    </row>
    <row r="811" spans="1:13" x14ac:dyDescent="0.25">
      <c r="A811" s="4354"/>
      <c r="B811" s="4771">
        <v>2013</v>
      </c>
      <c r="C811" s="5089"/>
      <c r="D811" s="4444">
        <f t="shared" si="65"/>
        <v>1886000</v>
      </c>
      <c r="E811" s="4779">
        <f>Table4.Gs2_2018!C63</f>
        <v>1886000</v>
      </c>
      <c r="F811" s="4544">
        <f>Table4.Gs2_2019!C63</f>
        <v>1886000</v>
      </c>
      <c r="G811" s="4498">
        <f>Table4.Gs2_2020!C63</f>
        <v>1886000</v>
      </c>
      <c r="H811" s="4354"/>
      <c r="I811" s="4387">
        <f t="shared" si="66"/>
        <v>0</v>
      </c>
      <c r="J811" s="4387">
        <f t="shared" si="66"/>
        <v>0</v>
      </c>
      <c r="K811" s="4354"/>
      <c r="L811" s="4354"/>
      <c r="M811" s="4354"/>
    </row>
    <row r="812" spans="1:13" x14ac:dyDescent="0.25">
      <c r="A812" s="4354"/>
      <c r="B812" s="4771">
        <v>2014</v>
      </c>
      <c r="C812" s="5089"/>
      <c r="D812" s="4444">
        <f t="shared" si="65"/>
        <v>1878000</v>
      </c>
      <c r="E812" s="4779">
        <f>Table4.Gs2_2018!C64</f>
        <v>1878000</v>
      </c>
      <c r="F812" s="4544">
        <f>Table4.Gs2_2019!C64</f>
        <v>1878000</v>
      </c>
      <c r="G812" s="4498">
        <f>Table4.Gs2_2020!C64</f>
        <v>1878000</v>
      </c>
      <c r="H812" s="4354"/>
      <c r="I812" s="4387">
        <f t="shared" si="66"/>
        <v>0</v>
      </c>
      <c r="J812" s="4387">
        <f t="shared" si="66"/>
        <v>0</v>
      </c>
      <c r="K812" s="4354"/>
      <c r="L812" s="4354"/>
      <c r="M812" s="4354"/>
    </row>
    <row r="813" spans="1:13" x14ac:dyDescent="0.25">
      <c r="A813" s="4354"/>
      <c r="B813" s="4771">
        <v>2015</v>
      </c>
      <c r="C813" s="5089"/>
      <c r="D813" s="4444">
        <f t="shared" si="65"/>
        <v>2199000</v>
      </c>
      <c r="E813" s="4779">
        <f>Table4.Gs2_2018!C65</f>
        <v>2199000</v>
      </c>
      <c r="F813" s="4544">
        <f>Table4.Gs2_2019!C65</f>
        <v>2199000</v>
      </c>
      <c r="G813" s="4498">
        <f>Table4.Gs2_2020!C65</f>
        <v>2199000</v>
      </c>
      <c r="H813" s="4354"/>
      <c r="I813" s="4387">
        <f t="shared" si="66"/>
        <v>0</v>
      </c>
      <c r="J813" s="4387">
        <f t="shared" si="66"/>
        <v>0</v>
      </c>
      <c r="K813" s="4354"/>
      <c r="L813" s="4354"/>
      <c r="M813" s="4354"/>
    </row>
    <row r="814" spans="1:13" x14ac:dyDescent="0.25">
      <c r="A814" s="4354"/>
      <c r="B814" s="4771">
        <v>2016</v>
      </c>
      <c r="C814" s="5089"/>
      <c r="D814" s="4444">
        <f t="shared" si="65"/>
        <v>1634000</v>
      </c>
      <c r="E814" s="4779">
        <f>Table4.Gs2_2018!C66</f>
        <v>1634000</v>
      </c>
      <c r="F814" s="4544">
        <f>Table4.Gs2_2019!C66</f>
        <v>1634000</v>
      </c>
      <c r="G814" s="4498">
        <f>Table4.Gs2_2020!C66</f>
        <v>1634000</v>
      </c>
      <c r="H814" s="4354"/>
      <c r="I814" s="4387">
        <f t="shared" si="66"/>
        <v>0</v>
      </c>
      <c r="J814" s="4387">
        <f t="shared" si="66"/>
        <v>0</v>
      </c>
      <c r="K814" s="4354"/>
      <c r="L814" s="4354"/>
      <c r="M814" s="4354"/>
    </row>
    <row r="815" spans="1:13" x14ac:dyDescent="0.25">
      <c r="A815" s="4354"/>
      <c r="B815" s="4771">
        <v>2017</v>
      </c>
      <c r="C815" s="5089"/>
      <c r="D815" s="4444">
        <f t="shared" si="65"/>
        <v>1634000</v>
      </c>
      <c r="E815" s="4779">
        <f>Table4.Gs2_2018!C67</f>
        <v>1634000</v>
      </c>
      <c r="F815" s="4544">
        <f>Table4.Gs2_2019!C67</f>
        <v>1634000</v>
      </c>
      <c r="G815" s="4498">
        <f>Table4.Gs2_2020!C67</f>
        <v>1634000</v>
      </c>
      <c r="H815" s="4354"/>
      <c r="I815" s="4387">
        <f t="shared" si="66"/>
        <v>0</v>
      </c>
      <c r="J815" s="4387">
        <f t="shared" si="66"/>
        <v>0</v>
      </c>
      <c r="K815" s="4354"/>
      <c r="L815" s="4354"/>
      <c r="M815" s="4354"/>
    </row>
    <row r="816" spans="1:13" x14ac:dyDescent="0.25">
      <c r="A816" s="4354"/>
      <c r="B816" s="4771">
        <v>2018</v>
      </c>
      <c r="C816" s="5089"/>
      <c r="D816" s="4444">
        <f t="shared" si="65"/>
        <v>1634000</v>
      </c>
      <c r="E816" s="4779">
        <f>Table4.Gs2_2018!C68</f>
        <v>1634000</v>
      </c>
      <c r="F816" s="4544">
        <f>Table4.Gs2_2019!C68</f>
        <v>2543653</v>
      </c>
      <c r="G816" s="4498" t="str">
        <f>Table4.Gs2_2020!C68</f>
        <v>NO</v>
      </c>
      <c r="H816" s="4354"/>
      <c r="I816" s="4387">
        <f t="shared" si="66"/>
        <v>0.55670318237454097</v>
      </c>
      <c r="J816" s="4387" t="str">
        <f t="shared" si="66"/>
        <v>NO</v>
      </c>
      <c r="K816" s="4354"/>
      <c r="L816" s="4354"/>
      <c r="M816" s="4354"/>
    </row>
    <row r="817" spans="1:13" x14ac:dyDescent="0.25">
      <c r="A817" s="4499"/>
      <c r="B817" s="4771">
        <v>2019</v>
      </c>
      <c r="C817" s="5089"/>
      <c r="D817" s="4444">
        <f t="shared" si="65"/>
        <v>2978046</v>
      </c>
      <c r="E817" s="4780">
        <f>F817</f>
        <v>2978046</v>
      </c>
      <c r="F817" s="4544">
        <f>Table4.Gs2_2019!C69</f>
        <v>2978046</v>
      </c>
      <c r="G817" s="4498" t="str">
        <f>Table4.Gs2_2020!C69</f>
        <v>NO</v>
      </c>
      <c r="H817" s="4354"/>
      <c r="I817" s="4387">
        <f t="shared" si="66"/>
        <v>0</v>
      </c>
      <c r="J817" s="4387" t="str">
        <f t="shared" si="66"/>
        <v>NO</v>
      </c>
      <c r="K817" s="4354"/>
      <c r="L817" s="4354"/>
      <c r="M817" s="4354"/>
    </row>
    <row r="818" spans="1:13" ht="15.75" thickBot="1" x14ac:dyDescent="0.3">
      <c r="A818" s="4499"/>
      <c r="B818" s="4776">
        <v>2020</v>
      </c>
      <c r="C818" s="5090"/>
      <c r="D818" s="4781" t="str">
        <f t="shared" si="65"/>
        <v>NO</v>
      </c>
      <c r="E818" s="4782" t="str">
        <f>F818</f>
        <v>NO</v>
      </c>
      <c r="F818" s="4783" t="str">
        <f>G818</f>
        <v>NO</v>
      </c>
      <c r="G818" s="4498" t="str">
        <f>Table4.Gs2_2020!C70</f>
        <v>NO</v>
      </c>
      <c r="H818" s="4354"/>
      <c r="I818" s="4387" t="str">
        <f t="shared" si="66"/>
        <v>NO</v>
      </c>
      <c r="J818" s="4387" t="str">
        <f t="shared" si="66"/>
        <v>NO</v>
      </c>
      <c r="K818" s="4354"/>
      <c r="L818" s="4354"/>
      <c r="M818" s="4354"/>
    </row>
    <row r="819" spans="1:13" x14ac:dyDescent="0.25">
      <c r="A819" s="4499"/>
      <c r="B819" s="4767">
        <v>1990</v>
      </c>
      <c r="C819" s="5088" t="s">
        <v>5256</v>
      </c>
      <c r="D819" s="4441">
        <f t="shared" si="65"/>
        <v>33857.630601999997</v>
      </c>
      <c r="E819" s="4757">
        <f>Table4.Gs2_2018!D40</f>
        <v>33857.630601999997</v>
      </c>
      <c r="F819" s="4541">
        <f>Table4.Gs2_2019!D40</f>
        <v>33857.630601999997</v>
      </c>
      <c r="G819" s="4542">
        <f>Table4.Gs2_2020!D40</f>
        <v>33857.630601999997</v>
      </c>
      <c r="H819" s="4354"/>
      <c r="I819" s="4387">
        <f t="shared" si="66"/>
        <v>0</v>
      </c>
      <c r="J819" s="4387">
        <f t="shared" si="66"/>
        <v>0</v>
      </c>
      <c r="K819" s="4354"/>
      <c r="L819" s="4354"/>
      <c r="M819" s="4354"/>
    </row>
    <row r="820" spans="1:13" x14ac:dyDescent="0.25">
      <c r="A820" s="4354"/>
      <c r="B820" s="4771">
        <v>1991</v>
      </c>
      <c r="C820" s="5089"/>
      <c r="D820" s="4447">
        <f t="shared" si="65"/>
        <v>16743.903237999999</v>
      </c>
      <c r="E820" s="4779">
        <f>Table4.Gs2_2018!D41</f>
        <v>16743.903237999999</v>
      </c>
      <c r="F820" s="4544">
        <f>Table4.Gs2_2019!D41</f>
        <v>16743.903237999999</v>
      </c>
      <c r="G820" s="4498">
        <f>Table4.Gs2_2020!D41</f>
        <v>16743.903237999999</v>
      </c>
      <c r="H820" s="4354"/>
      <c r="I820" s="4387">
        <f t="shared" si="66"/>
        <v>0</v>
      </c>
      <c r="J820" s="4387">
        <f t="shared" si="66"/>
        <v>0</v>
      </c>
      <c r="K820" s="4354"/>
      <c r="L820" s="4354"/>
      <c r="M820" s="4354"/>
    </row>
    <row r="821" spans="1:13" x14ac:dyDescent="0.25">
      <c r="A821" s="4354"/>
      <c r="B821" s="4771">
        <v>1992</v>
      </c>
      <c r="C821" s="5089"/>
      <c r="D821" s="4447">
        <f t="shared" si="65"/>
        <v>81816.536814000006</v>
      </c>
      <c r="E821" s="4779">
        <f>Table4.Gs2_2018!D42</f>
        <v>81816.536814000006</v>
      </c>
      <c r="F821" s="4544">
        <f>Table4.Gs2_2019!D42</f>
        <v>81816.536814000006</v>
      </c>
      <c r="G821" s="4498">
        <f>Table4.Gs2_2020!D42</f>
        <v>81816.536814000006</v>
      </c>
      <c r="H821" s="4354"/>
      <c r="I821" s="4387">
        <f t="shared" si="66"/>
        <v>0</v>
      </c>
      <c r="J821" s="4387">
        <f t="shared" si="66"/>
        <v>0</v>
      </c>
      <c r="K821" s="4354"/>
      <c r="L821" s="4354"/>
      <c r="M821" s="4354"/>
    </row>
    <row r="822" spans="1:13" x14ac:dyDescent="0.25">
      <c r="A822" s="4354"/>
      <c r="B822" s="4771">
        <v>1993</v>
      </c>
      <c r="C822" s="5089"/>
      <c r="D822" s="4447">
        <f t="shared" ref="D822:D885" si="67">IF($D$3=$E$3,E822,IF($D$3=$F$3,F822,IF($D$3=$G$3,G822,"-")))</f>
        <v>75586.562791999997</v>
      </c>
      <c r="E822" s="4779">
        <f>Table4.Gs2_2018!D43</f>
        <v>75586.562791999997</v>
      </c>
      <c r="F822" s="4544">
        <f>Table4.Gs2_2019!D43</f>
        <v>75586.562791999997</v>
      </c>
      <c r="G822" s="4498">
        <f>Table4.Gs2_2020!D43</f>
        <v>75586.562791999997</v>
      </c>
      <c r="H822" s="4354"/>
      <c r="I822" s="4387">
        <f t="shared" si="66"/>
        <v>0</v>
      </c>
      <c r="J822" s="4387">
        <f t="shared" si="66"/>
        <v>0</v>
      </c>
      <c r="K822" s="4354"/>
      <c r="L822" s="4354"/>
      <c r="M822" s="4354"/>
    </row>
    <row r="823" spans="1:13" x14ac:dyDescent="0.25">
      <c r="A823" s="4354"/>
      <c r="B823" s="4771">
        <v>1994</v>
      </c>
      <c r="C823" s="5089"/>
      <c r="D823" s="4447">
        <f t="shared" si="67"/>
        <v>67431.594259999998</v>
      </c>
      <c r="E823" s="4779">
        <f>Table4.Gs2_2018!D44</f>
        <v>67431.594259999998</v>
      </c>
      <c r="F823" s="4544">
        <f>Table4.Gs2_2019!D44</f>
        <v>67431.594259999998</v>
      </c>
      <c r="G823" s="4498">
        <f>Table4.Gs2_2020!D44</f>
        <v>67431.594259999998</v>
      </c>
      <c r="H823" s="4354"/>
      <c r="I823" s="4387">
        <f t="shared" si="66"/>
        <v>0</v>
      </c>
      <c r="J823" s="4387">
        <f t="shared" si="66"/>
        <v>0</v>
      </c>
      <c r="K823" s="4354"/>
      <c r="L823" s="4354"/>
      <c r="M823" s="4354"/>
    </row>
    <row r="824" spans="1:13" x14ac:dyDescent="0.25">
      <c r="A824" s="4354"/>
      <c r="B824" s="4771">
        <v>1995</v>
      </c>
      <c r="C824" s="5089"/>
      <c r="D824" s="4447">
        <f t="shared" si="67"/>
        <v>67950.787117999993</v>
      </c>
      <c r="E824" s="4779">
        <f>Table4.Gs2_2018!D45</f>
        <v>67950.787117999993</v>
      </c>
      <c r="F824" s="4544">
        <f>Table4.Gs2_2019!D45</f>
        <v>67950.787117999993</v>
      </c>
      <c r="G824" s="4498">
        <f>Table4.Gs2_2020!D45</f>
        <v>67950.787117999993</v>
      </c>
      <c r="H824" s="4354"/>
      <c r="I824" s="4387">
        <f t="shared" si="66"/>
        <v>0</v>
      </c>
      <c r="J824" s="4387">
        <f t="shared" si="66"/>
        <v>0</v>
      </c>
      <c r="K824" s="4354"/>
      <c r="L824" s="4354"/>
      <c r="M824" s="4354"/>
    </row>
    <row r="825" spans="1:13" x14ac:dyDescent="0.25">
      <c r="A825" s="4354"/>
      <c r="B825" s="4771">
        <v>1996</v>
      </c>
      <c r="C825" s="5089"/>
      <c r="D825" s="4447">
        <f t="shared" si="67"/>
        <v>69897.61937</v>
      </c>
      <c r="E825" s="4779">
        <f>Table4.Gs2_2018!D46</f>
        <v>69897.61937</v>
      </c>
      <c r="F825" s="4544">
        <f>Table4.Gs2_2019!D46</f>
        <v>69897.61937</v>
      </c>
      <c r="G825" s="4498">
        <f>Table4.Gs2_2020!D46</f>
        <v>69897.61937</v>
      </c>
      <c r="H825" s="4354"/>
      <c r="I825" s="4387">
        <f t="shared" si="66"/>
        <v>0</v>
      </c>
      <c r="J825" s="4387">
        <f t="shared" si="66"/>
        <v>0</v>
      </c>
      <c r="K825" s="4354"/>
      <c r="L825" s="4354"/>
      <c r="M825" s="4354"/>
    </row>
    <row r="826" spans="1:13" x14ac:dyDescent="0.25">
      <c r="A826" s="4354"/>
      <c r="B826" s="4771">
        <v>1997</v>
      </c>
      <c r="C826" s="5089"/>
      <c r="D826" s="4447">
        <f t="shared" si="67"/>
        <v>147676.93231</v>
      </c>
      <c r="E826" s="4779">
        <f>Table4.Gs2_2018!D47</f>
        <v>147676.93231</v>
      </c>
      <c r="F826" s="4544">
        <f>Table4.Gs2_2019!D47</f>
        <v>147676.93231</v>
      </c>
      <c r="G826" s="4498">
        <f>Table4.Gs2_2020!D47</f>
        <v>147676.93231</v>
      </c>
      <c r="H826" s="4354"/>
      <c r="I826" s="4387">
        <f t="shared" si="66"/>
        <v>0</v>
      </c>
      <c r="J826" s="4387">
        <f t="shared" si="66"/>
        <v>0</v>
      </c>
      <c r="K826" s="4354"/>
      <c r="L826" s="4354"/>
      <c r="M826" s="4354"/>
    </row>
    <row r="827" spans="1:13" x14ac:dyDescent="0.25">
      <c r="A827" s="4354"/>
      <c r="B827" s="4771">
        <v>1998</v>
      </c>
      <c r="C827" s="5089"/>
      <c r="D827" s="4447">
        <f t="shared" si="67"/>
        <v>125233.00418</v>
      </c>
      <c r="E827" s="4779">
        <f>Table4.Gs2_2018!D48</f>
        <v>125233.00418</v>
      </c>
      <c r="F827" s="4544">
        <f>Table4.Gs2_2019!D48</f>
        <v>125233.00418</v>
      </c>
      <c r="G827" s="4498">
        <f>Table4.Gs2_2020!D48</f>
        <v>125233.00418</v>
      </c>
      <c r="H827" s="4354"/>
      <c r="I827" s="4387">
        <f t="shared" si="66"/>
        <v>0</v>
      </c>
      <c r="J827" s="4387">
        <f t="shared" si="66"/>
        <v>0</v>
      </c>
      <c r="K827" s="4354"/>
      <c r="L827" s="4354"/>
      <c r="M827" s="4354"/>
    </row>
    <row r="828" spans="1:13" x14ac:dyDescent="0.25">
      <c r="A828" s="4354"/>
      <c r="B828" s="4771">
        <v>1999</v>
      </c>
      <c r="C828" s="5089"/>
      <c r="D828" s="4447">
        <f t="shared" si="67"/>
        <v>120037.53537</v>
      </c>
      <c r="E828" s="4779">
        <f>Table4.Gs2_2018!D49</f>
        <v>120037.53537</v>
      </c>
      <c r="F828" s="4544">
        <f>Table4.Gs2_2019!D49</f>
        <v>120037.53537</v>
      </c>
      <c r="G828" s="4498">
        <f>Table4.Gs2_2020!D49</f>
        <v>120037.53537</v>
      </c>
      <c r="H828" s="4354"/>
      <c r="I828" s="4387">
        <f t="shared" si="66"/>
        <v>0</v>
      </c>
      <c r="J828" s="4387">
        <f t="shared" si="66"/>
        <v>0</v>
      </c>
      <c r="K828" s="4354"/>
      <c r="L828" s="4354"/>
      <c r="M828" s="4354"/>
    </row>
    <row r="829" spans="1:13" x14ac:dyDescent="0.25">
      <c r="A829" s="4354"/>
      <c r="B829" s="4771">
        <v>2000</v>
      </c>
      <c r="C829" s="5089"/>
      <c r="D829" s="4447">
        <f t="shared" si="67"/>
        <v>105434.24169</v>
      </c>
      <c r="E829" s="4779">
        <f>Table4.Gs2_2018!D50</f>
        <v>105434.24169</v>
      </c>
      <c r="F829" s="4544">
        <f>Table4.Gs2_2019!D50</f>
        <v>105434.24169</v>
      </c>
      <c r="G829" s="4498">
        <f>Table4.Gs2_2020!D50</f>
        <v>105434.24169</v>
      </c>
      <c r="H829" s="4354"/>
      <c r="I829" s="4387">
        <f t="shared" si="66"/>
        <v>0</v>
      </c>
      <c r="J829" s="4387">
        <f t="shared" si="66"/>
        <v>0</v>
      </c>
      <c r="K829" s="4354"/>
      <c r="L829" s="4354"/>
      <c r="M829" s="4354"/>
    </row>
    <row r="830" spans="1:13" x14ac:dyDescent="0.25">
      <c r="A830" s="4354"/>
      <c r="B830" s="4771">
        <v>2001</v>
      </c>
      <c r="C830" s="5089"/>
      <c r="D830" s="4447">
        <f t="shared" si="67"/>
        <v>80012.220799999996</v>
      </c>
      <c r="E830" s="4779">
        <f>Table4.Gs2_2018!D51</f>
        <v>80012.220799999996</v>
      </c>
      <c r="F830" s="4544">
        <f>Table4.Gs2_2019!D51</f>
        <v>80012.220799999996</v>
      </c>
      <c r="G830" s="4498">
        <f>Table4.Gs2_2020!D51</f>
        <v>80012.220799999996</v>
      </c>
      <c r="H830" s="4354"/>
      <c r="I830" s="4387">
        <f t="shared" si="66"/>
        <v>0</v>
      </c>
      <c r="J830" s="4387">
        <f t="shared" si="66"/>
        <v>0</v>
      </c>
      <c r="K830" s="4354"/>
      <c r="L830" s="4354"/>
      <c r="M830" s="4354"/>
    </row>
    <row r="831" spans="1:13" x14ac:dyDescent="0.25">
      <c r="A831" s="4354"/>
      <c r="B831" s="4771">
        <v>2002</v>
      </c>
      <c r="C831" s="5089"/>
      <c r="D831" s="4447">
        <f t="shared" si="67"/>
        <v>62093.014913999999</v>
      </c>
      <c r="E831" s="4779">
        <f>Table4.Gs2_2018!D52</f>
        <v>62093.014913999999</v>
      </c>
      <c r="F831" s="4544">
        <f>Table4.Gs2_2019!D52</f>
        <v>62093.014913999999</v>
      </c>
      <c r="G831" s="4498">
        <f>Table4.Gs2_2020!D52</f>
        <v>62093.014913999999</v>
      </c>
      <c r="H831" s="4354"/>
      <c r="I831" s="4387">
        <f t="shared" si="66"/>
        <v>0</v>
      </c>
      <c r="J831" s="4387">
        <f t="shared" si="66"/>
        <v>0</v>
      </c>
      <c r="K831" s="4354"/>
      <c r="L831" s="4354"/>
      <c r="M831" s="4354"/>
    </row>
    <row r="832" spans="1:13" x14ac:dyDescent="0.25">
      <c r="A832" s="4354"/>
      <c r="B832" s="4771">
        <v>2003</v>
      </c>
      <c r="C832" s="5089"/>
      <c r="D832" s="4447">
        <f t="shared" si="67"/>
        <v>66907.330585000003</v>
      </c>
      <c r="E832" s="4779">
        <f>Table4.Gs2_2018!D53</f>
        <v>66907.330585000003</v>
      </c>
      <c r="F832" s="4544">
        <f>Table4.Gs2_2019!D53</f>
        <v>66907.330585000003</v>
      </c>
      <c r="G832" s="4498">
        <f>Table4.Gs2_2020!D53</f>
        <v>66907.330585000003</v>
      </c>
      <c r="H832" s="4354"/>
      <c r="I832" s="4387">
        <f t="shared" si="66"/>
        <v>0</v>
      </c>
      <c r="J832" s="4387">
        <f t="shared" si="66"/>
        <v>0</v>
      </c>
      <c r="K832" s="4354"/>
      <c r="L832" s="4354"/>
      <c r="M832" s="4354"/>
    </row>
    <row r="833" spans="1:13" x14ac:dyDescent="0.25">
      <c r="A833" s="4354"/>
      <c r="B833" s="4771">
        <v>2004</v>
      </c>
      <c r="C833" s="5089"/>
      <c r="D833" s="4447">
        <f t="shared" si="67"/>
        <v>55286.340595000001</v>
      </c>
      <c r="E833" s="4779">
        <f>Table4.Gs2_2018!D54</f>
        <v>55286.340595000001</v>
      </c>
      <c r="F833" s="4544">
        <f>Table4.Gs2_2019!D54</f>
        <v>55286.340595000001</v>
      </c>
      <c r="G833" s="4498">
        <f>Table4.Gs2_2020!D54</f>
        <v>55286.340595000001</v>
      </c>
      <c r="H833" s="4354"/>
      <c r="I833" s="4387">
        <f t="shared" si="66"/>
        <v>0</v>
      </c>
      <c r="J833" s="4387">
        <f t="shared" si="66"/>
        <v>0</v>
      </c>
      <c r="K833" s="4354"/>
      <c r="L833" s="4354"/>
      <c r="M833" s="4354"/>
    </row>
    <row r="834" spans="1:13" x14ac:dyDescent="0.25">
      <c r="A834" s="4354"/>
      <c r="B834" s="4771">
        <v>2005</v>
      </c>
      <c r="C834" s="5089"/>
      <c r="D834" s="4447">
        <f t="shared" si="67"/>
        <v>58496.597637999999</v>
      </c>
      <c r="E834" s="4779">
        <f>Table4.Gs2_2018!D55</f>
        <v>58496.597637999999</v>
      </c>
      <c r="F834" s="4544">
        <f>Table4.Gs2_2019!D55</f>
        <v>58496.597637999999</v>
      </c>
      <c r="G834" s="4498">
        <f>Table4.Gs2_2020!D55</f>
        <v>58496.597637999999</v>
      </c>
      <c r="H834" s="4354"/>
      <c r="I834" s="4387">
        <f t="shared" si="66"/>
        <v>0</v>
      </c>
      <c r="J834" s="4387">
        <f t="shared" si="66"/>
        <v>0</v>
      </c>
      <c r="K834" s="4354"/>
      <c r="L834" s="4354"/>
      <c r="M834" s="4354"/>
    </row>
    <row r="835" spans="1:13" x14ac:dyDescent="0.25">
      <c r="A835" s="4354"/>
      <c r="B835" s="4771">
        <v>2006</v>
      </c>
      <c r="C835" s="5089"/>
      <c r="D835" s="4447">
        <f t="shared" si="67"/>
        <v>54256.905804000002</v>
      </c>
      <c r="E835" s="4779">
        <f>Table4.Gs2_2018!D56</f>
        <v>54256.905804000002</v>
      </c>
      <c r="F835" s="4544">
        <f>Table4.Gs2_2019!D56</f>
        <v>54256.905804000002</v>
      </c>
      <c r="G835" s="4498">
        <f>Table4.Gs2_2020!D56</f>
        <v>54256.905804000002</v>
      </c>
      <c r="H835" s="4354"/>
      <c r="I835" s="4387">
        <f t="shared" si="66"/>
        <v>0</v>
      </c>
      <c r="J835" s="4387">
        <f t="shared" si="66"/>
        <v>0</v>
      </c>
      <c r="K835" s="4354"/>
      <c r="L835" s="4354"/>
      <c r="M835" s="4354"/>
    </row>
    <row r="836" spans="1:13" x14ac:dyDescent="0.25">
      <c r="A836" s="4354"/>
      <c r="B836" s="4771">
        <v>2007</v>
      </c>
      <c r="C836" s="5089"/>
      <c r="D836" s="4447">
        <f t="shared" si="67"/>
        <v>49827.584876000001</v>
      </c>
      <c r="E836" s="4779">
        <f>Table4.Gs2_2018!D57</f>
        <v>49827.584876000001</v>
      </c>
      <c r="F836" s="4544">
        <f>Table4.Gs2_2019!D57</f>
        <v>49827.584876000001</v>
      </c>
      <c r="G836" s="4498">
        <f>Table4.Gs2_2020!D57</f>
        <v>49827.584876000001</v>
      </c>
      <c r="H836" s="4354"/>
      <c r="I836" s="4387">
        <f t="shared" si="66"/>
        <v>0</v>
      </c>
      <c r="J836" s="4387">
        <f t="shared" si="66"/>
        <v>0</v>
      </c>
      <c r="K836" s="4354"/>
      <c r="L836" s="4354"/>
      <c r="M836" s="4354"/>
    </row>
    <row r="837" spans="1:13" x14ac:dyDescent="0.25">
      <c r="A837" s="4354"/>
      <c r="B837" s="4771">
        <v>2008</v>
      </c>
      <c r="C837" s="5089"/>
      <c r="D837" s="4447">
        <f t="shared" si="67"/>
        <v>45991.036334999997</v>
      </c>
      <c r="E837" s="4779">
        <f>Table4.Gs2_2018!D58</f>
        <v>45991.036334999997</v>
      </c>
      <c r="F837" s="4544">
        <f>Table4.Gs2_2019!D58</f>
        <v>45991.036334999997</v>
      </c>
      <c r="G837" s="4498">
        <f>Table4.Gs2_2020!D58</f>
        <v>45991.036334999997</v>
      </c>
      <c r="H837" s="4354"/>
      <c r="I837" s="4387">
        <f t="shared" si="66"/>
        <v>0</v>
      </c>
      <c r="J837" s="4387">
        <f t="shared" si="66"/>
        <v>0</v>
      </c>
      <c r="K837" s="4354"/>
      <c r="L837" s="4354"/>
      <c r="M837" s="4354"/>
    </row>
    <row r="838" spans="1:13" x14ac:dyDescent="0.25">
      <c r="A838" s="4354"/>
      <c r="B838" s="4771">
        <v>2009</v>
      </c>
      <c r="C838" s="5089"/>
      <c r="D838" s="4447">
        <f t="shared" si="67"/>
        <v>41839.527127000001</v>
      </c>
      <c r="E838" s="4779">
        <f>Table4.Gs2_2018!D59</f>
        <v>41839.527127000001</v>
      </c>
      <c r="F838" s="4544">
        <f>Table4.Gs2_2019!D59</f>
        <v>41839.527127000001</v>
      </c>
      <c r="G838" s="4498">
        <f>Table4.Gs2_2020!D59</f>
        <v>41839.527127000001</v>
      </c>
      <c r="H838" s="4354"/>
      <c r="I838" s="4387">
        <f t="shared" si="66"/>
        <v>0</v>
      </c>
      <c r="J838" s="4387">
        <f t="shared" si="66"/>
        <v>0</v>
      </c>
      <c r="K838" s="4354"/>
      <c r="L838" s="4354"/>
      <c r="M838" s="4354"/>
    </row>
    <row r="839" spans="1:13" x14ac:dyDescent="0.25">
      <c r="A839" s="4354"/>
      <c r="B839" s="4771">
        <v>2010</v>
      </c>
      <c r="C839" s="5089"/>
      <c r="D839" s="4447">
        <f t="shared" si="67"/>
        <v>37373.057250999998</v>
      </c>
      <c r="E839" s="4779">
        <f>Table4.Gs2_2018!D60</f>
        <v>37373.057250999998</v>
      </c>
      <c r="F839" s="4544">
        <f>Table4.Gs2_2019!D60</f>
        <v>37373.057250999998</v>
      </c>
      <c r="G839" s="4498">
        <f>Table4.Gs2_2020!D60</f>
        <v>37373.057250999998</v>
      </c>
      <c r="H839" s="4354"/>
      <c r="I839" s="4387">
        <f t="shared" si="66"/>
        <v>0</v>
      </c>
      <c r="J839" s="4387">
        <f t="shared" si="66"/>
        <v>0</v>
      </c>
      <c r="K839" s="4354"/>
      <c r="L839" s="4354"/>
      <c r="M839" s="4354"/>
    </row>
    <row r="840" spans="1:13" x14ac:dyDescent="0.25">
      <c r="A840" s="4354"/>
      <c r="B840" s="4771">
        <v>2011</v>
      </c>
      <c r="C840" s="5089"/>
      <c r="D840" s="4447">
        <f t="shared" si="67"/>
        <v>33653.188562000003</v>
      </c>
      <c r="E840" s="4779">
        <f>Table4.Gs2_2018!D61</f>
        <v>33653.188562000003</v>
      </c>
      <c r="F840" s="4544">
        <f>Table4.Gs2_2019!D61</f>
        <v>33653.188562000003</v>
      </c>
      <c r="G840" s="4498">
        <f>Table4.Gs2_2020!D61</f>
        <v>33653.188562000003</v>
      </c>
      <c r="H840" s="4354"/>
      <c r="I840" s="4387">
        <f t="shared" si="66"/>
        <v>0</v>
      </c>
      <c r="J840" s="4387">
        <f t="shared" si="66"/>
        <v>0</v>
      </c>
      <c r="K840" s="4354"/>
      <c r="L840" s="4354"/>
      <c r="M840" s="4354"/>
    </row>
    <row r="841" spans="1:13" x14ac:dyDescent="0.25">
      <c r="A841" s="4354"/>
      <c r="B841" s="4771">
        <v>2012</v>
      </c>
      <c r="C841" s="5089"/>
      <c r="D841" s="4447">
        <f t="shared" si="67"/>
        <v>43304.341958999998</v>
      </c>
      <c r="E841" s="4779">
        <f>Table4.Gs2_2018!D62</f>
        <v>43304.341958999998</v>
      </c>
      <c r="F841" s="4544">
        <f>Table4.Gs2_2019!D62</f>
        <v>43304.341958999998</v>
      </c>
      <c r="G841" s="4498">
        <f>Table4.Gs2_2020!D62</f>
        <v>43304.341958999998</v>
      </c>
      <c r="H841" s="4354"/>
      <c r="I841" s="4387">
        <f t="shared" si="66"/>
        <v>0</v>
      </c>
      <c r="J841" s="4387">
        <f t="shared" si="66"/>
        <v>0</v>
      </c>
      <c r="K841" s="4354"/>
      <c r="L841" s="4354"/>
      <c r="M841" s="4354"/>
    </row>
    <row r="842" spans="1:13" x14ac:dyDescent="0.25">
      <c r="A842" s="4354"/>
      <c r="B842" s="4771">
        <v>2013</v>
      </c>
      <c r="C842" s="5089"/>
      <c r="D842" s="4447">
        <f t="shared" si="67"/>
        <v>55307.922826000002</v>
      </c>
      <c r="E842" s="4779">
        <f>Table4.Gs2_2018!D63</f>
        <v>55307.922826000002</v>
      </c>
      <c r="F842" s="4544">
        <f>Table4.Gs2_2019!D63</f>
        <v>55307.922826000002</v>
      </c>
      <c r="G842" s="4498">
        <f>Table4.Gs2_2020!D63</f>
        <v>55307.922826000002</v>
      </c>
      <c r="H842" s="4354"/>
      <c r="I842" s="4387">
        <f t="shared" si="66"/>
        <v>0</v>
      </c>
      <c r="J842" s="4387">
        <f t="shared" si="66"/>
        <v>0</v>
      </c>
      <c r="K842" s="4354"/>
      <c r="L842" s="4354"/>
      <c r="M842" s="4354"/>
    </row>
    <row r="843" spans="1:13" x14ac:dyDescent="0.25">
      <c r="A843" s="4354"/>
      <c r="B843" s="4771">
        <v>2014</v>
      </c>
      <c r="C843" s="5089"/>
      <c r="D843" s="4447">
        <f t="shared" si="67"/>
        <v>69046.117394000001</v>
      </c>
      <c r="E843" s="4779">
        <f>Table4.Gs2_2018!D64</f>
        <v>69046.117394000001</v>
      </c>
      <c r="F843" s="4544">
        <f>Table4.Gs2_2019!D64</f>
        <v>69046.117394000001</v>
      </c>
      <c r="G843" s="4498">
        <f>Table4.Gs2_2020!D64</f>
        <v>69046.117394000001</v>
      </c>
      <c r="H843" s="4354"/>
      <c r="I843" s="4387">
        <f t="shared" si="66"/>
        <v>0</v>
      </c>
      <c r="J843" s="4387">
        <f t="shared" si="66"/>
        <v>0</v>
      </c>
      <c r="K843" s="4354"/>
      <c r="L843" s="4354"/>
      <c r="M843" s="4354"/>
    </row>
    <row r="844" spans="1:13" x14ac:dyDescent="0.25">
      <c r="A844" s="4354"/>
      <c r="B844" s="4771">
        <v>2015</v>
      </c>
      <c r="C844" s="5089"/>
      <c r="D844" s="4447">
        <f t="shared" si="67"/>
        <v>87222.290177999996</v>
      </c>
      <c r="E844" s="4779">
        <f>Table4.Gs2_2018!D65</f>
        <v>87222.290177999996</v>
      </c>
      <c r="F844" s="4544">
        <f>Table4.Gs2_2019!D65</f>
        <v>87222.290177999996</v>
      </c>
      <c r="G844" s="4498">
        <f>Table4.Gs2_2020!D65</f>
        <v>87222.290177999996</v>
      </c>
      <c r="H844" s="4354"/>
      <c r="I844" s="4387">
        <f t="shared" si="66"/>
        <v>0</v>
      </c>
      <c r="J844" s="4387">
        <f t="shared" si="66"/>
        <v>0</v>
      </c>
      <c r="K844" s="4354"/>
      <c r="L844" s="4354"/>
      <c r="M844" s="4354"/>
    </row>
    <row r="845" spans="1:13" x14ac:dyDescent="0.25">
      <c r="A845" s="4354"/>
      <c r="B845" s="4771">
        <v>2016</v>
      </c>
      <c r="C845" s="5089"/>
      <c r="D845" s="4447">
        <f t="shared" si="67"/>
        <v>58647.385440999999</v>
      </c>
      <c r="E845" s="4779">
        <f>Table4.Gs2_2018!D66</f>
        <v>58647.385440999999</v>
      </c>
      <c r="F845" s="4544">
        <f>Table4.Gs2_2019!D66</f>
        <v>58647.385440999999</v>
      </c>
      <c r="G845" s="4498">
        <f>Table4.Gs2_2020!D66</f>
        <v>58647.385440999999</v>
      </c>
      <c r="H845" s="4354"/>
      <c r="I845" s="4387">
        <f t="shared" si="66"/>
        <v>0</v>
      </c>
      <c r="J845" s="4387">
        <f t="shared" si="66"/>
        <v>0</v>
      </c>
      <c r="K845" s="4354"/>
      <c r="L845" s="4354"/>
      <c r="M845" s="4354"/>
    </row>
    <row r="846" spans="1:13" x14ac:dyDescent="0.25">
      <c r="A846" s="4354"/>
      <c r="B846" s="4771">
        <v>2017</v>
      </c>
      <c r="C846" s="5089"/>
      <c r="D846" s="4447">
        <f t="shared" si="67"/>
        <v>56440</v>
      </c>
      <c r="E846" s="4779">
        <f>Table4.Gs2_2018!D67</f>
        <v>56440</v>
      </c>
      <c r="F846" s="4544">
        <f>Table4.Gs2_2019!D67</f>
        <v>56440</v>
      </c>
      <c r="G846" s="4498">
        <f>Table4.Gs2_2020!D67</f>
        <v>56440</v>
      </c>
      <c r="H846" s="4354"/>
      <c r="I846" s="4387">
        <f t="shared" si="66"/>
        <v>0</v>
      </c>
      <c r="J846" s="4387">
        <f t="shared" si="66"/>
        <v>0</v>
      </c>
      <c r="K846" s="4354"/>
      <c r="L846" s="4354"/>
      <c r="M846" s="4354"/>
    </row>
    <row r="847" spans="1:13" x14ac:dyDescent="0.25">
      <c r="A847" s="4354"/>
      <c r="B847" s="4771">
        <v>2018</v>
      </c>
      <c r="C847" s="5089"/>
      <c r="D847" s="4447">
        <f t="shared" si="67"/>
        <v>36792</v>
      </c>
      <c r="E847" s="4779">
        <f>Table4.Gs2_2018!D68</f>
        <v>36792</v>
      </c>
      <c r="F847" s="4544">
        <f>Table4.Gs2_2019!D68</f>
        <v>36792</v>
      </c>
      <c r="G847" s="4498">
        <f>Table4.Gs2_2020!D68</f>
        <v>36792</v>
      </c>
      <c r="H847" s="4354"/>
      <c r="I847" s="4387">
        <f t="shared" si="66"/>
        <v>0</v>
      </c>
      <c r="J847" s="4387">
        <f t="shared" si="66"/>
        <v>0</v>
      </c>
      <c r="K847" s="4354"/>
      <c r="L847" s="4354"/>
      <c r="M847" s="4354"/>
    </row>
    <row r="848" spans="1:13" x14ac:dyDescent="0.25">
      <c r="A848" s="4499"/>
      <c r="B848" s="4771">
        <v>2019</v>
      </c>
      <c r="C848" s="5089"/>
      <c r="D848" s="4447">
        <f t="shared" si="67"/>
        <v>45181</v>
      </c>
      <c r="E848" s="4780">
        <f>G848</f>
        <v>45181</v>
      </c>
      <c r="F848" s="4544">
        <f>Table4.Gs2_2019!D69</f>
        <v>45181</v>
      </c>
      <c r="G848" s="4498">
        <f>Table4.Gs2_2020!D69</f>
        <v>45181</v>
      </c>
      <c r="H848" s="4354"/>
      <c r="I848" s="4387">
        <f t="shared" si="66"/>
        <v>0</v>
      </c>
      <c r="J848" s="4387">
        <f t="shared" si="66"/>
        <v>0</v>
      </c>
      <c r="K848" s="4354"/>
      <c r="L848" s="4354"/>
      <c r="M848" s="4354"/>
    </row>
    <row r="849" spans="1:13" ht="15.75" thickBot="1" x14ac:dyDescent="0.3">
      <c r="A849" s="4499"/>
      <c r="B849" s="4776">
        <v>2020</v>
      </c>
      <c r="C849" s="5090"/>
      <c r="D849" s="4484">
        <f t="shared" si="67"/>
        <v>62912</v>
      </c>
      <c r="E849" s="4782">
        <f>F849</f>
        <v>62912</v>
      </c>
      <c r="F849" s="4783">
        <f>G849</f>
        <v>62912</v>
      </c>
      <c r="G849" s="4514">
        <f>Table4.Gs2_2020!D70</f>
        <v>62912</v>
      </c>
      <c r="H849" s="4354"/>
      <c r="I849" s="4387">
        <f t="shared" si="66"/>
        <v>0</v>
      </c>
      <c r="J849" s="4387">
        <f t="shared" si="66"/>
        <v>0</v>
      </c>
      <c r="K849" s="4354"/>
      <c r="L849" s="4354"/>
      <c r="M849" s="4354"/>
    </row>
    <row r="850" spans="1:13" x14ac:dyDescent="0.25">
      <c r="A850" s="4354"/>
      <c r="B850" s="4354"/>
      <c r="C850" s="4354"/>
      <c r="D850" s="4354"/>
      <c r="E850" s="4356"/>
      <c r="F850" s="4354"/>
      <c r="G850" s="4354"/>
      <c r="H850" s="4354"/>
      <c r="I850" s="4387" t="str">
        <f t="shared" si="66"/>
        <v>NO</v>
      </c>
      <c r="J850" s="4387" t="str">
        <f t="shared" si="66"/>
        <v>NO</v>
      </c>
      <c r="K850" s="4354"/>
      <c r="L850" s="4354"/>
      <c r="M850" s="4354"/>
    </row>
    <row r="851" spans="1:13" ht="14.45" customHeight="1" x14ac:dyDescent="0.25">
      <c r="A851" s="4354"/>
      <c r="B851" s="4402" t="s">
        <v>651</v>
      </c>
      <c r="C851" s="4354"/>
      <c r="D851" s="4481" t="str">
        <f t="shared" si="67"/>
        <v xml:space="preserve"> NIR 2020 (2018) CRF tabel 4.Gs2</v>
      </c>
      <c r="E851" s="4481" t="s">
        <v>5289</v>
      </c>
      <c r="F851" s="4481" t="s">
        <v>5290</v>
      </c>
      <c r="G851" s="4481" t="s">
        <v>2202</v>
      </c>
      <c r="H851" s="4354"/>
      <c r="I851" s="4387" t="str">
        <f t="shared" si="66"/>
        <v>NO</v>
      </c>
      <c r="J851" s="4387" t="str">
        <f t="shared" si="66"/>
        <v>NO</v>
      </c>
      <c r="K851" s="4354"/>
      <c r="L851" s="4354"/>
      <c r="M851" s="4354"/>
    </row>
    <row r="852" spans="1:13" ht="15.75" thickBot="1" x14ac:dyDescent="0.3">
      <c r="A852" s="4354"/>
      <c r="B852" s="4354"/>
      <c r="C852" s="4354"/>
      <c r="D852" s="4354"/>
      <c r="E852" s="4356"/>
      <c r="F852" s="4354"/>
      <c r="G852" s="4354"/>
      <c r="H852" s="4354"/>
      <c r="I852" s="4387" t="str">
        <f t="shared" si="66"/>
        <v>NO</v>
      </c>
      <c r="J852" s="4387" t="str">
        <f t="shared" si="66"/>
        <v>NO</v>
      </c>
      <c r="K852" s="4354"/>
      <c r="L852" s="4354"/>
      <c r="M852" s="4354"/>
    </row>
    <row r="853" spans="1:13" ht="18" thickBot="1" x14ac:dyDescent="0.3">
      <c r="A853" s="4354"/>
      <c r="B853" s="4766" t="s">
        <v>362</v>
      </c>
      <c r="C853" s="4676" t="s">
        <v>750</v>
      </c>
      <c r="D853" s="4753" t="str">
        <f t="shared" si="67"/>
        <v>m3</v>
      </c>
      <c r="E853" s="4753" t="s">
        <v>749</v>
      </c>
      <c r="F853" s="4754" t="s">
        <v>749</v>
      </c>
      <c r="G853" s="4655" t="s">
        <v>749</v>
      </c>
      <c r="H853" s="4354"/>
      <c r="I853" s="4387" t="str">
        <f t="shared" si="66"/>
        <v>NO</v>
      </c>
      <c r="J853" s="4387" t="str">
        <f t="shared" si="66"/>
        <v>NO</v>
      </c>
      <c r="K853" s="4354"/>
      <c r="L853" s="4354"/>
      <c r="M853" s="4354"/>
    </row>
    <row r="854" spans="1:13" x14ac:dyDescent="0.25">
      <c r="A854" s="4354"/>
      <c r="B854" s="4767">
        <v>1990</v>
      </c>
      <c r="C854" s="5088" t="s">
        <v>748</v>
      </c>
      <c r="D854" s="4438">
        <f t="shared" si="67"/>
        <v>306200</v>
      </c>
      <c r="E854" s="4757">
        <f>Table4.Gs2_2018!E40</f>
        <v>306200</v>
      </c>
      <c r="F854" s="4541">
        <f>Table4.Gs2_2019!E40</f>
        <v>306200</v>
      </c>
      <c r="G854" s="4542">
        <f>Table4.Gs2_2020!E40</f>
        <v>306200</v>
      </c>
      <c r="H854" s="4354"/>
      <c r="I854" s="4387">
        <f t="shared" si="66"/>
        <v>0</v>
      </c>
      <c r="J854" s="4387">
        <f t="shared" si="66"/>
        <v>0</v>
      </c>
      <c r="K854" s="4354"/>
      <c r="L854" s="4354"/>
      <c r="M854" s="4354"/>
    </row>
    <row r="855" spans="1:13" x14ac:dyDescent="0.25">
      <c r="A855" s="4354"/>
      <c r="B855" s="4771">
        <v>1991</v>
      </c>
      <c r="C855" s="5089"/>
      <c r="D855" s="4444">
        <f t="shared" si="67"/>
        <v>264200</v>
      </c>
      <c r="E855" s="4779">
        <f>Table4.Gs2_2018!E41</f>
        <v>264200</v>
      </c>
      <c r="F855" s="4544">
        <f>Table4.Gs2_2019!E41</f>
        <v>264200</v>
      </c>
      <c r="G855" s="4498">
        <f>Table4.Gs2_2020!E41</f>
        <v>264200</v>
      </c>
      <c r="H855" s="4354"/>
      <c r="I855" s="4387">
        <f t="shared" si="66"/>
        <v>0</v>
      </c>
      <c r="J855" s="4387">
        <f t="shared" si="66"/>
        <v>0</v>
      </c>
      <c r="K855" s="4354"/>
      <c r="L855" s="4354"/>
      <c r="M855" s="4354"/>
    </row>
    <row r="856" spans="1:13" x14ac:dyDescent="0.25">
      <c r="A856" s="4354"/>
      <c r="B856" s="4771">
        <v>1992</v>
      </c>
      <c r="C856" s="5089"/>
      <c r="D856" s="4444">
        <f t="shared" si="67"/>
        <v>287000</v>
      </c>
      <c r="E856" s="4779">
        <f>Table4.Gs2_2018!E42</f>
        <v>287000</v>
      </c>
      <c r="F856" s="4544">
        <f>Table4.Gs2_2019!E42</f>
        <v>287000</v>
      </c>
      <c r="G856" s="4498">
        <f>Table4.Gs2_2020!E42</f>
        <v>287000</v>
      </c>
      <c r="H856" s="4354"/>
      <c r="I856" s="4387">
        <f t="shared" si="66"/>
        <v>0</v>
      </c>
      <c r="J856" s="4387">
        <f t="shared" si="66"/>
        <v>0</v>
      </c>
      <c r="K856" s="4354"/>
      <c r="L856" s="4354"/>
      <c r="M856" s="4354"/>
    </row>
    <row r="857" spans="1:13" x14ac:dyDescent="0.25">
      <c r="A857" s="4354"/>
      <c r="B857" s="4771">
        <v>1993</v>
      </c>
      <c r="C857" s="5089"/>
      <c r="D857" s="4444">
        <f t="shared" si="67"/>
        <v>414000</v>
      </c>
      <c r="E857" s="4779">
        <f>Table4.Gs2_2018!E43</f>
        <v>414000</v>
      </c>
      <c r="F857" s="4544">
        <f>Table4.Gs2_2019!E43</f>
        <v>414000</v>
      </c>
      <c r="G857" s="4498">
        <f>Table4.Gs2_2020!E43</f>
        <v>414000</v>
      </c>
      <c r="H857" s="4354"/>
      <c r="I857" s="4387">
        <f t="shared" si="66"/>
        <v>0</v>
      </c>
      <c r="J857" s="4387">
        <f t="shared" si="66"/>
        <v>0</v>
      </c>
      <c r="K857" s="4354"/>
      <c r="L857" s="4354"/>
      <c r="M857" s="4354"/>
    </row>
    <row r="858" spans="1:13" x14ac:dyDescent="0.25">
      <c r="A858" s="4354"/>
      <c r="B858" s="4771">
        <v>1994</v>
      </c>
      <c r="C858" s="5089"/>
      <c r="D858" s="4444">
        <f t="shared" si="67"/>
        <v>432000</v>
      </c>
      <c r="E858" s="4779">
        <f>Table4.Gs2_2018!E44</f>
        <v>432000</v>
      </c>
      <c r="F858" s="4544">
        <f>Table4.Gs2_2019!E44</f>
        <v>432000</v>
      </c>
      <c r="G858" s="4498">
        <f>Table4.Gs2_2020!E44</f>
        <v>432000</v>
      </c>
      <c r="H858" s="4354"/>
      <c r="I858" s="4387">
        <f t="shared" si="66"/>
        <v>0</v>
      </c>
      <c r="J858" s="4387">
        <f t="shared" si="66"/>
        <v>0</v>
      </c>
      <c r="K858" s="4354"/>
      <c r="L858" s="4354"/>
      <c r="M858" s="4354"/>
    </row>
    <row r="859" spans="1:13" x14ac:dyDescent="0.25">
      <c r="A859" s="4354"/>
      <c r="B859" s="4771">
        <v>1995</v>
      </c>
      <c r="C859" s="5089"/>
      <c r="D859" s="4444">
        <f t="shared" si="67"/>
        <v>432000</v>
      </c>
      <c r="E859" s="4779">
        <f>Table4.Gs2_2018!E45</f>
        <v>432000</v>
      </c>
      <c r="F859" s="4544">
        <f>Table4.Gs2_2019!E45</f>
        <v>432000</v>
      </c>
      <c r="G859" s="4498">
        <f>Table4.Gs2_2020!E45</f>
        <v>432000</v>
      </c>
      <c r="H859" s="4354"/>
      <c r="I859" s="4387">
        <f t="shared" ref="I859:J922" si="68">IFERROR(ABS(F859-E859)/E859,"NO")</f>
        <v>0</v>
      </c>
      <c r="J859" s="4387">
        <f t="shared" si="68"/>
        <v>0</v>
      </c>
      <c r="K859" s="4354"/>
      <c r="L859" s="4354"/>
      <c r="M859" s="4354"/>
    </row>
    <row r="860" spans="1:13" x14ac:dyDescent="0.25">
      <c r="A860" s="4354"/>
      <c r="B860" s="4771">
        <v>1996</v>
      </c>
      <c r="C860" s="5089"/>
      <c r="D860" s="4444">
        <f t="shared" si="67"/>
        <v>432000</v>
      </c>
      <c r="E860" s="4779">
        <f>Table4.Gs2_2018!E46</f>
        <v>432000</v>
      </c>
      <c r="F860" s="4544">
        <f>Table4.Gs2_2019!E46</f>
        <v>432000</v>
      </c>
      <c r="G860" s="4498">
        <f>Table4.Gs2_2020!E46</f>
        <v>432000</v>
      </c>
      <c r="H860" s="4354"/>
      <c r="I860" s="4387">
        <f t="shared" si="68"/>
        <v>0</v>
      </c>
      <c r="J860" s="4387">
        <f t="shared" si="68"/>
        <v>0</v>
      </c>
      <c r="K860" s="4354"/>
      <c r="L860" s="4354"/>
      <c r="M860" s="4354"/>
    </row>
    <row r="861" spans="1:13" x14ac:dyDescent="0.25">
      <c r="A861" s="4354"/>
      <c r="B861" s="4771">
        <v>1997</v>
      </c>
      <c r="C861" s="5089"/>
      <c r="D861" s="4444">
        <f t="shared" si="67"/>
        <v>417000</v>
      </c>
      <c r="E861" s="4779">
        <f>Table4.Gs2_2018!E47</f>
        <v>417000</v>
      </c>
      <c r="F861" s="4544">
        <f>Table4.Gs2_2019!E47</f>
        <v>417000</v>
      </c>
      <c r="G861" s="4498">
        <f>Table4.Gs2_2020!E47</f>
        <v>417000</v>
      </c>
      <c r="H861" s="4354"/>
      <c r="I861" s="4387">
        <f t="shared" si="68"/>
        <v>0</v>
      </c>
      <c r="J861" s="4387">
        <f t="shared" si="68"/>
        <v>0</v>
      </c>
      <c r="K861" s="4354"/>
      <c r="L861" s="4354"/>
      <c r="M861" s="4354"/>
    </row>
    <row r="862" spans="1:13" x14ac:dyDescent="0.25">
      <c r="A862" s="4354"/>
      <c r="B862" s="4771">
        <v>1998</v>
      </c>
      <c r="C862" s="5089"/>
      <c r="D862" s="4444">
        <f t="shared" si="67"/>
        <v>405000</v>
      </c>
      <c r="E862" s="4779">
        <f>Table4.Gs2_2018!E48</f>
        <v>405000</v>
      </c>
      <c r="F862" s="4544">
        <f>Table4.Gs2_2019!E48</f>
        <v>405000</v>
      </c>
      <c r="G862" s="4498">
        <f>Table4.Gs2_2020!E48</f>
        <v>405000</v>
      </c>
      <c r="H862" s="4354"/>
      <c r="I862" s="4387">
        <f t="shared" si="68"/>
        <v>0</v>
      </c>
      <c r="J862" s="4387">
        <f t="shared" si="68"/>
        <v>0</v>
      </c>
      <c r="K862" s="4354"/>
      <c r="L862" s="4354"/>
      <c r="M862" s="4354"/>
    </row>
    <row r="863" spans="1:13" x14ac:dyDescent="0.25">
      <c r="A863" s="4354"/>
      <c r="B863" s="4771">
        <v>1999</v>
      </c>
      <c r="C863" s="5089"/>
      <c r="D863" s="4444">
        <f t="shared" si="67"/>
        <v>352000</v>
      </c>
      <c r="E863" s="4779">
        <f>Table4.Gs2_2018!E49</f>
        <v>352000</v>
      </c>
      <c r="F863" s="4544">
        <f>Table4.Gs2_2019!E49</f>
        <v>352000</v>
      </c>
      <c r="G863" s="4498">
        <f>Table4.Gs2_2020!E49</f>
        <v>352000</v>
      </c>
      <c r="H863" s="4354"/>
      <c r="I863" s="4387">
        <f t="shared" si="68"/>
        <v>0</v>
      </c>
      <c r="J863" s="4387">
        <f t="shared" si="68"/>
        <v>0</v>
      </c>
      <c r="K863" s="4354"/>
      <c r="L863" s="4354"/>
      <c r="M863" s="4354"/>
    </row>
    <row r="864" spans="1:13" x14ac:dyDescent="0.25">
      <c r="A864" s="4354"/>
      <c r="B864" s="4771">
        <v>2000</v>
      </c>
      <c r="C864" s="5089"/>
      <c r="D864" s="4444">
        <f t="shared" si="67"/>
        <v>448000</v>
      </c>
      <c r="E864" s="4779">
        <f>Table4.Gs2_2018!E50</f>
        <v>448000</v>
      </c>
      <c r="F864" s="4544">
        <f>Table4.Gs2_2019!E50</f>
        <v>448000</v>
      </c>
      <c r="G864" s="4498">
        <f>Table4.Gs2_2020!E50</f>
        <v>448000</v>
      </c>
      <c r="H864" s="4354"/>
      <c r="I864" s="4387">
        <f t="shared" si="68"/>
        <v>0</v>
      </c>
      <c r="J864" s="4387">
        <f t="shared" si="68"/>
        <v>0</v>
      </c>
      <c r="K864" s="4354"/>
      <c r="L864" s="4354"/>
      <c r="M864" s="4354"/>
    </row>
    <row r="865" spans="1:13" x14ac:dyDescent="0.25">
      <c r="A865" s="4354"/>
      <c r="B865" s="4771">
        <v>2001</v>
      </c>
      <c r="C865" s="5089"/>
      <c r="D865" s="4444">
        <f t="shared" si="67"/>
        <v>378000</v>
      </c>
      <c r="E865" s="4779">
        <f>Table4.Gs2_2018!E51</f>
        <v>378000</v>
      </c>
      <c r="F865" s="4544">
        <f>Table4.Gs2_2019!E51</f>
        <v>378000</v>
      </c>
      <c r="G865" s="4498">
        <f>Table4.Gs2_2020!E51</f>
        <v>378000</v>
      </c>
      <c r="H865" s="4354"/>
      <c r="I865" s="4387">
        <f t="shared" si="68"/>
        <v>0</v>
      </c>
      <c r="J865" s="4387">
        <f t="shared" si="68"/>
        <v>0</v>
      </c>
      <c r="K865" s="4354"/>
      <c r="L865" s="4354"/>
      <c r="M865" s="4354"/>
    </row>
    <row r="866" spans="1:13" x14ac:dyDescent="0.25">
      <c r="A866" s="4354"/>
      <c r="B866" s="4771">
        <v>2002</v>
      </c>
      <c r="C866" s="5089"/>
      <c r="D866" s="4444">
        <f t="shared" si="67"/>
        <v>350000</v>
      </c>
      <c r="E866" s="4779">
        <f>Table4.Gs2_2018!E52</f>
        <v>350000</v>
      </c>
      <c r="F866" s="4544">
        <f>Table4.Gs2_2019!E52</f>
        <v>350000</v>
      </c>
      <c r="G866" s="4498">
        <f>Table4.Gs2_2020!E52</f>
        <v>350000</v>
      </c>
      <c r="H866" s="4354"/>
      <c r="I866" s="4387">
        <f t="shared" si="68"/>
        <v>0</v>
      </c>
      <c r="J866" s="4387">
        <f t="shared" si="68"/>
        <v>0</v>
      </c>
      <c r="K866" s="4354"/>
      <c r="L866" s="4354"/>
      <c r="M866" s="4354"/>
    </row>
    <row r="867" spans="1:13" x14ac:dyDescent="0.25">
      <c r="A867" s="4354"/>
      <c r="B867" s="4771">
        <v>2003</v>
      </c>
      <c r="C867" s="5089"/>
      <c r="D867" s="4444">
        <f t="shared" si="67"/>
        <v>401000</v>
      </c>
      <c r="E867" s="4779">
        <f>Table4.Gs2_2018!E53</f>
        <v>401000</v>
      </c>
      <c r="F867" s="4544">
        <f>Table4.Gs2_2019!E53</f>
        <v>401000</v>
      </c>
      <c r="G867" s="4498">
        <f>Table4.Gs2_2020!E53</f>
        <v>401000</v>
      </c>
      <c r="H867" s="4354"/>
      <c r="I867" s="4387">
        <f t="shared" si="68"/>
        <v>0</v>
      </c>
      <c r="J867" s="4387">
        <f t="shared" si="68"/>
        <v>0</v>
      </c>
      <c r="K867" s="4354"/>
      <c r="L867" s="4354"/>
      <c r="M867" s="4354"/>
    </row>
    <row r="868" spans="1:13" x14ac:dyDescent="0.25">
      <c r="A868" s="4354"/>
      <c r="B868" s="4771">
        <v>2004</v>
      </c>
      <c r="C868" s="5089"/>
      <c r="D868" s="4444">
        <f t="shared" si="67"/>
        <v>360000</v>
      </c>
      <c r="E868" s="4779">
        <f>Table4.Gs2_2018!E54</f>
        <v>360000</v>
      </c>
      <c r="F868" s="4544">
        <f>Table4.Gs2_2019!E54</f>
        <v>360000</v>
      </c>
      <c r="G868" s="4498">
        <f>Table4.Gs2_2020!E54</f>
        <v>360000</v>
      </c>
      <c r="H868" s="4354"/>
      <c r="I868" s="4387">
        <f t="shared" si="68"/>
        <v>0</v>
      </c>
      <c r="J868" s="4387">
        <f t="shared" si="68"/>
        <v>0</v>
      </c>
      <c r="K868" s="4354"/>
      <c r="L868" s="4354"/>
      <c r="M868" s="4354"/>
    </row>
    <row r="869" spans="1:13" x14ac:dyDescent="0.25">
      <c r="A869" s="4354"/>
      <c r="B869" s="4771">
        <v>2005</v>
      </c>
      <c r="C869" s="5089"/>
      <c r="D869" s="4444">
        <f t="shared" si="67"/>
        <v>345000</v>
      </c>
      <c r="E869" s="4779">
        <f>Table4.Gs2_2018!E55</f>
        <v>345000</v>
      </c>
      <c r="F869" s="4544">
        <f>Table4.Gs2_2019!E55</f>
        <v>345000</v>
      </c>
      <c r="G869" s="4498">
        <f>Table4.Gs2_2020!E55</f>
        <v>345000</v>
      </c>
      <c r="H869" s="4354"/>
      <c r="I869" s="4387">
        <f t="shared" si="68"/>
        <v>0</v>
      </c>
      <c r="J869" s="4387">
        <f t="shared" si="68"/>
        <v>0</v>
      </c>
      <c r="K869" s="4354"/>
      <c r="L869" s="4354"/>
      <c r="M869" s="4354"/>
    </row>
    <row r="870" spans="1:13" x14ac:dyDescent="0.25">
      <c r="A870" s="4354"/>
      <c r="B870" s="4771">
        <v>2006</v>
      </c>
      <c r="C870" s="5089"/>
      <c r="D870" s="4444">
        <f t="shared" si="67"/>
        <v>350500</v>
      </c>
      <c r="E870" s="4779">
        <f>Table4.Gs2_2018!E56</f>
        <v>350500</v>
      </c>
      <c r="F870" s="4544">
        <f>Table4.Gs2_2019!E56</f>
        <v>350500</v>
      </c>
      <c r="G870" s="4498">
        <f>Table4.Gs2_2020!E56</f>
        <v>350500</v>
      </c>
      <c r="H870" s="4354"/>
      <c r="I870" s="4387">
        <f t="shared" si="68"/>
        <v>0</v>
      </c>
      <c r="J870" s="4387">
        <f t="shared" si="68"/>
        <v>0</v>
      </c>
      <c r="K870" s="4354"/>
      <c r="L870" s="4354"/>
      <c r="M870" s="4354"/>
    </row>
    <row r="871" spans="1:13" x14ac:dyDescent="0.25">
      <c r="A871" s="4354"/>
      <c r="B871" s="4771">
        <v>2007</v>
      </c>
      <c r="C871" s="5089"/>
      <c r="D871" s="4444">
        <f t="shared" si="67"/>
        <v>356000</v>
      </c>
      <c r="E871" s="4779">
        <f>Table4.Gs2_2018!E57</f>
        <v>356000</v>
      </c>
      <c r="F871" s="4544">
        <f>Table4.Gs2_2019!E57</f>
        <v>356000</v>
      </c>
      <c r="G871" s="4498">
        <f>Table4.Gs2_2020!E57</f>
        <v>356000</v>
      </c>
      <c r="H871" s="4354"/>
      <c r="I871" s="4387">
        <f t="shared" si="68"/>
        <v>0</v>
      </c>
      <c r="J871" s="4387">
        <f t="shared" si="68"/>
        <v>0</v>
      </c>
      <c r="K871" s="4354"/>
      <c r="L871" s="4354"/>
      <c r="M871" s="4354"/>
    </row>
    <row r="872" spans="1:13" x14ac:dyDescent="0.25">
      <c r="A872" s="4354"/>
      <c r="B872" s="4771">
        <v>2008</v>
      </c>
      <c r="C872" s="5089"/>
      <c r="D872" s="4444">
        <f t="shared" si="67"/>
        <v>446000</v>
      </c>
      <c r="E872" s="4779">
        <f>Table4.Gs2_2018!E58</f>
        <v>446000</v>
      </c>
      <c r="F872" s="4544">
        <f>Table4.Gs2_2019!E58</f>
        <v>446000</v>
      </c>
      <c r="G872" s="4498">
        <f>Table4.Gs2_2020!E58</f>
        <v>446000</v>
      </c>
      <c r="H872" s="4354"/>
      <c r="I872" s="4387">
        <f t="shared" si="68"/>
        <v>0</v>
      </c>
      <c r="J872" s="4387">
        <f t="shared" si="68"/>
        <v>0</v>
      </c>
      <c r="K872" s="4354"/>
      <c r="L872" s="4354"/>
      <c r="M872" s="4354"/>
    </row>
    <row r="873" spans="1:13" x14ac:dyDescent="0.25">
      <c r="A873" s="4354"/>
      <c r="B873" s="4771">
        <v>2009</v>
      </c>
      <c r="C873" s="5089"/>
      <c r="D873" s="4444">
        <f t="shared" si="67"/>
        <v>446000</v>
      </c>
      <c r="E873" s="4779">
        <f>Table4.Gs2_2018!E59</f>
        <v>446000</v>
      </c>
      <c r="F873" s="4544">
        <f>Table4.Gs2_2019!E59</f>
        <v>446000</v>
      </c>
      <c r="G873" s="4498">
        <f>Table4.Gs2_2020!E59</f>
        <v>446000</v>
      </c>
      <c r="H873" s="4354"/>
      <c r="I873" s="4387">
        <f t="shared" si="68"/>
        <v>0</v>
      </c>
      <c r="J873" s="4387">
        <f t="shared" si="68"/>
        <v>0</v>
      </c>
      <c r="K873" s="4354"/>
      <c r="L873" s="4354"/>
      <c r="M873" s="4354"/>
    </row>
    <row r="874" spans="1:13" x14ac:dyDescent="0.25">
      <c r="A874" s="4354"/>
      <c r="B874" s="4771">
        <v>2010</v>
      </c>
      <c r="C874" s="5089"/>
      <c r="D874" s="4444">
        <f t="shared" si="67"/>
        <v>435414</v>
      </c>
      <c r="E874" s="4779">
        <f>Table4.Gs2_2018!E60</f>
        <v>435414</v>
      </c>
      <c r="F874" s="4544">
        <f>Table4.Gs2_2019!E60</f>
        <v>435414</v>
      </c>
      <c r="G874" s="4498">
        <f>Table4.Gs2_2020!E60</f>
        <v>435414</v>
      </c>
      <c r="H874" s="4354"/>
      <c r="I874" s="4387">
        <f t="shared" si="68"/>
        <v>0</v>
      </c>
      <c r="J874" s="4387">
        <f t="shared" si="68"/>
        <v>0</v>
      </c>
      <c r="K874" s="4354"/>
      <c r="L874" s="4354"/>
      <c r="M874" s="4354"/>
    </row>
    <row r="875" spans="1:13" x14ac:dyDescent="0.25">
      <c r="A875" s="4354"/>
      <c r="B875" s="4771">
        <v>2011</v>
      </c>
      <c r="C875" s="5089"/>
      <c r="D875" s="4444">
        <f t="shared" si="67"/>
        <v>367000</v>
      </c>
      <c r="E875" s="4779">
        <f>Table4.Gs2_2018!E61</f>
        <v>367000</v>
      </c>
      <c r="F875" s="4544">
        <f>Table4.Gs2_2019!E61</f>
        <v>367000</v>
      </c>
      <c r="G875" s="4498">
        <f>Table4.Gs2_2020!E61</f>
        <v>367000</v>
      </c>
      <c r="H875" s="4354"/>
      <c r="I875" s="4387">
        <f t="shared" si="68"/>
        <v>0</v>
      </c>
      <c r="J875" s="4387">
        <f t="shared" si="68"/>
        <v>0</v>
      </c>
      <c r="K875" s="4354"/>
      <c r="L875" s="4354"/>
      <c r="M875" s="4354"/>
    </row>
    <row r="876" spans="1:13" x14ac:dyDescent="0.25">
      <c r="A876" s="4354"/>
      <c r="B876" s="4771">
        <v>2012</v>
      </c>
      <c r="C876" s="5089"/>
      <c r="D876" s="4444">
        <f t="shared" si="67"/>
        <v>340000</v>
      </c>
      <c r="E876" s="4779">
        <f>Table4.Gs2_2018!E62</f>
        <v>340000</v>
      </c>
      <c r="F876" s="4544">
        <f>Table4.Gs2_2019!E62</f>
        <v>340000</v>
      </c>
      <c r="G876" s="4498">
        <f>Table4.Gs2_2020!E62</f>
        <v>340000</v>
      </c>
      <c r="H876" s="4354"/>
      <c r="I876" s="4387">
        <f t="shared" si="68"/>
        <v>0</v>
      </c>
      <c r="J876" s="4387">
        <f t="shared" si="68"/>
        <v>0</v>
      </c>
      <c r="K876" s="4354"/>
      <c r="L876" s="4354"/>
      <c r="M876" s="4354"/>
    </row>
    <row r="877" spans="1:13" x14ac:dyDescent="0.25">
      <c r="A877" s="4354"/>
      <c r="B877" s="4771">
        <v>2013</v>
      </c>
      <c r="C877" s="5089"/>
      <c r="D877" s="4444">
        <f t="shared" si="67"/>
        <v>346000</v>
      </c>
      <c r="E877" s="4779">
        <f>Table4.Gs2_2018!E63</f>
        <v>346000</v>
      </c>
      <c r="F877" s="4544">
        <f>Table4.Gs2_2019!E63</f>
        <v>346000</v>
      </c>
      <c r="G877" s="4498">
        <f>Table4.Gs2_2020!E63</f>
        <v>346000</v>
      </c>
      <c r="H877" s="4354"/>
      <c r="I877" s="4387">
        <f t="shared" si="68"/>
        <v>0</v>
      </c>
      <c r="J877" s="4387">
        <f t="shared" si="68"/>
        <v>0</v>
      </c>
      <c r="K877" s="4354"/>
      <c r="L877" s="4354"/>
      <c r="M877" s="4354"/>
    </row>
    <row r="878" spans="1:13" x14ac:dyDescent="0.25">
      <c r="A878" s="4354"/>
      <c r="B878" s="4771">
        <v>2014</v>
      </c>
      <c r="C878" s="5089"/>
      <c r="D878" s="4444">
        <f t="shared" si="67"/>
        <v>367000</v>
      </c>
      <c r="E878" s="4779">
        <f>Table4.Gs2_2018!E64</f>
        <v>367000</v>
      </c>
      <c r="F878" s="4544">
        <f>Table4.Gs2_2019!E64</f>
        <v>367000</v>
      </c>
      <c r="G878" s="4498">
        <f>Table4.Gs2_2020!E64</f>
        <v>367000</v>
      </c>
      <c r="H878" s="4354"/>
      <c r="I878" s="4387">
        <f t="shared" si="68"/>
        <v>0</v>
      </c>
      <c r="J878" s="4387">
        <f t="shared" si="68"/>
        <v>0</v>
      </c>
      <c r="K878" s="4354"/>
      <c r="L878" s="4354"/>
      <c r="M878" s="4354"/>
    </row>
    <row r="879" spans="1:13" x14ac:dyDescent="0.25">
      <c r="A879" s="4354"/>
      <c r="B879" s="4771">
        <v>2015</v>
      </c>
      <c r="C879" s="5089"/>
      <c r="D879" s="4444">
        <f t="shared" si="67"/>
        <v>387000</v>
      </c>
      <c r="E879" s="4779">
        <f>Table4.Gs2_2018!E65</f>
        <v>387000</v>
      </c>
      <c r="F879" s="4544">
        <f>Table4.Gs2_2019!E65</f>
        <v>387000</v>
      </c>
      <c r="G879" s="4498">
        <f>Table4.Gs2_2020!E65</f>
        <v>387000</v>
      </c>
      <c r="H879" s="4354"/>
      <c r="I879" s="4387">
        <f t="shared" si="68"/>
        <v>0</v>
      </c>
      <c r="J879" s="4387">
        <f t="shared" si="68"/>
        <v>0</v>
      </c>
      <c r="K879" s="4354"/>
      <c r="L879" s="4354"/>
      <c r="M879" s="4354"/>
    </row>
    <row r="880" spans="1:13" x14ac:dyDescent="0.25">
      <c r="A880" s="4354"/>
      <c r="B880" s="4771">
        <v>2016</v>
      </c>
      <c r="C880" s="5089"/>
      <c r="D880" s="4444">
        <f t="shared" si="67"/>
        <v>387000</v>
      </c>
      <c r="E880" s="4779">
        <f>Table4.Gs2_2018!E66</f>
        <v>387000</v>
      </c>
      <c r="F880" s="4544">
        <f>Table4.Gs2_2019!E66</f>
        <v>387000</v>
      </c>
      <c r="G880" s="4498">
        <f>Table4.Gs2_2020!E66</f>
        <v>387000</v>
      </c>
      <c r="H880" s="4354"/>
      <c r="I880" s="4387">
        <f t="shared" si="68"/>
        <v>0</v>
      </c>
      <c r="J880" s="4387">
        <f t="shared" si="68"/>
        <v>0</v>
      </c>
      <c r="K880" s="4354"/>
      <c r="L880" s="4354"/>
      <c r="M880" s="4354"/>
    </row>
    <row r="881" spans="1:13" x14ac:dyDescent="0.25">
      <c r="A881" s="4354"/>
      <c r="B881" s="4771">
        <v>2017</v>
      </c>
      <c r="C881" s="5089"/>
      <c r="D881" s="4444">
        <f t="shared" si="67"/>
        <v>428300</v>
      </c>
      <c r="E881" s="4779">
        <f>Table4.Gs2_2018!E67</f>
        <v>428300</v>
      </c>
      <c r="F881" s="4544">
        <f>Table4.Gs2_2019!E67</f>
        <v>428300</v>
      </c>
      <c r="G881" s="4498">
        <f>Table4.Gs2_2020!E67</f>
        <v>428300</v>
      </c>
      <c r="H881" s="4354"/>
      <c r="I881" s="4387">
        <f t="shared" si="68"/>
        <v>0</v>
      </c>
      <c r="J881" s="4387">
        <f t="shared" si="68"/>
        <v>0</v>
      </c>
      <c r="K881" s="4354"/>
      <c r="L881" s="4354"/>
      <c r="M881" s="4354"/>
    </row>
    <row r="882" spans="1:13" x14ac:dyDescent="0.25">
      <c r="A882" s="4354"/>
      <c r="B882" s="4771">
        <v>2018</v>
      </c>
      <c r="C882" s="5089"/>
      <c r="D882" s="4444">
        <f t="shared" si="67"/>
        <v>428300</v>
      </c>
      <c r="E882" s="4779">
        <f>Table4.Gs2_2018!E68</f>
        <v>428300</v>
      </c>
      <c r="F882" s="4544">
        <f>Table4.Gs2_2019!E68</f>
        <v>428300</v>
      </c>
      <c r="G882" s="4498">
        <f>Table4.Gs2_2020!E68</f>
        <v>428300</v>
      </c>
      <c r="H882" s="4354"/>
      <c r="I882" s="4387">
        <f t="shared" si="68"/>
        <v>0</v>
      </c>
      <c r="J882" s="4387">
        <f t="shared" si="68"/>
        <v>0</v>
      </c>
      <c r="K882" s="4354"/>
      <c r="L882" s="4354"/>
      <c r="M882" s="4354"/>
    </row>
    <row r="883" spans="1:13" x14ac:dyDescent="0.25">
      <c r="A883" s="4499"/>
      <c r="B883" s="4771">
        <v>2019</v>
      </c>
      <c r="C883" s="5089"/>
      <c r="D883" s="4444">
        <f t="shared" si="67"/>
        <v>349000</v>
      </c>
      <c r="E883" s="4780">
        <f>G883</f>
        <v>349000</v>
      </c>
      <c r="F883" s="4544">
        <f>Table4.Gs2_2019!E69</f>
        <v>349000</v>
      </c>
      <c r="G883" s="4498">
        <f>Table4.Gs2_2020!E69</f>
        <v>349000</v>
      </c>
      <c r="H883" s="4354"/>
      <c r="I883" s="4387">
        <f t="shared" si="68"/>
        <v>0</v>
      </c>
      <c r="J883" s="4387">
        <f t="shared" si="68"/>
        <v>0</v>
      </c>
      <c r="K883" s="4354"/>
      <c r="L883" s="4354"/>
      <c r="M883" s="4354"/>
    </row>
    <row r="884" spans="1:13" ht="15.75" thickBot="1" x14ac:dyDescent="0.3">
      <c r="A884" s="4499"/>
      <c r="B884" s="4776">
        <v>2020</v>
      </c>
      <c r="C884" s="5090"/>
      <c r="D884" s="4444">
        <f t="shared" si="67"/>
        <v>348540</v>
      </c>
      <c r="E884" s="4782">
        <f>G884</f>
        <v>348540</v>
      </c>
      <c r="F884" s="4783">
        <f>G884</f>
        <v>348540</v>
      </c>
      <c r="G884" s="4498">
        <f>Table4.Gs2_2020!E70</f>
        <v>348540</v>
      </c>
      <c r="H884" s="4354"/>
      <c r="I884" s="4387">
        <f t="shared" si="68"/>
        <v>0</v>
      </c>
      <c r="J884" s="4387">
        <f t="shared" si="68"/>
        <v>0</v>
      </c>
      <c r="K884" s="4354"/>
      <c r="L884" s="4354"/>
      <c r="M884" s="4354"/>
    </row>
    <row r="885" spans="1:13" x14ac:dyDescent="0.25">
      <c r="A885" s="4354"/>
      <c r="B885" s="4767">
        <v>1990</v>
      </c>
      <c r="C885" s="5088" t="s">
        <v>5255</v>
      </c>
      <c r="D885" s="4438">
        <f t="shared" si="67"/>
        <v>589200</v>
      </c>
      <c r="E885" s="4757">
        <f>Table4.Gs2_2018!F40</f>
        <v>589200</v>
      </c>
      <c r="F885" s="4541">
        <f>Table4.Gs2_2019!F40</f>
        <v>589200</v>
      </c>
      <c r="G885" s="4542">
        <f>Table4.Gs2_2020!F40</f>
        <v>589200</v>
      </c>
      <c r="H885" s="4354"/>
      <c r="I885" s="4387">
        <f t="shared" si="68"/>
        <v>0</v>
      </c>
      <c r="J885" s="4387">
        <f t="shared" si="68"/>
        <v>0</v>
      </c>
      <c r="K885" s="4354"/>
      <c r="L885" s="4354"/>
      <c r="M885" s="4354"/>
    </row>
    <row r="886" spans="1:13" x14ac:dyDescent="0.25">
      <c r="A886" s="4354"/>
      <c r="B886" s="4771">
        <v>1991</v>
      </c>
      <c r="C886" s="5089"/>
      <c r="D886" s="4444">
        <f t="shared" ref="D886:D948" si="69">IF($D$3=$E$3,E886,IF($D$3=$F$3,F886,IF($D$3=$G$3,G886,"-")))</f>
        <v>556000</v>
      </c>
      <c r="E886" s="4779">
        <f>Table4.Gs2_2018!F41</f>
        <v>556000</v>
      </c>
      <c r="F886" s="4544">
        <f>Table4.Gs2_2019!F41</f>
        <v>556000</v>
      </c>
      <c r="G886" s="4498">
        <f>Table4.Gs2_2020!F41</f>
        <v>556000</v>
      </c>
      <c r="H886" s="4354"/>
      <c r="I886" s="4387">
        <f t="shared" si="68"/>
        <v>0</v>
      </c>
      <c r="J886" s="4387">
        <f t="shared" si="68"/>
        <v>0</v>
      </c>
      <c r="K886" s="4354"/>
      <c r="L886" s="4354"/>
      <c r="M886" s="4354"/>
    </row>
    <row r="887" spans="1:13" x14ac:dyDescent="0.25">
      <c r="A887" s="4354"/>
      <c r="B887" s="4771">
        <v>1992</v>
      </c>
      <c r="C887" s="5089"/>
      <c r="D887" s="4444">
        <f t="shared" si="69"/>
        <v>536718</v>
      </c>
      <c r="E887" s="4779">
        <f>Table4.Gs2_2018!F42</f>
        <v>536718</v>
      </c>
      <c r="F887" s="4544">
        <f>Table4.Gs2_2019!F42</f>
        <v>536718</v>
      </c>
      <c r="G887" s="4498">
        <f>Table4.Gs2_2020!F42</f>
        <v>536718</v>
      </c>
      <c r="H887" s="4354"/>
      <c r="I887" s="4387">
        <f t="shared" si="68"/>
        <v>0</v>
      </c>
      <c r="J887" s="4387">
        <f t="shared" si="68"/>
        <v>0</v>
      </c>
      <c r="K887" s="4354"/>
      <c r="L887" s="4354"/>
      <c r="M887" s="4354"/>
    </row>
    <row r="888" spans="1:13" x14ac:dyDescent="0.25">
      <c r="A888" s="4354"/>
      <c r="B888" s="4771">
        <v>1993</v>
      </c>
      <c r="C888" s="5089"/>
      <c r="D888" s="4444">
        <f t="shared" si="69"/>
        <v>476600</v>
      </c>
      <c r="E888" s="4779">
        <f>Table4.Gs2_2018!F43</f>
        <v>476600</v>
      </c>
      <c r="F888" s="4544">
        <f>Table4.Gs2_2019!F43</f>
        <v>476600</v>
      </c>
      <c r="G888" s="4498">
        <f>Table4.Gs2_2020!F43</f>
        <v>476600</v>
      </c>
      <c r="H888" s="4354"/>
      <c r="I888" s="4387">
        <f t="shared" si="68"/>
        <v>0</v>
      </c>
      <c r="J888" s="4387">
        <f t="shared" si="68"/>
        <v>0</v>
      </c>
      <c r="K888" s="4354"/>
      <c r="L888" s="4354"/>
      <c r="M888" s="4354"/>
    </row>
    <row r="889" spans="1:13" x14ac:dyDescent="0.25">
      <c r="A889" s="4354"/>
      <c r="B889" s="4771">
        <v>1994</v>
      </c>
      <c r="C889" s="5089"/>
      <c r="D889" s="4444">
        <f t="shared" si="69"/>
        <v>576000</v>
      </c>
      <c r="E889" s="4779">
        <f>Table4.Gs2_2018!F44</f>
        <v>576000</v>
      </c>
      <c r="F889" s="4544">
        <f>Table4.Gs2_2019!F44</f>
        <v>576000</v>
      </c>
      <c r="G889" s="4498">
        <f>Table4.Gs2_2020!F44</f>
        <v>576000</v>
      </c>
      <c r="H889" s="4354"/>
      <c r="I889" s="4387">
        <f t="shared" si="68"/>
        <v>0</v>
      </c>
      <c r="J889" s="4387">
        <f t="shared" si="68"/>
        <v>0</v>
      </c>
      <c r="K889" s="4354"/>
      <c r="L889" s="4354"/>
      <c r="M889" s="4354"/>
    </row>
    <row r="890" spans="1:13" x14ac:dyDescent="0.25">
      <c r="A890" s="4354"/>
      <c r="B890" s="4771">
        <v>1995</v>
      </c>
      <c r="C890" s="5089"/>
      <c r="D890" s="4444">
        <f t="shared" si="69"/>
        <v>570000</v>
      </c>
      <c r="E890" s="4779">
        <f>Table4.Gs2_2018!F45</f>
        <v>570000</v>
      </c>
      <c r="F890" s="4544">
        <f>Table4.Gs2_2019!F45</f>
        <v>570000</v>
      </c>
      <c r="G890" s="4498">
        <f>Table4.Gs2_2020!F45</f>
        <v>570000</v>
      </c>
      <c r="H890" s="4354"/>
      <c r="I890" s="4387">
        <f t="shared" si="68"/>
        <v>0</v>
      </c>
      <c r="J890" s="4387">
        <f t="shared" si="68"/>
        <v>0</v>
      </c>
      <c r="K890" s="4354"/>
      <c r="L890" s="4354"/>
      <c r="M890" s="4354"/>
    </row>
    <row r="891" spans="1:13" x14ac:dyDescent="0.25">
      <c r="A891" s="4354"/>
      <c r="B891" s="4771">
        <v>1996</v>
      </c>
      <c r="C891" s="5089"/>
      <c r="D891" s="4444">
        <f t="shared" si="69"/>
        <v>525100</v>
      </c>
      <c r="E891" s="4779">
        <f>Table4.Gs2_2018!F46</f>
        <v>525100</v>
      </c>
      <c r="F891" s="4544">
        <f>Table4.Gs2_2019!F46</f>
        <v>525100</v>
      </c>
      <c r="G891" s="4498">
        <f>Table4.Gs2_2020!F46</f>
        <v>525100</v>
      </c>
      <c r="H891" s="4354"/>
      <c r="I891" s="4387">
        <f t="shared" si="68"/>
        <v>0</v>
      </c>
      <c r="J891" s="4387">
        <f t="shared" si="68"/>
        <v>0</v>
      </c>
      <c r="K891" s="4354"/>
      <c r="L891" s="4354"/>
      <c r="M891" s="4354"/>
    </row>
    <row r="892" spans="1:13" x14ac:dyDescent="0.25">
      <c r="A892" s="4354"/>
      <c r="B892" s="4771">
        <v>1997</v>
      </c>
      <c r="C892" s="5089"/>
      <c r="D892" s="4444">
        <f t="shared" si="69"/>
        <v>724700</v>
      </c>
      <c r="E892" s="4779">
        <f>Table4.Gs2_2018!F47</f>
        <v>724700</v>
      </c>
      <c r="F892" s="4544">
        <f>Table4.Gs2_2019!F47</f>
        <v>724700</v>
      </c>
      <c r="G892" s="4498">
        <f>Table4.Gs2_2020!F47</f>
        <v>724700</v>
      </c>
      <c r="H892" s="4354"/>
      <c r="I892" s="4387">
        <f t="shared" si="68"/>
        <v>0</v>
      </c>
      <c r="J892" s="4387">
        <f t="shared" si="68"/>
        <v>0</v>
      </c>
      <c r="K892" s="4354"/>
      <c r="L892" s="4354"/>
      <c r="M892" s="4354"/>
    </row>
    <row r="893" spans="1:13" x14ac:dyDescent="0.25">
      <c r="A893" s="4354"/>
      <c r="B893" s="4771">
        <v>1998</v>
      </c>
      <c r="C893" s="5089"/>
      <c r="D893" s="4444">
        <f t="shared" si="69"/>
        <v>990000</v>
      </c>
      <c r="E893" s="4779">
        <f>Table4.Gs2_2018!F48</f>
        <v>990000</v>
      </c>
      <c r="F893" s="4544">
        <f>Table4.Gs2_2019!F48</f>
        <v>990000</v>
      </c>
      <c r="G893" s="4498">
        <f>Table4.Gs2_2020!F48</f>
        <v>990000</v>
      </c>
      <c r="H893" s="4354"/>
      <c r="I893" s="4387">
        <f t="shared" si="68"/>
        <v>0</v>
      </c>
      <c r="J893" s="4387">
        <f t="shared" si="68"/>
        <v>0</v>
      </c>
      <c r="K893" s="4354"/>
      <c r="L893" s="4354"/>
      <c r="M893" s="4354"/>
    </row>
    <row r="894" spans="1:13" x14ac:dyDescent="0.25">
      <c r="A894" s="4354"/>
      <c r="B894" s="4771">
        <v>1999</v>
      </c>
      <c r="C894" s="5089"/>
      <c r="D894" s="4444">
        <f t="shared" si="69"/>
        <v>1036000</v>
      </c>
      <c r="E894" s="4779">
        <f>Table4.Gs2_2018!F49</f>
        <v>1036000</v>
      </c>
      <c r="F894" s="4544">
        <f>Table4.Gs2_2019!F49</f>
        <v>1036000</v>
      </c>
      <c r="G894" s="4498">
        <f>Table4.Gs2_2020!F49</f>
        <v>1036000</v>
      </c>
      <c r="H894" s="4354"/>
      <c r="I894" s="4387">
        <f t="shared" si="68"/>
        <v>0</v>
      </c>
      <c r="J894" s="4387">
        <f t="shared" si="68"/>
        <v>0</v>
      </c>
      <c r="K894" s="4354"/>
      <c r="L894" s="4354"/>
      <c r="M894" s="4354"/>
    </row>
    <row r="895" spans="1:13" x14ac:dyDescent="0.25">
      <c r="A895" s="4354"/>
      <c r="B895" s="4771">
        <v>2000</v>
      </c>
      <c r="C895" s="5089"/>
      <c r="D895" s="4444">
        <f t="shared" si="69"/>
        <v>1032000</v>
      </c>
      <c r="E895" s="4779">
        <f>Table4.Gs2_2018!F50</f>
        <v>1032000</v>
      </c>
      <c r="F895" s="4544">
        <f>Table4.Gs2_2019!F50</f>
        <v>1032000</v>
      </c>
      <c r="G895" s="4498">
        <f>Table4.Gs2_2020!F50</f>
        <v>1032000</v>
      </c>
      <c r="H895" s="4354"/>
      <c r="I895" s="4387">
        <f t="shared" si="68"/>
        <v>0</v>
      </c>
      <c r="J895" s="4387">
        <f t="shared" si="68"/>
        <v>0</v>
      </c>
      <c r="K895" s="4354"/>
      <c r="L895" s="4354"/>
      <c r="M895" s="4354"/>
    </row>
    <row r="896" spans="1:13" x14ac:dyDescent="0.25">
      <c r="A896" s="4354"/>
      <c r="B896" s="4771">
        <v>2001</v>
      </c>
      <c r="C896" s="5089"/>
      <c r="D896" s="4444">
        <f t="shared" si="69"/>
        <v>1088000</v>
      </c>
      <c r="E896" s="4779">
        <f>Table4.Gs2_2018!F51</f>
        <v>1088000</v>
      </c>
      <c r="F896" s="4544">
        <f>Table4.Gs2_2019!F51</f>
        <v>1088000</v>
      </c>
      <c r="G896" s="4498">
        <f>Table4.Gs2_2020!F51</f>
        <v>1088000</v>
      </c>
      <c r="H896" s="4354"/>
      <c r="I896" s="4387">
        <f t="shared" si="68"/>
        <v>0</v>
      </c>
      <c r="J896" s="4387">
        <f t="shared" si="68"/>
        <v>0</v>
      </c>
      <c r="K896" s="4354"/>
      <c r="L896" s="4354"/>
      <c r="M896" s="4354"/>
    </row>
    <row r="897" spans="1:13" x14ac:dyDescent="0.25">
      <c r="A897" s="4354"/>
      <c r="B897" s="4771">
        <v>2002</v>
      </c>
      <c r="C897" s="5089"/>
      <c r="D897" s="4444">
        <f t="shared" si="69"/>
        <v>1184198</v>
      </c>
      <c r="E897" s="4779">
        <f>Table4.Gs2_2018!F52</f>
        <v>1184198</v>
      </c>
      <c r="F897" s="4544">
        <f>Table4.Gs2_2019!F52</f>
        <v>1184198</v>
      </c>
      <c r="G897" s="4498">
        <f>Table4.Gs2_2020!F52</f>
        <v>1184198</v>
      </c>
      <c r="H897" s="4354"/>
      <c r="I897" s="4387">
        <f t="shared" si="68"/>
        <v>0</v>
      </c>
      <c r="J897" s="4387">
        <f t="shared" si="68"/>
        <v>0</v>
      </c>
      <c r="K897" s="4354"/>
      <c r="L897" s="4354"/>
      <c r="M897" s="4354"/>
    </row>
    <row r="898" spans="1:13" x14ac:dyDescent="0.25">
      <c r="A898" s="4354"/>
      <c r="B898" s="4771">
        <v>2003</v>
      </c>
      <c r="C898" s="5089"/>
      <c r="D898" s="4444">
        <f t="shared" si="69"/>
        <v>1298779</v>
      </c>
      <c r="E898" s="4779">
        <f>Table4.Gs2_2018!F53</f>
        <v>1298779</v>
      </c>
      <c r="F898" s="4544">
        <f>Table4.Gs2_2019!F53</f>
        <v>1298779</v>
      </c>
      <c r="G898" s="4498">
        <f>Table4.Gs2_2020!F53</f>
        <v>1298779</v>
      </c>
      <c r="H898" s="4354"/>
      <c r="I898" s="4387">
        <f t="shared" si="68"/>
        <v>0</v>
      </c>
      <c r="J898" s="4387">
        <f t="shared" si="68"/>
        <v>0</v>
      </c>
      <c r="K898" s="4354"/>
      <c r="L898" s="4354"/>
      <c r="M898" s="4354"/>
    </row>
    <row r="899" spans="1:13" x14ac:dyDescent="0.25">
      <c r="A899" s="4354"/>
      <c r="B899" s="4771">
        <v>2004</v>
      </c>
      <c r="C899" s="5089"/>
      <c r="D899" s="4444">
        <f t="shared" si="69"/>
        <v>1467745</v>
      </c>
      <c r="E899" s="4779">
        <f>Table4.Gs2_2018!F54</f>
        <v>1467745</v>
      </c>
      <c r="F899" s="4544">
        <f>Table4.Gs2_2019!F54</f>
        <v>1467745</v>
      </c>
      <c r="G899" s="4498">
        <f>Table4.Gs2_2020!F54</f>
        <v>1467745</v>
      </c>
      <c r="H899" s="4354"/>
      <c r="I899" s="4387">
        <f t="shared" si="68"/>
        <v>0</v>
      </c>
      <c r="J899" s="4387">
        <f t="shared" si="68"/>
        <v>0</v>
      </c>
      <c r="K899" s="4354"/>
      <c r="L899" s="4354"/>
      <c r="M899" s="4354"/>
    </row>
    <row r="900" spans="1:13" x14ac:dyDescent="0.25">
      <c r="A900" s="4354"/>
      <c r="B900" s="4771">
        <v>2005</v>
      </c>
      <c r="C900" s="5089"/>
      <c r="D900" s="4444">
        <f t="shared" si="69"/>
        <v>1490074</v>
      </c>
      <c r="E900" s="4779">
        <f>Table4.Gs2_2018!F55</f>
        <v>1490074</v>
      </c>
      <c r="F900" s="4544">
        <f>Table4.Gs2_2019!F55</f>
        <v>1490074</v>
      </c>
      <c r="G900" s="4498">
        <f>Table4.Gs2_2020!F55</f>
        <v>1490074</v>
      </c>
      <c r="H900" s="4354"/>
      <c r="I900" s="4387">
        <f t="shared" si="68"/>
        <v>0</v>
      </c>
      <c r="J900" s="4387">
        <f t="shared" si="68"/>
        <v>0</v>
      </c>
      <c r="K900" s="4354"/>
      <c r="L900" s="4354"/>
      <c r="M900" s="4354"/>
    </row>
    <row r="901" spans="1:13" x14ac:dyDescent="0.25">
      <c r="A901" s="4354"/>
      <c r="B901" s="4771">
        <v>2006</v>
      </c>
      <c r="C901" s="5089"/>
      <c r="D901" s="4444">
        <f t="shared" si="69"/>
        <v>1612722</v>
      </c>
      <c r="E901" s="4779">
        <f>Table4.Gs2_2018!F56</f>
        <v>1612722</v>
      </c>
      <c r="F901" s="4544">
        <f>Table4.Gs2_2019!F56</f>
        <v>1612722</v>
      </c>
      <c r="G901" s="4498">
        <f>Table4.Gs2_2020!F56</f>
        <v>1612722</v>
      </c>
      <c r="H901" s="4354"/>
      <c r="I901" s="4387">
        <f t="shared" si="68"/>
        <v>0</v>
      </c>
      <c r="J901" s="4387">
        <f t="shared" si="68"/>
        <v>0</v>
      </c>
      <c r="K901" s="4354"/>
      <c r="L901" s="4354"/>
      <c r="M901" s="4354"/>
    </row>
    <row r="902" spans="1:13" x14ac:dyDescent="0.25">
      <c r="A902" s="4354"/>
      <c r="B902" s="4771">
        <v>2007</v>
      </c>
      <c r="C902" s="5089"/>
      <c r="D902" s="4444">
        <f t="shared" si="69"/>
        <v>1916925</v>
      </c>
      <c r="E902" s="4779">
        <f>Table4.Gs2_2018!F57</f>
        <v>1916925</v>
      </c>
      <c r="F902" s="4544">
        <f>Table4.Gs2_2019!F57</f>
        <v>1916925</v>
      </c>
      <c r="G902" s="4498">
        <f>Table4.Gs2_2020!F57</f>
        <v>1916925</v>
      </c>
      <c r="H902" s="4354"/>
      <c r="I902" s="4387">
        <f t="shared" si="68"/>
        <v>0</v>
      </c>
      <c r="J902" s="4387">
        <f t="shared" si="68"/>
        <v>0</v>
      </c>
      <c r="K902" s="4354"/>
      <c r="L902" s="4354"/>
      <c r="M902" s="4354"/>
    </row>
    <row r="903" spans="1:13" x14ac:dyDescent="0.25">
      <c r="A903" s="4354"/>
      <c r="B903" s="4771">
        <v>2008</v>
      </c>
      <c r="C903" s="5089"/>
      <c r="D903" s="4444">
        <f t="shared" si="69"/>
        <v>1876119</v>
      </c>
      <c r="E903" s="4779">
        <f>Table4.Gs2_2018!F58</f>
        <v>1876119</v>
      </c>
      <c r="F903" s="4544">
        <f>Table4.Gs2_2019!F58</f>
        <v>1876119</v>
      </c>
      <c r="G903" s="4498">
        <f>Table4.Gs2_2020!F58</f>
        <v>1876119</v>
      </c>
      <c r="H903" s="4354"/>
      <c r="I903" s="4387">
        <f t="shared" si="68"/>
        <v>0</v>
      </c>
      <c r="J903" s="4387">
        <f t="shared" si="68"/>
        <v>0</v>
      </c>
      <c r="K903" s="4354"/>
      <c r="L903" s="4354"/>
      <c r="M903" s="4354"/>
    </row>
    <row r="904" spans="1:13" x14ac:dyDescent="0.25">
      <c r="A904" s="4354"/>
      <c r="B904" s="4771">
        <v>2009</v>
      </c>
      <c r="C904" s="5089"/>
      <c r="D904" s="4444">
        <f t="shared" si="69"/>
        <v>1009395</v>
      </c>
      <c r="E904" s="4779">
        <f>Table4.Gs2_2018!F59</f>
        <v>1009395</v>
      </c>
      <c r="F904" s="4544">
        <f>Table4.Gs2_2019!F59</f>
        <v>1009395</v>
      </c>
      <c r="G904" s="4498">
        <f>Table4.Gs2_2020!F59</f>
        <v>1009395</v>
      </c>
      <c r="H904" s="4354"/>
      <c r="I904" s="4387">
        <f t="shared" si="68"/>
        <v>0</v>
      </c>
      <c r="J904" s="4387">
        <f t="shared" si="68"/>
        <v>0</v>
      </c>
      <c r="K904" s="4354"/>
      <c r="L904" s="4354"/>
      <c r="M904" s="4354"/>
    </row>
    <row r="905" spans="1:13" x14ac:dyDescent="0.25">
      <c r="A905" s="4354"/>
      <c r="B905" s="4771">
        <v>2010</v>
      </c>
      <c r="C905" s="5089"/>
      <c r="D905" s="4444">
        <f t="shared" si="69"/>
        <v>882935</v>
      </c>
      <c r="E905" s="4779">
        <f>Table4.Gs2_2018!F60</f>
        <v>882935</v>
      </c>
      <c r="F905" s="4544">
        <f>Table4.Gs2_2019!F60</f>
        <v>882935</v>
      </c>
      <c r="G905" s="4498">
        <f>Table4.Gs2_2020!F60</f>
        <v>882935</v>
      </c>
      <c r="H905" s="4354"/>
      <c r="I905" s="4387">
        <f t="shared" si="68"/>
        <v>0</v>
      </c>
      <c r="J905" s="4387">
        <f t="shared" si="68"/>
        <v>0</v>
      </c>
      <c r="K905" s="4354"/>
      <c r="L905" s="4354"/>
      <c r="M905" s="4354"/>
    </row>
    <row r="906" spans="1:13" x14ac:dyDescent="0.25">
      <c r="A906" s="4354"/>
      <c r="B906" s="4771">
        <v>2011</v>
      </c>
      <c r="C906" s="5089"/>
      <c r="D906" s="4444">
        <f t="shared" si="69"/>
        <v>1027444</v>
      </c>
      <c r="E906" s="4779">
        <f>Table4.Gs2_2018!F61</f>
        <v>1027444</v>
      </c>
      <c r="F906" s="4544">
        <f>Table4.Gs2_2019!F61</f>
        <v>1027444</v>
      </c>
      <c r="G906" s="4498">
        <f>Table4.Gs2_2020!F61</f>
        <v>1027444</v>
      </c>
      <c r="H906" s="4354"/>
      <c r="I906" s="4387">
        <f t="shared" si="68"/>
        <v>0</v>
      </c>
      <c r="J906" s="4387">
        <f t="shared" si="68"/>
        <v>0</v>
      </c>
      <c r="K906" s="4354"/>
      <c r="L906" s="4354"/>
      <c r="M906" s="4354"/>
    </row>
    <row r="907" spans="1:13" x14ac:dyDescent="0.25">
      <c r="A907" s="4354"/>
      <c r="B907" s="4771">
        <v>2012</v>
      </c>
      <c r="C907" s="5089"/>
      <c r="D907" s="4444">
        <f t="shared" si="69"/>
        <v>745524</v>
      </c>
      <c r="E907" s="4779">
        <f>Table4.Gs2_2018!F62</f>
        <v>745524</v>
      </c>
      <c r="F907" s="4544">
        <f>Table4.Gs2_2019!F62</f>
        <v>745524</v>
      </c>
      <c r="G907" s="4498">
        <f>Table4.Gs2_2020!F62</f>
        <v>745524</v>
      </c>
      <c r="H907" s="4354"/>
      <c r="I907" s="4387">
        <f t="shared" si="68"/>
        <v>0</v>
      </c>
      <c r="J907" s="4387">
        <f t="shared" si="68"/>
        <v>0</v>
      </c>
      <c r="K907" s="4354"/>
      <c r="L907" s="4354"/>
      <c r="M907" s="4354"/>
    </row>
    <row r="908" spans="1:13" x14ac:dyDescent="0.25">
      <c r="A908" s="4354"/>
      <c r="B908" s="4771">
        <v>2013</v>
      </c>
      <c r="C908" s="5089"/>
      <c r="D908" s="4444">
        <f t="shared" si="69"/>
        <v>749612</v>
      </c>
      <c r="E908" s="4779">
        <f>Table4.Gs2_2018!F63</f>
        <v>749612</v>
      </c>
      <c r="F908" s="4544">
        <f>Table4.Gs2_2019!F63</f>
        <v>749612</v>
      </c>
      <c r="G908" s="4498">
        <f>Table4.Gs2_2020!F63</f>
        <v>749612</v>
      </c>
      <c r="H908" s="4354"/>
      <c r="I908" s="4387">
        <f t="shared" si="68"/>
        <v>0</v>
      </c>
      <c r="J908" s="4387">
        <f t="shared" si="68"/>
        <v>0</v>
      </c>
      <c r="K908" s="4354"/>
      <c r="L908" s="4354"/>
      <c r="M908" s="4354"/>
    </row>
    <row r="909" spans="1:13" x14ac:dyDescent="0.25">
      <c r="A909" s="4354"/>
      <c r="B909" s="4771">
        <v>2014</v>
      </c>
      <c r="C909" s="5089"/>
      <c r="D909" s="4444">
        <f t="shared" si="69"/>
        <v>749612</v>
      </c>
      <c r="E909" s="4779">
        <f>Table4.Gs2_2018!F64</f>
        <v>749612</v>
      </c>
      <c r="F909" s="4544">
        <f>Table4.Gs2_2019!F64</f>
        <v>749612</v>
      </c>
      <c r="G909" s="4498">
        <f>Table4.Gs2_2020!F64</f>
        <v>749612</v>
      </c>
      <c r="H909" s="4354"/>
      <c r="I909" s="4387">
        <f t="shared" si="68"/>
        <v>0</v>
      </c>
      <c r="J909" s="4387">
        <f t="shared" si="68"/>
        <v>0</v>
      </c>
      <c r="K909" s="4354"/>
      <c r="L909" s="4354"/>
      <c r="M909" s="4354"/>
    </row>
    <row r="910" spans="1:13" x14ac:dyDescent="0.25">
      <c r="A910" s="4354"/>
      <c r="B910" s="4771">
        <v>2015</v>
      </c>
      <c r="C910" s="5089"/>
      <c r="D910" s="4444">
        <f t="shared" si="69"/>
        <v>749612</v>
      </c>
      <c r="E910" s="4779">
        <f>Table4.Gs2_2018!F65</f>
        <v>749612</v>
      </c>
      <c r="F910" s="4544">
        <f>Table4.Gs2_2019!F65</f>
        <v>749612</v>
      </c>
      <c r="G910" s="4498">
        <f>Table4.Gs2_2020!F65</f>
        <v>749612</v>
      </c>
      <c r="H910" s="4354"/>
      <c r="I910" s="4387">
        <f t="shared" si="68"/>
        <v>0</v>
      </c>
      <c r="J910" s="4387">
        <f t="shared" si="68"/>
        <v>0</v>
      </c>
      <c r="K910" s="4354"/>
      <c r="L910" s="4354"/>
      <c r="M910" s="4354"/>
    </row>
    <row r="911" spans="1:13" x14ac:dyDescent="0.25">
      <c r="A911" s="4354"/>
      <c r="B911" s="4771">
        <v>2016</v>
      </c>
      <c r="C911" s="5089"/>
      <c r="D911" s="4444">
        <f t="shared" si="69"/>
        <v>749612</v>
      </c>
      <c r="E911" s="4779">
        <f>Table4.Gs2_2018!F66</f>
        <v>749612</v>
      </c>
      <c r="F911" s="4544">
        <f>Table4.Gs2_2019!F66</f>
        <v>749612</v>
      </c>
      <c r="G911" s="4498">
        <f>Table4.Gs2_2020!F66</f>
        <v>749612</v>
      </c>
      <c r="H911" s="4354"/>
      <c r="I911" s="4387">
        <f t="shared" si="68"/>
        <v>0</v>
      </c>
      <c r="J911" s="4387">
        <f t="shared" si="68"/>
        <v>0</v>
      </c>
      <c r="K911" s="4354"/>
      <c r="L911" s="4354"/>
      <c r="M911" s="4354"/>
    </row>
    <row r="912" spans="1:13" x14ac:dyDescent="0.25">
      <c r="A912" s="4354"/>
      <c r="B912" s="4771">
        <v>2017</v>
      </c>
      <c r="C912" s="5089"/>
      <c r="D912" s="4444">
        <f t="shared" si="69"/>
        <v>877554</v>
      </c>
      <c r="E912" s="4779">
        <f>Table4.Gs2_2018!F67</f>
        <v>877554</v>
      </c>
      <c r="F912" s="4544">
        <f>Table4.Gs2_2019!F67</f>
        <v>877554</v>
      </c>
      <c r="G912" s="4498">
        <f>Table4.Gs2_2020!F67</f>
        <v>877554</v>
      </c>
      <c r="H912" s="4354"/>
      <c r="I912" s="4387">
        <f t="shared" si="68"/>
        <v>0</v>
      </c>
      <c r="J912" s="4387">
        <f t="shared" si="68"/>
        <v>0</v>
      </c>
      <c r="K912" s="4354"/>
      <c r="L912" s="4354"/>
      <c r="M912" s="4354"/>
    </row>
    <row r="913" spans="1:13" x14ac:dyDescent="0.25">
      <c r="A913" s="4354"/>
      <c r="B913" s="4771">
        <v>2018</v>
      </c>
      <c r="C913" s="5089"/>
      <c r="D913" s="4444">
        <f t="shared" si="69"/>
        <v>877554</v>
      </c>
      <c r="E913" s="4779">
        <f>Table4.Gs2_2018!F68</f>
        <v>877554</v>
      </c>
      <c r="F913" s="4544">
        <f>Table4.Gs2_2019!F68</f>
        <v>738521</v>
      </c>
      <c r="G913" s="4498">
        <f>Table4.Gs2_2020!F68</f>
        <v>877554</v>
      </c>
      <c r="H913" s="4354"/>
      <c r="I913" s="4387">
        <f t="shared" si="68"/>
        <v>0.15843241555505416</v>
      </c>
      <c r="J913" s="4387">
        <f t="shared" si="68"/>
        <v>0.18825869541962922</v>
      </c>
      <c r="K913" s="4354"/>
      <c r="L913" s="4354"/>
      <c r="M913" s="4354"/>
    </row>
    <row r="914" spans="1:13" x14ac:dyDescent="0.25">
      <c r="A914" s="4499"/>
      <c r="B914" s="4771">
        <v>2019</v>
      </c>
      <c r="C914" s="5089"/>
      <c r="D914" s="4444">
        <f t="shared" si="69"/>
        <v>892728</v>
      </c>
      <c r="E914" s="4780">
        <f>F914</f>
        <v>892728</v>
      </c>
      <c r="F914" s="4544">
        <f>Table4.Gs2_2019!F69</f>
        <v>892728</v>
      </c>
      <c r="G914" s="4498" t="str">
        <f>Table4.Gs2_2020!F69</f>
        <v>NA</v>
      </c>
      <c r="H914" s="4354"/>
      <c r="I914" s="4387">
        <f t="shared" si="68"/>
        <v>0</v>
      </c>
      <c r="J914" s="4387" t="str">
        <f t="shared" si="68"/>
        <v>NO</v>
      </c>
      <c r="K914" s="4354"/>
      <c r="L914" s="4354"/>
      <c r="M914" s="4354"/>
    </row>
    <row r="915" spans="1:13" ht="15.75" thickBot="1" x14ac:dyDescent="0.3">
      <c r="A915" s="4499"/>
      <c r="B915" s="4776">
        <v>2020</v>
      </c>
      <c r="C915" s="5090"/>
      <c r="D915" s="4444" t="str">
        <f t="shared" si="69"/>
        <v>NA</v>
      </c>
      <c r="E915" s="4782" t="str">
        <f>F915</f>
        <v>NA</v>
      </c>
      <c r="F915" s="4783" t="str">
        <f>G915</f>
        <v>NA</v>
      </c>
      <c r="G915" s="4498" t="str">
        <f>Table4.Gs2_2020!F70</f>
        <v>NA</v>
      </c>
      <c r="H915" s="4354"/>
      <c r="I915" s="4387" t="str">
        <f t="shared" si="68"/>
        <v>NO</v>
      </c>
      <c r="J915" s="4387" t="str">
        <f t="shared" si="68"/>
        <v>NO</v>
      </c>
      <c r="K915" s="4354"/>
      <c r="L915" s="4354"/>
      <c r="M915" s="4354"/>
    </row>
    <row r="916" spans="1:13" x14ac:dyDescent="0.25">
      <c r="A916" s="4354"/>
      <c r="B916" s="4767">
        <v>1990</v>
      </c>
      <c r="C916" s="5088" t="s">
        <v>5256</v>
      </c>
      <c r="D916" s="4438">
        <f t="shared" si="69"/>
        <v>105500</v>
      </c>
      <c r="E916" s="4757">
        <f>Table4.Gs2_2018!G40</f>
        <v>105500</v>
      </c>
      <c r="F916" s="4541">
        <f>Table4.Gs2_2019!G40</f>
        <v>105500</v>
      </c>
      <c r="G916" s="4542">
        <f>Table4.Gs2_2020!G40</f>
        <v>105500</v>
      </c>
      <c r="H916" s="4354"/>
      <c r="I916" s="4387">
        <f t="shared" si="68"/>
        <v>0</v>
      </c>
      <c r="J916" s="4387">
        <f t="shared" si="68"/>
        <v>0</v>
      </c>
      <c r="K916" s="4354"/>
      <c r="L916" s="4354"/>
      <c r="M916" s="4354"/>
    </row>
    <row r="917" spans="1:13" x14ac:dyDescent="0.25">
      <c r="A917" s="4354"/>
      <c r="B917" s="4771">
        <v>1991</v>
      </c>
      <c r="C917" s="5089"/>
      <c r="D917" s="4444">
        <f t="shared" si="69"/>
        <v>102200</v>
      </c>
      <c r="E917" s="4779">
        <f>Table4.Gs2_2018!G41</f>
        <v>102200</v>
      </c>
      <c r="F917" s="4544">
        <f>Table4.Gs2_2019!G41</f>
        <v>102200</v>
      </c>
      <c r="G917" s="4498">
        <f>Table4.Gs2_2020!G41</f>
        <v>102200</v>
      </c>
      <c r="H917" s="4354"/>
      <c r="I917" s="4387">
        <f t="shared" si="68"/>
        <v>0</v>
      </c>
      <c r="J917" s="4387">
        <f t="shared" si="68"/>
        <v>0</v>
      </c>
      <c r="K917" s="4354"/>
      <c r="L917" s="4354"/>
      <c r="M917" s="4354"/>
    </row>
    <row r="918" spans="1:13" x14ac:dyDescent="0.25">
      <c r="A918" s="4354"/>
      <c r="B918" s="4771">
        <v>1992</v>
      </c>
      <c r="C918" s="5089"/>
      <c r="D918" s="4444">
        <f t="shared" si="69"/>
        <v>110747</v>
      </c>
      <c r="E918" s="4779">
        <f>Table4.Gs2_2018!G42</f>
        <v>110747</v>
      </c>
      <c r="F918" s="4544">
        <f>Table4.Gs2_2019!G42</f>
        <v>110747</v>
      </c>
      <c r="G918" s="4498">
        <f>Table4.Gs2_2020!G42</f>
        <v>110747</v>
      </c>
      <c r="H918" s="4354"/>
      <c r="I918" s="4387">
        <f t="shared" si="68"/>
        <v>0</v>
      </c>
      <c r="J918" s="4387">
        <f t="shared" si="68"/>
        <v>0</v>
      </c>
      <c r="K918" s="4354"/>
      <c r="L918" s="4354"/>
      <c r="M918" s="4354"/>
    </row>
    <row r="919" spans="1:13" x14ac:dyDescent="0.25">
      <c r="A919" s="4354"/>
      <c r="B919" s="4771">
        <v>1993</v>
      </c>
      <c r="C919" s="5089"/>
      <c r="D919" s="4444">
        <f t="shared" si="69"/>
        <v>107959</v>
      </c>
      <c r="E919" s="4779">
        <f>Table4.Gs2_2018!G43</f>
        <v>107959</v>
      </c>
      <c r="F919" s="4544">
        <f>Table4.Gs2_2019!G43</f>
        <v>107959</v>
      </c>
      <c r="G919" s="4498">
        <f>Table4.Gs2_2020!G43</f>
        <v>107959</v>
      </c>
      <c r="H919" s="4354"/>
      <c r="I919" s="4387">
        <f t="shared" si="68"/>
        <v>0</v>
      </c>
      <c r="J919" s="4387">
        <f t="shared" si="68"/>
        <v>0</v>
      </c>
      <c r="K919" s="4354"/>
      <c r="L919" s="4354"/>
      <c r="M919" s="4354"/>
    </row>
    <row r="920" spans="1:13" x14ac:dyDescent="0.25">
      <c r="A920" s="4354"/>
      <c r="B920" s="4771">
        <v>1994</v>
      </c>
      <c r="C920" s="5089"/>
      <c r="D920" s="4444">
        <f t="shared" si="69"/>
        <v>126000</v>
      </c>
      <c r="E920" s="4779">
        <f>Table4.Gs2_2018!G44</f>
        <v>126000</v>
      </c>
      <c r="F920" s="4544">
        <f>Table4.Gs2_2019!G44</f>
        <v>126000</v>
      </c>
      <c r="G920" s="4498">
        <f>Table4.Gs2_2020!G44</f>
        <v>126000</v>
      </c>
      <c r="H920" s="4354"/>
      <c r="I920" s="4387">
        <f t="shared" si="68"/>
        <v>0</v>
      </c>
      <c r="J920" s="4387">
        <f t="shared" si="68"/>
        <v>0</v>
      </c>
      <c r="K920" s="4354"/>
      <c r="L920" s="4354"/>
      <c r="M920" s="4354"/>
    </row>
    <row r="921" spans="1:13" x14ac:dyDescent="0.25">
      <c r="A921" s="4354"/>
      <c r="B921" s="4771">
        <v>1995</v>
      </c>
      <c r="C921" s="5089"/>
      <c r="D921" s="4444">
        <f t="shared" si="69"/>
        <v>118000</v>
      </c>
      <c r="E921" s="4779">
        <f>Table4.Gs2_2018!G45</f>
        <v>118000</v>
      </c>
      <c r="F921" s="4544">
        <f>Table4.Gs2_2019!G45</f>
        <v>118000</v>
      </c>
      <c r="G921" s="4498">
        <f>Table4.Gs2_2020!G45</f>
        <v>118000</v>
      </c>
      <c r="H921" s="4354"/>
      <c r="I921" s="4387">
        <f t="shared" si="68"/>
        <v>0</v>
      </c>
      <c r="J921" s="4387">
        <f t="shared" si="68"/>
        <v>0</v>
      </c>
      <c r="K921" s="4354"/>
      <c r="L921" s="4354"/>
      <c r="M921" s="4354"/>
    </row>
    <row r="922" spans="1:13" x14ac:dyDescent="0.25">
      <c r="A922" s="4354"/>
      <c r="B922" s="4771">
        <v>1996</v>
      </c>
      <c r="C922" s="5089"/>
      <c r="D922" s="4444">
        <f t="shared" si="69"/>
        <v>124000</v>
      </c>
      <c r="E922" s="4779">
        <f>Table4.Gs2_2018!G46</f>
        <v>124000</v>
      </c>
      <c r="F922" s="4544">
        <f>Table4.Gs2_2019!G46</f>
        <v>124000</v>
      </c>
      <c r="G922" s="4498">
        <f>Table4.Gs2_2020!G46</f>
        <v>124000</v>
      </c>
      <c r="H922" s="4354"/>
      <c r="I922" s="4387">
        <f t="shared" si="68"/>
        <v>0</v>
      </c>
      <c r="J922" s="4387">
        <f t="shared" si="68"/>
        <v>0</v>
      </c>
      <c r="K922" s="4354"/>
      <c r="L922" s="4354"/>
      <c r="M922" s="4354"/>
    </row>
    <row r="923" spans="1:13" x14ac:dyDescent="0.25">
      <c r="A923" s="4354"/>
      <c r="B923" s="4771">
        <v>1997</v>
      </c>
      <c r="C923" s="5089"/>
      <c r="D923" s="4444">
        <f t="shared" si="69"/>
        <v>238800</v>
      </c>
      <c r="E923" s="4779">
        <f>Table4.Gs2_2018!G47</f>
        <v>238800</v>
      </c>
      <c r="F923" s="4544">
        <f>Table4.Gs2_2019!G47</f>
        <v>238800</v>
      </c>
      <c r="G923" s="4498">
        <f>Table4.Gs2_2020!G47</f>
        <v>238800</v>
      </c>
      <c r="H923" s="4354"/>
      <c r="I923" s="4387">
        <f t="shared" ref="I923:J986" si="70">IFERROR(ABS(F923-E923)/E923,"NO")</f>
        <v>0</v>
      </c>
      <c r="J923" s="4387">
        <f t="shared" si="70"/>
        <v>0</v>
      </c>
      <c r="K923" s="4354"/>
      <c r="L923" s="4354"/>
      <c r="M923" s="4354"/>
    </row>
    <row r="924" spans="1:13" x14ac:dyDescent="0.25">
      <c r="A924" s="4354"/>
      <c r="B924" s="4771">
        <v>1998</v>
      </c>
      <c r="C924" s="5089"/>
      <c r="D924" s="4444">
        <f t="shared" si="69"/>
        <v>199500</v>
      </c>
      <c r="E924" s="4779">
        <f>Table4.Gs2_2018!G48</f>
        <v>199500</v>
      </c>
      <c r="F924" s="4544">
        <f>Table4.Gs2_2019!G48</f>
        <v>199500</v>
      </c>
      <c r="G924" s="4498">
        <f>Table4.Gs2_2020!G48</f>
        <v>199500</v>
      </c>
      <c r="H924" s="4354"/>
      <c r="I924" s="4387">
        <f t="shared" si="70"/>
        <v>0</v>
      </c>
      <c r="J924" s="4387">
        <f t="shared" si="70"/>
        <v>0</v>
      </c>
      <c r="K924" s="4354"/>
      <c r="L924" s="4354"/>
      <c r="M924" s="4354"/>
    </row>
    <row r="925" spans="1:13" x14ac:dyDescent="0.25">
      <c r="A925" s="4354"/>
      <c r="B925" s="4771">
        <v>1999</v>
      </c>
      <c r="C925" s="5089"/>
      <c r="D925" s="4444">
        <f t="shared" si="69"/>
        <v>207000</v>
      </c>
      <c r="E925" s="4779">
        <f>Table4.Gs2_2018!G49</f>
        <v>207000</v>
      </c>
      <c r="F925" s="4544">
        <f>Table4.Gs2_2019!G49</f>
        <v>207000</v>
      </c>
      <c r="G925" s="4498">
        <f>Table4.Gs2_2020!G49</f>
        <v>207000</v>
      </c>
      <c r="H925" s="4354"/>
      <c r="I925" s="4387">
        <f t="shared" si="70"/>
        <v>0</v>
      </c>
      <c r="J925" s="4387">
        <f t="shared" si="70"/>
        <v>0</v>
      </c>
      <c r="K925" s="4354"/>
      <c r="L925" s="4354"/>
      <c r="M925" s="4354"/>
    </row>
    <row r="926" spans="1:13" x14ac:dyDescent="0.25">
      <c r="A926" s="4354"/>
      <c r="B926" s="4771">
        <v>2000</v>
      </c>
      <c r="C926" s="5089"/>
      <c r="D926" s="4444">
        <f t="shared" si="69"/>
        <v>144000</v>
      </c>
      <c r="E926" s="4779">
        <f>Table4.Gs2_2018!G50</f>
        <v>144000</v>
      </c>
      <c r="F926" s="4544">
        <f>Table4.Gs2_2019!G50</f>
        <v>144000</v>
      </c>
      <c r="G926" s="4498">
        <f>Table4.Gs2_2020!G50</f>
        <v>144000</v>
      </c>
      <c r="H926" s="4354"/>
      <c r="I926" s="4387">
        <f t="shared" si="70"/>
        <v>0</v>
      </c>
      <c r="J926" s="4387">
        <f t="shared" si="70"/>
        <v>0</v>
      </c>
      <c r="K926" s="4354"/>
      <c r="L926" s="4354"/>
      <c r="M926" s="4354"/>
    </row>
    <row r="927" spans="1:13" x14ac:dyDescent="0.25">
      <c r="A927" s="4354"/>
      <c r="B927" s="4771">
        <v>2001</v>
      </c>
      <c r="C927" s="5089"/>
      <c r="D927" s="4444">
        <f t="shared" si="69"/>
        <v>94018</v>
      </c>
      <c r="E927" s="4779">
        <f>Table4.Gs2_2018!G51</f>
        <v>94018</v>
      </c>
      <c r="F927" s="4544">
        <f>Table4.Gs2_2019!G51</f>
        <v>94018</v>
      </c>
      <c r="G927" s="4498">
        <f>Table4.Gs2_2020!G51</f>
        <v>94018</v>
      </c>
      <c r="H927" s="4354"/>
      <c r="I927" s="4387">
        <f t="shared" si="70"/>
        <v>0</v>
      </c>
      <c r="J927" s="4387">
        <f t="shared" si="70"/>
        <v>0</v>
      </c>
      <c r="K927" s="4354"/>
      <c r="L927" s="4354"/>
      <c r="M927" s="4354"/>
    </row>
    <row r="928" spans="1:13" x14ac:dyDescent="0.25">
      <c r="A928" s="4354"/>
      <c r="B928" s="4771">
        <v>2002</v>
      </c>
      <c r="C928" s="5089"/>
      <c r="D928" s="4444">
        <f t="shared" si="69"/>
        <v>108652</v>
      </c>
      <c r="E928" s="4779">
        <f>Table4.Gs2_2018!G52</f>
        <v>108652</v>
      </c>
      <c r="F928" s="4544">
        <f>Table4.Gs2_2019!G52</f>
        <v>108652</v>
      </c>
      <c r="G928" s="4498">
        <f>Table4.Gs2_2020!G52</f>
        <v>108652</v>
      </c>
      <c r="H928" s="4354"/>
      <c r="I928" s="4387">
        <f t="shared" si="70"/>
        <v>0</v>
      </c>
      <c r="J928" s="4387">
        <f t="shared" si="70"/>
        <v>0</v>
      </c>
      <c r="K928" s="4354"/>
      <c r="L928" s="4354"/>
      <c r="M928" s="4354"/>
    </row>
    <row r="929" spans="1:13" x14ac:dyDescent="0.25">
      <c r="A929" s="4354"/>
      <c r="B929" s="4771">
        <v>2003</v>
      </c>
      <c r="C929" s="5089"/>
      <c r="D929" s="4444">
        <f t="shared" si="69"/>
        <v>151792</v>
      </c>
      <c r="E929" s="4779">
        <f>Table4.Gs2_2018!G53</f>
        <v>151792</v>
      </c>
      <c r="F929" s="4544">
        <f>Table4.Gs2_2019!G53</f>
        <v>151792</v>
      </c>
      <c r="G929" s="4498">
        <f>Table4.Gs2_2020!G53</f>
        <v>151792</v>
      </c>
      <c r="H929" s="4354"/>
      <c r="I929" s="4387">
        <f t="shared" si="70"/>
        <v>0</v>
      </c>
      <c r="J929" s="4387">
        <f t="shared" si="70"/>
        <v>0</v>
      </c>
      <c r="K929" s="4354"/>
      <c r="L929" s="4354"/>
      <c r="M929" s="4354"/>
    </row>
    <row r="930" spans="1:13" x14ac:dyDescent="0.25">
      <c r="A930" s="4354"/>
      <c r="B930" s="4771">
        <v>2004</v>
      </c>
      <c r="C930" s="5089"/>
      <c r="D930" s="4444">
        <f t="shared" si="69"/>
        <v>172841</v>
      </c>
      <c r="E930" s="4779">
        <f>Table4.Gs2_2018!G54</f>
        <v>172841</v>
      </c>
      <c r="F930" s="4544">
        <f>Table4.Gs2_2019!G54</f>
        <v>172841</v>
      </c>
      <c r="G930" s="4498">
        <f>Table4.Gs2_2020!G54</f>
        <v>172841</v>
      </c>
      <c r="H930" s="4354"/>
      <c r="I930" s="4387">
        <f t="shared" si="70"/>
        <v>0</v>
      </c>
      <c r="J930" s="4387">
        <f t="shared" si="70"/>
        <v>0</v>
      </c>
      <c r="K930" s="4354"/>
      <c r="L930" s="4354"/>
      <c r="M930" s="4354"/>
    </row>
    <row r="931" spans="1:13" x14ac:dyDescent="0.25">
      <c r="A931" s="4354"/>
      <c r="B931" s="4771">
        <v>2005</v>
      </c>
      <c r="C931" s="5089"/>
      <c r="D931" s="4444">
        <f t="shared" si="69"/>
        <v>115850</v>
      </c>
      <c r="E931" s="4779">
        <f>Table4.Gs2_2018!G55</f>
        <v>115850</v>
      </c>
      <c r="F931" s="4544">
        <f>Table4.Gs2_2019!G55</f>
        <v>115850</v>
      </c>
      <c r="G931" s="4498">
        <f>Table4.Gs2_2020!G55</f>
        <v>115850</v>
      </c>
      <c r="H931" s="4354"/>
      <c r="I931" s="4387">
        <f t="shared" si="70"/>
        <v>0</v>
      </c>
      <c r="J931" s="4387">
        <f t="shared" si="70"/>
        <v>0</v>
      </c>
      <c r="K931" s="4354"/>
      <c r="L931" s="4354"/>
      <c r="M931" s="4354"/>
    </row>
    <row r="932" spans="1:13" x14ac:dyDescent="0.25">
      <c r="A932" s="4354"/>
      <c r="B932" s="4771">
        <v>2006</v>
      </c>
      <c r="C932" s="5089"/>
      <c r="D932" s="4444">
        <f t="shared" si="69"/>
        <v>169412</v>
      </c>
      <c r="E932" s="4779">
        <f>Table4.Gs2_2018!G56</f>
        <v>169412</v>
      </c>
      <c r="F932" s="4544">
        <f>Table4.Gs2_2019!G56</f>
        <v>169412</v>
      </c>
      <c r="G932" s="4498">
        <f>Table4.Gs2_2020!G56</f>
        <v>169412</v>
      </c>
      <c r="H932" s="4354"/>
      <c r="I932" s="4387">
        <f t="shared" si="70"/>
        <v>0</v>
      </c>
      <c r="J932" s="4387">
        <f t="shared" si="70"/>
        <v>0</v>
      </c>
      <c r="K932" s="4354"/>
      <c r="L932" s="4354"/>
      <c r="M932" s="4354"/>
    </row>
    <row r="933" spans="1:13" x14ac:dyDescent="0.25">
      <c r="A933" s="4354"/>
      <c r="B933" s="4771">
        <v>2007</v>
      </c>
      <c r="C933" s="5089"/>
      <c r="D933" s="4444">
        <f t="shared" si="69"/>
        <v>160117</v>
      </c>
      <c r="E933" s="4779">
        <f>Table4.Gs2_2018!G57</f>
        <v>160117</v>
      </c>
      <c r="F933" s="4544">
        <f>Table4.Gs2_2019!G57</f>
        <v>160117</v>
      </c>
      <c r="G933" s="4498">
        <f>Table4.Gs2_2020!G57</f>
        <v>160117</v>
      </c>
      <c r="H933" s="4354"/>
      <c r="I933" s="4387">
        <f t="shared" si="70"/>
        <v>0</v>
      </c>
      <c r="J933" s="4387">
        <f t="shared" si="70"/>
        <v>0</v>
      </c>
      <c r="K933" s="4354"/>
      <c r="L933" s="4354"/>
      <c r="M933" s="4354"/>
    </row>
    <row r="934" spans="1:13" x14ac:dyDescent="0.25">
      <c r="A934" s="4354"/>
      <c r="B934" s="4771">
        <v>2008</v>
      </c>
      <c r="C934" s="5089"/>
      <c r="D934" s="4444">
        <f t="shared" si="69"/>
        <v>224095</v>
      </c>
      <c r="E934" s="4779">
        <f>Table4.Gs2_2018!G58</f>
        <v>224095</v>
      </c>
      <c r="F934" s="4544">
        <f>Table4.Gs2_2019!G58</f>
        <v>224095</v>
      </c>
      <c r="G934" s="4498">
        <f>Table4.Gs2_2020!G58</f>
        <v>224095</v>
      </c>
      <c r="H934" s="4354"/>
      <c r="I934" s="4387">
        <f t="shared" si="70"/>
        <v>0</v>
      </c>
      <c r="J934" s="4387">
        <f t="shared" si="70"/>
        <v>0</v>
      </c>
      <c r="K934" s="4354"/>
      <c r="L934" s="4354"/>
      <c r="M934" s="4354"/>
    </row>
    <row r="935" spans="1:13" x14ac:dyDescent="0.25">
      <c r="A935" s="4354"/>
      <c r="B935" s="4771">
        <v>2009</v>
      </c>
      <c r="C935" s="5089"/>
      <c r="D935" s="4444">
        <f t="shared" si="69"/>
        <v>169400</v>
      </c>
      <c r="E935" s="4779">
        <f>Table4.Gs2_2018!G59</f>
        <v>169400</v>
      </c>
      <c r="F935" s="4544">
        <f>Table4.Gs2_2019!G59</f>
        <v>169400</v>
      </c>
      <c r="G935" s="4498">
        <f>Table4.Gs2_2020!G59</f>
        <v>169400</v>
      </c>
      <c r="H935" s="4354"/>
      <c r="I935" s="4387">
        <f t="shared" si="70"/>
        <v>0</v>
      </c>
      <c r="J935" s="4387">
        <f t="shared" si="70"/>
        <v>0</v>
      </c>
      <c r="K935" s="4354"/>
      <c r="L935" s="4354"/>
      <c r="M935" s="4354"/>
    </row>
    <row r="936" spans="1:13" x14ac:dyDescent="0.25">
      <c r="A936" s="4354"/>
      <c r="B936" s="4771">
        <v>2010</v>
      </c>
      <c r="C936" s="5089"/>
      <c r="D936" s="4444">
        <f t="shared" si="69"/>
        <v>158193</v>
      </c>
      <c r="E936" s="4779">
        <f>Table4.Gs2_2018!G60</f>
        <v>158193</v>
      </c>
      <c r="F936" s="4544">
        <f>Table4.Gs2_2019!G60</f>
        <v>158193</v>
      </c>
      <c r="G936" s="4498">
        <f>Table4.Gs2_2020!G60</f>
        <v>158193</v>
      </c>
      <c r="H936" s="4354"/>
      <c r="I936" s="4387">
        <f t="shared" si="70"/>
        <v>0</v>
      </c>
      <c r="J936" s="4387">
        <f t="shared" si="70"/>
        <v>0</v>
      </c>
      <c r="K936" s="4354"/>
      <c r="L936" s="4354"/>
      <c r="M936" s="4354"/>
    </row>
    <row r="937" spans="1:13" x14ac:dyDescent="0.25">
      <c r="A937" s="4354"/>
      <c r="B937" s="4771">
        <v>2011</v>
      </c>
      <c r="C937" s="5089"/>
      <c r="D937" s="4444">
        <f t="shared" si="69"/>
        <v>25690</v>
      </c>
      <c r="E937" s="4779">
        <f>Table4.Gs2_2018!G61</f>
        <v>25690</v>
      </c>
      <c r="F937" s="4544">
        <f>Table4.Gs2_2019!G61</f>
        <v>25690</v>
      </c>
      <c r="G937" s="4498">
        <f>Table4.Gs2_2020!G61</f>
        <v>25690</v>
      </c>
      <c r="H937" s="4354"/>
      <c r="I937" s="4387">
        <f t="shared" si="70"/>
        <v>0</v>
      </c>
      <c r="J937" s="4387">
        <f t="shared" si="70"/>
        <v>0</v>
      </c>
      <c r="K937" s="4354"/>
      <c r="L937" s="4354"/>
      <c r="M937" s="4354"/>
    </row>
    <row r="938" spans="1:13" x14ac:dyDescent="0.25">
      <c r="A938" s="4354"/>
      <c r="B938" s="4771">
        <v>2012</v>
      </c>
      <c r="C938" s="5089"/>
      <c r="D938" s="4444">
        <f t="shared" si="69"/>
        <v>37400</v>
      </c>
      <c r="E938" s="4779">
        <f>Table4.Gs2_2018!G62</f>
        <v>37400</v>
      </c>
      <c r="F938" s="4544">
        <f>Table4.Gs2_2019!G62</f>
        <v>37400</v>
      </c>
      <c r="G938" s="4498">
        <f>Table4.Gs2_2020!G62</f>
        <v>37400</v>
      </c>
      <c r="H938" s="4354"/>
      <c r="I938" s="4387">
        <f t="shared" si="70"/>
        <v>0</v>
      </c>
      <c r="J938" s="4387">
        <f t="shared" si="70"/>
        <v>0</v>
      </c>
      <c r="K938" s="4354"/>
      <c r="L938" s="4354"/>
      <c r="M938" s="4354"/>
    </row>
    <row r="939" spans="1:13" x14ac:dyDescent="0.25">
      <c r="A939" s="4354"/>
      <c r="B939" s="4771">
        <v>2013</v>
      </c>
      <c r="C939" s="5089"/>
      <c r="D939" s="4444">
        <f t="shared" si="69"/>
        <v>41520</v>
      </c>
      <c r="E939" s="4779">
        <f>Table4.Gs2_2018!G63</f>
        <v>41520</v>
      </c>
      <c r="F939" s="4544">
        <f>Table4.Gs2_2019!G63</f>
        <v>41520</v>
      </c>
      <c r="G939" s="4498">
        <f>Table4.Gs2_2020!G63</f>
        <v>41520</v>
      </c>
      <c r="H939" s="4354"/>
      <c r="I939" s="4387">
        <f t="shared" si="70"/>
        <v>0</v>
      </c>
      <c r="J939" s="4387">
        <f t="shared" si="70"/>
        <v>0</v>
      </c>
      <c r="K939" s="4354"/>
      <c r="L939" s="4354"/>
      <c r="M939" s="4354"/>
    </row>
    <row r="940" spans="1:13" x14ac:dyDescent="0.25">
      <c r="A940" s="4354"/>
      <c r="B940" s="4771">
        <v>2014</v>
      </c>
      <c r="C940" s="5089"/>
      <c r="D940" s="4444">
        <f t="shared" si="69"/>
        <v>51380</v>
      </c>
      <c r="E940" s="4779">
        <f>Table4.Gs2_2018!G64</f>
        <v>51380</v>
      </c>
      <c r="F940" s="4544">
        <f>Table4.Gs2_2019!G64</f>
        <v>51380</v>
      </c>
      <c r="G940" s="4498">
        <f>Table4.Gs2_2020!G64</f>
        <v>51380</v>
      </c>
      <c r="H940" s="4354"/>
      <c r="I940" s="4387">
        <f t="shared" si="70"/>
        <v>0</v>
      </c>
      <c r="J940" s="4387">
        <f t="shared" si="70"/>
        <v>0</v>
      </c>
      <c r="K940" s="4354"/>
      <c r="L940" s="4354"/>
      <c r="M940" s="4354"/>
    </row>
    <row r="941" spans="1:13" x14ac:dyDescent="0.25">
      <c r="A941" s="4354"/>
      <c r="B941" s="4771">
        <v>2015</v>
      </c>
      <c r="C941" s="5089"/>
      <c r="D941" s="4444">
        <f t="shared" si="69"/>
        <v>51380</v>
      </c>
      <c r="E941" s="4779">
        <f>Table4.Gs2_2018!G65</f>
        <v>51380</v>
      </c>
      <c r="F941" s="4544">
        <f>Table4.Gs2_2019!G65</f>
        <v>51380</v>
      </c>
      <c r="G941" s="4498">
        <f>Table4.Gs2_2020!G65</f>
        <v>51380</v>
      </c>
      <c r="H941" s="4354"/>
      <c r="I941" s="4387">
        <f t="shared" si="70"/>
        <v>0</v>
      </c>
      <c r="J941" s="4387">
        <f t="shared" si="70"/>
        <v>0</v>
      </c>
      <c r="K941" s="4354"/>
      <c r="L941" s="4354"/>
      <c r="M941" s="4354"/>
    </row>
    <row r="942" spans="1:13" x14ac:dyDescent="0.25">
      <c r="A942" s="4354"/>
      <c r="B942" s="4771">
        <v>2016</v>
      </c>
      <c r="C942" s="5089"/>
      <c r="D942" s="4444">
        <f t="shared" si="69"/>
        <v>51380</v>
      </c>
      <c r="E942" s="4779">
        <f>Table4.Gs2_2018!G66</f>
        <v>51380</v>
      </c>
      <c r="F942" s="4544">
        <f>Table4.Gs2_2019!G66</f>
        <v>51380</v>
      </c>
      <c r="G942" s="4498">
        <f>Table4.Gs2_2020!G66</f>
        <v>51380</v>
      </c>
      <c r="H942" s="4354"/>
      <c r="I942" s="4387">
        <f t="shared" si="70"/>
        <v>0</v>
      </c>
      <c r="J942" s="4387">
        <f t="shared" si="70"/>
        <v>0</v>
      </c>
      <c r="K942" s="4354"/>
      <c r="L942" s="4354"/>
      <c r="M942" s="4354"/>
    </row>
    <row r="943" spans="1:13" x14ac:dyDescent="0.25">
      <c r="A943" s="4354"/>
      <c r="B943" s="4771">
        <v>2017</v>
      </c>
      <c r="C943" s="5089"/>
      <c r="D943" s="4444">
        <f t="shared" si="69"/>
        <v>55679</v>
      </c>
      <c r="E943" s="4779">
        <f>Table4.Gs2_2018!G67</f>
        <v>55679</v>
      </c>
      <c r="F943" s="4544">
        <f>Table4.Gs2_2019!G67</f>
        <v>55679</v>
      </c>
      <c r="G943" s="4498">
        <f>Table4.Gs2_2020!G67</f>
        <v>55679</v>
      </c>
      <c r="H943" s="4354"/>
      <c r="I943" s="4387">
        <f t="shared" si="70"/>
        <v>0</v>
      </c>
      <c r="J943" s="4387">
        <f t="shared" si="70"/>
        <v>0</v>
      </c>
      <c r="K943" s="4354"/>
      <c r="L943" s="4354"/>
      <c r="M943" s="4354"/>
    </row>
    <row r="944" spans="1:13" x14ac:dyDescent="0.25">
      <c r="A944" s="4354"/>
      <c r="B944" s="4771">
        <v>2018</v>
      </c>
      <c r="C944" s="5089"/>
      <c r="D944" s="4444">
        <f t="shared" si="69"/>
        <v>55679</v>
      </c>
      <c r="E944" s="4779">
        <f>Table4.Gs2_2018!G68</f>
        <v>55679</v>
      </c>
      <c r="F944" s="4544">
        <f>Table4.Gs2_2019!G68</f>
        <v>55679</v>
      </c>
      <c r="G944" s="4498">
        <f>Table4.Gs2_2020!G68</f>
        <v>55679</v>
      </c>
      <c r="H944" s="4354"/>
      <c r="I944" s="4387">
        <f t="shared" si="70"/>
        <v>0</v>
      </c>
      <c r="J944" s="4387">
        <f t="shared" si="70"/>
        <v>0</v>
      </c>
      <c r="K944" s="4354"/>
      <c r="L944" s="4354"/>
      <c r="M944" s="4354"/>
    </row>
    <row r="945" spans="1:13" x14ac:dyDescent="0.25">
      <c r="A945" s="4499"/>
      <c r="B945" s="4771">
        <v>2019</v>
      </c>
      <c r="C945" s="5089"/>
      <c r="D945" s="4444">
        <f t="shared" si="69"/>
        <v>45370</v>
      </c>
      <c r="E945" s="4780">
        <f>F945</f>
        <v>45370</v>
      </c>
      <c r="F945" s="4544">
        <f>Table4.Gs2_2019!G69</f>
        <v>45370</v>
      </c>
      <c r="G945" s="4498">
        <f>Table4.Gs2_2020!G69</f>
        <v>45370</v>
      </c>
      <c r="H945" s="4354"/>
      <c r="I945" s="4387">
        <f t="shared" si="70"/>
        <v>0</v>
      </c>
      <c r="J945" s="4387">
        <f t="shared" si="70"/>
        <v>0</v>
      </c>
      <c r="K945" s="4354"/>
      <c r="L945" s="4354"/>
      <c r="M945" s="4354"/>
    </row>
    <row r="946" spans="1:13" ht="15.75" thickBot="1" x14ac:dyDescent="0.3">
      <c r="A946" s="4499"/>
      <c r="B946" s="4776">
        <v>2020</v>
      </c>
      <c r="C946" s="5090"/>
      <c r="D946" s="4762">
        <f t="shared" si="69"/>
        <v>59251.8</v>
      </c>
      <c r="E946" s="4782">
        <f>F946</f>
        <v>59251.8</v>
      </c>
      <c r="F946" s="4783">
        <f>G946</f>
        <v>59251.8</v>
      </c>
      <c r="G946" s="4514">
        <f>Table4.Gs2_2020!G70</f>
        <v>59251.8</v>
      </c>
      <c r="H946" s="4354"/>
      <c r="I946" s="4387">
        <f t="shared" si="70"/>
        <v>0</v>
      </c>
      <c r="J946" s="4387">
        <f t="shared" si="70"/>
        <v>0</v>
      </c>
      <c r="K946" s="4354"/>
      <c r="L946" s="4354"/>
      <c r="M946" s="4354"/>
    </row>
    <row r="947" spans="1:13" x14ac:dyDescent="0.25">
      <c r="A947" s="4354"/>
      <c r="B947" s="4354"/>
      <c r="C947" s="4354"/>
      <c r="D947" s="4354"/>
      <c r="E947" s="4356"/>
      <c r="F947" s="4354"/>
      <c r="G947" s="4354"/>
      <c r="H947" s="4354"/>
      <c r="I947" s="4387" t="str">
        <f t="shared" si="70"/>
        <v>NO</v>
      </c>
      <c r="J947" s="4387" t="str">
        <f t="shared" si="70"/>
        <v>NO</v>
      </c>
      <c r="K947" s="4354"/>
      <c r="L947" s="4354"/>
      <c r="M947" s="4354"/>
    </row>
    <row r="948" spans="1:13" ht="14.45" customHeight="1" x14ac:dyDescent="0.25">
      <c r="A948" s="4354"/>
      <c r="B948" s="4402" t="s">
        <v>651</v>
      </c>
      <c r="C948" s="4354"/>
      <c r="D948" s="4481" t="str">
        <f t="shared" si="69"/>
        <v xml:space="preserve"> NIR 2020 (2018) CRF tabel 4.Gs2</v>
      </c>
      <c r="E948" s="4481" t="s">
        <v>5289</v>
      </c>
      <c r="F948" s="4481" t="s">
        <v>5290</v>
      </c>
      <c r="G948" s="4481" t="s">
        <v>5291</v>
      </c>
      <c r="H948" s="4354"/>
      <c r="I948" s="4387" t="str">
        <f t="shared" si="70"/>
        <v>NO</v>
      </c>
      <c r="J948" s="4387" t="str">
        <f t="shared" si="70"/>
        <v>NO</v>
      </c>
      <c r="K948" s="4354"/>
      <c r="L948" s="4354"/>
      <c r="M948" s="4354"/>
    </row>
    <row r="949" spans="1:13" ht="15.75" thickBot="1" x14ac:dyDescent="0.3">
      <c r="A949" s="4354"/>
      <c r="B949" s="4354"/>
      <c r="C949" s="4354"/>
      <c r="D949" s="4354"/>
      <c r="E949" s="4356"/>
      <c r="F949" s="4354"/>
      <c r="G949" s="4354"/>
      <c r="H949" s="4354"/>
      <c r="I949" s="4387" t="str">
        <f t="shared" si="70"/>
        <v>NO</v>
      </c>
      <c r="J949" s="4387" t="str">
        <f t="shared" si="70"/>
        <v>NO</v>
      </c>
      <c r="K949" s="4354"/>
      <c r="L949" s="4354"/>
      <c r="M949" s="4354"/>
    </row>
    <row r="950" spans="1:13" ht="15.75" thickBot="1" x14ac:dyDescent="0.3">
      <c r="A950" s="4354"/>
      <c r="B950" s="4766" t="s">
        <v>362</v>
      </c>
      <c r="C950" s="4676" t="s">
        <v>2490</v>
      </c>
      <c r="D950" s="4753" t="str">
        <f t="shared" ref="D950:D1013" si="71">IF($D$3=$E$3,E950,IF($D$3=$F$3,F950,IF($D$3=$G$3,G950,"-")))</f>
        <v>tons</v>
      </c>
      <c r="E950" s="4650" t="s">
        <v>4778</v>
      </c>
      <c r="F950" s="4654" t="s">
        <v>4778</v>
      </c>
      <c r="G950" s="4678" t="s">
        <v>4778</v>
      </c>
      <c r="H950" s="4354"/>
      <c r="I950" s="4387" t="str">
        <f t="shared" si="70"/>
        <v>NO</v>
      </c>
      <c r="J950" s="4387" t="str">
        <f t="shared" si="70"/>
        <v>NO</v>
      </c>
      <c r="K950" s="4354"/>
      <c r="L950" s="4354"/>
      <c r="M950" s="4354"/>
    </row>
    <row r="951" spans="1:13" x14ac:dyDescent="0.25">
      <c r="A951" s="4354"/>
      <c r="B951" s="4767">
        <v>1990</v>
      </c>
      <c r="C951" s="5088" t="s">
        <v>5254</v>
      </c>
      <c r="D951" s="4438">
        <f t="shared" si="71"/>
        <v>335000</v>
      </c>
      <c r="E951" s="4757">
        <f>Table4.Gs2_2018!H40</f>
        <v>335000</v>
      </c>
      <c r="F951" s="4541">
        <f>Table4.Gs2_2019!H40</f>
        <v>335000</v>
      </c>
      <c r="G951" s="4542">
        <f>Table4.Gs2_2020!H40</f>
        <v>335000</v>
      </c>
      <c r="H951" s="4354"/>
      <c r="I951" s="4387">
        <f t="shared" si="70"/>
        <v>0</v>
      </c>
      <c r="J951" s="4387">
        <f t="shared" si="70"/>
        <v>0</v>
      </c>
      <c r="K951" s="4354"/>
      <c r="L951" s="4354"/>
      <c r="M951" s="4354"/>
    </row>
    <row r="952" spans="1:13" x14ac:dyDescent="0.25">
      <c r="A952" s="4354"/>
      <c r="B952" s="4771">
        <v>1991</v>
      </c>
      <c r="C952" s="5089"/>
      <c r="D952" s="4444">
        <f t="shared" si="71"/>
        <v>356000</v>
      </c>
      <c r="E952" s="4779">
        <f>Table4.Gs2_2018!H41</f>
        <v>356000</v>
      </c>
      <c r="F952" s="4544">
        <f>Table4.Gs2_2019!H41</f>
        <v>356000</v>
      </c>
      <c r="G952" s="4498">
        <f>Table4.Gs2_2020!H41</f>
        <v>356000</v>
      </c>
      <c r="H952" s="4354"/>
      <c r="I952" s="4387">
        <f t="shared" si="70"/>
        <v>0</v>
      </c>
      <c r="J952" s="4387">
        <f t="shared" si="70"/>
        <v>0</v>
      </c>
      <c r="K952" s="4354"/>
      <c r="L952" s="4354"/>
      <c r="M952" s="4354"/>
    </row>
    <row r="953" spans="1:13" x14ac:dyDescent="0.25">
      <c r="A953" s="4354"/>
      <c r="B953" s="4771">
        <v>1992</v>
      </c>
      <c r="C953" s="5089"/>
      <c r="D953" s="4444">
        <f t="shared" si="71"/>
        <v>317000</v>
      </c>
      <c r="E953" s="4779">
        <f>Table4.Gs2_2018!H42</f>
        <v>317000</v>
      </c>
      <c r="F953" s="4544">
        <f>Table4.Gs2_2019!H42</f>
        <v>317000</v>
      </c>
      <c r="G953" s="4498">
        <f>Table4.Gs2_2020!H42</f>
        <v>317000</v>
      </c>
      <c r="H953" s="4354"/>
      <c r="I953" s="4387">
        <f t="shared" si="70"/>
        <v>0</v>
      </c>
      <c r="J953" s="4387">
        <f t="shared" si="70"/>
        <v>0</v>
      </c>
      <c r="K953" s="4354"/>
      <c r="L953" s="4354"/>
      <c r="M953" s="4354"/>
    </row>
    <row r="954" spans="1:13" x14ac:dyDescent="0.25">
      <c r="A954" s="4354"/>
      <c r="B954" s="4771">
        <v>1993</v>
      </c>
      <c r="C954" s="5089"/>
      <c r="D954" s="4444">
        <f t="shared" si="71"/>
        <v>339000</v>
      </c>
      <c r="E954" s="4779">
        <f>Table4.Gs2_2018!H43</f>
        <v>339000</v>
      </c>
      <c r="F954" s="4544">
        <f>Table4.Gs2_2019!H43</f>
        <v>339000</v>
      </c>
      <c r="G954" s="4498">
        <f>Table4.Gs2_2020!H43</f>
        <v>339000</v>
      </c>
      <c r="H954" s="4354"/>
      <c r="I954" s="4387">
        <f t="shared" si="70"/>
        <v>0</v>
      </c>
      <c r="J954" s="4387">
        <f t="shared" si="70"/>
        <v>0</v>
      </c>
      <c r="K954" s="4354"/>
      <c r="L954" s="4354"/>
      <c r="M954" s="4354"/>
    </row>
    <row r="955" spans="1:13" x14ac:dyDescent="0.25">
      <c r="A955" s="4354"/>
      <c r="B955" s="4771">
        <v>1994</v>
      </c>
      <c r="C955" s="5089"/>
      <c r="D955" s="4444">
        <f t="shared" si="71"/>
        <v>345000</v>
      </c>
      <c r="E955" s="4779">
        <f>Table4.Gs2_2018!H44</f>
        <v>345000</v>
      </c>
      <c r="F955" s="4544">
        <f>Table4.Gs2_2019!H44</f>
        <v>345000</v>
      </c>
      <c r="G955" s="4498">
        <f>Table4.Gs2_2020!H44</f>
        <v>345000</v>
      </c>
      <c r="H955" s="4354"/>
      <c r="I955" s="4387">
        <f t="shared" si="70"/>
        <v>0</v>
      </c>
      <c r="J955" s="4387">
        <f t="shared" si="70"/>
        <v>0</v>
      </c>
      <c r="K955" s="4354"/>
      <c r="L955" s="4354"/>
      <c r="M955" s="4354"/>
    </row>
    <row r="956" spans="1:13" x14ac:dyDescent="0.25">
      <c r="A956" s="4354"/>
      <c r="B956" s="4771">
        <v>1995</v>
      </c>
      <c r="C956" s="5089"/>
      <c r="D956" s="4444">
        <f t="shared" si="71"/>
        <v>345000</v>
      </c>
      <c r="E956" s="4779">
        <f>Table4.Gs2_2018!H45</f>
        <v>345000</v>
      </c>
      <c r="F956" s="4544">
        <f>Table4.Gs2_2019!H45</f>
        <v>345000</v>
      </c>
      <c r="G956" s="4498">
        <f>Table4.Gs2_2020!H45</f>
        <v>345000</v>
      </c>
      <c r="H956" s="4354"/>
      <c r="I956" s="4387">
        <f t="shared" si="70"/>
        <v>0</v>
      </c>
      <c r="J956" s="4387">
        <f t="shared" si="70"/>
        <v>0</v>
      </c>
      <c r="K956" s="4354"/>
      <c r="L956" s="4354"/>
      <c r="M956" s="4354"/>
    </row>
    <row r="957" spans="1:13" x14ac:dyDescent="0.25">
      <c r="A957" s="4354"/>
      <c r="B957" s="4771">
        <v>1996</v>
      </c>
      <c r="C957" s="5089"/>
      <c r="D957" s="4444">
        <f t="shared" si="71"/>
        <v>345000</v>
      </c>
      <c r="E957" s="4779">
        <f>Table4.Gs2_2018!H46</f>
        <v>345000</v>
      </c>
      <c r="F957" s="4544">
        <f>Table4.Gs2_2019!H46</f>
        <v>345000</v>
      </c>
      <c r="G957" s="4498">
        <f>Table4.Gs2_2020!H46</f>
        <v>345000</v>
      </c>
      <c r="H957" s="4354"/>
      <c r="I957" s="4387">
        <f t="shared" si="70"/>
        <v>0</v>
      </c>
      <c r="J957" s="4387">
        <f t="shared" si="70"/>
        <v>0</v>
      </c>
      <c r="K957" s="4354"/>
      <c r="L957" s="4354"/>
      <c r="M957" s="4354"/>
    </row>
    <row r="958" spans="1:13" x14ac:dyDescent="0.25">
      <c r="A958" s="4354"/>
      <c r="B958" s="4771">
        <v>1997</v>
      </c>
      <c r="C958" s="5089"/>
      <c r="D958" s="4444">
        <f t="shared" si="71"/>
        <v>391000</v>
      </c>
      <c r="E958" s="4779">
        <f>Table4.Gs2_2018!H47</f>
        <v>391000</v>
      </c>
      <c r="F958" s="4544">
        <f>Table4.Gs2_2019!H47</f>
        <v>391000</v>
      </c>
      <c r="G958" s="4498">
        <f>Table4.Gs2_2020!H47</f>
        <v>391000</v>
      </c>
      <c r="H958" s="4354"/>
      <c r="I958" s="4387">
        <f t="shared" si="70"/>
        <v>0</v>
      </c>
      <c r="J958" s="4387">
        <f t="shared" si="70"/>
        <v>0</v>
      </c>
      <c r="K958" s="4354"/>
      <c r="L958" s="4354"/>
      <c r="M958" s="4354"/>
    </row>
    <row r="959" spans="1:13" x14ac:dyDescent="0.25">
      <c r="A959" s="4354"/>
      <c r="B959" s="4771">
        <v>1998</v>
      </c>
      <c r="C959" s="5089"/>
      <c r="D959" s="4444">
        <f t="shared" si="71"/>
        <v>393000</v>
      </c>
      <c r="E959" s="4779">
        <f>Table4.Gs2_2018!H48</f>
        <v>393000</v>
      </c>
      <c r="F959" s="4544">
        <f>Table4.Gs2_2019!H48</f>
        <v>393000</v>
      </c>
      <c r="G959" s="4498">
        <f>Table4.Gs2_2020!H48</f>
        <v>393000</v>
      </c>
      <c r="H959" s="4354"/>
      <c r="I959" s="4387">
        <f t="shared" si="70"/>
        <v>0</v>
      </c>
      <c r="J959" s="4387">
        <f t="shared" si="70"/>
        <v>0</v>
      </c>
      <c r="K959" s="4354"/>
      <c r="L959" s="4354"/>
      <c r="M959" s="4354"/>
    </row>
    <row r="960" spans="1:13" x14ac:dyDescent="0.25">
      <c r="A960" s="4354"/>
      <c r="B960" s="4771">
        <v>1999</v>
      </c>
      <c r="C960" s="5089"/>
      <c r="D960" s="4444">
        <f t="shared" si="71"/>
        <v>397000</v>
      </c>
      <c r="E960" s="4779">
        <f>Table4.Gs2_2018!H49</f>
        <v>397000</v>
      </c>
      <c r="F960" s="4544">
        <f>Table4.Gs2_2019!H49</f>
        <v>397000</v>
      </c>
      <c r="G960" s="4498">
        <f>Table4.Gs2_2020!H49</f>
        <v>397000</v>
      </c>
      <c r="H960" s="4354"/>
      <c r="I960" s="4387">
        <f t="shared" si="70"/>
        <v>0</v>
      </c>
      <c r="J960" s="4387">
        <f t="shared" si="70"/>
        <v>0</v>
      </c>
      <c r="K960" s="4354"/>
      <c r="L960" s="4354"/>
      <c r="M960" s="4354"/>
    </row>
    <row r="961" spans="1:13" x14ac:dyDescent="0.25">
      <c r="A961" s="4354"/>
      <c r="B961" s="4771">
        <v>2000</v>
      </c>
      <c r="C961" s="5089"/>
      <c r="D961" s="4444">
        <f t="shared" si="71"/>
        <v>263000</v>
      </c>
      <c r="E961" s="4779">
        <f>Table4.Gs2_2018!H50</f>
        <v>263000</v>
      </c>
      <c r="F961" s="4544">
        <f>Table4.Gs2_2019!H50</f>
        <v>263000</v>
      </c>
      <c r="G961" s="4498">
        <f>Table4.Gs2_2020!H50</f>
        <v>263000</v>
      </c>
      <c r="H961" s="4354"/>
      <c r="I961" s="4387">
        <f t="shared" si="70"/>
        <v>0</v>
      </c>
      <c r="J961" s="4387">
        <f t="shared" si="70"/>
        <v>0</v>
      </c>
      <c r="K961" s="4354"/>
      <c r="L961" s="4354"/>
      <c r="M961" s="4354"/>
    </row>
    <row r="962" spans="1:13" x14ac:dyDescent="0.25">
      <c r="A962" s="4354"/>
      <c r="B962" s="4771">
        <v>2001</v>
      </c>
      <c r="C962" s="5089"/>
      <c r="D962" s="4444">
        <f t="shared" si="71"/>
        <v>389000</v>
      </c>
      <c r="E962" s="4779">
        <f>Table4.Gs2_2018!H51</f>
        <v>389000</v>
      </c>
      <c r="F962" s="4544">
        <f>Table4.Gs2_2019!H51</f>
        <v>389000</v>
      </c>
      <c r="G962" s="4498">
        <f>Table4.Gs2_2020!H51</f>
        <v>389000</v>
      </c>
      <c r="H962" s="4354"/>
      <c r="I962" s="4387">
        <f t="shared" si="70"/>
        <v>0</v>
      </c>
      <c r="J962" s="4387">
        <f t="shared" si="70"/>
        <v>0</v>
      </c>
      <c r="K962" s="4354"/>
      <c r="L962" s="4354"/>
      <c r="M962" s="4354"/>
    </row>
    <row r="963" spans="1:13" x14ac:dyDescent="0.25">
      <c r="A963" s="4354"/>
      <c r="B963" s="4771">
        <v>2002</v>
      </c>
      <c r="C963" s="5089"/>
      <c r="D963" s="4444">
        <f t="shared" si="71"/>
        <v>383728</v>
      </c>
      <c r="E963" s="4779">
        <f>Table4.Gs2_2018!H52</f>
        <v>383728</v>
      </c>
      <c r="F963" s="4544">
        <f>Table4.Gs2_2019!H52</f>
        <v>383728</v>
      </c>
      <c r="G963" s="4498">
        <f>Table4.Gs2_2020!H52</f>
        <v>383728</v>
      </c>
      <c r="H963" s="4354"/>
      <c r="I963" s="4387">
        <f t="shared" si="70"/>
        <v>0</v>
      </c>
      <c r="J963" s="4387">
        <f t="shared" si="70"/>
        <v>0</v>
      </c>
      <c r="K963" s="4354"/>
      <c r="L963" s="4354"/>
      <c r="M963" s="4354"/>
    </row>
    <row r="964" spans="1:13" x14ac:dyDescent="0.25">
      <c r="A964" s="4354"/>
      <c r="B964" s="4771">
        <v>2003</v>
      </c>
      <c r="C964" s="5089"/>
      <c r="D964" s="4444">
        <f t="shared" si="71"/>
        <v>388331</v>
      </c>
      <c r="E964" s="4779">
        <f>Table4.Gs2_2018!H53</f>
        <v>388331</v>
      </c>
      <c r="F964" s="4544">
        <f>Table4.Gs2_2019!H53</f>
        <v>388331</v>
      </c>
      <c r="G964" s="4498">
        <f>Table4.Gs2_2020!H53</f>
        <v>388331</v>
      </c>
      <c r="H964" s="4354"/>
      <c r="I964" s="4387">
        <f t="shared" si="70"/>
        <v>0</v>
      </c>
      <c r="J964" s="4387">
        <f t="shared" si="70"/>
        <v>0</v>
      </c>
      <c r="K964" s="4354"/>
      <c r="L964" s="4354"/>
      <c r="M964" s="4354"/>
    </row>
    <row r="965" spans="1:13" x14ac:dyDescent="0.25">
      <c r="A965" s="4354"/>
      <c r="B965" s="4771">
        <v>2004</v>
      </c>
      <c r="C965" s="5089"/>
      <c r="D965" s="4444">
        <f t="shared" si="71"/>
        <v>402043</v>
      </c>
      <c r="E965" s="4779">
        <f>Table4.Gs2_2018!H54</f>
        <v>402043</v>
      </c>
      <c r="F965" s="4544">
        <f>Table4.Gs2_2019!H54</f>
        <v>402043</v>
      </c>
      <c r="G965" s="4498">
        <f>Table4.Gs2_2020!H54</f>
        <v>402043</v>
      </c>
      <c r="H965" s="4354"/>
      <c r="I965" s="4387">
        <f t="shared" si="70"/>
        <v>0</v>
      </c>
      <c r="J965" s="4387">
        <f t="shared" si="70"/>
        <v>0</v>
      </c>
      <c r="K965" s="4354"/>
      <c r="L965" s="4354"/>
      <c r="M965" s="4354"/>
    </row>
    <row r="966" spans="1:13" x14ac:dyDescent="0.25">
      <c r="A966" s="4354"/>
      <c r="B966" s="4771">
        <v>2005</v>
      </c>
      <c r="C966" s="5089"/>
      <c r="D966" s="4444">
        <f t="shared" si="71"/>
        <v>422624</v>
      </c>
      <c r="E966" s="4779">
        <f>Table4.Gs2_2018!H55</f>
        <v>422624</v>
      </c>
      <c r="F966" s="4544">
        <f>Table4.Gs2_2019!H55</f>
        <v>422624</v>
      </c>
      <c r="G966" s="4498">
        <f>Table4.Gs2_2020!H55</f>
        <v>422624</v>
      </c>
      <c r="H966" s="4354"/>
      <c r="I966" s="4387">
        <f t="shared" si="70"/>
        <v>0</v>
      </c>
      <c r="J966" s="4387">
        <f t="shared" si="70"/>
        <v>0</v>
      </c>
      <c r="K966" s="4354"/>
      <c r="L966" s="4354"/>
      <c r="M966" s="4354"/>
    </row>
    <row r="967" spans="1:13" x14ac:dyDescent="0.25">
      <c r="A967" s="4354"/>
      <c r="B967" s="4771">
        <v>2006</v>
      </c>
      <c r="C967" s="5089"/>
      <c r="D967" s="4444">
        <f t="shared" si="71"/>
        <v>441917</v>
      </c>
      <c r="E967" s="4779">
        <f>Table4.Gs2_2018!H56</f>
        <v>441917</v>
      </c>
      <c r="F967" s="4544">
        <f>Table4.Gs2_2019!H56</f>
        <v>441917</v>
      </c>
      <c r="G967" s="4498">
        <f>Table4.Gs2_2020!H56</f>
        <v>441917</v>
      </c>
      <c r="H967" s="4354"/>
      <c r="I967" s="4387">
        <f t="shared" si="70"/>
        <v>0</v>
      </c>
      <c r="J967" s="4387">
        <f t="shared" si="70"/>
        <v>0</v>
      </c>
      <c r="K967" s="4354"/>
      <c r="L967" s="4354"/>
      <c r="M967" s="4354"/>
    </row>
    <row r="968" spans="1:13" x14ac:dyDescent="0.25">
      <c r="A968" s="4354"/>
      <c r="B968" s="4771">
        <v>2007</v>
      </c>
      <c r="C968" s="5089"/>
      <c r="D968" s="4444">
        <f t="shared" si="71"/>
        <v>416936</v>
      </c>
      <c r="E968" s="4779">
        <f>Table4.Gs2_2018!H57</f>
        <v>416936</v>
      </c>
      <c r="F968" s="4544">
        <f>Table4.Gs2_2019!H57</f>
        <v>416936</v>
      </c>
      <c r="G968" s="4498">
        <f>Table4.Gs2_2020!H57</f>
        <v>416936</v>
      </c>
      <c r="H968" s="4354"/>
      <c r="I968" s="4387">
        <f t="shared" si="70"/>
        <v>0</v>
      </c>
      <c r="J968" s="4387">
        <f t="shared" si="70"/>
        <v>0</v>
      </c>
      <c r="K968" s="4354"/>
      <c r="L968" s="4354"/>
      <c r="M968" s="4354"/>
    </row>
    <row r="969" spans="1:13" x14ac:dyDescent="0.25">
      <c r="A969" s="4354"/>
      <c r="B969" s="4771">
        <v>2008</v>
      </c>
      <c r="C969" s="5089"/>
      <c r="D969" s="4444">
        <f t="shared" si="71"/>
        <v>417936</v>
      </c>
      <c r="E969" s="4779">
        <f>Table4.Gs2_2018!H58</f>
        <v>417936</v>
      </c>
      <c r="F969" s="4544">
        <f>Table4.Gs2_2019!H58</f>
        <v>417936</v>
      </c>
      <c r="G969" s="4498">
        <f>Table4.Gs2_2020!H58</f>
        <v>417936</v>
      </c>
      <c r="H969" s="4354"/>
      <c r="I969" s="4387">
        <f t="shared" si="70"/>
        <v>0</v>
      </c>
      <c r="J969" s="4387">
        <f t="shared" si="70"/>
        <v>0</v>
      </c>
      <c r="K969" s="4354"/>
      <c r="L969" s="4354"/>
      <c r="M969" s="4354"/>
    </row>
    <row r="970" spans="1:13" x14ac:dyDescent="0.25">
      <c r="A970" s="4354"/>
      <c r="B970" s="4771">
        <v>2009</v>
      </c>
      <c r="C970" s="5089"/>
      <c r="D970" s="4444">
        <f t="shared" si="71"/>
        <v>518936</v>
      </c>
      <c r="E970" s="4779">
        <f>Table4.Gs2_2018!H59</f>
        <v>518936</v>
      </c>
      <c r="F970" s="4544">
        <f>Table4.Gs2_2019!H59</f>
        <v>518936</v>
      </c>
      <c r="G970" s="4498">
        <f>Table4.Gs2_2020!H59</f>
        <v>518936</v>
      </c>
      <c r="H970" s="4354"/>
      <c r="I970" s="4387">
        <f t="shared" si="70"/>
        <v>0</v>
      </c>
      <c r="J970" s="4387">
        <f t="shared" si="70"/>
        <v>0</v>
      </c>
      <c r="K970" s="4354"/>
      <c r="L970" s="4354"/>
      <c r="M970" s="4354"/>
    </row>
    <row r="971" spans="1:13" x14ac:dyDescent="0.25">
      <c r="A971" s="4354"/>
      <c r="B971" s="4771">
        <v>2010</v>
      </c>
      <c r="C971" s="5089"/>
      <c r="D971" s="4444">
        <f t="shared" si="71"/>
        <v>534932</v>
      </c>
      <c r="E971" s="4779">
        <f>Table4.Gs2_2018!H60</f>
        <v>534932</v>
      </c>
      <c r="F971" s="4544">
        <f>Table4.Gs2_2019!H60</f>
        <v>534932</v>
      </c>
      <c r="G971" s="4498">
        <f>Table4.Gs2_2020!H60</f>
        <v>534932</v>
      </c>
      <c r="H971" s="4354"/>
      <c r="I971" s="4387">
        <f t="shared" si="70"/>
        <v>0</v>
      </c>
      <c r="J971" s="4387">
        <f t="shared" si="70"/>
        <v>0</v>
      </c>
      <c r="K971" s="4354"/>
      <c r="L971" s="4354"/>
      <c r="M971" s="4354"/>
    </row>
    <row r="972" spans="1:13" x14ac:dyDescent="0.25">
      <c r="A972" s="4354"/>
      <c r="B972" s="4771">
        <v>2011</v>
      </c>
      <c r="C972" s="5089"/>
      <c r="D972" s="4444">
        <f t="shared" si="71"/>
        <v>522699</v>
      </c>
      <c r="E972" s="4779">
        <f>Table4.Gs2_2018!H61</f>
        <v>522699</v>
      </c>
      <c r="F972" s="4544">
        <f>Table4.Gs2_2019!H61</f>
        <v>522699</v>
      </c>
      <c r="G972" s="4498">
        <f>Table4.Gs2_2020!H61</f>
        <v>522699</v>
      </c>
      <c r="H972" s="4354"/>
      <c r="I972" s="4387">
        <f t="shared" si="70"/>
        <v>0</v>
      </c>
      <c r="J972" s="4387">
        <f t="shared" si="70"/>
        <v>0</v>
      </c>
      <c r="K972" s="4354"/>
      <c r="L972" s="4354"/>
      <c r="M972" s="4354"/>
    </row>
    <row r="973" spans="1:13" x14ac:dyDescent="0.25">
      <c r="A973" s="4354"/>
      <c r="B973" s="4771">
        <v>2012</v>
      </c>
      <c r="C973" s="5089"/>
      <c r="D973" s="4444">
        <f t="shared" si="71"/>
        <v>522110</v>
      </c>
      <c r="E973" s="4779">
        <f>Table4.Gs2_2018!H62</f>
        <v>522110</v>
      </c>
      <c r="F973" s="4544">
        <f>Table4.Gs2_2019!H62</f>
        <v>522110</v>
      </c>
      <c r="G973" s="4498">
        <f>Table4.Gs2_2020!H62</f>
        <v>522110</v>
      </c>
      <c r="H973" s="4354"/>
      <c r="I973" s="4387">
        <f t="shared" si="70"/>
        <v>0</v>
      </c>
      <c r="J973" s="4387">
        <f t="shared" si="70"/>
        <v>0</v>
      </c>
      <c r="K973" s="4354"/>
      <c r="L973" s="4354"/>
      <c r="M973" s="4354"/>
    </row>
    <row r="974" spans="1:13" x14ac:dyDescent="0.25">
      <c r="A974" s="4354"/>
      <c r="B974" s="4771">
        <v>2013</v>
      </c>
      <c r="C974" s="5089"/>
      <c r="D974" s="4444">
        <f t="shared" si="71"/>
        <v>522110</v>
      </c>
      <c r="E974" s="4779">
        <f>Table4.Gs2_2018!H63</f>
        <v>522110</v>
      </c>
      <c r="F974" s="4544">
        <f>Table4.Gs2_2019!H63</f>
        <v>522110</v>
      </c>
      <c r="G974" s="4498">
        <f>Table4.Gs2_2020!H63</f>
        <v>522110</v>
      </c>
      <c r="H974" s="4354"/>
      <c r="I974" s="4387">
        <f t="shared" si="70"/>
        <v>0</v>
      </c>
      <c r="J974" s="4387">
        <f t="shared" si="70"/>
        <v>0</v>
      </c>
      <c r="K974" s="4354"/>
      <c r="L974" s="4354"/>
      <c r="M974" s="4354"/>
    </row>
    <row r="975" spans="1:13" x14ac:dyDescent="0.25">
      <c r="A975" s="4354"/>
      <c r="B975" s="4771">
        <v>2014</v>
      </c>
      <c r="C975" s="5089"/>
      <c r="D975" s="4444">
        <f t="shared" si="71"/>
        <v>522110</v>
      </c>
      <c r="E975" s="4779">
        <f>Table4.Gs2_2018!H64</f>
        <v>522110</v>
      </c>
      <c r="F975" s="4544">
        <f>Table4.Gs2_2019!H64</f>
        <v>522110</v>
      </c>
      <c r="G975" s="4498">
        <f>Table4.Gs2_2020!H64</f>
        <v>522110</v>
      </c>
      <c r="H975" s="4354"/>
      <c r="I975" s="4387">
        <f t="shared" si="70"/>
        <v>0</v>
      </c>
      <c r="J975" s="4387">
        <f t="shared" si="70"/>
        <v>0</v>
      </c>
      <c r="K975" s="4354"/>
      <c r="L975" s="4354"/>
      <c r="M975" s="4354"/>
    </row>
    <row r="976" spans="1:13" x14ac:dyDescent="0.25">
      <c r="A976" s="4354"/>
      <c r="B976" s="4771">
        <v>2015</v>
      </c>
      <c r="C976" s="5089"/>
      <c r="D976" s="4444">
        <f t="shared" si="71"/>
        <v>481520</v>
      </c>
      <c r="E976" s="4779">
        <f>Table4.Gs2_2018!H65</f>
        <v>481520</v>
      </c>
      <c r="F976" s="4544">
        <f>Table4.Gs2_2019!H65</f>
        <v>481520</v>
      </c>
      <c r="G976" s="4498">
        <f>Table4.Gs2_2020!H65</f>
        <v>481520</v>
      </c>
      <c r="H976" s="4354"/>
      <c r="I976" s="4387">
        <f t="shared" si="70"/>
        <v>0</v>
      </c>
      <c r="J976" s="4387">
        <f t="shared" si="70"/>
        <v>0</v>
      </c>
      <c r="K976" s="4354"/>
      <c r="L976" s="4354"/>
      <c r="M976" s="4354"/>
    </row>
    <row r="977" spans="1:13" x14ac:dyDescent="0.25">
      <c r="A977" s="4354"/>
      <c r="B977" s="4771">
        <v>2016</v>
      </c>
      <c r="C977" s="5089"/>
      <c r="D977" s="4444">
        <f t="shared" si="71"/>
        <v>481520</v>
      </c>
      <c r="E977" s="4779">
        <f>Table4.Gs2_2018!H66</f>
        <v>481520</v>
      </c>
      <c r="F977" s="4544">
        <f>Table4.Gs2_2019!H66</f>
        <v>481520</v>
      </c>
      <c r="G977" s="4498">
        <f>Table4.Gs2_2020!H66</f>
        <v>481520</v>
      </c>
      <c r="H977" s="4354"/>
      <c r="I977" s="4387">
        <f t="shared" si="70"/>
        <v>0</v>
      </c>
      <c r="J977" s="4387">
        <f t="shared" si="70"/>
        <v>0</v>
      </c>
      <c r="K977" s="4354"/>
      <c r="L977" s="4354"/>
      <c r="M977" s="4354"/>
    </row>
    <row r="978" spans="1:13" x14ac:dyDescent="0.25">
      <c r="A978" s="4354"/>
      <c r="B978" s="4771">
        <v>2017</v>
      </c>
      <c r="C978" s="5089"/>
      <c r="D978" s="4444">
        <f t="shared" si="71"/>
        <v>147000</v>
      </c>
      <c r="E978" s="4779">
        <f>Table4.Gs2_2018!H67</f>
        <v>147000</v>
      </c>
      <c r="F978" s="4544">
        <f>Table4.Gs2_2019!H67</f>
        <v>147000</v>
      </c>
      <c r="G978" s="4498">
        <f>Table4.Gs2_2020!H67</f>
        <v>147000</v>
      </c>
      <c r="H978" s="4354"/>
      <c r="I978" s="4387">
        <f t="shared" si="70"/>
        <v>0</v>
      </c>
      <c r="J978" s="4387">
        <f t="shared" si="70"/>
        <v>0</v>
      </c>
      <c r="K978" s="4354"/>
      <c r="L978" s="4354"/>
      <c r="M978" s="4354"/>
    </row>
    <row r="979" spans="1:13" x14ac:dyDescent="0.25">
      <c r="A979" s="4354"/>
      <c r="B979" s="4771">
        <v>2018</v>
      </c>
      <c r="C979" s="5089"/>
      <c r="D979" s="4444">
        <f t="shared" si="71"/>
        <v>147000</v>
      </c>
      <c r="E979" s="4779">
        <f>Table4.Gs2_2018!H68</f>
        <v>147000</v>
      </c>
      <c r="F979" s="4544">
        <f>Table4.Gs2_2019!H68</f>
        <v>147000</v>
      </c>
      <c r="G979" s="4498">
        <f>Table4.Gs2_2020!H68</f>
        <v>147000</v>
      </c>
      <c r="H979" s="4354"/>
      <c r="I979" s="4387">
        <f t="shared" si="70"/>
        <v>0</v>
      </c>
      <c r="J979" s="4387">
        <f t="shared" si="70"/>
        <v>0</v>
      </c>
      <c r="K979" s="4354"/>
      <c r="L979" s="4354"/>
      <c r="M979" s="4354"/>
    </row>
    <row r="980" spans="1:13" x14ac:dyDescent="0.25">
      <c r="A980" s="4499"/>
      <c r="B980" s="4771">
        <v>2019</v>
      </c>
      <c r="C980" s="5089"/>
      <c r="D980" s="4444">
        <f t="shared" si="71"/>
        <v>152000</v>
      </c>
      <c r="E980" s="4780">
        <f>G980</f>
        <v>152000</v>
      </c>
      <c r="F980" s="4544">
        <f>Table4.Gs2_2019!H69</f>
        <v>152000</v>
      </c>
      <c r="G980" s="4498">
        <f>Table4.Gs2_2020!H69</f>
        <v>152000</v>
      </c>
      <c r="H980" s="4354"/>
      <c r="I980" s="4387">
        <f t="shared" si="70"/>
        <v>0</v>
      </c>
      <c r="J980" s="4387">
        <f t="shared" si="70"/>
        <v>0</v>
      </c>
      <c r="K980" s="4354"/>
      <c r="L980" s="4354"/>
      <c r="M980" s="4354"/>
    </row>
    <row r="981" spans="1:13" ht="15.75" thickBot="1" x14ac:dyDescent="0.3">
      <c r="A981" s="4499"/>
      <c r="B981" s="4776">
        <v>2020</v>
      </c>
      <c r="C981" s="5090"/>
      <c r="D981" s="4444">
        <f t="shared" si="71"/>
        <v>152000</v>
      </c>
      <c r="E981" s="4782">
        <f>F981</f>
        <v>152000</v>
      </c>
      <c r="F981" s="4783">
        <f>G981</f>
        <v>152000</v>
      </c>
      <c r="G981" s="4498">
        <f>Table4.Gs2_2020!H70</f>
        <v>152000</v>
      </c>
      <c r="H981" s="4354"/>
      <c r="I981" s="4387">
        <f t="shared" si="70"/>
        <v>0</v>
      </c>
      <c r="J981" s="4387">
        <f t="shared" si="70"/>
        <v>0</v>
      </c>
      <c r="K981" s="4354"/>
      <c r="L981" s="4354"/>
      <c r="M981" s="4354"/>
    </row>
    <row r="982" spans="1:13" x14ac:dyDescent="0.25">
      <c r="A982" s="4354"/>
      <c r="B982" s="4767">
        <v>1990</v>
      </c>
      <c r="C982" s="5088" t="s">
        <v>747</v>
      </c>
      <c r="D982" s="4438">
        <f t="shared" si="71"/>
        <v>1165700</v>
      </c>
      <c r="E982" s="4757">
        <f>Table4.Gs2_2018!I40</f>
        <v>1165700</v>
      </c>
      <c r="F982" s="4541">
        <f>Table4.Gs2_2019!I40</f>
        <v>1165700</v>
      </c>
      <c r="G982" s="4542">
        <f>Table4.Gs2_2020!I40</f>
        <v>1165700</v>
      </c>
      <c r="H982" s="4354"/>
      <c r="I982" s="4387">
        <f t="shared" si="70"/>
        <v>0</v>
      </c>
      <c r="J982" s="4387">
        <f t="shared" si="70"/>
        <v>0</v>
      </c>
      <c r="K982" s="4354"/>
      <c r="L982" s="4354"/>
      <c r="M982" s="4354"/>
    </row>
    <row r="983" spans="1:13" x14ac:dyDescent="0.25">
      <c r="A983" s="4354"/>
      <c r="B983" s="4771">
        <v>1991</v>
      </c>
      <c r="C983" s="5089"/>
      <c r="D983" s="4444">
        <f t="shared" si="71"/>
        <v>1203700</v>
      </c>
      <c r="E983" s="4779">
        <f>Table4.Gs2_2018!I41</f>
        <v>1203700</v>
      </c>
      <c r="F983" s="4544">
        <f>Table4.Gs2_2019!I41</f>
        <v>1203700</v>
      </c>
      <c r="G983" s="4498">
        <f>Table4.Gs2_2020!I41</f>
        <v>1203700</v>
      </c>
      <c r="H983" s="4354"/>
      <c r="I983" s="4387">
        <f t="shared" si="70"/>
        <v>0</v>
      </c>
      <c r="J983" s="4387">
        <f t="shared" si="70"/>
        <v>0</v>
      </c>
      <c r="K983" s="4354"/>
      <c r="L983" s="4354"/>
      <c r="M983" s="4354"/>
    </row>
    <row r="984" spans="1:13" x14ac:dyDescent="0.25">
      <c r="A984" s="4354"/>
      <c r="B984" s="4771">
        <v>1992</v>
      </c>
      <c r="C984" s="5089"/>
      <c r="D984" s="4444">
        <f t="shared" si="71"/>
        <v>1034124</v>
      </c>
      <c r="E984" s="4779">
        <f>Table4.Gs2_2018!I42</f>
        <v>1034124</v>
      </c>
      <c r="F984" s="4544">
        <f>Table4.Gs2_2019!I42</f>
        <v>1034124</v>
      </c>
      <c r="G984" s="4498">
        <f>Table4.Gs2_2020!I42</f>
        <v>1034124</v>
      </c>
      <c r="H984" s="4354"/>
      <c r="I984" s="4387">
        <f t="shared" si="70"/>
        <v>0</v>
      </c>
      <c r="J984" s="4387">
        <f t="shared" si="70"/>
        <v>0</v>
      </c>
      <c r="K984" s="4354"/>
      <c r="L984" s="4354"/>
      <c r="M984" s="4354"/>
    </row>
    <row r="985" spans="1:13" x14ac:dyDescent="0.25">
      <c r="A985" s="4354"/>
      <c r="B985" s="4771">
        <v>1993</v>
      </c>
      <c r="C985" s="5089"/>
      <c r="D985" s="4444">
        <f t="shared" si="71"/>
        <v>880000</v>
      </c>
      <c r="E985" s="4779">
        <f>Table4.Gs2_2018!I43</f>
        <v>880000</v>
      </c>
      <c r="F985" s="4544">
        <f>Table4.Gs2_2019!I43</f>
        <v>880000</v>
      </c>
      <c r="G985" s="4498">
        <f>Table4.Gs2_2020!I43</f>
        <v>880000</v>
      </c>
      <c r="H985" s="4354"/>
      <c r="I985" s="4387">
        <f t="shared" si="70"/>
        <v>0</v>
      </c>
      <c r="J985" s="4387">
        <f t="shared" si="70"/>
        <v>0</v>
      </c>
      <c r="K985" s="4354"/>
      <c r="L985" s="4354"/>
      <c r="M985" s="4354"/>
    </row>
    <row r="986" spans="1:13" x14ac:dyDescent="0.25">
      <c r="A986" s="4354"/>
      <c r="B986" s="4771">
        <v>1994</v>
      </c>
      <c r="C986" s="5089"/>
      <c r="D986" s="4444">
        <f t="shared" si="71"/>
        <v>1091000</v>
      </c>
      <c r="E986" s="4779">
        <f>Table4.Gs2_2018!I44</f>
        <v>1091000</v>
      </c>
      <c r="F986" s="4544">
        <f>Table4.Gs2_2019!I44</f>
        <v>1091000</v>
      </c>
      <c r="G986" s="4498">
        <f>Table4.Gs2_2020!I44</f>
        <v>1091000</v>
      </c>
      <c r="H986" s="4354"/>
      <c r="I986" s="4387">
        <f t="shared" si="70"/>
        <v>0</v>
      </c>
      <c r="J986" s="4387">
        <f t="shared" si="70"/>
        <v>0</v>
      </c>
      <c r="K986" s="4354"/>
      <c r="L986" s="4354"/>
      <c r="M986" s="4354"/>
    </row>
    <row r="987" spans="1:13" x14ac:dyDescent="0.25">
      <c r="A987" s="4354"/>
      <c r="B987" s="4771">
        <v>1995</v>
      </c>
      <c r="C987" s="5089"/>
      <c r="D987" s="4444">
        <f t="shared" si="71"/>
        <v>1044000</v>
      </c>
      <c r="E987" s="4779">
        <f>Table4.Gs2_2018!I45</f>
        <v>1044000</v>
      </c>
      <c r="F987" s="4544">
        <f>Table4.Gs2_2019!I45</f>
        <v>1044000</v>
      </c>
      <c r="G987" s="4498">
        <f>Table4.Gs2_2020!I45</f>
        <v>1044000</v>
      </c>
      <c r="H987" s="4354"/>
      <c r="I987" s="4387">
        <f t="shared" ref="I987:J1050" si="72">IFERROR(ABS(F987-E987)/E987,"NO")</f>
        <v>0</v>
      </c>
      <c r="J987" s="4387">
        <f t="shared" si="72"/>
        <v>0</v>
      </c>
      <c r="K987" s="4354"/>
      <c r="L987" s="4354"/>
      <c r="M987" s="4354"/>
    </row>
    <row r="988" spans="1:13" x14ac:dyDescent="0.25">
      <c r="A988" s="4354"/>
      <c r="B988" s="4771">
        <v>1996</v>
      </c>
      <c r="C988" s="5089"/>
      <c r="D988" s="4444">
        <f t="shared" si="71"/>
        <v>1047000</v>
      </c>
      <c r="E988" s="4779">
        <f>Table4.Gs2_2018!I46</f>
        <v>1047000</v>
      </c>
      <c r="F988" s="4544">
        <f>Table4.Gs2_2019!I46</f>
        <v>1047000</v>
      </c>
      <c r="G988" s="4498">
        <f>Table4.Gs2_2020!I46</f>
        <v>1047000</v>
      </c>
      <c r="H988" s="4354"/>
      <c r="I988" s="4387">
        <f t="shared" si="72"/>
        <v>0</v>
      </c>
      <c r="J988" s="4387">
        <f t="shared" si="72"/>
        <v>0</v>
      </c>
      <c r="K988" s="4354"/>
      <c r="L988" s="4354"/>
      <c r="M988" s="4354"/>
    </row>
    <row r="989" spans="1:13" x14ac:dyDescent="0.25">
      <c r="A989" s="4354"/>
      <c r="B989" s="4771">
        <v>1997</v>
      </c>
      <c r="C989" s="5089"/>
      <c r="D989" s="4444">
        <f t="shared" si="71"/>
        <v>1147300</v>
      </c>
      <c r="E989" s="4779">
        <f>Table4.Gs2_2018!I47</f>
        <v>1147300</v>
      </c>
      <c r="F989" s="4544">
        <f>Table4.Gs2_2019!I47</f>
        <v>1147300</v>
      </c>
      <c r="G989" s="4498">
        <f>Table4.Gs2_2020!I47</f>
        <v>1147300</v>
      </c>
      <c r="H989" s="4354"/>
      <c r="I989" s="4387">
        <f t="shared" si="72"/>
        <v>0</v>
      </c>
      <c r="J989" s="4387">
        <f t="shared" si="72"/>
        <v>0</v>
      </c>
      <c r="K989" s="4354"/>
      <c r="L989" s="4354"/>
      <c r="M989" s="4354"/>
    </row>
    <row r="990" spans="1:13" x14ac:dyDescent="0.25">
      <c r="A990" s="4354"/>
      <c r="B990" s="4771">
        <v>1998</v>
      </c>
      <c r="C990" s="5089"/>
      <c r="D990" s="4444">
        <f t="shared" si="71"/>
        <v>1154000</v>
      </c>
      <c r="E990" s="4779">
        <f>Table4.Gs2_2018!I48</f>
        <v>1154000</v>
      </c>
      <c r="F990" s="4544">
        <f>Table4.Gs2_2019!I48</f>
        <v>1154000</v>
      </c>
      <c r="G990" s="4498">
        <f>Table4.Gs2_2020!I48</f>
        <v>1154000</v>
      </c>
      <c r="H990" s="4354"/>
      <c r="I990" s="4387">
        <f t="shared" si="72"/>
        <v>0</v>
      </c>
      <c r="J990" s="4387">
        <f t="shared" si="72"/>
        <v>0</v>
      </c>
      <c r="K990" s="4354"/>
      <c r="L990" s="4354"/>
      <c r="M990" s="4354"/>
    </row>
    <row r="991" spans="1:13" x14ac:dyDescent="0.25">
      <c r="A991" s="4354"/>
      <c r="B991" s="4771">
        <v>1999</v>
      </c>
      <c r="C991" s="5089"/>
      <c r="D991" s="4444">
        <f t="shared" si="71"/>
        <v>1185000</v>
      </c>
      <c r="E991" s="4779">
        <f>Table4.Gs2_2018!I49</f>
        <v>1185000</v>
      </c>
      <c r="F991" s="4544">
        <f>Table4.Gs2_2019!I49</f>
        <v>1185000</v>
      </c>
      <c r="G991" s="4498">
        <f>Table4.Gs2_2020!I49</f>
        <v>1185000</v>
      </c>
      <c r="H991" s="4354"/>
      <c r="I991" s="4387">
        <f t="shared" si="72"/>
        <v>0</v>
      </c>
      <c r="J991" s="4387">
        <f t="shared" si="72"/>
        <v>0</v>
      </c>
      <c r="K991" s="4354"/>
      <c r="L991" s="4354"/>
      <c r="M991" s="4354"/>
    </row>
    <row r="992" spans="1:13" x14ac:dyDescent="0.25">
      <c r="A992" s="4354"/>
      <c r="B992" s="4771">
        <v>2000</v>
      </c>
      <c r="C992" s="5089"/>
      <c r="D992" s="4444">
        <f t="shared" si="71"/>
        <v>1151000</v>
      </c>
      <c r="E992" s="4779">
        <f>Table4.Gs2_2018!I50</f>
        <v>1151000</v>
      </c>
      <c r="F992" s="4544">
        <f>Table4.Gs2_2019!I50</f>
        <v>1151000</v>
      </c>
      <c r="G992" s="4498">
        <f>Table4.Gs2_2020!I50</f>
        <v>1151000</v>
      </c>
      <c r="H992" s="4354"/>
      <c r="I992" s="4387">
        <f t="shared" si="72"/>
        <v>0</v>
      </c>
      <c r="J992" s="4387">
        <f t="shared" si="72"/>
        <v>0</v>
      </c>
      <c r="K992" s="4354"/>
      <c r="L992" s="4354"/>
      <c r="M992" s="4354"/>
    </row>
    <row r="993" spans="1:13" x14ac:dyDescent="0.25">
      <c r="A993" s="4354"/>
      <c r="B993" s="4771">
        <v>2001</v>
      </c>
      <c r="C993" s="5089"/>
      <c r="D993" s="4444">
        <f t="shared" si="71"/>
        <v>1139150</v>
      </c>
      <c r="E993" s="4779">
        <f>Table4.Gs2_2018!I51</f>
        <v>1139150</v>
      </c>
      <c r="F993" s="4544">
        <f>Table4.Gs2_2019!I51</f>
        <v>1139150</v>
      </c>
      <c r="G993" s="4498">
        <f>Table4.Gs2_2020!I51</f>
        <v>1139150</v>
      </c>
      <c r="H993" s="4354"/>
      <c r="I993" s="4387">
        <f t="shared" si="72"/>
        <v>0</v>
      </c>
      <c r="J993" s="4387">
        <f t="shared" si="72"/>
        <v>0</v>
      </c>
      <c r="K993" s="4354"/>
      <c r="L993" s="4354"/>
      <c r="M993" s="4354"/>
    </row>
    <row r="994" spans="1:13" x14ac:dyDescent="0.25">
      <c r="A994" s="4354"/>
      <c r="B994" s="4771">
        <v>2002</v>
      </c>
      <c r="C994" s="5089"/>
      <c r="D994" s="4444">
        <f t="shared" si="71"/>
        <v>1138274</v>
      </c>
      <c r="E994" s="4779">
        <f>Table4.Gs2_2018!I52</f>
        <v>1138274</v>
      </c>
      <c r="F994" s="4544">
        <f>Table4.Gs2_2019!I52</f>
        <v>1138274</v>
      </c>
      <c r="G994" s="4498">
        <f>Table4.Gs2_2020!I52</f>
        <v>1138274</v>
      </c>
      <c r="H994" s="4354"/>
      <c r="I994" s="4387">
        <f t="shared" si="72"/>
        <v>0</v>
      </c>
      <c r="J994" s="4387">
        <f t="shared" si="72"/>
        <v>0</v>
      </c>
      <c r="K994" s="4354"/>
      <c r="L994" s="4354"/>
      <c r="M994" s="4354"/>
    </row>
    <row r="995" spans="1:13" x14ac:dyDescent="0.25">
      <c r="A995" s="4354"/>
      <c r="B995" s="4771">
        <v>2003</v>
      </c>
      <c r="C995" s="5089"/>
      <c r="D995" s="4444">
        <f t="shared" si="71"/>
        <v>1165920</v>
      </c>
      <c r="E995" s="4779">
        <f>Table4.Gs2_2018!I53</f>
        <v>1165920</v>
      </c>
      <c r="F995" s="4544">
        <f>Table4.Gs2_2019!I53</f>
        <v>1165920</v>
      </c>
      <c r="G995" s="4498">
        <f>Table4.Gs2_2020!I53</f>
        <v>1165920</v>
      </c>
      <c r="H995" s="4354"/>
      <c r="I995" s="4387">
        <f t="shared" si="72"/>
        <v>0</v>
      </c>
      <c r="J995" s="4387">
        <f t="shared" si="72"/>
        <v>0</v>
      </c>
      <c r="K995" s="4354"/>
      <c r="L995" s="4354"/>
      <c r="M995" s="4354"/>
    </row>
    <row r="996" spans="1:13" x14ac:dyDescent="0.25">
      <c r="A996" s="4354"/>
      <c r="B996" s="4771">
        <v>2004</v>
      </c>
      <c r="C996" s="5089"/>
      <c r="D996" s="4444">
        <f t="shared" si="71"/>
        <v>1219631</v>
      </c>
      <c r="E996" s="4779">
        <f>Table4.Gs2_2018!I54</f>
        <v>1219631</v>
      </c>
      <c r="F996" s="4544">
        <f>Table4.Gs2_2019!I54</f>
        <v>1219631</v>
      </c>
      <c r="G996" s="4498">
        <f>Table4.Gs2_2020!I54</f>
        <v>1219631</v>
      </c>
      <c r="H996" s="4354"/>
      <c r="I996" s="4387">
        <f t="shared" si="72"/>
        <v>0</v>
      </c>
      <c r="J996" s="4387">
        <f t="shared" si="72"/>
        <v>0</v>
      </c>
      <c r="K996" s="4354"/>
      <c r="L996" s="4354"/>
      <c r="M996" s="4354"/>
    </row>
    <row r="997" spans="1:13" x14ac:dyDescent="0.25">
      <c r="A997" s="4354"/>
      <c r="B997" s="4771">
        <v>2005</v>
      </c>
      <c r="C997" s="5089"/>
      <c r="D997" s="4444">
        <f t="shared" si="71"/>
        <v>1207876</v>
      </c>
      <c r="E997" s="4779">
        <f>Table4.Gs2_2018!I55</f>
        <v>1207876</v>
      </c>
      <c r="F997" s="4544">
        <f>Table4.Gs2_2019!I55</f>
        <v>1207876</v>
      </c>
      <c r="G997" s="4498">
        <f>Table4.Gs2_2020!I55</f>
        <v>1207876</v>
      </c>
      <c r="H997" s="4354"/>
      <c r="I997" s="4387">
        <f t="shared" si="72"/>
        <v>0</v>
      </c>
      <c r="J997" s="4387">
        <f t="shared" si="72"/>
        <v>0</v>
      </c>
      <c r="K997" s="4354"/>
      <c r="L997" s="4354"/>
      <c r="M997" s="4354"/>
    </row>
    <row r="998" spans="1:13" x14ac:dyDescent="0.25">
      <c r="A998" s="4354"/>
      <c r="B998" s="4771">
        <v>2006</v>
      </c>
      <c r="C998" s="5089"/>
      <c r="D998" s="4444">
        <f t="shared" si="71"/>
        <v>1205837</v>
      </c>
      <c r="E998" s="4779">
        <f>Table4.Gs2_2018!I56</f>
        <v>1205837</v>
      </c>
      <c r="F998" s="4544">
        <f>Table4.Gs2_2019!I56</f>
        <v>1205837</v>
      </c>
      <c r="G998" s="4498">
        <f>Table4.Gs2_2020!I56</f>
        <v>1205837</v>
      </c>
      <c r="H998" s="4354"/>
      <c r="I998" s="4387">
        <f t="shared" si="72"/>
        <v>0</v>
      </c>
      <c r="J998" s="4387">
        <f t="shared" si="72"/>
        <v>0</v>
      </c>
      <c r="K998" s="4354"/>
      <c r="L998" s="4354"/>
      <c r="M998" s="4354"/>
    </row>
    <row r="999" spans="1:13" x14ac:dyDescent="0.25">
      <c r="A999" s="4354"/>
      <c r="B999" s="4771">
        <v>2007</v>
      </c>
      <c r="C999" s="5089"/>
      <c r="D999" s="4444">
        <f t="shared" si="71"/>
        <v>1302009</v>
      </c>
      <c r="E999" s="4779">
        <f>Table4.Gs2_2018!I57</f>
        <v>1302009</v>
      </c>
      <c r="F999" s="4544">
        <f>Table4.Gs2_2019!I57</f>
        <v>1302009</v>
      </c>
      <c r="G999" s="4498">
        <f>Table4.Gs2_2020!I57</f>
        <v>1302009</v>
      </c>
      <c r="H999" s="4354"/>
      <c r="I999" s="4387">
        <f t="shared" si="72"/>
        <v>0</v>
      </c>
      <c r="J999" s="4387">
        <f t="shared" si="72"/>
        <v>0</v>
      </c>
      <c r="K999" s="4354"/>
      <c r="L999" s="4354"/>
      <c r="M999" s="4354"/>
    </row>
    <row r="1000" spans="1:13" x14ac:dyDescent="0.25">
      <c r="A1000" s="4354"/>
      <c r="B1000" s="4771">
        <v>2008</v>
      </c>
      <c r="C1000" s="5089"/>
      <c r="D1000" s="4444">
        <f t="shared" si="71"/>
        <v>1208739</v>
      </c>
      <c r="E1000" s="4779">
        <f>Table4.Gs2_2018!I58</f>
        <v>1208739</v>
      </c>
      <c r="F1000" s="4544">
        <f>Table4.Gs2_2019!I58</f>
        <v>1208739</v>
      </c>
      <c r="G1000" s="4498">
        <f>Table4.Gs2_2020!I58</f>
        <v>1208739</v>
      </c>
      <c r="H1000" s="4354"/>
      <c r="I1000" s="4387">
        <f t="shared" si="72"/>
        <v>0</v>
      </c>
      <c r="J1000" s="4387">
        <f t="shared" si="72"/>
        <v>0</v>
      </c>
      <c r="K1000" s="4354"/>
      <c r="L1000" s="4354"/>
      <c r="M1000" s="4354"/>
    </row>
    <row r="1001" spans="1:13" x14ac:dyDescent="0.25">
      <c r="A1001" s="4354"/>
      <c r="B1001" s="4771">
        <v>2009</v>
      </c>
      <c r="C1001" s="5089"/>
      <c r="D1001" s="4444">
        <f t="shared" si="71"/>
        <v>980856</v>
      </c>
      <c r="E1001" s="4779">
        <f>Table4.Gs2_2018!I59</f>
        <v>980856</v>
      </c>
      <c r="F1001" s="4544">
        <f>Table4.Gs2_2019!I59</f>
        <v>980856</v>
      </c>
      <c r="G1001" s="4498">
        <f>Table4.Gs2_2020!I59</f>
        <v>980856</v>
      </c>
      <c r="H1001" s="4354"/>
      <c r="I1001" s="4387">
        <f t="shared" si="72"/>
        <v>0</v>
      </c>
      <c r="J1001" s="4387">
        <f t="shared" si="72"/>
        <v>0</v>
      </c>
      <c r="K1001" s="4354"/>
      <c r="L1001" s="4354"/>
      <c r="M1001" s="4354"/>
    </row>
    <row r="1002" spans="1:13" x14ac:dyDescent="0.25">
      <c r="A1002" s="4354"/>
      <c r="B1002" s="4771">
        <v>2010</v>
      </c>
      <c r="C1002" s="5089"/>
      <c r="D1002" s="4444">
        <f t="shared" si="71"/>
        <v>1026095</v>
      </c>
      <c r="E1002" s="4779">
        <f>Table4.Gs2_2018!I60</f>
        <v>1026095</v>
      </c>
      <c r="F1002" s="4544">
        <f>Table4.Gs2_2019!I60</f>
        <v>1026095</v>
      </c>
      <c r="G1002" s="4498">
        <f>Table4.Gs2_2020!I60</f>
        <v>1026095</v>
      </c>
      <c r="H1002" s="4354"/>
      <c r="I1002" s="4387">
        <f t="shared" si="72"/>
        <v>0</v>
      </c>
      <c r="J1002" s="4387">
        <f t="shared" si="72"/>
        <v>0</v>
      </c>
      <c r="K1002" s="4354"/>
      <c r="L1002" s="4354"/>
      <c r="M1002" s="4354"/>
    </row>
    <row r="1003" spans="1:13" x14ac:dyDescent="0.25">
      <c r="A1003" s="4354"/>
      <c r="B1003" s="4771">
        <v>2011</v>
      </c>
      <c r="C1003" s="5089"/>
      <c r="D1003" s="4444">
        <f t="shared" si="71"/>
        <v>993767</v>
      </c>
      <c r="E1003" s="4779">
        <f>Table4.Gs2_2018!I61</f>
        <v>993767</v>
      </c>
      <c r="F1003" s="4544">
        <f>Table4.Gs2_2019!I61</f>
        <v>993767</v>
      </c>
      <c r="G1003" s="4498">
        <f>Table4.Gs2_2020!I61</f>
        <v>993767</v>
      </c>
      <c r="H1003" s="4354"/>
      <c r="I1003" s="4387">
        <f t="shared" si="72"/>
        <v>0</v>
      </c>
      <c r="J1003" s="4387">
        <f t="shared" si="72"/>
        <v>0</v>
      </c>
      <c r="K1003" s="4354"/>
      <c r="L1003" s="4354"/>
      <c r="M1003" s="4354"/>
    </row>
    <row r="1004" spans="1:13" x14ac:dyDescent="0.25">
      <c r="A1004" s="4354"/>
      <c r="B1004" s="4771">
        <v>2012</v>
      </c>
      <c r="C1004" s="5089"/>
      <c r="D1004" s="4444">
        <f t="shared" si="71"/>
        <v>727965</v>
      </c>
      <c r="E1004" s="4779">
        <f>Table4.Gs2_2018!I62</f>
        <v>727965</v>
      </c>
      <c r="F1004" s="4544">
        <f>Table4.Gs2_2019!I62</f>
        <v>727965</v>
      </c>
      <c r="G1004" s="4498">
        <f>Table4.Gs2_2020!I62</f>
        <v>727965</v>
      </c>
      <c r="H1004" s="4354"/>
      <c r="I1004" s="4387">
        <f t="shared" si="72"/>
        <v>0</v>
      </c>
      <c r="J1004" s="4387">
        <f t="shared" si="72"/>
        <v>0</v>
      </c>
      <c r="K1004" s="4354"/>
      <c r="L1004" s="4354"/>
      <c r="M1004" s="4354"/>
    </row>
    <row r="1005" spans="1:13" x14ac:dyDescent="0.25">
      <c r="A1005" s="4354"/>
      <c r="B1005" s="4771">
        <v>2013</v>
      </c>
      <c r="C1005" s="5089"/>
      <c r="D1005" s="4444">
        <f t="shared" si="71"/>
        <v>761665</v>
      </c>
      <c r="E1005" s="4779">
        <f>Table4.Gs2_2018!I63</f>
        <v>761665</v>
      </c>
      <c r="F1005" s="4544">
        <f>Table4.Gs2_2019!I63</f>
        <v>761665</v>
      </c>
      <c r="G1005" s="4498">
        <f>Table4.Gs2_2020!I63</f>
        <v>761665</v>
      </c>
      <c r="H1005" s="4354"/>
      <c r="I1005" s="4387">
        <f t="shared" si="72"/>
        <v>0</v>
      </c>
      <c r="J1005" s="4387">
        <f t="shared" si="72"/>
        <v>0</v>
      </c>
      <c r="K1005" s="4354"/>
      <c r="L1005" s="4354"/>
      <c r="M1005" s="4354"/>
    </row>
    <row r="1006" spans="1:13" x14ac:dyDescent="0.25">
      <c r="A1006" s="4354"/>
      <c r="B1006" s="4771">
        <v>2014</v>
      </c>
      <c r="C1006" s="5089"/>
      <c r="D1006" s="4444">
        <f t="shared" si="71"/>
        <v>761665</v>
      </c>
      <c r="E1006" s="4779">
        <f>Table4.Gs2_2018!I64</f>
        <v>761665</v>
      </c>
      <c r="F1006" s="4544">
        <f>Table4.Gs2_2019!I64</f>
        <v>761665</v>
      </c>
      <c r="G1006" s="4498">
        <f>Table4.Gs2_2020!I64</f>
        <v>761665</v>
      </c>
      <c r="H1006" s="4354"/>
      <c r="I1006" s="4387">
        <f t="shared" si="72"/>
        <v>0</v>
      </c>
      <c r="J1006" s="4387">
        <f t="shared" si="72"/>
        <v>0</v>
      </c>
      <c r="K1006" s="4354"/>
      <c r="L1006" s="4354"/>
      <c r="M1006" s="4354"/>
    </row>
    <row r="1007" spans="1:13" x14ac:dyDescent="0.25">
      <c r="A1007" s="4354"/>
      <c r="B1007" s="4771">
        <v>2015</v>
      </c>
      <c r="C1007" s="5089"/>
      <c r="D1007" s="4444">
        <f t="shared" si="71"/>
        <v>761665</v>
      </c>
      <c r="E1007" s="4779">
        <f>Table4.Gs2_2018!I65</f>
        <v>761665</v>
      </c>
      <c r="F1007" s="4544">
        <f>Table4.Gs2_2019!I65</f>
        <v>761665</v>
      </c>
      <c r="G1007" s="4498">
        <f>Table4.Gs2_2020!I65</f>
        <v>761665</v>
      </c>
      <c r="H1007" s="4354"/>
      <c r="I1007" s="4387">
        <f t="shared" si="72"/>
        <v>0</v>
      </c>
      <c r="J1007" s="4387">
        <f t="shared" si="72"/>
        <v>0</v>
      </c>
      <c r="K1007" s="4354"/>
      <c r="L1007" s="4354"/>
      <c r="M1007" s="4354"/>
    </row>
    <row r="1008" spans="1:13" x14ac:dyDescent="0.25">
      <c r="A1008" s="4354"/>
      <c r="B1008" s="4771">
        <v>2016</v>
      </c>
      <c r="C1008" s="5089"/>
      <c r="D1008" s="4444">
        <f t="shared" si="71"/>
        <v>761665</v>
      </c>
      <c r="E1008" s="4779">
        <f>Table4.Gs2_2018!I66</f>
        <v>761665</v>
      </c>
      <c r="F1008" s="4544">
        <f>Table4.Gs2_2019!I66</f>
        <v>761665</v>
      </c>
      <c r="G1008" s="4498">
        <f>Table4.Gs2_2020!I66</f>
        <v>761665</v>
      </c>
      <c r="H1008" s="4354"/>
      <c r="I1008" s="4387">
        <f t="shared" si="72"/>
        <v>0</v>
      </c>
      <c r="J1008" s="4387">
        <f t="shared" si="72"/>
        <v>0</v>
      </c>
      <c r="K1008" s="4354"/>
      <c r="L1008" s="4354"/>
      <c r="M1008" s="4354"/>
    </row>
    <row r="1009" spans="1:13" x14ac:dyDescent="0.25">
      <c r="A1009" s="4354"/>
      <c r="B1009" s="4771">
        <v>2017</v>
      </c>
      <c r="C1009" s="5089"/>
      <c r="D1009" s="4444">
        <f t="shared" si="71"/>
        <v>873067</v>
      </c>
      <c r="E1009" s="4779">
        <f>Table4.Gs2_2018!I67</f>
        <v>873067</v>
      </c>
      <c r="F1009" s="4544">
        <f>Table4.Gs2_2019!I67</f>
        <v>873067</v>
      </c>
      <c r="G1009" s="4498">
        <f>Table4.Gs2_2020!I67</f>
        <v>873067</v>
      </c>
      <c r="H1009" s="4354"/>
      <c r="I1009" s="4387">
        <f t="shared" si="72"/>
        <v>0</v>
      </c>
      <c r="J1009" s="4387">
        <f t="shared" si="72"/>
        <v>0</v>
      </c>
      <c r="K1009" s="4354"/>
      <c r="L1009" s="4354"/>
      <c r="M1009" s="4354"/>
    </row>
    <row r="1010" spans="1:13" x14ac:dyDescent="0.25">
      <c r="A1010" s="4354"/>
      <c r="B1010" s="4771">
        <v>2018</v>
      </c>
      <c r="C1010" s="5089"/>
      <c r="D1010" s="4444">
        <f t="shared" si="71"/>
        <v>873067</v>
      </c>
      <c r="E1010" s="4779">
        <f>Table4.Gs2_2018!I68</f>
        <v>873067</v>
      </c>
      <c r="F1010" s="4544">
        <f>Table4.Gs2_2019!I68</f>
        <v>807522</v>
      </c>
      <c r="G1010" s="4498" t="str">
        <f>Table4.Gs2_2020!I68</f>
        <v>NA</v>
      </c>
      <c r="H1010" s="4354"/>
      <c r="I1010" s="4387">
        <f t="shared" si="72"/>
        <v>7.507442155069427E-2</v>
      </c>
      <c r="J1010" s="4387" t="str">
        <f t="shared" si="72"/>
        <v>NO</v>
      </c>
      <c r="K1010" s="4354"/>
      <c r="L1010" s="4354"/>
      <c r="M1010" s="4354"/>
    </row>
    <row r="1011" spans="1:13" x14ac:dyDescent="0.25">
      <c r="A1011" s="4499"/>
      <c r="B1011" s="4771">
        <v>2019</v>
      </c>
      <c r="C1011" s="5089"/>
      <c r="D1011" s="4444">
        <f>IF($D$3=$E$3,E1011,IF($D$3=$F$3,F1011,IF($D$3=$G$3,G1011,"-")))</f>
        <v>790151</v>
      </c>
      <c r="E1011" s="4784">
        <f>F1011</f>
        <v>790151</v>
      </c>
      <c r="F1011" s="4544">
        <f>Table4.Gs2_2019!I69</f>
        <v>790151</v>
      </c>
      <c r="G1011" s="4498" t="str">
        <f>Table4.Gs2_2020!I69</f>
        <v>NA</v>
      </c>
      <c r="H1011" s="4354"/>
      <c r="I1011" s="4387">
        <f t="shared" si="72"/>
        <v>0</v>
      </c>
      <c r="J1011" s="4387" t="str">
        <f t="shared" si="72"/>
        <v>NO</v>
      </c>
      <c r="K1011" s="4354"/>
      <c r="L1011" s="4354"/>
      <c r="M1011" s="4354"/>
    </row>
    <row r="1012" spans="1:13" ht="15.75" thickBot="1" x14ac:dyDescent="0.3">
      <c r="A1012" s="4499"/>
      <c r="B1012" s="4776">
        <v>2020</v>
      </c>
      <c r="C1012" s="5090"/>
      <c r="D1012" s="4444" t="str">
        <f>IF($D$3=$E$3,E1012,IF($D$3=$F$3,F1012,IF($D$3=$G$3,G1012,"-")))</f>
        <v>NA</v>
      </c>
      <c r="E1012" s="4782" t="str">
        <f>F1012</f>
        <v>NA</v>
      </c>
      <c r="F1012" s="4783" t="str">
        <f>G1012</f>
        <v>NA</v>
      </c>
      <c r="G1012" s="4498" t="str">
        <f>Table4.Gs2_2020!I70</f>
        <v>NA</v>
      </c>
      <c r="H1012" s="4354"/>
      <c r="I1012" s="4387" t="str">
        <f t="shared" si="72"/>
        <v>NO</v>
      </c>
      <c r="J1012" s="4387" t="str">
        <f t="shared" si="72"/>
        <v>NO</v>
      </c>
      <c r="K1012" s="4354"/>
      <c r="L1012" s="4354"/>
      <c r="M1012" s="4354"/>
    </row>
    <row r="1013" spans="1:13" x14ac:dyDescent="0.25">
      <c r="A1013" s="4354"/>
      <c r="B1013" s="4767">
        <v>1990</v>
      </c>
      <c r="C1013" s="5088" t="s">
        <v>746</v>
      </c>
      <c r="D1013" s="4438">
        <f t="shared" si="71"/>
        <v>218100</v>
      </c>
      <c r="E1013" s="4757">
        <f>Table4.Gs2_2018!J40</f>
        <v>218100</v>
      </c>
      <c r="F1013" s="4541">
        <f>Table4.Gs2_2019!J40</f>
        <v>218100</v>
      </c>
      <c r="G1013" s="4542">
        <f>Table4.Gs2_2020!J40</f>
        <v>218100</v>
      </c>
      <c r="H1013" s="4354"/>
      <c r="I1013" s="4387">
        <f t="shared" si="72"/>
        <v>0</v>
      </c>
      <c r="J1013" s="4387">
        <f t="shared" si="72"/>
        <v>0</v>
      </c>
      <c r="K1013" s="4354"/>
      <c r="L1013" s="4354"/>
      <c r="M1013" s="4354"/>
    </row>
    <row r="1014" spans="1:13" x14ac:dyDescent="0.25">
      <c r="A1014" s="4354"/>
      <c r="B1014" s="4771">
        <v>1991</v>
      </c>
      <c r="C1014" s="5089"/>
      <c r="D1014" s="4444">
        <f t="shared" ref="D1014:D1045" si="73">IF($D$3=$E$3,E1014,IF($D$3=$F$3,F1014,IF($D$3=$G$3,G1014,"-")))</f>
        <v>223300</v>
      </c>
      <c r="E1014" s="4779">
        <f>Table4.Gs2_2018!J41</f>
        <v>223300</v>
      </c>
      <c r="F1014" s="4544">
        <f>Table4.Gs2_2019!J41</f>
        <v>223300</v>
      </c>
      <c r="G1014" s="4498">
        <f>Table4.Gs2_2020!J41</f>
        <v>223300</v>
      </c>
      <c r="H1014" s="4354"/>
      <c r="I1014" s="4387">
        <f t="shared" si="72"/>
        <v>0</v>
      </c>
      <c r="J1014" s="4387">
        <f t="shared" si="72"/>
        <v>0</v>
      </c>
      <c r="K1014" s="4354"/>
      <c r="L1014" s="4354"/>
      <c r="M1014" s="4354"/>
    </row>
    <row r="1015" spans="1:13" x14ac:dyDescent="0.25">
      <c r="A1015" s="4354"/>
      <c r="B1015" s="4771">
        <v>1992</v>
      </c>
      <c r="C1015" s="5089"/>
      <c r="D1015" s="4444">
        <f t="shared" si="73"/>
        <v>189060</v>
      </c>
      <c r="E1015" s="4779">
        <f>Table4.Gs2_2018!J42</f>
        <v>189060</v>
      </c>
      <c r="F1015" s="4544">
        <f>Table4.Gs2_2019!J42</f>
        <v>189060</v>
      </c>
      <c r="G1015" s="4498">
        <f>Table4.Gs2_2020!J42</f>
        <v>189060</v>
      </c>
      <c r="H1015" s="4354"/>
      <c r="I1015" s="4387">
        <f t="shared" si="72"/>
        <v>0</v>
      </c>
      <c r="J1015" s="4387">
        <f t="shared" si="72"/>
        <v>0</v>
      </c>
      <c r="K1015" s="4354"/>
      <c r="L1015" s="4354"/>
      <c r="M1015" s="4354"/>
    </row>
    <row r="1016" spans="1:13" x14ac:dyDescent="0.25">
      <c r="A1016" s="4354"/>
      <c r="B1016" s="4771">
        <v>1993</v>
      </c>
      <c r="C1016" s="5089"/>
      <c r="D1016" s="4444">
        <f t="shared" si="73"/>
        <v>129765</v>
      </c>
      <c r="E1016" s="4779">
        <f>Table4.Gs2_2018!J43</f>
        <v>129765</v>
      </c>
      <c r="F1016" s="4544">
        <f>Table4.Gs2_2019!J43</f>
        <v>129765</v>
      </c>
      <c r="G1016" s="4498">
        <f>Table4.Gs2_2020!J43</f>
        <v>129765</v>
      </c>
      <c r="H1016" s="4354"/>
      <c r="I1016" s="4387">
        <f t="shared" si="72"/>
        <v>0</v>
      </c>
      <c r="J1016" s="4387">
        <f t="shared" si="72"/>
        <v>0</v>
      </c>
      <c r="K1016" s="4354"/>
      <c r="L1016" s="4354"/>
      <c r="M1016" s="4354"/>
    </row>
    <row r="1017" spans="1:13" x14ac:dyDescent="0.25">
      <c r="A1017" s="4354"/>
      <c r="B1017" s="4771">
        <v>1994</v>
      </c>
      <c r="C1017" s="5089"/>
      <c r="D1017" s="4444">
        <f t="shared" si="73"/>
        <v>242300</v>
      </c>
      <c r="E1017" s="4779">
        <f>Table4.Gs2_2018!J44</f>
        <v>242300</v>
      </c>
      <c r="F1017" s="4544">
        <f>Table4.Gs2_2019!J44</f>
        <v>242300</v>
      </c>
      <c r="G1017" s="4498">
        <f>Table4.Gs2_2020!J44</f>
        <v>242300</v>
      </c>
      <c r="H1017" s="4354"/>
      <c r="I1017" s="4387">
        <f t="shared" si="72"/>
        <v>0</v>
      </c>
      <c r="J1017" s="4387">
        <f t="shared" si="72"/>
        <v>0</v>
      </c>
      <c r="K1017" s="4354"/>
      <c r="L1017" s="4354"/>
      <c r="M1017" s="4354"/>
    </row>
    <row r="1018" spans="1:13" x14ac:dyDescent="0.25">
      <c r="A1018" s="4354"/>
      <c r="B1018" s="4771">
        <v>1995</v>
      </c>
      <c r="C1018" s="5089"/>
      <c r="D1018" s="4444">
        <f t="shared" si="73"/>
        <v>241500</v>
      </c>
      <c r="E1018" s="4779">
        <f>Table4.Gs2_2018!J45</f>
        <v>241500</v>
      </c>
      <c r="F1018" s="4544">
        <f>Table4.Gs2_2019!J45</f>
        <v>241500</v>
      </c>
      <c r="G1018" s="4498">
        <f>Table4.Gs2_2020!J45</f>
        <v>241500</v>
      </c>
      <c r="H1018" s="4354"/>
      <c r="I1018" s="4387">
        <f t="shared" si="72"/>
        <v>0</v>
      </c>
      <c r="J1018" s="4387">
        <f t="shared" si="72"/>
        <v>0</v>
      </c>
      <c r="K1018" s="4354"/>
      <c r="L1018" s="4354"/>
      <c r="M1018" s="4354"/>
    </row>
    <row r="1019" spans="1:13" x14ac:dyDescent="0.25">
      <c r="A1019" s="4354"/>
      <c r="B1019" s="4771">
        <v>1996</v>
      </c>
      <c r="C1019" s="5089"/>
      <c r="D1019" s="4444">
        <f t="shared" si="73"/>
        <v>241000</v>
      </c>
      <c r="E1019" s="4779">
        <f>Table4.Gs2_2018!J46</f>
        <v>241000</v>
      </c>
      <c r="F1019" s="4544">
        <f>Table4.Gs2_2019!J46</f>
        <v>241000</v>
      </c>
      <c r="G1019" s="4498">
        <f>Table4.Gs2_2020!J46</f>
        <v>241000</v>
      </c>
      <c r="H1019" s="4354"/>
      <c r="I1019" s="4387">
        <f t="shared" si="72"/>
        <v>0</v>
      </c>
      <c r="J1019" s="4387">
        <f t="shared" si="72"/>
        <v>0</v>
      </c>
      <c r="K1019" s="4354"/>
      <c r="L1019" s="4354"/>
      <c r="M1019" s="4354"/>
    </row>
    <row r="1020" spans="1:13" x14ac:dyDescent="0.25">
      <c r="A1020" s="4354"/>
      <c r="B1020" s="4771">
        <v>1997</v>
      </c>
      <c r="C1020" s="5089"/>
      <c r="D1020" s="4444">
        <f t="shared" si="73"/>
        <v>251500</v>
      </c>
      <c r="E1020" s="4779">
        <f>Table4.Gs2_2018!J47</f>
        <v>251500</v>
      </c>
      <c r="F1020" s="4544">
        <f>Table4.Gs2_2019!J47</f>
        <v>251500</v>
      </c>
      <c r="G1020" s="4498">
        <f>Table4.Gs2_2020!J47</f>
        <v>251500</v>
      </c>
      <c r="H1020" s="4354"/>
      <c r="I1020" s="4387">
        <f t="shared" si="72"/>
        <v>0</v>
      </c>
      <c r="J1020" s="4387">
        <f t="shared" si="72"/>
        <v>0</v>
      </c>
      <c r="K1020" s="4354"/>
      <c r="L1020" s="4354"/>
      <c r="M1020" s="4354"/>
    </row>
    <row r="1021" spans="1:13" x14ac:dyDescent="0.25">
      <c r="A1021" s="4354"/>
      <c r="B1021" s="4771">
        <v>1998</v>
      </c>
      <c r="C1021" s="5089"/>
      <c r="D1021" s="4444">
        <f t="shared" si="73"/>
        <v>236000</v>
      </c>
      <c r="E1021" s="4779">
        <f>Table4.Gs2_2018!J48</f>
        <v>236000</v>
      </c>
      <c r="F1021" s="4544">
        <f>Table4.Gs2_2019!J48</f>
        <v>236000</v>
      </c>
      <c r="G1021" s="4498">
        <f>Table4.Gs2_2020!J48</f>
        <v>236000</v>
      </c>
      <c r="H1021" s="4354"/>
      <c r="I1021" s="4387">
        <f t="shared" si="72"/>
        <v>0</v>
      </c>
      <c r="J1021" s="4387">
        <f t="shared" si="72"/>
        <v>0</v>
      </c>
      <c r="K1021" s="4354"/>
      <c r="L1021" s="4354"/>
      <c r="M1021" s="4354"/>
    </row>
    <row r="1022" spans="1:13" x14ac:dyDescent="0.25">
      <c r="A1022" s="4354"/>
      <c r="B1022" s="4771">
        <v>1999</v>
      </c>
      <c r="C1022" s="5089"/>
      <c r="D1022" s="4444">
        <f t="shared" si="73"/>
        <v>254000</v>
      </c>
      <c r="E1022" s="4779">
        <f>Table4.Gs2_2018!J49</f>
        <v>254000</v>
      </c>
      <c r="F1022" s="4544">
        <f>Table4.Gs2_2019!J49</f>
        <v>254000</v>
      </c>
      <c r="G1022" s="4498">
        <f>Table4.Gs2_2020!J49</f>
        <v>254000</v>
      </c>
      <c r="H1022" s="4354"/>
      <c r="I1022" s="4387">
        <f t="shared" si="72"/>
        <v>0</v>
      </c>
      <c r="J1022" s="4387">
        <f t="shared" si="72"/>
        <v>0</v>
      </c>
      <c r="K1022" s="4354"/>
      <c r="L1022" s="4354"/>
      <c r="M1022" s="4354"/>
    </row>
    <row r="1023" spans="1:13" x14ac:dyDescent="0.25">
      <c r="A1023" s="4354"/>
      <c r="B1023" s="4771">
        <v>2000</v>
      </c>
      <c r="C1023" s="5089"/>
      <c r="D1023" s="4444">
        <f t="shared" si="73"/>
        <v>239270</v>
      </c>
      <c r="E1023" s="4779">
        <f>Table4.Gs2_2018!J50</f>
        <v>239270</v>
      </c>
      <c r="F1023" s="4544">
        <f>Table4.Gs2_2019!J50</f>
        <v>239270</v>
      </c>
      <c r="G1023" s="4498">
        <f>Table4.Gs2_2020!J50</f>
        <v>239270</v>
      </c>
      <c r="H1023" s="4354"/>
      <c r="I1023" s="4387">
        <f t="shared" si="72"/>
        <v>0</v>
      </c>
      <c r="J1023" s="4387">
        <f t="shared" si="72"/>
        <v>0</v>
      </c>
      <c r="K1023" s="4354"/>
      <c r="L1023" s="4354"/>
      <c r="M1023" s="4354"/>
    </row>
    <row r="1024" spans="1:13" x14ac:dyDescent="0.25">
      <c r="A1024" s="4354"/>
      <c r="B1024" s="4771">
        <v>2001</v>
      </c>
      <c r="C1024" s="5089"/>
      <c r="D1024" s="4444">
        <f t="shared" si="73"/>
        <v>200170</v>
      </c>
      <c r="E1024" s="4779">
        <f>Table4.Gs2_2018!J51</f>
        <v>200170</v>
      </c>
      <c r="F1024" s="4544">
        <f>Table4.Gs2_2019!J51</f>
        <v>200170</v>
      </c>
      <c r="G1024" s="4498">
        <f>Table4.Gs2_2020!J51</f>
        <v>200170</v>
      </c>
      <c r="H1024" s="4354"/>
      <c r="I1024" s="4387">
        <f t="shared" si="72"/>
        <v>0</v>
      </c>
      <c r="J1024" s="4387">
        <f t="shared" si="72"/>
        <v>0</v>
      </c>
      <c r="K1024" s="4354"/>
      <c r="L1024" s="4354"/>
      <c r="M1024" s="4354"/>
    </row>
    <row r="1025" spans="1:13" x14ac:dyDescent="0.25">
      <c r="A1025" s="4354"/>
      <c r="B1025" s="4771">
        <v>2002</v>
      </c>
      <c r="C1025" s="5089"/>
      <c r="D1025" s="4444">
        <f t="shared" si="73"/>
        <v>239011</v>
      </c>
      <c r="E1025" s="4779">
        <f>Table4.Gs2_2018!J52</f>
        <v>239011</v>
      </c>
      <c r="F1025" s="4544">
        <f>Table4.Gs2_2019!J52</f>
        <v>239011</v>
      </c>
      <c r="G1025" s="4498">
        <f>Table4.Gs2_2020!J52</f>
        <v>239011</v>
      </c>
      <c r="H1025" s="4354"/>
      <c r="I1025" s="4387">
        <f t="shared" si="72"/>
        <v>0</v>
      </c>
      <c r="J1025" s="4387">
        <f t="shared" si="72"/>
        <v>0</v>
      </c>
      <c r="K1025" s="4354"/>
      <c r="L1025" s="4354"/>
      <c r="M1025" s="4354"/>
    </row>
    <row r="1026" spans="1:13" x14ac:dyDescent="0.25">
      <c r="A1026" s="4354"/>
      <c r="B1026" s="4771">
        <v>2003</v>
      </c>
      <c r="C1026" s="5089"/>
      <c r="D1026" s="4444">
        <f t="shared" si="73"/>
        <v>230331</v>
      </c>
      <c r="E1026" s="4779">
        <f>Table4.Gs2_2018!J53</f>
        <v>230331</v>
      </c>
      <c r="F1026" s="4544">
        <f>Table4.Gs2_2019!J53</f>
        <v>230331</v>
      </c>
      <c r="G1026" s="4498">
        <f>Table4.Gs2_2020!J53</f>
        <v>230331</v>
      </c>
      <c r="H1026" s="4354"/>
      <c r="I1026" s="4387">
        <f t="shared" si="72"/>
        <v>0</v>
      </c>
      <c r="J1026" s="4387">
        <f t="shared" si="72"/>
        <v>0</v>
      </c>
      <c r="K1026" s="4354"/>
      <c r="L1026" s="4354"/>
      <c r="M1026" s="4354"/>
    </row>
    <row r="1027" spans="1:13" x14ac:dyDescent="0.25">
      <c r="A1027" s="4354"/>
      <c r="B1027" s="4771">
        <v>2004</v>
      </c>
      <c r="C1027" s="5089"/>
      <c r="D1027" s="4444">
        <f t="shared" si="73"/>
        <v>275522</v>
      </c>
      <c r="E1027" s="4779">
        <f>Table4.Gs2_2018!J54</f>
        <v>275522</v>
      </c>
      <c r="F1027" s="4544">
        <f>Table4.Gs2_2019!J54</f>
        <v>275522</v>
      </c>
      <c r="G1027" s="4498">
        <f>Table4.Gs2_2020!J54</f>
        <v>275522</v>
      </c>
      <c r="H1027" s="4354"/>
      <c r="I1027" s="4387">
        <f t="shared" si="72"/>
        <v>0</v>
      </c>
      <c r="J1027" s="4387">
        <f t="shared" si="72"/>
        <v>0</v>
      </c>
      <c r="K1027" s="4354"/>
      <c r="L1027" s="4354"/>
      <c r="M1027" s="4354"/>
    </row>
    <row r="1028" spans="1:13" x14ac:dyDescent="0.25">
      <c r="A1028" s="4354"/>
      <c r="B1028" s="4771">
        <v>2005</v>
      </c>
      <c r="C1028" s="5089"/>
      <c r="D1028" s="4444">
        <f t="shared" si="73"/>
        <v>307525</v>
      </c>
      <c r="E1028" s="4779">
        <f>Table4.Gs2_2018!J55</f>
        <v>307525</v>
      </c>
      <c r="F1028" s="4544">
        <f>Table4.Gs2_2019!J55</f>
        <v>307525</v>
      </c>
      <c r="G1028" s="4498">
        <f>Table4.Gs2_2020!J55</f>
        <v>307525</v>
      </c>
      <c r="H1028" s="4354"/>
      <c r="I1028" s="4387">
        <f t="shared" si="72"/>
        <v>0</v>
      </c>
      <c r="J1028" s="4387">
        <f t="shared" si="72"/>
        <v>0</v>
      </c>
      <c r="K1028" s="4354"/>
      <c r="L1028" s="4354"/>
      <c r="M1028" s="4354"/>
    </row>
    <row r="1029" spans="1:13" x14ac:dyDescent="0.25">
      <c r="A1029" s="4354"/>
      <c r="B1029" s="4771">
        <v>2006</v>
      </c>
      <c r="C1029" s="5089"/>
      <c r="D1029" s="4444">
        <f t="shared" si="73"/>
        <v>266551</v>
      </c>
      <c r="E1029" s="4779">
        <f>Table4.Gs2_2018!J56</f>
        <v>266551</v>
      </c>
      <c r="F1029" s="4544">
        <f>Table4.Gs2_2019!J56</f>
        <v>266551</v>
      </c>
      <c r="G1029" s="4498">
        <f>Table4.Gs2_2020!J56</f>
        <v>266551</v>
      </c>
      <c r="H1029" s="4354"/>
      <c r="I1029" s="4387">
        <f t="shared" si="72"/>
        <v>0</v>
      </c>
      <c r="J1029" s="4387">
        <f t="shared" si="72"/>
        <v>0</v>
      </c>
      <c r="K1029" s="4354"/>
      <c r="L1029" s="4354"/>
      <c r="M1029" s="4354"/>
    </row>
    <row r="1030" spans="1:13" x14ac:dyDescent="0.25">
      <c r="A1030" s="4354"/>
      <c r="B1030" s="4771">
        <v>2007</v>
      </c>
      <c r="C1030" s="5089"/>
      <c r="D1030" s="4444">
        <f t="shared" si="73"/>
        <v>264939</v>
      </c>
      <c r="E1030" s="4779">
        <f>Table4.Gs2_2018!J57</f>
        <v>264939</v>
      </c>
      <c r="F1030" s="4544">
        <f>Table4.Gs2_2019!J57</f>
        <v>264939</v>
      </c>
      <c r="G1030" s="4498">
        <f>Table4.Gs2_2020!J57</f>
        <v>264939</v>
      </c>
      <c r="H1030" s="4354"/>
      <c r="I1030" s="4387">
        <f t="shared" si="72"/>
        <v>0</v>
      </c>
      <c r="J1030" s="4387">
        <f t="shared" si="72"/>
        <v>0</v>
      </c>
      <c r="K1030" s="4354"/>
      <c r="L1030" s="4354"/>
      <c r="M1030" s="4354"/>
    </row>
    <row r="1031" spans="1:13" x14ac:dyDescent="0.25">
      <c r="A1031" s="4354"/>
      <c r="B1031" s="4771">
        <v>2008</v>
      </c>
      <c r="C1031" s="5089"/>
      <c r="D1031" s="4444">
        <f t="shared" si="73"/>
        <v>253737</v>
      </c>
      <c r="E1031" s="4779">
        <f>Table4.Gs2_2018!J58</f>
        <v>253737</v>
      </c>
      <c r="F1031" s="4544">
        <f>Table4.Gs2_2019!J58</f>
        <v>253737</v>
      </c>
      <c r="G1031" s="4498">
        <f>Table4.Gs2_2020!J58</f>
        <v>253737</v>
      </c>
      <c r="H1031" s="4354"/>
      <c r="I1031" s="4387">
        <f t="shared" si="72"/>
        <v>0</v>
      </c>
      <c r="J1031" s="4387">
        <f t="shared" si="72"/>
        <v>0</v>
      </c>
      <c r="K1031" s="4354"/>
      <c r="L1031" s="4354"/>
      <c r="M1031" s="4354"/>
    </row>
    <row r="1032" spans="1:13" x14ac:dyDescent="0.25">
      <c r="A1032" s="4354"/>
      <c r="B1032" s="4771">
        <v>2009</v>
      </c>
      <c r="C1032" s="5089"/>
      <c r="D1032" s="4444">
        <f t="shared" si="73"/>
        <v>238827</v>
      </c>
      <c r="E1032" s="4779">
        <f>Table4.Gs2_2018!J59</f>
        <v>238827</v>
      </c>
      <c r="F1032" s="4544">
        <f>Table4.Gs2_2019!J59</f>
        <v>238827</v>
      </c>
      <c r="G1032" s="4498">
        <f>Table4.Gs2_2020!J59</f>
        <v>238827</v>
      </c>
      <c r="H1032" s="4354"/>
      <c r="I1032" s="4387">
        <f t="shared" si="72"/>
        <v>0</v>
      </c>
      <c r="J1032" s="4387">
        <f t="shared" si="72"/>
        <v>0</v>
      </c>
      <c r="K1032" s="4354"/>
      <c r="L1032" s="4354"/>
      <c r="M1032" s="4354"/>
    </row>
    <row r="1033" spans="1:13" x14ac:dyDescent="0.25">
      <c r="A1033" s="4354"/>
      <c r="B1033" s="4771">
        <v>2010</v>
      </c>
      <c r="C1033" s="5089"/>
      <c r="D1033" s="4444">
        <f t="shared" si="73"/>
        <v>233427</v>
      </c>
      <c r="E1033" s="4779">
        <f>Table4.Gs2_2018!J60</f>
        <v>233427</v>
      </c>
      <c r="F1033" s="4544">
        <f>Table4.Gs2_2019!J60</f>
        <v>233427</v>
      </c>
      <c r="G1033" s="4498">
        <f>Table4.Gs2_2020!J60</f>
        <v>233427</v>
      </c>
      <c r="H1033" s="4354"/>
      <c r="I1033" s="4387">
        <f t="shared" si="72"/>
        <v>0</v>
      </c>
      <c r="J1033" s="4387">
        <f t="shared" si="72"/>
        <v>0</v>
      </c>
      <c r="K1033" s="4354"/>
      <c r="L1033" s="4354"/>
      <c r="M1033" s="4354"/>
    </row>
    <row r="1034" spans="1:13" x14ac:dyDescent="0.25">
      <c r="A1034" s="4354"/>
      <c r="B1034" s="4771">
        <v>2011</v>
      </c>
      <c r="C1034" s="5089"/>
      <c r="D1034" s="4444">
        <f t="shared" si="73"/>
        <v>254882</v>
      </c>
      <c r="E1034" s="4779">
        <f>Table4.Gs2_2018!J61</f>
        <v>254882</v>
      </c>
      <c r="F1034" s="4544">
        <f>Table4.Gs2_2019!J61</f>
        <v>254882</v>
      </c>
      <c r="G1034" s="4498">
        <f>Table4.Gs2_2020!J61</f>
        <v>254882</v>
      </c>
      <c r="H1034" s="4354"/>
      <c r="I1034" s="4387">
        <f t="shared" si="72"/>
        <v>0</v>
      </c>
      <c r="J1034" s="4387">
        <f t="shared" si="72"/>
        <v>0</v>
      </c>
      <c r="K1034" s="4354"/>
      <c r="L1034" s="4354"/>
      <c r="M1034" s="4354"/>
    </row>
    <row r="1035" spans="1:13" x14ac:dyDescent="0.25">
      <c r="A1035" s="4354"/>
      <c r="B1035" s="4771">
        <v>2012</v>
      </c>
      <c r="C1035" s="5089"/>
      <c r="D1035" s="4444">
        <f t="shared" si="73"/>
        <v>155479</v>
      </c>
      <c r="E1035" s="4779">
        <f>Table4.Gs2_2018!J62</f>
        <v>155479</v>
      </c>
      <c r="F1035" s="4544">
        <f>Table4.Gs2_2019!J62</f>
        <v>155479</v>
      </c>
      <c r="G1035" s="4498">
        <f>Table4.Gs2_2020!J62</f>
        <v>155479</v>
      </c>
      <c r="H1035" s="4354"/>
      <c r="I1035" s="4387">
        <f t="shared" si="72"/>
        <v>0</v>
      </c>
      <c r="J1035" s="4387">
        <f t="shared" si="72"/>
        <v>0</v>
      </c>
      <c r="K1035" s="4354"/>
      <c r="L1035" s="4354"/>
      <c r="M1035" s="4354"/>
    </row>
    <row r="1036" spans="1:13" x14ac:dyDescent="0.25">
      <c r="A1036" s="4354"/>
      <c r="B1036" s="4771">
        <v>2013</v>
      </c>
      <c r="C1036" s="5089"/>
      <c r="D1036" s="4444">
        <f t="shared" si="73"/>
        <v>127898</v>
      </c>
      <c r="E1036" s="4779">
        <f>Table4.Gs2_2018!J63</f>
        <v>127898</v>
      </c>
      <c r="F1036" s="4544">
        <f>Table4.Gs2_2019!J63</f>
        <v>127898</v>
      </c>
      <c r="G1036" s="4498">
        <f>Table4.Gs2_2020!J63</f>
        <v>127898</v>
      </c>
      <c r="H1036" s="4354"/>
      <c r="I1036" s="4387">
        <f t="shared" si="72"/>
        <v>0</v>
      </c>
      <c r="J1036" s="4387">
        <f t="shared" si="72"/>
        <v>0</v>
      </c>
      <c r="K1036" s="4354"/>
      <c r="L1036" s="4354"/>
      <c r="M1036" s="4354"/>
    </row>
    <row r="1037" spans="1:13" x14ac:dyDescent="0.25">
      <c r="A1037" s="4354"/>
      <c r="B1037" s="4771">
        <v>2014</v>
      </c>
      <c r="C1037" s="5089"/>
      <c r="D1037" s="4444">
        <f t="shared" si="73"/>
        <v>127898</v>
      </c>
      <c r="E1037" s="4779">
        <f>Table4.Gs2_2018!J64</f>
        <v>127898</v>
      </c>
      <c r="F1037" s="4544">
        <f>Table4.Gs2_2019!J64</f>
        <v>127898</v>
      </c>
      <c r="G1037" s="4498">
        <f>Table4.Gs2_2020!J64</f>
        <v>127898</v>
      </c>
      <c r="H1037" s="4354"/>
      <c r="I1037" s="4387">
        <f t="shared" si="72"/>
        <v>0</v>
      </c>
      <c r="J1037" s="4387">
        <f t="shared" si="72"/>
        <v>0</v>
      </c>
      <c r="K1037" s="4354"/>
      <c r="L1037" s="4354"/>
      <c r="M1037" s="4354"/>
    </row>
    <row r="1038" spans="1:13" x14ac:dyDescent="0.25">
      <c r="A1038" s="4354"/>
      <c r="B1038" s="4771">
        <v>2015</v>
      </c>
      <c r="C1038" s="5089"/>
      <c r="D1038" s="4444">
        <f t="shared" si="73"/>
        <v>127898</v>
      </c>
      <c r="E1038" s="4779">
        <f>Table4.Gs2_2018!J65</f>
        <v>127898</v>
      </c>
      <c r="F1038" s="4544">
        <f>Table4.Gs2_2019!J65</f>
        <v>127898</v>
      </c>
      <c r="G1038" s="4498">
        <f>Table4.Gs2_2020!J65</f>
        <v>127898</v>
      </c>
      <c r="H1038" s="4354"/>
      <c r="I1038" s="4387">
        <f t="shared" si="72"/>
        <v>0</v>
      </c>
      <c r="J1038" s="4387">
        <f t="shared" si="72"/>
        <v>0</v>
      </c>
      <c r="K1038" s="4354"/>
      <c r="L1038" s="4354"/>
      <c r="M1038" s="4354"/>
    </row>
    <row r="1039" spans="1:13" x14ac:dyDescent="0.25">
      <c r="A1039" s="4354"/>
      <c r="B1039" s="4771">
        <v>2016</v>
      </c>
      <c r="C1039" s="5089"/>
      <c r="D1039" s="4444">
        <f t="shared" si="73"/>
        <v>127898</v>
      </c>
      <c r="E1039" s="4779">
        <f>Table4.Gs2_2018!J66</f>
        <v>127898</v>
      </c>
      <c r="F1039" s="4544">
        <f>Table4.Gs2_2019!J66</f>
        <v>127898</v>
      </c>
      <c r="G1039" s="4498">
        <f>Table4.Gs2_2020!J66</f>
        <v>127898</v>
      </c>
      <c r="H1039" s="4354"/>
      <c r="I1039" s="4387">
        <f t="shared" si="72"/>
        <v>0</v>
      </c>
      <c r="J1039" s="4387">
        <f t="shared" si="72"/>
        <v>0</v>
      </c>
      <c r="K1039" s="4354"/>
      <c r="L1039" s="4354"/>
      <c r="M1039" s="4354"/>
    </row>
    <row r="1040" spans="1:13" x14ac:dyDescent="0.25">
      <c r="A1040" s="4354"/>
      <c r="B1040" s="4771">
        <v>2017</v>
      </c>
      <c r="C1040" s="5089"/>
      <c r="D1040" s="4444">
        <f t="shared" si="73"/>
        <v>115996</v>
      </c>
      <c r="E1040" s="4779">
        <f>Table4.Gs2_2018!J67</f>
        <v>115996</v>
      </c>
      <c r="F1040" s="4544">
        <f>Table4.Gs2_2019!J67</f>
        <v>115996</v>
      </c>
      <c r="G1040" s="4498">
        <f>Table4.Gs2_2020!J67</f>
        <v>115996</v>
      </c>
      <c r="H1040" s="4354"/>
      <c r="I1040" s="4387">
        <f t="shared" si="72"/>
        <v>0</v>
      </c>
      <c r="J1040" s="4387">
        <f t="shared" si="72"/>
        <v>0</v>
      </c>
      <c r="K1040" s="4354"/>
      <c r="L1040" s="4354"/>
      <c r="M1040" s="4354"/>
    </row>
    <row r="1041" spans="1:13" x14ac:dyDescent="0.25">
      <c r="A1041" s="4354"/>
      <c r="B1041" s="4771">
        <v>2018</v>
      </c>
      <c r="C1041" s="5089"/>
      <c r="D1041" s="4444">
        <f t="shared" si="73"/>
        <v>115996</v>
      </c>
      <c r="E1041" s="4779">
        <f>Table4.Gs2_2018!J68</f>
        <v>115996</v>
      </c>
      <c r="F1041" s="4544">
        <f>Table4.Gs2_2019!J68</f>
        <v>115996</v>
      </c>
      <c r="G1041" s="4498">
        <f>Table4.Gs2_2020!J68</f>
        <v>115996</v>
      </c>
      <c r="H1041" s="4354"/>
      <c r="I1041" s="4387">
        <f t="shared" si="72"/>
        <v>0</v>
      </c>
      <c r="J1041" s="4387">
        <f t="shared" si="72"/>
        <v>0</v>
      </c>
      <c r="K1041" s="4354"/>
      <c r="L1041" s="4354"/>
      <c r="M1041" s="4354"/>
    </row>
    <row r="1042" spans="1:13" x14ac:dyDescent="0.25">
      <c r="A1042" s="4785"/>
      <c r="B1042" s="4771">
        <v>2019</v>
      </c>
      <c r="C1042" s="5089"/>
      <c r="D1042" s="4444">
        <f t="shared" si="73"/>
        <v>176000</v>
      </c>
      <c r="E1042" s="4780">
        <f>F1042</f>
        <v>176000</v>
      </c>
      <c r="F1042" s="4786">
        <f>G1042</f>
        <v>176000</v>
      </c>
      <c r="G1042" s="4498">
        <f>Table4.Gs2_2020!J69</f>
        <v>176000</v>
      </c>
      <c r="H1042" s="4354"/>
      <c r="I1042" s="4387">
        <f t="shared" si="72"/>
        <v>0</v>
      </c>
      <c r="J1042" s="4387">
        <f t="shared" si="72"/>
        <v>0</v>
      </c>
      <c r="K1042" s="4354"/>
      <c r="L1042" s="4354"/>
      <c r="M1042" s="4354"/>
    </row>
    <row r="1043" spans="1:13" ht="15.75" thickBot="1" x14ac:dyDescent="0.3">
      <c r="A1043" s="4785"/>
      <c r="B1043" s="4776">
        <v>2020</v>
      </c>
      <c r="C1043" s="5090"/>
      <c r="D1043" s="4762">
        <f t="shared" si="73"/>
        <v>176476</v>
      </c>
      <c r="E1043" s="4782">
        <f>G1043</f>
        <v>176476</v>
      </c>
      <c r="F1043" s="4783">
        <f>G1043</f>
        <v>176476</v>
      </c>
      <c r="G1043" s="4514">
        <f>Table4.Gs2_2020!J70</f>
        <v>176476</v>
      </c>
      <c r="H1043" s="4354"/>
      <c r="I1043" s="4387">
        <f t="shared" si="72"/>
        <v>0</v>
      </c>
      <c r="J1043" s="4387">
        <f t="shared" si="72"/>
        <v>0</v>
      </c>
      <c r="K1043" s="4354"/>
      <c r="L1043" s="4354"/>
      <c r="M1043" s="4354"/>
    </row>
    <row r="1044" spans="1:13" x14ac:dyDescent="0.25">
      <c r="A1044" s="4354"/>
      <c r="B1044" s="4354"/>
      <c r="C1044" s="4354"/>
      <c r="D1044" s="4354"/>
      <c r="E1044" s="4356"/>
      <c r="F1044" s="4354"/>
      <c r="G1044" s="4354"/>
      <c r="H1044" s="4354"/>
      <c r="I1044" s="4387" t="str">
        <f t="shared" si="72"/>
        <v>NO</v>
      </c>
      <c r="J1044" s="4387" t="str">
        <f t="shared" si="72"/>
        <v>NO</v>
      </c>
      <c r="K1044" s="4354"/>
      <c r="L1044" s="4354"/>
      <c r="M1044" s="4354"/>
    </row>
    <row r="1045" spans="1:13" ht="14.45" customHeight="1" x14ac:dyDescent="0.25">
      <c r="A1045" s="4354"/>
      <c r="B1045" s="4402" t="s">
        <v>651</v>
      </c>
      <c r="C1045" s="4354"/>
      <c r="D1045" s="4481" t="str">
        <f t="shared" si="73"/>
        <v xml:space="preserve"> NIR 2020 (2018) CRF tabel 4.Gs2</v>
      </c>
      <c r="E1045" s="4481" t="s">
        <v>5289</v>
      </c>
      <c r="F1045" s="4481" t="s">
        <v>5290</v>
      </c>
      <c r="G1045" s="4481" t="s">
        <v>5291</v>
      </c>
      <c r="H1045" s="4354"/>
      <c r="I1045" s="4387" t="str">
        <f t="shared" si="72"/>
        <v>NO</v>
      </c>
      <c r="J1045" s="4387" t="str">
        <f t="shared" si="72"/>
        <v>NO</v>
      </c>
      <c r="K1045" s="4354"/>
      <c r="L1045" s="4354"/>
      <c r="M1045" s="4354"/>
    </row>
    <row r="1046" spans="1:13" x14ac:dyDescent="0.25">
      <c r="A1046" s="4354"/>
      <c r="B1046" s="4354"/>
      <c r="C1046" s="4354"/>
      <c r="D1046" s="4354" t="str">
        <f t="shared" ref="D1046:D1062" si="74">""&amp;IF($D$3=$E$3,E1046,IF($D$3=$F$3,F1046,IF($D$3=$G$3,G1046,"-")))</f>
        <v/>
      </c>
      <c r="E1046" s="4356"/>
      <c r="F1046" s="4354"/>
      <c r="G1046" s="4354"/>
      <c r="H1046" s="4354"/>
      <c r="I1046" s="4387" t="str">
        <f t="shared" si="72"/>
        <v>NO</v>
      </c>
      <c r="J1046" s="4387" t="str">
        <f t="shared" si="72"/>
        <v>NO</v>
      </c>
      <c r="K1046" s="4354"/>
      <c r="L1046" s="4354"/>
      <c r="M1046" s="4354"/>
    </row>
    <row r="1047" spans="1:13" s="640" customFormat="1" ht="30" customHeight="1" x14ac:dyDescent="0.3">
      <c r="A1047" s="4357"/>
      <c r="B1047" s="4432" t="s">
        <v>745</v>
      </c>
      <c r="C1047" s="4764"/>
      <c r="D1047" s="4357" t="str">
        <f t="shared" si="74"/>
        <v/>
      </c>
      <c r="E1047" s="4357"/>
      <c r="F1047" s="4357"/>
      <c r="G1047" s="4357"/>
      <c r="H1047" s="4357"/>
      <c r="I1047" s="4387" t="str">
        <f t="shared" si="72"/>
        <v>NO</v>
      </c>
      <c r="J1047" s="4387" t="str">
        <f t="shared" si="72"/>
        <v>NO</v>
      </c>
      <c r="K1047" s="4357"/>
      <c r="L1047" s="4357"/>
      <c r="M1047" s="4357"/>
    </row>
    <row r="1048" spans="1:13" ht="15.75" thickBot="1" x14ac:dyDescent="0.3">
      <c r="A1048" s="4354"/>
      <c r="B1048" s="4354"/>
      <c r="C1048" s="4765"/>
      <c r="D1048" s="4354" t="str">
        <f t="shared" si="74"/>
        <v/>
      </c>
      <c r="E1048" s="4356"/>
      <c r="F1048" s="4354"/>
      <c r="G1048" s="4354"/>
      <c r="H1048" s="4354"/>
      <c r="I1048" s="4387" t="str">
        <f t="shared" si="72"/>
        <v>NO</v>
      </c>
      <c r="J1048" s="4387" t="str">
        <f t="shared" si="72"/>
        <v>NO</v>
      </c>
      <c r="K1048" s="4354"/>
      <c r="L1048" s="4354"/>
      <c r="M1048" s="4354"/>
    </row>
    <row r="1049" spans="1:13" ht="15.75" thickBot="1" x14ac:dyDescent="0.3">
      <c r="A1049" s="4354"/>
      <c r="B1049" s="5086" t="s">
        <v>310</v>
      </c>
      <c r="C1049" s="5087"/>
      <c r="D1049" s="4787" t="str">
        <f t="shared" si="74"/>
        <v>kton/år</v>
      </c>
      <c r="E1049" s="4787" t="s">
        <v>732</v>
      </c>
      <c r="F1049" s="4788" t="s">
        <v>732</v>
      </c>
      <c r="G1049" s="4789" t="s">
        <v>732</v>
      </c>
      <c r="H1049" s="4354"/>
      <c r="I1049" s="4387" t="str">
        <f t="shared" si="72"/>
        <v>NO</v>
      </c>
      <c r="J1049" s="4387" t="str">
        <f t="shared" si="72"/>
        <v>NO</v>
      </c>
      <c r="K1049" s="4354"/>
      <c r="L1049" s="4354"/>
      <c r="M1049" s="4354"/>
    </row>
    <row r="1050" spans="1:13" x14ac:dyDescent="0.25">
      <c r="A1050" s="4354"/>
      <c r="B1050" s="4790" t="s">
        <v>741</v>
      </c>
      <c r="C1050" s="5067" t="s">
        <v>310</v>
      </c>
      <c r="D1050" s="4791">
        <f>IF($D$3=$E$3,E1050,IF($D$3=$F$3,F1050,IF($D$3=$G$3,G1050,"-")))</f>
        <v>700.40714869999999</v>
      </c>
      <c r="E1050" s="4792">
        <f>Table5.A_2018!B11</f>
        <v>700.40714869999999</v>
      </c>
      <c r="F1050" s="4793">
        <f>Table5.A_2019!B11</f>
        <v>2721.2913592333298</v>
      </c>
      <c r="G1050" s="4794">
        <f>Table5.A_2020!B11</f>
        <v>2717.8979290000002</v>
      </c>
      <c r="H1050" s="4354"/>
      <c r="I1050" s="4387">
        <f t="shared" si="72"/>
        <v>2.885299235286531</v>
      </c>
      <c r="J1050" s="4387">
        <f t="shared" si="72"/>
        <v>1.2469926168749582E-3</v>
      </c>
      <c r="K1050" s="4354"/>
      <c r="L1050" s="4354"/>
      <c r="M1050" s="4354"/>
    </row>
    <row r="1051" spans="1:13" x14ac:dyDescent="0.25">
      <c r="A1051" s="4354"/>
      <c r="B1051" s="4795" t="s">
        <v>739</v>
      </c>
      <c r="C1051" s="5071"/>
      <c r="D1051" s="4791">
        <f t="shared" ref="D1051:D1054" si="75">IF($D$3=$E$3,E1051,IF($D$3=$F$3,F1051,IF($D$3=$G$3,G1051,"-")))</f>
        <v>700.40714869999999</v>
      </c>
      <c r="E1051" s="4796">
        <f>Table5.A_2018!B12</f>
        <v>700.40714869999999</v>
      </c>
      <c r="F1051" s="4797">
        <f>Table5.A_2019!B12</f>
        <v>2721.2913592333298</v>
      </c>
      <c r="G1051" s="4798">
        <f>Table5.A_2020!B12</f>
        <v>2717.8979290000002</v>
      </c>
      <c r="H1051" s="4354"/>
      <c r="I1051" s="4387">
        <f t="shared" ref="I1051:J1114" si="76">IFERROR(ABS(F1051-E1051)/E1051,"NO")</f>
        <v>2.885299235286531</v>
      </c>
      <c r="J1051" s="4387">
        <f t="shared" si="76"/>
        <v>1.2469926168749582E-3</v>
      </c>
      <c r="K1051" s="4354"/>
      <c r="L1051" s="4354"/>
      <c r="M1051" s="4354"/>
    </row>
    <row r="1052" spans="1:13" x14ac:dyDescent="0.25">
      <c r="A1052" s="4354"/>
      <c r="B1052" s="4795" t="s">
        <v>738</v>
      </c>
      <c r="C1052" s="5071"/>
      <c r="D1052" s="4791" t="str">
        <f t="shared" si="75"/>
        <v>NO</v>
      </c>
      <c r="E1052" s="4796" t="str">
        <f>Table5.A_2018!B13</f>
        <v>NO</v>
      </c>
      <c r="F1052" s="4797" t="str">
        <f>Table5.A_2019!B13</f>
        <v>NO</v>
      </c>
      <c r="G1052" s="4798" t="str">
        <f>Table5.A_2020!B13</f>
        <v>NO</v>
      </c>
      <c r="H1052" s="4354"/>
      <c r="I1052" s="4387" t="str">
        <f t="shared" si="76"/>
        <v>NO</v>
      </c>
      <c r="J1052" s="4387" t="str">
        <f t="shared" si="76"/>
        <v>NO</v>
      </c>
      <c r="K1052" s="4354"/>
      <c r="L1052" s="4354"/>
      <c r="M1052" s="4354"/>
    </row>
    <row r="1053" spans="1:13" x14ac:dyDescent="0.25">
      <c r="A1053" s="4354"/>
      <c r="B1053" s="4799" t="s">
        <v>737</v>
      </c>
      <c r="C1053" s="5071"/>
      <c r="D1053" s="4791" t="str">
        <f t="shared" si="75"/>
        <v>NO</v>
      </c>
      <c r="E1053" s="4796" t="str">
        <f>Table5.A_2018!B14</f>
        <v>NO</v>
      </c>
      <c r="F1053" s="4797" t="str">
        <f>Table5.A_2019!B14</f>
        <v>NO</v>
      </c>
      <c r="G1053" s="4798" t="str">
        <f>Table5.A_2020!B14</f>
        <v>NO</v>
      </c>
      <c r="H1053" s="4354"/>
      <c r="I1053" s="4387" t="str">
        <f t="shared" si="76"/>
        <v>NO</v>
      </c>
      <c r="J1053" s="4387" t="str">
        <f t="shared" si="76"/>
        <v>NO</v>
      </c>
      <c r="K1053" s="4354"/>
      <c r="L1053" s="4354"/>
      <c r="M1053" s="4354"/>
    </row>
    <row r="1054" spans="1:13" ht="15.75" thickBot="1" x14ac:dyDescent="0.3">
      <c r="A1054" s="4354"/>
      <c r="B1054" s="4800" t="s">
        <v>736</v>
      </c>
      <c r="C1054" s="5072"/>
      <c r="D1054" s="4791" t="str">
        <f t="shared" si="75"/>
        <v>NO</v>
      </c>
      <c r="E1054" s="4801" t="str">
        <f>Table5.A_2018!B15</f>
        <v>NO</v>
      </c>
      <c r="F1054" s="4802" t="str">
        <f>Table5.A_2019!B15</f>
        <v>NO</v>
      </c>
      <c r="G1054" s="4803" t="str">
        <f>Table5.A_2020!B15</f>
        <v>NO</v>
      </c>
      <c r="H1054" s="4354"/>
      <c r="I1054" s="4387" t="str">
        <f t="shared" si="76"/>
        <v>NO</v>
      </c>
      <c r="J1054" s="4387" t="str">
        <f t="shared" si="76"/>
        <v>NO</v>
      </c>
      <c r="K1054" s="4354"/>
      <c r="L1054" s="4354"/>
      <c r="M1054" s="4354"/>
    </row>
    <row r="1055" spans="1:13" ht="15.75" thickBot="1" x14ac:dyDescent="0.3">
      <c r="A1055" s="4354"/>
      <c r="B1055" s="5081"/>
      <c r="C1055" s="5082"/>
      <c r="D1055" s="4804" t="str">
        <f t="shared" si="74"/>
        <v/>
      </c>
      <c r="E1055" s="4804"/>
      <c r="F1055" s="4805"/>
      <c r="G1055" s="4806"/>
      <c r="H1055" s="4354"/>
      <c r="I1055" s="4387" t="str">
        <f t="shared" si="76"/>
        <v>NO</v>
      </c>
      <c r="J1055" s="4387" t="str">
        <f t="shared" si="76"/>
        <v>NO</v>
      </c>
      <c r="K1055" s="4354"/>
      <c r="L1055" s="4354"/>
      <c r="M1055" s="4354"/>
    </row>
    <row r="1056" spans="1:13" x14ac:dyDescent="0.25">
      <c r="A1056" s="4354"/>
      <c r="B1056" s="4790" t="s">
        <v>741</v>
      </c>
      <c r="C1056" s="5067" t="s">
        <v>744</v>
      </c>
      <c r="D1056" s="4407" t="str">
        <f>""&amp;IF($D$3=$E$3,E1056,IF($D$3=$F$3,F1056,IF($D$3=$G$3,G1056,"-")))</f>
        <v/>
      </c>
      <c r="E1056" s="4807" t="str">
        <f>Table5.A_2018!C11</f>
        <v/>
      </c>
      <c r="F1056" s="4808" t="str">
        <f>Table5.A_2019!C11</f>
        <v/>
      </c>
      <c r="G1056" s="4809" t="str">
        <f>Table5.A_2020!C11</f>
        <v/>
      </c>
      <c r="H1056" s="4354"/>
      <c r="I1056" s="4387" t="str">
        <f t="shared" si="76"/>
        <v>NO</v>
      </c>
      <c r="J1056" s="4387" t="str">
        <f t="shared" si="76"/>
        <v>NO</v>
      </c>
      <c r="K1056" s="4354"/>
      <c r="L1056" s="4354"/>
      <c r="M1056" s="4354"/>
    </row>
    <row r="1057" spans="1:13" x14ac:dyDescent="0.25">
      <c r="A1057" s="4354"/>
      <c r="B1057" s="4795" t="s">
        <v>739</v>
      </c>
      <c r="C1057" s="5071"/>
      <c r="D1057" s="4779">
        <f>IF($D$3=$E$3,E1057,IF($D$3=$F$3,F1057,IF($D$3=$G$3,G1057,"-")))</f>
        <v>1</v>
      </c>
      <c r="E1057" s="4779">
        <f>Table5.A_2018!C12</f>
        <v>1</v>
      </c>
      <c r="F1057" s="4544">
        <f>Table5.A_2019!C12</f>
        <v>1</v>
      </c>
      <c r="G1057" s="4498">
        <f>Table5.A_2020!C12</f>
        <v>1</v>
      </c>
      <c r="H1057" s="4354"/>
      <c r="I1057" s="4387">
        <f t="shared" si="76"/>
        <v>0</v>
      </c>
      <c r="J1057" s="4387">
        <f t="shared" si="76"/>
        <v>0</v>
      </c>
      <c r="K1057" s="4354"/>
      <c r="L1057" s="4354"/>
      <c r="M1057" s="4354"/>
    </row>
    <row r="1058" spans="1:13" x14ac:dyDescent="0.25">
      <c r="A1058" s="4354"/>
      <c r="B1058" s="4795" t="s">
        <v>738</v>
      </c>
      <c r="C1058" s="5071"/>
      <c r="D1058" s="4444" t="str">
        <f t="shared" ref="D1058:D1060" si="77">IF($D$3=$E$3,E1058,IF($D$3=$F$3,F1058,IF($D$3=$G$3,G1058,"-")))</f>
        <v>NO</v>
      </c>
      <c r="E1058" s="4779" t="str">
        <f>Table5.A_2018!C13</f>
        <v>NO</v>
      </c>
      <c r="F1058" s="4544" t="str">
        <f>Table5.A_2019!C13</f>
        <v>NO</v>
      </c>
      <c r="G1058" s="4498" t="str">
        <f>Table5.A_2020!C13</f>
        <v>NO</v>
      </c>
      <c r="H1058" s="4354"/>
      <c r="I1058" s="4387" t="str">
        <f t="shared" si="76"/>
        <v>NO</v>
      </c>
      <c r="J1058" s="4387" t="str">
        <f t="shared" si="76"/>
        <v>NO</v>
      </c>
      <c r="K1058" s="4354"/>
      <c r="L1058" s="4354"/>
      <c r="M1058" s="4354"/>
    </row>
    <row r="1059" spans="1:13" x14ac:dyDescent="0.25">
      <c r="A1059" s="4354"/>
      <c r="B1059" s="4799" t="s">
        <v>737</v>
      </c>
      <c r="C1059" s="5071"/>
      <c r="D1059" s="4444" t="str">
        <f t="shared" si="77"/>
        <v>NO</v>
      </c>
      <c r="E1059" s="4779" t="str">
        <f>Table5.A_2018!C14</f>
        <v>NO</v>
      </c>
      <c r="F1059" s="4544" t="str">
        <f>Table5.A_2019!C14</f>
        <v>NO</v>
      </c>
      <c r="G1059" s="4498" t="str">
        <f>Table5.A_2020!C14</f>
        <v>NO</v>
      </c>
      <c r="H1059" s="4354"/>
      <c r="I1059" s="4387" t="str">
        <f t="shared" si="76"/>
        <v>NO</v>
      </c>
      <c r="J1059" s="4387" t="str">
        <f t="shared" si="76"/>
        <v>NO</v>
      </c>
      <c r="K1059" s="4354"/>
      <c r="L1059" s="4354"/>
      <c r="M1059" s="4354"/>
    </row>
    <row r="1060" spans="1:13" ht="15.75" thickBot="1" x14ac:dyDescent="0.3">
      <c r="A1060" s="4354"/>
      <c r="B1060" s="4800" t="s">
        <v>736</v>
      </c>
      <c r="C1060" s="5072"/>
      <c r="D1060" s="4444" t="str">
        <f t="shared" si="77"/>
        <v>NO</v>
      </c>
      <c r="E1060" s="4810" t="str">
        <f>Table5.A_2018!C15</f>
        <v>NO</v>
      </c>
      <c r="F1060" s="4811" t="str">
        <f>Table5.A_2019!C15</f>
        <v>NO</v>
      </c>
      <c r="G1060" s="4685" t="str">
        <f>Table5.A_2020!C15</f>
        <v>NO</v>
      </c>
      <c r="H1060" s="4354"/>
      <c r="I1060" s="4387" t="str">
        <f t="shared" si="76"/>
        <v>NO</v>
      </c>
      <c r="J1060" s="4387" t="str">
        <f t="shared" si="76"/>
        <v>NO</v>
      </c>
      <c r="K1060" s="4354"/>
      <c r="L1060" s="4354"/>
      <c r="M1060" s="4354"/>
    </row>
    <row r="1061" spans="1:13" ht="15.75" thickBot="1" x14ac:dyDescent="0.3">
      <c r="A1061" s="4354"/>
      <c r="B1061" s="5081"/>
      <c r="C1061" s="5082"/>
      <c r="D1061" s="4804" t="str">
        <f t="shared" si="74"/>
        <v>%</v>
      </c>
      <c r="E1061" s="4804" t="s">
        <v>18</v>
      </c>
      <c r="F1061" s="4805" t="s">
        <v>18</v>
      </c>
      <c r="G1061" s="4806" t="s">
        <v>18</v>
      </c>
      <c r="H1061" s="4354"/>
      <c r="I1061" s="4387" t="str">
        <f t="shared" si="76"/>
        <v>NO</v>
      </c>
      <c r="J1061" s="4387" t="str">
        <f t="shared" si="76"/>
        <v>NO</v>
      </c>
      <c r="K1061" s="4354"/>
      <c r="L1061" s="4354"/>
      <c r="M1061" s="4354"/>
    </row>
    <row r="1062" spans="1:13" x14ac:dyDescent="0.25">
      <c r="A1062" s="4354"/>
      <c r="B1062" s="4790" t="s">
        <v>741</v>
      </c>
      <c r="C1062" s="5067" t="s">
        <v>743</v>
      </c>
      <c r="D1062" s="4407" t="str">
        <f t="shared" si="74"/>
        <v/>
      </c>
      <c r="E1062" s="4807" t="str">
        <f>Table5.A_2018!D11</f>
        <v/>
      </c>
      <c r="F1062" s="4808" t="str">
        <f>Table5.A_2019!D11</f>
        <v/>
      </c>
      <c r="G1062" s="4809" t="str">
        <f>Table5.A_2020!D11</f>
        <v/>
      </c>
      <c r="H1062" s="4354"/>
      <c r="I1062" s="4387" t="str">
        <f t="shared" si="76"/>
        <v>NO</v>
      </c>
      <c r="J1062" s="4387" t="str">
        <f t="shared" si="76"/>
        <v>NO</v>
      </c>
      <c r="K1062" s="4354"/>
      <c r="L1062" s="4354"/>
      <c r="M1062" s="4354"/>
    </row>
    <row r="1063" spans="1:13" x14ac:dyDescent="0.25">
      <c r="A1063" s="4354"/>
      <c r="B1063" s="4795" t="s">
        <v>739</v>
      </c>
      <c r="C1063" s="5068"/>
      <c r="D1063" s="4779">
        <f>IF($D$3=$E$3,E1063,IF($D$3=$F$3,F1063,IF($D$3=$G$3,G1063,"-")))</f>
        <v>4.0160650920999998</v>
      </c>
      <c r="E1063" s="4779">
        <f>Table5.A_2018!D12</f>
        <v>4.0160650920999998</v>
      </c>
      <c r="F1063" s="4544">
        <f>Table5.A_2019!D12</f>
        <v>0.5</v>
      </c>
      <c r="G1063" s="4498">
        <f>Table5.A_2020!D12</f>
        <v>50</v>
      </c>
      <c r="H1063" s="4354"/>
      <c r="I1063" s="4387">
        <f t="shared" si="76"/>
        <v>0.87550002588764064</v>
      </c>
      <c r="J1063" s="4387">
        <f t="shared" si="76"/>
        <v>99</v>
      </c>
      <c r="K1063" s="4354"/>
      <c r="L1063" s="4354"/>
      <c r="M1063" s="4354"/>
    </row>
    <row r="1064" spans="1:13" x14ac:dyDescent="0.25">
      <c r="A1064" s="4354"/>
      <c r="B1064" s="4795" t="s">
        <v>738</v>
      </c>
      <c r="C1064" s="5068"/>
      <c r="D1064" s="4779" t="str">
        <f t="shared" ref="D1064:D1066" si="78">IF($D$3=$E$3,E1064,IF($D$3=$F$3,F1064,IF($D$3=$G$3,G1064,"-")))</f>
        <v>NO</v>
      </c>
      <c r="E1064" s="4779" t="str">
        <f>Table5.A_2018!D13</f>
        <v>NO</v>
      </c>
      <c r="F1064" s="4544" t="str">
        <f>Table5.A_2019!D13</f>
        <v>NO</v>
      </c>
      <c r="G1064" s="4498" t="str">
        <f>Table5.A_2020!D13</f>
        <v>NO</v>
      </c>
      <c r="H1064" s="4354"/>
      <c r="I1064" s="4387" t="str">
        <f t="shared" si="76"/>
        <v>NO</v>
      </c>
      <c r="J1064" s="4387" t="str">
        <f t="shared" si="76"/>
        <v>NO</v>
      </c>
      <c r="K1064" s="4354"/>
      <c r="L1064" s="4354"/>
      <c r="M1064" s="4354"/>
    </row>
    <row r="1065" spans="1:13" x14ac:dyDescent="0.25">
      <c r="A1065" s="4354"/>
      <c r="B1065" s="4799" t="s">
        <v>737</v>
      </c>
      <c r="C1065" s="5068"/>
      <c r="D1065" s="4779" t="str">
        <f t="shared" si="78"/>
        <v>NO</v>
      </c>
      <c r="E1065" s="4779" t="str">
        <f>Table5.A_2018!D14</f>
        <v>NO</v>
      </c>
      <c r="F1065" s="4544" t="str">
        <f>Table5.A_2019!D14</f>
        <v>NO</v>
      </c>
      <c r="G1065" s="4498" t="str">
        <f>Table5.A_2020!D14</f>
        <v>NO</v>
      </c>
      <c r="H1065" s="4354"/>
      <c r="I1065" s="4387" t="str">
        <f t="shared" si="76"/>
        <v>NO</v>
      </c>
      <c r="J1065" s="4387" t="str">
        <f t="shared" si="76"/>
        <v>NO</v>
      </c>
      <c r="K1065" s="4354"/>
      <c r="L1065" s="4354"/>
      <c r="M1065" s="4354"/>
    </row>
    <row r="1066" spans="1:13" ht="15.75" thickBot="1" x14ac:dyDescent="0.3">
      <c r="A1066" s="4354"/>
      <c r="B1066" s="4800" t="s">
        <v>736</v>
      </c>
      <c r="C1066" s="5069"/>
      <c r="D1066" s="4779" t="str">
        <f t="shared" si="78"/>
        <v>NO</v>
      </c>
      <c r="E1066" s="4779" t="str">
        <f>Table5.A_2018!D15</f>
        <v>NO</v>
      </c>
      <c r="F1066" s="4544" t="str">
        <f>Table5.A_2019!D15</f>
        <v>NO</v>
      </c>
      <c r="G1066" s="4498" t="str">
        <f>Table5.A_2020!D15</f>
        <v>NO</v>
      </c>
      <c r="H1066" s="4354"/>
      <c r="I1066" s="4387" t="str">
        <f t="shared" si="76"/>
        <v>NO</v>
      </c>
      <c r="J1066" s="4387" t="str">
        <f t="shared" si="76"/>
        <v>NO</v>
      </c>
      <c r="K1066" s="4354"/>
      <c r="L1066" s="4354"/>
      <c r="M1066" s="4354"/>
    </row>
    <row r="1067" spans="1:13" ht="15.75" thickBot="1" x14ac:dyDescent="0.3">
      <c r="A1067" s="4354"/>
      <c r="B1067" s="5081"/>
      <c r="C1067" s="5082"/>
      <c r="D1067" s="4787" t="str">
        <f t="shared" ref="D1067" si="79">""&amp;IF($D$3=$E$3,E1067,IF($D$3=$F$3,F1067,IF($D$3=$G$3,G1067,"-")))</f>
        <v>ton/ton affald</v>
      </c>
      <c r="E1067" s="4787" t="s">
        <v>735</v>
      </c>
      <c r="F1067" s="4788" t="s">
        <v>735</v>
      </c>
      <c r="G1067" s="4789" t="s">
        <v>735</v>
      </c>
      <c r="H1067" s="4354"/>
      <c r="I1067" s="4387" t="str">
        <f t="shared" si="76"/>
        <v>NO</v>
      </c>
      <c r="J1067" s="4387" t="str">
        <f t="shared" si="76"/>
        <v>NO</v>
      </c>
      <c r="K1067" s="4354"/>
      <c r="L1067" s="4354"/>
      <c r="M1067" s="4354"/>
    </row>
    <row r="1068" spans="1:13" x14ac:dyDescent="0.25">
      <c r="A1068" s="4354"/>
      <c r="B1068" s="4790" t="s">
        <v>741</v>
      </c>
      <c r="C1068" s="5067" t="s">
        <v>734</v>
      </c>
      <c r="D1068" s="4807">
        <f>IF($D$3=$E$3,E1068,IF($D$3=$F$3,F1068,IF($D$3=$G$3,G1068,"-")))</f>
        <v>3.2003725344999998E-2</v>
      </c>
      <c r="E1068" s="4807">
        <f>Table5.A_2018!E11</f>
        <v>3.2003725344999998E-2</v>
      </c>
      <c r="F1068" s="4808">
        <f>Table5.A_2019!E11</f>
        <v>7.8522292293499996E-3</v>
      </c>
      <c r="G1068" s="4809">
        <f>Table5.A_2020!E11</f>
        <v>7.9001234508399992E-3</v>
      </c>
      <c r="H1068" s="4354"/>
      <c r="I1068" s="4387">
        <f t="shared" si="76"/>
        <v>0.75464639992054028</v>
      </c>
      <c r="J1068" s="4387">
        <f t="shared" si="76"/>
        <v>6.099442602997507E-3</v>
      </c>
      <c r="K1068" s="4354"/>
      <c r="L1068" s="4354"/>
      <c r="M1068" s="4354"/>
    </row>
    <row r="1069" spans="1:13" x14ac:dyDescent="0.25">
      <c r="A1069" s="4354"/>
      <c r="B1069" s="4795" t="s">
        <v>739</v>
      </c>
      <c r="C1069" s="5068"/>
      <c r="D1069" s="4779">
        <f t="shared" ref="D1069:D1132" si="80">IF($D$3=$E$3,E1069,IF($D$3=$F$3,F1069,IF($D$3=$G$3,G1069,"-")))</f>
        <v>3.2003725344999998E-2</v>
      </c>
      <c r="E1069" s="4779">
        <f>Table5.A_2018!E12</f>
        <v>3.2003725344999998E-2</v>
      </c>
      <c r="F1069" s="4544">
        <f>Table5.A_2019!E12</f>
        <v>7.8522292293499996E-3</v>
      </c>
      <c r="G1069" s="4498">
        <f>Table5.A_2020!E12</f>
        <v>7.9001234508399992E-3</v>
      </c>
      <c r="H1069" s="4354"/>
      <c r="I1069" s="4387">
        <f t="shared" si="76"/>
        <v>0.75464639992054028</v>
      </c>
      <c r="J1069" s="4387">
        <f t="shared" si="76"/>
        <v>6.099442602997507E-3</v>
      </c>
      <c r="K1069" s="4354"/>
      <c r="L1069" s="4354"/>
      <c r="M1069" s="4354"/>
    </row>
    <row r="1070" spans="1:13" x14ac:dyDescent="0.25">
      <c r="A1070" s="4354"/>
      <c r="B1070" s="4795" t="s">
        <v>738</v>
      </c>
      <c r="C1070" s="5068"/>
      <c r="D1070" s="4779" t="str">
        <f t="shared" si="80"/>
        <v>NO</v>
      </c>
      <c r="E1070" s="4779" t="str">
        <f>Table5.A_2018!E13</f>
        <v>NO</v>
      </c>
      <c r="F1070" s="4544" t="str">
        <f>Table5.A_2019!E13</f>
        <v>NO</v>
      </c>
      <c r="G1070" s="4498" t="str">
        <f>Table5.A_2020!E13</f>
        <v>NO</v>
      </c>
      <c r="H1070" s="4354"/>
      <c r="I1070" s="4387" t="str">
        <f t="shared" si="76"/>
        <v>NO</v>
      </c>
      <c r="J1070" s="4387" t="str">
        <f t="shared" si="76"/>
        <v>NO</v>
      </c>
      <c r="K1070" s="4354"/>
      <c r="L1070" s="4354"/>
      <c r="M1070" s="4354"/>
    </row>
    <row r="1071" spans="1:13" x14ac:dyDescent="0.25">
      <c r="A1071" s="4354"/>
      <c r="B1071" s="4799" t="s">
        <v>737</v>
      </c>
      <c r="C1071" s="5068"/>
      <c r="D1071" s="4779" t="str">
        <f t="shared" si="80"/>
        <v>NO</v>
      </c>
      <c r="E1071" s="4779" t="str">
        <f>Table5.A_2018!E14</f>
        <v>NO</v>
      </c>
      <c r="F1071" s="4544" t="str">
        <f>Table5.A_2019!E14</f>
        <v>NO</v>
      </c>
      <c r="G1071" s="4498" t="str">
        <f>Table5.A_2020!E14</f>
        <v>NO</v>
      </c>
      <c r="H1071" s="4354"/>
      <c r="I1071" s="4387" t="str">
        <f t="shared" si="76"/>
        <v>NO</v>
      </c>
      <c r="J1071" s="4387" t="str">
        <f t="shared" si="76"/>
        <v>NO</v>
      </c>
      <c r="K1071" s="4354"/>
      <c r="L1071" s="4354"/>
      <c r="M1071" s="4354"/>
    </row>
    <row r="1072" spans="1:13" ht="15.75" thickBot="1" x14ac:dyDescent="0.3">
      <c r="A1072" s="4354"/>
      <c r="B1072" s="4800" t="s">
        <v>736</v>
      </c>
      <c r="C1072" s="5069"/>
      <c r="D1072" s="4810" t="str">
        <f t="shared" si="80"/>
        <v>NO</v>
      </c>
      <c r="E1072" s="4810" t="str">
        <f>Table5.A_2018!E15</f>
        <v>NO</v>
      </c>
      <c r="F1072" s="4811" t="str">
        <f>Table5.A_2019!E15</f>
        <v>NO</v>
      </c>
      <c r="G1072" s="4685" t="str">
        <f>Table5.A_2020!E15</f>
        <v>NO</v>
      </c>
      <c r="H1072" s="4354"/>
      <c r="I1072" s="4387" t="str">
        <f t="shared" si="76"/>
        <v>NO</v>
      </c>
      <c r="J1072" s="4387" t="str">
        <f t="shared" si="76"/>
        <v>NO</v>
      </c>
      <c r="K1072" s="4354"/>
      <c r="L1072" s="4354"/>
      <c r="M1072" s="4354"/>
    </row>
    <row r="1073" spans="1:13" x14ac:dyDescent="0.25">
      <c r="A1073" s="4354"/>
      <c r="B1073" s="4790" t="s">
        <v>741</v>
      </c>
      <c r="C1073" s="5067" t="s">
        <v>742</v>
      </c>
      <c r="D1073" s="4757" t="str">
        <f t="shared" si="80"/>
        <v>NO,NA</v>
      </c>
      <c r="E1073" s="4757" t="str">
        <f>Table5.A_2018!F11</f>
        <v>NO,NA</v>
      </c>
      <c r="F1073" s="4541" t="str">
        <f>Table5.A_2019!F11</f>
        <v>NO,NA</v>
      </c>
      <c r="G1073" s="4542" t="str">
        <f>Table5.A_2020!F11</f>
        <v>NO,NA</v>
      </c>
      <c r="H1073" s="4354"/>
      <c r="I1073" s="4387" t="str">
        <f t="shared" si="76"/>
        <v>NO</v>
      </c>
      <c r="J1073" s="4387" t="str">
        <f t="shared" si="76"/>
        <v>NO</v>
      </c>
      <c r="K1073" s="4354"/>
      <c r="L1073" s="4354"/>
      <c r="M1073" s="4354"/>
    </row>
    <row r="1074" spans="1:13" x14ac:dyDescent="0.25">
      <c r="A1074" s="4354"/>
      <c r="B1074" s="4795" t="s">
        <v>739</v>
      </c>
      <c r="C1074" s="5068"/>
      <c r="D1074" s="4779" t="str">
        <f t="shared" si="80"/>
        <v>NA</v>
      </c>
      <c r="E1074" s="4779" t="str">
        <f>Table5.A_2018!F12</f>
        <v>NA</v>
      </c>
      <c r="F1074" s="4544" t="str">
        <f>Table5.A_2019!F12</f>
        <v>NA</v>
      </c>
      <c r="G1074" s="4498" t="str">
        <f>Table5.A_2020!F12</f>
        <v>NA</v>
      </c>
      <c r="H1074" s="4354"/>
      <c r="I1074" s="4387" t="str">
        <f t="shared" si="76"/>
        <v>NO</v>
      </c>
      <c r="J1074" s="4387" t="str">
        <f t="shared" si="76"/>
        <v>NO</v>
      </c>
      <c r="K1074" s="4354"/>
      <c r="L1074" s="4354"/>
      <c r="M1074" s="4354"/>
    </row>
    <row r="1075" spans="1:13" x14ac:dyDescent="0.25">
      <c r="A1075" s="4354"/>
      <c r="B1075" s="4795" t="s">
        <v>738</v>
      </c>
      <c r="C1075" s="5068"/>
      <c r="D1075" s="4779" t="str">
        <f t="shared" si="80"/>
        <v>NO</v>
      </c>
      <c r="E1075" s="4779" t="str">
        <f>Table5.A_2018!F13</f>
        <v>NO</v>
      </c>
      <c r="F1075" s="4544" t="str">
        <f>Table5.A_2019!F13</f>
        <v>NO</v>
      </c>
      <c r="G1075" s="4498" t="str">
        <f>Table5.A_2020!F13</f>
        <v>NO</v>
      </c>
      <c r="H1075" s="4354"/>
      <c r="I1075" s="4387" t="str">
        <f t="shared" si="76"/>
        <v>NO</v>
      </c>
      <c r="J1075" s="4387" t="str">
        <f t="shared" si="76"/>
        <v>NO</v>
      </c>
      <c r="K1075" s="4354"/>
      <c r="L1075" s="4354"/>
      <c r="M1075" s="4354"/>
    </row>
    <row r="1076" spans="1:13" x14ac:dyDescent="0.25">
      <c r="A1076" s="4354"/>
      <c r="B1076" s="4799" t="s">
        <v>737</v>
      </c>
      <c r="C1076" s="5068"/>
      <c r="D1076" s="4779" t="str">
        <f t="shared" si="80"/>
        <v>NO</v>
      </c>
      <c r="E1076" s="4779" t="str">
        <f>Table5.A_2018!F14</f>
        <v>NO</v>
      </c>
      <c r="F1076" s="4544" t="str">
        <f>Table5.A_2019!F14</f>
        <v>NO</v>
      </c>
      <c r="G1076" s="4498" t="str">
        <f>Table5.A_2020!F14</f>
        <v>NO</v>
      </c>
      <c r="H1076" s="4354"/>
      <c r="I1076" s="4387" t="str">
        <f t="shared" si="76"/>
        <v>NO</v>
      </c>
      <c r="J1076" s="4387" t="str">
        <f t="shared" si="76"/>
        <v>NO</v>
      </c>
      <c r="K1076" s="4354"/>
      <c r="L1076" s="4354"/>
      <c r="M1076" s="4354"/>
    </row>
    <row r="1077" spans="1:13" ht="15.75" thickBot="1" x14ac:dyDescent="0.3">
      <c r="A1077" s="4354"/>
      <c r="B1077" s="4800" t="s">
        <v>736</v>
      </c>
      <c r="C1077" s="5069"/>
      <c r="D1077" s="4763" t="str">
        <f t="shared" si="80"/>
        <v>NO</v>
      </c>
      <c r="E1077" s="4763" t="str">
        <f>Table5.A_2018!F15</f>
        <v>NO</v>
      </c>
      <c r="F1077" s="4513" t="str">
        <f>Table5.A_2019!F15</f>
        <v>NO</v>
      </c>
      <c r="G1077" s="4514" t="str">
        <f>Table5.A_2020!F15</f>
        <v>NO</v>
      </c>
      <c r="H1077" s="4354"/>
      <c r="I1077" s="4387" t="str">
        <f t="shared" si="76"/>
        <v>NO</v>
      </c>
      <c r="J1077" s="4387" t="str">
        <f t="shared" si="76"/>
        <v>NO</v>
      </c>
      <c r="K1077" s="4354"/>
      <c r="L1077" s="4354"/>
      <c r="M1077" s="4354"/>
    </row>
    <row r="1078" spans="1:13" ht="15.75" thickBot="1" x14ac:dyDescent="0.3">
      <c r="A1078" s="4354"/>
      <c r="B1078" s="5081"/>
      <c r="C1078" s="5082"/>
      <c r="D1078" s="4812" t="str">
        <f t="shared" si="80"/>
        <v xml:space="preserve">kton </v>
      </c>
      <c r="E1078" s="4787" t="s">
        <v>694</v>
      </c>
      <c r="F1078" s="4788" t="s">
        <v>694</v>
      </c>
      <c r="G1078" s="4789" t="s">
        <v>694</v>
      </c>
      <c r="H1078" s="4354"/>
      <c r="I1078" s="4387" t="str">
        <f t="shared" si="76"/>
        <v>NO</v>
      </c>
      <c r="J1078" s="4387" t="str">
        <f t="shared" si="76"/>
        <v>NO</v>
      </c>
      <c r="K1078" s="4354"/>
      <c r="L1078" s="4354"/>
      <c r="M1078" s="4354"/>
    </row>
    <row r="1079" spans="1:13" x14ac:dyDescent="0.25">
      <c r="A1079" s="4354"/>
      <c r="B1079" s="4790" t="s">
        <v>741</v>
      </c>
      <c r="C1079" s="5067" t="s">
        <v>731</v>
      </c>
      <c r="D1079" s="4539">
        <f t="shared" si="80"/>
        <v>22.415638016669401</v>
      </c>
      <c r="E1079" s="4757">
        <f>Table5.A_2018!G11</f>
        <v>22.415638016669401</v>
      </c>
      <c r="F1079" s="4541">
        <f>Table5.A_2019!G11</f>
        <v>21.3682035525507</v>
      </c>
      <c r="G1079" s="4542">
        <f>Table5.A_2020!G11</f>
        <v>21.4717291658955</v>
      </c>
      <c r="H1079" s="4354"/>
      <c r="I1079" s="4387">
        <f t="shared" si="76"/>
        <v>4.6727845236427194E-2</v>
      </c>
      <c r="J1079" s="4387">
        <f t="shared" si="76"/>
        <v>4.844844026789627E-3</v>
      </c>
      <c r="K1079" s="4354"/>
      <c r="L1079" s="4354"/>
      <c r="M1079" s="4354"/>
    </row>
    <row r="1080" spans="1:13" x14ac:dyDescent="0.25">
      <c r="A1080" s="4354"/>
      <c r="B1080" s="4795" t="s">
        <v>739</v>
      </c>
      <c r="C1080" s="5068"/>
      <c r="D1080" s="4495">
        <f t="shared" si="80"/>
        <v>22.415638016669401</v>
      </c>
      <c r="E1080" s="4779">
        <f>Table5.A_2018!G12</f>
        <v>22.415638016669401</v>
      </c>
      <c r="F1080" s="4544">
        <f>Table5.A_2019!G12</f>
        <v>21.3682035525507</v>
      </c>
      <c r="G1080" s="4498">
        <f>Table5.A_2020!G12</f>
        <v>21.4717291658955</v>
      </c>
      <c r="H1080" s="4354"/>
      <c r="I1080" s="4387">
        <f t="shared" si="76"/>
        <v>4.6727845236427194E-2</v>
      </c>
      <c r="J1080" s="4387">
        <f t="shared" si="76"/>
        <v>4.844844026789627E-3</v>
      </c>
      <c r="K1080" s="4354"/>
      <c r="L1080" s="4354"/>
      <c r="M1080" s="4354"/>
    </row>
    <row r="1081" spans="1:13" x14ac:dyDescent="0.25">
      <c r="A1081" s="4354"/>
      <c r="B1081" s="4795" t="s">
        <v>738</v>
      </c>
      <c r="C1081" s="5068"/>
      <c r="D1081" s="4495" t="str">
        <f t="shared" si="80"/>
        <v>NO</v>
      </c>
      <c r="E1081" s="4779" t="str">
        <f>Table5.A_2018!G13</f>
        <v>NO</v>
      </c>
      <c r="F1081" s="4544" t="str">
        <f>Table5.A_2019!G13</f>
        <v>NO</v>
      </c>
      <c r="G1081" s="4498" t="str">
        <f>Table5.A_2020!G13</f>
        <v>NO</v>
      </c>
      <c r="H1081" s="4354"/>
      <c r="I1081" s="4387" t="str">
        <f t="shared" si="76"/>
        <v>NO</v>
      </c>
      <c r="J1081" s="4387" t="str">
        <f t="shared" si="76"/>
        <v>NO</v>
      </c>
      <c r="K1081" s="4354"/>
      <c r="L1081" s="4354"/>
      <c r="M1081" s="4354"/>
    </row>
    <row r="1082" spans="1:13" x14ac:dyDescent="0.25">
      <c r="A1082" s="4354"/>
      <c r="B1082" s="4799" t="s">
        <v>737</v>
      </c>
      <c r="C1082" s="5068"/>
      <c r="D1082" s="4495" t="str">
        <f t="shared" si="80"/>
        <v>NO</v>
      </c>
      <c r="E1082" s="4779" t="str">
        <f>Table5.A_2018!G14</f>
        <v>NO</v>
      </c>
      <c r="F1082" s="4544" t="str">
        <f>Table5.A_2019!G14</f>
        <v>NO</v>
      </c>
      <c r="G1082" s="4498" t="str">
        <f>Table5.A_2020!G14</f>
        <v>NO</v>
      </c>
      <c r="H1082" s="4354"/>
      <c r="I1082" s="4387" t="str">
        <f t="shared" si="76"/>
        <v>NO</v>
      </c>
      <c r="J1082" s="4387" t="str">
        <f t="shared" si="76"/>
        <v>NO</v>
      </c>
      <c r="K1082" s="4354"/>
      <c r="L1082" s="4354"/>
      <c r="M1082" s="4354"/>
    </row>
    <row r="1083" spans="1:13" ht="15.75" thickBot="1" x14ac:dyDescent="0.3">
      <c r="A1083" s="4354"/>
      <c r="B1083" s="4800" t="s">
        <v>736</v>
      </c>
      <c r="C1083" s="5069"/>
      <c r="D1083" s="4813" t="str">
        <f t="shared" si="80"/>
        <v>NO</v>
      </c>
      <c r="E1083" s="4810" t="str">
        <f>Table5.A_2018!G15</f>
        <v>NO</v>
      </c>
      <c r="F1083" s="4811" t="str">
        <f>Table5.A_2019!G15</f>
        <v>NO</v>
      </c>
      <c r="G1083" s="4685" t="str">
        <f>Table5.A_2020!G15</f>
        <v>NO</v>
      </c>
      <c r="H1083" s="4354"/>
      <c r="I1083" s="4387" t="str">
        <f t="shared" si="76"/>
        <v>NO</v>
      </c>
      <c r="J1083" s="4387" t="str">
        <f t="shared" si="76"/>
        <v>NO</v>
      </c>
      <c r="K1083" s="4354"/>
      <c r="L1083" s="4354"/>
      <c r="M1083" s="4354"/>
    </row>
    <row r="1084" spans="1:13" x14ac:dyDescent="0.25">
      <c r="A1084" s="4354"/>
      <c r="B1084" s="4790" t="s">
        <v>741</v>
      </c>
      <c r="C1084" s="5067" t="s">
        <v>740</v>
      </c>
      <c r="D1084" s="4539">
        <f t="shared" si="80"/>
        <v>0</v>
      </c>
      <c r="E1084" s="4438">
        <f>Table5.A_2018!J10</f>
        <v>0</v>
      </c>
      <c r="F1084" s="4814">
        <f>Table5.A_2019!J10</f>
        <v>0</v>
      </c>
      <c r="G1084" s="4815">
        <f>Table5.A_2020!J10</f>
        <v>0</v>
      </c>
      <c r="H1084" s="4354"/>
      <c r="I1084" s="4387" t="str">
        <f t="shared" si="76"/>
        <v>NO</v>
      </c>
      <c r="J1084" s="4387" t="str">
        <f t="shared" si="76"/>
        <v>NO</v>
      </c>
      <c r="K1084" s="4354"/>
      <c r="L1084" s="4354"/>
      <c r="M1084" s="4354"/>
    </row>
    <row r="1085" spans="1:13" x14ac:dyDescent="0.25">
      <c r="A1085" s="4354"/>
      <c r="B1085" s="4795" t="s">
        <v>739</v>
      </c>
      <c r="C1085" s="5068"/>
      <c r="D1085" s="4495" t="str">
        <f t="shared" si="80"/>
        <v>NO,NA</v>
      </c>
      <c r="E1085" s="4779" t="str">
        <f>Table5.A_2018!J11</f>
        <v>NO,NA</v>
      </c>
      <c r="F1085" s="4544" t="str">
        <f>Table5.A_2019!J11</f>
        <v>NO,NA</v>
      </c>
      <c r="G1085" s="4498" t="str">
        <f>Table5.A_2020!J11</f>
        <v>NO,NA</v>
      </c>
      <c r="H1085" s="4354"/>
      <c r="I1085" s="4387" t="str">
        <f t="shared" si="76"/>
        <v>NO</v>
      </c>
      <c r="J1085" s="4387" t="str">
        <f t="shared" si="76"/>
        <v>NO</v>
      </c>
      <c r="K1085" s="4354"/>
      <c r="L1085" s="4354"/>
      <c r="M1085" s="4354"/>
    </row>
    <row r="1086" spans="1:13" x14ac:dyDescent="0.25">
      <c r="A1086" s="4354"/>
      <c r="B1086" s="4795" t="s">
        <v>738</v>
      </c>
      <c r="C1086" s="5068"/>
      <c r="D1086" s="4495" t="str">
        <f t="shared" si="80"/>
        <v>NA</v>
      </c>
      <c r="E1086" s="4779" t="str">
        <f>Table5.A_2018!J12</f>
        <v>NA</v>
      </c>
      <c r="F1086" s="4544" t="str">
        <f>Table5.A_2019!J12</f>
        <v>NA</v>
      </c>
      <c r="G1086" s="4498" t="str">
        <f>Table5.A_2020!J12</f>
        <v>NA</v>
      </c>
      <c r="H1086" s="4354"/>
      <c r="I1086" s="4387" t="str">
        <f t="shared" si="76"/>
        <v>NO</v>
      </c>
      <c r="J1086" s="4387" t="str">
        <f t="shared" si="76"/>
        <v>NO</v>
      </c>
      <c r="K1086" s="4354"/>
      <c r="L1086" s="4354"/>
      <c r="M1086" s="4354"/>
    </row>
    <row r="1087" spans="1:13" x14ac:dyDescent="0.25">
      <c r="A1087" s="4354"/>
      <c r="B1087" s="4799" t="s">
        <v>737</v>
      </c>
      <c r="C1087" s="5068"/>
      <c r="D1087" s="4495" t="str">
        <f t="shared" si="80"/>
        <v>NO</v>
      </c>
      <c r="E1087" s="4779" t="str">
        <f>Table5.A_2018!J13</f>
        <v>NO</v>
      </c>
      <c r="F1087" s="4544" t="str">
        <f>Table5.A_2019!J13</f>
        <v>NO</v>
      </c>
      <c r="G1087" s="4498" t="str">
        <f>Table5.A_2020!J13</f>
        <v>NO</v>
      </c>
      <c r="H1087" s="4354"/>
      <c r="I1087" s="4387" t="str">
        <f t="shared" si="76"/>
        <v>NO</v>
      </c>
      <c r="J1087" s="4387" t="str">
        <f t="shared" si="76"/>
        <v>NO</v>
      </c>
      <c r="K1087" s="4354"/>
      <c r="L1087" s="4354"/>
      <c r="M1087" s="4354"/>
    </row>
    <row r="1088" spans="1:13" ht="15.75" thickBot="1" x14ac:dyDescent="0.3">
      <c r="A1088" s="4354"/>
      <c r="B1088" s="4800" t="s">
        <v>736</v>
      </c>
      <c r="C1088" s="5069"/>
      <c r="D1088" s="4500" t="str">
        <f t="shared" si="80"/>
        <v>NO</v>
      </c>
      <c r="E1088" s="4763" t="str">
        <f>Table5.A_2018!J14</f>
        <v>NO</v>
      </c>
      <c r="F1088" s="4513" t="str">
        <f>Table5.A_2019!J14</f>
        <v>NO</v>
      </c>
      <c r="G1088" s="4514" t="str">
        <f>Table5.A_2020!J14</f>
        <v>NO</v>
      </c>
      <c r="H1088" s="4354"/>
      <c r="I1088" s="4387" t="str">
        <f t="shared" si="76"/>
        <v>NO</v>
      </c>
      <c r="J1088" s="4387" t="str">
        <f t="shared" si="76"/>
        <v>NO</v>
      </c>
      <c r="K1088" s="4354"/>
      <c r="L1088" s="4354"/>
      <c r="M1088" s="4354"/>
    </row>
    <row r="1089" spans="1:13" x14ac:dyDescent="0.25">
      <c r="A1089" s="4354"/>
      <c r="B1089" s="4354"/>
      <c r="C1089" s="4354"/>
      <c r="D1089" s="4504">
        <f t="shared" si="80"/>
        <v>0</v>
      </c>
      <c r="E1089" s="4439"/>
      <c r="F1089" s="4354"/>
      <c r="G1089" s="4354"/>
      <c r="H1089" s="4354"/>
      <c r="I1089" s="4387" t="str">
        <f t="shared" si="76"/>
        <v>NO</v>
      </c>
      <c r="J1089" s="4387" t="str">
        <f t="shared" si="76"/>
        <v>NO</v>
      </c>
      <c r="K1089" s="4354"/>
      <c r="L1089" s="4354"/>
      <c r="M1089" s="4354"/>
    </row>
    <row r="1090" spans="1:13" ht="14.45" customHeight="1" x14ac:dyDescent="0.25">
      <c r="A1090" s="4354"/>
      <c r="B1090" s="4354"/>
      <c r="C1090" s="4354"/>
      <c r="D1090" s="4816" t="str">
        <f t="shared" si="80"/>
        <v xml:space="preserve"> NIR 2020 (2018) CRF tabel 5.A</v>
      </c>
      <c r="E1090" s="4481" t="s">
        <v>5292</v>
      </c>
      <c r="F1090" s="4481" t="s">
        <v>5293</v>
      </c>
      <c r="G1090" s="4481" t="s">
        <v>5294</v>
      </c>
      <c r="H1090" s="4354"/>
      <c r="I1090" s="4387" t="str">
        <f t="shared" si="76"/>
        <v>NO</v>
      </c>
      <c r="J1090" s="4387" t="str">
        <f t="shared" si="76"/>
        <v>NO</v>
      </c>
      <c r="K1090" s="4354"/>
      <c r="L1090" s="4354"/>
      <c r="M1090" s="4354"/>
    </row>
    <row r="1091" spans="1:13" ht="15.75" thickBot="1" x14ac:dyDescent="0.3">
      <c r="A1091" s="4354"/>
      <c r="B1091" s="4354"/>
      <c r="C1091" s="4354"/>
      <c r="D1091" s="4504">
        <f t="shared" si="80"/>
        <v>0</v>
      </c>
      <c r="E1091" s="4356"/>
      <c r="F1091" s="4354"/>
      <c r="G1091" s="4354"/>
      <c r="H1091" s="4354"/>
      <c r="I1091" s="4387" t="str">
        <f t="shared" si="76"/>
        <v>NO</v>
      </c>
      <c r="J1091" s="4387" t="str">
        <f t="shared" si="76"/>
        <v>NO</v>
      </c>
      <c r="K1091" s="4354"/>
      <c r="L1091" s="4354"/>
      <c r="M1091" s="4354"/>
    </row>
    <row r="1092" spans="1:13" ht="15.75" thickBot="1" x14ac:dyDescent="0.3">
      <c r="A1092" s="4354"/>
      <c r="B1092" s="5086" t="s">
        <v>309</v>
      </c>
      <c r="C1092" s="5087"/>
      <c r="D1092" s="4812" t="str">
        <f t="shared" si="80"/>
        <v>kton/år</v>
      </c>
      <c r="E1092" s="4787" t="s">
        <v>732</v>
      </c>
      <c r="F1092" s="4788" t="s">
        <v>732</v>
      </c>
      <c r="G1092" s="4789" t="s">
        <v>732</v>
      </c>
      <c r="H1092" s="4354"/>
      <c r="I1092" s="4387" t="str">
        <f t="shared" si="76"/>
        <v>NO</v>
      </c>
      <c r="J1092" s="4387" t="str">
        <f t="shared" si="76"/>
        <v>NO</v>
      </c>
      <c r="K1092" s="4354"/>
      <c r="L1092" s="4354"/>
      <c r="M1092" s="4354"/>
    </row>
    <row r="1093" spans="1:13" x14ac:dyDescent="0.25">
      <c r="A1093" s="4354"/>
      <c r="B1093" s="4817" t="s">
        <v>730</v>
      </c>
      <c r="C1093" s="5067" t="s">
        <v>310</v>
      </c>
      <c r="D1093" s="4807" t="str">
        <f t="shared" si="80"/>
        <v>NO</v>
      </c>
      <c r="E1093" s="4807" t="str">
        <f>Table5.B_2018!B9</f>
        <v>NO</v>
      </c>
      <c r="F1093" s="4808" t="str">
        <f>Table5.B_2019!B9</f>
        <v>NO</v>
      </c>
      <c r="G1093" s="4809" t="str">
        <f>Table5.B_2020!B9</f>
        <v>NO,NE</v>
      </c>
      <c r="H1093" s="4354"/>
      <c r="I1093" s="4387" t="str">
        <f t="shared" si="76"/>
        <v>NO</v>
      </c>
      <c r="J1093" s="4387" t="str">
        <f t="shared" si="76"/>
        <v>NO</v>
      </c>
      <c r="K1093" s="4354"/>
      <c r="L1093" s="4354"/>
      <c r="M1093" s="4354"/>
    </row>
    <row r="1094" spans="1:13" x14ac:dyDescent="0.25">
      <c r="A1094" s="4354"/>
      <c r="B1094" s="4818" t="s">
        <v>728</v>
      </c>
      <c r="C1094" s="5071"/>
      <c r="D1094" s="4779" t="str">
        <f t="shared" si="80"/>
        <v>NO</v>
      </c>
      <c r="E1094" s="4779" t="str">
        <f>Table5.B_2018!B10</f>
        <v>NO</v>
      </c>
      <c r="F1094" s="4544" t="str">
        <f>Table5.B_2019!B10</f>
        <v>NO</v>
      </c>
      <c r="G1094" s="4498" t="str">
        <f>Table5.B_2020!B10</f>
        <v>NO</v>
      </c>
      <c r="H1094" s="4354"/>
      <c r="I1094" s="4387" t="str">
        <f t="shared" si="76"/>
        <v>NO</v>
      </c>
      <c r="J1094" s="4387" t="str">
        <f t="shared" si="76"/>
        <v>NO</v>
      </c>
      <c r="K1094" s="4354"/>
      <c r="L1094" s="4354"/>
      <c r="M1094" s="4354"/>
    </row>
    <row r="1095" spans="1:13" x14ac:dyDescent="0.25">
      <c r="A1095" s="4354"/>
      <c r="B1095" s="4818" t="s">
        <v>727</v>
      </c>
      <c r="C1095" s="5071"/>
      <c r="D1095" s="4779" t="str">
        <f t="shared" si="80"/>
        <v>NO</v>
      </c>
      <c r="E1095" s="4779" t="str">
        <f>Table5.B_2018!B11</f>
        <v>NO</v>
      </c>
      <c r="F1095" s="4544" t="str">
        <f>Table5.B_2019!B11</f>
        <v>NO</v>
      </c>
      <c r="G1095" s="4498" t="str">
        <f>Table5.B_2020!B11</f>
        <v>NE</v>
      </c>
      <c r="H1095" s="4354"/>
      <c r="I1095" s="4387" t="str">
        <f t="shared" si="76"/>
        <v>NO</v>
      </c>
      <c r="J1095" s="4387" t="str">
        <f t="shared" si="76"/>
        <v>NO</v>
      </c>
      <c r="K1095" s="4354"/>
      <c r="L1095" s="4354"/>
      <c r="M1095" s="4354"/>
    </row>
    <row r="1096" spans="1:13" x14ac:dyDescent="0.25">
      <c r="A1096" s="4354"/>
      <c r="B1096" s="4819" t="s">
        <v>726</v>
      </c>
      <c r="C1096" s="5071"/>
      <c r="D1096" s="4779" t="str">
        <f t="shared" si="80"/>
        <v>NO</v>
      </c>
      <c r="E1096" s="4779" t="str">
        <f>Table5.B_2018!B12</f>
        <v>NO</v>
      </c>
      <c r="F1096" s="4544" t="str">
        <f>Table5.B_2019!B12</f>
        <v>NO</v>
      </c>
      <c r="G1096" s="4498" t="str">
        <f>Table5.B_2020!B12</f>
        <v>NE</v>
      </c>
      <c r="H1096" s="4354"/>
      <c r="I1096" s="4387" t="str">
        <f t="shared" si="76"/>
        <v>NO</v>
      </c>
      <c r="J1096" s="4387" t="str">
        <f t="shared" si="76"/>
        <v>NO</v>
      </c>
      <c r="K1096" s="4354"/>
      <c r="L1096" s="4354"/>
      <c r="M1096" s="4354"/>
    </row>
    <row r="1097" spans="1:13" ht="17.25" x14ac:dyDescent="0.25">
      <c r="A1097" s="4354"/>
      <c r="B1097" s="4818" t="s">
        <v>725</v>
      </c>
      <c r="C1097" s="5071"/>
      <c r="D1097" s="4810" t="str">
        <f t="shared" si="80"/>
        <v>NO,NE</v>
      </c>
      <c r="E1097" s="4810" t="str">
        <f>Table5.B_2018!B13</f>
        <v>NO,NE</v>
      </c>
      <c r="F1097" s="4811" t="str">
        <f>Table5.B_2019!B13</f>
        <v>NO,NE</v>
      </c>
      <c r="G1097" s="4685" t="str">
        <f>Table5.B_2020!B13</f>
        <v>NO,NE</v>
      </c>
      <c r="H1097" s="4354"/>
      <c r="I1097" s="4387" t="str">
        <f t="shared" si="76"/>
        <v>NO</v>
      </c>
      <c r="J1097" s="4387" t="str">
        <f t="shared" si="76"/>
        <v>NO</v>
      </c>
      <c r="K1097" s="4354"/>
      <c r="L1097" s="4354"/>
      <c r="M1097" s="4354"/>
    </row>
    <row r="1098" spans="1:13" x14ac:dyDescent="0.25">
      <c r="A1098" s="4354"/>
      <c r="B1098" s="4818" t="s">
        <v>724</v>
      </c>
      <c r="C1098" s="5071"/>
      <c r="D1098" s="4810" t="str">
        <f t="shared" si="80"/>
        <v>NO</v>
      </c>
      <c r="E1098" s="4810" t="str">
        <f>Table5.B_2018!B14</f>
        <v>NO</v>
      </c>
      <c r="F1098" s="4811" t="str">
        <f>Table5.B_2019!B14</f>
        <v>NO</v>
      </c>
      <c r="G1098" s="4685" t="str">
        <f>Table5.B_2020!B14</f>
        <v>NO</v>
      </c>
      <c r="H1098" s="4354"/>
      <c r="I1098" s="4387" t="str">
        <f t="shared" si="76"/>
        <v>NO</v>
      </c>
      <c r="J1098" s="4387" t="str">
        <f t="shared" si="76"/>
        <v>NO</v>
      </c>
      <c r="K1098" s="4354"/>
      <c r="L1098" s="4354"/>
      <c r="M1098" s="4354"/>
    </row>
    <row r="1099" spans="1:13" x14ac:dyDescent="0.25">
      <c r="A1099" s="4354"/>
      <c r="B1099" s="4818" t="s">
        <v>723</v>
      </c>
      <c r="C1099" s="5071"/>
      <c r="D1099" s="4810" t="str">
        <f t="shared" si="80"/>
        <v>NE</v>
      </c>
      <c r="E1099" s="4810" t="str">
        <f>Table5.B_2018!B15</f>
        <v>NE</v>
      </c>
      <c r="F1099" s="4811" t="str">
        <f>Table5.B_2019!B15</f>
        <v>NE</v>
      </c>
      <c r="G1099" s="4685" t="str">
        <f>Table5.B_2020!B15</f>
        <v>NE</v>
      </c>
      <c r="H1099" s="4354"/>
      <c r="I1099" s="4387" t="str">
        <f t="shared" si="76"/>
        <v>NO</v>
      </c>
      <c r="J1099" s="4387" t="str">
        <f t="shared" si="76"/>
        <v>NO</v>
      </c>
      <c r="K1099" s="4354"/>
      <c r="L1099" s="4354"/>
      <c r="M1099" s="4354"/>
    </row>
    <row r="1100" spans="1:13" ht="15.75" thickBot="1" x14ac:dyDescent="0.3">
      <c r="A1100" s="4354"/>
      <c r="B1100" s="4820" t="s">
        <v>722</v>
      </c>
      <c r="C1100" s="5072"/>
      <c r="D1100" s="4810" t="str">
        <f t="shared" si="80"/>
        <v>NE</v>
      </c>
      <c r="E1100" s="4810" t="str">
        <f>Table5.B_2018!B16</f>
        <v>NE</v>
      </c>
      <c r="F1100" s="4811" t="str">
        <f>Table5.B_2019!B16</f>
        <v>NE</v>
      </c>
      <c r="G1100" s="4685" t="str">
        <f>Table5.B_2020!B16</f>
        <v>NE</v>
      </c>
      <c r="H1100" s="4354"/>
      <c r="I1100" s="4387" t="str">
        <f t="shared" si="76"/>
        <v>NO</v>
      </c>
      <c r="J1100" s="4387" t="str">
        <f t="shared" si="76"/>
        <v>NO</v>
      </c>
      <c r="K1100" s="4354"/>
      <c r="L1100" s="4354"/>
      <c r="M1100" s="4354"/>
    </row>
    <row r="1101" spans="1:13" ht="15.75" thickBot="1" x14ac:dyDescent="0.3">
      <c r="A1101" s="4354"/>
      <c r="B1101" s="5081"/>
      <c r="C1101" s="5082"/>
      <c r="D1101" s="4812" t="str">
        <f t="shared" si="80"/>
        <v>ton/ton affald</v>
      </c>
      <c r="E1101" s="4787" t="s">
        <v>735</v>
      </c>
      <c r="F1101" s="4788" t="s">
        <v>735</v>
      </c>
      <c r="G1101" s="4789" t="s">
        <v>735</v>
      </c>
      <c r="H1101" s="4354"/>
      <c r="I1101" s="4387" t="str">
        <f t="shared" si="76"/>
        <v>NO</v>
      </c>
      <c r="J1101" s="4387" t="str">
        <f t="shared" si="76"/>
        <v>NO</v>
      </c>
      <c r="K1101" s="4354"/>
      <c r="L1101" s="4354"/>
      <c r="M1101" s="4354"/>
    </row>
    <row r="1102" spans="1:13" ht="14.45" customHeight="1" x14ac:dyDescent="0.25">
      <c r="A1102" s="4354"/>
      <c r="B1102" s="4817" t="s">
        <v>730</v>
      </c>
      <c r="C1102" s="5067" t="s">
        <v>734</v>
      </c>
      <c r="D1102" s="4807" t="str">
        <f t="shared" si="80"/>
        <v>NO</v>
      </c>
      <c r="E1102" s="4807" t="str">
        <f>Table5.B_2018!C9</f>
        <v>NO</v>
      </c>
      <c r="F1102" s="4808" t="str">
        <f>Table5.B_2019!C9</f>
        <v>NO</v>
      </c>
      <c r="G1102" s="4809" t="str">
        <f>Table5.B_2020!C9</f>
        <v>NO,NE</v>
      </c>
      <c r="H1102" s="4354"/>
      <c r="I1102" s="4387" t="str">
        <f t="shared" si="76"/>
        <v>NO</v>
      </c>
      <c r="J1102" s="4387" t="str">
        <f t="shared" si="76"/>
        <v>NO</v>
      </c>
      <c r="K1102" s="4354"/>
      <c r="L1102" s="4354"/>
      <c r="M1102" s="4354"/>
    </row>
    <row r="1103" spans="1:13" x14ac:dyDescent="0.25">
      <c r="A1103" s="4354"/>
      <c r="B1103" s="4818" t="s">
        <v>728</v>
      </c>
      <c r="C1103" s="5071"/>
      <c r="D1103" s="4779" t="str">
        <f t="shared" si="80"/>
        <v>NO</v>
      </c>
      <c r="E1103" s="4779" t="str">
        <f>Table5.B_2018!C10</f>
        <v>NO</v>
      </c>
      <c r="F1103" s="4544" t="str">
        <f>Table5.B_2019!C10</f>
        <v>NO</v>
      </c>
      <c r="G1103" s="4498" t="str">
        <f>Table5.B_2020!C10</f>
        <v>NO</v>
      </c>
      <c r="H1103" s="4354"/>
      <c r="I1103" s="4387" t="str">
        <f t="shared" si="76"/>
        <v>NO</v>
      </c>
      <c r="J1103" s="4387" t="str">
        <f t="shared" si="76"/>
        <v>NO</v>
      </c>
      <c r="K1103" s="4354"/>
      <c r="L1103" s="4354"/>
      <c r="M1103" s="4354"/>
    </row>
    <row r="1104" spans="1:13" x14ac:dyDescent="0.25">
      <c r="A1104" s="4354"/>
      <c r="B1104" s="4818" t="s">
        <v>727</v>
      </c>
      <c r="C1104" s="5071"/>
      <c r="D1104" s="4779" t="str">
        <f t="shared" si="80"/>
        <v>NO</v>
      </c>
      <c r="E1104" s="4779" t="str">
        <f>Table5.B_2018!C11</f>
        <v>NO</v>
      </c>
      <c r="F1104" s="4544" t="str">
        <f>Table5.B_2019!C11</f>
        <v>NO</v>
      </c>
      <c r="G1104" s="4498" t="str">
        <f>Table5.B_2020!C11</f>
        <v>NE</v>
      </c>
      <c r="H1104" s="4354"/>
      <c r="I1104" s="4387" t="str">
        <f t="shared" si="76"/>
        <v>NO</v>
      </c>
      <c r="J1104" s="4387" t="str">
        <f t="shared" si="76"/>
        <v>NO</v>
      </c>
      <c r="K1104" s="4354"/>
      <c r="L1104" s="4354"/>
      <c r="M1104" s="4354"/>
    </row>
    <row r="1105" spans="1:13" x14ac:dyDescent="0.25">
      <c r="A1105" s="4354"/>
      <c r="B1105" s="4819" t="s">
        <v>726</v>
      </c>
      <c r="C1105" s="5071"/>
      <c r="D1105" s="4779" t="str">
        <f t="shared" si="80"/>
        <v>NO</v>
      </c>
      <c r="E1105" s="4779" t="str">
        <f>Table5.B_2018!C12</f>
        <v>NO</v>
      </c>
      <c r="F1105" s="4544" t="str">
        <f>Table5.B_2019!C12</f>
        <v>NO</v>
      </c>
      <c r="G1105" s="4498" t="str">
        <f>Table5.B_2020!C12</f>
        <v>NE</v>
      </c>
      <c r="H1105" s="4354"/>
      <c r="I1105" s="4387" t="str">
        <f t="shared" si="76"/>
        <v>NO</v>
      </c>
      <c r="J1105" s="4387" t="str">
        <f t="shared" si="76"/>
        <v>NO</v>
      </c>
      <c r="K1105" s="4354"/>
      <c r="L1105" s="4354"/>
      <c r="M1105" s="4354"/>
    </row>
    <row r="1106" spans="1:13" ht="17.25" x14ac:dyDescent="0.25">
      <c r="A1106" s="4354"/>
      <c r="B1106" s="4818" t="s">
        <v>725</v>
      </c>
      <c r="C1106" s="5071"/>
      <c r="D1106" s="4810" t="str">
        <f t="shared" si="80"/>
        <v>NO,NE</v>
      </c>
      <c r="E1106" s="4810" t="str">
        <f>Table5.B_2018!C13</f>
        <v>NO,NE</v>
      </c>
      <c r="F1106" s="4811" t="str">
        <f>Table5.B_2019!C13</f>
        <v>NO,NE</v>
      </c>
      <c r="G1106" s="4685" t="str">
        <f>Table5.B_2020!C13</f>
        <v>NO,NE</v>
      </c>
      <c r="H1106" s="4354"/>
      <c r="I1106" s="4387" t="str">
        <f t="shared" si="76"/>
        <v>NO</v>
      </c>
      <c r="J1106" s="4387" t="str">
        <f t="shared" si="76"/>
        <v>NO</v>
      </c>
      <c r="K1106" s="4354"/>
      <c r="L1106" s="4354"/>
      <c r="M1106" s="4354"/>
    </row>
    <row r="1107" spans="1:13" x14ac:dyDescent="0.25">
      <c r="A1107" s="4354"/>
      <c r="B1107" s="4818" t="s">
        <v>724</v>
      </c>
      <c r="C1107" s="5071"/>
      <c r="D1107" s="4810" t="str">
        <f t="shared" si="80"/>
        <v>NO</v>
      </c>
      <c r="E1107" s="4810" t="str">
        <f>Table5.B_2018!C14</f>
        <v>NO</v>
      </c>
      <c r="F1107" s="4811" t="str">
        <f>Table5.B_2019!C14</f>
        <v>NO</v>
      </c>
      <c r="G1107" s="4685" t="str">
        <f>Table5.B_2020!C14</f>
        <v>NO</v>
      </c>
      <c r="H1107" s="4354"/>
      <c r="I1107" s="4387" t="str">
        <f t="shared" si="76"/>
        <v>NO</v>
      </c>
      <c r="J1107" s="4387" t="str">
        <f t="shared" si="76"/>
        <v>NO</v>
      </c>
      <c r="K1107" s="4354"/>
      <c r="L1107" s="4354"/>
      <c r="M1107" s="4354"/>
    </row>
    <row r="1108" spans="1:13" x14ac:dyDescent="0.25">
      <c r="A1108" s="4354"/>
      <c r="B1108" s="4818" t="s">
        <v>723</v>
      </c>
      <c r="C1108" s="5071"/>
      <c r="D1108" s="4810" t="str">
        <f t="shared" si="80"/>
        <v>NE</v>
      </c>
      <c r="E1108" s="4810" t="str">
        <f>Table5.B_2018!C15</f>
        <v>NE</v>
      </c>
      <c r="F1108" s="4811" t="str">
        <f>Table5.B_2019!C15</f>
        <v>NE</v>
      </c>
      <c r="G1108" s="4685" t="str">
        <f>Table5.B_2020!C15</f>
        <v>NE</v>
      </c>
      <c r="H1108" s="4354"/>
      <c r="I1108" s="4387" t="str">
        <f t="shared" si="76"/>
        <v>NO</v>
      </c>
      <c r="J1108" s="4387" t="str">
        <f t="shared" si="76"/>
        <v>NO</v>
      </c>
      <c r="K1108" s="4354"/>
      <c r="L1108" s="4354"/>
      <c r="M1108" s="4354"/>
    </row>
    <row r="1109" spans="1:13" ht="15.75" thickBot="1" x14ac:dyDescent="0.3">
      <c r="A1109" s="4354"/>
      <c r="B1109" s="4820" t="s">
        <v>722</v>
      </c>
      <c r="C1109" s="5072"/>
      <c r="D1109" s="4810" t="str">
        <f t="shared" si="80"/>
        <v>NE</v>
      </c>
      <c r="E1109" s="4810" t="str">
        <f>Table5.B_2018!C16</f>
        <v>NE</v>
      </c>
      <c r="F1109" s="4811" t="str">
        <f>Table5.B_2019!C16</f>
        <v>NE</v>
      </c>
      <c r="G1109" s="4685" t="str">
        <f>Table5.B_2020!C16</f>
        <v>NE</v>
      </c>
      <c r="H1109" s="4354"/>
      <c r="I1109" s="4387" t="str">
        <f t="shared" si="76"/>
        <v>NO</v>
      </c>
      <c r="J1109" s="4387" t="str">
        <f t="shared" si="76"/>
        <v>NO</v>
      </c>
      <c r="K1109" s="4354"/>
      <c r="L1109" s="4354"/>
      <c r="M1109" s="4354"/>
    </row>
    <row r="1110" spans="1:13" x14ac:dyDescent="0.25">
      <c r="A1110" s="4354"/>
      <c r="B1110" s="4817" t="s">
        <v>730</v>
      </c>
      <c r="C1110" s="5067" t="s">
        <v>733</v>
      </c>
      <c r="D1110" s="4757" t="str">
        <f t="shared" si="80"/>
        <v>NO</v>
      </c>
      <c r="E1110" s="4757" t="str">
        <f>Table5.B_2018!D9</f>
        <v>NO</v>
      </c>
      <c r="F1110" s="4541" t="str">
        <f>Table5.B_2019!D9</f>
        <v>NO</v>
      </c>
      <c r="G1110" s="4542" t="str">
        <f>Table5.B_2020!D9</f>
        <v>NO,NE</v>
      </c>
      <c r="H1110" s="4354"/>
      <c r="I1110" s="4387" t="str">
        <f t="shared" si="76"/>
        <v>NO</v>
      </c>
      <c r="J1110" s="4387" t="str">
        <f t="shared" si="76"/>
        <v>NO</v>
      </c>
      <c r="K1110" s="4354"/>
      <c r="L1110" s="4354"/>
      <c r="M1110" s="4354"/>
    </row>
    <row r="1111" spans="1:13" x14ac:dyDescent="0.25">
      <c r="A1111" s="4354"/>
      <c r="B1111" s="4818" t="s">
        <v>728</v>
      </c>
      <c r="C1111" s="5071"/>
      <c r="D1111" s="4779" t="str">
        <f t="shared" si="80"/>
        <v>NO</v>
      </c>
      <c r="E1111" s="4779" t="str">
        <f>Table5.B_2018!D10</f>
        <v>NO</v>
      </c>
      <c r="F1111" s="4544" t="str">
        <f>Table5.B_2019!D10</f>
        <v>NO</v>
      </c>
      <c r="G1111" s="4498" t="str">
        <f>Table5.B_2020!D10</f>
        <v>NO</v>
      </c>
      <c r="H1111" s="4354"/>
      <c r="I1111" s="4387" t="str">
        <f t="shared" si="76"/>
        <v>NO</v>
      </c>
      <c r="J1111" s="4387" t="str">
        <f t="shared" si="76"/>
        <v>NO</v>
      </c>
      <c r="K1111" s="4354"/>
      <c r="L1111" s="4354"/>
      <c r="M1111" s="4354"/>
    </row>
    <row r="1112" spans="1:13" x14ac:dyDescent="0.25">
      <c r="A1112" s="4354"/>
      <c r="B1112" s="4818" t="s">
        <v>727</v>
      </c>
      <c r="C1112" s="5071"/>
      <c r="D1112" s="4779" t="str">
        <f t="shared" si="80"/>
        <v>NO</v>
      </c>
      <c r="E1112" s="4779" t="str">
        <f>Table5.B_2018!D11</f>
        <v>NO</v>
      </c>
      <c r="F1112" s="4544" t="str">
        <f>Table5.B_2019!D11</f>
        <v>NO</v>
      </c>
      <c r="G1112" s="4498" t="str">
        <f>Table5.B_2020!D11</f>
        <v>NE</v>
      </c>
      <c r="H1112" s="4354"/>
      <c r="I1112" s="4387" t="str">
        <f t="shared" si="76"/>
        <v>NO</v>
      </c>
      <c r="J1112" s="4387" t="str">
        <f t="shared" si="76"/>
        <v>NO</v>
      </c>
      <c r="K1112" s="4354"/>
      <c r="L1112" s="4354"/>
      <c r="M1112" s="4354"/>
    </row>
    <row r="1113" spans="1:13" x14ac:dyDescent="0.25">
      <c r="A1113" s="4354"/>
      <c r="B1113" s="4819" t="s">
        <v>726</v>
      </c>
      <c r="C1113" s="5071"/>
      <c r="D1113" s="4779" t="str">
        <f t="shared" si="80"/>
        <v>NO</v>
      </c>
      <c r="E1113" s="4779" t="str">
        <f>Table5.B_2018!D12</f>
        <v>NO</v>
      </c>
      <c r="F1113" s="4544" t="str">
        <f>Table5.B_2019!D12</f>
        <v>NO</v>
      </c>
      <c r="G1113" s="4498" t="str">
        <f>Table5.B_2020!D12</f>
        <v>NE</v>
      </c>
      <c r="H1113" s="4354"/>
      <c r="I1113" s="4387" t="str">
        <f t="shared" si="76"/>
        <v>NO</v>
      </c>
      <c r="J1113" s="4387" t="str">
        <f t="shared" si="76"/>
        <v>NO</v>
      </c>
      <c r="K1113" s="4354"/>
      <c r="L1113" s="4354"/>
      <c r="M1113" s="4354"/>
    </row>
    <row r="1114" spans="1:13" ht="17.25" x14ac:dyDescent="0.25">
      <c r="A1114" s="4354"/>
      <c r="B1114" s="4818" t="s">
        <v>725</v>
      </c>
      <c r="C1114" s="5071"/>
      <c r="D1114" s="4810" t="str">
        <f t="shared" si="80"/>
        <v>NO,NA</v>
      </c>
      <c r="E1114" s="4810" t="str">
        <f>Table5.B_2018!D13</f>
        <v>NO,NA</v>
      </c>
      <c r="F1114" s="4811" t="str">
        <f>Table5.B_2019!D13</f>
        <v>NO,NA</v>
      </c>
      <c r="G1114" s="4685" t="str">
        <f>Table5.B_2020!D13</f>
        <v>NO,NA</v>
      </c>
      <c r="H1114" s="4354"/>
      <c r="I1114" s="4387" t="str">
        <f t="shared" si="76"/>
        <v>NO</v>
      </c>
      <c r="J1114" s="4387" t="str">
        <f t="shared" si="76"/>
        <v>NO</v>
      </c>
      <c r="K1114" s="4354"/>
      <c r="L1114" s="4354"/>
      <c r="M1114" s="4354"/>
    </row>
    <row r="1115" spans="1:13" x14ac:dyDescent="0.25">
      <c r="A1115" s="4354"/>
      <c r="B1115" s="4818" t="s">
        <v>724</v>
      </c>
      <c r="C1115" s="5071"/>
      <c r="D1115" s="4810" t="str">
        <f t="shared" si="80"/>
        <v>NO</v>
      </c>
      <c r="E1115" s="4810" t="str">
        <f>Table5.B_2018!D14</f>
        <v>NO</v>
      </c>
      <c r="F1115" s="4811" t="str">
        <f>Table5.B_2019!D14</f>
        <v>NO</v>
      </c>
      <c r="G1115" s="4685" t="str">
        <f>Table5.B_2020!D14</f>
        <v>NO</v>
      </c>
      <c r="H1115" s="4354"/>
      <c r="I1115" s="4387" t="str">
        <f t="shared" ref="I1115:J1178" si="81">IFERROR(ABS(F1115-E1115)/E1115,"NO")</f>
        <v>NO</v>
      </c>
      <c r="J1115" s="4387" t="str">
        <f t="shared" si="81"/>
        <v>NO</v>
      </c>
      <c r="K1115" s="4354"/>
      <c r="L1115" s="4354"/>
      <c r="M1115" s="4354"/>
    </row>
    <row r="1116" spans="1:13" x14ac:dyDescent="0.25">
      <c r="A1116" s="4354"/>
      <c r="B1116" s="4818" t="s">
        <v>723</v>
      </c>
      <c r="C1116" s="5071"/>
      <c r="D1116" s="4810" t="str">
        <f t="shared" si="80"/>
        <v>NA</v>
      </c>
      <c r="E1116" s="4810" t="str">
        <f>Table5.B_2018!D15</f>
        <v>NA</v>
      </c>
      <c r="F1116" s="4811" t="str">
        <f>Table5.B_2019!D15</f>
        <v>NA</v>
      </c>
      <c r="G1116" s="4685" t="str">
        <f>Table5.B_2020!D15</f>
        <v>NA</v>
      </c>
      <c r="H1116" s="4354"/>
      <c r="I1116" s="4387" t="str">
        <f t="shared" si="81"/>
        <v>NO</v>
      </c>
      <c r="J1116" s="4387" t="str">
        <f t="shared" si="81"/>
        <v>NO</v>
      </c>
      <c r="K1116" s="4354"/>
      <c r="L1116" s="4354"/>
      <c r="M1116" s="4354"/>
    </row>
    <row r="1117" spans="1:13" ht="15.75" thickBot="1" x14ac:dyDescent="0.3">
      <c r="A1117" s="4354"/>
      <c r="B1117" s="4820" t="s">
        <v>722</v>
      </c>
      <c r="C1117" s="5072"/>
      <c r="D1117" s="4763" t="str">
        <f t="shared" si="80"/>
        <v>NA</v>
      </c>
      <c r="E1117" s="4763" t="str">
        <f>Table5.B_2018!D16</f>
        <v>NA</v>
      </c>
      <c r="F1117" s="4513" t="str">
        <f>Table5.B_2019!D16</f>
        <v>NA</v>
      </c>
      <c r="G1117" s="4514" t="str">
        <f>Table5.B_2020!D16</f>
        <v>NA</v>
      </c>
      <c r="H1117" s="4354"/>
      <c r="I1117" s="4387" t="str">
        <f t="shared" si="81"/>
        <v>NO</v>
      </c>
      <c r="J1117" s="4387" t="str">
        <f t="shared" si="81"/>
        <v>NO</v>
      </c>
      <c r="K1117" s="4354"/>
      <c r="L1117" s="4354"/>
      <c r="M1117" s="4354"/>
    </row>
    <row r="1118" spans="1:13" ht="15.75" thickBot="1" x14ac:dyDescent="0.3">
      <c r="A1118" s="4354"/>
      <c r="B1118" s="5081"/>
      <c r="C1118" s="5082"/>
      <c r="D1118" s="4812" t="str">
        <f t="shared" si="80"/>
        <v>kton/år</v>
      </c>
      <c r="E1118" s="4787" t="s">
        <v>732</v>
      </c>
      <c r="F1118" s="4788" t="s">
        <v>732</v>
      </c>
      <c r="G1118" s="4789" t="s">
        <v>732</v>
      </c>
      <c r="H1118" s="4354"/>
      <c r="I1118" s="4387" t="str">
        <f t="shared" si="81"/>
        <v>NO</v>
      </c>
      <c r="J1118" s="4387" t="str">
        <f t="shared" si="81"/>
        <v>NO</v>
      </c>
      <c r="K1118" s="4354"/>
      <c r="L1118" s="4354"/>
      <c r="M1118" s="4354"/>
    </row>
    <row r="1119" spans="1:13" x14ac:dyDescent="0.25">
      <c r="A1119" s="4354"/>
      <c r="B1119" s="4817" t="s">
        <v>730</v>
      </c>
      <c r="C1119" s="5067" t="s">
        <v>731</v>
      </c>
      <c r="D1119" s="4807">
        <f t="shared" si="80"/>
        <v>4.2720944004752202</v>
      </c>
      <c r="E1119" s="4807">
        <f>Table5.B_2018!E9</f>
        <v>4.2720944004752202</v>
      </c>
      <c r="F1119" s="4808">
        <f>Table5.B_2019!E9</f>
        <v>3.4574373999999999</v>
      </c>
      <c r="G1119" s="4809">
        <f>Table5.B_2020!E9</f>
        <v>3.4055787999999998</v>
      </c>
      <c r="H1119" s="4354"/>
      <c r="I1119" s="4387">
        <f t="shared" si="81"/>
        <v>0.19069264957829568</v>
      </c>
      <c r="J1119" s="4387">
        <f t="shared" si="81"/>
        <v>1.4999143585361831E-2</v>
      </c>
      <c r="K1119" s="4354"/>
      <c r="L1119" s="4354"/>
      <c r="M1119" s="4354"/>
    </row>
    <row r="1120" spans="1:13" x14ac:dyDescent="0.25">
      <c r="A1120" s="4354"/>
      <c r="B1120" s="4818" t="s">
        <v>728</v>
      </c>
      <c r="C1120" s="5071"/>
      <c r="D1120" s="4779" t="str">
        <f t="shared" si="80"/>
        <v>NO</v>
      </c>
      <c r="E1120" s="4779" t="str">
        <f>Table5.B_2018!E10</f>
        <v>NO</v>
      </c>
      <c r="F1120" s="4544" t="str">
        <f>Table5.B_2019!E10</f>
        <v>NO</v>
      </c>
      <c r="G1120" s="4498" t="str">
        <f>Table5.B_2020!E10</f>
        <v>NO</v>
      </c>
      <c r="H1120" s="4354"/>
      <c r="I1120" s="4387" t="str">
        <f t="shared" si="81"/>
        <v>NO</v>
      </c>
      <c r="J1120" s="4387" t="str">
        <f t="shared" si="81"/>
        <v>NO</v>
      </c>
      <c r="K1120" s="4354"/>
      <c r="L1120" s="4354"/>
      <c r="M1120" s="4354"/>
    </row>
    <row r="1121" spans="1:13" x14ac:dyDescent="0.25">
      <c r="A1121" s="4354"/>
      <c r="B1121" s="4818" t="s">
        <v>727</v>
      </c>
      <c r="C1121" s="5071"/>
      <c r="D1121" s="4779">
        <f t="shared" si="80"/>
        <v>4.2720944004752202</v>
      </c>
      <c r="E1121" s="4779">
        <f>Table5.B_2018!E11</f>
        <v>4.2720944004752202</v>
      </c>
      <c r="F1121" s="4544">
        <f>Table5.B_2019!E11</f>
        <v>3.4574373999999999</v>
      </c>
      <c r="G1121" s="4498">
        <f>Table5.B_2020!E11</f>
        <v>3.4055787999999998</v>
      </c>
      <c r="H1121" s="4354"/>
      <c r="I1121" s="4387">
        <f t="shared" si="81"/>
        <v>0.19069264957829568</v>
      </c>
      <c r="J1121" s="4387">
        <f t="shared" si="81"/>
        <v>1.4999143585361831E-2</v>
      </c>
      <c r="K1121" s="4354"/>
      <c r="L1121" s="4354"/>
      <c r="M1121" s="4354"/>
    </row>
    <row r="1122" spans="1:13" x14ac:dyDescent="0.25">
      <c r="A1122" s="4354"/>
      <c r="B1122" s="4819" t="s">
        <v>726</v>
      </c>
      <c r="C1122" s="5071"/>
      <c r="D1122" s="4779">
        <f t="shared" si="80"/>
        <v>4.2720944004752202</v>
      </c>
      <c r="E1122" s="4779">
        <f>Table5.B_2018!E12</f>
        <v>4.2720944004752202</v>
      </c>
      <c r="F1122" s="4544">
        <f>Table5.B_2019!E12</f>
        <v>3.4574373999999999</v>
      </c>
      <c r="G1122" s="4498">
        <f>Table5.B_2020!E12</f>
        <v>3.4055787999999998</v>
      </c>
      <c r="H1122" s="4354"/>
      <c r="I1122" s="4387">
        <f t="shared" si="81"/>
        <v>0.19069264957829568</v>
      </c>
      <c r="J1122" s="4387">
        <f t="shared" si="81"/>
        <v>1.4999143585361831E-2</v>
      </c>
      <c r="K1122" s="4354"/>
      <c r="L1122" s="4354"/>
      <c r="M1122" s="4354"/>
    </row>
    <row r="1123" spans="1:13" ht="17.25" x14ac:dyDescent="0.25">
      <c r="A1123" s="4354"/>
      <c r="B1123" s="4818" t="s">
        <v>725</v>
      </c>
      <c r="C1123" s="5071"/>
      <c r="D1123" s="4810">
        <f t="shared" si="80"/>
        <v>10.083260693753401</v>
      </c>
      <c r="E1123" s="4810">
        <f>Table5.B_2018!E13</f>
        <v>10.083260693753401</v>
      </c>
      <c r="F1123" s="4811">
        <f>Table5.B_2019!E13</f>
        <v>12.8333254019214</v>
      </c>
      <c r="G1123" s="4685">
        <f>Table5.B_2020!E13</f>
        <v>11.56339272</v>
      </c>
      <c r="H1123" s="4354"/>
      <c r="I1123" s="4387">
        <f t="shared" si="81"/>
        <v>0.27273565483352713</v>
      </c>
      <c r="J1123" s="4387">
        <f t="shared" si="81"/>
        <v>9.8955854554367201E-2</v>
      </c>
      <c r="K1123" s="4354"/>
      <c r="L1123" s="4354"/>
      <c r="M1123" s="4354"/>
    </row>
    <row r="1124" spans="1:13" x14ac:dyDescent="0.25">
      <c r="A1124" s="4354"/>
      <c r="B1124" s="4818" t="s">
        <v>724</v>
      </c>
      <c r="C1124" s="5071"/>
      <c r="D1124" s="4810" t="str">
        <f t="shared" si="80"/>
        <v>NO</v>
      </c>
      <c r="E1124" s="4810" t="str">
        <f>Table5.B_2018!E14</f>
        <v>NO</v>
      </c>
      <c r="F1124" s="4811" t="str">
        <f>Table5.B_2019!E14</f>
        <v>NO</v>
      </c>
      <c r="G1124" s="4685" t="str">
        <f>Table5.B_2020!E14</f>
        <v>NO</v>
      </c>
      <c r="H1124" s="4354"/>
      <c r="I1124" s="4387" t="str">
        <f t="shared" si="81"/>
        <v>NO</v>
      </c>
      <c r="J1124" s="4387" t="str">
        <f t="shared" si="81"/>
        <v>NO</v>
      </c>
      <c r="K1124" s="4354"/>
      <c r="L1124" s="4354"/>
      <c r="M1124" s="4354"/>
    </row>
    <row r="1125" spans="1:13" x14ac:dyDescent="0.25">
      <c r="A1125" s="4354"/>
      <c r="B1125" s="4818" t="s">
        <v>723</v>
      </c>
      <c r="C1125" s="5071"/>
      <c r="D1125" s="4810">
        <f t="shared" si="80"/>
        <v>10.083260693753401</v>
      </c>
      <c r="E1125" s="4810">
        <f>Table5.B_2018!E15</f>
        <v>10.083260693753401</v>
      </c>
      <c r="F1125" s="4811">
        <f>Table5.B_2019!E15</f>
        <v>12.8333254019214</v>
      </c>
      <c r="G1125" s="4685">
        <f>Table5.B_2020!E15</f>
        <v>11.56339272</v>
      </c>
      <c r="H1125" s="4354"/>
      <c r="I1125" s="4387">
        <f t="shared" si="81"/>
        <v>0.27273565483352713</v>
      </c>
      <c r="J1125" s="4387">
        <f t="shared" si="81"/>
        <v>9.8955854554367201E-2</v>
      </c>
      <c r="K1125" s="4354"/>
      <c r="L1125" s="4354"/>
      <c r="M1125" s="4354"/>
    </row>
    <row r="1126" spans="1:13" ht="15.75" thickBot="1" x14ac:dyDescent="0.3">
      <c r="A1126" s="4354"/>
      <c r="B1126" s="4820" t="s">
        <v>722</v>
      </c>
      <c r="C1126" s="5072"/>
      <c r="D1126" s="4810">
        <f t="shared" si="80"/>
        <v>10.083260693753401</v>
      </c>
      <c r="E1126" s="4810">
        <f>Table5.B_2018!E16</f>
        <v>10.083260693753401</v>
      </c>
      <c r="F1126" s="4811">
        <f>Table5.B_2019!E16</f>
        <v>12.8333254019214</v>
      </c>
      <c r="G1126" s="4685">
        <f>Table5.B_2020!E16</f>
        <v>11.56339272</v>
      </c>
      <c r="H1126" s="4354"/>
      <c r="I1126" s="4387">
        <f t="shared" si="81"/>
        <v>0.27273565483352713</v>
      </c>
      <c r="J1126" s="4387">
        <f t="shared" si="81"/>
        <v>9.8955854554367201E-2</v>
      </c>
      <c r="K1126" s="4354"/>
      <c r="L1126" s="4354"/>
      <c r="M1126" s="4354"/>
    </row>
    <row r="1127" spans="1:13" x14ac:dyDescent="0.25">
      <c r="A1127" s="4354"/>
      <c r="B1127" s="4817" t="s">
        <v>730</v>
      </c>
      <c r="C1127" s="5067" t="s">
        <v>729</v>
      </c>
      <c r="D1127" s="4757">
        <f t="shared" si="80"/>
        <v>0.28018111305512999</v>
      </c>
      <c r="E1127" s="4757">
        <f>Table5.B_2018!H9</f>
        <v>0.28018111305512999</v>
      </c>
      <c r="F1127" s="4541">
        <f>Table5.B_2019!H9</f>
        <v>0.2493351</v>
      </c>
      <c r="G1127" s="4542">
        <f>Table5.B_2020!H9</f>
        <v>0.2444818</v>
      </c>
      <c r="H1127" s="4354"/>
      <c r="I1127" s="4387">
        <f t="shared" si="81"/>
        <v>0.11009312054899488</v>
      </c>
      <c r="J1127" s="4387">
        <f t="shared" si="81"/>
        <v>1.946496903163656E-2</v>
      </c>
      <c r="K1127" s="4354"/>
      <c r="L1127" s="4354"/>
      <c r="M1127" s="4354"/>
    </row>
    <row r="1128" spans="1:13" x14ac:dyDescent="0.25">
      <c r="A1128" s="4354"/>
      <c r="B1128" s="4818" t="s">
        <v>728</v>
      </c>
      <c r="C1128" s="5071"/>
      <c r="D1128" s="4779" t="str">
        <f t="shared" si="80"/>
        <v>NO</v>
      </c>
      <c r="E1128" s="4779" t="str">
        <f>Table5.B_2018!H10</f>
        <v>NO</v>
      </c>
      <c r="F1128" s="4544" t="str">
        <f>Table5.B_2019!H10</f>
        <v>NO</v>
      </c>
      <c r="G1128" s="4498" t="str">
        <f>Table5.B_2020!H10</f>
        <v>NO</v>
      </c>
      <c r="H1128" s="4354"/>
      <c r="I1128" s="4387" t="str">
        <f t="shared" si="81"/>
        <v>NO</v>
      </c>
      <c r="J1128" s="4387" t="str">
        <f t="shared" si="81"/>
        <v>NO</v>
      </c>
      <c r="K1128" s="4354"/>
      <c r="L1128" s="4354"/>
      <c r="M1128" s="4354"/>
    </row>
    <row r="1129" spans="1:13" x14ac:dyDescent="0.25">
      <c r="A1129" s="4354"/>
      <c r="B1129" s="4818" t="s">
        <v>727</v>
      </c>
      <c r="C1129" s="5071"/>
      <c r="D1129" s="4779">
        <f t="shared" si="80"/>
        <v>0.28018111305512999</v>
      </c>
      <c r="E1129" s="4779">
        <f>Table5.B_2018!H11</f>
        <v>0.28018111305512999</v>
      </c>
      <c r="F1129" s="4544">
        <f>Table5.B_2019!H11</f>
        <v>0.2493351</v>
      </c>
      <c r="G1129" s="4498">
        <f>Table5.B_2020!H11</f>
        <v>0.2444818</v>
      </c>
      <c r="H1129" s="4354"/>
      <c r="I1129" s="4387">
        <f t="shared" si="81"/>
        <v>0.11009312054899488</v>
      </c>
      <c r="J1129" s="4387">
        <f t="shared" si="81"/>
        <v>1.946496903163656E-2</v>
      </c>
      <c r="K1129" s="4354"/>
      <c r="L1129" s="4354"/>
      <c r="M1129" s="4354"/>
    </row>
    <row r="1130" spans="1:13" x14ac:dyDescent="0.25">
      <c r="A1130" s="4354"/>
      <c r="B1130" s="4819" t="s">
        <v>726</v>
      </c>
      <c r="C1130" s="5071"/>
      <c r="D1130" s="4779">
        <f t="shared" si="80"/>
        <v>0.28018111305512999</v>
      </c>
      <c r="E1130" s="4779">
        <f>Table5.B_2018!H12</f>
        <v>0.28018111305512999</v>
      </c>
      <c r="F1130" s="4544">
        <f>Table5.B_2019!H12</f>
        <v>0.2493351</v>
      </c>
      <c r="G1130" s="4498">
        <f>Table5.B_2020!H12</f>
        <v>0.2444818</v>
      </c>
      <c r="H1130" s="4354"/>
      <c r="I1130" s="4387">
        <f t="shared" si="81"/>
        <v>0.11009312054899488</v>
      </c>
      <c r="J1130" s="4387">
        <f t="shared" si="81"/>
        <v>1.946496903163656E-2</v>
      </c>
      <c r="K1130" s="4354"/>
      <c r="L1130" s="4354"/>
      <c r="M1130" s="4354"/>
    </row>
    <row r="1131" spans="1:13" ht="17.25" x14ac:dyDescent="0.25">
      <c r="A1131" s="4354"/>
      <c r="B1131" s="4818" t="s">
        <v>725</v>
      </c>
      <c r="C1131" s="5071"/>
      <c r="D1131" s="4810" t="str">
        <f t="shared" si="80"/>
        <v>NO,NA</v>
      </c>
      <c r="E1131" s="4810" t="str">
        <f>Table5.B_2018!H13</f>
        <v>NO,NA</v>
      </c>
      <c r="F1131" s="4811" t="str">
        <f>Table5.B_2019!H13</f>
        <v>NO,NA</v>
      </c>
      <c r="G1131" s="4685" t="str">
        <f>Table5.B_2020!H13</f>
        <v>NO,NA</v>
      </c>
      <c r="H1131" s="4354"/>
      <c r="I1131" s="4387" t="str">
        <f t="shared" si="81"/>
        <v>NO</v>
      </c>
      <c r="J1131" s="4387" t="str">
        <f t="shared" si="81"/>
        <v>NO</v>
      </c>
      <c r="K1131" s="4354"/>
      <c r="L1131" s="4354"/>
      <c r="M1131" s="4354"/>
    </row>
    <row r="1132" spans="1:13" x14ac:dyDescent="0.25">
      <c r="A1132" s="4354"/>
      <c r="B1132" s="4818" t="s">
        <v>724</v>
      </c>
      <c r="C1132" s="5071"/>
      <c r="D1132" s="4810" t="str">
        <f t="shared" si="80"/>
        <v>NO</v>
      </c>
      <c r="E1132" s="4810" t="str">
        <f>Table5.B_2018!H14</f>
        <v>NO</v>
      </c>
      <c r="F1132" s="4811" t="str">
        <f>Table5.B_2019!H14</f>
        <v>NO</v>
      </c>
      <c r="G1132" s="4685" t="str">
        <f>Table5.B_2020!H14</f>
        <v>NO</v>
      </c>
      <c r="H1132" s="4354"/>
      <c r="I1132" s="4387" t="str">
        <f t="shared" si="81"/>
        <v>NO</v>
      </c>
      <c r="J1132" s="4387" t="str">
        <f t="shared" si="81"/>
        <v>NO</v>
      </c>
      <c r="K1132" s="4354"/>
      <c r="L1132" s="4354"/>
      <c r="M1132" s="4354"/>
    </row>
    <row r="1133" spans="1:13" x14ac:dyDescent="0.25">
      <c r="A1133" s="4354"/>
      <c r="B1133" s="4818" t="s">
        <v>723</v>
      </c>
      <c r="C1133" s="5071"/>
      <c r="D1133" s="4810" t="str">
        <f t="shared" ref="D1133:D1196" si="82">IF($D$3=$E$3,E1133,IF($D$3=$F$3,F1133,IF($D$3=$G$3,G1133,"-")))</f>
        <v>NA</v>
      </c>
      <c r="E1133" s="4810" t="str">
        <f>Table5.B_2018!H15</f>
        <v>NA</v>
      </c>
      <c r="F1133" s="4811" t="str">
        <f>Table5.B_2019!H15</f>
        <v>NA</v>
      </c>
      <c r="G1133" s="4685" t="str">
        <f>Table5.B_2020!H15</f>
        <v>NA</v>
      </c>
      <c r="H1133" s="4354"/>
      <c r="I1133" s="4387" t="str">
        <f t="shared" si="81"/>
        <v>NO</v>
      </c>
      <c r="J1133" s="4387" t="str">
        <f t="shared" si="81"/>
        <v>NO</v>
      </c>
      <c r="K1133" s="4354"/>
      <c r="L1133" s="4354"/>
      <c r="M1133" s="4354"/>
    </row>
    <row r="1134" spans="1:13" ht="15.75" thickBot="1" x14ac:dyDescent="0.3">
      <c r="A1134" s="4354"/>
      <c r="B1134" s="4820" t="s">
        <v>722</v>
      </c>
      <c r="C1134" s="5072"/>
      <c r="D1134" s="4763" t="str">
        <f t="shared" si="82"/>
        <v>NA</v>
      </c>
      <c r="E1134" s="4763" t="str">
        <f>Table5.B_2018!H16</f>
        <v>NA</v>
      </c>
      <c r="F1134" s="4513" t="str">
        <f>Table5.B_2019!H16</f>
        <v>NA</v>
      </c>
      <c r="G1134" s="4514" t="str">
        <f>Table5.B_2020!H16</f>
        <v>NA</v>
      </c>
      <c r="H1134" s="4354"/>
      <c r="I1134" s="4387" t="str">
        <f t="shared" si="81"/>
        <v>NO</v>
      </c>
      <c r="J1134" s="4387" t="str">
        <f t="shared" si="81"/>
        <v>NO</v>
      </c>
      <c r="K1134" s="4354"/>
      <c r="L1134" s="4354"/>
      <c r="M1134" s="4354"/>
    </row>
    <row r="1135" spans="1:13" x14ac:dyDescent="0.25">
      <c r="A1135" s="4354"/>
      <c r="B1135" s="4354"/>
      <c r="C1135" s="4354"/>
      <c r="D1135" s="4504">
        <f t="shared" si="82"/>
        <v>0</v>
      </c>
      <c r="E1135" s="4821"/>
      <c r="F1135" s="4354"/>
      <c r="G1135" s="4354"/>
      <c r="H1135" s="4354"/>
      <c r="I1135" s="4387" t="str">
        <f t="shared" si="81"/>
        <v>NO</v>
      </c>
      <c r="J1135" s="4387" t="str">
        <f t="shared" si="81"/>
        <v>NO</v>
      </c>
      <c r="K1135" s="4354"/>
      <c r="L1135" s="4354"/>
      <c r="M1135" s="4354"/>
    </row>
    <row r="1136" spans="1:13" ht="14.45" customHeight="1" x14ac:dyDescent="0.25">
      <c r="A1136" s="4354"/>
      <c r="B1136" s="4402" t="s">
        <v>651</v>
      </c>
      <c r="C1136" s="4354"/>
      <c r="D1136" s="4816" t="str">
        <f t="shared" si="82"/>
        <v xml:space="preserve"> NIR 2020(2018) CRF tabel 5.B</v>
      </c>
      <c r="E1136" s="4481" t="s">
        <v>5295</v>
      </c>
      <c r="F1136" s="4481" t="s">
        <v>5296</v>
      </c>
      <c r="G1136" s="4481" t="s">
        <v>5297</v>
      </c>
      <c r="H1136" s="4354"/>
      <c r="I1136" s="4387" t="str">
        <f t="shared" si="81"/>
        <v>NO</v>
      </c>
      <c r="J1136" s="4387" t="str">
        <f t="shared" si="81"/>
        <v>NO</v>
      </c>
      <c r="K1136" s="4354"/>
      <c r="L1136" s="4354"/>
      <c r="M1136" s="4354"/>
    </row>
    <row r="1137" spans="1:13" ht="15.75" thickBot="1" x14ac:dyDescent="0.3">
      <c r="A1137" s="4354"/>
      <c r="B1137" s="4354"/>
      <c r="C1137" s="4354"/>
      <c r="D1137" s="4504">
        <f t="shared" si="82"/>
        <v>0</v>
      </c>
      <c r="E1137" s="4356"/>
      <c r="F1137" s="4354"/>
      <c r="G1137" s="4354"/>
      <c r="H1137" s="4354"/>
      <c r="I1137" s="4387" t="str">
        <f t="shared" si="81"/>
        <v>NO</v>
      </c>
      <c r="J1137" s="4387" t="str">
        <f t="shared" si="81"/>
        <v>NO</v>
      </c>
      <c r="K1137" s="4354"/>
      <c r="L1137" s="4354"/>
      <c r="M1137" s="4354"/>
    </row>
    <row r="1138" spans="1:13" ht="15.75" thickBot="1" x14ac:dyDescent="0.3">
      <c r="A1138" s="4354"/>
      <c r="B1138" s="5086" t="s">
        <v>721</v>
      </c>
      <c r="C1138" s="5087"/>
      <c r="D1138" s="4822" t="str">
        <f t="shared" si="82"/>
        <v>kton/år (våd vægt)</v>
      </c>
      <c r="E1138" s="4787" t="s">
        <v>720</v>
      </c>
      <c r="F1138" s="4788" t="s">
        <v>720</v>
      </c>
      <c r="G1138" s="4789" t="s">
        <v>720</v>
      </c>
      <c r="H1138" s="4354"/>
      <c r="I1138" s="4387" t="str">
        <f t="shared" si="81"/>
        <v>NO</v>
      </c>
      <c r="J1138" s="4387" t="str">
        <f t="shared" si="81"/>
        <v>NO</v>
      </c>
      <c r="K1138" s="4354"/>
      <c r="L1138" s="4354"/>
      <c r="M1138" s="4354"/>
    </row>
    <row r="1139" spans="1:13" x14ac:dyDescent="0.25">
      <c r="A1139" s="4354"/>
      <c r="B1139" s="4817" t="s">
        <v>714</v>
      </c>
      <c r="C1139" s="5083" t="s">
        <v>310</v>
      </c>
      <c r="D1139" s="4807">
        <f t="shared" si="82"/>
        <v>1.169</v>
      </c>
      <c r="E1139" s="4807">
        <f>Table5.C_2018!B9</f>
        <v>1.169</v>
      </c>
      <c r="F1139" s="4808">
        <f>Table5.C_2019!B9</f>
        <v>1.131</v>
      </c>
      <c r="G1139" s="4809">
        <f>Table5.C_2020!B9</f>
        <v>0.995</v>
      </c>
      <c r="H1139" s="4354"/>
      <c r="I1139" s="4387">
        <f t="shared" si="81"/>
        <v>3.2506415739948703E-2</v>
      </c>
      <c r="J1139" s="4387">
        <f t="shared" si="81"/>
        <v>0.1202475685234306</v>
      </c>
      <c r="K1139" s="4354"/>
      <c r="L1139" s="4354"/>
      <c r="M1139" s="4354"/>
    </row>
    <row r="1140" spans="1:13" ht="17.25" x14ac:dyDescent="0.25">
      <c r="A1140" s="4354"/>
      <c r="B1140" s="4818" t="s">
        <v>712</v>
      </c>
      <c r="C1140" s="5084"/>
      <c r="D1140" s="4779">
        <f t="shared" si="82"/>
        <v>1.169</v>
      </c>
      <c r="E1140" s="4760">
        <f>Table5.C_2018!B10</f>
        <v>1.169</v>
      </c>
      <c r="F1140" s="4544">
        <f>Table5.C_2019!B10</f>
        <v>1.131</v>
      </c>
      <c r="G1140" s="4498">
        <f>Table5.C_2020!B10</f>
        <v>0.995</v>
      </c>
      <c r="H1140" s="4354"/>
      <c r="I1140" s="4387">
        <f t="shared" si="81"/>
        <v>3.2506415739948703E-2</v>
      </c>
      <c r="J1140" s="4387">
        <f t="shared" si="81"/>
        <v>0.1202475685234306</v>
      </c>
      <c r="K1140" s="4354"/>
      <c r="L1140" s="4354"/>
      <c r="M1140" s="4354"/>
    </row>
    <row r="1141" spans="1:13" x14ac:dyDescent="0.25">
      <c r="A1141" s="4354"/>
      <c r="B1141" s="4819" t="s">
        <v>709</v>
      </c>
      <c r="C1141" s="5084"/>
      <c r="D1141" s="4779" t="str">
        <f t="shared" si="82"/>
        <v>NO</v>
      </c>
      <c r="E1141" s="4760" t="str">
        <f>Table5.C_2018!B11</f>
        <v>NO</v>
      </c>
      <c r="F1141" s="4544" t="str">
        <f>Table5.C_2019!B11</f>
        <v>NO</v>
      </c>
      <c r="G1141" s="4498" t="str">
        <f>Table5.C_2020!B11</f>
        <v>NO</v>
      </c>
      <c r="H1141" s="4354"/>
      <c r="I1141" s="4387" t="str">
        <f t="shared" si="81"/>
        <v>NO</v>
      </c>
      <c r="J1141" s="4387" t="str">
        <f t="shared" si="81"/>
        <v>NO</v>
      </c>
      <c r="K1141" s="4354"/>
      <c r="L1141" s="4354"/>
      <c r="M1141" s="4354"/>
    </row>
    <row r="1142" spans="1:13" x14ac:dyDescent="0.25">
      <c r="A1142" s="4354"/>
      <c r="B1142" s="4819" t="s">
        <v>662</v>
      </c>
      <c r="C1142" s="5084"/>
      <c r="D1142" s="4779">
        <f t="shared" si="82"/>
        <v>1.169</v>
      </c>
      <c r="E1142" s="4760">
        <f>Table5.C_2018!B13</f>
        <v>1.169</v>
      </c>
      <c r="F1142" s="4544">
        <f>Table5.C_2019!B13</f>
        <v>1.131</v>
      </c>
      <c r="G1142" s="4498">
        <f>Table5.C_2020!B13</f>
        <v>0.995</v>
      </c>
      <c r="H1142" s="4354"/>
      <c r="I1142" s="4387">
        <f t="shared" si="81"/>
        <v>3.2506415739948703E-2</v>
      </c>
      <c r="J1142" s="4387">
        <f t="shared" si="81"/>
        <v>0.1202475685234306</v>
      </c>
      <c r="K1142" s="4354"/>
      <c r="L1142" s="4354"/>
      <c r="M1142" s="4354"/>
    </row>
    <row r="1143" spans="1:13" x14ac:dyDescent="0.25">
      <c r="A1143" s="4354"/>
      <c r="B1143" s="4823" t="s">
        <v>711</v>
      </c>
      <c r="C1143" s="5084"/>
      <c r="D1143" s="4810">
        <f t="shared" si="82"/>
        <v>1.169</v>
      </c>
      <c r="E1143" s="4824">
        <f>Table5.C_2018!B14</f>
        <v>1.169</v>
      </c>
      <c r="F1143" s="4811">
        <f>Table5.C_2019!B14</f>
        <v>1.131</v>
      </c>
      <c r="G1143" s="4685">
        <f>Table5.C_2020!B14</f>
        <v>0.995</v>
      </c>
      <c r="H1143" s="4354"/>
      <c r="I1143" s="4387">
        <f t="shared" si="81"/>
        <v>3.2506415739948703E-2</v>
      </c>
      <c r="J1143" s="4387">
        <f t="shared" si="81"/>
        <v>0.1202475685234306</v>
      </c>
      <c r="K1143" s="4354"/>
      <c r="L1143" s="4354"/>
      <c r="M1143" s="4354"/>
    </row>
    <row r="1144" spans="1:13" x14ac:dyDescent="0.25">
      <c r="A1144" s="4354"/>
      <c r="B1144" s="4823" t="s">
        <v>710</v>
      </c>
      <c r="C1144" s="5084"/>
      <c r="D1144" s="4810" t="str">
        <f t="shared" si="82"/>
        <v>NO</v>
      </c>
      <c r="E1144" s="4824" t="str">
        <f>Table5.C_2018!B15</f>
        <v>NO</v>
      </c>
      <c r="F1144" s="4811" t="str">
        <f>Table5.C_2019!B15</f>
        <v>NO</v>
      </c>
      <c r="G1144" s="4685" t="str">
        <f>Table5.C_2020!B15</f>
        <v>NE</v>
      </c>
      <c r="H1144" s="4354"/>
      <c r="I1144" s="4387" t="str">
        <f t="shared" si="81"/>
        <v>NO</v>
      </c>
      <c r="J1144" s="4387" t="str">
        <f t="shared" si="81"/>
        <v>NO</v>
      </c>
      <c r="K1144" s="4354"/>
      <c r="L1144" s="4354"/>
      <c r="M1144" s="4354"/>
    </row>
    <row r="1145" spans="1:13" x14ac:dyDescent="0.25">
      <c r="A1145" s="4354"/>
      <c r="B1145" s="4818" t="s">
        <v>705</v>
      </c>
      <c r="C1145" s="5084"/>
      <c r="D1145" s="4810" t="str">
        <f t="shared" si="82"/>
        <v>NO</v>
      </c>
      <c r="E1145" s="4824" t="str">
        <f>Table5.C_2018!B16</f>
        <v>NO</v>
      </c>
      <c r="F1145" s="4811" t="str">
        <f>Table5.C_2019!B16</f>
        <v>NO</v>
      </c>
      <c r="G1145" s="4685" t="str">
        <f>Table5.C_2020!B16</f>
        <v>NO</v>
      </c>
      <c r="H1145" s="4354"/>
      <c r="I1145" s="4387" t="str">
        <f t="shared" si="81"/>
        <v>NO</v>
      </c>
      <c r="J1145" s="4387" t="str">
        <f t="shared" si="81"/>
        <v>NO</v>
      </c>
      <c r="K1145" s="4354"/>
      <c r="L1145" s="4354"/>
      <c r="M1145" s="4354"/>
    </row>
    <row r="1146" spans="1:13" x14ac:dyDescent="0.25">
      <c r="A1146" s="4354"/>
      <c r="B1146" s="4825" t="s">
        <v>709</v>
      </c>
      <c r="C1146" s="5084"/>
      <c r="D1146" s="4810" t="str">
        <f t="shared" si="82"/>
        <v>NO</v>
      </c>
      <c r="E1146" s="4824" t="str">
        <f>Table5.C_2018!B17</f>
        <v>NO</v>
      </c>
      <c r="F1146" s="4811" t="str">
        <f>Table5.C_2019!B17</f>
        <v>NO</v>
      </c>
      <c r="G1146" s="4685" t="str">
        <f>Table5.C_2020!B17</f>
        <v>NO</v>
      </c>
      <c r="H1146" s="4354"/>
      <c r="I1146" s="4387" t="str">
        <f t="shared" si="81"/>
        <v>NO</v>
      </c>
      <c r="J1146" s="4387" t="str">
        <f t="shared" si="81"/>
        <v>NO</v>
      </c>
      <c r="K1146" s="4354"/>
      <c r="L1146" s="4354"/>
      <c r="M1146" s="4354"/>
    </row>
    <row r="1147" spans="1:13" x14ac:dyDescent="0.25">
      <c r="A1147" s="4354"/>
      <c r="B1147" s="4825" t="s">
        <v>483</v>
      </c>
      <c r="C1147" s="5084"/>
      <c r="D1147" s="4810" t="str">
        <f t="shared" si="82"/>
        <v>NO</v>
      </c>
      <c r="E1147" s="4824" t="str">
        <f>Table5.C_2018!B18</f>
        <v>NO</v>
      </c>
      <c r="F1147" s="4811" t="str">
        <f>Table5.C_2019!B18</f>
        <v>NO</v>
      </c>
      <c r="G1147" s="4685" t="str">
        <f>Table5.C_2020!B18</f>
        <v>NO</v>
      </c>
      <c r="H1147" s="4354"/>
      <c r="I1147" s="4387" t="str">
        <f t="shared" si="81"/>
        <v>NO</v>
      </c>
      <c r="J1147" s="4387" t="str">
        <f t="shared" si="81"/>
        <v>NO</v>
      </c>
      <c r="K1147" s="4354"/>
      <c r="L1147" s="4354"/>
      <c r="M1147" s="4354"/>
    </row>
    <row r="1148" spans="1:13" x14ac:dyDescent="0.25">
      <c r="A1148" s="4354"/>
      <c r="B1148" s="4818" t="s">
        <v>708</v>
      </c>
      <c r="C1148" s="5084"/>
      <c r="D1148" s="4810" t="str">
        <f t="shared" si="82"/>
        <v>NO</v>
      </c>
      <c r="E1148" s="4824" t="str">
        <f>Table5.C_2018!B19</f>
        <v>NO</v>
      </c>
      <c r="F1148" s="4811" t="str">
        <f>Table5.C_2019!B19</f>
        <v>NO</v>
      </c>
      <c r="G1148" s="4685" t="str">
        <f>Table5.C_2020!B19</f>
        <v>NO</v>
      </c>
      <c r="H1148" s="4354"/>
      <c r="I1148" s="4387" t="str">
        <f t="shared" si="81"/>
        <v>NO</v>
      </c>
      <c r="J1148" s="4387" t="str">
        <f t="shared" si="81"/>
        <v>NO</v>
      </c>
      <c r="K1148" s="4354"/>
      <c r="L1148" s="4354"/>
      <c r="M1148" s="4354"/>
    </row>
    <row r="1149" spans="1:13" x14ac:dyDescent="0.25">
      <c r="A1149" s="4354"/>
      <c r="B1149" s="4818" t="s">
        <v>707</v>
      </c>
      <c r="C1149" s="5084"/>
      <c r="D1149" s="4810" t="str">
        <f t="shared" si="82"/>
        <v>NO</v>
      </c>
      <c r="E1149" s="4824" t="str">
        <f>Table5.C_2018!B20</f>
        <v>NO</v>
      </c>
      <c r="F1149" s="4811" t="str">
        <f>Table5.C_2019!B20</f>
        <v>NO</v>
      </c>
      <c r="G1149" s="4685" t="str">
        <f>Table5.C_2020!B20</f>
        <v>NO</v>
      </c>
      <c r="H1149" s="4354"/>
      <c r="I1149" s="4387" t="str">
        <f t="shared" si="81"/>
        <v>NO</v>
      </c>
      <c r="J1149" s="4387" t="str">
        <f t="shared" si="81"/>
        <v>NO</v>
      </c>
      <c r="K1149" s="4354"/>
      <c r="L1149" s="4354"/>
      <c r="M1149" s="4354"/>
    </row>
    <row r="1150" spans="1:13" x14ac:dyDescent="0.25">
      <c r="A1150" s="4354"/>
      <c r="B1150" s="4826" t="s">
        <v>704</v>
      </c>
      <c r="C1150" s="5084"/>
      <c r="D1150" s="4810" t="str">
        <f t="shared" si="82"/>
        <v>NO</v>
      </c>
      <c r="E1150" s="4824" t="str">
        <f>Table5.C_2018!B21</f>
        <v>NO</v>
      </c>
      <c r="F1150" s="4811" t="str">
        <f>Table5.C_2019!B21</f>
        <v>NO</v>
      </c>
      <c r="G1150" s="4685" t="str">
        <f>Table5.C_2020!B21</f>
        <v>NO</v>
      </c>
      <c r="H1150" s="4354"/>
      <c r="I1150" s="4387" t="str">
        <f t="shared" si="81"/>
        <v>NO</v>
      </c>
      <c r="J1150" s="4387" t="str">
        <f t="shared" si="81"/>
        <v>NO</v>
      </c>
      <c r="K1150" s="4354"/>
      <c r="L1150" s="4354"/>
      <c r="M1150" s="4354"/>
    </row>
    <row r="1151" spans="1:13" x14ac:dyDescent="0.25">
      <c r="A1151" s="4354"/>
      <c r="B1151" s="4826" t="s">
        <v>706</v>
      </c>
      <c r="C1151" s="5084"/>
      <c r="D1151" s="4810" t="str">
        <f t="shared" si="82"/>
        <v>NO</v>
      </c>
      <c r="E1151" s="4824" t="str">
        <f>Table5.C_2018!B22</f>
        <v>NO</v>
      </c>
      <c r="F1151" s="4811" t="str">
        <f>Table5.C_2019!B22</f>
        <v>NO</v>
      </c>
      <c r="G1151" s="4685" t="str">
        <f>Table5.C_2020!B22</f>
        <v>NO</v>
      </c>
      <c r="H1151" s="4354"/>
      <c r="I1151" s="4387" t="str">
        <f t="shared" si="81"/>
        <v>NO</v>
      </c>
      <c r="J1151" s="4387" t="str">
        <f t="shared" si="81"/>
        <v>NO</v>
      </c>
      <c r="K1151" s="4354"/>
      <c r="L1151" s="4354"/>
      <c r="M1151" s="4354"/>
    </row>
    <row r="1152" spans="1:13" x14ac:dyDescent="0.25">
      <c r="A1152" s="4354"/>
      <c r="B1152" s="4818" t="s">
        <v>705</v>
      </c>
      <c r="C1152" s="5084"/>
      <c r="D1152" s="4810" t="str">
        <f t="shared" si="82"/>
        <v>NO</v>
      </c>
      <c r="E1152" s="4824" t="str">
        <f>Table5.C_2018!B23</f>
        <v>NO</v>
      </c>
      <c r="F1152" s="4811" t="str">
        <f>Table5.C_2019!B23</f>
        <v>NO</v>
      </c>
      <c r="G1152" s="4685" t="str">
        <f>Table5.C_2020!B23</f>
        <v>NO</v>
      </c>
      <c r="H1152" s="4354"/>
      <c r="I1152" s="4387" t="str">
        <f t="shared" si="81"/>
        <v>NO</v>
      </c>
      <c r="J1152" s="4387" t="str">
        <f t="shared" si="81"/>
        <v>NO</v>
      </c>
      <c r="K1152" s="4354"/>
      <c r="L1152" s="4354"/>
      <c r="M1152" s="4354"/>
    </row>
    <row r="1153" spans="1:13" x14ac:dyDescent="0.25">
      <c r="A1153" s="4354"/>
      <c r="B1153" s="4826" t="s">
        <v>704</v>
      </c>
      <c r="C1153" s="5084"/>
      <c r="D1153" s="4810" t="str">
        <f t="shared" si="82"/>
        <v>NO</v>
      </c>
      <c r="E1153" s="4824" t="str">
        <f>Table5.C_2018!B24</f>
        <v>NO</v>
      </c>
      <c r="F1153" s="4811" t="str">
        <f>Table5.C_2019!B24</f>
        <v>NO</v>
      </c>
      <c r="G1153" s="4685" t="str">
        <f>Table5.C_2020!B24</f>
        <v>NO</v>
      </c>
      <c r="H1153" s="4354"/>
      <c r="I1153" s="4387" t="str">
        <f t="shared" si="81"/>
        <v>NO</v>
      </c>
      <c r="J1153" s="4387" t="str">
        <f t="shared" si="81"/>
        <v>NO</v>
      </c>
      <c r="K1153" s="4354"/>
      <c r="L1153" s="4354"/>
      <c r="M1153" s="4354"/>
    </row>
    <row r="1154" spans="1:13" ht="15.75" thickBot="1" x14ac:dyDescent="0.3">
      <c r="A1154" s="4354"/>
      <c r="B1154" s="4827" t="s">
        <v>703</v>
      </c>
      <c r="C1154" s="5085"/>
      <c r="D1154" s="4810" t="str">
        <f t="shared" si="82"/>
        <v>NO</v>
      </c>
      <c r="E1154" s="4824" t="str">
        <f>Table5.C_2018!B25</f>
        <v>NO</v>
      </c>
      <c r="F1154" s="4811" t="str">
        <f>Table5.C_2019!B25</f>
        <v>NO</v>
      </c>
      <c r="G1154" s="4685" t="str">
        <f>Table5.C_2020!B25</f>
        <v>NO</v>
      </c>
      <c r="H1154" s="4354"/>
      <c r="I1154" s="4387" t="str">
        <f t="shared" si="81"/>
        <v>NO</v>
      </c>
      <c r="J1154" s="4387" t="str">
        <f t="shared" si="81"/>
        <v>NO</v>
      </c>
      <c r="K1154" s="4354"/>
      <c r="L1154" s="4354"/>
      <c r="M1154" s="4354"/>
    </row>
    <row r="1155" spans="1:13" ht="15.75" thickBot="1" x14ac:dyDescent="0.3">
      <c r="A1155" s="4354"/>
      <c r="B1155" s="4781"/>
      <c r="C1155" s="4828"/>
      <c r="D1155" s="4829" t="str">
        <f t="shared" si="82"/>
        <v>kg/ton affald</v>
      </c>
      <c r="E1155" s="4830" t="s">
        <v>719</v>
      </c>
      <c r="F1155" s="4831" t="s">
        <v>719</v>
      </c>
      <c r="G1155" s="4832" t="s">
        <v>719</v>
      </c>
      <c r="H1155" s="4354"/>
      <c r="I1155" s="4387" t="str">
        <f t="shared" si="81"/>
        <v>NO</v>
      </c>
      <c r="J1155" s="4387" t="str">
        <f t="shared" si="81"/>
        <v>NO</v>
      </c>
      <c r="K1155" s="4354"/>
      <c r="L1155" s="4354"/>
      <c r="M1155" s="4354"/>
    </row>
    <row r="1156" spans="1:13" x14ac:dyDescent="0.25">
      <c r="A1156" s="4354"/>
      <c r="B1156" s="4817" t="s">
        <v>714</v>
      </c>
      <c r="C1156" s="5067" t="s">
        <v>718</v>
      </c>
      <c r="D1156" s="4757" t="str">
        <f t="shared" si="82"/>
        <v>NO</v>
      </c>
      <c r="E1156" s="4757" t="str">
        <f>Table5.C_2018!C9</f>
        <v>NO</v>
      </c>
      <c r="F1156" s="4541" t="str">
        <f>Table5.C_2019!C9</f>
        <v>NO</v>
      </c>
      <c r="G1156" s="4542" t="str">
        <f>Table5.C_2020!C9</f>
        <v>NO</v>
      </c>
      <c r="H1156" s="4354"/>
      <c r="I1156" s="4387" t="str">
        <f t="shared" si="81"/>
        <v>NO</v>
      </c>
      <c r="J1156" s="4387" t="str">
        <f t="shared" si="81"/>
        <v>NO</v>
      </c>
      <c r="K1156" s="4354"/>
      <c r="L1156" s="4354"/>
      <c r="M1156" s="4354"/>
    </row>
    <row r="1157" spans="1:13" ht="17.25" x14ac:dyDescent="0.25">
      <c r="A1157" s="4354"/>
      <c r="B1157" s="4818" t="s">
        <v>712</v>
      </c>
      <c r="C1157" s="5068"/>
      <c r="D1157" s="4779">
        <f t="shared" si="82"/>
        <v>2754.0179640718561</v>
      </c>
      <c r="E1157" s="4760">
        <f>Table5.C_2018!C10</f>
        <v>2754.0179640718561</v>
      </c>
      <c r="F1157" s="4544">
        <f>Table5.C_2019!C10</f>
        <v>2820.7224137931034</v>
      </c>
      <c r="G1157" s="4498">
        <f>Table5.C_2020!C10</f>
        <v>3129.6437185929649</v>
      </c>
      <c r="H1157" s="4354"/>
      <c r="I1157" s="4387">
        <f t="shared" si="81"/>
        <v>2.4220775097132562E-2</v>
      </c>
      <c r="J1157" s="4387">
        <f t="shared" si="81"/>
        <v>0.10951850607109063</v>
      </c>
      <c r="K1157" s="4354"/>
      <c r="L1157" s="4354"/>
      <c r="M1157" s="4354"/>
    </row>
    <row r="1158" spans="1:13" x14ac:dyDescent="0.25">
      <c r="A1158" s="4354"/>
      <c r="B1158" s="4819" t="s">
        <v>709</v>
      </c>
      <c r="C1158" s="5068"/>
      <c r="D1158" s="4779" t="str">
        <f t="shared" si="82"/>
        <v>NO</v>
      </c>
      <c r="E1158" s="4760" t="str">
        <f>Table5.C_2018!C11</f>
        <v>NO</v>
      </c>
      <c r="F1158" s="4544" t="str">
        <f>Table5.C_2019!C11</f>
        <v>NO</v>
      </c>
      <c r="G1158" s="4498" t="str">
        <f>Table5.C_2020!C11</f>
        <v>NO</v>
      </c>
      <c r="H1158" s="4354"/>
      <c r="I1158" s="4387" t="str">
        <f t="shared" si="81"/>
        <v>NO</v>
      </c>
      <c r="J1158" s="4387" t="str">
        <f t="shared" si="81"/>
        <v>NO</v>
      </c>
      <c r="K1158" s="4354"/>
      <c r="L1158" s="4354"/>
      <c r="M1158" s="4354"/>
    </row>
    <row r="1159" spans="1:13" x14ac:dyDescent="0.25">
      <c r="A1159" s="4354"/>
      <c r="B1159" s="4819" t="s">
        <v>662</v>
      </c>
      <c r="C1159" s="5068"/>
      <c r="D1159" s="4779">
        <f t="shared" si="82"/>
        <v>2754.0179640718561</v>
      </c>
      <c r="E1159" s="4760">
        <f>Table5.C_2018!C13</f>
        <v>2754.0179640718561</v>
      </c>
      <c r="F1159" s="4544">
        <f>Table5.C_2019!C13</f>
        <v>2820.7224137931034</v>
      </c>
      <c r="G1159" s="4498">
        <f>Table5.C_2020!C13</f>
        <v>3129.6437185929649</v>
      </c>
      <c r="H1159" s="4354"/>
      <c r="I1159" s="4387">
        <f t="shared" si="81"/>
        <v>2.4220775097132562E-2</v>
      </c>
      <c r="J1159" s="4387">
        <f t="shared" si="81"/>
        <v>0.10951850607109063</v>
      </c>
      <c r="K1159" s="4354"/>
      <c r="L1159" s="4354"/>
      <c r="M1159" s="4354"/>
    </row>
    <row r="1160" spans="1:13" x14ac:dyDescent="0.25">
      <c r="A1160" s="4354"/>
      <c r="B1160" s="4823" t="s">
        <v>711</v>
      </c>
      <c r="C1160" s="5068"/>
      <c r="D1160" s="4779">
        <f t="shared" si="82"/>
        <v>770</v>
      </c>
      <c r="E1160" s="4760">
        <f>Table5.C_2018!C14</f>
        <v>770</v>
      </c>
      <c r="F1160" s="4544">
        <f>Table5.C_2019!C14</f>
        <v>770</v>
      </c>
      <c r="G1160" s="4498">
        <f>Table5.C_2020!C14</f>
        <v>770</v>
      </c>
      <c r="H1160" s="4354"/>
      <c r="I1160" s="4387">
        <f t="shared" si="81"/>
        <v>0</v>
      </c>
      <c r="J1160" s="4387">
        <f t="shared" si="81"/>
        <v>0</v>
      </c>
      <c r="K1160" s="4354"/>
      <c r="L1160" s="4354"/>
      <c r="M1160" s="4354"/>
    </row>
    <row r="1161" spans="1:13" x14ac:dyDescent="0.25">
      <c r="A1161" s="4354"/>
      <c r="B1161" s="4823" t="s">
        <v>710</v>
      </c>
      <c r="C1161" s="5068"/>
      <c r="D1161" s="4779" t="str">
        <f t="shared" si="82"/>
        <v>NO</v>
      </c>
      <c r="E1161" s="4760" t="str">
        <f>Table5.C_2018!C15</f>
        <v>NO</v>
      </c>
      <c r="F1161" s="4544" t="str">
        <f>Table5.C_2019!C15</f>
        <v>NO</v>
      </c>
      <c r="G1161" s="4498" t="str">
        <f>Table5.C_2020!C15</f>
        <v>NE</v>
      </c>
      <c r="H1161" s="4354"/>
      <c r="I1161" s="4387" t="str">
        <f t="shared" si="81"/>
        <v>NO</v>
      </c>
      <c r="J1161" s="4387" t="str">
        <f t="shared" si="81"/>
        <v>NO</v>
      </c>
      <c r="K1161" s="4354"/>
      <c r="L1161" s="4354"/>
      <c r="M1161" s="4354"/>
    </row>
    <row r="1162" spans="1:13" x14ac:dyDescent="0.25">
      <c r="A1162" s="4354"/>
      <c r="B1162" s="4818" t="s">
        <v>705</v>
      </c>
      <c r="C1162" s="5068"/>
      <c r="D1162" s="4779" t="str">
        <f t="shared" si="82"/>
        <v>NO</v>
      </c>
      <c r="E1162" s="4760" t="str">
        <f>Table5.C_2018!C16</f>
        <v>NO</v>
      </c>
      <c r="F1162" s="4544" t="str">
        <f>Table5.C_2019!C16</f>
        <v>NO</v>
      </c>
      <c r="G1162" s="4498" t="str">
        <f>Table5.C_2020!C16</f>
        <v>NO</v>
      </c>
      <c r="H1162" s="4354"/>
      <c r="I1162" s="4387" t="str">
        <f t="shared" si="81"/>
        <v>NO</v>
      </c>
      <c r="J1162" s="4387" t="str">
        <f t="shared" si="81"/>
        <v>NO</v>
      </c>
      <c r="K1162" s="4354"/>
      <c r="L1162" s="4354"/>
      <c r="M1162" s="4354"/>
    </row>
    <row r="1163" spans="1:13" x14ac:dyDescent="0.25">
      <c r="A1163" s="4354"/>
      <c r="B1163" s="4825" t="s">
        <v>709</v>
      </c>
      <c r="C1163" s="5068"/>
      <c r="D1163" s="4779" t="str">
        <f t="shared" si="82"/>
        <v>NO</v>
      </c>
      <c r="E1163" s="4760" t="str">
        <f>Table5.C_2018!C17</f>
        <v>NO</v>
      </c>
      <c r="F1163" s="4544" t="str">
        <f>Table5.C_2019!C17</f>
        <v>NO</v>
      </c>
      <c r="G1163" s="4498" t="str">
        <f>Table5.C_2020!C17</f>
        <v>NO</v>
      </c>
      <c r="H1163" s="4354"/>
      <c r="I1163" s="4387" t="str">
        <f t="shared" si="81"/>
        <v>NO</v>
      </c>
      <c r="J1163" s="4387" t="str">
        <f t="shared" si="81"/>
        <v>NO</v>
      </c>
      <c r="K1163" s="4354"/>
      <c r="L1163" s="4354"/>
      <c r="M1163" s="4354"/>
    </row>
    <row r="1164" spans="1:13" x14ac:dyDescent="0.25">
      <c r="A1164" s="4354"/>
      <c r="B1164" s="4825" t="s">
        <v>483</v>
      </c>
      <c r="C1164" s="5068"/>
      <c r="D1164" s="4779" t="str">
        <f t="shared" si="82"/>
        <v>NO</v>
      </c>
      <c r="E1164" s="4760" t="str">
        <f>Table5.C_2018!C18</f>
        <v>NO</v>
      </c>
      <c r="F1164" s="4544" t="str">
        <f>Table5.C_2019!C18</f>
        <v>NO</v>
      </c>
      <c r="G1164" s="4498" t="str">
        <f>Table5.C_2020!C18</f>
        <v>NO</v>
      </c>
      <c r="H1164" s="4354"/>
      <c r="I1164" s="4387" t="str">
        <f t="shared" si="81"/>
        <v>NO</v>
      </c>
      <c r="J1164" s="4387" t="str">
        <f t="shared" si="81"/>
        <v>NO</v>
      </c>
      <c r="K1164" s="4354"/>
      <c r="L1164" s="4354"/>
      <c r="M1164" s="4354"/>
    </row>
    <row r="1165" spans="1:13" x14ac:dyDescent="0.25">
      <c r="A1165" s="4354"/>
      <c r="B1165" s="4818" t="s">
        <v>708</v>
      </c>
      <c r="C1165" s="5068"/>
      <c r="D1165" s="4779" t="str">
        <f t="shared" si="82"/>
        <v>NO</v>
      </c>
      <c r="E1165" s="4760" t="str">
        <f>Table5.C_2018!C19</f>
        <v>NO</v>
      </c>
      <c r="F1165" s="4544" t="str">
        <f>Table5.C_2019!C19</f>
        <v>NO</v>
      </c>
      <c r="G1165" s="4498" t="str">
        <f>Table5.C_2020!C19</f>
        <v>NO</v>
      </c>
      <c r="H1165" s="4354"/>
      <c r="I1165" s="4387" t="str">
        <f t="shared" si="81"/>
        <v>NO</v>
      </c>
      <c r="J1165" s="4387" t="str">
        <f t="shared" si="81"/>
        <v>NO</v>
      </c>
      <c r="K1165" s="4354"/>
      <c r="L1165" s="4354"/>
      <c r="M1165" s="4354"/>
    </row>
    <row r="1166" spans="1:13" x14ac:dyDescent="0.25">
      <c r="A1166" s="4354"/>
      <c r="B1166" s="4818" t="s">
        <v>707</v>
      </c>
      <c r="C1166" s="5068"/>
      <c r="D1166" s="4779" t="str">
        <f t="shared" si="82"/>
        <v>NO</v>
      </c>
      <c r="E1166" s="4760" t="str">
        <f>Table5.C_2018!C20</f>
        <v>NO</v>
      </c>
      <c r="F1166" s="4544" t="str">
        <f>Table5.C_2019!C20</f>
        <v>NO</v>
      </c>
      <c r="G1166" s="4498" t="str">
        <f>Table5.C_2020!C20</f>
        <v>NO</v>
      </c>
      <c r="H1166" s="4354"/>
      <c r="I1166" s="4387" t="str">
        <f t="shared" si="81"/>
        <v>NO</v>
      </c>
      <c r="J1166" s="4387" t="str">
        <f t="shared" si="81"/>
        <v>NO</v>
      </c>
      <c r="K1166" s="4354"/>
      <c r="L1166" s="4354"/>
      <c r="M1166" s="4354"/>
    </row>
    <row r="1167" spans="1:13" x14ac:dyDescent="0.25">
      <c r="A1167" s="4354"/>
      <c r="B1167" s="4826" t="s">
        <v>704</v>
      </c>
      <c r="C1167" s="5068"/>
      <c r="D1167" s="4779" t="str">
        <f t="shared" si="82"/>
        <v>NO</v>
      </c>
      <c r="E1167" s="4760" t="str">
        <f>Table5.C_2018!C21</f>
        <v>NO</v>
      </c>
      <c r="F1167" s="4544" t="str">
        <f>Table5.C_2019!C21</f>
        <v>NO</v>
      </c>
      <c r="G1167" s="4498" t="str">
        <f>Table5.C_2020!C21</f>
        <v>NO</v>
      </c>
      <c r="H1167" s="4354"/>
      <c r="I1167" s="4387" t="str">
        <f t="shared" si="81"/>
        <v>NO</v>
      </c>
      <c r="J1167" s="4387" t="str">
        <f t="shared" si="81"/>
        <v>NO</v>
      </c>
      <c r="K1167" s="4354"/>
      <c r="L1167" s="4354"/>
      <c r="M1167" s="4354"/>
    </row>
    <row r="1168" spans="1:13" x14ac:dyDescent="0.25">
      <c r="A1168" s="4354"/>
      <c r="B1168" s="4826" t="s">
        <v>706</v>
      </c>
      <c r="C1168" s="5068"/>
      <c r="D1168" s="4779" t="str">
        <f t="shared" si="82"/>
        <v>NO</v>
      </c>
      <c r="E1168" s="4760" t="str">
        <f>Table5.C_2018!C22</f>
        <v>NO</v>
      </c>
      <c r="F1168" s="4544" t="str">
        <f>Table5.C_2019!C22</f>
        <v>NO</v>
      </c>
      <c r="G1168" s="4498" t="str">
        <f>Table5.C_2020!C22</f>
        <v>NO</v>
      </c>
      <c r="H1168" s="4354"/>
      <c r="I1168" s="4387" t="str">
        <f t="shared" si="81"/>
        <v>NO</v>
      </c>
      <c r="J1168" s="4387" t="str">
        <f t="shared" si="81"/>
        <v>NO</v>
      </c>
      <c r="K1168" s="4354"/>
      <c r="L1168" s="4354"/>
      <c r="M1168" s="4354"/>
    </row>
    <row r="1169" spans="1:13" x14ac:dyDescent="0.25">
      <c r="A1169" s="4354"/>
      <c r="B1169" s="4818" t="s">
        <v>705</v>
      </c>
      <c r="C1169" s="5068"/>
      <c r="D1169" s="4779" t="str">
        <f t="shared" si="82"/>
        <v>NO</v>
      </c>
      <c r="E1169" s="4760" t="str">
        <f>Table5.C_2018!C23</f>
        <v>NO</v>
      </c>
      <c r="F1169" s="4544" t="str">
        <f>Table5.C_2019!C23</f>
        <v>NO</v>
      </c>
      <c r="G1169" s="4498" t="str">
        <f>Table5.C_2020!C23</f>
        <v>NO</v>
      </c>
      <c r="H1169" s="4354"/>
      <c r="I1169" s="4387" t="str">
        <f t="shared" si="81"/>
        <v>NO</v>
      </c>
      <c r="J1169" s="4387" t="str">
        <f t="shared" si="81"/>
        <v>NO</v>
      </c>
      <c r="K1169" s="4354"/>
      <c r="L1169" s="4354"/>
      <c r="M1169" s="4354"/>
    </row>
    <row r="1170" spans="1:13" x14ac:dyDescent="0.25">
      <c r="A1170" s="4354"/>
      <c r="B1170" s="4826" t="s">
        <v>704</v>
      </c>
      <c r="C1170" s="5068"/>
      <c r="D1170" s="4779" t="str">
        <f t="shared" si="82"/>
        <v>NO</v>
      </c>
      <c r="E1170" s="4760" t="str">
        <f>Table5.C_2018!C24</f>
        <v>NO</v>
      </c>
      <c r="F1170" s="4544" t="str">
        <f>Table5.C_2019!C24</f>
        <v>NO</v>
      </c>
      <c r="G1170" s="4498" t="str">
        <f>Table5.C_2020!C24</f>
        <v>NO</v>
      </c>
      <c r="H1170" s="4354"/>
      <c r="I1170" s="4387" t="str">
        <f t="shared" si="81"/>
        <v>NO</v>
      </c>
      <c r="J1170" s="4387" t="str">
        <f t="shared" si="81"/>
        <v>NO</v>
      </c>
      <c r="K1170" s="4354"/>
      <c r="L1170" s="4354"/>
      <c r="M1170" s="4354"/>
    </row>
    <row r="1171" spans="1:13" ht="15.75" thickBot="1" x14ac:dyDescent="0.3">
      <c r="A1171" s="4354"/>
      <c r="B1171" s="4827" t="s">
        <v>703</v>
      </c>
      <c r="C1171" s="5069"/>
      <c r="D1171" s="4763" t="str">
        <f t="shared" si="82"/>
        <v>NO</v>
      </c>
      <c r="E1171" s="4763" t="str">
        <f>Table5.C_2018!C25</f>
        <v>NO</v>
      </c>
      <c r="F1171" s="4513" t="str">
        <f>Table5.C_2019!C25</f>
        <v>NO</v>
      </c>
      <c r="G1171" s="4514" t="str">
        <f>Table5.C_2020!C25</f>
        <v>NO</v>
      </c>
      <c r="H1171" s="4354"/>
      <c r="I1171" s="4387" t="str">
        <f t="shared" si="81"/>
        <v>NO</v>
      </c>
      <c r="J1171" s="4387" t="str">
        <f t="shared" si="81"/>
        <v>NO</v>
      </c>
      <c r="K1171" s="4354"/>
      <c r="L1171" s="4354"/>
      <c r="M1171" s="4354"/>
    </row>
    <row r="1172" spans="1:13" x14ac:dyDescent="0.25">
      <c r="A1172" s="4354"/>
      <c r="B1172" s="4817" t="s">
        <v>714</v>
      </c>
      <c r="C1172" s="5070" t="s">
        <v>717</v>
      </c>
      <c r="D1172" s="4757">
        <f t="shared" si="82"/>
        <v>0.64707485029940004</v>
      </c>
      <c r="E1172" s="4757">
        <f>Table5.C_2018!D9</f>
        <v>0.64707485029940004</v>
      </c>
      <c r="F1172" s="4541">
        <f>Table5.C_2019!D9</f>
        <v>0.66274806366048</v>
      </c>
      <c r="G1172" s="4542">
        <f>Table5.C_2020!D9</f>
        <v>0.73533376884421997</v>
      </c>
      <c r="H1172" s="4354"/>
      <c r="I1172" s="4387">
        <f t="shared" si="81"/>
        <v>2.4221638893596319E-2</v>
      </c>
      <c r="J1172" s="4387">
        <f t="shared" si="81"/>
        <v>0.10952231951133241</v>
      </c>
      <c r="K1172" s="4354"/>
      <c r="L1172" s="4354"/>
      <c r="M1172" s="4354"/>
    </row>
    <row r="1173" spans="1:13" ht="17.25" x14ac:dyDescent="0.25">
      <c r="A1173" s="4354"/>
      <c r="B1173" s="4818" t="s">
        <v>712</v>
      </c>
      <c r="C1173" s="5071"/>
      <c r="D1173" s="4779">
        <f t="shared" si="82"/>
        <v>0.64707485029940004</v>
      </c>
      <c r="E1173" s="4760">
        <f>Table5.C_2018!D10</f>
        <v>0.64707485029940004</v>
      </c>
      <c r="F1173" s="4544">
        <f>Table5.C_2019!D10</f>
        <v>0.66274806366048</v>
      </c>
      <c r="G1173" s="4498">
        <f>Table5.C_2020!D10</f>
        <v>0.73533376884421997</v>
      </c>
      <c r="H1173" s="4354"/>
      <c r="I1173" s="4387">
        <f t="shared" si="81"/>
        <v>2.4221638893596319E-2</v>
      </c>
      <c r="J1173" s="4387">
        <f t="shared" si="81"/>
        <v>0.10952231951133241</v>
      </c>
      <c r="K1173" s="4354"/>
      <c r="L1173" s="4354"/>
      <c r="M1173" s="4354"/>
    </row>
    <row r="1174" spans="1:13" x14ac:dyDescent="0.25">
      <c r="A1174" s="4354"/>
      <c r="B1174" s="4819" t="s">
        <v>709</v>
      </c>
      <c r="C1174" s="5071"/>
      <c r="D1174" s="4779" t="str">
        <f t="shared" si="82"/>
        <v>NO</v>
      </c>
      <c r="E1174" s="4760" t="str">
        <f>Table5.C_2018!D11</f>
        <v>NO</v>
      </c>
      <c r="F1174" s="4544" t="str">
        <f>Table5.C_2019!D11</f>
        <v>NO</v>
      </c>
      <c r="G1174" s="4498" t="str">
        <f>Table5.C_2020!D11</f>
        <v>NO</v>
      </c>
      <c r="H1174" s="4354"/>
      <c r="I1174" s="4387" t="str">
        <f t="shared" si="81"/>
        <v>NO</v>
      </c>
      <c r="J1174" s="4387" t="str">
        <f t="shared" si="81"/>
        <v>NO</v>
      </c>
      <c r="K1174" s="4354"/>
      <c r="L1174" s="4354"/>
      <c r="M1174" s="4354"/>
    </row>
    <row r="1175" spans="1:13" x14ac:dyDescent="0.25">
      <c r="A1175" s="4354"/>
      <c r="B1175" s="4819" t="s">
        <v>662</v>
      </c>
      <c r="C1175" s="5071"/>
      <c r="D1175" s="4779">
        <f t="shared" si="82"/>
        <v>0.64707485029940004</v>
      </c>
      <c r="E1175" s="4760">
        <f>Table5.C_2018!D13</f>
        <v>0.64707485029940004</v>
      </c>
      <c r="F1175" s="4544">
        <f>Table5.C_2019!D13</f>
        <v>0.66274806366048</v>
      </c>
      <c r="G1175" s="4498">
        <f>Table5.C_2020!D13</f>
        <v>0.73533376884421997</v>
      </c>
      <c r="H1175" s="4354"/>
      <c r="I1175" s="4387">
        <f t="shared" si="81"/>
        <v>2.4221638893596319E-2</v>
      </c>
      <c r="J1175" s="4387">
        <f t="shared" si="81"/>
        <v>0.10952231951133241</v>
      </c>
      <c r="K1175" s="4354"/>
      <c r="L1175" s="4354"/>
      <c r="M1175" s="4354"/>
    </row>
    <row r="1176" spans="1:13" x14ac:dyDescent="0.25">
      <c r="A1176" s="4354"/>
      <c r="B1176" s="4823" t="s">
        <v>711</v>
      </c>
      <c r="C1176" s="5071"/>
      <c r="D1176" s="4779">
        <f t="shared" si="82"/>
        <v>0.18090000000000001</v>
      </c>
      <c r="E1176" s="4760">
        <f>Table5.C_2018!D14</f>
        <v>0.18090000000000001</v>
      </c>
      <c r="F1176" s="4544">
        <f>Table5.C_2019!D14</f>
        <v>0.18090000000000001</v>
      </c>
      <c r="G1176" s="4498">
        <f>Table5.C_2020!D14</f>
        <v>0.18090000000000001</v>
      </c>
      <c r="H1176" s="4354"/>
      <c r="I1176" s="4387">
        <f t="shared" si="81"/>
        <v>0</v>
      </c>
      <c r="J1176" s="4387">
        <f t="shared" si="81"/>
        <v>0</v>
      </c>
      <c r="K1176" s="4354"/>
      <c r="L1176" s="4354"/>
      <c r="M1176" s="4354"/>
    </row>
    <row r="1177" spans="1:13" x14ac:dyDescent="0.25">
      <c r="A1177" s="4354"/>
      <c r="B1177" s="4823" t="s">
        <v>710</v>
      </c>
      <c r="C1177" s="5071"/>
      <c r="D1177" s="4779" t="str">
        <f t="shared" si="82"/>
        <v>NO</v>
      </c>
      <c r="E1177" s="4760" t="str">
        <f>Table5.C_2018!D15</f>
        <v>NO</v>
      </c>
      <c r="F1177" s="4544" t="str">
        <f>Table5.C_2019!D15</f>
        <v>NO</v>
      </c>
      <c r="G1177" s="4498" t="str">
        <f>Table5.C_2020!D15</f>
        <v>NE</v>
      </c>
      <c r="H1177" s="4354"/>
      <c r="I1177" s="4387" t="str">
        <f t="shared" si="81"/>
        <v>NO</v>
      </c>
      <c r="J1177" s="4387" t="str">
        <f t="shared" si="81"/>
        <v>NO</v>
      </c>
      <c r="K1177" s="4354"/>
      <c r="L1177" s="4354"/>
      <c r="M1177" s="4354"/>
    </row>
    <row r="1178" spans="1:13" x14ac:dyDescent="0.25">
      <c r="A1178" s="4354"/>
      <c r="B1178" s="4818" t="s">
        <v>705</v>
      </c>
      <c r="C1178" s="5071"/>
      <c r="D1178" s="4779" t="str">
        <f t="shared" si="82"/>
        <v>NO</v>
      </c>
      <c r="E1178" s="4760" t="str">
        <f>Table5.C_2018!D16</f>
        <v>NO</v>
      </c>
      <c r="F1178" s="4544" t="str">
        <f>Table5.C_2019!D16</f>
        <v>NO</v>
      </c>
      <c r="G1178" s="4498" t="str">
        <f>Table5.C_2020!D16</f>
        <v>NO</v>
      </c>
      <c r="H1178" s="4354"/>
      <c r="I1178" s="4387" t="str">
        <f t="shared" si="81"/>
        <v>NO</v>
      </c>
      <c r="J1178" s="4387" t="str">
        <f t="shared" si="81"/>
        <v>NO</v>
      </c>
      <c r="K1178" s="4354"/>
      <c r="L1178" s="4354"/>
      <c r="M1178" s="4354"/>
    </row>
    <row r="1179" spans="1:13" x14ac:dyDescent="0.25">
      <c r="A1179" s="4354"/>
      <c r="B1179" s="4825" t="s">
        <v>709</v>
      </c>
      <c r="C1179" s="5071"/>
      <c r="D1179" s="4779" t="str">
        <f t="shared" si="82"/>
        <v>NO</v>
      </c>
      <c r="E1179" s="4760" t="str">
        <f>Table5.C_2018!D17</f>
        <v>NO</v>
      </c>
      <c r="F1179" s="4544" t="str">
        <f>Table5.C_2019!D17</f>
        <v>NO</v>
      </c>
      <c r="G1179" s="4498" t="str">
        <f>Table5.C_2020!D17</f>
        <v>NO</v>
      </c>
      <c r="H1179" s="4354"/>
      <c r="I1179" s="4387" t="str">
        <f t="shared" ref="I1179:J1242" si="83">IFERROR(ABS(F1179-E1179)/E1179,"NO")</f>
        <v>NO</v>
      </c>
      <c r="J1179" s="4387" t="str">
        <f t="shared" si="83"/>
        <v>NO</v>
      </c>
      <c r="K1179" s="4354"/>
      <c r="L1179" s="4354"/>
      <c r="M1179" s="4354"/>
    </row>
    <row r="1180" spans="1:13" x14ac:dyDescent="0.25">
      <c r="A1180" s="4354"/>
      <c r="B1180" s="4825" t="s">
        <v>483</v>
      </c>
      <c r="C1180" s="5071"/>
      <c r="D1180" s="4779" t="str">
        <f t="shared" si="82"/>
        <v>NO</v>
      </c>
      <c r="E1180" s="4760" t="str">
        <f>Table5.C_2018!D18</f>
        <v>NO</v>
      </c>
      <c r="F1180" s="4544" t="str">
        <f>Table5.C_2019!D18</f>
        <v>NO</v>
      </c>
      <c r="G1180" s="4498" t="str">
        <f>Table5.C_2020!D18</f>
        <v>NO</v>
      </c>
      <c r="H1180" s="4354"/>
      <c r="I1180" s="4387" t="str">
        <f t="shared" si="83"/>
        <v>NO</v>
      </c>
      <c r="J1180" s="4387" t="str">
        <f t="shared" si="83"/>
        <v>NO</v>
      </c>
      <c r="K1180" s="4354"/>
      <c r="L1180" s="4354"/>
      <c r="M1180" s="4354"/>
    </row>
    <row r="1181" spans="1:13" x14ac:dyDescent="0.25">
      <c r="A1181" s="4354"/>
      <c r="B1181" s="4818" t="s">
        <v>708</v>
      </c>
      <c r="C1181" s="5071"/>
      <c r="D1181" s="4779" t="str">
        <f t="shared" si="82"/>
        <v>NO</v>
      </c>
      <c r="E1181" s="4760" t="str">
        <f>Table5.C_2018!D19</f>
        <v>NO</v>
      </c>
      <c r="F1181" s="4544" t="str">
        <f>Table5.C_2019!D19</f>
        <v>NO</v>
      </c>
      <c r="G1181" s="4498" t="str">
        <f>Table5.C_2020!D19</f>
        <v>NO</v>
      </c>
      <c r="H1181" s="4354"/>
      <c r="I1181" s="4387" t="str">
        <f t="shared" si="83"/>
        <v>NO</v>
      </c>
      <c r="J1181" s="4387" t="str">
        <f t="shared" si="83"/>
        <v>NO</v>
      </c>
      <c r="K1181" s="4354"/>
      <c r="L1181" s="4354"/>
      <c r="M1181" s="4354"/>
    </row>
    <row r="1182" spans="1:13" x14ac:dyDescent="0.25">
      <c r="A1182" s="4354"/>
      <c r="B1182" s="4818" t="s">
        <v>707</v>
      </c>
      <c r="C1182" s="5071"/>
      <c r="D1182" s="4779" t="str">
        <f t="shared" si="82"/>
        <v>NO</v>
      </c>
      <c r="E1182" s="4760" t="str">
        <f>Table5.C_2018!D20</f>
        <v>NO</v>
      </c>
      <c r="F1182" s="4544" t="str">
        <f>Table5.C_2019!D20</f>
        <v>NO</v>
      </c>
      <c r="G1182" s="4498" t="str">
        <f>Table5.C_2020!D20</f>
        <v>NO</v>
      </c>
      <c r="H1182" s="4354"/>
      <c r="I1182" s="4387" t="str">
        <f t="shared" si="83"/>
        <v>NO</v>
      </c>
      <c r="J1182" s="4387" t="str">
        <f t="shared" si="83"/>
        <v>NO</v>
      </c>
      <c r="K1182" s="4354"/>
      <c r="L1182" s="4354"/>
      <c r="M1182" s="4354"/>
    </row>
    <row r="1183" spans="1:13" x14ac:dyDescent="0.25">
      <c r="A1183" s="4354"/>
      <c r="B1183" s="4826" t="s">
        <v>704</v>
      </c>
      <c r="C1183" s="5071"/>
      <c r="D1183" s="4779" t="str">
        <f t="shared" si="82"/>
        <v>NO</v>
      </c>
      <c r="E1183" s="4760" t="str">
        <f>Table5.C_2018!D21</f>
        <v>NO</v>
      </c>
      <c r="F1183" s="4544" t="str">
        <f>Table5.C_2019!D21</f>
        <v>NO</v>
      </c>
      <c r="G1183" s="4498" t="str">
        <f>Table5.C_2020!D21</f>
        <v>NO</v>
      </c>
      <c r="H1183" s="4354"/>
      <c r="I1183" s="4387" t="str">
        <f t="shared" si="83"/>
        <v>NO</v>
      </c>
      <c r="J1183" s="4387" t="str">
        <f t="shared" si="83"/>
        <v>NO</v>
      </c>
      <c r="K1183" s="4354"/>
      <c r="L1183" s="4354"/>
      <c r="M1183" s="4354"/>
    </row>
    <row r="1184" spans="1:13" x14ac:dyDescent="0.25">
      <c r="A1184" s="4354"/>
      <c r="B1184" s="4826" t="s">
        <v>706</v>
      </c>
      <c r="C1184" s="5071"/>
      <c r="D1184" s="4779" t="str">
        <f t="shared" si="82"/>
        <v>NO</v>
      </c>
      <c r="E1184" s="4760" t="str">
        <f>Table5.C_2018!D22</f>
        <v>NO</v>
      </c>
      <c r="F1184" s="4544" t="str">
        <f>Table5.C_2019!D22</f>
        <v>NO</v>
      </c>
      <c r="G1184" s="4498" t="str">
        <f>Table5.C_2020!D22</f>
        <v>NO</v>
      </c>
      <c r="H1184" s="4354"/>
      <c r="I1184" s="4387" t="str">
        <f t="shared" si="83"/>
        <v>NO</v>
      </c>
      <c r="J1184" s="4387" t="str">
        <f t="shared" si="83"/>
        <v>NO</v>
      </c>
      <c r="K1184" s="4354"/>
      <c r="L1184" s="4354"/>
      <c r="M1184" s="4354"/>
    </row>
    <row r="1185" spans="1:13" x14ac:dyDescent="0.25">
      <c r="A1185" s="4354"/>
      <c r="B1185" s="4818" t="s">
        <v>705</v>
      </c>
      <c r="C1185" s="5071"/>
      <c r="D1185" s="4779" t="str">
        <f t="shared" si="82"/>
        <v>NO</v>
      </c>
      <c r="E1185" s="4760" t="str">
        <f>Table5.C_2018!D23</f>
        <v>NO</v>
      </c>
      <c r="F1185" s="4544" t="str">
        <f>Table5.C_2019!D23</f>
        <v>NO</v>
      </c>
      <c r="G1185" s="4498" t="str">
        <f>Table5.C_2020!D23</f>
        <v>NO</v>
      </c>
      <c r="H1185" s="4354"/>
      <c r="I1185" s="4387" t="str">
        <f t="shared" si="83"/>
        <v>NO</v>
      </c>
      <c r="J1185" s="4387" t="str">
        <f t="shared" si="83"/>
        <v>NO</v>
      </c>
      <c r="K1185" s="4354"/>
      <c r="L1185" s="4354"/>
      <c r="M1185" s="4354"/>
    </row>
    <row r="1186" spans="1:13" x14ac:dyDescent="0.25">
      <c r="A1186" s="4354"/>
      <c r="B1186" s="4826" t="s">
        <v>704</v>
      </c>
      <c r="C1186" s="5071"/>
      <c r="D1186" s="4779" t="str">
        <f t="shared" si="82"/>
        <v>NO</v>
      </c>
      <c r="E1186" s="4760" t="str">
        <f>Table5.C_2018!D24</f>
        <v>NO</v>
      </c>
      <c r="F1186" s="4544" t="str">
        <f>Table5.C_2019!D24</f>
        <v>NO</v>
      </c>
      <c r="G1186" s="4498" t="str">
        <f>Table5.C_2020!D24</f>
        <v>NO</v>
      </c>
      <c r="H1186" s="4354"/>
      <c r="I1186" s="4387" t="str">
        <f t="shared" si="83"/>
        <v>NO</v>
      </c>
      <c r="J1186" s="4387" t="str">
        <f t="shared" si="83"/>
        <v>NO</v>
      </c>
      <c r="K1186" s="4354"/>
      <c r="L1186" s="4354"/>
      <c r="M1186" s="4354"/>
    </row>
    <row r="1187" spans="1:13" ht="15.75" thickBot="1" x14ac:dyDescent="0.3">
      <c r="A1187" s="4354"/>
      <c r="B1187" s="4827" t="s">
        <v>703</v>
      </c>
      <c r="C1187" s="5072"/>
      <c r="D1187" s="4763" t="str">
        <f t="shared" si="82"/>
        <v>NO</v>
      </c>
      <c r="E1187" s="4763" t="str">
        <f>Table5.C_2018!D25</f>
        <v>NO</v>
      </c>
      <c r="F1187" s="4513" t="str">
        <f>Table5.C_2019!D25</f>
        <v>NO</v>
      </c>
      <c r="G1187" s="4514" t="str">
        <f>Table5.C_2020!D25</f>
        <v>NO</v>
      </c>
      <c r="H1187" s="4354"/>
      <c r="I1187" s="4387" t="str">
        <f t="shared" si="83"/>
        <v>NO</v>
      </c>
      <c r="J1187" s="4387" t="str">
        <f t="shared" si="83"/>
        <v>NO</v>
      </c>
      <c r="K1187" s="4354"/>
      <c r="L1187" s="4354"/>
      <c r="M1187" s="4354"/>
    </row>
    <row r="1188" spans="1:13" x14ac:dyDescent="0.25">
      <c r="A1188" s="4354"/>
      <c r="B1188" s="4817" t="s">
        <v>714</v>
      </c>
      <c r="C1188" s="5070" t="s">
        <v>716</v>
      </c>
      <c r="D1188" s="4757">
        <f t="shared" si="82"/>
        <v>0.80887236287425002</v>
      </c>
      <c r="E1188" s="4757">
        <f>Table5.C_2018!E9</f>
        <v>0.80887236287425002</v>
      </c>
      <c r="F1188" s="4541">
        <f>Table5.C_2019!E9</f>
        <v>0.82846387957559997</v>
      </c>
      <c r="G1188" s="4542">
        <f>Table5.C_2020!E9</f>
        <v>0.91919601105528004</v>
      </c>
      <c r="H1188" s="4354"/>
      <c r="I1188" s="4387">
        <f t="shared" si="83"/>
        <v>2.4220776479163396E-2</v>
      </c>
      <c r="J1188" s="4387">
        <f t="shared" si="83"/>
        <v>0.10951851217238309</v>
      </c>
      <c r="K1188" s="4354"/>
      <c r="L1188" s="4354"/>
      <c r="M1188" s="4354"/>
    </row>
    <row r="1189" spans="1:13" ht="17.25" x14ac:dyDescent="0.25">
      <c r="A1189" s="4354"/>
      <c r="B1189" s="4818" t="s">
        <v>712</v>
      </c>
      <c r="C1189" s="5071"/>
      <c r="D1189" s="4779">
        <f t="shared" si="82"/>
        <v>0.80887236287425002</v>
      </c>
      <c r="E1189" s="4760">
        <f>Table5.C_2018!E10</f>
        <v>0.80887236287425002</v>
      </c>
      <c r="F1189" s="4544">
        <f>Table5.C_2019!E10</f>
        <v>0.82846387957559997</v>
      </c>
      <c r="G1189" s="4498">
        <f>Table5.C_2020!E10</f>
        <v>0.91919601105528004</v>
      </c>
      <c r="H1189" s="4354"/>
      <c r="I1189" s="4387">
        <f t="shared" si="83"/>
        <v>2.4220776479163396E-2</v>
      </c>
      <c r="J1189" s="4387">
        <f t="shared" si="83"/>
        <v>0.10951851217238309</v>
      </c>
      <c r="K1189" s="4354"/>
      <c r="L1189" s="4354"/>
      <c r="M1189" s="4354"/>
    </row>
    <row r="1190" spans="1:13" x14ac:dyDescent="0.25">
      <c r="A1190" s="4354"/>
      <c r="B1190" s="4819" t="s">
        <v>709</v>
      </c>
      <c r="C1190" s="5071"/>
      <c r="D1190" s="4779" t="str">
        <f t="shared" si="82"/>
        <v>NO</v>
      </c>
      <c r="E1190" s="4760" t="str">
        <f>Table5.C_2018!E11</f>
        <v>NO</v>
      </c>
      <c r="F1190" s="4544" t="str">
        <f>Table5.C_2019!E11</f>
        <v>NO</v>
      </c>
      <c r="G1190" s="4498" t="str">
        <f>Table5.C_2020!E11</f>
        <v>NO</v>
      </c>
      <c r="H1190" s="4354"/>
      <c r="I1190" s="4387" t="str">
        <f t="shared" si="83"/>
        <v>NO</v>
      </c>
      <c r="J1190" s="4387" t="str">
        <f t="shared" si="83"/>
        <v>NO</v>
      </c>
      <c r="K1190" s="4354"/>
      <c r="L1190" s="4354"/>
      <c r="M1190" s="4354"/>
    </row>
    <row r="1191" spans="1:13" x14ac:dyDescent="0.25">
      <c r="A1191" s="4354"/>
      <c r="B1191" s="4819" t="s">
        <v>662</v>
      </c>
      <c r="C1191" s="5071"/>
      <c r="D1191" s="4779">
        <f t="shared" si="82"/>
        <v>0.80887236287425002</v>
      </c>
      <c r="E1191" s="4760">
        <f>Table5.C_2018!E13</f>
        <v>0.80887236287425002</v>
      </c>
      <c r="F1191" s="4544">
        <f>Table5.C_2019!E13</f>
        <v>0.82846387957559997</v>
      </c>
      <c r="G1191" s="4498">
        <f>Table5.C_2020!E13</f>
        <v>0.91919601105528004</v>
      </c>
      <c r="H1191" s="4354"/>
      <c r="I1191" s="4387">
        <f t="shared" si="83"/>
        <v>2.4220776479163396E-2</v>
      </c>
      <c r="J1191" s="4387">
        <f t="shared" si="83"/>
        <v>0.10951851217238309</v>
      </c>
      <c r="K1191" s="4354"/>
      <c r="L1191" s="4354"/>
      <c r="M1191" s="4354"/>
    </row>
    <row r="1192" spans="1:13" x14ac:dyDescent="0.25">
      <c r="A1192" s="4354"/>
      <c r="B1192" s="4823" t="s">
        <v>711</v>
      </c>
      <c r="C1192" s="5071"/>
      <c r="D1192" s="4779">
        <f t="shared" si="82"/>
        <v>0.22615379999999999</v>
      </c>
      <c r="E1192" s="4760">
        <f>Table5.C_2018!E14</f>
        <v>0.22615379999999999</v>
      </c>
      <c r="F1192" s="4544">
        <f>Table5.C_2019!E14</f>
        <v>0.22615379999999999</v>
      </c>
      <c r="G1192" s="4498">
        <f>Table5.C_2020!E14</f>
        <v>0.22615379999999999</v>
      </c>
      <c r="H1192" s="4354"/>
      <c r="I1192" s="4387">
        <f t="shared" si="83"/>
        <v>0</v>
      </c>
      <c r="J1192" s="4387">
        <f t="shared" si="83"/>
        <v>0</v>
      </c>
      <c r="K1192" s="4354"/>
      <c r="L1192" s="4354"/>
      <c r="M1192" s="4354"/>
    </row>
    <row r="1193" spans="1:13" x14ac:dyDescent="0.25">
      <c r="A1193" s="4354"/>
      <c r="B1193" s="4823" t="s">
        <v>710</v>
      </c>
      <c r="C1193" s="5071"/>
      <c r="D1193" s="4779" t="str">
        <f t="shared" si="82"/>
        <v>NO</v>
      </c>
      <c r="E1193" s="4760" t="str">
        <f>Table5.C_2018!E15</f>
        <v>NO</v>
      </c>
      <c r="F1193" s="4544" t="str">
        <f>Table5.C_2019!E15</f>
        <v>NO</v>
      </c>
      <c r="G1193" s="4498" t="str">
        <f>Table5.C_2020!E15</f>
        <v>NE</v>
      </c>
      <c r="H1193" s="4354"/>
      <c r="I1193" s="4387" t="str">
        <f t="shared" si="83"/>
        <v>NO</v>
      </c>
      <c r="J1193" s="4387" t="str">
        <f t="shared" si="83"/>
        <v>NO</v>
      </c>
      <c r="K1193" s="4354"/>
      <c r="L1193" s="4354"/>
      <c r="M1193" s="4354"/>
    </row>
    <row r="1194" spans="1:13" x14ac:dyDescent="0.25">
      <c r="A1194" s="4354"/>
      <c r="B1194" s="4818" t="s">
        <v>705</v>
      </c>
      <c r="C1194" s="5071"/>
      <c r="D1194" s="4779" t="str">
        <f t="shared" si="82"/>
        <v>NO</v>
      </c>
      <c r="E1194" s="4760" t="str">
        <f>Table5.C_2018!E16</f>
        <v>NO</v>
      </c>
      <c r="F1194" s="4544" t="str">
        <f>Table5.C_2019!E16</f>
        <v>NO</v>
      </c>
      <c r="G1194" s="4498" t="str">
        <f>Table5.C_2020!E16</f>
        <v>NO</v>
      </c>
      <c r="H1194" s="4354"/>
      <c r="I1194" s="4387" t="str">
        <f t="shared" si="83"/>
        <v>NO</v>
      </c>
      <c r="J1194" s="4387" t="str">
        <f t="shared" si="83"/>
        <v>NO</v>
      </c>
      <c r="K1194" s="4354"/>
      <c r="L1194" s="4354"/>
      <c r="M1194" s="4354"/>
    </row>
    <row r="1195" spans="1:13" x14ac:dyDescent="0.25">
      <c r="A1195" s="4354"/>
      <c r="B1195" s="4825" t="s">
        <v>709</v>
      </c>
      <c r="C1195" s="5071"/>
      <c r="D1195" s="4779" t="str">
        <f t="shared" si="82"/>
        <v>NO</v>
      </c>
      <c r="E1195" s="4760" t="str">
        <f>Table5.C_2018!E17</f>
        <v>NO</v>
      </c>
      <c r="F1195" s="4544" t="str">
        <f>Table5.C_2019!E17</f>
        <v>NO</v>
      </c>
      <c r="G1195" s="4498" t="str">
        <f>Table5.C_2020!E17</f>
        <v>NO</v>
      </c>
      <c r="H1195" s="4354"/>
      <c r="I1195" s="4387" t="str">
        <f t="shared" si="83"/>
        <v>NO</v>
      </c>
      <c r="J1195" s="4387" t="str">
        <f t="shared" si="83"/>
        <v>NO</v>
      </c>
      <c r="K1195" s="4354"/>
      <c r="L1195" s="4354"/>
      <c r="M1195" s="4354"/>
    </row>
    <row r="1196" spans="1:13" x14ac:dyDescent="0.25">
      <c r="A1196" s="4354"/>
      <c r="B1196" s="4825" t="s">
        <v>483</v>
      </c>
      <c r="C1196" s="5071"/>
      <c r="D1196" s="4779" t="str">
        <f t="shared" si="82"/>
        <v>NO</v>
      </c>
      <c r="E1196" s="4760" t="str">
        <f>Table5.C_2018!E18</f>
        <v>NO</v>
      </c>
      <c r="F1196" s="4544" t="str">
        <f>Table5.C_2019!E18</f>
        <v>NO</v>
      </c>
      <c r="G1196" s="4498" t="str">
        <f>Table5.C_2020!E18</f>
        <v>NO</v>
      </c>
      <c r="H1196" s="4354"/>
      <c r="I1196" s="4387" t="str">
        <f t="shared" si="83"/>
        <v>NO</v>
      </c>
      <c r="J1196" s="4387" t="str">
        <f t="shared" si="83"/>
        <v>NO</v>
      </c>
      <c r="K1196" s="4354"/>
      <c r="L1196" s="4354"/>
      <c r="M1196" s="4354"/>
    </row>
    <row r="1197" spans="1:13" x14ac:dyDescent="0.25">
      <c r="A1197" s="4354"/>
      <c r="B1197" s="4818" t="s">
        <v>708</v>
      </c>
      <c r="C1197" s="5071"/>
      <c r="D1197" s="4779" t="str">
        <f t="shared" ref="D1197:D1254" si="84">IF($D$3=$E$3,E1197,IF($D$3=$F$3,F1197,IF($D$3=$G$3,G1197,"-")))</f>
        <v>NO</v>
      </c>
      <c r="E1197" s="4760" t="str">
        <f>Table5.C_2018!E19</f>
        <v>NO</v>
      </c>
      <c r="F1197" s="4544" t="str">
        <f>Table5.C_2019!E19</f>
        <v>NO</v>
      </c>
      <c r="G1197" s="4498" t="str">
        <f>Table5.C_2020!E19</f>
        <v>NO</v>
      </c>
      <c r="H1197" s="4354"/>
      <c r="I1197" s="4387" t="str">
        <f t="shared" si="83"/>
        <v>NO</v>
      </c>
      <c r="J1197" s="4387" t="str">
        <f t="shared" si="83"/>
        <v>NO</v>
      </c>
      <c r="K1197" s="4354"/>
      <c r="L1197" s="4354"/>
      <c r="M1197" s="4354"/>
    </row>
    <row r="1198" spans="1:13" x14ac:dyDescent="0.25">
      <c r="A1198" s="4354"/>
      <c r="B1198" s="4818" t="s">
        <v>707</v>
      </c>
      <c r="C1198" s="5071"/>
      <c r="D1198" s="4779" t="str">
        <f t="shared" si="84"/>
        <v>NO</v>
      </c>
      <c r="E1198" s="4760" t="str">
        <f>Table5.C_2018!E20</f>
        <v>NO</v>
      </c>
      <c r="F1198" s="4544" t="str">
        <f>Table5.C_2019!E20</f>
        <v>NO</v>
      </c>
      <c r="G1198" s="4498" t="str">
        <f>Table5.C_2020!E20</f>
        <v>NO</v>
      </c>
      <c r="H1198" s="4354"/>
      <c r="I1198" s="4387" t="str">
        <f t="shared" si="83"/>
        <v>NO</v>
      </c>
      <c r="J1198" s="4387" t="str">
        <f t="shared" si="83"/>
        <v>NO</v>
      </c>
      <c r="K1198" s="4354"/>
      <c r="L1198" s="4354"/>
      <c r="M1198" s="4354"/>
    </row>
    <row r="1199" spans="1:13" x14ac:dyDescent="0.25">
      <c r="A1199" s="4354"/>
      <c r="B1199" s="4826" t="s">
        <v>704</v>
      </c>
      <c r="C1199" s="5071"/>
      <c r="D1199" s="4779" t="str">
        <f t="shared" si="84"/>
        <v>NO</v>
      </c>
      <c r="E1199" s="4760" t="str">
        <f>Table5.C_2018!E21</f>
        <v>NO</v>
      </c>
      <c r="F1199" s="4544" t="str">
        <f>Table5.C_2019!E21</f>
        <v>NO</v>
      </c>
      <c r="G1199" s="4498" t="str">
        <f>Table5.C_2020!E21</f>
        <v>NO</v>
      </c>
      <c r="H1199" s="4354"/>
      <c r="I1199" s="4387" t="str">
        <f t="shared" si="83"/>
        <v>NO</v>
      </c>
      <c r="J1199" s="4387" t="str">
        <f t="shared" si="83"/>
        <v>NO</v>
      </c>
      <c r="K1199" s="4354"/>
      <c r="L1199" s="4354"/>
      <c r="M1199" s="4354"/>
    </row>
    <row r="1200" spans="1:13" x14ac:dyDescent="0.25">
      <c r="A1200" s="4354"/>
      <c r="B1200" s="4826" t="s">
        <v>706</v>
      </c>
      <c r="C1200" s="5071"/>
      <c r="D1200" s="4779" t="str">
        <f t="shared" si="84"/>
        <v>NO</v>
      </c>
      <c r="E1200" s="4760" t="str">
        <f>Table5.C_2018!E22</f>
        <v>NO</v>
      </c>
      <c r="F1200" s="4544" t="str">
        <f>Table5.C_2019!E22</f>
        <v>NO</v>
      </c>
      <c r="G1200" s="4498" t="str">
        <f>Table5.C_2020!E22</f>
        <v>NO</v>
      </c>
      <c r="H1200" s="4354"/>
      <c r="I1200" s="4387" t="str">
        <f t="shared" si="83"/>
        <v>NO</v>
      </c>
      <c r="J1200" s="4387" t="str">
        <f t="shared" si="83"/>
        <v>NO</v>
      </c>
      <c r="K1200" s="4354"/>
      <c r="L1200" s="4354"/>
      <c r="M1200" s="4354"/>
    </row>
    <row r="1201" spans="1:13" x14ac:dyDescent="0.25">
      <c r="A1201" s="4354"/>
      <c r="B1201" s="4818" t="s">
        <v>705</v>
      </c>
      <c r="C1201" s="5071"/>
      <c r="D1201" s="4779" t="str">
        <f t="shared" si="84"/>
        <v>NO</v>
      </c>
      <c r="E1201" s="4760" t="str">
        <f>Table5.C_2018!E23</f>
        <v>NO</v>
      </c>
      <c r="F1201" s="4544" t="str">
        <f>Table5.C_2019!E23</f>
        <v>NO</v>
      </c>
      <c r="G1201" s="4498" t="str">
        <f>Table5.C_2020!E23</f>
        <v>NO</v>
      </c>
      <c r="H1201" s="4354"/>
      <c r="I1201" s="4387" t="str">
        <f t="shared" si="83"/>
        <v>NO</v>
      </c>
      <c r="J1201" s="4387" t="str">
        <f t="shared" si="83"/>
        <v>NO</v>
      </c>
      <c r="K1201" s="4354"/>
      <c r="L1201" s="4354"/>
      <c r="M1201" s="4354"/>
    </row>
    <row r="1202" spans="1:13" x14ac:dyDescent="0.25">
      <c r="A1202" s="4354"/>
      <c r="B1202" s="4826" t="s">
        <v>704</v>
      </c>
      <c r="C1202" s="5071"/>
      <c r="D1202" s="4779" t="str">
        <f t="shared" si="84"/>
        <v>NO</v>
      </c>
      <c r="E1202" s="4760" t="str">
        <f>Table5.C_2018!E24</f>
        <v>NO</v>
      </c>
      <c r="F1202" s="4544" t="str">
        <f>Table5.C_2019!E24</f>
        <v>NO</v>
      </c>
      <c r="G1202" s="4498" t="str">
        <f>Table5.C_2020!E24</f>
        <v>NO</v>
      </c>
      <c r="H1202" s="4354"/>
      <c r="I1202" s="4387" t="str">
        <f t="shared" si="83"/>
        <v>NO</v>
      </c>
      <c r="J1202" s="4387" t="str">
        <f t="shared" si="83"/>
        <v>NO</v>
      </c>
      <c r="K1202" s="4354"/>
      <c r="L1202" s="4354"/>
      <c r="M1202" s="4354"/>
    </row>
    <row r="1203" spans="1:13" ht="15.75" thickBot="1" x14ac:dyDescent="0.3">
      <c r="A1203" s="4354"/>
      <c r="B1203" s="4827" t="s">
        <v>703</v>
      </c>
      <c r="C1203" s="5072"/>
      <c r="D1203" s="4763" t="str">
        <f t="shared" si="84"/>
        <v>NO</v>
      </c>
      <c r="E1203" s="4763" t="str">
        <f>Table5.C_2018!E25</f>
        <v>NO</v>
      </c>
      <c r="F1203" s="4513" t="str">
        <f>Table5.C_2019!E25</f>
        <v>NO</v>
      </c>
      <c r="G1203" s="4514" t="str">
        <f>Table5.C_2020!E25</f>
        <v>NO</v>
      </c>
      <c r="H1203" s="4354"/>
      <c r="I1203" s="4387" t="str">
        <f t="shared" si="83"/>
        <v>NO</v>
      </c>
      <c r="J1203" s="4387" t="str">
        <f t="shared" si="83"/>
        <v>NO</v>
      </c>
      <c r="K1203" s="4354"/>
      <c r="L1203" s="4354"/>
      <c r="M1203" s="4354"/>
    </row>
    <row r="1204" spans="1:13" ht="15.75" thickBot="1" x14ac:dyDescent="0.3">
      <c r="A1204" s="4354"/>
      <c r="B1204" s="4781"/>
      <c r="C1204" s="4828"/>
      <c r="D1204" s="4829" t="str">
        <f t="shared" si="84"/>
        <v>kton</v>
      </c>
      <c r="E1204" s="4830" t="s">
        <v>665</v>
      </c>
      <c r="F1204" s="4831" t="s">
        <v>665</v>
      </c>
      <c r="G1204" s="4832" t="s">
        <v>665</v>
      </c>
      <c r="H1204" s="4354"/>
      <c r="I1204" s="4387" t="str">
        <f t="shared" si="83"/>
        <v>NO</v>
      </c>
      <c r="J1204" s="4387" t="str">
        <f t="shared" si="83"/>
        <v>NO</v>
      </c>
      <c r="K1204" s="4354"/>
      <c r="L1204" s="4354"/>
      <c r="M1204" s="4354"/>
    </row>
    <row r="1205" spans="1:13" x14ac:dyDescent="0.25">
      <c r="A1205" s="4354"/>
      <c r="B1205" s="4817" t="s">
        <v>714</v>
      </c>
      <c r="C1205" s="5067" t="s">
        <v>715</v>
      </c>
      <c r="D1205" s="4757" t="str">
        <f t="shared" si="84"/>
        <v>NO</v>
      </c>
      <c r="E1205" s="4757" t="str">
        <f>Table5.C_2018!F9</f>
        <v>NO</v>
      </c>
      <c r="F1205" s="4541" t="str">
        <f>Table5.C_2019!F9</f>
        <v>NO</v>
      </c>
      <c r="G1205" s="4542" t="str">
        <f>Table5.C_2020!F9</f>
        <v>NO</v>
      </c>
      <c r="H1205" s="4354"/>
      <c r="I1205" s="4387" t="str">
        <f t="shared" si="83"/>
        <v>NO</v>
      </c>
      <c r="J1205" s="4387" t="str">
        <f t="shared" si="83"/>
        <v>NO</v>
      </c>
      <c r="K1205" s="4354"/>
      <c r="L1205" s="4354"/>
      <c r="M1205" s="4354"/>
    </row>
    <row r="1206" spans="1:13" ht="17.25" x14ac:dyDescent="0.25">
      <c r="A1206" s="4354"/>
      <c r="B1206" s="4818" t="s">
        <v>712</v>
      </c>
      <c r="C1206" s="5068"/>
      <c r="D1206" s="4779">
        <f t="shared" si="84"/>
        <v>3.2194470000000002</v>
      </c>
      <c r="E1206" s="4760">
        <f>Table5.C_2018!F10</f>
        <v>3.2194470000000002</v>
      </c>
      <c r="F1206" s="4544">
        <f>Table5.C_2019!F10</f>
        <v>3.1902370499999999</v>
      </c>
      <c r="G1206" s="4498">
        <f>Table5.C_2020!F10</f>
        <v>3.1139955000000001</v>
      </c>
      <c r="H1206" s="4354"/>
      <c r="I1206" s="4387">
        <f t="shared" si="83"/>
        <v>9.0729712276674413E-3</v>
      </c>
      <c r="J1206" s="4387">
        <f t="shared" si="83"/>
        <v>2.3898396515707122E-2</v>
      </c>
      <c r="K1206" s="4354"/>
      <c r="L1206" s="4354"/>
      <c r="M1206" s="4354"/>
    </row>
    <row r="1207" spans="1:13" x14ac:dyDescent="0.25">
      <c r="A1207" s="4354"/>
      <c r="B1207" s="4819" t="s">
        <v>709</v>
      </c>
      <c r="C1207" s="5068"/>
      <c r="D1207" s="4779" t="str">
        <f t="shared" si="84"/>
        <v>NO</v>
      </c>
      <c r="E1207" s="4760" t="str">
        <f>Table5.C_2018!F11</f>
        <v>NO</v>
      </c>
      <c r="F1207" s="4544" t="str">
        <f>Table5.C_2019!F11</f>
        <v>NO</v>
      </c>
      <c r="G1207" s="4498" t="str">
        <f>Table5.C_2020!F11</f>
        <v>NO</v>
      </c>
      <c r="H1207" s="4354"/>
      <c r="I1207" s="4387" t="str">
        <f t="shared" si="83"/>
        <v>NO</v>
      </c>
      <c r="J1207" s="4387" t="str">
        <f t="shared" si="83"/>
        <v>NO</v>
      </c>
      <c r="K1207" s="4354"/>
      <c r="L1207" s="4354"/>
      <c r="M1207" s="4354"/>
    </row>
    <row r="1208" spans="1:13" x14ac:dyDescent="0.25">
      <c r="A1208" s="4354"/>
      <c r="B1208" s="4819" t="s">
        <v>662</v>
      </c>
      <c r="C1208" s="5068"/>
      <c r="D1208" s="4779">
        <f t="shared" si="84"/>
        <v>3.2194470000000002</v>
      </c>
      <c r="E1208" s="4760">
        <f>Table5.C_2018!F13</f>
        <v>3.2194470000000002</v>
      </c>
      <c r="F1208" s="4544">
        <f>Table5.C_2019!F13</f>
        <v>3.1902370499999999</v>
      </c>
      <c r="G1208" s="4498">
        <f>Table5.C_2020!F13</f>
        <v>3.1139955000000001</v>
      </c>
      <c r="H1208" s="4354"/>
      <c r="I1208" s="4387">
        <f t="shared" si="83"/>
        <v>9.0729712276674413E-3</v>
      </c>
      <c r="J1208" s="4387">
        <f t="shared" si="83"/>
        <v>2.3898396515707122E-2</v>
      </c>
      <c r="K1208" s="4354"/>
      <c r="L1208" s="4354"/>
      <c r="M1208" s="4354"/>
    </row>
    <row r="1209" spans="1:13" x14ac:dyDescent="0.25">
      <c r="A1209" s="4354"/>
      <c r="B1209" s="4823" t="s">
        <v>711</v>
      </c>
      <c r="C1209" s="5068"/>
      <c r="D1209" s="4779">
        <f t="shared" si="84"/>
        <v>0.90012999999999999</v>
      </c>
      <c r="E1209" s="4760">
        <f>Table5.C_2018!F14</f>
        <v>0.90012999999999999</v>
      </c>
      <c r="F1209" s="4544">
        <f>Table5.C_2019!F14</f>
        <v>0.87087000000000003</v>
      </c>
      <c r="G1209" s="4498">
        <f>Table5.C_2020!F14</f>
        <v>0.76615</v>
      </c>
      <c r="H1209" s="4354"/>
      <c r="I1209" s="4387">
        <f t="shared" si="83"/>
        <v>3.250641573994862E-2</v>
      </c>
      <c r="J1209" s="4387">
        <f t="shared" si="83"/>
        <v>0.12024756852343063</v>
      </c>
      <c r="K1209" s="4354"/>
      <c r="L1209" s="4354"/>
      <c r="M1209" s="4354"/>
    </row>
    <row r="1210" spans="1:13" x14ac:dyDescent="0.25">
      <c r="A1210" s="4354"/>
      <c r="B1210" s="4823" t="s">
        <v>710</v>
      </c>
      <c r="C1210" s="5068"/>
      <c r="D1210" s="4779">
        <f t="shared" si="84"/>
        <v>2.3193169999999999</v>
      </c>
      <c r="E1210" s="4760">
        <f>Table5.C_2018!F15</f>
        <v>2.3193169999999999</v>
      </c>
      <c r="F1210" s="4544">
        <f>Table5.C_2019!F15</f>
        <v>2.3193670499999999</v>
      </c>
      <c r="G1210" s="4498">
        <f>Table5.C_2020!F15</f>
        <v>2.3478455</v>
      </c>
      <c r="H1210" s="4354"/>
      <c r="I1210" s="4387">
        <f t="shared" si="83"/>
        <v>2.1579628830394333E-5</v>
      </c>
      <c r="J1210" s="4387">
        <f t="shared" si="83"/>
        <v>1.2278543838070028E-2</v>
      </c>
      <c r="K1210" s="4354"/>
      <c r="L1210" s="4354"/>
      <c r="M1210" s="4354"/>
    </row>
    <row r="1211" spans="1:13" x14ac:dyDescent="0.25">
      <c r="A1211" s="4354"/>
      <c r="B1211" s="4818" t="s">
        <v>705</v>
      </c>
      <c r="C1211" s="5068"/>
      <c r="D1211" s="4779" t="str">
        <f t="shared" si="84"/>
        <v>NO</v>
      </c>
      <c r="E1211" s="4760" t="str">
        <f>Table5.C_2018!F16</f>
        <v>NO</v>
      </c>
      <c r="F1211" s="4544" t="str">
        <f>Table5.C_2019!F16</f>
        <v>NO</v>
      </c>
      <c r="G1211" s="4498" t="str">
        <f>Table5.C_2020!F16</f>
        <v>NO</v>
      </c>
      <c r="H1211" s="4354"/>
      <c r="I1211" s="4387" t="str">
        <f t="shared" si="83"/>
        <v>NO</v>
      </c>
      <c r="J1211" s="4387" t="str">
        <f t="shared" si="83"/>
        <v>NO</v>
      </c>
      <c r="K1211" s="4354"/>
      <c r="L1211" s="4354"/>
      <c r="M1211" s="4354"/>
    </row>
    <row r="1212" spans="1:13" x14ac:dyDescent="0.25">
      <c r="A1212" s="4354"/>
      <c r="B1212" s="4825" t="s">
        <v>709</v>
      </c>
      <c r="C1212" s="5068"/>
      <c r="D1212" s="4779" t="str">
        <f t="shared" si="84"/>
        <v>NO</v>
      </c>
      <c r="E1212" s="4760" t="str">
        <f>Table5.C_2018!F17</f>
        <v>NO</v>
      </c>
      <c r="F1212" s="4544" t="str">
        <f>Table5.C_2019!F17</f>
        <v>NO</v>
      </c>
      <c r="G1212" s="4498" t="str">
        <f>Table5.C_2020!F17</f>
        <v>NO</v>
      </c>
      <c r="H1212" s="4354"/>
      <c r="I1212" s="4387" t="str">
        <f t="shared" si="83"/>
        <v>NO</v>
      </c>
      <c r="J1212" s="4387" t="str">
        <f t="shared" si="83"/>
        <v>NO</v>
      </c>
      <c r="K1212" s="4354"/>
      <c r="L1212" s="4354"/>
      <c r="M1212" s="4354"/>
    </row>
    <row r="1213" spans="1:13" x14ac:dyDescent="0.25">
      <c r="A1213" s="4354"/>
      <c r="B1213" s="4825" t="s">
        <v>483</v>
      </c>
      <c r="C1213" s="5068"/>
      <c r="D1213" s="4779" t="str">
        <f t="shared" si="84"/>
        <v>NO</v>
      </c>
      <c r="E1213" s="4760" t="str">
        <f>Table5.C_2018!F18</f>
        <v>NO</v>
      </c>
      <c r="F1213" s="4544" t="str">
        <f>Table5.C_2019!F18</f>
        <v>NO</v>
      </c>
      <c r="G1213" s="4498" t="str">
        <f>Table5.C_2020!F18</f>
        <v>NO</v>
      </c>
      <c r="H1213" s="4354"/>
      <c r="I1213" s="4387" t="str">
        <f t="shared" si="83"/>
        <v>NO</v>
      </c>
      <c r="J1213" s="4387" t="str">
        <f t="shared" si="83"/>
        <v>NO</v>
      </c>
      <c r="K1213" s="4354"/>
      <c r="L1213" s="4354"/>
      <c r="M1213" s="4354"/>
    </row>
    <row r="1214" spans="1:13" x14ac:dyDescent="0.25">
      <c r="A1214" s="4354"/>
      <c r="B1214" s="4818" t="s">
        <v>708</v>
      </c>
      <c r="C1214" s="5068"/>
      <c r="D1214" s="4779" t="str">
        <f t="shared" si="84"/>
        <v>NO</v>
      </c>
      <c r="E1214" s="4760" t="str">
        <f>Table5.C_2018!F19</f>
        <v>NO</v>
      </c>
      <c r="F1214" s="4544" t="str">
        <f>Table5.C_2019!F19</f>
        <v>NO</v>
      </c>
      <c r="G1214" s="4498" t="str">
        <f>Table5.C_2020!F19</f>
        <v>NO</v>
      </c>
      <c r="H1214" s="4354"/>
      <c r="I1214" s="4387" t="str">
        <f t="shared" si="83"/>
        <v>NO</v>
      </c>
      <c r="J1214" s="4387" t="str">
        <f t="shared" si="83"/>
        <v>NO</v>
      </c>
      <c r="K1214" s="4354"/>
      <c r="L1214" s="4354"/>
      <c r="M1214" s="4354"/>
    </row>
    <row r="1215" spans="1:13" x14ac:dyDescent="0.25">
      <c r="A1215" s="4354"/>
      <c r="B1215" s="4818" t="s">
        <v>707</v>
      </c>
      <c r="C1215" s="5068"/>
      <c r="D1215" s="4779" t="str">
        <f t="shared" si="84"/>
        <v>NO</v>
      </c>
      <c r="E1215" s="4760" t="str">
        <f>Table5.C_2018!F20</f>
        <v>NO</v>
      </c>
      <c r="F1215" s="4544" t="str">
        <f>Table5.C_2019!F20</f>
        <v>NO</v>
      </c>
      <c r="G1215" s="4498" t="str">
        <f>Table5.C_2020!F20</f>
        <v>NO</v>
      </c>
      <c r="H1215" s="4354"/>
      <c r="I1215" s="4387" t="str">
        <f t="shared" si="83"/>
        <v>NO</v>
      </c>
      <c r="J1215" s="4387" t="str">
        <f t="shared" si="83"/>
        <v>NO</v>
      </c>
      <c r="K1215" s="4354"/>
      <c r="L1215" s="4354"/>
      <c r="M1215" s="4354"/>
    </row>
    <row r="1216" spans="1:13" x14ac:dyDescent="0.25">
      <c r="A1216" s="4354"/>
      <c r="B1216" s="4826" t="s">
        <v>704</v>
      </c>
      <c r="C1216" s="5068"/>
      <c r="D1216" s="4779" t="str">
        <f t="shared" si="84"/>
        <v>NO</v>
      </c>
      <c r="E1216" s="4760" t="str">
        <f>Table5.C_2018!F21</f>
        <v>NO</v>
      </c>
      <c r="F1216" s="4544" t="str">
        <f>Table5.C_2019!F21</f>
        <v>NO</v>
      </c>
      <c r="G1216" s="4498" t="str">
        <f>Table5.C_2020!F21</f>
        <v>NO</v>
      </c>
      <c r="H1216" s="4354"/>
      <c r="I1216" s="4387" t="str">
        <f t="shared" si="83"/>
        <v>NO</v>
      </c>
      <c r="J1216" s="4387" t="str">
        <f t="shared" si="83"/>
        <v>NO</v>
      </c>
      <c r="K1216" s="4354"/>
      <c r="L1216" s="4354"/>
      <c r="M1216" s="4354"/>
    </row>
    <row r="1217" spans="1:13" x14ac:dyDescent="0.25">
      <c r="A1217" s="4354"/>
      <c r="B1217" s="4826" t="s">
        <v>706</v>
      </c>
      <c r="C1217" s="5068"/>
      <c r="D1217" s="4779" t="str">
        <f t="shared" si="84"/>
        <v>NO</v>
      </c>
      <c r="E1217" s="4760" t="str">
        <f>Table5.C_2018!F22</f>
        <v>NO</v>
      </c>
      <c r="F1217" s="4544" t="str">
        <f>Table5.C_2019!F22</f>
        <v>NO</v>
      </c>
      <c r="G1217" s="4498" t="str">
        <f>Table5.C_2020!F22</f>
        <v>NO</v>
      </c>
      <c r="H1217" s="4354"/>
      <c r="I1217" s="4387" t="str">
        <f t="shared" si="83"/>
        <v>NO</v>
      </c>
      <c r="J1217" s="4387" t="str">
        <f t="shared" si="83"/>
        <v>NO</v>
      </c>
      <c r="K1217" s="4354"/>
      <c r="L1217" s="4354"/>
      <c r="M1217" s="4354"/>
    </row>
    <row r="1218" spans="1:13" x14ac:dyDescent="0.25">
      <c r="A1218" s="4354"/>
      <c r="B1218" s="4818" t="s">
        <v>705</v>
      </c>
      <c r="C1218" s="5068"/>
      <c r="D1218" s="4779" t="str">
        <f t="shared" si="84"/>
        <v>NO</v>
      </c>
      <c r="E1218" s="4760" t="str">
        <f>Table5.C_2018!F23</f>
        <v>NO</v>
      </c>
      <c r="F1218" s="4544" t="str">
        <f>Table5.C_2019!F23</f>
        <v>NO</v>
      </c>
      <c r="G1218" s="4498" t="str">
        <f>Table5.C_2020!F23</f>
        <v>NO</v>
      </c>
      <c r="H1218" s="4354"/>
      <c r="I1218" s="4387" t="str">
        <f t="shared" si="83"/>
        <v>NO</v>
      </c>
      <c r="J1218" s="4387" t="str">
        <f t="shared" si="83"/>
        <v>NO</v>
      </c>
      <c r="K1218" s="4354"/>
      <c r="L1218" s="4354"/>
      <c r="M1218" s="4354"/>
    </row>
    <row r="1219" spans="1:13" x14ac:dyDescent="0.25">
      <c r="A1219" s="4354"/>
      <c r="B1219" s="4826" t="s">
        <v>704</v>
      </c>
      <c r="C1219" s="5068"/>
      <c r="D1219" s="4779" t="str">
        <f t="shared" si="84"/>
        <v>NO</v>
      </c>
      <c r="E1219" s="4760" t="str">
        <f>Table5.C_2018!F24</f>
        <v>NO</v>
      </c>
      <c r="F1219" s="4544" t="str">
        <f>Table5.C_2019!F24</f>
        <v>NO</v>
      </c>
      <c r="G1219" s="4498" t="str">
        <f>Table5.C_2020!F24</f>
        <v>NO</v>
      </c>
      <c r="H1219" s="4354"/>
      <c r="I1219" s="4387" t="str">
        <f t="shared" si="83"/>
        <v>NO</v>
      </c>
      <c r="J1219" s="4387" t="str">
        <f t="shared" si="83"/>
        <v>NO</v>
      </c>
      <c r="K1219" s="4354"/>
      <c r="L1219" s="4354"/>
      <c r="M1219" s="4354"/>
    </row>
    <row r="1220" spans="1:13" ht="15.75" thickBot="1" x14ac:dyDescent="0.3">
      <c r="A1220" s="4354"/>
      <c r="B1220" s="4827" t="s">
        <v>703</v>
      </c>
      <c r="C1220" s="5069"/>
      <c r="D1220" s="4763" t="str">
        <f t="shared" si="84"/>
        <v>NO</v>
      </c>
      <c r="E1220" s="4763" t="str">
        <f>Table5.C_2018!F25</f>
        <v>NO</v>
      </c>
      <c r="F1220" s="4513" t="str">
        <f>Table5.C_2019!F25</f>
        <v>NO</v>
      </c>
      <c r="G1220" s="4514" t="str">
        <f>Table5.C_2020!F25</f>
        <v>NO</v>
      </c>
      <c r="H1220" s="4354"/>
      <c r="I1220" s="4387" t="str">
        <f t="shared" si="83"/>
        <v>NO</v>
      </c>
      <c r="J1220" s="4387" t="str">
        <f t="shared" si="83"/>
        <v>NO</v>
      </c>
      <c r="K1220" s="4354"/>
      <c r="L1220" s="4354"/>
      <c r="M1220" s="4354"/>
    </row>
    <row r="1221" spans="1:13" x14ac:dyDescent="0.25">
      <c r="A1221" s="4354"/>
      <c r="B1221" s="4817" t="s">
        <v>714</v>
      </c>
      <c r="C1221" s="5070" t="s">
        <v>696</v>
      </c>
      <c r="D1221" s="4757">
        <f t="shared" si="84"/>
        <v>7.5643049999999995E-4</v>
      </c>
      <c r="E1221" s="4757">
        <f>Table5.C_2018!G9</f>
        <v>7.5643049999999995E-4</v>
      </c>
      <c r="F1221" s="4541">
        <f>Table5.C_2019!G9</f>
        <v>7.4956806000000002E-4</v>
      </c>
      <c r="G1221" s="4542">
        <f>Table5.C_2020!G9</f>
        <v>7.3165709999999996E-4</v>
      </c>
      <c r="H1221" s="4354"/>
      <c r="I1221" s="4387">
        <f t="shared" si="83"/>
        <v>9.0721355101359945E-3</v>
      </c>
      <c r="J1221" s="4387">
        <f t="shared" si="83"/>
        <v>2.3895041632377004E-2</v>
      </c>
      <c r="K1221" s="4354"/>
      <c r="L1221" s="4354"/>
      <c r="M1221" s="4354"/>
    </row>
    <row r="1222" spans="1:13" ht="17.25" x14ac:dyDescent="0.25">
      <c r="A1222" s="4354"/>
      <c r="B1222" s="4818" t="s">
        <v>712</v>
      </c>
      <c r="C1222" s="5071"/>
      <c r="D1222" s="4779">
        <f t="shared" si="84"/>
        <v>7.5643049999999995E-4</v>
      </c>
      <c r="E1222" s="4760">
        <f>Table5.C_2018!G10</f>
        <v>7.5643049999999995E-4</v>
      </c>
      <c r="F1222" s="4544">
        <f>Table5.C_2019!G10</f>
        <v>7.4956806000000002E-4</v>
      </c>
      <c r="G1222" s="4498">
        <f>Table5.C_2020!G10</f>
        <v>7.3165709999999996E-4</v>
      </c>
      <c r="H1222" s="4354"/>
      <c r="I1222" s="4387">
        <f t="shared" si="83"/>
        <v>9.0721355101359945E-3</v>
      </c>
      <c r="J1222" s="4387">
        <f t="shared" si="83"/>
        <v>2.3895041632377004E-2</v>
      </c>
      <c r="K1222" s="4354"/>
      <c r="L1222" s="4354"/>
      <c r="M1222" s="4354"/>
    </row>
    <row r="1223" spans="1:13" x14ac:dyDescent="0.25">
      <c r="A1223" s="4354"/>
      <c r="B1223" s="4819" t="s">
        <v>709</v>
      </c>
      <c r="C1223" s="5071"/>
      <c r="D1223" s="4779" t="str">
        <f t="shared" si="84"/>
        <v>NO</v>
      </c>
      <c r="E1223" s="4760" t="str">
        <f>Table5.C_2018!G11</f>
        <v>NO</v>
      </c>
      <c r="F1223" s="4544" t="str">
        <f>Table5.C_2019!G11</f>
        <v>NO</v>
      </c>
      <c r="G1223" s="4498" t="str">
        <f>Table5.C_2020!G11</f>
        <v>NO</v>
      </c>
      <c r="H1223" s="4354"/>
      <c r="I1223" s="4387" t="str">
        <f t="shared" si="83"/>
        <v>NO</v>
      </c>
      <c r="J1223" s="4387" t="str">
        <f t="shared" si="83"/>
        <v>NO</v>
      </c>
      <c r="K1223" s="4354"/>
      <c r="L1223" s="4354"/>
      <c r="M1223" s="4354"/>
    </row>
    <row r="1224" spans="1:13" x14ac:dyDescent="0.25">
      <c r="A1224" s="4354"/>
      <c r="B1224" s="4819" t="s">
        <v>662</v>
      </c>
      <c r="C1224" s="5071"/>
      <c r="D1224" s="4779">
        <f t="shared" si="84"/>
        <v>7.5643049999999995E-4</v>
      </c>
      <c r="E1224" s="4760">
        <f>Table5.C_2018!G13</f>
        <v>7.5643049999999995E-4</v>
      </c>
      <c r="F1224" s="4544">
        <f>Table5.C_2019!G13</f>
        <v>7.4956806000000002E-4</v>
      </c>
      <c r="G1224" s="4498">
        <f>Table5.C_2020!G13</f>
        <v>7.3165709999999996E-4</v>
      </c>
      <c r="H1224" s="4354"/>
      <c r="I1224" s="4387">
        <f t="shared" si="83"/>
        <v>9.0721355101359945E-3</v>
      </c>
      <c r="J1224" s="4387">
        <f t="shared" si="83"/>
        <v>2.3895041632377004E-2</v>
      </c>
      <c r="K1224" s="4354"/>
      <c r="L1224" s="4354"/>
      <c r="M1224" s="4354"/>
    </row>
    <row r="1225" spans="1:13" x14ac:dyDescent="0.25">
      <c r="A1225" s="4354"/>
      <c r="B1225" s="4823" t="s">
        <v>711</v>
      </c>
      <c r="C1225" s="5071"/>
      <c r="D1225" s="4779">
        <f t="shared" si="84"/>
        <v>2.1147209999999999E-4</v>
      </c>
      <c r="E1225" s="4760">
        <f>Table5.C_2018!G14</f>
        <v>2.1147209999999999E-4</v>
      </c>
      <c r="F1225" s="4544">
        <f>Table5.C_2019!G14</f>
        <v>2.045979E-4</v>
      </c>
      <c r="G1225" s="4498">
        <f>Table5.C_2020!G14</f>
        <v>1.7999549999999999E-4</v>
      </c>
      <c r="H1225" s="4354"/>
      <c r="I1225" s="4387">
        <f t="shared" si="83"/>
        <v>3.2506415739948627E-2</v>
      </c>
      <c r="J1225" s="4387">
        <f t="shared" si="83"/>
        <v>0.12024756852343063</v>
      </c>
      <c r="K1225" s="4354"/>
      <c r="L1225" s="4354"/>
      <c r="M1225" s="4354"/>
    </row>
    <row r="1226" spans="1:13" x14ac:dyDescent="0.25">
      <c r="A1226" s="4354"/>
      <c r="B1226" s="4823" t="s">
        <v>710</v>
      </c>
      <c r="C1226" s="5071"/>
      <c r="D1226" s="4779">
        <f t="shared" si="84"/>
        <v>5.4495840000000004E-4</v>
      </c>
      <c r="E1226" s="4760">
        <f>Table5.C_2018!G15</f>
        <v>5.4495840000000004E-4</v>
      </c>
      <c r="F1226" s="4544">
        <f>Table5.C_2019!G15</f>
        <v>5.4497015999999999E-4</v>
      </c>
      <c r="G1226" s="4498">
        <f>Table5.C_2020!G15</f>
        <v>5.5166160000000004E-4</v>
      </c>
      <c r="H1226" s="4354"/>
      <c r="I1226" s="4387">
        <f t="shared" si="83"/>
        <v>2.1579628830302114E-5</v>
      </c>
      <c r="J1226" s="4387">
        <f t="shared" si="83"/>
        <v>1.2278543838070055E-2</v>
      </c>
      <c r="K1226" s="4354"/>
      <c r="L1226" s="4354"/>
      <c r="M1226" s="4354"/>
    </row>
    <row r="1227" spans="1:13" x14ac:dyDescent="0.25">
      <c r="A1227" s="4354"/>
      <c r="B1227" s="4818" t="s">
        <v>705</v>
      </c>
      <c r="C1227" s="5071"/>
      <c r="D1227" s="4779" t="str">
        <f t="shared" si="84"/>
        <v>NO</v>
      </c>
      <c r="E1227" s="4760" t="str">
        <f>Table5.C_2018!G16</f>
        <v>NO</v>
      </c>
      <c r="F1227" s="4544" t="str">
        <f>Table5.C_2019!G16</f>
        <v>NO</v>
      </c>
      <c r="G1227" s="4498" t="str">
        <f>Table5.C_2020!G16</f>
        <v>NO</v>
      </c>
      <c r="H1227" s="4354"/>
      <c r="I1227" s="4387" t="str">
        <f t="shared" si="83"/>
        <v>NO</v>
      </c>
      <c r="J1227" s="4387" t="str">
        <f t="shared" si="83"/>
        <v>NO</v>
      </c>
      <c r="K1227" s="4354"/>
      <c r="L1227" s="4354"/>
      <c r="M1227" s="4354"/>
    </row>
    <row r="1228" spans="1:13" x14ac:dyDescent="0.25">
      <c r="A1228" s="4354"/>
      <c r="B1228" s="4825" t="s">
        <v>709</v>
      </c>
      <c r="C1228" s="5071"/>
      <c r="D1228" s="4779" t="str">
        <f t="shared" si="84"/>
        <v>NO</v>
      </c>
      <c r="E1228" s="4760" t="str">
        <f>Table5.C_2018!G17</f>
        <v>NO</v>
      </c>
      <c r="F1228" s="4544" t="str">
        <f>Table5.C_2019!G17</f>
        <v>NO</v>
      </c>
      <c r="G1228" s="4498" t="str">
        <f>Table5.C_2020!G17</f>
        <v>NO</v>
      </c>
      <c r="H1228" s="4354"/>
      <c r="I1228" s="4387" t="str">
        <f t="shared" si="83"/>
        <v>NO</v>
      </c>
      <c r="J1228" s="4387" t="str">
        <f t="shared" si="83"/>
        <v>NO</v>
      </c>
      <c r="K1228" s="4354"/>
      <c r="L1228" s="4354"/>
      <c r="M1228" s="4354"/>
    </row>
    <row r="1229" spans="1:13" x14ac:dyDescent="0.25">
      <c r="A1229" s="4354"/>
      <c r="B1229" s="4825" t="s">
        <v>483</v>
      </c>
      <c r="C1229" s="5071"/>
      <c r="D1229" s="4779" t="str">
        <f t="shared" si="84"/>
        <v>NO</v>
      </c>
      <c r="E1229" s="4760" t="str">
        <f>Table5.C_2018!G18</f>
        <v>NO</v>
      </c>
      <c r="F1229" s="4544" t="str">
        <f>Table5.C_2019!G18</f>
        <v>NO</v>
      </c>
      <c r="G1229" s="4498" t="str">
        <f>Table5.C_2020!G18</f>
        <v>NO</v>
      </c>
      <c r="H1229" s="4354"/>
      <c r="I1229" s="4387" t="str">
        <f t="shared" si="83"/>
        <v>NO</v>
      </c>
      <c r="J1229" s="4387" t="str">
        <f t="shared" si="83"/>
        <v>NO</v>
      </c>
      <c r="K1229" s="4354"/>
      <c r="L1229" s="4354"/>
      <c r="M1229" s="4354"/>
    </row>
    <row r="1230" spans="1:13" x14ac:dyDescent="0.25">
      <c r="A1230" s="4354"/>
      <c r="B1230" s="4818" t="s">
        <v>708</v>
      </c>
      <c r="C1230" s="5071"/>
      <c r="D1230" s="4779" t="str">
        <f t="shared" si="84"/>
        <v>NO</v>
      </c>
      <c r="E1230" s="4760" t="str">
        <f>Table5.C_2018!G19</f>
        <v>NO</v>
      </c>
      <c r="F1230" s="4544" t="str">
        <f>Table5.C_2019!G19</f>
        <v>NO</v>
      </c>
      <c r="G1230" s="4498" t="str">
        <f>Table5.C_2020!G19</f>
        <v>NO</v>
      </c>
      <c r="H1230" s="4354"/>
      <c r="I1230" s="4387" t="str">
        <f t="shared" si="83"/>
        <v>NO</v>
      </c>
      <c r="J1230" s="4387" t="str">
        <f t="shared" si="83"/>
        <v>NO</v>
      </c>
      <c r="K1230" s="4354"/>
      <c r="L1230" s="4354"/>
      <c r="M1230" s="4354"/>
    </row>
    <row r="1231" spans="1:13" x14ac:dyDescent="0.25">
      <c r="A1231" s="4354"/>
      <c r="B1231" s="4818" t="s">
        <v>707</v>
      </c>
      <c r="C1231" s="5071"/>
      <c r="D1231" s="4779" t="str">
        <f t="shared" si="84"/>
        <v>NO</v>
      </c>
      <c r="E1231" s="4760" t="str">
        <f>Table5.C_2018!G20</f>
        <v>NO</v>
      </c>
      <c r="F1231" s="4544" t="str">
        <f>Table5.C_2019!G20</f>
        <v>NO</v>
      </c>
      <c r="G1231" s="4498" t="str">
        <f>Table5.C_2020!G20</f>
        <v>NO</v>
      </c>
      <c r="H1231" s="4354"/>
      <c r="I1231" s="4387" t="str">
        <f t="shared" si="83"/>
        <v>NO</v>
      </c>
      <c r="J1231" s="4387" t="str">
        <f t="shared" si="83"/>
        <v>NO</v>
      </c>
      <c r="K1231" s="4354"/>
      <c r="L1231" s="4354"/>
      <c r="M1231" s="4354"/>
    </row>
    <row r="1232" spans="1:13" x14ac:dyDescent="0.25">
      <c r="A1232" s="4354"/>
      <c r="B1232" s="4826" t="s">
        <v>704</v>
      </c>
      <c r="C1232" s="5071"/>
      <c r="D1232" s="4779" t="str">
        <f t="shared" si="84"/>
        <v>NO</v>
      </c>
      <c r="E1232" s="4760" t="str">
        <f>Table5.C_2018!G21</f>
        <v>NO</v>
      </c>
      <c r="F1232" s="4544" t="str">
        <f>Table5.C_2019!G21</f>
        <v>NO</v>
      </c>
      <c r="G1232" s="4498" t="str">
        <f>Table5.C_2020!G21</f>
        <v>NO</v>
      </c>
      <c r="H1232" s="4354"/>
      <c r="I1232" s="4387" t="str">
        <f t="shared" si="83"/>
        <v>NO</v>
      </c>
      <c r="J1232" s="4387" t="str">
        <f t="shared" si="83"/>
        <v>NO</v>
      </c>
      <c r="K1232" s="4354"/>
      <c r="L1232" s="4354"/>
      <c r="M1232" s="4354"/>
    </row>
    <row r="1233" spans="1:13" x14ac:dyDescent="0.25">
      <c r="A1233" s="4354"/>
      <c r="B1233" s="4826" t="s">
        <v>706</v>
      </c>
      <c r="C1233" s="5071"/>
      <c r="D1233" s="4779" t="str">
        <f t="shared" si="84"/>
        <v>NO</v>
      </c>
      <c r="E1233" s="4760" t="str">
        <f>Table5.C_2018!G22</f>
        <v>NO</v>
      </c>
      <c r="F1233" s="4544" t="str">
        <f>Table5.C_2019!G22</f>
        <v>NO</v>
      </c>
      <c r="G1233" s="4498" t="str">
        <f>Table5.C_2020!G22</f>
        <v>NO</v>
      </c>
      <c r="H1233" s="4354"/>
      <c r="I1233" s="4387" t="str">
        <f t="shared" si="83"/>
        <v>NO</v>
      </c>
      <c r="J1233" s="4387" t="str">
        <f t="shared" si="83"/>
        <v>NO</v>
      </c>
      <c r="K1233" s="4354"/>
      <c r="L1233" s="4354"/>
      <c r="M1233" s="4354"/>
    </row>
    <row r="1234" spans="1:13" x14ac:dyDescent="0.25">
      <c r="A1234" s="4354"/>
      <c r="B1234" s="4818" t="s">
        <v>705</v>
      </c>
      <c r="C1234" s="5071"/>
      <c r="D1234" s="4779" t="str">
        <f t="shared" si="84"/>
        <v>NO</v>
      </c>
      <c r="E1234" s="4760" t="str">
        <f>Table5.C_2018!G23</f>
        <v>NO</v>
      </c>
      <c r="F1234" s="4544" t="str">
        <f>Table5.C_2019!G23</f>
        <v>NO</v>
      </c>
      <c r="G1234" s="4498" t="str">
        <f>Table5.C_2020!G23</f>
        <v>NO</v>
      </c>
      <c r="H1234" s="4354"/>
      <c r="I1234" s="4387" t="str">
        <f t="shared" si="83"/>
        <v>NO</v>
      </c>
      <c r="J1234" s="4387" t="str">
        <f t="shared" si="83"/>
        <v>NO</v>
      </c>
      <c r="K1234" s="4354"/>
      <c r="L1234" s="4354"/>
      <c r="M1234" s="4354"/>
    </row>
    <row r="1235" spans="1:13" x14ac:dyDescent="0.25">
      <c r="A1235" s="4354"/>
      <c r="B1235" s="4826" t="s">
        <v>704</v>
      </c>
      <c r="C1235" s="5071"/>
      <c r="D1235" s="4779" t="str">
        <f t="shared" si="84"/>
        <v>NO</v>
      </c>
      <c r="E1235" s="4760" t="str">
        <f>Table5.C_2018!G24</f>
        <v>NO</v>
      </c>
      <c r="F1235" s="4544" t="str">
        <f>Table5.C_2019!G24</f>
        <v>NO</v>
      </c>
      <c r="G1235" s="4498" t="str">
        <f>Table5.C_2020!G24</f>
        <v>NO</v>
      </c>
      <c r="H1235" s="4354"/>
      <c r="I1235" s="4387" t="str">
        <f t="shared" si="83"/>
        <v>NO</v>
      </c>
      <c r="J1235" s="4387" t="str">
        <f t="shared" si="83"/>
        <v>NO</v>
      </c>
      <c r="K1235" s="4354"/>
      <c r="L1235" s="4354"/>
      <c r="M1235" s="4354"/>
    </row>
    <row r="1236" spans="1:13" ht="15.75" thickBot="1" x14ac:dyDescent="0.3">
      <c r="A1236" s="4354"/>
      <c r="B1236" s="4827" t="s">
        <v>703</v>
      </c>
      <c r="C1236" s="5072"/>
      <c r="D1236" s="4763" t="str">
        <f t="shared" si="84"/>
        <v>NO</v>
      </c>
      <c r="E1236" s="4763" t="str">
        <f>Table5.C_2018!G25</f>
        <v>NO</v>
      </c>
      <c r="F1236" s="4513" t="str">
        <f>Table5.C_2019!G25</f>
        <v>NO</v>
      </c>
      <c r="G1236" s="4514" t="str">
        <f>Table5.C_2020!G25</f>
        <v>NO</v>
      </c>
      <c r="H1236" s="4354"/>
      <c r="I1236" s="4387" t="str">
        <f t="shared" si="83"/>
        <v>NO</v>
      </c>
      <c r="J1236" s="4387" t="str">
        <f t="shared" si="83"/>
        <v>NO</v>
      </c>
      <c r="K1236" s="4354"/>
      <c r="L1236" s="4354"/>
      <c r="M1236" s="4354"/>
    </row>
    <row r="1237" spans="1:13" x14ac:dyDescent="0.25">
      <c r="A1237" s="4354"/>
      <c r="B1237" s="4817" t="s">
        <v>714</v>
      </c>
      <c r="C1237" s="5070" t="s">
        <v>713</v>
      </c>
      <c r="D1237" s="4757">
        <f t="shared" si="84"/>
        <v>9.4557179220000002E-4</v>
      </c>
      <c r="E1237" s="4757">
        <f>Table5.C_2018!H9</f>
        <v>9.4557179220000002E-4</v>
      </c>
      <c r="F1237" s="4541">
        <f>Table5.C_2019!H9</f>
        <v>9.3699264780000005E-4</v>
      </c>
      <c r="G1237" s="4542">
        <f>Table5.C_2020!H9</f>
        <v>9.1460003099999999E-4</v>
      </c>
      <c r="H1237" s="4354"/>
      <c r="I1237" s="4387">
        <f t="shared" si="83"/>
        <v>9.0729698905668912E-3</v>
      </c>
      <c r="J1237" s="4387">
        <f t="shared" si="83"/>
        <v>2.3898391148080528E-2</v>
      </c>
      <c r="K1237" s="4354"/>
      <c r="L1237" s="4354"/>
      <c r="M1237" s="4354"/>
    </row>
    <row r="1238" spans="1:13" ht="17.25" x14ac:dyDescent="0.25">
      <c r="A1238" s="4354"/>
      <c r="B1238" s="4818" t="s">
        <v>712</v>
      </c>
      <c r="C1238" s="5071"/>
      <c r="D1238" s="4779">
        <f t="shared" si="84"/>
        <v>9.4557179220000002E-4</v>
      </c>
      <c r="E1238" s="4760">
        <f>Table5.C_2018!H10</f>
        <v>9.4557179220000002E-4</v>
      </c>
      <c r="F1238" s="4544">
        <f>Table5.C_2019!H10</f>
        <v>9.3699264780000005E-4</v>
      </c>
      <c r="G1238" s="4498">
        <f>Table5.C_2020!H10</f>
        <v>9.1460003099999999E-4</v>
      </c>
      <c r="H1238" s="4354"/>
      <c r="I1238" s="4387">
        <f t="shared" si="83"/>
        <v>9.0729698905668912E-3</v>
      </c>
      <c r="J1238" s="4387">
        <f t="shared" si="83"/>
        <v>2.3898391148080528E-2</v>
      </c>
      <c r="K1238" s="4354"/>
      <c r="L1238" s="4354"/>
      <c r="M1238" s="4354"/>
    </row>
    <row r="1239" spans="1:13" x14ac:dyDescent="0.25">
      <c r="A1239" s="4354"/>
      <c r="B1239" s="4819" t="s">
        <v>709</v>
      </c>
      <c r="C1239" s="5071"/>
      <c r="D1239" s="4779" t="str">
        <f t="shared" si="84"/>
        <v>NO</v>
      </c>
      <c r="E1239" s="4760" t="str">
        <f>Table5.C_2018!H11</f>
        <v>NO</v>
      </c>
      <c r="F1239" s="4544" t="str">
        <f>Table5.C_2019!H11</f>
        <v>NO</v>
      </c>
      <c r="G1239" s="4498" t="str">
        <f>Table5.C_2020!H11</f>
        <v>NO</v>
      </c>
      <c r="H1239" s="4354"/>
      <c r="I1239" s="4387" t="str">
        <f t="shared" si="83"/>
        <v>NO</v>
      </c>
      <c r="J1239" s="4387" t="str">
        <f t="shared" si="83"/>
        <v>NO</v>
      </c>
      <c r="K1239" s="4354"/>
      <c r="L1239" s="4354"/>
      <c r="M1239" s="4354"/>
    </row>
    <row r="1240" spans="1:13" x14ac:dyDescent="0.25">
      <c r="A1240" s="4354"/>
      <c r="B1240" s="4819" t="s">
        <v>662</v>
      </c>
      <c r="C1240" s="5071"/>
      <c r="D1240" s="4779">
        <f t="shared" si="84"/>
        <v>9.4557179220000002E-4</v>
      </c>
      <c r="E1240" s="4760">
        <f>Table5.C_2018!H13</f>
        <v>9.4557179220000002E-4</v>
      </c>
      <c r="F1240" s="4544">
        <f>Table5.C_2019!H13</f>
        <v>9.3699264780000005E-4</v>
      </c>
      <c r="G1240" s="4498">
        <f>Table5.C_2020!H13</f>
        <v>9.1460003099999999E-4</v>
      </c>
      <c r="H1240" s="4354"/>
      <c r="I1240" s="4387">
        <f t="shared" si="83"/>
        <v>9.0729698905668912E-3</v>
      </c>
      <c r="J1240" s="4387">
        <f t="shared" si="83"/>
        <v>2.3898391148080528E-2</v>
      </c>
      <c r="K1240" s="4354"/>
      <c r="L1240" s="4354"/>
      <c r="M1240" s="4354"/>
    </row>
    <row r="1241" spans="1:13" x14ac:dyDescent="0.25">
      <c r="A1241" s="4354"/>
      <c r="B1241" s="4823" t="s">
        <v>711</v>
      </c>
      <c r="C1241" s="5071"/>
      <c r="D1241" s="4779">
        <f t="shared" si="84"/>
        <v>2.6437379219999997E-4</v>
      </c>
      <c r="E1241" s="4760">
        <f>Table5.C_2018!H14</f>
        <v>2.6437379219999997E-4</v>
      </c>
      <c r="F1241" s="4544">
        <f>Table5.C_2019!H14</f>
        <v>2.5577994779999997E-4</v>
      </c>
      <c r="G1241" s="4498">
        <f>Table5.C_2020!H14</f>
        <v>2.2502303099999999E-4</v>
      </c>
      <c r="H1241" s="4354"/>
      <c r="I1241" s="4387">
        <f t="shared" si="83"/>
        <v>3.2506415739948676E-2</v>
      </c>
      <c r="J1241" s="4387">
        <f t="shared" si="83"/>
        <v>0.12024756852343055</v>
      </c>
      <c r="K1241" s="4354"/>
      <c r="L1241" s="4354"/>
      <c r="M1241" s="4354"/>
    </row>
    <row r="1242" spans="1:13" x14ac:dyDescent="0.25">
      <c r="A1242" s="4354"/>
      <c r="B1242" s="4823" t="s">
        <v>710</v>
      </c>
      <c r="C1242" s="5071"/>
      <c r="D1242" s="4779">
        <f t="shared" si="84"/>
        <v>6.8119800000000005E-4</v>
      </c>
      <c r="E1242" s="4760">
        <f>Table5.C_2018!H15</f>
        <v>6.8119800000000005E-4</v>
      </c>
      <c r="F1242" s="4544">
        <f>Table5.C_2019!H15</f>
        <v>6.8121269999999996E-4</v>
      </c>
      <c r="G1242" s="4498">
        <f>Table5.C_2020!H15</f>
        <v>6.8957700000000003E-4</v>
      </c>
      <c r="H1242" s="4354"/>
      <c r="I1242" s="4387">
        <f t="shared" si="83"/>
        <v>2.1579628830262324E-5</v>
      </c>
      <c r="J1242" s="4387">
        <f t="shared" si="83"/>
        <v>1.2278543838070055E-2</v>
      </c>
      <c r="K1242" s="4354"/>
      <c r="L1242" s="4354"/>
      <c r="M1242" s="4354"/>
    </row>
    <row r="1243" spans="1:13" x14ac:dyDescent="0.25">
      <c r="A1243" s="4354"/>
      <c r="B1243" s="4818" t="s">
        <v>705</v>
      </c>
      <c r="C1243" s="5071"/>
      <c r="D1243" s="4779" t="str">
        <f t="shared" si="84"/>
        <v>NO</v>
      </c>
      <c r="E1243" s="4760" t="str">
        <f>Table5.C_2018!H16</f>
        <v>NO</v>
      </c>
      <c r="F1243" s="4544" t="str">
        <f>Table5.C_2019!H16</f>
        <v>NO</v>
      </c>
      <c r="G1243" s="4498" t="str">
        <f>Table5.C_2020!H16</f>
        <v>NO</v>
      </c>
      <c r="H1243" s="4354"/>
      <c r="I1243" s="4387" t="str">
        <f t="shared" ref="I1243:J1306" si="85">IFERROR(ABS(F1243-E1243)/E1243,"NO")</f>
        <v>NO</v>
      </c>
      <c r="J1243" s="4387" t="str">
        <f t="shared" si="85"/>
        <v>NO</v>
      </c>
      <c r="K1243" s="4354"/>
      <c r="L1243" s="4354"/>
      <c r="M1243" s="4354"/>
    </row>
    <row r="1244" spans="1:13" x14ac:dyDescent="0.25">
      <c r="A1244" s="4354"/>
      <c r="B1244" s="4825" t="s">
        <v>709</v>
      </c>
      <c r="C1244" s="5071"/>
      <c r="D1244" s="4779" t="str">
        <f t="shared" si="84"/>
        <v>NO</v>
      </c>
      <c r="E1244" s="4760" t="str">
        <f>Table5.C_2018!H17</f>
        <v>NO</v>
      </c>
      <c r="F1244" s="4544" t="str">
        <f>Table5.C_2019!H17</f>
        <v>NO</v>
      </c>
      <c r="G1244" s="4498" t="str">
        <f>Table5.C_2020!H17</f>
        <v>NO</v>
      </c>
      <c r="H1244" s="4354"/>
      <c r="I1244" s="4387" t="str">
        <f t="shared" si="85"/>
        <v>NO</v>
      </c>
      <c r="J1244" s="4387" t="str">
        <f t="shared" si="85"/>
        <v>NO</v>
      </c>
      <c r="K1244" s="4354"/>
      <c r="L1244" s="4354"/>
      <c r="M1244" s="4354"/>
    </row>
    <row r="1245" spans="1:13" x14ac:dyDescent="0.25">
      <c r="A1245" s="4354"/>
      <c r="B1245" s="4825" t="s">
        <v>483</v>
      </c>
      <c r="C1245" s="5071"/>
      <c r="D1245" s="4779" t="str">
        <f t="shared" si="84"/>
        <v>NO</v>
      </c>
      <c r="E1245" s="4760" t="str">
        <f>Table5.C_2018!H18</f>
        <v>NO</v>
      </c>
      <c r="F1245" s="4544" t="str">
        <f>Table5.C_2019!H18</f>
        <v>NO</v>
      </c>
      <c r="G1245" s="4498" t="str">
        <f>Table5.C_2020!H18</f>
        <v>NO</v>
      </c>
      <c r="H1245" s="4354"/>
      <c r="I1245" s="4387" t="str">
        <f t="shared" si="85"/>
        <v>NO</v>
      </c>
      <c r="J1245" s="4387" t="str">
        <f t="shared" si="85"/>
        <v>NO</v>
      </c>
      <c r="K1245" s="4354"/>
      <c r="L1245" s="4354"/>
      <c r="M1245" s="4354"/>
    </row>
    <row r="1246" spans="1:13" x14ac:dyDescent="0.25">
      <c r="A1246" s="4354"/>
      <c r="B1246" s="4818" t="s">
        <v>708</v>
      </c>
      <c r="C1246" s="5071"/>
      <c r="D1246" s="4779" t="str">
        <f t="shared" si="84"/>
        <v>NO</v>
      </c>
      <c r="E1246" s="4760" t="str">
        <f>Table5.C_2018!H19</f>
        <v>NO</v>
      </c>
      <c r="F1246" s="4544" t="str">
        <f>Table5.C_2019!H19</f>
        <v>NO</v>
      </c>
      <c r="G1246" s="4498" t="str">
        <f>Table5.C_2020!H19</f>
        <v>NO</v>
      </c>
      <c r="H1246" s="4354"/>
      <c r="I1246" s="4387" t="str">
        <f t="shared" si="85"/>
        <v>NO</v>
      </c>
      <c r="J1246" s="4387" t="str">
        <f t="shared" si="85"/>
        <v>NO</v>
      </c>
      <c r="K1246" s="4354"/>
      <c r="L1246" s="4354"/>
      <c r="M1246" s="4354"/>
    </row>
    <row r="1247" spans="1:13" x14ac:dyDescent="0.25">
      <c r="A1247" s="4354"/>
      <c r="B1247" s="4818" t="s">
        <v>707</v>
      </c>
      <c r="C1247" s="5071"/>
      <c r="D1247" s="4779" t="str">
        <f t="shared" si="84"/>
        <v>NO</v>
      </c>
      <c r="E1247" s="4760" t="str">
        <f>Table5.C_2018!H20</f>
        <v>NO</v>
      </c>
      <c r="F1247" s="4544" t="str">
        <f>Table5.C_2019!H20</f>
        <v>NO</v>
      </c>
      <c r="G1247" s="4498" t="str">
        <f>Table5.C_2020!H20</f>
        <v>NO</v>
      </c>
      <c r="H1247" s="4354"/>
      <c r="I1247" s="4387" t="str">
        <f t="shared" si="85"/>
        <v>NO</v>
      </c>
      <c r="J1247" s="4387" t="str">
        <f t="shared" si="85"/>
        <v>NO</v>
      </c>
      <c r="K1247" s="4354"/>
      <c r="L1247" s="4354"/>
      <c r="M1247" s="4354"/>
    </row>
    <row r="1248" spans="1:13" x14ac:dyDescent="0.25">
      <c r="A1248" s="4354"/>
      <c r="B1248" s="4826" t="s">
        <v>704</v>
      </c>
      <c r="C1248" s="5071"/>
      <c r="D1248" s="4779" t="str">
        <f t="shared" si="84"/>
        <v>NO</v>
      </c>
      <c r="E1248" s="4760" t="str">
        <f>Table5.C_2018!H21</f>
        <v>NO</v>
      </c>
      <c r="F1248" s="4544" t="str">
        <f>Table5.C_2019!H21</f>
        <v>NO</v>
      </c>
      <c r="G1248" s="4498" t="str">
        <f>Table5.C_2020!H21</f>
        <v>NO</v>
      </c>
      <c r="H1248" s="4354"/>
      <c r="I1248" s="4387" t="str">
        <f t="shared" si="85"/>
        <v>NO</v>
      </c>
      <c r="J1248" s="4387" t="str">
        <f t="shared" si="85"/>
        <v>NO</v>
      </c>
      <c r="K1248" s="4354"/>
      <c r="L1248" s="4354"/>
      <c r="M1248" s="4354"/>
    </row>
    <row r="1249" spans="1:13" x14ac:dyDescent="0.25">
      <c r="A1249" s="4354"/>
      <c r="B1249" s="4826" t="s">
        <v>706</v>
      </c>
      <c r="C1249" s="5071"/>
      <c r="D1249" s="4779" t="str">
        <f t="shared" si="84"/>
        <v>NO</v>
      </c>
      <c r="E1249" s="4760" t="str">
        <f>Table5.C_2018!H22</f>
        <v>NO</v>
      </c>
      <c r="F1249" s="4544" t="str">
        <f>Table5.C_2019!H22</f>
        <v>NO</v>
      </c>
      <c r="G1249" s="4498" t="str">
        <f>Table5.C_2020!H22</f>
        <v>NO</v>
      </c>
      <c r="H1249" s="4354"/>
      <c r="I1249" s="4387" t="str">
        <f t="shared" si="85"/>
        <v>NO</v>
      </c>
      <c r="J1249" s="4387" t="str">
        <f t="shared" si="85"/>
        <v>NO</v>
      </c>
      <c r="K1249" s="4354"/>
      <c r="L1249" s="4354"/>
      <c r="M1249" s="4354"/>
    </row>
    <row r="1250" spans="1:13" x14ac:dyDescent="0.25">
      <c r="A1250" s="4354"/>
      <c r="B1250" s="4818" t="s">
        <v>705</v>
      </c>
      <c r="C1250" s="5071"/>
      <c r="D1250" s="4779" t="str">
        <f t="shared" si="84"/>
        <v>NO</v>
      </c>
      <c r="E1250" s="4760" t="str">
        <f>Table5.C_2018!H23</f>
        <v>NO</v>
      </c>
      <c r="F1250" s="4544" t="str">
        <f>Table5.C_2019!H23</f>
        <v>NO</v>
      </c>
      <c r="G1250" s="4498" t="str">
        <f>Table5.C_2020!H23</f>
        <v>NO</v>
      </c>
      <c r="H1250" s="4354"/>
      <c r="I1250" s="4387" t="str">
        <f t="shared" si="85"/>
        <v>NO</v>
      </c>
      <c r="J1250" s="4387" t="str">
        <f t="shared" si="85"/>
        <v>NO</v>
      </c>
      <c r="K1250" s="4354"/>
      <c r="L1250" s="4354"/>
      <c r="M1250" s="4354"/>
    </row>
    <row r="1251" spans="1:13" x14ac:dyDescent="0.25">
      <c r="A1251" s="4354"/>
      <c r="B1251" s="4826" t="s">
        <v>704</v>
      </c>
      <c r="C1251" s="5071"/>
      <c r="D1251" s="4779" t="str">
        <f t="shared" si="84"/>
        <v>NO</v>
      </c>
      <c r="E1251" s="4760" t="str">
        <f>Table5.C_2018!H24</f>
        <v>NO</v>
      </c>
      <c r="F1251" s="4544" t="str">
        <f>Table5.C_2019!H24</f>
        <v>NO</v>
      </c>
      <c r="G1251" s="4498" t="str">
        <f>Table5.C_2020!H24</f>
        <v>NO</v>
      </c>
      <c r="H1251" s="4354"/>
      <c r="I1251" s="4387" t="str">
        <f t="shared" si="85"/>
        <v>NO</v>
      </c>
      <c r="J1251" s="4387" t="str">
        <f t="shared" si="85"/>
        <v>NO</v>
      </c>
      <c r="K1251" s="4354"/>
      <c r="L1251" s="4354"/>
      <c r="M1251" s="4354"/>
    </row>
    <row r="1252" spans="1:13" ht="15.75" thickBot="1" x14ac:dyDescent="0.3">
      <c r="A1252" s="4354"/>
      <c r="B1252" s="4827" t="s">
        <v>703</v>
      </c>
      <c r="C1252" s="5072"/>
      <c r="D1252" s="4763" t="str">
        <f t="shared" si="84"/>
        <v>NO</v>
      </c>
      <c r="E1252" s="4763" t="str">
        <f>Table5.C_2018!H25</f>
        <v>NO</v>
      </c>
      <c r="F1252" s="4513" t="str">
        <f>Table5.C_2019!H25</f>
        <v>NO</v>
      </c>
      <c r="G1252" s="4514" t="str">
        <f>Table5.C_2020!H25</f>
        <v>NO</v>
      </c>
      <c r="H1252" s="4354"/>
      <c r="I1252" s="4387" t="str">
        <f t="shared" si="85"/>
        <v>NO</v>
      </c>
      <c r="J1252" s="4387" t="str">
        <f t="shared" si="85"/>
        <v>NO</v>
      </c>
      <c r="K1252" s="4354"/>
      <c r="L1252" s="4354"/>
      <c r="M1252" s="4354"/>
    </row>
    <row r="1253" spans="1:13" x14ac:dyDescent="0.25">
      <c r="A1253" s="4354"/>
      <c r="B1253" s="4833"/>
      <c r="C1253" s="4833"/>
      <c r="D1253" s="4504">
        <f t="shared" si="84"/>
        <v>0</v>
      </c>
      <c r="E1253" s="4834"/>
      <c r="F1253" s="4504"/>
      <c r="G1253" s="4354"/>
      <c r="H1253" s="4354"/>
      <c r="I1253" s="4387" t="str">
        <f t="shared" si="85"/>
        <v>NO</v>
      </c>
      <c r="J1253" s="4387" t="str">
        <f t="shared" si="85"/>
        <v>NO</v>
      </c>
      <c r="K1253" s="4354"/>
      <c r="L1253" s="4354"/>
      <c r="M1253" s="4354"/>
    </row>
    <row r="1254" spans="1:13" ht="14.45" customHeight="1" x14ac:dyDescent="0.25">
      <c r="A1254" s="4354"/>
      <c r="B1254" s="4402" t="s">
        <v>651</v>
      </c>
      <c r="C1254" s="4833"/>
      <c r="D1254" s="4816" t="str">
        <f t="shared" si="84"/>
        <v xml:space="preserve"> NIR 2020 (2018) CRF tabel 5.C</v>
      </c>
      <c r="E1254" s="4481" t="s">
        <v>5298</v>
      </c>
      <c r="F1254" s="4481" t="s">
        <v>5299</v>
      </c>
      <c r="G1254" s="4481" t="s">
        <v>5300</v>
      </c>
      <c r="H1254" s="4354"/>
      <c r="I1254" s="4387" t="str">
        <f t="shared" si="85"/>
        <v>NO</v>
      </c>
      <c r="J1254" s="4387" t="str">
        <f t="shared" si="85"/>
        <v>NO</v>
      </c>
      <c r="K1254" s="4354"/>
      <c r="L1254" s="4354"/>
      <c r="M1254" s="4354"/>
    </row>
    <row r="1255" spans="1:13" x14ac:dyDescent="0.25">
      <c r="A1255" s="4354"/>
      <c r="B1255" s="4354"/>
      <c r="C1255" s="4354"/>
      <c r="D1255" s="4354" t="str">
        <f t="shared" ref="D1255:D1256" si="86">""&amp;IF($D$3=$E$3,E1255,IF($D$3=$F$3,F1255,IF($D$3=$G$3,G1255,"-")))</f>
        <v/>
      </c>
      <c r="E1255" s="4835"/>
      <c r="F1255" s="4354"/>
      <c r="G1255" s="4354"/>
      <c r="H1255" s="4354"/>
      <c r="I1255" s="4387" t="str">
        <f t="shared" si="85"/>
        <v>NO</v>
      </c>
      <c r="J1255" s="4387" t="str">
        <f t="shared" si="85"/>
        <v>NO</v>
      </c>
      <c r="K1255" s="4354"/>
      <c r="L1255" s="4354"/>
      <c r="M1255" s="4354"/>
    </row>
    <row r="1256" spans="1:13" s="640" customFormat="1" ht="30" customHeight="1" x14ac:dyDescent="0.3">
      <c r="A1256" s="4357"/>
      <c r="B1256" s="4432" t="s">
        <v>702</v>
      </c>
      <c r="C1256" s="4357"/>
      <c r="D1256" s="4357" t="str">
        <f t="shared" si="86"/>
        <v/>
      </c>
      <c r="E1256" s="4357"/>
      <c r="F1256" s="4357"/>
      <c r="G1256" s="4357"/>
      <c r="H1256" s="4357"/>
      <c r="I1256" s="4387" t="str">
        <f t="shared" si="85"/>
        <v>NO</v>
      </c>
      <c r="J1256" s="4387" t="str">
        <f t="shared" si="85"/>
        <v>NO</v>
      </c>
      <c r="K1256" s="4357"/>
      <c r="L1256" s="4357"/>
      <c r="M1256" s="4357"/>
    </row>
    <row r="1257" spans="1:13" ht="15.75" thickBot="1" x14ac:dyDescent="0.3">
      <c r="A1257" s="4354"/>
      <c r="B1257" s="4354"/>
      <c r="C1257" s="4354"/>
      <c r="D1257" s="4356" t="str">
        <f t="shared" ref="D1257:D1321" si="87">""&amp;IF($D$3=$E$3,E1257,IF($D$3=$F$3,F1257,IF($D$3=$G$3,G1257,"-")))</f>
        <v/>
      </c>
      <c r="E1257" s="4356"/>
      <c r="F1257" s="4354"/>
      <c r="G1257" s="4354"/>
      <c r="H1257" s="4354"/>
      <c r="I1257" s="4387" t="str">
        <f t="shared" si="85"/>
        <v>NO</v>
      </c>
      <c r="J1257" s="4387" t="str">
        <f t="shared" si="85"/>
        <v>NO</v>
      </c>
      <c r="K1257" s="4354"/>
      <c r="L1257" s="4354"/>
      <c r="M1257" s="4354"/>
    </row>
    <row r="1258" spans="1:13" ht="15.75" thickBot="1" x14ac:dyDescent="0.3">
      <c r="A1258" s="4354"/>
      <c r="B1258" s="4836" t="s">
        <v>2530</v>
      </c>
      <c r="C1258" s="4837"/>
      <c r="D1258" s="4838" t="str">
        <f t="shared" si="87"/>
        <v>kton DC/år</v>
      </c>
      <c r="E1258" s="4830" t="s">
        <v>701</v>
      </c>
      <c r="F1258" s="4831" t="s">
        <v>701</v>
      </c>
      <c r="G1258" s="4839" t="s">
        <v>701</v>
      </c>
      <c r="H1258" s="4354"/>
      <c r="I1258" s="4387" t="str">
        <f t="shared" si="85"/>
        <v>NO</v>
      </c>
      <c r="J1258" s="4387" t="str">
        <f t="shared" si="85"/>
        <v>NO</v>
      </c>
      <c r="K1258" s="4354"/>
      <c r="L1258" s="4354"/>
      <c r="M1258" s="4354"/>
    </row>
    <row r="1259" spans="1:13" x14ac:dyDescent="0.25">
      <c r="A1259" s="4354"/>
      <c r="B1259" s="4840" t="s">
        <v>691</v>
      </c>
      <c r="C1259" s="5050" t="s">
        <v>700</v>
      </c>
      <c r="D1259" s="4841">
        <f>IF($D$3=$E$3,E1259,IF($D$3=$F$3,F1259,IF($D$3=$G$3,G1259,"-")))</f>
        <v>398.27049038000001</v>
      </c>
      <c r="E1259" s="4842">
        <f>Table5.D_2018!B10</f>
        <v>398.27049038000001</v>
      </c>
      <c r="F1259" s="4843">
        <f>Table5.D_2019!B10</f>
        <v>391.92698189999999</v>
      </c>
      <c r="G1259" s="4844">
        <f>Table5.D_2020!B10</f>
        <v>391.03407099999998</v>
      </c>
      <c r="H1259" s="4354"/>
      <c r="I1259" s="4387">
        <f t="shared" si="85"/>
        <v>1.5927638710936186E-2</v>
      </c>
      <c r="J1259" s="4387">
        <f t="shared" si="85"/>
        <v>2.2782583012563033E-3</v>
      </c>
      <c r="K1259" s="4354"/>
      <c r="L1259" s="4354"/>
      <c r="M1259" s="4354"/>
    </row>
    <row r="1260" spans="1:13" x14ac:dyDescent="0.25">
      <c r="A1260" s="4354"/>
      <c r="B1260" s="4845" t="s">
        <v>689</v>
      </c>
      <c r="C1260" s="5051"/>
      <c r="D1260" s="4841" t="str">
        <f t="shared" ref="D1260:D1293" si="88">IF($D$3=$E$3,E1260,IF($D$3=$F$3,F1260,IF($D$3=$G$3,G1260,"-")))</f>
        <v>IE</v>
      </c>
      <c r="E1260" s="4846" t="str">
        <f>Table5.D_2018!B11</f>
        <v>IE</v>
      </c>
      <c r="F1260" s="4847" t="str">
        <f>Table5.D_2019!B11</f>
        <v>IE</v>
      </c>
      <c r="G1260" s="4848" t="str">
        <f>Table5.D_2020!B11</f>
        <v>IE</v>
      </c>
      <c r="H1260" s="4354"/>
      <c r="I1260" s="4387" t="str">
        <f t="shared" si="85"/>
        <v>NO</v>
      </c>
      <c r="J1260" s="4387" t="str">
        <f t="shared" si="85"/>
        <v>NO</v>
      </c>
      <c r="K1260" s="4354"/>
      <c r="L1260" s="4354"/>
      <c r="M1260" s="4354"/>
    </row>
    <row r="1261" spans="1:13" ht="15.75" thickBot="1" x14ac:dyDescent="0.3">
      <c r="A1261" s="4354"/>
      <c r="B1261" s="4849" t="s">
        <v>688</v>
      </c>
      <c r="C1261" s="5052"/>
      <c r="D1261" s="4841" t="str">
        <f t="shared" si="88"/>
        <v>NO</v>
      </c>
      <c r="E1261" s="4850" t="str">
        <f>Table5.D_2018!B12</f>
        <v>NO</v>
      </c>
      <c r="F1261" s="4847" t="str">
        <f>Table5.D_2019!B12</f>
        <v>NO</v>
      </c>
      <c r="G1261" s="4848" t="str">
        <f>Table5.D_2020!B12</f>
        <v>NO</v>
      </c>
      <c r="H1261" s="4354"/>
      <c r="I1261" s="4387" t="str">
        <f t="shared" si="85"/>
        <v>NO</v>
      </c>
      <c r="J1261" s="4387" t="str">
        <f t="shared" si="85"/>
        <v>NO</v>
      </c>
      <c r="K1261" s="4354"/>
      <c r="L1261" s="4354"/>
      <c r="M1261" s="4354"/>
    </row>
    <row r="1262" spans="1:13" ht="15.75" thickBot="1" x14ac:dyDescent="0.3">
      <c r="A1262" s="4354"/>
      <c r="B1262" s="4836"/>
      <c r="C1262" s="4837"/>
      <c r="D1262" s="4829" t="str">
        <f t="shared" si="88"/>
        <v>kton N/år</v>
      </c>
      <c r="E1262" s="4851" t="s">
        <v>698</v>
      </c>
      <c r="F1262" s="4852" t="s">
        <v>698</v>
      </c>
      <c r="G1262" s="4853" t="s">
        <v>698</v>
      </c>
      <c r="H1262" s="4354"/>
      <c r="I1262" s="4387" t="str">
        <f t="shared" si="85"/>
        <v>NO</v>
      </c>
      <c r="J1262" s="4387" t="str">
        <f t="shared" si="85"/>
        <v>NO</v>
      </c>
      <c r="K1262" s="4354"/>
      <c r="L1262" s="4354"/>
      <c r="M1262" s="4354"/>
    </row>
    <row r="1263" spans="1:13" x14ac:dyDescent="0.25">
      <c r="A1263" s="4354"/>
      <c r="B1263" s="4840" t="s">
        <v>691</v>
      </c>
      <c r="C1263" s="5050" t="s">
        <v>699</v>
      </c>
      <c r="D1263" s="4841">
        <f t="shared" si="88"/>
        <v>65.624678951000007</v>
      </c>
      <c r="E1263" s="4846">
        <f>Table5.D_2018!C10</f>
        <v>65.624678951000007</v>
      </c>
      <c r="F1263" s="4847">
        <f>Table5.D_2019!C10</f>
        <v>47.742054262000003</v>
      </c>
      <c r="G1263" s="4848">
        <f>Table5.D_2020!C10</f>
        <v>42.957351281000001</v>
      </c>
      <c r="H1263" s="4354"/>
      <c r="I1263" s="4387">
        <f t="shared" si="85"/>
        <v>0.27249847122836862</v>
      </c>
      <c r="J1263" s="4387">
        <f t="shared" si="85"/>
        <v>0.10021988066835988</v>
      </c>
      <c r="K1263" s="4354"/>
      <c r="L1263" s="4354"/>
      <c r="M1263" s="4354"/>
    </row>
    <row r="1264" spans="1:13" x14ac:dyDescent="0.25">
      <c r="A1264" s="4354"/>
      <c r="B1264" s="4845" t="s">
        <v>689</v>
      </c>
      <c r="C1264" s="5051"/>
      <c r="D1264" s="4841" t="str">
        <f t="shared" si="88"/>
        <v>IE</v>
      </c>
      <c r="E1264" s="4846" t="str">
        <f>Table5.D_2018!C11</f>
        <v>IE</v>
      </c>
      <c r="F1264" s="4847" t="str">
        <f>Table5.D_2019!C11</f>
        <v>IE</v>
      </c>
      <c r="G1264" s="4848" t="str">
        <f>Table5.D_2020!C11</f>
        <v>IE</v>
      </c>
      <c r="H1264" s="4354"/>
      <c r="I1264" s="4387" t="str">
        <f t="shared" si="85"/>
        <v>NO</v>
      </c>
      <c r="J1264" s="4387" t="str">
        <f t="shared" si="85"/>
        <v>NO</v>
      </c>
      <c r="K1264" s="4354"/>
      <c r="L1264" s="4354"/>
      <c r="M1264" s="4354"/>
    </row>
    <row r="1265" spans="1:13" ht="15.75" thickBot="1" x14ac:dyDescent="0.3">
      <c r="A1265" s="4354"/>
      <c r="B1265" s="4849" t="s">
        <v>688</v>
      </c>
      <c r="C1265" s="5052"/>
      <c r="D1265" s="4841" t="str">
        <f t="shared" si="88"/>
        <v>NO</v>
      </c>
      <c r="E1265" s="4846" t="str">
        <f>Table5.D_2018!C12</f>
        <v>NO</v>
      </c>
      <c r="F1265" s="4847" t="str">
        <f>Table5.D_2019!C12</f>
        <v>NO</v>
      </c>
      <c r="G1265" s="4848" t="str">
        <f>Table5.D_2020!C12</f>
        <v>NO</v>
      </c>
      <c r="H1265" s="4354"/>
      <c r="I1265" s="4387" t="str">
        <f t="shared" si="85"/>
        <v>NO</v>
      </c>
      <c r="J1265" s="4387" t="str">
        <f t="shared" si="85"/>
        <v>NO</v>
      </c>
      <c r="K1265" s="4354"/>
      <c r="L1265" s="4354"/>
      <c r="M1265" s="4354"/>
    </row>
    <row r="1266" spans="1:13" ht="15.75" thickBot="1" x14ac:dyDescent="0.3">
      <c r="A1266" s="4354"/>
      <c r="B1266" s="4836"/>
      <c r="C1266" s="4837"/>
      <c r="D1266" s="4829" t="str">
        <f t="shared" si="88"/>
        <v>kton N/år</v>
      </c>
      <c r="E1266" s="4829" t="s">
        <v>698</v>
      </c>
      <c r="F1266" s="4854" t="s">
        <v>698</v>
      </c>
      <c r="G1266" s="4855" t="s">
        <v>698</v>
      </c>
      <c r="H1266" s="4354"/>
      <c r="I1266" s="4387" t="str">
        <f t="shared" si="85"/>
        <v>NO</v>
      </c>
      <c r="J1266" s="4387" t="str">
        <f t="shared" si="85"/>
        <v>NO</v>
      </c>
      <c r="K1266" s="4354"/>
      <c r="L1266" s="4354"/>
      <c r="M1266" s="4354"/>
    </row>
    <row r="1267" spans="1:13" x14ac:dyDescent="0.25">
      <c r="A1267" s="4354"/>
      <c r="B1267" s="4840" t="s">
        <v>691</v>
      </c>
      <c r="C1267" s="5050" t="s">
        <v>697</v>
      </c>
      <c r="D1267" s="4856">
        <f t="shared" si="88"/>
        <v>3.1267286780000001</v>
      </c>
      <c r="E1267" s="4846">
        <f>Table5.D_2018!D10</f>
        <v>3.1267286780000001</v>
      </c>
      <c r="F1267" s="4847">
        <f>Table5.D_2019!D10</f>
        <v>3.6541461039000001</v>
      </c>
      <c r="G1267" s="4848">
        <f>Table5.D_2020!D10</f>
        <v>3.2450480374000001</v>
      </c>
      <c r="H1267" s="4354"/>
      <c r="I1267" s="4387">
        <f t="shared" si="85"/>
        <v>0.16868026625110322</v>
      </c>
      <c r="J1267" s="4387">
        <f t="shared" si="85"/>
        <v>0.11195449083532194</v>
      </c>
      <c r="K1267" s="4354"/>
      <c r="L1267" s="4354"/>
      <c r="M1267" s="4354"/>
    </row>
    <row r="1268" spans="1:13" x14ac:dyDescent="0.25">
      <c r="A1268" s="4354"/>
      <c r="B1268" s="4845" t="s">
        <v>689</v>
      </c>
      <c r="C1268" s="5051"/>
      <c r="D1268" s="4857">
        <f t="shared" si="88"/>
        <v>4.6363058207999996</v>
      </c>
      <c r="E1268" s="4846">
        <f>Table5.D_2018!D11</f>
        <v>4.6363058207999996</v>
      </c>
      <c r="F1268" s="4847">
        <f>Table5.D_2019!D11</f>
        <v>0.34</v>
      </c>
      <c r="G1268" s="4848">
        <f>Table5.D_2020!D11</f>
        <v>0.28264099751999999</v>
      </c>
      <c r="H1268" s="4354"/>
      <c r="I1268" s="4387">
        <f t="shared" si="85"/>
        <v>0.92666575218687097</v>
      </c>
      <c r="J1268" s="4387">
        <f t="shared" si="85"/>
        <v>0.16870294847058831</v>
      </c>
      <c r="K1268" s="4354"/>
      <c r="L1268" s="4354"/>
      <c r="M1268" s="4354"/>
    </row>
    <row r="1269" spans="1:13" ht="15.75" thickBot="1" x14ac:dyDescent="0.3">
      <c r="A1269" s="4354"/>
      <c r="B1269" s="4849" t="s">
        <v>688</v>
      </c>
      <c r="C1269" s="5052"/>
      <c r="D1269" s="4858" t="str">
        <f t="shared" si="88"/>
        <v>NO</v>
      </c>
      <c r="E1269" s="4850" t="str">
        <f>Table5.D_2018!D12</f>
        <v>NO</v>
      </c>
      <c r="F1269" s="4859" t="str">
        <f>Table5.D_2019!D12</f>
        <v>NO</v>
      </c>
      <c r="G1269" s="4860" t="str">
        <f>Table5.D_2020!D12</f>
        <v>NO</v>
      </c>
      <c r="H1269" s="4354"/>
      <c r="I1269" s="4387" t="str">
        <f t="shared" si="85"/>
        <v>NO</v>
      </c>
      <c r="J1269" s="4387" t="str">
        <f t="shared" si="85"/>
        <v>NO</v>
      </c>
      <c r="K1269" s="4354"/>
      <c r="L1269" s="4354"/>
      <c r="M1269" s="4354"/>
    </row>
    <row r="1270" spans="1:13" ht="15.75" thickBot="1" x14ac:dyDescent="0.3">
      <c r="A1270" s="4354"/>
      <c r="B1270" s="5053" t="s">
        <v>2549</v>
      </c>
      <c r="C1270" s="5054"/>
      <c r="D1270" s="4829" t="str">
        <f t="shared" si="88"/>
        <v>kg/kg DC</v>
      </c>
      <c r="E1270" s="4861" t="s">
        <v>2546</v>
      </c>
      <c r="F1270" s="4862" t="s">
        <v>2546</v>
      </c>
      <c r="G1270" s="4863" t="s">
        <v>2546</v>
      </c>
      <c r="H1270" s="4354"/>
      <c r="I1270" s="4387" t="str">
        <f t="shared" si="85"/>
        <v>NO</v>
      </c>
      <c r="J1270" s="4387" t="str">
        <f t="shared" si="85"/>
        <v>NO</v>
      </c>
      <c r="K1270" s="4354"/>
      <c r="L1270" s="4354"/>
      <c r="M1270" s="4354"/>
    </row>
    <row r="1271" spans="1:13" x14ac:dyDescent="0.25">
      <c r="A1271" s="4354"/>
      <c r="B1271" s="4840" t="s">
        <v>691</v>
      </c>
      <c r="C1271" s="5050" t="s">
        <v>683</v>
      </c>
      <c r="D1271" s="4856">
        <f t="shared" si="88"/>
        <v>7.2940561421719993E-2</v>
      </c>
      <c r="E1271" s="4864">
        <f>Table5.D_2018!E10</f>
        <v>7.2940561421719993E-2</v>
      </c>
      <c r="F1271" s="4865">
        <f>Table5.D_2019!E10</f>
        <v>8.9309705556290003E-2</v>
      </c>
      <c r="G1271" s="4866">
        <f>Table5.D_2020!E10</f>
        <v>9.3914063672500006E-2</v>
      </c>
      <c r="H1271" s="4354"/>
      <c r="I1271" s="4387">
        <f t="shared" si="85"/>
        <v>0.22441757803218199</v>
      </c>
      <c r="J1271" s="4387">
        <f t="shared" si="85"/>
        <v>5.1554957969355011E-2</v>
      </c>
      <c r="K1271" s="4354"/>
      <c r="L1271" s="4354"/>
      <c r="M1271" s="4354"/>
    </row>
    <row r="1272" spans="1:13" x14ac:dyDescent="0.25">
      <c r="A1272" s="4354"/>
      <c r="B1272" s="4845" t="s">
        <v>689</v>
      </c>
      <c r="C1272" s="5051"/>
      <c r="D1272" s="4857" t="str">
        <f t="shared" si="88"/>
        <v>NO,IE</v>
      </c>
      <c r="E1272" s="4867" t="str">
        <f>Table5.D_2018!E11</f>
        <v>NO,IE</v>
      </c>
      <c r="F1272" s="4868" t="str">
        <f>Table5.D_2019!E11</f>
        <v>NO,IE</v>
      </c>
      <c r="G1272" s="4869" t="str">
        <f>Table5.D_2020!E11</f>
        <v>NO,IE</v>
      </c>
      <c r="H1272" s="4354"/>
      <c r="I1272" s="4387" t="str">
        <f t="shared" si="85"/>
        <v>NO</v>
      </c>
      <c r="J1272" s="4387" t="str">
        <f t="shared" si="85"/>
        <v>NO</v>
      </c>
      <c r="K1272" s="4354"/>
      <c r="L1272" s="4354"/>
      <c r="M1272" s="4354"/>
    </row>
    <row r="1273" spans="1:13" ht="15.75" thickBot="1" x14ac:dyDescent="0.3">
      <c r="A1273" s="4354"/>
      <c r="B1273" s="4849" t="s">
        <v>688</v>
      </c>
      <c r="C1273" s="5052"/>
      <c r="D1273" s="4858" t="str">
        <f t="shared" si="88"/>
        <v>NO</v>
      </c>
      <c r="E1273" s="4870" t="str">
        <f>Table5.D_2018!E12</f>
        <v>NO</v>
      </c>
      <c r="F1273" s="4871" t="str">
        <f>Table5.D_2019!E12</f>
        <v>NO</v>
      </c>
      <c r="G1273" s="4872" t="str">
        <f>Table5.D_2020!E12</f>
        <v>NO</v>
      </c>
      <c r="H1273" s="4354"/>
      <c r="I1273" s="4387" t="str">
        <f t="shared" si="85"/>
        <v>NO</v>
      </c>
      <c r="J1273" s="4387" t="str">
        <f t="shared" si="85"/>
        <v>NO</v>
      </c>
      <c r="K1273" s="4354"/>
      <c r="L1273" s="4354"/>
      <c r="M1273" s="4354"/>
    </row>
    <row r="1274" spans="1:13" ht="15.75" thickBot="1" x14ac:dyDescent="0.3">
      <c r="A1274" s="4354"/>
      <c r="B1274" s="5053" t="s">
        <v>2549</v>
      </c>
      <c r="C1274" s="5054"/>
      <c r="D1274" s="4829" t="str">
        <f t="shared" si="88"/>
        <v>kg N2O-N/kg N</v>
      </c>
      <c r="E1274" s="4873" t="s">
        <v>1745</v>
      </c>
      <c r="F1274" s="4874" t="s">
        <v>1745</v>
      </c>
      <c r="G1274" s="4875" t="s">
        <v>1745</v>
      </c>
      <c r="H1274" s="4354"/>
      <c r="I1274" s="4387" t="str">
        <f t="shared" si="85"/>
        <v>NO</v>
      </c>
      <c r="J1274" s="4387" t="str">
        <f t="shared" si="85"/>
        <v>NO</v>
      </c>
      <c r="K1274" s="4354"/>
      <c r="L1274" s="4354"/>
      <c r="M1274" s="4354"/>
    </row>
    <row r="1275" spans="1:13" x14ac:dyDescent="0.25">
      <c r="A1275" s="4354"/>
      <c r="B1275" s="4840" t="s">
        <v>691</v>
      </c>
      <c r="C1275" s="5050" t="s">
        <v>690</v>
      </c>
      <c r="D1275" s="4857">
        <f t="shared" si="88"/>
        <v>3.9942173863819999E-2</v>
      </c>
      <c r="E1275" s="4846">
        <f>Table5.D_2018!F10</f>
        <v>3.9942173863819999E-2</v>
      </c>
      <c r="F1275" s="4847">
        <f>Table5.D_2019!F10</f>
        <v>7.7031509190469999E-2</v>
      </c>
      <c r="G1275" s="4848">
        <f>Table5.D_2020!F10</f>
        <v>8.7493051226980006E-2</v>
      </c>
      <c r="H1275" s="4354"/>
      <c r="I1275" s="4387">
        <f t="shared" si="85"/>
        <v>0.92857578190669965</v>
      </c>
      <c r="J1275" s="4387">
        <f t="shared" si="85"/>
        <v>0.13580860801574771</v>
      </c>
      <c r="K1275" s="4354"/>
      <c r="L1275" s="4354"/>
      <c r="M1275" s="4354"/>
    </row>
    <row r="1276" spans="1:13" x14ac:dyDescent="0.25">
      <c r="A1276" s="4354"/>
      <c r="B1276" s="4845" t="s">
        <v>689</v>
      </c>
      <c r="C1276" s="5051"/>
      <c r="D1276" s="4857">
        <f t="shared" si="88"/>
        <v>3.1750000000300002E-3</v>
      </c>
      <c r="E1276" s="4846">
        <f>Table5.D_2018!F11</f>
        <v>3.1750000000300002E-3</v>
      </c>
      <c r="F1276" s="4847">
        <f>Table5.D_2019!F11</f>
        <v>7.3585438247409998E-2</v>
      </c>
      <c r="G1276" s="4848">
        <f>Table5.D_2020!F11</f>
        <v>0.10499999999836999</v>
      </c>
      <c r="H1276" s="4354"/>
      <c r="I1276" s="4387">
        <f t="shared" si="85"/>
        <v>22.176515983217229</v>
      </c>
      <c r="J1276" s="4387">
        <f t="shared" si="85"/>
        <v>0.4269127493042511</v>
      </c>
      <c r="K1276" s="4354"/>
      <c r="L1276" s="4354"/>
      <c r="M1276" s="4354"/>
    </row>
    <row r="1277" spans="1:13" ht="15.75" thickBot="1" x14ac:dyDescent="0.3">
      <c r="A1277" s="4354"/>
      <c r="B1277" s="4849" t="s">
        <v>688</v>
      </c>
      <c r="C1277" s="5052"/>
      <c r="D1277" s="4858" t="str">
        <f t="shared" si="88"/>
        <v>NO</v>
      </c>
      <c r="E1277" s="4850" t="str">
        <f>Table5.D_2018!F12</f>
        <v>NO</v>
      </c>
      <c r="F1277" s="4859" t="str">
        <f>Table5.D_2019!F12</f>
        <v>NO</v>
      </c>
      <c r="G1277" s="4860" t="str">
        <f>Table5.D_2020!F12</f>
        <v>NO</v>
      </c>
      <c r="H1277" s="4354"/>
      <c r="I1277" s="4387" t="str">
        <f t="shared" si="85"/>
        <v>NO</v>
      </c>
      <c r="J1277" s="4387" t="str">
        <f t="shared" si="85"/>
        <v>NO</v>
      </c>
      <c r="K1277" s="4354"/>
      <c r="L1277" s="4354"/>
      <c r="M1277" s="4354"/>
    </row>
    <row r="1278" spans="1:13" ht="15.75" thickBot="1" x14ac:dyDescent="0.3">
      <c r="A1278" s="4354"/>
      <c r="B1278" s="4836" t="s">
        <v>2541</v>
      </c>
      <c r="C1278" s="4837"/>
      <c r="D1278" s="4829" t="str">
        <f t="shared" si="88"/>
        <v xml:space="preserve">kton </v>
      </c>
      <c r="E1278" s="4851" t="s">
        <v>694</v>
      </c>
      <c r="F1278" s="4852" t="s">
        <v>694</v>
      </c>
      <c r="G1278" s="4853" t="s">
        <v>694</v>
      </c>
      <c r="H1278" s="4354"/>
      <c r="I1278" s="4387" t="str">
        <f t="shared" si="85"/>
        <v>NO</v>
      </c>
      <c r="J1278" s="4387" t="str">
        <f t="shared" si="85"/>
        <v>NO</v>
      </c>
      <c r="K1278" s="4354"/>
      <c r="L1278" s="4354"/>
      <c r="M1278" s="4354"/>
    </row>
    <row r="1279" spans="1:13" x14ac:dyDescent="0.25">
      <c r="A1279" s="4354"/>
      <c r="B1279" s="4840" t="s">
        <v>691</v>
      </c>
      <c r="C1279" s="5050" t="s">
        <v>696</v>
      </c>
      <c r="D1279" s="4841">
        <f t="shared" si="88"/>
        <v>2.0302402248190701</v>
      </c>
      <c r="E1279" s="4846">
        <f>Table5.D_2018!G10</f>
        <v>2.0302402248190701</v>
      </c>
      <c r="F1279" s="4847">
        <f>Table5.D_2019!G10</f>
        <v>2.09482591695377</v>
      </c>
      <c r="G1279" s="4848">
        <f>Table5.D_2020!G10</f>
        <v>2.11612396770925</v>
      </c>
      <c r="H1279" s="4354"/>
      <c r="I1279" s="4387">
        <f t="shared" si="85"/>
        <v>3.1811847359322028E-2</v>
      </c>
      <c r="J1279" s="4387">
        <f t="shared" si="85"/>
        <v>1.0166978832518473E-2</v>
      </c>
      <c r="K1279" s="4354"/>
      <c r="L1279" s="4354"/>
      <c r="M1279" s="4354"/>
    </row>
    <row r="1280" spans="1:13" x14ac:dyDescent="0.25">
      <c r="A1280" s="4354"/>
      <c r="B1280" s="4845" t="s">
        <v>689</v>
      </c>
      <c r="C1280" s="5051"/>
      <c r="D1280" s="4841" t="str">
        <f t="shared" si="88"/>
        <v>IE</v>
      </c>
      <c r="E1280" s="4846" t="str">
        <f>Table5.D_2018!G11</f>
        <v>IE</v>
      </c>
      <c r="F1280" s="4847" t="str">
        <f>Table5.D_2019!G11</f>
        <v>IE</v>
      </c>
      <c r="G1280" s="4848" t="str">
        <f>Table5.D_2020!G11</f>
        <v>IE</v>
      </c>
      <c r="H1280" s="4354"/>
      <c r="I1280" s="4387" t="str">
        <f t="shared" si="85"/>
        <v>NO</v>
      </c>
      <c r="J1280" s="4387" t="str">
        <f t="shared" si="85"/>
        <v>NO</v>
      </c>
      <c r="K1280" s="4354"/>
      <c r="L1280" s="4354"/>
      <c r="M1280" s="4354"/>
    </row>
    <row r="1281" spans="1:13" ht="15.75" thickBot="1" x14ac:dyDescent="0.3">
      <c r="A1281" s="4354"/>
      <c r="B1281" s="4849" t="s">
        <v>688</v>
      </c>
      <c r="C1281" s="5052"/>
      <c r="D1281" s="4841" t="str">
        <f t="shared" si="88"/>
        <v>NO</v>
      </c>
      <c r="E1281" s="4846" t="str">
        <f>Table5.D_2018!G12</f>
        <v>NO</v>
      </c>
      <c r="F1281" s="4847" t="str">
        <f>Table5.D_2019!G12</f>
        <v>NO</v>
      </c>
      <c r="G1281" s="4848" t="str">
        <f>Table5.D_2020!G12</f>
        <v>NO</v>
      </c>
      <c r="H1281" s="4354"/>
      <c r="I1281" s="4387" t="str">
        <f t="shared" si="85"/>
        <v>NO</v>
      </c>
      <c r="J1281" s="4387" t="str">
        <f t="shared" si="85"/>
        <v>NO</v>
      </c>
      <c r="K1281" s="4354"/>
      <c r="L1281" s="4354"/>
      <c r="M1281" s="4354"/>
    </row>
    <row r="1282" spans="1:13" ht="15.75" thickBot="1" x14ac:dyDescent="0.3">
      <c r="A1282" s="4354"/>
      <c r="B1282" s="4836" t="s">
        <v>2541</v>
      </c>
      <c r="C1282" s="4837"/>
      <c r="D1282" s="4829" t="str">
        <f t="shared" si="88"/>
        <v>kton</v>
      </c>
      <c r="E1282" s="4829" t="s">
        <v>665</v>
      </c>
      <c r="F1282" s="4854" t="s">
        <v>665</v>
      </c>
      <c r="G1282" s="4855" t="s">
        <v>665</v>
      </c>
      <c r="H1282" s="4354"/>
      <c r="I1282" s="4387" t="str">
        <f t="shared" si="85"/>
        <v>NO</v>
      </c>
      <c r="J1282" s="4387" t="str">
        <f t="shared" si="85"/>
        <v>NO</v>
      </c>
      <c r="K1282" s="4354"/>
      <c r="L1282" s="4354"/>
      <c r="M1282" s="4354"/>
    </row>
    <row r="1283" spans="1:13" x14ac:dyDescent="0.25">
      <c r="A1283" s="4354"/>
      <c r="B1283" s="4840" t="s">
        <v>691</v>
      </c>
      <c r="C1283" s="5050" t="s">
        <v>695</v>
      </c>
      <c r="D1283" s="4856">
        <f t="shared" si="88"/>
        <v>2.4563484492000001</v>
      </c>
      <c r="E1283" s="4846">
        <f>Table5.D_2018!H10</f>
        <v>2.4563484492000001</v>
      </c>
      <c r="F1283" s="4847">
        <f>Table5.D_2019!H10</f>
        <v>2.9916415851</v>
      </c>
      <c r="G1283" s="4848">
        <f>Table5.D_2020!H10</f>
        <v>3.1461340613000002</v>
      </c>
      <c r="H1283" s="4354"/>
      <c r="I1283" s="4387">
        <f t="shared" si="85"/>
        <v>0.21792231312879806</v>
      </c>
      <c r="J1283" s="4387">
        <f t="shared" si="85"/>
        <v>5.164137207125901E-2</v>
      </c>
      <c r="K1283" s="4354"/>
      <c r="L1283" s="4354"/>
      <c r="M1283" s="4354"/>
    </row>
    <row r="1284" spans="1:13" x14ac:dyDescent="0.25">
      <c r="A1284" s="4354"/>
      <c r="B1284" s="4845" t="s">
        <v>689</v>
      </c>
      <c r="C1284" s="5051"/>
      <c r="D1284" s="4857" t="str">
        <f t="shared" si="88"/>
        <v>NO</v>
      </c>
      <c r="E1284" s="4846" t="str">
        <f>Table5.D_2018!H11</f>
        <v>NO</v>
      </c>
      <c r="F1284" s="4847" t="str">
        <f>Table5.D_2019!H11</f>
        <v>NO</v>
      </c>
      <c r="G1284" s="4848" t="str">
        <f>Table5.D_2020!H11</f>
        <v>NO</v>
      </c>
      <c r="H1284" s="4354"/>
      <c r="I1284" s="4387" t="str">
        <f t="shared" si="85"/>
        <v>NO</v>
      </c>
      <c r="J1284" s="4387" t="str">
        <f t="shared" si="85"/>
        <v>NO</v>
      </c>
      <c r="K1284" s="4354"/>
      <c r="L1284" s="4354"/>
      <c r="M1284" s="4354"/>
    </row>
    <row r="1285" spans="1:13" ht="15.75" thickBot="1" x14ac:dyDescent="0.3">
      <c r="A1285" s="4354"/>
      <c r="B1285" s="4849" t="s">
        <v>688</v>
      </c>
      <c r="C1285" s="5052"/>
      <c r="D1285" s="4858" t="str">
        <f t="shared" si="88"/>
        <v>NO</v>
      </c>
      <c r="E1285" s="4850" t="str">
        <f>Table5.D_2018!H12</f>
        <v>NO</v>
      </c>
      <c r="F1285" s="4859" t="str">
        <f>Table5.D_2019!H12</f>
        <v>NO</v>
      </c>
      <c r="G1285" s="4860" t="str">
        <f>Table5.D_2020!H12</f>
        <v>NO</v>
      </c>
      <c r="H1285" s="4354"/>
      <c r="I1285" s="4387" t="str">
        <f t="shared" si="85"/>
        <v>NO</v>
      </c>
      <c r="J1285" s="4387" t="str">
        <f t="shared" si="85"/>
        <v>NO</v>
      </c>
      <c r="K1285" s="4354"/>
      <c r="L1285" s="4354"/>
      <c r="M1285" s="4354"/>
    </row>
    <row r="1286" spans="1:13" ht="15.75" thickBot="1" x14ac:dyDescent="0.3">
      <c r="A1286" s="4354"/>
      <c r="B1286" s="4836" t="s">
        <v>2541</v>
      </c>
      <c r="C1286" s="4837"/>
      <c r="D1286" s="4829" t="str">
        <f t="shared" si="88"/>
        <v xml:space="preserve">kton </v>
      </c>
      <c r="E1286" s="4851" t="s">
        <v>694</v>
      </c>
      <c r="F1286" s="4852" t="s">
        <v>694</v>
      </c>
      <c r="G1286" s="4853" t="s">
        <v>694</v>
      </c>
      <c r="H1286" s="4354"/>
      <c r="I1286" s="4387" t="str">
        <f t="shared" si="85"/>
        <v>NO</v>
      </c>
      <c r="J1286" s="4387" t="str">
        <f t="shared" si="85"/>
        <v>NO</v>
      </c>
      <c r="K1286" s="4354"/>
      <c r="L1286" s="4354"/>
      <c r="M1286" s="4354"/>
    </row>
    <row r="1287" spans="1:13" x14ac:dyDescent="0.25">
      <c r="A1287" s="4354"/>
      <c r="B1287" s="4840" t="s">
        <v>691</v>
      </c>
      <c r="C1287" s="5050" t="s">
        <v>693</v>
      </c>
      <c r="D1287" s="4841">
        <f t="shared" si="88"/>
        <v>24.563484492000001</v>
      </c>
      <c r="E1287" s="4846">
        <f>Table5.D_2018!I10</f>
        <v>24.563484492000001</v>
      </c>
      <c r="F1287" s="4847">
        <f>Table5.D_2019!I10</f>
        <v>29.916415851</v>
      </c>
      <c r="G1287" s="4848">
        <f>Table5.D_2020!I10</f>
        <v>31.461340613000001</v>
      </c>
      <c r="H1287" s="4354"/>
      <c r="I1287" s="4387">
        <f t="shared" si="85"/>
        <v>0.21792231312879806</v>
      </c>
      <c r="J1287" s="4387">
        <f t="shared" si="85"/>
        <v>5.1641372071258983E-2</v>
      </c>
      <c r="K1287" s="4354"/>
      <c r="L1287" s="4354"/>
      <c r="M1287" s="4354"/>
    </row>
    <row r="1288" spans="1:13" x14ac:dyDescent="0.25">
      <c r="A1288" s="4354"/>
      <c r="B1288" s="4845" t="s">
        <v>689</v>
      </c>
      <c r="C1288" s="5051"/>
      <c r="D1288" s="4841" t="str">
        <f t="shared" si="88"/>
        <v>IE</v>
      </c>
      <c r="E1288" s="4846" t="str">
        <f>Table5.D_2018!I11</f>
        <v>IE</v>
      </c>
      <c r="F1288" s="4847" t="str">
        <f>Table5.D_2019!I11</f>
        <v>IE</v>
      </c>
      <c r="G1288" s="4848" t="str">
        <f>Table5.D_2020!I11</f>
        <v>IE</v>
      </c>
      <c r="H1288" s="4354"/>
      <c r="I1288" s="4387" t="str">
        <f t="shared" si="85"/>
        <v>NO</v>
      </c>
      <c r="J1288" s="4387" t="str">
        <f t="shared" si="85"/>
        <v>NO</v>
      </c>
      <c r="K1288" s="4354"/>
      <c r="L1288" s="4354"/>
      <c r="M1288" s="4354"/>
    </row>
    <row r="1289" spans="1:13" ht="15.75" thickBot="1" x14ac:dyDescent="0.3">
      <c r="A1289" s="4354"/>
      <c r="B1289" s="4849" t="s">
        <v>688</v>
      </c>
      <c r="C1289" s="5052"/>
      <c r="D1289" s="4841" t="str">
        <f t="shared" si="88"/>
        <v>NO</v>
      </c>
      <c r="E1289" s="4846" t="str">
        <f>Table5.D_2018!I12</f>
        <v>NO</v>
      </c>
      <c r="F1289" s="4847" t="str">
        <f>Table5.D_2019!I12</f>
        <v>NO</v>
      </c>
      <c r="G1289" s="4848" t="str">
        <f>Table5.D_2020!I12</f>
        <v>NO</v>
      </c>
      <c r="H1289" s="4354"/>
      <c r="I1289" s="4387" t="str">
        <f t="shared" si="85"/>
        <v>NO</v>
      </c>
      <c r="J1289" s="4387" t="str">
        <f t="shared" si="85"/>
        <v>NO</v>
      </c>
      <c r="K1289" s="4354"/>
      <c r="L1289" s="4354"/>
      <c r="M1289" s="4354"/>
    </row>
    <row r="1290" spans="1:13" ht="15.75" thickBot="1" x14ac:dyDescent="0.3">
      <c r="A1290" s="4354"/>
      <c r="B1290" s="4836" t="s">
        <v>2541</v>
      </c>
      <c r="C1290" s="4837"/>
      <c r="D1290" s="4829" t="str">
        <f t="shared" si="88"/>
        <v>kton</v>
      </c>
      <c r="E1290" s="4829" t="s">
        <v>665</v>
      </c>
      <c r="F1290" s="4854" t="s">
        <v>665</v>
      </c>
      <c r="G1290" s="4855" t="s">
        <v>665</v>
      </c>
      <c r="H1290" s="4354"/>
      <c r="I1290" s="4387" t="str">
        <f t="shared" si="85"/>
        <v>NO</v>
      </c>
      <c r="J1290" s="4387" t="str">
        <f t="shared" si="85"/>
        <v>NO</v>
      </c>
      <c r="K1290" s="4354"/>
      <c r="L1290" s="4354"/>
      <c r="M1290" s="4354"/>
    </row>
    <row r="1291" spans="1:13" x14ac:dyDescent="0.25">
      <c r="A1291" s="4354"/>
      <c r="B1291" s="4840" t="s">
        <v>691</v>
      </c>
      <c r="C1291" s="5050" t="s">
        <v>690</v>
      </c>
      <c r="D1291" s="4856">
        <f t="shared" si="88"/>
        <v>0.19625310647117999</v>
      </c>
      <c r="E1291" s="4846">
        <f>Table5.D_2018!J10</f>
        <v>0.19625310647117999</v>
      </c>
      <c r="F1291" s="4847">
        <f>Table5.D_2019!J10</f>
        <v>0.44233261157782999</v>
      </c>
      <c r="G1291" s="4848">
        <f>Table5.D_2020!J10</f>
        <v>0.44615867083897998</v>
      </c>
      <c r="H1291" s="4354"/>
      <c r="I1291" s="4387">
        <f t="shared" si="85"/>
        <v>1.2538884582842875</v>
      </c>
      <c r="J1291" s="4387">
        <f t="shared" si="85"/>
        <v>8.6497336190116628E-3</v>
      </c>
      <c r="K1291" s="4354"/>
      <c r="L1291" s="4354"/>
      <c r="M1291" s="4354"/>
    </row>
    <row r="1292" spans="1:13" x14ac:dyDescent="0.25">
      <c r="A1292" s="4354"/>
      <c r="B1292" s="4845" t="s">
        <v>689</v>
      </c>
      <c r="C1292" s="5051"/>
      <c r="D1292" s="4857">
        <f t="shared" si="88"/>
        <v>2.313185439897E-2</v>
      </c>
      <c r="E1292" s="4846">
        <f>Table5.D_2018!J11</f>
        <v>2.313185439897E-2</v>
      </c>
      <c r="F1292" s="4847">
        <f>Table5.D_2019!J11</f>
        <v>3.9315648435039999E-2</v>
      </c>
      <c r="G1292" s="4848">
        <f>Table5.D_2020!J11</f>
        <v>4.6635764590070003E-2</v>
      </c>
      <c r="H1292" s="4354"/>
      <c r="I1292" s="4387">
        <f t="shared" si="85"/>
        <v>0.69963236655988204</v>
      </c>
      <c r="J1292" s="4387">
        <f t="shared" si="85"/>
        <v>0.18618836128634125</v>
      </c>
      <c r="K1292" s="4354"/>
      <c r="L1292" s="4354"/>
      <c r="M1292" s="4354"/>
    </row>
    <row r="1293" spans="1:13" ht="15.75" thickBot="1" x14ac:dyDescent="0.3">
      <c r="A1293" s="4354"/>
      <c r="B1293" s="4849" t="s">
        <v>688</v>
      </c>
      <c r="C1293" s="5052"/>
      <c r="D1293" s="4858" t="str">
        <f t="shared" si="88"/>
        <v>NO</v>
      </c>
      <c r="E1293" s="4850" t="str">
        <f>Table5.D_2018!J12</f>
        <v>NO</v>
      </c>
      <c r="F1293" s="4859" t="str">
        <f>Table5.D_2019!J12</f>
        <v>NO</v>
      </c>
      <c r="G1293" s="4860" t="str">
        <f>Table5.D_2020!J12</f>
        <v>NO</v>
      </c>
      <c r="H1293" s="4354"/>
      <c r="I1293" s="4387" t="str">
        <f t="shared" si="85"/>
        <v>NO</v>
      </c>
      <c r="J1293" s="4387" t="str">
        <f t="shared" si="85"/>
        <v>NO</v>
      </c>
      <c r="K1293" s="4354"/>
      <c r="L1293" s="4354"/>
      <c r="M1293" s="4354"/>
    </row>
    <row r="1294" spans="1:13" x14ac:dyDescent="0.25">
      <c r="A1294" s="4354"/>
      <c r="B1294" s="4354"/>
      <c r="C1294" s="4354"/>
      <c r="D1294" s="4841" t="str">
        <f t="shared" si="87"/>
        <v/>
      </c>
      <c r="E1294" s="4841"/>
      <c r="F1294" s="4504"/>
      <c r="G1294" s="4504"/>
      <c r="H1294" s="4354"/>
      <c r="I1294" s="4387" t="str">
        <f t="shared" si="85"/>
        <v>NO</v>
      </c>
      <c r="J1294" s="4387" t="str">
        <f t="shared" si="85"/>
        <v>NO</v>
      </c>
      <c r="K1294" s="4354"/>
      <c r="L1294" s="4354"/>
      <c r="M1294" s="4354"/>
    </row>
    <row r="1295" spans="1:13" ht="14.45" customHeight="1" x14ac:dyDescent="0.25">
      <c r="A1295" s="4354"/>
      <c r="B1295" s="4402" t="s">
        <v>651</v>
      </c>
      <c r="C1295" s="4354"/>
      <c r="D1295" s="4481" t="str">
        <f t="shared" si="87"/>
        <v xml:space="preserve"> NIR 2020 (2018) CRF tabel 5.D</v>
      </c>
      <c r="E1295" s="4481" t="s">
        <v>5301</v>
      </c>
      <c r="F1295" s="4481" t="s">
        <v>5302</v>
      </c>
      <c r="G1295" s="4481" t="s">
        <v>5303</v>
      </c>
      <c r="H1295" s="4354"/>
      <c r="I1295" s="4387" t="str">
        <f t="shared" si="85"/>
        <v>NO</v>
      </c>
      <c r="J1295" s="4387" t="str">
        <f t="shared" si="85"/>
        <v>NO</v>
      </c>
      <c r="K1295" s="4354"/>
      <c r="L1295" s="4354"/>
      <c r="M1295" s="4354"/>
    </row>
    <row r="1296" spans="1:13" x14ac:dyDescent="0.25">
      <c r="A1296" s="4354"/>
      <c r="B1296" s="4354"/>
      <c r="C1296" s="4354"/>
      <c r="D1296" s="4356" t="str">
        <f t="shared" si="87"/>
        <v/>
      </c>
      <c r="E1296" s="4356"/>
      <c r="F1296" s="4354"/>
      <c r="G1296" s="4354"/>
      <c r="H1296" s="4354"/>
      <c r="I1296" s="4387" t="str">
        <f t="shared" si="85"/>
        <v>NO</v>
      </c>
      <c r="J1296" s="4387" t="str">
        <f t="shared" si="85"/>
        <v>NO</v>
      </c>
      <c r="K1296" s="4354"/>
      <c r="L1296" s="4354"/>
      <c r="M1296" s="4354"/>
    </row>
    <row r="1297" spans="1:13" s="640" customFormat="1" ht="30.75" customHeight="1" x14ac:dyDescent="0.3">
      <c r="A1297" s="4357"/>
      <c r="B1297" s="4432" t="s">
        <v>687</v>
      </c>
      <c r="C1297" s="4357"/>
      <c r="D1297" s="4357" t="str">
        <f t="shared" si="87"/>
        <v/>
      </c>
      <c r="E1297" s="4357"/>
      <c r="F1297" s="4357"/>
      <c r="G1297" s="4357"/>
      <c r="H1297" s="4357"/>
      <c r="I1297" s="4387" t="str">
        <f t="shared" si="85"/>
        <v>NO</v>
      </c>
      <c r="J1297" s="4387" t="str">
        <f t="shared" si="85"/>
        <v>NO</v>
      </c>
      <c r="K1297" s="4357"/>
      <c r="L1297" s="4357"/>
      <c r="M1297" s="4357"/>
    </row>
    <row r="1298" spans="1:13" ht="15.75" thickBot="1" x14ac:dyDescent="0.3">
      <c r="A1298" s="4354"/>
      <c r="B1298" s="4354"/>
      <c r="C1298" s="4354"/>
      <c r="D1298" s="4356" t="str">
        <f t="shared" si="87"/>
        <v/>
      </c>
      <c r="E1298" s="4356"/>
      <c r="F1298" s="4354"/>
      <c r="G1298" s="4354"/>
      <c r="H1298" s="4354"/>
      <c r="I1298" s="4387" t="str">
        <f t="shared" si="85"/>
        <v>NO</v>
      </c>
      <c r="J1298" s="4387" t="str">
        <f t="shared" si="85"/>
        <v>NO</v>
      </c>
      <c r="K1298" s="4354"/>
      <c r="L1298" s="4354"/>
      <c r="M1298" s="4354"/>
    </row>
    <row r="1299" spans="1:13" ht="14.45" customHeight="1" thickBot="1" x14ac:dyDescent="0.3">
      <c r="A1299" s="4354"/>
      <c r="B1299" s="5073" t="s">
        <v>686</v>
      </c>
      <c r="C1299" s="5074"/>
      <c r="D1299" s="4830" t="str">
        <f t="shared" si="87"/>
        <v>Antal</v>
      </c>
      <c r="E1299" s="4830" t="s">
        <v>465</v>
      </c>
      <c r="F1299" s="4831" t="s">
        <v>465</v>
      </c>
      <c r="G1299" s="4839" t="s">
        <v>465</v>
      </c>
      <c r="H1299" s="4354"/>
      <c r="I1299" s="4387" t="str">
        <f t="shared" si="85"/>
        <v>NO</v>
      </c>
      <c r="J1299" s="4387" t="str">
        <f t="shared" si="85"/>
        <v>NO</v>
      </c>
      <c r="K1299" s="4354"/>
      <c r="L1299" s="4354"/>
      <c r="M1299" s="4354"/>
    </row>
    <row r="1300" spans="1:13" x14ac:dyDescent="0.25">
      <c r="A1300" s="4354"/>
      <c r="B1300" s="4876" t="s">
        <v>314</v>
      </c>
      <c r="C1300" s="5075" t="s">
        <v>685</v>
      </c>
      <c r="D1300" s="4877">
        <f>IF($D$3=$E$3,E1300,IF($D$3=$F$3,F1300,IF($D$3=$G$3,G1300,"-")))</f>
        <v>12538</v>
      </c>
      <c r="E1300" s="4878">
        <f>'Annex 3F-6.2 20'!AF3</f>
        <v>12538</v>
      </c>
      <c r="F1300" s="4879">
        <f>'Annex 3F-6.2 20'!AF3</f>
        <v>12538</v>
      </c>
      <c r="G1300" s="4880">
        <f>'Annex 3F-6.2 20'!AF3</f>
        <v>12538</v>
      </c>
      <c r="H1300" s="4354"/>
      <c r="I1300" s="4387">
        <f t="shared" si="85"/>
        <v>0</v>
      </c>
      <c r="J1300" s="4387">
        <f t="shared" si="85"/>
        <v>0</v>
      </c>
      <c r="K1300" s="4354"/>
      <c r="L1300" s="4354"/>
      <c r="M1300" s="4354"/>
    </row>
    <row r="1301" spans="1:13" ht="30" x14ac:dyDescent="0.25">
      <c r="A1301" s="4354"/>
      <c r="B1301" s="4881" t="s">
        <v>682</v>
      </c>
      <c r="C1301" s="5076"/>
      <c r="D1301" s="4882">
        <f t="shared" ref="D1301:D1303" si="89">IF($D$3=$E$3,E1301,IF($D$3=$F$3,F1301,IF($D$3=$G$3,G1301,"-")))</f>
        <v>7634.313721962274</v>
      </c>
      <c r="E1301" s="4883">
        <f>'Annex 3F-6.2 20'!AF4</f>
        <v>7634.313721962274</v>
      </c>
      <c r="F1301" s="4884">
        <f>'Annex 3F-6.2 20'!AF4</f>
        <v>7634.313721962274</v>
      </c>
      <c r="G1301" s="4885">
        <f>'Annex 3F-6.2 20'!AF4</f>
        <v>7634.313721962274</v>
      </c>
      <c r="H1301" s="4354"/>
      <c r="I1301" s="4387">
        <f t="shared" si="85"/>
        <v>0</v>
      </c>
      <c r="J1301" s="4387">
        <f t="shared" si="85"/>
        <v>0</v>
      </c>
      <c r="K1301" s="4354"/>
      <c r="L1301" s="4354"/>
      <c r="M1301" s="4354"/>
    </row>
    <row r="1302" spans="1:13" x14ac:dyDescent="0.25">
      <c r="A1302" s="4354"/>
      <c r="B1302" s="4886" t="s">
        <v>681</v>
      </c>
      <c r="C1302" s="5076"/>
      <c r="D1302" s="4887">
        <f t="shared" si="89"/>
        <v>0</v>
      </c>
      <c r="E1302" s="4888"/>
      <c r="F1302" s="4889"/>
      <c r="G1302" s="4890"/>
      <c r="H1302" s="4354"/>
      <c r="I1302" s="4387" t="str">
        <f t="shared" si="85"/>
        <v>NO</v>
      </c>
      <c r="J1302" s="4387" t="str">
        <f t="shared" si="85"/>
        <v>NO</v>
      </c>
      <c r="K1302" s="4354"/>
      <c r="L1302" s="4354"/>
      <c r="M1302" s="4354"/>
    </row>
    <row r="1303" spans="1:13" ht="30.75" thickBot="1" x14ac:dyDescent="0.3">
      <c r="A1303" s="4354"/>
      <c r="B1303" s="4891" t="s">
        <v>680</v>
      </c>
      <c r="C1303" s="5077"/>
      <c r="D1303" s="4892">
        <f t="shared" si="89"/>
        <v>2524.8767576831488</v>
      </c>
      <c r="E1303" s="4893">
        <f>'Annex 3F-6.2 20'!AF5</f>
        <v>2524.8767576831488</v>
      </c>
      <c r="F1303" s="4894">
        <f>'Annex 3F-6.2 20'!AF5</f>
        <v>2524.8767576831488</v>
      </c>
      <c r="G1303" s="4895">
        <f>'Annex 3F-6.2 20'!AF5</f>
        <v>2524.8767576831488</v>
      </c>
      <c r="H1303" s="4354"/>
      <c r="I1303" s="4387">
        <f t="shared" si="85"/>
        <v>0</v>
      </c>
      <c r="J1303" s="4387">
        <f t="shared" si="85"/>
        <v>0</v>
      </c>
      <c r="K1303" s="4354"/>
      <c r="L1303" s="4354"/>
      <c r="M1303" s="4354"/>
    </row>
    <row r="1304" spans="1:13" x14ac:dyDescent="0.25">
      <c r="A1304" s="4354"/>
      <c r="B1304" s="4354"/>
      <c r="C1304" s="4354"/>
      <c r="D1304" s="4354" t="str">
        <f t="shared" si="87"/>
        <v/>
      </c>
      <c r="E1304" s="4354"/>
      <c r="F1304" s="4504"/>
      <c r="G1304" s="4354"/>
      <c r="H1304" s="4354"/>
      <c r="I1304" s="4387" t="str">
        <f t="shared" si="85"/>
        <v>NO</v>
      </c>
      <c r="J1304" s="4387" t="str">
        <f t="shared" si="85"/>
        <v>NO</v>
      </c>
      <c r="K1304" s="4354"/>
      <c r="L1304" s="4354"/>
      <c r="M1304" s="4354"/>
    </row>
    <row r="1305" spans="1:13" ht="14.45" customHeight="1" x14ac:dyDescent="0.25">
      <c r="A1305" s="4354"/>
      <c r="B1305" s="4402" t="s">
        <v>651</v>
      </c>
      <c r="C1305" s="4354"/>
      <c r="D1305" s="4481" t="str">
        <f t="shared" si="87"/>
        <v xml:space="preserve"> NIR 2022(2018) Annex 3F-6.2</v>
      </c>
      <c r="E1305" s="4481" t="s">
        <v>2203</v>
      </c>
      <c r="F1305" s="4481" t="s">
        <v>2203</v>
      </c>
      <c r="G1305" s="4481" t="s">
        <v>2203</v>
      </c>
      <c r="H1305" s="4354"/>
      <c r="I1305" s="4387" t="str">
        <f t="shared" si="85"/>
        <v>NO</v>
      </c>
      <c r="J1305" s="4387" t="str">
        <f t="shared" si="85"/>
        <v>NO</v>
      </c>
      <c r="K1305" s="4354"/>
      <c r="L1305" s="4354"/>
      <c r="M1305" s="4354"/>
    </row>
    <row r="1306" spans="1:13" ht="15.75" thickBot="1" x14ac:dyDescent="0.3">
      <c r="A1306" s="4354"/>
      <c r="B1306" s="4354"/>
      <c r="C1306" s="4354"/>
      <c r="D1306" s="4354" t="str">
        <f t="shared" si="87"/>
        <v/>
      </c>
      <c r="E1306" s="4354"/>
      <c r="F1306" s="4504"/>
      <c r="G1306" s="4354"/>
      <c r="H1306" s="4354"/>
      <c r="I1306" s="4387" t="str">
        <f t="shared" si="85"/>
        <v>NO</v>
      </c>
      <c r="J1306" s="4387" t="str">
        <f t="shared" si="85"/>
        <v>NO</v>
      </c>
      <c r="K1306" s="4354"/>
      <c r="L1306" s="4354"/>
      <c r="M1306" s="4354"/>
    </row>
    <row r="1307" spans="1:13" ht="15.75" thickBot="1" x14ac:dyDescent="0.3">
      <c r="A1307" s="4354"/>
      <c r="B1307" s="4896"/>
      <c r="C1307" s="4897"/>
      <c r="D1307" s="4830" t="str">
        <f t="shared" si="87"/>
        <v>kton</v>
      </c>
      <c r="E1307" s="4830" t="s">
        <v>665</v>
      </c>
      <c r="F1307" s="4831" t="s">
        <v>665</v>
      </c>
      <c r="G1307" s="4839" t="s">
        <v>665</v>
      </c>
      <c r="H1307" s="4354"/>
      <c r="I1307" s="4387" t="str">
        <f t="shared" ref="I1307:J1370" si="90">IFERROR(ABS(F1307-E1307)/E1307,"NO")</f>
        <v>NO</v>
      </c>
      <c r="J1307" s="4387" t="str">
        <f t="shared" si="90"/>
        <v>NO</v>
      </c>
      <c r="K1307" s="4354"/>
      <c r="L1307" s="4354"/>
      <c r="M1307" s="4354"/>
    </row>
    <row r="1308" spans="1:13" x14ac:dyDescent="0.25">
      <c r="A1308" s="4354"/>
      <c r="B1308" s="4876" t="s">
        <v>314</v>
      </c>
      <c r="C1308" s="5050" t="s">
        <v>684</v>
      </c>
      <c r="D1308" s="4856">
        <f>IF($D$3=$E$3,E1308,IF($D$3=$F$3,F1308,IF($D$3=$G$3,G1308,"-")))</f>
        <v>107.8890540264711</v>
      </c>
      <c r="E1308" s="4842">
        <f>G1309+G1311</f>
        <v>107.8890540264711</v>
      </c>
      <c r="F1308" s="4843">
        <f>G1309+G1311</f>
        <v>107.8890540264711</v>
      </c>
      <c r="G1308" s="4844">
        <f>G1309+G1311</f>
        <v>107.8890540264711</v>
      </c>
      <c r="H1308" s="4354"/>
      <c r="I1308" s="4387">
        <f t="shared" si="90"/>
        <v>0</v>
      </c>
      <c r="J1308" s="4387">
        <f t="shared" si="90"/>
        <v>0</v>
      </c>
      <c r="K1308" s="4354"/>
      <c r="L1308" s="4354"/>
      <c r="M1308" s="4354"/>
    </row>
    <row r="1309" spans="1:13" ht="30" x14ac:dyDescent="0.25">
      <c r="A1309" s="4354"/>
      <c r="B1309" s="4881" t="s">
        <v>682</v>
      </c>
      <c r="C1309" s="5051"/>
      <c r="D1309" s="4857">
        <f t="shared" ref="D1309:D1315" si="91">IF($D$3=$E$3,E1309,IF($D$3=$F$3,F1309,IF($D$3=$G$3,G1309,"-")))</f>
        <v>101.5554540264711</v>
      </c>
      <c r="E1309" s="4846">
        <f>'Annex 3F-6.1 20'!AG4</f>
        <v>101.5554540264711</v>
      </c>
      <c r="F1309" s="4847">
        <f>'Annex 3F-6.1 20'!AG4</f>
        <v>101.5554540264711</v>
      </c>
      <c r="G1309" s="4848">
        <f>'Annex 3F-6.1 20'!AG4</f>
        <v>101.5554540264711</v>
      </c>
      <c r="H1309" s="4354"/>
      <c r="I1309" s="4387">
        <f t="shared" si="90"/>
        <v>0</v>
      </c>
      <c r="J1309" s="4387">
        <f t="shared" si="90"/>
        <v>0</v>
      </c>
      <c r="K1309" s="4354"/>
      <c r="L1309" s="4354"/>
      <c r="M1309" s="4354"/>
    </row>
    <row r="1310" spans="1:13" x14ac:dyDescent="0.25">
      <c r="A1310" s="4354"/>
      <c r="B1310" s="4886" t="s">
        <v>681</v>
      </c>
      <c r="C1310" s="5051"/>
      <c r="D1310" s="4857">
        <f t="shared" si="91"/>
        <v>16.6302178199028</v>
      </c>
      <c r="E1310" s="4846">
        <f>'Annex 3F-6.1 20'!AG5</f>
        <v>16.6302178199028</v>
      </c>
      <c r="F1310" s="4847">
        <f>'Annex 3F-6.1 20'!AG5</f>
        <v>16.6302178199028</v>
      </c>
      <c r="G1310" s="4848">
        <f>'Annex 3F-6.1 20'!AG5</f>
        <v>16.6302178199028</v>
      </c>
      <c r="H1310" s="4354"/>
      <c r="I1310" s="4387">
        <f t="shared" si="90"/>
        <v>0</v>
      </c>
      <c r="J1310" s="4387">
        <f t="shared" si="90"/>
        <v>0</v>
      </c>
      <c r="K1310" s="4354"/>
      <c r="L1310" s="4354"/>
      <c r="M1310" s="4354"/>
    </row>
    <row r="1311" spans="1:13" ht="30.75" thickBot="1" x14ac:dyDescent="0.3">
      <c r="A1311" s="4354"/>
      <c r="B1311" s="4891" t="s">
        <v>680</v>
      </c>
      <c r="C1311" s="5052"/>
      <c r="D1311" s="4858">
        <f t="shared" si="91"/>
        <v>6.3335999999999997</v>
      </c>
      <c r="E1311" s="4850">
        <f>'Annex 3F-6.1 20'!AG6</f>
        <v>6.3335999999999997</v>
      </c>
      <c r="F1311" s="4859">
        <f>'Annex 3F-6.1 20'!AG6</f>
        <v>6.3335999999999997</v>
      </c>
      <c r="G1311" s="4860">
        <f>'Annex 3F-6.1 20'!AG6</f>
        <v>6.3335999999999997</v>
      </c>
      <c r="H1311" s="4354"/>
      <c r="I1311" s="4387">
        <f t="shared" si="90"/>
        <v>0</v>
      </c>
      <c r="J1311" s="4387">
        <f t="shared" si="90"/>
        <v>0</v>
      </c>
      <c r="K1311" s="4354"/>
      <c r="L1311" s="4354"/>
      <c r="M1311" s="4354"/>
    </row>
    <row r="1312" spans="1:13" x14ac:dyDescent="0.25">
      <c r="A1312" s="4354"/>
      <c r="B1312" s="4876" t="s">
        <v>314</v>
      </c>
      <c r="C1312" s="5050" t="s">
        <v>683</v>
      </c>
      <c r="D1312" s="4856">
        <f t="shared" si="91"/>
        <v>0.11286226085070351</v>
      </c>
      <c r="E1312" s="4842">
        <f>G1313+G1315</f>
        <v>0.11286226085070351</v>
      </c>
      <c r="F1312" s="4843">
        <f>G1313+G1315</f>
        <v>0.11286226085070351</v>
      </c>
      <c r="G1312" s="4844">
        <f>G1313+G1315</f>
        <v>0.11286226085070351</v>
      </c>
      <c r="H1312" s="4354"/>
      <c r="I1312" s="4387">
        <f t="shared" si="90"/>
        <v>0</v>
      </c>
      <c r="J1312" s="4387">
        <f t="shared" si="90"/>
        <v>0</v>
      </c>
      <c r="K1312" s="4354"/>
      <c r="L1312" s="4354"/>
      <c r="M1312" s="4354"/>
    </row>
    <row r="1313" spans="1:13" ht="30" x14ac:dyDescent="0.25">
      <c r="A1313" s="4354"/>
      <c r="B1313" s="4881" t="s">
        <v>682</v>
      </c>
      <c r="C1313" s="5051"/>
      <c r="D1313" s="4857">
        <f t="shared" si="91"/>
        <v>9.9667260850703515E-2</v>
      </c>
      <c r="E1313" s="4846">
        <f>'Annex 3F-6.1 20'!AG9/1000</f>
        <v>9.9667260850703515E-2</v>
      </c>
      <c r="F1313" s="4847">
        <f>'Annex 3F-6.1 20'!AG9/1000</f>
        <v>9.9667260850703515E-2</v>
      </c>
      <c r="G1313" s="4848">
        <f>'Annex 3F-6.1 20'!AG9/1000</f>
        <v>9.9667260850703515E-2</v>
      </c>
      <c r="H1313" s="4354"/>
      <c r="I1313" s="4387">
        <f t="shared" si="90"/>
        <v>0</v>
      </c>
      <c r="J1313" s="4387">
        <f t="shared" si="90"/>
        <v>0</v>
      </c>
      <c r="K1313" s="4354"/>
      <c r="L1313" s="4354"/>
      <c r="M1313" s="4354"/>
    </row>
    <row r="1314" spans="1:13" x14ac:dyDescent="0.25">
      <c r="A1314" s="4354"/>
      <c r="B1314" s="4886" t="s">
        <v>681</v>
      </c>
      <c r="C1314" s="5051"/>
      <c r="D1314" s="4898">
        <f t="shared" si="91"/>
        <v>0</v>
      </c>
      <c r="E1314" s="4899"/>
      <c r="F1314" s="4900"/>
      <c r="G1314" s="4901"/>
      <c r="H1314" s="4354"/>
      <c r="I1314" s="4387" t="str">
        <f t="shared" si="90"/>
        <v>NO</v>
      </c>
      <c r="J1314" s="4387" t="str">
        <f t="shared" si="90"/>
        <v>NO</v>
      </c>
      <c r="K1314" s="4354"/>
      <c r="L1314" s="4354"/>
      <c r="M1314" s="4354"/>
    </row>
    <row r="1315" spans="1:13" ht="30.75" thickBot="1" x14ac:dyDescent="0.3">
      <c r="A1315" s="4354"/>
      <c r="B1315" s="4891" t="s">
        <v>680</v>
      </c>
      <c r="C1315" s="5052"/>
      <c r="D1315" s="4858">
        <f t="shared" si="91"/>
        <v>1.3195E-2</v>
      </c>
      <c r="E1315" s="4850">
        <f>'Annex 3F-6.1 20'!AG10/1000</f>
        <v>1.3195E-2</v>
      </c>
      <c r="F1315" s="4859">
        <f>'Annex 3F-6.1 20'!AG10/1000</f>
        <v>1.3195E-2</v>
      </c>
      <c r="G1315" s="4860">
        <f>'Annex 3F-6.1 20'!AG10/1000</f>
        <v>1.3195E-2</v>
      </c>
      <c r="H1315" s="4354"/>
      <c r="I1315" s="4387">
        <f t="shared" si="90"/>
        <v>0</v>
      </c>
      <c r="J1315" s="4387">
        <f t="shared" si="90"/>
        <v>0</v>
      </c>
      <c r="K1315" s="4354"/>
      <c r="L1315" s="4354"/>
      <c r="M1315" s="4354"/>
    </row>
    <row r="1316" spans="1:13" x14ac:dyDescent="0.25">
      <c r="A1316" s="4354"/>
      <c r="B1316" s="4354"/>
      <c r="C1316" s="4354"/>
      <c r="D1316" s="4439" t="str">
        <f t="shared" si="87"/>
        <v/>
      </c>
      <c r="E1316" s="4439"/>
      <c r="F1316" s="4354"/>
      <c r="G1316" s="4354"/>
      <c r="H1316" s="4354"/>
      <c r="I1316" s="4387" t="str">
        <f t="shared" si="90"/>
        <v>NO</v>
      </c>
      <c r="J1316" s="4387" t="str">
        <f t="shared" si="90"/>
        <v>NO</v>
      </c>
      <c r="K1316" s="4354"/>
      <c r="L1316" s="4354"/>
      <c r="M1316" s="4354"/>
    </row>
    <row r="1317" spans="1:13" ht="14.45" customHeight="1" x14ac:dyDescent="0.25">
      <c r="A1317" s="4354"/>
      <c r="B1317" s="4402" t="s">
        <v>651</v>
      </c>
      <c r="C1317" s="4354"/>
      <c r="D1317" s="4481" t="str">
        <f t="shared" si="87"/>
        <v xml:space="preserve"> NIR 2022(2020) Annex 3F-6.1</v>
      </c>
      <c r="E1317" s="4481" t="s">
        <v>2204</v>
      </c>
      <c r="F1317" s="4481" t="s">
        <v>2204</v>
      </c>
      <c r="G1317" s="4481" t="s">
        <v>2204</v>
      </c>
      <c r="H1317" s="4354"/>
      <c r="I1317" s="4387" t="str">
        <f t="shared" si="90"/>
        <v>NO</v>
      </c>
      <c r="J1317" s="4387" t="str">
        <f t="shared" si="90"/>
        <v>NO</v>
      </c>
      <c r="K1317" s="4354"/>
      <c r="L1317" s="4354"/>
      <c r="M1317" s="4354"/>
    </row>
    <row r="1318" spans="1:13" x14ac:dyDescent="0.25">
      <c r="A1318" s="4354"/>
      <c r="B1318" s="4354"/>
      <c r="C1318" s="4821"/>
      <c r="D1318" s="4354" t="str">
        <f t="shared" si="87"/>
        <v/>
      </c>
      <c r="E1318" s="4445"/>
      <c r="F1318" s="4354"/>
      <c r="G1318" s="4354"/>
      <c r="H1318" s="4354"/>
      <c r="I1318" s="4387" t="str">
        <f t="shared" si="90"/>
        <v>NO</v>
      </c>
      <c r="J1318" s="4387" t="str">
        <f t="shared" si="90"/>
        <v>NO</v>
      </c>
      <c r="K1318" s="4354"/>
      <c r="L1318" s="4354"/>
      <c r="M1318" s="4354"/>
    </row>
    <row r="1319" spans="1:13" s="640" customFormat="1" ht="27.75" customHeight="1" x14ac:dyDescent="0.3">
      <c r="A1319" s="4357"/>
      <c r="B1319" s="4432" t="s">
        <v>679</v>
      </c>
      <c r="C1319" s="4357"/>
      <c r="D1319" s="4357" t="str">
        <f t="shared" si="87"/>
        <v/>
      </c>
      <c r="E1319" s="4357"/>
      <c r="F1319" s="4357"/>
      <c r="G1319" s="4357"/>
      <c r="H1319" s="4357"/>
      <c r="I1319" s="4387" t="str">
        <f t="shared" si="90"/>
        <v>NO</v>
      </c>
      <c r="J1319" s="4387" t="str">
        <f t="shared" si="90"/>
        <v>NO</v>
      </c>
      <c r="K1319" s="4357"/>
      <c r="L1319" s="4357"/>
      <c r="M1319" s="4357"/>
    </row>
    <row r="1320" spans="1:13" ht="15.75" thickBot="1" x14ac:dyDescent="0.3">
      <c r="A1320" s="4354"/>
      <c r="B1320" s="4354"/>
      <c r="C1320" s="4354"/>
      <c r="D1320" s="4454" t="str">
        <f t="shared" si="87"/>
        <v/>
      </c>
      <c r="E1320" s="4354"/>
      <c r="F1320" s="4354"/>
      <c r="G1320" s="4354"/>
      <c r="H1320" s="4354"/>
      <c r="I1320" s="4387" t="str">
        <f t="shared" si="90"/>
        <v>NO</v>
      </c>
      <c r="J1320" s="4387" t="str">
        <f t="shared" si="90"/>
        <v>NO</v>
      </c>
      <c r="K1320" s="4354"/>
      <c r="L1320" s="4354"/>
      <c r="M1320" s="4354"/>
    </row>
    <row r="1321" spans="1:13" ht="15.75" thickBot="1" x14ac:dyDescent="0.3">
      <c r="A1321" s="4354"/>
      <c r="B1321" s="4650" t="s">
        <v>431</v>
      </c>
      <c r="C1321" s="4902"/>
      <c r="D1321" s="4903" t="str">
        <f t="shared" si="87"/>
        <v/>
      </c>
      <c r="E1321" s="4904"/>
      <c r="F1321" s="4831"/>
      <c r="G1321" s="4839"/>
      <c r="H1321" s="4354"/>
      <c r="I1321" s="4387" t="str">
        <f t="shared" si="90"/>
        <v>NO</v>
      </c>
      <c r="J1321" s="4387" t="str">
        <f t="shared" si="90"/>
        <v>NO</v>
      </c>
      <c r="K1321" s="4354"/>
      <c r="L1321" s="4354"/>
      <c r="M1321" s="4354"/>
    </row>
    <row r="1322" spans="1:13" ht="15.75" thickBot="1" x14ac:dyDescent="0.3">
      <c r="A1322" s="4354"/>
      <c r="B1322" s="5058" t="s">
        <v>678</v>
      </c>
      <c r="C1322" s="4905" t="s">
        <v>673</v>
      </c>
      <c r="D1322" s="4906">
        <f>IF($D$3=$E$3,E1322,IF($D$3=$F$3,F1322,IF($D$3=$G$3,G1322,"-")))</f>
        <v>44914</v>
      </c>
      <c r="E1322" s="4907">
        <f>'Table2(I).A-Hs1_2018'!C15*1000</f>
        <v>44914</v>
      </c>
      <c r="F1322" s="4908">
        <f>'Table2(I).A-Hs1_2019'!C15*1000</f>
        <v>41230</v>
      </c>
      <c r="G1322" s="4909">
        <f>'Table2(I).A-Hs1_2020'!C15*1000</f>
        <v>41771</v>
      </c>
      <c r="H1322" s="4354"/>
      <c r="I1322" s="4387">
        <f t="shared" si="90"/>
        <v>8.2023422540855859E-2</v>
      </c>
      <c r="J1322" s="4387">
        <f t="shared" si="90"/>
        <v>1.3121513461072034E-2</v>
      </c>
      <c r="K1322" s="4354"/>
      <c r="L1322" s="4354"/>
      <c r="M1322" s="4354"/>
    </row>
    <row r="1323" spans="1:13" ht="15.75" thickBot="1" x14ac:dyDescent="0.3">
      <c r="A1323" s="4354"/>
      <c r="B1323" s="5059"/>
      <c r="C1323" s="4905" t="s">
        <v>654</v>
      </c>
      <c r="D1323" s="4910">
        <f>IF($D$3=$E$3,E1323,IF($D$3=$F$3,F1323,IF($D$3=$G$3,G1323,"-")))</f>
        <v>0.41492000000000001</v>
      </c>
      <c r="E1323" s="4911">
        <f>'Table2(I).A-Hs1_2018'!D15</f>
        <v>0.41492000000000001</v>
      </c>
      <c r="F1323" s="4912">
        <f>'Table2(I).A-Hs1_2019'!D15</f>
        <v>0.41492000000000001</v>
      </c>
      <c r="G1323" s="4427">
        <f>'Table2(I).A-Hs1_2020'!D15</f>
        <v>0.41492000000000001</v>
      </c>
      <c r="H1323" s="4354"/>
      <c r="I1323" s="4387">
        <f t="shared" si="90"/>
        <v>0</v>
      </c>
      <c r="J1323" s="4387">
        <f t="shared" si="90"/>
        <v>0</v>
      </c>
      <c r="K1323" s="4354"/>
      <c r="L1323" s="4354"/>
      <c r="M1323" s="4354"/>
    </row>
    <row r="1324" spans="1:13" x14ac:dyDescent="0.25">
      <c r="A1324" s="4354"/>
      <c r="B1324" s="4354"/>
      <c r="C1324" s="4506"/>
      <c r="D1324" s="4354"/>
      <c r="E1324" s="4439"/>
      <c r="F1324" s="4354"/>
      <c r="G1324" s="4354"/>
      <c r="H1324" s="4354"/>
      <c r="I1324" s="4387" t="str">
        <f t="shared" si="90"/>
        <v>NO</v>
      </c>
      <c r="J1324" s="4387" t="str">
        <f t="shared" si="90"/>
        <v>NO</v>
      </c>
      <c r="K1324" s="4354"/>
      <c r="L1324" s="4354"/>
      <c r="M1324" s="4354"/>
    </row>
    <row r="1325" spans="1:13" ht="14.45" customHeight="1" x14ac:dyDescent="0.25">
      <c r="A1325" s="4354"/>
      <c r="B1325" s="4402" t="s">
        <v>651</v>
      </c>
      <c r="C1325" s="4354"/>
      <c r="D1325" s="4481" t="str">
        <f t="shared" ref="D1325:D1363" si="92">IF($D$3=$E$3,E1325,IF($D$3=$F$3,F1325,IF($D$3=$G$3,G1325,"-")))</f>
        <v xml:space="preserve"> NIR 2020 (2018) CRF tabel 2(I).A-Hs1</v>
      </c>
      <c r="E1325" s="4481" t="s">
        <v>5306</v>
      </c>
      <c r="F1325" s="4481" t="s">
        <v>5305</v>
      </c>
      <c r="G1325" s="4481" t="s">
        <v>5304</v>
      </c>
      <c r="H1325" s="4354"/>
      <c r="I1325" s="4387" t="str">
        <f t="shared" si="90"/>
        <v>NO</v>
      </c>
      <c r="J1325" s="4387" t="str">
        <f t="shared" si="90"/>
        <v>NO</v>
      </c>
      <c r="K1325" s="4354"/>
      <c r="L1325" s="4354"/>
      <c r="M1325" s="4354"/>
    </row>
    <row r="1326" spans="1:13" ht="15.75" thickBot="1" x14ac:dyDescent="0.3">
      <c r="A1326" s="4354"/>
      <c r="B1326" s="4354"/>
      <c r="C1326" s="4354"/>
      <c r="D1326" s="4454"/>
      <c r="E1326" s="4354"/>
      <c r="F1326" s="4354"/>
      <c r="G1326" s="4354"/>
      <c r="H1326" s="4354"/>
      <c r="I1326" s="4387" t="str">
        <f t="shared" si="90"/>
        <v>NO</v>
      </c>
      <c r="J1326" s="4387" t="str">
        <f t="shared" si="90"/>
        <v>NO</v>
      </c>
      <c r="K1326" s="4354"/>
      <c r="L1326" s="4354"/>
      <c r="M1326" s="4354"/>
    </row>
    <row r="1327" spans="1:13" ht="15.75" thickBot="1" x14ac:dyDescent="0.3">
      <c r="A1327" s="4354"/>
      <c r="B1327" s="4650" t="s">
        <v>677</v>
      </c>
      <c r="C1327" s="4902"/>
      <c r="D1327" s="4903"/>
      <c r="E1327" s="4904"/>
      <c r="F1327" s="4831"/>
      <c r="G1327" s="4839"/>
      <c r="H1327" s="4354"/>
      <c r="I1327" s="4387" t="str">
        <f t="shared" si="90"/>
        <v>NO</v>
      </c>
      <c r="J1327" s="4387" t="str">
        <f t="shared" si="90"/>
        <v>NO</v>
      </c>
      <c r="K1327" s="4354"/>
      <c r="L1327" s="4354"/>
      <c r="M1327" s="4354"/>
    </row>
    <row r="1328" spans="1:13" ht="15.75" thickBot="1" x14ac:dyDescent="0.3">
      <c r="A1328" s="4354"/>
      <c r="B1328" s="5058" t="s">
        <v>676</v>
      </c>
      <c r="C1328" s="4905" t="s">
        <v>675</v>
      </c>
      <c r="D1328" s="4906">
        <f t="shared" si="92"/>
        <v>59303</v>
      </c>
      <c r="E1328" s="4907">
        <f>'Table2(I).A-Hs1_2018'!C40*1000</f>
        <v>59303</v>
      </c>
      <c r="F1328" s="4908">
        <f>'Table2(I).A-Hs1_2019'!C40*1000</f>
        <v>61882</v>
      </c>
      <c r="G1328" s="4909">
        <f>'Table2(I).A-Hs1_2020'!C40*1000</f>
        <v>59464</v>
      </c>
      <c r="H1328" s="4354"/>
      <c r="I1328" s="4387">
        <f t="shared" si="90"/>
        <v>4.3488525032460416E-2</v>
      </c>
      <c r="J1328" s="4387">
        <f t="shared" si="90"/>
        <v>3.9074367344300441E-2</v>
      </c>
      <c r="K1328" s="4354"/>
      <c r="L1328" s="4354"/>
      <c r="M1328" s="4354"/>
    </row>
    <row r="1329" spans="1:13" ht="15.75" thickBot="1" x14ac:dyDescent="0.3">
      <c r="A1329" s="4354"/>
      <c r="B1329" s="5059"/>
      <c r="C1329" s="4905" t="s">
        <v>654</v>
      </c>
      <c r="D1329" s="4910">
        <f t="shared" si="92"/>
        <v>2.41E-2</v>
      </c>
      <c r="E1329" s="4911">
        <f>'Table2(I).A-Hs1_2018'!D40</f>
        <v>2.41E-2</v>
      </c>
      <c r="F1329" s="4912">
        <f>'Table2(I).A-Hs1_2019'!D40</f>
        <v>2.41E-2</v>
      </c>
      <c r="G1329" s="4427">
        <f>'Table2(I).A-Hs1_2020'!D40</f>
        <v>2.41E-2</v>
      </c>
      <c r="H1329" s="4354"/>
      <c r="I1329" s="4387">
        <f t="shared" si="90"/>
        <v>0</v>
      </c>
      <c r="J1329" s="4387">
        <f t="shared" si="90"/>
        <v>0</v>
      </c>
      <c r="K1329" s="4354"/>
      <c r="L1329" s="4354"/>
      <c r="M1329" s="4354"/>
    </row>
    <row r="1330" spans="1:13" x14ac:dyDescent="0.25">
      <c r="A1330" s="4354"/>
      <c r="B1330" s="4354"/>
      <c r="C1330" s="4354"/>
      <c r="D1330" s="4439"/>
      <c r="E1330" s="4439"/>
      <c r="F1330" s="4354"/>
      <c r="G1330" s="4354"/>
      <c r="H1330" s="4354"/>
      <c r="I1330" s="4387" t="str">
        <f t="shared" si="90"/>
        <v>NO</v>
      </c>
      <c r="J1330" s="4387" t="str">
        <f t="shared" si="90"/>
        <v>NO</v>
      </c>
      <c r="K1330" s="4354"/>
      <c r="L1330" s="4354"/>
      <c r="M1330" s="4354"/>
    </row>
    <row r="1331" spans="1:13" ht="14.45" customHeight="1" x14ac:dyDescent="0.25">
      <c r="A1331" s="4354"/>
      <c r="B1331" s="4402" t="s">
        <v>651</v>
      </c>
      <c r="C1331" s="4354"/>
      <c r="D1331" s="4481" t="str">
        <f t="shared" si="92"/>
        <v xml:space="preserve"> NIR 2020 (2018) CRF tabel 2(I).A-Hs1</v>
      </c>
      <c r="E1331" s="4481" t="s">
        <v>5306</v>
      </c>
      <c r="F1331" s="4481" t="s">
        <v>5305</v>
      </c>
      <c r="G1331" s="4481" t="s">
        <v>5304</v>
      </c>
      <c r="H1331" s="4354"/>
      <c r="I1331" s="4387" t="str">
        <f t="shared" si="90"/>
        <v>NO</v>
      </c>
      <c r="J1331" s="4387" t="str">
        <f t="shared" si="90"/>
        <v>NO</v>
      </c>
      <c r="K1331" s="4354"/>
      <c r="L1331" s="4354"/>
      <c r="M1331" s="4354"/>
    </row>
    <row r="1332" spans="1:13" ht="15.75" thickBot="1" x14ac:dyDescent="0.3">
      <c r="A1332" s="4354"/>
      <c r="B1332" s="4354"/>
      <c r="C1332" s="4354"/>
      <c r="D1332" s="4454"/>
      <c r="E1332" s="4454"/>
      <c r="F1332" s="4354"/>
      <c r="G1332" s="4354"/>
      <c r="H1332" s="4354"/>
      <c r="I1332" s="4387" t="str">
        <f t="shared" si="90"/>
        <v>NO</v>
      </c>
      <c r="J1332" s="4387" t="str">
        <f t="shared" si="90"/>
        <v>NO</v>
      </c>
      <c r="K1332" s="4354"/>
      <c r="L1332" s="4354"/>
      <c r="M1332" s="4354"/>
    </row>
    <row r="1333" spans="1:13" ht="15.75" thickBot="1" x14ac:dyDescent="0.3">
      <c r="A1333" s="4354"/>
      <c r="B1333" s="4650" t="s">
        <v>301</v>
      </c>
      <c r="C1333" s="4902"/>
      <c r="D1333" s="4903"/>
      <c r="E1333" s="4904"/>
      <c r="F1333" s="4831"/>
      <c r="G1333" s="4839"/>
      <c r="H1333" s="4354"/>
      <c r="I1333" s="4387" t="str">
        <f t="shared" si="90"/>
        <v>NO</v>
      </c>
      <c r="J1333" s="4387" t="str">
        <f t="shared" si="90"/>
        <v>NO</v>
      </c>
      <c r="K1333" s="4354"/>
      <c r="L1333" s="4354"/>
      <c r="M1333" s="4354"/>
    </row>
    <row r="1334" spans="1:13" ht="15.75" thickBot="1" x14ac:dyDescent="0.3">
      <c r="A1334" s="4354"/>
      <c r="B1334" s="5058" t="s">
        <v>674</v>
      </c>
      <c r="C1334" s="4905" t="s">
        <v>673</v>
      </c>
      <c r="D1334" s="4906">
        <f t="shared" si="92"/>
        <v>598</v>
      </c>
      <c r="E1334" s="4907">
        <f>'Table2(I).A-Hs2_2018'!C20*1000</f>
        <v>598</v>
      </c>
      <c r="F1334" s="4908">
        <f>'Table2(I).A-Hs2_2019'!C20*1000</f>
        <v>572</v>
      </c>
      <c r="G1334" s="4909">
        <f>'Table2(I).A-Hs2_2020'!C20*1000</f>
        <v>444</v>
      </c>
      <c r="H1334" s="4354"/>
      <c r="I1334" s="4387">
        <f t="shared" si="90"/>
        <v>4.3478260869565216E-2</v>
      </c>
      <c r="J1334" s="4387">
        <f t="shared" si="90"/>
        <v>0.22377622377622378</v>
      </c>
      <c r="K1334" s="4354"/>
      <c r="L1334" s="4354"/>
      <c r="M1334" s="4354"/>
    </row>
    <row r="1335" spans="1:13" ht="15.75" thickBot="1" x14ac:dyDescent="0.3">
      <c r="A1335" s="4354"/>
      <c r="B1335" s="5059"/>
      <c r="C1335" s="4905" t="s">
        <v>654</v>
      </c>
      <c r="D1335" s="4910">
        <f t="shared" si="92"/>
        <v>0.2</v>
      </c>
      <c r="E1335" s="4911">
        <f>'Table2(I).A-Hs2_2018'!D20</f>
        <v>0.2</v>
      </c>
      <c r="F1335" s="4912">
        <f>'Table2(I).A-Hs2_2019'!D20</f>
        <v>0.2</v>
      </c>
      <c r="G1335" s="4427">
        <f>'Table2(I).A-Hs2_2020'!D20</f>
        <v>0.2</v>
      </c>
      <c r="H1335" s="4354"/>
      <c r="I1335" s="4387">
        <f t="shared" si="90"/>
        <v>0</v>
      </c>
      <c r="J1335" s="4387">
        <f t="shared" si="90"/>
        <v>0</v>
      </c>
      <c r="K1335" s="4354"/>
      <c r="L1335" s="4354"/>
      <c r="M1335" s="4354"/>
    </row>
    <row r="1336" spans="1:13" x14ac:dyDescent="0.25">
      <c r="A1336" s="4354"/>
      <c r="B1336" s="4354"/>
      <c r="C1336" s="4354"/>
      <c r="D1336" s="4439"/>
      <c r="E1336" s="4439"/>
      <c r="F1336" s="4354"/>
      <c r="G1336" s="4354"/>
      <c r="H1336" s="4354"/>
      <c r="I1336" s="4387" t="str">
        <f t="shared" si="90"/>
        <v>NO</v>
      </c>
      <c r="J1336" s="4387" t="str">
        <f t="shared" si="90"/>
        <v>NO</v>
      </c>
      <c r="K1336" s="4354"/>
      <c r="L1336" s="4354"/>
      <c r="M1336" s="4354"/>
    </row>
    <row r="1337" spans="1:13" ht="14.45" customHeight="1" x14ac:dyDescent="0.25">
      <c r="A1337" s="4354"/>
      <c r="B1337" s="4402" t="s">
        <v>651</v>
      </c>
      <c r="C1337" s="4354"/>
      <c r="D1337" s="4481" t="str">
        <f t="shared" si="92"/>
        <v xml:space="preserve"> NIR 2020 (2018) CRF tabel 2(I).A-Hs1</v>
      </c>
      <c r="E1337" s="4481" t="s">
        <v>5306</v>
      </c>
      <c r="F1337" s="4481" t="s">
        <v>5305</v>
      </c>
      <c r="G1337" s="4481" t="s">
        <v>5304</v>
      </c>
      <c r="H1337" s="4354"/>
      <c r="I1337" s="4387" t="str">
        <f t="shared" si="90"/>
        <v>NO</v>
      </c>
      <c r="J1337" s="4387" t="str">
        <f t="shared" si="90"/>
        <v>NO</v>
      </c>
      <c r="K1337" s="4354"/>
      <c r="L1337" s="4354"/>
      <c r="M1337" s="4354"/>
    </row>
    <row r="1338" spans="1:13" ht="15.75" thickBot="1" x14ac:dyDescent="0.3">
      <c r="A1338" s="4354"/>
      <c r="B1338" s="4354"/>
      <c r="C1338" s="4354"/>
      <c r="D1338" s="4454"/>
      <c r="E1338" s="4454"/>
      <c r="F1338" s="4354"/>
      <c r="G1338" s="4354"/>
      <c r="H1338" s="4354"/>
      <c r="I1338" s="4387" t="str">
        <f t="shared" si="90"/>
        <v>NO</v>
      </c>
      <c r="J1338" s="4387" t="str">
        <f t="shared" si="90"/>
        <v>NO</v>
      </c>
      <c r="K1338" s="4354"/>
      <c r="L1338" s="4354"/>
      <c r="M1338" s="4354"/>
    </row>
    <row r="1339" spans="1:13" ht="15.75" thickBot="1" x14ac:dyDescent="0.3">
      <c r="A1339" s="4354"/>
      <c r="B1339" s="4650" t="s">
        <v>672</v>
      </c>
      <c r="C1339" s="4902"/>
      <c r="D1339" s="4903"/>
      <c r="E1339" s="4904"/>
      <c r="F1339" s="4831"/>
      <c r="G1339" s="4839"/>
      <c r="H1339" s="4354"/>
      <c r="I1339" s="4387" t="str">
        <f t="shared" si="90"/>
        <v>NO</v>
      </c>
      <c r="J1339" s="4387" t="str">
        <f t="shared" si="90"/>
        <v>NO</v>
      </c>
      <c r="K1339" s="4354"/>
      <c r="L1339" s="4354"/>
      <c r="M1339" s="4354"/>
    </row>
    <row r="1340" spans="1:13" ht="15.75" thickBot="1" x14ac:dyDescent="0.3">
      <c r="A1340" s="4354"/>
      <c r="B1340" s="5058" t="s">
        <v>671</v>
      </c>
      <c r="C1340" s="4913" t="s">
        <v>655</v>
      </c>
      <c r="D1340" s="4911">
        <f t="shared" si="92"/>
        <v>51.32</v>
      </c>
      <c r="E1340" s="4911">
        <f>'Table2(I).A-Hs2_2018'!C24</f>
        <v>51.32</v>
      </c>
      <c r="F1340" s="4429">
        <f>'Table2(I).A-Hs2_2019'!C24</f>
        <v>51.32</v>
      </c>
      <c r="G1340" s="4427">
        <f>'Table2(I).A-Hs2_2020'!C24</f>
        <v>51.32</v>
      </c>
      <c r="H1340" s="4354"/>
      <c r="I1340" s="4387">
        <f t="shared" si="90"/>
        <v>0</v>
      </c>
      <c r="J1340" s="4387">
        <f t="shared" si="90"/>
        <v>0</v>
      </c>
      <c r="K1340" s="4354"/>
      <c r="L1340" s="4354"/>
      <c r="M1340" s="4354"/>
    </row>
    <row r="1341" spans="1:13" x14ac:dyDescent="0.25">
      <c r="A1341" s="4354"/>
      <c r="B1341" s="5061"/>
      <c r="C1341" s="4914" t="s">
        <v>654</v>
      </c>
      <c r="D1341" s="4807">
        <f t="shared" si="92"/>
        <v>0.61717</v>
      </c>
      <c r="E1341" s="4915">
        <f>'Table2(I).A-Hs2_2018'!D24</f>
        <v>0.61717</v>
      </c>
      <c r="F1341" s="4847">
        <f>'Table2(I).A-Hs2_2019'!D24</f>
        <v>0.61717</v>
      </c>
      <c r="G1341" s="4809">
        <f>'Table2(I).A-Hs2_2020'!D24</f>
        <v>0.61717</v>
      </c>
      <c r="H1341" s="4354"/>
      <c r="I1341" s="4387">
        <f t="shared" si="90"/>
        <v>0</v>
      </c>
      <c r="J1341" s="4387">
        <f t="shared" si="90"/>
        <v>0</v>
      </c>
      <c r="K1341" s="4354"/>
      <c r="L1341" s="4354"/>
      <c r="M1341" s="4354"/>
    </row>
    <row r="1342" spans="1:13" x14ac:dyDescent="0.25">
      <c r="A1342" s="4354"/>
      <c r="B1342" s="5061"/>
      <c r="C1342" s="4916" t="s">
        <v>653</v>
      </c>
      <c r="D1342" s="4779" t="str">
        <f t="shared" si="92"/>
        <v>NA</v>
      </c>
      <c r="E1342" s="4496" t="str">
        <f>'Table2(I).A-Hs2_2018'!E24</f>
        <v>NA</v>
      </c>
      <c r="F1342" s="4669" t="str">
        <f>'Table2(I).A-Hs2_2019'!E24</f>
        <v>NA</v>
      </c>
      <c r="G1342" s="4498" t="str">
        <f>'Table2(I).A-Hs2_2020'!E24</f>
        <v>NA</v>
      </c>
      <c r="H1342" s="4354"/>
      <c r="I1342" s="4387" t="str">
        <f t="shared" si="90"/>
        <v>NO</v>
      </c>
      <c r="J1342" s="4387" t="str">
        <f t="shared" si="90"/>
        <v>NO</v>
      </c>
      <c r="K1342" s="4354"/>
      <c r="L1342" s="4354"/>
      <c r="M1342" s="4354"/>
    </row>
    <row r="1343" spans="1:13" ht="15.75" thickBot="1" x14ac:dyDescent="0.3">
      <c r="A1343" s="4354"/>
      <c r="B1343" s="5062"/>
      <c r="C1343" s="4917" t="s">
        <v>652</v>
      </c>
      <c r="D1343" s="4810" t="str">
        <f t="shared" si="92"/>
        <v>NA</v>
      </c>
      <c r="E1343" s="4918" t="str">
        <f>'Table2(I).A-Hs2_2018'!F24</f>
        <v>NA</v>
      </c>
      <c r="F1343" s="4684" t="str">
        <f>'Table2(I).A-Hs2_2019'!F24</f>
        <v>NA</v>
      </c>
      <c r="G1343" s="4685" t="str">
        <f>'Table2(I).A-Hs2_2020'!F24</f>
        <v>NA</v>
      </c>
      <c r="H1343" s="4354"/>
      <c r="I1343" s="4387" t="str">
        <f t="shared" si="90"/>
        <v>NO</v>
      </c>
      <c r="J1343" s="4387" t="str">
        <f t="shared" si="90"/>
        <v>NO</v>
      </c>
      <c r="K1343" s="4354"/>
      <c r="L1343" s="4354"/>
      <c r="M1343" s="4354"/>
    </row>
    <row r="1344" spans="1:13" ht="15.75" thickBot="1" x14ac:dyDescent="0.3">
      <c r="A1344" s="4354"/>
      <c r="B1344" s="5058" t="s">
        <v>670</v>
      </c>
      <c r="C1344" s="4913" t="s">
        <v>655</v>
      </c>
      <c r="D1344" s="4842">
        <f t="shared" si="92"/>
        <v>20.106999999999999</v>
      </c>
      <c r="E1344" s="4842">
        <f>'Table2(I).A-Hs2_2018'!C25</f>
        <v>20.106999999999999</v>
      </c>
      <c r="F1344" s="4843">
        <f>'Table2(I).A-Hs2_2019'!C25</f>
        <v>20.3</v>
      </c>
      <c r="G1344" s="4919">
        <f>'Table2(I).A-Hs2_2020'!C25</f>
        <v>19.777999999999999</v>
      </c>
      <c r="H1344" s="4354"/>
      <c r="I1344" s="4387">
        <f t="shared" si="90"/>
        <v>9.5986472372806188E-3</v>
      </c>
      <c r="J1344" s="4387">
        <f t="shared" si="90"/>
        <v>2.5714285714285814E-2</v>
      </c>
      <c r="K1344" s="4354"/>
      <c r="L1344" s="4354"/>
      <c r="M1344" s="4354"/>
    </row>
    <row r="1345" spans="1:13" ht="15.75" thickBot="1" x14ac:dyDescent="0.3">
      <c r="A1345" s="4354"/>
      <c r="B1345" s="5061"/>
      <c r="C1345" s="4914" t="s">
        <v>654</v>
      </c>
      <c r="D1345" s="4911">
        <f t="shared" si="92"/>
        <v>2.91</v>
      </c>
      <c r="E1345" s="4428">
        <f>'Table2(I).A-Hs2_2018'!D25</f>
        <v>2.91</v>
      </c>
      <c r="F1345" s="4912">
        <f>'Table2(I).A-Hs2_2019'!D25</f>
        <v>2.91</v>
      </c>
      <c r="G1345" s="4430">
        <f>'Table2(I).A-Hs2_2020'!D25</f>
        <v>2.91</v>
      </c>
      <c r="H1345" s="4354"/>
      <c r="I1345" s="4387">
        <f t="shared" si="90"/>
        <v>0</v>
      </c>
      <c r="J1345" s="4387">
        <f t="shared" si="90"/>
        <v>0</v>
      </c>
      <c r="K1345" s="4354"/>
      <c r="L1345" s="4354"/>
      <c r="M1345" s="4354"/>
    </row>
    <row r="1346" spans="1:13" x14ac:dyDescent="0.25">
      <c r="A1346" s="4354"/>
      <c r="B1346" s="5061"/>
      <c r="C1346" s="4916" t="s">
        <v>653</v>
      </c>
      <c r="D1346" s="4807">
        <f t="shared" si="92"/>
        <v>1.21E-4</v>
      </c>
      <c r="E1346" s="4915">
        <f>'Table2(I).A-Hs2_2018'!E25</f>
        <v>1.21E-4</v>
      </c>
      <c r="F1346" s="4808">
        <f>'Table2(I).A-Hs2_2019'!E25</f>
        <v>1.21E-4</v>
      </c>
      <c r="G1346" s="4809">
        <f>'Table2(I).A-Hs2_2020'!E25</f>
        <v>1.21E-4</v>
      </c>
      <c r="H1346" s="4354"/>
      <c r="I1346" s="4387">
        <f t="shared" si="90"/>
        <v>0</v>
      </c>
      <c r="J1346" s="4387">
        <f t="shared" si="90"/>
        <v>0</v>
      </c>
      <c r="K1346" s="4354"/>
      <c r="L1346" s="4354"/>
      <c r="M1346" s="4354"/>
    </row>
    <row r="1347" spans="1:13" ht="15.75" thickBot="1" x14ac:dyDescent="0.3">
      <c r="A1347" s="4354"/>
      <c r="B1347" s="5062"/>
      <c r="C1347" s="4917" t="s">
        <v>652</v>
      </c>
      <c r="D1347" s="4763">
        <f t="shared" si="92"/>
        <v>2.4000000000000001E-5</v>
      </c>
      <c r="E1347" s="4512">
        <f>'Table2(I).A-Hs2_2018'!F25</f>
        <v>2.4000000000000001E-5</v>
      </c>
      <c r="F1347" s="4513">
        <f>'Table2(I).A-Hs2_2019'!F25</f>
        <v>2.4000000000000001E-5</v>
      </c>
      <c r="G1347" s="4514">
        <f>'Table2(I).A-Hs2_2020'!F25</f>
        <v>2.4000000000000001E-5</v>
      </c>
      <c r="H1347" s="4354"/>
      <c r="I1347" s="4387">
        <f t="shared" si="90"/>
        <v>0</v>
      </c>
      <c r="J1347" s="4387">
        <f t="shared" si="90"/>
        <v>0</v>
      </c>
      <c r="K1347" s="4354"/>
      <c r="L1347" s="4354"/>
      <c r="M1347" s="4354"/>
    </row>
    <row r="1348" spans="1:13" ht="15.75" thickBot="1" x14ac:dyDescent="0.3">
      <c r="A1348" s="4354"/>
      <c r="B1348" s="5058" t="s">
        <v>669</v>
      </c>
      <c r="C1348" s="4913" t="s">
        <v>655</v>
      </c>
      <c r="D1348" s="4504">
        <f t="shared" si="92"/>
        <v>729.20330000000001</v>
      </c>
      <c r="E1348" s="4846">
        <f>'Table2(I).A-Hs2_2018'!C27</f>
        <v>729.20330000000001</v>
      </c>
      <c r="F1348" s="4847">
        <f>'Table2(I).A-Hs2_2019'!C27</f>
        <v>721.50689999999997</v>
      </c>
      <c r="G1348" s="4920">
        <f>'Table2(I).A-Hs2_2020'!C27</f>
        <v>887.34109999999998</v>
      </c>
      <c r="H1348" s="4354"/>
      <c r="I1348" s="4387">
        <f t="shared" si="90"/>
        <v>1.0554532597425217E-2</v>
      </c>
      <c r="J1348" s="4387">
        <f t="shared" si="90"/>
        <v>0.22984423295189557</v>
      </c>
      <c r="K1348" s="4354"/>
      <c r="L1348" s="4354"/>
      <c r="M1348" s="4354"/>
    </row>
    <row r="1349" spans="1:13" x14ac:dyDescent="0.25">
      <c r="A1349" s="4354"/>
      <c r="B1349" s="5061"/>
      <c r="C1349" s="4914" t="s">
        <v>654</v>
      </c>
      <c r="D1349" s="4757">
        <f t="shared" si="92"/>
        <v>8.3254977213970002E-2</v>
      </c>
      <c r="E1349" s="4540">
        <f>'Table2(I).A-Hs2_2018'!D27</f>
        <v>8.3254977213970002E-2</v>
      </c>
      <c r="F1349" s="4921">
        <f>'Table2(I).A-Hs2_2019'!D27</f>
        <v>8.0297164852479994E-2</v>
      </c>
      <c r="G1349" s="4542">
        <f>'Table2(I).A-Hs2_2020'!D27</f>
        <v>7.7938632376380004E-2</v>
      </c>
      <c r="H1349" s="4354"/>
      <c r="I1349" s="4387">
        <f t="shared" si="90"/>
        <v>3.5527153576515473E-2</v>
      </c>
      <c r="J1349" s="4387">
        <f t="shared" si="90"/>
        <v>2.9372549833272792E-2</v>
      </c>
      <c r="K1349" s="4354"/>
      <c r="L1349" s="4354"/>
      <c r="M1349" s="4354"/>
    </row>
    <row r="1350" spans="1:13" x14ac:dyDescent="0.25">
      <c r="A1350" s="4354"/>
      <c r="B1350" s="5061"/>
      <c r="C1350" s="4916" t="s">
        <v>653</v>
      </c>
      <c r="D1350" s="4779" t="str">
        <f t="shared" si="92"/>
        <v>NA</v>
      </c>
      <c r="E1350" s="4496" t="str">
        <f>'Table2(I).A-Hs2_2018'!E27</f>
        <v>NA</v>
      </c>
      <c r="F1350" s="4669" t="str">
        <f>'Table2(I).A-Hs2_2019'!E27</f>
        <v>NA</v>
      </c>
      <c r="G1350" s="4498" t="str">
        <f>'Table2(I).A-Hs2_2020'!E27</f>
        <v>NA</v>
      </c>
      <c r="H1350" s="4354"/>
      <c r="I1350" s="4387" t="str">
        <f t="shared" si="90"/>
        <v>NO</v>
      </c>
      <c r="J1350" s="4387" t="str">
        <f t="shared" si="90"/>
        <v>NO</v>
      </c>
      <c r="K1350" s="4354"/>
      <c r="L1350" s="4354"/>
      <c r="M1350" s="4354"/>
    </row>
    <row r="1351" spans="1:13" ht="15.75" thickBot="1" x14ac:dyDescent="0.3">
      <c r="A1351" s="4354"/>
      <c r="B1351" s="5062"/>
      <c r="C1351" s="4917" t="s">
        <v>652</v>
      </c>
      <c r="D1351" s="4763" t="str">
        <f t="shared" si="92"/>
        <v>NA</v>
      </c>
      <c r="E1351" s="4512" t="str">
        <f>'Table2(I).A-Hs2_2018'!F27</f>
        <v>NA</v>
      </c>
      <c r="F1351" s="4513" t="str">
        <f>'Table2(I).A-Hs2_2019'!F27</f>
        <v>NA</v>
      </c>
      <c r="G1351" s="4514" t="str">
        <f>'Table2(I).A-Hs2_2020'!F27</f>
        <v>NA</v>
      </c>
      <c r="H1351" s="4354"/>
      <c r="I1351" s="4387" t="str">
        <f t="shared" si="90"/>
        <v>NO</v>
      </c>
      <c r="J1351" s="4387" t="str">
        <f t="shared" si="90"/>
        <v>NO</v>
      </c>
      <c r="K1351" s="4354"/>
      <c r="L1351" s="4354"/>
      <c r="M1351" s="4354"/>
    </row>
    <row r="1352" spans="1:13" ht="15.75" thickBot="1" x14ac:dyDescent="0.3">
      <c r="A1352" s="4354"/>
      <c r="B1352" s="5080" t="s">
        <v>2655</v>
      </c>
      <c r="C1352" s="4913" t="s">
        <v>655</v>
      </c>
      <c r="D1352" s="4504">
        <f t="shared" si="92"/>
        <v>4089.1039999999998</v>
      </c>
      <c r="E1352" s="4846">
        <f>'Table2(I).A-Hs2_2018'!C28</f>
        <v>4089.1039999999998</v>
      </c>
      <c r="F1352" s="4847">
        <f>'Table2(I).A-Hs2_2019'!C28</f>
        <v>3508.002</v>
      </c>
      <c r="G1352" s="4920">
        <f>'Table2(I).A-Hs2_2020'!C28</f>
        <v>3833.422</v>
      </c>
      <c r="H1352" s="4354"/>
      <c r="I1352" s="4387">
        <f t="shared" si="90"/>
        <v>0.14210986074210877</v>
      </c>
      <c r="J1352" s="4387">
        <f t="shared" si="90"/>
        <v>9.2765055436114366E-2</v>
      </c>
      <c r="K1352" s="4354"/>
      <c r="L1352" s="4354"/>
      <c r="M1352" s="4354"/>
    </row>
    <row r="1353" spans="1:13" x14ac:dyDescent="0.25">
      <c r="A1353" s="4354"/>
      <c r="B1353" s="5061"/>
      <c r="C1353" s="4914" t="s">
        <v>654</v>
      </c>
      <c r="D1353" s="4757">
        <f t="shared" si="92"/>
        <v>2.3000000000000001E-4</v>
      </c>
      <c r="E1353" s="4540">
        <f>'Table2(I).A-Hs2_2018'!D28</f>
        <v>2.3000000000000001E-4</v>
      </c>
      <c r="F1353" s="4921">
        <f>'Table2(I).A-Hs2_2019'!D28</f>
        <v>2.3000000000000001E-4</v>
      </c>
      <c r="G1353" s="4542">
        <f>'Table2(I).A-Hs2_2020'!D28</f>
        <v>2.3000000000000001E-4</v>
      </c>
      <c r="H1353" s="4354"/>
      <c r="I1353" s="4387">
        <f t="shared" si="90"/>
        <v>0</v>
      </c>
      <c r="J1353" s="4387">
        <f t="shared" si="90"/>
        <v>0</v>
      </c>
      <c r="K1353" s="4354"/>
      <c r="L1353" s="4354"/>
      <c r="M1353" s="4354"/>
    </row>
    <row r="1354" spans="1:13" x14ac:dyDescent="0.25">
      <c r="A1354" s="4354"/>
      <c r="B1354" s="5061"/>
      <c r="C1354" s="4916" t="s">
        <v>653</v>
      </c>
      <c r="D1354" s="4779">
        <f t="shared" si="92"/>
        <v>4.4000000000000002E-6</v>
      </c>
      <c r="E1354" s="4496">
        <f>'Table2(I).A-Hs2_2018'!E28</f>
        <v>4.4000000000000002E-6</v>
      </c>
      <c r="F1354" s="4669">
        <f>'Table2(I).A-Hs2_2019'!E28</f>
        <v>4.4000000000000002E-6</v>
      </c>
      <c r="G1354" s="4498">
        <f>'Table2(I).A-Hs2_2020'!E28</f>
        <v>4.4000000000000002E-6</v>
      </c>
      <c r="H1354" s="4354"/>
      <c r="I1354" s="4387">
        <f t="shared" si="90"/>
        <v>0</v>
      </c>
      <c r="J1354" s="4387">
        <f t="shared" si="90"/>
        <v>0</v>
      </c>
      <c r="K1354" s="4354"/>
      <c r="L1354" s="4354"/>
      <c r="M1354" s="4354"/>
    </row>
    <row r="1355" spans="1:13" ht="15.75" thickBot="1" x14ac:dyDescent="0.3">
      <c r="A1355" s="4354"/>
      <c r="B1355" s="5062"/>
      <c r="C1355" s="4917" t="s">
        <v>652</v>
      </c>
      <c r="D1355" s="4763" t="str">
        <f t="shared" si="92"/>
        <v>NA</v>
      </c>
      <c r="E1355" s="4512" t="str">
        <f>'Table2(I).A-Hs2_2018'!F28</f>
        <v>NA</v>
      </c>
      <c r="F1355" s="4513" t="str">
        <f>'Table2(I).A-Hs2_2019'!F28</f>
        <v>NA</v>
      </c>
      <c r="G1355" s="4514" t="str">
        <f>'Table2(I).A-Hs2_2020'!F28</f>
        <v>NA</v>
      </c>
      <c r="H1355" s="4354"/>
      <c r="I1355" s="4387" t="str">
        <f t="shared" si="90"/>
        <v>NO</v>
      </c>
      <c r="J1355" s="4387" t="str">
        <f t="shared" si="90"/>
        <v>NO</v>
      </c>
      <c r="K1355" s="4354"/>
      <c r="L1355" s="4354"/>
      <c r="M1355" s="4354"/>
    </row>
    <row r="1356" spans="1:13" ht="15.75" thickBot="1" x14ac:dyDescent="0.3">
      <c r="A1356" s="4354"/>
      <c r="B1356" s="5080" t="s">
        <v>2656</v>
      </c>
      <c r="C1356" s="4913" t="s">
        <v>655</v>
      </c>
      <c r="D1356" s="4504">
        <f t="shared" si="92"/>
        <v>58.789000000000001</v>
      </c>
      <c r="E1356" s="4846">
        <f>'Table2(I).A-Hs2_2018'!C29</f>
        <v>58.789000000000001</v>
      </c>
      <c r="F1356" s="4847">
        <f>'Table2(I).A-Hs2_2019'!C29</f>
        <v>59.543999999999997</v>
      </c>
      <c r="G1356" s="4920">
        <f>'Table2(I).A-Hs2_2020'!C29</f>
        <v>60.06</v>
      </c>
      <c r="H1356" s="4354"/>
      <c r="I1356" s="4387">
        <f t="shared" si="90"/>
        <v>1.2842538570140595E-2</v>
      </c>
      <c r="J1356" s="4387">
        <f t="shared" si="90"/>
        <v>8.6658605401048871E-3</v>
      </c>
      <c r="K1356" s="4354"/>
      <c r="L1356" s="4354"/>
      <c r="M1356" s="4354"/>
    </row>
    <row r="1357" spans="1:13" x14ac:dyDescent="0.25">
      <c r="A1357" s="4354"/>
      <c r="B1357" s="5061"/>
      <c r="C1357" s="4914" t="s">
        <v>654</v>
      </c>
      <c r="D1357" s="4757">
        <f t="shared" si="92"/>
        <v>4.0000000000000002E-4</v>
      </c>
      <c r="E1357" s="4540">
        <f>'Table2(I).A-Hs2_2018'!D29</f>
        <v>4.0000000000000002E-4</v>
      </c>
      <c r="F1357" s="4921">
        <f>'Table2(I).A-Hs2_2019'!D29</f>
        <v>4.0000000000000002E-4</v>
      </c>
      <c r="G1357" s="4542">
        <f>'Table2(I).A-Hs2_2020'!D29</f>
        <v>4.0000000000000002E-4</v>
      </c>
      <c r="H1357" s="4354"/>
      <c r="I1357" s="4387">
        <f t="shared" si="90"/>
        <v>0</v>
      </c>
      <c r="J1357" s="4387">
        <f t="shared" si="90"/>
        <v>0</v>
      </c>
      <c r="K1357" s="4354"/>
      <c r="L1357" s="4354"/>
      <c r="M1357" s="4354"/>
    </row>
    <row r="1358" spans="1:13" x14ac:dyDescent="0.25">
      <c r="A1358" s="4354"/>
      <c r="B1358" s="5061"/>
      <c r="C1358" s="4916" t="s">
        <v>653</v>
      </c>
      <c r="D1358" s="4779" t="str">
        <f t="shared" si="92"/>
        <v>NA</v>
      </c>
      <c r="E1358" s="4496" t="str">
        <f>'Table2(I).A-Hs2_2018'!E29</f>
        <v>NA</v>
      </c>
      <c r="F1358" s="4669" t="str">
        <f>'Table2(I).A-Hs2_2019'!E29</f>
        <v>NA</v>
      </c>
      <c r="G1358" s="4498" t="str">
        <f>'Table2(I).A-Hs2_2020'!E29</f>
        <v>NA</v>
      </c>
      <c r="H1358" s="4354"/>
      <c r="I1358" s="4387" t="str">
        <f t="shared" si="90"/>
        <v>NO</v>
      </c>
      <c r="J1358" s="4387" t="str">
        <f t="shared" si="90"/>
        <v>NO</v>
      </c>
      <c r="K1358" s="4354"/>
      <c r="L1358" s="4354"/>
      <c r="M1358" s="4354"/>
    </row>
    <row r="1359" spans="1:13" ht="15.75" thickBot="1" x14ac:dyDescent="0.3">
      <c r="A1359" s="4354"/>
      <c r="B1359" s="5062"/>
      <c r="C1359" s="4917" t="s">
        <v>652</v>
      </c>
      <c r="D1359" s="4763" t="str">
        <f t="shared" si="92"/>
        <v>NA</v>
      </c>
      <c r="E1359" s="4512" t="str">
        <f>'Table2(I).A-Hs2_2018'!F29</f>
        <v>NA</v>
      </c>
      <c r="F1359" s="4513" t="str">
        <f>'Table2(I).A-Hs2_2019'!F29</f>
        <v>NA</v>
      </c>
      <c r="G1359" s="4514" t="str">
        <f>'Table2(I).A-Hs2_2020'!F29</f>
        <v>NA</v>
      </c>
      <c r="H1359" s="4354"/>
      <c r="I1359" s="4387" t="str">
        <f t="shared" si="90"/>
        <v>NO</v>
      </c>
      <c r="J1359" s="4387" t="str">
        <f t="shared" si="90"/>
        <v>NO</v>
      </c>
      <c r="K1359" s="4354"/>
      <c r="L1359" s="4354"/>
      <c r="M1359" s="4354"/>
    </row>
    <row r="1360" spans="1:13" ht="15.75" thickBot="1" x14ac:dyDescent="0.3">
      <c r="A1360" s="4354"/>
      <c r="B1360" s="5080" t="s">
        <v>2657</v>
      </c>
      <c r="C1360" s="4913" t="s">
        <v>655</v>
      </c>
      <c r="D1360" s="4504">
        <f t="shared" si="92"/>
        <v>37.490557217585099</v>
      </c>
      <c r="E1360" s="4846">
        <f>'Table2(I).A-Hs2_2018'!C31</f>
        <v>37.490557217585099</v>
      </c>
      <c r="F1360" s="4847">
        <f>'Table2(I).A-Hs2_2019'!C31</f>
        <v>38.3678752660215</v>
      </c>
      <c r="G1360" s="4920">
        <f>'Table2(I).A-Hs2_2020'!C31</f>
        <v>38.107259999999997</v>
      </c>
      <c r="H1360" s="4354"/>
      <c r="I1360" s="4387">
        <f t="shared" si="90"/>
        <v>2.3401040516540812E-2</v>
      </c>
      <c r="J1360" s="4387">
        <f t="shared" si="90"/>
        <v>6.7925383987135551E-3</v>
      </c>
      <c r="K1360" s="4354"/>
      <c r="L1360" s="4354"/>
      <c r="M1360" s="4354"/>
    </row>
    <row r="1361" spans="1:13" x14ac:dyDescent="0.25">
      <c r="A1361" s="4354"/>
      <c r="B1361" s="5061"/>
      <c r="C1361" s="4914" t="s">
        <v>654</v>
      </c>
      <c r="D1361" s="4757">
        <f t="shared" si="92"/>
        <v>0.23853211009174</v>
      </c>
      <c r="E1361" s="4540">
        <f>'Table2(I).A-Hs2_2018'!D31</f>
        <v>0.23853211009174</v>
      </c>
      <c r="F1361" s="4921">
        <f>'Table2(I).A-Hs2_2019'!D31</f>
        <v>0.23853211009174</v>
      </c>
      <c r="G1361" s="4542">
        <f>'Table2(I).A-Hs2_2020'!D31</f>
        <v>0.23853211009174</v>
      </c>
      <c r="H1361" s="4354"/>
      <c r="I1361" s="4387">
        <f t="shared" si="90"/>
        <v>0</v>
      </c>
      <c r="J1361" s="4387">
        <f t="shared" si="90"/>
        <v>0</v>
      </c>
      <c r="K1361" s="4354"/>
      <c r="L1361" s="4354"/>
      <c r="M1361" s="4354"/>
    </row>
    <row r="1362" spans="1:13" x14ac:dyDescent="0.25">
      <c r="A1362" s="4354"/>
      <c r="B1362" s="5061"/>
      <c r="C1362" s="4916" t="s">
        <v>653</v>
      </c>
      <c r="D1362" s="4779" t="str">
        <f t="shared" si="92"/>
        <v>NA</v>
      </c>
      <c r="E1362" s="4496" t="str">
        <f>'Table2(I).A-Hs2_2018'!E31</f>
        <v>NA</v>
      </c>
      <c r="F1362" s="4669" t="str">
        <f>'Table2(I).A-Hs2_2019'!E31</f>
        <v>NA</v>
      </c>
      <c r="G1362" s="4498" t="str">
        <f>'Table2(I).A-Hs2_2020'!E31</f>
        <v>NA</v>
      </c>
      <c r="H1362" s="4354"/>
      <c r="I1362" s="4387" t="str">
        <f t="shared" si="90"/>
        <v>NO</v>
      </c>
      <c r="J1362" s="4387" t="str">
        <f t="shared" si="90"/>
        <v>NO</v>
      </c>
      <c r="K1362" s="4354"/>
      <c r="L1362" s="4354"/>
      <c r="M1362" s="4354"/>
    </row>
    <row r="1363" spans="1:13" ht="15.75" thickBot="1" x14ac:dyDescent="0.3">
      <c r="A1363" s="4354"/>
      <c r="B1363" s="5062"/>
      <c r="C1363" s="4917" t="s">
        <v>652</v>
      </c>
      <c r="D1363" s="4763" t="str">
        <f t="shared" si="92"/>
        <v>NA</v>
      </c>
      <c r="E1363" s="4512" t="str">
        <f>'Table2(I).A-Hs2_2018'!F31</f>
        <v>NA</v>
      </c>
      <c r="F1363" s="4513" t="str">
        <f>'Table2(I).A-Hs2_2019'!F31</f>
        <v>NA</v>
      </c>
      <c r="G1363" s="4514" t="str">
        <f>'Table2(I).A-Hs2_2020'!F31</f>
        <v>NA</v>
      </c>
      <c r="H1363" s="4354"/>
      <c r="I1363" s="4387" t="str">
        <f t="shared" si="90"/>
        <v>NO</v>
      </c>
      <c r="J1363" s="4387" t="str">
        <f t="shared" si="90"/>
        <v>NO</v>
      </c>
      <c r="K1363" s="4354"/>
      <c r="L1363" s="4354"/>
      <c r="M1363" s="4354"/>
    </row>
    <row r="1364" spans="1:13" x14ac:dyDescent="0.25">
      <c r="A1364" s="4354"/>
      <c r="B1364" s="4354"/>
      <c r="C1364" s="4354"/>
      <c r="D1364" s="4439" t="str">
        <f t="shared" ref="D1364:D1386" si="93">""&amp;IF($D$3=$E$3,E1364,IF($D$3=$F$3,F1364,IF($D$3=$G$3,G1364,"-")))</f>
        <v/>
      </c>
      <c r="E1364" s="4439"/>
      <c r="F1364" s="4354"/>
      <c r="G1364" s="4354"/>
      <c r="H1364" s="4354"/>
      <c r="I1364" s="4387" t="str">
        <f t="shared" si="90"/>
        <v>NO</v>
      </c>
      <c r="J1364" s="4387" t="str">
        <f t="shared" si="90"/>
        <v>NO</v>
      </c>
      <c r="K1364" s="4354"/>
      <c r="L1364" s="4354"/>
      <c r="M1364" s="4354"/>
    </row>
    <row r="1365" spans="1:13" ht="14.45" customHeight="1" x14ac:dyDescent="0.25">
      <c r="A1365" s="4354"/>
      <c r="B1365" s="4402" t="s">
        <v>651</v>
      </c>
      <c r="C1365" s="4354"/>
      <c r="D1365" s="4481" t="str">
        <f t="shared" si="93"/>
        <v xml:space="preserve"> NIR 2020 (2018) CRF tabel 2(I).A-Hs1</v>
      </c>
      <c r="E1365" s="4481" t="s">
        <v>5306</v>
      </c>
      <c r="F1365" s="4481" t="s">
        <v>5305</v>
      </c>
      <c r="G1365" s="4481" t="s">
        <v>5304</v>
      </c>
      <c r="H1365" s="4354"/>
      <c r="I1365" s="4387" t="str">
        <f t="shared" si="90"/>
        <v>NO</v>
      </c>
      <c r="J1365" s="4387" t="str">
        <f t="shared" si="90"/>
        <v>NO</v>
      </c>
      <c r="K1365" s="4354"/>
      <c r="L1365" s="4354"/>
      <c r="M1365" s="4354"/>
    </row>
    <row r="1366" spans="1:13" ht="15.75" thickBot="1" x14ac:dyDescent="0.3">
      <c r="A1366" s="4354"/>
      <c r="B1366" s="4354"/>
      <c r="C1366" s="4354"/>
      <c r="D1366" s="4454" t="str">
        <f t="shared" si="93"/>
        <v/>
      </c>
      <c r="E1366" s="4454"/>
      <c r="F1366" s="4354"/>
      <c r="G1366" s="4354"/>
      <c r="H1366" s="4354"/>
      <c r="I1366" s="4387" t="str">
        <f t="shared" si="90"/>
        <v>NO</v>
      </c>
      <c r="J1366" s="4387" t="str">
        <f t="shared" si="90"/>
        <v>NO</v>
      </c>
      <c r="K1366" s="4354"/>
      <c r="L1366" s="4354"/>
      <c r="M1366" s="4354"/>
    </row>
    <row r="1367" spans="1:13" ht="15.75" thickBot="1" x14ac:dyDescent="0.3">
      <c r="A1367" s="4354"/>
      <c r="B1367" s="4650" t="s">
        <v>668</v>
      </c>
      <c r="C1367" s="4902"/>
      <c r="D1367" s="4832" t="str">
        <f t="shared" si="93"/>
        <v>kton</v>
      </c>
      <c r="E1367" s="4904" t="s">
        <v>665</v>
      </c>
      <c r="F1367" s="4831" t="s">
        <v>665</v>
      </c>
      <c r="G1367" s="4839" t="s">
        <v>665</v>
      </c>
      <c r="H1367" s="4354"/>
      <c r="I1367" s="4387" t="str">
        <f t="shared" si="90"/>
        <v>NO</v>
      </c>
      <c r="J1367" s="4387" t="str">
        <f t="shared" si="90"/>
        <v>NO</v>
      </c>
      <c r="K1367" s="4354"/>
      <c r="L1367" s="4354"/>
      <c r="M1367" s="4354"/>
    </row>
    <row r="1368" spans="1:13" ht="15.75" thickBot="1" x14ac:dyDescent="0.3">
      <c r="A1368" s="4354"/>
      <c r="B1368" s="4896" t="s">
        <v>667</v>
      </c>
      <c r="C1368" s="4922" t="s">
        <v>663</v>
      </c>
      <c r="D1368" s="4923">
        <f>IF($D$3=$E$3,E1368,IF($D$3=$F$3,F1368,IF($D$3=$G$3,G1368,"-")))</f>
        <v>0</v>
      </c>
      <c r="E1368" s="4850">
        <f>(SUM('Table2(II)_2018'!B40:AJ40))</f>
        <v>0</v>
      </c>
      <c r="F1368" s="4859">
        <f>(SUM('Table2(II)_2019'!B40:AJ40))</f>
        <v>1.10111</v>
      </c>
      <c r="G1368" s="4924">
        <f>(SUM('Table2(II)_2020'!B40:AJ40))</f>
        <v>0</v>
      </c>
      <c r="H1368" s="4354"/>
      <c r="I1368" s="4387" t="str">
        <f t="shared" si="90"/>
        <v>NO</v>
      </c>
      <c r="J1368" s="4387">
        <f t="shared" si="90"/>
        <v>1</v>
      </c>
      <c r="K1368" s="4354"/>
      <c r="L1368" s="4354"/>
      <c r="M1368" s="4354"/>
    </row>
    <row r="1369" spans="1:13" x14ac:dyDescent="0.25">
      <c r="A1369" s="4354"/>
      <c r="B1369" s="4354"/>
      <c r="C1369" s="4354"/>
      <c r="D1369" s="4439" t="str">
        <f t="shared" si="93"/>
        <v/>
      </c>
      <c r="E1369" s="4439"/>
      <c r="F1369" s="4354"/>
      <c r="G1369" s="4354"/>
      <c r="H1369" s="4354"/>
      <c r="I1369" s="4387" t="str">
        <f t="shared" si="90"/>
        <v>NO</v>
      </c>
      <c r="J1369" s="4387" t="str">
        <f t="shared" si="90"/>
        <v>NO</v>
      </c>
      <c r="K1369" s="4354"/>
      <c r="L1369" s="4354"/>
      <c r="M1369" s="4354"/>
    </row>
    <row r="1370" spans="1:13" ht="14.45" customHeight="1" x14ac:dyDescent="0.25">
      <c r="A1370" s="4354"/>
      <c r="B1370" s="4402" t="s">
        <v>651</v>
      </c>
      <c r="C1370" s="4354"/>
      <c r="D1370" s="4481" t="str">
        <f t="shared" si="93"/>
        <v xml:space="preserve"> NIR 2020 (2018) CRF tabel 2(I).A-Hs1</v>
      </c>
      <c r="E1370" s="4481" t="s">
        <v>5306</v>
      </c>
      <c r="F1370" s="4481" t="s">
        <v>5305</v>
      </c>
      <c r="G1370" s="4481" t="s">
        <v>5304</v>
      </c>
      <c r="H1370" s="4354"/>
      <c r="I1370" s="4387" t="str">
        <f t="shared" si="90"/>
        <v>NO</v>
      </c>
      <c r="J1370" s="4387" t="str">
        <f t="shared" si="90"/>
        <v>NO</v>
      </c>
      <c r="K1370" s="4354"/>
      <c r="L1370" s="4354"/>
      <c r="M1370" s="4354"/>
    </row>
    <row r="1371" spans="1:13" ht="15.75" thickBot="1" x14ac:dyDescent="0.3">
      <c r="A1371" s="4354"/>
      <c r="B1371" s="4354"/>
      <c r="C1371" s="4354"/>
      <c r="D1371" s="4454" t="str">
        <f t="shared" si="93"/>
        <v/>
      </c>
      <c r="E1371" s="4454"/>
      <c r="F1371" s="4354"/>
      <c r="G1371" s="4354"/>
      <c r="H1371" s="4354"/>
      <c r="I1371" s="4387" t="str">
        <f t="shared" ref="I1371:J1434" si="94">IFERROR(ABS(F1371-E1371)/E1371,"NO")</f>
        <v>NO</v>
      </c>
      <c r="J1371" s="4387" t="str">
        <f t="shared" si="94"/>
        <v>NO</v>
      </c>
      <c r="K1371" s="4354"/>
      <c r="L1371" s="4354"/>
      <c r="M1371" s="4354"/>
    </row>
    <row r="1372" spans="1:13" ht="15.75" thickBot="1" x14ac:dyDescent="0.3">
      <c r="A1372" s="4354"/>
      <c r="B1372" s="4753" t="s">
        <v>666</v>
      </c>
      <c r="C1372" s="4925"/>
      <c r="D1372" s="4926" t="str">
        <f t="shared" si="93"/>
        <v>kton</v>
      </c>
      <c r="E1372" s="4927" t="s">
        <v>665</v>
      </c>
      <c r="F1372" s="4928" t="s">
        <v>665</v>
      </c>
      <c r="G1372" s="4929" t="s">
        <v>665</v>
      </c>
      <c r="H1372" s="4354"/>
      <c r="I1372" s="4387" t="str">
        <f t="shared" si="94"/>
        <v>NO</v>
      </c>
      <c r="J1372" s="4387" t="str">
        <f t="shared" si="94"/>
        <v>NO</v>
      </c>
      <c r="K1372" s="4354"/>
      <c r="L1372" s="4354"/>
      <c r="M1372" s="4354"/>
    </row>
    <row r="1373" spans="1:13" ht="30" x14ac:dyDescent="0.25">
      <c r="A1373" s="4354"/>
      <c r="B1373" s="4930" t="s">
        <v>664</v>
      </c>
      <c r="C1373" s="4931" t="s">
        <v>663</v>
      </c>
      <c r="D1373" s="4932">
        <f>IF($D$3=$E$3,E1373,IF($D$3=$F$3,F1373,IF($D$3=$G$3,G1373,"-")))</f>
        <v>473.78842601266876</v>
      </c>
      <c r="E1373" s="4540">
        <f>'Table2(I)s2_2018'!E18</f>
        <v>473.78842601266876</v>
      </c>
      <c r="F1373" s="4541">
        <f>'Table2(I)s2_2019'!E18</f>
        <v>322.81658955886058</v>
      </c>
      <c r="G1373" s="4542">
        <f>'Table2(I)s2_2020'!E18</f>
        <v>322.83178604192318</v>
      </c>
      <c r="H1373" s="4354"/>
      <c r="I1373" s="4387">
        <f t="shared" si="94"/>
        <v>0.31864821545845717</v>
      </c>
      <c r="J1373" s="4387">
        <f t="shared" si="94"/>
        <v>4.7074665782703982E-5</v>
      </c>
      <c r="K1373" s="4354"/>
      <c r="L1373" s="4354"/>
      <c r="M1373" s="4354"/>
    </row>
    <row r="1374" spans="1:13" x14ac:dyDescent="0.25">
      <c r="A1374" s="4354"/>
      <c r="B1374" s="4933" t="s">
        <v>457</v>
      </c>
      <c r="C1374" s="4934" t="s">
        <v>663</v>
      </c>
      <c r="D1374" s="4935">
        <f t="shared" ref="D1374:D1375" si="95">IF($D$3=$E$3,E1374,IF($D$3=$F$3,F1374,IF($D$3=$G$3,G1374,"-")))</f>
        <v>0.78412698000000003</v>
      </c>
      <c r="E1374" s="4496">
        <f>'Table2(I)s2_2018'!E19</f>
        <v>0.78412698000000003</v>
      </c>
      <c r="F1374" s="4669">
        <f>'Table2(I)s2_2019'!E19</f>
        <v>0.70754552999999998</v>
      </c>
      <c r="G1374" s="4498">
        <f>'Table2(I)s2_2020'!E19</f>
        <v>0.63648828000000002</v>
      </c>
      <c r="H1374" s="4354"/>
      <c r="I1374" s="4387">
        <f t="shared" si="94"/>
        <v>9.7664602740744941E-2</v>
      </c>
      <c r="J1374" s="4387">
        <f t="shared" si="94"/>
        <v>0.10042781275149879</v>
      </c>
      <c r="K1374" s="4354"/>
      <c r="L1374" s="4354"/>
      <c r="M1374" s="4354"/>
    </row>
    <row r="1375" spans="1:13" ht="15.75" thickBot="1" x14ac:dyDescent="0.3">
      <c r="A1375" s="4354"/>
      <c r="B1375" s="4936" t="s">
        <v>458</v>
      </c>
      <c r="C1375" s="4937" t="s">
        <v>663</v>
      </c>
      <c r="D1375" s="4938">
        <f t="shared" si="95"/>
        <v>12.773699221139999</v>
      </c>
      <c r="E1375" s="4512">
        <f>'Table2(I)s2_2018'!E21</f>
        <v>12.773699221139999</v>
      </c>
      <c r="F1375" s="4513">
        <f>'Table2(I)s2_2019'!E21</f>
        <v>12.270648744320001</v>
      </c>
      <c r="G1375" s="4514">
        <f>'Table2(I)s2_2020'!E21</f>
        <v>11.095745000000001</v>
      </c>
      <c r="H1375" s="4354"/>
      <c r="I1375" s="4387">
        <f t="shared" si="94"/>
        <v>3.9381738062805538E-2</v>
      </c>
      <c r="J1375" s="4387">
        <f t="shared" si="94"/>
        <v>9.5749113905966451E-2</v>
      </c>
      <c r="K1375" s="4354"/>
      <c r="L1375" s="4354"/>
      <c r="M1375" s="4354"/>
    </row>
    <row r="1376" spans="1:13" x14ac:dyDescent="0.25">
      <c r="A1376" s="4354"/>
      <c r="B1376" s="4354"/>
      <c r="C1376" s="4354"/>
      <c r="D1376" s="4439" t="str">
        <f t="shared" si="93"/>
        <v/>
      </c>
      <c r="E1376" s="4354"/>
      <c r="F1376" s="4354"/>
      <c r="G1376" s="4354"/>
      <c r="H1376" s="4354"/>
      <c r="I1376" s="4387" t="str">
        <f t="shared" si="94"/>
        <v>NO</v>
      </c>
      <c r="J1376" s="4387" t="str">
        <f t="shared" si="94"/>
        <v>NO</v>
      </c>
      <c r="K1376" s="4354"/>
      <c r="L1376" s="4354"/>
      <c r="M1376" s="4354"/>
    </row>
    <row r="1377" spans="1:13" ht="14.45" customHeight="1" x14ac:dyDescent="0.25">
      <c r="A1377" s="4354"/>
      <c r="B1377" s="4402" t="s">
        <v>651</v>
      </c>
      <c r="C1377" s="4354"/>
      <c r="D1377" s="4481" t="str">
        <f t="shared" si="93"/>
        <v xml:space="preserve"> NIR 2020 (2018) CRF tabel 2(I).A-Hs1</v>
      </c>
      <c r="E1377" s="4481" t="s">
        <v>5306</v>
      </c>
      <c r="F1377" s="4481" t="s">
        <v>5305</v>
      </c>
      <c r="G1377" s="4481" t="s">
        <v>5304</v>
      </c>
      <c r="H1377" s="4354"/>
      <c r="I1377" s="4387" t="str">
        <f t="shared" si="94"/>
        <v>NO</v>
      </c>
      <c r="J1377" s="4387" t="str">
        <f t="shared" si="94"/>
        <v>NO</v>
      </c>
      <c r="K1377" s="4354"/>
      <c r="L1377" s="4354"/>
      <c r="M1377" s="4354"/>
    </row>
    <row r="1378" spans="1:13" ht="15.75" thickBot="1" x14ac:dyDescent="0.3">
      <c r="A1378" s="4354"/>
      <c r="B1378" s="4354"/>
      <c r="C1378" s="4354"/>
      <c r="D1378" s="4454" t="str">
        <f t="shared" si="93"/>
        <v/>
      </c>
      <c r="E1378" s="4354"/>
      <c r="F1378" s="4354"/>
      <c r="G1378" s="4354"/>
      <c r="H1378" s="4354"/>
      <c r="I1378" s="4387" t="str">
        <f t="shared" si="94"/>
        <v>NO</v>
      </c>
      <c r="J1378" s="4387" t="str">
        <f t="shared" si="94"/>
        <v>NO</v>
      </c>
      <c r="K1378" s="4354"/>
      <c r="L1378" s="4354"/>
      <c r="M1378" s="4354"/>
    </row>
    <row r="1379" spans="1:13" ht="15.75" thickBot="1" x14ac:dyDescent="0.3">
      <c r="A1379" s="4354"/>
      <c r="B1379" s="4650" t="s">
        <v>662</v>
      </c>
      <c r="C1379" s="4902"/>
      <c r="D1379" s="4832" t="str">
        <f t="shared" si="93"/>
        <v/>
      </c>
      <c r="E1379" s="4904"/>
      <c r="F1379" s="4831"/>
      <c r="G1379" s="4839"/>
      <c r="H1379" s="4354"/>
      <c r="I1379" s="4387" t="str">
        <f t="shared" si="94"/>
        <v>NO</v>
      </c>
      <c r="J1379" s="4387" t="str">
        <f t="shared" si="94"/>
        <v>NO</v>
      </c>
      <c r="K1379" s="4354"/>
      <c r="L1379" s="4354"/>
      <c r="M1379" s="4354"/>
    </row>
    <row r="1380" spans="1:13" ht="15.75" thickBot="1" x14ac:dyDescent="0.3">
      <c r="A1380" s="4354"/>
      <c r="B1380" s="5058" t="s">
        <v>661</v>
      </c>
      <c r="C1380" s="4913" t="s">
        <v>655</v>
      </c>
      <c r="D1380" s="4939">
        <f>IF($D$3=$E$3,E1380,IF($D$3=$F$3,F1380,IF($D$3=$G$3,G1380,"-")))</f>
        <v>3.7999999999999999E-2</v>
      </c>
      <c r="E1380" s="4428">
        <f>'Table2(I).A-Hs2_2018'!C34</f>
        <v>3.7999999999999999E-2</v>
      </c>
      <c r="F1380" s="4429">
        <f>'Table2(I).A-Hs2_2019'!C34</f>
        <v>3.7999999999999999E-2</v>
      </c>
      <c r="G1380" s="4430">
        <f>'Table2(I).A-Hs2_2020'!C34</f>
        <v>3.7999999999999999E-2</v>
      </c>
      <c r="H1380" s="4354"/>
      <c r="I1380" s="4387">
        <f t="shared" si="94"/>
        <v>0</v>
      </c>
      <c r="J1380" s="4387">
        <f t="shared" si="94"/>
        <v>0</v>
      </c>
      <c r="K1380" s="4354"/>
      <c r="L1380" s="4354"/>
      <c r="M1380" s="4354"/>
    </row>
    <row r="1381" spans="1:13" x14ac:dyDescent="0.25">
      <c r="A1381" s="4354"/>
      <c r="B1381" s="5060"/>
      <c r="C1381" s="4940" t="s">
        <v>654</v>
      </c>
      <c r="D1381" s="4941" t="str">
        <f t="shared" si="93"/>
        <v/>
      </c>
      <c r="E1381" s="4942"/>
      <c r="F1381" s="4900"/>
      <c r="G1381" s="4901"/>
      <c r="H1381" s="4354"/>
      <c r="I1381" s="4387" t="str">
        <f t="shared" si="94"/>
        <v>NO</v>
      </c>
      <c r="J1381" s="4387" t="str">
        <f t="shared" si="94"/>
        <v>NO</v>
      </c>
      <c r="K1381" s="4354"/>
      <c r="L1381" s="4354"/>
      <c r="M1381" s="4354"/>
    </row>
    <row r="1382" spans="1:13" x14ac:dyDescent="0.25">
      <c r="A1382" s="4354"/>
      <c r="B1382" s="5060"/>
      <c r="C1382" s="4943" t="s">
        <v>653</v>
      </c>
      <c r="D1382" s="4944" t="str">
        <f t="shared" si="93"/>
        <v/>
      </c>
      <c r="E1382" s="4945"/>
      <c r="F1382" s="4664"/>
      <c r="G1382" s="4665"/>
      <c r="H1382" s="4354"/>
      <c r="I1382" s="4387" t="str">
        <f t="shared" si="94"/>
        <v>NO</v>
      </c>
      <c r="J1382" s="4387" t="str">
        <f t="shared" si="94"/>
        <v>NO</v>
      </c>
      <c r="K1382" s="4354"/>
      <c r="L1382" s="4354"/>
      <c r="M1382" s="4354"/>
    </row>
    <row r="1383" spans="1:13" ht="15.95" customHeight="1" thickBot="1" x14ac:dyDescent="0.3">
      <c r="A1383" s="4354"/>
      <c r="B1383" s="5059"/>
      <c r="C1383" s="4946" t="s">
        <v>652</v>
      </c>
      <c r="D1383" s="4947">
        <f>IF($D$3=$E$3,E1383,IF($D$3=$F$3,F1383,IF($D$3=$G$3,G1383,"-")))</f>
        <v>1</v>
      </c>
      <c r="E1383" s="4918">
        <f>'Table2(I).A-Hs2_2018'!F34</f>
        <v>1</v>
      </c>
      <c r="F1383" s="4684">
        <f>'Table2(I).A-Hs2_2019'!F34</f>
        <v>1</v>
      </c>
      <c r="G1383" s="4685">
        <f>'Table2(I).A-Hs2_2020'!F34</f>
        <v>1</v>
      </c>
      <c r="H1383" s="4354"/>
      <c r="I1383" s="4387">
        <f t="shared" si="94"/>
        <v>0</v>
      </c>
      <c r="J1383" s="4387">
        <f t="shared" si="94"/>
        <v>0</v>
      </c>
      <c r="K1383" s="4354"/>
      <c r="L1383" s="4354"/>
      <c r="M1383" s="4354"/>
    </row>
    <row r="1384" spans="1:13" ht="15.75" thickBot="1" x14ac:dyDescent="0.3">
      <c r="A1384" s="4354"/>
      <c r="B1384" s="5058" t="s">
        <v>660</v>
      </c>
      <c r="C1384" s="4913" t="s">
        <v>655</v>
      </c>
      <c r="D1384" s="4948">
        <f>IF($D$3=$E$3,E1384,IF($D$3=$F$3,F1384,IF($D$3=$G$3,G1384,"-")))</f>
        <v>0.34699999999999998</v>
      </c>
      <c r="E1384" s="4949">
        <f>'Table2(I).A-Hs2_2018'!C36</f>
        <v>0.34699999999999998</v>
      </c>
      <c r="F1384" s="4843">
        <f>'Table2(I).A-Hs2_2019'!C36</f>
        <v>0.34599999999999997</v>
      </c>
      <c r="G1384" s="4844">
        <f>'Table2(I).A-Hs2_2020'!C36</f>
        <v>0.41699999999999998</v>
      </c>
      <c r="H1384" s="4354"/>
      <c r="I1384" s="4387">
        <f t="shared" si="94"/>
        <v>2.8818443804034611E-3</v>
      </c>
      <c r="J1384" s="4387">
        <f t="shared" si="94"/>
        <v>0.20520231213872836</v>
      </c>
      <c r="K1384" s="4354"/>
      <c r="L1384" s="4354"/>
      <c r="M1384" s="4354"/>
    </row>
    <row r="1385" spans="1:13" x14ac:dyDescent="0.25">
      <c r="A1385" s="4354"/>
      <c r="B1385" s="5060"/>
      <c r="C1385" s="4940" t="s">
        <v>654</v>
      </c>
      <c r="D1385" s="4950" t="str">
        <f t="shared" si="93"/>
        <v/>
      </c>
      <c r="E1385" s="4951"/>
      <c r="F1385" s="4952"/>
      <c r="G1385" s="4953"/>
      <c r="H1385" s="4354"/>
      <c r="I1385" s="4387" t="str">
        <f t="shared" si="94"/>
        <v>NO</v>
      </c>
      <c r="J1385" s="4387" t="str">
        <f t="shared" si="94"/>
        <v>NO</v>
      </c>
      <c r="K1385" s="4354"/>
      <c r="L1385" s="4354"/>
      <c r="M1385" s="4354"/>
    </row>
    <row r="1386" spans="1:13" x14ac:dyDescent="0.25">
      <c r="A1386" s="4354"/>
      <c r="B1386" s="5060"/>
      <c r="C1386" s="4943" t="s">
        <v>653</v>
      </c>
      <c r="D1386" s="4944" t="str">
        <f t="shared" si="93"/>
        <v/>
      </c>
      <c r="E1386" s="4945"/>
      <c r="F1386" s="4664"/>
      <c r="G1386" s="4665"/>
      <c r="H1386" s="4354"/>
      <c r="I1386" s="4387" t="str">
        <f t="shared" si="94"/>
        <v>NO</v>
      </c>
      <c r="J1386" s="4387" t="str">
        <f t="shared" si="94"/>
        <v>NO</v>
      </c>
      <c r="K1386" s="4354"/>
      <c r="L1386" s="4354"/>
      <c r="M1386" s="4354"/>
    </row>
    <row r="1387" spans="1:13" ht="15.75" thickBot="1" x14ac:dyDescent="0.3">
      <c r="A1387" s="4354"/>
      <c r="B1387" s="5059"/>
      <c r="C1387" s="4946" t="s">
        <v>652</v>
      </c>
      <c r="D1387" s="4938">
        <f t="shared" ref="D1387:D1400" si="96">IF($D$3=$E$3,E1387,IF($D$3=$F$3,F1387,IF($D$3=$G$3,G1387,"-")))</f>
        <v>4.7500000000000001E-2</v>
      </c>
      <c r="E1387" s="4512">
        <f>'Table2(I).A-Hs2_2018'!F36</f>
        <v>4.7500000000000001E-2</v>
      </c>
      <c r="F1387" s="4513">
        <f>'Table2(I).A-Hs2_2019'!F36</f>
        <v>4.7500000000000001E-2</v>
      </c>
      <c r="G1387" s="4514">
        <f>'Table2(I).A-Hs2_2020'!F36</f>
        <v>4.7500000000000001E-2</v>
      </c>
      <c r="H1387" s="4354"/>
      <c r="I1387" s="4387">
        <f t="shared" si="94"/>
        <v>0</v>
      </c>
      <c r="J1387" s="4387">
        <f t="shared" si="94"/>
        <v>0</v>
      </c>
      <c r="K1387" s="4354"/>
      <c r="L1387" s="4354"/>
      <c r="M1387" s="4354"/>
    </row>
    <row r="1388" spans="1:13" ht="15.75" thickBot="1" x14ac:dyDescent="0.3">
      <c r="A1388" s="4354"/>
      <c r="B1388" s="5058" t="s">
        <v>659</v>
      </c>
      <c r="C1388" s="4913" t="s">
        <v>655</v>
      </c>
      <c r="D1388" s="4427">
        <f t="shared" si="96"/>
        <v>6.2339000000000002</v>
      </c>
      <c r="E1388" s="4954">
        <f>'Table2(I).A-Hs2_2018'!C40</f>
        <v>6.2339000000000002</v>
      </c>
      <c r="F1388" s="4847">
        <f>'Table2(I).A-Hs2_2019'!C40</f>
        <v>4.2392000000000003</v>
      </c>
      <c r="G1388" s="4848">
        <f>'Table2(I).A-Hs2_2020'!C40</f>
        <v>4.2340999999999998</v>
      </c>
      <c r="H1388" s="4354"/>
      <c r="I1388" s="4387">
        <f t="shared" si="94"/>
        <v>0.31997625884277897</v>
      </c>
      <c r="J1388" s="4387">
        <f t="shared" si="94"/>
        <v>1.2030571806002424E-3</v>
      </c>
      <c r="K1388" s="4354"/>
      <c r="L1388" s="4354"/>
      <c r="M1388" s="4354"/>
    </row>
    <row r="1389" spans="1:13" x14ac:dyDescent="0.25">
      <c r="A1389" s="4354"/>
      <c r="B1389" s="5060"/>
      <c r="C1389" s="4940" t="s">
        <v>654</v>
      </c>
      <c r="D1389" s="4955">
        <f t="shared" si="96"/>
        <v>4.3249999999999997E-2</v>
      </c>
      <c r="E1389" s="4956">
        <f>'Table2(I).A-Hs2_2018'!D40</f>
        <v>4.3249999999999997E-2</v>
      </c>
      <c r="F1389" s="4921">
        <f>'Table2(I).A-Hs2_2019'!D40</f>
        <v>4.3249999999999997E-2</v>
      </c>
      <c r="G1389" s="4957">
        <f>'Table2(I).A-Hs2_2020'!D40</f>
        <v>4.3249999999999997E-2</v>
      </c>
      <c r="H1389" s="4354"/>
      <c r="I1389" s="4387">
        <f t="shared" si="94"/>
        <v>0</v>
      </c>
      <c r="J1389" s="4387">
        <f t="shared" si="94"/>
        <v>0</v>
      </c>
      <c r="K1389" s="4354"/>
      <c r="L1389" s="4354"/>
      <c r="M1389" s="4354"/>
    </row>
    <row r="1390" spans="1:13" x14ac:dyDescent="0.25">
      <c r="A1390" s="4354"/>
      <c r="B1390" s="5060"/>
      <c r="C1390" s="4943" t="s">
        <v>653</v>
      </c>
      <c r="D1390" s="4958">
        <f t="shared" si="96"/>
        <v>8.25E-4</v>
      </c>
      <c r="E1390" s="4496">
        <f>'Table2(I).A-Hs2_2018'!E40</f>
        <v>8.25E-4</v>
      </c>
      <c r="F1390" s="4669">
        <f>'Table2(I).A-Hs2_2019'!E40</f>
        <v>8.25E-4</v>
      </c>
      <c r="G1390" s="4498">
        <f>'Table2(I).A-Hs2_2020'!E40</f>
        <v>8.25E-4</v>
      </c>
      <c r="H1390" s="4354"/>
      <c r="I1390" s="4387">
        <f t="shared" si="94"/>
        <v>0</v>
      </c>
      <c r="J1390" s="4387">
        <f t="shared" si="94"/>
        <v>0</v>
      </c>
      <c r="K1390" s="4354"/>
      <c r="L1390" s="4354"/>
      <c r="M1390" s="4354"/>
    </row>
    <row r="1391" spans="1:13" ht="15.75" thickBot="1" x14ac:dyDescent="0.3">
      <c r="A1391" s="4354"/>
      <c r="B1391" s="5059"/>
      <c r="C1391" s="4946" t="s">
        <v>652</v>
      </c>
      <c r="D1391" s="4938">
        <f t="shared" si="96"/>
        <v>1.9350000000000001E-3</v>
      </c>
      <c r="E1391" s="4512">
        <f>'Table2(I).A-Hs2_2018'!F40</f>
        <v>1.9350000000000001E-3</v>
      </c>
      <c r="F1391" s="4513">
        <f>'Table2(I).A-Hs2_2019'!F40</f>
        <v>1.9350000000000001E-3</v>
      </c>
      <c r="G1391" s="4514">
        <f>'Table2(I).A-Hs2_2020'!F40</f>
        <v>1.9350000000000001E-3</v>
      </c>
      <c r="H1391" s="4354"/>
      <c r="I1391" s="4387">
        <f t="shared" si="94"/>
        <v>0</v>
      </c>
      <c r="J1391" s="4387">
        <f t="shared" si="94"/>
        <v>0</v>
      </c>
      <c r="K1391" s="4354"/>
      <c r="L1391" s="4354"/>
      <c r="M1391" s="4354"/>
    </row>
    <row r="1392" spans="1:13" ht="15.75" thickBot="1" x14ac:dyDescent="0.3">
      <c r="A1392" s="4354"/>
      <c r="B1392" s="5058" t="s">
        <v>462</v>
      </c>
      <c r="C1392" s="4913" t="s">
        <v>655</v>
      </c>
      <c r="D1392" s="4504">
        <f t="shared" si="96"/>
        <v>6.226</v>
      </c>
      <c r="E1392" s="4954">
        <f>'Table2(I).A-Hs2_2018'!C39</f>
        <v>6.226</v>
      </c>
      <c r="F1392" s="4847">
        <f>'Table2(I).A-Hs2_2019'!C39</f>
        <v>6.6349999999999998</v>
      </c>
      <c r="G1392" s="4848">
        <f>'Table2(I).A-Hs2_2020'!C39</f>
        <v>5.4050000000000002</v>
      </c>
      <c r="H1392" s="4354"/>
      <c r="I1392" s="4387">
        <f t="shared" si="94"/>
        <v>6.5692258271763546E-2</v>
      </c>
      <c r="J1392" s="4387">
        <f t="shared" si="94"/>
        <v>0.18538055764883188</v>
      </c>
      <c r="K1392" s="4354"/>
      <c r="L1392" s="4354"/>
      <c r="M1392" s="4354"/>
    </row>
    <row r="1393" spans="1:13" x14ac:dyDescent="0.25">
      <c r="A1393" s="4354"/>
      <c r="B1393" s="5060"/>
      <c r="C1393" s="4940" t="s">
        <v>654</v>
      </c>
      <c r="D1393" s="4959" t="str">
        <f t="shared" si="96"/>
        <v>NA</v>
      </c>
      <c r="E1393" s="4956" t="str">
        <f>'Table2(I).A-Hs2_2018'!D39</f>
        <v>NA</v>
      </c>
      <c r="F1393" s="4921" t="str">
        <f>'Table2(I).A-Hs2_2019'!D39</f>
        <v>NA</v>
      </c>
      <c r="G1393" s="4957" t="str">
        <f>'Table2(I).A-Hs2_2020'!D39</f>
        <v>NA</v>
      </c>
      <c r="H1393" s="4354"/>
      <c r="I1393" s="4387" t="str">
        <f t="shared" si="94"/>
        <v>NO</v>
      </c>
      <c r="J1393" s="4387" t="str">
        <f t="shared" si="94"/>
        <v>NO</v>
      </c>
      <c r="K1393" s="4354"/>
      <c r="L1393" s="4354"/>
      <c r="M1393" s="4354"/>
    </row>
    <row r="1394" spans="1:13" x14ac:dyDescent="0.25">
      <c r="A1394" s="4354"/>
      <c r="B1394" s="5060"/>
      <c r="C1394" s="4943" t="s">
        <v>653</v>
      </c>
      <c r="D1394" s="4958">
        <f t="shared" si="96"/>
        <v>3.1870000000000002E-3</v>
      </c>
      <c r="E1394" s="4496">
        <f>'Table2(I).A-Hs2_2018'!E39</f>
        <v>3.1870000000000002E-3</v>
      </c>
      <c r="F1394" s="4669">
        <f>'Table2(I).A-Hs2_2019'!E39</f>
        <v>3.1870000000000002E-3</v>
      </c>
      <c r="G1394" s="4498">
        <f>'Table2(I).A-Hs2_2020'!E39</f>
        <v>3.1870000000000002E-3</v>
      </c>
      <c r="H1394" s="4354"/>
      <c r="I1394" s="4387">
        <f t="shared" si="94"/>
        <v>0</v>
      </c>
      <c r="J1394" s="4387">
        <f t="shared" si="94"/>
        <v>0</v>
      </c>
      <c r="K1394" s="4354"/>
      <c r="L1394" s="4354"/>
      <c r="M1394" s="4354"/>
    </row>
    <row r="1395" spans="1:13" ht="15.75" thickBot="1" x14ac:dyDescent="0.3">
      <c r="A1395" s="4354"/>
      <c r="B1395" s="5059"/>
      <c r="C1395" s="4946" t="s">
        <v>652</v>
      </c>
      <c r="D1395" s="4938">
        <f t="shared" si="96"/>
        <v>6.3999999999999997E-5</v>
      </c>
      <c r="E1395" s="4512">
        <f>'Table2(I).A-Hs2_2018'!F39</f>
        <v>6.3999999999999997E-5</v>
      </c>
      <c r="F1395" s="4513">
        <f>'Table2(I).A-Hs2_2019'!F39</f>
        <v>6.3999999999999997E-5</v>
      </c>
      <c r="G1395" s="4514">
        <f>'Table2(I).A-Hs2_2020'!F39</f>
        <v>6.3999999999999997E-5</v>
      </c>
      <c r="H1395" s="4354"/>
      <c r="I1395" s="4387">
        <f t="shared" si="94"/>
        <v>0</v>
      </c>
      <c r="J1395" s="4387">
        <f t="shared" si="94"/>
        <v>0</v>
      </c>
      <c r="K1395" s="4354"/>
      <c r="L1395" s="4354"/>
      <c r="M1395" s="4354"/>
    </row>
    <row r="1396" spans="1:13" ht="15.75" thickBot="1" x14ac:dyDescent="0.3">
      <c r="A1396" s="4354"/>
      <c r="B1396" s="5058" t="s">
        <v>658</v>
      </c>
      <c r="C1396" s="4913" t="s">
        <v>655</v>
      </c>
      <c r="D1396" s="4504">
        <f t="shared" si="96"/>
        <v>7.9987199999999996</v>
      </c>
      <c r="E1396" s="4954">
        <f>'Table2(I).A-Hs2_2018'!C38</f>
        <v>7.9987199999999996</v>
      </c>
      <c r="F1396" s="4847">
        <f>'Table2(I).A-Hs2_2019'!C38</f>
        <v>9.7686600000000006</v>
      </c>
      <c r="G1396" s="4848">
        <f>'Table2(I).A-Hs2_2020'!C38</f>
        <v>6.7536800000000001</v>
      </c>
      <c r="H1396" s="4354"/>
      <c r="I1396" s="4387">
        <f t="shared" si="94"/>
        <v>0.22127790446471449</v>
      </c>
      <c r="J1396" s="4387">
        <f t="shared" si="94"/>
        <v>0.30863803223778902</v>
      </c>
      <c r="K1396" s="4354"/>
      <c r="L1396" s="4354"/>
      <c r="M1396" s="4354"/>
    </row>
    <row r="1397" spans="1:13" x14ac:dyDescent="0.25">
      <c r="A1397" s="4354"/>
      <c r="B1397" s="5060"/>
      <c r="C1397" s="4940" t="s">
        <v>654</v>
      </c>
      <c r="D1397" s="4959" t="str">
        <f t="shared" si="96"/>
        <v>NA</v>
      </c>
      <c r="E1397" s="4956" t="str">
        <f>'Table2(I).A-Hs2_2018'!D38</f>
        <v>NA</v>
      </c>
      <c r="F1397" s="4921" t="str">
        <f>'Table2(I).A-Hs2_2019'!D38</f>
        <v>NA</v>
      </c>
      <c r="G1397" s="4957" t="str">
        <f>'Table2(I).A-Hs2_2020'!D38</f>
        <v>NA</v>
      </c>
      <c r="H1397" s="4354"/>
      <c r="I1397" s="4387" t="str">
        <f t="shared" si="94"/>
        <v>NO</v>
      </c>
      <c r="J1397" s="4387" t="str">
        <f t="shared" si="94"/>
        <v>NO</v>
      </c>
      <c r="K1397" s="4354"/>
      <c r="L1397" s="4354"/>
      <c r="M1397" s="4354"/>
    </row>
    <row r="1398" spans="1:13" x14ac:dyDescent="0.25">
      <c r="A1398" s="4354"/>
      <c r="B1398" s="5060"/>
      <c r="C1398" s="4943" t="s">
        <v>653</v>
      </c>
      <c r="D1398" s="4958">
        <f t="shared" si="96"/>
        <v>5.8999999999999999E-3</v>
      </c>
      <c r="E1398" s="4496">
        <f>'Table2(I).A-Hs2_2018'!E38</f>
        <v>5.8999999999999999E-3</v>
      </c>
      <c r="F1398" s="4669">
        <f>'Table2(I).A-Hs2_2019'!E38</f>
        <v>5.8999999999999999E-3</v>
      </c>
      <c r="G1398" s="4498">
        <f>'Table2(I).A-Hs2_2020'!E38</f>
        <v>5.8999999999999999E-3</v>
      </c>
      <c r="H1398" s="4354"/>
      <c r="I1398" s="4387">
        <f t="shared" si="94"/>
        <v>0</v>
      </c>
      <c r="J1398" s="4387">
        <f t="shared" si="94"/>
        <v>0</v>
      </c>
      <c r="K1398" s="4354"/>
      <c r="L1398" s="4354"/>
      <c r="M1398" s="4354"/>
    </row>
    <row r="1399" spans="1:13" ht="15.75" thickBot="1" x14ac:dyDescent="0.3">
      <c r="A1399" s="4354"/>
      <c r="B1399" s="5059"/>
      <c r="C1399" s="4946" t="s">
        <v>652</v>
      </c>
      <c r="D1399" s="4938">
        <f t="shared" si="96"/>
        <v>2.9499999999999999E-5</v>
      </c>
      <c r="E1399" s="4512">
        <f>'Table2(I).A-Hs2_2018'!F38</f>
        <v>2.9499999999999999E-5</v>
      </c>
      <c r="F1399" s="4513">
        <f>'Table2(I).A-Hs2_2019'!F38</f>
        <v>2.9499999999999999E-5</v>
      </c>
      <c r="G1399" s="4514">
        <f>'Table2(I).A-Hs2_2020'!F38</f>
        <v>2.9499999999999999E-5</v>
      </c>
      <c r="H1399" s="4354"/>
      <c r="I1399" s="4387">
        <f t="shared" si="94"/>
        <v>0</v>
      </c>
      <c r="J1399" s="4387">
        <f t="shared" si="94"/>
        <v>0</v>
      </c>
      <c r="K1399" s="4354"/>
      <c r="L1399" s="4354"/>
      <c r="M1399" s="4354"/>
    </row>
    <row r="1400" spans="1:13" ht="15.75" thickBot="1" x14ac:dyDescent="0.3">
      <c r="A1400" s="4354"/>
      <c r="B1400" s="5058" t="s">
        <v>657</v>
      </c>
      <c r="C1400" s="4913" t="s">
        <v>655</v>
      </c>
      <c r="D1400" s="4504" t="str">
        <f t="shared" si="96"/>
        <v>NO</v>
      </c>
      <c r="E1400" s="4954" t="s">
        <v>259</v>
      </c>
      <c r="F1400" s="4847" t="s">
        <v>259</v>
      </c>
      <c r="G1400" s="4848" t="s">
        <v>259</v>
      </c>
      <c r="H1400" s="4354"/>
      <c r="I1400" s="4387" t="str">
        <f t="shared" si="94"/>
        <v>NO</v>
      </c>
      <c r="J1400" s="4387" t="str">
        <f t="shared" si="94"/>
        <v>NO</v>
      </c>
      <c r="K1400" s="4354"/>
      <c r="L1400" s="4354"/>
      <c r="M1400" s="4354"/>
    </row>
    <row r="1401" spans="1:13" x14ac:dyDescent="0.25">
      <c r="A1401" s="4354"/>
      <c r="B1401" s="5060"/>
      <c r="C1401" s="4940" t="s">
        <v>654</v>
      </c>
      <c r="D1401" s="4950" t="str">
        <f>""&amp;IF($D$3=$E$3,E1401,IF($D$3=$F$3,F1401,IF($D$3=$G$3,G1401,"-")))</f>
        <v/>
      </c>
      <c r="E1401" s="4960"/>
      <c r="F1401" s="4961"/>
      <c r="G1401" s="4962"/>
      <c r="H1401" s="4354"/>
      <c r="I1401" s="4387" t="str">
        <f t="shared" si="94"/>
        <v>NO</v>
      </c>
      <c r="J1401" s="4387" t="str">
        <f t="shared" si="94"/>
        <v>NO</v>
      </c>
      <c r="K1401" s="4354"/>
      <c r="L1401" s="4354"/>
      <c r="M1401" s="4354"/>
    </row>
    <row r="1402" spans="1:13" x14ac:dyDescent="0.25">
      <c r="A1402" s="4354"/>
      <c r="B1402" s="5060"/>
      <c r="C1402" s="4943" t="s">
        <v>653</v>
      </c>
      <c r="D1402" s="4963" t="str">
        <f t="shared" ref="D1402:D1439" si="97">""&amp;IF($D$3=$E$3,E1402,IF($D$3=$F$3,F1402,IF($D$3=$G$3,G1402,"-")))</f>
        <v/>
      </c>
      <c r="E1402" s="4945"/>
      <c r="F1402" s="4664"/>
      <c r="G1402" s="4665"/>
      <c r="H1402" s="4354"/>
      <c r="I1402" s="4387" t="str">
        <f t="shared" si="94"/>
        <v>NO</v>
      </c>
      <c r="J1402" s="4387" t="str">
        <f t="shared" si="94"/>
        <v>NO</v>
      </c>
      <c r="K1402" s="4354"/>
      <c r="L1402" s="4354"/>
      <c r="M1402" s="4354"/>
    </row>
    <row r="1403" spans="1:13" x14ac:dyDescent="0.25">
      <c r="A1403" s="4354"/>
      <c r="B1403" s="5060"/>
      <c r="C1403" s="4964" t="s">
        <v>652</v>
      </c>
      <c r="D1403" s="4965" t="str">
        <f t="shared" si="97"/>
        <v/>
      </c>
      <c r="E1403" s="4966"/>
      <c r="F1403" s="4967"/>
      <c r="G1403" s="4968"/>
      <c r="H1403" s="4354"/>
      <c r="I1403" s="4387" t="str">
        <f t="shared" si="94"/>
        <v>NO</v>
      </c>
      <c r="J1403" s="4387" t="str">
        <f t="shared" si="94"/>
        <v>NO</v>
      </c>
      <c r="K1403" s="4354"/>
      <c r="L1403" s="4354"/>
      <c r="M1403" s="4354"/>
    </row>
    <row r="1404" spans="1:13" ht="15.75" thickBot="1" x14ac:dyDescent="0.3">
      <c r="A1404" s="4354"/>
      <c r="B1404" s="5059"/>
      <c r="C1404" s="4946" t="s">
        <v>656</v>
      </c>
      <c r="D1404" s="4938">
        <f>IF($D$3=$E$3,E1404,IF($D$3=$F$3,F1404,IF($D$3=$G$3,G1404,"-")))</f>
        <v>5.8016225795999999E-4</v>
      </c>
      <c r="E1404" s="4512">
        <f>'Table2(I)s2_2018'!H25</f>
        <v>5.8016225795999999E-4</v>
      </c>
      <c r="F1404" s="4513">
        <f>'Table2(I)s2_2019'!H25</f>
        <v>5.5837744667000002E-4</v>
      </c>
      <c r="G1404" s="4514">
        <f>'Table2(I)s2_2020'!H25</f>
        <v>5.7473555942999998E-4</v>
      </c>
      <c r="H1404" s="4354"/>
      <c r="I1404" s="4387">
        <f t="shared" si="94"/>
        <v>3.7549514797120702E-2</v>
      </c>
      <c r="J1404" s="4387">
        <f t="shared" si="94"/>
        <v>2.9295797775420504E-2</v>
      </c>
      <c r="K1404" s="4354"/>
      <c r="L1404" s="4354"/>
      <c r="M1404" s="4354"/>
    </row>
    <row r="1405" spans="1:13" ht="15.75" thickBot="1" x14ac:dyDescent="0.3">
      <c r="A1405" s="4354"/>
      <c r="B1405" s="5058" t="s">
        <v>632</v>
      </c>
      <c r="C1405" s="4969" t="s">
        <v>655</v>
      </c>
      <c r="D1405" s="4504" t="str">
        <f>IF($D$3=$E$3,E1405,IF($D$3=$F$3,F1405,IF($D$3=$G$3,G1405,"-")))</f>
        <v>NO</v>
      </c>
      <c r="E1405" s="4954" t="s">
        <v>259</v>
      </c>
      <c r="F1405" s="4847" t="s">
        <v>259</v>
      </c>
      <c r="G1405" s="4848" t="s">
        <v>259</v>
      </c>
      <c r="H1405" s="4354"/>
      <c r="I1405" s="4387" t="str">
        <f t="shared" si="94"/>
        <v>NO</v>
      </c>
      <c r="J1405" s="4387" t="str">
        <f t="shared" si="94"/>
        <v>NO</v>
      </c>
      <c r="K1405" s="4354"/>
      <c r="L1405" s="4354"/>
      <c r="M1405" s="4354"/>
    </row>
    <row r="1406" spans="1:13" x14ac:dyDescent="0.25">
      <c r="A1406" s="4354"/>
      <c r="B1406" s="5060"/>
      <c r="C1406" s="4940" t="s">
        <v>654</v>
      </c>
      <c r="D1406" s="4970" t="str">
        <f t="shared" si="97"/>
        <v/>
      </c>
      <c r="E1406" s="4960"/>
      <c r="F1406" s="4961"/>
      <c r="G1406" s="4962"/>
      <c r="H1406" s="4354"/>
      <c r="I1406" s="4387" t="str">
        <f t="shared" si="94"/>
        <v>NO</v>
      </c>
      <c r="J1406" s="4387" t="str">
        <f t="shared" si="94"/>
        <v>NO</v>
      </c>
      <c r="K1406" s="4354"/>
      <c r="L1406" s="4354"/>
      <c r="M1406" s="4354"/>
    </row>
    <row r="1407" spans="1:13" x14ac:dyDescent="0.25">
      <c r="A1407" s="4354"/>
      <c r="B1407" s="5060"/>
      <c r="C1407" s="4943" t="s">
        <v>653</v>
      </c>
      <c r="D1407" s="4944" t="str">
        <f t="shared" si="97"/>
        <v/>
      </c>
      <c r="E1407" s="4945"/>
      <c r="F1407" s="4664"/>
      <c r="G1407" s="4665"/>
      <c r="H1407" s="4354"/>
      <c r="I1407" s="4387" t="str">
        <f t="shared" si="94"/>
        <v>NO</v>
      </c>
      <c r="J1407" s="4387" t="str">
        <f t="shared" si="94"/>
        <v>NO</v>
      </c>
      <c r="K1407" s="4354"/>
      <c r="L1407" s="4354"/>
      <c r="M1407" s="4354"/>
    </row>
    <row r="1408" spans="1:13" ht="15.75" thickBot="1" x14ac:dyDescent="0.3">
      <c r="A1408" s="4354"/>
      <c r="B1408" s="5059"/>
      <c r="C1408" s="4946" t="s">
        <v>652</v>
      </c>
      <c r="D1408" s="4971" t="str">
        <f t="shared" si="97"/>
        <v/>
      </c>
      <c r="E1408" s="4972"/>
      <c r="F1408" s="4783"/>
      <c r="G1408" s="4973"/>
      <c r="H1408" s="4354"/>
      <c r="I1408" s="4387" t="str">
        <f t="shared" si="94"/>
        <v>NO</v>
      </c>
      <c r="J1408" s="4387" t="str">
        <f t="shared" si="94"/>
        <v>NO</v>
      </c>
      <c r="K1408" s="4354"/>
      <c r="L1408" s="4354"/>
      <c r="M1408" s="4354"/>
    </row>
    <row r="1409" spans="1:13" x14ac:dyDescent="0.25">
      <c r="A1409" s="4354"/>
      <c r="B1409" s="4354"/>
      <c r="C1409" s="4506"/>
      <c r="D1409" s="4354" t="str">
        <f t="shared" si="97"/>
        <v/>
      </c>
      <c r="E1409" s="4439"/>
      <c r="F1409" s="4354"/>
      <c r="G1409" s="4354"/>
      <c r="H1409" s="4354"/>
      <c r="I1409" s="4387" t="str">
        <f t="shared" si="94"/>
        <v>NO</v>
      </c>
      <c r="J1409" s="4387" t="str">
        <f t="shared" si="94"/>
        <v>NO</v>
      </c>
      <c r="K1409" s="4354"/>
      <c r="L1409" s="4354"/>
      <c r="M1409" s="4354"/>
    </row>
    <row r="1410" spans="1:13" ht="14.45" customHeight="1" x14ac:dyDescent="0.25">
      <c r="A1410" s="4354"/>
      <c r="B1410" s="4402" t="s">
        <v>651</v>
      </c>
      <c r="C1410" s="4354"/>
      <c r="D1410" s="4481" t="str">
        <f t="shared" si="97"/>
        <v xml:space="preserve"> NIR 2020 (2018) CRF tabel 2(I).A-Hs1</v>
      </c>
      <c r="E1410" s="4481" t="s">
        <v>5306</v>
      </c>
      <c r="F1410" s="4481" t="s">
        <v>5305</v>
      </c>
      <c r="G1410" s="4481" t="s">
        <v>5304</v>
      </c>
      <c r="H1410" s="4354"/>
      <c r="I1410" s="4387" t="str">
        <f t="shared" si="94"/>
        <v>NO</v>
      </c>
      <c r="J1410" s="4387" t="str">
        <f t="shared" si="94"/>
        <v>NO</v>
      </c>
      <c r="K1410" s="4354"/>
      <c r="L1410" s="4354"/>
      <c r="M1410" s="4354"/>
    </row>
    <row r="1411" spans="1:13" ht="15.75" thickBot="1" x14ac:dyDescent="0.3">
      <c r="A1411" s="4354"/>
      <c r="B1411" s="4354"/>
      <c r="C1411" s="4354"/>
      <c r="D1411" s="4354" t="str">
        <f t="shared" si="97"/>
        <v/>
      </c>
      <c r="E1411" s="4974"/>
      <c r="F1411" s="4354"/>
      <c r="G1411" s="4354"/>
      <c r="H1411" s="4354"/>
      <c r="I1411" s="4387" t="str">
        <f t="shared" si="94"/>
        <v>NO</v>
      </c>
      <c r="J1411" s="4387" t="str">
        <f t="shared" si="94"/>
        <v>NO</v>
      </c>
      <c r="K1411" s="4354"/>
      <c r="L1411" s="4354"/>
      <c r="M1411" s="4354"/>
    </row>
    <row r="1412" spans="1:13" ht="30.75" thickBot="1" x14ac:dyDescent="0.3">
      <c r="A1412" s="4975"/>
      <c r="B1412" s="5048" t="s">
        <v>672</v>
      </c>
      <c r="C1412" s="5049"/>
      <c r="D1412" s="4976" t="str">
        <f t="shared" si="97"/>
        <v>Udledning opgivet i CO2 ækvivalenter (kiloton)</v>
      </c>
      <c r="E1412" s="4977" t="s">
        <v>2654</v>
      </c>
      <c r="F1412" s="4977" t="s">
        <v>2654</v>
      </c>
      <c r="G1412" s="4977" t="s">
        <v>2654</v>
      </c>
      <c r="H1412" s="4354"/>
      <c r="I1412" s="4387" t="str">
        <f t="shared" si="94"/>
        <v>NO</v>
      </c>
      <c r="J1412" s="4387" t="str">
        <f t="shared" si="94"/>
        <v>NO</v>
      </c>
      <c r="K1412" s="4354"/>
      <c r="L1412" s="4354"/>
      <c r="M1412" s="4354"/>
    </row>
    <row r="1413" spans="1:13" ht="18" customHeight="1" thickBot="1" x14ac:dyDescent="0.3">
      <c r="A1413" s="4975"/>
      <c r="B1413" s="5040" t="s">
        <v>2562</v>
      </c>
      <c r="C1413" s="5041"/>
      <c r="D1413" s="4978" t="str">
        <f t="shared" si="97"/>
        <v>F-gasser</v>
      </c>
      <c r="E1413" s="4979" t="s">
        <v>307</v>
      </c>
      <c r="F1413" s="4979" t="s">
        <v>307</v>
      </c>
      <c r="G1413" s="4979" t="s">
        <v>307</v>
      </c>
      <c r="H1413" s="4354"/>
      <c r="I1413" s="4387" t="str">
        <f t="shared" si="94"/>
        <v>NO</v>
      </c>
      <c r="J1413" s="4387" t="str">
        <f t="shared" si="94"/>
        <v>NO</v>
      </c>
      <c r="K1413" s="4354"/>
      <c r="L1413" s="4354"/>
      <c r="M1413" s="4354"/>
    </row>
    <row r="1414" spans="1:13" ht="39" customHeight="1" x14ac:dyDescent="0.25">
      <c r="A1414" s="4975"/>
      <c r="B1414" s="5055" t="s">
        <v>671</v>
      </c>
      <c r="C1414" s="5056"/>
      <c r="D1414" s="4980" t="str">
        <f t="shared" si="97"/>
        <v/>
      </c>
      <c r="E1414" s="4981"/>
      <c r="F1414" s="4981"/>
      <c r="G1414" s="4982"/>
      <c r="H1414" s="4354"/>
      <c r="I1414" s="4387" t="str">
        <f t="shared" si="94"/>
        <v>NO</v>
      </c>
      <c r="J1414" s="4387" t="str">
        <f t="shared" si="94"/>
        <v>NO</v>
      </c>
      <c r="K1414" s="4354"/>
      <c r="L1414" s="4354"/>
      <c r="M1414" s="4354"/>
    </row>
    <row r="1415" spans="1:13" x14ac:dyDescent="0.25">
      <c r="A1415" s="4975"/>
      <c r="B1415" s="5044" t="s">
        <v>670</v>
      </c>
      <c r="C1415" s="5057"/>
      <c r="D1415" s="4983" t="str">
        <f t="shared" si="97"/>
        <v/>
      </c>
      <c r="E1415" s="4984"/>
      <c r="F1415" s="4984"/>
      <c r="G1415" s="4985"/>
      <c r="H1415" s="4354"/>
      <c r="I1415" s="4387" t="str">
        <f t="shared" si="94"/>
        <v>NO</v>
      </c>
      <c r="J1415" s="4387" t="str">
        <f t="shared" si="94"/>
        <v>NO</v>
      </c>
      <c r="K1415" s="4354"/>
      <c r="L1415" s="4354"/>
      <c r="M1415" s="4354"/>
    </row>
    <row r="1416" spans="1:13" x14ac:dyDescent="0.25">
      <c r="A1416" s="4975"/>
      <c r="B1416" s="5044" t="s">
        <v>669</v>
      </c>
      <c r="C1416" s="5057"/>
      <c r="D1416" s="4983" t="str">
        <f t="shared" si="97"/>
        <v/>
      </c>
      <c r="E1416" s="4984"/>
      <c r="F1416" s="4984"/>
      <c r="G1416" s="4985"/>
      <c r="H1416" s="4354"/>
      <c r="I1416" s="4387" t="str">
        <f t="shared" si="94"/>
        <v>NO</v>
      </c>
      <c r="J1416" s="4387" t="str">
        <f t="shared" si="94"/>
        <v>NO</v>
      </c>
      <c r="K1416" s="4354"/>
      <c r="L1416" s="4354"/>
      <c r="M1416" s="4354"/>
    </row>
    <row r="1417" spans="1:13" x14ac:dyDescent="0.25">
      <c r="A1417" s="4975"/>
      <c r="B1417" s="5063" t="s">
        <v>2655</v>
      </c>
      <c r="C1417" s="5064"/>
      <c r="D1417" s="4983" t="str">
        <f t="shared" si="97"/>
        <v/>
      </c>
      <c r="E1417" s="4984"/>
      <c r="F1417" s="4984"/>
      <c r="G1417" s="4985"/>
      <c r="H1417" s="4354"/>
      <c r="I1417" s="4387" t="str">
        <f t="shared" si="94"/>
        <v>NO</v>
      </c>
      <c r="J1417" s="4387" t="str">
        <f t="shared" si="94"/>
        <v>NO</v>
      </c>
      <c r="K1417" s="4354"/>
      <c r="L1417" s="4354"/>
      <c r="M1417" s="4354"/>
    </row>
    <row r="1418" spans="1:13" x14ac:dyDescent="0.25">
      <c r="A1418" s="4975"/>
      <c r="B1418" s="5065" t="s">
        <v>2656</v>
      </c>
      <c r="C1418" s="5066"/>
      <c r="D1418" s="4983" t="str">
        <f t="shared" si="97"/>
        <v/>
      </c>
      <c r="E1418" s="4984"/>
      <c r="F1418" s="4984"/>
      <c r="G1418" s="4985"/>
      <c r="H1418" s="4354"/>
      <c r="I1418" s="4387" t="str">
        <f t="shared" si="94"/>
        <v>NO</v>
      </c>
      <c r="J1418" s="4387" t="str">
        <f t="shared" si="94"/>
        <v>NO</v>
      </c>
      <c r="K1418" s="4354"/>
      <c r="L1418" s="4354"/>
      <c r="M1418" s="4354"/>
    </row>
    <row r="1419" spans="1:13" ht="15.75" thickBot="1" x14ac:dyDescent="0.3">
      <c r="A1419" s="4975"/>
      <c r="B1419" s="5078" t="s">
        <v>2658</v>
      </c>
      <c r="C1419" s="5079"/>
      <c r="D1419" s="4986" t="str">
        <f t="shared" si="97"/>
        <v/>
      </c>
      <c r="E1419" s="4987"/>
      <c r="F1419" s="4987"/>
      <c r="G1419" s="4988"/>
      <c r="H1419" s="4354"/>
      <c r="I1419" s="4387" t="str">
        <f t="shared" si="94"/>
        <v>NO</v>
      </c>
      <c r="J1419" s="4387" t="str">
        <f t="shared" si="94"/>
        <v>NO</v>
      </c>
      <c r="K1419" s="4354"/>
      <c r="L1419" s="4354"/>
      <c r="M1419" s="4354"/>
    </row>
    <row r="1420" spans="1:13" x14ac:dyDescent="0.25">
      <c r="A1420" s="4975"/>
      <c r="B1420" s="4354"/>
      <c r="C1420" s="4354"/>
      <c r="D1420" s="4989" t="str">
        <f t="shared" si="97"/>
        <v/>
      </c>
      <c r="E1420" s="4989"/>
      <c r="F1420" s="4989"/>
      <c r="G1420" s="4989"/>
      <c r="H1420" s="4354"/>
      <c r="I1420" s="4387" t="str">
        <f t="shared" si="94"/>
        <v>NO</v>
      </c>
      <c r="J1420" s="4387" t="str">
        <f t="shared" si="94"/>
        <v>NO</v>
      </c>
      <c r="K1420" s="4354"/>
      <c r="L1420" s="4354"/>
      <c r="M1420" s="4354"/>
    </row>
    <row r="1421" spans="1:13" x14ac:dyDescent="0.25">
      <c r="A1421" s="4975"/>
      <c r="B1421" s="4354"/>
      <c r="C1421" s="4354"/>
      <c r="D1421" s="4990" t="str">
        <f t="shared" si="97"/>
        <v>NIR 2020 (2018) CRF tabel 2(I)s2</v>
      </c>
      <c r="E1421" s="4990" t="s">
        <v>5307</v>
      </c>
      <c r="F1421" s="4990" t="s">
        <v>5308</v>
      </c>
      <c r="G1421" s="4990" t="s">
        <v>5309</v>
      </c>
      <c r="H1421" s="4354"/>
      <c r="I1421" s="4387" t="str">
        <f t="shared" si="94"/>
        <v>NO</v>
      </c>
      <c r="J1421" s="4387" t="str">
        <f t="shared" si="94"/>
        <v>NO</v>
      </c>
      <c r="K1421" s="4354"/>
      <c r="L1421" s="4354"/>
      <c r="M1421" s="4354"/>
    </row>
    <row r="1422" spans="1:13" ht="30.75" customHeight="1" thickBot="1" x14ac:dyDescent="0.3">
      <c r="A1422" s="4975"/>
      <c r="B1422" s="4354"/>
      <c r="C1422" s="4354"/>
      <c r="D1422" s="4354" t="str">
        <f t="shared" si="97"/>
        <v/>
      </c>
      <c r="E1422" s="4354"/>
      <c r="F1422" s="4354"/>
      <c r="G1422" s="4354"/>
      <c r="H1422" s="4354"/>
      <c r="I1422" s="4387" t="str">
        <f t="shared" si="94"/>
        <v>NO</v>
      </c>
      <c r="J1422" s="4387" t="str">
        <f t="shared" si="94"/>
        <v>NO</v>
      </c>
      <c r="K1422" s="4354"/>
      <c r="L1422" s="4354"/>
      <c r="M1422" s="4354"/>
    </row>
    <row r="1423" spans="1:13" ht="15.75" thickBot="1" x14ac:dyDescent="0.3">
      <c r="A1423" s="4975"/>
      <c r="B1423" s="5048" t="s">
        <v>2563</v>
      </c>
      <c r="C1423" s="5049"/>
      <c r="D1423" s="4976"/>
      <c r="E1423" s="4977"/>
      <c r="F1423" s="4977"/>
      <c r="G1423" s="4977"/>
      <c r="H1423" s="4354"/>
      <c r="I1423" s="4387" t="str">
        <f t="shared" si="94"/>
        <v>NO</v>
      </c>
      <c r="J1423" s="4387" t="str">
        <f t="shared" si="94"/>
        <v>NO</v>
      </c>
      <c r="K1423" s="4354"/>
      <c r="L1423" s="4354"/>
      <c r="M1423" s="4354"/>
    </row>
    <row r="1424" spans="1:13" ht="15" customHeight="1" thickBot="1" x14ac:dyDescent="0.3">
      <c r="A1424" s="4975"/>
      <c r="B1424" s="5040" t="s">
        <v>2562</v>
      </c>
      <c r="C1424" s="5041"/>
      <c r="D1424" s="4978" t="str">
        <f t="shared" ref="D1424:D1433" si="98">""&amp;IF($D$3=$E$3,E1424,IF($D$3=$F$3,F1424,IF($D$3=$G$3,G1424,"-")))</f>
        <v>F-gasser</v>
      </c>
      <c r="E1424" s="4979" t="s">
        <v>307</v>
      </c>
      <c r="F1424" s="4979" t="s">
        <v>307</v>
      </c>
      <c r="G1424" s="4979" t="s">
        <v>307</v>
      </c>
      <c r="H1424" s="4354"/>
      <c r="I1424" s="4387" t="str">
        <f t="shared" si="94"/>
        <v>NO</v>
      </c>
      <c r="J1424" s="4387" t="str">
        <f t="shared" si="94"/>
        <v>NO</v>
      </c>
      <c r="K1424" s="4354"/>
      <c r="L1424" s="4354"/>
      <c r="M1424" s="4354"/>
    </row>
    <row r="1425" spans="1:13" ht="15" customHeight="1" x14ac:dyDescent="0.25">
      <c r="A1425" s="4975"/>
      <c r="B1425" s="5042" t="s">
        <v>661</v>
      </c>
      <c r="C1425" s="5043"/>
      <c r="D1425" s="4980" t="str">
        <f t="shared" si="98"/>
        <v/>
      </c>
      <c r="E1425" s="4981"/>
      <c r="F1425" s="4981"/>
      <c r="G1425" s="4982"/>
      <c r="H1425" s="4354"/>
      <c r="I1425" s="4387" t="str">
        <f t="shared" si="94"/>
        <v>NO</v>
      </c>
      <c r="J1425" s="4387" t="str">
        <f t="shared" si="94"/>
        <v>NO</v>
      </c>
      <c r="K1425" s="4354"/>
      <c r="L1425" s="4354"/>
      <c r="M1425" s="4354"/>
    </row>
    <row r="1426" spans="1:13" x14ac:dyDescent="0.25">
      <c r="A1426" s="4975"/>
      <c r="B1426" s="5044" t="s">
        <v>660</v>
      </c>
      <c r="C1426" s="5045"/>
      <c r="D1426" s="4983" t="str">
        <f t="shared" si="98"/>
        <v/>
      </c>
      <c r="E1426" s="4984"/>
      <c r="F1426" s="4984"/>
      <c r="G1426" s="4985"/>
      <c r="H1426" s="4354"/>
      <c r="I1426" s="4387" t="str">
        <f t="shared" si="94"/>
        <v>NO</v>
      </c>
      <c r="J1426" s="4387" t="str">
        <f t="shared" si="94"/>
        <v>NO</v>
      </c>
      <c r="K1426" s="4354"/>
      <c r="L1426" s="4354"/>
      <c r="M1426" s="4354"/>
    </row>
    <row r="1427" spans="1:13" x14ac:dyDescent="0.25">
      <c r="A1427" s="4975"/>
      <c r="B1427" s="5044" t="s">
        <v>659</v>
      </c>
      <c r="C1427" s="5045"/>
      <c r="D1427" s="4983" t="str">
        <f t="shared" si="98"/>
        <v/>
      </c>
      <c r="E1427" s="4984"/>
      <c r="F1427" s="4984"/>
      <c r="G1427" s="4985"/>
      <c r="H1427" s="4354"/>
      <c r="I1427" s="4387" t="str">
        <f t="shared" si="94"/>
        <v>NO</v>
      </c>
      <c r="J1427" s="4387" t="str">
        <f t="shared" si="94"/>
        <v>NO</v>
      </c>
      <c r="K1427" s="4354"/>
      <c r="L1427" s="4354"/>
      <c r="M1427" s="4354"/>
    </row>
    <row r="1428" spans="1:13" x14ac:dyDescent="0.25">
      <c r="A1428" s="4975"/>
      <c r="B1428" s="5044" t="s">
        <v>462</v>
      </c>
      <c r="C1428" s="5045"/>
      <c r="D1428" s="4983"/>
      <c r="E1428" s="4984"/>
      <c r="F1428" s="4984"/>
      <c r="G1428" s="4985"/>
      <c r="H1428" s="4354"/>
      <c r="I1428" s="4387" t="str">
        <f t="shared" si="94"/>
        <v>NO</v>
      </c>
      <c r="J1428" s="4387" t="str">
        <f t="shared" si="94"/>
        <v>NO</v>
      </c>
      <c r="K1428" s="4354"/>
      <c r="L1428" s="4354"/>
      <c r="M1428" s="4354"/>
    </row>
    <row r="1429" spans="1:13" x14ac:dyDescent="0.25">
      <c r="A1429" s="4975"/>
      <c r="B1429" s="5044" t="s">
        <v>658</v>
      </c>
      <c r="C1429" s="5045"/>
      <c r="D1429" s="4983" t="str">
        <f t="shared" si="98"/>
        <v/>
      </c>
      <c r="E1429" s="4984"/>
      <c r="F1429" s="4984"/>
      <c r="G1429" s="4985"/>
      <c r="H1429" s="4354"/>
      <c r="I1429" s="4387" t="str">
        <f t="shared" si="94"/>
        <v>NO</v>
      </c>
      <c r="J1429" s="4387" t="str">
        <f t="shared" si="94"/>
        <v>NO</v>
      </c>
      <c r="K1429" s="4354"/>
      <c r="L1429" s="4354"/>
      <c r="M1429" s="4354"/>
    </row>
    <row r="1430" spans="1:13" x14ac:dyDescent="0.25">
      <c r="A1430" s="4975"/>
      <c r="B1430" s="5044" t="s">
        <v>657</v>
      </c>
      <c r="C1430" s="5045"/>
      <c r="D1430" s="4991">
        <f>IF($D$3=$E$3,E1430,IF($D$3=$F$3,F1430,IF($D$3=$G$3,G1430,"-")))</f>
        <v>5.8016225795999999E-4</v>
      </c>
      <c r="E1430" s="4992">
        <f>'Table2(I)s2_2018'!H25</f>
        <v>5.8016225795999999E-4</v>
      </c>
      <c r="F1430" s="4992">
        <f>'Table2(I)s2_2019'!H25</f>
        <v>5.5837744667000002E-4</v>
      </c>
      <c r="G1430" s="4993">
        <f>'Table2(I)s2_2020'!H25</f>
        <v>5.7473555942999998E-4</v>
      </c>
      <c r="H1430" s="4354"/>
      <c r="I1430" s="4387">
        <f t="shared" si="94"/>
        <v>3.7549514797120702E-2</v>
      </c>
      <c r="J1430" s="4387">
        <f t="shared" si="94"/>
        <v>2.9295797775420504E-2</v>
      </c>
      <c r="K1430" s="4354"/>
      <c r="L1430" s="4354"/>
      <c r="M1430" s="4354"/>
    </row>
    <row r="1431" spans="1:13" ht="15.75" thickBot="1" x14ac:dyDescent="0.3">
      <c r="A1431" s="4975"/>
      <c r="B1431" s="5046" t="s">
        <v>632</v>
      </c>
      <c r="C1431" s="5047"/>
      <c r="D1431" s="4986" t="str">
        <f t="shared" si="98"/>
        <v/>
      </c>
      <c r="E1431" s="4987"/>
      <c r="F1431" s="4987"/>
      <c r="G1431" s="4988"/>
      <c r="H1431" s="4354"/>
      <c r="I1431" s="4387" t="str">
        <f t="shared" si="94"/>
        <v>NO</v>
      </c>
      <c r="J1431" s="4387" t="str">
        <f t="shared" si="94"/>
        <v>NO</v>
      </c>
      <c r="K1431" s="4354"/>
      <c r="L1431" s="4354"/>
      <c r="M1431" s="4354"/>
    </row>
    <row r="1432" spans="1:13" x14ac:dyDescent="0.25">
      <c r="A1432" s="4975"/>
      <c r="B1432" s="4354"/>
      <c r="C1432" s="4354"/>
      <c r="D1432" s="4989" t="str">
        <f t="shared" si="98"/>
        <v/>
      </c>
      <c r="E1432" s="4989"/>
      <c r="F1432" s="4989"/>
      <c r="G1432" s="4989"/>
      <c r="H1432" s="4354"/>
      <c r="I1432" s="4387" t="str">
        <f t="shared" si="94"/>
        <v>NO</v>
      </c>
      <c r="J1432" s="4387" t="str">
        <f t="shared" si="94"/>
        <v>NO</v>
      </c>
      <c r="K1432" s="4354"/>
      <c r="L1432" s="4354"/>
      <c r="M1432" s="4354"/>
    </row>
    <row r="1433" spans="1:13" x14ac:dyDescent="0.25">
      <c r="A1433" s="4975"/>
      <c r="B1433" s="4354"/>
      <c r="C1433" s="4354"/>
      <c r="D1433" s="4990" t="str">
        <f t="shared" si="98"/>
        <v>NIR 2020 (2018) CRF tabel 2(I)s2</v>
      </c>
      <c r="E1433" s="4990" t="s">
        <v>5307</v>
      </c>
      <c r="F1433" s="4990" t="s">
        <v>5308</v>
      </c>
      <c r="G1433" s="4990" t="s">
        <v>5309</v>
      </c>
      <c r="H1433" s="4354"/>
      <c r="I1433" s="4387" t="str">
        <f t="shared" si="94"/>
        <v>NO</v>
      </c>
      <c r="J1433" s="4387" t="str">
        <f t="shared" si="94"/>
        <v>NO</v>
      </c>
      <c r="K1433" s="4354"/>
      <c r="L1433" s="4354"/>
      <c r="M1433" s="4354"/>
    </row>
    <row r="1434" spans="1:13" ht="15.75" thickBot="1" x14ac:dyDescent="0.3">
      <c r="A1434" s="4975"/>
      <c r="B1434" s="4354"/>
      <c r="C1434" s="4354"/>
      <c r="D1434" s="4354" t="str">
        <f t="shared" si="97"/>
        <v/>
      </c>
      <c r="E1434" s="4354"/>
      <c r="F1434" s="4354"/>
      <c r="G1434" s="4354"/>
      <c r="H1434" s="4354"/>
      <c r="I1434" s="4387" t="str">
        <f t="shared" si="94"/>
        <v>NO</v>
      </c>
      <c r="J1434" s="4387" t="str">
        <f t="shared" si="94"/>
        <v>NO</v>
      </c>
      <c r="K1434" s="4354"/>
      <c r="L1434" s="4354"/>
      <c r="M1434" s="4354"/>
    </row>
    <row r="1435" spans="1:13" ht="15.75" thickBot="1" x14ac:dyDescent="0.3">
      <c r="A1435" s="4975"/>
      <c r="B1435" s="5048" t="s">
        <v>2563</v>
      </c>
      <c r="C1435" s="5049"/>
      <c r="D1435" s="4976" t="str">
        <f t="shared" si="97"/>
        <v>Faktisk udledning</v>
      </c>
      <c r="E1435" s="4977" t="s">
        <v>2659</v>
      </c>
      <c r="F1435" s="4977" t="s">
        <v>2659</v>
      </c>
      <c r="G1435" s="4977" t="s">
        <v>2659</v>
      </c>
      <c r="H1435" s="4354"/>
      <c r="I1435" s="4387" t="str">
        <f t="shared" ref="I1435:J1443" si="99">IFERROR(ABS(F1435-E1435)/E1435,"NO")</f>
        <v>NO</v>
      </c>
      <c r="J1435" s="4387" t="str">
        <f t="shared" si="99"/>
        <v>NO</v>
      </c>
      <c r="K1435" s="4354"/>
      <c r="L1435" s="4354"/>
      <c r="M1435" s="4354"/>
    </row>
    <row r="1436" spans="1:13" ht="38.25" customHeight="1" thickBot="1" x14ac:dyDescent="0.3">
      <c r="A1436" s="4975"/>
      <c r="B1436" s="5040" t="s">
        <v>2562</v>
      </c>
      <c r="C1436" s="5041"/>
      <c r="D1436" s="4978" t="str">
        <f t="shared" si="97"/>
        <v>CO2 udledning i DK (kiloton)</v>
      </c>
      <c r="E1436" s="4979" t="s">
        <v>4779</v>
      </c>
      <c r="F1436" s="4979" t="s">
        <v>4779</v>
      </c>
      <c r="G1436" s="4979" t="s">
        <v>4779</v>
      </c>
      <c r="H1436" s="4354"/>
      <c r="I1436" s="4387" t="str">
        <f t="shared" si="99"/>
        <v>NO</v>
      </c>
      <c r="J1436" s="4387" t="str">
        <f t="shared" si="99"/>
        <v>NO</v>
      </c>
      <c r="K1436" s="4354"/>
      <c r="L1436" s="4354"/>
      <c r="M1436" s="4354"/>
    </row>
    <row r="1437" spans="1:13" x14ac:dyDescent="0.25">
      <c r="A1437" s="4975"/>
      <c r="B1437" s="5042" t="s">
        <v>661</v>
      </c>
      <c r="C1437" s="5043"/>
      <c r="D1437" s="4980" t="str">
        <f t="shared" si="97"/>
        <v/>
      </c>
      <c r="E1437" s="4981"/>
      <c r="F1437" s="4981"/>
      <c r="G1437" s="4982"/>
      <c r="H1437" s="4354"/>
      <c r="I1437" s="4387" t="str">
        <f t="shared" si="99"/>
        <v>NO</v>
      </c>
      <c r="J1437" s="4387" t="str">
        <f t="shared" si="99"/>
        <v>NO</v>
      </c>
      <c r="K1437" s="4354"/>
      <c r="L1437" s="4354"/>
      <c r="M1437" s="4354"/>
    </row>
    <row r="1438" spans="1:13" x14ac:dyDescent="0.25">
      <c r="A1438" s="4975"/>
      <c r="B1438" s="5044" t="s">
        <v>660</v>
      </c>
      <c r="C1438" s="5045"/>
      <c r="D1438" s="4983" t="str">
        <f t="shared" si="97"/>
        <v/>
      </c>
      <c r="E1438" s="4984"/>
      <c r="F1438" s="4984"/>
      <c r="G1438" s="4985"/>
      <c r="H1438" s="4354"/>
      <c r="I1438" s="4387" t="str">
        <f t="shared" si="99"/>
        <v>NO</v>
      </c>
      <c r="J1438" s="4387" t="str">
        <f t="shared" si="99"/>
        <v>NO</v>
      </c>
      <c r="K1438" s="4354"/>
      <c r="L1438" s="4354"/>
      <c r="M1438" s="4354"/>
    </row>
    <row r="1439" spans="1:13" x14ac:dyDescent="0.25">
      <c r="A1439" s="4975"/>
      <c r="B1439" s="5044" t="s">
        <v>659</v>
      </c>
      <c r="C1439" s="5045"/>
      <c r="D1439" s="4983" t="str">
        <f t="shared" si="97"/>
        <v/>
      </c>
      <c r="E1439" s="4984"/>
      <c r="F1439" s="4984"/>
      <c r="G1439" s="4985"/>
      <c r="H1439" s="4354"/>
      <c r="I1439" s="4387" t="str">
        <f t="shared" si="99"/>
        <v>NO</v>
      </c>
      <c r="J1439" s="4387" t="str">
        <f t="shared" si="99"/>
        <v>NO</v>
      </c>
      <c r="K1439" s="4354"/>
      <c r="L1439" s="4354"/>
      <c r="M1439" s="4354"/>
    </row>
    <row r="1440" spans="1:13" x14ac:dyDescent="0.25">
      <c r="A1440" s="4975"/>
      <c r="B1440" s="5044" t="s">
        <v>462</v>
      </c>
      <c r="C1440" s="5045"/>
      <c r="D1440" s="4983"/>
      <c r="E1440" s="4984"/>
      <c r="F1440" s="4984"/>
      <c r="G1440" s="4985"/>
      <c r="H1440" s="4354"/>
      <c r="I1440" s="4387" t="str">
        <f t="shared" si="99"/>
        <v>NO</v>
      </c>
      <c r="J1440" s="4387" t="str">
        <f t="shared" si="99"/>
        <v>NO</v>
      </c>
      <c r="K1440" s="4354"/>
      <c r="L1440" s="4354"/>
      <c r="M1440" s="4354"/>
    </row>
    <row r="1441" spans="1:13" x14ac:dyDescent="0.25">
      <c r="A1441" s="4975"/>
      <c r="B1441" s="5044" t="s">
        <v>658</v>
      </c>
      <c r="C1441" s="5045"/>
      <c r="D1441" s="4983" t="str">
        <f t="shared" ref="D1441:D1442" si="100">""&amp;IF($D$3=$E$3,E1441,IF($D$3=$F$3,F1441,IF($D$3=$G$3,G1441,"-")))</f>
        <v/>
      </c>
      <c r="E1441" s="4984"/>
      <c r="F1441" s="4984"/>
      <c r="G1441" s="4985"/>
      <c r="H1441" s="4354"/>
      <c r="I1441" s="4387" t="str">
        <f t="shared" si="99"/>
        <v>NO</v>
      </c>
      <c r="J1441" s="4387" t="str">
        <f t="shared" si="99"/>
        <v>NO</v>
      </c>
      <c r="K1441" s="4354"/>
      <c r="L1441" s="4354"/>
      <c r="M1441" s="4354"/>
    </row>
    <row r="1442" spans="1:13" x14ac:dyDescent="0.25">
      <c r="A1442" s="4975"/>
      <c r="B1442" s="5044" t="s">
        <v>657</v>
      </c>
      <c r="C1442" s="5045"/>
      <c r="D1442" s="4983" t="str">
        <f t="shared" si="100"/>
        <v/>
      </c>
      <c r="E1442" s="4984"/>
      <c r="F1442" s="4984"/>
      <c r="G1442" s="4985"/>
      <c r="H1442" s="4354"/>
      <c r="I1442" s="4387" t="str">
        <f t="shared" si="99"/>
        <v>NO</v>
      </c>
      <c r="J1442" s="4387" t="str">
        <f t="shared" si="99"/>
        <v>NO</v>
      </c>
      <c r="K1442" s="4354"/>
      <c r="L1442" s="4354"/>
      <c r="M1442" s="4354"/>
    </row>
    <row r="1443" spans="1:13" ht="15.75" thickBot="1" x14ac:dyDescent="0.3">
      <c r="A1443" s="4975"/>
      <c r="B1443" s="5046" t="s">
        <v>632</v>
      </c>
      <c r="C1443" s="5047"/>
      <c r="D1443" s="4994">
        <f>IF($D$3=$E$3,E1443,IF($D$3=$F$3,F1443,IF($D$3=$G$3,G1443,"-")))</f>
        <v>0.26961617500000001</v>
      </c>
      <c r="E1443" s="4995">
        <f>'Table2(I)s2_2018'!B28</f>
        <v>0.26961617500000001</v>
      </c>
      <c r="F1443" s="4995">
        <f>'Table2(I)s2_2019'!B28</f>
        <v>0.18334539999999999</v>
      </c>
      <c r="G1443" s="4996">
        <f>'Table2(I)s2_2020'!B28</f>
        <v>0.18312482499999999</v>
      </c>
      <c r="H1443" s="4354"/>
      <c r="I1443" s="4387">
        <f t="shared" si="99"/>
        <v>0.31997625884277908</v>
      </c>
      <c r="J1443" s="4387">
        <f t="shared" si="99"/>
        <v>1.2030571806001167E-3</v>
      </c>
      <c r="K1443" s="4354"/>
      <c r="L1443" s="4354"/>
      <c r="M1443" s="4354"/>
    </row>
    <row r="1444" spans="1:13" x14ac:dyDescent="0.25">
      <c r="A1444" s="4354"/>
      <c r="B1444" s="4354"/>
      <c r="C1444" s="4354"/>
      <c r="D1444" s="4989" t="str">
        <f t="shared" ref="D1444:D1445" si="101">""&amp;IF($D$3=$E$3,E1444,IF($D$3=$F$3,F1444,IF($D$3=$G$3,G1444,"-")))</f>
        <v/>
      </c>
      <c r="E1444" s="4989"/>
      <c r="F1444" s="4989"/>
      <c r="G1444" s="4989"/>
      <c r="H1444" s="4354"/>
      <c r="I1444" s="4354"/>
      <c r="J1444" s="4354"/>
      <c r="K1444" s="4354"/>
      <c r="L1444" s="4354"/>
      <c r="M1444" s="4354"/>
    </row>
    <row r="1445" spans="1:13" x14ac:dyDescent="0.25">
      <c r="A1445" s="4354"/>
      <c r="B1445" s="4354"/>
      <c r="C1445" s="4354"/>
      <c r="D1445" s="4990" t="str">
        <f t="shared" si="101"/>
        <v>NIR 2020 (2018) CRF tabel 2(I)s2</v>
      </c>
      <c r="E1445" s="4990" t="s">
        <v>5307</v>
      </c>
      <c r="F1445" s="4990" t="s">
        <v>5308</v>
      </c>
      <c r="G1445" s="4990" t="s">
        <v>5309</v>
      </c>
      <c r="H1445" s="4354"/>
      <c r="I1445" s="4354"/>
      <c r="J1445" s="4354"/>
      <c r="K1445" s="4354"/>
      <c r="L1445" s="4354"/>
      <c r="M1445" s="4354"/>
    </row>
    <row r="1446" spans="1:13" ht="15.75" thickBot="1" x14ac:dyDescent="0.3">
      <c r="A1446" s="4354"/>
      <c r="B1446" s="4354"/>
      <c r="C1446" s="4354"/>
      <c r="D1446" s="4354"/>
      <c r="E1446" s="4354"/>
      <c r="F1446" s="4354"/>
      <c r="G1446" s="4354"/>
      <c r="H1446" s="4354"/>
      <c r="I1446" s="4354"/>
      <c r="J1446" s="4354"/>
      <c r="K1446" s="4354"/>
      <c r="L1446" s="4354"/>
      <c r="M1446" s="4354"/>
    </row>
    <row r="1447" spans="1:13" ht="15.75" thickBot="1" x14ac:dyDescent="0.3">
      <c r="A1447" s="4975"/>
      <c r="B1447" s="5048" t="s">
        <v>2563</v>
      </c>
      <c r="C1447" s="5049"/>
      <c r="D1447" s="4976" t="str">
        <f t="shared" ref="D1447:D1451" si="102">""&amp;IF($D$3=$E$3,E1447,IF($D$3=$F$3,F1447,IF($D$3=$G$3,G1447,"-")))</f>
        <v>Faktisk udledning</v>
      </c>
      <c r="E1447" s="4977" t="s">
        <v>2659</v>
      </c>
      <c r="F1447" s="4977" t="s">
        <v>2659</v>
      </c>
      <c r="G1447" s="4977" t="s">
        <v>2659</v>
      </c>
      <c r="H1447" s="4354"/>
      <c r="I1447" s="4387" t="str">
        <f t="shared" ref="I1447:I1455" si="103">IFERROR(ABS(F1447-E1447)/E1447,"NO")</f>
        <v>NO</v>
      </c>
      <c r="J1447" s="4387" t="str">
        <f t="shared" ref="J1447:J1455" si="104">IFERROR(ABS(G1447-F1447)/F1447,"NO")</f>
        <v>NO</v>
      </c>
      <c r="K1447" s="4354"/>
      <c r="L1447" s="4354"/>
      <c r="M1447" s="4354"/>
    </row>
    <row r="1448" spans="1:13" ht="38.25" customHeight="1" thickBot="1" x14ac:dyDescent="0.3">
      <c r="A1448" s="4975"/>
      <c r="B1448" s="5040" t="s">
        <v>2562</v>
      </c>
      <c r="C1448" s="5041"/>
      <c r="D1448" s="4978" t="str">
        <f t="shared" si="102"/>
        <v>CH4 udledning i DK (kiloton)</v>
      </c>
      <c r="E1448" s="4979" t="s">
        <v>4959</v>
      </c>
      <c r="F1448" s="4979" t="s">
        <v>4959</v>
      </c>
      <c r="G1448" s="4979" t="s">
        <v>4959</v>
      </c>
      <c r="H1448" s="4354"/>
      <c r="I1448" s="4387" t="str">
        <f t="shared" si="103"/>
        <v>NO</v>
      </c>
      <c r="J1448" s="4387" t="str">
        <f t="shared" si="104"/>
        <v>NO</v>
      </c>
      <c r="K1448" s="4354"/>
      <c r="L1448" s="4354"/>
      <c r="M1448" s="4354"/>
    </row>
    <row r="1449" spans="1:13" x14ac:dyDescent="0.25">
      <c r="A1449" s="4975"/>
      <c r="B1449" s="5042" t="s">
        <v>661</v>
      </c>
      <c r="C1449" s="5043"/>
      <c r="D1449" s="4980" t="str">
        <f t="shared" si="102"/>
        <v/>
      </c>
      <c r="E1449" s="4981"/>
      <c r="F1449" s="4981"/>
      <c r="G1449" s="4982"/>
      <c r="H1449" s="4354"/>
      <c r="I1449" s="4387" t="str">
        <f t="shared" si="103"/>
        <v>NO</v>
      </c>
      <c r="J1449" s="4387" t="str">
        <f t="shared" si="104"/>
        <v>NO</v>
      </c>
      <c r="K1449" s="4354"/>
      <c r="L1449" s="4354"/>
      <c r="M1449" s="4354"/>
    </row>
    <row r="1450" spans="1:13" x14ac:dyDescent="0.25">
      <c r="A1450" s="4975"/>
      <c r="B1450" s="5044" t="s">
        <v>660</v>
      </c>
      <c r="C1450" s="5045"/>
      <c r="D1450" s="4983" t="str">
        <f t="shared" si="102"/>
        <v/>
      </c>
      <c r="E1450" s="4984"/>
      <c r="F1450" s="4984"/>
      <c r="G1450" s="4985"/>
      <c r="H1450" s="4354"/>
      <c r="I1450" s="4387" t="str">
        <f t="shared" si="103"/>
        <v>NO</v>
      </c>
      <c r="J1450" s="4387" t="str">
        <f t="shared" si="104"/>
        <v>NO</v>
      </c>
      <c r="K1450" s="4354"/>
      <c r="L1450" s="4354"/>
      <c r="M1450" s="4354"/>
    </row>
    <row r="1451" spans="1:13" x14ac:dyDescent="0.25">
      <c r="A1451" s="4975"/>
      <c r="B1451" s="5044" t="s">
        <v>659</v>
      </c>
      <c r="C1451" s="5045"/>
      <c r="D1451" s="4983" t="str">
        <f t="shared" si="102"/>
        <v/>
      </c>
      <c r="E1451" s="4984"/>
      <c r="F1451" s="4984"/>
      <c r="G1451" s="4985"/>
      <c r="H1451" s="4354"/>
      <c r="I1451" s="4387" t="str">
        <f t="shared" si="103"/>
        <v>NO</v>
      </c>
      <c r="J1451" s="4387" t="str">
        <f t="shared" si="104"/>
        <v>NO</v>
      </c>
      <c r="K1451" s="4354"/>
      <c r="L1451" s="4354"/>
      <c r="M1451" s="4354"/>
    </row>
    <row r="1452" spans="1:13" x14ac:dyDescent="0.25">
      <c r="A1452" s="4975"/>
      <c r="B1452" s="5044" t="s">
        <v>462</v>
      </c>
      <c r="C1452" s="5045"/>
      <c r="D1452" s="4983"/>
      <c r="E1452" s="4984"/>
      <c r="F1452" s="4984"/>
      <c r="G1452" s="4985"/>
      <c r="H1452" s="4354"/>
      <c r="I1452" s="4387" t="str">
        <f t="shared" si="103"/>
        <v>NO</v>
      </c>
      <c r="J1452" s="4387" t="str">
        <f t="shared" si="104"/>
        <v>NO</v>
      </c>
      <c r="K1452" s="4354"/>
      <c r="L1452" s="4354"/>
      <c r="M1452" s="4354"/>
    </row>
    <row r="1453" spans="1:13" x14ac:dyDescent="0.25">
      <c r="A1453" s="4975"/>
      <c r="B1453" s="5044" t="s">
        <v>658</v>
      </c>
      <c r="C1453" s="5045"/>
      <c r="D1453" s="4983" t="str">
        <f t="shared" ref="D1453:D1454" si="105">""&amp;IF($D$3=$E$3,E1453,IF($D$3=$F$3,F1453,IF($D$3=$G$3,G1453,"-")))</f>
        <v/>
      </c>
      <c r="E1453" s="4984"/>
      <c r="F1453" s="4984"/>
      <c r="G1453" s="4985"/>
      <c r="H1453" s="4354"/>
      <c r="I1453" s="4387" t="str">
        <f t="shared" si="103"/>
        <v>NO</v>
      </c>
      <c r="J1453" s="4387" t="str">
        <f t="shared" si="104"/>
        <v>NO</v>
      </c>
      <c r="K1453" s="4354"/>
      <c r="L1453" s="4354"/>
      <c r="M1453" s="4354"/>
    </row>
    <row r="1454" spans="1:13" x14ac:dyDescent="0.25">
      <c r="A1454" s="4975"/>
      <c r="B1454" s="5044" t="s">
        <v>657</v>
      </c>
      <c r="C1454" s="5045"/>
      <c r="D1454" s="4983" t="str">
        <f t="shared" si="105"/>
        <v/>
      </c>
      <c r="E1454" s="4984"/>
      <c r="F1454" s="4984"/>
      <c r="G1454" s="4985"/>
      <c r="H1454" s="4354"/>
      <c r="I1454" s="4387" t="str">
        <f t="shared" si="103"/>
        <v>NO</v>
      </c>
      <c r="J1454" s="4387" t="str">
        <f t="shared" si="104"/>
        <v>NO</v>
      </c>
      <c r="K1454" s="4354"/>
      <c r="L1454" s="4354"/>
      <c r="M1454" s="4354"/>
    </row>
    <row r="1455" spans="1:13" ht="15.75" thickBot="1" x14ac:dyDescent="0.3">
      <c r="A1455" s="4975"/>
      <c r="B1455" s="5046" t="s">
        <v>632</v>
      </c>
      <c r="C1455" s="5047"/>
      <c r="D1455" s="4994">
        <f>IF($D$3=$E$3,E1455,IF($D$3=$F$3,F1455,IF($D$3=$G$3,G1455,"-")))</f>
        <v>7.2177677499999995E-2</v>
      </c>
      <c r="E1455" s="4995">
        <f>'Table2(I)s2_2018'!C28</f>
        <v>7.2177677499999995E-2</v>
      </c>
      <c r="F1455" s="4995">
        <f>'Table2(I)s2_2019'!C28</f>
        <v>8.2278179000000007E-2</v>
      </c>
      <c r="G1455" s="4996">
        <f>'Table2(I)s2_2020'!C28</f>
        <v>6.0565579500000001E-2</v>
      </c>
      <c r="H1455" s="4354"/>
      <c r="I1455" s="4387">
        <f t="shared" si="103"/>
        <v>0.1399394085519032</v>
      </c>
      <c r="J1455" s="4387">
        <f t="shared" si="104"/>
        <v>0.26389256257117705</v>
      </c>
      <c r="K1455" s="4354"/>
      <c r="L1455" s="4354"/>
      <c r="M1455" s="4354"/>
    </row>
    <row r="1456" spans="1:13" x14ac:dyDescent="0.25">
      <c r="A1456" s="4354"/>
      <c r="B1456" s="4354"/>
      <c r="C1456" s="4354"/>
      <c r="D1456" s="4989" t="str">
        <f t="shared" ref="D1456:D1457" si="106">""&amp;IF($D$3=$E$3,E1456,IF($D$3=$F$3,F1456,IF($D$3=$G$3,G1456,"-")))</f>
        <v/>
      </c>
      <c r="E1456" s="4989"/>
      <c r="F1456" s="4989"/>
      <c r="G1456" s="4989"/>
      <c r="H1456" s="4354"/>
      <c r="I1456" s="4354"/>
      <c r="J1456" s="4354"/>
      <c r="K1456" s="4354"/>
      <c r="L1456" s="4354"/>
      <c r="M1456" s="4354"/>
    </row>
    <row r="1457" spans="1:13" x14ac:dyDescent="0.25">
      <c r="A1457" s="4354"/>
      <c r="B1457" s="4354"/>
      <c r="C1457" s="4354"/>
      <c r="D1457" s="4990" t="str">
        <f t="shared" si="106"/>
        <v>NIR 2020 (2018) CRF tabel 2(I)s2</v>
      </c>
      <c r="E1457" s="4990" t="s">
        <v>5307</v>
      </c>
      <c r="F1457" s="4990" t="s">
        <v>5308</v>
      </c>
      <c r="G1457" s="4990" t="s">
        <v>5309</v>
      </c>
      <c r="H1457" s="4354"/>
      <c r="I1457" s="4354"/>
      <c r="J1457" s="4354"/>
      <c r="K1457" s="4354"/>
      <c r="L1457" s="4354"/>
      <c r="M1457" s="4354"/>
    </row>
    <row r="1458" spans="1:13" ht="15.75" thickBot="1" x14ac:dyDescent="0.3">
      <c r="A1458" s="4354"/>
      <c r="B1458" s="4354"/>
      <c r="C1458" s="4354"/>
      <c r="D1458" s="4354"/>
      <c r="E1458" s="4354"/>
      <c r="F1458" s="4354"/>
      <c r="G1458" s="4354"/>
      <c r="H1458" s="4354"/>
      <c r="I1458" s="4354"/>
      <c r="J1458" s="4354"/>
      <c r="K1458" s="4354"/>
      <c r="L1458" s="4354"/>
      <c r="M1458" s="4354"/>
    </row>
    <row r="1459" spans="1:13" ht="15.75" thickBot="1" x14ac:dyDescent="0.3">
      <c r="A1459" s="4975"/>
      <c r="B1459" s="5048" t="s">
        <v>2563</v>
      </c>
      <c r="C1459" s="5049"/>
      <c r="D1459" s="4976" t="str">
        <f t="shared" ref="D1459:D1463" si="107">""&amp;IF($D$3=$E$3,E1459,IF($D$3=$F$3,F1459,IF($D$3=$G$3,G1459,"-")))</f>
        <v>Faktisk udledning</v>
      </c>
      <c r="E1459" s="4977" t="s">
        <v>2659</v>
      </c>
      <c r="F1459" s="4977" t="s">
        <v>2659</v>
      </c>
      <c r="G1459" s="4977" t="s">
        <v>2659</v>
      </c>
      <c r="H1459" s="4354"/>
      <c r="I1459" s="4387" t="str">
        <f t="shared" ref="I1459:I1467" si="108">IFERROR(ABS(F1459-E1459)/E1459,"NO")</f>
        <v>NO</v>
      </c>
      <c r="J1459" s="4387" t="str">
        <f t="shared" ref="J1459:J1467" si="109">IFERROR(ABS(G1459-F1459)/F1459,"NO")</f>
        <v>NO</v>
      </c>
      <c r="K1459" s="4354"/>
      <c r="L1459" s="4354"/>
      <c r="M1459" s="4354"/>
    </row>
    <row r="1460" spans="1:13" ht="38.25" customHeight="1" thickBot="1" x14ac:dyDescent="0.3">
      <c r="A1460" s="4975"/>
      <c r="B1460" s="5040" t="s">
        <v>2562</v>
      </c>
      <c r="C1460" s="5041"/>
      <c r="D1460" s="4978" t="str">
        <f>""&amp;IF($D$3=$E$3,E1460,IF($D$3=$F$3,F1460,IF($D$3=$G$3,G1460,"-")))</f>
        <v>N2O udledning i DK (kiloton)</v>
      </c>
      <c r="E1460" s="4979" t="s">
        <v>4791</v>
      </c>
      <c r="F1460" s="4979" t="s">
        <v>4791</v>
      </c>
      <c r="G1460" s="4979" t="s">
        <v>4791</v>
      </c>
      <c r="H1460" s="4354"/>
      <c r="I1460" s="4387" t="str">
        <f t="shared" si="108"/>
        <v>NO</v>
      </c>
      <c r="J1460" s="4387" t="str">
        <f t="shared" si="109"/>
        <v>NO</v>
      </c>
      <c r="K1460" s="4354"/>
      <c r="L1460" s="4354"/>
      <c r="M1460" s="4354"/>
    </row>
    <row r="1461" spans="1:13" x14ac:dyDescent="0.25">
      <c r="A1461" s="4975"/>
      <c r="B1461" s="5042" t="s">
        <v>661</v>
      </c>
      <c r="C1461" s="5043"/>
      <c r="D1461" s="4980" t="str">
        <f t="shared" si="107"/>
        <v/>
      </c>
      <c r="E1461" s="4981"/>
      <c r="F1461" s="4981"/>
      <c r="G1461" s="4982"/>
      <c r="H1461" s="4354"/>
      <c r="I1461" s="4387" t="str">
        <f t="shared" si="108"/>
        <v>NO</v>
      </c>
      <c r="J1461" s="4387" t="str">
        <f t="shared" si="109"/>
        <v>NO</v>
      </c>
      <c r="K1461" s="4354"/>
      <c r="L1461" s="4354"/>
      <c r="M1461" s="4354"/>
    </row>
    <row r="1462" spans="1:13" x14ac:dyDescent="0.25">
      <c r="A1462" s="4975"/>
      <c r="B1462" s="5044" t="s">
        <v>660</v>
      </c>
      <c r="C1462" s="5045"/>
      <c r="D1462" s="4983" t="str">
        <f t="shared" si="107"/>
        <v/>
      </c>
      <c r="E1462" s="4984"/>
      <c r="F1462" s="4984"/>
      <c r="G1462" s="4985"/>
      <c r="H1462" s="4354"/>
      <c r="I1462" s="4387" t="str">
        <f t="shared" si="108"/>
        <v>NO</v>
      </c>
      <c r="J1462" s="4387" t="str">
        <f t="shared" si="109"/>
        <v>NO</v>
      </c>
      <c r="K1462" s="4354"/>
      <c r="L1462" s="4354"/>
      <c r="M1462" s="4354"/>
    </row>
    <row r="1463" spans="1:13" x14ac:dyDescent="0.25">
      <c r="A1463" s="4975"/>
      <c r="B1463" s="5044" t="s">
        <v>659</v>
      </c>
      <c r="C1463" s="5045"/>
      <c r="D1463" s="4983" t="str">
        <f t="shared" si="107"/>
        <v/>
      </c>
      <c r="E1463" s="4984"/>
      <c r="F1463" s="4984"/>
      <c r="G1463" s="4985"/>
      <c r="H1463" s="4354"/>
      <c r="I1463" s="4387" t="str">
        <f t="shared" si="108"/>
        <v>NO</v>
      </c>
      <c r="J1463" s="4387" t="str">
        <f t="shared" si="109"/>
        <v>NO</v>
      </c>
      <c r="K1463" s="4354"/>
      <c r="L1463" s="4354"/>
      <c r="M1463" s="4354"/>
    </row>
    <row r="1464" spans="1:13" x14ac:dyDescent="0.25">
      <c r="A1464" s="4975"/>
      <c r="B1464" s="5044" t="s">
        <v>462</v>
      </c>
      <c r="C1464" s="5045"/>
      <c r="D1464" s="4983"/>
      <c r="E1464" s="4984"/>
      <c r="F1464" s="4984"/>
      <c r="G1464" s="4985"/>
      <c r="H1464" s="4354"/>
      <c r="I1464" s="4387" t="str">
        <f t="shared" si="108"/>
        <v>NO</v>
      </c>
      <c r="J1464" s="4387" t="str">
        <f t="shared" si="109"/>
        <v>NO</v>
      </c>
      <c r="K1464" s="4354"/>
      <c r="L1464" s="4354"/>
      <c r="M1464" s="4354"/>
    </row>
    <row r="1465" spans="1:13" x14ac:dyDescent="0.25">
      <c r="A1465" s="4975"/>
      <c r="B1465" s="5044" t="s">
        <v>658</v>
      </c>
      <c r="C1465" s="5045"/>
      <c r="D1465" s="4983" t="str">
        <f t="shared" ref="D1465:D1466" si="110">""&amp;IF($D$3=$E$3,E1465,IF($D$3=$F$3,F1465,IF($D$3=$G$3,G1465,"-")))</f>
        <v/>
      </c>
      <c r="E1465" s="4984"/>
      <c r="F1465" s="4984"/>
      <c r="G1465" s="4985"/>
      <c r="H1465" s="4354"/>
      <c r="I1465" s="4387" t="str">
        <f t="shared" si="108"/>
        <v>NO</v>
      </c>
      <c r="J1465" s="4387" t="str">
        <f t="shared" si="109"/>
        <v>NO</v>
      </c>
      <c r="K1465" s="4354"/>
      <c r="L1465" s="4354"/>
      <c r="M1465" s="4354"/>
    </row>
    <row r="1466" spans="1:13" x14ac:dyDescent="0.25">
      <c r="A1466" s="4975"/>
      <c r="B1466" s="5044" t="s">
        <v>657</v>
      </c>
      <c r="C1466" s="5045"/>
      <c r="D1466" s="4983" t="str">
        <f t="shared" si="110"/>
        <v/>
      </c>
      <c r="E1466" s="4984"/>
      <c r="F1466" s="4984"/>
      <c r="G1466" s="4985"/>
      <c r="H1466" s="4354"/>
      <c r="I1466" s="4387" t="str">
        <f t="shared" si="108"/>
        <v>NO</v>
      </c>
      <c r="J1466" s="4387" t="str">
        <f t="shared" si="109"/>
        <v>NO</v>
      </c>
      <c r="K1466" s="4354"/>
      <c r="L1466" s="4354"/>
      <c r="M1466" s="4354"/>
    </row>
    <row r="1467" spans="1:13" ht="15.75" thickBot="1" x14ac:dyDescent="0.3">
      <c r="A1467" s="4975"/>
      <c r="B1467" s="5046" t="s">
        <v>632</v>
      </c>
      <c r="C1467" s="5047"/>
      <c r="D1467" s="4994">
        <f>IF($D$3=$E$3,E1467,IF($D$3=$F$3,F1467,IF($D$3=$G$3,G1467,"-")))</f>
        <v>1.2697022739999999E-2</v>
      </c>
      <c r="E1467" s="4995">
        <f>'Table2(I)s2_2018'!D28</f>
        <v>1.2697022739999999E-2</v>
      </c>
      <c r="F1467" s="4995">
        <f>'Table2(I)s2_2019'!D28</f>
        <v>8.9156674699999994E-3</v>
      </c>
      <c r="G1467" s="4996">
        <f>'Table2(I)s2_2020'!D28</f>
        <v>8.7381370599999997E-3</v>
      </c>
      <c r="H1467" s="4354"/>
      <c r="I1467" s="4387">
        <f t="shared" si="108"/>
        <v>0.29781432603782199</v>
      </c>
      <c r="J1467" s="4387">
        <f t="shared" si="109"/>
        <v>1.9912183871523378E-2</v>
      </c>
      <c r="K1467" s="4354"/>
      <c r="L1467" s="4354"/>
      <c r="M1467" s="4354"/>
    </row>
    <row r="1468" spans="1:13" x14ac:dyDescent="0.25">
      <c r="A1468" s="4354"/>
      <c r="B1468" s="4354"/>
      <c r="C1468" s="4354"/>
      <c r="D1468" s="4989" t="str">
        <f t="shared" ref="D1468:D1469" si="111">""&amp;IF($D$3=$E$3,E1468,IF($D$3=$F$3,F1468,IF($D$3=$G$3,G1468,"-")))</f>
        <v/>
      </c>
      <c r="E1468" s="4989"/>
      <c r="F1468" s="4989"/>
      <c r="G1468" s="4989"/>
      <c r="H1468" s="4354"/>
      <c r="I1468" s="4354"/>
      <c r="J1468" s="4354"/>
      <c r="K1468" s="4354"/>
      <c r="L1468" s="4354"/>
      <c r="M1468" s="4354"/>
    </row>
    <row r="1469" spans="1:13" x14ac:dyDescent="0.25">
      <c r="A1469" s="4354"/>
      <c r="B1469" s="4354"/>
      <c r="C1469" s="4354"/>
      <c r="D1469" s="4990" t="str">
        <f t="shared" si="111"/>
        <v>NIR 2020 (2018) CRF tabel 2(I)s2</v>
      </c>
      <c r="E1469" s="4990" t="s">
        <v>5307</v>
      </c>
      <c r="F1469" s="4990" t="s">
        <v>5308</v>
      </c>
      <c r="G1469" s="4990" t="s">
        <v>5309</v>
      </c>
      <c r="H1469" s="4354"/>
      <c r="I1469" s="4354"/>
      <c r="J1469" s="4354"/>
      <c r="K1469" s="4354"/>
      <c r="L1469" s="4354"/>
      <c r="M1469" s="4354"/>
    </row>
  </sheetData>
  <sheetProtection algorithmName="SHA-512" hashValue="l+BaXVH6nzlYSMlYRtrxuy66CibXBDN4zcI8koTMRIrplTUq6vgnts1CS0Wo0JsyeLywR296+uLT4Ih+RJVFow==" saltValue="VrS6WTCy3G2+2SMRwWBUSQ==" spinCount="100000" sheet="1" objects="1" scenarios="1"/>
  <mergeCells count="231">
    <mergeCell ref="B1459:C1459"/>
    <mergeCell ref="B1460:C1460"/>
    <mergeCell ref="B1461:C1461"/>
    <mergeCell ref="B1462:C1462"/>
    <mergeCell ref="B1463:C1463"/>
    <mergeCell ref="B1464:C1464"/>
    <mergeCell ref="B1465:C1465"/>
    <mergeCell ref="B1466:C1466"/>
    <mergeCell ref="B1467:C1467"/>
    <mergeCell ref="B1447:C1447"/>
    <mergeCell ref="B1448:C1448"/>
    <mergeCell ref="B1449:C1449"/>
    <mergeCell ref="B1450:C1450"/>
    <mergeCell ref="B1451:C1451"/>
    <mergeCell ref="B1452:C1452"/>
    <mergeCell ref="B1453:C1453"/>
    <mergeCell ref="B1454:C1454"/>
    <mergeCell ref="B1455:C1455"/>
    <mergeCell ref="B25:C25"/>
    <mergeCell ref="B26:C26"/>
    <mergeCell ref="B27:C27"/>
    <mergeCell ref="B28:C28"/>
    <mergeCell ref="B29:C29"/>
    <mergeCell ref="B30:C30"/>
    <mergeCell ref="B547:B556"/>
    <mergeCell ref="B413:B428"/>
    <mergeCell ref="B429:B444"/>
    <mergeCell ref="B445:B460"/>
    <mergeCell ref="B461:B476"/>
    <mergeCell ref="B477:B492"/>
    <mergeCell ref="B496:C496"/>
    <mergeCell ref="B497:B506"/>
    <mergeCell ref="B507:B516"/>
    <mergeCell ref="B517:B526"/>
    <mergeCell ref="B71:C71"/>
    <mergeCell ref="B38:C38"/>
    <mergeCell ref="B39:C39"/>
    <mergeCell ref="B40:C40"/>
    <mergeCell ref="B41:C41"/>
    <mergeCell ref="B48:C48"/>
    <mergeCell ref="B93:C93"/>
    <mergeCell ref="B94:C94"/>
    <mergeCell ref="B95:C95"/>
    <mergeCell ref="B96:C96"/>
    <mergeCell ref="B97:C97"/>
    <mergeCell ref="B109:C109"/>
    <mergeCell ref="B107:C107"/>
    <mergeCell ref="B108:C108"/>
    <mergeCell ref="B31:C31"/>
    <mergeCell ref="B32:C32"/>
    <mergeCell ref="B33:C33"/>
    <mergeCell ref="B34:C34"/>
    <mergeCell ref="B35:C35"/>
    <mergeCell ref="B49:C49"/>
    <mergeCell ref="B53:C53"/>
    <mergeCell ref="B37:C37"/>
    <mergeCell ref="B36:C36"/>
    <mergeCell ref="B42:C42"/>
    <mergeCell ref="B43:C43"/>
    <mergeCell ref="B45:C45"/>
    <mergeCell ref="B46:C46"/>
    <mergeCell ref="B47:C47"/>
    <mergeCell ref="B44:C44"/>
    <mergeCell ref="B110:C110"/>
    <mergeCell ref="B98:C98"/>
    <mergeCell ref="B99:C99"/>
    <mergeCell ref="B100:C100"/>
    <mergeCell ref="B101:C101"/>
    <mergeCell ref="B102:C102"/>
    <mergeCell ref="B103:C103"/>
    <mergeCell ref="B104:C104"/>
    <mergeCell ref="B105:C105"/>
    <mergeCell ref="B106:C106"/>
    <mergeCell ref="B192:C192"/>
    <mergeCell ref="B169:C169"/>
    <mergeCell ref="B170:C170"/>
    <mergeCell ref="B180:C180"/>
    <mergeCell ref="B181:C181"/>
    <mergeCell ref="B182:C182"/>
    <mergeCell ref="B156:C156"/>
    <mergeCell ref="B168:C168"/>
    <mergeCell ref="B143:C143"/>
    <mergeCell ref="B144:C144"/>
    <mergeCell ref="B148:C148"/>
    <mergeCell ref="B149:C149"/>
    <mergeCell ref="B154:C154"/>
    <mergeCell ref="B155:C155"/>
    <mergeCell ref="B153:C153"/>
    <mergeCell ref="B175:C175"/>
    <mergeCell ref="B193:B202"/>
    <mergeCell ref="B203:B212"/>
    <mergeCell ref="B213:B222"/>
    <mergeCell ref="B627:B633"/>
    <mergeCell ref="B634:B640"/>
    <mergeCell ref="B641:B647"/>
    <mergeCell ref="B289:B298"/>
    <mergeCell ref="B299:B308"/>
    <mergeCell ref="B309:B318"/>
    <mergeCell ref="B319:B328"/>
    <mergeCell ref="B527:B536"/>
    <mergeCell ref="B537:B546"/>
    <mergeCell ref="B397:B412"/>
    <mergeCell ref="B601:B610"/>
    <mergeCell ref="B611:B620"/>
    <mergeCell ref="B560:C560"/>
    <mergeCell ref="B561:B570"/>
    <mergeCell ref="B571:B580"/>
    <mergeCell ref="B581:B590"/>
    <mergeCell ref="B591:B600"/>
    <mergeCell ref="B332:C332"/>
    <mergeCell ref="B333:B342"/>
    <mergeCell ref="B343:B352"/>
    <mergeCell ref="B353:B362"/>
    <mergeCell ref="B668:B675"/>
    <mergeCell ref="B680:B687"/>
    <mergeCell ref="B688:B695"/>
    <mergeCell ref="B696:B703"/>
    <mergeCell ref="B363:B372"/>
    <mergeCell ref="B373:B382"/>
    <mergeCell ref="B652:B659"/>
    <mergeCell ref="B660:B667"/>
    <mergeCell ref="B223:B232"/>
    <mergeCell ref="B233:B242"/>
    <mergeCell ref="B243:B252"/>
    <mergeCell ref="B253:B262"/>
    <mergeCell ref="B268:C268"/>
    <mergeCell ref="B269:B278"/>
    <mergeCell ref="B279:B288"/>
    <mergeCell ref="B383:B392"/>
    <mergeCell ref="B396:C396"/>
    <mergeCell ref="B708:B710"/>
    <mergeCell ref="B711:B713"/>
    <mergeCell ref="B714:B716"/>
    <mergeCell ref="B1049:C1049"/>
    <mergeCell ref="C951:C981"/>
    <mergeCell ref="C982:C1012"/>
    <mergeCell ref="C1013:C1043"/>
    <mergeCell ref="B748:B750"/>
    <mergeCell ref="B745:B747"/>
    <mergeCell ref="B742:B744"/>
    <mergeCell ref="C757:C787"/>
    <mergeCell ref="B723:B735"/>
    <mergeCell ref="C1110:C1117"/>
    <mergeCell ref="B1118:C1118"/>
    <mergeCell ref="C1119:C1126"/>
    <mergeCell ref="C1127:C1134"/>
    <mergeCell ref="C1050:C1054"/>
    <mergeCell ref="C788:C818"/>
    <mergeCell ref="C819:C849"/>
    <mergeCell ref="C854:C884"/>
    <mergeCell ref="C885:C915"/>
    <mergeCell ref="C916:C946"/>
    <mergeCell ref="B1419:C1419"/>
    <mergeCell ref="B1412:C1412"/>
    <mergeCell ref="B1413:C1413"/>
    <mergeCell ref="B1348:B1351"/>
    <mergeCell ref="B1352:B1355"/>
    <mergeCell ref="B1356:B1359"/>
    <mergeCell ref="B1360:B1363"/>
    <mergeCell ref="B1400:B1404"/>
    <mergeCell ref="B1055:C1055"/>
    <mergeCell ref="B1061:C1061"/>
    <mergeCell ref="B1067:C1067"/>
    <mergeCell ref="C1062:C1066"/>
    <mergeCell ref="C1068:C1072"/>
    <mergeCell ref="C1139:C1154"/>
    <mergeCell ref="C1093:C1100"/>
    <mergeCell ref="B1101:C1101"/>
    <mergeCell ref="C1102:C1109"/>
    <mergeCell ref="C1073:C1077"/>
    <mergeCell ref="B1078:C1078"/>
    <mergeCell ref="C1079:C1083"/>
    <mergeCell ref="C1084:C1088"/>
    <mergeCell ref="B1092:C1092"/>
    <mergeCell ref="C1056:C1060"/>
    <mergeCell ref="B1138:C1138"/>
    <mergeCell ref="C1156:C1171"/>
    <mergeCell ref="C1172:C1187"/>
    <mergeCell ref="C1259:C1261"/>
    <mergeCell ref="B1334:B1335"/>
    <mergeCell ref="C1308:C1311"/>
    <mergeCell ref="B1299:C1299"/>
    <mergeCell ref="C1300:C1303"/>
    <mergeCell ref="C1291:C1293"/>
    <mergeCell ref="C1263:C1265"/>
    <mergeCell ref="C1267:C1269"/>
    <mergeCell ref="C1188:C1203"/>
    <mergeCell ref="C1205:C1220"/>
    <mergeCell ref="C1221:C1236"/>
    <mergeCell ref="C1237:C1252"/>
    <mergeCell ref="B1423:C1423"/>
    <mergeCell ref="C1271:C1273"/>
    <mergeCell ref="B1270:C1270"/>
    <mergeCell ref="C1275:C1277"/>
    <mergeCell ref="B1274:C1274"/>
    <mergeCell ref="B1414:C1414"/>
    <mergeCell ref="B1415:C1415"/>
    <mergeCell ref="C1312:C1315"/>
    <mergeCell ref="B1322:B1323"/>
    <mergeCell ref="B1328:B1329"/>
    <mergeCell ref="B1405:B1408"/>
    <mergeCell ref="B1380:B1383"/>
    <mergeCell ref="B1384:B1387"/>
    <mergeCell ref="B1388:B1391"/>
    <mergeCell ref="B1392:B1395"/>
    <mergeCell ref="B1396:B1399"/>
    <mergeCell ref="B1340:B1343"/>
    <mergeCell ref="B1344:B1347"/>
    <mergeCell ref="C1279:C1281"/>
    <mergeCell ref="C1283:C1285"/>
    <mergeCell ref="C1287:C1289"/>
    <mergeCell ref="B1416:C1416"/>
    <mergeCell ref="B1417:C1417"/>
    <mergeCell ref="B1418:C1418"/>
    <mergeCell ref="B1436:C1436"/>
    <mergeCell ref="B1437:C1437"/>
    <mergeCell ref="B1438:C1438"/>
    <mergeCell ref="B1439:C1439"/>
    <mergeCell ref="B1440:C1440"/>
    <mergeCell ref="B1441:C1441"/>
    <mergeCell ref="B1442:C1442"/>
    <mergeCell ref="B1443:C1443"/>
    <mergeCell ref="B1424:C1424"/>
    <mergeCell ref="B1425:C1425"/>
    <mergeCell ref="B1426:C1426"/>
    <mergeCell ref="B1427:C1427"/>
    <mergeCell ref="B1429:C1429"/>
    <mergeCell ref="B1430:C1430"/>
    <mergeCell ref="B1431:C1431"/>
    <mergeCell ref="B1428:C1428"/>
    <mergeCell ref="B1435:C1435"/>
  </mergeCells>
  <conditionalFormatting sqref="F404">
    <cfRule type="cellIs" dxfId="632" priority="15" operator="between">
      <formula>0</formula>
      <formula>0</formula>
    </cfRule>
  </conditionalFormatting>
  <conditionalFormatting sqref="I26:J1443">
    <cfRule type="cellIs" dxfId="631" priority="9" operator="equal">
      <formula>"NO"</formula>
    </cfRule>
    <cfRule type="cellIs" dxfId="630" priority="10" operator="greaterThan">
      <formula>0.1</formula>
    </cfRule>
    <cfRule type="cellIs" dxfId="629" priority="13" operator="lessThan">
      <formula>-0.1</formula>
    </cfRule>
    <cfRule type="colorScale" priority="14">
      <colorScale>
        <cfvo type="percent" val="0"/>
        <cfvo type="percent" val="50"/>
        <cfvo type="percent" val="100"/>
        <color rgb="FF63BE7B"/>
        <color rgb="FFFCFCFF"/>
        <color rgb="FFF8696B"/>
      </colorScale>
    </cfRule>
  </conditionalFormatting>
  <conditionalFormatting sqref="I1447:J1455">
    <cfRule type="cellIs" dxfId="628" priority="5" operator="equal">
      <formula>"NO"</formula>
    </cfRule>
    <cfRule type="cellIs" dxfId="627" priority="6" operator="greaterThan">
      <formula>0.1</formula>
    </cfRule>
    <cfRule type="cellIs" dxfId="626" priority="7" operator="lessThan">
      <formula>-0.1</formula>
    </cfRule>
    <cfRule type="colorScale" priority="8">
      <colorScale>
        <cfvo type="percent" val="0"/>
        <cfvo type="percent" val="50"/>
        <cfvo type="percent" val="100"/>
        <color rgb="FF63BE7B"/>
        <color rgb="FFFCFCFF"/>
        <color rgb="FFF8696B"/>
      </colorScale>
    </cfRule>
  </conditionalFormatting>
  <conditionalFormatting sqref="I1459:J1467">
    <cfRule type="cellIs" dxfId="625" priority="1" operator="equal">
      <formula>"NO"</formula>
    </cfRule>
    <cfRule type="cellIs" dxfId="624" priority="2" operator="greaterThan">
      <formula>0.1</formula>
    </cfRule>
    <cfRule type="cellIs" dxfId="623" priority="3" operator="lessThan">
      <formula>-0.1</formula>
    </cfRule>
    <cfRule type="colorScale" priority="4">
      <colorScale>
        <cfvo type="percent" val="0"/>
        <cfvo type="percent" val="50"/>
        <cfvo type="percent" val="100"/>
        <color rgb="FF63BE7B"/>
        <color rgb="FFFCFCFF"/>
        <color rgb="FFF8696B"/>
      </colorScale>
    </cfRule>
  </conditionalFormatting>
  <hyperlinks>
    <hyperlink ref="B5" location="'NIR faktorer'!B23" display="Bilag 1" xr:uid="{443FD7F9-C4BA-4923-B725-D955410DC5E7}"/>
    <hyperlink ref="B6" location="'NIR faktorer'!B75" display="Bilag 2" xr:uid="{D9CBB212-25B1-4BB4-9DCC-41529F5A86BD}"/>
    <hyperlink ref="B7" location="'NIR faktorer'!B79" display="Bilag 2a" xr:uid="{F79B09D9-D83D-4B60-B19C-7AC2D19E547C}"/>
    <hyperlink ref="B8" location="'NIR faktorer'!B83" display="Bilag 3" xr:uid="{706E1F13-52CE-46B3-BBAF-06E98A961410}"/>
    <hyperlink ref="B9" location="'NIR faktorer'!B87" display="Bilag 3a" xr:uid="{2ABE6B14-69A5-47AB-AA53-A6962D0BEA5C}"/>
    <hyperlink ref="B10" location="'NIR faktorer'!B91" display="Bilag 4" xr:uid="{3F41047D-35A5-4DD0-B51C-ADBA68D74CE5}"/>
    <hyperlink ref="B11" location="'NIR faktorer'!B165" display="Bilag 5" xr:uid="{643F5FFB-14D7-4E84-A958-B11BA40E30AC}"/>
    <hyperlink ref="B12" location="'NIR faktorer'!B190" display="Bilag 6" xr:uid="{E3E34775-5DC0-4DB8-BE84-AD9B5326DA70}"/>
    <hyperlink ref="B13" location="'NIR faktorer'!B268" display="Bilag 7" xr:uid="{FC52F761-0FCD-4483-948D-A35E26272E4B}"/>
    <hyperlink ref="B14" location="'NIR faktorer'!B624" display="Bilag 8" xr:uid="{FE66E0EE-758D-42B4-99CB-4C7E87995A30}"/>
    <hyperlink ref="B15" location="'NIR faktorer'!B720" display="Bilag 9" xr:uid="{E92C8A82-6233-4FBD-8381-AE768D877CF0}"/>
    <hyperlink ref="B16" location="'NIR faktorer'!B739" display="Bilag 10" xr:uid="{DE18B691-4DD5-4D53-8F4D-6A09170B78E5}"/>
    <hyperlink ref="B17" location="'NIR faktorer'!B754" display="Bilag 11" xr:uid="{0A95D244-60FF-4669-8F01-A992E8566D72}"/>
    <hyperlink ref="B18" location="'NIR faktorer'!B1047" display="Bilag 12" xr:uid="{4D21E5AA-08D6-4ABF-8072-51B491E72F26}"/>
    <hyperlink ref="B19" location="'NIR faktorer'!B1256" display="Bilag 13" xr:uid="{6DFF5D60-6EE3-4BA7-A581-22BC31E75BDE}"/>
    <hyperlink ref="B20" location="'NIR faktorer'!B1297" display="Bilag 14" xr:uid="{804F7AC9-1048-4656-86FA-8E46BC31A4A3}"/>
    <hyperlink ref="B21" location="'NIR faktorer'!B1319" display="Bilag 15" xr:uid="{76D95544-A05C-4209-9D16-A4E89D4E322E}"/>
    <hyperlink ref="A2" location="Index!A1" display="Til index" xr:uid="{78C623D0-B086-4A38-89E2-9120473651F4}"/>
    <hyperlink ref="D2" location="'Grafer-klima-&gt;VÆLG GWP og NIR&lt;-'!H4" display="VALGT ÅR" xr:uid="{3E3B0BF4-C7E7-4908-AC48-0947A0544369}"/>
  </hyperlinks>
  <pageMargins left="0.7" right="0.7" top="0.75" bottom="0.75" header="0.3" footer="0.3"/>
  <pageSetup paperSize="9" orientation="portrait"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2FEE4-245D-4C9C-9CAF-E5C424FE28C9}">
  <sheetPr codeName="Ark140">
    <tabColor theme="4" tint="0.59999389629810485"/>
    <pageSetUpPr fitToPage="1"/>
  </sheetPr>
  <dimension ref="A1:V21"/>
  <sheetViews>
    <sheetView showGridLines="0" zoomScale="70" zoomScaleNormal="70" workbookViewId="0">
      <pane xSplit="1" topLeftCell="B1" activePane="topRight" state="frozen"/>
      <selection activeCell="H40" sqref="H40:J40"/>
      <selection pane="topRight" activeCell="B8" sqref="B8"/>
    </sheetView>
  </sheetViews>
  <sheetFormatPr defaultColWidth="8.7109375" defaultRowHeight="15" x14ac:dyDescent="0.25"/>
  <cols>
    <col min="1" max="1" width="37.5703125" style="1777" bestFit="1" customWidth="1"/>
    <col min="2" max="2" width="31.85546875" style="1777" customWidth="1"/>
    <col min="3" max="3" width="17.7109375" style="1777" bestFit="1" customWidth="1"/>
    <col min="4" max="4" width="18.5703125" style="1777" bestFit="1" customWidth="1"/>
    <col min="5" max="5" width="18.5703125" style="1777" customWidth="1"/>
    <col min="6" max="8" width="26.5703125" style="1777" customWidth="1"/>
    <col min="9" max="10" width="22" style="1777" customWidth="1"/>
    <col min="11" max="12" width="22.28515625" style="1777" customWidth="1"/>
    <col min="13" max="15" width="17.42578125" style="1777" customWidth="1"/>
    <col min="16" max="16" width="19.85546875" style="1777" customWidth="1"/>
    <col min="17" max="17" width="19" style="1777" customWidth="1"/>
    <col min="18" max="18" width="20.5703125" style="1777" customWidth="1"/>
    <col min="19" max="19" width="24.85546875" style="1777" customWidth="1"/>
    <col min="20" max="20" width="25.5703125" style="1777" customWidth="1"/>
    <col min="21" max="21" width="17.85546875" style="1777" customWidth="1"/>
    <col min="22" max="22" width="18.140625" style="1777" customWidth="1"/>
    <col min="23" max="23" width="42.5703125" style="1777" customWidth="1"/>
    <col min="24" max="16384" width="8.7109375" style="1777"/>
  </cols>
  <sheetData>
    <row r="1" spans="1:22" s="1866" customFormat="1" ht="54" customHeight="1" x14ac:dyDescent="0.35">
      <c r="B1" s="1007" t="s">
        <v>2260</v>
      </c>
    </row>
    <row r="2" spans="1:22" s="1779" customFormat="1" ht="21" x14ac:dyDescent="0.35">
      <c r="A2" s="1740" t="s">
        <v>4206</v>
      </c>
    </row>
    <row r="3" spans="1:22" s="1779" customFormat="1" x14ac:dyDescent="0.25">
      <c r="A3" s="3680"/>
      <c r="B3" s="1779" t="str">
        <f>'K1 2018'!B3</f>
        <v>Tal fra register</v>
      </c>
    </row>
    <row r="4" spans="1:22" s="1779" customFormat="1" x14ac:dyDescent="0.25">
      <c r="A4" s="1484"/>
      <c r="B4" s="1779" t="str">
        <f>'K1 2018'!B4</f>
        <v>Overført til regnskab</v>
      </c>
    </row>
    <row r="5" spans="1:22" s="1010" customFormat="1" ht="12" x14ac:dyDescent="0.2">
      <c r="A5" s="1090" t="s">
        <v>2320</v>
      </c>
      <c r="B5" s="1090" t="s">
        <v>2319</v>
      </c>
      <c r="C5" s="1089"/>
      <c r="D5" s="1089"/>
      <c r="E5" s="1089"/>
      <c r="F5" s="1089"/>
      <c r="G5" s="1089"/>
      <c r="H5" s="1089"/>
      <c r="I5" s="1089"/>
      <c r="J5" s="1089"/>
      <c r="K5" s="1089"/>
      <c r="L5" s="1089"/>
    </row>
    <row r="6" spans="1:22" s="1010" customFormat="1" ht="12" x14ac:dyDescent="0.2">
      <c r="A6" s="1090"/>
      <c r="B6" s="1090"/>
      <c r="C6" s="1089"/>
      <c r="D6" s="1089"/>
      <c r="E6" s="1089"/>
      <c r="F6" s="1089"/>
      <c r="G6" s="1089"/>
      <c r="H6" s="1089"/>
      <c r="I6" s="1089"/>
      <c r="J6" s="1089"/>
      <c r="K6" s="1089"/>
      <c r="L6" s="1089"/>
    </row>
    <row r="7" spans="1:22" s="1779" customFormat="1" ht="33" customHeight="1" thickBot="1" x14ac:dyDescent="0.3">
      <c r="A7" s="1019"/>
      <c r="F7" s="5295" t="s">
        <v>2259</v>
      </c>
      <c r="G7" s="5296"/>
      <c r="H7" s="5288"/>
      <c r="I7" s="5286"/>
      <c r="J7" s="5286"/>
      <c r="K7" s="5295" t="s">
        <v>2258</v>
      </c>
      <c r="L7" s="5288"/>
      <c r="M7" s="5283" t="s">
        <v>2305</v>
      </c>
      <c r="N7" s="5284"/>
      <c r="O7" s="5285"/>
      <c r="P7" s="5286"/>
      <c r="Q7" s="5286"/>
      <c r="R7" s="5287" t="s">
        <v>4756</v>
      </c>
      <c r="S7" s="5288"/>
    </row>
    <row r="8" spans="1:22" s="1014" customFormat="1" ht="69" customHeight="1" thickBot="1" x14ac:dyDescent="0.3">
      <c r="A8" s="1018" t="s">
        <v>880</v>
      </c>
      <c r="B8" s="1015" t="s">
        <v>4858</v>
      </c>
      <c r="C8" s="1762" t="s">
        <v>4840</v>
      </c>
      <c r="D8" s="1762" t="s">
        <v>4841</v>
      </c>
      <c r="E8" s="1763" t="s">
        <v>4842</v>
      </c>
      <c r="F8" s="1015" t="s">
        <v>4843</v>
      </c>
      <c r="G8" s="1762" t="s">
        <v>4844</v>
      </c>
      <c r="H8" s="1016" t="s">
        <v>4845</v>
      </c>
      <c r="I8" s="1015" t="s">
        <v>4846</v>
      </c>
      <c r="J8" s="1763" t="s">
        <v>4847</v>
      </c>
      <c r="K8" s="1017" t="s">
        <v>4848</v>
      </c>
      <c r="L8" s="1763" t="s">
        <v>4849</v>
      </c>
      <c r="M8" s="1017" t="s">
        <v>4850</v>
      </c>
      <c r="N8" s="1762" t="s">
        <v>4851</v>
      </c>
      <c r="O8" s="1763" t="s">
        <v>4852</v>
      </c>
      <c r="P8" s="1015" t="s">
        <v>4853</v>
      </c>
      <c r="Q8" s="1763" t="s">
        <v>4854</v>
      </c>
      <c r="R8" s="1762" t="s">
        <v>4857</v>
      </c>
      <c r="S8" s="1016" t="s">
        <v>4855</v>
      </c>
      <c r="T8" s="1407" t="s">
        <v>4856</v>
      </c>
      <c r="U8" s="3859" t="s">
        <v>4911</v>
      </c>
      <c r="V8" s="3858" t="s">
        <v>4995</v>
      </c>
    </row>
    <row r="9" spans="1:22" s="1884" customFormat="1" ht="21.75" customHeight="1" x14ac:dyDescent="0.25">
      <c r="A9" s="3997" t="s">
        <v>875</v>
      </c>
      <c r="B9" s="3993">
        <f>$B$10+$B$12+$B$13+$B$14+$B$15+$B$16+$B$17+$B$18</f>
        <v>3660</v>
      </c>
      <c r="C9" s="3992">
        <f>C10+C12+C13+C14+C15+C16+C17+C18</f>
        <v>0</v>
      </c>
      <c r="D9" s="3861">
        <f>D10+D12+D13+D14+D15+D16+D17+D18</f>
        <v>3658.75</v>
      </c>
      <c r="E9" s="3862">
        <f>B9-C9-D9</f>
        <v>1.25</v>
      </c>
      <c r="F9" s="1879" t="str">
        <f>'NIR faktorer'!D193</f>
        <v/>
      </c>
      <c r="G9" s="1880" t="str">
        <f>'NIR faktorer'!D203</f>
        <v/>
      </c>
      <c r="H9" s="1881" t="str">
        <f>'NIR faktorer'!D213</f>
        <v/>
      </c>
      <c r="I9" s="1879" t="str">
        <f>'NIR faktorer'!D223</f>
        <v/>
      </c>
      <c r="J9" s="1882" t="str">
        <f>'NIR faktorer'!D233</f>
        <v/>
      </c>
      <c r="K9" s="1883" t="str">
        <f>'NIR faktorer'!D243</f>
        <v/>
      </c>
      <c r="L9" s="1882" t="str">
        <f>'NIR faktorer'!D253</f>
        <v/>
      </c>
      <c r="M9" s="1879"/>
      <c r="N9" s="1880"/>
      <c r="O9" s="1882"/>
      <c r="P9" s="1879"/>
      <c r="Q9" s="1882"/>
      <c r="R9" s="1879"/>
      <c r="S9" s="1882"/>
      <c r="T9" s="3860">
        <f>T10+T11</f>
        <v>-194.92979384511273</v>
      </c>
      <c r="U9" s="3861">
        <f>U10+U11</f>
        <v>714.74257743208</v>
      </c>
      <c r="V9" s="3862">
        <f>IFERROR(U9/B9,"NA")</f>
        <v>0.19528485722187977</v>
      </c>
    </row>
    <row r="10" spans="1:22" s="1884" customFormat="1" ht="21" customHeight="1" x14ac:dyDescent="0.25">
      <c r="A10" s="3998" t="s">
        <v>874</v>
      </c>
      <c r="B10" s="3994">
        <v>3163.8125</v>
      </c>
      <c r="C10" s="3960">
        <v>0</v>
      </c>
      <c r="D10" s="3960">
        <v>3162.625</v>
      </c>
      <c r="E10" s="3851">
        <f>B10-C10-D10</f>
        <v>1.1875</v>
      </c>
      <c r="F10" s="1020">
        <f>'NIR faktorer'!D194</f>
        <v>1.2553517570647501</v>
      </c>
      <c r="G10" s="1888" t="str">
        <f>'NIR faktorer'!D204</f>
        <v>NO</v>
      </c>
      <c r="H10" s="1889">
        <f>'NIR faktorer'!D214</f>
        <v>1.2553517570647501</v>
      </c>
      <c r="I10" s="1890">
        <f>'NIR faktorer'!D224</f>
        <v>-9.7953953314079995E-2</v>
      </c>
      <c r="J10" s="1891">
        <f>'NIR faktorer'!D234</f>
        <v>-1.3358945644382401</v>
      </c>
      <c r="K10" s="1892" t="str">
        <f>'NIR faktorer'!D244</f>
        <v>NA</v>
      </c>
      <c r="L10" s="1891">
        <f>'NIR faktorer'!D254</f>
        <v>-1.29999999998315</v>
      </c>
      <c r="M10" s="3849">
        <f>B10*F10</f>
        <v>3971.6975808984198</v>
      </c>
      <c r="N10" s="3850" t="str">
        <f>IFERROR(B10*G10,"NA")</f>
        <v>NA</v>
      </c>
      <c r="O10" s="3851">
        <f>SUBTOTAL(9,M10:N10)</f>
        <v>3971.6975808984198</v>
      </c>
      <c r="P10" s="3849">
        <f>IFERROR($B10*I10,"NA")</f>
        <v>-309.90794191950272</v>
      </c>
      <c r="Q10" s="3851">
        <f>IFERROR($B10*J10,"NA")</f>
        <v>-4226.5199216517594</v>
      </c>
      <c r="R10" s="3849" t="str">
        <f>IFERROR(D10*K10,"NA")</f>
        <v>NA</v>
      </c>
      <c r="S10" s="3851">
        <f>IFERROR(C10*L10,"NA")</f>
        <v>0</v>
      </c>
      <c r="T10" s="3863">
        <f>SUM(O10:S10)</f>
        <v>-564.73028267284235</v>
      </c>
      <c r="U10" s="3864">
        <f>T10*-(44/12)</f>
        <v>2070.6777031337551</v>
      </c>
      <c r="V10" s="3865">
        <f t="shared" ref="V10:V18" si="0">IFERROR(U10/B10,"NA")</f>
        <v>0.65448812252108968</v>
      </c>
    </row>
    <row r="11" spans="1:22" s="1884" customFormat="1" ht="25.5" customHeight="1" x14ac:dyDescent="0.25">
      <c r="A11" s="3998" t="s">
        <v>873</v>
      </c>
      <c r="B11" s="3995">
        <f>SUM(B12:B18)</f>
        <v>496.1875</v>
      </c>
      <c r="C11" s="3850">
        <f>SUM(C12:C18)</f>
        <v>0</v>
      </c>
      <c r="D11" s="3850">
        <f>SUM(D12:D18)</f>
        <v>496.125</v>
      </c>
      <c r="E11" s="3851">
        <f>SUM(E12:E18)</f>
        <v>6.25E-2</v>
      </c>
      <c r="F11" s="1897" t="str">
        <f>'NIR faktorer'!D195</f>
        <v/>
      </c>
      <c r="G11" s="1898" t="str">
        <f>'NIR faktorer'!D205</f>
        <v/>
      </c>
      <c r="H11" s="1899" t="str">
        <f>'NIR faktorer'!D215</f>
        <v/>
      </c>
      <c r="I11" s="1897" t="str">
        <f>'NIR faktorer'!D225</f>
        <v/>
      </c>
      <c r="J11" s="1900" t="str">
        <f>'NIR faktorer'!D235</f>
        <v/>
      </c>
      <c r="K11" s="1901" t="str">
        <f>'NIR faktorer'!D245</f>
        <v/>
      </c>
      <c r="L11" s="1900" t="str">
        <f>'NIR faktorer'!D255</f>
        <v/>
      </c>
      <c r="M11" s="3852"/>
      <c r="N11" s="3853"/>
      <c r="O11" s="3854"/>
      <c r="P11" s="3852"/>
      <c r="Q11" s="3854"/>
      <c r="R11" s="3852"/>
      <c r="S11" s="3854"/>
      <c r="T11" s="3863">
        <f>SUM(T12:T18)</f>
        <v>369.80048882772962</v>
      </c>
      <c r="U11" s="3864">
        <f>T11*-(44/12)</f>
        <v>-1355.9351257016751</v>
      </c>
      <c r="V11" s="3865">
        <f t="shared" si="0"/>
        <v>-2.7327071433715582</v>
      </c>
    </row>
    <row r="12" spans="1:22" s="1884" customFormat="1" x14ac:dyDescent="0.25">
      <c r="A12" s="3999" t="s">
        <v>872</v>
      </c>
      <c r="B12" s="3994">
        <v>380.9375</v>
      </c>
      <c r="C12" s="3960">
        <v>0</v>
      </c>
      <c r="D12" s="3960">
        <v>380.875</v>
      </c>
      <c r="E12" s="3851">
        <f t="shared" ref="E12:E18" si="1">B12-C12-D12</f>
        <v>6.25E-2</v>
      </c>
      <c r="F12" s="1020">
        <f>'NIR faktorer'!D196</f>
        <v>0.82247632357768996</v>
      </c>
      <c r="G12" s="1024">
        <f>'NIR faktorer'!D206</f>
        <v>-0.15331466993166001</v>
      </c>
      <c r="H12" s="1705">
        <f>'NIR faktorer'!D216</f>
        <v>0.66916165364602997</v>
      </c>
      <c r="I12" s="1021">
        <f>'NIR faktorer'!D226</f>
        <v>-2.8575816589899998E-3</v>
      </c>
      <c r="J12" s="1026">
        <f>'NIR faktorer'!D236</f>
        <v>-7.9111546554760007E-2</v>
      </c>
      <c r="K12" s="1027">
        <f>'NIR faktorer'!D246</f>
        <v>0.17406331988971999</v>
      </c>
      <c r="L12" s="1026">
        <f>'NIR faktorer'!D256</f>
        <v>-1.2638168035934101</v>
      </c>
      <c r="M12" s="3849">
        <f>B12*F12</f>
        <v>313.31207451287628</v>
      </c>
      <c r="N12" s="3850">
        <f>B12*G12</f>
        <v>-58.403307077091739</v>
      </c>
      <c r="O12" s="3851">
        <f t="shared" ref="O12:O18" si="2">SUBTOTAL(9,M12:N12)</f>
        <v>254.90876743578454</v>
      </c>
      <c r="P12" s="3857">
        <f t="shared" ref="P12:P18" si="3">IFERROR($B12*I12,"NA")</f>
        <v>-1.088560013221503</v>
      </c>
      <c r="Q12" s="3851">
        <f t="shared" ref="Q12:Q18" si="4">IFERROR($B12*J12,"NA")</f>
        <v>-30.136554765703892</v>
      </c>
      <c r="R12" s="3849">
        <f>IFERROR(D12*K12,"NA")</f>
        <v>66.296366962997098</v>
      </c>
      <c r="S12" s="3851">
        <f>IFERROR(C12*L12,"NA")</f>
        <v>0</v>
      </c>
      <c r="T12" s="3849">
        <f>SUM(O12:S12)</f>
        <v>289.98001961985625</v>
      </c>
      <c r="U12" s="3850">
        <f>T12*-(44/12)</f>
        <v>-1063.2600719394729</v>
      </c>
      <c r="V12" s="3851">
        <f t="shared" si="0"/>
        <v>-2.7911667187910694</v>
      </c>
    </row>
    <row r="13" spans="1:22" s="1884" customFormat="1" x14ac:dyDescent="0.25">
      <c r="A13" s="3999" t="s">
        <v>871</v>
      </c>
      <c r="B13" s="3994">
        <v>113.5</v>
      </c>
      <c r="C13" s="3960">
        <v>0</v>
      </c>
      <c r="D13" s="3960">
        <v>113.5</v>
      </c>
      <c r="E13" s="3851">
        <f t="shared" si="1"/>
        <v>0</v>
      </c>
      <c r="F13" s="1021">
        <f>'NIR faktorer'!D197</f>
        <v>0.95216711824668998</v>
      </c>
      <c r="G13" s="1024">
        <f>'NIR faktorer'!D207</f>
        <v>-0.16289308446433001</v>
      </c>
      <c r="H13" s="1025">
        <f>'NIR faktorer'!D217</f>
        <v>0.78927403378236005</v>
      </c>
      <c r="I13" s="1021">
        <f>'NIR faktorer'!D227</f>
        <v>-3.34165038412E-3</v>
      </c>
      <c r="J13" s="1026">
        <f>'NIR faktorer'!D237</f>
        <v>-9.2512887284920006E-2</v>
      </c>
      <c r="K13" s="1027" t="str">
        <f>'NIR faktorer'!D247</f>
        <v>NO</v>
      </c>
      <c r="L13" s="1026">
        <f>'NIR faktorer'!D257</f>
        <v>-1.1206322829978701</v>
      </c>
      <c r="M13" s="3849">
        <f>B13*F13</f>
        <v>108.07096792099931</v>
      </c>
      <c r="N13" s="3850">
        <f>B13*G13</f>
        <v>-18.488365086701457</v>
      </c>
      <c r="O13" s="3851">
        <f t="shared" si="2"/>
        <v>89.582602834297859</v>
      </c>
      <c r="P13" s="3849">
        <f t="shared" si="3"/>
        <v>-0.37927731859761998</v>
      </c>
      <c r="Q13" s="3851">
        <f t="shared" si="4"/>
        <v>-10.50021270683842</v>
      </c>
      <c r="R13" s="3849" t="str">
        <f>IFERROR(D13*K13,"NA")</f>
        <v>NA</v>
      </c>
      <c r="S13" s="3851">
        <f t="shared" ref="S13:S18" si="5">IFERROR(C13*L13,"NA")</f>
        <v>0</v>
      </c>
      <c r="T13" s="3849">
        <f>SUM(O13:S13)</f>
        <v>78.703112808861817</v>
      </c>
      <c r="U13" s="3850">
        <f t="shared" ref="U13:U18" si="6">T13*-(44/12)</f>
        <v>-288.57808029915998</v>
      </c>
      <c r="V13" s="3851">
        <f t="shared" si="0"/>
        <v>-2.5425381524155064</v>
      </c>
    </row>
    <row r="14" spans="1:22" s="1884" customFormat="1" x14ac:dyDescent="0.25">
      <c r="A14" s="3999" t="s">
        <v>870</v>
      </c>
      <c r="B14" s="3994">
        <v>1.6875</v>
      </c>
      <c r="C14" s="3960">
        <v>0</v>
      </c>
      <c r="D14" s="3960">
        <v>1.6875</v>
      </c>
      <c r="E14" s="3851">
        <f t="shared" si="1"/>
        <v>0</v>
      </c>
      <c r="F14" s="1021">
        <f>'NIR faktorer'!D198</f>
        <v>0.73650195589039003</v>
      </c>
      <c r="G14" s="1024" t="str">
        <f>'NIR faktorer'!D208</f>
        <v>NO</v>
      </c>
      <c r="H14" s="1025">
        <f>'NIR faktorer'!D218</f>
        <v>0.73650195589039003</v>
      </c>
      <c r="I14" s="1021">
        <f>'NIR faktorer'!D228</f>
        <v>-2.59248305415E-3</v>
      </c>
      <c r="J14" s="1026">
        <f>'NIR faktorer'!D238</f>
        <v>-7.1772347496070005E-2</v>
      </c>
      <c r="K14" s="1027" t="str">
        <f>'NIR faktorer'!D248</f>
        <v>NO</v>
      </c>
      <c r="L14" s="1026">
        <f>'NIR faktorer'!D258</f>
        <v>-0.95975455201717996</v>
      </c>
      <c r="M14" s="3849">
        <f>B14*F14</f>
        <v>1.2428470505650331</v>
      </c>
      <c r="N14" s="3850" t="s">
        <v>259</v>
      </c>
      <c r="O14" s="3851">
        <f t="shared" si="2"/>
        <v>1.2428470505650331</v>
      </c>
      <c r="P14" s="3849">
        <f t="shared" si="3"/>
        <v>-4.3748151538781253E-3</v>
      </c>
      <c r="Q14" s="3851">
        <f t="shared" si="4"/>
        <v>-0.12111583639961813</v>
      </c>
      <c r="R14" s="3849" t="str">
        <f t="shared" ref="R14:R18" si="7">IFERROR(D14*K14,"NA")</f>
        <v>NA</v>
      </c>
      <c r="S14" s="3851">
        <f t="shared" si="5"/>
        <v>0</v>
      </c>
      <c r="T14" s="3849">
        <f t="shared" ref="T14:T18" si="8">SUM(O14:S14)</f>
        <v>1.1173563990115369</v>
      </c>
      <c r="U14" s="3850">
        <f t="shared" si="6"/>
        <v>-4.0969734630423016</v>
      </c>
      <c r="V14" s="3851">
        <f t="shared" si="0"/>
        <v>-2.4278361262472896</v>
      </c>
    </row>
    <row r="15" spans="1:22" s="1884" customFormat="1" x14ac:dyDescent="0.25">
      <c r="A15" s="3999" t="s">
        <v>869</v>
      </c>
      <c r="B15" s="3994">
        <v>0</v>
      </c>
      <c r="C15" s="3960">
        <v>0</v>
      </c>
      <c r="D15" s="3960">
        <v>0</v>
      </c>
      <c r="E15" s="3851">
        <f t="shared" si="1"/>
        <v>0</v>
      </c>
      <c r="F15" s="1903" t="str">
        <f>'NIR faktorer'!D199</f>
        <v>NO</v>
      </c>
      <c r="G15" s="1888" t="str">
        <f>'NIR faktorer'!D209</f>
        <v>NO</v>
      </c>
      <c r="H15" s="1904" t="str">
        <f>'NIR faktorer'!D219</f>
        <v>NO</v>
      </c>
      <c r="I15" s="1903" t="str">
        <f>'NIR faktorer'!D229</f>
        <v>NO</v>
      </c>
      <c r="J15" s="1905" t="str">
        <f>'NIR faktorer'!D239</f>
        <v>NO</v>
      </c>
      <c r="K15" s="1892" t="str">
        <f>'NIR faktorer'!D249</f>
        <v>NO</v>
      </c>
      <c r="L15" s="1905" t="str">
        <f>'NIR faktorer'!D259</f>
        <v>NO</v>
      </c>
      <c r="M15" s="3849" t="s">
        <v>259</v>
      </c>
      <c r="N15" s="3850" t="s">
        <v>259</v>
      </c>
      <c r="O15" s="3851">
        <f t="shared" si="2"/>
        <v>0</v>
      </c>
      <c r="P15" s="3849" t="str">
        <f t="shared" si="3"/>
        <v>NA</v>
      </c>
      <c r="Q15" s="3851" t="str">
        <f t="shared" si="4"/>
        <v>NA</v>
      </c>
      <c r="R15" s="3849" t="str">
        <f t="shared" si="7"/>
        <v>NA</v>
      </c>
      <c r="S15" s="3851" t="str">
        <f t="shared" si="5"/>
        <v>NA</v>
      </c>
      <c r="T15" s="3849">
        <f t="shared" si="8"/>
        <v>0</v>
      </c>
      <c r="U15" s="3850">
        <f t="shared" si="6"/>
        <v>0</v>
      </c>
      <c r="V15" s="3851" t="str">
        <f>IFERROR(U15/B15,"NA")</f>
        <v>NA</v>
      </c>
    </row>
    <row r="16" spans="1:22" s="1884" customFormat="1" x14ac:dyDescent="0.25">
      <c r="A16" s="3999" t="s">
        <v>868</v>
      </c>
      <c r="B16" s="3994">
        <v>0</v>
      </c>
      <c r="C16" s="3960">
        <v>0</v>
      </c>
      <c r="D16" s="3960">
        <v>0</v>
      </c>
      <c r="E16" s="3851">
        <f t="shared" si="1"/>
        <v>0</v>
      </c>
      <c r="F16" s="1903" t="str">
        <f>'NIR faktorer'!D200</f>
        <v>NO</v>
      </c>
      <c r="G16" s="1888" t="str">
        <f>'NIR faktorer'!D210</f>
        <v>NO</v>
      </c>
      <c r="H16" s="1904" t="str">
        <f>'NIR faktorer'!D220</f>
        <v>NO</v>
      </c>
      <c r="I16" s="1903" t="str">
        <f>'NIR faktorer'!D230</f>
        <v>NO</v>
      </c>
      <c r="J16" s="1905" t="str">
        <f>'NIR faktorer'!D240</f>
        <v>NO</v>
      </c>
      <c r="K16" s="1892" t="str">
        <f>'NIR faktorer'!D250</f>
        <v>NO</v>
      </c>
      <c r="L16" s="1905" t="str">
        <f>'NIR faktorer'!D260</f>
        <v>NO</v>
      </c>
      <c r="M16" s="3849" t="s">
        <v>259</v>
      </c>
      <c r="N16" s="3850" t="s">
        <v>259</v>
      </c>
      <c r="O16" s="3851">
        <f t="shared" si="2"/>
        <v>0</v>
      </c>
      <c r="P16" s="3849" t="str">
        <f t="shared" si="3"/>
        <v>NA</v>
      </c>
      <c r="Q16" s="3851" t="str">
        <f t="shared" si="4"/>
        <v>NA</v>
      </c>
      <c r="R16" s="3849" t="str">
        <f t="shared" si="7"/>
        <v>NA</v>
      </c>
      <c r="S16" s="3851" t="str">
        <f t="shared" si="5"/>
        <v>NA</v>
      </c>
      <c r="T16" s="3849">
        <f t="shared" si="8"/>
        <v>0</v>
      </c>
      <c r="U16" s="3850">
        <f>T16*-(44/12)</f>
        <v>0</v>
      </c>
      <c r="V16" s="3851" t="str">
        <f t="shared" si="0"/>
        <v>NA</v>
      </c>
    </row>
    <row r="17" spans="1:22" s="1884" customFormat="1" x14ac:dyDescent="0.25">
      <c r="A17" s="3999" t="s">
        <v>857</v>
      </c>
      <c r="B17" s="3994">
        <v>0</v>
      </c>
      <c r="C17" s="3960">
        <v>0</v>
      </c>
      <c r="D17" s="3960">
        <v>0</v>
      </c>
      <c r="E17" s="3851">
        <f t="shared" si="1"/>
        <v>0</v>
      </c>
      <c r="F17" s="1903" t="str">
        <f>'NIR faktorer'!D201</f>
        <v>NO</v>
      </c>
      <c r="G17" s="1888" t="str">
        <f>'NIR faktorer'!D211</f>
        <v>NO</v>
      </c>
      <c r="H17" s="1904" t="str">
        <f>'NIR faktorer'!D221</f>
        <v>NO</v>
      </c>
      <c r="I17" s="1903" t="str">
        <f>'NIR faktorer'!D231</f>
        <v>NO</v>
      </c>
      <c r="J17" s="1905" t="str">
        <f>'NIR faktorer'!D241</f>
        <v>NO</v>
      </c>
      <c r="K17" s="1892" t="str">
        <f>'NIR faktorer'!D251</f>
        <v>NO</v>
      </c>
      <c r="L17" s="1905" t="str">
        <f>'NIR faktorer'!D261</f>
        <v>NO</v>
      </c>
      <c r="M17" s="3849" t="s">
        <v>259</v>
      </c>
      <c r="N17" s="3850" t="s">
        <v>259</v>
      </c>
      <c r="O17" s="3851">
        <f t="shared" si="2"/>
        <v>0</v>
      </c>
      <c r="P17" s="3849" t="str">
        <f t="shared" si="3"/>
        <v>NA</v>
      </c>
      <c r="Q17" s="3851" t="str">
        <f t="shared" si="4"/>
        <v>NA</v>
      </c>
      <c r="R17" s="3849" t="str">
        <f t="shared" si="7"/>
        <v>NA</v>
      </c>
      <c r="S17" s="3851" t="str">
        <f t="shared" si="5"/>
        <v>NA</v>
      </c>
      <c r="T17" s="3849">
        <f t="shared" si="8"/>
        <v>0</v>
      </c>
      <c r="U17" s="3850">
        <f t="shared" si="6"/>
        <v>0</v>
      </c>
      <c r="V17" s="3851" t="str">
        <f t="shared" si="0"/>
        <v>NA</v>
      </c>
    </row>
    <row r="18" spans="1:22" s="1884" customFormat="1" ht="15.75" thickBot="1" x14ac:dyDescent="0.3">
      <c r="A18" s="4000" t="s">
        <v>867</v>
      </c>
      <c r="B18" s="3996">
        <v>6.25E-2</v>
      </c>
      <c r="C18" s="3976">
        <v>0</v>
      </c>
      <c r="D18" s="3976">
        <v>6.25E-2</v>
      </c>
      <c r="E18" s="3856">
        <f t="shared" si="1"/>
        <v>0</v>
      </c>
      <c r="F18" s="1909" t="str">
        <f>'NIR faktorer'!D202</f>
        <v>NO</v>
      </c>
      <c r="G18" s="1910" t="str">
        <f>'NIR faktorer'!D212</f>
        <v>NO</v>
      </c>
      <c r="H18" s="1911" t="str">
        <f>'NIR faktorer'!D222</f>
        <v>NO</v>
      </c>
      <c r="I18" s="1909" t="str">
        <f>'NIR faktorer'!D232</f>
        <v>NO</v>
      </c>
      <c r="J18" s="1912" t="str">
        <f>'NIR faktorer'!D242</f>
        <v>NO</v>
      </c>
      <c r="K18" s="1913" t="str">
        <f>'NIR faktorer'!D252</f>
        <v>NO</v>
      </c>
      <c r="L18" s="1912" t="str">
        <f>'NIR faktorer'!D262</f>
        <v>NO</v>
      </c>
      <c r="M18" s="1914" t="s">
        <v>259</v>
      </c>
      <c r="N18" s="3855" t="s">
        <v>259</v>
      </c>
      <c r="O18" s="3856">
        <f t="shared" si="2"/>
        <v>0</v>
      </c>
      <c r="P18" s="1914" t="str">
        <f t="shared" si="3"/>
        <v>NA</v>
      </c>
      <c r="Q18" s="3856" t="str">
        <f t="shared" si="4"/>
        <v>NA</v>
      </c>
      <c r="R18" s="1914" t="str">
        <f t="shared" si="7"/>
        <v>NA</v>
      </c>
      <c r="S18" s="3856" t="str">
        <f t="shared" si="5"/>
        <v>NA</v>
      </c>
      <c r="T18" s="1914">
        <f t="shared" si="8"/>
        <v>0</v>
      </c>
      <c r="U18" s="3855">
        <f t="shared" si="6"/>
        <v>0</v>
      </c>
      <c r="V18" s="3856">
        <f t="shared" si="0"/>
        <v>0</v>
      </c>
    </row>
    <row r="19" spans="1:22" s="1779" customFormat="1" ht="42.75" customHeight="1" x14ac:dyDescent="0.25">
      <c r="A19" s="1915"/>
      <c r="B19" s="1916"/>
      <c r="C19" s="1916"/>
      <c r="D19" s="1916"/>
      <c r="E19" s="1916"/>
      <c r="T19" s="1884"/>
    </row>
    <row r="20" spans="1:22" s="1779" customFormat="1" ht="61.15" customHeight="1" x14ac:dyDescent="0.25">
      <c r="A20" s="1012" t="s">
        <v>2257</v>
      </c>
      <c r="B20" s="5289" t="s">
        <v>4889</v>
      </c>
      <c r="C20" s="5290"/>
      <c r="D20" s="5290"/>
      <c r="E20" s="5291"/>
      <c r="F20" s="5292" t="str">
        <f>'NIR faktorer'!D264</f>
        <v xml:space="preserve"> NIR 2020 (2018) CRF tabel 4A</v>
      </c>
      <c r="G20" s="5293"/>
      <c r="H20" s="5293"/>
      <c r="I20" s="5293"/>
      <c r="J20" s="5293"/>
      <c r="K20" s="5293"/>
      <c r="L20" s="5294"/>
      <c r="T20" s="1884"/>
      <c r="U20" s="1765" t="s">
        <v>2256</v>
      </c>
      <c r="V20" s="1765" t="s">
        <v>2256</v>
      </c>
    </row>
    <row r="21" spans="1:22" s="1779" customFormat="1" x14ac:dyDescent="0.25">
      <c r="A21" s="1011" t="s">
        <v>2255</v>
      </c>
      <c r="B21" s="1010" t="s">
        <v>4946</v>
      </c>
      <c r="C21" s="1010"/>
      <c r="D21" s="1010"/>
      <c r="E21" s="1010"/>
    </row>
  </sheetData>
  <mergeCells count="8">
    <mergeCell ref="M7:O7"/>
    <mergeCell ref="P7:Q7"/>
    <mergeCell ref="R7:S7"/>
    <mergeCell ref="B20:E20"/>
    <mergeCell ref="F20:L20"/>
    <mergeCell ref="F7:H7"/>
    <mergeCell ref="I7:J7"/>
    <mergeCell ref="K7:L7"/>
  </mergeCells>
  <hyperlinks>
    <hyperlink ref="A2" location="Index!A1" display="Til index" xr:uid="{49551C33-35EF-4773-880E-82E230BDCCF5}"/>
  </hyperlinks>
  <pageMargins left="0.7" right="0.7" top="0.75" bottom="0.75" header="0.3" footer="0.3"/>
  <pageSetup paperSize="8" scale="58"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4860A-4F25-469B-95CE-C77F50613ABF}">
  <sheetPr codeName="Ark92">
    <tabColor theme="4" tint="-0.249977111117893"/>
    <pageSetUpPr fitToPage="1"/>
  </sheetPr>
  <dimension ref="A1:V21"/>
  <sheetViews>
    <sheetView showGridLines="0" zoomScale="85" zoomScaleNormal="85" workbookViewId="0">
      <pane xSplit="1" topLeftCell="J1" activePane="topRight" state="frozen"/>
      <selection activeCell="H40" sqref="H40:J40"/>
      <selection pane="topRight" activeCell="A2" sqref="A2"/>
    </sheetView>
  </sheetViews>
  <sheetFormatPr defaultColWidth="8.7109375" defaultRowHeight="15" x14ac:dyDescent="0.25"/>
  <cols>
    <col min="1" max="1" width="35.140625" style="1777" customWidth="1"/>
    <col min="2" max="2" width="31.85546875" style="1777" customWidth="1"/>
    <col min="3" max="3" width="17.7109375" style="1777" bestFit="1" customWidth="1"/>
    <col min="4" max="4" width="18.5703125" style="1777" bestFit="1" customWidth="1"/>
    <col min="5" max="5" width="18.5703125" style="1777" customWidth="1"/>
    <col min="6" max="8" width="26.5703125" style="1777" customWidth="1"/>
    <col min="9" max="10" width="22" style="1777" customWidth="1"/>
    <col min="11" max="12" width="22.28515625" style="1777" customWidth="1"/>
    <col min="13" max="15" width="17.42578125" style="1777" customWidth="1"/>
    <col min="16" max="16" width="19.85546875" style="1777" customWidth="1"/>
    <col min="17" max="17" width="19" style="1777" customWidth="1"/>
    <col min="18" max="18" width="20.5703125" style="1777" customWidth="1"/>
    <col min="19" max="19" width="24.85546875" style="1777" customWidth="1"/>
    <col min="20" max="20" width="25.5703125" style="1777" customWidth="1"/>
    <col min="21" max="21" width="17.85546875" style="1777" customWidth="1"/>
    <col min="22" max="22" width="18.140625" style="1777" customWidth="1"/>
    <col min="23" max="23" width="42.5703125" style="1777" customWidth="1"/>
    <col min="24" max="16384" width="8.7109375" style="1777"/>
  </cols>
  <sheetData>
    <row r="1" spans="1:22" s="1866" customFormat="1" ht="54" customHeight="1" x14ac:dyDescent="0.35">
      <c r="B1" s="1007" t="s">
        <v>2260</v>
      </c>
    </row>
    <row r="2" spans="1:22" s="1779" customFormat="1" ht="21" x14ac:dyDescent="0.35">
      <c r="A2" s="1740" t="s">
        <v>4206</v>
      </c>
    </row>
    <row r="3" spans="1:22" s="1779" customFormat="1" x14ac:dyDescent="0.25">
      <c r="A3" s="3680"/>
      <c r="B3" s="1779" t="str">
        <f>'K1 2018G'!B3</f>
        <v>Tal fra register</v>
      </c>
    </row>
    <row r="4" spans="1:22" s="1779" customFormat="1" x14ac:dyDescent="0.25">
      <c r="A4" s="1484"/>
      <c r="B4" s="1779" t="str">
        <f>'K1 2018G'!B4</f>
        <v>Overført til regnskab</v>
      </c>
    </row>
    <row r="5" spans="1:22" s="1010" customFormat="1" ht="12" x14ac:dyDescent="0.2">
      <c r="A5" s="1090" t="s">
        <v>2320</v>
      </c>
      <c r="B5" s="1090" t="s">
        <v>2319</v>
      </c>
      <c r="C5" s="1089"/>
      <c r="D5" s="1089"/>
      <c r="E5" s="1089"/>
      <c r="F5" s="1089"/>
      <c r="G5" s="1089"/>
      <c r="H5" s="1089"/>
      <c r="I5" s="1089"/>
      <c r="J5" s="1089"/>
      <c r="K5" s="1089"/>
      <c r="L5" s="1089"/>
    </row>
    <row r="6" spans="1:22" s="1010" customFormat="1" ht="12" x14ac:dyDescent="0.2">
      <c r="A6" s="1090"/>
      <c r="B6" s="1090"/>
      <c r="C6" s="1089"/>
      <c r="D6" s="1089"/>
      <c r="E6" s="1089"/>
      <c r="F6" s="1089"/>
      <c r="G6" s="1089"/>
      <c r="H6" s="1089"/>
      <c r="I6" s="1089"/>
      <c r="J6" s="1089"/>
      <c r="K6" s="1089"/>
      <c r="L6" s="1089"/>
    </row>
    <row r="7" spans="1:22" s="1779" customFormat="1" ht="33" customHeight="1" thickBot="1" x14ac:dyDescent="0.3">
      <c r="A7" s="1019"/>
      <c r="F7" s="5295" t="s">
        <v>2259</v>
      </c>
      <c r="G7" s="5296"/>
      <c r="H7" s="5288"/>
      <c r="I7" s="5286"/>
      <c r="J7" s="5286"/>
      <c r="K7" s="5295" t="s">
        <v>2258</v>
      </c>
      <c r="L7" s="5288"/>
      <c r="M7" s="5283" t="s">
        <v>2305</v>
      </c>
      <c r="N7" s="5284"/>
      <c r="O7" s="5285"/>
      <c r="P7" s="5286"/>
      <c r="Q7" s="5286"/>
      <c r="R7" s="5287" t="s">
        <v>4756</v>
      </c>
      <c r="S7" s="5288"/>
    </row>
    <row r="8" spans="1:22" s="1014" customFormat="1" ht="69" customHeight="1" thickBot="1" x14ac:dyDescent="0.3">
      <c r="A8" s="1018" t="s">
        <v>880</v>
      </c>
      <c r="B8" s="1015" t="s">
        <v>4858</v>
      </c>
      <c r="C8" s="1762" t="s">
        <v>4840</v>
      </c>
      <c r="D8" s="1762" t="s">
        <v>4841</v>
      </c>
      <c r="E8" s="1763" t="s">
        <v>4842</v>
      </c>
      <c r="F8" s="1015" t="s">
        <v>4843</v>
      </c>
      <c r="G8" s="1762" t="s">
        <v>4844</v>
      </c>
      <c r="H8" s="1016" t="s">
        <v>4845</v>
      </c>
      <c r="I8" s="1015" t="s">
        <v>4846</v>
      </c>
      <c r="J8" s="1763" t="s">
        <v>4847</v>
      </c>
      <c r="K8" s="1017" t="s">
        <v>4848</v>
      </c>
      <c r="L8" s="1763" t="s">
        <v>4849</v>
      </c>
      <c r="M8" s="1017" t="s">
        <v>4850</v>
      </c>
      <c r="N8" s="1762" t="s">
        <v>4851</v>
      </c>
      <c r="O8" s="1763" t="s">
        <v>4852</v>
      </c>
      <c r="P8" s="1015" t="s">
        <v>4853</v>
      </c>
      <c r="Q8" s="1763" t="s">
        <v>4854</v>
      </c>
      <c r="R8" s="1762" t="s">
        <v>4857</v>
      </c>
      <c r="S8" s="1016" t="s">
        <v>4855</v>
      </c>
      <c r="T8" s="1407" t="s">
        <v>4856</v>
      </c>
      <c r="U8" s="3859" t="s">
        <v>4911</v>
      </c>
      <c r="V8" s="3858" t="s">
        <v>4995</v>
      </c>
    </row>
    <row r="9" spans="1:22" s="1884" customFormat="1" ht="21.75" customHeight="1" x14ac:dyDescent="0.25">
      <c r="A9" s="1875" t="s">
        <v>875</v>
      </c>
      <c r="B9" s="3860">
        <f>$B$10+$B$12+$B$13+$B$14+$B$15+$B$16+$B$17+$B$18</f>
        <v>3660</v>
      </c>
      <c r="C9" s="3992">
        <f>C10+C12+C13+C14+C15+C16+C17+C18</f>
        <v>0</v>
      </c>
      <c r="D9" s="3861">
        <f>D10+D12+D13+D14+D15+D16+D17+D18</f>
        <v>3658.75</v>
      </c>
      <c r="E9" s="3862">
        <f>B9-C9-D9</f>
        <v>1.25</v>
      </c>
      <c r="F9" s="1879" t="str">
        <f>'NIR faktorer'!D193</f>
        <v/>
      </c>
      <c r="G9" s="1880" t="str">
        <f>'NIR faktorer'!D203</f>
        <v/>
      </c>
      <c r="H9" s="1881" t="str">
        <f>'NIR faktorer'!D213</f>
        <v/>
      </c>
      <c r="I9" s="1879" t="str">
        <f>'NIR faktorer'!D223</f>
        <v/>
      </c>
      <c r="J9" s="1882" t="str">
        <f>'NIR faktorer'!D233</f>
        <v/>
      </c>
      <c r="K9" s="1883" t="str">
        <f>'NIR faktorer'!D243</f>
        <v/>
      </c>
      <c r="L9" s="1882" t="str">
        <f>'NIR faktorer'!D253</f>
        <v/>
      </c>
      <c r="M9" s="1879"/>
      <c r="N9" s="1880"/>
      <c r="O9" s="1882"/>
      <c r="P9" s="1879"/>
      <c r="Q9" s="1882"/>
      <c r="R9" s="1879"/>
      <c r="S9" s="1882"/>
      <c r="T9" s="1876">
        <f>T10+T11</f>
        <v>-194.92979384511273</v>
      </c>
      <c r="U9" s="1877">
        <f>U10+U11</f>
        <v>714.74257743208</v>
      </c>
      <c r="V9" s="1878">
        <f>IFERROR(U9/B9,"NA")</f>
        <v>0.19528485722187977</v>
      </c>
    </row>
    <row r="10" spans="1:22" s="1884" customFormat="1" ht="21" customHeight="1" x14ac:dyDescent="0.25">
      <c r="A10" s="1885" t="s">
        <v>874</v>
      </c>
      <c r="B10" s="4001">
        <v>3163.8125</v>
      </c>
      <c r="C10" s="3960">
        <v>0</v>
      </c>
      <c r="D10" s="3960">
        <v>3162.625</v>
      </c>
      <c r="E10" s="3851">
        <f>B10-C10-D10</f>
        <v>1.1875</v>
      </c>
      <c r="F10" s="1020">
        <f>'NIR faktorer'!D194</f>
        <v>1.2553517570647501</v>
      </c>
      <c r="G10" s="1888" t="str">
        <f>'NIR faktorer'!D204</f>
        <v>NO</v>
      </c>
      <c r="H10" s="1889">
        <f>'NIR faktorer'!D214</f>
        <v>1.2553517570647501</v>
      </c>
      <c r="I10" s="1890">
        <f>'NIR faktorer'!D224</f>
        <v>-9.7953953314079995E-2</v>
      </c>
      <c r="J10" s="1891">
        <f>'NIR faktorer'!D234</f>
        <v>-1.3358945644382401</v>
      </c>
      <c r="K10" s="1892" t="str">
        <f>'NIR faktorer'!D244</f>
        <v>NA</v>
      </c>
      <c r="L10" s="1891">
        <f>'NIR faktorer'!D254</f>
        <v>-1.29999999998315</v>
      </c>
      <c r="M10" s="3849">
        <f>IFERROR(B10*F10,"NA")</f>
        <v>3971.6975808984198</v>
      </c>
      <c r="N10" s="3850" t="str">
        <f>IFERROR(B10*G10,"NA")</f>
        <v>NA</v>
      </c>
      <c r="O10" s="3851">
        <f>SUBTOTAL(9,M10:N10)</f>
        <v>3971.6975808984198</v>
      </c>
      <c r="P10" s="3849">
        <f t="shared" ref="P10" si="0">IFERROR($B10*I10,"NA")</f>
        <v>-309.90794191950272</v>
      </c>
      <c r="Q10" s="3851">
        <f t="shared" ref="Q10" si="1">IFERROR($B10*J10,"NA")</f>
        <v>-4226.5199216517594</v>
      </c>
      <c r="R10" s="3849" t="str">
        <f>IFERROR(D10*K10,"NA")</f>
        <v>NA</v>
      </c>
      <c r="S10" s="3851">
        <f t="shared" ref="S10" si="2">IFERROR(C10*L10,"NA")</f>
        <v>0</v>
      </c>
      <c r="T10" s="1894">
        <f>SUM(O10:S10)</f>
        <v>-564.73028267284235</v>
      </c>
      <c r="U10" s="1895">
        <f t="shared" ref="U10:U18" si="3">T10*-(44/12)</f>
        <v>2070.6777031337551</v>
      </c>
      <c r="V10" s="1896">
        <f t="shared" ref="V10:V18" si="4">IFERROR(U10/B10,"NA")</f>
        <v>0.65448812252108968</v>
      </c>
    </row>
    <row r="11" spans="1:22" s="1884" customFormat="1" ht="25.5" customHeight="1" x14ac:dyDescent="0.25">
      <c r="A11" s="1885" t="s">
        <v>873</v>
      </c>
      <c r="B11" s="3849">
        <f>SUM(B12:B18)</f>
        <v>496.1875</v>
      </c>
      <c r="C11" s="3850">
        <f>SUM(C12:C18)</f>
        <v>0</v>
      </c>
      <c r="D11" s="3850">
        <f>SUM(D12:D18)</f>
        <v>496.125</v>
      </c>
      <c r="E11" s="3851">
        <f>SUM(E12:E18)</f>
        <v>6.25E-2</v>
      </c>
      <c r="F11" s="1897" t="str">
        <f>'NIR faktorer'!D195</f>
        <v/>
      </c>
      <c r="G11" s="1898" t="str">
        <f>'NIR faktorer'!D205</f>
        <v/>
      </c>
      <c r="H11" s="1899" t="str">
        <f>'NIR faktorer'!D215</f>
        <v/>
      </c>
      <c r="I11" s="1897" t="str">
        <f>'NIR faktorer'!D225</f>
        <v/>
      </c>
      <c r="J11" s="1900" t="str">
        <f>'NIR faktorer'!D235</f>
        <v/>
      </c>
      <c r="K11" s="1901" t="str">
        <f>'NIR faktorer'!D245</f>
        <v/>
      </c>
      <c r="L11" s="1900" t="str">
        <f>'NIR faktorer'!D255</f>
        <v/>
      </c>
      <c r="M11" s="3852"/>
      <c r="N11" s="3853"/>
      <c r="O11" s="3854"/>
      <c r="P11" s="3852"/>
      <c r="Q11" s="3854"/>
      <c r="R11" s="3852"/>
      <c r="S11" s="3854"/>
      <c r="T11" s="1894">
        <f>SUM(T12:T18)</f>
        <v>369.80048882772962</v>
      </c>
      <c r="U11" s="1895">
        <f t="shared" si="3"/>
        <v>-1355.9351257016751</v>
      </c>
      <c r="V11" s="1896">
        <f t="shared" si="4"/>
        <v>-2.7327071433715582</v>
      </c>
    </row>
    <row r="12" spans="1:22" s="1884" customFormat="1" x14ac:dyDescent="0.25">
      <c r="A12" s="1902" t="s">
        <v>872</v>
      </c>
      <c r="B12" s="4001">
        <v>380.9375</v>
      </c>
      <c r="C12" s="3960">
        <v>0</v>
      </c>
      <c r="D12" s="3960">
        <v>380.875</v>
      </c>
      <c r="E12" s="3851">
        <f t="shared" ref="E12:E18" si="5">B12-C12-D12</f>
        <v>6.25E-2</v>
      </c>
      <c r="F12" s="1020">
        <f>'NIR faktorer'!D196</f>
        <v>0.82247632357768996</v>
      </c>
      <c r="G12" s="1024">
        <f>'NIR faktorer'!D206</f>
        <v>-0.15331466993166001</v>
      </c>
      <c r="H12" s="1705">
        <f>'NIR faktorer'!D216</f>
        <v>0.66916165364602997</v>
      </c>
      <c r="I12" s="1021">
        <f>'NIR faktorer'!D226</f>
        <v>-2.8575816589899998E-3</v>
      </c>
      <c r="J12" s="1026">
        <f>'NIR faktorer'!D236</f>
        <v>-7.9111546554760007E-2</v>
      </c>
      <c r="K12" s="1027">
        <f>'NIR faktorer'!D246</f>
        <v>0.17406331988971999</v>
      </c>
      <c r="L12" s="1026">
        <f>'NIR faktorer'!D256</f>
        <v>-1.2638168035934101</v>
      </c>
      <c r="M12" s="3849">
        <f t="shared" ref="M12" si="6">IFERROR(B12*F12,"NA")</f>
        <v>313.31207451287628</v>
      </c>
      <c r="N12" s="3850">
        <f>IFERROR(B12*G12,"NA")</f>
        <v>-58.403307077091739</v>
      </c>
      <c r="O12" s="3851">
        <f t="shared" ref="O12:O18" si="7">SUBTOTAL(9,M12:N12)</f>
        <v>254.90876743578454</v>
      </c>
      <c r="P12" s="3857">
        <f>IFERROR($B12*I12,"NA")</f>
        <v>-1.088560013221503</v>
      </c>
      <c r="Q12" s="3851">
        <f>IFERROR($B12*J12,"NA")</f>
        <v>-30.136554765703892</v>
      </c>
      <c r="R12" s="3849">
        <f>IFERROR(D12*K12,"NA")</f>
        <v>66.296366962997098</v>
      </c>
      <c r="S12" s="3851">
        <f>IFERROR(C12*L12,"NA")</f>
        <v>0</v>
      </c>
      <c r="T12" s="1893">
        <f>SUM(O12:S12)</f>
        <v>289.98001961985625</v>
      </c>
      <c r="U12" s="1886">
        <f t="shared" si="3"/>
        <v>-1063.2600719394729</v>
      </c>
      <c r="V12" s="1887">
        <f t="shared" si="4"/>
        <v>-2.7911667187910694</v>
      </c>
    </row>
    <row r="13" spans="1:22" s="1884" customFormat="1" x14ac:dyDescent="0.25">
      <c r="A13" s="1902" t="s">
        <v>871</v>
      </c>
      <c r="B13" s="4001">
        <v>113.5</v>
      </c>
      <c r="C13" s="3960">
        <v>0</v>
      </c>
      <c r="D13" s="3960">
        <v>113.5</v>
      </c>
      <c r="E13" s="3851">
        <f t="shared" si="5"/>
        <v>0</v>
      </c>
      <c r="F13" s="1021">
        <f>'NIR faktorer'!D197</f>
        <v>0.95216711824668998</v>
      </c>
      <c r="G13" s="1024">
        <f>'NIR faktorer'!D207</f>
        <v>-0.16289308446433001</v>
      </c>
      <c r="H13" s="1025">
        <f>'NIR faktorer'!D217</f>
        <v>0.78927403378236005</v>
      </c>
      <c r="I13" s="1021">
        <f>'NIR faktorer'!D227</f>
        <v>-3.34165038412E-3</v>
      </c>
      <c r="J13" s="1026">
        <f>'NIR faktorer'!D237</f>
        <v>-9.2512887284920006E-2</v>
      </c>
      <c r="K13" s="1027" t="str">
        <f>'NIR faktorer'!D247</f>
        <v>NO</v>
      </c>
      <c r="L13" s="1026">
        <f>'NIR faktorer'!D257</f>
        <v>-1.1206322829978701</v>
      </c>
      <c r="M13" s="3849">
        <f t="shared" ref="M13:M18" si="8">IFERROR(B13*F13,"NA")</f>
        <v>108.07096792099931</v>
      </c>
      <c r="N13" s="3850">
        <f t="shared" ref="N13:N18" si="9">IFERROR(B13*G13,"NA")</f>
        <v>-18.488365086701457</v>
      </c>
      <c r="O13" s="3851">
        <f t="shared" si="7"/>
        <v>89.582602834297859</v>
      </c>
      <c r="P13" s="3849">
        <f t="shared" ref="P13:P18" si="10">IFERROR($B13*I13,"NA")</f>
        <v>-0.37927731859761998</v>
      </c>
      <c r="Q13" s="3851">
        <f t="shared" ref="Q13:Q18" si="11">IFERROR($B13*J13,"NA")</f>
        <v>-10.50021270683842</v>
      </c>
      <c r="R13" s="3849" t="str">
        <f t="shared" ref="R13:R18" si="12">IFERROR(D13*K13,"NA")</f>
        <v>NA</v>
      </c>
      <c r="S13" s="3851">
        <f t="shared" ref="S13:S17" si="13">IFERROR(C13*L13,"NA")</f>
        <v>0</v>
      </c>
      <c r="T13" s="1893">
        <f t="shared" ref="T13:T18" si="14">SUM(O13:S13)</f>
        <v>78.703112808861817</v>
      </c>
      <c r="U13" s="1886">
        <f t="shared" si="3"/>
        <v>-288.57808029915998</v>
      </c>
      <c r="V13" s="1887">
        <f t="shared" si="4"/>
        <v>-2.5425381524155064</v>
      </c>
    </row>
    <row r="14" spans="1:22" s="1884" customFormat="1" x14ac:dyDescent="0.25">
      <c r="A14" s="1902" t="s">
        <v>870</v>
      </c>
      <c r="B14" s="4001">
        <v>1.6875</v>
      </c>
      <c r="C14" s="3960">
        <v>0</v>
      </c>
      <c r="D14" s="3960">
        <v>1.6875</v>
      </c>
      <c r="E14" s="3851">
        <f t="shared" si="5"/>
        <v>0</v>
      </c>
      <c r="F14" s="1021">
        <f>'NIR faktorer'!D198</f>
        <v>0.73650195589039003</v>
      </c>
      <c r="G14" s="1024" t="str">
        <f>'NIR faktorer'!D208</f>
        <v>NO</v>
      </c>
      <c r="H14" s="1025">
        <f>'NIR faktorer'!D218</f>
        <v>0.73650195589039003</v>
      </c>
      <c r="I14" s="1021">
        <f>'NIR faktorer'!D228</f>
        <v>-2.59248305415E-3</v>
      </c>
      <c r="J14" s="1026">
        <f>'NIR faktorer'!D238</f>
        <v>-7.1772347496070005E-2</v>
      </c>
      <c r="K14" s="1027" t="str">
        <f>'NIR faktorer'!D248</f>
        <v>NO</v>
      </c>
      <c r="L14" s="1026">
        <f>'NIR faktorer'!D258</f>
        <v>-0.95975455201717996</v>
      </c>
      <c r="M14" s="3849">
        <f t="shared" si="8"/>
        <v>1.2428470505650331</v>
      </c>
      <c r="N14" s="3850" t="str">
        <f t="shared" si="9"/>
        <v>NA</v>
      </c>
      <c r="O14" s="3851">
        <f>SUBTOTAL(9,M14:N14)</f>
        <v>1.2428470505650331</v>
      </c>
      <c r="P14" s="3849">
        <f t="shared" si="10"/>
        <v>-4.3748151538781253E-3</v>
      </c>
      <c r="Q14" s="3851">
        <f t="shared" si="11"/>
        <v>-0.12111583639961813</v>
      </c>
      <c r="R14" s="3849" t="str">
        <f t="shared" si="12"/>
        <v>NA</v>
      </c>
      <c r="S14" s="3851">
        <f t="shared" si="13"/>
        <v>0</v>
      </c>
      <c r="T14" s="1893">
        <f t="shared" si="14"/>
        <v>1.1173563990115369</v>
      </c>
      <c r="U14" s="1886">
        <f t="shared" si="3"/>
        <v>-4.0969734630423016</v>
      </c>
      <c r="V14" s="1887">
        <f t="shared" si="4"/>
        <v>-2.4278361262472896</v>
      </c>
    </row>
    <row r="15" spans="1:22" s="1884" customFormat="1" x14ac:dyDescent="0.25">
      <c r="A15" s="1902" t="s">
        <v>869</v>
      </c>
      <c r="B15" s="4001">
        <v>0</v>
      </c>
      <c r="C15" s="3960">
        <v>0</v>
      </c>
      <c r="D15" s="3960">
        <v>0</v>
      </c>
      <c r="E15" s="3851">
        <f t="shared" si="5"/>
        <v>0</v>
      </c>
      <c r="F15" s="1903" t="str">
        <f>'NIR faktorer'!D199</f>
        <v>NO</v>
      </c>
      <c r="G15" s="1888" t="str">
        <f>'NIR faktorer'!D209</f>
        <v>NO</v>
      </c>
      <c r="H15" s="1904" t="str">
        <f>'NIR faktorer'!D219</f>
        <v>NO</v>
      </c>
      <c r="I15" s="1903" t="str">
        <f>'NIR faktorer'!D229</f>
        <v>NO</v>
      </c>
      <c r="J15" s="1905" t="str">
        <f>'NIR faktorer'!D239</f>
        <v>NO</v>
      </c>
      <c r="K15" s="1892" t="str">
        <f>'NIR faktorer'!D249</f>
        <v>NO</v>
      </c>
      <c r="L15" s="1905" t="str">
        <f>'NIR faktorer'!D259</f>
        <v>NO</v>
      </c>
      <c r="M15" s="3849" t="str">
        <f t="shared" si="8"/>
        <v>NA</v>
      </c>
      <c r="N15" s="3850" t="str">
        <f t="shared" si="9"/>
        <v>NA</v>
      </c>
      <c r="O15" s="3851">
        <f t="shared" si="7"/>
        <v>0</v>
      </c>
      <c r="P15" s="3849" t="str">
        <f t="shared" si="10"/>
        <v>NA</v>
      </c>
      <c r="Q15" s="3851" t="str">
        <f t="shared" si="11"/>
        <v>NA</v>
      </c>
      <c r="R15" s="3849" t="str">
        <f t="shared" si="12"/>
        <v>NA</v>
      </c>
      <c r="S15" s="3851" t="str">
        <f t="shared" si="13"/>
        <v>NA</v>
      </c>
      <c r="T15" s="1893">
        <f t="shared" si="14"/>
        <v>0</v>
      </c>
      <c r="U15" s="1886">
        <f t="shared" si="3"/>
        <v>0</v>
      </c>
      <c r="V15" s="1887" t="str">
        <f t="shared" si="4"/>
        <v>NA</v>
      </c>
    </row>
    <row r="16" spans="1:22" s="1884" customFormat="1" x14ac:dyDescent="0.25">
      <c r="A16" s="1902" t="s">
        <v>868</v>
      </c>
      <c r="B16" s="4001">
        <v>0</v>
      </c>
      <c r="C16" s="3960">
        <v>0</v>
      </c>
      <c r="D16" s="3960">
        <v>0</v>
      </c>
      <c r="E16" s="3851">
        <f t="shared" si="5"/>
        <v>0</v>
      </c>
      <c r="F16" s="1903" t="str">
        <f>'NIR faktorer'!D200</f>
        <v>NO</v>
      </c>
      <c r="G16" s="1888" t="str">
        <f>'NIR faktorer'!D210</f>
        <v>NO</v>
      </c>
      <c r="H16" s="1904" t="str">
        <f>'NIR faktorer'!D220</f>
        <v>NO</v>
      </c>
      <c r="I16" s="1903" t="str">
        <f>'NIR faktorer'!D230</f>
        <v>NO</v>
      </c>
      <c r="J16" s="1905" t="str">
        <f>'NIR faktorer'!D240</f>
        <v>NO</v>
      </c>
      <c r="K16" s="1892" t="str">
        <f>'NIR faktorer'!D250</f>
        <v>NO</v>
      </c>
      <c r="L16" s="1905" t="str">
        <f>'NIR faktorer'!D260</f>
        <v>NO</v>
      </c>
      <c r="M16" s="3849" t="str">
        <f t="shared" si="8"/>
        <v>NA</v>
      </c>
      <c r="N16" s="3850" t="str">
        <f t="shared" si="9"/>
        <v>NA</v>
      </c>
      <c r="O16" s="3851">
        <f t="shared" si="7"/>
        <v>0</v>
      </c>
      <c r="P16" s="3849" t="str">
        <f t="shared" si="10"/>
        <v>NA</v>
      </c>
      <c r="Q16" s="3851" t="str">
        <f t="shared" si="11"/>
        <v>NA</v>
      </c>
      <c r="R16" s="3849" t="str">
        <f t="shared" si="12"/>
        <v>NA</v>
      </c>
      <c r="S16" s="3851" t="str">
        <f t="shared" si="13"/>
        <v>NA</v>
      </c>
      <c r="T16" s="1893">
        <f t="shared" si="14"/>
        <v>0</v>
      </c>
      <c r="U16" s="1886">
        <f t="shared" si="3"/>
        <v>0</v>
      </c>
      <c r="V16" s="1887" t="str">
        <f t="shared" si="4"/>
        <v>NA</v>
      </c>
    </row>
    <row r="17" spans="1:22" s="1884" customFormat="1" x14ac:dyDescent="0.25">
      <c r="A17" s="1902" t="s">
        <v>857</v>
      </c>
      <c r="B17" s="4001">
        <v>0</v>
      </c>
      <c r="C17" s="3960">
        <v>0</v>
      </c>
      <c r="D17" s="3960">
        <v>0</v>
      </c>
      <c r="E17" s="3851">
        <f t="shared" si="5"/>
        <v>0</v>
      </c>
      <c r="F17" s="1903" t="str">
        <f>'NIR faktorer'!D201</f>
        <v>NO</v>
      </c>
      <c r="G17" s="1888" t="str">
        <f>'NIR faktorer'!D211</f>
        <v>NO</v>
      </c>
      <c r="H17" s="1904" t="str">
        <f>'NIR faktorer'!D221</f>
        <v>NO</v>
      </c>
      <c r="I17" s="1903" t="str">
        <f>'NIR faktorer'!D231</f>
        <v>NO</v>
      </c>
      <c r="J17" s="1905" t="str">
        <f>'NIR faktorer'!D241</f>
        <v>NO</v>
      </c>
      <c r="K17" s="1892" t="str">
        <f>'NIR faktorer'!D251</f>
        <v>NO</v>
      </c>
      <c r="L17" s="1905" t="str">
        <f>'NIR faktorer'!D261</f>
        <v>NO</v>
      </c>
      <c r="M17" s="3849" t="str">
        <f t="shared" si="8"/>
        <v>NA</v>
      </c>
      <c r="N17" s="3850" t="str">
        <f t="shared" si="9"/>
        <v>NA</v>
      </c>
      <c r="O17" s="3851">
        <f t="shared" si="7"/>
        <v>0</v>
      </c>
      <c r="P17" s="3849" t="str">
        <f t="shared" si="10"/>
        <v>NA</v>
      </c>
      <c r="Q17" s="3851" t="str">
        <f t="shared" si="11"/>
        <v>NA</v>
      </c>
      <c r="R17" s="3849" t="str">
        <f t="shared" si="12"/>
        <v>NA</v>
      </c>
      <c r="S17" s="3851" t="str">
        <f t="shared" si="13"/>
        <v>NA</v>
      </c>
      <c r="T17" s="1893">
        <f t="shared" si="14"/>
        <v>0</v>
      </c>
      <c r="U17" s="1886">
        <f t="shared" si="3"/>
        <v>0</v>
      </c>
      <c r="V17" s="1887" t="str">
        <f t="shared" si="4"/>
        <v>NA</v>
      </c>
    </row>
    <row r="18" spans="1:22" s="1884" customFormat="1" ht="15.75" thickBot="1" x14ac:dyDescent="0.3">
      <c r="A18" s="1906" t="s">
        <v>867</v>
      </c>
      <c r="B18" s="4002">
        <v>6.25E-2</v>
      </c>
      <c r="C18" s="3976">
        <v>0</v>
      </c>
      <c r="D18" s="3976">
        <v>6.25E-2</v>
      </c>
      <c r="E18" s="3856">
        <f t="shared" si="5"/>
        <v>0</v>
      </c>
      <c r="F18" s="1909" t="str">
        <f>'NIR faktorer'!D202</f>
        <v>NO</v>
      </c>
      <c r="G18" s="1910" t="str">
        <f>'NIR faktorer'!D212</f>
        <v>NO</v>
      </c>
      <c r="H18" s="1911" t="str">
        <f>'NIR faktorer'!D222</f>
        <v>NO</v>
      </c>
      <c r="I18" s="1909" t="str">
        <f>'NIR faktorer'!D232</f>
        <v>NO</v>
      </c>
      <c r="J18" s="1912" t="str">
        <f>'NIR faktorer'!D242</f>
        <v>NO</v>
      </c>
      <c r="K18" s="1913" t="str">
        <f>'NIR faktorer'!D252</f>
        <v>NO</v>
      </c>
      <c r="L18" s="1912" t="str">
        <f>'NIR faktorer'!D262</f>
        <v>NO</v>
      </c>
      <c r="M18" s="1914" t="str">
        <f t="shared" si="8"/>
        <v>NA</v>
      </c>
      <c r="N18" s="3855" t="str">
        <f t="shared" si="9"/>
        <v>NA</v>
      </c>
      <c r="O18" s="3856">
        <f t="shared" si="7"/>
        <v>0</v>
      </c>
      <c r="P18" s="1914" t="str">
        <f t="shared" si="10"/>
        <v>NA</v>
      </c>
      <c r="Q18" s="3856" t="str">
        <f t="shared" si="11"/>
        <v>NA</v>
      </c>
      <c r="R18" s="1914" t="str">
        <f t="shared" si="12"/>
        <v>NA</v>
      </c>
      <c r="S18" s="3856" t="str">
        <f>IFERROR(C18*L18,"NA")</f>
        <v>NA</v>
      </c>
      <c r="T18" s="1914">
        <f t="shared" si="14"/>
        <v>0</v>
      </c>
      <c r="U18" s="1907">
        <f t="shared" si="3"/>
        <v>0</v>
      </c>
      <c r="V18" s="1908">
        <f t="shared" si="4"/>
        <v>0</v>
      </c>
    </row>
    <row r="19" spans="1:22" s="1779" customFormat="1" ht="42.75" customHeight="1" x14ac:dyDescent="0.25">
      <c r="A19" s="1915"/>
      <c r="B19" s="1916"/>
      <c r="C19" s="1916"/>
      <c r="D19" s="1916"/>
      <c r="E19" s="1916"/>
    </row>
    <row r="20" spans="1:22" s="1779" customFormat="1" ht="61.15" customHeight="1" x14ac:dyDescent="0.25">
      <c r="A20" s="1012" t="s">
        <v>2257</v>
      </c>
      <c r="B20" s="5289" t="s">
        <v>4889</v>
      </c>
      <c r="C20" s="5290"/>
      <c r="D20" s="5290"/>
      <c r="E20" s="5291"/>
      <c r="F20" s="5292" t="str">
        <f>'NIR faktorer'!D264</f>
        <v xml:space="preserve"> NIR 2020 (2018) CRF tabel 4A</v>
      </c>
      <c r="G20" s="5293"/>
      <c r="H20" s="5293"/>
      <c r="I20" s="5293"/>
      <c r="J20" s="5293"/>
      <c r="K20" s="5293"/>
      <c r="L20" s="5294"/>
      <c r="U20" s="1765" t="s">
        <v>2256</v>
      </c>
      <c r="V20" s="1765" t="s">
        <v>2256</v>
      </c>
    </row>
    <row r="21" spans="1:22" s="1779" customFormat="1" x14ac:dyDescent="0.25">
      <c r="A21" s="1011" t="s">
        <v>2255</v>
      </c>
      <c r="B21" s="1010" t="s">
        <v>4946</v>
      </c>
      <c r="C21" s="1010"/>
      <c r="D21" s="1010"/>
      <c r="E21" s="1010"/>
    </row>
  </sheetData>
  <mergeCells count="8">
    <mergeCell ref="M7:O7"/>
    <mergeCell ref="P7:Q7"/>
    <mergeCell ref="R7:S7"/>
    <mergeCell ref="B20:E20"/>
    <mergeCell ref="F20:L20"/>
    <mergeCell ref="F7:H7"/>
    <mergeCell ref="I7:J7"/>
    <mergeCell ref="K7:L7"/>
  </mergeCells>
  <hyperlinks>
    <hyperlink ref="A2" location="Index!A1" display="Til index" xr:uid="{C94EAAC0-1B4D-435C-BF3D-9CA3F3112B1E}"/>
  </hyperlinks>
  <pageMargins left="0.7" right="0.7" top="0.75" bottom="0.75" header="0.3" footer="0.3"/>
  <pageSetup paperSize="8" scale="58"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1487D-6C9C-4A63-8575-FA0C774DF1CD}">
  <sheetPr codeName="Ark141">
    <tabColor theme="4" tint="0.59999389629810485"/>
    <pageSetUpPr fitToPage="1"/>
  </sheetPr>
  <dimension ref="A1:T100"/>
  <sheetViews>
    <sheetView showGridLines="0" topLeftCell="A81" zoomScale="80" zoomScaleNormal="80" workbookViewId="0">
      <selection activeCell="A82" sqref="A82"/>
    </sheetView>
  </sheetViews>
  <sheetFormatPr defaultColWidth="8.7109375" defaultRowHeight="12.75" x14ac:dyDescent="0.2"/>
  <cols>
    <col min="1" max="1" width="51.5703125" style="1917" customWidth="1"/>
    <col min="2" max="2" width="35.28515625" style="1917" customWidth="1"/>
    <col min="3" max="3" width="19.140625" style="1917" customWidth="1"/>
    <col min="4" max="4" width="21.42578125" style="1917" customWidth="1"/>
    <col min="5" max="6" width="23.140625" style="1917" customWidth="1"/>
    <col min="7" max="7" width="17.7109375" style="1917" customWidth="1"/>
    <col min="8" max="8" width="25" style="1917" customWidth="1"/>
    <col min="9" max="9" width="24" style="1917" customWidth="1"/>
    <col min="10" max="10" width="24.42578125" style="1917" customWidth="1"/>
    <col min="11" max="11" width="23.42578125" style="1917" customWidth="1"/>
    <col min="12" max="13" width="20.5703125" style="1917" customWidth="1"/>
    <col min="14" max="14" width="20.42578125" style="1917" customWidth="1"/>
    <col min="15" max="15" width="23.140625" style="1917" customWidth="1"/>
    <col min="16" max="16" width="18.42578125" style="1917" customWidth="1"/>
    <col min="17" max="17" width="19.140625" style="1917" customWidth="1"/>
    <col min="18" max="18" width="24.7109375" style="1917" customWidth="1"/>
    <col min="19" max="19" width="25.7109375" style="1917" customWidth="1"/>
    <col min="20" max="20" width="22.28515625" style="1917" customWidth="1"/>
    <col min="21" max="21" width="34.85546875" style="1917" bestFit="1" customWidth="1"/>
    <col min="22" max="22" width="25" style="1917" bestFit="1" customWidth="1"/>
    <col min="23" max="24" width="9.140625" style="1917" customWidth="1"/>
    <col min="25" max="25" width="21.28515625" style="1917" customWidth="1"/>
    <col min="26" max="26" width="16" style="1917" bestFit="1" customWidth="1"/>
    <col min="27" max="27" width="16.5703125" style="1917" bestFit="1" customWidth="1"/>
    <col min="28" max="16384" width="8.7109375" style="1917"/>
  </cols>
  <sheetData>
    <row r="1" spans="1:20" s="3681" customFormat="1" ht="54" customHeight="1" x14ac:dyDescent="0.35">
      <c r="B1" s="1007" t="s">
        <v>5388</v>
      </c>
    </row>
    <row r="2" spans="1:20" ht="21" x14ac:dyDescent="0.35">
      <c r="A2" s="1740" t="s">
        <v>4206</v>
      </c>
    </row>
    <row r="3" spans="1:20" x14ac:dyDescent="0.2">
      <c r="A3" s="3682"/>
      <c r="B3" s="1917" t="str">
        <f>'K1 2018'!B3</f>
        <v>Tal fra register</v>
      </c>
    </row>
    <row r="4" spans="1:20" x14ac:dyDescent="0.2">
      <c r="A4" s="1918"/>
      <c r="B4" s="1917" t="str">
        <f>'K1 2018'!B4</f>
        <v>Overført til regnskab</v>
      </c>
    </row>
    <row r="5" spans="1:20" s="1010" customFormat="1" ht="12" x14ac:dyDescent="0.2">
      <c r="A5" s="1090" t="s">
        <v>2320</v>
      </c>
      <c r="B5" s="1090" t="s">
        <v>2319</v>
      </c>
      <c r="C5" s="1089"/>
      <c r="D5" s="1089"/>
      <c r="E5" s="1089"/>
      <c r="F5" s="1089"/>
      <c r="G5" s="1089"/>
      <c r="H5" s="1089"/>
      <c r="I5" s="1089"/>
      <c r="J5" s="1089"/>
      <c r="K5" s="1089"/>
      <c r="L5" s="1089"/>
    </row>
    <row r="7" spans="1:20" ht="21.95" customHeight="1" thickBot="1" x14ac:dyDescent="0.3">
      <c r="A7" s="1034" t="s">
        <v>2318</v>
      </c>
      <c r="B7" s="3698"/>
      <c r="C7" s="3698"/>
      <c r="D7" s="3698"/>
      <c r="E7" s="3698"/>
      <c r="F7" s="5297" t="s">
        <v>4949</v>
      </c>
      <c r="G7" s="5297"/>
      <c r="H7" s="5297"/>
      <c r="I7" s="1052"/>
      <c r="J7" s="5298" t="s">
        <v>4950</v>
      </c>
      <c r="K7" s="5298"/>
      <c r="L7" s="5299" t="s">
        <v>4948</v>
      </c>
      <c r="M7" s="5299"/>
      <c r="N7" s="5299"/>
      <c r="O7" s="1051"/>
      <c r="P7" s="5299" t="s">
        <v>4947</v>
      </c>
      <c r="Q7" s="5299"/>
      <c r="R7" s="3698"/>
      <c r="S7" s="3698"/>
    </row>
    <row r="8" spans="1:20" s="3683" customFormat="1" ht="60.75" thickBot="1" x14ac:dyDescent="0.25">
      <c r="A8" s="2902" t="s">
        <v>395</v>
      </c>
      <c r="B8" s="1015" t="s">
        <v>4951</v>
      </c>
      <c r="C8" s="1048" t="s">
        <v>4859</v>
      </c>
      <c r="D8" s="1048" t="s">
        <v>4860</v>
      </c>
      <c r="E8" s="1045" t="s">
        <v>4861</v>
      </c>
      <c r="F8" s="1046" t="s">
        <v>4862</v>
      </c>
      <c r="G8" s="1047" t="s">
        <v>4863</v>
      </c>
      <c r="H8" s="1045" t="s">
        <v>4864</v>
      </c>
      <c r="I8" s="1084" t="s">
        <v>4866</v>
      </c>
      <c r="J8" s="1046" t="s">
        <v>4867</v>
      </c>
      <c r="K8" s="1045" t="s">
        <v>4868</v>
      </c>
      <c r="L8" s="1046" t="s">
        <v>4872</v>
      </c>
      <c r="M8" s="1048" t="s">
        <v>4851</v>
      </c>
      <c r="N8" s="1045" t="s">
        <v>4886</v>
      </c>
      <c r="O8" s="1084" t="s">
        <v>4873</v>
      </c>
      <c r="P8" s="1046" t="s">
        <v>4874</v>
      </c>
      <c r="Q8" s="1045" t="s">
        <v>4875</v>
      </c>
      <c r="R8" s="1044" t="s">
        <v>4876</v>
      </c>
      <c r="S8" s="2937" t="s">
        <v>4911</v>
      </c>
    </row>
    <row r="9" spans="1:20" ht="23.25" customHeight="1" thickBot="1" x14ac:dyDescent="0.3">
      <c r="A9" s="1087" t="s">
        <v>865</v>
      </c>
      <c r="B9" s="3699">
        <f>SUBTOTAL(9,B10,B12:B18)</f>
        <v>3188.4375</v>
      </c>
      <c r="C9" s="3700">
        <f t="shared" ref="C9" si="0">SUBTOTAL(9,C10,C12:C18)</f>
        <v>0</v>
      </c>
      <c r="D9" s="3700">
        <f>SUBTOTAL(9,D10,D12:D18)</f>
        <v>3156.4375</v>
      </c>
      <c r="E9" s="3701">
        <f>B9-C9-D9</f>
        <v>32</v>
      </c>
      <c r="F9" s="3702" t="str">
        <f>'NIR faktorer'!D269</f>
        <v/>
      </c>
      <c r="G9" s="3703" t="str">
        <f>'NIR faktorer'!D279</f>
        <v/>
      </c>
      <c r="H9" s="3704" t="str">
        <f>'NIR faktorer'!D289</f>
        <v/>
      </c>
      <c r="I9" s="3705" t="str">
        <f>'NIR faktorer'!D299</f>
        <v/>
      </c>
      <c r="J9" s="3702" t="str">
        <f>'NIR faktorer'!D309</f>
        <v/>
      </c>
      <c r="K9" s="3704" t="str">
        <f>'NIR faktorer'!D319</f>
        <v/>
      </c>
      <c r="L9" s="3706"/>
      <c r="M9" s="3707"/>
      <c r="N9" s="3708"/>
      <c r="O9" s="3705"/>
      <c r="P9" s="3702"/>
      <c r="Q9" s="3704"/>
      <c r="R9" s="3709">
        <f>R10+R11</f>
        <v>-683.92485401912609</v>
      </c>
      <c r="S9" s="3710">
        <f>S10+S11</f>
        <v>2507.7244647367957</v>
      </c>
    </row>
    <row r="10" spans="1:20" ht="24.75" customHeight="1" thickBot="1" x14ac:dyDescent="0.3">
      <c r="A10" s="1087" t="s">
        <v>864</v>
      </c>
      <c r="B10" s="4003">
        <v>2921.5625</v>
      </c>
      <c r="C10" s="3981">
        <v>0</v>
      </c>
      <c r="D10" s="3981">
        <v>2896.5</v>
      </c>
      <c r="E10" s="3711">
        <f>B10-C10-D10</f>
        <v>25.0625</v>
      </c>
      <c r="F10" s="1928">
        <f>'NIR faktorer'!D270</f>
        <v>1.4941326769239999E-2</v>
      </c>
      <c r="G10" s="1929">
        <f>'NIR faktorer'!D280</f>
        <v>-1.9678227297509999E-2</v>
      </c>
      <c r="H10" s="1930">
        <f>'NIR faktorer'!D290</f>
        <v>-4.7369005282599996E-3</v>
      </c>
      <c r="I10" s="1931" t="str">
        <f>'NIR faktorer'!D300</f>
        <v>NO</v>
      </c>
      <c r="J10" s="1928">
        <f>'NIR faktorer'!D310</f>
        <v>-8.1809917974260002E-2</v>
      </c>
      <c r="K10" s="1930">
        <f>'NIR faktorer'!D320</f>
        <v>-7.5945859439531302</v>
      </c>
      <c r="L10" s="3712">
        <f>IFERROR(B10*F10,"NA")</f>
        <v>43.652019989257738</v>
      </c>
      <c r="M10" s="3713">
        <f>IFERROR(B10*G10,"NA")</f>
        <v>-57.491170938881552</v>
      </c>
      <c r="N10" s="3714">
        <f>IFERROR(B10*H10,"NA")</f>
        <v>-13.839150949594606</v>
      </c>
      <c r="O10" s="3715" t="str">
        <f>IFERROR(B10*I10,"NA")</f>
        <v>NA</v>
      </c>
      <c r="P10" s="3712">
        <f>IFERROR(D10*J10,"NA")</f>
        <v>-236.9624274124441</v>
      </c>
      <c r="Q10" s="3714">
        <f>IFERROR(C10*K10,"NA")</f>
        <v>0</v>
      </c>
      <c r="R10" s="3716">
        <f>SUMIF(N10:Q10,"&lt;&gt;NO eller IF eller #VÆRDI!")</f>
        <v>-250.8015783620387</v>
      </c>
      <c r="S10" s="3717">
        <f>R10*-(44/12)</f>
        <v>919.60578732747524</v>
      </c>
    </row>
    <row r="11" spans="1:20" ht="15.75" thickBot="1" x14ac:dyDescent="0.3">
      <c r="A11" s="1042" t="s">
        <v>863</v>
      </c>
      <c r="B11" s="3797">
        <f>SUM(B12:B18)</f>
        <v>266.875</v>
      </c>
      <c r="C11" s="3823">
        <f>SUM(C12:C18)</f>
        <v>0</v>
      </c>
      <c r="D11" s="3798">
        <f>SUM(D12:D18)</f>
        <v>259.9375</v>
      </c>
      <c r="E11" s="3799">
        <f t="shared" ref="E11:E18" si="1">B11-C11-D11</f>
        <v>6.9375</v>
      </c>
      <c r="F11" s="3684" t="str">
        <f>'NIR faktorer'!D271</f>
        <v/>
      </c>
      <c r="G11" s="3685" t="str">
        <f>'NIR faktorer'!D281</f>
        <v/>
      </c>
      <c r="H11" s="3686" t="str">
        <f>'NIR faktorer'!D291</f>
        <v/>
      </c>
      <c r="I11" s="3687" t="str">
        <f>'NIR faktorer'!D301</f>
        <v/>
      </c>
      <c r="J11" s="3684" t="str">
        <f>'NIR faktorer'!D311</f>
        <v/>
      </c>
      <c r="K11" s="3686" t="str">
        <f>'NIR faktorer'!D321</f>
        <v/>
      </c>
      <c r="L11" s="3720" t="str">
        <f t="shared" ref="L11:L18" si="2">IFERROR(B11*F11,"NA")</f>
        <v>NA</v>
      </c>
      <c r="M11" s="3721" t="str">
        <f t="shared" ref="M11:M18" si="3">IFERROR(B11*G11,"NA")</f>
        <v>NA</v>
      </c>
      <c r="N11" s="3722" t="str">
        <f t="shared" ref="N11:N18" si="4">IFERROR(B11*H11,"NA")</f>
        <v>NA</v>
      </c>
      <c r="O11" s="3723" t="str">
        <f t="shared" ref="O11:O18" si="5">IFERROR(B11*I11,"NA")</f>
        <v>NA</v>
      </c>
      <c r="P11" s="3720" t="str">
        <f t="shared" ref="P11:P18" si="6">IFERROR(D11*J11,"NA")</f>
        <v>NA</v>
      </c>
      <c r="Q11" s="3722" t="str">
        <f t="shared" ref="Q11:Q18" si="7">IFERROR(C11*K11,"NA")</f>
        <v>NA</v>
      </c>
      <c r="R11" s="3724">
        <f>SUM(R12:R18)</f>
        <v>-433.12327565708739</v>
      </c>
      <c r="S11" s="3724">
        <f>SUM(S12:S18)</f>
        <v>1588.1186774093205</v>
      </c>
    </row>
    <row r="12" spans="1:20" ht="15" x14ac:dyDescent="0.25">
      <c r="A12" s="1068" t="s">
        <v>862</v>
      </c>
      <c r="B12" s="4004">
        <v>137.6875</v>
      </c>
      <c r="C12" s="3961">
        <v>0</v>
      </c>
      <c r="D12" s="3961">
        <v>137.6875</v>
      </c>
      <c r="E12" s="3772">
        <f t="shared" si="1"/>
        <v>0</v>
      </c>
      <c r="F12" s="1058">
        <f>'NIR faktorer'!D272</f>
        <v>0.84401652238873004</v>
      </c>
      <c r="G12" s="1077">
        <f>'NIR faktorer'!D282</f>
        <v>-2.2454215246064502</v>
      </c>
      <c r="H12" s="1949">
        <f>'NIR faktorer'!D292</f>
        <v>-1.40140500221772</v>
      </c>
      <c r="I12" s="1950">
        <f>'NIR faktorer'!D302</f>
        <v>-1.6256504778760701</v>
      </c>
      <c r="J12" s="1058">
        <f>'NIR faktorer'!D312</f>
        <v>-0.38204713756886</v>
      </c>
      <c r="K12" s="1949" t="str">
        <f>'NIR faktorer'!D322</f>
        <v>IE</v>
      </c>
      <c r="L12" s="3726">
        <f t="shared" si="2"/>
        <v>116.21052492639826</v>
      </c>
      <c r="M12" s="3727">
        <f t="shared" si="3"/>
        <v>-309.16647616925059</v>
      </c>
      <c r="N12" s="3728">
        <f t="shared" si="4"/>
        <v>-192.95595124285234</v>
      </c>
      <c r="O12" s="3729">
        <f t="shared" si="5"/>
        <v>-223.83175017256141</v>
      </c>
      <c r="P12" s="3726">
        <f t="shared" si="6"/>
        <v>-52.603115254012408</v>
      </c>
      <c r="Q12" s="3728" t="str">
        <f t="shared" si="7"/>
        <v>NA</v>
      </c>
      <c r="R12" s="3730">
        <f>SUBTOTAL(9,N12:Q12)</f>
        <v>-469.39081666942616</v>
      </c>
      <c r="S12" s="3731">
        <f>R12*-(44/12)</f>
        <v>1721.0996611212292</v>
      </c>
      <c r="T12" s="1957"/>
    </row>
    <row r="13" spans="1:20" ht="15" x14ac:dyDescent="0.25">
      <c r="A13" s="1068" t="s">
        <v>861</v>
      </c>
      <c r="B13" s="4001">
        <v>128.875</v>
      </c>
      <c r="C13" s="3960">
        <v>0</v>
      </c>
      <c r="D13" s="3960">
        <v>121.9375</v>
      </c>
      <c r="E13" s="4005">
        <f t="shared" si="1"/>
        <v>6.9375</v>
      </c>
      <c r="F13" s="1058">
        <f>'NIR faktorer'!D273</f>
        <v>0.95678513259447995</v>
      </c>
      <c r="G13" s="1077">
        <f>'NIR faktorer'!D283</f>
        <v>-0.67356498071182003</v>
      </c>
      <c r="H13" s="1949">
        <f>'NIR faktorer'!D293</f>
        <v>0.28322015188265998</v>
      </c>
      <c r="I13" s="1950" t="str">
        <f>'NIR faktorer'!D303</f>
        <v>NA</v>
      </c>
      <c r="J13" s="1058" t="str">
        <f>'NIR faktorer'!D313</f>
        <v>IE</v>
      </c>
      <c r="K13" s="1949" t="str">
        <f>'NIR faktorer'!D323</f>
        <v>IE</v>
      </c>
      <c r="L13" s="3726">
        <f t="shared" si="2"/>
        <v>123.30568396311361</v>
      </c>
      <c r="M13" s="3727">
        <f t="shared" si="3"/>
        <v>-86.805686889235801</v>
      </c>
      <c r="N13" s="3728">
        <f t="shared" si="4"/>
        <v>36.499997073877807</v>
      </c>
      <c r="O13" s="3729" t="str">
        <f t="shared" si="5"/>
        <v>NA</v>
      </c>
      <c r="P13" s="3726" t="str">
        <f t="shared" si="6"/>
        <v>NA</v>
      </c>
      <c r="Q13" s="3728" t="str">
        <f t="shared" si="7"/>
        <v>NA</v>
      </c>
      <c r="R13" s="3730">
        <f t="shared" ref="R13:R18" si="8">SUBTOTAL(9,N13:Q13)</f>
        <v>36.499997073877807</v>
      </c>
      <c r="S13" s="3731">
        <f t="shared" ref="S13:S18" si="9">R13*-(44/12)</f>
        <v>-133.83332260421861</v>
      </c>
    </row>
    <row r="14" spans="1:20" ht="15" x14ac:dyDescent="0.25">
      <c r="A14" s="1068" t="s">
        <v>860</v>
      </c>
      <c r="B14" s="4001">
        <v>0.125</v>
      </c>
      <c r="C14" s="3960">
        <v>0</v>
      </c>
      <c r="D14" s="3960">
        <v>0.125</v>
      </c>
      <c r="E14" s="4005">
        <f t="shared" si="1"/>
        <v>0</v>
      </c>
      <c r="F14" s="1058" t="str">
        <f>'NIR faktorer'!D274</f>
        <v>NO</v>
      </c>
      <c r="G14" s="1077" t="str">
        <f>'NIR faktorer'!D284</f>
        <v>NO</v>
      </c>
      <c r="H14" s="1949" t="str">
        <f>'NIR faktorer'!D294</f>
        <v>NO</v>
      </c>
      <c r="I14" s="1950" t="str">
        <f>'NIR faktorer'!D304</f>
        <v>NO</v>
      </c>
      <c r="J14" s="1058">
        <f>'NIR faktorer'!D314</f>
        <v>-1.8596484923123799</v>
      </c>
      <c r="K14" s="1949" t="str">
        <f>'NIR faktorer'!D324</f>
        <v>IE</v>
      </c>
      <c r="L14" s="3726" t="str">
        <f t="shared" si="2"/>
        <v>NA</v>
      </c>
      <c r="M14" s="3727" t="str">
        <f t="shared" si="3"/>
        <v>NA</v>
      </c>
      <c r="N14" s="3728" t="str">
        <f t="shared" si="4"/>
        <v>NA</v>
      </c>
      <c r="O14" s="3729" t="str">
        <f t="shared" si="5"/>
        <v>NA</v>
      </c>
      <c r="P14" s="3726">
        <f t="shared" si="6"/>
        <v>-0.23245606153904749</v>
      </c>
      <c r="Q14" s="3728" t="str">
        <f t="shared" si="7"/>
        <v>NA</v>
      </c>
      <c r="R14" s="3730">
        <f t="shared" si="8"/>
        <v>-0.23245606153904749</v>
      </c>
      <c r="S14" s="3731">
        <f t="shared" si="9"/>
        <v>0.85233889230984072</v>
      </c>
      <c r="T14" s="1958"/>
    </row>
    <row r="15" spans="1:20" ht="15" x14ac:dyDescent="0.25">
      <c r="A15" s="1068" t="s">
        <v>859</v>
      </c>
      <c r="B15" s="4001">
        <v>0</v>
      </c>
      <c r="C15" s="3960">
        <v>0</v>
      </c>
      <c r="D15" s="3960">
        <v>0</v>
      </c>
      <c r="E15" s="4005">
        <f t="shared" si="1"/>
        <v>0</v>
      </c>
      <c r="F15" s="3688" t="str">
        <f>'NIR faktorer'!D275</f>
        <v>NO</v>
      </c>
      <c r="G15" s="3689" t="str">
        <f>'NIR faktorer'!D285</f>
        <v>NO</v>
      </c>
      <c r="H15" s="3690" t="str">
        <f>'NIR faktorer'!D295</f>
        <v>NO</v>
      </c>
      <c r="I15" s="3691" t="str">
        <f>'NIR faktorer'!D305</f>
        <v>NO</v>
      </c>
      <c r="J15" s="3688" t="str">
        <f>'NIR faktorer'!D315</f>
        <v>NO</v>
      </c>
      <c r="K15" s="3690" t="str">
        <f>'NIR faktorer'!D325</f>
        <v>NO</v>
      </c>
      <c r="L15" s="3726" t="str">
        <f t="shared" si="2"/>
        <v>NA</v>
      </c>
      <c r="M15" s="3727" t="str">
        <f t="shared" si="3"/>
        <v>NA</v>
      </c>
      <c r="N15" s="3728" t="str">
        <f t="shared" si="4"/>
        <v>NA</v>
      </c>
      <c r="O15" s="3729" t="str">
        <f t="shared" si="5"/>
        <v>NA</v>
      </c>
      <c r="P15" s="3726" t="str">
        <f t="shared" si="6"/>
        <v>NA</v>
      </c>
      <c r="Q15" s="3728" t="str">
        <f t="shared" si="7"/>
        <v>NA</v>
      </c>
      <c r="R15" s="3730">
        <f t="shared" si="8"/>
        <v>0</v>
      </c>
      <c r="S15" s="3731">
        <f t="shared" si="9"/>
        <v>0</v>
      </c>
      <c r="T15" s="1958"/>
    </row>
    <row r="16" spans="1:20" ht="15" x14ac:dyDescent="0.25">
      <c r="A16" s="1068" t="s">
        <v>858</v>
      </c>
      <c r="B16" s="4001">
        <v>0</v>
      </c>
      <c r="C16" s="3960">
        <v>0</v>
      </c>
      <c r="D16" s="3960">
        <v>0</v>
      </c>
      <c r="E16" s="4005">
        <f t="shared" si="1"/>
        <v>0</v>
      </c>
      <c r="F16" s="3688" t="str">
        <f>'NIR faktorer'!D276</f>
        <v>NO</v>
      </c>
      <c r="G16" s="3689" t="str">
        <f>'NIR faktorer'!D286</f>
        <v>NO</v>
      </c>
      <c r="H16" s="3690" t="str">
        <f>'NIR faktorer'!D296</f>
        <v>NO</v>
      </c>
      <c r="I16" s="3691" t="str">
        <f>'NIR faktorer'!D306</f>
        <v>NO</v>
      </c>
      <c r="J16" s="3688" t="str">
        <f>'NIR faktorer'!D316</f>
        <v>NO</v>
      </c>
      <c r="K16" s="3690" t="str">
        <f>'NIR faktorer'!D326</f>
        <v>NO</v>
      </c>
      <c r="L16" s="3726" t="str">
        <f t="shared" si="2"/>
        <v>NA</v>
      </c>
      <c r="M16" s="3727" t="str">
        <f t="shared" si="3"/>
        <v>NA</v>
      </c>
      <c r="N16" s="3728" t="str">
        <f t="shared" si="4"/>
        <v>NA</v>
      </c>
      <c r="O16" s="3729" t="str">
        <f t="shared" si="5"/>
        <v>NA</v>
      </c>
      <c r="P16" s="3726" t="str">
        <f t="shared" si="6"/>
        <v>NA</v>
      </c>
      <c r="Q16" s="3728" t="str">
        <f t="shared" si="7"/>
        <v>NA</v>
      </c>
      <c r="R16" s="3730">
        <f t="shared" si="8"/>
        <v>0</v>
      </c>
      <c r="S16" s="3731">
        <f t="shared" si="9"/>
        <v>0</v>
      </c>
      <c r="T16" s="1958"/>
    </row>
    <row r="17" spans="1:20" ht="15" x14ac:dyDescent="0.25">
      <c r="A17" s="1068" t="s">
        <v>857</v>
      </c>
      <c r="B17" s="4001">
        <v>0</v>
      </c>
      <c r="C17" s="3960">
        <v>0</v>
      </c>
      <c r="D17" s="3960">
        <v>0</v>
      </c>
      <c r="E17" s="4005">
        <f t="shared" si="1"/>
        <v>0</v>
      </c>
      <c r="F17" s="3688" t="str">
        <f>'NIR faktorer'!D277</f>
        <v>NA</v>
      </c>
      <c r="G17" s="3692" t="str">
        <f>'NIR faktorer'!D287</f>
        <v>NA</v>
      </c>
      <c r="H17" s="3693" t="str">
        <f>'NIR faktorer'!D297</f>
        <v>NA</v>
      </c>
      <c r="I17" s="3691" t="str">
        <f>'NIR faktorer'!D307</f>
        <v>NA</v>
      </c>
      <c r="J17" s="3726" t="str">
        <f>'NIR faktorer'!D317</f>
        <v>NA</v>
      </c>
      <c r="K17" s="3728" t="str">
        <f>'NIR faktorer'!D327</f>
        <v>NA</v>
      </c>
      <c r="L17" s="3726" t="str">
        <f t="shared" si="2"/>
        <v>NA</v>
      </c>
      <c r="M17" s="3727" t="str">
        <f t="shared" si="3"/>
        <v>NA</v>
      </c>
      <c r="N17" s="3728" t="str">
        <f t="shared" si="4"/>
        <v>NA</v>
      </c>
      <c r="O17" s="3729" t="str">
        <f t="shared" si="5"/>
        <v>NA</v>
      </c>
      <c r="P17" s="3726" t="str">
        <f t="shared" si="6"/>
        <v>NA</v>
      </c>
      <c r="Q17" s="3728" t="str">
        <f t="shared" si="7"/>
        <v>NA</v>
      </c>
      <c r="R17" s="3730">
        <f t="shared" si="8"/>
        <v>0</v>
      </c>
      <c r="S17" s="3731">
        <f t="shared" si="9"/>
        <v>0</v>
      </c>
      <c r="T17" s="1958"/>
    </row>
    <row r="18" spans="1:20" ht="15.75" thickBot="1" x14ac:dyDescent="0.3">
      <c r="A18" s="1067" t="s">
        <v>856</v>
      </c>
      <c r="B18" s="4002">
        <v>0.1875</v>
      </c>
      <c r="C18" s="4006">
        <v>0</v>
      </c>
      <c r="D18" s="3976">
        <v>0.1875</v>
      </c>
      <c r="E18" s="4007">
        <f t="shared" si="1"/>
        <v>0</v>
      </c>
      <c r="F18" s="3694" t="str">
        <f>'NIR faktorer'!D278</f>
        <v>NA</v>
      </c>
      <c r="G18" s="3695" t="str">
        <f>'NIR faktorer'!D288</f>
        <v>NA</v>
      </c>
      <c r="H18" s="3696" t="str">
        <f>'NIR faktorer'!D298</f>
        <v>NA</v>
      </c>
      <c r="I18" s="3697" t="str">
        <f>'NIR faktorer'!D308</f>
        <v>NA</v>
      </c>
      <c r="J18" s="3733" t="str">
        <f>'NIR faktorer'!D318</f>
        <v>NA</v>
      </c>
      <c r="K18" s="3734" t="str">
        <f>'NIR faktorer'!D328</f>
        <v>NA</v>
      </c>
      <c r="L18" s="3733" t="str">
        <f t="shared" si="2"/>
        <v>NA</v>
      </c>
      <c r="M18" s="3735" t="str">
        <f t="shared" si="3"/>
        <v>NA</v>
      </c>
      <c r="N18" s="3734" t="str">
        <f t="shared" si="4"/>
        <v>NA</v>
      </c>
      <c r="O18" s="3736" t="str">
        <f t="shared" si="5"/>
        <v>NA</v>
      </c>
      <c r="P18" s="3733" t="str">
        <f t="shared" si="6"/>
        <v>NA</v>
      </c>
      <c r="Q18" s="3734" t="str">
        <f t="shared" si="7"/>
        <v>NA</v>
      </c>
      <c r="R18" s="3737">
        <f t="shared" si="8"/>
        <v>0</v>
      </c>
      <c r="S18" s="3738">
        <f t="shared" si="9"/>
        <v>0</v>
      </c>
      <c r="T18" s="1958"/>
    </row>
    <row r="19" spans="1:20" ht="26.25" customHeight="1" x14ac:dyDescent="0.2">
      <c r="A19" s="1976"/>
      <c r="B19" s="1977"/>
      <c r="C19" s="1977"/>
      <c r="D19" s="1977"/>
      <c r="E19" s="1977"/>
      <c r="T19" s="1978"/>
    </row>
    <row r="20" spans="1:20" s="1037" customFormat="1" ht="41.1" customHeight="1" x14ac:dyDescent="0.2">
      <c r="A20" s="1032" t="s">
        <v>2257</v>
      </c>
      <c r="B20" s="5289" t="s">
        <v>1845</v>
      </c>
      <c r="C20" s="5290"/>
      <c r="D20" s="5290"/>
      <c r="E20" s="5291"/>
      <c r="F20" s="5289" t="str">
        <f>'NIR faktorer'!D330</f>
        <v xml:space="preserve"> NIR 2020 (2018) CRF tabel 4B</v>
      </c>
      <c r="G20" s="5290"/>
      <c r="H20" s="5290"/>
      <c r="I20" s="5290"/>
      <c r="J20" s="5290"/>
      <c r="K20" s="5291"/>
      <c r="L20" s="5289" t="s">
        <v>2054</v>
      </c>
      <c r="M20" s="5290"/>
      <c r="N20" s="5290"/>
      <c r="O20" s="5290"/>
      <c r="P20" s="5290"/>
      <c r="Q20" s="5291"/>
      <c r="S20" s="1039" t="s">
        <v>2304</v>
      </c>
      <c r="T20" s="1086"/>
    </row>
    <row r="21" spans="1:20" s="1035" customFormat="1" ht="12" x14ac:dyDescent="0.2">
      <c r="A21" s="1036" t="s">
        <v>2317</v>
      </c>
      <c r="T21" s="1085"/>
    </row>
    <row r="22" spans="1:20" x14ac:dyDescent="0.2">
      <c r="T22" s="1958"/>
    </row>
    <row r="23" spans="1:20" s="3698" customFormat="1" ht="21" customHeight="1" thickBot="1" x14ac:dyDescent="0.3">
      <c r="A23" s="1034" t="s">
        <v>2316</v>
      </c>
      <c r="F23" s="5297" t="s">
        <v>4949</v>
      </c>
      <c r="G23" s="5297"/>
      <c r="H23" s="5297"/>
      <c r="I23" s="1052"/>
      <c r="J23" s="5298" t="s">
        <v>4950</v>
      </c>
      <c r="K23" s="5298"/>
      <c r="L23" s="5299" t="s">
        <v>4948</v>
      </c>
      <c r="M23" s="5299"/>
      <c r="N23" s="5299"/>
      <c r="O23" s="1051"/>
      <c r="P23" s="5299" t="s">
        <v>4947</v>
      </c>
      <c r="Q23" s="5299"/>
      <c r="T23" s="3739"/>
    </row>
    <row r="24" spans="1:20" s="3698" customFormat="1" ht="60.75" thickBot="1" x14ac:dyDescent="0.3">
      <c r="A24" s="2903" t="s">
        <v>2315</v>
      </c>
      <c r="B24" s="1015" t="s">
        <v>4952</v>
      </c>
      <c r="C24" s="1048" t="s">
        <v>4859</v>
      </c>
      <c r="D24" s="1048" t="s">
        <v>4860</v>
      </c>
      <c r="E24" s="1045" t="s">
        <v>4861</v>
      </c>
      <c r="F24" s="1046" t="s">
        <v>4869</v>
      </c>
      <c r="G24" s="1047" t="s">
        <v>4863</v>
      </c>
      <c r="H24" s="1045" t="s">
        <v>4865</v>
      </c>
      <c r="I24" s="1063" t="s">
        <v>4866</v>
      </c>
      <c r="J24" s="1046" t="s">
        <v>4867</v>
      </c>
      <c r="K24" s="1049" t="s">
        <v>4868</v>
      </c>
      <c r="L24" s="1046" t="s">
        <v>4879</v>
      </c>
      <c r="M24" s="1048" t="s">
        <v>4878</v>
      </c>
      <c r="N24" s="1045" t="s">
        <v>4886</v>
      </c>
      <c r="O24" s="1084" t="s">
        <v>4873</v>
      </c>
      <c r="P24" s="1046" t="s">
        <v>4874</v>
      </c>
      <c r="Q24" s="1045" t="s">
        <v>4875</v>
      </c>
      <c r="R24" s="1044" t="s">
        <v>4877</v>
      </c>
      <c r="S24" s="2937" t="s">
        <v>4911</v>
      </c>
    </row>
    <row r="25" spans="1:20" s="3698" customFormat="1" ht="23.25" customHeight="1" thickBot="1" x14ac:dyDescent="0.3">
      <c r="A25" s="1083" t="s">
        <v>855</v>
      </c>
      <c r="B25" s="3699">
        <f>B26+B28+B29+B30+B31+B32+B33+B34</f>
        <v>2781.5</v>
      </c>
      <c r="C25" s="3700">
        <f>C26+C28+C29+C30+C31+C32+C33</f>
        <v>0.25</v>
      </c>
      <c r="D25" s="3700">
        <f>D26+D28+D29+D30+D31+D32+D33</f>
        <v>2612</v>
      </c>
      <c r="E25" s="3701">
        <f t="shared" ref="E25:E34" si="10">B25-C25-D25</f>
        <v>169.25</v>
      </c>
      <c r="F25" s="3740" t="str">
        <f>'NIR faktorer'!D333</f>
        <v/>
      </c>
      <c r="G25" s="3741" t="str">
        <f>'NIR faktorer'!D343</f>
        <v/>
      </c>
      <c r="H25" s="3742" t="str">
        <f>'NIR faktorer'!D353</f>
        <v/>
      </c>
      <c r="I25" s="3743" t="str">
        <f>'NIR faktorer'!D363</f>
        <v/>
      </c>
      <c r="J25" s="3741" t="str">
        <f>'NIR faktorer'!D373</f>
        <v/>
      </c>
      <c r="K25" s="3744" t="str">
        <f>'NIR faktorer'!D383</f>
        <v/>
      </c>
      <c r="L25" s="3740"/>
      <c r="M25" s="3741"/>
      <c r="N25" s="3742"/>
      <c r="O25" s="3745"/>
      <c r="P25" s="3740"/>
      <c r="Q25" s="3742"/>
      <c r="R25" s="3746">
        <f>R26+R27</f>
        <v>-968.23417516504014</v>
      </c>
      <c r="S25" s="3747">
        <f>S26+S27</f>
        <v>3550.191975605147</v>
      </c>
    </row>
    <row r="26" spans="1:20" s="3698" customFormat="1" ht="24.75" customHeight="1" thickBot="1" x14ac:dyDescent="0.3">
      <c r="A26" s="1033" t="s">
        <v>854</v>
      </c>
      <c r="B26" s="4003">
        <v>2026.625</v>
      </c>
      <c r="C26" s="3981">
        <v>0.25</v>
      </c>
      <c r="D26" s="3981">
        <v>1910.875</v>
      </c>
      <c r="E26" s="3711">
        <f t="shared" si="10"/>
        <v>115.5</v>
      </c>
      <c r="F26" s="1082">
        <f>'NIR faktorer'!D334</f>
        <v>0.14583697996391001</v>
      </c>
      <c r="G26" s="1079">
        <f>'NIR faktorer'!D344</f>
        <v>-0.42244234340203002</v>
      </c>
      <c r="H26" s="1081">
        <f>'NIR faktorer'!D354</f>
        <v>-0.27660536343811998</v>
      </c>
      <c r="I26" s="1080" t="str">
        <f>'NIR faktorer'!D364</f>
        <v>NO</v>
      </c>
      <c r="J26" s="1079" t="str">
        <f>'NIR faktorer'!D374</f>
        <v>IE</v>
      </c>
      <c r="K26" s="1078">
        <f>'NIR faktorer'!D384</f>
        <v>-6.4588602016251704</v>
      </c>
      <c r="L26" s="3748">
        <f>IFERROR(B26*F26,"NA")</f>
        <v>295.55686951935911</v>
      </c>
      <c r="M26" s="3749">
        <f>IFERROR(B26*G26,"NA")</f>
        <v>-856.13221419713909</v>
      </c>
      <c r="N26" s="3750">
        <f>IFERROR(B26*H26,"NA")</f>
        <v>-560.57534467777987</v>
      </c>
      <c r="O26" s="3751" t="str">
        <f>IFERROR(B26*I26,"NA")</f>
        <v>NA</v>
      </c>
      <c r="P26" s="3748" t="str">
        <f>IFERROR(D26*J26,"NA")</f>
        <v>NA</v>
      </c>
      <c r="Q26" s="3750">
        <f>IFERROR(C26*K26,"NA")</f>
        <v>-1.6147150504062926</v>
      </c>
      <c r="R26" s="3752">
        <f>SUBTOTAL(9,N26:Q26)</f>
        <v>-562.19005972818616</v>
      </c>
      <c r="S26" s="3753">
        <f>R26*-(44/12)</f>
        <v>2061.3635523366825</v>
      </c>
    </row>
    <row r="27" spans="1:20" s="3698" customFormat="1" ht="15.75" thickBot="1" x14ac:dyDescent="0.3">
      <c r="A27" s="1061" t="s">
        <v>853</v>
      </c>
      <c r="B27" s="3797">
        <f>SUM(B28:B34)</f>
        <v>754.875</v>
      </c>
      <c r="C27" s="3823">
        <f t="shared" ref="C27:D27" si="11">SUM(C28:C34)</f>
        <v>0</v>
      </c>
      <c r="D27" s="3798">
        <f t="shared" si="11"/>
        <v>701.125</v>
      </c>
      <c r="E27" s="3799">
        <f t="shared" si="10"/>
        <v>53.75</v>
      </c>
      <c r="F27" s="3754" t="str">
        <f>'NIR faktorer'!D335</f>
        <v/>
      </c>
      <c r="G27" s="3755" t="str">
        <f>'NIR faktorer'!D345</f>
        <v/>
      </c>
      <c r="H27" s="3756" t="str">
        <f>'NIR faktorer'!D355</f>
        <v/>
      </c>
      <c r="I27" s="3757" t="str">
        <f>'NIR faktorer'!D365</f>
        <v/>
      </c>
      <c r="J27" s="3755" t="str">
        <f>'NIR faktorer'!D375</f>
        <v/>
      </c>
      <c r="K27" s="3758" t="str">
        <f>'NIR faktorer'!D385</f>
        <v/>
      </c>
      <c r="L27" s="3754" t="str">
        <f t="shared" ref="L27:L34" si="12">IFERROR(B27*F27,"NA")</f>
        <v>NA</v>
      </c>
      <c r="M27" s="3755" t="str">
        <f t="shared" ref="M27:M34" si="13">IFERROR(B27*G27,"NA")</f>
        <v>NA</v>
      </c>
      <c r="N27" s="3756" t="str">
        <f t="shared" ref="N27:N34" si="14">IFERROR(B27*H27,"NA")</f>
        <v>NA</v>
      </c>
      <c r="O27" s="3759" t="str">
        <f t="shared" ref="O27:O34" si="15">IFERROR(B27*I27,"NA")</f>
        <v>NA</v>
      </c>
      <c r="P27" s="3754" t="str">
        <f t="shared" ref="P27:P34" si="16">IFERROR(D27*J27,"NA")</f>
        <v>NA</v>
      </c>
      <c r="Q27" s="3756" t="str">
        <f t="shared" ref="Q27:Q34" si="17">IFERROR(C27*K27,"NA")</f>
        <v>NA</v>
      </c>
      <c r="R27" s="3760">
        <f>SUM(R28:R34)</f>
        <v>-406.04411543685404</v>
      </c>
      <c r="S27" s="3760">
        <f>SUM(S28:S34)</f>
        <v>1488.8284232684646</v>
      </c>
    </row>
    <row r="28" spans="1:20" s="3698" customFormat="1" ht="15" x14ac:dyDescent="0.25">
      <c r="A28" s="1056" t="s">
        <v>852</v>
      </c>
      <c r="B28" s="4004">
        <v>143.75</v>
      </c>
      <c r="C28" s="3961">
        <v>0</v>
      </c>
      <c r="D28" s="3961">
        <v>143.625</v>
      </c>
      <c r="E28" s="3772">
        <f t="shared" si="10"/>
        <v>0.125</v>
      </c>
      <c r="F28" s="1058">
        <f>'NIR faktorer'!D336</f>
        <v>0.34181013905354002</v>
      </c>
      <c r="G28" s="1060">
        <f>'NIR faktorer'!D346</f>
        <v>-1.5232191310562599</v>
      </c>
      <c r="H28" s="1057">
        <f>'NIR faktorer'!D356</f>
        <v>-1.18140899200271</v>
      </c>
      <c r="I28" s="1077">
        <f>'NIR faktorer'!D366</f>
        <v>-1.4849684325350601</v>
      </c>
      <c r="J28" s="1060">
        <f>'NIR faktorer'!D376</f>
        <v>0.22074730584020999</v>
      </c>
      <c r="K28" s="1076">
        <f>'NIR faktorer'!D386</f>
        <v>-8.9397128076417598</v>
      </c>
      <c r="L28" s="3726">
        <f t="shared" si="12"/>
        <v>49.135207488946378</v>
      </c>
      <c r="M28" s="3727">
        <f t="shared" si="13"/>
        <v>-218.96275008933736</v>
      </c>
      <c r="N28" s="3728">
        <f t="shared" si="14"/>
        <v>-169.82754260038956</v>
      </c>
      <c r="O28" s="3761">
        <f t="shared" si="15"/>
        <v>-213.46421217691488</v>
      </c>
      <c r="P28" s="3726">
        <f t="shared" si="16"/>
        <v>31.704831801300159</v>
      </c>
      <c r="Q28" s="3728">
        <f t="shared" si="17"/>
        <v>0</v>
      </c>
      <c r="R28" s="3762">
        <f>SUBTOTAL(9,N28:Q28)</f>
        <v>-351.5869229760043</v>
      </c>
      <c r="S28" s="3731">
        <f>R28*-(44/12)</f>
        <v>1289.1520509120157</v>
      </c>
    </row>
    <row r="29" spans="1:20" s="3698" customFormat="1" ht="15" x14ac:dyDescent="0.25">
      <c r="A29" s="1056" t="s">
        <v>851</v>
      </c>
      <c r="B29" s="4001">
        <v>611.125</v>
      </c>
      <c r="C29" s="3960">
        <v>0</v>
      </c>
      <c r="D29" s="3960">
        <v>557.5</v>
      </c>
      <c r="E29" s="4005">
        <f t="shared" si="10"/>
        <v>53.625</v>
      </c>
      <c r="F29" s="1058">
        <f>'NIR faktorer'!D337</f>
        <v>0.21192419666236001</v>
      </c>
      <c r="G29" s="1060">
        <f>'NIR faktorer'!D347</f>
        <v>-0.30103394092229002</v>
      </c>
      <c r="H29" s="1057">
        <f>'NIR faktorer'!D357</f>
        <v>-8.9109744259929999E-2</v>
      </c>
      <c r="I29" s="1077" t="str">
        <f>'NIR faktorer'!D367</f>
        <v>NO</v>
      </c>
      <c r="J29" s="1060" t="str">
        <f>'NIR faktorer'!D377</f>
        <v>IE</v>
      </c>
      <c r="K29" s="1076" t="str">
        <f>'NIR faktorer'!D387</f>
        <v>IE</v>
      </c>
      <c r="L29" s="3726">
        <f t="shared" si="12"/>
        <v>129.51217468528475</v>
      </c>
      <c r="M29" s="3727">
        <f t="shared" si="13"/>
        <v>-183.96936714613449</v>
      </c>
      <c r="N29" s="3728">
        <f t="shared" si="14"/>
        <v>-54.457192460849718</v>
      </c>
      <c r="O29" s="3761" t="str">
        <f t="shared" si="15"/>
        <v>NA</v>
      </c>
      <c r="P29" s="3726" t="str">
        <f t="shared" si="16"/>
        <v>NA</v>
      </c>
      <c r="Q29" s="3728" t="str">
        <f t="shared" si="17"/>
        <v>NA</v>
      </c>
      <c r="R29" s="3762">
        <f t="shared" ref="R29:R34" si="18">SUBTOTAL(9,N29:Q29)</f>
        <v>-54.457192460849718</v>
      </c>
      <c r="S29" s="3731">
        <f t="shared" ref="S29:S34" si="19">R29*-(44/12)</f>
        <v>199.67637235644895</v>
      </c>
    </row>
    <row r="30" spans="1:20" s="3698" customFormat="1" ht="15" x14ac:dyDescent="0.25">
      <c r="A30" s="1056" t="s">
        <v>850</v>
      </c>
      <c r="B30" s="4001">
        <v>0</v>
      </c>
      <c r="C30" s="3960">
        <v>0</v>
      </c>
      <c r="D30" s="3960">
        <v>0</v>
      </c>
      <c r="E30" s="4005">
        <f t="shared" si="10"/>
        <v>0</v>
      </c>
      <c r="F30" s="3726" t="str">
        <f>'NIR faktorer'!D338</f>
        <v>NO</v>
      </c>
      <c r="G30" s="3727" t="str">
        <f>'NIR faktorer'!D348</f>
        <v>NO</v>
      </c>
      <c r="H30" s="3728" t="str">
        <f>'NIR faktorer'!D358</f>
        <v>NO</v>
      </c>
      <c r="I30" s="3763" t="str">
        <f>'NIR faktorer'!D368</f>
        <v>NO</v>
      </c>
      <c r="J30" s="3727" t="str">
        <f>'NIR faktorer'!D378</f>
        <v>NO</v>
      </c>
      <c r="K30" s="3764" t="str">
        <f>'NIR faktorer'!D388</f>
        <v>NO</v>
      </c>
      <c r="L30" s="3726" t="str">
        <f t="shared" si="12"/>
        <v>NA</v>
      </c>
      <c r="M30" s="3727" t="str">
        <f t="shared" si="13"/>
        <v>NA</v>
      </c>
      <c r="N30" s="3728" t="str">
        <f t="shared" si="14"/>
        <v>NA</v>
      </c>
      <c r="O30" s="3761" t="str">
        <f t="shared" si="15"/>
        <v>NA</v>
      </c>
      <c r="P30" s="3726" t="str">
        <f t="shared" si="16"/>
        <v>NA</v>
      </c>
      <c r="Q30" s="3728" t="str">
        <f t="shared" si="17"/>
        <v>NA</v>
      </c>
      <c r="R30" s="3762">
        <f t="shared" si="18"/>
        <v>0</v>
      </c>
      <c r="S30" s="3731">
        <f t="shared" si="19"/>
        <v>0</v>
      </c>
    </row>
    <row r="31" spans="1:20" s="3698" customFormat="1" ht="15" x14ac:dyDescent="0.25">
      <c r="A31" s="1056" t="s">
        <v>849</v>
      </c>
      <c r="B31" s="4001">
        <v>0</v>
      </c>
      <c r="C31" s="3960">
        <v>0</v>
      </c>
      <c r="D31" s="3960">
        <v>0</v>
      </c>
      <c r="E31" s="4005">
        <f t="shared" si="10"/>
        <v>0</v>
      </c>
      <c r="F31" s="3726" t="str">
        <f>'NIR faktorer'!D339</f>
        <v>NO</v>
      </c>
      <c r="G31" s="3727" t="str">
        <f>'NIR faktorer'!D349</f>
        <v>NO</v>
      </c>
      <c r="H31" s="3728" t="str">
        <f>'NIR faktorer'!D359</f>
        <v>NO</v>
      </c>
      <c r="I31" s="3763" t="str">
        <f>'NIR faktorer'!D369</f>
        <v>NO</v>
      </c>
      <c r="J31" s="3727" t="str">
        <f>'NIR faktorer'!D379</f>
        <v>NO</v>
      </c>
      <c r="K31" s="3764" t="str">
        <f>'NIR faktorer'!D389</f>
        <v>NO</v>
      </c>
      <c r="L31" s="3726" t="str">
        <f t="shared" si="12"/>
        <v>NA</v>
      </c>
      <c r="M31" s="3727" t="str">
        <f t="shared" si="13"/>
        <v>NA</v>
      </c>
      <c r="N31" s="3728" t="str">
        <f t="shared" si="14"/>
        <v>NA</v>
      </c>
      <c r="O31" s="3761" t="str">
        <f t="shared" si="15"/>
        <v>NA</v>
      </c>
      <c r="P31" s="3726" t="str">
        <f t="shared" si="16"/>
        <v>NA</v>
      </c>
      <c r="Q31" s="3728" t="str">
        <f t="shared" si="17"/>
        <v>NA</v>
      </c>
      <c r="R31" s="3762">
        <f t="shared" si="18"/>
        <v>0</v>
      </c>
      <c r="S31" s="3731">
        <f t="shared" si="19"/>
        <v>0</v>
      </c>
    </row>
    <row r="32" spans="1:20" s="3698" customFormat="1" ht="15" x14ac:dyDescent="0.25">
      <c r="A32" s="1056" t="s">
        <v>848</v>
      </c>
      <c r="B32" s="4001">
        <v>0</v>
      </c>
      <c r="C32" s="3960">
        <v>0</v>
      </c>
      <c r="D32" s="3960">
        <v>0</v>
      </c>
      <c r="E32" s="4005">
        <f t="shared" si="10"/>
        <v>0</v>
      </c>
      <c r="F32" s="3726" t="str">
        <f>'NIR faktorer'!D340</f>
        <v>NO</v>
      </c>
      <c r="G32" s="3727" t="str">
        <f>'NIR faktorer'!D350</f>
        <v>NO</v>
      </c>
      <c r="H32" s="3728" t="str">
        <f>'NIR faktorer'!D360</f>
        <v>NO</v>
      </c>
      <c r="I32" s="3763" t="str">
        <f>'NIR faktorer'!D370</f>
        <v>NO</v>
      </c>
      <c r="J32" s="3727" t="str">
        <f>'NIR faktorer'!D380</f>
        <v>NO</v>
      </c>
      <c r="K32" s="3764" t="str">
        <f>'NIR faktorer'!D390</f>
        <v>NO</v>
      </c>
      <c r="L32" s="3726" t="str">
        <f t="shared" si="12"/>
        <v>NA</v>
      </c>
      <c r="M32" s="3727" t="str">
        <f t="shared" si="13"/>
        <v>NA</v>
      </c>
      <c r="N32" s="3728" t="str">
        <f t="shared" si="14"/>
        <v>NA</v>
      </c>
      <c r="O32" s="3761" t="str">
        <f t="shared" si="15"/>
        <v>NA</v>
      </c>
      <c r="P32" s="3726" t="str">
        <f t="shared" si="16"/>
        <v>NA</v>
      </c>
      <c r="Q32" s="3728" t="str">
        <f t="shared" si="17"/>
        <v>NA</v>
      </c>
      <c r="R32" s="3762">
        <f t="shared" si="18"/>
        <v>0</v>
      </c>
      <c r="S32" s="3731">
        <f t="shared" si="19"/>
        <v>0</v>
      </c>
    </row>
    <row r="33" spans="1:20" s="3698" customFormat="1" ht="15" x14ac:dyDescent="0.25">
      <c r="A33" s="1056" t="s">
        <v>847</v>
      </c>
      <c r="B33" s="4001">
        <v>0</v>
      </c>
      <c r="C33" s="3960">
        <v>0</v>
      </c>
      <c r="D33" s="3960">
        <v>0</v>
      </c>
      <c r="E33" s="4005">
        <f t="shared" si="10"/>
        <v>0</v>
      </c>
      <c r="F33" s="3726" t="str">
        <f>'NIR faktorer'!D341</f>
        <v>NA</v>
      </c>
      <c r="G33" s="3727" t="str">
        <f>'NIR faktorer'!D351</f>
        <v>NA</v>
      </c>
      <c r="H33" s="3728" t="str">
        <f>'NIR faktorer'!D361</f>
        <v>NA</v>
      </c>
      <c r="I33" s="3763" t="str">
        <f>'NIR faktorer'!D371</f>
        <v>NA</v>
      </c>
      <c r="J33" s="3727" t="str">
        <f>'NIR faktorer'!D381</f>
        <v>NA</v>
      </c>
      <c r="K33" s="3764" t="str">
        <f>'NIR faktorer'!D391</f>
        <v>NA</v>
      </c>
      <c r="L33" s="3726" t="str">
        <f t="shared" si="12"/>
        <v>NA</v>
      </c>
      <c r="M33" s="3727" t="str">
        <f t="shared" si="13"/>
        <v>NA</v>
      </c>
      <c r="N33" s="3728" t="str">
        <f t="shared" si="14"/>
        <v>NA</v>
      </c>
      <c r="O33" s="3761" t="str">
        <f t="shared" si="15"/>
        <v>NA</v>
      </c>
      <c r="P33" s="3726" t="str">
        <f t="shared" si="16"/>
        <v>NA</v>
      </c>
      <c r="Q33" s="3728" t="str">
        <f t="shared" si="17"/>
        <v>NA</v>
      </c>
      <c r="R33" s="3762">
        <f t="shared" si="18"/>
        <v>0</v>
      </c>
      <c r="S33" s="3731">
        <f t="shared" si="19"/>
        <v>0</v>
      </c>
    </row>
    <row r="34" spans="1:20" s="3698" customFormat="1" ht="15.75" thickBot="1" x14ac:dyDescent="0.3">
      <c r="A34" s="1055" t="s">
        <v>846</v>
      </c>
      <c r="B34" s="4002">
        <v>0</v>
      </c>
      <c r="C34" s="4006">
        <v>0</v>
      </c>
      <c r="D34" s="3976">
        <v>0</v>
      </c>
      <c r="E34" s="4007">
        <f t="shared" si="10"/>
        <v>0</v>
      </c>
      <c r="F34" s="3733" t="str">
        <f>'NIR faktorer'!D342</f>
        <v>NA</v>
      </c>
      <c r="G34" s="3735" t="str">
        <f>'NIR faktorer'!D352</f>
        <v>NA</v>
      </c>
      <c r="H34" s="3734" t="str">
        <f>'NIR faktorer'!D362</f>
        <v>NA</v>
      </c>
      <c r="I34" s="3765" t="str">
        <f>'NIR faktorer'!D372</f>
        <v>NA</v>
      </c>
      <c r="J34" s="3735" t="str">
        <f>'NIR faktorer'!D382</f>
        <v>NA</v>
      </c>
      <c r="K34" s="3766" t="str">
        <f>'NIR faktorer'!D392</f>
        <v>NA</v>
      </c>
      <c r="L34" s="3733" t="str">
        <f t="shared" si="12"/>
        <v>NA</v>
      </c>
      <c r="M34" s="3735" t="str">
        <f t="shared" si="13"/>
        <v>NA</v>
      </c>
      <c r="N34" s="3734" t="str">
        <f t="shared" si="14"/>
        <v>NA</v>
      </c>
      <c r="O34" s="3767" t="str">
        <f t="shared" si="15"/>
        <v>NA</v>
      </c>
      <c r="P34" s="3733" t="str">
        <f t="shared" si="16"/>
        <v>NA</v>
      </c>
      <c r="Q34" s="3734" t="str">
        <f t="shared" si="17"/>
        <v>NA</v>
      </c>
      <c r="R34" s="3768">
        <f t="shared" si="18"/>
        <v>0</v>
      </c>
      <c r="S34" s="3738">
        <f t="shared" si="19"/>
        <v>0</v>
      </c>
    </row>
    <row r="35" spans="1:20" ht="28.5" customHeight="1" x14ac:dyDescent="0.2">
      <c r="A35" s="1976"/>
      <c r="B35" s="1977"/>
      <c r="C35" s="1977"/>
      <c r="D35" s="1977"/>
      <c r="E35" s="1977"/>
      <c r="T35" s="2008"/>
    </row>
    <row r="36" spans="1:20" s="1037" customFormat="1" ht="43.5" customHeight="1" x14ac:dyDescent="0.2">
      <c r="A36" s="1032" t="s">
        <v>2257</v>
      </c>
      <c r="B36" s="5289" t="s">
        <v>1845</v>
      </c>
      <c r="C36" s="5290"/>
      <c r="D36" s="5290"/>
      <c r="E36" s="5291"/>
      <c r="F36" s="5289" t="str">
        <f>'NIR faktorer'!D394</f>
        <v xml:space="preserve"> NIR 2020 (2018) CRF tabel 4D</v>
      </c>
      <c r="G36" s="5290"/>
      <c r="H36" s="5290"/>
      <c r="I36" s="5290"/>
      <c r="J36" s="5290"/>
      <c r="K36" s="5291"/>
      <c r="L36" s="5289" t="s">
        <v>2054</v>
      </c>
      <c r="M36" s="5290"/>
      <c r="N36" s="5290"/>
      <c r="O36" s="5290"/>
      <c r="P36" s="5290"/>
      <c r="Q36" s="5291"/>
      <c r="S36" s="1039" t="s">
        <v>2304</v>
      </c>
      <c r="T36" s="1075"/>
    </row>
    <row r="37" spans="1:20" s="1035" customFormat="1" ht="12" x14ac:dyDescent="0.2">
      <c r="A37" s="1036" t="s">
        <v>2314</v>
      </c>
    </row>
    <row r="39" spans="1:20" ht="14.45" customHeight="1" thickBot="1" x14ac:dyDescent="0.3">
      <c r="A39" s="1034" t="s">
        <v>2313</v>
      </c>
      <c r="F39" s="5297" t="s">
        <v>4949</v>
      </c>
      <c r="G39" s="5297"/>
      <c r="H39" s="5297"/>
      <c r="I39" s="1052"/>
      <c r="J39" s="5298" t="s">
        <v>4950</v>
      </c>
      <c r="K39" s="5298"/>
      <c r="L39" s="5299" t="s">
        <v>4948</v>
      </c>
      <c r="M39" s="5299"/>
      <c r="N39" s="5299"/>
      <c r="O39" s="1051"/>
      <c r="P39" s="5299" t="s">
        <v>4947</v>
      </c>
      <c r="Q39" s="5299"/>
    </row>
    <row r="40" spans="1:20" s="3698" customFormat="1" ht="60.75" thickBot="1" x14ac:dyDescent="0.3">
      <c r="A40" s="2904" t="s">
        <v>2312</v>
      </c>
      <c r="B40" s="1015" t="s">
        <v>4953</v>
      </c>
      <c r="C40" s="1073" t="s">
        <v>4859</v>
      </c>
      <c r="D40" s="1073" t="s">
        <v>4860</v>
      </c>
      <c r="E40" s="1070" t="s">
        <v>4861</v>
      </c>
      <c r="F40" s="1072" t="s">
        <v>4869</v>
      </c>
      <c r="G40" s="1072" t="s">
        <v>4863</v>
      </c>
      <c r="H40" s="1074" t="s">
        <v>4864</v>
      </c>
      <c r="I40" s="1044" t="s">
        <v>4866</v>
      </c>
      <c r="J40" s="1071" t="s">
        <v>4870</v>
      </c>
      <c r="K40" s="1074" t="s">
        <v>4868</v>
      </c>
      <c r="L40" s="1071" t="s">
        <v>4872</v>
      </c>
      <c r="M40" s="1073" t="s">
        <v>4880</v>
      </c>
      <c r="N40" s="1070" t="s">
        <v>4887</v>
      </c>
      <c r="O40" s="1072" t="s">
        <v>4873</v>
      </c>
      <c r="P40" s="1071" t="s">
        <v>4881</v>
      </c>
      <c r="Q40" s="1070" t="s">
        <v>4882</v>
      </c>
      <c r="R40" s="1044" t="s">
        <v>4883</v>
      </c>
      <c r="S40" s="2937" t="s">
        <v>4911</v>
      </c>
    </row>
    <row r="41" spans="1:20" s="3698" customFormat="1" ht="27" customHeight="1" thickBot="1" x14ac:dyDescent="0.3">
      <c r="A41" s="1043" t="s">
        <v>841</v>
      </c>
      <c r="B41" s="3699">
        <f>B43+B44+B45+B48+B49+B50+B51+B54+B55+B56</f>
        <v>425.1875</v>
      </c>
      <c r="C41" s="3769">
        <f>C43+C44+C45+C48+C49+C50+C51+C54+C55+C56</f>
        <v>6.25E-2</v>
      </c>
      <c r="D41" s="3700">
        <f>D43+D44+D45+D48+D49+D50+D51+D54+D55+D56</f>
        <v>294.3125</v>
      </c>
      <c r="E41" s="3701">
        <f t="shared" ref="E41:E56" si="20">B41-C41-D41</f>
        <v>130.8125</v>
      </c>
      <c r="F41" s="3770" t="str">
        <f>'NIR faktorer'!D397</f>
        <v>´</v>
      </c>
      <c r="G41" s="3703" t="str">
        <f>'NIR faktorer'!D413</f>
        <v/>
      </c>
      <c r="H41" s="3704" t="str">
        <f>'NIR faktorer'!D429</f>
        <v/>
      </c>
      <c r="I41" s="3705" t="str">
        <f>'NIR faktorer'!D445</f>
        <v/>
      </c>
      <c r="J41" s="3702" t="str">
        <f>'NIR faktorer'!D461</f>
        <v/>
      </c>
      <c r="K41" s="3704" t="str">
        <f>'NIR faktorer'!D477</f>
        <v/>
      </c>
      <c r="L41" s="3702"/>
      <c r="M41" s="3703"/>
      <c r="N41" s="3704"/>
      <c r="O41" s="3770"/>
      <c r="P41" s="3702"/>
      <c r="Q41" s="3703"/>
      <c r="R41" s="3771">
        <f>R42+R47+R53</f>
        <v>0</v>
      </c>
      <c r="S41" s="3771">
        <f>S42+S47+S53</f>
        <v>0</v>
      </c>
    </row>
    <row r="42" spans="1:20" s="3698" customFormat="1" ht="20.45" customHeight="1" x14ac:dyDescent="0.25">
      <c r="A42" s="1069" t="s">
        <v>840</v>
      </c>
      <c r="B42" s="3824">
        <f>B43+B44+B45</f>
        <v>404.8125</v>
      </c>
      <c r="C42" s="3779">
        <f>C43+C44+C45</f>
        <v>6.25E-2</v>
      </c>
      <c r="D42" s="3779">
        <f>D43+D44+D45</f>
        <v>275.3125</v>
      </c>
      <c r="E42" s="3772">
        <f t="shared" si="20"/>
        <v>129.4375</v>
      </c>
      <c r="F42" s="3773" t="str">
        <f>'NIR faktorer'!D398</f>
        <v>NO</v>
      </c>
      <c r="G42" s="3774" t="str">
        <f>'NIR faktorer'!D414</f>
        <v>NO</v>
      </c>
      <c r="H42" s="3775" t="str">
        <f>'NIR faktorer'!D430</f>
        <v>NO</v>
      </c>
      <c r="I42" s="3776" t="str">
        <f>'NIR faktorer'!D446</f>
        <v>NO</v>
      </c>
      <c r="J42" s="3773" t="str">
        <f>'NIR faktorer'!D462</f>
        <v>NO</v>
      </c>
      <c r="K42" s="3777">
        <f>'NIR faktorer'!D478</f>
        <v>-3.9226870252658799</v>
      </c>
      <c r="L42" s="3778" t="str">
        <f>IFERROR(F42*$B42,"NA")</f>
        <v>NA</v>
      </c>
      <c r="M42" s="3778" t="str">
        <f>IFERROR(G42*$B42,"NA")</f>
        <v>NA</v>
      </c>
      <c r="N42" s="3772" t="str">
        <f>IFERROR(H42*$B42,"NA")</f>
        <v>NA</v>
      </c>
      <c r="O42" s="3780" t="str">
        <f>IFERROR(I42*B42,"NA")</f>
        <v>NA</v>
      </c>
      <c r="P42" s="3781" t="str">
        <f>IFERROR(J42*C42,"NA")</f>
        <v>NA</v>
      </c>
      <c r="Q42" s="3782">
        <f>Q43</f>
        <v>0</v>
      </c>
      <c r="R42" s="3783">
        <f>SUM(R43:R45)</f>
        <v>0</v>
      </c>
      <c r="S42" s="3784">
        <f>R42*-(44/12)</f>
        <v>0</v>
      </c>
    </row>
    <row r="43" spans="1:20" s="3698" customFormat="1" ht="15" x14ac:dyDescent="0.25">
      <c r="A43" s="1068" t="s">
        <v>839</v>
      </c>
      <c r="B43" s="4008">
        <v>0</v>
      </c>
      <c r="C43" s="4009">
        <v>0</v>
      </c>
      <c r="D43" s="4010">
        <v>0</v>
      </c>
      <c r="E43" s="4005">
        <f t="shared" si="20"/>
        <v>0</v>
      </c>
      <c r="F43" s="3763" t="str">
        <f>'NIR faktorer'!D399</f>
        <v>NO</v>
      </c>
      <c r="G43" s="3727" t="str">
        <f>'NIR faktorer'!D415</f>
        <v>NO</v>
      </c>
      <c r="H43" s="3764" t="str">
        <f>'NIR faktorer'!D431</f>
        <v>NO</v>
      </c>
      <c r="I43" s="3730" t="str">
        <f>'NIR faktorer'!D447</f>
        <v>NO</v>
      </c>
      <c r="J43" s="3763" t="str">
        <f>'NIR faktorer'!D463</f>
        <v>NO</v>
      </c>
      <c r="K43" s="3728">
        <f>'NIR faktorer'!D479</f>
        <v>-17.93365</v>
      </c>
      <c r="L43" s="3787" t="str">
        <f t="shared" ref="L43:L56" si="21">IFERROR(F43*$B43,"NA")</f>
        <v>NA</v>
      </c>
      <c r="M43" s="3786" t="str">
        <f t="shared" ref="M43:M56" si="22">IFERROR(G43*$B43,"NA")</f>
        <v>NA</v>
      </c>
      <c r="N43" s="3725" t="str">
        <f t="shared" ref="N43:N56" si="23">IFERROR(H43*$B43,"NA")</f>
        <v>NA</v>
      </c>
      <c r="O43" s="3788" t="str">
        <f t="shared" ref="O43:O56" si="24">IFERROR(I43*B43,"NA")</f>
        <v>NA</v>
      </c>
      <c r="P43" s="3789" t="str">
        <f t="shared" ref="P43:P56" si="25">IFERROR(J43*C43,"NA")</f>
        <v>NA</v>
      </c>
      <c r="Q43" s="1057">
        <f>IFERROR(C43*K43,"NA")</f>
        <v>0</v>
      </c>
      <c r="R43" s="3762">
        <f t="shared" ref="R43:R56" si="26">SUBTOTAL(9,N43:Q43)</f>
        <v>0</v>
      </c>
      <c r="S43" s="3731">
        <f t="shared" ref="S43:S56" si="27">R43*-(44/12)</f>
        <v>0</v>
      </c>
    </row>
    <row r="44" spans="1:20" s="3698" customFormat="1" ht="15" x14ac:dyDescent="0.25">
      <c r="A44" s="1068" t="s">
        <v>838</v>
      </c>
      <c r="B44" s="4001">
        <v>57.5625</v>
      </c>
      <c r="C44" s="3960">
        <v>0</v>
      </c>
      <c r="D44" s="3960">
        <v>53.4375</v>
      </c>
      <c r="E44" s="4005">
        <f t="shared" si="20"/>
        <v>4.125</v>
      </c>
      <c r="F44" s="3763" t="str">
        <f>'NIR faktorer'!D400</f>
        <v>NO</v>
      </c>
      <c r="G44" s="3727" t="str">
        <f>'NIR faktorer'!D416</f>
        <v>NO</v>
      </c>
      <c r="H44" s="3764" t="str">
        <f>'NIR faktorer'!D432</f>
        <v>NO</v>
      </c>
      <c r="I44" s="3730" t="str">
        <f>'NIR faktorer'!D448</f>
        <v>NO</v>
      </c>
      <c r="J44" s="3763" t="str">
        <f>'NIR faktorer'!D464</f>
        <v>NO</v>
      </c>
      <c r="K44" s="3728" t="str">
        <f>'NIR faktorer'!D480</f>
        <v>NO</v>
      </c>
      <c r="L44" s="3787" t="str">
        <f t="shared" si="21"/>
        <v>NA</v>
      </c>
      <c r="M44" s="3786" t="str">
        <f t="shared" si="22"/>
        <v>NA</v>
      </c>
      <c r="N44" s="3725" t="str">
        <f t="shared" si="23"/>
        <v>NA</v>
      </c>
      <c r="O44" s="3788" t="str">
        <f t="shared" si="24"/>
        <v>NA</v>
      </c>
      <c r="P44" s="3789" t="str">
        <f t="shared" si="25"/>
        <v>NA</v>
      </c>
      <c r="Q44" s="1057" t="str">
        <f t="shared" ref="Q44:Q56" si="28">IFERROR(C44*K44,"NA")</f>
        <v>NA</v>
      </c>
      <c r="R44" s="3762">
        <f t="shared" si="26"/>
        <v>0</v>
      </c>
      <c r="S44" s="3731">
        <f t="shared" si="27"/>
        <v>0</v>
      </c>
      <c r="T44" s="3790"/>
    </row>
    <row r="45" spans="1:20" s="3698" customFormat="1" ht="15.75" customHeight="1" thickBot="1" x14ac:dyDescent="0.3">
      <c r="A45" s="1067" t="s">
        <v>837</v>
      </c>
      <c r="B45" s="4002">
        <v>347.25</v>
      </c>
      <c r="C45" s="3976">
        <v>6.25E-2</v>
      </c>
      <c r="D45" s="3976">
        <v>221.875</v>
      </c>
      <c r="E45" s="4007">
        <f t="shared" si="20"/>
        <v>125.3125</v>
      </c>
      <c r="F45" s="3765" t="str">
        <f>'NIR faktorer'!D401</f>
        <v>NO</v>
      </c>
      <c r="G45" s="3735" t="str">
        <f>'NIR faktorer'!D417</f>
        <v>NO</v>
      </c>
      <c r="H45" s="3766" t="str">
        <f>'NIR faktorer'!D433</f>
        <v>NO</v>
      </c>
      <c r="I45" s="3737" t="str">
        <f>'NIR faktorer'!D449</f>
        <v>NO</v>
      </c>
      <c r="J45" s="3765" t="str">
        <f>'NIR faktorer'!D465</f>
        <v>NO</v>
      </c>
      <c r="K45" s="3734" t="str">
        <f>'NIR faktorer'!D481</f>
        <v>NO</v>
      </c>
      <c r="L45" s="3791" t="str">
        <f t="shared" si="21"/>
        <v>NA</v>
      </c>
      <c r="M45" s="3792" t="str">
        <f t="shared" si="22"/>
        <v>NA</v>
      </c>
      <c r="N45" s="3732" t="str">
        <f t="shared" si="23"/>
        <v>NA</v>
      </c>
      <c r="O45" s="3793" t="str">
        <f t="shared" si="24"/>
        <v>NA</v>
      </c>
      <c r="P45" s="3794" t="str">
        <f t="shared" si="25"/>
        <v>NA</v>
      </c>
      <c r="Q45" s="3795" t="str">
        <f t="shared" si="28"/>
        <v>NA</v>
      </c>
      <c r="R45" s="3768">
        <f t="shared" si="26"/>
        <v>0</v>
      </c>
      <c r="S45" s="3738">
        <f t="shared" si="27"/>
        <v>0</v>
      </c>
    </row>
    <row r="46" spans="1:20" s="3698" customFormat="1" ht="15.75" thickBot="1" x14ac:dyDescent="0.3">
      <c r="A46" s="3796"/>
      <c r="B46" s="3797"/>
      <c r="C46" s="3798"/>
      <c r="D46" s="3798"/>
      <c r="E46" s="3799"/>
      <c r="F46" s="3800"/>
      <c r="G46" s="3801"/>
      <c r="H46" s="3802"/>
      <c r="I46" s="3803"/>
      <c r="J46" s="3804"/>
      <c r="K46" s="3805"/>
      <c r="L46" s="3806"/>
      <c r="M46" s="3807"/>
      <c r="N46" s="3799"/>
      <c r="O46" s="3808"/>
      <c r="P46" s="3809"/>
      <c r="Q46" s="3810"/>
      <c r="R46" s="3811"/>
      <c r="S46" s="3812"/>
    </row>
    <row r="47" spans="1:20" s="3698" customFormat="1" ht="15" x14ac:dyDescent="0.25">
      <c r="A47" s="1069" t="s">
        <v>836</v>
      </c>
      <c r="B47" s="3824">
        <f>B48+B49+B50+B51</f>
        <v>0.5</v>
      </c>
      <c r="C47" s="3779">
        <f>C48+C49+C50+C51</f>
        <v>0</v>
      </c>
      <c r="D47" s="3779">
        <f>D48+D49+D50+D51</f>
        <v>0.5</v>
      </c>
      <c r="E47" s="3772">
        <f t="shared" si="20"/>
        <v>0</v>
      </c>
      <c r="F47" s="3773" t="str">
        <f>'NIR faktorer'!D403</f>
        <v>NO</v>
      </c>
      <c r="G47" s="3774" t="str">
        <f>'NIR faktorer'!D419</f>
        <v>NO</v>
      </c>
      <c r="H47" s="3777" t="str">
        <f>'NIR faktorer'!D435</f>
        <v>NO</v>
      </c>
      <c r="I47" s="3773" t="str">
        <f>'NIR faktorer'!D451</f>
        <v>NO</v>
      </c>
      <c r="J47" s="3813" t="str">
        <f>'NIR faktorer'!D467</f>
        <v>NO</v>
      </c>
      <c r="K47" s="3813" t="str">
        <f>'NIR faktorer'!D483</f>
        <v>NO</v>
      </c>
      <c r="L47" s="3814" t="str">
        <f t="shared" si="21"/>
        <v>NA</v>
      </c>
      <c r="M47" s="3718" t="str">
        <f t="shared" si="22"/>
        <v>NA</v>
      </c>
      <c r="N47" s="3815" t="str">
        <f t="shared" si="23"/>
        <v>NA</v>
      </c>
      <c r="O47" s="3780" t="str">
        <f t="shared" si="24"/>
        <v>NA</v>
      </c>
      <c r="P47" s="3781" t="str">
        <f t="shared" si="25"/>
        <v>NA</v>
      </c>
      <c r="Q47" s="3782" t="str">
        <f t="shared" si="28"/>
        <v>NA</v>
      </c>
      <c r="R47" s="3783">
        <f>SUM(R48:R51)</f>
        <v>0</v>
      </c>
      <c r="S47" s="3784">
        <f>R47*-(44/12)</f>
        <v>0</v>
      </c>
    </row>
    <row r="48" spans="1:20" s="3698" customFormat="1" ht="15" x14ac:dyDescent="0.25">
      <c r="A48" s="1068" t="s">
        <v>835</v>
      </c>
      <c r="B48" s="4001">
        <v>0</v>
      </c>
      <c r="C48" s="3960">
        <v>0</v>
      </c>
      <c r="D48" s="3960">
        <v>0</v>
      </c>
      <c r="E48" s="3725">
        <f t="shared" si="20"/>
        <v>0</v>
      </c>
      <c r="F48" s="3763" t="str">
        <f>'NIR faktorer'!D404</f>
        <v>NO</v>
      </c>
      <c r="G48" s="3727" t="str">
        <f>'NIR faktorer'!D420</f>
        <v>NO</v>
      </c>
      <c r="H48" s="3728" t="str">
        <f>'NIR faktorer'!D436</f>
        <v>NO</v>
      </c>
      <c r="I48" s="3816" t="str">
        <f>'NIR faktorer'!D452</f>
        <v>NO</v>
      </c>
      <c r="J48" s="3763" t="str">
        <f>'NIR faktorer'!D468</f>
        <v>NO</v>
      </c>
      <c r="K48" s="3728" t="str">
        <f>'NIR faktorer'!D484</f>
        <v>NO</v>
      </c>
      <c r="L48" s="3761" t="str">
        <f t="shared" si="21"/>
        <v>NA</v>
      </c>
      <c r="M48" s="3786" t="str">
        <f t="shared" si="22"/>
        <v>NA</v>
      </c>
      <c r="N48" s="3817" t="str">
        <f t="shared" si="23"/>
        <v>NA</v>
      </c>
      <c r="O48" s="3788" t="str">
        <f t="shared" si="24"/>
        <v>NA</v>
      </c>
      <c r="P48" s="3789" t="str">
        <f t="shared" si="25"/>
        <v>NA</v>
      </c>
      <c r="Q48" s="1057" t="str">
        <f t="shared" si="28"/>
        <v>NA</v>
      </c>
      <c r="R48" s="3762">
        <f t="shared" si="26"/>
        <v>0</v>
      </c>
      <c r="S48" s="3731">
        <f t="shared" si="27"/>
        <v>0</v>
      </c>
    </row>
    <row r="49" spans="1:20" s="3698" customFormat="1" ht="15" x14ac:dyDescent="0.25">
      <c r="A49" s="1068" t="s">
        <v>834</v>
      </c>
      <c r="B49" s="4001">
        <v>0</v>
      </c>
      <c r="C49" s="3960">
        <v>0</v>
      </c>
      <c r="D49" s="3960">
        <v>0</v>
      </c>
      <c r="E49" s="3725">
        <f t="shared" si="20"/>
        <v>0</v>
      </c>
      <c r="F49" s="3763" t="str">
        <f>'NIR faktorer'!D405</f>
        <v>NO</v>
      </c>
      <c r="G49" s="3727" t="str">
        <f>'NIR faktorer'!D421</f>
        <v>NO</v>
      </c>
      <c r="H49" s="3728" t="str">
        <f>'NIR faktorer'!D437</f>
        <v>NO</v>
      </c>
      <c r="I49" s="3816" t="str">
        <f>'NIR faktorer'!D453</f>
        <v>NO</v>
      </c>
      <c r="J49" s="3763" t="str">
        <f>'NIR faktorer'!D469</f>
        <v>NO</v>
      </c>
      <c r="K49" s="3728" t="str">
        <f>'NIR faktorer'!D485</f>
        <v>NO</v>
      </c>
      <c r="L49" s="3761" t="str">
        <f t="shared" si="21"/>
        <v>NA</v>
      </c>
      <c r="M49" s="3786" t="str">
        <f t="shared" si="22"/>
        <v>NA</v>
      </c>
      <c r="N49" s="3817" t="str">
        <f t="shared" si="23"/>
        <v>NA</v>
      </c>
      <c r="O49" s="3818" t="str">
        <f t="shared" si="24"/>
        <v>NA</v>
      </c>
      <c r="P49" s="3819" t="str">
        <f t="shared" si="25"/>
        <v>NA</v>
      </c>
      <c r="Q49" s="3820" t="str">
        <f t="shared" si="28"/>
        <v>NA</v>
      </c>
      <c r="R49" s="3762">
        <f t="shared" si="26"/>
        <v>0</v>
      </c>
      <c r="S49" s="3731">
        <f t="shared" si="27"/>
        <v>0</v>
      </c>
    </row>
    <row r="50" spans="1:20" s="3698" customFormat="1" ht="15" x14ac:dyDescent="0.25">
      <c r="A50" s="1068" t="s">
        <v>833</v>
      </c>
      <c r="B50" s="4001">
        <v>0.4375</v>
      </c>
      <c r="C50" s="3960">
        <v>0</v>
      </c>
      <c r="D50" s="3960">
        <v>0.4375</v>
      </c>
      <c r="E50" s="4005">
        <f t="shared" si="20"/>
        <v>0</v>
      </c>
      <c r="F50" s="3763" t="str">
        <f>'NIR faktorer'!D406</f>
        <v>NO</v>
      </c>
      <c r="G50" s="3727" t="str">
        <f>'NIR faktorer'!D422</f>
        <v>NO</v>
      </c>
      <c r="H50" s="3728" t="str">
        <f>'NIR faktorer'!D438</f>
        <v>NO</v>
      </c>
      <c r="I50" s="3816" t="str">
        <f>'NIR faktorer'!D454</f>
        <v>NO</v>
      </c>
      <c r="J50" s="3763" t="str">
        <f>'NIR faktorer'!D470</f>
        <v>NO</v>
      </c>
      <c r="K50" s="3728" t="str">
        <f>'NIR faktorer'!D486</f>
        <v>NO</v>
      </c>
      <c r="L50" s="3761" t="str">
        <f t="shared" si="21"/>
        <v>NA</v>
      </c>
      <c r="M50" s="3786" t="str">
        <f t="shared" si="22"/>
        <v>NA</v>
      </c>
      <c r="N50" s="3817" t="str">
        <f t="shared" si="23"/>
        <v>NA</v>
      </c>
      <c r="O50" s="3788" t="str">
        <f t="shared" si="24"/>
        <v>NA</v>
      </c>
      <c r="P50" s="3789" t="str">
        <f t="shared" si="25"/>
        <v>NA</v>
      </c>
      <c r="Q50" s="1057" t="str">
        <f t="shared" si="28"/>
        <v>NA</v>
      </c>
      <c r="R50" s="3762">
        <f t="shared" si="26"/>
        <v>0</v>
      </c>
      <c r="S50" s="3731">
        <f t="shared" si="27"/>
        <v>0</v>
      </c>
    </row>
    <row r="51" spans="1:20" s="3698" customFormat="1" ht="15.75" thickBot="1" x14ac:dyDescent="0.3">
      <c r="A51" s="1067" t="s">
        <v>832</v>
      </c>
      <c r="B51" s="4002">
        <v>6.25E-2</v>
      </c>
      <c r="C51" s="3976">
        <v>0</v>
      </c>
      <c r="D51" s="3976">
        <v>6.25E-2</v>
      </c>
      <c r="E51" s="4007">
        <f t="shared" si="20"/>
        <v>0</v>
      </c>
      <c r="F51" s="3765" t="str">
        <f>'NIR faktorer'!D407</f>
        <v>NO</v>
      </c>
      <c r="G51" s="3735" t="str">
        <f>'NIR faktorer'!D423</f>
        <v>NO</v>
      </c>
      <c r="H51" s="3734" t="str">
        <f>'NIR faktorer'!D439</f>
        <v>NO</v>
      </c>
      <c r="I51" s="3821" t="str">
        <f>'NIR faktorer'!D455</f>
        <v>NO</v>
      </c>
      <c r="J51" s="3765" t="str">
        <f>'NIR faktorer'!D471</f>
        <v>NO</v>
      </c>
      <c r="K51" s="3734" t="str">
        <f>'NIR faktorer'!D487</f>
        <v>NO</v>
      </c>
      <c r="L51" s="3767" t="str">
        <f t="shared" si="21"/>
        <v>NA</v>
      </c>
      <c r="M51" s="3792" t="str">
        <f t="shared" si="22"/>
        <v>NA</v>
      </c>
      <c r="N51" s="3822" t="str">
        <f t="shared" si="23"/>
        <v>NA</v>
      </c>
      <c r="O51" s="3793" t="str">
        <f t="shared" si="24"/>
        <v>NA</v>
      </c>
      <c r="P51" s="3794" t="str">
        <f t="shared" si="25"/>
        <v>NA</v>
      </c>
      <c r="Q51" s="3795" t="str">
        <f t="shared" si="28"/>
        <v>NA</v>
      </c>
      <c r="R51" s="3768">
        <f t="shared" si="26"/>
        <v>0</v>
      </c>
      <c r="S51" s="3738">
        <f t="shared" si="27"/>
        <v>0</v>
      </c>
    </row>
    <row r="52" spans="1:20" s="3698" customFormat="1" ht="15.75" thickBot="1" x14ac:dyDescent="0.3">
      <c r="A52" s="3796"/>
      <c r="B52" s="3797"/>
      <c r="C52" s="3823"/>
      <c r="D52" s="3798"/>
      <c r="E52" s="3799"/>
      <c r="F52" s="3800"/>
      <c r="G52" s="3801"/>
      <c r="H52" s="3802"/>
      <c r="I52" s="3803"/>
      <c r="J52" s="3804"/>
      <c r="K52" s="3805"/>
      <c r="L52" s="3806"/>
      <c r="M52" s="3798"/>
      <c r="N52" s="3799"/>
      <c r="O52" s="3808"/>
      <c r="P52" s="3809"/>
      <c r="Q52" s="3810"/>
      <c r="R52" s="3811"/>
      <c r="S52" s="3812"/>
    </row>
    <row r="53" spans="1:20" s="3698" customFormat="1" ht="17.25" x14ac:dyDescent="0.25">
      <c r="A53" s="1069" t="s">
        <v>831</v>
      </c>
      <c r="B53" s="3824">
        <f>B54+B55+B56</f>
        <v>19.875</v>
      </c>
      <c r="C53" s="3779">
        <f>C54+C55+C56</f>
        <v>0</v>
      </c>
      <c r="D53" s="3779">
        <f>D54+D55+D56</f>
        <v>18.5</v>
      </c>
      <c r="E53" s="3772">
        <f t="shared" si="20"/>
        <v>1.375</v>
      </c>
      <c r="F53" s="3773" t="str">
        <f>'NIR faktorer'!D409</f>
        <v>NO</v>
      </c>
      <c r="G53" s="3774" t="str">
        <f>'NIR faktorer'!D425</f>
        <v>NO</v>
      </c>
      <c r="H53" s="3777" t="str">
        <f>'NIR faktorer'!D441</f>
        <v>NO</v>
      </c>
      <c r="I53" s="3776" t="str">
        <f>'NIR faktorer'!D457</f>
        <v>NO</v>
      </c>
      <c r="J53" s="3813" t="str">
        <f>'NIR faktorer'!D473</f>
        <v>NO</v>
      </c>
      <c r="K53" s="3777" t="str">
        <f>'NIR faktorer'!D489</f>
        <v>NO</v>
      </c>
      <c r="L53" s="3824" t="str">
        <f t="shared" si="21"/>
        <v>NA</v>
      </c>
      <c r="M53" s="3779" t="str">
        <f t="shared" si="22"/>
        <v>NA</v>
      </c>
      <c r="N53" s="3772" t="str">
        <f t="shared" si="23"/>
        <v>NA</v>
      </c>
      <c r="O53" s="3780" t="str">
        <f t="shared" si="24"/>
        <v>NA</v>
      </c>
      <c r="P53" s="3781" t="str">
        <f t="shared" si="25"/>
        <v>NA</v>
      </c>
      <c r="Q53" s="3782" t="str">
        <f t="shared" si="28"/>
        <v>NA</v>
      </c>
      <c r="R53" s="3783">
        <f>SUM(R54:R56)</f>
        <v>0</v>
      </c>
      <c r="S53" s="3784">
        <f>R53*-(44/12)</f>
        <v>0</v>
      </c>
    </row>
    <row r="54" spans="1:20" s="3698" customFormat="1" ht="15" x14ac:dyDescent="0.25">
      <c r="A54" s="1068" t="s">
        <v>830</v>
      </c>
      <c r="B54" s="4001">
        <v>7.875</v>
      </c>
      <c r="C54" s="3960">
        <v>0</v>
      </c>
      <c r="D54" s="3960">
        <v>7.875</v>
      </c>
      <c r="E54" s="3725">
        <f t="shared" si="20"/>
        <v>0</v>
      </c>
      <c r="F54" s="3763" t="str">
        <f>'NIR faktorer'!D410</f>
        <v>NO</v>
      </c>
      <c r="G54" s="3727" t="str">
        <f>'NIR faktorer'!D426</f>
        <v>NO</v>
      </c>
      <c r="H54" s="3728" t="str">
        <f>'NIR faktorer'!D442</f>
        <v>NO</v>
      </c>
      <c r="I54" s="3730" t="str">
        <f>'NIR faktorer'!D458</f>
        <v>NO</v>
      </c>
      <c r="J54" s="3726" t="str">
        <f>'NIR faktorer'!D474</f>
        <v>NO</v>
      </c>
      <c r="K54" s="3728" t="str">
        <f>'NIR faktorer'!D490</f>
        <v>NO</v>
      </c>
      <c r="L54" s="3785" t="str">
        <f t="shared" si="21"/>
        <v>NA</v>
      </c>
      <c r="M54" s="3786" t="str">
        <f t="shared" si="22"/>
        <v>NA</v>
      </c>
      <c r="N54" s="3725" t="str">
        <f t="shared" si="23"/>
        <v>NA</v>
      </c>
      <c r="O54" s="3788" t="str">
        <f t="shared" si="24"/>
        <v>NA</v>
      </c>
      <c r="P54" s="3789" t="str">
        <f t="shared" si="25"/>
        <v>NA</v>
      </c>
      <c r="Q54" s="1057" t="str">
        <f t="shared" si="28"/>
        <v>NA</v>
      </c>
      <c r="R54" s="3762">
        <f t="shared" si="26"/>
        <v>0</v>
      </c>
      <c r="S54" s="3731">
        <f>R54*-(44/12)</f>
        <v>0</v>
      </c>
    </row>
    <row r="55" spans="1:20" s="3698" customFormat="1" ht="15" x14ac:dyDescent="0.25">
      <c r="A55" s="1068" t="s">
        <v>829</v>
      </c>
      <c r="B55" s="4001">
        <v>0.875</v>
      </c>
      <c r="C55" s="3960">
        <v>0</v>
      </c>
      <c r="D55" s="3960">
        <v>0.8125</v>
      </c>
      <c r="E55" s="3725">
        <f t="shared" si="20"/>
        <v>6.25E-2</v>
      </c>
      <c r="F55" s="3763" t="str">
        <f>'NIR faktorer'!D411</f>
        <v>NO</v>
      </c>
      <c r="G55" s="3727" t="str">
        <f>'NIR faktorer'!D427</f>
        <v>NO</v>
      </c>
      <c r="H55" s="3728" t="str">
        <f>'NIR faktorer'!D443</f>
        <v>NO</v>
      </c>
      <c r="I55" s="3730" t="str">
        <f>'NIR faktorer'!D459</f>
        <v>NO</v>
      </c>
      <c r="J55" s="3726" t="str">
        <f>'NIR faktorer'!D475</f>
        <v>NO</v>
      </c>
      <c r="K55" s="3816" t="str">
        <f>'NIR faktorer'!D491</f>
        <v>NO</v>
      </c>
      <c r="L55" s="3785" t="str">
        <f t="shared" si="21"/>
        <v>NA</v>
      </c>
      <c r="M55" s="3786" t="str">
        <f t="shared" si="22"/>
        <v>NA</v>
      </c>
      <c r="N55" s="3725" t="str">
        <f t="shared" si="23"/>
        <v>NA</v>
      </c>
      <c r="O55" s="3788" t="str">
        <f t="shared" si="24"/>
        <v>NA</v>
      </c>
      <c r="P55" s="3789" t="str">
        <f t="shared" si="25"/>
        <v>NA</v>
      </c>
      <c r="Q55" s="1057" t="str">
        <f t="shared" si="28"/>
        <v>NA</v>
      </c>
      <c r="R55" s="3762">
        <f t="shared" si="26"/>
        <v>0</v>
      </c>
      <c r="S55" s="3731">
        <f t="shared" si="27"/>
        <v>0</v>
      </c>
    </row>
    <row r="56" spans="1:20" s="3698" customFormat="1" ht="15.75" thickBot="1" x14ac:dyDescent="0.3">
      <c r="A56" s="1067" t="s">
        <v>828</v>
      </c>
      <c r="B56" s="4002">
        <v>11.125</v>
      </c>
      <c r="C56" s="3976">
        <v>0</v>
      </c>
      <c r="D56" s="3976">
        <v>9.8125</v>
      </c>
      <c r="E56" s="3732">
        <f t="shared" si="20"/>
        <v>1.3125</v>
      </c>
      <c r="F56" s="3765" t="str">
        <f>'NIR faktorer'!D412</f>
        <v>NO</v>
      </c>
      <c r="G56" s="3735" t="str">
        <f>'NIR faktorer'!D428</f>
        <v>NO</v>
      </c>
      <c r="H56" s="3734" t="str">
        <f>'NIR faktorer'!D444</f>
        <v>NO</v>
      </c>
      <c r="I56" s="3737" t="str">
        <f>'NIR faktorer'!D460</f>
        <v>NO</v>
      </c>
      <c r="J56" s="3733" t="str">
        <f>'NIR faktorer'!D476</f>
        <v>NO</v>
      </c>
      <c r="K56" s="3734" t="str">
        <f>'NIR faktorer'!D492</f>
        <v>NO</v>
      </c>
      <c r="L56" s="3825" t="str">
        <f t="shared" si="21"/>
        <v>NA</v>
      </c>
      <c r="M56" s="3792" t="str">
        <f t="shared" si="22"/>
        <v>NA</v>
      </c>
      <c r="N56" s="3732" t="str">
        <f t="shared" si="23"/>
        <v>NA</v>
      </c>
      <c r="O56" s="3793" t="str">
        <f t="shared" si="24"/>
        <v>NA</v>
      </c>
      <c r="P56" s="3794" t="str">
        <f t="shared" si="25"/>
        <v>NA</v>
      </c>
      <c r="Q56" s="3795" t="str">
        <f t="shared" si="28"/>
        <v>NA</v>
      </c>
      <c r="R56" s="3826">
        <f t="shared" si="26"/>
        <v>0</v>
      </c>
      <c r="S56" s="3827">
        <f t="shared" si="27"/>
        <v>0</v>
      </c>
    </row>
    <row r="57" spans="1:20" ht="27.75" customHeight="1" x14ac:dyDescent="0.2">
      <c r="A57" s="1976"/>
      <c r="B57" s="2008"/>
      <c r="C57" s="2008"/>
      <c r="D57" s="2008"/>
      <c r="E57" s="2008"/>
      <c r="T57" s="2008"/>
    </row>
    <row r="58" spans="1:20" s="1037" customFormat="1" ht="42" customHeight="1" x14ac:dyDescent="0.2">
      <c r="A58" s="1032" t="s">
        <v>2257</v>
      </c>
      <c r="B58" s="5289" t="s">
        <v>1845</v>
      </c>
      <c r="C58" s="5290"/>
      <c r="D58" s="5290"/>
      <c r="E58" s="5291"/>
      <c r="F58" s="5289" t="str">
        <f>'NIR faktorer'!D494</f>
        <v xml:space="preserve"> NIR 2020 (2018) CRF tabel 4D</v>
      </c>
      <c r="G58" s="5290"/>
      <c r="H58" s="5290"/>
      <c r="I58" s="5290"/>
      <c r="J58" s="5290"/>
      <c r="K58" s="5291"/>
      <c r="L58" s="5289" t="s">
        <v>2054</v>
      </c>
      <c r="M58" s="5290"/>
      <c r="N58" s="5290"/>
      <c r="O58" s="5290"/>
      <c r="P58" s="5290"/>
      <c r="Q58" s="5291"/>
      <c r="S58" s="1039" t="s">
        <v>2304</v>
      </c>
      <c r="T58" s="1038"/>
    </row>
    <row r="59" spans="1:20" s="1035" customFormat="1" ht="12" x14ac:dyDescent="0.2">
      <c r="A59" s="1036" t="s">
        <v>2311</v>
      </c>
    </row>
    <row r="60" spans="1:20" s="1035" customFormat="1" ht="12" x14ac:dyDescent="0.2">
      <c r="A60" s="1036" t="s">
        <v>2310</v>
      </c>
      <c r="B60" s="1065"/>
      <c r="C60" s="1065"/>
      <c r="D60" s="1065"/>
      <c r="E60" s="1065"/>
      <c r="F60" s="1066"/>
      <c r="G60" s="1066"/>
    </row>
    <row r="61" spans="1:20" s="1035" customFormat="1" ht="12" x14ac:dyDescent="0.2">
      <c r="A61" s="1036" t="s">
        <v>2309</v>
      </c>
      <c r="B61" s="1065"/>
      <c r="C61" s="1065"/>
      <c r="D61" s="1065"/>
      <c r="E61" s="1065"/>
    </row>
    <row r="62" spans="1:20" ht="15" x14ac:dyDescent="0.25">
      <c r="A62" s="1064"/>
    </row>
    <row r="63" spans="1:20" ht="14.45" customHeight="1" thickBot="1" x14ac:dyDescent="0.3">
      <c r="A63" s="1034" t="s">
        <v>2308</v>
      </c>
      <c r="F63" s="5297" t="s">
        <v>4949</v>
      </c>
      <c r="G63" s="5297"/>
      <c r="H63" s="5297"/>
      <c r="I63" s="1052"/>
      <c r="J63" s="5298" t="s">
        <v>4950</v>
      </c>
      <c r="K63" s="5298"/>
      <c r="L63" s="5299" t="s">
        <v>4948</v>
      </c>
      <c r="M63" s="5299"/>
      <c r="N63" s="5299"/>
      <c r="O63" s="1051"/>
      <c r="P63" s="5299" t="s">
        <v>4947</v>
      </c>
      <c r="Q63" s="5299"/>
    </row>
    <row r="64" spans="1:20" s="3698" customFormat="1" ht="60.75" thickBot="1" x14ac:dyDescent="0.3">
      <c r="A64" s="2903" t="s">
        <v>827</v>
      </c>
      <c r="B64" s="1015" t="s">
        <v>4954</v>
      </c>
      <c r="C64" s="1048" t="s">
        <v>4859</v>
      </c>
      <c r="D64" s="1048" t="s">
        <v>4860</v>
      </c>
      <c r="E64" s="1045" t="s">
        <v>4861</v>
      </c>
      <c r="F64" s="1046" t="s">
        <v>4869</v>
      </c>
      <c r="G64" s="1047" t="s">
        <v>4863</v>
      </c>
      <c r="H64" s="1045" t="s">
        <v>4871</v>
      </c>
      <c r="I64" s="1063" t="s">
        <v>4866</v>
      </c>
      <c r="J64" s="1046" t="s">
        <v>4867</v>
      </c>
      <c r="K64" s="1049" t="s">
        <v>4868</v>
      </c>
      <c r="L64" s="1046" t="s">
        <v>4879</v>
      </c>
      <c r="M64" s="1048" t="s">
        <v>4851</v>
      </c>
      <c r="N64" s="1045" t="s">
        <v>4887</v>
      </c>
      <c r="O64" s="1047" t="s">
        <v>4873</v>
      </c>
      <c r="P64" s="1046" t="s">
        <v>4881</v>
      </c>
      <c r="Q64" s="1045" t="s">
        <v>4875</v>
      </c>
      <c r="R64" s="1044" t="s">
        <v>4884</v>
      </c>
      <c r="S64" s="2937" t="s">
        <v>4911</v>
      </c>
    </row>
    <row r="65" spans="1:20" s="3698" customFormat="1" ht="30" customHeight="1" thickBot="1" x14ac:dyDescent="0.3">
      <c r="A65" s="1062" t="s">
        <v>826</v>
      </c>
      <c r="B65" s="3699"/>
      <c r="C65" s="3700"/>
      <c r="D65" s="3700"/>
      <c r="E65" s="3701"/>
      <c r="F65" s="3740" t="str">
        <f>'NIR faktorer'!D497</f>
        <v/>
      </c>
      <c r="G65" s="3741" t="str">
        <f>'NIR faktorer'!D507</f>
        <v/>
      </c>
      <c r="H65" s="3742" t="str">
        <f>'NIR faktorer'!D517</f>
        <v/>
      </c>
      <c r="I65" s="3828" t="str">
        <f>'NIR faktorer'!D527</f>
        <v/>
      </c>
      <c r="J65" s="3743" t="str">
        <f>'NIR faktorer'!D537</f>
        <v/>
      </c>
      <c r="K65" s="3742" t="str">
        <f>'NIR faktorer'!D547</f>
        <v/>
      </c>
      <c r="L65" s="3740"/>
      <c r="M65" s="3741"/>
      <c r="N65" s="3742"/>
      <c r="O65" s="3743"/>
      <c r="P65" s="3740"/>
      <c r="Q65" s="3741"/>
      <c r="R65" s="3746">
        <f>R66+R67</f>
        <v>-49.394989749903331</v>
      </c>
      <c r="S65" s="3710">
        <f>S66+S67</f>
        <v>181.11496241631221</v>
      </c>
    </row>
    <row r="66" spans="1:20" s="3698" customFormat="1" ht="30.75" customHeight="1" thickBot="1" x14ac:dyDescent="0.3">
      <c r="A66" s="1033" t="s">
        <v>825</v>
      </c>
      <c r="B66" s="4003">
        <v>1188.25</v>
      </c>
      <c r="C66" s="3981">
        <v>0</v>
      </c>
      <c r="D66" s="3981">
        <v>1186.25</v>
      </c>
      <c r="E66" s="3711">
        <f>B66-C66-D66</f>
        <v>2</v>
      </c>
      <c r="F66" s="3829" t="str">
        <f>'NIR faktorer'!D498</f>
        <v>NO</v>
      </c>
      <c r="G66" s="3829" t="str">
        <f>'NIR faktorer'!D508</f>
        <v>NO</v>
      </c>
      <c r="H66" s="3709" t="str">
        <f>'NIR faktorer'!D518</f>
        <v>NO</v>
      </c>
      <c r="I66" s="3709" t="str">
        <f>'NIR faktorer'!D528</f>
        <v>NO</v>
      </c>
      <c r="J66" s="3829" t="str">
        <f>'NIR faktorer'!D538</f>
        <v>NO</v>
      </c>
      <c r="K66" s="3709" t="str">
        <f>'NIR faktorer'!D548</f>
        <v>NO</v>
      </c>
      <c r="L66" s="3829" t="str">
        <f>IFERROR($B66*F66,"NA")</f>
        <v>NA</v>
      </c>
      <c r="M66" s="3829" t="str">
        <f t="shared" ref="M66:O66" si="29">IFERROR($B66*G66,"NA")</f>
        <v>NA</v>
      </c>
      <c r="N66" s="3829" t="str">
        <f t="shared" si="29"/>
        <v>NA</v>
      </c>
      <c r="O66" s="3709" t="str">
        <f t="shared" si="29"/>
        <v>NA</v>
      </c>
      <c r="P66" s="3829" t="str">
        <f>IFERROR(D66*J66,"NA")</f>
        <v>NA</v>
      </c>
      <c r="Q66" s="3830" t="str">
        <f>IFERROR(K66*B66,"NA")</f>
        <v>NA</v>
      </c>
      <c r="R66" s="3771">
        <f>SUMIF(N66:Q66,"&lt;&gt;NO")</f>
        <v>0</v>
      </c>
      <c r="S66" s="3831"/>
    </row>
    <row r="67" spans="1:20" s="3698" customFormat="1" ht="15.75" thickBot="1" x14ac:dyDescent="0.3">
      <c r="A67" s="1061" t="s">
        <v>824</v>
      </c>
      <c r="B67" s="3797"/>
      <c r="C67" s="3823"/>
      <c r="D67" s="3798"/>
      <c r="E67" s="3719"/>
      <c r="F67" s="3754" t="str">
        <f>'NIR faktorer'!D499</f>
        <v/>
      </c>
      <c r="G67" s="3755" t="str">
        <f>'NIR faktorer'!D509</f>
        <v/>
      </c>
      <c r="H67" s="3756" t="str">
        <f>'NIR faktorer'!D519</f>
        <v/>
      </c>
      <c r="I67" s="3832" t="str">
        <f>'NIR faktorer'!D529</f>
        <v/>
      </c>
      <c r="J67" s="3754" t="str">
        <f>'NIR faktorer'!D539</f>
        <v/>
      </c>
      <c r="K67" s="3756" t="str">
        <f>'NIR faktorer'!D549</f>
        <v/>
      </c>
      <c r="L67" s="3754"/>
      <c r="M67" s="3755"/>
      <c r="N67" s="3756"/>
      <c r="O67" s="3832"/>
      <c r="P67" s="3754"/>
      <c r="Q67" s="3756"/>
      <c r="R67" s="3760">
        <f>SUM(R68:R74)</f>
        <v>-49.394989749903331</v>
      </c>
      <c r="S67" s="3833">
        <f>S68+S69+S70+S71</f>
        <v>181.11496241631221</v>
      </c>
    </row>
    <row r="68" spans="1:20" s="3698" customFormat="1" ht="15" x14ac:dyDescent="0.25">
      <c r="A68" s="1056" t="s">
        <v>823</v>
      </c>
      <c r="B68" s="4004">
        <v>3.125</v>
      </c>
      <c r="C68" s="3961">
        <v>0</v>
      </c>
      <c r="D68" s="3961">
        <v>3.125</v>
      </c>
      <c r="E68" s="3725">
        <f t="shared" ref="E68:E74" si="30">B68-C68-D68</f>
        <v>0</v>
      </c>
      <c r="F68" s="1058">
        <f>'NIR faktorer'!D500</f>
        <v>0.34258221552902002</v>
      </c>
      <c r="G68" s="1060">
        <f>'NIR faktorer'!D510</f>
        <v>-2.7654025116800298</v>
      </c>
      <c r="H68" s="1057">
        <f>'NIR faktorer'!D520</f>
        <v>-2.4228202961510199</v>
      </c>
      <c r="I68" s="1059">
        <f>'NIR faktorer'!D530</f>
        <v>-2.7032241816271498</v>
      </c>
      <c r="J68" s="1058">
        <f>'NIR faktorer'!D540</f>
        <v>-1.65936449577978</v>
      </c>
      <c r="K68" s="1057" t="str">
        <f>'NIR faktorer'!D550</f>
        <v>NO</v>
      </c>
      <c r="L68" s="3726">
        <f t="shared" ref="L68:L74" si="31">IFERROR($B68*F68,"NA")</f>
        <v>1.0705694235281875</v>
      </c>
      <c r="M68" s="3727">
        <f t="shared" ref="M68:M74" si="32">IFERROR($B68*G68,"NA")</f>
        <v>-8.6418828490000941</v>
      </c>
      <c r="N68" s="3728">
        <f t="shared" ref="N68:N74" si="33">IFERROR($B68*H68,"NA")</f>
        <v>-7.5713134254719368</v>
      </c>
      <c r="O68" s="3730">
        <f t="shared" ref="O68:O74" si="34">IFERROR($B68*I68,"NA")</f>
        <v>-8.4475755675848436</v>
      </c>
      <c r="P68" s="3726">
        <f t="shared" ref="P68:P74" si="35">IFERROR(D68*J68,"NA")</f>
        <v>-5.1855140493118128</v>
      </c>
      <c r="Q68" s="3728" t="str">
        <f t="shared" ref="Q68:Q74" si="36">IFERROR(K68*B68,"NA")</f>
        <v>NA</v>
      </c>
      <c r="R68" s="3730">
        <f>SUBTOTAL(9,N68:Q68)</f>
        <v>-21.204403042368593</v>
      </c>
      <c r="S68" s="3731">
        <f t="shared" ref="S68:S74" si="37">R68*-(44/12)</f>
        <v>77.749477822018179</v>
      </c>
    </row>
    <row r="69" spans="1:20" s="3698" customFormat="1" ht="15" x14ac:dyDescent="0.25">
      <c r="A69" s="1056" t="s">
        <v>822</v>
      </c>
      <c r="B69" s="4001">
        <v>25.8125</v>
      </c>
      <c r="C69" s="3960">
        <v>0</v>
      </c>
      <c r="D69" s="3960">
        <v>25.8125</v>
      </c>
      <c r="E69" s="3725">
        <f t="shared" si="30"/>
        <v>0</v>
      </c>
      <c r="F69" s="1058">
        <f>'NIR faktorer'!D501</f>
        <v>6.0319142860860001E-2</v>
      </c>
      <c r="G69" s="1060">
        <f>'NIR faktorer'!D511</f>
        <v>-0.16279598172788001</v>
      </c>
      <c r="H69" s="1057">
        <f>'NIR faktorer'!D521</f>
        <v>-0.10247683886702</v>
      </c>
      <c r="I69" s="1059" t="str">
        <f>'NIR faktorer'!D531</f>
        <v>NO</v>
      </c>
      <c r="J69" s="1058">
        <f>'NIR faktorer'!D541</f>
        <v>-0.98965242825296995</v>
      </c>
      <c r="K69" s="1057" t="str">
        <f>'NIR faktorer'!D551</f>
        <v>NO</v>
      </c>
      <c r="L69" s="3726">
        <f t="shared" si="31"/>
        <v>1.5569878750959487</v>
      </c>
      <c r="M69" s="3727">
        <f t="shared" si="32"/>
        <v>-4.2021712783509031</v>
      </c>
      <c r="N69" s="3728">
        <f t="shared" si="33"/>
        <v>-2.6451834032549537</v>
      </c>
      <c r="O69" s="3730" t="str">
        <f t="shared" si="34"/>
        <v>NA</v>
      </c>
      <c r="P69" s="3726">
        <f t="shared" si="35"/>
        <v>-25.545403304279787</v>
      </c>
      <c r="Q69" s="3728" t="str">
        <f t="shared" si="36"/>
        <v>NA</v>
      </c>
      <c r="R69" s="3730">
        <f t="shared" ref="R69:R74" si="38">SUBTOTAL(9,N69:Q69)</f>
        <v>-28.190586707534742</v>
      </c>
      <c r="S69" s="3731">
        <f t="shared" si="37"/>
        <v>103.36548459429405</v>
      </c>
    </row>
    <row r="70" spans="1:20" s="3698" customFormat="1" ht="15" x14ac:dyDescent="0.25">
      <c r="A70" s="1056" t="s">
        <v>821</v>
      </c>
      <c r="B70" s="4001">
        <v>0</v>
      </c>
      <c r="C70" s="3960">
        <v>0</v>
      </c>
      <c r="D70" s="3960">
        <v>0</v>
      </c>
      <c r="E70" s="3725">
        <f t="shared" si="30"/>
        <v>0</v>
      </c>
      <c r="F70" s="1058">
        <f>'NIR faktorer'!D502</f>
        <v>0.35187009210366998</v>
      </c>
      <c r="G70" s="1060">
        <f>'NIR faktorer'!D512</f>
        <v>-0.66855317499697997</v>
      </c>
      <c r="H70" s="1057">
        <f>'NIR faktorer'!D522</f>
        <v>-0.31668308289329999</v>
      </c>
      <c r="I70" s="1059" t="str">
        <f>'NIR faktorer'!D532</f>
        <v>NO</v>
      </c>
      <c r="J70" s="1058">
        <f>'NIR faktorer'!D542</f>
        <v>-1.74265663188402</v>
      </c>
      <c r="K70" s="1057" t="str">
        <f>'NIR faktorer'!D552</f>
        <v>NO</v>
      </c>
      <c r="L70" s="3726">
        <f t="shared" si="31"/>
        <v>0</v>
      </c>
      <c r="M70" s="3727">
        <f t="shared" si="32"/>
        <v>0</v>
      </c>
      <c r="N70" s="3728">
        <f t="shared" si="33"/>
        <v>0</v>
      </c>
      <c r="O70" s="3730" t="str">
        <f t="shared" si="34"/>
        <v>NA</v>
      </c>
      <c r="P70" s="3726">
        <f t="shared" si="35"/>
        <v>0</v>
      </c>
      <c r="Q70" s="3728" t="str">
        <f t="shared" si="36"/>
        <v>NA</v>
      </c>
      <c r="R70" s="3730">
        <f t="shared" si="38"/>
        <v>0</v>
      </c>
      <c r="S70" s="3731">
        <f t="shared" si="37"/>
        <v>0</v>
      </c>
    </row>
    <row r="71" spans="1:20" s="3698" customFormat="1" ht="15" x14ac:dyDescent="0.25">
      <c r="A71" s="1056" t="s">
        <v>820</v>
      </c>
      <c r="B71" s="4001">
        <v>0</v>
      </c>
      <c r="C71" s="3960">
        <v>0</v>
      </c>
      <c r="D71" s="3960">
        <v>0</v>
      </c>
      <c r="E71" s="3725">
        <f t="shared" si="30"/>
        <v>0</v>
      </c>
      <c r="F71" s="1058">
        <f>'NIR faktorer'!D503</f>
        <v>0.26096228175397002</v>
      </c>
      <c r="G71" s="1060">
        <f>'NIR faktorer'!D513</f>
        <v>-0.81135545781687002</v>
      </c>
      <c r="H71" s="1057">
        <f>'NIR faktorer'!D523</f>
        <v>-0.55039317606291005</v>
      </c>
      <c r="I71" s="1059" t="str">
        <f>'NIR faktorer'!D533</f>
        <v>NO</v>
      </c>
      <c r="J71" s="1058">
        <f>'NIR faktorer'!D543</f>
        <v>2.9081512032000001E-3</v>
      </c>
      <c r="K71" s="1057" t="str">
        <f>'NIR faktorer'!D553</f>
        <v>NO</v>
      </c>
      <c r="L71" s="3726">
        <f t="shared" si="31"/>
        <v>0</v>
      </c>
      <c r="M71" s="3727">
        <f t="shared" si="32"/>
        <v>0</v>
      </c>
      <c r="N71" s="3728">
        <f t="shared" si="33"/>
        <v>0</v>
      </c>
      <c r="O71" s="3730" t="str">
        <f t="shared" si="34"/>
        <v>NA</v>
      </c>
      <c r="P71" s="3726">
        <f t="shared" si="35"/>
        <v>0</v>
      </c>
      <c r="Q71" s="3728" t="str">
        <f t="shared" si="36"/>
        <v>NA</v>
      </c>
      <c r="R71" s="3730">
        <f t="shared" si="38"/>
        <v>0</v>
      </c>
      <c r="S71" s="3731">
        <f t="shared" si="37"/>
        <v>0</v>
      </c>
    </row>
    <row r="72" spans="1:20" s="3698" customFormat="1" ht="15" x14ac:dyDescent="0.25">
      <c r="A72" s="1056" t="s">
        <v>819</v>
      </c>
      <c r="B72" s="4001">
        <v>0</v>
      </c>
      <c r="C72" s="3960">
        <v>0</v>
      </c>
      <c r="D72" s="3960">
        <v>0</v>
      </c>
      <c r="E72" s="3725">
        <f t="shared" si="30"/>
        <v>0</v>
      </c>
      <c r="F72" s="3726" t="str">
        <f>'NIR faktorer'!D504</f>
        <v>NO</v>
      </c>
      <c r="G72" s="3727" t="str">
        <f>'NIR faktorer'!D514</f>
        <v>NO</v>
      </c>
      <c r="H72" s="3728" t="str">
        <f>'NIR faktorer'!D524</f>
        <v>NO</v>
      </c>
      <c r="I72" s="3730" t="str">
        <f>'NIR faktorer'!D534</f>
        <v>NO</v>
      </c>
      <c r="J72" s="3726" t="str">
        <f>'NIR faktorer'!D544</f>
        <v>NO</v>
      </c>
      <c r="K72" s="3728" t="str">
        <f>'NIR faktorer'!D554</f>
        <v>NO</v>
      </c>
      <c r="L72" s="3726" t="str">
        <f t="shared" si="31"/>
        <v>NA</v>
      </c>
      <c r="M72" s="3727" t="str">
        <f t="shared" si="32"/>
        <v>NA</v>
      </c>
      <c r="N72" s="3728" t="str">
        <f t="shared" si="33"/>
        <v>NA</v>
      </c>
      <c r="O72" s="3730" t="str">
        <f t="shared" si="34"/>
        <v>NA</v>
      </c>
      <c r="P72" s="3726" t="str">
        <f t="shared" si="35"/>
        <v>NA</v>
      </c>
      <c r="Q72" s="3728" t="str">
        <f t="shared" si="36"/>
        <v>NA</v>
      </c>
      <c r="R72" s="3730">
        <f t="shared" si="38"/>
        <v>0</v>
      </c>
      <c r="S72" s="3731">
        <f t="shared" si="37"/>
        <v>0</v>
      </c>
    </row>
    <row r="73" spans="1:20" s="3698" customFormat="1" ht="15" x14ac:dyDescent="0.25">
      <c r="A73" s="1056" t="s">
        <v>818</v>
      </c>
      <c r="B73" s="4001">
        <v>0</v>
      </c>
      <c r="C73" s="3960">
        <v>0</v>
      </c>
      <c r="D73" s="3960">
        <v>0</v>
      </c>
      <c r="E73" s="3725">
        <f t="shared" si="30"/>
        <v>0</v>
      </c>
      <c r="F73" s="3726" t="str">
        <f>'NIR faktorer'!D505</f>
        <v>NA</v>
      </c>
      <c r="G73" s="3727" t="str">
        <f>'NIR faktorer'!D515</f>
        <v>NA</v>
      </c>
      <c r="H73" s="3728" t="str">
        <f>'NIR faktorer'!D525</f>
        <v>NA</v>
      </c>
      <c r="I73" s="3730" t="str">
        <f>'NIR faktorer'!D535</f>
        <v>NA</v>
      </c>
      <c r="J73" s="3726" t="str">
        <f>'NIR faktorer'!D545</f>
        <v>NA</v>
      </c>
      <c r="K73" s="3728" t="str">
        <f>'NIR faktorer'!D555</f>
        <v>NA</v>
      </c>
      <c r="L73" s="3726" t="str">
        <f t="shared" si="31"/>
        <v>NA</v>
      </c>
      <c r="M73" s="3727" t="str">
        <f t="shared" si="32"/>
        <v>NA</v>
      </c>
      <c r="N73" s="3728" t="str">
        <f t="shared" si="33"/>
        <v>NA</v>
      </c>
      <c r="O73" s="3730" t="str">
        <f t="shared" si="34"/>
        <v>NA</v>
      </c>
      <c r="P73" s="3726" t="str">
        <f t="shared" si="35"/>
        <v>NA</v>
      </c>
      <c r="Q73" s="3728" t="str">
        <f t="shared" si="36"/>
        <v>NA</v>
      </c>
      <c r="R73" s="3730">
        <f t="shared" si="38"/>
        <v>0</v>
      </c>
      <c r="S73" s="3731">
        <f t="shared" si="37"/>
        <v>0</v>
      </c>
    </row>
    <row r="74" spans="1:20" s="3698" customFormat="1" ht="15.75" thickBot="1" x14ac:dyDescent="0.3">
      <c r="A74" s="1055" t="s">
        <v>817</v>
      </c>
      <c r="B74" s="4002">
        <v>0</v>
      </c>
      <c r="C74" s="4006"/>
      <c r="D74" s="3976"/>
      <c r="E74" s="3732">
        <f t="shared" si="30"/>
        <v>0</v>
      </c>
      <c r="F74" s="3733" t="str">
        <f>'NIR faktorer'!D506</f>
        <v>NA</v>
      </c>
      <c r="G74" s="3735" t="str">
        <f>'NIR faktorer'!D516</f>
        <v>NA</v>
      </c>
      <c r="H74" s="3734" t="str">
        <f>'NIR faktorer'!D526</f>
        <v>NA</v>
      </c>
      <c r="I74" s="3737" t="str">
        <f>'NIR faktorer'!D536</f>
        <v>NA</v>
      </c>
      <c r="J74" s="3733" t="str">
        <f>'NIR faktorer'!D546</f>
        <v>NA</v>
      </c>
      <c r="K74" s="3734" t="str">
        <f>'NIR faktorer'!D556</f>
        <v>NA</v>
      </c>
      <c r="L74" s="3733" t="str">
        <f t="shared" si="31"/>
        <v>NA</v>
      </c>
      <c r="M74" s="3735" t="str">
        <f t="shared" si="32"/>
        <v>NA</v>
      </c>
      <c r="N74" s="3734" t="str">
        <f t="shared" si="33"/>
        <v>NA</v>
      </c>
      <c r="O74" s="3737" t="str">
        <f t="shared" si="34"/>
        <v>NA</v>
      </c>
      <c r="P74" s="3733" t="str">
        <f t="shared" si="35"/>
        <v>NA</v>
      </c>
      <c r="Q74" s="3734" t="str">
        <f t="shared" si="36"/>
        <v>NA</v>
      </c>
      <c r="R74" s="3737">
        <f t="shared" si="38"/>
        <v>0</v>
      </c>
      <c r="S74" s="3738">
        <f t="shared" si="37"/>
        <v>0</v>
      </c>
    </row>
    <row r="75" spans="1:20" ht="26.25" customHeight="1" x14ac:dyDescent="0.2">
      <c r="A75" s="1976"/>
      <c r="B75" s="1977"/>
      <c r="C75" s="1977"/>
      <c r="D75" s="1977"/>
      <c r="E75" s="1977"/>
      <c r="T75" s="1977"/>
    </row>
    <row r="76" spans="1:20" s="1037" customFormat="1" ht="45.95" customHeight="1" x14ac:dyDescent="0.2">
      <c r="A76" s="1032" t="s">
        <v>2257</v>
      </c>
      <c r="B76" s="5289" t="s">
        <v>1845</v>
      </c>
      <c r="C76" s="5290"/>
      <c r="D76" s="5290"/>
      <c r="E76" s="5291"/>
      <c r="F76" s="5289" t="str">
        <f>'NIR faktorer'!D558</f>
        <v xml:space="preserve"> NIR 2020 (2018) CRF tabel 4E</v>
      </c>
      <c r="G76" s="5290"/>
      <c r="H76" s="5290"/>
      <c r="I76" s="5290"/>
      <c r="J76" s="5290"/>
      <c r="K76" s="5291"/>
      <c r="L76" s="5289" t="s">
        <v>2054</v>
      </c>
      <c r="M76" s="5290"/>
      <c r="N76" s="5290"/>
      <c r="O76" s="5290"/>
      <c r="P76" s="5290"/>
      <c r="Q76" s="5291"/>
      <c r="S76" s="1039" t="s">
        <v>2304</v>
      </c>
      <c r="T76" s="1038"/>
    </row>
    <row r="77" spans="1:20" s="1037" customFormat="1" ht="18" customHeight="1" x14ac:dyDescent="0.2">
      <c r="A77" s="1036" t="s">
        <v>2307</v>
      </c>
      <c r="B77" s="1054"/>
      <c r="C77" s="1054"/>
      <c r="D77" s="1054"/>
      <c r="E77" s="1054"/>
      <c r="F77" s="1032"/>
      <c r="G77" s="1032"/>
      <c r="H77" s="1032"/>
      <c r="I77" s="1032"/>
      <c r="J77" s="1032"/>
      <c r="K77" s="1032"/>
      <c r="L77" s="1032"/>
      <c r="M77" s="1032"/>
      <c r="N77" s="1032"/>
      <c r="O77" s="1032"/>
      <c r="P77" s="1032"/>
      <c r="Q77" s="1032"/>
      <c r="S77" s="1053"/>
      <c r="T77" s="1038"/>
    </row>
    <row r="79" spans="1:20" s="3698" customFormat="1" ht="14.45" customHeight="1" thickBot="1" x14ac:dyDescent="0.3">
      <c r="A79" s="1034" t="s">
        <v>2306</v>
      </c>
      <c r="F79" s="5297" t="s">
        <v>4949</v>
      </c>
      <c r="G79" s="5297"/>
      <c r="H79" s="5297"/>
      <c r="I79" s="1052"/>
      <c r="J79" s="5298" t="s">
        <v>4950</v>
      </c>
      <c r="K79" s="5298"/>
      <c r="L79" s="5299" t="s">
        <v>4948</v>
      </c>
      <c r="M79" s="5299"/>
      <c r="N79" s="5299"/>
      <c r="O79" s="1051"/>
      <c r="P79" s="5299" t="s">
        <v>4947</v>
      </c>
      <c r="Q79" s="5299"/>
    </row>
    <row r="80" spans="1:20" s="3698" customFormat="1" ht="60.75" thickBot="1" x14ac:dyDescent="0.3">
      <c r="A80" s="2905" t="s">
        <v>816</v>
      </c>
      <c r="B80" s="1015" t="s">
        <v>4955</v>
      </c>
      <c r="C80" s="1048" t="s">
        <v>4859</v>
      </c>
      <c r="D80" s="1048" t="s">
        <v>4860</v>
      </c>
      <c r="E80" s="1045" t="s">
        <v>4861</v>
      </c>
      <c r="F80" s="1047" t="s">
        <v>4869</v>
      </c>
      <c r="G80" s="1047" t="s">
        <v>4863</v>
      </c>
      <c r="H80" s="1049" t="s">
        <v>4871</v>
      </c>
      <c r="I80" s="1050" t="s">
        <v>4866</v>
      </c>
      <c r="J80" s="1046" t="s">
        <v>4867</v>
      </c>
      <c r="K80" s="1049" t="s">
        <v>4868</v>
      </c>
      <c r="L80" s="1046" t="s">
        <v>4872</v>
      </c>
      <c r="M80" s="1048" t="s">
        <v>4851</v>
      </c>
      <c r="N80" s="1045" t="s">
        <v>4886</v>
      </c>
      <c r="O80" s="1047" t="s">
        <v>4873</v>
      </c>
      <c r="P80" s="1071" t="s">
        <v>4881</v>
      </c>
      <c r="Q80" s="1070" t="s">
        <v>4875</v>
      </c>
      <c r="R80" s="1044" t="s">
        <v>4885</v>
      </c>
      <c r="S80" s="2937" t="s">
        <v>4911</v>
      </c>
    </row>
    <row r="81" spans="1:20" s="3698" customFormat="1" ht="23.25" customHeight="1" thickBot="1" x14ac:dyDescent="0.3">
      <c r="A81" s="1043" t="s">
        <v>809</v>
      </c>
      <c r="B81" s="3699">
        <f>B82+(SUM(B84:B90))</f>
        <v>366.625</v>
      </c>
      <c r="C81" s="3700">
        <f>C82+(SUM(C84:C90))</f>
        <v>1.25</v>
      </c>
      <c r="D81" s="3700">
        <f>D82+(SUM(D84:D90))</f>
        <v>287.5</v>
      </c>
      <c r="E81" s="3701">
        <f>E82+(SUM(E84:E90))</f>
        <v>77.875</v>
      </c>
      <c r="F81" s="3829" t="str">
        <f>'NIR faktorer'!D561</f>
        <v>NO</v>
      </c>
      <c r="G81" s="3829" t="str">
        <f>'NIR faktorer'!D571</f>
        <v>NO</v>
      </c>
      <c r="H81" s="3829" t="str">
        <f>'NIR faktorer'!D581</f>
        <v>NO</v>
      </c>
      <c r="I81" s="3829" t="str">
        <f>'NIR faktorer'!D591</f>
        <v>NO</v>
      </c>
      <c r="J81" s="3829" t="str">
        <f>'NIR faktorer'!D601</f>
        <v>NO</v>
      </c>
      <c r="K81" s="3829" t="str">
        <f>'NIR faktorer'!D611</f>
        <v>NO</v>
      </c>
      <c r="L81" s="3829" t="str">
        <f>IFERROR(F81*$B81,"NA")</f>
        <v>NA</v>
      </c>
      <c r="M81" s="3829" t="str">
        <f t="shared" ref="M81:O81" si="39">IFERROR(G81*$B81,"NA")</f>
        <v>NA</v>
      </c>
      <c r="N81" s="3829" t="str">
        <f t="shared" si="39"/>
        <v>NA</v>
      </c>
      <c r="O81" s="3829" t="str">
        <f t="shared" si="39"/>
        <v>NA</v>
      </c>
      <c r="P81" s="3834" t="str">
        <f>IFERROR(D81*J81,"NA")</f>
        <v>NA</v>
      </c>
      <c r="Q81" s="3835" t="str">
        <f>IFERROR(C81*K81,"NA")</f>
        <v>NA</v>
      </c>
      <c r="R81" s="3716">
        <f>SUBTOTAL(9,N81:Q81)</f>
        <v>0</v>
      </c>
      <c r="S81" s="3717">
        <f>R81*-(44/12)</f>
        <v>0</v>
      </c>
    </row>
    <row r="82" spans="1:20" s="3698" customFormat="1" ht="28.5" customHeight="1" thickBot="1" x14ac:dyDescent="0.3">
      <c r="A82" s="1043" t="s">
        <v>808</v>
      </c>
      <c r="B82" s="4003">
        <v>366.625</v>
      </c>
      <c r="C82" s="3981">
        <v>1.25</v>
      </c>
      <c r="D82" s="3981">
        <v>287.5</v>
      </c>
      <c r="E82" s="3711">
        <f>B82-C82-D82</f>
        <v>77.875</v>
      </c>
      <c r="F82" s="3712" t="str">
        <f>'NIR faktorer'!D562</f>
        <v/>
      </c>
      <c r="G82" s="3712" t="str">
        <f>'NIR faktorer'!D572</f>
        <v/>
      </c>
      <c r="H82" s="3712" t="str">
        <f>'NIR faktorer'!D582</f>
        <v/>
      </c>
      <c r="I82" s="3712" t="str">
        <f>'NIR faktorer'!D592</f>
        <v/>
      </c>
      <c r="J82" s="3712" t="str">
        <f>'NIR faktorer'!D602</f>
        <v/>
      </c>
      <c r="K82" s="3834" t="str">
        <f>'NIR faktorer'!D612</f>
        <v/>
      </c>
      <c r="L82" s="3712" t="str">
        <f t="shared" ref="L82:L90" si="40">IFERROR(F82*$B82,"NA")</f>
        <v>NA</v>
      </c>
      <c r="M82" s="3713" t="str">
        <f t="shared" ref="M82:M90" si="41">IFERROR(G82*$B82,"NA")</f>
        <v>NA</v>
      </c>
      <c r="N82" s="3835" t="str">
        <f t="shared" ref="N82:N90" si="42">IFERROR(H82*$B82,"NA")</f>
        <v>NA</v>
      </c>
      <c r="O82" s="3834" t="str">
        <f t="shared" ref="O82:O90" si="43">IFERROR(I82*$B82,"NA")</f>
        <v>NA</v>
      </c>
      <c r="P82" s="3748" t="str">
        <f t="shared" ref="P82:P90" si="44">IFERROR(D82*J82,"NA")</f>
        <v>NA</v>
      </c>
      <c r="Q82" s="3750" t="str">
        <f t="shared" ref="Q82:Q90" si="45">IFERROR(C82*K82,"NA")</f>
        <v>NA</v>
      </c>
      <c r="R82" s="3866">
        <f>SUBTOTAL(9,N82:Q82)</f>
        <v>0</v>
      </c>
      <c r="S82" s="3867">
        <f>R82*-(44/12)</f>
        <v>0</v>
      </c>
    </row>
    <row r="83" spans="1:20" s="3698" customFormat="1" ht="15.75" thickBot="1" x14ac:dyDescent="0.3">
      <c r="A83" s="1042" t="s">
        <v>807</v>
      </c>
      <c r="B83" s="3797"/>
      <c r="C83" s="3823"/>
      <c r="D83" s="3798"/>
      <c r="E83" s="3719"/>
      <c r="F83" s="3836" t="str">
        <f>'NIR faktorer'!D563</f>
        <v/>
      </c>
      <c r="G83" s="3836" t="str">
        <f>'NIR faktorer'!D573</f>
        <v/>
      </c>
      <c r="H83" s="3836" t="str">
        <f>'NIR faktorer'!D583</f>
        <v/>
      </c>
      <c r="I83" s="3836" t="str">
        <f>'NIR faktorer'!D593</f>
        <v/>
      </c>
      <c r="J83" s="3836" t="str">
        <f>'NIR faktorer'!D603</f>
        <v/>
      </c>
      <c r="K83" s="3837" t="str">
        <f>'NIR faktorer'!D613</f>
        <v/>
      </c>
      <c r="L83" s="3836" t="str">
        <f t="shared" si="40"/>
        <v>NA</v>
      </c>
      <c r="M83" s="3838" t="str">
        <f t="shared" si="41"/>
        <v>NA</v>
      </c>
      <c r="N83" s="3839" t="str">
        <f t="shared" si="42"/>
        <v>NA</v>
      </c>
      <c r="O83" s="3837" t="str">
        <f t="shared" si="43"/>
        <v>NA</v>
      </c>
      <c r="P83" s="3836" t="str">
        <f t="shared" si="44"/>
        <v>NA</v>
      </c>
      <c r="Q83" s="3840" t="str">
        <f t="shared" si="45"/>
        <v>NA</v>
      </c>
      <c r="R83" s="3841">
        <f t="shared" ref="R83:R90" si="46">SUBTOTAL(9,N83:Q83)</f>
        <v>0</v>
      </c>
      <c r="S83" s="3842"/>
    </row>
    <row r="84" spans="1:20" s="3698" customFormat="1" ht="15" x14ac:dyDescent="0.25">
      <c r="A84" s="1041" t="s">
        <v>806</v>
      </c>
      <c r="B84" s="4004">
        <v>0</v>
      </c>
      <c r="C84" s="3961">
        <v>0</v>
      </c>
      <c r="D84" s="3961">
        <v>0</v>
      </c>
      <c r="E84" s="3725">
        <f t="shared" ref="E84:E90" si="47">B84-C84-D84</f>
        <v>0</v>
      </c>
      <c r="F84" s="3726" t="str">
        <f>'NIR faktorer'!D564</f>
        <v>NO</v>
      </c>
      <c r="G84" s="3726" t="str">
        <f>'NIR faktorer'!D574</f>
        <v>NO</v>
      </c>
      <c r="H84" s="3726" t="str">
        <f>'NIR faktorer'!D584</f>
        <v>NO</v>
      </c>
      <c r="I84" s="3726" t="str">
        <f>'NIR faktorer'!D594</f>
        <v>NO</v>
      </c>
      <c r="J84" s="3726" t="str">
        <f>'NIR faktorer'!D604</f>
        <v>NO</v>
      </c>
      <c r="K84" s="3843" t="str">
        <f>'NIR faktorer'!D614</f>
        <v>NO</v>
      </c>
      <c r="L84" s="3726" t="str">
        <f t="shared" si="40"/>
        <v>NA</v>
      </c>
      <c r="M84" s="3727" t="str">
        <f t="shared" si="41"/>
        <v>NA</v>
      </c>
      <c r="N84" s="3764" t="str">
        <f t="shared" si="42"/>
        <v>NA</v>
      </c>
      <c r="O84" s="3843" t="str">
        <f t="shared" si="43"/>
        <v>NA</v>
      </c>
      <c r="P84" s="3726" t="str">
        <f t="shared" si="44"/>
        <v>NA</v>
      </c>
      <c r="Q84" s="3728" t="str">
        <f t="shared" si="45"/>
        <v>NA</v>
      </c>
      <c r="R84" s="3730">
        <f t="shared" si="46"/>
        <v>0</v>
      </c>
      <c r="S84" s="3844">
        <f t="shared" ref="S84:S90" si="48">R84*-(44/12)</f>
        <v>0</v>
      </c>
    </row>
    <row r="85" spans="1:20" s="3698" customFormat="1" ht="15" x14ac:dyDescent="0.25">
      <c r="A85" s="1041" t="s">
        <v>805</v>
      </c>
      <c r="B85" s="4001">
        <v>0</v>
      </c>
      <c r="C85" s="3960">
        <v>0</v>
      </c>
      <c r="D85" s="3960">
        <v>0</v>
      </c>
      <c r="E85" s="3725">
        <f t="shared" si="47"/>
        <v>0</v>
      </c>
      <c r="F85" s="3726" t="str">
        <f>'NIR faktorer'!D565</f>
        <v>NO</v>
      </c>
      <c r="G85" s="3726" t="str">
        <f>'NIR faktorer'!D575</f>
        <v>NO</v>
      </c>
      <c r="H85" s="3726" t="str">
        <f>'NIR faktorer'!D585</f>
        <v>NO</v>
      </c>
      <c r="I85" s="3726" t="str">
        <f>'NIR faktorer'!D595</f>
        <v>NO</v>
      </c>
      <c r="J85" s="3726" t="str">
        <f>'NIR faktorer'!D605</f>
        <v>NO</v>
      </c>
      <c r="K85" s="3843" t="str">
        <f>'NIR faktorer'!D615</f>
        <v>NO</v>
      </c>
      <c r="L85" s="3726" t="str">
        <f t="shared" si="40"/>
        <v>NA</v>
      </c>
      <c r="M85" s="3727" t="str">
        <f t="shared" si="41"/>
        <v>NA</v>
      </c>
      <c r="N85" s="3764" t="str">
        <f t="shared" si="42"/>
        <v>NA</v>
      </c>
      <c r="O85" s="3843" t="str">
        <f t="shared" si="43"/>
        <v>NA</v>
      </c>
      <c r="P85" s="3726" t="str">
        <f t="shared" si="44"/>
        <v>NA</v>
      </c>
      <c r="Q85" s="3728" t="str">
        <f t="shared" si="45"/>
        <v>NA</v>
      </c>
      <c r="R85" s="3730">
        <f t="shared" si="46"/>
        <v>0</v>
      </c>
      <c r="S85" s="3844">
        <f t="shared" si="48"/>
        <v>0</v>
      </c>
    </row>
    <row r="86" spans="1:20" s="3698" customFormat="1" ht="15" x14ac:dyDescent="0.25">
      <c r="A86" s="1041" t="s">
        <v>804</v>
      </c>
      <c r="B86" s="4001">
        <v>0</v>
      </c>
      <c r="C86" s="3960">
        <v>0</v>
      </c>
      <c r="D86" s="3960">
        <v>0</v>
      </c>
      <c r="E86" s="3725">
        <f t="shared" si="47"/>
        <v>0</v>
      </c>
      <c r="F86" s="3726" t="str">
        <f>'NIR faktorer'!D566</f>
        <v>NO</v>
      </c>
      <c r="G86" s="3726" t="str">
        <f>'NIR faktorer'!D576</f>
        <v>NO</v>
      </c>
      <c r="H86" s="3726" t="str">
        <f>'NIR faktorer'!D586</f>
        <v>NO</v>
      </c>
      <c r="I86" s="3726" t="str">
        <f>'NIR faktorer'!D596</f>
        <v>NO</v>
      </c>
      <c r="J86" s="3726" t="str">
        <f>'NIR faktorer'!D606</f>
        <v>NO</v>
      </c>
      <c r="K86" s="3843" t="str">
        <f>'NIR faktorer'!D616</f>
        <v>NO</v>
      </c>
      <c r="L86" s="3726" t="str">
        <f t="shared" si="40"/>
        <v>NA</v>
      </c>
      <c r="M86" s="3727" t="str">
        <f t="shared" si="41"/>
        <v>NA</v>
      </c>
      <c r="N86" s="3764" t="str">
        <f t="shared" si="42"/>
        <v>NA</v>
      </c>
      <c r="O86" s="3843" t="str">
        <f t="shared" si="43"/>
        <v>NA</v>
      </c>
      <c r="P86" s="3726" t="str">
        <f t="shared" si="44"/>
        <v>NA</v>
      </c>
      <c r="Q86" s="3728" t="str">
        <f t="shared" si="45"/>
        <v>NA</v>
      </c>
      <c r="R86" s="3730">
        <f t="shared" si="46"/>
        <v>0</v>
      </c>
      <c r="S86" s="3844">
        <f t="shared" si="48"/>
        <v>0</v>
      </c>
    </row>
    <row r="87" spans="1:20" s="3698" customFormat="1" ht="15" x14ac:dyDescent="0.25">
      <c r="A87" s="1041" t="s">
        <v>803</v>
      </c>
      <c r="B87" s="4001">
        <v>0</v>
      </c>
      <c r="C87" s="3960">
        <v>0</v>
      </c>
      <c r="D87" s="3960">
        <v>0</v>
      </c>
      <c r="E87" s="3725">
        <f t="shared" si="47"/>
        <v>0</v>
      </c>
      <c r="F87" s="3726" t="str">
        <f>'NIR faktorer'!D567</f>
        <v>NO</v>
      </c>
      <c r="G87" s="3726" t="str">
        <f>'NIR faktorer'!D577</f>
        <v>NO</v>
      </c>
      <c r="H87" s="3726" t="str">
        <f>'NIR faktorer'!D587</f>
        <v>NO</v>
      </c>
      <c r="I87" s="3726" t="str">
        <f>'NIR faktorer'!D597</f>
        <v>NO</v>
      </c>
      <c r="J87" s="3726" t="str">
        <f>'NIR faktorer'!D607</f>
        <v>NO</v>
      </c>
      <c r="K87" s="3843" t="str">
        <f>'NIR faktorer'!D617</f>
        <v>NO</v>
      </c>
      <c r="L87" s="3726" t="str">
        <f t="shared" si="40"/>
        <v>NA</v>
      </c>
      <c r="M87" s="3727" t="str">
        <f t="shared" si="41"/>
        <v>NA</v>
      </c>
      <c r="N87" s="3764" t="str">
        <f t="shared" si="42"/>
        <v>NA</v>
      </c>
      <c r="O87" s="3843" t="str">
        <f t="shared" si="43"/>
        <v>NA</v>
      </c>
      <c r="P87" s="3726" t="str">
        <f t="shared" si="44"/>
        <v>NA</v>
      </c>
      <c r="Q87" s="3728" t="str">
        <f t="shared" si="45"/>
        <v>NA</v>
      </c>
      <c r="R87" s="3730">
        <f t="shared" si="46"/>
        <v>0</v>
      </c>
      <c r="S87" s="3844">
        <f t="shared" si="48"/>
        <v>0</v>
      </c>
    </row>
    <row r="88" spans="1:20" s="3698" customFormat="1" ht="15" x14ac:dyDescent="0.25">
      <c r="A88" s="1041" t="s">
        <v>802</v>
      </c>
      <c r="B88" s="4001">
        <v>0</v>
      </c>
      <c r="C88" s="3960">
        <v>0</v>
      </c>
      <c r="D88" s="3960">
        <v>0</v>
      </c>
      <c r="E88" s="3725">
        <f t="shared" si="47"/>
        <v>0</v>
      </c>
      <c r="F88" s="3726" t="str">
        <f>'NIR faktorer'!D568</f>
        <v>NO</v>
      </c>
      <c r="G88" s="3726" t="str">
        <f>'NIR faktorer'!D578</f>
        <v>NO</v>
      </c>
      <c r="H88" s="3726" t="str">
        <f>'NIR faktorer'!D588</f>
        <v>NO</v>
      </c>
      <c r="I88" s="3726" t="str">
        <f>'NIR faktorer'!D598</f>
        <v>NO</v>
      </c>
      <c r="J88" s="3726" t="str">
        <f>'NIR faktorer'!D608</f>
        <v>NO</v>
      </c>
      <c r="K88" s="3843" t="str">
        <f>'NIR faktorer'!D618</f>
        <v>NO</v>
      </c>
      <c r="L88" s="3726" t="str">
        <f t="shared" si="40"/>
        <v>NA</v>
      </c>
      <c r="M88" s="3727" t="str">
        <f t="shared" si="41"/>
        <v>NA</v>
      </c>
      <c r="N88" s="3764" t="str">
        <f t="shared" si="42"/>
        <v>NA</v>
      </c>
      <c r="O88" s="3843" t="str">
        <f t="shared" si="43"/>
        <v>NA</v>
      </c>
      <c r="P88" s="3726" t="str">
        <f t="shared" si="44"/>
        <v>NA</v>
      </c>
      <c r="Q88" s="3728" t="str">
        <f t="shared" si="45"/>
        <v>NA</v>
      </c>
      <c r="R88" s="3730">
        <f t="shared" si="46"/>
        <v>0</v>
      </c>
      <c r="S88" s="3844">
        <f t="shared" si="48"/>
        <v>0</v>
      </c>
    </row>
    <row r="89" spans="1:20" s="3698" customFormat="1" ht="15" x14ac:dyDescent="0.25">
      <c r="A89" s="1041" t="s">
        <v>801</v>
      </c>
      <c r="B89" s="4001">
        <v>0</v>
      </c>
      <c r="C89" s="3960">
        <v>0</v>
      </c>
      <c r="D89" s="3960">
        <v>0</v>
      </c>
      <c r="E89" s="3725">
        <f t="shared" si="47"/>
        <v>0</v>
      </c>
      <c r="F89" s="3726" t="str">
        <f>'NIR faktorer'!D569</f>
        <v>NA</v>
      </c>
      <c r="G89" s="3727" t="str">
        <f>'NIR faktorer'!D579</f>
        <v>NA</v>
      </c>
      <c r="H89" s="3764" t="str">
        <f>'NIR faktorer'!D589</f>
        <v>NA</v>
      </c>
      <c r="I89" s="3730" t="str">
        <f>'NIR faktorer'!D599</f>
        <v>NA</v>
      </c>
      <c r="J89" s="3726" t="str">
        <f>'NIR faktorer'!D609</f>
        <v>NA</v>
      </c>
      <c r="K89" s="3764" t="str">
        <f>'NIR faktorer'!D619</f>
        <v>NA</v>
      </c>
      <c r="L89" s="3726" t="str">
        <f t="shared" si="40"/>
        <v>NA</v>
      </c>
      <c r="M89" s="3727" t="str">
        <f t="shared" si="41"/>
        <v>NA</v>
      </c>
      <c r="N89" s="3764" t="str">
        <f t="shared" si="42"/>
        <v>NA</v>
      </c>
      <c r="O89" s="3843" t="str">
        <f t="shared" si="43"/>
        <v>NA</v>
      </c>
      <c r="P89" s="3726" t="str">
        <f t="shared" si="44"/>
        <v>NA</v>
      </c>
      <c r="Q89" s="3728" t="str">
        <f t="shared" si="45"/>
        <v>NA</v>
      </c>
      <c r="R89" s="3730">
        <f t="shared" si="46"/>
        <v>0</v>
      </c>
      <c r="S89" s="3844">
        <f t="shared" si="48"/>
        <v>0</v>
      </c>
    </row>
    <row r="90" spans="1:20" s="3698" customFormat="1" ht="15.75" thickBot="1" x14ac:dyDescent="0.3">
      <c r="A90" s="1040" t="s">
        <v>800</v>
      </c>
      <c r="B90" s="4002">
        <v>0</v>
      </c>
      <c r="C90" s="4006"/>
      <c r="D90" s="3976"/>
      <c r="E90" s="3732">
        <f t="shared" si="47"/>
        <v>0</v>
      </c>
      <c r="F90" s="3733" t="str">
        <f>'NIR faktorer'!D570</f>
        <v>NA</v>
      </c>
      <c r="G90" s="3735" t="str">
        <f>'NIR faktorer'!D580</f>
        <v>NA</v>
      </c>
      <c r="H90" s="3766" t="str">
        <f>'NIR faktorer'!D590</f>
        <v>NA</v>
      </c>
      <c r="I90" s="3737" t="str">
        <f>'NIR faktorer'!D600</f>
        <v>NA</v>
      </c>
      <c r="J90" s="3733" t="str">
        <f>'NIR faktorer'!D610</f>
        <v>NA</v>
      </c>
      <c r="K90" s="3766" t="str">
        <f>'NIR faktorer'!D620</f>
        <v>NA</v>
      </c>
      <c r="L90" s="3733" t="str">
        <f t="shared" si="40"/>
        <v>NA</v>
      </c>
      <c r="M90" s="3735" t="str">
        <f t="shared" si="41"/>
        <v>NA</v>
      </c>
      <c r="N90" s="3766" t="str">
        <f t="shared" si="42"/>
        <v>NA</v>
      </c>
      <c r="O90" s="3845" t="str">
        <f t="shared" si="43"/>
        <v>NA</v>
      </c>
      <c r="P90" s="3733" t="str">
        <f t="shared" si="44"/>
        <v>NA</v>
      </c>
      <c r="Q90" s="3734" t="str">
        <f t="shared" si="45"/>
        <v>NA</v>
      </c>
      <c r="R90" s="3737">
        <f t="shared" si="46"/>
        <v>0</v>
      </c>
      <c r="S90" s="3846">
        <f t="shared" si="48"/>
        <v>0</v>
      </c>
    </row>
    <row r="91" spans="1:20" s="3698" customFormat="1" ht="24.75" customHeight="1" x14ac:dyDescent="0.25">
      <c r="A91" s="3847"/>
      <c r="B91" s="3848"/>
      <c r="C91" s="3848"/>
      <c r="D91" s="3848"/>
      <c r="E91" s="3848"/>
      <c r="T91" s="3848"/>
    </row>
    <row r="92" spans="1:20" s="1037" customFormat="1" ht="47.45" customHeight="1" x14ac:dyDescent="0.2">
      <c r="A92" s="1032" t="s">
        <v>2257</v>
      </c>
      <c r="B92" s="5289" t="s">
        <v>1845</v>
      </c>
      <c r="C92" s="5290"/>
      <c r="D92" s="5290"/>
      <c r="E92" s="5291"/>
      <c r="F92" s="5289" t="str">
        <f>'NIR faktorer'!D622</f>
        <v xml:space="preserve"> NIR 2020 (2018) CRF tabel 4F</v>
      </c>
      <c r="G92" s="5290"/>
      <c r="H92" s="5290"/>
      <c r="I92" s="5290"/>
      <c r="J92" s="5290"/>
      <c r="K92" s="5291"/>
      <c r="L92" s="5289" t="s">
        <v>2054</v>
      </c>
      <c r="M92" s="5290"/>
      <c r="N92" s="5290"/>
      <c r="O92" s="5290"/>
      <c r="P92" s="5290"/>
      <c r="Q92" s="5291"/>
      <c r="S92" s="1039" t="s">
        <v>2304</v>
      </c>
      <c r="T92" s="1038"/>
    </row>
    <row r="93" spans="1:20" s="1035" customFormat="1" ht="12" x14ac:dyDescent="0.2">
      <c r="A93" s="1036" t="s">
        <v>2303</v>
      </c>
    </row>
    <row r="95" spans="1:20" s="3698" customFormat="1" ht="23.25" customHeight="1" thickBot="1" x14ac:dyDescent="0.3">
      <c r="A95" s="1034" t="s">
        <v>2302</v>
      </c>
      <c r="B95" s="1034"/>
    </row>
    <row r="96" spans="1:20" s="3698" customFormat="1" ht="30" customHeight="1" thickBot="1" x14ac:dyDescent="0.3">
      <c r="A96" s="2905" t="s">
        <v>4888</v>
      </c>
      <c r="B96" s="1015" t="s">
        <v>4956</v>
      </c>
      <c r="C96" s="1048" t="s">
        <v>4859</v>
      </c>
      <c r="D96" s="1048" t="s">
        <v>4860</v>
      </c>
    </row>
    <row r="97" spans="1:6" s="3698" customFormat="1" ht="15.75" thickBot="1" x14ac:dyDescent="0.3">
      <c r="A97" s="1043" t="s">
        <v>2300</v>
      </c>
      <c r="B97" s="4003">
        <v>26.875</v>
      </c>
      <c r="C97" s="3981">
        <v>0</v>
      </c>
      <c r="D97" s="4011">
        <v>19.5</v>
      </c>
    </row>
    <row r="98" spans="1:6" s="3698" customFormat="1" ht="15" x14ac:dyDescent="0.25"/>
    <row r="99" spans="1:6" x14ac:dyDescent="0.2">
      <c r="A99" s="1032" t="s">
        <v>651</v>
      </c>
      <c r="B99" s="5300" t="s">
        <v>1845</v>
      </c>
      <c r="C99" s="5301"/>
      <c r="D99" s="5302"/>
    </row>
    <row r="100" spans="1:6" ht="15" x14ac:dyDescent="0.25">
      <c r="F100" s="1031"/>
    </row>
  </sheetData>
  <mergeCells count="36">
    <mergeCell ref="B99:D99"/>
    <mergeCell ref="F79:H79"/>
    <mergeCell ref="J79:K79"/>
    <mergeCell ref="L79:N79"/>
    <mergeCell ref="P79:Q79"/>
    <mergeCell ref="B92:E92"/>
    <mergeCell ref="F92:K92"/>
    <mergeCell ref="L92:Q92"/>
    <mergeCell ref="F63:H63"/>
    <mergeCell ref="J63:K63"/>
    <mergeCell ref="L63:N63"/>
    <mergeCell ref="P63:Q63"/>
    <mergeCell ref="B76:E76"/>
    <mergeCell ref="F76:K76"/>
    <mergeCell ref="L76:Q76"/>
    <mergeCell ref="F39:H39"/>
    <mergeCell ref="J39:K39"/>
    <mergeCell ref="L39:N39"/>
    <mergeCell ref="P39:Q39"/>
    <mergeCell ref="B58:E58"/>
    <mergeCell ref="F58:K58"/>
    <mergeCell ref="L58:Q58"/>
    <mergeCell ref="F23:H23"/>
    <mergeCell ref="J23:K23"/>
    <mergeCell ref="L23:N23"/>
    <mergeCell ref="P23:Q23"/>
    <mergeCell ref="B36:E36"/>
    <mergeCell ref="F36:K36"/>
    <mergeCell ref="L36:Q36"/>
    <mergeCell ref="F7:H7"/>
    <mergeCell ref="J7:K7"/>
    <mergeCell ref="L7:N7"/>
    <mergeCell ref="P7:Q7"/>
    <mergeCell ref="B20:E20"/>
    <mergeCell ref="F20:K20"/>
    <mergeCell ref="L20:Q20"/>
  </mergeCells>
  <hyperlinks>
    <hyperlink ref="A2" location="Index!A1" display="Til index" xr:uid="{379B4957-6C21-4D04-804D-CC01592842B1}"/>
  </hyperlinks>
  <pageMargins left="0.7" right="0.7" top="0.75" bottom="0.75" header="0.3" footer="0.3"/>
  <pageSetup paperSize="8" scale="47"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74DA5-29C5-482E-8AD1-DACD580907DF}">
  <sheetPr codeName="Ark94">
    <tabColor theme="4" tint="-0.249977111117893"/>
    <pageSetUpPr fitToPage="1"/>
  </sheetPr>
  <dimension ref="A1:T100"/>
  <sheetViews>
    <sheetView showGridLines="0" zoomScale="85" zoomScaleNormal="85" workbookViewId="0">
      <selection activeCell="A2" sqref="A2"/>
    </sheetView>
  </sheetViews>
  <sheetFormatPr defaultColWidth="8.7109375" defaultRowHeight="12.75" x14ac:dyDescent="0.2"/>
  <cols>
    <col min="1" max="1" width="51.5703125" style="1917" customWidth="1"/>
    <col min="2" max="2" width="35.28515625" style="1917" customWidth="1"/>
    <col min="3" max="3" width="18.85546875" style="1917" customWidth="1"/>
    <col min="4" max="5" width="21.42578125" style="1917" customWidth="1"/>
    <col min="6" max="6" width="23.140625" style="1917" customWidth="1"/>
    <col min="7" max="7" width="17.7109375" style="1917" customWidth="1"/>
    <col min="8" max="8" width="25" style="1917" customWidth="1"/>
    <col min="9" max="9" width="24" style="1917" customWidth="1"/>
    <col min="10" max="10" width="24.42578125" style="1917" customWidth="1"/>
    <col min="11" max="11" width="23.42578125" style="1917" customWidth="1"/>
    <col min="12" max="13" width="20.5703125" style="1917" customWidth="1"/>
    <col min="14" max="14" width="20.42578125" style="1917" customWidth="1"/>
    <col min="15" max="15" width="23.140625" style="1917" customWidth="1"/>
    <col min="16" max="16" width="18.42578125" style="1917" customWidth="1"/>
    <col min="17" max="17" width="19.140625" style="1917" customWidth="1"/>
    <col min="18" max="18" width="24.7109375" style="1917" customWidth="1"/>
    <col min="19" max="19" width="25.7109375" style="1917" customWidth="1"/>
    <col min="20" max="20" width="22.28515625" style="1917" customWidth="1"/>
    <col min="21" max="21" width="34.85546875" style="1917" bestFit="1" customWidth="1"/>
    <col min="22" max="22" width="25" style="1917" bestFit="1" customWidth="1"/>
    <col min="23" max="24" width="9.140625" style="1917" customWidth="1"/>
    <col min="25" max="25" width="21.28515625" style="1917" customWidth="1"/>
    <col min="26" max="26" width="16" style="1917" bestFit="1" customWidth="1"/>
    <col min="27" max="27" width="16.5703125" style="1917" bestFit="1" customWidth="1"/>
    <col min="28" max="16384" width="8.7109375" style="1917"/>
  </cols>
  <sheetData>
    <row r="1" spans="1:20" s="1866" customFormat="1" ht="54" customHeight="1" x14ac:dyDescent="0.35">
      <c r="B1" s="1007" t="s">
        <v>2321</v>
      </c>
    </row>
    <row r="2" spans="1:20" ht="21" x14ac:dyDescent="0.35">
      <c r="A2" s="1740" t="s">
        <v>4206</v>
      </c>
    </row>
    <row r="3" spans="1:20" x14ac:dyDescent="0.2">
      <c r="A3" s="3682"/>
      <c r="B3" s="1917" t="str">
        <f>'K1 2018G'!B3</f>
        <v>Tal fra register</v>
      </c>
    </row>
    <row r="4" spans="1:20" x14ac:dyDescent="0.2">
      <c r="A4" s="1918"/>
      <c r="B4" s="1917" t="str">
        <f>'K1 2018G'!B4</f>
        <v>Overført til regnskab</v>
      </c>
    </row>
    <row r="5" spans="1:20" s="1010" customFormat="1" ht="12" x14ac:dyDescent="0.2">
      <c r="A5" s="1090" t="s">
        <v>2320</v>
      </c>
      <c r="B5" s="1090" t="s">
        <v>2319</v>
      </c>
      <c r="C5" s="1089"/>
      <c r="D5" s="1089"/>
      <c r="E5" s="1089"/>
      <c r="F5" s="1089"/>
      <c r="G5" s="1089"/>
      <c r="H5" s="1089"/>
      <c r="I5" s="1089"/>
      <c r="J5" s="1089"/>
      <c r="K5" s="1089"/>
      <c r="L5" s="1089"/>
    </row>
    <row r="7" spans="1:20" ht="21.95" customHeight="1" thickBot="1" x14ac:dyDescent="0.3">
      <c r="A7" s="1034" t="s">
        <v>2318</v>
      </c>
      <c r="F7" s="5297" t="s">
        <v>4949</v>
      </c>
      <c r="G7" s="5297"/>
      <c r="H7" s="5297"/>
      <c r="I7" s="1052"/>
      <c r="J7" s="5298" t="s">
        <v>4950</v>
      </c>
      <c r="K7" s="5298"/>
      <c r="L7" s="5299" t="s">
        <v>4948</v>
      </c>
      <c r="M7" s="5299"/>
      <c r="N7" s="5299"/>
      <c r="O7" s="1051"/>
      <c r="P7" s="5299" t="s">
        <v>4947</v>
      </c>
      <c r="Q7" s="5299"/>
    </row>
    <row r="8" spans="1:20" s="1088" customFormat="1" ht="60.75" thickBot="1" x14ac:dyDescent="0.25">
      <c r="A8" s="2902" t="s">
        <v>395</v>
      </c>
      <c r="B8" s="1015" t="s">
        <v>4951</v>
      </c>
      <c r="C8" s="1048" t="s">
        <v>4859</v>
      </c>
      <c r="D8" s="1048" t="s">
        <v>4860</v>
      </c>
      <c r="E8" s="1045" t="s">
        <v>4861</v>
      </c>
      <c r="F8" s="1046" t="s">
        <v>4862</v>
      </c>
      <c r="G8" s="1047" t="s">
        <v>4863</v>
      </c>
      <c r="H8" s="1045" t="s">
        <v>4864</v>
      </c>
      <c r="I8" s="1084" t="s">
        <v>4866</v>
      </c>
      <c r="J8" s="1046" t="s">
        <v>4867</v>
      </c>
      <c r="K8" s="1045" t="s">
        <v>4868</v>
      </c>
      <c r="L8" s="1046" t="s">
        <v>5234</v>
      </c>
      <c r="M8" s="1048" t="s">
        <v>5235</v>
      </c>
      <c r="N8" s="1045" t="s">
        <v>5236</v>
      </c>
      <c r="O8" s="1084" t="s">
        <v>5237</v>
      </c>
      <c r="P8" s="1046" t="s">
        <v>5238</v>
      </c>
      <c r="Q8" s="1045" t="s">
        <v>5239</v>
      </c>
      <c r="R8" s="1044" t="s">
        <v>5240</v>
      </c>
      <c r="S8" s="2937" t="s">
        <v>5241</v>
      </c>
    </row>
    <row r="9" spans="1:20" ht="23.25" customHeight="1" thickBot="1" x14ac:dyDescent="0.3">
      <c r="A9" s="1087" t="s">
        <v>865</v>
      </c>
      <c r="B9" s="3699">
        <f>B10+B12+B13+B14+B15+B16+B17+B18</f>
        <v>3188.4375</v>
      </c>
      <c r="C9" s="3700">
        <f>C10+C12+C13+C14+C15+C16+C17</f>
        <v>0</v>
      </c>
      <c r="D9" s="3700">
        <f>D10+D11</f>
        <v>3156.4375</v>
      </c>
      <c r="E9" s="3701">
        <f t="shared" ref="E9:E18" si="0">B9-C9-D9</f>
        <v>32</v>
      </c>
      <c r="F9" s="1919" t="str">
        <f>'NIR faktorer'!D269</f>
        <v/>
      </c>
      <c r="G9" s="1920" t="str">
        <f>'NIR faktorer'!D279</f>
        <v/>
      </c>
      <c r="H9" s="1921" t="str">
        <f>'NIR faktorer'!D289</f>
        <v/>
      </c>
      <c r="I9" s="1922" t="str">
        <f>'NIR faktorer'!D299</f>
        <v/>
      </c>
      <c r="J9" s="1919" t="str">
        <f>'NIR faktorer'!D309</f>
        <v/>
      </c>
      <c r="K9" s="1921" t="str">
        <f>'NIR faktorer'!D319</f>
        <v/>
      </c>
      <c r="L9" s="1923"/>
      <c r="M9" s="1924"/>
      <c r="N9" s="1925"/>
      <c r="O9" s="1922"/>
      <c r="P9" s="1919"/>
      <c r="Q9" s="1921"/>
      <c r="R9" s="1926">
        <f>R10+R11</f>
        <v>-683.92485401912609</v>
      </c>
      <c r="S9" s="1927">
        <f>S10+S11</f>
        <v>2507.7244647367957</v>
      </c>
    </row>
    <row r="10" spans="1:20" ht="24.75" customHeight="1" thickBot="1" x14ac:dyDescent="0.3">
      <c r="A10" s="1087" t="s">
        <v>864</v>
      </c>
      <c r="B10" s="4003">
        <v>2921.5625</v>
      </c>
      <c r="C10" s="3981">
        <v>0</v>
      </c>
      <c r="D10" s="3981">
        <v>2896.5</v>
      </c>
      <c r="E10" s="3711">
        <f t="shared" si="0"/>
        <v>25.0625</v>
      </c>
      <c r="F10" s="1928">
        <f>'NIR faktorer'!D270</f>
        <v>1.4941326769239999E-2</v>
      </c>
      <c r="G10" s="1929">
        <f>'NIR faktorer'!D280</f>
        <v>-1.9678227297509999E-2</v>
      </c>
      <c r="H10" s="1930">
        <f>'NIR faktorer'!D290</f>
        <v>-4.7369005282599996E-3</v>
      </c>
      <c r="I10" s="1931" t="str">
        <f>'NIR faktorer'!D300</f>
        <v>NO</v>
      </c>
      <c r="J10" s="1928">
        <f>'NIR faktorer'!D310</f>
        <v>-8.1809917974260002E-2</v>
      </c>
      <c r="K10" s="1930">
        <f>'NIR faktorer'!D320</f>
        <v>-7.5945859439531302</v>
      </c>
      <c r="L10" s="1932">
        <f t="shared" ref="L10:L18" si="1">IFERROR(B10*F10,"NA")</f>
        <v>43.652019989257738</v>
      </c>
      <c r="M10" s="1933">
        <f t="shared" ref="M10:M18" si="2">IFERROR(B10*G10,"NA")</f>
        <v>-57.491170938881552</v>
      </c>
      <c r="N10" s="1934">
        <f t="shared" ref="N10:N18" si="3">IFERROR(B10*H10,"NA")</f>
        <v>-13.839150949594606</v>
      </c>
      <c r="O10" s="1935" t="str">
        <f t="shared" ref="O10:O18" si="4">IFERROR(B10*I10,"NA")</f>
        <v>NA</v>
      </c>
      <c r="P10" s="1932">
        <f t="shared" ref="P10:P18" si="5">IFERROR(D10*J10,"NA")</f>
        <v>-236.9624274124441</v>
      </c>
      <c r="Q10" s="1934">
        <f t="shared" ref="Q10:Q18" si="6">IFERROR(C10*K10,"NA")</f>
        <v>0</v>
      </c>
      <c r="R10" s="1936">
        <f>SUMIF(N10:Q10,"&lt;&gt;NO eller IF eller #VÆRDI!")</f>
        <v>-250.8015783620387</v>
      </c>
      <c r="S10" s="1937">
        <f>R10*-(44/12)</f>
        <v>919.60578732747524</v>
      </c>
    </row>
    <row r="11" spans="1:20" ht="15.75" thickBot="1" x14ac:dyDescent="0.3">
      <c r="A11" s="1042" t="s">
        <v>863</v>
      </c>
      <c r="B11" s="3797">
        <f>SUM(B12:B18)</f>
        <v>266.875</v>
      </c>
      <c r="C11" s="3823">
        <f>SUM(C12:C18)</f>
        <v>0</v>
      </c>
      <c r="D11" s="3798">
        <f>SUM(D12:D18)</f>
        <v>259.9375</v>
      </c>
      <c r="E11" s="3799">
        <f t="shared" si="0"/>
        <v>6.9375</v>
      </c>
      <c r="F11" s="1939" t="str">
        <f>'NIR faktorer'!D271</f>
        <v/>
      </c>
      <c r="G11" s="1940" t="str">
        <f>'NIR faktorer'!D281</f>
        <v/>
      </c>
      <c r="H11" s="1941" t="str">
        <f>'NIR faktorer'!D291</f>
        <v/>
      </c>
      <c r="I11" s="1942" t="str">
        <f>'NIR faktorer'!D301</f>
        <v/>
      </c>
      <c r="J11" s="1939" t="str">
        <f>'NIR faktorer'!D311</f>
        <v/>
      </c>
      <c r="K11" s="1941" t="str">
        <f>'NIR faktorer'!D321</f>
        <v/>
      </c>
      <c r="L11" s="1943" t="str">
        <f t="shared" si="1"/>
        <v>NA</v>
      </c>
      <c r="M11" s="1944" t="str">
        <f t="shared" si="2"/>
        <v>NA</v>
      </c>
      <c r="N11" s="1945" t="str">
        <f t="shared" si="3"/>
        <v>NA</v>
      </c>
      <c r="O11" s="1946" t="str">
        <f t="shared" si="4"/>
        <v>NA</v>
      </c>
      <c r="P11" s="1943" t="str">
        <f t="shared" si="5"/>
        <v>NA</v>
      </c>
      <c r="Q11" s="1945" t="str">
        <f t="shared" si="6"/>
        <v>NA</v>
      </c>
      <c r="R11" s="1947">
        <f>SUM(R12:R18)</f>
        <v>-433.12327565708739</v>
      </c>
      <c r="S11" s="1947">
        <f>SUM(S12:S18)</f>
        <v>1588.1186774093205</v>
      </c>
    </row>
    <row r="12" spans="1:20" ht="15" x14ac:dyDescent="0.25">
      <c r="A12" s="1068" t="s">
        <v>862</v>
      </c>
      <c r="B12" s="4004">
        <v>137.6875</v>
      </c>
      <c r="C12" s="3961">
        <v>0</v>
      </c>
      <c r="D12" s="3961">
        <v>137.6875</v>
      </c>
      <c r="E12" s="3772">
        <f t="shared" si="0"/>
        <v>0</v>
      </c>
      <c r="F12" s="1058">
        <f>'NIR faktorer'!D272</f>
        <v>0.84401652238873004</v>
      </c>
      <c r="G12" s="1077">
        <f>'NIR faktorer'!D282</f>
        <v>-2.2454215246064502</v>
      </c>
      <c r="H12" s="1949">
        <f>'NIR faktorer'!D292</f>
        <v>-1.40140500221772</v>
      </c>
      <c r="I12" s="1950">
        <f>'NIR faktorer'!D302</f>
        <v>-1.6256504778760701</v>
      </c>
      <c r="J12" s="1058">
        <f>'NIR faktorer'!D312</f>
        <v>-0.38204713756886</v>
      </c>
      <c r="K12" s="1949" t="str">
        <f>'NIR faktorer'!D322</f>
        <v>IE</v>
      </c>
      <c r="L12" s="1951">
        <f t="shared" si="1"/>
        <v>116.21052492639826</v>
      </c>
      <c r="M12" s="1952">
        <f t="shared" si="2"/>
        <v>-309.16647616925059</v>
      </c>
      <c r="N12" s="1953">
        <f t="shared" si="3"/>
        <v>-192.95595124285234</v>
      </c>
      <c r="O12" s="1954">
        <f t="shared" si="4"/>
        <v>-223.83175017256141</v>
      </c>
      <c r="P12" s="1951">
        <f t="shared" si="5"/>
        <v>-52.603115254012408</v>
      </c>
      <c r="Q12" s="1953" t="str">
        <f t="shared" si="6"/>
        <v>NA</v>
      </c>
      <c r="R12" s="1955">
        <f t="shared" ref="R12:R18" si="7">SUBTOTAL(9,N12:Q12)</f>
        <v>-469.39081666942616</v>
      </c>
      <c r="S12" s="1956">
        <f t="shared" ref="S12:S18" si="8">R12*-(44/12)</f>
        <v>1721.0996611212292</v>
      </c>
      <c r="T12" s="1957"/>
    </row>
    <row r="13" spans="1:20" ht="15" x14ac:dyDescent="0.25">
      <c r="A13" s="1068" t="s">
        <v>861</v>
      </c>
      <c r="B13" s="4001">
        <v>128.875</v>
      </c>
      <c r="C13" s="3960">
        <v>0</v>
      </c>
      <c r="D13" s="3960">
        <v>121.9375</v>
      </c>
      <c r="E13" s="4005">
        <f t="shared" si="0"/>
        <v>6.9375</v>
      </c>
      <c r="F13" s="1058">
        <f>'NIR faktorer'!D273</f>
        <v>0.95678513259447995</v>
      </c>
      <c r="G13" s="1077">
        <f>'NIR faktorer'!D283</f>
        <v>-0.67356498071182003</v>
      </c>
      <c r="H13" s="1949">
        <f>'NIR faktorer'!D293</f>
        <v>0.28322015188265998</v>
      </c>
      <c r="I13" s="1950" t="str">
        <f>'NIR faktorer'!D303</f>
        <v>NA</v>
      </c>
      <c r="J13" s="1058" t="str">
        <f>'NIR faktorer'!D313</f>
        <v>IE</v>
      </c>
      <c r="K13" s="1949" t="str">
        <f>'NIR faktorer'!D323</f>
        <v>IE</v>
      </c>
      <c r="L13" s="1951">
        <f t="shared" si="1"/>
        <v>123.30568396311361</v>
      </c>
      <c r="M13" s="1952">
        <f t="shared" si="2"/>
        <v>-86.805686889235801</v>
      </c>
      <c r="N13" s="1953">
        <f t="shared" si="3"/>
        <v>36.499997073877807</v>
      </c>
      <c r="O13" s="1954" t="str">
        <f t="shared" si="4"/>
        <v>NA</v>
      </c>
      <c r="P13" s="1951" t="str">
        <f t="shared" si="5"/>
        <v>NA</v>
      </c>
      <c r="Q13" s="1953" t="str">
        <f t="shared" si="6"/>
        <v>NA</v>
      </c>
      <c r="R13" s="1955">
        <f t="shared" si="7"/>
        <v>36.499997073877807</v>
      </c>
      <c r="S13" s="1956">
        <f t="shared" si="8"/>
        <v>-133.83332260421861</v>
      </c>
    </row>
    <row r="14" spans="1:20" ht="15" x14ac:dyDescent="0.25">
      <c r="A14" s="1068" t="s">
        <v>860</v>
      </c>
      <c r="B14" s="4001">
        <v>0.125</v>
      </c>
      <c r="C14" s="3960">
        <v>0</v>
      </c>
      <c r="D14" s="3960">
        <v>0.125</v>
      </c>
      <c r="E14" s="4005">
        <f t="shared" si="0"/>
        <v>0</v>
      </c>
      <c r="F14" s="1058" t="str">
        <f>'NIR faktorer'!D274</f>
        <v>NO</v>
      </c>
      <c r="G14" s="1077" t="str">
        <f>'NIR faktorer'!D284</f>
        <v>NO</v>
      </c>
      <c r="H14" s="1949" t="str">
        <f>'NIR faktorer'!D294</f>
        <v>NO</v>
      </c>
      <c r="I14" s="1950" t="str">
        <f>'NIR faktorer'!D304</f>
        <v>NO</v>
      </c>
      <c r="J14" s="1058">
        <f>'NIR faktorer'!D314</f>
        <v>-1.8596484923123799</v>
      </c>
      <c r="K14" s="1949" t="str">
        <f>'NIR faktorer'!D324</f>
        <v>IE</v>
      </c>
      <c r="L14" s="1951" t="str">
        <f t="shared" si="1"/>
        <v>NA</v>
      </c>
      <c r="M14" s="1952" t="str">
        <f t="shared" si="2"/>
        <v>NA</v>
      </c>
      <c r="N14" s="1953" t="str">
        <f t="shared" si="3"/>
        <v>NA</v>
      </c>
      <c r="O14" s="1954" t="str">
        <f t="shared" si="4"/>
        <v>NA</v>
      </c>
      <c r="P14" s="1951">
        <f t="shared" si="5"/>
        <v>-0.23245606153904749</v>
      </c>
      <c r="Q14" s="1953" t="str">
        <f t="shared" si="6"/>
        <v>NA</v>
      </c>
      <c r="R14" s="1955">
        <f t="shared" si="7"/>
        <v>-0.23245606153904749</v>
      </c>
      <c r="S14" s="1956">
        <f t="shared" si="8"/>
        <v>0.85233889230984072</v>
      </c>
      <c r="T14" s="1958"/>
    </row>
    <row r="15" spans="1:20" ht="15" x14ac:dyDescent="0.25">
      <c r="A15" s="1068" t="s">
        <v>859</v>
      </c>
      <c r="B15" s="4001">
        <v>0</v>
      </c>
      <c r="C15" s="3960">
        <v>0</v>
      </c>
      <c r="D15" s="3960">
        <v>0</v>
      </c>
      <c r="E15" s="4005">
        <f t="shared" si="0"/>
        <v>0</v>
      </c>
      <c r="F15" s="1959" t="str">
        <f>'NIR faktorer'!D275</f>
        <v>NO</v>
      </c>
      <c r="G15" s="1960" t="str">
        <f>'NIR faktorer'!D285</f>
        <v>NO</v>
      </c>
      <c r="H15" s="1961" t="str">
        <f>'NIR faktorer'!D295</f>
        <v>NO</v>
      </c>
      <c r="I15" s="1962" t="str">
        <f>'NIR faktorer'!D305</f>
        <v>NO</v>
      </c>
      <c r="J15" s="1959" t="str">
        <f>'NIR faktorer'!D315</f>
        <v>NO</v>
      </c>
      <c r="K15" s="1961" t="str">
        <f>'NIR faktorer'!D325</f>
        <v>NO</v>
      </c>
      <c r="L15" s="1951" t="str">
        <f t="shared" si="1"/>
        <v>NA</v>
      </c>
      <c r="M15" s="1952" t="str">
        <f t="shared" si="2"/>
        <v>NA</v>
      </c>
      <c r="N15" s="1953" t="str">
        <f t="shared" si="3"/>
        <v>NA</v>
      </c>
      <c r="O15" s="1954" t="str">
        <f t="shared" si="4"/>
        <v>NA</v>
      </c>
      <c r="P15" s="1951" t="str">
        <f t="shared" si="5"/>
        <v>NA</v>
      </c>
      <c r="Q15" s="1953" t="str">
        <f t="shared" si="6"/>
        <v>NA</v>
      </c>
      <c r="R15" s="1955">
        <f t="shared" si="7"/>
        <v>0</v>
      </c>
      <c r="S15" s="1956">
        <f t="shared" si="8"/>
        <v>0</v>
      </c>
      <c r="T15" s="1958"/>
    </row>
    <row r="16" spans="1:20" ht="15" x14ac:dyDescent="0.25">
      <c r="A16" s="1068" t="s">
        <v>858</v>
      </c>
      <c r="B16" s="4001">
        <v>0</v>
      </c>
      <c r="C16" s="3960">
        <v>0</v>
      </c>
      <c r="D16" s="3960">
        <v>0</v>
      </c>
      <c r="E16" s="4005">
        <f t="shared" si="0"/>
        <v>0</v>
      </c>
      <c r="F16" s="1959" t="str">
        <f>'NIR faktorer'!D276</f>
        <v>NO</v>
      </c>
      <c r="G16" s="1960" t="str">
        <f>'NIR faktorer'!D286</f>
        <v>NO</v>
      </c>
      <c r="H16" s="1961" t="str">
        <f>'NIR faktorer'!D296</f>
        <v>NO</v>
      </c>
      <c r="I16" s="1962" t="str">
        <f>'NIR faktorer'!D306</f>
        <v>NO</v>
      </c>
      <c r="J16" s="1959" t="str">
        <f>'NIR faktorer'!D316</f>
        <v>NO</v>
      </c>
      <c r="K16" s="1961" t="str">
        <f>'NIR faktorer'!D326</f>
        <v>NO</v>
      </c>
      <c r="L16" s="1951" t="str">
        <f t="shared" si="1"/>
        <v>NA</v>
      </c>
      <c r="M16" s="1952" t="str">
        <f t="shared" si="2"/>
        <v>NA</v>
      </c>
      <c r="N16" s="1953" t="str">
        <f t="shared" si="3"/>
        <v>NA</v>
      </c>
      <c r="O16" s="1954" t="str">
        <f t="shared" si="4"/>
        <v>NA</v>
      </c>
      <c r="P16" s="1951" t="str">
        <f t="shared" si="5"/>
        <v>NA</v>
      </c>
      <c r="Q16" s="1953" t="str">
        <f t="shared" si="6"/>
        <v>NA</v>
      </c>
      <c r="R16" s="1955">
        <f t="shared" si="7"/>
        <v>0</v>
      </c>
      <c r="S16" s="1956">
        <f t="shared" si="8"/>
        <v>0</v>
      </c>
      <c r="T16" s="1958"/>
    </row>
    <row r="17" spans="1:20" ht="15" x14ac:dyDescent="0.25">
      <c r="A17" s="1068" t="s">
        <v>857</v>
      </c>
      <c r="B17" s="4001">
        <v>0</v>
      </c>
      <c r="C17" s="3960">
        <v>0</v>
      </c>
      <c r="D17" s="3960">
        <v>0</v>
      </c>
      <c r="E17" s="4005">
        <f t="shared" si="0"/>
        <v>0</v>
      </c>
      <c r="F17" s="1959" t="str">
        <f>'NIR faktorer'!D277</f>
        <v>NA</v>
      </c>
      <c r="G17" s="1963" t="str">
        <f>'NIR faktorer'!D287</f>
        <v>NA</v>
      </c>
      <c r="H17" s="1964" t="str">
        <f>'NIR faktorer'!D297</f>
        <v>NA</v>
      </c>
      <c r="I17" s="1962" t="str">
        <f>'NIR faktorer'!D307</f>
        <v>NA</v>
      </c>
      <c r="J17" s="1951" t="str">
        <f>'NIR faktorer'!D317</f>
        <v>NA</v>
      </c>
      <c r="K17" s="1953" t="str">
        <f>'NIR faktorer'!D327</f>
        <v>NA</v>
      </c>
      <c r="L17" s="1951" t="str">
        <f t="shared" si="1"/>
        <v>NA</v>
      </c>
      <c r="M17" s="1952" t="str">
        <f t="shared" si="2"/>
        <v>NA</v>
      </c>
      <c r="N17" s="1953" t="str">
        <f t="shared" si="3"/>
        <v>NA</v>
      </c>
      <c r="O17" s="1954" t="str">
        <f t="shared" si="4"/>
        <v>NA</v>
      </c>
      <c r="P17" s="1951" t="str">
        <f t="shared" si="5"/>
        <v>NA</v>
      </c>
      <c r="Q17" s="1953" t="str">
        <f t="shared" si="6"/>
        <v>NA</v>
      </c>
      <c r="R17" s="1955">
        <f t="shared" si="7"/>
        <v>0</v>
      </c>
      <c r="S17" s="1956">
        <f t="shared" si="8"/>
        <v>0</v>
      </c>
      <c r="T17" s="1958"/>
    </row>
    <row r="18" spans="1:20" ht="15.75" thickBot="1" x14ac:dyDescent="0.3">
      <c r="A18" s="1067" t="s">
        <v>856</v>
      </c>
      <c r="B18" s="4002">
        <v>0.1875</v>
      </c>
      <c r="C18" s="4006">
        <v>0</v>
      </c>
      <c r="D18" s="3976">
        <v>0.1875</v>
      </c>
      <c r="E18" s="4007">
        <f t="shared" si="0"/>
        <v>0</v>
      </c>
      <c r="F18" s="1966" t="str">
        <f>'NIR faktorer'!D278</f>
        <v>NA</v>
      </c>
      <c r="G18" s="1967" t="str">
        <f>'NIR faktorer'!D288</f>
        <v>NA</v>
      </c>
      <c r="H18" s="1968" t="str">
        <f>'NIR faktorer'!D298</f>
        <v>NA</v>
      </c>
      <c r="I18" s="1969" t="str">
        <f>'NIR faktorer'!D308</f>
        <v>NA</v>
      </c>
      <c r="J18" s="1970" t="str">
        <f>'NIR faktorer'!D318</f>
        <v>NA</v>
      </c>
      <c r="K18" s="1971" t="str">
        <f>'NIR faktorer'!D328</f>
        <v>NA</v>
      </c>
      <c r="L18" s="1970" t="str">
        <f t="shared" si="1"/>
        <v>NA</v>
      </c>
      <c r="M18" s="1972" t="str">
        <f t="shared" si="2"/>
        <v>NA</v>
      </c>
      <c r="N18" s="1971" t="str">
        <f t="shared" si="3"/>
        <v>NA</v>
      </c>
      <c r="O18" s="1973" t="str">
        <f t="shared" si="4"/>
        <v>NA</v>
      </c>
      <c r="P18" s="1970" t="str">
        <f t="shared" si="5"/>
        <v>NA</v>
      </c>
      <c r="Q18" s="1971" t="str">
        <f t="shared" si="6"/>
        <v>NA</v>
      </c>
      <c r="R18" s="1974">
        <f t="shared" si="7"/>
        <v>0</v>
      </c>
      <c r="S18" s="1975">
        <f t="shared" si="8"/>
        <v>0</v>
      </c>
      <c r="T18" s="1958"/>
    </row>
    <row r="19" spans="1:20" ht="26.25" customHeight="1" x14ac:dyDescent="0.2">
      <c r="A19" s="1976"/>
      <c r="B19" s="1977"/>
      <c r="C19" s="1977"/>
      <c r="D19" s="1977"/>
      <c r="E19" s="1977"/>
      <c r="T19" s="1978"/>
    </row>
    <row r="20" spans="1:20" s="1037" customFormat="1" ht="41.1" customHeight="1" x14ac:dyDescent="0.2">
      <c r="A20" s="1032" t="s">
        <v>2257</v>
      </c>
      <c r="B20" s="5289" t="s">
        <v>1845</v>
      </c>
      <c r="C20" s="5290"/>
      <c r="D20" s="5290"/>
      <c r="E20" s="5291"/>
      <c r="F20" s="5289" t="str">
        <f>'NIR faktorer'!D330</f>
        <v xml:space="preserve"> NIR 2020 (2018) CRF tabel 4B</v>
      </c>
      <c r="G20" s="5290"/>
      <c r="H20" s="5290"/>
      <c r="I20" s="5290"/>
      <c r="J20" s="5290"/>
      <c r="K20" s="5291"/>
      <c r="L20" s="5289" t="s">
        <v>2054</v>
      </c>
      <c r="M20" s="5290"/>
      <c r="N20" s="5290"/>
      <c r="O20" s="5290"/>
      <c r="P20" s="5290"/>
      <c r="Q20" s="5291"/>
      <c r="S20" s="1039" t="s">
        <v>2304</v>
      </c>
      <c r="T20" s="1086"/>
    </row>
    <row r="21" spans="1:20" s="1035" customFormat="1" ht="12" x14ac:dyDescent="0.2">
      <c r="A21" s="1036" t="s">
        <v>2317</v>
      </c>
      <c r="T21" s="1085"/>
    </row>
    <row r="22" spans="1:20" x14ac:dyDescent="0.2">
      <c r="T22" s="1958"/>
    </row>
    <row r="23" spans="1:20" ht="21" customHeight="1" thickBot="1" x14ac:dyDescent="0.3">
      <c r="A23" s="1034" t="s">
        <v>2316</v>
      </c>
      <c r="B23" s="3698"/>
      <c r="C23" s="3698"/>
      <c r="D23" s="3698"/>
      <c r="E23" s="3698"/>
      <c r="F23" s="5297" t="s">
        <v>4949</v>
      </c>
      <c r="G23" s="5297"/>
      <c r="H23" s="5297"/>
      <c r="I23" s="1052"/>
      <c r="J23" s="5298" t="s">
        <v>4950</v>
      </c>
      <c r="K23" s="5298"/>
      <c r="L23" s="5299" t="s">
        <v>4948</v>
      </c>
      <c r="M23" s="5299"/>
      <c r="N23" s="5299"/>
      <c r="O23" s="1051"/>
      <c r="P23" s="5299" t="s">
        <v>4947</v>
      </c>
      <c r="Q23" s="5299"/>
      <c r="T23" s="1958"/>
    </row>
    <row r="24" spans="1:20" s="1030" customFormat="1" ht="60.75" thickBot="1" x14ac:dyDescent="0.25">
      <c r="A24" s="2903" t="s">
        <v>2315</v>
      </c>
      <c r="B24" s="1015" t="s">
        <v>4952</v>
      </c>
      <c r="C24" s="1048" t="s">
        <v>4859</v>
      </c>
      <c r="D24" s="1048" t="s">
        <v>4860</v>
      </c>
      <c r="E24" s="1045" t="s">
        <v>4861</v>
      </c>
      <c r="F24" s="1046" t="s">
        <v>4869</v>
      </c>
      <c r="G24" s="1047" t="s">
        <v>4863</v>
      </c>
      <c r="H24" s="1045" t="s">
        <v>4865</v>
      </c>
      <c r="I24" s="1063" t="s">
        <v>4866</v>
      </c>
      <c r="J24" s="1046" t="s">
        <v>4867</v>
      </c>
      <c r="K24" s="1049" t="s">
        <v>4868</v>
      </c>
      <c r="L24" s="1046" t="s">
        <v>5244</v>
      </c>
      <c r="M24" s="1048" t="s">
        <v>5242</v>
      </c>
      <c r="N24" s="1045" t="s">
        <v>5236</v>
      </c>
      <c r="O24" s="1084" t="s">
        <v>5237</v>
      </c>
      <c r="P24" s="1046" t="s">
        <v>5238</v>
      </c>
      <c r="Q24" s="1045" t="s">
        <v>5239</v>
      </c>
      <c r="R24" s="1044" t="s">
        <v>5243</v>
      </c>
      <c r="S24" s="2937" t="s">
        <v>4911</v>
      </c>
    </row>
    <row r="25" spans="1:20" ht="23.25" customHeight="1" thickBot="1" x14ac:dyDescent="0.3">
      <c r="A25" s="1083" t="s">
        <v>855</v>
      </c>
      <c r="B25" s="3699">
        <f>B26+B28+B29+B30+B31+B32+B33+B34</f>
        <v>2781.5</v>
      </c>
      <c r="C25" s="3700">
        <f>C26+C28+C29+C30+C31+C32+C33</f>
        <v>0.25</v>
      </c>
      <c r="D25" s="3700">
        <f>D26+D28+D29+D30+D31+D32+D33</f>
        <v>2612</v>
      </c>
      <c r="E25" s="3701">
        <f t="shared" ref="E25:E34" si="9">B25-C25-D25</f>
        <v>169.25</v>
      </c>
      <c r="F25" s="1979" t="str">
        <f>'NIR faktorer'!D333</f>
        <v/>
      </c>
      <c r="G25" s="1980" t="str">
        <f>'NIR faktorer'!D343</f>
        <v/>
      </c>
      <c r="H25" s="1981" t="str">
        <f>'NIR faktorer'!D353</f>
        <v/>
      </c>
      <c r="I25" s="1982" t="str">
        <f>'NIR faktorer'!D363</f>
        <v/>
      </c>
      <c r="J25" s="1980" t="str">
        <f>'NIR faktorer'!D373</f>
        <v/>
      </c>
      <c r="K25" s="1983" t="str">
        <f>'NIR faktorer'!D383</f>
        <v/>
      </c>
      <c r="L25" s="1979"/>
      <c r="M25" s="1980"/>
      <c r="N25" s="1981"/>
      <c r="O25" s="1984"/>
      <c r="P25" s="1979"/>
      <c r="Q25" s="1981"/>
      <c r="R25" s="1985">
        <f>R26+R27</f>
        <v>-968.23417516504014</v>
      </c>
      <c r="S25" s="1986">
        <f>S26+S27</f>
        <v>3550.191975605147</v>
      </c>
    </row>
    <row r="26" spans="1:20" ht="24.75" customHeight="1" thickBot="1" x14ac:dyDescent="0.3">
      <c r="A26" s="1033" t="s">
        <v>854</v>
      </c>
      <c r="B26" s="4003">
        <v>2026.625</v>
      </c>
      <c r="C26" s="3981">
        <v>0.25</v>
      </c>
      <c r="D26" s="3981">
        <v>1910.875</v>
      </c>
      <c r="E26" s="3711">
        <f t="shared" si="9"/>
        <v>115.5</v>
      </c>
      <c r="F26" s="1082">
        <f>'NIR faktorer'!D334</f>
        <v>0.14583697996391001</v>
      </c>
      <c r="G26" s="1079">
        <f>'NIR faktorer'!D344</f>
        <v>-0.42244234340203002</v>
      </c>
      <c r="H26" s="1081">
        <f>'NIR faktorer'!D354</f>
        <v>-0.27660536343811998</v>
      </c>
      <c r="I26" s="1080" t="str">
        <f>'NIR faktorer'!D364</f>
        <v>NO</v>
      </c>
      <c r="J26" s="1079" t="str">
        <f>'NIR faktorer'!D374</f>
        <v>IE</v>
      </c>
      <c r="K26" s="1078">
        <f>'NIR faktorer'!D384</f>
        <v>-6.4588602016251704</v>
      </c>
      <c r="L26" s="1987">
        <f t="shared" ref="L26:L34" si="10">IFERROR(B26*F26,"NA")</f>
        <v>295.55686951935911</v>
      </c>
      <c r="M26" s="1988">
        <f t="shared" ref="M26:M34" si="11">IFERROR(B26*G26,"NA")</f>
        <v>-856.13221419713909</v>
      </c>
      <c r="N26" s="1989">
        <f t="shared" ref="N26:N34" si="12">IFERROR(B26*H26,"NA")</f>
        <v>-560.57534467777987</v>
      </c>
      <c r="O26" s="1990" t="str">
        <f t="shared" ref="O26:O34" si="13">IFERROR(B26*I26,"NA")</f>
        <v>NA</v>
      </c>
      <c r="P26" s="1987" t="str">
        <f t="shared" ref="P26:P34" si="14">IFERROR(D26*J26,"NA")</f>
        <v>NA</v>
      </c>
      <c r="Q26" s="1989">
        <f t="shared" ref="Q26:Q34" si="15">IFERROR(C26*K26,"NA")</f>
        <v>-1.6147150504062926</v>
      </c>
      <c r="R26" s="1991">
        <f>SUBTOTAL(9,N26:Q26)</f>
        <v>-562.19005972818616</v>
      </c>
      <c r="S26" s="1992">
        <f>(N26+Q26)*-(44/12)</f>
        <v>2061.3635523366825</v>
      </c>
    </row>
    <row r="27" spans="1:20" ht="15.75" thickBot="1" x14ac:dyDescent="0.3">
      <c r="A27" s="1061" t="s">
        <v>853</v>
      </c>
      <c r="B27" s="3797">
        <f>SUM(B28:B34)</f>
        <v>754.875</v>
      </c>
      <c r="C27" s="3823">
        <f t="shared" ref="C27:D27" si="16">SUM(C28:C34)</f>
        <v>0</v>
      </c>
      <c r="D27" s="3798">
        <f t="shared" si="16"/>
        <v>701.125</v>
      </c>
      <c r="E27" s="3799">
        <f t="shared" si="9"/>
        <v>53.75</v>
      </c>
      <c r="F27" s="1993" t="str">
        <f>'NIR faktorer'!D335</f>
        <v/>
      </c>
      <c r="G27" s="1994" t="str">
        <f>'NIR faktorer'!D345</f>
        <v/>
      </c>
      <c r="H27" s="1995" t="str">
        <f>'NIR faktorer'!D355</f>
        <v/>
      </c>
      <c r="I27" s="1996" t="str">
        <f>'NIR faktorer'!D365</f>
        <v/>
      </c>
      <c r="J27" s="1994" t="str">
        <f>'NIR faktorer'!D375</f>
        <v/>
      </c>
      <c r="K27" s="1997" t="str">
        <f>'NIR faktorer'!D385</f>
        <v/>
      </c>
      <c r="L27" s="1993" t="str">
        <f t="shared" si="10"/>
        <v>NA</v>
      </c>
      <c r="M27" s="1994" t="str">
        <f t="shared" si="11"/>
        <v>NA</v>
      </c>
      <c r="N27" s="1995" t="str">
        <f t="shared" si="12"/>
        <v>NA</v>
      </c>
      <c r="O27" s="1998" t="str">
        <f t="shared" si="13"/>
        <v>NA</v>
      </c>
      <c r="P27" s="1993" t="str">
        <f t="shared" si="14"/>
        <v>NA</v>
      </c>
      <c r="Q27" s="1995" t="str">
        <f t="shared" si="15"/>
        <v>NA</v>
      </c>
      <c r="R27" s="1999">
        <f>SUM(R28:R34)</f>
        <v>-406.04411543685404</v>
      </c>
      <c r="S27" s="1999">
        <f>SUM(S28:S34)</f>
        <v>1488.8284232684646</v>
      </c>
    </row>
    <row r="28" spans="1:20" ht="15" x14ac:dyDescent="0.25">
      <c r="A28" s="1056" t="s">
        <v>852</v>
      </c>
      <c r="B28" s="4004">
        <v>143.75</v>
      </c>
      <c r="C28" s="3961">
        <v>0</v>
      </c>
      <c r="D28" s="3961">
        <v>143.625</v>
      </c>
      <c r="E28" s="3772">
        <f t="shared" si="9"/>
        <v>0.125</v>
      </c>
      <c r="F28" s="1058">
        <f>'NIR faktorer'!D336</f>
        <v>0.34181013905354002</v>
      </c>
      <c r="G28" s="1060">
        <f>'NIR faktorer'!D346</f>
        <v>-1.5232191310562599</v>
      </c>
      <c r="H28" s="1057">
        <f>'NIR faktorer'!D356</f>
        <v>-1.18140899200271</v>
      </c>
      <c r="I28" s="1077">
        <f>'NIR faktorer'!D366</f>
        <v>-1.4849684325350601</v>
      </c>
      <c r="J28" s="1060">
        <f>'NIR faktorer'!D376</f>
        <v>0.22074730584020999</v>
      </c>
      <c r="K28" s="1076">
        <f>'NIR faktorer'!D386</f>
        <v>-8.9397128076417598</v>
      </c>
      <c r="L28" s="1951">
        <f t="shared" si="10"/>
        <v>49.135207488946378</v>
      </c>
      <c r="M28" s="1952">
        <f t="shared" si="11"/>
        <v>-218.96275008933736</v>
      </c>
      <c r="N28" s="1953">
        <f t="shared" si="12"/>
        <v>-169.82754260038956</v>
      </c>
      <c r="O28" s="2000">
        <f t="shared" si="13"/>
        <v>-213.46421217691488</v>
      </c>
      <c r="P28" s="1951">
        <f t="shared" si="14"/>
        <v>31.704831801300159</v>
      </c>
      <c r="Q28" s="1953">
        <f t="shared" si="15"/>
        <v>0</v>
      </c>
      <c r="R28" s="2001">
        <f t="shared" ref="R28:R34" si="17">SUBTOTAL(9,N28:Q28)</f>
        <v>-351.5869229760043</v>
      </c>
      <c r="S28" s="1956">
        <f t="shared" ref="S28:S34" si="18">R28*-(44/12)</f>
        <v>1289.1520509120157</v>
      </c>
    </row>
    <row r="29" spans="1:20" ht="15" x14ac:dyDescent="0.25">
      <c r="A29" s="1056" t="s">
        <v>851</v>
      </c>
      <c r="B29" s="4001">
        <v>611.125</v>
      </c>
      <c r="C29" s="3960">
        <v>0</v>
      </c>
      <c r="D29" s="3960">
        <v>557.5</v>
      </c>
      <c r="E29" s="4005">
        <f t="shared" si="9"/>
        <v>53.625</v>
      </c>
      <c r="F29" s="1058">
        <f>'NIR faktorer'!D337</f>
        <v>0.21192419666236001</v>
      </c>
      <c r="G29" s="1060">
        <f>'NIR faktorer'!D347</f>
        <v>-0.30103394092229002</v>
      </c>
      <c r="H29" s="1057">
        <f>'NIR faktorer'!D357</f>
        <v>-8.9109744259929999E-2</v>
      </c>
      <c r="I29" s="1077" t="str">
        <f>'NIR faktorer'!D367</f>
        <v>NO</v>
      </c>
      <c r="J29" s="1060" t="str">
        <f>'NIR faktorer'!D377</f>
        <v>IE</v>
      </c>
      <c r="K29" s="1076" t="str">
        <f>'NIR faktorer'!D387</f>
        <v>IE</v>
      </c>
      <c r="L29" s="1951">
        <f t="shared" si="10"/>
        <v>129.51217468528475</v>
      </c>
      <c r="M29" s="1952">
        <f t="shared" si="11"/>
        <v>-183.96936714613449</v>
      </c>
      <c r="N29" s="1953">
        <f t="shared" si="12"/>
        <v>-54.457192460849718</v>
      </c>
      <c r="O29" s="2000" t="str">
        <f t="shared" si="13"/>
        <v>NA</v>
      </c>
      <c r="P29" s="1951" t="str">
        <f t="shared" si="14"/>
        <v>NA</v>
      </c>
      <c r="Q29" s="1953" t="str">
        <f t="shared" si="15"/>
        <v>NA</v>
      </c>
      <c r="R29" s="2001">
        <f t="shared" si="17"/>
        <v>-54.457192460849718</v>
      </c>
      <c r="S29" s="1956">
        <f t="shared" si="18"/>
        <v>199.67637235644895</v>
      </c>
    </row>
    <row r="30" spans="1:20" ht="15" x14ac:dyDescent="0.25">
      <c r="A30" s="1056" t="s">
        <v>850</v>
      </c>
      <c r="B30" s="4001">
        <v>0</v>
      </c>
      <c r="C30" s="3960">
        <v>0</v>
      </c>
      <c r="D30" s="3960">
        <v>0</v>
      </c>
      <c r="E30" s="4005">
        <f t="shared" si="9"/>
        <v>0</v>
      </c>
      <c r="F30" s="1951" t="str">
        <f>'NIR faktorer'!D338</f>
        <v>NO</v>
      </c>
      <c r="G30" s="1952" t="str">
        <f>'NIR faktorer'!D348</f>
        <v>NO</v>
      </c>
      <c r="H30" s="1953" t="str">
        <f>'NIR faktorer'!D358</f>
        <v>NO</v>
      </c>
      <c r="I30" s="2002" t="str">
        <f>'NIR faktorer'!D368</f>
        <v>NO</v>
      </c>
      <c r="J30" s="1952" t="str">
        <f>'NIR faktorer'!D378</f>
        <v>NO</v>
      </c>
      <c r="K30" s="2003" t="str">
        <f>'NIR faktorer'!D388</f>
        <v>NO</v>
      </c>
      <c r="L30" s="1951" t="str">
        <f t="shared" si="10"/>
        <v>NA</v>
      </c>
      <c r="M30" s="1952" t="str">
        <f t="shared" si="11"/>
        <v>NA</v>
      </c>
      <c r="N30" s="1953" t="str">
        <f t="shared" si="12"/>
        <v>NA</v>
      </c>
      <c r="O30" s="2000" t="str">
        <f t="shared" si="13"/>
        <v>NA</v>
      </c>
      <c r="P30" s="1951" t="str">
        <f t="shared" si="14"/>
        <v>NA</v>
      </c>
      <c r="Q30" s="1953" t="str">
        <f t="shared" si="15"/>
        <v>NA</v>
      </c>
      <c r="R30" s="2001">
        <f t="shared" si="17"/>
        <v>0</v>
      </c>
      <c r="S30" s="1956">
        <f t="shared" si="18"/>
        <v>0</v>
      </c>
    </row>
    <row r="31" spans="1:20" ht="15" x14ac:dyDescent="0.25">
      <c r="A31" s="1056" t="s">
        <v>849</v>
      </c>
      <c r="B31" s="4001">
        <v>0</v>
      </c>
      <c r="C31" s="3960">
        <v>0</v>
      </c>
      <c r="D31" s="3960">
        <v>0</v>
      </c>
      <c r="E31" s="4005">
        <f t="shared" si="9"/>
        <v>0</v>
      </c>
      <c r="F31" s="1951" t="str">
        <f>'NIR faktorer'!D339</f>
        <v>NO</v>
      </c>
      <c r="G31" s="1952" t="str">
        <f>'NIR faktorer'!D349</f>
        <v>NO</v>
      </c>
      <c r="H31" s="1953" t="str">
        <f>'NIR faktorer'!D359</f>
        <v>NO</v>
      </c>
      <c r="I31" s="2002" t="str">
        <f>'NIR faktorer'!D369</f>
        <v>NO</v>
      </c>
      <c r="J31" s="1952" t="str">
        <f>'NIR faktorer'!D379</f>
        <v>NO</v>
      </c>
      <c r="K31" s="2003" t="str">
        <f>'NIR faktorer'!D389</f>
        <v>NO</v>
      </c>
      <c r="L31" s="1951" t="str">
        <f t="shared" si="10"/>
        <v>NA</v>
      </c>
      <c r="M31" s="1952" t="str">
        <f t="shared" si="11"/>
        <v>NA</v>
      </c>
      <c r="N31" s="1953" t="str">
        <f t="shared" si="12"/>
        <v>NA</v>
      </c>
      <c r="O31" s="2000" t="str">
        <f t="shared" si="13"/>
        <v>NA</v>
      </c>
      <c r="P31" s="1951" t="str">
        <f t="shared" si="14"/>
        <v>NA</v>
      </c>
      <c r="Q31" s="1953" t="str">
        <f t="shared" si="15"/>
        <v>NA</v>
      </c>
      <c r="R31" s="2001">
        <f t="shared" si="17"/>
        <v>0</v>
      </c>
      <c r="S31" s="1956">
        <f t="shared" si="18"/>
        <v>0</v>
      </c>
    </row>
    <row r="32" spans="1:20" ht="15" x14ac:dyDescent="0.25">
      <c r="A32" s="1056" t="s">
        <v>848</v>
      </c>
      <c r="B32" s="4001">
        <v>0</v>
      </c>
      <c r="C32" s="3960">
        <v>0</v>
      </c>
      <c r="D32" s="3960">
        <v>0</v>
      </c>
      <c r="E32" s="4005">
        <f t="shared" si="9"/>
        <v>0</v>
      </c>
      <c r="F32" s="1951" t="str">
        <f>'NIR faktorer'!D340</f>
        <v>NO</v>
      </c>
      <c r="G32" s="1952" t="str">
        <f>'NIR faktorer'!D350</f>
        <v>NO</v>
      </c>
      <c r="H32" s="1953" t="str">
        <f>'NIR faktorer'!D360</f>
        <v>NO</v>
      </c>
      <c r="I32" s="2002" t="str">
        <f>'NIR faktorer'!D370</f>
        <v>NO</v>
      </c>
      <c r="J32" s="1952" t="str">
        <f>'NIR faktorer'!D380</f>
        <v>NO</v>
      </c>
      <c r="K32" s="2003" t="str">
        <f>'NIR faktorer'!D390</f>
        <v>NO</v>
      </c>
      <c r="L32" s="1951" t="str">
        <f t="shared" si="10"/>
        <v>NA</v>
      </c>
      <c r="M32" s="1952" t="str">
        <f t="shared" si="11"/>
        <v>NA</v>
      </c>
      <c r="N32" s="1953" t="str">
        <f t="shared" si="12"/>
        <v>NA</v>
      </c>
      <c r="O32" s="2000" t="str">
        <f t="shared" si="13"/>
        <v>NA</v>
      </c>
      <c r="P32" s="1951" t="str">
        <f t="shared" si="14"/>
        <v>NA</v>
      </c>
      <c r="Q32" s="1953" t="str">
        <f t="shared" si="15"/>
        <v>NA</v>
      </c>
      <c r="R32" s="2001">
        <f t="shared" si="17"/>
        <v>0</v>
      </c>
      <c r="S32" s="1956">
        <f t="shared" si="18"/>
        <v>0</v>
      </c>
    </row>
    <row r="33" spans="1:20" ht="15" x14ac:dyDescent="0.25">
      <c r="A33" s="1056" t="s">
        <v>847</v>
      </c>
      <c r="B33" s="4001">
        <v>0</v>
      </c>
      <c r="C33" s="3960">
        <v>0</v>
      </c>
      <c r="D33" s="3960">
        <v>0</v>
      </c>
      <c r="E33" s="4005">
        <f t="shared" si="9"/>
        <v>0</v>
      </c>
      <c r="F33" s="1951" t="str">
        <f>'NIR faktorer'!D341</f>
        <v>NA</v>
      </c>
      <c r="G33" s="1952" t="str">
        <f>'NIR faktorer'!D351</f>
        <v>NA</v>
      </c>
      <c r="H33" s="1953" t="str">
        <f>'NIR faktorer'!D361</f>
        <v>NA</v>
      </c>
      <c r="I33" s="2002" t="str">
        <f>'NIR faktorer'!D371</f>
        <v>NA</v>
      </c>
      <c r="J33" s="1952" t="str">
        <f>'NIR faktorer'!D381</f>
        <v>NA</v>
      </c>
      <c r="K33" s="2003" t="str">
        <f>'NIR faktorer'!D391</f>
        <v>NA</v>
      </c>
      <c r="L33" s="1951" t="str">
        <f t="shared" si="10"/>
        <v>NA</v>
      </c>
      <c r="M33" s="1952" t="str">
        <f t="shared" si="11"/>
        <v>NA</v>
      </c>
      <c r="N33" s="1953" t="str">
        <f t="shared" si="12"/>
        <v>NA</v>
      </c>
      <c r="O33" s="2000" t="str">
        <f t="shared" si="13"/>
        <v>NA</v>
      </c>
      <c r="P33" s="1951" t="str">
        <f t="shared" si="14"/>
        <v>NA</v>
      </c>
      <c r="Q33" s="1953" t="str">
        <f t="shared" si="15"/>
        <v>NA</v>
      </c>
      <c r="R33" s="2001">
        <f t="shared" si="17"/>
        <v>0</v>
      </c>
      <c r="S33" s="1956">
        <f t="shared" si="18"/>
        <v>0</v>
      </c>
    </row>
    <row r="34" spans="1:20" ht="15.75" thickBot="1" x14ac:dyDescent="0.3">
      <c r="A34" s="1055" t="s">
        <v>846</v>
      </c>
      <c r="B34" s="4002">
        <v>0</v>
      </c>
      <c r="C34" s="4006">
        <v>0</v>
      </c>
      <c r="D34" s="3976">
        <v>0</v>
      </c>
      <c r="E34" s="4007">
        <f t="shared" si="9"/>
        <v>0</v>
      </c>
      <c r="F34" s="1970" t="str">
        <f>'NIR faktorer'!D342</f>
        <v>NA</v>
      </c>
      <c r="G34" s="1972" t="str">
        <f>'NIR faktorer'!D352</f>
        <v>NA</v>
      </c>
      <c r="H34" s="1971" t="str">
        <f>'NIR faktorer'!D362</f>
        <v>NA</v>
      </c>
      <c r="I34" s="2004" t="str">
        <f>'NIR faktorer'!D372</f>
        <v>NA</v>
      </c>
      <c r="J34" s="1972" t="str">
        <f>'NIR faktorer'!D382</f>
        <v>NA</v>
      </c>
      <c r="K34" s="2005" t="str">
        <f>'NIR faktorer'!D392</f>
        <v>NA</v>
      </c>
      <c r="L34" s="1970" t="str">
        <f t="shared" si="10"/>
        <v>NA</v>
      </c>
      <c r="M34" s="1972" t="str">
        <f t="shared" si="11"/>
        <v>NA</v>
      </c>
      <c r="N34" s="1971" t="str">
        <f t="shared" si="12"/>
        <v>NA</v>
      </c>
      <c r="O34" s="2006" t="str">
        <f t="shared" si="13"/>
        <v>NA</v>
      </c>
      <c r="P34" s="1970" t="str">
        <f t="shared" si="14"/>
        <v>NA</v>
      </c>
      <c r="Q34" s="1971" t="str">
        <f t="shared" si="15"/>
        <v>NA</v>
      </c>
      <c r="R34" s="2007">
        <f t="shared" si="17"/>
        <v>0</v>
      </c>
      <c r="S34" s="1975">
        <f t="shared" si="18"/>
        <v>0</v>
      </c>
    </row>
    <row r="35" spans="1:20" ht="28.5" customHeight="1" x14ac:dyDescent="0.2">
      <c r="A35" s="1976"/>
      <c r="B35" s="1977"/>
      <c r="C35" s="1977"/>
      <c r="D35" s="1977"/>
      <c r="E35" s="1977"/>
      <c r="T35" s="2008"/>
    </row>
    <row r="36" spans="1:20" s="1037" customFormat="1" ht="43.5" customHeight="1" x14ac:dyDescent="0.2">
      <c r="A36" s="1032" t="s">
        <v>2257</v>
      </c>
      <c r="B36" s="5289" t="s">
        <v>1845</v>
      </c>
      <c r="C36" s="5290"/>
      <c r="D36" s="5290"/>
      <c r="E36" s="5291"/>
      <c r="F36" s="5289" t="str">
        <f>'NIR faktorer'!D394</f>
        <v xml:space="preserve"> NIR 2020 (2018) CRF tabel 4D</v>
      </c>
      <c r="G36" s="5290"/>
      <c r="H36" s="5290"/>
      <c r="I36" s="5290"/>
      <c r="J36" s="5290"/>
      <c r="K36" s="5291"/>
      <c r="L36" s="5289" t="s">
        <v>2054</v>
      </c>
      <c r="M36" s="5290"/>
      <c r="N36" s="5290"/>
      <c r="O36" s="5290"/>
      <c r="P36" s="5290"/>
      <c r="Q36" s="5291"/>
      <c r="S36" s="1039" t="s">
        <v>2304</v>
      </c>
      <c r="T36" s="1075"/>
    </row>
    <row r="37" spans="1:20" s="1035" customFormat="1" ht="12" x14ac:dyDescent="0.2">
      <c r="A37" s="1036" t="s">
        <v>2314</v>
      </c>
    </row>
    <row r="39" spans="1:20" ht="14.45" customHeight="1" thickBot="1" x14ac:dyDescent="0.3">
      <c r="A39" s="1034" t="s">
        <v>2313</v>
      </c>
      <c r="F39" s="5297" t="s">
        <v>4949</v>
      </c>
      <c r="G39" s="5297"/>
      <c r="H39" s="5297"/>
      <c r="I39" s="1052"/>
      <c r="J39" s="5298" t="s">
        <v>4950</v>
      </c>
      <c r="K39" s="5298"/>
      <c r="L39" s="5299" t="s">
        <v>4948</v>
      </c>
      <c r="M39" s="5299"/>
      <c r="N39" s="5299"/>
      <c r="O39" s="1051"/>
      <c r="P39" s="5299" t="s">
        <v>4947</v>
      </c>
      <c r="Q39" s="5299"/>
    </row>
    <row r="40" spans="1:20" s="1030" customFormat="1" ht="60.75" thickBot="1" x14ac:dyDescent="0.25">
      <c r="A40" s="2904" t="s">
        <v>2312</v>
      </c>
      <c r="B40" s="1015" t="s">
        <v>4958</v>
      </c>
      <c r="C40" s="1073" t="s">
        <v>4859</v>
      </c>
      <c r="D40" s="1073" t="s">
        <v>4860</v>
      </c>
      <c r="E40" s="1070" t="s">
        <v>4861</v>
      </c>
      <c r="F40" s="1072" t="s">
        <v>4869</v>
      </c>
      <c r="G40" s="1072" t="s">
        <v>4863</v>
      </c>
      <c r="H40" s="1074" t="s">
        <v>4864</v>
      </c>
      <c r="I40" s="1044" t="s">
        <v>4866</v>
      </c>
      <c r="J40" s="1071" t="s">
        <v>4870</v>
      </c>
      <c r="K40" s="1074" t="s">
        <v>4868</v>
      </c>
      <c r="L40" s="1071" t="s">
        <v>5234</v>
      </c>
      <c r="M40" s="1073" t="s">
        <v>5245</v>
      </c>
      <c r="N40" s="1070" t="s">
        <v>5246</v>
      </c>
      <c r="O40" s="1072" t="s">
        <v>5237</v>
      </c>
      <c r="P40" s="1071" t="s">
        <v>5247</v>
      </c>
      <c r="Q40" s="1070" t="s">
        <v>5248</v>
      </c>
      <c r="R40" s="1044" t="s">
        <v>5249</v>
      </c>
      <c r="S40" s="2937" t="s">
        <v>4911</v>
      </c>
    </row>
    <row r="41" spans="1:20" ht="27" customHeight="1" thickBot="1" x14ac:dyDescent="0.3">
      <c r="A41" s="1043" t="s">
        <v>841</v>
      </c>
      <c r="B41" s="3699">
        <f>B43+B44+B45+B48+B49+B50+B51+B54+B55+B56</f>
        <v>425.1875</v>
      </c>
      <c r="C41" s="3769">
        <f>C43+C44+C45+C48+C49+C50+C51+C54+C55+C56</f>
        <v>6.25E-2</v>
      </c>
      <c r="D41" s="3700">
        <f>D43+D44+D45+D48+D49+D50+D51+D54+D55+D56</f>
        <v>294.3125</v>
      </c>
      <c r="E41" s="3701">
        <f t="shared" ref="E41:E56" si="19">B41-C41-D41</f>
        <v>130.8125</v>
      </c>
      <c r="F41" s="2009" t="str">
        <f>'NIR faktorer'!D397</f>
        <v>´</v>
      </c>
      <c r="G41" s="1920" t="str">
        <f>'NIR faktorer'!D413</f>
        <v/>
      </c>
      <c r="H41" s="1921" t="str">
        <f>'NIR faktorer'!D429</f>
        <v/>
      </c>
      <c r="I41" s="1922" t="str">
        <f>'NIR faktorer'!D445</f>
        <v/>
      </c>
      <c r="J41" s="1919" t="str">
        <f>'NIR faktorer'!D461</f>
        <v/>
      </c>
      <c r="K41" s="1921" t="str">
        <f>'NIR faktorer'!D477</f>
        <v/>
      </c>
      <c r="L41" s="1919"/>
      <c r="M41" s="1920"/>
      <c r="N41" s="1921"/>
      <c r="O41" s="2009"/>
      <c r="P41" s="1919"/>
      <c r="Q41" s="1920"/>
      <c r="R41" s="2010">
        <f>R42+R47+R53</f>
        <v>0</v>
      </c>
      <c r="S41" s="2010">
        <f>S42+S47+S53</f>
        <v>0</v>
      </c>
    </row>
    <row r="42" spans="1:20" ht="20.45" customHeight="1" x14ac:dyDescent="0.25">
      <c r="A42" s="1069" t="s">
        <v>840</v>
      </c>
      <c r="B42" s="3824">
        <f>B43+B44+B45</f>
        <v>404.8125</v>
      </c>
      <c r="C42" s="3779">
        <f>C43+C44+C45</f>
        <v>6.25E-2</v>
      </c>
      <c r="D42" s="3779">
        <f>D43+D44+D45</f>
        <v>275.3125</v>
      </c>
      <c r="E42" s="3772">
        <f t="shared" si="19"/>
        <v>129.4375</v>
      </c>
      <c r="F42" s="2012" t="str">
        <f>'NIR faktorer'!D398</f>
        <v>NO</v>
      </c>
      <c r="G42" s="2013" t="str">
        <f>'NIR faktorer'!D414</f>
        <v>NO</v>
      </c>
      <c r="H42" s="2014" t="str">
        <f>'NIR faktorer'!D430</f>
        <v>NO</v>
      </c>
      <c r="I42" s="2015" t="str">
        <f>'NIR faktorer'!D446</f>
        <v>NO</v>
      </c>
      <c r="J42" s="2012" t="str">
        <f>'NIR faktorer'!D462</f>
        <v>NO</v>
      </c>
      <c r="K42" s="2016">
        <f>'NIR faktorer'!D478</f>
        <v>-3.9226870252658799</v>
      </c>
      <c r="L42" s="2017" t="str">
        <f t="shared" ref="L42:L56" si="20">IFERROR(F42*$B42,"NA")</f>
        <v>NA</v>
      </c>
      <c r="M42" s="2018" t="str">
        <f t="shared" ref="M42:M56" si="21">IFERROR(G42*$B42,"NA")</f>
        <v>NA</v>
      </c>
      <c r="N42" s="2011" t="str">
        <f t="shared" ref="N42:N56" si="22">IFERROR(H42*$B42,"NA")</f>
        <v>NA</v>
      </c>
      <c r="O42" s="2019" t="str">
        <f t="shared" ref="O42:O56" si="23">IFERROR(I42*B42,"NA")</f>
        <v>NA</v>
      </c>
      <c r="P42" s="2020" t="str">
        <f t="shared" ref="P42:P56" si="24">IFERROR(J42*C42,"NA")</f>
        <v>NA</v>
      </c>
      <c r="Q42" s="2021">
        <f>Q43</f>
        <v>0</v>
      </c>
      <c r="R42" s="2022">
        <f>SUM(R43:R45)</f>
        <v>0</v>
      </c>
      <c r="S42" s="2023">
        <f t="shared" ref="S42:S56" si="25">R42*-(44/12)</f>
        <v>0</v>
      </c>
    </row>
    <row r="43" spans="1:20" ht="15" x14ac:dyDescent="0.25">
      <c r="A43" s="1068" t="s">
        <v>839</v>
      </c>
      <c r="B43" s="4008">
        <v>0</v>
      </c>
      <c r="C43" s="4009">
        <v>0</v>
      </c>
      <c r="D43" s="4010">
        <v>0</v>
      </c>
      <c r="E43" s="4005">
        <f>B43-C43-D43</f>
        <v>0</v>
      </c>
      <c r="F43" s="2002" t="str">
        <f>'NIR faktorer'!D399</f>
        <v>NO</v>
      </c>
      <c r="G43" s="1952" t="str">
        <f>'NIR faktorer'!D415</f>
        <v>NO</v>
      </c>
      <c r="H43" s="2003" t="str">
        <f>'NIR faktorer'!D431</f>
        <v>NO</v>
      </c>
      <c r="I43" s="1955" t="str">
        <f>'NIR faktorer'!D447</f>
        <v>NO</v>
      </c>
      <c r="J43" s="2002" t="str">
        <f>'NIR faktorer'!D463</f>
        <v>NO</v>
      </c>
      <c r="K43" s="1953">
        <f>'NIR faktorer'!D479</f>
        <v>-17.93365</v>
      </c>
      <c r="L43" s="2026" t="str">
        <f t="shared" si="20"/>
        <v>NA</v>
      </c>
      <c r="M43" s="2025" t="str">
        <f t="shared" si="21"/>
        <v>NA</v>
      </c>
      <c r="N43" s="1948" t="str">
        <f t="shared" si="22"/>
        <v>NA</v>
      </c>
      <c r="O43" s="2027" t="str">
        <f t="shared" si="23"/>
        <v>NA</v>
      </c>
      <c r="P43" s="2028" t="str">
        <f t="shared" si="24"/>
        <v>NA</v>
      </c>
      <c r="Q43" s="2029">
        <f t="shared" ref="Q43:Q56" si="26">IFERROR(C43*K43,"NA")</f>
        <v>0</v>
      </c>
      <c r="R43" s="2001">
        <f t="shared" ref="R43:R56" si="27">SUBTOTAL(9,N43:Q43)</f>
        <v>0</v>
      </c>
      <c r="S43" s="1956">
        <f t="shared" si="25"/>
        <v>0</v>
      </c>
    </row>
    <row r="44" spans="1:20" ht="15" x14ac:dyDescent="0.25">
      <c r="A44" s="1068" t="s">
        <v>838</v>
      </c>
      <c r="B44" s="4001">
        <v>57.5625</v>
      </c>
      <c r="C44" s="3960">
        <v>0</v>
      </c>
      <c r="D44" s="3960">
        <v>53.4375</v>
      </c>
      <c r="E44" s="4005">
        <f>B44-C44-D44</f>
        <v>4.125</v>
      </c>
      <c r="F44" s="2002" t="str">
        <f>'NIR faktorer'!D400</f>
        <v>NO</v>
      </c>
      <c r="G44" s="1952" t="str">
        <f>'NIR faktorer'!D416</f>
        <v>NO</v>
      </c>
      <c r="H44" s="2003" t="str">
        <f>'NIR faktorer'!D432</f>
        <v>NO</v>
      </c>
      <c r="I44" s="1955" t="str">
        <f>'NIR faktorer'!D448</f>
        <v>NO</v>
      </c>
      <c r="J44" s="2002" t="str">
        <f>'NIR faktorer'!D464</f>
        <v>NO</v>
      </c>
      <c r="K44" s="1953" t="str">
        <f>'NIR faktorer'!D480</f>
        <v>NO</v>
      </c>
      <c r="L44" s="2026" t="str">
        <f t="shared" si="20"/>
        <v>NA</v>
      </c>
      <c r="M44" s="2025" t="str">
        <f t="shared" si="21"/>
        <v>NA</v>
      </c>
      <c r="N44" s="1948" t="str">
        <f t="shared" si="22"/>
        <v>NA</v>
      </c>
      <c r="O44" s="2027" t="str">
        <f t="shared" si="23"/>
        <v>NA</v>
      </c>
      <c r="P44" s="2028" t="str">
        <f t="shared" si="24"/>
        <v>NA</v>
      </c>
      <c r="Q44" s="2029" t="str">
        <f t="shared" si="26"/>
        <v>NA</v>
      </c>
      <c r="R44" s="2001">
        <f t="shared" si="27"/>
        <v>0</v>
      </c>
      <c r="S44" s="1956">
        <f t="shared" si="25"/>
        <v>0</v>
      </c>
      <c r="T44" s="2030"/>
    </row>
    <row r="45" spans="1:20" ht="15.75" customHeight="1" thickBot="1" x14ac:dyDescent="0.3">
      <c r="A45" s="1067" t="s">
        <v>837</v>
      </c>
      <c r="B45" s="4002">
        <v>347.25</v>
      </c>
      <c r="C45" s="3976">
        <v>6.25E-2</v>
      </c>
      <c r="D45" s="3976">
        <v>221.875</v>
      </c>
      <c r="E45" s="4007">
        <f t="shared" si="19"/>
        <v>125.3125</v>
      </c>
      <c r="F45" s="2004" t="str">
        <f>'NIR faktorer'!D401</f>
        <v>NO</v>
      </c>
      <c r="G45" s="1972" t="str">
        <f>'NIR faktorer'!D417</f>
        <v>NO</v>
      </c>
      <c r="H45" s="2005" t="str">
        <f>'NIR faktorer'!D433</f>
        <v>NO</v>
      </c>
      <c r="I45" s="1974" t="str">
        <f>'NIR faktorer'!D449</f>
        <v>NO</v>
      </c>
      <c r="J45" s="2004" t="str">
        <f>'NIR faktorer'!D465</f>
        <v>NO</v>
      </c>
      <c r="K45" s="1971" t="str">
        <f>'NIR faktorer'!D481</f>
        <v>NO</v>
      </c>
      <c r="L45" s="2031" t="str">
        <f t="shared" si="20"/>
        <v>NA</v>
      </c>
      <c r="M45" s="2032" t="str">
        <f t="shared" si="21"/>
        <v>NA</v>
      </c>
      <c r="N45" s="1965" t="str">
        <f t="shared" si="22"/>
        <v>NA</v>
      </c>
      <c r="O45" s="2033" t="str">
        <f t="shared" si="23"/>
        <v>NA</v>
      </c>
      <c r="P45" s="2034" t="str">
        <f t="shared" si="24"/>
        <v>NA</v>
      </c>
      <c r="Q45" s="2035" t="str">
        <f t="shared" si="26"/>
        <v>NA</v>
      </c>
      <c r="R45" s="2007">
        <f t="shared" si="27"/>
        <v>0</v>
      </c>
      <c r="S45" s="1975">
        <f t="shared" si="25"/>
        <v>0</v>
      </c>
    </row>
    <row r="46" spans="1:20" ht="15.75" thickBot="1" x14ac:dyDescent="0.3">
      <c r="A46" s="2036"/>
      <c r="B46" s="3797"/>
      <c r="C46" s="3798"/>
      <c r="D46" s="3798"/>
      <c r="E46" s="3799"/>
      <c r="F46" s="2039"/>
      <c r="G46" s="2040"/>
      <c r="H46" s="2041"/>
      <c r="I46" s="2042"/>
      <c r="J46" s="2043"/>
      <c r="K46" s="2044"/>
      <c r="L46" s="2045"/>
      <c r="M46" s="2046"/>
      <c r="N46" s="2038"/>
      <c r="O46" s="2047"/>
      <c r="P46" s="2048"/>
      <c r="Q46" s="2049"/>
      <c r="R46" s="2050"/>
      <c r="S46" s="2051"/>
    </row>
    <row r="47" spans="1:20" ht="15" x14ac:dyDescent="0.25">
      <c r="A47" s="1069" t="s">
        <v>836</v>
      </c>
      <c r="B47" s="3824">
        <f>B48+B49+B50+B51</f>
        <v>0.5</v>
      </c>
      <c r="C47" s="3779">
        <f>C48+C49+C50+C51</f>
        <v>0</v>
      </c>
      <c r="D47" s="3779">
        <f>D48+D49+D50+D51</f>
        <v>0.5</v>
      </c>
      <c r="E47" s="3772">
        <f t="shared" si="19"/>
        <v>0</v>
      </c>
      <c r="F47" s="2012" t="str">
        <f>'NIR faktorer'!D403</f>
        <v>NO</v>
      </c>
      <c r="G47" s="2013" t="str">
        <f>'NIR faktorer'!D419</f>
        <v>NO</v>
      </c>
      <c r="H47" s="2016" t="str">
        <f>'NIR faktorer'!D435</f>
        <v>NO</v>
      </c>
      <c r="I47" s="2012" t="str">
        <f>'NIR faktorer'!D451</f>
        <v>NO</v>
      </c>
      <c r="J47" s="2052" t="str">
        <f>'NIR faktorer'!D467</f>
        <v>NO</v>
      </c>
      <c r="K47" s="2052" t="str">
        <f>'NIR faktorer'!D483</f>
        <v>NO</v>
      </c>
      <c r="L47" s="2053" t="str">
        <f t="shared" si="20"/>
        <v>NA</v>
      </c>
      <c r="M47" s="1938" t="str">
        <f t="shared" si="21"/>
        <v>NA</v>
      </c>
      <c r="N47" s="2054" t="str">
        <f t="shared" si="22"/>
        <v>NA</v>
      </c>
      <c r="O47" s="2019" t="str">
        <f t="shared" si="23"/>
        <v>NA</v>
      </c>
      <c r="P47" s="2020" t="str">
        <f t="shared" si="24"/>
        <v>NA</v>
      </c>
      <c r="Q47" s="2021" t="str">
        <f t="shared" si="26"/>
        <v>NA</v>
      </c>
      <c r="R47" s="2022">
        <f>SUM(R48:R51)</f>
        <v>0</v>
      </c>
      <c r="S47" s="2023">
        <f t="shared" si="25"/>
        <v>0</v>
      </c>
    </row>
    <row r="48" spans="1:20" ht="15" x14ac:dyDescent="0.25">
      <c r="A48" s="1068" t="s">
        <v>835</v>
      </c>
      <c r="B48" s="4001">
        <v>0</v>
      </c>
      <c r="C48" s="3960">
        <v>0</v>
      </c>
      <c r="D48" s="3960">
        <v>0</v>
      </c>
      <c r="E48" s="3725">
        <f t="shared" si="19"/>
        <v>0</v>
      </c>
      <c r="F48" s="2002" t="str">
        <f>'NIR faktorer'!D404</f>
        <v>NO</v>
      </c>
      <c r="G48" s="1952" t="str">
        <f>'NIR faktorer'!D420</f>
        <v>NO</v>
      </c>
      <c r="H48" s="1953" t="str">
        <f>'NIR faktorer'!D436</f>
        <v>NO</v>
      </c>
      <c r="I48" s="2055" t="str">
        <f>'NIR faktorer'!D452</f>
        <v>NO</v>
      </c>
      <c r="J48" s="2002" t="str">
        <f>'NIR faktorer'!D468</f>
        <v>NO</v>
      </c>
      <c r="K48" s="1953" t="str">
        <f>'NIR faktorer'!D484</f>
        <v>NO</v>
      </c>
      <c r="L48" s="2000" t="str">
        <f t="shared" si="20"/>
        <v>NA</v>
      </c>
      <c r="M48" s="2025" t="str">
        <f t="shared" si="21"/>
        <v>NA</v>
      </c>
      <c r="N48" s="2056" t="str">
        <f t="shared" si="22"/>
        <v>NA</v>
      </c>
      <c r="O48" s="2027" t="str">
        <f t="shared" si="23"/>
        <v>NA</v>
      </c>
      <c r="P48" s="2028" t="str">
        <f t="shared" si="24"/>
        <v>NA</v>
      </c>
      <c r="Q48" s="2029" t="str">
        <f t="shared" si="26"/>
        <v>NA</v>
      </c>
      <c r="R48" s="2001">
        <f t="shared" si="27"/>
        <v>0</v>
      </c>
      <c r="S48" s="1956">
        <f t="shared" si="25"/>
        <v>0</v>
      </c>
    </row>
    <row r="49" spans="1:20" ht="15" x14ac:dyDescent="0.25">
      <c r="A49" s="1068" t="s">
        <v>834</v>
      </c>
      <c r="B49" s="4001">
        <v>0</v>
      </c>
      <c r="C49" s="3960">
        <v>0</v>
      </c>
      <c r="D49" s="3960">
        <v>0</v>
      </c>
      <c r="E49" s="3725">
        <f t="shared" si="19"/>
        <v>0</v>
      </c>
      <c r="F49" s="2002" t="str">
        <f>'NIR faktorer'!D405</f>
        <v>NO</v>
      </c>
      <c r="G49" s="1952" t="str">
        <f>'NIR faktorer'!D421</f>
        <v>NO</v>
      </c>
      <c r="H49" s="1953" t="str">
        <f>'NIR faktorer'!D437</f>
        <v>NO</v>
      </c>
      <c r="I49" s="2055" t="str">
        <f>'NIR faktorer'!D453</f>
        <v>NO</v>
      </c>
      <c r="J49" s="2002" t="str">
        <f>'NIR faktorer'!D469</f>
        <v>NO</v>
      </c>
      <c r="K49" s="1953" t="str">
        <f>'NIR faktorer'!D485</f>
        <v>NO</v>
      </c>
      <c r="L49" s="2000" t="str">
        <f t="shared" si="20"/>
        <v>NA</v>
      </c>
      <c r="M49" s="2025" t="str">
        <f t="shared" si="21"/>
        <v>NA</v>
      </c>
      <c r="N49" s="2056" t="str">
        <f t="shared" si="22"/>
        <v>NA</v>
      </c>
      <c r="O49" s="2057" t="str">
        <f t="shared" si="23"/>
        <v>NA</v>
      </c>
      <c r="P49" s="2058" t="str">
        <f t="shared" si="24"/>
        <v>NA</v>
      </c>
      <c r="Q49" s="2059" t="str">
        <f t="shared" si="26"/>
        <v>NA</v>
      </c>
      <c r="R49" s="2001">
        <f t="shared" si="27"/>
        <v>0</v>
      </c>
      <c r="S49" s="1956">
        <f t="shared" si="25"/>
        <v>0</v>
      </c>
    </row>
    <row r="50" spans="1:20" ht="15" x14ac:dyDescent="0.25">
      <c r="A50" s="1068" t="s">
        <v>833</v>
      </c>
      <c r="B50" s="4001">
        <v>0.4375</v>
      </c>
      <c r="C50" s="3960">
        <v>0</v>
      </c>
      <c r="D50" s="3960">
        <v>0.4375</v>
      </c>
      <c r="E50" s="4005">
        <f t="shared" si="19"/>
        <v>0</v>
      </c>
      <c r="F50" s="2002" t="str">
        <f>'NIR faktorer'!D406</f>
        <v>NO</v>
      </c>
      <c r="G50" s="1952" t="str">
        <f>'NIR faktorer'!D422</f>
        <v>NO</v>
      </c>
      <c r="H50" s="1953" t="str">
        <f>'NIR faktorer'!D438</f>
        <v>NO</v>
      </c>
      <c r="I50" s="2055" t="str">
        <f>'NIR faktorer'!D454</f>
        <v>NO</v>
      </c>
      <c r="J50" s="2002" t="str">
        <f>'NIR faktorer'!D470</f>
        <v>NO</v>
      </c>
      <c r="K50" s="1953" t="str">
        <f>'NIR faktorer'!D486</f>
        <v>NO</v>
      </c>
      <c r="L50" s="2000" t="str">
        <f t="shared" si="20"/>
        <v>NA</v>
      </c>
      <c r="M50" s="2025" t="str">
        <f t="shared" si="21"/>
        <v>NA</v>
      </c>
      <c r="N50" s="2056" t="str">
        <f t="shared" si="22"/>
        <v>NA</v>
      </c>
      <c r="O50" s="2027" t="str">
        <f t="shared" si="23"/>
        <v>NA</v>
      </c>
      <c r="P50" s="2028" t="str">
        <f t="shared" si="24"/>
        <v>NA</v>
      </c>
      <c r="Q50" s="2029" t="str">
        <f t="shared" si="26"/>
        <v>NA</v>
      </c>
      <c r="R50" s="2001">
        <f t="shared" si="27"/>
        <v>0</v>
      </c>
      <c r="S50" s="1956">
        <f t="shared" si="25"/>
        <v>0</v>
      </c>
    </row>
    <row r="51" spans="1:20" ht="15.75" thickBot="1" x14ac:dyDescent="0.3">
      <c r="A51" s="1067" t="s">
        <v>832</v>
      </c>
      <c r="B51" s="4002">
        <v>6.25E-2</v>
      </c>
      <c r="C51" s="3976">
        <v>0</v>
      </c>
      <c r="D51" s="3976">
        <v>6.25E-2</v>
      </c>
      <c r="E51" s="4007">
        <f t="shared" si="19"/>
        <v>0</v>
      </c>
      <c r="F51" s="2004" t="str">
        <f>'NIR faktorer'!D407</f>
        <v>NO</v>
      </c>
      <c r="G51" s="1972" t="str">
        <f>'NIR faktorer'!D423</f>
        <v>NO</v>
      </c>
      <c r="H51" s="1971" t="str">
        <f>'NIR faktorer'!D439</f>
        <v>NO</v>
      </c>
      <c r="I51" s="2060" t="str">
        <f>'NIR faktorer'!D455</f>
        <v>NO</v>
      </c>
      <c r="J51" s="2004" t="str">
        <f>'NIR faktorer'!D471</f>
        <v>NO</v>
      </c>
      <c r="K51" s="1971" t="str">
        <f>'NIR faktorer'!D487</f>
        <v>NO</v>
      </c>
      <c r="L51" s="2006" t="str">
        <f t="shared" si="20"/>
        <v>NA</v>
      </c>
      <c r="M51" s="2032" t="str">
        <f t="shared" si="21"/>
        <v>NA</v>
      </c>
      <c r="N51" s="2061" t="str">
        <f t="shared" si="22"/>
        <v>NA</v>
      </c>
      <c r="O51" s="2033" t="str">
        <f t="shared" si="23"/>
        <v>NA</v>
      </c>
      <c r="P51" s="2034" t="str">
        <f t="shared" si="24"/>
        <v>NA</v>
      </c>
      <c r="Q51" s="2035" t="str">
        <f t="shared" si="26"/>
        <v>NA</v>
      </c>
      <c r="R51" s="2007">
        <f t="shared" si="27"/>
        <v>0</v>
      </c>
      <c r="S51" s="1975">
        <f t="shared" si="25"/>
        <v>0</v>
      </c>
    </row>
    <row r="52" spans="1:20" ht="15.75" thickBot="1" x14ac:dyDescent="0.3">
      <c r="A52" s="2036"/>
      <c r="B52" s="3797"/>
      <c r="C52" s="3823"/>
      <c r="D52" s="3798"/>
      <c r="E52" s="3799"/>
      <c r="F52" s="2039"/>
      <c r="G52" s="2040"/>
      <c r="H52" s="2041"/>
      <c r="I52" s="2042"/>
      <c r="J52" s="2043"/>
      <c r="K52" s="2044"/>
      <c r="L52" s="2045"/>
      <c r="M52" s="2037"/>
      <c r="N52" s="2038"/>
      <c r="O52" s="2047"/>
      <c r="P52" s="2048"/>
      <c r="Q52" s="2049"/>
      <c r="R52" s="2050"/>
      <c r="S52" s="2051"/>
    </row>
    <row r="53" spans="1:20" ht="17.25" x14ac:dyDescent="0.25">
      <c r="A53" s="1069" t="s">
        <v>831</v>
      </c>
      <c r="B53" s="3824">
        <f>B54+B55+B56</f>
        <v>19.875</v>
      </c>
      <c r="C53" s="3779">
        <f>C54+C55+C56</f>
        <v>0</v>
      </c>
      <c r="D53" s="3779">
        <f>D54+D55+D56</f>
        <v>18.5</v>
      </c>
      <c r="E53" s="3772">
        <f t="shared" si="19"/>
        <v>1.375</v>
      </c>
      <c r="F53" s="2012" t="str">
        <f>'NIR faktorer'!D409</f>
        <v>NO</v>
      </c>
      <c r="G53" s="2013" t="str">
        <f>'NIR faktorer'!D425</f>
        <v>NO</v>
      </c>
      <c r="H53" s="2016" t="str">
        <f>'NIR faktorer'!D441</f>
        <v>NO</v>
      </c>
      <c r="I53" s="2015" t="str">
        <f>'NIR faktorer'!D457</f>
        <v>NO</v>
      </c>
      <c r="J53" s="2052" t="str">
        <f>'NIR faktorer'!D473</f>
        <v>NO</v>
      </c>
      <c r="K53" s="2016" t="str">
        <f>'NIR faktorer'!D489</f>
        <v>NO</v>
      </c>
      <c r="L53" s="2062" t="str">
        <f t="shared" si="20"/>
        <v>NA</v>
      </c>
      <c r="M53" s="2018" t="str">
        <f t="shared" si="21"/>
        <v>NA</v>
      </c>
      <c r="N53" s="2011" t="str">
        <f t="shared" si="22"/>
        <v>NA</v>
      </c>
      <c r="O53" s="2019" t="str">
        <f t="shared" si="23"/>
        <v>NA</v>
      </c>
      <c r="P53" s="2020" t="str">
        <f t="shared" si="24"/>
        <v>NA</v>
      </c>
      <c r="Q53" s="2021" t="str">
        <f t="shared" si="26"/>
        <v>NA</v>
      </c>
      <c r="R53" s="2022">
        <f>SUM(R54:R56)</f>
        <v>0</v>
      </c>
      <c r="S53" s="2023">
        <f>R53*-(44/12)</f>
        <v>0</v>
      </c>
    </row>
    <row r="54" spans="1:20" ht="15" x14ac:dyDescent="0.25">
      <c r="A54" s="1068" t="s">
        <v>830</v>
      </c>
      <c r="B54" s="4001">
        <v>7.875</v>
      </c>
      <c r="C54" s="3960">
        <v>0</v>
      </c>
      <c r="D54" s="3960">
        <v>7.875</v>
      </c>
      <c r="E54" s="3725">
        <f t="shared" si="19"/>
        <v>0</v>
      </c>
      <c r="F54" s="2002" t="str">
        <f>'NIR faktorer'!D410</f>
        <v>NO</v>
      </c>
      <c r="G54" s="1952" t="str">
        <f>'NIR faktorer'!D426</f>
        <v>NO</v>
      </c>
      <c r="H54" s="1953" t="str">
        <f>'NIR faktorer'!D442</f>
        <v>NO</v>
      </c>
      <c r="I54" s="1955" t="str">
        <f>'NIR faktorer'!D458</f>
        <v>NO</v>
      </c>
      <c r="J54" s="1951" t="str">
        <f>'NIR faktorer'!D474</f>
        <v>NO</v>
      </c>
      <c r="K54" s="1953" t="str">
        <f>'NIR faktorer'!D490</f>
        <v>NO</v>
      </c>
      <c r="L54" s="2024" t="str">
        <f t="shared" si="20"/>
        <v>NA</v>
      </c>
      <c r="M54" s="2025" t="str">
        <f t="shared" si="21"/>
        <v>NA</v>
      </c>
      <c r="N54" s="1948" t="str">
        <f t="shared" si="22"/>
        <v>NA</v>
      </c>
      <c r="O54" s="2027" t="str">
        <f t="shared" si="23"/>
        <v>NA</v>
      </c>
      <c r="P54" s="2028" t="str">
        <f t="shared" si="24"/>
        <v>NA</v>
      </c>
      <c r="Q54" s="2029" t="str">
        <f t="shared" si="26"/>
        <v>NA</v>
      </c>
      <c r="R54" s="2001">
        <f t="shared" si="27"/>
        <v>0</v>
      </c>
      <c r="S54" s="1956">
        <f t="shared" si="25"/>
        <v>0</v>
      </c>
    </row>
    <row r="55" spans="1:20" ht="15" x14ac:dyDescent="0.25">
      <c r="A55" s="1068" t="s">
        <v>829</v>
      </c>
      <c r="B55" s="4001">
        <v>0.875</v>
      </c>
      <c r="C55" s="3960">
        <v>0</v>
      </c>
      <c r="D55" s="3960">
        <v>0.8125</v>
      </c>
      <c r="E55" s="3725">
        <f t="shared" si="19"/>
        <v>6.25E-2</v>
      </c>
      <c r="F55" s="2002" t="str">
        <f>'NIR faktorer'!D411</f>
        <v>NO</v>
      </c>
      <c r="G55" s="1952" t="str">
        <f>'NIR faktorer'!D427</f>
        <v>NO</v>
      </c>
      <c r="H55" s="1953" t="str">
        <f>'NIR faktorer'!D443</f>
        <v>NO</v>
      </c>
      <c r="I55" s="1955" t="str">
        <f>'NIR faktorer'!D459</f>
        <v>NO</v>
      </c>
      <c r="J55" s="1951" t="str">
        <f>'NIR faktorer'!D475</f>
        <v>NO</v>
      </c>
      <c r="K55" s="2055" t="str">
        <f>'NIR faktorer'!D491</f>
        <v>NO</v>
      </c>
      <c r="L55" s="2024" t="str">
        <f t="shared" si="20"/>
        <v>NA</v>
      </c>
      <c r="M55" s="2025" t="str">
        <f t="shared" si="21"/>
        <v>NA</v>
      </c>
      <c r="N55" s="1948" t="str">
        <f t="shared" si="22"/>
        <v>NA</v>
      </c>
      <c r="O55" s="2027" t="str">
        <f t="shared" si="23"/>
        <v>NA</v>
      </c>
      <c r="P55" s="2028" t="str">
        <f t="shared" si="24"/>
        <v>NA</v>
      </c>
      <c r="Q55" s="2029" t="str">
        <f t="shared" si="26"/>
        <v>NA</v>
      </c>
      <c r="R55" s="2001">
        <f t="shared" si="27"/>
        <v>0</v>
      </c>
      <c r="S55" s="1956">
        <f t="shared" si="25"/>
        <v>0</v>
      </c>
    </row>
    <row r="56" spans="1:20" ht="15.75" thickBot="1" x14ac:dyDescent="0.3">
      <c r="A56" s="1067" t="s">
        <v>828</v>
      </c>
      <c r="B56" s="4002">
        <v>11.125</v>
      </c>
      <c r="C56" s="3976">
        <v>0</v>
      </c>
      <c r="D56" s="3976">
        <v>9.8125</v>
      </c>
      <c r="E56" s="3732">
        <f t="shared" si="19"/>
        <v>1.3125</v>
      </c>
      <c r="F56" s="2004" t="str">
        <f>'NIR faktorer'!D412</f>
        <v>NO</v>
      </c>
      <c r="G56" s="1972" t="str">
        <f>'NIR faktorer'!D428</f>
        <v>NO</v>
      </c>
      <c r="H56" s="1971" t="str">
        <f>'NIR faktorer'!D444</f>
        <v>NO</v>
      </c>
      <c r="I56" s="1974" t="str">
        <f>'NIR faktorer'!D460</f>
        <v>NO</v>
      </c>
      <c r="J56" s="1970" t="str">
        <f>'NIR faktorer'!D476</f>
        <v>NO</v>
      </c>
      <c r="K56" s="1971" t="str">
        <f>'NIR faktorer'!D492</f>
        <v>NO</v>
      </c>
      <c r="L56" s="2063" t="str">
        <f t="shared" si="20"/>
        <v>NA</v>
      </c>
      <c r="M56" s="2032" t="str">
        <f t="shared" si="21"/>
        <v>NA</v>
      </c>
      <c r="N56" s="1965" t="str">
        <f t="shared" si="22"/>
        <v>NA</v>
      </c>
      <c r="O56" s="2033" t="str">
        <f t="shared" si="23"/>
        <v>NA</v>
      </c>
      <c r="P56" s="2034" t="str">
        <f t="shared" si="24"/>
        <v>NA</v>
      </c>
      <c r="Q56" s="2035" t="str">
        <f t="shared" si="26"/>
        <v>NA</v>
      </c>
      <c r="R56" s="2064">
        <f t="shared" si="27"/>
        <v>0</v>
      </c>
      <c r="S56" s="2065">
        <f t="shared" si="25"/>
        <v>0</v>
      </c>
    </row>
    <row r="57" spans="1:20" ht="27.75" customHeight="1" x14ac:dyDescent="0.2">
      <c r="A57" s="1976"/>
      <c r="B57" s="2008"/>
      <c r="C57" s="2008"/>
      <c r="D57" s="2008"/>
      <c r="E57" s="2008"/>
      <c r="T57" s="2008"/>
    </row>
    <row r="58" spans="1:20" s="1037" customFormat="1" ht="42" customHeight="1" x14ac:dyDescent="0.2">
      <c r="A58" s="1032" t="s">
        <v>2257</v>
      </c>
      <c r="B58" s="5289" t="s">
        <v>1845</v>
      </c>
      <c r="C58" s="5290"/>
      <c r="D58" s="5290"/>
      <c r="E58" s="5291"/>
      <c r="F58" s="5289" t="str">
        <f>'NIR faktorer'!D494</f>
        <v xml:space="preserve"> NIR 2020 (2018) CRF tabel 4D</v>
      </c>
      <c r="G58" s="5290"/>
      <c r="H58" s="5290"/>
      <c r="I58" s="5290"/>
      <c r="J58" s="5290"/>
      <c r="K58" s="5291"/>
      <c r="L58" s="5289" t="s">
        <v>2054</v>
      </c>
      <c r="M58" s="5290"/>
      <c r="N58" s="5290"/>
      <c r="O58" s="5290"/>
      <c r="P58" s="5290"/>
      <c r="Q58" s="5291"/>
      <c r="S58" s="1039" t="s">
        <v>2304</v>
      </c>
      <c r="T58" s="1038"/>
    </row>
    <row r="59" spans="1:20" s="1035" customFormat="1" ht="12" x14ac:dyDescent="0.2">
      <c r="A59" s="1036" t="s">
        <v>2311</v>
      </c>
    </row>
    <row r="60" spans="1:20" s="1035" customFormat="1" ht="12" x14ac:dyDescent="0.2">
      <c r="A60" s="1036" t="s">
        <v>2310</v>
      </c>
      <c r="B60" s="1065"/>
      <c r="C60" s="1065"/>
      <c r="D60" s="1065"/>
      <c r="E60" s="1065"/>
      <c r="F60" s="1066"/>
      <c r="G60" s="1066"/>
    </row>
    <row r="61" spans="1:20" s="1035" customFormat="1" ht="12" x14ac:dyDescent="0.2">
      <c r="A61" s="1036" t="s">
        <v>2309</v>
      </c>
      <c r="B61" s="1065"/>
      <c r="C61" s="1065"/>
      <c r="D61" s="1065"/>
      <c r="E61" s="1065"/>
    </row>
    <row r="62" spans="1:20" ht="15" x14ac:dyDescent="0.25">
      <c r="A62" s="1064"/>
    </row>
    <row r="63" spans="1:20" ht="14.45" customHeight="1" thickBot="1" x14ac:dyDescent="0.3">
      <c r="A63" s="1034" t="s">
        <v>2308</v>
      </c>
      <c r="F63" s="5297" t="s">
        <v>4949</v>
      </c>
      <c r="G63" s="5297"/>
      <c r="H63" s="5297"/>
      <c r="I63" s="1052"/>
      <c r="J63" s="5298" t="s">
        <v>4950</v>
      </c>
      <c r="K63" s="5298"/>
      <c r="L63" s="5299" t="s">
        <v>4948</v>
      </c>
      <c r="M63" s="5299"/>
      <c r="N63" s="5299"/>
      <c r="O63" s="1051"/>
      <c r="P63" s="5299" t="s">
        <v>4947</v>
      </c>
      <c r="Q63" s="5299"/>
    </row>
    <row r="64" spans="1:20" s="1030" customFormat="1" ht="60.75" thickBot="1" x14ac:dyDescent="0.25">
      <c r="A64" s="2903" t="s">
        <v>827</v>
      </c>
      <c r="B64" s="1015" t="s">
        <v>4957</v>
      </c>
      <c r="C64" s="1048" t="s">
        <v>4859</v>
      </c>
      <c r="D64" s="1048" t="s">
        <v>4860</v>
      </c>
      <c r="E64" s="1045" t="s">
        <v>4861</v>
      </c>
      <c r="F64" s="1046" t="s">
        <v>4869</v>
      </c>
      <c r="G64" s="1047" t="s">
        <v>4863</v>
      </c>
      <c r="H64" s="1045" t="s">
        <v>4871</v>
      </c>
      <c r="I64" s="1063" t="s">
        <v>4866</v>
      </c>
      <c r="J64" s="1046" t="s">
        <v>4867</v>
      </c>
      <c r="K64" s="1049" t="s">
        <v>4868</v>
      </c>
      <c r="L64" s="1046" t="s">
        <v>5244</v>
      </c>
      <c r="M64" s="1048" t="s">
        <v>5235</v>
      </c>
      <c r="N64" s="1045" t="s">
        <v>5246</v>
      </c>
      <c r="O64" s="1047" t="s">
        <v>5237</v>
      </c>
      <c r="P64" s="1046" t="s">
        <v>5247</v>
      </c>
      <c r="Q64" s="1045" t="s">
        <v>5239</v>
      </c>
      <c r="R64" s="1044" t="s">
        <v>5250</v>
      </c>
      <c r="S64" s="2937" t="s">
        <v>4911</v>
      </c>
    </row>
    <row r="65" spans="1:20" ht="30" customHeight="1" thickBot="1" x14ac:dyDescent="0.3">
      <c r="A65" s="1062" t="s">
        <v>826</v>
      </c>
      <c r="B65" s="3699"/>
      <c r="C65" s="3700"/>
      <c r="D65" s="3700"/>
      <c r="E65" s="3701"/>
      <c r="F65" s="1979" t="str">
        <f>'NIR faktorer'!D497</f>
        <v/>
      </c>
      <c r="G65" s="1980" t="str">
        <f>'NIR faktorer'!D507</f>
        <v/>
      </c>
      <c r="H65" s="1981" t="str">
        <f>'NIR faktorer'!D517</f>
        <v/>
      </c>
      <c r="I65" s="2066" t="str">
        <f>'NIR faktorer'!D527</f>
        <v/>
      </c>
      <c r="J65" s="1982" t="str">
        <f>'NIR faktorer'!D537</f>
        <v/>
      </c>
      <c r="K65" s="1981" t="str">
        <f>'NIR faktorer'!D547</f>
        <v/>
      </c>
      <c r="L65" s="1979"/>
      <c r="M65" s="1980"/>
      <c r="N65" s="1981"/>
      <c r="O65" s="1982"/>
      <c r="P65" s="1979"/>
      <c r="Q65" s="1980"/>
      <c r="R65" s="1985">
        <f>R66+R67</f>
        <v>-49.394989749903331</v>
      </c>
      <c r="S65" s="1927">
        <f>S66+S67</f>
        <v>181.11496241631221</v>
      </c>
    </row>
    <row r="66" spans="1:20" ht="30.75" customHeight="1" thickBot="1" x14ac:dyDescent="0.3">
      <c r="A66" s="1033" t="s">
        <v>825</v>
      </c>
      <c r="B66" s="4003">
        <v>1188.25</v>
      </c>
      <c r="C66" s="3981">
        <v>0</v>
      </c>
      <c r="D66" s="3981">
        <v>1186.25</v>
      </c>
      <c r="E66" s="3711">
        <f>B66-C66-D66</f>
        <v>2</v>
      </c>
      <c r="F66" s="2067" t="str">
        <f>'NIR faktorer'!D498</f>
        <v>NO</v>
      </c>
      <c r="G66" s="2067" t="str">
        <f>'NIR faktorer'!D508</f>
        <v>NO</v>
      </c>
      <c r="H66" s="1926" t="str">
        <f>'NIR faktorer'!D518</f>
        <v>NO</v>
      </c>
      <c r="I66" s="1926" t="str">
        <f>'NIR faktorer'!D528</f>
        <v>NO</v>
      </c>
      <c r="J66" s="2067" t="str">
        <f>'NIR faktorer'!D538</f>
        <v>NO</v>
      </c>
      <c r="K66" s="1926" t="str">
        <f>'NIR faktorer'!D548</f>
        <v>NO</v>
      </c>
      <c r="L66" s="2067" t="str">
        <f>IFERROR($B66*F66,"NA")</f>
        <v>NA</v>
      </c>
      <c r="M66" s="2068" t="str">
        <f>IFERROR($B66*G66,"NA")</f>
        <v>NA</v>
      </c>
      <c r="N66" s="2069" t="str">
        <f>IFERROR($B66*H66,"NA")</f>
        <v>NA</v>
      </c>
      <c r="O66" s="1926" t="str">
        <f>IFERROR($B66*I66,"NA")</f>
        <v>NA</v>
      </c>
      <c r="P66" s="2067" t="str">
        <f>IFERROR(D66*J66,"NA")</f>
        <v>NA</v>
      </c>
      <c r="Q66" s="2069" t="str">
        <f>IFERROR(K66*B66,"NA")</f>
        <v>NA</v>
      </c>
      <c r="R66" s="2010">
        <f>SUMIF(N66:Q66,"&lt;&gt;NO")</f>
        <v>0</v>
      </c>
      <c r="S66" s="2070"/>
    </row>
    <row r="67" spans="1:20" ht="15.75" thickBot="1" x14ac:dyDescent="0.3">
      <c r="A67" s="1061" t="s">
        <v>824</v>
      </c>
      <c r="B67" s="3797"/>
      <c r="C67" s="3823"/>
      <c r="D67" s="3798"/>
      <c r="E67" s="3719"/>
      <c r="F67" s="1993" t="str">
        <f>'NIR faktorer'!D499</f>
        <v/>
      </c>
      <c r="G67" s="1994" t="str">
        <f>'NIR faktorer'!D509</f>
        <v/>
      </c>
      <c r="H67" s="1995" t="str">
        <f>'NIR faktorer'!D519</f>
        <v/>
      </c>
      <c r="I67" s="2071" t="str">
        <f>'NIR faktorer'!D529</f>
        <v/>
      </c>
      <c r="J67" s="1993" t="str">
        <f>'NIR faktorer'!D539</f>
        <v/>
      </c>
      <c r="K67" s="1995" t="str">
        <f>'NIR faktorer'!D549</f>
        <v/>
      </c>
      <c r="L67" s="1993"/>
      <c r="M67" s="1994"/>
      <c r="N67" s="1995"/>
      <c r="O67" s="2071"/>
      <c r="P67" s="1993"/>
      <c r="Q67" s="1995"/>
      <c r="R67" s="1999">
        <f>SUM(R68:R74)</f>
        <v>-49.394989749903331</v>
      </c>
      <c r="S67" s="1999">
        <f>SUM(S68:S74)</f>
        <v>181.11496241631221</v>
      </c>
    </row>
    <row r="68" spans="1:20" ht="15" x14ac:dyDescent="0.25">
      <c r="A68" s="1056" t="s">
        <v>823</v>
      </c>
      <c r="B68" s="4004">
        <v>3.125</v>
      </c>
      <c r="C68" s="3961">
        <v>0</v>
      </c>
      <c r="D68" s="3961">
        <v>3.125</v>
      </c>
      <c r="E68" s="3725">
        <f t="shared" ref="E68:E74" si="28">B68-C68-D68</f>
        <v>0</v>
      </c>
      <c r="F68" s="1058">
        <f>'NIR faktorer'!D500</f>
        <v>0.34258221552902002</v>
      </c>
      <c r="G68" s="1060">
        <f>'NIR faktorer'!D510</f>
        <v>-2.7654025116800298</v>
      </c>
      <c r="H68" s="1057">
        <f>'NIR faktorer'!D520</f>
        <v>-2.4228202961510199</v>
      </c>
      <c r="I68" s="1059">
        <f>'NIR faktorer'!D530</f>
        <v>-2.7032241816271498</v>
      </c>
      <c r="J68" s="1058">
        <f>'NIR faktorer'!D540</f>
        <v>-1.65936449577978</v>
      </c>
      <c r="K68" s="1057" t="str">
        <f>'NIR faktorer'!D550</f>
        <v>NO</v>
      </c>
      <c r="L68" s="1951">
        <f t="shared" ref="L68:O74" si="29">IFERROR($B68*F68,"NA")</f>
        <v>1.0705694235281875</v>
      </c>
      <c r="M68" s="1952">
        <f t="shared" si="29"/>
        <v>-8.6418828490000941</v>
      </c>
      <c r="N68" s="1953">
        <f t="shared" si="29"/>
        <v>-7.5713134254719368</v>
      </c>
      <c r="O68" s="1955">
        <f t="shared" si="29"/>
        <v>-8.4475755675848436</v>
      </c>
      <c r="P68" s="1951">
        <f t="shared" ref="P68:P74" si="30">IFERROR(D68*J68,"NA")</f>
        <v>-5.1855140493118128</v>
      </c>
      <c r="Q68" s="1953" t="str">
        <f t="shared" ref="Q68:Q74" si="31">IFERROR(K68*B68,"NA")</f>
        <v>NA</v>
      </c>
      <c r="R68" s="1955">
        <f t="shared" ref="R68:R74" si="32">SUBTOTAL(9,N68:Q68)</f>
        <v>-21.204403042368593</v>
      </c>
      <c r="S68" s="1956">
        <f t="shared" ref="S68:S74" si="33">R68*-(44/12)</f>
        <v>77.749477822018179</v>
      </c>
    </row>
    <row r="69" spans="1:20" ht="15" x14ac:dyDescent="0.25">
      <c r="A69" s="1056" t="s">
        <v>822</v>
      </c>
      <c r="B69" s="4001">
        <v>25.8125</v>
      </c>
      <c r="C69" s="3960">
        <v>0</v>
      </c>
      <c r="D69" s="3960">
        <v>25.8125</v>
      </c>
      <c r="E69" s="3725">
        <f t="shared" si="28"/>
        <v>0</v>
      </c>
      <c r="F69" s="1058">
        <f>'NIR faktorer'!D501</f>
        <v>6.0319142860860001E-2</v>
      </c>
      <c r="G69" s="1060">
        <f>'NIR faktorer'!D511</f>
        <v>-0.16279598172788001</v>
      </c>
      <c r="H69" s="1057">
        <f>'NIR faktorer'!D521</f>
        <v>-0.10247683886702</v>
      </c>
      <c r="I69" s="1059" t="str">
        <f>'NIR faktorer'!D531</f>
        <v>NO</v>
      </c>
      <c r="J69" s="1058">
        <f>'NIR faktorer'!D541</f>
        <v>-0.98965242825296995</v>
      </c>
      <c r="K69" s="1057" t="str">
        <f>'NIR faktorer'!D551</f>
        <v>NO</v>
      </c>
      <c r="L69" s="1951">
        <f t="shared" si="29"/>
        <v>1.5569878750959487</v>
      </c>
      <c r="M69" s="1952">
        <f t="shared" si="29"/>
        <v>-4.2021712783509031</v>
      </c>
      <c r="N69" s="1953">
        <f t="shared" si="29"/>
        <v>-2.6451834032549537</v>
      </c>
      <c r="O69" s="1955" t="str">
        <f t="shared" si="29"/>
        <v>NA</v>
      </c>
      <c r="P69" s="1951">
        <f t="shared" si="30"/>
        <v>-25.545403304279787</v>
      </c>
      <c r="Q69" s="1953" t="str">
        <f t="shared" si="31"/>
        <v>NA</v>
      </c>
      <c r="R69" s="1955">
        <f t="shared" si="32"/>
        <v>-28.190586707534742</v>
      </c>
      <c r="S69" s="1956">
        <f t="shared" si="33"/>
        <v>103.36548459429405</v>
      </c>
    </row>
    <row r="70" spans="1:20" ht="15" x14ac:dyDescent="0.25">
      <c r="A70" s="1056" t="s">
        <v>821</v>
      </c>
      <c r="B70" s="4001">
        <v>0</v>
      </c>
      <c r="C70" s="3960">
        <v>0</v>
      </c>
      <c r="D70" s="3960">
        <v>0</v>
      </c>
      <c r="E70" s="3725">
        <f t="shared" si="28"/>
        <v>0</v>
      </c>
      <c r="F70" s="1058">
        <f>'NIR faktorer'!D502</f>
        <v>0.35187009210366998</v>
      </c>
      <c r="G70" s="1060">
        <f>'NIR faktorer'!D512</f>
        <v>-0.66855317499697997</v>
      </c>
      <c r="H70" s="1057">
        <f>'NIR faktorer'!D522</f>
        <v>-0.31668308289329999</v>
      </c>
      <c r="I70" s="1059" t="str">
        <f>'NIR faktorer'!D532</f>
        <v>NO</v>
      </c>
      <c r="J70" s="1058">
        <f>'NIR faktorer'!D542</f>
        <v>-1.74265663188402</v>
      </c>
      <c r="K70" s="1057" t="str">
        <f>'NIR faktorer'!D552</f>
        <v>NO</v>
      </c>
      <c r="L70" s="1951">
        <f t="shared" si="29"/>
        <v>0</v>
      </c>
      <c r="M70" s="1952">
        <f t="shared" si="29"/>
        <v>0</v>
      </c>
      <c r="N70" s="1953">
        <f t="shared" si="29"/>
        <v>0</v>
      </c>
      <c r="O70" s="1955" t="str">
        <f t="shared" si="29"/>
        <v>NA</v>
      </c>
      <c r="P70" s="1951">
        <f t="shared" si="30"/>
        <v>0</v>
      </c>
      <c r="Q70" s="1953" t="str">
        <f t="shared" si="31"/>
        <v>NA</v>
      </c>
      <c r="R70" s="1955">
        <f t="shared" si="32"/>
        <v>0</v>
      </c>
      <c r="S70" s="1956">
        <f t="shared" si="33"/>
        <v>0</v>
      </c>
    </row>
    <row r="71" spans="1:20" ht="15" x14ac:dyDescent="0.25">
      <c r="A71" s="1056" t="s">
        <v>820</v>
      </c>
      <c r="B71" s="4001">
        <v>0</v>
      </c>
      <c r="C71" s="3960">
        <v>0</v>
      </c>
      <c r="D71" s="3960">
        <v>0</v>
      </c>
      <c r="E71" s="3725">
        <f t="shared" si="28"/>
        <v>0</v>
      </c>
      <c r="F71" s="1058">
        <f>'NIR faktorer'!D503</f>
        <v>0.26096228175397002</v>
      </c>
      <c r="G71" s="1060">
        <f>'NIR faktorer'!D513</f>
        <v>-0.81135545781687002</v>
      </c>
      <c r="H71" s="1057">
        <f>'NIR faktorer'!D523</f>
        <v>-0.55039317606291005</v>
      </c>
      <c r="I71" s="1059" t="str">
        <f>'NIR faktorer'!D533</f>
        <v>NO</v>
      </c>
      <c r="J71" s="1058">
        <f>'NIR faktorer'!D543</f>
        <v>2.9081512032000001E-3</v>
      </c>
      <c r="K71" s="1057" t="str">
        <f>'NIR faktorer'!D553</f>
        <v>NO</v>
      </c>
      <c r="L71" s="1951">
        <f t="shared" si="29"/>
        <v>0</v>
      </c>
      <c r="M71" s="1952">
        <f t="shared" si="29"/>
        <v>0</v>
      </c>
      <c r="N71" s="1953">
        <f t="shared" si="29"/>
        <v>0</v>
      </c>
      <c r="O71" s="1955" t="str">
        <f t="shared" si="29"/>
        <v>NA</v>
      </c>
      <c r="P71" s="1951">
        <f t="shared" si="30"/>
        <v>0</v>
      </c>
      <c r="Q71" s="1953" t="str">
        <f t="shared" si="31"/>
        <v>NA</v>
      </c>
      <c r="R71" s="1955">
        <f t="shared" si="32"/>
        <v>0</v>
      </c>
      <c r="S71" s="1956">
        <f t="shared" si="33"/>
        <v>0</v>
      </c>
    </row>
    <row r="72" spans="1:20" ht="15" x14ac:dyDescent="0.25">
      <c r="A72" s="1056" t="s">
        <v>819</v>
      </c>
      <c r="B72" s="4001">
        <v>0</v>
      </c>
      <c r="C72" s="3960">
        <v>0</v>
      </c>
      <c r="D72" s="3960">
        <v>0</v>
      </c>
      <c r="E72" s="3725">
        <f t="shared" si="28"/>
        <v>0</v>
      </c>
      <c r="F72" s="1951" t="str">
        <f>'NIR faktorer'!D504</f>
        <v>NO</v>
      </c>
      <c r="G72" s="1952" t="str">
        <f>'NIR faktorer'!D514</f>
        <v>NO</v>
      </c>
      <c r="H72" s="1953" t="str">
        <f>'NIR faktorer'!D524</f>
        <v>NO</v>
      </c>
      <c r="I72" s="1955" t="str">
        <f>'NIR faktorer'!D534</f>
        <v>NO</v>
      </c>
      <c r="J72" s="1951" t="str">
        <f>'NIR faktorer'!D544</f>
        <v>NO</v>
      </c>
      <c r="K72" s="1953" t="str">
        <f>'NIR faktorer'!D554</f>
        <v>NO</v>
      </c>
      <c r="L72" s="1951" t="str">
        <f t="shared" si="29"/>
        <v>NA</v>
      </c>
      <c r="M72" s="1952" t="str">
        <f t="shared" si="29"/>
        <v>NA</v>
      </c>
      <c r="N72" s="1953" t="str">
        <f t="shared" si="29"/>
        <v>NA</v>
      </c>
      <c r="O72" s="1955" t="str">
        <f t="shared" si="29"/>
        <v>NA</v>
      </c>
      <c r="P72" s="1951" t="str">
        <f t="shared" si="30"/>
        <v>NA</v>
      </c>
      <c r="Q72" s="1953" t="str">
        <f t="shared" si="31"/>
        <v>NA</v>
      </c>
      <c r="R72" s="1955">
        <f t="shared" si="32"/>
        <v>0</v>
      </c>
      <c r="S72" s="1956">
        <f t="shared" si="33"/>
        <v>0</v>
      </c>
    </row>
    <row r="73" spans="1:20" ht="15" x14ac:dyDescent="0.25">
      <c r="A73" s="1056" t="s">
        <v>818</v>
      </c>
      <c r="B73" s="4001">
        <v>0</v>
      </c>
      <c r="C73" s="3960">
        <v>0</v>
      </c>
      <c r="D73" s="3960">
        <v>0</v>
      </c>
      <c r="E73" s="3725">
        <f t="shared" si="28"/>
        <v>0</v>
      </c>
      <c r="F73" s="1951" t="str">
        <f>'NIR faktorer'!D505</f>
        <v>NA</v>
      </c>
      <c r="G73" s="1952" t="str">
        <f>'NIR faktorer'!D515</f>
        <v>NA</v>
      </c>
      <c r="H73" s="1953" t="str">
        <f>'NIR faktorer'!D525</f>
        <v>NA</v>
      </c>
      <c r="I73" s="1955" t="str">
        <f>'NIR faktorer'!D535</f>
        <v>NA</v>
      </c>
      <c r="J73" s="1951" t="str">
        <f>'NIR faktorer'!D545</f>
        <v>NA</v>
      </c>
      <c r="K73" s="1953" t="str">
        <f>'NIR faktorer'!D555</f>
        <v>NA</v>
      </c>
      <c r="L73" s="1951" t="str">
        <f t="shared" si="29"/>
        <v>NA</v>
      </c>
      <c r="M73" s="1952" t="str">
        <f t="shared" si="29"/>
        <v>NA</v>
      </c>
      <c r="N73" s="1953" t="str">
        <f t="shared" si="29"/>
        <v>NA</v>
      </c>
      <c r="O73" s="1955" t="str">
        <f t="shared" si="29"/>
        <v>NA</v>
      </c>
      <c r="P73" s="1951" t="str">
        <f t="shared" si="30"/>
        <v>NA</v>
      </c>
      <c r="Q73" s="1953" t="str">
        <f t="shared" si="31"/>
        <v>NA</v>
      </c>
      <c r="R73" s="1955">
        <f t="shared" si="32"/>
        <v>0</v>
      </c>
      <c r="S73" s="1956">
        <f t="shared" si="33"/>
        <v>0</v>
      </c>
    </row>
    <row r="74" spans="1:20" ht="15.75" thickBot="1" x14ac:dyDescent="0.3">
      <c r="A74" s="1055" t="s">
        <v>817</v>
      </c>
      <c r="B74" s="4002">
        <v>0</v>
      </c>
      <c r="C74" s="4006"/>
      <c r="D74" s="3976"/>
      <c r="E74" s="3732">
        <f t="shared" si="28"/>
        <v>0</v>
      </c>
      <c r="F74" s="1970" t="str">
        <f>'NIR faktorer'!D506</f>
        <v>NA</v>
      </c>
      <c r="G74" s="1972" t="str">
        <f>'NIR faktorer'!D516</f>
        <v>NA</v>
      </c>
      <c r="H74" s="1971" t="str">
        <f>'NIR faktorer'!D526</f>
        <v>NA</v>
      </c>
      <c r="I74" s="1974" t="str">
        <f>'NIR faktorer'!D536</f>
        <v>NA</v>
      </c>
      <c r="J74" s="1970" t="str">
        <f>'NIR faktorer'!D546</f>
        <v>NA</v>
      </c>
      <c r="K74" s="1971" t="str">
        <f>'NIR faktorer'!D556</f>
        <v>NA</v>
      </c>
      <c r="L74" s="1970" t="str">
        <f t="shared" si="29"/>
        <v>NA</v>
      </c>
      <c r="M74" s="1972" t="str">
        <f t="shared" si="29"/>
        <v>NA</v>
      </c>
      <c r="N74" s="1971" t="str">
        <f t="shared" si="29"/>
        <v>NA</v>
      </c>
      <c r="O74" s="1974" t="str">
        <f t="shared" si="29"/>
        <v>NA</v>
      </c>
      <c r="P74" s="1970" t="str">
        <f t="shared" si="30"/>
        <v>NA</v>
      </c>
      <c r="Q74" s="1971" t="str">
        <f t="shared" si="31"/>
        <v>NA</v>
      </c>
      <c r="R74" s="1974">
        <f t="shared" si="32"/>
        <v>0</v>
      </c>
      <c r="S74" s="1975">
        <f t="shared" si="33"/>
        <v>0</v>
      </c>
    </row>
    <row r="75" spans="1:20" ht="26.25" customHeight="1" x14ac:dyDescent="0.2">
      <c r="A75" s="1976"/>
      <c r="B75" s="1977"/>
      <c r="C75" s="1977"/>
      <c r="D75" s="1977"/>
      <c r="E75" s="1977"/>
      <c r="T75" s="1977"/>
    </row>
    <row r="76" spans="1:20" s="1037" customFormat="1" ht="45.95" customHeight="1" x14ac:dyDescent="0.2">
      <c r="A76" s="1032" t="s">
        <v>2257</v>
      </c>
      <c r="B76" s="5289" t="s">
        <v>1845</v>
      </c>
      <c r="C76" s="5290"/>
      <c r="D76" s="5290"/>
      <c r="E76" s="5291"/>
      <c r="F76" s="5289" t="str">
        <f>'NIR faktorer'!D558</f>
        <v xml:space="preserve"> NIR 2020 (2018) CRF tabel 4E</v>
      </c>
      <c r="G76" s="5290"/>
      <c r="H76" s="5290"/>
      <c r="I76" s="5290"/>
      <c r="J76" s="5290"/>
      <c r="K76" s="5291"/>
      <c r="L76" s="5289" t="s">
        <v>2054</v>
      </c>
      <c r="M76" s="5290"/>
      <c r="N76" s="5290"/>
      <c r="O76" s="5290"/>
      <c r="P76" s="5290"/>
      <c r="Q76" s="5291"/>
      <c r="S76" s="1039" t="s">
        <v>2304</v>
      </c>
      <c r="T76" s="1038"/>
    </row>
    <row r="77" spans="1:20" s="1037" customFormat="1" ht="18" customHeight="1" x14ac:dyDescent="0.2">
      <c r="A77" s="1036" t="s">
        <v>2307</v>
      </c>
      <c r="B77" s="1054"/>
      <c r="C77" s="1054"/>
      <c r="D77" s="1054"/>
      <c r="E77" s="1054"/>
      <c r="F77" s="1032"/>
      <c r="G77" s="1032"/>
      <c r="H77" s="1032"/>
      <c r="I77" s="1032"/>
      <c r="J77" s="1032"/>
      <c r="K77" s="1032"/>
      <c r="L77" s="1032"/>
      <c r="M77" s="1032"/>
      <c r="N77" s="1032"/>
      <c r="O77" s="1032"/>
      <c r="P77" s="1032"/>
      <c r="Q77" s="1032"/>
      <c r="S77" s="1053"/>
      <c r="T77" s="1038"/>
    </row>
    <row r="79" spans="1:20" ht="14.45" customHeight="1" thickBot="1" x14ac:dyDescent="0.3">
      <c r="A79" s="1034" t="s">
        <v>2306</v>
      </c>
      <c r="B79" s="3698"/>
      <c r="C79" s="3698"/>
      <c r="D79" s="3698"/>
      <c r="E79" s="3698"/>
      <c r="F79" s="5297" t="s">
        <v>4949</v>
      </c>
      <c r="G79" s="5297"/>
      <c r="H79" s="5297"/>
      <c r="I79" s="1052"/>
      <c r="J79" s="5298" t="s">
        <v>4950</v>
      </c>
      <c r="K79" s="5298"/>
      <c r="L79" s="5299" t="s">
        <v>4948</v>
      </c>
      <c r="M79" s="5299"/>
      <c r="N79" s="5299"/>
      <c r="O79" s="1051"/>
      <c r="P79" s="5299" t="s">
        <v>4947</v>
      </c>
      <c r="Q79" s="5299"/>
    </row>
    <row r="80" spans="1:20" s="1030" customFormat="1" ht="60.75" thickBot="1" x14ac:dyDescent="0.25">
      <c r="A80" s="2905" t="s">
        <v>816</v>
      </c>
      <c r="B80" s="1015" t="s">
        <v>4955</v>
      </c>
      <c r="C80" s="1048" t="s">
        <v>4859</v>
      </c>
      <c r="D80" s="1048" t="s">
        <v>4860</v>
      </c>
      <c r="E80" s="1045" t="s">
        <v>4861</v>
      </c>
      <c r="F80" s="1047" t="s">
        <v>4869</v>
      </c>
      <c r="G80" s="1047" t="s">
        <v>4863</v>
      </c>
      <c r="H80" s="1049" t="s">
        <v>4871</v>
      </c>
      <c r="I80" s="1050" t="s">
        <v>4866</v>
      </c>
      <c r="J80" s="1046" t="s">
        <v>4867</v>
      </c>
      <c r="K80" s="1049" t="s">
        <v>4868</v>
      </c>
      <c r="L80" s="1046" t="s">
        <v>5234</v>
      </c>
      <c r="M80" s="1048" t="s">
        <v>5235</v>
      </c>
      <c r="N80" s="1045" t="s">
        <v>5236</v>
      </c>
      <c r="O80" s="1047" t="s">
        <v>5237</v>
      </c>
      <c r="P80" s="1046" t="s">
        <v>5247</v>
      </c>
      <c r="Q80" s="1045" t="s">
        <v>5239</v>
      </c>
      <c r="R80" s="1044" t="s">
        <v>5251</v>
      </c>
      <c r="S80" s="2937" t="s">
        <v>4911</v>
      </c>
    </row>
    <row r="81" spans="1:20" ht="23.25" customHeight="1" thickBot="1" x14ac:dyDescent="0.3">
      <c r="A81" s="1043" t="s">
        <v>809</v>
      </c>
      <c r="B81" s="3699">
        <f>B82+(SUM(B84:B90))</f>
        <v>366.625</v>
      </c>
      <c r="C81" s="3700">
        <f>C82+(SUM(C84:C90))</f>
        <v>1.25</v>
      </c>
      <c r="D81" s="3700">
        <f>D82+(SUM(D84:D90))</f>
        <v>287.5</v>
      </c>
      <c r="E81" s="3701">
        <f>E82+(SUM(E84:E90))</f>
        <v>77.875</v>
      </c>
      <c r="F81" s="2067" t="str">
        <f>'NIR faktorer'!D561</f>
        <v>NO</v>
      </c>
      <c r="G81" s="2067" t="str">
        <f>'NIR faktorer'!D571</f>
        <v>NO</v>
      </c>
      <c r="H81" s="2067" t="str">
        <f>'NIR faktorer'!D581</f>
        <v>NO</v>
      </c>
      <c r="I81" s="2067" t="str">
        <f>'NIR faktorer'!D591</f>
        <v>NO</v>
      </c>
      <c r="J81" s="2067" t="str">
        <f>'NIR faktorer'!D601</f>
        <v>NO</v>
      </c>
      <c r="K81" s="2067" t="str">
        <f>'NIR faktorer'!D611</f>
        <v>NO</v>
      </c>
      <c r="L81" s="2067" t="str">
        <f t="shared" ref="L81:L90" si="34">IFERROR(F81*$B81,"NA")</f>
        <v>NA</v>
      </c>
      <c r="M81" s="2067" t="str">
        <f t="shared" ref="M81:M90" si="35">IFERROR(G81*$B81,"NA")</f>
        <v>NA</v>
      </c>
      <c r="N81" s="2067" t="str">
        <f t="shared" ref="N81:N90" si="36">IFERROR(H81*$B81,"NA")</f>
        <v>NA</v>
      </c>
      <c r="O81" s="2067" t="str">
        <f t="shared" ref="O81:O90" si="37">IFERROR(I81*$B81,"NA")</f>
        <v>NA</v>
      </c>
      <c r="P81" s="2067" t="str">
        <f t="shared" ref="P81:P90" si="38">IFERROR(D81*J81,"NA")</f>
        <v>NA</v>
      </c>
      <c r="Q81" s="2067" t="str">
        <f t="shared" ref="Q81:Q90" si="39">IFERROR(C81*K81,"NA")</f>
        <v>NA</v>
      </c>
      <c r="R81" s="2072">
        <f>SUBTOTAL(9,N81:Q81)</f>
        <v>0</v>
      </c>
      <c r="S81" s="1937">
        <f>R81*-(44/12)</f>
        <v>0</v>
      </c>
    </row>
    <row r="82" spans="1:20" ht="28.5" customHeight="1" thickBot="1" x14ac:dyDescent="0.3">
      <c r="A82" s="1043" t="s">
        <v>808</v>
      </c>
      <c r="B82" s="4003">
        <v>366.625</v>
      </c>
      <c r="C82" s="3981">
        <v>1.25</v>
      </c>
      <c r="D82" s="3981">
        <v>287.5</v>
      </c>
      <c r="E82" s="3711">
        <f>B82-C82-D82</f>
        <v>77.875</v>
      </c>
      <c r="F82" s="1932" t="str">
        <f>'NIR faktorer'!D562</f>
        <v/>
      </c>
      <c r="G82" s="1932" t="str">
        <f>'NIR faktorer'!D572</f>
        <v/>
      </c>
      <c r="H82" s="1932" t="str">
        <f>'NIR faktorer'!D582</f>
        <v/>
      </c>
      <c r="I82" s="1932" t="str">
        <f>'NIR faktorer'!D592</f>
        <v/>
      </c>
      <c r="J82" s="1932" t="str">
        <f>'NIR faktorer'!D602</f>
        <v/>
      </c>
      <c r="K82" s="2073" t="str">
        <f>'NIR faktorer'!D612</f>
        <v/>
      </c>
      <c r="L82" s="1932" t="str">
        <f t="shared" si="34"/>
        <v>NA</v>
      </c>
      <c r="M82" s="1933" t="str">
        <f t="shared" si="35"/>
        <v>NA</v>
      </c>
      <c r="N82" s="2074" t="str">
        <f t="shared" si="36"/>
        <v>NA</v>
      </c>
      <c r="O82" s="2073" t="str">
        <f t="shared" si="37"/>
        <v>NA</v>
      </c>
      <c r="P82" s="1932" t="str">
        <f t="shared" si="38"/>
        <v>NA</v>
      </c>
      <c r="Q82" s="1934" t="str">
        <f t="shared" si="39"/>
        <v>NA</v>
      </c>
      <c r="R82" s="2075">
        <f t="shared" ref="R82:R90" si="40">SUBTOTAL(9,N82:Q82)</f>
        <v>0</v>
      </c>
      <c r="S82" s="2076">
        <f>R82*-(44/12)</f>
        <v>0</v>
      </c>
    </row>
    <row r="83" spans="1:20" ht="15.75" thickBot="1" x14ac:dyDescent="0.3">
      <c r="A83" s="1042" t="s">
        <v>807</v>
      </c>
      <c r="B83" s="3797"/>
      <c r="C83" s="3823"/>
      <c r="D83" s="3798"/>
      <c r="E83" s="3719"/>
      <c r="F83" s="2077" t="str">
        <f>'NIR faktorer'!D563</f>
        <v/>
      </c>
      <c r="G83" s="2077" t="str">
        <f>'NIR faktorer'!D573</f>
        <v/>
      </c>
      <c r="H83" s="2077" t="str">
        <f>'NIR faktorer'!D583</f>
        <v/>
      </c>
      <c r="I83" s="2077" t="str">
        <f>'NIR faktorer'!D593</f>
        <v/>
      </c>
      <c r="J83" s="2077" t="str">
        <f>'NIR faktorer'!D603</f>
        <v/>
      </c>
      <c r="K83" s="2078" t="str">
        <f>'NIR faktorer'!D613</f>
        <v/>
      </c>
      <c r="L83" s="2077" t="str">
        <f t="shared" si="34"/>
        <v>NA</v>
      </c>
      <c r="M83" s="2079" t="str">
        <f t="shared" si="35"/>
        <v>NA</v>
      </c>
      <c r="N83" s="2080" t="str">
        <f t="shared" si="36"/>
        <v>NA</v>
      </c>
      <c r="O83" s="2078" t="str">
        <f t="shared" si="37"/>
        <v>NA</v>
      </c>
      <c r="P83" s="2077" t="str">
        <f t="shared" si="38"/>
        <v>NA</v>
      </c>
      <c r="Q83" s="2081" t="str">
        <f t="shared" si="39"/>
        <v>NA</v>
      </c>
      <c r="R83" s="2082">
        <f t="shared" si="40"/>
        <v>0</v>
      </c>
      <c r="S83" s="2083"/>
    </row>
    <row r="84" spans="1:20" ht="15" x14ac:dyDescent="0.25">
      <c r="A84" s="1041" t="s">
        <v>806</v>
      </c>
      <c r="B84" s="4004">
        <v>0</v>
      </c>
      <c r="C84" s="3961">
        <v>0</v>
      </c>
      <c r="D84" s="3961">
        <v>0</v>
      </c>
      <c r="E84" s="3725">
        <f t="shared" ref="E84:E90" si="41">B84-C84-D84</f>
        <v>0</v>
      </c>
      <c r="F84" s="1951" t="str">
        <f>'NIR faktorer'!D564</f>
        <v>NO</v>
      </c>
      <c r="G84" s="1951" t="str">
        <f>'NIR faktorer'!D574</f>
        <v>NO</v>
      </c>
      <c r="H84" s="1951" t="str">
        <f>'NIR faktorer'!D584</f>
        <v>NO</v>
      </c>
      <c r="I84" s="1951" t="str">
        <f>'NIR faktorer'!D594</f>
        <v>NO</v>
      </c>
      <c r="J84" s="1951" t="str">
        <f>'NIR faktorer'!D604</f>
        <v>NO</v>
      </c>
      <c r="K84" s="2084" t="str">
        <f>'NIR faktorer'!D614</f>
        <v>NO</v>
      </c>
      <c r="L84" s="1951" t="str">
        <f t="shared" si="34"/>
        <v>NA</v>
      </c>
      <c r="M84" s="1952" t="str">
        <f t="shared" si="35"/>
        <v>NA</v>
      </c>
      <c r="N84" s="2003" t="str">
        <f t="shared" si="36"/>
        <v>NA</v>
      </c>
      <c r="O84" s="2084" t="str">
        <f t="shared" si="37"/>
        <v>NA</v>
      </c>
      <c r="P84" s="1951" t="str">
        <f t="shared" si="38"/>
        <v>NA</v>
      </c>
      <c r="Q84" s="1953" t="str">
        <f t="shared" si="39"/>
        <v>NA</v>
      </c>
      <c r="R84" s="1955">
        <f t="shared" si="40"/>
        <v>0</v>
      </c>
      <c r="S84" s="2085">
        <f t="shared" ref="S84:S90" si="42">R84*-(44/12)</f>
        <v>0</v>
      </c>
    </row>
    <row r="85" spans="1:20" ht="15" x14ac:dyDescent="0.25">
      <c r="A85" s="1041" t="s">
        <v>805</v>
      </c>
      <c r="B85" s="4001">
        <v>0</v>
      </c>
      <c r="C85" s="3960">
        <v>0</v>
      </c>
      <c r="D85" s="3960">
        <v>0</v>
      </c>
      <c r="E85" s="3725">
        <f t="shared" si="41"/>
        <v>0</v>
      </c>
      <c r="F85" s="1951" t="str">
        <f>'NIR faktorer'!D565</f>
        <v>NO</v>
      </c>
      <c r="G85" s="1951" t="str">
        <f>'NIR faktorer'!D575</f>
        <v>NO</v>
      </c>
      <c r="H85" s="1951" t="str">
        <f>'NIR faktorer'!D585</f>
        <v>NO</v>
      </c>
      <c r="I85" s="1951" t="str">
        <f>'NIR faktorer'!D595</f>
        <v>NO</v>
      </c>
      <c r="J85" s="1951" t="str">
        <f>'NIR faktorer'!D605</f>
        <v>NO</v>
      </c>
      <c r="K85" s="2084" t="str">
        <f>'NIR faktorer'!D615</f>
        <v>NO</v>
      </c>
      <c r="L85" s="1951" t="str">
        <f t="shared" si="34"/>
        <v>NA</v>
      </c>
      <c r="M85" s="1952" t="str">
        <f t="shared" si="35"/>
        <v>NA</v>
      </c>
      <c r="N85" s="2003" t="str">
        <f t="shared" si="36"/>
        <v>NA</v>
      </c>
      <c r="O85" s="2084" t="str">
        <f t="shared" si="37"/>
        <v>NA</v>
      </c>
      <c r="P85" s="1951" t="str">
        <f t="shared" si="38"/>
        <v>NA</v>
      </c>
      <c r="Q85" s="1953" t="str">
        <f t="shared" si="39"/>
        <v>NA</v>
      </c>
      <c r="R85" s="1955">
        <f t="shared" si="40"/>
        <v>0</v>
      </c>
      <c r="S85" s="2085">
        <f t="shared" si="42"/>
        <v>0</v>
      </c>
    </row>
    <row r="86" spans="1:20" ht="15" x14ac:dyDescent="0.25">
      <c r="A86" s="1041" t="s">
        <v>804</v>
      </c>
      <c r="B86" s="4001">
        <v>0</v>
      </c>
      <c r="C86" s="3960">
        <v>0</v>
      </c>
      <c r="D86" s="3960">
        <v>0</v>
      </c>
      <c r="E86" s="3725">
        <f t="shared" si="41"/>
        <v>0</v>
      </c>
      <c r="F86" s="1951" t="str">
        <f>'NIR faktorer'!D566</f>
        <v>NO</v>
      </c>
      <c r="G86" s="1951" t="str">
        <f>'NIR faktorer'!D576</f>
        <v>NO</v>
      </c>
      <c r="H86" s="1951" t="str">
        <f>'NIR faktorer'!D586</f>
        <v>NO</v>
      </c>
      <c r="I86" s="1951" t="str">
        <f>'NIR faktorer'!D596</f>
        <v>NO</v>
      </c>
      <c r="J86" s="1951" t="str">
        <f>'NIR faktorer'!D606</f>
        <v>NO</v>
      </c>
      <c r="K86" s="2084" t="str">
        <f>'NIR faktorer'!D616</f>
        <v>NO</v>
      </c>
      <c r="L86" s="1951" t="str">
        <f t="shared" si="34"/>
        <v>NA</v>
      </c>
      <c r="M86" s="1952" t="str">
        <f t="shared" si="35"/>
        <v>NA</v>
      </c>
      <c r="N86" s="2003" t="str">
        <f t="shared" si="36"/>
        <v>NA</v>
      </c>
      <c r="O86" s="2084" t="str">
        <f t="shared" si="37"/>
        <v>NA</v>
      </c>
      <c r="P86" s="1951" t="str">
        <f t="shared" si="38"/>
        <v>NA</v>
      </c>
      <c r="Q86" s="1953" t="str">
        <f t="shared" si="39"/>
        <v>NA</v>
      </c>
      <c r="R86" s="1955">
        <f t="shared" si="40"/>
        <v>0</v>
      </c>
      <c r="S86" s="2085">
        <f t="shared" si="42"/>
        <v>0</v>
      </c>
    </row>
    <row r="87" spans="1:20" ht="15" x14ac:dyDescent="0.25">
      <c r="A87" s="1041" t="s">
        <v>803</v>
      </c>
      <c r="B87" s="4001">
        <v>0</v>
      </c>
      <c r="C87" s="3960">
        <v>0</v>
      </c>
      <c r="D87" s="3960">
        <v>0</v>
      </c>
      <c r="E87" s="3725">
        <f t="shared" si="41"/>
        <v>0</v>
      </c>
      <c r="F87" s="1951" t="str">
        <f>'NIR faktorer'!D567</f>
        <v>NO</v>
      </c>
      <c r="G87" s="1951" t="str">
        <f>'NIR faktorer'!D577</f>
        <v>NO</v>
      </c>
      <c r="H87" s="1951" t="str">
        <f>'NIR faktorer'!D587</f>
        <v>NO</v>
      </c>
      <c r="I87" s="1951" t="str">
        <f>'NIR faktorer'!D597</f>
        <v>NO</v>
      </c>
      <c r="J87" s="1951" t="str">
        <f>'NIR faktorer'!D607</f>
        <v>NO</v>
      </c>
      <c r="K87" s="2084" t="str">
        <f>'NIR faktorer'!D617</f>
        <v>NO</v>
      </c>
      <c r="L87" s="1951" t="str">
        <f t="shared" si="34"/>
        <v>NA</v>
      </c>
      <c r="M87" s="1952" t="str">
        <f t="shared" si="35"/>
        <v>NA</v>
      </c>
      <c r="N87" s="2003" t="str">
        <f t="shared" si="36"/>
        <v>NA</v>
      </c>
      <c r="O87" s="2084" t="str">
        <f t="shared" si="37"/>
        <v>NA</v>
      </c>
      <c r="P87" s="1951" t="str">
        <f t="shared" si="38"/>
        <v>NA</v>
      </c>
      <c r="Q87" s="1953" t="str">
        <f t="shared" si="39"/>
        <v>NA</v>
      </c>
      <c r="R87" s="1955">
        <f t="shared" si="40"/>
        <v>0</v>
      </c>
      <c r="S87" s="2085">
        <f t="shared" si="42"/>
        <v>0</v>
      </c>
    </row>
    <row r="88" spans="1:20" ht="15" x14ac:dyDescent="0.25">
      <c r="A88" s="1041" t="s">
        <v>802</v>
      </c>
      <c r="B88" s="4001">
        <v>0</v>
      </c>
      <c r="C88" s="3960">
        <v>0</v>
      </c>
      <c r="D88" s="3960">
        <v>0</v>
      </c>
      <c r="E88" s="3725">
        <f t="shared" si="41"/>
        <v>0</v>
      </c>
      <c r="F88" s="1951" t="str">
        <f>'NIR faktorer'!D568</f>
        <v>NO</v>
      </c>
      <c r="G88" s="1951" t="str">
        <f>'NIR faktorer'!D578</f>
        <v>NO</v>
      </c>
      <c r="H88" s="1951" t="str">
        <f>'NIR faktorer'!D588</f>
        <v>NO</v>
      </c>
      <c r="I88" s="1951" t="str">
        <f>'NIR faktorer'!D598</f>
        <v>NO</v>
      </c>
      <c r="J88" s="1951" t="str">
        <f>'NIR faktorer'!D608</f>
        <v>NO</v>
      </c>
      <c r="K88" s="2084" t="str">
        <f>'NIR faktorer'!D618</f>
        <v>NO</v>
      </c>
      <c r="L88" s="1951" t="str">
        <f t="shared" si="34"/>
        <v>NA</v>
      </c>
      <c r="M88" s="1952" t="str">
        <f t="shared" si="35"/>
        <v>NA</v>
      </c>
      <c r="N88" s="2003" t="str">
        <f t="shared" si="36"/>
        <v>NA</v>
      </c>
      <c r="O88" s="2084" t="str">
        <f t="shared" si="37"/>
        <v>NA</v>
      </c>
      <c r="P88" s="1951" t="str">
        <f t="shared" si="38"/>
        <v>NA</v>
      </c>
      <c r="Q88" s="1953" t="str">
        <f t="shared" si="39"/>
        <v>NA</v>
      </c>
      <c r="R88" s="1955">
        <f t="shared" si="40"/>
        <v>0</v>
      </c>
      <c r="S88" s="2085">
        <f t="shared" si="42"/>
        <v>0</v>
      </c>
    </row>
    <row r="89" spans="1:20" ht="15" x14ac:dyDescent="0.25">
      <c r="A89" s="1041" t="s">
        <v>801</v>
      </c>
      <c r="B89" s="4001">
        <v>0</v>
      </c>
      <c r="C89" s="3960">
        <v>0</v>
      </c>
      <c r="D89" s="3960">
        <v>0</v>
      </c>
      <c r="E89" s="3725">
        <f t="shared" si="41"/>
        <v>0</v>
      </c>
      <c r="F89" s="1951" t="str">
        <f>'NIR faktorer'!D569</f>
        <v>NA</v>
      </c>
      <c r="G89" s="1952" t="str">
        <f>'NIR faktorer'!D579</f>
        <v>NA</v>
      </c>
      <c r="H89" s="2003" t="str">
        <f>'NIR faktorer'!D589</f>
        <v>NA</v>
      </c>
      <c r="I89" s="1955" t="str">
        <f>'NIR faktorer'!D599</f>
        <v>NA</v>
      </c>
      <c r="J89" s="1951" t="str">
        <f>'NIR faktorer'!D609</f>
        <v>NA</v>
      </c>
      <c r="K89" s="2003" t="str">
        <f>'NIR faktorer'!D619</f>
        <v>NA</v>
      </c>
      <c r="L89" s="1951" t="str">
        <f t="shared" si="34"/>
        <v>NA</v>
      </c>
      <c r="M89" s="1952" t="str">
        <f t="shared" si="35"/>
        <v>NA</v>
      </c>
      <c r="N89" s="2003" t="str">
        <f t="shared" si="36"/>
        <v>NA</v>
      </c>
      <c r="O89" s="2084" t="str">
        <f t="shared" si="37"/>
        <v>NA</v>
      </c>
      <c r="P89" s="1951" t="str">
        <f t="shared" si="38"/>
        <v>NA</v>
      </c>
      <c r="Q89" s="1953" t="str">
        <f t="shared" si="39"/>
        <v>NA</v>
      </c>
      <c r="R89" s="1955">
        <f t="shared" si="40"/>
        <v>0</v>
      </c>
      <c r="S89" s="2085">
        <f t="shared" si="42"/>
        <v>0</v>
      </c>
    </row>
    <row r="90" spans="1:20" ht="15.75" thickBot="1" x14ac:dyDescent="0.3">
      <c r="A90" s="1040" t="s">
        <v>800</v>
      </c>
      <c r="B90" s="4002">
        <v>0</v>
      </c>
      <c r="C90" s="4006"/>
      <c r="D90" s="3976"/>
      <c r="E90" s="3732">
        <f t="shared" si="41"/>
        <v>0</v>
      </c>
      <c r="F90" s="1970" t="str">
        <f>'NIR faktorer'!D570</f>
        <v>NA</v>
      </c>
      <c r="G90" s="1972" t="str">
        <f>'NIR faktorer'!D580</f>
        <v>NA</v>
      </c>
      <c r="H90" s="2005" t="str">
        <f>'NIR faktorer'!D590</f>
        <v>NA</v>
      </c>
      <c r="I90" s="1974" t="str">
        <f>'NIR faktorer'!D600</f>
        <v>NA</v>
      </c>
      <c r="J90" s="1970" t="str">
        <f>'NIR faktorer'!D610</f>
        <v>NA</v>
      </c>
      <c r="K90" s="2005" t="str">
        <f>'NIR faktorer'!D620</f>
        <v>NA</v>
      </c>
      <c r="L90" s="1970" t="str">
        <f t="shared" si="34"/>
        <v>NA</v>
      </c>
      <c r="M90" s="1972" t="str">
        <f t="shared" si="35"/>
        <v>NA</v>
      </c>
      <c r="N90" s="2005" t="str">
        <f t="shared" si="36"/>
        <v>NA</v>
      </c>
      <c r="O90" s="2086" t="str">
        <f t="shared" si="37"/>
        <v>NA</v>
      </c>
      <c r="P90" s="1970" t="str">
        <f t="shared" si="38"/>
        <v>NA</v>
      </c>
      <c r="Q90" s="1971" t="str">
        <f t="shared" si="39"/>
        <v>NA</v>
      </c>
      <c r="R90" s="1974">
        <f t="shared" si="40"/>
        <v>0</v>
      </c>
      <c r="S90" s="2087">
        <f t="shared" si="42"/>
        <v>0</v>
      </c>
    </row>
    <row r="91" spans="1:20" ht="24.75" customHeight="1" x14ac:dyDescent="0.25">
      <c r="A91" s="1976"/>
      <c r="B91" s="3848"/>
      <c r="C91" s="3848"/>
      <c r="D91" s="3848"/>
      <c r="E91" s="3848"/>
      <c r="T91" s="2008"/>
    </row>
    <row r="92" spans="1:20" s="1037" customFormat="1" ht="47.45" customHeight="1" x14ac:dyDescent="0.2">
      <c r="A92" s="1032" t="s">
        <v>2257</v>
      </c>
      <c r="B92" s="5289" t="s">
        <v>1845</v>
      </c>
      <c r="C92" s="5290"/>
      <c r="D92" s="5290"/>
      <c r="E92" s="5291"/>
      <c r="F92" s="5289" t="str">
        <f>'NIR faktorer'!D622</f>
        <v xml:space="preserve"> NIR 2020 (2018) CRF tabel 4F</v>
      </c>
      <c r="G92" s="5290"/>
      <c r="H92" s="5290"/>
      <c r="I92" s="5290"/>
      <c r="J92" s="5290"/>
      <c r="K92" s="5291"/>
      <c r="L92" s="5289" t="s">
        <v>2054</v>
      </c>
      <c r="M92" s="5290"/>
      <c r="N92" s="5290"/>
      <c r="O92" s="5290"/>
      <c r="P92" s="5290"/>
      <c r="Q92" s="5291"/>
      <c r="S92" s="1039" t="s">
        <v>2304</v>
      </c>
      <c r="T92" s="1038"/>
    </row>
    <row r="93" spans="1:20" s="1035" customFormat="1" ht="12" x14ac:dyDescent="0.2">
      <c r="A93" s="1036" t="s">
        <v>2303</v>
      </c>
    </row>
    <row r="95" spans="1:20" ht="23.25" customHeight="1" thickBot="1" x14ac:dyDescent="0.3">
      <c r="A95" s="1034" t="s">
        <v>2302</v>
      </c>
      <c r="B95" s="1034"/>
      <c r="C95" s="3698"/>
      <c r="D95" s="3698"/>
      <c r="E95" s="3698"/>
    </row>
    <row r="96" spans="1:20" ht="30" customHeight="1" thickBot="1" x14ac:dyDescent="0.3">
      <c r="A96" s="2905" t="s">
        <v>4888</v>
      </c>
      <c r="B96" s="1015" t="s">
        <v>4956</v>
      </c>
      <c r="C96" s="1048" t="s">
        <v>4859</v>
      </c>
      <c r="D96" s="1048" t="s">
        <v>4860</v>
      </c>
      <c r="E96" s="3698"/>
    </row>
    <row r="97" spans="1:6" ht="15.75" thickBot="1" x14ac:dyDescent="0.3">
      <c r="A97" s="1043" t="s">
        <v>2300</v>
      </c>
      <c r="B97" s="4003">
        <v>26.875</v>
      </c>
      <c r="C97" s="3981">
        <v>0</v>
      </c>
      <c r="D97" s="4011">
        <v>19.5</v>
      </c>
      <c r="E97" s="3698"/>
    </row>
    <row r="98" spans="1:6" ht="15" x14ac:dyDescent="0.25">
      <c r="B98" s="3698"/>
      <c r="C98" s="3698"/>
      <c r="D98" s="3698"/>
      <c r="E98" s="3698"/>
    </row>
    <row r="99" spans="1:6" x14ac:dyDescent="0.2">
      <c r="A99" s="1032" t="s">
        <v>651</v>
      </c>
      <c r="B99" s="5300" t="s">
        <v>1845</v>
      </c>
      <c r="C99" s="5301"/>
      <c r="D99" s="5302"/>
    </row>
    <row r="100" spans="1:6" ht="15" x14ac:dyDescent="0.25">
      <c r="F100" s="1031"/>
    </row>
  </sheetData>
  <mergeCells count="36">
    <mergeCell ref="J63:K63"/>
    <mergeCell ref="L63:N63"/>
    <mergeCell ref="P63:Q63"/>
    <mergeCell ref="F39:H39"/>
    <mergeCell ref="B92:E92"/>
    <mergeCell ref="F92:K92"/>
    <mergeCell ref="L92:Q92"/>
    <mergeCell ref="P39:Q39"/>
    <mergeCell ref="B58:E58"/>
    <mergeCell ref="F58:K58"/>
    <mergeCell ref="L58:Q58"/>
    <mergeCell ref="F63:H63"/>
    <mergeCell ref="L23:N23"/>
    <mergeCell ref="P7:Q7"/>
    <mergeCell ref="B20:E20"/>
    <mergeCell ref="F20:K20"/>
    <mergeCell ref="L20:Q20"/>
    <mergeCell ref="F23:H23"/>
    <mergeCell ref="J23:K23"/>
    <mergeCell ref="P23:Q23"/>
    <mergeCell ref="B36:E36"/>
    <mergeCell ref="F36:K36"/>
    <mergeCell ref="L36:Q36"/>
    <mergeCell ref="B99:D99"/>
    <mergeCell ref="F7:H7"/>
    <mergeCell ref="J7:K7"/>
    <mergeCell ref="L7:N7"/>
    <mergeCell ref="J39:K39"/>
    <mergeCell ref="L39:N39"/>
    <mergeCell ref="B76:E76"/>
    <mergeCell ref="F76:K76"/>
    <mergeCell ref="L76:Q76"/>
    <mergeCell ref="F79:H79"/>
    <mergeCell ref="J79:K79"/>
    <mergeCell ref="L79:N79"/>
    <mergeCell ref="P79:Q79"/>
  </mergeCells>
  <hyperlinks>
    <hyperlink ref="A2" location="Index!A1" display="Til index" xr:uid="{01E78F5B-AC6D-41BC-8AF1-1F1E76FA1848}"/>
  </hyperlinks>
  <pageMargins left="0.7" right="0.7" top="0.75" bottom="0.75" header="0.3" footer="0.3"/>
  <pageSetup paperSize="8" scale="47" fitToHeight="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944C4-422E-4051-8AF5-364AAF78A1D9}">
  <sheetPr codeName="Ark142">
    <tabColor theme="4" tint="0.59999389629810485"/>
  </sheetPr>
  <dimension ref="A1:R73"/>
  <sheetViews>
    <sheetView topLeftCell="B1" zoomScale="85" zoomScaleNormal="85" workbookViewId="0">
      <selection activeCell="C67" sqref="C67"/>
    </sheetView>
  </sheetViews>
  <sheetFormatPr defaultColWidth="8.7109375" defaultRowHeight="15" x14ac:dyDescent="0.25"/>
  <cols>
    <col min="1" max="1" width="26.140625" style="992" customWidth="1"/>
    <col min="2" max="2" width="56.28515625" style="992" customWidth="1"/>
    <col min="3" max="3" width="15.5703125" style="1091" customWidth="1"/>
    <col min="4" max="4" width="18.5703125" style="992" customWidth="1"/>
    <col min="5" max="5" width="22" style="992" customWidth="1"/>
    <col min="6" max="6" width="20.7109375" style="992" bestFit="1" customWidth="1"/>
    <col min="7" max="9" width="22.42578125" style="1091" customWidth="1"/>
    <col min="10" max="10" width="13.85546875" style="992" customWidth="1"/>
    <col min="11" max="11" width="24.85546875" style="992" customWidth="1"/>
    <col min="12" max="12" width="24.28515625" style="992" customWidth="1"/>
    <col min="13" max="13" width="22.140625" style="992" customWidth="1"/>
    <col min="14" max="16384" width="8.7109375" style="992"/>
  </cols>
  <sheetData>
    <row r="1" spans="1:18" s="1006" customFormat="1" ht="44.1" customHeight="1" x14ac:dyDescent="0.35">
      <c r="B1" s="1007" t="s">
        <v>2338</v>
      </c>
      <c r="C1" s="1142"/>
      <c r="D1" s="1141"/>
      <c r="E1" s="1141"/>
      <c r="F1" s="1141"/>
      <c r="G1" s="1142"/>
      <c r="H1" s="1142"/>
      <c r="I1" s="1142"/>
      <c r="J1" s="1141"/>
    </row>
    <row r="2" spans="1:18" ht="21" x14ac:dyDescent="0.35">
      <c r="A2" s="1740" t="s">
        <v>4206</v>
      </c>
      <c r="B2" s="1196"/>
      <c r="C2" s="1140"/>
      <c r="D2" s="1139"/>
      <c r="E2" s="1139"/>
      <c r="F2" s="1139"/>
      <c r="G2" s="1140"/>
      <c r="H2" s="1140"/>
      <c r="I2" s="1140"/>
      <c r="J2" s="1139"/>
    </row>
    <row r="3" spans="1:18" ht="18.75" x14ac:dyDescent="0.3">
      <c r="A3" s="964"/>
      <c r="B3" s="965" t="s">
        <v>1849</v>
      </c>
      <c r="C3" s="1140"/>
      <c r="D3" s="1139"/>
      <c r="E3" s="1139"/>
      <c r="F3" s="1139"/>
      <c r="G3" s="1140"/>
      <c r="H3" s="1140"/>
      <c r="I3" s="1140"/>
      <c r="J3" s="1139"/>
    </row>
    <row r="4" spans="1:18" ht="18.75" x14ac:dyDescent="0.3">
      <c r="A4" s="1456"/>
      <c r="B4" s="965" t="s">
        <v>2088</v>
      </c>
      <c r="G4" s="1140"/>
      <c r="H4" s="1140"/>
      <c r="I4" s="1140"/>
      <c r="J4" s="1139"/>
    </row>
    <row r="5" spans="1:18" ht="18.75" x14ac:dyDescent="0.3">
      <c r="A5" s="965"/>
      <c r="B5" s="965"/>
      <c r="G5" s="1140"/>
      <c r="H5" s="1140"/>
      <c r="I5" s="1140"/>
      <c r="J5" s="1139"/>
    </row>
    <row r="6" spans="1:18" ht="15.75" thickBot="1" x14ac:dyDescent="0.3">
      <c r="B6" s="1105" t="s">
        <v>797</v>
      </c>
      <c r="N6" s="5308"/>
      <c r="O6" s="5308"/>
      <c r="P6" s="5308"/>
      <c r="R6" s="1137"/>
    </row>
    <row r="7" spans="1:18" ht="51.6" customHeight="1" thickBot="1" x14ac:dyDescent="0.3">
      <c r="B7" s="2902"/>
      <c r="C7" s="2906" t="s">
        <v>4892</v>
      </c>
      <c r="D7" s="2907" t="s">
        <v>4895</v>
      </c>
      <c r="E7" s="2908" t="s">
        <v>4894</v>
      </c>
      <c r="F7" s="2909" t="s">
        <v>4893</v>
      </c>
      <c r="G7" s="2910" t="s">
        <v>4969</v>
      </c>
      <c r="H7" s="2910" t="s">
        <v>4968</v>
      </c>
      <c r="I7" s="4056" t="s">
        <v>4970</v>
      </c>
      <c r="J7" s="1136"/>
    </row>
    <row r="8" spans="1:18" ht="18" thickBot="1" x14ac:dyDescent="0.3">
      <c r="B8" s="1138" t="s">
        <v>796</v>
      </c>
      <c r="C8" s="4015">
        <v>3660</v>
      </c>
      <c r="D8" s="1119" t="str">
        <f>'NIR faktorer'!D627</f>
        <v/>
      </c>
      <c r="E8" s="1118" t="str">
        <f>'NIR faktorer'!D634</f>
        <v/>
      </c>
      <c r="F8" s="1117" t="str">
        <f>'NIR faktorer'!D641</f>
        <v/>
      </c>
      <c r="G8" s="1116" t="s">
        <v>1366</v>
      </c>
      <c r="H8" s="1115">
        <f>H9</f>
        <v>0</v>
      </c>
      <c r="I8" s="4057">
        <f>I9</f>
        <v>0</v>
      </c>
      <c r="J8" s="1136"/>
    </row>
    <row r="9" spans="1:18" ht="17.25" x14ac:dyDescent="0.25">
      <c r="B9" s="1135" t="s">
        <v>795</v>
      </c>
      <c r="C9" s="4012">
        <v>0</v>
      </c>
      <c r="D9" s="1134" t="str">
        <f>'NIR faktorer'!D628</f>
        <v>NO,IE</v>
      </c>
      <c r="E9" s="1133">
        <f>'NIR faktorer'!D635</f>
        <v>2.8000000000763401</v>
      </c>
      <c r="F9" s="1132" t="str">
        <f>'NIR faktorer'!D642</f>
        <v/>
      </c>
      <c r="G9" s="1131" t="s">
        <v>1366</v>
      </c>
      <c r="H9" s="1130">
        <f>SUM(H10:H10)</f>
        <v>0</v>
      </c>
      <c r="I9" s="4058">
        <f>SUM(I10:I10)</f>
        <v>0</v>
      </c>
      <c r="J9" s="1137"/>
    </row>
    <row r="10" spans="1:18" ht="17.25" x14ac:dyDescent="0.25">
      <c r="B10" s="4021" t="s">
        <v>794</v>
      </c>
      <c r="C10" s="4013">
        <v>0</v>
      </c>
      <c r="D10" s="2709" t="str">
        <f>'NIR faktorer'!D629</f>
        <v>IE</v>
      </c>
      <c r="E10" s="4059">
        <f>'NIR faktorer'!D636</f>
        <v>2.8000000000763401</v>
      </c>
      <c r="F10" s="2710">
        <f>'NIR faktorer'!D643</f>
        <v>64.174309373087723</v>
      </c>
      <c r="G10" s="4060" t="s">
        <v>455</v>
      </c>
      <c r="H10" s="4061">
        <f>C10*E10/1000</f>
        <v>0</v>
      </c>
      <c r="I10" s="4062">
        <f>C10*F10/1000</f>
        <v>0</v>
      </c>
      <c r="J10" s="1136"/>
    </row>
    <row r="11" spans="1:18" x14ac:dyDescent="0.25">
      <c r="B11" s="4021" t="s">
        <v>793</v>
      </c>
      <c r="C11" s="4013">
        <v>0</v>
      </c>
      <c r="D11" s="2709" t="str">
        <f>'NIR faktorer'!D630</f>
        <v>IE</v>
      </c>
      <c r="E11" s="4059" t="str">
        <f>'NIR faktorer'!D637</f>
        <v>NO</v>
      </c>
      <c r="F11" s="2710" t="str">
        <f>'NIR faktorer'!D644</f>
        <v>NO</v>
      </c>
      <c r="G11" s="4060" t="s">
        <v>455</v>
      </c>
      <c r="H11" s="4063" t="s">
        <v>455</v>
      </c>
      <c r="I11" s="4064" t="s">
        <v>455</v>
      </c>
    </row>
    <row r="12" spans="1:18" ht="15.75" thickBot="1" x14ac:dyDescent="0.3">
      <c r="B12" s="4022" t="s">
        <v>792</v>
      </c>
      <c r="C12" s="4014">
        <v>0</v>
      </c>
      <c r="D12" s="1113" t="str">
        <f>'NIR faktorer'!D631</f>
        <v>IE</v>
      </c>
      <c r="E12" s="2711" t="str">
        <f>'NIR faktorer'!D638</f>
        <v>NO</v>
      </c>
      <c r="F12" s="2712" t="str">
        <f>'NIR faktorer'!D645</f>
        <v>NO</v>
      </c>
      <c r="G12" s="4023" t="s">
        <v>455</v>
      </c>
      <c r="H12" s="4024" t="s">
        <v>455</v>
      </c>
      <c r="I12" s="4073" t="s">
        <v>455</v>
      </c>
    </row>
    <row r="13" spans="1:18" x14ac:dyDescent="0.25">
      <c r="B13" s="4016" t="s">
        <v>791</v>
      </c>
      <c r="C13" s="4017">
        <v>3658.75</v>
      </c>
      <c r="D13" s="1190" t="str">
        <f>'NIR faktorer'!D632</f>
        <v/>
      </c>
      <c r="E13" s="1189" t="str">
        <f>'NIR faktorer'!D639</f>
        <v/>
      </c>
      <c r="F13" s="4018" t="str">
        <f>'NIR faktorer'!D646</f>
        <v/>
      </c>
      <c r="G13" s="4019" t="s">
        <v>259</v>
      </c>
      <c r="H13" s="4020" t="s">
        <v>259</v>
      </c>
      <c r="I13" s="4080" t="s">
        <v>259</v>
      </c>
    </row>
    <row r="14" spans="1:18" ht="15.75" thickBot="1" x14ac:dyDescent="0.3">
      <c r="B14" s="4072" t="s">
        <v>790</v>
      </c>
      <c r="C14" s="4014" t="s">
        <v>259</v>
      </c>
      <c r="D14" s="1113" t="str">
        <f>'NIR faktorer'!D633</f>
        <v>NO</v>
      </c>
      <c r="E14" s="2711" t="str">
        <f>'NIR faktorer'!D640</f>
        <v>NO</v>
      </c>
      <c r="F14" s="2712" t="str">
        <f>'NIR faktorer'!D647</f>
        <v>NO</v>
      </c>
      <c r="G14" s="4023" t="s">
        <v>259</v>
      </c>
      <c r="H14" s="4024" t="s">
        <v>259</v>
      </c>
      <c r="I14" s="4073" t="s">
        <v>259</v>
      </c>
    </row>
    <row r="17" spans="2:12" s="1092" customFormat="1" ht="58.5" customHeight="1" x14ac:dyDescent="0.2">
      <c r="B17" s="1766" t="s">
        <v>651</v>
      </c>
      <c r="C17" s="1093" t="s">
        <v>1845</v>
      </c>
      <c r="D17" s="5303" t="str">
        <f>'NIR faktorer'!D649</f>
        <v xml:space="preserve"> NIR 2020 (2018) CRF tabel 4II samt afsnit 6.9.4 i PDF NIR</v>
      </c>
      <c r="E17" s="5304"/>
      <c r="F17" s="5305"/>
      <c r="G17" s="5309" t="s">
        <v>2054</v>
      </c>
      <c r="H17" s="5310"/>
      <c r="I17" s="5311"/>
    </row>
    <row r="18" spans="2:12" ht="30" customHeight="1" x14ac:dyDescent="0.25">
      <c r="B18" s="1111" t="s">
        <v>2337</v>
      </c>
      <c r="C18" s="1129"/>
      <c r="D18" s="1107"/>
      <c r="E18" s="1107"/>
      <c r="F18" s="1107"/>
      <c r="G18" s="1106"/>
      <c r="H18" s="1106"/>
      <c r="I18" s="1106"/>
    </row>
    <row r="19" spans="2:12" x14ac:dyDescent="0.25">
      <c r="B19" s="1110" t="s">
        <v>2336</v>
      </c>
      <c r="C19" s="1122"/>
      <c r="D19" s="1123"/>
      <c r="E19" s="1123"/>
      <c r="F19" s="1123"/>
      <c r="G19" s="1122"/>
      <c r="H19" s="1122"/>
      <c r="I19" s="1122"/>
    </row>
    <row r="20" spans="2:12" x14ac:dyDescent="0.25">
      <c r="B20" s="1110" t="s">
        <v>2335</v>
      </c>
      <c r="C20" s="1122"/>
      <c r="D20" s="1123"/>
      <c r="E20" s="1123"/>
      <c r="F20" s="1123"/>
      <c r="G20" s="1122"/>
      <c r="H20" s="1122"/>
      <c r="I20" s="1122"/>
    </row>
    <row r="21" spans="2:12" x14ac:dyDescent="0.25">
      <c r="B21" s="1109"/>
      <c r="D21" s="1123"/>
      <c r="E21" s="1123"/>
      <c r="F21" s="1123"/>
      <c r="G21" s="1122"/>
      <c r="H21" s="1122"/>
      <c r="I21" s="1122"/>
    </row>
    <row r="22" spans="2:12" x14ac:dyDescent="0.25">
      <c r="B22" s="1109"/>
      <c r="D22" s="1123"/>
      <c r="E22" s="1123"/>
      <c r="F22" s="1123"/>
      <c r="G22" s="1122"/>
      <c r="H22" s="1122"/>
      <c r="I22" s="1122"/>
    </row>
    <row r="23" spans="2:12" x14ac:dyDescent="0.25">
      <c r="B23" s="1109"/>
      <c r="D23" s="1123"/>
      <c r="E23" s="1123"/>
      <c r="F23" s="1123"/>
      <c r="G23" s="1122"/>
      <c r="H23" s="1122"/>
      <c r="I23" s="1122"/>
    </row>
    <row r="24" spans="2:12" ht="18" thickBot="1" x14ac:dyDescent="0.3">
      <c r="B24" s="1105" t="s">
        <v>2334</v>
      </c>
      <c r="L24" s="12"/>
    </row>
    <row r="25" spans="2:12" ht="46.5" customHeight="1" thickBot="1" x14ac:dyDescent="0.3">
      <c r="B25" s="2902"/>
      <c r="C25" s="2906" t="s">
        <v>4892</v>
      </c>
      <c r="D25" s="2907" t="s">
        <v>4895</v>
      </c>
      <c r="E25" s="2908" t="s">
        <v>4896</v>
      </c>
      <c r="F25" s="2909" t="s">
        <v>4893</v>
      </c>
      <c r="G25" s="2910" t="s">
        <v>4969</v>
      </c>
      <c r="H25" s="2910" t="s">
        <v>4968</v>
      </c>
      <c r="I25" s="4056" t="s">
        <v>4970</v>
      </c>
      <c r="L25" s="12"/>
    </row>
    <row r="26" spans="2:12" ht="18" thickBot="1" x14ac:dyDescent="0.3">
      <c r="B26" s="1128" t="s">
        <v>788</v>
      </c>
      <c r="C26" s="4015">
        <v>3188.4375</v>
      </c>
      <c r="D26" s="1145" t="str">
        <f>'NIR faktorer'!D652</f>
        <v/>
      </c>
      <c r="E26" s="1126" t="str">
        <f>'NIR faktorer'!D660</f>
        <v/>
      </c>
      <c r="F26" s="1146" t="str">
        <f>'NIR faktorer'!D668</f>
        <v/>
      </c>
      <c r="G26" s="1127">
        <f>SUM(G27:G29)</f>
        <v>0</v>
      </c>
      <c r="H26" s="1126"/>
      <c r="I26" s="1146">
        <f>SUM(I28:I31)</f>
        <v>0</v>
      </c>
    </row>
    <row r="27" spans="2:12" ht="17.25" x14ac:dyDescent="0.25">
      <c r="B27" s="1125" t="s">
        <v>782</v>
      </c>
      <c r="C27" s="4012">
        <v>0</v>
      </c>
      <c r="D27" s="1119" t="str">
        <f>'NIR faktorer'!D653</f>
        <v>NO,IE</v>
      </c>
      <c r="E27" s="1118">
        <f>'NIR faktorer'!D661</f>
        <v>2.8000000000763401</v>
      </c>
      <c r="F27" s="1117">
        <f>'NIR faktorer'!D669</f>
        <v>64.174309373087723</v>
      </c>
      <c r="G27" s="1116">
        <f>SUM(G28:G29)</f>
        <v>0</v>
      </c>
      <c r="H27" s="1115"/>
      <c r="I27" s="4057">
        <f>SUM(I28:I29)</f>
        <v>0</v>
      </c>
    </row>
    <row r="28" spans="2:12" x14ac:dyDescent="0.25">
      <c r="B28" s="4021" t="s">
        <v>781</v>
      </c>
      <c r="C28" s="4013">
        <v>0</v>
      </c>
      <c r="D28" s="4059">
        <f>'NIR faktorer'!D654</f>
        <v>216.30945768355886</v>
      </c>
      <c r="E28" s="4059" t="str">
        <f>'NIR faktorer'!D662</f>
        <v/>
      </c>
      <c r="F28" s="2710">
        <f>'NIR faktorer'!D670</f>
        <v>43.007760527829937</v>
      </c>
      <c r="G28" s="4074">
        <f>C28*D28/1000</f>
        <v>0</v>
      </c>
      <c r="H28" s="4075"/>
      <c r="I28" s="4062">
        <f>C28*F28/1000</f>
        <v>0</v>
      </c>
    </row>
    <row r="29" spans="2:12" x14ac:dyDescent="0.25">
      <c r="B29" s="4021" t="s">
        <v>787</v>
      </c>
      <c r="C29" s="4013">
        <v>0</v>
      </c>
      <c r="D29" s="2709">
        <f>'NIR faktorer'!D655</f>
        <v>216.30945768355886</v>
      </c>
      <c r="E29" s="4059" t="str">
        <f>'NIR faktorer'!D663</f>
        <v/>
      </c>
      <c r="F29" s="2710">
        <f>'NIR faktorer'!D671</f>
        <v>43.007760527829937</v>
      </c>
      <c r="G29" s="4074">
        <f>C29*D29/1000</f>
        <v>0</v>
      </c>
      <c r="H29" s="4075"/>
      <c r="I29" s="4062">
        <f>C29*F29/1000</f>
        <v>0</v>
      </c>
    </row>
    <row r="30" spans="2:12" x14ac:dyDescent="0.25">
      <c r="B30" s="4021" t="s">
        <v>786</v>
      </c>
      <c r="C30" s="4013">
        <v>0</v>
      </c>
      <c r="D30" s="2709" t="str">
        <f>'NIR faktorer'!D656</f>
        <v>IE</v>
      </c>
      <c r="E30" s="4059" t="str">
        <f>'NIR faktorer'!D664</f>
        <v/>
      </c>
      <c r="F30" s="2710" t="str">
        <f>'NIR faktorer'!D672</f>
        <v>19,5</v>
      </c>
      <c r="G30" s="4060" t="s">
        <v>455</v>
      </c>
      <c r="H30" s="4075"/>
      <c r="I30" s="4062">
        <f>C30*F30/1000</f>
        <v>0</v>
      </c>
    </row>
    <row r="31" spans="2:12" ht="15.75" thickBot="1" x14ac:dyDescent="0.3">
      <c r="B31" s="4022" t="s">
        <v>778</v>
      </c>
      <c r="C31" s="4014">
        <v>0</v>
      </c>
      <c r="D31" s="1113" t="str">
        <f>'NIR faktorer'!D657</f>
        <v>IE</v>
      </c>
      <c r="E31" s="2711" t="str">
        <f>'NIR faktorer'!D665</f>
        <v/>
      </c>
      <c r="F31" s="2712" t="str">
        <f>'NIR faktorer'!D673</f>
        <v>39</v>
      </c>
      <c r="G31" s="4023" t="s">
        <v>455</v>
      </c>
      <c r="H31" s="4024"/>
      <c r="I31" s="4076">
        <f>C31*F31/1000</f>
        <v>0</v>
      </c>
    </row>
    <row r="32" spans="2:12" ht="17.25" x14ac:dyDescent="0.25">
      <c r="B32" s="1120" t="s">
        <v>785</v>
      </c>
      <c r="C32" s="4017">
        <v>3156.4375</v>
      </c>
      <c r="D32" s="1119" t="str">
        <f>'NIR faktorer'!D658</f>
        <v>NO</v>
      </c>
      <c r="E32" s="1118" t="str">
        <f>'NIR faktorer'!D666</f>
        <v>NO</v>
      </c>
      <c r="F32" s="1117" t="str">
        <f>'NIR faktorer'!D674</f>
        <v>NO</v>
      </c>
      <c r="G32" s="1116" t="s">
        <v>259</v>
      </c>
      <c r="H32" s="1115"/>
      <c r="I32" s="4057" t="s">
        <v>259</v>
      </c>
    </row>
    <row r="33" spans="2:12" ht="15.75" thickBot="1" x14ac:dyDescent="0.3">
      <c r="B33" s="1114" t="s">
        <v>776</v>
      </c>
      <c r="C33" s="4014">
        <v>1.25</v>
      </c>
      <c r="D33" s="2711" t="str">
        <f>'NIR faktorer'!D659</f>
        <v>NO</v>
      </c>
      <c r="E33" s="2711" t="str">
        <f>'NIR faktorer'!D667</f>
        <v/>
      </c>
      <c r="F33" s="2711" t="str">
        <f>'NIR faktorer'!D675</f>
        <v>NO</v>
      </c>
      <c r="G33" s="4024" t="s">
        <v>259</v>
      </c>
      <c r="H33" s="4024"/>
      <c r="I33" s="4073" t="s">
        <v>259</v>
      </c>
    </row>
    <row r="34" spans="2:12" x14ac:dyDescent="0.25">
      <c r="B34" s="1092"/>
      <c r="C34" s="1122"/>
      <c r="D34" s="1123"/>
      <c r="E34" s="1123"/>
      <c r="F34" s="1123"/>
      <c r="G34" s="1122"/>
      <c r="H34" s="1122"/>
      <c r="I34" s="1122"/>
    </row>
    <row r="35" spans="2:12" x14ac:dyDescent="0.25">
      <c r="B35" s="1124"/>
      <c r="C35" s="1122"/>
      <c r="D35" s="1123"/>
      <c r="E35" s="1123"/>
      <c r="F35" s="1123"/>
      <c r="G35" s="1122"/>
      <c r="H35" s="1122"/>
      <c r="I35" s="1122"/>
    </row>
    <row r="36" spans="2:12" s="1092" customFormat="1" ht="67.5" customHeight="1" x14ac:dyDescent="0.2">
      <c r="B36" s="1766" t="s">
        <v>651</v>
      </c>
      <c r="C36" s="1093" t="s">
        <v>1845</v>
      </c>
      <c r="D36" s="5303" t="str">
        <f>'NIR faktorer'!D677</f>
        <v xml:space="preserve"> NIR 2020 (2018) CRF tabel 4II samt afsnit 6.9.4 i PDF NIR</v>
      </c>
      <c r="E36" s="5304"/>
      <c r="F36" s="5305"/>
      <c r="G36" s="5303" t="s">
        <v>2054</v>
      </c>
      <c r="H36" s="5306"/>
      <c r="I36" s="5307"/>
    </row>
    <row r="37" spans="2:12" x14ac:dyDescent="0.25">
      <c r="B37" s="1110" t="s">
        <v>2333</v>
      </c>
      <c r="C37" s="1108"/>
      <c r="D37" s="1107"/>
      <c r="E37" s="1107"/>
      <c r="F37" s="1107"/>
      <c r="G37" s="1106"/>
      <c r="H37" s="1106"/>
      <c r="I37" s="1106"/>
    </row>
    <row r="38" spans="2:12" ht="15" customHeight="1" x14ac:dyDescent="0.25">
      <c r="B38" s="1110" t="s">
        <v>2332</v>
      </c>
      <c r="C38" s="1108"/>
      <c r="D38" s="1107"/>
      <c r="E38" s="1107"/>
      <c r="F38" s="1107"/>
      <c r="G38" s="1106"/>
      <c r="H38" s="1106"/>
      <c r="I38" s="1106"/>
    </row>
    <row r="39" spans="2:12" x14ac:dyDescent="0.25">
      <c r="B39" s="1110" t="s">
        <v>2331</v>
      </c>
      <c r="C39" s="1108"/>
      <c r="D39" s="1107"/>
      <c r="E39" s="1107"/>
      <c r="F39" s="1107"/>
      <c r="G39" s="1106"/>
      <c r="H39" s="1106"/>
      <c r="I39" s="1106"/>
    </row>
    <row r="40" spans="2:12" x14ac:dyDescent="0.25">
      <c r="B40" s="1110" t="s">
        <v>2330</v>
      </c>
      <c r="C40" s="1108"/>
      <c r="D40" s="1107"/>
      <c r="E40" s="1107"/>
      <c r="F40" s="1107"/>
      <c r="G40" s="1106"/>
      <c r="H40" s="1106"/>
      <c r="I40" s="1106"/>
    </row>
    <row r="41" spans="2:12" x14ac:dyDescent="0.25">
      <c r="B41" s="1110" t="s">
        <v>2329</v>
      </c>
      <c r="C41" s="1108"/>
      <c r="D41" s="1107"/>
      <c r="E41" s="1107"/>
      <c r="F41" s="1107"/>
      <c r="G41" s="1106"/>
      <c r="H41" s="1106"/>
      <c r="I41" s="1106"/>
    </row>
    <row r="42" spans="2:12" x14ac:dyDescent="0.25">
      <c r="B42" s="1000"/>
      <c r="C42" s="1108"/>
      <c r="D42" s="1107"/>
      <c r="E42" s="1107"/>
      <c r="F42" s="1107"/>
      <c r="G42" s="1106"/>
      <c r="H42" s="1106"/>
      <c r="I42" s="1106"/>
    </row>
    <row r="43" spans="2:12" x14ac:dyDescent="0.25">
      <c r="L43" s="12"/>
    </row>
    <row r="44" spans="2:12" ht="18" thickBot="1" x14ac:dyDescent="0.3">
      <c r="B44" s="1105" t="s">
        <v>2328</v>
      </c>
      <c r="L44" s="12"/>
    </row>
    <row r="45" spans="2:12" ht="51.95" customHeight="1" thickBot="1" x14ac:dyDescent="0.3">
      <c r="B45" s="2902"/>
      <c r="C45" s="2906" t="s">
        <v>4892</v>
      </c>
      <c r="D45" s="2907" t="s">
        <v>4895</v>
      </c>
      <c r="E45" s="2908" t="s">
        <v>4897</v>
      </c>
      <c r="F45" s="2909" t="s">
        <v>4893</v>
      </c>
      <c r="G45" s="2910" t="s">
        <v>4969</v>
      </c>
      <c r="H45" s="2910" t="s">
        <v>4968</v>
      </c>
      <c r="I45" s="4056" t="s">
        <v>4970</v>
      </c>
      <c r="L45" s="12"/>
    </row>
    <row r="46" spans="2:12" ht="18" thickBot="1" x14ac:dyDescent="0.3">
      <c r="B46" s="1121" t="s">
        <v>783</v>
      </c>
      <c r="C46" s="4015">
        <v>2781.5</v>
      </c>
      <c r="D46" s="1119" t="str">
        <f>'NIR faktorer'!D680</f>
        <v/>
      </c>
      <c r="E46" s="3871" t="str">
        <f>'NIR faktorer'!D688</f>
        <v>0</v>
      </c>
      <c r="F46" s="3872" t="str">
        <f>'NIR faktorer'!D696</f>
        <v>0</v>
      </c>
      <c r="G46" s="1116">
        <f>G47</f>
        <v>1.494128944306115E-2</v>
      </c>
      <c r="H46" s="1115" t="s">
        <v>986</v>
      </c>
      <c r="I46" s="4057">
        <f>I47</f>
        <v>3.5786798101869167E-3</v>
      </c>
      <c r="J46" s="12"/>
    </row>
    <row r="47" spans="2:12" ht="17.25" x14ac:dyDescent="0.25">
      <c r="B47" s="1120" t="s">
        <v>782</v>
      </c>
      <c r="C47" s="4012">
        <v>0.25</v>
      </c>
      <c r="D47" s="1119">
        <f>'NIR faktorer'!D681</f>
        <v>239.0606310889784</v>
      </c>
      <c r="E47" s="1118" t="str">
        <f>'NIR faktorer'!D689</f>
        <v/>
      </c>
      <c r="F47" s="1117">
        <f>'NIR faktorer'!D697</f>
        <v>57.258876962990669</v>
      </c>
      <c r="G47" s="1116">
        <f>SUM(G48:G49)</f>
        <v>1.494128944306115E-2</v>
      </c>
      <c r="H47" s="1115" t="s">
        <v>986</v>
      </c>
      <c r="I47" s="4057">
        <f>SUM(I48:I51)</f>
        <v>3.5786798101869167E-3</v>
      </c>
      <c r="J47" s="12"/>
    </row>
    <row r="48" spans="2:12" x14ac:dyDescent="0.25">
      <c r="B48" s="4077" t="s">
        <v>781</v>
      </c>
      <c r="C48" s="4013">
        <v>6.25E-2</v>
      </c>
      <c r="D48" s="2709">
        <f>'NIR faktorer'!D682</f>
        <v>239.0606310889784</v>
      </c>
      <c r="E48" s="4059" t="str">
        <f>'NIR faktorer'!D690</f>
        <v/>
      </c>
      <c r="F48" s="2710">
        <f>'NIR faktorer'!D698</f>
        <v>57.258876962990669</v>
      </c>
      <c r="G48" s="4074">
        <f>C48*D48/1000</f>
        <v>1.494128944306115E-2</v>
      </c>
      <c r="H48" s="4075"/>
      <c r="I48" s="4062">
        <f>C48*F48/1000</f>
        <v>3.5786798101869167E-3</v>
      </c>
      <c r="J48" s="12"/>
    </row>
    <row r="49" spans="2:10" x14ac:dyDescent="0.25">
      <c r="B49" s="4077" t="s">
        <v>780</v>
      </c>
      <c r="C49" s="4013">
        <v>0</v>
      </c>
      <c r="D49" s="2709">
        <f>'NIR faktorer'!D683</f>
        <v>239.0606310889784</v>
      </c>
      <c r="E49" s="4059" t="str">
        <f>'NIR faktorer'!D691</f>
        <v/>
      </c>
      <c r="F49" s="2710">
        <f>'NIR faktorer'!D699</f>
        <v>57.258876962990669</v>
      </c>
      <c r="G49" s="4074">
        <f>C49*D49/1000</f>
        <v>0</v>
      </c>
      <c r="H49" s="4075"/>
      <c r="I49" s="4062">
        <f>C49*F49/1000</f>
        <v>0</v>
      </c>
      <c r="J49" s="12"/>
    </row>
    <row r="50" spans="2:10" x14ac:dyDescent="0.25">
      <c r="B50" s="4077" t="s">
        <v>779</v>
      </c>
      <c r="C50" s="4013">
        <v>0</v>
      </c>
      <c r="D50" s="2709" t="str">
        <f>'NIR faktorer'!D684</f>
        <v>IE</v>
      </c>
      <c r="E50" s="4059" t="str">
        <f>'NIR faktorer'!D692</f>
        <v/>
      </c>
      <c r="F50" s="2710" t="str">
        <f>'NIR faktorer'!D700</f>
        <v>19,5</v>
      </c>
      <c r="G50" s="4060" t="s">
        <v>455</v>
      </c>
      <c r="H50" s="4063" t="s">
        <v>986</v>
      </c>
      <c r="I50" s="4062">
        <f>C50*F50/1000</f>
        <v>0</v>
      </c>
      <c r="J50" s="12"/>
    </row>
    <row r="51" spans="2:10" ht="15.75" thickBot="1" x14ac:dyDescent="0.3">
      <c r="B51" s="4078" t="s">
        <v>778</v>
      </c>
      <c r="C51" s="4014">
        <v>0</v>
      </c>
      <c r="D51" s="1113" t="str">
        <f>'NIR faktorer'!D685</f>
        <v>0</v>
      </c>
      <c r="E51" s="2711" t="str">
        <f>'NIR faktorer'!D693</f>
        <v/>
      </c>
      <c r="F51" s="2712" t="str">
        <f>'NIR faktorer'!D701</f>
        <v>39</v>
      </c>
      <c r="G51" s="4069" t="s">
        <v>455</v>
      </c>
      <c r="H51" s="4070"/>
      <c r="I51" s="4079">
        <f>C51*F51/1000</f>
        <v>0</v>
      </c>
      <c r="J51" s="12"/>
    </row>
    <row r="52" spans="2:10" ht="17.25" x14ac:dyDescent="0.25">
      <c r="B52" s="1120" t="s">
        <v>777</v>
      </c>
      <c r="C52" s="4017">
        <v>2612</v>
      </c>
      <c r="D52" s="1119" t="str">
        <f>'NIR faktorer'!D686</f>
        <v>NO,IE</v>
      </c>
      <c r="E52" s="1118" t="str">
        <f>'NIR faktorer'!D694</f>
        <v>0</v>
      </c>
      <c r="F52" s="1117" t="str">
        <f>'NIR faktorer'!D702</f>
        <v>NO,IE</v>
      </c>
      <c r="G52" s="1116" t="s">
        <v>455</v>
      </c>
      <c r="H52" s="1115"/>
      <c r="I52" s="4057" t="s">
        <v>455</v>
      </c>
      <c r="J52" s="12"/>
    </row>
    <row r="53" spans="2:10" ht="15.75" thickBot="1" x14ac:dyDescent="0.3">
      <c r="B53" s="1114" t="s">
        <v>776</v>
      </c>
      <c r="C53" s="4014">
        <v>9.875</v>
      </c>
      <c r="D53" s="1113" t="str">
        <f>'NIR faktorer'!D687</f>
        <v>IE</v>
      </c>
      <c r="E53" s="2711" t="str">
        <f>'NIR faktorer'!D695</f>
        <v/>
      </c>
      <c r="F53" s="2712" t="str">
        <f>'NIR faktorer'!D703</f>
        <v>IE</v>
      </c>
      <c r="G53" s="4023" t="s">
        <v>455</v>
      </c>
      <c r="H53" s="4024" t="s">
        <v>986</v>
      </c>
      <c r="I53" s="4073" t="s">
        <v>455</v>
      </c>
      <c r="J53" s="12"/>
    </row>
    <row r="54" spans="2:10" x14ac:dyDescent="0.25">
      <c r="B54" s="1092"/>
      <c r="J54" s="12"/>
    </row>
    <row r="55" spans="2:10" s="1092" customFormat="1" ht="37.5" customHeight="1" x14ac:dyDescent="0.2">
      <c r="B55" s="1766" t="s">
        <v>651</v>
      </c>
      <c r="C55" s="1093" t="s">
        <v>1845</v>
      </c>
      <c r="D55" s="5303" t="str">
        <f>'NIR faktorer'!D677</f>
        <v xml:space="preserve"> NIR 2020 (2018) CRF tabel 4II samt afsnit 6.9.4 i PDF NIR</v>
      </c>
      <c r="E55" s="5304"/>
      <c r="F55" s="5305"/>
      <c r="G55" s="5309" t="s">
        <v>2054</v>
      </c>
      <c r="H55" s="5310"/>
      <c r="I55" s="5311"/>
      <c r="J55" s="1112"/>
    </row>
    <row r="56" spans="2:10" x14ac:dyDescent="0.25">
      <c r="B56" s="1110" t="s">
        <v>2327</v>
      </c>
      <c r="C56" s="1108"/>
      <c r="D56" s="1107"/>
      <c r="E56" s="1107"/>
      <c r="F56" s="1107"/>
      <c r="G56" s="1106"/>
      <c r="H56" s="1106"/>
      <c r="I56" s="1106"/>
      <c r="J56" s="12"/>
    </row>
    <row r="57" spans="2:10" x14ac:dyDescent="0.25">
      <c r="B57" s="1111" t="s">
        <v>2326</v>
      </c>
      <c r="C57" s="1108"/>
      <c r="D57" s="1107"/>
      <c r="E57" s="1107"/>
      <c r="F57" s="1107"/>
      <c r="G57" s="1106"/>
      <c r="H57" s="1106"/>
      <c r="I57" s="1106"/>
      <c r="J57" s="12"/>
    </row>
    <row r="58" spans="2:10" x14ac:dyDescent="0.25">
      <c r="B58" s="1110" t="s">
        <v>2325</v>
      </c>
      <c r="C58" s="1108"/>
      <c r="D58" s="1107"/>
      <c r="E58" s="1107"/>
      <c r="F58" s="1107"/>
      <c r="G58" s="1106"/>
      <c r="H58" s="1106"/>
      <c r="I58" s="1106"/>
      <c r="J58" s="12"/>
    </row>
    <row r="59" spans="2:10" x14ac:dyDescent="0.25">
      <c r="B59" s="1111" t="s">
        <v>2324</v>
      </c>
      <c r="C59" s="1108"/>
      <c r="D59" s="1107"/>
      <c r="E59" s="1107"/>
      <c r="F59" s="1107"/>
      <c r="G59" s="1106"/>
      <c r="H59" s="1106"/>
      <c r="I59" s="1106"/>
      <c r="J59" s="12"/>
    </row>
    <row r="60" spans="2:10" x14ac:dyDescent="0.25">
      <c r="B60" s="1110" t="s">
        <v>2323</v>
      </c>
      <c r="C60" s="1108"/>
      <c r="D60" s="1107"/>
      <c r="E60" s="1107"/>
      <c r="F60" s="1107"/>
      <c r="G60" s="1106"/>
      <c r="H60" s="1106"/>
      <c r="I60" s="1106"/>
      <c r="J60" s="12"/>
    </row>
    <row r="61" spans="2:10" x14ac:dyDescent="0.25">
      <c r="B61" s="1109"/>
      <c r="C61" s="1108"/>
      <c r="D61" s="1107"/>
      <c r="E61" s="1107"/>
      <c r="F61" s="1107"/>
      <c r="G61" s="1106"/>
      <c r="H61" s="1106"/>
      <c r="I61" s="1106"/>
      <c r="J61" s="12"/>
    </row>
    <row r="62" spans="2:10" x14ac:dyDescent="0.25">
      <c r="J62" s="12"/>
    </row>
    <row r="63" spans="2:10" ht="15.75" thickBot="1" x14ac:dyDescent="0.3">
      <c r="B63" s="1105" t="s">
        <v>775</v>
      </c>
      <c r="J63" s="12"/>
    </row>
    <row r="64" spans="2:10" ht="45.95" customHeight="1" thickBot="1" x14ac:dyDescent="0.3">
      <c r="B64" s="2902"/>
      <c r="C64" s="2906" t="s">
        <v>4892</v>
      </c>
      <c r="D64" s="2907" t="s">
        <v>4895</v>
      </c>
      <c r="E64" s="2908" t="s">
        <v>4898</v>
      </c>
      <c r="F64" s="2909" t="s">
        <v>4893</v>
      </c>
      <c r="G64" s="2910" t="s">
        <v>4969</v>
      </c>
      <c r="H64" s="2910" t="s">
        <v>4968</v>
      </c>
      <c r="I64" s="4056" t="s">
        <v>4970</v>
      </c>
      <c r="J64" s="12"/>
    </row>
    <row r="65" spans="2:10" ht="15.75" thickBot="1" x14ac:dyDescent="0.3">
      <c r="B65" s="1104" t="s">
        <v>763</v>
      </c>
      <c r="C65" s="1103"/>
      <c r="D65" s="1147" t="str">
        <f>'NIR faktorer'!D708</f>
        <v/>
      </c>
      <c r="E65" s="1148" t="str">
        <f>'NIR faktorer'!D711</f>
        <v/>
      </c>
      <c r="F65" s="1149" t="str">
        <f>'NIR faktorer'!D714</f>
        <v/>
      </c>
      <c r="G65" s="1102"/>
      <c r="H65" s="1101"/>
      <c r="I65" s="4081"/>
      <c r="J65" s="12"/>
    </row>
    <row r="66" spans="2:10" ht="18" thickBot="1" x14ac:dyDescent="0.3">
      <c r="B66" s="1100" t="s">
        <v>2322</v>
      </c>
      <c r="C66" s="4015"/>
      <c r="D66" s="1098" t="str">
        <f>'NIR faktorer'!D709</f>
        <v>IE</v>
      </c>
      <c r="E66" s="1097">
        <f>'NIR faktorer'!D712</f>
        <v>0.29992213354091002</v>
      </c>
      <c r="F66" s="1096">
        <f>'NIR faktorer'!D715</f>
        <v>33.200000000000003</v>
      </c>
      <c r="G66" s="1095" t="s">
        <v>455</v>
      </c>
      <c r="H66" s="1701">
        <f>C66*E66/1000</f>
        <v>0</v>
      </c>
      <c r="I66" s="4082">
        <f>C66*F66/1000</f>
        <v>0</v>
      </c>
      <c r="J66" s="12"/>
    </row>
    <row r="67" spans="2:10" ht="15.75" thickBot="1" x14ac:dyDescent="0.3">
      <c r="B67" s="1099" t="s">
        <v>4755</v>
      </c>
      <c r="C67" s="4025">
        <v>41.5</v>
      </c>
      <c r="D67" s="1098" t="str">
        <f>'NIR faktorer'!D710</f>
        <v>NO</v>
      </c>
      <c r="E67" s="1097" t="str">
        <f>'NIR faktorer'!D713</f>
        <v>NO</v>
      </c>
      <c r="F67" s="1096">
        <f>'NIR faktorer'!D716</f>
        <v>287.55031160280379</v>
      </c>
      <c r="G67" s="1095" t="s">
        <v>259</v>
      </c>
      <c r="H67" s="1094" t="s">
        <v>259</v>
      </c>
      <c r="I67" s="4082">
        <f>C67*F67/1000</f>
        <v>11.933337931516357</v>
      </c>
      <c r="J67" s="12"/>
    </row>
    <row r="68" spans="2:10" x14ac:dyDescent="0.25">
      <c r="J68" s="12"/>
    </row>
    <row r="69" spans="2:10" x14ac:dyDescent="0.25">
      <c r="B69" s="1766" t="s">
        <v>651</v>
      </c>
      <c r="C69" s="1093" t="s">
        <v>1845</v>
      </c>
      <c r="D69" s="5303" t="str">
        <f>'NIR faktorer'!D677</f>
        <v xml:space="preserve"> NIR 2020 (2018) CRF tabel 4II samt afsnit 6.9.4 i PDF NIR</v>
      </c>
      <c r="E69" s="5304"/>
      <c r="F69" s="5305"/>
      <c r="G69" s="5303" t="s">
        <v>2054</v>
      </c>
      <c r="H69" s="5306"/>
      <c r="I69" s="5307"/>
      <c r="J69" s="12"/>
    </row>
    <row r="70" spans="2:10" x14ac:dyDescent="0.25">
      <c r="B70" s="1092"/>
    </row>
    <row r="73" spans="2:10" x14ac:dyDescent="0.25">
      <c r="C73" s="1004"/>
    </row>
  </sheetData>
  <mergeCells count="9">
    <mergeCell ref="D69:F69"/>
    <mergeCell ref="G69:I69"/>
    <mergeCell ref="N6:P6"/>
    <mergeCell ref="D17:F17"/>
    <mergeCell ref="G17:I17"/>
    <mergeCell ref="D36:F36"/>
    <mergeCell ref="G36:I36"/>
    <mergeCell ref="D55:F55"/>
    <mergeCell ref="G55:I55"/>
  </mergeCells>
  <hyperlinks>
    <hyperlink ref="A2" location="Index!A1" display="Til index" xr:uid="{C5FEA875-2F5C-446A-BDB9-6440D1677EC1}"/>
  </hyperlinks>
  <pageMargins left="0.7" right="0.7" top="0.75" bottom="0.75" header="0.3" footer="0.3"/>
  <pageSetup paperSize="9" orientation="portrait" verticalDpi="12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37A24-FC3D-4BEF-BBC3-C7E983BCBDEA}">
  <sheetPr codeName="Ark96">
    <tabColor theme="4" tint="-0.249977111117893"/>
  </sheetPr>
  <dimension ref="A1:R73"/>
  <sheetViews>
    <sheetView zoomScale="70" zoomScaleNormal="70" workbookViewId="0">
      <selection activeCell="D56" sqref="D56"/>
    </sheetView>
  </sheetViews>
  <sheetFormatPr defaultColWidth="8.7109375" defaultRowHeight="15" x14ac:dyDescent="0.25"/>
  <cols>
    <col min="1" max="1" width="26.140625" style="1777" customWidth="1"/>
    <col min="2" max="2" width="56.28515625" style="1777" customWidth="1"/>
    <col min="3" max="3" width="15.5703125" style="1091" customWidth="1"/>
    <col min="4" max="4" width="18.42578125" style="1777" customWidth="1"/>
    <col min="5" max="5" width="23.140625" style="1777" customWidth="1"/>
    <col min="6" max="6" width="20.7109375" style="1777" bestFit="1" customWidth="1"/>
    <col min="7" max="9" width="22.42578125" style="2089" customWidth="1"/>
    <col min="10" max="10" width="13.85546875" style="1777" customWidth="1"/>
    <col min="11" max="11" width="24.85546875" style="1777" customWidth="1"/>
    <col min="12" max="12" width="24.28515625" style="1777" customWidth="1"/>
    <col min="13" max="13" width="22.140625" style="1777" customWidth="1"/>
    <col min="14" max="16384" width="8.7109375" style="1777"/>
  </cols>
  <sheetData>
    <row r="1" spans="1:18" s="1866" customFormat="1" ht="44.1" customHeight="1" x14ac:dyDescent="0.35">
      <c r="B1" s="1007" t="s">
        <v>2338</v>
      </c>
      <c r="C1" s="1142"/>
      <c r="D1" s="1141"/>
      <c r="E1" s="1141"/>
      <c r="F1" s="1141"/>
      <c r="G1" s="1142"/>
      <c r="H1" s="1142"/>
      <c r="I1" s="1142"/>
      <c r="J1" s="1141"/>
    </row>
    <row r="2" spans="1:18" ht="21" x14ac:dyDescent="0.35">
      <c r="A2" s="1740" t="s">
        <v>4206</v>
      </c>
      <c r="B2" s="1196"/>
      <c r="C2" s="1140"/>
      <c r="D2" s="1139"/>
      <c r="E2" s="1139"/>
      <c r="F2" s="1139"/>
      <c r="G2" s="1140"/>
      <c r="H2" s="1140"/>
      <c r="I2" s="1140"/>
      <c r="J2" s="1139"/>
    </row>
    <row r="3" spans="1:18" ht="18.75" x14ac:dyDescent="0.3">
      <c r="A3" s="2088"/>
      <c r="B3" s="1791" t="s">
        <v>1849</v>
      </c>
      <c r="C3" s="1140"/>
      <c r="D3" s="1139"/>
      <c r="E3" s="1139"/>
      <c r="F3" s="1139"/>
      <c r="G3" s="1140"/>
      <c r="H3" s="1140"/>
      <c r="I3" s="1140"/>
      <c r="J3" s="1139"/>
    </row>
    <row r="4" spans="1:18" ht="18.75" x14ac:dyDescent="0.3">
      <c r="A4" s="1792"/>
      <c r="B4" s="1791" t="s">
        <v>2088</v>
      </c>
      <c r="G4" s="1140"/>
      <c r="H4" s="1140"/>
      <c r="I4" s="1140"/>
      <c r="J4" s="1139"/>
    </row>
    <row r="5" spans="1:18" ht="18.75" x14ac:dyDescent="0.3">
      <c r="A5" s="1791"/>
      <c r="B5" s="1791"/>
      <c r="G5" s="1140"/>
      <c r="H5" s="1140"/>
      <c r="I5" s="1140"/>
      <c r="J5" s="1139"/>
    </row>
    <row r="6" spans="1:18" ht="15.75" thickBot="1" x14ac:dyDescent="0.3">
      <c r="B6" s="1105" t="s">
        <v>797</v>
      </c>
      <c r="N6" s="5312"/>
      <c r="O6" s="5312"/>
      <c r="P6" s="5312"/>
      <c r="R6" s="1137"/>
    </row>
    <row r="7" spans="1:18" s="992" customFormat="1" ht="51.6" customHeight="1" thickBot="1" x14ac:dyDescent="0.3">
      <c r="B7" s="642"/>
      <c r="C7" s="2906" t="s">
        <v>4892</v>
      </c>
      <c r="D7" s="2907" t="s">
        <v>4895</v>
      </c>
      <c r="E7" s="2908" t="s">
        <v>4894</v>
      </c>
      <c r="F7" s="2909" t="s">
        <v>4893</v>
      </c>
      <c r="G7" s="2910" t="s">
        <v>4969</v>
      </c>
      <c r="H7" s="2910" t="s">
        <v>4968</v>
      </c>
      <c r="I7" s="4056" t="s">
        <v>4970</v>
      </c>
      <c r="J7" s="1136"/>
    </row>
    <row r="8" spans="1:18" ht="18" thickBot="1" x14ac:dyDescent="0.3">
      <c r="B8" s="1138" t="s">
        <v>796</v>
      </c>
      <c r="C8" s="4015">
        <v>3660</v>
      </c>
      <c r="D8" s="1119" t="str">
        <f>'NIR faktorer'!D627</f>
        <v/>
      </c>
      <c r="E8" s="1118" t="str">
        <f>'NIR faktorer'!D634</f>
        <v/>
      </c>
      <c r="F8" s="1117" t="str">
        <f>'NIR faktorer'!D641</f>
        <v/>
      </c>
      <c r="G8" s="1116" t="s">
        <v>1366</v>
      </c>
      <c r="H8" s="1115">
        <f>H9</f>
        <v>0</v>
      </c>
      <c r="I8" s="4057">
        <f>I9</f>
        <v>0</v>
      </c>
      <c r="J8" s="2090"/>
    </row>
    <row r="9" spans="1:18" ht="17.25" x14ac:dyDescent="0.25">
      <c r="B9" s="1135" t="s">
        <v>795</v>
      </c>
      <c r="C9" s="4012">
        <v>0</v>
      </c>
      <c r="D9" s="1134" t="str">
        <f>'NIR faktorer'!D628</f>
        <v>NO,IE</v>
      </c>
      <c r="E9" s="1133">
        <f>'NIR faktorer'!D635</f>
        <v>2.8000000000763401</v>
      </c>
      <c r="F9" s="1132" t="str">
        <f>'NIR faktorer'!D642</f>
        <v/>
      </c>
      <c r="G9" s="1131" t="s">
        <v>1366</v>
      </c>
      <c r="H9" s="1130">
        <f>SUM(H10:H10)</f>
        <v>0</v>
      </c>
      <c r="I9" s="4058">
        <f>SUM(I10:I10)</f>
        <v>0</v>
      </c>
      <c r="J9" s="1137"/>
    </row>
    <row r="10" spans="1:18" ht="17.25" x14ac:dyDescent="0.25">
      <c r="B10" s="4021" t="s">
        <v>794</v>
      </c>
      <c r="C10" s="4013">
        <v>0</v>
      </c>
      <c r="D10" s="2709" t="str">
        <f>'NIR faktorer'!D629</f>
        <v>IE</v>
      </c>
      <c r="E10" s="4059">
        <f>'NIR faktorer'!D636</f>
        <v>2.8000000000763401</v>
      </c>
      <c r="F10" s="2710">
        <f>'NIR faktorer'!D643</f>
        <v>64.174309373087723</v>
      </c>
      <c r="G10" s="4060" t="s">
        <v>455</v>
      </c>
      <c r="H10" s="4061">
        <f>C10*E10/1000</f>
        <v>0</v>
      </c>
      <c r="I10" s="4062">
        <f>C10*F10/1000</f>
        <v>0</v>
      </c>
      <c r="J10" s="2090"/>
    </row>
    <row r="11" spans="1:18" x14ac:dyDescent="0.25">
      <c r="B11" s="4021" t="s">
        <v>793</v>
      </c>
      <c r="C11" s="4013">
        <v>0</v>
      </c>
      <c r="D11" s="2709" t="str">
        <f>'NIR faktorer'!D630</f>
        <v>IE</v>
      </c>
      <c r="E11" s="4059" t="str">
        <f>'NIR faktorer'!D637</f>
        <v>NO</v>
      </c>
      <c r="F11" s="2710" t="str">
        <f>'NIR faktorer'!D644</f>
        <v>NO</v>
      </c>
      <c r="G11" s="4060" t="s">
        <v>455</v>
      </c>
      <c r="H11" s="4063" t="s">
        <v>455</v>
      </c>
      <c r="I11" s="4064" t="s">
        <v>455</v>
      </c>
    </row>
    <row r="12" spans="1:18" ht="15.75" thickBot="1" x14ac:dyDescent="0.3">
      <c r="B12" s="4065" t="s">
        <v>792</v>
      </c>
      <c r="C12" s="4014">
        <v>0</v>
      </c>
      <c r="D12" s="4066" t="str">
        <f>'NIR faktorer'!D631</f>
        <v>IE</v>
      </c>
      <c r="E12" s="4067" t="str">
        <f>'NIR faktorer'!D638</f>
        <v>NO</v>
      </c>
      <c r="F12" s="4068" t="str">
        <f>'NIR faktorer'!D645</f>
        <v>NO</v>
      </c>
      <c r="G12" s="4069" t="s">
        <v>455</v>
      </c>
      <c r="H12" s="4070" t="s">
        <v>455</v>
      </c>
      <c r="I12" s="4071" t="s">
        <v>455</v>
      </c>
    </row>
    <row r="13" spans="1:18" x14ac:dyDescent="0.25">
      <c r="B13" s="1135" t="s">
        <v>791</v>
      </c>
      <c r="C13" s="4017">
        <v>3658.75</v>
      </c>
      <c r="D13" s="1134" t="str">
        <f>'NIR faktorer'!D632</f>
        <v/>
      </c>
      <c r="E13" s="1133" t="str">
        <f>'NIR faktorer'!D639</f>
        <v/>
      </c>
      <c r="F13" s="1132" t="str">
        <f>'NIR faktorer'!D646</f>
        <v/>
      </c>
      <c r="G13" s="1131" t="s">
        <v>259</v>
      </c>
      <c r="H13" s="1130" t="s">
        <v>259</v>
      </c>
      <c r="I13" s="4058" t="s">
        <v>259</v>
      </c>
    </row>
    <row r="14" spans="1:18" ht="15.75" thickBot="1" x14ac:dyDescent="0.3">
      <c r="B14" s="4072" t="s">
        <v>790</v>
      </c>
      <c r="C14" s="4014" t="s">
        <v>259</v>
      </c>
      <c r="D14" s="1113" t="str">
        <f>'NIR faktorer'!D633</f>
        <v>NO</v>
      </c>
      <c r="E14" s="2711" t="str">
        <f>'NIR faktorer'!D640</f>
        <v>NO</v>
      </c>
      <c r="F14" s="2712" t="str">
        <f>'NIR faktorer'!D647</f>
        <v>NO</v>
      </c>
      <c r="G14" s="4023" t="s">
        <v>259</v>
      </c>
      <c r="H14" s="4024" t="s">
        <v>259</v>
      </c>
      <c r="I14" s="4073" t="s">
        <v>259</v>
      </c>
    </row>
    <row r="17" spans="2:12" s="1092" customFormat="1" ht="58.5" customHeight="1" x14ac:dyDescent="0.2">
      <c r="B17" s="1766" t="s">
        <v>651</v>
      </c>
      <c r="C17" s="1093" t="s">
        <v>1845</v>
      </c>
      <c r="D17" s="5303" t="str">
        <f>'NIR faktorer'!D649</f>
        <v xml:space="preserve"> NIR 2020 (2018) CRF tabel 4II samt afsnit 6.9.4 i PDF NIR</v>
      </c>
      <c r="E17" s="5304"/>
      <c r="F17" s="5305"/>
      <c r="G17" s="5309" t="s">
        <v>2054</v>
      </c>
      <c r="H17" s="5310"/>
      <c r="I17" s="5311"/>
    </row>
    <row r="18" spans="2:12" ht="30" customHeight="1" x14ac:dyDescent="0.25">
      <c r="B18" s="1111" t="s">
        <v>2337</v>
      </c>
      <c r="C18" s="1129"/>
      <c r="D18" s="1107"/>
      <c r="E18" s="1107"/>
      <c r="F18" s="1107"/>
      <c r="G18" s="1106"/>
      <c r="H18" s="1106"/>
      <c r="I18" s="1106"/>
    </row>
    <row r="19" spans="2:12" x14ac:dyDescent="0.25">
      <c r="B19" s="1110" t="s">
        <v>2336</v>
      </c>
      <c r="C19" s="1122"/>
      <c r="D19" s="1123"/>
      <c r="E19" s="1123"/>
      <c r="F19" s="1123"/>
      <c r="G19" s="1122"/>
      <c r="H19" s="1122"/>
      <c r="I19" s="1122"/>
    </row>
    <row r="20" spans="2:12" x14ac:dyDescent="0.25">
      <c r="B20" s="1110" t="s">
        <v>2335</v>
      </c>
      <c r="C20" s="1122"/>
      <c r="D20" s="1123"/>
      <c r="E20" s="1123"/>
      <c r="F20" s="1123"/>
      <c r="G20" s="1122"/>
      <c r="H20" s="1122"/>
      <c r="I20" s="1122"/>
    </row>
    <row r="21" spans="2:12" x14ac:dyDescent="0.25">
      <c r="B21" s="1109"/>
      <c r="D21" s="1123"/>
      <c r="E21" s="1123"/>
      <c r="F21" s="1123"/>
      <c r="G21" s="1122"/>
      <c r="H21" s="1122"/>
      <c r="I21" s="1122"/>
    </row>
    <row r="22" spans="2:12" x14ac:dyDescent="0.25">
      <c r="B22" s="1109"/>
      <c r="D22" s="1123"/>
      <c r="E22" s="1123"/>
      <c r="F22" s="1123"/>
      <c r="G22" s="1122"/>
      <c r="H22" s="1122"/>
      <c r="I22" s="1122"/>
    </row>
    <row r="23" spans="2:12" x14ac:dyDescent="0.25">
      <c r="B23" s="1109"/>
      <c r="D23" s="1123"/>
      <c r="E23" s="1123"/>
      <c r="F23" s="1123"/>
      <c r="G23" s="1122"/>
      <c r="H23" s="1122"/>
      <c r="I23" s="1122"/>
    </row>
    <row r="24" spans="2:12" ht="18" thickBot="1" x14ac:dyDescent="0.3">
      <c r="B24" s="1105" t="s">
        <v>2334</v>
      </c>
      <c r="L24" s="373"/>
    </row>
    <row r="25" spans="2:12" s="992" customFormat="1" ht="46.5" customHeight="1" thickBot="1" x14ac:dyDescent="0.3">
      <c r="B25" s="1172"/>
      <c r="C25" s="2906" t="s">
        <v>4892</v>
      </c>
      <c r="D25" s="2907" t="s">
        <v>4895</v>
      </c>
      <c r="E25" s="2908" t="s">
        <v>4896</v>
      </c>
      <c r="F25" s="2909" t="s">
        <v>4893</v>
      </c>
      <c r="G25" s="2910" t="s">
        <v>4969</v>
      </c>
      <c r="H25" s="2910" t="s">
        <v>4968</v>
      </c>
      <c r="I25" s="4056" t="s">
        <v>4970</v>
      </c>
      <c r="L25" s="12"/>
    </row>
    <row r="26" spans="2:12" ht="18" thickBot="1" x14ac:dyDescent="0.3">
      <c r="B26" s="1128" t="s">
        <v>788</v>
      </c>
      <c r="C26" s="4015">
        <v>3188.4375</v>
      </c>
      <c r="D26" s="1145" t="str">
        <f>'NIR faktorer'!D652</f>
        <v/>
      </c>
      <c r="E26" s="1126" t="str">
        <f>'NIR faktorer'!D660</f>
        <v/>
      </c>
      <c r="F26" s="1146" t="str">
        <f>'NIR faktorer'!D668</f>
        <v/>
      </c>
      <c r="G26" s="1127">
        <f>SUM(G27:G29)</f>
        <v>0</v>
      </c>
      <c r="H26" s="1126"/>
      <c r="I26" s="1146">
        <f>SUM(I28:I31)</f>
        <v>0</v>
      </c>
    </row>
    <row r="27" spans="2:12" ht="17.25" x14ac:dyDescent="0.25">
      <c r="B27" s="1125" t="s">
        <v>782</v>
      </c>
      <c r="C27" s="4012">
        <v>0</v>
      </c>
      <c r="D27" s="1119" t="str">
        <f>'NIR faktorer'!D653</f>
        <v>NO,IE</v>
      </c>
      <c r="E27" s="1118">
        <f>'NIR faktorer'!D661</f>
        <v>2.8000000000763401</v>
      </c>
      <c r="F27" s="1117">
        <f>'NIR faktorer'!D669</f>
        <v>64.174309373087723</v>
      </c>
      <c r="G27" s="1116">
        <f>SUM(G28:G29)</f>
        <v>0</v>
      </c>
      <c r="H27" s="1115"/>
      <c r="I27" s="4057">
        <f>SUM(I28:I29)</f>
        <v>0</v>
      </c>
    </row>
    <row r="28" spans="2:12" x14ac:dyDescent="0.25">
      <c r="B28" s="4021" t="s">
        <v>781</v>
      </c>
      <c r="C28" s="4013">
        <v>0</v>
      </c>
      <c r="D28" s="4059">
        <f>'NIR faktorer'!D654</f>
        <v>216.30945768355886</v>
      </c>
      <c r="E28" s="4059" t="str">
        <f>'NIR faktorer'!D662</f>
        <v/>
      </c>
      <c r="F28" s="2710">
        <f>'NIR faktorer'!D670</f>
        <v>43.007760527829937</v>
      </c>
      <c r="G28" s="4074">
        <f>C28*D28/1000</f>
        <v>0</v>
      </c>
      <c r="H28" s="4075"/>
      <c r="I28" s="4062">
        <f>C28*F28/1000</f>
        <v>0</v>
      </c>
    </row>
    <row r="29" spans="2:12" x14ac:dyDescent="0.25">
      <c r="B29" s="4021" t="s">
        <v>787</v>
      </c>
      <c r="C29" s="4013">
        <v>0</v>
      </c>
      <c r="D29" s="2709">
        <f>'NIR faktorer'!D655</f>
        <v>216.30945768355886</v>
      </c>
      <c r="E29" s="4059" t="str">
        <f>'NIR faktorer'!D663</f>
        <v/>
      </c>
      <c r="F29" s="2710">
        <f>'NIR faktorer'!D671</f>
        <v>43.007760527829937</v>
      </c>
      <c r="G29" s="4074">
        <f>C29*D29/1000</f>
        <v>0</v>
      </c>
      <c r="H29" s="4075"/>
      <c r="I29" s="4062">
        <f>C29*F29/1000</f>
        <v>0</v>
      </c>
    </row>
    <row r="30" spans="2:12" x14ac:dyDescent="0.25">
      <c r="B30" s="4021" t="s">
        <v>786</v>
      </c>
      <c r="C30" s="4013">
        <v>0</v>
      </c>
      <c r="D30" s="2709" t="str">
        <f>'NIR faktorer'!D656</f>
        <v>IE</v>
      </c>
      <c r="E30" s="4059" t="str">
        <f>'NIR faktorer'!D664</f>
        <v/>
      </c>
      <c r="F30" s="2710" t="str">
        <f>'NIR faktorer'!D672</f>
        <v>19,5</v>
      </c>
      <c r="G30" s="4060" t="s">
        <v>455</v>
      </c>
      <c r="H30" s="4075"/>
      <c r="I30" s="4062">
        <f>C30*F30/1000</f>
        <v>0</v>
      </c>
    </row>
    <row r="31" spans="2:12" ht="15.75" thickBot="1" x14ac:dyDescent="0.3">
      <c r="B31" s="4022" t="s">
        <v>778</v>
      </c>
      <c r="C31" s="4014">
        <v>0</v>
      </c>
      <c r="D31" s="1113" t="str">
        <f>'NIR faktorer'!D657</f>
        <v>IE</v>
      </c>
      <c r="E31" s="2711" t="str">
        <f>'NIR faktorer'!D665</f>
        <v/>
      </c>
      <c r="F31" s="2712" t="str">
        <f>'NIR faktorer'!D673</f>
        <v>39</v>
      </c>
      <c r="G31" s="4023" t="s">
        <v>455</v>
      </c>
      <c r="H31" s="4024"/>
      <c r="I31" s="4076">
        <f>C31*F31/1000</f>
        <v>0</v>
      </c>
    </row>
    <row r="32" spans="2:12" ht="17.25" x14ac:dyDescent="0.25">
      <c r="B32" s="1120" t="s">
        <v>785</v>
      </c>
      <c r="C32" s="4017">
        <v>3156.4375</v>
      </c>
      <c r="D32" s="1119" t="str">
        <f>'NIR faktorer'!D658</f>
        <v>NO</v>
      </c>
      <c r="E32" s="1118" t="str">
        <f>'NIR faktorer'!D666</f>
        <v>NO</v>
      </c>
      <c r="F32" s="1117" t="str">
        <f>'NIR faktorer'!D674</f>
        <v>NO</v>
      </c>
      <c r="G32" s="1116" t="s">
        <v>259</v>
      </c>
      <c r="H32" s="1115"/>
      <c r="I32" s="4057" t="s">
        <v>259</v>
      </c>
    </row>
    <row r="33" spans="2:12" ht="15.75" thickBot="1" x14ac:dyDescent="0.3">
      <c r="B33" s="1114" t="s">
        <v>776</v>
      </c>
      <c r="C33" s="4014">
        <v>1.25</v>
      </c>
      <c r="D33" s="2711" t="str">
        <f>'NIR faktorer'!D659</f>
        <v>NO</v>
      </c>
      <c r="E33" s="2711" t="str">
        <f>'NIR faktorer'!D667</f>
        <v/>
      </c>
      <c r="F33" s="2711" t="str">
        <f>'NIR faktorer'!D675</f>
        <v>NO</v>
      </c>
      <c r="G33" s="4024" t="s">
        <v>259</v>
      </c>
      <c r="H33" s="4024"/>
      <c r="I33" s="4073" t="s">
        <v>259</v>
      </c>
    </row>
    <row r="34" spans="2:12" x14ac:dyDescent="0.25">
      <c r="B34" s="1092"/>
      <c r="C34" s="1122"/>
      <c r="D34" s="1123"/>
      <c r="E34" s="1123"/>
      <c r="F34" s="1123"/>
      <c r="G34" s="1122"/>
      <c r="H34" s="1122"/>
      <c r="I34" s="1122"/>
    </row>
    <row r="35" spans="2:12" x14ac:dyDescent="0.25">
      <c r="B35" s="1124"/>
      <c r="C35" s="1122"/>
      <c r="D35" s="1123"/>
      <c r="E35" s="1123"/>
      <c r="F35" s="1123"/>
      <c r="G35" s="1122"/>
      <c r="H35" s="1122"/>
      <c r="I35" s="1122"/>
    </row>
    <row r="36" spans="2:12" s="1092" customFormat="1" ht="67.5" customHeight="1" x14ac:dyDescent="0.2">
      <c r="B36" s="1766" t="s">
        <v>651</v>
      </c>
      <c r="C36" s="1093" t="s">
        <v>1845</v>
      </c>
      <c r="D36" s="5303" t="str">
        <f>'NIR faktorer'!D677</f>
        <v xml:space="preserve"> NIR 2020 (2018) CRF tabel 4II samt afsnit 6.9.4 i PDF NIR</v>
      </c>
      <c r="E36" s="5304"/>
      <c r="F36" s="5305"/>
      <c r="G36" s="5303" t="s">
        <v>2054</v>
      </c>
      <c r="H36" s="5306"/>
      <c r="I36" s="5307"/>
    </row>
    <row r="37" spans="2:12" x14ac:dyDescent="0.25">
      <c r="B37" s="1110" t="s">
        <v>2333</v>
      </c>
      <c r="C37" s="1108"/>
      <c r="D37" s="1107"/>
      <c r="E37" s="1107"/>
      <c r="F37" s="1107"/>
      <c r="G37" s="1106"/>
      <c r="H37" s="1106"/>
      <c r="I37" s="1106"/>
    </row>
    <row r="38" spans="2:12" ht="15" customHeight="1" x14ac:dyDescent="0.25">
      <c r="B38" s="1110" t="s">
        <v>2332</v>
      </c>
      <c r="C38" s="1108"/>
      <c r="D38" s="1107"/>
      <c r="E38" s="1107"/>
      <c r="F38" s="1107"/>
      <c r="G38" s="1106"/>
      <c r="H38" s="1106"/>
      <c r="I38" s="1106"/>
    </row>
    <row r="39" spans="2:12" x14ac:dyDescent="0.25">
      <c r="B39" s="1110" t="s">
        <v>2331</v>
      </c>
      <c r="C39" s="1108"/>
      <c r="D39" s="1107"/>
      <c r="E39" s="1107"/>
      <c r="F39" s="1107"/>
      <c r="G39" s="1106"/>
      <c r="H39" s="1106"/>
      <c r="I39" s="1106"/>
    </row>
    <row r="40" spans="2:12" x14ac:dyDescent="0.25">
      <c r="B40" s="1110" t="s">
        <v>2330</v>
      </c>
      <c r="C40" s="1108"/>
      <c r="D40" s="1107"/>
      <c r="E40" s="1107"/>
      <c r="F40" s="1107"/>
      <c r="G40" s="1106"/>
      <c r="H40" s="1106"/>
      <c r="I40" s="1106"/>
    </row>
    <row r="41" spans="2:12" x14ac:dyDescent="0.25">
      <c r="B41" s="1110" t="s">
        <v>2329</v>
      </c>
      <c r="C41" s="1108"/>
      <c r="D41" s="1107"/>
      <c r="E41" s="1107"/>
      <c r="F41" s="1107"/>
      <c r="G41" s="1106"/>
      <c r="H41" s="1106"/>
      <c r="I41" s="1106"/>
    </row>
    <row r="42" spans="2:12" x14ac:dyDescent="0.25">
      <c r="B42" s="1000"/>
      <c r="C42" s="1108"/>
      <c r="D42" s="1107"/>
      <c r="E42" s="1107"/>
      <c r="F42" s="1107"/>
      <c r="G42" s="1106"/>
      <c r="H42" s="1106"/>
      <c r="I42" s="1106"/>
    </row>
    <row r="43" spans="2:12" x14ac:dyDescent="0.25">
      <c r="L43" s="373"/>
    </row>
    <row r="44" spans="2:12" ht="18" thickBot="1" x14ac:dyDescent="0.3">
      <c r="B44" s="1105" t="s">
        <v>2328</v>
      </c>
      <c r="L44" s="373"/>
    </row>
    <row r="45" spans="2:12" s="992" customFormat="1" ht="51.95" customHeight="1" thickBot="1" x14ac:dyDescent="0.3">
      <c r="B45" s="2911"/>
      <c r="C45" s="2906" t="s">
        <v>4892</v>
      </c>
      <c r="D45" s="2912" t="s">
        <v>4895</v>
      </c>
      <c r="E45" s="2913" t="s">
        <v>4897</v>
      </c>
      <c r="F45" s="2914" t="s">
        <v>4893</v>
      </c>
      <c r="G45" s="2910" t="s">
        <v>4969</v>
      </c>
      <c r="H45" s="2910" t="s">
        <v>4968</v>
      </c>
      <c r="I45" s="4056" t="s">
        <v>4970</v>
      </c>
      <c r="L45" s="12"/>
    </row>
    <row r="46" spans="2:12" ht="18" thickBot="1" x14ac:dyDescent="0.3">
      <c r="B46" s="1121" t="s">
        <v>783</v>
      </c>
      <c r="C46" s="4015">
        <v>2781.5</v>
      </c>
      <c r="D46" s="1119" t="str">
        <f>'NIR faktorer'!D680</f>
        <v/>
      </c>
      <c r="E46" s="1118" t="str">
        <f>'NIR faktorer'!D688</f>
        <v>0</v>
      </c>
      <c r="F46" s="1117" t="str">
        <f>'NIR faktorer'!D696</f>
        <v>0</v>
      </c>
      <c r="G46" s="1116">
        <f>G47</f>
        <v>1.494128944306115E-2</v>
      </c>
      <c r="H46" s="1115" t="s">
        <v>986</v>
      </c>
      <c r="I46" s="4057">
        <f>I47</f>
        <v>3.5786798101869167E-3</v>
      </c>
      <c r="J46" s="373"/>
    </row>
    <row r="47" spans="2:12" ht="17.25" x14ac:dyDescent="0.25">
      <c r="B47" s="1120" t="s">
        <v>782</v>
      </c>
      <c r="C47" s="4012">
        <v>0.25</v>
      </c>
      <c r="D47" s="1119">
        <f>'NIR faktorer'!D681</f>
        <v>239.0606310889784</v>
      </c>
      <c r="E47" s="1118" t="str">
        <f>'NIR faktorer'!D689</f>
        <v/>
      </c>
      <c r="F47" s="1117">
        <f>'NIR faktorer'!D697</f>
        <v>57.258876962990669</v>
      </c>
      <c r="G47" s="1116">
        <f>SUM(G48:G49)</f>
        <v>1.494128944306115E-2</v>
      </c>
      <c r="H47" s="1115" t="s">
        <v>986</v>
      </c>
      <c r="I47" s="4057">
        <f>SUM(I48:I51)</f>
        <v>3.5786798101869167E-3</v>
      </c>
      <c r="J47" s="373"/>
    </row>
    <row r="48" spans="2:12" x14ac:dyDescent="0.25">
      <c r="B48" s="4077" t="s">
        <v>781</v>
      </c>
      <c r="C48" s="4013">
        <v>6.25E-2</v>
      </c>
      <c r="D48" s="2709">
        <f>'NIR faktorer'!D682</f>
        <v>239.0606310889784</v>
      </c>
      <c r="E48" s="4059" t="str">
        <f>'NIR faktorer'!D690</f>
        <v/>
      </c>
      <c r="F48" s="2710">
        <f>'NIR faktorer'!D698</f>
        <v>57.258876962990669</v>
      </c>
      <c r="G48" s="4074">
        <f>C48*D48/1000</f>
        <v>1.494128944306115E-2</v>
      </c>
      <c r="H48" s="4075"/>
      <c r="I48" s="4062">
        <f>C48*F48/1000</f>
        <v>3.5786798101869167E-3</v>
      </c>
      <c r="J48" s="373"/>
    </row>
    <row r="49" spans="2:10" x14ac:dyDescent="0.25">
      <c r="B49" s="4077" t="s">
        <v>780</v>
      </c>
      <c r="C49" s="4013">
        <v>0</v>
      </c>
      <c r="D49" s="2709">
        <f>'NIR faktorer'!D683</f>
        <v>239.0606310889784</v>
      </c>
      <c r="E49" s="4059" t="str">
        <f>'NIR faktorer'!D691</f>
        <v/>
      </c>
      <c r="F49" s="2710">
        <f>'NIR faktorer'!D699</f>
        <v>57.258876962990669</v>
      </c>
      <c r="G49" s="4074">
        <f>C49*D49/1000</f>
        <v>0</v>
      </c>
      <c r="H49" s="4075"/>
      <c r="I49" s="4062">
        <f>C49*F49/1000</f>
        <v>0</v>
      </c>
      <c r="J49" s="373"/>
    </row>
    <row r="50" spans="2:10" x14ac:dyDescent="0.25">
      <c r="B50" s="4077" t="s">
        <v>779</v>
      </c>
      <c r="C50" s="4013">
        <v>0</v>
      </c>
      <c r="D50" s="2709" t="str">
        <f>'NIR faktorer'!D684</f>
        <v>IE</v>
      </c>
      <c r="E50" s="4059" t="str">
        <f>'NIR faktorer'!D692</f>
        <v/>
      </c>
      <c r="F50" s="2710" t="str">
        <f>'NIR faktorer'!D700</f>
        <v>19,5</v>
      </c>
      <c r="G50" s="4060" t="s">
        <v>455</v>
      </c>
      <c r="H50" s="4063" t="s">
        <v>986</v>
      </c>
      <c r="I50" s="4062">
        <f>C50*F50/1000</f>
        <v>0</v>
      </c>
      <c r="J50" s="373"/>
    </row>
    <row r="51" spans="2:10" ht="15.75" thickBot="1" x14ac:dyDescent="0.3">
      <c r="B51" s="4078" t="s">
        <v>778</v>
      </c>
      <c r="C51" s="4014">
        <v>0</v>
      </c>
      <c r="D51" s="1113" t="str">
        <f>'NIR faktorer'!D685</f>
        <v>0</v>
      </c>
      <c r="E51" s="2711" t="str">
        <f>'NIR faktorer'!D693</f>
        <v/>
      </c>
      <c r="F51" s="2712" t="str">
        <f>'NIR faktorer'!D701</f>
        <v>39</v>
      </c>
      <c r="G51" s="4069" t="s">
        <v>455</v>
      </c>
      <c r="H51" s="4070"/>
      <c r="I51" s="4079">
        <f>C51*F51/1000</f>
        <v>0</v>
      </c>
      <c r="J51" s="373"/>
    </row>
    <row r="52" spans="2:10" ht="17.25" x14ac:dyDescent="0.25">
      <c r="B52" s="1120" t="s">
        <v>777</v>
      </c>
      <c r="C52" s="4017">
        <v>2612</v>
      </c>
      <c r="D52" s="1119" t="str">
        <f>'NIR faktorer'!D686</f>
        <v>NO,IE</v>
      </c>
      <c r="E52" s="1118" t="str">
        <f>'NIR faktorer'!D694</f>
        <v>0</v>
      </c>
      <c r="F52" s="1117" t="str">
        <f>'NIR faktorer'!D702</f>
        <v>NO,IE</v>
      </c>
      <c r="G52" s="1116" t="s">
        <v>455</v>
      </c>
      <c r="H52" s="1115"/>
      <c r="I52" s="4057" t="s">
        <v>455</v>
      </c>
      <c r="J52" s="373"/>
    </row>
    <row r="53" spans="2:10" ht="15.75" thickBot="1" x14ac:dyDescent="0.3">
      <c r="B53" s="1114" t="s">
        <v>776</v>
      </c>
      <c r="C53" s="4014">
        <v>9.875</v>
      </c>
      <c r="D53" s="1113" t="str">
        <f>'NIR faktorer'!D687</f>
        <v>IE</v>
      </c>
      <c r="E53" s="2711" t="str">
        <f>'NIR faktorer'!D695</f>
        <v/>
      </c>
      <c r="F53" s="2712" t="str">
        <f>'NIR faktorer'!D703</f>
        <v>IE</v>
      </c>
      <c r="G53" s="4023" t="s">
        <v>455</v>
      </c>
      <c r="H53" s="4024" t="s">
        <v>986</v>
      </c>
      <c r="I53" s="4073" t="s">
        <v>455</v>
      </c>
      <c r="J53" s="373"/>
    </row>
    <row r="54" spans="2:10" x14ac:dyDescent="0.25">
      <c r="B54" s="1092"/>
      <c r="J54" s="373"/>
    </row>
    <row r="55" spans="2:10" s="1092" customFormat="1" ht="37.5" customHeight="1" x14ac:dyDescent="0.2">
      <c r="B55" s="1766" t="s">
        <v>651</v>
      </c>
      <c r="C55" s="1093" t="s">
        <v>1845</v>
      </c>
      <c r="D55" s="5303" t="str">
        <f>'NIR faktorer'!D677</f>
        <v xml:space="preserve"> NIR 2020 (2018) CRF tabel 4II samt afsnit 6.9.4 i PDF NIR</v>
      </c>
      <c r="E55" s="5304"/>
      <c r="F55" s="5305"/>
      <c r="G55" s="5309" t="s">
        <v>2054</v>
      </c>
      <c r="H55" s="5310"/>
      <c r="I55" s="5311"/>
      <c r="J55" s="2091"/>
    </row>
    <row r="56" spans="2:10" x14ac:dyDescent="0.25">
      <c r="B56" s="1110" t="s">
        <v>2327</v>
      </c>
      <c r="C56" s="1108"/>
      <c r="D56" s="1107"/>
      <c r="E56" s="1107"/>
      <c r="F56" s="1107"/>
      <c r="G56" s="1106"/>
      <c r="H56" s="1106"/>
      <c r="I56" s="1106"/>
      <c r="J56" s="373"/>
    </row>
    <row r="57" spans="2:10" x14ac:dyDescent="0.25">
      <c r="B57" s="1111" t="s">
        <v>2326</v>
      </c>
      <c r="C57" s="1108"/>
      <c r="D57" s="1107"/>
      <c r="E57" s="1107"/>
      <c r="F57" s="1107"/>
      <c r="G57" s="1106"/>
      <c r="H57" s="1106"/>
      <c r="I57" s="1106"/>
      <c r="J57" s="373"/>
    </row>
    <row r="58" spans="2:10" x14ac:dyDescent="0.25">
      <c r="B58" s="1110" t="s">
        <v>2325</v>
      </c>
      <c r="C58" s="1108"/>
      <c r="D58" s="1107"/>
      <c r="E58" s="1107"/>
      <c r="F58" s="1107"/>
      <c r="G58" s="1106"/>
      <c r="H58" s="1106"/>
      <c r="I58" s="1106"/>
      <c r="J58" s="373"/>
    </row>
    <row r="59" spans="2:10" x14ac:dyDescent="0.25">
      <c r="B59" s="1111" t="s">
        <v>2324</v>
      </c>
      <c r="C59" s="1108"/>
      <c r="D59" s="1107"/>
      <c r="E59" s="1107"/>
      <c r="F59" s="1107"/>
      <c r="G59" s="1106"/>
      <c r="H59" s="1106"/>
      <c r="I59" s="1106"/>
      <c r="J59" s="373"/>
    </row>
    <row r="60" spans="2:10" x14ac:dyDescent="0.25">
      <c r="B60" s="1110" t="s">
        <v>2323</v>
      </c>
      <c r="C60" s="1108"/>
      <c r="D60" s="1107"/>
      <c r="E60" s="1107"/>
      <c r="F60" s="1107"/>
      <c r="G60" s="1106"/>
      <c r="H60" s="1106"/>
      <c r="I60" s="1106"/>
      <c r="J60" s="373"/>
    </row>
    <row r="61" spans="2:10" x14ac:dyDescent="0.25">
      <c r="B61" s="1109"/>
      <c r="C61" s="1108"/>
      <c r="D61" s="1107"/>
      <c r="E61" s="1107"/>
      <c r="F61" s="1107"/>
      <c r="G61" s="1106"/>
      <c r="H61" s="1106"/>
      <c r="I61" s="1106"/>
      <c r="J61" s="373"/>
    </row>
    <row r="62" spans="2:10" x14ac:dyDescent="0.25">
      <c r="J62" s="373"/>
    </row>
    <row r="63" spans="2:10" ht="15.75" thickBot="1" x14ac:dyDescent="0.3">
      <c r="B63" s="1105" t="s">
        <v>775</v>
      </c>
      <c r="J63" s="373"/>
    </row>
    <row r="64" spans="2:10" s="992" customFormat="1" ht="45.95" customHeight="1" thickBot="1" x14ac:dyDescent="0.3">
      <c r="B64" s="642"/>
      <c r="C64" s="2906" t="s">
        <v>4892</v>
      </c>
      <c r="D64" s="2907" t="s">
        <v>4895</v>
      </c>
      <c r="E64" s="2908" t="s">
        <v>4898</v>
      </c>
      <c r="F64" s="2909" t="s">
        <v>4893</v>
      </c>
      <c r="G64" s="2910" t="s">
        <v>4969</v>
      </c>
      <c r="H64" s="2910" t="s">
        <v>4968</v>
      </c>
      <c r="I64" s="4056" t="s">
        <v>4970</v>
      </c>
      <c r="J64" s="12"/>
    </row>
    <row r="65" spans="2:10" ht="15.75" thickBot="1" x14ac:dyDescent="0.3">
      <c r="B65" s="1104" t="s">
        <v>763</v>
      </c>
      <c r="C65" s="1103"/>
      <c r="D65" s="1147" t="str">
        <f>'NIR faktorer'!D708</f>
        <v/>
      </c>
      <c r="E65" s="1148" t="str">
        <f>'NIR faktorer'!D711</f>
        <v/>
      </c>
      <c r="F65" s="1149" t="str">
        <f>'NIR faktorer'!D714</f>
        <v/>
      </c>
      <c r="G65" s="1102"/>
      <c r="H65" s="1101"/>
      <c r="I65" s="4081"/>
      <c r="J65" s="373"/>
    </row>
    <row r="66" spans="2:10" ht="18" thickBot="1" x14ac:dyDescent="0.3">
      <c r="B66" s="1100" t="s">
        <v>2322</v>
      </c>
      <c r="C66" s="4015"/>
      <c r="D66" s="1098" t="str">
        <f>'NIR faktorer'!D709</f>
        <v>IE</v>
      </c>
      <c r="E66" s="1097">
        <f>'NIR faktorer'!D712</f>
        <v>0.29992213354091002</v>
      </c>
      <c r="F66" s="1096">
        <f>'NIR faktorer'!D715</f>
        <v>33.200000000000003</v>
      </c>
      <c r="G66" s="1095" t="s">
        <v>455</v>
      </c>
      <c r="H66" s="1701">
        <f>C66*E66/1000</f>
        <v>0</v>
      </c>
      <c r="I66" s="4082">
        <f>C66*F66/1000</f>
        <v>0</v>
      </c>
      <c r="J66" s="373"/>
    </row>
    <row r="67" spans="2:10" ht="15.75" thickBot="1" x14ac:dyDescent="0.3">
      <c r="B67" s="1099" t="s">
        <v>4755</v>
      </c>
      <c r="C67" s="4025">
        <v>41.5</v>
      </c>
      <c r="D67" s="1098" t="str">
        <f>'NIR faktorer'!D710</f>
        <v>NO</v>
      </c>
      <c r="E67" s="1097" t="str">
        <f>'NIR faktorer'!D713</f>
        <v>NO</v>
      </c>
      <c r="F67" s="1096">
        <f>'NIR faktorer'!D716</f>
        <v>287.55031160280379</v>
      </c>
      <c r="G67" s="1095" t="s">
        <v>259</v>
      </c>
      <c r="H67" s="1094" t="s">
        <v>259</v>
      </c>
      <c r="I67" s="4082">
        <f>C67*F67/1000</f>
        <v>11.933337931516357</v>
      </c>
      <c r="J67" s="373"/>
    </row>
    <row r="68" spans="2:10" x14ac:dyDescent="0.25">
      <c r="J68" s="373"/>
    </row>
    <row r="69" spans="2:10" x14ac:dyDescent="0.25">
      <c r="B69" s="1766" t="s">
        <v>651</v>
      </c>
      <c r="C69" s="1093" t="s">
        <v>1845</v>
      </c>
      <c r="D69" s="5303" t="str">
        <f>'NIR faktorer'!D677</f>
        <v xml:space="preserve"> NIR 2020 (2018) CRF tabel 4II samt afsnit 6.9.4 i PDF NIR</v>
      </c>
      <c r="E69" s="5304"/>
      <c r="F69" s="5305"/>
      <c r="G69" s="5303" t="s">
        <v>2054</v>
      </c>
      <c r="H69" s="5306"/>
      <c r="I69" s="5307"/>
      <c r="J69" s="373"/>
    </row>
    <row r="70" spans="2:10" x14ac:dyDescent="0.25">
      <c r="B70" s="1092"/>
    </row>
    <row r="73" spans="2:10" x14ac:dyDescent="0.25">
      <c r="C73" s="1004"/>
    </row>
  </sheetData>
  <mergeCells count="9">
    <mergeCell ref="N6:P6"/>
    <mergeCell ref="D55:F55"/>
    <mergeCell ref="G55:I55"/>
    <mergeCell ref="D69:F69"/>
    <mergeCell ref="G69:I69"/>
    <mergeCell ref="G17:I17"/>
    <mergeCell ref="D17:F17"/>
    <mergeCell ref="D36:F36"/>
    <mergeCell ref="G36:I36"/>
  </mergeCells>
  <hyperlinks>
    <hyperlink ref="A2" location="Index!A1" display="Til index" xr:uid="{F9286368-6CB3-4980-A0C7-5AEC2FE6C70C}"/>
  </hyperlinks>
  <pageMargins left="0.7" right="0.7" top="0.75" bottom="0.75" header="0.3" footer="0.3"/>
  <pageSetup paperSize="9" orientation="portrait" verticalDpi="12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409D5-79C3-4924-8B50-0875F0BB389C}">
  <sheetPr codeName="Ark143">
    <tabColor theme="4" tint="0.59999389629810485"/>
    <pageSetUpPr fitToPage="1"/>
  </sheetPr>
  <dimension ref="A1:I27"/>
  <sheetViews>
    <sheetView showGridLines="0" zoomScale="70" zoomScaleNormal="70" workbookViewId="0">
      <selection activeCell="D8" sqref="D8"/>
    </sheetView>
  </sheetViews>
  <sheetFormatPr defaultColWidth="9.140625" defaultRowHeight="15" x14ac:dyDescent="0.25"/>
  <cols>
    <col min="1" max="1" width="26.7109375" style="1008" customWidth="1"/>
    <col min="2" max="2" width="54.7109375" style="1008" customWidth="1"/>
    <col min="3" max="3" width="24.28515625" style="1008" customWidth="1"/>
    <col min="4" max="4" width="17" style="1008" bestFit="1" customWidth="1"/>
    <col min="5" max="5" width="20.7109375" style="1008" customWidth="1"/>
    <col min="6" max="6" width="18.28515625" style="1008" customWidth="1"/>
    <col min="7" max="7" width="33.5703125" style="1008" customWidth="1"/>
    <col min="8" max="16384" width="9.140625" style="1008"/>
  </cols>
  <sheetData>
    <row r="1" spans="1:9" s="1006" customFormat="1" ht="46.5" customHeight="1" x14ac:dyDescent="0.45">
      <c r="B1" s="1176" t="s">
        <v>2419</v>
      </c>
      <c r="C1" s="1175"/>
      <c r="D1" s="1175"/>
      <c r="E1" s="1175"/>
      <c r="G1" s="1174"/>
      <c r="H1" s="1173"/>
      <c r="I1" s="1173"/>
    </row>
    <row r="2" spans="1:9" s="992" customFormat="1" ht="21" x14ac:dyDescent="0.35">
      <c r="A2" s="1740" t="s">
        <v>4206</v>
      </c>
      <c r="B2" s="1485"/>
      <c r="C2" s="1486"/>
      <c r="D2" s="1486"/>
      <c r="E2" s="1486"/>
      <c r="G2" s="1487"/>
      <c r="H2" s="1488"/>
      <c r="I2" s="1488"/>
    </row>
    <row r="3" spans="1:9" s="992" customFormat="1" ht="14.25" customHeight="1" x14ac:dyDescent="0.25">
      <c r="A3" s="964"/>
      <c r="B3" s="965" t="s">
        <v>1849</v>
      </c>
      <c r="C3" s="1486"/>
      <c r="D3" s="1486"/>
      <c r="E3" s="1486"/>
      <c r="G3" s="1487"/>
      <c r="H3" s="1488"/>
      <c r="I3" s="1488"/>
    </row>
    <row r="4" spans="1:9" s="992" customFormat="1" ht="14.25" customHeight="1" x14ac:dyDescent="0.25">
      <c r="A4" s="1456"/>
      <c r="B4" s="965" t="s">
        <v>2088</v>
      </c>
      <c r="C4" s="1486"/>
      <c r="D4" s="1486"/>
      <c r="E4" s="1486"/>
      <c r="G4" s="1487"/>
      <c r="H4" s="1488"/>
      <c r="I4" s="1488"/>
    </row>
    <row r="5" spans="1:9" ht="15.75" thickBot="1" x14ac:dyDescent="0.3"/>
    <row r="6" spans="1:9" ht="63" customHeight="1" thickBot="1" x14ac:dyDescent="0.3">
      <c r="B6" s="1172" t="s">
        <v>756</v>
      </c>
      <c r="C6" s="1170" t="s">
        <v>4892</v>
      </c>
      <c r="D6" s="1171" t="s">
        <v>768</v>
      </c>
      <c r="E6" s="1170" t="s">
        <v>4968</v>
      </c>
      <c r="G6" s="1166"/>
    </row>
    <row r="7" spans="1:9" ht="17.25" customHeight="1" x14ac:dyDescent="0.25">
      <c r="B7" s="1169" t="s">
        <v>395</v>
      </c>
      <c r="C7" s="1168"/>
      <c r="D7" s="1178"/>
      <c r="E7" s="1168"/>
      <c r="F7" s="1167"/>
      <c r="G7" s="1166"/>
    </row>
    <row r="8" spans="1:9" x14ac:dyDescent="0.25">
      <c r="B8" s="2915" t="s">
        <v>767</v>
      </c>
      <c r="C8" s="3868">
        <v>137.6875</v>
      </c>
      <c r="D8" s="1156">
        <f>'NIR faktorer'!D724</f>
        <v>0.74711361403220999</v>
      </c>
      <c r="E8" s="1489">
        <f>IFERROR(C8*D8*44/28/1000,"NA")</f>
        <v>0.1616500375789513</v>
      </c>
      <c r="G8" s="1162"/>
      <c r="I8" s="1165"/>
    </row>
    <row r="9" spans="1:9" ht="15.75" thickBot="1" x14ac:dyDescent="0.3">
      <c r="B9" s="2916" t="s">
        <v>766</v>
      </c>
      <c r="C9" s="3869">
        <v>128.875</v>
      </c>
      <c r="D9" s="1164" t="str">
        <f>'NIR faktorer'!D725</f>
        <v>IE</v>
      </c>
      <c r="E9" s="1490" t="str">
        <f t="shared" ref="E9:E18" si="0">IFERROR(C9*D9*44/28/1000,"NA")</f>
        <v>NA</v>
      </c>
      <c r="G9" s="1162"/>
    </row>
    <row r="10" spans="1:9" x14ac:dyDescent="0.25">
      <c r="B10" s="1163" t="s">
        <v>254</v>
      </c>
      <c r="C10" s="1159"/>
      <c r="D10" s="1158"/>
      <c r="E10" s="1157"/>
      <c r="G10" s="1162"/>
    </row>
    <row r="11" spans="1:9" x14ac:dyDescent="0.25">
      <c r="B11" s="2915" t="s">
        <v>765</v>
      </c>
      <c r="C11" s="3868">
        <v>143.75</v>
      </c>
      <c r="D11" s="1156">
        <f>'NIR faktorer'!D727</f>
        <v>0.48160436946711999</v>
      </c>
      <c r="E11" s="1489">
        <f t="shared" si="0"/>
        <v>0.10879098703141192</v>
      </c>
    </row>
    <row r="12" spans="1:9" ht="15.75" thickBot="1" x14ac:dyDescent="0.3">
      <c r="B12" s="2917" t="s">
        <v>764</v>
      </c>
      <c r="C12" s="3870">
        <v>611.125</v>
      </c>
      <c r="D12" s="1155" t="str">
        <f>'NIR faktorer'!D728</f>
        <v>IE</v>
      </c>
      <c r="E12" s="1491" t="str">
        <f t="shared" si="0"/>
        <v>NA</v>
      </c>
    </row>
    <row r="13" spans="1:9" x14ac:dyDescent="0.25">
      <c r="B13" s="1161" t="s">
        <v>763</v>
      </c>
      <c r="C13" s="1159"/>
      <c r="D13" s="1158"/>
      <c r="E13" s="1157"/>
    </row>
    <row r="14" spans="1:9" ht="15.75" thickBot="1" x14ac:dyDescent="0.3">
      <c r="B14" s="643" t="s">
        <v>762</v>
      </c>
      <c r="C14" s="3870">
        <v>0.5</v>
      </c>
      <c r="D14" s="1155" t="str">
        <f>'NIR faktorer'!D730</f>
        <v>NO</v>
      </c>
      <c r="E14" s="1491" t="str">
        <f t="shared" si="0"/>
        <v>NA</v>
      </c>
    </row>
    <row r="15" spans="1:9" x14ac:dyDescent="0.25">
      <c r="B15" s="1160" t="s">
        <v>248</v>
      </c>
      <c r="C15" s="1159"/>
      <c r="D15" s="1158"/>
      <c r="E15" s="1157"/>
    </row>
    <row r="16" spans="1:9" x14ac:dyDescent="0.25">
      <c r="B16" s="2915" t="s">
        <v>761</v>
      </c>
      <c r="C16" s="3868">
        <v>3.125</v>
      </c>
      <c r="D16" s="1156">
        <f>'NIR faktorer'!D732</f>
        <v>0.65785690130520003</v>
      </c>
      <c r="E16" s="1489">
        <f t="shared" si="0"/>
        <v>3.230547283195179E-3</v>
      </c>
    </row>
    <row r="17" spans="2:7" x14ac:dyDescent="0.25">
      <c r="B17" s="2915" t="s">
        <v>760</v>
      </c>
      <c r="C17" s="3868">
        <v>25.8125</v>
      </c>
      <c r="D17" s="1156">
        <f>'NIR faktorer'!D733</f>
        <v>30.07938606414081</v>
      </c>
      <c r="E17" s="1489">
        <f t="shared" si="0"/>
        <v>1.2200950972267117</v>
      </c>
    </row>
    <row r="18" spans="2:7" ht="15.75" thickBot="1" x14ac:dyDescent="0.3">
      <c r="B18" s="2917" t="s">
        <v>759</v>
      </c>
      <c r="C18" s="3870">
        <v>0</v>
      </c>
      <c r="D18" s="1155">
        <f>'NIR faktorer'!D734</f>
        <v>9.0796875422414196</v>
      </c>
      <c r="E18" s="1491">
        <f t="shared" si="0"/>
        <v>0</v>
      </c>
    </row>
    <row r="19" spans="2:7" ht="15.75" thickBot="1" x14ac:dyDescent="0.3">
      <c r="B19" s="1154" t="s">
        <v>758</v>
      </c>
      <c r="C19" s="1153"/>
      <c r="D19" s="1152"/>
      <c r="E19" s="1151"/>
    </row>
    <row r="21" spans="2:7" x14ac:dyDescent="0.25">
      <c r="G21" s="1177"/>
    </row>
    <row r="22" spans="2:7" ht="69.75" customHeight="1" x14ac:dyDescent="0.25">
      <c r="B22" s="1012" t="s">
        <v>2257</v>
      </c>
      <c r="C22" s="1765" t="s">
        <v>1845</v>
      </c>
      <c r="D22" s="1765" t="str">
        <f>'NIR faktorer'!D737</f>
        <v xml:space="preserve"> NIR 2020 (2018) CRF tabel 4III</v>
      </c>
      <c r="E22" s="1765" t="s">
        <v>2418</v>
      </c>
    </row>
    <row r="23" spans="2:7" x14ac:dyDescent="0.25">
      <c r="B23" s="1010"/>
      <c r="C23" s="1165" t="s">
        <v>986</v>
      </c>
    </row>
    <row r="25" spans="2:7" x14ac:dyDescent="0.25">
      <c r="B25" s="1150" t="s">
        <v>2320</v>
      </c>
    </row>
    <row r="26" spans="2:7" x14ac:dyDescent="0.25">
      <c r="B26" s="1150" t="s">
        <v>2417</v>
      </c>
    </row>
    <row r="27" spans="2:7" x14ac:dyDescent="0.25">
      <c r="B27" s="1150" t="s">
        <v>2416</v>
      </c>
    </row>
  </sheetData>
  <hyperlinks>
    <hyperlink ref="A2" location="Index!A1" display="Til index" xr:uid="{DF9071DE-C737-4AF3-9C45-F0C70CEBCA40}"/>
  </hyperlinks>
  <pageMargins left="0.7" right="0.7" top="0.75" bottom="0.75" header="0.3" footer="0.3"/>
  <pageSetup paperSize="9" scale="53" fitToHeight="0" orientation="landscape" vertic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56FB7-9E58-44DB-A6FB-B7EB09478400}">
  <sheetPr codeName="Ark97">
    <tabColor theme="4" tint="-0.249977111117893"/>
    <pageSetUpPr fitToPage="1"/>
  </sheetPr>
  <dimension ref="A1:I27"/>
  <sheetViews>
    <sheetView showGridLines="0" zoomScale="70" zoomScaleNormal="70" workbookViewId="0">
      <selection activeCell="B32" sqref="B32"/>
    </sheetView>
  </sheetViews>
  <sheetFormatPr defaultColWidth="9.140625" defaultRowHeight="15" x14ac:dyDescent="0.25"/>
  <cols>
    <col min="1" max="1" width="26.7109375" style="1779" customWidth="1"/>
    <col min="2" max="2" width="54.7109375" style="1779" customWidth="1"/>
    <col min="3" max="3" width="24.28515625" style="1779" customWidth="1"/>
    <col min="4" max="4" width="17" style="1779" bestFit="1" customWidth="1"/>
    <col min="5" max="5" width="20.7109375" style="1779" customWidth="1"/>
    <col min="6" max="6" width="18.28515625" style="1779" customWidth="1"/>
    <col min="7" max="7" width="33.5703125" style="1779" customWidth="1"/>
    <col min="8" max="16384" width="9.140625" style="1779"/>
  </cols>
  <sheetData>
    <row r="1" spans="1:9" s="1866" customFormat="1" ht="46.5" customHeight="1" x14ac:dyDescent="0.45">
      <c r="B1" s="1176" t="s">
        <v>2419</v>
      </c>
      <c r="C1" s="1175"/>
      <c r="D1" s="1175"/>
      <c r="E1" s="1175"/>
      <c r="G1" s="2092"/>
      <c r="H1" s="2093"/>
      <c r="I1" s="2093"/>
    </row>
    <row r="2" spans="1:9" s="1777" customFormat="1" ht="21" x14ac:dyDescent="0.35">
      <c r="A2" s="1740" t="s">
        <v>4206</v>
      </c>
      <c r="B2" s="1485"/>
      <c r="C2" s="1486"/>
      <c r="D2" s="1486"/>
      <c r="E2" s="1486"/>
      <c r="G2" s="2094"/>
      <c r="H2" s="2095"/>
      <c r="I2" s="2095"/>
    </row>
    <row r="3" spans="1:9" s="1777" customFormat="1" ht="14.25" customHeight="1" x14ac:dyDescent="0.25">
      <c r="A3" s="2088"/>
      <c r="B3" s="1791" t="s">
        <v>1849</v>
      </c>
      <c r="C3" s="1486"/>
      <c r="D3" s="1486"/>
      <c r="E3" s="1486"/>
      <c r="G3" s="2094"/>
      <c r="H3" s="2095"/>
      <c r="I3" s="2095"/>
    </row>
    <row r="4" spans="1:9" s="1777" customFormat="1" ht="14.25" customHeight="1" x14ac:dyDescent="0.25">
      <c r="A4" s="1792"/>
      <c r="B4" s="1791" t="s">
        <v>2088</v>
      </c>
      <c r="C4" s="1486"/>
      <c r="D4" s="1486"/>
      <c r="E4" s="1486"/>
      <c r="G4" s="2094"/>
      <c r="H4" s="2095"/>
      <c r="I4" s="2095"/>
    </row>
    <row r="5" spans="1:9" ht="15.75" thickBot="1" x14ac:dyDescent="0.3"/>
    <row r="6" spans="1:9" ht="63" customHeight="1" thickBot="1" x14ac:dyDescent="0.3">
      <c r="B6" s="1172" t="s">
        <v>756</v>
      </c>
      <c r="C6" s="1170" t="s">
        <v>4892</v>
      </c>
      <c r="D6" s="1171" t="s">
        <v>768</v>
      </c>
      <c r="E6" s="1170" t="s">
        <v>4968</v>
      </c>
      <c r="G6" s="1166"/>
    </row>
    <row r="7" spans="1:9" ht="17.25" customHeight="1" x14ac:dyDescent="0.25">
      <c r="B7" s="1169" t="s">
        <v>395</v>
      </c>
      <c r="C7" s="1168"/>
      <c r="D7" s="1178"/>
      <c r="E7" s="1168"/>
      <c r="F7" s="1167"/>
      <c r="G7" s="1166"/>
    </row>
    <row r="8" spans="1:9" x14ac:dyDescent="0.25">
      <c r="B8" s="2915" t="s">
        <v>767</v>
      </c>
      <c r="C8" s="3868">
        <v>137.6875</v>
      </c>
      <c r="D8" s="1156">
        <f>'NIR faktorer'!D724</f>
        <v>0.74711361403220999</v>
      </c>
      <c r="E8" s="1489">
        <f>IFERROR(C8*D8*44/28/1000,"NA")</f>
        <v>0.1616500375789513</v>
      </c>
      <c r="G8" s="1162"/>
      <c r="I8" s="2096"/>
    </row>
    <row r="9" spans="1:9" ht="15.75" thickBot="1" x14ac:dyDescent="0.3">
      <c r="B9" s="2916" t="s">
        <v>766</v>
      </c>
      <c r="C9" s="3869">
        <v>128.875</v>
      </c>
      <c r="D9" s="1164" t="str">
        <f>'NIR faktorer'!D725</f>
        <v>IE</v>
      </c>
      <c r="E9" s="1490" t="str">
        <f t="shared" ref="E9:E18" si="0">IFERROR(C9*D9*44/28/1000,"NA")</f>
        <v>NA</v>
      </c>
      <c r="G9" s="1162"/>
    </row>
    <row r="10" spans="1:9" x14ac:dyDescent="0.25">
      <c r="B10" s="1163" t="s">
        <v>254</v>
      </c>
      <c r="C10" s="1159"/>
      <c r="D10" s="1158"/>
      <c r="E10" s="1157"/>
      <c r="G10" s="1162"/>
    </row>
    <row r="11" spans="1:9" x14ac:dyDescent="0.25">
      <c r="B11" s="2915" t="s">
        <v>765</v>
      </c>
      <c r="C11" s="3868">
        <v>143.75</v>
      </c>
      <c r="D11" s="1156">
        <f>'NIR faktorer'!D727</f>
        <v>0.48160436946711999</v>
      </c>
      <c r="E11" s="1489">
        <f t="shared" si="0"/>
        <v>0.10879098703141192</v>
      </c>
    </row>
    <row r="12" spans="1:9" ht="15.75" thickBot="1" x14ac:dyDescent="0.3">
      <c r="B12" s="2917" t="s">
        <v>764</v>
      </c>
      <c r="C12" s="3870">
        <v>611.125</v>
      </c>
      <c r="D12" s="1155" t="str">
        <f>'NIR faktorer'!D728</f>
        <v>IE</v>
      </c>
      <c r="E12" s="1491" t="str">
        <f t="shared" si="0"/>
        <v>NA</v>
      </c>
    </row>
    <row r="13" spans="1:9" x14ac:dyDescent="0.25">
      <c r="B13" s="1161" t="s">
        <v>763</v>
      </c>
      <c r="C13" s="1159"/>
      <c r="D13" s="1158"/>
      <c r="E13" s="1157"/>
    </row>
    <row r="14" spans="1:9" ht="15.75" thickBot="1" x14ac:dyDescent="0.3">
      <c r="B14" s="643" t="s">
        <v>762</v>
      </c>
      <c r="C14" s="3870">
        <v>0.5</v>
      </c>
      <c r="D14" s="1155" t="str">
        <f>'NIR faktorer'!D730</f>
        <v>NO</v>
      </c>
      <c r="E14" s="1491" t="str">
        <f t="shared" si="0"/>
        <v>NA</v>
      </c>
    </row>
    <row r="15" spans="1:9" x14ac:dyDescent="0.25">
      <c r="B15" s="1160" t="s">
        <v>248</v>
      </c>
      <c r="C15" s="1159"/>
      <c r="D15" s="1158"/>
      <c r="E15" s="1157"/>
    </row>
    <row r="16" spans="1:9" x14ac:dyDescent="0.25">
      <c r="B16" s="2915" t="s">
        <v>761</v>
      </c>
      <c r="C16" s="3868">
        <v>3.125</v>
      </c>
      <c r="D16" s="1156">
        <f>'NIR faktorer'!D732</f>
        <v>0.65785690130520003</v>
      </c>
      <c r="E16" s="1489">
        <f t="shared" si="0"/>
        <v>3.230547283195179E-3</v>
      </c>
    </row>
    <row r="17" spans="2:7" x14ac:dyDescent="0.25">
      <c r="B17" s="2915" t="s">
        <v>760</v>
      </c>
      <c r="C17" s="3868">
        <v>25.8125</v>
      </c>
      <c r="D17" s="1156">
        <f>'NIR faktorer'!D733</f>
        <v>30.07938606414081</v>
      </c>
      <c r="E17" s="1489">
        <f t="shared" si="0"/>
        <v>1.2200950972267117</v>
      </c>
    </row>
    <row r="18" spans="2:7" ht="15.75" thickBot="1" x14ac:dyDescent="0.3">
      <c r="B18" s="2917" t="s">
        <v>759</v>
      </c>
      <c r="C18" s="3870">
        <v>0</v>
      </c>
      <c r="D18" s="1155">
        <f>'NIR faktorer'!D734</f>
        <v>9.0796875422414196</v>
      </c>
      <c r="E18" s="1491">
        <f t="shared" si="0"/>
        <v>0</v>
      </c>
    </row>
    <row r="19" spans="2:7" ht="15.75" thickBot="1" x14ac:dyDescent="0.3">
      <c r="B19" s="1154" t="s">
        <v>758</v>
      </c>
      <c r="C19" s="1153"/>
      <c r="D19" s="1152"/>
      <c r="E19" s="1151"/>
    </row>
    <row r="21" spans="2:7" x14ac:dyDescent="0.25">
      <c r="G21" s="1177"/>
    </row>
    <row r="22" spans="2:7" ht="69.75" customHeight="1" x14ac:dyDescent="0.25">
      <c r="B22" s="1012" t="s">
        <v>2257</v>
      </c>
      <c r="C22" s="1765" t="s">
        <v>1845</v>
      </c>
      <c r="D22" s="1765" t="str">
        <f>'NIR faktorer'!D737</f>
        <v xml:space="preserve"> NIR 2020 (2018) CRF tabel 4III</v>
      </c>
      <c r="E22" s="1765" t="s">
        <v>2418</v>
      </c>
    </row>
    <row r="23" spans="2:7" x14ac:dyDescent="0.25">
      <c r="B23" s="1010"/>
      <c r="C23" s="2096" t="s">
        <v>986</v>
      </c>
    </row>
    <row r="25" spans="2:7" x14ac:dyDescent="0.25">
      <c r="B25" s="1150" t="s">
        <v>2320</v>
      </c>
    </row>
    <row r="26" spans="2:7" x14ac:dyDescent="0.25">
      <c r="B26" s="1150" t="s">
        <v>2417</v>
      </c>
    </row>
    <row r="27" spans="2:7" x14ac:dyDescent="0.25">
      <c r="B27" s="1150" t="s">
        <v>2416</v>
      </c>
    </row>
  </sheetData>
  <hyperlinks>
    <hyperlink ref="A2" location="Index!A1" display="Til index" xr:uid="{5D4DF9DF-AF3B-42DE-A4E1-19849C297D40}"/>
  </hyperlinks>
  <pageMargins left="0.7" right="0.7" top="0.75" bottom="0.75" header="0.3" footer="0.3"/>
  <pageSetup paperSize="9" scale="53" fitToHeight="0" orientation="landscape" vertic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8B119-21E7-4894-B483-4FFB02736DED}">
  <sheetPr codeName="Ark144">
    <tabColor theme="4" tint="0.59999389629810485"/>
  </sheetPr>
  <dimension ref="A1:J37"/>
  <sheetViews>
    <sheetView showGridLines="0" zoomScale="85" zoomScaleNormal="85" workbookViewId="0">
      <selection activeCell="B10" sqref="B10"/>
    </sheetView>
  </sheetViews>
  <sheetFormatPr defaultColWidth="9.140625" defaultRowHeight="15" x14ac:dyDescent="0.25"/>
  <cols>
    <col min="1" max="1" width="47" style="992" customWidth="1"/>
    <col min="2" max="2" width="19.42578125" style="992" customWidth="1"/>
    <col min="3" max="3" width="18.7109375" style="992" bestFit="1" customWidth="1"/>
    <col min="4" max="16384" width="9.140625" style="992"/>
  </cols>
  <sheetData>
    <row r="1" spans="1:10" s="1006" customFormat="1" ht="44.45" customHeight="1" x14ac:dyDescent="0.35">
      <c r="B1" s="1007" t="s">
        <v>2425</v>
      </c>
    </row>
    <row r="2" spans="1:10" ht="21" x14ac:dyDescent="0.35">
      <c r="A2" s="1740" t="s">
        <v>4206</v>
      </c>
      <c r="B2" s="1485"/>
    </row>
    <row r="3" spans="1:10" x14ac:dyDescent="0.25">
      <c r="A3" s="964"/>
      <c r="B3" s="965" t="s">
        <v>1849</v>
      </c>
    </row>
    <row r="4" spans="1:10" x14ac:dyDescent="0.25">
      <c r="A4" s="1456"/>
      <c r="B4" s="965" t="s">
        <v>2088</v>
      </c>
    </row>
    <row r="5" spans="1:10" ht="21.75" thickBot="1" x14ac:dyDescent="0.4">
      <c r="A5" s="1196"/>
    </row>
    <row r="6" spans="1:10" ht="15.75" thickBot="1" x14ac:dyDescent="0.3">
      <c r="C6" s="5313" t="s">
        <v>2424</v>
      </c>
      <c r="D6" s="5314"/>
      <c r="E6" s="5315"/>
      <c r="F6" s="5321" t="s">
        <v>2423</v>
      </c>
      <c r="G6" s="5322"/>
      <c r="H6" s="5323"/>
    </row>
    <row r="7" spans="1:10" ht="18.75" thickBot="1" x14ac:dyDescent="0.3">
      <c r="A7" s="1195"/>
      <c r="B7" s="1194"/>
      <c r="C7" s="2938" t="s">
        <v>2553</v>
      </c>
      <c r="D7" s="2939" t="s">
        <v>2552</v>
      </c>
      <c r="E7" s="2940" t="s">
        <v>2556</v>
      </c>
      <c r="F7" s="2938" t="s">
        <v>2553</v>
      </c>
      <c r="G7" s="2939" t="s">
        <v>2552</v>
      </c>
      <c r="H7" s="4083" t="s">
        <v>2556</v>
      </c>
    </row>
    <row r="8" spans="1:10" ht="15.75" thickBot="1" x14ac:dyDescent="0.3">
      <c r="A8" s="1193" t="s">
        <v>756</v>
      </c>
      <c r="B8" s="2918" t="s">
        <v>392</v>
      </c>
      <c r="C8" s="5316" t="s">
        <v>4899</v>
      </c>
      <c r="D8" s="5317"/>
      <c r="E8" s="5318"/>
      <c r="F8" s="5316" t="s">
        <v>226</v>
      </c>
      <c r="G8" s="5317"/>
      <c r="H8" s="5319"/>
    </row>
    <row r="9" spans="1:10" ht="15.75" thickBot="1" x14ac:dyDescent="0.3">
      <c r="A9" s="1192" t="s">
        <v>755</v>
      </c>
      <c r="B9" s="1191" t="s">
        <v>986</v>
      </c>
      <c r="C9" s="1190" t="str">
        <f>'NIR faktorer'!D742</f>
        <v>NO,IE</v>
      </c>
      <c r="D9" s="1189">
        <f>'NIR faktorer'!D745</f>
        <v>1.6698</v>
      </c>
      <c r="E9" s="1188" t="str">
        <f>'NIR faktorer'!D748</f>
        <v>0,15246</v>
      </c>
      <c r="F9" s="1134" t="s">
        <v>1366</v>
      </c>
      <c r="G9" s="1133">
        <f>SUM(G10:G11)</f>
        <v>0</v>
      </c>
      <c r="H9" s="1132">
        <f>SUM(H10:H11)</f>
        <v>0</v>
      </c>
    </row>
    <row r="10" spans="1:10" ht="17.25" x14ac:dyDescent="0.25">
      <c r="A10" s="2919" t="s">
        <v>4900</v>
      </c>
      <c r="B10" s="3873" t="s">
        <v>4747</v>
      </c>
      <c r="C10" s="2709" t="str">
        <f>'NIR faktorer'!D743</f>
        <v>IE</v>
      </c>
      <c r="D10" s="4059" t="str">
        <f>'NIR faktorer'!D746</f>
        <v>1,6698</v>
      </c>
      <c r="E10" s="4084" t="str">
        <f>'NIR faktorer'!D749</f>
        <v>0,15246</v>
      </c>
      <c r="F10" s="2709" t="s">
        <v>455</v>
      </c>
      <c r="G10" s="4059" t="str">
        <f>IFERROR(SUM(B10*D10),"NR")</f>
        <v>NR</v>
      </c>
      <c r="H10" s="2710" t="str">
        <f>IFERROR(SUM($B$10*E10),"NR")</f>
        <v>NR</v>
      </c>
    </row>
    <row r="11" spans="1:10" s="1184" customFormat="1" ht="18.75" thickBot="1" x14ac:dyDescent="0.3">
      <c r="A11" s="2920" t="s">
        <v>4901</v>
      </c>
      <c r="B11" s="3874" t="s">
        <v>4747</v>
      </c>
      <c r="C11" s="1187" t="str">
        <f>'NIR faktorer'!D744</f>
        <v>NO</v>
      </c>
      <c r="D11" s="4085" t="str">
        <f>'NIR faktorer'!D747</f>
        <v>1,6698</v>
      </c>
      <c r="E11" s="4086" t="str">
        <f>'NIR faktorer'!D750</f>
        <v>0,15246</v>
      </c>
      <c r="F11" s="995" t="s">
        <v>1366</v>
      </c>
      <c r="G11" s="2711" t="str">
        <f>IFERROR(SUM(B11*D11),"NR")</f>
        <v>NR</v>
      </c>
      <c r="H11" s="2712" t="str">
        <f>IFERROR(SUM($B$11*E11),"NR")</f>
        <v>NR</v>
      </c>
      <c r="I11" s="1185"/>
    </row>
    <row r="12" spans="1:10" s="1184" customFormat="1" ht="18" x14ac:dyDescent="0.25">
      <c r="A12" s="1186"/>
      <c r="I12" s="1185"/>
    </row>
    <row r="13" spans="1:10" s="1766" customFormat="1" ht="51.75" customHeight="1" x14ac:dyDescent="0.2">
      <c r="A13" s="1183" t="s">
        <v>2042</v>
      </c>
      <c r="B13" s="1765" t="s">
        <v>4935</v>
      </c>
      <c r="C13" s="5320" t="str">
        <f>'NIR faktorer'!D752</f>
        <v xml:space="preserve"> NIR 2020 (2018) CRF tabel 4V</v>
      </c>
      <c r="D13" s="5320"/>
      <c r="E13" s="5320"/>
      <c r="F13" s="5320" t="s">
        <v>2422</v>
      </c>
      <c r="G13" s="5320"/>
      <c r="H13" s="5320"/>
      <c r="I13" s="1182"/>
      <c r="J13" s="1182"/>
    </row>
    <row r="14" spans="1:10" ht="18" x14ac:dyDescent="0.25">
      <c r="A14" s="1181"/>
      <c r="B14" s="1180"/>
      <c r="C14" s="1180"/>
      <c r="D14" s="1180"/>
      <c r="E14" s="1180"/>
      <c r="F14" s="1180"/>
      <c r="G14" s="1180"/>
      <c r="H14" s="1180"/>
      <c r="I14" s="1179"/>
      <c r="J14" s="1179"/>
    </row>
    <row r="15" spans="1:10" x14ac:dyDescent="0.25">
      <c r="A15" s="1010" t="s">
        <v>2421</v>
      </c>
      <c r="B15" s="1010"/>
      <c r="C15" s="1010"/>
      <c r="D15" s="1010"/>
      <c r="E15" s="1010"/>
      <c r="F15" s="1010"/>
      <c r="G15" s="1010"/>
      <c r="H15" s="1010"/>
    </row>
    <row r="16" spans="1:10" x14ac:dyDescent="0.25">
      <c r="A16" s="1010" t="s">
        <v>2420</v>
      </c>
      <c r="B16" s="1010"/>
      <c r="C16" s="1010"/>
      <c r="D16" s="1010"/>
      <c r="E16" s="1010"/>
      <c r="F16" s="1010"/>
      <c r="G16" s="1010"/>
      <c r="H16" s="1010"/>
      <c r="I16" s="1008"/>
    </row>
    <row r="17" spans="1:9" x14ac:dyDescent="0.25">
      <c r="A17" s="1008"/>
      <c r="B17" s="1008"/>
      <c r="C17" s="1008"/>
      <c r="D17" s="1008"/>
      <c r="E17" s="1008"/>
      <c r="F17" s="1008"/>
      <c r="G17" s="1008"/>
      <c r="H17" s="1008"/>
      <c r="I17" s="1008"/>
    </row>
    <row r="18" spans="1:9" x14ac:dyDescent="0.25">
      <c r="A18" s="1008"/>
      <c r="B18" s="1008"/>
      <c r="C18" s="1008"/>
      <c r="D18" s="1008"/>
      <c r="E18" s="1008"/>
      <c r="F18" s="1008"/>
      <c r="G18" s="1008"/>
      <c r="H18" s="1008"/>
      <c r="I18" s="1008"/>
    </row>
    <row r="19" spans="1:9" x14ac:dyDescent="0.25">
      <c r="A19" s="1008"/>
      <c r="B19" s="1008"/>
      <c r="C19" s="1008"/>
      <c r="D19" s="1008"/>
      <c r="E19" s="1008"/>
      <c r="F19" s="1008"/>
      <c r="G19" s="1008"/>
      <c r="H19" s="1008"/>
      <c r="I19" s="1008"/>
    </row>
    <row r="20" spans="1:9" x14ac:dyDescent="0.25">
      <c r="A20" s="1008"/>
      <c r="B20" s="1008"/>
      <c r="C20" s="1008"/>
      <c r="D20" s="1008"/>
      <c r="E20" s="1008"/>
      <c r="F20" s="1008"/>
      <c r="G20" s="1008"/>
      <c r="H20" s="1008"/>
      <c r="I20" s="1008"/>
    </row>
    <row r="21" spans="1:9" x14ac:dyDescent="0.25">
      <c r="A21" s="1008"/>
      <c r="B21" s="1008"/>
      <c r="C21" s="1008"/>
      <c r="D21" s="1008"/>
      <c r="E21" s="1008"/>
      <c r="F21" s="1008"/>
      <c r="G21" s="1008"/>
      <c r="H21" s="1008"/>
      <c r="I21" s="1008"/>
    </row>
    <row r="22" spans="1:9" x14ac:dyDescent="0.25">
      <c r="A22" s="1008"/>
      <c r="B22" s="1008"/>
      <c r="C22" s="1008"/>
      <c r="D22" s="1008"/>
      <c r="E22" s="1008"/>
      <c r="F22" s="1008"/>
      <c r="G22" s="1008"/>
      <c r="H22" s="1008"/>
      <c r="I22" s="1008"/>
    </row>
    <row r="23" spans="1:9" x14ac:dyDescent="0.25">
      <c r="A23" s="1008"/>
      <c r="B23" s="1008"/>
      <c r="C23" s="1008"/>
      <c r="D23" s="1008"/>
      <c r="E23" s="1008"/>
      <c r="F23" s="1008"/>
      <c r="G23" s="1008"/>
      <c r="H23" s="1008"/>
      <c r="I23" s="1008"/>
    </row>
    <row r="24" spans="1:9" x14ac:dyDescent="0.25">
      <c r="A24" s="1008"/>
      <c r="B24" s="1008"/>
      <c r="C24" s="1008"/>
      <c r="D24" s="1008"/>
      <c r="E24" s="1008"/>
      <c r="F24" s="1008"/>
      <c r="G24" s="1008"/>
      <c r="H24" s="1008"/>
      <c r="I24" s="1008"/>
    </row>
    <row r="25" spans="1:9" x14ac:dyDescent="0.25">
      <c r="A25" s="1008"/>
      <c r="B25" s="1008"/>
      <c r="C25" s="1008"/>
      <c r="D25" s="1008"/>
      <c r="E25" s="1008"/>
      <c r="F25" s="1008"/>
      <c r="G25" s="1008"/>
      <c r="H25" s="1008"/>
      <c r="I25" s="1008"/>
    </row>
    <row r="26" spans="1:9" x14ac:dyDescent="0.25">
      <c r="A26" s="1008"/>
      <c r="B26" s="1008"/>
      <c r="C26" s="1008"/>
      <c r="D26" s="1008"/>
      <c r="E26" s="1008"/>
      <c r="F26" s="1008"/>
      <c r="G26" s="1008"/>
      <c r="H26" s="1008"/>
      <c r="I26" s="1008"/>
    </row>
    <row r="27" spans="1:9" x14ac:dyDescent="0.25">
      <c r="A27" s="1008"/>
      <c r="B27" s="1008"/>
      <c r="C27" s="1008"/>
      <c r="D27" s="1008"/>
      <c r="E27" s="1008"/>
      <c r="F27" s="1008"/>
      <c r="G27" s="1008"/>
      <c r="H27" s="1008"/>
      <c r="I27" s="1008"/>
    </row>
    <row r="28" spans="1:9" x14ac:dyDescent="0.25">
      <c r="A28" s="1008"/>
      <c r="B28" s="1008"/>
      <c r="C28" s="1008"/>
      <c r="D28" s="1008"/>
      <c r="E28" s="1008"/>
      <c r="F28" s="1008"/>
      <c r="G28" s="1008"/>
      <c r="H28" s="1008"/>
      <c r="I28" s="1008"/>
    </row>
    <row r="29" spans="1:9" x14ac:dyDescent="0.25">
      <c r="A29" s="1008"/>
      <c r="B29" s="1008"/>
      <c r="C29" s="1008"/>
      <c r="D29" s="1008"/>
      <c r="E29" s="1008"/>
      <c r="F29" s="1008"/>
      <c r="G29" s="1008"/>
      <c r="H29" s="1008"/>
      <c r="I29" s="1008"/>
    </row>
    <row r="30" spans="1:9" x14ac:dyDescent="0.25">
      <c r="A30" s="1008"/>
      <c r="B30" s="1008"/>
      <c r="C30" s="1008"/>
      <c r="D30" s="1008"/>
      <c r="E30" s="1008"/>
      <c r="F30" s="1008"/>
      <c r="G30" s="1008"/>
      <c r="H30" s="1008"/>
      <c r="I30" s="1008"/>
    </row>
    <row r="31" spans="1:9" x14ac:dyDescent="0.25">
      <c r="A31" s="1008"/>
      <c r="B31" s="1008"/>
      <c r="C31" s="1008"/>
      <c r="D31" s="1008"/>
      <c r="E31" s="1008"/>
      <c r="F31" s="1008"/>
      <c r="G31" s="1008"/>
      <c r="H31" s="1008"/>
      <c r="I31" s="1008"/>
    </row>
    <row r="32" spans="1:9" x14ac:dyDescent="0.25">
      <c r="A32" s="1008"/>
      <c r="B32" s="1008"/>
      <c r="C32" s="1008"/>
      <c r="D32" s="1008"/>
      <c r="E32" s="1008"/>
      <c r="F32" s="1008"/>
      <c r="G32" s="1008"/>
      <c r="H32" s="1008"/>
      <c r="I32" s="1008"/>
    </row>
    <row r="33" spans="1:9" x14ac:dyDescent="0.25">
      <c r="A33" s="1008"/>
      <c r="B33" s="1008"/>
      <c r="C33" s="1008"/>
      <c r="D33" s="1008"/>
      <c r="E33" s="1008"/>
      <c r="F33" s="1008"/>
      <c r="G33" s="1008"/>
      <c r="H33" s="1008"/>
      <c r="I33" s="1008"/>
    </row>
    <row r="34" spans="1:9" x14ac:dyDescent="0.25">
      <c r="A34" s="1008"/>
      <c r="B34" s="1008"/>
      <c r="C34" s="1008"/>
      <c r="D34" s="1008"/>
      <c r="E34" s="1008"/>
      <c r="F34" s="1008"/>
      <c r="G34" s="1008"/>
      <c r="H34" s="1008"/>
      <c r="I34" s="1008"/>
    </row>
    <row r="35" spans="1:9" x14ac:dyDescent="0.25">
      <c r="A35" s="1008"/>
      <c r="B35" s="1008"/>
      <c r="C35" s="1008"/>
      <c r="D35" s="1008"/>
      <c r="E35" s="1008"/>
      <c r="F35" s="1008"/>
      <c r="G35" s="1008"/>
      <c r="H35" s="1008"/>
      <c r="I35" s="1008"/>
    </row>
    <row r="36" spans="1:9" x14ac:dyDescent="0.25">
      <c r="A36" s="1008"/>
      <c r="B36" s="1008"/>
      <c r="C36" s="1008"/>
      <c r="D36" s="1008"/>
      <c r="E36" s="1008"/>
      <c r="F36" s="1008"/>
      <c r="G36" s="1008"/>
      <c r="H36" s="1008"/>
      <c r="I36" s="1008"/>
    </row>
    <row r="37" spans="1:9" x14ac:dyDescent="0.25">
      <c r="A37" s="1008"/>
      <c r="B37" s="1008"/>
      <c r="C37" s="1008"/>
      <c r="D37" s="1008"/>
      <c r="E37" s="1008"/>
      <c r="F37" s="1008"/>
      <c r="G37" s="1008"/>
      <c r="H37" s="1008"/>
      <c r="I37" s="1008"/>
    </row>
  </sheetData>
  <mergeCells count="6">
    <mergeCell ref="C6:E6"/>
    <mergeCell ref="C8:E8"/>
    <mergeCell ref="F8:H8"/>
    <mergeCell ref="C13:E13"/>
    <mergeCell ref="F13:H13"/>
    <mergeCell ref="F6:H6"/>
  </mergeCells>
  <hyperlinks>
    <hyperlink ref="A2" location="Index!A1" display="Til index" xr:uid="{42942464-8B82-4D03-8DB0-FE86E8154D30}"/>
  </hyperlinks>
  <pageMargins left="0.7" right="0.7" top="0.75" bottom="0.75" header="0.3" footer="0.3"/>
  <pageSetup paperSize="9" orientation="portrait" horizontalDpi="1200" verticalDpi="12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D90A4-28FB-4B56-94DA-6441F9003A04}">
  <sheetPr codeName="Ark98">
    <tabColor theme="4" tint="-0.249977111117893"/>
  </sheetPr>
  <dimension ref="A1:J37"/>
  <sheetViews>
    <sheetView showGridLines="0" zoomScale="70" zoomScaleNormal="70" workbookViewId="0">
      <selection activeCell="A2" sqref="A2"/>
    </sheetView>
  </sheetViews>
  <sheetFormatPr defaultColWidth="9.140625" defaultRowHeight="15" x14ac:dyDescent="0.25"/>
  <cols>
    <col min="1" max="1" width="47" style="1777" customWidth="1"/>
    <col min="2" max="2" width="19.42578125" style="1777" customWidth="1"/>
    <col min="3" max="3" width="18.7109375" style="1777" bestFit="1" customWidth="1"/>
    <col min="4" max="16384" width="9.140625" style="1777"/>
  </cols>
  <sheetData>
    <row r="1" spans="1:10" s="1866" customFormat="1" ht="44.45" customHeight="1" x14ac:dyDescent="0.35">
      <c r="B1" s="1007" t="s">
        <v>2425</v>
      </c>
    </row>
    <row r="2" spans="1:10" ht="21" x14ac:dyDescent="0.35">
      <c r="A2" s="1740" t="s">
        <v>4206</v>
      </c>
      <c r="B2" s="1485"/>
    </row>
    <row r="3" spans="1:10" x14ac:dyDescent="0.25">
      <c r="A3" s="2088"/>
      <c r="B3" s="1791" t="s">
        <v>1849</v>
      </c>
    </row>
    <row r="4" spans="1:10" x14ac:dyDescent="0.25">
      <c r="A4" s="1792"/>
      <c r="B4" s="1791" t="s">
        <v>2088</v>
      </c>
    </row>
    <row r="5" spans="1:10" ht="21.75" thickBot="1" x14ac:dyDescent="0.4">
      <c r="A5" s="1196"/>
    </row>
    <row r="6" spans="1:10" ht="15.75" thickBot="1" x14ac:dyDescent="0.3">
      <c r="C6" s="5313" t="s">
        <v>2424</v>
      </c>
      <c r="D6" s="5314"/>
      <c r="E6" s="5315"/>
      <c r="F6" s="5321" t="s">
        <v>2423</v>
      </c>
      <c r="G6" s="5322"/>
      <c r="H6" s="5323"/>
    </row>
    <row r="7" spans="1:10" ht="18.75" thickBot="1" x14ac:dyDescent="0.3">
      <c r="A7" s="1195"/>
      <c r="B7" s="1194"/>
      <c r="C7" s="2938" t="s">
        <v>2553</v>
      </c>
      <c r="D7" s="2939" t="s">
        <v>2552</v>
      </c>
      <c r="E7" s="2940" t="s">
        <v>2556</v>
      </c>
      <c r="F7" s="2938" t="s">
        <v>2553</v>
      </c>
      <c r="G7" s="2939" t="s">
        <v>2552</v>
      </c>
      <c r="H7" s="4083" t="s">
        <v>2556</v>
      </c>
    </row>
    <row r="8" spans="1:10" ht="15.75" thickBot="1" x14ac:dyDescent="0.3">
      <c r="A8" s="1193" t="s">
        <v>756</v>
      </c>
      <c r="B8" s="2918" t="s">
        <v>392</v>
      </c>
      <c r="C8" s="5316" t="s">
        <v>4899</v>
      </c>
      <c r="D8" s="5317"/>
      <c r="E8" s="5318"/>
      <c r="F8" s="5316" t="s">
        <v>226</v>
      </c>
      <c r="G8" s="5317"/>
      <c r="H8" s="5319"/>
    </row>
    <row r="9" spans="1:10" ht="15.75" thickBot="1" x14ac:dyDescent="0.3">
      <c r="A9" s="1192" t="s">
        <v>755</v>
      </c>
      <c r="B9" s="1191" t="s">
        <v>986</v>
      </c>
      <c r="C9" s="1190" t="str">
        <f>'NIR faktorer'!D742</f>
        <v>NO,IE</v>
      </c>
      <c r="D9" s="1189">
        <f>'NIR faktorer'!D745</f>
        <v>1.6698</v>
      </c>
      <c r="E9" s="1188" t="str">
        <f>'NIR faktorer'!D748</f>
        <v>0,15246</v>
      </c>
      <c r="F9" s="1190" t="s">
        <v>1366</v>
      </c>
      <c r="G9" s="1189">
        <f>SUM(G10:G11)</f>
        <v>0</v>
      </c>
      <c r="H9" s="4018">
        <f>SUM(H10:H11)</f>
        <v>0</v>
      </c>
    </row>
    <row r="10" spans="1:10" ht="17.25" x14ac:dyDescent="0.25">
      <c r="A10" s="2919" t="s">
        <v>4900</v>
      </c>
      <c r="B10" s="3875">
        <v>0</v>
      </c>
      <c r="C10" s="2709" t="str">
        <f>'NIR faktorer'!D743</f>
        <v>IE</v>
      </c>
      <c r="D10" s="4059" t="str">
        <f>'NIR faktorer'!D746</f>
        <v>1,6698</v>
      </c>
      <c r="E10" s="4084" t="str">
        <f>'NIR faktorer'!D749</f>
        <v>0,15246</v>
      </c>
      <c r="F10" s="2709" t="s">
        <v>455</v>
      </c>
      <c r="G10" s="4059">
        <f>SUM(B10*D10)</f>
        <v>0</v>
      </c>
      <c r="H10" s="2710">
        <f>SUM(B10*E10)</f>
        <v>0</v>
      </c>
    </row>
    <row r="11" spans="1:10" s="1184" customFormat="1" ht="18.75" thickBot="1" x14ac:dyDescent="0.3">
      <c r="A11" s="2920" t="s">
        <v>4901</v>
      </c>
      <c r="B11" s="3876">
        <v>0</v>
      </c>
      <c r="C11" s="2097" t="str">
        <f>'NIR faktorer'!D744</f>
        <v>NO</v>
      </c>
      <c r="D11" s="4087" t="str">
        <f>'NIR faktorer'!D747</f>
        <v>1,6698</v>
      </c>
      <c r="E11" s="4088" t="str">
        <f>'NIR faktorer'!D750</f>
        <v>0,15246</v>
      </c>
      <c r="F11" s="1872" t="s">
        <v>1366</v>
      </c>
      <c r="G11" s="2711">
        <f>SUM(B11*D11)</f>
        <v>0</v>
      </c>
      <c r="H11" s="2712">
        <f>SUM(B11*E11)</f>
        <v>0</v>
      </c>
      <c r="I11" s="1185"/>
    </row>
    <row r="12" spans="1:10" s="1184" customFormat="1" ht="18" x14ac:dyDescent="0.25">
      <c r="A12" s="1186"/>
      <c r="I12" s="1185"/>
    </row>
    <row r="13" spans="1:10" s="1766" customFormat="1" ht="51.75" customHeight="1" x14ac:dyDescent="0.2">
      <c r="A13" s="1183" t="s">
        <v>2042</v>
      </c>
      <c r="B13" s="1765" t="s">
        <v>4935</v>
      </c>
      <c r="C13" s="5320" t="str">
        <f>'NIR faktorer'!D752</f>
        <v xml:space="preserve"> NIR 2020 (2018) CRF tabel 4V</v>
      </c>
      <c r="D13" s="5320"/>
      <c r="E13" s="5320"/>
      <c r="F13" s="5320" t="s">
        <v>2422</v>
      </c>
      <c r="G13" s="5320"/>
      <c r="H13" s="5320"/>
      <c r="I13" s="1182"/>
      <c r="J13" s="1182"/>
    </row>
    <row r="14" spans="1:10" ht="18" x14ac:dyDescent="0.25">
      <c r="A14" s="1181"/>
      <c r="B14" s="1180"/>
      <c r="C14" s="1180"/>
      <c r="D14" s="1180"/>
      <c r="E14" s="1180"/>
      <c r="F14" s="1180"/>
      <c r="G14" s="1180"/>
      <c r="H14" s="1180"/>
      <c r="I14" s="1179"/>
      <c r="J14" s="1179"/>
    </row>
    <row r="15" spans="1:10" x14ac:dyDescent="0.25">
      <c r="A15" s="1010" t="s">
        <v>2421</v>
      </c>
      <c r="B15" s="1010"/>
      <c r="C15" s="1010"/>
      <c r="D15" s="1010"/>
      <c r="E15" s="1010"/>
      <c r="F15" s="1010"/>
      <c r="G15" s="1010"/>
      <c r="H15" s="1010"/>
    </row>
    <row r="16" spans="1:10" x14ac:dyDescent="0.25">
      <c r="A16" s="1010" t="s">
        <v>2420</v>
      </c>
      <c r="B16" s="1010"/>
      <c r="C16" s="1010"/>
      <c r="D16" s="1010"/>
      <c r="E16" s="1010"/>
      <c r="F16" s="1010"/>
      <c r="G16" s="1010"/>
      <c r="H16" s="1010"/>
      <c r="I16" s="1779"/>
    </row>
    <row r="17" spans="1:9" x14ac:dyDescent="0.25">
      <c r="A17" s="1779"/>
      <c r="B17" s="1779"/>
      <c r="C17" s="1779"/>
      <c r="D17" s="1779"/>
      <c r="E17" s="1779"/>
      <c r="F17" s="1779"/>
      <c r="G17" s="1779"/>
      <c r="H17" s="1779"/>
      <c r="I17" s="1779"/>
    </row>
    <row r="18" spans="1:9" x14ac:dyDescent="0.25">
      <c r="A18" s="1779"/>
      <c r="B18" s="1779"/>
      <c r="C18" s="1779"/>
      <c r="D18" s="1779"/>
      <c r="E18" s="1779"/>
      <c r="F18" s="1779"/>
      <c r="G18" s="1779"/>
      <c r="H18" s="1779"/>
      <c r="I18" s="1779"/>
    </row>
    <row r="19" spans="1:9" x14ac:dyDescent="0.25">
      <c r="A19" s="1779"/>
      <c r="B19" s="1779"/>
      <c r="C19" s="1779"/>
      <c r="D19" s="1779"/>
      <c r="E19" s="1779"/>
      <c r="F19" s="1779"/>
      <c r="G19" s="1779"/>
      <c r="H19" s="1779"/>
      <c r="I19" s="1779"/>
    </row>
    <row r="20" spans="1:9" x14ac:dyDescent="0.25">
      <c r="A20" s="1779"/>
      <c r="B20" s="1779"/>
      <c r="C20" s="1779"/>
      <c r="D20" s="1779"/>
      <c r="E20" s="1779"/>
      <c r="F20" s="1779"/>
      <c r="G20" s="1779"/>
      <c r="H20" s="1779"/>
      <c r="I20" s="1779"/>
    </row>
    <row r="21" spans="1:9" x14ac:dyDescent="0.25">
      <c r="A21" s="1779"/>
      <c r="B21" s="1779"/>
      <c r="C21" s="1779"/>
      <c r="D21" s="1779"/>
      <c r="E21" s="1779"/>
      <c r="F21" s="1779"/>
      <c r="G21" s="1779"/>
      <c r="H21" s="1779"/>
      <c r="I21" s="1779"/>
    </row>
    <row r="22" spans="1:9" x14ac:dyDescent="0.25">
      <c r="A22" s="1779"/>
      <c r="B22" s="1779"/>
      <c r="C22" s="1779"/>
      <c r="D22" s="1779"/>
      <c r="E22" s="1779"/>
      <c r="F22" s="1779"/>
      <c r="G22" s="1779"/>
      <c r="H22" s="1779"/>
      <c r="I22" s="1779"/>
    </row>
    <row r="23" spans="1:9" x14ac:dyDescent="0.25">
      <c r="A23" s="1779"/>
      <c r="B23" s="1779"/>
      <c r="C23" s="1779"/>
      <c r="D23" s="1779"/>
      <c r="E23" s="1779"/>
      <c r="F23" s="1779"/>
      <c r="G23" s="1779"/>
      <c r="H23" s="1779"/>
      <c r="I23" s="1779"/>
    </row>
    <row r="24" spans="1:9" x14ac:dyDescent="0.25">
      <c r="A24" s="1779"/>
      <c r="B24" s="1779"/>
      <c r="C24" s="1779"/>
      <c r="D24" s="1779"/>
      <c r="E24" s="1779"/>
      <c r="F24" s="1779"/>
      <c r="G24" s="1779"/>
      <c r="H24" s="1779"/>
      <c r="I24" s="1779"/>
    </row>
    <row r="25" spans="1:9" x14ac:dyDescent="0.25">
      <c r="A25" s="1779"/>
      <c r="B25" s="1779"/>
      <c r="C25" s="1779"/>
      <c r="D25" s="1779"/>
      <c r="E25" s="1779"/>
      <c r="F25" s="1779"/>
      <c r="G25" s="1779"/>
      <c r="H25" s="1779"/>
      <c r="I25" s="1779"/>
    </row>
    <row r="26" spans="1:9" x14ac:dyDescent="0.25">
      <c r="A26" s="1779"/>
      <c r="B26" s="1779"/>
      <c r="C26" s="1779"/>
      <c r="D26" s="1779"/>
      <c r="E26" s="1779"/>
      <c r="F26" s="1779"/>
      <c r="G26" s="1779"/>
      <c r="H26" s="1779"/>
      <c r="I26" s="1779"/>
    </row>
    <row r="27" spans="1:9" x14ac:dyDescent="0.25">
      <c r="A27" s="1779"/>
      <c r="B27" s="1779"/>
      <c r="C27" s="1779"/>
      <c r="D27" s="1779"/>
      <c r="E27" s="1779"/>
      <c r="F27" s="1779"/>
      <c r="G27" s="1779"/>
      <c r="H27" s="1779"/>
      <c r="I27" s="1779"/>
    </row>
    <row r="28" spans="1:9" x14ac:dyDescent="0.25">
      <c r="A28" s="1779"/>
      <c r="B28" s="1779"/>
      <c r="C28" s="1779"/>
      <c r="D28" s="1779"/>
      <c r="E28" s="1779"/>
      <c r="F28" s="1779"/>
      <c r="G28" s="1779"/>
      <c r="H28" s="1779"/>
      <c r="I28" s="1779"/>
    </row>
    <row r="29" spans="1:9" x14ac:dyDescent="0.25">
      <c r="A29" s="1779"/>
      <c r="B29" s="1779"/>
      <c r="C29" s="1779"/>
      <c r="D29" s="1779"/>
      <c r="E29" s="1779"/>
      <c r="F29" s="1779"/>
      <c r="G29" s="1779"/>
      <c r="H29" s="1779"/>
      <c r="I29" s="1779"/>
    </row>
    <row r="30" spans="1:9" x14ac:dyDescent="0.25">
      <c r="A30" s="1779"/>
      <c r="B30" s="1779"/>
      <c r="C30" s="1779"/>
      <c r="D30" s="1779"/>
      <c r="E30" s="1779"/>
      <c r="F30" s="1779"/>
      <c r="G30" s="1779"/>
      <c r="H30" s="1779"/>
      <c r="I30" s="1779"/>
    </row>
    <row r="31" spans="1:9" x14ac:dyDescent="0.25">
      <c r="A31" s="1779"/>
      <c r="B31" s="1779"/>
      <c r="C31" s="1779"/>
      <c r="D31" s="1779"/>
      <c r="E31" s="1779"/>
      <c r="F31" s="1779"/>
      <c r="G31" s="1779"/>
      <c r="H31" s="1779"/>
      <c r="I31" s="1779"/>
    </row>
    <row r="32" spans="1:9" x14ac:dyDescent="0.25">
      <c r="A32" s="1779"/>
      <c r="B32" s="1779"/>
      <c r="C32" s="1779"/>
      <c r="D32" s="1779"/>
      <c r="E32" s="1779"/>
      <c r="F32" s="1779"/>
      <c r="G32" s="1779"/>
      <c r="H32" s="1779"/>
      <c r="I32" s="1779"/>
    </row>
    <row r="33" spans="1:9" x14ac:dyDescent="0.25">
      <c r="A33" s="1779"/>
      <c r="B33" s="1779"/>
      <c r="C33" s="1779"/>
      <c r="D33" s="1779"/>
      <c r="E33" s="1779"/>
      <c r="F33" s="1779"/>
      <c r="G33" s="1779"/>
      <c r="H33" s="1779"/>
      <c r="I33" s="1779"/>
    </row>
    <row r="34" spans="1:9" x14ac:dyDescent="0.25">
      <c r="A34" s="1779"/>
      <c r="B34" s="1779"/>
      <c r="C34" s="1779"/>
      <c r="D34" s="1779"/>
      <c r="E34" s="1779"/>
      <c r="F34" s="1779"/>
      <c r="G34" s="1779"/>
      <c r="H34" s="1779"/>
      <c r="I34" s="1779"/>
    </row>
    <row r="35" spans="1:9" x14ac:dyDescent="0.25">
      <c r="A35" s="1779"/>
      <c r="B35" s="1779"/>
      <c r="C35" s="1779"/>
      <c r="D35" s="1779"/>
      <c r="E35" s="1779"/>
      <c r="F35" s="1779"/>
      <c r="G35" s="1779"/>
      <c r="H35" s="1779"/>
      <c r="I35" s="1779"/>
    </row>
    <row r="36" spans="1:9" x14ac:dyDescent="0.25">
      <c r="A36" s="1779"/>
      <c r="B36" s="1779"/>
      <c r="C36" s="1779"/>
      <c r="D36" s="1779"/>
      <c r="E36" s="1779"/>
      <c r="F36" s="1779"/>
      <c r="G36" s="1779"/>
      <c r="H36" s="1779"/>
      <c r="I36" s="1779"/>
    </row>
    <row r="37" spans="1:9" x14ac:dyDescent="0.25">
      <c r="A37" s="1779"/>
      <c r="B37" s="1779"/>
      <c r="C37" s="1779"/>
      <c r="D37" s="1779"/>
      <c r="E37" s="1779"/>
      <c r="F37" s="1779"/>
      <c r="G37" s="1779"/>
      <c r="H37" s="1779"/>
      <c r="I37" s="1779"/>
    </row>
  </sheetData>
  <mergeCells count="6">
    <mergeCell ref="C6:E6"/>
    <mergeCell ref="C8:E8"/>
    <mergeCell ref="F8:H8"/>
    <mergeCell ref="C13:E13"/>
    <mergeCell ref="F13:H13"/>
    <mergeCell ref="F6:H6"/>
  </mergeCells>
  <hyperlinks>
    <hyperlink ref="A2" location="Index!A1" display="Til index" xr:uid="{DD0BFFB8-BF57-4BC0-9138-C36EEA895FCC}"/>
  </hyperlinks>
  <pageMargins left="0.7" right="0.7" top="0.75" bottom="0.75" header="0.3" footer="0.3"/>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6B2A7-D1E6-4F3B-AD93-5C684BB0C593}">
  <sheetPr codeName="Ark4">
    <tabColor rgb="FF7030A0"/>
  </sheetPr>
  <dimension ref="A1:AH211"/>
  <sheetViews>
    <sheetView tabSelected="1" topLeftCell="F29" zoomScale="70" zoomScaleNormal="70" workbookViewId="0">
      <selection activeCell="U59" sqref="U59"/>
    </sheetView>
  </sheetViews>
  <sheetFormatPr defaultColWidth="9.140625" defaultRowHeight="12.75" x14ac:dyDescent="0.2"/>
  <cols>
    <col min="1" max="1" width="43.5703125" style="12" bestFit="1" customWidth="1"/>
    <col min="2" max="6" width="17.28515625" style="12" bestFit="1" customWidth="1"/>
    <col min="7" max="7" width="15.85546875" style="12" customWidth="1"/>
    <col min="8" max="8" width="16.28515625" style="12" customWidth="1"/>
    <col min="9" max="9" width="13.28515625" style="12" bestFit="1" customWidth="1"/>
    <col min="10" max="10" width="20.42578125" style="12" customWidth="1"/>
    <col min="11" max="11" width="16.5703125" style="12" customWidth="1"/>
    <col min="12" max="12" width="9.140625" style="12"/>
    <col min="13" max="13" width="17.28515625" style="12" customWidth="1"/>
    <col min="14" max="14" width="16.28515625" style="12" customWidth="1"/>
    <col min="15" max="15" width="14.7109375" style="12" customWidth="1"/>
    <col min="16" max="16" width="14.42578125" style="12" customWidth="1"/>
    <col min="17" max="17" width="14.28515625" style="12" customWidth="1"/>
    <col min="18" max="18" width="15.28515625" style="12" customWidth="1"/>
    <col min="19" max="19" width="18.42578125" style="12" customWidth="1"/>
    <col min="20" max="20" width="9.140625" style="12"/>
    <col min="21" max="22" width="9.140625" style="12" customWidth="1"/>
    <col min="23" max="30" width="9.140625" style="12"/>
    <col min="31" max="31" width="36.7109375" style="12" customWidth="1"/>
    <col min="32" max="32" width="14.7109375" style="12" customWidth="1"/>
    <col min="33" max="33" width="16.140625" style="12" customWidth="1"/>
    <col min="34" max="34" width="15.140625" style="12" customWidth="1"/>
    <col min="35" max="16384" width="9.140625" style="12"/>
  </cols>
  <sheetData>
    <row r="1" spans="1:20" s="371" customFormat="1" ht="49.5" customHeight="1" x14ac:dyDescent="0.5">
      <c r="A1" s="370"/>
      <c r="B1" s="370" t="s">
        <v>648</v>
      </c>
      <c r="D1" s="370"/>
      <c r="E1" s="370"/>
      <c r="F1" s="370"/>
      <c r="G1" s="370"/>
      <c r="H1" s="370"/>
      <c r="I1" s="370"/>
      <c r="J1" s="370"/>
      <c r="K1" s="370"/>
      <c r="L1" s="370"/>
      <c r="M1" s="370"/>
      <c r="N1" s="370"/>
      <c r="O1" s="370"/>
      <c r="P1" s="370"/>
      <c r="Q1" s="370"/>
      <c r="R1" s="370"/>
      <c r="S1" s="370"/>
      <c r="T1" s="370"/>
    </row>
    <row r="2" spans="1:20" x14ac:dyDescent="0.2">
      <c r="D2" s="32"/>
      <c r="E2" s="32"/>
      <c r="F2" s="32"/>
      <c r="G2" s="32"/>
    </row>
    <row r="3" spans="1:20" ht="14.25" x14ac:dyDescent="0.25">
      <c r="A3" s="3276" t="s">
        <v>5001</v>
      </c>
      <c r="B3" s="3280" t="s">
        <v>5002</v>
      </c>
      <c r="C3" s="3280" t="s">
        <v>5002</v>
      </c>
      <c r="D3" s="3280" t="s">
        <v>5002</v>
      </c>
      <c r="E3" s="3280" t="s">
        <v>5002</v>
      </c>
      <c r="F3" s="3280" t="s">
        <v>5002</v>
      </c>
      <c r="G3" s="3280" t="s">
        <v>5002</v>
      </c>
      <c r="I3" s="3286" t="s">
        <v>566</v>
      </c>
      <c r="J3" s="3287"/>
      <c r="K3" s="3288"/>
      <c r="L3" s="307"/>
      <c r="P3" s="308"/>
      <c r="Q3" s="308"/>
      <c r="R3" s="308"/>
      <c r="S3" s="308"/>
    </row>
    <row r="4" spans="1:20" ht="13.5" thickBot="1" x14ac:dyDescent="0.25">
      <c r="A4" s="3281"/>
      <c r="B4" s="3275">
        <f>'Grafer-klima-&gt;VÆLG GWP og NIR&lt;-'!C39</f>
        <v>1990</v>
      </c>
      <c r="C4" s="3275" t="str">
        <f>'Grafer-klima-&gt;VÆLG GWP og NIR&lt;-'!D39</f>
        <v>2018/2020</v>
      </c>
      <c r="D4" s="3282" t="s">
        <v>602</v>
      </c>
      <c r="E4" s="3275" t="s">
        <v>603</v>
      </c>
      <c r="F4" s="3282" t="s">
        <v>4287</v>
      </c>
      <c r="G4" s="3275" t="s">
        <v>4288</v>
      </c>
      <c r="I4" s="2338"/>
      <c r="J4" s="2943">
        <v>2030</v>
      </c>
      <c r="K4" s="2944">
        <v>2050</v>
      </c>
      <c r="L4" s="33"/>
      <c r="P4" s="308"/>
      <c r="Q4" s="308"/>
      <c r="R4" s="308"/>
      <c r="S4" s="308"/>
    </row>
    <row r="5" spans="1:20" ht="15.75" x14ac:dyDescent="0.3">
      <c r="A5" s="2337" t="s">
        <v>219</v>
      </c>
      <c r="B5" s="2339">
        <f>IF('Grafer-klima-&gt;VÆLG GWP og NIR&lt;-'!C40&lt;0,MROUND('Grafer-klima-&gt;VÆLG GWP og NIR&lt;-'!C40,-100),MROUND('Grafer-klima-&gt;VÆLG GWP og NIR&lt;-'!C40,100))</f>
        <v>5800</v>
      </c>
      <c r="C5" s="2339">
        <f>IF('Grafer-klima-&gt;VÆLG GWP og NIR&lt;-'!D40&lt;0,MROUND('Grafer-klima-&gt;VÆLG GWP og NIR&lt;-'!D40,-100),MROUND('Grafer-klima-&gt;VÆLG GWP og NIR&lt;-'!D40,100))</f>
        <v>3900</v>
      </c>
      <c r="D5" s="2531">
        <f>IF(($C$5-Reduktionsstiberegner!P29)&lt;0,MROUND($C$5-Reduktionsstiberegner!P29,-100),MROUND($C$5-Reduktionsstiberegner!P29,100))</f>
        <v>3900</v>
      </c>
      <c r="E5" s="2531">
        <f>IF(($C$5-Reduktionsstiberegner!Q29)&lt;0,MROUND($C$5-Reduktionsstiberegner!Q29,-100),MROUND($C$5-Reduktionsstiberegner!Q29,100))</f>
        <v>3900</v>
      </c>
      <c r="F5" s="2531">
        <f>IF(($C$5-Reduktionsstiberegner!R29)&lt;0,MROUND($C$5-Reduktionsstiberegner!R29,-100),MROUND($C$5-Reduktionsstiberegner!R29,100))</f>
        <v>3400</v>
      </c>
      <c r="G5" s="2531">
        <f>IF(($C$5-Reduktionsstiberegner!S29)&lt;0,MROUND($C$5-Reduktionsstiberegner!S29,-100),MROUND($C$5-Reduktionsstiberegner!S29,100))</f>
        <v>3400</v>
      </c>
      <c r="I5" s="305" t="s">
        <v>5003</v>
      </c>
      <c r="J5" s="628">
        <f>B12*(1-70%)</f>
        <v>14220.000000000002</v>
      </c>
      <c r="K5" s="629">
        <v>0</v>
      </c>
      <c r="P5" s="309"/>
      <c r="Q5" s="309"/>
      <c r="R5" s="309"/>
      <c r="S5" s="309"/>
    </row>
    <row r="6" spans="1:20" x14ac:dyDescent="0.2">
      <c r="A6" s="2337" t="s">
        <v>221</v>
      </c>
      <c r="B6" s="2339">
        <f>IF('Grafer-klima-&gt;VÆLG GWP og NIR&lt;-'!C41&lt;0,MROUND('Grafer-klima-&gt;VÆLG GWP og NIR&lt;-'!C41,-100),MROUND('Grafer-klima-&gt;VÆLG GWP og NIR&lt;-'!C41,100))</f>
        <v>8700</v>
      </c>
      <c r="C6" s="2339">
        <f>IF('Grafer-klima-&gt;VÆLG GWP og NIR&lt;-'!D41&lt;0,MROUND('Grafer-klima-&gt;VÆLG GWP og NIR&lt;-'!D41,-100),MROUND('Grafer-klima-&gt;VÆLG GWP og NIR&lt;-'!D41,100))</f>
        <v>8500</v>
      </c>
      <c r="D6" s="2531">
        <f>IF(($C$6-Reduktionsstiberegner!P40)&lt;0,MROUND($C$6-Reduktionsstiberegner!P40,-100),MROUND($C$6-Reduktionsstiberegner!P40,100))</f>
        <v>6000</v>
      </c>
      <c r="E6" s="2531">
        <f>IF(($C$6-Reduktionsstiberegner!Q40)&lt;0,MROUND($C$6-Reduktionsstiberegner!Q40,-100),MROUND($C$6-Reduktionsstiberegner!Q40,100))</f>
        <v>6000</v>
      </c>
      <c r="F6" s="2531">
        <f>IF(($C$6-Reduktionsstiberegner!R40)&lt;0,MROUND($C$6-Reduktionsstiberegner!R40,-100),MROUND($C$6-Reduktionsstiberegner!R40,100))</f>
        <v>6000</v>
      </c>
      <c r="G6" s="2531">
        <f>IF(($C$6-Reduktionsstiberegner!S40)&lt;0,MROUND($C$6-Reduktionsstiberegner!S40,-100),MROUND($C$6-Reduktionsstiberegner!S40,100))</f>
        <v>6000</v>
      </c>
      <c r="I6" s="2340" t="s">
        <v>567</v>
      </c>
      <c r="J6" s="2341">
        <f>J5/EBAU2030!$D$1</f>
        <v>7.9619260918253092</v>
      </c>
      <c r="K6" s="2342">
        <f>K5*1000/EBAU2050!$D$1</f>
        <v>0</v>
      </c>
      <c r="M6" s="3286" t="s">
        <v>649</v>
      </c>
      <c r="N6" s="3287"/>
      <c r="O6" s="3288"/>
      <c r="P6" s="33"/>
      <c r="Q6" s="309"/>
      <c r="R6" s="33"/>
      <c r="S6" s="33"/>
    </row>
    <row r="7" spans="1:20" ht="13.5" thickBot="1" x14ac:dyDescent="0.25">
      <c r="A7" s="2337" t="s">
        <v>222</v>
      </c>
      <c r="B7" s="2339">
        <f>IF('Grafer-klima-&gt;VÆLG GWP og NIR&lt;-'!C42&lt;0,MROUND('Grafer-klima-&gt;VÆLG GWP og NIR&lt;-'!C42,-100),MROUND('Grafer-klima-&gt;VÆLG GWP og NIR&lt;-'!C42,100))</f>
        <v>200</v>
      </c>
      <c r="C7" s="2339">
        <f>IF('Grafer-klima-&gt;VÆLG GWP og NIR&lt;-'!D42&lt;0,MROUND('Grafer-klima-&gt;VÆLG GWP og NIR&lt;-'!D42,-100),MROUND('Grafer-klima-&gt;VÆLG GWP og NIR&lt;-'!D42,100))</f>
        <v>200</v>
      </c>
      <c r="D7" s="2531">
        <f>IF(($C$7-Reduktionsstiberegner!P69)&lt;0,MROUND($C$7-Reduktionsstiberegner!P69,-100),MROUND($C$7-Reduktionsstiberegner!P69,100))</f>
        <v>200</v>
      </c>
      <c r="E7" s="2531">
        <f>IF(($C$7-Reduktionsstiberegner!Q69)&lt;0,MROUND($C$7-Reduktionsstiberegner!Q69,-100),MROUND($C$7-Reduktionsstiberegner!Q69,100))</f>
        <v>200</v>
      </c>
      <c r="F7" s="2531">
        <f>IF(($C$7-Reduktionsstiberegner!R69)&lt;0,MROUND($C$7-Reduktionsstiberegner!R69,-100),MROUND($C$7-Reduktionsstiberegner!R69,100))</f>
        <v>200</v>
      </c>
      <c r="G7" s="2531">
        <f>IF(($C$7-Reduktionsstiberegner!S69)&lt;0,MROUND($C$7-Reduktionsstiberegner!S69,-100),MROUND($C$7-Reduktionsstiberegner!S69,100))</f>
        <v>200</v>
      </c>
      <c r="M7" s="2338"/>
      <c r="N7" s="2943" t="s">
        <v>602</v>
      </c>
      <c r="O7" s="2944" t="s">
        <v>603</v>
      </c>
      <c r="P7" s="33"/>
      <c r="Q7" s="309"/>
      <c r="R7" s="33"/>
      <c r="S7" s="33"/>
    </row>
    <row r="8" spans="1:20" x14ac:dyDescent="0.2">
      <c r="A8" s="2337" t="s">
        <v>109</v>
      </c>
      <c r="B8" s="2339">
        <f>IF('Grafer-klima-&gt;VÆLG GWP og NIR&lt;-'!C43&lt;0,MROUND('Grafer-klima-&gt;VÆLG GWP og NIR&lt;-'!C43,-100),MROUND('Grafer-klima-&gt;VÆLG GWP og NIR&lt;-'!C43,100))</f>
        <v>5200</v>
      </c>
      <c r="C8" s="2339">
        <f>IF('Grafer-klima-&gt;VÆLG GWP og NIR&lt;-'!D43&lt;0,MROUND('Grafer-klima-&gt;VÆLG GWP og NIR&lt;-'!D43,-100),MROUND('Grafer-klima-&gt;VÆLG GWP og NIR&lt;-'!D43,100))</f>
        <v>5600</v>
      </c>
      <c r="D8" s="2531">
        <f>IF((C8-Reduktionsstiberegner!P89)&lt;0,MROUND(C8-Reduktionsstiberegner!P89,-100),MROUND(C8-Reduktionsstiberegner!P89,100))</f>
        <v>4500</v>
      </c>
      <c r="E8" s="2531">
        <f>IF((C8-Reduktionsstiberegner!Q89)&lt;0,MROUND(C8-Reduktionsstiberegner!Q89,-100),MROUND(C8-Reduktionsstiberegner!Q89,100))</f>
        <v>3800</v>
      </c>
      <c r="F8" s="2531">
        <f>IF((C8-Reduktionsstiberegner!R89)&lt;0,MROUND(C8-Reduktionsstiberegner!R89,-100),MROUND(C8-Reduktionsstiberegner!R89,100))</f>
        <v>3300</v>
      </c>
      <c r="G8" s="2531">
        <f>IF((C8-Reduktionsstiberegner!S89)&lt;0,MROUND(C8-Reduktionsstiberegner!S89,-100),MROUND(C8-Reduktionsstiberegner!S89,100))</f>
        <v>2700</v>
      </c>
      <c r="I8" s="3289" t="s">
        <v>568</v>
      </c>
      <c r="J8" s="3287"/>
      <c r="K8" s="3288"/>
      <c r="M8" s="305"/>
      <c r="N8" s="318">
        <f>+(B12-D12)/B12</f>
        <v>0.50843881856540085</v>
      </c>
      <c r="O8" s="318">
        <f>+(B12-E12)/B12</f>
        <v>0.52953586497890293</v>
      </c>
      <c r="P8" s="33"/>
      <c r="Q8" s="309"/>
      <c r="R8" s="33"/>
      <c r="S8" s="33"/>
    </row>
    <row r="9" spans="1:20" ht="13.5" thickBot="1" x14ac:dyDescent="0.25">
      <c r="A9" s="2337" t="s">
        <v>635</v>
      </c>
      <c r="B9" s="2339">
        <f>IF('Grafer-klima-&gt;VÆLG GWP og NIR&lt;-'!C44&lt;0,MROUND('Grafer-klima-&gt;VÆLG GWP og NIR&lt;-'!C44,-100),MROUND('Grafer-klima-&gt;VÆLG GWP og NIR&lt;-'!C44,100))</f>
        <v>18800</v>
      </c>
      <c r="C9" s="2339">
        <f>IF('Grafer-klima-&gt;VÆLG GWP og NIR&lt;-'!D44&lt;0,MROUND('Grafer-klima-&gt;VÆLG GWP og NIR&lt;-'!D44,-100),MROUND('Grafer-klima-&gt;VÆLG GWP og NIR&lt;-'!D44,100))</f>
        <v>4800</v>
      </c>
      <c r="D9" s="2531">
        <f>IF((C9-Reduktionsstiberegner!P113)&lt;0,MROUND(C9-Reduktionsstiberegner!P113,-100),MROUND(C9-Reduktionsstiberegner!P113,100))</f>
        <v>500</v>
      </c>
      <c r="E9" s="2531">
        <f>IF((C9-Reduktionsstiberegner!Q113)&lt;0,MROUND(C9-Reduktionsstiberegner!Q113,-100),MROUND(C9-Reduktionsstiberegner!Q113,100))</f>
        <v>300</v>
      </c>
      <c r="F9" s="2531">
        <f>IF(($C$9-Reduktionsstiberegner!$R$113)&lt;0,MROUND($C$9-Reduktionsstiberegner!$R$113,-100),MROUND($C$9-Reduktionsstiberegner!$R$113,100))</f>
        <v>300</v>
      </c>
      <c r="G9" s="2531">
        <f>IF((C9-Reduktionsstiberegner!S113)&lt;0,MROUND(C9-Reduktionsstiberegner!S113,-100),MROUND(C9-Reduktionsstiberegner!S113,100))</f>
        <v>100</v>
      </c>
      <c r="I9" s="2338"/>
      <c r="J9" s="2943" t="s">
        <v>602</v>
      </c>
      <c r="K9" s="2944" t="s">
        <v>603</v>
      </c>
      <c r="P9" s="33"/>
      <c r="Q9" s="309"/>
      <c r="R9" s="33"/>
      <c r="S9" s="33"/>
    </row>
    <row r="10" spans="1:20" ht="15.75" x14ac:dyDescent="0.3">
      <c r="A10" s="2337" t="s">
        <v>223</v>
      </c>
      <c r="B10" s="2339">
        <f>IF('Grafer-klima-&gt;VÆLG GWP og NIR&lt;-'!C45&lt;0,MROUND('Grafer-klima-&gt;VÆLG GWP og NIR&lt;-'!C45,-100),MROUND('Grafer-klima-&gt;VÆLG GWP og NIR&lt;-'!C45,100))</f>
        <v>8100</v>
      </c>
      <c r="C10" s="2339">
        <f>IF('Grafer-klima-&gt;VÆLG GWP og NIR&lt;-'!D45&lt;0,MROUND('Grafer-klima-&gt;VÆLG GWP og NIR&lt;-'!D45,-100),MROUND('Grafer-klima-&gt;VÆLG GWP og NIR&lt;-'!D45,100))</f>
        <v>7800</v>
      </c>
      <c r="D10" s="2531">
        <f>IF(($C$10-Reduktionsstiberegner!P19)&lt;0,MROUND($C$10-Reduktionsstiberegner!P19,-100),MROUND($C$10-Reduktionsstiberegner!P19,100))</f>
        <v>7800</v>
      </c>
      <c r="E10" s="2531">
        <f>IF(($C$10-Reduktionsstiberegner!Q19)&lt;0,MROUND($C$10-Reduktionsstiberegner!Q19,-100),MROUND($C$10-Reduktionsstiberegner!Q19,100))</f>
        <v>7800</v>
      </c>
      <c r="F10" s="2531">
        <f>IF(($C$10-Reduktionsstiberegner!R19)&lt;0,MROUND($C$10-Reduktionsstiberegner!R19,-100),MROUND($C$10-Reduktionsstiberegner!R19,100))</f>
        <v>6000</v>
      </c>
      <c r="G10" s="2531">
        <f>IF(($C$10-Reduktionsstiberegner!S19)&lt;0,MROUND($C$10-Reduktionsstiberegner!S19,-100),MROUND($C$10-Reduktionsstiberegner!S19,100))</f>
        <v>-8400</v>
      </c>
      <c r="I10" s="305" t="s">
        <v>5003</v>
      </c>
      <c r="J10" s="628">
        <f>+D12-J5</f>
        <v>9079.9999999999982</v>
      </c>
      <c r="K10" s="629">
        <f>IF(E12&gt;K5,E12,)</f>
        <v>22300</v>
      </c>
      <c r="P10" s="33"/>
      <c r="Q10" s="33"/>
      <c r="R10" s="33"/>
      <c r="S10" s="33"/>
    </row>
    <row r="11" spans="1:20" x14ac:dyDescent="0.2">
      <c r="A11" s="2337" t="s">
        <v>225</v>
      </c>
      <c r="B11" s="2339">
        <f>IF('Grafer-klima-&gt;VÆLG GWP og NIR&lt;-'!C46&lt;0,MROUND('Grafer-klima-&gt;VÆLG GWP og NIR&lt;-'!C46,-100),MROUND('Grafer-klima-&gt;VÆLG GWP og NIR&lt;-'!C46,100))</f>
        <v>600</v>
      </c>
      <c r="C11" s="2339">
        <f>IF('Grafer-klima-&gt;VÆLG GWP og NIR&lt;-'!D46&lt;0,MROUND('Grafer-klima-&gt;VÆLG GWP og NIR&lt;-'!D46,-100),MROUND('Grafer-klima-&gt;VÆLG GWP og NIR&lt;-'!D46,100))</f>
        <v>400</v>
      </c>
      <c r="D11" s="2531">
        <f>IF(($C$11-Reduktionsstiberegner!P55)&lt;0,MROUND($C$11-Reduktionsstiberegner!P55,-100),MROUND($C$11-Reduktionsstiberegner!P55,100))</f>
        <v>400</v>
      </c>
      <c r="E11" s="2531">
        <f>IF(($C$11-Reduktionsstiberegner!Q55)&lt;0,MROUND($C$11-Reduktionsstiberegner!Q55,-100),MROUND($C$11-Reduktionsstiberegner!Q55,100))</f>
        <v>300</v>
      </c>
      <c r="F11" s="2531">
        <f>IF(($C$11-Reduktionsstiberegner!R55)&lt;0,MROUND($C$11-Reduktionsstiberegner!R55,-100),MROUND($C$11-Reduktionsstiberegner!R55,100))</f>
        <v>400</v>
      </c>
      <c r="G11" s="2531">
        <f>IF(($C$11-Reduktionsstiberegner!S55)&lt;0,MROUND($C$11-Reduktionsstiberegner!S55,-100),MROUND($C$11-Reduktionsstiberegner!S55,100))</f>
        <v>300</v>
      </c>
      <c r="M11" s="3286" t="s">
        <v>5448</v>
      </c>
      <c r="N11" s="3287"/>
      <c r="O11" s="3288"/>
      <c r="P11" s="33"/>
      <c r="Q11" s="33"/>
      <c r="R11" s="33"/>
      <c r="S11" s="33"/>
    </row>
    <row r="12" spans="1:20" ht="13.5" thickBot="1" x14ac:dyDescent="0.25">
      <c r="A12" s="3266" t="s">
        <v>97</v>
      </c>
      <c r="B12" s="3267">
        <f t="shared" ref="B12:G12" si="0">SUM(B5:B11)</f>
        <v>47400</v>
      </c>
      <c r="C12" s="3267">
        <f t="shared" si="0"/>
        <v>31200</v>
      </c>
      <c r="D12" s="3267">
        <f t="shared" si="0"/>
        <v>23300</v>
      </c>
      <c r="E12" s="3267">
        <f t="shared" si="0"/>
        <v>22300</v>
      </c>
      <c r="F12" s="3267">
        <f t="shared" si="0"/>
        <v>19600</v>
      </c>
      <c r="G12" s="3267">
        <f t="shared" si="0"/>
        <v>4300</v>
      </c>
      <c r="M12" s="2338"/>
      <c r="N12" s="2943" t="s">
        <v>4287</v>
      </c>
      <c r="O12" s="2944" t="s">
        <v>4288</v>
      </c>
      <c r="P12" s="33"/>
      <c r="Q12" s="33"/>
      <c r="R12" s="33"/>
      <c r="S12" s="33"/>
    </row>
    <row r="13" spans="1:20" x14ac:dyDescent="0.2">
      <c r="A13" s="3283" t="s">
        <v>4780</v>
      </c>
      <c r="B13" s="3284">
        <f>B12/'E1990'!D1</f>
        <v>18.869426751592357</v>
      </c>
      <c r="C13" s="3284">
        <f>C12/'E2020'!$D$1</f>
        <v>17.469204927211646</v>
      </c>
      <c r="D13" s="3285">
        <f>D12/EBAU2030!$D$1</f>
        <v>13.045912653975364</v>
      </c>
      <c r="E13" s="3285">
        <f>E12/ESTI2030!$D$1</f>
        <v>12.486002239641657</v>
      </c>
      <c r="F13" s="3285">
        <f>F12/EBAU2050!$D$1</f>
        <v>10.97424412094065</v>
      </c>
      <c r="G13" s="3285">
        <f>G12/ESTI2050!$D$1</f>
        <v>2.4076147816349383</v>
      </c>
      <c r="I13" s="3289" t="s">
        <v>568</v>
      </c>
      <c r="J13" s="3287"/>
      <c r="K13" s="3288"/>
      <c r="M13" s="305"/>
      <c r="N13" s="321">
        <f>+(B12-F12)/B12</f>
        <v>0.5864978902953587</v>
      </c>
      <c r="O13" s="322">
        <f>+(B12-G12)/B12</f>
        <v>0.90928270042194093</v>
      </c>
      <c r="P13" s="33"/>
      <c r="Q13" s="33"/>
      <c r="R13" s="33"/>
      <c r="S13" s="33"/>
    </row>
    <row r="14" spans="1:20" ht="13.5" thickBot="1" x14ac:dyDescent="0.25">
      <c r="A14" s="2344" t="s">
        <v>586</v>
      </c>
      <c r="B14" s="2345">
        <f t="shared" ref="B14:G14" si="1">MROUND(+$B12*0.3,100)</f>
        <v>14200</v>
      </c>
      <c r="C14" s="2345">
        <f t="shared" si="1"/>
        <v>14200</v>
      </c>
      <c r="D14" s="3235">
        <f t="shared" si="1"/>
        <v>14200</v>
      </c>
      <c r="E14" s="3235">
        <f t="shared" si="1"/>
        <v>14200</v>
      </c>
      <c r="F14" s="3235">
        <f t="shared" si="1"/>
        <v>14200</v>
      </c>
      <c r="G14" s="2655">
        <f t="shared" si="1"/>
        <v>14200</v>
      </c>
      <c r="I14" s="2338"/>
      <c r="J14" s="2943" t="s">
        <v>4287</v>
      </c>
      <c r="K14" s="2944" t="s">
        <v>4288</v>
      </c>
      <c r="P14" s="310"/>
      <c r="Q14" s="310"/>
      <c r="R14" s="310"/>
      <c r="S14" s="310"/>
    </row>
    <row r="15" spans="1:20" ht="15.75" x14ac:dyDescent="0.3">
      <c r="A15" s="2336" t="s">
        <v>569</v>
      </c>
      <c r="B15" s="2347">
        <f t="shared" ref="B15:G15" si="2">+(B5+B6+B10)/(B12)*100</f>
        <v>47.679324894514771</v>
      </c>
      <c r="C15" s="2347">
        <f t="shared" si="2"/>
        <v>64.743589743589752</v>
      </c>
      <c r="D15" s="2347">
        <f t="shared" si="2"/>
        <v>75.965665236051507</v>
      </c>
      <c r="E15" s="2347">
        <f t="shared" si="2"/>
        <v>79.372197309417032</v>
      </c>
      <c r="F15" s="2347">
        <f t="shared" si="2"/>
        <v>78.571428571428569</v>
      </c>
      <c r="G15" s="2347">
        <f t="shared" si="2"/>
        <v>23.255813953488371</v>
      </c>
      <c r="I15" s="305" t="s">
        <v>5003</v>
      </c>
      <c r="J15" s="628">
        <f>F12-J5</f>
        <v>5379.9999999999982</v>
      </c>
      <c r="K15" s="629">
        <f>IF(G12&gt;K5,G12,)</f>
        <v>4300</v>
      </c>
      <c r="M15" s="307"/>
      <c r="N15" s="311"/>
      <c r="O15" s="311"/>
      <c r="P15" s="311"/>
      <c r="Q15" s="311"/>
      <c r="R15" s="311"/>
      <c r="S15" s="311"/>
    </row>
    <row r="17" spans="3:34" x14ac:dyDescent="0.2">
      <c r="C17" s="312"/>
      <c r="D17" s="33"/>
      <c r="E17" s="33"/>
      <c r="F17" s="33"/>
      <c r="L17" s="33"/>
      <c r="O17" s="312"/>
      <c r="P17" s="33"/>
      <c r="Q17" s="33"/>
      <c r="R17" s="33"/>
    </row>
    <row r="18" spans="3:34" x14ac:dyDescent="0.2">
      <c r="F18" s="313"/>
    </row>
    <row r="20" spans="3:34" x14ac:dyDescent="0.2">
      <c r="M20" s="307"/>
      <c r="N20" s="308"/>
      <c r="O20" s="308"/>
      <c r="P20" s="308"/>
      <c r="Q20" s="308"/>
      <c r="R20" s="308"/>
      <c r="S20" s="308"/>
      <c r="AE20" s="307"/>
      <c r="AF20" s="307"/>
      <c r="AG20" s="308"/>
      <c r="AH20" s="314"/>
    </row>
    <row r="21" spans="3:34" x14ac:dyDescent="0.2">
      <c r="N21" s="624"/>
      <c r="O21" s="624"/>
      <c r="P21" s="315"/>
      <c r="Q21" s="315"/>
      <c r="R21" s="624"/>
      <c r="S21" s="624"/>
      <c r="AF21" s="307"/>
      <c r="AG21" s="307"/>
      <c r="AH21" s="307"/>
    </row>
    <row r="22" spans="3:34" x14ac:dyDescent="0.2">
      <c r="N22" s="10"/>
      <c r="O22" s="10"/>
      <c r="P22" s="10"/>
      <c r="Q22" s="10"/>
      <c r="R22" s="10"/>
      <c r="S22" s="10"/>
      <c r="AF22" s="10"/>
      <c r="AG22" s="10"/>
      <c r="AH22" s="316"/>
    </row>
    <row r="23" spans="3:34" x14ac:dyDescent="0.2">
      <c r="N23" s="10"/>
      <c r="O23" s="10"/>
      <c r="P23" s="10"/>
      <c r="Q23" s="10"/>
      <c r="R23" s="10"/>
      <c r="S23" s="10"/>
      <c r="AF23" s="10"/>
      <c r="AG23" s="10"/>
      <c r="AH23" s="316"/>
    </row>
    <row r="24" spans="3:34" x14ac:dyDescent="0.2">
      <c r="L24" s="317"/>
      <c r="N24" s="10"/>
      <c r="O24" s="10"/>
      <c r="P24" s="10"/>
      <c r="Q24" s="10"/>
      <c r="R24" s="10"/>
      <c r="S24" s="10"/>
      <c r="AF24" s="10"/>
      <c r="AG24" s="10"/>
      <c r="AH24" s="316"/>
    </row>
    <row r="25" spans="3:34" x14ac:dyDescent="0.2">
      <c r="N25" s="33"/>
      <c r="O25" s="33"/>
      <c r="P25" s="33"/>
      <c r="Q25" s="10"/>
      <c r="R25" s="33"/>
      <c r="S25" s="33"/>
      <c r="AF25" s="33"/>
      <c r="AG25" s="33"/>
      <c r="AH25" s="316"/>
    </row>
    <row r="26" spans="3:34" x14ac:dyDescent="0.2">
      <c r="N26" s="33"/>
      <c r="O26" s="33"/>
      <c r="P26" s="33"/>
      <c r="Q26" s="10"/>
      <c r="R26" s="33"/>
      <c r="S26" s="10"/>
      <c r="AF26" s="33"/>
      <c r="AG26" s="33"/>
      <c r="AH26" s="316"/>
    </row>
    <row r="27" spans="3:34" x14ac:dyDescent="0.2">
      <c r="N27" s="10"/>
      <c r="O27" s="10"/>
      <c r="P27" s="10"/>
      <c r="Q27" s="10"/>
      <c r="R27" s="10"/>
      <c r="S27" s="10"/>
      <c r="AF27" s="10"/>
      <c r="AG27" s="10"/>
      <c r="AH27" s="316"/>
    </row>
    <row r="28" spans="3:34" x14ac:dyDescent="0.2">
      <c r="N28" s="10"/>
      <c r="O28" s="10"/>
      <c r="P28" s="10"/>
      <c r="Q28" s="10"/>
      <c r="R28" s="10"/>
      <c r="S28" s="10"/>
      <c r="AF28" s="10"/>
      <c r="AG28" s="10"/>
      <c r="AH28" s="316"/>
    </row>
    <row r="29" spans="3:34" x14ac:dyDescent="0.2">
      <c r="M29" s="307"/>
      <c r="N29" s="310"/>
      <c r="O29" s="310"/>
      <c r="P29" s="310"/>
      <c r="Q29" s="310"/>
      <c r="R29" s="310"/>
      <c r="S29" s="310"/>
      <c r="AE29" s="307"/>
      <c r="AF29" s="310"/>
      <c r="AG29" s="310"/>
      <c r="AH29" s="319"/>
    </row>
    <row r="30" spans="3:34" x14ac:dyDescent="0.2">
      <c r="M30" s="307"/>
      <c r="N30" s="311"/>
      <c r="O30" s="311"/>
      <c r="P30" s="311"/>
      <c r="Q30" s="311"/>
      <c r="R30" s="311"/>
      <c r="S30" s="311"/>
      <c r="AE30" s="307"/>
      <c r="AF30" s="311"/>
      <c r="AG30" s="311"/>
      <c r="AH30" s="10"/>
    </row>
    <row r="31" spans="3:34" x14ac:dyDescent="0.2">
      <c r="L31" s="320"/>
      <c r="N31" s="29"/>
      <c r="O31" s="29"/>
      <c r="P31" s="29"/>
      <c r="Q31" s="29"/>
      <c r="R31" s="29"/>
      <c r="S31" s="29"/>
      <c r="AF31" s="29"/>
      <c r="AG31" s="29"/>
    </row>
    <row r="32" spans="3:34" x14ac:dyDescent="0.2">
      <c r="P32" s="33"/>
      <c r="Q32" s="33"/>
      <c r="R32" s="33"/>
    </row>
    <row r="34" spans="4:13" x14ac:dyDescent="0.2">
      <c r="D34" s="33"/>
      <c r="E34" s="33"/>
      <c r="K34" s="323"/>
    </row>
    <row r="35" spans="4:13" x14ac:dyDescent="0.2">
      <c r="D35" s="33"/>
      <c r="E35" s="33"/>
    </row>
    <row r="36" spans="4:13" x14ac:dyDescent="0.2">
      <c r="D36" s="33"/>
      <c r="E36" s="33"/>
      <c r="I36" s="624"/>
      <c r="J36" s="624"/>
      <c r="K36" s="624"/>
    </row>
    <row r="37" spans="4:13" x14ac:dyDescent="0.2">
      <c r="J37" s="624"/>
      <c r="K37" s="324"/>
      <c r="M37" s="306"/>
    </row>
    <row r="38" spans="4:13" x14ac:dyDescent="0.2">
      <c r="J38" s="325"/>
      <c r="K38" s="326"/>
      <c r="M38" s="327"/>
    </row>
    <row r="100" spans="1:5" x14ac:dyDescent="0.2">
      <c r="A100" s="2336" t="s">
        <v>570</v>
      </c>
      <c r="B100" s="3276">
        <f t="shared" ref="B100:C100" si="3">B4</f>
        <v>1990</v>
      </c>
      <c r="C100" s="3276" t="str">
        <f t="shared" si="3"/>
        <v>2018/2020</v>
      </c>
      <c r="D100" s="3276">
        <v>2030</v>
      </c>
      <c r="E100" s="3276">
        <v>2050</v>
      </c>
    </row>
    <row r="101" spans="1:5" x14ac:dyDescent="0.2">
      <c r="A101" s="3281" t="s">
        <v>650</v>
      </c>
      <c r="B101" s="2339">
        <f>+B12</f>
        <v>47400</v>
      </c>
      <c r="C101" s="2339">
        <f>+C12</f>
        <v>31200</v>
      </c>
      <c r="D101" s="2339">
        <f>+D12</f>
        <v>23300</v>
      </c>
      <c r="E101" s="2339">
        <f>+E12</f>
        <v>22300</v>
      </c>
    </row>
    <row r="102" spans="1:5" x14ac:dyDescent="0.2">
      <c r="A102" s="3281" t="s">
        <v>571</v>
      </c>
      <c r="B102" s="2339">
        <f>+B12</f>
        <v>47400</v>
      </c>
      <c r="C102" s="2339">
        <f>+C12</f>
        <v>31200</v>
      </c>
      <c r="D102" s="2339">
        <f>B102*0.3</f>
        <v>14220</v>
      </c>
      <c r="E102" s="2339">
        <f>K5</f>
        <v>0</v>
      </c>
    </row>
    <row r="103" spans="1:5" x14ac:dyDescent="0.2">
      <c r="A103" s="3281" t="s">
        <v>572</v>
      </c>
      <c r="B103" s="2339">
        <f>+B12</f>
        <v>47400</v>
      </c>
      <c r="C103" s="2339">
        <f>+C12</f>
        <v>31200</v>
      </c>
      <c r="D103" s="2339">
        <f>+F12</f>
        <v>19600</v>
      </c>
      <c r="E103" s="3236">
        <f>+G12</f>
        <v>4300</v>
      </c>
    </row>
    <row r="125" spans="1:5" x14ac:dyDescent="0.2">
      <c r="A125" s="2336" t="s">
        <v>573</v>
      </c>
      <c r="B125" s="3276">
        <f>B100</f>
        <v>1990</v>
      </c>
      <c r="C125" s="3276" t="str">
        <f t="shared" ref="C125:E125" si="4">C100</f>
        <v>2018/2020</v>
      </c>
      <c r="D125" s="3276">
        <f t="shared" si="4"/>
        <v>2030</v>
      </c>
      <c r="E125" s="3276">
        <f t="shared" si="4"/>
        <v>2050</v>
      </c>
    </row>
    <row r="126" spans="1:5" x14ac:dyDescent="0.2">
      <c r="A126" s="3281" t="s">
        <v>650</v>
      </c>
      <c r="B126" s="2339">
        <f>+B9</f>
        <v>18800</v>
      </c>
      <c r="C126" s="2339">
        <f>+C9</f>
        <v>4800</v>
      </c>
      <c r="D126" s="2339">
        <f>+D9</f>
        <v>500</v>
      </c>
      <c r="E126" s="2339">
        <f>+E9</f>
        <v>300</v>
      </c>
    </row>
    <row r="127" spans="1:5" x14ac:dyDescent="0.2">
      <c r="A127" s="3281" t="s">
        <v>571</v>
      </c>
      <c r="B127" s="2339">
        <f>+B9</f>
        <v>18800</v>
      </c>
      <c r="C127" s="2339">
        <f>+C126</f>
        <v>4800</v>
      </c>
      <c r="D127" s="2339">
        <f>B127*0.3</f>
        <v>5640</v>
      </c>
      <c r="E127" s="2339">
        <f>K5</f>
        <v>0</v>
      </c>
    </row>
    <row r="128" spans="1:5" x14ac:dyDescent="0.2">
      <c r="A128" s="3281" t="s">
        <v>572</v>
      </c>
      <c r="B128" s="2339">
        <f>+B9</f>
        <v>18800</v>
      </c>
      <c r="C128" s="2339">
        <f>+C127</f>
        <v>4800</v>
      </c>
      <c r="D128" s="2339">
        <f>+F9</f>
        <v>300</v>
      </c>
      <c r="E128" s="3236">
        <f>+G9</f>
        <v>100</v>
      </c>
    </row>
    <row r="150" spans="1:5" x14ac:dyDescent="0.2">
      <c r="A150" s="2336" t="s">
        <v>574</v>
      </c>
      <c r="B150" s="3276">
        <f>B125</f>
        <v>1990</v>
      </c>
      <c r="C150" s="3276" t="str">
        <f t="shared" ref="C150:E150" si="5">C125</f>
        <v>2018/2020</v>
      </c>
      <c r="D150" s="3276">
        <f t="shared" si="5"/>
        <v>2030</v>
      </c>
      <c r="E150" s="3276">
        <f t="shared" si="5"/>
        <v>2050</v>
      </c>
    </row>
    <row r="151" spans="1:5" x14ac:dyDescent="0.2">
      <c r="A151" s="3281" t="s">
        <v>650</v>
      </c>
      <c r="B151" s="2339">
        <f>+B8</f>
        <v>5200</v>
      </c>
      <c r="C151" s="2339">
        <f>+C8</f>
        <v>5600</v>
      </c>
      <c r="D151" s="2339">
        <f>+D8</f>
        <v>4500</v>
      </c>
      <c r="E151" s="2339">
        <f>+E8</f>
        <v>3800</v>
      </c>
    </row>
    <row r="152" spans="1:5" x14ac:dyDescent="0.2">
      <c r="A152" s="3281" t="s">
        <v>571</v>
      </c>
      <c r="B152" s="2339">
        <f>+B8</f>
        <v>5200</v>
      </c>
      <c r="C152" s="2339">
        <f>+C151</f>
        <v>5600</v>
      </c>
      <c r="D152" s="2339">
        <f>B152*0.3</f>
        <v>1560</v>
      </c>
      <c r="E152" s="2339">
        <f>K5</f>
        <v>0</v>
      </c>
    </row>
    <row r="153" spans="1:5" x14ac:dyDescent="0.2">
      <c r="A153" s="3281" t="s">
        <v>572</v>
      </c>
      <c r="B153" s="2339">
        <f>+B8</f>
        <v>5200</v>
      </c>
      <c r="C153" s="2339">
        <f>+C152</f>
        <v>5600</v>
      </c>
      <c r="D153" s="2339">
        <f>+F8</f>
        <v>3300</v>
      </c>
      <c r="E153" s="3236">
        <f>+G8</f>
        <v>2700</v>
      </c>
    </row>
    <row r="175" spans="1:5" x14ac:dyDescent="0.2">
      <c r="A175" s="2336" t="s">
        <v>575</v>
      </c>
      <c r="B175" s="3276">
        <f>B150</f>
        <v>1990</v>
      </c>
      <c r="C175" s="3276" t="str">
        <f t="shared" ref="C175:E175" si="6">C150</f>
        <v>2018/2020</v>
      </c>
      <c r="D175" s="3276">
        <f t="shared" si="6"/>
        <v>2030</v>
      </c>
      <c r="E175" s="3276">
        <f t="shared" si="6"/>
        <v>2050</v>
      </c>
    </row>
    <row r="176" spans="1:5" x14ac:dyDescent="0.2">
      <c r="A176" s="3281" t="s">
        <v>650</v>
      </c>
      <c r="B176" s="2339">
        <f>+B5+B6+B10</f>
        <v>22600</v>
      </c>
      <c r="C176" s="2339">
        <f>+C5+C6+C10</f>
        <v>20200</v>
      </c>
      <c r="D176" s="2339">
        <f>+D5+D6+D10</f>
        <v>17700</v>
      </c>
      <c r="E176" s="2339">
        <f>+E5+E6+E10</f>
        <v>17700</v>
      </c>
    </row>
    <row r="177" spans="1:5" x14ac:dyDescent="0.2">
      <c r="A177" s="3281" t="s">
        <v>571</v>
      </c>
      <c r="B177" s="2339">
        <f t="shared" ref="B177:C178" si="7">+B176</f>
        <v>22600</v>
      </c>
      <c r="C177" s="2339">
        <f t="shared" si="7"/>
        <v>20200</v>
      </c>
      <c r="D177" s="2339">
        <f>B177*0.3</f>
        <v>6780</v>
      </c>
      <c r="E177" s="2339">
        <f>K5</f>
        <v>0</v>
      </c>
    </row>
    <row r="178" spans="1:5" x14ac:dyDescent="0.2">
      <c r="A178" s="3281" t="s">
        <v>572</v>
      </c>
      <c r="B178" s="2339">
        <f t="shared" si="7"/>
        <v>22600</v>
      </c>
      <c r="C178" s="2339">
        <f t="shared" si="7"/>
        <v>20200</v>
      </c>
      <c r="D178" s="2339">
        <f>+F5+F6+F10</f>
        <v>15400</v>
      </c>
      <c r="E178" s="3236">
        <f>+G5+G6+G10</f>
        <v>1000</v>
      </c>
    </row>
    <row r="198" spans="1:7" x14ac:dyDescent="0.2">
      <c r="B198" s="10"/>
      <c r="C198" s="10"/>
    </row>
    <row r="199" spans="1:7" x14ac:dyDescent="0.2">
      <c r="B199" s="10"/>
      <c r="C199" s="10"/>
    </row>
    <row r="200" spans="1:7" x14ac:dyDescent="0.2">
      <c r="A200" s="12" t="s">
        <v>4289</v>
      </c>
      <c r="B200" s="10"/>
      <c r="C200" s="10"/>
    </row>
    <row r="201" spans="1:7" ht="13.5" thickBot="1" x14ac:dyDescent="0.25">
      <c r="B201" s="3275">
        <f>B175</f>
        <v>1990</v>
      </c>
      <c r="C201" s="3275" t="str">
        <f>C175</f>
        <v>2018/2020</v>
      </c>
      <c r="D201" s="3282" t="str">
        <f>D4</f>
        <v>BAU2030</v>
      </c>
      <c r="E201" s="3275" t="str">
        <f>E4</f>
        <v>BAU2050</v>
      </c>
      <c r="F201" s="3282" t="str">
        <f>F4</f>
        <v>STI2030</v>
      </c>
      <c r="G201" s="3275" t="str">
        <f>G4</f>
        <v>STI2050</v>
      </c>
    </row>
    <row r="202" spans="1:7" ht="13.5" thickBot="1" x14ac:dyDescent="0.25">
      <c r="A202" s="3170" t="s">
        <v>4290</v>
      </c>
      <c r="B202" s="187">
        <f>'E1990'!$AH$81</f>
        <v>45.882005923947609</v>
      </c>
      <c r="C202" s="187">
        <f>'E2018'!$AH$81</f>
        <v>50.760061409998855</v>
      </c>
      <c r="D202" s="187">
        <f>EBAU2030!$AH$81</f>
        <v>62.17056937346716</v>
      </c>
      <c r="E202" s="187">
        <f>EBAU2050!$AH$81</f>
        <v>62.473193800133828</v>
      </c>
      <c r="F202" s="187">
        <f>ESTI2030!$AH$81</f>
        <v>92.686813883536416</v>
      </c>
      <c r="G202" s="187">
        <f>ESTI2050!$AH$81</f>
        <v>97.95201636798825</v>
      </c>
    </row>
    <row r="203" spans="1:7" x14ac:dyDescent="0.2">
      <c r="A203" s="3290" t="s">
        <v>4291</v>
      </c>
      <c r="B203" s="187">
        <f>'E1990'!$AL$8/'E1990'!$AD$8%</f>
        <v>14.081794598029639</v>
      </c>
      <c r="C203" s="187">
        <f>'E2018'!$AL$8/'E2018'!$AD$8%</f>
        <v>22.83019776201122</v>
      </c>
      <c r="D203" s="187">
        <f>EBAU2030!$AL$8/EBAU2030!$AD$8%</f>
        <v>26.136631330977618</v>
      </c>
      <c r="E203" s="187">
        <f>EBAU2050!$AL$8/EBAU2050!$AD$8%</f>
        <v>26.136631330977618</v>
      </c>
      <c r="F203" s="187">
        <f>ESTI2030!$AL$8/ESTI2030!$AD$8%</f>
        <v>26.136631330977618</v>
      </c>
      <c r="G203" s="3237">
        <f>ESTI2050!$AL$8/ESTI2050!$AD$8%</f>
        <v>26.136631330977618</v>
      </c>
    </row>
    <row r="204" spans="1:7" x14ac:dyDescent="0.2">
      <c r="A204" s="3291" t="s">
        <v>4292</v>
      </c>
      <c r="B204" s="2339">
        <f>('E1990'!$AN$8+'E1990'!$AO$8+'E1990'!$AP$8+'E1990'!$AQ$8+'E1990'!$AR$8+'E1990'!$AS$8)/'E1990'!$AD$8%</f>
        <v>16.236235523655342</v>
      </c>
      <c r="C204" s="2339">
        <f>('E2018'!$AN$8+'E2018'!$AO$8+'E2018'!$AP$8+'E2018'!$AQ$8+'E2018'!$AR$8+'E2018'!$AS$8)/'E2018'!$AD$8%</f>
        <v>17.980379898150453</v>
      </c>
      <c r="D204" s="2339">
        <f>(EBAU2030!$AN$8+EBAU2030!$AO$8+EBAU2030!$AP$8+EBAU2030!$AQ$8+EBAU2030!$AR$8+EBAU2030!$AS$8)/EBAU2030!$AD$8%</f>
        <v>14.994110718492342</v>
      </c>
      <c r="E204" s="2339">
        <f>(EBAU2050!$AN$8+EBAU2050!$AO$8+EBAU2050!$AP$8+EBAU2050!$AQ$8+EBAU2050!$AR$8+EBAU2050!$AS$8)/EBAU2050!$AD$8%</f>
        <v>14.994110718492342</v>
      </c>
      <c r="F204" s="2339">
        <f>(ESTI2030!$AN$8+ESTI2030!$AO$8+ESTI2030!$AP$8+ESTI2030!$AQ$8+ESTI2030!$AR$8+ESTI2030!$AS$8)/ESTI2030!$AD$8%</f>
        <v>14.994110718492342</v>
      </c>
      <c r="G204" s="2348">
        <f>(ESTI2050!$AN$8+ESTI2050!$AO$8+ESTI2050!$AP$8+ESTI2050!$AQ$8+ESTI2050!$AR$8+ESTI2050!$AS$8)/ESTI2050!$AD$8%</f>
        <v>14.994110718492342</v>
      </c>
    </row>
    <row r="205" spans="1:7" x14ac:dyDescent="0.2">
      <c r="A205" s="3291" t="s">
        <v>4293</v>
      </c>
      <c r="B205" s="2339">
        <f>'E1990'!$AH$11</f>
        <v>0</v>
      </c>
      <c r="C205" s="2339">
        <f>'E2018'!$AH$11</f>
        <v>0.54999999999999993</v>
      </c>
      <c r="D205" s="2339">
        <f>EBAU2030!$AH$11</f>
        <v>5.6065275733333335</v>
      </c>
      <c r="E205" s="2339">
        <f>EBAU2050!$AH$11</f>
        <v>5.9091520000000015</v>
      </c>
      <c r="F205" s="2339">
        <f>ESTI2030!$AH$11</f>
        <v>7.4061440000000012</v>
      </c>
      <c r="G205" s="2348">
        <f>ESTI2050!$AH$11</f>
        <v>8.0002666666666684</v>
      </c>
    </row>
    <row r="206" spans="1:7" x14ac:dyDescent="0.2">
      <c r="A206" s="3291" t="s">
        <v>4294</v>
      </c>
      <c r="B206" s="2339">
        <f>'E1990'!$AH$39+'E1990'!$AH$40+'E1990'!$AH$46+'E1990'!$AH$47</f>
        <v>0</v>
      </c>
      <c r="C206" s="2339">
        <f>'E2018'!$AH$39+'E2018'!$AH$40+'E2018'!$AH$46+'E2018'!$AH$47</f>
        <v>0</v>
      </c>
      <c r="D206" s="2339">
        <f>EBAU2030!$AH$39+EBAU2030!$AH$40+EBAU2030!$AH$46+EBAU2030!$AH$47</f>
        <v>0</v>
      </c>
      <c r="E206" s="2339">
        <f>EBAU2050!$AH$39+EBAU2050!$AH$40+EBAU2050!$AH$46+EBAU2050!$AH$47</f>
        <v>0</v>
      </c>
      <c r="F206" s="2339">
        <f>ESTI2030!$AH$39+ESTI2030!$AH$40+ESTI2030!$AH$46+ESTI2030!$AH$47</f>
        <v>0</v>
      </c>
      <c r="G206" s="2348">
        <f>ESTI2050!$AH$39+ESTI2050!$AH$40+ESTI2050!$AH$46+ESTI2050!$AH$47</f>
        <v>0</v>
      </c>
    </row>
    <row r="207" spans="1:7" x14ac:dyDescent="0.2">
      <c r="A207" s="3291" t="s">
        <v>4295</v>
      </c>
      <c r="B207" s="2339">
        <f>SUM('E2018'!$AH$61:$AH$80)</f>
        <v>0.12122599704579025</v>
      </c>
      <c r="C207" s="2339">
        <f>SUM('E2018'!$AH$61:$AH$80)</f>
        <v>0.12122599704579025</v>
      </c>
      <c r="D207" s="2339">
        <f>SUM(EBAU2030!$AH$61:$AH$80)</f>
        <v>6.2543951570242822</v>
      </c>
      <c r="E207" s="2339">
        <f>SUM(EBAU2050!$AH$61:$AH$80)</f>
        <v>6.2543951570242822</v>
      </c>
      <c r="F207" s="2339">
        <f>SUM(ESTI2030!$AH$61:$AH$80)</f>
        <v>34.971023240426888</v>
      </c>
      <c r="G207" s="2348">
        <f>SUM(ESTI2050!$AH$61:$AH$80)</f>
        <v>39.642103058212058</v>
      </c>
    </row>
    <row r="208" spans="1:7" x14ac:dyDescent="0.2">
      <c r="A208" s="3291" t="s">
        <v>4296</v>
      </c>
      <c r="B208" s="2339">
        <f>'E1990'!$AH$57+'E1990'!$AH$58+'E1990'!$AH$59</f>
        <v>0</v>
      </c>
      <c r="C208" s="2339">
        <f>'E2018'!$AH$57+'E2018'!$AH$58+'E2018'!$AH$59</f>
        <v>0</v>
      </c>
      <c r="D208" s="2339">
        <f>EBAU2030!$AH$57+EBAU2030!$AH$58+EBAU2030!$AH$59</f>
        <v>0</v>
      </c>
      <c r="E208" s="2339">
        <f>EBAU2050!$AH$57+EBAU2050!$AH$58+EBAU2050!$AH$59</f>
        <v>0</v>
      </c>
      <c r="F208" s="2339">
        <f>ESTI2030!$AH$57+ESTI2030!$AH$58+ESTI2030!$AH$59</f>
        <v>0</v>
      </c>
      <c r="G208" s="2348">
        <f>ESTI2050!$AH$57+ESTI2050!$AH$58+ESTI2050!$AH$59</f>
        <v>0</v>
      </c>
    </row>
    <row r="209" spans="1:7" ht="13.5" thickBot="1" x14ac:dyDescent="0.25">
      <c r="A209" s="3292" t="s">
        <v>4297</v>
      </c>
      <c r="B209" s="2349">
        <f t="shared" ref="B209:G209" si="8">B202-SUM(B203:B208)</f>
        <v>15.442749805216838</v>
      </c>
      <c r="C209" s="2349">
        <f t="shared" si="8"/>
        <v>9.2782577527913972</v>
      </c>
      <c r="D209" s="2349">
        <f t="shared" si="8"/>
        <v>9.1789045936395866</v>
      </c>
      <c r="E209" s="2349">
        <f t="shared" si="8"/>
        <v>9.1789045936395866</v>
      </c>
      <c r="F209" s="2349">
        <f t="shared" si="8"/>
        <v>9.1789045936395723</v>
      </c>
      <c r="G209" s="2350">
        <f t="shared" si="8"/>
        <v>9.1789045936395723</v>
      </c>
    </row>
    <row r="210" spans="1:7" ht="13.5" thickBot="1" x14ac:dyDescent="0.25">
      <c r="A210" s="3291" t="s">
        <v>5222</v>
      </c>
      <c r="B210" s="2339">
        <f>-SUMIFS('E1990'!$AG$8:$AG$11,'E1990'!$AG$8:$AG$11,"&lt;0")-SUM('E1990'!$AH$8:$AH$11)-SUMIFS('E1990'!$AG$13:$AG$80,'E1990'!$AG$13:$AG$80,"&lt;0")-SUM('E1990'!$AH$13:$AH$80)</f>
        <v>3.6612463424897186</v>
      </c>
      <c r="C210" s="2339">
        <f>-SUMIFS('E2018'!$AG$8:$AG$11,'E2018'!$AG$8:$AG$11,"&lt;0")-SUM('E2018'!$AH$8:$AH$11)-SUMIFS('E2018'!$AG$13:$AG$80,'E2018'!$AG$13:$AG$80,"&lt;0")-SUM('E2018'!$AH$13:$AH$80)</f>
        <v>4.5040228687152055</v>
      </c>
      <c r="D210" s="2339">
        <f>-SUMIFS(EBAU2030!$AG$8:$AG$11,EBAU2030!$AG$8:$AG$11,"&lt;0")-SUM(EBAU2030!$AH$8:$AH$11)-SUMIFS(EBAU2030!$AG$13:$AG$80,EBAU2030!$AG$13:$AG$80,"&lt;0")-SUM(EBAU2030!$AH$13:$AH$80)</f>
        <v>5.3648518160943155</v>
      </c>
      <c r="E210" s="2339">
        <f>-SUMIFS(EBAU2050!$AG$8:$AG$11,EBAU2050!$AG$8:$AG$11,"&lt;0")-SUM(EBAU2050!$AH$8:$AH$11)-SUMIFS(EBAU2050!$AG$13:$AG$80,EBAU2050!$AG$13:$AG$80,"&lt;0")-SUM(EBAU2050!$AH$13:$AH$80)</f>
        <v>5.3908455093827641</v>
      </c>
      <c r="F210" s="2339">
        <f>-SUMIFS(ESTI2030!$AG$8:$AG$11,ESTI2030!$AG$8:$AG$11,"&lt;0")-SUM(ESTI2030!$AH$8:$AH$11)-SUMIFS(ESTI2030!$AG$13:$AG$80,ESTI2030!$AG$13:$AG$80,"&lt;0")-SUM(ESTI2030!$AH$13:$AH$80)</f>
        <v>7.9612628713082074</v>
      </c>
      <c r="G210" s="2348">
        <f>-SUMIFS(ESTI2050!$AG$8:$AG$11,ESTI2050!$AG$8:$AG$11,"&lt;0")-SUM(ESTI2050!$AH$8:$AH$11)-SUMIFS(ESTI2050!$AG$13:$AG$80,ESTI2050!$AG$13:$AG$80,"&lt;0")-SUM(ESTI2050!$AH$13:$AH$80)</f>
        <v>8.413513405047091</v>
      </c>
    </row>
    <row r="211" spans="1:7" ht="13.5" thickBot="1" x14ac:dyDescent="0.25">
      <c r="A211" s="3293" t="s">
        <v>110</v>
      </c>
      <c r="B211" s="3294">
        <f>'E-Tiltag'!AQ25</f>
        <v>47.766958828937327</v>
      </c>
      <c r="C211" s="3294">
        <f>'E-Tiltag'!AR25</f>
        <v>36.624084278714058</v>
      </c>
      <c r="D211" s="3294">
        <f>'E-Tiltag'!AT25</f>
        <v>41.350662801028506</v>
      </c>
      <c r="E211" s="3294">
        <f>'E-Tiltag'!AU25</f>
        <v>41.679280920983622</v>
      </c>
      <c r="F211" s="3294">
        <f>'E-Tiltag'!AV25</f>
        <v>74.488076754844627</v>
      </c>
      <c r="G211" s="3294">
        <f>'E-Tiltag'!AW25</f>
        <v>80.205529773035337</v>
      </c>
    </row>
  </sheetData>
  <dataConsolidate/>
  <phoneticPr fontId="51" type="noConversion"/>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2107A-C3C9-4142-86ED-2FA83304538D}">
  <sheetPr codeName="Ark145">
    <tabColor theme="4" tint="0.59999389629810485"/>
  </sheetPr>
  <dimension ref="A1:T143"/>
  <sheetViews>
    <sheetView zoomScale="70" zoomScaleNormal="70" workbookViewId="0">
      <selection activeCell="P85" sqref="P85"/>
    </sheetView>
  </sheetViews>
  <sheetFormatPr defaultColWidth="8.7109375" defaultRowHeight="15" x14ac:dyDescent="0.25"/>
  <cols>
    <col min="1" max="2" width="13.42578125" style="992" customWidth="1"/>
    <col min="3" max="3" width="20" style="992" customWidth="1"/>
    <col min="4" max="4" width="14.5703125" style="992" customWidth="1"/>
    <col min="5" max="5" width="15.28515625" style="992" bestFit="1" customWidth="1"/>
    <col min="6" max="6" width="15.5703125" style="992" customWidth="1"/>
    <col min="7" max="7" width="19.7109375" style="992" customWidth="1"/>
    <col min="8" max="8" width="20.85546875" style="992" bestFit="1" customWidth="1"/>
    <col min="9" max="9" width="25.5703125" style="992" customWidth="1"/>
    <col min="10" max="10" width="31.85546875" style="992" customWidth="1"/>
    <col min="11" max="11" width="18" style="992" customWidth="1"/>
    <col min="12" max="12" width="22.5703125" style="992" customWidth="1"/>
    <col min="13" max="13" width="24.42578125" style="992" customWidth="1"/>
    <col min="14" max="14" width="19.28515625" style="992" customWidth="1"/>
    <col min="15" max="15" width="15.85546875" style="992" customWidth="1"/>
    <col min="16" max="16" width="28.140625" style="992" customWidth="1"/>
    <col min="17" max="17" width="8.7109375" style="992"/>
    <col min="18" max="18" width="9.140625" style="992" customWidth="1"/>
    <col min="19" max="16384" width="8.7109375" style="992"/>
  </cols>
  <sheetData>
    <row r="1" spans="1:16" s="1262" customFormat="1" ht="47.45" customHeight="1" x14ac:dyDescent="0.45">
      <c r="C1" s="1007" t="s">
        <v>2502</v>
      </c>
    </row>
    <row r="2" spans="1:16" ht="21" x14ac:dyDescent="0.35">
      <c r="A2" s="1740" t="s">
        <v>4206</v>
      </c>
      <c r="C2" s="1260"/>
      <c r="D2" s="1260"/>
      <c r="E2" s="1260"/>
      <c r="F2" s="1260"/>
      <c r="G2" s="1260"/>
      <c r="H2" s="1260"/>
    </row>
    <row r="3" spans="1:16" x14ac:dyDescent="0.25">
      <c r="A3" s="1260"/>
      <c r="B3" s="1260"/>
      <c r="C3" s="1260"/>
      <c r="D3" s="1260"/>
      <c r="E3" s="1260"/>
      <c r="F3" s="1260"/>
      <c r="G3" s="1260"/>
      <c r="H3" s="1260"/>
    </row>
    <row r="4" spans="1:16" x14ac:dyDescent="0.25">
      <c r="A4" s="1456"/>
      <c r="B4" s="965" t="s">
        <v>2088</v>
      </c>
      <c r="C4" s="1234"/>
      <c r="D4" s="1260"/>
      <c r="E4" s="1234"/>
      <c r="F4" s="1234"/>
    </row>
    <row r="5" spans="1:16" ht="15.75" thickBot="1" x14ac:dyDescent="0.3">
      <c r="A5" s="965"/>
      <c r="B5" s="965"/>
      <c r="C5" s="1234"/>
      <c r="D5" s="1260"/>
      <c r="E5" s="1234"/>
      <c r="F5" s="1234"/>
    </row>
    <row r="6" spans="1:16" x14ac:dyDescent="0.25">
      <c r="C6" s="1261" t="s">
        <v>2501</v>
      </c>
      <c r="D6" s="1258">
        <v>35</v>
      </c>
      <c r="E6" s="1234"/>
      <c r="F6" s="1234"/>
    </row>
    <row r="7" spans="1:16" x14ac:dyDescent="0.25">
      <c r="C7" s="1238" t="s">
        <v>2500</v>
      </c>
      <c r="D7" s="1257">
        <f>LN(2)/D6</f>
        <v>1.980420515885558E-2</v>
      </c>
      <c r="E7" s="1234"/>
      <c r="F7" s="1234"/>
    </row>
    <row r="8" spans="1:16" x14ac:dyDescent="0.25">
      <c r="C8" s="1238" t="s">
        <v>2493</v>
      </c>
      <c r="D8" s="1257">
        <f>EXP(-D7)</f>
        <v>0.98039060993977345</v>
      </c>
      <c r="E8" s="1234"/>
      <c r="F8" s="1234"/>
    </row>
    <row r="9" spans="1:16" ht="18" thickBot="1" x14ac:dyDescent="0.3">
      <c r="C9" s="1236" t="s">
        <v>2492</v>
      </c>
      <c r="D9" s="1256">
        <f>(1-EXP(-D7))/D7</f>
        <v>0.99016294281611617</v>
      </c>
      <c r="E9" s="1234"/>
      <c r="F9" s="1234"/>
    </row>
    <row r="10" spans="1:16" x14ac:dyDescent="0.25">
      <c r="C10" s="1235" t="s">
        <v>2491</v>
      </c>
      <c r="D10" s="1234"/>
      <c r="E10" s="1234"/>
      <c r="F10" s="1234"/>
      <c r="G10" s="1234"/>
      <c r="H10" s="1234"/>
    </row>
    <row r="11" spans="1:16" x14ac:dyDescent="0.25">
      <c r="C11" s="1000" t="s">
        <v>2420</v>
      </c>
      <c r="H11" s="1260"/>
    </row>
    <row r="12" spans="1:16" x14ac:dyDescent="0.25">
      <c r="H12" s="1260"/>
    </row>
    <row r="13" spans="1:16" ht="51.75" customHeight="1" thickBot="1" x14ac:dyDescent="0.3">
      <c r="C13" s="5326" t="s">
        <v>4914</v>
      </c>
      <c r="D13" s="5326"/>
      <c r="E13" s="5326"/>
    </row>
    <row r="14" spans="1:16" s="1233" customFormat="1" ht="66.75" customHeight="1" thickBot="1" x14ac:dyDescent="0.25">
      <c r="A14" s="1259" t="s">
        <v>2301</v>
      </c>
      <c r="B14" s="1259"/>
      <c r="C14" s="1015" t="s">
        <v>977</v>
      </c>
      <c r="D14" s="1762" t="s">
        <v>4902</v>
      </c>
      <c r="E14" s="1762" t="s">
        <v>4903</v>
      </c>
      <c r="F14" s="1762" t="s">
        <v>4904</v>
      </c>
      <c r="G14" s="1762" t="s">
        <v>4916</v>
      </c>
      <c r="H14" s="1762" t="s">
        <v>4919</v>
      </c>
      <c r="I14" s="1762" t="s">
        <v>4918</v>
      </c>
      <c r="J14" s="1762" t="s">
        <v>4905</v>
      </c>
      <c r="K14" s="1762" t="s">
        <v>4906</v>
      </c>
      <c r="L14" s="1762" t="s">
        <v>4907</v>
      </c>
      <c r="M14" s="1762" t="s">
        <v>4909</v>
      </c>
      <c r="N14" s="1762" t="s">
        <v>4908</v>
      </c>
      <c r="O14" s="1762" t="s">
        <v>4910</v>
      </c>
      <c r="P14" s="1763" t="s">
        <v>4911</v>
      </c>
    </row>
    <row r="15" spans="1:16" ht="17.25" x14ac:dyDescent="0.25">
      <c r="A15" s="1000" t="s">
        <v>2499</v>
      </c>
      <c r="C15" s="1226">
        <f>'NIR faktorer'!B757</f>
        <v>1990</v>
      </c>
      <c r="D15" s="1270">
        <f>'NIR faktorer'!D757</f>
        <v>339361.22093000001</v>
      </c>
      <c r="E15" s="1270">
        <f>'NIR faktorer'!D788</f>
        <v>1483000</v>
      </c>
      <c r="F15" s="1270">
        <f>'NIR faktorer'!D819</f>
        <v>33857.630601999997</v>
      </c>
      <c r="G15" s="1232">
        <f t="shared" ref="G15:G42" si="0">D15+E15-F15</f>
        <v>1788503.590328</v>
      </c>
      <c r="H15" s="1230">
        <f>AVERAGE(G15:G19)/D7</f>
        <v>102188616.68052657</v>
      </c>
      <c r="I15" s="1230">
        <f t="shared" ref="I15:I42" si="1">H16-H15</f>
        <v>-232946.46596705914</v>
      </c>
      <c r="J15" s="1231">
        <v>0.22900000000000001</v>
      </c>
      <c r="K15" s="1230">
        <f t="shared" ref="K15:K43" si="2">I15*J15</f>
        <v>-53344.740706456541</v>
      </c>
      <c r="L15" s="1222">
        <f t="shared" ref="L15:L34" si="3">$L$36</f>
        <v>779444</v>
      </c>
      <c r="M15" s="1231">
        <f>K15/L15</f>
        <v>-6.8439478277408691E-2</v>
      </c>
      <c r="N15" s="1222">
        <f t="shared" ref="N15:N34" si="4">$N$36</f>
        <v>567</v>
      </c>
      <c r="O15" s="1230">
        <f t="shared" ref="O15:O43" si="5">M15*N15</f>
        <v>-38.805184183290727</v>
      </c>
      <c r="P15" s="1229">
        <f t="shared" ref="P15:P43" si="6" xml:space="preserve"> O15*-44/12</f>
        <v>142.28567533873266</v>
      </c>
    </row>
    <row r="16" spans="1:16" x14ac:dyDescent="0.25">
      <c r="A16" s="5327"/>
      <c r="B16" s="5327"/>
      <c r="C16" s="1226">
        <f>'NIR faktorer'!B758</f>
        <v>1991</v>
      </c>
      <c r="D16" s="1270">
        <f>'NIR faktorer'!D758</f>
        <v>264951.14730999997</v>
      </c>
      <c r="E16" s="1270">
        <f>'NIR faktorer'!D789</f>
        <v>1483000</v>
      </c>
      <c r="F16" s="1270">
        <f>'NIR faktorer'!D820</f>
        <v>16743.903237999999</v>
      </c>
      <c r="G16" s="1224">
        <f t="shared" si="0"/>
        <v>1731207.244072</v>
      </c>
      <c r="H16" s="1222">
        <f t="shared" ref="H16:H44" si="7">$D$8*H15+$D$9*G15</f>
        <v>101955670.21455951</v>
      </c>
      <c r="I16" s="1222">
        <f t="shared" si="1"/>
        <v>-285111.24667420983</v>
      </c>
      <c r="J16" s="1029">
        <v>0.22900000000000001</v>
      </c>
      <c r="K16" s="1222">
        <f t="shared" si="2"/>
        <v>-65290.475488394055</v>
      </c>
      <c r="L16" s="1222">
        <f t="shared" si="3"/>
        <v>779444</v>
      </c>
      <c r="M16" s="1029">
        <f t="shared" ref="M16:M43" si="8">K16/L16</f>
        <v>-8.3765447534901866E-2</v>
      </c>
      <c r="N16" s="1222">
        <f t="shared" si="4"/>
        <v>567</v>
      </c>
      <c r="O16" s="1222">
        <f t="shared" si="5"/>
        <v>-47.495008752289358</v>
      </c>
      <c r="P16" s="1227">
        <f t="shared" si="6"/>
        <v>174.14836542506097</v>
      </c>
    </row>
    <row r="17" spans="1:20" x14ac:dyDescent="0.25">
      <c r="A17" s="1144"/>
      <c r="B17" s="1144"/>
      <c r="C17" s="1226">
        <f>'NIR faktorer'!B759</f>
        <v>1992</v>
      </c>
      <c r="D17" s="1270">
        <f>'NIR faktorer'!D759</f>
        <v>293062.29751</v>
      </c>
      <c r="E17" s="1270">
        <f>'NIR faktorer'!D790</f>
        <v>1735833</v>
      </c>
      <c r="F17" s="1270">
        <f>'NIR faktorer'!D821</f>
        <v>81816.536814000006</v>
      </c>
      <c r="G17" s="1224">
        <f t="shared" si="0"/>
        <v>1947078.760696</v>
      </c>
      <c r="H17" s="1222">
        <f t="shared" si="7"/>
        <v>101670558.9678853</v>
      </c>
      <c r="I17" s="1222">
        <f t="shared" si="1"/>
        <v>-65772.412857010961</v>
      </c>
      <c r="J17" s="1029">
        <v>0.22900000000000001</v>
      </c>
      <c r="K17" s="1222">
        <f t="shared" si="2"/>
        <v>-15061.88254425551</v>
      </c>
      <c r="L17" s="1222">
        <f t="shared" si="3"/>
        <v>779444</v>
      </c>
      <c r="M17" s="1029">
        <f t="shared" si="8"/>
        <v>-1.9323880284222484E-2</v>
      </c>
      <c r="N17" s="1222">
        <f t="shared" si="4"/>
        <v>567</v>
      </c>
      <c r="O17" s="1222">
        <f t="shared" si="5"/>
        <v>-10.956640121154148</v>
      </c>
      <c r="P17" s="1227">
        <f t="shared" si="6"/>
        <v>40.174347110898545</v>
      </c>
    </row>
    <row r="18" spans="1:20" x14ac:dyDescent="0.25">
      <c r="A18" s="1144"/>
      <c r="B18" s="1144"/>
      <c r="C18" s="1226">
        <f>'NIR faktorer'!B760</f>
        <v>1993</v>
      </c>
      <c r="D18" s="1270">
        <f>'NIR faktorer'!D760</f>
        <v>362455.97227999999</v>
      </c>
      <c r="E18" s="1270">
        <f>'NIR faktorer'!D791</f>
        <v>1722000</v>
      </c>
      <c r="F18" s="1270">
        <f>'NIR faktorer'!D822</f>
        <v>75586.562791999997</v>
      </c>
      <c r="G18" s="1224">
        <f t="shared" si="0"/>
        <v>2008869.409488</v>
      </c>
      <c r="H18" s="1222">
        <f t="shared" si="7"/>
        <v>101604786.55502829</v>
      </c>
      <c r="I18" s="1222">
        <f t="shared" si="1"/>
        <v>-3299.8453117012978</v>
      </c>
      <c r="J18" s="1029">
        <v>0.22900000000000001</v>
      </c>
      <c r="K18" s="1222">
        <f t="shared" si="2"/>
        <v>-755.66457637959718</v>
      </c>
      <c r="L18" s="1222">
        <f t="shared" si="3"/>
        <v>779444</v>
      </c>
      <c r="M18" s="1029">
        <f t="shared" si="8"/>
        <v>-9.6949181259923384E-4</v>
      </c>
      <c r="N18" s="1222">
        <f t="shared" si="4"/>
        <v>567</v>
      </c>
      <c r="O18" s="1222">
        <f t="shared" si="5"/>
        <v>-0.54970185774376557</v>
      </c>
      <c r="P18" s="1227">
        <f t="shared" si="6"/>
        <v>2.0155734783938071</v>
      </c>
      <c r="T18" s="1213"/>
    </row>
    <row r="19" spans="1:20" x14ac:dyDescent="0.25">
      <c r="A19" s="1144"/>
      <c r="B19" s="1144"/>
      <c r="C19" s="1226">
        <f>'NIR faktorer'!B761</f>
        <v>1994</v>
      </c>
      <c r="D19" s="1270">
        <f>'NIR faktorer'!D761</f>
        <v>384594.23787999997</v>
      </c>
      <c r="E19" s="1270">
        <f>'NIR faktorer'!D792</f>
        <v>2326000</v>
      </c>
      <c r="F19" s="1270">
        <f>'NIR faktorer'!D823</f>
        <v>67431.594259999998</v>
      </c>
      <c r="G19" s="1224">
        <f t="shared" si="0"/>
        <v>2643162.6436199998</v>
      </c>
      <c r="H19" s="1222">
        <f t="shared" si="7"/>
        <v>101601486.70971659</v>
      </c>
      <c r="I19" s="1222">
        <f t="shared" si="1"/>
        <v>624818.51795864105</v>
      </c>
      <c r="J19" s="1029">
        <v>0.22900000000000001</v>
      </c>
      <c r="K19" s="1222">
        <f t="shared" si="2"/>
        <v>143083.44061252879</v>
      </c>
      <c r="L19" s="1222">
        <f t="shared" si="3"/>
        <v>779444</v>
      </c>
      <c r="M19" s="1029">
        <f t="shared" si="8"/>
        <v>0.18357116176727101</v>
      </c>
      <c r="N19" s="1222">
        <f t="shared" si="4"/>
        <v>567</v>
      </c>
      <c r="O19" s="1222">
        <f t="shared" si="5"/>
        <v>104.08484872204266</v>
      </c>
      <c r="P19" s="1227">
        <f t="shared" si="6"/>
        <v>-381.64444531415643</v>
      </c>
      <c r="T19" s="1213"/>
    </row>
    <row r="20" spans="1:20" x14ac:dyDescent="0.25">
      <c r="A20" s="1144"/>
      <c r="B20" s="1144"/>
      <c r="C20" s="1226">
        <f>'NIR faktorer'!B762</f>
        <v>1995</v>
      </c>
      <c r="D20" s="1270">
        <f>'NIR faktorer'!D762</f>
        <v>398208.91083000001</v>
      </c>
      <c r="E20" s="1270">
        <f>'NIR faktorer'!D793</f>
        <v>1921000</v>
      </c>
      <c r="F20" s="1270">
        <f>'NIR faktorer'!D824</f>
        <v>67950.787117999993</v>
      </c>
      <c r="G20" s="1224">
        <f t="shared" si="0"/>
        <v>2251258.123712</v>
      </c>
      <c r="H20" s="1222">
        <f t="shared" si="7"/>
        <v>102226305.22767523</v>
      </c>
      <c r="I20" s="1222">
        <f t="shared" si="1"/>
        <v>224516.87518811226</v>
      </c>
      <c r="J20" s="1029">
        <v>0.22900000000000001</v>
      </c>
      <c r="K20" s="1222">
        <f t="shared" si="2"/>
        <v>51414.364418077712</v>
      </c>
      <c r="L20" s="1222">
        <f t="shared" si="3"/>
        <v>779444</v>
      </c>
      <c r="M20" s="1029">
        <f t="shared" si="8"/>
        <v>6.5962871505942322E-2</v>
      </c>
      <c r="N20" s="1222">
        <f t="shared" si="4"/>
        <v>567</v>
      </c>
      <c r="O20" s="1222">
        <f t="shared" si="5"/>
        <v>37.4009481438693</v>
      </c>
      <c r="P20" s="1227">
        <f t="shared" si="6"/>
        <v>-137.1368098608541</v>
      </c>
      <c r="T20" s="1213"/>
    </row>
    <row r="21" spans="1:20" x14ac:dyDescent="0.25">
      <c r="A21" s="1144"/>
      <c r="B21" s="1144"/>
      <c r="C21" s="1226">
        <f>'NIR faktorer'!B763</f>
        <v>1996</v>
      </c>
      <c r="D21" s="1270">
        <f>'NIR faktorer'!D763</f>
        <v>456925.52717999998</v>
      </c>
      <c r="E21" s="1270">
        <f>'NIR faktorer'!D794</f>
        <v>1630000</v>
      </c>
      <c r="F21" s="1270">
        <f>'NIR faktorer'!D825</f>
        <v>69897.61937</v>
      </c>
      <c r="G21" s="1224">
        <f t="shared" si="0"/>
        <v>2017027.90781</v>
      </c>
      <c r="H21" s="1222">
        <f t="shared" si="7"/>
        <v>102450822.10286334</v>
      </c>
      <c r="I21" s="1222">
        <f t="shared" si="1"/>
        <v>-11811.843666538596</v>
      </c>
      <c r="J21" s="1029">
        <v>0.22900000000000001</v>
      </c>
      <c r="K21" s="1222">
        <f t="shared" si="2"/>
        <v>-2704.9121996373387</v>
      </c>
      <c r="L21" s="1222">
        <f t="shared" si="3"/>
        <v>779444</v>
      </c>
      <c r="M21" s="1029">
        <f t="shared" si="8"/>
        <v>-3.4703098614362786E-3</v>
      </c>
      <c r="N21" s="1222">
        <f t="shared" si="4"/>
        <v>567</v>
      </c>
      <c r="O21" s="1222">
        <f t="shared" si="5"/>
        <v>-1.96766569143437</v>
      </c>
      <c r="P21" s="1227">
        <f t="shared" si="6"/>
        <v>7.2147742019260228</v>
      </c>
      <c r="T21" s="1213"/>
    </row>
    <row r="22" spans="1:20" x14ac:dyDescent="0.25">
      <c r="A22" s="1144"/>
      <c r="B22" s="1144"/>
      <c r="C22" s="1226">
        <f>'NIR faktorer'!B764</f>
        <v>1997</v>
      </c>
      <c r="D22" s="1270">
        <f>'NIR faktorer'!D764</f>
        <v>500541.25858000002</v>
      </c>
      <c r="E22" s="1270">
        <f>'NIR faktorer'!D795</f>
        <v>2354000</v>
      </c>
      <c r="F22" s="1270">
        <f>'NIR faktorer'!D826</f>
        <v>147676.93231</v>
      </c>
      <c r="G22" s="1224">
        <f t="shared" si="0"/>
        <v>2706864.3262700001</v>
      </c>
      <c r="H22" s="1222">
        <f t="shared" si="7"/>
        <v>102439010.2591968</v>
      </c>
      <c r="I22" s="1222">
        <f t="shared" si="1"/>
        <v>671470.23754732311</v>
      </c>
      <c r="J22" s="1029">
        <v>0.22900000000000001</v>
      </c>
      <c r="K22" s="1222">
        <f t="shared" si="2"/>
        <v>153766.68439833701</v>
      </c>
      <c r="L22" s="1222">
        <f t="shared" si="3"/>
        <v>779444</v>
      </c>
      <c r="M22" s="1029">
        <f t="shared" si="8"/>
        <v>0.19727739824584833</v>
      </c>
      <c r="N22" s="1222">
        <f t="shared" si="4"/>
        <v>567</v>
      </c>
      <c r="O22" s="1222">
        <f t="shared" si="5"/>
        <v>111.856284805396</v>
      </c>
      <c r="P22" s="1227">
        <f t="shared" si="6"/>
        <v>-410.13971095311871</v>
      </c>
      <c r="T22" s="1213"/>
    </row>
    <row r="23" spans="1:20" x14ac:dyDescent="0.25">
      <c r="A23" s="1144"/>
      <c r="B23" s="1144"/>
      <c r="C23" s="1226">
        <f>'NIR faktorer'!B765</f>
        <v>1998</v>
      </c>
      <c r="D23" s="1270">
        <f>'NIR faktorer'!D765</f>
        <v>443284.67806000001</v>
      </c>
      <c r="E23" s="1270">
        <f>'NIR faktorer'!D796</f>
        <v>4383000</v>
      </c>
      <c r="F23" s="1270">
        <f>'NIR faktorer'!D827</f>
        <v>125233.00418</v>
      </c>
      <c r="G23" s="1224">
        <f t="shared" si="0"/>
        <v>4701051.6738799997</v>
      </c>
      <c r="H23" s="1222">
        <f t="shared" si="7"/>
        <v>103110480.49674413</v>
      </c>
      <c r="I23" s="1222">
        <f t="shared" si="1"/>
        <v>2632873.528381601</v>
      </c>
      <c r="J23" s="1029">
        <v>0.22900000000000001</v>
      </c>
      <c r="K23" s="1222">
        <f t="shared" si="2"/>
        <v>602928.03799938667</v>
      </c>
      <c r="L23" s="1222">
        <f t="shared" si="3"/>
        <v>779444</v>
      </c>
      <c r="M23" s="1029">
        <f t="shared" si="8"/>
        <v>0.77353605647023604</v>
      </c>
      <c r="N23" s="1222">
        <f t="shared" si="4"/>
        <v>567</v>
      </c>
      <c r="O23" s="1222">
        <f t="shared" si="5"/>
        <v>438.59494401862383</v>
      </c>
      <c r="P23" s="1227">
        <f t="shared" si="6"/>
        <v>-1608.1814614016209</v>
      </c>
      <c r="T23" s="1213"/>
    </row>
    <row r="24" spans="1:20" x14ac:dyDescent="0.25">
      <c r="A24" s="1144"/>
      <c r="B24" s="1144"/>
      <c r="C24" s="1226">
        <f>'NIR faktorer'!B766</f>
        <v>1999</v>
      </c>
      <c r="D24" s="1270">
        <f>'NIR faktorer'!D766</f>
        <v>441924.20535</v>
      </c>
      <c r="E24" s="1270">
        <f>'NIR faktorer'!D797</f>
        <v>4744000</v>
      </c>
      <c r="F24" s="1270">
        <f>'NIR faktorer'!D828</f>
        <v>120037.53537</v>
      </c>
      <c r="G24" s="1224">
        <f t="shared" si="0"/>
        <v>5065886.6699800007</v>
      </c>
      <c r="H24" s="1222">
        <f t="shared" si="7"/>
        <v>105743354.02512573</v>
      </c>
      <c r="I24" s="1222">
        <f t="shared" si="1"/>
        <v>2942490.5777650177</v>
      </c>
      <c r="J24" s="1029">
        <v>0.22900000000000001</v>
      </c>
      <c r="K24" s="1222">
        <f t="shared" si="2"/>
        <v>673830.34230818914</v>
      </c>
      <c r="L24" s="1222">
        <f t="shared" si="3"/>
        <v>779444</v>
      </c>
      <c r="M24" s="1029">
        <f t="shared" si="8"/>
        <v>0.86450128849306573</v>
      </c>
      <c r="N24" s="1222">
        <f t="shared" si="4"/>
        <v>567</v>
      </c>
      <c r="O24" s="1222">
        <f t="shared" si="5"/>
        <v>490.17223057556828</v>
      </c>
      <c r="P24" s="1227">
        <f t="shared" si="6"/>
        <v>-1797.2981787770839</v>
      </c>
      <c r="T24" s="1213"/>
    </row>
    <row r="25" spans="1:20" x14ac:dyDescent="0.25">
      <c r="A25" s="1144"/>
      <c r="B25" s="1144"/>
      <c r="C25" s="1226">
        <f>'NIR faktorer'!B767</f>
        <v>2000</v>
      </c>
      <c r="D25" s="1270">
        <f>'NIR faktorer'!D767</f>
        <v>411572.85252999997</v>
      </c>
      <c r="E25" s="1270">
        <f>'NIR faktorer'!D798</f>
        <v>2925000</v>
      </c>
      <c r="F25" s="1270">
        <f>'NIR faktorer'!D829</f>
        <v>105434.24169</v>
      </c>
      <c r="G25" s="1224">
        <f t="shared" si="0"/>
        <v>3231138.6108399997</v>
      </c>
      <c r="H25" s="1222">
        <f t="shared" si="7"/>
        <v>108685844.60289074</v>
      </c>
      <c r="I25" s="1222">
        <f t="shared" si="1"/>
        <v>1068090.5947128683</v>
      </c>
      <c r="J25" s="1029">
        <v>0.22900000000000001</v>
      </c>
      <c r="K25" s="1222">
        <f t="shared" si="2"/>
        <v>244592.74618924686</v>
      </c>
      <c r="L25" s="1222">
        <f t="shared" si="3"/>
        <v>779444</v>
      </c>
      <c r="M25" s="1029">
        <f t="shared" si="8"/>
        <v>0.31380412985313488</v>
      </c>
      <c r="N25" s="1222">
        <f t="shared" si="4"/>
        <v>567</v>
      </c>
      <c r="O25" s="1222">
        <f t="shared" si="5"/>
        <v>177.92694162672748</v>
      </c>
      <c r="P25" s="1227">
        <f t="shared" si="6"/>
        <v>-652.39878596466747</v>
      </c>
      <c r="T25" s="1213"/>
    </row>
    <row r="26" spans="1:20" x14ac:dyDescent="0.25">
      <c r="A26" s="1144"/>
      <c r="B26" s="1144"/>
      <c r="C26" s="1226">
        <f>'NIR faktorer'!B768</f>
        <v>2001</v>
      </c>
      <c r="D26" s="1270">
        <f>'NIR faktorer'!D768</f>
        <v>328396.21136999998</v>
      </c>
      <c r="E26" s="1270">
        <f>'NIR faktorer'!D799</f>
        <v>2659000</v>
      </c>
      <c r="F26" s="1270">
        <f>'NIR faktorer'!D830</f>
        <v>80012.220799999996</v>
      </c>
      <c r="G26" s="1224">
        <f t="shared" si="0"/>
        <v>2907383.9905700004</v>
      </c>
      <c r="H26" s="1222">
        <f t="shared" si="7"/>
        <v>109753935.19760361</v>
      </c>
      <c r="I26" s="1222">
        <f t="shared" si="1"/>
        <v>726576.16206461191</v>
      </c>
      <c r="J26" s="1029">
        <v>0.22900000000000001</v>
      </c>
      <c r="K26" s="1222">
        <f t="shared" si="2"/>
        <v>166385.94111279614</v>
      </c>
      <c r="L26" s="1222">
        <f t="shared" si="3"/>
        <v>779444</v>
      </c>
      <c r="M26" s="1029">
        <f t="shared" si="8"/>
        <v>0.21346747311262404</v>
      </c>
      <c r="N26" s="1222">
        <f t="shared" si="4"/>
        <v>567</v>
      </c>
      <c r="O26" s="1222">
        <f t="shared" si="5"/>
        <v>121.03605725485784</v>
      </c>
      <c r="P26" s="1227">
        <f t="shared" si="6"/>
        <v>-443.79887660114537</v>
      </c>
      <c r="T26" s="1213"/>
    </row>
    <row r="27" spans="1:20" x14ac:dyDescent="0.25">
      <c r="A27" s="1144"/>
      <c r="B27" s="1144"/>
      <c r="C27" s="1226">
        <f>'NIR faktorer'!B769</f>
        <v>2002</v>
      </c>
      <c r="D27" s="1270">
        <f>'NIR faktorer'!D769</f>
        <v>270229.17060000001</v>
      </c>
      <c r="E27" s="1270">
        <f>'NIR faktorer'!D800</f>
        <v>2679269</v>
      </c>
      <c r="F27" s="1270">
        <f>'NIR faktorer'!D831</f>
        <v>62093.014913999999</v>
      </c>
      <c r="G27" s="1224">
        <f t="shared" si="0"/>
        <v>2887405.1556859999</v>
      </c>
      <c r="H27" s="1222">
        <f t="shared" si="7"/>
        <v>110480511.35966823</v>
      </c>
      <c r="I27" s="1222">
        <f t="shared" si="1"/>
        <v>692546.14475144446</v>
      </c>
      <c r="J27" s="1029">
        <v>0.22900000000000001</v>
      </c>
      <c r="K27" s="1222">
        <f t="shared" si="2"/>
        <v>158593.06714808079</v>
      </c>
      <c r="L27" s="1222">
        <f t="shared" si="3"/>
        <v>779444</v>
      </c>
      <c r="M27" s="1029">
        <f t="shared" si="8"/>
        <v>0.20346948228234588</v>
      </c>
      <c r="N27" s="1222">
        <f t="shared" si="4"/>
        <v>567</v>
      </c>
      <c r="O27" s="1222">
        <f t="shared" si="5"/>
        <v>115.36719645409011</v>
      </c>
      <c r="P27" s="1227">
        <f t="shared" si="6"/>
        <v>-423.01305366499702</v>
      </c>
      <c r="T27" s="1213"/>
    </row>
    <row r="28" spans="1:20" x14ac:dyDescent="0.25">
      <c r="A28" s="1144"/>
      <c r="B28" s="1144"/>
      <c r="C28" s="1226">
        <f>'NIR faktorer'!B770</f>
        <v>2003</v>
      </c>
      <c r="D28" s="1270">
        <f>'NIR faktorer'!D770</f>
        <v>309128.22749000002</v>
      </c>
      <c r="E28" s="1270">
        <f>'NIR faktorer'!D801</f>
        <v>2301681</v>
      </c>
      <c r="F28" s="1270">
        <f>'NIR faktorer'!D832</f>
        <v>66907.330585000003</v>
      </c>
      <c r="G28" s="1224">
        <f t="shared" si="0"/>
        <v>2543901.8969049999</v>
      </c>
      <c r="H28" s="1222">
        <f t="shared" si="7"/>
        <v>111173057.50441967</v>
      </c>
      <c r="I28" s="1222">
        <f t="shared" si="1"/>
        <v>338841.53968279064</v>
      </c>
      <c r="J28" s="1029">
        <v>0.22900000000000001</v>
      </c>
      <c r="K28" s="1222">
        <f t="shared" si="2"/>
        <v>77594.712587359056</v>
      </c>
      <c r="L28" s="1222">
        <f t="shared" si="3"/>
        <v>779444</v>
      </c>
      <c r="M28" s="1029">
        <f t="shared" si="8"/>
        <v>9.9551363006654819E-2</v>
      </c>
      <c r="N28" s="1222">
        <f t="shared" si="4"/>
        <v>567</v>
      </c>
      <c r="O28" s="1222">
        <f t="shared" si="5"/>
        <v>56.445622824773281</v>
      </c>
      <c r="P28" s="1227">
        <f t="shared" si="6"/>
        <v>-206.96728369083539</v>
      </c>
    </row>
    <row r="29" spans="1:20" x14ac:dyDescent="0.25">
      <c r="A29" s="1144"/>
      <c r="B29" s="1144"/>
      <c r="C29" s="1226">
        <f>'NIR faktorer'!B771</f>
        <v>2004</v>
      </c>
      <c r="D29" s="1270">
        <f>'NIR faktorer'!D771</f>
        <v>275317.00290999998</v>
      </c>
      <c r="E29" s="1270">
        <f>'NIR faktorer'!D802</f>
        <v>2350616</v>
      </c>
      <c r="F29" s="1270">
        <f>'NIR faktorer'!D833</f>
        <v>55286.340595000001</v>
      </c>
      <c r="G29" s="1224">
        <f t="shared" si="0"/>
        <v>2570646.6623149998</v>
      </c>
      <c r="H29" s="1222">
        <f t="shared" si="7"/>
        <v>111511899.04410246</v>
      </c>
      <c r="I29" s="1222">
        <f t="shared" si="1"/>
        <v>358678.73938584328</v>
      </c>
      <c r="J29" s="1029">
        <v>0.22900000000000001</v>
      </c>
      <c r="K29" s="1222">
        <f t="shared" si="2"/>
        <v>82137.431319358118</v>
      </c>
      <c r="L29" s="1222">
        <f t="shared" si="3"/>
        <v>779444</v>
      </c>
      <c r="M29" s="1029">
        <f t="shared" si="8"/>
        <v>0.10537951580788116</v>
      </c>
      <c r="N29" s="1222">
        <f t="shared" si="4"/>
        <v>567</v>
      </c>
      <c r="O29" s="1222">
        <f t="shared" si="5"/>
        <v>59.750185463068618</v>
      </c>
      <c r="P29" s="1227">
        <f t="shared" si="6"/>
        <v>-219.08401336458493</v>
      </c>
    </row>
    <row r="30" spans="1:20" x14ac:dyDescent="0.25">
      <c r="A30" s="1144"/>
      <c r="B30" s="1144"/>
      <c r="C30" s="1226">
        <f>'NIR faktorer'!B772</f>
        <v>2005</v>
      </c>
      <c r="D30" s="1270">
        <f>'NIR faktorer'!D772</f>
        <v>312454.51329999999</v>
      </c>
      <c r="E30" s="1270">
        <f>'NIR faktorer'!D803</f>
        <v>2200547</v>
      </c>
      <c r="F30" s="1270">
        <f>'NIR faktorer'!D834</f>
        <v>58496.597637999999</v>
      </c>
      <c r="G30" s="1224">
        <f t="shared" si="0"/>
        <v>2454504.915662</v>
      </c>
      <c r="H30" s="1222">
        <f t="shared" si="7"/>
        <v>111870577.7834883</v>
      </c>
      <c r="I30" s="1222">
        <f t="shared" si="1"/>
        <v>236646.01442918181</v>
      </c>
      <c r="J30" s="1029">
        <v>0.22900000000000001</v>
      </c>
      <c r="K30" s="1222">
        <f t="shared" si="2"/>
        <v>54191.937304282641</v>
      </c>
      <c r="L30" s="1222">
        <f t="shared" si="3"/>
        <v>779444</v>
      </c>
      <c r="M30" s="1029">
        <f t="shared" si="8"/>
        <v>6.9526402543714033E-2</v>
      </c>
      <c r="N30" s="1222">
        <f t="shared" si="4"/>
        <v>567</v>
      </c>
      <c r="O30" s="1222">
        <f t="shared" si="5"/>
        <v>39.421470242285857</v>
      </c>
      <c r="P30" s="1227">
        <f t="shared" si="6"/>
        <v>-144.54539088838149</v>
      </c>
    </row>
    <row r="31" spans="1:20" x14ac:dyDescent="0.25">
      <c r="A31" s="1144"/>
      <c r="B31" s="1144"/>
      <c r="C31" s="1226">
        <f>'NIR faktorer'!B773</f>
        <v>2006</v>
      </c>
      <c r="D31" s="1270">
        <f>'NIR faktorer'!D773</f>
        <v>314735.21117000002</v>
      </c>
      <c r="E31" s="1270">
        <f>'NIR faktorer'!D804</f>
        <v>2650861</v>
      </c>
      <c r="F31" s="1270">
        <f>'NIR faktorer'!D835</f>
        <v>54256.905804000002</v>
      </c>
      <c r="G31" s="1224">
        <f t="shared" si="0"/>
        <v>2911339.3053660002</v>
      </c>
      <c r="H31" s="1222">
        <f t="shared" si="7"/>
        <v>112107223.79791749</v>
      </c>
      <c r="I31" s="1222">
        <f t="shared" si="1"/>
        <v>684346.01411496103</v>
      </c>
      <c r="J31" s="1029">
        <v>0.22900000000000001</v>
      </c>
      <c r="K31" s="1222">
        <f t="shared" si="2"/>
        <v>156715.23723232609</v>
      </c>
      <c r="L31" s="1222">
        <f t="shared" si="3"/>
        <v>779444</v>
      </c>
      <c r="M31" s="1029">
        <f t="shared" si="8"/>
        <v>0.20106029071020637</v>
      </c>
      <c r="N31" s="1222">
        <f t="shared" si="4"/>
        <v>567</v>
      </c>
      <c r="O31" s="1222">
        <f t="shared" si="5"/>
        <v>114.00118483268702</v>
      </c>
      <c r="P31" s="1227">
        <f t="shared" si="6"/>
        <v>-418.00434438651905</v>
      </c>
    </row>
    <row r="32" spans="1:20" x14ac:dyDescent="0.25">
      <c r="A32" s="1144"/>
      <c r="B32" s="1144"/>
      <c r="C32" s="1226">
        <f>'NIR faktorer'!B774</f>
        <v>2007</v>
      </c>
      <c r="D32" s="1270">
        <f>'NIR faktorer'!D774</f>
        <v>317015.90904</v>
      </c>
      <c r="E32" s="1270">
        <f>'NIR faktorer'!D805</f>
        <v>2298201</v>
      </c>
      <c r="F32" s="1270">
        <f>'NIR faktorer'!D836</f>
        <v>49827.584876000001</v>
      </c>
      <c r="G32" s="1224">
        <f t="shared" si="0"/>
        <v>2565389.3241639999</v>
      </c>
      <c r="H32" s="1222">
        <f t="shared" si="7"/>
        <v>112791569.81203245</v>
      </c>
      <c r="I32" s="1222">
        <f t="shared" si="1"/>
        <v>328379.55473385751</v>
      </c>
      <c r="J32" s="1029">
        <v>0.22900000000000001</v>
      </c>
      <c r="K32" s="1222">
        <f t="shared" si="2"/>
        <v>75198.918034053379</v>
      </c>
      <c r="L32" s="1222">
        <f t="shared" si="3"/>
        <v>779444</v>
      </c>
      <c r="M32" s="1029">
        <f t="shared" si="8"/>
        <v>9.6477640515615457E-2</v>
      </c>
      <c r="N32" s="1222">
        <f t="shared" si="4"/>
        <v>567</v>
      </c>
      <c r="O32" s="1222">
        <f t="shared" si="5"/>
        <v>54.702822172353962</v>
      </c>
      <c r="P32" s="1227">
        <f t="shared" si="6"/>
        <v>-200.57701463196452</v>
      </c>
    </row>
    <row r="33" spans="1:16" x14ac:dyDescent="0.25">
      <c r="A33" s="1144"/>
      <c r="B33" s="1144"/>
      <c r="C33" s="1226">
        <f>'NIR faktorer'!B775</f>
        <v>2008</v>
      </c>
      <c r="D33" s="1270">
        <f>'NIR faktorer'!D775</f>
        <v>324759.82900999999</v>
      </c>
      <c r="E33" s="1270">
        <f>'NIR faktorer'!D806</f>
        <v>1775438</v>
      </c>
      <c r="F33" s="1270">
        <f>'NIR faktorer'!D837</f>
        <v>45991.036334999997</v>
      </c>
      <c r="G33" s="1224">
        <f t="shared" si="0"/>
        <v>2054206.7926749999</v>
      </c>
      <c r="H33" s="1222">
        <f t="shared" si="7"/>
        <v>113119949.3667663</v>
      </c>
      <c r="I33" s="1222">
        <f t="shared" si="1"/>
        <v>-184213.76773805916</v>
      </c>
      <c r="J33" s="1029">
        <v>0.22900000000000001</v>
      </c>
      <c r="K33" s="1222">
        <f t="shared" si="2"/>
        <v>-42184.952812015552</v>
      </c>
      <c r="L33" s="1222">
        <f t="shared" si="3"/>
        <v>779444</v>
      </c>
      <c r="M33" s="1029">
        <f t="shared" si="8"/>
        <v>-5.4121852002216392E-2</v>
      </c>
      <c r="N33" s="1222">
        <f t="shared" si="4"/>
        <v>567</v>
      </c>
      <c r="O33" s="1222">
        <f t="shared" si="5"/>
        <v>-30.687090085256695</v>
      </c>
      <c r="P33" s="1227">
        <f t="shared" si="6"/>
        <v>112.51933031260789</v>
      </c>
    </row>
    <row r="34" spans="1:16" x14ac:dyDescent="0.25">
      <c r="A34" s="1144"/>
      <c r="B34" s="1144"/>
      <c r="C34" s="1226">
        <f>'NIR faktorer'!B776</f>
        <v>2009</v>
      </c>
      <c r="D34" s="1270">
        <f>'NIR faktorer'!D776</f>
        <v>332503.74897999997</v>
      </c>
      <c r="E34" s="1270">
        <f>'NIR faktorer'!D807</f>
        <v>1246520</v>
      </c>
      <c r="F34" s="1270">
        <f>'NIR faktorer'!D838</f>
        <v>41839.527127000001</v>
      </c>
      <c r="G34" s="1224">
        <f t="shared" si="0"/>
        <v>1537184.2218529999</v>
      </c>
      <c r="H34" s="1222">
        <f t="shared" si="7"/>
        <v>112935735.59902824</v>
      </c>
      <c r="I34" s="1222">
        <f t="shared" si="1"/>
        <v>-692538.03833949566</v>
      </c>
      <c r="J34" s="1029">
        <v>0.22900000000000001</v>
      </c>
      <c r="K34" s="1222">
        <f t="shared" si="2"/>
        <v>-158591.21077974452</v>
      </c>
      <c r="L34" s="1222">
        <f t="shared" si="3"/>
        <v>779444</v>
      </c>
      <c r="M34" s="1029">
        <f t="shared" si="8"/>
        <v>-0.20346710062524637</v>
      </c>
      <c r="N34" s="1222">
        <f t="shared" si="4"/>
        <v>567</v>
      </c>
      <c r="O34" s="1222">
        <f t="shared" si="5"/>
        <v>-115.36584605451469</v>
      </c>
      <c r="P34" s="1227">
        <f t="shared" si="6"/>
        <v>423.00810219988716</v>
      </c>
    </row>
    <row r="35" spans="1:16" x14ac:dyDescent="0.25">
      <c r="A35" s="1144"/>
      <c r="B35" s="1144"/>
      <c r="C35" s="1226">
        <f>'NIR faktorer'!B777</f>
        <v>2010</v>
      </c>
      <c r="D35" s="1270">
        <f>'NIR faktorer'!D777</f>
        <v>340247.66895000002</v>
      </c>
      <c r="E35" s="1270">
        <f>'NIR faktorer'!D808</f>
        <v>1310706</v>
      </c>
      <c r="F35" s="1270">
        <f>'NIR faktorer'!D839</f>
        <v>37373.057250999998</v>
      </c>
      <c r="G35" s="1224">
        <f t="shared" si="0"/>
        <v>1613580.611699</v>
      </c>
      <c r="H35" s="1222">
        <f t="shared" si="7"/>
        <v>112243197.56068875</v>
      </c>
      <c r="I35" s="1222">
        <f t="shared" si="1"/>
        <v>-603312.91562369466</v>
      </c>
      <c r="J35" s="1029">
        <v>0.22900000000000001</v>
      </c>
      <c r="K35" s="1222">
        <f t="shared" si="2"/>
        <v>-138158.65767782609</v>
      </c>
      <c r="L35" s="1222">
        <f>$L$36</f>
        <v>779444</v>
      </c>
      <c r="M35" s="1029">
        <f t="shared" si="8"/>
        <v>-0.17725283365812822</v>
      </c>
      <c r="N35" s="1222">
        <f>$N$36</f>
        <v>567</v>
      </c>
      <c r="O35" s="1222">
        <f t="shared" si="5"/>
        <v>-100.5023566841587</v>
      </c>
      <c r="P35" s="1227">
        <f t="shared" si="6"/>
        <v>368.50864117524856</v>
      </c>
    </row>
    <row r="36" spans="1:16" x14ac:dyDescent="0.25">
      <c r="A36" s="1144"/>
      <c r="B36" s="1144"/>
      <c r="C36" s="1226">
        <f>'NIR faktorer'!B778</f>
        <v>2011</v>
      </c>
      <c r="D36" s="1270">
        <f>'NIR faktorer'!D778</f>
        <v>357748.5</v>
      </c>
      <c r="E36" s="1270">
        <f>'NIR faktorer'!D809</f>
        <v>1356124</v>
      </c>
      <c r="F36" s="1270">
        <f>'NIR faktorer'!D840</f>
        <v>33653.188562000003</v>
      </c>
      <c r="G36" s="1224">
        <f t="shared" si="0"/>
        <v>1680219.3114380001</v>
      </c>
      <c r="H36" s="1222">
        <f t="shared" si="7"/>
        <v>111639884.64506505</v>
      </c>
      <c r="I36" s="1222">
        <f t="shared" si="1"/>
        <v>-525499.14629386365</v>
      </c>
      <c r="J36" s="1029">
        <v>0.22900000000000001</v>
      </c>
      <c r="K36" s="1222">
        <f t="shared" si="2"/>
        <v>-120339.30450129478</v>
      </c>
      <c r="L36" s="1222" cm="1">
        <f t="array" ref="L36:L44">TRANSPOSE(BYGB34!C11:K11)</f>
        <v>779444</v>
      </c>
      <c r="M36" s="1029">
        <f t="shared" si="8"/>
        <v>-0.15439121284055657</v>
      </c>
      <c r="N36" s="1222" cm="1">
        <f t="array" ref="N36:N44">TRANSPOSE(BYGB34!C13:K13)</f>
        <v>567</v>
      </c>
      <c r="O36" s="1222">
        <f t="shared" si="5"/>
        <v>-87.539817680595576</v>
      </c>
      <c r="P36" s="1227">
        <f t="shared" si="6"/>
        <v>320.9793314955171</v>
      </c>
    </row>
    <row r="37" spans="1:16" x14ac:dyDescent="0.25">
      <c r="A37" s="1144"/>
      <c r="B37" s="1144"/>
      <c r="C37" s="1226">
        <f>'NIR faktorer'!B779</f>
        <v>2012</v>
      </c>
      <c r="D37" s="1270">
        <f>'NIR faktorer'!D779</f>
        <v>353762</v>
      </c>
      <c r="E37" s="1270">
        <f>'NIR faktorer'!D810</f>
        <v>1370738</v>
      </c>
      <c r="F37" s="1270">
        <f>'NIR faktorer'!D841</f>
        <v>43304.341958999998</v>
      </c>
      <c r="G37" s="1224">
        <f t="shared" si="0"/>
        <v>1681195.6580409999</v>
      </c>
      <c r="H37" s="1222">
        <f t="shared" si="7"/>
        <v>111114385.49877119</v>
      </c>
      <c r="I37" s="1222">
        <f t="shared" si="1"/>
        <v>-514227.6863322258</v>
      </c>
      <c r="J37" s="1029">
        <v>0.22900000000000001</v>
      </c>
      <c r="K37" s="1222">
        <f t="shared" si="2"/>
        <v>-117758.14017007971</v>
      </c>
      <c r="L37" s="1222">
        <v>784178</v>
      </c>
      <c r="M37" s="1029">
        <f t="shared" si="8"/>
        <v>-0.15016761522266592</v>
      </c>
      <c r="N37" s="1222">
        <v>571</v>
      </c>
      <c r="O37" s="1222">
        <f t="shared" si="5"/>
        <v>-85.74570829214224</v>
      </c>
      <c r="P37" s="1227">
        <f t="shared" si="6"/>
        <v>314.40093040452155</v>
      </c>
    </row>
    <row r="38" spans="1:16" x14ac:dyDescent="0.25">
      <c r="A38" s="1144"/>
      <c r="B38" s="1144"/>
      <c r="C38" s="1226">
        <f>'NIR faktorer'!B780</f>
        <v>2013</v>
      </c>
      <c r="D38" s="1270">
        <f>'NIR faktorer'!D780</f>
        <v>357602</v>
      </c>
      <c r="E38" s="1270">
        <f>'NIR faktorer'!D811</f>
        <v>1886000</v>
      </c>
      <c r="F38" s="1270">
        <f>'NIR faktorer'!D842</f>
        <v>55307.922826000002</v>
      </c>
      <c r="G38" s="1224">
        <f t="shared" si="0"/>
        <v>2188294.077174</v>
      </c>
      <c r="H38" s="1222">
        <f t="shared" si="7"/>
        <v>110600157.81243896</v>
      </c>
      <c r="I38" s="1222">
        <f t="shared" si="1"/>
        <v>-2033.9320650398731</v>
      </c>
      <c r="J38" s="1029">
        <v>0.22900000000000001</v>
      </c>
      <c r="K38" s="1222">
        <f t="shared" si="2"/>
        <v>-465.77044289413095</v>
      </c>
      <c r="L38" s="1222">
        <v>788943</v>
      </c>
      <c r="M38" s="1029">
        <f t="shared" si="8"/>
        <v>-5.9037274289033674E-4</v>
      </c>
      <c r="N38" s="1222">
        <v>578</v>
      </c>
      <c r="O38" s="1222">
        <f t="shared" si="5"/>
        <v>-0.34123544539061462</v>
      </c>
      <c r="P38" s="1227">
        <f t="shared" si="6"/>
        <v>1.2511966330989204</v>
      </c>
    </row>
    <row r="39" spans="1:16" x14ac:dyDescent="0.25">
      <c r="A39" s="1144"/>
      <c r="B39" s="1144"/>
      <c r="C39" s="1226">
        <f>'NIR faktorer'!B781</f>
        <v>2014</v>
      </c>
      <c r="D39" s="1270">
        <f>'NIR faktorer'!D781</f>
        <v>415219.66126000002</v>
      </c>
      <c r="E39" s="1270">
        <f>'NIR faktorer'!D812</f>
        <v>1878000</v>
      </c>
      <c r="F39" s="1270">
        <f>'NIR faktorer'!D843</f>
        <v>69046.117394000001</v>
      </c>
      <c r="G39" s="1224">
        <f t="shared" si="0"/>
        <v>2224173.5438660001</v>
      </c>
      <c r="H39" s="1222">
        <f t="shared" si="7"/>
        <v>110598123.88037392</v>
      </c>
      <c r="I39" s="1222">
        <f t="shared" si="1"/>
        <v>33532.470428600907</v>
      </c>
      <c r="J39" s="1029">
        <v>0.22900000000000001</v>
      </c>
      <c r="K39" s="1222">
        <f t="shared" si="2"/>
        <v>7678.9357281496077</v>
      </c>
      <c r="L39" s="1222">
        <v>794259</v>
      </c>
      <c r="M39" s="1029">
        <f t="shared" si="8"/>
        <v>9.6680500040284192E-3</v>
      </c>
      <c r="N39" s="1222">
        <v>593</v>
      </c>
      <c r="O39" s="1222">
        <f t="shared" si="5"/>
        <v>5.7331536523888529</v>
      </c>
      <c r="P39" s="1227">
        <f t="shared" si="6"/>
        <v>-21.02156339209246</v>
      </c>
    </row>
    <row r="40" spans="1:16" x14ac:dyDescent="0.25">
      <c r="A40" s="1144"/>
      <c r="B40" s="1144"/>
      <c r="C40" s="1226">
        <f>'NIR faktorer'!B782</f>
        <v>2015</v>
      </c>
      <c r="D40" s="1270">
        <f>'NIR faktorer'!D782</f>
        <v>427699.74852000002</v>
      </c>
      <c r="E40" s="1270">
        <f>'NIR faktorer'!D813</f>
        <v>2199000</v>
      </c>
      <c r="F40" s="1270">
        <f>'NIR faktorer'!D844</f>
        <v>87222.290177999996</v>
      </c>
      <c r="G40" s="1224">
        <f t="shared" si="0"/>
        <v>2539477.4583419999</v>
      </c>
      <c r="H40" s="1222">
        <f t="shared" si="7"/>
        <v>110631656.35080253</v>
      </c>
      <c r="I40" s="1222">
        <f t="shared" si="1"/>
        <v>345077.17097528279</v>
      </c>
      <c r="J40" s="1029">
        <v>0.22900000000000001</v>
      </c>
      <c r="K40" s="1222">
        <f t="shared" si="2"/>
        <v>79022.672153339765</v>
      </c>
      <c r="L40" s="1222">
        <v>799067</v>
      </c>
      <c r="M40" s="1029">
        <f t="shared" si="8"/>
        <v>9.8893674940073562E-2</v>
      </c>
      <c r="N40" s="1222">
        <v>592</v>
      </c>
      <c r="O40" s="1222">
        <f t="shared" si="5"/>
        <v>58.545055564523551</v>
      </c>
      <c r="P40" s="1227">
        <f t="shared" si="6"/>
        <v>-214.66520373658636</v>
      </c>
    </row>
    <row r="41" spans="1:16" x14ac:dyDescent="0.25">
      <c r="A41" s="1144"/>
      <c r="B41" s="1144"/>
      <c r="C41" s="1226">
        <f>'NIR faktorer'!B783</f>
        <v>2016</v>
      </c>
      <c r="D41" s="1270">
        <f>'NIR faktorer'!D783</f>
        <v>448401.01948999998</v>
      </c>
      <c r="E41" s="1270">
        <f>'NIR faktorer'!D814</f>
        <v>1634000</v>
      </c>
      <c r="F41" s="1270">
        <f>'NIR faktorer'!D845</f>
        <v>58647.385440999999</v>
      </c>
      <c r="G41" s="1224">
        <f t="shared" si="0"/>
        <v>2023753.6340489998</v>
      </c>
      <c r="H41" s="1222">
        <f t="shared" si="7"/>
        <v>110976733.52177781</v>
      </c>
      <c r="I41" s="1222">
        <f t="shared" si="1"/>
        <v>-172340.20141360164</v>
      </c>
      <c r="J41" s="1029">
        <v>0.22900000000000001</v>
      </c>
      <c r="K41" s="1222">
        <f t="shared" si="2"/>
        <v>-39465.906123714776</v>
      </c>
      <c r="L41" s="1224">
        <v>803717</v>
      </c>
      <c r="M41" s="1029">
        <f t="shared" si="8"/>
        <v>-4.91042321161737E-2</v>
      </c>
      <c r="N41" s="1222">
        <v>598</v>
      </c>
      <c r="O41" s="1222">
        <f t="shared" si="5"/>
        <v>-29.364330805471873</v>
      </c>
      <c r="P41" s="1227">
        <f t="shared" si="6"/>
        <v>107.66921295339687</v>
      </c>
    </row>
    <row r="42" spans="1:16" x14ac:dyDescent="0.25">
      <c r="A42" s="1144"/>
      <c r="B42" s="1144"/>
      <c r="C42" s="1226">
        <f>'NIR faktorer'!B784</f>
        <v>2017</v>
      </c>
      <c r="D42" s="1270">
        <f>'NIR faktorer'!D784</f>
        <v>382000</v>
      </c>
      <c r="E42" s="1270">
        <f>'NIR faktorer'!D815</f>
        <v>1634000</v>
      </c>
      <c r="F42" s="1270">
        <f>'NIR faktorer'!D846</f>
        <v>56440</v>
      </c>
      <c r="G42" s="1224">
        <f t="shared" si="0"/>
        <v>1959560</v>
      </c>
      <c r="H42" s="1222">
        <f t="shared" si="7"/>
        <v>110804393.32036421</v>
      </c>
      <c r="I42" s="1222">
        <f t="shared" si="1"/>
        <v>-232522.87278103828</v>
      </c>
      <c r="J42" s="1029">
        <v>0.22900000000000001</v>
      </c>
      <c r="K42" s="1222">
        <f t="shared" si="2"/>
        <v>-53247.737866857766</v>
      </c>
      <c r="L42" s="1222">
        <v>809168</v>
      </c>
      <c r="M42" s="1029">
        <f t="shared" si="8"/>
        <v>-6.5805540835596268E-2</v>
      </c>
      <c r="N42" s="1222">
        <v>599</v>
      </c>
      <c r="O42" s="1222">
        <f t="shared" si="5"/>
        <v>-39.417518960522166</v>
      </c>
      <c r="P42" s="1227">
        <f t="shared" si="6"/>
        <v>144.53090285524794</v>
      </c>
    </row>
    <row r="43" spans="1:16" x14ac:dyDescent="0.25">
      <c r="A43" s="1144"/>
      <c r="B43" s="1144"/>
      <c r="C43" s="1226">
        <f>'NIR faktorer'!B785</f>
        <v>2018</v>
      </c>
      <c r="D43" s="1270">
        <f>'NIR faktorer'!D785</f>
        <v>270315</v>
      </c>
      <c r="E43" s="1270">
        <f>'NIR faktorer'!D816</f>
        <v>1634000</v>
      </c>
      <c r="F43" s="1270">
        <f>'NIR faktorer'!D847</f>
        <v>36792</v>
      </c>
      <c r="G43" s="1224">
        <f>IFERROR(D43+E43-F43,D43-F43)</f>
        <v>1867523</v>
      </c>
      <c r="H43" s="1222">
        <f t="shared" si="7"/>
        <v>110571870.44758317</v>
      </c>
      <c r="I43" s="1493">
        <f>H44-H43</f>
        <v>-319094.86783871055</v>
      </c>
      <c r="J43" s="1225">
        <v>0.22900000000000001</v>
      </c>
      <c r="K43" s="1224">
        <f t="shared" si="2"/>
        <v>-73072.724735064723</v>
      </c>
      <c r="L43" s="1224">
        <v>817313</v>
      </c>
      <c r="M43" s="1029">
        <f t="shared" si="8"/>
        <v>-8.9406047297748509E-2</v>
      </c>
      <c r="N43" s="1222">
        <v>604</v>
      </c>
      <c r="O43" s="1222">
        <f t="shared" si="5"/>
        <v>-54.001252567840098</v>
      </c>
      <c r="P43" s="1492">
        <f t="shared" si="6"/>
        <v>198.004592748747</v>
      </c>
    </row>
    <row r="44" spans="1:16" ht="15.75" thickBot="1" x14ac:dyDescent="0.3">
      <c r="A44" s="1144"/>
      <c r="B44" s="1144"/>
      <c r="C44" s="1226">
        <f>'NIR faktorer'!B786</f>
        <v>2019</v>
      </c>
      <c r="D44" s="4050">
        <f>'NIR faktorer'!D786</f>
        <v>394267</v>
      </c>
      <c r="E44" s="4050">
        <f>'NIR faktorer'!D817</f>
        <v>2978046</v>
      </c>
      <c r="F44" s="4050">
        <f>'NIR faktorer'!D848</f>
        <v>45181</v>
      </c>
      <c r="G44" s="1218">
        <f>IFERROR(D44+E44-F44,D44-F44)</f>
        <v>3327132</v>
      </c>
      <c r="H44" s="1220">
        <f t="shared" si="7"/>
        <v>110252775.57974446</v>
      </c>
      <c r="I44" s="1218"/>
      <c r="J44" s="1218"/>
      <c r="K44" s="1218"/>
      <c r="L44" s="1494">
        <v>819112</v>
      </c>
      <c r="M44" s="1218"/>
      <c r="N44" s="1253">
        <v>606</v>
      </c>
      <c r="O44" s="1218"/>
      <c r="P44" s="1252"/>
    </row>
    <row r="45" spans="1:16" x14ac:dyDescent="0.25">
      <c r="A45" s="1144"/>
      <c r="B45" s="1144"/>
      <c r="C45" s="1110" t="s">
        <v>2497</v>
      </c>
    </row>
    <row r="46" spans="1:16" s="1766" customFormat="1" ht="33.75" customHeight="1" x14ac:dyDescent="0.2">
      <c r="A46" s="5324" t="s">
        <v>2042</v>
      </c>
      <c r="B46" s="5324"/>
      <c r="D46" s="5325" t="str">
        <f>'NIR faktorer'!D851</f>
        <v xml:space="preserve"> NIR 2020 (2018) CRF tabel 4.Gs2</v>
      </c>
      <c r="E46" s="5325"/>
      <c r="F46" s="5325"/>
      <c r="J46" s="1215" t="s">
        <v>2488</v>
      </c>
      <c r="L46" s="1215" t="s">
        <v>2496</v>
      </c>
      <c r="N46" s="1215" t="s">
        <v>2496</v>
      </c>
      <c r="P46" s="1214" t="s">
        <v>2418</v>
      </c>
    </row>
    <row r="47" spans="1:16" ht="15.75" thickBot="1" x14ac:dyDescent="0.3">
      <c r="A47" s="1144"/>
      <c r="B47" s="1144"/>
    </row>
    <row r="48" spans="1:16" x14ac:dyDescent="0.25">
      <c r="A48" s="1144"/>
      <c r="B48" s="1144"/>
      <c r="C48" s="1246" t="s">
        <v>2495</v>
      </c>
      <c r="D48" s="1258">
        <v>25</v>
      </c>
    </row>
    <row r="49" spans="1:16" x14ac:dyDescent="0.25">
      <c r="A49" s="1144"/>
      <c r="B49" s="1144"/>
      <c r="C49" s="1238" t="s">
        <v>2494</v>
      </c>
      <c r="D49" s="1257">
        <f>LN(2)/D48</f>
        <v>2.7725887222397813E-2</v>
      </c>
    </row>
    <row r="50" spans="1:16" x14ac:dyDescent="0.25">
      <c r="A50" s="1144"/>
      <c r="B50" s="1144"/>
      <c r="C50" s="1238" t="s">
        <v>2493</v>
      </c>
      <c r="D50" s="1257">
        <f>EXP(-D49)</f>
        <v>0.97265494741228553</v>
      </c>
    </row>
    <row r="51" spans="1:16" ht="18" thickBot="1" x14ac:dyDescent="0.3">
      <c r="A51" s="1144"/>
      <c r="B51" s="1144"/>
      <c r="C51" s="1236" t="s">
        <v>2492</v>
      </c>
      <c r="D51" s="1256">
        <f>(1-EXP(-D49))/D49</f>
        <v>0.98626429402858951</v>
      </c>
    </row>
    <row r="52" spans="1:16" x14ac:dyDescent="0.25">
      <c r="A52" s="1144"/>
      <c r="B52" s="1144"/>
      <c r="C52" s="1235" t="s">
        <v>2491</v>
      </c>
      <c r="D52" s="1255"/>
    </row>
    <row r="53" spans="1:16" x14ac:dyDescent="0.25">
      <c r="A53" s="1144"/>
      <c r="B53" s="1144"/>
    </row>
    <row r="54" spans="1:16" ht="45.75" customHeight="1" thickBot="1" x14ac:dyDescent="0.3">
      <c r="A54" s="1144"/>
      <c r="B54" s="1144"/>
      <c r="C54" s="5326" t="s">
        <v>4913</v>
      </c>
      <c r="D54" s="5326"/>
      <c r="E54" s="5326"/>
    </row>
    <row r="55" spans="1:16" s="1001" customFormat="1" ht="63" customHeight="1" thickBot="1" x14ac:dyDescent="0.25">
      <c r="A55" s="1254"/>
      <c r="B55" s="1254"/>
      <c r="C55" s="1015" t="s">
        <v>977</v>
      </c>
      <c r="D55" s="1762" t="s">
        <v>4902</v>
      </c>
      <c r="E55" s="1762" t="s">
        <v>4903</v>
      </c>
      <c r="F55" s="1762" t="s">
        <v>4904</v>
      </c>
      <c r="G55" s="1762" t="s">
        <v>4916</v>
      </c>
      <c r="H55" s="1762" t="s">
        <v>4917</v>
      </c>
      <c r="I55" s="1762" t="s">
        <v>4918</v>
      </c>
      <c r="J55" s="1762" t="s">
        <v>4905</v>
      </c>
      <c r="K55" s="1762" t="s">
        <v>4906</v>
      </c>
      <c r="L55" s="1762" t="s">
        <v>4907</v>
      </c>
      <c r="M55" s="1762" t="s">
        <v>4909</v>
      </c>
      <c r="N55" s="1762" t="s">
        <v>4757</v>
      </c>
      <c r="O55" s="1762" t="s">
        <v>4910</v>
      </c>
      <c r="P55" s="1763" t="s">
        <v>4911</v>
      </c>
    </row>
    <row r="56" spans="1:16" ht="17.25" x14ac:dyDescent="0.25">
      <c r="A56" s="1000" t="s">
        <v>2498</v>
      </c>
      <c r="B56" s="1144"/>
      <c r="C56" s="1265">
        <f>'NIR faktorer'!B854</f>
        <v>1990</v>
      </c>
      <c r="D56" s="1271">
        <f>'NIR faktorer'!D854</f>
        <v>306200</v>
      </c>
      <c r="E56" s="1271">
        <f>'NIR faktorer'!D885</f>
        <v>589200</v>
      </c>
      <c r="F56" s="1271">
        <f>'NIR faktorer'!D916</f>
        <v>105500</v>
      </c>
      <c r="G56" s="1266">
        <f t="shared" ref="G56:G84" si="9">D56+E56-F56</f>
        <v>789900</v>
      </c>
      <c r="H56" s="1267">
        <f>AVERAGE(G56:G60)/D49</f>
        <v>28028044.468572792</v>
      </c>
      <c r="I56" s="1267">
        <f t="shared" ref="I56:I84" si="10">H57-H56</f>
        <v>12621.815929260105</v>
      </c>
      <c r="J56" s="1268">
        <v>0.26900000000000002</v>
      </c>
      <c r="K56" s="1267">
        <f t="shared" ref="K56:K84" si="11">I56*J56</f>
        <v>3395.2684849709685</v>
      </c>
      <c r="L56" s="1267">
        <f t="shared" ref="L56:L85" si="12">L15</f>
        <v>779444</v>
      </c>
      <c r="M56" s="1268">
        <f>K56/L56</f>
        <v>4.3560133697494218E-3</v>
      </c>
      <c r="N56" s="1267">
        <f t="shared" ref="N56:N85" si="13">N15</f>
        <v>567</v>
      </c>
      <c r="O56" s="1267">
        <f t="shared" ref="O56:O84" si="14">M56*N56</f>
        <v>2.4698595806479222</v>
      </c>
      <c r="P56" s="1269">
        <f t="shared" ref="P56:P84" si="15" xml:space="preserve"> O56*-44/12</f>
        <v>-9.0561517957090487</v>
      </c>
    </row>
    <row r="57" spans="1:16" x14ac:dyDescent="0.25">
      <c r="A57" s="1144"/>
      <c r="B57" s="1144"/>
      <c r="C57" s="1226">
        <f>'NIR faktorer'!B855</f>
        <v>1991</v>
      </c>
      <c r="D57" s="1270">
        <f>'NIR faktorer'!D855</f>
        <v>264200</v>
      </c>
      <c r="E57" s="1272">
        <f>'NIR faktorer'!D886</f>
        <v>556000</v>
      </c>
      <c r="F57" s="1272">
        <f>'NIR faktorer'!D917</f>
        <v>102200</v>
      </c>
      <c r="G57" s="1224">
        <f t="shared" si="9"/>
        <v>718000</v>
      </c>
      <c r="H57" s="1222">
        <f t="shared" ref="H57:H84" si="16">$D$50*H56+$D$51*G56</f>
        <v>28040666.284502052</v>
      </c>
      <c r="I57" s="1222">
        <f t="shared" si="10"/>
        <v>-58635.731031734496</v>
      </c>
      <c r="J57" s="1029">
        <v>0.26900000000000002</v>
      </c>
      <c r="K57" s="1222">
        <f t="shared" si="11"/>
        <v>-15773.011647536581</v>
      </c>
      <c r="L57" s="1222">
        <f t="shared" si="12"/>
        <v>779444</v>
      </c>
      <c r="M57" s="1029">
        <f t="shared" ref="M57:M84" si="17">K57/L57</f>
        <v>-2.0236234607664671E-2</v>
      </c>
      <c r="N57" s="1222">
        <f t="shared" si="13"/>
        <v>567</v>
      </c>
      <c r="O57" s="1222">
        <f t="shared" si="14"/>
        <v>-11.473945022545868</v>
      </c>
      <c r="P57" s="1227">
        <f t="shared" si="15"/>
        <v>42.071131749334846</v>
      </c>
    </row>
    <row r="58" spans="1:16" x14ac:dyDescent="0.25">
      <c r="A58" s="1144"/>
      <c r="B58" s="1144"/>
      <c r="C58" s="1226">
        <f>'NIR faktorer'!B856</f>
        <v>1992</v>
      </c>
      <c r="D58" s="1270">
        <f>'NIR faktorer'!D856</f>
        <v>287000</v>
      </c>
      <c r="E58" s="1272">
        <f>'NIR faktorer'!D887</f>
        <v>536718</v>
      </c>
      <c r="F58" s="1272">
        <f>'NIR faktorer'!D918</f>
        <v>110747</v>
      </c>
      <c r="G58" s="1224">
        <f t="shared" si="9"/>
        <v>712971</v>
      </c>
      <c r="H58" s="1222">
        <f t="shared" si="16"/>
        <v>27982030.553470317</v>
      </c>
      <c r="I58" s="1222">
        <f t="shared" si="10"/>
        <v>-61992.257017821074</v>
      </c>
      <c r="J58" s="1029">
        <v>0.26900000000000002</v>
      </c>
      <c r="K58" s="1222">
        <f t="shared" si="11"/>
        <v>-16675.917137793869</v>
      </c>
      <c r="L58" s="1222">
        <f t="shared" si="12"/>
        <v>779444</v>
      </c>
      <c r="M58" s="1029">
        <f t="shared" si="17"/>
        <v>-2.1394631478071382E-2</v>
      </c>
      <c r="N58" s="1222">
        <f t="shared" si="13"/>
        <v>567</v>
      </c>
      <c r="O58" s="1222">
        <f t="shared" si="14"/>
        <v>-12.130756048066473</v>
      </c>
      <c r="P58" s="1227">
        <f t="shared" si="15"/>
        <v>44.479438842910405</v>
      </c>
    </row>
    <row r="59" spans="1:16" x14ac:dyDescent="0.25">
      <c r="C59" s="1226">
        <f>'NIR faktorer'!B857</f>
        <v>1993</v>
      </c>
      <c r="D59" s="1270">
        <f>'NIR faktorer'!D857</f>
        <v>414000</v>
      </c>
      <c r="E59" s="1272">
        <f>'NIR faktorer'!D888</f>
        <v>476600</v>
      </c>
      <c r="F59" s="1272">
        <f>'NIR faktorer'!D919</f>
        <v>107959</v>
      </c>
      <c r="G59" s="1224">
        <f t="shared" si="9"/>
        <v>782641</v>
      </c>
      <c r="H59" s="1222">
        <f t="shared" si="16"/>
        <v>27920038.296452496</v>
      </c>
      <c r="I59" s="1222">
        <f t="shared" si="10"/>
        <v>8415.9578753337264</v>
      </c>
      <c r="J59" s="1029">
        <v>0.26900000000000002</v>
      </c>
      <c r="K59" s="1222">
        <f t="shared" si="11"/>
        <v>2263.8926684647727</v>
      </c>
      <c r="L59" s="1222">
        <f t="shared" si="12"/>
        <v>779444</v>
      </c>
      <c r="M59" s="1029">
        <f t="shared" si="17"/>
        <v>2.9044968829893777E-3</v>
      </c>
      <c r="N59" s="1222">
        <f t="shared" si="13"/>
        <v>567</v>
      </c>
      <c r="O59" s="1222">
        <f t="shared" si="14"/>
        <v>1.6468497326549771</v>
      </c>
      <c r="P59" s="1227">
        <f t="shared" si="15"/>
        <v>-6.0384490197349159</v>
      </c>
    </row>
    <row r="60" spans="1:16" x14ac:dyDescent="0.25">
      <c r="C60" s="1226">
        <f>'NIR faktorer'!B858</f>
        <v>1994</v>
      </c>
      <c r="D60" s="1270">
        <f>'NIR faktorer'!D858</f>
        <v>432000</v>
      </c>
      <c r="E60" s="1272">
        <f>'NIR faktorer'!D889</f>
        <v>576000</v>
      </c>
      <c r="F60" s="1272">
        <f>'NIR faktorer'!D920</f>
        <v>126000</v>
      </c>
      <c r="G60" s="1224">
        <f t="shared" si="9"/>
        <v>882000</v>
      </c>
      <c r="H60" s="1222">
        <f t="shared" si="16"/>
        <v>27928454.25432783</v>
      </c>
      <c r="I60" s="1222">
        <f t="shared" si="10"/>
        <v>106180.05705504492</v>
      </c>
      <c r="J60" s="1029">
        <v>0.26900000000000002</v>
      </c>
      <c r="K60" s="1222">
        <f t="shared" si="11"/>
        <v>28562.435347807084</v>
      </c>
      <c r="L60" s="1222">
        <f t="shared" si="12"/>
        <v>779444</v>
      </c>
      <c r="M60" s="1029">
        <f t="shared" si="17"/>
        <v>3.6644627898613738E-2</v>
      </c>
      <c r="N60" s="1222">
        <f t="shared" si="13"/>
        <v>567</v>
      </c>
      <c r="O60" s="1222">
        <f t="shared" si="14"/>
        <v>20.777504018513991</v>
      </c>
      <c r="P60" s="1227">
        <f t="shared" si="15"/>
        <v>-76.18418140121797</v>
      </c>
    </row>
    <row r="61" spans="1:16" x14ac:dyDescent="0.25">
      <c r="C61" s="1226">
        <f>'NIR faktorer'!B859</f>
        <v>1995</v>
      </c>
      <c r="D61" s="1270">
        <f>'NIR faktorer'!D859</f>
        <v>432000</v>
      </c>
      <c r="E61" s="1272">
        <f>'NIR faktorer'!D890</f>
        <v>570000</v>
      </c>
      <c r="F61" s="1272">
        <f>'NIR faktorer'!D921</f>
        <v>118000</v>
      </c>
      <c r="G61" s="1224">
        <f t="shared" si="9"/>
        <v>884000</v>
      </c>
      <c r="H61" s="1222">
        <f t="shared" si="16"/>
        <v>28034634.311382875</v>
      </c>
      <c r="I61" s="1222">
        <f t="shared" si="10"/>
        <v>105249.08639916405</v>
      </c>
      <c r="J61" s="1029">
        <v>0.26900000000000002</v>
      </c>
      <c r="K61" s="1222">
        <f t="shared" si="11"/>
        <v>28312.004241375133</v>
      </c>
      <c r="L61" s="1222">
        <f t="shared" si="12"/>
        <v>779444</v>
      </c>
      <c r="M61" s="1029">
        <f t="shared" si="17"/>
        <v>3.6323333352203793E-2</v>
      </c>
      <c r="N61" s="1222">
        <f t="shared" si="13"/>
        <v>567</v>
      </c>
      <c r="O61" s="1222">
        <f t="shared" si="14"/>
        <v>20.595330010699552</v>
      </c>
      <c r="P61" s="1227">
        <f t="shared" si="15"/>
        <v>-75.516210039231694</v>
      </c>
    </row>
    <row r="62" spans="1:16" x14ac:dyDescent="0.25">
      <c r="C62" s="1226">
        <f>'NIR faktorer'!B860</f>
        <v>1996</v>
      </c>
      <c r="D62" s="1270">
        <f>'NIR faktorer'!D860</f>
        <v>432000</v>
      </c>
      <c r="E62" s="1272">
        <f>'NIR faktorer'!D891</f>
        <v>525100</v>
      </c>
      <c r="F62" s="1272">
        <f>'NIR faktorer'!D922</f>
        <v>124000</v>
      </c>
      <c r="G62" s="1224">
        <f t="shared" si="9"/>
        <v>833100</v>
      </c>
      <c r="H62" s="1222">
        <f t="shared" si="16"/>
        <v>28139883.397782039</v>
      </c>
      <c r="I62" s="1222">
        <f t="shared" si="10"/>
        <v>52170.192030712962</v>
      </c>
      <c r="J62" s="1029">
        <v>0.26900000000000002</v>
      </c>
      <c r="K62" s="1222">
        <f t="shared" si="11"/>
        <v>14033.781656261788</v>
      </c>
      <c r="L62" s="1222">
        <f t="shared" si="12"/>
        <v>779444</v>
      </c>
      <c r="M62" s="1029">
        <f t="shared" si="17"/>
        <v>1.8004861999401867E-2</v>
      </c>
      <c r="N62" s="1222">
        <f t="shared" si="13"/>
        <v>567</v>
      </c>
      <c r="O62" s="1222">
        <f t="shared" si="14"/>
        <v>10.208756753660859</v>
      </c>
      <c r="P62" s="1227">
        <f t="shared" si="15"/>
        <v>-37.432108096756487</v>
      </c>
    </row>
    <row r="63" spans="1:16" x14ac:dyDescent="0.25">
      <c r="C63" s="1226">
        <f>'NIR faktorer'!B861</f>
        <v>1997</v>
      </c>
      <c r="D63" s="1270">
        <f>'NIR faktorer'!D861</f>
        <v>417000</v>
      </c>
      <c r="E63" s="1272">
        <f>'NIR faktorer'!D892</f>
        <v>724700</v>
      </c>
      <c r="F63" s="1272">
        <f>'NIR faktorer'!D923</f>
        <v>238800</v>
      </c>
      <c r="G63" s="1224">
        <f t="shared" si="9"/>
        <v>902900</v>
      </c>
      <c r="H63" s="1222">
        <f t="shared" si="16"/>
        <v>28192053.589812752</v>
      </c>
      <c r="I63" s="1222">
        <f t="shared" si="10"/>
        <v>119584.84310931712</v>
      </c>
      <c r="J63" s="1029">
        <v>0.26900000000000002</v>
      </c>
      <c r="K63" s="1222">
        <f t="shared" si="11"/>
        <v>32168.322796406308</v>
      </c>
      <c r="L63" s="1222">
        <f t="shared" si="12"/>
        <v>779444</v>
      </c>
      <c r="M63" s="1029">
        <f t="shared" si="17"/>
        <v>4.1270858196876627E-2</v>
      </c>
      <c r="N63" s="1222">
        <f t="shared" si="13"/>
        <v>567</v>
      </c>
      <c r="O63" s="1222">
        <f t="shared" si="14"/>
        <v>23.400576597629048</v>
      </c>
      <c r="P63" s="1227">
        <f t="shared" si="15"/>
        <v>-85.802114191306501</v>
      </c>
    </row>
    <row r="64" spans="1:16" x14ac:dyDescent="0.25">
      <c r="C64" s="1226">
        <f>'NIR faktorer'!B862</f>
        <v>1998</v>
      </c>
      <c r="D64" s="1270">
        <f>'NIR faktorer'!D862</f>
        <v>405000</v>
      </c>
      <c r="E64" s="1272">
        <f>'NIR faktorer'!D893</f>
        <v>990000</v>
      </c>
      <c r="F64" s="1272">
        <f>'NIR faktorer'!D924</f>
        <v>199500</v>
      </c>
      <c r="G64" s="1224">
        <f t="shared" si="9"/>
        <v>1195500</v>
      </c>
      <c r="H64" s="1222">
        <f t="shared" si="16"/>
        <v>28311638.432922069</v>
      </c>
      <c r="I64" s="1222">
        <f t="shared" si="10"/>
        <v>404895.72171856835</v>
      </c>
      <c r="J64" s="1029">
        <v>0.26900000000000002</v>
      </c>
      <c r="K64" s="1222">
        <f t="shared" si="11"/>
        <v>108916.94914229489</v>
      </c>
      <c r="L64" s="1222">
        <f t="shared" si="12"/>
        <v>779444</v>
      </c>
      <c r="M64" s="1029">
        <f t="shared" si="17"/>
        <v>0.13973672148646329</v>
      </c>
      <c r="N64" s="1222">
        <f t="shared" si="13"/>
        <v>567</v>
      </c>
      <c r="O64" s="1222">
        <f t="shared" si="14"/>
        <v>79.230721082824687</v>
      </c>
      <c r="P64" s="1227">
        <f t="shared" si="15"/>
        <v>-290.5126439703572</v>
      </c>
    </row>
    <row r="65" spans="3:18" x14ac:dyDescent="0.25">
      <c r="C65" s="1226">
        <f>'NIR faktorer'!B863</f>
        <v>1999</v>
      </c>
      <c r="D65" s="1270">
        <f>'NIR faktorer'!D863</f>
        <v>352000</v>
      </c>
      <c r="E65" s="1272">
        <f>'NIR faktorer'!D894</f>
        <v>1036000</v>
      </c>
      <c r="F65" s="1272">
        <f>'NIR faktorer'!D925</f>
        <v>207000</v>
      </c>
      <c r="G65" s="1224">
        <f t="shared" si="9"/>
        <v>1181000</v>
      </c>
      <c r="H65" s="1222">
        <f t="shared" si="16"/>
        <v>28716534.154640637</v>
      </c>
      <c r="I65" s="1222">
        <f t="shared" si="10"/>
        <v>379522.99465221539</v>
      </c>
      <c r="J65" s="1029">
        <v>0.26900000000000002</v>
      </c>
      <c r="K65" s="1222">
        <f t="shared" si="11"/>
        <v>102091.68556144595</v>
      </c>
      <c r="L65" s="1222">
        <f t="shared" si="12"/>
        <v>779444</v>
      </c>
      <c r="M65" s="1029">
        <f t="shared" si="17"/>
        <v>0.13098014169259875</v>
      </c>
      <c r="N65" s="1222">
        <f t="shared" si="13"/>
        <v>567</v>
      </c>
      <c r="O65" s="1222">
        <f t="shared" si="14"/>
        <v>74.265740339703498</v>
      </c>
      <c r="P65" s="1227">
        <f t="shared" si="15"/>
        <v>-272.30771457891279</v>
      </c>
    </row>
    <row r="66" spans="3:18" x14ac:dyDescent="0.25">
      <c r="C66" s="1226">
        <f>'NIR faktorer'!B864</f>
        <v>2000</v>
      </c>
      <c r="D66" s="1270">
        <f>'NIR faktorer'!D864</f>
        <v>448000</v>
      </c>
      <c r="E66" s="1272">
        <f>'NIR faktorer'!D895</f>
        <v>1032000</v>
      </c>
      <c r="F66" s="1272">
        <f>'NIR faktorer'!D926</f>
        <v>144000</v>
      </c>
      <c r="G66" s="1224">
        <f t="shared" si="9"/>
        <v>1336000</v>
      </c>
      <c r="H66" s="1222">
        <f t="shared" si="16"/>
        <v>29096057.149292853</v>
      </c>
      <c r="I66" s="1222">
        <f t="shared" si="10"/>
        <v>522015.88397963718</v>
      </c>
      <c r="J66" s="1029">
        <v>0.26900000000000002</v>
      </c>
      <c r="K66" s="1222">
        <f t="shared" si="11"/>
        <v>140422.2727905224</v>
      </c>
      <c r="L66" s="1222">
        <f t="shared" si="12"/>
        <v>779444</v>
      </c>
      <c r="M66" s="1029">
        <f t="shared" si="17"/>
        <v>0.18015697444655729</v>
      </c>
      <c r="N66" s="1222">
        <f t="shared" si="13"/>
        <v>567</v>
      </c>
      <c r="O66" s="1222">
        <f t="shared" si="14"/>
        <v>102.14900451119799</v>
      </c>
      <c r="P66" s="1227">
        <f t="shared" si="15"/>
        <v>-374.54634987439266</v>
      </c>
    </row>
    <row r="67" spans="3:18" x14ac:dyDescent="0.25">
      <c r="C67" s="1226">
        <f>'NIR faktorer'!B865</f>
        <v>2001</v>
      </c>
      <c r="D67" s="1270">
        <f>'NIR faktorer'!D865</f>
        <v>378000</v>
      </c>
      <c r="E67" s="1272">
        <f>'NIR faktorer'!D896</f>
        <v>1088000</v>
      </c>
      <c r="F67" s="1272">
        <f>'NIR faktorer'!D927</f>
        <v>94018</v>
      </c>
      <c r="G67" s="1224">
        <f t="shared" si="9"/>
        <v>1371982</v>
      </c>
      <c r="H67" s="1222">
        <f t="shared" si="16"/>
        <v>29618073.03327249</v>
      </c>
      <c r="I67" s="1222">
        <f t="shared" si="10"/>
        <v>543229.09400832653</v>
      </c>
      <c r="J67" s="1029">
        <v>0.26900000000000002</v>
      </c>
      <c r="K67" s="1222">
        <f t="shared" si="11"/>
        <v>146128.62628823984</v>
      </c>
      <c r="L67" s="1222">
        <f t="shared" si="12"/>
        <v>779444</v>
      </c>
      <c r="M67" s="1029">
        <f t="shared" si="17"/>
        <v>0.18747803086333314</v>
      </c>
      <c r="N67" s="1222">
        <f t="shared" si="13"/>
        <v>567</v>
      </c>
      <c r="O67" s="1222">
        <f t="shared" si="14"/>
        <v>106.3000434995099</v>
      </c>
      <c r="P67" s="1227">
        <f t="shared" si="15"/>
        <v>-389.7668261648696</v>
      </c>
    </row>
    <row r="68" spans="3:18" x14ac:dyDescent="0.25">
      <c r="C68" s="1226">
        <f>'NIR faktorer'!B866</f>
        <v>2002</v>
      </c>
      <c r="D68" s="1270">
        <f>'NIR faktorer'!D866</f>
        <v>350000</v>
      </c>
      <c r="E68" s="1272">
        <f>'NIR faktorer'!D897</f>
        <v>1184198</v>
      </c>
      <c r="F68" s="1272">
        <f>'NIR faktorer'!D928</f>
        <v>108652</v>
      </c>
      <c r="G68" s="1224">
        <f t="shared" si="9"/>
        <v>1425546</v>
      </c>
      <c r="H68" s="1222">
        <f t="shared" si="16"/>
        <v>30161302.127280816</v>
      </c>
      <c r="I68" s="1222">
        <f t="shared" si="10"/>
        <v>581202.7265108414</v>
      </c>
      <c r="J68" s="1029">
        <v>0.26900000000000002</v>
      </c>
      <c r="K68" s="1222">
        <f t="shared" si="11"/>
        <v>156343.53343141635</v>
      </c>
      <c r="L68" s="1222">
        <f t="shared" si="12"/>
        <v>779444</v>
      </c>
      <c r="M68" s="1029">
        <f t="shared" si="17"/>
        <v>0.20058340744353198</v>
      </c>
      <c r="N68" s="1222">
        <f t="shared" si="13"/>
        <v>567</v>
      </c>
      <c r="O68" s="1222">
        <f t="shared" si="14"/>
        <v>113.73079202048264</v>
      </c>
      <c r="P68" s="1227">
        <f t="shared" si="15"/>
        <v>-417.01290407510299</v>
      </c>
    </row>
    <row r="69" spans="3:18" x14ac:dyDescent="0.25">
      <c r="C69" s="1226">
        <f>'NIR faktorer'!B867</f>
        <v>2003</v>
      </c>
      <c r="D69" s="1270">
        <f>'NIR faktorer'!D867</f>
        <v>401000</v>
      </c>
      <c r="E69" s="1272">
        <f>'NIR faktorer'!D898</f>
        <v>1298779</v>
      </c>
      <c r="F69" s="1272">
        <f>'NIR faktorer'!D929</f>
        <v>151792</v>
      </c>
      <c r="G69" s="1224">
        <f t="shared" si="9"/>
        <v>1547987</v>
      </c>
      <c r="H69" s="1222">
        <f t="shared" si="16"/>
        <v>30742504.853791658</v>
      </c>
      <c r="I69" s="1222">
        <f t="shared" si="10"/>
        <v>686068.89381543174</v>
      </c>
      <c r="J69" s="1029">
        <v>0.26900000000000002</v>
      </c>
      <c r="K69" s="1222">
        <f t="shared" si="11"/>
        <v>184552.53243635115</v>
      </c>
      <c r="L69" s="1222">
        <f t="shared" si="12"/>
        <v>779444</v>
      </c>
      <c r="M69" s="1029">
        <f t="shared" si="17"/>
        <v>0.23677458859950318</v>
      </c>
      <c r="N69" s="1222">
        <f t="shared" si="13"/>
        <v>567</v>
      </c>
      <c r="O69" s="1222">
        <f t="shared" si="14"/>
        <v>134.2511917359183</v>
      </c>
      <c r="P69" s="1227">
        <f t="shared" si="15"/>
        <v>-492.2543696983671</v>
      </c>
    </row>
    <row r="70" spans="3:18" x14ac:dyDescent="0.25">
      <c r="C70" s="1226">
        <f>'NIR faktorer'!B868</f>
        <v>2004</v>
      </c>
      <c r="D70" s="1270">
        <f>'NIR faktorer'!D868</f>
        <v>360000</v>
      </c>
      <c r="E70" s="1272">
        <f>'NIR faktorer'!D899</f>
        <v>1467745</v>
      </c>
      <c r="F70" s="1272">
        <f>'NIR faktorer'!D930</f>
        <v>172841</v>
      </c>
      <c r="G70" s="1224">
        <f t="shared" si="9"/>
        <v>1654904</v>
      </c>
      <c r="H70" s="1222">
        <f t="shared" si="16"/>
        <v>31428573.74760709</v>
      </c>
      <c r="I70" s="1222">
        <f t="shared" si="10"/>
        <v>772756.72335990891</v>
      </c>
      <c r="J70" s="1029">
        <v>0.26900000000000002</v>
      </c>
      <c r="K70" s="1222">
        <f t="shared" si="11"/>
        <v>207871.55858381552</v>
      </c>
      <c r="L70" s="1222">
        <f t="shared" si="12"/>
        <v>779444</v>
      </c>
      <c r="M70" s="1029">
        <f t="shared" si="17"/>
        <v>0.26669210178513852</v>
      </c>
      <c r="N70" s="1222">
        <f t="shared" si="13"/>
        <v>567</v>
      </c>
      <c r="O70" s="1222">
        <f t="shared" si="14"/>
        <v>151.21442171217353</v>
      </c>
      <c r="P70" s="1227">
        <f t="shared" si="15"/>
        <v>-554.45287961130293</v>
      </c>
    </row>
    <row r="71" spans="3:18" x14ac:dyDescent="0.25">
      <c r="C71" s="1226">
        <f>'NIR faktorer'!B869</f>
        <v>2005</v>
      </c>
      <c r="D71" s="1270">
        <f>'NIR faktorer'!D869</f>
        <v>345000</v>
      </c>
      <c r="E71" s="1272">
        <f>'NIR faktorer'!D900</f>
        <v>1490074</v>
      </c>
      <c r="F71" s="1272">
        <f>'NIR faktorer'!D931</f>
        <v>115850</v>
      </c>
      <c r="G71" s="1224">
        <f t="shared" si="9"/>
        <v>1719224</v>
      </c>
      <c r="H71" s="1222">
        <f t="shared" si="16"/>
        <v>32201330.470966998</v>
      </c>
      <c r="I71" s="1222">
        <f t="shared" si="10"/>
        <v>815062.16951404512</v>
      </c>
      <c r="J71" s="1029">
        <v>0.26900000000000002</v>
      </c>
      <c r="K71" s="1222">
        <f t="shared" si="11"/>
        <v>219251.72359927816</v>
      </c>
      <c r="L71" s="1222">
        <f t="shared" si="12"/>
        <v>779444</v>
      </c>
      <c r="M71" s="1029">
        <f t="shared" si="17"/>
        <v>0.28129246437111349</v>
      </c>
      <c r="N71" s="1222">
        <f t="shared" si="13"/>
        <v>567</v>
      </c>
      <c r="O71" s="1222">
        <f t="shared" si="14"/>
        <v>159.49282729842136</v>
      </c>
      <c r="P71" s="1227">
        <f t="shared" si="15"/>
        <v>-584.80703342754498</v>
      </c>
    </row>
    <row r="72" spans="3:18" x14ac:dyDescent="0.25">
      <c r="C72" s="1226">
        <f>'NIR faktorer'!B870</f>
        <v>2006</v>
      </c>
      <c r="D72" s="1270">
        <f>'NIR faktorer'!D870</f>
        <v>350500</v>
      </c>
      <c r="E72" s="1272">
        <f>'NIR faktorer'!D901</f>
        <v>1612722</v>
      </c>
      <c r="F72" s="1272">
        <f>'NIR faktorer'!D932</f>
        <v>169412</v>
      </c>
      <c r="G72" s="1224">
        <f t="shared" si="9"/>
        <v>1793810</v>
      </c>
      <c r="H72" s="1222">
        <f t="shared" si="16"/>
        <v>33016392.640481044</v>
      </c>
      <c r="I72" s="1222">
        <f t="shared" si="10"/>
        <v>866335.76026083902</v>
      </c>
      <c r="J72" s="1029">
        <v>0.26900000000000002</v>
      </c>
      <c r="K72" s="1222">
        <f t="shared" si="11"/>
        <v>233044.31951016572</v>
      </c>
      <c r="L72" s="1222">
        <f t="shared" si="12"/>
        <v>779444</v>
      </c>
      <c r="M72" s="1029">
        <f t="shared" si="17"/>
        <v>0.29898789330621023</v>
      </c>
      <c r="N72" s="1222">
        <f t="shared" si="13"/>
        <v>567</v>
      </c>
      <c r="O72" s="1222">
        <f t="shared" si="14"/>
        <v>169.52613550462121</v>
      </c>
      <c r="P72" s="1227">
        <f t="shared" si="15"/>
        <v>-621.59583018361116</v>
      </c>
    </row>
    <row r="73" spans="3:18" x14ac:dyDescent="0.25">
      <c r="C73" s="1226">
        <f>'NIR faktorer'!B871</f>
        <v>2007</v>
      </c>
      <c r="D73" s="1270">
        <f>'NIR faktorer'!D871</f>
        <v>356000</v>
      </c>
      <c r="E73" s="1272">
        <f>'NIR faktorer'!D902</f>
        <v>1916925</v>
      </c>
      <c r="F73" s="1272">
        <f>'NIR faktorer'!D933</f>
        <v>160117</v>
      </c>
      <c r="G73" s="1224">
        <f t="shared" si="9"/>
        <v>2112808</v>
      </c>
      <c r="H73" s="1222">
        <f t="shared" si="16"/>
        <v>33882728.400741883</v>
      </c>
      <c r="I73" s="1222">
        <f t="shared" si="10"/>
        <v>1157262.1006044224</v>
      </c>
      <c r="J73" s="1029">
        <v>0.26900000000000002</v>
      </c>
      <c r="K73" s="1222">
        <f t="shared" si="11"/>
        <v>311303.50506258965</v>
      </c>
      <c r="L73" s="1222">
        <f t="shared" si="12"/>
        <v>779444</v>
      </c>
      <c r="M73" s="1029">
        <f t="shared" si="17"/>
        <v>0.39939175240631741</v>
      </c>
      <c r="N73" s="1222">
        <f t="shared" si="13"/>
        <v>567</v>
      </c>
      <c r="O73" s="1222">
        <f t="shared" si="14"/>
        <v>226.45512361438196</v>
      </c>
      <c r="P73" s="1227">
        <f t="shared" si="15"/>
        <v>-830.33545325273383</v>
      </c>
    </row>
    <row r="74" spans="3:18" x14ac:dyDescent="0.25">
      <c r="C74" s="1226">
        <f>'NIR faktorer'!B872</f>
        <v>2008</v>
      </c>
      <c r="D74" s="1270">
        <f>'NIR faktorer'!D872</f>
        <v>446000</v>
      </c>
      <c r="E74" s="1272">
        <f>'NIR faktorer'!D903</f>
        <v>1876119</v>
      </c>
      <c r="F74" s="1272">
        <f>'NIR faktorer'!D934</f>
        <v>224095</v>
      </c>
      <c r="G74" s="1224">
        <f t="shared" si="9"/>
        <v>2098024</v>
      </c>
      <c r="H74" s="1222">
        <f t="shared" si="16"/>
        <v>35039990.501346305</v>
      </c>
      <c r="I74" s="1222">
        <f t="shared" si="10"/>
        <v>1111035.7762827128</v>
      </c>
      <c r="J74" s="1029">
        <v>0.26900000000000002</v>
      </c>
      <c r="K74" s="1222">
        <f t="shared" si="11"/>
        <v>298868.62382004975</v>
      </c>
      <c r="L74" s="1222">
        <f t="shared" si="12"/>
        <v>779444</v>
      </c>
      <c r="M74" s="1029">
        <f t="shared" si="17"/>
        <v>0.38343822496555202</v>
      </c>
      <c r="N74" s="1222">
        <f t="shared" si="13"/>
        <v>567</v>
      </c>
      <c r="O74" s="1222">
        <f t="shared" si="14"/>
        <v>217.409473555468</v>
      </c>
      <c r="P74" s="1227">
        <f t="shared" si="15"/>
        <v>-797.16806970338268</v>
      </c>
    </row>
    <row r="75" spans="3:18" x14ac:dyDescent="0.25">
      <c r="C75" s="1226">
        <f>'NIR faktorer'!B873</f>
        <v>2009</v>
      </c>
      <c r="D75" s="1270">
        <f>'NIR faktorer'!D873</f>
        <v>446000</v>
      </c>
      <c r="E75" s="1272">
        <f>'NIR faktorer'!D904</f>
        <v>1009395</v>
      </c>
      <c r="F75" s="1272">
        <f>'NIR faktorer'!D935</f>
        <v>169400</v>
      </c>
      <c r="G75" s="1224">
        <f t="shared" si="9"/>
        <v>1285995</v>
      </c>
      <c r="H75" s="1222">
        <f t="shared" si="16"/>
        <v>36151026.277629018</v>
      </c>
      <c r="I75" s="1222">
        <f t="shared" si="10"/>
        <v>279779.23613768071</v>
      </c>
      <c r="J75" s="1029">
        <v>0.26900000000000002</v>
      </c>
      <c r="K75" s="1222">
        <f t="shared" si="11"/>
        <v>75260.614521036114</v>
      </c>
      <c r="L75" s="1222">
        <f t="shared" si="12"/>
        <v>779444</v>
      </c>
      <c r="M75" s="1029">
        <f t="shared" si="17"/>
        <v>9.6556794998789025E-2</v>
      </c>
      <c r="N75" s="1222">
        <f t="shared" si="13"/>
        <v>567</v>
      </c>
      <c r="O75" s="1222">
        <f t="shared" si="14"/>
        <v>54.747702764313374</v>
      </c>
      <c r="P75" s="1227">
        <f t="shared" si="15"/>
        <v>-200.7415768024824</v>
      </c>
    </row>
    <row r="76" spans="3:18" x14ac:dyDescent="0.25">
      <c r="C76" s="1226">
        <f>'NIR faktorer'!B874</f>
        <v>2010</v>
      </c>
      <c r="D76" s="1270">
        <f>'NIR faktorer'!D874</f>
        <v>435414</v>
      </c>
      <c r="E76" s="1272">
        <f>'NIR faktorer'!D905</f>
        <v>882935</v>
      </c>
      <c r="F76" s="1272">
        <f>'NIR faktorer'!D936</f>
        <v>158193</v>
      </c>
      <c r="G76" s="1224">
        <f t="shared" si="9"/>
        <v>1160156</v>
      </c>
      <c r="H76" s="1222">
        <f t="shared" si="16"/>
        <v>36430805.513766699</v>
      </c>
      <c r="I76" s="1222">
        <f t="shared" si="10"/>
        <v>148018.14571627975</v>
      </c>
      <c r="J76" s="1029">
        <v>0.26900000000000002</v>
      </c>
      <c r="K76" s="1222">
        <f t="shared" si="11"/>
        <v>39816.881197679257</v>
      </c>
      <c r="L76" s="1222">
        <f t="shared" si="12"/>
        <v>779444</v>
      </c>
      <c r="M76" s="1029">
        <f t="shared" si="17"/>
        <v>5.1083697093927537E-2</v>
      </c>
      <c r="N76" s="1222">
        <f t="shared" si="13"/>
        <v>567</v>
      </c>
      <c r="O76" s="1222">
        <f t="shared" si="14"/>
        <v>28.964456252256912</v>
      </c>
      <c r="P76" s="1227">
        <f t="shared" si="15"/>
        <v>-106.20300625827535</v>
      </c>
    </row>
    <row r="77" spans="3:18" x14ac:dyDescent="0.25">
      <c r="C77" s="1226">
        <f>'NIR faktorer'!B875</f>
        <v>2011</v>
      </c>
      <c r="D77" s="1270">
        <f>'NIR faktorer'!D875</f>
        <v>367000</v>
      </c>
      <c r="E77" s="1272">
        <f>'NIR faktorer'!D906</f>
        <v>1027444</v>
      </c>
      <c r="F77" s="1272">
        <f>'NIR faktorer'!D937</f>
        <v>25690</v>
      </c>
      <c r="G77" s="1224">
        <f t="shared" si="9"/>
        <v>1368754</v>
      </c>
      <c r="H77" s="1222">
        <f t="shared" si="16"/>
        <v>36578823.659482978</v>
      </c>
      <c r="I77" s="1222">
        <f t="shared" si="10"/>
        <v>349703.34094350785</v>
      </c>
      <c r="J77" s="1029">
        <v>0.26900000000000002</v>
      </c>
      <c r="K77" s="1222">
        <f t="shared" si="11"/>
        <v>94070.19871380362</v>
      </c>
      <c r="L77" s="1222">
        <f t="shared" si="12"/>
        <v>779444</v>
      </c>
      <c r="M77" s="1029">
        <f t="shared" si="17"/>
        <v>0.12068884835062381</v>
      </c>
      <c r="N77" s="1222">
        <f t="shared" si="13"/>
        <v>567</v>
      </c>
      <c r="O77" s="1222">
        <f t="shared" si="14"/>
        <v>68.430577014803703</v>
      </c>
      <c r="P77" s="1227">
        <f t="shared" si="15"/>
        <v>-250.9121157209469</v>
      </c>
      <c r="R77" s="1091"/>
    </row>
    <row r="78" spans="3:18" x14ac:dyDescent="0.25">
      <c r="C78" s="1226">
        <f>'NIR faktorer'!B876</f>
        <v>2012</v>
      </c>
      <c r="D78" s="1270">
        <f>'NIR faktorer'!D876</f>
        <v>340000</v>
      </c>
      <c r="E78" s="1272">
        <f>'NIR faktorer'!D907</f>
        <v>745524</v>
      </c>
      <c r="F78" s="1272">
        <f>'NIR faktorer'!D938</f>
        <v>37400</v>
      </c>
      <c r="G78" s="1224">
        <f t="shared" si="9"/>
        <v>1048124</v>
      </c>
      <c r="H78" s="1222">
        <f t="shared" si="16"/>
        <v>36928527.000426486</v>
      </c>
      <c r="I78" s="1222">
        <f t="shared" si="10"/>
        <v>23914.764100924134</v>
      </c>
      <c r="J78" s="1029">
        <v>0.26900000000000002</v>
      </c>
      <c r="K78" s="1222">
        <f t="shared" si="11"/>
        <v>6433.0715431485924</v>
      </c>
      <c r="L78" s="1222">
        <f t="shared" si="12"/>
        <v>784178</v>
      </c>
      <c r="M78" s="1029">
        <f t="shared" si="17"/>
        <v>8.2035858480454596E-3</v>
      </c>
      <c r="N78" s="1222">
        <f t="shared" si="13"/>
        <v>571</v>
      </c>
      <c r="O78" s="1222">
        <f t="shared" si="14"/>
        <v>4.6842475192339572</v>
      </c>
      <c r="P78" s="1227">
        <f t="shared" si="15"/>
        <v>-17.175574237191174</v>
      </c>
      <c r="R78" s="1091"/>
    </row>
    <row r="79" spans="3:18" x14ac:dyDescent="0.25">
      <c r="C79" s="1226">
        <f>'NIR faktorer'!B877</f>
        <v>2013</v>
      </c>
      <c r="D79" s="1270">
        <f>'NIR faktorer'!D877</f>
        <v>346000</v>
      </c>
      <c r="E79" s="1272">
        <f>'NIR faktorer'!D908</f>
        <v>749612</v>
      </c>
      <c r="F79" s="1272">
        <f>'NIR faktorer'!D939</f>
        <v>41520</v>
      </c>
      <c r="G79" s="1224">
        <f t="shared" si="9"/>
        <v>1054092</v>
      </c>
      <c r="H79" s="1222">
        <f t="shared" si="16"/>
        <v>36952441.76452741</v>
      </c>
      <c r="I79" s="1222">
        <f t="shared" si="10"/>
        <v>29146.838925726712</v>
      </c>
      <c r="J79" s="1029">
        <v>0.26900000000000002</v>
      </c>
      <c r="K79" s="1222">
        <f t="shared" si="11"/>
        <v>7840.4996710204859</v>
      </c>
      <c r="L79" s="1222">
        <f t="shared" si="12"/>
        <v>788943</v>
      </c>
      <c r="M79" s="1029">
        <f t="shared" si="17"/>
        <v>9.9379798933769432E-3</v>
      </c>
      <c r="N79" s="1222">
        <f t="shared" si="13"/>
        <v>578</v>
      </c>
      <c r="O79" s="1222">
        <f t="shared" si="14"/>
        <v>5.7441523783718731</v>
      </c>
      <c r="P79" s="1227">
        <f t="shared" si="15"/>
        <v>-21.061892054030199</v>
      </c>
      <c r="R79" s="1091"/>
    </row>
    <row r="80" spans="3:18" x14ac:dyDescent="0.25">
      <c r="C80" s="1226">
        <f>'NIR faktorer'!B878</f>
        <v>2014</v>
      </c>
      <c r="D80" s="1270">
        <f>'NIR faktorer'!D878</f>
        <v>367000</v>
      </c>
      <c r="E80" s="1272">
        <f>'NIR faktorer'!D909</f>
        <v>749612</v>
      </c>
      <c r="F80" s="1272">
        <f>'NIR faktorer'!D940</f>
        <v>51380</v>
      </c>
      <c r="G80" s="1224">
        <f t="shared" si="9"/>
        <v>1065232</v>
      </c>
      <c r="H80" s="1222">
        <f t="shared" si="16"/>
        <v>36981588.603453137</v>
      </c>
      <c r="I80" s="1222">
        <f t="shared" si="10"/>
        <v>39336.801318012178</v>
      </c>
      <c r="J80" s="1029">
        <v>0.26900000000000002</v>
      </c>
      <c r="K80" s="1222">
        <f t="shared" si="11"/>
        <v>10581.599554545277</v>
      </c>
      <c r="L80" s="1222">
        <f t="shared" si="12"/>
        <v>794259</v>
      </c>
      <c r="M80" s="1029">
        <f t="shared" si="17"/>
        <v>1.3322605793003638E-2</v>
      </c>
      <c r="N80" s="1222">
        <f t="shared" si="13"/>
        <v>593</v>
      </c>
      <c r="O80" s="1222">
        <f t="shared" si="14"/>
        <v>7.9003052352511576</v>
      </c>
      <c r="P80" s="1227">
        <f t="shared" si="15"/>
        <v>-28.967785862587576</v>
      </c>
      <c r="R80" s="1091"/>
    </row>
    <row r="81" spans="1:18" x14ac:dyDescent="0.25">
      <c r="C81" s="1226">
        <f>'NIR faktorer'!B879</f>
        <v>2015</v>
      </c>
      <c r="D81" s="1270">
        <f>'NIR faktorer'!D879</f>
        <v>387000</v>
      </c>
      <c r="E81" s="1272">
        <f>'NIR faktorer'!D910</f>
        <v>749612</v>
      </c>
      <c r="F81" s="1272">
        <f>'NIR faktorer'!D941</f>
        <v>51380</v>
      </c>
      <c r="G81" s="1224">
        <f t="shared" si="9"/>
        <v>1085232</v>
      </c>
      <c r="H81" s="1222">
        <f t="shared" si="16"/>
        <v>37020925.404771149</v>
      </c>
      <c r="I81" s="1222">
        <f t="shared" si="10"/>
        <v>57986.420297913253</v>
      </c>
      <c r="J81" s="1029">
        <v>0.26900000000000002</v>
      </c>
      <c r="K81" s="1222">
        <f t="shared" si="11"/>
        <v>15598.347060138665</v>
      </c>
      <c r="L81" s="1222">
        <f t="shared" si="12"/>
        <v>799067</v>
      </c>
      <c r="M81" s="1029">
        <f t="shared" si="17"/>
        <v>1.9520699841363322E-2</v>
      </c>
      <c r="N81" s="1222">
        <f t="shared" si="13"/>
        <v>592</v>
      </c>
      <c r="O81" s="1222">
        <f t="shared" si="14"/>
        <v>11.556254306087087</v>
      </c>
      <c r="P81" s="1227">
        <f t="shared" si="15"/>
        <v>-42.372932455652652</v>
      </c>
      <c r="R81" s="1091"/>
    </row>
    <row r="82" spans="1:18" x14ac:dyDescent="0.25">
      <c r="C82" s="1226">
        <f>'NIR faktorer'!B880</f>
        <v>2016</v>
      </c>
      <c r="D82" s="1270">
        <f>'NIR faktorer'!D880</f>
        <v>387000</v>
      </c>
      <c r="E82" s="1272">
        <f>'NIR faktorer'!D911</f>
        <v>749612</v>
      </c>
      <c r="F82" s="1272">
        <f>'NIR faktorer'!D942</f>
        <v>51380</v>
      </c>
      <c r="G82" s="1224">
        <f t="shared" si="9"/>
        <v>1085232</v>
      </c>
      <c r="H82" s="1222">
        <f t="shared" si="16"/>
        <v>37078911.825069062</v>
      </c>
      <c r="I82" s="1222">
        <f t="shared" si="10"/>
        <v>56400.778585493565</v>
      </c>
      <c r="J82" s="1029">
        <v>0.26900000000000002</v>
      </c>
      <c r="K82" s="1222">
        <f t="shared" si="11"/>
        <v>15171.809439497771</v>
      </c>
      <c r="L82" s="1222">
        <f t="shared" si="12"/>
        <v>803717</v>
      </c>
      <c r="M82" s="1029">
        <f t="shared" si="17"/>
        <v>1.8877054285896366E-2</v>
      </c>
      <c r="N82" s="1222">
        <f t="shared" si="13"/>
        <v>598</v>
      </c>
      <c r="O82" s="1222">
        <f t="shared" si="14"/>
        <v>11.288478462966028</v>
      </c>
      <c r="P82" s="1227">
        <f t="shared" si="15"/>
        <v>-41.391087697542098</v>
      </c>
      <c r="R82" s="1091"/>
    </row>
    <row r="83" spans="1:18" x14ac:dyDescent="0.25">
      <c r="C83" s="1226">
        <f>'NIR faktorer'!B881</f>
        <v>2017</v>
      </c>
      <c r="D83" s="1270">
        <f>'NIR faktorer'!D881</f>
        <v>428300</v>
      </c>
      <c r="E83" s="1272">
        <f>'NIR faktorer'!D912</f>
        <v>877554</v>
      </c>
      <c r="F83" s="1272">
        <f>'NIR faktorer'!D943</f>
        <v>55679</v>
      </c>
      <c r="G83" s="1224">
        <f t="shared" si="9"/>
        <v>1250175</v>
      </c>
      <c r="H83" s="1222">
        <f t="shared" si="16"/>
        <v>37135312.603654556</v>
      </c>
      <c r="I83" s="1222">
        <f t="shared" si="10"/>
        <v>217535.88777904212</v>
      </c>
      <c r="J83" s="1029">
        <v>0.26900000000000002</v>
      </c>
      <c r="K83" s="1222">
        <f t="shared" si="11"/>
        <v>58517.153812562334</v>
      </c>
      <c r="L83" s="1222">
        <f t="shared" si="12"/>
        <v>809168</v>
      </c>
      <c r="M83" s="1029">
        <f t="shared" si="17"/>
        <v>7.2317681634175263E-2</v>
      </c>
      <c r="N83" s="1222">
        <f t="shared" si="13"/>
        <v>599</v>
      </c>
      <c r="O83" s="1222">
        <f t="shared" si="14"/>
        <v>43.318291298870982</v>
      </c>
      <c r="P83" s="1227">
        <f t="shared" si="15"/>
        <v>-158.83373476252692</v>
      </c>
      <c r="R83" s="1091"/>
    </row>
    <row r="84" spans="1:18" ht="18" customHeight="1" x14ac:dyDescent="0.25">
      <c r="C84" s="1226">
        <f>'NIR faktorer'!B882</f>
        <v>2018</v>
      </c>
      <c r="D84" s="1270">
        <f>'NIR faktorer'!D882</f>
        <v>428300</v>
      </c>
      <c r="E84" s="1272">
        <f>'NIR faktorer'!D913</f>
        <v>877554</v>
      </c>
      <c r="F84" s="1272">
        <f>'NIR faktorer'!D944</f>
        <v>55679</v>
      </c>
      <c r="G84" s="1224">
        <f t="shared" si="9"/>
        <v>1250175</v>
      </c>
      <c r="H84" s="1222">
        <f t="shared" si="16"/>
        <v>37352848.491433598</v>
      </c>
      <c r="I84" s="1493">
        <f t="shared" si="10"/>
        <v>211587.35748800635</v>
      </c>
      <c r="J84" s="1225">
        <v>0.26900000000000002</v>
      </c>
      <c r="K84" s="1224">
        <f t="shared" si="11"/>
        <v>56916.999164273715</v>
      </c>
      <c r="L84" s="1222">
        <f t="shared" si="12"/>
        <v>817313</v>
      </c>
      <c r="M84" s="1029">
        <f t="shared" si="17"/>
        <v>6.9639170261911548E-2</v>
      </c>
      <c r="N84" s="1222">
        <f t="shared" si="13"/>
        <v>604</v>
      </c>
      <c r="O84" s="1222">
        <f t="shared" si="14"/>
        <v>42.062058838194574</v>
      </c>
      <c r="P84" s="1492">
        <f t="shared" si="15"/>
        <v>-154.22754907338012</v>
      </c>
      <c r="R84" s="1091"/>
    </row>
    <row r="85" spans="1:18" ht="18" customHeight="1" thickBot="1" x14ac:dyDescent="0.3">
      <c r="C85" s="1455">
        <f>'NIR faktorer'!B883</f>
        <v>2019</v>
      </c>
      <c r="D85" s="4049">
        <f>'NIR faktorer'!D883</f>
        <v>349000</v>
      </c>
      <c r="E85" s="4050">
        <f>'NIR faktorer'!D914</f>
        <v>892728</v>
      </c>
      <c r="F85" s="4050">
        <f>'NIR faktorer'!D945</f>
        <v>45370</v>
      </c>
      <c r="G85" s="1218">
        <f>IFERROR(D85+E85-F85,D85-F85)</f>
        <v>1196358</v>
      </c>
      <c r="H85" s="1220">
        <f>$D$50*H84+$D$51*G84</f>
        <v>37564435.848921604</v>
      </c>
      <c r="I85" s="1216"/>
      <c r="J85" s="1219"/>
      <c r="K85" s="1218"/>
      <c r="L85" s="1495">
        <f t="shared" si="12"/>
        <v>819112</v>
      </c>
      <c r="M85" s="1218"/>
      <c r="N85" s="1220">
        <f t="shared" si="13"/>
        <v>606</v>
      </c>
      <c r="O85" s="1218"/>
      <c r="P85" s="1252"/>
    </row>
    <row r="86" spans="1:18" ht="18" customHeight="1" x14ac:dyDescent="0.25">
      <c r="C86" s="1110" t="s">
        <v>2497</v>
      </c>
      <c r="D86" s="1243"/>
      <c r="E86" s="1243"/>
      <c r="F86" s="1243"/>
      <c r="G86" s="1243"/>
      <c r="H86" s="1143"/>
      <c r="I86" s="1247"/>
      <c r="J86" s="1242"/>
      <c r="K86" s="1241"/>
      <c r="L86" s="1213"/>
      <c r="M86" s="1240"/>
      <c r="N86" s="1239"/>
      <c r="O86" s="1143"/>
      <c r="P86" s="1143"/>
    </row>
    <row r="87" spans="1:18" s="1766" customFormat="1" ht="52.5" customHeight="1" x14ac:dyDescent="0.2">
      <c r="A87" s="5324" t="s">
        <v>2042</v>
      </c>
      <c r="B87" s="5324"/>
      <c r="C87" s="1251"/>
      <c r="D87" s="5325" t="str">
        <f>'NIR faktorer'!D948</f>
        <v xml:space="preserve"> NIR 2020 (2018) CRF tabel 4.Gs2</v>
      </c>
      <c r="E87" s="5325"/>
      <c r="F87" s="5325"/>
      <c r="G87" s="1251"/>
      <c r="H87" s="1248"/>
      <c r="I87" s="1250"/>
      <c r="J87" s="1215" t="s">
        <v>2488</v>
      </c>
      <c r="K87" s="1248"/>
      <c r="L87" s="1215" t="s">
        <v>2496</v>
      </c>
      <c r="M87" s="1249"/>
      <c r="N87" s="1215" t="s">
        <v>2496</v>
      </c>
      <c r="O87" s="1248"/>
      <c r="P87" s="1214" t="s">
        <v>2418</v>
      </c>
    </row>
    <row r="88" spans="1:18" ht="18" customHeight="1" thickBot="1" x14ac:dyDescent="0.3">
      <c r="C88" s="1109"/>
      <c r="D88" s="1243"/>
      <c r="E88" s="1243"/>
      <c r="F88" s="1243"/>
      <c r="G88" s="1243"/>
      <c r="H88" s="1143"/>
      <c r="I88" s="1247"/>
      <c r="J88" s="1242"/>
      <c r="K88" s="1241"/>
      <c r="L88" s="1213"/>
      <c r="M88" s="1240"/>
      <c r="N88" s="1239"/>
      <c r="O88" s="1143"/>
      <c r="P88" s="1143"/>
    </row>
    <row r="89" spans="1:18" x14ac:dyDescent="0.25">
      <c r="C89" s="1246" t="s">
        <v>2495</v>
      </c>
      <c r="D89" s="1245">
        <v>2</v>
      </c>
      <c r="E89" s="1243"/>
      <c r="F89" s="1243"/>
      <c r="J89" s="1242"/>
      <c r="K89" s="1241"/>
      <c r="L89" s="1213"/>
      <c r="M89" s="1240"/>
      <c r="N89" s="1239"/>
      <c r="O89" s="1143"/>
      <c r="P89" s="1143"/>
    </row>
    <row r="90" spans="1:18" x14ac:dyDescent="0.25">
      <c r="C90" s="1238" t="s">
        <v>2494</v>
      </c>
      <c r="D90" s="1244">
        <v>0.34657359027997264</v>
      </c>
      <c r="E90" s="1243"/>
      <c r="F90" s="1243"/>
      <c r="J90" s="1242"/>
      <c r="K90" s="1241"/>
      <c r="L90" s="1213"/>
      <c r="M90" s="1240"/>
      <c r="N90" s="1239"/>
      <c r="O90" s="1143"/>
      <c r="P90" s="1143"/>
    </row>
    <row r="91" spans="1:18" x14ac:dyDescent="0.25">
      <c r="C91" s="1238" t="s">
        <v>2493</v>
      </c>
      <c r="D91" s="1237">
        <v>0.70710678118654757</v>
      </c>
    </row>
    <row r="92" spans="1:18" ht="18" thickBot="1" x14ac:dyDescent="0.3">
      <c r="C92" s="1236" t="s">
        <v>2492</v>
      </c>
      <c r="D92" s="994">
        <v>0.84511118858434775</v>
      </c>
    </row>
    <row r="93" spans="1:18" x14ac:dyDescent="0.25">
      <c r="C93" s="1235" t="s">
        <v>2491</v>
      </c>
    </row>
    <row r="94" spans="1:18" x14ac:dyDescent="0.25">
      <c r="C94" s="1234"/>
    </row>
    <row r="95" spans="1:18" ht="49.5" customHeight="1" thickBot="1" x14ac:dyDescent="0.3">
      <c r="C95" s="5326" t="s">
        <v>4915</v>
      </c>
      <c r="D95" s="5326"/>
      <c r="E95" s="5326"/>
    </row>
    <row r="96" spans="1:18" s="1233" customFormat="1" ht="83.25" customHeight="1" thickBot="1" x14ac:dyDescent="0.25">
      <c r="C96" s="1015" t="s">
        <v>977</v>
      </c>
      <c r="D96" s="1762" t="s">
        <v>4902</v>
      </c>
      <c r="E96" s="1762" t="s">
        <v>4903</v>
      </c>
      <c r="F96" s="1762" t="s">
        <v>4904</v>
      </c>
      <c r="G96" s="1762" t="s">
        <v>4916</v>
      </c>
      <c r="H96" s="1762" t="s">
        <v>4917</v>
      </c>
      <c r="I96" s="1762" t="s">
        <v>4918</v>
      </c>
      <c r="J96" s="1762" t="s">
        <v>4905</v>
      </c>
      <c r="K96" s="1762" t="s">
        <v>4906</v>
      </c>
      <c r="L96" s="1762" t="s">
        <v>4762</v>
      </c>
      <c r="M96" s="1762" t="s">
        <v>4912</v>
      </c>
      <c r="N96" s="1762" t="s">
        <v>4761</v>
      </c>
      <c r="O96" s="1762" t="s">
        <v>4910</v>
      </c>
      <c r="P96" s="1763" t="s">
        <v>4911</v>
      </c>
    </row>
    <row r="97" spans="1:16" x14ac:dyDescent="0.25">
      <c r="A97" s="1000" t="s">
        <v>2490</v>
      </c>
      <c r="C97" s="1226">
        <f>'NIR faktorer'!B951</f>
        <v>1990</v>
      </c>
      <c r="D97" s="1273">
        <f>'NIR faktorer'!D951</f>
        <v>335000</v>
      </c>
      <c r="E97" s="1273">
        <f>'NIR faktorer'!D982</f>
        <v>1165700</v>
      </c>
      <c r="F97" s="1273">
        <f>'NIR faktorer'!D1013</f>
        <v>218100</v>
      </c>
      <c r="G97" s="1232">
        <f t="shared" ref="G97:G124" si="18">D97+E97-F97</f>
        <v>1282600</v>
      </c>
      <c r="H97" s="1230">
        <f>AVERAGE(G97:G101)/D90</f>
        <v>3499400.5141022536</v>
      </c>
      <c r="I97" s="1230">
        <f t="shared" ref="I97:I125" si="19">H98-H97</f>
        <v>58988.929985424969</v>
      </c>
      <c r="J97" s="1231">
        <v>0.38600000000000001</v>
      </c>
      <c r="K97" s="1230">
        <f>I97*J97</f>
        <v>22769.72697437404</v>
      </c>
      <c r="L97" s="1230">
        <f>L115</f>
        <v>5475791</v>
      </c>
      <c r="M97" s="1231">
        <f t="shared" ref="M97:M125" si="20">K97/L97</f>
        <v>4.1582534786981529E-3</v>
      </c>
      <c r="N97" s="1274">
        <f>N115</f>
        <v>2003</v>
      </c>
      <c r="O97" s="1230">
        <f t="shared" ref="O97:O125" si="21">M97*N97</f>
        <v>8.3289817178324004</v>
      </c>
      <c r="P97" s="1229">
        <f t="shared" ref="P97:P125" si="22" xml:space="preserve"> O97*-44/12</f>
        <v>-30.539599632052134</v>
      </c>
    </row>
    <row r="98" spans="1:16" x14ac:dyDescent="0.25">
      <c r="C98" s="1226">
        <f>'NIR faktorer'!B952</f>
        <v>1991</v>
      </c>
      <c r="D98" s="1272">
        <f>'NIR faktorer'!D952</f>
        <v>356000</v>
      </c>
      <c r="E98" s="1272">
        <f>'NIR faktorer'!D983</f>
        <v>1203700</v>
      </c>
      <c r="F98" s="1272">
        <f>'NIR faktorer'!D1014</f>
        <v>223300</v>
      </c>
      <c r="G98" s="1224">
        <f t="shared" si="18"/>
        <v>1336400</v>
      </c>
      <c r="H98" s="1222">
        <f t="shared" ref="H98:H126" si="23">$D$91*H97+$D$92*G97</f>
        <v>3558389.4440876786</v>
      </c>
      <c r="I98" s="1222">
        <f t="shared" si="19"/>
        <v>87178.454353470355</v>
      </c>
      <c r="J98" s="1029">
        <v>0.38600000000000001</v>
      </c>
      <c r="K98" s="1222">
        <f t="shared" ref="K98:K125" si="24">I98*J98</f>
        <v>33650.883380439554</v>
      </c>
      <c r="L98" s="1222">
        <v>5475791</v>
      </c>
      <c r="M98" s="1029">
        <f t="shared" si="20"/>
        <v>6.1453922146479942E-3</v>
      </c>
      <c r="N98" s="1022">
        <f t="shared" ref="N98:N113" si="25">$N$115</f>
        <v>2003</v>
      </c>
      <c r="O98" s="1222">
        <f t="shared" si="21"/>
        <v>12.309220605939933</v>
      </c>
      <c r="P98" s="1227">
        <f t="shared" si="22"/>
        <v>-45.133808888446424</v>
      </c>
    </row>
    <row r="99" spans="1:16" x14ac:dyDescent="0.25">
      <c r="C99" s="1226">
        <f>'NIR faktorer'!B953</f>
        <v>1992</v>
      </c>
      <c r="D99" s="1272">
        <f>'NIR faktorer'!D953</f>
        <v>317000</v>
      </c>
      <c r="E99" s="1272">
        <f>'NIR faktorer'!D984</f>
        <v>1034124</v>
      </c>
      <c r="F99" s="1272">
        <f>'NIR faktorer'!D1015</f>
        <v>189060</v>
      </c>
      <c r="G99" s="1224">
        <f t="shared" si="18"/>
        <v>1162064</v>
      </c>
      <c r="H99" s="1222">
        <f t="shared" si="23"/>
        <v>3645567.8984411489</v>
      </c>
      <c r="I99" s="1222">
        <f t="shared" si="19"/>
        <v>-85688.827926340047</v>
      </c>
      <c r="J99" s="1029">
        <v>0.38600000000000001</v>
      </c>
      <c r="K99" s="1222">
        <f t="shared" si="24"/>
        <v>-33075.887579567257</v>
      </c>
      <c r="L99" s="1222">
        <v>5475791</v>
      </c>
      <c r="M99" s="1029">
        <f t="shared" si="20"/>
        <v>-6.0403853214206415E-3</v>
      </c>
      <c r="N99" s="1022">
        <f t="shared" si="25"/>
        <v>2003</v>
      </c>
      <c r="O99" s="1222">
        <f t="shared" si="21"/>
        <v>-12.098891798805544</v>
      </c>
      <c r="P99" s="1227">
        <f t="shared" si="22"/>
        <v>44.362603262286996</v>
      </c>
    </row>
    <row r="100" spans="1:16" x14ac:dyDescent="0.25">
      <c r="C100" s="1226">
        <f>'NIR faktorer'!B954</f>
        <v>1993</v>
      </c>
      <c r="D100" s="1272">
        <f>'NIR faktorer'!D954</f>
        <v>339000</v>
      </c>
      <c r="E100" s="1272">
        <f>'NIR faktorer'!D985</f>
        <v>880000</v>
      </c>
      <c r="F100" s="1272">
        <f>'NIR faktorer'!D1016</f>
        <v>129765</v>
      </c>
      <c r="G100" s="1224">
        <f t="shared" si="18"/>
        <v>1089235</v>
      </c>
      <c r="H100" s="1222">
        <f t="shared" si="23"/>
        <v>3559879.0705148089</v>
      </c>
      <c r="I100" s="1222">
        <f t="shared" si="19"/>
        <v>-122139.75405205181</v>
      </c>
      <c r="J100" s="1029">
        <v>0.38600000000000001</v>
      </c>
      <c r="K100" s="1222">
        <f t="shared" si="24"/>
        <v>-47145.945064091997</v>
      </c>
      <c r="L100" s="1222">
        <v>5475791</v>
      </c>
      <c r="M100" s="1029">
        <f t="shared" si="20"/>
        <v>-8.6098876060265988E-3</v>
      </c>
      <c r="N100" s="1022">
        <f t="shared" si="25"/>
        <v>2003</v>
      </c>
      <c r="O100" s="1222">
        <f t="shared" si="21"/>
        <v>-17.245604874871276</v>
      </c>
      <c r="P100" s="1227">
        <f t="shared" si="22"/>
        <v>63.233884541194676</v>
      </c>
    </row>
    <row r="101" spans="1:16" x14ac:dyDescent="0.25">
      <c r="C101" s="1226">
        <f>'NIR faktorer'!B955</f>
        <v>1994</v>
      </c>
      <c r="D101" s="1272">
        <f>'NIR faktorer'!D955</f>
        <v>345000</v>
      </c>
      <c r="E101" s="1272">
        <f>'NIR faktorer'!D986</f>
        <v>1091000</v>
      </c>
      <c r="F101" s="1272">
        <f>'NIR faktorer'!D1017</f>
        <v>242300</v>
      </c>
      <c r="G101" s="1224">
        <f t="shared" si="18"/>
        <v>1193700</v>
      </c>
      <c r="H101" s="1222">
        <f t="shared" si="23"/>
        <v>3437739.3164627571</v>
      </c>
      <c r="I101" s="1222">
        <f t="shared" si="19"/>
        <v>1918.6919728014618</v>
      </c>
      <c r="J101" s="1029">
        <v>0.38600000000000001</v>
      </c>
      <c r="K101" s="1222">
        <f t="shared" si="24"/>
        <v>740.61510150136428</v>
      </c>
      <c r="L101" s="1222">
        <v>5475791</v>
      </c>
      <c r="M101" s="1029">
        <f t="shared" si="20"/>
        <v>1.3525262405036356E-4</v>
      </c>
      <c r="N101" s="1022">
        <f t="shared" si="25"/>
        <v>2003</v>
      </c>
      <c r="O101" s="1222">
        <f t="shared" si="21"/>
        <v>0.2709110059728782</v>
      </c>
      <c r="P101" s="1227">
        <f t="shared" si="22"/>
        <v>-0.99334035523388675</v>
      </c>
    </row>
    <row r="102" spans="1:16" x14ac:dyDescent="0.25">
      <c r="C102" s="1226">
        <f>'NIR faktorer'!B956</f>
        <v>1995</v>
      </c>
      <c r="D102" s="1272">
        <f>'NIR faktorer'!D956</f>
        <v>345000</v>
      </c>
      <c r="E102" s="1272">
        <f>'NIR faktorer'!D987</f>
        <v>1044000</v>
      </c>
      <c r="F102" s="1272">
        <f>'NIR faktorer'!D1018</f>
        <v>241500</v>
      </c>
      <c r="G102" s="1224">
        <f t="shared" si="18"/>
        <v>1147500</v>
      </c>
      <c r="H102" s="1222">
        <f t="shared" si="23"/>
        <v>3439658.0084355585</v>
      </c>
      <c r="I102" s="1222">
        <f t="shared" si="19"/>
        <v>-37687.416807620786</v>
      </c>
      <c r="J102" s="1029">
        <v>0.38600000000000001</v>
      </c>
      <c r="K102" s="1222">
        <f t="shared" si="24"/>
        <v>-14547.342887741625</v>
      </c>
      <c r="L102" s="1222">
        <v>5475791</v>
      </c>
      <c r="M102" s="1029">
        <f t="shared" si="20"/>
        <v>-2.6566651078796882E-3</v>
      </c>
      <c r="N102" s="1022">
        <f t="shared" si="25"/>
        <v>2003</v>
      </c>
      <c r="O102" s="1222">
        <f t="shared" si="21"/>
        <v>-5.321300211083015</v>
      </c>
      <c r="P102" s="1227">
        <f t="shared" si="22"/>
        <v>19.511434107304389</v>
      </c>
    </row>
    <row r="103" spans="1:16" x14ac:dyDescent="0.25">
      <c r="C103" s="1226">
        <f>'NIR faktorer'!B957</f>
        <v>1996</v>
      </c>
      <c r="D103" s="1272">
        <f>'NIR faktorer'!D957</f>
        <v>345000</v>
      </c>
      <c r="E103" s="1272">
        <f>'NIR faktorer'!D988</f>
        <v>1047000</v>
      </c>
      <c r="F103" s="1272">
        <f>'NIR faktorer'!D1019</f>
        <v>241000</v>
      </c>
      <c r="G103" s="1224">
        <f t="shared" si="18"/>
        <v>1151000</v>
      </c>
      <c r="H103" s="1222">
        <f t="shared" si="23"/>
        <v>3401970.5916279377</v>
      </c>
      <c r="I103" s="1222">
        <f t="shared" si="19"/>
        <v>-23691.138830027543</v>
      </c>
      <c r="J103" s="1029">
        <v>0.38600000000000001</v>
      </c>
      <c r="K103" s="1222">
        <f t="shared" si="24"/>
        <v>-9144.779588390631</v>
      </c>
      <c r="L103" s="1222">
        <v>5475791</v>
      </c>
      <c r="M103" s="1029">
        <f t="shared" si="20"/>
        <v>-1.6700380983113911E-3</v>
      </c>
      <c r="N103" s="1022">
        <f t="shared" si="25"/>
        <v>2003</v>
      </c>
      <c r="O103" s="1222">
        <f t="shared" si="21"/>
        <v>-3.3450863109177162</v>
      </c>
      <c r="P103" s="1227">
        <f t="shared" si="22"/>
        <v>12.26531647336496</v>
      </c>
    </row>
    <row r="104" spans="1:16" x14ac:dyDescent="0.25">
      <c r="C104" s="1226">
        <f>'NIR faktorer'!B958</f>
        <v>1997</v>
      </c>
      <c r="D104" s="1272">
        <f>'NIR faktorer'!D958</f>
        <v>391000</v>
      </c>
      <c r="E104" s="1272">
        <f>'NIR faktorer'!D989</f>
        <v>1147300</v>
      </c>
      <c r="F104" s="1272">
        <f>'NIR faktorer'!D1020</f>
        <v>251500</v>
      </c>
      <c r="G104" s="1224">
        <f t="shared" si="18"/>
        <v>1286800</v>
      </c>
      <c r="H104" s="1222">
        <f t="shared" si="23"/>
        <v>3378279.4527979102</v>
      </c>
      <c r="I104" s="1222">
        <f t="shared" si="19"/>
        <v>98013.934489009902</v>
      </c>
      <c r="J104" s="1029">
        <v>0.38600000000000001</v>
      </c>
      <c r="K104" s="1222">
        <f t="shared" si="24"/>
        <v>37833.378712757825</v>
      </c>
      <c r="L104" s="1222">
        <v>5475791</v>
      </c>
      <c r="M104" s="1029">
        <f t="shared" si="20"/>
        <v>6.9092079505514046E-3</v>
      </c>
      <c r="N104" s="1022">
        <f t="shared" si="25"/>
        <v>2003</v>
      </c>
      <c r="O104" s="1222">
        <f t="shared" si="21"/>
        <v>13.839143524954464</v>
      </c>
      <c r="P104" s="1227">
        <f t="shared" si="22"/>
        <v>-50.743526258166362</v>
      </c>
    </row>
    <row r="105" spans="1:16" x14ac:dyDescent="0.25">
      <c r="C105" s="1226">
        <f>'NIR faktorer'!B959</f>
        <v>1998</v>
      </c>
      <c r="D105" s="1272">
        <f>'NIR faktorer'!D959</f>
        <v>393000</v>
      </c>
      <c r="E105" s="1272">
        <f>'NIR faktorer'!D990</f>
        <v>1154000</v>
      </c>
      <c r="F105" s="1272">
        <f>'NIR faktorer'!D1021</f>
        <v>236000</v>
      </c>
      <c r="G105" s="1224">
        <f t="shared" si="18"/>
        <v>1311000</v>
      </c>
      <c r="H105" s="1222">
        <f t="shared" si="23"/>
        <v>3476293.3872869201</v>
      </c>
      <c r="I105" s="1222">
        <f t="shared" si="19"/>
        <v>89758.008491693996</v>
      </c>
      <c r="J105" s="1029">
        <v>0.38600000000000001</v>
      </c>
      <c r="K105" s="1222">
        <f t="shared" si="24"/>
        <v>34646.591277793887</v>
      </c>
      <c r="L105" s="1222">
        <v>5475791</v>
      </c>
      <c r="M105" s="1029">
        <f t="shared" si="20"/>
        <v>6.3272303997347389E-3</v>
      </c>
      <c r="N105" s="1022">
        <f t="shared" si="25"/>
        <v>2003</v>
      </c>
      <c r="O105" s="1222">
        <f t="shared" si="21"/>
        <v>12.673442490668682</v>
      </c>
      <c r="P105" s="1227">
        <f t="shared" si="22"/>
        <v>-46.469289132451841</v>
      </c>
    </row>
    <row r="106" spans="1:16" x14ac:dyDescent="0.25">
      <c r="C106" s="1226">
        <f>'NIR faktorer'!B960</f>
        <v>1999</v>
      </c>
      <c r="D106" s="1272">
        <f>'NIR faktorer'!D960</f>
        <v>397000</v>
      </c>
      <c r="E106" s="1272">
        <f>'NIR faktorer'!D991</f>
        <v>1185000</v>
      </c>
      <c r="F106" s="1272">
        <f>'NIR faktorer'!D1022</f>
        <v>254000</v>
      </c>
      <c r="G106" s="1224">
        <f t="shared" si="18"/>
        <v>1328000</v>
      </c>
      <c r="H106" s="1222">
        <f t="shared" si="23"/>
        <v>3566051.3957786141</v>
      </c>
      <c r="I106" s="1222">
        <f t="shared" si="19"/>
        <v>77835.38667621091</v>
      </c>
      <c r="J106" s="1029">
        <v>0.38600000000000001</v>
      </c>
      <c r="K106" s="1222">
        <f t="shared" si="24"/>
        <v>30044.459257017414</v>
      </c>
      <c r="L106" s="1222">
        <v>5475791</v>
      </c>
      <c r="M106" s="1029">
        <f t="shared" si="20"/>
        <v>5.4867797651549184E-3</v>
      </c>
      <c r="N106" s="1022">
        <f t="shared" si="25"/>
        <v>2003</v>
      </c>
      <c r="O106" s="1222">
        <f t="shared" si="21"/>
        <v>10.990019869605302</v>
      </c>
      <c r="P106" s="1227">
        <f t="shared" si="22"/>
        <v>-40.296739521886103</v>
      </c>
    </row>
    <row r="107" spans="1:16" x14ac:dyDescent="0.25">
      <c r="C107" s="1226">
        <f>'NIR faktorer'!B961</f>
        <v>2000</v>
      </c>
      <c r="D107" s="1272">
        <f>'NIR faktorer'!D961</f>
        <v>263000</v>
      </c>
      <c r="E107" s="1272">
        <f>'NIR faktorer'!D992</f>
        <v>1151000</v>
      </c>
      <c r="F107" s="1272">
        <f>'NIR faktorer'!D1023</f>
        <v>239270</v>
      </c>
      <c r="G107" s="1224">
        <f t="shared" si="18"/>
        <v>1174730</v>
      </c>
      <c r="H107" s="1222">
        <f t="shared" si="23"/>
        <v>3643886.782454825</v>
      </c>
      <c r="I107" s="1222">
        <f t="shared" si="19"/>
        <v>-74492.26213929709</v>
      </c>
      <c r="J107" s="1029">
        <v>0.38600000000000001</v>
      </c>
      <c r="K107" s="1222">
        <f t="shared" si="24"/>
        <v>-28754.013185768679</v>
      </c>
      <c r="L107" s="1222">
        <v>5475791</v>
      </c>
      <c r="M107" s="1029">
        <f t="shared" si="20"/>
        <v>-5.2511159001080721E-3</v>
      </c>
      <c r="N107" s="1022">
        <f t="shared" si="25"/>
        <v>2003</v>
      </c>
      <c r="O107" s="1222">
        <f t="shared" si="21"/>
        <v>-10.517985147916468</v>
      </c>
      <c r="P107" s="1227">
        <f t="shared" si="22"/>
        <v>38.565945542360382</v>
      </c>
    </row>
    <row r="108" spans="1:16" x14ac:dyDescent="0.25">
      <c r="C108" s="1226">
        <f>'NIR faktorer'!B962</f>
        <v>2001</v>
      </c>
      <c r="D108" s="1272">
        <f>'NIR faktorer'!D962</f>
        <v>389000</v>
      </c>
      <c r="E108" s="1272">
        <f>'NIR faktorer'!D993</f>
        <v>1139150</v>
      </c>
      <c r="F108" s="1272">
        <f>'NIR faktorer'!D1024</f>
        <v>200170</v>
      </c>
      <c r="G108" s="1224">
        <f t="shared" si="18"/>
        <v>1327980</v>
      </c>
      <c r="H108" s="1222">
        <f t="shared" si="23"/>
        <v>3569394.5203155279</v>
      </c>
      <c r="I108" s="1222">
        <f t="shared" si="19"/>
        <v>76839.305945928209</v>
      </c>
      <c r="J108" s="1029">
        <v>0.38600000000000001</v>
      </c>
      <c r="K108" s="1222">
        <f t="shared" si="24"/>
        <v>29659.972095128291</v>
      </c>
      <c r="L108" s="1222">
        <v>5475791</v>
      </c>
      <c r="M108" s="1029">
        <f t="shared" si="20"/>
        <v>5.4165639439358246E-3</v>
      </c>
      <c r="N108" s="1022">
        <f t="shared" si="25"/>
        <v>2003</v>
      </c>
      <c r="O108" s="1222">
        <f t="shared" si="21"/>
        <v>10.849377579703457</v>
      </c>
      <c r="P108" s="1227">
        <f t="shared" si="22"/>
        <v>-39.781051125579346</v>
      </c>
    </row>
    <row r="109" spans="1:16" x14ac:dyDescent="0.25">
      <c r="C109" s="1226">
        <f>'NIR faktorer'!B963</f>
        <v>2002</v>
      </c>
      <c r="D109" s="1272">
        <f>'NIR faktorer'!D963</f>
        <v>383728</v>
      </c>
      <c r="E109" s="1272">
        <f>'NIR faktorer'!D994</f>
        <v>1138274</v>
      </c>
      <c r="F109" s="1272">
        <f>'NIR faktorer'!D1025</f>
        <v>239011</v>
      </c>
      <c r="G109" s="1224">
        <f t="shared" si="18"/>
        <v>1282991</v>
      </c>
      <c r="H109" s="1222">
        <f t="shared" si="23"/>
        <v>3646233.8262614561</v>
      </c>
      <c r="I109" s="1222">
        <f t="shared" si="19"/>
        <v>16312.887032812461</v>
      </c>
      <c r="J109" s="1029">
        <v>0.38600000000000001</v>
      </c>
      <c r="K109" s="1222">
        <f t="shared" si="24"/>
        <v>6296.7743946656101</v>
      </c>
      <c r="L109" s="1222">
        <v>5475791</v>
      </c>
      <c r="M109" s="1029">
        <f t="shared" si="20"/>
        <v>1.1499296438935689E-3</v>
      </c>
      <c r="N109" s="1022">
        <f t="shared" si="25"/>
        <v>2003</v>
      </c>
      <c r="O109" s="1222">
        <f t="shared" si="21"/>
        <v>2.3033090767188185</v>
      </c>
      <c r="P109" s="1227">
        <f t="shared" si="22"/>
        <v>-8.4454666146356683</v>
      </c>
    </row>
    <row r="110" spans="1:16" x14ac:dyDescent="0.25">
      <c r="C110" s="1226">
        <f>'NIR faktorer'!B964</f>
        <v>2003</v>
      </c>
      <c r="D110" s="1272">
        <f>'NIR faktorer'!D964</f>
        <v>388331</v>
      </c>
      <c r="E110" s="1272">
        <f>'NIR faktorer'!D995</f>
        <v>1165920</v>
      </c>
      <c r="F110" s="1272">
        <f>'NIR faktorer'!D1026</f>
        <v>230331</v>
      </c>
      <c r="G110" s="1224">
        <f t="shared" si="18"/>
        <v>1323920</v>
      </c>
      <c r="H110" s="1222">
        <f t="shared" si="23"/>
        <v>3662546.7132942686</v>
      </c>
      <c r="I110" s="1222">
        <f t="shared" si="19"/>
        <v>46124.508879200555</v>
      </c>
      <c r="J110" s="1029">
        <v>0.38600000000000001</v>
      </c>
      <c r="K110" s="1222">
        <f t="shared" si="24"/>
        <v>17804.060427371416</v>
      </c>
      <c r="L110" s="1222">
        <v>5475791</v>
      </c>
      <c r="M110" s="1029">
        <f t="shared" si="20"/>
        <v>3.2514134354966096E-3</v>
      </c>
      <c r="N110" s="1022">
        <f t="shared" si="25"/>
        <v>2003</v>
      </c>
      <c r="O110" s="1222">
        <f t="shared" si="21"/>
        <v>6.512581111299709</v>
      </c>
      <c r="P110" s="1227">
        <f t="shared" si="22"/>
        <v>-23.879464074765597</v>
      </c>
    </row>
    <row r="111" spans="1:16" x14ac:dyDescent="0.25">
      <c r="C111" s="1226">
        <f>'NIR faktorer'!B965</f>
        <v>2004</v>
      </c>
      <c r="D111" s="1272">
        <f>'NIR faktorer'!D965</f>
        <v>402043</v>
      </c>
      <c r="E111" s="1272">
        <f>'NIR faktorer'!D996</f>
        <v>1219631</v>
      </c>
      <c r="F111" s="1272">
        <f>'NIR faktorer'!D1027</f>
        <v>275522</v>
      </c>
      <c r="G111" s="1224">
        <f t="shared" si="18"/>
        <v>1346152</v>
      </c>
      <c r="H111" s="1222">
        <f t="shared" si="23"/>
        <v>3708671.2221734691</v>
      </c>
      <c r="I111" s="1222">
        <f t="shared" si="19"/>
        <v>51403.464951989241</v>
      </c>
      <c r="J111" s="1029">
        <v>0.38600000000000001</v>
      </c>
      <c r="K111" s="1222">
        <f t="shared" si="24"/>
        <v>19841.737471467848</v>
      </c>
      <c r="L111" s="1222">
        <v>5475791</v>
      </c>
      <c r="M111" s="1029">
        <f t="shared" si="20"/>
        <v>3.6235381283668145E-3</v>
      </c>
      <c r="N111" s="1022">
        <f t="shared" si="25"/>
        <v>2003</v>
      </c>
      <c r="O111" s="1222">
        <f t="shared" si="21"/>
        <v>7.2579468711187296</v>
      </c>
      <c r="P111" s="1227">
        <f t="shared" si="22"/>
        <v>-26.612471860768675</v>
      </c>
    </row>
    <row r="112" spans="1:16" x14ac:dyDescent="0.25">
      <c r="C112" s="1226">
        <f>'NIR faktorer'!B966</f>
        <v>2005</v>
      </c>
      <c r="D112" s="1272">
        <f>'NIR faktorer'!D966</f>
        <v>422624</v>
      </c>
      <c r="E112" s="1272">
        <f>'NIR faktorer'!D997</f>
        <v>1207876</v>
      </c>
      <c r="F112" s="1272">
        <f>'NIR faktorer'!D1028</f>
        <v>307525</v>
      </c>
      <c r="G112" s="1224">
        <f t="shared" si="18"/>
        <v>1322975</v>
      </c>
      <c r="H112" s="1222">
        <f t="shared" si="23"/>
        <v>3760074.6871254584</v>
      </c>
      <c r="I112" s="1222">
        <f t="shared" si="19"/>
        <v>16760.596626216546</v>
      </c>
      <c r="J112" s="1029">
        <v>0.38600000000000001</v>
      </c>
      <c r="K112" s="1222">
        <f t="shared" si="24"/>
        <v>6469.5902977195865</v>
      </c>
      <c r="L112" s="1222">
        <v>5475791</v>
      </c>
      <c r="M112" s="1029">
        <f t="shared" si="20"/>
        <v>1.181489632770788E-3</v>
      </c>
      <c r="N112" s="1022">
        <f t="shared" si="25"/>
        <v>2003</v>
      </c>
      <c r="O112" s="1222">
        <f t="shared" si="21"/>
        <v>2.3665237344398884</v>
      </c>
      <c r="P112" s="1227">
        <f t="shared" si="22"/>
        <v>-8.6772536929462571</v>
      </c>
    </row>
    <row r="113" spans="1:18" x14ac:dyDescent="0.25">
      <c r="C113" s="1226">
        <f>'NIR faktorer'!B967</f>
        <v>2006</v>
      </c>
      <c r="D113" s="1272">
        <f>'NIR faktorer'!D967</f>
        <v>441917</v>
      </c>
      <c r="E113" s="1272">
        <f>'NIR faktorer'!D998</f>
        <v>1205837</v>
      </c>
      <c r="F113" s="1272">
        <f>'NIR faktorer'!D1029</f>
        <v>266551</v>
      </c>
      <c r="G113" s="1224">
        <f t="shared" si="18"/>
        <v>1381203</v>
      </c>
      <c r="H113" s="1222">
        <f t="shared" si="23"/>
        <v>3776835.2837516749</v>
      </c>
      <c r="I113" s="1222">
        <f t="shared" si="19"/>
        <v>61060.665820020251</v>
      </c>
      <c r="J113" s="1029">
        <v>0.38600000000000001</v>
      </c>
      <c r="K113" s="1222">
        <f t="shared" si="24"/>
        <v>23569.417006527816</v>
      </c>
      <c r="L113" s="1222">
        <v>5475791</v>
      </c>
      <c r="M113" s="1029">
        <f t="shared" si="20"/>
        <v>4.3042944857697848E-3</v>
      </c>
      <c r="N113" s="1022">
        <f t="shared" si="25"/>
        <v>2003</v>
      </c>
      <c r="O113" s="1222">
        <f t="shared" si="21"/>
        <v>8.6215018549968789</v>
      </c>
      <c r="P113" s="1227">
        <f t="shared" si="22"/>
        <v>-31.612173468321888</v>
      </c>
    </row>
    <row r="114" spans="1:18" ht="16.5" customHeight="1" x14ac:dyDescent="0.25">
      <c r="C114" s="1226">
        <f>'NIR faktorer'!B968</f>
        <v>2007</v>
      </c>
      <c r="D114" s="1272">
        <f>'NIR faktorer'!D968</f>
        <v>416936</v>
      </c>
      <c r="E114" s="1272">
        <f>'NIR faktorer'!D999</f>
        <v>1302009</v>
      </c>
      <c r="F114" s="1272">
        <f>'NIR faktorer'!D1030</f>
        <v>264939</v>
      </c>
      <c r="G114" s="1224">
        <f t="shared" si="18"/>
        <v>1454006</v>
      </c>
      <c r="H114" s="1222">
        <f t="shared" si="23"/>
        <v>3837895.9495716952</v>
      </c>
      <c r="I114" s="1222">
        <f t="shared" si="19"/>
        <v>104703.04072760791</v>
      </c>
      <c r="J114" s="1029">
        <v>0.38600000000000001</v>
      </c>
      <c r="K114" s="1222">
        <f t="shared" si="24"/>
        <v>40415.373720856653</v>
      </c>
      <c r="L114" s="1222">
        <v>5475791</v>
      </c>
      <c r="M114" s="1029">
        <f t="shared" si="20"/>
        <v>7.380737088186283E-3</v>
      </c>
      <c r="N114" s="1022">
        <f>$N$115</f>
        <v>2003</v>
      </c>
      <c r="O114" s="1222">
        <f t="shared" si="21"/>
        <v>14.783616387637124</v>
      </c>
      <c r="P114" s="1227">
        <f t="shared" si="22"/>
        <v>-54.206593421336123</v>
      </c>
    </row>
    <row r="115" spans="1:18" x14ac:dyDescent="0.25">
      <c r="C115" s="1226">
        <f>'NIR faktorer'!B969</f>
        <v>2008</v>
      </c>
      <c r="D115" s="1272">
        <f>'NIR faktorer'!D969</f>
        <v>417936</v>
      </c>
      <c r="E115" s="1272">
        <f>'NIR faktorer'!D1000</f>
        <v>1208739</v>
      </c>
      <c r="F115" s="1272">
        <f>'NIR faktorer'!D1031</f>
        <v>253737</v>
      </c>
      <c r="G115" s="1224">
        <f t="shared" si="18"/>
        <v>1372938</v>
      </c>
      <c r="H115" s="1222">
        <f t="shared" si="23"/>
        <v>3942598.9902993031</v>
      </c>
      <c r="I115" s="1222">
        <f t="shared" si="19"/>
        <v>5524.7562731867656</v>
      </c>
      <c r="J115" s="1029">
        <v>0.38600000000000001</v>
      </c>
      <c r="K115" s="1222">
        <f t="shared" si="24"/>
        <v>2132.5559214500918</v>
      </c>
      <c r="L115" s="1222" cm="1">
        <f t="array" ref="L115:L126">TRANSPOSE(FOLK1A!B4:M4)</f>
        <v>5475791</v>
      </c>
      <c r="M115" s="1029">
        <f t="shared" si="20"/>
        <v>3.8945166487363957E-4</v>
      </c>
      <c r="N115" s="1022" cm="1">
        <f t="array" ref="N115:N126">TRANSPOSE(FOLK1A!B6:M6)</f>
        <v>2003</v>
      </c>
      <c r="O115" s="1222">
        <f t="shared" si="21"/>
        <v>0.78007168474190003</v>
      </c>
      <c r="P115" s="1227">
        <f t="shared" si="22"/>
        <v>-2.8602628440536333</v>
      </c>
      <c r="R115" s="1213"/>
    </row>
    <row r="116" spans="1:18" x14ac:dyDescent="0.25">
      <c r="C116" s="1226">
        <f>'NIR faktorer'!B970</f>
        <v>2009</v>
      </c>
      <c r="D116" s="1272">
        <f>'NIR faktorer'!D970</f>
        <v>518936</v>
      </c>
      <c r="E116" s="1272">
        <f>'NIR faktorer'!D1001</f>
        <v>980856</v>
      </c>
      <c r="F116" s="1272">
        <f>'NIR faktorer'!D1032</f>
        <v>238827</v>
      </c>
      <c r="G116" s="1224">
        <f t="shared" si="18"/>
        <v>1260965</v>
      </c>
      <c r="H116" s="1222">
        <f t="shared" si="23"/>
        <v>3948123.7465724899</v>
      </c>
      <c r="I116" s="1222">
        <f t="shared" si="19"/>
        <v>-90723.042494181544</v>
      </c>
      <c r="J116" s="1029">
        <v>0.38600000000000001</v>
      </c>
      <c r="K116" s="1222">
        <f t="shared" si="24"/>
        <v>-35019.094402754075</v>
      </c>
      <c r="L116" s="1222">
        <v>5511451</v>
      </c>
      <c r="M116" s="1029">
        <f t="shared" si="20"/>
        <v>-6.3538792965326324E-3</v>
      </c>
      <c r="N116" s="1022">
        <v>1993</v>
      </c>
      <c r="O116" s="1222">
        <f t="shared" si="21"/>
        <v>-12.663281437989536</v>
      </c>
      <c r="P116" s="1227">
        <f t="shared" si="22"/>
        <v>46.432031939294966</v>
      </c>
      <c r="R116" s="1213"/>
    </row>
    <row r="117" spans="1:18" x14ac:dyDescent="0.25">
      <c r="C117" s="1226">
        <f>'NIR faktorer'!B971</f>
        <v>2010</v>
      </c>
      <c r="D117" s="1272">
        <f>'NIR faktorer'!D971</f>
        <v>534932</v>
      </c>
      <c r="E117" s="1272">
        <f>'NIR faktorer'!D1002</f>
        <v>1026095</v>
      </c>
      <c r="F117" s="1272">
        <f>'NIR faktorer'!D1033</f>
        <v>233427</v>
      </c>
      <c r="G117" s="1224">
        <f t="shared" si="18"/>
        <v>1327600</v>
      </c>
      <c r="H117" s="1222">
        <f t="shared" si="23"/>
        <v>3857400.7040783083</v>
      </c>
      <c r="I117" s="1222">
        <f t="shared" si="19"/>
        <v>-7836.8945061932318</v>
      </c>
      <c r="J117" s="1029">
        <v>0.38600000000000001</v>
      </c>
      <c r="K117" s="1222">
        <f t="shared" si="24"/>
        <v>-3025.0412793905875</v>
      </c>
      <c r="L117" s="1222">
        <v>5534738</v>
      </c>
      <c r="M117" s="1029">
        <f t="shared" si="20"/>
        <v>-5.4655546105174041E-4</v>
      </c>
      <c r="N117" s="1022">
        <v>1969</v>
      </c>
      <c r="O117" s="1222">
        <f t="shared" si="21"/>
        <v>-1.0761677028108769</v>
      </c>
      <c r="P117" s="1227">
        <f t="shared" si="22"/>
        <v>3.9459482436398816</v>
      </c>
      <c r="R117" s="1213"/>
    </row>
    <row r="118" spans="1:18" x14ac:dyDescent="0.25">
      <c r="C118" s="1226">
        <f>'NIR faktorer'!B972</f>
        <v>2011</v>
      </c>
      <c r="D118" s="1272">
        <f>'NIR faktorer'!D972</f>
        <v>522699</v>
      </c>
      <c r="E118" s="1272">
        <f>'NIR faktorer'!D1003</f>
        <v>993767</v>
      </c>
      <c r="F118" s="1272">
        <f>'NIR faktorer'!D1034</f>
        <v>254882</v>
      </c>
      <c r="G118" s="1224">
        <f t="shared" si="18"/>
        <v>1261584</v>
      </c>
      <c r="H118" s="1222">
        <f t="shared" si="23"/>
        <v>3849563.8095721151</v>
      </c>
      <c r="I118" s="1222">
        <f t="shared" si="19"/>
        <v>-61332.381474357564</v>
      </c>
      <c r="J118" s="1029">
        <v>0.38600000000000001</v>
      </c>
      <c r="K118" s="1222">
        <f t="shared" si="24"/>
        <v>-23674.29924910202</v>
      </c>
      <c r="L118" s="1222">
        <v>5560628</v>
      </c>
      <c r="M118" s="1029">
        <f t="shared" si="20"/>
        <v>-4.2574866092646409E-3</v>
      </c>
      <c r="N118" s="1022">
        <v>1949</v>
      </c>
      <c r="O118" s="1222">
        <f t="shared" si="21"/>
        <v>-8.2978414014567843</v>
      </c>
      <c r="P118" s="1227">
        <f t="shared" si="22"/>
        <v>30.425418472008207</v>
      </c>
      <c r="R118" s="1213"/>
    </row>
    <row r="119" spans="1:18" x14ac:dyDescent="0.25">
      <c r="C119" s="1226">
        <f>'NIR faktorer'!B973</f>
        <v>2012</v>
      </c>
      <c r="D119" s="1272">
        <f>'NIR faktorer'!D973</f>
        <v>522110</v>
      </c>
      <c r="E119" s="1272">
        <f>'NIR faktorer'!D1004</f>
        <v>727965</v>
      </c>
      <c r="F119" s="1272">
        <f>'NIR faktorer'!D1035</f>
        <v>155479</v>
      </c>
      <c r="G119" s="1224">
        <f t="shared" si="18"/>
        <v>1094596</v>
      </c>
      <c r="H119" s="1222">
        <f t="shared" si="23"/>
        <v>3788231.4280977575</v>
      </c>
      <c r="I119" s="1222">
        <f t="shared" si="19"/>
        <v>-184491.9700061609</v>
      </c>
      <c r="J119" s="1029">
        <v>0.38600000000000001</v>
      </c>
      <c r="K119" s="1222">
        <f t="shared" si="24"/>
        <v>-71213.900422378108</v>
      </c>
      <c r="L119" s="1222">
        <v>5580516</v>
      </c>
      <c r="M119" s="1029">
        <f t="shared" si="20"/>
        <v>-1.2761167680977549E-2</v>
      </c>
      <c r="N119" s="1022">
        <v>1897</v>
      </c>
      <c r="O119" s="1222">
        <f t="shared" si="21"/>
        <v>-24.207935090814409</v>
      </c>
      <c r="P119" s="1227">
        <f t="shared" si="22"/>
        <v>88.762428666319508</v>
      </c>
      <c r="R119" s="1213"/>
    </row>
    <row r="120" spans="1:18" x14ac:dyDescent="0.25">
      <c r="C120" s="1226">
        <f>'NIR faktorer'!B974</f>
        <v>2013</v>
      </c>
      <c r="D120" s="1272">
        <f>'NIR faktorer'!D974</f>
        <v>522110</v>
      </c>
      <c r="E120" s="1272">
        <f>'NIR faktorer'!D1005</f>
        <v>761665</v>
      </c>
      <c r="F120" s="1272">
        <f>'NIR faktorer'!D1036</f>
        <v>127898</v>
      </c>
      <c r="G120" s="1224">
        <f t="shared" si="18"/>
        <v>1155877</v>
      </c>
      <c r="H120" s="1222">
        <f t="shared" si="23"/>
        <v>3603739.4580915966</v>
      </c>
      <c r="I120" s="1222">
        <f t="shared" si="19"/>
        <v>-78666.264318184461</v>
      </c>
      <c r="J120" s="1029">
        <v>0.38600000000000001</v>
      </c>
      <c r="K120" s="1222">
        <f t="shared" si="24"/>
        <v>-30365.178026819201</v>
      </c>
      <c r="L120" s="1222">
        <v>5602628</v>
      </c>
      <c r="M120" s="1029">
        <f t="shared" si="20"/>
        <v>-5.4198097797710648E-3</v>
      </c>
      <c r="N120" s="1022">
        <v>1839</v>
      </c>
      <c r="O120" s="1222">
        <f t="shared" si="21"/>
        <v>-9.967030184998988</v>
      </c>
      <c r="P120" s="1227">
        <f t="shared" si="22"/>
        <v>36.545777344996289</v>
      </c>
      <c r="R120" s="1213"/>
    </row>
    <row r="121" spans="1:18" x14ac:dyDescent="0.25">
      <c r="C121" s="1226">
        <f>'NIR faktorer'!B975</f>
        <v>2014</v>
      </c>
      <c r="D121" s="1272">
        <f>'NIR faktorer'!D975</f>
        <v>522110</v>
      </c>
      <c r="E121" s="1272">
        <f>'NIR faktorer'!D1006</f>
        <v>761665</v>
      </c>
      <c r="F121" s="1272">
        <f>'NIR faktorer'!D1037</f>
        <v>127898</v>
      </c>
      <c r="G121" s="1224">
        <f t="shared" si="18"/>
        <v>1155877</v>
      </c>
      <c r="H121" s="1222">
        <f t="shared" si="23"/>
        <v>3525073.1937734121</v>
      </c>
      <c r="I121" s="1222">
        <f t="shared" si="19"/>
        <v>-55625.448950001504</v>
      </c>
      <c r="J121" s="1029">
        <v>0.38600000000000001</v>
      </c>
      <c r="K121" s="1222">
        <f t="shared" si="24"/>
        <v>-21471.42329470058</v>
      </c>
      <c r="L121" s="1222">
        <v>5627235</v>
      </c>
      <c r="M121" s="1029">
        <f t="shared" si="20"/>
        <v>-3.8156258437226417E-3</v>
      </c>
      <c r="N121" s="1022">
        <v>1808</v>
      </c>
      <c r="O121" s="1222">
        <f t="shared" si="21"/>
        <v>-6.8986515254505365</v>
      </c>
      <c r="P121" s="1227">
        <f t="shared" si="22"/>
        <v>25.295055593318633</v>
      </c>
      <c r="R121" s="1213"/>
    </row>
    <row r="122" spans="1:18" x14ac:dyDescent="0.25">
      <c r="C122" s="1226">
        <f>'NIR faktorer'!B976</f>
        <v>2015</v>
      </c>
      <c r="D122" s="1272">
        <f>'NIR faktorer'!D976</f>
        <v>481520</v>
      </c>
      <c r="E122" s="1272">
        <f>'NIR faktorer'!D1007</f>
        <v>761665</v>
      </c>
      <c r="F122" s="1272">
        <f>'NIR faktorer'!D1038</f>
        <v>127898</v>
      </c>
      <c r="G122" s="1224">
        <f t="shared" si="18"/>
        <v>1115287</v>
      </c>
      <c r="H122" s="1222">
        <f t="shared" si="23"/>
        <v>3469447.7448234106</v>
      </c>
      <c r="I122" s="1222">
        <f t="shared" si="19"/>
        <v>-73636.195303731132</v>
      </c>
      <c r="J122" s="1029">
        <v>0.38600000000000001</v>
      </c>
      <c r="K122" s="1222">
        <f t="shared" si="24"/>
        <v>-28423.571387240219</v>
      </c>
      <c r="L122" s="1222">
        <v>5659715</v>
      </c>
      <c r="M122" s="1029">
        <f t="shared" si="20"/>
        <v>-5.0220852794248859E-3</v>
      </c>
      <c r="N122" s="1022">
        <v>1795</v>
      </c>
      <c r="O122" s="1222">
        <f t="shared" si="21"/>
        <v>-9.0146430765676708</v>
      </c>
      <c r="P122" s="1227">
        <f t="shared" si="22"/>
        <v>33.053691280748126</v>
      </c>
      <c r="R122" s="1213"/>
    </row>
    <row r="123" spans="1:18" ht="14.45" customHeight="1" x14ac:dyDescent="0.25">
      <c r="C123" s="1226">
        <f>'NIR faktorer'!B977</f>
        <v>2016</v>
      </c>
      <c r="D123" s="1272">
        <f>'NIR faktorer'!D977</f>
        <v>481520</v>
      </c>
      <c r="E123" s="1272">
        <f>'NIR faktorer'!D1008</f>
        <v>761665</v>
      </c>
      <c r="F123" s="1272">
        <f>'NIR faktorer'!D1039</f>
        <v>127898</v>
      </c>
      <c r="G123" s="1224">
        <f t="shared" si="18"/>
        <v>1115287</v>
      </c>
      <c r="H123" s="1222">
        <f t="shared" si="23"/>
        <v>3395811.5495196795</v>
      </c>
      <c r="I123" s="1222">
        <f t="shared" si="19"/>
        <v>-52068.653040044941</v>
      </c>
      <c r="J123" s="1029">
        <v>0.38600000000000001</v>
      </c>
      <c r="K123" s="1222">
        <f t="shared" si="24"/>
        <v>-20098.500073457348</v>
      </c>
      <c r="L123" s="1222">
        <v>5707251</v>
      </c>
      <c r="M123" s="1029">
        <f t="shared" si="20"/>
        <v>-3.521572833130582E-3</v>
      </c>
      <c r="N123" s="1022">
        <v>1817</v>
      </c>
      <c r="O123" s="1222">
        <f t="shared" si="21"/>
        <v>-6.3986978377982675</v>
      </c>
      <c r="P123" s="1227">
        <f t="shared" si="22"/>
        <v>23.461892071926982</v>
      </c>
      <c r="R123" s="1213"/>
    </row>
    <row r="124" spans="1:18" x14ac:dyDescent="0.25">
      <c r="C124" s="1226">
        <f>'NIR faktorer'!B978</f>
        <v>2017</v>
      </c>
      <c r="D124" s="1272">
        <f>'NIR faktorer'!D978</f>
        <v>147000</v>
      </c>
      <c r="E124" s="1272">
        <f>'NIR faktorer'!D1009</f>
        <v>873067</v>
      </c>
      <c r="F124" s="1272">
        <f>'NIR faktorer'!D1040</f>
        <v>115996</v>
      </c>
      <c r="G124" s="1224">
        <f t="shared" si="18"/>
        <v>904071</v>
      </c>
      <c r="H124" s="1222">
        <f t="shared" si="23"/>
        <v>3343742.8964796346</v>
      </c>
      <c r="I124" s="1222">
        <f t="shared" si="19"/>
        <v>-215319.10245989682</v>
      </c>
      <c r="J124" s="1029">
        <v>0.38600000000000001</v>
      </c>
      <c r="K124" s="1222">
        <f t="shared" si="24"/>
        <v>-83113.173549520172</v>
      </c>
      <c r="L124" s="1222">
        <v>5748769</v>
      </c>
      <c r="M124" s="1029">
        <f t="shared" si="20"/>
        <v>-1.4457560140183085E-2</v>
      </c>
      <c r="N124" s="1022">
        <v>1793</v>
      </c>
      <c r="O124" s="1222">
        <f t="shared" si="21"/>
        <v>-25.922405331348273</v>
      </c>
      <c r="P124" s="1227">
        <f t="shared" si="22"/>
        <v>95.048819548276995</v>
      </c>
      <c r="R124" s="1213"/>
    </row>
    <row r="125" spans="1:18" x14ac:dyDescent="0.25">
      <c r="C125" s="1226">
        <f>'NIR faktorer'!B979</f>
        <v>2018</v>
      </c>
      <c r="D125" s="1272">
        <f>'NIR faktorer'!D979</f>
        <v>147000</v>
      </c>
      <c r="E125" s="1272">
        <f>'NIR faktorer'!D1010</f>
        <v>873067</v>
      </c>
      <c r="F125" s="1272">
        <f>'NIR faktorer'!D1041</f>
        <v>115996</v>
      </c>
      <c r="G125" s="1224">
        <f>IFERROR(D125+E125-F125,D125-F125)</f>
        <v>904071</v>
      </c>
      <c r="H125" s="1222">
        <f t="shared" si="23"/>
        <v>3128423.7940197377</v>
      </c>
      <c r="I125" s="1493">
        <f t="shared" si="19"/>
        <v>-152253.59746839432</v>
      </c>
      <c r="J125" s="1225">
        <v>0.38600000000000001</v>
      </c>
      <c r="K125" s="1224">
        <f t="shared" si="24"/>
        <v>-58769.888622800208</v>
      </c>
      <c r="L125" s="1224">
        <v>5781190</v>
      </c>
      <c r="M125" s="1029">
        <f t="shared" si="20"/>
        <v>-1.0165707859938906E-2</v>
      </c>
      <c r="N125" s="1022">
        <v>1807</v>
      </c>
      <c r="O125" s="1222">
        <f t="shared" si="21"/>
        <v>-18.369434102909604</v>
      </c>
      <c r="P125" s="1492">
        <f t="shared" si="22"/>
        <v>67.354591710668544</v>
      </c>
      <c r="R125" s="1213"/>
    </row>
    <row r="126" spans="1:18" ht="15.75" thickBot="1" x14ac:dyDescent="0.3">
      <c r="A126" s="5308"/>
      <c r="B126" s="5308"/>
      <c r="C126" s="2283">
        <f>'NIR faktorer'!B980</f>
        <v>2019</v>
      </c>
      <c r="D126" s="4050">
        <f>'NIR faktorer'!D980</f>
        <v>152000</v>
      </c>
      <c r="E126" s="4050">
        <f>'NIR faktorer'!D1011</f>
        <v>790151</v>
      </c>
      <c r="F126" s="4050">
        <f>'NIR faktorer'!D1042</f>
        <v>176000</v>
      </c>
      <c r="G126" s="4051">
        <f>IFERROR(D126+E126-F126,D126-F126)</f>
        <v>766151</v>
      </c>
      <c r="H126" s="1220">
        <f t="shared" si="23"/>
        <v>2976170.1965513434</v>
      </c>
      <c r="I126" s="1216"/>
      <c r="J126" s="1219"/>
      <c r="K126" s="1218"/>
      <c r="L126" s="1494">
        <v>5806081</v>
      </c>
      <c r="M126" s="1217"/>
      <c r="N126" s="1028">
        <v>1806</v>
      </c>
      <c r="O126" s="1216"/>
      <c r="P126" s="1216"/>
    </row>
    <row r="127" spans="1:18" x14ac:dyDescent="0.25">
      <c r="A127" s="5308"/>
      <c r="B127" s="5308"/>
      <c r="C127" s="1110" t="s">
        <v>2489</v>
      </c>
    </row>
    <row r="128" spans="1:18" s="1766" customFormat="1" ht="30.75" customHeight="1" x14ac:dyDescent="0.2">
      <c r="A128" s="5324" t="s">
        <v>2042</v>
      </c>
      <c r="B128" s="5324"/>
      <c r="D128" s="5325" t="str">
        <f>'NIR faktorer'!D1045</f>
        <v xml:space="preserve"> NIR 2020 (2018) CRF tabel 4.Gs2</v>
      </c>
      <c r="E128" s="5325"/>
      <c r="F128" s="5325"/>
      <c r="J128" s="1215" t="s">
        <v>2488</v>
      </c>
      <c r="L128" s="1215" t="s">
        <v>2487</v>
      </c>
      <c r="N128" s="1215" t="s">
        <v>2487</v>
      </c>
      <c r="P128" s="1214" t="s">
        <v>2418</v>
      </c>
    </row>
    <row r="130" spans="5:11" x14ac:dyDescent="0.25">
      <c r="E130" s="1005"/>
      <c r="F130" s="1005"/>
      <c r="G130" s="1005"/>
      <c r="H130" s="1005"/>
    </row>
    <row r="133" spans="5:11" x14ac:dyDescent="0.25">
      <c r="J133" s="1213"/>
      <c r="K133" s="1213"/>
    </row>
    <row r="134" spans="5:11" x14ac:dyDescent="0.25">
      <c r="J134" s="1213"/>
      <c r="K134" s="1213"/>
    </row>
    <row r="135" spans="5:11" x14ac:dyDescent="0.25">
      <c r="J135" s="1213"/>
      <c r="K135" s="1213"/>
    </row>
    <row r="136" spans="5:11" x14ac:dyDescent="0.25">
      <c r="J136" s="1213"/>
      <c r="K136" s="1213"/>
    </row>
    <row r="137" spans="5:11" x14ac:dyDescent="0.25">
      <c r="J137" s="1213"/>
      <c r="K137" s="1213"/>
    </row>
    <row r="138" spans="5:11" x14ac:dyDescent="0.25">
      <c r="J138" s="1213"/>
      <c r="K138" s="1213"/>
    </row>
    <row r="139" spans="5:11" x14ac:dyDescent="0.25">
      <c r="J139" s="1213"/>
      <c r="K139" s="1213"/>
    </row>
    <row r="140" spans="5:11" x14ac:dyDescent="0.25">
      <c r="J140" s="1213"/>
      <c r="K140" s="1213"/>
    </row>
    <row r="141" spans="5:11" x14ac:dyDescent="0.25">
      <c r="J141" s="1213"/>
      <c r="K141" s="1213"/>
    </row>
    <row r="142" spans="5:11" x14ac:dyDescent="0.25">
      <c r="J142" s="1213"/>
      <c r="K142" s="1213"/>
    </row>
    <row r="143" spans="5:11" x14ac:dyDescent="0.25">
      <c r="J143" s="1213"/>
    </row>
  </sheetData>
  <mergeCells count="12">
    <mergeCell ref="C95:E95"/>
    <mergeCell ref="A126:B126"/>
    <mergeCell ref="A127:B127"/>
    <mergeCell ref="A128:B128"/>
    <mergeCell ref="D128:F128"/>
    <mergeCell ref="A87:B87"/>
    <mergeCell ref="D87:F87"/>
    <mergeCell ref="C13:E13"/>
    <mergeCell ref="A16:B16"/>
    <mergeCell ref="A46:B46"/>
    <mergeCell ref="D46:F46"/>
    <mergeCell ref="C54:E54"/>
  </mergeCells>
  <hyperlinks>
    <hyperlink ref="A2" location="Index!A1" display="Til index" xr:uid="{61073BDD-C2CE-46A6-AB45-8A4E8FF0B63A}"/>
  </hyperlinks>
  <pageMargins left="0.7" right="0.7" top="0.75" bottom="0.75" header="0.3" footer="0.3"/>
  <pageSetup paperSize="9" orientation="portrait" horizontalDpi="4294967293" vertic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72614-1AC1-4EC3-A7F3-1C06B14C39BD}">
  <sheetPr codeName="Ark99">
    <tabColor theme="4" tint="-0.249977111117893"/>
  </sheetPr>
  <dimension ref="A1:T143"/>
  <sheetViews>
    <sheetView zoomScale="70" zoomScaleNormal="70" workbookViewId="0">
      <selection activeCell="C43" sqref="C43"/>
    </sheetView>
  </sheetViews>
  <sheetFormatPr defaultColWidth="8.7109375" defaultRowHeight="15" x14ac:dyDescent="0.25"/>
  <cols>
    <col min="1" max="2" width="13.42578125" style="992" customWidth="1"/>
    <col min="3" max="3" width="20" style="992" customWidth="1"/>
    <col min="4" max="4" width="14.5703125" style="992" customWidth="1"/>
    <col min="5" max="5" width="15.28515625" style="992" bestFit="1" customWidth="1"/>
    <col min="6" max="6" width="15.5703125" style="992" customWidth="1"/>
    <col min="7" max="7" width="19.7109375" style="992" customWidth="1"/>
    <col min="8" max="8" width="20.85546875" style="992" bestFit="1" customWidth="1"/>
    <col min="9" max="9" width="25.5703125" style="992" customWidth="1"/>
    <col min="10" max="10" width="31.85546875" style="992" customWidth="1"/>
    <col min="11" max="11" width="18" style="992" customWidth="1"/>
    <col min="12" max="12" width="22.5703125" style="992" customWidth="1"/>
    <col min="13" max="13" width="24.42578125" style="992" customWidth="1"/>
    <col min="14" max="14" width="19.28515625" style="992" customWidth="1"/>
    <col min="15" max="15" width="15.85546875" style="992" customWidth="1"/>
    <col min="16" max="16" width="28.140625" style="992" customWidth="1"/>
    <col min="17" max="17" width="8.7109375" style="992"/>
    <col min="18" max="18" width="9.140625" style="992" customWidth="1"/>
    <col min="19" max="16384" width="8.7109375" style="992"/>
  </cols>
  <sheetData>
    <row r="1" spans="1:16" s="1262" customFormat="1" ht="47.45" customHeight="1" x14ac:dyDescent="0.45">
      <c r="C1" s="1007" t="s">
        <v>2502</v>
      </c>
    </row>
    <row r="2" spans="1:16" ht="21" x14ac:dyDescent="0.35">
      <c r="A2" s="1740" t="s">
        <v>4206</v>
      </c>
      <c r="C2" s="1260"/>
      <c r="D2" s="1260"/>
      <c r="E2" s="1260"/>
      <c r="F2" s="1260"/>
      <c r="G2" s="1260"/>
      <c r="H2" s="1260"/>
    </row>
    <row r="3" spans="1:16" x14ac:dyDescent="0.25">
      <c r="A3" s="1260"/>
      <c r="B3" s="1260"/>
      <c r="C3" s="1260"/>
      <c r="D3" s="1260"/>
      <c r="E3" s="1260"/>
      <c r="F3" s="1260"/>
      <c r="G3" s="1260"/>
      <c r="H3" s="1260"/>
    </row>
    <row r="4" spans="1:16" x14ac:dyDescent="0.25">
      <c r="A4" s="1456"/>
      <c r="B4" s="965" t="s">
        <v>2088</v>
      </c>
      <c r="C4" s="1234"/>
      <c r="D4" s="1260"/>
      <c r="E4" s="1234"/>
      <c r="F4" s="1234"/>
    </row>
    <row r="5" spans="1:16" ht="15.75" thickBot="1" x14ac:dyDescent="0.3">
      <c r="A5" s="965"/>
      <c r="B5" s="965"/>
      <c r="C5" s="1234"/>
      <c r="D5" s="1260"/>
      <c r="E5" s="1234"/>
      <c r="F5" s="1234"/>
    </row>
    <row r="6" spans="1:16" x14ac:dyDescent="0.25">
      <c r="C6" s="1261" t="s">
        <v>2501</v>
      </c>
      <c r="D6" s="1258">
        <v>35</v>
      </c>
      <c r="E6" s="1234"/>
      <c r="F6" s="1234"/>
    </row>
    <row r="7" spans="1:16" x14ac:dyDescent="0.25">
      <c r="C7" s="1238" t="s">
        <v>2500</v>
      </c>
      <c r="D7" s="1257">
        <f>LN(2)/D6</f>
        <v>1.980420515885558E-2</v>
      </c>
      <c r="E7" s="1234"/>
      <c r="F7" s="1234"/>
    </row>
    <row r="8" spans="1:16" x14ac:dyDescent="0.25">
      <c r="C8" s="1238" t="s">
        <v>2493</v>
      </c>
      <c r="D8" s="1257">
        <f>EXP(-D7)</f>
        <v>0.98039060993977345</v>
      </c>
      <c r="E8" s="1234"/>
      <c r="F8" s="1234"/>
    </row>
    <row r="9" spans="1:16" ht="18" thickBot="1" x14ac:dyDescent="0.3">
      <c r="C9" s="1236" t="s">
        <v>2492</v>
      </c>
      <c r="D9" s="1256">
        <f>(1-EXP(-D7))/D7</f>
        <v>0.99016294281611617</v>
      </c>
      <c r="E9" s="1234"/>
      <c r="F9" s="1234"/>
    </row>
    <row r="10" spans="1:16" x14ac:dyDescent="0.25">
      <c r="C10" s="1235" t="s">
        <v>2491</v>
      </c>
      <c r="D10" s="1234"/>
      <c r="E10" s="1234"/>
      <c r="F10" s="1234"/>
      <c r="G10" s="1234"/>
      <c r="H10" s="1234"/>
    </row>
    <row r="11" spans="1:16" x14ac:dyDescent="0.25">
      <c r="C11" s="1000" t="s">
        <v>2420</v>
      </c>
      <c r="H11" s="1260"/>
    </row>
    <row r="12" spans="1:16" x14ac:dyDescent="0.25">
      <c r="H12" s="1260"/>
    </row>
    <row r="13" spans="1:16" ht="51.75" customHeight="1" thickBot="1" x14ac:dyDescent="0.3">
      <c r="C13" s="5326" t="s">
        <v>4914</v>
      </c>
      <c r="D13" s="5326"/>
      <c r="E13" s="5326"/>
    </row>
    <row r="14" spans="1:16" s="1233" customFormat="1" ht="66.75" customHeight="1" thickBot="1" x14ac:dyDescent="0.25">
      <c r="A14" s="1259" t="s">
        <v>2301</v>
      </c>
      <c r="B14" s="1259"/>
      <c r="C14" s="1015" t="s">
        <v>977</v>
      </c>
      <c r="D14" s="1762" t="s">
        <v>4902</v>
      </c>
      <c r="E14" s="1762" t="s">
        <v>4903</v>
      </c>
      <c r="F14" s="1762" t="s">
        <v>4904</v>
      </c>
      <c r="G14" s="1762" t="s">
        <v>4916</v>
      </c>
      <c r="H14" s="1762" t="s">
        <v>4919</v>
      </c>
      <c r="I14" s="1762" t="s">
        <v>4918</v>
      </c>
      <c r="J14" s="1762" t="s">
        <v>4905</v>
      </c>
      <c r="K14" s="1762" t="s">
        <v>4906</v>
      </c>
      <c r="L14" s="1762" t="s">
        <v>4907</v>
      </c>
      <c r="M14" s="1762" t="s">
        <v>4909</v>
      </c>
      <c r="N14" s="1762" t="s">
        <v>4908</v>
      </c>
      <c r="O14" s="1762" t="s">
        <v>4910</v>
      </c>
      <c r="P14" s="1763" t="s">
        <v>4911</v>
      </c>
    </row>
    <row r="15" spans="1:16" ht="17.25" x14ac:dyDescent="0.25">
      <c r="A15" s="1000" t="s">
        <v>2499</v>
      </c>
      <c r="C15" s="1226">
        <f>'NIR faktorer'!B757</f>
        <v>1990</v>
      </c>
      <c r="D15" s="1270">
        <f>'NIR faktorer'!D757</f>
        <v>339361.22093000001</v>
      </c>
      <c r="E15" s="1270">
        <f>'NIR faktorer'!D788</f>
        <v>1483000</v>
      </c>
      <c r="F15" s="1270">
        <f>'NIR faktorer'!D819</f>
        <v>33857.630601999997</v>
      </c>
      <c r="G15" s="1232">
        <f t="shared" ref="G15:G42" si="0">D15+E15-F15</f>
        <v>1788503.590328</v>
      </c>
      <c r="H15" s="1230">
        <f>AVERAGE(G15:G19)/D7</f>
        <v>102188616.68052657</v>
      </c>
      <c r="I15" s="1230">
        <f t="shared" ref="I15:I42" si="1">H16-H15</f>
        <v>-232946.46596705914</v>
      </c>
      <c r="J15" s="1231">
        <v>0.22900000000000001</v>
      </c>
      <c r="K15" s="1230">
        <f t="shared" ref="K15:K43" si="2">I15*J15</f>
        <v>-53344.740706456541</v>
      </c>
      <c r="L15" s="1222">
        <f t="shared" ref="L15:L34" si="3">$L$36</f>
        <v>779444</v>
      </c>
      <c r="M15" s="1231">
        <f>K15/L15</f>
        <v>-6.8439478277408691E-2</v>
      </c>
      <c r="N15" s="1222">
        <f t="shared" ref="N15:N34" si="4">$N$36</f>
        <v>567</v>
      </c>
      <c r="O15" s="1230">
        <f t="shared" ref="O15:O43" si="5">M15*N15</f>
        <v>-38.805184183290727</v>
      </c>
      <c r="P15" s="1229">
        <f t="shared" ref="P15:P43" si="6" xml:space="preserve"> O15*-44/12</f>
        <v>142.28567533873266</v>
      </c>
    </row>
    <row r="16" spans="1:16" x14ac:dyDescent="0.25">
      <c r="A16" s="5327"/>
      <c r="B16" s="5327"/>
      <c r="C16" s="1226">
        <f>'NIR faktorer'!B758</f>
        <v>1991</v>
      </c>
      <c r="D16" s="1270">
        <f>'NIR faktorer'!D758</f>
        <v>264951.14730999997</v>
      </c>
      <c r="E16" s="1270">
        <f>'NIR faktorer'!D789</f>
        <v>1483000</v>
      </c>
      <c r="F16" s="1270">
        <f>'NIR faktorer'!D820</f>
        <v>16743.903237999999</v>
      </c>
      <c r="G16" s="1224">
        <f t="shared" si="0"/>
        <v>1731207.244072</v>
      </c>
      <c r="H16" s="1222">
        <f t="shared" ref="H16:H44" si="7">$D$8*H15+$D$9*G15</f>
        <v>101955670.21455951</v>
      </c>
      <c r="I16" s="1222">
        <f t="shared" si="1"/>
        <v>-285111.24667420983</v>
      </c>
      <c r="J16" s="1029">
        <v>0.22900000000000001</v>
      </c>
      <c r="K16" s="1222">
        <f t="shared" si="2"/>
        <v>-65290.475488394055</v>
      </c>
      <c r="L16" s="1222">
        <f t="shared" si="3"/>
        <v>779444</v>
      </c>
      <c r="M16" s="1029">
        <f t="shared" ref="M16:M43" si="8">K16/L16</f>
        <v>-8.3765447534901866E-2</v>
      </c>
      <c r="N16" s="1222">
        <f t="shared" si="4"/>
        <v>567</v>
      </c>
      <c r="O16" s="1222">
        <f t="shared" si="5"/>
        <v>-47.495008752289358</v>
      </c>
      <c r="P16" s="1227">
        <f t="shared" si="6"/>
        <v>174.14836542506097</v>
      </c>
    </row>
    <row r="17" spans="1:20" x14ac:dyDescent="0.25">
      <c r="A17" s="1144"/>
      <c r="B17" s="1144"/>
      <c r="C17" s="1226">
        <f>'NIR faktorer'!B759</f>
        <v>1992</v>
      </c>
      <c r="D17" s="1270">
        <f>'NIR faktorer'!D759</f>
        <v>293062.29751</v>
      </c>
      <c r="E17" s="1270">
        <f>'NIR faktorer'!D790</f>
        <v>1735833</v>
      </c>
      <c r="F17" s="1270">
        <f>'NIR faktorer'!D821</f>
        <v>81816.536814000006</v>
      </c>
      <c r="G17" s="1224">
        <f t="shared" si="0"/>
        <v>1947078.760696</v>
      </c>
      <c r="H17" s="1222">
        <f t="shared" si="7"/>
        <v>101670558.9678853</v>
      </c>
      <c r="I17" s="1222">
        <f t="shared" si="1"/>
        <v>-65772.412857010961</v>
      </c>
      <c r="J17" s="1029">
        <v>0.22900000000000001</v>
      </c>
      <c r="K17" s="1222">
        <f t="shared" si="2"/>
        <v>-15061.88254425551</v>
      </c>
      <c r="L17" s="1222">
        <f t="shared" si="3"/>
        <v>779444</v>
      </c>
      <c r="M17" s="1029">
        <f t="shared" si="8"/>
        <v>-1.9323880284222484E-2</v>
      </c>
      <c r="N17" s="1222">
        <f t="shared" si="4"/>
        <v>567</v>
      </c>
      <c r="O17" s="1222">
        <f t="shared" si="5"/>
        <v>-10.956640121154148</v>
      </c>
      <c r="P17" s="1227">
        <f t="shared" si="6"/>
        <v>40.174347110898545</v>
      </c>
    </row>
    <row r="18" spans="1:20" x14ac:dyDescent="0.25">
      <c r="A18" s="1144"/>
      <c r="B18" s="1144"/>
      <c r="C18" s="1226">
        <f>'NIR faktorer'!B760</f>
        <v>1993</v>
      </c>
      <c r="D18" s="1270">
        <f>'NIR faktorer'!D760</f>
        <v>362455.97227999999</v>
      </c>
      <c r="E18" s="1270">
        <f>'NIR faktorer'!D791</f>
        <v>1722000</v>
      </c>
      <c r="F18" s="1270">
        <f>'NIR faktorer'!D822</f>
        <v>75586.562791999997</v>
      </c>
      <c r="G18" s="1224">
        <f t="shared" si="0"/>
        <v>2008869.409488</v>
      </c>
      <c r="H18" s="1222">
        <f t="shared" si="7"/>
        <v>101604786.55502829</v>
      </c>
      <c r="I18" s="1222">
        <f t="shared" si="1"/>
        <v>-3299.8453117012978</v>
      </c>
      <c r="J18" s="1029">
        <v>0.22900000000000001</v>
      </c>
      <c r="K18" s="1222">
        <f t="shared" si="2"/>
        <v>-755.66457637959718</v>
      </c>
      <c r="L18" s="1222">
        <f t="shared" si="3"/>
        <v>779444</v>
      </c>
      <c r="M18" s="1029">
        <f t="shared" si="8"/>
        <v>-9.6949181259923384E-4</v>
      </c>
      <c r="N18" s="1222">
        <f t="shared" si="4"/>
        <v>567</v>
      </c>
      <c r="O18" s="1222">
        <f t="shared" si="5"/>
        <v>-0.54970185774376557</v>
      </c>
      <c r="P18" s="1227">
        <f t="shared" si="6"/>
        <v>2.0155734783938071</v>
      </c>
      <c r="T18" s="1213"/>
    </row>
    <row r="19" spans="1:20" x14ac:dyDescent="0.25">
      <c r="A19" s="1144"/>
      <c r="B19" s="1144"/>
      <c r="C19" s="1226">
        <f>'NIR faktorer'!B761</f>
        <v>1994</v>
      </c>
      <c r="D19" s="1270">
        <f>'NIR faktorer'!D761</f>
        <v>384594.23787999997</v>
      </c>
      <c r="E19" s="1270">
        <f>'NIR faktorer'!D792</f>
        <v>2326000</v>
      </c>
      <c r="F19" s="1270">
        <f>'NIR faktorer'!D823</f>
        <v>67431.594259999998</v>
      </c>
      <c r="G19" s="1224">
        <f t="shared" si="0"/>
        <v>2643162.6436199998</v>
      </c>
      <c r="H19" s="1222">
        <f t="shared" si="7"/>
        <v>101601486.70971659</v>
      </c>
      <c r="I19" s="1222">
        <f t="shared" si="1"/>
        <v>624818.51795864105</v>
      </c>
      <c r="J19" s="1029">
        <v>0.22900000000000001</v>
      </c>
      <c r="K19" s="1222">
        <f t="shared" si="2"/>
        <v>143083.44061252879</v>
      </c>
      <c r="L19" s="1222">
        <f t="shared" si="3"/>
        <v>779444</v>
      </c>
      <c r="M19" s="1029">
        <f t="shared" si="8"/>
        <v>0.18357116176727101</v>
      </c>
      <c r="N19" s="1222">
        <f t="shared" si="4"/>
        <v>567</v>
      </c>
      <c r="O19" s="1222">
        <f t="shared" si="5"/>
        <v>104.08484872204266</v>
      </c>
      <c r="P19" s="1227">
        <f t="shared" si="6"/>
        <v>-381.64444531415643</v>
      </c>
      <c r="T19" s="1213"/>
    </row>
    <row r="20" spans="1:20" x14ac:dyDescent="0.25">
      <c r="A20" s="1144"/>
      <c r="B20" s="1144"/>
      <c r="C20" s="1226">
        <f>'NIR faktorer'!B762</f>
        <v>1995</v>
      </c>
      <c r="D20" s="1270">
        <f>'NIR faktorer'!D762</f>
        <v>398208.91083000001</v>
      </c>
      <c r="E20" s="1270">
        <f>'NIR faktorer'!D793</f>
        <v>1921000</v>
      </c>
      <c r="F20" s="1270">
        <f>'NIR faktorer'!D824</f>
        <v>67950.787117999993</v>
      </c>
      <c r="G20" s="1224">
        <f t="shared" si="0"/>
        <v>2251258.123712</v>
      </c>
      <c r="H20" s="1222">
        <f t="shared" si="7"/>
        <v>102226305.22767523</v>
      </c>
      <c r="I20" s="1222">
        <f t="shared" si="1"/>
        <v>224516.87518811226</v>
      </c>
      <c r="J20" s="1029">
        <v>0.22900000000000001</v>
      </c>
      <c r="K20" s="1222">
        <f t="shared" si="2"/>
        <v>51414.364418077712</v>
      </c>
      <c r="L20" s="1222">
        <f t="shared" si="3"/>
        <v>779444</v>
      </c>
      <c r="M20" s="1029">
        <f t="shared" si="8"/>
        <v>6.5962871505942322E-2</v>
      </c>
      <c r="N20" s="1222">
        <f t="shared" si="4"/>
        <v>567</v>
      </c>
      <c r="O20" s="1222">
        <f t="shared" si="5"/>
        <v>37.4009481438693</v>
      </c>
      <c r="P20" s="1227">
        <f t="shared" si="6"/>
        <v>-137.1368098608541</v>
      </c>
      <c r="T20" s="1213"/>
    </row>
    <row r="21" spans="1:20" x14ac:dyDescent="0.25">
      <c r="A21" s="1144"/>
      <c r="B21" s="1144"/>
      <c r="C21" s="1226">
        <f>'NIR faktorer'!B763</f>
        <v>1996</v>
      </c>
      <c r="D21" s="1270">
        <f>'NIR faktorer'!D763</f>
        <v>456925.52717999998</v>
      </c>
      <c r="E21" s="1270">
        <f>'NIR faktorer'!D794</f>
        <v>1630000</v>
      </c>
      <c r="F21" s="1270">
        <f>'NIR faktorer'!D825</f>
        <v>69897.61937</v>
      </c>
      <c r="G21" s="1224">
        <f t="shared" si="0"/>
        <v>2017027.90781</v>
      </c>
      <c r="H21" s="1222">
        <f t="shared" si="7"/>
        <v>102450822.10286334</v>
      </c>
      <c r="I21" s="1222">
        <f t="shared" si="1"/>
        <v>-11811.843666538596</v>
      </c>
      <c r="J21" s="1029">
        <v>0.22900000000000001</v>
      </c>
      <c r="K21" s="1222">
        <f t="shared" si="2"/>
        <v>-2704.9121996373387</v>
      </c>
      <c r="L21" s="1222">
        <f t="shared" si="3"/>
        <v>779444</v>
      </c>
      <c r="M21" s="1029">
        <f t="shared" si="8"/>
        <v>-3.4703098614362786E-3</v>
      </c>
      <c r="N21" s="1222">
        <f t="shared" si="4"/>
        <v>567</v>
      </c>
      <c r="O21" s="1222">
        <f t="shared" si="5"/>
        <v>-1.96766569143437</v>
      </c>
      <c r="P21" s="1227">
        <f t="shared" si="6"/>
        <v>7.2147742019260228</v>
      </c>
      <c r="T21" s="1213"/>
    </row>
    <row r="22" spans="1:20" x14ac:dyDescent="0.25">
      <c r="A22" s="1144"/>
      <c r="B22" s="1144"/>
      <c r="C22" s="1226">
        <f>'NIR faktorer'!B764</f>
        <v>1997</v>
      </c>
      <c r="D22" s="1270">
        <f>'NIR faktorer'!D764</f>
        <v>500541.25858000002</v>
      </c>
      <c r="E22" s="1270">
        <f>'NIR faktorer'!D795</f>
        <v>2354000</v>
      </c>
      <c r="F22" s="1270">
        <f>'NIR faktorer'!D826</f>
        <v>147676.93231</v>
      </c>
      <c r="G22" s="1224">
        <f t="shared" si="0"/>
        <v>2706864.3262700001</v>
      </c>
      <c r="H22" s="1222">
        <f t="shared" si="7"/>
        <v>102439010.2591968</v>
      </c>
      <c r="I22" s="1222">
        <f t="shared" si="1"/>
        <v>671470.23754732311</v>
      </c>
      <c r="J22" s="1029">
        <v>0.22900000000000001</v>
      </c>
      <c r="K22" s="1222">
        <f t="shared" si="2"/>
        <v>153766.68439833701</v>
      </c>
      <c r="L22" s="1222">
        <f t="shared" si="3"/>
        <v>779444</v>
      </c>
      <c r="M22" s="1029">
        <f t="shared" si="8"/>
        <v>0.19727739824584833</v>
      </c>
      <c r="N22" s="1222">
        <f t="shared" si="4"/>
        <v>567</v>
      </c>
      <c r="O22" s="1222">
        <f t="shared" si="5"/>
        <v>111.856284805396</v>
      </c>
      <c r="P22" s="1227">
        <f t="shared" si="6"/>
        <v>-410.13971095311871</v>
      </c>
      <c r="T22" s="1213"/>
    </row>
    <row r="23" spans="1:20" x14ac:dyDescent="0.25">
      <c r="A23" s="1144"/>
      <c r="B23" s="1144"/>
      <c r="C23" s="1226">
        <f>'NIR faktorer'!B765</f>
        <v>1998</v>
      </c>
      <c r="D23" s="1270">
        <f>'NIR faktorer'!D765</f>
        <v>443284.67806000001</v>
      </c>
      <c r="E23" s="1270">
        <f>'NIR faktorer'!D796</f>
        <v>4383000</v>
      </c>
      <c r="F23" s="1270">
        <f>'NIR faktorer'!D827</f>
        <v>125233.00418</v>
      </c>
      <c r="G23" s="1224">
        <f t="shared" si="0"/>
        <v>4701051.6738799997</v>
      </c>
      <c r="H23" s="1222">
        <f t="shared" si="7"/>
        <v>103110480.49674413</v>
      </c>
      <c r="I23" s="1222">
        <f t="shared" si="1"/>
        <v>2632873.528381601</v>
      </c>
      <c r="J23" s="1029">
        <v>0.22900000000000001</v>
      </c>
      <c r="K23" s="1222">
        <f t="shared" si="2"/>
        <v>602928.03799938667</v>
      </c>
      <c r="L23" s="1222">
        <f t="shared" si="3"/>
        <v>779444</v>
      </c>
      <c r="M23" s="1029">
        <f t="shared" si="8"/>
        <v>0.77353605647023604</v>
      </c>
      <c r="N23" s="1222">
        <f t="shared" si="4"/>
        <v>567</v>
      </c>
      <c r="O23" s="1222">
        <f t="shared" si="5"/>
        <v>438.59494401862383</v>
      </c>
      <c r="P23" s="1227">
        <f t="shared" si="6"/>
        <v>-1608.1814614016209</v>
      </c>
      <c r="T23" s="1213"/>
    </row>
    <row r="24" spans="1:20" x14ac:dyDescent="0.25">
      <c r="A24" s="1144"/>
      <c r="B24" s="1144"/>
      <c r="C24" s="1226">
        <f>'NIR faktorer'!B766</f>
        <v>1999</v>
      </c>
      <c r="D24" s="1270">
        <f>'NIR faktorer'!D766</f>
        <v>441924.20535</v>
      </c>
      <c r="E24" s="1270">
        <f>'NIR faktorer'!D797</f>
        <v>4744000</v>
      </c>
      <c r="F24" s="1270">
        <f>'NIR faktorer'!D828</f>
        <v>120037.53537</v>
      </c>
      <c r="G24" s="1224">
        <f t="shared" si="0"/>
        <v>5065886.6699800007</v>
      </c>
      <c r="H24" s="1222">
        <f t="shared" si="7"/>
        <v>105743354.02512573</v>
      </c>
      <c r="I24" s="1222">
        <f t="shared" si="1"/>
        <v>2942490.5777650177</v>
      </c>
      <c r="J24" s="1029">
        <v>0.22900000000000001</v>
      </c>
      <c r="K24" s="1222">
        <f t="shared" si="2"/>
        <v>673830.34230818914</v>
      </c>
      <c r="L24" s="1222">
        <f t="shared" si="3"/>
        <v>779444</v>
      </c>
      <c r="M24" s="1029">
        <f t="shared" si="8"/>
        <v>0.86450128849306573</v>
      </c>
      <c r="N24" s="1222">
        <f t="shared" si="4"/>
        <v>567</v>
      </c>
      <c r="O24" s="1222">
        <f t="shared" si="5"/>
        <v>490.17223057556828</v>
      </c>
      <c r="P24" s="1227">
        <f t="shared" si="6"/>
        <v>-1797.2981787770839</v>
      </c>
      <c r="T24" s="1213"/>
    </row>
    <row r="25" spans="1:20" x14ac:dyDescent="0.25">
      <c r="A25" s="1144"/>
      <c r="B25" s="1144"/>
      <c r="C25" s="1226">
        <f>'NIR faktorer'!B767</f>
        <v>2000</v>
      </c>
      <c r="D25" s="1270">
        <f>'NIR faktorer'!D767</f>
        <v>411572.85252999997</v>
      </c>
      <c r="E25" s="1270">
        <f>'NIR faktorer'!D798</f>
        <v>2925000</v>
      </c>
      <c r="F25" s="1270">
        <f>'NIR faktorer'!D829</f>
        <v>105434.24169</v>
      </c>
      <c r="G25" s="1224">
        <f t="shared" si="0"/>
        <v>3231138.6108399997</v>
      </c>
      <c r="H25" s="1222">
        <f t="shared" si="7"/>
        <v>108685844.60289074</v>
      </c>
      <c r="I25" s="1222">
        <f t="shared" si="1"/>
        <v>1068090.5947128683</v>
      </c>
      <c r="J25" s="1029">
        <v>0.22900000000000001</v>
      </c>
      <c r="K25" s="1222">
        <f t="shared" si="2"/>
        <v>244592.74618924686</v>
      </c>
      <c r="L25" s="1222">
        <f t="shared" si="3"/>
        <v>779444</v>
      </c>
      <c r="M25" s="1029">
        <f t="shared" si="8"/>
        <v>0.31380412985313488</v>
      </c>
      <c r="N25" s="1222">
        <f t="shared" si="4"/>
        <v>567</v>
      </c>
      <c r="O25" s="1222">
        <f t="shared" si="5"/>
        <v>177.92694162672748</v>
      </c>
      <c r="P25" s="1227">
        <f t="shared" si="6"/>
        <v>-652.39878596466747</v>
      </c>
      <c r="T25" s="1213"/>
    </row>
    <row r="26" spans="1:20" x14ac:dyDescent="0.25">
      <c r="A26" s="1144"/>
      <c r="B26" s="1144"/>
      <c r="C26" s="1226">
        <f>'NIR faktorer'!B768</f>
        <v>2001</v>
      </c>
      <c r="D26" s="1270">
        <f>'NIR faktorer'!D768</f>
        <v>328396.21136999998</v>
      </c>
      <c r="E26" s="1270">
        <f>'NIR faktorer'!D799</f>
        <v>2659000</v>
      </c>
      <c r="F26" s="1270">
        <f>'NIR faktorer'!D830</f>
        <v>80012.220799999996</v>
      </c>
      <c r="G26" s="1224">
        <f t="shared" si="0"/>
        <v>2907383.9905700004</v>
      </c>
      <c r="H26" s="1222">
        <f t="shared" si="7"/>
        <v>109753935.19760361</v>
      </c>
      <c r="I26" s="1222">
        <f t="shared" si="1"/>
        <v>726576.16206461191</v>
      </c>
      <c r="J26" s="1029">
        <v>0.22900000000000001</v>
      </c>
      <c r="K26" s="1222">
        <f t="shared" si="2"/>
        <v>166385.94111279614</v>
      </c>
      <c r="L26" s="1222">
        <f t="shared" si="3"/>
        <v>779444</v>
      </c>
      <c r="M26" s="1029">
        <f t="shared" si="8"/>
        <v>0.21346747311262404</v>
      </c>
      <c r="N26" s="1222">
        <f t="shared" si="4"/>
        <v>567</v>
      </c>
      <c r="O26" s="1222">
        <f t="shared" si="5"/>
        <v>121.03605725485784</v>
      </c>
      <c r="P26" s="1227">
        <f t="shared" si="6"/>
        <v>-443.79887660114537</v>
      </c>
      <c r="T26" s="1213"/>
    </row>
    <row r="27" spans="1:20" x14ac:dyDescent="0.25">
      <c r="A27" s="1144"/>
      <c r="B27" s="1144"/>
      <c r="C27" s="1226">
        <f>'NIR faktorer'!B769</f>
        <v>2002</v>
      </c>
      <c r="D27" s="1270">
        <f>'NIR faktorer'!D769</f>
        <v>270229.17060000001</v>
      </c>
      <c r="E27" s="1270">
        <f>'NIR faktorer'!D800</f>
        <v>2679269</v>
      </c>
      <c r="F27" s="1270">
        <f>'NIR faktorer'!D831</f>
        <v>62093.014913999999</v>
      </c>
      <c r="G27" s="1224">
        <f t="shared" si="0"/>
        <v>2887405.1556859999</v>
      </c>
      <c r="H27" s="1222">
        <f t="shared" si="7"/>
        <v>110480511.35966823</v>
      </c>
      <c r="I27" s="1222">
        <f t="shared" si="1"/>
        <v>692546.14475144446</v>
      </c>
      <c r="J27" s="1029">
        <v>0.22900000000000001</v>
      </c>
      <c r="K27" s="1222">
        <f t="shared" si="2"/>
        <v>158593.06714808079</v>
      </c>
      <c r="L27" s="1222">
        <f t="shared" si="3"/>
        <v>779444</v>
      </c>
      <c r="M27" s="1029">
        <f t="shared" si="8"/>
        <v>0.20346948228234588</v>
      </c>
      <c r="N27" s="1222">
        <f t="shared" si="4"/>
        <v>567</v>
      </c>
      <c r="O27" s="1222">
        <f t="shared" si="5"/>
        <v>115.36719645409011</v>
      </c>
      <c r="P27" s="1227">
        <f t="shared" si="6"/>
        <v>-423.01305366499702</v>
      </c>
      <c r="T27" s="1213"/>
    </row>
    <row r="28" spans="1:20" x14ac:dyDescent="0.25">
      <c r="A28" s="1144"/>
      <c r="B28" s="1144"/>
      <c r="C28" s="1226">
        <f>'NIR faktorer'!B770</f>
        <v>2003</v>
      </c>
      <c r="D28" s="1270">
        <f>'NIR faktorer'!D770</f>
        <v>309128.22749000002</v>
      </c>
      <c r="E28" s="1270">
        <f>'NIR faktorer'!D801</f>
        <v>2301681</v>
      </c>
      <c r="F28" s="1270">
        <f>'NIR faktorer'!D832</f>
        <v>66907.330585000003</v>
      </c>
      <c r="G28" s="1224">
        <f t="shared" si="0"/>
        <v>2543901.8969049999</v>
      </c>
      <c r="H28" s="1222">
        <f t="shared" si="7"/>
        <v>111173057.50441967</v>
      </c>
      <c r="I28" s="1222">
        <f t="shared" si="1"/>
        <v>338841.53968279064</v>
      </c>
      <c r="J28" s="1029">
        <v>0.22900000000000001</v>
      </c>
      <c r="K28" s="1222">
        <f t="shared" si="2"/>
        <v>77594.712587359056</v>
      </c>
      <c r="L28" s="1222">
        <f t="shared" si="3"/>
        <v>779444</v>
      </c>
      <c r="M28" s="1029">
        <f t="shared" si="8"/>
        <v>9.9551363006654819E-2</v>
      </c>
      <c r="N28" s="1222">
        <f t="shared" si="4"/>
        <v>567</v>
      </c>
      <c r="O28" s="1222">
        <f t="shared" si="5"/>
        <v>56.445622824773281</v>
      </c>
      <c r="P28" s="1227">
        <f t="shared" si="6"/>
        <v>-206.96728369083539</v>
      </c>
    </row>
    <row r="29" spans="1:20" x14ac:dyDescent="0.25">
      <c r="A29" s="1144"/>
      <c r="B29" s="1144"/>
      <c r="C29" s="1226">
        <f>'NIR faktorer'!B771</f>
        <v>2004</v>
      </c>
      <c r="D29" s="1270">
        <f>'NIR faktorer'!D771</f>
        <v>275317.00290999998</v>
      </c>
      <c r="E29" s="1270">
        <f>'NIR faktorer'!D802</f>
        <v>2350616</v>
      </c>
      <c r="F29" s="1270">
        <f>'NIR faktorer'!D833</f>
        <v>55286.340595000001</v>
      </c>
      <c r="G29" s="1224">
        <f t="shared" si="0"/>
        <v>2570646.6623149998</v>
      </c>
      <c r="H29" s="1222">
        <f t="shared" si="7"/>
        <v>111511899.04410246</v>
      </c>
      <c r="I29" s="1222">
        <f t="shared" si="1"/>
        <v>358678.73938584328</v>
      </c>
      <c r="J29" s="1029">
        <v>0.22900000000000001</v>
      </c>
      <c r="K29" s="1222">
        <f t="shared" si="2"/>
        <v>82137.431319358118</v>
      </c>
      <c r="L29" s="1222">
        <f t="shared" si="3"/>
        <v>779444</v>
      </c>
      <c r="M29" s="1029">
        <f t="shared" si="8"/>
        <v>0.10537951580788116</v>
      </c>
      <c r="N29" s="1222">
        <f t="shared" si="4"/>
        <v>567</v>
      </c>
      <c r="O29" s="1222">
        <f t="shared" si="5"/>
        <v>59.750185463068618</v>
      </c>
      <c r="P29" s="1227">
        <f t="shared" si="6"/>
        <v>-219.08401336458493</v>
      </c>
    </row>
    <row r="30" spans="1:20" x14ac:dyDescent="0.25">
      <c r="A30" s="1144"/>
      <c r="B30" s="1144"/>
      <c r="C30" s="1226">
        <f>'NIR faktorer'!B772</f>
        <v>2005</v>
      </c>
      <c r="D30" s="1270">
        <f>'NIR faktorer'!D772</f>
        <v>312454.51329999999</v>
      </c>
      <c r="E30" s="1270">
        <f>'NIR faktorer'!D803</f>
        <v>2200547</v>
      </c>
      <c r="F30" s="1270">
        <f>'NIR faktorer'!D834</f>
        <v>58496.597637999999</v>
      </c>
      <c r="G30" s="1224">
        <f t="shared" si="0"/>
        <v>2454504.915662</v>
      </c>
      <c r="H30" s="1222">
        <f t="shared" si="7"/>
        <v>111870577.7834883</v>
      </c>
      <c r="I30" s="1222">
        <f t="shared" si="1"/>
        <v>236646.01442918181</v>
      </c>
      <c r="J30" s="1029">
        <v>0.22900000000000001</v>
      </c>
      <c r="K30" s="1222">
        <f t="shared" si="2"/>
        <v>54191.937304282641</v>
      </c>
      <c r="L30" s="1222">
        <f t="shared" si="3"/>
        <v>779444</v>
      </c>
      <c r="M30" s="1029">
        <f t="shared" si="8"/>
        <v>6.9526402543714033E-2</v>
      </c>
      <c r="N30" s="1222">
        <f t="shared" si="4"/>
        <v>567</v>
      </c>
      <c r="O30" s="1222">
        <f t="shared" si="5"/>
        <v>39.421470242285857</v>
      </c>
      <c r="P30" s="1227">
        <f t="shared" si="6"/>
        <v>-144.54539088838149</v>
      </c>
    </row>
    <row r="31" spans="1:20" x14ac:dyDescent="0.25">
      <c r="A31" s="1144"/>
      <c r="B31" s="1144"/>
      <c r="C31" s="1226">
        <f>'NIR faktorer'!B773</f>
        <v>2006</v>
      </c>
      <c r="D31" s="1270">
        <f>'NIR faktorer'!D773</f>
        <v>314735.21117000002</v>
      </c>
      <c r="E31" s="1270">
        <f>'NIR faktorer'!D804</f>
        <v>2650861</v>
      </c>
      <c r="F31" s="1270">
        <f>'NIR faktorer'!D835</f>
        <v>54256.905804000002</v>
      </c>
      <c r="G31" s="1224">
        <f t="shared" si="0"/>
        <v>2911339.3053660002</v>
      </c>
      <c r="H31" s="1222">
        <f t="shared" si="7"/>
        <v>112107223.79791749</v>
      </c>
      <c r="I31" s="1222">
        <f t="shared" si="1"/>
        <v>684346.01411496103</v>
      </c>
      <c r="J31" s="1029">
        <v>0.22900000000000001</v>
      </c>
      <c r="K31" s="1222">
        <f t="shared" si="2"/>
        <v>156715.23723232609</v>
      </c>
      <c r="L31" s="1222">
        <f t="shared" si="3"/>
        <v>779444</v>
      </c>
      <c r="M31" s="1029">
        <f t="shared" si="8"/>
        <v>0.20106029071020637</v>
      </c>
      <c r="N31" s="1222">
        <f t="shared" si="4"/>
        <v>567</v>
      </c>
      <c r="O31" s="1222">
        <f t="shared" si="5"/>
        <v>114.00118483268702</v>
      </c>
      <c r="P31" s="1227">
        <f t="shared" si="6"/>
        <v>-418.00434438651905</v>
      </c>
    </row>
    <row r="32" spans="1:20" x14ac:dyDescent="0.25">
      <c r="A32" s="1144"/>
      <c r="B32" s="1144"/>
      <c r="C32" s="1226">
        <f>'NIR faktorer'!B774</f>
        <v>2007</v>
      </c>
      <c r="D32" s="1270">
        <f>'NIR faktorer'!D774</f>
        <v>317015.90904</v>
      </c>
      <c r="E32" s="1270">
        <f>'NIR faktorer'!D805</f>
        <v>2298201</v>
      </c>
      <c r="F32" s="1270">
        <f>'NIR faktorer'!D836</f>
        <v>49827.584876000001</v>
      </c>
      <c r="G32" s="1224">
        <f t="shared" si="0"/>
        <v>2565389.3241639999</v>
      </c>
      <c r="H32" s="1222">
        <f t="shared" si="7"/>
        <v>112791569.81203245</v>
      </c>
      <c r="I32" s="1222">
        <f t="shared" si="1"/>
        <v>328379.55473385751</v>
      </c>
      <c r="J32" s="1029">
        <v>0.22900000000000001</v>
      </c>
      <c r="K32" s="1222">
        <f t="shared" si="2"/>
        <v>75198.918034053379</v>
      </c>
      <c r="L32" s="1222">
        <f t="shared" si="3"/>
        <v>779444</v>
      </c>
      <c r="M32" s="1029">
        <f t="shared" si="8"/>
        <v>9.6477640515615457E-2</v>
      </c>
      <c r="N32" s="1222">
        <f t="shared" si="4"/>
        <v>567</v>
      </c>
      <c r="O32" s="1222">
        <f t="shared" si="5"/>
        <v>54.702822172353962</v>
      </c>
      <c r="P32" s="1227">
        <f t="shared" si="6"/>
        <v>-200.57701463196452</v>
      </c>
    </row>
    <row r="33" spans="1:16" x14ac:dyDescent="0.25">
      <c r="A33" s="1144"/>
      <c r="B33" s="1144"/>
      <c r="C33" s="1226">
        <f>'NIR faktorer'!B775</f>
        <v>2008</v>
      </c>
      <c r="D33" s="1270">
        <f>'NIR faktorer'!D775</f>
        <v>324759.82900999999</v>
      </c>
      <c r="E33" s="1270">
        <f>'NIR faktorer'!D806</f>
        <v>1775438</v>
      </c>
      <c r="F33" s="1270">
        <f>'NIR faktorer'!D837</f>
        <v>45991.036334999997</v>
      </c>
      <c r="G33" s="1224">
        <f t="shared" si="0"/>
        <v>2054206.7926749999</v>
      </c>
      <c r="H33" s="1222">
        <f t="shared" si="7"/>
        <v>113119949.3667663</v>
      </c>
      <c r="I33" s="1222">
        <f t="shared" si="1"/>
        <v>-184213.76773805916</v>
      </c>
      <c r="J33" s="1029">
        <v>0.22900000000000001</v>
      </c>
      <c r="K33" s="1222">
        <f t="shared" si="2"/>
        <v>-42184.952812015552</v>
      </c>
      <c r="L33" s="1222">
        <f t="shared" si="3"/>
        <v>779444</v>
      </c>
      <c r="M33" s="1029">
        <f t="shared" si="8"/>
        <v>-5.4121852002216392E-2</v>
      </c>
      <c r="N33" s="1222">
        <f t="shared" si="4"/>
        <v>567</v>
      </c>
      <c r="O33" s="1222">
        <f t="shared" si="5"/>
        <v>-30.687090085256695</v>
      </c>
      <c r="P33" s="1227">
        <f t="shared" si="6"/>
        <v>112.51933031260789</v>
      </c>
    </row>
    <row r="34" spans="1:16" x14ac:dyDescent="0.25">
      <c r="A34" s="1144"/>
      <c r="B34" s="1144"/>
      <c r="C34" s="1226">
        <f>'NIR faktorer'!B776</f>
        <v>2009</v>
      </c>
      <c r="D34" s="1270">
        <f>'NIR faktorer'!D776</f>
        <v>332503.74897999997</v>
      </c>
      <c r="E34" s="1270">
        <f>'NIR faktorer'!D807</f>
        <v>1246520</v>
      </c>
      <c r="F34" s="1270">
        <f>'NIR faktorer'!D838</f>
        <v>41839.527127000001</v>
      </c>
      <c r="G34" s="1224">
        <f t="shared" si="0"/>
        <v>1537184.2218529999</v>
      </c>
      <c r="H34" s="1222">
        <f t="shared" si="7"/>
        <v>112935735.59902824</v>
      </c>
      <c r="I34" s="1222">
        <f t="shared" si="1"/>
        <v>-692538.03833949566</v>
      </c>
      <c r="J34" s="1029">
        <v>0.22900000000000001</v>
      </c>
      <c r="K34" s="1222">
        <f t="shared" si="2"/>
        <v>-158591.21077974452</v>
      </c>
      <c r="L34" s="1222">
        <f t="shared" si="3"/>
        <v>779444</v>
      </c>
      <c r="M34" s="1029">
        <f t="shared" si="8"/>
        <v>-0.20346710062524637</v>
      </c>
      <c r="N34" s="1222">
        <f t="shared" si="4"/>
        <v>567</v>
      </c>
      <c r="O34" s="1222">
        <f t="shared" si="5"/>
        <v>-115.36584605451469</v>
      </c>
      <c r="P34" s="1227">
        <f t="shared" si="6"/>
        <v>423.00810219988716</v>
      </c>
    </row>
    <row r="35" spans="1:16" x14ac:dyDescent="0.25">
      <c r="A35" s="1144"/>
      <c r="B35" s="1144"/>
      <c r="C35" s="1226">
        <f>'NIR faktorer'!B777</f>
        <v>2010</v>
      </c>
      <c r="D35" s="1270">
        <f>'NIR faktorer'!D777</f>
        <v>340247.66895000002</v>
      </c>
      <c r="E35" s="1270">
        <f>'NIR faktorer'!D808</f>
        <v>1310706</v>
      </c>
      <c r="F35" s="1270">
        <f>'NIR faktorer'!D839</f>
        <v>37373.057250999998</v>
      </c>
      <c r="G35" s="1224">
        <f t="shared" si="0"/>
        <v>1613580.611699</v>
      </c>
      <c r="H35" s="1222">
        <f t="shared" si="7"/>
        <v>112243197.56068875</v>
      </c>
      <c r="I35" s="1222">
        <f t="shared" si="1"/>
        <v>-603312.91562369466</v>
      </c>
      <c r="J35" s="1029">
        <v>0.22900000000000001</v>
      </c>
      <c r="K35" s="1222">
        <f t="shared" si="2"/>
        <v>-138158.65767782609</v>
      </c>
      <c r="L35" s="1222">
        <f>$L$36</f>
        <v>779444</v>
      </c>
      <c r="M35" s="1029">
        <f t="shared" si="8"/>
        <v>-0.17725283365812822</v>
      </c>
      <c r="N35" s="1222">
        <f>$N$36</f>
        <v>567</v>
      </c>
      <c r="O35" s="1222">
        <f t="shared" si="5"/>
        <v>-100.5023566841587</v>
      </c>
      <c r="P35" s="1227">
        <f t="shared" si="6"/>
        <v>368.50864117524856</v>
      </c>
    </row>
    <row r="36" spans="1:16" x14ac:dyDescent="0.25">
      <c r="A36" s="1144"/>
      <c r="B36" s="1144"/>
      <c r="C36" s="1226">
        <f>'NIR faktorer'!B778</f>
        <v>2011</v>
      </c>
      <c r="D36" s="1270">
        <f>'NIR faktorer'!D778</f>
        <v>357748.5</v>
      </c>
      <c r="E36" s="1270">
        <f>'NIR faktorer'!D809</f>
        <v>1356124</v>
      </c>
      <c r="F36" s="1270">
        <f>'NIR faktorer'!D840</f>
        <v>33653.188562000003</v>
      </c>
      <c r="G36" s="1224">
        <f t="shared" si="0"/>
        <v>1680219.3114380001</v>
      </c>
      <c r="H36" s="1222">
        <f t="shared" si="7"/>
        <v>111639884.64506505</v>
      </c>
      <c r="I36" s="1222">
        <f t="shared" si="1"/>
        <v>-525499.14629386365</v>
      </c>
      <c r="J36" s="1029">
        <v>0.22900000000000001</v>
      </c>
      <c r="K36" s="1222">
        <f t="shared" si="2"/>
        <v>-120339.30450129478</v>
      </c>
      <c r="L36" s="1222" cm="1">
        <f t="array" ref="L36:L44">TRANSPOSE(BYGB34!C11:K11)</f>
        <v>779444</v>
      </c>
      <c r="M36" s="1029">
        <f t="shared" si="8"/>
        <v>-0.15439121284055657</v>
      </c>
      <c r="N36" s="1222" cm="1">
        <f t="array" ref="N36:N44">TRANSPOSE(BYGB34!C13:K13)</f>
        <v>567</v>
      </c>
      <c r="O36" s="1222">
        <f t="shared" si="5"/>
        <v>-87.539817680595576</v>
      </c>
      <c r="P36" s="1227">
        <f t="shared" si="6"/>
        <v>320.9793314955171</v>
      </c>
    </row>
    <row r="37" spans="1:16" x14ac:dyDescent="0.25">
      <c r="A37" s="1144"/>
      <c r="B37" s="1144"/>
      <c r="C37" s="1226">
        <f>'NIR faktorer'!B779</f>
        <v>2012</v>
      </c>
      <c r="D37" s="1270">
        <f>'NIR faktorer'!D779</f>
        <v>353762</v>
      </c>
      <c r="E37" s="1270">
        <f>'NIR faktorer'!D810</f>
        <v>1370738</v>
      </c>
      <c r="F37" s="1270">
        <f>'NIR faktorer'!D841</f>
        <v>43304.341958999998</v>
      </c>
      <c r="G37" s="1224">
        <f t="shared" si="0"/>
        <v>1681195.6580409999</v>
      </c>
      <c r="H37" s="1222">
        <f t="shared" si="7"/>
        <v>111114385.49877119</v>
      </c>
      <c r="I37" s="1222">
        <f t="shared" si="1"/>
        <v>-514227.6863322258</v>
      </c>
      <c r="J37" s="1029">
        <v>0.22900000000000001</v>
      </c>
      <c r="K37" s="1222">
        <f t="shared" si="2"/>
        <v>-117758.14017007971</v>
      </c>
      <c r="L37" s="1222">
        <v>784178</v>
      </c>
      <c r="M37" s="1029">
        <f t="shared" si="8"/>
        <v>-0.15016761522266592</v>
      </c>
      <c r="N37" s="1222">
        <v>571</v>
      </c>
      <c r="O37" s="1222">
        <f t="shared" si="5"/>
        <v>-85.74570829214224</v>
      </c>
      <c r="P37" s="1227">
        <f t="shared" si="6"/>
        <v>314.40093040452155</v>
      </c>
    </row>
    <row r="38" spans="1:16" x14ac:dyDescent="0.25">
      <c r="A38" s="1144"/>
      <c r="B38" s="1144"/>
      <c r="C38" s="1226">
        <f>'NIR faktorer'!B780</f>
        <v>2013</v>
      </c>
      <c r="D38" s="1270">
        <f>'NIR faktorer'!D780</f>
        <v>357602</v>
      </c>
      <c r="E38" s="1270">
        <f>'NIR faktorer'!D811</f>
        <v>1886000</v>
      </c>
      <c r="F38" s="1270">
        <f>'NIR faktorer'!D842</f>
        <v>55307.922826000002</v>
      </c>
      <c r="G38" s="1224">
        <f t="shared" si="0"/>
        <v>2188294.077174</v>
      </c>
      <c r="H38" s="1222">
        <f t="shared" si="7"/>
        <v>110600157.81243896</v>
      </c>
      <c r="I38" s="1222">
        <f t="shared" si="1"/>
        <v>-2033.9320650398731</v>
      </c>
      <c r="J38" s="1029">
        <v>0.22900000000000001</v>
      </c>
      <c r="K38" s="1222">
        <f t="shared" si="2"/>
        <v>-465.77044289413095</v>
      </c>
      <c r="L38" s="1222">
        <v>788943</v>
      </c>
      <c r="M38" s="1029">
        <f t="shared" si="8"/>
        <v>-5.9037274289033674E-4</v>
      </c>
      <c r="N38" s="1222">
        <v>578</v>
      </c>
      <c r="O38" s="1222">
        <f t="shared" si="5"/>
        <v>-0.34123544539061462</v>
      </c>
      <c r="P38" s="1227">
        <f t="shared" si="6"/>
        <v>1.2511966330989204</v>
      </c>
    </row>
    <row r="39" spans="1:16" x14ac:dyDescent="0.25">
      <c r="A39" s="1144"/>
      <c r="B39" s="1144"/>
      <c r="C39" s="1226">
        <f>'NIR faktorer'!B781</f>
        <v>2014</v>
      </c>
      <c r="D39" s="1270">
        <f>'NIR faktorer'!D781</f>
        <v>415219.66126000002</v>
      </c>
      <c r="E39" s="1270">
        <f>'NIR faktorer'!D812</f>
        <v>1878000</v>
      </c>
      <c r="F39" s="1270">
        <f>'NIR faktorer'!D843</f>
        <v>69046.117394000001</v>
      </c>
      <c r="G39" s="1224">
        <f t="shared" si="0"/>
        <v>2224173.5438660001</v>
      </c>
      <c r="H39" s="1222">
        <f t="shared" si="7"/>
        <v>110598123.88037392</v>
      </c>
      <c r="I39" s="1222">
        <f t="shared" si="1"/>
        <v>33532.470428600907</v>
      </c>
      <c r="J39" s="1029">
        <v>0.22900000000000001</v>
      </c>
      <c r="K39" s="1222">
        <f t="shared" si="2"/>
        <v>7678.9357281496077</v>
      </c>
      <c r="L39" s="1222">
        <v>794259</v>
      </c>
      <c r="M39" s="1029">
        <f t="shared" si="8"/>
        <v>9.6680500040284192E-3</v>
      </c>
      <c r="N39" s="1222">
        <v>593</v>
      </c>
      <c r="O39" s="1222">
        <f t="shared" si="5"/>
        <v>5.7331536523888529</v>
      </c>
      <c r="P39" s="1227">
        <f t="shared" si="6"/>
        <v>-21.02156339209246</v>
      </c>
    </row>
    <row r="40" spans="1:16" x14ac:dyDescent="0.25">
      <c r="A40" s="1144"/>
      <c r="B40" s="1144"/>
      <c r="C40" s="1226">
        <f>'NIR faktorer'!B782</f>
        <v>2015</v>
      </c>
      <c r="D40" s="1270">
        <f>'NIR faktorer'!D782</f>
        <v>427699.74852000002</v>
      </c>
      <c r="E40" s="1270">
        <f>'NIR faktorer'!D813</f>
        <v>2199000</v>
      </c>
      <c r="F40" s="1270">
        <f>'NIR faktorer'!D844</f>
        <v>87222.290177999996</v>
      </c>
      <c r="G40" s="1224">
        <f t="shared" si="0"/>
        <v>2539477.4583419999</v>
      </c>
      <c r="H40" s="1222">
        <f t="shared" si="7"/>
        <v>110631656.35080253</v>
      </c>
      <c r="I40" s="1222">
        <f t="shared" si="1"/>
        <v>345077.17097528279</v>
      </c>
      <c r="J40" s="1029">
        <v>0.22900000000000001</v>
      </c>
      <c r="K40" s="1222">
        <f t="shared" si="2"/>
        <v>79022.672153339765</v>
      </c>
      <c r="L40" s="1222">
        <v>799067</v>
      </c>
      <c r="M40" s="1029">
        <f t="shared" si="8"/>
        <v>9.8893674940073562E-2</v>
      </c>
      <c r="N40" s="1222">
        <v>592</v>
      </c>
      <c r="O40" s="1222">
        <f t="shared" si="5"/>
        <v>58.545055564523551</v>
      </c>
      <c r="P40" s="1227">
        <f t="shared" si="6"/>
        <v>-214.66520373658636</v>
      </c>
    </row>
    <row r="41" spans="1:16" x14ac:dyDescent="0.25">
      <c r="A41" s="1144"/>
      <c r="B41" s="1144"/>
      <c r="C41" s="1226">
        <f>'NIR faktorer'!B783</f>
        <v>2016</v>
      </c>
      <c r="D41" s="1270">
        <f>'NIR faktorer'!D783</f>
        <v>448401.01948999998</v>
      </c>
      <c r="E41" s="1270">
        <f>'NIR faktorer'!D814</f>
        <v>1634000</v>
      </c>
      <c r="F41" s="1270">
        <f>'NIR faktorer'!D845</f>
        <v>58647.385440999999</v>
      </c>
      <c r="G41" s="1224">
        <f t="shared" si="0"/>
        <v>2023753.6340489998</v>
      </c>
      <c r="H41" s="1222">
        <f t="shared" si="7"/>
        <v>110976733.52177781</v>
      </c>
      <c r="I41" s="1222">
        <f t="shared" si="1"/>
        <v>-172340.20141360164</v>
      </c>
      <c r="J41" s="1029">
        <v>0.22900000000000001</v>
      </c>
      <c r="K41" s="1222">
        <f t="shared" si="2"/>
        <v>-39465.906123714776</v>
      </c>
      <c r="L41" s="1224">
        <v>803717</v>
      </c>
      <c r="M41" s="1029">
        <f t="shared" si="8"/>
        <v>-4.91042321161737E-2</v>
      </c>
      <c r="N41" s="1222">
        <v>598</v>
      </c>
      <c r="O41" s="1222">
        <f t="shared" si="5"/>
        <v>-29.364330805471873</v>
      </c>
      <c r="P41" s="1227">
        <f t="shared" si="6"/>
        <v>107.66921295339687</v>
      </c>
    </row>
    <row r="42" spans="1:16" x14ac:dyDescent="0.25">
      <c r="A42" s="1144"/>
      <c r="B42" s="1144"/>
      <c r="C42" s="1226">
        <f>'NIR faktorer'!B784</f>
        <v>2017</v>
      </c>
      <c r="D42" s="1270">
        <f>'NIR faktorer'!D784</f>
        <v>382000</v>
      </c>
      <c r="E42" s="1270">
        <f>'NIR faktorer'!D815</f>
        <v>1634000</v>
      </c>
      <c r="F42" s="1270">
        <f>'NIR faktorer'!D846</f>
        <v>56440</v>
      </c>
      <c r="G42" s="1224">
        <f t="shared" si="0"/>
        <v>1959560</v>
      </c>
      <c r="H42" s="1222">
        <f t="shared" si="7"/>
        <v>110804393.32036421</v>
      </c>
      <c r="I42" s="1222">
        <f t="shared" si="1"/>
        <v>-232522.87278103828</v>
      </c>
      <c r="J42" s="1029">
        <v>0.22900000000000001</v>
      </c>
      <c r="K42" s="1222">
        <f t="shared" si="2"/>
        <v>-53247.737866857766</v>
      </c>
      <c r="L42" s="1222">
        <v>809168</v>
      </c>
      <c r="M42" s="1029">
        <f t="shared" si="8"/>
        <v>-6.5805540835596268E-2</v>
      </c>
      <c r="N42" s="1222">
        <v>599</v>
      </c>
      <c r="O42" s="1222">
        <f t="shared" si="5"/>
        <v>-39.417518960522166</v>
      </c>
      <c r="P42" s="1227">
        <f t="shared" si="6"/>
        <v>144.53090285524794</v>
      </c>
    </row>
    <row r="43" spans="1:16" x14ac:dyDescent="0.25">
      <c r="A43" s="1144"/>
      <c r="B43" s="1144"/>
      <c r="C43" s="1226">
        <f>'NIR faktorer'!B785</f>
        <v>2018</v>
      </c>
      <c r="D43" s="1270">
        <f>'NIR faktorer'!D785</f>
        <v>270315</v>
      </c>
      <c r="E43" s="1270">
        <f>'NIR faktorer'!D816</f>
        <v>1634000</v>
      </c>
      <c r="F43" s="1270">
        <f>'NIR faktorer'!D847</f>
        <v>36792</v>
      </c>
      <c r="G43" s="1224">
        <f>IFERROR(D43+E43-F43,D43-F43)</f>
        <v>1867523</v>
      </c>
      <c r="H43" s="1222">
        <f t="shared" si="7"/>
        <v>110571870.44758317</v>
      </c>
      <c r="I43" s="1493">
        <f>H44-H43</f>
        <v>-319094.86783871055</v>
      </c>
      <c r="J43" s="1225">
        <v>0.22900000000000001</v>
      </c>
      <c r="K43" s="1224">
        <f t="shared" si="2"/>
        <v>-73072.724735064723</v>
      </c>
      <c r="L43" s="1224">
        <v>817313</v>
      </c>
      <c r="M43" s="1029">
        <f t="shared" si="8"/>
        <v>-8.9406047297748509E-2</v>
      </c>
      <c r="N43" s="1222">
        <v>604</v>
      </c>
      <c r="O43" s="1222">
        <f t="shared" si="5"/>
        <v>-54.001252567840098</v>
      </c>
      <c r="P43" s="1492">
        <f t="shared" si="6"/>
        <v>198.004592748747</v>
      </c>
    </row>
    <row r="44" spans="1:16" ht="15.75" thickBot="1" x14ac:dyDescent="0.3">
      <c r="A44" s="1144"/>
      <c r="B44" s="1144"/>
      <c r="C44" s="1226">
        <f>'NIR faktorer'!B786</f>
        <v>2019</v>
      </c>
      <c r="D44" s="4050">
        <f>'NIR faktorer'!D786</f>
        <v>394267</v>
      </c>
      <c r="E44" s="4050">
        <f>'NIR faktorer'!D817</f>
        <v>2978046</v>
      </c>
      <c r="F44" s="4050">
        <f>'NIR faktorer'!D848</f>
        <v>45181</v>
      </c>
      <c r="G44" s="1218">
        <f>IFERROR(D44+E44-F44,D44-F44)</f>
        <v>3327132</v>
      </c>
      <c r="H44" s="1220">
        <f t="shared" si="7"/>
        <v>110252775.57974446</v>
      </c>
      <c r="I44" s="1218"/>
      <c r="J44" s="1218"/>
      <c r="K44" s="1218"/>
      <c r="L44" s="1494">
        <v>819112</v>
      </c>
      <c r="M44" s="1218"/>
      <c r="N44" s="1253">
        <v>606</v>
      </c>
      <c r="O44" s="1218"/>
      <c r="P44" s="1252"/>
    </row>
    <row r="45" spans="1:16" x14ac:dyDescent="0.25">
      <c r="A45" s="1144"/>
      <c r="B45" s="1144"/>
      <c r="C45" s="1110" t="s">
        <v>2497</v>
      </c>
    </row>
    <row r="46" spans="1:16" s="1766" customFormat="1" ht="33.75" customHeight="1" x14ac:dyDescent="0.2">
      <c r="A46" s="5324" t="s">
        <v>2042</v>
      </c>
      <c r="B46" s="5324"/>
      <c r="D46" s="5325" t="str">
        <f>'NIR faktorer'!D851</f>
        <v xml:space="preserve"> NIR 2020 (2018) CRF tabel 4.Gs2</v>
      </c>
      <c r="E46" s="5325"/>
      <c r="F46" s="5325"/>
      <c r="J46" s="1215" t="s">
        <v>2488</v>
      </c>
      <c r="L46" s="1215" t="s">
        <v>2496</v>
      </c>
      <c r="N46" s="1215" t="s">
        <v>2496</v>
      </c>
      <c r="P46" s="1214" t="s">
        <v>2418</v>
      </c>
    </row>
    <row r="47" spans="1:16" ht="15.75" thickBot="1" x14ac:dyDescent="0.3">
      <c r="A47" s="1144"/>
      <c r="B47" s="1144"/>
    </row>
    <row r="48" spans="1:16" x14ac:dyDescent="0.25">
      <c r="A48" s="1144"/>
      <c r="B48" s="1144"/>
      <c r="C48" s="1246" t="s">
        <v>2495</v>
      </c>
      <c r="D48" s="1258">
        <v>25</v>
      </c>
    </row>
    <row r="49" spans="1:16" x14ac:dyDescent="0.25">
      <c r="A49" s="1144"/>
      <c r="B49" s="1144"/>
      <c r="C49" s="1238" t="s">
        <v>2494</v>
      </c>
      <c r="D49" s="1257">
        <f>LN(2)/D48</f>
        <v>2.7725887222397813E-2</v>
      </c>
    </row>
    <row r="50" spans="1:16" x14ac:dyDescent="0.25">
      <c r="A50" s="1144"/>
      <c r="B50" s="1144"/>
      <c r="C50" s="1238" t="s">
        <v>2493</v>
      </c>
      <c r="D50" s="1257">
        <f>EXP(-D49)</f>
        <v>0.97265494741228553</v>
      </c>
    </row>
    <row r="51" spans="1:16" ht="18" thickBot="1" x14ac:dyDescent="0.3">
      <c r="A51" s="1144"/>
      <c r="B51" s="1144"/>
      <c r="C51" s="1236" t="s">
        <v>2492</v>
      </c>
      <c r="D51" s="1256">
        <f>(1-EXP(-D49))/D49</f>
        <v>0.98626429402858951</v>
      </c>
    </row>
    <row r="52" spans="1:16" x14ac:dyDescent="0.25">
      <c r="A52" s="1144"/>
      <c r="B52" s="1144"/>
      <c r="C52" s="1235" t="s">
        <v>2491</v>
      </c>
      <c r="D52" s="1255"/>
    </row>
    <row r="53" spans="1:16" x14ac:dyDescent="0.25">
      <c r="A53" s="1144"/>
      <c r="B53" s="1144"/>
    </row>
    <row r="54" spans="1:16" ht="45.75" customHeight="1" thickBot="1" x14ac:dyDescent="0.3">
      <c r="A54" s="1144"/>
      <c r="B54" s="1144"/>
      <c r="C54" s="5326" t="s">
        <v>4913</v>
      </c>
      <c r="D54" s="5326"/>
      <c r="E54" s="5326"/>
    </row>
    <row r="55" spans="1:16" s="1001" customFormat="1" ht="63" customHeight="1" thickBot="1" x14ac:dyDescent="0.25">
      <c r="A55" s="1254"/>
      <c r="B55" s="1254"/>
      <c r="C55" s="1015" t="s">
        <v>977</v>
      </c>
      <c r="D55" s="1762" t="s">
        <v>4902</v>
      </c>
      <c r="E55" s="1762" t="s">
        <v>4903</v>
      </c>
      <c r="F55" s="1762" t="s">
        <v>4904</v>
      </c>
      <c r="G55" s="1762" t="s">
        <v>4916</v>
      </c>
      <c r="H55" s="1762" t="s">
        <v>4917</v>
      </c>
      <c r="I55" s="1762" t="s">
        <v>4918</v>
      </c>
      <c r="J55" s="1762" t="s">
        <v>4905</v>
      </c>
      <c r="K55" s="1762" t="s">
        <v>4906</v>
      </c>
      <c r="L55" s="1762" t="s">
        <v>4907</v>
      </c>
      <c r="M55" s="1762" t="s">
        <v>4909</v>
      </c>
      <c r="N55" s="1762" t="s">
        <v>4757</v>
      </c>
      <c r="O55" s="1762" t="s">
        <v>4910</v>
      </c>
      <c r="P55" s="1763" t="s">
        <v>4911</v>
      </c>
    </row>
    <row r="56" spans="1:16" ht="17.25" x14ac:dyDescent="0.25">
      <c r="A56" s="1000" t="s">
        <v>2498</v>
      </c>
      <c r="B56" s="1144"/>
      <c r="C56" s="1265">
        <f>'NIR faktorer'!B854</f>
        <v>1990</v>
      </c>
      <c r="D56" s="1271">
        <f>'NIR faktorer'!D854</f>
        <v>306200</v>
      </c>
      <c r="E56" s="1271">
        <f>'NIR faktorer'!D885</f>
        <v>589200</v>
      </c>
      <c r="F56" s="1271">
        <f>'NIR faktorer'!D916</f>
        <v>105500</v>
      </c>
      <c r="G56" s="1266">
        <f t="shared" ref="G56:G84" si="9">D56+E56-F56</f>
        <v>789900</v>
      </c>
      <c r="H56" s="1267">
        <f>AVERAGE(G56:G60)/D49</f>
        <v>28028044.468572792</v>
      </c>
      <c r="I56" s="1267">
        <f t="shared" ref="I56:I84" si="10">H57-H56</f>
        <v>12621.815929260105</v>
      </c>
      <c r="J56" s="1268">
        <v>0.26900000000000002</v>
      </c>
      <c r="K56" s="1267">
        <f t="shared" ref="K56:K84" si="11">I56*J56</f>
        <v>3395.2684849709685</v>
      </c>
      <c r="L56" s="1267">
        <f t="shared" ref="L56:L85" si="12">L15</f>
        <v>779444</v>
      </c>
      <c r="M56" s="1268">
        <f>K56/L56</f>
        <v>4.3560133697494218E-3</v>
      </c>
      <c r="N56" s="1267">
        <f t="shared" ref="N56:N85" si="13">N15</f>
        <v>567</v>
      </c>
      <c r="O56" s="1267">
        <f t="shared" ref="O56:O84" si="14">M56*N56</f>
        <v>2.4698595806479222</v>
      </c>
      <c r="P56" s="1269">
        <f t="shared" ref="P56:P84" si="15" xml:space="preserve"> O56*-44/12</f>
        <v>-9.0561517957090487</v>
      </c>
    </row>
    <row r="57" spans="1:16" x14ac:dyDescent="0.25">
      <c r="A57" s="1144"/>
      <c r="B57" s="1144"/>
      <c r="C57" s="1226">
        <f>'NIR faktorer'!B855</f>
        <v>1991</v>
      </c>
      <c r="D57" s="1270">
        <f>'NIR faktorer'!D855</f>
        <v>264200</v>
      </c>
      <c r="E57" s="1272">
        <f>'NIR faktorer'!D886</f>
        <v>556000</v>
      </c>
      <c r="F57" s="1272">
        <f>'NIR faktorer'!D917</f>
        <v>102200</v>
      </c>
      <c r="G57" s="1224">
        <f t="shared" si="9"/>
        <v>718000</v>
      </c>
      <c r="H57" s="1222">
        <f t="shared" ref="H57:H84" si="16">$D$50*H56+$D$51*G56</f>
        <v>28040666.284502052</v>
      </c>
      <c r="I57" s="1222">
        <f t="shared" si="10"/>
        <v>-58635.731031734496</v>
      </c>
      <c r="J57" s="1029">
        <v>0.26900000000000002</v>
      </c>
      <c r="K57" s="1222">
        <f t="shared" si="11"/>
        <v>-15773.011647536581</v>
      </c>
      <c r="L57" s="1222">
        <f t="shared" si="12"/>
        <v>779444</v>
      </c>
      <c r="M57" s="1029">
        <f t="shared" ref="M57:M84" si="17">K57/L57</f>
        <v>-2.0236234607664671E-2</v>
      </c>
      <c r="N57" s="1222">
        <f t="shared" si="13"/>
        <v>567</v>
      </c>
      <c r="O57" s="1222">
        <f t="shared" si="14"/>
        <v>-11.473945022545868</v>
      </c>
      <c r="P57" s="1227">
        <f t="shared" si="15"/>
        <v>42.071131749334846</v>
      </c>
    </row>
    <row r="58" spans="1:16" x14ac:dyDescent="0.25">
      <c r="A58" s="1144"/>
      <c r="B58" s="1144"/>
      <c r="C58" s="1226">
        <f>'NIR faktorer'!B856</f>
        <v>1992</v>
      </c>
      <c r="D58" s="1270">
        <f>'NIR faktorer'!D856</f>
        <v>287000</v>
      </c>
      <c r="E58" s="1272">
        <f>'NIR faktorer'!D887</f>
        <v>536718</v>
      </c>
      <c r="F58" s="1272">
        <f>'NIR faktorer'!D918</f>
        <v>110747</v>
      </c>
      <c r="G58" s="1224">
        <f t="shared" si="9"/>
        <v>712971</v>
      </c>
      <c r="H58" s="1222">
        <f t="shared" si="16"/>
        <v>27982030.553470317</v>
      </c>
      <c r="I58" s="1222">
        <f t="shared" si="10"/>
        <v>-61992.257017821074</v>
      </c>
      <c r="J58" s="1029">
        <v>0.26900000000000002</v>
      </c>
      <c r="K58" s="1222">
        <f t="shared" si="11"/>
        <v>-16675.917137793869</v>
      </c>
      <c r="L58" s="1222">
        <f t="shared" si="12"/>
        <v>779444</v>
      </c>
      <c r="M58" s="1029">
        <f t="shared" si="17"/>
        <v>-2.1394631478071382E-2</v>
      </c>
      <c r="N58" s="1222">
        <f t="shared" si="13"/>
        <v>567</v>
      </c>
      <c r="O58" s="1222">
        <f t="shared" si="14"/>
        <v>-12.130756048066473</v>
      </c>
      <c r="P58" s="1227">
        <f t="shared" si="15"/>
        <v>44.479438842910405</v>
      </c>
    </row>
    <row r="59" spans="1:16" x14ac:dyDescent="0.25">
      <c r="C59" s="1226">
        <f>'NIR faktorer'!B857</f>
        <v>1993</v>
      </c>
      <c r="D59" s="1270">
        <f>'NIR faktorer'!D857</f>
        <v>414000</v>
      </c>
      <c r="E59" s="1272">
        <f>'NIR faktorer'!D888</f>
        <v>476600</v>
      </c>
      <c r="F59" s="1272">
        <f>'NIR faktorer'!D919</f>
        <v>107959</v>
      </c>
      <c r="G59" s="1224">
        <f t="shared" si="9"/>
        <v>782641</v>
      </c>
      <c r="H59" s="1222">
        <f t="shared" si="16"/>
        <v>27920038.296452496</v>
      </c>
      <c r="I59" s="1222">
        <f t="shared" si="10"/>
        <v>8415.9578753337264</v>
      </c>
      <c r="J59" s="1029">
        <v>0.26900000000000002</v>
      </c>
      <c r="K59" s="1222">
        <f t="shared" si="11"/>
        <v>2263.8926684647727</v>
      </c>
      <c r="L59" s="1222">
        <f t="shared" si="12"/>
        <v>779444</v>
      </c>
      <c r="M59" s="1029">
        <f t="shared" si="17"/>
        <v>2.9044968829893777E-3</v>
      </c>
      <c r="N59" s="1222">
        <f t="shared" si="13"/>
        <v>567</v>
      </c>
      <c r="O59" s="1222">
        <f t="shared" si="14"/>
        <v>1.6468497326549771</v>
      </c>
      <c r="P59" s="1227">
        <f t="shared" si="15"/>
        <v>-6.0384490197349159</v>
      </c>
    </row>
    <row r="60" spans="1:16" x14ac:dyDescent="0.25">
      <c r="C60" s="1226">
        <f>'NIR faktorer'!B858</f>
        <v>1994</v>
      </c>
      <c r="D60" s="1270">
        <f>'NIR faktorer'!D858</f>
        <v>432000</v>
      </c>
      <c r="E60" s="1272">
        <f>'NIR faktorer'!D889</f>
        <v>576000</v>
      </c>
      <c r="F60" s="1272">
        <f>'NIR faktorer'!D920</f>
        <v>126000</v>
      </c>
      <c r="G60" s="1224">
        <f t="shared" si="9"/>
        <v>882000</v>
      </c>
      <c r="H60" s="1222">
        <f t="shared" si="16"/>
        <v>27928454.25432783</v>
      </c>
      <c r="I60" s="1222">
        <f t="shared" si="10"/>
        <v>106180.05705504492</v>
      </c>
      <c r="J60" s="1029">
        <v>0.26900000000000002</v>
      </c>
      <c r="K60" s="1222">
        <f t="shared" si="11"/>
        <v>28562.435347807084</v>
      </c>
      <c r="L60" s="1222">
        <f t="shared" si="12"/>
        <v>779444</v>
      </c>
      <c r="M60" s="1029">
        <f t="shared" si="17"/>
        <v>3.6644627898613738E-2</v>
      </c>
      <c r="N60" s="1222">
        <f t="shared" si="13"/>
        <v>567</v>
      </c>
      <c r="O60" s="1222">
        <f t="shared" si="14"/>
        <v>20.777504018513991</v>
      </c>
      <c r="P60" s="1227">
        <f t="shared" si="15"/>
        <v>-76.18418140121797</v>
      </c>
    </row>
    <row r="61" spans="1:16" x14ac:dyDescent="0.25">
      <c r="C61" s="1226">
        <f>'NIR faktorer'!B859</f>
        <v>1995</v>
      </c>
      <c r="D61" s="1270">
        <f>'NIR faktorer'!D859</f>
        <v>432000</v>
      </c>
      <c r="E61" s="1272">
        <f>'NIR faktorer'!D890</f>
        <v>570000</v>
      </c>
      <c r="F61" s="1272">
        <f>'NIR faktorer'!D921</f>
        <v>118000</v>
      </c>
      <c r="G61" s="1224">
        <f t="shared" si="9"/>
        <v>884000</v>
      </c>
      <c r="H61" s="1222">
        <f t="shared" si="16"/>
        <v>28034634.311382875</v>
      </c>
      <c r="I61" s="1222">
        <f t="shared" si="10"/>
        <v>105249.08639916405</v>
      </c>
      <c r="J61" s="1029">
        <v>0.26900000000000002</v>
      </c>
      <c r="K61" s="1222">
        <f t="shared" si="11"/>
        <v>28312.004241375133</v>
      </c>
      <c r="L61" s="1222">
        <f t="shared" si="12"/>
        <v>779444</v>
      </c>
      <c r="M61" s="1029">
        <f t="shared" si="17"/>
        <v>3.6323333352203793E-2</v>
      </c>
      <c r="N61" s="1222">
        <f t="shared" si="13"/>
        <v>567</v>
      </c>
      <c r="O61" s="1222">
        <f t="shared" si="14"/>
        <v>20.595330010699552</v>
      </c>
      <c r="P61" s="1227">
        <f t="shared" si="15"/>
        <v>-75.516210039231694</v>
      </c>
    </row>
    <row r="62" spans="1:16" x14ac:dyDescent="0.25">
      <c r="C62" s="1226">
        <f>'NIR faktorer'!B860</f>
        <v>1996</v>
      </c>
      <c r="D62" s="1270">
        <f>'NIR faktorer'!D860</f>
        <v>432000</v>
      </c>
      <c r="E62" s="1272">
        <f>'NIR faktorer'!D891</f>
        <v>525100</v>
      </c>
      <c r="F62" s="1272">
        <f>'NIR faktorer'!D922</f>
        <v>124000</v>
      </c>
      <c r="G62" s="1224">
        <f t="shared" si="9"/>
        <v>833100</v>
      </c>
      <c r="H62" s="1222">
        <f t="shared" si="16"/>
        <v>28139883.397782039</v>
      </c>
      <c r="I62" s="1222">
        <f t="shared" si="10"/>
        <v>52170.192030712962</v>
      </c>
      <c r="J62" s="1029">
        <v>0.26900000000000002</v>
      </c>
      <c r="K62" s="1222">
        <f t="shared" si="11"/>
        <v>14033.781656261788</v>
      </c>
      <c r="L62" s="1222">
        <f t="shared" si="12"/>
        <v>779444</v>
      </c>
      <c r="M62" s="1029">
        <f t="shared" si="17"/>
        <v>1.8004861999401867E-2</v>
      </c>
      <c r="N62" s="1222">
        <f t="shared" si="13"/>
        <v>567</v>
      </c>
      <c r="O62" s="1222">
        <f t="shared" si="14"/>
        <v>10.208756753660859</v>
      </c>
      <c r="P62" s="1227">
        <f t="shared" si="15"/>
        <v>-37.432108096756487</v>
      </c>
    </row>
    <row r="63" spans="1:16" x14ac:dyDescent="0.25">
      <c r="C63" s="1226">
        <f>'NIR faktorer'!B861</f>
        <v>1997</v>
      </c>
      <c r="D63" s="1270">
        <f>'NIR faktorer'!D861</f>
        <v>417000</v>
      </c>
      <c r="E63" s="1272">
        <f>'NIR faktorer'!D892</f>
        <v>724700</v>
      </c>
      <c r="F63" s="1272">
        <f>'NIR faktorer'!D923</f>
        <v>238800</v>
      </c>
      <c r="G63" s="1224">
        <f t="shared" si="9"/>
        <v>902900</v>
      </c>
      <c r="H63" s="1222">
        <f t="shared" si="16"/>
        <v>28192053.589812752</v>
      </c>
      <c r="I63" s="1222">
        <f t="shared" si="10"/>
        <v>119584.84310931712</v>
      </c>
      <c r="J63" s="1029">
        <v>0.26900000000000002</v>
      </c>
      <c r="K63" s="1222">
        <f t="shared" si="11"/>
        <v>32168.322796406308</v>
      </c>
      <c r="L63" s="1222">
        <f t="shared" si="12"/>
        <v>779444</v>
      </c>
      <c r="M63" s="1029">
        <f t="shared" si="17"/>
        <v>4.1270858196876627E-2</v>
      </c>
      <c r="N63" s="1222">
        <f t="shared" si="13"/>
        <v>567</v>
      </c>
      <c r="O63" s="1222">
        <f t="shared" si="14"/>
        <v>23.400576597629048</v>
      </c>
      <c r="P63" s="1227">
        <f t="shared" si="15"/>
        <v>-85.802114191306501</v>
      </c>
    </row>
    <row r="64" spans="1:16" x14ac:dyDescent="0.25">
      <c r="C64" s="1226">
        <f>'NIR faktorer'!B862</f>
        <v>1998</v>
      </c>
      <c r="D64" s="1270">
        <f>'NIR faktorer'!D862</f>
        <v>405000</v>
      </c>
      <c r="E64" s="1272">
        <f>'NIR faktorer'!D893</f>
        <v>990000</v>
      </c>
      <c r="F64" s="1272">
        <f>'NIR faktorer'!D924</f>
        <v>199500</v>
      </c>
      <c r="G64" s="1224">
        <f t="shared" si="9"/>
        <v>1195500</v>
      </c>
      <c r="H64" s="1222">
        <f t="shared" si="16"/>
        <v>28311638.432922069</v>
      </c>
      <c r="I64" s="1222">
        <f t="shared" si="10"/>
        <v>404895.72171856835</v>
      </c>
      <c r="J64" s="1029">
        <v>0.26900000000000002</v>
      </c>
      <c r="K64" s="1222">
        <f t="shared" si="11"/>
        <v>108916.94914229489</v>
      </c>
      <c r="L64" s="1222">
        <f t="shared" si="12"/>
        <v>779444</v>
      </c>
      <c r="M64" s="1029">
        <f t="shared" si="17"/>
        <v>0.13973672148646329</v>
      </c>
      <c r="N64" s="1222">
        <f t="shared" si="13"/>
        <v>567</v>
      </c>
      <c r="O64" s="1222">
        <f t="shared" si="14"/>
        <v>79.230721082824687</v>
      </c>
      <c r="P64" s="1227">
        <f t="shared" si="15"/>
        <v>-290.5126439703572</v>
      </c>
    </row>
    <row r="65" spans="3:18" x14ac:dyDescent="0.25">
      <c r="C65" s="1226">
        <f>'NIR faktorer'!B863</f>
        <v>1999</v>
      </c>
      <c r="D65" s="1270">
        <f>'NIR faktorer'!D863</f>
        <v>352000</v>
      </c>
      <c r="E65" s="1272">
        <f>'NIR faktorer'!D894</f>
        <v>1036000</v>
      </c>
      <c r="F65" s="1272">
        <f>'NIR faktorer'!D925</f>
        <v>207000</v>
      </c>
      <c r="G65" s="1224">
        <f t="shared" si="9"/>
        <v>1181000</v>
      </c>
      <c r="H65" s="1222">
        <f t="shared" si="16"/>
        <v>28716534.154640637</v>
      </c>
      <c r="I65" s="1222">
        <f t="shared" si="10"/>
        <v>379522.99465221539</v>
      </c>
      <c r="J65" s="1029">
        <v>0.26900000000000002</v>
      </c>
      <c r="K65" s="1222">
        <f t="shared" si="11"/>
        <v>102091.68556144595</v>
      </c>
      <c r="L65" s="1222">
        <f t="shared" si="12"/>
        <v>779444</v>
      </c>
      <c r="M65" s="1029">
        <f t="shared" si="17"/>
        <v>0.13098014169259875</v>
      </c>
      <c r="N65" s="1222">
        <f t="shared" si="13"/>
        <v>567</v>
      </c>
      <c r="O65" s="1222">
        <f t="shared" si="14"/>
        <v>74.265740339703498</v>
      </c>
      <c r="P65" s="1227">
        <f t="shared" si="15"/>
        <v>-272.30771457891279</v>
      </c>
    </row>
    <row r="66" spans="3:18" x14ac:dyDescent="0.25">
      <c r="C66" s="1226">
        <f>'NIR faktorer'!B864</f>
        <v>2000</v>
      </c>
      <c r="D66" s="1270">
        <f>'NIR faktorer'!D864</f>
        <v>448000</v>
      </c>
      <c r="E66" s="1272">
        <f>'NIR faktorer'!D895</f>
        <v>1032000</v>
      </c>
      <c r="F66" s="1272">
        <f>'NIR faktorer'!D926</f>
        <v>144000</v>
      </c>
      <c r="G66" s="1224">
        <f t="shared" si="9"/>
        <v>1336000</v>
      </c>
      <c r="H66" s="1222">
        <f t="shared" si="16"/>
        <v>29096057.149292853</v>
      </c>
      <c r="I66" s="1222">
        <f t="shared" si="10"/>
        <v>522015.88397963718</v>
      </c>
      <c r="J66" s="1029">
        <v>0.26900000000000002</v>
      </c>
      <c r="K66" s="1222">
        <f t="shared" si="11"/>
        <v>140422.2727905224</v>
      </c>
      <c r="L66" s="1222">
        <f t="shared" si="12"/>
        <v>779444</v>
      </c>
      <c r="M66" s="1029">
        <f t="shared" si="17"/>
        <v>0.18015697444655729</v>
      </c>
      <c r="N66" s="1222">
        <f t="shared" si="13"/>
        <v>567</v>
      </c>
      <c r="O66" s="1222">
        <f t="shared" si="14"/>
        <v>102.14900451119799</v>
      </c>
      <c r="P66" s="1227">
        <f t="shared" si="15"/>
        <v>-374.54634987439266</v>
      </c>
    </row>
    <row r="67" spans="3:18" x14ac:dyDescent="0.25">
      <c r="C67" s="1226">
        <f>'NIR faktorer'!B865</f>
        <v>2001</v>
      </c>
      <c r="D67" s="1270">
        <f>'NIR faktorer'!D865</f>
        <v>378000</v>
      </c>
      <c r="E67" s="1272">
        <f>'NIR faktorer'!D896</f>
        <v>1088000</v>
      </c>
      <c r="F67" s="1272">
        <f>'NIR faktorer'!D927</f>
        <v>94018</v>
      </c>
      <c r="G67" s="1224">
        <f t="shared" si="9"/>
        <v>1371982</v>
      </c>
      <c r="H67" s="1222">
        <f t="shared" si="16"/>
        <v>29618073.03327249</v>
      </c>
      <c r="I67" s="1222">
        <f t="shared" si="10"/>
        <v>543229.09400832653</v>
      </c>
      <c r="J67" s="1029">
        <v>0.26900000000000002</v>
      </c>
      <c r="K67" s="1222">
        <f t="shared" si="11"/>
        <v>146128.62628823984</v>
      </c>
      <c r="L67" s="1222">
        <f t="shared" si="12"/>
        <v>779444</v>
      </c>
      <c r="M67" s="1029">
        <f t="shared" si="17"/>
        <v>0.18747803086333314</v>
      </c>
      <c r="N67" s="1222">
        <f t="shared" si="13"/>
        <v>567</v>
      </c>
      <c r="O67" s="1222">
        <f t="shared" si="14"/>
        <v>106.3000434995099</v>
      </c>
      <c r="P67" s="1227">
        <f t="shared" si="15"/>
        <v>-389.7668261648696</v>
      </c>
    </row>
    <row r="68" spans="3:18" x14ac:dyDescent="0.25">
      <c r="C68" s="1226">
        <f>'NIR faktorer'!B866</f>
        <v>2002</v>
      </c>
      <c r="D68" s="1270">
        <f>'NIR faktorer'!D866</f>
        <v>350000</v>
      </c>
      <c r="E68" s="1272">
        <f>'NIR faktorer'!D897</f>
        <v>1184198</v>
      </c>
      <c r="F68" s="1272">
        <f>'NIR faktorer'!D928</f>
        <v>108652</v>
      </c>
      <c r="G68" s="1224">
        <f t="shared" si="9"/>
        <v>1425546</v>
      </c>
      <c r="H68" s="1222">
        <f t="shared" si="16"/>
        <v>30161302.127280816</v>
      </c>
      <c r="I68" s="1222">
        <f t="shared" si="10"/>
        <v>581202.7265108414</v>
      </c>
      <c r="J68" s="1029">
        <v>0.26900000000000002</v>
      </c>
      <c r="K68" s="1222">
        <f t="shared" si="11"/>
        <v>156343.53343141635</v>
      </c>
      <c r="L68" s="1222">
        <f t="shared" si="12"/>
        <v>779444</v>
      </c>
      <c r="M68" s="1029">
        <f t="shared" si="17"/>
        <v>0.20058340744353198</v>
      </c>
      <c r="N68" s="1222">
        <f t="shared" si="13"/>
        <v>567</v>
      </c>
      <c r="O68" s="1222">
        <f t="shared" si="14"/>
        <v>113.73079202048264</v>
      </c>
      <c r="P68" s="1227">
        <f t="shared" si="15"/>
        <v>-417.01290407510299</v>
      </c>
    </row>
    <row r="69" spans="3:18" x14ac:dyDescent="0.25">
      <c r="C69" s="1226">
        <f>'NIR faktorer'!B867</f>
        <v>2003</v>
      </c>
      <c r="D69" s="1270">
        <f>'NIR faktorer'!D867</f>
        <v>401000</v>
      </c>
      <c r="E69" s="1272">
        <f>'NIR faktorer'!D898</f>
        <v>1298779</v>
      </c>
      <c r="F69" s="1272">
        <f>'NIR faktorer'!D929</f>
        <v>151792</v>
      </c>
      <c r="G69" s="1224">
        <f t="shared" si="9"/>
        <v>1547987</v>
      </c>
      <c r="H69" s="1222">
        <f t="shared" si="16"/>
        <v>30742504.853791658</v>
      </c>
      <c r="I69" s="1222">
        <f t="shared" si="10"/>
        <v>686068.89381543174</v>
      </c>
      <c r="J69" s="1029">
        <v>0.26900000000000002</v>
      </c>
      <c r="K69" s="1222">
        <f t="shared" si="11"/>
        <v>184552.53243635115</v>
      </c>
      <c r="L69" s="1222">
        <f t="shared" si="12"/>
        <v>779444</v>
      </c>
      <c r="M69" s="1029">
        <f t="shared" si="17"/>
        <v>0.23677458859950318</v>
      </c>
      <c r="N69" s="1222">
        <f t="shared" si="13"/>
        <v>567</v>
      </c>
      <c r="O69" s="1222">
        <f t="shared" si="14"/>
        <v>134.2511917359183</v>
      </c>
      <c r="P69" s="1227">
        <f t="shared" si="15"/>
        <v>-492.2543696983671</v>
      </c>
    </row>
    <row r="70" spans="3:18" x14ac:dyDescent="0.25">
      <c r="C70" s="1226">
        <f>'NIR faktorer'!B868</f>
        <v>2004</v>
      </c>
      <c r="D70" s="1270">
        <f>'NIR faktorer'!D868</f>
        <v>360000</v>
      </c>
      <c r="E70" s="1272">
        <f>'NIR faktorer'!D899</f>
        <v>1467745</v>
      </c>
      <c r="F70" s="1272">
        <f>'NIR faktorer'!D930</f>
        <v>172841</v>
      </c>
      <c r="G70" s="1224">
        <f t="shared" si="9"/>
        <v>1654904</v>
      </c>
      <c r="H70" s="1222">
        <f t="shared" si="16"/>
        <v>31428573.74760709</v>
      </c>
      <c r="I70" s="1222">
        <f t="shared" si="10"/>
        <v>772756.72335990891</v>
      </c>
      <c r="J70" s="1029">
        <v>0.26900000000000002</v>
      </c>
      <c r="K70" s="1222">
        <f t="shared" si="11"/>
        <v>207871.55858381552</v>
      </c>
      <c r="L70" s="1222">
        <f t="shared" si="12"/>
        <v>779444</v>
      </c>
      <c r="M70" s="1029">
        <f t="shared" si="17"/>
        <v>0.26669210178513852</v>
      </c>
      <c r="N70" s="1222">
        <f t="shared" si="13"/>
        <v>567</v>
      </c>
      <c r="O70" s="1222">
        <f t="shared" si="14"/>
        <v>151.21442171217353</v>
      </c>
      <c r="P70" s="1227">
        <f t="shared" si="15"/>
        <v>-554.45287961130293</v>
      </c>
    </row>
    <row r="71" spans="3:18" x14ac:dyDescent="0.25">
      <c r="C71" s="1226">
        <f>'NIR faktorer'!B869</f>
        <v>2005</v>
      </c>
      <c r="D71" s="1270">
        <f>'NIR faktorer'!D869</f>
        <v>345000</v>
      </c>
      <c r="E71" s="1272">
        <f>'NIR faktorer'!D900</f>
        <v>1490074</v>
      </c>
      <c r="F71" s="1272">
        <f>'NIR faktorer'!D931</f>
        <v>115850</v>
      </c>
      <c r="G71" s="1224">
        <f t="shared" si="9"/>
        <v>1719224</v>
      </c>
      <c r="H71" s="1222">
        <f t="shared" si="16"/>
        <v>32201330.470966998</v>
      </c>
      <c r="I71" s="1222">
        <f t="shared" si="10"/>
        <v>815062.16951404512</v>
      </c>
      <c r="J71" s="1029">
        <v>0.26900000000000002</v>
      </c>
      <c r="K71" s="1222">
        <f t="shared" si="11"/>
        <v>219251.72359927816</v>
      </c>
      <c r="L71" s="1222">
        <f t="shared" si="12"/>
        <v>779444</v>
      </c>
      <c r="M71" s="1029">
        <f t="shared" si="17"/>
        <v>0.28129246437111349</v>
      </c>
      <c r="N71" s="1222">
        <f t="shared" si="13"/>
        <v>567</v>
      </c>
      <c r="O71" s="1222">
        <f t="shared" si="14"/>
        <v>159.49282729842136</v>
      </c>
      <c r="P71" s="1227">
        <f t="shared" si="15"/>
        <v>-584.80703342754498</v>
      </c>
    </row>
    <row r="72" spans="3:18" x14ac:dyDescent="0.25">
      <c r="C72" s="1226">
        <f>'NIR faktorer'!B870</f>
        <v>2006</v>
      </c>
      <c r="D72" s="1270">
        <f>'NIR faktorer'!D870</f>
        <v>350500</v>
      </c>
      <c r="E72" s="1272">
        <f>'NIR faktorer'!D901</f>
        <v>1612722</v>
      </c>
      <c r="F72" s="1272">
        <f>'NIR faktorer'!D932</f>
        <v>169412</v>
      </c>
      <c r="G72" s="1224">
        <f t="shared" si="9"/>
        <v>1793810</v>
      </c>
      <c r="H72" s="1222">
        <f t="shared" si="16"/>
        <v>33016392.640481044</v>
      </c>
      <c r="I72" s="1222">
        <f t="shared" si="10"/>
        <v>866335.76026083902</v>
      </c>
      <c r="J72" s="1029">
        <v>0.26900000000000002</v>
      </c>
      <c r="K72" s="1222">
        <f t="shared" si="11"/>
        <v>233044.31951016572</v>
      </c>
      <c r="L72" s="1222">
        <f t="shared" si="12"/>
        <v>779444</v>
      </c>
      <c r="M72" s="1029">
        <f t="shared" si="17"/>
        <v>0.29898789330621023</v>
      </c>
      <c r="N72" s="1222">
        <f t="shared" si="13"/>
        <v>567</v>
      </c>
      <c r="O72" s="1222">
        <f t="shared" si="14"/>
        <v>169.52613550462121</v>
      </c>
      <c r="P72" s="1227">
        <f t="shared" si="15"/>
        <v>-621.59583018361116</v>
      </c>
    </row>
    <row r="73" spans="3:18" x14ac:dyDescent="0.25">
      <c r="C73" s="1226">
        <f>'NIR faktorer'!B871</f>
        <v>2007</v>
      </c>
      <c r="D73" s="1270">
        <f>'NIR faktorer'!D871</f>
        <v>356000</v>
      </c>
      <c r="E73" s="1272">
        <f>'NIR faktorer'!D902</f>
        <v>1916925</v>
      </c>
      <c r="F73" s="1272">
        <f>'NIR faktorer'!D933</f>
        <v>160117</v>
      </c>
      <c r="G73" s="1224">
        <f t="shared" si="9"/>
        <v>2112808</v>
      </c>
      <c r="H73" s="1222">
        <f t="shared" si="16"/>
        <v>33882728.400741883</v>
      </c>
      <c r="I73" s="1222">
        <f t="shared" si="10"/>
        <v>1157262.1006044224</v>
      </c>
      <c r="J73" s="1029">
        <v>0.26900000000000002</v>
      </c>
      <c r="K73" s="1222">
        <f t="shared" si="11"/>
        <v>311303.50506258965</v>
      </c>
      <c r="L73" s="1222">
        <f t="shared" si="12"/>
        <v>779444</v>
      </c>
      <c r="M73" s="1029">
        <f t="shared" si="17"/>
        <v>0.39939175240631741</v>
      </c>
      <c r="N73" s="1222">
        <f t="shared" si="13"/>
        <v>567</v>
      </c>
      <c r="O73" s="1222">
        <f t="shared" si="14"/>
        <v>226.45512361438196</v>
      </c>
      <c r="P73" s="1227">
        <f t="shared" si="15"/>
        <v>-830.33545325273383</v>
      </c>
    </row>
    <row r="74" spans="3:18" x14ac:dyDescent="0.25">
      <c r="C74" s="1226">
        <f>'NIR faktorer'!B872</f>
        <v>2008</v>
      </c>
      <c r="D74" s="1270">
        <f>'NIR faktorer'!D872</f>
        <v>446000</v>
      </c>
      <c r="E74" s="1272">
        <f>'NIR faktorer'!D903</f>
        <v>1876119</v>
      </c>
      <c r="F74" s="1272">
        <f>'NIR faktorer'!D934</f>
        <v>224095</v>
      </c>
      <c r="G74" s="1224">
        <f t="shared" si="9"/>
        <v>2098024</v>
      </c>
      <c r="H74" s="1222">
        <f t="shared" si="16"/>
        <v>35039990.501346305</v>
      </c>
      <c r="I74" s="1222">
        <f t="shared" si="10"/>
        <v>1111035.7762827128</v>
      </c>
      <c r="J74" s="1029">
        <v>0.26900000000000002</v>
      </c>
      <c r="K74" s="1222">
        <f t="shared" si="11"/>
        <v>298868.62382004975</v>
      </c>
      <c r="L74" s="1222">
        <f t="shared" si="12"/>
        <v>779444</v>
      </c>
      <c r="M74" s="1029">
        <f t="shared" si="17"/>
        <v>0.38343822496555202</v>
      </c>
      <c r="N74" s="1222">
        <f t="shared" si="13"/>
        <v>567</v>
      </c>
      <c r="O74" s="1222">
        <f t="shared" si="14"/>
        <v>217.409473555468</v>
      </c>
      <c r="P74" s="1227">
        <f t="shared" si="15"/>
        <v>-797.16806970338268</v>
      </c>
    </row>
    <row r="75" spans="3:18" x14ac:dyDescent="0.25">
      <c r="C75" s="1226">
        <f>'NIR faktorer'!B873</f>
        <v>2009</v>
      </c>
      <c r="D75" s="1270">
        <f>'NIR faktorer'!D873</f>
        <v>446000</v>
      </c>
      <c r="E75" s="1272">
        <f>'NIR faktorer'!D904</f>
        <v>1009395</v>
      </c>
      <c r="F75" s="1272">
        <f>'NIR faktorer'!D935</f>
        <v>169400</v>
      </c>
      <c r="G75" s="1224">
        <f t="shared" si="9"/>
        <v>1285995</v>
      </c>
      <c r="H75" s="1222">
        <f t="shared" si="16"/>
        <v>36151026.277629018</v>
      </c>
      <c r="I75" s="1222">
        <f t="shared" si="10"/>
        <v>279779.23613768071</v>
      </c>
      <c r="J75" s="1029">
        <v>0.26900000000000002</v>
      </c>
      <c r="K75" s="1222">
        <f t="shared" si="11"/>
        <v>75260.614521036114</v>
      </c>
      <c r="L75" s="1222">
        <f t="shared" si="12"/>
        <v>779444</v>
      </c>
      <c r="M75" s="1029">
        <f t="shared" si="17"/>
        <v>9.6556794998789025E-2</v>
      </c>
      <c r="N75" s="1222">
        <f t="shared" si="13"/>
        <v>567</v>
      </c>
      <c r="O75" s="1222">
        <f t="shared" si="14"/>
        <v>54.747702764313374</v>
      </c>
      <c r="P75" s="1227">
        <f t="shared" si="15"/>
        <v>-200.7415768024824</v>
      </c>
    </row>
    <row r="76" spans="3:18" x14ac:dyDescent="0.25">
      <c r="C76" s="1226">
        <f>'NIR faktorer'!B874</f>
        <v>2010</v>
      </c>
      <c r="D76" s="1270">
        <f>'NIR faktorer'!D874</f>
        <v>435414</v>
      </c>
      <c r="E76" s="1272">
        <f>'NIR faktorer'!D905</f>
        <v>882935</v>
      </c>
      <c r="F76" s="1272">
        <f>'NIR faktorer'!D936</f>
        <v>158193</v>
      </c>
      <c r="G76" s="1224">
        <f t="shared" si="9"/>
        <v>1160156</v>
      </c>
      <c r="H76" s="1222">
        <f t="shared" si="16"/>
        <v>36430805.513766699</v>
      </c>
      <c r="I76" s="1222">
        <f t="shared" si="10"/>
        <v>148018.14571627975</v>
      </c>
      <c r="J76" s="1029">
        <v>0.26900000000000002</v>
      </c>
      <c r="K76" s="1222">
        <f t="shared" si="11"/>
        <v>39816.881197679257</v>
      </c>
      <c r="L76" s="1222">
        <f t="shared" si="12"/>
        <v>779444</v>
      </c>
      <c r="M76" s="1029">
        <f t="shared" si="17"/>
        <v>5.1083697093927537E-2</v>
      </c>
      <c r="N76" s="1222">
        <f t="shared" si="13"/>
        <v>567</v>
      </c>
      <c r="O76" s="1222">
        <f t="shared" si="14"/>
        <v>28.964456252256912</v>
      </c>
      <c r="P76" s="1227">
        <f t="shared" si="15"/>
        <v>-106.20300625827535</v>
      </c>
    </row>
    <row r="77" spans="3:18" x14ac:dyDescent="0.25">
      <c r="C77" s="1226">
        <f>'NIR faktorer'!B875</f>
        <v>2011</v>
      </c>
      <c r="D77" s="1270">
        <f>'NIR faktorer'!D875</f>
        <v>367000</v>
      </c>
      <c r="E77" s="1272">
        <f>'NIR faktorer'!D906</f>
        <v>1027444</v>
      </c>
      <c r="F77" s="1272">
        <f>'NIR faktorer'!D937</f>
        <v>25690</v>
      </c>
      <c r="G77" s="1224">
        <f t="shared" si="9"/>
        <v>1368754</v>
      </c>
      <c r="H77" s="1222">
        <f t="shared" si="16"/>
        <v>36578823.659482978</v>
      </c>
      <c r="I77" s="1222">
        <f t="shared" si="10"/>
        <v>349703.34094350785</v>
      </c>
      <c r="J77" s="1029">
        <v>0.26900000000000002</v>
      </c>
      <c r="K77" s="1222">
        <f t="shared" si="11"/>
        <v>94070.19871380362</v>
      </c>
      <c r="L77" s="1222">
        <f t="shared" si="12"/>
        <v>779444</v>
      </c>
      <c r="M77" s="1029">
        <f t="shared" si="17"/>
        <v>0.12068884835062381</v>
      </c>
      <c r="N77" s="1222">
        <f t="shared" si="13"/>
        <v>567</v>
      </c>
      <c r="O77" s="1222">
        <f t="shared" si="14"/>
        <v>68.430577014803703</v>
      </c>
      <c r="P77" s="1227">
        <f t="shared" si="15"/>
        <v>-250.9121157209469</v>
      </c>
      <c r="R77" s="1091"/>
    </row>
    <row r="78" spans="3:18" x14ac:dyDescent="0.25">
      <c r="C78" s="1226">
        <f>'NIR faktorer'!B876</f>
        <v>2012</v>
      </c>
      <c r="D78" s="1270">
        <f>'NIR faktorer'!D876</f>
        <v>340000</v>
      </c>
      <c r="E78" s="1272">
        <f>'NIR faktorer'!D907</f>
        <v>745524</v>
      </c>
      <c r="F78" s="1272">
        <f>'NIR faktorer'!D938</f>
        <v>37400</v>
      </c>
      <c r="G78" s="1224">
        <f t="shared" si="9"/>
        <v>1048124</v>
      </c>
      <c r="H78" s="1222">
        <f t="shared" si="16"/>
        <v>36928527.000426486</v>
      </c>
      <c r="I78" s="1222">
        <f t="shared" si="10"/>
        <v>23914.764100924134</v>
      </c>
      <c r="J78" s="1029">
        <v>0.26900000000000002</v>
      </c>
      <c r="K78" s="1222">
        <f t="shared" si="11"/>
        <v>6433.0715431485924</v>
      </c>
      <c r="L78" s="1222">
        <f t="shared" si="12"/>
        <v>784178</v>
      </c>
      <c r="M78" s="1029">
        <f t="shared" si="17"/>
        <v>8.2035858480454596E-3</v>
      </c>
      <c r="N78" s="1222">
        <f t="shared" si="13"/>
        <v>571</v>
      </c>
      <c r="O78" s="1222">
        <f t="shared" si="14"/>
        <v>4.6842475192339572</v>
      </c>
      <c r="P78" s="1227">
        <f t="shared" si="15"/>
        <v>-17.175574237191174</v>
      </c>
      <c r="R78" s="1091"/>
    </row>
    <row r="79" spans="3:18" x14ac:dyDescent="0.25">
      <c r="C79" s="1226">
        <f>'NIR faktorer'!B877</f>
        <v>2013</v>
      </c>
      <c r="D79" s="1270">
        <f>'NIR faktorer'!D877</f>
        <v>346000</v>
      </c>
      <c r="E79" s="1272">
        <f>'NIR faktorer'!D908</f>
        <v>749612</v>
      </c>
      <c r="F79" s="1272">
        <f>'NIR faktorer'!D939</f>
        <v>41520</v>
      </c>
      <c r="G79" s="1224">
        <f t="shared" si="9"/>
        <v>1054092</v>
      </c>
      <c r="H79" s="1222">
        <f t="shared" si="16"/>
        <v>36952441.76452741</v>
      </c>
      <c r="I79" s="1222">
        <f t="shared" si="10"/>
        <v>29146.838925726712</v>
      </c>
      <c r="J79" s="1029">
        <v>0.26900000000000002</v>
      </c>
      <c r="K79" s="1222">
        <f t="shared" si="11"/>
        <v>7840.4996710204859</v>
      </c>
      <c r="L79" s="1222">
        <f t="shared" si="12"/>
        <v>788943</v>
      </c>
      <c r="M79" s="1029">
        <f t="shared" si="17"/>
        <v>9.9379798933769432E-3</v>
      </c>
      <c r="N79" s="1222">
        <f t="shared" si="13"/>
        <v>578</v>
      </c>
      <c r="O79" s="1222">
        <f t="shared" si="14"/>
        <v>5.7441523783718731</v>
      </c>
      <c r="P79" s="1227">
        <f t="shared" si="15"/>
        <v>-21.061892054030199</v>
      </c>
      <c r="R79" s="1091"/>
    </row>
    <row r="80" spans="3:18" x14ac:dyDescent="0.25">
      <c r="C80" s="1226">
        <f>'NIR faktorer'!B878</f>
        <v>2014</v>
      </c>
      <c r="D80" s="1270">
        <f>'NIR faktorer'!D878</f>
        <v>367000</v>
      </c>
      <c r="E80" s="1272">
        <f>'NIR faktorer'!D909</f>
        <v>749612</v>
      </c>
      <c r="F80" s="1272">
        <f>'NIR faktorer'!D940</f>
        <v>51380</v>
      </c>
      <c r="G80" s="1224">
        <f t="shared" si="9"/>
        <v>1065232</v>
      </c>
      <c r="H80" s="1222">
        <f t="shared" si="16"/>
        <v>36981588.603453137</v>
      </c>
      <c r="I80" s="1222">
        <f t="shared" si="10"/>
        <v>39336.801318012178</v>
      </c>
      <c r="J80" s="1029">
        <v>0.26900000000000002</v>
      </c>
      <c r="K80" s="1222">
        <f t="shared" si="11"/>
        <v>10581.599554545277</v>
      </c>
      <c r="L80" s="1222">
        <f t="shared" si="12"/>
        <v>794259</v>
      </c>
      <c r="M80" s="1029">
        <f t="shared" si="17"/>
        <v>1.3322605793003638E-2</v>
      </c>
      <c r="N80" s="1222">
        <f t="shared" si="13"/>
        <v>593</v>
      </c>
      <c r="O80" s="1222">
        <f t="shared" si="14"/>
        <v>7.9003052352511576</v>
      </c>
      <c r="P80" s="1227">
        <f t="shared" si="15"/>
        <v>-28.967785862587576</v>
      </c>
      <c r="R80" s="1091"/>
    </row>
    <row r="81" spans="1:18" x14ac:dyDescent="0.25">
      <c r="C81" s="1226">
        <f>'NIR faktorer'!B879</f>
        <v>2015</v>
      </c>
      <c r="D81" s="1270">
        <f>'NIR faktorer'!D879</f>
        <v>387000</v>
      </c>
      <c r="E81" s="1272">
        <f>'NIR faktorer'!D910</f>
        <v>749612</v>
      </c>
      <c r="F81" s="1272">
        <f>'NIR faktorer'!D941</f>
        <v>51380</v>
      </c>
      <c r="G81" s="1224">
        <f t="shared" si="9"/>
        <v>1085232</v>
      </c>
      <c r="H81" s="1222">
        <f t="shared" si="16"/>
        <v>37020925.404771149</v>
      </c>
      <c r="I81" s="1222">
        <f t="shared" si="10"/>
        <v>57986.420297913253</v>
      </c>
      <c r="J81" s="1029">
        <v>0.26900000000000002</v>
      </c>
      <c r="K81" s="1222">
        <f t="shared" si="11"/>
        <v>15598.347060138665</v>
      </c>
      <c r="L81" s="1222">
        <f t="shared" si="12"/>
        <v>799067</v>
      </c>
      <c r="M81" s="1029">
        <f t="shared" si="17"/>
        <v>1.9520699841363322E-2</v>
      </c>
      <c r="N81" s="1222">
        <f t="shared" si="13"/>
        <v>592</v>
      </c>
      <c r="O81" s="1222">
        <f t="shared" si="14"/>
        <v>11.556254306087087</v>
      </c>
      <c r="P81" s="1227">
        <f t="shared" si="15"/>
        <v>-42.372932455652652</v>
      </c>
      <c r="R81" s="1091"/>
    </row>
    <row r="82" spans="1:18" x14ac:dyDescent="0.25">
      <c r="C82" s="1226">
        <f>'NIR faktorer'!B880</f>
        <v>2016</v>
      </c>
      <c r="D82" s="1270">
        <f>'NIR faktorer'!D880</f>
        <v>387000</v>
      </c>
      <c r="E82" s="1272">
        <f>'NIR faktorer'!D911</f>
        <v>749612</v>
      </c>
      <c r="F82" s="1272">
        <f>'NIR faktorer'!D942</f>
        <v>51380</v>
      </c>
      <c r="G82" s="1224">
        <f t="shared" si="9"/>
        <v>1085232</v>
      </c>
      <c r="H82" s="1222">
        <f t="shared" si="16"/>
        <v>37078911.825069062</v>
      </c>
      <c r="I82" s="1222">
        <f t="shared" si="10"/>
        <v>56400.778585493565</v>
      </c>
      <c r="J82" s="1029">
        <v>0.26900000000000002</v>
      </c>
      <c r="K82" s="1222">
        <f t="shared" si="11"/>
        <v>15171.809439497771</v>
      </c>
      <c r="L82" s="1222">
        <f t="shared" si="12"/>
        <v>803717</v>
      </c>
      <c r="M82" s="1029">
        <f t="shared" si="17"/>
        <v>1.8877054285896366E-2</v>
      </c>
      <c r="N82" s="1222">
        <f t="shared" si="13"/>
        <v>598</v>
      </c>
      <c r="O82" s="1222">
        <f t="shared" si="14"/>
        <v>11.288478462966028</v>
      </c>
      <c r="P82" s="1227">
        <f t="shared" si="15"/>
        <v>-41.391087697542098</v>
      </c>
      <c r="R82" s="1091"/>
    </row>
    <row r="83" spans="1:18" x14ac:dyDescent="0.25">
      <c r="C83" s="1226">
        <f>'NIR faktorer'!B881</f>
        <v>2017</v>
      </c>
      <c r="D83" s="1270">
        <f>'NIR faktorer'!D881</f>
        <v>428300</v>
      </c>
      <c r="E83" s="1272">
        <f>'NIR faktorer'!D912</f>
        <v>877554</v>
      </c>
      <c r="F83" s="1272">
        <f>'NIR faktorer'!D943</f>
        <v>55679</v>
      </c>
      <c r="G83" s="1224">
        <f t="shared" si="9"/>
        <v>1250175</v>
      </c>
      <c r="H83" s="1222">
        <f t="shared" si="16"/>
        <v>37135312.603654556</v>
      </c>
      <c r="I83" s="1222">
        <f t="shared" si="10"/>
        <v>217535.88777904212</v>
      </c>
      <c r="J83" s="1029">
        <v>0.26900000000000002</v>
      </c>
      <c r="K83" s="1222">
        <f t="shared" si="11"/>
        <v>58517.153812562334</v>
      </c>
      <c r="L83" s="1222">
        <f t="shared" si="12"/>
        <v>809168</v>
      </c>
      <c r="M83" s="1029">
        <f t="shared" si="17"/>
        <v>7.2317681634175263E-2</v>
      </c>
      <c r="N83" s="1222">
        <f t="shared" si="13"/>
        <v>599</v>
      </c>
      <c r="O83" s="1222">
        <f t="shared" si="14"/>
        <v>43.318291298870982</v>
      </c>
      <c r="P83" s="1227">
        <f t="shared" si="15"/>
        <v>-158.83373476252692</v>
      </c>
      <c r="R83" s="1091"/>
    </row>
    <row r="84" spans="1:18" ht="18" customHeight="1" x14ac:dyDescent="0.25">
      <c r="C84" s="1226">
        <f>'NIR faktorer'!B882</f>
        <v>2018</v>
      </c>
      <c r="D84" s="1270">
        <f>'NIR faktorer'!D882</f>
        <v>428300</v>
      </c>
      <c r="E84" s="1272">
        <f>'NIR faktorer'!D913</f>
        <v>877554</v>
      </c>
      <c r="F84" s="1272">
        <f>'NIR faktorer'!D944</f>
        <v>55679</v>
      </c>
      <c r="G84" s="1224">
        <f t="shared" si="9"/>
        <v>1250175</v>
      </c>
      <c r="H84" s="1222">
        <f t="shared" si="16"/>
        <v>37352848.491433598</v>
      </c>
      <c r="I84" s="1493">
        <f t="shared" si="10"/>
        <v>211587.35748800635</v>
      </c>
      <c r="J84" s="1225">
        <v>0.26900000000000002</v>
      </c>
      <c r="K84" s="1224">
        <f t="shared" si="11"/>
        <v>56916.999164273715</v>
      </c>
      <c r="L84" s="1222">
        <f t="shared" si="12"/>
        <v>817313</v>
      </c>
      <c r="M84" s="1029">
        <f t="shared" si="17"/>
        <v>6.9639170261911548E-2</v>
      </c>
      <c r="N84" s="1222">
        <f t="shared" si="13"/>
        <v>604</v>
      </c>
      <c r="O84" s="1222">
        <f t="shared" si="14"/>
        <v>42.062058838194574</v>
      </c>
      <c r="P84" s="1492">
        <f t="shared" si="15"/>
        <v>-154.22754907338012</v>
      </c>
      <c r="R84" s="1091"/>
    </row>
    <row r="85" spans="1:18" ht="18" customHeight="1" thickBot="1" x14ac:dyDescent="0.3">
      <c r="C85" s="1455">
        <f>'NIR faktorer'!B883</f>
        <v>2019</v>
      </c>
      <c r="D85" s="4049">
        <f>'NIR faktorer'!D883</f>
        <v>349000</v>
      </c>
      <c r="E85" s="4050">
        <f>'NIR faktorer'!D914</f>
        <v>892728</v>
      </c>
      <c r="F85" s="4050">
        <f>'NIR faktorer'!D945</f>
        <v>45370</v>
      </c>
      <c r="G85" s="1218">
        <f>IFERROR(D85+E85-F85,D85-F85)</f>
        <v>1196358</v>
      </c>
      <c r="H85" s="1220">
        <f>$D$50*H84+$D$51*G84</f>
        <v>37564435.848921604</v>
      </c>
      <c r="I85" s="1216"/>
      <c r="J85" s="1219"/>
      <c r="K85" s="1218"/>
      <c r="L85" s="1495">
        <f t="shared" si="12"/>
        <v>819112</v>
      </c>
      <c r="M85" s="1218"/>
      <c r="N85" s="1220">
        <f t="shared" si="13"/>
        <v>606</v>
      </c>
      <c r="O85" s="1218"/>
      <c r="P85" s="1252"/>
    </row>
    <row r="86" spans="1:18" ht="18" customHeight="1" x14ac:dyDescent="0.25">
      <c r="C86" s="1110" t="s">
        <v>2497</v>
      </c>
      <c r="D86" s="1243"/>
      <c r="E86" s="1243"/>
      <c r="F86" s="1243"/>
      <c r="G86" s="1243"/>
      <c r="H86" s="1143"/>
      <c r="I86" s="1247"/>
      <c r="J86" s="1242"/>
      <c r="K86" s="1241"/>
      <c r="L86" s="1213"/>
      <c r="M86" s="1240"/>
      <c r="N86" s="1239"/>
      <c r="O86" s="1143"/>
      <c r="P86" s="1143"/>
    </row>
    <row r="87" spans="1:18" s="1766" customFormat="1" ht="52.5" customHeight="1" x14ac:dyDescent="0.2">
      <c r="A87" s="5324" t="s">
        <v>2042</v>
      </c>
      <c r="B87" s="5324"/>
      <c r="C87" s="1251"/>
      <c r="D87" s="5325" t="str">
        <f>'NIR faktorer'!D948</f>
        <v xml:space="preserve"> NIR 2020 (2018) CRF tabel 4.Gs2</v>
      </c>
      <c r="E87" s="5325"/>
      <c r="F87" s="5325"/>
      <c r="G87" s="1251"/>
      <c r="H87" s="1248"/>
      <c r="I87" s="1250"/>
      <c r="J87" s="1215" t="s">
        <v>2488</v>
      </c>
      <c r="K87" s="1248"/>
      <c r="L87" s="1215" t="s">
        <v>2496</v>
      </c>
      <c r="M87" s="1249"/>
      <c r="N87" s="1215" t="s">
        <v>2496</v>
      </c>
      <c r="O87" s="1248"/>
      <c r="P87" s="1214" t="s">
        <v>2418</v>
      </c>
    </row>
    <row r="88" spans="1:18" ht="18" customHeight="1" thickBot="1" x14ac:dyDescent="0.3">
      <c r="C88" s="1109"/>
      <c r="D88" s="1243"/>
      <c r="E88" s="1243"/>
      <c r="F88" s="1243"/>
      <c r="G88" s="1243"/>
      <c r="H88" s="1143"/>
      <c r="I88" s="1247"/>
      <c r="J88" s="1242"/>
      <c r="K88" s="1241"/>
      <c r="L88" s="1213"/>
      <c r="M88" s="1240"/>
      <c r="N88" s="1239"/>
      <c r="O88" s="1143"/>
      <c r="P88" s="1143"/>
    </row>
    <row r="89" spans="1:18" x14ac:dyDescent="0.25">
      <c r="C89" s="1246" t="s">
        <v>2495</v>
      </c>
      <c r="D89" s="1245">
        <v>2</v>
      </c>
      <c r="E89" s="1243"/>
      <c r="F89" s="1243"/>
      <c r="J89" s="1242"/>
      <c r="K89" s="1241"/>
      <c r="L89" s="1213"/>
      <c r="M89" s="1240"/>
      <c r="N89" s="1239"/>
      <c r="O89" s="1143"/>
      <c r="P89" s="1143"/>
    </row>
    <row r="90" spans="1:18" x14ac:dyDescent="0.25">
      <c r="C90" s="1238" t="s">
        <v>2494</v>
      </c>
      <c r="D90" s="1244">
        <v>0.34657359027997264</v>
      </c>
      <c r="E90" s="1243"/>
      <c r="F90" s="1243"/>
      <c r="J90" s="1242"/>
      <c r="K90" s="1241"/>
      <c r="L90" s="1213"/>
      <c r="M90" s="1240"/>
      <c r="N90" s="1239"/>
      <c r="O90" s="1143"/>
      <c r="P90" s="1143"/>
    </row>
    <row r="91" spans="1:18" x14ac:dyDescent="0.25">
      <c r="C91" s="1238" t="s">
        <v>2493</v>
      </c>
      <c r="D91" s="1237">
        <v>0.70710678118654757</v>
      </c>
    </row>
    <row r="92" spans="1:18" ht="18" thickBot="1" x14ac:dyDescent="0.3">
      <c r="C92" s="1236" t="s">
        <v>2492</v>
      </c>
      <c r="D92" s="994">
        <v>0.84511118858434775</v>
      </c>
    </row>
    <row r="93" spans="1:18" x14ac:dyDescent="0.25">
      <c r="C93" s="1235" t="s">
        <v>2491</v>
      </c>
    </row>
    <row r="94" spans="1:18" x14ac:dyDescent="0.25">
      <c r="C94" s="1234"/>
    </row>
    <row r="95" spans="1:18" ht="49.5" customHeight="1" thickBot="1" x14ac:dyDescent="0.3">
      <c r="C95" s="5326" t="s">
        <v>4915</v>
      </c>
      <c r="D95" s="5326"/>
      <c r="E95" s="5326"/>
    </row>
    <row r="96" spans="1:18" s="1233" customFormat="1" ht="83.25" customHeight="1" thickBot="1" x14ac:dyDescent="0.25">
      <c r="C96" s="1015" t="s">
        <v>977</v>
      </c>
      <c r="D96" s="1762" t="s">
        <v>4902</v>
      </c>
      <c r="E96" s="1762" t="s">
        <v>4903</v>
      </c>
      <c r="F96" s="1762" t="s">
        <v>4904</v>
      </c>
      <c r="G96" s="1762" t="s">
        <v>4916</v>
      </c>
      <c r="H96" s="1762" t="s">
        <v>4917</v>
      </c>
      <c r="I96" s="1762" t="s">
        <v>4918</v>
      </c>
      <c r="J96" s="1762" t="s">
        <v>4905</v>
      </c>
      <c r="K96" s="1762" t="s">
        <v>4906</v>
      </c>
      <c r="L96" s="1762" t="s">
        <v>4762</v>
      </c>
      <c r="M96" s="1762" t="s">
        <v>4912</v>
      </c>
      <c r="N96" s="1762" t="s">
        <v>4761</v>
      </c>
      <c r="O96" s="1762" t="s">
        <v>4910</v>
      </c>
      <c r="P96" s="1763" t="s">
        <v>4911</v>
      </c>
    </row>
    <row r="97" spans="1:16" x14ac:dyDescent="0.25">
      <c r="A97" s="1000" t="s">
        <v>2490</v>
      </c>
      <c r="C97" s="1226">
        <f>'NIR faktorer'!B951</f>
        <v>1990</v>
      </c>
      <c r="D97" s="1273">
        <f>'NIR faktorer'!D951</f>
        <v>335000</v>
      </c>
      <c r="E97" s="1273">
        <f>'NIR faktorer'!D982</f>
        <v>1165700</v>
      </c>
      <c r="F97" s="1273">
        <f>'NIR faktorer'!D1013</f>
        <v>218100</v>
      </c>
      <c r="G97" s="1232">
        <f t="shared" ref="G97:G124" si="18">D97+E97-F97</f>
        <v>1282600</v>
      </c>
      <c r="H97" s="1230">
        <f>AVERAGE(G97:G101)/D90</f>
        <v>3499400.5141022536</v>
      </c>
      <c r="I97" s="1230">
        <f t="shared" ref="I97:I125" si="19">H98-H97</f>
        <v>58988.929985424969</v>
      </c>
      <c r="J97" s="1231">
        <v>0.38600000000000001</v>
      </c>
      <c r="K97" s="1230">
        <f>I97*J97</f>
        <v>22769.72697437404</v>
      </c>
      <c r="L97" s="1230">
        <f>L115</f>
        <v>5475791</v>
      </c>
      <c r="M97" s="1231">
        <f t="shared" ref="M97:M125" si="20">K97/L97</f>
        <v>4.1582534786981529E-3</v>
      </c>
      <c r="N97" s="1274">
        <f>N115</f>
        <v>2003</v>
      </c>
      <c r="O97" s="1230">
        <f t="shared" ref="O97:O125" si="21">M97*N97</f>
        <v>8.3289817178324004</v>
      </c>
      <c r="P97" s="1229">
        <f t="shared" ref="P97:P125" si="22" xml:space="preserve"> O97*-44/12</f>
        <v>-30.539599632052134</v>
      </c>
    </row>
    <row r="98" spans="1:16" x14ac:dyDescent="0.25">
      <c r="C98" s="1226">
        <f>'NIR faktorer'!B952</f>
        <v>1991</v>
      </c>
      <c r="D98" s="1272">
        <f>'NIR faktorer'!D952</f>
        <v>356000</v>
      </c>
      <c r="E98" s="1272">
        <f>'NIR faktorer'!D983</f>
        <v>1203700</v>
      </c>
      <c r="F98" s="1272">
        <f>'NIR faktorer'!D1014</f>
        <v>223300</v>
      </c>
      <c r="G98" s="1224">
        <f t="shared" si="18"/>
        <v>1336400</v>
      </c>
      <c r="H98" s="1222">
        <f t="shared" ref="H98:H126" si="23">$D$91*H97+$D$92*G97</f>
        <v>3558389.4440876786</v>
      </c>
      <c r="I98" s="1222">
        <f t="shared" si="19"/>
        <v>87178.454353470355</v>
      </c>
      <c r="J98" s="1029">
        <v>0.38600000000000001</v>
      </c>
      <c r="K98" s="1222">
        <f t="shared" ref="K98:K125" si="24">I98*J98</f>
        <v>33650.883380439554</v>
      </c>
      <c r="L98" s="1222">
        <v>5475791</v>
      </c>
      <c r="M98" s="1029">
        <f t="shared" si="20"/>
        <v>6.1453922146479942E-3</v>
      </c>
      <c r="N98" s="1022">
        <f t="shared" ref="N98:N113" si="25">$N$115</f>
        <v>2003</v>
      </c>
      <c r="O98" s="1222">
        <f t="shared" si="21"/>
        <v>12.309220605939933</v>
      </c>
      <c r="P98" s="1227">
        <f t="shared" si="22"/>
        <v>-45.133808888446424</v>
      </c>
    </row>
    <row r="99" spans="1:16" x14ac:dyDescent="0.25">
      <c r="C99" s="1226">
        <f>'NIR faktorer'!B953</f>
        <v>1992</v>
      </c>
      <c r="D99" s="1272">
        <f>'NIR faktorer'!D953</f>
        <v>317000</v>
      </c>
      <c r="E99" s="1272">
        <f>'NIR faktorer'!D984</f>
        <v>1034124</v>
      </c>
      <c r="F99" s="1272">
        <f>'NIR faktorer'!D1015</f>
        <v>189060</v>
      </c>
      <c r="G99" s="1224">
        <f t="shared" si="18"/>
        <v>1162064</v>
      </c>
      <c r="H99" s="1222">
        <f t="shared" si="23"/>
        <v>3645567.8984411489</v>
      </c>
      <c r="I99" s="1222">
        <f t="shared" si="19"/>
        <v>-85688.827926340047</v>
      </c>
      <c r="J99" s="1029">
        <v>0.38600000000000001</v>
      </c>
      <c r="K99" s="1222">
        <f t="shared" si="24"/>
        <v>-33075.887579567257</v>
      </c>
      <c r="L99" s="1222">
        <v>5475791</v>
      </c>
      <c r="M99" s="1029">
        <f t="shared" si="20"/>
        <v>-6.0403853214206415E-3</v>
      </c>
      <c r="N99" s="1022">
        <f t="shared" si="25"/>
        <v>2003</v>
      </c>
      <c r="O99" s="1222">
        <f t="shared" si="21"/>
        <v>-12.098891798805544</v>
      </c>
      <c r="P99" s="1227">
        <f t="shared" si="22"/>
        <v>44.362603262286996</v>
      </c>
    </row>
    <row r="100" spans="1:16" x14ac:dyDescent="0.25">
      <c r="C100" s="1226">
        <f>'NIR faktorer'!B954</f>
        <v>1993</v>
      </c>
      <c r="D100" s="1272">
        <f>'NIR faktorer'!D954</f>
        <v>339000</v>
      </c>
      <c r="E100" s="1272">
        <f>'NIR faktorer'!D985</f>
        <v>880000</v>
      </c>
      <c r="F100" s="1272">
        <f>'NIR faktorer'!D1016</f>
        <v>129765</v>
      </c>
      <c r="G100" s="1224">
        <f t="shared" si="18"/>
        <v>1089235</v>
      </c>
      <c r="H100" s="1222">
        <f t="shared" si="23"/>
        <v>3559879.0705148089</v>
      </c>
      <c r="I100" s="1222">
        <f t="shared" si="19"/>
        <v>-122139.75405205181</v>
      </c>
      <c r="J100" s="1029">
        <v>0.38600000000000001</v>
      </c>
      <c r="K100" s="1222">
        <f t="shared" si="24"/>
        <v>-47145.945064091997</v>
      </c>
      <c r="L100" s="1222">
        <v>5475791</v>
      </c>
      <c r="M100" s="1029">
        <f t="shared" si="20"/>
        <v>-8.6098876060265988E-3</v>
      </c>
      <c r="N100" s="1022">
        <f t="shared" si="25"/>
        <v>2003</v>
      </c>
      <c r="O100" s="1222">
        <f t="shared" si="21"/>
        <v>-17.245604874871276</v>
      </c>
      <c r="P100" s="1227">
        <f t="shared" si="22"/>
        <v>63.233884541194676</v>
      </c>
    </row>
    <row r="101" spans="1:16" x14ac:dyDescent="0.25">
      <c r="C101" s="1226">
        <f>'NIR faktorer'!B955</f>
        <v>1994</v>
      </c>
      <c r="D101" s="1272">
        <f>'NIR faktorer'!D955</f>
        <v>345000</v>
      </c>
      <c r="E101" s="1272">
        <f>'NIR faktorer'!D986</f>
        <v>1091000</v>
      </c>
      <c r="F101" s="1272">
        <f>'NIR faktorer'!D1017</f>
        <v>242300</v>
      </c>
      <c r="G101" s="1224">
        <f t="shared" si="18"/>
        <v>1193700</v>
      </c>
      <c r="H101" s="1222">
        <f t="shared" si="23"/>
        <v>3437739.3164627571</v>
      </c>
      <c r="I101" s="1222">
        <f t="shared" si="19"/>
        <v>1918.6919728014618</v>
      </c>
      <c r="J101" s="1029">
        <v>0.38600000000000001</v>
      </c>
      <c r="K101" s="1222">
        <f t="shared" si="24"/>
        <v>740.61510150136428</v>
      </c>
      <c r="L101" s="1222">
        <v>5475791</v>
      </c>
      <c r="M101" s="1029">
        <f t="shared" si="20"/>
        <v>1.3525262405036356E-4</v>
      </c>
      <c r="N101" s="1022">
        <f t="shared" si="25"/>
        <v>2003</v>
      </c>
      <c r="O101" s="1222">
        <f t="shared" si="21"/>
        <v>0.2709110059728782</v>
      </c>
      <c r="P101" s="1227">
        <f t="shared" si="22"/>
        <v>-0.99334035523388675</v>
      </c>
    </row>
    <row r="102" spans="1:16" x14ac:dyDescent="0.25">
      <c r="C102" s="1226">
        <f>'NIR faktorer'!B956</f>
        <v>1995</v>
      </c>
      <c r="D102" s="1272">
        <f>'NIR faktorer'!D956</f>
        <v>345000</v>
      </c>
      <c r="E102" s="1272">
        <f>'NIR faktorer'!D987</f>
        <v>1044000</v>
      </c>
      <c r="F102" s="1272">
        <f>'NIR faktorer'!D1018</f>
        <v>241500</v>
      </c>
      <c r="G102" s="1224">
        <f t="shared" si="18"/>
        <v>1147500</v>
      </c>
      <c r="H102" s="1222">
        <f t="shared" si="23"/>
        <v>3439658.0084355585</v>
      </c>
      <c r="I102" s="1222">
        <f t="shared" si="19"/>
        <v>-37687.416807620786</v>
      </c>
      <c r="J102" s="1029">
        <v>0.38600000000000001</v>
      </c>
      <c r="K102" s="1222">
        <f t="shared" si="24"/>
        <v>-14547.342887741625</v>
      </c>
      <c r="L102" s="1222">
        <v>5475791</v>
      </c>
      <c r="M102" s="1029">
        <f t="shared" si="20"/>
        <v>-2.6566651078796882E-3</v>
      </c>
      <c r="N102" s="1022">
        <f t="shared" si="25"/>
        <v>2003</v>
      </c>
      <c r="O102" s="1222">
        <f t="shared" si="21"/>
        <v>-5.321300211083015</v>
      </c>
      <c r="P102" s="1227">
        <f t="shared" si="22"/>
        <v>19.511434107304389</v>
      </c>
    </row>
    <row r="103" spans="1:16" x14ac:dyDescent="0.25">
      <c r="C103" s="1226">
        <f>'NIR faktorer'!B957</f>
        <v>1996</v>
      </c>
      <c r="D103" s="1272">
        <f>'NIR faktorer'!D957</f>
        <v>345000</v>
      </c>
      <c r="E103" s="1272">
        <f>'NIR faktorer'!D988</f>
        <v>1047000</v>
      </c>
      <c r="F103" s="1272">
        <f>'NIR faktorer'!D1019</f>
        <v>241000</v>
      </c>
      <c r="G103" s="1224">
        <f t="shared" si="18"/>
        <v>1151000</v>
      </c>
      <c r="H103" s="1222">
        <f t="shared" si="23"/>
        <v>3401970.5916279377</v>
      </c>
      <c r="I103" s="1222">
        <f t="shared" si="19"/>
        <v>-23691.138830027543</v>
      </c>
      <c r="J103" s="1029">
        <v>0.38600000000000001</v>
      </c>
      <c r="K103" s="1222">
        <f t="shared" si="24"/>
        <v>-9144.779588390631</v>
      </c>
      <c r="L103" s="1222">
        <v>5475791</v>
      </c>
      <c r="M103" s="1029">
        <f t="shared" si="20"/>
        <v>-1.6700380983113911E-3</v>
      </c>
      <c r="N103" s="1022">
        <f t="shared" si="25"/>
        <v>2003</v>
      </c>
      <c r="O103" s="1222">
        <f t="shared" si="21"/>
        <v>-3.3450863109177162</v>
      </c>
      <c r="P103" s="1227">
        <f t="shared" si="22"/>
        <v>12.26531647336496</v>
      </c>
    </row>
    <row r="104" spans="1:16" x14ac:dyDescent="0.25">
      <c r="C104" s="1226">
        <f>'NIR faktorer'!B958</f>
        <v>1997</v>
      </c>
      <c r="D104" s="1272">
        <f>'NIR faktorer'!D958</f>
        <v>391000</v>
      </c>
      <c r="E104" s="1272">
        <f>'NIR faktorer'!D989</f>
        <v>1147300</v>
      </c>
      <c r="F104" s="1272">
        <f>'NIR faktorer'!D1020</f>
        <v>251500</v>
      </c>
      <c r="G104" s="1224">
        <f t="shared" si="18"/>
        <v>1286800</v>
      </c>
      <c r="H104" s="1222">
        <f t="shared" si="23"/>
        <v>3378279.4527979102</v>
      </c>
      <c r="I104" s="1222">
        <f t="shared" si="19"/>
        <v>98013.934489009902</v>
      </c>
      <c r="J104" s="1029">
        <v>0.38600000000000001</v>
      </c>
      <c r="K104" s="1222">
        <f t="shared" si="24"/>
        <v>37833.378712757825</v>
      </c>
      <c r="L104" s="1222">
        <v>5475791</v>
      </c>
      <c r="M104" s="1029">
        <f t="shared" si="20"/>
        <v>6.9092079505514046E-3</v>
      </c>
      <c r="N104" s="1022">
        <f t="shared" si="25"/>
        <v>2003</v>
      </c>
      <c r="O104" s="1222">
        <f t="shared" si="21"/>
        <v>13.839143524954464</v>
      </c>
      <c r="P104" s="1227">
        <f t="shared" si="22"/>
        <v>-50.743526258166362</v>
      </c>
    </row>
    <row r="105" spans="1:16" x14ac:dyDescent="0.25">
      <c r="C105" s="1226">
        <f>'NIR faktorer'!B959</f>
        <v>1998</v>
      </c>
      <c r="D105" s="1272">
        <f>'NIR faktorer'!D959</f>
        <v>393000</v>
      </c>
      <c r="E105" s="1272">
        <f>'NIR faktorer'!D990</f>
        <v>1154000</v>
      </c>
      <c r="F105" s="1272">
        <f>'NIR faktorer'!D1021</f>
        <v>236000</v>
      </c>
      <c r="G105" s="1224">
        <f t="shared" si="18"/>
        <v>1311000</v>
      </c>
      <c r="H105" s="1222">
        <f t="shared" si="23"/>
        <v>3476293.3872869201</v>
      </c>
      <c r="I105" s="1222">
        <f t="shared" si="19"/>
        <v>89758.008491693996</v>
      </c>
      <c r="J105" s="1029">
        <v>0.38600000000000001</v>
      </c>
      <c r="K105" s="1222">
        <f t="shared" si="24"/>
        <v>34646.591277793887</v>
      </c>
      <c r="L105" s="1222">
        <v>5475791</v>
      </c>
      <c r="M105" s="1029">
        <f t="shared" si="20"/>
        <v>6.3272303997347389E-3</v>
      </c>
      <c r="N105" s="1022">
        <f t="shared" si="25"/>
        <v>2003</v>
      </c>
      <c r="O105" s="1222">
        <f t="shared" si="21"/>
        <v>12.673442490668682</v>
      </c>
      <c r="P105" s="1227">
        <f t="shared" si="22"/>
        <v>-46.469289132451841</v>
      </c>
    </row>
    <row r="106" spans="1:16" x14ac:dyDescent="0.25">
      <c r="C106" s="1226">
        <f>'NIR faktorer'!B960</f>
        <v>1999</v>
      </c>
      <c r="D106" s="1272">
        <f>'NIR faktorer'!D960</f>
        <v>397000</v>
      </c>
      <c r="E106" s="1272">
        <f>'NIR faktorer'!D991</f>
        <v>1185000</v>
      </c>
      <c r="F106" s="1272">
        <f>'NIR faktorer'!D1022</f>
        <v>254000</v>
      </c>
      <c r="G106" s="1224">
        <f t="shared" si="18"/>
        <v>1328000</v>
      </c>
      <c r="H106" s="1222">
        <f t="shared" si="23"/>
        <v>3566051.3957786141</v>
      </c>
      <c r="I106" s="1222">
        <f t="shared" si="19"/>
        <v>77835.38667621091</v>
      </c>
      <c r="J106" s="1029">
        <v>0.38600000000000001</v>
      </c>
      <c r="K106" s="1222">
        <f t="shared" si="24"/>
        <v>30044.459257017414</v>
      </c>
      <c r="L106" s="1222">
        <v>5475791</v>
      </c>
      <c r="M106" s="1029">
        <f t="shared" si="20"/>
        <v>5.4867797651549184E-3</v>
      </c>
      <c r="N106" s="1022">
        <f t="shared" si="25"/>
        <v>2003</v>
      </c>
      <c r="O106" s="1222">
        <f t="shared" si="21"/>
        <v>10.990019869605302</v>
      </c>
      <c r="P106" s="1227">
        <f t="shared" si="22"/>
        <v>-40.296739521886103</v>
      </c>
    </row>
    <row r="107" spans="1:16" x14ac:dyDescent="0.25">
      <c r="C107" s="1226">
        <f>'NIR faktorer'!B961</f>
        <v>2000</v>
      </c>
      <c r="D107" s="1272">
        <f>'NIR faktorer'!D961</f>
        <v>263000</v>
      </c>
      <c r="E107" s="1272">
        <f>'NIR faktorer'!D992</f>
        <v>1151000</v>
      </c>
      <c r="F107" s="1272">
        <f>'NIR faktorer'!D1023</f>
        <v>239270</v>
      </c>
      <c r="G107" s="1224">
        <f t="shared" si="18"/>
        <v>1174730</v>
      </c>
      <c r="H107" s="1222">
        <f t="shared" si="23"/>
        <v>3643886.782454825</v>
      </c>
      <c r="I107" s="1222">
        <f t="shared" si="19"/>
        <v>-74492.26213929709</v>
      </c>
      <c r="J107" s="1029">
        <v>0.38600000000000001</v>
      </c>
      <c r="K107" s="1222">
        <f t="shared" si="24"/>
        <v>-28754.013185768679</v>
      </c>
      <c r="L107" s="1222">
        <v>5475791</v>
      </c>
      <c r="M107" s="1029">
        <f t="shared" si="20"/>
        <v>-5.2511159001080721E-3</v>
      </c>
      <c r="N107" s="1022">
        <f t="shared" si="25"/>
        <v>2003</v>
      </c>
      <c r="O107" s="1222">
        <f t="shared" si="21"/>
        <v>-10.517985147916468</v>
      </c>
      <c r="P107" s="1227">
        <f t="shared" si="22"/>
        <v>38.565945542360382</v>
      </c>
    </row>
    <row r="108" spans="1:16" x14ac:dyDescent="0.25">
      <c r="C108" s="1226">
        <f>'NIR faktorer'!B962</f>
        <v>2001</v>
      </c>
      <c r="D108" s="1272">
        <f>'NIR faktorer'!D962</f>
        <v>389000</v>
      </c>
      <c r="E108" s="1272">
        <f>'NIR faktorer'!D993</f>
        <v>1139150</v>
      </c>
      <c r="F108" s="1272">
        <f>'NIR faktorer'!D1024</f>
        <v>200170</v>
      </c>
      <c r="G108" s="1224">
        <f t="shared" si="18"/>
        <v>1327980</v>
      </c>
      <c r="H108" s="1222">
        <f t="shared" si="23"/>
        <v>3569394.5203155279</v>
      </c>
      <c r="I108" s="1222">
        <f t="shared" si="19"/>
        <v>76839.305945928209</v>
      </c>
      <c r="J108" s="1029">
        <v>0.38600000000000001</v>
      </c>
      <c r="K108" s="1222">
        <f t="shared" si="24"/>
        <v>29659.972095128291</v>
      </c>
      <c r="L108" s="1222">
        <v>5475791</v>
      </c>
      <c r="M108" s="1029">
        <f t="shared" si="20"/>
        <v>5.4165639439358246E-3</v>
      </c>
      <c r="N108" s="1022">
        <f t="shared" si="25"/>
        <v>2003</v>
      </c>
      <c r="O108" s="1222">
        <f t="shared" si="21"/>
        <v>10.849377579703457</v>
      </c>
      <c r="P108" s="1227">
        <f t="shared" si="22"/>
        <v>-39.781051125579346</v>
      </c>
    </row>
    <row r="109" spans="1:16" x14ac:dyDescent="0.25">
      <c r="C109" s="1226">
        <f>'NIR faktorer'!B963</f>
        <v>2002</v>
      </c>
      <c r="D109" s="1272">
        <f>'NIR faktorer'!D963</f>
        <v>383728</v>
      </c>
      <c r="E109" s="1272">
        <f>'NIR faktorer'!D994</f>
        <v>1138274</v>
      </c>
      <c r="F109" s="1272">
        <f>'NIR faktorer'!D1025</f>
        <v>239011</v>
      </c>
      <c r="G109" s="1224">
        <f t="shared" si="18"/>
        <v>1282991</v>
      </c>
      <c r="H109" s="1222">
        <f t="shared" si="23"/>
        <v>3646233.8262614561</v>
      </c>
      <c r="I109" s="1222">
        <f t="shared" si="19"/>
        <v>16312.887032812461</v>
      </c>
      <c r="J109" s="1029">
        <v>0.38600000000000001</v>
      </c>
      <c r="K109" s="1222">
        <f t="shared" si="24"/>
        <v>6296.7743946656101</v>
      </c>
      <c r="L109" s="1222">
        <v>5475791</v>
      </c>
      <c r="M109" s="1029">
        <f t="shared" si="20"/>
        <v>1.1499296438935689E-3</v>
      </c>
      <c r="N109" s="1022">
        <f t="shared" si="25"/>
        <v>2003</v>
      </c>
      <c r="O109" s="1222">
        <f t="shared" si="21"/>
        <v>2.3033090767188185</v>
      </c>
      <c r="P109" s="1227">
        <f t="shared" si="22"/>
        <v>-8.4454666146356683</v>
      </c>
    </row>
    <row r="110" spans="1:16" x14ac:dyDescent="0.25">
      <c r="C110" s="1226">
        <f>'NIR faktorer'!B964</f>
        <v>2003</v>
      </c>
      <c r="D110" s="1272">
        <f>'NIR faktorer'!D964</f>
        <v>388331</v>
      </c>
      <c r="E110" s="1272">
        <f>'NIR faktorer'!D995</f>
        <v>1165920</v>
      </c>
      <c r="F110" s="1272">
        <f>'NIR faktorer'!D1026</f>
        <v>230331</v>
      </c>
      <c r="G110" s="1224">
        <f t="shared" si="18"/>
        <v>1323920</v>
      </c>
      <c r="H110" s="1222">
        <f t="shared" si="23"/>
        <v>3662546.7132942686</v>
      </c>
      <c r="I110" s="1222">
        <f t="shared" si="19"/>
        <v>46124.508879200555</v>
      </c>
      <c r="J110" s="1029">
        <v>0.38600000000000001</v>
      </c>
      <c r="K110" s="1222">
        <f t="shared" si="24"/>
        <v>17804.060427371416</v>
      </c>
      <c r="L110" s="1222">
        <v>5475791</v>
      </c>
      <c r="M110" s="1029">
        <f t="shared" si="20"/>
        <v>3.2514134354966096E-3</v>
      </c>
      <c r="N110" s="1022">
        <f t="shared" si="25"/>
        <v>2003</v>
      </c>
      <c r="O110" s="1222">
        <f t="shared" si="21"/>
        <v>6.512581111299709</v>
      </c>
      <c r="P110" s="1227">
        <f t="shared" si="22"/>
        <v>-23.879464074765597</v>
      </c>
    </row>
    <row r="111" spans="1:16" x14ac:dyDescent="0.25">
      <c r="C111" s="1226">
        <f>'NIR faktorer'!B965</f>
        <v>2004</v>
      </c>
      <c r="D111" s="1272">
        <f>'NIR faktorer'!D965</f>
        <v>402043</v>
      </c>
      <c r="E111" s="1272">
        <f>'NIR faktorer'!D996</f>
        <v>1219631</v>
      </c>
      <c r="F111" s="1272">
        <f>'NIR faktorer'!D1027</f>
        <v>275522</v>
      </c>
      <c r="G111" s="1224">
        <f t="shared" si="18"/>
        <v>1346152</v>
      </c>
      <c r="H111" s="1222">
        <f t="shared" si="23"/>
        <v>3708671.2221734691</v>
      </c>
      <c r="I111" s="1222">
        <f t="shared" si="19"/>
        <v>51403.464951989241</v>
      </c>
      <c r="J111" s="1029">
        <v>0.38600000000000001</v>
      </c>
      <c r="K111" s="1222">
        <f t="shared" si="24"/>
        <v>19841.737471467848</v>
      </c>
      <c r="L111" s="1222">
        <v>5475791</v>
      </c>
      <c r="M111" s="1029">
        <f t="shared" si="20"/>
        <v>3.6235381283668145E-3</v>
      </c>
      <c r="N111" s="1022">
        <f t="shared" si="25"/>
        <v>2003</v>
      </c>
      <c r="O111" s="1222">
        <f t="shared" si="21"/>
        <v>7.2579468711187296</v>
      </c>
      <c r="P111" s="1227">
        <f t="shared" si="22"/>
        <v>-26.612471860768675</v>
      </c>
    </row>
    <row r="112" spans="1:16" x14ac:dyDescent="0.25">
      <c r="C112" s="1226">
        <f>'NIR faktorer'!B966</f>
        <v>2005</v>
      </c>
      <c r="D112" s="1272">
        <f>'NIR faktorer'!D966</f>
        <v>422624</v>
      </c>
      <c r="E112" s="1272">
        <f>'NIR faktorer'!D997</f>
        <v>1207876</v>
      </c>
      <c r="F112" s="1272">
        <f>'NIR faktorer'!D1028</f>
        <v>307525</v>
      </c>
      <c r="G112" s="1224">
        <f t="shared" si="18"/>
        <v>1322975</v>
      </c>
      <c r="H112" s="1222">
        <f t="shared" si="23"/>
        <v>3760074.6871254584</v>
      </c>
      <c r="I112" s="1222">
        <f t="shared" si="19"/>
        <v>16760.596626216546</v>
      </c>
      <c r="J112" s="1029">
        <v>0.38600000000000001</v>
      </c>
      <c r="K112" s="1222">
        <f t="shared" si="24"/>
        <v>6469.5902977195865</v>
      </c>
      <c r="L112" s="1222">
        <v>5475791</v>
      </c>
      <c r="M112" s="1029">
        <f t="shared" si="20"/>
        <v>1.181489632770788E-3</v>
      </c>
      <c r="N112" s="1022">
        <f t="shared" si="25"/>
        <v>2003</v>
      </c>
      <c r="O112" s="1222">
        <f t="shared" si="21"/>
        <v>2.3665237344398884</v>
      </c>
      <c r="P112" s="1227">
        <f t="shared" si="22"/>
        <v>-8.6772536929462571</v>
      </c>
    </row>
    <row r="113" spans="1:18" x14ac:dyDescent="0.25">
      <c r="C113" s="1226">
        <f>'NIR faktorer'!B967</f>
        <v>2006</v>
      </c>
      <c r="D113" s="1272">
        <f>'NIR faktorer'!D967</f>
        <v>441917</v>
      </c>
      <c r="E113" s="1272">
        <f>'NIR faktorer'!D998</f>
        <v>1205837</v>
      </c>
      <c r="F113" s="1272">
        <f>'NIR faktorer'!D1029</f>
        <v>266551</v>
      </c>
      <c r="G113" s="1224">
        <f t="shared" si="18"/>
        <v>1381203</v>
      </c>
      <c r="H113" s="1222">
        <f t="shared" si="23"/>
        <v>3776835.2837516749</v>
      </c>
      <c r="I113" s="1222">
        <f t="shared" si="19"/>
        <v>61060.665820020251</v>
      </c>
      <c r="J113" s="1029">
        <v>0.38600000000000001</v>
      </c>
      <c r="K113" s="1222">
        <f t="shared" si="24"/>
        <v>23569.417006527816</v>
      </c>
      <c r="L113" s="1222">
        <v>5475791</v>
      </c>
      <c r="M113" s="1029">
        <f t="shared" si="20"/>
        <v>4.3042944857697848E-3</v>
      </c>
      <c r="N113" s="1022">
        <f t="shared" si="25"/>
        <v>2003</v>
      </c>
      <c r="O113" s="1222">
        <f t="shared" si="21"/>
        <v>8.6215018549968789</v>
      </c>
      <c r="P113" s="1227">
        <f t="shared" si="22"/>
        <v>-31.612173468321888</v>
      </c>
    </row>
    <row r="114" spans="1:18" ht="16.5" customHeight="1" x14ac:dyDescent="0.25">
      <c r="C114" s="1226">
        <f>'NIR faktorer'!B968</f>
        <v>2007</v>
      </c>
      <c r="D114" s="1272">
        <f>'NIR faktorer'!D968</f>
        <v>416936</v>
      </c>
      <c r="E114" s="1272">
        <f>'NIR faktorer'!D999</f>
        <v>1302009</v>
      </c>
      <c r="F114" s="1272">
        <f>'NIR faktorer'!D1030</f>
        <v>264939</v>
      </c>
      <c r="G114" s="1224">
        <f t="shared" si="18"/>
        <v>1454006</v>
      </c>
      <c r="H114" s="1222">
        <f t="shared" si="23"/>
        <v>3837895.9495716952</v>
      </c>
      <c r="I114" s="1222">
        <f t="shared" si="19"/>
        <v>104703.04072760791</v>
      </c>
      <c r="J114" s="1029">
        <v>0.38600000000000001</v>
      </c>
      <c r="K114" s="1222">
        <f t="shared" si="24"/>
        <v>40415.373720856653</v>
      </c>
      <c r="L114" s="1222">
        <v>5475791</v>
      </c>
      <c r="M114" s="1029">
        <f t="shared" si="20"/>
        <v>7.380737088186283E-3</v>
      </c>
      <c r="N114" s="1022">
        <f>$N$115</f>
        <v>2003</v>
      </c>
      <c r="O114" s="1222">
        <f t="shared" si="21"/>
        <v>14.783616387637124</v>
      </c>
      <c r="P114" s="1227">
        <f t="shared" si="22"/>
        <v>-54.206593421336123</v>
      </c>
    </row>
    <row r="115" spans="1:18" x14ac:dyDescent="0.25">
      <c r="C115" s="1226">
        <f>'NIR faktorer'!B969</f>
        <v>2008</v>
      </c>
      <c r="D115" s="1272">
        <f>'NIR faktorer'!D969</f>
        <v>417936</v>
      </c>
      <c r="E115" s="1272">
        <f>'NIR faktorer'!D1000</f>
        <v>1208739</v>
      </c>
      <c r="F115" s="1272">
        <f>'NIR faktorer'!D1031</f>
        <v>253737</v>
      </c>
      <c r="G115" s="1224">
        <f t="shared" si="18"/>
        <v>1372938</v>
      </c>
      <c r="H115" s="1222">
        <f t="shared" si="23"/>
        <v>3942598.9902993031</v>
      </c>
      <c r="I115" s="1222">
        <f t="shared" si="19"/>
        <v>5524.7562731867656</v>
      </c>
      <c r="J115" s="1029">
        <v>0.38600000000000001</v>
      </c>
      <c r="K115" s="1222">
        <f t="shared" si="24"/>
        <v>2132.5559214500918</v>
      </c>
      <c r="L115" s="1222" cm="1">
        <f t="array" ref="L115:L126">TRANSPOSE(FOLK1A!B4:M4)</f>
        <v>5475791</v>
      </c>
      <c r="M115" s="1029">
        <f t="shared" si="20"/>
        <v>3.8945166487363957E-4</v>
      </c>
      <c r="N115" s="1022" cm="1">
        <f t="array" ref="N115:N126">TRANSPOSE(FOLK1A!B6:M6)</f>
        <v>2003</v>
      </c>
      <c r="O115" s="1222">
        <f t="shared" si="21"/>
        <v>0.78007168474190003</v>
      </c>
      <c r="P115" s="1227">
        <f t="shared" si="22"/>
        <v>-2.8602628440536333</v>
      </c>
      <c r="R115" s="1213"/>
    </row>
    <row r="116" spans="1:18" x14ac:dyDescent="0.25">
      <c r="C116" s="1226">
        <f>'NIR faktorer'!B970</f>
        <v>2009</v>
      </c>
      <c r="D116" s="1272">
        <f>'NIR faktorer'!D970</f>
        <v>518936</v>
      </c>
      <c r="E116" s="1272">
        <f>'NIR faktorer'!D1001</f>
        <v>980856</v>
      </c>
      <c r="F116" s="1272">
        <f>'NIR faktorer'!D1032</f>
        <v>238827</v>
      </c>
      <c r="G116" s="1224">
        <f t="shared" si="18"/>
        <v>1260965</v>
      </c>
      <c r="H116" s="1222">
        <f t="shared" si="23"/>
        <v>3948123.7465724899</v>
      </c>
      <c r="I116" s="1222">
        <f t="shared" si="19"/>
        <v>-90723.042494181544</v>
      </c>
      <c r="J116" s="1029">
        <v>0.38600000000000001</v>
      </c>
      <c r="K116" s="1222">
        <f t="shared" si="24"/>
        <v>-35019.094402754075</v>
      </c>
      <c r="L116" s="1222">
        <v>5511451</v>
      </c>
      <c r="M116" s="1029">
        <f t="shared" si="20"/>
        <v>-6.3538792965326324E-3</v>
      </c>
      <c r="N116" s="1022">
        <v>1993</v>
      </c>
      <c r="O116" s="1222">
        <f t="shared" si="21"/>
        <v>-12.663281437989536</v>
      </c>
      <c r="P116" s="1227">
        <f t="shared" si="22"/>
        <v>46.432031939294966</v>
      </c>
      <c r="R116" s="1213"/>
    </row>
    <row r="117" spans="1:18" x14ac:dyDescent="0.25">
      <c r="C117" s="1226">
        <f>'NIR faktorer'!B971</f>
        <v>2010</v>
      </c>
      <c r="D117" s="1272">
        <f>'NIR faktorer'!D971</f>
        <v>534932</v>
      </c>
      <c r="E117" s="1272">
        <f>'NIR faktorer'!D1002</f>
        <v>1026095</v>
      </c>
      <c r="F117" s="1272">
        <f>'NIR faktorer'!D1033</f>
        <v>233427</v>
      </c>
      <c r="G117" s="1224">
        <f t="shared" si="18"/>
        <v>1327600</v>
      </c>
      <c r="H117" s="1222">
        <f t="shared" si="23"/>
        <v>3857400.7040783083</v>
      </c>
      <c r="I117" s="1222">
        <f t="shared" si="19"/>
        <v>-7836.8945061932318</v>
      </c>
      <c r="J117" s="1029">
        <v>0.38600000000000001</v>
      </c>
      <c r="K117" s="1222">
        <f t="shared" si="24"/>
        <v>-3025.0412793905875</v>
      </c>
      <c r="L117" s="1222">
        <v>5534738</v>
      </c>
      <c r="M117" s="1029">
        <f t="shared" si="20"/>
        <v>-5.4655546105174041E-4</v>
      </c>
      <c r="N117" s="1022">
        <v>1969</v>
      </c>
      <c r="O117" s="1222">
        <f t="shared" si="21"/>
        <v>-1.0761677028108769</v>
      </c>
      <c r="P117" s="1227">
        <f t="shared" si="22"/>
        <v>3.9459482436398816</v>
      </c>
      <c r="R117" s="1213"/>
    </row>
    <row r="118" spans="1:18" x14ac:dyDescent="0.25">
      <c r="C118" s="1226">
        <f>'NIR faktorer'!B972</f>
        <v>2011</v>
      </c>
      <c r="D118" s="1272">
        <f>'NIR faktorer'!D972</f>
        <v>522699</v>
      </c>
      <c r="E118" s="1272">
        <f>'NIR faktorer'!D1003</f>
        <v>993767</v>
      </c>
      <c r="F118" s="1272">
        <f>'NIR faktorer'!D1034</f>
        <v>254882</v>
      </c>
      <c r="G118" s="1224">
        <f t="shared" si="18"/>
        <v>1261584</v>
      </c>
      <c r="H118" s="1222">
        <f t="shared" si="23"/>
        <v>3849563.8095721151</v>
      </c>
      <c r="I118" s="1222">
        <f t="shared" si="19"/>
        <v>-61332.381474357564</v>
      </c>
      <c r="J118" s="1029">
        <v>0.38600000000000001</v>
      </c>
      <c r="K118" s="1222">
        <f t="shared" si="24"/>
        <v>-23674.29924910202</v>
      </c>
      <c r="L118" s="1222">
        <v>5560628</v>
      </c>
      <c r="M118" s="1029">
        <f t="shared" si="20"/>
        <v>-4.2574866092646409E-3</v>
      </c>
      <c r="N118" s="1022">
        <v>1949</v>
      </c>
      <c r="O118" s="1222">
        <f t="shared" si="21"/>
        <v>-8.2978414014567843</v>
      </c>
      <c r="P118" s="1227">
        <f t="shared" si="22"/>
        <v>30.425418472008207</v>
      </c>
      <c r="R118" s="1213"/>
    </row>
    <row r="119" spans="1:18" x14ac:dyDescent="0.25">
      <c r="C119" s="1226">
        <f>'NIR faktorer'!B973</f>
        <v>2012</v>
      </c>
      <c r="D119" s="1272">
        <f>'NIR faktorer'!D973</f>
        <v>522110</v>
      </c>
      <c r="E119" s="1272">
        <f>'NIR faktorer'!D1004</f>
        <v>727965</v>
      </c>
      <c r="F119" s="1272">
        <f>'NIR faktorer'!D1035</f>
        <v>155479</v>
      </c>
      <c r="G119" s="1224">
        <f t="shared" si="18"/>
        <v>1094596</v>
      </c>
      <c r="H119" s="1222">
        <f t="shared" si="23"/>
        <v>3788231.4280977575</v>
      </c>
      <c r="I119" s="1222">
        <f t="shared" si="19"/>
        <v>-184491.9700061609</v>
      </c>
      <c r="J119" s="1029">
        <v>0.38600000000000001</v>
      </c>
      <c r="K119" s="1222">
        <f t="shared" si="24"/>
        <v>-71213.900422378108</v>
      </c>
      <c r="L119" s="1222">
        <v>5580516</v>
      </c>
      <c r="M119" s="1029">
        <f t="shared" si="20"/>
        <v>-1.2761167680977549E-2</v>
      </c>
      <c r="N119" s="1022">
        <v>1897</v>
      </c>
      <c r="O119" s="1222">
        <f t="shared" si="21"/>
        <v>-24.207935090814409</v>
      </c>
      <c r="P119" s="1227">
        <f t="shared" si="22"/>
        <v>88.762428666319508</v>
      </c>
      <c r="R119" s="1213"/>
    </row>
    <row r="120" spans="1:18" x14ac:dyDescent="0.25">
      <c r="C120" s="1226">
        <f>'NIR faktorer'!B974</f>
        <v>2013</v>
      </c>
      <c r="D120" s="1272">
        <f>'NIR faktorer'!D974</f>
        <v>522110</v>
      </c>
      <c r="E120" s="1272">
        <f>'NIR faktorer'!D1005</f>
        <v>761665</v>
      </c>
      <c r="F120" s="1272">
        <f>'NIR faktorer'!D1036</f>
        <v>127898</v>
      </c>
      <c r="G120" s="1224">
        <f t="shared" si="18"/>
        <v>1155877</v>
      </c>
      <c r="H120" s="1222">
        <f t="shared" si="23"/>
        <v>3603739.4580915966</v>
      </c>
      <c r="I120" s="1222">
        <f t="shared" si="19"/>
        <v>-78666.264318184461</v>
      </c>
      <c r="J120" s="1029">
        <v>0.38600000000000001</v>
      </c>
      <c r="K120" s="1222">
        <f t="shared" si="24"/>
        <v>-30365.178026819201</v>
      </c>
      <c r="L120" s="1222">
        <v>5602628</v>
      </c>
      <c r="M120" s="1029">
        <f t="shared" si="20"/>
        <v>-5.4198097797710648E-3</v>
      </c>
      <c r="N120" s="1022">
        <v>1839</v>
      </c>
      <c r="O120" s="1222">
        <f t="shared" si="21"/>
        <v>-9.967030184998988</v>
      </c>
      <c r="P120" s="1227">
        <f t="shared" si="22"/>
        <v>36.545777344996289</v>
      </c>
      <c r="R120" s="1213"/>
    </row>
    <row r="121" spans="1:18" x14ac:dyDescent="0.25">
      <c r="C121" s="1226">
        <f>'NIR faktorer'!B975</f>
        <v>2014</v>
      </c>
      <c r="D121" s="1272">
        <f>'NIR faktorer'!D975</f>
        <v>522110</v>
      </c>
      <c r="E121" s="1272">
        <f>'NIR faktorer'!D1006</f>
        <v>761665</v>
      </c>
      <c r="F121" s="1272">
        <f>'NIR faktorer'!D1037</f>
        <v>127898</v>
      </c>
      <c r="G121" s="1224">
        <f t="shared" si="18"/>
        <v>1155877</v>
      </c>
      <c r="H121" s="1222">
        <f t="shared" si="23"/>
        <v>3525073.1937734121</v>
      </c>
      <c r="I121" s="1222">
        <f t="shared" si="19"/>
        <v>-55625.448950001504</v>
      </c>
      <c r="J121" s="1029">
        <v>0.38600000000000001</v>
      </c>
      <c r="K121" s="1222">
        <f t="shared" si="24"/>
        <v>-21471.42329470058</v>
      </c>
      <c r="L121" s="1222">
        <v>5627235</v>
      </c>
      <c r="M121" s="1029">
        <f t="shared" si="20"/>
        <v>-3.8156258437226417E-3</v>
      </c>
      <c r="N121" s="1022">
        <v>1808</v>
      </c>
      <c r="O121" s="1222">
        <f t="shared" si="21"/>
        <v>-6.8986515254505365</v>
      </c>
      <c r="P121" s="1227">
        <f t="shared" si="22"/>
        <v>25.295055593318633</v>
      </c>
      <c r="R121" s="1213"/>
    </row>
    <row r="122" spans="1:18" x14ac:dyDescent="0.25">
      <c r="C122" s="1226">
        <f>'NIR faktorer'!B976</f>
        <v>2015</v>
      </c>
      <c r="D122" s="1272">
        <f>'NIR faktorer'!D976</f>
        <v>481520</v>
      </c>
      <c r="E122" s="1272">
        <f>'NIR faktorer'!D1007</f>
        <v>761665</v>
      </c>
      <c r="F122" s="1272">
        <f>'NIR faktorer'!D1038</f>
        <v>127898</v>
      </c>
      <c r="G122" s="1224">
        <f t="shared" si="18"/>
        <v>1115287</v>
      </c>
      <c r="H122" s="1222">
        <f t="shared" si="23"/>
        <v>3469447.7448234106</v>
      </c>
      <c r="I122" s="1222">
        <f t="shared" si="19"/>
        <v>-73636.195303731132</v>
      </c>
      <c r="J122" s="1029">
        <v>0.38600000000000001</v>
      </c>
      <c r="K122" s="1222">
        <f t="shared" si="24"/>
        <v>-28423.571387240219</v>
      </c>
      <c r="L122" s="1222">
        <v>5659715</v>
      </c>
      <c r="M122" s="1029">
        <f t="shared" si="20"/>
        <v>-5.0220852794248859E-3</v>
      </c>
      <c r="N122" s="1022">
        <v>1795</v>
      </c>
      <c r="O122" s="1222">
        <f t="shared" si="21"/>
        <v>-9.0146430765676708</v>
      </c>
      <c r="P122" s="1227">
        <f t="shared" si="22"/>
        <v>33.053691280748126</v>
      </c>
      <c r="R122" s="1213"/>
    </row>
    <row r="123" spans="1:18" ht="14.45" customHeight="1" x14ac:dyDescent="0.25">
      <c r="C123" s="1226">
        <f>'NIR faktorer'!B977</f>
        <v>2016</v>
      </c>
      <c r="D123" s="1272">
        <f>'NIR faktorer'!D977</f>
        <v>481520</v>
      </c>
      <c r="E123" s="1272">
        <f>'NIR faktorer'!D1008</f>
        <v>761665</v>
      </c>
      <c r="F123" s="1272">
        <f>'NIR faktorer'!D1039</f>
        <v>127898</v>
      </c>
      <c r="G123" s="1224">
        <f t="shared" si="18"/>
        <v>1115287</v>
      </c>
      <c r="H123" s="1222">
        <f t="shared" si="23"/>
        <v>3395811.5495196795</v>
      </c>
      <c r="I123" s="1222">
        <f t="shared" si="19"/>
        <v>-52068.653040044941</v>
      </c>
      <c r="J123" s="1029">
        <v>0.38600000000000001</v>
      </c>
      <c r="K123" s="1222">
        <f t="shared" si="24"/>
        <v>-20098.500073457348</v>
      </c>
      <c r="L123" s="1222">
        <v>5707251</v>
      </c>
      <c r="M123" s="1029">
        <f t="shared" si="20"/>
        <v>-3.521572833130582E-3</v>
      </c>
      <c r="N123" s="1022">
        <v>1817</v>
      </c>
      <c r="O123" s="1222">
        <f t="shared" si="21"/>
        <v>-6.3986978377982675</v>
      </c>
      <c r="P123" s="1227">
        <f t="shared" si="22"/>
        <v>23.461892071926982</v>
      </c>
      <c r="R123" s="1213"/>
    </row>
    <row r="124" spans="1:18" x14ac:dyDescent="0.25">
      <c r="C124" s="1226">
        <f>'NIR faktorer'!B978</f>
        <v>2017</v>
      </c>
      <c r="D124" s="1272">
        <f>'NIR faktorer'!D978</f>
        <v>147000</v>
      </c>
      <c r="E124" s="1272">
        <f>'NIR faktorer'!D1009</f>
        <v>873067</v>
      </c>
      <c r="F124" s="1272">
        <f>'NIR faktorer'!D1040</f>
        <v>115996</v>
      </c>
      <c r="G124" s="1224">
        <f t="shared" si="18"/>
        <v>904071</v>
      </c>
      <c r="H124" s="1222">
        <f t="shared" si="23"/>
        <v>3343742.8964796346</v>
      </c>
      <c r="I124" s="1222">
        <f t="shared" si="19"/>
        <v>-215319.10245989682</v>
      </c>
      <c r="J124" s="1029">
        <v>0.38600000000000001</v>
      </c>
      <c r="K124" s="1222">
        <f t="shared" si="24"/>
        <v>-83113.173549520172</v>
      </c>
      <c r="L124" s="1222">
        <v>5748769</v>
      </c>
      <c r="M124" s="1029">
        <f t="shared" si="20"/>
        <v>-1.4457560140183085E-2</v>
      </c>
      <c r="N124" s="1022">
        <v>1793</v>
      </c>
      <c r="O124" s="1222">
        <f t="shared" si="21"/>
        <v>-25.922405331348273</v>
      </c>
      <c r="P124" s="1227">
        <f t="shared" si="22"/>
        <v>95.048819548276995</v>
      </c>
      <c r="R124" s="1213"/>
    </row>
    <row r="125" spans="1:18" x14ac:dyDescent="0.25">
      <c r="C125" s="1226">
        <f>'NIR faktorer'!B979</f>
        <v>2018</v>
      </c>
      <c r="D125" s="1272">
        <f>'NIR faktorer'!D979</f>
        <v>147000</v>
      </c>
      <c r="E125" s="1272">
        <f>'NIR faktorer'!D1010</f>
        <v>873067</v>
      </c>
      <c r="F125" s="1272">
        <f>'NIR faktorer'!D1041</f>
        <v>115996</v>
      </c>
      <c r="G125" s="1224">
        <f>IFERROR(D125+E125-F125,D125-F125)</f>
        <v>904071</v>
      </c>
      <c r="H125" s="1222">
        <f t="shared" si="23"/>
        <v>3128423.7940197377</v>
      </c>
      <c r="I125" s="1493">
        <f t="shared" si="19"/>
        <v>-152253.59746839432</v>
      </c>
      <c r="J125" s="1225">
        <v>0.38600000000000001</v>
      </c>
      <c r="K125" s="1224">
        <f t="shared" si="24"/>
        <v>-58769.888622800208</v>
      </c>
      <c r="L125" s="1224">
        <v>5781190</v>
      </c>
      <c r="M125" s="1029">
        <f t="shared" si="20"/>
        <v>-1.0165707859938906E-2</v>
      </c>
      <c r="N125" s="1022">
        <v>1807</v>
      </c>
      <c r="O125" s="1222">
        <f t="shared" si="21"/>
        <v>-18.369434102909604</v>
      </c>
      <c r="P125" s="1492">
        <f t="shared" si="22"/>
        <v>67.354591710668544</v>
      </c>
      <c r="R125" s="1213"/>
    </row>
    <row r="126" spans="1:18" ht="15.75" thickBot="1" x14ac:dyDescent="0.3">
      <c r="A126" s="5308"/>
      <c r="B126" s="5308"/>
      <c r="C126" s="2283">
        <f>'NIR faktorer'!B980</f>
        <v>2019</v>
      </c>
      <c r="D126" s="4050">
        <f>'NIR faktorer'!D980</f>
        <v>152000</v>
      </c>
      <c r="E126" s="4050">
        <f>'NIR faktorer'!D1011</f>
        <v>790151</v>
      </c>
      <c r="F126" s="4050">
        <f>'NIR faktorer'!D1042</f>
        <v>176000</v>
      </c>
      <c r="G126" s="4051">
        <f>IFERROR(D126+E126-F126,D126-F126)</f>
        <v>766151</v>
      </c>
      <c r="H126" s="1220">
        <f t="shared" si="23"/>
        <v>2976170.1965513434</v>
      </c>
      <c r="I126" s="1216"/>
      <c r="J126" s="1219"/>
      <c r="K126" s="1218"/>
      <c r="L126" s="1494">
        <v>5806081</v>
      </c>
      <c r="M126" s="1217"/>
      <c r="N126" s="1028">
        <v>1806</v>
      </c>
      <c r="O126" s="1216"/>
      <c r="P126" s="1216"/>
    </row>
    <row r="127" spans="1:18" x14ac:dyDescent="0.25">
      <c r="A127" s="5308"/>
      <c r="B127" s="5308"/>
      <c r="C127" s="1110" t="s">
        <v>2489</v>
      </c>
    </row>
    <row r="128" spans="1:18" s="1766" customFormat="1" ht="30.75" customHeight="1" x14ac:dyDescent="0.2">
      <c r="A128" s="5324" t="s">
        <v>2042</v>
      </c>
      <c r="B128" s="5324"/>
      <c r="D128" s="5325" t="str">
        <f>'NIR faktorer'!D1045</f>
        <v xml:space="preserve"> NIR 2020 (2018) CRF tabel 4.Gs2</v>
      </c>
      <c r="E128" s="5325"/>
      <c r="F128" s="5325"/>
      <c r="J128" s="1215" t="s">
        <v>2488</v>
      </c>
      <c r="L128" s="1215" t="s">
        <v>2487</v>
      </c>
      <c r="N128" s="1215" t="s">
        <v>2487</v>
      </c>
      <c r="P128" s="1214" t="s">
        <v>2418</v>
      </c>
    </row>
    <row r="130" spans="5:11" x14ac:dyDescent="0.25">
      <c r="E130" s="1005"/>
      <c r="F130" s="1005"/>
      <c r="G130" s="1005"/>
      <c r="H130" s="1005"/>
    </row>
    <row r="133" spans="5:11" x14ac:dyDescent="0.25">
      <c r="J133" s="1213"/>
      <c r="K133" s="1213"/>
    </row>
    <row r="134" spans="5:11" x14ac:dyDescent="0.25">
      <c r="J134" s="1213"/>
      <c r="K134" s="1213"/>
    </row>
    <row r="135" spans="5:11" x14ac:dyDescent="0.25">
      <c r="J135" s="1213"/>
      <c r="K135" s="1213"/>
    </row>
    <row r="136" spans="5:11" x14ac:dyDescent="0.25">
      <c r="J136" s="1213"/>
      <c r="K136" s="1213"/>
    </row>
    <row r="137" spans="5:11" x14ac:dyDescent="0.25">
      <c r="J137" s="1213"/>
      <c r="K137" s="1213"/>
    </row>
    <row r="138" spans="5:11" x14ac:dyDescent="0.25">
      <c r="J138" s="1213"/>
      <c r="K138" s="1213"/>
    </row>
    <row r="139" spans="5:11" x14ac:dyDescent="0.25">
      <c r="J139" s="1213"/>
      <c r="K139" s="1213"/>
    </row>
    <row r="140" spans="5:11" x14ac:dyDescent="0.25">
      <c r="J140" s="1213"/>
      <c r="K140" s="1213"/>
    </row>
    <row r="141" spans="5:11" x14ac:dyDescent="0.25">
      <c r="J141" s="1213"/>
      <c r="K141" s="1213"/>
    </row>
    <row r="142" spans="5:11" x14ac:dyDescent="0.25">
      <c r="J142" s="1213"/>
      <c r="K142" s="1213"/>
    </row>
    <row r="143" spans="5:11" x14ac:dyDescent="0.25">
      <c r="J143" s="1213"/>
    </row>
  </sheetData>
  <mergeCells count="12">
    <mergeCell ref="C13:E13"/>
    <mergeCell ref="A16:B16"/>
    <mergeCell ref="A46:B46"/>
    <mergeCell ref="D46:F46"/>
    <mergeCell ref="C54:E54"/>
    <mergeCell ref="D87:F87"/>
    <mergeCell ref="C95:E95"/>
    <mergeCell ref="A126:B126"/>
    <mergeCell ref="A127:B127"/>
    <mergeCell ref="A128:B128"/>
    <mergeCell ref="D128:F128"/>
    <mergeCell ref="A87:B87"/>
  </mergeCells>
  <hyperlinks>
    <hyperlink ref="A2" location="Index!A1" display="Til index" xr:uid="{42ED224A-1E57-4105-853D-2A66D39F3552}"/>
  </hyperlinks>
  <pageMargins left="0.7" right="0.7" top="0.75" bottom="0.75" header="0.3" footer="0.3"/>
  <pageSetup paperSize="9" orientation="portrait" horizontalDpi="4294967293" vertic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A6506-6302-4FA4-BF3E-14B5CDAFA4CE}">
  <sheetPr codeName="Ark146">
    <tabColor theme="4" tint="0.59999389629810485"/>
    <pageSetUpPr fitToPage="1"/>
  </sheetPr>
  <dimension ref="A1:O67"/>
  <sheetViews>
    <sheetView showGridLines="0" zoomScale="85" zoomScaleNormal="85" workbookViewId="0">
      <selection activeCell="O7" sqref="O7"/>
    </sheetView>
  </sheetViews>
  <sheetFormatPr defaultColWidth="9.140625" defaultRowHeight="15" x14ac:dyDescent="0.25"/>
  <cols>
    <col min="1" max="1" width="46.140625" style="1008" customWidth="1"/>
    <col min="2" max="2" width="46.85546875" style="1008" customWidth="1"/>
    <col min="3" max="3" width="57.5703125" style="1008" customWidth="1"/>
    <col min="4" max="4" width="10.42578125" style="1008" customWidth="1"/>
    <col min="5" max="5" width="9.140625" style="1008"/>
    <col min="6" max="6" width="12.85546875" style="1008" customWidth="1"/>
    <col min="7" max="7" width="13.7109375" style="1008" customWidth="1"/>
    <col min="8" max="8" width="15" style="1008" customWidth="1"/>
    <col min="9" max="9" width="13" style="1008" customWidth="1"/>
    <col min="10" max="10" width="16" style="1008" customWidth="1"/>
    <col min="11" max="11" width="13" style="1008" customWidth="1"/>
    <col min="12" max="12" width="14.5703125" style="1008" customWidth="1"/>
    <col min="13" max="13" width="11.140625" style="1008" customWidth="1"/>
    <col min="14" max="14" width="24.28515625" style="1008" bestFit="1" customWidth="1"/>
    <col min="15" max="15" width="31.42578125" style="1008" bestFit="1" customWidth="1"/>
    <col min="16" max="16" width="11.140625" style="1008" bestFit="1" customWidth="1"/>
    <col min="17" max="18" width="9.140625" style="1008"/>
    <col min="19" max="19" width="19.140625" style="1008" customWidth="1"/>
    <col min="20" max="16384" width="9.140625" style="1008"/>
  </cols>
  <sheetData>
    <row r="1" spans="1:15" s="1006" customFormat="1" ht="54" customHeight="1" x14ac:dyDescent="0.35">
      <c r="B1" s="1007" t="s">
        <v>4011</v>
      </c>
    </row>
    <row r="2" spans="1:15" ht="21" x14ac:dyDescent="0.35">
      <c r="A2" s="1740" t="s">
        <v>4206</v>
      </c>
    </row>
    <row r="3" spans="1:15" ht="16.5" customHeight="1" x14ac:dyDescent="0.35">
      <c r="A3" s="1496"/>
      <c r="B3" s="1008" t="s">
        <v>2543</v>
      </c>
      <c r="D3" s="1359"/>
    </row>
    <row r="4" spans="1:15" ht="14.1" customHeight="1" thickBot="1" x14ac:dyDescent="0.3"/>
    <row r="5" spans="1:15" ht="15.75" thickBot="1" x14ac:dyDescent="0.3">
      <c r="A5" s="1310" t="s">
        <v>310</v>
      </c>
      <c r="N5" s="1358" t="s">
        <v>2542</v>
      </c>
      <c r="O5" s="1357" t="str">
        <f>FOLK1A!L3</f>
        <v>2018K1</v>
      </c>
    </row>
    <row r="6" spans="1:15" x14ac:dyDescent="0.25">
      <c r="A6" s="1301" t="s">
        <v>692</v>
      </c>
      <c r="B6" s="5336" t="s">
        <v>2530</v>
      </c>
      <c r="C6" s="5337"/>
      <c r="D6" s="5338"/>
      <c r="E6" s="5336" t="s">
        <v>538</v>
      </c>
      <c r="F6" s="5339"/>
      <c r="G6" s="5340" t="s">
        <v>4758</v>
      </c>
      <c r="H6" s="5338"/>
      <c r="I6" s="5341" t="s">
        <v>2588</v>
      </c>
      <c r="J6" s="5337" t="s">
        <v>4759</v>
      </c>
      <c r="K6" s="5337"/>
      <c r="L6" s="5338"/>
      <c r="N6" s="2856" t="s">
        <v>4761</v>
      </c>
      <c r="O6" s="1227">
        <f>FOLK1A!L6</f>
        <v>1807</v>
      </c>
    </row>
    <row r="7" spans="1:15" ht="29.1" customHeight="1" thickBot="1" x14ac:dyDescent="0.3">
      <c r="A7" s="5328"/>
      <c r="B7" s="5330" t="s">
        <v>4760</v>
      </c>
      <c r="C7" s="5331" t="s">
        <v>2540</v>
      </c>
      <c r="D7" s="5332" t="s">
        <v>2539</v>
      </c>
      <c r="E7" s="5333" t="s">
        <v>2527</v>
      </c>
      <c r="F7" s="5343" t="s">
        <v>2528</v>
      </c>
      <c r="G7" s="5344" t="s">
        <v>2527</v>
      </c>
      <c r="H7" s="5332" t="s">
        <v>2528</v>
      </c>
      <c r="I7" s="5342"/>
      <c r="J7" s="5331" t="s">
        <v>2528</v>
      </c>
      <c r="K7" s="5331" t="s">
        <v>2527</v>
      </c>
      <c r="L7" s="5332" t="s">
        <v>2526</v>
      </c>
      <c r="N7" s="2857" t="s">
        <v>4762</v>
      </c>
      <c r="O7" s="1356">
        <f>FOLK1A!L4</f>
        <v>5781190</v>
      </c>
    </row>
    <row r="8" spans="1:15" ht="16.5" customHeight="1" x14ac:dyDescent="0.25">
      <c r="A8" s="5328"/>
      <c r="B8" s="5330"/>
      <c r="C8" s="5331"/>
      <c r="D8" s="5332"/>
      <c r="E8" s="5333"/>
      <c r="F8" s="5343"/>
      <c r="G8" s="5344"/>
      <c r="H8" s="5332"/>
      <c r="I8" s="5342"/>
      <c r="J8" s="5331"/>
      <c r="K8" s="5331"/>
      <c r="L8" s="5332"/>
    </row>
    <row r="9" spans="1:15" ht="15.75" thickBot="1" x14ac:dyDescent="0.3">
      <c r="A9" s="5329"/>
      <c r="B9" s="1770" t="s">
        <v>732</v>
      </c>
      <c r="C9" s="1767"/>
      <c r="D9" s="1768" t="s">
        <v>18</v>
      </c>
      <c r="E9" s="5334" t="s">
        <v>735</v>
      </c>
      <c r="F9" s="5335"/>
      <c r="G9" s="5345" t="s">
        <v>665</v>
      </c>
      <c r="H9" s="5346"/>
      <c r="I9" s="1306" t="s">
        <v>226</v>
      </c>
      <c r="J9" s="5347" t="s">
        <v>226</v>
      </c>
      <c r="K9" s="5347"/>
      <c r="L9" s="5348"/>
    </row>
    <row r="10" spans="1:15" x14ac:dyDescent="0.25">
      <c r="A10" s="1301" t="s">
        <v>741</v>
      </c>
      <c r="B10" s="1360">
        <f>'NIR faktorer'!D1050</f>
        <v>700.40714869999999</v>
      </c>
      <c r="C10" s="1298" t="str">
        <f>'NIR faktorer'!D1056</f>
        <v/>
      </c>
      <c r="D10" s="1297" t="str">
        <f>'NIR faktorer'!D1062</f>
        <v/>
      </c>
      <c r="E10" s="1355">
        <f>'NIR faktorer'!D1068</f>
        <v>3.2003725344999998E-2</v>
      </c>
      <c r="F10" s="1354" t="str">
        <f>'NIR faktorer'!D1073</f>
        <v>NO,NA</v>
      </c>
      <c r="G10" s="1353">
        <f>'NIR faktorer'!D1079</f>
        <v>22.415638016669401</v>
      </c>
      <c r="H10" s="1352">
        <f>'NIR faktorer'!D1084</f>
        <v>0</v>
      </c>
      <c r="I10" s="3657">
        <f>IFERROR(B10/$O$7*$O$6*1000,"NO")</f>
        <v>218.92304485770231</v>
      </c>
      <c r="J10" s="1497" t="str">
        <f>J11</f>
        <v>NA,NE</v>
      </c>
      <c r="K10" s="1498">
        <f>K11</f>
        <v>7.0063529993170279</v>
      </c>
      <c r="L10" s="1499" t="str">
        <f>L11</f>
        <v>NA,NE</v>
      </c>
    </row>
    <row r="11" spans="1:15" x14ac:dyDescent="0.25">
      <c r="A11" s="1305" t="s">
        <v>739</v>
      </c>
      <c r="B11" s="1361">
        <f>'NIR faktorer'!D1051</f>
        <v>700.40714869999999</v>
      </c>
      <c r="C11" s="1290">
        <f>'NIR faktorer'!D1057</f>
        <v>1</v>
      </c>
      <c r="D11" s="1289">
        <f>'NIR faktorer'!D1063</f>
        <v>4.0160650920999998</v>
      </c>
      <c r="E11" s="1351">
        <f>'NIR faktorer'!D1069</f>
        <v>3.2003725344999998E-2</v>
      </c>
      <c r="F11" s="1350" t="str">
        <f>'NIR faktorer'!D1074</f>
        <v>NA</v>
      </c>
      <c r="G11" s="1349">
        <f>'NIR faktorer'!D1080</f>
        <v>22.415638016669401</v>
      </c>
      <c r="H11" s="1348" t="str">
        <f>'NIR faktorer'!D1085</f>
        <v>NO,NA</v>
      </c>
      <c r="I11" s="1023">
        <f t="shared" ref="I11:I14" si="0">IFERROR(B11/$O$7*$O$6*1000,"NO")</f>
        <v>218.92304485770231</v>
      </c>
      <c r="J11" s="1198" t="s">
        <v>2538</v>
      </c>
      <c r="K11" s="1287">
        <f>G11*1000/O7*O6</f>
        <v>7.0063529993170279</v>
      </c>
      <c r="L11" s="1321" t="s">
        <v>2538</v>
      </c>
    </row>
    <row r="12" spans="1:15" ht="15.75" thickBot="1" x14ac:dyDescent="0.3">
      <c r="A12" s="1320" t="s">
        <v>738</v>
      </c>
      <c r="B12" s="1346" t="str">
        <f>'NIR faktorer'!D1052</f>
        <v>NO</v>
      </c>
      <c r="C12" s="1282" t="str">
        <f>'NIR faktorer'!D1058</f>
        <v>NO</v>
      </c>
      <c r="D12" s="1281" t="str">
        <f>'NIR faktorer'!D1064</f>
        <v>NO</v>
      </c>
      <c r="E12" s="1346" t="str">
        <f>'NIR faktorer'!D1070</f>
        <v>NO</v>
      </c>
      <c r="F12" s="1345" t="str">
        <f>'NIR faktorer'!D1075</f>
        <v>NO</v>
      </c>
      <c r="G12" s="1344" t="str">
        <f>'NIR faktorer'!D1081</f>
        <v>NO</v>
      </c>
      <c r="H12" s="1343" t="str">
        <f>'NIR faktorer'!D1086</f>
        <v>NA</v>
      </c>
      <c r="I12" s="3658" t="str">
        <f t="shared" si="0"/>
        <v>NO</v>
      </c>
      <c r="J12" s="1315" t="s">
        <v>2537</v>
      </c>
      <c r="K12" s="1315" t="s">
        <v>2537</v>
      </c>
      <c r="L12" s="1313" t="s">
        <v>2537</v>
      </c>
    </row>
    <row r="13" spans="1:15" ht="15.75" thickBot="1" x14ac:dyDescent="0.3">
      <c r="A13" s="1342" t="s">
        <v>737</v>
      </c>
      <c r="B13" s="1339" t="str">
        <f>'NIR faktorer'!D1053</f>
        <v>NO</v>
      </c>
      <c r="C13" s="1341" t="str">
        <f>'NIR faktorer'!D1059</f>
        <v>NO</v>
      </c>
      <c r="D13" s="1340" t="str">
        <f>'NIR faktorer'!D1065</f>
        <v>NO</v>
      </c>
      <c r="E13" s="1339" t="str">
        <f>'NIR faktorer'!D1071</f>
        <v>NO</v>
      </c>
      <c r="F13" s="1338" t="str">
        <f>'NIR faktorer'!D1076</f>
        <v>NO</v>
      </c>
      <c r="G13" s="1337" t="str">
        <f>'NIR faktorer'!D1082</f>
        <v>NO</v>
      </c>
      <c r="H13" s="1336" t="str">
        <f>'NIR faktorer'!D1087</f>
        <v>NO</v>
      </c>
      <c r="I13" s="3659" t="str">
        <f t="shared" si="0"/>
        <v>NO</v>
      </c>
      <c r="J13" s="1500" t="s">
        <v>2537</v>
      </c>
      <c r="K13" s="1501" t="str">
        <f>IFERROR(G13*1000/O7*O6,"NO")</f>
        <v>NO</v>
      </c>
      <c r="L13" s="1502" t="s">
        <v>2537</v>
      </c>
    </row>
    <row r="14" spans="1:15" ht="15.75" thickBot="1" x14ac:dyDescent="0.3">
      <c r="A14" s="1342" t="s">
        <v>736</v>
      </c>
      <c r="B14" s="1339" t="str">
        <f>'NIR faktorer'!D1054</f>
        <v>NO</v>
      </c>
      <c r="C14" s="1341" t="str">
        <f>'NIR faktorer'!D1060</f>
        <v>NO</v>
      </c>
      <c r="D14" s="1340" t="str">
        <f>'NIR faktorer'!D1066</f>
        <v>NO</v>
      </c>
      <c r="E14" s="1339" t="str">
        <f>'NIR faktorer'!D1072</f>
        <v>NO</v>
      </c>
      <c r="F14" s="1338" t="str">
        <f>'NIR faktorer'!D1077</f>
        <v>NO</v>
      </c>
      <c r="G14" s="1337" t="str">
        <f>'NIR faktorer'!D1083</f>
        <v>NO</v>
      </c>
      <c r="H14" s="1336" t="str">
        <f>'NIR faktorer'!D1088</f>
        <v>NO</v>
      </c>
      <c r="I14" s="3660" t="str">
        <f t="shared" si="0"/>
        <v>NO</v>
      </c>
      <c r="J14" s="1500" t="s">
        <v>2537</v>
      </c>
      <c r="K14" s="1500" t="s">
        <v>2537</v>
      </c>
      <c r="L14" s="1502" t="s">
        <v>2537</v>
      </c>
    </row>
    <row r="16" spans="1:15" s="1335" customFormat="1" ht="12" x14ac:dyDescent="0.2">
      <c r="A16" s="1012" t="s">
        <v>2042</v>
      </c>
      <c r="B16" s="5349" t="str">
        <f>'NIR faktorer'!D1090</f>
        <v xml:space="preserve"> NIR 2020 (2018) CRF tabel 5.A</v>
      </c>
      <c r="C16" s="5350"/>
      <c r="D16" s="5350"/>
      <c r="E16" s="5350"/>
      <c r="F16" s="5350"/>
      <c r="G16" s="5350"/>
      <c r="H16" s="5350"/>
      <c r="I16" s="5350" t="s">
        <v>2524</v>
      </c>
      <c r="J16" s="5350"/>
      <c r="K16" s="5350"/>
      <c r="L16" s="5350"/>
    </row>
    <row r="17" spans="1:12" x14ac:dyDescent="0.25">
      <c r="B17" s="1014"/>
      <c r="C17" s="1014"/>
      <c r="D17" s="1014"/>
      <c r="E17" s="1014"/>
      <c r="F17" s="1014"/>
      <c r="G17" s="1014"/>
      <c r="H17" s="1014"/>
      <c r="I17" s="1014"/>
      <c r="J17" s="1014"/>
      <c r="K17" s="1014"/>
      <c r="L17" s="1014"/>
    </row>
    <row r="18" spans="1:12" s="1010" customFormat="1" ht="12" x14ac:dyDescent="0.2">
      <c r="A18" s="1090" t="s">
        <v>2320</v>
      </c>
      <c r="B18" s="1090" t="s">
        <v>2319</v>
      </c>
      <c r="C18" s="1089"/>
      <c r="D18" s="1089"/>
      <c r="E18" s="1089"/>
      <c r="F18" s="1089"/>
      <c r="G18" s="1089"/>
      <c r="H18" s="1089"/>
      <c r="I18" s="1089"/>
      <c r="J18" s="1089"/>
      <c r="K18" s="1089"/>
      <c r="L18" s="1089"/>
    </row>
    <row r="20" spans="1:12" ht="15.75" thickBot="1" x14ac:dyDescent="0.3">
      <c r="A20" s="1310" t="s">
        <v>309</v>
      </c>
    </row>
    <row r="21" spans="1:12" ht="15" customHeight="1" x14ac:dyDescent="0.25">
      <c r="A21" s="1301" t="s">
        <v>692</v>
      </c>
      <c r="B21" s="1334" t="s">
        <v>2530</v>
      </c>
      <c r="C21" s="5340" t="s">
        <v>2536</v>
      </c>
      <c r="D21" s="5338"/>
      <c r="E21" s="5340" t="s">
        <v>4758</v>
      </c>
      <c r="F21" s="5338"/>
      <c r="G21" s="5341" t="s">
        <v>4763</v>
      </c>
      <c r="H21" s="5337" t="s">
        <v>4759</v>
      </c>
      <c r="I21" s="5337"/>
      <c r="J21" s="5338"/>
    </row>
    <row r="22" spans="1:12" ht="16.5" customHeight="1" x14ac:dyDescent="0.25">
      <c r="A22" s="5328"/>
      <c r="B22" s="5330" t="s">
        <v>4760</v>
      </c>
      <c r="C22" s="5344" t="s">
        <v>2527</v>
      </c>
      <c r="D22" s="5332" t="s">
        <v>2526</v>
      </c>
      <c r="E22" s="5344" t="s">
        <v>2527</v>
      </c>
      <c r="F22" s="5355" t="s">
        <v>2535</v>
      </c>
      <c r="G22" s="5342"/>
      <c r="H22" s="5331" t="s">
        <v>2528</v>
      </c>
      <c r="I22" s="5331" t="s">
        <v>2527</v>
      </c>
      <c r="J22" s="5332" t="s">
        <v>2526</v>
      </c>
    </row>
    <row r="23" spans="1:12" ht="26.1" customHeight="1" x14ac:dyDescent="0.25">
      <c r="A23" s="5328"/>
      <c r="B23" s="5330"/>
      <c r="C23" s="5344"/>
      <c r="D23" s="5332"/>
      <c r="E23" s="5344"/>
      <c r="F23" s="5355"/>
      <c r="G23" s="5342"/>
      <c r="H23" s="5331"/>
      <c r="I23" s="5331"/>
      <c r="J23" s="5332"/>
    </row>
    <row r="24" spans="1:12" ht="15.75" thickBot="1" x14ac:dyDescent="0.3">
      <c r="A24" s="5358"/>
      <c r="B24" s="1333" t="s">
        <v>732</v>
      </c>
      <c r="C24" s="5359" t="s">
        <v>2534</v>
      </c>
      <c r="D24" s="5360"/>
      <c r="E24" s="5359" t="s">
        <v>665</v>
      </c>
      <c r="F24" s="5360"/>
      <c r="G24" s="1332" t="s">
        <v>226</v>
      </c>
      <c r="H24" s="5356" t="s">
        <v>226</v>
      </c>
      <c r="I24" s="5356"/>
      <c r="J24" s="5357"/>
    </row>
    <row r="25" spans="1:12" x14ac:dyDescent="0.25">
      <c r="A25" s="1301" t="s">
        <v>730</v>
      </c>
      <c r="B25" s="1331" t="str">
        <f>'NIR faktorer'!D1093</f>
        <v>NO</v>
      </c>
      <c r="C25" s="1330" t="str">
        <f>'NIR faktorer'!D1102</f>
        <v>NO</v>
      </c>
      <c r="D25" s="1329" t="str">
        <f>'NIR faktorer'!D1110</f>
        <v>NO</v>
      </c>
      <c r="E25" s="1330">
        <f>'NIR faktorer'!D1119</f>
        <v>4.2720944004752202</v>
      </c>
      <c r="F25" s="1329">
        <f>'NIR faktorer'!D1127</f>
        <v>0.28018111305512999</v>
      </c>
      <c r="G25" s="1503" t="s">
        <v>259</v>
      </c>
      <c r="H25" s="1504" t="s">
        <v>259</v>
      </c>
      <c r="I25" s="1505">
        <f>I27</f>
        <v>1.3353089211146361</v>
      </c>
      <c r="J25" s="1506">
        <f>J27</f>
        <v>8.7574923379203903E-2</v>
      </c>
    </row>
    <row r="26" spans="1:12" x14ac:dyDescent="0.25">
      <c r="A26" s="1769" t="s">
        <v>728</v>
      </c>
      <c r="B26" s="1324" t="str">
        <f>'NIR faktorer'!D1094</f>
        <v>NO</v>
      </c>
      <c r="C26" s="1323" t="str">
        <f>'NIR faktorer'!D1103</f>
        <v>NO</v>
      </c>
      <c r="D26" s="1286" t="str">
        <f>'NIR faktorer'!D1111</f>
        <v>NO</v>
      </c>
      <c r="E26" s="1323" t="str">
        <f>'NIR faktorer'!D1120</f>
        <v>NO</v>
      </c>
      <c r="F26" s="1286" t="str">
        <f>'NIR faktorer'!D1128</f>
        <v>NO</v>
      </c>
      <c r="G26" s="1322" t="s">
        <v>259</v>
      </c>
      <c r="H26" s="1198" t="s">
        <v>259</v>
      </c>
      <c r="I26" s="1198" t="s">
        <v>259</v>
      </c>
      <c r="J26" s="1321" t="s">
        <v>259</v>
      </c>
    </row>
    <row r="27" spans="1:12" x14ac:dyDescent="0.25">
      <c r="A27" s="1769" t="s">
        <v>727</v>
      </c>
      <c r="B27" s="1324" t="str">
        <f>'NIR faktorer'!D1095</f>
        <v>NO</v>
      </c>
      <c r="C27" s="1323" t="str">
        <f>'NIR faktorer'!D1104</f>
        <v>NO</v>
      </c>
      <c r="D27" s="1286" t="str">
        <f>'NIR faktorer'!D1112</f>
        <v>NO</v>
      </c>
      <c r="E27" s="1323">
        <f>'NIR faktorer'!D1121</f>
        <v>4.2720944004752202</v>
      </c>
      <c r="F27" s="1286">
        <f>'NIR faktorer'!D1129</f>
        <v>0.28018111305512999</v>
      </c>
      <c r="G27" s="1322" t="s">
        <v>259</v>
      </c>
      <c r="H27" s="1198" t="s">
        <v>259</v>
      </c>
      <c r="I27" s="1287">
        <f>E27*1000/O7*O6</f>
        <v>1.3353089211146361</v>
      </c>
      <c r="J27" s="1286">
        <f>J28</f>
        <v>8.7574923379203903E-2</v>
      </c>
    </row>
    <row r="28" spans="1:12" ht="15.75" thickBot="1" x14ac:dyDescent="0.3">
      <c r="A28" s="1320" t="s">
        <v>726</v>
      </c>
      <c r="B28" s="1319" t="str">
        <f>'NIR faktorer'!D1096</f>
        <v>NO</v>
      </c>
      <c r="C28" s="1318" t="str">
        <f>'NIR faktorer'!D1105</f>
        <v>NO</v>
      </c>
      <c r="D28" s="1317" t="str">
        <f>'NIR faktorer'!D1113</f>
        <v>NO</v>
      </c>
      <c r="E28" s="1318">
        <f>'NIR faktorer'!D1122</f>
        <v>4.2720944004752202</v>
      </c>
      <c r="F28" s="1317">
        <f>'NIR faktorer'!D1130</f>
        <v>0.28018111305512999</v>
      </c>
      <c r="G28" s="1316" t="s">
        <v>259</v>
      </c>
      <c r="H28" s="1315" t="s">
        <v>259</v>
      </c>
      <c r="I28" s="1314">
        <f>E28*1000/O7*O6</f>
        <v>1.3353089211146361</v>
      </c>
      <c r="J28" s="1317">
        <f>F28*1000/O7*O6</f>
        <v>8.7574923379203903E-2</v>
      </c>
    </row>
    <row r="29" spans="1:12" ht="17.25" x14ac:dyDescent="0.25">
      <c r="A29" s="1328" t="s">
        <v>725</v>
      </c>
      <c r="B29" s="1327" t="str">
        <f>'NIR faktorer'!D1097</f>
        <v>NO,NE</v>
      </c>
      <c r="C29" s="1326" t="str">
        <f>'NIR faktorer'!D1106</f>
        <v>NO,NE</v>
      </c>
      <c r="D29" s="1325" t="str">
        <f>'NIR faktorer'!D1114</f>
        <v>NO,NA</v>
      </c>
      <c r="E29" s="1326">
        <f>'NIR faktorer'!D1123</f>
        <v>10.083260693753401</v>
      </c>
      <c r="F29" s="1325" t="str">
        <f>'NIR faktorer'!D1131</f>
        <v>NO,NA</v>
      </c>
      <c r="G29" s="1507" t="s">
        <v>259</v>
      </c>
      <c r="H29" s="1508" t="s">
        <v>259</v>
      </c>
      <c r="I29" s="1509">
        <f>I31</f>
        <v>3.1516784733960299</v>
      </c>
      <c r="J29" s="1510" t="s">
        <v>259</v>
      </c>
    </row>
    <row r="30" spans="1:12" x14ac:dyDescent="0.25">
      <c r="A30" s="1769" t="s">
        <v>724</v>
      </c>
      <c r="B30" s="1324" t="str">
        <f>'NIR faktorer'!D1098</f>
        <v>NO</v>
      </c>
      <c r="C30" s="1323" t="str">
        <f>'NIR faktorer'!D1107</f>
        <v>NO</v>
      </c>
      <c r="D30" s="1286" t="str">
        <f>'NIR faktorer'!D1115</f>
        <v>NO</v>
      </c>
      <c r="E30" s="1323" t="str">
        <f>'NIR faktorer'!D1124</f>
        <v>NO</v>
      </c>
      <c r="F30" s="1286" t="str">
        <f>'NIR faktorer'!D1132</f>
        <v>NO</v>
      </c>
      <c r="G30" s="1322" t="s">
        <v>259</v>
      </c>
      <c r="H30" s="1198" t="s">
        <v>259</v>
      </c>
      <c r="I30" s="1198" t="s">
        <v>259</v>
      </c>
      <c r="J30" s="1321" t="s">
        <v>259</v>
      </c>
    </row>
    <row r="31" spans="1:12" x14ac:dyDescent="0.25">
      <c r="A31" s="1769" t="s">
        <v>723</v>
      </c>
      <c r="B31" s="1324" t="str">
        <f>'NIR faktorer'!D1099</f>
        <v>NE</v>
      </c>
      <c r="C31" s="1323" t="str">
        <f>'NIR faktorer'!D1108</f>
        <v>NE</v>
      </c>
      <c r="D31" s="1286" t="str">
        <f>'NIR faktorer'!D1116</f>
        <v>NA</v>
      </c>
      <c r="E31" s="1323">
        <f>'NIR faktorer'!D1125</f>
        <v>10.083260693753401</v>
      </c>
      <c r="F31" s="1286" t="str">
        <f>'NIR faktorer'!D1133</f>
        <v>NA</v>
      </c>
      <c r="G31" s="1322" t="s">
        <v>1209</v>
      </c>
      <c r="H31" s="1198" t="s">
        <v>259</v>
      </c>
      <c r="I31" s="1287">
        <f>E31*1000/O7*O6</f>
        <v>3.1516784733960299</v>
      </c>
      <c r="J31" s="1321" t="s">
        <v>259</v>
      </c>
    </row>
    <row r="32" spans="1:12" ht="15.75" thickBot="1" x14ac:dyDescent="0.3">
      <c r="A32" s="1320" t="s">
        <v>722</v>
      </c>
      <c r="B32" s="1319" t="str">
        <f>'NIR faktorer'!D1100</f>
        <v>NE</v>
      </c>
      <c r="C32" s="1318" t="str">
        <f>'NIR faktorer'!D1109</f>
        <v>NE</v>
      </c>
      <c r="D32" s="1317" t="str">
        <f>'NIR faktorer'!D1117</f>
        <v>NA</v>
      </c>
      <c r="E32" s="1318">
        <f>'NIR faktorer'!D1126</f>
        <v>10.083260693753401</v>
      </c>
      <c r="F32" s="1317" t="str">
        <f>'NIR faktorer'!D1134</f>
        <v>NA</v>
      </c>
      <c r="G32" s="1316" t="s">
        <v>1209</v>
      </c>
      <c r="H32" s="1315" t="s">
        <v>259</v>
      </c>
      <c r="I32" s="1314">
        <f>E32*1000/O7*O6</f>
        <v>3.1516784733960299</v>
      </c>
      <c r="J32" s="1313" t="s">
        <v>259</v>
      </c>
    </row>
    <row r="34" spans="1:12" s="1010" customFormat="1" ht="12" x14ac:dyDescent="0.2">
      <c r="A34" s="1012" t="s">
        <v>2042</v>
      </c>
      <c r="B34" s="5351" t="str">
        <f>'NIR faktorer'!D1136</f>
        <v xml:space="preserve"> NIR 2020(2018) CRF tabel 5.B</v>
      </c>
      <c r="C34" s="5352"/>
      <c r="D34" s="5352"/>
      <c r="E34" s="5352"/>
      <c r="F34" s="5353"/>
      <c r="G34" s="5354" t="s">
        <v>2524</v>
      </c>
      <c r="H34" s="5352"/>
      <c r="I34" s="5352"/>
      <c r="J34" s="5353"/>
    </row>
    <row r="35" spans="1:12" x14ac:dyDescent="0.25">
      <c r="A35" s="1010" t="s">
        <v>2533</v>
      </c>
      <c r="B35" s="1014"/>
      <c r="C35" s="1014"/>
      <c r="D35" s="1014"/>
      <c r="E35" s="1014"/>
      <c r="F35" s="1014"/>
      <c r="G35" s="1014"/>
      <c r="H35" s="1014"/>
      <c r="J35" s="1014"/>
      <c r="K35" s="1014"/>
      <c r="L35" s="1014"/>
    </row>
    <row r="36" spans="1:12" x14ac:dyDescent="0.25">
      <c r="A36" s="1010" t="s">
        <v>2532</v>
      </c>
      <c r="B36" s="1014"/>
      <c r="C36" s="1014"/>
      <c r="D36" s="1014"/>
      <c r="E36" s="1014"/>
      <c r="F36" s="1014"/>
      <c r="G36" s="1014"/>
      <c r="H36" s="1014"/>
      <c r="J36" s="1014"/>
      <c r="K36" s="1014"/>
      <c r="L36" s="1014"/>
    </row>
    <row r="37" spans="1:12" x14ac:dyDescent="0.25">
      <c r="A37" s="1010" t="s">
        <v>2531</v>
      </c>
      <c r="B37" s="1014"/>
      <c r="C37" s="1014"/>
      <c r="D37" s="1014"/>
      <c r="E37" s="1014"/>
      <c r="F37" s="1014"/>
      <c r="G37" s="1014"/>
      <c r="H37" s="1014"/>
      <c r="J37" s="1014"/>
      <c r="K37" s="1014"/>
      <c r="L37" s="1014"/>
    </row>
    <row r="38" spans="1:12" x14ac:dyDescent="0.25">
      <c r="A38" s="1010"/>
      <c r="B38" s="1014"/>
      <c r="C38" s="1014"/>
      <c r="D38" s="1014"/>
      <c r="E38" s="1014"/>
      <c r="F38" s="1014"/>
      <c r="G38" s="1014"/>
      <c r="H38" s="1014"/>
      <c r="J38" s="1014"/>
      <c r="K38" s="1014"/>
      <c r="L38" s="1014"/>
    </row>
    <row r="39" spans="1:12" s="1311" customFormat="1" x14ac:dyDescent="0.25">
      <c r="A39" s="1090" t="s">
        <v>2320</v>
      </c>
      <c r="B39" s="1090" t="s">
        <v>2319</v>
      </c>
      <c r="C39" s="1312"/>
      <c r="D39" s="1312"/>
      <c r="E39" s="1312"/>
      <c r="F39" s="1312"/>
      <c r="G39" s="1312"/>
      <c r="H39" s="1312"/>
      <c r="J39" s="1312"/>
      <c r="K39" s="1312"/>
      <c r="L39" s="1312"/>
    </row>
    <row r="41" spans="1:12" ht="15.75" thickBot="1" x14ac:dyDescent="0.3">
      <c r="A41" s="1310" t="s">
        <v>721</v>
      </c>
    </row>
    <row r="42" spans="1:12" x14ac:dyDescent="0.25">
      <c r="A42" s="1309" t="s">
        <v>692</v>
      </c>
      <c r="B42" s="1308" t="s">
        <v>2530</v>
      </c>
      <c r="C42" s="5361" t="s">
        <v>2529</v>
      </c>
      <c r="D42" s="5362"/>
      <c r="E42" s="5363"/>
      <c r="F42" s="5361" t="s">
        <v>4758</v>
      </c>
      <c r="G42" s="5362"/>
      <c r="H42" s="5363"/>
      <c r="I42" s="5341" t="s">
        <v>308</v>
      </c>
      <c r="J42" s="5337" t="s">
        <v>4759</v>
      </c>
      <c r="K42" s="5337"/>
      <c r="L42" s="5338"/>
    </row>
    <row r="43" spans="1:12" ht="15" customHeight="1" x14ac:dyDescent="0.25">
      <c r="A43" s="5328"/>
      <c r="B43" s="5330" t="s">
        <v>4760</v>
      </c>
      <c r="C43" s="5344" t="s">
        <v>2528</v>
      </c>
      <c r="D43" s="5331" t="s">
        <v>2527</v>
      </c>
      <c r="E43" s="5332" t="s">
        <v>2526</v>
      </c>
      <c r="F43" s="5344" t="s">
        <v>2528</v>
      </c>
      <c r="G43" s="5331" t="s">
        <v>2527</v>
      </c>
      <c r="H43" s="5332" t="s">
        <v>2526</v>
      </c>
      <c r="I43" s="5342"/>
      <c r="J43" s="5331" t="s">
        <v>2528</v>
      </c>
      <c r="K43" s="5331" t="s">
        <v>2527</v>
      </c>
      <c r="L43" s="5332" t="s">
        <v>2526</v>
      </c>
    </row>
    <row r="44" spans="1:12" x14ac:dyDescent="0.25">
      <c r="A44" s="5328"/>
      <c r="B44" s="5330"/>
      <c r="C44" s="5344"/>
      <c r="D44" s="5331"/>
      <c r="E44" s="5332"/>
      <c r="F44" s="5344"/>
      <c r="G44" s="5331"/>
      <c r="H44" s="5332"/>
      <c r="I44" s="5342"/>
      <c r="J44" s="5331"/>
      <c r="K44" s="5331"/>
      <c r="L44" s="5332"/>
    </row>
    <row r="45" spans="1:12" ht="15.75" thickBot="1" x14ac:dyDescent="0.3">
      <c r="A45" s="5329"/>
      <c r="B45" s="1307" t="s">
        <v>2525</v>
      </c>
      <c r="C45" s="5345" t="s">
        <v>719</v>
      </c>
      <c r="D45" s="5364"/>
      <c r="E45" s="5346"/>
      <c r="F45" s="5345" t="s">
        <v>665</v>
      </c>
      <c r="G45" s="5364"/>
      <c r="H45" s="5346"/>
      <c r="I45" s="1306" t="s">
        <v>226</v>
      </c>
      <c r="J45" s="5347" t="s">
        <v>226</v>
      </c>
      <c r="K45" s="5347"/>
      <c r="L45" s="5348"/>
    </row>
    <row r="46" spans="1:12" x14ac:dyDescent="0.25">
      <c r="A46" s="1301" t="s">
        <v>714</v>
      </c>
      <c r="B46" s="1300">
        <f>'NIR faktorer'!D1139</f>
        <v>1.169</v>
      </c>
      <c r="C46" s="1299" t="str">
        <f>'NIR faktorer'!D1156</f>
        <v>NO</v>
      </c>
      <c r="D46" s="1298">
        <f>'NIR faktorer'!D1172</f>
        <v>0.64707485029940004</v>
      </c>
      <c r="E46" s="1297">
        <f>'NIR faktorer'!D1188</f>
        <v>0.80887236287425002</v>
      </c>
      <c r="F46" s="1299" t="str">
        <f>'NIR faktorer'!D1205</f>
        <v>NO</v>
      </c>
      <c r="G46" s="1298">
        <f>'NIR faktorer'!D1221</f>
        <v>7.5643049999999995E-4</v>
      </c>
      <c r="H46" s="1297">
        <f>'NIR faktorer'!D1237</f>
        <v>9.4557179220000002E-4</v>
      </c>
      <c r="I46" s="1511">
        <f>IFERROR(B46*1000/$O$7*$O$6,"NO")</f>
        <v>0.36538895971244673</v>
      </c>
      <c r="J46" s="1505" t="str">
        <f>IFERROR(F46*1000/$O$7*$O$6,"NO")</f>
        <v>NO</v>
      </c>
      <c r="K46" s="1505">
        <f t="shared" ref="K46:L61" si="1">IFERROR(G46*1000/$O$7*$O$6,"NO")</f>
        <v>2.3643400640698537E-4</v>
      </c>
      <c r="L46" s="1506">
        <f t="shared" si="1"/>
        <v>2.9555303121077148E-4</v>
      </c>
    </row>
    <row r="47" spans="1:12" ht="17.25" x14ac:dyDescent="0.25">
      <c r="A47" s="1769" t="s">
        <v>712</v>
      </c>
      <c r="B47" s="1292">
        <f>'NIR faktorer'!D1140</f>
        <v>1.169</v>
      </c>
      <c r="C47" s="1291">
        <f>'NIR faktorer'!D1157</f>
        <v>2754.0179640718561</v>
      </c>
      <c r="D47" s="1290">
        <f>'NIR faktorer'!D1173</f>
        <v>0.64707485029940004</v>
      </c>
      <c r="E47" s="1289">
        <f>'NIR faktorer'!D1189</f>
        <v>0.80887236287425002</v>
      </c>
      <c r="F47" s="1291">
        <f>'NIR faktorer'!D1206</f>
        <v>3.2194470000000002</v>
      </c>
      <c r="G47" s="1290">
        <f>'NIR faktorer'!D1222</f>
        <v>7.5643049999999995E-4</v>
      </c>
      <c r="H47" s="1289">
        <f>'NIR faktorer'!D1238</f>
        <v>9.4557179220000002E-4</v>
      </c>
      <c r="I47" s="1288">
        <f t="shared" ref="I47:I61" si="2">IFERROR(B47*1000/$O$7*$O$6,"NO")</f>
        <v>0.36538895971244673</v>
      </c>
      <c r="J47" s="1287">
        <f t="shared" ref="J47:J61" si="3">IFERROR(F47*1000/$O$7*$O$6,"NO")</f>
        <v>1.0062877589216062</v>
      </c>
      <c r="K47" s="1287">
        <f t="shared" si="1"/>
        <v>2.3643400640698537E-4</v>
      </c>
      <c r="L47" s="1286">
        <f t="shared" si="1"/>
        <v>2.9555303121077148E-4</v>
      </c>
    </row>
    <row r="48" spans="1:12" x14ac:dyDescent="0.25">
      <c r="A48" s="1305" t="s">
        <v>709</v>
      </c>
      <c r="B48" s="1292" t="str">
        <f>'NIR faktorer'!D1141</f>
        <v>NO</v>
      </c>
      <c r="C48" s="1291" t="str">
        <f>'NIR faktorer'!D1158</f>
        <v>NO</v>
      </c>
      <c r="D48" s="1290" t="str">
        <f>'NIR faktorer'!D1174</f>
        <v>NO</v>
      </c>
      <c r="E48" s="1289" t="str">
        <f>'NIR faktorer'!D1190</f>
        <v>NO</v>
      </c>
      <c r="F48" s="1291" t="str">
        <f>'NIR faktorer'!D1207</f>
        <v>NO</v>
      </c>
      <c r="G48" s="1290" t="str">
        <f>'NIR faktorer'!D1223</f>
        <v>NO</v>
      </c>
      <c r="H48" s="1289" t="str">
        <f>'NIR faktorer'!D1239</f>
        <v>NO</v>
      </c>
      <c r="I48" s="1288" t="str">
        <f t="shared" si="2"/>
        <v>NO</v>
      </c>
      <c r="J48" s="1287" t="str">
        <f t="shared" si="3"/>
        <v>NO</v>
      </c>
      <c r="K48" s="1287" t="str">
        <f t="shared" si="1"/>
        <v>NO</v>
      </c>
      <c r="L48" s="1286" t="str">
        <f t="shared" si="1"/>
        <v>NO</v>
      </c>
    </row>
    <row r="49" spans="1:12" x14ac:dyDescent="0.25">
      <c r="A49" s="1305" t="s">
        <v>662</v>
      </c>
      <c r="B49" s="1292">
        <f>'NIR faktorer'!D1142</f>
        <v>1.169</v>
      </c>
      <c r="C49" s="1291">
        <f>'NIR faktorer'!D1159</f>
        <v>2754.0179640718561</v>
      </c>
      <c r="D49" s="1290">
        <f>'NIR faktorer'!D1175</f>
        <v>0.64707485029940004</v>
      </c>
      <c r="E49" s="1289">
        <f>'NIR faktorer'!D1191</f>
        <v>0.80887236287425002</v>
      </c>
      <c r="F49" s="1291">
        <f>'NIR faktorer'!D1208</f>
        <v>3.2194470000000002</v>
      </c>
      <c r="G49" s="1290">
        <f>'NIR faktorer'!D1224</f>
        <v>7.5643049999999995E-4</v>
      </c>
      <c r="H49" s="1289">
        <f>'NIR faktorer'!D1240</f>
        <v>9.4557179220000002E-4</v>
      </c>
      <c r="I49" s="1288">
        <f t="shared" si="2"/>
        <v>0.36538895971244673</v>
      </c>
      <c r="J49" s="1287">
        <f t="shared" si="3"/>
        <v>1.0062877589216062</v>
      </c>
      <c r="K49" s="1287">
        <f t="shared" si="1"/>
        <v>2.3643400640698537E-4</v>
      </c>
      <c r="L49" s="1286">
        <f t="shared" si="1"/>
        <v>2.9555303121077148E-4</v>
      </c>
    </row>
    <row r="50" spans="1:12" x14ac:dyDescent="0.25">
      <c r="A50" s="1304" t="s">
        <v>711</v>
      </c>
      <c r="B50" s="1292">
        <f>'NIR faktorer'!D1143</f>
        <v>1.169</v>
      </c>
      <c r="C50" s="1291">
        <f>'NIR faktorer'!D1160</f>
        <v>770</v>
      </c>
      <c r="D50" s="1290">
        <f>'NIR faktorer'!D1176</f>
        <v>0.18090000000000001</v>
      </c>
      <c r="E50" s="1289">
        <f>'NIR faktorer'!D1192</f>
        <v>0.22615379999999999</v>
      </c>
      <c r="F50" s="1291">
        <f>'NIR faktorer'!D1209</f>
        <v>0.90012999999999999</v>
      </c>
      <c r="G50" s="1290">
        <f>'NIR faktorer'!D1225</f>
        <v>2.1147209999999999E-4</v>
      </c>
      <c r="H50" s="1289">
        <f>'NIR faktorer'!D1241</f>
        <v>2.6437379219999997E-4</v>
      </c>
      <c r="I50" s="1288">
        <f t="shared" si="2"/>
        <v>0.36538895971244673</v>
      </c>
      <c r="J50" s="1287">
        <f t="shared" si="3"/>
        <v>0.28134949897858402</v>
      </c>
      <c r="K50" s="1287">
        <f t="shared" si="1"/>
        <v>6.6098862811981614E-5</v>
      </c>
      <c r="L50" s="1286">
        <f t="shared" si="1"/>
        <v>8.2634101717016722E-5</v>
      </c>
    </row>
    <row r="51" spans="1:12" x14ac:dyDescent="0.25">
      <c r="A51" s="1304" t="s">
        <v>710</v>
      </c>
      <c r="B51" s="1292" t="str">
        <f>'NIR faktorer'!D1144</f>
        <v>NO</v>
      </c>
      <c r="C51" s="1291" t="str">
        <f>'NIR faktorer'!D1161</f>
        <v>NO</v>
      </c>
      <c r="D51" s="1290" t="str">
        <f>'NIR faktorer'!D1177</f>
        <v>NO</v>
      </c>
      <c r="E51" s="1289" t="str">
        <f>'NIR faktorer'!D1193</f>
        <v>NO</v>
      </c>
      <c r="F51" s="1291">
        <f>'NIR faktorer'!D1210</f>
        <v>2.3193169999999999</v>
      </c>
      <c r="G51" s="1290">
        <f>'NIR faktorer'!D1226</f>
        <v>5.4495840000000004E-4</v>
      </c>
      <c r="H51" s="1289">
        <f>'NIR faktorer'!D1242</f>
        <v>6.8119800000000005E-4</v>
      </c>
      <c r="I51" s="1296" t="str">
        <f t="shared" si="2"/>
        <v>NO</v>
      </c>
      <c r="J51" s="1287">
        <f t="shared" si="3"/>
        <v>0.72493825994302208</v>
      </c>
      <c r="K51" s="1287">
        <f t="shared" si="1"/>
        <v>1.7033514359500381E-4</v>
      </c>
      <c r="L51" s="1286">
        <f t="shared" si="1"/>
        <v>2.1291892949375476E-4</v>
      </c>
    </row>
    <row r="52" spans="1:12" x14ac:dyDescent="0.25">
      <c r="A52" s="1769" t="s">
        <v>705</v>
      </c>
      <c r="B52" s="1292" t="str">
        <f>'NIR faktorer'!D1145</f>
        <v>NO</v>
      </c>
      <c r="C52" s="1291" t="str">
        <f>'NIR faktorer'!D1162</f>
        <v>NO</v>
      </c>
      <c r="D52" s="1290" t="str">
        <f>'NIR faktorer'!D1178</f>
        <v>NO</v>
      </c>
      <c r="E52" s="1289" t="str">
        <f>'NIR faktorer'!D1194</f>
        <v>NO</v>
      </c>
      <c r="F52" s="1291" t="str">
        <f>'NIR faktorer'!D1211</f>
        <v>NO</v>
      </c>
      <c r="G52" s="1290" t="str">
        <f>'NIR faktorer'!D1227</f>
        <v>NO</v>
      </c>
      <c r="H52" s="1289" t="str">
        <f>'NIR faktorer'!D1243</f>
        <v>NO</v>
      </c>
      <c r="I52" s="1288" t="str">
        <f t="shared" si="2"/>
        <v>NO</v>
      </c>
      <c r="J52" s="1287" t="str">
        <f t="shared" si="3"/>
        <v>NO</v>
      </c>
      <c r="K52" s="1287" t="str">
        <f t="shared" si="1"/>
        <v>NO</v>
      </c>
      <c r="L52" s="1286" t="str">
        <f t="shared" si="1"/>
        <v>NO</v>
      </c>
    </row>
    <row r="53" spans="1:12" x14ac:dyDescent="0.25">
      <c r="A53" s="1303" t="s">
        <v>709</v>
      </c>
      <c r="B53" s="1292" t="str">
        <f>'NIR faktorer'!D1146</f>
        <v>NO</v>
      </c>
      <c r="C53" s="1291" t="str">
        <f>'NIR faktorer'!D1163</f>
        <v>NO</v>
      </c>
      <c r="D53" s="1290" t="str">
        <f>'NIR faktorer'!D1179</f>
        <v>NO</v>
      </c>
      <c r="E53" s="1289" t="str">
        <f>'NIR faktorer'!D1195</f>
        <v>NO</v>
      </c>
      <c r="F53" s="1291" t="str">
        <f>'NIR faktorer'!D1212</f>
        <v>NO</v>
      </c>
      <c r="G53" s="1290" t="str">
        <f>'NIR faktorer'!D1228</f>
        <v>NO</v>
      </c>
      <c r="H53" s="1289" t="str">
        <f>'NIR faktorer'!D1244</f>
        <v>NO</v>
      </c>
      <c r="I53" s="1288" t="str">
        <f t="shared" si="2"/>
        <v>NO</v>
      </c>
      <c r="J53" s="1287" t="str">
        <f t="shared" si="3"/>
        <v>NO</v>
      </c>
      <c r="K53" s="1287" t="str">
        <f t="shared" si="1"/>
        <v>NO</v>
      </c>
      <c r="L53" s="1286" t="str">
        <f t="shared" si="1"/>
        <v>NO</v>
      </c>
    </row>
    <row r="54" spans="1:12" ht="15.75" thickBot="1" x14ac:dyDescent="0.3">
      <c r="A54" s="1302" t="s">
        <v>483</v>
      </c>
      <c r="B54" s="1284" t="str">
        <f>'NIR faktorer'!D1147</f>
        <v>NO</v>
      </c>
      <c r="C54" s="1283" t="str">
        <f>'NIR faktorer'!D1164</f>
        <v>NO</v>
      </c>
      <c r="D54" s="1282" t="str">
        <f>'NIR faktorer'!D1180</f>
        <v>NO</v>
      </c>
      <c r="E54" s="1281" t="str">
        <f>'NIR faktorer'!D1196</f>
        <v>NO</v>
      </c>
      <c r="F54" s="1283" t="str">
        <f>'NIR faktorer'!D1213</f>
        <v>NO</v>
      </c>
      <c r="G54" s="1282" t="str">
        <f>'NIR faktorer'!D1229</f>
        <v>NO</v>
      </c>
      <c r="H54" s="1281" t="str">
        <f>'NIR faktorer'!D1245</f>
        <v>NO</v>
      </c>
      <c r="I54" s="1280" t="str">
        <f t="shared" si="2"/>
        <v>NO</v>
      </c>
      <c r="J54" s="1279" t="str">
        <f t="shared" si="3"/>
        <v>NO</v>
      </c>
      <c r="K54" s="1279" t="str">
        <f t="shared" si="1"/>
        <v>NO</v>
      </c>
      <c r="L54" s="1278" t="str">
        <f t="shared" si="1"/>
        <v>NO</v>
      </c>
    </row>
    <row r="55" spans="1:12" x14ac:dyDescent="0.25">
      <c r="A55" s="1301" t="s">
        <v>708</v>
      </c>
      <c r="B55" s="1300" t="str">
        <f>'NIR faktorer'!D1148</f>
        <v>NO</v>
      </c>
      <c r="C55" s="1299" t="str">
        <f>'NIR faktorer'!D1165</f>
        <v>NO</v>
      </c>
      <c r="D55" s="1298" t="str">
        <f>'NIR faktorer'!D1181</f>
        <v>NO</v>
      </c>
      <c r="E55" s="1297" t="str">
        <f>'NIR faktorer'!D1197</f>
        <v>NO</v>
      </c>
      <c r="F55" s="1299" t="str">
        <f>'NIR faktorer'!D1214</f>
        <v>NO</v>
      </c>
      <c r="G55" s="1298" t="str">
        <f>'NIR faktorer'!D1230</f>
        <v>NO</v>
      </c>
      <c r="H55" s="1297" t="str">
        <f>'NIR faktorer'!D1246</f>
        <v>NO</v>
      </c>
      <c r="I55" s="1511" t="str">
        <f t="shared" si="2"/>
        <v>NO</v>
      </c>
      <c r="J55" s="1505" t="str">
        <f t="shared" si="3"/>
        <v>NO</v>
      </c>
      <c r="K55" s="1505" t="str">
        <f t="shared" si="1"/>
        <v>NO</v>
      </c>
      <c r="L55" s="1506" t="str">
        <f t="shared" si="1"/>
        <v>NO</v>
      </c>
    </row>
    <row r="56" spans="1:12" x14ac:dyDescent="0.25">
      <c r="A56" s="1769" t="s">
        <v>707</v>
      </c>
      <c r="B56" s="1292" t="str">
        <f>'NIR faktorer'!D1149</f>
        <v>NO</v>
      </c>
      <c r="C56" s="1291" t="str">
        <f>'NIR faktorer'!D1166</f>
        <v>NO</v>
      </c>
      <c r="D56" s="1290" t="str">
        <f>'NIR faktorer'!D1182</f>
        <v>NO</v>
      </c>
      <c r="E56" s="1289" t="str">
        <f>'NIR faktorer'!D1198</f>
        <v>NO</v>
      </c>
      <c r="F56" s="1291" t="str">
        <f>'NIR faktorer'!D1215</f>
        <v>NO</v>
      </c>
      <c r="G56" s="1290" t="str">
        <f>'NIR faktorer'!D1231</f>
        <v>NO</v>
      </c>
      <c r="H56" s="1289" t="str">
        <f>'NIR faktorer'!D1247</f>
        <v>NO</v>
      </c>
      <c r="I56" s="1288" t="str">
        <f t="shared" si="2"/>
        <v>NO</v>
      </c>
      <c r="J56" s="1287" t="str">
        <f t="shared" si="3"/>
        <v>NO</v>
      </c>
      <c r="K56" s="1287" t="str">
        <f t="shared" si="1"/>
        <v>NO</v>
      </c>
      <c r="L56" s="1286" t="str">
        <f t="shared" si="1"/>
        <v>NO</v>
      </c>
    </row>
    <row r="57" spans="1:12" x14ac:dyDescent="0.25">
      <c r="A57" s="1293" t="s">
        <v>704</v>
      </c>
      <c r="B57" s="1292" t="str">
        <f>'NIR faktorer'!D1150</f>
        <v>NO</v>
      </c>
      <c r="C57" s="1291" t="str">
        <f>'NIR faktorer'!D1167</f>
        <v>NO</v>
      </c>
      <c r="D57" s="1290" t="str">
        <f>'NIR faktorer'!D1183</f>
        <v>NO</v>
      </c>
      <c r="E57" s="1289" t="str">
        <f>'NIR faktorer'!D1199</f>
        <v>NO</v>
      </c>
      <c r="F57" s="1291" t="str">
        <f>'NIR faktorer'!D1216</f>
        <v>NO</v>
      </c>
      <c r="G57" s="1290" t="str">
        <f>'NIR faktorer'!D1232</f>
        <v>NO</v>
      </c>
      <c r="H57" s="1289" t="str">
        <f>'NIR faktorer'!D1248</f>
        <v>NO</v>
      </c>
      <c r="I57" s="1288" t="str">
        <f t="shared" si="2"/>
        <v>NO</v>
      </c>
      <c r="J57" s="1287" t="str">
        <f t="shared" si="3"/>
        <v>NO</v>
      </c>
      <c r="K57" s="1287" t="str">
        <f t="shared" si="1"/>
        <v>NO</v>
      </c>
      <c r="L57" s="1286" t="str">
        <f t="shared" si="1"/>
        <v>NO</v>
      </c>
    </row>
    <row r="58" spans="1:12" x14ac:dyDescent="0.25">
      <c r="A58" s="1293" t="s">
        <v>706</v>
      </c>
      <c r="B58" s="1292" t="str">
        <f>'NIR faktorer'!D1151</f>
        <v>NO</v>
      </c>
      <c r="C58" s="1291" t="str">
        <f>'NIR faktorer'!D1168</f>
        <v>NO</v>
      </c>
      <c r="D58" s="1290" t="str">
        <f>'NIR faktorer'!D1184</f>
        <v>NO</v>
      </c>
      <c r="E58" s="1289" t="str">
        <f>'NIR faktorer'!D1200</f>
        <v>NO</v>
      </c>
      <c r="F58" s="1291" t="str">
        <f>'NIR faktorer'!D1217</f>
        <v>NO</v>
      </c>
      <c r="G58" s="1290" t="str">
        <f>'NIR faktorer'!D1233</f>
        <v>NO</v>
      </c>
      <c r="H58" s="1289" t="str">
        <f>'NIR faktorer'!D1249</f>
        <v>NO</v>
      </c>
      <c r="I58" s="1296" t="str">
        <f t="shared" si="2"/>
        <v>NO</v>
      </c>
      <c r="J58" s="1295" t="str">
        <f t="shared" si="3"/>
        <v>NO</v>
      </c>
      <c r="K58" s="1295" t="str">
        <f t="shared" si="1"/>
        <v>NO</v>
      </c>
      <c r="L58" s="1294" t="str">
        <f t="shared" si="1"/>
        <v>NO</v>
      </c>
    </row>
    <row r="59" spans="1:12" x14ac:dyDescent="0.25">
      <c r="A59" s="1769" t="s">
        <v>705</v>
      </c>
      <c r="B59" s="1292" t="str">
        <f>'NIR faktorer'!D1152</f>
        <v>NO</v>
      </c>
      <c r="C59" s="1291" t="str">
        <f>'NIR faktorer'!D1169</f>
        <v>NO</v>
      </c>
      <c r="D59" s="1290" t="str">
        <f>'NIR faktorer'!D1185</f>
        <v>NO</v>
      </c>
      <c r="E59" s="1289" t="str">
        <f>'NIR faktorer'!D1201</f>
        <v>NO</v>
      </c>
      <c r="F59" s="1291" t="str">
        <f>'NIR faktorer'!D1218</f>
        <v>NO</v>
      </c>
      <c r="G59" s="1290" t="str">
        <f>'NIR faktorer'!D1234</f>
        <v>NO</v>
      </c>
      <c r="H59" s="1289" t="str">
        <f>'NIR faktorer'!D1250</f>
        <v>NO</v>
      </c>
      <c r="I59" s="1288" t="str">
        <f t="shared" si="2"/>
        <v>NO</v>
      </c>
      <c r="J59" s="1287" t="str">
        <f t="shared" si="3"/>
        <v>NO</v>
      </c>
      <c r="K59" s="1287" t="str">
        <f t="shared" si="1"/>
        <v>NO</v>
      </c>
      <c r="L59" s="1286" t="str">
        <f t="shared" si="1"/>
        <v>NO</v>
      </c>
    </row>
    <row r="60" spans="1:12" x14ac:dyDescent="0.25">
      <c r="A60" s="1293" t="s">
        <v>704</v>
      </c>
      <c r="B60" s="1292" t="str">
        <f>'NIR faktorer'!D1153</f>
        <v>NO</v>
      </c>
      <c r="C60" s="1291" t="str">
        <f>'NIR faktorer'!D1170</f>
        <v>NO</v>
      </c>
      <c r="D60" s="1290" t="str">
        <f>'NIR faktorer'!D1186</f>
        <v>NO</v>
      </c>
      <c r="E60" s="1289" t="str">
        <f>'NIR faktorer'!D1202</f>
        <v>NO</v>
      </c>
      <c r="F60" s="1291" t="str">
        <f>'NIR faktorer'!D1219</f>
        <v>NO</v>
      </c>
      <c r="G60" s="1290" t="str">
        <f>'NIR faktorer'!D1235</f>
        <v>NO</v>
      </c>
      <c r="H60" s="1289" t="str">
        <f>'NIR faktorer'!D1251</f>
        <v>NO</v>
      </c>
      <c r="I60" s="1288" t="str">
        <f t="shared" si="2"/>
        <v>NO</v>
      </c>
      <c r="J60" s="1287" t="str">
        <f t="shared" si="3"/>
        <v>NO</v>
      </c>
      <c r="K60" s="1287" t="str">
        <f t="shared" si="1"/>
        <v>NO</v>
      </c>
      <c r="L60" s="1286" t="str">
        <f t="shared" si="1"/>
        <v>NO</v>
      </c>
    </row>
    <row r="61" spans="1:12" ht="15.75" thickBot="1" x14ac:dyDescent="0.3">
      <c r="A61" s="1285" t="s">
        <v>703</v>
      </c>
      <c r="B61" s="1284" t="str">
        <f>'NIR faktorer'!D1154</f>
        <v>NO</v>
      </c>
      <c r="C61" s="1283" t="str">
        <f>'NIR faktorer'!D1171</f>
        <v>NO</v>
      </c>
      <c r="D61" s="1282" t="str">
        <f>'NIR faktorer'!D1187</f>
        <v>NO</v>
      </c>
      <c r="E61" s="1281" t="str">
        <f>'NIR faktorer'!D1203</f>
        <v>NO</v>
      </c>
      <c r="F61" s="1283" t="str">
        <f>'NIR faktorer'!D1220</f>
        <v>NO</v>
      </c>
      <c r="G61" s="1282" t="str">
        <f>'NIR faktorer'!D1236</f>
        <v>NO</v>
      </c>
      <c r="H61" s="1281" t="str">
        <f>'NIR faktorer'!D1252</f>
        <v>NO</v>
      </c>
      <c r="I61" s="1280" t="str">
        <f t="shared" si="2"/>
        <v>NO</v>
      </c>
      <c r="J61" s="1279" t="str">
        <f t="shared" si="3"/>
        <v>NO</v>
      </c>
      <c r="K61" s="1279" t="str">
        <f t="shared" si="1"/>
        <v>NO</v>
      </c>
      <c r="L61" s="1278" t="str">
        <f t="shared" si="1"/>
        <v>NO</v>
      </c>
    </row>
    <row r="63" spans="1:12" s="1010" customFormat="1" ht="12" x14ac:dyDescent="0.2">
      <c r="A63" s="1012" t="s">
        <v>2042</v>
      </c>
      <c r="B63" s="5349" t="str">
        <f>'NIR faktorer'!D1254</f>
        <v xml:space="preserve"> NIR 2020 (2018) CRF tabel 5.C</v>
      </c>
      <c r="C63" s="5350"/>
      <c r="D63" s="5350"/>
      <c r="E63" s="5350"/>
      <c r="F63" s="5350"/>
      <c r="G63" s="5350"/>
      <c r="H63" s="5350"/>
      <c r="I63" s="5350" t="s">
        <v>2524</v>
      </c>
      <c r="J63" s="5350"/>
      <c r="K63" s="5350"/>
      <c r="L63" s="5350"/>
    </row>
    <row r="64" spans="1:12" x14ac:dyDescent="0.25">
      <c r="B64" s="1013"/>
    </row>
    <row r="65" spans="1:8" x14ac:dyDescent="0.25">
      <c r="A65" s="1277" t="s">
        <v>2523</v>
      </c>
      <c r="B65" s="1276"/>
      <c r="C65" s="1275"/>
      <c r="D65" s="1275"/>
      <c r="E65" s="1275"/>
      <c r="F65" s="1275"/>
      <c r="G65" s="1275"/>
      <c r="H65" s="1275"/>
    </row>
    <row r="66" spans="1:8" x14ac:dyDescent="0.25">
      <c r="A66" s="1010"/>
      <c r="B66" s="1010"/>
    </row>
    <row r="67" spans="1:8" x14ac:dyDescent="0.25">
      <c r="A67" s="1090" t="s">
        <v>2320</v>
      </c>
      <c r="B67" s="1090" t="s">
        <v>2319</v>
      </c>
    </row>
  </sheetData>
  <mergeCells count="59">
    <mergeCell ref="B63:H63"/>
    <mergeCell ref="I63:L63"/>
    <mergeCell ref="G43:G44"/>
    <mergeCell ref="H43:H44"/>
    <mergeCell ref="J43:J44"/>
    <mergeCell ref="K43:K44"/>
    <mergeCell ref="L43:L44"/>
    <mergeCell ref="C45:E45"/>
    <mergeCell ref="F45:H45"/>
    <mergeCell ref="J45:L45"/>
    <mergeCell ref="C42:E42"/>
    <mergeCell ref="F42:H42"/>
    <mergeCell ref="I42:I44"/>
    <mergeCell ref="J42:L42"/>
    <mergeCell ref="A43:A45"/>
    <mergeCell ref="B43:B44"/>
    <mergeCell ref="C43:C44"/>
    <mergeCell ref="D43:D44"/>
    <mergeCell ref="E43:E44"/>
    <mergeCell ref="F43:F44"/>
    <mergeCell ref="A22:A24"/>
    <mergeCell ref="B22:B23"/>
    <mergeCell ref="C22:C23"/>
    <mergeCell ref="D22:D23"/>
    <mergeCell ref="E22:E23"/>
    <mergeCell ref="C24:D24"/>
    <mergeCell ref="E24:F24"/>
    <mergeCell ref="G9:H9"/>
    <mergeCell ref="J9:L9"/>
    <mergeCell ref="B16:H16"/>
    <mergeCell ref="I16:L16"/>
    <mergeCell ref="B34:F34"/>
    <mergeCell ref="G34:J34"/>
    <mergeCell ref="F22:F23"/>
    <mergeCell ref="I22:I23"/>
    <mergeCell ref="J22:J23"/>
    <mergeCell ref="H24:J24"/>
    <mergeCell ref="C21:D21"/>
    <mergeCell ref="E21:F21"/>
    <mergeCell ref="G21:G23"/>
    <mergeCell ref="H21:J21"/>
    <mergeCell ref="H22:H23"/>
    <mergeCell ref="L7:L8"/>
    <mergeCell ref="B6:D6"/>
    <mergeCell ref="E6:F6"/>
    <mergeCell ref="G6:H6"/>
    <mergeCell ref="I6:I8"/>
    <mergeCell ref="J6:L6"/>
    <mergeCell ref="F7:F8"/>
    <mergeCell ref="G7:G8"/>
    <mergeCell ref="H7:H8"/>
    <mergeCell ref="J7:J8"/>
    <mergeCell ref="K7:K8"/>
    <mergeCell ref="A7:A9"/>
    <mergeCell ref="B7:B8"/>
    <mergeCell ref="C7:C8"/>
    <mergeCell ref="D7:D8"/>
    <mergeCell ref="E7:E8"/>
    <mergeCell ref="E9:F9"/>
  </mergeCells>
  <hyperlinks>
    <hyperlink ref="A2" location="Index!A1" display="Til index" xr:uid="{91E451C3-2C57-4BB5-9F17-FF8973C3908E}"/>
  </hyperlinks>
  <pageMargins left="0.7" right="0.7" top="0.75" bottom="0.75" header="0.3" footer="0.3"/>
  <pageSetup paperSize="8" scale="9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3718E-2482-4AFC-A0C7-89620ACB83D2}">
  <sheetPr codeName="Ark100">
    <tabColor theme="4" tint="-0.249977111117893"/>
    <pageSetUpPr fitToPage="1"/>
  </sheetPr>
  <dimension ref="A1:O67"/>
  <sheetViews>
    <sheetView showGridLines="0" zoomScale="85" zoomScaleNormal="85" workbookViewId="0">
      <selection activeCell="O5" sqref="O5"/>
    </sheetView>
  </sheetViews>
  <sheetFormatPr defaultColWidth="9.140625" defaultRowHeight="15" x14ac:dyDescent="0.25"/>
  <cols>
    <col min="1" max="1" width="46.140625" style="1779" customWidth="1"/>
    <col min="2" max="2" width="46.85546875" style="1779" customWidth="1"/>
    <col min="3" max="3" width="57.5703125" style="1779" customWidth="1"/>
    <col min="4" max="4" width="10.42578125" style="1779" customWidth="1"/>
    <col min="5" max="5" width="9.140625" style="1779"/>
    <col min="6" max="6" width="12.85546875" style="1779" customWidth="1"/>
    <col min="7" max="7" width="13.7109375" style="1779" customWidth="1"/>
    <col min="8" max="8" width="15" style="1779" customWidth="1"/>
    <col min="9" max="9" width="13" style="1779" customWidth="1"/>
    <col min="10" max="10" width="16" style="1779" customWidth="1"/>
    <col min="11" max="11" width="13" style="1779" customWidth="1"/>
    <col min="12" max="12" width="14.5703125" style="1779" customWidth="1"/>
    <col min="13" max="13" width="11.140625" style="1779" customWidth="1"/>
    <col min="14" max="14" width="24.28515625" style="1779" bestFit="1" customWidth="1"/>
    <col min="15" max="15" width="31.42578125" style="1779" bestFit="1" customWidth="1"/>
    <col min="16" max="16" width="11.140625" style="1779" bestFit="1" customWidth="1"/>
    <col min="17" max="18" width="9.140625" style="1779"/>
    <col min="19" max="19" width="19.140625" style="1779" customWidth="1"/>
    <col min="20" max="16384" width="9.140625" style="1779"/>
  </cols>
  <sheetData>
    <row r="1" spans="1:15" s="1866" customFormat="1" ht="54" customHeight="1" x14ac:dyDescent="0.35">
      <c r="B1" s="1007" t="s">
        <v>4011</v>
      </c>
    </row>
    <row r="2" spans="1:15" ht="21" x14ac:dyDescent="0.35">
      <c r="A2" s="1740" t="s">
        <v>4206</v>
      </c>
    </row>
    <row r="3" spans="1:15" ht="16.5" customHeight="1" x14ac:dyDescent="0.35">
      <c r="A3" s="1496"/>
      <c r="B3" s="1779" t="s">
        <v>2543</v>
      </c>
      <c r="D3" s="1359"/>
    </row>
    <row r="4" spans="1:15" ht="14.1" customHeight="1" thickBot="1" x14ac:dyDescent="0.3"/>
    <row r="5" spans="1:15" ht="15.75" thickBot="1" x14ac:dyDescent="0.3">
      <c r="A5" s="1310" t="s">
        <v>310</v>
      </c>
      <c r="N5" s="1358" t="s">
        <v>2542</v>
      </c>
      <c r="O5" s="2103" t="str">
        <f>FOLK1A!L3</f>
        <v>2018K1</v>
      </c>
    </row>
    <row r="6" spans="1:15" x14ac:dyDescent="0.25">
      <c r="A6" s="1301" t="s">
        <v>692</v>
      </c>
      <c r="B6" s="5336" t="s">
        <v>2530</v>
      </c>
      <c r="C6" s="5337"/>
      <c r="D6" s="5338"/>
      <c r="E6" s="5336" t="s">
        <v>538</v>
      </c>
      <c r="F6" s="5339"/>
      <c r="G6" s="5340" t="s">
        <v>2557</v>
      </c>
      <c r="H6" s="5338"/>
      <c r="I6" s="5341" t="s">
        <v>4764</v>
      </c>
      <c r="J6" s="5337" t="s">
        <v>4759</v>
      </c>
      <c r="K6" s="5337"/>
      <c r="L6" s="5338"/>
      <c r="N6" s="2856" t="s">
        <v>4761</v>
      </c>
      <c r="O6" s="2098">
        <f>FOLK1A!L6</f>
        <v>1807</v>
      </c>
    </row>
    <row r="7" spans="1:15" ht="29.1" customHeight="1" thickBot="1" x14ac:dyDescent="0.3">
      <c r="A7" s="5328"/>
      <c r="B7" s="5333" t="s">
        <v>4760</v>
      </c>
      <c r="C7" s="5331" t="s">
        <v>2540</v>
      </c>
      <c r="D7" s="5332" t="s">
        <v>2539</v>
      </c>
      <c r="E7" s="5333" t="s">
        <v>2527</v>
      </c>
      <c r="F7" s="5343" t="s">
        <v>2528</v>
      </c>
      <c r="G7" s="5344" t="s">
        <v>2527</v>
      </c>
      <c r="H7" s="5332" t="s">
        <v>2528</v>
      </c>
      <c r="I7" s="5342"/>
      <c r="J7" s="5331" t="s">
        <v>2528</v>
      </c>
      <c r="K7" s="5331" t="s">
        <v>2527</v>
      </c>
      <c r="L7" s="5332" t="s">
        <v>2526</v>
      </c>
      <c r="N7" s="2857" t="s">
        <v>4762</v>
      </c>
      <c r="O7" s="2104">
        <f>FOLK1A!L4</f>
        <v>5781190</v>
      </c>
    </row>
    <row r="8" spans="1:15" ht="16.5" customHeight="1" x14ac:dyDescent="0.25">
      <c r="A8" s="5328"/>
      <c r="B8" s="5333"/>
      <c r="C8" s="5331"/>
      <c r="D8" s="5332"/>
      <c r="E8" s="5333"/>
      <c r="F8" s="5343"/>
      <c r="G8" s="5344"/>
      <c r="H8" s="5332"/>
      <c r="I8" s="5342"/>
      <c r="J8" s="5331"/>
      <c r="K8" s="5331"/>
      <c r="L8" s="5332"/>
    </row>
    <row r="9" spans="1:15" ht="15.75" thickBot="1" x14ac:dyDescent="0.3">
      <c r="A9" s="5329"/>
      <c r="B9" s="1770" t="s">
        <v>732</v>
      </c>
      <c r="C9" s="1767"/>
      <c r="D9" s="1768" t="s">
        <v>18</v>
      </c>
      <c r="E9" s="5334" t="s">
        <v>735</v>
      </c>
      <c r="F9" s="5335"/>
      <c r="G9" s="5345" t="s">
        <v>665</v>
      </c>
      <c r="H9" s="5346"/>
      <c r="I9" s="1306" t="s">
        <v>226</v>
      </c>
      <c r="J9" s="5347" t="s">
        <v>226</v>
      </c>
      <c r="K9" s="5347"/>
      <c r="L9" s="5348"/>
    </row>
    <row r="10" spans="1:15" x14ac:dyDescent="0.25">
      <c r="A10" s="1301" t="s">
        <v>741</v>
      </c>
      <c r="B10" s="2105">
        <f>'NIR faktorer'!D1050</f>
        <v>700.40714869999999</v>
      </c>
      <c r="C10" s="2106" t="str">
        <f>'NIR faktorer'!D1056</f>
        <v/>
      </c>
      <c r="D10" s="2107" t="str">
        <f>'NIR faktorer'!D1062</f>
        <v/>
      </c>
      <c r="E10" s="2108">
        <f>'NIR faktorer'!D1068</f>
        <v>3.2003725344999998E-2</v>
      </c>
      <c r="F10" s="2109" t="str">
        <f>'NIR faktorer'!D1073</f>
        <v>NO,NA</v>
      </c>
      <c r="G10" s="2110">
        <f>'NIR faktorer'!D1079</f>
        <v>22.415638016669401</v>
      </c>
      <c r="H10" s="2111">
        <f>'NIR faktorer'!D1084</f>
        <v>0</v>
      </c>
      <c r="I10" s="2112">
        <f>IFERROR(B10/$O$7*$O$6*1000,"NO")</f>
        <v>218.92304485770231</v>
      </c>
      <c r="J10" s="2113" t="str">
        <f>J11</f>
        <v>NA,NE</v>
      </c>
      <c r="K10" s="2114">
        <f>K11</f>
        <v>7.0063529993170279</v>
      </c>
      <c r="L10" s="2115" t="str">
        <f>L11</f>
        <v>NA,NE</v>
      </c>
    </row>
    <row r="11" spans="1:15" x14ac:dyDescent="0.25">
      <c r="A11" s="2116" t="s">
        <v>739</v>
      </c>
      <c r="B11" s="2117">
        <f>'NIR faktorer'!D1051</f>
        <v>700.40714869999999</v>
      </c>
      <c r="C11" s="2118">
        <f>'NIR faktorer'!D1057</f>
        <v>1</v>
      </c>
      <c r="D11" s="2119">
        <f>'NIR faktorer'!D1063</f>
        <v>4.0160650920999998</v>
      </c>
      <c r="E11" s="2120">
        <f>'NIR faktorer'!D1069</f>
        <v>3.2003725344999998E-2</v>
      </c>
      <c r="F11" s="2121" t="str">
        <f>'NIR faktorer'!D1074</f>
        <v>NA</v>
      </c>
      <c r="G11" s="2122">
        <f>'NIR faktorer'!D1080</f>
        <v>22.415638016669401</v>
      </c>
      <c r="H11" s="2123" t="str">
        <f>'NIR faktorer'!D1085</f>
        <v>NO,NA</v>
      </c>
      <c r="I11" s="2124">
        <f t="shared" ref="I11:I14" si="0">IFERROR(B11/$O$7*$O$6*1000,"NO")</f>
        <v>218.92304485770231</v>
      </c>
      <c r="J11" s="2125" t="s">
        <v>2538</v>
      </c>
      <c r="K11" s="1783">
        <f>G11*1000/O7*O6</f>
        <v>7.0063529993170279</v>
      </c>
      <c r="L11" s="2126" t="s">
        <v>2538</v>
      </c>
    </row>
    <row r="12" spans="1:15" ht="15.75" thickBot="1" x14ac:dyDescent="0.3">
      <c r="A12" s="2127" t="s">
        <v>738</v>
      </c>
      <c r="B12" s="2128" t="str">
        <f>'NIR faktorer'!D1052</f>
        <v>NO</v>
      </c>
      <c r="C12" s="2129" t="str">
        <f>'NIR faktorer'!D1058</f>
        <v>NO</v>
      </c>
      <c r="D12" s="2130" t="str">
        <f>'NIR faktorer'!D1064</f>
        <v>NO</v>
      </c>
      <c r="E12" s="2128" t="str">
        <f>'NIR faktorer'!D1070</f>
        <v>NO</v>
      </c>
      <c r="F12" s="2131" t="str">
        <f>'NIR faktorer'!D1075</f>
        <v>NO</v>
      </c>
      <c r="G12" s="2132" t="str">
        <f>'NIR faktorer'!D1081</f>
        <v>NO</v>
      </c>
      <c r="H12" s="2133" t="str">
        <f>'NIR faktorer'!D1086</f>
        <v>NA</v>
      </c>
      <c r="I12" s="2134" t="str">
        <f t="shared" si="0"/>
        <v>NO</v>
      </c>
      <c r="J12" s="2135" t="s">
        <v>2537</v>
      </c>
      <c r="K12" s="2135" t="s">
        <v>2537</v>
      </c>
      <c r="L12" s="2136" t="s">
        <v>2537</v>
      </c>
    </row>
    <row r="13" spans="1:15" ht="15.75" thickBot="1" x14ac:dyDescent="0.3">
      <c r="A13" s="1342" t="s">
        <v>737</v>
      </c>
      <c r="B13" s="2137" t="str">
        <f>'NIR faktorer'!D1053</f>
        <v>NO</v>
      </c>
      <c r="C13" s="2138" t="str">
        <f>'NIR faktorer'!D1059</f>
        <v>NO</v>
      </c>
      <c r="D13" s="2139" t="str">
        <f>'NIR faktorer'!D1065</f>
        <v>NO</v>
      </c>
      <c r="E13" s="2137" t="str">
        <f>'NIR faktorer'!D1071</f>
        <v>NO</v>
      </c>
      <c r="F13" s="2140" t="str">
        <f>'NIR faktorer'!D1076</f>
        <v>NO</v>
      </c>
      <c r="G13" s="2141" t="str">
        <f>'NIR faktorer'!D1082</f>
        <v>NO</v>
      </c>
      <c r="H13" s="2142" t="str">
        <f>'NIR faktorer'!D1087</f>
        <v>NO</v>
      </c>
      <c r="I13" s="2143" t="str">
        <f t="shared" si="0"/>
        <v>NO</v>
      </c>
      <c r="J13" s="2144" t="s">
        <v>2537</v>
      </c>
      <c r="K13" s="2145" t="str">
        <f>IFERROR(G13*1000/O7*O6,"NO")</f>
        <v>NO</v>
      </c>
      <c r="L13" s="2146" t="s">
        <v>2537</v>
      </c>
    </row>
    <row r="14" spans="1:15" ht="15.75" thickBot="1" x14ac:dyDescent="0.3">
      <c r="A14" s="1342" t="s">
        <v>736</v>
      </c>
      <c r="B14" s="2137" t="str">
        <f>'NIR faktorer'!D1054</f>
        <v>NO</v>
      </c>
      <c r="C14" s="2138" t="str">
        <f>'NIR faktorer'!D1060</f>
        <v>NO</v>
      </c>
      <c r="D14" s="2139" t="str">
        <f>'NIR faktorer'!D1066</f>
        <v>NO</v>
      </c>
      <c r="E14" s="2137" t="str">
        <f>'NIR faktorer'!D1072</f>
        <v>NO</v>
      </c>
      <c r="F14" s="2140" t="str">
        <f>'NIR faktorer'!D1077</f>
        <v>NO</v>
      </c>
      <c r="G14" s="2141" t="str">
        <f>'NIR faktorer'!D1083</f>
        <v>NO</v>
      </c>
      <c r="H14" s="2142" t="str">
        <f>'NIR faktorer'!D1088</f>
        <v>NO</v>
      </c>
      <c r="I14" s="2147" t="str">
        <f t="shared" si="0"/>
        <v>NO</v>
      </c>
      <c r="J14" s="2144" t="s">
        <v>2537</v>
      </c>
      <c r="K14" s="2144" t="s">
        <v>2537</v>
      </c>
      <c r="L14" s="2146" t="s">
        <v>2537</v>
      </c>
    </row>
    <row r="16" spans="1:15" s="1335" customFormat="1" ht="12" x14ac:dyDescent="0.2">
      <c r="A16" s="1012" t="s">
        <v>2042</v>
      </c>
      <c r="B16" s="5349" t="str">
        <f>'NIR faktorer'!D1090</f>
        <v xml:space="preserve"> NIR 2020 (2018) CRF tabel 5.A</v>
      </c>
      <c r="C16" s="5350"/>
      <c r="D16" s="5350"/>
      <c r="E16" s="5350"/>
      <c r="F16" s="5350"/>
      <c r="G16" s="5350"/>
      <c r="H16" s="5350"/>
      <c r="I16" s="5350" t="s">
        <v>2524</v>
      </c>
      <c r="J16" s="5350"/>
      <c r="K16" s="5350"/>
      <c r="L16" s="5350"/>
    </row>
    <row r="17" spans="1:12" x14ac:dyDescent="0.25">
      <c r="B17" s="1874"/>
      <c r="C17" s="1874"/>
      <c r="D17" s="1874"/>
      <c r="E17" s="1874"/>
      <c r="F17" s="1874"/>
      <c r="G17" s="1874"/>
      <c r="H17" s="1874"/>
      <c r="I17" s="1874"/>
      <c r="J17" s="1874"/>
      <c r="K17" s="1874"/>
      <c r="L17" s="1874"/>
    </row>
    <row r="18" spans="1:12" s="1010" customFormat="1" ht="12" x14ac:dyDescent="0.2">
      <c r="A18" s="1090" t="s">
        <v>2320</v>
      </c>
      <c r="B18" s="1090" t="s">
        <v>2319</v>
      </c>
      <c r="C18" s="1089"/>
      <c r="D18" s="1089"/>
      <c r="E18" s="1089"/>
      <c r="F18" s="1089"/>
      <c r="G18" s="1089"/>
      <c r="H18" s="1089"/>
      <c r="I18" s="1089"/>
      <c r="J18" s="1089"/>
      <c r="K18" s="1089"/>
      <c r="L18" s="1089"/>
    </row>
    <row r="20" spans="1:12" ht="15.75" thickBot="1" x14ac:dyDescent="0.3">
      <c r="A20" s="1310" t="s">
        <v>309</v>
      </c>
    </row>
    <row r="21" spans="1:12" ht="15" customHeight="1" x14ac:dyDescent="0.25">
      <c r="A21" s="1301" t="s">
        <v>692</v>
      </c>
      <c r="B21" s="1334" t="s">
        <v>2530</v>
      </c>
      <c r="C21" s="5340" t="s">
        <v>2536</v>
      </c>
      <c r="D21" s="5338"/>
      <c r="E21" s="5340" t="s">
        <v>2557</v>
      </c>
      <c r="F21" s="5338"/>
      <c r="G21" s="5341" t="s">
        <v>4763</v>
      </c>
      <c r="H21" s="5337" t="s">
        <v>4759</v>
      </c>
      <c r="I21" s="5337"/>
      <c r="J21" s="5338"/>
    </row>
    <row r="22" spans="1:12" ht="16.5" customHeight="1" x14ac:dyDescent="0.25">
      <c r="A22" s="5328"/>
      <c r="B22" s="5333" t="s">
        <v>4760</v>
      </c>
      <c r="C22" s="5344" t="s">
        <v>2527</v>
      </c>
      <c r="D22" s="5332" t="s">
        <v>2526</v>
      </c>
      <c r="E22" s="5344" t="s">
        <v>2527</v>
      </c>
      <c r="F22" s="5355" t="s">
        <v>2535</v>
      </c>
      <c r="G22" s="5342"/>
      <c r="H22" s="5331" t="s">
        <v>2528</v>
      </c>
      <c r="I22" s="5331" t="s">
        <v>2527</v>
      </c>
      <c r="J22" s="5332" t="s">
        <v>2526</v>
      </c>
    </row>
    <row r="23" spans="1:12" ht="26.1" customHeight="1" x14ac:dyDescent="0.25">
      <c r="A23" s="5328"/>
      <c r="B23" s="5333"/>
      <c r="C23" s="5344"/>
      <c r="D23" s="5332"/>
      <c r="E23" s="5344"/>
      <c r="F23" s="5355"/>
      <c r="G23" s="5342"/>
      <c r="H23" s="5331"/>
      <c r="I23" s="5331"/>
      <c r="J23" s="5332"/>
    </row>
    <row r="24" spans="1:12" ht="15.75" thickBot="1" x14ac:dyDescent="0.3">
      <c r="A24" s="5358"/>
      <c r="B24" s="1333" t="s">
        <v>732</v>
      </c>
      <c r="C24" s="5359" t="s">
        <v>2534</v>
      </c>
      <c r="D24" s="5360"/>
      <c r="E24" s="5359" t="s">
        <v>665</v>
      </c>
      <c r="F24" s="5360"/>
      <c r="G24" s="1332" t="s">
        <v>226</v>
      </c>
      <c r="H24" s="5347" t="s">
        <v>226</v>
      </c>
      <c r="I24" s="5347"/>
      <c r="J24" s="5348"/>
    </row>
    <row r="25" spans="1:12" x14ac:dyDescent="0.25">
      <c r="A25" s="1301" t="s">
        <v>730</v>
      </c>
      <c r="B25" s="2148" t="str">
        <f>'NIR faktorer'!D1093</f>
        <v>NO</v>
      </c>
      <c r="C25" s="2149" t="str">
        <f>'NIR faktorer'!D1102</f>
        <v>NO</v>
      </c>
      <c r="D25" s="2150" t="str">
        <f>'NIR faktorer'!D1110</f>
        <v>NO</v>
      </c>
      <c r="E25" s="2149">
        <f>'NIR faktorer'!D1119</f>
        <v>4.2720944004752202</v>
      </c>
      <c r="F25" s="2150">
        <f>'NIR faktorer'!D1127</f>
        <v>0.28018111305512999</v>
      </c>
      <c r="G25" s="2151" t="s">
        <v>259</v>
      </c>
      <c r="H25" s="2152" t="s">
        <v>259</v>
      </c>
      <c r="I25" s="2153">
        <f>I27</f>
        <v>1.3353089211146361</v>
      </c>
      <c r="J25" s="2154">
        <f>J27</f>
        <v>8.7574923379203903E-2</v>
      </c>
    </row>
    <row r="26" spans="1:12" x14ac:dyDescent="0.25">
      <c r="A26" s="1769" t="s">
        <v>728</v>
      </c>
      <c r="B26" s="2155" t="str">
        <f>'NIR faktorer'!D1094</f>
        <v>NO</v>
      </c>
      <c r="C26" s="1781" t="str">
        <f>'NIR faktorer'!D1103</f>
        <v>NO</v>
      </c>
      <c r="D26" s="2156" t="str">
        <f>'NIR faktorer'!D1111</f>
        <v>NO</v>
      </c>
      <c r="E26" s="1781" t="str">
        <f>'NIR faktorer'!D1120</f>
        <v>NO</v>
      </c>
      <c r="F26" s="2156" t="str">
        <f>'NIR faktorer'!D1128</f>
        <v>NO</v>
      </c>
      <c r="G26" s="2157" t="s">
        <v>259</v>
      </c>
      <c r="H26" s="2125" t="s">
        <v>259</v>
      </c>
      <c r="I26" s="2125" t="s">
        <v>259</v>
      </c>
      <c r="J26" s="2126" t="s">
        <v>259</v>
      </c>
    </row>
    <row r="27" spans="1:12" x14ac:dyDescent="0.25">
      <c r="A27" s="1769" t="s">
        <v>727</v>
      </c>
      <c r="B27" s="2155" t="str">
        <f>'NIR faktorer'!D1095</f>
        <v>NO</v>
      </c>
      <c r="C27" s="1781" t="str">
        <f>'NIR faktorer'!D1104</f>
        <v>NO</v>
      </c>
      <c r="D27" s="2156" t="str">
        <f>'NIR faktorer'!D1112</f>
        <v>NO</v>
      </c>
      <c r="E27" s="1781">
        <f>'NIR faktorer'!D1121</f>
        <v>4.2720944004752202</v>
      </c>
      <c r="F27" s="2156">
        <f>'NIR faktorer'!D1129</f>
        <v>0.28018111305512999</v>
      </c>
      <c r="G27" s="2157" t="s">
        <v>259</v>
      </c>
      <c r="H27" s="2125" t="s">
        <v>259</v>
      </c>
      <c r="I27" s="1783">
        <f>E27*1000/O7*O6</f>
        <v>1.3353089211146361</v>
      </c>
      <c r="J27" s="2156">
        <f>J28</f>
        <v>8.7574923379203903E-2</v>
      </c>
    </row>
    <row r="28" spans="1:12" ht="15.75" thickBot="1" x14ac:dyDescent="0.3">
      <c r="A28" s="2127" t="s">
        <v>726</v>
      </c>
      <c r="B28" s="2158" t="str">
        <f>'NIR faktorer'!D1096</f>
        <v>NO</v>
      </c>
      <c r="C28" s="1784" t="str">
        <f>'NIR faktorer'!D1105</f>
        <v>NO</v>
      </c>
      <c r="D28" s="2159" t="str">
        <f>'NIR faktorer'!D1113</f>
        <v>NO</v>
      </c>
      <c r="E28" s="1784">
        <f>'NIR faktorer'!D1122</f>
        <v>4.2720944004752202</v>
      </c>
      <c r="F28" s="2159">
        <f>'NIR faktorer'!D1130</f>
        <v>0.28018111305512999</v>
      </c>
      <c r="G28" s="2134" t="s">
        <v>259</v>
      </c>
      <c r="H28" s="2135" t="s">
        <v>259</v>
      </c>
      <c r="I28" s="2160">
        <f>E28*1000/O7*O6</f>
        <v>1.3353089211146361</v>
      </c>
      <c r="J28" s="2159">
        <f>F28*1000/O7*O6</f>
        <v>8.7574923379203903E-2</v>
      </c>
    </row>
    <row r="29" spans="1:12" ht="17.25" x14ac:dyDescent="0.25">
      <c r="A29" s="1328" t="s">
        <v>725</v>
      </c>
      <c r="B29" s="2161" t="str">
        <f>'NIR faktorer'!D1097</f>
        <v>NO,NE</v>
      </c>
      <c r="C29" s="1780" t="str">
        <f>'NIR faktorer'!D1106</f>
        <v>NO,NE</v>
      </c>
      <c r="D29" s="1786" t="str">
        <f>'NIR faktorer'!D1114</f>
        <v>NO,NA</v>
      </c>
      <c r="E29" s="1780">
        <f>'NIR faktorer'!D1123</f>
        <v>10.083260693753401</v>
      </c>
      <c r="F29" s="1786" t="str">
        <f>'NIR faktorer'!D1131</f>
        <v>NO,NA</v>
      </c>
      <c r="G29" s="2162" t="s">
        <v>259</v>
      </c>
      <c r="H29" s="2163" t="s">
        <v>259</v>
      </c>
      <c r="I29" s="2164">
        <f>I31</f>
        <v>3.1516784733960299</v>
      </c>
      <c r="J29" s="2165" t="s">
        <v>259</v>
      </c>
    </row>
    <row r="30" spans="1:12" x14ac:dyDescent="0.25">
      <c r="A30" s="1769" t="s">
        <v>724</v>
      </c>
      <c r="B30" s="2155" t="str">
        <f>'NIR faktorer'!D1098</f>
        <v>NO</v>
      </c>
      <c r="C30" s="1781" t="str">
        <f>'NIR faktorer'!D1107</f>
        <v>NO</v>
      </c>
      <c r="D30" s="2156" t="str">
        <f>'NIR faktorer'!D1115</f>
        <v>NO</v>
      </c>
      <c r="E30" s="1781" t="str">
        <f>'NIR faktorer'!D1124</f>
        <v>NO</v>
      </c>
      <c r="F30" s="2156" t="str">
        <f>'NIR faktorer'!D1132</f>
        <v>NO</v>
      </c>
      <c r="G30" s="2157" t="s">
        <v>259</v>
      </c>
      <c r="H30" s="2125" t="s">
        <v>259</v>
      </c>
      <c r="I30" s="2125" t="s">
        <v>259</v>
      </c>
      <c r="J30" s="2126" t="s">
        <v>259</v>
      </c>
    </row>
    <row r="31" spans="1:12" x14ac:dyDescent="0.25">
      <c r="A31" s="1769" t="s">
        <v>723</v>
      </c>
      <c r="B31" s="2155" t="str">
        <f>'NIR faktorer'!D1099</f>
        <v>NE</v>
      </c>
      <c r="C31" s="1781" t="str">
        <f>'NIR faktorer'!D1108</f>
        <v>NE</v>
      </c>
      <c r="D31" s="2156" t="str">
        <f>'NIR faktorer'!D1116</f>
        <v>NA</v>
      </c>
      <c r="E31" s="1781">
        <f>'NIR faktorer'!D1125</f>
        <v>10.083260693753401</v>
      </c>
      <c r="F31" s="2156" t="str">
        <f>'NIR faktorer'!D1133</f>
        <v>NA</v>
      </c>
      <c r="G31" s="2157" t="s">
        <v>1209</v>
      </c>
      <c r="H31" s="2125" t="s">
        <v>259</v>
      </c>
      <c r="I31" s="1783">
        <f>E31*1000/O7*O6</f>
        <v>3.1516784733960299</v>
      </c>
      <c r="J31" s="2126" t="s">
        <v>259</v>
      </c>
    </row>
    <row r="32" spans="1:12" ht="15.75" thickBot="1" x14ac:dyDescent="0.3">
      <c r="A32" s="2127" t="s">
        <v>722</v>
      </c>
      <c r="B32" s="2158" t="str">
        <f>'NIR faktorer'!D1100</f>
        <v>NE</v>
      </c>
      <c r="C32" s="1784" t="str">
        <f>'NIR faktorer'!D1109</f>
        <v>NE</v>
      </c>
      <c r="D32" s="2159" t="str">
        <f>'NIR faktorer'!D1117</f>
        <v>NA</v>
      </c>
      <c r="E32" s="1784">
        <f>'NIR faktorer'!D1126</f>
        <v>10.083260693753401</v>
      </c>
      <c r="F32" s="2159" t="str">
        <f>'NIR faktorer'!D1134</f>
        <v>NA</v>
      </c>
      <c r="G32" s="2134" t="s">
        <v>1209</v>
      </c>
      <c r="H32" s="2135" t="s">
        <v>259</v>
      </c>
      <c r="I32" s="2160">
        <f>E32*1000/O7*O6</f>
        <v>3.1516784733960299</v>
      </c>
      <c r="J32" s="2136" t="s">
        <v>259</v>
      </c>
    </row>
    <row r="34" spans="1:12" s="1010" customFormat="1" ht="12" x14ac:dyDescent="0.2">
      <c r="A34" s="1012" t="s">
        <v>2042</v>
      </c>
      <c r="B34" s="5351" t="str">
        <f>'NIR faktorer'!D1136</f>
        <v xml:space="preserve"> NIR 2020(2018) CRF tabel 5.B</v>
      </c>
      <c r="C34" s="5352"/>
      <c r="D34" s="5352"/>
      <c r="E34" s="5352"/>
      <c r="F34" s="5353"/>
      <c r="G34" s="5354" t="s">
        <v>2524</v>
      </c>
      <c r="H34" s="5352"/>
      <c r="I34" s="5352"/>
      <c r="J34" s="5353"/>
    </row>
    <row r="35" spans="1:12" x14ac:dyDescent="0.25">
      <c r="A35" s="1010" t="s">
        <v>2533</v>
      </c>
      <c r="B35" s="1874"/>
      <c r="C35" s="1874"/>
      <c r="D35" s="1874"/>
      <c r="E35" s="1874"/>
      <c r="F35" s="1874"/>
      <c r="G35" s="1874"/>
      <c r="H35" s="1874"/>
      <c r="J35" s="1874"/>
      <c r="K35" s="1874"/>
      <c r="L35" s="1874"/>
    </row>
    <row r="36" spans="1:12" x14ac:dyDescent="0.25">
      <c r="A36" s="1010" t="s">
        <v>2532</v>
      </c>
      <c r="B36" s="1874"/>
      <c r="C36" s="1874"/>
      <c r="D36" s="1874"/>
      <c r="E36" s="1874"/>
      <c r="F36" s="1874"/>
      <c r="G36" s="1874"/>
      <c r="H36" s="1874"/>
      <c r="J36" s="1874"/>
      <c r="K36" s="1874"/>
      <c r="L36" s="1874"/>
    </row>
    <row r="37" spans="1:12" x14ac:dyDescent="0.25">
      <c r="A37" s="1010" t="s">
        <v>2531</v>
      </c>
      <c r="B37" s="1874"/>
      <c r="C37" s="1874"/>
      <c r="D37" s="1874"/>
      <c r="E37" s="1874"/>
      <c r="F37" s="1874"/>
      <c r="G37" s="1874"/>
      <c r="H37" s="1874"/>
      <c r="J37" s="1874"/>
      <c r="K37" s="1874"/>
      <c r="L37" s="1874"/>
    </row>
    <row r="38" spans="1:12" x14ac:dyDescent="0.25">
      <c r="A38" s="1010"/>
      <c r="B38" s="1874"/>
      <c r="C38" s="1874"/>
      <c r="D38" s="1874"/>
      <c r="E38" s="1874"/>
      <c r="F38" s="1874"/>
      <c r="G38" s="1874"/>
      <c r="H38" s="1874"/>
      <c r="J38" s="1874"/>
      <c r="K38" s="1874"/>
      <c r="L38" s="1874"/>
    </row>
    <row r="39" spans="1:12" s="1311" customFormat="1" x14ac:dyDescent="0.25">
      <c r="A39" s="1090" t="s">
        <v>2320</v>
      </c>
      <c r="B39" s="1090" t="s">
        <v>2319</v>
      </c>
      <c r="C39" s="1312"/>
      <c r="D39" s="1312"/>
      <c r="E39" s="1312"/>
      <c r="F39" s="1312"/>
      <c r="G39" s="1312"/>
      <c r="H39" s="1312"/>
      <c r="J39" s="1312"/>
      <c r="K39" s="1312"/>
      <c r="L39" s="1312"/>
    </row>
    <row r="41" spans="1:12" ht="15.75" thickBot="1" x14ac:dyDescent="0.3">
      <c r="A41" s="1310" t="s">
        <v>721</v>
      </c>
    </row>
    <row r="42" spans="1:12" ht="30" customHeight="1" x14ac:dyDescent="0.25">
      <c r="A42" s="1309" t="s">
        <v>692</v>
      </c>
      <c r="B42" s="1308" t="s">
        <v>2530</v>
      </c>
      <c r="C42" s="5361" t="s">
        <v>2529</v>
      </c>
      <c r="D42" s="5362"/>
      <c r="E42" s="5363"/>
      <c r="F42" s="5361" t="s">
        <v>2557</v>
      </c>
      <c r="G42" s="5362"/>
      <c r="H42" s="5363"/>
      <c r="I42" s="5341" t="s">
        <v>4765</v>
      </c>
      <c r="J42" s="5337" t="s">
        <v>4759</v>
      </c>
      <c r="K42" s="5337"/>
      <c r="L42" s="5338"/>
    </row>
    <row r="43" spans="1:12" ht="15" customHeight="1" x14ac:dyDescent="0.25">
      <c r="A43" s="5328"/>
      <c r="B43" s="5333" t="s">
        <v>4760</v>
      </c>
      <c r="C43" s="5344" t="s">
        <v>2528</v>
      </c>
      <c r="D43" s="5331" t="s">
        <v>2527</v>
      </c>
      <c r="E43" s="5332" t="s">
        <v>2526</v>
      </c>
      <c r="F43" s="5344" t="s">
        <v>2528</v>
      </c>
      <c r="G43" s="5331" t="s">
        <v>2527</v>
      </c>
      <c r="H43" s="5332" t="s">
        <v>2526</v>
      </c>
      <c r="I43" s="5342"/>
      <c r="J43" s="5331" t="s">
        <v>2528</v>
      </c>
      <c r="K43" s="5331" t="s">
        <v>2527</v>
      </c>
      <c r="L43" s="5332" t="s">
        <v>2526</v>
      </c>
    </row>
    <row r="44" spans="1:12" x14ac:dyDescent="0.25">
      <c r="A44" s="5328"/>
      <c r="B44" s="5333"/>
      <c r="C44" s="5344"/>
      <c r="D44" s="5331"/>
      <c r="E44" s="5332"/>
      <c r="F44" s="5344"/>
      <c r="G44" s="5331"/>
      <c r="H44" s="5332"/>
      <c r="I44" s="5342"/>
      <c r="J44" s="5331"/>
      <c r="K44" s="5331"/>
      <c r="L44" s="5332"/>
    </row>
    <row r="45" spans="1:12" ht="15.75" thickBot="1" x14ac:dyDescent="0.3">
      <c r="A45" s="5329"/>
      <c r="B45" s="1307" t="s">
        <v>2525</v>
      </c>
      <c r="C45" s="5345" t="s">
        <v>719</v>
      </c>
      <c r="D45" s="5364"/>
      <c r="E45" s="5346"/>
      <c r="F45" s="5345" t="s">
        <v>665</v>
      </c>
      <c r="G45" s="5364"/>
      <c r="H45" s="5346"/>
      <c r="I45" s="1306" t="s">
        <v>226</v>
      </c>
      <c r="J45" s="5347" t="s">
        <v>226</v>
      </c>
      <c r="K45" s="5347"/>
      <c r="L45" s="5348"/>
    </row>
    <row r="46" spans="1:12" x14ac:dyDescent="0.25">
      <c r="A46" s="1301" t="s">
        <v>714</v>
      </c>
      <c r="B46" s="2166">
        <f>'NIR faktorer'!D1139</f>
        <v>1.169</v>
      </c>
      <c r="C46" s="2167" t="str">
        <f>'NIR faktorer'!D1156</f>
        <v>NO</v>
      </c>
      <c r="D46" s="2106">
        <f>'NIR faktorer'!D1172</f>
        <v>0.64707485029940004</v>
      </c>
      <c r="E46" s="2107">
        <f>'NIR faktorer'!D1188</f>
        <v>0.80887236287425002</v>
      </c>
      <c r="F46" s="2167" t="str">
        <f>'NIR faktorer'!D1205</f>
        <v>NO</v>
      </c>
      <c r="G46" s="2106">
        <f>'NIR faktorer'!D1221</f>
        <v>7.5643049999999995E-4</v>
      </c>
      <c r="H46" s="2107">
        <f>'NIR faktorer'!D1237</f>
        <v>9.4557179220000002E-4</v>
      </c>
      <c r="I46" s="2168">
        <f>IFERROR(B46*1000/$O$7*$O$6,"NO")</f>
        <v>0.36538895971244673</v>
      </c>
      <c r="J46" s="2153" t="str">
        <f>IFERROR(F46*1000/$O$7*$O$6,"NO")</f>
        <v>NO</v>
      </c>
      <c r="K46" s="2153">
        <f t="shared" ref="K46:L46" si="1">IFERROR(G46*1000/$O$7*$O$6,"NO")</f>
        <v>2.3643400640698537E-4</v>
      </c>
      <c r="L46" s="2153">
        <f t="shared" si="1"/>
        <v>2.9555303121077148E-4</v>
      </c>
    </row>
    <row r="47" spans="1:12" ht="17.25" x14ac:dyDescent="0.25">
      <c r="A47" s="1769" t="s">
        <v>712</v>
      </c>
      <c r="B47" s="2169">
        <f>'NIR faktorer'!D1140</f>
        <v>1.169</v>
      </c>
      <c r="C47" s="2170">
        <f>'NIR faktorer'!D1157</f>
        <v>2754.0179640718561</v>
      </c>
      <c r="D47" s="2118">
        <f>'NIR faktorer'!D1173</f>
        <v>0.64707485029940004</v>
      </c>
      <c r="E47" s="2119">
        <f>'NIR faktorer'!D1189</f>
        <v>0.80887236287425002</v>
      </c>
      <c r="F47" s="2170">
        <f>'NIR faktorer'!D1206</f>
        <v>3.2194470000000002</v>
      </c>
      <c r="G47" s="2118">
        <f>'NIR faktorer'!D1222</f>
        <v>7.5643049999999995E-4</v>
      </c>
      <c r="H47" s="2119">
        <f>'NIR faktorer'!D1238</f>
        <v>9.4557179220000002E-4</v>
      </c>
      <c r="I47" s="2171">
        <f t="shared" ref="I47:I61" si="2">IFERROR(B47*1000/$O$7*$O$6,"NO")</f>
        <v>0.36538895971244673</v>
      </c>
      <c r="J47" s="1783">
        <f t="shared" ref="J47:J61" si="3">IFERROR(F47*1000/$O$7*$O$6,"NO")</f>
        <v>1.0062877589216062</v>
      </c>
      <c r="K47" s="1783">
        <f t="shared" ref="K47:K61" si="4">IFERROR(G47*1000/$O$7*$O$6,"NO")</f>
        <v>2.3643400640698537E-4</v>
      </c>
      <c r="L47" s="2156">
        <f t="shared" ref="L47:L61" si="5">IFERROR(H47*1000/$O$7*$O$6,"NO")</f>
        <v>2.9555303121077148E-4</v>
      </c>
    </row>
    <row r="48" spans="1:12" x14ac:dyDescent="0.25">
      <c r="A48" s="2116" t="s">
        <v>709</v>
      </c>
      <c r="B48" s="2169" t="str">
        <f>'NIR faktorer'!D1141</f>
        <v>NO</v>
      </c>
      <c r="C48" s="2170" t="str">
        <f>'NIR faktorer'!D1158</f>
        <v>NO</v>
      </c>
      <c r="D48" s="2118" t="str">
        <f>'NIR faktorer'!D1174</f>
        <v>NO</v>
      </c>
      <c r="E48" s="2119" t="str">
        <f>'NIR faktorer'!D1190</f>
        <v>NO</v>
      </c>
      <c r="F48" s="2170" t="str">
        <f>'NIR faktorer'!D1207</f>
        <v>NO</v>
      </c>
      <c r="G48" s="2118" t="str">
        <f>'NIR faktorer'!D1223</f>
        <v>NO</v>
      </c>
      <c r="H48" s="2119" t="str">
        <f>'NIR faktorer'!D1239</f>
        <v>NO</v>
      </c>
      <c r="I48" s="2171" t="str">
        <f t="shared" si="2"/>
        <v>NO</v>
      </c>
      <c r="J48" s="1783" t="str">
        <f t="shared" si="3"/>
        <v>NO</v>
      </c>
      <c r="K48" s="1783" t="str">
        <f t="shared" si="4"/>
        <v>NO</v>
      </c>
      <c r="L48" s="2156" t="str">
        <f t="shared" si="5"/>
        <v>NO</v>
      </c>
    </row>
    <row r="49" spans="1:12" x14ac:dyDescent="0.25">
      <c r="A49" s="2116" t="s">
        <v>662</v>
      </c>
      <c r="B49" s="2169">
        <f>'NIR faktorer'!D1142</f>
        <v>1.169</v>
      </c>
      <c r="C49" s="2170">
        <f>'NIR faktorer'!D1159</f>
        <v>2754.0179640718561</v>
      </c>
      <c r="D49" s="2118">
        <f>'NIR faktorer'!D1175</f>
        <v>0.64707485029940004</v>
      </c>
      <c r="E49" s="2119">
        <f>'NIR faktorer'!D1191</f>
        <v>0.80887236287425002</v>
      </c>
      <c r="F49" s="2170">
        <f>'NIR faktorer'!D1208</f>
        <v>3.2194470000000002</v>
      </c>
      <c r="G49" s="2118">
        <f>'NIR faktorer'!D1224</f>
        <v>7.5643049999999995E-4</v>
      </c>
      <c r="H49" s="2119">
        <f>'NIR faktorer'!D1240</f>
        <v>9.4557179220000002E-4</v>
      </c>
      <c r="I49" s="2171">
        <f t="shared" si="2"/>
        <v>0.36538895971244673</v>
      </c>
      <c r="J49" s="1783">
        <f t="shared" si="3"/>
        <v>1.0062877589216062</v>
      </c>
      <c r="K49" s="1783">
        <f t="shared" si="4"/>
        <v>2.3643400640698537E-4</v>
      </c>
      <c r="L49" s="2156">
        <f t="shared" si="5"/>
        <v>2.9555303121077148E-4</v>
      </c>
    </row>
    <row r="50" spans="1:12" x14ac:dyDescent="0.25">
      <c r="A50" s="2172" t="s">
        <v>711</v>
      </c>
      <c r="B50" s="2169">
        <f>'NIR faktorer'!D1143</f>
        <v>1.169</v>
      </c>
      <c r="C50" s="2170">
        <f>'NIR faktorer'!D1160</f>
        <v>770</v>
      </c>
      <c r="D50" s="2118">
        <f>'NIR faktorer'!D1176</f>
        <v>0.18090000000000001</v>
      </c>
      <c r="E50" s="2119">
        <f>'NIR faktorer'!D1192</f>
        <v>0.22615379999999999</v>
      </c>
      <c r="F50" s="2170">
        <f>'NIR faktorer'!D1209</f>
        <v>0.90012999999999999</v>
      </c>
      <c r="G50" s="2118">
        <f>'NIR faktorer'!D1225</f>
        <v>2.1147209999999999E-4</v>
      </c>
      <c r="H50" s="2119">
        <f>'NIR faktorer'!D1241</f>
        <v>2.6437379219999997E-4</v>
      </c>
      <c r="I50" s="2171">
        <f t="shared" si="2"/>
        <v>0.36538895971244673</v>
      </c>
      <c r="J50" s="1783">
        <f t="shared" si="3"/>
        <v>0.28134949897858402</v>
      </c>
      <c r="K50" s="1783">
        <f t="shared" si="4"/>
        <v>6.6098862811981614E-5</v>
      </c>
      <c r="L50" s="2156">
        <f t="shared" si="5"/>
        <v>8.2634101717016722E-5</v>
      </c>
    </row>
    <row r="51" spans="1:12" x14ac:dyDescent="0.25">
      <c r="A51" s="2172" t="s">
        <v>710</v>
      </c>
      <c r="B51" s="2169" t="str">
        <f>'NIR faktorer'!D1144</f>
        <v>NO</v>
      </c>
      <c r="C51" s="2170" t="str">
        <f>'NIR faktorer'!D1161</f>
        <v>NO</v>
      </c>
      <c r="D51" s="2118" t="str">
        <f>'NIR faktorer'!D1177</f>
        <v>NO</v>
      </c>
      <c r="E51" s="2119" t="str">
        <f>'NIR faktorer'!D1193</f>
        <v>NO</v>
      </c>
      <c r="F51" s="2170">
        <f>'NIR faktorer'!D1210</f>
        <v>2.3193169999999999</v>
      </c>
      <c r="G51" s="2118">
        <f>'NIR faktorer'!D1226</f>
        <v>5.4495840000000004E-4</v>
      </c>
      <c r="H51" s="2119">
        <f>'NIR faktorer'!D1242</f>
        <v>6.8119800000000005E-4</v>
      </c>
      <c r="I51" s="2173" t="str">
        <f t="shared" si="2"/>
        <v>NO</v>
      </c>
      <c r="J51" s="1783">
        <f t="shared" si="3"/>
        <v>0.72493825994302208</v>
      </c>
      <c r="K51" s="1783">
        <f t="shared" si="4"/>
        <v>1.7033514359500381E-4</v>
      </c>
      <c r="L51" s="2156">
        <f t="shared" si="5"/>
        <v>2.1291892949375476E-4</v>
      </c>
    </row>
    <row r="52" spans="1:12" x14ac:dyDescent="0.25">
      <c r="A52" s="1769" t="s">
        <v>705</v>
      </c>
      <c r="B52" s="2169" t="str">
        <f>'NIR faktorer'!D1145</f>
        <v>NO</v>
      </c>
      <c r="C52" s="2170" t="str">
        <f>'NIR faktorer'!D1162</f>
        <v>NO</v>
      </c>
      <c r="D52" s="2118" t="str">
        <f>'NIR faktorer'!D1178</f>
        <v>NO</v>
      </c>
      <c r="E52" s="2119" t="str">
        <f>'NIR faktorer'!D1194</f>
        <v>NO</v>
      </c>
      <c r="F52" s="2170" t="str">
        <f>'NIR faktorer'!D1211</f>
        <v>NO</v>
      </c>
      <c r="G52" s="2118" t="str">
        <f>'NIR faktorer'!D1227</f>
        <v>NO</v>
      </c>
      <c r="H52" s="2119" t="str">
        <f>'NIR faktorer'!D1243</f>
        <v>NO</v>
      </c>
      <c r="I52" s="2171" t="str">
        <f t="shared" si="2"/>
        <v>NO</v>
      </c>
      <c r="J52" s="1783" t="str">
        <f t="shared" si="3"/>
        <v>NO</v>
      </c>
      <c r="K52" s="1783" t="str">
        <f t="shared" si="4"/>
        <v>NO</v>
      </c>
      <c r="L52" s="2156" t="str">
        <f t="shared" si="5"/>
        <v>NO</v>
      </c>
    </row>
    <row r="53" spans="1:12" x14ac:dyDescent="0.25">
      <c r="A53" s="1303" t="s">
        <v>709</v>
      </c>
      <c r="B53" s="2169" t="str">
        <f>'NIR faktorer'!D1146</f>
        <v>NO</v>
      </c>
      <c r="C53" s="2170" t="str">
        <f>'NIR faktorer'!D1163</f>
        <v>NO</v>
      </c>
      <c r="D53" s="2118" t="str">
        <f>'NIR faktorer'!D1179</f>
        <v>NO</v>
      </c>
      <c r="E53" s="2119" t="str">
        <f>'NIR faktorer'!D1195</f>
        <v>NO</v>
      </c>
      <c r="F53" s="2170" t="str">
        <f>'NIR faktorer'!D1212</f>
        <v>NO</v>
      </c>
      <c r="G53" s="2118" t="str">
        <f>'NIR faktorer'!D1228</f>
        <v>NO</v>
      </c>
      <c r="H53" s="2119" t="str">
        <f>'NIR faktorer'!D1244</f>
        <v>NO</v>
      </c>
      <c r="I53" s="2171" t="str">
        <f t="shared" si="2"/>
        <v>NO</v>
      </c>
      <c r="J53" s="1783" t="str">
        <f t="shared" si="3"/>
        <v>NO</v>
      </c>
      <c r="K53" s="1783" t="str">
        <f t="shared" si="4"/>
        <v>NO</v>
      </c>
      <c r="L53" s="2156" t="str">
        <f t="shared" si="5"/>
        <v>NO</v>
      </c>
    </row>
    <row r="54" spans="1:12" ht="15.75" thickBot="1" x14ac:dyDescent="0.3">
      <c r="A54" s="1302" t="s">
        <v>483</v>
      </c>
      <c r="B54" s="2174" t="str">
        <f>'NIR faktorer'!D1147</f>
        <v>NO</v>
      </c>
      <c r="C54" s="2175" t="str">
        <f>'NIR faktorer'!D1164</f>
        <v>NO</v>
      </c>
      <c r="D54" s="2129" t="str">
        <f>'NIR faktorer'!D1180</f>
        <v>NO</v>
      </c>
      <c r="E54" s="2130" t="str">
        <f>'NIR faktorer'!D1196</f>
        <v>NO</v>
      </c>
      <c r="F54" s="2175" t="str">
        <f>'NIR faktorer'!D1213</f>
        <v>NO</v>
      </c>
      <c r="G54" s="2129" t="str">
        <f>'NIR faktorer'!D1229</f>
        <v>NO</v>
      </c>
      <c r="H54" s="2130" t="str">
        <f>'NIR faktorer'!D1245</f>
        <v>NO</v>
      </c>
      <c r="I54" s="2176" t="str">
        <f t="shared" si="2"/>
        <v>NO</v>
      </c>
      <c r="J54" s="2177" t="str">
        <f t="shared" si="3"/>
        <v>NO</v>
      </c>
      <c r="K54" s="2177" t="str">
        <f t="shared" si="4"/>
        <v>NO</v>
      </c>
      <c r="L54" s="2178" t="str">
        <f t="shared" si="5"/>
        <v>NO</v>
      </c>
    </row>
    <row r="55" spans="1:12" x14ac:dyDescent="0.25">
      <c r="A55" s="1301" t="s">
        <v>708</v>
      </c>
      <c r="B55" s="2166" t="str">
        <f>'NIR faktorer'!D1148</f>
        <v>NO</v>
      </c>
      <c r="C55" s="2167" t="str">
        <f>'NIR faktorer'!D1165</f>
        <v>NO</v>
      </c>
      <c r="D55" s="2106" t="str">
        <f>'NIR faktorer'!D1181</f>
        <v>NO</v>
      </c>
      <c r="E55" s="2107" t="str">
        <f>'NIR faktorer'!D1197</f>
        <v>NO</v>
      </c>
      <c r="F55" s="2167" t="str">
        <f>'NIR faktorer'!D1214</f>
        <v>NO</v>
      </c>
      <c r="G55" s="2106" t="str">
        <f>'NIR faktorer'!D1230</f>
        <v>NO</v>
      </c>
      <c r="H55" s="2107" t="str">
        <f>'NIR faktorer'!D1246</f>
        <v>NO</v>
      </c>
      <c r="I55" s="2168" t="str">
        <f t="shared" si="2"/>
        <v>NO</v>
      </c>
      <c r="J55" s="2153" t="str">
        <f t="shared" si="3"/>
        <v>NO</v>
      </c>
      <c r="K55" s="2153" t="str">
        <f t="shared" si="4"/>
        <v>NO</v>
      </c>
      <c r="L55" s="2154" t="str">
        <f t="shared" si="5"/>
        <v>NO</v>
      </c>
    </row>
    <row r="56" spans="1:12" x14ac:dyDescent="0.25">
      <c r="A56" s="1769" t="s">
        <v>707</v>
      </c>
      <c r="B56" s="2169" t="str">
        <f>'NIR faktorer'!D1149</f>
        <v>NO</v>
      </c>
      <c r="C56" s="2170" t="str">
        <f>'NIR faktorer'!D1166</f>
        <v>NO</v>
      </c>
      <c r="D56" s="2118" t="str">
        <f>'NIR faktorer'!D1182</f>
        <v>NO</v>
      </c>
      <c r="E56" s="2119" t="str">
        <f>'NIR faktorer'!D1198</f>
        <v>NO</v>
      </c>
      <c r="F56" s="2170" t="str">
        <f>'NIR faktorer'!D1215</f>
        <v>NO</v>
      </c>
      <c r="G56" s="2118" t="str">
        <f>'NIR faktorer'!D1231</f>
        <v>NO</v>
      </c>
      <c r="H56" s="2119" t="str">
        <f>'NIR faktorer'!D1247</f>
        <v>NO</v>
      </c>
      <c r="I56" s="2171" t="str">
        <f t="shared" si="2"/>
        <v>NO</v>
      </c>
      <c r="J56" s="1783" t="str">
        <f t="shared" si="3"/>
        <v>NO</v>
      </c>
      <c r="K56" s="1783" t="str">
        <f t="shared" si="4"/>
        <v>NO</v>
      </c>
      <c r="L56" s="2156" t="str">
        <f t="shared" si="5"/>
        <v>NO</v>
      </c>
    </row>
    <row r="57" spans="1:12" x14ac:dyDescent="0.25">
      <c r="A57" s="1293" t="s">
        <v>704</v>
      </c>
      <c r="B57" s="2169" t="str">
        <f>'NIR faktorer'!D1150</f>
        <v>NO</v>
      </c>
      <c r="C57" s="2170" t="str">
        <f>'NIR faktorer'!D1167</f>
        <v>NO</v>
      </c>
      <c r="D57" s="2118" t="str">
        <f>'NIR faktorer'!D1183</f>
        <v>NO</v>
      </c>
      <c r="E57" s="2119" t="str">
        <f>'NIR faktorer'!D1199</f>
        <v>NO</v>
      </c>
      <c r="F57" s="2170" t="str">
        <f>'NIR faktorer'!D1216</f>
        <v>NO</v>
      </c>
      <c r="G57" s="2118" t="str">
        <f>'NIR faktorer'!D1232</f>
        <v>NO</v>
      </c>
      <c r="H57" s="2119" t="str">
        <f>'NIR faktorer'!D1248</f>
        <v>NO</v>
      </c>
      <c r="I57" s="2171" t="str">
        <f t="shared" si="2"/>
        <v>NO</v>
      </c>
      <c r="J57" s="1783" t="str">
        <f t="shared" si="3"/>
        <v>NO</v>
      </c>
      <c r="K57" s="1783" t="str">
        <f t="shared" si="4"/>
        <v>NO</v>
      </c>
      <c r="L57" s="2156" t="str">
        <f t="shared" si="5"/>
        <v>NO</v>
      </c>
    </row>
    <row r="58" spans="1:12" x14ac:dyDescent="0.25">
      <c r="A58" s="1293" t="s">
        <v>706</v>
      </c>
      <c r="B58" s="2169" t="str">
        <f>'NIR faktorer'!D1151</f>
        <v>NO</v>
      </c>
      <c r="C58" s="2170" t="str">
        <f>'NIR faktorer'!D1168</f>
        <v>NO</v>
      </c>
      <c r="D58" s="2118" t="str">
        <f>'NIR faktorer'!D1184</f>
        <v>NO</v>
      </c>
      <c r="E58" s="2119" t="str">
        <f>'NIR faktorer'!D1200</f>
        <v>NO</v>
      </c>
      <c r="F58" s="2170" t="str">
        <f>'NIR faktorer'!D1217</f>
        <v>NO</v>
      </c>
      <c r="G58" s="2118" t="str">
        <f>'NIR faktorer'!D1233</f>
        <v>NO</v>
      </c>
      <c r="H58" s="2119" t="str">
        <f>'NIR faktorer'!D1249</f>
        <v>NO</v>
      </c>
      <c r="I58" s="2173" t="str">
        <f t="shared" si="2"/>
        <v>NO</v>
      </c>
      <c r="J58" s="2179" t="str">
        <f t="shared" si="3"/>
        <v>NO</v>
      </c>
      <c r="K58" s="2179" t="str">
        <f t="shared" si="4"/>
        <v>NO</v>
      </c>
      <c r="L58" s="2180" t="str">
        <f t="shared" si="5"/>
        <v>NO</v>
      </c>
    </row>
    <row r="59" spans="1:12" x14ac:dyDescent="0.25">
      <c r="A59" s="1769" t="s">
        <v>705</v>
      </c>
      <c r="B59" s="2169" t="str">
        <f>'NIR faktorer'!D1152</f>
        <v>NO</v>
      </c>
      <c r="C59" s="2170" t="str">
        <f>'NIR faktorer'!D1169</f>
        <v>NO</v>
      </c>
      <c r="D59" s="2118" t="str">
        <f>'NIR faktorer'!D1185</f>
        <v>NO</v>
      </c>
      <c r="E59" s="2119" t="str">
        <f>'NIR faktorer'!D1201</f>
        <v>NO</v>
      </c>
      <c r="F59" s="2170" t="str">
        <f>'NIR faktorer'!D1218</f>
        <v>NO</v>
      </c>
      <c r="G59" s="2118" t="str">
        <f>'NIR faktorer'!D1234</f>
        <v>NO</v>
      </c>
      <c r="H59" s="2119" t="str">
        <f>'NIR faktorer'!D1250</f>
        <v>NO</v>
      </c>
      <c r="I59" s="2171" t="str">
        <f t="shared" si="2"/>
        <v>NO</v>
      </c>
      <c r="J59" s="1783" t="str">
        <f t="shared" si="3"/>
        <v>NO</v>
      </c>
      <c r="K59" s="1783" t="str">
        <f t="shared" si="4"/>
        <v>NO</v>
      </c>
      <c r="L59" s="2156" t="str">
        <f t="shared" si="5"/>
        <v>NO</v>
      </c>
    </row>
    <row r="60" spans="1:12" x14ac:dyDescent="0.25">
      <c r="A60" s="1293" t="s">
        <v>704</v>
      </c>
      <c r="B60" s="2169" t="str">
        <f>'NIR faktorer'!D1153</f>
        <v>NO</v>
      </c>
      <c r="C60" s="2170" t="str">
        <f>'NIR faktorer'!D1170</f>
        <v>NO</v>
      </c>
      <c r="D60" s="2118" t="str">
        <f>'NIR faktorer'!D1186</f>
        <v>NO</v>
      </c>
      <c r="E60" s="2119" t="str">
        <f>'NIR faktorer'!D1202</f>
        <v>NO</v>
      </c>
      <c r="F60" s="2170" t="str">
        <f>'NIR faktorer'!D1219</f>
        <v>NO</v>
      </c>
      <c r="G60" s="2118" t="str">
        <f>'NIR faktorer'!D1235</f>
        <v>NO</v>
      </c>
      <c r="H60" s="2119" t="str">
        <f>'NIR faktorer'!D1251</f>
        <v>NO</v>
      </c>
      <c r="I60" s="2171" t="str">
        <f t="shared" si="2"/>
        <v>NO</v>
      </c>
      <c r="J60" s="1783" t="str">
        <f t="shared" si="3"/>
        <v>NO</v>
      </c>
      <c r="K60" s="1783" t="str">
        <f t="shared" si="4"/>
        <v>NO</v>
      </c>
      <c r="L60" s="2156" t="str">
        <f t="shared" si="5"/>
        <v>NO</v>
      </c>
    </row>
    <row r="61" spans="1:12" ht="15.75" thickBot="1" x14ac:dyDescent="0.3">
      <c r="A61" s="1285" t="s">
        <v>703</v>
      </c>
      <c r="B61" s="2174" t="str">
        <f>'NIR faktorer'!D1154</f>
        <v>NO</v>
      </c>
      <c r="C61" s="2175" t="str">
        <f>'NIR faktorer'!D1171</f>
        <v>NO</v>
      </c>
      <c r="D61" s="2129" t="str">
        <f>'NIR faktorer'!D1187</f>
        <v>NO</v>
      </c>
      <c r="E61" s="2130" t="str">
        <f>'NIR faktorer'!D1203</f>
        <v>NO</v>
      </c>
      <c r="F61" s="2175" t="str">
        <f>'NIR faktorer'!D1220</f>
        <v>NO</v>
      </c>
      <c r="G61" s="2129" t="str">
        <f>'NIR faktorer'!D1236</f>
        <v>NO</v>
      </c>
      <c r="H61" s="2130" t="str">
        <f>'NIR faktorer'!D1252</f>
        <v>NO</v>
      </c>
      <c r="I61" s="2176" t="str">
        <f t="shared" si="2"/>
        <v>NO</v>
      </c>
      <c r="J61" s="2177" t="str">
        <f t="shared" si="3"/>
        <v>NO</v>
      </c>
      <c r="K61" s="2177" t="str">
        <f t="shared" si="4"/>
        <v>NO</v>
      </c>
      <c r="L61" s="2178" t="str">
        <f t="shared" si="5"/>
        <v>NO</v>
      </c>
    </row>
    <row r="63" spans="1:12" s="1010" customFormat="1" ht="12" x14ac:dyDescent="0.2">
      <c r="A63" s="1012" t="s">
        <v>2042</v>
      </c>
      <c r="B63" s="5349" t="str">
        <f>'NIR faktorer'!D1254</f>
        <v xml:space="preserve"> NIR 2020 (2018) CRF tabel 5.C</v>
      </c>
      <c r="C63" s="5350"/>
      <c r="D63" s="5350"/>
      <c r="E63" s="5350"/>
      <c r="F63" s="5350"/>
      <c r="G63" s="5350"/>
      <c r="H63" s="5350"/>
      <c r="I63" s="5350" t="s">
        <v>2524</v>
      </c>
      <c r="J63" s="5350"/>
      <c r="K63" s="5350"/>
      <c r="L63" s="5350"/>
    </row>
    <row r="64" spans="1:12" x14ac:dyDescent="0.25">
      <c r="B64" s="1884"/>
    </row>
    <row r="65" spans="1:8" x14ac:dyDescent="0.25">
      <c r="A65" s="1277" t="s">
        <v>2523</v>
      </c>
      <c r="B65" s="1277"/>
      <c r="C65" s="2181"/>
      <c r="D65" s="2181"/>
      <c r="E65" s="2181"/>
      <c r="F65" s="2181"/>
      <c r="G65" s="2181"/>
      <c r="H65" s="2181"/>
    </row>
    <row r="66" spans="1:8" x14ac:dyDescent="0.25">
      <c r="A66" s="1010"/>
      <c r="B66" s="1010"/>
    </row>
    <row r="67" spans="1:8" x14ac:dyDescent="0.25">
      <c r="A67" s="1090" t="s">
        <v>2320</v>
      </c>
      <c r="B67" s="1090" t="s">
        <v>2319</v>
      </c>
    </row>
  </sheetData>
  <mergeCells count="59">
    <mergeCell ref="B63:H63"/>
    <mergeCell ref="I63:L63"/>
    <mergeCell ref="F43:F44"/>
    <mergeCell ref="L43:L44"/>
    <mergeCell ref="F45:H45"/>
    <mergeCell ref="J45:L45"/>
    <mergeCell ref="I42:I44"/>
    <mergeCell ref="J42:L42"/>
    <mergeCell ref="G43:G44"/>
    <mergeCell ref="H43:H44"/>
    <mergeCell ref="J43:J44"/>
    <mergeCell ref="K43:K44"/>
    <mergeCell ref="A43:A45"/>
    <mergeCell ref="B43:B44"/>
    <mergeCell ref="C43:C44"/>
    <mergeCell ref="D43:D44"/>
    <mergeCell ref="E43:E44"/>
    <mergeCell ref="C45:E45"/>
    <mergeCell ref="D7:D8"/>
    <mergeCell ref="B34:F34"/>
    <mergeCell ref="C42:E42"/>
    <mergeCell ref="F42:H42"/>
    <mergeCell ref="C21:D21"/>
    <mergeCell ref="E21:F21"/>
    <mergeCell ref="G21:G23"/>
    <mergeCell ref="F22:F23"/>
    <mergeCell ref="H22:H23"/>
    <mergeCell ref="J7:J8"/>
    <mergeCell ref="L7:L8"/>
    <mergeCell ref="A22:A24"/>
    <mergeCell ref="B22:B23"/>
    <mergeCell ref="C22:C23"/>
    <mergeCell ref="D22:D23"/>
    <mergeCell ref="E22:E23"/>
    <mergeCell ref="C24:D24"/>
    <mergeCell ref="E24:F24"/>
    <mergeCell ref="J22:J23"/>
    <mergeCell ref="H21:J21"/>
    <mergeCell ref="H24:J24"/>
    <mergeCell ref="I22:I23"/>
    <mergeCell ref="A7:A9"/>
    <mergeCell ref="B7:B8"/>
    <mergeCell ref="C7:C8"/>
    <mergeCell ref="K7:K8"/>
    <mergeCell ref="E7:E8"/>
    <mergeCell ref="E9:F9"/>
    <mergeCell ref="G34:J34"/>
    <mergeCell ref="B6:D6"/>
    <mergeCell ref="E6:F6"/>
    <mergeCell ref="G6:H6"/>
    <mergeCell ref="I6:I8"/>
    <mergeCell ref="J6:L6"/>
    <mergeCell ref="G9:H9"/>
    <mergeCell ref="J9:L9"/>
    <mergeCell ref="B16:H16"/>
    <mergeCell ref="I16:L16"/>
    <mergeCell ref="F7:F8"/>
    <mergeCell ref="G7:G8"/>
    <mergeCell ref="H7:H8"/>
  </mergeCells>
  <hyperlinks>
    <hyperlink ref="A2" location="Index!A1" display="Til index" xr:uid="{771A3DFF-9917-4A92-8C05-2306FDB35049}"/>
  </hyperlinks>
  <pageMargins left="0.7" right="0.7" top="0.75" bottom="0.75" header="0.3" footer="0.3"/>
  <pageSetup paperSize="8" scale="9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B8217-174A-45BD-A7B8-B2CBEA394388}">
  <sheetPr codeName="Ark147">
    <tabColor theme="4" tint="0.59999389629810485"/>
  </sheetPr>
  <dimension ref="A1:Q15"/>
  <sheetViews>
    <sheetView showGridLines="0" zoomScale="85" zoomScaleNormal="85" workbookViewId="0">
      <selection activeCell="Q6" sqref="Q6"/>
    </sheetView>
  </sheetViews>
  <sheetFormatPr defaultColWidth="9.140625" defaultRowHeight="15" x14ac:dyDescent="0.25"/>
  <cols>
    <col min="1" max="1" width="22.7109375" style="1008" customWidth="1"/>
    <col min="2" max="2" width="27.140625" style="1008" bestFit="1" customWidth="1"/>
    <col min="3" max="3" width="20.5703125" style="1008" bestFit="1" customWidth="1"/>
    <col min="4" max="4" width="13.42578125" style="1008" bestFit="1" customWidth="1"/>
    <col min="5" max="5" width="17.85546875" style="1008" customWidth="1"/>
    <col min="6" max="6" width="13.5703125" style="1008" customWidth="1"/>
    <col min="7" max="7" width="14.42578125" style="1008" customWidth="1"/>
    <col min="8" max="8" width="11.5703125" style="1008" customWidth="1"/>
    <col min="9" max="9" width="10.42578125" style="1008" customWidth="1"/>
    <col min="10" max="10" width="11.5703125" style="1008" customWidth="1"/>
    <col min="11" max="11" width="10.5703125" style="1008" customWidth="1"/>
    <col min="12" max="12" width="12.7109375" style="1008" customWidth="1"/>
    <col min="13" max="13" width="10.5703125" style="1008" customWidth="1"/>
    <col min="14" max="15" width="9.140625" style="1008"/>
    <col min="16" max="16" width="30.7109375" style="1008" customWidth="1"/>
    <col min="17" max="17" width="9.85546875" style="1008" bestFit="1" customWidth="1"/>
    <col min="18" max="18" width="18" style="1008" customWidth="1"/>
    <col min="19" max="16384" width="9.140625" style="1008"/>
  </cols>
  <sheetData>
    <row r="1" spans="1:17" s="1006" customFormat="1" ht="54" customHeight="1" x14ac:dyDescent="0.35">
      <c r="B1" s="1007" t="s">
        <v>2550</v>
      </c>
    </row>
    <row r="2" spans="1:17" ht="21" x14ac:dyDescent="0.35">
      <c r="A2" s="1740" t="s">
        <v>4206</v>
      </c>
    </row>
    <row r="3" spans="1:17" ht="15.75" customHeight="1" x14ac:dyDescent="0.35">
      <c r="A3" s="1512"/>
      <c r="B3" s="1008" t="s">
        <v>2543</v>
      </c>
      <c r="E3" s="1363"/>
    </row>
    <row r="4" spans="1:17" ht="15.75" thickBot="1" x14ac:dyDescent="0.3"/>
    <row r="5" spans="1:17" s="1779" customFormat="1" x14ac:dyDescent="0.25">
      <c r="B5" s="2925" t="s">
        <v>692</v>
      </c>
      <c r="C5" s="5340" t="s">
        <v>2530</v>
      </c>
      <c r="D5" s="5337"/>
      <c r="E5" s="5338"/>
      <c r="F5" s="5336" t="s">
        <v>2549</v>
      </c>
      <c r="G5" s="5339"/>
      <c r="H5" s="5340" t="s">
        <v>2557</v>
      </c>
      <c r="I5" s="5337"/>
      <c r="J5" s="5337"/>
      <c r="K5" s="5338"/>
      <c r="L5" s="5340" t="s">
        <v>4759</v>
      </c>
      <c r="M5" s="5337"/>
      <c r="N5" s="5338"/>
      <c r="P5" s="1358" t="s">
        <v>2542</v>
      </c>
      <c r="Q5" s="2103" t="str">
        <f>FOLK1A!L3</f>
        <v>2018K1</v>
      </c>
    </row>
    <row r="6" spans="1:17" s="1779" customFormat="1" ht="18" x14ac:dyDescent="0.25">
      <c r="B6" s="5365"/>
      <c r="C6" s="5344" t="s">
        <v>700</v>
      </c>
      <c r="D6" s="5331" t="s">
        <v>699</v>
      </c>
      <c r="E6" s="5332" t="s">
        <v>697</v>
      </c>
      <c r="F6" s="5333" t="s">
        <v>2527</v>
      </c>
      <c r="G6" s="5343" t="s">
        <v>2526</v>
      </c>
      <c r="H6" s="5344" t="s">
        <v>2527</v>
      </c>
      <c r="I6" s="5331"/>
      <c r="J6" s="5331"/>
      <c r="K6" s="2834" t="s">
        <v>2526</v>
      </c>
      <c r="L6" s="5344" t="s">
        <v>2528</v>
      </c>
      <c r="M6" s="5331" t="s">
        <v>2527</v>
      </c>
      <c r="N6" s="5332" t="s">
        <v>2526</v>
      </c>
      <c r="P6" s="2931" t="s">
        <v>4761</v>
      </c>
      <c r="Q6" s="2098">
        <f>FOLK1A!L6</f>
        <v>1807</v>
      </c>
    </row>
    <row r="7" spans="1:17" s="1779" customFormat="1" ht="15.75" thickBot="1" x14ac:dyDescent="0.3">
      <c r="B7" s="5365"/>
      <c r="C7" s="5344"/>
      <c r="D7" s="5331"/>
      <c r="E7" s="5332"/>
      <c r="F7" s="5333"/>
      <c r="G7" s="5343"/>
      <c r="H7" s="2838" t="s">
        <v>2423</v>
      </c>
      <c r="I7" s="2833" t="s">
        <v>2548</v>
      </c>
      <c r="J7" s="2833" t="s">
        <v>2547</v>
      </c>
      <c r="K7" s="2929"/>
      <c r="L7" s="5344"/>
      <c r="M7" s="5331"/>
      <c r="N7" s="5332"/>
      <c r="P7" s="2932" t="s">
        <v>4762</v>
      </c>
      <c r="Q7" s="2104">
        <f>FOLK1A!L4</f>
        <v>5781190</v>
      </c>
    </row>
    <row r="8" spans="1:17" s="1779" customFormat="1" ht="18.75" thickBot="1" x14ac:dyDescent="0.3">
      <c r="B8" s="5366"/>
      <c r="C8" s="2835" t="s">
        <v>701</v>
      </c>
      <c r="D8" s="2836" t="s">
        <v>698</v>
      </c>
      <c r="E8" s="2837" t="s">
        <v>698</v>
      </c>
      <c r="F8" s="2930" t="s">
        <v>2546</v>
      </c>
      <c r="G8" s="2839" t="s">
        <v>2545</v>
      </c>
      <c r="H8" s="5345" t="s">
        <v>665</v>
      </c>
      <c r="I8" s="5364"/>
      <c r="J8" s="5364"/>
      <c r="K8" s="5346"/>
      <c r="L8" s="5367" t="s">
        <v>468</v>
      </c>
      <c r="M8" s="5347"/>
      <c r="N8" s="5348"/>
    </row>
    <row r="9" spans="1:17" s="1779" customFormat="1" x14ac:dyDescent="0.25">
      <c r="B9" s="2926" t="s">
        <v>691</v>
      </c>
      <c r="C9" s="2183">
        <f>'NIR faktorer'!D1259</f>
        <v>398.27049038000001</v>
      </c>
      <c r="D9" s="2184">
        <f>'NIR faktorer'!D1263</f>
        <v>65.624678951000007</v>
      </c>
      <c r="E9" s="2185">
        <f>'NIR faktorer'!D1267</f>
        <v>3.1267286780000001</v>
      </c>
      <c r="F9" s="2186">
        <f>'NIR faktorer'!D1271</f>
        <v>7.2940561421719993E-2</v>
      </c>
      <c r="G9" s="2187">
        <f>'NIR faktorer'!D1275</f>
        <v>3.9942173863819999E-2</v>
      </c>
      <c r="H9" s="2183">
        <f>'NIR faktorer'!D1279</f>
        <v>2.0302402248190701</v>
      </c>
      <c r="I9" s="2184">
        <f>'NIR faktorer'!D1283</f>
        <v>2.4563484492000001</v>
      </c>
      <c r="J9" s="2184">
        <f>'NIR faktorer'!D1287</f>
        <v>24.563484492000001</v>
      </c>
      <c r="K9" s="2185">
        <f>'NIR faktorer'!D1291</f>
        <v>0.19625310647117999</v>
      </c>
      <c r="L9" s="3877" t="s">
        <v>259</v>
      </c>
      <c r="M9" s="2189">
        <f>H9*1000/Q7*Q6</f>
        <v>0.63458286031907951</v>
      </c>
      <c r="N9" s="2190">
        <f>K9*1000/Q7*Q6</f>
        <v>6.1341931919452961E-2</v>
      </c>
    </row>
    <row r="10" spans="1:17" s="1779" customFormat="1" x14ac:dyDescent="0.25">
      <c r="B10" s="2927" t="s">
        <v>689</v>
      </c>
      <c r="C10" s="2191" t="str">
        <f>'NIR faktorer'!D1260</f>
        <v>IE</v>
      </c>
      <c r="D10" s="2192" t="str">
        <f>'NIR faktorer'!D1264</f>
        <v>IE</v>
      </c>
      <c r="E10" s="2193">
        <f>'NIR faktorer'!D1268</f>
        <v>4.6363058207999996</v>
      </c>
      <c r="F10" s="2194" t="str">
        <f>'NIR faktorer'!D1272</f>
        <v>NO,IE</v>
      </c>
      <c r="G10" s="2195">
        <f>'NIR faktorer'!D1276</f>
        <v>3.1750000000300002E-3</v>
      </c>
      <c r="H10" s="2191" t="str">
        <f>'NIR faktorer'!D1280</f>
        <v>IE</v>
      </c>
      <c r="I10" s="2192" t="str">
        <f>'NIR faktorer'!D1284</f>
        <v>NO</v>
      </c>
      <c r="J10" s="2192" t="str">
        <f>'NIR faktorer'!D1288</f>
        <v>IE</v>
      </c>
      <c r="K10" s="2193">
        <f>'NIR faktorer'!D1292</f>
        <v>2.313185439897E-2</v>
      </c>
      <c r="L10" s="2196" t="s">
        <v>259</v>
      </c>
      <c r="M10" s="2197" t="s">
        <v>2544</v>
      </c>
      <c r="N10" s="2198">
        <f>K10*1000/Q7*Q6</f>
        <v>7.2302174636949806E-3</v>
      </c>
    </row>
    <row r="11" spans="1:17" s="1779" customFormat="1" ht="15.75" thickBot="1" x14ac:dyDescent="0.3">
      <c r="B11" s="2928" t="s">
        <v>688</v>
      </c>
      <c r="C11" s="2199" t="str">
        <f>'NIR faktorer'!D1261</f>
        <v>NO</v>
      </c>
      <c r="D11" s="2200" t="str">
        <f>'NIR faktorer'!D1265</f>
        <v>NO</v>
      </c>
      <c r="E11" s="2201" t="str">
        <f>'NIR faktorer'!D1269</f>
        <v>NO</v>
      </c>
      <c r="F11" s="2202" t="str">
        <f>'NIR faktorer'!D1273</f>
        <v>NO</v>
      </c>
      <c r="G11" s="2203" t="str">
        <f>'NIR faktorer'!D1277</f>
        <v>NO</v>
      </c>
      <c r="H11" s="2199" t="str">
        <f>'NIR faktorer'!D1281</f>
        <v>NO</v>
      </c>
      <c r="I11" s="2200" t="str">
        <f>'NIR faktorer'!D1285</f>
        <v>NO</v>
      </c>
      <c r="J11" s="2200" t="str">
        <f>'NIR faktorer'!D1289</f>
        <v>NO</v>
      </c>
      <c r="K11" s="2201" t="str">
        <f>'NIR faktorer'!D1293</f>
        <v>NO</v>
      </c>
      <c r="L11" s="2204" t="s">
        <v>259</v>
      </c>
      <c r="M11" s="2205" t="s">
        <v>259</v>
      </c>
      <c r="N11" s="2206" t="s">
        <v>259</v>
      </c>
    </row>
    <row r="12" spans="1:17" s="1779" customFormat="1" x14ac:dyDescent="0.25"/>
    <row r="13" spans="1:17" s="1010" customFormat="1" ht="12" x14ac:dyDescent="0.2">
      <c r="B13" s="1012" t="s">
        <v>2257</v>
      </c>
      <c r="C13" s="5350" t="str">
        <f>'NIR faktorer'!D1295</f>
        <v xml:space="preserve"> NIR 2020 (2018) CRF tabel 5.D</v>
      </c>
      <c r="D13" s="5350"/>
      <c r="E13" s="5350"/>
      <c r="F13" s="5350"/>
      <c r="G13" s="5350"/>
      <c r="H13" s="5350"/>
      <c r="I13" s="5350"/>
      <c r="J13" s="5350"/>
      <c r="K13" s="5350"/>
      <c r="L13" s="5350" t="s">
        <v>2524</v>
      </c>
      <c r="M13" s="5350"/>
      <c r="N13" s="5350"/>
    </row>
    <row r="14" spans="1:17" s="1010" customFormat="1" ht="12" x14ac:dyDescent="0.2">
      <c r="C14" s="1089"/>
      <c r="D14" s="1089"/>
      <c r="E14" s="1089"/>
      <c r="F14" s="1089"/>
      <c r="G14" s="1089"/>
      <c r="H14" s="1089"/>
      <c r="I14" s="1089"/>
      <c r="J14" s="1089"/>
      <c r="K14" s="1089"/>
      <c r="N14" s="1089"/>
      <c r="O14" s="1089"/>
      <c r="P14" s="1089"/>
    </row>
    <row r="15" spans="1:17" s="1010" customFormat="1" ht="12" x14ac:dyDescent="0.2">
      <c r="B15" s="1090" t="s">
        <v>2320</v>
      </c>
      <c r="C15" s="1090" t="s">
        <v>2319</v>
      </c>
      <c r="D15" s="1089"/>
      <c r="E15" s="1089"/>
      <c r="F15" s="1089"/>
      <c r="G15" s="1089"/>
      <c r="H15" s="1089"/>
      <c r="I15" s="1089"/>
      <c r="J15" s="1089"/>
      <c r="K15" s="1089"/>
      <c r="N15" s="1089"/>
      <c r="O15" s="1089"/>
      <c r="P15" s="1089"/>
    </row>
  </sheetData>
  <mergeCells count="18">
    <mergeCell ref="C13:K13"/>
    <mergeCell ref="L13:N13"/>
    <mergeCell ref="H6:J6"/>
    <mergeCell ref="L6:L7"/>
    <mergeCell ref="M6:M7"/>
    <mergeCell ref="N6:N7"/>
    <mergeCell ref="H8:K8"/>
    <mergeCell ref="L8:N8"/>
    <mergeCell ref="C5:E5"/>
    <mergeCell ref="F5:G5"/>
    <mergeCell ref="H5:K5"/>
    <mergeCell ref="L5:N5"/>
    <mergeCell ref="B6:B8"/>
    <mergeCell ref="C6:C7"/>
    <mergeCell ref="D6:D7"/>
    <mergeCell ref="E6:E7"/>
    <mergeCell ref="F6:F7"/>
    <mergeCell ref="G6:G7"/>
  </mergeCells>
  <hyperlinks>
    <hyperlink ref="A2" location="Index!A1" display="Til index" xr:uid="{4161A93D-5AD3-4EF4-B9B0-3CFFC1070DA4}"/>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AC9C9-18BB-4461-8691-3824B27B8D8B}">
  <sheetPr codeName="Ark101">
    <tabColor theme="4" tint="-0.249977111117893"/>
  </sheetPr>
  <dimension ref="A1:Q15"/>
  <sheetViews>
    <sheetView showGridLines="0" zoomScale="85" zoomScaleNormal="85" workbookViewId="0"/>
  </sheetViews>
  <sheetFormatPr defaultColWidth="9.140625" defaultRowHeight="15" x14ac:dyDescent="0.25"/>
  <cols>
    <col min="1" max="1" width="22.7109375" style="1779" customWidth="1"/>
    <col min="2" max="2" width="27.140625" style="1779" bestFit="1" customWidth="1"/>
    <col min="3" max="3" width="20.5703125" style="1779" bestFit="1" customWidth="1"/>
    <col min="4" max="4" width="13.42578125" style="1779" bestFit="1" customWidth="1"/>
    <col min="5" max="5" width="17.85546875" style="1779" customWidth="1"/>
    <col min="6" max="6" width="13.5703125" style="1779" customWidth="1"/>
    <col min="7" max="7" width="14.42578125" style="1779" customWidth="1"/>
    <col min="8" max="8" width="11.5703125" style="1779" customWidth="1"/>
    <col min="9" max="9" width="10.42578125" style="1779" customWidth="1"/>
    <col min="10" max="10" width="11.5703125" style="1779" customWidth="1"/>
    <col min="11" max="11" width="10.5703125" style="1779" customWidth="1"/>
    <col min="12" max="12" width="12.7109375" style="1779" customWidth="1"/>
    <col min="13" max="13" width="10.5703125" style="1779" customWidth="1"/>
    <col min="14" max="15" width="9.140625" style="1779"/>
    <col min="16" max="16" width="30.7109375" style="1779" customWidth="1"/>
    <col min="17" max="17" width="9.85546875" style="1779" bestFit="1" customWidth="1"/>
    <col min="18" max="18" width="18" style="1779" customWidth="1"/>
    <col min="19" max="16384" width="9.140625" style="1779"/>
  </cols>
  <sheetData>
    <row r="1" spans="1:17" s="1866" customFormat="1" ht="54" customHeight="1" x14ac:dyDescent="0.35">
      <c r="B1" s="1007" t="s">
        <v>2550</v>
      </c>
    </row>
    <row r="2" spans="1:17" ht="21" x14ac:dyDescent="0.35">
      <c r="A2" s="1740" t="s">
        <v>4206</v>
      </c>
    </row>
    <row r="3" spans="1:17" ht="15.75" customHeight="1" x14ac:dyDescent="0.35">
      <c r="A3" s="1778"/>
      <c r="B3" s="1779" t="s">
        <v>2543</v>
      </c>
      <c r="E3" s="1363"/>
    </row>
    <row r="4" spans="1:17" ht="15.75" thickBot="1" x14ac:dyDescent="0.3"/>
    <row r="5" spans="1:17" x14ac:dyDescent="0.25">
      <c r="B5" s="2925" t="s">
        <v>692</v>
      </c>
      <c r="C5" s="5340" t="s">
        <v>2530</v>
      </c>
      <c r="D5" s="5337"/>
      <c r="E5" s="5338"/>
      <c r="F5" s="5336" t="s">
        <v>2549</v>
      </c>
      <c r="G5" s="5339"/>
      <c r="H5" s="5340" t="s">
        <v>2557</v>
      </c>
      <c r="I5" s="5337"/>
      <c r="J5" s="5337"/>
      <c r="K5" s="5338"/>
      <c r="L5" s="5340" t="s">
        <v>4759</v>
      </c>
      <c r="M5" s="5337"/>
      <c r="N5" s="5338"/>
      <c r="P5" s="1358" t="s">
        <v>2542</v>
      </c>
      <c r="Q5" s="2103" t="str">
        <f>FOLK1A!L3</f>
        <v>2018K1</v>
      </c>
    </row>
    <row r="6" spans="1:17" ht="18" x14ac:dyDescent="0.25">
      <c r="B6" s="5365"/>
      <c r="C6" s="5344" t="s">
        <v>700</v>
      </c>
      <c r="D6" s="5331" t="s">
        <v>699</v>
      </c>
      <c r="E6" s="5332" t="s">
        <v>697</v>
      </c>
      <c r="F6" s="5333" t="s">
        <v>2527</v>
      </c>
      <c r="G6" s="5343" t="s">
        <v>2526</v>
      </c>
      <c r="H6" s="5344" t="s">
        <v>2527</v>
      </c>
      <c r="I6" s="5331"/>
      <c r="J6" s="5331"/>
      <c r="K6" s="2834" t="s">
        <v>2526</v>
      </c>
      <c r="L6" s="5344" t="s">
        <v>2528</v>
      </c>
      <c r="M6" s="5331" t="s">
        <v>2527</v>
      </c>
      <c r="N6" s="5332" t="s">
        <v>2526</v>
      </c>
      <c r="P6" s="2931" t="s">
        <v>4761</v>
      </c>
      <c r="Q6" s="2098">
        <f>FOLK1A!L6</f>
        <v>1807</v>
      </c>
    </row>
    <row r="7" spans="1:17" ht="15.75" thickBot="1" x14ac:dyDescent="0.3">
      <c r="B7" s="5365"/>
      <c r="C7" s="5344"/>
      <c r="D7" s="5331"/>
      <c r="E7" s="5332"/>
      <c r="F7" s="5333"/>
      <c r="G7" s="5343"/>
      <c r="H7" s="2838" t="s">
        <v>2423</v>
      </c>
      <c r="I7" s="2833" t="s">
        <v>2548</v>
      </c>
      <c r="J7" s="2833" t="s">
        <v>2547</v>
      </c>
      <c r="K7" s="2929"/>
      <c r="L7" s="5344"/>
      <c r="M7" s="5331"/>
      <c r="N7" s="5332"/>
      <c r="P7" s="2932" t="s">
        <v>4762</v>
      </c>
      <c r="Q7" s="2104">
        <f>FOLK1A!L4</f>
        <v>5781190</v>
      </c>
    </row>
    <row r="8" spans="1:17" ht="18.75" thickBot="1" x14ac:dyDescent="0.3">
      <c r="B8" s="5366"/>
      <c r="C8" s="2835" t="s">
        <v>701</v>
      </c>
      <c r="D8" s="2836" t="s">
        <v>698</v>
      </c>
      <c r="E8" s="2837" t="s">
        <v>698</v>
      </c>
      <c r="F8" s="2930" t="s">
        <v>2546</v>
      </c>
      <c r="G8" s="2839" t="s">
        <v>2545</v>
      </c>
      <c r="H8" s="5345" t="s">
        <v>665</v>
      </c>
      <c r="I8" s="5364"/>
      <c r="J8" s="5364"/>
      <c r="K8" s="5346"/>
      <c r="L8" s="5367" t="s">
        <v>468</v>
      </c>
      <c r="M8" s="5347"/>
      <c r="N8" s="5348"/>
    </row>
    <row r="9" spans="1:17" x14ac:dyDescent="0.25">
      <c r="B9" s="2926" t="s">
        <v>691</v>
      </c>
      <c r="C9" s="2183">
        <f>'NIR faktorer'!D1259</f>
        <v>398.27049038000001</v>
      </c>
      <c r="D9" s="2184">
        <f>'NIR faktorer'!D1263</f>
        <v>65.624678951000007</v>
      </c>
      <c r="E9" s="2185">
        <f>'NIR faktorer'!D1267</f>
        <v>3.1267286780000001</v>
      </c>
      <c r="F9" s="2186">
        <f>'NIR faktorer'!D1271</f>
        <v>7.2940561421719993E-2</v>
      </c>
      <c r="G9" s="2187">
        <f>'NIR faktorer'!D1275</f>
        <v>3.9942173863819999E-2</v>
      </c>
      <c r="H9" s="2183">
        <f>'NIR faktorer'!D1279</f>
        <v>2.0302402248190701</v>
      </c>
      <c r="I9" s="2184">
        <f>'NIR faktorer'!D1283</f>
        <v>2.4563484492000001</v>
      </c>
      <c r="J9" s="2184">
        <f>'NIR faktorer'!D1287</f>
        <v>24.563484492000001</v>
      </c>
      <c r="K9" s="2185">
        <f>'NIR faktorer'!D1291</f>
        <v>0.19625310647117999</v>
      </c>
      <c r="L9" s="2188" t="s">
        <v>259</v>
      </c>
      <c r="M9" s="2189">
        <f>H9*1000/Q7*Q6</f>
        <v>0.63458286031907951</v>
      </c>
      <c r="N9" s="2190">
        <f>K9*1000/Q7*Q6</f>
        <v>6.1341931919452961E-2</v>
      </c>
    </row>
    <row r="10" spans="1:17" x14ac:dyDescent="0.25">
      <c r="B10" s="2927" t="s">
        <v>689</v>
      </c>
      <c r="C10" s="2191" t="str">
        <f>'NIR faktorer'!D1260</f>
        <v>IE</v>
      </c>
      <c r="D10" s="2192" t="str">
        <f>'NIR faktorer'!D1264</f>
        <v>IE</v>
      </c>
      <c r="E10" s="2193">
        <f>'NIR faktorer'!D1268</f>
        <v>4.6363058207999996</v>
      </c>
      <c r="F10" s="2194" t="str">
        <f>'NIR faktorer'!D1272</f>
        <v>NO,IE</v>
      </c>
      <c r="G10" s="2195">
        <f>'NIR faktorer'!D1276</f>
        <v>3.1750000000300002E-3</v>
      </c>
      <c r="H10" s="2191" t="str">
        <f>'NIR faktorer'!D1280</f>
        <v>IE</v>
      </c>
      <c r="I10" s="2192" t="str">
        <f>'NIR faktorer'!D1284</f>
        <v>NO</v>
      </c>
      <c r="J10" s="2192" t="str">
        <f>'NIR faktorer'!D1288</f>
        <v>IE</v>
      </c>
      <c r="K10" s="2193">
        <f>'NIR faktorer'!D1292</f>
        <v>2.313185439897E-2</v>
      </c>
      <c r="L10" s="2196" t="s">
        <v>259</v>
      </c>
      <c r="M10" s="2197" t="s">
        <v>2544</v>
      </c>
      <c r="N10" s="2198">
        <f>K10*1000/Q7*Q6</f>
        <v>7.2302174636949806E-3</v>
      </c>
    </row>
    <row r="11" spans="1:17" ht="15.75" thickBot="1" x14ac:dyDescent="0.3">
      <c r="B11" s="2928" t="s">
        <v>688</v>
      </c>
      <c r="C11" s="2199" t="str">
        <f>'NIR faktorer'!D1261</f>
        <v>NO</v>
      </c>
      <c r="D11" s="2200" t="str">
        <f>'NIR faktorer'!D1265</f>
        <v>NO</v>
      </c>
      <c r="E11" s="2201" t="str">
        <f>'NIR faktorer'!D1269</f>
        <v>NO</v>
      </c>
      <c r="F11" s="2202" t="str">
        <f>'NIR faktorer'!D1273</f>
        <v>NO</v>
      </c>
      <c r="G11" s="2203" t="str">
        <f>'NIR faktorer'!D1277</f>
        <v>NO</v>
      </c>
      <c r="H11" s="2199" t="str">
        <f>'NIR faktorer'!D1281</f>
        <v>NO</v>
      </c>
      <c r="I11" s="2200" t="str">
        <f>'NIR faktorer'!D1285</f>
        <v>NO</v>
      </c>
      <c r="J11" s="2200" t="str">
        <f>'NIR faktorer'!D1289</f>
        <v>NO</v>
      </c>
      <c r="K11" s="2201" t="str">
        <f>'NIR faktorer'!D1293</f>
        <v>NO</v>
      </c>
      <c r="L11" s="2204" t="s">
        <v>259</v>
      </c>
      <c r="M11" s="2205" t="s">
        <v>259</v>
      </c>
      <c r="N11" s="2206" t="s">
        <v>259</v>
      </c>
    </row>
    <row r="13" spans="1:17" s="1010" customFormat="1" ht="12" x14ac:dyDescent="0.2">
      <c r="B13" s="1012" t="s">
        <v>2257</v>
      </c>
      <c r="C13" s="5350" t="str">
        <f>'NIR faktorer'!D1295</f>
        <v xml:space="preserve"> NIR 2020 (2018) CRF tabel 5.D</v>
      </c>
      <c r="D13" s="5350"/>
      <c r="E13" s="5350"/>
      <c r="F13" s="5350"/>
      <c r="G13" s="5350"/>
      <c r="H13" s="5350"/>
      <c r="I13" s="5350"/>
      <c r="J13" s="5350"/>
      <c r="K13" s="5350"/>
      <c r="L13" s="5350" t="s">
        <v>2524</v>
      </c>
      <c r="M13" s="5350"/>
      <c r="N13" s="5350"/>
    </row>
    <row r="14" spans="1:17" s="1010" customFormat="1" ht="12" x14ac:dyDescent="0.2">
      <c r="C14" s="1089"/>
      <c r="D14" s="1089"/>
      <c r="E14" s="1089"/>
      <c r="F14" s="1089"/>
      <c r="G14" s="1089"/>
      <c r="H14" s="1089"/>
      <c r="I14" s="1089"/>
      <c r="J14" s="1089"/>
      <c r="K14" s="1089"/>
      <c r="N14" s="1089"/>
      <c r="O14" s="1089"/>
      <c r="P14" s="1089"/>
    </row>
    <row r="15" spans="1:17" s="1010" customFormat="1" ht="12" x14ac:dyDescent="0.2">
      <c r="B15" s="1090" t="s">
        <v>2320</v>
      </c>
      <c r="C15" s="1090" t="s">
        <v>2319</v>
      </c>
      <c r="D15" s="1089"/>
      <c r="E15" s="1089"/>
      <c r="F15" s="1089"/>
      <c r="G15" s="1089"/>
      <c r="H15" s="1089"/>
      <c r="I15" s="1089"/>
      <c r="J15" s="1089"/>
      <c r="K15" s="1089"/>
      <c r="N15" s="1089"/>
      <c r="O15" s="1089"/>
      <c r="P15" s="1089"/>
    </row>
  </sheetData>
  <mergeCells count="18">
    <mergeCell ref="C5:E5"/>
    <mergeCell ref="F5:G5"/>
    <mergeCell ref="H5:K5"/>
    <mergeCell ref="L5:N5"/>
    <mergeCell ref="B6:B8"/>
    <mergeCell ref="C6:C7"/>
    <mergeCell ref="D6:D7"/>
    <mergeCell ref="E6:E7"/>
    <mergeCell ref="F6:F7"/>
    <mergeCell ref="G6:G7"/>
    <mergeCell ref="C13:K13"/>
    <mergeCell ref="L13:N13"/>
    <mergeCell ref="H6:J6"/>
    <mergeCell ref="L6:L7"/>
    <mergeCell ref="M6:M7"/>
    <mergeCell ref="N6:N7"/>
    <mergeCell ref="H8:K8"/>
    <mergeCell ref="L8:N8"/>
  </mergeCells>
  <hyperlinks>
    <hyperlink ref="A2" location="Index!A1" display="Til index" xr:uid="{6684FFE4-FF84-4E31-9B7F-6304E8A0A8B2}"/>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2DECE-8CDE-4F69-B19E-CA1DBF5598EC}">
  <sheetPr codeName="Ark148">
    <tabColor theme="4" tint="0.59999389629810485"/>
  </sheetPr>
  <dimension ref="A1:Q14"/>
  <sheetViews>
    <sheetView showGridLines="0" zoomScale="85" zoomScaleNormal="85" workbookViewId="0">
      <selection activeCell="E9" sqref="E9"/>
    </sheetView>
  </sheetViews>
  <sheetFormatPr defaultColWidth="9.140625" defaultRowHeight="15" x14ac:dyDescent="0.25"/>
  <cols>
    <col min="1" max="1" width="22.85546875" style="1008" customWidth="1"/>
    <col min="2" max="2" width="33.140625" style="1008" bestFit="1" customWidth="1"/>
    <col min="3" max="3" width="18.140625" style="1008" customWidth="1"/>
    <col min="4" max="10" width="9.140625" style="1008"/>
    <col min="11" max="11" width="14.85546875" style="1008" customWidth="1"/>
    <col min="12" max="12" width="10.5703125" style="1008" customWidth="1"/>
    <col min="13" max="13" width="11.28515625" style="1008" customWidth="1"/>
    <col min="14" max="14" width="11.85546875" style="1008" bestFit="1" customWidth="1"/>
    <col min="15" max="15" width="12.28515625" style="1008" bestFit="1" customWidth="1"/>
    <col min="16" max="16" width="31.85546875" style="1008" customWidth="1"/>
    <col min="17" max="17" width="10.140625" style="1008" bestFit="1" customWidth="1"/>
    <col min="18" max="18" width="9.140625" style="1008"/>
    <col min="19" max="19" width="18.28515625" style="1008" customWidth="1"/>
    <col min="20" max="16384" width="9.140625" style="1008"/>
  </cols>
  <sheetData>
    <row r="1" spans="1:17" s="1006" customFormat="1" ht="54" customHeight="1" x14ac:dyDescent="0.35">
      <c r="B1" s="1007" t="s">
        <v>2558</v>
      </c>
    </row>
    <row r="2" spans="1:17" ht="21" x14ac:dyDescent="0.35">
      <c r="A2" s="1740" t="s">
        <v>4206</v>
      </c>
    </row>
    <row r="3" spans="1:17" ht="16.5" customHeight="1" thickBot="1" x14ac:dyDescent="0.4">
      <c r="A3" s="1496"/>
      <c r="B3" s="1008" t="s">
        <v>2543</v>
      </c>
      <c r="G3" s="1382"/>
    </row>
    <row r="4" spans="1:17" ht="15.75" thickBot="1" x14ac:dyDescent="0.3">
      <c r="B4" s="2924"/>
      <c r="C4" s="5370" t="s">
        <v>2557</v>
      </c>
      <c r="D4" s="5371"/>
      <c r="E4" s="5371"/>
      <c r="F4" s="5371"/>
      <c r="G4" s="5371"/>
      <c r="H4" s="5371"/>
      <c r="I4" s="5371"/>
      <c r="J4" s="5372"/>
      <c r="K4" s="5373" t="s">
        <v>4759</v>
      </c>
      <c r="L4" s="5374"/>
      <c r="M4" s="5374"/>
      <c r="N4" s="5375"/>
      <c r="P4" s="1358" t="s">
        <v>2542</v>
      </c>
      <c r="Q4" s="1357" t="str">
        <f>FOLK1A!L3</f>
        <v>2018K1</v>
      </c>
    </row>
    <row r="5" spans="1:17" ht="23.45" customHeight="1" x14ac:dyDescent="0.25">
      <c r="B5" s="5376" t="s">
        <v>4920</v>
      </c>
      <c r="C5" s="5378" t="s">
        <v>4767</v>
      </c>
      <c r="D5" s="1379" t="s">
        <v>2553</v>
      </c>
      <c r="E5" s="1379" t="s">
        <v>2552</v>
      </c>
      <c r="F5" s="1379" t="s">
        <v>2556</v>
      </c>
      <c r="G5" s="1379" t="s">
        <v>2555</v>
      </c>
      <c r="H5" s="1381" t="s">
        <v>1015</v>
      </c>
      <c r="I5" s="1381" t="s">
        <v>1014</v>
      </c>
      <c r="J5" s="1380" t="s">
        <v>2554</v>
      </c>
      <c r="K5" s="5380" t="s">
        <v>4766</v>
      </c>
      <c r="L5" s="1379" t="s">
        <v>2553</v>
      </c>
      <c r="M5" s="1379" t="s">
        <v>2552</v>
      </c>
      <c r="N5" s="1776" t="s">
        <v>2526</v>
      </c>
      <c r="P5" s="2931" t="s">
        <v>4761</v>
      </c>
      <c r="Q5" s="1227">
        <f>FOLK1A!L6</f>
        <v>1807</v>
      </c>
    </row>
    <row r="6" spans="1:17" ht="32.450000000000003" customHeight="1" thickBot="1" x14ac:dyDescent="0.3">
      <c r="B6" s="5377"/>
      <c r="C6" s="5379"/>
      <c r="D6" s="5382" t="s">
        <v>2551</v>
      </c>
      <c r="E6" s="5382"/>
      <c r="F6" s="5382"/>
      <c r="G6" s="5382"/>
      <c r="H6" s="5382"/>
      <c r="I6" s="5382"/>
      <c r="J6" s="5383"/>
      <c r="K6" s="5381"/>
      <c r="L6" s="5347" t="s">
        <v>468</v>
      </c>
      <c r="M6" s="5347"/>
      <c r="N6" s="5348"/>
      <c r="P6" s="2932" t="s">
        <v>4762</v>
      </c>
      <c r="Q6" s="1356">
        <f>FOLK1A!L4</f>
        <v>5781190</v>
      </c>
    </row>
    <row r="7" spans="1:17" x14ac:dyDescent="0.25">
      <c r="B7" s="1328" t="s">
        <v>314</v>
      </c>
      <c r="C7" s="1383">
        <f>'NIR faktorer'!D1300</f>
        <v>12538</v>
      </c>
      <c r="D7" s="1378">
        <f>'NIR faktorer'!D1308</f>
        <v>107.8890540264711</v>
      </c>
      <c r="E7" s="1378">
        <f>'NIR faktorer'!D1312</f>
        <v>0.11286226085070351</v>
      </c>
      <c r="F7" s="1377" t="s">
        <v>986</v>
      </c>
      <c r="G7" s="1377" t="s">
        <v>986</v>
      </c>
      <c r="H7" s="1377" t="s">
        <v>986</v>
      </c>
      <c r="I7" s="1377" t="s">
        <v>986</v>
      </c>
      <c r="J7" s="1376"/>
      <c r="K7" s="1372">
        <f>C7/$Q$6*$Q$5</f>
        <v>3.9189450614838819</v>
      </c>
      <c r="L7" s="1517">
        <f>L8+L10</f>
        <v>33.722385983825696</v>
      </c>
      <c r="M7" s="1518">
        <f>M8+M10</f>
        <v>3.5276838394382691E-2</v>
      </c>
      <c r="N7" s="1510" t="s">
        <v>259</v>
      </c>
    </row>
    <row r="8" spans="1:17" x14ac:dyDescent="0.25">
      <c r="B8" s="1305" t="s">
        <v>682</v>
      </c>
      <c r="C8" s="1347">
        <f>'NIR faktorer'!D1301</f>
        <v>7634.313721962274</v>
      </c>
      <c r="D8" s="1375">
        <f>'NIR faktorer'!D1309</f>
        <v>101.5554540264711</v>
      </c>
      <c r="E8" s="1375">
        <f>'NIR faktorer'!D1313</f>
        <v>9.9667260850703515E-2</v>
      </c>
      <c r="F8" s="1374" t="s">
        <v>986</v>
      </c>
      <c r="G8" s="1374" t="s">
        <v>986</v>
      </c>
      <c r="H8" s="1374" t="s">
        <v>986</v>
      </c>
      <c r="I8" s="1374" t="s">
        <v>986</v>
      </c>
      <c r="J8" s="1373" t="s">
        <v>986</v>
      </c>
      <c r="K8" s="1372">
        <f>C8/$Q$6*$Q$5</f>
        <v>2.3862223686794293</v>
      </c>
      <c r="L8" s="1513">
        <f>((D8*1000)/$Q$6)*$Q$5</f>
        <v>31.742721727850714</v>
      </c>
      <c r="M8" s="1513">
        <f>E8*1000/$Q$6*$Q$5</f>
        <v>3.1152537861101479E-2</v>
      </c>
      <c r="N8" s="1321"/>
    </row>
    <row r="9" spans="1:17" x14ac:dyDescent="0.25">
      <c r="B9" s="1304" t="s">
        <v>681</v>
      </c>
      <c r="C9" s="1347">
        <f>'NIR faktorer'!D1302</f>
        <v>0</v>
      </c>
      <c r="D9" s="1375">
        <f>'NIR faktorer'!D1310</f>
        <v>16.6302178199028</v>
      </c>
      <c r="E9" s="1375">
        <f>'NIR faktorer'!D1314</f>
        <v>0</v>
      </c>
      <c r="F9" s="1374"/>
      <c r="G9" s="1374"/>
      <c r="H9" s="1374"/>
      <c r="I9" s="1374"/>
      <c r="J9" s="1373"/>
      <c r="K9" s="1372">
        <f>C9/$Q$6*$Q$5</f>
        <v>0</v>
      </c>
      <c r="L9" s="1513">
        <f>D9*1000/$Q$6*$Q$5</f>
        <v>5.198030786146858</v>
      </c>
      <c r="M9" s="1513">
        <f>E9*1000/$Q$6*$Q$5</f>
        <v>0</v>
      </c>
      <c r="N9" s="1514" t="s">
        <v>259</v>
      </c>
    </row>
    <row r="10" spans="1:17" ht="15.75" thickBot="1" x14ac:dyDescent="0.3">
      <c r="B10" s="1320" t="s">
        <v>680</v>
      </c>
      <c r="C10" s="1371">
        <f>'NIR faktorer'!D1303</f>
        <v>2524.8767576831488</v>
      </c>
      <c r="D10" s="1370">
        <f>'NIR faktorer'!D1311</f>
        <v>6.3335999999999997</v>
      </c>
      <c r="E10" s="1370">
        <f>'NIR faktorer'!D1315</f>
        <v>1.3195E-2</v>
      </c>
      <c r="F10" s="1369" t="s">
        <v>986</v>
      </c>
      <c r="G10" s="1369" t="s">
        <v>986</v>
      </c>
      <c r="H10" s="1369" t="s">
        <v>986</v>
      </c>
      <c r="I10" s="1369" t="s">
        <v>986</v>
      </c>
      <c r="J10" s="1368" t="s">
        <v>986</v>
      </c>
      <c r="K10" s="1367">
        <f>C10/$Q$6*$Q$5</f>
        <v>0.78918912907782823</v>
      </c>
      <c r="L10" s="1515">
        <f>D10*1000/$Q$6*$Q$5</f>
        <v>1.9796642559749809</v>
      </c>
      <c r="M10" s="1515">
        <f>E10*1000/$Q$6*$Q$5</f>
        <v>4.1243005332812109E-3</v>
      </c>
      <c r="N10" s="1516" t="s">
        <v>259</v>
      </c>
    </row>
    <row r="11" spans="1:17" x14ac:dyDescent="0.25">
      <c r="M11" s="1366"/>
    </row>
    <row r="12" spans="1:17" s="1364" customFormat="1" ht="32.25" customHeight="1" x14ac:dyDescent="0.2">
      <c r="B12" s="1012" t="s">
        <v>2042</v>
      </c>
      <c r="C12" s="1765" t="str">
        <f>'NIR faktorer'!D1305</f>
        <v xml:space="preserve"> NIR 2022(2018) Annex 3F-6.2</v>
      </c>
      <c r="D12" s="5368" t="str">
        <f>'NIR faktorer'!D1317</f>
        <v xml:space="preserve"> NIR 2022(2020) Annex 3F-6.1</v>
      </c>
      <c r="E12" s="5293"/>
      <c r="F12" s="5293"/>
      <c r="G12" s="5293"/>
      <c r="H12" s="5293"/>
      <c r="I12" s="5293"/>
      <c r="J12" s="5294"/>
      <c r="K12" s="1012"/>
      <c r="L12" s="5369" t="s">
        <v>2040</v>
      </c>
      <c r="M12" s="5369"/>
      <c r="N12" s="5369"/>
    </row>
    <row r="13" spans="1:17" s="1364" customFormat="1" ht="12" x14ac:dyDescent="0.2">
      <c r="J13" s="1365"/>
    </row>
    <row r="14" spans="1:17" s="1010" customFormat="1" ht="12" x14ac:dyDescent="0.2">
      <c r="B14" s="1090" t="s">
        <v>2320</v>
      </c>
      <c r="C14" s="1090" t="s">
        <v>2319</v>
      </c>
    </row>
  </sheetData>
  <mergeCells count="9">
    <mergeCell ref="D12:J12"/>
    <mergeCell ref="L12:N12"/>
    <mergeCell ref="C4:J4"/>
    <mergeCell ref="K4:N4"/>
    <mergeCell ref="B5:B6"/>
    <mergeCell ref="C5:C6"/>
    <mergeCell ref="K5:K6"/>
    <mergeCell ref="D6:J6"/>
    <mergeCell ref="L6:N6"/>
  </mergeCells>
  <hyperlinks>
    <hyperlink ref="A2" location="Index!A1" display="Til index" xr:uid="{8B338496-D94F-4697-AB48-D06B5190B956}"/>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C5323-F73A-4647-94D6-8158F5905806}">
  <sheetPr codeName="Ark102">
    <tabColor theme="4" tint="-0.249977111117893"/>
  </sheetPr>
  <dimension ref="A1:Q14"/>
  <sheetViews>
    <sheetView showGridLines="0" zoomScale="85" zoomScaleNormal="85" workbookViewId="0">
      <selection activeCell="Q7" sqref="Q7"/>
    </sheetView>
  </sheetViews>
  <sheetFormatPr defaultColWidth="9.140625" defaultRowHeight="15" x14ac:dyDescent="0.25"/>
  <cols>
    <col min="1" max="1" width="22.85546875" style="1779" customWidth="1"/>
    <col min="2" max="2" width="33.140625" style="1779" bestFit="1" customWidth="1"/>
    <col min="3" max="3" width="18.140625" style="1779" customWidth="1"/>
    <col min="4" max="10" width="9.140625" style="1779"/>
    <col min="11" max="11" width="14.85546875" style="1779" customWidth="1"/>
    <col min="12" max="12" width="10.5703125" style="1779" customWidth="1"/>
    <col min="13" max="13" width="11.28515625" style="1779" customWidth="1"/>
    <col min="14" max="14" width="11.85546875" style="1779" bestFit="1" customWidth="1"/>
    <col min="15" max="15" width="12.28515625" style="1779" bestFit="1" customWidth="1"/>
    <col min="16" max="16" width="31.85546875" style="1779" customWidth="1"/>
    <col min="17" max="17" width="10.140625" style="1779" bestFit="1" customWidth="1"/>
    <col min="18" max="18" width="9.140625" style="1779"/>
    <col min="19" max="19" width="18.28515625" style="1779" customWidth="1"/>
    <col min="20" max="16384" width="9.140625" style="1779"/>
  </cols>
  <sheetData>
    <row r="1" spans="1:17" s="1866" customFormat="1" ht="54" customHeight="1" x14ac:dyDescent="0.35">
      <c r="B1" s="1007" t="s">
        <v>2558</v>
      </c>
    </row>
    <row r="2" spans="1:17" ht="21" x14ac:dyDescent="0.35">
      <c r="A2" s="1740" t="s">
        <v>4206</v>
      </c>
    </row>
    <row r="3" spans="1:17" ht="16.5" customHeight="1" thickBot="1" x14ac:dyDescent="0.4">
      <c r="A3" s="1496"/>
      <c r="B3" s="1779" t="s">
        <v>2543</v>
      </c>
      <c r="G3" s="1382"/>
    </row>
    <row r="4" spans="1:17" ht="15.75" thickBot="1" x14ac:dyDescent="0.3">
      <c r="B4" s="2924"/>
      <c r="C4" s="5370" t="s">
        <v>2557</v>
      </c>
      <c r="D4" s="5371"/>
      <c r="E4" s="5371"/>
      <c r="F4" s="5371"/>
      <c r="G4" s="5371"/>
      <c r="H4" s="5371"/>
      <c r="I4" s="5371"/>
      <c r="J4" s="5372"/>
      <c r="K4" s="5373" t="s">
        <v>4759</v>
      </c>
      <c r="L4" s="5374"/>
      <c r="M4" s="5374"/>
      <c r="N4" s="5375"/>
      <c r="P4" s="1358" t="s">
        <v>2542</v>
      </c>
      <c r="Q4" s="2103" t="str">
        <f>FOLK1A!L3</f>
        <v>2018K1</v>
      </c>
    </row>
    <row r="5" spans="1:17" ht="23.45" customHeight="1" x14ac:dyDescent="0.25">
      <c r="B5" s="5376" t="s">
        <v>4920</v>
      </c>
      <c r="C5" s="5378" t="s">
        <v>4767</v>
      </c>
      <c r="D5" s="1379" t="s">
        <v>2553</v>
      </c>
      <c r="E5" s="1379" t="s">
        <v>2552</v>
      </c>
      <c r="F5" s="1379" t="s">
        <v>2556</v>
      </c>
      <c r="G5" s="1379" t="s">
        <v>2555</v>
      </c>
      <c r="H5" s="1381" t="s">
        <v>1015</v>
      </c>
      <c r="I5" s="1381" t="s">
        <v>1014</v>
      </c>
      <c r="J5" s="1380" t="s">
        <v>2554</v>
      </c>
      <c r="K5" s="5380" t="s">
        <v>4766</v>
      </c>
      <c r="L5" s="1379" t="s">
        <v>2553</v>
      </c>
      <c r="M5" s="1379" t="s">
        <v>2552</v>
      </c>
      <c r="N5" s="1776" t="s">
        <v>2526</v>
      </c>
      <c r="P5" s="2931" t="s">
        <v>4761</v>
      </c>
      <c r="Q5" s="2098">
        <f>FOLK1A!L6</f>
        <v>1807</v>
      </c>
    </row>
    <row r="6" spans="1:17" ht="32.450000000000003" customHeight="1" thickBot="1" x14ac:dyDescent="0.3">
      <c r="B6" s="5377"/>
      <c r="C6" s="5379"/>
      <c r="D6" s="5382" t="s">
        <v>2551</v>
      </c>
      <c r="E6" s="5382"/>
      <c r="F6" s="5382"/>
      <c r="G6" s="5382"/>
      <c r="H6" s="5382"/>
      <c r="I6" s="5382"/>
      <c r="J6" s="5383"/>
      <c r="K6" s="5381"/>
      <c r="L6" s="5347" t="s">
        <v>468</v>
      </c>
      <c r="M6" s="5347"/>
      <c r="N6" s="5348"/>
      <c r="P6" s="2932" t="s">
        <v>4762</v>
      </c>
      <c r="Q6" s="2104">
        <f>FOLK1A!L4</f>
        <v>5781190</v>
      </c>
    </row>
    <row r="7" spans="1:17" x14ac:dyDescent="0.25">
      <c r="B7" s="1328" t="s">
        <v>314</v>
      </c>
      <c r="C7" s="2207">
        <f>'NIR faktorer'!D1300</f>
        <v>12538</v>
      </c>
      <c r="D7" s="1378">
        <f>'NIR faktorer'!D1308</f>
        <v>107.8890540264711</v>
      </c>
      <c r="E7" s="1378">
        <f>'NIR faktorer'!D1312</f>
        <v>0.11286226085070351</v>
      </c>
      <c r="F7" s="1377" t="s">
        <v>986</v>
      </c>
      <c r="G7" s="1377" t="s">
        <v>986</v>
      </c>
      <c r="H7" s="1377" t="s">
        <v>986</v>
      </c>
      <c r="I7" s="1377" t="s">
        <v>986</v>
      </c>
      <c r="J7" s="1376"/>
      <c r="K7" s="2208">
        <f>C7/$Q$6*$Q$5</f>
        <v>3.9189450614838819</v>
      </c>
      <c r="L7" s="2209">
        <f>L8+L10</f>
        <v>33.722385983825696</v>
      </c>
      <c r="M7" s="2210">
        <f>M8+M10</f>
        <v>3.5276838394382691E-2</v>
      </c>
      <c r="N7" s="2165" t="s">
        <v>259</v>
      </c>
    </row>
    <row r="8" spans="1:17" x14ac:dyDescent="0.25">
      <c r="B8" s="2116" t="s">
        <v>682</v>
      </c>
      <c r="C8" s="2124">
        <f>'NIR faktorer'!D1301</f>
        <v>7634.313721962274</v>
      </c>
      <c r="D8" s="1375">
        <f>'NIR faktorer'!D1309</f>
        <v>101.5554540264711</v>
      </c>
      <c r="E8" s="1375">
        <f>'NIR faktorer'!D1313</f>
        <v>9.9667260850703515E-2</v>
      </c>
      <c r="F8" s="1374" t="s">
        <v>986</v>
      </c>
      <c r="G8" s="1374" t="s">
        <v>986</v>
      </c>
      <c r="H8" s="1374" t="s">
        <v>986</v>
      </c>
      <c r="I8" s="1374" t="s">
        <v>986</v>
      </c>
      <c r="J8" s="1373" t="s">
        <v>986</v>
      </c>
      <c r="K8" s="2208">
        <f>C8/$Q$6*$Q$5</f>
        <v>2.3862223686794293</v>
      </c>
      <c r="L8" s="2211">
        <f>((D8*1000)/$Q$6)*$Q$5</f>
        <v>31.742721727850714</v>
      </c>
      <c r="M8" s="2211">
        <f>E8*1000/$Q$6*$Q$5</f>
        <v>3.1152537861101479E-2</v>
      </c>
      <c r="N8" s="2126"/>
    </row>
    <row r="9" spans="1:17" x14ac:dyDescent="0.25">
      <c r="B9" s="2172" t="s">
        <v>681</v>
      </c>
      <c r="C9" s="2124">
        <f>'NIR faktorer'!D1302</f>
        <v>0</v>
      </c>
      <c r="D9" s="1375">
        <f>'NIR faktorer'!D1310</f>
        <v>16.6302178199028</v>
      </c>
      <c r="E9" s="1375">
        <f>'NIR faktorer'!D1314</f>
        <v>0</v>
      </c>
      <c r="F9" s="1374"/>
      <c r="G9" s="1374"/>
      <c r="H9" s="1374"/>
      <c r="I9" s="1374"/>
      <c r="J9" s="1373"/>
      <c r="K9" s="2208">
        <f>C9/$Q$6*$Q$5</f>
        <v>0</v>
      </c>
      <c r="L9" s="2211">
        <f>D9*1000/$Q$6*$Q$5</f>
        <v>5.198030786146858</v>
      </c>
      <c r="M9" s="2211">
        <f>E9*1000/$Q$6*$Q$5</f>
        <v>0</v>
      </c>
      <c r="N9" s="2212" t="s">
        <v>259</v>
      </c>
    </row>
    <row r="10" spans="1:17" ht="15.75" thickBot="1" x14ac:dyDescent="0.3">
      <c r="B10" s="2127" t="s">
        <v>680</v>
      </c>
      <c r="C10" s="1785">
        <f>'NIR faktorer'!D1303</f>
        <v>2524.8767576831488</v>
      </c>
      <c r="D10" s="1370">
        <f>'NIR faktorer'!D1311</f>
        <v>6.3335999999999997</v>
      </c>
      <c r="E10" s="1370">
        <f>'NIR faktorer'!D1315</f>
        <v>1.3195E-2</v>
      </c>
      <c r="F10" s="1369" t="s">
        <v>986</v>
      </c>
      <c r="G10" s="1369" t="s">
        <v>986</v>
      </c>
      <c r="H10" s="1369" t="s">
        <v>986</v>
      </c>
      <c r="I10" s="1369" t="s">
        <v>986</v>
      </c>
      <c r="J10" s="1368" t="s">
        <v>986</v>
      </c>
      <c r="K10" s="2213">
        <f>C10/$Q$6*$Q$5</f>
        <v>0.78918912907782823</v>
      </c>
      <c r="L10" s="2214">
        <f>D10*1000/$Q$6*$Q$5</f>
        <v>1.9796642559749809</v>
      </c>
      <c r="M10" s="2214">
        <f>E10*1000/$Q$6*$Q$5</f>
        <v>4.1243005332812109E-3</v>
      </c>
      <c r="N10" s="2215" t="s">
        <v>259</v>
      </c>
    </row>
    <row r="11" spans="1:17" x14ac:dyDescent="0.25">
      <c r="M11" s="2216"/>
    </row>
    <row r="12" spans="1:17" s="1364" customFormat="1" ht="32.25" customHeight="1" x14ac:dyDescent="0.2">
      <c r="B12" s="1012" t="s">
        <v>2042</v>
      </c>
      <c r="C12" s="1765" t="str">
        <f>'NIR faktorer'!D1305</f>
        <v xml:space="preserve"> NIR 2022(2018) Annex 3F-6.2</v>
      </c>
      <c r="D12" s="5368" t="str">
        <f>'NIR faktorer'!D1317</f>
        <v xml:space="preserve"> NIR 2022(2020) Annex 3F-6.1</v>
      </c>
      <c r="E12" s="5293"/>
      <c r="F12" s="5293"/>
      <c r="G12" s="5293"/>
      <c r="H12" s="5293"/>
      <c r="I12" s="5293"/>
      <c r="J12" s="5294"/>
      <c r="K12" s="1012"/>
      <c r="L12" s="5369" t="s">
        <v>2040</v>
      </c>
      <c r="M12" s="5369"/>
      <c r="N12" s="5369"/>
    </row>
    <row r="13" spans="1:17" s="1364" customFormat="1" ht="12" x14ac:dyDescent="0.2">
      <c r="J13" s="1365"/>
    </row>
    <row r="14" spans="1:17" s="1010" customFormat="1" ht="12" x14ac:dyDescent="0.2">
      <c r="B14" s="1090" t="s">
        <v>2320</v>
      </c>
      <c r="C14" s="1090" t="s">
        <v>2319</v>
      </c>
    </row>
  </sheetData>
  <mergeCells count="9">
    <mergeCell ref="D12:J12"/>
    <mergeCell ref="L12:N12"/>
    <mergeCell ref="C4:J4"/>
    <mergeCell ref="B5:B6"/>
    <mergeCell ref="C5:C6"/>
    <mergeCell ref="K5:K6"/>
    <mergeCell ref="D6:J6"/>
    <mergeCell ref="L6:N6"/>
    <mergeCell ref="K4:N4"/>
  </mergeCells>
  <hyperlinks>
    <hyperlink ref="A2" location="Index!A1" display="Til index" xr:uid="{5AC5882B-8C69-40B0-8514-1F3E74E47EBA}"/>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25E40-EF92-4BFC-8891-1047A399F645}">
  <sheetPr codeName="Ark149">
    <tabColor theme="4" tint="0.59999389629810485"/>
  </sheetPr>
  <dimension ref="A1:L106"/>
  <sheetViews>
    <sheetView showGridLines="0" topLeftCell="E41" zoomScale="70" zoomScaleNormal="70" workbookViewId="0">
      <selection activeCell="L47" sqref="L47"/>
    </sheetView>
  </sheetViews>
  <sheetFormatPr defaultColWidth="9.140625" defaultRowHeight="15" x14ac:dyDescent="0.25"/>
  <cols>
    <col min="1" max="1" width="56.85546875" style="1008" bestFit="1" customWidth="1"/>
    <col min="2" max="2" width="28.140625" style="1008" bestFit="1" customWidth="1"/>
    <col min="3" max="3" width="29.28515625" style="1008" customWidth="1"/>
    <col min="4" max="4" width="29" style="1008" customWidth="1"/>
    <col min="5" max="5" width="26.7109375" style="1008" customWidth="1"/>
    <col min="6" max="6" width="29.42578125" style="1008" customWidth="1"/>
    <col min="7" max="7" width="29.140625" style="1008" customWidth="1"/>
    <col min="8" max="8" width="33" style="1008" customWidth="1"/>
    <col min="9" max="9" width="31" style="1008" customWidth="1"/>
    <col min="10" max="10" width="27.5703125" style="1008" customWidth="1"/>
    <col min="11" max="11" width="39.7109375" style="1008" customWidth="1"/>
    <col min="12" max="12" width="36.42578125" style="1008" customWidth="1"/>
    <col min="13" max="16384" width="9.140625" style="1008"/>
  </cols>
  <sheetData>
    <row r="1" spans="1:12" s="1006" customFormat="1" ht="54" customHeight="1" x14ac:dyDescent="0.35">
      <c r="B1" s="1007" t="s">
        <v>2578</v>
      </c>
    </row>
    <row r="2" spans="1:12" s="992" customFormat="1" ht="21" x14ac:dyDescent="0.35">
      <c r="A2" s="1740" t="s">
        <v>4206</v>
      </c>
      <c r="B2" s="1196"/>
      <c r="C2" s="1196"/>
      <c r="D2" s="1196"/>
      <c r="F2" s="1196"/>
      <c r="G2" s="1196"/>
      <c r="H2" s="1196"/>
      <c r="I2" s="1196"/>
      <c r="J2" s="1196"/>
      <c r="K2" s="1196"/>
      <c r="L2" s="1196"/>
    </row>
    <row r="3" spans="1:12" ht="15.75" thickBot="1" x14ac:dyDescent="0.3">
      <c r="A3" s="3878"/>
      <c r="B3" s="1008" t="s">
        <v>2577</v>
      </c>
    </row>
    <row r="4" spans="1:12" x14ac:dyDescent="0.25">
      <c r="A4" s="1519"/>
      <c r="B4" s="1008" t="s">
        <v>2576</v>
      </c>
      <c r="K4" s="1358" t="s">
        <v>2542</v>
      </c>
      <c r="L4" s="1362" t="str">
        <f>FOLK1A!L3</f>
        <v>2018K1</v>
      </c>
    </row>
    <row r="5" spans="1:12" x14ac:dyDescent="0.25">
      <c r="K5" s="2858" t="s">
        <v>4761</v>
      </c>
      <c r="L5" s="1227">
        <f>FOLK1A!L6</f>
        <v>1807</v>
      </c>
    </row>
    <row r="6" spans="1:12" ht="15.75" thickBot="1" x14ac:dyDescent="0.3">
      <c r="K6" s="2859" t="s">
        <v>4762</v>
      </c>
      <c r="L6" s="1356">
        <f>FOLK1A!L4</f>
        <v>5781190</v>
      </c>
    </row>
    <row r="7" spans="1:12" ht="35.450000000000003" customHeight="1" thickBot="1" x14ac:dyDescent="0.3">
      <c r="A7" s="1441" t="s">
        <v>431</v>
      </c>
      <c r="B7" s="1440"/>
      <c r="C7" s="1440"/>
      <c r="D7" s="1440"/>
      <c r="E7" s="1439"/>
      <c r="F7" s="1439"/>
      <c r="G7" s="1439"/>
      <c r="H7" s="1438"/>
      <c r="I7" s="1396"/>
      <c r="J7" s="1396"/>
      <c r="K7" s="1396"/>
      <c r="L7" s="1396"/>
    </row>
    <row r="8" spans="1:12" ht="33.75" thickBot="1" x14ac:dyDescent="0.3">
      <c r="A8" s="1437" t="s">
        <v>2301</v>
      </c>
      <c r="B8" s="1436" t="s">
        <v>2575</v>
      </c>
      <c r="C8" s="1436" t="s">
        <v>4921</v>
      </c>
      <c r="D8" s="1436" t="s">
        <v>4922</v>
      </c>
      <c r="E8" s="1436" t="s">
        <v>4927</v>
      </c>
      <c r="F8" s="1436" t="s">
        <v>4928</v>
      </c>
      <c r="G8" s="1436" t="s">
        <v>4972</v>
      </c>
      <c r="H8" s="1435" t="s">
        <v>4971</v>
      </c>
      <c r="I8" s="1366"/>
      <c r="J8" s="1366"/>
      <c r="K8" s="1366"/>
      <c r="L8" s="1366"/>
    </row>
    <row r="9" spans="1:12" ht="17.25" x14ac:dyDescent="0.25">
      <c r="A9" s="1434" t="s">
        <v>2574</v>
      </c>
      <c r="B9" s="1433"/>
      <c r="C9" s="1432"/>
      <c r="D9" s="1431"/>
      <c r="E9" s="1431"/>
      <c r="F9" s="1431"/>
      <c r="G9" s="1430"/>
      <c r="H9" s="1599">
        <f>SUM(H10:H10)</f>
        <v>0</v>
      </c>
      <c r="I9" s="1366"/>
    </row>
    <row r="10" spans="1:12" x14ac:dyDescent="0.25">
      <c r="A10" s="2720" t="s">
        <v>2922</v>
      </c>
      <c r="B10" s="1702" t="str">
        <f>'PUNKTKILDELISTE pr værk 18'!F14</f>
        <v>Fremstilling af mursten</v>
      </c>
      <c r="C10" s="1596"/>
      <c r="D10" s="1597"/>
      <c r="E10" s="1597"/>
      <c r="F10" s="1597"/>
      <c r="G10" s="1598"/>
      <c r="H10" s="4055"/>
      <c r="I10" s="1366"/>
    </row>
    <row r="11" spans="1:12" ht="17.25" x14ac:dyDescent="0.25">
      <c r="A11" s="2721" t="s">
        <v>2573</v>
      </c>
      <c r="B11" s="2722"/>
      <c r="C11" s="2715"/>
      <c r="D11" s="2715"/>
      <c r="E11" s="2715"/>
      <c r="F11" s="2716"/>
      <c r="G11" s="2715"/>
      <c r="H11" s="2719">
        <f>SUM(H12:H13)</f>
        <v>0</v>
      </c>
      <c r="I11" s="1366"/>
    </row>
    <row r="12" spans="1:12" x14ac:dyDescent="0.25">
      <c r="A12" s="2720" t="s">
        <v>2922</v>
      </c>
      <c r="B12" s="2714" t="str">
        <f>'PUNKTKILDELISTE pr værk 18'!F18</f>
        <v>Anden råstofindvinding</v>
      </c>
      <c r="C12" s="2715"/>
      <c r="D12" s="2715"/>
      <c r="E12" s="2715"/>
      <c r="F12" s="2716"/>
      <c r="G12" s="2715"/>
      <c r="H12" s="4055"/>
      <c r="I12" s="1366"/>
    </row>
    <row r="13" spans="1:12" x14ac:dyDescent="0.25">
      <c r="A13" s="2720" t="s">
        <v>2922</v>
      </c>
      <c r="B13" s="2714" t="str">
        <f>'PUNKTKILDELISTE pr værk 18'!F19</f>
        <v>Anden råstofindvinding</v>
      </c>
      <c r="C13" s="2715"/>
      <c r="D13" s="2715"/>
      <c r="E13" s="2715"/>
      <c r="F13" s="2716"/>
      <c r="G13" s="2715"/>
      <c r="H13" s="4055"/>
      <c r="I13" s="1366"/>
    </row>
    <row r="14" spans="1:12" ht="17.25" x14ac:dyDescent="0.25">
      <c r="A14" s="2723" t="s">
        <v>2572</v>
      </c>
      <c r="B14" s="2714"/>
      <c r="C14" s="2715"/>
      <c r="D14" s="2715"/>
      <c r="E14" s="2715"/>
      <c r="F14" s="2716"/>
      <c r="G14" s="2715"/>
      <c r="H14" s="2719">
        <f>SUM(H15)</f>
        <v>0</v>
      </c>
      <c r="I14" s="1366"/>
    </row>
    <row r="15" spans="1:12" ht="15" customHeight="1" x14ac:dyDescent="0.25">
      <c r="A15" s="2720" t="s">
        <v>2922</v>
      </c>
      <c r="B15" s="2714" t="str">
        <f>'PUNKTKILDELISTE pr værk 18'!F21</f>
        <v>Fremstilling af andre ikke metalholdige produkter</v>
      </c>
      <c r="C15" s="2715"/>
      <c r="D15" s="2715"/>
      <c r="E15" s="2715"/>
      <c r="F15" s="2716"/>
      <c r="G15" s="2715"/>
      <c r="H15" s="4055"/>
      <c r="I15" s="1366"/>
    </row>
    <row r="16" spans="1:12" ht="17.25" x14ac:dyDescent="0.25">
      <c r="A16" s="2723" t="s">
        <v>2571</v>
      </c>
      <c r="B16" s="2718" t="s">
        <v>4012</v>
      </c>
      <c r="C16" s="2724">
        <f>'NIR faktorer'!D1322</f>
        <v>44914</v>
      </c>
      <c r="D16" s="2725">
        <f>C16/$L$6*$L$5</f>
        <v>14.03856264886641</v>
      </c>
      <c r="E16" s="2718">
        <f>'NIR faktorer'!D1323</f>
        <v>0.41492000000000001</v>
      </c>
      <c r="F16" s="2726">
        <f>C16*E16</f>
        <v>18635.71688</v>
      </c>
      <c r="G16" s="2727"/>
      <c r="H16" s="2719">
        <f>D16*E16+SUM(H17)</f>
        <v>5.8248804142676507</v>
      </c>
      <c r="I16" s="1366"/>
    </row>
    <row r="17" spans="1:12" x14ac:dyDescent="0.25">
      <c r="A17" s="2720" t="s">
        <v>2922</v>
      </c>
      <c r="B17" s="2718"/>
      <c r="C17" s="2728"/>
      <c r="D17" s="2727"/>
      <c r="E17" s="2727"/>
      <c r="F17" s="2729"/>
      <c r="G17" s="2727"/>
      <c r="H17" s="4034"/>
      <c r="I17" s="1366"/>
      <c r="J17" s="1366"/>
      <c r="K17" s="1366"/>
      <c r="L17" s="1366"/>
    </row>
    <row r="18" spans="1:12" ht="17.25" x14ac:dyDescent="0.25">
      <c r="A18" s="2717" t="s">
        <v>2570</v>
      </c>
      <c r="B18" s="2718"/>
      <c r="C18" s="2727"/>
      <c r="D18" s="2730"/>
      <c r="E18" s="2730"/>
      <c r="F18" s="2731"/>
      <c r="G18" s="2731"/>
      <c r="H18" s="2719">
        <f>SUM(H19:H20)</f>
        <v>0</v>
      </c>
      <c r="I18" s="1409"/>
      <c r="J18" s="1410"/>
      <c r="K18" s="1409"/>
      <c r="L18" s="1366"/>
    </row>
    <row r="19" spans="1:12" x14ac:dyDescent="0.25">
      <c r="A19" s="2713"/>
      <c r="B19" s="2714" t="str">
        <f>'PUNKTKILDELISTE pr værk 18'!F16</f>
        <v>Bortskaffelse af affald</v>
      </c>
      <c r="C19" s="2715"/>
      <c r="D19" s="2715"/>
      <c r="E19" s="2715"/>
      <c r="F19" s="2716"/>
      <c r="G19" s="2715"/>
      <c r="H19" s="4055"/>
      <c r="I19" s="1366"/>
    </row>
    <row r="20" spans="1:12" ht="15.75" thickBot="1" x14ac:dyDescent="0.3">
      <c r="A20" s="2720" t="s">
        <v>2922</v>
      </c>
      <c r="B20" s="2732" t="str">
        <f>'PUNKTKILDELISTE pr værk 18'!F30</f>
        <v xml:space="preserve">Produktion af elektricitet </v>
      </c>
      <c r="C20" s="2733"/>
      <c r="D20" s="2734"/>
      <c r="E20" s="2734"/>
      <c r="F20" s="2735"/>
      <c r="G20" s="2735"/>
      <c r="H20" s="4055"/>
      <c r="I20" s="1409"/>
      <c r="J20" s="1410"/>
      <c r="K20" s="1409"/>
      <c r="L20" s="1366"/>
    </row>
    <row r="21" spans="1:12" x14ac:dyDescent="0.25">
      <c r="B21" s="1428"/>
      <c r="C21" s="1428"/>
      <c r="D21" s="1429"/>
      <c r="E21" s="1428"/>
      <c r="F21" s="1428"/>
      <c r="G21" s="1428"/>
      <c r="H21" s="1428"/>
      <c r="I21" s="1428"/>
      <c r="J21" s="1428"/>
      <c r="K21" s="1410"/>
      <c r="L21" s="1409"/>
    </row>
    <row r="22" spans="1:12" s="1012" customFormat="1" ht="24" x14ac:dyDescent="0.2">
      <c r="A22" s="1012" t="s">
        <v>2564</v>
      </c>
      <c r="B22" s="1384"/>
      <c r="C22" s="1386" t="str">
        <f>'NIR faktorer'!D1325</f>
        <v xml:space="preserve"> NIR 2020 (2018) CRF tabel 2(I).A-Hs1</v>
      </c>
      <c r="D22" s="1384"/>
      <c r="E22" s="1386" t="str">
        <f>C22</f>
        <v xml:space="preserve"> NIR 2020 (2018) CRF tabel 2(I).A-Hs1</v>
      </c>
      <c r="F22" s="1384"/>
      <c r="G22" s="1386" t="s">
        <v>2569</v>
      </c>
      <c r="H22" s="1427"/>
      <c r="I22" s="1400"/>
      <c r="J22" s="1384"/>
      <c r="K22" s="1384"/>
      <c r="L22" s="1384"/>
    </row>
    <row r="23" spans="1:12" s="1012" customFormat="1" ht="12" x14ac:dyDescent="0.2">
      <c r="A23" s="1385" t="s">
        <v>4925</v>
      </c>
      <c r="B23" s="1426"/>
      <c r="C23" s="1384"/>
      <c r="D23" s="1384"/>
      <c r="E23" s="1384"/>
      <c r="F23" s="1384"/>
      <c r="G23" s="1384"/>
      <c r="H23" s="1384"/>
      <c r="I23" s="1384"/>
      <c r="J23" s="1384"/>
      <c r="K23" s="1384"/>
      <c r="L23" s="1384"/>
    </row>
    <row r="24" spans="1:12" s="1012" customFormat="1" ht="12" x14ac:dyDescent="0.2">
      <c r="A24" s="1385" t="s">
        <v>4934</v>
      </c>
      <c r="B24" s="1384"/>
      <c r="C24" s="1384"/>
      <c r="D24" s="1384"/>
      <c r="E24" s="1384"/>
      <c r="F24" s="1384"/>
      <c r="G24" s="1384"/>
      <c r="H24" s="1384"/>
      <c r="I24" s="1384"/>
      <c r="J24" s="1384"/>
      <c r="K24" s="1384"/>
      <c r="L24" s="1384"/>
    </row>
    <row r="25" spans="1:12" x14ac:dyDescent="0.25">
      <c r="B25" s="1366"/>
      <c r="C25" s="1366"/>
      <c r="D25" s="1366"/>
      <c r="E25" s="1366"/>
      <c r="F25" s="1366"/>
      <c r="G25" s="1366"/>
      <c r="H25" s="1366"/>
      <c r="I25" s="1366"/>
      <c r="J25" s="1366"/>
      <c r="K25" s="1366"/>
      <c r="L25" s="1366"/>
    </row>
    <row r="26" spans="1:12" ht="13.5" customHeight="1" x14ac:dyDescent="0.25">
      <c r="A26" s="1425"/>
      <c r="B26" s="1424"/>
      <c r="C26" s="1366"/>
      <c r="D26" s="1366"/>
      <c r="E26" s="1366"/>
      <c r="F26" s="1366"/>
      <c r="G26" s="1366"/>
      <c r="H26" s="1366"/>
      <c r="I26" s="1366"/>
      <c r="J26" s="1366"/>
      <c r="K26" s="1366"/>
      <c r="L26" s="1366"/>
    </row>
    <row r="27" spans="1:12" ht="58.5" customHeight="1" thickBot="1" x14ac:dyDescent="0.3">
      <c r="A27" s="1772" t="s">
        <v>300</v>
      </c>
      <c r="B27" s="1396"/>
      <c r="C27" s="1366"/>
      <c r="D27" s="5386" t="s">
        <v>4929</v>
      </c>
      <c r="E27" s="5387"/>
      <c r="F27" s="5388"/>
      <c r="G27" s="1412" t="s">
        <v>4930</v>
      </c>
      <c r="H27" s="5387" t="s">
        <v>4926</v>
      </c>
      <c r="I27" s="5387"/>
      <c r="J27" s="5388"/>
      <c r="K27" s="1397"/>
      <c r="L27" s="1366"/>
    </row>
    <row r="28" spans="1:12" ht="33.75" thickBot="1" x14ac:dyDescent="0.3">
      <c r="A28" s="1015" t="s">
        <v>2301</v>
      </c>
      <c r="B28" s="1395" t="s">
        <v>4923</v>
      </c>
      <c r="C28" s="1395" t="s">
        <v>4924</v>
      </c>
      <c r="D28" s="1395" t="s">
        <v>2528</v>
      </c>
      <c r="E28" s="1411" t="s">
        <v>2527</v>
      </c>
      <c r="F28" s="1395" t="s">
        <v>2526</v>
      </c>
      <c r="G28" s="1395" t="s">
        <v>307</v>
      </c>
      <c r="H28" s="1395" t="s">
        <v>4931</v>
      </c>
      <c r="I28" s="1395" t="s">
        <v>4932</v>
      </c>
      <c r="J28" s="1395" t="s">
        <v>4933</v>
      </c>
      <c r="K28" s="1395" t="s">
        <v>4973</v>
      </c>
      <c r="L28" s="2933" t="s">
        <v>4971</v>
      </c>
    </row>
    <row r="29" spans="1:12" ht="15.75" thickBot="1" x14ac:dyDescent="0.3">
      <c r="A29" s="1423" t="s">
        <v>676</v>
      </c>
      <c r="B29" s="1520">
        <f>'NIR faktorer'!D1328</f>
        <v>59303</v>
      </c>
      <c r="C29" s="1590">
        <f>B29*L5/L6</f>
        <v>18.536066277012171</v>
      </c>
      <c r="D29" s="1418">
        <f>'NIR faktorer'!D1329</f>
        <v>2.41E-2</v>
      </c>
      <c r="E29" s="1417"/>
      <c r="F29" s="1417"/>
      <c r="G29" s="1417"/>
      <c r="H29" s="1422">
        <f>B29*D29</f>
        <v>1429.2022999999999</v>
      </c>
      <c r="I29" s="1414"/>
      <c r="J29" s="1414"/>
      <c r="K29" s="1421">
        <f>H29</f>
        <v>1429.2022999999999</v>
      </c>
      <c r="L29" s="1534">
        <f>K29*L5/L6</f>
        <v>0.4467191972759933</v>
      </c>
    </row>
    <row r="30" spans="1:12" x14ac:dyDescent="0.25">
      <c r="A30" s="1167"/>
      <c r="B30" s="1401"/>
      <c r="C30" s="1366"/>
      <c r="D30" s="1366"/>
      <c r="E30" s="1409"/>
      <c r="F30" s="1409"/>
      <c r="G30" s="1409"/>
      <c r="H30" s="1409"/>
      <c r="I30" s="1409"/>
      <c r="J30" s="1409"/>
      <c r="K30" s="1366"/>
      <c r="L30" s="1366"/>
    </row>
    <row r="31" spans="1:12" s="1183" customFormat="1" ht="24" x14ac:dyDescent="0.2">
      <c r="A31" s="1183" t="s">
        <v>2564</v>
      </c>
      <c r="B31" s="1386" t="str">
        <f>C22</f>
        <v xml:space="preserve"> NIR 2020 (2018) CRF tabel 2(I).A-Hs1</v>
      </c>
      <c r="C31" s="1386" t="s">
        <v>2560</v>
      </c>
      <c r="D31" s="1386" t="str">
        <f>C22</f>
        <v xml:space="preserve"> NIR 2020 (2018) CRF tabel 2(I).A-Hs1</v>
      </c>
      <c r="E31" s="1400"/>
      <c r="F31" s="1400"/>
      <c r="G31" s="1400"/>
      <c r="H31" s="1400"/>
      <c r="I31" s="1400"/>
      <c r="J31" s="1400"/>
      <c r="K31" s="1400"/>
      <c r="L31" s="1400"/>
    </row>
    <row r="32" spans="1:12" s="1012" customFormat="1" ht="18.75" customHeight="1" x14ac:dyDescent="0.2">
      <c r="A32" s="1385" t="s">
        <v>4936</v>
      </c>
      <c r="B32" s="1420"/>
      <c r="C32" s="1384"/>
      <c r="D32" s="1384"/>
      <c r="E32" s="1384"/>
      <c r="F32" s="1384"/>
      <c r="G32" s="1384"/>
      <c r="H32" s="1384"/>
      <c r="I32" s="1384"/>
      <c r="J32" s="1384"/>
      <c r="K32" s="1384"/>
      <c r="L32" s="1384"/>
    </row>
    <row r="33" spans="1:12" x14ac:dyDescent="0.25">
      <c r="B33" s="1408"/>
      <c r="C33" s="1366"/>
      <c r="D33" s="1366"/>
      <c r="E33" s="1366"/>
      <c r="F33" s="1366"/>
      <c r="G33" s="1366"/>
      <c r="H33" s="1366"/>
      <c r="I33" s="1366"/>
      <c r="J33" s="1366"/>
      <c r="K33" s="1366"/>
      <c r="L33" s="1366"/>
    </row>
    <row r="34" spans="1:12" ht="46.5" customHeight="1" thickBot="1" x14ac:dyDescent="0.3">
      <c r="A34" s="1772" t="s">
        <v>2568</v>
      </c>
      <c r="B34" s="1396"/>
      <c r="C34" s="1366"/>
      <c r="D34" s="5386" t="s">
        <v>4929</v>
      </c>
      <c r="E34" s="5387"/>
      <c r="F34" s="5388"/>
      <c r="G34" s="1412" t="s">
        <v>4930</v>
      </c>
      <c r="H34" s="5387" t="s">
        <v>4926</v>
      </c>
      <c r="I34" s="5387"/>
      <c r="J34" s="5388"/>
      <c r="K34" s="1397"/>
      <c r="L34" s="1396"/>
    </row>
    <row r="35" spans="1:12" s="1014" customFormat="1" ht="33.75" thickBot="1" x14ac:dyDescent="0.3">
      <c r="A35" s="1015" t="s">
        <v>2562</v>
      </c>
      <c r="B35" s="2921" t="s">
        <v>4921</v>
      </c>
      <c r="C35" s="2921" t="s">
        <v>4922</v>
      </c>
      <c r="D35" s="1395" t="s">
        <v>2528</v>
      </c>
      <c r="E35" s="1395" t="s">
        <v>2527</v>
      </c>
      <c r="F35" s="1395" t="s">
        <v>2526</v>
      </c>
      <c r="G35" s="1395" t="s">
        <v>307</v>
      </c>
      <c r="H35" s="1395" t="s">
        <v>4931</v>
      </c>
      <c r="I35" s="1395" t="s">
        <v>4932</v>
      </c>
      <c r="J35" s="1395" t="s">
        <v>4933</v>
      </c>
      <c r="K35" s="1395" t="s">
        <v>4973</v>
      </c>
      <c r="L35" s="2933" t="s">
        <v>4971</v>
      </c>
    </row>
    <row r="36" spans="1:12" ht="18" thickBot="1" x14ac:dyDescent="0.3">
      <c r="A36" s="1419" t="s">
        <v>2567</v>
      </c>
      <c r="B36" s="1521">
        <f>'NIR faktorer'!D1334</f>
        <v>598</v>
      </c>
      <c r="C36" s="1590">
        <f>B36*L5/L6</f>
        <v>0.18691411283836026</v>
      </c>
      <c r="D36" s="1418">
        <f>'NIR faktorer'!D1335</f>
        <v>0.2</v>
      </c>
      <c r="E36" s="1417"/>
      <c r="F36" s="1417"/>
      <c r="G36" s="1416" t="s">
        <v>259</v>
      </c>
      <c r="H36" s="1415">
        <f>B36*D36</f>
        <v>119.60000000000001</v>
      </c>
      <c r="I36" s="1414"/>
      <c r="J36" s="1414"/>
      <c r="K36" s="1413">
        <f>H36</f>
        <v>119.60000000000001</v>
      </c>
      <c r="L36" s="1534">
        <f>K36*L5/L6</f>
        <v>3.7382822567672058E-2</v>
      </c>
    </row>
    <row r="37" spans="1:12" x14ac:dyDescent="0.25">
      <c r="B37" s="1366"/>
      <c r="C37" s="1366"/>
      <c r="D37" s="1366"/>
      <c r="E37" s="1366"/>
      <c r="F37" s="1366"/>
      <c r="G37" s="1366"/>
      <c r="H37" s="1366"/>
      <c r="I37" s="1366"/>
      <c r="J37" s="1366"/>
      <c r="K37" s="1366"/>
      <c r="L37" s="1366"/>
    </row>
    <row r="38" spans="1:12" s="1183" customFormat="1" ht="24" x14ac:dyDescent="0.2">
      <c r="A38" s="1183" t="s">
        <v>2564</v>
      </c>
      <c r="B38" s="1386" t="str">
        <f>C22</f>
        <v xml:space="preserve"> NIR 2020 (2018) CRF tabel 2(I).A-Hs1</v>
      </c>
      <c r="C38" s="1386" t="s">
        <v>2560</v>
      </c>
      <c r="D38" s="1386" t="str">
        <f>C22</f>
        <v xml:space="preserve"> NIR 2020 (2018) CRF tabel 2(I).A-Hs1</v>
      </c>
      <c r="E38" s="1400"/>
      <c r="F38" s="1400"/>
      <c r="G38" s="1386" t="s">
        <v>2559</v>
      </c>
      <c r="H38" s="1400"/>
      <c r="I38" s="1400"/>
      <c r="J38" s="1400"/>
      <c r="K38" s="1400"/>
      <c r="L38" s="1400"/>
    </row>
    <row r="39" spans="1:12" s="1012" customFormat="1" ht="12" x14ac:dyDescent="0.2">
      <c r="A39" s="1385" t="s">
        <v>4936</v>
      </c>
      <c r="B39" s="1384"/>
      <c r="C39" s="1384"/>
      <c r="D39" s="1384"/>
      <c r="E39" s="1384"/>
      <c r="F39" s="1384"/>
      <c r="G39" s="1384"/>
      <c r="H39" s="1384"/>
      <c r="I39" s="1384"/>
      <c r="J39" s="1384"/>
      <c r="K39" s="1384"/>
      <c r="L39" s="1384"/>
    </row>
    <row r="40" spans="1:12" x14ac:dyDescent="0.25">
      <c r="B40" s="1398"/>
      <c r="C40" s="1366"/>
      <c r="D40" s="1366"/>
      <c r="E40" s="1366"/>
      <c r="F40" s="1366"/>
      <c r="G40" s="1366"/>
      <c r="H40" s="1366"/>
      <c r="I40" s="1366"/>
      <c r="J40" s="1366"/>
      <c r="K40" s="1366"/>
      <c r="L40" s="1366"/>
    </row>
    <row r="41" spans="1:12" ht="15" customHeight="1" x14ac:dyDescent="0.25">
      <c r="A41" s="5384" t="s">
        <v>672</v>
      </c>
      <c r="B41" s="1408"/>
      <c r="C41" s="1366"/>
      <c r="D41" s="1366"/>
      <c r="E41" s="1366"/>
      <c r="F41" s="1366"/>
      <c r="G41" s="1366"/>
      <c r="H41" s="1366"/>
      <c r="I41" s="1366"/>
      <c r="J41" s="1366"/>
      <c r="K41" s="1366"/>
      <c r="L41" s="1366"/>
    </row>
    <row r="42" spans="1:12" ht="56.25" customHeight="1" thickBot="1" x14ac:dyDescent="0.3">
      <c r="A42" s="5385"/>
      <c r="B42" s="1396"/>
      <c r="C42" s="1366"/>
      <c r="D42" s="5386" t="s">
        <v>4929</v>
      </c>
      <c r="E42" s="5387"/>
      <c r="F42" s="5388"/>
      <c r="G42" s="1412" t="s">
        <v>4930</v>
      </c>
      <c r="H42" s="5386" t="s">
        <v>4926</v>
      </c>
      <c r="I42" s="5387"/>
      <c r="J42" s="5388"/>
      <c r="K42" s="1397"/>
      <c r="L42" s="1366"/>
    </row>
    <row r="43" spans="1:12" s="1405" customFormat="1" ht="33.75" thickBot="1" x14ac:dyDescent="0.25">
      <c r="A43" s="1015" t="s">
        <v>2562</v>
      </c>
      <c r="B43" s="2921" t="s">
        <v>5393</v>
      </c>
      <c r="C43" s="2921" t="s">
        <v>4922</v>
      </c>
      <c r="D43" s="1395" t="s">
        <v>2528</v>
      </c>
      <c r="E43" s="1395" t="s">
        <v>2527</v>
      </c>
      <c r="F43" s="1395" t="s">
        <v>2526</v>
      </c>
      <c r="G43" s="1395" t="s">
        <v>307</v>
      </c>
      <c r="H43" s="1395" t="s">
        <v>4931</v>
      </c>
      <c r="I43" s="1395" t="s">
        <v>4932</v>
      </c>
      <c r="J43" s="1395" t="s">
        <v>4933</v>
      </c>
      <c r="K43" s="1395" t="s">
        <v>4974</v>
      </c>
      <c r="L43" s="1435" t="s">
        <v>4971</v>
      </c>
    </row>
    <row r="44" spans="1:12" x14ac:dyDescent="0.25">
      <c r="A44" s="1764" t="str">
        <f>'NIR faktorer'!B1340</f>
        <v>Brug af smøremidler - motorolie, industriel olie eller fedt</v>
      </c>
      <c r="B44" s="1522">
        <f>'NIR faktorer'!D1340</f>
        <v>51.32</v>
      </c>
      <c r="C44" s="3879">
        <f t="shared" ref="C44:C49" si="0">B44/$L$6*$L$5*1000</f>
        <v>16.040856640241891</v>
      </c>
      <c r="D44" s="1446" cm="1">
        <f t="array" ref="D44:F44">TRANSPOSE('NIR faktorer'!D1341:D1343)</f>
        <v>0.61717</v>
      </c>
      <c r="E44" s="1447" t="str">
        <v>NA</v>
      </c>
      <c r="F44" s="1447" t="str">
        <v>NA</v>
      </c>
      <c r="G44" s="1448"/>
      <c r="H44" s="1446">
        <f t="shared" ref="H44:H48" si="1">B44*D44</f>
        <v>31.673164400000001</v>
      </c>
      <c r="I44" s="1446" t="str">
        <f>IFERROR(B44*E44,"NA")</f>
        <v>NA</v>
      </c>
      <c r="J44" s="1446" t="str">
        <f>IFERROR(B44*F44,"NA")</f>
        <v>NA</v>
      </c>
      <c r="K44" s="1267">
        <f>H44</f>
        <v>31.673164400000001</v>
      </c>
      <c r="L44" s="1529">
        <f>K44*$L$5/$L$6*1000</f>
        <v>9.899935492658086</v>
      </c>
    </row>
    <row r="45" spans="1:12" x14ac:dyDescent="0.25">
      <c r="A45" s="1394" t="str">
        <f>'NIR faktorer'!B1344</f>
        <v>Paraffinvoks - afbrænding af lys</v>
      </c>
      <c r="B45" s="1523">
        <f>'NIR faktorer'!D1344</f>
        <v>20.106999999999999</v>
      </c>
      <c r="C45" s="1524">
        <f t="shared" si="0"/>
        <v>6.2847526201353006</v>
      </c>
      <c r="D45" s="1287" cm="1">
        <f t="array" ref="D45:F45">TRANSPOSE('NIR faktorer'!D1345:D1347)</f>
        <v>2.91</v>
      </c>
      <c r="E45" s="1445">
        <v>1.21E-4</v>
      </c>
      <c r="F45" s="1445">
        <v>2.4000000000000001E-5</v>
      </c>
      <c r="G45" s="1389"/>
      <c r="H45" s="1287">
        <f>B45*D45</f>
        <v>58.511369999999999</v>
      </c>
      <c r="I45" s="1287">
        <f t="shared" ref="I45:I49" si="2">IFERROR(B45*E45,"NA")</f>
        <v>2.432947E-3</v>
      </c>
      <c r="J45" s="1287">
        <f t="shared" ref="J45:J49" si="3">IFERROR(B45*F45,"NA")</f>
        <v>4.8256800000000001E-4</v>
      </c>
      <c r="K45" s="1287">
        <f>H45+(I45*25)+(J45*298)</f>
        <v>58.715998939000002</v>
      </c>
      <c r="L45" s="1492">
        <f t="shared" ref="L45:L48" si="4">K45*$L$5/$L$6*1000</f>
        <v>18.352590052008843</v>
      </c>
    </row>
    <row r="46" spans="1:12" ht="18.95" customHeight="1" x14ac:dyDescent="0.25">
      <c r="A46" s="1394" t="str">
        <f>'NIR faktorer'!B1348</f>
        <v xml:space="preserve">Brug af opløsningsmidler </v>
      </c>
      <c r="B46" s="1524">
        <f>'NIR faktorer'!D1348</f>
        <v>729.20330000000001</v>
      </c>
      <c r="C46" s="1524">
        <f t="shared" si="0"/>
        <v>227.92372558244929</v>
      </c>
      <c r="D46" s="1287" cm="1">
        <f t="array" ref="D46:F46">TRANSPOSE('NIR faktorer'!D1349:D1351)</f>
        <v>8.3254977213970002E-2</v>
      </c>
      <c r="E46" s="1287" t="str">
        <v>NA</v>
      </c>
      <c r="F46" s="1287" t="str">
        <v>NA</v>
      </c>
      <c r="G46" s="1389"/>
      <c r="H46" s="1287">
        <f t="shared" si="1"/>
        <v>60.709804125851733</v>
      </c>
      <c r="I46" s="1287" t="str">
        <f t="shared" si="2"/>
        <v>NA</v>
      </c>
      <c r="J46" s="1287" t="str">
        <f t="shared" si="3"/>
        <v>NA</v>
      </c>
      <c r="K46" s="1287">
        <f>H46</f>
        <v>60.709804125851733</v>
      </c>
      <c r="L46" s="1492">
        <f t="shared" si="4"/>
        <v>18.975784579889968</v>
      </c>
    </row>
    <row r="47" spans="1:12" x14ac:dyDescent="0.25">
      <c r="A47" s="1394" t="str">
        <f>'NIR faktorer'!B1352</f>
        <v xml:space="preserve">Asfaltering på vej </v>
      </c>
      <c r="B47" s="1524">
        <f>'NIR faktorer'!D1352</f>
        <v>4089.1039999999998</v>
      </c>
      <c r="C47" s="1524">
        <f t="shared" si="0"/>
        <v>1278.1124522805858</v>
      </c>
      <c r="D47" s="1287" cm="1">
        <f t="array" ref="D47:F47">TRANSPOSE('NIR faktorer'!D1353:D1355)</f>
        <v>2.3000000000000001E-4</v>
      </c>
      <c r="E47" s="1287">
        <v>4.4000000000000002E-6</v>
      </c>
      <c r="F47" s="1287" t="str">
        <v>NA</v>
      </c>
      <c r="G47" s="1389"/>
      <c r="H47" s="1287">
        <f t="shared" si="1"/>
        <v>0.94049391999999998</v>
      </c>
      <c r="I47" s="1287">
        <f t="shared" si="2"/>
        <v>1.79920576E-2</v>
      </c>
      <c r="J47" s="1287" t="str">
        <f t="shared" si="3"/>
        <v>NA</v>
      </c>
      <c r="K47" s="1287">
        <f>H47+I47*25</f>
        <v>1.3902953600000001</v>
      </c>
      <c r="L47" s="1492">
        <f t="shared" si="4"/>
        <v>0.43455823377539921</v>
      </c>
    </row>
    <row r="48" spans="1:12" x14ac:dyDescent="0.25">
      <c r="A48" s="1394" t="str">
        <f>'NIR faktorer'!B1356</f>
        <v xml:space="preserve">Fremstilling af tagpap </v>
      </c>
      <c r="B48" s="1524">
        <f>'NIR faktorer'!D1356</f>
        <v>58.789000000000001</v>
      </c>
      <c r="C48" s="1524">
        <f>B48/$L$6*$L$5*1000</f>
        <v>18.375407658284885</v>
      </c>
      <c r="D48" s="1287" cm="1">
        <f t="array" ref="D48:F48">TRANSPOSE('NIR faktorer'!D1357:D1359)</f>
        <v>4.0000000000000002E-4</v>
      </c>
      <c r="E48" s="1287" t="str">
        <v>NA</v>
      </c>
      <c r="F48" s="1287" t="str">
        <v>NA</v>
      </c>
      <c r="G48" s="1389"/>
      <c r="H48" s="1287">
        <f t="shared" si="1"/>
        <v>2.3515600000000001E-2</v>
      </c>
      <c r="I48" s="1287" t="str">
        <f t="shared" si="2"/>
        <v>NA</v>
      </c>
      <c r="J48" s="1287" t="str">
        <f t="shared" si="3"/>
        <v>NA</v>
      </c>
      <c r="K48" s="1287">
        <f>H48</f>
        <v>2.3515600000000001E-2</v>
      </c>
      <c r="L48" s="1492">
        <f t="shared" si="4"/>
        <v>7.3501630633139546E-3</v>
      </c>
    </row>
    <row r="49" spans="1:12" ht="15.75" thickBot="1" x14ac:dyDescent="0.3">
      <c r="A49" s="1449" t="str">
        <f>'NIR faktorer'!B1360</f>
        <v xml:space="preserve">Urea anvendt i katalysatorer check rapport </v>
      </c>
      <c r="B49" s="1495">
        <f>'NIR faktorer'!D1360</f>
        <v>37.490557217585099</v>
      </c>
      <c r="C49" s="1495">
        <f t="shared" si="0"/>
        <v>11.718251241037967</v>
      </c>
      <c r="D49" s="1314" cm="1">
        <f t="array" ref="D49:F49">TRANSPOSE('NIR faktorer'!D1361:D1363)</f>
        <v>0.23853211009174</v>
      </c>
      <c r="E49" s="1314" t="str">
        <v>NA</v>
      </c>
      <c r="F49" s="1314" t="str">
        <v>NA</v>
      </c>
      <c r="G49" s="1221"/>
      <c r="H49" s="1314">
        <f>B49*D49</f>
        <v>8.9427017216256868</v>
      </c>
      <c r="I49" s="1314" t="str">
        <f t="shared" si="2"/>
        <v>NA</v>
      </c>
      <c r="J49" s="1314" t="str">
        <f t="shared" si="3"/>
        <v>NA</v>
      </c>
      <c r="K49" s="1314">
        <f>H49</f>
        <v>8.9427017216256868</v>
      </c>
      <c r="L49" s="1530">
        <f>K49*$L$5/$L$6*1000</f>
        <v>2.7951791951099367</v>
      </c>
    </row>
    <row r="50" spans="1:12" ht="17.25" customHeight="1" x14ac:dyDescent="0.25">
      <c r="B50" s="1410"/>
      <c r="C50" s="1589"/>
      <c r="D50" s="1410"/>
      <c r="E50" s="1409"/>
      <c r="F50" s="1409"/>
      <c r="G50" s="1409"/>
      <c r="H50" s="1366"/>
      <c r="I50" s="1366"/>
      <c r="J50" s="1366"/>
      <c r="K50" s="1366"/>
      <c r="L50" s="1366"/>
    </row>
    <row r="51" spans="1:12" s="1183" customFormat="1" ht="24" x14ac:dyDescent="0.2">
      <c r="A51" s="993" t="s">
        <v>2564</v>
      </c>
      <c r="B51" s="1386" t="str">
        <f>'NIR faktorer'!D1365</f>
        <v xml:space="preserve"> NIR 2020 (2018) CRF tabel 2(I).A-Hs1</v>
      </c>
      <c r="C51" s="1386" t="s">
        <v>2560</v>
      </c>
      <c r="D51" s="1386" t="str">
        <f>B51</f>
        <v xml:space="preserve"> NIR 2020 (2018) CRF tabel 2(I).A-Hs1</v>
      </c>
      <c r="E51" s="1400"/>
      <c r="F51" s="1400"/>
      <c r="G51" s="1386" t="s">
        <v>2559</v>
      </c>
      <c r="H51" s="1384"/>
      <c r="I51" s="1400"/>
      <c r="J51" s="1400"/>
      <c r="K51" s="1400"/>
      <c r="L51" s="1400"/>
    </row>
    <row r="52" spans="1:12" s="1012" customFormat="1" ht="17.25" customHeight="1" x14ac:dyDescent="0.2">
      <c r="A52" s="1385" t="s">
        <v>4936</v>
      </c>
      <c r="B52" s="1384"/>
      <c r="C52" s="1384"/>
      <c r="D52" s="1384"/>
      <c r="E52" s="1384"/>
      <c r="F52" s="1384"/>
      <c r="G52" s="1384"/>
      <c r="H52" s="1384"/>
      <c r="I52" s="1384"/>
      <c r="J52" s="1384"/>
      <c r="K52" s="1384"/>
      <c r="L52" s="1384"/>
    </row>
    <row r="53" spans="1:12" ht="17.25" customHeight="1" x14ac:dyDescent="0.25">
      <c r="A53" s="1197"/>
      <c r="B53" s="1408"/>
      <c r="C53" s="1366"/>
      <c r="D53" s="1366"/>
      <c r="E53" s="1366"/>
      <c r="F53" s="1366"/>
      <c r="G53" s="1366"/>
      <c r="H53" s="1366"/>
      <c r="I53" s="1366"/>
      <c r="J53" s="1366"/>
      <c r="K53" s="1366"/>
      <c r="L53" s="1366"/>
    </row>
    <row r="54" spans="1:12" ht="30.75" customHeight="1" thickBot="1" x14ac:dyDescent="0.3">
      <c r="A54" s="1772" t="s">
        <v>2566</v>
      </c>
      <c r="B54" s="1396"/>
      <c r="C54" s="1366"/>
    </row>
    <row r="55" spans="1:12" s="1405" customFormat="1" ht="33.75" thickBot="1" x14ac:dyDescent="0.25">
      <c r="A55" s="1407" t="s">
        <v>2301</v>
      </c>
      <c r="B55" s="1395" t="s">
        <v>4974</v>
      </c>
      <c r="C55" s="2933" t="s">
        <v>4971</v>
      </c>
    </row>
    <row r="56" spans="1:12" ht="15.75" thickBot="1" x14ac:dyDescent="0.3">
      <c r="A56" s="1525" t="str">
        <f>'NIR faktorer'!B1368</f>
        <v>CF4</v>
      </c>
      <c r="B56" s="1525">
        <f>'NIR faktorer'!D1368</f>
        <v>0</v>
      </c>
      <c r="C56" s="1533">
        <f>B56/$L$6*$L$5*1000</f>
        <v>0</v>
      </c>
    </row>
    <row r="57" spans="1:12" x14ac:dyDescent="0.25">
      <c r="B57" s="1366"/>
      <c r="C57" s="1366"/>
    </row>
    <row r="58" spans="1:12" s="1012" customFormat="1" ht="12" x14ac:dyDescent="0.2">
      <c r="A58" s="1012" t="s">
        <v>2564</v>
      </c>
      <c r="B58" s="1387" t="str">
        <f>'NIR faktorer'!D1370</f>
        <v xml:space="preserve"> NIR 2020 (2018) CRF tabel 2(I).A-Hs1</v>
      </c>
      <c r="C58" s="1387" t="s">
        <v>2560</v>
      </c>
    </row>
    <row r="59" spans="1:12" s="1012" customFormat="1" ht="12" x14ac:dyDescent="0.2">
      <c r="A59" s="1385" t="s">
        <v>4937</v>
      </c>
      <c r="B59" s="1384"/>
      <c r="C59" s="1384"/>
      <c r="D59" s="1384"/>
      <c r="E59" s="1384"/>
      <c r="F59" s="1384"/>
      <c r="G59" s="1384"/>
      <c r="H59" s="1384"/>
      <c r="I59" s="1384"/>
      <c r="J59" s="1384"/>
      <c r="K59" s="1384"/>
      <c r="L59" s="1384"/>
    </row>
    <row r="60" spans="1:12" ht="15" customHeight="1" x14ac:dyDescent="0.25">
      <c r="B60" s="1366"/>
      <c r="C60" s="1366"/>
      <c r="D60" s="1366"/>
      <c r="E60" s="1366"/>
      <c r="F60" s="1366"/>
      <c r="G60" s="1366"/>
      <c r="H60" s="1366"/>
      <c r="I60" s="1366"/>
      <c r="J60" s="1366"/>
      <c r="K60" s="1366"/>
      <c r="L60" s="1366"/>
    </row>
    <row r="61" spans="1:12" ht="48" customHeight="1" thickBot="1" x14ac:dyDescent="0.3">
      <c r="A61" s="1772" t="s">
        <v>2565</v>
      </c>
      <c r="B61" s="1396"/>
      <c r="C61" s="1366"/>
      <c r="D61" s="1396"/>
    </row>
    <row r="62" spans="1:12" s="1405" customFormat="1" ht="33.75" thickBot="1" x14ac:dyDescent="0.25">
      <c r="A62" s="1407" t="s">
        <v>2562</v>
      </c>
      <c r="B62" s="1395" t="s">
        <v>4974</v>
      </c>
      <c r="C62" s="2933" t="s">
        <v>4971</v>
      </c>
    </row>
    <row r="63" spans="1:12" ht="15" customHeight="1" x14ac:dyDescent="0.25">
      <c r="A63" s="1404" t="str">
        <f>'NIR faktorer'!B1373</f>
        <v xml:space="preserve">Køling og airconditioning </v>
      </c>
      <c r="B63" s="1526">
        <f>'NIR faktorer'!D1373</f>
        <v>473.78842601266876</v>
      </c>
      <c r="C63" s="1531">
        <f>B63/$L$6*$L$5*1000</f>
        <v>148.08987177465065</v>
      </c>
    </row>
    <row r="64" spans="1:12" x14ac:dyDescent="0.25">
      <c r="A64" s="1403" t="str">
        <f>'NIR faktorer'!B1374</f>
        <v xml:space="preserve">Skumblæsemidler </v>
      </c>
      <c r="B64" s="1526">
        <f>'NIR faktorer'!D1374</f>
        <v>0.78412698000000003</v>
      </c>
      <c r="C64" s="1531">
        <f>B64/$L$6*$L$5*1000</f>
        <v>0.24509096792528876</v>
      </c>
      <c r="D64" s="1366"/>
    </row>
    <row r="65" spans="1:12" ht="15.75" thickBot="1" x14ac:dyDescent="0.3">
      <c r="A65" s="1402" t="str">
        <f>'NIR faktorer'!B1375</f>
        <v xml:space="preserve">Aerosoler </v>
      </c>
      <c r="B65" s="1527">
        <f>'NIR faktorer'!D1375</f>
        <v>12.773699221139999</v>
      </c>
      <c r="C65" s="1532">
        <f>B65/$L$6*$L$5*1000</f>
        <v>3.9926164842532383</v>
      </c>
      <c r="D65" s="1366"/>
    </row>
    <row r="66" spans="1:12" ht="23.25" customHeight="1" x14ac:dyDescent="0.25">
      <c r="B66" s="1401"/>
      <c r="D66" s="1366"/>
    </row>
    <row r="67" spans="1:12" s="1183" customFormat="1" ht="24" x14ac:dyDescent="0.2">
      <c r="A67" s="1183" t="s">
        <v>2564</v>
      </c>
      <c r="B67" s="1386" t="str">
        <f>'NIR faktorer'!D1377</f>
        <v xml:space="preserve"> NIR 2020 (2018) CRF tabel 2(I).A-Hs1</v>
      </c>
      <c r="C67" s="1386" t="s">
        <v>2560</v>
      </c>
      <c r="D67" s="1400"/>
    </row>
    <row r="68" spans="1:12" s="1012" customFormat="1" ht="15" customHeight="1" x14ac:dyDescent="0.2">
      <c r="A68" s="1385" t="s">
        <v>4937</v>
      </c>
      <c r="B68" s="1399"/>
      <c r="C68" s="1384"/>
      <c r="D68" s="1384"/>
    </row>
    <row r="69" spans="1:12" x14ac:dyDescent="0.25">
      <c r="A69" s="1177"/>
      <c r="B69" s="1398"/>
      <c r="C69" s="1366"/>
      <c r="D69" s="1366"/>
      <c r="E69" s="1366"/>
      <c r="F69" s="1366"/>
      <c r="G69" s="1366"/>
      <c r="H69" s="1366"/>
      <c r="I69" s="1366"/>
      <c r="J69" s="1366"/>
      <c r="K69" s="1366"/>
      <c r="L69" s="1366"/>
    </row>
    <row r="70" spans="1:12" ht="30.75" thickBot="1" x14ac:dyDescent="0.3">
      <c r="A70" s="4220" t="s">
        <v>2563</v>
      </c>
      <c r="B70" s="1396"/>
      <c r="C70" s="1366"/>
      <c r="D70" s="5389" t="s">
        <v>4929</v>
      </c>
      <c r="E70" s="5390"/>
      <c r="F70" s="5391"/>
      <c r="G70" s="4221"/>
      <c r="H70" s="5390" t="s">
        <v>4926</v>
      </c>
      <c r="I70" s="5390"/>
      <c r="J70" s="5391"/>
      <c r="K70" s="1397"/>
      <c r="L70" s="1396"/>
    </row>
    <row r="71" spans="1:12" ht="33.75" thickBot="1" x14ac:dyDescent="0.3">
      <c r="A71" s="1015" t="s">
        <v>2562</v>
      </c>
      <c r="B71" s="2921" t="s">
        <v>4921</v>
      </c>
      <c r="C71" s="2921" t="s">
        <v>4922</v>
      </c>
      <c r="D71" s="1395" t="s">
        <v>2528</v>
      </c>
      <c r="E71" s="1395" t="s">
        <v>2527</v>
      </c>
      <c r="F71" s="1395" t="s">
        <v>2526</v>
      </c>
      <c r="G71" s="1395" t="s">
        <v>307</v>
      </c>
      <c r="H71" s="1395" t="s">
        <v>4931</v>
      </c>
      <c r="I71" s="1395" t="s">
        <v>4932</v>
      </c>
      <c r="J71" s="1395" t="s">
        <v>4933</v>
      </c>
      <c r="K71" s="1395" t="s">
        <v>4974</v>
      </c>
      <c r="L71" s="1435" t="s">
        <v>4971</v>
      </c>
    </row>
    <row r="72" spans="1:12" ht="15.75" thickBot="1" x14ac:dyDescent="0.3">
      <c r="A72" s="1453" t="s">
        <v>661</v>
      </c>
      <c r="B72" s="1528">
        <f>'NIR faktorer'!D1380</f>
        <v>3.7999999999999999E-2</v>
      </c>
      <c r="C72" s="1531">
        <f>B72/$L$6*$L$5*1000</f>
        <v>1.187748543120015E-2</v>
      </c>
      <c r="D72" s="1451" t="str" cm="1">
        <f t="array" ref="D72:F72">TRANSPOSE('NIR faktorer'!D1381:D1383)</f>
        <v/>
      </c>
      <c r="E72" s="1451" t="str">
        <v/>
      </c>
      <c r="F72" s="1331">
        <v>1</v>
      </c>
      <c r="G72" s="1451"/>
      <c r="H72" s="1451"/>
      <c r="I72" s="1451"/>
      <c r="J72" s="1452">
        <f>B72*F72</f>
        <v>3.7999999999999999E-2</v>
      </c>
      <c r="K72" s="1446">
        <f>J72*'Grafer-klima-&gt;VÆLG GWP og NIR&lt;-'!F$8</f>
        <v>11.324</v>
      </c>
      <c r="L72" s="1529">
        <f>K72*$L$5/$L$6*1000</f>
        <v>3.5394906584976451</v>
      </c>
    </row>
    <row r="73" spans="1:12" ht="15.75" thickBot="1" x14ac:dyDescent="0.3">
      <c r="A73" s="4222" t="s">
        <v>660</v>
      </c>
      <c r="B73" s="4223">
        <f>'NIR faktorer'!D1384</f>
        <v>0.34699999999999998</v>
      </c>
      <c r="C73" s="1531">
        <f>B73/$L$6*$L$5*1000</f>
        <v>0.10846019591122243</v>
      </c>
      <c r="D73" s="1393" t="str" cm="1">
        <f t="array" ref="D73:F73">TRANSPOSE('NIR faktorer'!D1385:D1387)</f>
        <v/>
      </c>
      <c r="E73" s="1393" t="str">
        <v/>
      </c>
      <c r="F73" s="1327">
        <v>4.7500000000000001E-2</v>
      </c>
      <c r="G73" s="4225"/>
      <c r="H73" s="4225"/>
      <c r="I73" s="4225"/>
      <c r="J73" s="4226">
        <f>B73*F73</f>
        <v>1.6482500000000001E-2</v>
      </c>
      <c r="K73" s="1446">
        <f>J73*'Grafer-klima-&gt;VÆLG GWP og NIR&lt;-'!F$8</f>
        <v>4.9117850000000001</v>
      </c>
      <c r="L73" s="4227">
        <f>K73*$L$5/$L$6*1000</f>
        <v>1.5352540731233535</v>
      </c>
    </row>
    <row r="74" spans="1:12" ht="13.5" customHeight="1" thickBot="1" x14ac:dyDescent="0.3">
      <c r="A74" s="4222" t="s">
        <v>659</v>
      </c>
      <c r="B74" s="4223">
        <f>'NIR faktorer'!D1388</f>
        <v>6.2339000000000002</v>
      </c>
      <c r="C74" s="1531">
        <f>B74/$L$6*$L$5*1000</f>
        <v>1.9485014849883848</v>
      </c>
      <c r="D74" s="1450" cm="1">
        <f t="array" ref="D74:F74">TRANSPOSE('NIR faktorer'!D1389:D1391)</f>
        <v>4.3249999999999997E-2</v>
      </c>
      <c r="E74" s="1450">
        <v>8.25E-4</v>
      </c>
      <c r="F74" s="1327">
        <v>1.9350000000000001E-3</v>
      </c>
      <c r="G74" s="4228"/>
      <c r="H74" s="1392">
        <f>B74*D74</f>
        <v>0.26961617500000001</v>
      </c>
      <c r="I74" s="1391">
        <f>B74*E74</f>
        <v>5.1429674999999998E-3</v>
      </c>
      <c r="J74" s="4229">
        <f>B74*F74</f>
        <v>1.2062596500000002E-2</v>
      </c>
      <c r="K74" s="1446">
        <f>J74*'Grafer-klima-&gt;VÆLG GWP og NIR&lt;-'!F$8</f>
        <v>3.5946537570000006</v>
      </c>
      <c r="L74" s="4227">
        <f>K74*$L$5/$L$6*1000</f>
        <v>1.1235644112888525</v>
      </c>
    </row>
    <row r="75" spans="1:12" s="1014" customFormat="1" ht="19.5" customHeight="1" thickBot="1" x14ac:dyDescent="0.3">
      <c r="A75" s="4222" t="s">
        <v>462</v>
      </c>
      <c r="B75" s="4223">
        <f>'NIR faktorer'!D1392</f>
        <v>6.226</v>
      </c>
      <c r="C75" s="1531">
        <f>B75/$L$6*$L$5*1000</f>
        <v>1.9460322182803194</v>
      </c>
      <c r="D75" s="1450" t="str" cm="1">
        <f t="array" ref="D75:F75">TRANSPOSE('NIR faktorer'!D1393:D1395)</f>
        <v>NA</v>
      </c>
      <c r="E75" s="1450">
        <v>3.1870000000000002E-3</v>
      </c>
      <c r="F75" s="1327">
        <v>6.3999999999999997E-5</v>
      </c>
      <c r="G75" s="4228"/>
      <c r="H75" s="4228"/>
      <c r="I75" s="4226">
        <f>B75*E75</f>
        <v>1.9842261999999999E-2</v>
      </c>
      <c r="J75" s="4229">
        <f>B75*F75</f>
        <v>3.9846399999999996E-4</v>
      </c>
      <c r="K75" s="1446">
        <f>J75*'Grafer-klima-&gt;VÆLG GWP og NIR&lt;-'!F$8</f>
        <v>0.11874227199999998</v>
      </c>
      <c r="L75" s="4227">
        <f>K75*$L$5/$L$6*1000</f>
        <v>3.7114726467042246E-2</v>
      </c>
    </row>
    <row r="76" spans="1:12" x14ac:dyDescent="0.25">
      <c r="A76" s="4222" t="s">
        <v>658</v>
      </c>
      <c r="B76" s="4223">
        <f>'NIR faktorer'!D1396</f>
        <v>7.9987199999999996</v>
      </c>
      <c r="C76" s="1531">
        <f>B76/$L$6*$L$5*1000</f>
        <v>2.5001231649539282</v>
      </c>
      <c r="D76" s="1450" t="str" cm="1">
        <f t="array" ref="D76:F76">TRANSPOSE('NIR faktorer'!D1397:D1399)</f>
        <v>NA</v>
      </c>
      <c r="E76" s="1450">
        <v>5.8999999999999999E-3</v>
      </c>
      <c r="F76" s="1327">
        <v>2.9499999999999999E-5</v>
      </c>
      <c r="G76" s="4228"/>
      <c r="H76" s="4228"/>
      <c r="I76" s="4230">
        <f>B76*E76</f>
        <v>4.7192447999999998E-2</v>
      </c>
      <c r="J76" s="4231">
        <f>B76*F76</f>
        <v>2.3596223999999998E-4</v>
      </c>
      <c r="K76" s="1446">
        <f>J76*'Grafer-klima-&gt;VÆLG GWP og NIR&lt;-'!F$8</f>
        <v>7.031674752E-2</v>
      </c>
      <c r="L76" s="4227">
        <f>K76*$L$5/$L$6*1000</f>
        <v>2.197858274310998E-2</v>
      </c>
    </row>
    <row r="77" spans="1:12" ht="15.75" thickBot="1" x14ac:dyDescent="0.3">
      <c r="A77" s="4222" t="s">
        <v>657</v>
      </c>
      <c r="B77" s="4223" t="str">
        <f>'NIR faktorer'!D1400</f>
        <v>NO</v>
      </c>
      <c r="C77" s="4224" t="s">
        <v>259</v>
      </c>
      <c r="D77" s="1393" t="str" cm="1">
        <f t="array" ref="D77:F77">TRANSPOSE('NIR faktorer'!D1401:D1403)</f>
        <v/>
      </c>
      <c r="E77" s="1393" t="str">
        <v/>
      </c>
      <c r="F77" s="1393" t="str">
        <v/>
      </c>
      <c r="G77" s="1327">
        <f>'NIR faktorer'!D1430</f>
        <v>5.8016225795999999E-4</v>
      </c>
      <c r="H77" s="4228"/>
      <c r="I77" s="4228"/>
      <c r="J77" s="4228"/>
      <c r="K77" s="4226" t="s">
        <v>455</v>
      </c>
      <c r="L77" s="4227" t="s">
        <v>455</v>
      </c>
    </row>
    <row r="78" spans="1:12" ht="15" customHeight="1" thickBot="1" x14ac:dyDescent="0.3">
      <c r="A78" s="1454" t="s">
        <v>4013</v>
      </c>
      <c r="B78" s="4232" t="str">
        <f>'NIR faktorer'!D1405</f>
        <v>NO</v>
      </c>
      <c r="C78" s="4233" t="s">
        <v>259</v>
      </c>
      <c r="D78" s="1417" t="str" cm="1">
        <f t="array" ref="D78:F78">TRANSPOSE('NIR faktorer'!D1406:D1408)</f>
        <v/>
      </c>
      <c r="E78" s="1417" t="str">
        <v/>
      </c>
      <c r="F78" s="1417" t="str">
        <v/>
      </c>
      <c r="G78" s="4234"/>
      <c r="H78" s="1388">
        <f>'NIR faktorer'!D1443</f>
        <v>0.26961617500000001</v>
      </c>
      <c r="I78" s="1388">
        <f>'NIR faktorer'!D1455</f>
        <v>7.2177677499999995E-2</v>
      </c>
      <c r="J78" s="1388">
        <f>'NIR faktorer'!D1467</f>
        <v>1.2697022739999999E-2</v>
      </c>
      <c r="K78" s="1446">
        <f>J78*'Grafer-klima-&gt;VÆLG GWP og NIR&lt;-'!F$8</f>
        <v>3.7837127765199998</v>
      </c>
      <c r="L78" s="4235">
        <f>K78*$L$5/$L$6*1000</f>
        <v>1.1826577204990045</v>
      </c>
    </row>
    <row r="79" spans="1:12" x14ac:dyDescent="0.25">
      <c r="B79" s="1366"/>
      <c r="C79" s="1366"/>
      <c r="D79" s="1366"/>
      <c r="E79" s="1366"/>
      <c r="F79" s="1366"/>
      <c r="G79" s="1366"/>
      <c r="H79" s="1366"/>
      <c r="I79" s="1366"/>
      <c r="J79" s="1366"/>
      <c r="K79" s="1366"/>
      <c r="L79" s="1366"/>
    </row>
    <row r="80" spans="1:12" s="1012" customFormat="1" ht="20.25" customHeight="1" x14ac:dyDescent="0.25">
      <c r="A80" s="1012" t="s">
        <v>2561</v>
      </c>
      <c r="B80" s="1386" t="str">
        <f>'NIR faktorer'!D1410</f>
        <v xml:space="preserve"> NIR 2020 (2018) CRF tabel 2(I).A-Hs1</v>
      </c>
      <c r="C80" s="1386" t="s">
        <v>2560</v>
      </c>
      <c r="D80" s="5392" t="str">
        <f>'NIR faktorer'!D1410</f>
        <v xml:space="preserve"> NIR 2020 (2018) CRF tabel 2(I).A-Hs1</v>
      </c>
      <c r="E80" s="5393"/>
      <c r="F80" s="5394"/>
      <c r="G80" s="1387" t="str">
        <f>'NIR faktorer'!D1433</f>
        <v>NIR 2020 (2018) CRF tabel 2(I)s2</v>
      </c>
      <c r="H80" s="1387" t="str">
        <f>'NIR faktorer'!D1445</f>
        <v>NIR 2020 (2018) CRF tabel 2(I)s2</v>
      </c>
      <c r="I80" s="1384"/>
      <c r="J80" s="1384"/>
      <c r="K80" s="1384"/>
      <c r="L80" s="1008"/>
    </row>
    <row r="81" spans="1:12" s="1012" customFormat="1" x14ac:dyDescent="0.25">
      <c r="A81" s="1385" t="s">
        <v>4938</v>
      </c>
      <c r="B81" s="1384"/>
      <c r="C81" s="1384"/>
      <c r="D81" s="1384"/>
      <c r="E81" s="1384"/>
      <c r="F81" s="1384"/>
      <c r="G81" s="1384"/>
      <c r="H81" s="1384"/>
      <c r="I81" s="1384"/>
      <c r="J81" s="1384"/>
      <c r="K81" s="1384"/>
      <c r="L81" s="1008"/>
    </row>
    <row r="83" spans="1:12" ht="15" customHeight="1" x14ac:dyDescent="0.25"/>
    <row r="87" spans="1:12" ht="15" customHeight="1" x14ac:dyDescent="0.25"/>
    <row r="89" spans="1:12" ht="15" customHeight="1" x14ac:dyDescent="0.25"/>
    <row r="92" spans="1:12" ht="15" customHeight="1" x14ac:dyDescent="0.25"/>
    <row r="95" spans="1:12" ht="15" customHeight="1" x14ac:dyDescent="0.25"/>
    <row r="97" ht="15" customHeight="1" x14ac:dyDescent="0.25"/>
    <row r="101" ht="15" customHeight="1" x14ac:dyDescent="0.25"/>
    <row r="104" ht="15" customHeight="1" x14ac:dyDescent="0.25"/>
    <row r="106" ht="15" customHeight="1" x14ac:dyDescent="0.25"/>
  </sheetData>
  <mergeCells count="10">
    <mergeCell ref="D80:F80"/>
    <mergeCell ref="D27:F27"/>
    <mergeCell ref="H27:J27"/>
    <mergeCell ref="D34:F34"/>
    <mergeCell ref="H34:J34"/>
    <mergeCell ref="A41:A42"/>
    <mergeCell ref="D42:F42"/>
    <mergeCell ref="H42:J42"/>
    <mergeCell ref="D70:F70"/>
    <mergeCell ref="H70:J70"/>
  </mergeCells>
  <hyperlinks>
    <hyperlink ref="A2" location="Index!A1" display="Til index" xr:uid="{09B91E9F-FFBB-47CD-A0F9-2E064B099C27}"/>
  </hyperlinks>
  <pageMargins left="0.7" right="0.7" top="0.75" bottom="0.75" header="0.3" footer="0.3"/>
  <pageSetup paperSize="9" orientation="portrait" verticalDpi="120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4EB54-AF65-4611-8951-83E8695B1686}">
  <sheetPr codeName="Ark103">
    <tabColor theme="4" tint="-0.249977111117893"/>
  </sheetPr>
  <dimension ref="A1:L106"/>
  <sheetViews>
    <sheetView showGridLines="0" topLeftCell="A52" zoomScale="70" zoomScaleNormal="70" workbookViewId="0">
      <selection activeCell="C72" sqref="C72:C76"/>
    </sheetView>
  </sheetViews>
  <sheetFormatPr defaultColWidth="9.140625" defaultRowHeight="15" x14ac:dyDescent="0.25"/>
  <cols>
    <col min="1" max="1" width="56.85546875" style="1779" bestFit="1" customWidth="1"/>
    <col min="2" max="2" width="28.140625" style="1779" bestFit="1" customWidth="1"/>
    <col min="3" max="3" width="30" style="1779" customWidth="1"/>
    <col min="4" max="4" width="29" style="1779" customWidth="1"/>
    <col min="5" max="5" width="26.7109375" style="1779" customWidth="1"/>
    <col min="6" max="6" width="29.85546875" style="1779" customWidth="1"/>
    <col min="7" max="7" width="27.5703125" style="1779" customWidth="1"/>
    <col min="8" max="8" width="35.42578125" style="1779" customWidth="1"/>
    <col min="9" max="9" width="31" style="1779" customWidth="1"/>
    <col min="10" max="10" width="31.140625" style="1779" customWidth="1"/>
    <col min="11" max="11" width="40.28515625" style="1779" customWidth="1"/>
    <col min="12" max="12" width="38" style="1779" customWidth="1"/>
    <col min="13" max="16384" width="9.140625" style="1779"/>
  </cols>
  <sheetData>
    <row r="1" spans="1:12" s="1866" customFormat="1" ht="54" customHeight="1" x14ac:dyDescent="0.35">
      <c r="B1" s="1007" t="s">
        <v>2578</v>
      </c>
    </row>
    <row r="2" spans="1:12" s="1777" customFormat="1" ht="21" x14ac:dyDescent="0.35">
      <c r="A2" s="1740" t="s">
        <v>4206</v>
      </c>
      <c r="B2" s="1196"/>
      <c r="C2" s="1196"/>
      <c r="D2" s="1196"/>
      <c r="F2" s="1196"/>
      <c r="G2" s="1196"/>
      <c r="H2" s="1196"/>
      <c r="I2" s="1196"/>
      <c r="J2" s="1196"/>
      <c r="K2" s="1196"/>
      <c r="L2" s="1196"/>
    </row>
    <row r="3" spans="1:12" ht="15.75" thickBot="1" x14ac:dyDescent="0.3">
      <c r="A3" s="3881"/>
      <c r="B3" s="1779" t="s">
        <v>2577</v>
      </c>
    </row>
    <row r="4" spans="1:12" x14ac:dyDescent="0.25">
      <c r="A4" s="2217"/>
      <c r="B4" s="1779" t="s">
        <v>2576</v>
      </c>
      <c r="K4" s="1358" t="s">
        <v>2542</v>
      </c>
      <c r="L4" s="2182" t="str">
        <f>FOLK1A!L3</f>
        <v>2018K1</v>
      </c>
    </row>
    <row r="5" spans="1:12" x14ac:dyDescent="0.25">
      <c r="K5" s="2858" t="s">
        <v>4761</v>
      </c>
      <c r="L5" s="2098">
        <f>FOLK1A!L6</f>
        <v>1807</v>
      </c>
    </row>
    <row r="6" spans="1:12" ht="15.75" thickBot="1" x14ac:dyDescent="0.3">
      <c r="K6" s="2859" t="s">
        <v>4762</v>
      </c>
      <c r="L6" s="2104">
        <f>FOLK1A!L4</f>
        <v>5781190</v>
      </c>
    </row>
    <row r="7" spans="1:12" ht="35.450000000000003" customHeight="1" thickBot="1" x14ac:dyDescent="0.3">
      <c r="A7" s="1441" t="s">
        <v>431</v>
      </c>
      <c r="B7" s="1440"/>
      <c r="C7" s="1440"/>
      <c r="D7" s="1440"/>
      <c r="E7" s="2218"/>
      <c r="F7" s="2218"/>
      <c r="G7" s="2218"/>
      <c r="H7" s="1438"/>
      <c r="I7" s="1396"/>
      <c r="J7" s="1396"/>
      <c r="K7" s="1396"/>
      <c r="L7" s="1396"/>
    </row>
    <row r="8" spans="1:12" s="1008" customFormat="1" ht="33.75" thickBot="1" x14ac:dyDescent="0.3">
      <c r="A8" s="1437" t="s">
        <v>2301</v>
      </c>
      <c r="B8" s="1436" t="s">
        <v>2575</v>
      </c>
      <c r="C8" s="1436" t="s">
        <v>4921</v>
      </c>
      <c r="D8" s="1436" t="s">
        <v>4922</v>
      </c>
      <c r="E8" s="1436" t="s">
        <v>4927</v>
      </c>
      <c r="F8" s="1436" t="s">
        <v>4928</v>
      </c>
      <c r="G8" s="1436" t="s">
        <v>4972</v>
      </c>
      <c r="H8" s="1435" t="s">
        <v>4971</v>
      </c>
      <c r="I8" s="1366"/>
      <c r="J8" s="1366"/>
      <c r="K8" s="1366"/>
      <c r="L8" s="1366"/>
    </row>
    <row r="9" spans="1:12" ht="17.25" x14ac:dyDescent="0.25">
      <c r="A9" s="2219" t="s">
        <v>2574</v>
      </c>
      <c r="B9" s="2220"/>
      <c r="C9" s="2221"/>
      <c r="D9" s="2222"/>
      <c r="E9" s="2222"/>
      <c r="F9" s="2222"/>
      <c r="G9" s="1430"/>
      <c r="H9" s="2223">
        <f>SUM(H10:H10)</f>
        <v>0</v>
      </c>
      <c r="I9" s="2216"/>
      <c r="J9" s="2216"/>
      <c r="K9" s="2216"/>
      <c r="L9" s="2216"/>
    </row>
    <row r="10" spans="1:12" x14ac:dyDescent="0.25">
      <c r="A10" s="2720" t="s">
        <v>2922</v>
      </c>
      <c r="B10" s="1702" t="str">
        <f>'PUNKTKILDELISTE pr værk 20'!F13</f>
        <v>Fremstilling af mursten</v>
      </c>
      <c r="C10" s="2224"/>
      <c r="D10" s="2225"/>
      <c r="E10" s="2225"/>
      <c r="F10" s="2225"/>
      <c r="G10" s="1598"/>
      <c r="H10" s="4055"/>
      <c r="I10" s="2216"/>
      <c r="J10" s="2216"/>
      <c r="K10" s="2216"/>
      <c r="L10" s="2216"/>
    </row>
    <row r="11" spans="1:12" ht="17.25" x14ac:dyDescent="0.25">
      <c r="A11" s="2317" t="s">
        <v>2573</v>
      </c>
      <c r="B11" s="2318"/>
      <c r="C11" s="2319"/>
      <c r="D11" s="2319"/>
      <c r="E11" s="2319"/>
      <c r="F11" s="2320"/>
      <c r="G11" s="2319"/>
      <c r="H11" s="2321">
        <f>SUM(H12)</f>
        <v>0</v>
      </c>
      <c r="I11" s="2216"/>
    </row>
    <row r="12" spans="1:12" x14ac:dyDescent="0.25">
      <c r="A12" s="2720" t="s">
        <v>2922</v>
      </c>
      <c r="B12" s="2736" t="str">
        <f>'PUNKTKILDELISTE pr værk 20'!F16</f>
        <v>Anden råstofindvinding</v>
      </c>
      <c r="C12" s="2319"/>
      <c r="D12" s="2319"/>
      <c r="E12" s="2319"/>
      <c r="F12" s="2320"/>
      <c r="G12" s="2319"/>
      <c r="H12" s="4055"/>
      <c r="I12" s="2216"/>
    </row>
    <row r="13" spans="1:12" x14ac:dyDescent="0.25">
      <c r="A13" s="2720" t="s">
        <v>2922</v>
      </c>
      <c r="B13" s="2736" t="str">
        <f>'PUNKTKILDELISTE pr værk 20'!F17</f>
        <v>Anden råstofindvinding</v>
      </c>
      <c r="C13" s="2319"/>
      <c r="D13" s="2319"/>
      <c r="E13" s="2319"/>
      <c r="F13" s="2320"/>
      <c r="G13" s="2319"/>
      <c r="H13" s="4055"/>
      <c r="I13" s="2216"/>
    </row>
    <row r="14" spans="1:12" ht="17.25" x14ac:dyDescent="0.25">
      <c r="A14" s="2322" t="s">
        <v>2572</v>
      </c>
      <c r="B14" s="2318"/>
      <c r="C14" s="2319"/>
      <c r="D14" s="2319"/>
      <c r="E14" s="2319"/>
      <c r="F14" s="2320"/>
      <c r="G14" s="2319"/>
      <c r="H14" s="2321">
        <f>SUM(H15)</f>
        <v>0</v>
      </c>
      <c r="I14" s="2216"/>
    </row>
    <row r="15" spans="1:12" ht="30" x14ac:dyDescent="0.25">
      <c r="A15" s="2720" t="s">
        <v>2922</v>
      </c>
      <c r="B15" s="2736" t="str">
        <f>'PUNKTKILDELISTE pr værk 20'!F19</f>
        <v>Fremstilling af andre ikke metalholdige produkter</v>
      </c>
      <c r="C15" s="2319"/>
      <c r="D15" s="2319"/>
      <c r="E15" s="2319"/>
      <c r="F15" s="2320"/>
      <c r="G15" s="2319"/>
      <c r="H15" s="4055"/>
      <c r="I15" s="2216"/>
    </row>
    <row r="16" spans="1:12" ht="17.25" x14ac:dyDescent="0.25">
      <c r="A16" s="2322" t="s">
        <v>2571</v>
      </c>
      <c r="B16" s="2323" t="s">
        <v>4012</v>
      </c>
      <c r="C16" s="2324">
        <f>'NIR faktorer'!D1322</f>
        <v>44914</v>
      </c>
      <c r="D16" s="2325">
        <f>C16/$L$6*$L$5</f>
        <v>14.03856264886641</v>
      </c>
      <c r="E16" s="2323">
        <f>'NIR faktorer'!D1323</f>
        <v>0.41492000000000001</v>
      </c>
      <c r="F16" s="2326">
        <f>C16*E16</f>
        <v>18635.71688</v>
      </c>
      <c r="G16" s="2327"/>
      <c r="H16" s="2321">
        <f>D16*E16+SUM(H17)</f>
        <v>5.8248804142676507</v>
      </c>
      <c r="I16" s="2216"/>
    </row>
    <row r="17" spans="1:12" x14ac:dyDescent="0.25">
      <c r="A17" s="2316" t="s">
        <v>2922</v>
      </c>
      <c r="B17" s="2323"/>
      <c r="C17" s="2328"/>
      <c r="D17" s="2327"/>
      <c r="E17" s="2327"/>
      <c r="F17" s="2329"/>
      <c r="G17" s="2327"/>
      <c r="H17" s="3882"/>
      <c r="I17" s="2216"/>
    </row>
    <row r="18" spans="1:12" ht="17.25" x14ac:dyDescent="0.25">
      <c r="A18" s="2330" t="s">
        <v>2570</v>
      </c>
      <c r="B18" s="2323"/>
      <c r="C18" s="2327"/>
      <c r="D18" s="2331"/>
      <c r="E18" s="2331"/>
      <c r="F18" s="2332"/>
      <c r="G18" s="2332"/>
      <c r="H18" s="2321">
        <f>SUM(H20)</f>
        <v>0</v>
      </c>
      <c r="I18" s="2227"/>
      <c r="J18" s="2228"/>
      <c r="K18" s="2227"/>
      <c r="L18" s="2216"/>
    </row>
    <row r="19" spans="1:12" x14ac:dyDescent="0.25">
      <c r="A19" s="2720" t="s">
        <v>2922</v>
      </c>
      <c r="B19" s="2740" t="str">
        <f>'PUNKTKILDELISTE pr værk 20'!F14</f>
        <v xml:space="preserve">Bortskaffelse af affald med energiproduktion  </v>
      </c>
      <c r="C19" s="2737"/>
      <c r="D19" s="2738"/>
      <c r="E19" s="2738"/>
      <c r="F19" s="2739"/>
      <c r="G19" s="2739"/>
      <c r="H19" s="4055"/>
      <c r="I19" s="2227"/>
      <c r="J19" s="2228"/>
      <c r="K19" s="2227"/>
      <c r="L19" s="2216"/>
    </row>
    <row r="20" spans="1:12" ht="15.75" thickBot="1" x14ac:dyDescent="0.3">
      <c r="A20" s="2720" t="s">
        <v>2922</v>
      </c>
      <c r="B20" s="2741" t="str">
        <f>'PUNKTKILDELISTE pr værk 20'!F28</f>
        <v xml:space="preserve">Produktion af elektricitet </v>
      </c>
      <c r="C20" s="2102"/>
      <c r="D20" s="2229"/>
      <c r="E20" s="2229"/>
      <c r="F20" s="2230"/>
      <c r="G20" s="2230"/>
      <c r="H20" s="4055"/>
      <c r="I20" s="2227"/>
      <c r="J20" s="2228"/>
      <c r="K20" s="2227"/>
      <c r="L20" s="2216"/>
    </row>
    <row r="21" spans="1:12" x14ac:dyDescent="0.25">
      <c r="B21" s="1428"/>
      <c r="C21" s="1428"/>
      <c r="D21" s="1429"/>
      <c r="E21" s="1428"/>
      <c r="F21" s="1428"/>
      <c r="G21" s="1428"/>
      <c r="H21" s="1428"/>
      <c r="I21" s="1428"/>
      <c r="J21" s="1428"/>
      <c r="K21" s="2228"/>
      <c r="L21" s="2227"/>
    </row>
    <row r="22" spans="1:12" s="1012" customFormat="1" ht="24" x14ac:dyDescent="0.2">
      <c r="A22" s="1012" t="s">
        <v>2564</v>
      </c>
      <c r="B22" s="1384"/>
      <c r="C22" s="1386" t="str">
        <f>'NIR faktorer'!D1325</f>
        <v xml:space="preserve"> NIR 2020 (2018) CRF tabel 2(I).A-Hs1</v>
      </c>
      <c r="D22" s="1384"/>
      <c r="E22" s="1386" t="str">
        <f>C22</f>
        <v xml:space="preserve"> NIR 2020 (2018) CRF tabel 2(I).A-Hs1</v>
      </c>
      <c r="F22" s="1384"/>
      <c r="G22" s="1386" t="s">
        <v>2569</v>
      </c>
      <c r="H22" s="1427"/>
      <c r="I22" s="1400"/>
      <c r="J22" s="1384"/>
      <c r="K22" s="1384"/>
      <c r="L22" s="1384"/>
    </row>
    <row r="23" spans="1:12" s="1012" customFormat="1" ht="12" x14ac:dyDescent="0.2">
      <c r="A23" s="1385" t="s">
        <v>4925</v>
      </c>
      <c r="B23" s="1426"/>
      <c r="C23" s="1384"/>
      <c r="D23" s="1384"/>
      <c r="E23" s="1384"/>
      <c r="F23" s="1384"/>
      <c r="G23" s="1384"/>
      <c r="H23" s="1384"/>
      <c r="I23" s="1384"/>
      <c r="J23" s="1384"/>
      <c r="K23" s="1384"/>
      <c r="L23" s="1384"/>
    </row>
    <row r="24" spans="1:12" s="1012" customFormat="1" ht="12" x14ac:dyDescent="0.2">
      <c r="A24" s="1385" t="s">
        <v>4934</v>
      </c>
      <c r="B24" s="1384"/>
      <c r="C24" s="1384"/>
      <c r="D24" s="1384"/>
      <c r="E24" s="1384"/>
      <c r="F24" s="1384"/>
      <c r="G24" s="1384"/>
      <c r="H24" s="1384"/>
      <c r="I24" s="1384"/>
      <c r="J24" s="1384"/>
      <c r="K24" s="1384"/>
      <c r="L24" s="1384"/>
    </row>
    <row r="25" spans="1:12" x14ac:dyDescent="0.25">
      <c r="B25" s="2216"/>
      <c r="C25" s="2216"/>
      <c r="D25" s="2216"/>
      <c r="E25" s="2216"/>
      <c r="F25" s="2216"/>
      <c r="G25" s="2216"/>
      <c r="H25" s="2216"/>
      <c r="I25" s="2216"/>
      <c r="J25" s="2216"/>
      <c r="K25" s="2216"/>
      <c r="L25" s="2216"/>
    </row>
    <row r="26" spans="1:12" ht="13.5" customHeight="1" x14ac:dyDescent="0.25">
      <c r="A26" s="1425"/>
      <c r="B26" s="1424"/>
      <c r="C26" s="2216"/>
      <c r="D26" s="2216"/>
      <c r="E26" s="2216"/>
      <c r="F26" s="2216"/>
      <c r="G26" s="2216"/>
      <c r="H26" s="2216"/>
      <c r="I26" s="2216"/>
      <c r="J26" s="2216"/>
      <c r="K26" s="2216"/>
      <c r="L26" s="2216"/>
    </row>
    <row r="27" spans="1:12" s="1008" customFormat="1" ht="58.5" customHeight="1" thickBot="1" x14ac:dyDescent="0.3">
      <c r="A27" s="1772" t="s">
        <v>300</v>
      </c>
      <c r="B27" s="1396"/>
      <c r="C27" s="1366"/>
      <c r="D27" s="5386" t="s">
        <v>4929</v>
      </c>
      <c r="E27" s="5387"/>
      <c r="F27" s="5388"/>
      <c r="G27" s="1412" t="s">
        <v>4930</v>
      </c>
      <c r="H27" s="5387" t="s">
        <v>4926</v>
      </c>
      <c r="I27" s="5387"/>
      <c r="J27" s="5388"/>
      <c r="K27" s="1397"/>
      <c r="L27" s="1366"/>
    </row>
    <row r="28" spans="1:12" s="1008" customFormat="1" ht="33.75" thickBot="1" x14ac:dyDescent="0.3">
      <c r="A28" s="1015" t="s">
        <v>2301</v>
      </c>
      <c r="B28" s="1395" t="s">
        <v>4923</v>
      </c>
      <c r="C28" s="1395" t="s">
        <v>4924</v>
      </c>
      <c r="D28" s="1395" t="s">
        <v>2528</v>
      </c>
      <c r="E28" s="1411" t="s">
        <v>2527</v>
      </c>
      <c r="F28" s="1395" t="s">
        <v>2526</v>
      </c>
      <c r="G28" s="1395" t="s">
        <v>307</v>
      </c>
      <c r="H28" s="1395" t="s">
        <v>4931</v>
      </c>
      <c r="I28" s="1395" t="s">
        <v>4932</v>
      </c>
      <c r="J28" s="1395" t="s">
        <v>4933</v>
      </c>
      <c r="K28" s="1395" t="s">
        <v>4973</v>
      </c>
      <c r="L28" s="2933" t="s">
        <v>4971</v>
      </c>
    </row>
    <row r="29" spans="1:12" ht="15.75" thickBot="1" x14ac:dyDescent="0.3">
      <c r="A29" s="2231" t="s">
        <v>676</v>
      </c>
      <c r="B29" s="2232">
        <f>'NIR faktorer'!D1328</f>
        <v>59303</v>
      </c>
      <c r="C29" s="1789">
        <f>B29*L5/L6</f>
        <v>18.536066277012171</v>
      </c>
      <c r="D29" s="2233">
        <f>'NIR faktorer'!D1329</f>
        <v>2.41E-2</v>
      </c>
      <c r="E29" s="2234"/>
      <c r="F29" s="2234"/>
      <c r="G29" s="2234"/>
      <c r="H29" s="2235">
        <f>B29*D29</f>
        <v>1429.2022999999999</v>
      </c>
      <c r="I29" s="2236"/>
      <c r="J29" s="2236"/>
      <c r="K29" s="2237">
        <f>H29</f>
        <v>1429.2022999999999</v>
      </c>
      <c r="L29" s="2238">
        <f>K29*L5/L6</f>
        <v>0.4467191972759933</v>
      </c>
    </row>
    <row r="30" spans="1:12" x14ac:dyDescent="0.25">
      <c r="A30" s="1167"/>
      <c r="B30" s="2239"/>
      <c r="C30" s="2216"/>
      <c r="D30" s="2216"/>
      <c r="E30" s="2227"/>
      <c r="F30" s="2227"/>
      <c r="G30" s="2227"/>
      <c r="H30" s="2227"/>
      <c r="I30" s="2227"/>
      <c r="J30" s="2227"/>
      <c r="K30" s="2216"/>
      <c r="L30" s="2216"/>
    </row>
    <row r="31" spans="1:12" s="1183" customFormat="1" ht="24" x14ac:dyDescent="0.2">
      <c r="A31" s="1183" t="s">
        <v>2564</v>
      </c>
      <c r="B31" s="1386" t="str">
        <f>C22</f>
        <v xml:space="preserve"> NIR 2020 (2018) CRF tabel 2(I).A-Hs1</v>
      </c>
      <c r="C31" s="1386" t="s">
        <v>2560</v>
      </c>
      <c r="D31" s="1386" t="str">
        <f>C22</f>
        <v xml:space="preserve"> NIR 2020 (2018) CRF tabel 2(I).A-Hs1</v>
      </c>
      <c r="E31" s="1400"/>
      <c r="F31" s="1400"/>
      <c r="G31" s="1400"/>
      <c r="H31" s="1400"/>
      <c r="I31" s="1400"/>
      <c r="J31" s="1400"/>
      <c r="K31" s="1400"/>
      <c r="L31" s="1400"/>
    </row>
    <row r="32" spans="1:12" s="1012" customFormat="1" ht="18.75" customHeight="1" x14ac:dyDescent="0.2">
      <c r="A32" s="1385" t="s">
        <v>4936</v>
      </c>
      <c r="B32" s="1420"/>
      <c r="C32" s="1384"/>
      <c r="D32" s="1384"/>
      <c r="E32" s="1384"/>
      <c r="F32" s="1384"/>
      <c r="G32" s="1384"/>
      <c r="H32" s="1384"/>
      <c r="I32" s="1384"/>
      <c r="J32" s="1384"/>
      <c r="K32" s="1384"/>
      <c r="L32" s="1384"/>
    </row>
    <row r="33" spans="1:12" x14ac:dyDescent="0.25">
      <c r="B33" s="1408"/>
      <c r="C33" s="2216"/>
      <c r="D33" s="2216"/>
      <c r="E33" s="2216"/>
      <c r="F33" s="2216"/>
      <c r="G33" s="2216"/>
      <c r="H33" s="2216"/>
      <c r="I33" s="2216"/>
      <c r="J33" s="2216"/>
      <c r="K33" s="2216"/>
      <c r="L33" s="2216"/>
    </row>
    <row r="34" spans="1:12" s="1008" customFormat="1" ht="46.5" customHeight="1" thickBot="1" x14ac:dyDescent="0.3">
      <c r="A34" s="1772" t="s">
        <v>2568</v>
      </c>
      <c r="B34" s="1396"/>
      <c r="C34" s="1366"/>
      <c r="D34" s="5386" t="s">
        <v>4929</v>
      </c>
      <c r="E34" s="5387"/>
      <c r="F34" s="5388"/>
      <c r="G34" s="1412" t="s">
        <v>4930</v>
      </c>
      <c r="H34" s="5387" t="s">
        <v>4926</v>
      </c>
      <c r="I34" s="5387"/>
      <c r="J34" s="5388"/>
      <c r="K34" s="1397"/>
      <c r="L34" s="1396"/>
    </row>
    <row r="35" spans="1:12" s="1014" customFormat="1" ht="33.75" thickBot="1" x14ac:dyDescent="0.3">
      <c r="A35" s="1015" t="s">
        <v>2562</v>
      </c>
      <c r="B35" s="2921" t="s">
        <v>4921</v>
      </c>
      <c r="C35" s="2921" t="s">
        <v>4922</v>
      </c>
      <c r="D35" s="1395" t="s">
        <v>2528</v>
      </c>
      <c r="E35" s="1395" t="s">
        <v>2527</v>
      </c>
      <c r="F35" s="1395" t="s">
        <v>2526</v>
      </c>
      <c r="G35" s="1395" t="s">
        <v>307</v>
      </c>
      <c r="H35" s="1395" t="s">
        <v>4931</v>
      </c>
      <c r="I35" s="1395" t="s">
        <v>4932</v>
      </c>
      <c r="J35" s="1395" t="s">
        <v>4933</v>
      </c>
      <c r="K35" s="1395" t="s">
        <v>4973</v>
      </c>
      <c r="L35" s="2933" t="s">
        <v>4971</v>
      </c>
    </row>
    <row r="36" spans="1:12" ht="18" thickBot="1" x14ac:dyDescent="0.3">
      <c r="A36" s="1419" t="s">
        <v>2567</v>
      </c>
      <c r="B36" s="2240">
        <f>'NIR faktorer'!D1334</f>
        <v>598</v>
      </c>
      <c r="C36" s="1789">
        <f>B36*L5/L6</f>
        <v>0.18691411283836026</v>
      </c>
      <c r="D36" s="2233">
        <f>'NIR faktorer'!D1335</f>
        <v>0.2</v>
      </c>
      <c r="E36" s="2234"/>
      <c r="F36" s="2234"/>
      <c r="G36" s="2241" t="s">
        <v>259</v>
      </c>
      <c r="H36" s="2242">
        <f>B36*D36</f>
        <v>119.60000000000001</v>
      </c>
      <c r="I36" s="2236"/>
      <c r="J36" s="2236"/>
      <c r="K36" s="1787">
        <f>H36</f>
        <v>119.60000000000001</v>
      </c>
      <c r="L36" s="2238">
        <f>K36*L5/L6</f>
        <v>3.7382822567672058E-2</v>
      </c>
    </row>
    <row r="37" spans="1:12" x14ac:dyDescent="0.25">
      <c r="B37" s="2216"/>
      <c r="C37" s="2216"/>
      <c r="D37" s="2216"/>
      <c r="E37" s="2216"/>
      <c r="F37" s="2216"/>
      <c r="G37" s="2216"/>
      <c r="H37" s="2216"/>
      <c r="I37" s="2216"/>
      <c r="J37" s="2216"/>
      <c r="K37" s="2216"/>
      <c r="L37" s="2216"/>
    </row>
    <row r="38" spans="1:12" s="1183" customFormat="1" ht="24" x14ac:dyDescent="0.2">
      <c r="A38" s="1183" t="s">
        <v>2564</v>
      </c>
      <c r="B38" s="1386" t="str">
        <f>C22</f>
        <v xml:space="preserve"> NIR 2020 (2018) CRF tabel 2(I).A-Hs1</v>
      </c>
      <c r="C38" s="1386" t="s">
        <v>2560</v>
      </c>
      <c r="D38" s="1386" t="str">
        <f>C22</f>
        <v xml:space="preserve"> NIR 2020 (2018) CRF tabel 2(I).A-Hs1</v>
      </c>
      <c r="E38" s="1400"/>
      <c r="F38" s="1400"/>
      <c r="G38" s="1386" t="s">
        <v>2559</v>
      </c>
      <c r="H38" s="1400"/>
      <c r="I38" s="1400"/>
      <c r="J38" s="1400"/>
      <c r="K38" s="1400"/>
      <c r="L38" s="1400"/>
    </row>
    <row r="39" spans="1:12" s="1012" customFormat="1" ht="12" x14ac:dyDescent="0.2">
      <c r="A39" s="1385" t="s">
        <v>4936</v>
      </c>
      <c r="B39" s="1384"/>
      <c r="C39" s="1384"/>
      <c r="D39" s="1384"/>
      <c r="E39" s="1384"/>
      <c r="F39" s="1384"/>
      <c r="G39" s="1384"/>
      <c r="H39" s="1384"/>
      <c r="I39" s="1384"/>
      <c r="J39" s="1384"/>
      <c r="K39" s="1384"/>
      <c r="L39" s="1384"/>
    </row>
    <row r="40" spans="1:12" s="1008" customFormat="1" x14ac:dyDescent="0.25">
      <c r="B40" s="1398"/>
      <c r="C40" s="1366"/>
      <c r="D40" s="1366"/>
      <c r="E40" s="1366"/>
      <c r="F40" s="1366"/>
      <c r="G40" s="1366"/>
      <c r="H40" s="1366"/>
      <c r="I40" s="1366"/>
      <c r="J40" s="1366"/>
      <c r="K40" s="1366"/>
      <c r="L40" s="1366"/>
    </row>
    <row r="41" spans="1:12" s="1008" customFormat="1" ht="15" customHeight="1" x14ac:dyDescent="0.25">
      <c r="A41" s="5384" t="s">
        <v>672</v>
      </c>
      <c r="B41" s="1408"/>
      <c r="C41" s="1366"/>
      <c r="D41" s="1366"/>
      <c r="E41" s="1366"/>
      <c r="F41" s="1366"/>
      <c r="G41" s="1366"/>
      <c r="H41" s="1366"/>
      <c r="I41" s="1366"/>
      <c r="J41" s="1366"/>
      <c r="K41" s="1366"/>
      <c r="L41" s="1366"/>
    </row>
    <row r="42" spans="1:12" s="1008" customFormat="1" ht="56.25" customHeight="1" thickBot="1" x14ac:dyDescent="0.3">
      <c r="A42" s="5385"/>
      <c r="B42" s="1396"/>
      <c r="C42" s="1366"/>
      <c r="D42" s="5386" t="s">
        <v>4929</v>
      </c>
      <c r="E42" s="5387"/>
      <c r="F42" s="5388"/>
      <c r="G42" s="1412" t="s">
        <v>4930</v>
      </c>
      <c r="H42" s="5386" t="s">
        <v>4926</v>
      </c>
      <c r="I42" s="5387"/>
      <c r="J42" s="5388"/>
      <c r="K42" s="1397"/>
      <c r="L42" s="1366"/>
    </row>
    <row r="43" spans="1:12" s="1405" customFormat="1" ht="33.75" thickBot="1" x14ac:dyDescent="0.25">
      <c r="A43" s="1015" t="s">
        <v>2562</v>
      </c>
      <c r="B43" s="2921" t="s">
        <v>4921</v>
      </c>
      <c r="C43" s="2921" t="s">
        <v>4922</v>
      </c>
      <c r="D43" s="1395" t="s">
        <v>2528</v>
      </c>
      <c r="E43" s="1395" t="s">
        <v>2527</v>
      </c>
      <c r="F43" s="1395" t="s">
        <v>2526</v>
      </c>
      <c r="G43" s="1395" t="s">
        <v>307</v>
      </c>
      <c r="H43" s="1395" t="s">
        <v>4931</v>
      </c>
      <c r="I43" s="1395" t="s">
        <v>4932</v>
      </c>
      <c r="J43" s="1395" t="s">
        <v>4933</v>
      </c>
      <c r="K43" s="1395" t="s">
        <v>4974</v>
      </c>
      <c r="L43" s="1435" t="s">
        <v>4971</v>
      </c>
    </row>
    <row r="44" spans="1:12" x14ac:dyDescent="0.25">
      <c r="A44" s="2243" t="str">
        <f>'NIR faktorer'!B1340</f>
        <v>Brug af smøremidler - motorolie, industriel olie eller fedt</v>
      </c>
      <c r="B44" s="2244">
        <f>'NIR faktorer'!D1340</f>
        <v>51.32</v>
      </c>
      <c r="C44" s="3880">
        <f t="shared" ref="C44:C49" si="0">B44/$L$6*$L$5*1000</f>
        <v>16.040856640241891</v>
      </c>
      <c r="D44" s="2245" cm="1">
        <f t="array" ref="D44:F44">TRANSPOSE('NIR faktorer'!D1341:D1343)</f>
        <v>0.61717</v>
      </c>
      <c r="E44" s="2246" t="str">
        <v>NA</v>
      </c>
      <c r="F44" s="2246" t="str">
        <v>NA</v>
      </c>
      <c r="G44" s="2247"/>
      <c r="H44" s="2245">
        <f t="shared" ref="H44:H49" si="1">B44*D44</f>
        <v>31.673164400000001</v>
      </c>
      <c r="I44" s="2245" t="e">
        <f>B44*E44</f>
        <v>#VALUE!</v>
      </c>
      <c r="J44" s="2245" t="e">
        <f>B44*F44</f>
        <v>#VALUE!</v>
      </c>
      <c r="K44" s="2100">
        <f>H44</f>
        <v>31.673164400000001</v>
      </c>
      <c r="L44" s="2248">
        <f t="shared" ref="L44:L49" si="2">K44*$L$5/$L$6*1000</f>
        <v>9.899935492658086</v>
      </c>
    </row>
    <row r="45" spans="1:12" x14ac:dyDescent="0.25">
      <c r="A45" s="2249" t="str">
        <f>'NIR faktorer'!B1344</f>
        <v>Paraffinvoks - afbrænding af lys</v>
      </c>
      <c r="B45" s="2250">
        <f>'NIR faktorer'!D1344</f>
        <v>20.106999999999999</v>
      </c>
      <c r="C45" s="1782">
        <f t="shared" si="0"/>
        <v>6.2847526201353006</v>
      </c>
      <c r="D45" s="1783" cm="1">
        <f t="array" ref="D45:F45">TRANSPOSE('NIR faktorer'!D1345:D1347)</f>
        <v>2.91</v>
      </c>
      <c r="E45" s="2251">
        <v>1.21E-4</v>
      </c>
      <c r="F45" s="2251">
        <v>2.4000000000000001E-5</v>
      </c>
      <c r="G45" s="2226"/>
      <c r="H45" s="1783">
        <f t="shared" si="1"/>
        <v>58.511369999999999</v>
      </c>
      <c r="I45" s="1783">
        <f>B45*E45</f>
        <v>2.432947E-3</v>
      </c>
      <c r="J45" s="1783">
        <f>B45*F45</f>
        <v>4.8256800000000001E-4</v>
      </c>
      <c r="K45" s="1783">
        <f>H45+(I45*25)+(J45*298)</f>
        <v>58.715998939000002</v>
      </c>
      <c r="L45" s="2099">
        <f t="shared" si="2"/>
        <v>18.352590052008843</v>
      </c>
    </row>
    <row r="46" spans="1:12" ht="18.95" customHeight="1" x14ac:dyDescent="0.25">
      <c r="A46" s="2249" t="str">
        <f>'NIR faktorer'!B1348</f>
        <v xml:space="preserve">Brug af opløsningsmidler </v>
      </c>
      <c r="B46" s="1782">
        <f>'NIR faktorer'!D1348</f>
        <v>729.20330000000001</v>
      </c>
      <c r="C46" s="1782">
        <f t="shared" si="0"/>
        <v>227.92372558244929</v>
      </c>
      <c r="D46" s="1783" cm="1">
        <f t="array" ref="D46:F46">TRANSPOSE('NIR faktorer'!D1349:D1351)</f>
        <v>8.3254977213970002E-2</v>
      </c>
      <c r="E46" s="1783" t="str">
        <v>NA</v>
      </c>
      <c r="F46" s="1783" t="str">
        <v>NA</v>
      </c>
      <c r="G46" s="2226"/>
      <c r="H46" s="1783">
        <f t="shared" si="1"/>
        <v>60.709804125851733</v>
      </c>
      <c r="I46" s="1783" t="e">
        <f t="shared" ref="I46:I49" si="3">B46*E46</f>
        <v>#VALUE!</v>
      </c>
      <c r="J46" s="1783" t="e">
        <f t="shared" ref="J46:J49" si="4">B46*F46</f>
        <v>#VALUE!</v>
      </c>
      <c r="K46" s="1783">
        <f>H46</f>
        <v>60.709804125851733</v>
      </c>
      <c r="L46" s="2099">
        <f t="shared" si="2"/>
        <v>18.975784579889968</v>
      </c>
    </row>
    <row r="47" spans="1:12" x14ac:dyDescent="0.25">
      <c r="A47" s="2249" t="str">
        <f>'NIR faktorer'!B1352</f>
        <v xml:space="preserve">Asfaltering på vej </v>
      </c>
      <c r="B47" s="1782">
        <f>'NIR faktorer'!D1352</f>
        <v>4089.1039999999998</v>
      </c>
      <c r="C47" s="1782">
        <f t="shared" si="0"/>
        <v>1278.1124522805858</v>
      </c>
      <c r="D47" s="1783" cm="1">
        <f t="array" ref="D47:F47">TRANSPOSE('NIR faktorer'!D1353:D1355)</f>
        <v>2.3000000000000001E-4</v>
      </c>
      <c r="E47" s="1783">
        <v>4.4000000000000002E-6</v>
      </c>
      <c r="F47" s="1783" t="str">
        <v>NA</v>
      </c>
      <c r="G47" s="2226"/>
      <c r="H47" s="1783">
        <f t="shared" si="1"/>
        <v>0.94049391999999998</v>
      </c>
      <c r="I47" s="1783">
        <f t="shared" si="3"/>
        <v>1.79920576E-2</v>
      </c>
      <c r="J47" s="1783" t="e">
        <f t="shared" si="4"/>
        <v>#VALUE!</v>
      </c>
      <c r="K47" s="1783">
        <f>H47+I47*25</f>
        <v>1.3902953600000001</v>
      </c>
      <c r="L47" s="2099">
        <f t="shared" si="2"/>
        <v>0.43455823377539921</v>
      </c>
    </row>
    <row r="48" spans="1:12" x14ac:dyDescent="0.25">
      <c r="A48" s="2249" t="str">
        <f>'NIR faktorer'!B1356</f>
        <v xml:space="preserve">Fremstilling af tagpap </v>
      </c>
      <c r="B48" s="1782">
        <f>'NIR faktorer'!D1356</f>
        <v>58.789000000000001</v>
      </c>
      <c r="C48" s="1782">
        <f t="shared" si="0"/>
        <v>18.375407658284885</v>
      </c>
      <c r="D48" s="1783" cm="1">
        <f t="array" ref="D48:F48">TRANSPOSE('NIR faktorer'!D1357:D1359)</f>
        <v>4.0000000000000002E-4</v>
      </c>
      <c r="E48" s="1783" t="str">
        <v>NA</v>
      </c>
      <c r="F48" s="1783" t="str">
        <v>NA</v>
      </c>
      <c r="G48" s="2226"/>
      <c r="H48" s="1783">
        <f t="shared" si="1"/>
        <v>2.3515600000000001E-2</v>
      </c>
      <c r="I48" s="1783" t="e">
        <f t="shared" si="3"/>
        <v>#VALUE!</v>
      </c>
      <c r="J48" s="1783" t="e">
        <f t="shared" si="4"/>
        <v>#VALUE!</v>
      </c>
      <c r="K48" s="1783">
        <f>H48</f>
        <v>2.3515600000000001E-2</v>
      </c>
      <c r="L48" s="2099">
        <f t="shared" si="2"/>
        <v>7.3501630633139546E-3</v>
      </c>
    </row>
    <row r="49" spans="1:12" ht="15.75" thickBot="1" x14ac:dyDescent="0.3">
      <c r="A49" s="2252" t="str">
        <f>'NIR faktorer'!B1360</f>
        <v xml:space="preserve">Urea anvendt i katalysatorer check rapport </v>
      </c>
      <c r="B49" s="2101">
        <f>'NIR faktorer'!D1360</f>
        <v>37.490557217585099</v>
      </c>
      <c r="C49" s="2101">
        <f t="shared" si="0"/>
        <v>11.718251241037967</v>
      </c>
      <c r="D49" s="2160" cm="1">
        <f t="array" ref="D49:F49">TRANSPOSE('NIR faktorer'!D1361:D1363)</f>
        <v>0.23853211009174</v>
      </c>
      <c r="E49" s="2160" t="str">
        <v>NA</v>
      </c>
      <c r="F49" s="2160" t="str">
        <v>NA</v>
      </c>
      <c r="G49" s="2102"/>
      <c r="H49" s="2160">
        <f t="shared" si="1"/>
        <v>8.9427017216256868</v>
      </c>
      <c r="I49" s="2160" t="e">
        <f t="shared" si="3"/>
        <v>#VALUE!</v>
      </c>
      <c r="J49" s="2160" t="e">
        <f t="shared" si="4"/>
        <v>#VALUE!</v>
      </c>
      <c r="K49" s="2160">
        <f>H49</f>
        <v>8.9427017216256868</v>
      </c>
      <c r="L49" s="2253">
        <f t="shared" si="2"/>
        <v>2.7951791951099367</v>
      </c>
    </row>
    <row r="50" spans="1:12" ht="17.25" customHeight="1" x14ac:dyDescent="0.25">
      <c r="B50" s="2228"/>
      <c r="C50" s="2216"/>
      <c r="D50" s="2228"/>
      <c r="E50" s="2227"/>
      <c r="F50" s="2227"/>
      <c r="G50" s="2227"/>
      <c r="H50" s="2216"/>
      <c r="I50" s="2216"/>
      <c r="J50" s="2216"/>
      <c r="K50" s="2216"/>
      <c r="L50" s="2216"/>
    </row>
    <row r="51" spans="1:12" s="1183" customFormat="1" ht="24" x14ac:dyDescent="0.2">
      <c r="A51" s="993" t="s">
        <v>2564</v>
      </c>
      <c r="B51" s="1386" t="str">
        <f>'NIR faktorer'!D1365</f>
        <v xml:space="preserve"> NIR 2020 (2018) CRF tabel 2(I).A-Hs1</v>
      </c>
      <c r="C51" s="1386" t="s">
        <v>2560</v>
      </c>
      <c r="D51" s="1386" t="str">
        <f>B51</f>
        <v xml:space="preserve"> NIR 2020 (2018) CRF tabel 2(I).A-Hs1</v>
      </c>
      <c r="E51" s="1400"/>
      <c r="F51" s="1400"/>
      <c r="G51" s="1386" t="s">
        <v>2559</v>
      </c>
      <c r="H51" s="1384"/>
      <c r="I51" s="1400"/>
      <c r="J51" s="1400"/>
      <c r="K51" s="1400"/>
      <c r="L51" s="1400"/>
    </row>
    <row r="52" spans="1:12" s="1012" customFormat="1" ht="17.25" customHeight="1" x14ac:dyDescent="0.2">
      <c r="A52" s="1385" t="s">
        <v>4936</v>
      </c>
      <c r="B52" s="1384"/>
      <c r="C52" s="1384"/>
      <c r="D52" s="1384"/>
      <c r="E52" s="1384"/>
      <c r="F52" s="1384"/>
      <c r="G52" s="1384"/>
      <c r="H52" s="1384"/>
      <c r="I52" s="1384"/>
      <c r="J52" s="1384"/>
      <c r="K52" s="1384"/>
      <c r="L52" s="1384"/>
    </row>
    <row r="53" spans="1:12" s="1008" customFormat="1" ht="17.25" customHeight="1" x14ac:dyDescent="0.25">
      <c r="A53" s="1197"/>
      <c r="B53" s="1408"/>
      <c r="C53" s="1366"/>
      <c r="D53" s="1366"/>
      <c r="E53" s="1366"/>
      <c r="F53" s="1366"/>
      <c r="G53" s="1366"/>
      <c r="H53" s="1366"/>
      <c r="I53" s="1366"/>
      <c r="J53" s="1366"/>
      <c r="K53" s="1366"/>
      <c r="L53" s="1366"/>
    </row>
    <row r="54" spans="1:12" s="1008" customFormat="1" ht="30.75" customHeight="1" thickBot="1" x14ac:dyDescent="0.3">
      <c r="A54" s="1772" t="s">
        <v>2566</v>
      </c>
      <c r="B54" s="1396"/>
      <c r="C54" s="1366"/>
    </row>
    <row r="55" spans="1:12" s="1405" customFormat="1" ht="33.75" thickBot="1" x14ac:dyDescent="0.25">
      <c r="A55" s="1407" t="s">
        <v>2301</v>
      </c>
      <c r="B55" s="1395" t="s">
        <v>4974</v>
      </c>
      <c r="C55" s="2933" t="s">
        <v>4971</v>
      </c>
    </row>
    <row r="56" spans="1:12" ht="15.75" thickBot="1" x14ac:dyDescent="0.3">
      <c r="A56" s="2254" t="str">
        <f>'NIR faktorer'!B1368</f>
        <v>CF4</v>
      </c>
      <c r="B56" s="2255">
        <f>'NIR faktorer'!D1368</f>
        <v>0</v>
      </c>
      <c r="C56" s="1788">
        <f>B56/$L$6*$L$5*1000</f>
        <v>0</v>
      </c>
    </row>
    <row r="57" spans="1:12" x14ac:dyDescent="0.25">
      <c r="B57" s="2216"/>
      <c r="C57" s="2216"/>
    </row>
    <row r="58" spans="1:12" s="1012" customFormat="1" ht="12" x14ac:dyDescent="0.2">
      <c r="A58" s="1012" t="s">
        <v>2564</v>
      </c>
      <c r="B58" s="1387" t="str">
        <f>'NIR faktorer'!D1370</f>
        <v xml:space="preserve"> NIR 2020 (2018) CRF tabel 2(I).A-Hs1</v>
      </c>
      <c r="C58" s="1387" t="s">
        <v>2560</v>
      </c>
    </row>
    <row r="59" spans="1:12" s="1012" customFormat="1" ht="12" x14ac:dyDescent="0.2">
      <c r="A59" s="1385" t="s">
        <v>4937</v>
      </c>
      <c r="B59" s="1384"/>
      <c r="C59" s="1384"/>
      <c r="D59" s="1384"/>
      <c r="E59" s="1384"/>
      <c r="F59" s="1384"/>
      <c r="G59" s="1384"/>
      <c r="H59" s="1384"/>
      <c r="I59" s="1384"/>
      <c r="J59" s="1384"/>
      <c r="K59" s="1384"/>
      <c r="L59" s="1384"/>
    </row>
    <row r="60" spans="1:12" s="1008" customFormat="1" ht="15" customHeight="1" x14ac:dyDescent="0.25">
      <c r="B60" s="1366"/>
      <c r="C60" s="1366"/>
      <c r="D60" s="1366"/>
      <c r="E60" s="1366"/>
      <c r="F60" s="1366"/>
      <c r="G60" s="1366"/>
      <c r="H60" s="1366"/>
      <c r="I60" s="1366"/>
      <c r="J60" s="1366"/>
      <c r="K60" s="1366"/>
      <c r="L60" s="1366"/>
    </row>
    <row r="61" spans="1:12" s="1008" customFormat="1" ht="48" customHeight="1" thickBot="1" x14ac:dyDescent="0.3">
      <c r="A61" s="1772" t="s">
        <v>2565</v>
      </c>
      <c r="B61" s="1396"/>
      <c r="C61" s="1366"/>
      <c r="D61" s="1396"/>
    </row>
    <row r="62" spans="1:12" s="1405" customFormat="1" ht="33.75" thickBot="1" x14ac:dyDescent="0.25">
      <c r="A62" s="1406" t="s">
        <v>2562</v>
      </c>
      <c r="B62" s="1395" t="s">
        <v>4974</v>
      </c>
      <c r="C62" s="2933" t="s">
        <v>4971</v>
      </c>
    </row>
    <row r="63" spans="1:12" ht="15" customHeight="1" x14ac:dyDescent="0.25">
      <c r="A63" s="2256" t="str">
        <f>'NIR faktorer'!B1373</f>
        <v xml:space="preserve">Køling og airconditioning </v>
      </c>
      <c r="B63" s="2257">
        <f>'NIR faktorer'!D1373</f>
        <v>473.78842601266876</v>
      </c>
      <c r="C63" s="2258">
        <f>B63/$L$6*$L$5*1000</f>
        <v>148.08987177465065</v>
      </c>
    </row>
    <row r="64" spans="1:12" x14ac:dyDescent="0.25">
      <c r="A64" s="2259" t="str">
        <f>'NIR faktorer'!B1374</f>
        <v xml:space="preserve">Skumblæsemidler </v>
      </c>
      <c r="B64" s="2260">
        <f>'NIR faktorer'!D1374</f>
        <v>0.78412698000000003</v>
      </c>
      <c r="C64" s="2261">
        <f>B64/$L$6*$L$5*1000</f>
        <v>0.24509096792528876</v>
      </c>
      <c r="D64" s="2216"/>
    </row>
    <row r="65" spans="1:12" ht="15.75" thickBot="1" x14ac:dyDescent="0.3">
      <c r="A65" s="2262" t="str">
        <f>'NIR faktorer'!B1375</f>
        <v xml:space="preserve">Aerosoler </v>
      </c>
      <c r="B65" s="2263">
        <f>'NIR faktorer'!D1375</f>
        <v>12.773699221139999</v>
      </c>
      <c r="C65" s="2264">
        <f>B65/$L$6*$L$5*1000</f>
        <v>3.9926164842532383</v>
      </c>
      <c r="D65" s="2216"/>
    </row>
    <row r="66" spans="1:12" ht="23.25" customHeight="1" x14ac:dyDescent="0.25">
      <c r="B66" s="2239"/>
      <c r="D66" s="2216"/>
    </row>
    <row r="67" spans="1:12" s="1183" customFormat="1" ht="24" x14ac:dyDescent="0.2">
      <c r="A67" s="1183" t="s">
        <v>2564</v>
      </c>
      <c r="B67" s="1386" t="str">
        <f>'NIR faktorer'!D1377</f>
        <v xml:space="preserve"> NIR 2020 (2018) CRF tabel 2(I).A-Hs1</v>
      </c>
      <c r="C67" s="1386" t="s">
        <v>2560</v>
      </c>
      <c r="D67" s="1400"/>
    </row>
    <row r="68" spans="1:12" s="1012" customFormat="1" ht="15" customHeight="1" x14ac:dyDescent="0.2">
      <c r="A68" s="1385" t="s">
        <v>4937</v>
      </c>
      <c r="B68" s="1399"/>
      <c r="C68" s="1384"/>
      <c r="D68" s="1384"/>
    </row>
    <row r="69" spans="1:12" s="1008" customFormat="1" x14ac:dyDescent="0.25">
      <c r="A69" s="1177"/>
      <c r="B69" s="1398"/>
      <c r="C69" s="1366"/>
      <c r="D69" s="1366"/>
      <c r="E69" s="1366"/>
      <c r="F69" s="1366"/>
      <c r="G69" s="1366"/>
      <c r="H69" s="1366"/>
      <c r="I69" s="1366"/>
      <c r="J69" s="1366"/>
      <c r="K69" s="1366"/>
      <c r="L69" s="1366"/>
    </row>
    <row r="70" spans="1:12" s="1008" customFormat="1" ht="30.75" thickBot="1" x14ac:dyDescent="0.3">
      <c r="A70" s="4220" t="s">
        <v>2563</v>
      </c>
      <c r="B70" s="1396"/>
      <c r="C70" s="1366"/>
      <c r="D70" s="5389" t="s">
        <v>4929</v>
      </c>
      <c r="E70" s="5390"/>
      <c r="F70" s="5391"/>
      <c r="G70" s="4221"/>
      <c r="H70" s="5390" t="s">
        <v>4926</v>
      </c>
      <c r="I70" s="5390"/>
      <c r="J70" s="5391"/>
      <c r="K70" s="1397"/>
      <c r="L70" s="1396"/>
    </row>
    <row r="71" spans="1:12" s="1008" customFormat="1" ht="33.75" thickBot="1" x14ac:dyDescent="0.3">
      <c r="A71" s="1015" t="s">
        <v>2562</v>
      </c>
      <c r="B71" s="2921" t="s">
        <v>4921</v>
      </c>
      <c r="C71" s="2921" t="s">
        <v>4922</v>
      </c>
      <c r="D71" s="1395" t="s">
        <v>2528</v>
      </c>
      <c r="E71" s="1395" t="s">
        <v>2527</v>
      </c>
      <c r="F71" s="1395" t="s">
        <v>2526</v>
      </c>
      <c r="G71" s="1395" t="s">
        <v>307</v>
      </c>
      <c r="H71" s="1395" t="s">
        <v>4931</v>
      </c>
      <c r="I71" s="1395" t="s">
        <v>4932</v>
      </c>
      <c r="J71" s="1395" t="s">
        <v>4933</v>
      </c>
      <c r="K71" s="1395" t="s">
        <v>4974</v>
      </c>
      <c r="L71" s="1435" t="s">
        <v>4971</v>
      </c>
    </row>
    <row r="72" spans="1:12" ht="15.75" thickBot="1" x14ac:dyDescent="0.3">
      <c r="A72" s="1453" t="s">
        <v>661</v>
      </c>
      <c r="B72" s="1528">
        <f>'NIR faktorer'!D1380</f>
        <v>3.7999999999999999E-2</v>
      </c>
      <c r="C72" s="2261">
        <f>B72/$L$6*$L$5*1000</f>
        <v>1.187748543120015E-2</v>
      </c>
      <c r="D72" s="1451" t="str" cm="1">
        <f t="array" ref="D72:F72">TRANSPOSE('NIR faktorer'!D1381:D1383)</f>
        <v/>
      </c>
      <c r="E72" s="1451" t="str">
        <v/>
      </c>
      <c r="F72" s="1331">
        <v>1</v>
      </c>
      <c r="G72" s="1451"/>
      <c r="H72" s="1451"/>
      <c r="I72" s="1451"/>
      <c r="J72" s="1452">
        <f>B72*F72</f>
        <v>3.7999999999999999E-2</v>
      </c>
      <c r="K72" s="1446">
        <f>J72*'Grafer-klima-&gt;VÆLG GWP og NIR&lt;-'!F$8</f>
        <v>11.324</v>
      </c>
      <c r="L72" s="1529">
        <f>K72*$L$5/$L$6*1000</f>
        <v>3.5394906584976451</v>
      </c>
    </row>
    <row r="73" spans="1:12" ht="15.75" thickBot="1" x14ac:dyDescent="0.3">
      <c r="A73" s="4222" t="s">
        <v>660</v>
      </c>
      <c r="B73" s="4223">
        <f>'NIR faktorer'!D1384</f>
        <v>0.34699999999999998</v>
      </c>
      <c r="C73" s="2261">
        <f>B73/$L$6*$L$5*1000</f>
        <v>0.10846019591122243</v>
      </c>
      <c r="D73" s="1393" t="str" cm="1">
        <f t="array" ref="D73:F73">TRANSPOSE('NIR faktorer'!D1385:D1387)</f>
        <v/>
      </c>
      <c r="E73" s="1393" t="str">
        <v/>
      </c>
      <c r="F73" s="1327">
        <v>4.7500000000000001E-2</v>
      </c>
      <c r="G73" s="4225"/>
      <c r="H73" s="4225"/>
      <c r="I73" s="4225"/>
      <c r="J73" s="4226">
        <f>B73*F73</f>
        <v>1.6482500000000001E-2</v>
      </c>
      <c r="K73" s="1446">
        <f>J73*'Grafer-klima-&gt;VÆLG GWP og NIR&lt;-'!F$8</f>
        <v>4.9117850000000001</v>
      </c>
      <c r="L73" s="4227">
        <f>K73*$L$5/$L$6*1000</f>
        <v>1.5352540731233535</v>
      </c>
    </row>
    <row r="74" spans="1:12" ht="13.5" customHeight="1" thickBot="1" x14ac:dyDescent="0.3">
      <c r="A74" s="4222" t="s">
        <v>659</v>
      </c>
      <c r="B74" s="4223">
        <f>'NIR faktorer'!D1388</f>
        <v>6.2339000000000002</v>
      </c>
      <c r="C74" s="2261">
        <f>B74/$L$6*$L$5*1000</f>
        <v>1.9485014849883848</v>
      </c>
      <c r="D74" s="1450" cm="1">
        <f t="array" ref="D74:F74">TRANSPOSE('NIR faktorer'!D1389:D1391)</f>
        <v>4.3249999999999997E-2</v>
      </c>
      <c r="E74" s="1450">
        <v>8.25E-4</v>
      </c>
      <c r="F74" s="1327">
        <v>1.9350000000000001E-3</v>
      </c>
      <c r="G74" s="4228"/>
      <c r="H74" s="1392">
        <f>B74*D74</f>
        <v>0.26961617500000001</v>
      </c>
      <c r="I74" s="1391">
        <f>B74*E74</f>
        <v>5.1429674999999998E-3</v>
      </c>
      <c r="J74" s="4229">
        <f>B74*F74</f>
        <v>1.2062596500000002E-2</v>
      </c>
      <c r="K74" s="1446">
        <f>J74*'Grafer-klima-&gt;VÆLG GWP og NIR&lt;-'!F$8</f>
        <v>3.5946537570000006</v>
      </c>
      <c r="L74" s="4227">
        <f>K74*$L$5/$L$6*1000</f>
        <v>1.1235644112888525</v>
      </c>
    </row>
    <row r="75" spans="1:12" s="1874" customFormat="1" ht="19.5" customHeight="1" thickBot="1" x14ac:dyDescent="0.3">
      <c r="A75" s="4222" t="s">
        <v>462</v>
      </c>
      <c r="B75" s="4223">
        <f>'NIR faktorer'!D1392</f>
        <v>6.226</v>
      </c>
      <c r="C75" s="2261">
        <f>B75/$L$6*$L$5*1000</f>
        <v>1.9460322182803194</v>
      </c>
      <c r="D75" s="1450" t="str" cm="1">
        <f t="array" ref="D75:F75">TRANSPOSE('NIR faktorer'!D1393:D1395)</f>
        <v>NA</v>
      </c>
      <c r="E75" s="1450">
        <v>3.1870000000000002E-3</v>
      </c>
      <c r="F75" s="1327">
        <v>6.3999999999999997E-5</v>
      </c>
      <c r="G75" s="4228"/>
      <c r="H75" s="4228"/>
      <c r="I75" s="4226">
        <f>B75*E75</f>
        <v>1.9842261999999999E-2</v>
      </c>
      <c r="J75" s="4229">
        <f>B75*F75</f>
        <v>3.9846399999999996E-4</v>
      </c>
      <c r="K75" s="1446">
        <f>J75*'Grafer-klima-&gt;VÆLG GWP og NIR&lt;-'!F$8</f>
        <v>0.11874227199999998</v>
      </c>
      <c r="L75" s="4227">
        <f>K75*$L$5/$L$6*1000</f>
        <v>3.7114726467042246E-2</v>
      </c>
    </row>
    <row r="76" spans="1:12" x14ac:dyDescent="0.25">
      <c r="A76" s="4222" t="s">
        <v>658</v>
      </c>
      <c r="B76" s="4223">
        <f>'NIR faktorer'!D1396</f>
        <v>7.9987199999999996</v>
      </c>
      <c r="C76" s="2261">
        <f>B76/$L$6*$L$5*1000</f>
        <v>2.5001231649539282</v>
      </c>
      <c r="D76" s="1450" t="str" cm="1">
        <f t="array" ref="D76:F76">TRANSPOSE('NIR faktorer'!D1397:D1399)</f>
        <v>NA</v>
      </c>
      <c r="E76" s="1450">
        <v>5.8999999999999999E-3</v>
      </c>
      <c r="F76" s="1327">
        <v>2.9499999999999999E-5</v>
      </c>
      <c r="G76" s="4228"/>
      <c r="H76" s="4228"/>
      <c r="I76" s="4230">
        <f>B76*E76</f>
        <v>4.7192447999999998E-2</v>
      </c>
      <c r="J76" s="4231">
        <f>B76*F76</f>
        <v>2.3596223999999998E-4</v>
      </c>
      <c r="K76" s="1446">
        <f>J76*'Grafer-klima-&gt;VÆLG GWP og NIR&lt;-'!F$8</f>
        <v>7.031674752E-2</v>
      </c>
      <c r="L76" s="4227">
        <f>K76*$L$5/$L$6*1000</f>
        <v>2.197858274310998E-2</v>
      </c>
    </row>
    <row r="77" spans="1:12" ht="15.75" thickBot="1" x14ac:dyDescent="0.3">
      <c r="A77" s="4222" t="s">
        <v>657</v>
      </c>
      <c r="B77" s="4223" t="str">
        <f>'NIR faktorer'!D1400</f>
        <v>NO</v>
      </c>
      <c r="C77" s="4224" t="s">
        <v>259</v>
      </c>
      <c r="D77" s="1393" t="str" cm="1">
        <f t="array" ref="D77:F77">TRANSPOSE('NIR faktorer'!D1401:D1403)</f>
        <v/>
      </c>
      <c r="E77" s="1393" t="str">
        <v/>
      </c>
      <c r="F77" s="1393" t="str">
        <v/>
      </c>
      <c r="G77" s="1327">
        <f>'NIR faktorer'!D1430</f>
        <v>5.8016225795999999E-4</v>
      </c>
      <c r="H77" s="4228"/>
      <c r="I77" s="4228"/>
      <c r="J77" s="4228"/>
      <c r="K77" s="4226" t="s">
        <v>455</v>
      </c>
      <c r="L77" s="4227" t="s">
        <v>455</v>
      </c>
    </row>
    <row r="78" spans="1:12" ht="15" customHeight="1" thickBot="1" x14ac:dyDescent="0.3">
      <c r="A78" s="1454" t="s">
        <v>4013</v>
      </c>
      <c r="B78" s="4232" t="str">
        <f>'NIR faktorer'!D1405</f>
        <v>NO</v>
      </c>
      <c r="C78" s="4233" t="s">
        <v>259</v>
      </c>
      <c r="D78" s="1417" t="str" cm="1">
        <f t="array" ref="D78:F78">TRANSPOSE('NIR faktorer'!D1406:D1408)</f>
        <v/>
      </c>
      <c r="E78" s="1417" t="str">
        <v/>
      </c>
      <c r="F78" s="1417" t="str">
        <v/>
      </c>
      <c r="G78" s="4234"/>
      <c r="H78" s="1388">
        <f>'NIR faktorer'!D1443</f>
        <v>0.26961617500000001</v>
      </c>
      <c r="I78" s="1388">
        <f>'NIR faktorer'!D1455</f>
        <v>7.2177677499999995E-2</v>
      </c>
      <c r="J78" s="1388">
        <f>'NIR faktorer'!D1467</f>
        <v>1.2697022739999999E-2</v>
      </c>
      <c r="K78" s="1446">
        <f>J78*'Grafer-klima-&gt;VÆLG GWP og NIR&lt;-'!F$8</f>
        <v>3.7837127765199998</v>
      </c>
      <c r="L78" s="4235">
        <f>K78*$L$5/$L$6*1000</f>
        <v>1.1826577204990045</v>
      </c>
    </row>
    <row r="79" spans="1:12" x14ac:dyDescent="0.25">
      <c r="B79" s="2216"/>
      <c r="C79" s="2216"/>
      <c r="D79" s="2216"/>
      <c r="E79" s="2216"/>
      <c r="F79" s="2216"/>
      <c r="G79" s="2216"/>
      <c r="H79" s="2216"/>
      <c r="I79" s="2216"/>
      <c r="J79" s="2216"/>
      <c r="K79" s="2216"/>
      <c r="L79" s="2216"/>
    </row>
    <row r="80" spans="1:12" s="1012" customFormat="1" ht="24" x14ac:dyDescent="0.25">
      <c r="A80" s="1012" t="s">
        <v>2561</v>
      </c>
      <c r="B80" s="1386" t="str">
        <f>'NIR faktorer'!D1410</f>
        <v xml:space="preserve"> NIR 2020 (2018) CRF tabel 2(I).A-Hs1</v>
      </c>
      <c r="C80" s="1386" t="s">
        <v>2560</v>
      </c>
      <c r="D80" s="5392" t="str">
        <f>'NIR faktorer'!D1410</f>
        <v xml:space="preserve"> NIR 2020 (2018) CRF tabel 2(I).A-Hs1</v>
      </c>
      <c r="E80" s="5393"/>
      <c r="F80" s="5394"/>
      <c r="G80" s="1387" t="str">
        <f>'NIR faktorer'!D1433</f>
        <v>NIR 2020 (2018) CRF tabel 2(I)s2</v>
      </c>
      <c r="H80" s="1387" t="str">
        <f>'NIR faktorer'!D1445</f>
        <v>NIR 2020 (2018) CRF tabel 2(I)s2</v>
      </c>
      <c r="I80" s="1384"/>
      <c r="J80" s="1384"/>
      <c r="K80" s="1384"/>
      <c r="L80" s="1779"/>
    </row>
    <row r="81" spans="1:12" s="1012" customFormat="1" x14ac:dyDescent="0.25">
      <c r="A81" s="1385" t="s">
        <v>4938</v>
      </c>
      <c r="B81" s="1384"/>
      <c r="C81" s="1384"/>
      <c r="D81" s="1384"/>
      <c r="E81" s="1384"/>
      <c r="F81" s="1384"/>
      <c r="G81" s="1384"/>
      <c r="H81" s="1384"/>
      <c r="I81" s="1384"/>
      <c r="J81" s="1384"/>
      <c r="K81" s="1384"/>
      <c r="L81" s="1008"/>
    </row>
    <row r="83" spans="1:12" ht="15" customHeight="1" x14ac:dyDescent="0.25"/>
    <row r="87" spans="1:12" ht="15" customHeight="1" x14ac:dyDescent="0.25"/>
    <row r="89" spans="1:12" ht="15" customHeight="1" x14ac:dyDescent="0.25"/>
    <row r="92" spans="1:12" ht="15" customHeight="1" x14ac:dyDescent="0.25"/>
    <row r="95" spans="1:12" ht="15" customHeight="1" x14ac:dyDescent="0.25"/>
    <row r="97" ht="15" customHeight="1" x14ac:dyDescent="0.25"/>
    <row r="101" ht="15" customHeight="1" x14ac:dyDescent="0.25"/>
    <row r="104" ht="15" customHeight="1" x14ac:dyDescent="0.25"/>
    <row r="106" ht="15" customHeight="1" x14ac:dyDescent="0.25"/>
  </sheetData>
  <mergeCells count="10">
    <mergeCell ref="A41:A42"/>
    <mergeCell ref="D42:F42"/>
    <mergeCell ref="H42:J42"/>
    <mergeCell ref="D70:F70"/>
    <mergeCell ref="H70:J70"/>
    <mergeCell ref="D80:F80"/>
    <mergeCell ref="D27:F27"/>
    <mergeCell ref="H27:J27"/>
    <mergeCell ref="D34:F34"/>
    <mergeCell ref="H34:J34"/>
  </mergeCells>
  <hyperlinks>
    <hyperlink ref="A2" location="Index!A1" display="Til index" xr:uid="{360AB0C7-DF59-4CB7-A38E-ABFE7F5A957D}"/>
  </hyperlinks>
  <pageMargins left="0.7" right="0.7" top="0.75" bottom="0.75" header="0.3" footer="0.3"/>
  <pageSetup paperSize="9" orientation="portrait"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FC47A-D6B9-4F5C-86DB-F8F70D3D5186}">
  <sheetPr codeName="Ark5">
    <tabColor rgb="FF7030A0"/>
  </sheetPr>
  <dimension ref="A1:V217"/>
  <sheetViews>
    <sheetView showGridLines="0" topLeftCell="G26" zoomScale="85" zoomScaleNormal="85" workbookViewId="0">
      <selection activeCell="N46" sqref="N46"/>
    </sheetView>
  </sheetViews>
  <sheetFormatPr defaultColWidth="9.140625" defaultRowHeight="12.75" x14ac:dyDescent="0.2"/>
  <cols>
    <col min="1" max="1" width="35" style="373" customWidth="1"/>
    <col min="2" max="2" width="9.7109375" style="373" customWidth="1"/>
    <col min="3" max="3" width="80.140625" style="373" customWidth="1"/>
    <col min="4" max="4" width="12.28515625" style="373" customWidth="1"/>
    <col min="5" max="5" width="25.7109375" style="373" customWidth="1"/>
    <col min="6" max="19" width="14.85546875" style="373" customWidth="1"/>
    <col min="20" max="21" width="53.140625" style="373" customWidth="1"/>
    <col min="22" max="16384" width="9.140625" style="373"/>
  </cols>
  <sheetData>
    <row r="1" spans="1:22" s="371" customFormat="1" ht="49.5" customHeight="1" x14ac:dyDescent="0.5">
      <c r="A1" s="370"/>
      <c r="C1" s="370" t="s">
        <v>590</v>
      </c>
      <c r="D1" s="370"/>
      <c r="E1" s="370"/>
      <c r="F1" s="370"/>
      <c r="G1" s="370"/>
      <c r="H1" s="370"/>
      <c r="I1" s="370"/>
      <c r="J1" s="370"/>
      <c r="K1" s="370"/>
      <c r="L1" s="370"/>
      <c r="M1" s="370"/>
      <c r="N1" s="370"/>
      <c r="O1" s="370"/>
      <c r="P1" s="370"/>
      <c r="Q1" s="370"/>
      <c r="R1" s="370"/>
      <c r="S1" s="370"/>
      <c r="T1" s="370"/>
      <c r="U1" s="370"/>
    </row>
    <row r="2" spans="1:22" ht="16.5" customHeight="1" x14ac:dyDescent="0.35">
      <c r="A2" s="372"/>
      <c r="B2" s="372"/>
    </row>
    <row r="3" spans="1:22" x14ac:dyDescent="0.2">
      <c r="D3" s="374"/>
      <c r="H3" s="2351"/>
      <c r="R3" s="376"/>
    </row>
    <row r="4" spans="1:22" ht="31.5" customHeight="1" thickBot="1" x14ac:dyDescent="0.3">
      <c r="A4" s="3036"/>
      <c r="B4" s="3036"/>
      <c r="C4" s="12"/>
      <c r="D4" s="12"/>
      <c r="E4" s="12"/>
      <c r="F4" s="3037"/>
      <c r="G4" s="12"/>
      <c r="H4" s="12"/>
      <c r="I4" s="12"/>
      <c r="J4" s="12"/>
      <c r="K4" s="12"/>
      <c r="L4" s="3234"/>
      <c r="M4" s="3234"/>
      <c r="N4" s="3234"/>
      <c r="O4" s="3234"/>
      <c r="P4" s="12"/>
      <c r="Q4" s="12"/>
      <c r="R4" s="12"/>
      <c r="S4" s="12"/>
      <c r="T4" s="12"/>
      <c r="U4" s="12"/>
    </row>
    <row r="5" spans="1:22" ht="32.25" customHeight="1" thickBot="1" x14ac:dyDescent="0.4">
      <c r="A5" s="3038" t="s">
        <v>591</v>
      </c>
      <c r="B5" s="3039"/>
      <c r="C5" s="3039"/>
      <c r="D5" s="5142" t="s">
        <v>592</v>
      </c>
      <c r="E5" s="5139"/>
      <c r="F5" s="5143" t="s">
        <v>593</v>
      </c>
      <c r="G5" s="5143"/>
      <c r="H5" s="5139" t="s">
        <v>576</v>
      </c>
      <c r="I5" s="5139"/>
      <c r="J5" s="5139" t="s">
        <v>577</v>
      </c>
      <c r="K5" s="5139"/>
      <c r="L5" s="5140" t="s">
        <v>5147</v>
      </c>
      <c r="M5" s="5140"/>
      <c r="N5" s="5140" t="s">
        <v>5148</v>
      </c>
      <c r="O5" s="5140"/>
      <c r="P5" s="5139" t="s">
        <v>594</v>
      </c>
      <c r="Q5" s="5139"/>
      <c r="R5" s="5139"/>
      <c r="S5" s="5139"/>
      <c r="T5" s="3040" t="s">
        <v>535</v>
      </c>
      <c r="U5" s="3040" t="s">
        <v>5404</v>
      </c>
    </row>
    <row r="6" spans="1:22" ht="18" customHeight="1" x14ac:dyDescent="0.25">
      <c r="A6" s="3041" t="s">
        <v>595</v>
      </c>
      <c r="B6" s="3042" t="s">
        <v>532</v>
      </c>
      <c r="C6" s="3043" t="s">
        <v>537</v>
      </c>
      <c r="D6" s="3044" t="s">
        <v>538</v>
      </c>
      <c r="E6" s="3045" t="s">
        <v>539</v>
      </c>
      <c r="F6" s="3046" t="s">
        <v>465</v>
      </c>
      <c r="G6" s="3045" t="s">
        <v>539</v>
      </c>
      <c r="H6" s="3045" t="s">
        <v>596</v>
      </c>
      <c r="I6" s="3045" t="s">
        <v>597</v>
      </c>
      <c r="J6" s="3046" t="s">
        <v>598</v>
      </c>
      <c r="K6" s="3045" t="s">
        <v>599</v>
      </c>
      <c r="L6" s="3046" t="s">
        <v>540</v>
      </c>
      <c r="M6" s="3045" t="s">
        <v>541</v>
      </c>
      <c r="N6" s="3046" t="s">
        <v>600</v>
      </c>
      <c r="O6" s="3047" t="s">
        <v>601</v>
      </c>
      <c r="P6" s="3048" t="s">
        <v>602</v>
      </c>
      <c r="Q6" s="3046" t="s">
        <v>603</v>
      </c>
      <c r="R6" s="3046" t="s">
        <v>5147</v>
      </c>
      <c r="S6" s="3049" t="s">
        <v>5148</v>
      </c>
      <c r="T6" s="3050" t="s">
        <v>542</v>
      </c>
      <c r="U6" s="3050" t="s">
        <v>542</v>
      </c>
    </row>
    <row r="7" spans="1:22" ht="18" customHeight="1" x14ac:dyDescent="0.2">
      <c r="A7" s="3051" t="s">
        <v>223</v>
      </c>
      <c r="B7" s="3052">
        <v>1</v>
      </c>
      <c r="C7" s="3053" t="s">
        <v>543</v>
      </c>
      <c r="D7" s="4237">
        <v>42.12</v>
      </c>
      <c r="E7" s="2522" t="s">
        <v>533</v>
      </c>
      <c r="F7" s="4150">
        <f>+'Arealanvendelse 2018'!D29</f>
        <v>0</v>
      </c>
      <c r="G7" s="2658" t="s">
        <v>544</v>
      </c>
      <c r="H7" s="3055">
        <v>0</v>
      </c>
      <c r="I7" s="2531">
        <f>Reduktionsstiberegner!$F7*Reduktionsstiberegner!$H7</f>
        <v>0</v>
      </c>
      <c r="J7" s="3056">
        <v>0</v>
      </c>
      <c r="K7" s="2531">
        <f t="shared" ref="K7:K12" si="0">J7*F7</f>
        <v>0</v>
      </c>
      <c r="L7" s="3057">
        <v>0</v>
      </c>
      <c r="M7" s="2531">
        <f>Reduktionsstiberegner!$L7*Reduktionsstiberegner!$F7</f>
        <v>0</v>
      </c>
      <c r="N7" s="3058">
        <v>0</v>
      </c>
      <c r="O7" s="2648">
        <f>Reduktionsstiberegner!$N7*F7</f>
        <v>0</v>
      </c>
      <c r="P7" s="2646">
        <f t="shared" ref="P7:P18" si="1">I7*D7</f>
        <v>0</v>
      </c>
      <c r="Q7" s="2531">
        <f>Reduktionsstiberegner!$K7*Reduktionsstiberegner!$D7</f>
        <v>0</v>
      </c>
      <c r="R7" s="2531">
        <f>Reduktionsstiberegner!$D7*Reduktionsstiberegner!$M7</f>
        <v>0</v>
      </c>
      <c r="S7" s="2648">
        <f>Reduktionsstiberegner!$D7*Reduktionsstiberegner!$O7</f>
        <v>0</v>
      </c>
      <c r="T7" s="3059" t="s">
        <v>5400</v>
      </c>
      <c r="U7" s="3059" t="s">
        <v>5405</v>
      </c>
    </row>
    <row r="8" spans="1:22" ht="18" customHeight="1" x14ac:dyDescent="0.2">
      <c r="A8" s="3051" t="s">
        <v>223</v>
      </c>
      <c r="B8" s="3052">
        <f t="shared" ref="B8:B14" si="2">B7+1</f>
        <v>2</v>
      </c>
      <c r="C8" s="3053" t="s">
        <v>545</v>
      </c>
      <c r="D8" s="4237">
        <v>18.920000000000002</v>
      </c>
      <c r="E8" s="2522" t="s">
        <v>533</v>
      </c>
      <c r="F8" s="4150">
        <f>'Arealanvendelse 2018'!D28</f>
        <v>0</v>
      </c>
      <c r="G8" s="2658" t="s">
        <v>544</v>
      </c>
      <c r="H8" s="3055">
        <v>0</v>
      </c>
      <c r="I8" s="2531">
        <f>Reduktionsstiberegner!$F8*Reduktionsstiberegner!$H8</f>
        <v>0</v>
      </c>
      <c r="J8" s="3056">
        <v>0</v>
      </c>
      <c r="K8" s="2531">
        <f t="shared" si="0"/>
        <v>0</v>
      </c>
      <c r="L8" s="3057">
        <v>0</v>
      </c>
      <c r="M8" s="2531">
        <f>Reduktionsstiberegner!$L8*Reduktionsstiberegner!$F8</f>
        <v>0</v>
      </c>
      <c r="N8" s="3058">
        <v>0</v>
      </c>
      <c r="O8" s="2648">
        <f>Reduktionsstiberegner!$N8*F8</f>
        <v>0</v>
      </c>
      <c r="P8" s="2646">
        <f t="shared" si="1"/>
        <v>0</v>
      </c>
      <c r="Q8" s="2531">
        <f>Reduktionsstiberegner!$K8*Reduktionsstiberegner!$D8</f>
        <v>0</v>
      </c>
      <c r="R8" s="2531">
        <f>Reduktionsstiberegner!$D8*Reduktionsstiberegner!$M8</f>
        <v>0</v>
      </c>
      <c r="S8" s="2648">
        <f>Reduktionsstiberegner!$D8*Reduktionsstiberegner!$O8</f>
        <v>0</v>
      </c>
      <c r="T8" s="3059" t="s">
        <v>5400</v>
      </c>
      <c r="U8" s="3059" t="s">
        <v>5405</v>
      </c>
    </row>
    <row r="9" spans="1:22" ht="18" customHeight="1" x14ac:dyDescent="0.2">
      <c r="A9" s="3051" t="s">
        <v>223</v>
      </c>
      <c r="B9" s="3052">
        <f t="shared" si="2"/>
        <v>3</v>
      </c>
      <c r="C9" s="3053" t="s">
        <v>546</v>
      </c>
      <c r="D9" s="4237">
        <v>28.24</v>
      </c>
      <c r="E9" s="2522" t="s">
        <v>533</v>
      </c>
      <c r="F9" s="4150">
        <f>'Arealanvendelse 2018'!E29</f>
        <v>0</v>
      </c>
      <c r="G9" s="2658" t="s">
        <v>544</v>
      </c>
      <c r="H9" s="3055">
        <v>0</v>
      </c>
      <c r="I9" s="2531">
        <f>Reduktionsstiberegner!$F9*Reduktionsstiberegner!$H9</f>
        <v>0</v>
      </c>
      <c r="J9" s="3056">
        <v>0</v>
      </c>
      <c r="K9" s="2531">
        <f t="shared" si="0"/>
        <v>0</v>
      </c>
      <c r="L9" s="3057">
        <v>0</v>
      </c>
      <c r="M9" s="2531">
        <f>Reduktionsstiberegner!$L9*Reduktionsstiberegner!$F9</f>
        <v>0</v>
      </c>
      <c r="N9" s="3058">
        <v>0</v>
      </c>
      <c r="O9" s="2648">
        <f>Reduktionsstiberegner!$N9*F9</f>
        <v>0</v>
      </c>
      <c r="P9" s="2646">
        <f t="shared" si="1"/>
        <v>0</v>
      </c>
      <c r="Q9" s="2531">
        <f>Reduktionsstiberegner!$K9*Reduktionsstiberegner!$D9</f>
        <v>0</v>
      </c>
      <c r="R9" s="2531">
        <f>Reduktionsstiberegner!$D9*Reduktionsstiberegner!$M9</f>
        <v>0</v>
      </c>
      <c r="S9" s="2648">
        <f>Reduktionsstiberegner!$D9*Reduktionsstiberegner!$O9</f>
        <v>0</v>
      </c>
      <c r="T9" s="3059" t="s">
        <v>5400</v>
      </c>
      <c r="U9" s="3059" t="s">
        <v>5405</v>
      </c>
    </row>
    <row r="10" spans="1:22" ht="18" customHeight="1" x14ac:dyDescent="0.2">
      <c r="A10" s="3051" t="s">
        <v>223</v>
      </c>
      <c r="B10" s="3052">
        <f t="shared" si="2"/>
        <v>4</v>
      </c>
      <c r="C10" s="3053" t="s">
        <v>547</v>
      </c>
      <c r="D10" s="4237">
        <v>10.64</v>
      </c>
      <c r="E10" s="2522" t="s">
        <v>533</v>
      </c>
      <c r="F10" s="4150">
        <f>'Arealanvendelse 2018'!E28</f>
        <v>6.25E-2</v>
      </c>
      <c r="G10" s="2658" t="s">
        <v>544</v>
      </c>
      <c r="H10" s="3055">
        <v>0</v>
      </c>
      <c r="I10" s="2531">
        <f>Reduktionsstiberegner!$F10*Reduktionsstiberegner!$H10</f>
        <v>0</v>
      </c>
      <c r="J10" s="3056">
        <v>0</v>
      </c>
      <c r="K10" s="2531">
        <f t="shared" si="0"/>
        <v>0</v>
      </c>
      <c r="L10" s="3057">
        <v>0</v>
      </c>
      <c r="M10" s="2531">
        <f>Reduktionsstiberegner!$L10*Reduktionsstiberegner!$F10</f>
        <v>0</v>
      </c>
      <c r="N10" s="3058">
        <v>0</v>
      </c>
      <c r="O10" s="2648">
        <f>Reduktionsstiberegner!$N10*F10</f>
        <v>0</v>
      </c>
      <c r="P10" s="2646">
        <f t="shared" si="1"/>
        <v>0</v>
      </c>
      <c r="Q10" s="2531">
        <f>Reduktionsstiberegner!$K10*Reduktionsstiberegner!$D10</f>
        <v>0</v>
      </c>
      <c r="R10" s="2531">
        <f>Reduktionsstiberegner!$D10*Reduktionsstiberegner!$M10</f>
        <v>0</v>
      </c>
      <c r="S10" s="2648">
        <f>Reduktionsstiberegner!$D10*Reduktionsstiberegner!$O10</f>
        <v>0</v>
      </c>
      <c r="T10" s="3059" t="s">
        <v>5400</v>
      </c>
      <c r="U10" s="3059" t="s">
        <v>5405</v>
      </c>
    </row>
    <row r="11" spans="1:22" ht="18" customHeight="1" x14ac:dyDescent="0.2">
      <c r="A11" s="3051" t="s">
        <v>223</v>
      </c>
      <c r="B11" s="3052">
        <f t="shared" si="2"/>
        <v>5</v>
      </c>
      <c r="C11" s="3053" t="s">
        <v>548</v>
      </c>
      <c r="D11" s="4237">
        <v>12.65</v>
      </c>
      <c r="E11" s="2522" t="s">
        <v>533</v>
      </c>
      <c r="F11" s="4150">
        <f>'Arealanvendelse 2018'!D29+'Arealanvendelse 2018'!D28-M7-M8</f>
        <v>0</v>
      </c>
      <c r="G11" s="2658" t="s">
        <v>544</v>
      </c>
      <c r="H11" s="3055">
        <v>0</v>
      </c>
      <c r="I11" s="2531">
        <f>Reduktionsstiberegner!$F11*Reduktionsstiberegner!$H11</f>
        <v>0</v>
      </c>
      <c r="J11" s="3056">
        <v>0</v>
      </c>
      <c r="K11" s="2531">
        <f t="shared" si="0"/>
        <v>0</v>
      </c>
      <c r="L11" s="3057">
        <v>0</v>
      </c>
      <c r="M11" s="2531">
        <f>Reduktionsstiberegner!$L11*Reduktionsstiberegner!$F11</f>
        <v>0</v>
      </c>
      <c r="N11" s="3058">
        <v>0</v>
      </c>
      <c r="O11" s="2648">
        <f>Reduktionsstiberegner!$N11*F11</f>
        <v>0</v>
      </c>
      <c r="P11" s="2646">
        <f t="shared" si="1"/>
        <v>0</v>
      </c>
      <c r="Q11" s="2531">
        <f>Reduktionsstiberegner!$K11*Reduktionsstiberegner!$D11</f>
        <v>0</v>
      </c>
      <c r="R11" s="2531">
        <f>Reduktionsstiberegner!$D11*Reduktionsstiberegner!$M11</f>
        <v>0</v>
      </c>
      <c r="S11" s="2648">
        <f>Reduktionsstiberegner!$D11*Reduktionsstiberegner!$O11</f>
        <v>0</v>
      </c>
      <c r="T11" s="3059" t="s">
        <v>5400</v>
      </c>
      <c r="U11" s="3059" t="s">
        <v>5405</v>
      </c>
      <c r="V11" s="376"/>
    </row>
    <row r="12" spans="1:22" ht="18" customHeight="1" x14ac:dyDescent="0.2">
      <c r="A12" s="3051" t="s">
        <v>223</v>
      </c>
      <c r="B12" s="3052">
        <f t="shared" si="2"/>
        <v>6</v>
      </c>
      <c r="C12" s="3053" t="s">
        <v>549</v>
      </c>
      <c r="D12" s="4237">
        <v>25</v>
      </c>
      <c r="E12" s="2522" t="s">
        <v>533</v>
      </c>
      <c r="F12" s="4151">
        <f>SUM('Planteavl 2018'!C10:Q10,'Planteavl 2018'!S7)-M10-M11</f>
        <v>1643.01</v>
      </c>
      <c r="G12" s="2337" t="s">
        <v>392</v>
      </c>
      <c r="H12" s="3055">
        <v>0</v>
      </c>
      <c r="I12" s="2531">
        <f>Reduktionsstiberegner!$F12*Reduktionsstiberegner!$H12</f>
        <v>0</v>
      </c>
      <c r="J12" s="3056">
        <v>0</v>
      </c>
      <c r="K12" s="2531">
        <f t="shared" si="0"/>
        <v>0</v>
      </c>
      <c r="L12" s="3057">
        <v>0</v>
      </c>
      <c r="M12" s="2531">
        <f>Reduktionsstiberegner!$L12*Reduktionsstiberegner!$F12</f>
        <v>0</v>
      </c>
      <c r="N12" s="3058">
        <v>0</v>
      </c>
      <c r="O12" s="2648">
        <f>Reduktionsstiberegner!$N12*F12</f>
        <v>0</v>
      </c>
      <c r="P12" s="2646">
        <f t="shared" si="1"/>
        <v>0</v>
      </c>
      <c r="Q12" s="2531">
        <f>Reduktionsstiberegner!$K12*Reduktionsstiberegner!$D12</f>
        <v>0</v>
      </c>
      <c r="R12" s="2531">
        <f>Reduktionsstiberegner!$D12*Reduktionsstiberegner!$M12</f>
        <v>0</v>
      </c>
      <c r="S12" s="2648">
        <f>Reduktionsstiberegner!$D12*Reduktionsstiberegner!$O12</f>
        <v>0</v>
      </c>
      <c r="T12" s="3061" t="s">
        <v>5401</v>
      </c>
      <c r="U12" s="3061"/>
    </row>
    <row r="13" spans="1:22" ht="18" customHeight="1" x14ac:dyDescent="0.2">
      <c r="A13" s="3051" t="s">
        <v>223</v>
      </c>
      <c r="B13" s="3052">
        <f t="shared" si="2"/>
        <v>7</v>
      </c>
      <c r="C13" s="3062" t="s">
        <v>5389</v>
      </c>
      <c r="D13" s="4237">
        <v>2.2000000000000002</v>
      </c>
      <c r="E13" s="2522" t="s">
        <v>533</v>
      </c>
      <c r="F13" s="4150">
        <f>SUM('Planteavl 2018'!C10:P10,'Planteavl 2018'!S10)</f>
        <v>919.9799999999999</v>
      </c>
      <c r="G13" s="2658" t="s">
        <v>392</v>
      </c>
      <c r="H13" s="3055">
        <v>0</v>
      </c>
      <c r="I13" s="2531">
        <f>Reduktionsstiberegner!$F$13*Reduktionsstiberegner!H13</f>
        <v>0</v>
      </c>
      <c r="J13" s="3056">
        <v>0</v>
      </c>
      <c r="K13" s="2531">
        <f>Reduktionsstiberegner!$F$13*Reduktionsstiberegner!J13</f>
        <v>0</v>
      </c>
      <c r="L13" s="3057">
        <v>0.04</v>
      </c>
      <c r="M13" s="2531">
        <f>Reduktionsstiberegner!$F$13*Reduktionsstiberegner!L13</f>
        <v>36.799199999999999</v>
      </c>
      <c r="N13" s="3058">
        <v>0.04</v>
      </c>
      <c r="O13" s="2648">
        <f>Reduktionsstiberegner!$N13*F13</f>
        <v>36.799199999999999</v>
      </c>
      <c r="P13" s="2646">
        <f t="shared" si="1"/>
        <v>0</v>
      </c>
      <c r="Q13" s="2531">
        <f>Reduktionsstiberegner!$K13*Reduktionsstiberegner!$D13</f>
        <v>0</v>
      </c>
      <c r="R13" s="2531">
        <f>Reduktionsstiberegner!$D13*Reduktionsstiberegner!$M13</f>
        <v>80.958240000000004</v>
      </c>
      <c r="S13" s="2648">
        <f>Reduktionsstiberegner!$D13*Reduktionsstiberegner!$O13</f>
        <v>80.958240000000004</v>
      </c>
      <c r="T13" s="4249" t="s">
        <v>5402</v>
      </c>
      <c r="U13" s="4249"/>
    </row>
    <row r="14" spans="1:22" ht="18" customHeight="1" x14ac:dyDescent="0.2">
      <c r="A14" s="3051" t="s">
        <v>223</v>
      </c>
      <c r="B14" s="3052">
        <f t="shared" si="2"/>
        <v>8</v>
      </c>
      <c r="C14" s="3063" t="s">
        <v>4298</v>
      </c>
      <c r="D14" s="4237">
        <v>2.2000000000000002</v>
      </c>
      <c r="E14" s="2522" t="s">
        <v>533</v>
      </c>
      <c r="F14" s="4150">
        <f>SUM('Planteavl 2018'!C10:P10,'Planteavl 2018'!S10)-M13</f>
        <v>883.18079999999986</v>
      </c>
      <c r="G14" s="2658" t="s">
        <v>392</v>
      </c>
      <c r="H14" s="3055">
        <v>0</v>
      </c>
      <c r="I14" s="2531">
        <f>Reduktionsstiberegner!$F$14*Reduktionsstiberegner!H14</f>
        <v>0</v>
      </c>
      <c r="J14" s="3056">
        <v>0</v>
      </c>
      <c r="K14" s="2531">
        <f>Reduktionsstiberegner!$F$14*Reduktionsstiberegner!J14</f>
        <v>0</v>
      </c>
      <c r="L14" s="4313">
        <v>3.5000000000000003E-2</v>
      </c>
      <c r="M14" s="2531">
        <f>Reduktionsstiberegner!F14*Reduktionsstiberegner!L14</f>
        <v>30.911327999999997</v>
      </c>
      <c r="N14" s="3058">
        <v>3.5000000000000003E-2</v>
      </c>
      <c r="O14" s="2648">
        <f>Reduktionsstiberegner!$N14*F14</f>
        <v>30.911327999999997</v>
      </c>
      <c r="P14" s="2646">
        <f t="shared" si="1"/>
        <v>0</v>
      </c>
      <c r="Q14" s="2531">
        <f>Reduktionsstiberegner!$K14*Reduktionsstiberegner!$D14</f>
        <v>0</v>
      </c>
      <c r="R14" s="2531">
        <f>Reduktionsstiberegner!$D14*Reduktionsstiberegner!$M14</f>
        <v>68.004921600000003</v>
      </c>
      <c r="S14" s="2648">
        <f>Reduktionsstiberegner!$D14*Reduktionsstiberegner!$O14</f>
        <v>68.004921600000003</v>
      </c>
      <c r="T14" s="3060" t="s">
        <v>5440</v>
      </c>
      <c r="U14" s="3060"/>
    </row>
    <row r="15" spans="1:22" ht="18" customHeight="1" x14ac:dyDescent="0.2">
      <c r="A15" s="3051" t="s">
        <v>223</v>
      </c>
      <c r="B15" s="3052">
        <f>B14+1</f>
        <v>9</v>
      </c>
      <c r="C15" s="3053" t="s">
        <v>4299</v>
      </c>
      <c r="D15" s="4237">
        <v>7.67</v>
      </c>
      <c r="E15" s="2522" t="s">
        <v>533</v>
      </c>
      <c r="F15" s="4151">
        <f>SUM('Planteavl 2018'!C10:Q10,'Planteavl 2018'!S10)-M13-M14</f>
        <v>1577.2094720000002</v>
      </c>
      <c r="G15" s="2658" t="s">
        <v>392</v>
      </c>
      <c r="H15" s="3055">
        <v>0</v>
      </c>
      <c r="I15" s="2531">
        <f>Reduktionsstiberegner!$F15*Reduktionsstiberegner!$H15</f>
        <v>0</v>
      </c>
      <c r="J15" s="3056">
        <v>0</v>
      </c>
      <c r="K15" s="2531">
        <f>Reduktionsstiberegner!$F$15*Reduktionsstiberegner!J15</f>
        <v>0</v>
      </c>
      <c r="L15" s="3057">
        <v>0</v>
      </c>
      <c r="M15" s="2531">
        <f>Reduktionsstiberegner!F15*Reduktionsstiberegner!L15</f>
        <v>0</v>
      </c>
      <c r="N15" s="3058">
        <v>0</v>
      </c>
      <c r="O15" s="2648">
        <f>Reduktionsstiberegner!$N15*F15</f>
        <v>0</v>
      </c>
      <c r="P15" s="2646">
        <f t="shared" si="1"/>
        <v>0</v>
      </c>
      <c r="Q15" s="2531">
        <f>Reduktionsstiberegner!$K15*Reduktionsstiberegner!$D15</f>
        <v>0</v>
      </c>
      <c r="R15" s="2531">
        <f>Reduktionsstiberegner!$D15*Reduktionsstiberegner!$M15</f>
        <v>0</v>
      </c>
      <c r="S15" s="2648">
        <f>Reduktionsstiberegner!$D15*Reduktionsstiberegner!$O15</f>
        <v>0</v>
      </c>
      <c r="U15" s="373" t="s">
        <v>5403</v>
      </c>
    </row>
    <row r="16" spans="1:22" ht="18" customHeight="1" x14ac:dyDescent="0.3">
      <c r="A16" s="3065" t="s">
        <v>223</v>
      </c>
      <c r="B16" s="3066" t="str">
        <f>B15&amp;"a"</f>
        <v>9a</v>
      </c>
      <c r="C16" s="3067" t="s">
        <v>5390</v>
      </c>
      <c r="D16" s="4242">
        <v>8.9</v>
      </c>
      <c r="E16" s="2522" t="s">
        <v>4301</v>
      </c>
      <c r="F16" s="4150">
        <v>6000</v>
      </c>
      <c r="G16" s="2658" t="s">
        <v>392</v>
      </c>
      <c r="H16" s="3055">
        <v>0</v>
      </c>
      <c r="I16" s="2531">
        <f>Reduktionsstiberegner!$F16*Reduktionsstiberegner!$H16</f>
        <v>0</v>
      </c>
      <c r="J16" s="3056">
        <v>0</v>
      </c>
      <c r="K16" s="2531">
        <f>Reduktionsstiberegner!$F$15*Reduktionsstiberegner!J16</f>
        <v>0</v>
      </c>
      <c r="L16" s="3057">
        <v>0.03</v>
      </c>
      <c r="M16" s="2531">
        <f>Reduktionsstiberegner!F16*Reduktionsstiberegner!L16</f>
        <v>180</v>
      </c>
      <c r="N16" s="3058">
        <v>0.3</v>
      </c>
      <c r="O16" s="2648">
        <f>Reduktionsstiberegner!$N16*F16</f>
        <v>1800</v>
      </c>
      <c r="P16" s="2646">
        <f t="shared" si="1"/>
        <v>0</v>
      </c>
      <c r="Q16" s="2531">
        <f>Reduktionsstiberegner!$K16*Reduktionsstiberegner!$D16</f>
        <v>0</v>
      </c>
      <c r="R16" s="2531">
        <f>Reduktionsstiberegner!$D16*Reduktionsstiberegner!$M16</f>
        <v>1602</v>
      </c>
      <c r="S16" s="2648">
        <f>Reduktionsstiberegner!$D16*Reduktionsstiberegner!$O16</f>
        <v>16020</v>
      </c>
      <c r="T16" s="373" t="s">
        <v>5407</v>
      </c>
      <c r="U16" s="3060" t="s">
        <v>5406</v>
      </c>
    </row>
    <row r="17" spans="1:21" ht="18" customHeight="1" x14ac:dyDescent="0.2">
      <c r="A17" s="3065" t="s">
        <v>223</v>
      </c>
      <c r="B17" s="3066" t="str">
        <f>B15&amp;"b"</f>
        <v>9b</v>
      </c>
      <c r="C17" s="3068" t="s">
        <v>4300</v>
      </c>
      <c r="D17" s="3054"/>
      <c r="E17" s="2522" t="s">
        <v>4301</v>
      </c>
      <c r="F17" s="4151"/>
      <c r="G17" s="2658"/>
      <c r="H17" s="3055">
        <v>0</v>
      </c>
      <c r="I17" s="2531">
        <f>Reduktionsstiberegner!$F17*Reduktionsstiberegner!$H17</f>
        <v>0</v>
      </c>
      <c r="J17" s="3056">
        <v>0</v>
      </c>
      <c r="K17" s="2531">
        <f>Reduktionsstiberegner!$F$15*Reduktionsstiberegner!J17</f>
        <v>0</v>
      </c>
      <c r="L17" s="3057">
        <v>0</v>
      </c>
      <c r="M17" s="2531">
        <f>Reduktionsstiberegner!F17*Reduktionsstiberegner!L17</f>
        <v>0</v>
      </c>
      <c r="N17" s="3058">
        <v>0</v>
      </c>
      <c r="O17" s="2648">
        <f>Reduktionsstiberegner!$N17*F17</f>
        <v>0</v>
      </c>
      <c r="P17" s="2646">
        <f t="shared" si="1"/>
        <v>0</v>
      </c>
      <c r="Q17" s="2531">
        <f>Reduktionsstiberegner!$K17*Reduktionsstiberegner!$D17</f>
        <v>0</v>
      </c>
      <c r="R17" s="2531">
        <f>Reduktionsstiberegner!$D17*Reduktionsstiberegner!$M17</f>
        <v>0</v>
      </c>
      <c r="S17" s="2648">
        <f>Reduktionsstiberegner!$D17*Reduktionsstiberegner!$O17</f>
        <v>0</v>
      </c>
      <c r="T17" s="3060"/>
      <c r="U17" s="3060"/>
    </row>
    <row r="18" spans="1:21" ht="18" customHeight="1" thickBot="1" x14ac:dyDescent="0.25">
      <c r="A18" s="3069" t="s">
        <v>223</v>
      </c>
      <c r="B18" s="3066" t="str">
        <f>B15&amp;"c"</f>
        <v>9c</v>
      </c>
      <c r="C18" s="3070" t="s">
        <v>4300</v>
      </c>
      <c r="D18" s="3054"/>
      <c r="E18" s="3071" t="s">
        <v>4301</v>
      </c>
      <c r="F18" s="4150"/>
      <c r="G18" s="2658"/>
      <c r="H18" s="3055">
        <v>0</v>
      </c>
      <c r="I18" s="2531">
        <f>Reduktionsstiberegner!$F18*Reduktionsstiberegner!$H18</f>
        <v>0</v>
      </c>
      <c r="J18" s="3056">
        <v>0</v>
      </c>
      <c r="K18" s="2531">
        <f>Reduktionsstiberegner!$F$15*Reduktionsstiberegner!J18</f>
        <v>0</v>
      </c>
      <c r="L18" s="3057">
        <v>0</v>
      </c>
      <c r="M18" s="2531">
        <f>Reduktionsstiberegner!F18*Reduktionsstiberegner!L18</f>
        <v>0</v>
      </c>
      <c r="N18" s="3058">
        <v>0</v>
      </c>
      <c r="O18" s="2648">
        <f>Reduktionsstiberegner!$N18*F18</f>
        <v>0</v>
      </c>
      <c r="P18" s="2646">
        <f t="shared" si="1"/>
        <v>0</v>
      </c>
      <c r="Q18" s="2531">
        <f>Reduktionsstiberegner!$K18*Reduktionsstiberegner!$D18</f>
        <v>0</v>
      </c>
      <c r="R18" s="2531">
        <f>Reduktionsstiberegner!$D18*Reduktionsstiberegner!$M18</f>
        <v>0</v>
      </c>
      <c r="S18" s="2648">
        <f>Reduktionsstiberegner!$D18*Reduktionsstiberegner!$O18</f>
        <v>0</v>
      </c>
      <c r="T18" s="3060"/>
      <c r="U18" s="3060"/>
    </row>
    <row r="19" spans="1:21" ht="18" customHeight="1" thickBot="1" x14ac:dyDescent="0.3">
      <c r="A19" s="3072"/>
      <c r="B19" s="3073"/>
      <c r="C19" s="3074" t="s">
        <v>604</v>
      </c>
      <c r="D19" s="3075"/>
      <c r="E19" s="3076"/>
      <c r="F19" s="3077"/>
      <c r="G19" s="3078"/>
      <c r="H19" s="3079"/>
      <c r="I19" s="3080"/>
      <c r="J19" s="3079"/>
      <c r="K19" s="3080"/>
      <c r="L19" s="3079"/>
      <c r="M19" s="3080"/>
      <c r="N19" s="3079"/>
      <c r="O19" s="3080"/>
      <c r="P19" s="3080">
        <f>SUBTOTAL(109,P7:P18)</f>
        <v>0</v>
      </c>
      <c r="Q19" s="3080">
        <f>SUBTOTAL(109,Q7:Q18)</f>
        <v>0</v>
      </c>
      <c r="R19" s="3080">
        <f>SUBTOTAL(109,R7:R18)</f>
        <v>1750.9631615999999</v>
      </c>
      <c r="S19" s="3080">
        <f>SUBTOTAL(109,S7:S18)</f>
        <v>16168.963161600001</v>
      </c>
      <c r="T19" s="3081"/>
      <c r="U19" s="3081"/>
    </row>
    <row r="20" spans="1:21" ht="18" customHeight="1" x14ac:dyDescent="0.2">
      <c r="A20" s="3082" t="s">
        <v>219</v>
      </c>
      <c r="B20" s="3083">
        <f>B15+1</f>
        <v>10</v>
      </c>
      <c r="C20" s="3084" t="s">
        <v>550</v>
      </c>
      <c r="D20" s="3085">
        <v>0.1</v>
      </c>
      <c r="E20" s="3086" t="s">
        <v>533</v>
      </c>
      <c r="F20" s="3087">
        <f>SUM('Planteavl 2018'!C10:Q10,'Planteavl 2018'!S10)-M13-M14-M15</f>
        <v>1577.2094720000002</v>
      </c>
      <c r="G20" s="3088" t="s">
        <v>392</v>
      </c>
      <c r="H20" s="3089">
        <v>0</v>
      </c>
      <c r="I20" s="3087">
        <f>Reduktionsstiberegner!$F$20*Reduktionsstiberegner!H20</f>
        <v>0</v>
      </c>
      <c r="J20" s="3090">
        <v>0</v>
      </c>
      <c r="K20" s="3087">
        <f>Reduktionsstiberegner!$F$20*Reduktionsstiberegner!J20</f>
        <v>0</v>
      </c>
      <c r="L20" s="3091">
        <v>0.43</v>
      </c>
      <c r="M20" s="3087">
        <f>Reduktionsstiberegner!$F$20*Reduktionsstiberegner!L20</f>
        <v>678.20007296000006</v>
      </c>
      <c r="N20" s="3092">
        <v>0.43</v>
      </c>
      <c r="O20" s="3093">
        <f>Reduktionsstiberegner!$F$12*Reduktionsstiberegner!N20</f>
        <v>706.49429999999995</v>
      </c>
      <c r="P20" s="3094">
        <f t="shared" ref="P20:P25" si="3">I20*D20</f>
        <v>0</v>
      </c>
      <c r="Q20" s="3087">
        <f>Reduktionsstiberegner!$K20*Reduktionsstiberegner!$D20</f>
        <v>0</v>
      </c>
      <c r="R20" s="3087">
        <f>Reduktionsstiberegner!$D20*Reduktionsstiberegner!$M20</f>
        <v>67.820007296000014</v>
      </c>
      <c r="S20" s="3095">
        <f>Reduktionsstiberegner!$D20*Reduktionsstiberegner!$O20</f>
        <v>70.649429999999995</v>
      </c>
      <c r="T20" s="3096" t="s">
        <v>5409</v>
      </c>
      <c r="U20" s="3096" t="s">
        <v>5408</v>
      </c>
    </row>
    <row r="21" spans="1:21" ht="18" customHeight="1" x14ac:dyDescent="0.2">
      <c r="A21" s="3051" t="s">
        <v>219</v>
      </c>
      <c r="B21" s="3052">
        <f>B20+1</f>
        <v>11</v>
      </c>
      <c r="C21" s="2344" t="s">
        <v>551</v>
      </c>
      <c r="D21" s="3097">
        <v>1.9</v>
      </c>
      <c r="E21" s="2498" t="s">
        <v>552</v>
      </c>
      <c r="F21" s="4150">
        <f>'K4 2018'!B9+'K4 2018'!B10</f>
        <v>473.67171000000008</v>
      </c>
      <c r="G21" s="2337" t="s">
        <v>553</v>
      </c>
      <c r="H21" s="3055">
        <v>0</v>
      </c>
      <c r="I21" s="2531">
        <f>Reduktionsstiberegner!$F21*Reduktionsstiberegner!$H21</f>
        <v>0</v>
      </c>
      <c r="J21" s="3056">
        <f>H21</f>
        <v>0</v>
      </c>
      <c r="K21" s="2531">
        <f>J21*F21</f>
        <v>0</v>
      </c>
      <c r="L21" s="3057">
        <v>0</v>
      </c>
      <c r="M21" s="2531">
        <f>Reduktionsstiberegner!$L21*Reduktionsstiberegner!$F21</f>
        <v>0</v>
      </c>
      <c r="N21" s="3058">
        <v>0</v>
      </c>
      <c r="O21" s="3098">
        <f>Reduktionsstiberegner!$N21*F21</f>
        <v>0</v>
      </c>
      <c r="P21" s="3099">
        <f t="shared" si="3"/>
        <v>0</v>
      </c>
      <c r="Q21" s="2531">
        <f>Reduktionsstiberegner!$K21*Reduktionsstiberegner!$D21</f>
        <v>0</v>
      </c>
      <c r="R21" s="2531">
        <f>Reduktionsstiberegner!$D21*Reduktionsstiberegner!$M21</f>
        <v>0</v>
      </c>
      <c r="S21" s="3100">
        <f>Reduktionsstiberegner!$D21*Reduktionsstiberegner!$O21</f>
        <v>0</v>
      </c>
      <c r="T21" s="2629"/>
      <c r="U21" s="2629"/>
    </row>
    <row r="22" spans="1:21" ht="18" customHeight="1" x14ac:dyDescent="0.2">
      <c r="A22" s="3051" t="s">
        <v>219</v>
      </c>
      <c r="B22" s="3052">
        <f>B21+1</f>
        <v>12</v>
      </c>
      <c r="C22" s="2545" t="s">
        <v>554</v>
      </c>
      <c r="D22" s="3101">
        <v>0.4</v>
      </c>
      <c r="E22" s="2522" t="s">
        <v>533</v>
      </c>
      <c r="F22" s="4151">
        <f>SUM('Planteavl 2018'!C10:I10,'Planteavl 2018'!S10)-M13-M14-M15</f>
        <v>820.93947199999991</v>
      </c>
      <c r="G22" s="2658" t="s">
        <v>392</v>
      </c>
      <c r="H22" s="3055">
        <v>0</v>
      </c>
      <c r="I22" s="2531">
        <f>Reduktionsstiberegner!$F22*Reduktionsstiberegner!$H22</f>
        <v>0</v>
      </c>
      <c r="J22" s="3056">
        <f>H22</f>
        <v>0</v>
      </c>
      <c r="K22" s="2531">
        <f>J22*F22</f>
        <v>0</v>
      </c>
      <c r="L22" s="3057">
        <v>0</v>
      </c>
      <c r="M22" s="2531">
        <f>Reduktionsstiberegner!$L22*Reduktionsstiberegner!$F22</f>
        <v>0</v>
      </c>
      <c r="N22" s="3058">
        <v>0</v>
      </c>
      <c r="O22" s="3098">
        <f>Reduktionsstiberegner!$N22*F22</f>
        <v>0</v>
      </c>
      <c r="P22" s="3099">
        <f t="shared" si="3"/>
        <v>0</v>
      </c>
      <c r="Q22" s="2531">
        <f>Reduktionsstiberegner!$K22*Reduktionsstiberegner!$D22</f>
        <v>0</v>
      </c>
      <c r="R22" s="2531">
        <f>Reduktionsstiberegner!$D22*Reduktionsstiberegner!$M22</f>
        <v>0</v>
      </c>
      <c r="S22" s="3100">
        <f>Reduktionsstiberegner!$D22*Reduktionsstiberegner!$O22</f>
        <v>0</v>
      </c>
      <c r="T22" s="3060"/>
      <c r="U22" s="3060"/>
    </row>
    <row r="23" spans="1:21" ht="18" customHeight="1" x14ac:dyDescent="0.2">
      <c r="A23" s="3064" t="s">
        <v>219</v>
      </c>
      <c r="B23" s="3102">
        <f>B22+1</f>
        <v>13</v>
      </c>
      <c r="C23" s="2615" t="s">
        <v>4302</v>
      </c>
      <c r="D23" s="3103">
        <v>1</v>
      </c>
      <c r="E23" s="2522" t="s">
        <v>533</v>
      </c>
      <c r="F23" s="4206">
        <f>+'K4 2018'!F32+'K4 2018'!F35+'K4 2018'!F36-Planteavl_EA_18!P4-Planteavl_EA_18!P7-Planteavl_EA_18!P8</f>
        <v>812.94</v>
      </c>
      <c r="G23" s="3104" t="s">
        <v>392</v>
      </c>
      <c r="H23" s="3055">
        <v>0</v>
      </c>
      <c r="I23" s="2531">
        <f>Reduktionsstiberegner!$F23*Reduktionsstiberegner!$H23</f>
        <v>0</v>
      </c>
      <c r="J23" s="3056">
        <f>H23</f>
        <v>0</v>
      </c>
      <c r="K23" s="2531">
        <f>J23*F23</f>
        <v>0</v>
      </c>
      <c r="L23" s="3057">
        <v>0.5</v>
      </c>
      <c r="M23" s="2531">
        <f>Reduktionsstiberegner!$L23*Reduktionsstiberegner!$F23</f>
        <v>406.47</v>
      </c>
      <c r="N23" s="3058">
        <v>0.5</v>
      </c>
      <c r="O23" s="3098">
        <f>Reduktionsstiberegner!$N23*F23</f>
        <v>406.47</v>
      </c>
      <c r="P23" s="3099">
        <f t="shared" si="3"/>
        <v>0</v>
      </c>
      <c r="Q23" s="2531">
        <f>Reduktionsstiberegner!$K23*Reduktionsstiberegner!$D23</f>
        <v>0</v>
      </c>
      <c r="R23" s="2531">
        <f>Reduktionsstiberegner!$D23*Reduktionsstiberegner!$M23</f>
        <v>406.47</v>
      </c>
      <c r="S23" s="3100">
        <f>Reduktionsstiberegner!$D23*Reduktionsstiberegner!$O23</f>
        <v>406.47</v>
      </c>
      <c r="T23" s="3060" t="s">
        <v>5410</v>
      </c>
      <c r="U23" s="3060"/>
    </row>
    <row r="24" spans="1:21" ht="18" customHeight="1" x14ac:dyDescent="0.2">
      <c r="A24" s="3105" t="s">
        <v>219</v>
      </c>
      <c r="B24" s="3106">
        <f>B23+1</f>
        <v>14</v>
      </c>
      <c r="C24" s="3107" t="s">
        <v>4303</v>
      </c>
      <c r="D24" s="3108">
        <v>1.61</v>
      </c>
      <c r="E24" s="2522" t="s">
        <v>533</v>
      </c>
      <c r="F24" s="3109">
        <f>SUMIF(planteavl_18!B2:B27,"K",planteavl_18!G2:G27)-planteavl_18!G30</f>
        <v>395.86000000000007</v>
      </c>
      <c r="G24" s="3110" t="s">
        <v>392</v>
      </c>
      <c r="H24" s="3111">
        <v>0</v>
      </c>
      <c r="I24" s="2640">
        <f>Reduktionsstiberegner!$F24*Reduktionsstiberegner!$H24</f>
        <v>0</v>
      </c>
      <c r="J24" s="3112">
        <f>H24</f>
        <v>0</v>
      </c>
      <c r="K24" s="2640">
        <f>J24*F24</f>
        <v>0</v>
      </c>
      <c r="L24" s="3057">
        <v>0.1</v>
      </c>
      <c r="M24" s="2640">
        <f>Reduktionsstiberegner!$L24*Reduktionsstiberegner!$F24</f>
        <v>39.586000000000013</v>
      </c>
      <c r="N24" s="3058">
        <v>0.1</v>
      </c>
      <c r="O24" s="3113">
        <f>Reduktionsstiberegner!$N24*F24</f>
        <v>39.586000000000013</v>
      </c>
      <c r="P24" s="3114">
        <f t="shared" si="3"/>
        <v>0</v>
      </c>
      <c r="Q24" s="2640">
        <f>Reduktionsstiberegner!$K24*Reduktionsstiberegner!$D24</f>
        <v>0</v>
      </c>
      <c r="R24" s="2640">
        <f>Reduktionsstiberegner!$D24*Reduktionsstiberegner!$M24</f>
        <v>63.733460000000022</v>
      </c>
      <c r="S24" s="3115">
        <f>Reduktionsstiberegner!$D24*Reduktionsstiberegner!$O24</f>
        <v>63.733460000000022</v>
      </c>
      <c r="T24" s="3116" t="s">
        <v>5412</v>
      </c>
      <c r="U24" s="3116" t="s">
        <v>5411</v>
      </c>
    </row>
    <row r="25" spans="1:21" ht="18" customHeight="1" x14ac:dyDescent="0.2">
      <c r="A25" s="3105" t="s">
        <v>219</v>
      </c>
      <c r="B25" s="3106">
        <f>B24+1</f>
        <v>15</v>
      </c>
      <c r="C25" s="3107" t="s">
        <v>4304</v>
      </c>
      <c r="D25" s="3117">
        <v>5.9</v>
      </c>
      <c r="E25" s="2522" t="s">
        <v>4305</v>
      </c>
      <c r="F25" s="3118">
        <f>'K4 2018'!B9</f>
        <v>306.89749000000006</v>
      </c>
      <c r="G25" s="3119" t="s">
        <v>553</v>
      </c>
      <c r="H25" s="3111">
        <v>0</v>
      </c>
      <c r="I25" s="2640">
        <f>Reduktionsstiberegner!$F25*Reduktionsstiberegner!$H25</f>
        <v>0</v>
      </c>
      <c r="J25" s="3112">
        <v>0</v>
      </c>
      <c r="K25" s="2640">
        <f>J25*F25</f>
        <v>0</v>
      </c>
      <c r="L25" s="3057">
        <v>0</v>
      </c>
      <c r="M25" s="2640">
        <f>Reduktionsstiberegner!$L25*Reduktionsstiberegner!$F25</f>
        <v>0</v>
      </c>
      <c r="N25" s="3058">
        <v>0</v>
      </c>
      <c r="O25" s="3113">
        <f>Reduktionsstiberegner!$N25*F25</f>
        <v>0</v>
      </c>
      <c r="P25" s="3114">
        <f t="shared" si="3"/>
        <v>0</v>
      </c>
      <c r="Q25" s="2640">
        <f>Reduktionsstiberegner!$K25*Reduktionsstiberegner!$D25</f>
        <v>0</v>
      </c>
      <c r="R25" s="2640">
        <f>Reduktionsstiberegner!$D25*Reduktionsstiberegner!$M25</f>
        <v>0</v>
      </c>
      <c r="S25" s="3115">
        <f>Reduktionsstiberegner!$D25*Reduktionsstiberegner!$O25</f>
        <v>0</v>
      </c>
      <c r="T25" s="3120"/>
      <c r="U25" s="3120"/>
    </row>
    <row r="26" spans="1:21" ht="18" customHeight="1" x14ac:dyDescent="0.2">
      <c r="A26" s="3105" t="s">
        <v>219</v>
      </c>
      <c r="B26" s="3066" t="str">
        <f>B25&amp;"a"</f>
        <v>15a</v>
      </c>
      <c r="C26" s="3121" t="s">
        <v>4306</v>
      </c>
      <c r="D26" s="3122"/>
      <c r="E26" s="2522" t="s">
        <v>4301</v>
      </c>
      <c r="F26" s="3118"/>
      <c r="G26" s="3119"/>
      <c r="H26" s="3111">
        <v>0</v>
      </c>
      <c r="I26" s="2640">
        <f>Reduktionsstiberegner!$F26*Reduktionsstiberegner!$H26</f>
        <v>0</v>
      </c>
      <c r="J26" s="3112">
        <v>0</v>
      </c>
      <c r="K26" s="2640"/>
      <c r="L26" s="3057">
        <v>0</v>
      </c>
      <c r="M26" s="2640"/>
      <c r="N26" s="3058">
        <v>0</v>
      </c>
      <c r="O26" s="3113"/>
      <c r="P26" s="3114"/>
      <c r="Q26" s="2640"/>
      <c r="R26" s="2640"/>
      <c r="S26" s="3115"/>
      <c r="T26" s="3120"/>
      <c r="U26" s="3120"/>
    </row>
    <row r="27" spans="1:21" ht="18" customHeight="1" x14ac:dyDescent="0.2">
      <c r="A27" s="3105" t="s">
        <v>219</v>
      </c>
      <c r="B27" s="3066" t="str">
        <f>B25&amp;"b"</f>
        <v>15b</v>
      </c>
      <c r="C27" s="3121" t="s">
        <v>4306</v>
      </c>
      <c r="D27" s="3122"/>
      <c r="E27" s="2522" t="s">
        <v>4301</v>
      </c>
      <c r="F27" s="3118"/>
      <c r="G27" s="3119"/>
      <c r="H27" s="3111">
        <v>0</v>
      </c>
      <c r="I27" s="2640">
        <f>Reduktionsstiberegner!$F27*Reduktionsstiberegner!$H27</f>
        <v>0</v>
      </c>
      <c r="J27" s="3112">
        <f>H27</f>
        <v>0</v>
      </c>
      <c r="K27" s="2640">
        <f>J27*F27</f>
        <v>0</v>
      </c>
      <c r="L27" s="3057">
        <v>0</v>
      </c>
      <c r="M27" s="2640">
        <f>Reduktionsstiberegner!$L27*Reduktionsstiberegner!$F27</f>
        <v>0</v>
      </c>
      <c r="N27" s="3058">
        <v>0</v>
      </c>
      <c r="O27" s="3113">
        <f>Reduktionsstiberegner!$N27*F27</f>
        <v>0</v>
      </c>
      <c r="P27" s="3114">
        <f>I27*D27</f>
        <v>0</v>
      </c>
      <c r="Q27" s="2640">
        <f>Reduktionsstiberegner!$K27*Reduktionsstiberegner!$D27</f>
        <v>0</v>
      </c>
      <c r="R27" s="2640">
        <f>Reduktionsstiberegner!$D27*Reduktionsstiberegner!$M27</f>
        <v>0</v>
      </c>
      <c r="S27" s="3115">
        <f>Reduktionsstiberegner!$D27*Reduktionsstiberegner!$O27</f>
        <v>0</v>
      </c>
      <c r="T27" s="3120"/>
      <c r="U27" s="3120"/>
    </row>
    <row r="28" spans="1:21" ht="18" customHeight="1" thickBot="1" x14ac:dyDescent="0.25">
      <c r="A28" s="3123" t="s">
        <v>219</v>
      </c>
      <c r="B28" s="3295" t="str">
        <f>B25&amp;"c"</f>
        <v>15c</v>
      </c>
      <c r="C28" s="3124" t="s">
        <v>4306</v>
      </c>
      <c r="D28" s="3125"/>
      <c r="E28" s="3071" t="s">
        <v>4301</v>
      </c>
      <c r="F28" s="3126"/>
      <c r="G28" s="3127"/>
      <c r="H28" s="3128">
        <v>0</v>
      </c>
      <c r="I28" s="3129">
        <f>Reduktionsstiberegner!$F28*Reduktionsstiberegner!$H28</f>
        <v>0</v>
      </c>
      <c r="J28" s="3130">
        <f>H28</f>
        <v>0</v>
      </c>
      <c r="K28" s="3129">
        <f>J28*F28</f>
        <v>0</v>
      </c>
      <c r="L28" s="3131">
        <v>0</v>
      </c>
      <c r="M28" s="3129">
        <f>Reduktionsstiberegner!$L28*Reduktionsstiberegner!$F28</f>
        <v>0</v>
      </c>
      <c r="N28" s="3132">
        <v>0</v>
      </c>
      <c r="O28" s="3133">
        <f>Reduktionsstiberegner!$N28*F28</f>
        <v>0</v>
      </c>
      <c r="P28" s="3134">
        <f>I28*D28</f>
        <v>0</v>
      </c>
      <c r="Q28" s="3129">
        <f>Reduktionsstiberegner!$K28*Reduktionsstiberegner!$D28</f>
        <v>0</v>
      </c>
      <c r="R28" s="3129">
        <f>Reduktionsstiberegner!$D28*Reduktionsstiberegner!$M28</f>
        <v>0</v>
      </c>
      <c r="S28" s="3135">
        <f>Reduktionsstiberegner!$D28*Reduktionsstiberegner!$O28</f>
        <v>0</v>
      </c>
      <c r="T28" s="3136"/>
      <c r="U28" s="3136"/>
    </row>
    <row r="29" spans="1:21" ht="18" customHeight="1" thickBot="1" x14ac:dyDescent="0.3">
      <c r="A29" s="3137"/>
      <c r="B29" s="3138"/>
      <c r="C29" s="3139" t="s">
        <v>605</v>
      </c>
      <c r="D29" s="3140"/>
      <c r="E29" s="3141"/>
      <c r="F29" s="3142"/>
      <c r="G29" s="3143"/>
      <c r="H29" s="3144"/>
      <c r="I29" s="3145"/>
      <c r="J29" s="3144"/>
      <c r="K29" s="3145"/>
      <c r="L29" s="3144"/>
      <c r="M29" s="3145"/>
      <c r="N29" s="3144"/>
      <c r="O29" s="3145"/>
      <c r="P29" s="3145">
        <f>SUBTOTAL(109,P20:P28)</f>
        <v>0</v>
      </c>
      <c r="Q29" s="3145">
        <f>SUBTOTAL(109,Q20:Q28)</f>
        <v>0</v>
      </c>
      <c r="R29" s="3145">
        <f>SUBTOTAL(109,R20:R28)</f>
        <v>538.02346729600004</v>
      </c>
      <c r="S29" s="3145">
        <f>SUBTOTAL(109,S20:S28)</f>
        <v>540.85289</v>
      </c>
      <c r="T29" s="3146"/>
      <c r="U29" s="3146"/>
    </row>
    <row r="30" spans="1:21" ht="18" customHeight="1" x14ac:dyDescent="0.2">
      <c r="A30" s="3147" t="s">
        <v>4307</v>
      </c>
      <c r="B30" s="3052">
        <f>B25+1</f>
        <v>16</v>
      </c>
      <c r="C30" s="2344" t="s">
        <v>555</v>
      </c>
      <c r="D30" s="3101">
        <v>3.6999999999999998E-2</v>
      </c>
      <c r="E30" s="2498" t="s">
        <v>534</v>
      </c>
      <c r="F30" s="4150">
        <f>('K2a 2018'!C8/('Dyrehold 2018'!C8+'Dyrehold 2018'!J8+'Dyrehold 2018'!Q8))*(F$34*(1-L34)+F$35*(1-L35))-'Dyrehold 2018'!S16</f>
        <v>6967.5361462067322</v>
      </c>
      <c r="G30" s="2337" t="s">
        <v>4781</v>
      </c>
      <c r="H30" s="3055">
        <v>0</v>
      </c>
      <c r="I30" s="2531">
        <f>Reduktionsstiberegner!$F30*Reduktionsstiberegner!$H30</f>
        <v>0</v>
      </c>
      <c r="J30" s="3056">
        <v>0</v>
      </c>
      <c r="K30" s="2531">
        <f t="shared" ref="K30:K39" si="4">J30*F30</f>
        <v>0</v>
      </c>
      <c r="L30" s="3057">
        <v>0</v>
      </c>
      <c r="M30" s="2531">
        <f>Reduktionsstiberegner!$L30*Reduktionsstiberegner!$F30</f>
        <v>0</v>
      </c>
      <c r="N30" s="3058">
        <v>0</v>
      </c>
      <c r="O30" s="2648">
        <f>Reduktionsstiberegner!$N30*F30</f>
        <v>0</v>
      </c>
      <c r="P30" s="2646">
        <f t="shared" ref="P30:P36" si="5">I30*D30</f>
        <v>0</v>
      </c>
      <c r="Q30" s="2531">
        <f>Reduktionsstiberegner!$K30*Reduktionsstiberegner!$D30</f>
        <v>0</v>
      </c>
      <c r="R30" s="2531">
        <f>Reduktionsstiberegner!$D30*Reduktionsstiberegner!$M30</f>
        <v>0</v>
      </c>
      <c r="S30" s="2648">
        <f>Reduktionsstiberegner!$D30*Reduktionsstiberegner!$O30</f>
        <v>0</v>
      </c>
      <c r="T30" s="3061" t="s">
        <v>5413</v>
      </c>
      <c r="U30" s="3061"/>
    </row>
    <row r="31" spans="1:21" ht="18" customHeight="1" x14ac:dyDescent="0.2">
      <c r="A31" s="3147" t="s">
        <v>4307</v>
      </c>
      <c r="B31" s="3052">
        <f>B30+1</f>
        <v>17</v>
      </c>
      <c r="C31" s="2545" t="s">
        <v>556</v>
      </c>
      <c r="D31" s="3101">
        <v>1E-3</v>
      </c>
      <c r="E31" s="2498" t="s">
        <v>534</v>
      </c>
      <c r="F31" s="4151">
        <f>'K2a 2018'!C8/('Dyrehold 2018'!C8+'Dyrehold 2018'!J8+'Dyrehold 2018'!Q8)*((F$34*(1-L34)+F$35*(1-L35)))</f>
        <v>6967.5361462067322</v>
      </c>
      <c r="G31" s="2337" t="s">
        <v>4781</v>
      </c>
      <c r="H31" s="3055">
        <v>0</v>
      </c>
      <c r="I31" s="2531">
        <f>Reduktionsstiberegner!$F31*Reduktionsstiberegner!$H31</f>
        <v>0</v>
      </c>
      <c r="J31" s="3056">
        <f>H31</f>
        <v>0</v>
      </c>
      <c r="K31" s="2531">
        <f t="shared" si="4"/>
        <v>0</v>
      </c>
      <c r="L31" s="3057">
        <v>0</v>
      </c>
      <c r="M31" s="2531">
        <f>Reduktionsstiberegner!$L31*Reduktionsstiberegner!$F31</f>
        <v>0</v>
      </c>
      <c r="N31" s="3058">
        <v>0</v>
      </c>
      <c r="O31" s="2648">
        <f>Reduktionsstiberegner!$N31*F31</f>
        <v>0</v>
      </c>
      <c r="P31" s="2646">
        <f t="shared" si="5"/>
        <v>0</v>
      </c>
      <c r="Q31" s="2531">
        <f>Reduktionsstiberegner!$K31*Reduktionsstiberegner!$D31</f>
        <v>0</v>
      </c>
      <c r="R31" s="2531">
        <f>Reduktionsstiberegner!$D31*Reduktionsstiberegner!$M31</f>
        <v>0</v>
      </c>
      <c r="S31" s="2648">
        <f>Reduktionsstiberegner!$D31*Reduktionsstiberegner!$O31</f>
        <v>0</v>
      </c>
      <c r="T31" s="3060"/>
      <c r="U31" s="3060"/>
    </row>
    <row r="32" spans="1:21" ht="18" customHeight="1" x14ac:dyDescent="0.2">
      <c r="A32" s="3147" t="s">
        <v>4307</v>
      </c>
      <c r="B32" s="3052">
        <f>B31+1</f>
        <v>18</v>
      </c>
      <c r="C32" s="2545" t="s">
        <v>557</v>
      </c>
      <c r="D32" s="3101">
        <v>2.4199999999999999E-2</v>
      </c>
      <c r="E32" s="2498" t="s">
        <v>534</v>
      </c>
      <c r="F32" s="4150">
        <f>+F31-M30</f>
        <v>6967.5361462067322</v>
      </c>
      <c r="G32" s="2337" t="s">
        <v>4781</v>
      </c>
      <c r="H32" s="3055">
        <v>0</v>
      </c>
      <c r="I32" s="2531">
        <f>Reduktionsstiberegner!$F32*Reduktionsstiberegner!$H32</f>
        <v>0</v>
      </c>
      <c r="J32" s="3056">
        <f>H32</f>
        <v>0</v>
      </c>
      <c r="K32" s="2531">
        <f t="shared" si="4"/>
        <v>0</v>
      </c>
      <c r="L32" s="3057">
        <v>0</v>
      </c>
      <c r="M32" s="2531">
        <f>Reduktionsstiberegner!$L32*Reduktionsstiberegner!$F32</f>
        <v>0</v>
      </c>
      <c r="N32" s="3058">
        <v>0</v>
      </c>
      <c r="O32" s="2648">
        <f>Reduktionsstiberegner!$N32*F32</f>
        <v>0</v>
      </c>
      <c r="P32" s="2646">
        <f t="shared" si="5"/>
        <v>0</v>
      </c>
      <c r="Q32" s="2531">
        <f>Reduktionsstiberegner!$K32*Reduktionsstiberegner!$D32</f>
        <v>0</v>
      </c>
      <c r="R32" s="2531">
        <f>Reduktionsstiberegner!$D32*Reduktionsstiberegner!$M32</f>
        <v>0</v>
      </c>
      <c r="S32" s="2648">
        <f>Reduktionsstiberegner!$D32*Reduktionsstiberegner!$O32</f>
        <v>0</v>
      </c>
      <c r="T32" s="3060" t="s">
        <v>5415</v>
      </c>
      <c r="U32" s="3060"/>
    </row>
    <row r="33" spans="1:21" ht="18" customHeight="1" x14ac:dyDescent="0.2">
      <c r="A33" s="3147" t="s">
        <v>4307</v>
      </c>
      <c r="B33" s="3052">
        <f t="shared" ref="B33:B36" si="6">B32+1</f>
        <v>19</v>
      </c>
      <c r="C33" s="2545" t="s">
        <v>4308</v>
      </c>
      <c r="D33" s="3148">
        <v>0.27200000000000002</v>
      </c>
      <c r="E33" s="2522" t="s">
        <v>558</v>
      </c>
      <c r="F33" s="4150">
        <f>F34-M34</f>
        <v>160.98578879999999</v>
      </c>
      <c r="G33" s="3149" t="s">
        <v>559</v>
      </c>
      <c r="H33" s="3055">
        <v>0</v>
      </c>
      <c r="I33" s="2531">
        <f>Reduktionsstiberegner!$F33*Reduktionsstiberegner!$H33</f>
        <v>0</v>
      </c>
      <c r="J33" s="3056">
        <v>0</v>
      </c>
      <c r="K33" s="2531">
        <f t="shared" si="4"/>
        <v>0</v>
      </c>
      <c r="L33" s="3057">
        <v>0</v>
      </c>
      <c r="M33" s="2531">
        <f>Reduktionsstiberegner!$L33*Reduktionsstiberegner!$F33</f>
        <v>0</v>
      </c>
      <c r="N33" s="3058">
        <v>0</v>
      </c>
      <c r="O33" s="2648">
        <f>Reduktionsstiberegner!$N33*F33</f>
        <v>0</v>
      </c>
      <c r="P33" s="2646">
        <f t="shared" si="5"/>
        <v>0</v>
      </c>
      <c r="Q33" s="2531">
        <f>Reduktionsstiberegner!$K33*Reduktionsstiberegner!$D33</f>
        <v>0</v>
      </c>
      <c r="R33" s="2531">
        <f>Reduktionsstiberegner!$D33*Reduktionsstiberegner!$M33</f>
        <v>0</v>
      </c>
      <c r="S33" s="2648">
        <f>Reduktionsstiberegner!$D33*Reduktionsstiberegner!$O33</f>
        <v>0</v>
      </c>
      <c r="T33" s="3060" t="s">
        <v>5416</v>
      </c>
      <c r="U33" s="3060"/>
    </row>
    <row r="34" spans="1:21" ht="18" customHeight="1" x14ac:dyDescent="0.2">
      <c r="A34" s="3147" t="s">
        <v>4307</v>
      </c>
      <c r="B34" s="3052">
        <f t="shared" si="6"/>
        <v>20</v>
      </c>
      <c r="C34" s="2344" t="s">
        <v>560</v>
      </c>
      <c r="D34" s="3101">
        <v>5.5526523299030401</v>
      </c>
      <c r="E34" s="2522" t="s">
        <v>558</v>
      </c>
      <c r="F34" s="4150">
        <f>'Dyrehold 2018'!Q8-((M7+M8+M11+M13+M14+M15)*0.4)</f>
        <v>160.98578879999999</v>
      </c>
      <c r="G34" s="3149" t="s">
        <v>559</v>
      </c>
      <c r="H34" s="3055">
        <v>0</v>
      </c>
      <c r="I34" s="2531">
        <f>Reduktionsstiberegner!$F34*Reduktionsstiberegner!$H34</f>
        <v>0</v>
      </c>
      <c r="J34" s="3056">
        <v>0</v>
      </c>
      <c r="K34" s="2531">
        <f t="shared" si="4"/>
        <v>0</v>
      </c>
      <c r="L34" s="3057">
        <v>0</v>
      </c>
      <c r="M34" s="2531">
        <f>Reduktionsstiberegner!$L34*Reduktionsstiberegner!$F34</f>
        <v>0</v>
      </c>
      <c r="N34" s="3058">
        <v>0</v>
      </c>
      <c r="O34" s="2648">
        <f>Reduktionsstiberegner!$N34*F34</f>
        <v>0</v>
      </c>
      <c r="P34" s="2646">
        <f t="shared" si="5"/>
        <v>0</v>
      </c>
      <c r="Q34" s="2531">
        <f>Reduktionsstiberegner!$K34*Reduktionsstiberegner!$D34</f>
        <v>0</v>
      </c>
      <c r="R34" s="2531">
        <f>Reduktionsstiberegner!$D34*Reduktionsstiberegner!$M34</f>
        <v>0</v>
      </c>
      <c r="S34" s="2648">
        <f>Reduktionsstiberegner!$D34*Reduktionsstiberegner!$O34</f>
        <v>0</v>
      </c>
      <c r="T34" s="3060" t="s">
        <v>5416</v>
      </c>
      <c r="U34" s="3060"/>
    </row>
    <row r="35" spans="1:21" ht="18" customHeight="1" x14ac:dyDescent="0.2">
      <c r="A35" s="3147" t="s">
        <v>4307</v>
      </c>
      <c r="B35" s="3052">
        <f t="shared" si="6"/>
        <v>21</v>
      </c>
      <c r="C35" s="2344" t="s">
        <v>561</v>
      </c>
      <c r="D35" s="3101">
        <v>2.6479101408966002</v>
      </c>
      <c r="E35" s="2522" t="s">
        <v>562</v>
      </c>
      <c r="F35" s="4150">
        <f>'Dyrehold 2018'!C8+'Dyrehold 2018'!J8-(M7+M8+M11+M13+M14+M15)*0.1-(M9+M10)*0.5</f>
        <v>1190.0389471999999</v>
      </c>
      <c r="G35" s="3150" t="s">
        <v>563</v>
      </c>
      <c r="H35" s="3055">
        <v>0</v>
      </c>
      <c r="I35" s="2531">
        <f>Reduktionsstiberegner!$F35*Reduktionsstiberegner!$H35</f>
        <v>0</v>
      </c>
      <c r="J35" s="3056">
        <v>0</v>
      </c>
      <c r="K35" s="2531">
        <f t="shared" si="4"/>
        <v>0</v>
      </c>
      <c r="L35" s="3057">
        <v>0</v>
      </c>
      <c r="M35" s="2531">
        <f>Reduktionsstiberegner!$L35*Reduktionsstiberegner!$F35</f>
        <v>0</v>
      </c>
      <c r="N35" s="3058">
        <v>0</v>
      </c>
      <c r="O35" s="2648">
        <f>Reduktionsstiberegner!$N35*F35</f>
        <v>0</v>
      </c>
      <c r="P35" s="2646">
        <f t="shared" si="5"/>
        <v>0</v>
      </c>
      <c r="Q35" s="2531">
        <f>Reduktionsstiberegner!$K35*Reduktionsstiberegner!$D35</f>
        <v>0</v>
      </c>
      <c r="R35" s="2531">
        <f>Reduktionsstiberegner!$D35*Reduktionsstiberegner!$M35</f>
        <v>0</v>
      </c>
      <c r="S35" s="2648">
        <f>Reduktionsstiberegner!$D35*Reduktionsstiberegner!$O35</f>
        <v>0</v>
      </c>
      <c r="T35" s="3060" t="s">
        <v>5416</v>
      </c>
      <c r="U35" s="3060"/>
    </row>
    <row r="36" spans="1:21" ht="18" customHeight="1" x14ac:dyDescent="0.2">
      <c r="A36" s="3147" t="s">
        <v>4307</v>
      </c>
      <c r="B36" s="3052">
        <f t="shared" si="6"/>
        <v>22</v>
      </c>
      <c r="C36" s="2567" t="s">
        <v>624</v>
      </c>
      <c r="D36" s="3103">
        <v>8.9066718000000003E-2</v>
      </c>
      <c r="E36" s="2522" t="s">
        <v>562</v>
      </c>
      <c r="F36" s="4205">
        <f>+'Dyrehold 2018'!K18</f>
        <v>28565.51</v>
      </c>
      <c r="G36" s="3151" t="s">
        <v>625</v>
      </c>
      <c r="H36" s="3055">
        <v>1</v>
      </c>
      <c r="I36" s="2531">
        <f>Reduktionsstiberegner!$F36*Reduktionsstiberegner!$H36</f>
        <v>28565.51</v>
      </c>
      <c r="J36" s="3056">
        <v>1</v>
      </c>
      <c r="K36" s="2531">
        <f t="shared" si="4"/>
        <v>28565.51</v>
      </c>
      <c r="L36" s="3057">
        <v>1</v>
      </c>
      <c r="M36" s="2531">
        <f>Reduktionsstiberegner!$L36*Reduktionsstiberegner!$F36</f>
        <v>28565.51</v>
      </c>
      <c r="N36" s="3058">
        <v>1</v>
      </c>
      <c r="O36" s="2648">
        <f>Reduktionsstiberegner!$N36*F36</f>
        <v>28565.51</v>
      </c>
      <c r="P36" s="2646">
        <f t="shared" si="5"/>
        <v>2544.2362236961799</v>
      </c>
      <c r="Q36" s="2531">
        <f>Reduktionsstiberegner!$K36*Reduktionsstiberegner!$D36</f>
        <v>2544.2362236961799</v>
      </c>
      <c r="R36" s="2531">
        <f>Reduktionsstiberegner!$D36*Reduktionsstiberegner!$M36</f>
        <v>2544.2362236961799</v>
      </c>
      <c r="S36" s="2648">
        <f>Reduktionsstiberegner!$D36*Reduktionsstiberegner!$O36</f>
        <v>2544.2362236961799</v>
      </c>
      <c r="T36" s="3152" t="s">
        <v>5414</v>
      </c>
      <c r="U36" s="3152"/>
    </row>
    <row r="37" spans="1:21" ht="18" customHeight="1" x14ac:dyDescent="0.2">
      <c r="A37" s="3153" t="s">
        <v>4307</v>
      </c>
      <c r="B37" s="3066" t="str">
        <f>B36&amp;"a"</f>
        <v>22a</v>
      </c>
      <c r="C37" s="3154" t="s">
        <v>4309</v>
      </c>
      <c r="D37" s="3103"/>
      <c r="E37" s="2522" t="s">
        <v>4301</v>
      </c>
      <c r="F37" s="4205"/>
      <c r="G37" s="3151"/>
      <c r="H37" s="3055">
        <v>0</v>
      </c>
      <c r="I37" s="2531">
        <f>Reduktionsstiberegner!$F37*Reduktionsstiberegner!$H37</f>
        <v>0</v>
      </c>
      <c r="J37" s="3056">
        <f>H37</f>
        <v>0</v>
      </c>
      <c r="K37" s="2531">
        <f t="shared" si="4"/>
        <v>0</v>
      </c>
      <c r="L37" s="3057">
        <v>0</v>
      </c>
      <c r="M37" s="2531">
        <f>Reduktionsstiberegner!$L37*Reduktionsstiberegner!$F37</f>
        <v>0</v>
      </c>
      <c r="N37" s="3058">
        <v>0</v>
      </c>
      <c r="O37" s="2648">
        <f>Reduktionsstiberegner!$N37*F37</f>
        <v>0</v>
      </c>
      <c r="P37" s="2646"/>
      <c r="Q37" s="2531"/>
      <c r="R37" s="2531"/>
      <c r="S37" s="2648"/>
      <c r="T37" s="3152"/>
      <c r="U37" s="3152"/>
    </row>
    <row r="38" spans="1:21" ht="18" customHeight="1" x14ac:dyDescent="0.2">
      <c r="A38" s="3153" t="s">
        <v>221</v>
      </c>
      <c r="B38" s="3066" t="str">
        <f>B36&amp;"b"</f>
        <v>22b</v>
      </c>
      <c r="C38" s="3154" t="s">
        <v>4310</v>
      </c>
      <c r="D38" s="3103"/>
      <c r="E38" s="2522" t="s">
        <v>4301</v>
      </c>
      <c r="F38" s="4205"/>
      <c r="G38" s="3151"/>
      <c r="H38" s="3055">
        <v>0</v>
      </c>
      <c r="I38" s="2531">
        <f>Reduktionsstiberegner!$F38*Reduktionsstiberegner!$H38</f>
        <v>0</v>
      </c>
      <c r="J38" s="3056">
        <f>H38</f>
        <v>0</v>
      </c>
      <c r="K38" s="2531">
        <f t="shared" si="4"/>
        <v>0</v>
      </c>
      <c r="L38" s="3057">
        <v>0</v>
      </c>
      <c r="M38" s="2531">
        <f>Reduktionsstiberegner!$L38*Reduktionsstiberegner!$F38</f>
        <v>0</v>
      </c>
      <c r="N38" s="3058">
        <v>0</v>
      </c>
      <c r="O38" s="2648">
        <f>Reduktionsstiberegner!$N38*F38</f>
        <v>0</v>
      </c>
      <c r="P38" s="2646"/>
      <c r="Q38" s="2531"/>
      <c r="R38" s="2531"/>
      <c r="S38" s="2648"/>
      <c r="T38" s="3152"/>
      <c r="U38" s="3152"/>
    </row>
    <row r="39" spans="1:21" ht="18" customHeight="1" thickBot="1" x14ac:dyDescent="0.25">
      <c r="A39" s="3153" t="s">
        <v>221</v>
      </c>
      <c r="B39" s="3066" t="str">
        <f>B36&amp;"c"</f>
        <v>22c</v>
      </c>
      <c r="C39" s="3155" t="s">
        <v>4309</v>
      </c>
      <c r="D39" s="3156"/>
      <c r="E39" s="2522" t="s">
        <v>4301</v>
      </c>
      <c r="F39" s="4238"/>
      <c r="G39" s="3157"/>
      <c r="H39" s="3055">
        <v>0</v>
      </c>
      <c r="I39" s="2531">
        <f>Reduktionsstiberegner!$F39*Reduktionsstiberegner!$H39</f>
        <v>0</v>
      </c>
      <c r="J39" s="3056">
        <f>H39</f>
        <v>0</v>
      </c>
      <c r="K39" s="2531">
        <f t="shared" si="4"/>
        <v>0</v>
      </c>
      <c r="L39" s="3057">
        <v>0</v>
      </c>
      <c r="M39" s="2531">
        <f>Reduktionsstiberegner!$L39*Reduktionsstiberegner!$F39</f>
        <v>0</v>
      </c>
      <c r="N39" s="3058">
        <v>0</v>
      </c>
      <c r="O39" s="2648">
        <f>Reduktionsstiberegner!$N39*F39</f>
        <v>0</v>
      </c>
      <c r="P39" s="2646">
        <f>I39*D39</f>
        <v>0</v>
      </c>
      <c r="Q39" s="2531">
        <f>Reduktionsstiberegner!$K39*Reduktionsstiberegner!$D39</f>
        <v>0</v>
      </c>
      <c r="R39" s="2531">
        <f>Reduktionsstiberegner!$D39*Reduktionsstiberegner!$M39</f>
        <v>0</v>
      </c>
      <c r="S39" s="2648">
        <f>Reduktionsstiberegner!$D39*Reduktionsstiberegner!$O39</f>
        <v>0</v>
      </c>
      <c r="T39" s="3158"/>
      <c r="U39" s="3158"/>
    </row>
    <row r="40" spans="1:21" ht="18" customHeight="1" thickBot="1" x14ac:dyDescent="0.3">
      <c r="A40" s="3159"/>
      <c r="B40" s="3160"/>
      <c r="C40" s="3161" t="s">
        <v>606</v>
      </c>
      <c r="D40" s="3162"/>
      <c r="E40" s="3163"/>
      <c r="F40" s="3164"/>
      <c r="G40" s="3165"/>
      <c r="H40" s="3166"/>
      <c r="I40" s="3167"/>
      <c r="J40" s="3166"/>
      <c r="K40" s="3167"/>
      <c r="L40" s="3168"/>
      <c r="M40" s="3167"/>
      <c r="N40" s="3168"/>
      <c r="O40" s="3167"/>
      <c r="P40" s="3167">
        <f>SUBTOTAL(109,P30:P39)</f>
        <v>2544.2362236961799</v>
      </c>
      <c r="Q40" s="3167">
        <f>SUBTOTAL(109,Q30:Q39)</f>
        <v>2544.2362236961799</v>
      </c>
      <c r="R40" s="3167">
        <f>SUBTOTAL(109,R30:R39)</f>
        <v>2544.2362236961799</v>
      </c>
      <c r="S40" s="3167">
        <f>SUBTOTAL(109,S30:S39)</f>
        <v>2544.2362236961799</v>
      </c>
      <c r="T40" s="3169"/>
      <c r="U40" s="3169"/>
    </row>
    <row r="41" spans="1:21" ht="18" customHeight="1" thickBot="1" x14ac:dyDescent="0.25">
      <c r="A41" s="3170"/>
      <c r="B41" s="3171"/>
      <c r="C41" s="3172" t="s">
        <v>4311</v>
      </c>
      <c r="D41" s="3173"/>
      <c r="E41" s="3173"/>
      <c r="F41" s="43"/>
      <c r="G41" s="43"/>
      <c r="H41" s="3174"/>
      <c r="I41" s="43"/>
      <c r="J41" s="43"/>
      <c r="K41" s="43"/>
      <c r="L41" s="43"/>
      <c r="M41" s="43"/>
      <c r="N41" s="3175"/>
      <c r="O41" s="3176"/>
      <c r="P41" s="3177">
        <f>P19+P29+P40</f>
        <v>2544.2362236961799</v>
      </c>
      <c r="Q41" s="3176">
        <f>Q19+Q29+Q40</f>
        <v>2544.2362236961799</v>
      </c>
      <c r="R41" s="3176">
        <f>R19+R29+R40</f>
        <v>4833.2228525921801</v>
      </c>
      <c r="S41" s="3178">
        <f>S19+S29+S40</f>
        <v>19254.052275296177</v>
      </c>
      <c r="T41" s="3179"/>
      <c r="U41" s="3179"/>
    </row>
    <row r="42" spans="1:21" ht="13.5" thickBot="1" x14ac:dyDescent="0.25">
      <c r="D42" s="393"/>
      <c r="E42" s="393"/>
    </row>
    <row r="43" spans="1:21" ht="24" customHeight="1" thickBot="1" x14ac:dyDescent="0.4">
      <c r="A43" s="377" t="s">
        <v>227</v>
      </c>
      <c r="B43" s="371"/>
      <c r="C43" s="371"/>
      <c r="D43" s="5144" t="s">
        <v>592</v>
      </c>
      <c r="E43" s="5141"/>
      <c r="F43" s="5145" t="s">
        <v>607</v>
      </c>
      <c r="G43" s="5145"/>
      <c r="H43" s="5141" t="s">
        <v>576</v>
      </c>
      <c r="I43" s="5141"/>
      <c r="J43" s="5141" t="s">
        <v>577</v>
      </c>
      <c r="K43" s="5141"/>
      <c r="L43" s="5141">
        <v>2030</v>
      </c>
      <c r="M43" s="5141"/>
      <c r="N43" s="5141">
        <v>2050</v>
      </c>
      <c r="O43" s="5141"/>
      <c r="P43" s="5141" t="s">
        <v>594</v>
      </c>
      <c r="Q43" s="5141"/>
      <c r="R43" s="5141"/>
      <c r="S43" s="5141"/>
      <c r="T43" s="2391" t="s">
        <v>535</v>
      </c>
      <c r="U43" s="2391"/>
    </row>
    <row r="44" spans="1:21" ht="18" customHeight="1" x14ac:dyDescent="0.25">
      <c r="A44" s="379" t="s">
        <v>536</v>
      </c>
      <c r="B44" s="380" t="s">
        <v>532</v>
      </c>
      <c r="C44" s="381" t="s">
        <v>537</v>
      </c>
      <c r="D44" s="379" t="s">
        <v>538</v>
      </c>
      <c r="E44" s="380" t="s">
        <v>539</v>
      </c>
      <c r="F44" s="382" t="s">
        <v>465</v>
      </c>
      <c r="G44" s="380" t="s">
        <v>539</v>
      </c>
      <c r="H44" s="380" t="s">
        <v>596</v>
      </c>
      <c r="I44" s="380" t="s">
        <v>597</v>
      </c>
      <c r="J44" s="382" t="s">
        <v>598</v>
      </c>
      <c r="K44" s="380" t="s">
        <v>599</v>
      </c>
      <c r="L44" s="382" t="s">
        <v>540</v>
      </c>
      <c r="M44" s="380" t="s">
        <v>541</v>
      </c>
      <c r="N44" s="382" t="s">
        <v>600</v>
      </c>
      <c r="O44" s="2392" t="s">
        <v>601</v>
      </c>
      <c r="P44" s="2352" t="s">
        <v>602</v>
      </c>
      <c r="Q44" s="382" t="s">
        <v>603</v>
      </c>
      <c r="R44" s="382">
        <v>2030</v>
      </c>
      <c r="S44" s="2393">
        <v>2050</v>
      </c>
      <c r="T44" s="2394" t="s">
        <v>542</v>
      </c>
      <c r="U44" s="2394"/>
    </row>
    <row r="45" spans="1:21" ht="18" customHeight="1" x14ac:dyDescent="0.2">
      <c r="A45" s="2395" t="s">
        <v>313</v>
      </c>
      <c r="B45" s="2365">
        <f>B36+1</f>
        <v>23</v>
      </c>
      <c r="C45" s="2370" t="s">
        <v>608</v>
      </c>
      <c r="D45" s="2371">
        <f>('Affald og spildevand 2018G'!L12+'Affald og spildevand 2018G'!L13)/Reduktionsstiberegner!F45</f>
        <v>0.80009313362500101</v>
      </c>
      <c r="E45" s="2354" t="s">
        <v>4312</v>
      </c>
      <c r="F45" s="2355">
        <f>'Affald og spildevand 2018G'!G12</f>
        <v>218.92304485770231</v>
      </c>
      <c r="G45" s="2356" t="s">
        <v>4782</v>
      </c>
      <c r="H45" s="2357">
        <v>0.25</v>
      </c>
      <c r="I45" s="2358">
        <f>Reduktionsstiberegner!$F45*Reduktionsstiberegner!$H45</f>
        <v>54.730761214425577</v>
      </c>
      <c r="J45" s="2359">
        <v>0.75</v>
      </c>
      <c r="K45" s="2358">
        <f t="shared" ref="K45:K54" si="7">J45*F45</f>
        <v>164.19228364327674</v>
      </c>
      <c r="L45" s="2360">
        <v>0.25</v>
      </c>
      <c r="M45" s="2358">
        <f>Reduktionsstiberegner!$L45*Reduktionsstiberegner!$F45</f>
        <v>54.730761214425577</v>
      </c>
      <c r="N45" s="2361">
        <v>0.75</v>
      </c>
      <c r="O45" s="2369">
        <f>Reduktionsstiberegner!$N45*F45</f>
        <v>164.19228364327674</v>
      </c>
      <c r="P45" s="2396">
        <f t="shared" ref="P45:P52" si="8">I45*D45</f>
        <v>43.789706245731423</v>
      </c>
      <c r="Q45" s="2358">
        <f>Reduktionsstiberegner!$K45*Reduktionsstiberegner!$D45</f>
        <v>131.36911873719427</v>
      </c>
      <c r="R45" s="2358">
        <f>Reduktionsstiberegner!$D45*Reduktionsstiberegner!$M45</f>
        <v>43.789706245731423</v>
      </c>
      <c r="S45" s="2369">
        <f>Reduktionsstiberegner!$D45*Reduktionsstiberegner!$O45</f>
        <v>131.36911873719427</v>
      </c>
      <c r="T45" s="2397"/>
      <c r="U45" s="2397"/>
    </row>
    <row r="46" spans="1:21" ht="18" customHeight="1" x14ac:dyDescent="0.2">
      <c r="A46" s="2398" t="s">
        <v>313</v>
      </c>
      <c r="B46" s="2365">
        <f t="shared" ref="B46:B51" si="9">B45+1</f>
        <v>24</v>
      </c>
      <c r="C46" s="2367" t="s">
        <v>609</v>
      </c>
      <c r="D46" s="2371">
        <v>1</v>
      </c>
      <c r="E46" s="2354" t="s">
        <v>4312</v>
      </c>
      <c r="F46" s="2355">
        <f>'Affald og spildevand 2018G'!L15</f>
        <v>59.480050194868667</v>
      </c>
      <c r="G46" s="2356" t="s">
        <v>4783</v>
      </c>
      <c r="H46" s="2357">
        <v>0</v>
      </c>
      <c r="I46" s="2358">
        <f>Reduktionsstiberegner!$F46*Reduktionsstiberegner!$H46</f>
        <v>0</v>
      </c>
      <c r="J46" s="2359">
        <f t="shared" ref="J46:J51" si="10">H46</f>
        <v>0</v>
      </c>
      <c r="K46" s="2358">
        <f t="shared" si="7"/>
        <v>0</v>
      </c>
      <c r="L46" s="2360">
        <v>0</v>
      </c>
      <c r="M46" s="2358">
        <f>Reduktionsstiberegner!$L46*Reduktionsstiberegner!$F46</f>
        <v>0</v>
      </c>
      <c r="N46" s="2361">
        <v>0</v>
      </c>
      <c r="O46" s="2369">
        <f>Reduktionsstiberegner!$N46*F46</f>
        <v>0</v>
      </c>
      <c r="P46" s="2396">
        <f t="shared" si="8"/>
        <v>0</v>
      </c>
      <c r="Q46" s="2358">
        <f>Reduktionsstiberegner!$K46*Reduktionsstiberegner!$D46</f>
        <v>0</v>
      </c>
      <c r="R46" s="2358">
        <f>Reduktionsstiberegner!$D46*Reduktionsstiberegner!$M46</f>
        <v>0</v>
      </c>
      <c r="S46" s="2369">
        <f>Reduktionsstiberegner!$D46*Reduktionsstiberegner!$O46</f>
        <v>0</v>
      </c>
      <c r="T46" s="2397"/>
      <c r="U46" s="2397"/>
    </row>
    <row r="47" spans="1:21" ht="18" customHeight="1" x14ac:dyDescent="0.2">
      <c r="A47" s="2398" t="s">
        <v>313</v>
      </c>
      <c r="B47" s="2365">
        <f t="shared" si="9"/>
        <v>25</v>
      </c>
      <c r="C47" s="2367" t="s">
        <v>610</v>
      </c>
      <c r="D47" s="2371">
        <v>1</v>
      </c>
      <c r="E47" s="2354" t="s">
        <v>4312</v>
      </c>
      <c r="F47" s="2355">
        <f>'Affald og spildevand 2018G'!L16</f>
        <v>78.791961834900746</v>
      </c>
      <c r="G47" s="2356" t="s">
        <v>4783</v>
      </c>
      <c r="H47" s="2357">
        <v>0</v>
      </c>
      <c r="I47" s="2358">
        <f>Reduktionsstiberegner!$F47*Reduktionsstiberegner!$H47</f>
        <v>0</v>
      </c>
      <c r="J47" s="2359">
        <f t="shared" si="10"/>
        <v>0</v>
      </c>
      <c r="K47" s="2358">
        <f t="shared" si="7"/>
        <v>0</v>
      </c>
      <c r="L47" s="2360">
        <v>0</v>
      </c>
      <c r="M47" s="2358">
        <f>Reduktionsstiberegner!$L47*Reduktionsstiberegner!$F47</f>
        <v>0</v>
      </c>
      <c r="N47" s="2361">
        <v>0</v>
      </c>
      <c r="O47" s="2369">
        <f>Reduktionsstiberegner!$N47*F47</f>
        <v>0</v>
      </c>
      <c r="P47" s="2396">
        <f t="shared" si="8"/>
        <v>0</v>
      </c>
      <c r="Q47" s="2358">
        <f>Reduktionsstiberegner!$K47*Reduktionsstiberegner!$D47</f>
        <v>0</v>
      </c>
      <c r="R47" s="2358">
        <f>Reduktionsstiberegner!$D47*Reduktionsstiberegner!$M47</f>
        <v>0</v>
      </c>
      <c r="S47" s="2369">
        <f>Reduktionsstiberegner!$D47*Reduktionsstiberegner!$O47</f>
        <v>0</v>
      </c>
      <c r="T47" s="2397" t="s">
        <v>564</v>
      </c>
      <c r="U47" s="2397"/>
    </row>
    <row r="48" spans="1:21" ht="18" customHeight="1" x14ac:dyDescent="0.2">
      <c r="A48" s="2398" t="s">
        <v>313</v>
      </c>
      <c r="B48" s="2365">
        <f t="shared" si="9"/>
        <v>26</v>
      </c>
      <c r="C48" s="2367" t="s">
        <v>611</v>
      </c>
      <c r="D48" s="2371">
        <f>('Affald og spildevand 2018G'!L17+'Affald og spildevand 2018G'!L18)/Reduktionsstiberegner!F48</f>
        <v>0.25722083539401197</v>
      </c>
      <c r="E48" s="2354" t="s">
        <v>4312</v>
      </c>
      <c r="F48" s="2355">
        <f>'Affald og spildevand 2018G'!E17</f>
        <v>0.36538895971244673</v>
      </c>
      <c r="G48" s="2356" t="s">
        <v>4782</v>
      </c>
      <c r="H48" s="2357">
        <v>0</v>
      </c>
      <c r="I48" s="2358">
        <f>Reduktionsstiberegner!$F48*Reduktionsstiberegner!$H48</f>
        <v>0</v>
      </c>
      <c r="J48" s="2359">
        <f t="shared" si="10"/>
        <v>0</v>
      </c>
      <c r="K48" s="2358">
        <f t="shared" si="7"/>
        <v>0</v>
      </c>
      <c r="L48" s="2360">
        <v>0</v>
      </c>
      <c r="M48" s="2358">
        <f>Reduktionsstiberegner!$L48*Reduktionsstiberegner!$F48</f>
        <v>0</v>
      </c>
      <c r="N48" s="2361">
        <v>0</v>
      </c>
      <c r="O48" s="2369">
        <f>Reduktionsstiberegner!$N48*F48</f>
        <v>0</v>
      </c>
      <c r="P48" s="2396">
        <f t="shared" si="8"/>
        <v>0</v>
      </c>
      <c r="Q48" s="2358">
        <f>Reduktionsstiberegner!$K48*Reduktionsstiberegner!$D48</f>
        <v>0</v>
      </c>
      <c r="R48" s="2358">
        <f>Reduktionsstiberegner!$D48*Reduktionsstiberegner!$M48</f>
        <v>0</v>
      </c>
      <c r="S48" s="2369">
        <f>Reduktionsstiberegner!$D48*Reduktionsstiberegner!$O48</f>
        <v>0</v>
      </c>
      <c r="T48" s="2397" t="s">
        <v>564</v>
      </c>
      <c r="U48" s="2397"/>
    </row>
    <row r="49" spans="1:21" ht="18" customHeight="1" x14ac:dyDescent="0.2">
      <c r="A49" s="2398" t="s">
        <v>311</v>
      </c>
      <c r="B49" s="2365">
        <f t="shared" si="9"/>
        <v>27</v>
      </c>
      <c r="C49" s="2367" t="s">
        <v>612</v>
      </c>
      <c r="D49" s="2371">
        <v>1</v>
      </c>
      <c r="E49" s="2354" t="s">
        <v>4312</v>
      </c>
      <c r="F49" s="2355">
        <f>'Affald og spildevand 2018G'!L20</f>
        <v>34.144467219973968</v>
      </c>
      <c r="G49" s="2356" t="s">
        <v>4783</v>
      </c>
      <c r="H49" s="2357">
        <v>0</v>
      </c>
      <c r="I49" s="2358">
        <f>Reduktionsstiberegner!$F49*Reduktionsstiberegner!$H49</f>
        <v>0</v>
      </c>
      <c r="J49" s="2359">
        <f t="shared" si="10"/>
        <v>0</v>
      </c>
      <c r="K49" s="2358">
        <f t="shared" si="7"/>
        <v>0</v>
      </c>
      <c r="L49" s="2360">
        <v>0</v>
      </c>
      <c r="M49" s="2358">
        <f>Reduktionsstiberegner!$L49*Reduktionsstiberegner!$F49</f>
        <v>0</v>
      </c>
      <c r="N49" s="2361">
        <v>0</v>
      </c>
      <c r="O49" s="2369">
        <f>Reduktionsstiberegner!$N49*F49</f>
        <v>0</v>
      </c>
      <c r="P49" s="2396">
        <f t="shared" si="8"/>
        <v>0</v>
      </c>
      <c r="Q49" s="2358">
        <f>Reduktionsstiberegner!$K49*Reduktionsstiberegner!$D49</f>
        <v>0</v>
      </c>
      <c r="R49" s="2358">
        <f>Reduktionsstiberegner!$D49*Reduktionsstiberegner!$M49</f>
        <v>0</v>
      </c>
      <c r="S49" s="2369">
        <f>Reduktionsstiberegner!$D49*Reduktionsstiberegner!$O49</f>
        <v>0</v>
      </c>
      <c r="T49" s="2397"/>
      <c r="U49" s="2397"/>
    </row>
    <row r="50" spans="1:21" ht="18" customHeight="1" x14ac:dyDescent="0.2">
      <c r="A50" s="2398" t="s">
        <v>311</v>
      </c>
      <c r="B50" s="2365">
        <f t="shared" si="9"/>
        <v>28</v>
      </c>
      <c r="C50" s="2367" t="s">
        <v>613</v>
      </c>
      <c r="D50" s="2371">
        <v>1</v>
      </c>
      <c r="E50" s="2354" t="s">
        <v>4312</v>
      </c>
      <c r="F50" s="2355">
        <f>'Affald og spildevand 2018G'!L21</f>
        <v>2.1546048041811043</v>
      </c>
      <c r="G50" s="2356" t="s">
        <v>4783</v>
      </c>
      <c r="H50" s="2357">
        <v>0</v>
      </c>
      <c r="I50" s="2358">
        <f>Reduktionsstiberegner!$F50*Reduktionsstiberegner!$H50</f>
        <v>0</v>
      </c>
      <c r="J50" s="2359">
        <f t="shared" si="10"/>
        <v>0</v>
      </c>
      <c r="K50" s="2358">
        <f t="shared" si="7"/>
        <v>0</v>
      </c>
      <c r="L50" s="2360">
        <v>0</v>
      </c>
      <c r="M50" s="2358">
        <f>Reduktionsstiberegner!$L50*Reduktionsstiberegner!$F50</f>
        <v>0</v>
      </c>
      <c r="N50" s="2361">
        <v>0</v>
      </c>
      <c r="O50" s="2369">
        <f>Reduktionsstiberegner!$N50*F50</f>
        <v>0</v>
      </c>
      <c r="P50" s="2396">
        <f t="shared" si="8"/>
        <v>0</v>
      </c>
      <c r="Q50" s="2358">
        <f>Reduktionsstiberegner!$K50*Reduktionsstiberegner!$D50</f>
        <v>0</v>
      </c>
      <c r="R50" s="2358">
        <f>Reduktionsstiberegner!$D50*Reduktionsstiberegner!$M50</f>
        <v>0</v>
      </c>
      <c r="S50" s="2369">
        <f>Reduktionsstiberegner!$D50*Reduktionsstiberegner!$O50</f>
        <v>0</v>
      </c>
      <c r="T50" s="2397"/>
      <c r="U50" s="2397"/>
    </row>
    <row r="51" spans="1:21" ht="18" customHeight="1" x14ac:dyDescent="0.2">
      <c r="A51" s="2398" t="s">
        <v>614</v>
      </c>
      <c r="B51" s="2365">
        <f t="shared" si="9"/>
        <v>29</v>
      </c>
      <c r="C51" s="2367" t="s">
        <v>615</v>
      </c>
      <c r="D51" s="2372">
        <f>('Affald og spildevand 2018G'!L24+'Affald og spildevand 2018G'!L25)/Reduktionsstiberegner!F51</f>
        <v>10.897581925405802</v>
      </c>
      <c r="E51" s="2354" t="s">
        <v>4313</v>
      </c>
      <c r="F51" s="2386">
        <f>'Affald og spildevand 2018G'!C24+'Affald og spildevand 2018G'!C25</f>
        <v>3.1754114977572576</v>
      </c>
      <c r="G51" s="2374" t="s">
        <v>4314</v>
      </c>
      <c r="H51" s="2399">
        <v>0</v>
      </c>
      <c r="I51" s="2373">
        <f>Reduktionsstiberegner!$F51*Reduktionsstiberegner!$H51</f>
        <v>0</v>
      </c>
      <c r="J51" s="2375">
        <f t="shared" si="10"/>
        <v>0</v>
      </c>
      <c r="K51" s="2373">
        <f t="shared" si="7"/>
        <v>0</v>
      </c>
      <c r="L51" s="2360">
        <v>0</v>
      </c>
      <c r="M51" s="2373">
        <f>Reduktionsstiberegner!$L51*Reduktionsstiberegner!$F51</f>
        <v>0</v>
      </c>
      <c r="N51" s="2361">
        <v>0</v>
      </c>
      <c r="O51" s="2376">
        <f>Reduktionsstiberegner!$N51*F51</f>
        <v>0</v>
      </c>
      <c r="P51" s="2400">
        <f t="shared" si="8"/>
        <v>0</v>
      </c>
      <c r="Q51" s="2373">
        <f>Reduktionsstiberegner!$K51*Reduktionsstiberegner!$D51</f>
        <v>0</v>
      </c>
      <c r="R51" s="2373">
        <f>Reduktionsstiberegner!$D51*Reduktionsstiberegner!$M51</f>
        <v>0</v>
      </c>
      <c r="S51" s="2376">
        <f>Reduktionsstiberegner!$D51*Reduktionsstiberegner!$O51</f>
        <v>0</v>
      </c>
      <c r="T51" s="2397"/>
      <c r="U51" s="2397"/>
    </row>
    <row r="52" spans="1:21" ht="18" customHeight="1" x14ac:dyDescent="0.2">
      <c r="A52" s="2398" t="s">
        <v>227</v>
      </c>
      <c r="B52" s="2365" t="str">
        <f>B51&amp;"a"</f>
        <v>29a</v>
      </c>
      <c r="C52" s="2401" t="s">
        <v>616</v>
      </c>
      <c r="D52" s="2402"/>
      <c r="E52" s="2354" t="s">
        <v>4301</v>
      </c>
      <c r="F52" s="2403"/>
      <c r="G52" s="2404"/>
      <c r="H52" s="2405">
        <v>0</v>
      </c>
      <c r="I52" s="2373">
        <f>Reduktionsstiberegner!$F52*Reduktionsstiberegner!$H52</f>
        <v>0</v>
      </c>
      <c r="J52" s="2406">
        <v>0</v>
      </c>
      <c r="K52" s="2407">
        <f t="shared" si="7"/>
        <v>0</v>
      </c>
      <c r="L52" s="2360">
        <v>0</v>
      </c>
      <c r="M52" s="2407">
        <f>Reduktionsstiberegner!$L52*Reduktionsstiberegner!$F52</f>
        <v>0</v>
      </c>
      <c r="N52" s="2361">
        <v>0</v>
      </c>
      <c r="O52" s="2408">
        <f>Reduktionsstiberegner!$N52*F52</f>
        <v>0</v>
      </c>
      <c r="P52" s="2409">
        <f t="shared" si="8"/>
        <v>0</v>
      </c>
      <c r="Q52" s="2407">
        <f>Reduktionsstiberegner!$K52*Reduktionsstiberegner!$D52</f>
        <v>0</v>
      </c>
      <c r="R52" s="2407">
        <f>Reduktionsstiberegner!$D52*Reduktionsstiberegner!$M52</f>
        <v>0</v>
      </c>
      <c r="S52" s="2408">
        <f>Reduktionsstiberegner!$D52*Reduktionsstiberegner!$O52</f>
        <v>0</v>
      </c>
      <c r="T52" s="2397" t="s">
        <v>564</v>
      </c>
      <c r="U52" s="2397"/>
    </row>
    <row r="53" spans="1:21" ht="18" customHeight="1" x14ac:dyDescent="0.2">
      <c r="A53" s="2398" t="s">
        <v>227</v>
      </c>
      <c r="B53" s="2365" t="str">
        <f>B51&amp;"b"</f>
        <v>29b</v>
      </c>
      <c r="C53" s="2401" t="s">
        <v>4315</v>
      </c>
      <c r="D53" s="2379"/>
      <c r="E53" s="2354" t="s">
        <v>4301</v>
      </c>
      <c r="F53" s="2377"/>
      <c r="G53" s="2378"/>
      <c r="H53" s="2410">
        <v>0</v>
      </c>
      <c r="I53" s="2373">
        <f>Reduktionsstiberegner!$F53*Reduktionsstiberegner!$H53</f>
        <v>0</v>
      </c>
      <c r="J53" s="2411">
        <v>0</v>
      </c>
      <c r="K53" s="2407">
        <f t="shared" si="7"/>
        <v>0</v>
      </c>
      <c r="L53" s="2360">
        <v>0</v>
      </c>
      <c r="M53" s="2407">
        <f>Reduktionsstiberegner!$L53*Reduktionsstiberegner!$F53</f>
        <v>0</v>
      </c>
      <c r="N53" s="2361">
        <v>0</v>
      </c>
      <c r="O53" s="2408">
        <f>Reduktionsstiberegner!$N53*F53</f>
        <v>0</v>
      </c>
      <c r="P53" s="2412"/>
      <c r="Q53" s="2413"/>
      <c r="R53" s="2413"/>
      <c r="S53" s="2414"/>
      <c r="T53" s="2397"/>
      <c r="U53" s="2397"/>
    </row>
    <row r="54" spans="1:21" ht="18" customHeight="1" thickBot="1" x14ac:dyDescent="0.25">
      <c r="A54" s="2398" t="s">
        <v>227</v>
      </c>
      <c r="B54" s="2365" t="str">
        <f>B51&amp;"c"</f>
        <v>29c</v>
      </c>
      <c r="C54" s="2401" t="s">
        <v>616</v>
      </c>
      <c r="D54" s="2380"/>
      <c r="E54" s="2366" t="s">
        <v>4301</v>
      </c>
      <c r="F54" s="2381"/>
      <c r="G54" s="2415"/>
      <c r="H54" s="2416">
        <v>0</v>
      </c>
      <c r="I54" s="2382">
        <f>Reduktionsstiberegner!$F54*Reduktionsstiberegner!$H54</f>
        <v>0</v>
      </c>
      <c r="J54" s="2417">
        <v>0</v>
      </c>
      <c r="K54" s="2382">
        <f t="shared" si="7"/>
        <v>0</v>
      </c>
      <c r="L54" s="2418">
        <v>0</v>
      </c>
      <c r="M54" s="2382">
        <f>Reduktionsstiberegner!$L54*Reduktionsstiberegner!$F54</f>
        <v>0</v>
      </c>
      <c r="N54" s="2419">
        <v>0</v>
      </c>
      <c r="O54" s="2383">
        <f>Reduktionsstiberegner!$N54*F54</f>
        <v>0</v>
      </c>
      <c r="P54" s="2420"/>
      <c r="Q54" s="2421"/>
      <c r="R54" s="2421"/>
      <c r="S54" s="2422"/>
      <c r="T54" s="2423"/>
      <c r="U54" s="2423"/>
    </row>
    <row r="55" spans="1:21" ht="18" customHeight="1" thickBot="1" x14ac:dyDescent="0.25">
      <c r="A55" s="394"/>
      <c r="B55" s="395"/>
      <c r="C55" s="396" t="s">
        <v>4316</v>
      </c>
      <c r="D55" s="2424"/>
      <c r="E55" s="2425"/>
      <c r="F55" s="2426"/>
      <c r="G55" s="2426"/>
      <c r="H55" s="2427"/>
      <c r="I55" s="2426"/>
      <c r="J55" s="2428"/>
      <c r="K55" s="2426"/>
      <c r="L55" s="2429"/>
      <c r="M55" s="2426"/>
      <c r="N55" s="2430"/>
      <c r="O55" s="2431"/>
      <c r="P55" s="2432">
        <f>SUM(P45:P54)</f>
        <v>43.789706245731423</v>
      </c>
      <c r="Q55" s="2432">
        <f t="shared" ref="Q55:S55" si="11">SUM(Q45:Q54)</f>
        <v>131.36911873719427</v>
      </c>
      <c r="R55" s="2432">
        <f t="shared" si="11"/>
        <v>43.789706245731423</v>
      </c>
      <c r="S55" s="2432">
        <f t="shared" si="11"/>
        <v>131.36911873719427</v>
      </c>
      <c r="T55" s="2433"/>
      <c r="U55" s="2433"/>
    </row>
    <row r="56" spans="1:21" ht="13.5" thickBot="1" x14ac:dyDescent="0.25">
      <c r="D56" s="393"/>
      <c r="E56" s="393"/>
      <c r="R56" s="376"/>
    </row>
    <row r="57" spans="1:21" ht="24" customHeight="1" thickBot="1" x14ac:dyDescent="0.4">
      <c r="A57" s="377" t="s">
        <v>222</v>
      </c>
      <c r="B57" s="371"/>
      <c r="C57" s="371"/>
      <c r="D57" s="5137" t="s">
        <v>592</v>
      </c>
      <c r="E57" s="5136"/>
      <c r="F57" s="5138" t="s">
        <v>607</v>
      </c>
      <c r="G57" s="5138"/>
      <c r="H57" s="5136" t="s">
        <v>576</v>
      </c>
      <c r="I57" s="5136"/>
      <c r="J57" s="5136" t="s">
        <v>577</v>
      </c>
      <c r="K57" s="5136"/>
      <c r="L57" s="5136">
        <v>2030</v>
      </c>
      <c r="M57" s="5136"/>
      <c r="N57" s="5136">
        <v>2050</v>
      </c>
      <c r="O57" s="5136"/>
      <c r="P57" s="5136" t="s">
        <v>594</v>
      </c>
      <c r="Q57" s="5136"/>
      <c r="R57" s="5136"/>
      <c r="S57" s="5136"/>
      <c r="T57" s="378" t="s">
        <v>535</v>
      </c>
      <c r="U57" s="378"/>
    </row>
    <row r="58" spans="1:21" ht="18" customHeight="1" x14ac:dyDescent="0.25">
      <c r="A58" s="379" t="s">
        <v>536</v>
      </c>
      <c r="B58" s="380" t="s">
        <v>532</v>
      </c>
      <c r="C58" s="381" t="s">
        <v>537</v>
      </c>
      <c r="D58" s="379" t="s">
        <v>538</v>
      </c>
      <c r="E58" s="380" t="s">
        <v>539</v>
      </c>
      <c r="F58" s="382" t="s">
        <v>465</v>
      </c>
      <c r="G58" s="380" t="s">
        <v>539</v>
      </c>
      <c r="H58" s="380" t="s">
        <v>596</v>
      </c>
      <c r="I58" s="380" t="s">
        <v>597</v>
      </c>
      <c r="J58" s="382" t="s">
        <v>598</v>
      </c>
      <c r="K58" s="380" t="s">
        <v>599</v>
      </c>
      <c r="L58" s="382" t="s">
        <v>540</v>
      </c>
      <c r="M58" s="380" t="s">
        <v>541</v>
      </c>
      <c r="N58" s="382" t="s">
        <v>600</v>
      </c>
      <c r="O58" s="383" t="s">
        <v>601</v>
      </c>
      <c r="P58" s="379" t="s">
        <v>602</v>
      </c>
      <c r="Q58" s="382" t="s">
        <v>603</v>
      </c>
      <c r="R58" s="382">
        <v>2030</v>
      </c>
      <c r="S58" s="384">
        <v>2050</v>
      </c>
      <c r="T58" s="385" t="s">
        <v>542</v>
      </c>
      <c r="U58" s="385"/>
    </row>
    <row r="59" spans="1:21" ht="18" customHeight="1" x14ac:dyDescent="0.25">
      <c r="A59" s="2398" t="s">
        <v>222</v>
      </c>
      <c r="B59" s="2365">
        <f>B51+1</f>
        <v>30</v>
      </c>
      <c r="C59" s="2370" t="s">
        <v>617</v>
      </c>
      <c r="D59" s="2371">
        <f>'Industrielle processer 2018G'!O15/Reduktionsstiberegner!F59</f>
        <v>0.41492000000000001</v>
      </c>
      <c r="E59" s="2354" t="s">
        <v>4312</v>
      </c>
      <c r="F59" s="2355">
        <f>'Industrielle processer 2018G'!C15</f>
        <v>14.03856264886641</v>
      </c>
      <c r="G59" s="2356" t="s">
        <v>4784</v>
      </c>
      <c r="H59" s="2357">
        <v>0</v>
      </c>
      <c r="I59" s="2358">
        <f>Reduktionsstiberegner!$F59*Reduktionsstiberegner!$H59</f>
        <v>0</v>
      </c>
      <c r="J59" s="2359">
        <f t="shared" ref="J59:J68" si="12">H59</f>
        <v>0</v>
      </c>
      <c r="K59" s="2358">
        <f t="shared" ref="K59:K65" si="13">J59*F59</f>
        <v>0</v>
      </c>
      <c r="L59" s="2360">
        <v>0</v>
      </c>
      <c r="M59" s="2358">
        <f>Reduktionsstiberegner!$L59*Reduktionsstiberegner!$F59</f>
        <v>0</v>
      </c>
      <c r="N59" s="2361">
        <v>0</v>
      </c>
      <c r="O59" s="2362">
        <f>Reduktionsstiberegner!$N59*F59</f>
        <v>0</v>
      </c>
      <c r="P59" s="2363">
        <f t="shared" ref="P59:P65" si="14">I59*D59</f>
        <v>0</v>
      </c>
      <c r="Q59" s="2358">
        <f>Reduktionsstiberegner!$K59*Reduktionsstiberegner!$D59</f>
        <v>0</v>
      </c>
      <c r="R59" s="2358">
        <f>Reduktionsstiberegner!$D59*Reduktionsstiberegner!$M59</f>
        <v>0</v>
      </c>
      <c r="S59" s="2362">
        <f>Reduktionsstiberegner!$D59*Reduktionsstiberegner!$O59</f>
        <v>0</v>
      </c>
      <c r="T59" s="2434"/>
      <c r="U59" s="2434"/>
    </row>
    <row r="60" spans="1:21" ht="18" customHeight="1" x14ac:dyDescent="0.25">
      <c r="A60" s="2398" t="s">
        <v>222</v>
      </c>
      <c r="B60" s="2365">
        <f t="shared" ref="B60:B65" si="15">B59+1</f>
        <v>31</v>
      </c>
      <c r="C60" s="2370" t="s">
        <v>4317</v>
      </c>
      <c r="D60" s="2371">
        <v>1</v>
      </c>
      <c r="E60" s="2354" t="s">
        <v>642</v>
      </c>
      <c r="F60" s="2355">
        <f>'K15 2018G'!H10+'K15 2018G'!H12+'K15 2018G'!H13+'K15 2018G'!H15+'K15 2018G'!H19+'K15 2018G'!H20</f>
        <v>0</v>
      </c>
      <c r="G60" s="2356" t="s">
        <v>4783</v>
      </c>
      <c r="H60" s="2357">
        <v>0</v>
      </c>
      <c r="I60" s="2358">
        <f>Reduktionsstiberegner!$F60*Reduktionsstiberegner!$H60</f>
        <v>0</v>
      </c>
      <c r="J60" s="2359">
        <f t="shared" si="12"/>
        <v>0</v>
      </c>
      <c r="K60" s="2358">
        <f t="shared" si="13"/>
        <v>0</v>
      </c>
      <c r="L60" s="2360">
        <v>0</v>
      </c>
      <c r="M60" s="2358">
        <f>Reduktionsstiberegner!$L60*Reduktionsstiberegner!$F60</f>
        <v>0</v>
      </c>
      <c r="N60" s="2361">
        <v>0</v>
      </c>
      <c r="O60" s="2362">
        <f>Reduktionsstiberegner!$N60*F60</f>
        <v>0</v>
      </c>
      <c r="P60" s="2363">
        <f t="shared" si="14"/>
        <v>0</v>
      </c>
      <c r="Q60" s="2358">
        <f>Reduktionsstiberegner!$K60*Reduktionsstiberegner!$D60</f>
        <v>0</v>
      </c>
      <c r="R60" s="2358">
        <f>Reduktionsstiberegner!$D60*Reduktionsstiberegner!$M60</f>
        <v>0</v>
      </c>
      <c r="S60" s="2362">
        <f>Reduktionsstiberegner!$D60*Reduktionsstiberegner!$O60</f>
        <v>0</v>
      </c>
      <c r="T60" s="2434"/>
      <c r="U60" s="2434"/>
    </row>
    <row r="61" spans="1:21" ht="18" customHeight="1" x14ac:dyDescent="0.2">
      <c r="A61" s="2398" t="s">
        <v>222</v>
      </c>
      <c r="B61" s="2365">
        <f t="shared" si="15"/>
        <v>32</v>
      </c>
      <c r="C61" s="2370" t="s">
        <v>618</v>
      </c>
      <c r="D61" s="2371">
        <f>'Industrielle processer 2018G'!O20/Reduktionsstiberegner!F61</f>
        <v>2.41E-2</v>
      </c>
      <c r="E61" s="2354" t="s">
        <v>642</v>
      </c>
      <c r="F61" s="2355">
        <f>'Industrielle processer 2018G'!D20</f>
        <v>18.536066277012171</v>
      </c>
      <c r="G61" s="2356" t="s">
        <v>4784</v>
      </c>
      <c r="H61" s="2357">
        <v>0</v>
      </c>
      <c r="I61" s="2358">
        <f>Reduktionsstiberegner!$F61*Reduktionsstiberegner!$H61</f>
        <v>0</v>
      </c>
      <c r="J61" s="2359">
        <f t="shared" si="12"/>
        <v>0</v>
      </c>
      <c r="K61" s="2358">
        <f t="shared" si="13"/>
        <v>0</v>
      </c>
      <c r="L61" s="2360">
        <v>0</v>
      </c>
      <c r="M61" s="2358">
        <f>Reduktionsstiberegner!$L61*Reduktionsstiberegner!$F61</f>
        <v>0</v>
      </c>
      <c r="N61" s="2361">
        <v>0</v>
      </c>
      <c r="O61" s="2362">
        <f>Reduktionsstiberegner!$N61*F61</f>
        <v>0</v>
      </c>
      <c r="P61" s="2363">
        <f t="shared" si="14"/>
        <v>0</v>
      </c>
      <c r="Q61" s="2358">
        <f>Reduktionsstiberegner!$K61*Reduktionsstiberegner!$D61</f>
        <v>0</v>
      </c>
      <c r="R61" s="2358">
        <f>Reduktionsstiberegner!$D61*Reduktionsstiberegner!$M61</f>
        <v>0</v>
      </c>
      <c r="S61" s="2362">
        <f>Reduktionsstiberegner!$D61*Reduktionsstiberegner!$O61</f>
        <v>0</v>
      </c>
      <c r="T61" s="2364"/>
      <c r="U61" s="2364"/>
    </row>
    <row r="62" spans="1:21" ht="18" customHeight="1" x14ac:dyDescent="0.2">
      <c r="A62" s="2398" t="s">
        <v>222</v>
      </c>
      <c r="B62" s="2365">
        <f t="shared" si="15"/>
        <v>33</v>
      </c>
      <c r="C62" s="2370" t="s">
        <v>619</v>
      </c>
      <c r="D62" s="2371">
        <f>'Industrielle processer 2018G'!O24/Reduktionsstiberegner!F62</f>
        <v>0.20000000000000004</v>
      </c>
      <c r="E62" s="2354" t="s">
        <v>642</v>
      </c>
      <c r="F62" s="2355">
        <f>'Industrielle processer 2018G'!E24</f>
        <v>0.18691411283836026</v>
      </c>
      <c r="G62" s="2356" t="s">
        <v>4784</v>
      </c>
      <c r="H62" s="2357">
        <v>0</v>
      </c>
      <c r="I62" s="2358">
        <f>Reduktionsstiberegner!$F62*Reduktionsstiberegner!$H62</f>
        <v>0</v>
      </c>
      <c r="J62" s="2359">
        <f t="shared" si="12"/>
        <v>0</v>
      </c>
      <c r="K62" s="2358">
        <f t="shared" si="13"/>
        <v>0</v>
      </c>
      <c r="L62" s="2360">
        <v>0</v>
      </c>
      <c r="M62" s="2358">
        <f>Reduktionsstiberegner!$L62*Reduktionsstiberegner!$F62</f>
        <v>0</v>
      </c>
      <c r="N62" s="2361">
        <v>0</v>
      </c>
      <c r="O62" s="2362">
        <f>Reduktionsstiberegner!$N62*F62</f>
        <v>0</v>
      </c>
      <c r="P62" s="2363">
        <f t="shared" si="14"/>
        <v>0</v>
      </c>
      <c r="Q62" s="2358">
        <f>Reduktionsstiberegner!$K62*Reduktionsstiberegner!$D62</f>
        <v>0</v>
      </c>
      <c r="R62" s="2358">
        <f>Reduktionsstiberegner!$D62*Reduktionsstiberegner!$M62</f>
        <v>0</v>
      </c>
      <c r="S62" s="2362">
        <f>Reduktionsstiberegner!$D62*Reduktionsstiberegner!$O62</f>
        <v>0</v>
      </c>
      <c r="T62" s="2364"/>
      <c r="U62" s="2364"/>
    </row>
    <row r="63" spans="1:21" ht="18" customHeight="1" x14ac:dyDescent="0.2">
      <c r="A63" s="2398" t="s">
        <v>222</v>
      </c>
      <c r="B63" s="2365">
        <f t="shared" si="15"/>
        <v>34</v>
      </c>
      <c r="C63" s="2370" t="s">
        <v>620</v>
      </c>
      <c r="D63" s="2371">
        <f>('Industrielle processer 2018G'!O25+'Industrielle processer 2018G'!O26+'Industrielle processer 2018G'!O27+'Industrielle processer 2018G'!O28+'Industrielle processer 2018G'!O29+'Industrielle processer 2018G'!O30)/Reduktionsstiberegner!F63</f>
        <v>3.2512827379292841E-2</v>
      </c>
      <c r="E63" s="2354" t="s">
        <v>642</v>
      </c>
      <c r="F63" s="2355">
        <f>SUM('Industrielle processer 2018G'!F25:F30)</f>
        <v>1558.4554460227353</v>
      </c>
      <c r="G63" s="2356" t="s">
        <v>4784</v>
      </c>
      <c r="H63" s="2357">
        <v>0</v>
      </c>
      <c r="I63" s="2358">
        <f>Reduktionsstiberegner!$F63*Reduktionsstiberegner!$H63</f>
        <v>0</v>
      </c>
      <c r="J63" s="2359">
        <f t="shared" si="12"/>
        <v>0</v>
      </c>
      <c r="K63" s="2358">
        <f t="shared" si="13"/>
        <v>0</v>
      </c>
      <c r="L63" s="2360">
        <v>0</v>
      </c>
      <c r="M63" s="2358">
        <f>Reduktionsstiberegner!$L63*Reduktionsstiberegner!$F63</f>
        <v>0</v>
      </c>
      <c r="N63" s="2361">
        <v>0</v>
      </c>
      <c r="O63" s="2362">
        <f>Reduktionsstiberegner!$N63*F63</f>
        <v>0</v>
      </c>
      <c r="P63" s="2363">
        <f t="shared" si="14"/>
        <v>0</v>
      </c>
      <c r="Q63" s="2358">
        <f>Reduktionsstiberegner!$K63*Reduktionsstiberegner!$D63</f>
        <v>0</v>
      </c>
      <c r="R63" s="2358">
        <f>Reduktionsstiberegner!$D63*Reduktionsstiberegner!$M63</f>
        <v>0</v>
      </c>
      <c r="S63" s="2362">
        <f>Reduktionsstiberegner!$D63*Reduktionsstiberegner!$O63</f>
        <v>0</v>
      </c>
      <c r="T63" s="2364" t="s">
        <v>564</v>
      </c>
      <c r="U63" s="2364"/>
    </row>
    <row r="64" spans="1:21" ht="18" customHeight="1" x14ac:dyDescent="0.2">
      <c r="A64" s="2398" t="s">
        <v>222</v>
      </c>
      <c r="B64" s="2365">
        <f t="shared" si="15"/>
        <v>35</v>
      </c>
      <c r="C64" s="2370" t="s">
        <v>621</v>
      </c>
      <c r="D64" s="2371">
        <v>0</v>
      </c>
      <c r="E64" s="2354" t="s">
        <v>642</v>
      </c>
      <c r="F64" s="2355">
        <v>0</v>
      </c>
      <c r="G64" s="2356" t="s">
        <v>4784</v>
      </c>
      <c r="H64" s="2357">
        <v>0</v>
      </c>
      <c r="I64" s="2358">
        <f>Reduktionsstiberegner!$F64*Reduktionsstiberegner!$H64</f>
        <v>0</v>
      </c>
      <c r="J64" s="2359">
        <f t="shared" si="12"/>
        <v>0</v>
      </c>
      <c r="K64" s="2358">
        <f t="shared" si="13"/>
        <v>0</v>
      </c>
      <c r="L64" s="2360">
        <v>0</v>
      </c>
      <c r="M64" s="2358">
        <f>Reduktionsstiberegner!$L64*Reduktionsstiberegner!$F64</f>
        <v>0</v>
      </c>
      <c r="N64" s="2361">
        <v>0</v>
      </c>
      <c r="O64" s="2362">
        <f>Reduktionsstiberegner!$N64*F64</f>
        <v>0</v>
      </c>
      <c r="P64" s="2363">
        <f t="shared" si="14"/>
        <v>0</v>
      </c>
      <c r="Q64" s="2358">
        <f>Reduktionsstiberegner!$K64*Reduktionsstiberegner!$D64</f>
        <v>0</v>
      </c>
      <c r="R64" s="2358">
        <f>Reduktionsstiberegner!$D64*Reduktionsstiberegner!$M64</f>
        <v>0</v>
      </c>
      <c r="S64" s="2362">
        <f>Reduktionsstiberegner!$D64*Reduktionsstiberegner!$O64</f>
        <v>0</v>
      </c>
      <c r="T64" s="2364" t="s">
        <v>564</v>
      </c>
      <c r="U64" s="2364"/>
    </row>
    <row r="65" spans="1:21" ht="18" customHeight="1" x14ac:dyDescent="0.2">
      <c r="A65" s="2398" t="s">
        <v>222</v>
      </c>
      <c r="B65" s="2365">
        <f t="shared" si="15"/>
        <v>36</v>
      </c>
      <c r="C65" s="2370" t="s">
        <v>622</v>
      </c>
      <c r="D65" s="2371">
        <v>1</v>
      </c>
      <c r="E65" s="2354" t="s">
        <v>642</v>
      </c>
      <c r="F65" s="2355">
        <f>'Industrielle processer 2018G'!O33+'Industrielle processer 2018G'!O34+'Industrielle processer 2018G'!O35</f>
        <v>152.32757922682916</v>
      </c>
      <c r="G65" s="2356" t="s">
        <v>4783</v>
      </c>
      <c r="H65" s="2357">
        <v>0</v>
      </c>
      <c r="I65" s="2358">
        <f>Reduktionsstiberegner!$F65*Reduktionsstiberegner!$H65</f>
        <v>0</v>
      </c>
      <c r="J65" s="2359">
        <f t="shared" si="12"/>
        <v>0</v>
      </c>
      <c r="K65" s="2358">
        <f t="shared" si="13"/>
        <v>0</v>
      </c>
      <c r="L65" s="2360">
        <v>0</v>
      </c>
      <c r="M65" s="2358">
        <f>Reduktionsstiberegner!$L65*Reduktionsstiberegner!$F65</f>
        <v>0</v>
      </c>
      <c r="N65" s="2361">
        <v>0</v>
      </c>
      <c r="O65" s="2362">
        <f>Reduktionsstiberegner!$N65*F65</f>
        <v>0</v>
      </c>
      <c r="P65" s="2363">
        <f t="shared" si="14"/>
        <v>0</v>
      </c>
      <c r="Q65" s="2358">
        <f>Reduktionsstiberegner!$K65*Reduktionsstiberegner!$D65</f>
        <v>0</v>
      </c>
      <c r="R65" s="2358">
        <f>Reduktionsstiberegner!$D65*Reduktionsstiberegner!$M65</f>
        <v>0</v>
      </c>
      <c r="S65" s="2362">
        <f>Reduktionsstiberegner!$D65*Reduktionsstiberegner!$O65</f>
        <v>0</v>
      </c>
      <c r="T65" s="2364"/>
      <c r="U65" s="2364"/>
    </row>
    <row r="66" spans="1:21" ht="18" customHeight="1" x14ac:dyDescent="0.2">
      <c r="A66" s="2398" t="s">
        <v>222</v>
      </c>
      <c r="B66" s="2365" t="str">
        <f>B65&amp;"a"</f>
        <v>36a</v>
      </c>
      <c r="C66" s="2388" t="s">
        <v>623</v>
      </c>
      <c r="D66" s="2372"/>
      <c r="E66" s="2354" t="s">
        <v>4301</v>
      </c>
      <c r="F66" s="2386"/>
      <c r="G66" s="2374"/>
      <c r="H66" s="2357">
        <v>0</v>
      </c>
      <c r="I66" s="2358"/>
      <c r="J66" s="2359">
        <f t="shared" si="12"/>
        <v>0</v>
      </c>
      <c r="K66" s="2358"/>
      <c r="L66" s="2360">
        <v>0</v>
      </c>
      <c r="M66" s="2358"/>
      <c r="N66" s="2361">
        <v>0</v>
      </c>
      <c r="O66" s="2362"/>
      <c r="P66" s="2363"/>
      <c r="Q66" s="2358"/>
      <c r="R66" s="2358"/>
      <c r="S66" s="2362"/>
      <c r="T66" s="2435"/>
      <c r="U66" s="2435"/>
    </row>
    <row r="67" spans="1:21" ht="18" customHeight="1" x14ac:dyDescent="0.2">
      <c r="A67" s="2398" t="s">
        <v>222</v>
      </c>
      <c r="B67" s="2365" t="str">
        <f>B65&amp;"b"</f>
        <v>36b</v>
      </c>
      <c r="C67" s="2388" t="s">
        <v>623</v>
      </c>
      <c r="D67" s="2372"/>
      <c r="E67" s="2354" t="s">
        <v>4301</v>
      </c>
      <c r="F67" s="2386"/>
      <c r="G67" s="2374"/>
      <c r="H67" s="2357">
        <v>0</v>
      </c>
      <c r="I67" s="2358"/>
      <c r="J67" s="2359">
        <f t="shared" si="12"/>
        <v>0</v>
      </c>
      <c r="K67" s="2358"/>
      <c r="L67" s="2360">
        <v>0</v>
      </c>
      <c r="M67" s="2358"/>
      <c r="N67" s="2361">
        <v>0</v>
      </c>
      <c r="O67" s="2362"/>
      <c r="P67" s="2363"/>
      <c r="Q67" s="2358"/>
      <c r="R67" s="2358"/>
      <c r="S67" s="2362"/>
      <c r="T67" s="2435"/>
      <c r="U67" s="2435"/>
    </row>
    <row r="68" spans="1:21" ht="18" customHeight="1" thickBot="1" x14ac:dyDescent="0.25">
      <c r="A68" s="2436" t="s">
        <v>222</v>
      </c>
      <c r="B68" s="2365" t="str">
        <f>B65&amp;"c"</f>
        <v>36c</v>
      </c>
      <c r="C68" s="2388" t="s">
        <v>623</v>
      </c>
      <c r="D68" s="2690"/>
      <c r="E68" s="2354" t="s">
        <v>4301</v>
      </c>
      <c r="F68" s="2437"/>
      <c r="G68" s="2390"/>
      <c r="H68" s="2357">
        <v>0</v>
      </c>
      <c r="I68" s="2358"/>
      <c r="J68" s="2359">
        <f t="shared" si="12"/>
        <v>0</v>
      </c>
      <c r="K68" s="2358"/>
      <c r="L68" s="2360">
        <v>0</v>
      </c>
      <c r="M68" s="2358"/>
      <c r="N68" s="2361">
        <v>0</v>
      </c>
      <c r="O68" s="2362"/>
      <c r="P68" s="2363">
        <f>I68*D68</f>
        <v>0</v>
      </c>
      <c r="Q68" s="2358">
        <f>Reduktionsstiberegner!$K68*Reduktionsstiberegner!$D68</f>
        <v>0</v>
      </c>
      <c r="R68" s="2358">
        <f>Reduktionsstiberegner!$D68*Reduktionsstiberegner!$M68</f>
        <v>0</v>
      </c>
      <c r="S68" s="2362">
        <f>Reduktionsstiberegner!$D68*Reduktionsstiberegner!$O68</f>
        <v>0</v>
      </c>
      <c r="T68" s="2435" t="s">
        <v>564</v>
      </c>
      <c r="U68" s="2435"/>
    </row>
    <row r="69" spans="1:21" ht="18" customHeight="1" thickBot="1" x14ac:dyDescent="0.25">
      <c r="A69" s="386"/>
      <c r="B69" s="387"/>
      <c r="C69" s="396" t="s">
        <v>4318</v>
      </c>
      <c r="D69" s="397"/>
      <c r="E69" s="397"/>
      <c r="F69" s="390"/>
      <c r="G69" s="390"/>
      <c r="H69" s="398"/>
      <c r="I69" s="390"/>
      <c r="J69" s="390"/>
      <c r="K69" s="390"/>
      <c r="L69" s="398"/>
      <c r="M69" s="390"/>
      <c r="N69" s="398"/>
      <c r="O69" s="390"/>
      <c r="P69" s="391">
        <f>SUM(P59:P68)</f>
        <v>0</v>
      </c>
      <c r="Q69" s="390">
        <f t="shared" ref="Q69:S69" si="16">SUM(Q59:Q68)</f>
        <v>0</v>
      </c>
      <c r="R69" s="390">
        <f t="shared" si="16"/>
        <v>0</v>
      </c>
      <c r="S69" s="392">
        <f t="shared" si="16"/>
        <v>0</v>
      </c>
      <c r="T69" s="400"/>
      <c r="U69" s="400"/>
    </row>
    <row r="70" spans="1:21" ht="13.5" thickBot="1" x14ac:dyDescent="0.25">
      <c r="D70" s="393"/>
      <c r="E70" s="393"/>
    </row>
    <row r="71" spans="1:21" ht="24" customHeight="1" thickBot="1" x14ac:dyDescent="0.4">
      <c r="A71" s="377" t="s">
        <v>109</v>
      </c>
      <c r="B71" s="371"/>
      <c r="C71" s="371"/>
      <c r="D71" s="5137" t="s">
        <v>592</v>
      </c>
      <c r="E71" s="5136"/>
      <c r="F71" s="5138" t="s">
        <v>607</v>
      </c>
      <c r="G71" s="5138"/>
      <c r="H71" s="5136" t="s">
        <v>576</v>
      </c>
      <c r="I71" s="5136"/>
      <c r="J71" s="5136" t="s">
        <v>577</v>
      </c>
      <c r="K71" s="5136"/>
      <c r="L71" s="5136">
        <v>2030</v>
      </c>
      <c r="M71" s="5136"/>
      <c r="N71" s="5136">
        <v>2050</v>
      </c>
      <c r="O71" s="5136"/>
      <c r="P71" s="5136" t="s">
        <v>594</v>
      </c>
      <c r="Q71" s="5136"/>
      <c r="R71" s="5136"/>
      <c r="S71" s="5136"/>
      <c r="T71" s="378" t="s">
        <v>535</v>
      </c>
      <c r="U71" s="378" t="s">
        <v>5396</v>
      </c>
    </row>
    <row r="72" spans="1:21" ht="18" customHeight="1" thickBot="1" x14ac:dyDescent="0.3">
      <c r="A72" s="401" t="s">
        <v>536</v>
      </c>
      <c r="B72" s="380" t="s">
        <v>532</v>
      </c>
      <c r="C72" s="381" t="s">
        <v>537</v>
      </c>
      <c r="D72" s="379" t="s">
        <v>538</v>
      </c>
      <c r="E72" s="380" t="s">
        <v>539</v>
      </c>
      <c r="F72" s="382" t="s">
        <v>465</v>
      </c>
      <c r="G72" s="380" t="s">
        <v>539</v>
      </c>
      <c r="H72" s="380" t="s">
        <v>596</v>
      </c>
      <c r="I72" s="380" t="s">
        <v>597</v>
      </c>
      <c r="J72" s="380" t="s">
        <v>598</v>
      </c>
      <c r="K72" s="380" t="s">
        <v>599</v>
      </c>
      <c r="L72" s="382" t="s">
        <v>540</v>
      </c>
      <c r="M72" s="380" t="s">
        <v>541</v>
      </c>
      <c r="N72" s="382" t="s">
        <v>600</v>
      </c>
      <c r="O72" s="383" t="s">
        <v>601</v>
      </c>
      <c r="P72" s="2438" t="s">
        <v>602</v>
      </c>
      <c r="Q72" s="2439" t="s">
        <v>603</v>
      </c>
      <c r="R72" s="2439">
        <v>2030</v>
      </c>
      <c r="S72" s="2440">
        <v>2050</v>
      </c>
      <c r="T72" s="385" t="s">
        <v>542</v>
      </c>
      <c r="U72" s="385" t="s">
        <v>542</v>
      </c>
    </row>
    <row r="73" spans="1:21" ht="18" customHeight="1" x14ac:dyDescent="0.2">
      <c r="A73" s="2384" t="s">
        <v>109</v>
      </c>
      <c r="B73" s="2353">
        <f>B65+1</f>
        <v>37</v>
      </c>
      <c r="C73" s="2370" t="s">
        <v>4319</v>
      </c>
      <c r="D73" s="2385"/>
      <c r="E73" s="2354"/>
      <c r="F73" s="2441">
        <f>'E-Tiltag'!$AE$32</f>
        <v>994</v>
      </c>
      <c r="G73" s="2356" t="s">
        <v>4320</v>
      </c>
      <c r="H73" s="2357">
        <v>0.22</v>
      </c>
      <c r="I73" s="2358">
        <f>Reduktionsstiberegner!$H73*Reduktionsstiberegner!$F73</f>
        <v>218.68</v>
      </c>
      <c r="J73" s="2359">
        <v>0.42</v>
      </c>
      <c r="K73" s="2358">
        <f>J73*F73</f>
        <v>417.47999999999996</v>
      </c>
      <c r="L73" s="2360">
        <v>0.7</v>
      </c>
      <c r="M73" s="2358">
        <f>Reduktionsstiberegner!$L73*Reduktionsstiberegner!$F73</f>
        <v>695.8</v>
      </c>
      <c r="N73" s="2361">
        <v>0.93</v>
      </c>
      <c r="O73" s="2368">
        <f>Reduktionsstiberegner!$N73*F73</f>
        <v>924.42000000000007</v>
      </c>
      <c r="P73" s="2442"/>
      <c r="Q73" s="2443"/>
      <c r="R73" s="2443"/>
      <c r="S73" s="2444"/>
      <c r="T73" s="2445"/>
      <c r="U73" s="2445"/>
    </row>
    <row r="74" spans="1:21" ht="18" customHeight="1" x14ac:dyDescent="0.2">
      <c r="A74" s="2384" t="s">
        <v>109</v>
      </c>
      <c r="B74" s="2353">
        <f>B73+1</f>
        <v>38</v>
      </c>
      <c r="C74" s="2370" t="s">
        <v>4321</v>
      </c>
      <c r="D74" s="2385"/>
      <c r="E74" s="2354"/>
      <c r="F74" s="2441">
        <f>'E-Tiltag'!$AE$32</f>
        <v>994</v>
      </c>
      <c r="G74" s="2356" t="s">
        <v>4320</v>
      </c>
      <c r="H74" s="2357">
        <v>7.0000000000000007E-2</v>
      </c>
      <c r="I74" s="2358">
        <f>Reduktionsstiberegner!$H74*Reduktionsstiberegner!$F74</f>
        <v>69.580000000000013</v>
      </c>
      <c r="J74" s="2359">
        <v>7.0000000000000007E-2</v>
      </c>
      <c r="K74" s="2358">
        <f>J74*F74</f>
        <v>69.580000000000013</v>
      </c>
      <c r="L74" s="2360">
        <v>7.0000000000000007E-2</v>
      </c>
      <c r="M74" s="2358">
        <f>Reduktionsstiberegner!$L74*Reduktionsstiberegner!$F74</f>
        <v>69.580000000000013</v>
      </c>
      <c r="N74" s="2361">
        <v>7.0000000000000007E-2</v>
      </c>
      <c r="O74" s="2368">
        <f>Reduktionsstiberegner!$N74*F74</f>
        <v>69.580000000000013</v>
      </c>
      <c r="P74" s="2446"/>
      <c r="Q74" s="2447"/>
      <c r="R74" s="2447"/>
      <c r="S74" s="2448"/>
      <c r="T74" s="2445"/>
      <c r="U74" s="2445"/>
    </row>
    <row r="75" spans="1:21" ht="18" customHeight="1" x14ac:dyDescent="0.2">
      <c r="A75" s="2384"/>
      <c r="B75" s="2353"/>
      <c r="C75" s="2449" t="s">
        <v>4322</v>
      </c>
      <c r="D75" s="2450"/>
      <c r="E75" s="2451"/>
      <c r="F75" s="2452"/>
      <c r="G75" s="2453"/>
      <c r="H75" s="2454"/>
      <c r="I75" s="2453"/>
      <c r="J75" s="2454"/>
      <c r="K75" s="2453"/>
      <c r="L75" s="2454"/>
      <c r="M75" s="2453"/>
      <c r="N75" s="2454"/>
      <c r="O75" s="2455"/>
      <c r="P75" s="2363">
        <f>('E2020'!$H$61*'E2020'!$H$89+'E2020'!$F$62*'E2020'!$F$89)-(EBAU2030!$H$61*'E2020'!$H$89)-((EBAU2030!$F$62+EBAU2030!$K$62)*'E2020'!$F$89)</f>
        <v>712.00095852693926</v>
      </c>
      <c r="Q75" s="2358">
        <f>('E2020'!$H$61*'E2020'!$H$89+'E2020'!$F$62*'E2020'!$F$89)-(EBAU2050!$H$61*'E2020'!$H$89)-((EBAU2050!$F$62+EBAU2050!$K$62)*'E2020'!$F$89)</f>
        <v>1250.5239882347171</v>
      </c>
      <c r="R75" s="2358">
        <f>('E2020'!$H$61*'E2020'!$H$89+'E2020'!$F$62*'E2020'!$F$89)-(ESTI2030!$H$61*'E2020'!$H$89)-((ESTI2030!$F$62+ESTI2030!$K$62)*'E2020'!$F$89)</f>
        <v>1732.5580615666117</v>
      </c>
      <c r="S75" s="2362">
        <f>('E2020'!$H$61*'E2020'!$H$89+'E2020'!$F$62*'E2020'!$F$89)-(ESTI2050!$H$61*'E2020'!$H$89)-((ESTI2050!$F$62+ESTI2050!$K$62)*'E2020'!$F$89)</f>
        <v>2226.2022106363634</v>
      </c>
      <c r="T75" s="2456"/>
      <c r="U75" s="2456"/>
    </row>
    <row r="76" spans="1:21" ht="18" customHeight="1" x14ac:dyDescent="0.2">
      <c r="A76" s="2384" t="s">
        <v>109</v>
      </c>
      <c r="B76" s="2353">
        <f>B74+1</f>
        <v>39</v>
      </c>
      <c r="C76" s="2370" t="s">
        <v>4323</v>
      </c>
      <c r="D76" s="2385"/>
      <c r="E76" s="2354"/>
      <c r="F76" s="2457">
        <f>'E-Tiltag'!$AE$58</f>
        <v>37</v>
      </c>
      <c r="G76" s="2458" t="s">
        <v>4324</v>
      </c>
      <c r="H76" s="2357">
        <v>0.05</v>
      </c>
      <c r="I76" s="2358">
        <f>Reduktionsstiberegner!$H76*Reduktionsstiberegner!$F76</f>
        <v>1.85</v>
      </c>
      <c r="J76" s="2359">
        <v>0.17</v>
      </c>
      <c r="K76" s="2358">
        <f>J76*F76</f>
        <v>6.29</v>
      </c>
      <c r="L76" s="2360">
        <v>0.05</v>
      </c>
      <c r="M76" s="2358">
        <f>Reduktionsstiberegner!$L76*Reduktionsstiberegner!$F76</f>
        <v>1.85</v>
      </c>
      <c r="N76" s="2361">
        <v>0.17</v>
      </c>
      <c r="O76" s="2368">
        <f>Reduktionsstiberegner!$N76*F76</f>
        <v>6.29</v>
      </c>
      <c r="P76" s="2459"/>
      <c r="Q76" s="2460"/>
      <c r="R76" s="2460"/>
      <c r="S76" s="2461"/>
      <c r="T76" s="2445"/>
      <c r="U76" s="2445"/>
    </row>
    <row r="77" spans="1:21" ht="18" customHeight="1" x14ac:dyDescent="0.2">
      <c r="A77" s="2384" t="s">
        <v>109</v>
      </c>
      <c r="B77" s="2353">
        <f>B76+1</f>
        <v>40</v>
      </c>
      <c r="C77" s="2370" t="s">
        <v>4325</v>
      </c>
      <c r="D77" s="2385"/>
      <c r="E77" s="2354"/>
      <c r="F77" s="2457">
        <f>'E-Tiltag'!$AE$58</f>
        <v>37</v>
      </c>
      <c r="G77" s="2458" t="s">
        <v>4324</v>
      </c>
      <c r="H77" s="2357">
        <v>0.02</v>
      </c>
      <c r="I77" s="2358">
        <f>Reduktionsstiberegner!$H77*Reduktionsstiberegner!$F77</f>
        <v>0.74</v>
      </c>
      <c r="J77" s="2359">
        <v>0.03</v>
      </c>
      <c r="K77" s="2358">
        <f>J77*F77</f>
        <v>1.1099999999999999</v>
      </c>
      <c r="L77" s="2360">
        <v>0.02</v>
      </c>
      <c r="M77" s="2358">
        <f>Reduktionsstiberegner!$L77*Reduktionsstiberegner!$F77</f>
        <v>0.74</v>
      </c>
      <c r="N77" s="2361">
        <v>0.03</v>
      </c>
      <c r="O77" s="2368">
        <f>Reduktionsstiberegner!$N77*F77</f>
        <v>1.1099999999999999</v>
      </c>
      <c r="P77" s="2459"/>
      <c r="Q77" s="2460"/>
      <c r="R77" s="2460"/>
      <c r="S77" s="2461"/>
      <c r="T77" s="2445"/>
      <c r="U77" s="2445"/>
    </row>
    <row r="78" spans="1:21" ht="18" customHeight="1" x14ac:dyDescent="0.2">
      <c r="A78" s="2384" t="s">
        <v>109</v>
      </c>
      <c r="B78" s="2353">
        <f>B77+1</f>
        <v>41</v>
      </c>
      <c r="C78" s="2370" t="s">
        <v>4326</v>
      </c>
      <c r="D78" s="2385"/>
      <c r="E78" s="2354"/>
      <c r="F78" s="2457">
        <f>'E-Tiltag'!$AE$58</f>
        <v>37</v>
      </c>
      <c r="G78" s="2458" t="s">
        <v>4324</v>
      </c>
      <c r="H78" s="2357">
        <v>0.01</v>
      </c>
      <c r="I78" s="2358">
        <f>Reduktionsstiberegner!$H78*Reduktionsstiberegner!$F78</f>
        <v>0.37</v>
      </c>
      <c r="J78" s="2359">
        <v>0.01</v>
      </c>
      <c r="K78" s="2358">
        <f>J78*F78</f>
        <v>0.37</v>
      </c>
      <c r="L78" s="2360">
        <v>0.01</v>
      </c>
      <c r="M78" s="2358">
        <f>Reduktionsstiberegner!$L78*Reduktionsstiberegner!$F78</f>
        <v>0.37</v>
      </c>
      <c r="N78" s="2361">
        <v>0.01</v>
      </c>
      <c r="O78" s="2368">
        <f>Reduktionsstiberegner!$N78*F78</f>
        <v>0.37</v>
      </c>
      <c r="P78" s="2446"/>
      <c r="Q78" s="2447"/>
      <c r="R78" s="2447"/>
      <c r="S78" s="2448"/>
      <c r="T78" s="2445"/>
      <c r="U78" s="2445"/>
    </row>
    <row r="79" spans="1:21" ht="18" customHeight="1" x14ac:dyDescent="0.2">
      <c r="A79" s="2384"/>
      <c r="B79" s="2353"/>
      <c r="C79" s="2449" t="s">
        <v>4327</v>
      </c>
      <c r="D79" s="2450"/>
      <c r="E79" s="2451"/>
      <c r="F79" s="2452"/>
      <c r="G79" s="2453"/>
      <c r="H79" s="2454" t="str">
        <f>IF(SUM(H76:H78)&gt;1,"OBS: PROCENTER OVERSTIGER 100%!","")</f>
        <v/>
      </c>
      <c r="I79" s="2453"/>
      <c r="J79" s="2454" t="str">
        <f>IF(SUM(J76:J78)&gt;1,"OBS: PROCENTER OVERSTIGER 100%!","")</f>
        <v/>
      </c>
      <c r="K79" s="2453"/>
      <c r="L79" s="2454" t="str">
        <f>IF(SUM(L76:L78)&gt;1,"OBS: PROCENTER OVERSTIGER 100%!","")</f>
        <v/>
      </c>
      <c r="M79" s="2453"/>
      <c r="N79" s="2454" t="str">
        <f>IF(SUM(N76:N78)&gt;1,"OBS: PROCENTER OVERSTIGER 100%!","")</f>
        <v/>
      </c>
      <c r="O79" s="2455"/>
      <c r="P79" s="2363">
        <f>('E2020'!$F$71*'E2020'!$F$89)-((EBAU2030!$F$71+EBAU2030!$K$71)*'E2020'!$F$89)</f>
        <v>337.62237628222556</v>
      </c>
      <c r="Q79" s="2358">
        <f>('E2020'!$F$71*'E2020'!$F$89)-((EBAU2050!$F$71+EBAU2050!$K$71)*'E2020'!$F$89)</f>
        <v>442.88662473621184</v>
      </c>
      <c r="R79" s="2358">
        <f>('E2020'!$F$71*'E2020'!$F$89)-((ESTI2030!$F$71+ESTI2030!$K$71)*'E2020'!$F$89)</f>
        <v>337.62237628222556</v>
      </c>
      <c r="S79" s="2362">
        <f>('E2020'!$F$71*'E2020'!$F$89)-((ESTI2050!$F$71+ESTI2050!$K$71)*'E2020'!$F$89)</f>
        <v>442.88662473621184</v>
      </c>
      <c r="T79" s="2456"/>
      <c r="U79" s="2456"/>
    </row>
    <row r="80" spans="1:21" ht="18" customHeight="1" x14ac:dyDescent="0.2">
      <c r="A80" s="2384" t="s">
        <v>109</v>
      </c>
      <c r="B80" s="2353">
        <f>B78+1</f>
        <v>42</v>
      </c>
      <c r="C80" s="2370" t="s">
        <v>4328</v>
      </c>
      <c r="D80" s="2385"/>
      <c r="E80" s="2354"/>
      <c r="F80" s="2457">
        <f>'E-Tiltag'!$AE$79</f>
        <v>4</v>
      </c>
      <c r="G80" s="2458" t="s">
        <v>4329</v>
      </c>
      <c r="H80" s="2357">
        <v>0.28999999999999998</v>
      </c>
      <c r="I80" s="2358">
        <f>Reduktionsstiberegner!$H80*Reduktionsstiberegner!$F80</f>
        <v>1.1599999999999999</v>
      </c>
      <c r="J80" s="2359">
        <v>0.45</v>
      </c>
      <c r="K80" s="2358">
        <f>J80*F80</f>
        <v>1.8</v>
      </c>
      <c r="L80" s="2360">
        <v>0.7</v>
      </c>
      <c r="M80" s="2358">
        <f>Reduktionsstiberegner!$L80*Reduktionsstiberegner!$F80</f>
        <v>2.8</v>
      </c>
      <c r="N80" s="2361">
        <v>1</v>
      </c>
      <c r="O80" s="2368">
        <f>Reduktionsstiberegner!$N80*F80</f>
        <v>4</v>
      </c>
      <c r="P80" s="2459"/>
      <c r="Q80" s="2460"/>
      <c r="R80" s="2460"/>
      <c r="S80" s="2461"/>
      <c r="T80" s="2445"/>
      <c r="U80" s="2445"/>
    </row>
    <row r="81" spans="1:21" ht="18" customHeight="1" x14ac:dyDescent="0.2">
      <c r="A81" s="2384" t="s">
        <v>109</v>
      </c>
      <c r="B81" s="2353">
        <f>B80+1</f>
        <v>43</v>
      </c>
      <c r="C81" s="2370" t="s">
        <v>4330</v>
      </c>
      <c r="D81" s="2385"/>
      <c r="E81" s="2354"/>
      <c r="F81" s="2457">
        <f>'E-Tiltag'!$AE$79</f>
        <v>4</v>
      </c>
      <c r="G81" s="2458" t="s">
        <v>4329</v>
      </c>
      <c r="H81" s="2357">
        <v>0.06</v>
      </c>
      <c r="I81" s="2358">
        <f>Reduktionsstiberegner!$H81*Reduktionsstiberegner!$F81</f>
        <v>0.24</v>
      </c>
      <c r="J81" s="2359">
        <v>0.06</v>
      </c>
      <c r="K81" s="2358">
        <f>J81*F81</f>
        <v>0.24</v>
      </c>
      <c r="L81" s="2360">
        <v>0</v>
      </c>
      <c r="M81" s="2358">
        <f>Reduktionsstiberegner!$L81*Reduktionsstiberegner!$F81</f>
        <v>0</v>
      </c>
      <c r="N81" s="2361">
        <v>0</v>
      </c>
      <c r="O81" s="2368">
        <f>Reduktionsstiberegner!$N81*F81</f>
        <v>0</v>
      </c>
      <c r="P81" s="2459"/>
      <c r="Q81" s="2460"/>
      <c r="R81" s="2460"/>
      <c r="S81" s="2461"/>
      <c r="T81" s="2456"/>
      <c r="U81" s="2456"/>
    </row>
    <row r="82" spans="1:21" ht="18" customHeight="1" x14ac:dyDescent="0.2">
      <c r="A82" s="2384" t="s">
        <v>109</v>
      </c>
      <c r="B82" s="2353">
        <f>B81+1</f>
        <v>44</v>
      </c>
      <c r="C82" s="2370" t="s">
        <v>4331</v>
      </c>
      <c r="D82" s="2385"/>
      <c r="E82" s="2354"/>
      <c r="F82" s="2457">
        <f>'E-Tiltag'!$AE$79</f>
        <v>4</v>
      </c>
      <c r="G82" s="2458" t="s">
        <v>4329</v>
      </c>
      <c r="H82" s="2357">
        <v>0</v>
      </c>
      <c r="I82" s="2358">
        <f>Reduktionsstiberegner!$H82*Reduktionsstiberegner!$F82</f>
        <v>0</v>
      </c>
      <c r="J82" s="2359">
        <v>0</v>
      </c>
      <c r="K82" s="2358">
        <f>J82*F82</f>
        <v>0</v>
      </c>
      <c r="L82" s="2360">
        <v>0</v>
      </c>
      <c r="M82" s="2358">
        <f>Reduktionsstiberegner!$L82*Reduktionsstiberegner!$F82</f>
        <v>0</v>
      </c>
      <c r="N82" s="2361">
        <v>0</v>
      </c>
      <c r="O82" s="2368">
        <f>Reduktionsstiberegner!$N82*F82</f>
        <v>0</v>
      </c>
      <c r="P82" s="2446"/>
      <c r="Q82" s="2447"/>
      <c r="R82" s="2447"/>
      <c r="S82" s="2448"/>
      <c r="T82" s="2462"/>
      <c r="U82" s="2462"/>
    </row>
    <row r="83" spans="1:21" ht="18" customHeight="1" x14ac:dyDescent="0.2">
      <c r="A83" s="2384"/>
      <c r="B83" s="2353"/>
      <c r="C83" s="2449" t="s">
        <v>4332</v>
      </c>
      <c r="D83" s="2450"/>
      <c r="E83" s="2451"/>
      <c r="F83" s="2452"/>
      <c r="G83" s="2453"/>
      <c r="H83" s="2454" t="str">
        <f>IF(SUM(H80:H82)&gt;1,"OBS: PROCENTER OVERSTIGER 100%!","")</f>
        <v/>
      </c>
      <c r="I83" s="2453"/>
      <c r="J83" s="2454" t="str">
        <f>IF(SUM(J80:J82)&gt;1,"OBS: PROCENTER OVERSTIGER 100%!","")</f>
        <v/>
      </c>
      <c r="K83" s="2453"/>
      <c r="L83" s="2454" t="str">
        <f>IF(SUM(L80:L82)&gt;1,"OBS: PROCENTER OVERSTIGER 100%!","")</f>
        <v/>
      </c>
      <c r="M83" s="2453"/>
      <c r="N83" s="2454" t="str">
        <f>IF(SUM(N80:N82)&gt;1,"OBS: PROCENTER OVERSTIGER 100%!","")</f>
        <v/>
      </c>
      <c r="O83" s="2455"/>
      <c r="P83" s="2463">
        <f>('E2020'!$F$67*'E2020'!$F$89)-((EBAU2030!$F$67+EBAU2030!$K$67)*'E2020'!$F$89)</f>
        <v>58.69372527907943</v>
      </c>
      <c r="Q83" s="2464">
        <f>('E2020'!$F$67*'E2020'!$F$89)-((EBAU2050!$F$67+EBAU2050!$K$67)*'E2020'!$F$89)</f>
        <v>72.293840186052961</v>
      </c>
      <c r="R83" s="2464">
        <f>('E2020'!$F$67*'E2020'!$F$89)-((ESTI2030!$F$67+ESTI2030!$K$67)*'E2020'!$F$89)</f>
        <v>85.893955093026477</v>
      </c>
      <c r="S83" s="2465">
        <f>('E2020'!$F$67*'E2020'!$F$89)-((ESTI2050!$F$67+ESTI2050!$K$67)*'E2020'!$F$89)</f>
        <v>99.494069999999994</v>
      </c>
      <c r="T83" s="2462" t="s">
        <v>5399</v>
      </c>
      <c r="U83" s="2462"/>
    </row>
    <row r="84" spans="1:21" ht="18" customHeight="1" x14ac:dyDescent="0.2">
      <c r="A84" s="2384" t="s">
        <v>109</v>
      </c>
      <c r="B84" s="2353">
        <f>B82+1</f>
        <v>45</v>
      </c>
      <c r="C84" s="2370" t="s">
        <v>4333</v>
      </c>
      <c r="D84" s="2385">
        <f>-'E2020'!$G$89</f>
        <v>-72</v>
      </c>
      <c r="E84" s="2354" t="s">
        <v>4334</v>
      </c>
      <c r="F84" s="2441">
        <f>'E2020'!$G$79</f>
        <v>4.95</v>
      </c>
      <c r="G84" s="2356" t="s">
        <v>4335</v>
      </c>
      <c r="H84" s="2357">
        <v>0.1</v>
      </c>
      <c r="I84" s="2358">
        <f>Reduktionsstiberegner!$H84*Reduktionsstiberegner!$F84</f>
        <v>0.49500000000000005</v>
      </c>
      <c r="J84" s="2359">
        <v>0.1</v>
      </c>
      <c r="K84" s="2358">
        <f>J84*F84</f>
        <v>0.49500000000000005</v>
      </c>
      <c r="L84" s="2360">
        <v>0.1</v>
      </c>
      <c r="M84" s="2358">
        <f>Reduktionsstiberegner!$L84*Reduktionsstiberegner!$F84</f>
        <v>0.49500000000000005</v>
      </c>
      <c r="N84" s="2361">
        <v>0.1</v>
      </c>
      <c r="O84" s="2368">
        <f>Reduktionsstiberegner!$N84*F84</f>
        <v>0.49500000000000005</v>
      </c>
      <c r="P84" s="2363">
        <f>I84*D84</f>
        <v>-35.64</v>
      </c>
      <c r="Q84" s="2358">
        <f>Reduktionsstiberegner!$K84*Reduktionsstiberegner!$D84</f>
        <v>-35.64</v>
      </c>
      <c r="R84" s="2358">
        <f>Reduktionsstiberegner!$D84*Reduktionsstiberegner!$M84</f>
        <v>-35.64</v>
      </c>
      <c r="S84" s="2362">
        <f>Reduktionsstiberegner!$D84*Reduktionsstiberegner!$O84</f>
        <v>-35.64</v>
      </c>
      <c r="T84" s="2364" t="s">
        <v>5398</v>
      </c>
      <c r="U84" s="2364" t="s">
        <v>5397</v>
      </c>
    </row>
    <row r="85" spans="1:21" ht="18" customHeight="1" x14ac:dyDescent="0.2">
      <c r="A85" s="2384" t="s">
        <v>109</v>
      </c>
      <c r="B85" s="2353">
        <f>B84+1</f>
        <v>46</v>
      </c>
      <c r="C85" s="2335" t="s">
        <v>4336</v>
      </c>
      <c r="D85" s="2450"/>
      <c r="E85" s="2451"/>
      <c r="F85" s="4244"/>
      <c r="G85" s="2453"/>
      <c r="H85" s="2466"/>
      <c r="I85" s="2455"/>
      <c r="J85" s="2466"/>
      <c r="K85" s="2455"/>
      <c r="L85" s="2466"/>
      <c r="M85" s="2455"/>
      <c r="N85" s="2466"/>
      <c r="O85" s="2455"/>
      <c r="P85" s="2363">
        <f>(SUM('E2020'!$D$61:$D$80)*'E2020'!$D$89+SUM('E2020'!$F$61:$F$80)*'E2020'!$F$89+SUM('E2020'!$G$61:$G$80)*'E2020'!$G$89+SUM('E2020'!$H$61:$H$80)*'E2020'!$H$89)-(SUM(EBAU2030!$D$61:$D$80)*'E2020'!$D$89+SUM(EBAU2030!$F$61:$F$80)*'E2020'!$F$89+SUM(EBAU2030!$G$61:$G$80)*'E2020'!$G$89+SUM(EBAU2030!$H$61:$H$80)*'E2020'!$H$89)-P75-P79-P83-P84-P101-P103</f>
        <v>58.802997864031937</v>
      </c>
      <c r="Q85" s="2358">
        <f>(SUM('E2020'!$D$61:$D$80)*'E2020'!$D$89+SUM('E2020'!$F$61:$F$80)*'E2020'!$F$89+SUM('E2020'!$G$61:$G$80)*'E2020'!$G$89+SUM('E2020'!$H$61:$H$80)*'E2020'!$H$89)-(SUM(EBAU2050!$D$61:$D$80)*'E2020'!$D$89+SUM(EBAU2050!$F$61:$F$80)*'E2020'!$F$89+SUM(EBAU2050!$G$61:$G$80)*'E2020'!$G$89+SUM(EBAU2050!$H$61:$H$80)*'E2020'!$H$89)-Q75-Q79-Q83-Q84-Q101-Q103</f>
        <v>58.80299786403161</v>
      </c>
      <c r="R85" s="2358">
        <f>(SUM('E2020'!$D$61:$D$80)*'E2020'!$D$89+SUM('E2020'!$F$61:$F$80)*'E2020'!$F$89+SUM('E2020'!$G$61:$G$80)*'E2020'!$G$89+SUM('E2020'!$H$61:$H$80)*'E2020'!$H$89)-(SUM(ESTI2030!$D$61:$D$80)*'E2020'!$D$89+SUM(ESTI2030!$F$61:$F$80)*'E2020'!$F$89+SUM(ESTI2030!$G$61:$G$80)*'E2020'!$G$89+SUM(ESTI2030!$H$61:$H$80)*'E2020'!$H$89)-R75-R79-R83-R84-R101-R103</f>
        <v>56.74357114403206</v>
      </c>
      <c r="S85" s="2362">
        <f>(SUM('E2020'!$D$61:$D$80)*'E2020'!$D$89+SUM('E2020'!$F$61:$F$80)*'E2020'!$F$89+SUM('E2020'!$G$61:$G$80)*'E2020'!$G$89+SUM('E2020'!$H$61:$H$80)*'E2020'!$H$89)-(SUM(ESTI2050!$D$61:$D$80)*'E2020'!$D$89+SUM(ESTI2050!$F$61:$F$80)*'E2020'!$F$89+SUM(ESTI2050!$G$61:$G$80)*'E2020'!$G$89+SUM(ESTI2050!$H$61:$H$80)*'E2020'!$H$89)-S75-S79-S83-S84-S101-S103</f>
        <v>56.743571144032657</v>
      </c>
      <c r="T85" s="2445"/>
      <c r="U85" s="2445"/>
    </row>
    <row r="86" spans="1:21" ht="18" customHeight="1" x14ac:dyDescent="0.2">
      <c r="A86" s="2384" t="s">
        <v>109</v>
      </c>
      <c r="B86" s="2365" t="str">
        <f>B85&amp;"a"</f>
        <v>46a</v>
      </c>
      <c r="C86" s="2388" t="s">
        <v>5391</v>
      </c>
      <c r="D86" s="2385">
        <v>74.099999999999994</v>
      </c>
      <c r="E86" s="2354" t="s">
        <v>4301</v>
      </c>
      <c r="F86" s="2441">
        <f>+'E2020'!AA80</f>
        <v>1.5</v>
      </c>
      <c r="G86" s="2356" t="s">
        <v>5392</v>
      </c>
      <c r="H86" s="2357">
        <v>0</v>
      </c>
      <c r="I86" s="2358">
        <f>Reduktionsstiberegner!$H86*Reduktionsstiberegner!$F86</f>
        <v>0</v>
      </c>
      <c r="J86" s="2359">
        <v>0</v>
      </c>
      <c r="K86" s="2358">
        <f>J86*F86</f>
        <v>0</v>
      </c>
      <c r="L86" s="2360">
        <v>1</v>
      </c>
      <c r="M86" s="2358">
        <f>Reduktionsstiberegner!$L86*Reduktionsstiberegner!$F86</f>
        <v>1.5</v>
      </c>
      <c r="N86" s="2361">
        <v>1</v>
      </c>
      <c r="O86" s="2368">
        <f>Reduktionsstiberegner!$N86*F86</f>
        <v>1.5</v>
      </c>
      <c r="P86" s="2363">
        <f>I86*D86</f>
        <v>0</v>
      </c>
      <c r="Q86" s="2358">
        <f>Reduktionsstiberegner!$K86*Reduktionsstiberegner!$D86</f>
        <v>0</v>
      </c>
      <c r="R86" s="2358">
        <f>Reduktionsstiberegner!$D86*Reduktionsstiberegner!$M86</f>
        <v>111.14999999999999</v>
      </c>
      <c r="S86" s="2362">
        <f>Reduktionsstiberegner!$D86*Reduktionsstiberegner!$O86</f>
        <v>111.14999999999999</v>
      </c>
      <c r="T86" s="2364" t="s">
        <v>5441</v>
      </c>
      <c r="U86" s="2364"/>
    </row>
    <row r="87" spans="1:21" ht="18" customHeight="1" thickBot="1" x14ac:dyDescent="0.25">
      <c r="A87" s="2384" t="s">
        <v>109</v>
      </c>
      <c r="B87" s="2365" t="str">
        <f>B85&amp;"b"</f>
        <v>46b</v>
      </c>
      <c r="C87" s="2389" t="s">
        <v>5394</v>
      </c>
      <c r="D87" s="2385"/>
      <c r="E87" s="2354" t="s">
        <v>4301</v>
      </c>
      <c r="F87" s="2467">
        <f>+'E-Tiltag'!AE38</f>
        <v>1193</v>
      </c>
      <c r="G87" s="2356" t="s">
        <v>5442</v>
      </c>
      <c r="H87" s="2357">
        <v>0</v>
      </c>
      <c r="I87" s="2358">
        <f>Reduktionsstiberegner!$H87*Reduktionsstiberegner!$F87</f>
        <v>0</v>
      </c>
      <c r="J87" s="2359">
        <v>0</v>
      </c>
      <c r="K87" s="2358">
        <f>J87*F87</f>
        <v>0</v>
      </c>
      <c r="L87" s="2360">
        <v>0</v>
      </c>
      <c r="M87" s="2358">
        <f>Reduktionsstiberegner!$L87*Reduktionsstiberegner!$F87</f>
        <v>0</v>
      </c>
      <c r="N87" s="2361">
        <v>0</v>
      </c>
      <c r="O87" s="2368">
        <f>Reduktionsstiberegner!$N87*F87</f>
        <v>0</v>
      </c>
      <c r="P87" s="2363">
        <f>I87*D87</f>
        <v>0</v>
      </c>
      <c r="Q87" s="2358">
        <f>Reduktionsstiberegner!$K87*Reduktionsstiberegner!$D87</f>
        <v>0</v>
      </c>
      <c r="R87" s="2358">
        <f>Reduktionsstiberegner!$D87*Reduktionsstiberegner!$M87</f>
        <v>0</v>
      </c>
      <c r="S87" s="2362">
        <f>Reduktionsstiberegner!$D87*Reduktionsstiberegner!$O87</f>
        <v>0</v>
      </c>
      <c r="T87" s="2475" t="s">
        <v>5443</v>
      </c>
      <c r="U87" s="2364"/>
    </row>
    <row r="88" spans="1:21" ht="18" customHeight="1" thickBot="1" x14ac:dyDescent="0.25">
      <c r="A88" s="2387" t="s">
        <v>109</v>
      </c>
      <c r="B88" s="2365" t="str">
        <f>B85&amp;"c"</f>
        <v>46c</v>
      </c>
      <c r="C88" s="2389" t="s">
        <v>5444</v>
      </c>
      <c r="D88" s="2691"/>
      <c r="E88" s="2354" t="s">
        <v>4301</v>
      </c>
      <c r="F88" s="2467"/>
      <c r="G88" s="2390"/>
      <c r="H88" s="2468">
        <v>0</v>
      </c>
      <c r="I88" s="2469">
        <f>Reduktionsstiberegner!$H88*Reduktionsstiberegner!$F88</f>
        <v>0</v>
      </c>
      <c r="J88" s="2470">
        <v>0</v>
      </c>
      <c r="K88" s="2469">
        <f>J88*F88</f>
        <v>0</v>
      </c>
      <c r="L88" s="2471">
        <v>0</v>
      </c>
      <c r="M88" s="2469">
        <f>Reduktionsstiberegner!$L88*Reduktionsstiberegner!$F88</f>
        <v>0</v>
      </c>
      <c r="N88" s="2472">
        <v>0</v>
      </c>
      <c r="O88" s="2473">
        <f>Reduktionsstiberegner!$N88*F88</f>
        <v>0</v>
      </c>
      <c r="P88" s="2692">
        <f>I88*D88</f>
        <v>0</v>
      </c>
      <c r="Q88" s="2469">
        <f>Reduktionsstiberegner!$K88*Reduktionsstiberegner!$D88</f>
        <v>0</v>
      </c>
      <c r="R88" s="2469">
        <f>Reduktionsstiberegner!$D88*Reduktionsstiberegner!$M88</f>
        <v>0</v>
      </c>
      <c r="S88" s="2474">
        <f>Reduktionsstiberegner!$D88*Reduktionsstiberegner!$O88</f>
        <v>0</v>
      </c>
      <c r="T88" s="2475"/>
      <c r="U88" s="2475"/>
    </row>
    <row r="89" spans="1:21" ht="18" customHeight="1" thickBot="1" x14ac:dyDescent="0.25">
      <c r="A89" s="386"/>
      <c r="B89" s="395"/>
      <c r="C89" s="396" t="s">
        <v>4337</v>
      </c>
      <c r="D89" s="402"/>
      <c r="E89" s="397"/>
      <c r="F89" s="390"/>
      <c r="G89" s="390"/>
      <c r="H89" s="398"/>
      <c r="I89" s="390"/>
      <c r="J89" s="390"/>
      <c r="K89" s="390"/>
      <c r="L89" s="390"/>
      <c r="M89" s="390"/>
      <c r="N89" s="398"/>
      <c r="O89" s="392"/>
      <c r="P89" s="2476">
        <f>SUM(P73:P88)</f>
        <v>1131.4800579522762</v>
      </c>
      <c r="Q89" s="2477">
        <f>SUM(Q73:Q88)</f>
        <v>1788.8674510210133</v>
      </c>
      <c r="R89" s="2477">
        <f>SUM(R73:R88)</f>
        <v>2288.3279640858959</v>
      </c>
      <c r="S89" s="2478">
        <f>SUM(S73:S88)</f>
        <v>2900.8364765166079</v>
      </c>
      <c r="T89" s="399"/>
      <c r="U89" s="399"/>
    </row>
    <row r="90" spans="1:21" ht="13.5" thickBot="1" x14ac:dyDescent="0.25">
      <c r="D90" s="393"/>
      <c r="E90" s="393"/>
      <c r="G90" s="403"/>
      <c r="I90" s="375"/>
      <c r="J90" s="375"/>
      <c r="K90" s="375"/>
      <c r="L90" s="375"/>
      <c r="M90" s="376"/>
      <c r="O90" s="376"/>
      <c r="P90" s="376"/>
    </row>
    <row r="91" spans="1:21" ht="24" customHeight="1" thickBot="1" x14ac:dyDescent="0.4">
      <c r="A91" s="377" t="s">
        <v>635</v>
      </c>
      <c r="B91" s="404"/>
      <c r="C91" s="371"/>
      <c r="D91" s="5137" t="s">
        <v>592</v>
      </c>
      <c r="E91" s="5136"/>
      <c r="F91" s="5138" t="s">
        <v>607</v>
      </c>
      <c r="G91" s="5138"/>
      <c r="H91" s="5136" t="s">
        <v>576</v>
      </c>
      <c r="I91" s="5136"/>
      <c r="J91" s="5136" t="s">
        <v>577</v>
      </c>
      <c r="K91" s="5136"/>
      <c r="L91" s="5136">
        <v>2030</v>
      </c>
      <c r="M91" s="5136"/>
      <c r="N91" s="5136">
        <v>2050</v>
      </c>
      <c r="O91" s="5136"/>
      <c r="P91" s="5136" t="s">
        <v>594</v>
      </c>
      <c r="Q91" s="5136"/>
      <c r="R91" s="5136"/>
      <c r="S91" s="5136"/>
      <c r="T91" s="378" t="s">
        <v>535</v>
      </c>
      <c r="U91" s="4246"/>
    </row>
    <row r="92" spans="1:21" ht="18" customHeight="1" x14ac:dyDescent="0.25">
      <c r="A92" s="379" t="s">
        <v>536</v>
      </c>
      <c r="B92" s="380" t="s">
        <v>532</v>
      </c>
      <c r="C92" s="381" t="s">
        <v>537</v>
      </c>
      <c r="D92" s="379" t="s">
        <v>538</v>
      </c>
      <c r="E92" s="380" t="s">
        <v>539</v>
      </c>
      <c r="F92" s="382" t="s">
        <v>465</v>
      </c>
      <c r="G92" s="380" t="s">
        <v>539</v>
      </c>
      <c r="H92" s="380" t="s">
        <v>596</v>
      </c>
      <c r="I92" s="380" t="s">
        <v>597</v>
      </c>
      <c r="J92" s="380" t="s">
        <v>598</v>
      </c>
      <c r="K92" s="380" t="s">
        <v>599</v>
      </c>
      <c r="L92" s="382" t="s">
        <v>540</v>
      </c>
      <c r="M92" s="380" t="s">
        <v>541</v>
      </c>
      <c r="N92" s="382" t="s">
        <v>600</v>
      </c>
      <c r="O92" s="383" t="s">
        <v>601</v>
      </c>
      <c r="P92" s="379" t="s">
        <v>602</v>
      </c>
      <c r="Q92" s="382" t="s">
        <v>603</v>
      </c>
      <c r="R92" s="382">
        <v>2030</v>
      </c>
      <c r="S92" s="384">
        <v>2050</v>
      </c>
      <c r="T92" s="385" t="s">
        <v>542</v>
      </c>
      <c r="U92" s="4247"/>
    </row>
    <row r="93" spans="1:21" ht="18" customHeight="1" x14ac:dyDescent="0.2">
      <c r="A93" s="2398" t="s">
        <v>635</v>
      </c>
      <c r="B93" s="2365">
        <f>B85+1</f>
        <v>47</v>
      </c>
      <c r="C93" s="2370" t="s">
        <v>4338</v>
      </c>
      <c r="D93" s="2479">
        <v>0</v>
      </c>
      <c r="E93" s="2354" t="s">
        <v>2910</v>
      </c>
      <c r="F93" s="2441">
        <v>100</v>
      </c>
      <c r="G93" s="2480" t="s">
        <v>18</v>
      </c>
      <c r="H93" s="2357">
        <v>0.03</v>
      </c>
      <c r="I93" s="2358">
        <f>Reduktionsstiberegner!$H93*Reduktionsstiberegner!$F93</f>
        <v>3</v>
      </c>
      <c r="J93" s="2359">
        <v>0.05</v>
      </c>
      <c r="K93" s="2358">
        <f t="shared" ref="K93:K112" si="17">J93*F93</f>
        <v>5</v>
      </c>
      <c r="L93" s="2360">
        <v>0.03</v>
      </c>
      <c r="M93" s="2358">
        <f>Reduktionsstiberegner!$L93*Reduktionsstiberegner!$F93</f>
        <v>3</v>
      </c>
      <c r="N93" s="2361">
        <v>0.05</v>
      </c>
      <c r="O93" s="2362">
        <f>Reduktionsstiberegner!$N93*F93</f>
        <v>5</v>
      </c>
      <c r="P93" s="2363">
        <f t="shared" ref="P93:P112" si="18">I93*D93</f>
        <v>0</v>
      </c>
      <c r="Q93" s="2358">
        <f>Reduktionsstiberegner!$K93*Reduktionsstiberegner!$D93</f>
        <v>0</v>
      </c>
      <c r="R93" s="2358">
        <f>Reduktionsstiberegner!$D93*Reduktionsstiberegner!$M93</f>
        <v>0</v>
      </c>
      <c r="S93" s="2362">
        <f>Reduktionsstiberegner!$D93*Reduktionsstiberegner!$O93</f>
        <v>0</v>
      </c>
      <c r="T93" s="2445"/>
      <c r="U93" s="4248"/>
    </row>
    <row r="94" spans="1:21" ht="18" customHeight="1" x14ac:dyDescent="0.2">
      <c r="A94" s="2398" t="s">
        <v>635</v>
      </c>
      <c r="B94" s="2365">
        <f t="shared" ref="B94:B109" si="19">B93+1</f>
        <v>48</v>
      </c>
      <c r="C94" s="2370" t="s">
        <v>4339</v>
      </c>
      <c r="D94" s="2385">
        <f>(SUM('E2020'!$B$29:$B$51)*'E2020'!$B$89+SUM('E2020'!$C$29:$C$51)*'E2020'!$C$89+SUM('E2020'!$D$29:$D$51)*'E2020'!$D$89+SUM('E2020'!$E$29:$E$51)*'E2020'!$E$89+SUM('E2020'!$F$29:$F$51)*'E2020'!$F$89+SUM('E2020'!$G$29:$G$51)*'E2020'!$G$89+SUM('E2020'!$H$29:$H$51)*'E2020'!$H$89+SUM('E2020'!$I$29:$I$51)*'E2020'!$I$89)/
(SUM('E2020'!$B$29:$B$51)+SUM('E2020'!$C$29:$C$51)+SUM('E2020'!$D$29:$D$51)+SUM('E2020'!$E$29:$E$51)+SUM('E2020'!$F$29:$F$51)+SUM('E2020'!$G$29:$G$51)+SUM('E2020'!$H$29:$H$51)+SUM('E2020'!$I$29:$I$51))</f>
        <v>74.09999999999998</v>
      </c>
      <c r="E94" s="2354" t="s">
        <v>4340</v>
      </c>
      <c r="F94" s="2441">
        <f>SUM('E2020'!$B$29:$I$51)</f>
        <v>0.87119999999999997</v>
      </c>
      <c r="G94" s="2480" t="s">
        <v>157</v>
      </c>
      <c r="H94" s="2357">
        <v>1</v>
      </c>
      <c r="I94" s="2358">
        <f>Reduktionsstiberegner!$H94*Reduktionsstiberegner!$F94</f>
        <v>0.87119999999999997</v>
      </c>
      <c r="J94" s="2359">
        <v>1</v>
      </c>
      <c r="K94" s="2358">
        <f t="shared" si="17"/>
        <v>0.87119999999999997</v>
      </c>
      <c r="L94" s="2360">
        <v>1</v>
      </c>
      <c r="M94" s="2358">
        <f>Reduktionsstiberegner!$L94*Reduktionsstiberegner!$F94</f>
        <v>0.87119999999999997</v>
      </c>
      <c r="N94" s="2361">
        <v>1</v>
      </c>
      <c r="O94" s="2362">
        <f>Reduktionsstiberegner!$N94*F94</f>
        <v>0.87119999999999997</v>
      </c>
      <c r="P94" s="2363">
        <f t="shared" si="18"/>
        <v>64.555919999999986</v>
      </c>
      <c r="Q94" s="2358">
        <f>Reduktionsstiberegner!$K94*Reduktionsstiberegner!$D94</f>
        <v>64.555919999999986</v>
      </c>
      <c r="R94" s="2358">
        <f>Reduktionsstiberegner!$D94*Reduktionsstiberegner!$M94</f>
        <v>64.555919999999986</v>
      </c>
      <c r="S94" s="2362">
        <f>Reduktionsstiberegner!$D94*Reduktionsstiberegner!$O94</f>
        <v>64.555919999999986</v>
      </c>
      <c r="T94" s="2445" t="s">
        <v>5446</v>
      </c>
      <c r="U94" s="4248"/>
    </row>
    <row r="95" spans="1:21" ht="18" customHeight="1" x14ac:dyDescent="0.2">
      <c r="A95" s="2398" t="s">
        <v>635</v>
      </c>
      <c r="B95" s="2365">
        <f t="shared" si="19"/>
        <v>49</v>
      </c>
      <c r="C95" s="2370" t="s">
        <v>4341</v>
      </c>
      <c r="D95" s="2385">
        <f>'E2020'!$I$89</f>
        <v>55.52</v>
      </c>
      <c r="E95" s="2354" t="s">
        <v>4342</v>
      </c>
      <c r="F95" s="2441">
        <f>'E2020'!$I$15</f>
        <v>0</v>
      </c>
      <c r="G95" s="2356" t="s">
        <v>633</v>
      </c>
      <c r="H95" s="2357">
        <v>0</v>
      </c>
      <c r="I95" s="2358">
        <f>Reduktionsstiberegner!$H95*Reduktionsstiberegner!$F95</f>
        <v>0</v>
      </c>
      <c r="J95" s="2359">
        <v>0</v>
      </c>
      <c r="K95" s="2358">
        <f t="shared" si="17"/>
        <v>0</v>
      </c>
      <c r="L95" s="2360">
        <v>0</v>
      </c>
      <c r="M95" s="2358">
        <f>Reduktionsstiberegner!$L95*Reduktionsstiberegner!$F95</f>
        <v>0</v>
      </c>
      <c r="N95" s="2361">
        <v>0</v>
      </c>
      <c r="O95" s="2362">
        <f>Reduktionsstiberegner!$N95*F95</f>
        <v>0</v>
      </c>
      <c r="P95" s="2363">
        <f t="shared" si="18"/>
        <v>0</v>
      </c>
      <c r="Q95" s="2358">
        <f>Reduktionsstiberegner!$K95*Reduktionsstiberegner!$D95</f>
        <v>0</v>
      </c>
      <c r="R95" s="2358">
        <f>Reduktionsstiberegner!$D95*Reduktionsstiberegner!$M95</f>
        <v>0</v>
      </c>
      <c r="S95" s="2362">
        <f>Reduktionsstiberegner!$D95*Reduktionsstiberegner!$O95</f>
        <v>0</v>
      </c>
      <c r="T95" s="2445"/>
      <c r="U95" s="4248"/>
    </row>
    <row r="96" spans="1:21" ht="18" customHeight="1" x14ac:dyDescent="0.2">
      <c r="A96" s="2398" t="s">
        <v>635</v>
      </c>
      <c r="B96" s="2365">
        <f t="shared" si="19"/>
        <v>50</v>
      </c>
      <c r="C96" s="2370" t="s">
        <v>4343</v>
      </c>
      <c r="D96" s="2385">
        <f>'E2020'!$E$89</f>
        <v>74.099999999999994</v>
      </c>
      <c r="E96" s="2354" t="s">
        <v>4344</v>
      </c>
      <c r="F96" s="2441">
        <f>'E2020'!$E$14</f>
        <v>29.48</v>
      </c>
      <c r="G96" s="2356" t="s">
        <v>634</v>
      </c>
      <c r="H96" s="2357">
        <v>0.83</v>
      </c>
      <c r="I96" s="2358">
        <f>Reduktionsstiberegner!$H96*Reduktionsstiberegner!$F96</f>
        <v>24.468399999999999</v>
      </c>
      <c r="J96" s="2359">
        <v>0.9</v>
      </c>
      <c r="K96" s="2358">
        <f t="shared" si="17"/>
        <v>26.532</v>
      </c>
      <c r="L96" s="2360">
        <v>0.9</v>
      </c>
      <c r="M96" s="2358">
        <f>Reduktionsstiberegner!$L96*Reduktionsstiberegner!$F96</f>
        <v>26.532</v>
      </c>
      <c r="N96" s="2361">
        <v>1</v>
      </c>
      <c r="O96" s="2362">
        <f>Reduktionsstiberegner!$N96*F96</f>
        <v>29.48</v>
      </c>
      <c r="P96" s="2363">
        <f t="shared" si="18"/>
        <v>1813.1084399999997</v>
      </c>
      <c r="Q96" s="2358">
        <f>Reduktionsstiberegner!$K96*Reduktionsstiberegner!$D96</f>
        <v>1966.0211999999999</v>
      </c>
      <c r="R96" s="2358">
        <f>Reduktionsstiberegner!$D96*Reduktionsstiberegner!$M96</f>
        <v>1966.0211999999999</v>
      </c>
      <c r="S96" s="2362">
        <f>Reduktionsstiberegner!$D96*Reduktionsstiberegner!$O96</f>
        <v>2184.4679999999998</v>
      </c>
      <c r="T96" s="2445" t="s">
        <v>5445</v>
      </c>
      <c r="U96" s="4248"/>
    </row>
    <row r="97" spans="1:21" ht="18" customHeight="1" x14ac:dyDescent="0.2">
      <c r="A97" s="2398" t="s">
        <v>635</v>
      </c>
      <c r="B97" s="2365">
        <f t="shared" si="19"/>
        <v>51</v>
      </c>
      <c r="C97" s="2370" t="s">
        <v>4345</v>
      </c>
      <c r="D97" s="2385">
        <f>'E2020'!$I$89</f>
        <v>55.52</v>
      </c>
      <c r="E97" s="2354" t="s">
        <v>4342</v>
      </c>
      <c r="F97" s="2441">
        <f>'E2020'!$I$21+'E2020'!$I$22</f>
        <v>0</v>
      </c>
      <c r="G97" s="2356" t="s">
        <v>633</v>
      </c>
      <c r="H97" s="2357">
        <v>0</v>
      </c>
      <c r="I97" s="2358">
        <f>Reduktionsstiberegner!$H97*Reduktionsstiberegner!$F97</f>
        <v>0</v>
      </c>
      <c r="J97" s="2359">
        <v>0</v>
      </c>
      <c r="K97" s="2358">
        <f t="shared" si="17"/>
        <v>0</v>
      </c>
      <c r="L97" s="2360">
        <v>0</v>
      </c>
      <c r="M97" s="2358">
        <f>Reduktionsstiberegner!$L97*Reduktionsstiberegner!$F97</f>
        <v>0</v>
      </c>
      <c r="N97" s="2361">
        <v>0</v>
      </c>
      <c r="O97" s="2362">
        <f>Reduktionsstiberegner!$N97*F97</f>
        <v>0</v>
      </c>
      <c r="P97" s="2363">
        <f t="shared" si="18"/>
        <v>0</v>
      </c>
      <c r="Q97" s="2358">
        <f>Reduktionsstiberegner!$K97*Reduktionsstiberegner!$D97</f>
        <v>0</v>
      </c>
      <c r="R97" s="2358">
        <f>Reduktionsstiberegner!$D97*Reduktionsstiberegner!$M97</f>
        <v>0</v>
      </c>
      <c r="S97" s="2362">
        <f>Reduktionsstiberegner!$D97*Reduktionsstiberegner!$O97</f>
        <v>0</v>
      </c>
      <c r="T97" s="2445"/>
      <c r="U97" s="4248"/>
    </row>
    <row r="98" spans="1:21" ht="18" customHeight="1" x14ac:dyDescent="0.2">
      <c r="A98" s="2398" t="s">
        <v>635</v>
      </c>
      <c r="B98" s="2365">
        <f t="shared" si="19"/>
        <v>52</v>
      </c>
      <c r="C98" s="2370" t="s">
        <v>4346</v>
      </c>
      <c r="D98" s="2385">
        <f>'E2020'!$E$89</f>
        <v>74.099999999999994</v>
      </c>
      <c r="E98" s="2354" t="s">
        <v>4344</v>
      </c>
      <c r="F98" s="2441">
        <f>'E2020'!$E$22</f>
        <v>0</v>
      </c>
      <c r="G98" s="2356" t="s">
        <v>634</v>
      </c>
      <c r="H98" s="2357">
        <v>0</v>
      </c>
      <c r="I98" s="2358">
        <f>Reduktionsstiberegner!$H98*Reduktionsstiberegner!$F98</f>
        <v>0</v>
      </c>
      <c r="J98" s="2359">
        <v>0</v>
      </c>
      <c r="K98" s="2358">
        <f t="shared" si="17"/>
        <v>0</v>
      </c>
      <c r="L98" s="2360">
        <v>0</v>
      </c>
      <c r="M98" s="2358">
        <f>Reduktionsstiberegner!$L98*Reduktionsstiberegner!$F98</f>
        <v>0</v>
      </c>
      <c r="N98" s="2361">
        <v>0</v>
      </c>
      <c r="O98" s="2362">
        <f>Reduktionsstiberegner!$N98*F98</f>
        <v>0</v>
      </c>
      <c r="P98" s="2363">
        <f t="shared" si="18"/>
        <v>0</v>
      </c>
      <c r="Q98" s="2358">
        <f>Reduktionsstiberegner!$K98*Reduktionsstiberegner!$D98</f>
        <v>0</v>
      </c>
      <c r="R98" s="2358">
        <f>Reduktionsstiberegner!$D98*Reduktionsstiberegner!$M98</f>
        <v>0</v>
      </c>
      <c r="S98" s="2362">
        <f>Reduktionsstiberegner!$D98*Reduktionsstiberegner!$O98</f>
        <v>0</v>
      </c>
      <c r="T98" s="2445"/>
      <c r="U98" s="4248"/>
    </row>
    <row r="99" spans="1:21" ht="18" customHeight="1" x14ac:dyDescent="0.2">
      <c r="A99" s="2398" t="s">
        <v>635</v>
      </c>
      <c r="B99" s="2365">
        <f t="shared" si="19"/>
        <v>53</v>
      </c>
      <c r="C99" s="2370" t="s">
        <v>4347</v>
      </c>
      <c r="D99" s="2385">
        <v>0</v>
      </c>
      <c r="E99" s="2354" t="s">
        <v>4348</v>
      </c>
      <c r="F99" s="2441">
        <f>SUM('E2020'!$B$22:$I$22)</f>
        <v>0</v>
      </c>
      <c r="G99" s="2356" t="s">
        <v>157</v>
      </c>
      <c r="H99" s="2357">
        <v>0</v>
      </c>
      <c r="I99" s="2358">
        <f>Reduktionsstiberegner!$H99*Reduktionsstiberegner!$F99</f>
        <v>0</v>
      </c>
      <c r="J99" s="2359">
        <v>0</v>
      </c>
      <c r="K99" s="2358">
        <f t="shared" si="17"/>
        <v>0</v>
      </c>
      <c r="L99" s="2360">
        <v>0</v>
      </c>
      <c r="M99" s="2358">
        <f>Reduktionsstiberegner!$L99*Reduktionsstiberegner!$F99</f>
        <v>0</v>
      </c>
      <c r="N99" s="2361">
        <v>0</v>
      </c>
      <c r="O99" s="2362">
        <f>Reduktionsstiberegner!$N99*F99</f>
        <v>0</v>
      </c>
      <c r="P99" s="2363">
        <f t="shared" si="18"/>
        <v>0</v>
      </c>
      <c r="Q99" s="2358">
        <f>Reduktionsstiberegner!$K99*Reduktionsstiberegner!$D99</f>
        <v>0</v>
      </c>
      <c r="R99" s="2358">
        <f>Reduktionsstiberegner!$D99*Reduktionsstiberegner!$M99</f>
        <v>0</v>
      </c>
      <c r="S99" s="2362">
        <f>Reduktionsstiberegner!$D99*Reduktionsstiberegner!$O99</f>
        <v>0</v>
      </c>
      <c r="T99" s="2445"/>
      <c r="U99" s="4248"/>
    </row>
    <row r="100" spans="1:21" ht="18" customHeight="1" x14ac:dyDescent="0.2">
      <c r="A100" s="2398" t="s">
        <v>635</v>
      </c>
      <c r="B100" s="2365">
        <f t="shared" si="19"/>
        <v>54</v>
      </c>
      <c r="C100" s="2370" t="s">
        <v>4349</v>
      </c>
      <c r="D100" s="2385">
        <v>7.9000000000000001E-2</v>
      </c>
      <c r="E100" s="2354" t="s">
        <v>4350</v>
      </c>
      <c r="F100" s="2441">
        <f>F30</f>
        <v>6967.5361462067322</v>
      </c>
      <c r="G100" s="2356" t="s">
        <v>4351</v>
      </c>
      <c r="H100" s="2357">
        <v>0</v>
      </c>
      <c r="I100" s="2358">
        <f>Reduktionsstiberegner!$H100*Reduktionsstiberegner!$F100</f>
        <v>0</v>
      </c>
      <c r="J100" s="2359">
        <v>0</v>
      </c>
      <c r="K100" s="2358">
        <f t="shared" si="17"/>
        <v>0</v>
      </c>
      <c r="L100" s="2360">
        <v>0</v>
      </c>
      <c r="M100" s="2358">
        <f>Reduktionsstiberegner!$L100*Reduktionsstiberegner!$F100</f>
        <v>0</v>
      </c>
      <c r="N100" s="2361">
        <v>0</v>
      </c>
      <c r="O100" s="2362">
        <f>Reduktionsstiberegner!$N100*F100</f>
        <v>0</v>
      </c>
      <c r="P100" s="2363">
        <f t="shared" si="18"/>
        <v>0</v>
      </c>
      <c r="Q100" s="2358">
        <f>Reduktionsstiberegner!$K100*Reduktionsstiberegner!$D100</f>
        <v>0</v>
      </c>
      <c r="R100" s="2358">
        <f>Reduktionsstiberegner!$D100*Reduktionsstiberegner!$M100</f>
        <v>0</v>
      </c>
      <c r="S100" s="2362">
        <f>Reduktionsstiberegner!$D100*Reduktionsstiberegner!$O100</f>
        <v>0</v>
      </c>
      <c r="T100" s="2445" t="s">
        <v>5395</v>
      </c>
      <c r="U100" s="4248"/>
    </row>
    <row r="101" spans="1:21" ht="18" customHeight="1" x14ac:dyDescent="0.2">
      <c r="A101" s="2398" t="s">
        <v>635</v>
      </c>
      <c r="B101" s="2365">
        <f t="shared" si="19"/>
        <v>55</v>
      </c>
      <c r="C101" s="2370" t="s">
        <v>4352</v>
      </c>
      <c r="D101" s="2385">
        <v>0.14699999999999999</v>
      </c>
      <c r="E101" s="2354" t="s">
        <v>4350</v>
      </c>
      <c r="F101" s="2441">
        <f>F100</f>
        <v>6967.5361462067322</v>
      </c>
      <c r="G101" s="2356" t="s">
        <v>4351</v>
      </c>
      <c r="H101" s="2357">
        <v>0</v>
      </c>
      <c r="I101" s="2358">
        <f>Reduktionsstiberegner!$H101*Reduktionsstiberegner!$F101</f>
        <v>0</v>
      </c>
      <c r="J101" s="2359">
        <v>0</v>
      </c>
      <c r="K101" s="2358">
        <f t="shared" si="17"/>
        <v>0</v>
      </c>
      <c r="L101" s="2360">
        <v>0</v>
      </c>
      <c r="M101" s="2358">
        <f>Reduktionsstiberegner!$L101*Reduktionsstiberegner!$F101</f>
        <v>0</v>
      </c>
      <c r="N101" s="2361">
        <v>0</v>
      </c>
      <c r="O101" s="2362">
        <f>Reduktionsstiberegner!$N101*F101</f>
        <v>0</v>
      </c>
      <c r="P101" s="2363">
        <f t="shared" si="18"/>
        <v>0</v>
      </c>
      <c r="Q101" s="2358">
        <f>Reduktionsstiberegner!$K101*Reduktionsstiberegner!$D101</f>
        <v>0</v>
      </c>
      <c r="R101" s="2358">
        <f>Reduktionsstiberegner!$D101*Reduktionsstiberegner!$M101</f>
        <v>0</v>
      </c>
      <c r="S101" s="2362">
        <f>Reduktionsstiberegner!$D101*Reduktionsstiberegner!$O101</f>
        <v>0</v>
      </c>
      <c r="T101" s="2445"/>
      <c r="U101" s="4248"/>
    </row>
    <row r="102" spans="1:21" ht="18" customHeight="1" x14ac:dyDescent="0.2">
      <c r="A102" s="2398" t="s">
        <v>635</v>
      </c>
      <c r="B102" s="2365">
        <f t="shared" si="19"/>
        <v>56</v>
      </c>
      <c r="C102" s="2370" t="s">
        <v>4353</v>
      </c>
      <c r="D102" s="2385">
        <v>0.13800000000000001</v>
      </c>
      <c r="E102" s="2354" t="s">
        <v>4350</v>
      </c>
      <c r="F102" s="2441">
        <f>F101</f>
        <v>6967.5361462067322</v>
      </c>
      <c r="G102" s="2356" t="s">
        <v>4351</v>
      </c>
      <c r="H102" s="2357">
        <f>0</f>
        <v>0</v>
      </c>
      <c r="I102" s="2358">
        <f>Reduktionsstiberegner!$H102*Reduktionsstiberegner!$F102</f>
        <v>0</v>
      </c>
      <c r="J102" s="2359">
        <v>0</v>
      </c>
      <c r="K102" s="2358">
        <f t="shared" si="17"/>
        <v>0</v>
      </c>
      <c r="L102" s="2360">
        <v>0</v>
      </c>
      <c r="M102" s="2358">
        <f>Reduktionsstiberegner!$L102*Reduktionsstiberegner!$F102</f>
        <v>0</v>
      </c>
      <c r="N102" s="2361">
        <v>0</v>
      </c>
      <c r="O102" s="2362">
        <f>Reduktionsstiberegner!$N102*F102</f>
        <v>0</v>
      </c>
      <c r="P102" s="2363">
        <f t="shared" si="18"/>
        <v>0</v>
      </c>
      <c r="Q102" s="2358">
        <f>Reduktionsstiberegner!$K102*Reduktionsstiberegner!$D102</f>
        <v>0</v>
      </c>
      <c r="R102" s="2358">
        <f>Reduktionsstiberegner!$D102*Reduktionsstiberegner!$M102</f>
        <v>0</v>
      </c>
      <c r="S102" s="2362">
        <f>Reduktionsstiberegner!$D102*Reduktionsstiberegner!$O102</f>
        <v>0</v>
      </c>
      <c r="T102" s="2445"/>
      <c r="U102" s="4248"/>
    </row>
    <row r="103" spans="1:21" ht="18" customHeight="1" x14ac:dyDescent="0.2">
      <c r="A103" s="2398" t="s">
        <v>635</v>
      </c>
      <c r="B103" s="2365">
        <f t="shared" si="19"/>
        <v>57</v>
      </c>
      <c r="C103" s="2370" t="s">
        <v>4354</v>
      </c>
      <c r="D103" s="2385">
        <v>1.0820000000000001</v>
      </c>
      <c r="E103" s="2354" t="s">
        <v>4355</v>
      </c>
      <c r="F103" s="2481"/>
      <c r="G103" s="2356" t="s">
        <v>4356</v>
      </c>
      <c r="H103" s="2357">
        <v>0</v>
      </c>
      <c r="I103" s="2358">
        <f>Reduktionsstiberegner!$H103*Reduktionsstiberegner!$F103</f>
        <v>0</v>
      </c>
      <c r="J103" s="2359">
        <v>0</v>
      </c>
      <c r="K103" s="2358">
        <f t="shared" si="17"/>
        <v>0</v>
      </c>
      <c r="L103" s="2360">
        <v>0</v>
      </c>
      <c r="M103" s="2358">
        <f>Reduktionsstiberegner!$L103*Reduktionsstiberegner!$F103</f>
        <v>0</v>
      </c>
      <c r="N103" s="2361">
        <v>0</v>
      </c>
      <c r="O103" s="2362">
        <f>Reduktionsstiberegner!$N103*F103</f>
        <v>0</v>
      </c>
      <c r="P103" s="2363">
        <f t="shared" si="18"/>
        <v>0</v>
      </c>
      <c r="Q103" s="2358">
        <f>Reduktionsstiberegner!$K103*Reduktionsstiberegner!$D103</f>
        <v>0</v>
      </c>
      <c r="R103" s="2358">
        <f>Reduktionsstiberegner!$D103*Reduktionsstiberegner!$M103</f>
        <v>0</v>
      </c>
      <c r="S103" s="2362">
        <f>Reduktionsstiberegner!$D103*Reduktionsstiberegner!$O103</f>
        <v>0</v>
      </c>
      <c r="T103" s="2445"/>
      <c r="U103" s="4248"/>
    </row>
    <row r="104" spans="1:21" ht="18" customHeight="1" x14ac:dyDescent="0.2">
      <c r="A104" s="2398" t="s">
        <v>635</v>
      </c>
      <c r="B104" s="2365">
        <f t="shared" si="19"/>
        <v>58</v>
      </c>
      <c r="C104" s="2370" t="s">
        <v>4357</v>
      </c>
      <c r="D104" s="2385">
        <v>1.0489999999999999</v>
      </c>
      <c r="E104" s="2354" t="s">
        <v>4355</v>
      </c>
      <c r="F104" s="2441">
        <f>F103</f>
        <v>0</v>
      </c>
      <c r="G104" s="2356" t="s">
        <v>4356</v>
      </c>
      <c r="H104" s="2357">
        <v>0</v>
      </c>
      <c r="I104" s="2358">
        <f>Reduktionsstiberegner!$H104*Reduktionsstiberegner!$F104</f>
        <v>0</v>
      </c>
      <c r="J104" s="2359">
        <v>0</v>
      </c>
      <c r="K104" s="2358">
        <f t="shared" si="17"/>
        <v>0</v>
      </c>
      <c r="L104" s="2360">
        <v>0</v>
      </c>
      <c r="M104" s="2358">
        <f>Reduktionsstiberegner!$L104*Reduktionsstiberegner!$F104</f>
        <v>0</v>
      </c>
      <c r="N104" s="2361">
        <v>0</v>
      </c>
      <c r="O104" s="2362">
        <f>Reduktionsstiberegner!$N104*F104</f>
        <v>0</v>
      </c>
      <c r="P104" s="2363">
        <f t="shared" si="18"/>
        <v>0</v>
      </c>
      <c r="Q104" s="2358">
        <f>Reduktionsstiberegner!$K104*Reduktionsstiberegner!$D104</f>
        <v>0</v>
      </c>
      <c r="R104" s="2358">
        <f>Reduktionsstiberegner!$D104*Reduktionsstiberegner!$M104</f>
        <v>0</v>
      </c>
      <c r="S104" s="2362">
        <f>Reduktionsstiberegner!$D104*Reduktionsstiberegner!$O104</f>
        <v>0</v>
      </c>
      <c r="T104" s="2445"/>
      <c r="U104" s="4248"/>
    </row>
    <row r="105" spans="1:21" ht="18" customHeight="1" x14ac:dyDescent="0.2">
      <c r="A105" s="2398" t="s">
        <v>635</v>
      </c>
      <c r="B105" s="2365">
        <f t="shared" si="19"/>
        <v>59</v>
      </c>
      <c r="C105" s="2370" t="s">
        <v>4358</v>
      </c>
      <c r="D105" s="2385">
        <v>1</v>
      </c>
      <c r="E105" s="2354" t="s">
        <v>4359</v>
      </c>
      <c r="F105" s="2481">
        <v>0</v>
      </c>
      <c r="G105" s="2356" t="s">
        <v>4360</v>
      </c>
      <c r="H105" s="2357">
        <v>0</v>
      </c>
      <c r="I105" s="2358">
        <f>Reduktionsstiberegner!$H105*Reduktionsstiberegner!$F105</f>
        <v>0</v>
      </c>
      <c r="J105" s="2359">
        <v>0</v>
      </c>
      <c r="K105" s="2358">
        <f t="shared" si="17"/>
        <v>0</v>
      </c>
      <c r="L105" s="2360">
        <v>0</v>
      </c>
      <c r="M105" s="2358">
        <f>Reduktionsstiberegner!$L105*Reduktionsstiberegner!$F105</f>
        <v>0</v>
      </c>
      <c r="N105" s="2361">
        <v>0</v>
      </c>
      <c r="O105" s="2362">
        <f>Reduktionsstiberegner!$N105*F105</f>
        <v>0</v>
      </c>
      <c r="P105" s="2363">
        <f t="shared" si="18"/>
        <v>0</v>
      </c>
      <c r="Q105" s="2358">
        <f>Reduktionsstiberegner!$K105*Reduktionsstiberegner!$D105</f>
        <v>0</v>
      </c>
      <c r="R105" s="2358">
        <f>Reduktionsstiberegner!$D105*Reduktionsstiberegner!$M105</f>
        <v>0</v>
      </c>
      <c r="S105" s="2362">
        <f>Reduktionsstiberegner!$D105*Reduktionsstiberegner!$O105</f>
        <v>0</v>
      </c>
      <c r="T105" s="2445"/>
      <c r="U105" s="4248"/>
    </row>
    <row r="106" spans="1:21" ht="18" customHeight="1" x14ac:dyDescent="0.2">
      <c r="A106" s="2398" t="s">
        <v>635</v>
      </c>
      <c r="B106" s="2365">
        <f t="shared" si="19"/>
        <v>60</v>
      </c>
      <c r="C106" s="2370" t="s">
        <v>4361</v>
      </c>
      <c r="D106" s="2482">
        <f>'E2020'!$A$89</f>
        <v>87.22</v>
      </c>
      <c r="E106" s="2354" t="s">
        <v>4362</v>
      </c>
      <c r="F106" s="2441">
        <f>'E2020'!$A$81</f>
        <v>28.262897773245289</v>
      </c>
      <c r="G106" s="2356" t="s">
        <v>645</v>
      </c>
      <c r="H106" s="2357">
        <v>1</v>
      </c>
      <c r="I106" s="2358">
        <f>Reduktionsstiberegner!$H106*Reduktionsstiberegner!$F106</f>
        <v>28.262897773245289</v>
      </c>
      <c r="J106" s="2359">
        <f>H106</f>
        <v>1</v>
      </c>
      <c r="K106" s="2358">
        <f t="shared" si="17"/>
        <v>28.262897773245289</v>
      </c>
      <c r="L106" s="2360">
        <f>J106</f>
        <v>1</v>
      </c>
      <c r="M106" s="2358">
        <f>Reduktionsstiberegner!$L106*Reduktionsstiberegner!$F106</f>
        <v>28.262897773245289</v>
      </c>
      <c r="N106" s="2361">
        <f>L106</f>
        <v>1</v>
      </c>
      <c r="O106" s="2362">
        <f>Reduktionsstiberegner!$N106*F106</f>
        <v>28.262897773245289</v>
      </c>
      <c r="P106" s="2363">
        <f t="shared" si="18"/>
        <v>2465.0899437824542</v>
      </c>
      <c r="Q106" s="2358">
        <f>Reduktionsstiberegner!$K106*Reduktionsstiberegner!$D106</f>
        <v>2465.0899437824542</v>
      </c>
      <c r="R106" s="2358">
        <f>Reduktionsstiberegner!$D106*Reduktionsstiberegner!$M106</f>
        <v>2465.0899437824542</v>
      </c>
      <c r="S106" s="2362">
        <f>Reduktionsstiberegner!$D106*Reduktionsstiberegner!$O106</f>
        <v>2465.0899437824542</v>
      </c>
      <c r="T106" s="2445" t="s">
        <v>5447</v>
      </c>
      <c r="U106" s="4248"/>
    </row>
    <row r="107" spans="1:21" ht="18" customHeight="1" x14ac:dyDescent="0.2">
      <c r="A107" s="2398" t="s">
        <v>635</v>
      </c>
      <c r="B107" s="2365">
        <f t="shared" si="19"/>
        <v>61</v>
      </c>
      <c r="C107" s="2370" t="s">
        <v>4363</v>
      </c>
      <c r="D107" s="2482">
        <f>'E-Tiltag'!Q18</f>
        <v>45.36</v>
      </c>
      <c r="E107" s="2354" t="s">
        <v>4364</v>
      </c>
      <c r="F107" s="2481">
        <v>0</v>
      </c>
      <c r="G107" s="2356" t="s">
        <v>4365</v>
      </c>
      <c r="H107" s="2357">
        <v>0</v>
      </c>
      <c r="I107" s="2358">
        <f>Reduktionsstiberegner!$H107*Reduktionsstiberegner!$F107</f>
        <v>0</v>
      </c>
      <c r="J107" s="2359">
        <v>0</v>
      </c>
      <c r="K107" s="2358">
        <f t="shared" si="17"/>
        <v>0</v>
      </c>
      <c r="L107" s="2360">
        <v>0</v>
      </c>
      <c r="M107" s="2358">
        <f>Reduktionsstiberegner!$L107*Reduktionsstiberegner!$F107</f>
        <v>0</v>
      </c>
      <c r="N107" s="2361">
        <v>0</v>
      </c>
      <c r="O107" s="2362">
        <f>Reduktionsstiberegner!$N107*F107</f>
        <v>0</v>
      </c>
      <c r="P107" s="2363">
        <v>0</v>
      </c>
      <c r="Q107" s="2358">
        <v>0</v>
      </c>
      <c r="R107" s="2358">
        <v>0</v>
      </c>
      <c r="S107" s="2362">
        <v>0</v>
      </c>
      <c r="T107" s="2445"/>
      <c r="U107" s="4248"/>
    </row>
    <row r="108" spans="1:21" ht="18" customHeight="1" x14ac:dyDescent="0.2">
      <c r="A108" s="2398" t="s">
        <v>635</v>
      </c>
      <c r="B108" s="2365">
        <f t="shared" si="19"/>
        <v>62</v>
      </c>
      <c r="C108" s="2370" t="s">
        <v>4366</v>
      </c>
      <c r="D108" s="2482">
        <f>'E-Tiltag'!Q26</f>
        <v>62.927999999999997</v>
      </c>
      <c r="E108" s="2354" t="s">
        <v>4364</v>
      </c>
      <c r="F108" s="2481">
        <v>0</v>
      </c>
      <c r="G108" s="2356" t="s">
        <v>4365</v>
      </c>
      <c r="H108" s="2357">
        <v>0</v>
      </c>
      <c r="I108" s="2358">
        <f>Reduktionsstiberegner!$H108*Reduktionsstiberegner!$F108</f>
        <v>0</v>
      </c>
      <c r="J108" s="2359">
        <v>0</v>
      </c>
      <c r="K108" s="2358">
        <f t="shared" si="17"/>
        <v>0</v>
      </c>
      <c r="L108" s="2360">
        <v>0</v>
      </c>
      <c r="M108" s="2358">
        <f>Reduktionsstiberegner!$L108*Reduktionsstiberegner!$F108</f>
        <v>0</v>
      </c>
      <c r="N108" s="2361">
        <v>0</v>
      </c>
      <c r="O108" s="2362">
        <f>Reduktionsstiberegner!$N108*F108</f>
        <v>0</v>
      </c>
      <c r="P108" s="2363">
        <v>0</v>
      </c>
      <c r="Q108" s="2358">
        <v>0</v>
      </c>
      <c r="R108" s="2358">
        <v>0</v>
      </c>
      <c r="S108" s="2362">
        <v>0</v>
      </c>
      <c r="T108" s="2445"/>
      <c r="U108" s="4248"/>
    </row>
    <row r="109" spans="1:21" ht="18" customHeight="1" x14ac:dyDescent="0.2">
      <c r="A109" s="2398" t="s">
        <v>635</v>
      </c>
      <c r="B109" s="2365">
        <f t="shared" si="19"/>
        <v>63</v>
      </c>
      <c r="C109" s="2370" t="s">
        <v>4367</v>
      </c>
      <c r="D109" s="2483">
        <f>'E-Tiltag'!Q38</f>
        <v>3.9627000000000003</v>
      </c>
      <c r="E109" s="2354" t="s">
        <v>4368</v>
      </c>
      <c r="F109" s="4245">
        <v>0</v>
      </c>
      <c r="G109" s="2356" t="s">
        <v>4369</v>
      </c>
      <c r="H109" s="2357">
        <v>0</v>
      </c>
      <c r="I109" s="2358">
        <f>Reduktionsstiberegner!$H109*Reduktionsstiberegner!$F109</f>
        <v>0</v>
      </c>
      <c r="J109" s="2359">
        <v>0</v>
      </c>
      <c r="K109" s="2358">
        <f t="shared" si="17"/>
        <v>0</v>
      </c>
      <c r="L109" s="2360">
        <v>0</v>
      </c>
      <c r="M109" s="2358">
        <f>Reduktionsstiberegner!$L109*Reduktionsstiberegner!$F109</f>
        <v>0</v>
      </c>
      <c r="N109" s="2361">
        <v>0</v>
      </c>
      <c r="O109" s="2362">
        <f>Reduktionsstiberegner!$N109*F109</f>
        <v>0</v>
      </c>
      <c r="P109" s="2363">
        <v>0</v>
      </c>
      <c r="Q109" s="2358">
        <f>K109*$D$109*($D$106-$D$106*$J$106)</f>
        <v>0</v>
      </c>
      <c r="R109" s="2358">
        <v>0</v>
      </c>
      <c r="S109" s="2362">
        <v>0</v>
      </c>
      <c r="T109" s="2445"/>
      <c r="U109" s="4248"/>
    </row>
    <row r="110" spans="1:21" ht="18" customHeight="1" x14ac:dyDescent="0.2">
      <c r="A110" s="2398" t="s">
        <v>635</v>
      </c>
      <c r="B110" s="2365" t="str">
        <f>B109&amp;"a"</f>
        <v>63a</v>
      </c>
      <c r="C110" s="2388" t="s">
        <v>643</v>
      </c>
      <c r="D110" s="2385"/>
      <c r="E110" s="2354" t="s">
        <v>4301</v>
      </c>
      <c r="F110" s="2441"/>
      <c r="G110" s="2356"/>
      <c r="H110" s="2357">
        <v>0</v>
      </c>
      <c r="I110" s="2358">
        <f>Reduktionsstiberegner!$H110*Reduktionsstiberegner!$F110</f>
        <v>0</v>
      </c>
      <c r="J110" s="2359">
        <v>0</v>
      </c>
      <c r="K110" s="2358">
        <f t="shared" si="17"/>
        <v>0</v>
      </c>
      <c r="L110" s="2360">
        <v>0</v>
      </c>
      <c r="M110" s="2358">
        <f>Reduktionsstiberegner!$L110*Reduktionsstiberegner!$F110</f>
        <v>0</v>
      </c>
      <c r="N110" s="2361">
        <v>0</v>
      </c>
      <c r="O110" s="2362">
        <f>Reduktionsstiberegner!$N110*F110</f>
        <v>0</v>
      </c>
      <c r="P110" s="2363">
        <f t="shared" si="18"/>
        <v>0</v>
      </c>
      <c r="Q110" s="2358">
        <f>Reduktionsstiberegner!$K110*Reduktionsstiberegner!$D110</f>
        <v>0</v>
      </c>
      <c r="R110" s="2358">
        <f>Reduktionsstiberegner!$D110*Reduktionsstiberegner!$M110</f>
        <v>0</v>
      </c>
      <c r="S110" s="2362">
        <f>Reduktionsstiberegner!$D110*Reduktionsstiberegner!$O110</f>
        <v>0</v>
      </c>
      <c r="T110" s="2364"/>
    </row>
    <row r="111" spans="1:21" ht="18" customHeight="1" x14ac:dyDescent="0.2">
      <c r="A111" s="2398" t="s">
        <v>635</v>
      </c>
      <c r="B111" s="2365" t="str">
        <f>B109&amp;"b"</f>
        <v>63b</v>
      </c>
      <c r="C111" s="2388" t="s">
        <v>643</v>
      </c>
      <c r="D111" s="2385"/>
      <c r="E111" s="2354" t="s">
        <v>4301</v>
      </c>
      <c r="F111" s="2441"/>
      <c r="G111" s="2356"/>
      <c r="H111" s="2357">
        <v>0</v>
      </c>
      <c r="I111" s="2358">
        <f>Reduktionsstiberegner!$H111*Reduktionsstiberegner!$F111</f>
        <v>0</v>
      </c>
      <c r="J111" s="2359">
        <v>0</v>
      </c>
      <c r="K111" s="2358">
        <f t="shared" si="17"/>
        <v>0</v>
      </c>
      <c r="L111" s="2360">
        <v>0</v>
      </c>
      <c r="M111" s="2358">
        <f>Reduktionsstiberegner!$L111*Reduktionsstiberegner!$F111</f>
        <v>0</v>
      </c>
      <c r="N111" s="2361">
        <v>0</v>
      </c>
      <c r="O111" s="2362">
        <f>Reduktionsstiberegner!$N111*F111</f>
        <v>0</v>
      </c>
      <c r="P111" s="2363">
        <f t="shared" si="18"/>
        <v>0</v>
      </c>
      <c r="Q111" s="2358">
        <f>Reduktionsstiberegner!$K111*Reduktionsstiberegner!$D111</f>
        <v>0</v>
      </c>
      <c r="R111" s="2358">
        <f>Reduktionsstiberegner!$D111*Reduktionsstiberegner!$M111</f>
        <v>0</v>
      </c>
      <c r="S111" s="2362">
        <f>Reduktionsstiberegner!$D111*Reduktionsstiberegner!$O111</f>
        <v>0</v>
      </c>
      <c r="T111" s="2364"/>
    </row>
    <row r="112" spans="1:21" ht="18" customHeight="1" thickBot="1" x14ac:dyDescent="0.25">
      <c r="A112" s="2398" t="s">
        <v>635</v>
      </c>
      <c r="B112" s="2365" t="str">
        <f>B109&amp;"c"</f>
        <v>63c</v>
      </c>
      <c r="C112" s="2389" t="s">
        <v>643</v>
      </c>
      <c r="D112" s="2385"/>
      <c r="E112" s="2354" t="s">
        <v>4301</v>
      </c>
      <c r="F112" s="2441"/>
      <c r="G112" s="2356"/>
      <c r="H112" s="2357">
        <v>0</v>
      </c>
      <c r="I112" s="2358">
        <f>Reduktionsstiberegner!$H112*Reduktionsstiberegner!$F112</f>
        <v>0</v>
      </c>
      <c r="J112" s="2359">
        <f>H112</f>
        <v>0</v>
      </c>
      <c r="K112" s="2358">
        <f t="shared" si="17"/>
        <v>0</v>
      </c>
      <c r="L112" s="2360">
        <v>0</v>
      </c>
      <c r="M112" s="2358">
        <f>Reduktionsstiberegner!$L112*Reduktionsstiberegner!$F112</f>
        <v>0</v>
      </c>
      <c r="N112" s="2361">
        <v>0</v>
      </c>
      <c r="O112" s="2362">
        <f>Reduktionsstiberegner!$N112*F112</f>
        <v>0</v>
      </c>
      <c r="P112" s="2363">
        <f t="shared" si="18"/>
        <v>0</v>
      </c>
      <c r="Q112" s="2358">
        <f>Reduktionsstiberegner!$K112*Reduktionsstiberegner!$D112</f>
        <v>0</v>
      </c>
      <c r="R112" s="2358">
        <f>Reduktionsstiberegner!$D112*Reduktionsstiberegner!$M112</f>
        <v>0</v>
      </c>
      <c r="S112" s="2362">
        <f>Reduktionsstiberegner!$D112*Reduktionsstiberegner!$O112</f>
        <v>0</v>
      </c>
      <c r="T112" s="2364"/>
    </row>
    <row r="113" spans="1:22" ht="18" customHeight="1" thickBot="1" x14ac:dyDescent="0.25">
      <c r="A113" s="386"/>
      <c r="B113" s="387"/>
      <c r="C113" s="396" t="s">
        <v>4370</v>
      </c>
      <c r="D113" s="405"/>
      <c r="E113" s="388"/>
      <c r="F113" s="388"/>
      <c r="G113" s="388"/>
      <c r="H113" s="389"/>
      <c r="I113" s="388"/>
      <c r="J113" s="388"/>
      <c r="K113" s="388"/>
      <c r="L113" s="389"/>
      <c r="M113" s="388"/>
      <c r="N113" s="389"/>
      <c r="O113" s="406"/>
      <c r="P113" s="391">
        <f>SUM(P93:P112)</f>
        <v>4342.7543037824544</v>
      </c>
      <c r="Q113" s="390">
        <f>SUM(Q93:Q112)</f>
        <v>4495.6670637824536</v>
      </c>
      <c r="R113" s="390">
        <f>SUBTOTAL(109,Reduktionsstiberegner!$R$93:$R$112)</f>
        <v>4495.6670637824536</v>
      </c>
      <c r="S113" s="392">
        <f>SUBTOTAL(109,Reduktionsstiberegner!$S$93:$S$112)</f>
        <v>4714.1138637824533</v>
      </c>
      <c r="T113" s="407"/>
    </row>
    <row r="115" spans="1:22" x14ac:dyDescent="0.2">
      <c r="A115" s="408"/>
      <c r="B115" s="408"/>
      <c r="C115" s="408" t="s">
        <v>565</v>
      </c>
      <c r="D115" s="408"/>
      <c r="E115" s="408"/>
      <c r="F115" s="408"/>
      <c r="G115" s="408"/>
      <c r="H115" s="408"/>
      <c r="I115" s="408"/>
      <c r="J115" s="408"/>
      <c r="K115" s="408"/>
      <c r="L115" s="408"/>
      <c r="M115" s="408"/>
      <c r="N115" s="408"/>
      <c r="O115" s="408"/>
      <c r="P115" s="409">
        <f>+P41+P89+P113+P55+P69</f>
        <v>8062.2602916766418</v>
      </c>
      <c r="Q115" s="409">
        <f>+Q41+Q89+Q113+Q55+Q69</f>
        <v>8960.1398572368416</v>
      </c>
      <c r="R115" s="409">
        <f>+R41+R89+R113+R55+R69</f>
        <v>11661.007586706262</v>
      </c>
      <c r="S115" s="409">
        <f>+S41+S89+S113+S55+S69</f>
        <v>27000.371734332432</v>
      </c>
      <c r="T115" s="408"/>
      <c r="U115" s="408"/>
    </row>
    <row r="117" spans="1:22" x14ac:dyDescent="0.2">
      <c r="P117" s="376"/>
      <c r="Q117" s="376"/>
      <c r="V117" s="625">
        <v>0</v>
      </c>
    </row>
    <row r="118" spans="1:22" x14ac:dyDescent="0.2">
      <c r="V118" s="626">
        <v>0.01</v>
      </c>
    </row>
    <row r="119" spans="1:22" x14ac:dyDescent="0.2">
      <c r="H119" s="2484"/>
      <c r="P119" s="376"/>
      <c r="Q119" s="376"/>
      <c r="V119" s="626">
        <v>0.02</v>
      </c>
    </row>
    <row r="120" spans="1:22" x14ac:dyDescent="0.2">
      <c r="H120" s="2485"/>
      <c r="P120" s="376"/>
      <c r="Q120" s="376"/>
      <c r="V120" s="626">
        <v>0.03</v>
      </c>
    </row>
    <row r="121" spans="1:22" x14ac:dyDescent="0.2">
      <c r="V121" s="626">
        <v>0.04</v>
      </c>
    </row>
    <row r="122" spans="1:22" x14ac:dyDescent="0.2">
      <c r="V122" s="626">
        <v>0.05</v>
      </c>
    </row>
    <row r="123" spans="1:22" x14ac:dyDescent="0.2">
      <c r="V123" s="626">
        <v>0.06</v>
      </c>
    </row>
    <row r="124" spans="1:22" x14ac:dyDescent="0.2">
      <c r="V124" s="626">
        <v>7.0000000000000007E-2</v>
      </c>
    </row>
    <row r="125" spans="1:22" x14ac:dyDescent="0.2">
      <c r="V125" s="626">
        <v>0.08</v>
      </c>
    </row>
    <row r="126" spans="1:22" x14ac:dyDescent="0.2">
      <c r="V126" s="626">
        <v>0.09</v>
      </c>
    </row>
    <row r="127" spans="1:22" x14ac:dyDescent="0.2">
      <c r="V127" s="626">
        <v>0.1</v>
      </c>
    </row>
    <row r="128" spans="1:22" x14ac:dyDescent="0.2">
      <c r="V128" s="626">
        <v>0.11</v>
      </c>
    </row>
    <row r="129" spans="22:22" x14ac:dyDescent="0.2">
      <c r="V129" s="626">
        <v>0.12</v>
      </c>
    </row>
    <row r="130" spans="22:22" x14ac:dyDescent="0.2">
      <c r="V130" s="626">
        <v>0.13</v>
      </c>
    </row>
    <row r="131" spans="22:22" x14ac:dyDescent="0.2">
      <c r="V131" s="626">
        <v>0.14000000000000001</v>
      </c>
    </row>
    <row r="132" spans="22:22" x14ac:dyDescent="0.2">
      <c r="V132" s="626">
        <v>0.15</v>
      </c>
    </row>
    <row r="133" spans="22:22" x14ac:dyDescent="0.2">
      <c r="V133" s="626">
        <v>0.16</v>
      </c>
    </row>
    <row r="134" spans="22:22" x14ac:dyDescent="0.2">
      <c r="V134" s="626">
        <v>0.17</v>
      </c>
    </row>
    <row r="135" spans="22:22" x14ac:dyDescent="0.2">
      <c r="V135" s="626">
        <v>0.18</v>
      </c>
    </row>
    <row r="136" spans="22:22" x14ac:dyDescent="0.2">
      <c r="V136" s="626">
        <v>0.19</v>
      </c>
    </row>
    <row r="137" spans="22:22" x14ac:dyDescent="0.2">
      <c r="V137" s="626">
        <v>0.2</v>
      </c>
    </row>
    <row r="138" spans="22:22" x14ac:dyDescent="0.2">
      <c r="V138" s="626">
        <v>0.21</v>
      </c>
    </row>
    <row r="139" spans="22:22" x14ac:dyDescent="0.2">
      <c r="V139" s="626">
        <v>0.22</v>
      </c>
    </row>
    <row r="140" spans="22:22" x14ac:dyDescent="0.2">
      <c r="V140" s="626">
        <v>0.23</v>
      </c>
    </row>
    <row r="141" spans="22:22" x14ac:dyDescent="0.2">
      <c r="V141" s="626">
        <v>0.24</v>
      </c>
    </row>
    <row r="142" spans="22:22" x14ac:dyDescent="0.2">
      <c r="V142" s="626">
        <v>0.25</v>
      </c>
    </row>
    <row r="143" spans="22:22" x14ac:dyDescent="0.2">
      <c r="V143" s="626">
        <v>0.26</v>
      </c>
    </row>
    <row r="144" spans="22:22" x14ac:dyDescent="0.2">
      <c r="V144" s="626">
        <v>0.27</v>
      </c>
    </row>
    <row r="145" spans="22:22" x14ac:dyDescent="0.2">
      <c r="V145" s="626">
        <v>0.28000000000000003</v>
      </c>
    </row>
    <row r="146" spans="22:22" x14ac:dyDescent="0.2">
      <c r="V146" s="626">
        <v>0.28999999999999998</v>
      </c>
    </row>
    <row r="147" spans="22:22" x14ac:dyDescent="0.2">
      <c r="V147" s="626">
        <v>0.3</v>
      </c>
    </row>
    <row r="148" spans="22:22" x14ac:dyDescent="0.2">
      <c r="V148" s="626">
        <v>0.31</v>
      </c>
    </row>
    <row r="149" spans="22:22" x14ac:dyDescent="0.2">
      <c r="V149" s="626">
        <v>0.32</v>
      </c>
    </row>
    <row r="150" spans="22:22" x14ac:dyDescent="0.2">
      <c r="V150" s="626">
        <v>0.33</v>
      </c>
    </row>
    <row r="151" spans="22:22" x14ac:dyDescent="0.2">
      <c r="V151" s="626">
        <v>0.34</v>
      </c>
    </row>
    <row r="152" spans="22:22" x14ac:dyDescent="0.2">
      <c r="V152" s="626">
        <v>0.35</v>
      </c>
    </row>
    <row r="153" spans="22:22" x14ac:dyDescent="0.2">
      <c r="V153" s="626">
        <v>0.36</v>
      </c>
    </row>
    <row r="154" spans="22:22" x14ac:dyDescent="0.2">
      <c r="V154" s="626">
        <v>0.37</v>
      </c>
    </row>
    <row r="155" spans="22:22" x14ac:dyDescent="0.2">
      <c r="V155" s="626">
        <v>0.38</v>
      </c>
    </row>
    <row r="156" spans="22:22" x14ac:dyDescent="0.2">
      <c r="V156" s="626">
        <v>0.39</v>
      </c>
    </row>
    <row r="157" spans="22:22" x14ac:dyDescent="0.2">
      <c r="V157" s="626">
        <v>0.4</v>
      </c>
    </row>
    <row r="158" spans="22:22" x14ac:dyDescent="0.2">
      <c r="V158" s="626">
        <v>0.41</v>
      </c>
    </row>
    <row r="159" spans="22:22" x14ac:dyDescent="0.2">
      <c r="V159" s="626">
        <v>0.42</v>
      </c>
    </row>
    <row r="160" spans="22:22" x14ac:dyDescent="0.2">
      <c r="V160" s="626">
        <v>0.43</v>
      </c>
    </row>
    <row r="161" spans="22:22" x14ac:dyDescent="0.2">
      <c r="V161" s="626">
        <v>0.44</v>
      </c>
    </row>
    <row r="162" spans="22:22" x14ac:dyDescent="0.2">
      <c r="V162" s="626">
        <v>0.45</v>
      </c>
    </row>
    <row r="163" spans="22:22" x14ac:dyDescent="0.2">
      <c r="V163" s="626">
        <v>0.46</v>
      </c>
    </row>
    <row r="164" spans="22:22" x14ac:dyDescent="0.2">
      <c r="V164" s="626">
        <v>0.47</v>
      </c>
    </row>
    <row r="165" spans="22:22" x14ac:dyDescent="0.2">
      <c r="V165" s="626">
        <v>0.48</v>
      </c>
    </row>
    <row r="166" spans="22:22" x14ac:dyDescent="0.2">
      <c r="V166" s="626">
        <v>0.49</v>
      </c>
    </row>
    <row r="167" spans="22:22" x14ac:dyDescent="0.2">
      <c r="V167" s="626">
        <v>0.5</v>
      </c>
    </row>
    <row r="168" spans="22:22" x14ac:dyDescent="0.2">
      <c r="V168" s="626">
        <v>0.51</v>
      </c>
    </row>
    <row r="169" spans="22:22" x14ac:dyDescent="0.2">
      <c r="V169" s="626">
        <v>0.52</v>
      </c>
    </row>
    <row r="170" spans="22:22" x14ac:dyDescent="0.2">
      <c r="V170" s="626">
        <v>0.53</v>
      </c>
    </row>
    <row r="171" spans="22:22" x14ac:dyDescent="0.2">
      <c r="V171" s="626">
        <v>0.54</v>
      </c>
    </row>
    <row r="172" spans="22:22" x14ac:dyDescent="0.2">
      <c r="V172" s="626">
        <v>0.55000000000000004</v>
      </c>
    </row>
    <row r="173" spans="22:22" x14ac:dyDescent="0.2">
      <c r="V173" s="626">
        <v>0.56000000000000005</v>
      </c>
    </row>
    <row r="174" spans="22:22" x14ac:dyDescent="0.2">
      <c r="V174" s="626">
        <v>0.56999999999999995</v>
      </c>
    </row>
    <row r="175" spans="22:22" x14ac:dyDescent="0.2">
      <c r="V175" s="626">
        <v>0.57999999999999996</v>
      </c>
    </row>
    <row r="176" spans="22:22" x14ac:dyDescent="0.2">
      <c r="V176" s="626">
        <v>0.59</v>
      </c>
    </row>
    <row r="177" spans="22:22" x14ac:dyDescent="0.2">
      <c r="V177" s="626">
        <v>0.6</v>
      </c>
    </row>
    <row r="178" spans="22:22" x14ac:dyDescent="0.2">
      <c r="V178" s="626">
        <v>0.61</v>
      </c>
    </row>
    <row r="179" spans="22:22" x14ac:dyDescent="0.2">
      <c r="V179" s="626">
        <v>0.62</v>
      </c>
    </row>
    <row r="180" spans="22:22" x14ac:dyDescent="0.2">
      <c r="V180" s="626">
        <v>0.63</v>
      </c>
    </row>
    <row r="181" spans="22:22" x14ac:dyDescent="0.2">
      <c r="V181" s="626">
        <v>0.64</v>
      </c>
    </row>
    <row r="182" spans="22:22" x14ac:dyDescent="0.2">
      <c r="V182" s="626">
        <v>0.65</v>
      </c>
    </row>
    <row r="183" spans="22:22" x14ac:dyDescent="0.2">
      <c r="V183" s="626">
        <v>0.66</v>
      </c>
    </row>
    <row r="184" spans="22:22" x14ac:dyDescent="0.2">
      <c r="V184" s="626">
        <v>0.67</v>
      </c>
    </row>
    <row r="185" spans="22:22" x14ac:dyDescent="0.2">
      <c r="V185" s="626">
        <v>0.68</v>
      </c>
    </row>
    <row r="186" spans="22:22" x14ac:dyDescent="0.2">
      <c r="V186" s="626">
        <v>0.69</v>
      </c>
    </row>
    <row r="187" spans="22:22" x14ac:dyDescent="0.2">
      <c r="V187" s="626">
        <v>0.7</v>
      </c>
    </row>
    <row r="188" spans="22:22" x14ac:dyDescent="0.2">
      <c r="V188" s="626">
        <v>0.71</v>
      </c>
    </row>
    <row r="189" spans="22:22" x14ac:dyDescent="0.2">
      <c r="V189" s="626">
        <v>0.72</v>
      </c>
    </row>
    <row r="190" spans="22:22" x14ac:dyDescent="0.2">
      <c r="V190" s="626">
        <v>0.73</v>
      </c>
    </row>
    <row r="191" spans="22:22" x14ac:dyDescent="0.2">
      <c r="V191" s="626">
        <v>0.74</v>
      </c>
    </row>
    <row r="192" spans="22:22" x14ac:dyDescent="0.2">
      <c r="V192" s="626">
        <v>0.75</v>
      </c>
    </row>
    <row r="193" spans="22:22" x14ac:dyDescent="0.2">
      <c r="V193" s="626">
        <v>0.76</v>
      </c>
    </row>
    <row r="194" spans="22:22" x14ac:dyDescent="0.2">
      <c r="V194" s="626">
        <v>0.77</v>
      </c>
    </row>
    <row r="195" spans="22:22" x14ac:dyDescent="0.2">
      <c r="V195" s="626">
        <v>0.78</v>
      </c>
    </row>
    <row r="196" spans="22:22" x14ac:dyDescent="0.2">
      <c r="V196" s="626">
        <v>0.79</v>
      </c>
    </row>
    <row r="197" spans="22:22" x14ac:dyDescent="0.2">
      <c r="V197" s="626">
        <v>0.8</v>
      </c>
    </row>
    <row r="198" spans="22:22" x14ac:dyDescent="0.2">
      <c r="V198" s="626">
        <v>0.81</v>
      </c>
    </row>
    <row r="199" spans="22:22" x14ac:dyDescent="0.2">
      <c r="V199" s="626">
        <v>0.82</v>
      </c>
    </row>
    <row r="200" spans="22:22" x14ac:dyDescent="0.2">
      <c r="V200" s="626">
        <v>0.83</v>
      </c>
    </row>
    <row r="201" spans="22:22" x14ac:dyDescent="0.2">
      <c r="V201" s="626">
        <v>0.84</v>
      </c>
    </row>
    <row r="202" spans="22:22" x14ac:dyDescent="0.2">
      <c r="V202" s="626">
        <v>0.85</v>
      </c>
    </row>
    <row r="203" spans="22:22" x14ac:dyDescent="0.2">
      <c r="V203" s="626">
        <v>0.86</v>
      </c>
    </row>
    <row r="204" spans="22:22" x14ac:dyDescent="0.2">
      <c r="V204" s="626">
        <v>0.87</v>
      </c>
    </row>
    <row r="205" spans="22:22" x14ac:dyDescent="0.2">
      <c r="V205" s="626">
        <v>0.88</v>
      </c>
    </row>
    <row r="206" spans="22:22" x14ac:dyDescent="0.2">
      <c r="V206" s="626">
        <v>0.89</v>
      </c>
    </row>
    <row r="207" spans="22:22" x14ac:dyDescent="0.2">
      <c r="V207" s="626">
        <v>0.9</v>
      </c>
    </row>
    <row r="208" spans="22:22" x14ac:dyDescent="0.2">
      <c r="V208" s="626">
        <v>0.91</v>
      </c>
    </row>
    <row r="209" spans="22:22" x14ac:dyDescent="0.2">
      <c r="V209" s="626">
        <v>0.92</v>
      </c>
    </row>
    <row r="210" spans="22:22" x14ac:dyDescent="0.2">
      <c r="V210" s="626">
        <v>0.93</v>
      </c>
    </row>
    <row r="211" spans="22:22" x14ac:dyDescent="0.2">
      <c r="V211" s="626">
        <v>0.94</v>
      </c>
    </row>
    <row r="212" spans="22:22" x14ac:dyDescent="0.2">
      <c r="V212" s="626">
        <v>0.95</v>
      </c>
    </row>
    <row r="213" spans="22:22" x14ac:dyDescent="0.2">
      <c r="V213" s="626">
        <v>0.96</v>
      </c>
    </row>
    <row r="214" spans="22:22" x14ac:dyDescent="0.2">
      <c r="V214" s="626">
        <v>0.97</v>
      </c>
    </row>
    <row r="215" spans="22:22" x14ac:dyDescent="0.2">
      <c r="V215" s="626">
        <v>0.98</v>
      </c>
    </row>
    <row r="216" spans="22:22" x14ac:dyDescent="0.2">
      <c r="V216" s="626">
        <v>0.99</v>
      </c>
    </row>
    <row r="217" spans="22:22" x14ac:dyDescent="0.2">
      <c r="V217" s="626">
        <v>1</v>
      </c>
    </row>
  </sheetData>
  <protectedRanges>
    <protectedRange sqref="T38:U45 T52:U57 T75:U84 T62:U72 T14:U14 U15:U16 T7:U12 T17:U34 T35" name="Kommentarer"/>
    <protectedRange sqref="D38:D46 D76:D84 D50:D58 D62:D72 D16:D34" name="Koefficienter"/>
    <protectedRange sqref="F40:F46 F76:F84 F50:F58 F62:F64 F66:F72" name="Potentialer"/>
    <protectedRange sqref="T13:U13" name="Kommentarer_1"/>
    <protectedRange sqref="D75" name="Koefficienter_2"/>
    <protectedRange sqref="F75" name="Potentialer_1"/>
    <protectedRange sqref="D11:D15" name="Koefficienter_1"/>
    <protectedRange sqref="D7:D10" name="Koefficienter_1_1"/>
    <protectedRange sqref="F38:F39 F26:F34" name="Potentialer_2"/>
    <protectedRange sqref="F7:F25" name="Potentialer_2_1"/>
  </protectedRanges>
  <mergeCells count="35">
    <mergeCell ref="D57:E57"/>
    <mergeCell ref="F57:G57"/>
    <mergeCell ref="D5:E5"/>
    <mergeCell ref="F5:G5"/>
    <mergeCell ref="H5:I5"/>
    <mergeCell ref="D43:E43"/>
    <mergeCell ref="F43:G43"/>
    <mergeCell ref="H43:I43"/>
    <mergeCell ref="H57:I57"/>
    <mergeCell ref="J5:K5"/>
    <mergeCell ref="L5:M5"/>
    <mergeCell ref="P5:S5"/>
    <mergeCell ref="N5:O5"/>
    <mergeCell ref="J43:K43"/>
    <mergeCell ref="L43:M43"/>
    <mergeCell ref="N43:O43"/>
    <mergeCell ref="P43:S43"/>
    <mergeCell ref="J57:K57"/>
    <mergeCell ref="L57:M57"/>
    <mergeCell ref="N57:O57"/>
    <mergeCell ref="P57:S57"/>
    <mergeCell ref="N71:O71"/>
    <mergeCell ref="P71:S71"/>
    <mergeCell ref="N91:O91"/>
    <mergeCell ref="P91:S91"/>
    <mergeCell ref="D71:E71"/>
    <mergeCell ref="F71:G71"/>
    <mergeCell ref="H71:I71"/>
    <mergeCell ref="J71:K71"/>
    <mergeCell ref="L71:M71"/>
    <mergeCell ref="D91:E91"/>
    <mergeCell ref="F91:G91"/>
    <mergeCell ref="H91:I91"/>
    <mergeCell ref="J91:K91"/>
    <mergeCell ref="L91:M91"/>
  </mergeCells>
  <conditionalFormatting sqref="F7:F18 F30:F38">
    <cfRule type="cellIs" dxfId="622" priority="3" operator="lessThan">
      <formula>0</formula>
    </cfRule>
  </conditionalFormatting>
  <conditionalFormatting sqref="F20:F28">
    <cfRule type="cellIs" dxfId="621" priority="2" operator="lessThan">
      <formula>0</formula>
    </cfRule>
  </conditionalFormatting>
  <pageMargins left="0.7" right="0.7" top="0.75" bottom="0.75" header="0.3" footer="0.3"/>
  <pageSetup paperSize="9" orientation="portrait" horizontalDpi="4294967293" verticalDpi="4294967293" r:id="rId1"/>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BF7E4-BE2C-4769-9A2E-CA56A6E64C50}">
  <sheetPr codeName="Ark150">
    <tabColor theme="3" tint="0.59999389629810485"/>
  </sheetPr>
  <dimension ref="A1:Y304"/>
  <sheetViews>
    <sheetView zoomScale="85" zoomScaleNormal="85" workbookViewId="0">
      <selection activeCell="C10" sqref="C10"/>
    </sheetView>
  </sheetViews>
  <sheetFormatPr defaultColWidth="8.7109375" defaultRowHeight="15" x14ac:dyDescent="0.25"/>
  <cols>
    <col min="1" max="1" width="52.5703125" style="2746" customWidth="1"/>
    <col min="2" max="2" width="14.7109375" style="2746" customWidth="1"/>
    <col min="3" max="3" width="70.140625" style="2746" customWidth="1"/>
    <col min="4" max="4" width="14.28515625" style="2746" customWidth="1"/>
    <col min="5" max="5" width="62.140625" style="2746" customWidth="1"/>
    <col min="6" max="6" width="24.42578125" style="2746" customWidth="1"/>
    <col min="7" max="7" width="14" style="2746" customWidth="1"/>
    <col min="8" max="8" width="16" style="2746" customWidth="1"/>
    <col min="9" max="9" width="16.5703125" style="2747" customWidth="1"/>
    <col min="10" max="10" width="48.28515625" style="2746" customWidth="1"/>
    <col min="11" max="11" width="14.5703125" style="2746" customWidth="1"/>
    <col min="12" max="12" width="15.28515625" style="2748" customWidth="1"/>
    <col min="13" max="13" width="15" style="2748" customWidth="1"/>
    <col min="14" max="14" width="15.28515625" style="2748" customWidth="1"/>
    <col min="15" max="15" width="15.85546875" style="2748" customWidth="1"/>
    <col min="16" max="16" width="10.85546875" style="2748" customWidth="1"/>
    <col min="17" max="17" width="11.7109375" style="2748" customWidth="1"/>
    <col min="18" max="18" width="21" style="2748" customWidth="1"/>
    <col min="19" max="19" width="17.28515625" style="2748" customWidth="1"/>
    <col min="20" max="20" width="13.140625" style="2748" customWidth="1"/>
    <col min="21" max="21" width="12.5703125" style="2748" customWidth="1"/>
    <col min="22" max="23" width="13" style="2748" customWidth="1"/>
    <col min="24" max="24" width="15.42578125" style="2748" bestFit="1" customWidth="1"/>
    <col min="25" max="25" width="23.140625" style="2748" customWidth="1"/>
    <col min="26" max="16384" width="8.7109375" style="2746"/>
  </cols>
  <sheetData>
    <row r="1" spans="1:25" s="2743" customFormat="1" ht="53.45" customHeight="1" x14ac:dyDescent="0.35">
      <c r="B1" s="2744" t="s">
        <v>2823</v>
      </c>
    </row>
    <row r="2" spans="1:25" ht="21" x14ac:dyDescent="0.35">
      <c r="A2" s="2745" t="s">
        <v>4206</v>
      </c>
    </row>
    <row r="3" spans="1:25" ht="15.75" thickBot="1" x14ac:dyDescent="0.3"/>
    <row r="4" spans="1:25" s="2756" customFormat="1" ht="45.75" thickBot="1" x14ac:dyDescent="0.25">
      <c r="A4" s="2749" t="s">
        <v>2822</v>
      </c>
      <c r="B4" s="2750" t="s">
        <v>2821</v>
      </c>
      <c r="C4" s="2750" t="s">
        <v>2820</v>
      </c>
      <c r="D4" s="2750" t="s">
        <v>2819</v>
      </c>
      <c r="E4" s="2750" t="s">
        <v>2818</v>
      </c>
      <c r="F4" s="2750" t="s">
        <v>2817</v>
      </c>
      <c r="G4" s="2750" t="s">
        <v>2816</v>
      </c>
      <c r="H4" s="2750" t="s">
        <v>2815</v>
      </c>
      <c r="I4" s="2941" t="s">
        <v>4749</v>
      </c>
      <c r="J4" s="2750" t="s">
        <v>897</v>
      </c>
      <c r="K4" s="2750" t="s">
        <v>2814</v>
      </c>
      <c r="L4" s="2754" t="s">
        <v>2813</v>
      </c>
      <c r="M4" s="2754" t="s">
        <v>958</v>
      </c>
      <c r="N4" s="2754" t="s">
        <v>957</v>
      </c>
      <c r="O4" s="2754" t="s">
        <v>956</v>
      </c>
      <c r="P4" s="2754" t="s">
        <v>955</v>
      </c>
      <c r="Q4" s="2754" t="s">
        <v>954</v>
      </c>
      <c r="R4" s="2754" t="s">
        <v>2812</v>
      </c>
      <c r="S4" s="2754" t="s">
        <v>2811</v>
      </c>
      <c r="T4" s="2754" t="s">
        <v>2810</v>
      </c>
      <c r="U4" s="2754" t="s">
        <v>2809</v>
      </c>
      <c r="V4" s="2754" t="s">
        <v>2808</v>
      </c>
      <c r="W4" s="2754" t="s">
        <v>2807</v>
      </c>
      <c r="X4" s="2754" t="s">
        <v>2806</v>
      </c>
      <c r="Y4" s="2942" t="s">
        <v>2805</v>
      </c>
    </row>
    <row r="5" spans="1:25" x14ac:dyDescent="0.25">
      <c r="A5" s="2757" t="s">
        <v>334</v>
      </c>
      <c r="B5" s="2758">
        <v>1101</v>
      </c>
      <c r="C5" s="2758" t="s">
        <v>2025</v>
      </c>
      <c r="D5" s="2758" t="s">
        <v>334</v>
      </c>
      <c r="E5" s="2758" t="s">
        <v>2024</v>
      </c>
      <c r="F5" s="2758" t="s">
        <v>2743</v>
      </c>
      <c r="G5" s="2758">
        <v>110101</v>
      </c>
      <c r="H5" s="2758">
        <f>Dataark_til_bilag2_2018[[#This Row],[Stald_kode]]+Dataark_til_bilag2_2018[[#This Row],[Dyr_Kode]]</f>
        <v>111202</v>
      </c>
      <c r="I5" s="4347">
        <v>15.21</v>
      </c>
      <c r="J5" s="2758"/>
      <c r="K5" s="2758" t="s">
        <v>350</v>
      </c>
      <c r="L5" s="2759"/>
      <c r="M5" s="2759"/>
      <c r="N5" s="2760">
        <f>IFERROR(Dataark_til_bilag2_2018[[#This Row],[Antal dyr]]*Dataark_til_bilag2_2018[[#This Row],[Gødning (g) pr. dyr (ton)]]," ")</f>
        <v>0</v>
      </c>
      <c r="O5" s="2759">
        <v>2.97</v>
      </c>
      <c r="P5" s="2759">
        <v>45.173700000000004</v>
      </c>
      <c r="Q5" s="2759">
        <v>0.26</v>
      </c>
      <c r="R5" s="2761">
        <v>183</v>
      </c>
      <c r="S5" s="2761">
        <v>183</v>
      </c>
      <c r="T5" s="2761">
        <v>384.86892279452059</v>
      </c>
      <c r="U5" s="2761">
        <v>309.72624657534249</v>
      </c>
      <c r="V5" s="2761">
        <v>2</v>
      </c>
      <c r="W5" s="2761">
        <v>0.3</v>
      </c>
      <c r="X5" s="2761">
        <v>2.7922725808668494</v>
      </c>
      <c r="Y5" s="2762">
        <f>IFERROR(IFERROR((X5*I5)/1000,(X5*I4)/1000),"-")</f>
        <v>4.2470465954984785E-2</v>
      </c>
    </row>
    <row r="6" spans="1:25" x14ac:dyDescent="0.25">
      <c r="A6" s="2770" t="s">
        <v>334</v>
      </c>
      <c r="B6" s="2766">
        <v>1102</v>
      </c>
      <c r="C6" s="2766" t="s">
        <v>2023</v>
      </c>
      <c r="D6" s="2766" t="s">
        <v>334</v>
      </c>
      <c r="E6" s="2766" t="s">
        <v>2022</v>
      </c>
      <c r="F6" s="2766" t="s">
        <v>2743</v>
      </c>
      <c r="G6" s="2766">
        <v>110201</v>
      </c>
      <c r="H6" s="2766">
        <f>Dataark_til_bilag2_2018[[#This Row],[Stald_kode]]+Dataark_til_bilag2_2018[[#This Row],[Dyr_Kode]]</f>
        <v>111303</v>
      </c>
      <c r="I6" s="4347">
        <v>277.02</v>
      </c>
      <c r="J6" s="2766"/>
      <c r="K6" s="2766" t="s">
        <v>350</v>
      </c>
      <c r="L6" s="2767"/>
      <c r="M6" s="2767"/>
      <c r="N6" s="2760">
        <f>IFERROR(Dataark_til_bilag2_2018[[#This Row],[Antal dyr]]*Dataark_til_bilag2_2018[[#This Row],[Gødning (g) pr. dyr (ton)]]," ")</f>
        <v>0</v>
      </c>
      <c r="O6" s="2767">
        <v>4.62</v>
      </c>
      <c r="P6" s="2759">
        <v>1279.8324</v>
      </c>
      <c r="Q6" s="2767">
        <v>0.26</v>
      </c>
      <c r="R6" s="2769">
        <v>183</v>
      </c>
      <c r="S6" s="2769">
        <v>183</v>
      </c>
      <c r="T6" s="2769">
        <v>598.68499101369866</v>
      </c>
      <c r="U6" s="2769">
        <v>481.79638356164389</v>
      </c>
      <c r="V6" s="2769">
        <v>2</v>
      </c>
      <c r="W6" s="2769">
        <v>0.3</v>
      </c>
      <c r="X6" s="2769">
        <v>4.3435351257928776</v>
      </c>
      <c r="Y6" s="2762">
        <f t="shared" ref="Y6:Y36" si="0">IFERROR(IFERROR((X6*I6)/1000,(X6*I5)/1000),"-")</f>
        <v>1.2032461005471426</v>
      </c>
    </row>
    <row r="7" spans="1:25" x14ac:dyDescent="0.25">
      <c r="A7" s="2770" t="s">
        <v>334</v>
      </c>
      <c r="B7" s="2766">
        <v>1103</v>
      </c>
      <c r="C7" s="2766" t="s">
        <v>2021</v>
      </c>
      <c r="D7" s="2766" t="s">
        <v>334</v>
      </c>
      <c r="E7" s="2766" t="s">
        <v>2020</v>
      </c>
      <c r="F7" s="2766" t="s">
        <v>2743</v>
      </c>
      <c r="G7" s="2766">
        <v>110301</v>
      </c>
      <c r="H7" s="2766">
        <f>Dataark_til_bilag2_2018[[#This Row],[Stald_kode]]+Dataark_til_bilag2_2018[[#This Row],[Dyr_Kode]]</f>
        <v>111404</v>
      </c>
      <c r="I7" s="4347">
        <v>26.5</v>
      </c>
      <c r="J7" s="2766"/>
      <c r="K7" s="2766" t="s">
        <v>350</v>
      </c>
      <c r="L7" s="2767"/>
      <c r="M7" s="2767"/>
      <c r="N7" s="2760">
        <f>IFERROR(Dataark_til_bilag2_2018[[#This Row],[Antal dyr]]*Dataark_til_bilag2_2018[[#This Row],[Gødning (g) pr. dyr (ton)]]," ")</f>
        <v>0</v>
      </c>
      <c r="O7" s="2767">
        <v>5.13</v>
      </c>
      <c r="P7" s="2759">
        <v>135.94499999999999</v>
      </c>
      <c r="Q7" s="2767">
        <v>0.26</v>
      </c>
      <c r="R7" s="2769">
        <v>183</v>
      </c>
      <c r="S7" s="2769">
        <v>183</v>
      </c>
      <c r="T7" s="2769">
        <v>664.77359391780828</v>
      </c>
      <c r="U7" s="2769">
        <v>534.98169863013698</v>
      </c>
      <c r="V7" s="2769">
        <v>2</v>
      </c>
      <c r="W7" s="2769">
        <v>0.3</v>
      </c>
      <c r="X7" s="2769">
        <v>4.8230162760427397</v>
      </c>
      <c r="Y7" s="2762">
        <f t="shared" si="0"/>
        <v>0.1278099313151326</v>
      </c>
    </row>
    <row r="8" spans="1:25" x14ac:dyDescent="0.25">
      <c r="A8" s="2770" t="s">
        <v>334</v>
      </c>
      <c r="B8" s="2766">
        <v>1104</v>
      </c>
      <c r="C8" s="2766" t="s">
        <v>2019</v>
      </c>
      <c r="D8" s="2766" t="s">
        <v>334</v>
      </c>
      <c r="E8" s="2766" t="s">
        <v>2018</v>
      </c>
      <c r="F8" s="2766" t="s">
        <v>2743</v>
      </c>
      <c r="G8" s="2766">
        <v>110401</v>
      </c>
      <c r="H8" s="2766">
        <f>Dataark_til_bilag2_2018[[#This Row],[Stald_kode]]+Dataark_til_bilag2_2018[[#This Row],[Dyr_Kode]]</f>
        <v>111505</v>
      </c>
      <c r="I8" s="4347">
        <v>0</v>
      </c>
      <c r="J8" s="2766"/>
      <c r="K8" s="2766" t="s">
        <v>350</v>
      </c>
      <c r="L8" s="2767"/>
      <c r="M8" s="2767"/>
      <c r="N8" s="2760">
        <f>IFERROR(Dataark_til_bilag2_2018[[#This Row],[Antal dyr]]*Dataark_til_bilag2_2018[[#This Row],[Gødning (g) pr. dyr (ton)]]," ")</f>
        <v>0</v>
      </c>
      <c r="O8" s="2767">
        <v>5.75</v>
      </c>
      <c r="P8" s="2759">
        <v>0</v>
      </c>
      <c r="Q8" s="2767">
        <v>0.26</v>
      </c>
      <c r="R8" s="2769">
        <v>183</v>
      </c>
      <c r="S8" s="2769">
        <v>183</v>
      </c>
      <c r="T8" s="2769">
        <v>745.11660136986302</v>
      </c>
      <c r="U8" s="2769">
        <v>599.63835616438359</v>
      </c>
      <c r="V8" s="2769">
        <v>2</v>
      </c>
      <c r="W8" s="2769">
        <v>0.3</v>
      </c>
      <c r="X8" s="2769">
        <v>5.4059149292876718</v>
      </c>
      <c r="Y8" s="2762">
        <f t="shared" si="0"/>
        <v>0</v>
      </c>
    </row>
    <row r="9" spans="1:25" x14ac:dyDescent="0.25">
      <c r="A9" s="2770" t="s">
        <v>1980</v>
      </c>
      <c r="B9" s="2766">
        <v>1201</v>
      </c>
      <c r="C9" s="2766" t="s">
        <v>2017</v>
      </c>
      <c r="D9" s="2766" t="s">
        <v>341</v>
      </c>
      <c r="E9" s="2766" t="s">
        <v>1989</v>
      </c>
      <c r="F9" s="2766" t="s">
        <v>639</v>
      </c>
      <c r="G9" s="2766">
        <v>120101</v>
      </c>
      <c r="H9" s="2766">
        <f>Dataark_til_bilag2_2018[[#This Row],[Stald_kode]]+Dataark_til_bilag2_2018[[#This Row],[Dyr_Kode]]</f>
        <v>121302</v>
      </c>
      <c r="I9" s="4347">
        <v>0</v>
      </c>
      <c r="J9" s="2766" t="s">
        <v>1903</v>
      </c>
      <c r="K9" s="2766"/>
      <c r="L9" s="2767">
        <v>12.06</v>
      </c>
      <c r="M9" s="2767">
        <v>0.2</v>
      </c>
      <c r="N9" s="2760">
        <f>IFERROR(Dataark_til_bilag2_2018[[#This Row],[Antal dyr]]*Dataark_til_bilag2_2018[[#This Row],[Gødning (g) pr. dyr (ton)]]," ")</f>
        <v>0</v>
      </c>
      <c r="O9" s="2768"/>
      <c r="P9" s="2759">
        <v>0</v>
      </c>
      <c r="Q9" s="2767"/>
      <c r="R9" s="2769">
        <v>18</v>
      </c>
      <c r="S9" s="2769">
        <v>181</v>
      </c>
      <c r="T9" s="2769">
        <v>1834.4416438356166</v>
      </c>
      <c r="U9" s="2769">
        <v>95.158356164383562</v>
      </c>
      <c r="V9" s="2769">
        <v>2</v>
      </c>
      <c r="W9" s="2769">
        <v>0.24</v>
      </c>
      <c r="X9" s="2769">
        <v>6.2055936000000012</v>
      </c>
      <c r="Y9" s="2762">
        <f t="shared" si="0"/>
        <v>0</v>
      </c>
    </row>
    <row r="10" spans="1:25" x14ac:dyDescent="0.25">
      <c r="A10" s="2770" t="s">
        <v>1980</v>
      </c>
      <c r="B10" s="2766">
        <v>1201</v>
      </c>
      <c r="C10" s="2766" t="s">
        <v>2017</v>
      </c>
      <c r="D10" s="2766" t="s">
        <v>341</v>
      </c>
      <c r="E10" s="2766" t="s">
        <v>1988</v>
      </c>
      <c r="F10" s="2766" t="s">
        <v>639</v>
      </c>
      <c r="G10" s="2766">
        <v>120102</v>
      </c>
      <c r="H10" s="2766">
        <f>Dataark_til_bilag2_2018[[#This Row],[Stald_kode]]+Dataark_til_bilag2_2018[[#This Row],[Dyr_Kode]]</f>
        <v>121303</v>
      </c>
      <c r="I10" s="4347">
        <v>0</v>
      </c>
      <c r="J10" s="2766" t="s">
        <v>1977</v>
      </c>
      <c r="K10" s="2766"/>
      <c r="L10" s="2767">
        <v>32.049999999999997</v>
      </c>
      <c r="M10" s="2767">
        <v>8.6999999999999994E-2</v>
      </c>
      <c r="N10" s="2760">
        <f>IFERROR(Dataark_til_bilag2_2018[[#This Row],[Antal dyr]]*Dataark_til_bilag2_2018[[#This Row],[Gødning (g) pr. dyr (ton)]]," ")</f>
        <v>0</v>
      </c>
      <c r="O10" s="2768"/>
      <c r="P10" s="2759">
        <v>0</v>
      </c>
      <c r="Q10" s="2767"/>
      <c r="R10" s="2769">
        <v>18</v>
      </c>
      <c r="S10" s="2769">
        <v>181</v>
      </c>
      <c r="T10" s="2769">
        <v>2120.6738630136983</v>
      </c>
      <c r="U10" s="2769">
        <v>110.00613698630136</v>
      </c>
      <c r="V10" s="2769">
        <v>12.5</v>
      </c>
      <c r="W10" s="2769">
        <v>0.24</v>
      </c>
      <c r="X10" s="2769">
        <v>44.836667999999989</v>
      </c>
      <c r="Y10" s="2762">
        <f t="shared" si="0"/>
        <v>0</v>
      </c>
    </row>
    <row r="11" spans="1:25" x14ac:dyDescent="0.25">
      <c r="A11" s="2770" t="s">
        <v>1980</v>
      </c>
      <c r="B11" s="2766">
        <v>1201</v>
      </c>
      <c r="C11" s="2766" t="s">
        <v>2017</v>
      </c>
      <c r="D11" s="2766" t="s">
        <v>341</v>
      </c>
      <c r="E11" s="2766" t="s">
        <v>1995</v>
      </c>
      <c r="F11" s="2766" t="s">
        <v>354</v>
      </c>
      <c r="G11" s="2766">
        <v>120103</v>
      </c>
      <c r="H11" s="2766">
        <f>Dataark_til_bilag2_2018[[#This Row],[Stald_kode]]+Dataark_til_bilag2_2018[[#This Row],[Dyr_Kode]]</f>
        <v>121304</v>
      </c>
      <c r="I11" s="4347">
        <v>0</v>
      </c>
      <c r="J11" s="2766" t="s">
        <v>1977</v>
      </c>
      <c r="K11" s="2766"/>
      <c r="L11" s="2767">
        <v>32.06</v>
      </c>
      <c r="M11" s="2767">
        <v>0.08</v>
      </c>
      <c r="N11" s="2760">
        <f>IFERROR(Dataark_til_bilag2_2018[[#This Row],[Antal dyr]]*Dataark_til_bilag2_2018[[#This Row],[Gødning (g) pr. dyr (ton)]]," ")</f>
        <v>0</v>
      </c>
      <c r="O11" s="2768"/>
      <c r="P11" s="2759">
        <v>0</v>
      </c>
      <c r="Q11" s="2767"/>
      <c r="R11" s="2769">
        <v>18</v>
      </c>
      <c r="S11" s="2769">
        <v>181</v>
      </c>
      <c r="T11" s="2769">
        <v>1950.6533698630137</v>
      </c>
      <c r="U11" s="2769">
        <v>101.18663013698631</v>
      </c>
      <c r="V11" s="2769">
        <v>12.5</v>
      </c>
      <c r="W11" s="2769">
        <v>0.24</v>
      </c>
      <c r="X11" s="2769">
        <v>41.241984000000002</v>
      </c>
      <c r="Y11" s="2762">
        <f t="shared" si="0"/>
        <v>0</v>
      </c>
    </row>
    <row r="12" spans="1:25" x14ac:dyDescent="0.25">
      <c r="A12" s="2770" t="s">
        <v>1980</v>
      </c>
      <c r="B12" s="2766">
        <v>1201</v>
      </c>
      <c r="C12" s="2766" t="s">
        <v>2017</v>
      </c>
      <c r="D12" s="2766" t="s">
        <v>341</v>
      </c>
      <c r="E12" s="2766" t="s">
        <v>2003</v>
      </c>
      <c r="F12" s="2766" t="s">
        <v>354</v>
      </c>
      <c r="G12" s="2766">
        <v>120104</v>
      </c>
      <c r="H12" s="2766">
        <f>Dataark_til_bilag2_2018[[#This Row],[Stald_kode]]+Dataark_til_bilag2_2018[[#This Row],[Dyr_Kode]]</f>
        <v>121305</v>
      </c>
      <c r="I12" s="4347">
        <v>0</v>
      </c>
      <c r="J12" s="2766" t="s">
        <v>1977</v>
      </c>
      <c r="K12" s="2766"/>
      <c r="L12" s="2767">
        <v>32.06</v>
      </c>
      <c r="M12" s="2767">
        <v>0.08</v>
      </c>
      <c r="N12" s="2760">
        <f>IFERROR(Dataark_til_bilag2_2018[[#This Row],[Antal dyr]]*Dataark_til_bilag2_2018[[#This Row],[Gødning (g) pr. dyr (ton)]]," ")</f>
        <v>0</v>
      </c>
      <c r="O12" s="2768"/>
      <c r="P12" s="2759">
        <v>0</v>
      </c>
      <c r="Q12" s="2767"/>
      <c r="R12" s="2769">
        <v>18</v>
      </c>
      <c r="S12" s="2769">
        <v>181</v>
      </c>
      <c r="T12" s="2769">
        <v>1950.6533698630137</v>
      </c>
      <c r="U12" s="2769">
        <v>101.18663013698631</v>
      </c>
      <c r="V12" s="2769">
        <v>12.5</v>
      </c>
      <c r="W12" s="2769">
        <v>0.24</v>
      </c>
      <c r="X12" s="2769">
        <v>41.241984000000002</v>
      </c>
      <c r="Y12" s="2762">
        <f t="shared" si="0"/>
        <v>0</v>
      </c>
    </row>
    <row r="13" spans="1:25" x14ac:dyDescent="0.25">
      <c r="A13" s="2770" t="s">
        <v>1980</v>
      </c>
      <c r="B13" s="2766">
        <v>1201</v>
      </c>
      <c r="C13" s="2766" t="s">
        <v>2017</v>
      </c>
      <c r="D13" s="2766" t="s">
        <v>341</v>
      </c>
      <c r="E13" s="2766" t="s">
        <v>2002</v>
      </c>
      <c r="F13" s="2766" t="s">
        <v>354</v>
      </c>
      <c r="G13" s="2766">
        <v>120105</v>
      </c>
      <c r="H13" s="2766">
        <f>Dataark_til_bilag2_2018[[#This Row],[Stald_kode]]+Dataark_til_bilag2_2018[[#This Row],[Dyr_Kode]]</f>
        <v>121306</v>
      </c>
      <c r="I13" s="4347">
        <v>188.07</v>
      </c>
      <c r="J13" s="2766" t="s">
        <v>1977</v>
      </c>
      <c r="K13" s="2766"/>
      <c r="L13" s="2767">
        <v>32.06</v>
      </c>
      <c r="M13" s="2767">
        <v>0.08</v>
      </c>
      <c r="N13" s="2760">
        <f>IFERROR(Dataark_til_bilag2_2018[[#This Row],[Antal dyr]]*Dataark_til_bilag2_2018[[#This Row],[Gødning (g) pr. dyr (ton)]]," ")</f>
        <v>6029.5241999999998</v>
      </c>
      <c r="O13" s="2768"/>
      <c r="P13" s="2759">
        <v>0</v>
      </c>
      <c r="Q13" s="2767"/>
      <c r="R13" s="2769">
        <v>18</v>
      </c>
      <c r="S13" s="2769">
        <v>181</v>
      </c>
      <c r="T13" s="2769">
        <v>1950.6533698630137</v>
      </c>
      <c r="U13" s="2769">
        <v>101.18663013698631</v>
      </c>
      <c r="V13" s="2769">
        <v>12.5</v>
      </c>
      <c r="W13" s="2769">
        <v>0.24</v>
      </c>
      <c r="X13" s="2769">
        <v>41.241984000000002</v>
      </c>
      <c r="Y13" s="2762">
        <f t="shared" si="0"/>
        <v>7.7563799308799997</v>
      </c>
    </row>
    <row r="14" spans="1:25" x14ac:dyDescent="0.25">
      <c r="A14" s="2770" t="s">
        <v>1980</v>
      </c>
      <c r="B14" s="2766">
        <v>1201</v>
      </c>
      <c r="C14" s="2766" t="s">
        <v>2017</v>
      </c>
      <c r="D14" s="2766" t="s">
        <v>341</v>
      </c>
      <c r="E14" s="2766" t="s">
        <v>2006</v>
      </c>
      <c r="F14" s="2766" t="s">
        <v>350</v>
      </c>
      <c r="G14" s="2766">
        <v>120106</v>
      </c>
      <c r="H14" s="2766">
        <f>Dataark_til_bilag2_2018[[#This Row],[Stald_kode]]+Dataark_til_bilag2_2018[[#This Row],[Dyr_Kode]]</f>
        <v>121307</v>
      </c>
      <c r="I14" s="4347">
        <v>0</v>
      </c>
      <c r="J14" s="2766"/>
      <c r="K14" s="2766" t="s">
        <v>350</v>
      </c>
      <c r="L14" s="2767"/>
      <c r="M14" s="2767"/>
      <c r="N14" s="2760">
        <f>IFERROR(Dataark_til_bilag2_2018[[#This Row],[Antal dyr]]*Dataark_til_bilag2_2018[[#This Row],[Gødning (g) pr. dyr (ton)]]," ")</f>
        <v>0</v>
      </c>
      <c r="O14" s="2767">
        <v>16.21</v>
      </c>
      <c r="P14" s="2759">
        <v>0</v>
      </c>
      <c r="Q14" s="2767">
        <v>0.3</v>
      </c>
      <c r="R14" s="2769">
        <v>18</v>
      </c>
      <c r="S14" s="2769">
        <v>181</v>
      </c>
      <c r="T14" s="2769">
        <v>4621.1003905479456</v>
      </c>
      <c r="U14" s="2769">
        <v>191.85534246575347</v>
      </c>
      <c r="V14" s="2769">
        <v>17</v>
      </c>
      <c r="W14" s="2769">
        <v>0.24</v>
      </c>
      <c r="X14" s="2769">
        <v>131.56695791766248</v>
      </c>
      <c r="Y14" s="2762">
        <f t="shared" si="0"/>
        <v>0</v>
      </c>
    </row>
    <row r="15" spans="1:25" x14ac:dyDescent="0.25">
      <c r="A15" s="2770" t="s">
        <v>1980</v>
      </c>
      <c r="B15" s="2766">
        <v>1201</v>
      </c>
      <c r="C15" s="2766" t="s">
        <v>2017</v>
      </c>
      <c r="D15" s="2766" t="s">
        <v>341</v>
      </c>
      <c r="E15" s="2766" t="s">
        <v>1985</v>
      </c>
      <c r="F15" s="2766" t="s">
        <v>350</v>
      </c>
      <c r="G15" s="2766">
        <v>120107</v>
      </c>
      <c r="H15" s="2766">
        <f>Dataark_til_bilag2_2018[[#This Row],[Stald_kode]]+Dataark_til_bilag2_2018[[#This Row],[Dyr_Kode]]</f>
        <v>121308</v>
      </c>
      <c r="I15" s="4347">
        <v>0</v>
      </c>
      <c r="J15" s="2766" t="s">
        <v>1977</v>
      </c>
      <c r="K15" s="2766"/>
      <c r="L15" s="2767">
        <v>14.11</v>
      </c>
      <c r="M15" s="2767">
        <v>6.9000000000000006E-2</v>
      </c>
      <c r="N15" s="2760">
        <f>IFERROR(Dataark_til_bilag2_2018[[#This Row],[Antal dyr]]*Dataark_til_bilag2_2018[[#This Row],[Gødning (g) pr. dyr (ton)]]," ")</f>
        <v>0</v>
      </c>
      <c r="O15" s="2768"/>
      <c r="P15" s="2759">
        <v>0</v>
      </c>
      <c r="Q15" s="2767"/>
      <c r="R15" s="2769">
        <v>18</v>
      </c>
      <c r="S15" s="2769">
        <v>181</v>
      </c>
      <c r="T15" s="2769">
        <v>740.46187397260292</v>
      </c>
      <c r="U15" s="2769">
        <v>38.410126027397268</v>
      </c>
      <c r="V15" s="2769">
        <v>12.5</v>
      </c>
      <c r="W15" s="2769">
        <v>0.24</v>
      </c>
      <c r="X15" s="2769">
        <v>15.655327200000004</v>
      </c>
      <c r="Y15" s="2762">
        <f t="shared" si="0"/>
        <v>0</v>
      </c>
    </row>
    <row r="16" spans="1:25" x14ac:dyDescent="0.25">
      <c r="A16" s="2770" t="s">
        <v>1980</v>
      </c>
      <c r="B16" s="2766">
        <v>1201</v>
      </c>
      <c r="C16" s="2766" t="s">
        <v>2017</v>
      </c>
      <c r="D16" s="2766" t="s">
        <v>341</v>
      </c>
      <c r="E16" s="2766" t="s">
        <v>1984</v>
      </c>
      <c r="F16" s="2766" t="s">
        <v>350</v>
      </c>
      <c r="G16" s="2766">
        <v>120108</v>
      </c>
      <c r="H16" s="2766">
        <f>Dataark_til_bilag2_2018[[#This Row],[Stald_kode]]+Dataark_til_bilag2_2018[[#This Row],[Dyr_Kode]]</f>
        <v>121309</v>
      </c>
      <c r="I16" s="4347">
        <v>0</v>
      </c>
      <c r="J16" s="2766" t="s">
        <v>1977</v>
      </c>
      <c r="K16" s="2766"/>
      <c r="L16" s="2767">
        <v>14.11</v>
      </c>
      <c r="M16" s="2767">
        <v>6.9000000000000006E-2</v>
      </c>
      <c r="N16" s="2760">
        <f>IFERROR(Dataark_til_bilag2_2018[[#This Row],[Antal dyr]]*Dataark_til_bilag2_2018[[#This Row],[Gødning (g) pr. dyr (ton)]]," ")</f>
        <v>0</v>
      </c>
      <c r="O16" s="2768"/>
      <c r="P16" s="2759">
        <v>0</v>
      </c>
      <c r="Q16" s="2767"/>
      <c r="R16" s="2769">
        <v>18</v>
      </c>
      <c r="S16" s="2769">
        <v>181</v>
      </c>
      <c r="T16" s="2769">
        <v>740.46187397260292</v>
      </c>
      <c r="U16" s="2769">
        <v>38.410126027397268</v>
      </c>
      <c r="V16" s="2769">
        <v>12.5</v>
      </c>
      <c r="W16" s="2769">
        <v>0.24</v>
      </c>
      <c r="X16" s="2769">
        <v>15.655327200000004</v>
      </c>
      <c r="Y16" s="2762">
        <f t="shared" si="0"/>
        <v>0</v>
      </c>
    </row>
    <row r="17" spans="1:25" x14ac:dyDescent="0.25">
      <c r="A17" s="2770" t="s">
        <v>1980</v>
      </c>
      <c r="B17" s="2766">
        <v>1201</v>
      </c>
      <c r="C17" s="2766" t="s">
        <v>2017</v>
      </c>
      <c r="D17" s="2766" t="s">
        <v>341</v>
      </c>
      <c r="E17" s="2766" t="s">
        <v>1983</v>
      </c>
      <c r="F17" s="2766" t="s">
        <v>350</v>
      </c>
      <c r="G17" s="2766">
        <v>120109</v>
      </c>
      <c r="H17" s="2766">
        <f>Dataark_til_bilag2_2018[[#This Row],[Stald_kode]]+Dataark_til_bilag2_2018[[#This Row],[Dyr_Kode]]</f>
        <v>121310</v>
      </c>
      <c r="I17" s="4347">
        <v>0</v>
      </c>
      <c r="J17" s="2766" t="s">
        <v>1977</v>
      </c>
      <c r="K17" s="2766"/>
      <c r="L17" s="2767">
        <v>14.11</v>
      </c>
      <c r="M17" s="2767">
        <v>6.9000000000000006E-2</v>
      </c>
      <c r="N17" s="2760">
        <f>IFERROR(Dataark_til_bilag2_2018[[#This Row],[Antal dyr]]*Dataark_til_bilag2_2018[[#This Row],[Gødning (g) pr. dyr (ton)]]," ")</f>
        <v>0</v>
      </c>
      <c r="O17" s="2768"/>
      <c r="P17" s="2759">
        <v>0</v>
      </c>
      <c r="Q17" s="2767"/>
      <c r="R17" s="2769">
        <v>18</v>
      </c>
      <c r="S17" s="2769">
        <v>181</v>
      </c>
      <c r="T17" s="2769">
        <v>740.46187397260292</v>
      </c>
      <c r="U17" s="2769">
        <v>38.410126027397268</v>
      </c>
      <c r="V17" s="2769">
        <v>12.5</v>
      </c>
      <c r="W17" s="2769">
        <v>0.24</v>
      </c>
      <c r="X17" s="2769">
        <v>15.655327200000004</v>
      </c>
      <c r="Y17" s="2762">
        <f t="shared" si="0"/>
        <v>0</v>
      </c>
    </row>
    <row r="18" spans="1:25" x14ac:dyDescent="0.25">
      <c r="A18" s="2770" t="s">
        <v>1980</v>
      </c>
      <c r="B18" s="2766">
        <v>1201</v>
      </c>
      <c r="C18" s="2766" t="s">
        <v>2017</v>
      </c>
      <c r="D18" s="2766" t="s">
        <v>341</v>
      </c>
      <c r="E18" s="2766" t="s">
        <v>1990</v>
      </c>
      <c r="F18" s="2766" t="s">
        <v>354</v>
      </c>
      <c r="G18" s="2766">
        <v>120114</v>
      </c>
      <c r="H18" s="2766">
        <f>Dataark_til_bilag2_2018[[#This Row],[Stald_kode]]+Dataark_til_bilag2_2018[[#This Row],[Dyr_Kode]]</f>
        <v>121315</v>
      </c>
      <c r="I18" s="4347">
        <v>0</v>
      </c>
      <c r="J18" s="2766" t="s">
        <v>1977</v>
      </c>
      <c r="K18" s="2766"/>
      <c r="L18" s="2767">
        <v>32.06</v>
      </c>
      <c r="M18" s="2767">
        <v>0.08</v>
      </c>
      <c r="N18" s="2760">
        <f>IFERROR(Dataark_til_bilag2_2018[[#This Row],[Antal dyr]]*Dataark_til_bilag2_2018[[#This Row],[Gødning (g) pr. dyr (ton)]]," ")</f>
        <v>0</v>
      </c>
      <c r="O18" s="2768"/>
      <c r="P18" s="2759">
        <v>0</v>
      </c>
      <c r="Q18" s="2767"/>
      <c r="R18" s="2769">
        <v>18</v>
      </c>
      <c r="S18" s="2769">
        <v>181</v>
      </c>
      <c r="T18" s="2769">
        <v>1950.6533698630137</v>
      </c>
      <c r="U18" s="2769">
        <v>101.18663013698631</v>
      </c>
      <c r="V18" s="2769">
        <v>12.5</v>
      </c>
      <c r="W18" s="2769">
        <v>0.24</v>
      </c>
      <c r="X18" s="2769">
        <v>41.241984000000002</v>
      </c>
      <c r="Y18" s="2762">
        <f t="shared" si="0"/>
        <v>0</v>
      </c>
    </row>
    <row r="19" spans="1:25" x14ac:dyDescent="0.25">
      <c r="A19" s="2770" t="s">
        <v>1980</v>
      </c>
      <c r="B19" s="2766">
        <v>1201</v>
      </c>
      <c r="C19" s="2766" t="s">
        <v>2017</v>
      </c>
      <c r="D19" s="2766" t="s">
        <v>341</v>
      </c>
      <c r="E19" s="2766" t="s">
        <v>2016</v>
      </c>
      <c r="F19" s="2766" t="s">
        <v>350</v>
      </c>
      <c r="G19" s="2766">
        <v>120115</v>
      </c>
      <c r="H19" s="2766">
        <f>Dataark_til_bilag2_2018[[#This Row],[Stald_kode]]+Dataark_til_bilag2_2018[[#This Row],[Dyr_Kode]]</f>
        <v>121316</v>
      </c>
      <c r="I19" s="4347">
        <v>0</v>
      </c>
      <c r="J19" s="2766" t="s">
        <v>1977</v>
      </c>
      <c r="K19" s="2766"/>
      <c r="L19" s="2767">
        <v>14.11</v>
      </c>
      <c r="M19" s="2767">
        <v>6.9000000000000006E-2</v>
      </c>
      <c r="N19" s="2760">
        <f>IFERROR(Dataark_til_bilag2_2018[[#This Row],[Antal dyr]]*Dataark_til_bilag2_2018[[#This Row],[Gødning (g) pr. dyr (ton)]]," ")</f>
        <v>0</v>
      </c>
      <c r="O19" s="2768"/>
      <c r="P19" s="2759">
        <v>0</v>
      </c>
      <c r="Q19" s="2767"/>
      <c r="R19" s="2769">
        <v>18</v>
      </c>
      <c r="S19" s="2769">
        <v>181</v>
      </c>
      <c r="T19" s="2769">
        <v>740.46187397260292</v>
      </c>
      <c r="U19" s="2769">
        <v>38.410126027397268</v>
      </c>
      <c r="V19" s="2769">
        <v>4.5999999999999996</v>
      </c>
      <c r="W19" s="2769">
        <v>0.24</v>
      </c>
      <c r="X19" s="2769">
        <v>5.7611604096000013</v>
      </c>
      <c r="Y19" s="2762">
        <f t="shared" si="0"/>
        <v>0</v>
      </c>
    </row>
    <row r="20" spans="1:25" x14ac:dyDescent="0.25">
      <c r="A20" s="2770" t="s">
        <v>1980</v>
      </c>
      <c r="B20" s="2766">
        <v>1202</v>
      </c>
      <c r="C20" s="2766" t="s">
        <v>2803</v>
      </c>
      <c r="D20" s="2766" t="s">
        <v>340</v>
      </c>
      <c r="E20" s="2766" t="s">
        <v>2006</v>
      </c>
      <c r="F20" s="2766" t="s">
        <v>350</v>
      </c>
      <c r="G20" s="2766">
        <v>120201</v>
      </c>
      <c r="H20" s="2766">
        <f>Dataark_til_bilag2_2018[[#This Row],[Stald_kode]]+Dataark_til_bilag2_2018[[#This Row],[Dyr_Kode]]</f>
        <v>121403</v>
      </c>
      <c r="I20" s="4347">
        <v>161.9</v>
      </c>
      <c r="J20" s="2766"/>
      <c r="K20" s="2766" t="s">
        <v>350</v>
      </c>
      <c r="L20" s="2767"/>
      <c r="M20" s="2767"/>
      <c r="N20" s="2760">
        <f>IFERROR(Dataark_til_bilag2_2018[[#This Row],[Antal dyr]]*Dataark_til_bilag2_2018[[#This Row],[Gødning (g) pr. dyr (ton)]]," ")</f>
        <v>0</v>
      </c>
      <c r="O20" s="2767">
        <v>1.89</v>
      </c>
      <c r="P20" s="2759">
        <v>305.99099999999999</v>
      </c>
      <c r="Q20" s="2767">
        <v>0.3</v>
      </c>
      <c r="R20" s="2769">
        <v>224</v>
      </c>
      <c r="S20" s="2769">
        <v>224</v>
      </c>
      <c r="T20" s="2769">
        <v>218.93431191780823</v>
      </c>
      <c r="U20" s="2769">
        <v>278.37369863013703</v>
      </c>
      <c r="V20" s="2769">
        <v>17</v>
      </c>
      <c r="W20" s="2769">
        <v>0.18</v>
      </c>
      <c r="X20" s="2769">
        <v>10.195808832253974</v>
      </c>
      <c r="Y20" s="2762">
        <f t="shared" si="0"/>
        <v>1.6507014499419184</v>
      </c>
    </row>
    <row r="21" spans="1:25" x14ac:dyDescent="0.25">
      <c r="A21" s="2770" t="s">
        <v>1980</v>
      </c>
      <c r="B21" s="2766">
        <v>1202</v>
      </c>
      <c r="C21" s="2766" t="s">
        <v>2803</v>
      </c>
      <c r="D21" s="2766" t="s">
        <v>340</v>
      </c>
      <c r="E21" s="2766" t="s">
        <v>2004</v>
      </c>
      <c r="F21" s="2766" t="s">
        <v>350</v>
      </c>
      <c r="G21" s="2766">
        <v>120202</v>
      </c>
      <c r="H21" s="2766">
        <f>Dataark_til_bilag2_2018[[#This Row],[Stald_kode]]+Dataark_til_bilag2_2018[[#This Row],[Dyr_Kode]]</f>
        <v>121404</v>
      </c>
      <c r="I21" s="4347">
        <v>7.98</v>
      </c>
      <c r="J21" s="2766"/>
      <c r="K21" s="2766" t="s">
        <v>350</v>
      </c>
      <c r="L21" s="2767"/>
      <c r="M21" s="2767"/>
      <c r="N21" s="2760">
        <f>IFERROR(Dataark_til_bilag2_2018[[#This Row],[Antal dyr]]*Dataark_til_bilag2_2018[[#This Row],[Gødning (g) pr. dyr (ton)]]," ")</f>
        <v>0</v>
      </c>
      <c r="O21" s="2767">
        <v>1.89</v>
      </c>
      <c r="P21" s="2759">
        <v>15.0822</v>
      </c>
      <c r="Q21" s="2767">
        <v>0.3</v>
      </c>
      <c r="R21" s="2769">
        <v>224</v>
      </c>
      <c r="S21" s="2769">
        <v>224</v>
      </c>
      <c r="T21" s="2769">
        <v>218.93431191780823</v>
      </c>
      <c r="U21" s="2769">
        <v>278.37369863013703</v>
      </c>
      <c r="V21" s="2769">
        <v>17</v>
      </c>
      <c r="W21" s="2769">
        <v>0.18</v>
      </c>
      <c r="X21" s="2769">
        <v>10.195808832253974</v>
      </c>
      <c r="Y21" s="2762">
        <f t="shared" si="0"/>
        <v>8.1362554481386712E-2</v>
      </c>
    </row>
    <row r="22" spans="1:25" x14ac:dyDescent="0.25">
      <c r="A22" s="2770" t="s">
        <v>1980</v>
      </c>
      <c r="B22" s="2766">
        <v>1203</v>
      </c>
      <c r="C22" s="2766" t="s">
        <v>2761</v>
      </c>
      <c r="D22" s="2766" t="s">
        <v>336</v>
      </c>
      <c r="E22" s="2766" t="s">
        <v>1989</v>
      </c>
      <c r="F22" s="2766" t="s">
        <v>639</v>
      </c>
      <c r="G22" s="2766">
        <v>120301</v>
      </c>
      <c r="H22" s="2766">
        <f>Dataark_til_bilag2_2018[[#This Row],[Stald_kode]]+Dataark_til_bilag2_2018[[#This Row],[Dyr_Kode]]</f>
        <v>121504</v>
      </c>
      <c r="I22" s="4347">
        <v>37.799999999999997</v>
      </c>
      <c r="J22" s="2766" t="s">
        <v>1903</v>
      </c>
      <c r="K22" s="2766"/>
      <c r="L22" s="2767">
        <v>4.51</v>
      </c>
      <c r="M22" s="2767">
        <v>0.182</v>
      </c>
      <c r="N22" s="2760">
        <f>IFERROR(Dataark_til_bilag2_2018[[#This Row],[Antal dyr]]*Dataark_til_bilag2_2018[[#This Row],[Gødning (g) pr. dyr (ton)]]," ")</f>
        <v>170.47799999999998</v>
      </c>
      <c r="O22" s="2768"/>
      <c r="P22" s="2759">
        <v>0</v>
      </c>
      <c r="Q22" s="2767"/>
      <c r="R22" s="2769">
        <v>132</v>
      </c>
      <c r="S22" s="2769">
        <v>181</v>
      </c>
      <c r="T22" s="2769">
        <v>419.18040547945202</v>
      </c>
      <c r="U22" s="2769">
        <v>237.47559452054793</v>
      </c>
      <c r="V22" s="2769">
        <v>2</v>
      </c>
      <c r="W22" s="2769">
        <v>0.18</v>
      </c>
      <c r="X22" s="2769">
        <v>1.583854272</v>
      </c>
      <c r="Y22" s="2762">
        <f t="shared" si="0"/>
        <v>5.9869691481599992E-2</v>
      </c>
    </row>
    <row r="23" spans="1:25" x14ac:dyDescent="0.25">
      <c r="A23" s="2770" t="s">
        <v>1980</v>
      </c>
      <c r="B23" s="2766">
        <v>1203</v>
      </c>
      <c r="C23" s="2766" t="s">
        <v>2761</v>
      </c>
      <c r="D23" s="2766" t="s">
        <v>336</v>
      </c>
      <c r="E23" s="2766" t="s">
        <v>1988</v>
      </c>
      <c r="F23" s="2766" t="s">
        <v>639</v>
      </c>
      <c r="G23" s="2766">
        <v>120302</v>
      </c>
      <c r="H23" s="2766">
        <f>Dataark_til_bilag2_2018[[#This Row],[Stald_kode]]+Dataark_til_bilag2_2018[[#This Row],[Dyr_Kode]]</f>
        <v>121505</v>
      </c>
      <c r="I23" s="4347">
        <v>0</v>
      </c>
      <c r="J23" s="2766" t="s">
        <v>1977</v>
      </c>
      <c r="K23" s="2766"/>
      <c r="L23" s="2767">
        <v>7.22</v>
      </c>
      <c r="M23" s="2767">
        <v>0.123</v>
      </c>
      <c r="N23" s="2760">
        <f>IFERROR(Dataark_til_bilag2_2018[[#This Row],[Antal dyr]]*Dataark_til_bilag2_2018[[#This Row],[Gødning (g) pr. dyr (ton)]]," ")</f>
        <v>0</v>
      </c>
      <c r="O23" s="2768"/>
      <c r="P23" s="2759">
        <v>0</v>
      </c>
      <c r="Q23" s="2767"/>
      <c r="R23" s="2769">
        <v>132</v>
      </c>
      <c r="S23" s="2769">
        <v>181</v>
      </c>
      <c r="T23" s="2769">
        <v>453.51886027397262</v>
      </c>
      <c r="U23" s="2769">
        <v>256.92913972602742</v>
      </c>
      <c r="V23" s="2769">
        <v>12.5</v>
      </c>
      <c r="W23" s="2769">
        <v>0.18</v>
      </c>
      <c r="X23" s="2769">
        <v>10.7100036</v>
      </c>
      <c r="Y23" s="2762">
        <f t="shared" si="0"/>
        <v>0</v>
      </c>
    </row>
    <row r="24" spans="1:25" x14ac:dyDescent="0.25">
      <c r="A24" s="2770" t="s">
        <v>1980</v>
      </c>
      <c r="B24" s="2766">
        <v>1203</v>
      </c>
      <c r="C24" s="2766" t="s">
        <v>2761</v>
      </c>
      <c r="D24" s="2766" t="s">
        <v>336</v>
      </c>
      <c r="E24" s="2766" t="s">
        <v>1995</v>
      </c>
      <c r="F24" s="2766" t="s">
        <v>354</v>
      </c>
      <c r="G24" s="2766">
        <v>120303</v>
      </c>
      <c r="H24" s="2766">
        <f>Dataark_til_bilag2_2018[[#This Row],[Stald_kode]]+Dataark_til_bilag2_2018[[#This Row],[Dyr_Kode]]</f>
        <v>121506</v>
      </c>
      <c r="I24" s="4347">
        <v>0</v>
      </c>
      <c r="J24" s="2766" t="s">
        <v>1977</v>
      </c>
      <c r="K24" s="2766"/>
      <c r="L24" s="2767">
        <v>6.44</v>
      </c>
      <c r="M24" s="2767">
        <v>0.123</v>
      </c>
      <c r="N24" s="2760">
        <f>IFERROR(Dataark_til_bilag2_2018[[#This Row],[Antal dyr]]*Dataark_til_bilag2_2018[[#This Row],[Gødning (g) pr. dyr (ton)]]," ")</f>
        <v>0</v>
      </c>
      <c r="O24" s="2768"/>
      <c r="P24" s="2759">
        <v>0</v>
      </c>
      <c r="Q24" s="2767"/>
      <c r="R24" s="2769">
        <v>132</v>
      </c>
      <c r="S24" s="2769">
        <v>181</v>
      </c>
      <c r="T24" s="2769">
        <v>404.52374794520551</v>
      </c>
      <c r="U24" s="2769">
        <v>229.17225205479454</v>
      </c>
      <c r="V24" s="2769">
        <v>12.5</v>
      </c>
      <c r="W24" s="2769">
        <v>0.18</v>
      </c>
      <c r="X24" s="2769">
        <v>9.5529672000000012</v>
      </c>
      <c r="Y24" s="2762">
        <f t="shared" si="0"/>
        <v>0</v>
      </c>
    </row>
    <row r="25" spans="1:25" x14ac:dyDescent="0.25">
      <c r="A25" s="2770" t="s">
        <v>1980</v>
      </c>
      <c r="B25" s="2766">
        <v>1203</v>
      </c>
      <c r="C25" s="2766" t="s">
        <v>2761</v>
      </c>
      <c r="D25" s="2766" t="s">
        <v>336</v>
      </c>
      <c r="E25" s="2766" t="s">
        <v>1982</v>
      </c>
      <c r="F25" s="2766" t="s">
        <v>354</v>
      </c>
      <c r="G25" s="2766">
        <v>120304</v>
      </c>
      <c r="H25" s="2766">
        <f>Dataark_til_bilag2_2018[[#This Row],[Stald_kode]]+Dataark_til_bilag2_2018[[#This Row],[Dyr_Kode]]</f>
        <v>121507</v>
      </c>
      <c r="I25" s="4347">
        <v>0</v>
      </c>
      <c r="J25" s="2766" t="s">
        <v>1977</v>
      </c>
      <c r="K25" s="2766"/>
      <c r="L25" s="2767">
        <v>6.44</v>
      </c>
      <c r="M25" s="2767">
        <v>0.123</v>
      </c>
      <c r="N25" s="2760">
        <f>IFERROR(Dataark_til_bilag2_2018[[#This Row],[Antal dyr]]*Dataark_til_bilag2_2018[[#This Row],[Gødning (g) pr. dyr (ton)]]," ")</f>
        <v>0</v>
      </c>
      <c r="O25" s="2768"/>
      <c r="P25" s="2759">
        <v>0</v>
      </c>
      <c r="Q25" s="2767"/>
      <c r="R25" s="2769">
        <v>132</v>
      </c>
      <c r="S25" s="2769">
        <v>181</v>
      </c>
      <c r="T25" s="2769">
        <v>404.52374794520551</v>
      </c>
      <c r="U25" s="2769">
        <v>229.17225205479454</v>
      </c>
      <c r="V25" s="2769">
        <v>12.5</v>
      </c>
      <c r="W25" s="2769">
        <v>0.18</v>
      </c>
      <c r="X25" s="2769">
        <v>9.5529672000000012</v>
      </c>
      <c r="Y25" s="2762">
        <f t="shared" si="0"/>
        <v>0</v>
      </c>
    </row>
    <row r="26" spans="1:25" x14ac:dyDescent="0.25">
      <c r="A26" s="2770" t="s">
        <v>1980</v>
      </c>
      <c r="B26" s="2766">
        <v>1203</v>
      </c>
      <c r="C26" s="2766" t="s">
        <v>2761</v>
      </c>
      <c r="D26" s="2766" t="s">
        <v>336</v>
      </c>
      <c r="E26" s="2766" t="s">
        <v>1994</v>
      </c>
      <c r="F26" s="2766" t="s">
        <v>354</v>
      </c>
      <c r="G26" s="2766">
        <v>120305</v>
      </c>
      <c r="H26" s="2766">
        <f>Dataark_til_bilag2_2018[[#This Row],[Stald_kode]]+Dataark_til_bilag2_2018[[#This Row],[Dyr_Kode]]</f>
        <v>121508</v>
      </c>
      <c r="I26" s="4347">
        <v>0</v>
      </c>
      <c r="J26" s="2766" t="s">
        <v>1977</v>
      </c>
      <c r="K26" s="2766"/>
      <c r="L26" s="2767">
        <v>6.44</v>
      </c>
      <c r="M26" s="2767">
        <v>0.123</v>
      </c>
      <c r="N26" s="2760">
        <f>IFERROR(Dataark_til_bilag2_2018[[#This Row],[Antal dyr]]*Dataark_til_bilag2_2018[[#This Row],[Gødning (g) pr. dyr (ton)]]," ")</f>
        <v>0</v>
      </c>
      <c r="O26" s="2768"/>
      <c r="P26" s="2759">
        <v>0</v>
      </c>
      <c r="Q26" s="2767"/>
      <c r="R26" s="2769">
        <v>132</v>
      </c>
      <c r="S26" s="2769">
        <v>181</v>
      </c>
      <c r="T26" s="2769">
        <v>404.52374794520551</v>
      </c>
      <c r="U26" s="2769">
        <v>229.17225205479454</v>
      </c>
      <c r="V26" s="2769">
        <v>12.5</v>
      </c>
      <c r="W26" s="2769">
        <v>0.18</v>
      </c>
      <c r="X26" s="2769">
        <v>9.5529672000000012</v>
      </c>
      <c r="Y26" s="2762">
        <f t="shared" si="0"/>
        <v>0</v>
      </c>
    </row>
    <row r="27" spans="1:25" x14ac:dyDescent="0.25">
      <c r="A27" s="2770" t="s">
        <v>1980</v>
      </c>
      <c r="B27" s="2766">
        <v>1203</v>
      </c>
      <c r="C27" s="2766" t="s">
        <v>2761</v>
      </c>
      <c r="D27" s="2766" t="s">
        <v>336</v>
      </c>
      <c r="E27" s="2766" t="s">
        <v>1987</v>
      </c>
      <c r="F27" s="2766" t="s">
        <v>350</v>
      </c>
      <c r="G27" s="2766">
        <v>120306</v>
      </c>
      <c r="H27" s="2766">
        <f>Dataark_til_bilag2_2018[[#This Row],[Stald_kode]]+Dataark_til_bilag2_2018[[#This Row],[Dyr_Kode]]</f>
        <v>121509</v>
      </c>
      <c r="I27" s="4347">
        <v>356.1</v>
      </c>
      <c r="J27" s="2766"/>
      <c r="K27" s="2766" t="s">
        <v>350</v>
      </c>
      <c r="L27" s="2767"/>
      <c r="M27" s="2767"/>
      <c r="N27" s="2760">
        <f>IFERROR(Dataark_til_bilag2_2018[[#This Row],[Antal dyr]]*Dataark_til_bilag2_2018[[#This Row],[Gødning (g) pr. dyr (ton)]]," ")</f>
        <v>0</v>
      </c>
      <c r="O27" s="2767">
        <v>5.52</v>
      </c>
      <c r="P27" s="2759">
        <v>1965.672</v>
      </c>
      <c r="Q27" s="2767">
        <v>0.3</v>
      </c>
      <c r="R27" s="2769">
        <v>132</v>
      </c>
      <c r="S27" s="2769">
        <v>181</v>
      </c>
      <c r="T27" s="2769">
        <v>1056.6421052054795</v>
      </c>
      <c r="U27" s="2769">
        <v>479.10575342465756</v>
      </c>
      <c r="V27" s="2769">
        <v>17</v>
      </c>
      <c r="W27" s="2769">
        <v>0.18</v>
      </c>
      <c r="X27" s="2769">
        <v>31.485902597635068</v>
      </c>
      <c r="Y27" s="2762">
        <f t="shared" si="0"/>
        <v>11.212129915017849</v>
      </c>
    </row>
    <row r="28" spans="1:25" ht="14.25" customHeight="1" x14ac:dyDescent="0.25">
      <c r="A28" s="2770" t="s">
        <v>1980</v>
      </c>
      <c r="B28" s="2766">
        <v>1203</v>
      </c>
      <c r="C28" s="2766" t="s">
        <v>2761</v>
      </c>
      <c r="D28" s="2766" t="s">
        <v>336</v>
      </c>
      <c r="E28" s="2766" t="s">
        <v>2004</v>
      </c>
      <c r="F28" s="2766" t="s">
        <v>350</v>
      </c>
      <c r="G28" s="2766">
        <v>120307</v>
      </c>
      <c r="H28" s="2766">
        <f>Dataark_til_bilag2_2018[[#This Row],[Stald_kode]]+Dataark_til_bilag2_2018[[#This Row],[Dyr_Kode]]</f>
        <v>121510</v>
      </c>
      <c r="I28" s="4347">
        <v>103.66</v>
      </c>
      <c r="J28" s="2766"/>
      <c r="K28" s="2766" t="s">
        <v>350</v>
      </c>
      <c r="L28" s="2767"/>
      <c r="M28" s="2767"/>
      <c r="N28" s="2760">
        <f>IFERROR(Dataark_til_bilag2_2018[[#This Row],[Antal dyr]]*Dataark_til_bilag2_2018[[#This Row],[Gødning (g) pr. dyr (ton)]]," ")</f>
        <v>0</v>
      </c>
      <c r="O28" s="2767">
        <v>4.88</v>
      </c>
      <c r="P28" s="2759">
        <v>505.86079999999998</v>
      </c>
      <c r="Q28" s="2767">
        <v>0.3</v>
      </c>
      <c r="R28" s="2769">
        <v>132</v>
      </c>
      <c r="S28" s="2769">
        <v>181</v>
      </c>
      <c r="T28" s="2769">
        <v>934.13287561643835</v>
      </c>
      <c r="U28" s="2769">
        <v>423.55726027397259</v>
      </c>
      <c r="V28" s="2769">
        <v>17</v>
      </c>
      <c r="W28" s="2769">
        <v>0.18</v>
      </c>
      <c r="X28" s="2769">
        <v>27.835363166025203</v>
      </c>
      <c r="Y28" s="2762">
        <f t="shared" si="0"/>
        <v>2.8854137457901725</v>
      </c>
    </row>
    <row r="29" spans="1:25" x14ac:dyDescent="0.25">
      <c r="A29" s="2770" t="s">
        <v>1980</v>
      </c>
      <c r="B29" s="2766">
        <v>1203</v>
      </c>
      <c r="C29" s="2766" t="s">
        <v>2761</v>
      </c>
      <c r="D29" s="2766" t="s">
        <v>336</v>
      </c>
      <c r="E29" s="2766" t="s">
        <v>1985</v>
      </c>
      <c r="F29" s="2766" t="s">
        <v>350</v>
      </c>
      <c r="G29" s="2766">
        <v>120308</v>
      </c>
      <c r="H29" s="2766">
        <f>Dataark_til_bilag2_2018[[#This Row],[Stald_kode]]+Dataark_til_bilag2_2018[[#This Row],[Dyr_Kode]]</f>
        <v>121511</v>
      </c>
      <c r="I29" s="4347">
        <v>0</v>
      </c>
      <c r="J29" s="2766" t="s">
        <v>1977</v>
      </c>
      <c r="K29" s="2766"/>
      <c r="L29" s="2767">
        <v>2.65</v>
      </c>
      <c r="M29" s="2767">
        <v>0.11</v>
      </c>
      <c r="N29" s="2760">
        <f>IFERROR(Dataark_til_bilag2_2018[[#This Row],[Antal dyr]]*Dataark_til_bilag2_2018[[#This Row],[Gødning (g) pr. dyr (ton)]]," ")</f>
        <v>0</v>
      </c>
      <c r="O29" s="2768"/>
      <c r="P29" s="2759">
        <v>0</v>
      </c>
      <c r="Q29" s="2767"/>
      <c r="R29" s="2769">
        <v>132</v>
      </c>
      <c r="S29" s="2769">
        <v>181</v>
      </c>
      <c r="T29" s="2769">
        <v>148.86465753424656</v>
      </c>
      <c r="U29" s="2769">
        <v>84.335342465753428</v>
      </c>
      <c r="V29" s="2769">
        <v>12.5</v>
      </c>
      <c r="W29" s="2769">
        <v>0.18</v>
      </c>
      <c r="X29" s="2769">
        <v>3.5154899999999998</v>
      </c>
      <c r="Y29" s="2762">
        <f t="shared" si="0"/>
        <v>0</v>
      </c>
    </row>
    <row r="30" spans="1:25" x14ac:dyDescent="0.25">
      <c r="A30" s="2770" t="s">
        <v>1980</v>
      </c>
      <c r="B30" s="2766">
        <v>1203</v>
      </c>
      <c r="C30" s="2766" t="s">
        <v>2761</v>
      </c>
      <c r="D30" s="2766" t="s">
        <v>336</v>
      </c>
      <c r="E30" s="2766" t="s">
        <v>1984</v>
      </c>
      <c r="F30" s="2766" t="s">
        <v>350</v>
      </c>
      <c r="G30" s="2766">
        <v>120309</v>
      </c>
      <c r="H30" s="2766">
        <f>Dataark_til_bilag2_2018[[#This Row],[Stald_kode]]+Dataark_til_bilag2_2018[[#This Row],[Dyr_Kode]]</f>
        <v>121512</v>
      </c>
      <c r="I30" s="4347">
        <v>0</v>
      </c>
      <c r="J30" s="2766" t="s">
        <v>1977</v>
      </c>
      <c r="K30" s="2766"/>
      <c r="L30" s="2767">
        <v>2.65</v>
      </c>
      <c r="M30" s="2767">
        <v>0.11</v>
      </c>
      <c r="N30" s="2760">
        <f>IFERROR(Dataark_til_bilag2_2018[[#This Row],[Antal dyr]]*Dataark_til_bilag2_2018[[#This Row],[Gødning (g) pr. dyr (ton)]]," ")</f>
        <v>0</v>
      </c>
      <c r="O30" s="2768"/>
      <c r="P30" s="2759">
        <v>0</v>
      </c>
      <c r="Q30" s="2767"/>
      <c r="R30" s="2769">
        <v>132</v>
      </c>
      <c r="S30" s="2769">
        <v>181</v>
      </c>
      <c r="T30" s="2769">
        <v>148.86465753424656</v>
      </c>
      <c r="U30" s="2769">
        <v>84.335342465753428</v>
      </c>
      <c r="V30" s="2769">
        <v>12.5</v>
      </c>
      <c r="W30" s="2769">
        <v>0.18</v>
      </c>
      <c r="X30" s="2769">
        <v>3.5154899999999998</v>
      </c>
      <c r="Y30" s="2762">
        <f t="shared" si="0"/>
        <v>0</v>
      </c>
    </row>
    <row r="31" spans="1:25" x14ac:dyDescent="0.25">
      <c r="A31" s="2770" t="s">
        <v>1980</v>
      </c>
      <c r="B31" s="2766">
        <v>1203</v>
      </c>
      <c r="C31" s="2766" t="s">
        <v>2761</v>
      </c>
      <c r="D31" s="2766" t="s">
        <v>336</v>
      </c>
      <c r="E31" s="2766" t="s">
        <v>1983</v>
      </c>
      <c r="F31" s="2766" t="s">
        <v>350</v>
      </c>
      <c r="G31" s="2766">
        <v>120310</v>
      </c>
      <c r="H31" s="2766">
        <f>Dataark_til_bilag2_2018[[#This Row],[Stald_kode]]+Dataark_til_bilag2_2018[[#This Row],[Dyr_Kode]]</f>
        <v>121513</v>
      </c>
      <c r="I31" s="4347">
        <v>0</v>
      </c>
      <c r="J31" s="2766" t="s">
        <v>1977</v>
      </c>
      <c r="K31" s="2766"/>
      <c r="L31" s="2767">
        <v>2.65</v>
      </c>
      <c r="M31" s="2767">
        <v>0.11</v>
      </c>
      <c r="N31" s="2760">
        <f>IFERROR(Dataark_til_bilag2_2018[[#This Row],[Antal dyr]]*Dataark_til_bilag2_2018[[#This Row],[Gødning (g) pr. dyr (ton)]]," ")</f>
        <v>0</v>
      </c>
      <c r="O31" s="2768"/>
      <c r="P31" s="2759">
        <v>0</v>
      </c>
      <c r="Q31" s="2767"/>
      <c r="R31" s="2769">
        <v>132</v>
      </c>
      <c r="S31" s="2769">
        <v>181</v>
      </c>
      <c r="T31" s="2769">
        <v>148.86465753424656</v>
      </c>
      <c r="U31" s="2769">
        <v>84.335342465753428</v>
      </c>
      <c r="V31" s="2769">
        <v>12.5</v>
      </c>
      <c r="W31" s="2769">
        <v>0.18</v>
      </c>
      <c r="X31" s="2769">
        <v>3.5154899999999998</v>
      </c>
      <c r="Y31" s="2762">
        <f t="shared" si="0"/>
        <v>0</v>
      </c>
    </row>
    <row r="32" spans="1:25" x14ac:dyDescent="0.25">
      <c r="A32" s="2770" t="s">
        <v>1980</v>
      </c>
      <c r="B32" s="2766">
        <v>1203</v>
      </c>
      <c r="C32" s="2766" t="s">
        <v>2761</v>
      </c>
      <c r="D32" s="2766" t="s">
        <v>336</v>
      </c>
      <c r="E32" s="2766" t="s">
        <v>1996</v>
      </c>
      <c r="F32" s="2766" t="s">
        <v>353</v>
      </c>
      <c r="G32" s="2766">
        <v>120312</v>
      </c>
      <c r="H32" s="2766">
        <f>Dataark_til_bilag2_2018[[#This Row],[Stald_kode]]+Dataark_til_bilag2_2018[[#This Row],[Dyr_Kode]]</f>
        <v>121515</v>
      </c>
      <c r="I32" s="4347">
        <v>0</v>
      </c>
      <c r="J32" s="2766" t="s">
        <v>1977</v>
      </c>
      <c r="K32" s="2766"/>
      <c r="L32" s="2767">
        <v>7.28</v>
      </c>
      <c r="M32" s="2767">
        <v>0.1</v>
      </c>
      <c r="N32" s="2760">
        <f>IFERROR(Dataark_til_bilag2_2018[[#This Row],[Antal dyr]]*Dataark_til_bilag2_2018[[#This Row],[Gødning (g) pr. dyr (ton)]]," ")</f>
        <v>0</v>
      </c>
      <c r="O32" s="2768"/>
      <c r="P32" s="2759">
        <v>0</v>
      </c>
      <c r="Q32" s="2767"/>
      <c r="R32" s="2769">
        <v>132</v>
      </c>
      <c r="S32" s="2769">
        <v>181</v>
      </c>
      <c r="T32" s="2769">
        <v>371.77863013698635</v>
      </c>
      <c r="U32" s="2769">
        <v>210.62136986301374</v>
      </c>
      <c r="V32" s="2769">
        <v>12.5</v>
      </c>
      <c r="W32" s="2769">
        <v>0.18</v>
      </c>
      <c r="X32" s="2769">
        <v>8.7796800000000008</v>
      </c>
      <c r="Y32" s="2762">
        <f t="shared" si="0"/>
        <v>0</v>
      </c>
    </row>
    <row r="33" spans="1:25" x14ac:dyDescent="0.25">
      <c r="A33" s="2770" t="s">
        <v>1980</v>
      </c>
      <c r="B33" s="2766">
        <v>1203</v>
      </c>
      <c r="C33" s="2766" t="s">
        <v>2761</v>
      </c>
      <c r="D33" s="2766" t="s">
        <v>336</v>
      </c>
      <c r="E33" s="2766" t="s">
        <v>1990</v>
      </c>
      <c r="F33" s="2766" t="s">
        <v>354</v>
      </c>
      <c r="G33" s="2766">
        <v>120316</v>
      </c>
      <c r="H33" s="2766">
        <f>Dataark_til_bilag2_2018[[#This Row],[Stald_kode]]+Dataark_til_bilag2_2018[[#This Row],[Dyr_Kode]]</f>
        <v>121519</v>
      </c>
      <c r="I33" s="4347">
        <v>0</v>
      </c>
      <c r="J33" s="2766" t="s">
        <v>1977</v>
      </c>
      <c r="K33" s="2766"/>
      <c r="L33" s="2767">
        <v>6.44</v>
      </c>
      <c r="M33" s="2767">
        <v>0.123</v>
      </c>
      <c r="N33" s="2760">
        <f>IFERROR(Dataark_til_bilag2_2018[[#This Row],[Antal dyr]]*Dataark_til_bilag2_2018[[#This Row],[Gødning (g) pr. dyr (ton)]]," ")</f>
        <v>0</v>
      </c>
      <c r="O33" s="2768"/>
      <c r="P33" s="2759">
        <v>0</v>
      </c>
      <c r="Q33" s="2767"/>
      <c r="R33" s="2769">
        <v>132</v>
      </c>
      <c r="S33" s="2769">
        <v>181</v>
      </c>
      <c r="T33" s="2769">
        <v>404.52374794520551</v>
      </c>
      <c r="U33" s="2769">
        <v>229.17225205479454</v>
      </c>
      <c r="V33" s="2769">
        <v>12.5</v>
      </c>
      <c r="W33" s="2769">
        <v>0.24</v>
      </c>
      <c r="X33" s="2769">
        <v>12.7372896</v>
      </c>
      <c r="Y33" s="2762">
        <f t="shared" si="0"/>
        <v>0</v>
      </c>
    </row>
    <row r="34" spans="1:25" x14ac:dyDescent="0.25">
      <c r="A34" s="2770" t="s">
        <v>1980</v>
      </c>
      <c r="B34" s="2766">
        <v>1204</v>
      </c>
      <c r="C34" s="2766" t="s">
        <v>2802</v>
      </c>
      <c r="D34" s="2766" t="s">
        <v>2794</v>
      </c>
      <c r="E34" s="2766" t="s">
        <v>2006</v>
      </c>
      <c r="F34" s="2766" t="s">
        <v>350</v>
      </c>
      <c r="G34" s="2766">
        <v>120401</v>
      </c>
      <c r="H34" s="2766">
        <f>Dataark_til_bilag2_2018[[#This Row],[Stald_kode]]+Dataark_til_bilag2_2018[[#This Row],[Dyr_Kode]]</f>
        <v>121605</v>
      </c>
      <c r="I34" s="4347">
        <v>485</v>
      </c>
      <c r="J34" s="2766"/>
      <c r="K34" s="2766" t="s">
        <v>350</v>
      </c>
      <c r="L34" s="2767"/>
      <c r="M34" s="2767"/>
      <c r="N34" s="2760">
        <f>IFERROR(Dataark_til_bilag2_2018[[#This Row],[Antal dyr]]*Dataark_til_bilag2_2018[[#This Row],[Gødning (g) pr. dyr (ton)]]," ")</f>
        <v>0</v>
      </c>
      <c r="O34" s="2767">
        <v>1.89</v>
      </c>
      <c r="P34" s="2759">
        <v>916.65</v>
      </c>
      <c r="Q34" s="2767">
        <v>0.3</v>
      </c>
      <c r="R34" s="2769">
        <v>18</v>
      </c>
      <c r="S34" s="2769">
        <v>224</v>
      </c>
      <c r="T34" s="2769">
        <v>538.7957889041096</v>
      </c>
      <c r="U34" s="2769">
        <v>22.369315068493151</v>
      </c>
      <c r="V34" s="2769">
        <v>17</v>
      </c>
      <c r="W34" s="2769">
        <v>0.18</v>
      </c>
      <c r="X34" s="2769">
        <v>11.505006961646304</v>
      </c>
      <c r="Y34" s="2762">
        <f t="shared" si="0"/>
        <v>5.579928376398458</v>
      </c>
    </row>
    <row r="35" spans="1:25" x14ac:dyDescent="0.25">
      <c r="A35" s="2770" t="s">
        <v>1980</v>
      </c>
      <c r="B35" s="2766">
        <v>1204</v>
      </c>
      <c r="C35" s="2766" t="s">
        <v>2802</v>
      </c>
      <c r="D35" s="2766" t="s">
        <v>2794</v>
      </c>
      <c r="E35" s="2766" t="s">
        <v>2004</v>
      </c>
      <c r="F35" s="2766" t="s">
        <v>350</v>
      </c>
      <c r="G35" s="2766">
        <v>120402</v>
      </c>
      <c r="H35" s="2766">
        <f>Dataark_til_bilag2_2018[[#This Row],[Stald_kode]]+Dataark_til_bilag2_2018[[#This Row],[Dyr_Kode]]</f>
        <v>121606</v>
      </c>
      <c r="I35" s="4347">
        <v>0</v>
      </c>
      <c r="J35" s="2766"/>
      <c r="K35" s="2766" t="s">
        <v>350</v>
      </c>
      <c r="L35" s="2767"/>
      <c r="M35" s="2767"/>
      <c r="N35" s="2760">
        <f>IFERROR(Dataark_til_bilag2_2018[[#This Row],[Antal dyr]]*Dataark_til_bilag2_2018[[#This Row],[Gødning (g) pr. dyr (ton)]]," ")</f>
        <v>0</v>
      </c>
      <c r="O35" s="2767">
        <v>1.89</v>
      </c>
      <c r="P35" s="2759">
        <v>0</v>
      </c>
      <c r="Q35" s="2767">
        <v>0.3</v>
      </c>
      <c r="R35" s="2769">
        <v>18</v>
      </c>
      <c r="S35" s="2769">
        <v>224</v>
      </c>
      <c r="T35" s="2769">
        <v>538.7957889041096</v>
      </c>
      <c r="U35" s="2769">
        <v>22.369315068493151</v>
      </c>
      <c r="V35" s="2769">
        <v>3</v>
      </c>
      <c r="W35" s="2769">
        <v>0.18</v>
      </c>
      <c r="X35" s="2769">
        <v>2.0302953461728772</v>
      </c>
      <c r="Y35" s="2762">
        <f t="shared" si="0"/>
        <v>0</v>
      </c>
    </row>
    <row r="36" spans="1:25" x14ac:dyDescent="0.25">
      <c r="A36" s="2770" t="s">
        <v>1980</v>
      </c>
      <c r="B36" s="2766">
        <v>1205</v>
      </c>
      <c r="C36" s="2766" t="s">
        <v>2797</v>
      </c>
      <c r="D36" s="2766" t="s">
        <v>2796</v>
      </c>
      <c r="E36" s="2766" t="s">
        <v>1989</v>
      </c>
      <c r="F36" s="2766" t="s">
        <v>639</v>
      </c>
      <c r="G36" s="2766">
        <v>120501</v>
      </c>
      <c r="H36" s="2766">
        <f>Dataark_til_bilag2_2018[[#This Row],[Stald_kode]]+Dataark_til_bilag2_2018[[#This Row],[Dyr_Kode]]</f>
        <v>121706</v>
      </c>
      <c r="I36" s="4347">
        <v>5.1100000000000003</v>
      </c>
      <c r="J36" s="2766" t="s">
        <v>1903</v>
      </c>
      <c r="K36" s="2766"/>
      <c r="L36" s="2767">
        <v>1.92</v>
      </c>
      <c r="M36" s="2767">
        <v>0.20599999999999999</v>
      </c>
      <c r="N36" s="2760">
        <f>IFERROR(Dataark_til_bilag2_2018[[#This Row],[Antal dyr]]*Dataark_til_bilag2_2018[[#This Row],[Gødning (g) pr. dyr (ton)]]," ")</f>
        <v>9.8111999999999995</v>
      </c>
      <c r="O36" s="2768"/>
      <c r="P36" s="2759">
        <v>0</v>
      </c>
      <c r="Q36" s="2767"/>
      <c r="R36" s="2769">
        <v>18</v>
      </c>
      <c r="S36" s="2769">
        <v>181</v>
      </c>
      <c r="T36" s="2769">
        <v>300.81192328767116</v>
      </c>
      <c r="U36" s="2769">
        <v>15.604076712328764</v>
      </c>
      <c r="V36" s="2769">
        <v>2</v>
      </c>
      <c r="W36" s="2769">
        <v>0.18</v>
      </c>
      <c r="X36" s="2769">
        <v>0.76319539199999986</v>
      </c>
      <c r="Y36" s="2762">
        <f t="shared" si="0"/>
        <v>3.8999284531199994E-3</v>
      </c>
    </row>
    <row r="37" spans="1:25" x14ac:dyDescent="0.25">
      <c r="A37" s="2770" t="s">
        <v>1980</v>
      </c>
      <c r="B37" s="2766">
        <v>1205</v>
      </c>
      <c r="C37" s="2766" t="s">
        <v>2797</v>
      </c>
      <c r="D37" s="2766" t="s">
        <v>2796</v>
      </c>
      <c r="E37" s="2766" t="s">
        <v>1988</v>
      </c>
      <c r="F37" s="2766" t="s">
        <v>639</v>
      </c>
      <c r="G37" s="2766">
        <v>120502</v>
      </c>
      <c r="H37" s="2766">
        <f>Dataark_til_bilag2_2018[[#This Row],[Stald_kode]]+Dataark_til_bilag2_2018[[#This Row],[Dyr_Kode]]</f>
        <v>121707</v>
      </c>
      <c r="I37" s="4347">
        <v>0</v>
      </c>
      <c r="J37" s="2766" t="s">
        <v>1977</v>
      </c>
      <c r="K37" s="2766"/>
      <c r="L37" s="2767">
        <v>3.31</v>
      </c>
      <c r="M37" s="2767">
        <v>0.128</v>
      </c>
      <c r="N37" s="2760">
        <f>IFERROR(Dataark_til_bilag2_2018[[#This Row],[Antal dyr]]*Dataark_til_bilag2_2018[[#This Row],[Gødning (g) pr. dyr (ton)]]," ")</f>
        <v>0</v>
      </c>
      <c r="O37" s="2768"/>
      <c r="P37" s="2759">
        <v>0</v>
      </c>
      <c r="Q37" s="2767"/>
      <c r="R37" s="2769">
        <v>18</v>
      </c>
      <c r="S37" s="2769">
        <v>181</v>
      </c>
      <c r="T37" s="2769">
        <v>322.22895342465756</v>
      </c>
      <c r="U37" s="2769">
        <v>16.715046575342466</v>
      </c>
      <c r="V37" s="2769">
        <v>12.5</v>
      </c>
      <c r="W37" s="2769">
        <v>0.18</v>
      </c>
      <c r="X37" s="2769">
        <v>5.1095808000000007</v>
      </c>
      <c r="Y37" s="2762">
        <f t="shared" ref="Y37:Y68" si="1">IFERROR(IFERROR((X37*I37)/1000,(X37*I36)/1000),"-")</f>
        <v>0</v>
      </c>
    </row>
    <row r="38" spans="1:25" x14ac:dyDescent="0.25">
      <c r="A38" s="2770" t="s">
        <v>1980</v>
      </c>
      <c r="B38" s="2766">
        <v>1205</v>
      </c>
      <c r="C38" s="2766" t="s">
        <v>2797</v>
      </c>
      <c r="D38" s="2766" t="s">
        <v>2796</v>
      </c>
      <c r="E38" s="2766" t="s">
        <v>1987</v>
      </c>
      <c r="F38" s="2766" t="s">
        <v>350</v>
      </c>
      <c r="G38" s="2766">
        <v>120503</v>
      </c>
      <c r="H38" s="2766">
        <f>Dataark_til_bilag2_2018[[#This Row],[Stald_kode]]+Dataark_til_bilag2_2018[[#This Row],[Dyr_Kode]]</f>
        <v>121708</v>
      </c>
      <c r="I38" s="4347">
        <v>376.81</v>
      </c>
      <c r="J38" s="2766"/>
      <c r="K38" s="2766" t="s">
        <v>350</v>
      </c>
      <c r="L38" s="2767"/>
      <c r="M38" s="2767"/>
      <c r="N38" s="2760">
        <f>IFERROR(Dataark_til_bilag2_2018[[#This Row],[Antal dyr]]*Dataark_til_bilag2_2018[[#This Row],[Gødning (g) pr. dyr (ton)]]," ")</f>
        <v>0</v>
      </c>
      <c r="O38" s="2767">
        <v>2.5299999999999998</v>
      </c>
      <c r="P38" s="2759">
        <v>953.32929999999988</v>
      </c>
      <c r="Q38" s="2767">
        <v>0.3</v>
      </c>
      <c r="R38" s="2769">
        <v>18</v>
      </c>
      <c r="S38" s="2769">
        <v>181</v>
      </c>
      <c r="T38" s="2769">
        <v>721.24515657534243</v>
      </c>
      <c r="U38" s="2769">
        <v>29.944109589041098</v>
      </c>
      <c r="V38" s="2769">
        <v>17</v>
      </c>
      <c r="W38" s="2769">
        <v>0.18</v>
      </c>
      <c r="X38" s="2769">
        <v>15.400882334902189</v>
      </c>
      <c r="Y38" s="2762">
        <f t="shared" si="1"/>
        <v>5.8032064726144936</v>
      </c>
    </row>
    <row r="39" spans="1:25" x14ac:dyDescent="0.25">
      <c r="A39" s="2770" t="s">
        <v>1980</v>
      </c>
      <c r="B39" s="2766">
        <v>1205</v>
      </c>
      <c r="C39" s="2766" t="s">
        <v>2797</v>
      </c>
      <c r="D39" s="2766" t="s">
        <v>2796</v>
      </c>
      <c r="E39" s="2766" t="s">
        <v>2004</v>
      </c>
      <c r="F39" s="2766" t="s">
        <v>350</v>
      </c>
      <c r="G39" s="2766">
        <v>120504</v>
      </c>
      <c r="H39" s="2766">
        <f>Dataark_til_bilag2_2018[[#This Row],[Stald_kode]]+Dataark_til_bilag2_2018[[#This Row],[Dyr_Kode]]</f>
        <v>121709</v>
      </c>
      <c r="I39" s="4347">
        <v>139.69</v>
      </c>
      <c r="J39" s="2766"/>
      <c r="K39" s="2766" t="s">
        <v>350</v>
      </c>
      <c r="L39" s="2767"/>
      <c r="M39" s="2767"/>
      <c r="N39" s="2760">
        <f>IFERROR(Dataark_til_bilag2_2018[[#This Row],[Antal dyr]]*Dataark_til_bilag2_2018[[#This Row],[Gødning (g) pr. dyr (ton)]]," ")</f>
        <v>0</v>
      </c>
      <c r="O39" s="2767">
        <v>2.2400000000000002</v>
      </c>
      <c r="P39" s="2759">
        <v>312.90560000000005</v>
      </c>
      <c r="Q39" s="2767">
        <v>0.3</v>
      </c>
      <c r="R39" s="2769">
        <v>18</v>
      </c>
      <c r="S39" s="2769">
        <v>181</v>
      </c>
      <c r="T39" s="2769">
        <v>638.57278684931498</v>
      </c>
      <c r="U39" s="2769">
        <v>26.511780821917803</v>
      </c>
      <c r="V39" s="2769">
        <v>3</v>
      </c>
      <c r="W39" s="2769">
        <v>0.18</v>
      </c>
      <c r="X39" s="2769">
        <v>2.4062759658345203</v>
      </c>
      <c r="Y39" s="2762">
        <f t="shared" si="1"/>
        <v>0.33613268966742416</v>
      </c>
    </row>
    <row r="40" spans="1:25" x14ac:dyDescent="0.25">
      <c r="A40" s="2770" t="s">
        <v>1980</v>
      </c>
      <c r="B40" s="2766">
        <v>1205</v>
      </c>
      <c r="C40" s="2766" t="s">
        <v>2797</v>
      </c>
      <c r="D40" s="2766" t="s">
        <v>2796</v>
      </c>
      <c r="E40" s="2766" t="s">
        <v>1985</v>
      </c>
      <c r="F40" s="2766" t="s">
        <v>350</v>
      </c>
      <c r="G40" s="2766">
        <v>120505</v>
      </c>
      <c r="H40" s="2766">
        <f>Dataark_til_bilag2_2018[[#This Row],[Stald_kode]]+Dataark_til_bilag2_2018[[#This Row],[Dyr_Kode]]</f>
        <v>121710</v>
      </c>
      <c r="I40" s="4347">
        <v>0</v>
      </c>
      <c r="J40" s="2766" t="s">
        <v>1977</v>
      </c>
      <c r="K40" s="2766"/>
      <c r="L40" s="2767">
        <v>1.36</v>
      </c>
      <c r="M40" s="2767">
        <v>8.8999999999999996E-2</v>
      </c>
      <c r="N40" s="2760">
        <f>IFERROR(Dataark_til_bilag2_2018[[#This Row],[Antal dyr]]*Dataark_til_bilag2_2018[[#This Row],[Gødning (g) pr. dyr (ton)]]," ")</f>
        <v>0</v>
      </c>
      <c r="O40" s="2768"/>
      <c r="P40" s="2759">
        <v>0</v>
      </c>
      <c r="Q40" s="2767"/>
      <c r="R40" s="2769">
        <v>18</v>
      </c>
      <c r="S40" s="2769">
        <v>181</v>
      </c>
      <c r="T40" s="2769">
        <v>92.056723287671218</v>
      </c>
      <c r="U40" s="2769">
        <v>4.7752767123287665</v>
      </c>
      <c r="V40" s="2769">
        <v>12.5</v>
      </c>
      <c r="W40" s="2769">
        <v>0.18</v>
      </c>
      <c r="X40" s="2769">
        <v>1.4597423999999997</v>
      </c>
      <c r="Y40" s="2762">
        <f t="shared" si="1"/>
        <v>0</v>
      </c>
    </row>
    <row r="41" spans="1:25" x14ac:dyDescent="0.25">
      <c r="A41" s="2770" t="s">
        <v>1980</v>
      </c>
      <c r="B41" s="2766">
        <v>1205</v>
      </c>
      <c r="C41" s="2766" t="s">
        <v>2797</v>
      </c>
      <c r="D41" s="2766" t="s">
        <v>2796</v>
      </c>
      <c r="E41" s="2766" t="s">
        <v>1984</v>
      </c>
      <c r="F41" s="2766" t="s">
        <v>350</v>
      </c>
      <c r="G41" s="2766">
        <v>120506</v>
      </c>
      <c r="H41" s="2766">
        <f>Dataark_til_bilag2_2018[[#This Row],[Stald_kode]]+Dataark_til_bilag2_2018[[#This Row],[Dyr_Kode]]</f>
        <v>121711</v>
      </c>
      <c r="I41" s="4347">
        <v>0</v>
      </c>
      <c r="J41" s="2766" t="s">
        <v>1977</v>
      </c>
      <c r="K41" s="2766"/>
      <c r="L41" s="2767">
        <v>1.36</v>
      </c>
      <c r="M41" s="2767">
        <v>8.8999999999999996E-2</v>
      </c>
      <c r="N41" s="2760">
        <f>IFERROR(Dataark_til_bilag2_2018[[#This Row],[Antal dyr]]*Dataark_til_bilag2_2018[[#This Row],[Gødning (g) pr. dyr (ton)]]," ")</f>
        <v>0</v>
      </c>
      <c r="O41" s="2768"/>
      <c r="P41" s="2759">
        <v>0</v>
      </c>
      <c r="Q41" s="2767"/>
      <c r="R41" s="2769">
        <v>18</v>
      </c>
      <c r="S41" s="2769">
        <v>181</v>
      </c>
      <c r="T41" s="2769">
        <v>92.056723287671218</v>
      </c>
      <c r="U41" s="2769">
        <v>4.7752767123287665</v>
      </c>
      <c r="V41" s="2769">
        <v>12.5</v>
      </c>
      <c r="W41" s="2769">
        <v>0.18</v>
      </c>
      <c r="X41" s="2769">
        <v>1.4597423999999997</v>
      </c>
      <c r="Y41" s="2762">
        <f t="shared" si="1"/>
        <v>0</v>
      </c>
    </row>
    <row r="42" spans="1:25" x14ac:dyDescent="0.25">
      <c r="A42" s="2770" t="s">
        <v>1980</v>
      </c>
      <c r="B42" s="2766">
        <v>1205</v>
      </c>
      <c r="C42" s="2766" t="s">
        <v>2797</v>
      </c>
      <c r="D42" s="2766" t="s">
        <v>2796</v>
      </c>
      <c r="E42" s="2766" t="s">
        <v>1983</v>
      </c>
      <c r="F42" s="2766" t="s">
        <v>350</v>
      </c>
      <c r="G42" s="2766">
        <v>120507</v>
      </c>
      <c r="H42" s="2766">
        <f>Dataark_til_bilag2_2018[[#This Row],[Stald_kode]]+Dataark_til_bilag2_2018[[#This Row],[Dyr_Kode]]</f>
        <v>121712</v>
      </c>
      <c r="I42" s="4347">
        <v>0</v>
      </c>
      <c r="J42" s="2766" t="s">
        <v>1977</v>
      </c>
      <c r="K42" s="2766"/>
      <c r="L42" s="2767">
        <v>1.36</v>
      </c>
      <c r="M42" s="2767">
        <v>8.8999999999999996E-2</v>
      </c>
      <c r="N42" s="2760">
        <f>IFERROR(Dataark_til_bilag2_2018[[#This Row],[Antal dyr]]*Dataark_til_bilag2_2018[[#This Row],[Gødning (g) pr. dyr (ton)]]," ")</f>
        <v>0</v>
      </c>
      <c r="O42" s="2768"/>
      <c r="P42" s="2759">
        <v>0</v>
      </c>
      <c r="Q42" s="2767"/>
      <c r="R42" s="2769">
        <v>18</v>
      </c>
      <c r="S42" s="2769">
        <v>181</v>
      </c>
      <c r="T42" s="2769">
        <v>92.056723287671218</v>
      </c>
      <c r="U42" s="2769">
        <v>4.7752767123287665</v>
      </c>
      <c r="V42" s="2769">
        <v>12.5</v>
      </c>
      <c r="W42" s="2769">
        <v>0.18</v>
      </c>
      <c r="X42" s="2769">
        <v>1.4597423999999997</v>
      </c>
      <c r="Y42" s="2762">
        <f t="shared" si="1"/>
        <v>0</v>
      </c>
    </row>
    <row r="43" spans="1:25" x14ac:dyDescent="0.25">
      <c r="A43" s="2770" t="s">
        <v>1980</v>
      </c>
      <c r="B43" s="2766">
        <v>1205</v>
      </c>
      <c r="C43" s="2766" t="s">
        <v>2797</v>
      </c>
      <c r="D43" s="2766" t="s">
        <v>2796</v>
      </c>
      <c r="E43" s="2766" t="s">
        <v>1996</v>
      </c>
      <c r="F43" s="2766" t="s">
        <v>353</v>
      </c>
      <c r="G43" s="2766">
        <v>120509</v>
      </c>
      <c r="H43" s="2766">
        <f>Dataark_til_bilag2_2018[[#This Row],[Stald_kode]]+Dataark_til_bilag2_2018[[#This Row],[Dyr_Kode]]</f>
        <v>121714</v>
      </c>
      <c r="I43" s="4347">
        <v>0</v>
      </c>
      <c r="J43" s="2766" t="s">
        <v>1977</v>
      </c>
      <c r="K43" s="2766"/>
      <c r="L43" s="2767">
        <v>3</v>
      </c>
      <c r="M43" s="2767">
        <v>0.10100000000000001</v>
      </c>
      <c r="N43" s="2760">
        <f>IFERROR(Dataark_til_bilag2_2018[[#This Row],[Antal dyr]]*Dataark_til_bilag2_2018[[#This Row],[Gødning (g) pr. dyr (ton)]]," ")</f>
        <v>0</v>
      </c>
      <c r="O43" s="2768"/>
      <c r="P43" s="2759">
        <v>0</v>
      </c>
      <c r="Q43" s="2767"/>
      <c r="R43" s="2769">
        <v>18</v>
      </c>
      <c r="S43" s="2769">
        <v>181</v>
      </c>
      <c r="T43" s="2769">
        <v>230.44602739726034</v>
      </c>
      <c r="U43" s="2769">
        <v>11.953972602739729</v>
      </c>
      <c r="V43" s="2769">
        <v>12.5</v>
      </c>
      <c r="W43" s="2769">
        <v>0.18</v>
      </c>
      <c r="X43" s="2769">
        <v>3.6541800000000015</v>
      </c>
      <c r="Y43" s="2762">
        <f t="shared" si="1"/>
        <v>0</v>
      </c>
    </row>
    <row r="44" spans="1:25" x14ac:dyDescent="0.25">
      <c r="A44" s="2770" t="s">
        <v>1980</v>
      </c>
      <c r="B44" s="2766">
        <v>1205</v>
      </c>
      <c r="C44" s="2766" t="s">
        <v>2797</v>
      </c>
      <c r="D44" s="2766" t="s">
        <v>2796</v>
      </c>
      <c r="E44" s="2766" t="s">
        <v>1995</v>
      </c>
      <c r="F44" s="2766" t="s">
        <v>354</v>
      </c>
      <c r="G44" s="2766">
        <v>120510</v>
      </c>
      <c r="H44" s="2766">
        <f>Dataark_til_bilag2_2018[[#This Row],[Stald_kode]]+Dataark_til_bilag2_2018[[#This Row],[Dyr_Kode]]</f>
        <v>121715</v>
      </c>
      <c r="I44" s="4347">
        <v>0</v>
      </c>
      <c r="J44" s="2766" t="s">
        <v>1977</v>
      </c>
      <c r="K44" s="2766"/>
      <c r="L44" s="2767">
        <v>2.85</v>
      </c>
      <c r="M44" s="2767">
        <v>0.123</v>
      </c>
      <c r="N44" s="2760">
        <f>IFERROR(Dataark_til_bilag2_2018[[#This Row],[Antal dyr]]*Dataark_til_bilag2_2018[[#This Row],[Gødning (g) pr. dyr (ton)]]," ")</f>
        <v>0</v>
      </c>
      <c r="O44" s="2768"/>
      <c r="P44" s="2759">
        <v>0</v>
      </c>
      <c r="Q44" s="2767"/>
      <c r="R44" s="2769">
        <v>18</v>
      </c>
      <c r="S44" s="2769">
        <v>181</v>
      </c>
      <c r="T44" s="2769">
        <v>266.6100821917808</v>
      </c>
      <c r="U44" s="2769">
        <v>13.829917808219179</v>
      </c>
      <c r="V44" s="2769">
        <v>12.5</v>
      </c>
      <c r="W44" s="2769">
        <v>0.18</v>
      </c>
      <c r="X44" s="2769">
        <v>4.2276329999999991</v>
      </c>
      <c r="Y44" s="2762">
        <f t="shared" si="1"/>
        <v>0</v>
      </c>
    </row>
    <row r="45" spans="1:25" s="2775" customFormat="1" x14ac:dyDescent="0.25">
      <c r="A45" s="2770" t="s">
        <v>1980</v>
      </c>
      <c r="B45" s="2766">
        <v>1205</v>
      </c>
      <c r="C45" s="2766" t="s">
        <v>2797</v>
      </c>
      <c r="D45" s="2766" t="s">
        <v>2796</v>
      </c>
      <c r="E45" s="2766" t="s">
        <v>2003</v>
      </c>
      <c r="F45" s="2766" t="s">
        <v>354</v>
      </c>
      <c r="G45" s="2766">
        <v>120511</v>
      </c>
      <c r="H45" s="2766">
        <f>Dataark_til_bilag2_2018[[#This Row],[Stald_kode]]+Dataark_til_bilag2_2018[[#This Row],[Dyr_Kode]]</f>
        <v>121716</v>
      </c>
      <c r="I45" s="4347">
        <v>0</v>
      </c>
      <c r="J45" s="2766" t="s">
        <v>1977</v>
      </c>
      <c r="K45" s="2766"/>
      <c r="L45" s="2767">
        <v>2.85</v>
      </c>
      <c r="M45" s="2767">
        <v>0.123</v>
      </c>
      <c r="N45" s="2760">
        <f>IFERROR(Dataark_til_bilag2_2018[[#This Row],[Antal dyr]]*Dataark_til_bilag2_2018[[#This Row],[Gødning (g) pr. dyr (ton)]]," ")</f>
        <v>0</v>
      </c>
      <c r="O45" s="2768"/>
      <c r="P45" s="2759">
        <v>0</v>
      </c>
      <c r="Q45" s="2767"/>
      <c r="R45" s="2769">
        <v>18</v>
      </c>
      <c r="S45" s="2769">
        <v>181</v>
      </c>
      <c r="T45" s="2769">
        <v>266.6100821917808</v>
      </c>
      <c r="U45" s="2769">
        <v>13.829917808219179</v>
      </c>
      <c r="V45" s="2769">
        <v>12.5</v>
      </c>
      <c r="W45" s="2769">
        <v>0.18</v>
      </c>
      <c r="X45" s="2769">
        <v>4.2276329999999991</v>
      </c>
      <c r="Y45" s="2762">
        <f t="shared" si="1"/>
        <v>0</v>
      </c>
    </row>
    <row r="46" spans="1:25" x14ac:dyDescent="0.25">
      <c r="A46" s="2770" t="s">
        <v>1980</v>
      </c>
      <c r="B46" s="2766">
        <v>1205</v>
      </c>
      <c r="C46" s="2766" t="s">
        <v>2797</v>
      </c>
      <c r="D46" s="2766" t="s">
        <v>2796</v>
      </c>
      <c r="E46" s="2766" t="s">
        <v>2002</v>
      </c>
      <c r="F46" s="2766" t="s">
        <v>354</v>
      </c>
      <c r="G46" s="2766">
        <v>120512</v>
      </c>
      <c r="H46" s="2766">
        <f>Dataark_til_bilag2_2018[[#This Row],[Stald_kode]]+Dataark_til_bilag2_2018[[#This Row],[Dyr_Kode]]</f>
        <v>121717</v>
      </c>
      <c r="I46" s="4347">
        <v>0</v>
      </c>
      <c r="J46" s="2766" t="s">
        <v>1977</v>
      </c>
      <c r="K46" s="2766"/>
      <c r="L46" s="2767">
        <v>2.85</v>
      </c>
      <c r="M46" s="2767">
        <v>0.123</v>
      </c>
      <c r="N46" s="2760">
        <f>IFERROR(Dataark_til_bilag2_2018[[#This Row],[Antal dyr]]*Dataark_til_bilag2_2018[[#This Row],[Gødning (g) pr. dyr (ton)]]," ")</f>
        <v>0</v>
      </c>
      <c r="O46" s="2768"/>
      <c r="P46" s="2759">
        <v>0</v>
      </c>
      <c r="Q46" s="2767"/>
      <c r="R46" s="2769">
        <v>18</v>
      </c>
      <c r="S46" s="2769">
        <v>181</v>
      </c>
      <c r="T46" s="2769">
        <v>266.6100821917808</v>
      </c>
      <c r="U46" s="2769">
        <v>13.829917808219179</v>
      </c>
      <c r="V46" s="2769">
        <v>12.5</v>
      </c>
      <c r="W46" s="2769">
        <v>0.18</v>
      </c>
      <c r="X46" s="2769">
        <v>4.2276329999999991</v>
      </c>
      <c r="Y46" s="2762">
        <f t="shared" si="1"/>
        <v>0</v>
      </c>
    </row>
    <row r="47" spans="1:25" x14ac:dyDescent="0.25">
      <c r="A47" s="2770" t="s">
        <v>1980</v>
      </c>
      <c r="B47" s="2766">
        <v>1205</v>
      </c>
      <c r="C47" s="2766" t="s">
        <v>2797</v>
      </c>
      <c r="D47" s="2766" t="s">
        <v>2796</v>
      </c>
      <c r="E47" s="2766" t="s">
        <v>1990</v>
      </c>
      <c r="F47" s="2766" t="s">
        <v>354</v>
      </c>
      <c r="G47" s="2766">
        <v>120519</v>
      </c>
      <c r="H47" s="2766">
        <f>Dataark_til_bilag2_2018[[#This Row],[Stald_kode]]+Dataark_til_bilag2_2018[[#This Row],[Dyr_Kode]]</f>
        <v>121724</v>
      </c>
      <c r="I47" s="4347">
        <v>0</v>
      </c>
      <c r="J47" s="2766" t="s">
        <v>1977</v>
      </c>
      <c r="K47" s="2766"/>
      <c r="L47" s="2767">
        <v>2.85</v>
      </c>
      <c r="M47" s="2767">
        <v>0.123</v>
      </c>
      <c r="N47" s="2760">
        <f>IFERROR(Dataark_til_bilag2_2018[[#This Row],[Antal dyr]]*Dataark_til_bilag2_2018[[#This Row],[Gødning (g) pr. dyr (ton)]]," ")</f>
        <v>0</v>
      </c>
      <c r="O47" s="2768"/>
      <c r="P47" s="2759">
        <v>0</v>
      </c>
      <c r="Q47" s="2767"/>
      <c r="R47" s="2769">
        <v>18</v>
      </c>
      <c r="S47" s="2769">
        <v>181</v>
      </c>
      <c r="T47" s="2769">
        <v>266.6100821917808</v>
      </c>
      <c r="U47" s="2769">
        <v>13.829917808219179</v>
      </c>
      <c r="V47" s="2769">
        <v>12.5</v>
      </c>
      <c r="W47" s="2769">
        <v>0.18</v>
      </c>
      <c r="X47" s="2769">
        <v>4.2276329999999991</v>
      </c>
      <c r="Y47" s="2762">
        <f t="shared" si="1"/>
        <v>0</v>
      </c>
    </row>
    <row r="48" spans="1:25" x14ac:dyDescent="0.25">
      <c r="A48" s="2770" t="s">
        <v>1980</v>
      </c>
      <c r="B48" s="2766">
        <v>1206</v>
      </c>
      <c r="C48" s="2766" t="s">
        <v>2011</v>
      </c>
      <c r="D48" s="2766" t="s">
        <v>330</v>
      </c>
      <c r="E48" s="2766" t="s">
        <v>1989</v>
      </c>
      <c r="F48" s="2766" t="s">
        <v>639</v>
      </c>
      <c r="G48" s="2766">
        <v>120601</v>
      </c>
      <c r="H48" s="2766">
        <f>Dataark_til_bilag2_2018[[#This Row],[Stald_kode]]+Dataark_til_bilag2_2018[[#This Row],[Dyr_Kode]]</f>
        <v>121807</v>
      </c>
      <c r="I48" s="4347">
        <v>0</v>
      </c>
      <c r="J48" s="2766" t="s">
        <v>1903</v>
      </c>
      <c r="K48" s="2766"/>
      <c r="L48" s="2767">
        <v>4.51</v>
      </c>
      <c r="M48" s="2767">
        <f>18.2/100</f>
        <v>0.182</v>
      </c>
      <c r="N48" s="2760">
        <f>IFERROR(Dataark_til_bilag2_2018[[#This Row],[Antal dyr]]*Dataark_til_bilag2_2018[[#This Row],[Gødning (g) pr. dyr (ton)]]," ")</f>
        <v>0</v>
      </c>
      <c r="O48" s="2767"/>
      <c r="P48" s="2759">
        <v>0</v>
      </c>
      <c r="Q48" s="2767"/>
      <c r="R48" s="2769">
        <v>18</v>
      </c>
      <c r="S48" s="2769">
        <v>181</v>
      </c>
      <c r="T48" s="2769">
        <v>624.27296438356166</v>
      </c>
      <c r="U48" s="2769">
        <v>32.383035616438356</v>
      </c>
      <c r="V48" s="2769">
        <v>2</v>
      </c>
      <c r="W48" s="2769">
        <v>0.18</v>
      </c>
      <c r="X48" s="2769">
        <v>1.5838542720000002</v>
      </c>
      <c r="Y48" s="2762">
        <f t="shared" si="1"/>
        <v>0</v>
      </c>
    </row>
    <row r="49" spans="1:25" x14ac:dyDescent="0.25">
      <c r="A49" s="2770" t="s">
        <v>1980</v>
      </c>
      <c r="B49" s="2766">
        <v>1206</v>
      </c>
      <c r="C49" s="2766" t="s">
        <v>2011</v>
      </c>
      <c r="D49" s="2766" t="s">
        <v>330</v>
      </c>
      <c r="E49" s="2766" t="s">
        <v>1988</v>
      </c>
      <c r="F49" s="2766" t="s">
        <v>639</v>
      </c>
      <c r="G49" s="2766">
        <v>120602</v>
      </c>
      <c r="H49" s="2766">
        <f>Dataark_til_bilag2_2018[[#This Row],[Stald_kode]]+Dataark_til_bilag2_2018[[#This Row],[Dyr_Kode]]</f>
        <v>121808</v>
      </c>
      <c r="I49" s="4347">
        <v>0</v>
      </c>
      <c r="J49" s="2766" t="s">
        <v>1977</v>
      </c>
      <c r="K49" s="2766"/>
      <c r="L49" s="2767">
        <v>7.22</v>
      </c>
      <c r="M49" s="2767">
        <f>12.3/100</f>
        <v>0.12300000000000001</v>
      </c>
      <c r="N49" s="2760">
        <f>IFERROR(Dataark_til_bilag2_2018[[#This Row],[Antal dyr]]*Dataark_til_bilag2_2018[[#This Row],[Gødning (g) pr. dyr (ton)]]," ")</f>
        <v>0</v>
      </c>
      <c r="O49" s="2767"/>
      <c r="P49" s="2759">
        <v>0</v>
      </c>
      <c r="Q49" s="2767"/>
      <c r="R49" s="2769">
        <v>18</v>
      </c>
      <c r="S49" s="2769">
        <v>181</v>
      </c>
      <c r="T49" s="2769">
        <v>675.41220821917807</v>
      </c>
      <c r="U49" s="2769">
        <v>35.035791780821917</v>
      </c>
      <c r="V49" s="2769">
        <v>12.5</v>
      </c>
      <c r="W49" s="2769">
        <v>0.18</v>
      </c>
      <c r="X49" s="2769">
        <v>10.710003600000002</v>
      </c>
      <c r="Y49" s="2762">
        <f t="shared" si="1"/>
        <v>0</v>
      </c>
    </row>
    <row r="50" spans="1:25" x14ac:dyDescent="0.25">
      <c r="A50" s="2770" t="s">
        <v>1980</v>
      </c>
      <c r="B50" s="2766">
        <v>1206</v>
      </c>
      <c r="C50" s="2766" t="s">
        <v>2011</v>
      </c>
      <c r="D50" s="2766" t="s">
        <v>330</v>
      </c>
      <c r="E50" s="2766" t="s">
        <v>1987</v>
      </c>
      <c r="F50" s="2766" t="s">
        <v>350</v>
      </c>
      <c r="G50" s="2766">
        <v>120603</v>
      </c>
      <c r="H50" s="2766">
        <f>Dataark_til_bilag2_2018[[#This Row],[Stald_kode]]+Dataark_til_bilag2_2018[[#This Row],[Dyr_Kode]]</f>
        <v>121809</v>
      </c>
      <c r="I50" s="4347">
        <v>9.8699999999999992</v>
      </c>
      <c r="J50" s="2766"/>
      <c r="K50" s="2766" t="s">
        <v>350</v>
      </c>
      <c r="L50" s="2767"/>
      <c r="M50" s="2767"/>
      <c r="N50" s="2760">
        <f>IFERROR(Dataark_til_bilag2_2018[[#This Row],[Antal dyr]]*Dataark_til_bilag2_2018[[#This Row],[Gødning (g) pr. dyr (ton)]]," ")</f>
        <v>0</v>
      </c>
      <c r="O50" s="2767">
        <v>5.52</v>
      </c>
      <c r="P50" s="2759">
        <v>54.482399999999991</v>
      </c>
      <c r="Q50" s="2767">
        <f>30/100</f>
        <v>0.3</v>
      </c>
      <c r="R50" s="2769">
        <v>18</v>
      </c>
      <c r="S50" s="2769">
        <v>181</v>
      </c>
      <c r="T50" s="2769">
        <v>1573.6257961643835</v>
      </c>
      <c r="U50" s="2769">
        <v>0</v>
      </c>
      <c r="V50" s="2769">
        <v>17</v>
      </c>
      <c r="W50" s="2769">
        <v>0.18</v>
      </c>
      <c r="X50" s="2769">
        <v>32.262476072962187</v>
      </c>
      <c r="Y50" s="2762">
        <f t="shared" si="1"/>
        <v>0.31843063884013673</v>
      </c>
    </row>
    <row r="51" spans="1:25" x14ac:dyDescent="0.25">
      <c r="A51" s="2770" t="s">
        <v>1980</v>
      </c>
      <c r="B51" s="2766">
        <v>1206</v>
      </c>
      <c r="C51" s="2766" t="s">
        <v>2011</v>
      </c>
      <c r="D51" s="2766" t="s">
        <v>330</v>
      </c>
      <c r="E51" s="2766" t="s">
        <v>2004</v>
      </c>
      <c r="F51" s="2766" t="s">
        <v>350</v>
      </c>
      <c r="G51" s="2766">
        <v>120604</v>
      </c>
      <c r="H51" s="2766">
        <f>Dataark_til_bilag2_2018[[#This Row],[Stald_kode]]+Dataark_til_bilag2_2018[[#This Row],[Dyr_Kode]]</f>
        <v>121810</v>
      </c>
      <c r="I51" s="4347">
        <v>0</v>
      </c>
      <c r="J51" s="2766"/>
      <c r="K51" s="2766" t="s">
        <v>350</v>
      </c>
      <c r="L51" s="2767"/>
      <c r="M51" s="2767"/>
      <c r="N51" s="2760">
        <f>IFERROR(Dataark_til_bilag2_2018[[#This Row],[Antal dyr]]*Dataark_til_bilag2_2018[[#This Row],[Gødning (g) pr. dyr (ton)]]," ")</f>
        <v>0</v>
      </c>
      <c r="O51" s="2767">
        <v>4.88</v>
      </c>
      <c r="P51" s="2759">
        <v>0</v>
      </c>
      <c r="Q51" s="2767">
        <f>30/100</f>
        <v>0.3</v>
      </c>
      <c r="R51" s="2769">
        <v>18</v>
      </c>
      <c r="S51" s="2769">
        <v>181</v>
      </c>
      <c r="T51" s="2769">
        <v>1391.1764284931508</v>
      </c>
      <c r="U51" s="2769">
        <v>0</v>
      </c>
      <c r="V51" s="2769">
        <v>17</v>
      </c>
      <c r="W51" s="2769">
        <v>0.18</v>
      </c>
      <c r="X51" s="2769">
        <v>28.521899136966582</v>
      </c>
      <c r="Y51" s="2762">
        <f t="shared" si="1"/>
        <v>0</v>
      </c>
    </row>
    <row r="52" spans="1:25" x14ac:dyDescent="0.25">
      <c r="A52" s="2770" t="s">
        <v>1980</v>
      </c>
      <c r="B52" s="2766">
        <v>1206</v>
      </c>
      <c r="C52" s="2766" t="s">
        <v>2011</v>
      </c>
      <c r="D52" s="2766" t="s">
        <v>330</v>
      </c>
      <c r="E52" s="2766" t="s">
        <v>1985</v>
      </c>
      <c r="F52" s="2766" t="s">
        <v>350</v>
      </c>
      <c r="G52" s="2766">
        <v>120605</v>
      </c>
      <c r="H52" s="2766">
        <f>Dataark_til_bilag2_2018[[#This Row],[Stald_kode]]+Dataark_til_bilag2_2018[[#This Row],[Dyr_Kode]]</f>
        <v>121811</v>
      </c>
      <c r="I52" s="4347">
        <v>0</v>
      </c>
      <c r="J52" s="2766" t="s">
        <v>1977</v>
      </c>
      <c r="K52" s="2766"/>
      <c r="L52" s="2767">
        <v>2.65</v>
      </c>
      <c r="M52" s="2767">
        <f>11/100</f>
        <v>0.11</v>
      </c>
      <c r="N52" s="2760">
        <f>IFERROR(Dataark_til_bilag2_2018[[#This Row],[Antal dyr]]*Dataark_til_bilag2_2018[[#This Row],[Gødning (g) pr. dyr (ton)]]," ")</f>
        <v>0</v>
      </c>
      <c r="O52" s="2767"/>
      <c r="P52" s="2759">
        <v>0</v>
      </c>
      <c r="Q52" s="2767"/>
      <c r="R52" s="2769">
        <v>18</v>
      </c>
      <c r="S52" s="2769">
        <v>181</v>
      </c>
      <c r="T52" s="2769">
        <v>221.69972602739728</v>
      </c>
      <c r="U52" s="2769">
        <v>11.50027397260274</v>
      </c>
      <c r="V52" s="2769">
        <v>12.5</v>
      </c>
      <c r="W52" s="2769">
        <v>0.18</v>
      </c>
      <c r="X52" s="2769">
        <v>3.5154900000000002</v>
      </c>
      <c r="Y52" s="2762">
        <f t="shared" si="1"/>
        <v>0</v>
      </c>
    </row>
    <row r="53" spans="1:25" x14ac:dyDescent="0.25">
      <c r="A53" s="2770" t="s">
        <v>1980</v>
      </c>
      <c r="B53" s="2766">
        <v>1206</v>
      </c>
      <c r="C53" s="2766" t="s">
        <v>2011</v>
      </c>
      <c r="D53" s="2766" t="s">
        <v>330</v>
      </c>
      <c r="E53" s="2766" t="s">
        <v>2801</v>
      </c>
      <c r="F53" s="2766" t="s">
        <v>350</v>
      </c>
      <c r="G53" s="2766">
        <v>120606</v>
      </c>
      <c r="H53" s="2766">
        <f>Dataark_til_bilag2_2018[[#This Row],[Stald_kode]]+Dataark_til_bilag2_2018[[#This Row],[Dyr_Kode]]</f>
        <v>121812</v>
      </c>
      <c r="I53" s="4347">
        <v>0</v>
      </c>
      <c r="J53" s="2766" t="s">
        <v>1977</v>
      </c>
      <c r="K53" s="2766"/>
      <c r="L53" s="2767">
        <v>2.65</v>
      </c>
      <c r="M53" s="2767">
        <f>11/100</f>
        <v>0.11</v>
      </c>
      <c r="N53" s="2760">
        <f>IFERROR(Dataark_til_bilag2_2018[[#This Row],[Antal dyr]]*Dataark_til_bilag2_2018[[#This Row],[Gødning (g) pr. dyr (ton)]]," ")</f>
        <v>0</v>
      </c>
      <c r="O53" s="2767"/>
      <c r="P53" s="2759">
        <v>0</v>
      </c>
      <c r="Q53" s="2767"/>
      <c r="R53" s="2769">
        <v>18</v>
      </c>
      <c r="S53" s="2769">
        <v>181</v>
      </c>
      <c r="T53" s="2769">
        <v>221.69972602739728</v>
      </c>
      <c r="U53" s="2769">
        <v>11.50027397260274</v>
      </c>
      <c r="V53" s="2769">
        <v>12.5</v>
      </c>
      <c r="W53" s="2769">
        <v>0.18</v>
      </c>
      <c r="X53" s="2769">
        <v>3.5154900000000002</v>
      </c>
      <c r="Y53" s="2762">
        <f t="shared" si="1"/>
        <v>0</v>
      </c>
    </row>
    <row r="54" spans="1:25" s="2775" customFormat="1" x14ac:dyDescent="0.25">
      <c r="A54" s="2770" t="s">
        <v>1980</v>
      </c>
      <c r="B54" s="2766">
        <v>1206</v>
      </c>
      <c r="C54" s="2766" t="s">
        <v>2011</v>
      </c>
      <c r="D54" s="2766" t="s">
        <v>330</v>
      </c>
      <c r="E54" s="2766" t="s">
        <v>1984</v>
      </c>
      <c r="F54" s="2766" t="s">
        <v>350</v>
      </c>
      <c r="G54" s="2766">
        <v>120607</v>
      </c>
      <c r="H54" s="2766">
        <f>Dataark_til_bilag2_2018[[#This Row],[Stald_kode]]+Dataark_til_bilag2_2018[[#This Row],[Dyr_Kode]]</f>
        <v>121813</v>
      </c>
      <c r="I54" s="4347">
        <v>0</v>
      </c>
      <c r="J54" s="2766" t="s">
        <v>1977</v>
      </c>
      <c r="K54" s="2766"/>
      <c r="L54" s="2767">
        <v>2.65</v>
      </c>
      <c r="M54" s="2767">
        <f>11/100</f>
        <v>0.11</v>
      </c>
      <c r="N54" s="2760">
        <f>IFERROR(Dataark_til_bilag2_2018[[#This Row],[Antal dyr]]*Dataark_til_bilag2_2018[[#This Row],[Gødning (g) pr. dyr (ton)]]," ")</f>
        <v>0</v>
      </c>
      <c r="O54" s="2767"/>
      <c r="P54" s="2759">
        <v>0</v>
      </c>
      <c r="Q54" s="2767"/>
      <c r="R54" s="2769">
        <v>18</v>
      </c>
      <c r="S54" s="2769">
        <v>181</v>
      </c>
      <c r="T54" s="2769">
        <v>221.69972602739728</v>
      </c>
      <c r="U54" s="2769">
        <v>11.50027397260274</v>
      </c>
      <c r="V54" s="2769">
        <v>12.5</v>
      </c>
      <c r="W54" s="2769">
        <v>0.18</v>
      </c>
      <c r="X54" s="2769">
        <v>3.5154900000000002</v>
      </c>
      <c r="Y54" s="2762">
        <f t="shared" si="1"/>
        <v>0</v>
      </c>
    </row>
    <row r="55" spans="1:25" x14ac:dyDescent="0.25">
      <c r="A55" s="2770" t="s">
        <v>1980</v>
      </c>
      <c r="B55" s="2766">
        <v>1206</v>
      </c>
      <c r="C55" s="2766" t="s">
        <v>2800</v>
      </c>
      <c r="D55" s="2766" t="s">
        <v>330</v>
      </c>
      <c r="E55" s="2766" t="s">
        <v>1990</v>
      </c>
      <c r="F55" s="2766" t="s">
        <v>354</v>
      </c>
      <c r="G55" s="2766">
        <v>120609</v>
      </c>
      <c r="H55" s="2766">
        <f>Dataark_til_bilag2_2018[[#This Row],[Stald_kode]]+Dataark_til_bilag2_2018[[#This Row],[Dyr_Kode]]</f>
        <v>121815</v>
      </c>
      <c r="I55" s="4347">
        <v>0</v>
      </c>
      <c r="J55" s="2766" t="s">
        <v>1977</v>
      </c>
      <c r="K55" s="2766"/>
      <c r="L55" s="2767">
        <v>6.44</v>
      </c>
      <c r="M55" s="2767">
        <f>12.3/100</f>
        <v>0.12300000000000001</v>
      </c>
      <c r="N55" s="2760">
        <f>IFERROR(Dataark_til_bilag2_2018[[#This Row],[Antal dyr]]*Dataark_til_bilag2_2018[[#This Row],[Gødning (g) pr. dyr (ton)]]," ")</f>
        <v>0</v>
      </c>
      <c r="O55" s="2767"/>
      <c r="P55" s="2759">
        <v>0</v>
      </c>
      <c r="Q55" s="2767"/>
      <c r="R55" s="2769">
        <v>18</v>
      </c>
      <c r="S55" s="2769">
        <v>181</v>
      </c>
      <c r="T55" s="2769">
        <v>602.4452383561644</v>
      </c>
      <c r="U55" s="2769">
        <v>31.250761643835617</v>
      </c>
      <c r="V55" s="2769">
        <v>12.5</v>
      </c>
      <c r="W55" s="2769">
        <v>0.18</v>
      </c>
      <c r="X55" s="2769">
        <v>9.5529671999999994</v>
      </c>
      <c r="Y55" s="2762">
        <f t="shared" si="1"/>
        <v>0</v>
      </c>
    </row>
    <row r="56" spans="1:25" x14ac:dyDescent="0.25">
      <c r="A56" s="2770" t="s">
        <v>1980</v>
      </c>
      <c r="B56" s="2766">
        <v>1206</v>
      </c>
      <c r="C56" s="2766" t="s">
        <v>2011</v>
      </c>
      <c r="D56" s="2766" t="s">
        <v>330</v>
      </c>
      <c r="E56" s="2766" t="s">
        <v>1995</v>
      </c>
      <c r="F56" s="2766" t="s">
        <v>354</v>
      </c>
      <c r="G56" s="2766">
        <v>120610</v>
      </c>
      <c r="H56" s="2766">
        <f>Dataark_til_bilag2_2018[[#This Row],[Stald_kode]]+Dataark_til_bilag2_2018[[#This Row],[Dyr_Kode]]</f>
        <v>121816</v>
      </c>
      <c r="I56" s="4347">
        <v>0</v>
      </c>
      <c r="J56" s="2766" t="s">
        <v>1977</v>
      </c>
      <c r="K56" s="2766"/>
      <c r="L56" s="2767">
        <v>6.44</v>
      </c>
      <c r="M56" s="2767">
        <f>12.3/100</f>
        <v>0.12300000000000001</v>
      </c>
      <c r="N56" s="2760">
        <f>IFERROR(Dataark_til_bilag2_2018[[#This Row],[Antal dyr]]*Dataark_til_bilag2_2018[[#This Row],[Gødning (g) pr. dyr (ton)]]," ")</f>
        <v>0</v>
      </c>
      <c r="O56" s="2767"/>
      <c r="P56" s="2759">
        <v>0</v>
      </c>
      <c r="Q56" s="2767"/>
      <c r="R56" s="2769">
        <v>18</v>
      </c>
      <c r="S56" s="2769">
        <v>181</v>
      </c>
      <c r="T56" s="2769">
        <v>602.4452383561644</v>
      </c>
      <c r="U56" s="2769">
        <v>31.250761643835617</v>
      </c>
      <c r="V56" s="2769">
        <v>12.5</v>
      </c>
      <c r="W56" s="2769">
        <v>0.18</v>
      </c>
      <c r="X56" s="2769">
        <v>9.5529671999999994</v>
      </c>
      <c r="Y56" s="2762">
        <f t="shared" si="1"/>
        <v>0</v>
      </c>
    </row>
    <row r="57" spans="1:25" x14ac:dyDescent="0.25">
      <c r="A57" s="2770" t="s">
        <v>1980</v>
      </c>
      <c r="B57" s="2766">
        <v>1206</v>
      </c>
      <c r="C57" s="2766" t="s">
        <v>2011</v>
      </c>
      <c r="D57" s="2766" t="s">
        <v>330</v>
      </c>
      <c r="E57" s="2766" t="s">
        <v>1982</v>
      </c>
      <c r="F57" s="2766" t="s">
        <v>354</v>
      </c>
      <c r="G57" s="2766">
        <v>120611</v>
      </c>
      <c r="H57" s="2766">
        <f>Dataark_til_bilag2_2018[[#This Row],[Stald_kode]]+Dataark_til_bilag2_2018[[#This Row],[Dyr_Kode]]</f>
        <v>121817</v>
      </c>
      <c r="I57" s="4347">
        <v>0</v>
      </c>
      <c r="J57" s="2766" t="s">
        <v>1977</v>
      </c>
      <c r="K57" s="2766"/>
      <c r="L57" s="2767">
        <v>6.44</v>
      </c>
      <c r="M57" s="2767">
        <f>12.3/100</f>
        <v>0.12300000000000001</v>
      </c>
      <c r="N57" s="2760">
        <f>IFERROR(Dataark_til_bilag2_2018[[#This Row],[Antal dyr]]*Dataark_til_bilag2_2018[[#This Row],[Gødning (g) pr. dyr (ton)]]," ")</f>
        <v>0</v>
      </c>
      <c r="O57" s="2767"/>
      <c r="P57" s="2759">
        <v>0</v>
      </c>
      <c r="Q57" s="2767"/>
      <c r="R57" s="2769">
        <v>18</v>
      </c>
      <c r="S57" s="2769">
        <v>181</v>
      </c>
      <c r="T57" s="2769">
        <v>602.4452383561644</v>
      </c>
      <c r="U57" s="2769">
        <v>31.250761643835617</v>
      </c>
      <c r="V57" s="2769">
        <v>12.5</v>
      </c>
      <c r="W57" s="2769">
        <v>0.18</v>
      </c>
      <c r="X57" s="2769">
        <v>9.5529671999999994</v>
      </c>
      <c r="Y57" s="2762">
        <f t="shared" si="1"/>
        <v>0</v>
      </c>
    </row>
    <row r="58" spans="1:25" s="2775" customFormat="1" x14ac:dyDescent="0.25">
      <c r="A58" s="2770" t="s">
        <v>1980</v>
      </c>
      <c r="B58" s="2766">
        <v>1206</v>
      </c>
      <c r="C58" s="2766" t="s">
        <v>2011</v>
      </c>
      <c r="D58" s="2766" t="s">
        <v>330</v>
      </c>
      <c r="E58" s="2766" t="s">
        <v>1994</v>
      </c>
      <c r="F58" s="2766" t="s">
        <v>354</v>
      </c>
      <c r="G58" s="2766">
        <v>120612</v>
      </c>
      <c r="H58" s="2766">
        <f>Dataark_til_bilag2_2018[[#This Row],[Stald_kode]]+Dataark_til_bilag2_2018[[#This Row],[Dyr_Kode]]</f>
        <v>121818</v>
      </c>
      <c r="I58" s="4347">
        <v>0</v>
      </c>
      <c r="J58" s="2766" t="s">
        <v>1977</v>
      </c>
      <c r="K58" s="2766"/>
      <c r="L58" s="2767">
        <v>6.44</v>
      </c>
      <c r="M58" s="2767">
        <f>12.3/100</f>
        <v>0.12300000000000001</v>
      </c>
      <c r="N58" s="2760">
        <f>IFERROR(Dataark_til_bilag2_2018[[#This Row],[Antal dyr]]*Dataark_til_bilag2_2018[[#This Row],[Gødning (g) pr. dyr (ton)]]," ")</f>
        <v>0</v>
      </c>
      <c r="O58" s="2767"/>
      <c r="P58" s="2759">
        <v>0</v>
      </c>
      <c r="Q58" s="2767"/>
      <c r="R58" s="2769">
        <v>18</v>
      </c>
      <c r="S58" s="2769">
        <v>181</v>
      </c>
      <c r="T58" s="2769">
        <v>602.4452383561644</v>
      </c>
      <c r="U58" s="2769">
        <v>31.250761643835617</v>
      </c>
      <c r="V58" s="2769">
        <v>12.5</v>
      </c>
      <c r="W58" s="2769">
        <v>0.18</v>
      </c>
      <c r="X58" s="2769">
        <v>9.5529671999999994</v>
      </c>
      <c r="Y58" s="2762">
        <f t="shared" si="1"/>
        <v>0</v>
      </c>
    </row>
    <row r="59" spans="1:25" x14ac:dyDescent="0.25">
      <c r="A59" s="2770" t="s">
        <v>1980</v>
      </c>
      <c r="B59" s="2766">
        <v>1206</v>
      </c>
      <c r="C59" s="2766" t="s">
        <v>2011</v>
      </c>
      <c r="D59" s="2766" t="s">
        <v>330</v>
      </c>
      <c r="E59" s="2766" t="s">
        <v>1996</v>
      </c>
      <c r="F59" s="2766" t="s">
        <v>353</v>
      </c>
      <c r="G59" s="2766">
        <v>120619</v>
      </c>
      <c r="H59" s="2766">
        <f>Dataark_til_bilag2_2018[[#This Row],[Stald_kode]]+Dataark_til_bilag2_2018[[#This Row],[Dyr_Kode]]</f>
        <v>121825</v>
      </c>
      <c r="I59" s="4347">
        <v>0</v>
      </c>
      <c r="J59" s="2766" t="s">
        <v>1977</v>
      </c>
      <c r="K59" s="2766"/>
      <c r="L59" s="2767">
        <v>7.28</v>
      </c>
      <c r="M59" s="2767">
        <f>10/100</f>
        <v>0.1</v>
      </c>
      <c r="N59" s="2760">
        <f>IFERROR(Dataark_til_bilag2_2018[[#This Row],[Antal dyr]]*Dataark_til_bilag2_2018[[#This Row],[Gødning (g) pr. dyr (ton)]]," ")</f>
        <v>0</v>
      </c>
      <c r="O59" s="2767"/>
      <c r="P59" s="2759">
        <v>0</v>
      </c>
      <c r="Q59" s="2767"/>
      <c r="R59" s="2769">
        <v>18</v>
      </c>
      <c r="S59" s="2769">
        <v>181</v>
      </c>
      <c r="T59" s="2769">
        <v>553.6789041095891</v>
      </c>
      <c r="U59" s="2769">
        <v>28.721095890410965</v>
      </c>
      <c r="V59" s="2769">
        <v>12.5</v>
      </c>
      <c r="W59" s="2769">
        <v>0.18</v>
      </c>
      <c r="X59" s="2769">
        <v>8.7796800000000008</v>
      </c>
      <c r="Y59" s="2762">
        <f t="shared" si="1"/>
        <v>0</v>
      </c>
    </row>
    <row r="60" spans="1:25" x14ac:dyDescent="0.25">
      <c r="A60" s="2770" t="s">
        <v>1980</v>
      </c>
      <c r="B60" s="2766">
        <v>1231</v>
      </c>
      <c r="C60" s="2766" t="s">
        <v>2010</v>
      </c>
      <c r="D60" s="2766" t="s">
        <v>341</v>
      </c>
      <c r="E60" s="2766" t="s">
        <v>1989</v>
      </c>
      <c r="F60" s="2766" t="s">
        <v>639</v>
      </c>
      <c r="G60" s="2766">
        <v>123101</v>
      </c>
      <c r="H60" s="2766">
        <f>Dataark_til_bilag2_2018[[#This Row],[Stald_kode]]+Dataark_til_bilag2_2018[[#This Row],[Dyr_Kode]]</f>
        <v>124332</v>
      </c>
      <c r="I60" s="4347">
        <v>0</v>
      </c>
      <c r="J60" s="2766" t="s">
        <v>1903</v>
      </c>
      <c r="K60" s="2766"/>
      <c r="L60" s="2767">
        <v>9.9</v>
      </c>
      <c r="M60" s="2767">
        <v>0.2</v>
      </c>
      <c r="N60" s="2760">
        <f>IFERROR(Dataark_til_bilag2_2018[[#This Row],[Antal dyr]]*Dataark_til_bilag2_2018[[#This Row],[Gødning (g) pr. dyr (ton)]]," ")</f>
        <v>0</v>
      </c>
      <c r="O60" s="2768"/>
      <c r="P60" s="2759">
        <v>0</v>
      </c>
      <c r="Q60" s="2767"/>
      <c r="R60" s="2769">
        <v>18</v>
      </c>
      <c r="S60" s="2769">
        <v>181</v>
      </c>
      <c r="T60" s="2769">
        <v>1505.8849315068494</v>
      </c>
      <c r="U60" s="2769">
        <v>78.115068493150702</v>
      </c>
      <c r="V60" s="2769">
        <v>2</v>
      </c>
      <c r="W60" s="2769">
        <v>0.24</v>
      </c>
      <c r="X60" s="2769">
        <v>5.094144</v>
      </c>
      <c r="Y60" s="2762">
        <f t="shared" si="1"/>
        <v>0</v>
      </c>
    </row>
    <row r="61" spans="1:25" x14ac:dyDescent="0.25">
      <c r="A61" s="2770" t="s">
        <v>1980</v>
      </c>
      <c r="B61" s="2766">
        <v>1231</v>
      </c>
      <c r="C61" s="2766" t="s">
        <v>2010</v>
      </c>
      <c r="D61" s="2766" t="s">
        <v>341</v>
      </c>
      <c r="E61" s="2766" t="s">
        <v>1988</v>
      </c>
      <c r="F61" s="2766" t="s">
        <v>639</v>
      </c>
      <c r="G61" s="2766">
        <v>123102</v>
      </c>
      <c r="H61" s="2766">
        <f>Dataark_til_bilag2_2018[[#This Row],[Stald_kode]]+Dataark_til_bilag2_2018[[#This Row],[Dyr_Kode]]</f>
        <v>124333</v>
      </c>
      <c r="I61" s="4347">
        <v>0</v>
      </c>
      <c r="J61" s="2766" t="s">
        <v>1977</v>
      </c>
      <c r="K61" s="2766"/>
      <c r="L61" s="2767">
        <v>26.29</v>
      </c>
      <c r="M61" s="2767">
        <v>8.6999999999999994E-2</v>
      </c>
      <c r="N61" s="2760">
        <f>IFERROR(Dataark_til_bilag2_2018[[#This Row],[Antal dyr]]*Dataark_til_bilag2_2018[[#This Row],[Gødning (g) pr. dyr (ton)]]," ")</f>
        <v>0</v>
      </c>
      <c r="O61" s="2768"/>
      <c r="P61" s="2759">
        <v>0</v>
      </c>
      <c r="Q61" s="2767"/>
      <c r="R61" s="2769">
        <v>18</v>
      </c>
      <c r="S61" s="2769">
        <v>181</v>
      </c>
      <c r="T61" s="2769">
        <v>1739.5480767123286</v>
      </c>
      <c r="U61" s="2769">
        <v>90.235923287671227</v>
      </c>
      <c r="V61" s="2769">
        <v>12.5</v>
      </c>
      <c r="W61" s="2769">
        <v>0.24</v>
      </c>
      <c r="X61" s="2769">
        <v>36.778658399999991</v>
      </c>
      <c r="Y61" s="2762">
        <f t="shared" si="1"/>
        <v>0</v>
      </c>
    </row>
    <row r="62" spans="1:25" x14ac:dyDescent="0.25">
      <c r="A62" s="2770" t="s">
        <v>1980</v>
      </c>
      <c r="B62" s="2766">
        <v>1231</v>
      </c>
      <c r="C62" s="2766" t="s">
        <v>2010</v>
      </c>
      <c r="D62" s="2766" t="s">
        <v>341</v>
      </c>
      <c r="E62" s="2766" t="s">
        <v>1995</v>
      </c>
      <c r="F62" s="2766" t="s">
        <v>354</v>
      </c>
      <c r="G62" s="2766">
        <v>123103</v>
      </c>
      <c r="H62" s="2766">
        <f>Dataark_til_bilag2_2018[[#This Row],[Stald_kode]]+Dataark_til_bilag2_2018[[#This Row],[Dyr_Kode]]</f>
        <v>124334</v>
      </c>
      <c r="I62" s="4347">
        <v>0</v>
      </c>
      <c r="J62" s="2766" t="s">
        <v>1977</v>
      </c>
      <c r="K62" s="2766"/>
      <c r="L62" s="2767">
        <v>26.14</v>
      </c>
      <c r="M62" s="2767">
        <v>8.6999999999999994E-2</v>
      </c>
      <c r="N62" s="2760">
        <f>IFERROR(Dataark_til_bilag2_2018[[#This Row],[Antal dyr]]*Dataark_til_bilag2_2018[[#This Row],[Gødning (g) pr. dyr (ton)]]," ")</f>
        <v>0</v>
      </c>
      <c r="O62" s="2768"/>
      <c r="P62" s="2759">
        <v>0</v>
      </c>
      <c r="Q62" s="2767"/>
      <c r="R62" s="2769">
        <v>18</v>
      </c>
      <c r="S62" s="2769">
        <v>181</v>
      </c>
      <c r="T62" s="2769">
        <v>1729.6229260273974</v>
      </c>
      <c r="U62" s="2769">
        <v>89.721073972602738</v>
      </c>
      <c r="V62" s="2769">
        <v>12.5</v>
      </c>
      <c r="W62" s="2769">
        <v>0.24</v>
      </c>
      <c r="X62" s="2769">
        <v>36.568814400000008</v>
      </c>
      <c r="Y62" s="2762">
        <f t="shared" si="1"/>
        <v>0</v>
      </c>
    </row>
    <row r="63" spans="1:25" x14ac:dyDescent="0.25">
      <c r="A63" s="2770" t="s">
        <v>1980</v>
      </c>
      <c r="B63" s="2766">
        <v>1231</v>
      </c>
      <c r="C63" s="2766" t="s">
        <v>2010</v>
      </c>
      <c r="D63" s="2766" t="s">
        <v>341</v>
      </c>
      <c r="E63" s="2766" t="s">
        <v>2003</v>
      </c>
      <c r="F63" s="2766" t="s">
        <v>354</v>
      </c>
      <c r="G63" s="2766">
        <v>123104</v>
      </c>
      <c r="H63" s="2766">
        <f>Dataark_til_bilag2_2018[[#This Row],[Stald_kode]]+Dataark_til_bilag2_2018[[#This Row],[Dyr_Kode]]</f>
        <v>124335</v>
      </c>
      <c r="I63" s="4347">
        <v>0</v>
      </c>
      <c r="J63" s="2766" t="s">
        <v>1977</v>
      </c>
      <c r="K63" s="2766"/>
      <c r="L63" s="2767">
        <v>24.16</v>
      </c>
      <c r="M63" s="2767">
        <v>0.08</v>
      </c>
      <c r="N63" s="2760">
        <f>IFERROR(Dataark_til_bilag2_2018[[#This Row],[Antal dyr]]*Dataark_til_bilag2_2018[[#This Row],[Gødning (g) pr. dyr (ton)]]," ")</f>
        <v>0</v>
      </c>
      <c r="O63" s="2768"/>
      <c r="P63" s="2759">
        <v>0</v>
      </c>
      <c r="Q63" s="2767"/>
      <c r="R63" s="2769">
        <v>18</v>
      </c>
      <c r="S63" s="2769">
        <v>181</v>
      </c>
      <c r="T63" s="2769">
        <v>1469.9870684931507</v>
      </c>
      <c r="U63" s="2769">
        <v>76.252931506849308</v>
      </c>
      <c r="V63" s="2769">
        <v>12.5</v>
      </c>
      <c r="W63" s="2769">
        <v>0.24</v>
      </c>
      <c r="X63" s="2769">
        <v>31.079423999999999</v>
      </c>
      <c r="Y63" s="2762">
        <f t="shared" si="1"/>
        <v>0</v>
      </c>
    </row>
    <row r="64" spans="1:25" s="2775" customFormat="1" x14ac:dyDescent="0.25">
      <c r="A64" s="2770" t="s">
        <v>1980</v>
      </c>
      <c r="B64" s="2766">
        <v>1231</v>
      </c>
      <c r="C64" s="2766" t="s">
        <v>2010</v>
      </c>
      <c r="D64" s="2766" t="s">
        <v>341</v>
      </c>
      <c r="E64" s="2766" t="s">
        <v>2002</v>
      </c>
      <c r="F64" s="2766" t="s">
        <v>354</v>
      </c>
      <c r="G64" s="2766">
        <v>123105</v>
      </c>
      <c r="H64" s="2766">
        <f>Dataark_til_bilag2_2018[[#This Row],[Stald_kode]]+Dataark_til_bilag2_2018[[#This Row],[Dyr_Kode]]</f>
        <v>124336</v>
      </c>
      <c r="I64" s="4347">
        <v>0</v>
      </c>
      <c r="J64" s="2766" t="s">
        <v>1977</v>
      </c>
      <c r="K64" s="2766"/>
      <c r="L64" s="2767">
        <v>26.14</v>
      </c>
      <c r="M64" s="2767">
        <v>0.08</v>
      </c>
      <c r="N64" s="2760">
        <f>IFERROR(Dataark_til_bilag2_2018[[#This Row],[Antal dyr]]*Dataark_til_bilag2_2018[[#This Row],[Gødning (g) pr. dyr (ton)]]," ")</f>
        <v>0</v>
      </c>
      <c r="O64" s="2768"/>
      <c r="P64" s="2759">
        <v>0</v>
      </c>
      <c r="Q64" s="2767"/>
      <c r="R64" s="2769">
        <v>18</v>
      </c>
      <c r="S64" s="2769">
        <v>181</v>
      </c>
      <c r="T64" s="2769">
        <v>1590.4578630136987</v>
      </c>
      <c r="U64" s="2769">
        <v>82.502136986301366</v>
      </c>
      <c r="V64" s="2769">
        <v>12.5</v>
      </c>
      <c r="W64" s="2769">
        <v>0.24</v>
      </c>
      <c r="X64" s="2769">
        <v>33.626495999999996</v>
      </c>
      <c r="Y64" s="2762">
        <f t="shared" si="1"/>
        <v>0</v>
      </c>
    </row>
    <row r="65" spans="1:25" x14ac:dyDescent="0.25">
      <c r="A65" s="2770" t="s">
        <v>1980</v>
      </c>
      <c r="B65" s="2766">
        <v>1231</v>
      </c>
      <c r="C65" s="2766" t="s">
        <v>2010</v>
      </c>
      <c r="D65" s="2766" t="s">
        <v>341</v>
      </c>
      <c r="E65" s="2766" t="s">
        <v>2006</v>
      </c>
      <c r="F65" s="2766" t="s">
        <v>350</v>
      </c>
      <c r="G65" s="2766">
        <v>123106</v>
      </c>
      <c r="H65" s="2766">
        <f>Dataark_til_bilag2_2018[[#This Row],[Stald_kode]]+Dataark_til_bilag2_2018[[#This Row],[Dyr_Kode]]</f>
        <v>124337</v>
      </c>
      <c r="I65" s="4347">
        <v>0</v>
      </c>
      <c r="J65" s="2766"/>
      <c r="K65" s="2766" t="s">
        <v>350</v>
      </c>
      <c r="L65" s="2767"/>
      <c r="M65" s="2767"/>
      <c r="N65" s="2760">
        <f>IFERROR(Dataark_til_bilag2_2018[[#This Row],[Antal dyr]]*Dataark_til_bilag2_2018[[#This Row],[Gødning (g) pr. dyr (ton)]]," ")</f>
        <v>0</v>
      </c>
      <c r="O65" s="2767">
        <v>13.42</v>
      </c>
      <c r="P65" s="2759">
        <v>0</v>
      </c>
      <c r="Q65" s="2767">
        <v>0.3</v>
      </c>
      <c r="R65" s="2769">
        <v>132</v>
      </c>
      <c r="S65" s="2769">
        <v>181</v>
      </c>
      <c r="T65" s="2769">
        <v>2568.8654079452058</v>
      </c>
      <c r="U65" s="2769">
        <v>1164.7824657534247</v>
      </c>
      <c r="V65" s="2769">
        <v>17</v>
      </c>
      <c r="W65" s="2769">
        <v>0.24</v>
      </c>
      <c r="X65" s="2769">
        <v>102.06299827542576</v>
      </c>
      <c r="Y65" s="2762">
        <f t="shared" si="1"/>
        <v>0</v>
      </c>
    </row>
    <row r="66" spans="1:25" x14ac:dyDescent="0.25">
      <c r="A66" s="2770" t="s">
        <v>1980</v>
      </c>
      <c r="B66" s="2766">
        <v>1231</v>
      </c>
      <c r="C66" s="2766" t="s">
        <v>2010</v>
      </c>
      <c r="D66" s="2766" t="s">
        <v>341</v>
      </c>
      <c r="E66" s="2766" t="s">
        <v>1985</v>
      </c>
      <c r="F66" s="2766" t="s">
        <v>350</v>
      </c>
      <c r="G66" s="2766">
        <v>123107</v>
      </c>
      <c r="H66" s="2766">
        <f>Dataark_til_bilag2_2018[[#This Row],[Stald_kode]]+Dataark_til_bilag2_2018[[#This Row],[Dyr_Kode]]</f>
        <v>124338</v>
      </c>
      <c r="I66" s="4347">
        <v>0</v>
      </c>
      <c r="J66" s="2766" t="s">
        <v>1977</v>
      </c>
      <c r="K66" s="2766"/>
      <c r="L66" s="2767">
        <v>11.55</v>
      </c>
      <c r="M66" s="2767">
        <v>6.9000000000000006E-2</v>
      </c>
      <c r="N66" s="2760">
        <f>IFERROR(Dataark_til_bilag2_2018[[#This Row],[Antal dyr]]*Dataark_til_bilag2_2018[[#This Row],[Gødning (g) pr. dyr (ton)]]," ")</f>
        <v>0</v>
      </c>
      <c r="O66" s="2768"/>
      <c r="P66" s="2759">
        <v>0</v>
      </c>
      <c r="Q66" s="2767"/>
      <c r="R66" s="2769">
        <v>18</v>
      </c>
      <c r="S66" s="2769">
        <v>181</v>
      </c>
      <c r="T66" s="2769">
        <v>606.11868493150689</v>
      </c>
      <c r="U66" s="2769">
        <v>31.441315068493154</v>
      </c>
      <c r="V66" s="2769">
        <v>12.5</v>
      </c>
      <c r="W66" s="2769">
        <v>0.24</v>
      </c>
      <c r="X66" s="2769">
        <v>12.814956000000002</v>
      </c>
      <c r="Y66" s="2762">
        <f t="shared" si="1"/>
        <v>0</v>
      </c>
    </row>
    <row r="67" spans="1:25" x14ac:dyDescent="0.25">
      <c r="A67" s="2770" t="s">
        <v>1980</v>
      </c>
      <c r="B67" s="2766">
        <v>1231</v>
      </c>
      <c r="C67" s="2766" t="s">
        <v>2010</v>
      </c>
      <c r="D67" s="2766" t="s">
        <v>341</v>
      </c>
      <c r="E67" s="2766" t="s">
        <v>1984</v>
      </c>
      <c r="F67" s="2766" t="s">
        <v>350</v>
      </c>
      <c r="G67" s="2766">
        <v>123108</v>
      </c>
      <c r="H67" s="2766">
        <f>Dataark_til_bilag2_2018[[#This Row],[Stald_kode]]+Dataark_til_bilag2_2018[[#This Row],[Dyr_Kode]]</f>
        <v>124339</v>
      </c>
      <c r="I67" s="4347">
        <v>0</v>
      </c>
      <c r="J67" s="2766" t="s">
        <v>1977</v>
      </c>
      <c r="K67" s="2766"/>
      <c r="L67" s="2767">
        <v>11.55</v>
      </c>
      <c r="M67" s="2767">
        <v>6.9000000000000006E-2</v>
      </c>
      <c r="N67" s="2760">
        <f>IFERROR(Dataark_til_bilag2_2018[[#This Row],[Antal dyr]]*Dataark_til_bilag2_2018[[#This Row],[Gødning (g) pr. dyr (ton)]]," ")</f>
        <v>0</v>
      </c>
      <c r="O67" s="2768"/>
      <c r="P67" s="2759">
        <v>0</v>
      </c>
      <c r="Q67" s="2767"/>
      <c r="R67" s="2769">
        <v>18</v>
      </c>
      <c r="S67" s="2769">
        <v>181</v>
      </c>
      <c r="T67" s="2769">
        <v>606.11868493150689</v>
      </c>
      <c r="U67" s="2769">
        <v>31.441315068493154</v>
      </c>
      <c r="V67" s="2769">
        <v>12.5</v>
      </c>
      <c r="W67" s="2769">
        <v>0.24</v>
      </c>
      <c r="X67" s="2769">
        <v>12.814956000000002</v>
      </c>
      <c r="Y67" s="2762">
        <f t="shared" si="1"/>
        <v>0</v>
      </c>
    </row>
    <row r="68" spans="1:25" x14ac:dyDescent="0.25">
      <c r="A68" s="2770" t="s">
        <v>1980</v>
      </c>
      <c r="B68" s="2766">
        <v>1231</v>
      </c>
      <c r="C68" s="2766" t="s">
        <v>2010</v>
      </c>
      <c r="D68" s="2766" t="s">
        <v>341</v>
      </c>
      <c r="E68" s="2766" t="s">
        <v>1983</v>
      </c>
      <c r="F68" s="2766" t="s">
        <v>350</v>
      </c>
      <c r="G68" s="2766">
        <v>123109</v>
      </c>
      <c r="H68" s="2766">
        <f>Dataark_til_bilag2_2018[[#This Row],[Stald_kode]]+Dataark_til_bilag2_2018[[#This Row],[Dyr_Kode]]</f>
        <v>124340</v>
      </c>
      <c r="I68" s="4347">
        <v>0</v>
      </c>
      <c r="J68" s="2766" t="s">
        <v>1977</v>
      </c>
      <c r="K68" s="2766"/>
      <c r="L68" s="2767">
        <v>11.55</v>
      </c>
      <c r="M68" s="2767">
        <v>6.9000000000000006E-2</v>
      </c>
      <c r="N68" s="2760">
        <f>IFERROR(Dataark_til_bilag2_2018[[#This Row],[Antal dyr]]*Dataark_til_bilag2_2018[[#This Row],[Gødning (g) pr. dyr (ton)]]," ")</f>
        <v>0</v>
      </c>
      <c r="O68" s="2768"/>
      <c r="P68" s="2759">
        <v>0</v>
      </c>
      <c r="Q68" s="2767"/>
      <c r="R68" s="2769">
        <v>18</v>
      </c>
      <c r="S68" s="2769">
        <v>181</v>
      </c>
      <c r="T68" s="2769">
        <v>606.11868493150689</v>
      </c>
      <c r="U68" s="2769">
        <v>31.441315068493154</v>
      </c>
      <c r="V68" s="2769">
        <v>12.5</v>
      </c>
      <c r="W68" s="2769">
        <v>0.24</v>
      </c>
      <c r="X68" s="2769">
        <v>12.814956000000002</v>
      </c>
      <c r="Y68" s="2762">
        <f t="shared" si="1"/>
        <v>0</v>
      </c>
    </row>
    <row r="69" spans="1:25" x14ac:dyDescent="0.25">
      <c r="A69" s="2770" t="s">
        <v>1980</v>
      </c>
      <c r="B69" s="2766">
        <v>1231</v>
      </c>
      <c r="C69" s="2766" t="s">
        <v>2010</v>
      </c>
      <c r="D69" s="2766" t="s">
        <v>341</v>
      </c>
      <c r="E69" s="2766" t="s">
        <v>1990</v>
      </c>
      <c r="F69" s="2766" t="s">
        <v>354</v>
      </c>
      <c r="G69" s="2766">
        <v>123114</v>
      </c>
      <c r="H69" s="2766">
        <f>Dataark_til_bilag2_2018[[#This Row],[Stald_kode]]+Dataark_til_bilag2_2018[[#This Row],[Dyr_Kode]]</f>
        <v>124345</v>
      </c>
      <c r="I69" s="4347">
        <v>0</v>
      </c>
      <c r="J69" s="2766" t="s">
        <v>1977</v>
      </c>
      <c r="K69" s="2766"/>
      <c r="L69" s="2767">
        <v>24.14</v>
      </c>
      <c r="M69" s="2767">
        <v>0.08</v>
      </c>
      <c r="N69" s="2760">
        <f>IFERROR(Dataark_til_bilag2_2018[[#This Row],[Antal dyr]]*Dataark_til_bilag2_2018[[#This Row],[Gødning (g) pr. dyr (ton)]]," ")</f>
        <v>0</v>
      </c>
      <c r="O69" s="2768"/>
      <c r="P69" s="2759">
        <v>0</v>
      </c>
      <c r="Q69" s="2767"/>
      <c r="R69" s="2769">
        <v>18</v>
      </c>
      <c r="S69" s="2769">
        <v>181</v>
      </c>
      <c r="T69" s="2769">
        <v>1468.770191780822</v>
      </c>
      <c r="U69" s="2769">
        <v>76.18980821917809</v>
      </c>
      <c r="V69" s="2769">
        <v>12.5</v>
      </c>
      <c r="W69" s="2769">
        <v>0.24</v>
      </c>
      <c r="X69" s="2769">
        <v>31.053695999999999</v>
      </c>
      <c r="Y69" s="2762">
        <f t="shared" ref="Y69:Y100" si="2">IFERROR(IFERROR((X69*I69)/1000,(X69*I68)/1000),"-")</f>
        <v>0</v>
      </c>
    </row>
    <row r="70" spans="1:25" x14ac:dyDescent="0.25">
      <c r="A70" s="2770" t="s">
        <v>1980</v>
      </c>
      <c r="B70" s="2766">
        <v>1232</v>
      </c>
      <c r="C70" s="2766" t="s">
        <v>2798</v>
      </c>
      <c r="D70" s="2766" t="s">
        <v>340</v>
      </c>
      <c r="E70" s="2766" t="s">
        <v>2006</v>
      </c>
      <c r="F70" s="2766" t="s">
        <v>350</v>
      </c>
      <c r="G70" s="2766">
        <v>123201</v>
      </c>
      <c r="H70" s="2766">
        <f>Dataark_til_bilag2_2018[[#This Row],[Stald_kode]]+Dataark_til_bilag2_2018[[#This Row],[Dyr_Kode]]</f>
        <v>124433</v>
      </c>
      <c r="I70" s="4347">
        <v>5.97</v>
      </c>
      <c r="J70" s="2766"/>
      <c r="K70" s="2766" t="s">
        <v>350</v>
      </c>
      <c r="L70" s="2767"/>
      <c r="M70" s="2767"/>
      <c r="N70" s="2760">
        <f>IFERROR(Dataark_til_bilag2_2018[[#This Row],[Antal dyr]]*Dataark_til_bilag2_2018[[#This Row],[Gødning (g) pr. dyr (ton)]]," ")</f>
        <v>0</v>
      </c>
      <c r="O70" s="2767">
        <v>1.48</v>
      </c>
      <c r="P70" s="2759">
        <v>8.8355999999999995</v>
      </c>
      <c r="Q70" s="2767">
        <v>0.3</v>
      </c>
      <c r="R70" s="2769">
        <v>224</v>
      </c>
      <c r="S70" s="2769">
        <v>224</v>
      </c>
      <c r="T70" s="2769">
        <v>171.44062520547948</v>
      </c>
      <c r="U70" s="2769">
        <v>217.98575342465756</v>
      </c>
      <c r="V70" s="2769">
        <v>17</v>
      </c>
      <c r="W70" s="2769">
        <v>0.18</v>
      </c>
      <c r="X70" s="2769">
        <v>7.9840196146750699</v>
      </c>
      <c r="Y70" s="2762">
        <f t="shared" si="2"/>
        <v>4.7664597099610163E-2</v>
      </c>
    </row>
    <row r="71" spans="1:25" x14ac:dyDescent="0.25">
      <c r="A71" s="2770" t="s">
        <v>1980</v>
      </c>
      <c r="B71" s="2766">
        <v>1232</v>
      </c>
      <c r="C71" s="2766" t="s">
        <v>2798</v>
      </c>
      <c r="D71" s="2766" t="s">
        <v>340</v>
      </c>
      <c r="E71" s="2766" t="s">
        <v>2004</v>
      </c>
      <c r="F71" s="2766" t="s">
        <v>350</v>
      </c>
      <c r="G71" s="2766">
        <v>123202</v>
      </c>
      <c r="H71" s="2766">
        <f>Dataark_til_bilag2_2018[[#This Row],[Stald_kode]]+Dataark_til_bilag2_2018[[#This Row],[Dyr_Kode]]</f>
        <v>124434</v>
      </c>
      <c r="I71" s="4347">
        <v>0</v>
      </c>
      <c r="J71" s="2766"/>
      <c r="K71" s="2766" t="s">
        <v>350</v>
      </c>
      <c r="L71" s="2767"/>
      <c r="M71" s="2767"/>
      <c r="N71" s="2760">
        <f>IFERROR(Dataark_til_bilag2_2018[[#This Row],[Antal dyr]]*Dataark_til_bilag2_2018[[#This Row],[Gødning (g) pr. dyr (ton)]]," ")</f>
        <v>0</v>
      </c>
      <c r="O71" s="2767">
        <v>1.48</v>
      </c>
      <c r="P71" s="2759">
        <v>0</v>
      </c>
      <c r="Q71" s="2767">
        <v>0.3</v>
      </c>
      <c r="R71" s="2769">
        <v>224</v>
      </c>
      <c r="S71" s="2769">
        <v>224</v>
      </c>
      <c r="T71" s="2769">
        <v>171.44062520547948</v>
      </c>
      <c r="U71" s="2769">
        <v>217.98575342465756</v>
      </c>
      <c r="V71" s="2769">
        <v>17</v>
      </c>
      <c r="W71" s="2769">
        <v>0.18</v>
      </c>
      <c r="X71" s="2769">
        <v>7.9840196146750699</v>
      </c>
      <c r="Y71" s="2762">
        <f t="shared" si="2"/>
        <v>0</v>
      </c>
    </row>
    <row r="72" spans="1:25" x14ac:dyDescent="0.25">
      <c r="A72" s="2770" t="s">
        <v>1980</v>
      </c>
      <c r="B72" s="2766">
        <v>1233</v>
      </c>
      <c r="C72" s="2766" t="s">
        <v>2791</v>
      </c>
      <c r="D72" s="2766" t="s">
        <v>336</v>
      </c>
      <c r="E72" s="2766" t="s">
        <v>1989</v>
      </c>
      <c r="F72" s="2766" t="s">
        <v>639</v>
      </c>
      <c r="G72" s="2766">
        <v>123301</v>
      </c>
      <c r="H72" s="2766">
        <f>Dataark_til_bilag2_2018[[#This Row],[Stald_kode]]+Dataark_til_bilag2_2018[[#This Row],[Dyr_Kode]]</f>
        <v>124534</v>
      </c>
      <c r="I72" s="4347">
        <v>0</v>
      </c>
      <c r="J72" s="2766" t="s">
        <v>1903</v>
      </c>
      <c r="K72" s="2766"/>
      <c r="L72" s="2767">
        <v>3.36</v>
      </c>
      <c r="M72" s="2767">
        <v>0.186</v>
      </c>
      <c r="N72" s="2760">
        <f>IFERROR(Dataark_til_bilag2_2018[[#This Row],[Antal dyr]]*Dataark_til_bilag2_2018[[#This Row],[Gødning (g) pr. dyr (ton)]]," ")</f>
        <v>0</v>
      </c>
      <c r="O72" s="2768"/>
      <c r="P72" s="2759">
        <v>0</v>
      </c>
      <c r="Q72" s="2767"/>
      <c r="R72" s="2769">
        <v>132</v>
      </c>
      <c r="S72" s="2769">
        <v>181</v>
      </c>
      <c r="T72" s="2769">
        <v>319.15765479452057</v>
      </c>
      <c r="U72" s="2769">
        <v>180.81034520547942</v>
      </c>
      <c r="V72" s="2769">
        <v>2</v>
      </c>
      <c r="W72" s="2769">
        <v>0.18</v>
      </c>
      <c r="X72" s="2769">
        <v>1.205922816</v>
      </c>
      <c r="Y72" s="2762">
        <f t="shared" si="2"/>
        <v>0</v>
      </c>
    </row>
    <row r="73" spans="1:25" x14ac:dyDescent="0.25">
      <c r="A73" s="2770" t="s">
        <v>1980</v>
      </c>
      <c r="B73" s="2766">
        <v>1233</v>
      </c>
      <c r="C73" s="2766" t="s">
        <v>2791</v>
      </c>
      <c r="D73" s="2766" t="s">
        <v>336</v>
      </c>
      <c r="E73" s="2766" t="s">
        <v>1988</v>
      </c>
      <c r="F73" s="2766" t="s">
        <v>639</v>
      </c>
      <c r="G73" s="2766">
        <v>123302</v>
      </c>
      <c r="H73" s="2766">
        <f>Dataark_til_bilag2_2018[[#This Row],[Stald_kode]]+Dataark_til_bilag2_2018[[#This Row],[Dyr_Kode]]</f>
        <v>124535</v>
      </c>
      <c r="I73" s="4347">
        <v>0</v>
      </c>
      <c r="J73" s="2766" t="s">
        <v>1977</v>
      </c>
      <c r="K73" s="2766"/>
      <c r="L73" s="2767">
        <v>5.31</v>
      </c>
      <c r="M73" s="2767">
        <v>0.127</v>
      </c>
      <c r="N73" s="2760">
        <f>IFERROR(Dataark_til_bilag2_2018[[#This Row],[Antal dyr]]*Dataark_til_bilag2_2018[[#This Row],[Gødning (g) pr. dyr (ton)]]," ")</f>
        <v>0</v>
      </c>
      <c r="O73" s="2768"/>
      <c r="P73" s="2759">
        <v>0</v>
      </c>
      <c r="Q73" s="2767"/>
      <c r="R73" s="2769">
        <v>132</v>
      </c>
      <c r="S73" s="2769">
        <v>181</v>
      </c>
      <c r="T73" s="2769">
        <v>344.39059726027403</v>
      </c>
      <c r="U73" s="2769">
        <v>195.10540273972606</v>
      </c>
      <c r="V73" s="2769">
        <v>12.5</v>
      </c>
      <c r="W73" s="2769">
        <v>0.18</v>
      </c>
      <c r="X73" s="2769">
        <v>8.132902200000002</v>
      </c>
      <c r="Y73" s="2762">
        <f t="shared" si="2"/>
        <v>0</v>
      </c>
    </row>
    <row r="74" spans="1:25" x14ac:dyDescent="0.25">
      <c r="A74" s="2770" t="s">
        <v>1980</v>
      </c>
      <c r="B74" s="2766">
        <v>1233</v>
      </c>
      <c r="C74" s="2766" t="s">
        <v>2791</v>
      </c>
      <c r="D74" s="2766" t="s">
        <v>336</v>
      </c>
      <c r="E74" s="2766" t="s">
        <v>1995</v>
      </c>
      <c r="F74" s="2766" t="s">
        <v>354</v>
      </c>
      <c r="G74" s="2766">
        <v>123303</v>
      </c>
      <c r="H74" s="2766">
        <f>Dataark_til_bilag2_2018[[#This Row],[Stald_kode]]+Dataark_til_bilag2_2018[[#This Row],[Dyr_Kode]]</f>
        <v>124536</v>
      </c>
      <c r="I74" s="4347">
        <v>0</v>
      </c>
      <c r="J74" s="2766" t="s">
        <v>1977</v>
      </c>
      <c r="K74" s="2766"/>
      <c r="L74" s="2767">
        <v>4.6399999999999997</v>
      </c>
      <c r="M74" s="2767">
        <v>0.127</v>
      </c>
      <c r="N74" s="2760">
        <f>IFERROR(Dataark_til_bilag2_2018[[#This Row],[Antal dyr]]*Dataark_til_bilag2_2018[[#This Row],[Gødning (g) pr. dyr (ton)]]," ")</f>
        <v>0</v>
      </c>
      <c r="O74" s="2768"/>
      <c r="P74" s="2759">
        <v>0</v>
      </c>
      <c r="Q74" s="2767"/>
      <c r="R74" s="2769">
        <v>132</v>
      </c>
      <c r="S74" s="2769">
        <v>181</v>
      </c>
      <c r="T74" s="2769">
        <v>300.93641643835616</v>
      </c>
      <c r="U74" s="2769">
        <v>170.48758356164385</v>
      </c>
      <c r="V74" s="2769">
        <v>12.5</v>
      </c>
      <c r="W74" s="2769">
        <v>0.18</v>
      </c>
      <c r="X74" s="2769">
        <v>7.1067168000000009</v>
      </c>
      <c r="Y74" s="2762">
        <f t="shared" si="2"/>
        <v>0</v>
      </c>
    </row>
    <row r="75" spans="1:25" x14ac:dyDescent="0.25">
      <c r="A75" s="2770" t="s">
        <v>1980</v>
      </c>
      <c r="B75" s="2766">
        <v>1233</v>
      </c>
      <c r="C75" s="2766" t="s">
        <v>2791</v>
      </c>
      <c r="D75" s="2766" t="s">
        <v>336</v>
      </c>
      <c r="E75" s="2766" t="s">
        <v>1982</v>
      </c>
      <c r="F75" s="2766" t="s">
        <v>354</v>
      </c>
      <c r="G75" s="2766">
        <v>123304</v>
      </c>
      <c r="H75" s="2766">
        <f>Dataark_til_bilag2_2018[[#This Row],[Stald_kode]]+Dataark_til_bilag2_2018[[#This Row],[Dyr_Kode]]</f>
        <v>124537</v>
      </c>
      <c r="I75" s="4347">
        <v>0</v>
      </c>
      <c r="J75" s="2766" t="s">
        <v>1977</v>
      </c>
      <c r="K75" s="2766"/>
      <c r="L75" s="2767">
        <v>4.6399999999999997</v>
      </c>
      <c r="M75" s="2767">
        <v>0.127</v>
      </c>
      <c r="N75" s="2760">
        <f>IFERROR(Dataark_til_bilag2_2018[[#This Row],[Antal dyr]]*Dataark_til_bilag2_2018[[#This Row],[Gødning (g) pr. dyr (ton)]]," ")</f>
        <v>0</v>
      </c>
      <c r="O75" s="2768"/>
      <c r="P75" s="2759">
        <v>0</v>
      </c>
      <c r="Q75" s="2767"/>
      <c r="R75" s="2769">
        <v>132</v>
      </c>
      <c r="S75" s="2769">
        <v>181</v>
      </c>
      <c r="T75" s="2769">
        <v>300.93641643835616</v>
      </c>
      <c r="U75" s="2769">
        <v>170.48758356164385</v>
      </c>
      <c r="V75" s="2769">
        <v>12.5</v>
      </c>
      <c r="W75" s="2769">
        <v>0.18</v>
      </c>
      <c r="X75" s="2769">
        <v>7.1067168000000009</v>
      </c>
      <c r="Y75" s="2762">
        <f t="shared" si="2"/>
        <v>0</v>
      </c>
    </row>
    <row r="76" spans="1:25" x14ac:dyDescent="0.25">
      <c r="A76" s="2770" t="s">
        <v>1980</v>
      </c>
      <c r="B76" s="2766">
        <v>1233</v>
      </c>
      <c r="C76" s="2766" t="s">
        <v>2791</v>
      </c>
      <c r="D76" s="2766" t="s">
        <v>336</v>
      </c>
      <c r="E76" s="2766" t="s">
        <v>1994</v>
      </c>
      <c r="F76" s="2766" t="s">
        <v>354</v>
      </c>
      <c r="G76" s="2766">
        <v>123305</v>
      </c>
      <c r="H76" s="2766">
        <f>Dataark_til_bilag2_2018[[#This Row],[Stald_kode]]+Dataark_til_bilag2_2018[[#This Row],[Dyr_Kode]]</f>
        <v>124538</v>
      </c>
      <c r="I76" s="4347">
        <v>0</v>
      </c>
      <c r="J76" s="2766" t="s">
        <v>1977</v>
      </c>
      <c r="K76" s="2766"/>
      <c r="L76" s="2767">
        <v>4.6399999999999997</v>
      </c>
      <c r="M76" s="2767">
        <v>0.127</v>
      </c>
      <c r="N76" s="2760">
        <f>IFERROR(Dataark_til_bilag2_2018[[#This Row],[Antal dyr]]*Dataark_til_bilag2_2018[[#This Row],[Gødning (g) pr. dyr (ton)]]," ")</f>
        <v>0</v>
      </c>
      <c r="O76" s="2768"/>
      <c r="P76" s="2759">
        <v>0</v>
      </c>
      <c r="Q76" s="2767"/>
      <c r="R76" s="2769">
        <v>132</v>
      </c>
      <c r="S76" s="2769">
        <v>181</v>
      </c>
      <c r="T76" s="2769">
        <v>300.93641643835616</v>
      </c>
      <c r="U76" s="2769">
        <v>170.48758356164385</v>
      </c>
      <c r="V76" s="2769">
        <v>12.5</v>
      </c>
      <c r="W76" s="2769">
        <v>0.18</v>
      </c>
      <c r="X76" s="2769">
        <v>7.1067168000000009</v>
      </c>
      <c r="Y76" s="2762">
        <f t="shared" si="2"/>
        <v>0</v>
      </c>
    </row>
    <row r="77" spans="1:25" x14ac:dyDescent="0.25">
      <c r="A77" s="2770" t="s">
        <v>1980</v>
      </c>
      <c r="B77" s="2766">
        <v>1233</v>
      </c>
      <c r="C77" s="2766" t="s">
        <v>2791</v>
      </c>
      <c r="D77" s="2766" t="s">
        <v>336</v>
      </c>
      <c r="E77" s="2766" t="s">
        <v>1987</v>
      </c>
      <c r="F77" s="2766" t="s">
        <v>350</v>
      </c>
      <c r="G77" s="2766">
        <v>123306</v>
      </c>
      <c r="H77" s="2766">
        <f>Dataark_til_bilag2_2018[[#This Row],[Stald_kode]]+Dataark_til_bilag2_2018[[#This Row],[Dyr_Kode]]</f>
        <v>124539</v>
      </c>
      <c r="I77" s="4347">
        <v>72.56</v>
      </c>
      <c r="J77" s="2766"/>
      <c r="K77" s="2766" t="s">
        <v>350</v>
      </c>
      <c r="L77" s="2767"/>
      <c r="M77" s="2767"/>
      <c r="N77" s="2760">
        <f>IFERROR(Dataark_til_bilag2_2018[[#This Row],[Antal dyr]]*Dataark_til_bilag2_2018[[#This Row],[Gødning (g) pr. dyr (ton)]]," ")</f>
        <v>0</v>
      </c>
      <c r="O77" s="2767">
        <v>4.45</v>
      </c>
      <c r="P77" s="2759">
        <v>322.892</v>
      </c>
      <c r="Q77" s="2767">
        <v>0.3</v>
      </c>
      <c r="R77" s="2769">
        <v>132</v>
      </c>
      <c r="S77" s="2769">
        <v>181</v>
      </c>
      <c r="T77" s="2769">
        <v>851.82198698630134</v>
      </c>
      <c r="U77" s="2769">
        <v>386.23561643835615</v>
      </c>
      <c r="V77" s="2769">
        <v>17</v>
      </c>
      <c r="W77" s="2769">
        <v>0.18</v>
      </c>
      <c r="X77" s="2769">
        <v>25.382656985412329</v>
      </c>
      <c r="Y77" s="2762">
        <f t="shared" si="2"/>
        <v>1.8417655908615187</v>
      </c>
    </row>
    <row r="78" spans="1:25" x14ac:dyDescent="0.25">
      <c r="A78" s="2770" t="s">
        <v>1980</v>
      </c>
      <c r="B78" s="2766">
        <v>1233</v>
      </c>
      <c r="C78" s="2766" t="s">
        <v>2791</v>
      </c>
      <c r="D78" s="2766" t="s">
        <v>336</v>
      </c>
      <c r="E78" s="2766" t="s">
        <v>2008</v>
      </c>
      <c r="F78" s="2766" t="s">
        <v>350</v>
      </c>
      <c r="G78" s="2766">
        <v>123307</v>
      </c>
      <c r="H78" s="2766">
        <f>Dataark_til_bilag2_2018[[#This Row],[Stald_kode]]+Dataark_til_bilag2_2018[[#This Row],[Dyr_Kode]]</f>
        <v>124540</v>
      </c>
      <c r="I78" s="4347">
        <v>0</v>
      </c>
      <c r="J78" s="2766"/>
      <c r="K78" s="2766" t="s">
        <v>350</v>
      </c>
      <c r="L78" s="2767"/>
      <c r="M78" s="2767"/>
      <c r="N78" s="2760">
        <f>IFERROR(Dataark_til_bilag2_2018[[#This Row],[Antal dyr]]*Dataark_til_bilag2_2018[[#This Row],[Gødning (g) pr. dyr (ton)]]," ")</f>
        <v>0</v>
      </c>
      <c r="O78" s="2767">
        <v>3.82</v>
      </c>
      <c r="P78" s="2759">
        <v>0</v>
      </c>
      <c r="Q78" s="2767">
        <v>0.3</v>
      </c>
      <c r="R78" s="2769">
        <v>132</v>
      </c>
      <c r="S78" s="2769">
        <v>181</v>
      </c>
      <c r="T78" s="2769">
        <v>731.22696410958906</v>
      </c>
      <c r="U78" s="2769">
        <v>331.55506849315071</v>
      </c>
      <c r="V78" s="2769">
        <v>17</v>
      </c>
      <c r="W78" s="2769">
        <v>0.18</v>
      </c>
      <c r="X78" s="2769">
        <v>21.78915723242137</v>
      </c>
      <c r="Y78" s="2762">
        <f t="shared" si="2"/>
        <v>0</v>
      </c>
    </row>
    <row r="79" spans="1:25" x14ac:dyDescent="0.25">
      <c r="A79" s="2770" t="s">
        <v>1980</v>
      </c>
      <c r="B79" s="2766">
        <v>1233</v>
      </c>
      <c r="C79" s="2766" t="s">
        <v>2791</v>
      </c>
      <c r="D79" s="2766" t="s">
        <v>336</v>
      </c>
      <c r="E79" s="2766" t="s">
        <v>1985</v>
      </c>
      <c r="F79" s="2766" t="s">
        <v>350</v>
      </c>
      <c r="G79" s="2766">
        <v>123308</v>
      </c>
      <c r="H79" s="2766">
        <f>Dataark_til_bilag2_2018[[#This Row],[Stald_kode]]+Dataark_til_bilag2_2018[[#This Row],[Dyr_Kode]]</f>
        <v>124541</v>
      </c>
      <c r="I79" s="4347">
        <v>0</v>
      </c>
      <c r="J79" s="2766" t="s">
        <v>1977</v>
      </c>
      <c r="K79" s="2766"/>
      <c r="L79" s="2767">
        <v>2.1</v>
      </c>
      <c r="M79" s="2767">
        <v>0.104</v>
      </c>
      <c r="N79" s="2760">
        <f>IFERROR(Dataark_til_bilag2_2018[[#This Row],[Antal dyr]]*Dataark_til_bilag2_2018[[#This Row],[Gødning (g) pr. dyr (ton)]]," ")</f>
        <v>0</v>
      </c>
      <c r="O79" s="2768"/>
      <c r="P79" s="2759">
        <v>0</v>
      </c>
      <c r="Q79" s="2767"/>
      <c r="R79" s="2769">
        <v>132</v>
      </c>
      <c r="S79" s="2769">
        <v>181</v>
      </c>
      <c r="T79" s="2769">
        <v>111.53358904109589</v>
      </c>
      <c r="U79" s="2769">
        <v>63.186410958904112</v>
      </c>
      <c r="V79" s="2769">
        <v>12.5</v>
      </c>
      <c r="W79" s="2769">
        <v>0.18</v>
      </c>
      <c r="X79" s="2769">
        <v>2.6339040000000002</v>
      </c>
      <c r="Y79" s="2762">
        <f t="shared" si="2"/>
        <v>0</v>
      </c>
    </row>
    <row r="80" spans="1:25" x14ac:dyDescent="0.25">
      <c r="A80" s="2770" t="s">
        <v>1980</v>
      </c>
      <c r="B80" s="2766">
        <v>1233</v>
      </c>
      <c r="C80" s="2766" t="s">
        <v>2791</v>
      </c>
      <c r="D80" s="2766" t="s">
        <v>336</v>
      </c>
      <c r="E80" s="2766" t="s">
        <v>1984</v>
      </c>
      <c r="F80" s="2766" t="s">
        <v>350</v>
      </c>
      <c r="G80" s="2766">
        <v>123309</v>
      </c>
      <c r="H80" s="2766">
        <f>Dataark_til_bilag2_2018[[#This Row],[Stald_kode]]+Dataark_til_bilag2_2018[[#This Row],[Dyr_Kode]]</f>
        <v>124542</v>
      </c>
      <c r="I80" s="4347">
        <v>0</v>
      </c>
      <c r="J80" s="2766" t="s">
        <v>1977</v>
      </c>
      <c r="K80" s="2766"/>
      <c r="L80" s="2767">
        <v>2.1</v>
      </c>
      <c r="M80" s="2767">
        <v>0.104</v>
      </c>
      <c r="N80" s="2760">
        <f>IFERROR(Dataark_til_bilag2_2018[[#This Row],[Antal dyr]]*Dataark_til_bilag2_2018[[#This Row],[Gødning (g) pr. dyr (ton)]]," ")</f>
        <v>0</v>
      </c>
      <c r="O80" s="2768"/>
      <c r="P80" s="2759">
        <v>0</v>
      </c>
      <c r="Q80" s="2767"/>
      <c r="R80" s="2769">
        <v>132</v>
      </c>
      <c r="S80" s="2769">
        <v>181</v>
      </c>
      <c r="T80" s="2769">
        <v>111.53358904109589</v>
      </c>
      <c r="U80" s="2769">
        <v>63.186410958904112</v>
      </c>
      <c r="V80" s="2769">
        <v>12.5</v>
      </c>
      <c r="W80" s="2769">
        <v>0.18</v>
      </c>
      <c r="X80" s="2769">
        <v>2.6339040000000002</v>
      </c>
      <c r="Y80" s="2762">
        <f t="shared" si="2"/>
        <v>0</v>
      </c>
    </row>
    <row r="81" spans="1:25" x14ac:dyDescent="0.25">
      <c r="A81" s="2770" t="s">
        <v>1980</v>
      </c>
      <c r="B81" s="2766">
        <v>1233</v>
      </c>
      <c r="C81" s="2766" t="s">
        <v>2791</v>
      </c>
      <c r="D81" s="2766" t="s">
        <v>336</v>
      </c>
      <c r="E81" s="2766" t="s">
        <v>1983</v>
      </c>
      <c r="F81" s="2766" t="s">
        <v>350</v>
      </c>
      <c r="G81" s="2766">
        <v>123310</v>
      </c>
      <c r="H81" s="2766">
        <f>Dataark_til_bilag2_2018[[#This Row],[Stald_kode]]+Dataark_til_bilag2_2018[[#This Row],[Dyr_Kode]]</f>
        <v>124543</v>
      </c>
      <c r="I81" s="4347">
        <v>0</v>
      </c>
      <c r="J81" s="2766" t="s">
        <v>1977</v>
      </c>
      <c r="K81" s="2766"/>
      <c r="L81" s="2767">
        <v>2.1</v>
      </c>
      <c r="M81" s="2767">
        <v>0.104</v>
      </c>
      <c r="N81" s="2760">
        <f>IFERROR(Dataark_til_bilag2_2018[[#This Row],[Antal dyr]]*Dataark_til_bilag2_2018[[#This Row],[Gødning (g) pr. dyr (ton)]]," ")</f>
        <v>0</v>
      </c>
      <c r="O81" s="2768"/>
      <c r="P81" s="2759">
        <v>0</v>
      </c>
      <c r="Q81" s="2767"/>
      <c r="R81" s="2769">
        <v>132</v>
      </c>
      <c r="S81" s="2769">
        <v>181</v>
      </c>
      <c r="T81" s="2769">
        <v>111.53358904109589</v>
      </c>
      <c r="U81" s="2769">
        <v>63.186410958904112</v>
      </c>
      <c r="V81" s="2769">
        <v>12.5</v>
      </c>
      <c r="W81" s="2769">
        <v>0.18</v>
      </c>
      <c r="X81" s="2769">
        <v>2.6339040000000002</v>
      </c>
      <c r="Y81" s="2762">
        <f t="shared" si="2"/>
        <v>0</v>
      </c>
    </row>
    <row r="82" spans="1:25" s="2775" customFormat="1" x14ac:dyDescent="0.25">
      <c r="A82" s="2770" t="s">
        <v>1980</v>
      </c>
      <c r="B82" s="2766">
        <v>1233</v>
      </c>
      <c r="C82" s="2766" t="s">
        <v>2791</v>
      </c>
      <c r="D82" s="2766" t="s">
        <v>336</v>
      </c>
      <c r="E82" s="2766" t="s">
        <v>1996</v>
      </c>
      <c r="F82" s="2766" t="s">
        <v>353</v>
      </c>
      <c r="G82" s="2766">
        <v>123312</v>
      </c>
      <c r="H82" s="2766">
        <f>Dataark_til_bilag2_2018[[#This Row],[Stald_kode]]+Dataark_til_bilag2_2018[[#This Row],[Dyr_Kode]]</f>
        <v>124545</v>
      </c>
      <c r="I82" s="4347">
        <v>0</v>
      </c>
      <c r="J82" s="2766" t="s">
        <v>1977</v>
      </c>
      <c r="K82" s="2766"/>
      <c r="L82" s="2767">
        <v>5.46</v>
      </c>
      <c r="M82" s="2767">
        <v>0.1</v>
      </c>
      <c r="N82" s="2760">
        <f>IFERROR(Dataark_til_bilag2_2018[[#This Row],[Antal dyr]]*Dataark_til_bilag2_2018[[#This Row],[Gødning (g) pr. dyr (ton)]]," ")</f>
        <v>0</v>
      </c>
      <c r="O82" s="2768"/>
      <c r="P82" s="2759">
        <v>0</v>
      </c>
      <c r="Q82" s="2767"/>
      <c r="R82" s="2769">
        <v>132</v>
      </c>
      <c r="S82" s="2769">
        <v>181</v>
      </c>
      <c r="T82" s="2769">
        <v>278.83397260273972</v>
      </c>
      <c r="U82" s="2769">
        <v>157.96602739726026</v>
      </c>
      <c r="V82" s="2769">
        <v>12.5</v>
      </c>
      <c r="W82" s="2769">
        <v>0.18</v>
      </c>
      <c r="X82" s="2769">
        <v>6.5847599999999993</v>
      </c>
      <c r="Y82" s="2762">
        <f t="shared" si="2"/>
        <v>0</v>
      </c>
    </row>
    <row r="83" spans="1:25" x14ac:dyDescent="0.25">
      <c r="A83" s="2770" t="s">
        <v>1980</v>
      </c>
      <c r="B83" s="2766">
        <v>1233</v>
      </c>
      <c r="C83" s="2766" t="s">
        <v>2791</v>
      </c>
      <c r="D83" s="2766" t="s">
        <v>336</v>
      </c>
      <c r="E83" s="2766" t="s">
        <v>1990</v>
      </c>
      <c r="F83" s="2766" t="s">
        <v>354</v>
      </c>
      <c r="G83" s="2766">
        <v>123316</v>
      </c>
      <c r="H83" s="2766">
        <f>Dataark_til_bilag2_2018[[#This Row],[Stald_kode]]+Dataark_til_bilag2_2018[[#This Row],[Dyr_Kode]]</f>
        <v>124549</v>
      </c>
      <c r="I83" s="4347">
        <v>0</v>
      </c>
      <c r="J83" s="2766" t="s">
        <v>1977</v>
      </c>
      <c r="K83" s="2766"/>
      <c r="L83" s="2767">
        <v>4.6399999999999997</v>
      </c>
      <c r="M83" s="2767">
        <v>0.127</v>
      </c>
      <c r="N83" s="2760">
        <f>IFERROR(Dataark_til_bilag2_2018[[#This Row],[Antal dyr]]*Dataark_til_bilag2_2018[[#This Row],[Gødning (g) pr. dyr (ton)]]," ")</f>
        <v>0</v>
      </c>
      <c r="O83" s="2768"/>
      <c r="P83" s="2759">
        <v>0</v>
      </c>
      <c r="Q83" s="2767"/>
      <c r="R83" s="2769">
        <v>132</v>
      </c>
      <c r="S83" s="2769">
        <v>181</v>
      </c>
      <c r="T83" s="2769">
        <v>300.93641643835616</v>
      </c>
      <c r="U83" s="2769">
        <v>170.48758356164385</v>
      </c>
      <c r="V83" s="2769">
        <v>12.5</v>
      </c>
      <c r="W83" s="2769">
        <v>0.18</v>
      </c>
      <c r="X83" s="2769">
        <v>7.1067168000000009</v>
      </c>
      <c r="Y83" s="2762">
        <f t="shared" si="2"/>
        <v>0</v>
      </c>
    </row>
    <row r="84" spans="1:25" x14ac:dyDescent="0.25">
      <c r="A84" s="2770" t="s">
        <v>1980</v>
      </c>
      <c r="B84" s="2766">
        <v>1234</v>
      </c>
      <c r="C84" s="2766" t="s">
        <v>2795</v>
      </c>
      <c r="D84" s="2766" t="s">
        <v>2794</v>
      </c>
      <c r="E84" s="2766" t="s">
        <v>2006</v>
      </c>
      <c r="F84" s="2766" t="s">
        <v>350</v>
      </c>
      <c r="G84" s="2766">
        <v>123401</v>
      </c>
      <c r="H84" s="2766">
        <f>Dataark_til_bilag2_2018[[#This Row],[Stald_kode]]+Dataark_til_bilag2_2018[[#This Row],[Dyr_Kode]]</f>
        <v>124635</v>
      </c>
      <c r="I84" s="4347">
        <v>8.31</v>
      </c>
      <c r="J84" s="2766"/>
      <c r="K84" s="2766" t="s">
        <v>350</v>
      </c>
      <c r="L84" s="2767"/>
      <c r="M84" s="2767"/>
      <c r="N84" s="2760">
        <f>IFERROR(Dataark_til_bilag2_2018[[#This Row],[Antal dyr]]*Dataark_til_bilag2_2018[[#This Row],[Gødning (g) pr. dyr (ton)]]," ")</f>
        <v>0</v>
      </c>
      <c r="O84" s="2767">
        <v>1.48</v>
      </c>
      <c r="P84" s="2759">
        <v>12.2988</v>
      </c>
      <c r="Q84" s="2767">
        <v>0.3</v>
      </c>
      <c r="R84" s="2769">
        <v>18</v>
      </c>
      <c r="S84" s="2769">
        <v>224</v>
      </c>
      <c r="T84" s="2769">
        <v>421.91416273972607</v>
      </c>
      <c r="U84" s="2769">
        <v>17.516712328767127</v>
      </c>
      <c r="V84" s="2769">
        <v>17</v>
      </c>
      <c r="W84" s="2769">
        <v>0.18</v>
      </c>
      <c r="X84" s="2769">
        <v>9.0092118006542474</v>
      </c>
      <c r="Y84" s="2762">
        <f t="shared" si="2"/>
        <v>7.4866550063436801E-2</v>
      </c>
    </row>
    <row r="85" spans="1:25" x14ac:dyDescent="0.25">
      <c r="A85" s="2770" t="s">
        <v>1980</v>
      </c>
      <c r="B85" s="2766">
        <v>1234</v>
      </c>
      <c r="C85" s="2766" t="s">
        <v>2795</v>
      </c>
      <c r="D85" s="2766" t="s">
        <v>2794</v>
      </c>
      <c r="E85" s="2766" t="s">
        <v>2004</v>
      </c>
      <c r="F85" s="2766" t="s">
        <v>350</v>
      </c>
      <c r="G85" s="2766">
        <v>123402</v>
      </c>
      <c r="H85" s="2766">
        <f>Dataark_til_bilag2_2018[[#This Row],[Stald_kode]]+Dataark_til_bilag2_2018[[#This Row],[Dyr_Kode]]</f>
        <v>124636</v>
      </c>
      <c r="I85" s="4347">
        <v>0</v>
      </c>
      <c r="J85" s="2766"/>
      <c r="K85" s="2766" t="s">
        <v>350</v>
      </c>
      <c r="L85" s="2767"/>
      <c r="M85" s="2767"/>
      <c r="N85" s="2760">
        <f>IFERROR(Dataark_til_bilag2_2018[[#This Row],[Antal dyr]]*Dataark_til_bilag2_2018[[#This Row],[Gødning (g) pr. dyr (ton)]]," ")</f>
        <v>0</v>
      </c>
      <c r="O85" s="2767">
        <v>1.48</v>
      </c>
      <c r="P85" s="2759">
        <v>0</v>
      </c>
      <c r="Q85" s="2767">
        <v>0.3</v>
      </c>
      <c r="R85" s="2769">
        <v>18</v>
      </c>
      <c r="S85" s="2769">
        <v>224</v>
      </c>
      <c r="T85" s="2769">
        <v>421.91416273972607</v>
      </c>
      <c r="U85" s="2769">
        <v>17.516712328767127</v>
      </c>
      <c r="V85" s="2769">
        <v>3</v>
      </c>
      <c r="W85" s="2769">
        <v>0.18</v>
      </c>
      <c r="X85" s="2769">
        <v>1.5898609059978084</v>
      </c>
      <c r="Y85" s="2762">
        <f t="shared" si="2"/>
        <v>0</v>
      </c>
    </row>
    <row r="86" spans="1:25" x14ac:dyDescent="0.25">
      <c r="A86" s="2770" t="s">
        <v>1980</v>
      </c>
      <c r="B86" s="2766">
        <v>1235</v>
      </c>
      <c r="C86" s="2766" t="s">
        <v>2799</v>
      </c>
      <c r="D86" s="2766" t="s">
        <v>2796</v>
      </c>
      <c r="E86" s="2766" t="s">
        <v>1989</v>
      </c>
      <c r="F86" s="2766" t="s">
        <v>639</v>
      </c>
      <c r="G86" s="2766">
        <v>123501</v>
      </c>
      <c r="H86" s="2766">
        <f>Dataark_til_bilag2_2018[[#This Row],[Stald_kode]]+Dataark_til_bilag2_2018[[#This Row],[Dyr_Kode]]</f>
        <v>124736</v>
      </c>
      <c r="I86" s="4347">
        <v>0</v>
      </c>
      <c r="J86" s="2766" t="s">
        <v>1903</v>
      </c>
      <c r="K86" s="2766"/>
      <c r="L86" s="2767">
        <v>1.48</v>
      </c>
      <c r="M86" s="2767">
        <f>21.1/100</f>
        <v>0.21100000000000002</v>
      </c>
      <c r="N86" s="2760">
        <f>IFERROR(Dataark_til_bilag2_2018[[#This Row],[Antal dyr]]*Dataark_til_bilag2_2018[[#This Row],[Gødning (g) pr. dyr (ton)]]," ")</f>
        <v>0</v>
      </c>
      <c r="O86" s="2768"/>
      <c r="P86" s="2759">
        <v>0</v>
      </c>
      <c r="Q86" s="2767"/>
      <c r="R86" s="2769">
        <v>18</v>
      </c>
      <c r="S86" s="2769">
        <v>181</v>
      </c>
      <c r="T86" s="2769">
        <v>237.5039123287672</v>
      </c>
      <c r="U86" s="2769">
        <v>12.32008767123288</v>
      </c>
      <c r="V86" s="2769">
        <v>2</v>
      </c>
      <c r="W86" s="2769">
        <v>0.18</v>
      </c>
      <c r="X86" s="2769">
        <v>0.60257548800000027</v>
      </c>
      <c r="Y86" s="2762">
        <f t="shared" si="2"/>
        <v>0</v>
      </c>
    </row>
    <row r="87" spans="1:25" x14ac:dyDescent="0.25">
      <c r="A87" s="2770" t="s">
        <v>1980</v>
      </c>
      <c r="B87" s="2766">
        <v>1235</v>
      </c>
      <c r="C87" s="2766" t="s">
        <v>2799</v>
      </c>
      <c r="D87" s="2766" t="s">
        <v>2796</v>
      </c>
      <c r="E87" s="2766" t="s">
        <v>1988</v>
      </c>
      <c r="F87" s="2766" t="s">
        <v>639</v>
      </c>
      <c r="G87" s="2766">
        <v>123502</v>
      </c>
      <c r="H87" s="2766">
        <f>Dataark_til_bilag2_2018[[#This Row],[Stald_kode]]+Dataark_til_bilag2_2018[[#This Row],[Dyr_Kode]]</f>
        <v>124737</v>
      </c>
      <c r="I87" s="4347">
        <v>0</v>
      </c>
      <c r="J87" s="2766" t="s">
        <v>1977</v>
      </c>
      <c r="K87" s="2766"/>
      <c r="L87" s="2767">
        <v>3.12</v>
      </c>
      <c r="M87" s="2767">
        <v>0.108</v>
      </c>
      <c r="N87" s="2760">
        <f>IFERROR(Dataark_til_bilag2_2018[[#This Row],[Antal dyr]]*Dataark_til_bilag2_2018[[#This Row],[Gødning (g) pr. dyr (ton)]]," ")</f>
        <v>0</v>
      </c>
      <c r="O87" s="2768"/>
      <c r="P87" s="2759">
        <v>0</v>
      </c>
      <c r="Q87" s="2767"/>
      <c r="R87" s="2769">
        <v>18</v>
      </c>
      <c r="S87" s="2769">
        <v>181</v>
      </c>
      <c r="T87" s="2769">
        <v>256.27423561643838</v>
      </c>
      <c r="U87" s="2769">
        <v>13.293764383561646</v>
      </c>
      <c r="V87" s="2769">
        <v>12.5</v>
      </c>
      <c r="W87" s="2769">
        <v>0.18</v>
      </c>
      <c r="X87" s="2769">
        <v>4.0637376000000005</v>
      </c>
      <c r="Y87" s="2762">
        <f t="shared" si="2"/>
        <v>0</v>
      </c>
    </row>
    <row r="88" spans="1:25" x14ac:dyDescent="0.25">
      <c r="A88" s="2770" t="s">
        <v>1980</v>
      </c>
      <c r="B88" s="2766">
        <v>1235</v>
      </c>
      <c r="C88" s="2766" t="s">
        <v>2799</v>
      </c>
      <c r="D88" s="2766" t="s">
        <v>2796</v>
      </c>
      <c r="E88" s="2766" t="s">
        <v>1987</v>
      </c>
      <c r="F88" s="2766" t="s">
        <v>350</v>
      </c>
      <c r="G88" s="2766">
        <v>123503</v>
      </c>
      <c r="H88" s="2766">
        <f>Dataark_til_bilag2_2018[[#This Row],[Stald_kode]]+Dataark_til_bilag2_2018[[#This Row],[Dyr_Kode]]</f>
        <v>124738</v>
      </c>
      <c r="I88" s="4347">
        <v>31.85</v>
      </c>
      <c r="J88" s="2766"/>
      <c r="K88" s="2766" t="s">
        <v>350</v>
      </c>
      <c r="L88" s="2767"/>
      <c r="M88" s="2767"/>
      <c r="N88" s="2760">
        <f>IFERROR(Dataark_til_bilag2_2018[[#This Row],[Antal dyr]]*Dataark_til_bilag2_2018[[#This Row],[Gødning (g) pr. dyr (ton)]]," ")</f>
        <v>0</v>
      </c>
      <c r="O88" s="2767">
        <v>1.95</v>
      </c>
      <c r="P88" s="2759">
        <v>62.107500000000002</v>
      </c>
      <c r="Q88" s="2767">
        <v>0.3</v>
      </c>
      <c r="R88" s="2769">
        <v>18</v>
      </c>
      <c r="S88" s="2769">
        <v>181</v>
      </c>
      <c r="T88" s="2769">
        <v>555.90041712328764</v>
      </c>
      <c r="U88" s="2769">
        <v>23.079452054794523</v>
      </c>
      <c r="V88" s="2769">
        <v>17</v>
      </c>
      <c r="W88" s="2769">
        <v>0.18</v>
      </c>
      <c r="X88" s="2769">
        <v>11.870245277889042</v>
      </c>
      <c r="Y88" s="2762">
        <f t="shared" si="2"/>
        <v>0.378067312100766</v>
      </c>
    </row>
    <row r="89" spans="1:25" x14ac:dyDescent="0.25">
      <c r="A89" s="2770" t="s">
        <v>1980</v>
      </c>
      <c r="B89" s="2766">
        <v>1235</v>
      </c>
      <c r="C89" s="2766" t="s">
        <v>2799</v>
      </c>
      <c r="D89" s="2766" t="s">
        <v>2796</v>
      </c>
      <c r="E89" s="2766" t="s">
        <v>2000</v>
      </c>
      <c r="F89" s="2766" t="s">
        <v>350</v>
      </c>
      <c r="G89" s="2766">
        <v>123504</v>
      </c>
      <c r="H89" s="2766">
        <f>Dataark_til_bilag2_2018[[#This Row],[Stald_kode]]+Dataark_til_bilag2_2018[[#This Row],[Dyr_Kode]]</f>
        <v>124739</v>
      </c>
      <c r="I89" s="4347">
        <v>0</v>
      </c>
      <c r="J89" s="2766"/>
      <c r="K89" s="2766" t="s">
        <v>350</v>
      </c>
      <c r="L89" s="2767"/>
      <c r="M89" s="2767"/>
      <c r="N89" s="2760">
        <f>IFERROR(Dataark_til_bilag2_2018[[#This Row],[Antal dyr]]*Dataark_til_bilag2_2018[[#This Row],[Gødning (g) pr. dyr (ton)]]," ")</f>
        <v>0</v>
      </c>
      <c r="O89" s="2767">
        <v>1.71</v>
      </c>
      <c r="P89" s="2759">
        <v>0</v>
      </c>
      <c r="Q89" s="2767">
        <v>0.3</v>
      </c>
      <c r="R89" s="2769">
        <v>18</v>
      </c>
      <c r="S89" s="2769">
        <v>181</v>
      </c>
      <c r="T89" s="2769">
        <v>487.48190424657531</v>
      </c>
      <c r="U89" s="2769">
        <v>20.23890410958904</v>
      </c>
      <c r="V89" s="2769">
        <v>3</v>
      </c>
      <c r="W89" s="2769">
        <v>0.18</v>
      </c>
      <c r="X89" s="2769">
        <v>1.8369338846326027</v>
      </c>
      <c r="Y89" s="2762">
        <f t="shared" si="2"/>
        <v>0</v>
      </c>
    </row>
    <row r="90" spans="1:25" x14ac:dyDescent="0.25">
      <c r="A90" s="2770" t="s">
        <v>1980</v>
      </c>
      <c r="B90" s="2766">
        <v>1235</v>
      </c>
      <c r="C90" s="2766" t="s">
        <v>2799</v>
      </c>
      <c r="D90" s="2766" t="s">
        <v>2796</v>
      </c>
      <c r="E90" s="2766" t="s">
        <v>1999</v>
      </c>
      <c r="F90" s="2766" t="s">
        <v>350</v>
      </c>
      <c r="G90" s="2766">
        <v>123505</v>
      </c>
      <c r="H90" s="2766">
        <f>Dataark_til_bilag2_2018[[#This Row],[Stald_kode]]+Dataark_til_bilag2_2018[[#This Row],[Dyr_Kode]]</f>
        <v>124740</v>
      </c>
      <c r="I90" s="4347">
        <v>0</v>
      </c>
      <c r="J90" s="2766" t="s">
        <v>1977</v>
      </c>
      <c r="K90" s="2766"/>
      <c r="L90" s="2767">
        <v>1.1399999999999999</v>
      </c>
      <c r="M90" s="2767">
        <v>8.4000000000000005E-2</v>
      </c>
      <c r="N90" s="2760">
        <f>IFERROR(Dataark_til_bilag2_2018[[#This Row],[Antal dyr]]*Dataark_til_bilag2_2018[[#This Row],[Gødning (g) pr. dyr (ton)]]," ")</f>
        <v>0</v>
      </c>
      <c r="O90" s="2768"/>
      <c r="P90" s="2759">
        <v>0</v>
      </c>
      <c r="Q90" s="2767"/>
      <c r="R90" s="2769">
        <v>18</v>
      </c>
      <c r="S90" s="2769">
        <v>181</v>
      </c>
      <c r="T90" s="2769">
        <v>72.830071232876719</v>
      </c>
      <c r="U90" s="2769">
        <v>3.7779287671232886</v>
      </c>
      <c r="V90" s="2769">
        <v>12.5</v>
      </c>
      <c r="W90" s="2769">
        <v>0.18</v>
      </c>
      <c r="X90" s="2769">
        <v>1.1548656000000002</v>
      </c>
      <c r="Y90" s="2762">
        <f t="shared" si="2"/>
        <v>0</v>
      </c>
    </row>
    <row r="91" spans="1:25" x14ac:dyDescent="0.25">
      <c r="A91" s="2770" t="s">
        <v>1980</v>
      </c>
      <c r="B91" s="2766">
        <v>1235</v>
      </c>
      <c r="C91" s="2766" t="s">
        <v>2799</v>
      </c>
      <c r="D91" s="2766" t="s">
        <v>2796</v>
      </c>
      <c r="E91" s="2766" t="s">
        <v>1998</v>
      </c>
      <c r="F91" s="2766" t="s">
        <v>350</v>
      </c>
      <c r="G91" s="2766">
        <v>123506</v>
      </c>
      <c r="H91" s="2766">
        <f>Dataark_til_bilag2_2018[[#This Row],[Stald_kode]]+Dataark_til_bilag2_2018[[#This Row],[Dyr_Kode]]</f>
        <v>124741</v>
      </c>
      <c r="I91" s="4347">
        <v>0</v>
      </c>
      <c r="J91" s="2766" t="s">
        <v>1977</v>
      </c>
      <c r="K91" s="2766"/>
      <c r="L91" s="2767">
        <v>1.1399999999999999</v>
      </c>
      <c r="M91" s="2767">
        <v>8.4000000000000005E-2</v>
      </c>
      <c r="N91" s="2760">
        <f>IFERROR(Dataark_til_bilag2_2018[[#This Row],[Antal dyr]]*Dataark_til_bilag2_2018[[#This Row],[Gødning (g) pr. dyr (ton)]]," ")</f>
        <v>0</v>
      </c>
      <c r="O91" s="2768"/>
      <c r="P91" s="2759">
        <v>0</v>
      </c>
      <c r="Q91" s="2767"/>
      <c r="R91" s="2769">
        <v>18</v>
      </c>
      <c r="S91" s="2769">
        <v>181</v>
      </c>
      <c r="T91" s="2769">
        <v>72.830071232876719</v>
      </c>
      <c r="U91" s="2769">
        <v>3.7779287671232886</v>
      </c>
      <c r="V91" s="2769">
        <v>12.5</v>
      </c>
      <c r="W91" s="2769">
        <v>0.18</v>
      </c>
      <c r="X91" s="2769">
        <v>1.1548656000000002</v>
      </c>
      <c r="Y91" s="2762">
        <f t="shared" si="2"/>
        <v>0</v>
      </c>
    </row>
    <row r="92" spans="1:25" x14ac:dyDescent="0.25">
      <c r="A92" s="2770" t="s">
        <v>1980</v>
      </c>
      <c r="B92" s="2766">
        <v>1235</v>
      </c>
      <c r="C92" s="2766" t="s">
        <v>2799</v>
      </c>
      <c r="D92" s="2766" t="s">
        <v>2796</v>
      </c>
      <c r="E92" s="2766" t="s">
        <v>1997</v>
      </c>
      <c r="F92" s="2766" t="s">
        <v>350</v>
      </c>
      <c r="G92" s="2766">
        <v>123507</v>
      </c>
      <c r="H92" s="2766">
        <f>Dataark_til_bilag2_2018[[#This Row],[Stald_kode]]+Dataark_til_bilag2_2018[[#This Row],[Dyr_Kode]]</f>
        <v>124742</v>
      </c>
      <c r="I92" s="4347">
        <v>0</v>
      </c>
      <c r="J92" s="2766" t="s">
        <v>1977</v>
      </c>
      <c r="K92" s="2766"/>
      <c r="L92" s="2767">
        <v>1.1399999999999999</v>
      </c>
      <c r="M92" s="2767">
        <v>8.4000000000000005E-2</v>
      </c>
      <c r="N92" s="2760">
        <f>IFERROR(Dataark_til_bilag2_2018[[#This Row],[Antal dyr]]*Dataark_til_bilag2_2018[[#This Row],[Gødning (g) pr. dyr (ton)]]," ")</f>
        <v>0</v>
      </c>
      <c r="O92" s="2768"/>
      <c r="P92" s="2759">
        <v>0</v>
      </c>
      <c r="Q92" s="2767"/>
      <c r="R92" s="2769">
        <v>18</v>
      </c>
      <c r="S92" s="2769">
        <v>181</v>
      </c>
      <c r="T92" s="2769">
        <v>72.830071232876719</v>
      </c>
      <c r="U92" s="2769">
        <v>3.7779287671232886</v>
      </c>
      <c r="V92" s="2769">
        <v>12.5</v>
      </c>
      <c r="W92" s="2769">
        <v>0.18</v>
      </c>
      <c r="X92" s="2769">
        <v>1.1548656000000002</v>
      </c>
      <c r="Y92" s="2762">
        <f t="shared" si="2"/>
        <v>0</v>
      </c>
    </row>
    <row r="93" spans="1:25" x14ac:dyDescent="0.25">
      <c r="A93" s="2770" t="s">
        <v>1980</v>
      </c>
      <c r="B93" s="2766">
        <v>1235</v>
      </c>
      <c r="C93" s="2766" t="s">
        <v>2799</v>
      </c>
      <c r="D93" s="2766" t="s">
        <v>2796</v>
      </c>
      <c r="E93" s="2766" t="s">
        <v>1996</v>
      </c>
      <c r="F93" s="2766" t="s">
        <v>353</v>
      </c>
      <c r="G93" s="2766">
        <v>123509</v>
      </c>
      <c r="H93" s="2766">
        <f>Dataark_til_bilag2_2018[[#This Row],[Stald_kode]]+Dataark_til_bilag2_2018[[#This Row],[Dyr_Kode]]</f>
        <v>124744</v>
      </c>
      <c r="I93" s="4347">
        <v>0</v>
      </c>
      <c r="J93" s="2766" t="s">
        <v>1977</v>
      </c>
      <c r="K93" s="2766"/>
      <c r="L93" s="2767">
        <v>2.4500000000000002</v>
      </c>
      <c r="M93" s="2767">
        <v>9.8000000000000004E-2</v>
      </c>
      <c r="N93" s="2760">
        <f>IFERROR(Dataark_til_bilag2_2018[[#This Row],[Antal dyr]]*Dataark_til_bilag2_2018[[#This Row],[Gødning (g) pr. dyr (ton)]]," ")</f>
        <v>0</v>
      </c>
      <c r="O93" s="2768"/>
      <c r="P93" s="2759">
        <v>0</v>
      </c>
      <c r="Q93" s="2767"/>
      <c r="R93" s="2769">
        <v>18</v>
      </c>
      <c r="S93" s="2769">
        <v>181</v>
      </c>
      <c r="T93" s="2769">
        <v>182.60756164383562</v>
      </c>
      <c r="U93" s="2769">
        <v>9.4724383561643837</v>
      </c>
      <c r="V93" s="2769">
        <v>12.5</v>
      </c>
      <c r="W93" s="2769">
        <v>0.18</v>
      </c>
      <c r="X93" s="2769">
        <v>2.8956060000000003</v>
      </c>
      <c r="Y93" s="2762">
        <f t="shared" si="2"/>
        <v>0</v>
      </c>
    </row>
    <row r="94" spans="1:25" x14ac:dyDescent="0.25">
      <c r="A94" s="2770" t="s">
        <v>1980</v>
      </c>
      <c r="B94" s="2766">
        <v>1235</v>
      </c>
      <c r="C94" s="2766" t="s">
        <v>2799</v>
      </c>
      <c r="D94" s="2766" t="s">
        <v>2796</v>
      </c>
      <c r="E94" s="2766" t="s">
        <v>1995</v>
      </c>
      <c r="F94" s="2766" t="s">
        <v>354</v>
      </c>
      <c r="G94" s="2766">
        <v>123513</v>
      </c>
      <c r="H94" s="2766">
        <f>Dataark_til_bilag2_2018[[#This Row],[Stald_kode]]+Dataark_til_bilag2_2018[[#This Row],[Dyr_Kode]]</f>
        <v>124748</v>
      </c>
      <c r="I94" s="4347">
        <v>0</v>
      </c>
      <c r="J94" s="2766" t="s">
        <v>1977</v>
      </c>
      <c r="K94" s="2766"/>
      <c r="L94" s="2767">
        <v>2.14</v>
      </c>
      <c r="M94" s="2767">
        <v>0.127</v>
      </c>
      <c r="N94" s="2760">
        <f>IFERROR(Dataark_til_bilag2_2018[[#This Row],[Antal dyr]]*Dataark_til_bilag2_2018[[#This Row],[Gødning (g) pr. dyr (ton)]]," ")</f>
        <v>0</v>
      </c>
      <c r="O94" s="2768"/>
      <c r="P94" s="2759">
        <v>0</v>
      </c>
      <c r="Q94" s="2767"/>
      <c r="R94" s="2769">
        <v>18</v>
      </c>
      <c r="S94" s="2769">
        <v>181</v>
      </c>
      <c r="T94" s="2769">
        <v>206.70172054794523</v>
      </c>
      <c r="U94" s="2769">
        <v>10.722279452054796</v>
      </c>
      <c r="V94" s="2769">
        <v>12.5</v>
      </c>
      <c r="W94" s="2769">
        <v>0.18</v>
      </c>
      <c r="X94" s="2769">
        <v>3.2776668000000004</v>
      </c>
      <c r="Y94" s="2762">
        <f t="shared" si="2"/>
        <v>0</v>
      </c>
    </row>
    <row r="95" spans="1:25" x14ac:dyDescent="0.25">
      <c r="A95" s="2770" t="s">
        <v>1980</v>
      </c>
      <c r="B95" s="2766">
        <v>1235</v>
      </c>
      <c r="C95" s="2766" t="s">
        <v>2799</v>
      </c>
      <c r="D95" s="2766" t="s">
        <v>2796</v>
      </c>
      <c r="E95" s="2766" t="s">
        <v>2003</v>
      </c>
      <c r="F95" s="2766" t="s">
        <v>354</v>
      </c>
      <c r="G95" s="2766">
        <v>123514</v>
      </c>
      <c r="H95" s="2766">
        <f>Dataark_til_bilag2_2018[[#This Row],[Stald_kode]]+Dataark_til_bilag2_2018[[#This Row],[Dyr_Kode]]</f>
        <v>124749</v>
      </c>
      <c r="I95" s="4347">
        <v>0</v>
      </c>
      <c r="J95" s="2766" t="s">
        <v>1977</v>
      </c>
      <c r="K95" s="2766"/>
      <c r="L95" s="2767">
        <v>2.14</v>
      </c>
      <c r="M95" s="2767">
        <v>0.127</v>
      </c>
      <c r="N95" s="2760">
        <f>IFERROR(Dataark_til_bilag2_2018[[#This Row],[Antal dyr]]*Dataark_til_bilag2_2018[[#This Row],[Gødning (g) pr. dyr (ton)]]," ")</f>
        <v>0</v>
      </c>
      <c r="O95" s="2768"/>
      <c r="P95" s="2759">
        <v>0</v>
      </c>
      <c r="Q95" s="2767"/>
      <c r="R95" s="2769">
        <v>18</v>
      </c>
      <c r="S95" s="2769">
        <v>181</v>
      </c>
      <c r="T95" s="2769">
        <v>206.70172054794523</v>
      </c>
      <c r="U95" s="2769">
        <v>10.722279452054796</v>
      </c>
      <c r="V95" s="2769">
        <v>12.5</v>
      </c>
      <c r="W95" s="2769">
        <v>0.18</v>
      </c>
      <c r="X95" s="2769">
        <v>3.2776668000000004</v>
      </c>
      <c r="Y95" s="2762">
        <f t="shared" si="2"/>
        <v>0</v>
      </c>
    </row>
    <row r="96" spans="1:25" x14ac:dyDescent="0.25">
      <c r="A96" s="2770" t="s">
        <v>1980</v>
      </c>
      <c r="B96" s="2766">
        <v>1235</v>
      </c>
      <c r="C96" s="2766" t="s">
        <v>2799</v>
      </c>
      <c r="D96" s="2766" t="s">
        <v>2796</v>
      </c>
      <c r="E96" s="2766" t="s">
        <v>2002</v>
      </c>
      <c r="F96" s="2766" t="s">
        <v>354</v>
      </c>
      <c r="G96" s="2766">
        <v>123515</v>
      </c>
      <c r="H96" s="2766">
        <f>Dataark_til_bilag2_2018[[#This Row],[Stald_kode]]+Dataark_til_bilag2_2018[[#This Row],[Dyr_Kode]]</f>
        <v>124750</v>
      </c>
      <c r="I96" s="4347">
        <v>0</v>
      </c>
      <c r="J96" s="2766" t="s">
        <v>1977</v>
      </c>
      <c r="K96" s="2766"/>
      <c r="L96" s="2767">
        <v>2.14</v>
      </c>
      <c r="M96" s="2767">
        <v>0.128</v>
      </c>
      <c r="N96" s="2760">
        <f>IFERROR(Dataark_til_bilag2_2018[[#This Row],[Antal dyr]]*Dataark_til_bilag2_2018[[#This Row],[Gødning (g) pr. dyr (ton)]]," ")</f>
        <v>0</v>
      </c>
      <c r="O96" s="2768"/>
      <c r="P96" s="2759">
        <v>0</v>
      </c>
      <c r="Q96" s="2767"/>
      <c r="R96" s="2769">
        <v>18</v>
      </c>
      <c r="S96" s="2769">
        <v>181</v>
      </c>
      <c r="T96" s="2769">
        <v>208.32929315068498</v>
      </c>
      <c r="U96" s="2769">
        <v>10.80670684931507</v>
      </c>
      <c r="V96" s="2769">
        <v>12.5</v>
      </c>
      <c r="W96" s="2769">
        <v>0.18</v>
      </c>
      <c r="X96" s="2769">
        <v>3.3034752000000003</v>
      </c>
      <c r="Y96" s="2762">
        <f t="shared" si="2"/>
        <v>0</v>
      </c>
    </row>
    <row r="97" spans="1:25" x14ac:dyDescent="0.25">
      <c r="A97" s="2770" t="s">
        <v>1980</v>
      </c>
      <c r="B97" s="2766">
        <v>1235</v>
      </c>
      <c r="C97" s="2766" t="s">
        <v>2799</v>
      </c>
      <c r="D97" s="2766" t="s">
        <v>2796</v>
      </c>
      <c r="E97" s="2766" t="s">
        <v>1990</v>
      </c>
      <c r="F97" s="2766" t="s">
        <v>354</v>
      </c>
      <c r="G97" s="2766">
        <v>123519</v>
      </c>
      <c r="H97" s="2766">
        <f>Dataark_til_bilag2_2018[[#This Row],[Stald_kode]]+Dataark_til_bilag2_2018[[#This Row],[Dyr_Kode]]</f>
        <v>124754</v>
      </c>
      <c r="I97" s="4347">
        <v>0</v>
      </c>
      <c r="J97" s="2766" t="s">
        <v>1977</v>
      </c>
      <c r="K97" s="2766"/>
      <c r="L97" s="2767">
        <v>2.14</v>
      </c>
      <c r="M97" s="2767">
        <v>0.127</v>
      </c>
      <c r="N97" s="2760">
        <f>IFERROR(Dataark_til_bilag2_2018[[#This Row],[Antal dyr]]*Dataark_til_bilag2_2018[[#This Row],[Gødning (g) pr. dyr (ton)]]," ")</f>
        <v>0</v>
      </c>
      <c r="O97" s="2768"/>
      <c r="P97" s="2759">
        <v>0</v>
      </c>
      <c r="Q97" s="2767"/>
      <c r="R97" s="2769">
        <v>18</v>
      </c>
      <c r="S97" s="2769">
        <v>181</v>
      </c>
      <c r="T97" s="2769">
        <v>206.70172054794523</v>
      </c>
      <c r="U97" s="2769">
        <v>10.722279452054796</v>
      </c>
      <c r="V97" s="2769">
        <v>12.5</v>
      </c>
      <c r="W97" s="2769">
        <v>0.18</v>
      </c>
      <c r="X97" s="2769">
        <v>3.2776668000000004</v>
      </c>
      <c r="Y97" s="2762">
        <f t="shared" si="2"/>
        <v>0</v>
      </c>
    </row>
    <row r="98" spans="1:25" x14ac:dyDescent="0.25">
      <c r="A98" s="2770" t="s">
        <v>1980</v>
      </c>
      <c r="B98" s="2766">
        <v>1236</v>
      </c>
      <c r="C98" s="2766" t="s">
        <v>1993</v>
      </c>
      <c r="D98" s="2766" t="s">
        <v>330</v>
      </c>
      <c r="E98" s="2766" t="s">
        <v>1989</v>
      </c>
      <c r="F98" s="2766" t="s">
        <v>639</v>
      </c>
      <c r="G98" s="2766">
        <v>123601</v>
      </c>
      <c r="H98" s="2766">
        <f>Dataark_til_bilag2_2018[[#This Row],[Stald_kode]]+Dataark_til_bilag2_2018[[#This Row],[Dyr_Kode]]</f>
        <v>124837</v>
      </c>
      <c r="I98" s="4347">
        <v>0</v>
      </c>
      <c r="J98" s="2766" t="s">
        <v>1903</v>
      </c>
      <c r="K98" s="2766"/>
      <c r="L98" s="2767">
        <v>3.36</v>
      </c>
      <c r="M98" s="2767">
        <f>18.6/100</f>
        <v>0.18600000000000003</v>
      </c>
      <c r="N98" s="2760">
        <f>IFERROR(Dataark_til_bilag2_2018[[#This Row],[Antal dyr]]*Dataark_til_bilag2_2018[[#This Row],[Gødning (g) pr. dyr (ton)]]," ")</f>
        <v>0</v>
      </c>
      <c r="O98" s="2768"/>
      <c r="P98" s="2759">
        <v>0</v>
      </c>
      <c r="Q98" s="2767"/>
      <c r="R98" s="2769">
        <v>132</v>
      </c>
      <c r="S98" s="2769">
        <v>181</v>
      </c>
      <c r="T98" s="2769">
        <v>319.15765479452062</v>
      </c>
      <c r="U98" s="2769">
        <v>180.81034520547948</v>
      </c>
      <c r="V98" s="2769">
        <v>2</v>
      </c>
      <c r="W98" s="2769">
        <v>0.18</v>
      </c>
      <c r="X98" s="2769">
        <v>1.2059228160000002</v>
      </c>
      <c r="Y98" s="2762">
        <f t="shared" si="2"/>
        <v>0</v>
      </c>
    </row>
    <row r="99" spans="1:25" x14ac:dyDescent="0.25">
      <c r="A99" s="2770" t="s">
        <v>1980</v>
      </c>
      <c r="B99" s="2766">
        <v>1236</v>
      </c>
      <c r="C99" s="2766" t="s">
        <v>1993</v>
      </c>
      <c r="D99" s="2766" t="s">
        <v>330</v>
      </c>
      <c r="E99" s="2766" t="s">
        <v>1988</v>
      </c>
      <c r="F99" s="2766" t="s">
        <v>639</v>
      </c>
      <c r="G99" s="2766">
        <v>123602</v>
      </c>
      <c r="H99" s="2766">
        <f>Dataark_til_bilag2_2018[[#This Row],[Stald_kode]]+Dataark_til_bilag2_2018[[#This Row],[Dyr_Kode]]</f>
        <v>124838</v>
      </c>
      <c r="I99" s="4347">
        <v>0</v>
      </c>
      <c r="J99" s="2766" t="s">
        <v>1977</v>
      </c>
      <c r="K99" s="2766"/>
      <c r="L99" s="2767">
        <v>5.31</v>
      </c>
      <c r="M99" s="2767">
        <f>12.7/100</f>
        <v>0.127</v>
      </c>
      <c r="N99" s="2760">
        <f>IFERROR(Dataark_til_bilag2_2018[[#This Row],[Antal dyr]]*Dataark_til_bilag2_2018[[#This Row],[Gødning (g) pr. dyr (ton)]]," ")</f>
        <v>0</v>
      </c>
      <c r="O99" s="2768"/>
      <c r="P99" s="2759">
        <v>0</v>
      </c>
      <c r="Q99" s="2767"/>
      <c r="R99" s="2769">
        <v>132</v>
      </c>
      <c r="S99" s="2769">
        <v>181</v>
      </c>
      <c r="T99" s="2769">
        <v>344.39059726027403</v>
      </c>
      <c r="U99" s="2769">
        <v>195.10540273972606</v>
      </c>
      <c r="V99" s="2769">
        <v>12.5</v>
      </c>
      <c r="W99" s="2769">
        <v>0.18</v>
      </c>
      <c r="X99" s="2769">
        <v>8.132902200000002</v>
      </c>
      <c r="Y99" s="2762">
        <f t="shared" si="2"/>
        <v>0</v>
      </c>
    </row>
    <row r="100" spans="1:25" x14ac:dyDescent="0.25">
      <c r="A100" s="2770" t="s">
        <v>1980</v>
      </c>
      <c r="B100" s="2766">
        <v>1236</v>
      </c>
      <c r="C100" s="2766" t="s">
        <v>1993</v>
      </c>
      <c r="D100" s="2766" t="s">
        <v>330</v>
      </c>
      <c r="E100" s="2766" t="s">
        <v>1987</v>
      </c>
      <c r="F100" s="2766" t="s">
        <v>350</v>
      </c>
      <c r="G100" s="2766">
        <v>123603</v>
      </c>
      <c r="H100" s="2766">
        <f>Dataark_til_bilag2_2018[[#This Row],[Stald_kode]]+Dataark_til_bilag2_2018[[#This Row],[Dyr_Kode]]</f>
        <v>124839</v>
      </c>
      <c r="I100" s="4347">
        <v>1.07</v>
      </c>
      <c r="J100" s="2766"/>
      <c r="K100" s="2766" t="s">
        <v>350</v>
      </c>
      <c r="L100" s="2767"/>
      <c r="M100" s="2767"/>
      <c r="N100" s="2760">
        <f>IFERROR(Dataark_til_bilag2_2018[[#This Row],[Antal dyr]]*Dataark_til_bilag2_2018[[#This Row],[Gødning (g) pr. dyr (ton)]]," ")</f>
        <v>0</v>
      </c>
      <c r="O100" s="2767">
        <v>4.45</v>
      </c>
      <c r="P100" s="2759">
        <v>4.7615000000000007</v>
      </c>
      <c r="Q100" s="2767">
        <v>0.3</v>
      </c>
      <c r="R100" s="2769">
        <v>18</v>
      </c>
      <c r="S100" s="2769">
        <v>181</v>
      </c>
      <c r="T100" s="2769">
        <v>1268.5932595890411</v>
      </c>
      <c r="U100" s="2769">
        <v>0</v>
      </c>
      <c r="V100" s="2769">
        <v>17</v>
      </c>
      <c r="W100" s="2769">
        <v>0.18</v>
      </c>
      <c r="X100" s="2769">
        <v>26.008699008094521</v>
      </c>
      <c r="Y100" s="2762">
        <f t="shared" si="2"/>
        <v>2.7829307938661139E-2</v>
      </c>
    </row>
    <row r="101" spans="1:25" x14ac:dyDescent="0.25">
      <c r="A101" s="2770" t="s">
        <v>1980</v>
      </c>
      <c r="B101" s="2766">
        <v>1236</v>
      </c>
      <c r="C101" s="2766" t="s">
        <v>1993</v>
      </c>
      <c r="D101" s="2766" t="s">
        <v>330</v>
      </c>
      <c r="E101" s="2766" t="s">
        <v>2000</v>
      </c>
      <c r="F101" s="2766" t="s">
        <v>350</v>
      </c>
      <c r="G101" s="2766">
        <v>123604</v>
      </c>
      <c r="H101" s="2766">
        <f>Dataark_til_bilag2_2018[[#This Row],[Stald_kode]]+Dataark_til_bilag2_2018[[#This Row],[Dyr_Kode]]</f>
        <v>124840</v>
      </c>
      <c r="I101" s="4347">
        <v>0</v>
      </c>
      <c r="J101" s="2766"/>
      <c r="K101" s="2766"/>
      <c r="L101" s="2767">
        <v>3.83</v>
      </c>
      <c r="M101" s="2767">
        <f>30/100</f>
        <v>0.3</v>
      </c>
      <c r="N101" s="2760">
        <f>IFERROR(Dataark_til_bilag2_2018[[#This Row],[Antal dyr]]*Dataark_til_bilag2_2018[[#This Row],[Gødning (g) pr. dyr (ton)]]," ")</f>
        <v>0</v>
      </c>
      <c r="O101" s="2768"/>
      <c r="P101" s="2759">
        <v>0</v>
      </c>
      <c r="Q101" s="2767"/>
      <c r="R101" s="2769">
        <v>132</v>
      </c>
      <c r="S101" s="2769">
        <v>181</v>
      </c>
      <c r="T101" s="2769">
        <v>586.7769863013699</v>
      </c>
      <c r="U101" s="2769">
        <v>332.42301369863014</v>
      </c>
      <c r="V101" s="2769">
        <v>17</v>
      </c>
      <c r="W101" s="2769">
        <v>0.18</v>
      </c>
      <c r="X101" s="2769">
        <v>18.845438399999999</v>
      </c>
      <c r="Y101" s="2762">
        <f t="shared" ref="Y101:Y132" si="3">IFERROR(IFERROR((X101*I101)/1000,(X101*I100)/1000),"-")</f>
        <v>0</v>
      </c>
    </row>
    <row r="102" spans="1:25" x14ac:dyDescent="0.25">
      <c r="A102" s="2770" t="s">
        <v>1980</v>
      </c>
      <c r="B102" s="2766">
        <v>1236</v>
      </c>
      <c r="C102" s="2766" t="s">
        <v>1993</v>
      </c>
      <c r="D102" s="2766" t="s">
        <v>330</v>
      </c>
      <c r="E102" s="2766" t="s">
        <v>1999</v>
      </c>
      <c r="F102" s="2766" t="s">
        <v>350</v>
      </c>
      <c r="G102" s="2766">
        <v>123605</v>
      </c>
      <c r="H102" s="2766">
        <f>Dataark_til_bilag2_2018[[#This Row],[Stald_kode]]+Dataark_til_bilag2_2018[[#This Row],[Dyr_Kode]]</f>
        <v>124841</v>
      </c>
      <c r="I102" s="4347">
        <v>0</v>
      </c>
      <c r="J102" s="2766" t="s">
        <v>1977</v>
      </c>
      <c r="K102" s="2766"/>
      <c r="L102" s="2767">
        <v>2.1</v>
      </c>
      <c r="M102" s="2767">
        <f>10.4/100</f>
        <v>0.10400000000000001</v>
      </c>
      <c r="N102" s="2760">
        <f>IFERROR(Dataark_til_bilag2_2018[[#This Row],[Antal dyr]]*Dataark_til_bilag2_2018[[#This Row],[Gødning (g) pr. dyr (ton)]]," ")</f>
        <v>0</v>
      </c>
      <c r="O102" s="2767"/>
      <c r="P102" s="2759">
        <v>0</v>
      </c>
      <c r="Q102" s="2767"/>
      <c r="R102" s="2769">
        <v>18</v>
      </c>
      <c r="S102" s="2769">
        <v>181</v>
      </c>
      <c r="T102" s="2769">
        <v>166.10367123287674</v>
      </c>
      <c r="U102" s="2769">
        <v>8.6163287671232887</v>
      </c>
      <c r="V102" s="2769">
        <v>12.5</v>
      </c>
      <c r="W102" s="2769">
        <v>0.18</v>
      </c>
      <c r="X102" s="2769">
        <v>2.6339040000000002</v>
      </c>
      <c r="Y102" s="2762">
        <f t="shared" si="3"/>
        <v>0</v>
      </c>
    </row>
    <row r="103" spans="1:25" x14ac:dyDescent="0.25">
      <c r="A103" s="2771" t="s">
        <v>2792</v>
      </c>
      <c r="B103" s="2772">
        <v>1236</v>
      </c>
      <c r="C103" s="2772" t="s">
        <v>1993</v>
      </c>
      <c r="D103" s="2772" t="s">
        <v>330</v>
      </c>
      <c r="E103" s="2772" t="s">
        <v>1998</v>
      </c>
      <c r="F103" s="2772" t="s">
        <v>350</v>
      </c>
      <c r="G103" s="2772">
        <v>123606</v>
      </c>
      <c r="H103" s="2772">
        <f>Dataark_til_bilag2_2018[[#This Row],[Stald_kode]]+Dataark_til_bilag2_2018[[#This Row],[Dyr_Kode]]</f>
        <v>124842</v>
      </c>
      <c r="I103" s="4347" t="s">
        <v>270</v>
      </c>
      <c r="J103" s="2772" t="s">
        <v>1977</v>
      </c>
      <c r="K103" s="2772"/>
      <c r="L103" s="2773">
        <v>2.1</v>
      </c>
      <c r="M103" s="2773">
        <v>0.10400000000000001</v>
      </c>
      <c r="N103" s="2760" t="str">
        <f>IFERROR(Dataark_til_bilag2_2018[[#This Row],[Antal dyr]]*Dataark_til_bilag2_2018[[#This Row],[Gødning (g) pr. dyr (ton)]]," ")</f>
        <v xml:space="preserve"> </v>
      </c>
      <c r="O103" s="2773"/>
      <c r="P103" s="2759" t="s">
        <v>270</v>
      </c>
      <c r="Q103" s="2773"/>
      <c r="R103" s="2774">
        <v>18</v>
      </c>
      <c r="S103" s="2774">
        <v>181</v>
      </c>
      <c r="T103" s="2769">
        <v>166.10367123287674</v>
      </c>
      <c r="U103" s="2769">
        <v>8.6163287671232887</v>
      </c>
      <c r="V103" s="2774">
        <v>12.5</v>
      </c>
      <c r="W103" s="2774">
        <v>0.18</v>
      </c>
      <c r="X103" s="2769">
        <v>2.6339040000000002</v>
      </c>
      <c r="Y103" s="2762">
        <f t="shared" si="3"/>
        <v>0</v>
      </c>
    </row>
    <row r="104" spans="1:25" x14ac:dyDescent="0.25">
      <c r="A104" s="2770" t="s">
        <v>1980</v>
      </c>
      <c r="B104" s="2766">
        <v>1236</v>
      </c>
      <c r="C104" s="2766" t="s">
        <v>1993</v>
      </c>
      <c r="D104" s="2766" t="s">
        <v>330</v>
      </c>
      <c r="E104" s="2766" t="s">
        <v>1997</v>
      </c>
      <c r="F104" s="2766" t="s">
        <v>350</v>
      </c>
      <c r="G104" s="2766">
        <v>123607</v>
      </c>
      <c r="H104" s="2766">
        <f>Dataark_til_bilag2_2018[[#This Row],[Stald_kode]]+Dataark_til_bilag2_2018[[#This Row],[Dyr_Kode]]</f>
        <v>124843</v>
      </c>
      <c r="I104" s="4347">
        <v>0</v>
      </c>
      <c r="J104" s="2766" t="s">
        <v>1977</v>
      </c>
      <c r="K104" s="2766"/>
      <c r="L104" s="2767">
        <v>2.1</v>
      </c>
      <c r="M104" s="2767">
        <v>0.10400000000000001</v>
      </c>
      <c r="N104" s="2760">
        <f>IFERROR(Dataark_til_bilag2_2018[[#This Row],[Antal dyr]]*Dataark_til_bilag2_2018[[#This Row],[Gødning (g) pr. dyr (ton)]]," ")</f>
        <v>0</v>
      </c>
      <c r="O104" s="2767"/>
      <c r="P104" s="2759">
        <v>0</v>
      </c>
      <c r="Q104" s="2767"/>
      <c r="R104" s="2769">
        <v>18</v>
      </c>
      <c r="S104" s="2769">
        <v>181</v>
      </c>
      <c r="T104" s="2769">
        <v>166.10367123287674</v>
      </c>
      <c r="U104" s="2769">
        <v>8.6163287671232887</v>
      </c>
      <c r="V104" s="2769">
        <v>12.5</v>
      </c>
      <c r="W104" s="2769">
        <v>0.18</v>
      </c>
      <c r="X104" s="2769">
        <v>2.6339040000000002</v>
      </c>
      <c r="Y104" s="2762">
        <f t="shared" si="3"/>
        <v>0</v>
      </c>
    </row>
    <row r="105" spans="1:25" x14ac:dyDescent="0.25">
      <c r="A105" s="2770" t="s">
        <v>1980</v>
      </c>
      <c r="B105" s="2766">
        <v>1236</v>
      </c>
      <c r="C105" s="2766" t="s">
        <v>1993</v>
      </c>
      <c r="D105" s="2766" t="s">
        <v>330</v>
      </c>
      <c r="E105" s="2766" t="s">
        <v>1996</v>
      </c>
      <c r="F105" s="2766" t="s">
        <v>353</v>
      </c>
      <c r="G105" s="2766">
        <v>123609</v>
      </c>
      <c r="H105" s="2766">
        <f>Dataark_til_bilag2_2018[[#This Row],[Stald_kode]]+Dataark_til_bilag2_2018[[#This Row],[Dyr_Kode]]</f>
        <v>124845</v>
      </c>
      <c r="I105" s="4347">
        <v>0</v>
      </c>
      <c r="J105" s="2766" t="s">
        <v>1977</v>
      </c>
      <c r="K105" s="2766"/>
      <c r="L105" s="2767">
        <v>5.46</v>
      </c>
      <c r="M105" s="2767">
        <f>10/100</f>
        <v>0.1</v>
      </c>
      <c r="N105" s="2760">
        <f>IFERROR(Dataark_til_bilag2_2018[[#This Row],[Antal dyr]]*Dataark_til_bilag2_2018[[#This Row],[Gødning (g) pr. dyr (ton)]]," ")</f>
        <v>0</v>
      </c>
      <c r="O105" s="2767"/>
      <c r="P105" s="2759">
        <v>0</v>
      </c>
      <c r="Q105" s="2767"/>
      <c r="R105" s="2769">
        <v>18</v>
      </c>
      <c r="S105" s="2769">
        <v>181</v>
      </c>
      <c r="T105" s="2769">
        <v>415.25917808219185</v>
      </c>
      <c r="U105" s="2769">
        <v>21.54082191780822</v>
      </c>
      <c r="V105" s="2769">
        <v>12.5</v>
      </c>
      <c r="W105" s="2769">
        <v>0.18</v>
      </c>
      <c r="X105" s="2769">
        <v>6.5847600000000011</v>
      </c>
      <c r="Y105" s="2762">
        <f t="shared" si="3"/>
        <v>0</v>
      </c>
    </row>
    <row r="106" spans="1:25" x14ac:dyDescent="0.25">
      <c r="A106" s="2770" t="s">
        <v>1980</v>
      </c>
      <c r="B106" s="2766">
        <v>1236</v>
      </c>
      <c r="C106" s="2766" t="s">
        <v>1993</v>
      </c>
      <c r="D106" s="2766" t="s">
        <v>330</v>
      </c>
      <c r="E106" s="2766" t="s">
        <v>1995</v>
      </c>
      <c r="F106" s="2766" t="s">
        <v>354</v>
      </c>
      <c r="G106" s="2766">
        <v>123610</v>
      </c>
      <c r="H106" s="2766">
        <f>Dataark_til_bilag2_2018[[#This Row],[Stald_kode]]+Dataark_til_bilag2_2018[[#This Row],[Dyr_Kode]]</f>
        <v>124846</v>
      </c>
      <c r="I106" s="4347">
        <v>0</v>
      </c>
      <c r="J106" s="2766" t="s">
        <v>1977</v>
      </c>
      <c r="K106" s="2766"/>
      <c r="L106" s="2767">
        <v>4.6399999999999997</v>
      </c>
      <c r="M106" s="2767">
        <f>12.7/100</f>
        <v>0.127</v>
      </c>
      <c r="N106" s="2760">
        <f>IFERROR(Dataark_til_bilag2_2018[[#This Row],[Antal dyr]]*Dataark_til_bilag2_2018[[#This Row],[Gødning (g) pr. dyr (ton)]]," ")</f>
        <v>0</v>
      </c>
      <c r="O106" s="2767"/>
      <c r="P106" s="2759">
        <v>0</v>
      </c>
      <c r="Q106" s="2767"/>
      <c r="R106" s="2769">
        <v>18</v>
      </c>
      <c r="S106" s="2769">
        <v>181</v>
      </c>
      <c r="T106" s="2769">
        <v>448.17569315068488</v>
      </c>
      <c r="U106" s="2769">
        <v>23.248306849315071</v>
      </c>
      <c r="V106" s="2769">
        <v>12.5</v>
      </c>
      <c r="W106" s="2769">
        <v>0.18</v>
      </c>
      <c r="X106" s="2769">
        <v>7.1067167999999992</v>
      </c>
      <c r="Y106" s="2762">
        <f t="shared" si="3"/>
        <v>0</v>
      </c>
    </row>
    <row r="107" spans="1:25" x14ac:dyDescent="0.25">
      <c r="A107" s="2770" t="s">
        <v>1980</v>
      </c>
      <c r="B107" s="2766">
        <v>1236</v>
      </c>
      <c r="C107" s="2766" t="s">
        <v>1993</v>
      </c>
      <c r="D107" s="2766" t="s">
        <v>330</v>
      </c>
      <c r="E107" s="2766" t="s">
        <v>1982</v>
      </c>
      <c r="F107" s="2766" t="s">
        <v>354</v>
      </c>
      <c r="G107" s="2766">
        <v>123611</v>
      </c>
      <c r="H107" s="2766">
        <f>Dataark_til_bilag2_2018[[#This Row],[Stald_kode]]+Dataark_til_bilag2_2018[[#This Row],[Dyr_Kode]]</f>
        <v>124847</v>
      </c>
      <c r="I107" s="4347">
        <v>0</v>
      </c>
      <c r="J107" s="2766" t="s">
        <v>1977</v>
      </c>
      <c r="K107" s="2766"/>
      <c r="L107" s="2767">
        <v>4.6399999999999997</v>
      </c>
      <c r="M107" s="2767">
        <f>12.7/100</f>
        <v>0.127</v>
      </c>
      <c r="N107" s="2760">
        <f>IFERROR(Dataark_til_bilag2_2018[[#This Row],[Antal dyr]]*Dataark_til_bilag2_2018[[#This Row],[Gødning (g) pr. dyr (ton)]]," ")</f>
        <v>0</v>
      </c>
      <c r="O107" s="2767"/>
      <c r="P107" s="2759">
        <v>0</v>
      </c>
      <c r="Q107" s="2767"/>
      <c r="R107" s="2769">
        <v>18</v>
      </c>
      <c r="S107" s="2769">
        <v>181</v>
      </c>
      <c r="T107" s="2769">
        <v>448.17569315068488</v>
      </c>
      <c r="U107" s="2769">
        <v>23.248306849315071</v>
      </c>
      <c r="V107" s="2769">
        <v>12.5</v>
      </c>
      <c r="W107" s="2769">
        <v>0.18</v>
      </c>
      <c r="X107" s="2769">
        <v>7.1067167999999992</v>
      </c>
      <c r="Y107" s="2762">
        <f t="shared" si="3"/>
        <v>0</v>
      </c>
    </row>
    <row r="108" spans="1:25" x14ac:dyDescent="0.25">
      <c r="A108" s="2770" t="s">
        <v>1980</v>
      </c>
      <c r="B108" s="2766">
        <v>1236</v>
      </c>
      <c r="C108" s="2766" t="s">
        <v>1993</v>
      </c>
      <c r="D108" s="2766" t="s">
        <v>330</v>
      </c>
      <c r="E108" s="2766" t="s">
        <v>1994</v>
      </c>
      <c r="F108" s="2766" t="s">
        <v>354</v>
      </c>
      <c r="G108" s="2766">
        <v>123612</v>
      </c>
      <c r="H108" s="2766">
        <f>Dataark_til_bilag2_2018[[#This Row],[Stald_kode]]+Dataark_til_bilag2_2018[[#This Row],[Dyr_Kode]]</f>
        <v>124848</v>
      </c>
      <c r="I108" s="4347">
        <v>0</v>
      </c>
      <c r="J108" s="2766" t="s">
        <v>1977</v>
      </c>
      <c r="K108" s="2766"/>
      <c r="L108" s="2767">
        <v>4.6399999999999997</v>
      </c>
      <c r="M108" s="2767">
        <f>12.7/100</f>
        <v>0.127</v>
      </c>
      <c r="N108" s="2760">
        <f>IFERROR(Dataark_til_bilag2_2018[[#This Row],[Antal dyr]]*Dataark_til_bilag2_2018[[#This Row],[Gødning (g) pr. dyr (ton)]]," ")</f>
        <v>0</v>
      </c>
      <c r="O108" s="2767"/>
      <c r="P108" s="2759">
        <v>0</v>
      </c>
      <c r="Q108" s="2767"/>
      <c r="R108" s="2769">
        <v>18</v>
      </c>
      <c r="S108" s="2769">
        <v>181</v>
      </c>
      <c r="T108" s="2769">
        <v>448.17569315068488</v>
      </c>
      <c r="U108" s="2769">
        <v>23.248306849315071</v>
      </c>
      <c r="V108" s="2769">
        <v>12.5</v>
      </c>
      <c r="W108" s="2769">
        <v>0.18</v>
      </c>
      <c r="X108" s="2769">
        <v>7.1067167999999992</v>
      </c>
      <c r="Y108" s="2762">
        <f t="shared" si="3"/>
        <v>0</v>
      </c>
    </row>
    <row r="109" spans="1:25" x14ac:dyDescent="0.25">
      <c r="A109" s="2770" t="s">
        <v>1980</v>
      </c>
      <c r="B109" s="2766">
        <v>1236</v>
      </c>
      <c r="C109" s="2766" t="s">
        <v>1993</v>
      </c>
      <c r="D109" s="2766" t="s">
        <v>330</v>
      </c>
      <c r="E109" s="2766" t="s">
        <v>1990</v>
      </c>
      <c r="F109" s="2766" t="s">
        <v>354</v>
      </c>
      <c r="G109" s="2766">
        <v>123619</v>
      </c>
      <c r="H109" s="2766">
        <f>Dataark_til_bilag2_2018[[#This Row],[Stald_kode]]+Dataark_til_bilag2_2018[[#This Row],[Dyr_Kode]]</f>
        <v>124855</v>
      </c>
      <c r="I109" s="4347">
        <v>0</v>
      </c>
      <c r="J109" s="2766" t="s">
        <v>1977</v>
      </c>
      <c r="K109" s="2766"/>
      <c r="L109" s="2767">
        <v>4.6399999999999997</v>
      </c>
      <c r="M109" s="2767">
        <f>12.7/100</f>
        <v>0.127</v>
      </c>
      <c r="N109" s="2760">
        <f>IFERROR(Dataark_til_bilag2_2018[[#This Row],[Antal dyr]]*Dataark_til_bilag2_2018[[#This Row],[Gødning (g) pr. dyr (ton)]]," ")</f>
        <v>0</v>
      </c>
      <c r="O109" s="2767"/>
      <c r="P109" s="2759">
        <v>0</v>
      </c>
      <c r="Q109" s="2767"/>
      <c r="R109" s="2769">
        <v>18</v>
      </c>
      <c r="S109" s="2769">
        <v>181</v>
      </c>
      <c r="T109" s="2769">
        <v>448.17569315068488</v>
      </c>
      <c r="U109" s="2769">
        <v>23.248306849315071</v>
      </c>
      <c r="V109" s="2769">
        <v>12.5</v>
      </c>
      <c r="W109" s="2769">
        <v>0.18</v>
      </c>
      <c r="X109" s="2769">
        <v>7.1067167999999992</v>
      </c>
      <c r="Y109" s="2762">
        <f t="shared" si="3"/>
        <v>0</v>
      </c>
    </row>
    <row r="110" spans="1:25" x14ac:dyDescent="0.25">
      <c r="A110" s="2770" t="s">
        <v>1980</v>
      </c>
      <c r="B110" s="2766">
        <v>1241</v>
      </c>
      <c r="C110" s="2766" t="s">
        <v>1992</v>
      </c>
      <c r="D110" s="2766" t="s">
        <v>329</v>
      </c>
      <c r="E110" s="2766" t="s">
        <v>1989</v>
      </c>
      <c r="F110" s="2766" t="s">
        <v>639</v>
      </c>
      <c r="G110" s="2766">
        <v>124101</v>
      </c>
      <c r="H110" s="2766">
        <f>Dataark_til_bilag2_2018[[#This Row],[Stald_kode]]+Dataark_til_bilag2_2018[[#This Row],[Dyr_Kode]]</f>
        <v>125342</v>
      </c>
      <c r="I110" s="4347">
        <v>0</v>
      </c>
      <c r="J110" s="2766" t="s">
        <v>1903</v>
      </c>
      <c r="K110" s="2766"/>
      <c r="L110" s="2767">
        <v>2.61</v>
      </c>
      <c r="M110" s="2767">
        <v>0.22800000000000001</v>
      </c>
      <c r="N110" s="2760">
        <f>IFERROR(Dataark_til_bilag2_2018[[#This Row],[Antal dyr]]*Dataark_til_bilag2_2018[[#This Row],[Gødning (g) pr. dyr (ton)]]," ")</f>
        <v>0</v>
      </c>
      <c r="O110" s="2768"/>
      <c r="P110" s="2759">
        <v>0</v>
      </c>
      <c r="Q110" s="2767"/>
      <c r="R110" s="2769">
        <v>132</v>
      </c>
      <c r="S110" s="2769">
        <v>181</v>
      </c>
      <c r="T110" s="2769">
        <v>303.89838904109592</v>
      </c>
      <c r="U110" s="2769">
        <v>172.16561095890413</v>
      </c>
      <c r="V110" s="2769">
        <v>2</v>
      </c>
      <c r="W110" s="2769">
        <v>0.18</v>
      </c>
      <c r="X110" s="2769">
        <v>1.1482663680000003</v>
      </c>
      <c r="Y110" s="2762">
        <f t="shared" si="3"/>
        <v>0</v>
      </c>
    </row>
    <row r="111" spans="1:25" x14ac:dyDescent="0.25">
      <c r="A111" s="2770" t="s">
        <v>1980</v>
      </c>
      <c r="B111" s="2766">
        <v>1241</v>
      </c>
      <c r="C111" s="2766" t="s">
        <v>1992</v>
      </c>
      <c r="D111" s="2766" t="s">
        <v>329</v>
      </c>
      <c r="E111" s="2766" t="s">
        <v>1988</v>
      </c>
      <c r="F111" s="2766" t="s">
        <v>639</v>
      </c>
      <c r="G111" s="2766">
        <v>124102</v>
      </c>
      <c r="H111" s="2766">
        <f>Dataark_til_bilag2_2018[[#This Row],[Stald_kode]]+Dataark_til_bilag2_2018[[#This Row],[Dyr_Kode]]</f>
        <v>125343</v>
      </c>
      <c r="I111" s="4347">
        <v>0</v>
      </c>
      <c r="J111" s="2766" t="s">
        <v>1977</v>
      </c>
      <c r="K111" s="2766"/>
      <c r="L111" s="2767">
        <v>5.5</v>
      </c>
      <c r="M111" s="2767">
        <v>0.121</v>
      </c>
      <c r="N111" s="2760">
        <f>IFERROR(Dataark_til_bilag2_2018[[#This Row],[Antal dyr]]*Dataark_til_bilag2_2018[[#This Row],[Gødning (g) pr. dyr (ton)]]," ")</f>
        <v>0</v>
      </c>
      <c r="O111" s="2768"/>
      <c r="P111" s="2759">
        <v>0</v>
      </c>
      <c r="Q111" s="2767"/>
      <c r="R111" s="2769">
        <v>132</v>
      </c>
      <c r="S111" s="2769">
        <v>181</v>
      </c>
      <c r="T111" s="2769">
        <v>339.86082191780821</v>
      </c>
      <c r="U111" s="2769">
        <v>192.5391780821918</v>
      </c>
      <c r="V111" s="2769">
        <v>12.5</v>
      </c>
      <c r="W111" s="2769">
        <v>0.18</v>
      </c>
      <c r="X111" s="2769">
        <v>8.0259300000000007</v>
      </c>
      <c r="Y111" s="2762">
        <f t="shared" si="3"/>
        <v>0</v>
      </c>
    </row>
    <row r="112" spans="1:25" x14ac:dyDescent="0.25">
      <c r="A112" s="2770" t="s">
        <v>1980</v>
      </c>
      <c r="B112" s="2766">
        <v>1241</v>
      </c>
      <c r="C112" s="2766" t="s">
        <v>1992</v>
      </c>
      <c r="D112" s="2766" t="s">
        <v>329</v>
      </c>
      <c r="E112" s="2766" t="s">
        <v>1987</v>
      </c>
      <c r="F112" s="2766" t="s">
        <v>350</v>
      </c>
      <c r="G112" s="2766">
        <v>124103</v>
      </c>
      <c r="H112" s="2766">
        <f>Dataark_til_bilag2_2018[[#This Row],[Stald_kode]]+Dataark_til_bilag2_2018[[#This Row],[Dyr_Kode]]</f>
        <v>125344</v>
      </c>
      <c r="I112" s="4347">
        <v>0</v>
      </c>
      <c r="J112" s="2766"/>
      <c r="K112" s="2766" t="s">
        <v>350</v>
      </c>
      <c r="L112" s="2767"/>
      <c r="M112" s="2767"/>
      <c r="N112" s="2760">
        <f>IFERROR(Dataark_til_bilag2_2018[[#This Row],[Antal dyr]]*Dataark_til_bilag2_2018[[#This Row],[Gødning (g) pr. dyr (ton)]]," ")</f>
        <v>0</v>
      </c>
      <c r="O112" s="2767">
        <v>6.99</v>
      </c>
      <c r="P112" s="2759">
        <v>0</v>
      </c>
      <c r="Q112" s="2767">
        <v>0.3</v>
      </c>
      <c r="R112" s="2769">
        <v>132</v>
      </c>
      <c r="S112" s="2769">
        <v>181</v>
      </c>
      <c r="T112" s="2769">
        <v>1338.0304919178081</v>
      </c>
      <c r="U112" s="2769">
        <v>606.69369863013696</v>
      </c>
      <c r="V112" s="2769">
        <v>17</v>
      </c>
      <c r="W112" s="2769">
        <v>0.18</v>
      </c>
      <c r="X112" s="2769">
        <v>39.87073535461397</v>
      </c>
      <c r="Y112" s="2762">
        <f t="shared" si="3"/>
        <v>0</v>
      </c>
    </row>
    <row r="113" spans="1:25" x14ac:dyDescent="0.25">
      <c r="A113" s="2770" t="s">
        <v>1980</v>
      </c>
      <c r="B113" s="2766">
        <v>1241</v>
      </c>
      <c r="C113" s="2766" t="s">
        <v>1992</v>
      </c>
      <c r="D113" s="2766" t="s">
        <v>329</v>
      </c>
      <c r="E113" s="2766" t="s">
        <v>1986</v>
      </c>
      <c r="F113" s="2766" t="s">
        <v>350</v>
      </c>
      <c r="G113" s="2766">
        <v>124104</v>
      </c>
      <c r="H113" s="2766">
        <f>Dataark_til_bilag2_2018[[#This Row],[Stald_kode]]+Dataark_til_bilag2_2018[[#This Row],[Dyr_Kode]]</f>
        <v>125345</v>
      </c>
      <c r="I113" s="4347">
        <v>0</v>
      </c>
      <c r="J113" s="2766"/>
      <c r="K113" s="2766" t="s">
        <v>350</v>
      </c>
      <c r="L113" s="2767"/>
      <c r="M113" s="2767"/>
      <c r="N113" s="2760">
        <f>IFERROR(Dataark_til_bilag2_2018[[#This Row],[Antal dyr]]*Dataark_til_bilag2_2018[[#This Row],[Gødning (g) pr. dyr (ton)]]," ")</f>
        <v>0</v>
      </c>
      <c r="O113" s="2767">
        <v>6.42</v>
      </c>
      <c r="P113" s="2759">
        <v>0</v>
      </c>
      <c r="Q113" s="2767">
        <v>0.3</v>
      </c>
      <c r="R113" s="2769">
        <v>132</v>
      </c>
      <c r="S113" s="2769">
        <v>181</v>
      </c>
      <c r="T113" s="2769">
        <v>1228.9207093150687</v>
      </c>
      <c r="U113" s="2769">
        <v>557.22082191780828</v>
      </c>
      <c r="V113" s="2769">
        <v>17</v>
      </c>
      <c r="W113" s="2769">
        <v>0.18</v>
      </c>
      <c r="X113" s="2769">
        <v>36.619473673336444</v>
      </c>
      <c r="Y113" s="2762">
        <f t="shared" si="3"/>
        <v>0</v>
      </c>
    </row>
    <row r="114" spans="1:25" x14ac:dyDescent="0.25">
      <c r="A114" s="2770" t="s">
        <v>1980</v>
      </c>
      <c r="B114" s="2766">
        <v>1241</v>
      </c>
      <c r="C114" s="2766" t="s">
        <v>1992</v>
      </c>
      <c r="D114" s="2766" t="s">
        <v>329</v>
      </c>
      <c r="E114" s="2766" t="s">
        <v>1985</v>
      </c>
      <c r="F114" s="2766" t="s">
        <v>350</v>
      </c>
      <c r="G114" s="2766">
        <v>124105</v>
      </c>
      <c r="H114" s="2766">
        <f>Dataark_til_bilag2_2018[[#This Row],[Stald_kode]]+Dataark_til_bilag2_2018[[#This Row],[Dyr_Kode]]</f>
        <v>125346</v>
      </c>
      <c r="I114" s="4347">
        <v>0</v>
      </c>
      <c r="J114" s="2766" t="s">
        <v>1977</v>
      </c>
      <c r="K114" s="2766"/>
      <c r="L114" s="2767">
        <v>3.35</v>
      </c>
      <c r="M114" s="2767">
        <v>6.9000000000000006E-2</v>
      </c>
      <c r="N114" s="2760">
        <f>IFERROR(Dataark_til_bilag2_2018[[#This Row],[Antal dyr]]*Dataark_til_bilag2_2018[[#This Row],[Gødning (g) pr. dyr (ton)]]," ")</f>
        <v>0</v>
      </c>
      <c r="O114" s="2768"/>
      <c r="P114" s="2759">
        <v>0</v>
      </c>
      <c r="Q114" s="2767"/>
      <c r="R114" s="2769">
        <v>132</v>
      </c>
      <c r="S114" s="2769">
        <v>181</v>
      </c>
      <c r="T114" s="2769">
        <v>118.04482191780824</v>
      </c>
      <c r="U114" s="2769">
        <v>66.875178082191795</v>
      </c>
      <c r="V114" s="2769">
        <v>12.5</v>
      </c>
      <c r="W114" s="2769">
        <v>0.18</v>
      </c>
      <c r="X114" s="2769">
        <v>2.7876690000000002</v>
      </c>
      <c r="Y114" s="2762">
        <f t="shared" si="3"/>
        <v>0</v>
      </c>
    </row>
    <row r="115" spans="1:25" x14ac:dyDescent="0.25">
      <c r="A115" s="2770" t="s">
        <v>1980</v>
      </c>
      <c r="B115" s="2766">
        <v>1241</v>
      </c>
      <c r="C115" s="2766" t="s">
        <v>1992</v>
      </c>
      <c r="D115" s="2766" t="s">
        <v>329</v>
      </c>
      <c r="E115" s="2766" t="s">
        <v>1984</v>
      </c>
      <c r="F115" s="2766" t="s">
        <v>350</v>
      </c>
      <c r="G115" s="2766">
        <v>124106</v>
      </c>
      <c r="H115" s="2766">
        <f>Dataark_til_bilag2_2018[[#This Row],[Stald_kode]]+Dataark_til_bilag2_2018[[#This Row],[Dyr_Kode]]</f>
        <v>125347</v>
      </c>
      <c r="I115" s="4347">
        <v>0</v>
      </c>
      <c r="J115" s="2766" t="s">
        <v>1977</v>
      </c>
      <c r="K115" s="2766"/>
      <c r="L115" s="2767">
        <v>3.35</v>
      </c>
      <c r="M115" s="2767">
        <v>6.9000000000000006E-2</v>
      </c>
      <c r="N115" s="2760">
        <f>IFERROR(Dataark_til_bilag2_2018[[#This Row],[Antal dyr]]*Dataark_til_bilag2_2018[[#This Row],[Gødning (g) pr. dyr (ton)]]," ")</f>
        <v>0</v>
      </c>
      <c r="O115" s="2768"/>
      <c r="P115" s="2759">
        <v>0</v>
      </c>
      <c r="Q115" s="2767"/>
      <c r="R115" s="2769">
        <v>132</v>
      </c>
      <c r="S115" s="2769">
        <v>181</v>
      </c>
      <c r="T115" s="2769">
        <v>118.04482191780824</v>
      </c>
      <c r="U115" s="2769">
        <v>66.875178082191795</v>
      </c>
      <c r="V115" s="2769">
        <v>12.5</v>
      </c>
      <c r="W115" s="2769">
        <v>0.18</v>
      </c>
      <c r="X115" s="2769">
        <v>2.7876690000000002</v>
      </c>
      <c r="Y115" s="2762">
        <f t="shared" si="3"/>
        <v>0</v>
      </c>
    </row>
    <row r="116" spans="1:25" x14ac:dyDescent="0.25">
      <c r="A116" s="2770" t="s">
        <v>1980</v>
      </c>
      <c r="B116" s="2766">
        <v>1241</v>
      </c>
      <c r="C116" s="2766" t="s">
        <v>1992</v>
      </c>
      <c r="D116" s="2766" t="s">
        <v>329</v>
      </c>
      <c r="E116" s="2766" t="s">
        <v>1983</v>
      </c>
      <c r="F116" s="2766" t="s">
        <v>350</v>
      </c>
      <c r="G116" s="2766">
        <v>124107</v>
      </c>
      <c r="H116" s="2766">
        <f>Dataark_til_bilag2_2018[[#This Row],[Stald_kode]]+Dataark_til_bilag2_2018[[#This Row],[Dyr_Kode]]</f>
        <v>125348</v>
      </c>
      <c r="I116" s="4347">
        <v>0</v>
      </c>
      <c r="J116" s="2766" t="s">
        <v>1977</v>
      </c>
      <c r="K116" s="2766"/>
      <c r="L116" s="2767">
        <v>3.35</v>
      </c>
      <c r="M116" s="2767">
        <v>6.9000000000000006E-2</v>
      </c>
      <c r="N116" s="2760">
        <f>IFERROR(Dataark_til_bilag2_2018[[#This Row],[Antal dyr]]*Dataark_til_bilag2_2018[[#This Row],[Gødning (g) pr. dyr (ton)]]," ")</f>
        <v>0</v>
      </c>
      <c r="O116" s="2768"/>
      <c r="P116" s="2759">
        <v>0</v>
      </c>
      <c r="Q116" s="2767"/>
      <c r="R116" s="2769">
        <v>132</v>
      </c>
      <c r="S116" s="2769">
        <v>181</v>
      </c>
      <c r="T116" s="2769">
        <v>118.04482191780824</v>
      </c>
      <c r="U116" s="2769">
        <v>66.875178082191795</v>
      </c>
      <c r="V116" s="2769">
        <v>12.5</v>
      </c>
      <c r="W116" s="2769">
        <v>0.18</v>
      </c>
      <c r="X116" s="2769">
        <v>2.7876690000000002</v>
      </c>
      <c r="Y116" s="2762">
        <f t="shared" si="3"/>
        <v>0</v>
      </c>
    </row>
    <row r="117" spans="1:25" x14ac:dyDescent="0.25">
      <c r="A117" s="2770" t="s">
        <v>1980</v>
      </c>
      <c r="B117" s="2766">
        <v>1241</v>
      </c>
      <c r="C117" s="2766" t="s">
        <v>1992</v>
      </c>
      <c r="D117" s="2766" t="s">
        <v>329</v>
      </c>
      <c r="E117" s="2766" t="s">
        <v>2793</v>
      </c>
      <c r="F117" s="2766" t="s">
        <v>354</v>
      </c>
      <c r="G117" s="2766">
        <v>124110</v>
      </c>
      <c r="H117" s="2766">
        <f>Dataark_til_bilag2_2018[[#This Row],[Stald_kode]]+Dataark_til_bilag2_2018[[#This Row],[Dyr_Kode]]</f>
        <v>125351</v>
      </c>
      <c r="I117" s="4347">
        <v>0</v>
      </c>
      <c r="J117" s="2766" t="s">
        <v>1977</v>
      </c>
      <c r="K117" s="2766"/>
      <c r="L117" s="2767">
        <v>5.0199999999999996</v>
      </c>
      <c r="M117" s="2767">
        <v>0.121</v>
      </c>
      <c r="N117" s="2760">
        <f>IFERROR(Dataark_til_bilag2_2018[[#This Row],[Antal dyr]]*Dataark_til_bilag2_2018[[#This Row],[Gødning (g) pr. dyr (ton)]]," ")</f>
        <v>0</v>
      </c>
      <c r="O117" s="2768"/>
      <c r="P117" s="2759">
        <v>0</v>
      </c>
      <c r="Q117" s="2767"/>
      <c r="R117" s="2769">
        <v>132</v>
      </c>
      <c r="S117" s="2769">
        <v>181</v>
      </c>
      <c r="T117" s="2769">
        <v>310.20024109589042</v>
      </c>
      <c r="U117" s="2769">
        <v>175.73575890410959</v>
      </c>
      <c r="V117" s="2769">
        <v>12.5</v>
      </c>
      <c r="W117" s="2769">
        <v>0.18</v>
      </c>
      <c r="X117" s="2769">
        <v>7.3254852000000001</v>
      </c>
      <c r="Y117" s="2762">
        <f t="shared" si="3"/>
        <v>0</v>
      </c>
    </row>
    <row r="118" spans="1:25" x14ac:dyDescent="0.25">
      <c r="A118" s="2770" t="s">
        <v>1980</v>
      </c>
      <c r="B118" s="2766">
        <v>1242</v>
      </c>
      <c r="C118" s="2766" t="s">
        <v>1991</v>
      </c>
      <c r="D118" s="2766" t="s">
        <v>329</v>
      </c>
      <c r="E118" s="2766" t="s">
        <v>1989</v>
      </c>
      <c r="F118" s="2766" t="s">
        <v>639</v>
      </c>
      <c r="G118" s="2766">
        <v>124201</v>
      </c>
      <c r="H118" s="2766">
        <f>Dataark_til_bilag2_2018[[#This Row],[Stald_kode]]+Dataark_til_bilag2_2018[[#This Row],[Dyr_Kode]]</f>
        <v>125443</v>
      </c>
      <c r="I118" s="4347">
        <v>7.97</v>
      </c>
      <c r="J118" s="2766" t="s">
        <v>1903</v>
      </c>
      <c r="K118" s="2766"/>
      <c r="L118" s="2767">
        <v>3.72</v>
      </c>
      <c r="M118" s="2767">
        <v>0.22800000000000001</v>
      </c>
      <c r="N118" s="2760">
        <f>IFERROR(Dataark_til_bilag2_2018[[#This Row],[Antal dyr]]*Dataark_til_bilag2_2018[[#This Row],[Gødning (g) pr. dyr (ton)]]," ")</f>
        <v>29.648400000000002</v>
      </c>
      <c r="O118" s="2768"/>
      <c r="P118" s="2759">
        <v>0</v>
      </c>
      <c r="Q118" s="2767"/>
      <c r="R118" s="2769">
        <v>132</v>
      </c>
      <c r="S118" s="2769">
        <v>181</v>
      </c>
      <c r="T118" s="2769">
        <v>433.14253150684931</v>
      </c>
      <c r="U118" s="2769">
        <v>245.38546849315071</v>
      </c>
      <c r="V118" s="2769">
        <v>2</v>
      </c>
      <c r="W118" s="2769">
        <v>0.18</v>
      </c>
      <c r="X118" s="2769">
        <v>1.6366095360000004</v>
      </c>
      <c r="Y118" s="2762">
        <f t="shared" si="3"/>
        <v>1.3043778001920003E-2</v>
      </c>
    </row>
    <row r="119" spans="1:25" x14ac:dyDescent="0.25">
      <c r="A119" s="2770" t="s">
        <v>1980</v>
      </c>
      <c r="B119" s="2766">
        <v>1242</v>
      </c>
      <c r="C119" s="2766" t="s">
        <v>1991</v>
      </c>
      <c r="D119" s="2766" t="s">
        <v>329</v>
      </c>
      <c r="E119" s="2766" t="s">
        <v>1988</v>
      </c>
      <c r="F119" s="2766" t="s">
        <v>639</v>
      </c>
      <c r="G119" s="2766">
        <v>124202</v>
      </c>
      <c r="H119" s="2766">
        <f>Dataark_til_bilag2_2018[[#This Row],[Stald_kode]]+Dataark_til_bilag2_2018[[#This Row],[Dyr_Kode]]</f>
        <v>125444</v>
      </c>
      <c r="I119" s="4347">
        <v>0</v>
      </c>
      <c r="J119" s="2766" t="s">
        <v>1977</v>
      </c>
      <c r="K119" s="2766"/>
      <c r="L119" s="2767">
        <v>7.88</v>
      </c>
      <c r="M119" s="2767">
        <v>0.121</v>
      </c>
      <c r="N119" s="2760">
        <f>IFERROR(Dataark_til_bilag2_2018[[#This Row],[Antal dyr]]*Dataark_til_bilag2_2018[[#This Row],[Gødning (g) pr. dyr (ton)]]," ")</f>
        <v>0</v>
      </c>
      <c r="O119" s="2768"/>
      <c r="P119" s="2759">
        <v>0</v>
      </c>
      <c r="Q119" s="2767"/>
      <c r="R119" s="2769">
        <v>132</v>
      </c>
      <c r="S119" s="2769">
        <v>181</v>
      </c>
      <c r="T119" s="2769">
        <v>486.92786849315075</v>
      </c>
      <c r="U119" s="2769">
        <v>275.85613150684935</v>
      </c>
      <c r="V119" s="2769">
        <v>12.5</v>
      </c>
      <c r="W119" s="2769">
        <v>0.18</v>
      </c>
      <c r="X119" s="2769">
        <v>11.498968800000002</v>
      </c>
      <c r="Y119" s="2762">
        <f t="shared" si="3"/>
        <v>0</v>
      </c>
    </row>
    <row r="120" spans="1:25" x14ac:dyDescent="0.25">
      <c r="A120" s="2770" t="s">
        <v>1980</v>
      </c>
      <c r="B120" s="2766">
        <v>1242</v>
      </c>
      <c r="C120" s="2766" t="s">
        <v>1991</v>
      </c>
      <c r="D120" s="2766" t="s">
        <v>329</v>
      </c>
      <c r="E120" s="2766" t="s">
        <v>1987</v>
      </c>
      <c r="F120" s="2766" t="s">
        <v>350</v>
      </c>
      <c r="G120" s="2766">
        <v>124203</v>
      </c>
      <c r="H120" s="2766">
        <f>Dataark_til_bilag2_2018[[#This Row],[Stald_kode]]+Dataark_til_bilag2_2018[[#This Row],[Dyr_Kode]]</f>
        <v>125445</v>
      </c>
      <c r="I120" s="4347">
        <v>235.84</v>
      </c>
      <c r="J120" s="2766"/>
      <c r="K120" s="2766" t="s">
        <v>350</v>
      </c>
      <c r="L120" s="2767"/>
      <c r="M120" s="2767"/>
      <c r="N120" s="2760">
        <f>IFERROR(Dataark_til_bilag2_2018[[#This Row],[Antal dyr]]*Dataark_til_bilag2_2018[[#This Row],[Gødning (g) pr. dyr (ton)]]," ")</f>
        <v>0</v>
      </c>
      <c r="O120" s="2767">
        <v>9.59</v>
      </c>
      <c r="P120" s="2759">
        <v>2261.7055999999998</v>
      </c>
      <c r="Q120" s="2767">
        <v>0.3</v>
      </c>
      <c r="R120" s="2769">
        <v>132</v>
      </c>
      <c r="S120" s="2769">
        <v>181</v>
      </c>
      <c r="T120" s="2769">
        <v>1835.7242371232874</v>
      </c>
      <c r="U120" s="2769">
        <v>832.35945205479447</v>
      </c>
      <c r="V120" s="2769">
        <v>17</v>
      </c>
      <c r="W120" s="2769">
        <v>0.18</v>
      </c>
      <c r="X120" s="2769">
        <v>54.701051795529025</v>
      </c>
      <c r="Y120" s="2762">
        <f t="shared" si="3"/>
        <v>12.900696055457566</v>
      </c>
    </row>
    <row r="121" spans="1:25" x14ac:dyDescent="0.25">
      <c r="A121" s="2770" t="s">
        <v>1980</v>
      </c>
      <c r="B121" s="2766">
        <v>1242</v>
      </c>
      <c r="C121" s="2766" t="s">
        <v>1991</v>
      </c>
      <c r="D121" s="2766" t="s">
        <v>329</v>
      </c>
      <c r="E121" s="2766" t="s">
        <v>1986</v>
      </c>
      <c r="F121" s="2766" t="s">
        <v>350</v>
      </c>
      <c r="G121" s="2766">
        <v>124204</v>
      </c>
      <c r="H121" s="2766">
        <f>Dataark_til_bilag2_2018[[#This Row],[Stald_kode]]+Dataark_til_bilag2_2018[[#This Row],[Dyr_Kode]]</f>
        <v>125446</v>
      </c>
      <c r="I121" s="4347">
        <v>0</v>
      </c>
      <c r="J121" s="2766"/>
      <c r="K121" s="2766" t="s">
        <v>350</v>
      </c>
      <c r="L121" s="2767"/>
      <c r="M121" s="2767"/>
      <c r="N121" s="2760">
        <f>IFERROR(Dataark_til_bilag2_2018[[#This Row],[Antal dyr]]*Dataark_til_bilag2_2018[[#This Row],[Gødning (g) pr. dyr (ton)]]," ")</f>
        <v>0</v>
      </c>
      <c r="O121" s="2767">
        <v>8.83</v>
      </c>
      <c r="P121" s="2759">
        <v>0</v>
      </c>
      <c r="Q121" s="2767">
        <v>0.3</v>
      </c>
      <c r="R121" s="2769">
        <v>132</v>
      </c>
      <c r="S121" s="2769">
        <v>181</v>
      </c>
      <c r="T121" s="2769">
        <v>1690.2445269863017</v>
      </c>
      <c r="U121" s="2769">
        <v>766.39561643835623</v>
      </c>
      <c r="V121" s="2769">
        <v>17</v>
      </c>
      <c r="W121" s="2769">
        <v>0.18</v>
      </c>
      <c r="X121" s="2769">
        <v>50.366036220492333</v>
      </c>
      <c r="Y121" s="2762">
        <f t="shared" si="3"/>
        <v>0</v>
      </c>
    </row>
    <row r="122" spans="1:25" x14ac:dyDescent="0.25">
      <c r="A122" s="2770" t="s">
        <v>1980</v>
      </c>
      <c r="B122" s="2766">
        <v>1242</v>
      </c>
      <c r="C122" s="2766" t="s">
        <v>1991</v>
      </c>
      <c r="D122" s="2766" t="s">
        <v>329</v>
      </c>
      <c r="E122" s="2766" t="s">
        <v>1985</v>
      </c>
      <c r="F122" s="2766" t="s">
        <v>350</v>
      </c>
      <c r="G122" s="2766">
        <v>124205</v>
      </c>
      <c r="H122" s="2766">
        <f>Dataark_til_bilag2_2018[[#This Row],[Stald_kode]]+Dataark_til_bilag2_2018[[#This Row],[Dyr_Kode]]</f>
        <v>125447</v>
      </c>
      <c r="I122" s="4347">
        <v>0</v>
      </c>
      <c r="J122" s="2766" t="s">
        <v>1977</v>
      </c>
      <c r="K122" s="2766"/>
      <c r="L122" s="2767">
        <v>4.8499999999999996</v>
      </c>
      <c r="M122" s="2767">
        <v>6.9000000000000006E-2</v>
      </c>
      <c r="N122" s="2760">
        <f>IFERROR(Dataark_til_bilag2_2018[[#This Row],[Antal dyr]]*Dataark_til_bilag2_2018[[#This Row],[Gødning (g) pr. dyr (ton)]]," ")</f>
        <v>0</v>
      </c>
      <c r="O122" s="2768"/>
      <c r="P122" s="2759">
        <v>0</v>
      </c>
      <c r="Q122" s="2767"/>
      <c r="R122" s="2769">
        <v>132</v>
      </c>
      <c r="S122" s="2769">
        <v>181</v>
      </c>
      <c r="T122" s="2769">
        <v>170.90071232876716</v>
      </c>
      <c r="U122" s="2769">
        <v>96.8192876712329</v>
      </c>
      <c r="V122" s="2769">
        <v>12.5</v>
      </c>
      <c r="W122" s="2769">
        <v>0.18</v>
      </c>
      <c r="X122" s="2769">
        <v>4.0358790000000004</v>
      </c>
      <c r="Y122" s="2762">
        <f t="shared" si="3"/>
        <v>0</v>
      </c>
    </row>
    <row r="123" spans="1:25" x14ac:dyDescent="0.25">
      <c r="A123" s="2770" t="s">
        <v>1980</v>
      </c>
      <c r="B123" s="2766">
        <v>1242</v>
      </c>
      <c r="C123" s="2766" t="s">
        <v>1991</v>
      </c>
      <c r="D123" s="2766" t="s">
        <v>329</v>
      </c>
      <c r="E123" s="2766" t="s">
        <v>1984</v>
      </c>
      <c r="F123" s="2766" t="s">
        <v>350</v>
      </c>
      <c r="G123" s="2766">
        <v>124206</v>
      </c>
      <c r="H123" s="2766">
        <f>Dataark_til_bilag2_2018[[#This Row],[Stald_kode]]+Dataark_til_bilag2_2018[[#This Row],[Dyr_Kode]]</f>
        <v>125448</v>
      </c>
      <c r="I123" s="4347">
        <v>0</v>
      </c>
      <c r="J123" s="2766" t="s">
        <v>1977</v>
      </c>
      <c r="K123" s="2766"/>
      <c r="L123" s="2767">
        <v>4.8499999999999996</v>
      </c>
      <c r="M123" s="2767">
        <v>6.9000000000000006E-2</v>
      </c>
      <c r="N123" s="2760">
        <f>IFERROR(Dataark_til_bilag2_2018[[#This Row],[Antal dyr]]*Dataark_til_bilag2_2018[[#This Row],[Gødning (g) pr. dyr (ton)]]," ")</f>
        <v>0</v>
      </c>
      <c r="O123" s="2768"/>
      <c r="P123" s="2759">
        <v>0</v>
      </c>
      <c r="Q123" s="2767"/>
      <c r="R123" s="2769">
        <v>132</v>
      </c>
      <c r="S123" s="2769">
        <v>181</v>
      </c>
      <c r="T123" s="2769">
        <v>170.90071232876716</v>
      </c>
      <c r="U123" s="2769">
        <v>96.8192876712329</v>
      </c>
      <c r="V123" s="2769">
        <v>12.5</v>
      </c>
      <c r="W123" s="2769">
        <v>0.18</v>
      </c>
      <c r="X123" s="2769">
        <v>4.0358790000000004</v>
      </c>
      <c r="Y123" s="2762">
        <f t="shared" si="3"/>
        <v>0</v>
      </c>
    </row>
    <row r="124" spans="1:25" x14ac:dyDescent="0.25">
      <c r="A124" s="2770" t="s">
        <v>1980</v>
      </c>
      <c r="B124" s="2766">
        <v>1242</v>
      </c>
      <c r="C124" s="2766" t="s">
        <v>1991</v>
      </c>
      <c r="D124" s="2766" t="s">
        <v>329</v>
      </c>
      <c r="E124" s="2766" t="s">
        <v>1983</v>
      </c>
      <c r="F124" s="2766" t="s">
        <v>350</v>
      </c>
      <c r="G124" s="2766">
        <v>124207</v>
      </c>
      <c r="H124" s="2766">
        <f>Dataark_til_bilag2_2018[[#This Row],[Stald_kode]]+Dataark_til_bilag2_2018[[#This Row],[Dyr_Kode]]</f>
        <v>125449</v>
      </c>
      <c r="I124" s="4347">
        <v>0</v>
      </c>
      <c r="J124" s="2766" t="s">
        <v>1977</v>
      </c>
      <c r="K124" s="2766"/>
      <c r="L124" s="2767">
        <v>4.8499999999999996</v>
      </c>
      <c r="M124" s="2767">
        <v>6.9000000000000006E-2</v>
      </c>
      <c r="N124" s="2760">
        <f>IFERROR(Dataark_til_bilag2_2018[[#This Row],[Antal dyr]]*Dataark_til_bilag2_2018[[#This Row],[Gødning (g) pr. dyr (ton)]]," ")</f>
        <v>0</v>
      </c>
      <c r="O124" s="2768"/>
      <c r="P124" s="2759">
        <v>0</v>
      </c>
      <c r="Q124" s="2767"/>
      <c r="R124" s="2769">
        <v>132</v>
      </c>
      <c r="S124" s="2769">
        <v>181</v>
      </c>
      <c r="T124" s="2769">
        <v>170.90071232876716</v>
      </c>
      <c r="U124" s="2769">
        <v>96.8192876712329</v>
      </c>
      <c r="V124" s="2769">
        <v>12.5</v>
      </c>
      <c r="W124" s="2769">
        <v>0.18</v>
      </c>
      <c r="X124" s="2769">
        <v>4.0358790000000004</v>
      </c>
      <c r="Y124" s="2762">
        <f t="shared" si="3"/>
        <v>0</v>
      </c>
    </row>
    <row r="125" spans="1:25" x14ac:dyDescent="0.25">
      <c r="A125" s="2770" t="s">
        <v>1980</v>
      </c>
      <c r="B125" s="2766">
        <v>1242</v>
      </c>
      <c r="C125" s="2766" t="s">
        <v>1991</v>
      </c>
      <c r="D125" s="2766" t="s">
        <v>329</v>
      </c>
      <c r="E125" s="2766" t="s">
        <v>1982</v>
      </c>
      <c r="F125" s="2766" t="s">
        <v>354</v>
      </c>
      <c r="G125" s="2766">
        <v>124209</v>
      </c>
      <c r="H125" s="2766">
        <f>Dataark_til_bilag2_2018[[#This Row],[Stald_kode]]+Dataark_til_bilag2_2018[[#This Row],[Dyr_Kode]]</f>
        <v>125451</v>
      </c>
      <c r="I125" s="4347">
        <v>0</v>
      </c>
      <c r="J125" s="2766" t="s">
        <v>1977</v>
      </c>
      <c r="K125" s="2766"/>
      <c r="L125" s="2767">
        <v>7.28</v>
      </c>
      <c r="M125" s="2767">
        <v>0.121</v>
      </c>
      <c r="N125" s="2760">
        <f>IFERROR(Dataark_til_bilag2_2018[[#This Row],[Antal dyr]]*Dataark_til_bilag2_2018[[#This Row],[Gødning (g) pr. dyr (ton)]]," ")</f>
        <v>0</v>
      </c>
      <c r="O125" s="2768"/>
      <c r="P125" s="2759">
        <v>0</v>
      </c>
      <c r="Q125" s="2767"/>
      <c r="R125" s="2769">
        <v>132</v>
      </c>
      <c r="S125" s="2769">
        <v>181</v>
      </c>
      <c r="T125" s="2769">
        <v>449.85214246575345</v>
      </c>
      <c r="U125" s="2769">
        <v>254.85185753424659</v>
      </c>
      <c r="V125" s="2769">
        <v>12.5</v>
      </c>
      <c r="W125" s="2769">
        <v>0.18</v>
      </c>
      <c r="X125" s="2769">
        <v>10.623412800000001</v>
      </c>
      <c r="Y125" s="2762">
        <f t="shared" si="3"/>
        <v>0</v>
      </c>
    </row>
    <row r="126" spans="1:25" x14ac:dyDescent="0.25">
      <c r="A126" s="2770" t="s">
        <v>1980</v>
      </c>
      <c r="B126" s="2766">
        <v>1242</v>
      </c>
      <c r="C126" s="2766" t="s">
        <v>1991</v>
      </c>
      <c r="D126" s="2766" t="s">
        <v>329</v>
      </c>
      <c r="E126" s="2766" t="s">
        <v>2793</v>
      </c>
      <c r="F126" s="2766" t="s">
        <v>354</v>
      </c>
      <c r="G126" s="2766">
        <v>124210</v>
      </c>
      <c r="H126" s="2766">
        <f>Dataark_til_bilag2_2018[[#This Row],[Stald_kode]]+Dataark_til_bilag2_2018[[#This Row],[Dyr_Kode]]</f>
        <v>125452</v>
      </c>
      <c r="I126" s="4347">
        <v>0</v>
      </c>
      <c r="J126" s="2766" t="s">
        <v>1977</v>
      </c>
      <c r="K126" s="2766"/>
      <c r="L126" s="2767">
        <v>7.28</v>
      </c>
      <c r="M126" s="2767">
        <v>0.121</v>
      </c>
      <c r="N126" s="2760">
        <f>IFERROR(Dataark_til_bilag2_2018[[#This Row],[Antal dyr]]*Dataark_til_bilag2_2018[[#This Row],[Gødning (g) pr. dyr (ton)]]," ")</f>
        <v>0</v>
      </c>
      <c r="O126" s="2768"/>
      <c r="P126" s="2759">
        <v>0</v>
      </c>
      <c r="Q126" s="2767"/>
      <c r="R126" s="2769">
        <v>132</v>
      </c>
      <c r="S126" s="2769"/>
      <c r="T126" s="2769">
        <v>449.85214246575345</v>
      </c>
      <c r="U126" s="2769">
        <v>254.85185753424659</v>
      </c>
      <c r="V126" s="2769">
        <v>12.5</v>
      </c>
      <c r="W126" s="2769">
        <v>0.18</v>
      </c>
      <c r="X126" s="2769">
        <v>10.623412800000001</v>
      </c>
      <c r="Y126" s="2762">
        <f t="shared" si="3"/>
        <v>0</v>
      </c>
    </row>
    <row r="127" spans="1:25" x14ac:dyDescent="0.25">
      <c r="A127" s="2770" t="s">
        <v>1980</v>
      </c>
      <c r="B127" s="2766">
        <v>1242</v>
      </c>
      <c r="C127" s="2766" t="s">
        <v>1991</v>
      </c>
      <c r="D127" s="2766" t="s">
        <v>329</v>
      </c>
      <c r="E127" s="2766" t="s">
        <v>1990</v>
      </c>
      <c r="F127" s="2766" t="s">
        <v>354</v>
      </c>
      <c r="G127" s="2766">
        <v>124211</v>
      </c>
      <c r="H127" s="2766">
        <f>Dataark_til_bilag2_2018[[#This Row],[Stald_kode]]+Dataark_til_bilag2_2018[[#This Row],[Dyr_Kode]]</f>
        <v>125453</v>
      </c>
      <c r="I127" s="4347">
        <v>100</v>
      </c>
      <c r="J127" s="2766" t="s">
        <v>1977</v>
      </c>
      <c r="K127" s="2766"/>
      <c r="L127" s="2767">
        <v>7.28</v>
      </c>
      <c r="M127" s="2767">
        <v>0.121</v>
      </c>
      <c r="N127" s="2760">
        <f>IFERROR(Dataark_til_bilag2_2018[[#This Row],[Antal dyr]]*Dataark_til_bilag2_2018[[#This Row],[Gødning (g) pr. dyr (ton)]]," ")</f>
        <v>728</v>
      </c>
      <c r="O127" s="2768"/>
      <c r="P127" s="2759">
        <v>0</v>
      </c>
      <c r="Q127" s="2767"/>
      <c r="R127" s="2769">
        <v>132</v>
      </c>
      <c r="S127" s="2769">
        <v>181</v>
      </c>
      <c r="T127" s="2769">
        <v>449.85214246575345</v>
      </c>
      <c r="U127" s="2769">
        <v>254.85185753424659</v>
      </c>
      <c r="V127" s="2769">
        <v>12.5</v>
      </c>
      <c r="W127" s="2769">
        <v>0.18</v>
      </c>
      <c r="X127" s="2769">
        <v>10.623412800000001</v>
      </c>
      <c r="Y127" s="2762">
        <f t="shared" si="3"/>
        <v>1.0623412800000001</v>
      </c>
    </row>
    <row r="128" spans="1:25" x14ac:dyDescent="0.25">
      <c r="A128" s="2770" t="s">
        <v>1980</v>
      </c>
      <c r="B128" s="2766">
        <v>1243</v>
      </c>
      <c r="C128" s="2766" t="s">
        <v>1979</v>
      </c>
      <c r="D128" s="2766" t="s">
        <v>329</v>
      </c>
      <c r="E128" s="2766" t="s">
        <v>1989</v>
      </c>
      <c r="F128" s="2766" t="s">
        <v>639</v>
      </c>
      <c r="G128" s="2766">
        <v>124301</v>
      </c>
      <c r="H128" s="2766">
        <f>Dataark_til_bilag2_2018[[#This Row],[Stald_kode]]+Dataark_til_bilag2_2018[[#This Row],[Dyr_Kode]]</f>
        <v>125544</v>
      </c>
      <c r="I128" s="4347">
        <v>42.09</v>
      </c>
      <c r="J128" s="2766" t="s">
        <v>1903</v>
      </c>
      <c r="K128" s="2766"/>
      <c r="L128" s="2767">
        <v>4.1500000000000004</v>
      </c>
      <c r="M128" s="2767">
        <v>0.22800000000000001</v>
      </c>
      <c r="N128" s="2760">
        <f>IFERROR(Dataark_til_bilag2_2018[[#This Row],[Antal dyr]]*Dataark_til_bilag2_2018[[#This Row],[Gødning (g) pr. dyr (ton)]]," ")</f>
        <v>174.67350000000002</v>
      </c>
      <c r="O128" s="2768"/>
      <c r="P128" s="2759">
        <v>0</v>
      </c>
      <c r="Q128" s="2767"/>
      <c r="R128" s="2769">
        <v>132</v>
      </c>
      <c r="S128" s="2769">
        <v>181</v>
      </c>
      <c r="T128" s="2769">
        <v>483.21008219178088</v>
      </c>
      <c r="U128" s="2769">
        <v>273.74991780821921</v>
      </c>
      <c r="V128" s="2769">
        <v>2</v>
      </c>
      <c r="W128" s="2769">
        <v>0.18</v>
      </c>
      <c r="X128" s="2769">
        <v>1.8257875200000004</v>
      </c>
      <c r="Y128" s="2762">
        <f t="shared" si="3"/>
        <v>7.684739671680002E-2</v>
      </c>
    </row>
    <row r="129" spans="1:25" x14ac:dyDescent="0.25">
      <c r="A129" s="2770" t="s">
        <v>1980</v>
      </c>
      <c r="B129" s="2766">
        <v>1243</v>
      </c>
      <c r="C129" s="2766" t="s">
        <v>1979</v>
      </c>
      <c r="D129" s="2766" t="s">
        <v>329</v>
      </c>
      <c r="E129" s="2766" t="s">
        <v>1988</v>
      </c>
      <c r="F129" s="2766" t="s">
        <v>639</v>
      </c>
      <c r="G129" s="2766">
        <v>124302</v>
      </c>
      <c r="H129" s="2766">
        <f>Dataark_til_bilag2_2018[[#This Row],[Stald_kode]]+Dataark_til_bilag2_2018[[#This Row],[Dyr_Kode]]</f>
        <v>125545</v>
      </c>
      <c r="I129" s="4347">
        <v>0</v>
      </c>
      <c r="J129" s="2766" t="s">
        <v>1977</v>
      </c>
      <c r="K129" s="2766"/>
      <c r="L129" s="2767">
        <v>8.81</v>
      </c>
      <c r="M129" s="2767">
        <v>0.121</v>
      </c>
      <c r="N129" s="2760">
        <f>IFERROR(Dataark_til_bilag2_2018[[#This Row],[Antal dyr]]*Dataark_til_bilag2_2018[[#This Row],[Gødning (g) pr. dyr (ton)]]," ")</f>
        <v>0</v>
      </c>
      <c r="O129" s="2768"/>
      <c r="P129" s="2759">
        <v>0</v>
      </c>
      <c r="Q129" s="2767"/>
      <c r="R129" s="2769">
        <v>132</v>
      </c>
      <c r="S129" s="2769">
        <v>181</v>
      </c>
      <c r="T129" s="2769">
        <v>544.3952438356165</v>
      </c>
      <c r="U129" s="2769">
        <v>308.41275616438361</v>
      </c>
      <c r="V129" s="2769">
        <v>12.5</v>
      </c>
      <c r="W129" s="2769">
        <v>0.18</v>
      </c>
      <c r="X129" s="2769">
        <v>12.856080600000002</v>
      </c>
      <c r="Y129" s="2762">
        <f t="shared" si="3"/>
        <v>0</v>
      </c>
    </row>
    <row r="130" spans="1:25" x14ac:dyDescent="0.25">
      <c r="A130" s="2770" t="s">
        <v>1980</v>
      </c>
      <c r="B130" s="2766">
        <v>1243</v>
      </c>
      <c r="C130" s="2766" t="s">
        <v>1979</v>
      </c>
      <c r="D130" s="2766" t="s">
        <v>329</v>
      </c>
      <c r="E130" s="2766" t="s">
        <v>1987</v>
      </c>
      <c r="F130" s="2766" t="s">
        <v>350</v>
      </c>
      <c r="G130" s="2766">
        <v>124303</v>
      </c>
      <c r="H130" s="2766">
        <f>Dataark_til_bilag2_2018[[#This Row],[Stald_kode]]+Dataark_til_bilag2_2018[[#This Row],[Dyr_Kode]]</f>
        <v>125546</v>
      </c>
      <c r="I130" s="4347">
        <v>240.79</v>
      </c>
      <c r="J130" s="2766"/>
      <c r="K130" s="2766" t="s">
        <v>350</v>
      </c>
      <c r="L130" s="2767"/>
      <c r="M130" s="2767"/>
      <c r="N130" s="2760">
        <f>IFERROR(Dataark_til_bilag2_2018[[#This Row],[Antal dyr]]*Dataark_til_bilag2_2018[[#This Row],[Gødning (g) pr. dyr (ton)]]," ")</f>
        <v>0</v>
      </c>
      <c r="O130" s="2767">
        <v>10.06</v>
      </c>
      <c r="P130" s="2759">
        <v>2422.3474000000001</v>
      </c>
      <c r="Q130" s="2767">
        <v>0.3</v>
      </c>
      <c r="R130" s="2769">
        <v>132</v>
      </c>
      <c r="S130" s="2769">
        <v>181</v>
      </c>
      <c r="T130" s="2769">
        <v>1925.6919526027395</v>
      </c>
      <c r="U130" s="2769">
        <v>873.15287671232875</v>
      </c>
      <c r="V130" s="2769">
        <v>17</v>
      </c>
      <c r="W130" s="2769">
        <v>0.18</v>
      </c>
      <c r="X130" s="2769">
        <v>57.381916690617537</v>
      </c>
      <c r="Y130" s="2762">
        <f t="shared" si="3"/>
        <v>13.816991719933796</v>
      </c>
    </row>
    <row r="131" spans="1:25" x14ac:dyDescent="0.25">
      <c r="A131" s="2770" t="s">
        <v>1980</v>
      </c>
      <c r="B131" s="2766">
        <v>1243</v>
      </c>
      <c r="C131" s="2766" t="s">
        <v>1979</v>
      </c>
      <c r="D131" s="2766" t="s">
        <v>329</v>
      </c>
      <c r="E131" s="2766" t="s">
        <v>1986</v>
      </c>
      <c r="F131" s="2766" t="s">
        <v>350</v>
      </c>
      <c r="G131" s="2766">
        <v>124304</v>
      </c>
      <c r="H131" s="2766">
        <f>Dataark_til_bilag2_2018[[#This Row],[Stald_kode]]+Dataark_til_bilag2_2018[[#This Row],[Dyr_Kode]]</f>
        <v>125547</v>
      </c>
      <c r="I131" s="4347">
        <v>0</v>
      </c>
      <c r="J131" s="2766"/>
      <c r="K131" s="2766" t="s">
        <v>350</v>
      </c>
      <c r="L131" s="2767"/>
      <c r="M131" s="2767"/>
      <c r="N131" s="2760">
        <f>IFERROR(Dataark_til_bilag2_2018[[#This Row],[Antal dyr]]*Dataark_til_bilag2_2018[[#This Row],[Gødning (g) pr. dyr (ton)]]," ")</f>
        <v>0</v>
      </c>
      <c r="O131" s="2767">
        <v>9.3000000000000007</v>
      </c>
      <c r="P131" s="2759">
        <v>0</v>
      </c>
      <c r="Q131" s="2767">
        <v>0.3</v>
      </c>
      <c r="R131" s="2769">
        <v>132</v>
      </c>
      <c r="S131" s="2769">
        <v>181</v>
      </c>
      <c r="T131" s="2769">
        <v>1780.2122424657532</v>
      </c>
      <c r="U131" s="2769">
        <v>807.18904109589039</v>
      </c>
      <c r="V131" s="2769">
        <v>17</v>
      </c>
      <c r="W131" s="2769">
        <v>0.18</v>
      </c>
      <c r="X131" s="2769">
        <v>53.046901115580816</v>
      </c>
      <c r="Y131" s="2762">
        <f t="shared" si="3"/>
        <v>0</v>
      </c>
    </row>
    <row r="132" spans="1:25" x14ac:dyDescent="0.25">
      <c r="A132" s="2770" t="s">
        <v>1980</v>
      </c>
      <c r="B132" s="2766">
        <v>1243</v>
      </c>
      <c r="C132" s="2766" t="s">
        <v>1979</v>
      </c>
      <c r="D132" s="2766" t="s">
        <v>329</v>
      </c>
      <c r="E132" s="2766" t="s">
        <v>1985</v>
      </c>
      <c r="F132" s="2766" t="s">
        <v>350</v>
      </c>
      <c r="G132" s="2766">
        <v>124305</v>
      </c>
      <c r="H132" s="2766">
        <f>Dataark_til_bilag2_2018[[#This Row],[Stald_kode]]+Dataark_til_bilag2_2018[[#This Row],[Dyr_Kode]]</f>
        <v>125548</v>
      </c>
      <c r="I132" s="4347">
        <v>0</v>
      </c>
      <c r="J132" s="2766" t="s">
        <v>1977</v>
      </c>
      <c r="K132" s="2766"/>
      <c r="L132" s="2767">
        <v>5.5</v>
      </c>
      <c r="M132" s="2767">
        <v>6.9000000000000006E-2</v>
      </c>
      <c r="N132" s="2760">
        <f>IFERROR(Dataark_til_bilag2_2018[[#This Row],[Antal dyr]]*Dataark_til_bilag2_2018[[#This Row],[Gødning (g) pr. dyr (ton)]]," ")</f>
        <v>0</v>
      </c>
      <c r="O132" s="2768"/>
      <c r="P132" s="2759">
        <v>0</v>
      </c>
      <c r="Q132" s="2767"/>
      <c r="R132" s="2769">
        <v>132</v>
      </c>
      <c r="S132" s="2769">
        <v>181</v>
      </c>
      <c r="T132" s="2769">
        <v>193.80493150684936</v>
      </c>
      <c r="U132" s="2769">
        <v>109.79506849315069</v>
      </c>
      <c r="V132" s="2769">
        <v>12.5</v>
      </c>
      <c r="W132" s="2769">
        <v>0.18</v>
      </c>
      <c r="X132" s="2769">
        <v>4.5767700000000016</v>
      </c>
      <c r="Y132" s="2762">
        <f t="shared" si="3"/>
        <v>0</v>
      </c>
    </row>
    <row r="133" spans="1:25" x14ac:dyDescent="0.25">
      <c r="A133" s="2770" t="s">
        <v>1980</v>
      </c>
      <c r="B133" s="2766">
        <v>1243</v>
      </c>
      <c r="C133" s="2766" t="s">
        <v>1979</v>
      </c>
      <c r="D133" s="2766" t="s">
        <v>329</v>
      </c>
      <c r="E133" s="2766" t="s">
        <v>1984</v>
      </c>
      <c r="F133" s="2766" t="s">
        <v>350</v>
      </c>
      <c r="G133" s="2766">
        <v>124306</v>
      </c>
      <c r="H133" s="2766">
        <f>Dataark_til_bilag2_2018[[#This Row],[Stald_kode]]+Dataark_til_bilag2_2018[[#This Row],[Dyr_Kode]]</f>
        <v>125549</v>
      </c>
      <c r="I133" s="4347">
        <v>0</v>
      </c>
      <c r="J133" s="2766" t="s">
        <v>1977</v>
      </c>
      <c r="K133" s="2766"/>
      <c r="L133" s="2767">
        <v>5.5</v>
      </c>
      <c r="M133" s="2767">
        <v>6.9000000000000006E-2</v>
      </c>
      <c r="N133" s="2760">
        <f>IFERROR(Dataark_til_bilag2_2018[[#This Row],[Antal dyr]]*Dataark_til_bilag2_2018[[#This Row],[Gødning (g) pr. dyr (ton)]]," ")</f>
        <v>0</v>
      </c>
      <c r="O133" s="2768"/>
      <c r="P133" s="2759">
        <v>0</v>
      </c>
      <c r="Q133" s="2767"/>
      <c r="R133" s="2769">
        <v>132</v>
      </c>
      <c r="S133" s="2769">
        <v>181</v>
      </c>
      <c r="T133" s="2769">
        <v>193.80493150684936</v>
      </c>
      <c r="U133" s="2769">
        <v>109.79506849315069</v>
      </c>
      <c r="V133" s="2769">
        <v>12.5</v>
      </c>
      <c r="W133" s="2769">
        <v>0.18</v>
      </c>
      <c r="X133" s="2769">
        <v>4.5767700000000016</v>
      </c>
      <c r="Y133" s="2762">
        <f t="shared" ref="Y133:Y160" si="4">IFERROR(IFERROR((X133*I133)/1000,(X133*I132)/1000),"-")</f>
        <v>0</v>
      </c>
    </row>
    <row r="134" spans="1:25" x14ac:dyDescent="0.25">
      <c r="A134" s="2770" t="s">
        <v>1980</v>
      </c>
      <c r="B134" s="2766">
        <v>1243</v>
      </c>
      <c r="C134" s="2766" t="s">
        <v>1979</v>
      </c>
      <c r="D134" s="2766" t="s">
        <v>329</v>
      </c>
      <c r="E134" s="2766" t="s">
        <v>1983</v>
      </c>
      <c r="F134" s="2766" t="s">
        <v>350</v>
      </c>
      <c r="G134" s="2766">
        <v>124307</v>
      </c>
      <c r="H134" s="2766">
        <f>Dataark_til_bilag2_2018[[#This Row],[Stald_kode]]+Dataark_til_bilag2_2018[[#This Row],[Dyr_Kode]]</f>
        <v>125550</v>
      </c>
      <c r="I134" s="4347">
        <v>0</v>
      </c>
      <c r="J134" s="2766" t="s">
        <v>1977</v>
      </c>
      <c r="K134" s="2766"/>
      <c r="L134" s="2767">
        <v>5.5</v>
      </c>
      <c r="M134" s="2767">
        <v>6.9000000000000006E-2</v>
      </c>
      <c r="N134" s="2760">
        <f>IFERROR(Dataark_til_bilag2_2018[[#This Row],[Antal dyr]]*Dataark_til_bilag2_2018[[#This Row],[Gødning (g) pr. dyr (ton)]]," ")</f>
        <v>0</v>
      </c>
      <c r="O134" s="2768"/>
      <c r="P134" s="2759">
        <v>0</v>
      </c>
      <c r="Q134" s="2767"/>
      <c r="R134" s="2769">
        <v>132</v>
      </c>
      <c r="S134" s="2769">
        <v>181</v>
      </c>
      <c r="T134" s="2769">
        <v>193.80493150684936</v>
      </c>
      <c r="U134" s="2769">
        <v>109.79506849315069</v>
      </c>
      <c r="V134" s="2769">
        <v>12.5</v>
      </c>
      <c r="W134" s="2769">
        <v>0.18</v>
      </c>
      <c r="X134" s="2769">
        <v>4.5767700000000016</v>
      </c>
      <c r="Y134" s="2762">
        <f t="shared" si="4"/>
        <v>0</v>
      </c>
    </row>
    <row r="135" spans="1:25" x14ac:dyDescent="0.25">
      <c r="A135" s="2770" t="s">
        <v>1980</v>
      </c>
      <c r="B135" s="2766">
        <v>1243</v>
      </c>
      <c r="C135" s="2766" t="s">
        <v>1979</v>
      </c>
      <c r="D135" s="2766" t="s">
        <v>329</v>
      </c>
      <c r="E135" s="2766" t="s">
        <v>1982</v>
      </c>
      <c r="F135" s="2766" t="s">
        <v>354</v>
      </c>
      <c r="G135" s="2766">
        <v>124309</v>
      </c>
      <c r="H135" s="2766">
        <f>Dataark_til_bilag2_2018[[#This Row],[Stald_kode]]+Dataark_til_bilag2_2018[[#This Row],[Dyr_Kode]]</f>
        <v>125552</v>
      </c>
      <c r="I135" s="4347">
        <v>0</v>
      </c>
      <c r="J135" s="2766" t="s">
        <v>1977</v>
      </c>
      <c r="K135" s="2766"/>
      <c r="L135" s="2767">
        <v>8.1999999999999993</v>
      </c>
      <c r="M135" s="2767">
        <v>0.121</v>
      </c>
      <c r="N135" s="2760">
        <f>IFERROR(Dataark_til_bilag2_2018[[#This Row],[Antal dyr]]*Dataark_til_bilag2_2018[[#This Row],[Gødning (g) pr. dyr (ton)]]," ")</f>
        <v>0</v>
      </c>
      <c r="O135" s="2768"/>
      <c r="P135" s="2759">
        <v>0</v>
      </c>
      <c r="Q135" s="2767"/>
      <c r="R135" s="2769">
        <v>132</v>
      </c>
      <c r="S135" s="2769">
        <v>181</v>
      </c>
      <c r="T135" s="2769">
        <v>506.70158904109599</v>
      </c>
      <c r="U135" s="2769">
        <v>287.05841095890412</v>
      </c>
      <c r="V135" s="2769">
        <v>12.5</v>
      </c>
      <c r="W135" s="2769">
        <v>0.18</v>
      </c>
      <c r="X135" s="2769">
        <v>11.965932000000002</v>
      </c>
      <c r="Y135" s="2762">
        <f t="shared" si="4"/>
        <v>0</v>
      </c>
    </row>
    <row r="136" spans="1:25" x14ac:dyDescent="0.25">
      <c r="A136" s="2770" t="s">
        <v>1980</v>
      </c>
      <c r="B136" s="2766">
        <v>1243</v>
      </c>
      <c r="C136" s="2766" t="s">
        <v>1979</v>
      </c>
      <c r="D136" s="2766" t="s">
        <v>329</v>
      </c>
      <c r="E136" s="2766" t="s">
        <v>2793</v>
      </c>
      <c r="F136" s="2766" t="s">
        <v>354</v>
      </c>
      <c r="G136" s="2766">
        <v>124310</v>
      </c>
      <c r="H136" s="2766">
        <f>Dataark_til_bilag2_2018[[#This Row],[Stald_kode]]+Dataark_til_bilag2_2018[[#This Row],[Dyr_Kode]]</f>
        <v>125553</v>
      </c>
      <c r="I136" s="4347">
        <v>0</v>
      </c>
      <c r="J136" s="2766" t="s">
        <v>1977</v>
      </c>
      <c r="K136" s="2766"/>
      <c r="L136" s="2767">
        <v>8.1999999999999993</v>
      </c>
      <c r="M136" s="2767">
        <v>0.121</v>
      </c>
      <c r="N136" s="2760">
        <f>IFERROR(Dataark_til_bilag2_2018[[#This Row],[Antal dyr]]*Dataark_til_bilag2_2018[[#This Row],[Gødning (g) pr. dyr (ton)]]," ")</f>
        <v>0</v>
      </c>
      <c r="O136" s="2768"/>
      <c r="P136" s="2759">
        <v>0</v>
      </c>
      <c r="Q136" s="2767"/>
      <c r="R136" s="2769">
        <v>132</v>
      </c>
      <c r="S136" s="2769">
        <v>181</v>
      </c>
      <c r="T136" s="2769">
        <v>506.70158904109599</v>
      </c>
      <c r="U136" s="2769">
        <v>287.05841095890412</v>
      </c>
      <c r="V136" s="2769">
        <v>12.5</v>
      </c>
      <c r="W136" s="2769">
        <v>0.18</v>
      </c>
      <c r="X136" s="2769">
        <v>11.965932000000002</v>
      </c>
      <c r="Y136" s="2762">
        <f t="shared" si="4"/>
        <v>0</v>
      </c>
    </row>
    <row r="137" spans="1:25" x14ac:dyDescent="0.25">
      <c r="A137" s="2770" t="s">
        <v>1980</v>
      </c>
      <c r="B137" s="2766">
        <v>1243</v>
      </c>
      <c r="C137" s="2766" t="s">
        <v>1979</v>
      </c>
      <c r="D137" s="2766" t="s">
        <v>329</v>
      </c>
      <c r="E137" s="2766" t="s">
        <v>1978</v>
      </c>
      <c r="F137" s="2766" t="s">
        <v>354</v>
      </c>
      <c r="G137" s="2766">
        <v>124311</v>
      </c>
      <c r="H137" s="2766">
        <f>Dataark_til_bilag2_2018[[#This Row],[Stald_kode]]+Dataark_til_bilag2_2018[[#This Row],[Dyr_Kode]]</f>
        <v>125554</v>
      </c>
      <c r="I137" s="4347">
        <v>0</v>
      </c>
      <c r="J137" s="2766" t="s">
        <v>1977</v>
      </c>
      <c r="K137" s="2766"/>
      <c r="L137" s="2767">
        <v>8.1999999999999993</v>
      </c>
      <c r="M137" s="2767">
        <v>0.121</v>
      </c>
      <c r="N137" s="2760">
        <f>IFERROR(Dataark_til_bilag2_2018[[#This Row],[Antal dyr]]*Dataark_til_bilag2_2018[[#This Row],[Gødning (g) pr. dyr (ton)]]," ")</f>
        <v>0</v>
      </c>
      <c r="O137" s="2768"/>
      <c r="P137" s="2759">
        <v>0</v>
      </c>
      <c r="Q137" s="2767"/>
      <c r="R137" s="2769">
        <v>132</v>
      </c>
      <c r="S137" s="2769">
        <v>181</v>
      </c>
      <c r="T137" s="2769">
        <v>506.70158904109599</v>
      </c>
      <c r="U137" s="2769">
        <v>287.05841095890412</v>
      </c>
      <c r="V137" s="2769">
        <v>12.5</v>
      </c>
      <c r="W137" s="2769">
        <v>0.18</v>
      </c>
      <c r="X137" s="2769">
        <v>11.965932000000002</v>
      </c>
      <c r="Y137" s="2762">
        <f t="shared" si="4"/>
        <v>0</v>
      </c>
    </row>
    <row r="138" spans="1:25" x14ac:dyDescent="0.25">
      <c r="A138" s="2770" t="s">
        <v>963</v>
      </c>
      <c r="B138" s="2766">
        <v>1300</v>
      </c>
      <c r="C138" s="2766" t="s">
        <v>1976</v>
      </c>
      <c r="D138" s="2766" t="s">
        <v>333</v>
      </c>
      <c r="E138" s="2766" t="s">
        <v>963</v>
      </c>
      <c r="F138" s="2766" t="s">
        <v>352</v>
      </c>
      <c r="G138" s="2766">
        <v>130001</v>
      </c>
      <c r="H138" s="2766">
        <f>Dataark_til_bilag2_2018[[#This Row],[Stald_kode]]+Dataark_til_bilag2_2018[[#This Row],[Dyr_Kode]]</f>
        <v>131301</v>
      </c>
      <c r="I138" s="4347">
        <v>403.89</v>
      </c>
      <c r="J138" s="2766"/>
      <c r="K138" s="2766" t="s">
        <v>350</v>
      </c>
      <c r="L138" s="2767"/>
      <c r="M138" s="2767"/>
      <c r="N138" s="2760">
        <f>IFERROR(Dataark_til_bilag2_2018[[#This Row],[Antal dyr]]*Dataark_til_bilag2_2018[[#This Row],[Gødning (g) pr. dyr (ton)]]," ")</f>
        <v>0</v>
      </c>
      <c r="O138" s="2767">
        <v>1.1299999999999999</v>
      </c>
      <c r="P138" s="2759">
        <v>456.39569999999992</v>
      </c>
      <c r="Q138" s="2767">
        <v>0.34599999999999997</v>
      </c>
      <c r="R138" s="2769">
        <v>265</v>
      </c>
      <c r="S138" s="2769">
        <v>265</v>
      </c>
      <c r="T138" s="2769">
        <v>107.06960520547945</v>
      </c>
      <c r="U138" s="2769">
        <v>227.08975342465752</v>
      </c>
      <c r="V138" s="2769">
        <v>5.38</v>
      </c>
      <c r="W138" s="2769">
        <v>0.19</v>
      </c>
      <c r="X138" s="2769">
        <v>2.2885705658245641</v>
      </c>
      <c r="Y138" s="2762">
        <f t="shared" si="4"/>
        <v>0.92433076583088314</v>
      </c>
    </row>
    <row r="139" spans="1:25" x14ac:dyDescent="0.25">
      <c r="A139" s="2770" t="s">
        <v>961</v>
      </c>
      <c r="B139" s="2766">
        <v>1401</v>
      </c>
      <c r="C139" s="2766" t="s">
        <v>1975</v>
      </c>
      <c r="D139" s="2766" t="s">
        <v>333</v>
      </c>
      <c r="E139" s="2766" t="s">
        <v>1974</v>
      </c>
      <c r="F139" s="2766" t="s">
        <v>2743</v>
      </c>
      <c r="G139" s="2766">
        <v>140101</v>
      </c>
      <c r="H139" s="2766">
        <f>Dataark_til_bilag2_2018[[#This Row],[Stald_kode]]+Dataark_til_bilag2_2018[[#This Row],[Dyr_Kode]]</f>
        <v>141502</v>
      </c>
      <c r="I139" s="4347">
        <v>0</v>
      </c>
      <c r="J139" s="2766"/>
      <c r="K139" s="2766" t="s">
        <v>350</v>
      </c>
      <c r="L139" s="2767"/>
      <c r="M139" s="2767"/>
      <c r="N139" s="2760">
        <f>IFERROR(Dataark_til_bilag2_2018[[#This Row],[Antal dyr]]*Dataark_til_bilag2_2018[[#This Row],[Gødning (g) pr. dyr (ton)]]," ")</f>
        <v>0</v>
      </c>
      <c r="O139" s="2767">
        <v>1.21</v>
      </c>
      <c r="P139" s="2759">
        <v>0</v>
      </c>
      <c r="Q139" s="2767">
        <v>0.34599999999999997</v>
      </c>
      <c r="R139" s="2769">
        <v>265</v>
      </c>
      <c r="S139" s="2769">
        <v>265</v>
      </c>
      <c r="T139" s="2769">
        <v>114.64975424657534</v>
      </c>
      <c r="U139" s="2769">
        <v>243.16690410958904</v>
      </c>
      <c r="V139" s="2769">
        <v>17</v>
      </c>
      <c r="W139" s="2769">
        <v>0.18</v>
      </c>
      <c r="X139" s="2769">
        <v>7.3359571296180821</v>
      </c>
      <c r="Y139" s="2762">
        <f t="shared" si="4"/>
        <v>0</v>
      </c>
    </row>
    <row r="140" spans="1:25" x14ac:dyDescent="0.25">
      <c r="A140" s="2770" t="s">
        <v>961</v>
      </c>
      <c r="B140" s="2766">
        <v>1402</v>
      </c>
      <c r="C140" s="2766" t="s">
        <v>1973</v>
      </c>
      <c r="D140" s="2766" t="s">
        <v>333</v>
      </c>
      <c r="E140" s="2766" t="s">
        <v>1972</v>
      </c>
      <c r="F140" s="2766" t="s">
        <v>2743</v>
      </c>
      <c r="G140" s="2766">
        <v>140201</v>
      </c>
      <c r="H140" s="2766">
        <f>Dataark_til_bilag2_2018[[#This Row],[Stald_kode]]+Dataark_til_bilag2_2018[[#This Row],[Dyr_Kode]]</f>
        <v>141603</v>
      </c>
      <c r="I140" s="4347">
        <v>0</v>
      </c>
      <c r="J140" s="2766"/>
      <c r="K140" s="2766" t="s">
        <v>350</v>
      </c>
      <c r="L140" s="2767"/>
      <c r="M140" s="2767"/>
      <c r="N140" s="2760">
        <f>IFERROR(Dataark_til_bilag2_2018[[#This Row],[Antal dyr]]*Dataark_til_bilag2_2018[[#This Row],[Gødning (g) pr. dyr (ton)]]," ")</f>
        <v>0</v>
      </c>
      <c r="O140" s="2767">
        <v>1.1000000000000001</v>
      </c>
      <c r="P140" s="2759">
        <v>0</v>
      </c>
      <c r="Q140" s="2767">
        <v>0.34599999999999997</v>
      </c>
      <c r="R140" s="2769">
        <v>265</v>
      </c>
      <c r="S140" s="2769">
        <v>265</v>
      </c>
      <c r="T140" s="2769">
        <v>104.22704931506848</v>
      </c>
      <c r="U140" s="2769">
        <v>221.06082191780823</v>
      </c>
      <c r="V140" s="2769">
        <v>17</v>
      </c>
      <c r="W140" s="2769">
        <v>0.18</v>
      </c>
      <c r="X140" s="2769">
        <v>6.6690519360164391</v>
      </c>
      <c r="Y140" s="2762">
        <f t="shared" si="4"/>
        <v>0</v>
      </c>
    </row>
    <row r="141" spans="1:25" x14ac:dyDescent="0.25">
      <c r="A141" s="2770" t="s">
        <v>961</v>
      </c>
      <c r="B141" s="2766">
        <v>1403</v>
      </c>
      <c r="C141" s="2766" t="s">
        <v>1971</v>
      </c>
      <c r="D141" s="2766" t="s">
        <v>333</v>
      </c>
      <c r="E141" s="2766" t="s">
        <v>1970</v>
      </c>
      <c r="F141" s="2766" t="s">
        <v>2743</v>
      </c>
      <c r="G141" s="2766">
        <v>140301</v>
      </c>
      <c r="H141" s="2766">
        <f>Dataark_til_bilag2_2018[[#This Row],[Stald_kode]]+Dataark_til_bilag2_2018[[#This Row],[Dyr_Kode]]</f>
        <v>141704</v>
      </c>
      <c r="I141" s="4347">
        <v>0</v>
      </c>
      <c r="J141" s="2766"/>
      <c r="K141" s="2766" t="s">
        <v>350</v>
      </c>
      <c r="L141" s="2767"/>
      <c r="M141" s="2767"/>
      <c r="N141" s="2760">
        <f>IFERROR(Dataark_til_bilag2_2018[[#This Row],[Antal dyr]]*Dataark_til_bilag2_2018[[#This Row],[Gødning (g) pr. dyr (ton)]]," ")</f>
        <v>0</v>
      </c>
      <c r="O141" s="2767">
        <v>1.1299999999999999</v>
      </c>
      <c r="P141" s="2759">
        <v>0</v>
      </c>
      <c r="Q141" s="2767">
        <v>0.34599999999999997</v>
      </c>
      <c r="R141" s="2769">
        <v>265</v>
      </c>
      <c r="S141" s="2769">
        <v>265</v>
      </c>
      <c r="T141" s="2769">
        <v>107.06960520547945</v>
      </c>
      <c r="U141" s="2769">
        <v>227.08975342465752</v>
      </c>
      <c r="V141" s="2769">
        <v>17</v>
      </c>
      <c r="W141" s="2769">
        <v>0.18</v>
      </c>
      <c r="X141" s="2769">
        <v>6.8509351706350676</v>
      </c>
      <c r="Y141" s="2762">
        <f t="shared" si="4"/>
        <v>0</v>
      </c>
    </row>
    <row r="142" spans="1:25" x14ac:dyDescent="0.25">
      <c r="A142" s="2770" t="s">
        <v>907</v>
      </c>
      <c r="B142" s="2766">
        <v>1501</v>
      </c>
      <c r="C142" s="2766" t="s">
        <v>2757</v>
      </c>
      <c r="D142" s="2766" t="s">
        <v>342</v>
      </c>
      <c r="E142" s="2766" t="s">
        <v>1969</v>
      </c>
      <c r="F142" s="2766" t="s">
        <v>353</v>
      </c>
      <c r="G142" s="2766">
        <v>150101</v>
      </c>
      <c r="H142" s="2766">
        <f>Dataark_til_bilag2_2018[[#This Row],[Stald_kode]]+Dataark_til_bilag2_2018[[#This Row],[Dyr_Kode]]</f>
        <v>151602</v>
      </c>
      <c r="I142" s="4347">
        <v>0</v>
      </c>
      <c r="J142" s="2766" t="s">
        <v>1941</v>
      </c>
      <c r="K142" s="2766"/>
      <c r="L142" s="2767">
        <v>3.98</v>
      </c>
      <c r="M142" s="2767">
        <v>0.05</v>
      </c>
      <c r="N142" s="2760">
        <f>IFERROR(Dataark_til_bilag2_2018[[#This Row],[Antal dyr]]*Dataark_til_bilag2_2018[[#This Row],[Gødning (g) pr. dyr (ton)]]," ")</f>
        <v>0</v>
      </c>
      <c r="O142" s="2768"/>
      <c r="P142" s="2759">
        <v>0</v>
      </c>
      <c r="Q142" s="2767"/>
      <c r="R142" s="2769">
        <v>0</v>
      </c>
      <c r="S142" s="2769">
        <v>181</v>
      </c>
      <c r="T142" s="2769">
        <v>159.20000000000002</v>
      </c>
      <c r="U142" s="2769">
        <v>0</v>
      </c>
      <c r="V142" s="2769">
        <v>13.4</v>
      </c>
      <c r="W142" s="2769">
        <v>0.45</v>
      </c>
      <c r="X142" s="2769">
        <v>6.4318392000000015</v>
      </c>
      <c r="Y142" s="2762">
        <f t="shared" si="4"/>
        <v>0</v>
      </c>
    </row>
    <row r="143" spans="1:25" x14ac:dyDescent="0.25">
      <c r="A143" s="2770" t="s">
        <v>907</v>
      </c>
      <c r="B143" s="2766">
        <v>1501</v>
      </c>
      <c r="C143" s="2766" t="s">
        <v>2757</v>
      </c>
      <c r="D143" s="2766" t="s">
        <v>342</v>
      </c>
      <c r="E143" s="2766" t="s">
        <v>1968</v>
      </c>
      <c r="F143" s="2766" t="s">
        <v>350</v>
      </c>
      <c r="G143" s="2766">
        <v>150104</v>
      </c>
      <c r="H143" s="2766">
        <f>Dataark_til_bilag2_2018[[#This Row],[Stald_kode]]+Dataark_til_bilag2_2018[[#This Row],[Dyr_Kode]]</f>
        <v>151605</v>
      </c>
      <c r="I143" s="4347">
        <v>0</v>
      </c>
      <c r="J143" s="2766" t="s">
        <v>1941</v>
      </c>
      <c r="K143" s="2766"/>
      <c r="L143" s="2767">
        <v>2.2000000000000002</v>
      </c>
      <c r="M143" s="2767">
        <v>5.5E-2</v>
      </c>
      <c r="N143" s="2760">
        <f>IFERROR(Dataark_til_bilag2_2018[[#This Row],[Antal dyr]]*Dataark_til_bilag2_2018[[#This Row],[Gødning (g) pr. dyr (ton)]]," ")</f>
        <v>0</v>
      </c>
      <c r="O143" s="2768"/>
      <c r="P143" s="2759">
        <v>0</v>
      </c>
      <c r="Q143" s="2767"/>
      <c r="R143" s="2769">
        <v>0</v>
      </c>
      <c r="S143" s="2769">
        <v>181</v>
      </c>
      <c r="T143" s="2769">
        <v>96.800000000000011</v>
      </c>
      <c r="U143" s="2769">
        <v>0</v>
      </c>
      <c r="V143" s="2769">
        <v>13.4</v>
      </c>
      <c r="W143" s="2769">
        <v>0.45</v>
      </c>
      <c r="X143" s="2769">
        <v>3.910816800000001</v>
      </c>
      <c r="Y143" s="2762">
        <f t="shared" si="4"/>
        <v>0</v>
      </c>
    </row>
    <row r="144" spans="1:25" x14ac:dyDescent="0.25">
      <c r="A144" s="2770" t="s">
        <v>907</v>
      </c>
      <c r="B144" s="2766">
        <v>1501</v>
      </c>
      <c r="C144" s="2766" t="s">
        <v>2757</v>
      </c>
      <c r="D144" s="2766" t="s">
        <v>342</v>
      </c>
      <c r="E144" s="2766" t="s">
        <v>1967</v>
      </c>
      <c r="F144" s="2766" t="s">
        <v>350</v>
      </c>
      <c r="G144" s="2766">
        <v>150105</v>
      </c>
      <c r="H144" s="2766">
        <f>Dataark_til_bilag2_2018[[#This Row],[Stald_kode]]+Dataark_til_bilag2_2018[[#This Row],[Dyr_Kode]]</f>
        <v>151606</v>
      </c>
      <c r="I144" s="4347">
        <v>0</v>
      </c>
      <c r="J144" s="2766" t="s">
        <v>1941</v>
      </c>
      <c r="K144" s="2766"/>
      <c r="L144" s="2767">
        <v>2.2000000000000002</v>
      </c>
      <c r="M144" s="2767">
        <v>5.5E-2</v>
      </c>
      <c r="N144" s="2760">
        <f>IFERROR(Dataark_til_bilag2_2018[[#This Row],[Antal dyr]]*Dataark_til_bilag2_2018[[#This Row],[Gødning (g) pr. dyr (ton)]]," ")</f>
        <v>0</v>
      </c>
      <c r="O144" s="2768"/>
      <c r="P144" s="2759">
        <v>0</v>
      </c>
      <c r="Q144" s="2767"/>
      <c r="R144" s="2769">
        <v>0</v>
      </c>
      <c r="S144" s="2769">
        <v>181</v>
      </c>
      <c r="T144" s="2769">
        <v>96.800000000000011</v>
      </c>
      <c r="U144" s="2769">
        <v>0</v>
      </c>
      <c r="V144" s="2769">
        <v>13.4</v>
      </c>
      <c r="W144" s="2769">
        <v>0.45</v>
      </c>
      <c r="X144" s="2769">
        <v>3.910816800000001</v>
      </c>
      <c r="Y144" s="2762">
        <f t="shared" si="4"/>
        <v>0</v>
      </c>
    </row>
    <row r="145" spans="1:25" x14ac:dyDescent="0.25">
      <c r="A145" s="2770" t="s">
        <v>2751</v>
      </c>
      <c r="B145" s="2766">
        <v>1501</v>
      </c>
      <c r="C145" s="2766" t="s">
        <v>1964</v>
      </c>
      <c r="D145" s="2766" t="s">
        <v>342</v>
      </c>
      <c r="E145" s="2766" t="s">
        <v>1966</v>
      </c>
      <c r="F145" s="2776" t="s">
        <v>350</v>
      </c>
      <c r="G145" s="2766">
        <v>150106</v>
      </c>
      <c r="H145" s="2766">
        <f>Dataark_til_bilag2_2018[[#This Row],[Stald_kode]]+Dataark_til_bilag2_2018[[#This Row],[Dyr_Kode]]</f>
        <v>151607</v>
      </c>
      <c r="I145" s="4347">
        <v>0</v>
      </c>
      <c r="J145" s="2766"/>
      <c r="K145" s="2766" t="s">
        <v>2760</v>
      </c>
      <c r="L145" s="2767"/>
      <c r="M145" s="2767"/>
      <c r="N145" s="2760">
        <f>IFERROR(Dataark_til_bilag2_2018[[#This Row],[Antal dyr]]*Dataark_til_bilag2_2018[[#This Row],[Gødning (g) pr. dyr (ton)]]," ")</f>
        <v>0</v>
      </c>
      <c r="O145" s="2767">
        <v>1.78</v>
      </c>
      <c r="P145" s="2759">
        <v>0</v>
      </c>
      <c r="Q145" s="2767">
        <v>0.33</v>
      </c>
      <c r="R145" s="2769">
        <v>0</v>
      </c>
      <c r="S145" s="2769">
        <v>181</v>
      </c>
      <c r="T145" s="2769">
        <v>587.13567</v>
      </c>
      <c r="U145" s="2769">
        <v>0</v>
      </c>
      <c r="V145" s="2769">
        <v>14.7</v>
      </c>
      <c r="W145" s="2769">
        <v>0.45</v>
      </c>
      <c r="X145" s="2769">
        <v>26.022146462235003</v>
      </c>
      <c r="Y145" s="2762">
        <f t="shared" si="4"/>
        <v>0</v>
      </c>
    </row>
    <row r="146" spans="1:25" x14ac:dyDescent="0.25">
      <c r="A146" s="2770" t="s">
        <v>907</v>
      </c>
      <c r="B146" s="2766">
        <v>1501</v>
      </c>
      <c r="C146" s="2766" t="s">
        <v>2757</v>
      </c>
      <c r="D146" s="2766" t="s">
        <v>342</v>
      </c>
      <c r="E146" s="2766" t="s">
        <v>1965</v>
      </c>
      <c r="F146" s="2766" t="s">
        <v>353</v>
      </c>
      <c r="G146" s="2766">
        <v>150107</v>
      </c>
      <c r="H146" s="2766">
        <f>Dataark_til_bilag2_2018[[#This Row],[Stald_kode]]+Dataark_til_bilag2_2018[[#This Row],[Dyr_Kode]]</f>
        <v>151608</v>
      </c>
      <c r="I146" s="4347">
        <v>0</v>
      </c>
      <c r="J146" s="2766" t="s">
        <v>1941</v>
      </c>
      <c r="K146" s="2766"/>
      <c r="L146" s="2767">
        <v>4.7</v>
      </c>
      <c r="M146" s="2767">
        <v>4.4999999999999998E-2</v>
      </c>
      <c r="N146" s="2760">
        <f>IFERROR(Dataark_til_bilag2_2018[[#This Row],[Antal dyr]]*Dataark_til_bilag2_2018[[#This Row],[Gødning (g) pr. dyr (ton)]]," ")</f>
        <v>0</v>
      </c>
      <c r="O146" s="2768"/>
      <c r="P146" s="2759">
        <v>0</v>
      </c>
      <c r="Q146" s="2767"/>
      <c r="R146" s="2769">
        <v>0</v>
      </c>
      <c r="S146" s="2769">
        <v>181</v>
      </c>
      <c r="T146" s="2769">
        <v>169.20000000000002</v>
      </c>
      <c r="U146" s="2769">
        <v>0</v>
      </c>
      <c r="V146" s="2769">
        <v>13.4</v>
      </c>
      <c r="W146" s="2769">
        <v>0.45</v>
      </c>
      <c r="X146" s="2769">
        <v>6.835849200000002</v>
      </c>
      <c r="Y146" s="2762">
        <f t="shared" si="4"/>
        <v>0</v>
      </c>
    </row>
    <row r="147" spans="1:25" x14ac:dyDescent="0.25">
      <c r="A147" s="2770" t="s">
        <v>907</v>
      </c>
      <c r="B147" s="2766">
        <v>1501</v>
      </c>
      <c r="C147" s="2766" t="s">
        <v>2757</v>
      </c>
      <c r="D147" s="2766" t="s">
        <v>342</v>
      </c>
      <c r="E147" s="2766" t="s">
        <v>1963</v>
      </c>
      <c r="F147" s="2766" t="s">
        <v>353</v>
      </c>
      <c r="G147" s="2766">
        <v>150108</v>
      </c>
      <c r="H147" s="2766">
        <f>Dataark_til_bilag2_2018[[#This Row],[Stald_kode]]+Dataark_til_bilag2_2018[[#This Row],[Dyr_Kode]]</f>
        <v>151609</v>
      </c>
      <c r="I147" s="4347">
        <v>0</v>
      </c>
      <c r="J147" s="2766" t="s">
        <v>1903</v>
      </c>
      <c r="K147" s="2766"/>
      <c r="L147" s="2767">
        <v>0.52</v>
      </c>
      <c r="M147" s="2767">
        <v>0.23</v>
      </c>
      <c r="N147" s="2760">
        <f>IFERROR(Dataark_til_bilag2_2018[[#This Row],[Antal dyr]]*Dataark_til_bilag2_2018[[#This Row],[Gødning (g) pr. dyr (ton)]]," ")</f>
        <v>0</v>
      </c>
      <c r="O147" s="2768"/>
      <c r="P147" s="2759">
        <v>0</v>
      </c>
      <c r="Q147" s="2767"/>
      <c r="R147" s="2769">
        <v>0</v>
      </c>
      <c r="S147" s="2769">
        <v>181</v>
      </c>
      <c r="T147" s="2769">
        <v>95.68</v>
      </c>
      <c r="U147" s="2769">
        <v>0</v>
      </c>
      <c r="V147" s="2769">
        <v>2</v>
      </c>
      <c r="W147" s="2769">
        <v>0.45</v>
      </c>
      <c r="X147" s="2769">
        <v>0.57695040000000009</v>
      </c>
      <c r="Y147" s="2762">
        <f t="shared" si="4"/>
        <v>0</v>
      </c>
    </row>
    <row r="148" spans="1:25" x14ac:dyDescent="0.25">
      <c r="A148" s="2770" t="s">
        <v>907</v>
      </c>
      <c r="B148" s="2766">
        <v>1502</v>
      </c>
      <c r="C148" s="2766" t="s">
        <v>2758</v>
      </c>
      <c r="D148" s="2766" t="s">
        <v>342</v>
      </c>
      <c r="E148" s="2766" t="s">
        <v>1962</v>
      </c>
      <c r="F148" s="2766" t="s">
        <v>353</v>
      </c>
      <c r="G148" s="2766">
        <v>150201</v>
      </c>
      <c r="H148" s="2766">
        <f>Dataark_til_bilag2_2018[[#This Row],[Stald_kode]]+Dataark_til_bilag2_2018[[#This Row],[Dyr_Kode]]</f>
        <v>151703</v>
      </c>
      <c r="I148" s="4347">
        <v>0</v>
      </c>
      <c r="J148" s="2766" t="s">
        <v>1941</v>
      </c>
      <c r="K148" s="2766"/>
      <c r="L148" s="2767">
        <v>1.71</v>
      </c>
      <c r="M148" s="2767">
        <v>4.4999999999999998E-2</v>
      </c>
      <c r="N148" s="2760">
        <f>IFERROR(Dataark_til_bilag2_2018[[#This Row],[Antal dyr]]*Dataark_til_bilag2_2018[[#This Row],[Gødning (g) pr. dyr (ton)]]," ")</f>
        <v>0</v>
      </c>
      <c r="O148" s="2768"/>
      <c r="P148" s="2759">
        <v>0</v>
      </c>
      <c r="Q148" s="2767"/>
      <c r="R148" s="2769">
        <v>0</v>
      </c>
      <c r="S148" s="2769">
        <v>181</v>
      </c>
      <c r="T148" s="2769">
        <v>61.56</v>
      </c>
      <c r="U148" s="2769">
        <v>0</v>
      </c>
      <c r="V148" s="2769">
        <v>13.7</v>
      </c>
      <c r="W148" s="2769">
        <v>0.45</v>
      </c>
      <c r="X148" s="2769">
        <v>2.5427665799999999</v>
      </c>
      <c r="Y148" s="2762">
        <f t="shared" si="4"/>
        <v>0</v>
      </c>
    </row>
    <row r="149" spans="1:25" x14ac:dyDescent="0.25">
      <c r="A149" s="2770" t="s">
        <v>907</v>
      </c>
      <c r="B149" s="2766">
        <v>1502</v>
      </c>
      <c r="C149" s="2766" t="s">
        <v>2758</v>
      </c>
      <c r="D149" s="2766" t="s">
        <v>342</v>
      </c>
      <c r="E149" s="2766" t="s">
        <v>1961</v>
      </c>
      <c r="F149" s="2766" t="s">
        <v>353</v>
      </c>
      <c r="G149" s="2766">
        <v>150202</v>
      </c>
      <c r="H149" s="2766">
        <f>Dataark_til_bilag2_2018[[#This Row],[Stald_kode]]+Dataark_til_bilag2_2018[[#This Row],[Dyr_Kode]]</f>
        <v>151704</v>
      </c>
      <c r="I149" s="4347">
        <v>0</v>
      </c>
      <c r="J149" s="2766" t="s">
        <v>1941</v>
      </c>
      <c r="K149" s="2766"/>
      <c r="L149" s="2767">
        <v>1.71</v>
      </c>
      <c r="M149" s="2767">
        <v>4.4999999999999998E-2</v>
      </c>
      <c r="N149" s="2760">
        <f>IFERROR(Dataark_til_bilag2_2018[[#This Row],[Antal dyr]]*Dataark_til_bilag2_2018[[#This Row],[Gødning (g) pr. dyr (ton)]]," ")</f>
        <v>0</v>
      </c>
      <c r="O149" s="2768"/>
      <c r="P149" s="2759">
        <v>0</v>
      </c>
      <c r="Q149" s="2767"/>
      <c r="R149" s="2769">
        <v>0</v>
      </c>
      <c r="S149" s="2769">
        <v>181</v>
      </c>
      <c r="T149" s="2769">
        <v>61.56</v>
      </c>
      <c r="U149" s="2769">
        <v>0</v>
      </c>
      <c r="V149" s="2769">
        <v>13.7</v>
      </c>
      <c r="W149" s="2769">
        <v>0.45</v>
      </c>
      <c r="X149" s="2769">
        <v>2.5427665799999999</v>
      </c>
      <c r="Y149" s="2762">
        <f t="shared" si="4"/>
        <v>0</v>
      </c>
    </row>
    <row r="150" spans="1:25" x14ac:dyDescent="0.25">
      <c r="A150" s="2770" t="s">
        <v>907</v>
      </c>
      <c r="B150" s="2766">
        <v>1502</v>
      </c>
      <c r="C150" s="2766" t="s">
        <v>2758</v>
      </c>
      <c r="D150" s="2766" t="s">
        <v>342</v>
      </c>
      <c r="E150" s="2766" t="s">
        <v>2759</v>
      </c>
      <c r="F150" s="2776" t="s">
        <v>351</v>
      </c>
      <c r="G150" s="2766">
        <v>150205</v>
      </c>
      <c r="H150" s="2766">
        <f>Dataark_til_bilag2_2018[[#This Row],[Stald_kode]]+Dataark_til_bilag2_2018[[#This Row],[Dyr_Kode]]</f>
        <v>151707</v>
      </c>
      <c r="I150" s="4347">
        <v>0</v>
      </c>
      <c r="J150" s="2766" t="s">
        <v>1924</v>
      </c>
      <c r="K150" s="2766"/>
      <c r="L150" s="2767">
        <v>1.3</v>
      </c>
      <c r="M150" s="2767">
        <v>7.6999999999999999E-2</v>
      </c>
      <c r="N150" s="2760">
        <f>IFERROR(Dataark_til_bilag2_2018[[#This Row],[Antal dyr]]*Dataark_til_bilag2_2018[[#This Row],[Gødning (g) pr. dyr (ton)]]," ")</f>
        <v>0</v>
      </c>
      <c r="O150" s="2768"/>
      <c r="P150" s="2759">
        <v>0</v>
      </c>
      <c r="Q150" s="2767"/>
      <c r="R150" s="2769">
        <v>0</v>
      </c>
      <c r="S150" s="2769">
        <v>181</v>
      </c>
      <c r="T150" s="2769">
        <v>80.080000000000013</v>
      </c>
      <c r="U150" s="2769">
        <v>0</v>
      </c>
      <c r="V150" s="2769">
        <v>1</v>
      </c>
      <c r="W150" s="2769">
        <v>0.45</v>
      </c>
      <c r="X150" s="2769">
        <v>0.24144120000000005</v>
      </c>
      <c r="Y150" s="2762">
        <f t="shared" si="4"/>
        <v>0</v>
      </c>
    </row>
    <row r="151" spans="1:25" x14ac:dyDescent="0.25">
      <c r="A151" s="2770" t="s">
        <v>907</v>
      </c>
      <c r="B151" s="2766">
        <v>1511</v>
      </c>
      <c r="C151" s="2766" t="s">
        <v>2752</v>
      </c>
      <c r="D151" s="2766" t="s">
        <v>339</v>
      </c>
      <c r="E151" s="2766" t="s">
        <v>1960</v>
      </c>
      <c r="F151" s="2766" t="s">
        <v>353</v>
      </c>
      <c r="G151" s="2766">
        <v>151101</v>
      </c>
      <c r="H151" s="2766">
        <f>Dataark_til_bilag2_2018[[#This Row],[Stald_kode]]+Dataark_til_bilag2_2018[[#This Row],[Dyr_Kode]]</f>
        <v>152612</v>
      </c>
      <c r="I151" s="4347">
        <v>0</v>
      </c>
      <c r="J151" s="2766" t="s">
        <v>1941</v>
      </c>
      <c r="K151" s="2766"/>
      <c r="L151" s="2767">
        <v>0.13400000000000001</v>
      </c>
      <c r="M151" s="2767">
        <v>0.05</v>
      </c>
      <c r="N151" s="2760">
        <f>IFERROR(Dataark_til_bilag2_2018[[#This Row],[Antal dyr]]*Dataark_til_bilag2_2018[[#This Row],[Gødning (g) pr. dyr (ton)]]," ")</f>
        <v>0</v>
      </c>
      <c r="O151" s="2768"/>
      <c r="P151" s="2759">
        <v>0</v>
      </c>
      <c r="Q151" s="2767"/>
      <c r="R151" s="2769">
        <v>0</v>
      </c>
      <c r="S151" s="2769">
        <v>181</v>
      </c>
      <c r="T151" s="2769">
        <v>5.36</v>
      </c>
      <c r="U151" s="2769">
        <v>0</v>
      </c>
      <c r="V151" s="2769">
        <v>13.7</v>
      </c>
      <c r="W151" s="2769">
        <v>0.45</v>
      </c>
      <c r="X151" s="2769">
        <v>0.22139748000000001</v>
      </c>
      <c r="Y151" s="2762">
        <f t="shared" si="4"/>
        <v>0</v>
      </c>
    </row>
    <row r="152" spans="1:25" x14ac:dyDescent="0.25">
      <c r="A152" s="2770" t="s">
        <v>907</v>
      </c>
      <c r="B152" s="2766">
        <v>1511</v>
      </c>
      <c r="C152" s="2766" t="s">
        <v>2752</v>
      </c>
      <c r="D152" s="2766" t="s">
        <v>339</v>
      </c>
      <c r="E152" s="2766" t="s">
        <v>1959</v>
      </c>
      <c r="F152" s="2766" t="s">
        <v>353</v>
      </c>
      <c r="G152" s="2766">
        <v>151103</v>
      </c>
      <c r="H152" s="2766">
        <f>Dataark_til_bilag2_2018[[#This Row],[Stald_kode]]+Dataark_til_bilag2_2018[[#This Row],[Dyr_Kode]]</f>
        <v>152614</v>
      </c>
      <c r="I152" s="4347">
        <v>0</v>
      </c>
      <c r="J152" s="2766" t="s">
        <v>1941</v>
      </c>
      <c r="K152" s="2766"/>
      <c r="L152" s="2767">
        <v>0.13400000000000001</v>
      </c>
      <c r="M152" s="2767">
        <v>4.3999999999999997E-2</v>
      </c>
      <c r="N152" s="2760">
        <f>IFERROR(Dataark_til_bilag2_2018[[#This Row],[Antal dyr]]*Dataark_til_bilag2_2018[[#This Row],[Gødning (g) pr. dyr (ton)]]," ")</f>
        <v>0</v>
      </c>
      <c r="O152" s="2768"/>
      <c r="P152" s="2759">
        <v>0</v>
      </c>
      <c r="Q152" s="2767"/>
      <c r="R152" s="2769">
        <v>0</v>
      </c>
      <c r="S152" s="2769">
        <v>181</v>
      </c>
      <c r="T152" s="2769">
        <v>4.7168000000000001</v>
      </c>
      <c r="U152" s="2769">
        <v>0</v>
      </c>
      <c r="V152" s="2769">
        <v>13.7</v>
      </c>
      <c r="W152" s="2769">
        <v>0.45</v>
      </c>
      <c r="X152" s="2769">
        <v>0.19482978240000001</v>
      </c>
      <c r="Y152" s="2762">
        <f t="shared" si="4"/>
        <v>0</v>
      </c>
    </row>
    <row r="153" spans="1:25" x14ac:dyDescent="0.25">
      <c r="A153" s="2770" t="s">
        <v>907</v>
      </c>
      <c r="B153" s="2766">
        <v>1511</v>
      </c>
      <c r="C153" s="2766" t="s">
        <v>2752</v>
      </c>
      <c r="D153" s="2766" t="s">
        <v>339</v>
      </c>
      <c r="E153" s="2766" t="s">
        <v>1944</v>
      </c>
      <c r="F153" s="2766" t="s">
        <v>352</v>
      </c>
      <c r="G153" s="2766">
        <v>151104</v>
      </c>
      <c r="H153" s="2766">
        <f>Dataark_til_bilag2_2018[[#This Row],[Stald_kode]]+Dataark_til_bilag2_2018[[#This Row],[Dyr_Kode]]</f>
        <v>152615</v>
      </c>
      <c r="I153" s="4347">
        <v>0</v>
      </c>
      <c r="J153" s="2766" t="s">
        <v>1903</v>
      </c>
      <c r="K153" s="2766"/>
      <c r="L153" s="2767">
        <v>1.7999999999999999E-2</v>
      </c>
      <c r="M153" s="2767">
        <v>0.23</v>
      </c>
      <c r="N153" s="2760">
        <f>IFERROR(Dataark_til_bilag2_2018[[#This Row],[Antal dyr]]*Dataark_til_bilag2_2018[[#This Row],[Gødning (g) pr. dyr (ton)]]," ")</f>
        <v>0</v>
      </c>
      <c r="O153" s="2768"/>
      <c r="P153" s="2759">
        <v>0</v>
      </c>
      <c r="Q153" s="2767"/>
      <c r="R153" s="2769">
        <v>0</v>
      </c>
      <c r="S153" s="2769">
        <v>181</v>
      </c>
      <c r="T153" s="2769">
        <v>3.3119999999999998</v>
      </c>
      <c r="U153" s="2769">
        <v>0</v>
      </c>
      <c r="V153" s="2769">
        <v>2</v>
      </c>
      <c r="W153" s="2769">
        <v>0.45</v>
      </c>
      <c r="X153" s="2769">
        <v>1.9971360000000001E-2</v>
      </c>
      <c r="Y153" s="2762">
        <f t="shared" si="4"/>
        <v>0</v>
      </c>
    </row>
    <row r="154" spans="1:25" x14ac:dyDescent="0.25">
      <c r="A154" s="2770" t="s">
        <v>907</v>
      </c>
      <c r="B154" s="2766">
        <v>1511</v>
      </c>
      <c r="C154" s="2766" t="s">
        <v>2752</v>
      </c>
      <c r="D154" s="2766" t="s">
        <v>339</v>
      </c>
      <c r="E154" s="2766" t="s">
        <v>350</v>
      </c>
      <c r="F154" s="2766" t="s">
        <v>350</v>
      </c>
      <c r="G154" s="2766">
        <v>151105</v>
      </c>
      <c r="H154" s="2766">
        <f>Dataark_til_bilag2_2018[[#This Row],[Stald_kode]]+Dataark_til_bilag2_2018[[#This Row],[Dyr_Kode]]</f>
        <v>152616</v>
      </c>
      <c r="I154" s="4347">
        <v>27.54</v>
      </c>
      <c r="J154" s="2766"/>
      <c r="K154" s="2766" t="s">
        <v>350</v>
      </c>
      <c r="L154" s="2767"/>
      <c r="M154" s="2767"/>
      <c r="N154" s="2760">
        <f>IFERROR(Dataark_til_bilag2_2018[[#This Row],[Antal dyr]]*Dataark_til_bilag2_2018[[#This Row],[Gødning (g) pr. dyr (ton)]]," ")</f>
        <v>0</v>
      </c>
      <c r="O154" s="2767">
        <v>2.5999999999999999E-2</v>
      </c>
      <c r="P154" s="2759">
        <v>0.7160399999999999</v>
      </c>
      <c r="Q154" s="2767">
        <v>0.33</v>
      </c>
      <c r="R154" s="2769">
        <v>0</v>
      </c>
      <c r="S154" s="2769">
        <v>181</v>
      </c>
      <c r="T154" s="2769">
        <v>8.5761390000000013</v>
      </c>
      <c r="U154" s="2769">
        <v>0</v>
      </c>
      <c r="V154" s="2769">
        <v>7.2</v>
      </c>
      <c r="W154" s="2769">
        <v>0.45</v>
      </c>
      <c r="X154" s="2769">
        <v>0.18617082541200003</v>
      </c>
      <c r="Y154" s="2762">
        <f t="shared" si="4"/>
        <v>5.1271445318464811E-3</v>
      </c>
    </row>
    <row r="155" spans="1:25" x14ac:dyDescent="0.25">
      <c r="A155" s="2770" t="s">
        <v>907</v>
      </c>
      <c r="B155" s="2766">
        <v>1512</v>
      </c>
      <c r="C155" s="2766" t="s">
        <v>2753</v>
      </c>
      <c r="D155" s="2766" t="s">
        <v>2747</v>
      </c>
      <c r="E155" s="2768" t="s">
        <v>1945</v>
      </c>
      <c r="F155" s="2766" t="s">
        <v>353</v>
      </c>
      <c r="G155" s="2766">
        <v>151203</v>
      </c>
      <c r="H155" s="2766">
        <f>Dataark_til_bilag2_2018[[#This Row],[Stald_kode]]+Dataark_til_bilag2_2018[[#This Row],[Dyr_Kode]]</f>
        <v>152715</v>
      </c>
      <c r="I155" s="4347">
        <v>0</v>
      </c>
      <c r="J155" s="2766" t="s">
        <v>1941</v>
      </c>
      <c r="K155" s="2766"/>
      <c r="L155" s="2767">
        <v>0.56000000000000005</v>
      </c>
      <c r="M155" s="2767">
        <v>6.0999999999999999E-2</v>
      </c>
      <c r="N155" s="2760">
        <f>IFERROR(Dataark_til_bilag2_2018[[#This Row],[Antal dyr]]*Dataark_til_bilag2_2018[[#This Row],[Gødning (g) pr. dyr (ton)]]," ")</f>
        <v>0</v>
      </c>
      <c r="O155" s="2768"/>
      <c r="P155" s="2759">
        <v>0</v>
      </c>
      <c r="Q155" s="2767"/>
      <c r="R155" s="2769">
        <v>0</v>
      </c>
      <c r="S155" s="2769">
        <v>181</v>
      </c>
      <c r="T155" s="2769">
        <v>27.327999999999999</v>
      </c>
      <c r="U155" s="2769">
        <v>0</v>
      </c>
      <c r="V155" s="2769">
        <v>13.7</v>
      </c>
      <c r="W155" s="2769">
        <v>0.45</v>
      </c>
      <c r="X155" s="2769">
        <v>1.128796704</v>
      </c>
      <c r="Y155" s="2762">
        <f t="shared" si="4"/>
        <v>0</v>
      </c>
    </row>
    <row r="156" spans="1:25" x14ac:dyDescent="0.25">
      <c r="A156" s="2770" t="s">
        <v>907</v>
      </c>
      <c r="B156" s="2766">
        <v>1512</v>
      </c>
      <c r="C156" s="2766" t="s">
        <v>2753</v>
      </c>
      <c r="D156" s="2766" t="s">
        <v>2747</v>
      </c>
      <c r="E156" s="2768" t="s">
        <v>1944</v>
      </c>
      <c r="F156" s="2766" t="s">
        <v>352</v>
      </c>
      <c r="G156" s="2766">
        <v>151204</v>
      </c>
      <c r="H156" s="2766">
        <f>Dataark_til_bilag2_2018[[#This Row],[Stald_kode]]+Dataark_til_bilag2_2018[[#This Row],[Dyr_Kode]]</f>
        <v>152716</v>
      </c>
      <c r="I156" s="4347">
        <v>0</v>
      </c>
      <c r="J156" s="2766" t="s">
        <v>1903</v>
      </c>
      <c r="K156" s="2766"/>
      <c r="L156" s="2767">
        <v>0.1</v>
      </c>
      <c r="M156" s="2767">
        <v>0.23</v>
      </c>
      <c r="N156" s="2760">
        <f>IFERROR(Dataark_til_bilag2_2018[[#This Row],[Antal dyr]]*Dataark_til_bilag2_2018[[#This Row],[Gødning (g) pr. dyr (ton)]]," ")</f>
        <v>0</v>
      </c>
      <c r="O156" s="2768"/>
      <c r="P156" s="2759">
        <v>0</v>
      </c>
      <c r="Q156" s="2767"/>
      <c r="R156" s="2769">
        <v>0</v>
      </c>
      <c r="S156" s="2769">
        <v>181</v>
      </c>
      <c r="T156" s="2769">
        <v>18.400000000000002</v>
      </c>
      <c r="U156" s="2769">
        <v>0</v>
      </c>
      <c r="V156" s="2769">
        <v>2</v>
      </c>
      <c r="W156" s="2769">
        <v>0.45</v>
      </c>
      <c r="X156" s="2769">
        <v>0.11095200000000002</v>
      </c>
      <c r="Y156" s="2762">
        <f t="shared" si="4"/>
        <v>0</v>
      </c>
    </row>
    <row r="157" spans="1:25" x14ac:dyDescent="0.25">
      <c r="A157" s="2770" t="s">
        <v>907</v>
      </c>
      <c r="B157" s="2766">
        <v>1512</v>
      </c>
      <c r="C157" s="2766" t="s">
        <v>2753</v>
      </c>
      <c r="D157" s="2766" t="s">
        <v>2747</v>
      </c>
      <c r="E157" s="2768" t="s">
        <v>1942</v>
      </c>
      <c r="F157" s="2766" t="s">
        <v>350</v>
      </c>
      <c r="G157" s="2766">
        <v>151205</v>
      </c>
      <c r="H157" s="2766">
        <f>Dataark_til_bilag2_2018[[#This Row],[Stald_kode]]+Dataark_til_bilag2_2018[[#This Row],[Dyr_Kode]]</f>
        <v>152717</v>
      </c>
      <c r="I157" s="4347">
        <v>0</v>
      </c>
      <c r="J157" s="2766" t="s">
        <v>1941</v>
      </c>
      <c r="K157" s="2766"/>
      <c r="L157" s="2767">
        <v>0.35</v>
      </c>
      <c r="M157" s="2767">
        <v>4.9000000000000002E-2</v>
      </c>
      <c r="N157" s="2760">
        <f>IFERROR(Dataark_til_bilag2_2018[[#This Row],[Antal dyr]]*Dataark_til_bilag2_2018[[#This Row],[Gødning (g) pr. dyr (ton)]]," ")</f>
        <v>0</v>
      </c>
      <c r="O157" s="2768"/>
      <c r="P157" s="2759">
        <v>0</v>
      </c>
      <c r="Q157" s="2767"/>
      <c r="R157" s="2769">
        <v>0</v>
      </c>
      <c r="S157" s="2769">
        <v>181</v>
      </c>
      <c r="T157" s="2769">
        <v>13.720000000000002</v>
      </c>
      <c r="U157" s="2769">
        <v>0</v>
      </c>
      <c r="V157" s="2769">
        <v>13.4</v>
      </c>
      <c r="W157" s="2769">
        <v>0.45</v>
      </c>
      <c r="X157" s="2769">
        <v>0.55430172000000022</v>
      </c>
      <c r="Y157" s="2762">
        <f t="shared" si="4"/>
        <v>0</v>
      </c>
    </row>
    <row r="158" spans="1:25" x14ac:dyDescent="0.25">
      <c r="A158" s="2770" t="s">
        <v>907</v>
      </c>
      <c r="B158" s="2766">
        <v>1512</v>
      </c>
      <c r="C158" s="2766" t="s">
        <v>2753</v>
      </c>
      <c r="D158" s="2766" t="s">
        <v>2747</v>
      </c>
      <c r="E158" s="2768" t="s">
        <v>350</v>
      </c>
      <c r="F158" s="2766" t="s">
        <v>350</v>
      </c>
      <c r="G158" s="2766">
        <v>151206</v>
      </c>
      <c r="H158" s="2766">
        <f>Dataark_til_bilag2_2018[[#This Row],[Stald_kode]]+Dataark_til_bilag2_2018[[#This Row],[Dyr_Kode]]</f>
        <v>152718</v>
      </c>
      <c r="I158" s="4347">
        <v>27.54</v>
      </c>
      <c r="J158" s="2766"/>
      <c r="K158" s="2766" t="s">
        <v>350</v>
      </c>
      <c r="L158" s="2767"/>
      <c r="M158" s="2767"/>
      <c r="N158" s="2760">
        <f>IFERROR(Dataark_til_bilag2_2018[[#This Row],[Antal dyr]]*Dataark_til_bilag2_2018[[#This Row],[Gødning (g) pr. dyr (ton)]]," ")</f>
        <v>0</v>
      </c>
      <c r="O158" s="2767">
        <v>0.18</v>
      </c>
      <c r="P158" s="2759">
        <v>4.9571999999999994</v>
      </c>
      <c r="Q158" s="2767">
        <v>0.33</v>
      </c>
      <c r="R158" s="2769">
        <v>0</v>
      </c>
      <c r="S158" s="2769">
        <v>181</v>
      </c>
      <c r="T158" s="2769">
        <v>59.373269999999998</v>
      </c>
      <c r="U158" s="2769">
        <v>0</v>
      </c>
      <c r="V158" s="2769">
        <v>11.4</v>
      </c>
      <c r="W158" s="2769">
        <v>0.45</v>
      </c>
      <c r="X158" s="2769">
        <v>2.0407186631700003</v>
      </c>
      <c r="Y158" s="2762">
        <f t="shared" si="4"/>
        <v>5.6201391983701804E-2</v>
      </c>
    </row>
    <row r="159" spans="1:25" x14ac:dyDescent="0.25">
      <c r="A159" s="2770" t="s">
        <v>907</v>
      </c>
      <c r="B159" s="2766">
        <v>1512</v>
      </c>
      <c r="C159" s="2766" t="s">
        <v>2753</v>
      </c>
      <c r="D159" s="2766" t="s">
        <v>2747</v>
      </c>
      <c r="E159" s="2768" t="s">
        <v>1958</v>
      </c>
      <c r="F159" s="2766" t="s">
        <v>353</v>
      </c>
      <c r="G159" s="2766">
        <v>151207</v>
      </c>
      <c r="H159" s="2766">
        <f>Dataark_til_bilag2_2018[[#This Row],[Stald_kode]]+Dataark_til_bilag2_2018[[#This Row],[Dyr_Kode]]</f>
        <v>152719</v>
      </c>
      <c r="I159" s="4347">
        <v>0</v>
      </c>
      <c r="J159" s="2766" t="s">
        <v>1941</v>
      </c>
      <c r="K159" s="2766"/>
      <c r="L159" s="2767">
        <v>0.55000000000000004</v>
      </c>
      <c r="M159" s="2767">
        <v>6.6000000000000003E-2</v>
      </c>
      <c r="N159" s="2760">
        <f>IFERROR(Dataark_til_bilag2_2018[[#This Row],[Antal dyr]]*Dataark_til_bilag2_2018[[#This Row],[Gødning (g) pr. dyr (ton)]]," ")</f>
        <v>0</v>
      </c>
      <c r="O159" s="2768"/>
      <c r="P159" s="2759">
        <v>0</v>
      </c>
      <c r="Q159" s="2767"/>
      <c r="R159" s="2769">
        <v>0</v>
      </c>
      <c r="S159" s="2769">
        <v>181</v>
      </c>
      <c r="T159" s="2769">
        <v>29.040000000000006</v>
      </c>
      <c r="U159" s="2769">
        <v>0</v>
      </c>
      <c r="V159" s="2769">
        <v>13.4</v>
      </c>
      <c r="W159" s="2769">
        <v>0.45</v>
      </c>
      <c r="X159" s="2769">
        <v>1.1732450400000003</v>
      </c>
      <c r="Y159" s="2762">
        <f t="shared" si="4"/>
        <v>0</v>
      </c>
    </row>
    <row r="160" spans="1:25" x14ac:dyDescent="0.25">
      <c r="A160" s="2770" t="s">
        <v>907</v>
      </c>
      <c r="B160" s="2766">
        <v>1512</v>
      </c>
      <c r="C160" s="2766" t="s">
        <v>2753</v>
      </c>
      <c r="D160" s="2766" t="s">
        <v>2747</v>
      </c>
      <c r="E160" s="2766" t="s">
        <v>1957</v>
      </c>
      <c r="F160" s="2766" t="s">
        <v>353</v>
      </c>
      <c r="G160" s="2766">
        <v>151208</v>
      </c>
      <c r="H160" s="2766">
        <f>Dataark_til_bilag2_2018[[#This Row],[Stald_kode]]+Dataark_til_bilag2_2018[[#This Row],[Dyr_Kode]]</f>
        <v>152720</v>
      </c>
      <c r="I160" s="4347">
        <v>0</v>
      </c>
      <c r="J160" s="2766" t="s">
        <v>1941</v>
      </c>
      <c r="K160" s="2766"/>
      <c r="L160" s="2767">
        <v>0.55000000000000004</v>
      </c>
      <c r="M160" s="2767">
        <v>6.6000000000000003E-2</v>
      </c>
      <c r="N160" s="2760">
        <f>IFERROR(Dataark_til_bilag2_2018[[#This Row],[Antal dyr]]*Dataark_til_bilag2_2018[[#This Row],[Gødning (g) pr. dyr (ton)]]," ")</f>
        <v>0</v>
      </c>
      <c r="O160" s="2768"/>
      <c r="P160" s="2759">
        <v>0</v>
      </c>
      <c r="Q160" s="2767"/>
      <c r="R160" s="2769">
        <v>0</v>
      </c>
      <c r="S160" s="2769">
        <v>181</v>
      </c>
      <c r="T160" s="2769">
        <v>29.040000000000006</v>
      </c>
      <c r="U160" s="2769">
        <v>0</v>
      </c>
      <c r="V160" s="2769">
        <v>13.4</v>
      </c>
      <c r="W160" s="2769">
        <v>0.45</v>
      </c>
      <c r="X160" s="2769">
        <v>1.1732450400000003</v>
      </c>
      <c r="Y160" s="2762">
        <f t="shared" si="4"/>
        <v>0</v>
      </c>
    </row>
    <row r="161" spans="1:25" x14ac:dyDescent="0.25">
      <c r="A161" s="2770" t="s">
        <v>907</v>
      </c>
      <c r="B161" s="2766">
        <v>1513</v>
      </c>
      <c r="C161" s="2766" t="s">
        <v>1954</v>
      </c>
      <c r="D161" s="2766" t="s">
        <v>342</v>
      </c>
      <c r="E161" s="2766" t="s">
        <v>1956</v>
      </c>
      <c r="F161" s="2766" t="s">
        <v>353</v>
      </c>
      <c r="G161" s="2766">
        <v>151301</v>
      </c>
      <c r="H161" s="2766">
        <f>Dataark_til_bilag2_2020[[#This Row],[Stald_kode]]+Dataark_til_bilag2_2020[[#This Row],[Dyr_Kode]]</f>
        <v>152814</v>
      </c>
      <c r="I161" s="4347" t="s">
        <v>270</v>
      </c>
      <c r="J161" s="2766" t="s">
        <v>1941</v>
      </c>
      <c r="K161" s="2766"/>
      <c r="L161" s="2767">
        <v>2.14</v>
      </c>
      <c r="M161" s="2767">
        <v>0.05</v>
      </c>
      <c r="N161" s="2760" t="str">
        <f>IFERROR(Dataark_til_bilag2_2020[[#This Row],[Antal dyr]]*Dataark_til_bilag2_2020[[#This Row],[Gødning (g) pr. dyr (ton)]]," ")</f>
        <v xml:space="preserve"> </v>
      </c>
      <c r="O161" s="2768"/>
      <c r="P161" s="2759" t="s">
        <v>270</v>
      </c>
      <c r="Q161" s="2767"/>
      <c r="R161" s="2769">
        <v>181</v>
      </c>
      <c r="S161" s="2769">
        <v>181</v>
      </c>
      <c r="T161" s="2769">
        <v>43.151780821917811</v>
      </c>
      <c r="U161" s="2769">
        <v>42.448219178082198</v>
      </c>
      <c r="V161" s="2769">
        <v>13.7</v>
      </c>
      <c r="W161" s="2769">
        <v>0.45</v>
      </c>
      <c r="X161" s="2769">
        <v>3.5357508000000006</v>
      </c>
      <c r="Y161" s="2762" t="str">
        <f>IFERROR(IFERROR((X161*I161)/1000,(X161*#REF!)/1000),"-")</f>
        <v>-</v>
      </c>
    </row>
    <row r="162" spans="1:25" x14ac:dyDescent="0.25">
      <c r="A162" s="2770" t="s">
        <v>907</v>
      </c>
      <c r="B162" s="2766">
        <v>1513</v>
      </c>
      <c r="C162" s="2766" t="s">
        <v>1954</v>
      </c>
      <c r="D162" s="2766" t="s">
        <v>342</v>
      </c>
      <c r="E162" s="2766" t="s">
        <v>1955</v>
      </c>
      <c r="F162" s="2766" t="s">
        <v>350</v>
      </c>
      <c r="G162" s="2766">
        <v>151302</v>
      </c>
      <c r="H162" s="2766">
        <f>Dataark_til_bilag2_2020[[#This Row],[Stald_kode]]+Dataark_til_bilag2_2020[[#This Row],[Dyr_Kode]]</f>
        <v>152815</v>
      </c>
      <c r="I162" s="4347" t="s">
        <v>270</v>
      </c>
      <c r="J162" s="2766"/>
      <c r="K162" s="2766" t="s">
        <v>350</v>
      </c>
      <c r="L162" s="2767"/>
      <c r="M162" s="2767"/>
      <c r="N162" s="2760" t="str">
        <f>IFERROR(Dataark_til_bilag2_2020[[#This Row],[Antal dyr]]*Dataark_til_bilag2_2020[[#This Row],[Gødning (g) pr. dyr (ton)]]," ")</f>
        <v xml:space="preserve"> </v>
      </c>
      <c r="O162" s="2768">
        <v>0</v>
      </c>
      <c r="P162" s="2759" t="s">
        <v>270</v>
      </c>
      <c r="Q162" s="2767">
        <v>0</v>
      </c>
      <c r="R162" s="2769">
        <v>365</v>
      </c>
      <c r="S162" s="2769">
        <v>365</v>
      </c>
      <c r="T162" s="2769">
        <v>0</v>
      </c>
      <c r="U162" s="2769">
        <v>0</v>
      </c>
      <c r="V162" s="2769">
        <v>1</v>
      </c>
      <c r="W162" s="2769">
        <v>0.45</v>
      </c>
      <c r="X162" s="2769">
        <v>0</v>
      </c>
      <c r="Y162" s="2762" t="str">
        <f t="shared" ref="Y162:Y168" si="5">IFERROR(IFERROR((X162*I162)/1000,(X162*I161)/1000),"-")</f>
        <v>-</v>
      </c>
    </row>
    <row r="163" spans="1:25" x14ac:dyDescent="0.25">
      <c r="A163" s="2770" t="s">
        <v>2751</v>
      </c>
      <c r="B163" s="2766">
        <v>1513</v>
      </c>
      <c r="C163" s="2766" t="s">
        <v>1954</v>
      </c>
      <c r="D163" s="2766" t="s">
        <v>342</v>
      </c>
      <c r="E163" s="2766" t="s">
        <v>2748</v>
      </c>
      <c r="F163" s="2766" t="s">
        <v>353</v>
      </c>
      <c r="G163" s="2766">
        <v>151303</v>
      </c>
      <c r="H163" s="2766">
        <f>Dataark_til_bilag2_2020[[#This Row],[Stald_kode]]+Dataark_til_bilag2_2020[[#This Row],[Dyr_Kode]]</f>
        <v>152816</v>
      </c>
      <c r="I163" s="4347" t="s">
        <v>270</v>
      </c>
      <c r="J163" s="2766" t="s">
        <v>1941</v>
      </c>
      <c r="K163" s="2766"/>
      <c r="L163" s="2767">
        <v>0.12</v>
      </c>
      <c r="M163" s="2767">
        <v>0.05</v>
      </c>
      <c r="N163" s="2760" t="str">
        <f>IFERROR(Dataark_til_bilag2_2020[[#This Row],[Antal dyr]]*Dataark_til_bilag2_2020[[#This Row],[Gødning (g) pr. dyr (ton)]]," ")</f>
        <v xml:space="preserve"> </v>
      </c>
      <c r="O163" s="2768"/>
      <c r="P163" s="2759" t="s">
        <v>270</v>
      </c>
      <c r="Q163" s="2767"/>
      <c r="R163" s="2769">
        <v>0</v>
      </c>
      <c r="S163" s="2769">
        <v>0</v>
      </c>
      <c r="T163" s="2769">
        <v>4.8</v>
      </c>
      <c r="U163" s="2769">
        <v>0</v>
      </c>
      <c r="V163" s="2769">
        <v>7.2</v>
      </c>
      <c r="W163" s="2769">
        <v>0.45</v>
      </c>
      <c r="X163" s="2769">
        <v>0.10419840000000002</v>
      </c>
      <c r="Y163" s="2762" t="str">
        <f t="shared" si="5"/>
        <v>-</v>
      </c>
    </row>
    <row r="164" spans="1:25" x14ac:dyDescent="0.25">
      <c r="A164" s="2770" t="s">
        <v>907</v>
      </c>
      <c r="B164" s="2766">
        <v>1514</v>
      </c>
      <c r="C164" s="2766" t="s">
        <v>1953</v>
      </c>
      <c r="D164" s="2766" t="s">
        <v>342</v>
      </c>
      <c r="E164" s="2766" t="s">
        <v>1952</v>
      </c>
      <c r="F164" s="2766" t="s">
        <v>350</v>
      </c>
      <c r="G164" s="2766">
        <v>151401</v>
      </c>
      <c r="H164" s="2766">
        <f>Dataark_til_bilag2_2018[[#This Row],[Stald_kode]]+Dataark_til_bilag2_2018[[#This Row],[Dyr_Kode]]</f>
        <v>152915</v>
      </c>
      <c r="I164" s="4347" t="s">
        <v>270</v>
      </c>
      <c r="J164" s="2766"/>
      <c r="K164" s="2766" t="s">
        <v>350</v>
      </c>
      <c r="L164" s="2767"/>
      <c r="M164" s="2767"/>
      <c r="N164" s="2760" t="str">
        <f>IFERROR(Dataark_til_bilag2_2018[[#This Row],[Antal dyr]]*Dataark_til_bilag2_2018[[#This Row],[Gødning (g) pr. dyr (ton)]]," ")</f>
        <v xml:space="preserve"> </v>
      </c>
      <c r="O164" s="2767"/>
      <c r="P164" s="2759" t="s">
        <v>270</v>
      </c>
      <c r="Q164" s="2767"/>
      <c r="R164" s="2769">
        <v>365</v>
      </c>
      <c r="S164" s="2769">
        <v>365</v>
      </c>
      <c r="T164" s="2769">
        <v>0</v>
      </c>
      <c r="U164" s="2769">
        <v>0</v>
      </c>
      <c r="V164" s="2769">
        <v>7.2</v>
      </c>
      <c r="W164" s="2769">
        <v>0.45</v>
      </c>
      <c r="X164" s="2769">
        <v>0</v>
      </c>
      <c r="Y164" s="2762" t="str">
        <f t="shared" si="5"/>
        <v>-</v>
      </c>
    </row>
    <row r="165" spans="1:25" x14ac:dyDescent="0.25">
      <c r="A165" s="2770" t="s">
        <v>907</v>
      </c>
      <c r="B165" s="2766">
        <v>1515</v>
      </c>
      <c r="C165" s="2766" t="s">
        <v>1951</v>
      </c>
      <c r="D165" s="2766" t="s">
        <v>339</v>
      </c>
      <c r="E165" s="2766" t="s">
        <v>1950</v>
      </c>
      <c r="F165" s="2766" t="s">
        <v>350</v>
      </c>
      <c r="G165" s="2766">
        <v>151501</v>
      </c>
      <c r="H165" s="2766">
        <f>Dataark_til_bilag2_2018[[#This Row],[Stald_kode]]+Dataark_til_bilag2_2018[[#This Row],[Dyr_Kode]]</f>
        <v>153016</v>
      </c>
      <c r="I165" s="4347" t="s">
        <v>270</v>
      </c>
      <c r="J165" s="2766"/>
      <c r="K165" s="2766" t="s">
        <v>350</v>
      </c>
      <c r="L165" s="2767"/>
      <c r="M165" s="2767"/>
      <c r="N165" s="2760" t="str">
        <f>IFERROR(Dataark_til_bilag2_2018[[#This Row],[Antal dyr]]*Dataark_til_bilag2_2018[[#This Row],[Gødning (g) pr. dyr (ton)]]," ")</f>
        <v xml:space="preserve"> </v>
      </c>
      <c r="O165" s="2767">
        <v>0</v>
      </c>
      <c r="P165" s="2759" t="s">
        <v>270</v>
      </c>
      <c r="Q165" s="2767">
        <v>0</v>
      </c>
      <c r="R165" s="2769">
        <v>365</v>
      </c>
      <c r="S165" s="2769">
        <v>365</v>
      </c>
      <c r="T165" s="2769">
        <v>0</v>
      </c>
      <c r="U165" s="2769">
        <v>0</v>
      </c>
      <c r="V165" s="2769">
        <v>7.2</v>
      </c>
      <c r="W165" s="2769">
        <v>0.45</v>
      </c>
      <c r="X165" s="2769">
        <v>0</v>
      </c>
      <c r="Y165" s="2762" t="str">
        <f t="shared" si="5"/>
        <v>-</v>
      </c>
    </row>
    <row r="166" spans="1:25" x14ac:dyDescent="0.25">
      <c r="A166" s="2770" t="s">
        <v>907</v>
      </c>
      <c r="B166" s="2766">
        <v>1515</v>
      </c>
      <c r="C166" s="2766" t="s">
        <v>1951</v>
      </c>
      <c r="D166" s="2766" t="s">
        <v>339</v>
      </c>
      <c r="E166" s="2766" t="s">
        <v>1947</v>
      </c>
      <c r="F166" s="2766" t="s">
        <v>350</v>
      </c>
      <c r="G166" s="2766">
        <v>151502</v>
      </c>
      <c r="H166" s="2766">
        <f>Dataark_til_bilag2_2018[[#This Row],[Stald_kode]]+Dataark_til_bilag2_2018[[#This Row],[Dyr_Kode]]</f>
        <v>153017</v>
      </c>
      <c r="I166" s="4347" t="s">
        <v>270</v>
      </c>
      <c r="J166" s="2766" t="s">
        <v>1941</v>
      </c>
      <c r="K166" s="2766"/>
      <c r="L166" s="2767">
        <v>0.06</v>
      </c>
      <c r="M166" s="2767">
        <v>0.05</v>
      </c>
      <c r="N166" s="2760" t="str">
        <f>IFERROR(Dataark_til_bilag2_2018[[#This Row],[Antal dyr]]*Dataark_til_bilag2_2018[[#This Row],[Gødning (g) pr. dyr (ton)]]," ")</f>
        <v xml:space="preserve"> </v>
      </c>
      <c r="O166" s="2767"/>
      <c r="P166" s="2759" t="s">
        <v>270</v>
      </c>
      <c r="Q166" s="2767">
        <v>0.33</v>
      </c>
      <c r="R166" s="2769">
        <v>0</v>
      </c>
      <c r="S166" s="2769">
        <v>0</v>
      </c>
      <c r="T166" s="2769">
        <v>2.4</v>
      </c>
      <c r="U166" s="2769">
        <v>0</v>
      </c>
      <c r="V166" s="2769">
        <v>7.2</v>
      </c>
      <c r="W166" s="2769">
        <v>0.45</v>
      </c>
      <c r="X166" s="2769">
        <v>5.2099200000000012E-2</v>
      </c>
      <c r="Y166" s="2762" t="str">
        <f t="shared" si="5"/>
        <v>-</v>
      </c>
    </row>
    <row r="167" spans="1:25" x14ac:dyDescent="0.25">
      <c r="A167" s="2770" t="s">
        <v>907</v>
      </c>
      <c r="B167" s="2766">
        <v>1515</v>
      </c>
      <c r="C167" s="2766" t="s">
        <v>1951</v>
      </c>
      <c r="D167" s="2766" t="s">
        <v>339</v>
      </c>
      <c r="E167" s="2766" t="s">
        <v>2748</v>
      </c>
      <c r="F167" s="2766" t="s">
        <v>353</v>
      </c>
      <c r="G167" s="2766">
        <v>151503</v>
      </c>
      <c r="H167" s="2766">
        <f>Dataark_til_bilag2_2018[[#This Row],[Stald_kode]]+Dataark_til_bilag2_2018[[#This Row],[Dyr_Kode]]</f>
        <v>153018</v>
      </c>
      <c r="I167" s="4347" t="s">
        <v>270</v>
      </c>
      <c r="J167" s="2766" t="s">
        <v>1941</v>
      </c>
      <c r="K167" s="2766"/>
      <c r="L167" s="2767">
        <v>0.12</v>
      </c>
      <c r="M167" s="2767">
        <v>0.05</v>
      </c>
      <c r="N167" s="2760" t="str">
        <f>IFERROR(Dataark_til_bilag2_2018[[#This Row],[Antal dyr]]*Dataark_til_bilag2_2018[[#This Row],[Gødning (g) pr. dyr (ton)]]," ")</f>
        <v xml:space="preserve"> </v>
      </c>
      <c r="O167" s="2767"/>
      <c r="P167" s="2759" t="s">
        <v>270</v>
      </c>
      <c r="Q167" s="2767"/>
      <c r="R167" s="2769">
        <v>0</v>
      </c>
      <c r="S167" s="2769">
        <v>0</v>
      </c>
      <c r="T167" s="2769">
        <v>4.8</v>
      </c>
      <c r="U167" s="2769">
        <v>0</v>
      </c>
      <c r="V167" s="2769">
        <v>7.2</v>
      </c>
      <c r="W167" s="2769">
        <v>0.45</v>
      </c>
      <c r="X167" s="2769">
        <v>0.10419840000000002</v>
      </c>
      <c r="Y167" s="2762" t="str">
        <f t="shared" si="5"/>
        <v>-</v>
      </c>
    </row>
    <row r="168" spans="1:25" x14ac:dyDescent="0.25">
      <c r="A168" s="2770" t="s">
        <v>907</v>
      </c>
      <c r="B168" s="2766">
        <v>1516</v>
      </c>
      <c r="C168" s="2766" t="s">
        <v>1948</v>
      </c>
      <c r="D168" s="2766" t="s">
        <v>2747</v>
      </c>
      <c r="E168" s="2766" t="s">
        <v>1950</v>
      </c>
      <c r="F168" s="2766" t="s">
        <v>350</v>
      </c>
      <c r="G168" s="2766">
        <v>151601</v>
      </c>
      <c r="H168" s="2766">
        <f>Dataark_til_bilag2_2020[[#This Row],[Stald_kode]]+Dataark_til_bilag2_2020[[#This Row],[Dyr_Kode]]</f>
        <v>153117</v>
      </c>
      <c r="I168" s="4347" t="s">
        <v>270</v>
      </c>
      <c r="J168" s="2766"/>
      <c r="K168" s="2766" t="s">
        <v>350</v>
      </c>
      <c r="L168" s="2767"/>
      <c r="M168" s="2767"/>
      <c r="N168" s="2760" t="str">
        <f>IFERROR(Dataark_til_bilag2_2020[[#This Row],[Antal dyr]]*Dataark_til_bilag2_2020[[#This Row],[Gødning (g) pr. dyr (ton)]]," ")</f>
        <v xml:space="preserve"> </v>
      </c>
      <c r="O168" s="2768">
        <v>0</v>
      </c>
      <c r="P168" s="2759" t="s">
        <v>270</v>
      </c>
      <c r="Q168" s="2767"/>
      <c r="R168" s="2769">
        <v>365</v>
      </c>
      <c r="S168" s="2769">
        <v>365</v>
      </c>
      <c r="T168" s="2769">
        <v>0</v>
      </c>
      <c r="U168" s="2769">
        <v>0</v>
      </c>
      <c r="V168" s="2769">
        <v>7.2</v>
      </c>
      <c r="W168" s="2769">
        <v>0.45</v>
      </c>
      <c r="X168" s="2769">
        <v>0</v>
      </c>
      <c r="Y168" s="2762" t="str">
        <f t="shared" si="5"/>
        <v>-</v>
      </c>
    </row>
    <row r="169" spans="1:25" x14ac:dyDescent="0.25">
      <c r="A169" s="2770" t="s">
        <v>907</v>
      </c>
      <c r="B169" s="2766">
        <v>1516</v>
      </c>
      <c r="C169" s="2766" t="s">
        <v>1948</v>
      </c>
      <c r="D169" s="2766" t="s">
        <v>2747</v>
      </c>
      <c r="E169" s="2766" t="s">
        <v>1949</v>
      </c>
      <c r="F169" s="2766" t="s">
        <v>350</v>
      </c>
      <c r="G169" s="2766">
        <v>151602</v>
      </c>
      <c r="H169" s="2766">
        <f>Dataark_til_bilag2_2020[[#This Row],[Stald_kode]]+Dataark_til_bilag2_2020[[#This Row],[Dyr_Kode]]</f>
        <v>153118</v>
      </c>
      <c r="I169" s="4347" t="s">
        <v>270</v>
      </c>
      <c r="J169" s="2766" t="s">
        <v>1941</v>
      </c>
      <c r="K169" s="2766"/>
      <c r="L169" s="2767">
        <v>0.46</v>
      </c>
      <c r="M169" s="2767">
        <v>0.05</v>
      </c>
      <c r="N169" s="2760" t="str">
        <f>IFERROR(Dataark_til_bilag2_2020[[#This Row],[Antal dyr]]*Dataark_til_bilag2_2020[[#This Row],[Gødning (g) pr. dyr (ton)]]," ")</f>
        <v xml:space="preserve"> </v>
      </c>
      <c r="O169" s="2768"/>
      <c r="P169" s="2759" t="s">
        <v>270</v>
      </c>
      <c r="Q169" s="2767">
        <v>0.33</v>
      </c>
      <c r="R169" s="2769">
        <v>0</v>
      </c>
      <c r="S169" s="2769">
        <v>0</v>
      </c>
      <c r="T169" s="2769">
        <v>18.400000000000002</v>
      </c>
      <c r="U169" s="2769">
        <v>0</v>
      </c>
      <c r="V169" s="2769">
        <v>14.7</v>
      </c>
      <c r="W169" s="2769">
        <v>0.45</v>
      </c>
      <c r="X169" s="2769">
        <v>0.81549720000000014</v>
      </c>
      <c r="Y169" s="2762" t="str">
        <f>IFERROR(IFERROR((X169*I169)/1000,(X169*#REF!)/1000),"-")</f>
        <v>-</v>
      </c>
    </row>
    <row r="170" spans="1:25" x14ac:dyDescent="0.25">
      <c r="A170" s="2770" t="s">
        <v>907</v>
      </c>
      <c r="B170" s="2766">
        <v>1516</v>
      </c>
      <c r="C170" s="2766" t="s">
        <v>1948</v>
      </c>
      <c r="D170" s="2766" t="s">
        <v>2747</v>
      </c>
      <c r="E170" s="2766" t="s">
        <v>1947</v>
      </c>
      <c r="F170" s="2766" t="s">
        <v>350</v>
      </c>
      <c r="G170" s="2766">
        <v>151603</v>
      </c>
      <c r="H170" s="2766">
        <f>Dataark_til_bilag2_2018[[#This Row],[Stald_kode]]+Dataark_til_bilag2_2018[[#This Row],[Dyr_Kode]]</f>
        <v>153119</v>
      </c>
      <c r="I170" s="4347" t="s">
        <v>270</v>
      </c>
      <c r="J170" s="2766" t="s">
        <v>1941</v>
      </c>
      <c r="K170" s="2766"/>
      <c r="L170" s="2767">
        <f>0.133+0.55</f>
        <v>0.68300000000000005</v>
      </c>
      <c r="M170" s="2767">
        <v>6.6000000000000003E-2</v>
      </c>
      <c r="N170" s="2760" t="str">
        <f>IFERROR(Dataark_til_bilag2_2018[[#This Row],[Antal dyr]]*Dataark_til_bilag2_2018[[#This Row],[Gødning (g) pr. dyr (ton)]]," ")</f>
        <v xml:space="preserve"> </v>
      </c>
      <c r="O170" s="2768"/>
      <c r="P170" s="2759" t="s">
        <v>270</v>
      </c>
      <c r="Q170" s="2767"/>
      <c r="R170" s="2769">
        <v>0</v>
      </c>
      <c r="S170" s="2769">
        <v>0</v>
      </c>
      <c r="T170" s="2769">
        <v>36.062400000000004</v>
      </c>
      <c r="U170" s="2769">
        <v>0</v>
      </c>
      <c r="V170" s="2769">
        <v>13.4</v>
      </c>
      <c r="W170" s="2769">
        <v>0.45</v>
      </c>
      <c r="X170" s="2769">
        <v>1.4569570224000004</v>
      </c>
      <c r="Y170" s="2762" t="str">
        <f t="shared" ref="Y170:Y189" si="6">IFERROR(IFERROR((X170*I170)/1000,(X170*I169)/1000),"-")</f>
        <v>-</v>
      </c>
    </row>
    <row r="171" spans="1:25" x14ac:dyDescent="0.25">
      <c r="A171" s="2770" t="s">
        <v>907</v>
      </c>
      <c r="B171" s="2766">
        <v>1520</v>
      </c>
      <c r="C171" s="2766" t="s">
        <v>1940</v>
      </c>
      <c r="D171" s="2766" t="s">
        <v>2754</v>
      </c>
      <c r="E171" s="2766" t="s">
        <v>1946</v>
      </c>
      <c r="F171" s="2776" t="s">
        <v>353</v>
      </c>
      <c r="G171" s="2766">
        <v>152002</v>
      </c>
      <c r="H171" s="2766">
        <f>Dataark_til_bilag2_2018[[#This Row],[Stald_kode]]+Dataark_til_bilag2_2018[[#This Row],[Dyr_Kode]]</f>
        <v>153522</v>
      </c>
      <c r="I171" s="4347">
        <v>0</v>
      </c>
      <c r="J171" s="2766" t="s">
        <v>1941</v>
      </c>
      <c r="K171" s="2766"/>
      <c r="L171" s="2767">
        <f>0.55+0.133</f>
        <v>0.68300000000000005</v>
      </c>
      <c r="M171" s="2767">
        <v>6.6000000000000003E-2</v>
      </c>
      <c r="N171" s="2760">
        <f>IFERROR(Dataark_til_bilag2_2018[[#This Row],[Antal dyr]]*Dataark_til_bilag2_2018[[#This Row],[Gødning (g) pr. dyr (ton)]]," ")</f>
        <v>0</v>
      </c>
      <c r="O171" s="2767"/>
      <c r="P171" s="2759">
        <v>0</v>
      </c>
      <c r="Q171" s="2767">
        <v>0.3</v>
      </c>
      <c r="R171" s="2769">
        <v>0</v>
      </c>
      <c r="S171" s="2769">
        <v>181</v>
      </c>
      <c r="T171" s="2769">
        <v>36.062400000000004</v>
      </c>
      <c r="U171" s="2769">
        <v>0</v>
      </c>
      <c r="V171" s="2769">
        <v>13.4</v>
      </c>
      <c r="W171" s="2769">
        <v>0.45</v>
      </c>
      <c r="X171" s="2769">
        <v>1.4569570224000004</v>
      </c>
      <c r="Y171" s="2762">
        <f t="shared" si="6"/>
        <v>0</v>
      </c>
    </row>
    <row r="172" spans="1:25" x14ac:dyDescent="0.25">
      <c r="A172" s="2770" t="s">
        <v>907</v>
      </c>
      <c r="B172" s="2766">
        <v>1520</v>
      </c>
      <c r="C172" s="2766" t="s">
        <v>1940</v>
      </c>
      <c r="D172" s="2766" t="s">
        <v>2754</v>
      </c>
      <c r="E172" s="2766" t="s">
        <v>4753</v>
      </c>
      <c r="F172" s="2766" t="s">
        <v>353</v>
      </c>
      <c r="G172" s="2766">
        <v>152003</v>
      </c>
      <c r="H172" s="2766">
        <f>Dataark_til_bilag2_2020[[#This Row],[Stald_kode]]+Dataark_til_bilag2_2020[[#This Row],[Dyr_Kode]]</f>
        <v>153523</v>
      </c>
      <c r="I172" s="4347">
        <v>0</v>
      </c>
      <c r="J172" s="2766" t="s">
        <v>1941</v>
      </c>
      <c r="K172" s="2766"/>
      <c r="L172" s="2767">
        <f>0.55+0.133</f>
        <v>0.68300000000000005</v>
      </c>
      <c r="M172" s="2767">
        <v>6.6000000000000003E-2</v>
      </c>
      <c r="N172" s="2760">
        <f>IFERROR(Dataark_til_bilag2_2020[[#This Row],[Antal dyr]]*Dataark_til_bilag2_2020[[#This Row],[Gødning (g) pr. dyr (ton)]]," ")</f>
        <v>0</v>
      </c>
      <c r="O172" s="2768"/>
      <c r="P172" s="2759">
        <v>0</v>
      </c>
      <c r="Q172" s="2767"/>
      <c r="R172" s="2769">
        <v>0</v>
      </c>
      <c r="S172" s="2769">
        <v>181</v>
      </c>
      <c r="T172" s="2769">
        <v>36.062400000000004</v>
      </c>
      <c r="U172" s="2769">
        <v>0</v>
      </c>
      <c r="V172" s="2769">
        <v>13.4</v>
      </c>
      <c r="W172" s="2769">
        <v>0.45</v>
      </c>
      <c r="X172" s="2769">
        <v>1.4569570224000004</v>
      </c>
      <c r="Y172" s="2762">
        <f t="shared" si="6"/>
        <v>0</v>
      </c>
    </row>
    <row r="173" spans="1:25" x14ac:dyDescent="0.25">
      <c r="A173" s="2770" t="s">
        <v>907</v>
      </c>
      <c r="B173" s="2766">
        <v>1520</v>
      </c>
      <c r="C173" s="2766" t="s">
        <v>1940</v>
      </c>
      <c r="D173" s="2766" t="s">
        <v>2754</v>
      </c>
      <c r="E173" s="2766" t="s">
        <v>1945</v>
      </c>
      <c r="F173" s="2766" t="s">
        <v>353</v>
      </c>
      <c r="G173" s="2766">
        <v>152004</v>
      </c>
      <c r="H173" s="2766">
        <f>Dataark_til_bilag2_2018[[#This Row],[Stald_kode]]+Dataark_til_bilag2_2018[[#This Row],[Dyr_Kode]]</f>
        <v>153524</v>
      </c>
      <c r="I173" s="4347">
        <v>0</v>
      </c>
      <c r="J173" s="2766" t="s">
        <v>1941</v>
      </c>
      <c r="K173" s="2766"/>
      <c r="L173" s="2767">
        <f>0.55+0.133</f>
        <v>0.68300000000000005</v>
      </c>
      <c r="M173" s="2767">
        <v>6.0999999999999999E-2</v>
      </c>
      <c r="N173" s="2760">
        <f>IFERROR(Dataark_til_bilag2_2018[[#This Row],[Antal dyr]]*Dataark_til_bilag2_2018[[#This Row],[Gødning (g) pr. dyr (ton)]]," ")</f>
        <v>0</v>
      </c>
      <c r="O173" s="2768"/>
      <c r="P173" s="2759">
        <v>0</v>
      </c>
      <c r="Q173" s="2767"/>
      <c r="R173" s="2769">
        <v>0</v>
      </c>
      <c r="S173" s="2769">
        <v>181</v>
      </c>
      <c r="T173" s="2769">
        <v>33.330399999999997</v>
      </c>
      <c r="U173" s="2769">
        <v>0</v>
      </c>
      <c r="V173" s="2769">
        <v>13.7</v>
      </c>
      <c r="W173" s="2769">
        <v>0.45</v>
      </c>
      <c r="X173" s="2769">
        <v>1.3767288371999999</v>
      </c>
      <c r="Y173" s="2762">
        <f t="shared" si="6"/>
        <v>0</v>
      </c>
    </row>
    <row r="174" spans="1:25" x14ac:dyDescent="0.25">
      <c r="A174" s="2770" t="s">
        <v>907</v>
      </c>
      <c r="B174" s="2766">
        <v>1520</v>
      </c>
      <c r="C174" s="2766" t="s">
        <v>1940</v>
      </c>
      <c r="D174" s="2766" t="s">
        <v>2754</v>
      </c>
      <c r="E174" s="2766" t="s">
        <v>1944</v>
      </c>
      <c r="F174" s="2766" t="s">
        <v>352</v>
      </c>
      <c r="G174" s="2766">
        <v>152005</v>
      </c>
      <c r="H174" s="2766">
        <f>Dataark_til_bilag2_2018[[#This Row],[Stald_kode]]+Dataark_til_bilag2_2018[[#This Row],[Dyr_Kode]]</f>
        <v>153525</v>
      </c>
      <c r="I174" s="4347">
        <v>0</v>
      </c>
      <c r="J174" s="2766" t="s">
        <v>1903</v>
      </c>
      <c r="K174" s="2766"/>
      <c r="L174" s="2767">
        <f>0.1+0.018</f>
        <v>0.11800000000000001</v>
      </c>
      <c r="M174" s="2767">
        <v>0.23</v>
      </c>
      <c r="N174" s="2760">
        <f>IFERROR(Dataark_til_bilag2_2018[[#This Row],[Antal dyr]]*Dataark_til_bilag2_2018[[#This Row],[Gødning (g) pr. dyr (ton)]]," ")</f>
        <v>0</v>
      </c>
      <c r="O174" s="2768"/>
      <c r="P174" s="2759">
        <v>0</v>
      </c>
      <c r="Q174" s="2767"/>
      <c r="R174" s="2769">
        <v>0</v>
      </c>
      <c r="S174" s="2769">
        <v>181</v>
      </c>
      <c r="T174" s="2769">
        <v>21.712000000000003</v>
      </c>
      <c r="U174" s="2769">
        <v>0</v>
      </c>
      <c r="V174" s="2769">
        <v>2</v>
      </c>
      <c r="W174" s="2769">
        <v>0.45</v>
      </c>
      <c r="X174" s="2769">
        <v>0.13092336000000002</v>
      </c>
      <c r="Y174" s="2762">
        <f t="shared" si="6"/>
        <v>0</v>
      </c>
    </row>
    <row r="175" spans="1:25" x14ac:dyDescent="0.25">
      <c r="A175" s="2770" t="s">
        <v>907</v>
      </c>
      <c r="B175" s="2766">
        <v>1520</v>
      </c>
      <c r="C175" s="2766" t="s">
        <v>1940</v>
      </c>
      <c r="D175" s="2766" t="s">
        <v>2754</v>
      </c>
      <c r="E175" s="2766" t="s">
        <v>1942</v>
      </c>
      <c r="F175" s="2766" t="s">
        <v>350</v>
      </c>
      <c r="G175" s="2766">
        <v>152006</v>
      </c>
      <c r="H175" s="2766">
        <f>Dataark_til_bilag2_2018[[#This Row],[Stald_kode]]+Dataark_til_bilag2_2018[[#This Row],[Dyr_Kode]]</f>
        <v>153526</v>
      </c>
      <c r="I175" s="4347">
        <v>0</v>
      </c>
      <c r="J175" s="2766" t="s">
        <v>1941</v>
      </c>
      <c r="K175" s="2766"/>
      <c r="L175" s="2767">
        <v>0.35</v>
      </c>
      <c r="M175" s="2767">
        <v>4.9000000000000002E-2</v>
      </c>
      <c r="N175" s="2760">
        <f>IFERROR(Dataark_til_bilag2_2018[[#This Row],[Antal dyr]]*Dataark_til_bilag2_2018[[#This Row],[Gødning (g) pr. dyr (ton)]]," ")</f>
        <v>0</v>
      </c>
      <c r="O175" s="2768"/>
      <c r="P175" s="2759">
        <v>0</v>
      </c>
      <c r="Q175" s="2767"/>
      <c r="R175" s="2769">
        <v>0</v>
      </c>
      <c r="S175" s="2769">
        <v>181</v>
      </c>
      <c r="T175" s="2769">
        <v>13.720000000000002</v>
      </c>
      <c r="U175" s="2769">
        <v>0</v>
      </c>
      <c r="V175" s="2769">
        <v>13.4</v>
      </c>
      <c r="W175" s="2769">
        <v>0.45</v>
      </c>
      <c r="X175" s="2769">
        <v>0.55430172000000022</v>
      </c>
      <c r="Y175" s="2762">
        <f t="shared" si="6"/>
        <v>0</v>
      </c>
    </row>
    <row r="176" spans="1:25" x14ac:dyDescent="0.25">
      <c r="A176" s="2770" t="s">
        <v>907</v>
      </c>
      <c r="B176" s="2766">
        <v>1520</v>
      </c>
      <c r="C176" s="2766" t="s">
        <v>1940</v>
      </c>
      <c r="D176" s="2766" t="s">
        <v>2754</v>
      </c>
      <c r="E176" s="2766" t="s">
        <v>350</v>
      </c>
      <c r="F176" s="2776" t="s">
        <v>350</v>
      </c>
      <c r="G176" s="2766">
        <v>152007</v>
      </c>
      <c r="H176" s="2766">
        <f>Dataark_til_bilag2_2018[[#This Row],[Stald_kode]]+Dataark_til_bilag2_2018[[#This Row],[Dyr_Kode]]</f>
        <v>153527</v>
      </c>
      <c r="I176" s="4347">
        <v>0</v>
      </c>
      <c r="J176" s="2766"/>
      <c r="K176" s="2766" t="s">
        <v>350</v>
      </c>
      <c r="L176" s="2767"/>
      <c r="M176" s="2767"/>
      <c r="N176" s="2760">
        <f>IFERROR(Dataark_til_bilag2_2018[[#This Row],[Antal dyr]]*Dataark_til_bilag2_2018[[#This Row],[Gødning (g) pr. dyr (ton)]]," ")</f>
        <v>0</v>
      </c>
      <c r="O176" s="2768">
        <v>0.18</v>
      </c>
      <c r="P176" s="2759">
        <v>0</v>
      </c>
      <c r="Q176" s="2767">
        <v>0.33</v>
      </c>
      <c r="R176" s="2769">
        <v>0</v>
      </c>
      <c r="S176" s="2769">
        <v>181</v>
      </c>
      <c r="T176" s="2769">
        <v>59.373269999999998</v>
      </c>
      <c r="U176" s="2769">
        <v>0</v>
      </c>
      <c r="V176" s="2769">
        <v>11.4</v>
      </c>
      <c r="W176" s="2769">
        <v>0.45</v>
      </c>
      <c r="X176" s="2769">
        <v>2.0407186631700003</v>
      </c>
      <c r="Y176" s="2762">
        <f t="shared" si="6"/>
        <v>0</v>
      </c>
    </row>
    <row r="177" spans="1:25" x14ac:dyDescent="0.25">
      <c r="A177" s="2770" t="s">
        <v>962</v>
      </c>
      <c r="B177" s="2766">
        <v>2101</v>
      </c>
      <c r="C177" s="2766" t="s">
        <v>1939</v>
      </c>
      <c r="D177" s="2766" t="s">
        <v>335</v>
      </c>
      <c r="E177" s="2766" t="s">
        <v>1938</v>
      </c>
      <c r="F177" s="2766" t="s">
        <v>2743</v>
      </c>
      <c r="G177" s="2766">
        <v>210101</v>
      </c>
      <c r="H177" s="2766">
        <f>Dataark_til_bilag2_2018[[#This Row],[Stald_kode]]+Dataark_til_bilag2_2018[[#This Row],[Dyr_Kode]]</f>
        <v>212202</v>
      </c>
      <c r="I177" s="4347">
        <v>0</v>
      </c>
      <c r="J177" s="2766"/>
      <c r="K177" s="2766" t="s">
        <v>350</v>
      </c>
      <c r="L177" s="2767"/>
      <c r="M177" s="2767"/>
      <c r="N177" s="2760">
        <f>IFERROR(Dataark_til_bilag2_2018[[#This Row],[Antal dyr]]*Dataark_til_bilag2_2018[[#This Row],[Gødning (g) pr. dyr (ton)]]," ")</f>
        <v>0</v>
      </c>
      <c r="O177" s="2768"/>
      <c r="P177" s="2759">
        <v>0</v>
      </c>
      <c r="Q177" s="2767"/>
      <c r="R177" s="2769"/>
      <c r="S177" s="2769"/>
      <c r="T177" s="2769">
        <v>0</v>
      </c>
      <c r="U177" s="2769">
        <v>0</v>
      </c>
      <c r="V177" s="2769"/>
      <c r="W177" s="2769"/>
      <c r="X177" s="2769">
        <v>0.22</v>
      </c>
      <c r="Y177" s="2762">
        <f t="shared" si="6"/>
        <v>0</v>
      </c>
    </row>
    <row r="178" spans="1:25" x14ac:dyDescent="0.25">
      <c r="A178" s="2770" t="s">
        <v>962</v>
      </c>
      <c r="B178" s="2766">
        <v>2102</v>
      </c>
      <c r="C178" s="2766" t="s">
        <v>1937</v>
      </c>
      <c r="D178" s="2766" t="s">
        <v>335</v>
      </c>
      <c r="E178" s="2766" t="s">
        <v>1936</v>
      </c>
      <c r="F178" s="2766" t="s">
        <v>2743</v>
      </c>
      <c r="G178" s="2766">
        <v>210201</v>
      </c>
      <c r="H178" s="2766">
        <f>Dataark_til_bilag2_2018[[#This Row],[Stald_kode]]+Dataark_til_bilag2_2018[[#This Row],[Dyr_Kode]]</f>
        <v>212303</v>
      </c>
      <c r="I178" s="4347">
        <v>0</v>
      </c>
      <c r="J178" s="2766"/>
      <c r="K178" s="2766" t="s">
        <v>350</v>
      </c>
      <c r="L178" s="2767"/>
      <c r="M178" s="2767"/>
      <c r="N178" s="2760">
        <f>IFERROR(Dataark_til_bilag2_2018[[#This Row],[Antal dyr]]*Dataark_til_bilag2_2018[[#This Row],[Gødning (g) pr. dyr (ton)]]," ")</f>
        <v>0</v>
      </c>
      <c r="O178" s="2768"/>
      <c r="P178" s="2759">
        <v>0</v>
      </c>
      <c r="Q178" s="2767"/>
      <c r="R178" s="2769"/>
      <c r="S178" s="2769"/>
      <c r="T178" s="2769">
        <v>0</v>
      </c>
      <c r="U178" s="2769">
        <v>0</v>
      </c>
      <c r="V178" s="2769"/>
      <c r="W178" s="2769"/>
      <c r="X178" s="2769">
        <v>0.22</v>
      </c>
      <c r="Y178" s="2762">
        <f t="shared" si="6"/>
        <v>0</v>
      </c>
    </row>
    <row r="179" spans="1:25" x14ac:dyDescent="0.25">
      <c r="A179" s="2770" t="s">
        <v>962</v>
      </c>
      <c r="B179" s="2766">
        <v>2103</v>
      </c>
      <c r="C179" s="2766" t="s">
        <v>1935</v>
      </c>
      <c r="D179" s="2766" t="s">
        <v>335</v>
      </c>
      <c r="E179" s="2766" t="s">
        <v>1934</v>
      </c>
      <c r="F179" s="2766" t="s">
        <v>2743</v>
      </c>
      <c r="G179" s="2766">
        <v>210301</v>
      </c>
      <c r="H179" s="2766">
        <f>Dataark_til_bilag2_2018[[#This Row],[Stald_kode]]+Dataark_til_bilag2_2018[[#This Row],[Dyr_Kode]]</f>
        <v>212404</v>
      </c>
      <c r="I179" s="4347">
        <v>0</v>
      </c>
      <c r="J179" s="2766"/>
      <c r="K179" s="2766" t="s">
        <v>350</v>
      </c>
      <c r="L179" s="2767"/>
      <c r="M179" s="2767"/>
      <c r="N179" s="2760">
        <f>IFERROR(Dataark_til_bilag2_2018[[#This Row],[Antal dyr]]*Dataark_til_bilag2_2018[[#This Row],[Gødning (g) pr. dyr (ton)]]," ")</f>
        <v>0</v>
      </c>
      <c r="O179" s="2768"/>
      <c r="P179" s="2759">
        <v>0</v>
      </c>
      <c r="Q179" s="2767"/>
      <c r="R179" s="2769"/>
      <c r="S179" s="2769"/>
      <c r="T179" s="2769">
        <v>0</v>
      </c>
      <c r="U179" s="2769">
        <v>0</v>
      </c>
      <c r="V179" s="2769"/>
      <c r="W179" s="2769"/>
      <c r="X179" s="2769">
        <v>0.22</v>
      </c>
      <c r="Y179" s="2762">
        <f t="shared" si="6"/>
        <v>0</v>
      </c>
    </row>
    <row r="180" spans="1:25" x14ac:dyDescent="0.25">
      <c r="A180" s="2770" t="s">
        <v>962</v>
      </c>
      <c r="B180" s="2766">
        <v>2104</v>
      </c>
      <c r="C180" s="2766" t="s">
        <v>2790</v>
      </c>
      <c r="D180" s="2766" t="s">
        <v>335</v>
      </c>
      <c r="E180" s="2766" t="s">
        <v>1932</v>
      </c>
      <c r="F180" s="2766" t="s">
        <v>2743</v>
      </c>
      <c r="G180" s="2766">
        <v>210401</v>
      </c>
      <c r="H180" s="2766">
        <f>Dataark_til_bilag2_2018[[#This Row],[Stald_kode]]+Dataark_til_bilag2_2018[[#This Row],[Dyr_Kode]]</f>
        <v>212505</v>
      </c>
      <c r="I180" s="4347">
        <v>0</v>
      </c>
      <c r="J180" s="2766"/>
      <c r="K180" s="2766" t="s">
        <v>350</v>
      </c>
      <c r="L180" s="2767"/>
      <c r="M180" s="2767"/>
      <c r="N180" s="2760">
        <f>IFERROR(Dataark_til_bilag2_2018[[#This Row],[Antal dyr]]*Dataark_til_bilag2_2018[[#This Row],[Gødning (g) pr. dyr (ton)]]," ")</f>
        <v>0</v>
      </c>
      <c r="O180" s="2767"/>
      <c r="P180" s="2759">
        <v>0</v>
      </c>
      <c r="Q180" s="2767"/>
      <c r="R180" s="2769"/>
      <c r="S180" s="2769"/>
      <c r="T180" s="2769">
        <v>0</v>
      </c>
      <c r="U180" s="2769">
        <v>0</v>
      </c>
      <c r="V180" s="2769"/>
      <c r="W180" s="2769"/>
      <c r="X180" s="2769">
        <v>0.22</v>
      </c>
      <c r="Y180" s="2762">
        <f t="shared" si="6"/>
        <v>0</v>
      </c>
    </row>
    <row r="181" spans="1:25" x14ac:dyDescent="0.25">
      <c r="A181" s="2770" t="s">
        <v>962</v>
      </c>
      <c r="B181" s="2766">
        <v>2105</v>
      </c>
      <c r="C181" s="2766" t="s">
        <v>1931</v>
      </c>
      <c r="D181" s="2766" t="s">
        <v>335</v>
      </c>
      <c r="E181" s="2768" t="s">
        <v>1930</v>
      </c>
      <c r="F181" s="2766" t="s">
        <v>2743</v>
      </c>
      <c r="G181" s="2766">
        <v>210501</v>
      </c>
      <c r="H181" s="2766">
        <f>Dataark_til_bilag2_2018[[#This Row],[Stald_kode]]+Dataark_til_bilag2_2018[[#This Row],[Dyr_Kode]]</f>
        <v>212606</v>
      </c>
      <c r="I181" s="4347">
        <v>0</v>
      </c>
      <c r="J181" s="2766"/>
      <c r="K181" s="2766" t="s">
        <v>350</v>
      </c>
      <c r="L181" s="2767"/>
      <c r="M181" s="2767"/>
      <c r="N181" s="2760">
        <f>IFERROR(Dataark_til_bilag2_2018[[#This Row],[Antal dyr]]*Dataark_til_bilag2_2018[[#This Row],[Gødning (g) pr. dyr (ton)]]," ")</f>
        <v>0</v>
      </c>
      <c r="O181" s="2768"/>
      <c r="P181" s="2759">
        <v>0</v>
      </c>
      <c r="Q181" s="2767"/>
      <c r="R181" s="2769"/>
      <c r="S181" s="2769"/>
      <c r="T181" s="2769">
        <v>0</v>
      </c>
      <c r="U181" s="2769">
        <v>0</v>
      </c>
      <c r="V181" s="2769"/>
      <c r="W181" s="2769"/>
      <c r="X181" s="2769">
        <v>0.22</v>
      </c>
      <c r="Y181" s="2762">
        <f t="shared" si="6"/>
        <v>0</v>
      </c>
    </row>
    <row r="182" spans="1:25" x14ac:dyDescent="0.25">
      <c r="A182" s="2770" t="s">
        <v>962</v>
      </c>
      <c r="B182" s="2766">
        <v>2106</v>
      </c>
      <c r="C182" s="2766" t="s">
        <v>1929</v>
      </c>
      <c r="D182" s="2766" t="s">
        <v>335</v>
      </c>
      <c r="E182" s="2768" t="s">
        <v>1928</v>
      </c>
      <c r="F182" s="2766" t="s">
        <v>2743</v>
      </c>
      <c r="G182" s="2766">
        <v>210601</v>
      </c>
      <c r="H182" s="2766">
        <f>Dataark_til_bilag2_2018[[#This Row],[Stald_kode]]+Dataark_til_bilag2_2018[[#This Row],[Dyr_Kode]]</f>
        <v>212707</v>
      </c>
      <c r="I182" s="4347">
        <v>0</v>
      </c>
      <c r="J182" s="2766"/>
      <c r="K182" s="2766" t="s">
        <v>350</v>
      </c>
      <c r="L182" s="2767"/>
      <c r="M182" s="2767"/>
      <c r="N182" s="2760">
        <f>IFERROR(Dataark_til_bilag2_2018[[#This Row],[Antal dyr]]*Dataark_til_bilag2_2018[[#This Row],[Gødning (g) pr. dyr (ton)]]," ")</f>
        <v>0</v>
      </c>
      <c r="O182" s="2768"/>
      <c r="P182" s="2759">
        <v>0</v>
      </c>
      <c r="Q182" s="2767"/>
      <c r="R182" s="2769"/>
      <c r="S182" s="2769"/>
      <c r="T182" s="2769"/>
      <c r="U182" s="2769"/>
      <c r="V182" s="2769"/>
      <c r="W182" s="2769"/>
      <c r="X182" s="2769">
        <v>0.22</v>
      </c>
      <c r="Y182" s="2762">
        <f t="shared" si="6"/>
        <v>0</v>
      </c>
    </row>
    <row r="183" spans="1:25" x14ac:dyDescent="0.25">
      <c r="A183" s="2770" t="s">
        <v>625</v>
      </c>
      <c r="B183" s="2766">
        <v>2400</v>
      </c>
      <c r="C183" s="2766" t="s">
        <v>2750</v>
      </c>
      <c r="D183" s="2766" t="s">
        <v>337</v>
      </c>
      <c r="E183" s="2768" t="s">
        <v>2749</v>
      </c>
      <c r="F183" s="2766" t="s">
        <v>2743</v>
      </c>
      <c r="G183" s="2766">
        <v>240001</v>
      </c>
      <c r="H183" s="2766">
        <f>Dataark_til_bilag2_2018[[#This Row],[Stald_kode]]+Dataark_til_bilag2_2018[[#This Row],[Dyr_Kode]]</f>
        <v>242401</v>
      </c>
      <c r="I183" s="4347">
        <v>28565.51</v>
      </c>
      <c r="J183" s="2766" t="s">
        <v>1926</v>
      </c>
      <c r="K183" s="2766"/>
      <c r="L183" s="2767">
        <v>0.38</v>
      </c>
      <c r="M183" s="2767">
        <v>0.69</v>
      </c>
      <c r="N183" s="2760">
        <f>IFERROR(Dataark_til_bilag2_2018[[#This Row],[Antal dyr]]*Dataark_til_bilag2_2018[[#This Row],[Gødning (g) pr. dyr (ton)]]," ")</f>
        <v>10854.8938</v>
      </c>
      <c r="O183" s="2768"/>
      <c r="P183" s="2759">
        <v>0</v>
      </c>
      <c r="Q183" s="2767"/>
      <c r="R183" s="2769">
        <v>0</v>
      </c>
      <c r="S183" s="2769">
        <v>0</v>
      </c>
      <c r="T183" s="2769">
        <f t="shared" ref="T183:T223" si="7">(L183*1000)/365*M183*(365-R183)*0.8+(O183*1000)/365*Q183*(365-R183)*(1-0.045/100)</f>
        <v>209.76</v>
      </c>
      <c r="U183" s="2769">
        <f>(L183*1000)/365*M183*0.8*R183</f>
        <v>0</v>
      </c>
      <c r="V183" s="2769">
        <v>10.14</v>
      </c>
      <c r="W183" s="2769">
        <v>0.25</v>
      </c>
      <c r="X183" s="2769">
        <v>3.5626687200000005</v>
      </c>
      <c r="Y183" s="2762">
        <f t="shared" si="6"/>
        <v>101.76944894784721</v>
      </c>
    </row>
    <row r="184" spans="1:25" x14ac:dyDescent="0.25">
      <c r="A184" s="2770" t="s">
        <v>625</v>
      </c>
      <c r="B184" s="2766">
        <v>2400</v>
      </c>
      <c r="C184" s="2766" t="s">
        <v>2750</v>
      </c>
      <c r="D184" s="2766" t="s">
        <v>337</v>
      </c>
      <c r="E184" s="2766" t="s">
        <v>2789</v>
      </c>
      <c r="F184" s="2766" t="s">
        <v>2743</v>
      </c>
      <c r="G184" s="2766">
        <v>240003</v>
      </c>
      <c r="H184" s="2766">
        <f>Dataark_til_bilag2_2018[[#This Row],[Stald_kode]]+Dataark_til_bilag2_2018[[#This Row],[Dyr_Kode]]</f>
        <v>242403</v>
      </c>
      <c r="I184" s="4347">
        <v>0</v>
      </c>
      <c r="J184" s="2766" t="s">
        <v>1924</v>
      </c>
      <c r="K184" s="2766"/>
      <c r="L184" s="2767">
        <v>0.35</v>
      </c>
      <c r="M184" s="2767">
        <v>0.12</v>
      </c>
      <c r="N184" s="2760">
        <f>IFERROR(Dataark_til_bilag2_2018[[#This Row],[Antal dyr]]*Dataark_til_bilag2_2018[[#This Row],[Gødning (g) pr. dyr (ton)]]," ")</f>
        <v>0</v>
      </c>
      <c r="O184" s="2768"/>
      <c r="P184" s="2759">
        <v>0</v>
      </c>
      <c r="Q184" s="2767"/>
      <c r="R184" s="2769">
        <v>0</v>
      </c>
      <c r="S184" s="2769">
        <v>0</v>
      </c>
      <c r="T184" s="2769">
        <f t="shared" si="7"/>
        <v>33.599999999999994</v>
      </c>
      <c r="U184" s="2769">
        <f>(L184*1000)/365*M184*0.8*R184</f>
        <v>0</v>
      </c>
      <c r="V184" s="2769">
        <v>10.14</v>
      </c>
      <c r="W184" s="2769">
        <v>0.25</v>
      </c>
      <c r="X184" s="2769">
        <v>0.57067919999999994</v>
      </c>
      <c r="Y184" s="2762">
        <f t="shared" si="6"/>
        <v>0</v>
      </c>
    </row>
    <row r="185" spans="1:25" x14ac:dyDescent="0.25">
      <c r="A185" s="2770" t="s">
        <v>2788</v>
      </c>
      <c r="B185" s="2766">
        <v>2501</v>
      </c>
      <c r="C185" s="2766" t="s">
        <v>1923</v>
      </c>
      <c r="D185" s="2766" t="s">
        <v>337</v>
      </c>
      <c r="E185" s="2766" t="s">
        <v>2787</v>
      </c>
      <c r="F185" s="2766" t="s">
        <v>350</v>
      </c>
      <c r="G185" s="2766">
        <v>240101</v>
      </c>
      <c r="H185" s="2766">
        <f>Dataark_til_bilag2_2018[[#This Row],[Stald_kode]]+Dataark_til_bilag2_2018[[#This Row],[Dyr_Kode]]</f>
        <v>242602</v>
      </c>
      <c r="I185" s="4347" t="s">
        <v>270</v>
      </c>
      <c r="J185" s="2766"/>
      <c r="K185" s="2766" t="s">
        <v>350</v>
      </c>
      <c r="L185" s="2767"/>
      <c r="M185" s="2767"/>
      <c r="N185" s="2760" t="str">
        <f>IFERROR(Dataark_til_bilag2_2018[[#This Row],[Antal dyr]]*Dataark_til_bilag2_2018[[#This Row],[Gødning (g) pr. dyr (ton)]]," ")</f>
        <v xml:space="preserve"> </v>
      </c>
      <c r="O185" s="2768"/>
      <c r="P185" s="2759" t="s">
        <v>270</v>
      </c>
      <c r="Q185" s="2767"/>
      <c r="R185" s="2774">
        <v>0</v>
      </c>
      <c r="S185" s="2774">
        <v>0</v>
      </c>
      <c r="T185" s="2769">
        <f t="shared" si="7"/>
        <v>0</v>
      </c>
      <c r="U185" s="2769">
        <f>(L185*1000)/365*M185*0.8*R185</f>
        <v>0</v>
      </c>
      <c r="V185" s="2769">
        <v>0</v>
      </c>
      <c r="W185" s="2769">
        <v>0</v>
      </c>
      <c r="X185" s="2769">
        <v>0</v>
      </c>
      <c r="Y185" s="2762">
        <f t="shared" si="6"/>
        <v>0</v>
      </c>
    </row>
    <row r="186" spans="1:25" x14ac:dyDescent="0.25">
      <c r="A186" s="2770" t="s">
        <v>1900</v>
      </c>
      <c r="B186" s="2766">
        <v>3101</v>
      </c>
      <c r="C186" s="2766" t="s">
        <v>2746</v>
      </c>
      <c r="D186" s="2766" t="s">
        <v>331</v>
      </c>
      <c r="E186" s="2766" t="s">
        <v>2763</v>
      </c>
      <c r="F186" s="2776" t="s">
        <v>351</v>
      </c>
      <c r="G186" s="2766">
        <v>310101</v>
      </c>
      <c r="H186" s="2766">
        <f>Dataark_til_bilag2_2018[[#This Row],[Stald_kode]]+Dataark_til_bilag2_2018[[#This Row],[Dyr_Kode]]</f>
        <v>313202</v>
      </c>
      <c r="I186" s="4347">
        <v>0</v>
      </c>
      <c r="J186" s="2766" t="s">
        <v>1903</v>
      </c>
      <c r="K186" s="2766"/>
      <c r="L186" s="2767">
        <f>1.27/100</f>
        <v>1.2699999999999999E-2</v>
      </c>
      <c r="M186" s="2767">
        <v>0.4</v>
      </c>
      <c r="N186" s="2760">
        <f>IFERROR(Dataark_til_bilag2_2018[[#This Row],[Antal dyr]]*Dataark_til_bilag2_2018[[#This Row],[Gødning (g) pr. dyr (ton)]]," ")</f>
        <v>0</v>
      </c>
      <c r="O186" s="2768"/>
      <c r="P186" s="2759">
        <v>0</v>
      </c>
      <c r="Q186" s="2767"/>
      <c r="R186" s="2783">
        <v>0</v>
      </c>
      <c r="S186" s="2783">
        <v>0</v>
      </c>
      <c r="T186" s="2769">
        <f t="shared" si="7"/>
        <v>4.0640000000000001</v>
      </c>
      <c r="U186" s="2769">
        <f>(L186*1000)/365*M186*0.8*R186</f>
        <v>0</v>
      </c>
      <c r="V186" s="2769">
        <v>1</v>
      </c>
      <c r="W186" s="2769">
        <v>0.39</v>
      </c>
      <c r="X186" s="2769">
        <v>1.0619232000000003E-2</v>
      </c>
      <c r="Y186" s="2762">
        <f t="shared" si="6"/>
        <v>0</v>
      </c>
    </row>
    <row r="187" spans="1:25" x14ac:dyDescent="0.25">
      <c r="A187" s="2770" t="s">
        <v>1900</v>
      </c>
      <c r="B187" s="2766">
        <v>3101</v>
      </c>
      <c r="C187" s="2766" t="s">
        <v>2746</v>
      </c>
      <c r="D187" s="2766" t="s">
        <v>331</v>
      </c>
      <c r="E187" s="2766" t="s">
        <v>2786</v>
      </c>
      <c r="F187" s="2776" t="s">
        <v>351</v>
      </c>
      <c r="G187" s="2766">
        <v>310102</v>
      </c>
      <c r="H187" s="2766">
        <f>Dataark_til_bilag2_2018[[#This Row],[Stald_kode]]+Dataark_til_bilag2_2018[[#This Row],[Dyr_Kode]]</f>
        <v>313203</v>
      </c>
      <c r="I187" s="4347">
        <v>0</v>
      </c>
      <c r="J187" s="2766"/>
      <c r="K187" s="2766" t="s">
        <v>350</v>
      </c>
      <c r="L187" s="2767"/>
      <c r="M187" s="2767"/>
      <c r="N187" s="2760">
        <f>IFERROR(Dataark_til_bilag2_2018[[#This Row],[Antal dyr]]*Dataark_til_bilag2_2018[[#This Row],[Gødning (g) pr. dyr (ton)]]," ")</f>
        <v>0</v>
      </c>
      <c r="O187" s="2767">
        <f>1.1/100</f>
        <v>1.1000000000000001E-2</v>
      </c>
      <c r="P187" s="2759">
        <v>0</v>
      </c>
      <c r="Q187" s="2767">
        <v>0.63300000000000001</v>
      </c>
      <c r="R187" s="2783">
        <v>0</v>
      </c>
      <c r="S187" s="2783">
        <v>0</v>
      </c>
      <c r="T187" s="2769">
        <f t="shared" si="7"/>
        <v>6.9598666500000022</v>
      </c>
      <c r="U187" s="2769">
        <f>(O187*1000)/365*Q187*0.8*R187</f>
        <v>0</v>
      </c>
      <c r="V187" s="2769">
        <v>1</v>
      </c>
      <c r="W187" s="2769">
        <v>0.39</v>
      </c>
      <c r="X187" s="2769">
        <v>1.8186131556450009E-2</v>
      </c>
      <c r="Y187" s="2762">
        <f t="shared" si="6"/>
        <v>0</v>
      </c>
    </row>
    <row r="188" spans="1:25" x14ac:dyDescent="0.25">
      <c r="A188" s="2770" t="s">
        <v>1900</v>
      </c>
      <c r="B188" s="2766">
        <v>3101</v>
      </c>
      <c r="C188" s="2766" t="s">
        <v>2746</v>
      </c>
      <c r="D188" s="2766" t="s">
        <v>331</v>
      </c>
      <c r="E188" s="2766" t="s">
        <v>1920</v>
      </c>
      <c r="F188" s="2776" t="s">
        <v>351</v>
      </c>
      <c r="G188" s="2766">
        <v>310103</v>
      </c>
      <c r="H188" s="2766">
        <f>Dataark_til_bilag2_2018[[#This Row],[Stald_kode]]+Dataark_til_bilag2_2018[[#This Row],[Dyr_Kode]]</f>
        <v>313204</v>
      </c>
      <c r="I188" s="4347">
        <v>0</v>
      </c>
      <c r="J188" s="2766" t="s">
        <v>1903</v>
      </c>
      <c r="K188" s="2766"/>
      <c r="L188" s="2767">
        <f>2.11/100</f>
        <v>2.1099999999999997E-2</v>
      </c>
      <c r="M188" s="2767">
        <v>0.4</v>
      </c>
      <c r="N188" s="2760">
        <f>IFERROR(Dataark_til_bilag2_2018[[#This Row],[Antal dyr]]*Dataark_til_bilag2_2018[[#This Row],[Gødning (g) pr. dyr (ton)]]," ")</f>
        <v>0</v>
      </c>
      <c r="O188" s="2768"/>
      <c r="P188" s="2759">
        <v>0</v>
      </c>
      <c r="Q188" s="2767"/>
      <c r="R188" s="2769">
        <v>181</v>
      </c>
      <c r="S188" s="2769">
        <v>181</v>
      </c>
      <c r="T188" s="2769">
        <f t="shared" si="7"/>
        <v>3.4037479452054797</v>
      </c>
      <c r="U188" s="2769">
        <f t="shared" ref="U188:U197" si="8">(L188*1000)/365*M188*0.8*R188</f>
        <v>3.3482520547945209</v>
      </c>
      <c r="V188" s="2769">
        <v>1</v>
      </c>
      <c r="W188" s="2769">
        <v>0.39</v>
      </c>
      <c r="X188" s="2769">
        <v>1.7642976000000005E-2</v>
      </c>
      <c r="Y188" s="2762">
        <f t="shared" si="6"/>
        <v>0</v>
      </c>
    </row>
    <row r="189" spans="1:25" x14ac:dyDescent="0.25">
      <c r="A189" s="2770" t="s">
        <v>2745</v>
      </c>
      <c r="B189" s="2766">
        <v>3101</v>
      </c>
      <c r="C189" s="2766" t="s">
        <v>1919</v>
      </c>
      <c r="D189" s="2766" t="s">
        <v>331</v>
      </c>
      <c r="E189" s="2766" t="s">
        <v>1918</v>
      </c>
      <c r="F189" s="2776" t="s">
        <v>351</v>
      </c>
      <c r="G189" s="2766">
        <v>310104</v>
      </c>
      <c r="H189" s="2766">
        <f>Dataark_til_bilag2_2020[[#This Row],[Stald_kode]]+Dataark_til_bilag2_2020[[#This Row],[Dyr_Kode]]</f>
        <v>313205</v>
      </c>
      <c r="I189" s="4347" t="s">
        <v>270</v>
      </c>
      <c r="J189" s="2766" t="s">
        <v>1903</v>
      </c>
      <c r="K189" s="2766"/>
      <c r="L189" s="2767">
        <f>2.11/100</f>
        <v>2.1099999999999997E-2</v>
      </c>
      <c r="M189" s="2767">
        <v>0.4</v>
      </c>
      <c r="N189" s="2760" t="str">
        <f>IFERROR(Dataark_til_bilag2_2020[[#This Row],[Antal dyr]]*Dataark_til_bilag2_2020[[#This Row],[Gødning (g) pr. dyr (ton)]]," ")</f>
        <v xml:space="preserve"> </v>
      </c>
      <c r="O189" s="2767"/>
      <c r="P189" s="2759" t="s">
        <v>270</v>
      </c>
      <c r="Q189" s="2767"/>
      <c r="R189" s="2783">
        <v>181</v>
      </c>
      <c r="S189" s="2783">
        <v>181</v>
      </c>
      <c r="T189" s="2769">
        <f t="shared" si="7"/>
        <v>3.4037479452054797</v>
      </c>
      <c r="U189" s="2769">
        <f t="shared" si="8"/>
        <v>3.3482520547945209</v>
      </c>
      <c r="V189" s="2769">
        <v>1.5</v>
      </c>
      <c r="W189" s="2769">
        <v>0.39</v>
      </c>
      <c r="X189" s="2769">
        <v>2.6464464000000007E-2</v>
      </c>
      <c r="Y189" s="2762">
        <f t="shared" si="6"/>
        <v>0</v>
      </c>
    </row>
    <row r="190" spans="1:25" s="2850" customFormat="1" x14ac:dyDescent="0.25">
      <c r="A190" s="2770" t="s">
        <v>1900</v>
      </c>
      <c r="B190" s="2766">
        <v>3102</v>
      </c>
      <c r="C190" s="2766" t="s">
        <v>2744</v>
      </c>
      <c r="D190" s="2766" t="s">
        <v>331</v>
      </c>
      <c r="E190" s="2766" t="s">
        <v>1917</v>
      </c>
      <c r="F190" s="2766" t="s">
        <v>2743</v>
      </c>
      <c r="G190" s="2766">
        <v>310201</v>
      </c>
      <c r="H190" s="2766">
        <f>Dataark_til_bilag2_2018[[#This Row],[Stald_kode]]+Dataark_til_bilag2_2018[[#This Row],[Dyr_Kode]]</f>
        <v>313303</v>
      </c>
      <c r="I190" s="4347">
        <v>0</v>
      </c>
      <c r="J190" s="2766" t="s">
        <v>1903</v>
      </c>
      <c r="K190" s="2766"/>
      <c r="L190" s="2767">
        <f>1.51/100</f>
        <v>1.5100000000000001E-2</v>
      </c>
      <c r="M190" s="2767">
        <v>0.4</v>
      </c>
      <c r="N190" s="2760">
        <f>IFERROR(Dataark_til_bilag2_2018[[#This Row],[Antal dyr]]*Dataark_til_bilag2_2018[[#This Row],[Gødning (g) pr. dyr (ton)]]," ")</f>
        <v>0</v>
      </c>
      <c r="O190" s="2768"/>
      <c r="P190" s="2759">
        <v>0</v>
      </c>
      <c r="Q190" s="2767"/>
      <c r="R190" s="2769">
        <v>0</v>
      </c>
      <c r="S190" s="2783">
        <v>0</v>
      </c>
      <c r="T190" s="2769">
        <f t="shared" si="7"/>
        <v>4.8320000000000007</v>
      </c>
      <c r="U190" s="2769">
        <f t="shared" si="8"/>
        <v>0</v>
      </c>
      <c r="V190" s="2769">
        <v>1.5</v>
      </c>
      <c r="W190" s="2769">
        <v>0.39</v>
      </c>
      <c r="X190" s="2769">
        <v>1.8939024000000006E-2</v>
      </c>
      <c r="Y190" s="2762">
        <f>IFERROR(IFERROR((X190*I190)/1000,(X190*I187)/1000),"-")</f>
        <v>0</v>
      </c>
    </row>
    <row r="191" spans="1:25" x14ac:dyDescent="0.25">
      <c r="A191" s="2770" t="s">
        <v>1900</v>
      </c>
      <c r="B191" s="2766">
        <v>3102</v>
      </c>
      <c r="C191" s="2766" t="s">
        <v>2744</v>
      </c>
      <c r="D191" s="2766" t="s">
        <v>331</v>
      </c>
      <c r="E191" s="2766" t="s">
        <v>1916</v>
      </c>
      <c r="F191" s="2766" t="s">
        <v>2743</v>
      </c>
      <c r="G191" s="2766">
        <v>310202</v>
      </c>
      <c r="H191" s="2766">
        <f>Dataark_til_bilag2_2018[[#This Row],[Stald_kode]]+Dataark_til_bilag2_2018[[#This Row],[Dyr_Kode]]</f>
        <v>313304</v>
      </c>
      <c r="I191" s="4347">
        <v>0</v>
      </c>
      <c r="J191" s="2766" t="s">
        <v>1903</v>
      </c>
      <c r="K191" s="2766"/>
      <c r="L191" s="2767">
        <f>1.3/100</f>
        <v>1.3000000000000001E-2</v>
      </c>
      <c r="M191" s="2767">
        <v>0.4</v>
      </c>
      <c r="N191" s="2760">
        <f>IFERROR(Dataark_til_bilag2_2018[[#This Row],[Antal dyr]]*Dataark_til_bilag2_2018[[#This Row],[Gødning (g) pr. dyr (ton)]]," ")</f>
        <v>0</v>
      </c>
      <c r="O191" s="2768"/>
      <c r="P191" s="2759">
        <v>0</v>
      </c>
      <c r="Q191" s="2767"/>
      <c r="R191" s="2783">
        <v>0</v>
      </c>
      <c r="S191" s="2783">
        <v>0</v>
      </c>
      <c r="T191" s="2769">
        <f t="shared" si="7"/>
        <v>4.160000000000001</v>
      </c>
      <c r="U191" s="2769">
        <f t="shared" si="8"/>
        <v>0</v>
      </c>
      <c r="V191" s="2769">
        <v>1.5</v>
      </c>
      <c r="W191" s="2769">
        <v>0.39</v>
      </c>
      <c r="X191" s="2769">
        <v>1.6305120000000006E-2</v>
      </c>
      <c r="Y191" s="2762">
        <f>IFERROR(IFERROR((X191*I191)/1000,(X191*I190)/1000),"-")</f>
        <v>0</v>
      </c>
    </row>
    <row r="192" spans="1:25" s="2850" customFormat="1" x14ac:dyDescent="0.25">
      <c r="A192" s="2770" t="s">
        <v>2745</v>
      </c>
      <c r="B192" s="2766">
        <v>3102</v>
      </c>
      <c r="C192" s="2766" t="s">
        <v>2744</v>
      </c>
      <c r="D192" s="2766" t="s">
        <v>331</v>
      </c>
      <c r="E192" s="2766" t="s">
        <v>1914</v>
      </c>
      <c r="F192" s="2766" t="s">
        <v>2743</v>
      </c>
      <c r="G192" s="2766">
        <v>310203</v>
      </c>
      <c r="H192" s="2766">
        <f>Dataark_til_bilag2_2020[[#This Row],[Stald_kode]]+Dataark_til_bilag2_2020[[#This Row],[Dyr_Kode]]</f>
        <v>313305</v>
      </c>
      <c r="I192" s="4347" t="s">
        <v>270</v>
      </c>
      <c r="J192" s="2766" t="s">
        <v>1903</v>
      </c>
      <c r="K192" s="2766"/>
      <c r="L192" s="2767">
        <f>6.48/100</f>
        <v>6.480000000000001E-2</v>
      </c>
      <c r="M192" s="2767">
        <v>0.12</v>
      </c>
      <c r="N192" s="2760" t="str">
        <f>IFERROR(Dataark_til_bilag2_2020[[#This Row],[Antal dyr]]*Dataark_til_bilag2_2020[[#This Row],[Gødning (g) pr. dyr (ton)]]," ")</f>
        <v xml:space="preserve"> </v>
      </c>
      <c r="O192" s="2768"/>
      <c r="P192" s="2759" t="s">
        <v>270</v>
      </c>
      <c r="Q192" s="2767"/>
      <c r="R192" s="2769"/>
      <c r="S192" s="2783">
        <v>181</v>
      </c>
      <c r="T192" s="2769">
        <f t="shared" si="7"/>
        <v>6.2208000000000006</v>
      </c>
      <c r="U192" s="2769">
        <f t="shared" si="8"/>
        <v>0</v>
      </c>
      <c r="V192" s="2769">
        <v>1.5</v>
      </c>
      <c r="W192" s="2769">
        <v>0.39</v>
      </c>
      <c r="X192" s="2769">
        <v>2.4382425600000004E-2</v>
      </c>
      <c r="Y192" s="2762">
        <f>IFERROR(IFERROR((X192*I192)/1000,(X192*I190)/1000),"-")</f>
        <v>0</v>
      </c>
    </row>
    <row r="193" spans="1:25" x14ac:dyDescent="0.25">
      <c r="A193" s="2770" t="s">
        <v>1900</v>
      </c>
      <c r="B193" s="2766">
        <v>3103</v>
      </c>
      <c r="C193" s="2766" t="s">
        <v>2762</v>
      </c>
      <c r="D193" s="2766" t="s">
        <v>331</v>
      </c>
      <c r="E193" s="2766" t="s">
        <v>1913</v>
      </c>
      <c r="F193" s="2766" t="s">
        <v>2743</v>
      </c>
      <c r="G193" s="2766">
        <v>310301</v>
      </c>
      <c r="H193" s="2766">
        <f>Dataark_til_bilag2_2018[[#This Row],[Stald_kode]]+Dataark_til_bilag2_2018[[#This Row],[Dyr_Kode]]</f>
        <v>313404</v>
      </c>
      <c r="I193" s="4347">
        <v>0</v>
      </c>
      <c r="J193" s="2766" t="s">
        <v>1903</v>
      </c>
      <c r="K193" s="2766"/>
      <c r="L193" s="2768">
        <f>1.4/100</f>
        <v>1.3999999999999999E-2</v>
      </c>
      <c r="M193" s="2768">
        <v>0.4</v>
      </c>
      <c r="N193" s="2760">
        <f>IFERROR(Dataark_til_bilag2_2018[[#This Row],[Antal dyr]]*Dataark_til_bilag2_2018[[#This Row],[Gødning (g) pr. dyr (ton)]]," ")</f>
        <v>0</v>
      </c>
      <c r="O193" s="2768"/>
      <c r="P193" s="2759">
        <v>0</v>
      </c>
      <c r="Q193" s="2767"/>
      <c r="R193" s="2769">
        <v>0</v>
      </c>
      <c r="S193" s="2783">
        <v>0</v>
      </c>
      <c r="T193" s="2769">
        <f t="shared" si="7"/>
        <v>4.4799999999999995</v>
      </c>
      <c r="U193" s="2769">
        <f t="shared" si="8"/>
        <v>0</v>
      </c>
      <c r="V193" s="2769">
        <v>1.5</v>
      </c>
      <c r="W193" s="2769">
        <v>0.39</v>
      </c>
      <c r="X193" s="2769">
        <v>1.7559359999999996E-2</v>
      </c>
      <c r="Y193" s="2762">
        <f t="shared" ref="Y193:Y206" si="9">IFERROR(IFERROR((X193*I193)/1000,(X193*I192)/1000),"-")</f>
        <v>0</v>
      </c>
    </row>
    <row r="194" spans="1:25" x14ac:dyDescent="0.25">
      <c r="A194" s="2770" t="s">
        <v>1900</v>
      </c>
      <c r="B194" s="2766">
        <v>3103</v>
      </c>
      <c r="C194" s="2766" t="s">
        <v>2762</v>
      </c>
      <c r="D194" s="2766" t="s">
        <v>331</v>
      </c>
      <c r="E194" s="2766" t="s">
        <v>1912</v>
      </c>
      <c r="F194" s="2766" t="s">
        <v>2743</v>
      </c>
      <c r="G194" s="2766">
        <v>310302</v>
      </c>
      <c r="H194" s="2766">
        <f>Dataark_til_bilag2_2018[[#This Row],[Stald_kode]]+Dataark_til_bilag2_2018[[#This Row],[Dyr_Kode]]</f>
        <v>313405</v>
      </c>
      <c r="I194" s="4347">
        <v>0</v>
      </c>
      <c r="J194" s="2766" t="s">
        <v>1903</v>
      </c>
      <c r="K194" s="2766"/>
      <c r="L194" s="2767">
        <f>2.23/100</f>
        <v>2.23E-2</v>
      </c>
      <c r="M194" s="2767">
        <v>0.4</v>
      </c>
      <c r="N194" s="2760">
        <f>IFERROR(Dataark_til_bilag2_2018[[#This Row],[Antal dyr]]*Dataark_til_bilag2_2018[[#This Row],[Gødning (g) pr. dyr (ton)]]," ")</f>
        <v>0</v>
      </c>
      <c r="O194" s="2768"/>
      <c r="P194" s="2759">
        <v>0</v>
      </c>
      <c r="Q194" s="2767"/>
      <c r="R194" s="2769">
        <v>0</v>
      </c>
      <c r="S194" s="2783">
        <v>0</v>
      </c>
      <c r="T194" s="2769">
        <f t="shared" si="7"/>
        <v>7.1360000000000001</v>
      </c>
      <c r="U194" s="2769">
        <f t="shared" si="8"/>
        <v>0</v>
      </c>
      <c r="V194" s="2769">
        <v>1.5</v>
      </c>
      <c r="W194" s="2769">
        <v>0.39</v>
      </c>
      <c r="X194" s="2769">
        <v>2.7969552000000005E-2</v>
      </c>
      <c r="Y194" s="2762">
        <f t="shared" si="9"/>
        <v>0</v>
      </c>
    </row>
    <row r="195" spans="1:25" x14ac:dyDescent="0.25">
      <c r="A195" s="2770" t="s">
        <v>2745</v>
      </c>
      <c r="B195" s="2766">
        <v>3103</v>
      </c>
      <c r="C195" s="2766" t="s">
        <v>1911</v>
      </c>
      <c r="D195" s="2766" t="s">
        <v>331</v>
      </c>
      <c r="E195" s="2766" t="s">
        <v>1910</v>
      </c>
      <c r="F195" s="2766" t="s">
        <v>2743</v>
      </c>
      <c r="G195" s="2766">
        <v>310303</v>
      </c>
      <c r="H195" s="2766">
        <f>Dataark_til_bilag2_2018[[#This Row],[Stald_kode]]+Dataark_til_bilag2_2018[[#This Row],[Dyr_Kode]]</f>
        <v>313406</v>
      </c>
      <c r="I195" s="4347" t="s">
        <v>270</v>
      </c>
      <c r="J195" s="2766" t="s">
        <v>1903</v>
      </c>
      <c r="K195" s="2766"/>
      <c r="L195" s="2767">
        <f>2.23/100</f>
        <v>2.23E-2</v>
      </c>
      <c r="M195" s="2767">
        <v>0.4</v>
      </c>
      <c r="N195" s="2760" t="str">
        <f>IFERROR(Dataark_til_bilag2_2018[[#This Row],[Antal dyr]]*Dataark_til_bilag2_2018[[#This Row],[Gødning (g) pr. dyr (ton)]]," ")</f>
        <v xml:space="preserve"> </v>
      </c>
      <c r="O195" s="2768"/>
      <c r="P195" s="2759" t="s">
        <v>270</v>
      </c>
      <c r="Q195" s="2767"/>
      <c r="R195" s="2769">
        <v>0</v>
      </c>
      <c r="S195" s="2769"/>
      <c r="T195" s="2769">
        <f t="shared" si="7"/>
        <v>7.1360000000000001</v>
      </c>
      <c r="U195" s="2769">
        <f t="shared" si="8"/>
        <v>0</v>
      </c>
      <c r="V195" s="2769">
        <v>1.5</v>
      </c>
      <c r="W195" s="2769">
        <v>0.39</v>
      </c>
      <c r="X195" s="2769">
        <v>2.7969552000000005E-2</v>
      </c>
      <c r="Y195" s="2762">
        <f t="shared" si="9"/>
        <v>0</v>
      </c>
    </row>
    <row r="196" spans="1:25" x14ac:dyDescent="0.25">
      <c r="A196" s="2770" t="s">
        <v>1900</v>
      </c>
      <c r="B196" s="2766">
        <v>3104</v>
      </c>
      <c r="C196" s="2766" t="s">
        <v>2785</v>
      </c>
      <c r="D196" s="2766" t="s">
        <v>331</v>
      </c>
      <c r="E196" s="2766" t="s">
        <v>1909</v>
      </c>
      <c r="F196" s="2766" t="s">
        <v>2743</v>
      </c>
      <c r="G196" s="2766">
        <v>310402</v>
      </c>
      <c r="H196" s="2766">
        <f>Dataark_til_bilag2_2018[[#This Row],[Stald_kode]]+Dataark_til_bilag2_2018[[#This Row],[Dyr_Kode]]</f>
        <v>313506</v>
      </c>
      <c r="I196" s="4347">
        <v>0</v>
      </c>
      <c r="J196" s="2766" t="s">
        <v>1903</v>
      </c>
      <c r="K196" s="2766"/>
      <c r="L196" s="2767">
        <f>2.82/100</f>
        <v>2.8199999999999999E-2</v>
      </c>
      <c r="M196" s="2767">
        <v>0.4</v>
      </c>
      <c r="N196" s="2760">
        <f>IFERROR(Dataark_til_bilag2_2018[[#This Row],[Antal dyr]]*Dataark_til_bilag2_2018[[#This Row],[Gødning (g) pr. dyr (ton)]]," ")</f>
        <v>0</v>
      </c>
      <c r="O196" s="2768"/>
      <c r="P196" s="2759">
        <v>0</v>
      </c>
      <c r="Q196" s="2767"/>
      <c r="R196" s="2769">
        <v>0</v>
      </c>
      <c r="S196" s="2769"/>
      <c r="T196" s="2769">
        <f t="shared" si="7"/>
        <v>9.0239999999999991</v>
      </c>
      <c r="U196" s="2769">
        <f t="shared" si="8"/>
        <v>0</v>
      </c>
      <c r="V196" s="2769">
        <v>1.5</v>
      </c>
      <c r="W196" s="2769">
        <v>0.39</v>
      </c>
      <c r="X196" s="2769">
        <v>3.5369567999999997E-2</v>
      </c>
      <c r="Y196" s="2762">
        <f t="shared" si="9"/>
        <v>0</v>
      </c>
    </row>
    <row r="197" spans="1:25" x14ac:dyDescent="0.25">
      <c r="A197" s="2770" t="s">
        <v>1900</v>
      </c>
      <c r="B197" s="2766">
        <v>3104</v>
      </c>
      <c r="C197" s="2766" t="s">
        <v>2785</v>
      </c>
      <c r="D197" s="2766" t="s">
        <v>331</v>
      </c>
      <c r="E197" s="2766" t="s">
        <v>1907</v>
      </c>
      <c r="F197" s="2766" t="s">
        <v>2743</v>
      </c>
      <c r="G197" s="2766">
        <v>310403</v>
      </c>
      <c r="H197" s="2766">
        <f>Dataark_til_bilag2_2018[[#This Row],[Stald_kode]]+Dataark_til_bilag2_2018[[#This Row],[Dyr_Kode]]</f>
        <v>313507</v>
      </c>
      <c r="I197" s="4347">
        <v>0</v>
      </c>
      <c r="J197" s="2766" t="s">
        <v>1906</v>
      </c>
      <c r="K197" s="2766"/>
      <c r="L197" s="2767">
        <f>9.92/100</f>
        <v>9.9199999999999997E-2</v>
      </c>
      <c r="M197" s="2767">
        <v>0.12</v>
      </c>
      <c r="N197" s="2760">
        <f>IFERROR(Dataark_til_bilag2_2018[[#This Row],[Antal dyr]]*Dataark_til_bilag2_2018[[#This Row],[Gødning (g) pr. dyr (ton)]]," ")</f>
        <v>0</v>
      </c>
      <c r="O197" s="2768"/>
      <c r="P197" s="2759">
        <v>0</v>
      </c>
      <c r="Q197" s="2767"/>
      <c r="R197" s="2769">
        <v>0</v>
      </c>
      <c r="S197" s="2769">
        <v>0</v>
      </c>
      <c r="T197" s="2769">
        <f t="shared" si="7"/>
        <v>9.523200000000001</v>
      </c>
      <c r="U197" s="2769">
        <f t="shared" si="8"/>
        <v>0</v>
      </c>
      <c r="V197" s="2769">
        <v>1.5</v>
      </c>
      <c r="W197" s="2769">
        <v>0.39</v>
      </c>
      <c r="X197" s="2769">
        <v>3.7326182400000005E-2</v>
      </c>
      <c r="Y197" s="2762">
        <f t="shared" si="9"/>
        <v>0</v>
      </c>
    </row>
    <row r="198" spans="1:25" x14ac:dyDescent="0.25">
      <c r="A198" s="2770" t="s">
        <v>1900</v>
      </c>
      <c r="B198" s="2766">
        <v>3105</v>
      </c>
      <c r="C198" s="2766" t="s">
        <v>1880</v>
      </c>
      <c r="D198" s="2766" t="s">
        <v>331</v>
      </c>
      <c r="E198" s="2766" t="s">
        <v>2784</v>
      </c>
      <c r="F198" s="2766" t="s">
        <v>2743</v>
      </c>
      <c r="G198" s="2766">
        <v>310501</v>
      </c>
      <c r="H198" s="2766">
        <f>Dataark_til_bilag2_2018[[#This Row],[Stald_kode]]+Dataark_til_bilag2_2018[[#This Row],[Dyr_Kode]]</f>
        <v>313606</v>
      </c>
      <c r="I198" s="4347">
        <v>0</v>
      </c>
      <c r="J198" s="2766"/>
      <c r="K198" s="2766" t="s">
        <v>350</v>
      </c>
      <c r="L198" s="2767"/>
      <c r="M198" s="2767"/>
      <c r="N198" s="2760">
        <f>IFERROR(Dataark_til_bilag2_2018[[#This Row],[Antal dyr]]*Dataark_til_bilag2_2018[[#This Row],[Gødning (g) pr. dyr (ton)]]," ")</f>
        <v>0</v>
      </c>
      <c r="O198" s="2767">
        <f>1.63/100</f>
        <v>1.6299999999999999E-2</v>
      </c>
      <c r="P198" s="2759">
        <v>0</v>
      </c>
      <c r="Q198" s="2767">
        <v>0.63300000000000001</v>
      </c>
      <c r="R198" s="2783">
        <v>0</v>
      </c>
      <c r="S198" s="2783">
        <v>0</v>
      </c>
      <c r="T198" s="2769">
        <f t="shared" si="7"/>
        <v>10.313256944999999</v>
      </c>
      <c r="U198" s="2769">
        <f>(O198*1000)/365*Q198*0.8*R198</f>
        <v>0</v>
      </c>
      <c r="V198" s="2769">
        <v>1.5</v>
      </c>
      <c r="W198" s="2769">
        <v>0.39</v>
      </c>
      <c r="X198" s="2769">
        <v>4.0422810595927498E-2</v>
      </c>
      <c r="Y198" s="2762">
        <f t="shared" si="9"/>
        <v>0</v>
      </c>
    </row>
    <row r="199" spans="1:25" x14ac:dyDescent="0.25">
      <c r="A199" s="2770" t="s">
        <v>2745</v>
      </c>
      <c r="B199" s="2766">
        <v>3106</v>
      </c>
      <c r="C199" s="2766" t="s">
        <v>1919</v>
      </c>
      <c r="D199" s="2766" t="s">
        <v>331</v>
      </c>
      <c r="E199" s="2766" t="s">
        <v>1918</v>
      </c>
      <c r="F199" s="2776" t="s">
        <v>351</v>
      </c>
      <c r="G199" s="2766">
        <v>310601</v>
      </c>
      <c r="H199" s="2766">
        <f>Dataark_til_bilag2_2018[[#This Row],[Stald_kode]]+Dataark_til_bilag2_2018[[#This Row],[Dyr_Kode]]</f>
        <v>313707</v>
      </c>
      <c r="I199" s="4347">
        <v>0</v>
      </c>
      <c r="J199" s="2766" t="s">
        <v>1903</v>
      </c>
      <c r="K199" s="2766"/>
      <c r="L199" s="2767">
        <f>2.11/100</f>
        <v>2.1099999999999997E-2</v>
      </c>
      <c r="M199" s="2767">
        <v>0.4</v>
      </c>
      <c r="N199" s="2760">
        <f>IFERROR(Dataark_til_bilag2_2018[[#This Row],[Antal dyr]]*Dataark_til_bilag2_2018[[#This Row],[Gødning (g) pr. dyr (ton)]]," ")</f>
        <v>0</v>
      </c>
      <c r="O199" s="2767"/>
      <c r="P199" s="2759">
        <v>0</v>
      </c>
      <c r="Q199" s="2767"/>
      <c r="R199" s="2769">
        <v>181</v>
      </c>
      <c r="S199" s="2769">
        <v>181</v>
      </c>
      <c r="T199" s="2769">
        <f t="shared" si="7"/>
        <v>3.4037479452054797</v>
      </c>
      <c r="U199" s="2769">
        <f>(L199*1000)/365*M199*0.8*R199</f>
        <v>3.3482520547945209</v>
      </c>
      <c r="V199" s="2769">
        <v>1.5</v>
      </c>
      <c r="W199" s="2769">
        <v>0.39</v>
      </c>
      <c r="X199" s="2769">
        <v>2.6464464000000007E-2</v>
      </c>
      <c r="Y199" s="2762">
        <f t="shared" si="9"/>
        <v>0</v>
      </c>
    </row>
    <row r="200" spans="1:25" x14ac:dyDescent="0.25">
      <c r="A200" s="2770" t="s">
        <v>2745</v>
      </c>
      <c r="B200" s="2766">
        <v>3107</v>
      </c>
      <c r="C200" s="2766" t="s">
        <v>2744</v>
      </c>
      <c r="D200" s="2766" t="s">
        <v>331</v>
      </c>
      <c r="E200" s="2766" t="s">
        <v>1914</v>
      </c>
      <c r="F200" s="2766" t="s">
        <v>2743</v>
      </c>
      <c r="G200" s="2766">
        <v>310701</v>
      </c>
      <c r="H200" s="2766">
        <f>Dataark_til_bilag2_2018[[#This Row],[Stald_kode]]+Dataark_til_bilag2_2018[[#This Row],[Dyr_Kode]]</f>
        <v>313808</v>
      </c>
      <c r="I200" s="4347">
        <v>0</v>
      </c>
      <c r="J200" s="2766" t="s">
        <v>1903</v>
      </c>
      <c r="K200" s="2766"/>
      <c r="L200" s="2767">
        <f>6.48/100</f>
        <v>6.480000000000001E-2</v>
      </c>
      <c r="M200" s="2767">
        <v>0.12</v>
      </c>
      <c r="N200" s="2760">
        <f>IFERROR(Dataark_til_bilag2_2018[[#This Row],[Antal dyr]]*Dataark_til_bilag2_2018[[#This Row],[Gødning (g) pr. dyr (ton)]]," ")</f>
        <v>0</v>
      </c>
      <c r="O200" s="2767"/>
      <c r="P200" s="2759">
        <v>0</v>
      </c>
      <c r="Q200" s="2767"/>
      <c r="R200" s="2769"/>
      <c r="S200" s="2769">
        <v>181</v>
      </c>
      <c r="T200" s="2769">
        <f t="shared" si="7"/>
        <v>6.2208000000000006</v>
      </c>
      <c r="U200" s="2769">
        <f>(L200*1000)/365*M200*0.8*R200</f>
        <v>0</v>
      </c>
      <c r="V200" s="2769">
        <v>1.5</v>
      </c>
      <c r="W200" s="2769">
        <v>0.39</v>
      </c>
      <c r="X200" s="2769">
        <v>2.4382425600000004E-2</v>
      </c>
      <c r="Y200" s="2762">
        <f t="shared" si="9"/>
        <v>0</v>
      </c>
    </row>
    <row r="201" spans="1:25" x14ac:dyDescent="0.25">
      <c r="A201" s="2770" t="s">
        <v>1900</v>
      </c>
      <c r="B201" s="2766">
        <v>3111</v>
      </c>
      <c r="C201" s="2766" t="s">
        <v>2783</v>
      </c>
      <c r="D201" s="2766" t="s">
        <v>331</v>
      </c>
      <c r="E201" s="2766" t="s">
        <v>1904</v>
      </c>
      <c r="F201" s="2766" t="s">
        <v>2743</v>
      </c>
      <c r="G201" s="2766">
        <v>311105</v>
      </c>
      <c r="H201" s="2766">
        <f>Dataark_til_bilag2_2018[[#This Row],[Stald_kode]]+Dataark_til_bilag2_2018[[#This Row],[Dyr_Kode]]</f>
        <v>314216</v>
      </c>
      <c r="I201" s="4347">
        <v>0</v>
      </c>
      <c r="J201" s="2766" t="s">
        <v>1903</v>
      </c>
      <c r="K201" s="2766"/>
      <c r="L201" s="2767">
        <f>0.23/100</f>
        <v>2.3E-3</v>
      </c>
      <c r="M201" s="2767">
        <v>0.4</v>
      </c>
      <c r="N201" s="2760">
        <f>IFERROR(Dataark_til_bilag2_2018[[#This Row],[Antal dyr]]*Dataark_til_bilag2_2018[[#This Row],[Gødning (g) pr. dyr (ton)]]," ")</f>
        <v>0</v>
      </c>
      <c r="O201" s="2768"/>
      <c r="P201" s="2759">
        <v>0</v>
      </c>
      <c r="Q201" s="2767"/>
      <c r="R201" s="2783">
        <v>0</v>
      </c>
      <c r="S201" s="2783">
        <v>0</v>
      </c>
      <c r="T201" s="2769">
        <f t="shared" si="7"/>
        <v>0.7360000000000001</v>
      </c>
      <c r="U201" s="2769">
        <f>(L201*1000)/365*M201*0.8*R201</f>
        <v>0</v>
      </c>
      <c r="V201" s="2769">
        <v>1.5</v>
      </c>
      <c r="W201" s="2769">
        <v>0.39</v>
      </c>
      <c r="X201" s="2769">
        <v>2.8847520000000004E-3</v>
      </c>
      <c r="Y201" s="2762">
        <f t="shared" si="9"/>
        <v>0</v>
      </c>
    </row>
    <row r="202" spans="1:25" x14ac:dyDescent="0.25">
      <c r="A202" s="2770" t="s">
        <v>1900</v>
      </c>
      <c r="B202" s="2766">
        <v>3111</v>
      </c>
      <c r="C202" s="2766" t="s">
        <v>2782</v>
      </c>
      <c r="D202" s="2766" t="s">
        <v>331</v>
      </c>
      <c r="E202" s="2766" t="s">
        <v>1901</v>
      </c>
      <c r="F202" s="2766" t="s">
        <v>2743</v>
      </c>
      <c r="G202" s="2766">
        <v>311106</v>
      </c>
      <c r="H202" s="2766">
        <f>Dataark_til_bilag2_2018[[#This Row],[Stald_kode]]+Dataark_til_bilag2_2018[[#This Row],[Dyr_Kode]]</f>
        <v>314217</v>
      </c>
      <c r="I202" s="4347">
        <v>0</v>
      </c>
      <c r="J202" s="2766"/>
      <c r="K202" s="2766" t="s">
        <v>350</v>
      </c>
      <c r="L202" s="2767"/>
      <c r="M202" s="2767"/>
      <c r="N202" s="2760">
        <f>IFERROR(Dataark_til_bilag2_2018[[#This Row],[Antal dyr]]*Dataark_til_bilag2_2018[[#This Row],[Gødning (g) pr. dyr (ton)]]," ")</f>
        <v>0</v>
      </c>
      <c r="O202" s="2767">
        <f>0.14/100</f>
        <v>1.4000000000000002E-3</v>
      </c>
      <c r="P202" s="2759">
        <v>0</v>
      </c>
      <c r="Q202" s="2767">
        <v>0.48</v>
      </c>
      <c r="R202" s="2783">
        <v>0</v>
      </c>
      <c r="S202" s="2783">
        <v>0</v>
      </c>
      <c r="T202" s="2769">
        <f t="shared" si="7"/>
        <v>0.67169760000000012</v>
      </c>
      <c r="U202" s="2769">
        <f>(O202*1000)/365*Q202*0.8*R202</f>
        <v>0</v>
      </c>
      <c r="V202" s="2769">
        <v>1.5</v>
      </c>
      <c r="W202" s="2769">
        <v>0.39</v>
      </c>
      <c r="X202" s="2769">
        <v>2.6327187432000011E-3</v>
      </c>
      <c r="Y202" s="2762">
        <f t="shared" si="9"/>
        <v>0</v>
      </c>
    </row>
    <row r="203" spans="1:25" x14ac:dyDescent="0.25">
      <c r="A203" s="2770" t="s">
        <v>1900</v>
      </c>
      <c r="B203" s="2766">
        <v>3112</v>
      </c>
      <c r="C203" s="2766" t="s">
        <v>2781</v>
      </c>
      <c r="D203" s="2766" t="s">
        <v>331</v>
      </c>
      <c r="E203" s="2766" t="s">
        <v>2780</v>
      </c>
      <c r="F203" s="2766" t="s">
        <v>2743</v>
      </c>
      <c r="G203" s="2766">
        <v>311201</v>
      </c>
      <c r="H203" s="2766">
        <f>Dataark_til_bilag2_2018[[#This Row],[Stald_kode]]+Dataark_til_bilag2_2018[[#This Row],[Dyr_Kode]]</f>
        <v>314313</v>
      </c>
      <c r="I203" s="4347">
        <v>0</v>
      </c>
      <c r="J203" s="2766"/>
      <c r="K203" s="2766" t="s">
        <v>350</v>
      </c>
      <c r="L203" s="2767"/>
      <c r="M203" s="2767"/>
      <c r="N203" s="2760">
        <f>IFERROR(Dataark_til_bilag2_2018[[#This Row],[Antal dyr]]*Dataark_til_bilag2_2018[[#This Row],[Gødning (g) pr. dyr (ton)]]," ")</f>
        <v>0</v>
      </c>
      <c r="O203" s="2767">
        <f>0.15/100</f>
        <v>1.5E-3</v>
      </c>
      <c r="P203" s="2759">
        <v>0</v>
      </c>
      <c r="Q203" s="2767">
        <v>0.48</v>
      </c>
      <c r="R203" s="2783">
        <v>0</v>
      </c>
      <c r="S203" s="2783">
        <v>0</v>
      </c>
      <c r="T203" s="2769">
        <f t="shared" si="7"/>
        <v>0.71967599999999998</v>
      </c>
      <c r="U203" s="2769">
        <f>(O203*1000)/365*Q203*0.8*R203</f>
        <v>0</v>
      </c>
      <c r="V203" s="2769">
        <v>1.5</v>
      </c>
      <c r="W203" s="2769">
        <v>0.39</v>
      </c>
      <c r="X203" s="2769">
        <v>2.8207700820000008E-3</v>
      </c>
      <c r="Y203" s="2762">
        <f t="shared" si="9"/>
        <v>0</v>
      </c>
    </row>
    <row r="204" spans="1:25" x14ac:dyDescent="0.25">
      <c r="A204" s="2770" t="s">
        <v>1878</v>
      </c>
      <c r="B204" s="2766">
        <v>3201</v>
      </c>
      <c r="C204" s="2766" t="s">
        <v>1897</v>
      </c>
      <c r="D204" s="2766" t="s">
        <v>331</v>
      </c>
      <c r="E204" s="2766" t="s">
        <v>4891</v>
      </c>
      <c r="F204" s="2766" t="s">
        <v>2743</v>
      </c>
      <c r="G204" s="2766">
        <v>320101</v>
      </c>
      <c r="H204" s="2766">
        <f>Dataark_til_bilag2_2020[[#This Row],[Stald_kode]]+Dataark_til_bilag2_2020[[#This Row],[Dyr_Kode]]</f>
        <v>323302</v>
      </c>
      <c r="I204" s="4347">
        <v>0</v>
      </c>
      <c r="J204" s="2766"/>
      <c r="K204" s="2766" t="s">
        <v>350</v>
      </c>
      <c r="L204" s="2767"/>
      <c r="M204" s="2767"/>
      <c r="N204" s="2760">
        <f>IFERROR(Dataark_til_bilag2_2020[[#This Row],[Antal dyr]]*Dataark_til_bilag2_2020[[#This Row],[Gødning (g) pr. dyr (ton)]]," ")</f>
        <v>0</v>
      </c>
      <c r="O204" s="2768">
        <f>1.17/1000</f>
        <v>1.17E-3</v>
      </c>
      <c r="P204" s="2759">
        <v>0</v>
      </c>
      <c r="Q204" s="2767">
        <v>0.48</v>
      </c>
      <c r="R204" s="2769">
        <v>0</v>
      </c>
      <c r="S204" s="2769">
        <v>0</v>
      </c>
      <c r="T204" s="2769">
        <f t="shared" si="7"/>
        <v>0.56134728</v>
      </c>
      <c r="U204" s="2769">
        <f>(L204*1000)/365*M204*0.8*R204</f>
        <v>0</v>
      </c>
      <c r="V204" s="2769">
        <v>1.5</v>
      </c>
      <c r="W204" s="2769">
        <v>0.36</v>
      </c>
      <c r="X204" s="2769">
        <v>2.0309544590399998E-3</v>
      </c>
      <c r="Y204" s="2762">
        <f t="shared" si="9"/>
        <v>0</v>
      </c>
    </row>
    <row r="205" spans="1:25" x14ac:dyDescent="0.25">
      <c r="A205" s="2770" t="s">
        <v>1878</v>
      </c>
      <c r="B205" s="2766">
        <v>3202</v>
      </c>
      <c r="C205" s="2766" t="s">
        <v>1896</v>
      </c>
      <c r="D205" s="2766" t="s">
        <v>331</v>
      </c>
      <c r="E205" s="2766" t="s">
        <v>4754</v>
      </c>
      <c r="F205" s="2766" t="s">
        <v>2743</v>
      </c>
      <c r="G205" s="2766">
        <v>320201</v>
      </c>
      <c r="H205" s="2766">
        <f>Dataark_til_bilag2_2020[[#This Row],[Stald_kode]]+Dataark_til_bilag2_2020[[#This Row],[Dyr_Kode]]</f>
        <v>323403</v>
      </c>
      <c r="I205" s="4347">
        <v>0</v>
      </c>
      <c r="J205" s="2766"/>
      <c r="K205" s="2766" t="s">
        <v>350</v>
      </c>
      <c r="L205" s="2767"/>
      <c r="M205" s="2767"/>
      <c r="N205" s="2760">
        <f>IFERROR(Dataark_til_bilag2_2020[[#This Row],[Antal dyr]]*Dataark_til_bilag2_2020[[#This Row],[Gødning (g) pr. dyr (ton)]]," ")</f>
        <v>0</v>
      </c>
      <c r="O205" s="2767">
        <f>1.39/1000</f>
        <v>1.39E-3</v>
      </c>
      <c r="P205" s="2759">
        <v>0</v>
      </c>
      <c r="Q205" s="2767">
        <v>0.48</v>
      </c>
      <c r="R205" s="2783">
        <v>0</v>
      </c>
      <c r="S205" s="2783">
        <v>0</v>
      </c>
      <c r="T205" s="2769">
        <f t="shared" si="7"/>
        <v>0.66689975999999995</v>
      </c>
      <c r="U205" s="2769">
        <f>(L205*1000)/365*M205*0.8*R205</f>
        <v>0</v>
      </c>
      <c r="V205" s="2769">
        <v>1.5</v>
      </c>
      <c r="W205" s="2769">
        <v>0.36</v>
      </c>
      <c r="X205" s="2769">
        <v>2.4128433316800003E-3</v>
      </c>
      <c r="Y205" s="2762">
        <f t="shared" si="9"/>
        <v>0</v>
      </c>
    </row>
    <row r="206" spans="1:25" x14ac:dyDescent="0.25">
      <c r="A206" s="2770" t="s">
        <v>1878</v>
      </c>
      <c r="B206" s="2766">
        <v>3203</v>
      </c>
      <c r="C206" s="2766" t="s">
        <v>1895</v>
      </c>
      <c r="D206" s="2766" t="s">
        <v>331</v>
      </c>
      <c r="E206" s="2766" t="s">
        <v>1894</v>
      </c>
      <c r="F206" s="2766" t="s">
        <v>2743</v>
      </c>
      <c r="G206" s="2766">
        <v>320301</v>
      </c>
      <c r="H206" s="2766">
        <f>Dataark_til_bilag2_2020[[#This Row],[Stald_kode]]+Dataark_til_bilag2_2020[[#This Row],[Dyr_Kode]]</f>
        <v>323504</v>
      </c>
      <c r="I206" s="4347" t="s">
        <v>270</v>
      </c>
      <c r="J206" s="2766"/>
      <c r="K206" s="2766" t="s">
        <v>350</v>
      </c>
      <c r="L206" s="2767"/>
      <c r="M206" s="2767"/>
      <c r="N206" s="2760" t="str">
        <f>IFERROR(Dataark_til_bilag2_2020[[#This Row],[Antal dyr]]*Dataark_til_bilag2_2020[[#This Row],[Gødning (g) pr. dyr (ton)]]," ")</f>
        <v xml:space="preserve"> </v>
      </c>
      <c r="O206" s="2768">
        <f>1.78/1000</f>
        <v>1.7800000000000001E-3</v>
      </c>
      <c r="P206" s="2759" t="s">
        <v>270</v>
      </c>
      <c r="Q206" s="2767">
        <v>0.48</v>
      </c>
      <c r="R206" s="2769">
        <v>0</v>
      </c>
      <c r="S206" s="2769">
        <v>0</v>
      </c>
      <c r="T206" s="2769">
        <f t="shared" si="7"/>
        <v>0.85401552000000003</v>
      </c>
      <c r="U206" s="2769">
        <f>(L206*1000)/365*M206*0.8*R206</f>
        <v>0</v>
      </c>
      <c r="V206" s="2769">
        <v>1.5</v>
      </c>
      <c r="W206" s="2769">
        <v>0.36</v>
      </c>
      <c r="X206" s="2769">
        <v>3.0898281513600007E-3</v>
      </c>
      <c r="Y206" s="2762">
        <f t="shared" si="9"/>
        <v>0</v>
      </c>
    </row>
    <row r="207" spans="1:25" x14ac:dyDescent="0.25">
      <c r="A207" s="2770" t="s">
        <v>1878</v>
      </c>
      <c r="B207" s="2766">
        <v>3204</v>
      </c>
      <c r="C207" s="2766" t="s">
        <v>1893</v>
      </c>
      <c r="D207" s="2766" t="s">
        <v>331</v>
      </c>
      <c r="E207" s="2766" t="s">
        <v>4890</v>
      </c>
      <c r="F207" s="2766" t="s">
        <v>2743</v>
      </c>
      <c r="G207" s="2766">
        <v>320401</v>
      </c>
      <c r="H207" s="2766">
        <f>Dataark_til_bilag2_2020[[#This Row],[Stald_kode]]+Dataark_til_bilag2_2020[[#This Row],[Dyr_Kode]]</f>
        <v>323605</v>
      </c>
      <c r="I207" s="4347">
        <v>0</v>
      </c>
      <c r="J207" s="2766"/>
      <c r="K207" s="2766" t="s">
        <v>350</v>
      </c>
      <c r="L207" s="2767"/>
      <c r="M207" s="2767"/>
      <c r="N207" s="2760">
        <f>IFERROR(Dataark_til_bilag2_2020[[#This Row],[Antal dyr]]*Dataark_til_bilag2_2020[[#This Row],[Gødning (g) pr. dyr (ton)]]," ")</f>
        <v>0</v>
      </c>
      <c r="O207" s="2767">
        <f>2.22/1000</f>
        <v>2.2200000000000002E-3</v>
      </c>
      <c r="P207" s="2759">
        <v>0</v>
      </c>
      <c r="Q207" s="2767">
        <v>0.48</v>
      </c>
      <c r="R207" s="2783">
        <v>0</v>
      </c>
      <c r="S207" s="2783">
        <v>0</v>
      </c>
      <c r="T207" s="2769">
        <f t="shared" si="7"/>
        <v>1.0651204800000003</v>
      </c>
      <c r="U207" s="2769">
        <f>(L207*1000)/365*M207*0.8*R207</f>
        <v>0</v>
      </c>
      <c r="V207" s="2769">
        <v>1.5</v>
      </c>
      <c r="W207" s="2769">
        <v>0.36</v>
      </c>
      <c r="X207" s="2769">
        <v>3.8536058966400014E-3</v>
      </c>
      <c r="Y207" s="2762">
        <f>IFERROR(IFERROR((X207*I207)/1000,(X207*I205)/1000),"-")</f>
        <v>0</v>
      </c>
    </row>
    <row r="208" spans="1:25" x14ac:dyDescent="0.25">
      <c r="A208" s="2770" t="s">
        <v>1878</v>
      </c>
      <c r="B208" s="2766">
        <v>3205</v>
      </c>
      <c r="C208" s="2766" t="s">
        <v>4264</v>
      </c>
      <c r="D208" s="2766" t="s">
        <v>331</v>
      </c>
      <c r="E208" s="2766" t="s">
        <v>2779</v>
      </c>
      <c r="F208" s="2766" t="s">
        <v>2743</v>
      </c>
      <c r="G208" s="2766">
        <v>320501</v>
      </c>
      <c r="H208" s="2766">
        <f>Dataark_til_bilag2_2020[[#This Row],[Stald_kode]]+Dataark_til_bilag2_2020[[#This Row],[Dyr_Kode]]</f>
        <v>323706</v>
      </c>
      <c r="I208" s="4347">
        <v>0</v>
      </c>
      <c r="J208" s="2766"/>
      <c r="K208" s="2766" t="s">
        <v>350</v>
      </c>
      <c r="L208" s="2767"/>
      <c r="M208" s="2767"/>
      <c r="N208" s="2760">
        <f>IFERROR(Dataark_til_bilag2_2020[[#This Row],[Antal dyr]]*Dataark_til_bilag2_2020[[#This Row],[Gødning (g) pr. dyr (ton)]]," ")</f>
        <v>0</v>
      </c>
      <c r="O208" s="2767">
        <f>1.78/1000</f>
        <v>1.7800000000000001E-3</v>
      </c>
      <c r="P208" s="2759">
        <v>0</v>
      </c>
      <c r="Q208" s="2767">
        <v>0.48</v>
      </c>
      <c r="R208" s="2769"/>
      <c r="S208" s="2769"/>
      <c r="T208" s="2769">
        <f t="shared" si="7"/>
        <v>0.85401552000000003</v>
      </c>
      <c r="U208" s="2769">
        <f>(L208*1000)/365*M208*0.8*R208</f>
        <v>0</v>
      </c>
      <c r="V208" s="2769">
        <v>1.5</v>
      </c>
      <c r="W208" s="2769">
        <v>0.36</v>
      </c>
      <c r="X208" s="2769">
        <v>3.0898281513600007E-3</v>
      </c>
      <c r="Y208" s="2762">
        <f t="shared" ref="Y208:Y239" si="10">IFERROR(IFERROR((X208*I208)/1000,(X208*I207)/1000),"-")</f>
        <v>0</v>
      </c>
    </row>
    <row r="209" spans="1:25" x14ac:dyDescent="0.25">
      <c r="A209" s="2770" t="s">
        <v>1878</v>
      </c>
      <c r="B209" s="2766">
        <v>3230</v>
      </c>
      <c r="C209" s="2766" t="s">
        <v>2776</v>
      </c>
      <c r="D209" s="2787" t="s">
        <v>331</v>
      </c>
      <c r="E209" s="2787" t="s">
        <v>1891</v>
      </c>
      <c r="F209" s="2766" t="s">
        <v>2743</v>
      </c>
      <c r="G209" s="2766">
        <v>323001</v>
      </c>
      <c r="H209" s="2766">
        <f>Dataark_til_bilag2_2018[[#This Row],[Stald_kode]]+Dataark_til_bilag2_2018[[#This Row],[Dyr_Kode]]</f>
        <v>326231</v>
      </c>
      <c r="I209" s="4347">
        <v>0</v>
      </c>
      <c r="J209" s="2766"/>
      <c r="K209" s="2766" t="s">
        <v>350</v>
      </c>
      <c r="L209" s="2767"/>
      <c r="M209" s="2767"/>
      <c r="N209" s="2760">
        <f>IFERROR(Dataark_til_bilag2_2018[[#This Row],[Antal dyr]]*Dataark_til_bilag2_2018[[#This Row],[Gødning (g) pr. dyr (ton)]]," ")</f>
        <v>0</v>
      </c>
      <c r="O209" s="2767">
        <f>1.03/1000</f>
        <v>1.0300000000000001E-3</v>
      </c>
      <c r="P209" s="2759">
        <v>0</v>
      </c>
      <c r="Q209" s="2767">
        <v>0.48</v>
      </c>
      <c r="R209" s="2783">
        <v>0</v>
      </c>
      <c r="S209" s="2783">
        <v>0</v>
      </c>
      <c r="T209" s="2769">
        <f t="shared" si="7"/>
        <v>0.49417751999999998</v>
      </c>
      <c r="U209" s="2769">
        <f t="shared" ref="U209:U221" si="11">(O209*1000)/365*Q209*0.8*R209</f>
        <v>0</v>
      </c>
      <c r="V209" s="2769">
        <v>1.5</v>
      </c>
      <c r="W209" s="2769">
        <v>0.36</v>
      </c>
      <c r="X209" s="2769">
        <v>1.7879342673599999E-3</v>
      </c>
      <c r="Y209" s="2762">
        <f t="shared" si="10"/>
        <v>0</v>
      </c>
    </row>
    <row r="210" spans="1:25" x14ac:dyDescent="0.25">
      <c r="A210" s="2770" t="s">
        <v>1878</v>
      </c>
      <c r="B210" s="2766">
        <v>3232</v>
      </c>
      <c r="C210" s="2766" t="s">
        <v>1890</v>
      </c>
      <c r="D210" s="2772" t="s">
        <v>331</v>
      </c>
      <c r="E210" s="2772" t="s">
        <v>1889</v>
      </c>
      <c r="F210" s="2766" t="s">
        <v>2743</v>
      </c>
      <c r="G210" s="2766">
        <v>323201</v>
      </c>
      <c r="H210" s="2766">
        <f>Dataark_til_bilag2_2018[[#This Row],[Stald_kode]]+Dataark_til_bilag2_2018[[#This Row],[Dyr_Kode]]</f>
        <v>326433</v>
      </c>
      <c r="I210" s="4347">
        <v>0</v>
      </c>
      <c r="J210" s="2766"/>
      <c r="K210" s="2766" t="s">
        <v>350</v>
      </c>
      <c r="L210" s="2767"/>
      <c r="M210" s="2767"/>
      <c r="N210" s="2760">
        <f>IFERROR(Dataark_til_bilag2_2018[[#This Row],[Antal dyr]]*Dataark_til_bilag2_2018[[#This Row],[Gødning (g) pr. dyr (ton)]]," ")</f>
        <v>0</v>
      </c>
      <c r="O210" s="2767">
        <f>1.17/1000</f>
        <v>1.17E-3</v>
      </c>
      <c r="P210" s="2759">
        <v>0</v>
      </c>
      <c r="Q210" s="2767">
        <v>0.48</v>
      </c>
      <c r="R210" s="2783">
        <v>0</v>
      </c>
      <c r="S210" s="2783">
        <v>0</v>
      </c>
      <c r="T210" s="2769">
        <f t="shared" si="7"/>
        <v>0.56134728</v>
      </c>
      <c r="U210" s="2769">
        <f t="shared" si="11"/>
        <v>0</v>
      </c>
      <c r="V210" s="2769">
        <v>1.5</v>
      </c>
      <c r="W210" s="2769">
        <v>0.36</v>
      </c>
      <c r="X210" s="2769">
        <v>2.0309544590399998E-3</v>
      </c>
      <c r="Y210" s="2762">
        <f t="shared" si="10"/>
        <v>0</v>
      </c>
    </row>
    <row r="211" spans="1:25" x14ac:dyDescent="0.25">
      <c r="A211" s="2770" t="s">
        <v>1878</v>
      </c>
      <c r="B211" s="2766">
        <v>3235</v>
      </c>
      <c r="C211" s="2766" t="s">
        <v>1888</v>
      </c>
      <c r="D211" s="2787" t="s">
        <v>331</v>
      </c>
      <c r="E211" s="2787" t="s">
        <v>1887</v>
      </c>
      <c r="F211" s="2766" t="s">
        <v>2743</v>
      </c>
      <c r="G211" s="2766">
        <v>323501</v>
      </c>
      <c r="H211" s="2766">
        <f>Dataark_til_bilag2_2018[[#This Row],[Stald_kode]]+Dataark_til_bilag2_2018[[#This Row],[Dyr_Kode]]</f>
        <v>326736</v>
      </c>
      <c r="I211" s="4347">
        <v>0</v>
      </c>
      <c r="J211" s="2766"/>
      <c r="K211" s="2766" t="s">
        <v>350</v>
      </c>
      <c r="L211" s="2767"/>
      <c r="M211" s="2767"/>
      <c r="N211" s="2760">
        <f>IFERROR(Dataark_til_bilag2_2018[[#This Row],[Antal dyr]]*Dataark_til_bilag2_2018[[#This Row],[Gødning (g) pr. dyr (ton)]]," ")</f>
        <v>0</v>
      </c>
      <c r="O211" s="2767">
        <f>1.39/1000</f>
        <v>1.39E-3</v>
      </c>
      <c r="P211" s="2759">
        <v>0</v>
      </c>
      <c r="Q211" s="2767">
        <v>0.48</v>
      </c>
      <c r="R211" s="2783">
        <v>0</v>
      </c>
      <c r="S211" s="2783">
        <v>0</v>
      </c>
      <c r="T211" s="2769">
        <f t="shared" si="7"/>
        <v>0.66689975999999995</v>
      </c>
      <c r="U211" s="2769">
        <f t="shared" si="11"/>
        <v>0</v>
      </c>
      <c r="V211" s="2769">
        <v>1.5</v>
      </c>
      <c r="W211" s="2769">
        <v>0.36</v>
      </c>
      <c r="X211" s="2769">
        <v>2.4128433316800003E-3</v>
      </c>
      <c r="Y211" s="2762">
        <f t="shared" si="10"/>
        <v>0</v>
      </c>
    </row>
    <row r="212" spans="1:25" x14ac:dyDescent="0.25">
      <c r="A212" s="2770" t="s">
        <v>1878</v>
      </c>
      <c r="B212" s="2766">
        <v>3240</v>
      </c>
      <c r="C212" s="2766" t="s">
        <v>1886</v>
      </c>
      <c r="D212" s="2772" t="s">
        <v>331</v>
      </c>
      <c r="E212" s="2772" t="s">
        <v>1885</v>
      </c>
      <c r="F212" s="2766" t="s">
        <v>2743</v>
      </c>
      <c r="G212" s="2766">
        <v>324001</v>
      </c>
      <c r="H212" s="2766">
        <f>Dataark_til_bilag2_2018[[#This Row],[Stald_kode]]+Dataark_til_bilag2_2018[[#This Row],[Dyr_Kode]]</f>
        <v>327241</v>
      </c>
      <c r="I212" s="4347">
        <v>0</v>
      </c>
      <c r="J212" s="2766"/>
      <c r="K212" s="2766" t="s">
        <v>350</v>
      </c>
      <c r="L212" s="2767"/>
      <c r="M212" s="2767"/>
      <c r="N212" s="2760">
        <f>IFERROR(Dataark_til_bilag2_2018[[#This Row],[Antal dyr]]*Dataark_til_bilag2_2018[[#This Row],[Gødning (g) pr. dyr (ton)]]," ")</f>
        <v>0</v>
      </c>
      <c r="O212" s="2767">
        <f>1.78/1000</f>
        <v>1.7800000000000001E-3</v>
      </c>
      <c r="P212" s="2759">
        <v>0</v>
      </c>
      <c r="Q212" s="2767">
        <v>0.48</v>
      </c>
      <c r="R212" s="2783">
        <v>0</v>
      </c>
      <c r="S212" s="2783">
        <v>0</v>
      </c>
      <c r="T212" s="2769">
        <f t="shared" si="7"/>
        <v>0.85401552000000003</v>
      </c>
      <c r="U212" s="2769">
        <f t="shared" si="11"/>
        <v>0</v>
      </c>
      <c r="V212" s="2769">
        <v>1.5</v>
      </c>
      <c r="W212" s="2769">
        <v>0.36</v>
      </c>
      <c r="X212" s="2769">
        <v>3.0898281513600007E-3</v>
      </c>
      <c r="Y212" s="2762">
        <f t="shared" si="10"/>
        <v>0</v>
      </c>
    </row>
    <row r="213" spans="1:25" x14ac:dyDescent="0.25">
      <c r="A213" s="2770" t="s">
        <v>1878</v>
      </c>
      <c r="B213" s="2766">
        <v>3245</v>
      </c>
      <c r="C213" s="2766" t="s">
        <v>1884</v>
      </c>
      <c r="D213" s="2766" t="s">
        <v>331</v>
      </c>
      <c r="E213" s="2766" t="s">
        <v>1883</v>
      </c>
      <c r="F213" s="2766" t="s">
        <v>2743</v>
      </c>
      <c r="G213" s="2766">
        <v>324501</v>
      </c>
      <c r="H213" s="2766">
        <f>Dataark_til_bilag2_2018[[#This Row],[Stald_kode]]+Dataark_til_bilag2_2018[[#This Row],[Dyr_Kode]]</f>
        <v>327746</v>
      </c>
      <c r="I213" s="4347">
        <v>0</v>
      </c>
      <c r="J213" s="2766"/>
      <c r="K213" s="2766" t="s">
        <v>350</v>
      </c>
      <c r="L213" s="2767"/>
      <c r="M213" s="2767"/>
      <c r="N213" s="2760">
        <f>IFERROR(Dataark_til_bilag2_2018[[#This Row],[Antal dyr]]*Dataark_til_bilag2_2018[[#This Row],[Gødning (g) pr. dyr (ton)]]," ")</f>
        <v>0</v>
      </c>
      <c r="O213" s="2767">
        <f>2.22/1000</f>
        <v>2.2200000000000002E-3</v>
      </c>
      <c r="P213" s="2759">
        <v>0</v>
      </c>
      <c r="Q213" s="2767">
        <v>0.48</v>
      </c>
      <c r="R213" s="2783">
        <v>0</v>
      </c>
      <c r="S213" s="2783">
        <v>0</v>
      </c>
      <c r="T213" s="2769">
        <f t="shared" si="7"/>
        <v>1.0651204800000003</v>
      </c>
      <c r="U213" s="2769">
        <f t="shared" si="11"/>
        <v>0</v>
      </c>
      <c r="V213" s="2769">
        <v>1.5</v>
      </c>
      <c r="W213" s="2769">
        <v>0.36</v>
      </c>
      <c r="X213" s="2769">
        <v>3.8536058966400014E-3</v>
      </c>
      <c r="Y213" s="2762">
        <f t="shared" si="10"/>
        <v>0</v>
      </c>
    </row>
    <row r="214" spans="1:25" x14ac:dyDescent="0.25">
      <c r="A214" s="2770" t="s">
        <v>1878</v>
      </c>
      <c r="B214" s="2766">
        <v>3256</v>
      </c>
      <c r="C214" s="2766" t="s">
        <v>2775</v>
      </c>
      <c r="D214" s="2772" t="s">
        <v>331</v>
      </c>
      <c r="E214" s="2772" t="s">
        <v>1882</v>
      </c>
      <c r="F214" s="2766" t="s">
        <v>2743</v>
      </c>
      <c r="G214" s="2766">
        <v>325601</v>
      </c>
      <c r="H214" s="2766">
        <f>Dataark_til_bilag2_2018[[#This Row],[Stald_kode]]+Dataark_til_bilag2_2018[[#This Row],[Dyr_Kode]]</f>
        <v>328857</v>
      </c>
      <c r="I214" s="4347">
        <v>0</v>
      </c>
      <c r="J214" s="2766"/>
      <c r="K214" s="2766" t="s">
        <v>350</v>
      </c>
      <c r="L214" s="2767"/>
      <c r="M214" s="2767"/>
      <c r="N214" s="2760">
        <f>IFERROR(Dataark_til_bilag2_2018[[#This Row],[Antal dyr]]*Dataark_til_bilag2_2018[[#This Row],[Gødning (g) pr. dyr (ton)]]," ")</f>
        <v>0</v>
      </c>
      <c r="O214" s="2767">
        <f>1.57/1000</f>
        <v>1.57E-3</v>
      </c>
      <c r="P214" s="2759">
        <v>0</v>
      </c>
      <c r="Q214" s="2767">
        <v>0.48</v>
      </c>
      <c r="R214" s="2783">
        <v>0</v>
      </c>
      <c r="S214" s="2783">
        <v>0</v>
      </c>
      <c r="T214" s="2769">
        <f t="shared" si="7"/>
        <v>0.75326088000000013</v>
      </c>
      <c r="U214" s="2769">
        <f t="shared" si="11"/>
        <v>0</v>
      </c>
      <c r="V214" s="2769">
        <v>1.5</v>
      </c>
      <c r="W214" s="2769">
        <v>0.36</v>
      </c>
      <c r="X214" s="2769">
        <v>2.7252978638400011E-3</v>
      </c>
      <c r="Y214" s="2762">
        <f t="shared" si="10"/>
        <v>0</v>
      </c>
    </row>
    <row r="215" spans="1:25" x14ac:dyDescent="0.25">
      <c r="A215" s="2770" t="s">
        <v>1878</v>
      </c>
      <c r="B215" s="2766">
        <v>3281</v>
      </c>
      <c r="C215" s="2766" t="s">
        <v>2774</v>
      </c>
      <c r="D215" s="2766" t="s">
        <v>331</v>
      </c>
      <c r="E215" s="2766" t="s">
        <v>1881</v>
      </c>
      <c r="F215" s="2766" t="s">
        <v>2743</v>
      </c>
      <c r="G215" s="2766">
        <v>328101</v>
      </c>
      <c r="H215" s="2766">
        <f>Dataark_til_bilag2_2018[[#This Row],[Stald_kode]]+Dataark_til_bilag2_2018[[#This Row],[Dyr_Kode]]</f>
        <v>331382</v>
      </c>
      <c r="I215" s="4347">
        <v>0</v>
      </c>
      <c r="J215" s="2766"/>
      <c r="K215" s="2766" t="s">
        <v>350</v>
      </c>
      <c r="L215" s="2767"/>
      <c r="M215" s="2767"/>
      <c r="N215" s="2760">
        <f>IFERROR(Dataark_til_bilag2_2018[[#This Row],[Antal dyr]]*Dataark_til_bilag2_2018[[#This Row],[Gødning (g) pr. dyr (ton)]]," ")</f>
        <v>0</v>
      </c>
      <c r="O215" s="2767">
        <f>2.09/1000</f>
        <v>2.0899999999999998E-3</v>
      </c>
      <c r="P215" s="2759">
        <v>0</v>
      </c>
      <c r="Q215" s="2767">
        <v>0.5</v>
      </c>
      <c r="R215" s="2783">
        <v>0</v>
      </c>
      <c r="S215" s="2783">
        <v>0</v>
      </c>
      <c r="T215" s="2769">
        <f t="shared" si="7"/>
        <v>1.0445297499999999</v>
      </c>
      <c r="U215" s="2769">
        <f t="shared" si="11"/>
        <v>0</v>
      </c>
      <c r="V215" s="2769">
        <v>1.5</v>
      </c>
      <c r="W215" s="2769">
        <v>0.36</v>
      </c>
      <c r="X215" s="2769">
        <v>3.7791086355000001E-3</v>
      </c>
      <c r="Y215" s="2762">
        <f t="shared" si="10"/>
        <v>0</v>
      </c>
    </row>
    <row r="216" spans="1:25" x14ac:dyDescent="0.25">
      <c r="A216" s="2770" t="s">
        <v>1878</v>
      </c>
      <c r="B216" s="2766">
        <v>3290</v>
      </c>
      <c r="C216" s="2766" t="s">
        <v>2773</v>
      </c>
      <c r="D216" s="2766" t="s">
        <v>331</v>
      </c>
      <c r="E216" s="2766" t="s">
        <v>1879</v>
      </c>
      <c r="F216" s="2766" t="s">
        <v>2743</v>
      </c>
      <c r="G216" s="2766">
        <v>329001</v>
      </c>
      <c r="H216" s="2766">
        <f>Dataark_til_bilag2_2018[[#This Row],[Stald_kode]]+Dataark_til_bilag2_2018[[#This Row],[Dyr_Kode]]</f>
        <v>332291</v>
      </c>
      <c r="I216" s="4347">
        <v>0</v>
      </c>
      <c r="J216" s="2766"/>
      <c r="K216" s="2766" t="s">
        <v>350</v>
      </c>
      <c r="L216" s="2767"/>
      <c r="M216" s="2767"/>
      <c r="N216" s="2760">
        <f>IFERROR(Dataark_til_bilag2_2018[[#This Row],[Antal dyr]]*Dataark_til_bilag2_2018[[#This Row],[Gødning (g) pr. dyr (ton)]]," ")</f>
        <v>0</v>
      </c>
      <c r="O216" s="2767">
        <f>1.63/100</f>
        <v>1.6299999999999999E-2</v>
      </c>
      <c r="P216" s="2759">
        <v>0</v>
      </c>
      <c r="Q216" s="2767">
        <v>0.63300000000000001</v>
      </c>
      <c r="R216" s="2783">
        <v>0</v>
      </c>
      <c r="S216" s="2783">
        <v>0</v>
      </c>
      <c r="T216" s="2769">
        <f t="shared" si="7"/>
        <v>10.313256944999999</v>
      </c>
      <c r="U216" s="2769">
        <f t="shared" si="11"/>
        <v>0</v>
      </c>
      <c r="V216" s="2769">
        <v>1.5</v>
      </c>
      <c r="W216" s="2769">
        <v>0.39</v>
      </c>
      <c r="X216" s="2769">
        <v>4.0422810595927498E-2</v>
      </c>
      <c r="Y216" s="2762">
        <f t="shared" si="10"/>
        <v>0</v>
      </c>
    </row>
    <row r="217" spans="1:25" x14ac:dyDescent="0.25">
      <c r="A217" s="2770" t="s">
        <v>1878</v>
      </c>
      <c r="B217" s="2766">
        <v>3295</v>
      </c>
      <c r="C217" s="2766" t="s">
        <v>2772</v>
      </c>
      <c r="D217" s="2766" t="s">
        <v>331</v>
      </c>
      <c r="E217" s="2766" t="s">
        <v>1898</v>
      </c>
      <c r="F217" s="2766" t="s">
        <v>2743</v>
      </c>
      <c r="G217" s="2766">
        <v>329501</v>
      </c>
      <c r="H217" s="2766">
        <f>Dataark_til_bilag2_2018[[#This Row],[Stald_kode]]+Dataark_til_bilag2_2018[[#This Row],[Dyr_Kode]]</f>
        <v>332796</v>
      </c>
      <c r="I217" s="4347">
        <v>0</v>
      </c>
      <c r="J217" s="2766"/>
      <c r="K217" s="2766" t="s">
        <v>350</v>
      </c>
      <c r="L217" s="2767"/>
      <c r="M217" s="2767"/>
      <c r="N217" s="2760">
        <f>IFERROR(Dataark_til_bilag2_2018[[#This Row],[Antal dyr]]*Dataark_til_bilag2_2018[[#This Row],[Gødning (g) pr. dyr (ton)]]," ")</f>
        <v>0</v>
      </c>
      <c r="O217" s="2767">
        <f>0.15/100</f>
        <v>1.5E-3</v>
      </c>
      <c r="P217" s="2759">
        <v>0</v>
      </c>
      <c r="Q217" s="2767">
        <v>0.48</v>
      </c>
      <c r="R217" s="2769">
        <v>0</v>
      </c>
      <c r="S217" s="2769">
        <v>0</v>
      </c>
      <c r="T217" s="2769">
        <f t="shared" si="7"/>
        <v>0.71967599999999998</v>
      </c>
      <c r="U217" s="2769">
        <f t="shared" si="11"/>
        <v>0</v>
      </c>
      <c r="V217" s="2769">
        <v>1.5</v>
      </c>
      <c r="W217" s="2769">
        <v>0.39</v>
      </c>
      <c r="X217" s="2769">
        <v>2.8207700820000008E-3</v>
      </c>
      <c r="Y217" s="2762">
        <f t="shared" si="10"/>
        <v>0</v>
      </c>
    </row>
    <row r="218" spans="1:25" x14ac:dyDescent="0.25">
      <c r="A218" s="2770" t="s">
        <v>1874</v>
      </c>
      <c r="B218" s="2766">
        <v>3301</v>
      </c>
      <c r="C218" s="2766" t="s">
        <v>2771</v>
      </c>
      <c r="D218" s="2766" t="s">
        <v>331</v>
      </c>
      <c r="E218" s="2766" t="s">
        <v>1875</v>
      </c>
      <c r="F218" s="2766" t="s">
        <v>2743</v>
      </c>
      <c r="G218" s="2766">
        <v>330101</v>
      </c>
      <c r="H218" s="2766">
        <f>Dataark_til_bilag2_2018[[#This Row],[Stald_kode]]+Dataark_til_bilag2_2018[[#This Row],[Dyr_Kode]]</f>
        <v>333402</v>
      </c>
      <c r="I218" s="4347">
        <v>0</v>
      </c>
      <c r="J218" s="2766"/>
      <c r="K218" s="2766" t="s">
        <v>350</v>
      </c>
      <c r="L218" s="2767"/>
      <c r="M218" s="2767"/>
      <c r="N218" s="2760">
        <f>IFERROR(Dataark_til_bilag2_2018[[#This Row],[Antal dyr]]*Dataark_til_bilag2_2018[[#This Row],[Gødning (g) pr. dyr (ton)]]," ")</f>
        <v>0</v>
      </c>
      <c r="O218" s="2767">
        <f>1.01/100</f>
        <v>1.01E-2</v>
      </c>
      <c r="P218" s="2759">
        <v>0</v>
      </c>
      <c r="Q218" s="2767">
        <v>0.48</v>
      </c>
      <c r="R218" s="2783">
        <v>0</v>
      </c>
      <c r="S218" s="2783">
        <v>0</v>
      </c>
      <c r="T218" s="2769">
        <f t="shared" si="7"/>
        <v>4.8458183999999997</v>
      </c>
      <c r="U218" s="2769">
        <f t="shared" si="11"/>
        <v>0</v>
      </c>
      <c r="V218" s="2769">
        <v>1.5</v>
      </c>
      <c r="W218" s="2769">
        <v>0.36</v>
      </c>
      <c r="X218" s="2769">
        <v>1.7532170971199999E-2</v>
      </c>
      <c r="Y218" s="2762">
        <f t="shared" si="10"/>
        <v>0</v>
      </c>
    </row>
    <row r="219" spans="1:25" x14ac:dyDescent="0.25">
      <c r="A219" s="2770" t="s">
        <v>1874</v>
      </c>
      <c r="B219" s="2766">
        <v>3302</v>
      </c>
      <c r="C219" s="2766" t="s">
        <v>1873</v>
      </c>
      <c r="D219" s="2766" t="s">
        <v>331</v>
      </c>
      <c r="E219" s="2766" t="s">
        <v>1873</v>
      </c>
      <c r="F219" s="2766" t="s">
        <v>2743</v>
      </c>
      <c r="G219" s="2766">
        <v>330201</v>
      </c>
      <c r="H219" s="2766">
        <f>Dataark_til_bilag2_2018[[#This Row],[Stald_kode]]+Dataark_til_bilag2_2018[[#This Row],[Dyr_Kode]]</f>
        <v>333503</v>
      </c>
      <c r="I219" s="4347">
        <v>0</v>
      </c>
      <c r="J219" s="2766"/>
      <c r="K219" s="2766" t="s">
        <v>350</v>
      </c>
      <c r="L219" s="2767"/>
      <c r="M219" s="2767"/>
      <c r="N219" s="2760">
        <f>IFERROR(Dataark_til_bilag2_2018[[#This Row],[Antal dyr]]*Dataark_til_bilag2_2018[[#This Row],[Gødning (g) pr. dyr (ton)]]," ")</f>
        <v>0</v>
      </c>
      <c r="O219" s="2767">
        <f>2.02/100</f>
        <v>2.0199999999999999E-2</v>
      </c>
      <c r="P219" s="2759">
        <v>0</v>
      </c>
      <c r="Q219" s="2767">
        <v>0.48</v>
      </c>
      <c r="R219" s="2783">
        <v>0</v>
      </c>
      <c r="S219" s="2783">
        <v>0</v>
      </c>
      <c r="T219" s="2769">
        <f t="shared" si="7"/>
        <v>9.6916367999999995</v>
      </c>
      <c r="U219" s="2769">
        <f t="shared" si="11"/>
        <v>0</v>
      </c>
      <c r="V219" s="2769">
        <v>1.5</v>
      </c>
      <c r="W219" s="2769">
        <v>0.36</v>
      </c>
      <c r="X219" s="2769">
        <v>3.5064341942399997E-2</v>
      </c>
      <c r="Y219" s="2762">
        <f t="shared" si="10"/>
        <v>0</v>
      </c>
    </row>
    <row r="220" spans="1:25" x14ac:dyDescent="0.25">
      <c r="A220" s="2770" t="s">
        <v>1838</v>
      </c>
      <c r="B220" s="2766">
        <v>3400</v>
      </c>
      <c r="C220" s="2766" t="s">
        <v>2770</v>
      </c>
      <c r="D220" s="2766" t="s">
        <v>331</v>
      </c>
      <c r="E220" s="2766" t="s">
        <v>1872</v>
      </c>
      <c r="F220" s="2766" t="s">
        <v>352</v>
      </c>
      <c r="G220" s="2766">
        <v>340001</v>
      </c>
      <c r="H220" s="2766">
        <f>Dataark_til_bilag2_2018[[#This Row],[Stald_kode]]+Dataark_til_bilag2_2018[[#This Row],[Dyr_Kode]]</f>
        <v>343401</v>
      </c>
      <c r="I220" s="4347">
        <v>0</v>
      </c>
      <c r="J220" s="2766"/>
      <c r="K220" s="2766" t="s">
        <v>350</v>
      </c>
      <c r="L220" s="2767"/>
      <c r="M220" s="2767"/>
      <c r="N220" s="2760">
        <f>IFERROR(Dataark_til_bilag2_2018[[#This Row],[Antal dyr]]*Dataark_til_bilag2_2018[[#This Row],[Gødning (g) pr. dyr (ton)]]," ")</f>
        <v>0</v>
      </c>
      <c r="O220" s="2767">
        <f>1.96/100</f>
        <v>1.9599999999999999E-2</v>
      </c>
      <c r="P220" s="2759">
        <v>0</v>
      </c>
      <c r="Q220" s="2767">
        <v>0.35</v>
      </c>
      <c r="R220" s="2783">
        <v>0</v>
      </c>
      <c r="S220" s="2783">
        <v>0</v>
      </c>
      <c r="T220" s="2769">
        <f t="shared" si="7"/>
        <v>6.8569129999999987</v>
      </c>
      <c r="U220" s="2769">
        <f t="shared" si="11"/>
        <v>0</v>
      </c>
      <c r="V220" s="2769">
        <v>1.5</v>
      </c>
      <c r="W220" s="2769">
        <v>0.36</v>
      </c>
      <c r="X220" s="2769">
        <v>2.4808311233999993E-2</v>
      </c>
      <c r="Y220" s="2762">
        <f t="shared" si="10"/>
        <v>0</v>
      </c>
    </row>
    <row r="221" spans="1:25" x14ac:dyDescent="0.25">
      <c r="A221" s="2770" t="s">
        <v>1837</v>
      </c>
      <c r="B221" s="2766">
        <v>3500</v>
      </c>
      <c r="C221" s="2766" t="s">
        <v>2769</v>
      </c>
      <c r="D221" s="2766" t="s">
        <v>331</v>
      </c>
      <c r="E221" s="2766" t="s">
        <v>1871</v>
      </c>
      <c r="F221" s="2766" t="s">
        <v>2743</v>
      </c>
      <c r="G221" s="2766">
        <v>350001</v>
      </c>
      <c r="H221" s="2766">
        <f>Dataark_til_bilag2_2018[[#This Row],[Stald_kode]]+Dataark_til_bilag2_2018[[#This Row],[Dyr_Kode]]</f>
        <v>353501</v>
      </c>
      <c r="I221" s="4347">
        <v>0</v>
      </c>
      <c r="J221" s="2766"/>
      <c r="K221" s="2766" t="s">
        <v>350</v>
      </c>
      <c r="L221" s="2769"/>
      <c r="M221" s="2769"/>
      <c r="N221" s="2760">
        <f>IFERROR(Dataark_til_bilag2_2018[[#This Row],[Antal dyr]]*Dataark_til_bilag2_2018[[#This Row],[Gødning (g) pr. dyr (ton)]]," ")</f>
        <v>0</v>
      </c>
      <c r="O221" s="2767">
        <f>1/100</f>
        <v>0.01</v>
      </c>
      <c r="P221" s="2759">
        <v>0</v>
      </c>
      <c r="Q221" s="2767">
        <v>0.35</v>
      </c>
      <c r="R221" s="2783">
        <v>0</v>
      </c>
      <c r="S221" s="2783">
        <v>0</v>
      </c>
      <c r="T221" s="2769">
        <f t="shared" si="7"/>
        <v>3.4984249999999997</v>
      </c>
      <c r="U221" s="2769">
        <f t="shared" si="11"/>
        <v>0</v>
      </c>
      <c r="V221" s="2769">
        <v>1.5</v>
      </c>
      <c r="W221" s="2769">
        <v>0.36</v>
      </c>
      <c r="X221" s="2769">
        <v>1.2657301650000001E-2</v>
      </c>
      <c r="Y221" s="2762">
        <f t="shared" si="10"/>
        <v>0</v>
      </c>
    </row>
    <row r="222" spans="1:25" x14ac:dyDescent="0.25">
      <c r="A222" s="2770" t="s">
        <v>1839</v>
      </c>
      <c r="B222" s="2766">
        <v>4401</v>
      </c>
      <c r="C222" s="2766" t="s">
        <v>2768</v>
      </c>
      <c r="D222" s="2766" t="s">
        <v>331</v>
      </c>
      <c r="E222" s="2766" t="s">
        <v>1870</v>
      </c>
      <c r="F222" s="2766" t="s">
        <v>350</v>
      </c>
      <c r="G222" s="2766">
        <v>440101</v>
      </c>
      <c r="H222" s="2766">
        <f>Dataark_til_bilag2_2018[[#This Row],[Stald_kode]]+Dataark_til_bilag2_2018[[#This Row],[Dyr_Kode]]</f>
        <v>444502</v>
      </c>
      <c r="I222" s="4347" t="s">
        <v>270</v>
      </c>
      <c r="J222" s="2766" t="s">
        <v>350</v>
      </c>
      <c r="K222" s="2766"/>
      <c r="L222" s="2767"/>
      <c r="M222" s="2767"/>
      <c r="N222" s="2760" t="str">
        <f>IFERROR(Dataark_til_bilag2_2018[[#This Row],[Antal dyr]]*Dataark_til_bilag2_2018[[#This Row],[Gødning (g) pr. dyr (ton)]]," ")</f>
        <v xml:space="preserve"> </v>
      </c>
      <c r="O222" s="2767"/>
      <c r="P222" s="2759" t="s">
        <v>270</v>
      </c>
      <c r="Q222" s="2767"/>
      <c r="R222" s="2769"/>
      <c r="S222" s="2769"/>
      <c r="T222" s="2769">
        <f t="shared" si="7"/>
        <v>0</v>
      </c>
      <c r="U222" s="2769">
        <f>(L222*1000)/365*M222*0.8*R222</f>
        <v>0</v>
      </c>
      <c r="V222" s="2769"/>
      <c r="W222" s="2769"/>
      <c r="X222" s="2769">
        <v>0</v>
      </c>
      <c r="Y222" s="2762">
        <f t="shared" si="10"/>
        <v>0</v>
      </c>
    </row>
    <row r="223" spans="1:25" x14ac:dyDescent="0.25">
      <c r="A223" s="2770" t="s">
        <v>1839</v>
      </c>
      <c r="B223" s="2766">
        <v>4402</v>
      </c>
      <c r="C223" s="2766" t="s">
        <v>2767</v>
      </c>
      <c r="D223" s="2766" t="s">
        <v>331</v>
      </c>
      <c r="E223" s="2766" t="s">
        <v>2766</v>
      </c>
      <c r="F223" s="2766" t="s">
        <v>350</v>
      </c>
      <c r="G223" s="2766">
        <v>440201</v>
      </c>
      <c r="H223" s="2766">
        <f>Dataark_til_bilag2_2018[[#This Row],[Stald_kode]]+Dataark_til_bilag2_2018[[#This Row],[Dyr_Kode]]</f>
        <v>444603</v>
      </c>
      <c r="I223" s="4347" t="s">
        <v>270</v>
      </c>
      <c r="J223" s="2766"/>
      <c r="K223" s="2766"/>
      <c r="L223" s="2767"/>
      <c r="M223" s="2767"/>
      <c r="N223" s="2760" t="str">
        <f>IFERROR(Dataark_til_bilag2_2018[[#This Row],[Antal dyr]]*Dataark_til_bilag2_2018[[#This Row],[Gødning (g) pr. dyr (ton)]]," ")</f>
        <v xml:space="preserve"> </v>
      </c>
      <c r="O223" s="2767"/>
      <c r="P223" s="2759" t="s">
        <v>270</v>
      </c>
      <c r="Q223" s="2767"/>
      <c r="R223" s="2769"/>
      <c r="S223" s="2769"/>
      <c r="T223" s="2769">
        <f t="shared" si="7"/>
        <v>0</v>
      </c>
      <c r="U223" s="2769">
        <f>(L223*1000)/365*M223*0.8*R223</f>
        <v>0</v>
      </c>
      <c r="V223" s="2769"/>
      <c r="W223" s="2769"/>
      <c r="X223" s="2769">
        <v>0</v>
      </c>
      <c r="Y223" s="2762" t="str">
        <f t="shared" si="10"/>
        <v>-</v>
      </c>
    </row>
    <row r="224" spans="1:25" x14ac:dyDescent="0.25">
      <c r="A224" s="2770" t="s">
        <v>662</v>
      </c>
      <c r="B224" s="2766">
        <v>4501</v>
      </c>
      <c r="C224" s="2766" t="s">
        <v>1868</v>
      </c>
      <c r="D224" s="2766" t="s">
        <v>331</v>
      </c>
      <c r="E224" s="2766" t="s">
        <v>1868</v>
      </c>
      <c r="F224" s="2766" t="s">
        <v>350</v>
      </c>
      <c r="G224" s="2766">
        <v>450101</v>
      </c>
      <c r="H224" s="2766">
        <f>Dataark_til_bilag2_2018[[#This Row],[Stald_kode]]+Dataark_til_bilag2_2018[[#This Row],[Dyr_Kode]]</f>
        <v>454602</v>
      </c>
      <c r="I224" s="4347">
        <v>0</v>
      </c>
      <c r="J224" s="2766" t="s">
        <v>350</v>
      </c>
      <c r="K224" s="2772"/>
      <c r="L224" s="2773"/>
      <c r="M224" s="2773"/>
      <c r="N224" s="2760">
        <f>IFERROR(Dataark_til_bilag2_2018[[#This Row],[Antal dyr]]*Dataark_til_bilag2_2018[[#This Row],[Gødning (g) pr. dyr (ton)]]," ")</f>
        <v>0</v>
      </c>
      <c r="O224" s="2773">
        <v>1.57E-3</v>
      </c>
      <c r="P224" s="2759">
        <v>0</v>
      </c>
      <c r="Q224" s="2773">
        <v>0.48</v>
      </c>
      <c r="R224" s="2774">
        <v>0</v>
      </c>
      <c r="S224" s="2774">
        <v>0</v>
      </c>
      <c r="T224" s="2774">
        <v>0.75326088000000013</v>
      </c>
      <c r="U224" s="2774">
        <v>0</v>
      </c>
      <c r="V224" s="2774">
        <v>1.5</v>
      </c>
      <c r="W224" s="2774">
        <v>0.36</v>
      </c>
      <c r="X224" s="2769">
        <v>2.7252978638400011E-3</v>
      </c>
      <c r="Y224" s="2762">
        <f t="shared" si="10"/>
        <v>0</v>
      </c>
    </row>
    <row r="225" spans="1:25" x14ac:dyDescent="0.25">
      <c r="A225" s="2770" t="s">
        <v>662</v>
      </c>
      <c r="B225" s="2766">
        <v>4502</v>
      </c>
      <c r="C225" s="2766" t="s">
        <v>1867</v>
      </c>
      <c r="D225" s="2766" t="s">
        <v>331</v>
      </c>
      <c r="E225" s="2766" t="s">
        <v>2765</v>
      </c>
      <c r="F225" s="2766" t="s">
        <v>350</v>
      </c>
      <c r="G225" s="2766">
        <v>450201</v>
      </c>
      <c r="H225" s="2766">
        <f>Dataark_til_bilag2_2018[[#This Row],[Stald_kode]]+Dataark_til_bilag2_2018[[#This Row],[Dyr_Kode]]</f>
        <v>454703</v>
      </c>
      <c r="I225" s="4347" t="s">
        <v>270</v>
      </c>
      <c r="J225" s="2766"/>
      <c r="K225" s="2766"/>
      <c r="L225" s="2767"/>
      <c r="M225" s="2767"/>
      <c r="N225" s="2760" t="str">
        <f>IFERROR(Dataark_til_bilag2_2018[[#This Row],[Antal dyr]]*Dataark_til_bilag2_2018[[#This Row],[Gødning (g) pr. dyr (ton)]]," ")</f>
        <v xml:space="preserve"> </v>
      </c>
      <c r="O225" s="2767"/>
      <c r="P225" s="2759" t="s">
        <v>270</v>
      </c>
      <c r="Q225" s="2767"/>
      <c r="R225" s="2769"/>
      <c r="S225" s="2769"/>
      <c r="T225" s="2769">
        <f>(L225*1000)/365*M225*(365-R225)*0.8+(O225*1000)/365*Q225*(365-R225)*(1-0.045/100)</f>
        <v>0</v>
      </c>
      <c r="U225" s="2769">
        <f>(L225*1000)/365*M225*0.8*R225</f>
        <v>0</v>
      </c>
      <c r="V225" s="2769"/>
      <c r="W225" s="2769"/>
      <c r="X225" s="2769">
        <v>0</v>
      </c>
      <c r="Y225" s="2762">
        <f t="shared" si="10"/>
        <v>0</v>
      </c>
    </row>
    <row r="226" spans="1:25" x14ac:dyDescent="0.25">
      <c r="A226" s="2770" t="s">
        <v>662</v>
      </c>
      <c r="B226" s="2766">
        <v>4701</v>
      </c>
      <c r="C226" s="2766" t="s">
        <v>1865</v>
      </c>
      <c r="D226" s="2766" t="s">
        <v>331</v>
      </c>
      <c r="E226" s="2766" t="s">
        <v>1865</v>
      </c>
      <c r="F226" s="2766" t="s">
        <v>350</v>
      </c>
      <c r="G226" s="2766">
        <v>470101</v>
      </c>
      <c r="H226" s="2766">
        <f>Dataark_til_bilag2_2018[[#This Row],[Stald_kode]]+Dataark_til_bilag2_2018[[#This Row],[Dyr_Kode]]</f>
        <v>474802</v>
      </c>
      <c r="I226" s="4347">
        <v>0</v>
      </c>
      <c r="J226" s="2766" t="s">
        <v>350</v>
      </c>
      <c r="K226" s="2788"/>
      <c r="L226" s="2789"/>
      <c r="M226" s="2789"/>
      <c r="N226" s="2760">
        <f>IFERROR(Dataark_til_bilag2_2018[[#This Row],[Antal dyr]]*Dataark_til_bilag2_2018[[#This Row],[Gødning (g) pr. dyr (ton)]]," ")</f>
        <v>0</v>
      </c>
      <c r="O226" s="2789"/>
      <c r="P226" s="2759">
        <v>0</v>
      </c>
      <c r="Q226" s="2789"/>
      <c r="R226" s="2783"/>
      <c r="S226" s="2783"/>
      <c r="T226" s="2783"/>
      <c r="U226" s="2783"/>
      <c r="V226" s="2783"/>
      <c r="W226" s="2783"/>
      <c r="X226" s="2769">
        <v>5.67</v>
      </c>
      <c r="Y226" s="2762">
        <f t="shared" si="10"/>
        <v>0</v>
      </c>
    </row>
    <row r="227" spans="1:25" x14ac:dyDescent="0.25">
      <c r="A227" s="2770" t="s">
        <v>662</v>
      </c>
      <c r="B227" s="2766">
        <v>4703</v>
      </c>
      <c r="C227" s="2766" t="s">
        <v>1863</v>
      </c>
      <c r="D227" s="2766" t="s">
        <v>331</v>
      </c>
      <c r="E227" s="2766" t="s">
        <v>1863</v>
      </c>
      <c r="F227" s="2766" t="s">
        <v>350</v>
      </c>
      <c r="G227" s="2766">
        <v>470301</v>
      </c>
      <c r="H227" s="2766">
        <f>Dataark_til_bilag2_2018[[#This Row],[Stald_kode]]+Dataark_til_bilag2_2018[[#This Row],[Dyr_Kode]]</f>
        <v>475004</v>
      </c>
      <c r="I227" s="4347">
        <v>0</v>
      </c>
      <c r="J227" s="2766" t="s">
        <v>350</v>
      </c>
      <c r="K227" s="2788"/>
      <c r="L227" s="2789"/>
      <c r="M227" s="2789"/>
      <c r="N227" s="2760">
        <f>IFERROR(Dataark_til_bilag2_2018[[#This Row],[Antal dyr]]*Dataark_til_bilag2_2018[[#This Row],[Gødning (g) pr. dyr (ton)]]," ")</f>
        <v>0</v>
      </c>
      <c r="O227" s="2789"/>
      <c r="P227" s="2759">
        <v>0</v>
      </c>
      <c r="Q227" s="2789"/>
      <c r="R227" s="2783"/>
      <c r="S227" s="2783"/>
      <c r="T227" s="2783"/>
      <c r="U227" s="2783"/>
      <c r="V227" s="2783"/>
      <c r="W227" s="2783"/>
      <c r="X227" s="2769">
        <v>5.67</v>
      </c>
      <c r="Y227" s="2762">
        <f t="shared" si="10"/>
        <v>0</v>
      </c>
    </row>
    <row r="228" spans="1:25" x14ac:dyDescent="0.25">
      <c r="A228" s="2770" t="s">
        <v>662</v>
      </c>
      <c r="B228" s="2766">
        <v>4705</v>
      </c>
      <c r="C228" s="2766" t="s">
        <v>1861</v>
      </c>
      <c r="D228" s="2766" t="s">
        <v>331</v>
      </c>
      <c r="E228" s="2766" t="s">
        <v>1861</v>
      </c>
      <c r="F228" s="2766" t="s">
        <v>350</v>
      </c>
      <c r="G228" s="2766">
        <v>470501</v>
      </c>
      <c r="H228" s="2766">
        <f>Dataark_til_bilag2_2018[[#This Row],[Stald_kode]]+Dataark_til_bilag2_2018[[#This Row],[Dyr_Kode]]</f>
        <v>475206</v>
      </c>
      <c r="I228" s="4347">
        <v>0</v>
      </c>
      <c r="J228" s="2766" t="s">
        <v>350</v>
      </c>
      <c r="K228" s="2788"/>
      <c r="L228" s="2789"/>
      <c r="M228" s="2789"/>
      <c r="N228" s="2760">
        <f>IFERROR(Dataark_til_bilag2_2018[[#This Row],[Antal dyr]]*Dataark_til_bilag2_2018[[#This Row],[Gødning (g) pr. dyr (ton)]]," ")</f>
        <v>0</v>
      </c>
      <c r="O228" s="2789"/>
      <c r="P228" s="2759">
        <v>0</v>
      </c>
      <c r="Q228" s="2789"/>
      <c r="R228" s="2783"/>
      <c r="S228" s="2783"/>
      <c r="T228" s="2783"/>
      <c r="U228" s="2783"/>
      <c r="V228" s="2783"/>
      <c r="W228" s="2783"/>
      <c r="X228" s="2769">
        <v>5.67</v>
      </c>
      <c r="Y228" s="2762">
        <f t="shared" si="10"/>
        <v>0</v>
      </c>
    </row>
    <row r="229" spans="1:25" x14ac:dyDescent="0.25">
      <c r="A229" s="2770" t="s">
        <v>662</v>
      </c>
      <c r="B229" s="2766">
        <v>4706</v>
      </c>
      <c r="C229" s="2766" t="s">
        <v>1859</v>
      </c>
      <c r="D229" s="2766" t="s">
        <v>331</v>
      </c>
      <c r="E229" s="2766" t="s">
        <v>1859</v>
      </c>
      <c r="F229" s="2766" t="s">
        <v>350</v>
      </c>
      <c r="G229" s="2766">
        <v>470601</v>
      </c>
      <c r="H229" s="2766">
        <f>Dataark_til_bilag2_2018[[#This Row],[Stald_kode]]+Dataark_til_bilag2_2018[[#This Row],[Dyr_Kode]]</f>
        <v>475307</v>
      </c>
      <c r="I229" s="4347">
        <v>0</v>
      </c>
      <c r="J229" s="2766" t="s">
        <v>350</v>
      </c>
      <c r="K229" s="2788"/>
      <c r="L229" s="2789"/>
      <c r="M229" s="2789"/>
      <c r="N229" s="2760">
        <f>IFERROR(Dataark_til_bilag2_2018[[#This Row],[Antal dyr]]*Dataark_til_bilag2_2018[[#This Row],[Gødning (g) pr. dyr (ton)]]," ")</f>
        <v>0</v>
      </c>
      <c r="O229" s="2789"/>
      <c r="P229" s="2759">
        <v>0</v>
      </c>
      <c r="Q229" s="2789"/>
      <c r="R229" s="2783"/>
      <c r="S229" s="2783"/>
      <c r="T229" s="2783"/>
      <c r="U229" s="2783"/>
      <c r="V229" s="2783"/>
      <c r="W229" s="2783"/>
      <c r="X229" s="2769">
        <v>5.67</v>
      </c>
      <c r="Y229" s="2762">
        <f t="shared" si="10"/>
        <v>0</v>
      </c>
    </row>
    <row r="230" spans="1:25" x14ac:dyDescent="0.25">
      <c r="A230" s="2770" t="s">
        <v>1858</v>
      </c>
      <c r="B230" s="2766">
        <v>9923</v>
      </c>
      <c r="C230" s="2766" t="s">
        <v>2764</v>
      </c>
      <c r="D230" s="2766" t="s">
        <v>337</v>
      </c>
      <c r="E230" s="2766" t="s">
        <v>1857</v>
      </c>
      <c r="F230" s="2766" t="s">
        <v>2743</v>
      </c>
      <c r="G230" s="2766">
        <v>992301</v>
      </c>
      <c r="H230" s="2766">
        <f>Dataark_til_bilag2_2018[[#This Row],[Stald_kode]]+Dataark_til_bilag2_2018[[#This Row],[Dyr_Kode]]</f>
        <v>1002224</v>
      </c>
      <c r="I230" s="4347">
        <v>0</v>
      </c>
      <c r="J230" s="2766" t="s">
        <v>1924</v>
      </c>
      <c r="K230" s="2766"/>
      <c r="L230" s="2782" t="s">
        <v>1209</v>
      </c>
      <c r="M230" s="2782" t="s">
        <v>1209</v>
      </c>
      <c r="N230" s="2760" t="str">
        <f>IFERROR(Dataark_til_bilag2_2018[[#This Row],[Antal dyr]]*Dataark_til_bilag2_2018[[#This Row],[Gødning (g) pr. dyr (ton)]]," ")</f>
        <v xml:space="preserve"> </v>
      </c>
      <c r="O230" s="2767">
        <v>4.5199999999999996</v>
      </c>
      <c r="P230" s="2759">
        <v>0</v>
      </c>
      <c r="Q230" s="2767">
        <v>0.26</v>
      </c>
      <c r="R230" s="2769">
        <v>0</v>
      </c>
      <c r="S230" s="2769">
        <v>0</v>
      </c>
      <c r="T230" s="2784" t="s">
        <v>1209</v>
      </c>
      <c r="U230" s="2784" t="s">
        <v>1209</v>
      </c>
      <c r="V230" s="2769">
        <v>10.14</v>
      </c>
      <c r="W230" s="2769">
        <v>0.25</v>
      </c>
      <c r="X230" s="4348" t="s">
        <v>1209</v>
      </c>
      <c r="Y230" s="2762" t="str">
        <f t="shared" si="10"/>
        <v>-</v>
      </c>
    </row>
    <row r="231" spans="1:25" x14ac:dyDescent="0.25">
      <c r="A231" s="2764" t="s">
        <v>1980</v>
      </c>
      <c r="B231" s="2765"/>
      <c r="C231" s="2766" t="s">
        <v>1993</v>
      </c>
      <c r="D231" s="2766" t="s">
        <v>330</v>
      </c>
      <c r="E231" s="2766" t="s">
        <v>1989</v>
      </c>
      <c r="F231" s="2766" t="s">
        <v>639</v>
      </c>
      <c r="G231" s="2766"/>
      <c r="H231" s="2766">
        <f>Dataark_til_bilag2_2018[[#This Row],[Stald_kode]]+Dataark_til_bilag2_2018[[#This Row],[Dyr_Kode]]</f>
        <v>0</v>
      </c>
      <c r="I231" s="4347" t="s">
        <v>270</v>
      </c>
      <c r="J231" s="2766" t="s">
        <v>2804</v>
      </c>
      <c r="K231" s="2766"/>
      <c r="L231" s="2767">
        <v>2.56</v>
      </c>
      <c r="M231" s="2767">
        <f>3.1/100</f>
        <v>3.1E-2</v>
      </c>
      <c r="N231" s="2760" t="str">
        <f>IFERROR(Dataark_til_bilag2_2018[[#This Row],[Antal dyr]]*Dataark_til_bilag2_2018[[#This Row],[Gødning (g) pr. dyr (ton)]]," ")</f>
        <v xml:space="preserve"> </v>
      </c>
      <c r="O231" s="2768"/>
      <c r="P231" s="2759" t="s">
        <v>270</v>
      </c>
      <c r="Q231" s="2767"/>
      <c r="R231" s="2769">
        <v>132</v>
      </c>
      <c r="S231" s="2769">
        <v>181</v>
      </c>
      <c r="T231" s="2769">
        <f t="shared" ref="T231:T262" si="12">(L231*1000)/365*M231*(365-R231)*0.8+(O231*1000)/365*Q231*(365-R231)*(1-0.045/100)</f>
        <v>40.527956164383561</v>
      </c>
      <c r="U231" s="2769">
        <f t="shared" ref="U231:U238" si="13">(L231*1000)/365*M231*0.8*R231</f>
        <v>22.960043835616439</v>
      </c>
      <c r="V231" s="2769">
        <v>12.5</v>
      </c>
      <c r="W231" s="2769">
        <v>0.18</v>
      </c>
      <c r="X231" s="2769">
        <v>0.95708159999999998</v>
      </c>
      <c r="Y231" s="2762">
        <f t="shared" si="10"/>
        <v>0</v>
      </c>
    </row>
    <row r="232" spans="1:25" x14ac:dyDescent="0.25">
      <c r="A232" s="2764" t="s">
        <v>1980</v>
      </c>
      <c r="B232" s="2765"/>
      <c r="C232" s="2766" t="s">
        <v>1993</v>
      </c>
      <c r="D232" s="2766" t="s">
        <v>330</v>
      </c>
      <c r="E232" s="2766" t="s">
        <v>1999</v>
      </c>
      <c r="F232" s="2766" t="s">
        <v>350</v>
      </c>
      <c r="G232" s="2766"/>
      <c r="H232" s="2766">
        <f>Dataark_til_bilag2_2018[[#This Row],[Stald_kode]]+Dataark_til_bilag2_2018[[#This Row],[Dyr_Kode]]</f>
        <v>0</v>
      </c>
      <c r="I232" s="4347" t="s">
        <v>270</v>
      </c>
      <c r="J232" s="2766"/>
      <c r="K232" s="2766" t="s">
        <v>350</v>
      </c>
      <c r="L232" s="2767"/>
      <c r="M232" s="2767"/>
      <c r="N232" s="2760" t="str">
        <f>IFERROR(Dataark_til_bilag2_2018[[#This Row],[Antal dyr]]*Dataark_til_bilag2_2018[[#This Row],[Gødning (g) pr. dyr (ton)]]," ")</f>
        <v xml:space="preserve"> </v>
      </c>
      <c r="O232" s="2767">
        <v>3.31</v>
      </c>
      <c r="P232" s="2759" t="s">
        <v>270</v>
      </c>
      <c r="Q232" s="2767">
        <v>0.3</v>
      </c>
      <c r="R232" s="2769">
        <v>18</v>
      </c>
      <c r="S232" s="2769">
        <v>181</v>
      </c>
      <c r="T232" s="2769">
        <f t="shared" si="12"/>
        <v>943.60532342465763</v>
      </c>
      <c r="U232" s="2769">
        <f t="shared" si="13"/>
        <v>0</v>
      </c>
      <c r="V232" s="2769">
        <v>17</v>
      </c>
      <c r="W232" s="2769">
        <v>0.18</v>
      </c>
      <c r="X232" s="2769">
        <v>19.345796340852331</v>
      </c>
      <c r="Y232" s="2762" t="str">
        <f t="shared" si="10"/>
        <v>-</v>
      </c>
    </row>
    <row r="233" spans="1:25" x14ac:dyDescent="0.25">
      <c r="A233" s="2764" t="s">
        <v>1980</v>
      </c>
      <c r="B233" s="2765"/>
      <c r="C233" s="2766" t="s">
        <v>1993</v>
      </c>
      <c r="D233" s="2766" t="s">
        <v>330</v>
      </c>
      <c r="E233" s="2766" t="s">
        <v>1997</v>
      </c>
      <c r="F233" s="2766" t="s">
        <v>350</v>
      </c>
      <c r="G233" s="2766"/>
      <c r="H233" s="2766">
        <f>Dataark_til_bilag2_2018[[#This Row],[Stald_kode]]+Dataark_til_bilag2_2018[[#This Row],[Dyr_Kode]]</f>
        <v>0</v>
      </c>
      <c r="I233" s="4347" t="s">
        <v>270</v>
      </c>
      <c r="J233" s="2766"/>
      <c r="K233" s="2766" t="s">
        <v>350</v>
      </c>
      <c r="L233" s="2767"/>
      <c r="M233" s="2767"/>
      <c r="N233" s="2760" t="str">
        <f>IFERROR(Dataark_til_bilag2_2018[[#This Row],[Antal dyr]]*Dataark_til_bilag2_2018[[#This Row],[Gødning (g) pr. dyr (ton)]]," ")</f>
        <v xml:space="preserve"> </v>
      </c>
      <c r="O233" s="2767">
        <v>3.31</v>
      </c>
      <c r="P233" s="2759" t="s">
        <v>270</v>
      </c>
      <c r="Q233" s="2767">
        <v>0.3</v>
      </c>
      <c r="R233" s="2769">
        <v>18</v>
      </c>
      <c r="S233" s="2769">
        <v>181</v>
      </c>
      <c r="T233" s="2769">
        <f t="shared" si="12"/>
        <v>943.60532342465763</v>
      </c>
      <c r="U233" s="2769">
        <f t="shared" si="13"/>
        <v>0</v>
      </c>
      <c r="V233" s="2769">
        <v>17</v>
      </c>
      <c r="W233" s="2769">
        <v>0.18</v>
      </c>
      <c r="X233" s="2769">
        <v>19.345796340852331</v>
      </c>
      <c r="Y233" s="2762" t="str">
        <f t="shared" si="10"/>
        <v>-</v>
      </c>
    </row>
    <row r="234" spans="1:25" x14ac:dyDescent="0.25">
      <c r="A234" s="2764" t="s">
        <v>1980</v>
      </c>
      <c r="B234" s="2765"/>
      <c r="C234" s="2766" t="s">
        <v>2011</v>
      </c>
      <c r="D234" s="2766" t="s">
        <v>330</v>
      </c>
      <c r="E234" s="2766" t="s">
        <v>1989</v>
      </c>
      <c r="F234" s="2766" t="s">
        <v>639</v>
      </c>
      <c r="G234" s="2766"/>
      <c r="H234" s="2766">
        <f>Dataark_til_bilag2_2018[[#This Row],[Stald_kode]]+Dataark_til_bilag2_2018[[#This Row],[Dyr_Kode]]</f>
        <v>0</v>
      </c>
      <c r="I234" s="4347" t="s">
        <v>270</v>
      </c>
      <c r="J234" s="2766" t="s">
        <v>1943</v>
      </c>
      <c r="K234" s="2766"/>
      <c r="L234" s="2767">
        <v>3.17</v>
      </c>
      <c r="M234" s="2767">
        <f>3.4/100</f>
        <v>3.4000000000000002E-2</v>
      </c>
      <c r="N234" s="2760" t="str">
        <f>IFERROR(Dataark_til_bilag2_2018[[#This Row],[Antal dyr]]*Dataark_til_bilag2_2018[[#This Row],[Gødning (g) pr. dyr (ton)]]," ")</f>
        <v xml:space="preserve"> </v>
      </c>
      <c r="O234" s="2767"/>
      <c r="P234" s="2759" t="s">
        <v>270</v>
      </c>
      <c r="Q234" s="2767"/>
      <c r="R234" s="2769">
        <v>18</v>
      </c>
      <c r="S234" s="2769">
        <v>181</v>
      </c>
      <c r="T234" s="2769">
        <f t="shared" si="12"/>
        <v>81.971857534246595</v>
      </c>
      <c r="U234" s="2769">
        <f t="shared" si="13"/>
        <v>4.2521424657534252</v>
      </c>
      <c r="V234" s="2769">
        <v>12.5</v>
      </c>
      <c r="W234" s="2769">
        <v>0.18</v>
      </c>
      <c r="X234" s="2769">
        <v>1.2998268000000004</v>
      </c>
      <c r="Y234" s="2762" t="str">
        <f t="shared" si="10"/>
        <v>-</v>
      </c>
    </row>
    <row r="235" spans="1:25" x14ac:dyDescent="0.25">
      <c r="A235" s="2764" t="s">
        <v>1980</v>
      </c>
      <c r="B235" s="2765"/>
      <c r="C235" s="2766" t="s">
        <v>2011</v>
      </c>
      <c r="D235" s="2766" t="s">
        <v>330</v>
      </c>
      <c r="E235" s="2766" t="s">
        <v>1985</v>
      </c>
      <c r="F235" s="2766" t="s">
        <v>350</v>
      </c>
      <c r="G235" s="2766"/>
      <c r="H235" s="2766">
        <f>Dataark_til_bilag2_2018[[#This Row],[Stald_kode]]+Dataark_til_bilag2_2018[[#This Row],[Dyr_Kode]]</f>
        <v>0</v>
      </c>
      <c r="I235" s="4347" t="s">
        <v>270</v>
      </c>
      <c r="J235" s="2766"/>
      <c r="K235" s="2766" t="s">
        <v>350</v>
      </c>
      <c r="L235" s="2767"/>
      <c r="M235" s="2767"/>
      <c r="N235" s="2760" t="str">
        <f>IFERROR(Dataark_til_bilag2_2018[[#This Row],[Antal dyr]]*Dataark_til_bilag2_2018[[#This Row],[Gødning (g) pr. dyr (ton)]]," ")</f>
        <v xml:space="preserve"> </v>
      </c>
      <c r="O235" s="2767">
        <v>4.2</v>
      </c>
      <c r="P235" s="2759" t="s">
        <v>270</v>
      </c>
      <c r="Q235" s="2767">
        <v>0.3</v>
      </c>
      <c r="R235" s="2769">
        <v>18</v>
      </c>
      <c r="S235" s="2769">
        <v>181</v>
      </c>
      <c r="T235" s="2769">
        <f t="shared" si="12"/>
        <v>1197.3239753424657</v>
      </c>
      <c r="U235" s="2769">
        <f t="shared" si="13"/>
        <v>0</v>
      </c>
      <c r="V235" s="2769">
        <v>17</v>
      </c>
      <c r="W235" s="2769">
        <v>0.18</v>
      </c>
      <c r="X235" s="2769">
        <v>24.54753614247123</v>
      </c>
      <c r="Y235" s="2762" t="str">
        <f t="shared" si="10"/>
        <v>-</v>
      </c>
    </row>
    <row r="236" spans="1:25" x14ac:dyDescent="0.25">
      <c r="A236" s="2764" t="s">
        <v>1980</v>
      </c>
      <c r="B236" s="2765"/>
      <c r="C236" s="2766" t="s">
        <v>2011</v>
      </c>
      <c r="D236" s="2766" t="s">
        <v>330</v>
      </c>
      <c r="E236" s="2766" t="s">
        <v>1984</v>
      </c>
      <c r="F236" s="2766" t="s">
        <v>350</v>
      </c>
      <c r="G236" s="2766"/>
      <c r="H236" s="2766">
        <f>Dataark_til_bilag2_2018[[#This Row],[Stald_kode]]+Dataark_til_bilag2_2018[[#This Row],[Dyr_Kode]]</f>
        <v>0</v>
      </c>
      <c r="I236" s="4347" t="s">
        <v>270</v>
      </c>
      <c r="J236" s="2766"/>
      <c r="K236" s="2766" t="s">
        <v>350</v>
      </c>
      <c r="L236" s="2767"/>
      <c r="M236" s="2767"/>
      <c r="N236" s="2760" t="str">
        <f>IFERROR(Dataark_til_bilag2_2018[[#This Row],[Antal dyr]]*Dataark_til_bilag2_2018[[#This Row],[Gødning (g) pr. dyr (ton)]]," ")</f>
        <v xml:space="preserve"> </v>
      </c>
      <c r="O236" s="2767">
        <v>4.2</v>
      </c>
      <c r="P236" s="2759" t="s">
        <v>270</v>
      </c>
      <c r="Q236" s="2767">
        <f>30/100</f>
        <v>0.3</v>
      </c>
      <c r="R236" s="2769">
        <v>18</v>
      </c>
      <c r="S236" s="2769">
        <v>181</v>
      </c>
      <c r="T236" s="2769">
        <f t="shared" si="12"/>
        <v>1197.3239753424657</v>
      </c>
      <c r="U236" s="2769">
        <f t="shared" si="13"/>
        <v>0</v>
      </c>
      <c r="V236" s="2769">
        <v>17</v>
      </c>
      <c r="W236" s="2769">
        <v>0.18</v>
      </c>
      <c r="X236" s="2769">
        <v>24.54753614247123</v>
      </c>
      <c r="Y236" s="2762" t="str">
        <f t="shared" si="10"/>
        <v>-</v>
      </c>
    </row>
    <row r="237" spans="1:25" x14ac:dyDescent="0.25">
      <c r="A237" s="2764" t="s">
        <v>1980</v>
      </c>
      <c r="B237" s="2765"/>
      <c r="C237" s="2766" t="s">
        <v>2011</v>
      </c>
      <c r="D237" s="2766" t="s">
        <v>330</v>
      </c>
      <c r="E237" s="2766" t="s">
        <v>2801</v>
      </c>
      <c r="F237" s="2766" t="s">
        <v>350</v>
      </c>
      <c r="G237" s="2766"/>
      <c r="H237" s="2766">
        <f>Dataark_til_bilag2_2018[[#This Row],[Stald_kode]]+Dataark_til_bilag2_2018[[#This Row],[Dyr_Kode]]</f>
        <v>0</v>
      </c>
      <c r="I237" s="4347" t="s">
        <v>270</v>
      </c>
      <c r="J237" s="2766"/>
      <c r="K237" s="2766" t="s">
        <v>350</v>
      </c>
      <c r="L237" s="2767"/>
      <c r="M237" s="2767"/>
      <c r="N237" s="2760" t="str">
        <f>IFERROR(Dataark_til_bilag2_2018[[#This Row],[Antal dyr]]*Dataark_til_bilag2_2018[[#This Row],[Gødning (g) pr. dyr (ton)]]," ")</f>
        <v xml:space="preserve"> </v>
      </c>
      <c r="O237" s="2767">
        <v>4.2</v>
      </c>
      <c r="P237" s="2759" t="s">
        <v>270</v>
      </c>
      <c r="Q237" s="2767">
        <v>0.3</v>
      </c>
      <c r="R237" s="2769">
        <v>18</v>
      </c>
      <c r="S237" s="2769">
        <v>181</v>
      </c>
      <c r="T237" s="2769">
        <f t="shared" si="12"/>
        <v>1197.3239753424657</v>
      </c>
      <c r="U237" s="2769">
        <f t="shared" si="13"/>
        <v>0</v>
      </c>
      <c r="V237" s="2769">
        <v>17</v>
      </c>
      <c r="W237" s="2769">
        <v>0.18</v>
      </c>
      <c r="X237" s="2769">
        <v>24.54753614247123</v>
      </c>
      <c r="Y237" s="2762" t="str">
        <f t="shared" si="10"/>
        <v>-</v>
      </c>
    </row>
    <row r="238" spans="1:25" x14ac:dyDescent="0.25">
      <c r="A238" s="2764" t="s">
        <v>1980</v>
      </c>
      <c r="B238" s="2765"/>
      <c r="C238" s="2766" t="s">
        <v>2799</v>
      </c>
      <c r="D238" s="2766" t="s">
        <v>2796</v>
      </c>
      <c r="E238" s="2766" t="s">
        <v>1989</v>
      </c>
      <c r="F238" s="2766" t="s">
        <v>639</v>
      </c>
      <c r="G238" s="2766"/>
      <c r="H238" s="2766">
        <f>Dataark_til_bilag2_2018[[#This Row],[Stald_kode]]+Dataark_til_bilag2_2018[[#This Row],[Dyr_Kode]]</f>
        <v>0</v>
      </c>
      <c r="I238" s="4347" t="s">
        <v>270</v>
      </c>
      <c r="J238" s="2766" t="s">
        <v>1943</v>
      </c>
      <c r="K238" s="2766"/>
      <c r="L238" s="2767">
        <v>1.07</v>
      </c>
      <c r="M238" s="2767">
        <v>3.1E-2</v>
      </c>
      <c r="N238" s="2760" t="str">
        <f>IFERROR(Dataark_til_bilag2_2018[[#This Row],[Antal dyr]]*Dataark_til_bilag2_2018[[#This Row],[Gødning (g) pr. dyr (ton)]]," ")</f>
        <v xml:space="preserve"> </v>
      </c>
      <c r="O238" s="2767"/>
      <c r="P238" s="2759" t="s">
        <v>270</v>
      </c>
      <c r="Q238" s="2767"/>
      <c r="R238" s="2769">
        <v>18</v>
      </c>
      <c r="S238" s="2769">
        <v>181</v>
      </c>
      <c r="T238" s="2769">
        <f t="shared" si="12"/>
        <v>25.227375342465756</v>
      </c>
      <c r="U238" s="2769">
        <f t="shared" si="13"/>
        <v>1.3086246575342466</v>
      </c>
      <c r="V238" s="2769">
        <v>12.5</v>
      </c>
      <c r="W238" s="2769">
        <v>0.18</v>
      </c>
      <c r="X238" s="2769">
        <v>0.40003020000000006</v>
      </c>
      <c r="Y238" s="2762" t="str">
        <f t="shared" si="10"/>
        <v>-</v>
      </c>
    </row>
    <row r="239" spans="1:25" x14ac:dyDescent="0.25">
      <c r="A239" s="2764" t="s">
        <v>1980</v>
      </c>
      <c r="B239" s="2765"/>
      <c r="C239" s="2766" t="s">
        <v>2799</v>
      </c>
      <c r="D239" s="2766" t="s">
        <v>2796</v>
      </c>
      <c r="E239" s="2766" t="s">
        <v>1998</v>
      </c>
      <c r="F239" s="2766" t="s">
        <v>350</v>
      </c>
      <c r="G239" s="2766"/>
      <c r="H239" s="2766">
        <f>Dataark_til_bilag2_2018[[#This Row],[Stald_kode]]+Dataark_til_bilag2_2018[[#This Row],[Dyr_Kode]]</f>
        <v>0</v>
      </c>
      <c r="I239" s="4347" t="s">
        <v>270</v>
      </c>
      <c r="J239" s="2766"/>
      <c r="K239" s="2766" t="s">
        <v>350</v>
      </c>
      <c r="L239" s="2768"/>
      <c r="M239" s="2768"/>
      <c r="N239" s="2760" t="str">
        <f>IFERROR(Dataark_til_bilag2_2018[[#This Row],[Antal dyr]]*Dataark_til_bilag2_2018[[#This Row],[Gødning (g) pr. dyr (ton)]]," ")</f>
        <v xml:space="preserve"> </v>
      </c>
      <c r="O239" s="2767">
        <v>1.44</v>
      </c>
      <c r="P239" s="2759" t="s">
        <v>270</v>
      </c>
      <c r="Q239" s="2767">
        <v>0.3</v>
      </c>
      <c r="R239" s="2769">
        <v>18</v>
      </c>
      <c r="S239" s="2769">
        <v>181</v>
      </c>
      <c r="T239" s="2769">
        <f t="shared" si="12"/>
        <v>410.51107726027391</v>
      </c>
      <c r="U239" s="2769">
        <f>(O239*1000)/365*Q239*0.8*R239</f>
        <v>17.043287671232875</v>
      </c>
      <c r="V239" s="2769">
        <v>17</v>
      </c>
      <c r="W239" s="2769">
        <v>0.18</v>
      </c>
      <c r="X239" s="2769">
        <v>8.7657195898257534</v>
      </c>
      <c r="Y239" s="2762" t="str">
        <f t="shared" si="10"/>
        <v>-</v>
      </c>
    </row>
    <row r="240" spans="1:25" x14ac:dyDescent="0.25">
      <c r="A240" s="2764" t="s">
        <v>1980</v>
      </c>
      <c r="B240" s="2765"/>
      <c r="C240" s="2766" t="s">
        <v>2799</v>
      </c>
      <c r="D240" s="2766" t="s">
        <v>2796</v>
      </c>
      <c r="E240" s="2766" t="s">
        <v>1999</v>
      </c>
      <c r="F240" s="2766" t="s">
        <v>350</v>
      </c>
      <c r="G240" s="2766"/>
      <c r="H240" s="2766">
        <f>Dataark_til_bilag2_2018[[#This Row],[Stald_kode]]+Dataark_til_bilag2_2018[[#This Row],[Dyr_Kode]]</f>
        <v>0</v>
      </c>
      <c r="I240" s="4347" t="s">
        <v>270</v>
      </c>
      <c r="J240" s="2766"/>
      <c r="K240" s="2766" t="s">
        <v>350</v>
      </c>
      <c r="L240" s="2768"/>
      <c r="M240" s="2768"/>
      <c r="N240" s="2760" t="str">
        <f>IFERROR(Dataark_til_bilag2_2018[[#This Row],[Antal dyr]]*Dataark_til_bilag2_2018[[#This Row],[Gødning (g) pr. dyr (ton)]]," ")</f>
        <v xml:space="preserve"> </v>
      </c>
      <c r="O240" s="2767">
        <v>1.44</v>
      </c>
      <c r="P240" s="2759" t="s">
        <v>270</v>
      </c>
      <c r="Q240" s="2767">
        <v>0.3</v>
      </c>
      <c r="R240" s="2769">
        <v>18</v>
      </c>
      <c r="S240" s="2769">
        <v>181</v>
      </c>
      <c r="T240" s="2769">
        <f t="shared" si="12"/>
        <v>410.51107726027391</v>
      </c>
      <c r="U240" s="2769">
        <f>(O240*1000)/365*Q240*0.8*R240</f>
        <v>17.043287671232875</v>
      </c>
      <c r="V240" s="2769">
        <v>3</v>
      </c>
      <c r="W240" s="2769">
        <v>0.18</v>
      </c>
      <c r="X240" s="2769">
        <v>1.5468916923221916</v>
      </c>
      <c r="Y240" s="2762" t="str">
        <f t="shared" ref="Y240:Y271" si="14">IFERROR(IFERROR((X240*I240)/1000,(X240*I239)/1000),"-")</f>
        <v>-</v>
      </c>
    </row>
    <row r="241" spans="1:25" x14ac:dyDescent="0.25">
      <c r="A241" s="2764" t="s">
        <v>1980</v>
      </c>
      <c r="B241" s="2765"/>
      <c r="C241" s="2766" t="s">
        <v>2799</v>
      </c>
      <c r="D241" s="2766" t="s">
        <v>2796</v>
      </c>
      <c r="E241" s="2766" t="s">
        <v>1997</v>
      </c>
      <c r="F241" s="2766" t="s">
        <v>350</v>
      </c>
      <c r="G241" s="2766"/>
      <c r="H241" s="2766">
        <f>Dataark_til_bilag2_2018[[#This Row],[Stald_kode]]+Dataark_til_bilag2_2018[[#This Row],[Dyr_Kode]]</f>
        <v>0</v>
      </c>
      <c r="I241" s="4347" t="s">
        <v>270</v>
      </c>
      <c r="J241" s="2766"/>
      <c r="K241" s="2766" t="s">
        <v>350</v>
      </c>
      <c r="L241" s="2768"/>
      <c r="M241" s="2768"/>
      <c r="N241" s="2760" t="str">
        <f>IFERROR(Dataark_til_bilag2_2018[[#This Row],[Antal dyr]]*Dataark_til_bilag2_2018[[#This Row],[Gødning (g) pr. dyr (ton)]]," ")</f>
        <v xml:space="preserve"> </v>
      </c>
      <c r="O241" s="2767">
        <v>1.44</v>
      </c>
      <c r="P241" s="2759" t="s">
        <v>270</v>
      </c>
      <c r="Q241" s="2767">
        <v>0.3</v>
      </c>
      <c r="R241" s="2769">
        <v>18</v>
      </c>
      <c r="S241" s="2769">
        <v>181</v>
      </c>
      <c r="T241" s="2769">
        <f t="shared" si="12"/>
        <v>410.51107726027391</v>
      </c>
      <c r="U241" s="2769">
        <f>(O241*1000)/365*Q241*0.8*R241</f>
        <v>17.043287671232875</v>
      </c>
      <c r="V241" s="2769">
        <v>17</v>
      </c>
      <c r="W241" s="2769">
        <v>0.18</v>
      </c>
      <c r="X241" s="2769">
        <v>8.7657195898257534</v>
      </c>
      <c r="Y241" s="2762" t="str">
        <f t="shared" si="14"/>
        <v>-</v>
      </c>
    </row>
    <row r="242" spans="1:25" x14ac:dyDescent="0.25">
      <c r="A242" s="2764" t="s">
        <v>1980</v>
      </c>
      <c r="B242" s="2765"/>
      <c r="C242" s="2766" t="s">
        <v>2797</v>
      </c>
      <c r="D242" s="2766" t="s">
        <v>2796</v>
      </c>
      <c r="E242" s="2766" t="s">
        <v>1989</v>
      </c>
      <c r="F242" s="2766" t="s">
        <v>639</v>
      </c>
      <c r="G242" s="2766"/>
      <c r="H242" s="2766">
        <f>Dataark_til_bilag2_2018[[#This Row],[Stald_kode]]+Dataark_til_bilag2_2018[[#This Row],[Dyr_Kode]]</f>
        <v>0</v>
      </c>
      <c r="I242" s="4347" t="s">
        <v>270</v>
      </c>
      <c r="J242" s="2766" t="s">
        <v>1943</v>
      </c>
      <c r="K242" s="2766"/>
      <c r="L242" s="2767">
        <v>1.36</v>
      </c>
      <c r="M242" s="2767">
        <v>3.1E-2</v>
      </c>
      <c r="N242" s="2760" t="str">
        <f>IFERROR(Dataark_til_bilag2_2018[[#This Row],[Antal dyr]]*Dataark_til_bilag2_2018[[#This Row],[Gødning (g) pr. dyr (ton)]]," ")</f>
        <v xml:space="preserve"> </v>
      </c>
      <c r="O242" s="2767"/>
      <c r="P242" s="2759" t="s">
        <v>270</v>
      </c>
      <c r="Q242" s="2767"/>
      <c r="R242" s="2769">
        <v>18</v>
      </c>
      <c r="S242" s="2769">
        <v>181</v>
      </c>
      <c r="T242" s="2769">
        <f t="shared" si="12"/>
        <v>32.064701369863009</v>
      </c>
      <c r="U242" s="2769">
        <f>(L242*1000)/365*M242*0.8*R242</f>
        <v>1.6632986301369863</v>
      </c>
      <c r="V242" s="2769">
        <v>12.5</v>
      </c>
      <c r="W242" s="2769">
        <v>0.18</v>
      </c>
      <c r="X242" s="2769">
        <v>0.50844959999999995</v>
      </c>
      <c r="Y242" s="2762" t="str">
        <f t="shared" si="14"/>
        <v>-</v>
      </c>
    </row>
    <row r="243" spans="1:25" x14ac:dyDescent="0.25">
      <c r="A243" s="2764" t="s">
        <v>1980</v>
      </c>
      <c r="B243" s="2765"/>
      <c r="C243" s="2766" t="s">
        <v>2797</v>
      </c>
      <c r="D243" s="2766" t="s">
        <v>2796</v>
      </c>
      <c r="E243" s="2766" t="s">
        <v>1985</v>
      </c>
      <c r="F243" s="2766" t="s">
        <v>350</v>
      </c>
      <c r="G243" s="2766"/>
      <c r="H243" s="2766">
        <f>Dataark_til_bilag2_2018[[#This Row],[Stald_kode]]+Dataark_til_bilag2_2018[[#This Row],[Dyr_Kode]]</f>
        <v>0</v>
      </c>
      <c r="I243" s="4347" t="s">
        <v>270</v>
      </c>
      <c r="J243" s="2766"/>
      <c r="K243" s="2766" t="s">
        <v>350</v>
      </c>
      <c r="L243" s="2768"/>
      <c r="M243" s="2768"/>
      <c r="N243" s="2760" t="str">
        <f>IFERROR(Dataark_til_bilag2_2018[[#This Row],[Antal dyr]]*Dataark_til_bilag2_2018[[#This Row],[Gødning (g) pr. dyr (ton)]]," ")</f>
        <v xml:space="preserve"> </v>
      </c>
      <c r="O243" s="2767">
        <v>1.91</v>
      </c>
      <c r="P243" s="2759" t="s">
        <v>270</v>
      </c>
      <c r="Q243" s="2767">
        <v>0.3</v>
      </c>
      <c r="R243" s="2769">
        <v>18</v>
      </c>
      <c r="S243" s="2769">
        <v>181</v>
      </c>
      <c r="T243" s="2769">
        <f t="shared" si="12"/>
        <v>544.49733164383565</v>
      </c>
      <c r="U243" s="2769">
        <f>(O243*1000)/365*Q243*0.8*R243</f>
        <v>22.606027397260277</v>
      </c>
      <c r="V243" s="2769">
        <v>3</v>
      </c>
      <c r="W243" s="2769">
        <v>0.18</v>
      </c>
      <c r="X243" s="2769">
        <v>2.0517799530106853</v>
      </c>
      <c r="Y243" s="2762" t="str">
        <f t="shared" si="14"/>
        <v>-</v>
      </c>
    </row>
    <row r="244" spans="1:25" x14ac:dyDescent="0.25">
      <c r="A244" s="2764" t="s">
        <v>1980</v>
      </c>
      <c r="B244" s="2765"/>
      <c r="C244" s="2766" t="s">
        <v>2797</v>
      </c>
      <c r="D244" s="2766" t="s">
        <v>2796</v>
      </c>
      <c r="E244" s="2766" t="s">
        <v>1983</v>
      </c>
      <c r="F244" s="2766" t="s">
        <v>350</v>
      </c>
      <c r="G244" s="2766"/>
      <c r="H244" s="2766">
        <f>Dataark_til_bilag2_2018[[#This Row],[Stald_kode]]+Dataark_til_bilag2_2018[[#This Row],[Dyr_Kode]]</f>
        <v>0</v>
      </c>
      <c r="I244" s="4347" t="s">
        <v>270</v>
      </c>
      <c r="J244" s="2766"/>
      <c r="K244" s="2766" t="s">
        <v>350</v>
      </c>
      <c r="L244" s="2768"/>
      <c r="M244" s="2768"/>
      <c r="N244" s="2760" t="str">
        <f>IFERROR(Dataark_til_bilag2_2018[[#This Row],[Antal dyr]]*Dataark_til_bilag2_2018[[#This Row],[Gødning (g) pr. dyr (ton)]]," ")</f>
        <v xml:space="preserve"> </v>
      </c>
      <c r="O244" s="2767">
        <v>1.91</v>
      </c>
      <c r="P244" s="2759" t="s">
        <v>270</v>
      </c>
      <c r="Q244" s="2767">
        <v>0.3</v>
      </c>
      <c r="R244" s="2769">
        <v>18</v>
      </c>
      <c r="S244" s="2769">
        <v>181</v>
      </c>
      <c r="T244" s="2769">
        <f t="shared" si="12"/>
        <v>544.49733164383565</v>
      </c>
      <c r="U244" s="2769">
        <f>(O244*1000)/365*Q244*0.8*R244</f>
        <v>22.606027397260277</v>
      </c>
      <c r="V244" s="2769">
        <v>17</v>
      </c>
      <c r="W244" s="2769">
        <v>0.18</v>
      </c>
      <c r="X244" s="2769">
        <v>11.626753067060548</v>
      </c>
      <c r="Y244" s="2762" t="str">
        <f t="shared" si="14"/>
        <v>-</v>
      </c>
    </row>
    <row r="245" spans="1:25" x14ac:dyDescent="0.25">
      <c r="A245" s="2764" t="s">
        <v>1980</v>
      </c>
      <c r="B245" s="2765"/>
      <c r="C245" s="2766" t="s">
        <v>2797</v>
      </c>
      <c r="D245" s="2766" t="s">
        <v>2796</v>
      </c>
      <c r="E245" s="2766" t="s">
        <v>1984</v>
      </c>
      <c r="F245" s="2766" t="s">
        <v>350</v>
      </c>
      <c r="G245" s="2766"/>
      <c r="H245" s="2766">
        <f>Dataark_til_bilag2_2018[[#This Row],[Stald_kode]]+Dataark_til_bilag2_2018[[#This Row],[Dyr_Kode]]</f>
        <v>0</v>
      </c>
      <c r="I245" s="4347" t="s">
        <v>270</v>
      </c>
      <c r="J245" s="2766"/>
      <c r="K245" s="2766" t="s">
        <v>350</v>
      </c>
      <c r="L245" s="2768"/>
      <c r="M245" s="2768"/>
      <c r="N245" s="2760" t="str">
        <f>IFERROR(Dataark_til_bilag2_2018[[#This Row],[Antal dyr]]*Dataark_til_bilag2_2018[[#This Row],[Gødning (g) pr. dyr (ton)]]," ")</f>
        <v xml:space="preserve"> </v>
      </c>
      <c r="O245" s="2767">
        <v>1.91</v>
      </c>
      <c r="P245" s="2759" t="s">
        <v>270</v>
      </c>
      <c r="Q245" s="2767">
        <v>0.3</v>
      </c>
      <c r="R245" s="2769">
        <v>18</v>
      </c>
      <c r="S245" s="2769">
        <v>181</v>
      </c>
      <c r="T245" s="2769">
        <f t="shared" si="12"/>
        <v>544.49733164383565</v>
      </c>
      <c r="U245" s="2769">
        <f>(O245*1000)/365*Q245*0.8*R245</f>
        <v>22.606027397260277</v>
      </c>
      <c r="V245" s="2769">
        <v>17</v>
      </c>
      <c r="W245" s="2769">
        <v>0.18</v>
      </c>
      <c r="X245" s="2769">
        <v>11.626753067060548</v>
      </c>
      <c r="Y245" s="2762" t="str">
        <f t="shared" si="14"/>
        <v>-</v>
      </c>
    </row>
    <row r="246" spans="1:25" x14ac:dyDescent="0.25">
      <c r="A246" s="2764" t="s">
        <v>1980</v>
      </c>
      <c r="B246" s="2765"/>
      <c r="C246" s="2766" t="s">
        <v>1991</v>
      </c>
      <c r="D246" s="2766" t="s">
        <v>329</v>
      </c>
      <c r="E246" s="2766" t="s">
        <v>1989</v>
      </c>
      <c r="F246" s="2766" t="s">
        <v>639</v>
      </c>
      <c r="G246" s="2766"/>
      <c r="H246" s="2766">
        <f>Dataark_til_bilag2_2018[[#This Row],[Stald_kode]]+Dataark_til_bilag2_2018[[#This Row],[Dyr_Kode]]</f>
        <v>0</v>
      </c>
      <c r="I246" s="4347" t="s">
        <v>270</v>
      </c>
      <c r="J246" s="2766" t="s">
        <v>1943</v>
      </c>
      <c r="K246" s="2766"/>
      <c r="L246" s="2767">
        <v>4.17</v>
      </c>
      <c r="M246" s="2767">
        <v>3.7999999999999999E-2</v>
      </c>
      <c r="N246" s="2760" t="str">
        <f>IFERROR(Dataark_til_bilag2_2018[[#This Row],[Antal dyr]]*Dataark_til_bilag2_2018[[#This Row],[Gødning (g) pr. dyr (ton)]]," ")</f>
        <v xml:space="preserve"> </v>
      </c>
      <c r="O246" s="2767"/>
      <c r="P246" s="2759" t="s">
        <v>270</v>
      </c>
      <c r="Q246" s="2767"/>
      <c r="R246" s="2769">
        <v>132</v>
      </c>
      <c r="S246" s="2769">
        <v>181</v>
      </c>
      <c r="T246" s="2769">
        <f t="shared" si="12"/>
        <v>80.923134246575344</v>
      </c>
      <c r="U246" s="2769">
        <f>(L246*1000)/365*M246*0.8*R246</f>
        <v>45.844865753424664</v>
      </c>
      <c r="V246" s="2769">
        <v>12.5</v>
      </c>
      <c r="W246" s="2769">
        <v>0.18</v>
      </c>
      <c r="X246" s="2769">
        <v>1.9110276000000002</v>
      </c>
      <c r="Y246" s="2762" t="str">
        <f t="shared" si="14"/>
        <v>-</v>
      </c>
    </row>
    <row r="247" spans="1:25" x14ac:dyDescent="0.25">
      <c r="A247" s="2764" t="s">
        <v>1980</v>
      </c>
      <c r="B247" s="2765"/>
      <c r="C247" s="2766" t="s">
        <v>1991</v>
      </c>
      <c r="D247" s="2766" t="s">
        <v>329</v>
      </c>
      <c r="E247" s="2766" t="s">
        <v>1985</v>
      </c>
      <c r="F247" s="2766" t="s">
        <v>350</v>
      </c>
      <c r="G247" s="2766"/>
      <c r="H247" s="2766">
        <f>Dataark_til_bilag2_2018[[#This Row],[Stald_kode]]+Dataark_til_bilag2_2018[[#This Row],[Dyr_Kode]]</f>
        <v>0</v>
      </c>
      <c r="I247" s="4347" t="s">
        <v>270</v>
      </c>
      <c r="J247" s="2766"/>
      <c r="K247" s="2766" t="s">
        <v>350</v>
      </c>
      <c r="L247" s="2768"/>
      <c r="M247" s="2768"/>
      <c r="N247" s="2760" t="str">
        <f>IFERROR(Dataark_til_bilag2_2018[[#This Row],[Antal dyr]]*Dataark_til_bilag2_2018[[#This Row],[Gødning (g) pr. dyr (ton)]]," ")</f>
        <v xml:space="preserve"> </v>
      </c>
      <c r="O247" s="2767">
        <v>6.67</v>
      </c>
      <c r="P247" s="2759" t="s">
        <v>270</v>
      </c>
      <c r="Q247" s="2767">
        <v>0.3</v>
      </c>
      <c r="R247" s="2769">
        <v>132</v>
      </c>
      <c r="S247" s="2769">
        <v>181</v>
      </c>
      <c r="T247" s="2769">
        <f t="shared" si="12"/>
        <v>1276.7758771232877</v>
      </c>
      <c r="U247" s="2769">
        <f>(O247*1000)/365*Q247*0.8*R247</f>
        <v>578.91945205479453</v>
      </c>
      <c r="V247" s="2769">
        <v>17</v>
      </c>
      <c r="W247" s="2769">
        <v>0.18</v>
      </c>
      <c r="X247" s="2769">
        <v>38.045465638809048</v>
      </c>
      <c r="Y247" s="2762" t="str">
        <f t="shared" si="14"/>
        <v>-</v>
      </c>
    </row>
    <row r="248" spans="1:25" x14ac:dyDescent="0.25">
      <c r="A248" s="2764" t="s">
        <v>1980</v>
      </c>
      <c r="B248" s="2765"/>
      <c r="C248" s="2766" t="s">
        <v>1991</v>
      </c>
      <c r="D248" s="2766" t="s">
        <v>329</v>
      </c>
      <c r="E248" s="2766" t="s">
        <v>1983</v>
      </c>
      <c r="F248" s="2766" t="s">
        <v>350</v>
      </c>
      <c r="G248" s="2766"/>
      <c r="H248" s="2766">
        <f>Dataark_til_bilag2_2018[[#This Row],[Stald_kode]]+Dataark_til_bilag2_2018[[#This Row],[Dyr_Kode]]</f>
        <v>0</v>
      </c>
      <c r="I248" s="4347" t="s">
        <v>270</v>
      </c>
      <c r="J248" s="2766"/>
      <c r="K248" s="2766" t="s">
        <v>350</v>
      </c>
      <c r="L248" s="2768"/>
      <c r="M248" s="2768"/>
      <c r="N248" s="2760" t="str">
        <f>IFERROR(Dataark_til_bilag2_2018[[#This Row],[Antal dyr]]*Dataark_til_bilag2_2018[[#This Row],[Gødning (g) pr. dyr (ton)]]," ")</f>
        <v xml:space="preserve"> </v>
      </c>
      <c r="O248" s="2767">
        <v>6.67</v>
      </c>
      <c r="P248" s="2759" t="s">
        <v>270</v>
      </c>
      <c r="Q248" s="2767">
        <v>0.3</v>
      </c>
      <c r="R248" s="2769">
        <v>132</v>
      </c>
      <c r="S248" s="2769">
        <v>181</v>
      </c>
      <c r="T248" s="2769">
        <f t="shared" si="12"/>
        <v>1276.7758771232877</v>
      </c>
      <c r="U248" s="2769">
        <f>(O248*1000)/365*Q248*0.8*R248</f>
        <v>578.91945205479453</v>
      </c>
      <c r="V248" s="2769">
        <v>17</v>
      </c>
      <c r="W248" s="2769">
        <v>0.18</v>
      </c>
      <c r="X248" s="2769">
        <v>38.045465638809048</v>
      </c>
      <c r="Y248" s="2762" t="str">
        <f t="shared" si="14"/>
        <v>-</v>
      </c>
    </row>
    <row r="249" spans="1:25" x14ac:dyDescent="0.25">
      <c r="A249" s="2764" t="s">
        <v>1980</v>
      </c>
      <c r="B249" s="2765"/>
      <c r="C249" s="2766" t="s">
        <v>1991</v>
      </c>
      <c r="D249" s="2766" t="s">
        <v>329</v>
      </c>
      <c r="E249" s="2766" t="s">
        <v>1984</v>
      </c>
      <c r="F249" s="2766" t="s">
        <v>350</v>
      </c>
      <c r="G249" s="2766"/>
      <c r="H249" s="2766">
        <f>Dataark_til_bilag2_2018[[#This Row],[Stald_kode]]+Dataark_til_bilag2_2018[[#This Row],[Dyr_Kode]]</f>
        <v>0</v>
      </c>
      <c r="I249" s="4347" t="s">
        <v>270</v>
      </c>
      <c r="J249" s="2766"/>
      <c r="K249" s="2766" t="s">
        <v>350</v>
      </c>
      <c r="L249" s="2768"/>
      <c r="M249" s="2768"/>
      <c r="N249" s="2760" t="str">
        <f>IFERROR(Dataark_til_bilag2_2018[[#This Row],[Antal dyr]]*Dataark_til_bilag2_2018[[#This Row],[Gødning (g) pr. dyr (ton)]]," ")</f>
        <v xml:space="preserve"> </v>
      </c>
      <c r="O249" s="2767">
        <v>6.67</v>
      </c>
      <c r="P249" s="2759" t="s">
        <v>270</v>
      </c>
      <c r="Q249" s="2767">
        <v>0.3</v>
      </c>
      <c r="R249" s="2769">
        <v>132</v>
      </c>
      <c r="S249" s="2769">
        <v>181</v>
      </c>
      <c r="T249" s="2769">
        <f t="shared" si="12"/>
        <v>1276.7758771232877</v>
      </c>
      <c r="U249" s="2769">
        <f>(O249*1000)/365*Q249*0.8*R249</f>
        <v>578.91945205479453</v>
      </c>
      <c r="V249" s="2769">
        <v>17</v>
      </c>
      <c r="W249" s="2769">
        <v>0.18</v>
      </c>
      <c r="X249" s="2769">
        <v>38.045465638809048</v>
      </c>
      <c r="Y249" s="2762" t="str">
        <f t="shared" si="14"/>
        <v>-</v>
      </c>
    </row>
    <row r="250" spans="1:25" x14ac:dyDescent="0.25">
      <c r="A250" s="2764" t="s">
        <v>1980</v>
      </c>
      <c r="B250" s="2765"/>
      <c r="C250" s="2766" t="s">
        <v>1979</v>
      </c>
      <c r="D250" s="2766" t="s">
        <v>329</v>
      </c>
      <c r="E250" s="2766" t="s">
        <v>1989</v>
      </c>
      <c r="F250" s="2766" t="s">
        <v>639</v>
      </c>
      <c r="G250" s="2766"/>
      <c r="H250" s="2766">
        <f>Dataark_til_bilag2_2018[[#This Row],[Stald_kode]]+Dataark_til_bilag2_2018[[#This Row],[Dyr_Kode]]</f>
        <v>0</v>
      </c>
      <c r="I250" s="4347" t="s">
        <v>270</v>
      </c>
      <c r="J250" s="2766" t="s">
        <v>1943</v>
      </c>
      <c r="K250" s="2766"/>
      <c r="L250" s="2767">
        <v>4.8</v>
      </c>
      <c r="M250" s="2767">
        <v>3.7999999999999999E-2</v>
      </c>
      <c r="N250" s="2760" t="str">
        <f>IFERROR(Dataark_til_bilag2_2018[[#This Row],[Antal dyr]]*Dataark_til_bilag2_2018[[#This Row],[Gødning (g) pr. dyr (ton)]]," ")</f>
        <v xml:space="preserve"> </v>
      </c>
      <c r="O250" s="2767"/>
      <c r="P250" s="2759" t="s">
        <v>270</v>
      </c>
      <c r="Q250" s="2767"/>
      <c r="R250" s="2769">
        <v>132</v>
      </c>
      <c r="S250" s="2769">
        <v>181</v>
      </c>
      <c r="T250" s="2769">
        <f t="shared" si="12"/>
        <v>93.148931506849308</v>
      </c>
      <c r="U250" s="2769">
        <f>(L250*1000)/365*M250*0.8*R250</f>
        <v>52.771068493150686</v>
      </c>
      <c r="V250" s="2769">
        <v>12.5</v>
      </c>
      <c r="W250" s="2769">
        <v>0.18</v>
      </c>
      <c r="X250" s="2769">
        <v>2.1997439999999999</v>
      </c>
      <c r="Y250" s="2762" t="str">
        <f t="shared" si="14"/>
        <v>-</v>
      </c>
    </row>
    <row r="251" spans="1:25" x14ac:dyDescent="0.25">
      <c r="A251" s="2764" t="s">
        <v>1980</v>
      </c>
      <c r="B251" s="2765"/>
      <c r="C251" s="2766" t="s">
        <v>1979</v>
      </c>
      <c r="D251" s="2766" t="s">
        <v>329</v>
      </c>
      <c r="E251" s="2766" t="s">
        <v>1985</v>
      </c>
      <c r="F251" s="2766" t="s">
        <v>350</v>
      </c>
      <c r="G251" s="2766"/>
      <c r="H251" s="2766">
        <f>Dataark_til_bilag2_2018[[#This Row],[Stald_kode]]+Dataark_til_bilag2_2018[[#This Row],[Dyr_Kode]]</f>
        <v>0</v>
      </c>
      <c r="I251" s="4347" t="s">
        <v>270</v>
      </c>
      <c r="J251" s="2766"/>
      <c r="K251" s="2766" t="s">
        <v>350</v>
      </c>
      <c r="L251" s="2768"/>
      <c r="M251" s="2768"/>
      <c r="N251" s="2760" t="str">
        <f>IFERROR(Dataark_til_bilag2_2018[[#This Row],[Antal dyr]]*Dataark_til_bilag2_2018[[#This Row],[Gødning (g) pr. dyr (ton)]]," ")</f>
        <v xml:space="preserve"> </v>
      </c>
      <c r="O251" s="2767">
        <v>6.95</v>
      </c>
      <c r="P251" s="2759" t="s">
        <v>270</v>
      </c>
      <c r="Q251" s="2767">
        <v>0.3</v>
      </c>
      <c r="R251" s="2769">
        <v>132</v>
      </c>
      <c r="S251" s="2769">
        <v>181</v>
      </c>
      <c r="T251" s="2769">
        <f t="shared" si="12"/>
        <v>1330.3736650684932</v>
      </c>
      <c r="U251" s="2769">
        <f>(O251*1000)/365*Q251*0.8*R251</f>
        <v>603.22191780821913</v>
      </c>
      <c r="V251" s="2769">
        <v>17</v>
      </c>
      <c r="W251" s="2769">
        <v>0.18</v>
      </c>
      <c r="X251" s="2769">
        <v>39.642576640138358</v>
      </c>
      <c r="Y251" s="2762" t="str">
        <f t="shared" si="14"/>
        <v>-</v>
      </c>
    </row>
    <row r="252" spans="1:25" x14ac:dyDescent="0.25">
      <c r="A252" s="2764" t="s">
        <v>1980</v>
      </c>
      <c r="B252" s="2765"/>
      <c r="C252" s="2766" t="s">
        <v>1979</v>
      </c>
      <c r="D252" s="2766" t="s">
        <v>329</v>
      </c>
      <c r="E252" s="2766" t="s">
        <v>1983</v>
      </c>
      <c r="F252" s="2766" t="s">
        <v>350</v>
      </c>
      <c r="G252" s="2766"/>
      <c r="H252" s="2766">
        <f>Dataark_til_bilag2_2018[[#This Row],[Stald_kode]]+Dataark_til_bilag2_2018[[#This Row],[Dyr_Kode]]</f>
        <v>0</v>
      </c>
      <c r="I252" s="4347" t="s">
        <v>270</v>
      </c>
      <c r="J252" s="2766"/>
      <c r="K252" s="2766" t="s">
        <v>350</v>
      </c>
      <c r="L252" s="2768"/>
      <c r="M252" s="2768"/>
      <c r="N252" s="2760" t="str">
        <f>IFERROR(Dataark_til_bilag2_2018[[#This Row],[Antal dyr]]*Dataark_til_bilag2_2018[[#This Row],[Gødning (g) pr. dyr (ton)]]," ")</f>
        <v xml:space="preserve"> </v>
      </c>
      <c r="O252" s="2767">
        <v>6.95</v>
      </c>
      <c r="P252" s="2759" t="s">
        <v>270</v>
      </c>
      <c r="Q252" s="2767">
        <v>0.3</v>
      </c>
      <c r="R252" s="2769">
        <v>132</v>
      </c>
      <c r="S252" s="2769">
        <v>181</v>
      </c>
      <c r="T252" s="2769">
        <f t="shared" si="12"/>
        <v>1330.3736650684932</v>
      </c>
      <c r="U252" s="2769">
        <f>(O252*1000)/365*Q252*0.8*R252</f>
        <v>603.22191780821913</v>
      </c>
      <c r="V252" s="2769">
        <v>17</v>
      </c>
      <c r="W252" s="2769">
        <v>0.18</v>
      </c>
      <c r="X252" s="2769">
        <v>39.642576640138358</v>
      </c>
      <c r="Y252" s="2762" t="str">
        <f t="shared" si="14"/>
        <v>-</v>
      </c>
    </row>
    <row r="253" spans="1:25" x14ac:dyDescent="0.25">
      <c r="A253" s="2764" t="s">
        <v>1980</v>
      </c>
      <c r="B253" s="2765"/>
      <c r="C253" s="2766" t="s">
        <v>1979</v>
      </c>
      <c r="D253" s="2766" t="s">
        <v>329</v>
      </c>
      <c r="E253" s="2766" t="s">
        <v>1984</v>
      </c>
      <c r="F253" s="2766" t="s">
        <v>350</v>
      </c>
      <c r="G253" s="2766"/>
      <c r="H253" s="2766">
        <f>Dataark_til_bilag2_2018[[#This Row],[Stald_kode]]+Dataark_til_bilag2_2018[[#This Row],[Dyr_Kode]]</f>
        <v>0</v>
      </c>
      <c r="I253" s="4347" t="s">
        <v>270</v>
      </c>
      <c r="J253" s="2766"/>
      <c r="K253" s="2766" t="s">
        <v>350</v>
      </c>
      <c r="L253" s="2768"/>
      <c r="M253" s="2768"/>
      <c r="N253" s="2760" t="str">
        <f>IFERROR(Dataark_til_bilag2_2018[[#This Row],[Antal dyr]]*Dataark_til_bilag2_2018[[#This Row],[Gødning (g) pr. dyr (ton)]]," ")</f>
        <v xml:space="preserve"> </v>
      </c>
      <c r="O253" s="2767">
        <v>6.95</v>
      </c>
      <c r="P253" s="2759" t="s">
        <v>270</v>
      </c>
      <c r="Q253" s="2767">
        <v>0.3</v>
      </c>
      <c r="R253" s="2769">
        <v>132</v>
      </c>
      <c r="S253" s="2769">
        <v>181</v>
      </c>
      <c r="T253" s="2769">
        <f t="shared" si="12"/>
        <v>1330.3736650684932</v>
      </c>
      <c r="U253" s="2769">
        <f>(O253*1000)/365*Q253*0.8*R253</f>
        <v>603.22191780821913</v>
      </c>
      <c r="V253" s="2769">
        <v>17</v>
      </c>
      <c r="W253" s="2769">
        <v>0.18</v>
      </c>
      <c r="X253" s="2769">
        <v>39.642576640138358</v>
      </c>
      <c r="Y253" s="2762" t="str">
        <f t="shared" si="14"/>
        <v>-</v>
      </c>
    </row>
    <row r="254" spans="1:25" x14ac:dyDescent="0.25">
      <c r="A254" s="2764" t="s">
        <v>1980</v>
      </c>
      <c r="B254" s="2765"/>
      <c r="C254" s="2766" t="s">
        <v>1992</v>
      </c>
      <c r="D254" s="2766" t="s">
        <v>329</v>
      </c>
      <c r="E254" s="2766" t="s">
        <v>1989</v>
      </c>
      <c r="F254" s="2766" t="s">
        <v>639</v>
      </c>
      <c r="G254" s="2766"/>
      <c r="H254" s="2766">
        <f>Dataark_til_bilag2_2018[[#This Row],[Stald_kode]]+Dataark_til_bilag2_2018[[#This Row],[Dyr_Kode]]</f>
        <v>0</v>
      </c>
      <c r="I254" s="4347" t="s">
        <v>270</v>
      </c>
      <c r="J254" s="2766" t="s">
        <v>1943</v>
      </c>
      <c r="K254" s="2766"/>
      <c r="L254" s="2767">
        <v>2.86</v>
      </c>
      <c r="M254" s="2767">
        <v>3.7999999999999999E-2</v>
      </c>
      <c r="N254" s="2760" t="str">
        <f>IFERROR(Dataark_til_bilag2_2018[[#This Row],[Antal dyr]]*Dataark_til_bilag2_2018[[#This Row],[Gødning (g) pr. dyr (ton)]]," ")</f>
        <v xml:space="preserve"> </v>
      </c>
      <c r="O254" s="2768"/>
      <c r="P254" s="2759" t="s">
        <v>270</v>
      </c>
      <c r="Q254" s="2767"/>
      <c r="R254" s="2769">
        <v>132</v>
      </c>
      <c r="S254" s="2769">
        <v>181</v>
      </c>
      <c r="T254" s="2769">
        <f t="shared" si="12"/>
        <v>55.501238356164379</v>
      </c>
      <c r="U254" s="2769">
        <f>(L254*1000)/365*M254*0.8*R254</f>
        <v>31.442761643835617</v>
      </c>
      <c r="V254" s="2769">
        <v>2</v>
      </c>
      <c r="W254" s="2769">
        <v>0.18</v>
      </c>
      <c r="X254" s="2769">
        <v>0.20970892799999999</v>
      </c>
      <c r="Y254" s="2762" t="str">
        <f t="shared" si="14"/>
        <v>-</v>
      </c>
    </row>
    <row r="255" spans="1:25" x14ac:dyDescent="0.25">
      <c r="A255" s="2764" t="s">
        <v>1980</v>
      </c>
      <c r="B255" s="2765"/>
      <c r="C255" s="2766" t="s">
        <v>1992</v>
      </c>
      <c r="D255" s="2766" t="s">
        <v>329</v>
      </c>
      <c r="E255" s="2766" t="s">
        <v>1985</v>
      </c>
      <c r="F255" s="2766" t="s">
        <v>350</v>
      </c>
      <c r="G255" s="2766"/>
      <c r="H255" s="2766">
        <f>Dataark_til_bilag2_2018[[#This Row],[Stald_kode]]+Dataark_til_bilag2_2018[[#This Row],[Dyr_Kode]]</f>
        <v>0</v>
      </c>
      <c r="I255" s="4347" t="s">
        <v>270</v>
      </c>
      <c r="J255" s="2766"/>
      <c r="K255" s="2766" t="s">
        <v>350</v>
      </c>
      <c r="L255" s="2768"/>
      <c r="M255" s="2768"/>
      <c r="N255" s="2760" t="str">
        <f>IFERROR(Dataark_til_bilag2_2018[[#This Row],[Antal dyr]]*Dataark_til_bilag2_2018[[#This Row],[Gødning (g) pr. dyr (ton)]]," ")</f>
        <v xml:space="preserve"> </v>
      </c>
      <c r="O255" s="2767">
        <v>4.88</v>
      </c>
      <c r="P255" s="2759" t="s">
        <v>270</v>
      </c>
      <c r="Q255" s="2767">
        <v>0.3</v>
      </c>
      <c r="R255" s="2769">
        <v>132</v>
      </c>
      <c r="S255" s="2769">
        <v>181</v>
      </c>
      <c r="T255" s="2769">
        <f t="shared" si="12"/>
        <v>934.13287561643835</v>
      </c>
      <c r="U255" s="2769">
        <f>(O255*1000)/365*Q255*0.8*R255</f>
        <v>423.55726027397259</v>
      </c>
      <c r="V255" s="2769">
        <v>17</v>
      </c>
      <c r="W255" s="2769">
        <v>0.18</v>
      </c>
      <c r="X255" s="2769">
        <v>27.835363166025203</v>
      </c>
      <c r="Y255" s="2762" t="str">
        <f t="shared" si="14"/>
        <v>-</v>
      </c>
    </row>
    <row r="256" spans="1:25" x14ac:dyDescent="0.25">
      <c r="A256" s="2764" t="s">
        <v>1980</v>
      </c>
      <c r="B256" s="2765"/>
      <c r="C256" s="2766" t="s">
        <v>1992</v>
      </c>
      <c r="D256" s="2766" t="s">
        <v>329</v>
      </c>
      <c r="E256" s="2766" t="s">
        <v>1983</v>
      </c>
      <c r="F256" s="2766" t="s">
        <v>350</v>
      </c>
      <c r="G256" s="2766"/>
      <c r="H256" s="2766">
        <f>Dataark_til_bilag2_2018[[#This Row],[Stald_kode]]+Dataark_til_bilag2_2018[[#This Row],[Dyr_Kode]]</f>
        <v>0</v>
      </c>
      <c r="I256" s="4347" t="s">
        <v>270</v>
      </c>
      <c r="J256" s="2766"/>
      <c r="K256" s="2766" t="s">
        <v>350</v>
      </c>
      <c r="L256" s="2768"/>
      <c r="M256" s="2768"/>
      <c r="N256" s="2760" t="str">
        <f>IFERROR(Dataark_til_bilag2_2018[[#This Row],[Antal dyr]]*Dataark_til_bilag2_2018[[#This Row],[Gødning (g) pr. dyr (ton)]]," ")</f>
        <v xml:space="preserve"> </v>
      </c>
      <c r="O256" s="2767">
        <v>4.88</v>
      </c>
      <c r="P256" s="2759" t="s">
        <v>270</v>
      </c>
      <c r="Q256" s="2767">
        <v>0.3</v>
      </c>
      <c r="R256" s="2769">
        <v>132</v>
      </c>
      <c r="S256" s="2769">
        <v>181</v>
      </c>
      <c r="T256" s="2769">
        <f t="shared" si="12"/>
        <v>934.13287561643835</v>
      </c>
      <c r="U256" s="2769">
        <f>(O256*1000)/365*Q256*0.8*R256</f>
        <v>423.55726027397259</v>
      </c>
      <c r="V256" s="2769">
        <v>17</v>
      </c>
      <c r="W256" s="2769">
        <v>0.18</v>
      </c>
      <c r="X256" s="2769">
        <v>27.835363166025203</v>
      </c>
      <c r="Y256" s="2762" t="str">
        <f t="shared" si="14"/>
        <v>-</v>
      </c>
    </row>
    <row r="257" spans="1:25" x14ac:dyDescent="0.25">
      <c r="A257" s="2764" t="s">
        <v>1980</v>
      </c>
      <c r="B257" s="2765"/>
      <c r="C257" s="2766" t="s">
        <v>1992</v>
      </c>
      <c r="D257" s="2766" t="s">
        <v>329</v>
      </c>
      <c r="E257" s="2766" t="s">
        <v>1984</v>
      </c>
      <c r="F257" s="2766" t="s">
        <v>350</v>
      </c>
      <c r="G257" s="2766"/>
      <c r="H257" s="2766">
        <f>Dataark_til_bilag2_2018[[#This Row],[Stald_kode]]+Dataark_til_bilag2_2018[[#This Row],[Dyr_Kode]]</f>
        <v>0</v>
      </c>
      <c r="I257" s="4347" t="s">
        <v>270</v>
      </c>
      <c r="J257" s="2766"/>
      <c r="K257" s="2766" t="s">
        <v>350</v>
      </c>
      <c r="L257" s="2768"/>
      <c r="M257" s="2768"/>
      <c r="N257" s="2760" t="str">
        <f>IFERROR(Dataark_til_bilag2_2018[[#This Row],[Antal dyr]]*Dataark_til_bilag2_2018[[#This Row],[Gødning (g) pr. dyr (ton)]]," ")</f>
        <v xml:space="preserve"> </v>
      </c>
      <c r="O257" s="2767">
        <v>4.88</v>
      </c>
      <c r="P257" s="2759" t="s">
        <v>270</v>
      </c>
      <c r="Q257" s="2767">
        <v>0.3</v>
      </c>
      <c r="R257" s="2769">
        <v>132</v>
      </c>
      <c r="S257" s="2769">
        <v>181</v>
      </c>
      <c r="T257" s="2769">
        <f t="shared" si="12"/>
        <v>934.13287561643835</v>
      </c>
      <c r="U257" s="2769">
        <f>(O257*1000)/365*Q257*0.8*R257</f>
        <v>423.55726027397259</v>
      </c>
      <c r="V257" s="2769">
        <v>17</v>
      </c>
      <c r="W257" s="2769">
        <v>0.18</v>
      </c>
      <c r="X257" s="2769">
        <v>27.835363166025203</v>
      </c>
      <c r="Y257" s="2762" t="str">
        <f t="shared" si="14"/>
        <v>-</v>
      </c>
    </row>
    <row r="258" spans="1:25" x14ac:dyDescent="0.25">
      <c r="A258" s="2764" t="s">
        <v>1980</v>
      </c>
      <c r="B258" s="2765"/>
      <c r="C258" s="2766" t="s">
        <v>2010</v>
      </c>
      <c r="D258" s="2766" t="s">
        <v>341</v>
      </c>
      <c r="E258" s="2766" t="s">
        <v>1989</v>
      </c>
      <c r="F258" s="2766" t="s">
        <v>639</v>
      </c>
      <c r="G258" s="2766"/>
      <c r="H258" s="2766">
        <f>Dataark_til_bilag2_2018[[#This Row],[Stald_kode]]+Dataark_til_bilag2_2018[[#This Row],[Dyr_Kode]]</f>
        <v>0</v>
      </c>
      <c r="I258" s="4347" t="s">
        <v>270</v>
      </c>
      <c r="J258" s="2766" t="s">
        <v>1943</v>
      </c>
      <c r="K258" s="2766"/>
      <c r="L258" s="2767">
        <v>12.95</v>
      </c>
      <c r="M258" s="2767">
        <v>3.4000000000000002E-2</v>
      </c>
      <c r="N258" s="2760" t="str">
        <f>IFERROR(Dataark_til_bilag2_2018[[#This Row],[Antal dyr]]*Dataark_til_bilag2_2018[[#This Row],[Gødning (g) pr. dyr (ton)]]," ")</f>
        <v xml:space="preserve"> </v>
      </c>
      <c r="O258" s="2768"/>
      <c r="P258" s="2759" t="s">
        <v>270</v>
      </c>
      <c r="Q258" s="2767"/>
      <c r="R258" s="2769">
        <v>18</v>
      </c>
      <c r="S258" s="2769">
        <v>181</v>
      </c>
      <c r="T258" s="2769">
        <f t="shared" si="12"/>
        <v>334.86926027397266</v>
      </c>
      <c r="U258" s="2769">
        <f>(L258*1000)/365*M258*0.8*R258</f>
        <v>17.370739726027399</v>
      </c>
      <c r="V258" s="2769">
        <v>12.5</v>
      </c>
      <c r="W258" s="2769">
        <v>0.24</v>
      </c>
      <c r="X258" s="2769">
        <v>7.0800240000000034</v>
      </c>
      <c r="Y258" s="2762" t="str">
        <f t="shared" si="14"/>
        <v>-</v>
      </c>
    </row>
    <row r="259" spans="1:25" x14ac:dyDescent="0.25">
      <c r="A259" s="2764" t="s">
        <v>1980</v>
      </c>
      <c r="B259" s="2765"/>
      <c r="C259" s="2766" t="s">
        <v>2010</v>
      </c>
      <c r="D259" s="2766" t="s">
        <v>341</v>
      </c>
      <c r="E259" s="2766" t="s">
        <v>1985</v>
      </c>
      <c r="F259" s="2766" t="s">
        <v>350</v>
      </c>
      <c r="G259" s="2766"/>
      <c r="H259" s="2766">
        <f>Dataark_til_bilag2_2018[[#This Row],[Stald_kode]]+Dataark_til_bilag2_2018[[#This Row],[Dyr_Kode]]</f>
        <v>0</v>
      </c>
      <c r="I259" s="4347" t="s">
        <v>270</v>
      </c>
      <c r="J259" s="2766"/>
      <c r="K259" s="2766" t="s">
        <v>350</v>
      </c>
      <c r="L259" s="2768"/>
      <c r="M259" s="2768"/>
      <c r="N259" s="2760" t="str">
        <f>IFERROR(Dataark_til_bilag2_2018[[#This Row],[Antal dyr]]*Dataark_til_bilag2_2018[[#This Row],[Gødning (g) pr. dyr (ton)]]," ")</f>
        <v xml:space="preserve"> </v>
      </c>
      <c r="O259" s="2767">
        <v>10.24</v>
      </c>
      <c r="P259" s="2759" t="s">
        <v>270</v>
      </c>
      <c r="Q259" s="2767">
        <v>0.28999999999999998</v>
      </c>
      <c r="R259" s="2769">
        <v>18</v>
      </c>
      <c r="S259" s="2769">
        <v>181</v>
      </c>
      <c r="T259" s="2769">
        <f t="shared" si="12"/>
        <v>2821.8835533150677</v>
      </c>
      <c r="U259" s="2769">
        <f>(O259*1000)/365*Q259*0.8*R259</f>
        <v>117.1568219178082</v>
      </c>
      <c r="V259" s="2769">
        <v>17</v>
      </c>
      <c r="W259" s="2769">
        <v>0.24</v>
      </c>
      <c r="X259" s="2769">
        <v>80.341607697365902</v>
      </c>
      <c r="Y259" s="2762" t="str">
        <f t="shared" si="14"/>
        <v>-</v>
      </c>
    </row>
    <row r="260" spans="1:25" x14ac:dyDescent="0.25">
      <c r="A260" s="2764" t="s">
        <v>1980</v>
      </c>
      <c r="B260" s="2765"/>
      <c r="C260" s="2766" t="s">
        <v>2010</v>
      </c>
      <c r="D260" s="2766" t="s">
        <v>341</v>
      </c>
      <c r="E260" s="2766" t="s">
        <v>1983</v>
      </c>
      <c r="F260" s="2766" t="s">
        <v>350</v>
      </c>
      <c r="G260" s="2766"/>
      <c r="H260" s="2766">
        <f>Dataark_til_bilag2_2018[[#This Row],[Stald_kode]]+Dataark_til_bilag2_2018[[#This Row],[Dyr_Kode]]</f>
        <v>0</v>
      </c>
      <c r="I260" s="4347" t="s">
        <v>270</v>
      </c>
      <c r="J260" s="2766"/>
      <c r="K260" s="2766" t="s">
        <v>350</v>
      </c>
      <c r="L260" s="2768"/>
      <c r="M260" s="2768"/>
      <c r="N260" s="2760" t="str">
        <f>IFERROR(Dataark_til_bilag2_2018[[#This Row],[Antal dyr]]*Dataark_til_bilag2_2018[[#This Row],[Gødning (g) pr. dyr (ton)]]," ")</f>
        <v xml:space="preserve"> </v>
      </c>
      <c r="O260" s="2767">
        <v>10.24</v>
      </c>
      <c r="P260" s="2759" t="s">
        <v>270</v>
      </c>
      <c r="Q260" s="2767">
        <v>0.28699999999999998</v>
      </c>
      <c r="R260" s="2769">
        <v>18</v>
      </c>
      <c r="S260" s="2769">
        <v>181</v>
      </c>
      <c r="T260" s="2769">
        <f t="shared" si="12"/>
        <v>2792.6916544876713</v>
      </c>
      <c r="U260" s="2769">
        <f>(O260*1000)/365*Q260*0.8*R260</f>
        <v>115.94485479452055</v>
      </c>
      <c r="V260" s="2769">
        <v>17</v>
      </c>
      <c r="W260" s="2769">
        <v>0.24</v>
      </c>
      <c r="X260" s="2769">
        <v>79.510487617738008</v>
      </c>
      <c r="Y260" s="2762" t="str">
        <f t="shared" si="14"/>
        <v>-</v>
      </c>
    </row>
    <row r="261" spans="1:25" x14ac:dyDescent="0.25">
      <c r="A261" s="2764" t="s">
        <v>1980</v>
      </c>
      <c r="B261" s="2765"/>
      <c r="C261" s="2766" t="s">
        <v>2010</v>
      </c>
      <c r="D261" s="2766" t="s">
        <v>341</v>
      </c>
      <c r="E261" s="2766" t="s">
        <v>1984</v>
      </c>
      <c r="F261" s="2766" t="s">
        <v>350</v>
      </c>
      <c r="G261" s="2766"/>
      <c r="H261" s="2766">
        <f>Dataark_til_bilag2_2018[[#This Row],[Stald_kode]]+Dataark_til_bilag2_2018[[#This Row],[Dyr_Kode]]</f>
        <v>0</v>
      </c>
      <c r="I261" s="4347" t="s">
        <v>270</v>
      </c>
      <c r="J261" s="2766"/>
      <c r="K261" s="2766" t="s">
        <v>350</v>
      </c>
      <c r="L261" s="2768"/>
      <c r="M261" s="2768"/>
      <c r="N261" s="2760" t="str">
        <f>IFERROR(Dataark_til_bilag2_2018[[#This Row],[Antal dyr]]*Dataark_til_bilag2_2018[[#This Row],[Gødning (g) pr. dyr (ton)]]," ")</f>
        <v xml:space="preserve"> </v>
      </c>
      <c r="O261" s="2767">
        <v>10.24</v>
      </c>
      <c r="P261" s="2759" t="s">
        <v>270</v>
      </c>
      <c r="Q261" s="2767">
        <v>0.28699999999999998</v>
      </c>
      <c r="R261" s="2769">
        <v>18</v>
      </c>
      <c r="S261" s="2769">
        <v>181</v>
      </c>
      <c r="T261" s="2769">
        <f t="shared" si="12"/>
        <v>2792.6916544876713</v>
      </c>
      <c r="U261" s="2769">
        <f>(O261*1000)/365*Q261*0.8*R261</f>
        <v>115.94485479452055</v>
      </c>
      <c r="V261" s="2769">
        <v>17</v>
      </c>
      <c r="W261" s="2769">
        <v>0.24</v>
      </c>
      <c r="X261" s="2769">
        <v>79.510487617738008</v>
      </c>
      <c r="Y261" s="2762" t="str">
        <f t="shared" si="14"/>
        <v>-</v>
      </c>
    </row>
    <row r="262" spans="1:25" x14ac:dyDescent="0.25">
      <c r="A262" s="2764" t="s">
        <v>1980</v>
      </c>
      <c r="B262" s="2765"/>
      <c r="C262" s="2766" t="s">
        <v>2017</v>
      </c>
      <c r="D262" s="2766" t="s">
        <v>341</v>
      </c>
      <c r="E262" s="2766" t="s">
        <v>1989</v>
      </c>
      <c r="F262" s="2766" t="s">
        <v>639</v>
      </c>
      <c r="G262" s="2766"/>
      <c r="H262" s="2766">
        <f>Dataark_til_bilag2_2018[[#This Row],[Stald_kode]]+Dataark_til_bilag2_2018[[#This Row],[Dyr_Kode]]</f>
        <v>0</v>
      </c>
      <c r="I262" s="4347" t="s">
        <v>270</v>
      </c>
      <c r="J262" s="2766" t="s">
        <v>1943</v>
      </c>
      <c r="K262" s="2766"/>
      <c r="L262" s="2767">
        <v>15.85</v>
      </c>
      <c r="M262" s="2767">
        <v>3.4000000000000002E-2</v>
      </c>
      <c r="N262" s="2760" t="str">
        <f>IFERROR(Dataark_til_bilag2_2018[[#This Row],[Antal dyr]]*Dataark_til_bilag2_2018[[#This Row],[Gødning (g) pr. dyr (ton)]]," ")</f>
        <v xml:space="preserve"> </v>
      </c>
      <c r="O262" s="2767"/>
      <c r="P262" s="2759" t="s">
        <v>270</v>
      </c>
      <c r="Q262" s="2767"/>
      <c r="R262" s="2769">
        <v>18</v>
      </c>
      <c r="S262" s="2769">
        <v>181</v>
      </c>
      <c r="T262" s="2769">
        <f t="shared" si="12"/>
        <v>409.85928767123289</v>
      </c>
      <c r="U262" s="2769">
        <f>(L262*1000)/365*M262*0.8*R262</f>
        <v>21.260712328767127</v>
      </c>
      <c r="V262" s="2769">
        <v>12.5</v>
      </c>
      <c r="W262" s="2769">
        <v>0.24</v>
      </c>
      <c r="X262" s="2769">
        <v>8.6655120000000014</v>
      </c>
      <c r="Y262" s="2762" t="str">
        <f t="shared" si="14"/>
        <v>-</v>
      </c>
    </row>
    <row r="263" spans="1:25" x14ac:dyDescent="0.25">
      <c r="A263" s="2764" t="s">
        <v>1980</v>
      </c>
      <c r="B263" s="2765"/>
      <c r="C263" s="2766" t="s">
        <v>2017</v>
      </c>
      <c r="D263" s="2766" t="s">
        <v>341</v>
      </c>
      <c r="E263" s="2766" t="s">
        <v>1985</v>
      </c>
      <c r="F263" s="2766" t="s">
        <v>350</v>
      </c>
      <c r="G263" s="2766"/>
      <c r="H263" s="2766">
        <f>Dataark_til_bilag2_2018[[#This Row],[Stald_kode]]+Dataark_til_bilag2_2018[[#This Row],[Dyr_Kode]]</f>
        <v>0</v>
      </c>
      <c r="I263" s="4347" t="s">
        <v>270</v>
      </c>
      <c r="J263" s="2766"/>
      <c r="K263" s="2766" t="s">
        <v>350</v>
      </c>
      <c r="L263" s="2768"/>
      <c r="M263" s="2768"/>
      <c r="N263" s="2760" t="str">
        <f>IFERROR(Dataark_til_bilag2_2018[[#This Row],[Antal dyr]]*Dataark_til_bilag2_2018[[#This Row],[Gødning (g) pr. dyr (ton)]]," ")</f>
        <v xml:space="preserve"> </v>
      </c>
      <c r="O263" s="2767">
        <v>12.72</v>
      </c>
      <c r="P263" s="2759" t="s">
        <v>270</v>
      </c>
      <c r="Q263" s="2767">
        <v>0.28699999999999998</v>
      </c>
      <c r="R263" s="2769">
        <v>18</v>
      </c>
      <c r="S263" s="2769">
        <v>181</v>
      </c>
      <c r="T263" s="2769">
        <f t="shared" ref="T263:T296" si="15">(L263*1000)/365*M263*(365-R263)*0.8+(O263*1000)/365*Q263*(365-R263)*(1-0.045/100)</f>
        <v>3469.0466645589036</v>
      </c>
      <c r="U263" s="2769">
        <f>(O263*1000)/365*Q263*0.8*R263</f>
        <v>144.02524931506849</v>
      </c>
      <c r="V263" s="2769">
        <v>17</v>
      </c>
      <c r="W263" s="2769">
        <v>0.24</v>
      </c>
      <c r="X263" s="2769">
        <v>98.766933837658897</v>
      </c>
      <c r="Y263" s="2762" t="str">
        <f t="shared" si="14"/>
        <v>-</v>
      </c>
    </row>
    <row r="264" spans="1:25" x14ac:dyDescent="0.25">
      <c r="A264" s="2764" t="s">
        <v>1980</v>
      </c>
      <c r="B264" s="2765"/>
      <c r="C264" s="2766" t="s">
        <v>2017</v>
      </c>
      <c r="D264" s="2766" t="s">
        <v>341</v>
      </c>
      <c r="E264" s="2766" t="s">
        <v>1983</v>
      </c>
      <c r="F264" s="2766" t="s">
        <v>350</v>
      </c>
      <c r="G264" s="2766"/>
      <c r="H264" s="2766">
        <f>Dataark_til_bilag2_2018[[#This Row],[Stald_kode]]+Dataark_til_bilag2_2018[[#This Row],[Dyr_Kode]]</f>
        <v>0</v>
      </c>
      <c r="I264" s="4347" t="s">
        <v>270</v>
      </c>
      <c r="J264" s="2766"/>
      <c r="K264" s="2766" t="s">
        <v>350</v>
      </c>
      <c r="L264" s="2768"/>
      <c r="M264" s="2768"/>
      <c r="N264" s="2760" t="str">
        <f>IFERROR(Dataark_til_bilag2_2018[[#This Row],[Antal dyr]]*Dataark_til_bilag2_2018[[#This Row],[Gødning (g) pr. dyr (ton)]]," ")</f>
        <v xml:space="preserve"> </v>
      </c>
      <c r="O264" s="2767">
        <v>12.72</v>
      </c>
      <c r="P264" s="2759" t="s">
        <v>270</v>
      </c>
      <c r="Q264" s="2767">
        <v>0.28699999999999998</v>
      </c>
      <c r="R264" s="2769">
        <v>18</v>
      </c>
      <c r="S264" s="2769">
        <v>181</v>
      </c>
      <c r="T264" s="2769">
        <f t="shared" si="15"/>
        <v>3469.0466645589036</v>
      </c>
      <c r="U264" s="2769">
        <f>(O264*1000)/365*Q264*0.8*R264</f>
        <v>144.02524931506849</v>
      </c>
      <c r="V264" s="2769">
        <v>17</v>
      </c>
      <c r="W264" s="2769">
        <v>0.24</v>
      </c>
      <c r="X264" s="2769">
        <v>98.766933837658897</v>
      </c>
      <c r="Y264" s="2762" t="str">
        <f t="shared" si="14"/>
        <v>-</v>
      </c>
    </row>
    <row r="265" spans="1:25" x14ac:dyDescent="0.25">
      <c r="A265" s="2764" t="s">
        <v>1980</v>
      </c>
      <c r="B265" s="2765"/>
      <c r="C265" s="2766" t="s">
        <v>2017</v>
      </c>
      <c r="D265" s="2766" t="s">
        <v>341</v>
      </c>
      <c r="E265" s="2766" t="s">
        <v>1984</v>
      </c>
      <c r="F265" s="2766" t="s">
        <v>350</v>
      </c>
      <c r="G265" s="2766"/>
      <c r="H265" s="2766">
        <f>Dataark_til_bilag2_2018[[#This Row],[Stald_kode]]+Dataark_til_bilag2_2018[[#This Row],[Dyr_Kode]]</f>
        <v>0</v>
      </c>
      <c r="I265" s="4347" t="s">
        <v>270</v>
      </c>
      <c r="J265" s="2766"/>
      <c r="K265" s="2766" t="s">
        <v>350</v>
      </c>
      <c r="L265" s="2768"/>
      <c r="M265" s="2768"/>
      <c r="N265" s="2760" t="str">
        <f>IFERROR(Dataark_til_bilag2_2018[[#This Row],[Antal dyr]]*Dataark_til_bilag2_2018[[#This Row],[Gødning (g) pr. dyr (ton)]]," ")</f>
        <v xml:space="preserve"> </v>
      </c>
      <c r="O265" s="2767">
        <v>12.72</v>
      </c>
      <c r="P265" s="2759" t="s">
        <v>270</v>
      </c>
      <c r="Q265" s="2767">
        <v>0.28699999999999998</v>
      </c>
      <c r="R265" s="2769">
        <v>18</v>
      </c>
      <c r="S265" s="2769">
        <v>181</v>
      </c>
      <c r="T265" s="2769">
        <f t="shared" si="15"/>
        <v>3469.0466645589036</v>
      </c>
      <c r="U265" s="2769">
        <f>(O265*1000)/365*Q265*0.8*R265</f>
        <v>144.02524931506849</v>
      </c>
      <c r="V265" s="2769">
        <v>17</v>
      </c>
      <c r="W265" s="2769">
        <v>0.24</v>
      </c>
      <c r="X265" s="2769">
        <v>98.766933837658897</v>
      </c>
      <c r="Y265" s="2762" t="str">
        <f t="shared" si="14"/>
        <v>-</v>
      </c>
    </row>
    <row r="266" spans="1:25" x14ac:dyDescent="0.25">
      <c r="A266" s="2764" t="s">
        <v>1980</v>
      </c>
      <c r="B266" s="2765"/>
      <c r="C266" s="2766" t="s">
        <v>2791</v>
      </c>
      <c r="D266" s="2766" t="s">
        <v>336</v>
      </c>
      <c r="E266" s="2766" t="s">
        <v>1989</v>
      </c>
      <c r="F266" s="2766" t="s">
        <v>639</v>
      </c>
      <c r="G266" s="2766"/>
      <c r="H266" s="2766">
        <f>Dataark_til_bilag2_2018[[#This Row],[Stald_kode]]+Dataark_til_bilag2_2018[[#This Row],[Dyr_Kode]]</f>
        <v>0</v>
      </c>
      <c r="I266" s="4347" t="s">
        <v>270</v>
      </c>
      <c r="J266" s="2766" t="s">
        <v>1943</v>
      </c>
      <c r="K266" s="2766"/>
      <c r="L266" s="2767">
        <v>2.56</v>
      </c>
      <c r="M266" s="2767">
        <v>3.1E-2</v>
      </c>
      <c r="N266" s="2760" t="str">
        <f>IFERROR(Dataark_til_bilag2_2018[[#This Row],[Antal dyr]]*Dataark_til_bilag2_2018[[#This Row],[Gødning (g) pr. dyr (ton)]]," ")</f>
        <v xml:space="preserve"> </v>
      </c>
      <c r="O266" s="2767"/>
      <c r="P266" s="2759" t="s">
        <v>270</v>
      </c>
      <c r="Q266" s="2767"/>
      <c r="R266" s="2769">
        <v>132</v>
      </c>
      <c r="S266" s="2769">
        <v>181</v>
      </c>
      <c r="T266" s="2769">
        <f t="shared" si="15"/>
        <v>40.527956164383561</v>
      </c>
      <c r="U266" s="2769">
        <f>(L266*1000)/365*M266*0.8*R266</f>
        <v>22.960043835616439</v>
      </c>
      <c r="V266" s="2769">
        <v>12.5</v>
      </c>
      <c r="W266" s="2769">
        <v>0.18</v>
      </c>
      <c r="X266" s="2769">
        <v>0.95708159999999998</v>
      </c>
      <c r="Y266" s="2762" t="str">
        <f t="shared" si="14"/>
        <v>-</v>
      </c>
    </row>
    <row r="267" spans="1:25" x14ac:dyDescent="0.25">
      <c r="A267" s="2764" t="s">
        <v>1980</v>
      </c>
      <c r="B267" s="2765"/>
      <c r="C267" s="2766" t="s">
        <v>2791</v>
      </c>
      <c r="D267" s="2766" t="s">
        <v>336</v>
      </c>
      <c r="E267" s="2766" t="s">
        <v>1985</v>
      </c>
      <c r="F267" s="2766" t="s">
        <v>350</v>
      </c>
      <c r="G267" s="2766"/>
      <c r="H267" s="2766">
        <f>Dataark_til_bilag2_2018[[#This Row],[Stald_kode]]+Dataark_til_bilag2_2018[[#This Row],[Dyr_Kode]]</f>
        <v>0</v>
      </c>
      <c r="I267" s="4347" t="s">
        <v>270</v>
      </c>
      <c r="J267" s="2766"/>
      <c r="K267" s="2766" t="s">
        <v>350</v>
      </c>
      <c r="L267" s="2768"/>
      <c r="M267" s="2768"/>
      <c r="N267" s="2760" t="str">
        <f>IFERROR(Dataark_til_bilag2_2018[[#This Row],[Antal dyr]]*Dataark_til_bilag2_2018[[#This Row],[Gødning (g) pr. dyr (ton)]]," ")</f>
        <v xml:space="preserve"> </v>
      </c>
      <c r="O267" s="2767">
        <v>3.31</v>
      </c>
      <c r="P267" s="2759" t="s">
        <v>270</v>
      </c>
      <c r="Q267" s="2767">
        <v>0.3</v>
      </c>
      <c r="R267" s="2769">
        <v>132</v>
      </c>
      <c r="S267" s="2769">
        <v>181</v>
      </c>
      <c r="T267" s="2769">
        <f t="shared" si="15"/>
        <v>633.60242178082194</v>
      </c>
      <c r="U267" s="2769">
        <f>(O267*1000)/365*Q267*0.8*R267</f>
        <v>287.28986301369866</v>
      </c>
      <c r="V267" s="2769">
        <v>17</v>
      </c>
      <c r="W267" s="2769">
        <v>0.18</v>
      </c>
      <c r="X267" s="2769">
        <v>18.880133622857265</v>
      </c>
      <c r="Y267" s="2762" t="str">
        <f t="shared" si="14"/>
        <v>-</v>
      </c>
    </row>
    <row r="268" spans="1:25" x14ac:dyDescent="0.25">
      <c r="A268" s="2764" t="s">
        <v>1980</v>
      </c>
      <c r="B268" s="2765"/>
      <c r="C268" s="2766" t="s">
        <v>2791</v>
      </c>
      <c r="D268" s="2766" t="s">
        <v>336</v>
      </c>
      <c r="E268" s="2766" t="s">
        <v>1983</v>
      </c>
      <c r="F268" s="2766" t="s">
        <v>350</v>
      </c>
      <c r="G268" s="2766"/>
      <c r="H268" s="2766">
        <f>Dataark_til_bilag2_2018[[#This Row],[Stald_kode]]+Dataark_til_bilag2_2018[[#This Row],[Dyr_Kode]]</f>
        <v>0</v>
      </c>
      <c r="I268" s="4347" t="s">
        <v>270</v>
      </c>
      <c r="J268" s="2766"/>
      <c r="K268" s="2766" t="s">
        <v>350</v>
      </c>
      <c r="L268" s="2768"/>
      <c r="M268" s="2768"/>
      <c r="N268" s="2760" t="str">
        <f>IFERROR(Dataark_til_bilag2_2018[[#This Row],[Antal dyr]]*Dataark_til_bilag2_2018[[#This Row],[Gødning (g) pr. dyr (ton)]]," ")</f>
        <v xml:space="preserve"> </v>
      </c>
      <c r="O268" s="2767">
        <v>3.31</v>
      </c>
      <c r="P268" s="2759" t="s">
        <v>270</v>
      </c>
      <c r="Q268" s="2767">
        <v>0.3</v>
      </c>
      <c r="R268" s="2769">
        <v>132</v>
      </c>
      <c r="S268" s="2769">
        <v>181</v>
      </c>
      <c r="T268" s="2769">
        <f t="shared" si="15"/>
        <v>633.60242178082194</v>
      </c>
      <c r="U268" s="2769">
        <f>(O268*1000)/365*Q268*0.8*R268</f>
        <v>287.28986301369866</v>
      </c>
      <c r="V268" s="2769">
        <v>17</v>
      </c>
      <c r="W268" s="2769">
        <v>0.18</v>
      </c>
      <c r="X268" s="2769">
        <v>18.880133622857265</v>
      </c>
      <c r="Y268" s="2762" t="str">
        <f t="shared" si="14"/>
        <v>-</v>
      </c>
    </row>
    <row r="269" spans="1:25" x14ac:dyDescent="0.25">
      <c r="A269" s="2764" t="s">
        <v>1980</v>
      </c>
      <c r="B269" s="2765"/>
      <c r="C269" s="2766" t="s">
        <v>2791</v>
      </c>
      <c r="D269" s="2766" t="s">
        <v>336</v>
      </c>
      <c r="E269" s="2766" t="s">
        <v>1984</v>
      </c>
      <c r="F269" s="2766" t="s">
        <v>350</v>
      </c>
      <c r="G269" s="2766"/>
      <c r="H269" s="2766">
        <f>Dataark_til_bilag2_2018[[#This Row],[Stald_kode]]+Dataark_til_bilag2_2018[[#This Row],[Dyr_Kode]]</f>
        <v>0</v>
      </c>
      <c r="I269" s="4347" t="s">
        <v>270</v>
      </c>
      <c r="J269" s="2766"/>
      <c r="K269" s="2766" t="s">
        <v>350</v>
      </c>
      <c r="L269" s="2768"/>
      <c r="M269" s="2768"/>
      <c r="N269" s="2760" t="str">
        <f>IFERROR(Dataark_til_bilag2_2018[[#This Row],[Antal dyr]]*Dataark_til_bilag2_2018[[#This Row],[Gødning (g) pr. dyr (ton)]]," ")</f>
        <v xml:space="preserve"> </v>
      </c>
      <c r="O269" s="2767">
        <v>3.31</v>
      </c>
      <c r="P269" s="2759" t="s">
        <v>270</v>
      </c>
      <c r="Q269" s="2767">
        <v>0.3</v>
      </c>
      <c r="R269" s="2769">
        <v>132</v>
      </c>
      <c r="S269" s="2769">
        <v>181</v>
      </c>
      <c r="T269" s="2769">
        <f t="shared" si="15"/>
        <v>633.60242178082194</v>
      </c>
      <c r="U269" s="2769">
        <f>(O269*1000)/365*Q269*0.8*R269</f>
        <v>287.28986301369866</v>
      </c>
      <c r="V269" s="2769">
        <v>17</v>
      </c>
      <c r="W269" s="2769">
        <v>0.18</v>
      </c>
      <c r="X269" s="2769">
        <v>18.880133622857265</v>
      </c>
      <c r="Y269" s="2762" t="str">
        <f t="shared" si="14"/>
        <v>-</v>
      </c>
    </row>
    <row r="270" spans="1:25" x14ac:dyDescent="0.25">
      <c r="A270" s="2764" t="s">
        <v>1980</v>
      </c>
      <c r="B270" s="2765"/>
      <c r="C270" s="2766" t="s">
        <v>2761</v>
      </c>
      <c r="D270" s="2766" t="s">
        <v>336</v>
      </c>
      <c r="E270" s="2766" t="s">
        <v>1989</v>
      </c>
      <c r="F270" s="2766" t="s">
        <v>639</v>
      </c>
      <c r="G270" s="2766"/>
      <c r="H270" s="2766">
        <f>Dataark_til_bilag2_2018[[#This Row],[Stald_kode]]+Dataark_til_bilag2_2018[[#This Row],[Dyr_Kode]]</f>
        <v>0</v>
      </c>
      <c r="I270" s="4347" t="s">
        <v>270</v>
      </c>
      <c r="J270" s="2766" t="s">
        <v>1943</v>
      </c>
      <c r="K270" s="2766"/>
      <c r="L270" s="2767">
        <v>3.17</v>
      </c>
      <c r="M270" s="2767">
        <v>3.4000000000000002E-2</v>
      </c>
      <c r="N270" s="2760" t="str">
        <f>IFERROR(Dataark_til_bilag2_2018[[#This Row],[Antal dyr]]*Dataark_til_bilag2_2018[[#This Row],[Gødning (g) pr. dyr (ton)]]," ")</f>
        <v xml:space="preserve"> </v>
      </c>
      <c r="O270" s="2767"/>
      <c r="P270" s="2759" t="s">
        <v>270</v>
      </c>
      <c r="Q270" s="2767"/>
      <c r="R270" s="2769">
        <v>132</v>
      </c>
      <c r="S270" s="2769">
        <v>181</v>
      </c>
      <c r="T270" s="2769">
        <f t="shared" si="15"/>
        <v>55.041621917808222</v>
      </c>
      <c r="U270" s="2769">
        <f>(L270*1000)/365*M270*0.8*R270</f>
        <v>31.182378082191786</v>
      </c>
      <c r="V270" s="2769">
        <v>12.5</v>
      </c>
      <c r="W270" s="2769">
        <v>0.18</v>
      </c>
      <c r="X270" s="2769">
        <v>1.2998267999999999</v>
      </c>
      <c r="Y270" s="2762" t="str">
        <f t="shared" si="14"/>
        <v>-</v>
      </c>
    </row>
    <row r="271" spans="1:25" x14ac:dyDescent="0.25">
      <c r="A271" s="2764" t="s">
        <v>1980</v>
      </c>
      <c r="B271" s="2765"/>
      <c r="C271" s="2766" t="s">
        <v>2761</v>
      </c>
      <c r="D271" s="2766" t="s">
        <v>336</v>
      </c>
      <c r="E271" s="2766" t="s">
        <v>1985</v>
      </c>
      <c r="F271" s="2766" t="s">
        <v>350</v>
      </c>
      <c r="G271" s="2766"/>
      <c r="H271" s="2766">
        <f>Dataark_til_bilag2_2018[[#This Row],[Stald_kode]]+Dataark_til_bilag2_2018[[#This Row],[Dyr_Kode]]</f>
        <v>0</v>
      </c>
      <c r="I271" s="4347" t="s">
        <v>270</v>
      </c>
      <c r="J271" s="2766"/>
      <c r="K271" s="2766" t="s">
        <v>350</v>
      </c>
      <c r="L271" s="2768"/>
      <c r="M271" s="2768"/>
      <c r="N271" s="2760" t="str">
        <f>IFERROR(Dataark_til_bilag2_2018[[#This Row],[Antal dyr]]*Dataark_til_bilag2_2018[[#This Row],[Gødning (g) pr. dyr (ton)]]," ")</f>
        <v xml:space="preserve"> </v>
      </c>
      <c r="O271" s="2767">
        <v>4.2</v>
      </c>
      <c r="P271" s="2759" t="s">
        <v>270</v>
      </c>
      <c r="Q271" s="2767">
        <v>0.3</v>
      </c>
      <c r="R271" s="2769">
        <v>132</v>
      </c>
      <c r="S271" s="2769">
        <v>181</v>
      </c>
      <c r="T271" s="2769">
        <f t="shared" si="15"/>
        <v>803.96681917808223</v>
      </c>
      <c r="U271" s="2769">
        <f t="shared" ref="U271:U276" si="16">(O271*1000)/365*Q271*0.8*R271</f>
        <v>364.53698630136989</v>
      </c>
      <c r="V271" s="2769">
        <v>17</v>
      </c>
      <c r="W271" s="2769">
        <v>0.18</v>
      </c>
      <c r="X271" s="2769">
        <v>23.956665019939731</v>
      </c>
      <c r="Y271" s="2762" t="str">
        <f t="shared" si="14"/>
        <v>-</v>
      </c>
    </row>
    <row r="272" spans="1:25" x14ac:dyDescent="0.25">
      <c r="A272" s="2764" t="s">
        <v>1980</v>
      </c>
      <c r="B272" s="2765"/>
      <c r="C272" s="2766" t="s">
        <v>2761</v>
      </c>
      <c r="D272" s="2766" t="s">
        <v>336</v>
      </c>
      <c r="E272" s="2766" t="s">
        <v>1983</v>
      </c>
      <c r="F272" s="2766" t="s">
        <v>350</v>
      </c>
      <c r="G272" s="2766"/>
      <c r="H272" s="2766">
        <f>Dataark_til_bilag2_2018[[#This Row],[Stald_kode]]+Dataark_til_bilag2_2018[[#This Row],[Dyr_Kode]]</f>
        <v>0</v>
      </c>
      <c r="I272" s="4347" t="s">
        <v>270</v>
      </c>
      <c r="J272" s="2766"/>
      <c r="K272" s="2766" t="s">
        <v>350</v>
      </c>
      <c r="L272" s="2768"/>
      <c r="M272" s="2768"/>
      <c r="N272" s="2760" t="str">
        <f>IFERROR(Dataark_til_bilag2_2018[[#This Row],[Antal dyr]]*Dataark_til_bilag2_2018[[#This Row],[Gødning (g) pr. dyr (ton)]]," ")</f>
        <v xml:space="preserve"> </v>
      </c>
      <c r="O272" s="2767">
        <v>4.2</v>
      </c>
      <c r="P272" s="2759" t="s">
        <v>270</v>
      </c>
      <c r="Q272" s="2767">
        <v>0.3</v>
      </c>
      <c r="R272" s="2769">
        <v>132</v>
      </c>
      <c r="S272" s="2769">
        <v>181</v>
      </c>
      <c r="T272" s="2769">
        <f t="shared" si="15"/>
        <v>803.96681917808223</v>
      </c>
      <c r="U272" s="2769">
        <f t="shared" si="16"/>
        <v>364.53698630136989</v>
      </c>
      <c r="V272" s="2769">
        <v>17</v>
      </c>
      <c r="W272" s="2769">
        <v>0.18</v>
      </c>
      <c r="X272" s="2769">
        <v>23.956665019939731</v>
      </c>
      <c r="Y272" s="2762" t="str">
        <f t="shared" ref="Y272:Y296" si="17">IFERROR(IFERROR((X272*I272)/1000,(X272*I271)/1000),"-")</f>
        <v>-</v>
      </c>
    </row>
    <row r="273" spans="1:25" x14ac:dyDescent="0.25">
      <c r="A273" s="2764" t="s">
        <v>1980</v>
      </c>
      <c r="B273" s="2765"/>
      <c r="C273" s="2766" t="s">
        <v>2761</v>
      </c>
      <c r="D273" s="2766" t="s">
        <v>336</v>
      </c>
      <c r="E273" s="2766" t="s">
        <v>1984</v>
      </c>
      <c r="F273" s="2766" t="s">
        <v>350</v>
      </c>
      <c r="G273" s="2766"/>
      <c r="H273" s="2766">
        <f>Dataark_til_bilag2_2018[[#This Row],[Stald_kode]]+Dataark_til_bilag2_2018[[#This Row],[Dyr_Kode]]</f>
        <v>0</v>
      </c>
      <c r="I273" s="4347" t="s">
        <v>270</v>
      </c>
      <c r="J273" s="2766"/>
      <c r="K273" s="2766" t="s">
        <v>350</v>
      </c>
      <c r="L273" s="2768"/>
      <c r="M273" s="2768"/>
      <c r="N273" s="2760" t="str">
        <f>IFERROR(Dataark_til_bilag2_2018[[#This Row],[Antal dyr]]*Dataark_til_bilag2_2018[[#This Row],[Gødning (g) pr. dyr (ton)]]," ")</f>
        <v xml:space="preserve"> </v>
      </c>
      <c r="O273" s="2767">
        <v>4.2</v>
      </c>
      <c r="P273" s="2759" t="s">
        <v>270</v>
      </c>
      <c r="Q273" s="2767">
        <v>0.3</v>
      </c>
      <c r="R273" s="2769">
        <v>132</v>
      </c>
      <c r="S273" s="2769">
        <v>181</v>
      </c>
      <c r="T273" s="2769">
        <f t="shared" si="15"/>
        <v>803.96681917808223</v>
      </c>
      <c r="U273" s="2769">
        <f t="shared" si="16"/>
        <v>364.53698630136989</v>
      </c>
      <c r="V273" s="2769">
        <v>17</v>
      </c>
      <c r="W273" s="2769">
        <v>0.18</v>
      </c>
      <c r="X273" s="2769">
        <v>23.956665019939731</v>
      </c>
      <c r="Y273" s="2762" t="str">
        <f t="shared" si="17"/>
        <v>-</v>
      </c>
    </row>
    <row r="274" spans="1:25" x14ac:dyDescent="0.25">
      <c r="A274" s="2764" t="s">
        <v>907</v>
      </c>
      <c r="B274" s="2765"/>
      <c r="C274" s="2766" t="s">
        <v>2757</v>
      </c>
      <c r="D274" s="2766" t="s">
        <v>342</v>
      </c>
      <c r="E274" s="2766" t="s">
        <v>1963</v>
      </c>
      <c r="F274" s="2766" t="s">
        <v>353</v>
      </c>
      <c r="G274" s="2766"/>
      <c r="H274" s="2766">
        <f>Dataark_til_bilag2_2018[[#This Row],[Stald_kode]]+Dataark_til_bilag2_2018[[#This Row],[Dyr_Kode]]</f>
        <v>0</v>
      </c>
      <c r="I274" s="4347" t="s">
        <v>270</v>
      </c>
      <c r="J274" s="2766" t="s">
        <v>1943</v>
      </c>
      <c r="K274" s="2766"/>
      <c r="L274" s="2768">
        <v>1.74</v>
      </c>
      <c r="M274" s="2768">
        <v>0.03</v>
      </c>
      <c r="N274" s="2760" t="str">
        <f>IFERROR(Dataark_til_bilag2_2018[[#This Row],[Antal dyr]]*Dataark_til_bilag2_2018[[#This Row],[Gødning (g) pr. dyr (ton)]]," ")</f>
        <v xml:space="preserve"> </v>
      </c>
      <c r="O274" s="2767"/>
      <c r="P274" s="2759" t="s">
        <v>270</v>
      </c>
      <c r="Q274" s="2767"/>
      <c r="R274" s="2769">
        <v>0</v>
      </c>
      <c r="S274" s="2769">
        <v>181</v>
      </c>
      <c r="T274" s="2769">
        <f t="shared" si="15"/>
        <v>41.760000000000005</v>
      </c>
      <c r="U274" s="2769">
        <f t="shared" si="16"/>
        <v>0</v>
      </c>
      <c r="V274" s="2769">
        <v>13.7</v>
      </c>
      <c r="W274" s="2769">
        <v>0.45</v>
      </c>
      <c r="X274" s="2769">
        <v>1.7249176800000006</v>
      </c>
      <c r="Y274" s="2762" t="str">
        <f t="shared" si="17"/>
        <v>-</v>
      </c>
    </row>
    <row r="275" spans="1:25" x14ac:dyDescent="0.25">
      <c r="A275" s="2764" t="s">
        <v>907</v>
      </c>
      <c r="B275" s="2765"/>
      <c r="C275" s="2766" t="s">
        <v>2756</v>
      </c>
      <c r="D275" s="2766" t="s">
        <v>342</v>
      </c>
      <c r="E275" s="2766" t="s">
        <v>1967</v>
      </c>
      <c r="F275" s="2766" t="s">
        <v>350</v>
      </c>
      <c r="G275" s="2766"/>
      <c r="H275" s="2766">
        <f>Dataark_til_bilag2_2018[[#This Row],[Stald_kode]]+Dataark_til_bilag2_2018[[#This Row],[Dyr_Kode]]</f>
        <v>0</v>
      </c>
      <c r="I275" s="4347" t="s">
        <v>270</v>
      </c>
      <c r="J275" s="2766"/>
      <c r="K275" s="2766" t="s">
        <v>350</v>
      </c>
      <c r="L275" s="2768"/>
      <c r="M275" s="2768"/>
      <c r="N275" s="2760" t="str">
        <f>IFERROR(Dataark_til_bilag2_2018[[#This Row],[Antal dyr]]*Dataark_til_bilag2_2018[[#This Row],[Gødning (g) pr. dyr (ton)]]," ")</f>
        <v xml:space="preserve"> </v>
      </c>
      <c r="O275" s="2767">
        <v>0.67</v>
      </c>
      <c r="P275" s="2759" t="s">
        <v>270</v>
      </c>
      <c r="Q275" s="2767">
        <v>0.33</v>
      </c>
      <c r="R275" s="2769">
        <v>0</v>
      </c>
      <c r="S275" s="2769">
        <v>181</v>
      </c>
      <c r="T275" s="2769">
        <f t="shared" si="15"/>
        <v>221.000505</v>
      </c>
      <c r="U275" s="2769">
        <f t="shared" si="16"/>
        <v>0</v>
      </c>
      <c r="V275" s="2769">
        <v>14.7</v>
      </c>
      <c r="W275" s="2769">
        <v>0.45</v>
      </c>
      <c r="X275" s="2769">
        <v>9.7948528818525027</v>
      </c>
      <c r="Y275" s="2762" t="str">
        <f t="shared" si="17"/>
        <v>-</v>
      </c>
    </row>
    <row r="276" spans="1:25" x14ac:dyDescent="0.25">
      <c r="A276" s="2764" t="s">
        <v>907</v>
      </c>
      <c r="B276" s="2765"/>
      <c r="C276" s="2766" t="s">
        <v>2756</v>
      </c>
      <c r="D276" s="2766" t="s">
        <v>342</v>
      </c>
      <c r="E276" s="2766" t="s">
        <v>1968</v>
      </c>
      <c r="F276" s="2766" t="s">
        <v>350</v>
      </c>
      <c r="G276" s="2766"/>
      <c r="H276" s="2766">
        <f>Dataark_til_bilag2_2018[[#This Row],[Stald_kode]]+Dataark_til_bilag2_2018[[#This Row],[Dyr_Kode]]</f>
        <v>0</v>
      </c>
      <c r="I276" s="4347" t="s">
        <v>270</v>
      </c>
      <c r="J276" s="2766"/>
      <c r="K276" s="2766" t="s">
        <v>350</v>
      </c>
      <c r="L276" s="2768"/>
      <c r="M276" s="2768"/>
      <c r="N276" s="2760" t="str">
        <f>IFERROR(Dataark_til_bilag2_2018[[#This Row],[Antal dyr]]*Dataark_til_bilag2_2018[[#This Row],[Gødning (g) pr. dyr (ton)]]," ")</f>
        <v xml:space="preserve"> </v>
      </c>
      <c r="O276" s="2767">
        <v>0.67</v>
      </c>
      <c r="P276" s="2759" t="s">
        <v>270</v>
      </c>
      <c r="Q276" s="2767">
        <v>0.33</v>
      </c>
      <c r="R276" s="2769">
        <v>0</v>
      </c>
      <c r="S276" s="2769">
        <v>181</v>
      </c>
      <c r="T276" s="2769">
        <f t="shared" si="15"/>
        <v>221.000505</v>
      </c>
      <c r="U276" s="2769">
        <f t="shared" si="16"/>
        <v>0</v>
      </c>
      <c r="V276" s="2769">
        <v>14.7</v>
      </c>
      <c r="W276" s="2769">
        <v>0.45</v>
      </c>
      <c r="X276" s="2769">
        <v>9.7948528818525027</v>
      </c>
      <c r="Y276" s="2762" t="str">
        <f t="shared" si="17"/>
        <v>-</v>
      </c>
    </row>
    <row r="277" spans="1:25" x14ac:dyDescent="0.25">
      <c r="A277" s="2764" t="s">
        <v>907</v>
      </c>
      <c r="B277" s="2765"/>
      <c r="C277" s="2766" t="s">
        <v>1954</v>
      </c>
      <c r="D277" s="2766" t="s">
        <v>342</v>
      </c>
      <c r="E277" s="2766" t="s">
        <v>1956</v>
      </c>
      <c r="F277" s="2766" t="s">
        <v>353</v>
      </c>
      <c r="G277" s="2777"/>
      <c r="H277" s="2766">
        <f>Dataark_til_bilag2_2018[[#This Row],[Stald_kode]]+Dataark_til_bilag2_2018[[#This Row],[Dyr_Kode]]</f>
        <v>0</v>
      </c>
      <c r="I277" s="4347" t="s">
        <v>270</v>
      </c>
      <c r="J277" s="2766"/>
      <c r="K277" s="2766" t="s">
        <v>350</v>
      </c>
      <c r="L277" s="2767"/>
      <c r="M277" s="2767"/>
      <c r="N277" s="2760" t="str">
        <f>IFERROR(Dataark_til_bilag2_2018[[#This Row],[Antal dyr]]*Dataark_til_bilag2_2018[[#This Row],[Gødning (g) pr. dyr (ton)]]," ")</f>
        <v xml:space="preserve"> </v>
      </c>
      <c r="O277" s="2768">
        <v>0.8</v>
      </c>
      <c r="P277" s="2759" t="s">
        <v>270</v>
      </c>
      <c r="Q277" s="2767">
        <v>0.33</v>
      </c>
      <c r="R277" s="2769">
        <v>181</v>
      </c>
      <c r="S277" s="2769">
        <v>181</v>
      </c>
      <c r="T277" s="2769">
        <f t="shared" si="15"/>
        <v>133.02504328767125</v>
      </c>
      <c r="U277" s="2769">
        <f>(L277*1000)/365*M277*0.8*R277</f>
        <v>0</v>
      </c>
      <c r="V277" s="2769">
        <v>13.7</v>
      </c>
      <c r="W277" s="2769">
        <v>0.45</v>
      </c>
      <c r="X277" s="2769">
        <v>5.4946659255189054</v>
      </c>
      <c r="Y277" s="2762" t="str">
        <f t="shared" si="17"/>
        <v>-</v>
      </c>
    </row>
    <row r="278" spans="1:25" x14ac:dyDescent="0.25">
      <c r="A278" s="2764" t="s">
        <v>2745</v>
      </c>
      <c r="B278" s="2765"/>
      <c r="C278" s="2772" t="s">
        <v>1919</v>
      </c>
      <c r="D278" s="2772" t="s">
        <v>331</v>
      </c>
      <c r="E278" s="2772" t="s">
        <v>1918</v>
      </c>
      <c r="F278" s="2785" t="s">
        <v>351</v>
      </c>
      <c r="G278" s="2772"/>
      <c r="H278" s="2772">
        <f>Dataark_til_bilag2_2018[[#This Row],[Stald_kode]]+Dataark_til_bilag2_2018[[#This Row],[Dyr_Kode]]</f>
        <v>0</v>
      </c>
      <c r="I278" s="4347" t="s">
        <v>270</v>
      </c>
      <c r="J278" s="2772"/>
      <c r="K278" s="2772" t="s">
        <v>350</v>
      </c>
      <c r="L278" s="2773"/>
      <c r="M278" s="2773"/>
      <c r="N278" s="2760" t="str">
        <f>IFERROR(Dataark_til_bilag2_2018[[#This Row],[Antal dyr]]*Dataark_til_bilag2_2018[[#This Row],[Gødning (g) pr. dyr (ton)]]," ")</f>
        <v xml:space="preserve"> </v>
      </c>
      <c r="O278" s="2773">
        <f>0.26/100</f>
        <v>2.5999999999999999E-3</v>
      </c>
      <c r="P278" s="2759" t="s">
        <v>270</v>
      </c>
      <c r="Q278" s="2773">
        <v>0.63300000000000001</v>
      </c>
      <c r="R278" s="2774">
        <v>181</v>
      </c>
      <c r="S278" s="2774">
        <v>181</v>
      </c>
      <c r="T278" s="2774">
        <f t="shared" si="15"/>
        <v>0.82929021304109607</v>
      </c>
      <c r="U278" s="2774">
        <f>(L278*1000)/365*M278*0.8*R278</f>
        <v>0</v>
      </c>
      <c r="V278" s="2774">
        <v>1.5</v>
      </c>
      <c r="W278" s="2774">
        <v>0.39</v>
      </c>
      <c r="X278" s="2769">
        <v>3.2504029900145759E-3</v>
      </c>
      <c r="Y278" s="2762" t="str">
        <f t="shared" si="17"/>
        <v>-</v>
      </c>
    </row>
    <row r="279" spans="1:25" x14ac:dyDescent="0.25">
      <c r="A279" s="2764" t="s">
        <v>1900</v>
      </c>
      <c r="B279" s="2765"/>
      <c r="C279" s="2766" t="s">
        <v>2746</v>
      </c>
      <c r="D279" s="2766" t="s">
        <v>331</v>
      </c>
      <c r="E279" s="2766" t="s">
        <v>1920</v>
      </c>
      <c r="F279" s="2776" t="s">
        <v>351</v>
      </c>
      <c r="G279" s="2766"/>
      <c r="H279" s="2766">
        <f>Dataark_til_bilag2_2018[[#This Row],[Stald_kode]]+Dataark_til_bilag2_2018[[#This Row],[Dyr_Kode]]</f>
        <v>0</v>
      </c>
      <c r="I279" s="4347" t="s">
        <v>270</v>
      </c>
      <c r="J279" s="2766"/>
      <c r="K279" s="2766" t="s">
        <v>350</v>
      </c>
      <c r="L279" s="2781"/>
      <c r="M279" s="2781"/>
      <c r="N279" s="2760" t="str">
        <f>IFERROR(Dataark_til_bilag2_2018[[#This Row],[Antal dyr]]*Dataark_til_bilag2_2018[[#This Row],[Gødning (g) pr. dyr (ton)]]," ")</f>
        <v xml:space="preserve"> </v>
      </c>
      <c r="O279" s="2773">
        <f>0.26/100</f>
        <v>2.5999999999999999E-3</v>
      </c>
      <c r="P279" s="2759" t="s">
        <v>270</v>
      </c>
      <c r="Q279" s="2773">
        <v>0.63300000000000001</v>
      </c>
      <c r="R279" s="2769">
        <v>181</v>
      </c>
      <c r="S279" s="2769">
        <v>181</v>
      </c>
      <c r="T279" s="2769">
        <f t="shared" si="15"/>
        <v>0.82929021304109607</v>
      </c>
      <c r="U279" s="2769">
        <f>(O279*1000)/365*Q279*0.8*R279</f>
        <v>0.65290915068493161</v>
      </c>
      <c r="V279" s="2769">
        <v>1</v>
      </c>
      <c r="W279" s="2769">
        <v>0.39</v>
      </c>
      <c r="X279" s="2769">
        <v>3.872986937416111E-3</v>
      </c>
      <c r="Y279" s="2762" t="str">
        <f t="shared" si="17"/>
        <v>-</v>
      </c>
    </row>
    <row r="280" spans="1:25" x14ac:dyDescent="0.25">
      <c r="A280" s="2764" t="s">
        <v>907</v>
      </c>
      <c r="B280" s="2765"/>
      <c r="C280" s="2766" t="s">
        <v>1940</v>
      </c>
      <c r="D280" s="2766" t="s">
        <v>2754</v>
      </c>
      <c r="E280" s="2766" t="s">
        <v>1942</v>
      </c>
      <c r="F280" s="2766" t="s">
        <v>350</v>
      </c>
      <c r="G280" s="2766"/>
      <c r="H280" s="2766">
        <f>Dataark_til_bilag2_2018[[#This Row],[Stald_kode]]+Dataark_til_bilag2_2018[[#This Row],[Dyr_Kode]]</f>
        <v>0</v>
      </c>
      <c r="I280" s="4347" t="s">
        <v>270</v>
      </c>
      <c r="J280" s="2766"/>
      <c r="K280" s="2766" t="s">
        <v>350</v>
      </c>
      <c r="L280" s="2768"/>
      <c r="M280" s="2768"/>
      <c r="N280" s="2760" t="str">
        <f>IFERROR(Dataark_til_bilag2_2018[[#This Row],[Antal dyr]]*Dataark_til_bilag2_2018[[#This Row],[Gødning (g) pr. dyr (ton)]]," ")</f>
        <v xml:space="preserve"> </v>
      </c>
      <c r="O280" s="2767">
        <f>0.09+0.026</f>
        <v>0.11599999999999999</v>
      </c>
      <c r="P280" s="2759" t="s">
        <v>270</v>
      </c>
      <c r="Q280" s="2767">
        <v>0.33</v>
      </c>
      <c r="R280" s="2769">
        <v>0</v>
      </c>
      <c r="S280" s="2769">
        <v>181</v>
      </c>
      <c r="T280" s="2769">
        <f t="shared" si="15"/>
        <v>38.262774</v>
      </c>
      <c r="U280" s="2769">
        <f>(O280*1000)/365*Q280*0.8*R280</f>
        <v>0</v>
      </c>
      <c r="V280" s="2769">
        <v>14.7</v>
      </c>
      <c r="W280" s="2769">
        <v>0.45</v>
      </c>
      <c r="X280" s="2769">
        <v>1.6958252750670004</v>
      </c>
      <c r="Y280" s="2762" t="str">
        <f t="shared" si="17"/>
        <v>-</v>
      </c>
    </row>
    <row r="281" spans="1:25" x14ac:dyDescent="0.25">
      <c r="A281" s="2764" t="s">
        <v>907</v>
      </c>
      <c r="B281" s="2765"/>
      <c r="C281" s="2766" t="s">
        <v>1940</v>
      </c>
      <c r="D281" s="2766" t="s">
        <v>2754</v>
      </c>
      <c r="E281" s="2766" t="s">
        <v>1944</v>
      </c>
      <c r="F281" s="2766" t="s">
        <v>352</v>
      </c>
      <c r="G281" s="2766"/>
      <c r="H281" s="2766">
        <f>Dataark_til_bilag2_2018[[#This Row],[Stald_kode]]+Dataark_til_bilag2_2018[[#This Row],[Dyr_Kode]]</f>
        <v>0</v>
      </c>
      <c r="I281" s="4347" t="s">
        <v>270</v>
      </c>
      <c r="J281" s="2766" t="s">
        <v>1943</v>
      </c>
      <c r="K281" s="2766"/>
      <c r="L281" s="2767">
        <f>0.35+0.072</f>
        <v>0.42199999999999999</v>
      </c>
      <c r="M281" s="2767">
        <v>0.02</v>
      </c>
      <c r="N281" s="2760" t="str">
        <f>IFERROR(Dataark_til_bilag2_2018[[#This Row],[Antal dyr]]*Dataark_til_bilag2_2018[[#This Row],[Gødning (g) pr. dyr (ton)]]," ")</f>
        <v xml:space="preserve"> </v>
      </c>
      <c r="O281" s="2767"/>
      <c r="P281" s="2759" t="s">
        <v>270</v>
      </c>
      <c r="Q281" s="2767"/>
      <c r="R281" s="2769">
        <v>0</v>
      </c>
      <c r="S281" s="2769">
        <v>181</v>
      </c>
      <c r="T281" s="2769">
        <f t="shared" si="15"/>
        <v>6.7519999999999998</v>
      </c>
      <c r="U281" s="2769">
        <f>(L281*1000)/365*M281*0.8*R281</f>
        <v>0</v>
      </c>
      <c r="V281" s="2769">
        <v>13.4</v>
      </c>
      <c r="W281" s="2769">
        <v>0.45</v>
      </c>
      <c r="X281" s="2769">
        <v>0.27278755200000004</v>
      </c>
      <c r="Y281" s="2762" t="str">
        <f t="shared" si="17"/>
        <v>-</v>
      </c>
    </row>
    <row r="282" spans="1:25" x14ac:dyDescent="0.25">
      <c r="A282" s="2764" t="s">
        <v>907</v>
      </c>
      <c r="B282" s="2765"/>
      <c r="C282" s="2766" t="s">
        <v>2753</v>
      </c>
      <c r="D282" s="2766" t="s">
        <v>2747</v>
      </c>
      <c r="E282" s="2768" t="s">
        <v>1942</v>
      </c>
      <c r="F282" s="2766" t="s">
        <v>350</v>
      </c>
      <c r="G282" s="2766"/>
      <c r="H282" s="2766">
        <f>Dataark_til_bilag2_2018[[#This Row],[Stald_kode]]+Dataark_til_bilag2_2018[[#This Row],[Dyr_Kode]]</f>
        <v>0</v>
      </c>
      <c r="I282" s="4347" t="s">
        <v>270</v>
      </c>
      <c r="J282" s="2779"/>
      <c r="K282" s="2766" t="s">
        <v>350</v>
      </c>
      <c r="L282" s="2768"/>
      <c r="M282" s="2768"/>
      <c r="N282" s="2760" t="str">
        <f>IFERROR(Dataark_til_bilag2_2018[[#This Row],[Antal dyr]]*Dataark_til_bilag2_2018[[#This Row],[Gødning (g) pr. dyr (ton)]]," ")</f>
        <v xml:space="preserve"> </v>
      </c>
      <c r="O282" s="2767">
        <v>0.09</v>
      </c>
      <c r="P282" s="2759" t="s">
        <v>270</v>
      </c>
      <c r="Q282" s="2767">
        <v>0.33</v>
      </c>
      <c r="R282" s="2769">
        <v>0</v>
      </c>
      <c r="S282" s="2769">
        <v>181</v>
      </c>
      <c r="T282" s="2769">
        <f t="shared" si="15"/>
        <v>29.686634999999999</v>
      </c>
      <c r="U282" s="2769">
        <f>(O282*1000)/365*Q282*0.8*R282</f>
        <v>0</v>
      </c>
      <c r="V282" s="2769">
        <v>14.7</v>
      </c>
      <c r="W282" s="2769">
        <v>0.45</v>
      </c>
      <c r="X282" s="2769">
        <v>1.3157265065175001</v>
      </c>
      <c r="Y282" s="2762" t="str">
        <f t="shared" si="17"/>
        <v>-</v>
      </c>
    </row>
    <row r="283" spans="1:25" s="2775" customFormat="1" x14ac:dyDescent="0.25">
      <c r="A283" s="2764" t="s">
        <v>907</v>
      </c>
      <c r="B283" s="2765"/>
      <c r="C283" s="2766" t="s">
        <v>2753</v>
      </c>
      <c r="D283" s="2766" t="s">
        <v>2747</v>
      </c>
      <c r="E283" s="2768" t="s">
        <v>1944</v>
      </c>
      <c r="F283" s="2766" t="s">
        <v>352</v>
      </c>
      <c r="G283" s="2766"/>
      <c r="H283" s="2766">
        <f>Dataark_til_bilag2_2018[[#This Row],[Stald_kode]]+Dataark_til_bilag2_2018[[#This Row],[Dyr_Kode]]</f>
        <v>0</v>
      </c>
      <c r="I283" s="4347" t="s">
        <v>270</v>
      </c>
      <c r="J283" s="2766" t="s">
        <v>1943</v>
      </c>
      <c r="K283" s="2766"/>
      <c r="L283" s="2767">
        <v>0.36</v>
      </c>
      <c r="M283" s="2767">
        <v>0.2</v>
      </c>
      <c r="N283" s="2760" t="str">
        <f>IFERROR(Dataark_til_bilag2_2018[[#This Row],[Antal dyr]]*Dataark_til_bilag2_2018[[#This Row],[Gødning (g) pr. dyr (ton)]]," ")</f>
        <v xml:space="preserve"> </v>
      </c>
      <c r="O283" s="2767"/>
      <c r="P283" s="2759" t="s">
        <v>270</v>
      </c>
      <c r="Q283" s="2767"/>
      <c r="R283" s="2769">
        <v>0</v>
      </c>
      <c r="S283" s="2769">
        <v>181</v>
      </c>
      <c r="T283" s="2769">
        <f t="shared" si="15"/>
        <v>57.6</v>
      </c>
      <c r="U283" s="2769">
        <f>(L283*1000)/365*M283*0.8*R283</f>
        <v>0</v>
      </c>
      <c r="V283" s="2769">
        <v>13.7</v>
      </c>
      <c r="W283" s="2769">
        <v>0.45</v>
      </c>
      <c r="X283" s="2769">
        <v>2.3791968000000003</v>
      </c>
      <c r="Y283" s="2762" t="str">
        <f t="shared" si="17"/>
        <v>-</v>
      </c>
    </row>
    <row r="284" spans="1:25" x14ac:dyDescent="0.25">
      <c r="A284" s="2764" t="s">
        <v>907</v>
      </c>
      <c r="B284" s="2765"/>
      <c r="C284" s="2766" t="s">
        <v>1948</v>
      </c>
      <c r="D284" s="2766" t="s">
        <v>2747</v>
      </c>
      <c r="E284" s="2766" t="s">
        <v>1947</v>
      </c>
      <c r="F284" s="2766" t="s">
        <v>350</v>
      </c>
      <c r="G284" s="2780"/>
      <c r="H284" s="2766">
        <f>Dataark_til_bilag2_2018[[#This Row],[Stald_kode]]+Dataark_til_bilag2_2018[[#This Row],[Dyr_Kode]]</f>
        <v>0</v>
      </c>
      <c r="I284" s="4347" t="s">
        <v>270</v>
      </c>
      <c r="J284" s="2768"/>
      <c r="K284" s="2766" t="s">
        <v>350</v>
      </c>
      <c r="L284" s="2767">
        <v>0.7</v>
      </c>
      <c r="M284" s="2767">
        <v>0.33</v>
      </c>
      <c r="N284" s="2760" t="str">
        <f>IFERROR(Dataark_til_bilag2_2018[[#This Row],[Antal dyr]]*Dataark_til_bilag2_2018[[#This Row],[Gødning (g) pr. dyr (ton)]]," ")</f>
        <v xml:space="preserve"> </v>
      </c>
      <c r="O284" s="2767"/>
      <c r="P284" s="2759" t="s">
        <v>270</v>
      </c>
      <c r="Q284" s="2767">
        <v>0.33</v>
      </c>
      <c r="R284" s="2769">
        <v>0</v>
      </c>
      <c r="S284" s="2769">
        <v>0</v>
      </c>
      <c r="T284" s="2769">
        <f t="shared" si="15"/>
        <v>184.79999999999998</v>
      </c>
      <c r="U284" s="2769">
        <f>(L284*1000)/365*M284*0.8*R284</f>
        <v>0</v>
      </c>
      <c r="V284" s="2769">
        <v>14.7</v>
      </c>
      <c r="W284" s="2769">
        <v>0.45</v>
      </c>
      <c r="X284" s="2769">
        <v>8.1904283999999983</v>
      </c>
      <c r="Y284" s="2762" t="str">
        <f t="shared" si="17"/>
        <v>-</v>
      </c>
    </row>
    <row r="285" spans="1:25" s="2790" customFormat="1" x14ac:dyDescent="0.25">
      <c r="A285" s="2764" t="s">
        <v>907</v>
      </c>
      <c r="B285" s="2765"/>
      <c r="C285" s="2766" t="s">
        <v>2752</v>
      </c>
      <c r="D285" s="2766" t="s">
        <v>339</v>
      </c>
      <c r="E285" s="2766" t="s">
        <v>1944</v>
      </c>
      <c r="F285" s="2766" t="s">
        <v>352</v>
      </c>
      <c r="G285" s="2766"/>
      <c r="H285" s="2766">
        <f>Dataark_til_bilag2_2018[[#This Row],[Stald_kode]]+Dataark_til_bilag2_2018[[#This Row],[Dyr_Kode]]</f>
        <v>0</v>
      </c>
      <c r="I285" s="4347" t="s">
        <v>270</v>
      </c>
      <c r="J285" s="2766" t="s">
        <v>1943</v>
      </c>
      <c r="K285" s="2766"/>
      <c r="L285" s="2767">
        <v>7.2999999999999995E-2</v>
      </c>
      <c r="M285" s="2768">
        <v>0.02</v>
      </c>
      <c r="N285" s="2760" t="str">
        <f>IFERROR(Dataark_til_bilag2_2018[[#This Row],[Antal dyr]]*Dataark_til_bilag2_2018[[#This Row],[Gødning (g) pr. dyr (ton)]]," ")</f>
        <v xml:space="preserve"> </v>
      </c>
      <c r="O285" s="2767"/>
      <c r="P285" s="2759" t="s">
        <v>270</v>
      </c>
      <c r="Q285" s="2767">
        <v>1.9E-2</v>
      </c>
      <c r="R285" s="2769">
        <v>0</v>
      </c>
      <c r="S285" s="2769">
        <v>181</v>
      </c>
      <c r="T285" s="2769">
        <f t="shared" si="15"/>
        <v>1.1679999999999999</v>
      </c>
      <c r="U285" s="2769">
        <f>(L285*1000)/365*Q285*0.8*R285</f>
        <v>0</v>
      </c>
      <c r="V285" s="2769">
        <v>13.7</v>
      </c>
      <c r="W285" s="2769">
        <v>0.45</v>
      </c>
      <c r="X285" s="2769">
        <v>4.8244823999999999E-2</v>
      </c>
      <c r="Y285" s="2762" t="str">
        <f t="shared" si="17"/>
        <v>-</v>
      </c>
    </row>
    <row r="286" spans="1:25" s="2790" customFormat="1" x14ac:dyDescent="0.25">
      <c r="A286" s="2764" t="s">
        <v>907</v>
      </c>
      <c r="B286" s="2765"/>
      <c r="C286" s="2766" t="s">
        <v>1951</v>
      </c>
      <c r="D286" s="2766" t="s">
        <v>339</v>
      </c>
      <c r="E286" s="2766" t="s">
        <v>1947</v>
      </c>
      <c r="F286" s="2766" t="s">
        <v>350</v>
      </c>
      <c r="G286" s="2780"/>
      <c r="H286" s="2766">
        <f>Dataark_til_bilag2_2018[[#This Row],[Stald_kode]]+Dataark_til_bilag2_2018[[#This Row],[Dyr_Kode]]</f>
        <v>0</v>
      </c>
      <c r="I286" s="4347" t="s">
        <v>270</v>
      </c>
      <c r="J286" s="2766"/>
      <c r="K286" s="2766" t="s">
        <v>350</v>
      </c>
      <c r="L286" s="2767"/>
      <c r="M286" s="2767"/>
      <c r="N286" s="2760" t="str">
        <f>IFERROR(Dataark_til_bilag2_2018[[#This Row],[Antal dyr]]*Dataark_til_bilag2_2018[[#This Row],[Gødning (g) pr. dyr (ton)]]," ")</f>
        <v xml:space="preserve"> </v>
      </c>
      <c r="O286" s="2767">
        <v>0.01</v>
      </c>
      <c r="P286" s="2759" t="s">
        <v>270</v>
      </c>
      <c r="Q286" s="2767">
        <v>0.33</v>
      </c>
      <c r="R286" s="2769">
        <v>0</v>
      </c>
      <c r="S286" s="2769">
        <v>0</v>
      </c>
      <c r="T286" s="2769">
        <f t="shared" si="15"/>
        <v>3.2985150000000005</v>
      </c>
      <c r="U286" s="2769">
        <f>(L286*1000)/365*M286*0.8*R286</f>
        <v>0</v>
      </c>
      <c r="V286" s="2769">
        <v>7.2</v>
      </c>
      <c r="W286" s="2769">
        <v>0.45</v>
      </c>
      <c r="X286" s="2769">
        <v>7.1604163620000022E-2</v>
      </c>
      <c r="Y286" s="2762" t="str">
        <f t="shared" si="17"/>
        <v>-</v>
      </c>
    </row>
    <row r="287" spans="1:25" s="2775" customFormat="1" x14ac:dyDescent="0.25">
      <c r="A287" s="2764" t="s">
        <v>1900</v>
      </c>
      <c r="B287" s="2765"/>
      <c r="C287" s="2766" t="s">
        <v>2746</v>
      </c>
      <c r="D287" s="2766" t="s">
        <v>331</v>
      </c>
      <c r="E287" s="2766" t="s">
        <v>2763</v>
      </c>
      <c r="F287" s="2776" t="s">
        <v>351</v>
      </c>
      <c r="G287" s="2766"/>
      <c r="H287" s="2766">
        <f>Dataark_til_bilag2_2018[[#This Row],[Stald_kode]]+Dataark_til_bilag2_2018[[#This Row],[Dyr_Kode]]</f>
        <v>0</v>
      </c>
      <c r="I287" s="4347" t="s">
        <v>270</v>
      </c>
      <c r="J287" s="2766"/>
      <c r="K287" s="2766" t="s">
        <v>350</v>
      </c>
      <c r="L287" s="2768"/>
      <c r="M287" s="2768"/>
      <c r="N287" s="2760" t="str">
        <f>IFERROR(Dataark_til_bilag2_2018[[#This Row],[Antal dyr]]*Dataark_til_bilag2_2018[[#This Row],[Gødning (g) pr. dyr (ton)]]," ")</f>
        <v xml:space="preserve"> </v>
      </c>
      <c r="O287" s="2767">
        <f>0.38/100</f>
        <v>3.8E-3</v>
      </c>
      <c r="P287" s="2759" t="s">
        <v>270</v>
      </c>
      <c r="Q287" s="2767">
        <v>0.63300000000000001</v>
      </c>
      <c r="R287" s="2783">
        <v>0</v>
      </c>
      <c r="S287" s="2783">
        <v>0</v>
      </c>
      <c r="T287" s="2769">
        <f t="shared" si="15"/>
        <v>2.4043175699999999</v>
      </c>
      <c r="U287" s="2769">
        <f>(O287*1000)/365*Q287*0.8*R287</f>
        <v>0</v>
      </c>
      <c r="V287" s="2769">
        <v>1</v>
      </c>
      <c r="W287" s="2769">
        <v>0.39</v>
      </c>
      <c r="X287" s="2769">
        <v>6.2824818104100007E-3</v>
      </c>
      <c r="Y287" s="2762" t="str">
        <f t="shared" si="17"/>
        <v>-</v>
      </c>
    </row>
    <row r="288" spans="1:25" s="2775" customFormat="1" x14ac:dyDescent="0.25">
      <c r="A288" s="2764" t="s">
        <v>1900</v>
      </c>
      <c r="B288" s="2765"/>
      <c r="C288" s="2766" t="s">
        <v>1900</v>
      </c>
      <c r="D288" s="2766" t="s">
        <v>331</v>
      </c>
      <c r="E288" s="2766" t="s">
        <v>1913</v>
      </c>
      <c r="F288" s="2766" t="s">
        <v>2743</v>
      </c>
      <c r="G288" s="2766"/>
      <c r="H288" s="2766">
        <f>Dataark_til_bilag2_2018[[#This Row],[Stald_kode]]+Dataark_til_bilag2_2018[[#This Row],[Dyr_Kode]]</f>
        <v>0</v>
      </c>
      <c r="I288" s="4347" t="s">
        <v>270</v>
      </c>
      <c r="J288" s="2766"/>
      <c r="K288" s="2766" t="s">
        <v>350</v>
      </c>
      <c r="L288" s="2767"/>
      <c r="M288" s="2767"/>
      <c r="N288" s="2760" t="str">
        <f>IFERROR(Dataark_til_bilag2_2018[[#This Row],[Antal dyr]]*Dataark_til_bilag2_2018[[#This Row],[Gødning (g) pr. dyr (ton)]]," ")</f>
        <v xml:space="preserve"> </v>
      </c>
      <c r="O288" s="2768">
        <f>0.4/100</f>
        <v>4.0000000000000001E-3</v>
      </c>
      <c r="P288" s="2759" t="s">
        <v>270</v>
      </c>
      <c r="Q288" s="2767">
        <v>0.63300000000000001</v>
      </c>
      <c r="R288" s="2774"/>
      <c r="S288" s="2774"/>
      <c r="T288" s="2769">
        <f t="shared" si="15"/>
        <v>2.5308606</v>
      </c>
      <c r="U288" s="2769">
        <f>(L288*1000)/365*M288*0.8*R288</f>
        <v>0</v>
      </c>
      <c r="V288" s="2769"/>
      <c r="W288" s="2769"/>
      <c r="X288" s="2769">
        <v>0</v>
      </c>
      <c r="Y288" s="2762" t="str">
        <f t="shared" si="17"/>
        <v>-</v>
      </c>
    </row>
    <row r="289" spans="1:25" x14ac:dyDescent="0.25">
      <c r="A289" s="2764" t="s">
        <v>1900</v>
      </c>
      <c r="B289" s="2765"/>
      <c r="C289" s="2766" t="s">
        <v>2762</v>
      </c>
      <c r="D289" s="2766" t="s">
        <v>331</v>
      </c>
      <c r="E289" s="2766" t="s">
        <v>1912</v>
      </c>
      <c r="F289" s="2766" t="s">
        <v>2743</v>
      </c>
      <c r="G289" s="2766"/>
      <c r="H289" s="2766">
        <f>Dataark_til_bilag2_2018[[#This Row],[Stald_kode]]+Dataark_til_bilag2_2018[[#This Row],[Dyr_Kode]]</f>
        <v>0</v>
      </c>
      <c r="I289" s="4347" t="s">
        <v>270</v>
      </c>
      <c r="J289" s="2766"/>
      <c r="K289" s="2766" t="s">
        <v>350</v>
      </c>
      <c r="L289" s="2768"/>
      <c r="M289" s="2768"/>
      <c r="N289" s="2760" t="str">
        <f>IFERROR(Dataark_til_bilag2_2018[[#This Row],[Antal dyr]]*Dataark_til_bilag2_2018[[#This Row],[Gødning (g) pr. dyr (ton)]]," ")</f>
        <v xml:space="preserve"> </v>
      </c>
      <c r="O289" s="2767">
        <f>0.31/100</f>
        <v>3.0999999999999999E-3</v>
      </c>
      <c r="P289" s="2759" t="s">
        <v>270</v>
      </c>
      <c r="Q289" s="2767">
        <v>0.63300000000000001</v>
      </c>
      <c r="R289" s="2769">
        <v>0</v>
      </c>
      <c r="S289" s="2783">
        <v>0</v>
      </c>
      <c r="T289" s="2769">
        <f t="shared" si="15"/>
        <v>1.9614169650000002</v>
      </c>
      <c r="U289" s="2769">
        <f>(O289*1000)/365*Q289*0.8*R289</f>
        <v>0</v>
      </c>
      <c r="V289" s="2769">
        <v>1</v>
      </c>
      <c r="W289" s="2769">
        <v>0.39</v>
      </c>
      <c r="X289" s="2769">
        <v>5.1251825295450014E-3</v>
      </c>
      <c r="Y289" s="2762" t="str">
        <f t="shared" si="17"/>
        <v>-</v>
      </c>
    </row>
    <row r="290" spans="1:25" s="2775" customFormat="1" x14ac:dyDescent="0.25">
      <c r="A290" s="2764" t="s">
        <v>2745</v>
      </c>
      <c r="B290" s="2765"/>
      <c r="C290" s="2766" t="s">
        <v>2744</v>
      </c>
      <c r="D290" s="2766" t="s">
        <v>331</v>
      </c>
      <c r="E290" s="2766" t="s">
        <v>1914</v>
      </c>
      <c r="F290" s="2766" t="s">
        <v>2743</v>
      </c>
      <c r="G290" s="2766"/>
      <c r="H290" s="2766">
        <f>Dataark_til_bilag2_2018[[#This Row],[Stald_kode]]+Dataark_til_bilag2_2018[[#This Row],[Dyr_Kode]]</f>
        <v>0</v>
      </c>
      <c r="I290" s="4347" t="s">
        <v>270</v>
      </c>
      <c r="J290" s="2766"/>
      <c r="K290" s="2766" t="s">
        <v>350</v>
      </c>
      <c r="L290" s="2767"/>
      <c r="M290" s="2767"/>
      <c r="N290" s="2760" t="str">
        <f>IFERROR(Dataark_til_bilag2_2018[[#This Row],[Antal dyr]]*Dataark_til_bilag2_2018[[#This Row],[Gødning (g) pr. dyr (ton)]]," ")</f>
        <v xml:space="preserve"> </v>
      </c>
      <c r="O290" s="2767">
        <f>0.3/100</f>
        <v>3.0000000000000001E-3</v>
      </c>
      <c r="P290" s="2759" t="s">
        <v>270</v>
      </c>
      <c r="Q290" s="2767">
        <v>0.63300000000000001</v>
      </c>
      <c r="R290" s="2769"/>
      <c r="S290" s="2769">
        <v>181</v>
      </c>
      <c r="T290" s="2769">
        <f t="shared" si="15"/>
        <v>1.8981454499999999</v>
      </c>
      <c r="U290" s="2769">
        <f>(L290*1000)/365*M290*0.8*R290</f>
        <v>0</v>
      </c>
      <c r="V290" s="2769">
        <v>1.5</v>
      </c>
      <c r="W290" s="2769">
        <v>0.39</v>
      </c>
      <c r="X290" s="2769">
        <v>7.4397810912750009E-3</v>
      </c>
      <c r="Y290" s="2762" t="str">
        <f t="shared" si="17"/>
        <v>-</v>
      </c>
    </row>
    <row r="291" spans="1:25" x14ac:dyDescent="0.25">
      <c r="A291" s="2764" t="s">
        <v>1900</v>
      </c>
      <c r="B291" s="2765"/>
      <c r="C291" s="2766" t="s">
        <v>2744</v>
      </c>
      <c r="D291" s="2766" t="s">
        <v>331</v>
      </c>
      <c r="E291" s="2766" t="s">
        <v>1917</v>
      </c>
      <c r="F291" s="2766" t="s">
        <v>2743</v>
      </c>
      <c r="G291" s="2766"/>
      <c r="H291" s="2766">
        <f>Dataark_til_bilag2_2018[[#This Row],[Stald_kode]]+Dataark_til_bilag2_2018[[#This Row],[Dyr_Kode]]</f>
        <v>0</v>
      </c>
      <c r="I291" s="4347" t="s">
        <v>270</v>
      </c>
      <c r="J291" s="2766"/>
      <c r="K291" s="2766" t="s">
        <v>350</v>
      </c>
      <c r="L291" s="2768"/>
      <c r="M291" s="2768"/>
      <c r="N291" s="2760" t="str">
        <f>IFERROR(Dataark_til_bilag2_2018[[#This Row],[Antal dyr]]*Dataark_til_bilag2_2018[[#This Row],[Gødning (g) pr. dyr (ton)]]," ")</f>
        <v xml:space="preserve"> </v>
      </c>
      <c r="O291" s="2767">
        <f>0.3/100</f>
        <v>3.0000000000000001E-3</v>
      </c>
      <c r="P291" s="2759" t="s">
        <v>270</v>
      </c>
      <c r="Q291" s="2767">
        <v>0.63300000000000001</v>
      </c>
      <c r="R291" s="2783">
        <v>0</v>
      </c>
      <c r="S291" s="2783">
        <v>0</v>
      </c>
      <c r="T291" s="2769">
        <f t="shared" si="15"/>
        <v>1.8981454499999999</v>
      </c>
      <c r="U291" s="2769">
        <f>(O291*1000)/365*Q291*0.8*R291</f>
        <v>0</v>
      </c>
      <c r="V291" s="2769">
        <v>1.5</v>
      </c>
      <c r="W291" s="2769">
        <v>0.39</v>
      </c>
      <c r="X291" s="2769">
        <v>7.4397810912750009E-3</v>
      </c>
      <c r="Y291" s="2762" t="str">
        <f t="shared" si="17"/>
        <v>-</v>
      </c>
    </row>
    <row r="292" spans="1:25" s="2775" customFormat="1" x14ac:dyDescent="0.25">
      <c r="A292" s="2764" t="s">
        <v>1900</v>
      </c>
      <c r="B292" s="2765"/>
      <c r="C292" s="2766" t="s">
        <v>2744</v>
      </c>
      <c r="D292" s="2766" t="s">
        <v>331</v>
      </c>
      <c r="E292" s="2766" t="s">
        <v>1916</v>
      </c>
      <c r="F292" s="2766" t="s">
        <v>2743</v>
      </c>
      <c r="G292" s="2766"/>
      <c r="H292" s="2766">
        <f>Dataark_til_bilag2_2018[[#This Row],[Stald_kode]]+Dataark_til_bilag2_2018[[#This Row],[Dyr_Kode]]</f>
        <v>0</v>
      </c>
      <c r="I292" s="4347" t="s">
        <v>270</v>
      </c>
      <c r="J292" s="2766"/>
      <c r="K292" s="2766" t="s">
        <v>350</v>
      </c>
      <c r="L292" s="2768"/>
      <c r="M292" s="2768"/>
      <c r="N292" s="2760" t="str">
        <f>IFERROR(Dataark_til_bilag2_2018[[#This Row],[Antal dyr]]*Dataark_til_bilag2_2018[[#This Row],[Gødning (g) pr. dyr (ton)]]," ")</f>
        <v xml:space="preserve"> </v>
      </c>
      <c r="O292" s="2767">
        <f>0.42/100</f>
        <v>4.1999999999999997E-3</v>
      </c>
      <c r="P292" s="2759" t="s">
        <v>270</v>
      </c>
      <c r="Q292" s="2767">
        <v>0.63300000000000001</v>
      </c>
      <c r="R292" s="2783">
        <v>0</v>
      </c>
      <c r="S292" s="2783">
        <v>0</v>
      </c>
      <c r="T292" s="2769">
        <f t="shared" si="15"/>
        <v>2.6574036300000006</v>
      </c>
      <c r="U292" s="2769">
        <f>(O292*1000)/365*Q292*0.8*R292</f>
        <v>0</v>
      </c>
      <c r="V292" s="2769">
        <v>1.5</v>
      </c>
      <c r="W292" s="2769">
        <v>0.39</v>
      </c>
      <c r="X292" s="2769">
        <v>1.0415693527785003E-2</v>
      </c>
      <c r="Y292" s="2762" t="str">
        <f t="shared" si="17"/>
        <v>-</v>
      </c>
    </row>
    <row r="293" spans="1:25" x14ac:dyDescent="0.25">
      <c r="A293" s="2764" t="s">
        <v>625</v>
      </c>
      <c r="B293" s="2765"/>
      <c r="C293" s="2766" t="s">
        <v>2750</v>
      </c>
      <c r="D293" s="2766" t="s">
        <v>337</v>
      </c>
      <c r="E293" s="2766" t="s">
        <v>2749</v>
      </c>
      <c r="F293" s="2766" t="s">
        <v>2743</v>
      </c>
      <c r="G293" s="2766"/>
      <c r="H293" s="2766">
        <f>Dataark_til_bilag2_2018[[#This Row],[Stald_kode]]+Dataark_til_bilag2_2018[[#This Row],[Dyr_Kode]]</f>
        <v>0</v>
      </c>
      <c r="I293" s="4347" t="s">
        <v>270</v>
      </c>
      <c r="J293" s="2766"/>
      <c r="K293" s="2766" t="s">
        <v>350</v>
      </c>
      <c r="L293" s="2767"/>
      <c r="M293" s="2767"/>
      <c r="N293" s="2760" t="str">
        <f>IFERROR(Dataark_til_bilag2_2018[[#This Row],[Antal dyr]]*Dataark_til_bilag2_2018[[#This Row],[Gødning (g) pr. dyr (ton)]]," ")</f>
        <v xml:space="preserve"> </v>
      </c>
      <c r="O293" s="2768">
        <v>0.05</v>
      </c>
      <c r="P293" s="2759" t="s">
        <v>270</v>
      </c>
      <c r="Q293" s="2767">
        <v>0.35</v>
      </c>
      <c r="R293" s="2774"/>
      <c r="S293" s="2774"/>
      <c r="T293" s="2769">
        <f t="shared" si="15"/>
        <v>17.492125000000001</v>
      </c>
      <c r="U293" s="2769">
        <f>(L293*1000)/365*M293*0.8*R293</f>
        <v>0</v>
      </c>
      <c r="V293" s="2769"/>
      <c r="W293" s="2769"/>
      <c r="X293" s="2769">
        <v>0</v>
      </c>
      <c r="Y293" s="2762" t="str">
        <f t="shared" si="17"/>
        <v>-</v>
      </c>
    </row>
    <row r="294" spans="1:25" x14ac:dyDescent="0.25">
      <c r="A294" s="2764" t="s">
        <v>2792</v>
      </c>
      <c r="B294" s="2765"/>
      <c r="C294" s="2772" t="s">
        <v>1993</v>
      </c>
      <c r="D294" s="2772" t="s">
        <v>330</v>
      </c>
      <c r="E294" s="2772" t="s">
        <v>1998</v>
      </c>
      <c r="F294" s="2772" t="s">
        <v>350</v>
      </c>
      <c r="G294" s="2772"/>
      <c r="H294" s="2772"/>
      <c r="I294" s="4347" t="s">
        <v>270</v>
      </c>
      <c r="J294" s="2772"/>
      <c r="K294" s="2772" t="s">
        <v>350</v>
      </c>
      <c r="L294" s="2773"/>
      <c r="M294" s="2773"/>
      <c r="N294" s="2760" t="str">
        <f>IFERROR(Dataark_til_bilag2_2018[[#This Row],[Antal dyr]]*Dataark_til_bilag2_2018[[#This Row],[Gødning (g) pr. dyr (ton)]]," ")</f>
        <v xml:space="preserve"> </v>
      </c>
      <c r="O294" s="2773">
        <v>3.31</v>
      </c>
      <c r="P294" s="2759" t="s">
        <v>270</v>
      </c>
      <c r="Q294" s="2773">
        <v>0.3</v>
      </c>
      <c r="R294" s="2774">
        <v>18</v>
      </c>
      <c r="S294" s="2774">
        <v>181</v>
      </c>
      <c r="T294" s="2774">
        <f t="shared" si="15"/>
        <v>943.60532342465763</v>
      </c>
      <c r="U294" s="2774">
        <f>(L294*1000)/365*M294*0.8*R294</f>
        <v>0</v>
      </c>
      <c r="V294" s="2774">
        <v>12.5</v>
      </c>
      <c r="W294" s="2774">
        <v>0.18</v>
      </c>
      <c r="X294" s="2769">
        <v>14.224850250626716</v>
      </c>
      <c r="Y294" s="2762" t="str">
        <f t="shared" si="17"/>
        <v>-</v>
      </c>
    </row>
    <row r="295" spans="1:25" x14ac:dyDescent="0.25">
      <c r="A295" s="2764" t="s">
        <v>2792</v>
      </c>
      <c r="B295" s="2765"/>
      <c r="C295" s="2766" t="s">
        <v>2017</v>
      </c>
      <c r="D295" s="2766" t="s">
        <v>341</v>
      </c>
      <c r="E295" s="2766" t="s">
        <v>2016</v>
      </c>
      <c r="F295" s="2766" t="s">
        <v>350</v>
      </c>
      <c r="G295" s="2766"/>
      <c r="H295" s="2766"/>
      <c r="I295" s="4347" t="s">
        <v>270</v>
      </c>
      <c r="J295" s="2766"/>
      <c r="K295" s="2766" t="s">
        <v>350</v>
      </c>
      <c r="L295" s="2767"/>
      <c r="M295" s="2767"/>
      <c r="N295" s="2760" t="str">
        <f>IFERROR(Dataark_til_bilag2_2018[[#This Row],[Antal dyr]]*Dataark_til_bilag2_2018[[#This Row],[Gødning (g) pr. dyr (ton)]]," ")</f>
        <v xml:space="preserve"> </v>
      </c>
      <c r="O295" s="2768">
        <v>12.72</v>
      </c>
      <c r="P295" s="2759" t="s">
        <v>270</v>
      </c>
      <c r="Q295" s="2767">
        <v>0.28999999999999998</v>
      </c>
      <c r="R295" s="2769">
        <v>18</v>
      </c>
      <c r="S295" s="2769">
        <v>181</v>
      </c>
      <c r="T295" s="2769">
        <f t="shared" si="15"/>
        <v>3505.3084763835614</v>
      </c>
      <c r="U295" s="2769">
        <f>(L295*1000)/365*M295*0.8*R295</f>
        <v>0</v>
      </c>
      <c r="V295" s="2769">
        <v>4.5999999999999996</v>
      </c>
      <c r="W295" s="2769">
        <v>0.24</v>
      </c>
      <c r="X295" s="2769">
        <v>25.928065738113922</v>
      </c>
      <c r="Y295" s="2762" t="str">
        <f t="shared" si="17"/>
        <v>-</v>
      </c>
    </row>
    <row r="296" spans="1:25" s="2775" customFormat="1" x14ac:dyDescent="0.25">
      <c r="A296" s="2840" t="s">
        <v>2745</v>
      </c>
      <c r="B296" s="2841"/>
      <c r="C296" s="2791" t="s">
        <v>1911</v>
      </c>
      <c r="D296" s="2791" t="s">
        <v>331</v>
      </c>
      <c r="E296" s="2791" t="s">
        <v>1910</v>
      </c>
      <c r="F296" s="2791" t="s">
        <v>2743</v>
      </c>
      <c r="G296" s="2791"/>
      <c r="H296" s="2791"/>
      <c r="I296" s="4347" t="s">
        <v>270</v>
      </c>
      <c r="J296" s="2791"/>
      <c r="K296" s="2791" t="s">
        <v>350</v>
      </c>
      <c r="L296" s="2842"/>
      <c r="M296" s="2842"/>
      <c r="N296" s="2760" t="str">
        <f>IFERROR(Dataark_til_bilag2_2018[[#This Row],[Antal dyr]]*Dataark_til_bilag2_2018[[#This Row],[Gødning (g) pr. dyr (ton)]]," ")</f>
        <v xml:space="preserve"> </v>
      </c>
      <c r="O296" s="2843">
        <f>0.31/100</f>
        <v>3.0999999999999999E-3</v>
      </c>
      <c r="P296" s="2759" t="s">
        <v>270</v>
      </c>
      <c r="Q296" s="2842">
        <v>0.63300000000000001</v>
      </c>
      <c r="R296" s="2844">
        <v>0</v>
      </c>
      <c r="S296" s="2844"/>
      <c r="T296" s="2844">
        <f t="shared" si="15"/>
        <v>1.9614169650000002</v>
      </c>
      <c r="U296" s="2844">
        <f>(L296*1000)/365*M296*0.8*R296</f>
        <v>0</v>
      </c>
      <c r="V296" s="2844">
        <v>1.5</v>
      </c>
      <c r="W296" s="2844">
        <v>0.39</v>
      </c>
      <c r="X296" s="2844">
        <v>7.6877737943175026E-3</v>
      </c>
      <c r="Y296" s="2762" t="str">
        <f t="shared" si="17"/>
        <v>-</v>
      </c>
    </row>
    <row r="297" spans="1:25" ht="15.75" thickBot="1" x14ac:dyDescent="0.3">
      <c r="A297" s="2792" t="s">
        <v>2742</v>
      </c>
      <c r="B297" s="2792"/>
      <c r="I297" s="2747">
        <f>SUM(Dataark_til_bilag2_2018[Antal dyr])</f>
        <v>31961.649999999998</v>
      </c>
      <c r="N297" s="2748">
        <f>SUBTOTAL(9,Dataark_til_bilag2_2018[Gødning (g) total (ton)])</f>
        <v>17997.0291</v>
      </c>
      <c r="P297" s="2748">
        <f>SUM(Dataark_til_bilag2_2018[Gødning (s)(ton)])</f>
        <v>12047.941739999998</v>
      </c>
      <c r="Y297" s="2793">
        <f>SUM(Dataark_til_bilag2_2018[Total udledning af metan (ton)])</f>
        <v>170.05620372975153</v>
      </c>
    </row>
    <row r="299" spans="1:25" s="2797" customFormat="1" ht="59.25" customHeight="1" x14ac:dyDescent="0.2">
      <c r="A299" s="2794" t="s">
        <v>2042</v>
      </c>
      <c r="B299" s="2794"/>
      <c r="C299" s="5395" t="s">
        <v>1845</v>
      </c>
      <c r="D299" s="5395"/>
      <c r="E299" s="5395"/>
      <c r="F299" s="5395"/>
      <c r="G299" s="5395"/>
      <c r="H299" s="5395"/>
      <c r="I299" s="5395"/>
      <c r="J299" s="5395"/>
      <c r="K299" s="5395"/>
      <c r="L299" s="5396" t="s">
        <v>2741</v>
      </c>
      <c r="M299" s="5397"/>
      <c r="N299" s="5397"/>
      <c r="O299" s="5397"/>
      <c r="P299" s="5397"/>
      <c r="Q299" s="5398"/>
      <c r="R299" s="5399" t="s">
        <v>4211</v>
      </c>
      <c r="S299" s="5400"/>
      <c r="T299" s="5399" t="s">
        <v>4212</v>
      </c>
      <c r="U299" s="5400"/>
      <c r="V299" s="2851" t="s">
        <v>2740</v>
      </c>
      <c r="W299" s="2795" t="s">
        <v>2739</v>
      </c>
      <c r="X299" s="2796"/>
      <c r="Y299" s="2796"/>
    </row>
    <row r="304" spans="1:25" x14ac:dyDescent="0.25">
      <c r="I304" s="2748"/>
    </row>
  </sheetData>
  <mergeCells count="4">
    <mergeCell ref="C299:K299"/>
    <mergeCell ref="L299:Q299"/>
    <mergeCell ref="R299:S299"/>
    <mergeCell ref="T299:U299"/>
  </mergeCells>
  <hyperlinks>
    <hyperlink ref="A2" location="Index!A1" display="Til index" xr:uid="{8E8C5F51-E53F-44AC-9460-69551D2C0EBB}"/>
  </hyperlinks>
  <pageMargins left="0.7" right="0.7" top="0.75" bottom="0.75" header="0.3" footer="0.3"/>
  <drawing r:id="rId1"/>
  <legacyDrawing r:id="rId2"/>
  <tableParts count="1">
    <tablePart r:id="rId3"/>
  </tablePart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64DD9-DE07-4962-918E-38FB3E812AC2}">
  <sheetPr codeName="Ark151">
    <tabColor theme="3" tint="0.59999389629810485"/>
  </sheetPr>
  <dimension ref="A1:V249"/>
  <sheetViews>
    <sheetView topLeftCell="K163" zoomScale="85" zoomScaleNormal="85" workbookViewId="0">
      <selection activeCell="X185" sqref="X185"/>
    </sheetView>
  </sheetViews>
  <sheetFormatPr defaultColWidth="9.140625" defaultRowHeight="15" x14ac:dyDescent="0.25"/>
  <cols>
    <col min="1" max="1" width="27" style="2746" customWidth="1"/>
    <col min="2" max="2" width="20.28515625" style="2746" bestFit="1" customWidth="1"/>
    <col min="3" max="3" width="62" style="2746" customWidth="1"/>
    <col min="4" max="4" width="11" style="2746" bestFit="1" customWidth="1"/>
    <col min="5" max="5" width="46.85546875" style="2746" customWidth="1"/>
    <col min="6" max="7" width="11" style="2746" bestFit="1" customWidth="1"/>
    <col min="8" max="8" width="12" style="2746" bestFit="1" customWidth="1"/>
    <col min="9" max="9" width="8.85546875" style="2747" customWidth="1"/>
    <col min="10" max="10" width="21.140625" style="2746" bestFit="1" customWidth="1"/>
    <col min="11" max="11" width="7" style="2746" bestFit="1" customWidth="1"/>
    <col min="12" max="12" width="12" style="2748" bestFit="1" customWidth="1"/>
    <col min="13" max="13" width="18.85546875" style="2746" bestFit="1" customWidth="1"/>
    <col min="14" max="14" width="17.28515625" style="2746" bestFit="1" customWidth="1"/>
    <col min="15" max="15" width="12" style="2746" bestFit="1" customWidth="1"/>
    <col min="16" max="16" width="12" style="2748" bestFit="1" customWidth="1"/>
    <col min="17" max="17" width="16.42578125" style="2799" bestFit="1" customWidth="1"/>
    <col min="18" max="18" width="13.42578125" style="2748" customWidth="1"/>
    <col min="19" max="19" width="12" style="2746" bestFit="1" customWidth="1"/>
    <col min="20" max="20" width="18.7109375" style="2748" customWidth="1"/>
    <col min="21" max="21" width="34.28515625" style="2748" customWidth="1"/>
    <col min="22" max="22" width="30.85546875" style="2748" customWidth="1"/>
    <col min="23" max="16384" width="9.140625" style="2746"/>
  </cols>
  <sheetData>
    <row r="1" spans="1:22" s="2743" customFormat="1" ht="53.45" customHeight="1" x14ac:dyDescent="0.35">
      <c r="B1" s="2744" t="s">
        <v>2909</v>
      </c>
    </row>
    <row r="2" spans="1:22" ht="21.75" thickBot="1" x14ac:dyDescent="0.4">
      <c r="A2" s="2745" t="s">
        <v>4206</v>
      </c>
      <c r="B2" s="2798"/>
    </row>
    <row r="3" spans="1:22" x14ac:dyDescent="0.25">
      <c r="A3" s="5401"/>
      <c r="B3" s="5401"/>
      <c r="C3" s="5401"/>
      <c r="D3" s="5401"/>
      <c r="E3" s="5401"/>
      <c r="F3" s="5401"/>
      <c r="G3" s="5401"/>
      <c r="H3" s="2800"/>
      <c r="L3" s="5402" t="s">
        <v>2908</v>
      </c>
      <c r="M3" s="5403"/>
      <c r="N3" s="5403"/>
      <c r="O3" s="5403"/>
      <c r="P3" s="5403"/>
      <c r="Q3" s="5402" t="s">
        <v>2907</v>
      </c>
      <c r="R3" s="5403"/>
      <c r="S3" s="5403"/>
      <c r="T3" s="5403"/>
      <c r="U3" s="5403"/>
    </row>
    <row r="4" spans="1:22" s="2790" customFormat="1" ht="73.5" customHeight="1" x14ac:dyDescent="0.25">
      <c r="A4" s="2801" t="s">
        <v>2840</v>
      </c>
      <c r="B4" s="2801" t="s">
        <v>2906</v>
      </c>
      <c r="C4" s="2802" t="s">
        <v>2820</v>
      </c>
      <c r="D4" s="2802" t="s">
        <v>2839</v>
      </c>
      <c r="E4" s="2802" t="s">
        <v>2818</v>
      </c>
      <c r="F4" s="2802" t="s">
        <v>2905</v>
      </c>
      <c r="G4" s="2802" t="s">
        <v>2904</v>
      </c>
      <c r="H4" s="2802" t="s">
        <v>2903</v>
      </c>
      <c r="I4" s="2803" t="s">
        <v>4749</v>
      </c>
      <c r="J4" s="2802" t="s">
        <v>897</v>
      </c>
      <c r="K4" s="2802" t="s">
        <v>2814</v>
      </c>
      <c r="L4" s="2804" t="s">
        <v>951</v>
      </c>
      <c r="M4" s="2805" t="s">
        <v>2902</v>
      </c>
      <c r="N4" s="2805" t="s">
        <v>950</v>
      </c>
      <c r="O4" s="2805" t="s">
        <v>2901</v>
      </c>
      <c r="P4" s="2804" t="s">
        <v>2900</v>
      </c>
      <c r="Q4" s="2806" t="s">
        <v>2899</v>
      </c>
      <c r="R4" s="2804" t="s">
        <v>2898</v>
      </c>
      <c r="S4" s="2805" t="s">
        <v>4944</v>
      </c>
      <c r="T4" s="2804" t="s">
        <v>2897</v>
      </c>
      <c r="U4" s="2804" t="s">
        <v>2896</v>
      </c>
      <c r="V4" s="2807" t="s">
        <v>4792</v>
      </c>
    </row>
    <row r="5" spans="1:22" x14ac:dyDescent="0.25">
      <c r="A5" s="2808" t="s">
        <v>334</v>
      </c>
      <c r="B5" s="2770">
        <v>1101</v>
      </c>
      <c r="C5" s="2766" t="s">
        <v>2025</v>
      </c>
      <c r="D5" s="2766" t="s">
        <v>334</v>
      </c>
      <c r="E5" s="2766" t="s">
        <v>2024</v>
      </c>
      <c r="F5" s="2766">
        <v>110101</v>
      </c>
      <c r="G5" s="2766" t="s">
        <v>2879</v>
      </c>
      <c r="H5" s="2766">
        <f>Dataark_til_bilag3_2018[[#This Row],[Staldkode]]+Dataark_til_bilag3_2018[[#This Row],[Dyrekode]]</f>
        <v>111202</v>
      </c>
      <c r="I5" s="4347">
        <v>15.21</v>
      </c>
      <c r="J5" s="2766"/>
      <c r="K5" s="2766" t="s">
        <v>350</v>
      </c>
      <c r="L5" s="2767">
        <v>23</v>
      </c>
      <c r="M5" s="2766">
        <f>IFERROR(I5*L5," ")</f>
        <v>349.83000000000004</v>
      </c>
      <c r="N5" s="2766">
        <v>0.01</v>
      </c>
      <c r="O5" s="2766">
        <f t="shared" ref="O5:O68" si="0">IFERROR(M5*N5," ")</f>
        <v>3.4983000000000004</v>
      </c>
      <c r="P5" s="2769">
        <f t="shared" ref="P5:P68" si="1">IFERROR(O5*44/28," ")</f>
        <v>5.4973285714285725</v>
      </c>
      <c r="Q5" s="2809">
        <v>0.34389999999999998</v>
      </c>
      <c r="R5" s="2769">
        <f t="shared" ref="R5:R68" si="2">IFERROR(M5*Q5," ")</f>
        <v>120.30653700000001</v>
      </c>
      <c r="S5" s="2766">
        <v>0.01</v>
      </c>
      <c r="T5" s="2769">
        <f t="shared" ref="T5:T68" si="3">IFERROR(R5*S5," ")</f>
        <v>1.20306537</v>
      </c>
      <c r="U5" s="2769">
        <f t="shared" ref="U5:U68" si="4">IFERROR(T5*44/28,0)</f>
        <v>1.8905312957142857</v>
      </c>
      <c r="V5" s="2810">
        <f>IFERROR((P5+U5)/1000," ")</f>
        <v>7.3878598671428576E-3</v>
      </c>
    </row>
    <row r="6" spans="1:22" x14ac:dyDescent="0.25">
      <c r="A6" s="2770" t="s">
        <v>334</v>
      </c>
      <c r="B6" s="2770">
        <v>1102</v>
      </c>
      <c r="C6" s="2766" t="s">
        <v>2023</v>
      </c>
      <c r="D6" s="2766" t="s">
        <v>334</v>
      </c>
      <c r="E6" s="2766" t="s">
        <v>2022</v>
      </c>
      <c r="F6" s="2766">
        <v>110201</v>
      </c>
      <c r="G6" s="2766" t="s">
        <v>2879</v>
      </c>
      <c r="H6" s="2766">
        <f>Dataark_til_bilag3_2018[[#This Row],[Staldkode]]+Dataark_til_bilag3_2018[[#This Row],[Dyrekode]]</f>
        <v>111303</v>
      </c>
      <c r="I6" s="4347">
        <v>277.02</v>
      </c>
      <c r="J6" s="2766"/>
      <c r="K6" s="2766" t="s">
        <v>350</v>
      </c>
      <c r="L6" s="2767">
        <v>38</v>
      </c>
      <c r="M6" s="2766">
        <f t="shared" ref="M6:M68" si="5">IFERROR(I6*L6," ")</f>
        <v>10526.759999999998</v>
      </c>
      <c r="N6" s="2766">
        <v>0.01</v>
      </c>
      <c r="O6" s="2766">
        <f t="shared" si="0"/>
        <v>105.26759999999999</v>
      </c>
      <c r="P6" s="2769">
        <f t="shared" si="1"/>
        <v>165.42051428571426</v>
      </c>
      <c r="Q6" s="2809">
        <v>0.34389999999999998</v>
      </c>
      <c r="R6" s="2769">
        <f t="shared" si="2"/>
        <v>3620.1527639999995</v>
      </c>
      <c r="S6" s="2766">
        <v>0.01</v>
      </c>
      <c r="T6" s="2769">
        <f t="shared" si="3"/>
        <v>36.201527639999995</v>
      </c>
      <c r="U6" s="2769">
        <f t="shared" si="4"/>
        <v>56.888114862857137</v>
      </c>
      <c r="V6" s="2810">
        <f t="shared" ref="V6:V68" si="6">IFERROR((P6+U6)/1000," ")</f>
        <v>0.22230862914857141</v>
      </c>
    </row>
    <row r="7" spans="1:22" x14ac:dyDescent="0.25">
      <c r="A7" s="2808" t="s">
        <v>334</v>
      </c>
      <c r="B7" s="2770">
        <v>1103</v>
      </c>
      <c r="C7" s="2766" t="s">
        <v>2021</v>
      </c>
      <c r="D7" s="2766" t="s">
        <v>334</v>
      </c>
      <c r="E7" s="2766" t="s">
        <v>2020</v>
      </c>
      <c r="F7" s="2766">
        <v>110301</v>
      </c>
      <c r="G7" s="2766" t="s">
        <v>2879</v>
      </c>
      <c r="H7" s="2766">
        <f>Dataark_til_bilag3_2018[[#This Row],[Staldkode]]+Dataark_til_bilag3_2018[[#This Row],[Dyrekode]]</f>
        <v>111404</v>
      </c>
      <c r="I7" s="4347">
        <v>26.5</v>
      </c>
      <c r="J7" s="2766"/>
      <c r="K7" s="2766" t="s">
        <v>350</v>
      </c>
      <c r="L7" s="2767">
        <v>50</v>
      </c>
      <c r="M7" s="2766">
        <f t="shared" si="5"/>
        <v>1325</v>
      </c>
      <c r="N7" s="2766">
        <v>0.01</v>
      </c>
      <c r="O7" s="2766">
        <f t="shared" si="0"/>
        <v>13.25</v>
      </c>
      <c r="P7" s="2769">
        <f t="shared" si="1"/>
        <v>20.821428571428573</v>
      </c>
      <c r="Q7" s="2809">
        <v>0.34389999999999998</v>
      </c>
      <c r="R7" s="2769">
        <f t="shared" si="2"/>
        <v>455.66749999999996</v>
      </c>
      <c r="S7" s="2766">
        <v>0.01</v>
      </c>
      <c r="T7" s="2769">
        <f t="shared" si="3"/>
        <v>4.5566749999999994</v>
      </c>
      <c r="U7" s="2769">
        <f t="shared" si="4"/>
        <v>7.1604892857142843</v>
      </c>
      <c r="V7" s="2810">
        <f t="shared" si="6"/>
        <v>2.7981917857142859E-2</v>
      </c>
    </row>
    <row r="8" spans="1:22" x14ac:dyDescent="0.25">
      <c r="A8" s="2808" t="s">
        <v>334</v>
      </c>
      <c r="B8" s="2770">
        <v>1104</v>
      </c>
      <c r="C8" s="2766" t="s">
        <v>2019</v>
      </c>
      <c r="D8" s="2766" t="s">
        <v>334</v>
      </c>
      <c r="E8" s="2766" t="s">
        <v>2018</v>
      </c>
      <c r="F8" s="2766">
        <v>110401</v>
      </c>
      <c r="G8" s="2766" t="s">
        <v>2879</v>
      </c>
      <c r="H8" s="2766">
        <f>Dataark_til_bilag3_2018[[#This Row],[Staldkode]]+Dataark_til_bilag3_2018[[#This Row],[Dyrekode]]</f>
        <v>111505</v>
      </c>
      <c r="I8" s="4347">
        <v>0</v>
      </c>
      <c r="J8" s="2766"/>
      <c r="K8" s="2766" t="s">
        <v>350</v>
      </c>
      <c r="L8" s="2767">
        <v>63</v>
      </c>
      <c r="M8" s="2766">
        <f t="shared" si="5"/>
        <v>0</v>
      </c>
      <c r="N8" s="2766">
        <v>0.01</v>
      </c>
      <c r="O8" s="2766">
        <f t="shared" si="0"/>
        <v>0</v>
      </c>
      <c r="P8" s="2769">
        <f t="shared" si="1"/>
        <v>0</v>
      </c>
      <c r="Q8" s="2809">
        <v>0.34389999999999998</v>
      </c>
      <c r="R8" s="2769">
        <f t="shared" si="2"/>
        <v>0</v>
      </c>
      <c r="S8" s="2766">
        <v>0.01</v>
      </c>
      <c r="T8" s="2769">
        <f t="shared" si="3"/>
        <v>0</v>
      </c>
      <c r="U8" s="2769">
        <f t="shared" si="4"/>
        <v>0</v>
      </c>
      <c r="V8" s="2810">
        <f t="shared" si="6"/>
        <v>0</v>
      </c>
    </row>
    <row r="9" spans="1:22" x14ac:dyDescent="0.25">
      <c r="A9" s="2808" t="s">
        <v>1980</v>
      </c>
      <c r="B9" s="2770">
        <v>1201</v>
      </c>
      <c r="C9" s="2766" t="s">
        <v>2017</v>
      </c>
      <c r="D9" s="2766" t="s">
        <v>341</v>
      </c>
      <c r="E9" s="2766" t="s">
        <v>1989</v>
      </c>
      <c r="F9" s="2766">
        <v>120101</v>
      </c>
      <c r="G9" s="2766" t="s">
        <v>639</v>
      </c>
      <c r="H9" s="2766">
        <f>Dataark_til_bilag3_2018[[#This Row],[Staldkode]]+Dataark_til_bilag3_2018[[#This Row],[Dyrekode]]</f>
        <v>121302</v>
      </c>
      <c r="I9" s="4347">
        <v>0</v>
      </c>
      <c r="J9" s="2766" t="s">
        <v>1903</v>
      </c>
      <c r="K9" s="2766"/>
      <c r="L9" s="2767">
        <v>160.5</v>
      </c>
      <c r="M9" s="2766">
        <f t="shared" si="5"/>
        <v>0</v>
      </c>
      <c r="N9" s="2766">
        <v>5.0000000000000001E-3</v>
      </c>
      <c r="O9" s="2766">
        <f t="shared" si="0"/>
        <v>0</v>
      </c>
      <c r="P9" s="2769">
        <f t="shared" si="1"/>
        <v>0</v>
      </c>
      <c r="Q9" s="2809">
        <v>7.8E-2</v>
      </c>
      <c r="R9" s="2769">
        <f t="shared" si="2"/>
        <v>0</v>
      </c>
      <c r="S9" s="2766">
        <v>0.01</v>
      </c>
      <c r="T9" s="2769">
        <f t="shared" si="3"/>
        <v>0</v>
      </c>
      <c r="U9" s="2769">
        <f t="shared" si="4"/>
        <v>0</v>
      </c>
      <c r="V9" s="2810">
        <f t="shared" si="6"/>
        <v>0</v>
      </c>
    </row>
    <row r="10" spans="1:22" x14ac:dyDescent="0.25">
      <c r="A10" s="2808" t="s">
        <v>1980</v>
      </c>
      <c r="B10" s="2770">
        <v>1201</v>
      </c>
      <c r="C10" s="2766" t="s">
        <v>2017</v>
      </c>
      <c r="D10" s="2766" t="s">
        <v>341</v>
      </c>
      <c r="E10" s="2766" t="s">
        <v>1988</v>
      </c>
      <c r="F10" s="2766">
        <v>120102</v>
      </c>
      <c r="G10" s="2766" t="s">
        <v>639</v>
      </c>
      <c r="H10" s="2766">
        <f>Dataark_til_bilag3_2018[[#This Row],[Staldkode]]+Dataark_til_bilag3_2018[[#This Row],[Dyrekode]]</f>
        <v>121303</v>
      </c>
      <c r="I10" s="4347">
        <v>0</v>
      </c>
      <c r="J10" s="2766" t="s">
        <v>1977</v>
      </c>
      <c r="K10" s="2766"/>
      <c r="L10" s="2767">
        <v>160.5</v>
      </c>
      <c r="M10" s="2766">
        <f t="shared" si="5"/>
        <v>0</v>
      </c>
      <c r="N10" s="2766">
        <v>5.0000000000000001E-3</v>
      </c>
      <c r="O10" s="2766">
        <f t="shared" si="0"/>
        <v>0</v>
      </c>
      <c r="P10" s="2769">
        <f t="shared" si="1"/>
        <v>0</v>
      </c>
      <c r="Q10" s="2809">
        <v>7.8E-2</v>
      </c>
      <c r="R10" s="2769">
        <f t="shared" si="2"/>
        <v>0</v>
      </c>
      <c r="S10" s="2766">
        <v>0.01</v>
      </c>
      <c r="T10" s="2769">
        <f t="shared" si="3"/>
        <v>0</v>
      </c>
      <c r="U10" s="2769">
        <f t="shared" si="4"/>
        <v>0</v>
      </c>
      <c r="V10" s="2810">
        <f t="shared" si="6"/>
        <v>0</v>
      </c>
    </row>
    <row r="11" spans="1:22" x14ac:dyDescent="0.25">
      <c r="A11" s="2770" t="s">
        <v>1980</v>
      </c>
      <c r="B11" s="2770">
        <v>1201</v>
      </c>
      <c r="C11" s="2770" t="s">
        <v>2017</v>
      </c>
      <c r="D11" s="2766" t="s">
        <v>341</v>
      </c>
      <c r="E11" s="2766" t="s">
        <v>1995</v>
      </c>
      <c r="F11" s="2791">
        <v>120103</v>
      </c>
      <c r="G11" s="2766" t="s">
        <v>354</v>
      </c>
      <c r="H11" s="2766">
        <f>Dataark_til_bilag3_2018[[#This Row],[Staldkode]]+Dataark_til_bilag3_2018[[#This Row],[Dyrekode]]</f>
        <v>121304</v>
      </c>
      <c r="I11" s="4347">
        <v>0</v>
      </c>
      <c r="J11" s="2766" t="s">
        <v>1977</v>
      </c>
      <c r="K11" s="2766"/>
      <c r="L11" s="2767">
        <v>160.5</v>
      </c>
      <c r="M11" s="2766">
        <f t="shared" si="5"/>
        <v>0</v>
      </c>
      <c r="N11" s="2766">
        <v>5.0000000000000001E-3</v>
      </c>
      <c r="O11" s="2766">
        <f t="shared" si="0"/>
        <v>0</v>
      </c>
      <c r="P11" s="2769">
        <f t="shared" si="1"/>
        <v>0</v>
      </c>
      <c r="Q11" s="2809">
        <v>7.8E-2</v>
      </c>
      <c r="R11" s="2769">
        <f t="shared" si="2"/>
        <v>0</v>
      </c>
      <c r="S11" s="2766">
        <v>0.01</v>
      </c>
      <c r="T11" s="2769">
        <f t="shared" si="3"/>
        <v>0</v>
      </c>
      <c r="U11" s="2769">
        <f t="shared" si="4"/>
        <v>0</v>
      </c>
      <c r="V11" s="2810">
        <f t="shared" si="6"/>
        <v>0</v>
      </c>
    </row>
    <row r="12" spans="1:22" x14ac:dyDescent="0.25">
      <c r="A12" s="2770" t="s">
        <v>1980</v>
      </c>
      <c r="B12" s="2770">
        <v>1201</v>
      </c>
      <c r="C12" s="2766" t="s">
        <v>2017</v>
      </c>
      <c r="D12" s="2766" t="s">
        <v>341</v>
      </c>
      <c r="E12" s="2766" t="s">
        <v>2003</v>
      </c>
      <c r="F12" s="2791">
        <v>120104</v>
      </c>
      <c r="G12" s="2766" t="s">
        <v>354</v>
      </c>
      <c r="H12" s="2766">
        <f>Dataark_til_bilag3_2018[[#This Row],[Staldkode]]+Dataark_til_bilag3_2018[[#This Row],[Dyrekode]]</f>
        <v>121305</v>
      </c>
      <c r="I12" s="4347">
        <v>0</v>
      </c>
      <c r="J12" s="2766" t="s">
        <v>1977</v>
      </c>
      <c r="K12" s="2766"/>
      <c r="L12" s="2767">
        <v>160.5</v>
      </c>
      <c r="M12" s="2766">
        <f t="shared" si="5"/>
        <v>0</v>
      </c>
      <c r="N12" s="2766">
        <v>5.0000000000000001E-3</v>
      </c>
      <c r="O12" s="2766">
        <f t="shared" si="0"/>
        <v>0</v>
      </c>
      <c r="P12" s="2769">
        <f t="shared" si="1"/>
        <v>0</v>
      </c>
      <c r="Q12" s="2809">
        <v>7.8E-2</v>
      </c>
      <c r="R12" s="2769">
        <f t="shared" si="2"/>
        <v>0</v>
      </c>
      <c r="S12" s="2766">
        <v>0.01</v>
      </c>
      <c r="T12" s="2769">
        <f t="shared" si="3"/>
        <v>0</v>
      </c>
      <c r="U12" s="2769">
        <f t="shared" si="4"/>
        <v>0</v>
      </c>
      <c r="V12" s="2810">
        <f t="shared" si="6"/>
        <v>0</v>
      </c>
    </row>
    <row r="13" spans="1:22" x14ac:dyDescent="0.25">
      <c r="A13" s="2770" t="s">
        <v>1980</v>
      </c>
      <c r="B13" s="2770">
        <v>1201</v>
      </c>
      <c r="C13" s="2766" t="s">
        <v>2017</v>
      </c>
      <c r="D13" s="2766" t="s">
        <v>341</v>
      </c>
      <c r="E13" s="2766" t="s">
        <v>2002</v>
      </c>
      <c r="F13" s="2766">
        <v>120105</v>
      </c>
      <c r="G13" s="2766" t="s">
        <v>354</v>
      </c>
      <c r="H13" s="2766">
        <f>Dataark_til_bilag3_2018[[#This Row],[Staldkode]]+Dataark_til_bilag3_2018[[#This Row],[Dyrekode]]</f>
        <v>121306</v>
      </c>
      <c r="I13" s="4347">
        <v>188.07</v>
      </c>
      <c r="J13" s="2766" t="s">
        <v>1977</v>
      </c>
      <c r="K13" s="2766"/>
      <c r="L13" s="2767">
        <v>160.5</v>
      </c>
      <c r="M13" s="2766">
        <f t="shared" si="5"/>
        <v>30185.235000000001</v>
      </c>
      <c r="N13" s="2766">
        <v>5.0000000000000001E-3</v>
      </c>
      <c r="O13" s="2766">
        <f t="shared" si="0"/>
        <v>150.926175</v>
      </c>
      <c r="P13" s="2769">
        <f t="shared" si="1"/>
        <v>237.16970357142856</v>
      </c>
      <c r="Q13" s="2809">
        <v>7.8E-2</v>
      </c>
      <c r="R13" s="2769">
        <f t="shared" si="2"/>
        <v>2354.4483300000002</v>
      </c>
      <c r="S13" s="2766">
        <v>0.01</v>
      </c>
      <c r="T13" s="2769">
        <f t="shared" si="3"/>
        <v>23.544483300000003</v>
      </c>
      <c r="U13" s="2769">
        <f t="shared" si="4"/>
        <v>36.998473757142861</v>
      </c>
      <c r="V13" s="2810">
        <f t="shared" si="6"/>
        <v>0.27416817732857141</v>
      </c>
    </row>
    <row r="14" spans="1:22" x14ac:dyDescent="0.25">
      <c r="A14" s="2808" t="s">
        <v>1980</v>
      </c>
      <c r="B14" s="2770">
        <v>1201</v>
      </c>
      <c r="C14" s="2766" t="s">
        <v>2017</v>
      </c>
      <c r="D14" s="2766" t="s">
        <v>341</v>
      </c>
      <c r="E14" s="2766" t="s">
        <v>2006</v>
      </c>
      <c r="F14" s="2766">
        <v>120106</v>
      </c>
      <c r="G14" s="2766" t="s">
        <v>350</v>
      </c>
      <c r="H14" s="2766">
        <f>Dataark_til_bilag3_2018[[#This Row],[Staldkode]]+Dataark_til_bilag3_2018[[#This Row],[Dyrekode]]</f>
        <v>121307</v>
      </c>
      <c r="I14" s="4347">
        <v>0</v>
      </c>
      <c r="J14" s="2766"/>
      <c r="K14" s="2766" t="s">
        <v>350</v>
      </c>
      <c r="L14" s="2767">
        <v>160.5</v>
      </c>
      <c r="M14" s="2766">
        <f t="shared" si="5"/>
        <v>0</v>
      </c>
      <c r="N14" s="2766">
        <v>0.01</v>
      </c>
      <c r="O14" s="2766">
        <f t="shared" si="0"/>
        <v>0</v>
      </c>
      <c r="P14" s="2769">
        <f t="shared" si="1"/>
        <v>0</v>
      </c>
      <c r="Q14" s="2809">
        <v>7.8E-2</v>
      </c>
      <c r="R14" s="2769">
        <f t="shared" si="2"/>
        <v>0</v>
      </c>
      <c r="S14" s="2766">
        <v>0.01</v>
      </c>
      <c r="T14" s="2769">
        <f t="shared" si="3"/>
        <v>0</v>
      </c>
      <c r="U14" s="2769">
        <f t="shared" si="4"/>
        <v>0</v>
      </c>
      <c r="V14" s="2810">
        <f t="shared" si="6"/>
        <v>0</v>
      </c>
    </row>
    <row r="15" spans="1:22" x14ac:dyDescent="0.25">
      <c r="A15" s="2808" t="s">
        <v>1980</v>
      </c>
      <c r="B15" s="2770">
        <v>1201</v>
      </c>
      <c r="C15" s="2766" t="s">
        <v>2017</v>
      </c>
      <c r="D15" s="2766" t="s">
        <v>341</v>
      </c>
      <c r="E15" s="2766" t="s">
        <v>1985</v>
      </c>
      <c r="F15" s="2766">
        <v>120107</v>
      </c>
      <c r="G15" s="2766" t="s">
        <v>350</v>
      </c>
      <c r="H15" s="2766">
        <f>Dataark_til_bilag3_2018[[#This Row],[Staldkode]]+Dataark_til_bilag3_2018[[#This Row],[Dyrekode]]</f>
        <v>121308</v>
      </c>
      <c r="I15" s="4347">
        <v>0</v>
      </c>
      <c r="J15" s="2766" t="s">
        <v>1977</v>
      </c>
      <c r="K15" s="2766"/>
      <c r="L15" s="2767">
        <v>160.5</v>
      </c>
      <c r="M15" s="2766">
        <f t="shared" si="5"/>
        <v>0</v>
      </c>
      <c r="N15" s="2766">
        <v>5.0000000000000001E-3</v>
      </c>
      <c r="O15" s="2766">
        <f t="shared" si="0"/>
        <v>0</v>
      </c>
      <c r="P15" s="2769">
        <f t="shared" si="1"/>
        <v>0</v>
      </c>
      <c r="Q15" s="2809">
        <v>7.8E-2</v>
      </c>
      <c r="R15" s="2769">
        <f t="shared" si="2"/>
        <v>0</v>
      </c>
      <c r="S15" s="2766">
        <v>0.01</v>
      </c>
      <c r="T15" s="2769">
        <f t="shared" si="3"/>
        <v>0</v>
      </c>
      <c r="U15" s="2769">
        <f t="shared" si="4"/>
        <v>0</v>
      </c>
      <c r="V15" s="2810">
        <f t="shared" si="6"/>
        <v>0</v>
      </c>
    </row>
    <row r="16" spans="1:22" x14ac:dyDescent="0.25">
      <c r="A16" s="2808" t="s">
        <v>1980</v>
      </c>
      <c r="B16" s="2770">
        <v>1201</v>
      </c>
      <c r="C16" s="2766" t="s">
        <v>2017</v>
      </c>
      <c r="D16" s="2766" t="s">
        <v>341</v>
      </c>
      <c r="E16" s="2766" t="s">
        <v>1984</v>
      </c>
      <c r="F16" s="2766">
        <v>120108</v>
      </c>
      <c r="G16" s="2766" t="s">
        <v>350</v>
      </c>
      <c r="H16" s="2766">
        <f>Dataark_til_bilag3_2018[[#This Row],[Staldkode]]+Dataark_til_bilag3_2018[[#This Row],[Dyrekode]]</f>
        <v>121309</v>
      </c>
      <c r="I16" s="4347">
        <v>0</v>
      </c>
      <c r="J16" s="2766" t="s">
        <v>1977</v>
      </c>
      <c r="K16" s="2766"/>
      <c r="L16" s="2767">
        <v>160.5</v>
      </c>
      <c r="M16" s="2766">
        <f t="shared" si="5"/>
        <v>0</v>
      </c>
      <c r="N16" s="2766">
        <v>5.0000000000000001E-3</v>
      </c>
      <c r="O16" s="2766">
        <f t="shared" si="0"/>
        <v>0</v>
      </c>
      <c r="P16" s="2769">
        <f t="shared" si="1"/>
        <v>0</v>
      </c>
      <c r="Q16" s="2809">
        <v>7.8E-2</v>
      </c>
      <c r="R16" s="2769">
        <f t="shared" si="2"/>
        <v>0</v>
      </c>
      <c r="S16" s="2766">
        <v>0.01</v>
      </c>
      <c r="T16" s="2769">
        <f t="shared" si="3"/>
        <v>0</v>
      </c>
      <c r="U16" s="2769">
        <f t="shared" si="4"/>
        <v>0</v>
      </c>
      <c r="V16" s="2810">
        <f t="shared" si="6"/>
        <v>0</v>
      </c>
    </row>
    <row r="17" spans="1:22" x14ac:dyDescent="0.25">
      <c r="A17" s="2808" t="s">
        <v>1980</v>
      </c>
      <c r="B17" s="2770">
        <v>1201</v>
      </c>
      <c r="C17" s="2766" t="s">
        <v>2017</v>
      </c>
      <c r="D17" s="2766" t="s">
        <v>341</v>
      </c>
      <c r="E17" s="2766" t="s">
        <v>1983</v>
      </c>
      <c r="F17" s="2766">
        <v>120109</v>
      </c>
      <c r="G17" s="2766" t="s">
        <v>350</v>
      </c>
      <c r="H17" s="2766">
        <f>Dataark_til_bilag3_2018[[#This Row],[Staldkode]]+Dataark_til_bilag3_2018[[#This Row],[Dyrekode]]</f>
        <v>121310</v>
      </c>
      <c r="I17" s="4347">
        <v>0</v>
      </c>
      <c r="J17" s="2766" t="s">
        <v>1977</v>
      </c>
      <c r="K17" s="2766"/>
      <c r="L17" s="2767">
        <v>160.5</v>
      </c>
      <c r="M17" s="2766">
        <f t="shared" si="5"/>
        <v>0</v>
      </c>
      <c r="N17" s="2766">
        <v>5.0000000000000001E-3</v>
      </c>
      <c r="O17" s="2766">
        <f t="shared" si="0"/>
        <v>0</v>
      </c>
      <c r="P17" s="2769">
        <f t="shared" si="1"/>
        <v>0</v>
      </c>
      <c r="Q17" s="2809">
        <v>7.8E-2</v>
      </c>
      <c r="R17" s="2769">
        <f t="shared" si="2"/>
        <v>0</v>
      </c>
      <c r="S17" s="2766">
        <v>0.01</v>
      </c>
      <c r="T17" s="2769">
        <f t="shared" si="3"/>
        <v>0</v>
      </c>
      <c r="U17" s="2769">
        <f t="shared" si="4"/>
        <v>0</v>
      </c>
      <c r="V17" s="2810">
        <f t="shared" si="6"/>
        <v>0</v>
      </c>
    </row>
    <row r="18" spans="1:22" x14ac:dyDescent="0.25">
      <c r="A18" s="2808" t="s">
        <v>1980</v>
      </c>
      <c r="B18" s="2770">
        <v>1201</v>
      </c>
      <c r="C18" s="2766" t="s">
        <v>2017</v>
      </c>
      <c r="D18" s="2766" t="s">
        <v>341</v>
      </c>
      <c r="E18" s="2766" t="s">
        <v>1990</v>
      </c>
      <c r="F18" s="2766">
        <v>120114</v>
      </c>
      <c r="G18" s="2766" t="s">
        <v>354</v>
      </c>
      <c r="H18" s="2766">
        <f>Dataark_til_bilag3_2018[[#This Row],[Staldkode]]+Dataark_til_bilag3_2018[[#This Row],[Dyrekode]]</f>
        <v>121315</v>
      </c>
      <c r="I18" s="4347">
        <v>0</v>
      </c>
      <c r="J18" s="2766" t="s">
        <v>1977</v>
      </c>
      <c r="K18" s="2766"/>
      <c r="L18" s="2767">
        <v>160.5</v>
      </c>
      <c r="M18" s="2766">
        <f t="shared" si="5"/>
        <v>0</v>
      </c>
      <c r="N18" s="2766">
        <v>5.0000000000000001E-3</v>
      </c>
      <c r="O18" s="2766">
        <f t="shared" si="0"/>
        <v>0</v>
      </c>
      <c r="P18" s="2769">
        <f t="shared" si="1"/>
        <v>0</v>
      </c>
      <c r="Q18" s="2809">
        <v>7.8E-2</v>
      </c>
      <c r="R18" s="2769">
        <f t="shared" si="2"/>
        <v>0</v>
      </c>
      <c r="S18" s="2766">
        <v>0.01</v>
      </c>
      <c r="T18" s="2769">
        <f t="shared" si="3"/>
        <v>0</v>
      </c>
      <c r="U18" s="2769">
        <f t="shared" si="4"/>
        <v>0</v>
      </c>
      <c r="V18" s="2810">
        <f t="shared" si="6"/>
        <v>0</v>
      </c>
    </row>
    <row r="19" spans="1:22" x14ac:dyDescent="0.25">
      <c r="A19" s="2808" t="s">
        <v>1980</v>
      </c>
      <c r="B19" s="2770">
        <v>1201</v>
      </c>
      <c r="C19" s="2766" t="s">
        <v>2017</v>
      </c>
      <c r="D19" s="2766" t="s">
        <v>341</v>
      </c>
      <c r="E19" s="2766" t="s">
        <v>2016</v>
      </c>
      <c r="F19" s="2766">
        <v>120115</v>
      </c>
      <c r="G19" s="2766" t="s">
        <v>350</v>
      </c>
      <c r="H19" s="2766">
        <f>Dataark_til_bilag3_2018[[#This Row],[Staldkode]]+Dataark_til_bilag3_2018[[#This Row],[Dyrekode]]</f>
        <v>121316</v>
      </c>
      <c r="I19" s="4347">
        <v>0</v>
      </c>
      <c r="J19" s="2766" t="s">
        <v>1977</v>
      </c>
      <c r="K19" s="2766"/>
      <c r="L19" s="2767">
        <v>160.5</v>
      </c>
      <c r="M19" s="2766">
        <f t="shared" si="5"/>
        <v>0</v>
      </c>
      <c r="N19" s="2766">
        <v>5.0000000000000001E-3</v>
      </c>
      <c r="O19" s="2766">
        <f t="shared" si="0"/>
        <v>0</v>
      </c>
      <c r="P19" s="2769">
        <f t="shared" si="1"/>
        <v>0</v>
      </c>
      <c r="Q19" s="2809">
        <v>7.8E-2</v>
      </c>
      <c r="R19" s="2769">
        <f t="shared" si="2"/>
        <v>0</v>
      </c>
      <c r="S19" s="2766">
        <v>0.01</v>
      </c>
      <c r="T19" s="2769">
        <f t="shared" si="3"/>
        <v>0</v>
      </c>
      <c r="U19" s="2769">
        <f t="shared" si="4"/>
        <v>0</v>
      </c>
      <c r="V19" s="2810">
        <f t="shared" si="6"/>
        <v>0</v>
      </c>
    </row>
    <row r="20" spans="1:22" x14ac:dyDescent="0.25">
      <c r="A20" s="2808" t="s">
        <v>1980</v>
      </c>
      <c r="B20" s="2770">
        <v>1202</v>
      </c>
      <c r="C20" s="2766" t="s">
        <v>2803</v>
      </c>
      <c r="D20" s="2766" t="s">
        <v>340</v>
      </c>
      <c r="E20" s="2766" t="s">
        <v>2006</v>
      </c>
      <c r="F20" s="2766">
        <v>120201</v>
      </c>
      <c r="G20" s="2766" t="s">
        <v>350</v>
      </c>
      <c r="H20" s="2766">
        <f>Dataark_til_bilag3_2018[[#This Row],[Staldkode]]+Dataark_til_bilag3_2018[[#This Row],[Dyrekode]]</f>
        <v>121403</v>
      </c>
      <c r="I20" s="4347">
        <v>161.9</v>
      </c>
      <c r="J20" s="2766"/>
      <c r="K20" s="2766" t="s">
        <v>350</v>
      </c>
      <c r="L20" s="2767">
        <v>26.7</v>
      </c>
      <c r="M20" s="2766">
        <f t="shared" si="5"/>
        <v>4322.7300000000005</v>
      </c>
      <c r="N20" s="2766">
        <v>0.01</v>
      </c>
      <c r="O20" s="2766">
        <f t="shared" si="0"/>
        <v>43.227300000000007</v>
      </c>
      <c r="P20" s="2769">
        <f t="shared" si="1"/>
        <v>67.928614285714303</v>
      </c>
      <c r="Q20" s="2809">
        <v>9.7299999999999998E-2</v>
      </c>
      <c r="R20" s="2769">
        <f t="shared" si="2"/>
        <v>420.60162900000006</v>
      </c>
      <c r="S20" s="2766">
        <v>0.01</v>
      </c>
      <c r="T20" s="2769">
        <f t="shared" si="3"/>
        <v>4.2060162900000009</v>
      </c>
      <c r="U20" s="2769">
        <f t="shared" si="4"/>
        <v>6.6094541700000011</v>
      </c>
      <c r="V20" s="2810">
        <f t="shared" si="6"/>
        <v>7.4538068455714312E-2</v>
      </c>
    </row>
    <row r="21" spans="1:22" x14ac:dyDescent="0.25">
      <c r="A21" s="2808" t="s">
        <v>1980</v>
      </c>
      <c r="B21" s="2770">
        <v>1202</v>
      </c>
      <c r="C21" s="2766" t="s">
        <v>2803</v>
      </c>
      <c r="D21" s="2766" t="s">
        <v>340</v>
      </c>
      <c r="E21" s="2766" t="s">
        <v>2004</v>
      </c>
      <c r="F21" s="2766">
        <v>120202</v>
      </c>
      <c r="G21" s="2766" t="s">
        <v>350</v>
      </c>
      <c r="H21" s="2766">
        <f>Dataark_til_bilag3_2018[[#This Row],[Staldkode]]+Dataark_til_bilag3_2018[[#This Row],[Dyrekode]]</f>
        <v>121404</v>
      </c>
      <c r="I21" s="4347">
        <v>7.98</v>
      </c>
      <c r="J21" s="2766"/>
      <c r="K21" s="2766" t="s">
        <v>350</v>
      </c>
      <c r="L21" s="2767">
        <v>26.7</v>
      </c>
      <c r="M21" s="2766">
        <f t="shared" si="5"/>
        <v>213.066</v>
      </c>
      <c r="N21" s="2766">
        <v>0.01</v>
      </c>
      <c r="O21" s="2766">
        <f t="shared" si="0"/>
        <v>2.1306600000000002</v>
      </c>
      <c r="P21" s="2769">
        <f t="shared" si="1"/>
        <v>3.3481800000000002</v>
      </c>
      <c r="Q21" s="2809">
        <v>9.7299999999999998E-2</v>
      </c>
      <c r="R21" s="2769">
        <f t="shared" si="2"/>
        <v>20.7313218</v>
      </c>
      <c r="S21" s="2766">
        <v>0.01</v>
      </c>
      <c r="T21" s="2769">
        <f t="shared" si="3"/>
        <v>0.20731321799999999</v>
      </c>
      <c r="U21" s="2769">
        <f t="shared" si="4"/>
        <v>0.325777914</v>
      </c>
      <c r="V21" s="2810">
        <f t="shared" si="6"/>
        <v>3.6739579140000001E-3</v>
      </c>
    </row>
    <row r="22" spans="1:22" x14ac:dyDescent="0.25">
      <c r="A22" s="2808" t="s">
        <v>1980</v>
      </c>
      <c r="B22" s="2770">
        <v>1203</v>
      </c>
      <c r="C22" s="2766" t="s">
        <v>2761</v>
      </c>
      <c r="D22" s="2766" t="s">
        <v>336</v>
      </c>
      <c r="E22" s="2766" t="s">
        <v>1989</v>
      </c>
      <c r="F22" s="2766">
        <v>120301</v>
      </c>
      <c r="G22" s="2766" t="s">
        <v>639</v>
      </c>
      <c r="H22" s="2766">
        <f>Dataark_til_bilag3_2018[[#This Row],[Staldkode]]+Dataark_til_bilag3_2018[[#This Row],[Dyrekode]]</f>
        <v>121504</v>
      </c>
      <c r="I22" s="4347">
        <v>37.799999999999997</v>
      </c>
      <c r="J22" s="2766" t="s">
        <v>1903</v>
      </c>
      <c r="K22" s="2766"/>
      <c r="L22" s="2767">
        <v>50.4</v>
      </c>
      <c r="M22" s="2766">
        <f t="shared" si="5"/>
        <v>1905.12</v>
      </c>
      <c r="N22" s="2766">
        <v>5.0000000000000001E-3</v>
      </c>
      <c r="O22" s="2766">
        <f t="shared" si="0"/>
        <v>9.525599999999999</v>
      </c>
      <c r="P22" s="2769">
        <f t="shared" si="1"/>
        <v>14.968799999999998</v>
      </c>
      <c r="Q22" s="2809">
        <v>9.7299999999999998E-2</v>
      </c>
      <c r="R22" s="2769">
        <f t="shared" si="2"/>
        <v>185.36817599999998</v>
      </c>
      <c r="S22" s="2766">
        <v>0.01</v>
      </c>
      <c r="T22" s="2769">
        <f t="shared" si="3"/>
        <v>1.8536817599999997</v>
      </c>
      <c r="U22" s="2769">
        <f t="shared" si="4"/>
        <v>2.9129284799999993</v>
      </c>
      <c r="V22" s="2810">
        <f t="shared" si="6"/>
        <v>1.7881728479999998E-2</v>
      </c>
    </row>
    <row r="23" spans="1:22" x14ac:dyDescent="0.25">
      <c r="A23" s="2808" t="s">
        <v>1980</v>
      </c>
      <c r="B23" s="2770">
        <v>1203</v>
      </c>
      <c r="C23" s="2766" t="s">
        <v>2761</v>
      </c>
      <c r="D23" s="2766" t="s">
        <v>336</v>
      </c>
      <c r="E23" s="2766" t="s">
        <v>1988</v>
      </c>
      <c r="F23" s="2766">
        <v>120302</v>
      </c>
      <c r="G23" s="2766" t="s">
        <v>639</v>
      </c>
      <c r="H23" s="2766">
        <f>Dataark_til_bilag3_2018[[#This Row],[Staldkode]]+Dataark_til_bilag3_2018[[#This Row],[Dyrekode]]</f>
        <v>121505</v>
      </c>
      <c r="I23" s="4347">
        <v>0</v>
      </c>
      <c r="J23" s="2766" t="s">
        <v>1977</v>
      </c>
      <c r="K23" s="2766"/>
      <c r="L23" s="2767">
        <v>50.4</v>
      </c>
      <c r="M23" s="2766">
        <f t="shared" si="5"/>
        <v>0</v>
      </c>
      <c r="N23" s="2766">
        <v>5.0000000000000001E-3</v>
      </c>
      <c r="O23" s="2766">
        <f t="shared" si="0"/>
        <v>0</v>
      </c>
      <c r="P23" s="2769">
        <f t="shared" si="1"/>
        <v>0</v>
      </c>
      <c r="Q23" s="2809">
        <v>9.7299999999999998E-2</v>
      </c>
      <c r="R23" s="2769">
        <f t="shared" si="2"/>
        <v>0</v>
      </c>
      <c r="S23" s="2766">
        <v>0.01</v>
      </c>
      <c r="T23" s="2769">
        <f t="shared" si="3"/>
        <v>0</v>
      </c>
      <c r="U23" s="2769">
        <f t="shared" si="4"/>
        <v>0</v>
      </c>
      <c r="V23" s="2810">
        <f t="shared" si="6"/>
        <v>0</v>
      </c>
    </row>
    <row r="24" spans="1:22" x14ac:dyDescent="0.25">
      <c r="A24" s="2808" t="s">
        <v>1980</v>
      </c>
      <c r="B24" s="2770">
        <v>1203</v>
      </c>
      <c r="C24" s="2766" t="s">
        <v>2761</v>
      </c>
      <c r="D24" s="2766" t="s">
        <v>336</v>
      </c>
      <c r="E24" s="2766" t="s">
        <v>1995</v>
      </c>
      <c r="F24" s="2766">
        <v>120303</v>
      </c>
      <c r="G24" s="2766" t="s">
        <v>354</v>
      </c>
      <c r="H24" s="2766">
        <f>Dataark_til_bilag3_2018[[#This Row],[Staldkode]]+Dataark_til_bilag3_2018[[#This Row],[Dyrekode]]</f>
        <v>121506</v>
      </c>
      <c r="I24" s="4347">
        <v>0</v>
      </c>
      <c r="J24" s="2766" t="s">
        <v>1977</v>
      </c>
      <c r="K24" s="2766"/>
      <c r="L24" s="2767">
        <v>50.4</v>
      </c>
      <c r="M24" s="2766">
        <f t="shared" si="5"/>
        <v>0</v>
      </c>
      <c r="N24" s="2766">
        <v>5.0000000000000001E-3</v>
      </c>
      <c r="O24" s="2766">
        <f t="shared" si="0"/>
        <v>0</v>
      </c>
      <c r="P24" s="2769">
        <f t="shared" si="1"/>
        <v>0</v>
      </c>
      <c r="Q24" s="2809">
        <v>9.7299999999999998E-2</v>
      </c>
      <c r="R24" s="2769">
        <f t="shared" si="2"/>
        <v>0</v>
      </c>
      <c r="S24" s="2766">
        <v>0.01</v>
      </c>
      <c r="T24" s="2769">
        <f t="shared" si="3"/>
        <v>0</v>
      </c>
      <c r="U24" s="2769">
        <f t="shared" si="4"/>
        <v>0</v>
      </c>
      <c r="V24" s="2810">
        <f t="shared" si="6"/>
        <v>0</v>
      </c>
    </row>
    <row r="25" spans="1:22" x14ac:dyDescent="0.25">
      <c r="A25" s="2808" t="s">
        <v>1980</v>
      </c>
      <c r="B25" s="2770">
        <v>1203</v>
      </c>
      <c r="C25" s="2766" t="s">
        <v>2761</v>
      </c>
      <c r="D25" s="2766" t="s">
        <v>336</v>
      </c>
      <c r="E25" s="2766" t="s">
        <v>1982</v>
      </c>
      <c r="F25" s="2766">
        <v>120304</v>
      </c>
      <c r="G25" s="2766" t="s">
        <v>354</v>
      </c>
      <c r="H25" s="2766">
        <f>Dataark_til_bilag3_2018[[#This Row],[Staldkode]]+Dataark_til_bilag3_2018[[#This Row],[Dyrekode]]</f>
        <v>121507</v>
      </c>
      <c r="I25" s="4347">
        <v>0</v>
      </c>
      <c r="J25" s="2766" t="s">
        <v>1977</v>
      </c>
      <c r="K25" s="2766"/>
      <c r="L25" s="2767">
        <v>50.4</v>
      </c>
      <c r="M25" s="2766">
        <f t="shared" si="5"/>
        <v>0</v>
      </c>
      <c r="N25" s="2766">
        <v>5.0000000000000001E-3</v>
      </c>
      <c r="O25" s="2766">
        <f t="shared" si="0"/>
        <v>0</v>
      </c>
      <c r="P25" s="2769">
        <f t="shared" si="1"/>
        <v>0</v>
      </c>
      <c r="Q25" s="2809">
        <v>9.7299999999999998E-2</v>
      </c>
      <c r="R25" s="2769">
        <f t="shared" si="2"/>
        <v>0</v>
      </c>
      <c r="S25" s="2766">
        <v>0.01</v>
      </c>
      <c r="T25" s="2769">
        <f t="shared" si="3"/>
        <v>0</v>
      </c>
      <c r="U25" s="2769">
        <f t="shared" si="4"/>
        <v>0</v>
      </c>
      <c r="V25" s="2810">
        <f t="shared" si="6"/>
        <v>0</v>
      </c>
    </row>
    <row r="26" spans="1:22" x14ac:dyDescent="0.25">
      <c r="A26" s="2808" t="s">
        <v>1980</v>
      </c>
      <c r="B26" s="2770">
        <v>1203</v>
      </c>
      <c r="C26" s="2766" t="s">
        <v>2761</v>
      </c>
      <c r="D26" s="2766" t="s">
        <v>336</v>
      </c>
      <c r="E26" s="2766" t="s">
        <v>1994</v>
      </c>
      <c r="F26" s="2766">
        <v>120305</v>
      </c>
      <c r="G26" s="2766" t="s">
        <v>354</v>
      </c>
      <c r="H26" s="2766">
        <f>Dataark_til_bilag3_2018[[#This Row],[Staldkode]]+Dataark_til_bilag3_2018[[#This Row],[Dyrekode]]</f>
        <v>121508</v>
      </c>
      <c r="I26" s="4347">
        <v>0</v>
      </c>
      <c r="J26" s="2766" t="s">
        <v>1977</v>
      </c>
      <c r="K26" s="2766"/>
      <c r="L26" s="2767">
        <v>50.4</v>
      </c>
      <c r="M26" s="2766">
        <f t="shared" si="5"/>
        <v>0</v>
      </c>
      <c r="N26" s="2766">
        <v>5.0000000000000001E-3</v>
      </c>
      <c r="O26" s="2766">
        <f t="shared" si="0"/>
        <v>0</v>
      </c>
      <c r="P26" s="2769">
        <f t="shared" si="1"/>
        <v>0</v>
      </c>
      <c r="Q26" s="2809">
        <v>9.7299999999999998E-2</v>
      </c>
      <c r="R26" s="2769">
        <f t="shared" si="2"/>
        <v>0</v>
      </c>
      <c r="S26" s="2766">
        <v>0.01</v>
      </c>
      <c r="T26" s="2769">
        <f t="shared" si="3"/>
        <v>0</v>
      </c>
      <c r="U26" s="2769">
        <f t="shared" si="4"/>
        <v>0</v>
      </c>
      <c r="V26" s="2810">
        <f t="shared" si="6"/>
        <v>0</v>
      </c>
    </row>
    <row r="27" spans="1:22" x14ac:dyDescent="0.25">
      <c r="A27" s="2808" t="s">
        <v>1980</v>
      </c>
      <c r="B27" s="2770">
        <v>1203</v>
      </c>
      <c r="C27" s="2766" t="s">
        <v>2761</v>
      </c>
      <c r="D27" s="2766" t="s">
        <v>336</v>
      </c>
      <c r="E27" s="2766" t="s">
        <v>1987</v>
      </c>
      <c r="F27" s="2766">
        <v>120306</v>
      </c>
      <c r="G27" s="2766" t="s">
        <v>350</v>
      </c>
      <c r="H27" s="2766">
        <f>Dataark_til_bilag3_2018[[#This Row],[Staldkode]]+Dataark_til_bilag3_2018[[#This Row],[Dyrekode]]</f>
        <v>121509</v>
      </c>
      <c r="I27" s="4347">
        <v>356.1</v>
      </c>
      <c r="J27" s="2766"/>
      <c r="K27" s="2766" t="s">
        <v>350</v>
      </c>
      <c r="L27" s="2767">
        <v>50.4</v>
      </c>
      <c r="M27" s="2766">
        <f t="shared" si="5"/>
        <v>17947.440000000002</v>
      </c>
      <c r="N27" s="2766">
        <v>0.01</v>
      </c>
      <c r="O27" s="2766">
        <f t="shared" si="0"/>
        <v>179.47440000000003</v>
      </c>
      <c r="P27" s="2769">
        <f t="shared" si="1"/>
        <v>282.03120000000007</v>
      </c>
      <c r="Q27" s="2809">
        <v>9.7299999999999998E-2</v>
      </c>
      <c r="R27" s="2769">
        <f t="shared" si="2"/>
        <v>1746.2859120000003</v>
      </c>
      <c r="S27" s="2766">
        <v>0.01</v>
      </c>
      <c r="T27" s="2769">
        <f t="shared" si="3"/>
        <v>17.462859120000005</v>
      </c>
      <c r="U27" s="2769">
        <f t="shared" si="4"/>
        <v>27.441635760000004</v>
      </c>
      <c r="V27" s="2810">
        <f t="shared" si="6"/>
        <v>0.30947283576000006</v>
      </c>
    </row>
    <row r="28" spans="1:22" x14ac:dyDescent="0.25">
      <c r="A28" s="2808" t="s">
        <v>1980</v>
      </c>
      <c r="B28" s="2770">
        <v>1203</v>
      </c>
      <c r="C28" s="2766" t="s">
        <v>2761</v>
      </c>
      <c r="D28" s="2766" t="s">
        <v>336</v>
      </c>
      <c r="E28" s="2766" t="s">
        <v>2004</v>
      </c>
      <c r="F28" s="2766">
        <v>120307</v>
      </c>
      <c r="G28" s="2766" t="s">
        <v>350</v>
      </c>
      <c r="H28" s="2766">
        <f>Dataark_til_bilag3_2018[[#This Row],[Staldkode]]+Dataark_til_bilag3_2018[[#This Row],[Dyrekode]]</f>
        <v>121510</v>
      </c>
      <c r="I28" s="4347">
        <v>103.66</v>
      </c>
      <c r="J28" s="2766"/>
      <c r="K28" s="2766" t="s">
        <v>350</v>
      </c>
      <c r="L28" s="2767">
        <v>50.4</v>
      </c>
      <c r="M28" s="2766">
        <f t="shared" si="5"/>
        <v>5224.4639999999999</v>
      </c>
      <c r="N28" s="2766">
        <v>0.01</v>
      </c>
      <c r="O28" s="2766">
        <f t="shared" si="0"/>
        <v>52.244640000000004</v>
      </c>
      <c r="P28" s="2769">
        <f t="shared" si="1"/>
        <v>82.09872</v>
      </c>
      <c r="Q28" s="2809">
        <v>9.7299999999999998E-2</v>
      </c>
      <c r="R28" s="2769">
        <f t="shared" si="2"/>
        <v>508.3403472</v>
      </c>
      <c r="S28" s="2766">
        <v>0.01</v>
      </c>
      <c r="T28" s="2769">
        <f t="shared" si="3"/>
        <v>5.0834034719999996</v>
      </c>
      <c r="U28" s="2769">
        <f t="shared" si="4"/>
        <v>7.9882054560000002</v>
      </c>
      <c r="V28" s="2810">
        <f t="shared" si="6"/>
        <v>9.0086925456E-2</v>
      </c>
    </row>
    <row r="29" spans="1:22" x14ac:dyDescent="0.25">
      <c r="A29" s="2808" t="s">
        <v>1980</v>
      </c>
      <c r="B29" s="2770">
        <v>1203</v>
      </c>
      <c r="C29" s="2766" t="s">
        <v>2761</v>
      </c>
      <c r="D29" s="2766" t="s">
        <v>336</v>
      </c>
      <c r="E29" s="2766" t="s">
        <v>1985</v>
      </c>
      <c r="F29" s="2766">
        <v>120308</v>
      </c>
      <c r="G29" s="2766" t="s">
        <v>350</v>
      </c>
      <c r="H29" s="2766">
        <f>Dataark_til_bilag3_2018[[#This Row],[Staldkode]]+Dataark_til_bilag3_2018[[#This Row],[Dyrekode]]</f>
        <v>121511</v>
      </c>
      <c r="I29" s="4347">
        <v>0</v>
      </c>
      <c r="J29" s="2766" t="s">
        <v>1977</v>
      </c>
      <c r="K29" s="2766"/>
      <c r="L29" s="2767">
        <v>50.4</v>
      </c>
      <c r="M29" s="2766">
        <f t="shared" si="5"/>
        <v>0</v>
      </c>
      <c r="N29" s="2766">
        <v>5.0000000000000001E-3</v>
      </c>
      <c r="O29" s="2766">
        <f t="shared" si="0"/>
        <v>0</v>
      </c>
      <c r="P29" s="2769">
        <f t="shared" si="1"/>
        <v>0</v>
      </c>
      <c r="Q29" s="2809">
        <v>9.7299999999999998E-2</v>
      </c>
      <c r="R29" s="2769">
        <f t="shared" si="2"/>
        <v>0</v>
      </c>
      <c r="S29" s="2766">
        <v>0.01</v>
      </c>
      <c r="T29" s="2769">
        <f t="shared" si="3"/>
        <v>0</v>
      </c>
      <c r="U29" s="2769">
        <f t="shared" si="4"/>
        <v>0</v>
      </c>
      <c r="V29" s="2810">
        <f t="shared" si="6"/>
        <v>0</v>
      </c>
    </row>
    <row r="30" spans="1:22" x14ac:dyDescent="0.25">
      <c r="A30" s="2808" t="s">
        <v>1980</v>
      </c>
      <c r="B30" s="2770">
        <v>1203</v>
      </c>
      <c r="C30" s="2766" t="s">
        <v>2761</v>
      </c>
      <c r="D30" s="2766" t="s">
        <v>336</v>
      </c>
      <c r="E30" s="2766" t="s">
        <v>1984</v>
      </c>
      <c r="F30" s="2766">
        <v>120309</v>
      </c>
      <c r="G30" s="2766" t="s">
        <v>350</v>
      </c>
      <c r="H30" s="2766">
        <f>Dataark_til_bilag3_2018[[#This Row],[Staldkode]]+Dataark_til_bilag3_2018[[#This Row],[Dyrekode]]</f>
        <v>121512</v>
      </c>
      <c r="I30" s="4347">
        <v>0</v>
      </c>
      <c r="J30" s="2766" t="s">
        <v>1977</v>
      </c>
      <c r="K30" s="2766"/>
      <c r="L30" s="2767">
        <v>50.4</v>
      </c>
      <c r="M30" s="2766">
        <f t="shared" si="5"/>
        <v>0</v>
      </c>
      <c r="N30" s="2766">
        <v>5.0000000000000001E-3</v>
      </c>
      <c r="O30" s="2766">
        <f t="shared" si="0"/>
        <v>0</v>
      </c>
      <c r="P30" s="2769">
        <f t="shared" si="1"/>
        <v>0</v>
      </c>
      <c r="Q30" s="2809">
        <v>9.7299999999999998E-2</v>
      </c>
      <c r="R30" s="2769">
        <f t="shared" si="2"/>
        <v>0</v>
      </c>
      <c r="S30" s="2766">
        <v>0.01</v>
      </c>
      <c r="T30" s="2769">
        <f t="shared" si="3"/>
        <v>0</v>
      </c>
      <c r="U30" s="2769">
        <f t="shared" si="4"/>
        <v>0</v>
      </c>
      <c r="V30" s="2810">
        <f t="shared" si="6"/>
        <v>0</v>
      </c>
    </row>
    <row r="31" spans="1:22" x14ac:dyDescent="0.25">
      <c r="A31" s="2770" t="s">
        <v>1980</v>
      </c>
      <c r="B31" s="2770">
        <v>1203</v>
      </c>
      <c r="C31" s="2766" t="s">
        <v>2761</v>
      </c>
      <c r="D31" s="2766" t="s">
        <v>336</v>
      </c>
      <c r="E31" s="2766" t="s">
        <v>1983</v>
      </c>
      <c r="F31" s="2766">
        <v>120310</v>
      </c>
      <c r="G31" s="2766" t="s">
        <v>350</v>
      </c>
      <c r="H31" s="2766">
        <f>Dataark_til_bilag3_2018[[#This Row],[Staldkode]]+Dataark_til_bilag3_2018[[#This Row],[Dyrekode]]</f>
        <v>121513</v>
      </c>
      <c r="I31" s="4347">
        <v>0</v>
      </c>
      <c r="J31" s="2766" t="s">
        <v>1977</v>
      </c>
      <c r="K31" s="2766"/>
      <c r="L31" s="2767">
        <v>50.4</v>
      </c>
      <c r="M31" s="2766">
        <f t="shared" si="5"/>
        <v>0</v>
      </c>
      <c r="N31" s="2766">
        <v>5.0000000000000001E-3</v>
      </c>
      <c r="O31" s="2766">
        <f t="shared" si="0"/>
        <v>0</v>
      </c>
      <c r="P31" s="2769">
        <f t="shared" si="1"/>
        <v>0</v>
      </c>
      <c r="Q31" s="2809">
        <v>9.7299999999999998E-2</v>
      </c>
      <c r="R31" s="2769">
        <f t="shared" si="2"/>
        <v>0</v>
      </c>
      <c r="S31" s="2766">
        <v>0.01</v>
      </c>
      <c r="T31" s="2769">
        <f t="shared" si="3"/>
        <v>0</v>
      </c>
      <c r="U31" s="2769">
        <f t="shared" si="4"/>
        <v>0</v>
      </c>
      <c r="V31" s="2810">
        <f t="shared" si="6"/>
        <v>0</v>
      </c>
    </row>
    <row r="32" spans="1:22" x14ac:dyDescent="0.25">
      <c r="A32" s="2808" t="s">
        <v>1980</v>
      </c>
      <c r="B32" s="2770">
        <v>1203</v>
      </c>
      <c r="C32" s="2766" t="s">
        <v>2761</v>
      </c>
      <c r="D32" s="2766" t="s">
        <v>336</v>
      </c>
      <c r="E32" s="2766" t="s">
        <v>1996</v>
      </c>
      <c r="F32" s="2766">
        <v>120312</v>
      </c>
      <c r="G32" s="2766" t="s">
        <v>353</v>
      </c>
      <c r="H32" s="2766">
        <f>Dataark_til_bilag3_2018[[#This Row],[Staldkode]]+Dataark_til_bilag3_2018[[#This Row],[Dyrekode]]</f>
        <v>121515</v>
      </c>
      <c r="I32" s="4347">
        <v>0</v>
      </c>
      <c r="J32" s="2766" t="s">
        <v>1977</v>
      </c>
      <c r="K32" s="2766"/>
      <c r="L32" s="2767">
        <v>50.4</v>
      </c>
      <c r="M32" s="2766">
        <f t="shared" si="5"/>
        <v>0</v>
      </c>
      <c r="N32" s="2766">
        <v>5.0000000000000001E-3</v>
      </c>
      <c r="O32" s="2766">
        <f t="shared" si="0"/>
        <v>0</v>
      </c>
      <c r="P32" s="2769">
        <f t="shared" si="1"/>
        <v>0</v>
      </c>
      <c r="Q32" s="2809">
        <v>9.7299999999999998E-2</v>
      </c>
      <c r="R32" s="2769">
        <f t="shared" si="2"/>
        <v>0</v>
      </c>
      <c r="S32" s="2766">
        <v>0.01</v>
      </c>
      <c r="T32" s="2769">
        <f t="shared" si="3"/>
        <v>0</v>
      </c>
      <c r="U32" s="2769">
        <f t="shared" si="4"/>
        <v>0</v>
      </c>
      <c r="V32" s="2810">
        <f t="shared" si="6"/>
        <v>0</v>
      </c>
    </row>
    <row r="33" spans="1:22" x14ac:dyDescent="0.25">
      <c r="A33" s="2808" t="s">
        <v>1980</v>
      </c>
      <c r="B33" s="2770">
        <v>1203</v>
      </c>
      <c r="C33" s="2766" t="s">
        <v>2761</v>
      </c>
      <c r="D33" s="2766" t="s">
        <v>336</v>
      </c>
      <c r="E33" s="2766" t="s">
        <v>1990</v>
      </c>
      <c r="F33" s="2766">
        <v>120316</v>
      </c>
      <c r="G33" s="2766" t="s">
        <v>354</v>
      </c>
      <c r="H33" s="2766">
        <f>Dataark_til_bilag3_2018[[#This Row],[Staldkode]]+Dataark_til_bilag3_2018[[#This Row],[Dyrekode]]</f>
        <v>121519</v>
      </c>
      <c r="I33" s="4347">
        <v>0</v>
      </c>
      <c r="J33" s="2766" t="s">
        <v>1977</v>
      </c>
      <c r="K33" s="2766"/>
      <c r="L33" s="2767">
        <v>50.4</v>
      </c>
      <c r="M33" s="2766">
        <f t="shared" si="5"/>
        <v>0</v>
      </c>
      <c r="N33" s="2766">
        <v>5.0000000000000001E-3</v>
      </c>
      <c r="O33" s="2766">
        <f t="shared" si="0"/>
        <v>0</v>
      </c>
      <c r="P33" s="2769">
        <f t="shared" si="1"/>
        <v>0</v>
      </c>
      <c r="Q33" s="2809">
        <v>9.7299999999999998E-2</v>
      </c>
      <c r="R33" s="2769">
        <f t="shared" si="2"/>
        <v>0</v>
      </c>
      <c r="S33" s="2766">
        <v>0.01</v>
      </c>
      <c r="T33" s="2769">
        <f t="shared" si="3"/>
        <v>0</v>
      </c>
      <c r="U33" s="2769">
        <f t="shared" si="4"/>
        <v>0</v>
      </c>
      <c r="V33" s="2810">
        <f t="shared" si="6"/>
        <v>0</v>
      </c>
    </row>
    <row r="34" spans="1:22" x14ac:dyDescent="0.25">
      <c r="A34" s="2808" t="s">
        <v>1980</v>
      </c>
      <c r="B34" s="2770">
        <v>1204</v>
      </c>
      <c r="C34" s="2766" t="s">
        <v>2895</v>
      </c>
      <c r="D34" s="2766" t="s">
        <v>2794</v>
      </c>
      <c r="E34" s="2766" t="s">
        <v>2006</v>
      </c>
      <c r="F34" s="2766">
        <v>120401</v>
      </c>
      <c r="G34" s="2766" t="s">
        <v>350</v>
      </c>
      <c r="H34" s="2766">
        <f>Dataark_til_bilag3_2018[[#This Row],[Staldkode]]+Dataark_til_bilag3_2018[[#This Row],[Dyrekode]]</f>
        <v>121605</v>
      </c>
      <c r="I34" s="4347">
        <v>485</v>
      </c>
      <c r="J34" s="2766"/>
      <c r="K34" s="2766" t="s">
        <v>350</v>
      </c>
      <c r="L34" s="2767">
        <v>12.56</v>
      </c>
      <c r="M34" s="2766">
        <f t="shared" si="5"/>
        <v>6091.6</v>
      </c>
      <c r="N34" s="2766">
        <v>0.01</v>
      </c>
      <c r="O34" s="2766">
        <f t="shared" si="0"/>
        <v>60.916000000000004</v>
      </c>
      <c r="P34" s="2769">
        <f t="shared" si="1"/>
        <v>95.725142857142856</v>
      </c>
      <c r="Q34" s="2809">
        <v>9.7299999999999998E-2</v>
      </c>
      <c r="R34" s="2769">
        <f t="shared" si="2"/>
        <v>592.71267999999998</v>
      </c>
      <c r="S34" s="2766">
        <v>0.01</v>
      </c>
      <c r="T34" s="2769">
        <f t="shared" si="3"/>
        <v>5.9271267999999999</v>
      </c>
      <c r="U34" s="2769">
        <f t="shared" si="4"/>
        <v>9.3140564000000001</v>
      </c>
      <c r="V34" s="2810">
        <f t="shared" si="6"/>
        <v>0.10503919925714285</v>
      </c>
    </row>
    <row r="35" spans="1:22" x14ac:dyDescent="0.25">
      <c r="A35" s="2808" t="s">
        <v>1980</v>
      </c>
      <c r="B35" s="2770">
        <v>1204</v>
      </c>
      <c r="C35" s="2766" t="s">
        <v>2894</v>
      </c>
      <c r="D35" s="2766" t="s">
        <v>2794</v>
      </c>
      <c r="E35" s="2766" t="s">
        <v>2004</v>
      </c>
      <c r="F35" s="2766">
        <v>120402</v>
      </c>
      <c r="G35" s="2766" t="s">
        <v>350</v>
      </c>
      <c r="H35" s="2766">
        <f>Dataark_til_bilag3_2018[[#This Row],[Staldkode]]+Dataark_til_bilag3_2018[[#This Row],[Dyrekode]]</f>
        <v>121606</v>
      </c>
      <c r="I35" s="4347">
        <v>0</v>
      </c>
      <c r="J35" s="2766"/>
      <c r="K35" s="2766" t="s">
        <v>350</v>
      </c>
      <c r="L35" s="2767">
        <v>12.56</v>
      </c>
      <c r="M35" s="2766">
        <f t="shared" si="5"/>
        <v>0</v>
      </c>
      <c r="N35" s="2766">
        <v>0.01</v>
      </c>
      <c r="O35" s="2766">
        <f t="shared" si="0"/>
        <v>0</v>
      </c>
      <c r="P35" s="2769">
        <f t="shared" si="1"/>
        <v>0</v>
      </c>
      <c r="Q35" s="2809">
        <v>9.7299999999999998E-2</v>
      </c>
      <c r="R35" s="2769">
        <f t="shared" si="2"/>
        <v>0</v>
      </c>
      <c r="S35" s="2766">
        <v>0.01</v>
      </c>
      <c r="T35" s="2769">
        <f t="shared" si="3"/>
        <v>0</v>
      </c>
      <c r="U35" s="2769">
        <f t="shared" si="4"/>
        <v>0</v>
      </c>
      <c r="V35" s="2810">
        <f t="shared" si="6"/>
        <v>0</v>
      </c>
    </row>
    <row r="36" spans="1:22" x14ac:dyDescent="0.25">
      <c r="A36" s="2808" t="s">
        <v>1980</v>
      </c>
      <c r="B36" s="2770">
        <v>1205</v>
      </c>
      <c r="C36" s="2766" t="s">
        <v>2797</v>
      </c>
      <c r="D36" s="2766" t="s">
        <v>2796</v>
      </c>
      <c r="E36" s="2766" t="s">
        <v>1989</v>
      </c>
      <c r="F36" s="2766">
        <v>120501</v>
      </c>
      <c r="G36" s="2766" t="s">
        <v>639</v>
      </c>
      <c r="H36" s="2766">
        <f>Dataark_til_bilag3_2018[[#This Row],[Staldkode]]+Dataark_til_bilag3_2018[[#This Row],[Dyrekode]]</f>
        <v>121706</v>
      </c>
      <c r="I36" s="4347">
        <v>5.1100000000000003</v>
      </c>
      <c r="J36" s="2766" t="s">
        <v>1903</v>
      </c>
      <c r="K36" s="2766"/>
      <c r="L36" s="2767">
        <v>23.5</v>
      </c>
      <c r="M36" s="2766">
        <f t="shared" si="5"/>
        <v>120.08500000000001</v>
      </c>
      <c r="N36" s="2766">
        <v>5.0000000000000001E-3</v>
      </c>
      <c r="O36" s="2766">
        <f t="shared" si="0"/>
        <v>0.6004250000000001</v>
      </c>
      <c r="P36" s="2769">
        <f t="shared" si="1"/>
        <v>0.94352500000000017</v>
      </c>
      <c r="Q36" s="2809">
        <v>9.7299999999999998E-2</v>
      </c>
      <c r="R36" s="2769">
        <f t="shared" si="2"/>
        <v>11.6842705</v>
      </c>
      <c r="S36" s="2766">
        <v>0.01</v>
      </c>
      <c r="T36" s="2769">
        <f t="shared" si="3"/>
        <v>0.11684270500000001</v>
      </c>
      <c r="U36" s="2769">
        <f t="shared" si="4"/>
        <v>0.18360996500000001</v>
      </c>
      <c r="V36" s="2810">
        <f t="shared" si="6"/>
        <v>1.1271349650000002E-3</v>
      </c>
    </row>
    <row r="37" spans="1:22" x14ac:dyDescent="0.25">
      <c r="A37" s="2808" t="s">
        <v>1980</v>
      </c>
      <c r="B37" s="2770">
        <v>1205</v>
      </c>
      <c r="C37" s="2766" t="s">
        <v>2797</v>
      </c>
      <c r="D37" s="2766" t="s">
        <v>2796</v>
      </c>
      <c r="E37" s="2766" t="s">
        <v>1988</v>
      </c>
      <c r="F37" s="2766">
        <v>120502</v>
      </c>
      <c r="G37" s="2766" t="s">
        <v>639</v>
      </c>
      <c r="H37" s="2766">
        <f>Dataark_til_bilag3_2018[[#This Row],[Staldkode]]+Dataark_til_bilag3_2018[[#This Row],[Dyrekode]]</f>
        <v>121707</v>
      </c>
      <c r="I37" s="4347">
        <v>0</v>
      </c>
      <c r="J37" s="2766" t="s">
        <v>1977</v>
      </c>
      <c r="K37" s="2766"/>
      <c r="L37" s="2767">
        <v>23.5</v>
      </c>
      <c r="M37" s="2766">
        <f t="shared" si="5"/>
        <v>0</v>
      </c>
      <c r="N37" s="2766">
        <v>5.0000000000000001E-3</v>
      </c>
      <c r="O37" s="2766">
        <f t="shared" si="0"/>
        <v>0</v>
      </c>
      <c r="P37" s="2769">
        <f t="shared" si="1"/>
        <v>0</v>
      </c>
      <c r="Q37" s="2809">
        <v>9.7299999999999998E-2</v>
      </c>
      <c r="R37" s="2769">
        <f t="shared" si="2"/>
        <v>0</v>
      </c>
      <c r="S37" s="2766">
        <v>0.01</v>
      </c>
      <c r="T37" s="2769">
        <f t="shared" si="3"/>
        <v>0</v>
      </c>
      <c r="U37" s="2769">
        <f t="shared" si="4"/>
        <v>0</v>
      </c>
      <c r="V37" s="2810">
        <f t="shared" si="6"/>
        <v>0</v>
      </c>
    </row>
    <row r="38" spans="1:22" x14ac:dyDescent="0.25">
      <c r="A38" s="2808" t="s">
        <v>1980</v>
      </c>
      <c r="B38" s="2770">
        <v>1205</v>
      </c>
      <c r="C38" s="2766" t="s">
        <v>2797</v>
      </c>
      <c r="D38" s="2766" t="s">
        <v>2796</v>
      </c>
      <c r="E38" s="2766" t="s">
        <v>1987</v>
      </c>
      <c r="F38" s="2766">
        <v>120503</v>
      </c>
      <c r="G38" s="2766" t="s">
        <v>350</v>
      </c>
      <c r="H38" s="2766">
        <f>Dataark_til_bilag3_2018[[#This Row],[Staldkode]]+Dataark_til_bilag3_2018[[#This Row],[Dyrekode]]</f>
        <v>121708</v>
      </c>
      <c r="I38" s="4347">
        <v>376.81</v>
      </c>
      <c r="J38" s="2766"/>
      <c r="K38" s="2766" t="s">
        <v>350</v>
      </c>
      <c r="L38" s="2767">
        <v>23.5</v>
      </c>
      <c r="M38" s="2766">
        <f t="shared" si="5"/>
        <v>8855.0349999999999</v>
      </c>
      <c r="N38" s="2766">
        <v>0.01</v>
      </c>
      <c r="O38" s="2766">
        <f t="shared" si="0"/>
        <v>88.550349999999995</v>
      </c>
      <c r="P38" s="2769">
        <f t="shared" si="1"/>
        <v>139.15054999999998</v>
      </c>
      <c r="Q38" s="2809">
        <v>9.7299999999999998E-2</v>
      </c>
      <c r="R38" s="2769">
        <f t="shared" si="2"/>
        <v>861.59490549999998</v>
      </c>
      <c r="S38" s="2766">
        <v>0.01</v>
      </c>
      <c r="T38" s="2769">
        <f t="shared" si="3"/>
        <v>8.6159490549999997</v>
      </c>
      <c r="U38" s="2769">
        <f t="shared" si="4"/>
        <v>13.539348515</v>
      </c>
      <c r="V38" s="2810">
        <f t="shared" si="6"/>
        <v>0.15268989851499998</v>
      </c>
    </row>
    <row r="39" spans="1:22" x14ac:dyDescent="0.25">
      <c r="A39" s="2808" t="s">
        <v>1980</v>
      </c>
      <c r="B39" s="2770">
        <v>1205</v>
      </c>
      <c r="C39" s="2766" t="s">
        <v>2797</v>
      </c>
      <c r="D39" s="2766" t="s">
        <v>2796</v>
      </c>
      <c r="E39" s="2766" t="s">
        <v>2004</v>
      </c>
      <c r="F39" s="2766">
        <v>120504</v>
      </c>
      <c r="G39" s="2766" t="s">
        <v>350</v>
      </c>
      <c r="H39" s="2766">
        <f>Dataark_til_bilag3_2018[[#This Row],[Staldkode]]+Dataark_til_bilag3_2018[[#This Row],[Dyrekode]]</f>
        <v>121709</v>
      </c>
      <c r="I39" s="4347">
        <v>139.69</v>
      </c>
      <c r="J39" s="2766"/>
      <c r="K39" s="2766" t="s">
        <v>350</v>
      </c>
      <c r="L39" s="2767">
        <v>23.5</v>
      </c>
      <c r="M39" s="2766">
        <f t="shared" si="5"/>
        <v>3282.7150000000001</v>
      </c>
      <c r="N39" s="2766">
        <v>0.01</v>
      </c>
      <c r="O39" s="2766">
        <f t="shared" si="0"/>
        <v>32.827150000000003</v>
      </c>
      <c r="P39" s="2769">
        <f t="shared" si="1"/>
        <v>51.585521428571433</v>
      </c>
      <c r="Q39" s="2809">
        <v>9.7299999999999998E-2</v>
      </c>
      <c r="R39" s="2769">
        <f t="shared" si="2"/>
        <v>319.40816949999999</v>
      </c>
      <c r="S39" s="2766">
        <v>0.01</v>
      </c>
      <c r="T39" s="2769">
        <f t="shared" si="3"/>
        <v>3.1940816949999999</v>
      </c>
      <c r="U39" s="2769">
        <f t="shared" si="4"/>
        <v>5.0192712349999997</v>
      </c>
      <c r="V39" s="2810">
        <f t="shared" si="6"/>
        <v>5.6604792663571428E-2</v>
      </c>
    </row>
    <row r="40" spans="1:22" x14ac:dyDescent="0.25">
      <c r="A40" s="2808" t="s">
        <v>1980</v>
      </c>
      <c r="B40" s="2770">
        <v>1205</v>
      </c>
      <c r="C40" s="2766" t="s">
        <v>2797</v>
      </c>
      <c r="D40" s="2766" t="s">
        <v>2796</v>
      </c>
      <c r="E40" s="2766" t="s">
        <v>1985</v>
      </c>
      <c r="F40" s="2766">
        <v>120505</v>
      </c>
      <c r="G40" s="2766" t="s">
        <v>350</v>
      </c>
      <c r="H40" s="2766">
        <f>Dataark_til_bilag3_2018[[#This Row],[Staldkode]]+Dataark_til_bilag3_2018[[#This Row],[Dyrekode]]</f>
        <v>121710</v>
      </c>
      <c r="I40" s="4347">
        <v>0</v>
      </c>
      <c r="J40" s="2766" t="s">
        <v>1977</v>
      </c>
      <c r="K40" s="2766"/>
      <c r="L40" s="2767">
        <v>23.5</v>
      </c>
      <c r="M40" s="2766">
        <f t="shared" si="5"/>
        <v>0</v>
      </c>
      <c r="N40" s="2766">
        <v>5.0000000000000001E-3</v>
      </c>
      <c r="O40" s="2766">
        <f t="shared" si="0"/>
        <v>0</v>
      </c>
      <c r="P40" s="2769">
        <f t="shared" si="1"/>
        <v>0</v>
      </c>
      <c r="Q40" s="2809">
        <v>9.7299999999999998E-2</v>
      </c>
      <c r="R40" s="2769">
        <f t="shared" si="2"/>
        <v>0</v>
      </c>
      <c r="S40" s="2766">
        <v>0.01</v>
      </c>
      <c r="T40" s="2769">
        <f t="shared" si="3"/>
        <v>0</v>
      </c>
      <c r="U40" s="2769">
        <f t="shared" si="4"/>
        <v>0</v>
      </c>
      <c r="V40" s="2810">
        <f t="shared" si="6"/>
        <v>0</v>
      </c>
    </row>
    <row r="41" spans="1:22" x14ac:dyDescent="0.25">
      <c r="A41" s="2770" t="s">
        <v>1980</v>
      </c>
      <c r="B41" s="2770">
        <v>1205</v>
      </c>
      <c r="C41" s="2766" t="s">
        <v>2797</v>
      </c>
      <c r="D41" s="2766" t="s">
        <v>2796</v>
      </c>
      <c r="E41" s="2766" t="s">
        <v>1984</v>
      </c>
      <c r="F41" s="2766">
        <v>120506</v>
      </c>
      <c r="G41" s="2766" t="s">
        <v>350</v>
      </c>
      <c r="H41" s="2766">
        <f>Dataark_til_bilag3_2018[[#This Row],[Staldkode]]+Dataark_til_bilag3_2018[[#This Row],[Dyrekode]]</f>
        <v>121711</v>
      </c>
      <c r="I41" s="4347">
        <v>0</v>
      </c>
      <c r="J41" s="2766" t="s">
        <v>1977</v>
      </c>
      <c r="K41" s="2766"/>
      <c r="L41" s="2767">
        <v>23.5</v>
      </c>
      <c r="M41" s="2766">
        <f t="shared" si="5"/>
        <v>0</v>
      </c>
      <c r="N41" s="2766">
        <v>5.0000000000000001E-3</v>
      </c>
      <c r="O41" s="2766">
        <f t="shared" si="0"/>
        <v>0</v>
      </c>
      <c r="P41" s="2769">
        <f t="shared" si="1"/>
        <v>0</v>
      </c>
      <c r="Q41" s="2809">
        <v>9.7299999999999998E-2</v>
      </c>
      <c r="R41" s="2769">
        <f t="shared" si="2"/>
        <v>0</v>
      </c>
      <c r="S41" s="2766">
        <v>0.01</v>
      </c>
      <c r="T41" s="2769">
        <f t="shared" si="3"/>
        <v>0</v>
      </c>
      <c r="U41" s="2769">
        <f t="shared" si="4"/>
        <v>0</v>
      </c>
      <c r="V41" s="2810">
        <f t="shared" si="6"/>
        <v>0</v>
      </c>
    </row>
    <row r="42" spans="1:22" x14ac:dyDescent="0.25">
      <c r="A42" s="2808" t="s">
        <v>1980</v>
      </c>
      <c r="B42" s="2770">
        <v>1205</v>
      </c>
      <c r="C42" s="2766" t="s">
        <v>2797</v>
      </c>
      <c r="D42" s="2766" t="s">
        <v>2796</v>
      </c>
      <c r="E42" s="2766" t="s">
        <v>1983</v>
      </c>
      <c r="F42" s="2766">
        <v>120507</v>
      </c>
      <c r="G42" s="2766" t="s">
        <v>350</v>
      </c>
      <c r="H42" s="2766">
        <f>Dataark_til_bilag3_2018[[#This Row],[Staldkode]]+Dataark_til_bilag3_2018[[#This Row],[Dyrekode]]</f>
        <v>121712</v>
      </c>
      <c r="I42" s="4347">
        <v>0</v>
      </c>
      <c r="J42" s="2766" t="s">
        <v>1977</v>
      </c>
      <c r="K42" s="2766"/>
      <c r="L42" s="2767">
        <v>23.5</v>
      </c>
      <c r="M42" s="2766">
        <f t="shared" si="5"/>
        <v>0</v>
      </c>
      <c r="N42" s="2766">
        <v>5.0000000000000001E-3</v>
      </c>
      <c r="O42" s="2766">
        <f t="shared" si="0"/>
        <v>0</v>
      </c>
      <c r="P42" s="2769">
        <f t="shared" si="1"/>
        <v>0</v>
      </c>
      <c r="Q42" s="2809">
        <v>9.7299999999999998E-2</v>
      </c>
      <c r="R42" s="2769">
        <f t="shared" si="2"/>
        <v>0</v>
      </c>
      <c r="S42" s="2766">
        <v>0.01</v>
      </c>
      <c r="T42" s="2769">
        <f t="shared" si="3"/>
        <v>0</v>
      </c>
      <c r="U42" s="2769">
        <f t="shared" si="4"/>
        <v>0</v>
      </c>
      <c r="V42" s="2810">
        <f t="shared" si="6"/>
        <v>0</v>
      </c>
    </row>
    <row r="43" spans="1:22" x14ac:dyDescent="0.25">
      <c r="A43" s="2808" t="s">
        <v>1980</v>
      </c>
      <c r="B43" s="2770">
        <v>1205</v>
      </c>
      <c r="C43" s="2766" t="s">
        <v>2797</v>
      </c>
      <c r="D43" s="2766" t="s">
        <v>2796</v>
      </c>
      <c r="E43" s="2766" t="s">
        <v>1996</v>
      </c>
      <c r="F43" s="2766">
        <v>120509</v>
      </c>
      <c r="G43" s="2766" t="s">
        <v>353</v>
      </c>
      <c r="H43" s="2766">
        <f>Dataark_til_bilag3_2018[[#This Row],[Staldkode]]+Dataark_til_bilag3_2018[[#This Row],[Dyrekode]]</f>
        <v>121714</v>
      </c>
      <c r="I43" s="4347">
        <v>0</v>
      </c>
      <c r="J43" s="2766" t="s">
        <v>1977</v>
      </c>
      <c r="K43" s="2766"/>
      <c r="L43" s="2767">
        <v>23.5</v>
      </c>
      <c r="M43" s="2766">
        <f t="shared" si="5"/>
        <v>0</v>
      </c>
      <c r="N43" s="2766">
        <v>5.0000000000000001E-3</v>
      </c>
      <c r="O43" s="2766">
        <f t="shared" si="0"/>
        <v>0</v>
      </c>
      <c r="P43" s="2769">
        <f t="shared" si="1"/>
        <v>0</v>
      </c>
      <c r="Q43" s="2809">
        <v>9.7299999999999998E-2</v>
      </c>
      <c r="R43" s="2769">
        <f t="shared" si="2"/>
        <v>0</v>
      </c>
      <c r="S43" s="2766">
        <v>0.01</v>
      </c>
      <c r="T43" s="2769">
        <f t="shared" si="3"/>
        <v>0</v>
      </c>
      <c r="U43" s="2769">
        <f t="shared" si="4"/>
        <v>0</v>
      </c>
      <c r="V43" s="2810">
        <f t="shared" si="6"/>
        <v>0</v>
      </c>
    </row>
    <row r="44" spans="1:22" x14ac:dyDescent="0.25">
      <c r="A44" s="2808" t="s">
        <v>1980</v>
      </c>
      <c r="B44" s="2770">
        <v>1205</v>
      </c>
      <c r="C44" s="2766" t="s">
        <v>2797</v>
      </c>
      <c r="D44" s="2766" t="s">
        <v>2796</v>
      </c>
      <c r="E44" s="2766" t="s">
        <v>1995</v>
      </c>
      <c r="F44" s="2766">
        <v>120510</v>
      </c>
      <c r="G44" s="2766" t="s">
        <v>354</v>
      </c>
      <c r="H44" s="2766">
        <f>Dataark_til_bilag3_2018[[#This Row],[Staldkode]]+Dataark_til_bilag3_2018[[#This Row],[Dyrekode]]</f>
        <v>121715</v>
      </c>
      <c r="I44" s="4347">
        <v>0</v>
      </c>
      <c r="J44" s="2766" t="s">
        <v>1977</v>
      </c>
      <c r="K44" s="2766"/>
      <c r="L44" s="2767">
        <v>23.5</v>
      </c>
      <c r="M44" s="2766">
        <f t="shared" si="5"/>
        <v>0</v>
      </c>
      <c r="N44" s="2766">
        <v>5.0000000000000001E-3</v>
      </c>
      <c r="O44" s="2766">
        <f t="shared" si="0"/>
        <v>0</v>
      </c>
      <c r="P44" s="2769">
        <f t="shared" si="1"/>
        <v>0</v>
      </c>
      <c r="Q44" s="2809">
        <v>9.7299999999999998E-2</v>
      </c>
      <c r="R44" s="2769">
        <f t="shared" si="2"/>
        <v>0</v>
      </c>
      <c r="S44" s="2766">
        <v>0.01</v>
      </c>
      <c r="T44" s="2769">
        <f t="shared" si="3"/>
        <v>0</v>
      </c>
      <c r="U44" s="2769">
        <f t="shared" si="4"/>
        <v>0</v>
      </c>
      <c r="V44" s="2810">
        <f t="shared" si="6"/>
        <v>0</v>
      </c>
    </row>
    <row r="45" spans="1:22" x14ac:dyDescent="0.25">
      <c r="A45" s="2770" t="s">
        <v>1980</v>
      </c>
      <c r="B45" s="2766">
        <v>1205</v>
      </c>
      <c r="C45" s="2746" t="s">
        <v>2797</v>
      </c>
      <c r="D45" s="2766" t="s">
        <v>2796</v>
      </c>
      <c r="E45" s="2766" t="s">
        <v>2003</v>
      </c>
      <c r="F45" s="2766">
        <v>120511</v>
      </c>
      <c r="G45" s="2766" t="s">
        <v>354</v>
      </c>
      <c r="H45" s="2766">
        <f>Dataark_til_bilag3_2018[[#This Row],[Staldkode]]+Dataark_til_bilag3_2018[[#This Row],[Dyrekode]]</f>
        <v>121716</v>
      </c>
      <c r="I45" s="4347">
        <v>0</v>
      </c>
      <c r="J45" s="2766" t="s">
        <v>1977</v>
      </c>
      <c r="K45" s="2766"/>
      <c r="L45" s="2767">
        <v>23.5</v>
      </c>
      <c r="M45" s="2766">
        <f t="shared" si="5"/>
        <v>0</v>
      </c>
      <c r="N45" s="2766">
        <v>5.0000000000000001E-3</v>
      </c>
      <c r="O45" s="2766">
        <f t="shared" si="0"/>
        <v>0</v>
      </c>
      <c r="P45" s="2769">
        <f t="shared" si="1"/>
        <v>0</v>
      </c>
      <c r="Q45" s="2809">
        <v>9.7299999999999998E-2</v>
      </c>
      <c r="R45" s="2769">
        <f t="shared" si="2"/>
        <v>0</v>
      </c>
      <c r="S45" s="2766">
        <v>0.01</v>
      </c>
      <c r="T45" s="2769">
        <f t="shared" si="3"/>
        <v>0</v>
      </c>
      <c r="U45" s="2769">
        <f t="shared" si="4"/>
        <v>0</v>
      </c>
      <c r="V45" s="2810">
        <f t="shared" si="6"/>
        <v>0</v>
      </c>
    </row>
    <row r="46" spans="1:22" x14ac:dyDescent="0.25">
      <c r="A46" s="2808" t="s">
        <v>1980</v>
      </c>
      <c r="B46" s="2770">
        <v>1205</v>
      </c>
      <c r="C46" s="2766" t="s">
        <v>2797</v>
      </c>
      <c r="D46" s="2766" t="s">
        <v>2796</v>
      </c>
      <c r="E46" s="2766" t="s">
        <v>2002</v>
      </c>
      <c r="F46" s="2766">
        <v>120512</v>
      </c>
      <c r="G46" s="2766" t="s">
        <v>354</v>
      </c>
      <c r="H46" s="2766">
        <f>Dataark_til_bilag3_2018[[#This Row],[Staldkode]]+Dataark_til_bilag3_2018[[#This Row],[Dyrekode]]</f>
        <v>121717</v>
      </c>
      <c r="I46" s="4347">
        <v>0</v>
      </c>
      <c r="J46" s="2766" t="s">
        <v>1977</v>
      </c>
      <c r="K46" s="2766"/>
      <c r="L46" s="2767">
        <v>23.5</v>
      </c>
      <c r="M46" s="2766">
        <f t="shared" si="5"/>
        <v>0</v>
      </c>
      <c r="N46" s="2766">
        <v>5.0000000000000001E-3</v>
      </c>
      <c r="O46" s="2766">
        <f t="shared" si="0"/>
        <v>0</v>
      </c>
      <c r="P46" s="2769">
        <f t="shared" si="1"/>
        <v>0</v>
      </c>
      <c r="Q46" s="2809">
        <v>9.7299999999999998E-2</v>
      </c>
      <c r="R46" s="2769">
        <f t="shared" si="2"/>
        <v>0</v>
      </c>
      <c r="S46" s="2766">
        <v>0.01</v>
      </c>
      <c r="T46" s="2769">
        <f t="shared" si="3"/>
        <v>0</v>
      </c>
      <c r="U46" s="2769">
        <f t="shared" si="4"/>
        <v>0</v>
      </c>
      <c r="V46" s="2810">
        <f t="shared" si="6"/>
        <v>0</v>
      </c>
    </row>
    <row r="47" spans="1:22" x14ac:dyDescent="0.25">
      <c r="A47" s="2808" t="s">
        <v>1980</v>
      </c>
      <c r="B47" s="2770">
        <v>1205</v>
      </c>
      <c r="C47" s="2766" t="s">
        <v>2797</v>
      </c>
      <c r="D47" s="2766" t="s">
        <v>2796</v>
      </c>
      <c r="E47" s="2766" t="s">
        <v>1990</v>
      </c>
      <c r="F47" s="2766">
        <v>120519</v>
      </c>
      <c r="G47" s="2766" t="s">
        <v>354</v>
      </c>
      <c r="H47" s="2766">
        <f>Dataark_til_bilag3_2018[[#This Row],[Staldkode]]+Dataark_til_bilag3_2018[[#This Row],[Dyrekode]]</f>
        <v>121724</v>
      </c>
      <c r="I47" s="4347">
        <v>0</v>
      </c>
      <c r="J47" s="2766" t="s">
        <v>1977</v>
      </c>
      <c r="K47" s="2766"/>
      <c r="L47" s="2767">
        <v>23.5</v>
      </c>
      <c r="M47" s="2766">
        <f t="shared" si="5"/>
        <v>0</v>
      </c>
      <c r="N47" s="2766">
        <v>5.0000000000000001E-3</v>
      </c>
      <c r="O47" s="2766">
        <f t="shared" si="0"/>
        <v>0</v>
      </c>
      <c r="P47" s="2769">
        <f t="shared" si="1"/>
        <v>0</v>
      </c>
      <c r="Q47" s="2809">
        <v>9.7299999999999998E-2</v>
      </c>
      <c r="R47" s="2769">
        <f t="shared" si="2"/>
        <v>0</v>
      </c>
      <c r="S47" s="2766">
        <v>0.01</v>
      </c>
      <c r="T47" s="2769">
        <f t="shared" si="3"/>
        <v>0</v>
      </c>
      <c r="U47" s="2769">
        <f t="shared" si="4"/>
        <v>0</v>
      </c>
      <c r="V47" s="2810">
        <f t="shared" si="6"/>
        <v>0</v>
      </c>
    </row>
    <row r="48" spans="1:22" x14ac:dyDescent="0.25">
      <c r="A48" s="2808" t="s">
        <v>1980</v>
      </c>
      <c r="B48" s="2770">
        <v>1206</v>
      </c>
      <c r="C48" s="2766" t="s">
        <v>2011</v>
      </c>
      <c r="D48" s="2766" t="s">
        <v>330</v>
      </c>
      <c r="E48" s="2766" t="s">
        <v>1989</v>
      </c>
      <c r="F48" s="2766">
        <v>120601</v>
      </c>
      <c r="G48" s="2766" t="s">
        <v>639</v>
      </c>
      <c r="H48" s="2766">
        <f>Dataark_til_bilag3_2018[[#This Row],[Staldkode]]+Dataark_til_bilag3_2018[[#This Row],[Dyrekode]]</f>
        <v>121807</v>
      </c>
      <c r="I48" s="4347">
        <v>0</v>
      </c>
      <c r="J48" s="2766" t="s">
        <v>1903</v>
      </c>
      <c r="K48" s="2766"/>
      <c r="L48" s="2767">
        <v>50.4</v>
      </c>
      <c r="M48" s="2766">
        <f t="shared" si="5"/>
        <v>0</v>
      </c>
      <c r="N48" s="2766">
        <v>5.0000000000000001E-3</v>
      </c>
      <c r="O48" s="2766">
        <f t="shared" si="0"/>
        <v>0</v>
      </c>
      <c r="P48" s="2769">
        <f t="shared" si="1"/>
        <v>0</v>
      </c>
      <c r="Q48" s="2809">
        <v>9.7299999999999998E-2</v>
      </c>
      <c r="R48" s="2769">
        <f t="shared" si="2"/>
        <v>0</v>
      </c>
      <c r="S48" s="2766">
        <v>0.01</v>
      </c>
      <c r="T48" s="2769">
        <f t="shared" si="3"/>
        <v>0</v>
      </c>
      <c r="U48" s="2769">
        <f t="shared" si="4"/>
        <v>0</v>
      </c>
      <c r="V48" s="2810">
        <f t="shared" si="6"/>
        <v>0</v>
      </c>
    </row>
    <row r="49" spans="1:22" x14ac:dyDescent="0.25">
      <c r="A49" s="2808" t="s">
        <v>1980</v>
      </c>
      <c r="B49" s="2770">
        <v>1206</v>
      </c>
      <c r="C49" s="2766" t="s">
        <v>2011</v>
      </c>
      <c r="D49" s="2766" t="s">
        <v>330</v>
      </c>
      <c r="E49" s="2766" t="s">
        <v>1988</v>
      </c>
      <c r="F49" s="2766">
        <v>120602</v>
      </c>
      <c r="G49" s="2766" t="s">
        <v>639</v>
      </c>
      <c r="H49" s="2766">
        <f>Dataark_til_bilag3_2018[[#This Row],[Staldkode]]+Dataark_til_bilag3_2018[[#This Row],[Dyrekode]]</f>
        <v>121808</v>
      </c>
      <c r="I49" s="4347">
        <v>0</v>
      </c>
      <c r="J49" s="2766" t="s">
        <v>1977</v>
      </c>
      <c r="K49" s="2766"/>
      <c r="L49" s="2767">
        <v>50.4</v>
      </c>
      <c r="M49" s="2766">
        <f t="shared" si="5"/>
        <v>0</v>
      </c>
      <c r="N49" s="2766">
        <v>5.0000000000000001E-3</v>
      </c>
      <c r="O49" s="2766">
        <f t="shared" si="0"/>
        <v>0</v>
      </c>
      <c r="P49" s="2769">
        <f t="shared" si="1"/>
        <v>0</v>
      </c>
      <c r="Q49" s="2809">
        <v>9.7299999999999998E-2</v>
      </c>
      <c r="R49" s="2769">
        <f t="shared" si="2"/>
        <v>0</v>
      </c>
      <c r="S49" s="2766">
        <v>0.01</v>
      </c>
      <c r="T49" s="2769">
        <f t="shared" si="3"/>
        <v>0</v>
      </c>
      <c r="U49" s="2769">
        <f t="shared" si="4"/>
        <v>0</v>
      </c>
      <c r="V49" s="2810">
        <f t="shared" si="6"/>
        <v>0</v>
      </c>
    </row>
    <row r="50" spans="1:22" x14ac:dyDescent="0.25">
      <c r="A50" s="2808" t="s">
        <v>1980</v>
      </c>
      <c r="B50" s="2770">
        <v>1206</v>
      </c>
      <c r="C50" s="2766" t="s">
        <v>2011</v>
      </c>
      <c r="D50" s="2766" t="s">
        <v>330</v>
      </c>
      <c r="E50" s="2766" t="s">
        <v>1987</v>
      </c>
      <c r="F50" s="2766">
        <v>120603</v>
      </c>
      <c r="G50" s="2766" t="s">
        <v>350</v>
      </c>
      <c r="H50" s="2766">
        <f>Dataark_til_bilag3_2018[[#This Row],[Staldkode]]+Dataark_til_bilag3_2018[[#This Row],[Dyrekode]]</f>
        <v>121809</v>
      </c>
      <c r="I50" s="4347">
        <v>9.8699999999999992</v>
      </c>
      <c r="J50" s="2766"/>
      <c r="K50" s="2766" t="s">
        <v>350</v>
      </c>
      <c r="L50" s="2767">
        <v>50.4</v>
      </c>
      <c r="M50" s="2766">
        <f t="shared" si="5"/>
        <v>497.44799999999992</v>
      </c>
      <c r="N50" s="2766">
        <v>0.01</v>
      </c>
      <c r="O50" s="2766">
        <f t="shared" si="0"/>
        <v>4.9744799999999989</v>
      </c>
      <c r="P50" s="2769">
        <f t="shared" si="1"/>
        <v>7.8170399999999987</v>
      </c>
      <c r="Q50" s="2809">
        <v>9.7299999999999998E-2</v>
      </c>
      <c r="R50" s="2769">
        <f t="shared" si="2"/>
        <v>48.401690399999993</v>
      </c>
      <c r="S50" s="2766">
        <v>0.01</v>
      </c>
      <c r="T50" s="2769">
        <f t="shared" si="3"/>
        <v>0.48401690399999991</v>
      </c>
      <c r="U50" s="2769">
        <f t="shared" si="4"/>
        <v>0.76059799199999989</v>
      </c>
      <c r="V50" s="2810">
        <f t="shared" si="6"/>
        <v>8.5776379919999986E-3</v>
      </c>
    </row>
    <row r="51" spans="1:22" x14ac:dyDescent="0.25">
      <c r="A51" s="2808" t="s">
        <v>1980</v>
      </c>
      <c r="B51" s="2770">
        <v>1206</v>
      </c>
      <c r="C51" s="2766" t="s">
        <v>2011</v>
      </c>
      <c r="D51" s="2766" t="s">
        <v>330</v>
      </c>
      <c r="E51" s="2766" t="s">
        <v>2004</v>
      </c>
      <c r="F51" s="2766">
        <v>120604</v>
      </c>
      <c r="G51" s="2766" t="s">
        <v>350</v>
      </c>
      <c r="H51" s="2766">
        <f>Dataark_til_bilag3_2018[[#This Row],[Staldkode]]+Dataark_til_bilag3_2018[[#This Row],[Dyrekode]]</f>
        <v>121810</v>
      </c>
      <c r="I51" s="4347">
        <v>0</v>
      </c>
      <c r="J51" s="2766"/>
      <c r="K51" s="2766" t="s">
        <v>350</v>
      </c>
      <c r="L51" s="2767">
        <v>50.4</v>
      </c>
      <c r="M51" s="2766">
        <f t="shared" si="5"/>
        <v>0</v>
      </c>
      <c r="N51" s="2766">
        <v>0.01</v>
      </c>
      <c r="O51" s="2766">
        <f t="shared" si="0"/>
        <v>0</v>
      </c>
      <c r="P51" s="2769">
        <f t="shared" si="1"/>
        <v>0</v>
      </c>
      <c r="Q51" s="2809">
        <v>9.7299999999999998E-2</v>
      </c>
      <c r="R51" s="2769">
        <f t="shared" si="2"/>
        <v>0</v>
      </c>
      <c r="S51" s="2766">
        <v>0.01</v>
      </c>
      <c r="T51" s="2769">
        <f t="shared" si="3"/>
        <v>0</v>
      </c>
      <c r="U51" s="2769">
        <f t="shared" si="4"/>
        <v>0</v>
      </c>
      <c r="V51" s="2810">
        <f t="shared" si="6"/>
        <v>0</v>
      </c>
    </row>
    <row r="52" spans="1:22" x14ac:dyDescent="0.25">
      <c r="A52" s="2808" t="s">
        <v>1980</v>
      </c>
      <c r="B52" s="2770">
        <v>1206</v>
      </c>
      <c r="C52" s="2766" t="s">
        <v>2011</v>
      </c>
      <c r="D52" s="2766" t="s">
        <v>330</v>
      </c>
      <c r="E52" s="2766" t="s">
        <v>1985</v>
      </c>
      <c r="F52" s="2766">
        <v>120605</v>
      </c>
      <c r="G52" s="2766" t="s">
        <v>350</v>
      </c>
      <c r="H52" s="2766">
        <f>Dataark_til_bilag3_2018[[#This Row],[Staldkode]]+Dataark_til_bilag3_2018[[#This Row],[Dyrekode]]</f>
        <v>121811</v>
      </c>
      <c r="I52" s="4347">
        <v>0</v>
      </c>
      <c r="J52" s="2766" t="s">
        <v>1977</v>
      </c>
      <c r="K52" s="2766" t="s">
        <v>350</v>
      </c>
      <c r="L52" s="2767">
        <v>50.4</v>
      </c>
      <c r="M52" s="2766">
        <f t="shared" si="5"/>
        <v>0</v>
      </c>
      <c r="N52" s="2766">
        <v>5.0000000000000001E-3</v>
      </c>
      <c r="O52" s="2766">
        <f t="shared" si="0"/>
        <v>0</v>
      </c>
      <c r="P52" s="2769">
        <f t="shared" si="1"/>
        <v>0</v>
      </c>
      <c r="Q52" s="2809">
        <v>9.7299999999999998E-2</v>
      </c>
      <c r="R52" s="2769">
        <f t="shared" si="2"/>
        <v>0</v>
      </c>
      <c r="S52" s="2766">
        <v>0.01</v>
      </c>
      <c r="T52" s="2769">
        <f t="shared" si="3"/>
        <v>0</v>
      </c>
      <c r="U52" s="2769">
        <f t="shared" si="4"/>
        <v>0</v>
      </c>
      <c r="V52" s="2810">
        <f t="shared" si="6"/>
        <v>0</v>
      </c>
    </row>
    <row r="53" spans="1:22" x14ac:dyDescent="0.25">
      <c r="A53" s="2808" t="s">
        <v>1980</v>
      </c>
      <c r="B53" s="2770">
        <v>1206</v>
      </c>
      <c r="C53" s="2766" t="s">
        <v>2011</v>
      </c>
      <c r="D53" s="2766" t="s">
        <v>330</v>
      </c>
      <c r="E53" s="2766" t="s">
        <v>1984</v>
      </c>
      <c r="F53" s="2766">
        <v>120606</v>
      </c>
      <c r="G53" s="2766" t="s">
        <v>350</v>
      </c>
      <c r="H53" s="2766">
        <f>Dataark_til_bilag3_2018[[#This Row],[Staldkode]]+Dataark_til_bilag3_2018[[#This Row],[Dyrekode]]</f>
        <v>121812</v>
      </c>
      <c r="I53" s="4347">
        <v>0</v>
      </c>
      <c r="J53" s="2766" t="s">
        <v>1977</v>
      </c>
      <c r="K53" s="2766"/>
      <c r="L53" s="2767">
        <v>50.4</v>
      </c>
      <c r="M53" s="2766">
        <f t="shared" si="5"/>
        <v>0</v>
      </c>
      <c r="N53" s="2766">
        <v>5.0000000000000001E-3</v>
      </c>
      <c r="O53" s="2766">
        <f t="shared" si="0"/>
        <v>0</v>
      </c>
      <c r="P53" s="2769">
        <f t="shared" si="1"/>
        <v>0</v>
      </c>
      <c r="Q53" s="2809">
        <v>9.7299999999999998E-2</v>
      </c>
      <c r="R53" s="2769">
        <f t="shared" si="2"/>
        <v>0</v>
      </c>
      <c r="S53" s="2766">
        <v>0.01</v>
      </c>
      <c r="T53" s="2769">
        <f t="shared" si="3"/>
        <v>0</v>
      </c>
      <c r="U53" s="2769">
        <f t="shared" si="4"/>
        <v>0</v>
      </c>
      <c r="V53" s="2810">
        <f t="shared" si="6"/>
        <v>0</v>
      </c>
    </row>
    <row r="54" spans="1:22" x14ac:dyDescent="0.25">
      <c r="A54" s="2808" t="s">
        <v>1980</v>
      </c>
      <c r="B54" s="2770">
        <v>1206</v>
      </c>
      <c r="C54" s="2766" t="s">
        <v>2011</v>
      </c>
      <c r="D54" s="2766" t="s">
        <v>330</v>
      </c>
      <c r="E54" s="2766" t="s">
        <v>1983</v>
      </c>
      <c r="F54" s="2766">
        <v>120607</v>
      </c>
      <c r="G54" s="2766" t="s">
        <v>350</v>
      </c>
      <c r="H54" s="2766">
        <f>Dataark_til_bilag3_2018[[#This Row],[Staldkode]]+Dataark_til_bilag3_2018[[#This Row],[Dyrekode]]</f>
        <v>121813</v>
      </c>
      <c r="I54" s="4347">
        <v>0</v>
      </c>
      <c r="J54" s="2766" t="s">
        <v>1977</v>
      </c>
      <c r="K54" s="2766" t="s">
        <v>350</v>
      </c>
      <c r="L54" s="2767">
        <v>50.4</v>
      </c>
      <c r="M54" s="2766">
        <f t="shared" si="5"/>
        <v>0</v>
      </c>
      <c r="N54" s="2766">
        <v>5.0000000000000001E-3</v>
      </c>
      <c r="O54" s="2766">
        <f t="shared" si="0"/>
        <v>0</v>
      </c>
      <c r="P54" s="2769">
        <f t="shared" si="1"/>
        <v>0</v>
      </c>
      <c r="Q54" s="2809">
        <v>9.7299999999999998E-2</v>
      </c>
      <c r="R54" s="2769">
        <f t="shared" si="2"/>
        <v>0</v>
      </c>
      <c r="S54" s="2766">
        <v>0.01</v>
      </c>
      <c r="T54" s="2769">
        <f t="shared" si="3"/>
        <v>0</v>
      </c>
      <c r="U54" s="2769">
        <f t="shared" si="4"/>
        <v>0</v>
      </c>
      <c r="V54" s="2810">
        <f t="shared" si="6"/>
        <v>0</v>
      </c>
    </row>
    <row r="55" spans="1:22" x14ac:dyDescent="0.25">
      <c r="A55" s="2808" t="s">
        <v>1980</v>
      </c>
      <c r="B55" s="2770">
        <v>1206</v>
      </c>
      <c r="C55" s="2766" t="s">
        <v>2011</v>
      </c>
      <c r="D55" s="2766" t="s">
        <v>330</v>
      </c>
      <c r="E55" s="2766" t="s">
        <v>1996</v>
      </c>
      <c r="F55" s="2766">
        <v>120609</v>
      </c>
      <c r="G55" s="2766" t="s">
        <v>353</v>
      </c>
      <c r="H55" s="2766">
        <f>Dataark_til_bilag3_2018[[#This Row],[Staldkode]]+Dataark_til_bilag3_2018[[#This Row],[Dyrekode]]</f>
        <v>121815</v>
      </c>
      <c r="I55" s="4347">
        <v>0</v>
      </c>
      <c r="J55" s="2766" t="s">
        <v>1977</v>
      </c>
      <c r="K55" s="2766"/>
      <c r="L55" s="2767">
        <v>50.4</v>
      </c>
      <c r="M55" s="2766">
        <f t="shared" si="5"/>
        <v>0</v>
      </c>
      <c r="N55" s="2766">
        <v>5.0000000000000001E-3</v>
      </c>
      <c r="O55" s="2766">
        <f t="shared" si="0"/>
        <v>0</v>
      </c>
      <c r="P55" s="2769">
        <f t="shared" si="1"/>
        <v>0</v>
      </c>
      <c r="Q55" s="2809">
        <v>9.7299999999999998E-2</v>
      </c>
      <c r="R55" s="2769">
        <f t="shared" si="2"/>
        <v>0</v>
      </c>
      <c r="S55" s="2766">
        <v>0.01</v>
      </c>
      <c r="T55" s="2769">
        <f t="shared" si="3"/>
        <v>0</v>
      </c>
      <c r="U55" s="2769">
        <f t="shared" si="4"/>
        <v>0</v>
      </c>
      <c r="V55" s="2810">
        <f t="shared" si="6"/>
        <v>0</v>
      </c>
    </row>
    <row r="56" spans="1:22" x14ac:dyDescent="0.25">
      <c r="A56" s="2808" t="s">
        <v>1980</v>
      </c>
      <c r="B56" s="2770">
        <v>1206</v>
      </c>
      <c r="C56" s="2766" t="s">
        <v>2011</v>
      </c>
      <c r="D56" s="2766" t="s">
        <v>330</v>
      </c>
      <c r="E56" s="2766" t="s">
        <v>1995</v>
      </c>
      <c r="F56" s="2766">
        <v>120610</v>
      </c>
      <c r="G56" s="2766" t="s">
        <v>354</v>
      </c>
      <c r="H56" s="2766">
        <f>Dataark_til_bilag3_2018[[#This Row],[Staldkode]]+Dataark_til_bilag3_2018[[#This Row],[Dyrekode]]</f>
        <v>121816</v>
      </c>
      <c r="I56" s="4347">
        <v>0</v>
      </c>
      <c r="J56" s="2766" t="s">
        <v>1977</v>
      </c>
      <c r="K56" s="2766"/>
      <c r="L56" s="2767">
        <v>50.4</v>
      </c>
      <c r="M56" s="2766">
        <f t="shared" si="5"/>
        <v>0</v>
      </c>
      <c r="N56" s="2766">
        <v>5.0000000000000001E-3</v>
      </c>
      <c r="O56" s="2766">
        <f t="shared" si="0"/>
        <v>0</v>
      </c>
      <c r="P56" s="2769">
        <f t="shared" si="1"/>
        <v>0</v>
      </c>
      <c r="Q56" s="2809">
        <v>9.7299999999999998E-2</v>
      </c>
      <c r="R56" s="2769">
        <f t="shared" si="2"/>
        <v>0</v>
      </c>
      <c r="S56" s="2766">
        <v>0.01</v>
      </c>
      <c r="T56" s="2769">
        <f t="shared" si="3"/>
        <v>0</v>
      </c>
      <c r="U56" s="2769">
        <f t="shared" si="4"/>
        <v>0</v>
      </c>
      <c r="V56" s="2810">
        <f t="shared" si="6"/>
        <v>0</v>
      </c>
    </row>
    <row r="57" spans="1:22" x14ac:dyDescent="0.25">
      <c r="A57" s="2770" t="s">
        <v>1980</v>
      </c>
      <c r="B57" s="2770">
        <v>1206</v>
      </c>
      <c r="C57" s="2766" t="s">
        <v>2011</v>
      </c>
      <c r="D57" s="2766" t="s">
        <v>330</v>
      </c>
      <c r="E57" s="2766" t="s">
        <v>1982</v>
      </c>
      <c r="F57" s="2766">
        <v>120611</v>
      </c>
      <c r="G57" s="2766" t="s">
        <v>354</v>
      </c>
      <c r="H57" s="2766">
        <f>Dataark_til_bilag3_2018[[#This Row],[Staldkode]]+Dataark_til_bilag3_2018[[#This Row],[Dyrekode]]</f>
        <v>121817</v>
      </c>
      <c r="I57" s="4347">
        <v>0</v>
      </c>
      <c r="J57" s="2766" t="s">
        <v>1977</v>
      </c>
      <c r="K57" s="2766"/>
      <c r="L57" s="2767">
        <v>50.4</v>
      </c>
      <c r="M57" s="2766">
        <f t="shared" si="5"/>
        <v>0</v>
      </c>
      <c r="N57" s="2766">
        <v>5.0000000000000001E-3</v>
      </c>
      <c r="O57" s="2766">
        <f t="shared" si="0"/>
        <v>0</v>
      </c>
      <c r="P57" s="2769">
        <f t="shared" si="1"/>
        <v>0</v>
      </c>
      <c r="Q57" s="2809">
        <v>9.7299999999999998E-2</v>
      </c>
      <c r="R57" s="2769">
        <f t="shared" si="2"/>
        <v>0</v>
      </c>
      <c r="S57" s="2766">
        <v>0.01</v>
      </c>
      <c r="T57" s="2769">
        <f t="shared" si="3"/>
        <v>0</v>
      </c>
      <c r="U57" s="2769">
        <f t="shared" si="4"/>
        <v>0</v>
      </c>
      <c r="V57" s="2810">
        <f t="shared" si="6"/>
        <v>0</v>
      </c>
    </row>
    <row r="58" spans="1:22" x14ac:dyDescent="0.25">
      <c r="A58" s="2770" t="s">
        <v>1980</v>
      </c>
      <c r="B58" s="2770">
        <v>1206</v>
      </c>
      <c r="C58" s="2766" t="s">
        <v>2011</v>
      </c>
      <c r="D58" s="2766" t="s">
        <v>330</v>
      </c>
      <c r="E58" s="2766" t="s">
        <v>1994</v>
      </c>
      <c r="F58" s="2766">
        <v>120612</v>
      </c>
      <c r="G58" s="2766" t="s">
        <v>354</v>
      </c>
      <c r="H58" s="2766">
        <f>Dataark_til_bilag3_2018[[#This Row],[Staldkode]]+Dataark_til_bilag3_2018[[#This Row],[Dyrekode]]</f>
        <v>121818</v>
      </c>
      <c r="I58" s="4347">
        <v>0</v>
      </c>
      <c r="J58" s="2766" t="s">
        <v>1977</v>
      </c>
      <c r="K58" s="2766"/>
      <c r="L58" s="2767">
        <v>50.4</v>
      </c>
      <c r="M58" s="2766">
        <f t="shared" si="5"/>
        <v>0</v>
      </c>
      <c r="N58" s="2766">
        <v>5.0000000000000001E-3</v>
      </c>
      <c r="O58" s="2766">
        <f t="shared" si="0"/>
        <v>0</v>
      </c>
      <c r="P58" s="2769">
        <f t="shared" si="1"/>
        <v>0</v>
      </c>
      <c r="Q58" s="2809">
        <v>9.7299999999999998E-2</v>
      </c>
      <c r="R58" s="2769">
        <f t="shared" si="2"/>
        <v>0</v>
      </c>
      <c r="S58" s="2766">
        <v>0.01</v>
      </c>
      <c r="T58" s="2769">
        <f t="shared" si="3"/>
        <v>0</v>
      </c>
      <c r="U58" s="2769">
        <f t="shared" si="4"/>
        <v>0</v>
      </c>
      <c r="V58" s="2810">
        <f t="shared" si="6"/>
        <v>0</v>
      </c>
    </row>
    <row r="59" spans="1:22" x14ac:dyDescent="0.25">
      <c r="A59" s="2808" t="s">
        <v>1980</v>
      </c>
      <c r="B59" s="2770">
        <v>1206</v>
      </c>
      <c r="C59" s="2766" t="s">
        <v>2011</v>
      </c>
      <c r="D59" s="2766" t="s">
        <v>330</v>
      </c>
      <c r="E59" s="2766" t="s">
        <v>1990</v>
      </c>
      <c r="F59" s="2766">
        <v>120619</v>
      </c>
      <c r="G59" s="2766" t="s">
        <v>354</v>
      </c>
      <c r="H59" s="2766">
        <f>Dataark_til_bilag3_2018[[#This Row],[Staldkode]]+Dataark_til_bilag3_2018[[#This Row],[Dyrekode]]</f>
        <v>121825</v>
      </c>
      <c r="I59" s="4347">
        <v>0</v>
      </c>
      <c r="J59" s="2766" t="s">
        <v>1977</v>
      </c>
      <c r="K59" s="2766"/>
      <c r="L59" s="2767">
        <v>50.4</v>
      </c>
      <c r="M59" s="2766">
        <f t="shared" si="5"/>
        <v>0</v>
      </c>
      <c r="N59" s="2766">
        <v>5.0000000000000001E-3</v>
      </c>
      <c r="O59" s="2766">
        <f t="shared" si="0"/>
        <v>0</v>
      </c>
      <c r="P59" s="2769">
        <f t="shared" si="1"/>
        <v>0</v>
      </c>
      <c r="Q59" s="2809">
        <v>9.7299999999999998E-2</v>
      </c>
      <c r="R59" s="2769">
        <f t="shared" si="2"/>
        <v>0</v>
      </c>
      <c r="S59" s="2766">
        <v>0.01</v>
      </c>
      <c r="T59" s="2769">
        <f t="shared" si="3"/>
        <v>0</v>
      </c>
      <c r="U59" s="2769">
        <f t="shared" si="4"/>
        <v>0</v>
      </c>
      <c r="V59" s="2810">
        <f t="shared" si="6"/>
        <v>0</v>
      </c>
    </row>
    <row r="60" spans="1:22" x14ac:dyDescent="0.25">
      <c r="A60" s="2808" t="s">
        <v>1980</v>
      </c>
      <c r="B60" s="2770">
        <v>1231</v>
      </c>
      <c r="C60" s="2766" t="s">
        <v>2010</v>
      </c>
      <c r="D60" s="2766" t="s">
        <v>341</v>
      </c>
      <c r="E60" s="2766" t="s">
        <v>1989</v>
      </c>
      <c r="F60" s="2766">
        <v>123101</v>
      </c>
      <c r="G60" s="2766" t="s">
        <v>639</v>
      </c>
      <c r="H60" s="2766">
        <f>Dataark_til_bilag3_2018[[#This Row],[Staldkode]]+Dataark_til_bilag3_2018[[#This Row],[Dyrekode]]</f>
        <v>124332</v>
      </c>
      <c r="I60" s="4347">
        <v>0</v>
      </c>
      <c r="J60" s="2766" t="s">
        <v>1903</v>
      </c>
      <c r="K60" s="2766"/>
      <c r="L60" s="2767">
        <v>130.5</v>
      </c>
      <c r="M60" s="2766">
        <f t="shared" si="5"/>
        <v>0</v>
      </c>
      <c r="N60" s="2766">
        <v>5.0000000000000001E-3</v>
      </c>
      <c r="O60" s="2766">
        <f t="shared" si="0"/>
        <v>0</v>
      </c>
      <c r="P60" s="2769">
        <f t="shared" si="1"/>
        <v>0</v>
      </c>
      <c r="Q60" s="2809">
        <v>7.22E-2</v>
      </c>
      <c r="R60" s="2769">
        <f t="shared" si="2"/>
        <v>0</v>
      </c>
      <c r="S60" s="2766">
        <v>0.01</v>
      </c>
      <c r="T60" s="2769">
        <f t="shared" si="3"/>
        <v>0</v>
      </c>
      <c r="U60" s="2769">
        <f t="shared" si="4"/>
        <v>0</v>
      </c>
      <c r="V60" s="2810">
        <f t="shared" si="6"/>
        <v>0</v>
      </c>
    </row>
    <row r="61" spans="1:22" x14ac:dyDescent="0.25">
      <c r="A61" s="2808" t="s">
        <v>1980</v>
      </c>
      <c r="B61" s="2770">
        <v>1231</v>
      </c>
      <c r="C61" s="2766" t="s">
        <v>2010</v>
      </c>
      <c r="D61" s="2766" t="s">
        <v>341</v>
      </c>
      <c r="E61" s="2766" t="s">
        <v>1988</v>
      </c>
      <c r="F61" s="2766">
        <v>123102</v>
      </c>
      <c r="G61" s="2766" t="s">
        <v>639</v>
      </c>
      <c r="H61" s="2766">
        <f>Dataark_til_bilag3_2018[[#This Row],[Staldkode]]+Dataark_til_bilag3_2018[[#This Row],[Dyrekode]]</f>
        <v>124333</v>
      </c>
      <c r="I61" s="4347">
        <v>0</v>
      </c>
      <c r="J61" s="2766" t="s">
        <v>1977</v>
      </c>
      <c r="K61" s="2766"/>
      <c r="L61" s="2767">
        <v>130.5</v>
      </c>
      <c r="M61" s="2766">
        <f t="shared" si="5"/>
        <v>0</v>
      </c>
      <c r="N61" s="2766">
        <v>5.0000000000000001E-3</v>
      </c>
      <c r="O61" s="2766">
        <f t="shared" si="0"/>
        <v>0</v>
      </c>
      <c r="P61" s="2769">
        <f t="shared" si="1"/>
        <v>0</v>
      </c>
      <c r="Q61" s="2809">
        <v>7.22E-2</v>
      </c>
      <c r="R61" s="2769">
        <f t="shared" si="2"/>
        <v>0</v>
      </c>
      <c r="S61" s="2766">
        <v>0.01</v>
      </c>
      <c r="T61" s="2769">
        <f t="shared" si="3"/>
        <v>0</v>
      </c>
      <c r="U61" s="2769">
        <f t="shared" si="4"/>
        <v>0</v>
      </c>
      <c r="V61" s="2810">
        <f t="shared" si="6"/>
        <v>0</v>
      </c>
    </row>
    <row r="62" spans="1:22" x14ac:dyDescent="0.25">
      <c r="A62" s="2808" t="s">
        <v>1980</v>
      </c>
      <c r="B62" s="2770">
        <v>1231</v>
      </c>
      <c r="C62" s="2766" t="s">
        <v>2010</v>
      </c>
      <c r="D62" s="2766" t="s">
        <v>341</v>
      </c>
      <c r="E62" s="2766" t="s">
        <v>1995</v>
      </c>
      <c r="F62" s="2766">
        <v>123103</v>
      </c>
      <c r="G62" s="2766" t="s">
        <v>354</v>
      </c>
      <c r="H62" s="2766">
        <f>Dataark_til_bilag3_2018[[#This Row],[Staldkode]]+Dataark_til_bilag3_2018[[#This Row],[Dyrekode]]</f>
        <v>124334</v>
      </c>
      <c r="I62" s="4347">
        <v>0</v>
      </c>
      <c r="J62" s="2766" t="s">
        <v>1977</v>
      </c>
      <c r="K62" s="2766"/>
      <c r="L62" s="2767">
        <v>130.5</v>
      </c>
      <c r="M62" s="2766">
        <f t="shared" si="5"/>
        <v>0</v>
      </c>
      <c r="N62" s="2766">
        <v>5.0000000000000001E-3</v>
      </c>
      <c r="O62" s="2766">
        <f t="shared" si="0"/>
        <v>0</v>
      </c>
      <c r="P62" s="2769">
        <f t="shared" si="1"/>
        <v>0</v>
      </c>
      <c r="Q62" s="2809">
        <v>7.22E-2</v>
      </c>
      <c r="R62" s="2769">
        <f t="shared" si="2"/>
        <v>0</v>
      </c>
      <c r="S62" s="2766">
        <v>0.01</v>
      </c>
      <c r="T62" s="2769">
        <f t="shared" si="3"/>
        <v>0</v>
      </c>
      <c r="U62" s="2769">
        <f t="shared" si="4"/>
        <v>0</v>
      </c>
      <c r="V62" s="2810">
        <f t="shared" si="6"/>
        <v>0</v>
      </c>
    </row>
    <row r="63" spans="1:22" x14ac:dyDescent="0.25">
      <c r="A63" s="2770" t="s">
        <v>1980</v>
      </c>
      <c r="B63" s="2770">
        <v>1231</v>
      </c>
      <c r="C63" s="2766" t="s">
        <v>2010</v>
      </c>
      <c r="D63" s="2766" t="s">
        <v>341</v>
      </c>
      <c r="E63" s="2766" t="s">
        <v>2003</v>
      </c>
      <c r="F63" s="2766">
        <v>123104</v>
      </c>
      <c r="G63" s="2766" t="s">
        <v>354</v>
      </c>
      <c r="H63" s="2766">
        <f>Dataark_til_bilag3_2018[[#This Row],[Staldkode]]+Dataark_til_bilag3_2018[[#This Row],[Dyrekode]]</f>
        <v>124335</v>
      </c>
      <c r="I63" s="4347">
        <v>0</v>
      </c>
      <c r="J63" s="2766" t="s">
        <v>1977</v>
      </c>
      <c r="K63" s="2766"/>
      <c r="L63" s="2767">
        <v>130.5</v>
      </c>
      <c r="M63" s="2766">
        <f t="shared" si="5"/>
        <v>0</v>
      </c>
      <c r="N63" s="2766">
        <v>5.0000000000000001E-3</v>
      </c>
      <c r="O63" s="2766">
        <f t="shared" si="0"/>
        <v>0</v>
      </c>
      <c r="P63" s="2769">
        <f t="shared" si="1"/>
        <v>0</v>
      </c>
      <c r="Q63" s="2809">
        <v>7.22E-2</v>
      </c>
      <c r="R63" s="2769">
        <f t="shared" si="2"/>
        <v>0</v>
      </c>
      <c r="S63" s="2766">
        <v>0.01</v>
      </c>
      <c r="T63" s="2769">
        <f t="shared" si="3"/>
        <v>0</v>
      </c>
      <c r="U63" s="2769">
        <f t="shared" si="4"/>
        <v>0</v>
      </c>
      <c r="V63" s="2810">
        <f t="shared" si="6"/>
        <v>0</v>
      </c>
    </row>
    <row r="64" spans="1:22" x14ac:dyDescent="0.25">
      <c r="A64" s="2808" t="s">
        <v>1980</v>
      </c>
      <c r="B64" s="2770">
        <v>1231</v>
      </c>
      <c r="C64" s="2766" t="s">
        <v>2010</v>
      </c>
      <c r="D64" s="2766" t="s">
        <v>341</v>
      </c>
      <c r="E64" s="2766" t="s">
        <v>2002</v>
      </c>
      <c r="F64" s="2766">
        <v>123105</v>
      </c>
      <c r="G64" s="2766" t="s">
        <v>354</v>
      </c>
      <c r="H64" s="2766">
        <f>Dataark_til_bilag3_2018[[#This Row],[Staldkode]]+Dataark_til_bilag3_2018[[#This Row],[Dyrekode]]</f>
        <v>124336</v>
      </c>
      <c r="I64" s="4347">
        <v>0</v>
      </c>
      <c r="J64" s="2766" t="s">
        <v>1977</v>
      </c>
      <c r="K64" s="2766"/>
      <c r="L64" s="2767">
        <v>130.5</v>
      </c>
      <c r="M64" s="2766">
        <f t="shared" si="5"/>
        <v>0</v>
      </c>
      <c r="N64" s="2766">
        <v>5.0000000000000001E-3</v>
      </c>
      <c r="O64" s="2766">
        <f t="shared" si="0"/>
        <v>0</v>
      </c>
      <c r="P64" s="2769">
        <f t="shared" si="1"/>
        <v>0</v>
      </c>
      <c r="Q64" s="2809">
        <v>7.22E-2</v>
      </c>
      <c r="R64" s="2769">
        <f t="shared" si="2"/>
        <v>0</v>
      </c>
      <c r="S64" s="2766">
        <v>0.01</v>
      </c>
      <c r="T64" s="2769">
        <f t="shared" si="3"/>
        <v>0</v>
      </c>
      <c r="U64" s="2769">
        <f t="shared" si="4"/>
        <v>0</v>
      </c>
      <c r="V64" s="2810">
        <f t="shared" si="6"/>
        <v>0</v>
      </c>
    </row>
    <row r="65" spans="1:22" x14ac:dyDescent="0.25">
      <c r="A65" s="2808" t="s">
        <v>1980</v>
      </c>
      <c r="B65" s="2770">
        <v>1231</v>
      </c>
      <c r="C65" s="2766" t="s">
        <v>2010</v>
      </c>
      <c r="D65" s="2766" t="s">
        <v>341</v>
      </c>
      <c r="E65" s="2766" t="s">
        <v>2006</v>
      </c>
      <c r="F65" s="2766">
        <v>123106</v>
      </c>
      <c r="G65" s="2766" t="s">
        <v>350</v>
      </c>
      <c r="H65" s="2766">
        <f>Dataark_til_bilag3_2018[[#This Row],[Staldkode]]+Dataark_til_bilag3_2018[[#This Row],[Dyrekode]]</f>
        <v>124337</v>
      </c>
      <c r="I65" s="4347">
        <v>0</v>
      </c>
      <c r="J65" s="2766"/>
      <c r="K65" s="2766" t="s">
        <v>350</v>
      </c>
      <c r="L65" s="2767">
        <v>130.5</v>
      </c>
      <c r="M65" s="2766">
        <f t="shared" si="5"/>
        <v>0</v>
      </c>
      <c r="N65" s="2766">
        <v>0.01</v>
      </c>
      <c r="O65" s="2766">
        <f t="shared" si="0"/>
        <v>0</v>
      </c>
      <c r="P65" s="2769">
        <f t="shared" si="1"/>
        <v>0</v>
      </c>
      <c r="Q65" s="2809">
        <v>7.22E-2</v>
      </c>
      <c r="R65" s="2769">
        <f t="shared" si="2"/>
        <v>0</v>
      </c>
      <c r="S65" s="2766">
        <v>0.01</v>
      </c>
      <c r="T65" s="2769">
        <f t="shared" si="3"/>
        <v>0</v>
      </c>
      <c r="U65" s="2769">
        <f t="shared" si="4"/>
        <v>0</v>
      </c>
      <c r="V65" s="2810">
        <f t="shared" si="6"/>
        <v>0</v>
      </c>
    </row>
    <row r="66" spans="1:22" x14ac:dyDescent="0.25">
      <c r="A66" s="2808" t="s">
        <v>1980</v>
      </c>
      <c r="B66" s="2770">
        <v>1231</v>
      </c>
      <c r="C66" s="2766" t="s">
        <v>2010</v>
      </c>
      <c r="D66" s="2766" t="s">
        <v>341</v>
      </c>
      <c r="E66" s="2766" t="s">
        <v>1985</v>
      </c>
      <c r="F66" s="2766">
        <v>123107</v>
      </c>
      <c r="G66" s="2766" t="s">
        <v>350</v>
      </c>
      <c r="H66" s="2766">
        <f>Dataark_til_bilag3_2018[[#This Row],[Staldkode]]+Dataark_til_bilag3_2018[[#This Row],[Dyrekode]]</f>
        <v>124338</v>
      </c>
      <c r="I66" s="4347">
        <v>0</v>
      </c>
      <c r="J66" s="2766" t="s">
        <v>1977</v>
      </c>
      <c r="K66" s="2766"/>
      <c r="L66" s="2767">
        <v>130.5</v>
      </c>
      <c r="M66" s="2766">
        <f t="shared" si="5"/>
        <v>0</v>
      </c>
      <c r="N66" s="2766">
        <v>5.0000000000000001E-3</v>
      </c>
      <c r="O66" s="2766">
        <f t="shared" si="0"/>
        <v>0</v>
      </c>
      <c r="P66" s="2769">
        <f t="shared" si="1"/>
        <v>0</v>
      </c>
      <c r="Q66" s="2809">
        <v>7.22E-2</v>
      </c>
      <c r="R66" s="2769">
        <f t="shared" si="2"/>
        <v>0</v>
      </c>
      <c r="S66" s="2766">
        <v>0.01</v>
      </c>
      <c r="T66" s="2769">
        <f t="shared" si="3"/>
        <v>0</v>
      </c>
      <c r="U66" s="2769">
        <f t="shared" si="4"/>
        <v>0</v>
      </c>
      <c r="V66" s="2810">
        <f t="shared" si="6"/>
        <v>0</v>
      </c>
    </row>
    <row r="67" spans="1:22" x14ac:dyDescent="0.25">
      <c r="A67" s="2808" t="s">
        <v>1980</v>
      </c>
      <c r="B67" s="2770">
        <v>1231</v>
      </c>
      <c r="C67" s="2766" t="s">
        <v>2010</v>
      </c>
      <c r="D67" s="2766" t="s">
        <v>341</v>
      </c>
      <c r="E67" s="2766" t="s">
        <v>1984</v>
      </c>
      <c r="F67" s="2766">
        <v>123108</v>
      </c>
      <c r="G67" s="2766" t="s">
        <v>350</v>
      </c>
      <c r="H67" s="2766">
        <f>Dataark_til_bilag3_2018[[#This Row],[Staldkode]]+Dataark_til_bilag3_2018[[#This Row],[Dyrekode]]</f>
        <v>124339</v>
      </c>
      <c r="I67" s="4347">
        <v>0</v>
      </c>
      <c r="J67" s="2766" t="s">
        <v>1977</v>
      </c>
      <c r="K67" s="2766"/>
      <c r="L67" s="2767">
        <v>130.5</v>
      </c>
      <c r="M67" s="2766">
        <f t="shared" si="5"/>
        <v>0</v>
      </c>
      <c r="N67" s="2766">
        <v>5.0000000000000001E-3</v>
      </c>
      <c r="O67" s="2766">
        <f t="shared" si="0"/>
        <v>0</v>
      </c>
      <c r="P67" s="2769">
        <f t="shared" si="1"/>
        <v>0</v>
      </c>
      <c r="Q67" s="2809">
        <v>7.22E-2</v>
      </c>
      <c r="R67" s="2769">
        <f t="shared" si="2"/>
        <v>0</v>
      </c>
      <c r="S67" s="2766">
        <v>0.01</v>
      </c>
      <c r="T67" s="2769">
        <f t="shared" si="3"/>
        <v>0</v>
      </c>
      <c r="U67" s="2769">
        <f t="shared" si="4"/>
        <v>0</v>
      </c>
      <c r="V67" s="2810">
        <f t="shared" si="6"/>
        <v>0</v>
      </c>
    </row>
    <row r="68" spans="1:22" x14ac:dyDescent="0.25">
      <c r="A68" s="2808" t="s">
        <v>1980</v>
      </c>
      <c r="B68" s="2770">
        <v>1231</v>
      </c>
      <c r="C68" s="2766" t="s">
        <v>2010</v>
      </c>
      <c r="D68" s="2766" t="s">
        <v>341</v>
      </c>
      <c r="E68" s="2766" t="s">
        <v>1983</v>
      </c>
      <c r="F68" s="2766">
        <v>123109</v>
      </c>
      <c r="G68" s="2766" t="s">
        <v>350</v>
      </c>
      <c r="H68" s="2766">
        <f>Dataark_til_bilag3_2018[[#This Row],[Staldkode]]+Dataark_til_bilag3_2018[[#This Row],[Dyrekode]]</f>
        <v>124340</v>
      </c>
      <c r="I68" s="4347">
        <v>0</v>
      </c>
      <c r="J68" s="2766" t="s">
        <v>1977</v>
      </c>
      <c r="K68" s="2766"/>
      <c r="L68" s="2767">
        <v>130.5</v>
      </c>
      <c r="M68" s="2766">
        <f t="shared" si="5"/>
        <v>0</v>
      </c>
      <c r="N68" s="2766">
        <v>5.0000000000000001E-3</v>
      </c>
      <c r="O68" s="2766">
        <f t="shared" si="0"/>
        <v>0</v>
      </c>
      <c r="P68" s="2769">
        <f t="shared" si="1"/>
        <v>0</v>
      </c>
      <c r="Q68" s="2809">
        <v>7.22E-2</v>
      </c>
      <c r="R68" s="2769">
        <f t="shared" si="2"/>
        <v>0</v>
      </c>
      <c r="S68" s="2766">
        <v>0.01</v>
      </c>
      <c r="T68" s="2769">
        <f t="shared" si="3"/>
        <v>0</v>
      </c>
      <c r="U68" s="2769">
        <f t="shared" si="4"/>
        <v>0</v>
      </c>
      <c r="V68" s="2810">
        <f t="shared" si="6"/>
        <v>0</v>
      </c>
    </row>
    <row r="69" spans="1:22" x14ac:dyDescent="0.25">
      <c r="A69" s="2808" t="s">
        <v>1980</v>
      </c>
      <c r="B69" s="2770">
        <v>1231</v>
      </c>
      <c r="C69" s="2766" t="s">
        <v>2010</v>
      </c>
      <c r="D69" s="2766" t="s">
        <v>341</v>
      </c>
      <c r="E69" s="2766" t="s">
        <v>1990</v>
      </c>
      <c r="F69" s="2766">
        <v>123114</v>
      </c>
      <c r="G69" s="2766" t="s">
        <v>354</v>
      </c>
      <c r="H69" s="2766">
        <f>Dataark_til_bilag3_2018[[#This Row],[Staldkode]]+Dataark_til_bilag3_2018[[#This Row],[Dyrekode]]</f>
        <v>124345</v>
      </c>
      <c r="I69" s="4347">
        <v>0</v>
      </c>
      <c r="J69" s="2766" t="s">
        <v>1977</v>
      </c>
      <c r="K69" s="2766"/>
      <c r="L69" s="2767">
        <v>130.5</v>
      </c>
      <c r="M69" s="2766">
        <f t="shared" ref="M69:M132" si="7">IFERROR(I69*L69," ")</f>
        <v>0</v>
      </c>
      <c r="N69" s="2766">
        <v>5.0000000000000001E-3</v>
      </c>
      <c r="O69" s="2766">
        <f t="shared" ref="O69:O132" si="8">IFERROR(M69*N69," ")</f>
        <v>0</v>
      </c>
      <c r="P69" s="2769">
        <f t="shared" ref="P69:P132" si="9">IFERROR(O69*44/28," ")</f>
        <v>0</v>
      </c>
      <c r="Q69" s="2809">
        <v>7.22E-2</v>
      </c>
      <c r="R69" s="2769">
        <f t="shared" ref="R69:R132" si="10">IFERROR(M69*Q69," ")</f>
        <v>0</v>
      </c>
      <c r="S69" s="2766">
        <v>0.01</v>
      </c>
      <c r="T69" s="2769">
        <f t="shared" ref="T69:T132" si="11">IFERROR(R69*S69," ")</f>
        <v>0</v>
      </c>
      <c r="U69" s="2769">
        <f t="shared" ref="U69:U132" si="12">IFERROR(T69*44/28,0)</f>
        <v>0</v>
      </c>
      <c r="V69" s="2810">
        <f t="shared" ref="V69:V132" si="13">IFERROR((P69+U69)/1000," ")</f>
        <v>0</v>
      </c>
    </row>
    <row r="70" spans="1:22" x14ac:dyDescent="0.25">
      <c r="A70" s="2808" t="s">
        <v>1980</v>
      </c>
      <c r="B70" s="2770">
        <v>1232</v>
      </c>
      <c r="C70" s="2766" t="s">
        <v>2798</v>
      </c>
      <c r="D70" s="2766" t="s">
        <v>340</v>
      </c>
      <c r="E70" s="2766" t="s">
        <v>2006</v>
      </c>
      <c r="F70" s="2766">
        <v>123201</v>
      </c>
      <c r="G70" s="2766" t="s">
        <v>350</v>
      </c>
      <c r="H70" s="2766">
        <f>Dataark_til_bilag3_2018[[#This Row],[Staldkode]]+Dataark_til_bilag3_2018[[#This Row],[Dyrekode]]</f>
        <v>124433</v>
      </c>
      <c r="I70" s="4347">
        <v>5.97</v>
      </c>
      <c r="J70" s="2766"/>
      <c r="K70" s="2766" t="s">
        <v>350</v>
      </c>
      <c r="L70" s="2767">
        <v>20.100000000000001</v>
      </c>
      <c r="M70" s="2766">
        <f t="shared" si="7"/>
        <v>119.997</v>
      </c>
      <c r="N70" s="2766">
        <v>0.01</v>
      </c>
      <c r="O70" s="2766">
        <f t="shared" si="8"/>
        <v>1.19997</v>
      </c>
      <c r="P70" s="2769">
        <f t="shared" si="9"/>
        <v>1.8856671428571428</v>
      </c>
      <c r="Q70" s="2809">
        <v>9.7299999999999998E-2</v>
      </c>
      <c r="R70" s="2769">
        <f t="shared" si="10"/>
        <v>11.6757081</v>
      </c>
      <c r="S70" s="2766">
        <v>0.01</v>
      </c>
      <c r="T70" s="2769">
        <f t="shared" si="11"/>
        <v>0.116757081</v>
      </c>
      <c r="U70" s="2769">
        <f t="shared" si="12"/>
        <v>0.183475413</v>
      </c>
      <c r="V70" s="2810">
        <f t="shared" si="13"/>
        <v>2.0691425558571428E-3</v>
      </c>
    </row>
    <row r="71" spans="1:22" x14ac:dyDescent="0.25">
      <c r="A71" s="2808" t="s">
        <v>1980</v>
      </c>
      <c r="B71" s="2770">
        <v>1232</v>
      </c>
      <c r="C71" s="2766" t="s">
        <v>2798</v>
      </c>
      <c r="D71" s="2766" t="s">
        <v>340</v>
      </c>
      <c r="E71" s="2766" t="s">
        <v>2004</v>
      </c>
      <c r="F71" s="2766">
        <v>123202</v>
      </c>
      <c r="G71" s="2766" t="s">
        <v>350</v>
      </c>
      <c r="H71" s="2766">
        <f>Dataark_til_bilag3_2018[[#This Row],[Staldkode]]+Dataark_til_bilag3_2018[[#This Row],[Dyrekode]]</f>
        <v>124434</v>
      </c>
      <c r="I71" s="4347">
        <v>0</v>
      </c>
      <c r="J71" s="2766"/>
      <c r="K71" s="2766" t="s">
        <v>350</v>
      </c>
      <c r="L71" s="2767">
        <v>20.100000000000001</v>
      </c>
      <c r="M71" s="2766">
        <f t="shared" si="7"/>
        <v>0</v>
      </c>
      <c r="N71" s="2766">
        <v>0.01</v>
      </c>
      <c r="O71" s="2766">
        <f t="shared" si="8"/>
        <v>0</v>
      </c>
      <c r="P71" s="2769">
        <f t="shared" si="9"/>
        <v>0</v>
      </c>
      <c r="Q71" s="2809">
        <v>9.7299999999999998E-2</v>
      </c>
      <c r="R71" s="2769">
        <f t="shared" si="10"/>
        <v>0</v>
      </c>
      <c r="S71" s="2766">
        <v>0.01</v>
      </c>
      <c r="T71" s="2769">
        <f t="shared" si="11"/>
        <v>0</v>
      </c>
      <c r="U71" s="2769">
        <f t="shared" si="12"/>
        <v>0</v>
      </c>
      <c r="V71" s="2810">
        <f t="shared" si="13"/>
        <v>0</v>
      </c>
    </row>
    <row r="72" spans="1:22" x14ac:dyDescent="0.25">
      <c r="A72" s="2808" t="s">
        <v>1980</v>
      </c>
      <c r="B72" s="2770">
        <v>1233</v>
      </c>
      <c r="C72" s="2766" t="s">
        <v>2791</v>
      </c>
      <c r="D72" s="2766" t="s">
        <v>336</v>
      </c>
      <c r="E72" s="2766" t="s">
        <v>1989</v>
      </c>
      <c r="F72" s="2766">
        <v>123301</v>
      </c>
      <c r="G72" s="2766" t="s">
        <v>639</v>
      </c>
      <c r="H72" s="2766">
        <f>Dataark_til_bilag3_2018[[#This Row],[Staldkode]]+Dataark_til_bilag3_2018[[#This Row],[Dyrekode]]</f>
        <v>124534</v>
      </c>
      <c r="I72" s="4347">
        <v>0</v>
      </c>
      <c r="J72" s="2766" t="s">
        <v>1903</v>
      </c>
      <c r="K72" s="2766"/>
      <c r="L72" s="2767">
        <v>37.9</v>
      </c>
      <c r="M72" s="2766">
        <f t="shared" si="7"/>
        <v>0</v>
      </c>
      <c r="N72" s="2766">
        <v>5.0000000000000001E-3</v>
      </c>
      <c r="O72" s="2766">
        <f t="shared" si="8"/>
        <v>0</v>
      </c>
      <c r="P72" s="2769">
        <f t="shared" si="9"/>
        <v>0</v>
      </c>
      <c r="Q72" s="2809">
        <v>9.7299999999999998E-2</v>
      </c>
      <c r="R72" s="2769">
        <f t="shared" si="10"/>
        <v>0</v>
      </c>
      <c r="S72" s="2766">
        <v>0.01</v>
      </c>
      <c r="T72" s="2769">
        <f t="shared" si="11"/>
        <v>0</v>
      </c>
      <c r="U72" s="2769">
        <f t="shared" si="12"/>
        <v>0</v>
      </c>
      <c r="V72" s="2810">
        <f t="shared" si="13"/>
        <v>0</v>
      </c>
    </row>
    <row r="73" spans="1:22" x14ac:dyDescent="0.25">
      <c r="A73" s="2808" t="s">
        <v>1980</v>
      </c>
      <c r="B73" s="2770">
        <v>1233</v>
      </c>
      <c r="C73" s="2766" t="s">
        <v>2791</v>
      </c>
      <c r="D73" s="2766" t="s">
        <v>336</v>
      </c>
      <c r="E73" s="2766" t="s">
        <v>1988</v>
      </c>
      <c r="F73" s="2766">
        <v>123302</v>
      </c>
      <c r="G73" s="2766" t="s">
        <v>639</v>
      </c>
      <c r="H73" s="2766">
        <f>Dataark_til_bilag3_2018[[#This Row],[Staldkode]]+Dataark_til_bilag3_2018[[#This Row],[Dyrekode]]</f>
        <v>124535</v>
      </c>
      <c r="I73" s="4347">
        <v>0</v>
      </c>
      <c r="J73" s="2766" t="s">
        <v>1977</v>
      </c>
      <c r="K73" s="2766"/>
      <c r="L73" s="2767">
        <v>37.9</v>
      </c>
      <c r="M73" s="2766">
        <f t="shared" si="7"/>
        <v>0</v>
      </c>
      <c r="N73" s="2766">
        <v>5.0000000000000001E-3</v>
      </c>
      <c r="O73" s="2766">
        <f t="shared" si="8"/>
        <v>0</v>
      </c>
      <c r="P73" s="2769">
        <f t="shared" si="9"/>
        <v>0</v>
      </c>
      <c r="Q73" s="2809">
        <v>9.7299999999999998E-2</v>
      </c>
      <c r="R73" s="2769">
        <f t="shared" si="10"/>
        <v>0</v>
      </c>
      <c r="S73" s="2766">
        <v>0.01</v>
      </c>
      <c r="T73" s="2769">
        <f t="shared" si="11"/>
        <v>0</v>
      </c>
      <c r="U73" s="2769">
        <f t="shared" si="12"/>
        <v>0</v>
      </c>
      <c r="V73" s="2810">
        <f t="shared" si="13"/>
        <v>0</v>
      </c>
    </row>
    <row r="74" spans="1:22" x14ac:dyDescent="0.25">
      <c r="A74" s="2808" t="s">
        <v>1980</v>
      </c>
      <c r="B74" s="2770">
        <v>1233</v>
      </c>
      <c r="C74" s="2766" t="s">
        <v>2791</v>
      </c>
      <c r="D74" s="2766" t="s">
        <v>336</v>
      </c>
      <c r="E74" s="2766" t="s">
        <v>1995</v>
      </c>
      <c r="F74" s="2766">
        <v>123303</v>
      </c>
      <c r="G74" s="2766" t="s">
        <v>354</v>
      </c>
      <c r="H74" s="2766">
        <f>Dataark_til_bilag3_2018[[#This Row],[Staldkode]]+Dataark_til_bilag3_2018[[#This Row],[Dyrekode]]</f>
        <v>124536</v>
      </c>
      <c r="I74" s="4347">
        <v>0</v>
      </c>
      <c r="J74" s="2766" t="s">
        <v>1977</v>
      </c>
      <c r="K74" s="2766"/>
      <c r="L74" s="2767">
        <v>37.9</v>
      </c>
      <c r="M74" s="2766">
        <f t="shared" si="7"/>
        <v>0</v>
      </c>
      <c r="N74" s="2766">
        <v>5.0000000000000001E-3</v>
      </c>
      <c r="O74" s="2766">
        <f t="shared" si="8"/>
        <v>0</v>
      </c>
      <c r="P74" s="2769">
        <f t="shared" si="9"/>
        <v>0</v>
      </c>
      <c r="Q74" s="2809">
        <v>9.7299999999999998E-2</v>
      </c>
      <c r="R74" s="2769">
        <f t="shared" si="10"/>
        <v>0</v>
      </c>
      <c r="S74" s="2766">
        <v>0.01</v>
      </c>
      <c r="T74" s="2769">
        <f t="shared" si="11"/>
        <v>0</v>
      </c>
      <c r="U74" s="2769">
        <f t="shared" si="12"/>
        <v>0</v>
      </c>
      <c r="V74" s="2810">
        <f t="shared" si="13"/>
        <v>0</v>
      </c>
    </row>
    <row r="75" spans="1:22" x14ac:dyDescent="0.25">
      <c r="A75" s="2808" t="s">
        <v>1980</v>
      </c>
      <c r="B75" s="2770">
        <v>1233</v>
      </c>
      <c r="C75" s="2766" t="s">
        <v>2791</v>
      </c>
      <c r="D75" s="2766" t="s">
        <v>336</v>
      </c>
      <c r="E75" s="2766" t="s">
        <v>1982</v>
      </c>
      <c r="F75" s="2766">
        <v>123304</v>
      </c>
      <c r="G75" s="2766" t="s">
        <v>354</v>
      </c>
      <c r="H75" s="2766">
        <f>Dataark_til_bilag3_2018[[#This Row],[Staldkode]]+Dataark_til_bilag3_2018[[#This Row],[Dyrekode]]</f>
        <v>124537</v>
      </c>
      <c r="I75" s="4347">
        <v>0</v>
      </c>
      <c r="J75" s="2766" t="s">
        <v>1977</v>
      </c>
      <c r="K75" s="2766"/>
      <c r="L75" s="2767">
        <v>37.9</v>
      </c>
      <c r="M75" s="2766">
        <f t="shared" si="7"/>
        <v>0</v>
      </c>
      <c r="N75" s="2766">
        <v>5.0000000000000001E-3</v>
      </c>
      <c r="O75" s="2766">
        <f t="shared" si="8"/>
        <v>0</v>
      </c>
      <c r="P75" s="2769">
        <f t="shared" si="9"/>
        <v>0</v>
      </c>
      <c r="Q75" s="2809">
        <v>9.7299999999999998E-2</v>
      </c>
      <c r="R75" s="2769">
        <f t="shared" si="10"/>
        <v>0</v>
      </c>
      <c r="S75" s="2766">
        <v>0.01</v>
      </c>
      <c r="T75" s="2769">
        <f t="shared" si="11"/>
        <v>0</v>
      </c>
      <c r="U75" s="2769">
        <f t="shared" si="12"/>
        <v>0</v>
      </c>
      <c r="V75" s="2810">
        <f t="shared" si="13"/>
        <v>0</v>
      </c>
    </row>
    <row r="76" spans="1:22" x14ac:dyDescent="0.25">
      <c r="A76" s="2808" t="s">
        <v>1980</v>
      </c>
      <c r="B76" s="2770">
        <v>1233</v>
      </c>
      <c r="C76" s="2766" t="s">
        <v>2791</v>
      </c>
      <c r="D76" s="2766" t="s">
        <v>336</v>
      </c>
      <c r="E76" s="2766" t="s">
        <v>1994</v>
      </c>
      <c r="F76" s="2766">
        <v>123305</v>
      </c>
      <c r="G76" s="2766" t="s">
        <v>354</v>
      </c>
      <c r="H76" s="2766">
        <f>Dataark_til_bilag3_2018[[#This Row],[Staldkode]]+Dataark_til_bilag3_2018[[#This Row],[Dyrekode]]</f>
        <v>124538</v>
      </c>
      <c r="I76" s="4347">
        <v>0</v>
      </c>
      <c r="J76" s="2766" t="s">
        <v>1977</v>
      </c>
      <c r="K76" s="2766"/>
      <c r="L76" s="2767">
        <v>37.9</v>
      </c>
      <c r="M76" s="2766">
        <f t="shared" si="7"/>
        <v>0</v>
      </c>
      <c r="N76" s="2766">
        <v>5.0000000000000001E-3</v>
      </c>
      <c r="O76" s="2766">
        <f t="shared" si="8"/>
        <v>0</v>
      </c>
      <c r="P76" s="2769">
        <f t="shared" si="9"/>
        <v>0</v>
      </c>
      <c r="Q76" s="2809">
        <v>9.7299999999999998E-2</v>
      </c>
      <c r="R76" s="2769">
        <f t="shared" si="10"/>
        <v>0</v>
      </c>
      <c r="S76" s="2766">
        <v>0.01</v>
      </c>
      <c r="T76" s="2769">
        <f t="shared" si="11"/>
        <v>0</v>
      </c>
      <c r="U76" s="2769">
        <f t="shared" si="12"/>
        <v>0</v>
      </c>
      <c r="V76" s="2810">
        <f t="shared" si="13"/>
        <v>0</v>
      </c>
    </row>
    <row r="77" spans="1:22" x14ac:dyDescent="0.25">
      <c r="A77" s="2808" t="s">
        <v>1980</v>
      </c>
      <c r="B77" s="2770">
        <v>1233</v>
      </c>
      <c r="C77" s="2766" t="s">
        <v>2791</v>
      </c>
      <c r="D77" s="2766" t="s">
        <v>336</v>
      </c>
      <c r="E77" s="2766" t="s">
        <v>1987</v>
      </c>
      <c r="F77" s="2766">
        <v>123306</v>
      </c>
      <c r="G77" s="2766" t="s">
        <v>350</v>
      </c>
      <c r="H77" s="2766">
        <f>Dataark_til_bilag3_2018[[#This Row],[Staldkode]]+Dataark_til_bilag3_2018[[#This Row],[Dyrekode]]</f>
        <v>124539</v>
      </c>
      <c r="I77" s="4347">
        <v>72.56</v>
      </c>
      <c r="J77" s="2766"/>
      <c r="K77" s="2766" t="s">
        <v>350</v>
      </c>
      <c r="L77" s="2767">
        <v>37.9</v>
      </c>
      <c r="M77" s="2766">
        <f t="shared" si="7"/>
        <v>2750.0239999999999</v>
      </c>
      <c r="N77" s="2766">
        <v>0.01</v>
      </c>
      <c r="O77" s="2766">
        <f t="shared" si="8"/>
        <v>27.500239999999998</v>
      </c>
      <c r="P77" s="2769">
        <f t="shared" si="9"/>
        <v>43.214662857142855</v>
      </c>
      <c r="Q77" s="2809">
        <v>9.7299999999999998E-2</v>
      </c>
      <c r="R77" s="2769">
        <f t="shared" si="10"/>
        <v>267.57733519999999</v>
      </c>
      <c r="S77" s="2766">
        <v>0.01</v>
      </c>
      <c r="T77" s="2769">
        <f t="shared" si="11"/>
        <v>2.6757733519999998</v>
      </c>
      <c r="U77" s="2769">
        <f t="shared" si="12"/>
        <v>4.2047866960000002</v>
      </c>
      <c r="V77" s="2810">
        <f t="shared" si="13"/>
        <v>4.7419449553142853E-2</v>
      </c>
    </row>
    <row r="78" spans="1:22" x14ac:dyDescent="0.25">
      <c r="A78" s="2808" t="s">
        <v>1980</v>
      </c>
      <c r="B78" s="2770">
        <v>1233</v>
      </c>
      <c r="C78" s="2766" t="s">
        <v>2791</v>
      </c>
      <c r="D78" s="2766" t="s">
        <v>336</v>
      </c>
      <c r="E78" s="2766" t="s">
        <v>2008</v>
      </c>
      <c r="F78" s="2766">
        <v>123307</v>
      </c>
      <c r="G78" s="2766" t="s">
        <v>350</v>
      </c>
      <c r="H78" s="2766">
        <f>Dataark_til_bilag3_2018[[#This Row],[Staldkode]]+Dataark_til_bilag3_2018[[#This Row],[Dyrekode]]</f>
        <v>124540</v>
      </c>
      <c r="I78" s="4347">
        <v>0</v>
      </c>
      <c r="J78" s="2766"/>
      <c r="K78" s="2766" t="s">
        <v>350</v>
      </c>
      <c r="L78" s="2767">
        <v>37.9</v>
      </c>
      <c r="M78" s="2766">
        <f t="shared" si="7"/>
        <v>0</v>
      </c>
      <c r="N78" s="2766">
        <v>0.01</v>
      </c>
      <c r="O78" s="2766">
        <f t="shared" si="8"/>
        <v>0</v>
      </c>
      <c r="P78" s="2769">
        <f t="shared" si="9"/>
        <v>0</v>
      </c>
      <c r="Q78" s="2809">
        <v>9.7299999999999998E-2</v>
      </c>
      <c r="R78" s="2769">
        <f t="shared" si="10"/>
        <v>0</v>
      </c>
      <c r="S78" s="2766">
        <v>0.01</v>
      </c>
      <c r="T78" s="2769">
        <f t="shared" si="11"/>
        <v>0</v>
      </c>
      <c r="U78" s="2769">
        <f t="shared" si="12"/>
        <v>0</v>
      </c>
      <c r="V78" s="2810">
        <f t="shared" si="13"/>
        <v>0</v>
      </c>
    </row>
    <row r="79" spans="1:22" x14ac:dyDescent="0.25">
      <c r="A79" s="2808" t="s">
        <v>1980</v>
      </c>
      <c r="B79" s="2770">
        <v>1233</v>
      </c>
      <c r="C79" s="2766" t="s">
        <v>2791</v>
      </c>
      <c r="D79" s="2766" t="s">
        <v>336</v>
      </c>
      <c r="E79" s="2766" t="s">
        <v>1985</v>
      </c>
      <c r="F79" s="2766">
        <v>123308</v>
      </c>
      <c r="G79" s="2766" t="s">
        <v>350</v>
      </c>
      <c r="H79" s="2766">
        <f>Dataark_til_bilag3_2018[[#This Row],[Staldkode]]+Dataark_til_bilag3_2018[[#This Row],[Dyrekode]]</f>
        <v>124541</v>
      </c>
      <c r="I79" s="4347">
        <v>0</v>
      </c>
      <c r="J79" s="2766" t="s">
        <v>1977</v>
      </c>
      <c r="K79" s="2766"/>
      <c r="L79" s="2767">
        <v>37.9</v>
      </c>
      <c r="M79" s="2766">
        <f t="shared" si="7"/>
        <v>0</v>
      </c>
      <c r="N79" s="2766">
        <v>5.0000000000000001E-3</v>
      </c>
      <c r="O79" s="2766">
        <f t="shared" si="8"/>
        <v>0</v>
      </c>
      <c r="P79" s="2769">
        <f t="shared" si="9"/>
        <v>0</v>
      </c>
      <c r="Q79" s="2809">
        <v>9.7299999999999998E-2</v>
      </c>
      <c r="R79" s="2769">
        <f t="shared" si="10"/>
        <v>0</v>
      </c>
      <c r="S79" s="2766">
        <v>0.01</v>
      </c>
      <c r="T79" s="2769">
        <f t="shared" si="11"/>
        <v>0</v>
      </c>
      <c r="U79" s="2769">
        <f t="shared" si="12"/>
        <v>0</v>
      </c>
      <c r="V79" s="2810">
        <f t="shared" si="13"/>
        <v>0</v>
      </c>
    </row>
    <row r="80" spans="1:22" x14ac:dyDescent="0.25">
      <c r="A80" s="2808" t="s">
        <v>1980</v>
      </c>
      <c r="B80" s="2770">
        <v>1233</v>
      </c>
      <c r="C80" s="2766" t="s">
        <v>2791</v>
      </c>
      <c r="D80" s="2766" t="s">
        <v>336</v>
      </c>
      <c r="E80" s="2766" t="s">
        <v>1984</v>
      </c>
      <c r="F80" s="2766">
        <v>123309</v>
      </c>
      <c r="G80" s="2766" t="s">
        <v>350</v>
      </c>
      <c r="H80" s="2766">
        <f>Dataark_til_bilag3_2018[[#This Row],[Staldkode]]+Dataark_til_bilag3_2018[[#This Row],[Dyrekode]]</f>
        <v>124542</v>
      </c>
      <c r="I80" s="4347">
        <v>0</v>
      </c>
      <c r="J80" s="2766" t="s">
        <v>1977</v>
      </c>
      <c r="K80" s="2766"/>
      <c r="L80" s="2767">
        <v>37.9</v>
      </c>
      <c r="M80" s="2766">
        <f t="shared" si="7"/>
        <v>0</v>
      </c>
      <c r="N80" s="2766">
        <v>5.0000000000000001E-3</v>
      </c>
      <c r="O80" s="2766">
        <f t="shared" si="8"/>
        <v>0</v>
      </c>
      <c r="P80" s="2769">
        <f t="shared" si="9"/>
        <v>0</v>
      </c>
      <c r="Q80" s="2809">
        <v>9.7299999999999998E-2</v>
      </c>
      <c r="R80" s="2769">
        <f t="shared" si="10"/>
        <v>0</v>
      </c>
      <c r="S80" s="2766">
        <v>0.01</v>
      </c>
      <c r="T80" s="2769">
        <f t="shared" si="11"/>
        <v>0</v>
      </c>
      <c r="U80" s="2769">
        <f t="shared" si="12"/>
        <v>0</v>
      </c>
      <c r="V80" s="2810">
        <f t="shared" si="13"/>
        <v>0</v>
      </c>
    </row>
    <row r="81" spans="1:22" x14ac:dyDescent="0.25">
      <c r="A81" s="2808" t="s">
        <v>1980</v>
      </c>
      <c r="B81" s="2770">
        <v>1233</v>
      </c>
      <c r="C81" s="2766" t="s">
        <v>2791</v>
      </c>
      <c r="D81" s="2766" t="s">
        <v>336</v>
      </c>
      <c r="E81" s="2766" t="s">
        <v>1983</v>
      </c>
      <c r="F81" s="2766">
        <v>123310</v>
      </c>
      <c r="G81" s="2766" t="s">
        <v>350</v>
      </c>
      <c r="H81" s="2766">
        <f>Dataark_til_bilag3_2018[[#This Row],[Staldkode]]+Dataark_til_bilag3_2018[[#This Row],[Dyrekode]]</f>
        <v>124543</v>
      </c>
      <c r="I81" s="4347">
        <v>0</v>
      </c>
      <c r="J81" s="2766" t="s">
        <v>1977</v>
      </c>
      <c r="K81" s="2766"/>
      <c r="L81" s="2767">
        <v>37.9</v>
      </c>
      <c r="M81" s="2766">
        <f t="shared" si="7"/>
        <v>0</v>
      </c>
      <c r="N81" s="2766">
        <v>5.0000000000000001E-3</v>
      </c>
      <c r="O81" s="2766">
        <f t="shared" si="8"/>
        <v>0</v>
      </c>
      <c r="P81" s="2769">
        <f t="shared" si="9"/>
        <v>0</v>
      </c>
      <c r="Q81" s="2809">
        <v>9.7299999999999998E-2</v>
      </c>
      <c r="R81" s="2769">
        <f t="shared" si="10"/>
        <v>0</v>
      </c>
      <c r="S81" s="2766">
        <v>0.01</v>
      </c>
      <c r="T81" s="2769">
        <f t="shared" si="11"/>
        <v>0</v>
      </c>
      <c r="U81" s="2769">
        <f t="shared" si="12"/>
        <v>0</v>
      </c>
      <c r="V81" s="2810">
        <f t="shared" si="13"/>
        <v>0</v>
      </c>
    </row>
    <row r="82" spans="1:22" x14ac:dyDescent="0.25">
      <c r="A82" s="2808" t="s">
        <v>1980</v>
      </c>
      <c r="B82" s="2770">
        <v>1233</v>
      </c>
      <c r="C82" s="2766" t="s">
        <v>2791</v>
      </c>
      <c r="D82" s="2766" t="s">
        <v>336</v>
      </c>
      <c r="E82" s="2766" t="s">
        <v>1996</v>
      </c>
      <c r="F82" s="2766">
        <v>123312</v>
      </c>
      <c r="G82" s="2766" t="s">
        <v>353</v>
      </c>
      <c r="H82" s="2766">
        <f>Dataark_til_bilag3_2018[[#This Row],[Staldkode]]+Dataark_til_bilag3_2018[[#This Row],[Dyrekode]]</f>
        <v>124545</v>
      </c>
      <c r="I82" s="4347">
        <v>0</v>
      </c>
      <c r="J82" s="2766" t="s">
        <v>1977</v>
      </c>
      <c r="K82" s="2766"/>
      <c r="L82" s="2767">
        <v>37.9</v>
      </c>
      <c r="M82" s="2766">
        <f t="shared" si="7"/>
        <v>0</v>
      </c>
      <c r="N82" s="2766">
        <v>5.0000000000000001E-3</v>
      </c>
      <c r="O82" s="2766">
        <f t="shared" si="8"/>
        <v>0</v>
      </c>
      <c r="P82" s="2769">
        <f t="shared" si="9"/>
        <v>0</v>
      </c>
      <c r="Q82" s="2809">
        <v>9.7299999999999998E-2</v>
      </c>
      <c r="R82" s="2769">
        <f t="shared" si="10"/>
        <v>0</v>
      </c>
      <c r="S82" s="2766">
        <v>0.01</v>
      </c>
      <c r="T82" s="2769">
        <f t="shared" si="11"/>
        <v>0</v>
      </c>
      <c r="U82" s="2769">
        <f t="shared" si="12"/>
        <v>0</v>
      </c>
      <c r="V82" s="2810">
        <f t="shared" si="13"/>
        <v>0</v>
      </c>
    </row>
    <row r="83" spans="1:22" x14ac:dyDescent="0.25">
      <c r="A83" s="2808" t="s">
        <v>1980</v>
      </c>
      <c r="B83" s="2770">
        <v>1233</v>
      </c>
      <c r="C83" s="2766" t="s">
        <v>2791</v>
      </c>
      <c r="D83" s="2766" t="s">
        <v>336</v>
      </c>
      <c r="E83" s="2766" t="s">
        <v>1990</v>
      </c>
      <c r="F83" s="2766">
        <v>123316</v>
      </c>
      <c r="G83" s="2766" t="s">
        <v>354</v>
      </c>
      <c r="H83" s="2766">
        <f>Dataark_til_bilag3_2018[[#This Row],[Staldkode]]+Dataark_til_bilag3_2018[[#This Row],[Dyrekode]]</f>
        <v>124549</v>
      </c>
      <c r="I83" s="4347">
        <v>0</v>
      </c>
      <c r="J83" s="2766" t="s">
        <v>1977</v>
      </c>
      <c r="K83" s="2766"/>
      <c r="L83" s="2767">
        <v>37.9</v>
      </c>
      <c r="M83" s="2766">
        <f t="shared" si="7"/>
        <v>0</v>
      </c>
      <c r="N83" s="2766">
        <v>5.0000000000000001E-3</v>
      </c>
      <c r="O83" s="2766">
        <f t="shared" si="8"/>
        <v>0</v>
      </c>
      <c r="P83" s="2769">
        <f t="shared" si="9"/>
        <v>0</v>
      </c>
      <c r="Q83" s="2809">
        <v>9.7299999999999998E-2</v>
      </c>
      <c r="R83" s="2769">
        <f t="shared" si="10"/>
        <v>0</v>
      </c>
      <c r="S83" s="2766">
        <v>0.01</v>
      </c>
      <c r="T83" s="2769">
        <f t="shared" si="11"/>
        <v>0</v>
      </c>
      <c r="U83" s="2769">
        <f t="shared" si="12"/>
        <v>0</v>
      </c>
      <c r="V83" s="2810">
        <f t="shared" si="13"/>
        <v>0</v>
      </c>
    </row>
    <row r="84" spans="1:22" x14ac:dyDescent="0.25">
      <c r="A84" s="2808" t="s">
        <v>1980</v>
      </c>
      <c r="B84" s="2770">
        <v>1234</v>
      </c>
      <c r="C84" s="2766" t="s">
        <v>2795</v>
      </c>
      <c r="D84" s="2766" t="s">
        <v>2794</v>
      </c>
      <c r="E84" s="2766" t="s">
        <v>2006</v>
      </c>
      <c r="F84" s="2766">
        <v>123401</v>
      </c>
      <c r="G84" s="2766" t="s">
        <v>350</v>
      </c>
      <c r="H84" s="2766">
        <f>Dataark_til_bilag3_2018[[#This Row],[Staldkode]]+Dataark_til_bilag3_2018[[#This Row],[Dyrekode]]</f>
        <v>124635</v>
      </c>
      <c r="I84" s="4347">
        <v>8.31</v>
      </c>
      <c r="J84" s="2766"/>
      <c r="K84" s="2766" t="s">
        <v>350</v>
      </c>
      <c r="L84" s="2767">
        <v>9.11</v>
      </c>
      <c r="M84" s="2766">
        <f t="shared" si="7"/>
        <v>75.704099999999997</v>
      </c>
      <c r="N84" s="2766">
        <v>0.01</v>
      </c>
      <c r="O84" s="2766">
        <f t="shared" si="8"/>
        <v>0.75704099999999996</v>
      </c>
      <c r="P84" s="2769">
        <f t="shared" si="9"/>
        <v>1.1896358571428571</v>
      </c>
      <c r="Q84" s="2809">
        <v>9.7299999999999998E-2</v>
      </c>
      <c r="R84" s="2769">
        <f t="shared" si="10"/>
        <v>7.3660089299999996</v>
      </c>
      <c r="S84" s="2766">
        <v>0.01</v>
      </c>
      <c r="T84" s="2769">
        <f t="shared" si="11"/>
        <v>7.3660089299999995E-2</v>
      </c>
      <c r="U84" s="2769">
        <f t="shared" si="12"/>
        <v>0.1157515689</v>
      </c>
      <c r="V84" s="2810">
        <f t="shared" si="13"/>
        <v>1.3053874260428571E-3</v>
      </c>
    </row>
    <row r="85" spans="1:22" x14ac:dyDescent="0.25">
      <c r="A85" s="2808" t="s">
        <v>1980</v>
      </c>
      <c r="B85" s="2770">
        <v>1234</v>
      </c>
      <c r="C85" s="2766" t="s">
        <v>2795</v>
      </c>
      <c r="D85" s="2766" t="s">
        <v>2794</v>
      </c>
      <c r="E85" s="2766" t="s">
        <v>2004</v>
      </c>
      <c r="F85" s="2766">
        <v>123402</v>
      </c>
      <c r="G85" s="2766" t="s">
        <v>350</v>
      </c>
      <c r="H85" s="2766">
        <f>Dataark_til_bilag3_2018[[#This Row],[Staldkode]]+Dataark_til_bilag3_2018[[#This Row],[Dyrekode]]</f>
        <v>124636</v>
      </c>
      <c r="I85" s="4347">
        <v>0</v>
      </c>
      <c r="J85" s="2766"/>
      <c r="K85" s="2766" t="s">
        <v>350</v>
      </c>
      <c r="L85" s="2767">
        <v>9.11</v>
      </c>
      <c r="M85" s="2766">
        <f t="shared" si="7"/>
        <v>0</v>
      </c>
      <c r="N85" s="2766">
        <v>0.01</v>
      </c>
      <c r="O85" s="2766">
        <f t="shared" si="8"/>
        <v>0</v>
      </c>
      <c r="P85" s="2769">
        <f t="shared" si="9"/>
        <v>0</v>
      </c>
      <c r="Q85" s="2809">
        <v>9.7299999999999998E-2</v>
      </c>
      <c r="R85" s="2769">
        <f t="shared" si="10"/>
        <v>0</v>
      </c>
      <c r="S85" s="2766">
        <v>0.01</v>
      </c>
      <c r="T85" s="2769">
        <f t="shared" si="11"/>
        <v>0</v>
      </c>
      <c r="U85" s="2769">
        <f t="shared" si="12"/>
        <v>0</v>
      </c>
      <c r="V85" s="2810">
        <f t="shared" si="13"/>
        <v>0</v>
      </c>
    </row>
    <row r="86" spans="1:22" x14ac:dyDescent="0.25">
      <c r="A86" s="2808" t="s">
        <v>1980</v>
      </c>
      <c r="B86" s="2770">
        <v>1235</v>
      </c>
      <c r="C86" s="2766" t="s">
        <v>2799</v>
      </c>
      <c r="D86" s="2766" t="s">
        <v>2796</v>
      </c>
      <c r="E86" s="2766" t="s">
        <v>1989</v>
      </c>
      <c r="F86" s="2766">
        <v>123501</v>
      </c>
      <c r="G86" s="2766" t="s">
        <v>639</v>
      </c>
      <c r="H86" s="2766">
        <f>Dataark_til_bilag3_2018[[#This Row],[Staldkode]]+Dataark_til_bilag3_2018[[#This Row],[Dyrekode]]</f>
        <v>124736</v>
      </c>
      <c r="I86" s="4347">
        <v>0</v>
      </c>
      <c r="J86" s="2766" t="s">
        <v>1903</v>
      </c>
      <c r="K86" s="2766"/>
      <c r="L86" s="2767">
        <v>18.399999999999999</v>
      </c>
      <c r="M86" s="2766">
        <f t="shared" si="7"/>
        <v>0</v>
      </c>
      <c r="N86" s="2766">
        <v>5.0000000000000001E-3</v>
      </c>
      <c r="O86" s="2766">
        <f t="shared" si="8"/>
        <v>0</v>
      </c>
      <c r="P86" s="2769">
        <f t="shared" si="9"/>
        <v>0</v>
      </c>
      <c r="Q86" s="2809">
        <v>9.7299999999999998E-2</v>
      </c>
      <c r="R86" s="2769">
        <f t="shared" si="10"/>
        <v>0</v>
      </c>
      <c r="S86" s="2766">
        <v>0.01</v>
      </c>
      <c r="T86" s="2769">
        <f t="shared" si="11"/>
        <v>0</v>
      </c>
      <c r="U86" s="2769">
        <f t="shared" si="12"/>
        <v>0</v>
      </c>
      <c r="V86" s="2810">
        <f t="shared" si="13"/>
        <v>0</v>
      </c>
    </row>
    <row r="87" spans="1:22" x14ac:dyDescent="0.25">
      <c r="A87" s="2808" t="s">
        <v>1980</v>
      </c>
      <c r="B87" s="2770">
        <v>1235</v>
      </c>
      <c r="C87" s="2766" t="s">
        <v>2799</v>
      </c>
      <c r="D87" s="2766" t="s">
        <v>2796</v>
      </c>
      <c r="E87" s="2766" t="s">
        <v>1988</v>
      </c>
      <c r="F87" s="2766">
        <v>123502</v>
      </c>
      <c r="G87" s="2766" t="s">
        <v>639</v>
      </c>
      <c r="H87" s="2766">
        <f>Dataark_til_bilag3_2018[[#This Row],[Staldkode]]+Dataark_til_bilag3_2018[[#This Row],[Dyrekode]]</f>
        <v>124737</v>
      </c>
      <c r="I87" s="4347">
        <v>0</v>
      </c>
      <c r="J87" s="2766" t="s">
        <v>1977</v>
      </c>
      <c r="K87" s="2766"/>
      <c r="L87" s="2767">
        <v>18.399999999999999</v>
      </c>
      <c r="M87" s="2766">
        <f t="shared" si="7"/>
        <v>0</v>
      </c>
      <c r="N87" s="2766">
        <v>5.0000000000000001E-3</v>
      </c>
      <c r="O87" s="2766">
        <f t="shared" si="8"/>
        <v>0</v>
      </c>
      <c r="P87" s="2769">
        <f t="shared" si="9"/>
        <v>0</v>
      </c>
      <c r="Q87" s="2809">
        <v>9.7299999999999998E-2</v>
      </c>
      <c r="R87" s="2769">
        <f t="shared" si="10"/>
        <v>0</v>
      </c>
      <c r="S87" s="2766">
        <v>0.01</v>
      </c>
      <c r="T87" s="2769">
        <f t="shared" si="11"/>
        <v>0</v>
      </c>
      <c r="U87" s="2769">
        <f t="shared" si="12"/>
        <v>0</v>
      </c>
      <c r="V87" s="2810">
        <f t="shared" si="13"/>
        <v>0</v>
      </c>
    </row>
    <row r="88" spans="1:22" x14ac:dyDescent="0.25">
      <c r="A88" s="2808" t="s">
        <v>1980</v>
      </c>
      <c r="B88" s="2770">
        <v>1235</v>
      </c>
      <c r="C88" s="2766" t="s">
        <v>2799</v>
      </c>
      <c r="D88" s="2766" t="s">
        <v>2796</v>
      </c>
      <c r="E88" s="2766" t="s">
        <v>1987</v>
      </c>
      <c r="F88" s="2766">
        <v>123503</v>
      </c>
      <c r="G88" s="2766" t="s">
        <v>350</v>
      </c>
      <c r="H88" s="2766">
        <f>Dataark_til_bilag3_2018[[#This Row],[Staldkode]]+Dataark_til_bilag3_2018[[#This Row],[Dyrekode]]</f>
        <v>124738</v>
      </c>
      <c r="I88" s="4347">
        <v>31.85</v>
      </c>
      <c r="J88" s="2766"/>
      <c r="K88" s="2766" t="s">
        <v>350</v>
      </c>
      <c r="L88" s="2767">
        <v>18.399999999999999</v>
      </c>
      <c r="M88" s="2766">
        <f t="shared" si="7"/>
        <v>586.04</v>
      </c>
      <c r="N88" s="2766">
        <v>0.01</v>
      </c>
      <c r="O88" s="2766">
        <f t="shared" si="8"/>
        <v>5.8603999999999994</v>
      </c>
      <c r="P88" s="2769">
        <f t="shared" si="9"/>
        <v>9.2091999999999992</v>
      </c>
      <c r="Q88" s="2809">
        <v>9.7299999999999998E-2</v>
      </c>
      <c r="R88" s="2769">
        <f t="shared" si="10"/>
        <v>57.021691999999994</v>
      </c>
      <c r="S88" s="2766">
        <v>0.01</v>
      </c>
      <c r="T88" s="2769">
        <f t="shared" si="11"/>
        <v>0.5702169199999999</v>
      </c>
      <c r="U88" s="2769">
        <f t="shared" si="12"/>
        <v>0.89605515999999985</v>
      </c>
      <c r="V88" s="2810">
        <f t="shared" si="13"/>
        <v>1.0105255159999998E-2</v>
      </c>
    </row>
    <row r="89" spans="1:22" x14ac:dyDescent="0.25">
      <c r="A89" s="2808" t="s">
        <v>1980</v>
      </c>
      <c r="B89" s="2770">
        <v>1235</v>
      </c>
      <c r="C89" s="2766" t="s">
        <v>2799</v>
      </c>
      <c r="D89" s="2766" t="s">
        <v>2796</v>
      </c>
      <c r="E89" s="2766" t="s">
        <v>2000</v>
      </c>
      <c r="F89" s="2766">
        <v>123504</v>
      </c>
      <c r="G89" s="2766" t="s">
        <v>350</v>
      </c>
      <c r="H89" s="2766">
        <f>Dataark_til_bilag3_2018[[#This Row],[Staldkode]]+Dataark_til_bilag3_2018[[#This Row],[Dyrekode]]</f>
        <v>124739</v>
      </c>
      <c r="I89" s="4347">
        <v>0</v>
      </c>
      <c r="J89" s="2766"/>
      <c r="K89" s="2766" t="s">
        <v>350</v>
      </c>
      <c r="L89" s="2767">
        <v>18.399999999999999</v>
      </c>
      <c r="M89" s="2766">
        <f t="shared" si="7"/>
        <v>0</v>
      </c>
      <c r="N89" s="2766">
        <v>0.01</v>
      </c>
      <c r="O89" s="2766">
        <f t="shared" si="8"/>
        <v>0</v>
      </c>
      <c r="P89" s="2769">
        <f t="shared" si="9"/>
        <v>0</v>
      </c>
      <c r="Q89" s="2809">
        <v>9.7299999999999998E-2</v>
      </c>
      <c r="R89" s="2769">
        <f t="shared" si="10"/>
        <v>0</v>
      </c>
      <c r="S89" s="2766">
        <v>0.01</v>
      </c>
      <c r="T89" s="2769">
        <f t="shared" si="11"/>
        <v>0</v>
      </c>
      <c r="U89" s="2769">
        <f t="shared" si="12"/>
        <v>0</v>
      </c>
      <c r="V89" s="2810">
        <f t="shared" si="13"/>
        <v>0</v>
      </c>
    </row>
    <row r="90" spans="1:22" x14ac:dyDescent="0.25">
      <c r="A90" s="2808" t="s">
        <v>1980</v>
      </c>
      <c r="B90" s="2770">
        <v>1235</v>
      </c>
      <c r="C90" s="2766" t="s">
        <v>2799</v>
      </c>
      <c r="D90" s="2766" t="s">
        <v>2796</v>
      </c>
      <c r="E90" s="2766" t="s">
        <v>1999</v>
      </c>
      <c r="F90" s="2766">
        <v>123505</v>
      </c>
      <c r="G90" s="2766" t="s">
        <v>350</v>
      </c>
      <c r="H90" s="2766">
        <f>Dataark_til_bilag3_2018[[#This Row],[Staldkode]]+Dataark_til_bilag3_2018[[#This Row],[Dyrekode]]</f>
        <v>124740</v>
      </c>
      <c r="I90" s="4347">
        <v>0</v>
      </c>
      <c r="J90" s="2766" t="s">
        <v>1977</v>
      </c>
      <c r="K90" s="2766"/>
      <c r="L90" s="2767">
        <v>18.399999999999999</v>
      </c>
      <c r="M90" s="2766">
        <f t="shared" si="7"/>
        <v>0</v>
      </c>
      <c r="N90" s="2766">
        <v>5.0000000000000001E-3</v>
      </c>
      <c r="O90" s="2766">
        <f t="shared" si="8"/>
        <v>0</v>
      </c>
      <c r="P90" s="2769">
        <f t="shared" si="9"/>
        <v>0</v>
      </c>
      <c r="Q90" s="2809">
        <v>9.7299999999999998E-2</v>
      </c>
      <c r="R90" s="2769">
        <f t="shared" si="10"/>
        <v>0</v>
      </c>
      <c r="S90" s="2766">
        <v>0.01</v>
      </c>
      <c r="T90" s="2769">
        <f t="shared" si="11"/>
        <v>0</v>
      </c>
      <c r="U90" s="2769">
        <f t="shared" si="12"/>
        <v>0</v>
      </c>
      <c r="V90" s="2810">
        <f t="shared" si="13"/>
        <v>0</v>
      </c>
    </row>
    <row r="91" spans="1:22" x14ac:dyDescent="0.25">
      <c r="A91" s="2808" t="s">
        <v>1980</v>
      </c>
      <c r="B91" s="2770">
        <v>1235</v>
      </c>
      <c r="C91" s="2766" t="s">
        <v>2799</v>
      </c>
      <c r="D91" s="2766" t="s">
        <v>2796</v>
      </c>
      <c r="E91" s="2766" t="s">
        <v>1998</v>
      </c>
      <c r="F91" s="2766">
        <v>123506</v>
      </c>
      <c r="G91" s="2766" t="s">
        <v>350</v>
      </c>
      <c r="H91" s="2766">
        <f>Dataark_til_bilag3_2018[[#This Row],[Staldkode]]+Dataark_til_bilag3_2018[[#This Row],[Dyrekode]]</f>
        <v>124741</v>
      </c>
      <c r="I91" s="4347">
        <v>0</v>
      </c>
      <c r="J91" s="2766" t="s">
        <v>1977</v>
      </c>
      <c r="K91" s="2766"/>
      <c r="L91" s="2767">
        <v>18.399999999999999</v>
      </c>
      <c r="M91" s="2766">
        <f t="shared" si="7"/>
        <v>0</v>
      </c>
      <c r="N91" s="2766">
        <v>5.0000000000000001E-3</v>
      </c>
      <c r="O91" s="2766">
        <f t="shared" si="8"/>
        <v>0</v>
      </c>
      <c r="P91" s="2769">
        <f t="shared" si="9"/>
        <v>0</v>
      </c>
      <c r="Q91" s="2809">
        <v>9.7299999999999998E-2</v>
      </c>
      <c r="R91" s="2769">
        <f t="shared" si="10"/>
        <v>0</v>
      </c>
      <c r="S91" s="2766">
        <v>0.01</v>
      </c>
      <c r="T91" s="2769">
        <f t="shared" si="11"/>
        <v>0</v>
      </c>
      <c r="U91" s="2769">
        <f t="shared" si="12"/>
        <v>0</v>
      </c>
      <c r="V91" s="2810">
        <f t="shared" si="13"/>
        <v>0</v>
      </c>
    </row>
    <row r="92" spans="1:22" x14ac:dyDescent="0.25">
      <c r="A92" s="2808" t="s">
        <v>1980</v>
      </c>
      <c r="B92" s="2770">
        <v>1235</v>
      </c>
      <c r="C92" s="2766" t="s">
        <v>2799</v>
      </c>
      <c r="D92" s="2766" t="s">
        <v>2796</v>
      </c>
      <c r="E92" s="2766" t="s">
        <v>1997</v>
      </c>
      <c r="F92" s="2766">
        <v>123507</v>
      </c>
      <c r="G92" s="2766" t="s">
        <v>350</v>
      </c>
      <c r="H92" s="2766">
        <f>Dataark_til_bilag3_2018[[#This Row],[Staldkode]]+Dataark_til_bilag3_2018[[#This Row],[Dyrekode]]</f>
        <v>124742</v>
      </c>
      <c r="I92" s="4347">
        <v>0</v>
      </c>
      <c r="J92" s="2766" t="s">
        <v>1977</v>
      </c>
      <c r="K92" s="2766"/>
      <c r="L92" s="2767">
        <v>18.399999999999999</v>
      </c>
      <c r="M92" s="2766">
        <f t="shared" si="7"/>
        <v>0</v>
      </c>
      <c r="N92" s="2766">
        <v>5.0000000000000001E-3</v>
      </c>
      <c r="O92" s="2766">
        <f t="shared" si="8"/>
        <v>0</v>
      </c>
      <c r="P92" s="2769">
        <f t="shared" si="9"/>
        <v>0</v>
      </c>
      <c r="Q92" s="2809">
        <v>9.7299999999999998E-2</v>
      </c>
      <c r="R92" s="2769">
        <f t="shared" si="10"/>
        <v>0</v>
      </c>
      <c r="S92" s="2766">
        <v>0.01</v>
      </c>
      <c r="T92" s="2769">
        <f t="shared" si="11"/>
        <v>0</v>
      </c>
      <c r="U92" s="2769">
        <f t="shared" si="12"/>
        <v>0</v>
      </c>
      <c r="V92" s="2810">
        <f t="shared" si="13"/>
        <v>0</v>
      </c>
    </row>
    <row r="93" spans="1:22" x14ac:dyDescent="0.25">
      <c r="A93" s="2808" t="s">
        <v>1980</v>
      </c>
      <c r="B93" s="2770">
        <v>1235</v>
      </c>
      <c r="C93" s="2766" t="s">
        <v>2799</v>
      </c>
      <c r="D93" s="2766" t="s">
        <v>2796</v>
      </c>
      <c r="E93" s="2766" t="s">
        <v>1996</v>
      </c>
      <c r="F93" s="2766">
        <v>123509</v>
      </c>
      <c r="G93" s="2766" t="s">
        <v>353</v>
      </c>
      <c r="H93" s="2766">
        <f>Dataark_til_bilag3_2018[[#This Row],[Staldkode]]+Dataark_til_bilag3_2018[[#This Row],[Dyrekode]]</f>
        <v>124744</v>
      </c>
      <c r="I93" s="4347">
        <v>0</v>
      </c>
      <c r="J93" s="2766" t="s">
        <v>1977</v>
      </c>
      <c r="K93" s="2766"/>
      <c r="L93" s="2767">
        <v>18.399999999999999</v>
      </c>
      <c r="M93" s="2766">
        <f t="shared" si="7"/>
        <v>0</v>
      </c>
      <c r="N93" s="2766">
        <v>5.0000000000000001E-3</v>
      </c>
      <c r="O93" s="2766">
        <f t="shared" si="8"/>
        <v>0</v>
      </c>
      <c r="P93" s="2769">
        <f t="shared" si="9"/>
        <v>0</v>
      </c>
      <c r="Q93" s="2809">
        <v>9.7299999999999998E-2</v>
      </c>
      <c r="R93" s="2769">
        <f t="shared" si="10"/>
        <v>0</v>
      </c>
      <c r="S93" s="2766">
        <v>0.01</v>
      </c>
      <c r="T93" s="2769">
        <f t="shared" si="11"/>
        <v>0</v>
      </c>
      <c r="U93" s="2769">
        <f t="shared" si="12"/>
        <v>0</v>
      </c>
      <c r="V93" s="2810">
        <f t="shared" si="13"/>
        <v>0</v>
      </c>
    </row>
    <row r="94" spans="1:22" x14ac:dyDescent="0.25">
      <c r="A94" s="2808" t="s">
        <v>1980</v>
      </c>
      <c r="B94" s="2770">
        <v>1235</v>
      </c>
      <c r="C94" s="2766" t="s">
        <v>2799</v>
      </c>
      <c r="D94" s="2766" t="s">
        <v>2796</v>
      </c>
      <c r="E94" s="2766" t="s">
        <v>1995</v>
      </c>
      <c r="F94" s="2766">
        <v>123513</v>
      </c>
      <c r="G94" s="2766" t="s">
        <v>354</v>
      </c>
      <c r="H94" s="2766">
        <f>Dataark_til_bilag3_2018[[#This Row],[Staldkode]]+Dataark_til_bilag3_2018[[#This Row],[Dyrekode]]</f>
        <v>124748</v>
      </c>
      <c r="I94" s="4347">
        <v>0</v>
      </c>
      <c r="J94" s="2766" t="s">
        <v>1977</v>
      </c>
      <c r="K94" s="2766"/>
      <c r="L94" s="2767">
        <v>18.399999999999999</v>
      </c>
      <c r="M94" s="2766">
        <f t="shared" si="7"/>
        <v>0</v>
      </c>
      <c r="N94" s="2766">
        <v>5.0000000000000001E-3</v>
      </c>
      <c r="O94" s="2766">
        <f t="shared" si="8"/>
        <v>0</v>
      </c>
      <c r="P94" s="2769">
        <f t="shared" si="9"/>
        <v>0</v>
      </c>
      <c r="Q94" s="2809">
        <v>9.7299999999999998E-2</v>
      </c>
      <c r="R94" s="2769">
        <f t="shared" si="10"/>
        <v>0</v>
      </c>
      <c r="S94" s="2766">
        <v>0.01</v>
      </c>
      <c r="T94" s="2769">
        <f t="shared" si="11"/>
        <v>0</v>
      </c>
      <c r="U94" s="2769">
        <f t="shared" si="12"/>
        <v>0</v>
      </c>
      <c r="V94" s="2810">
        <f t="shared" si="13"/>
        <v>0</v>
      </c>
    </row>
    <row r="95" spans="1:22" x14ac:dyDescent="0.25">
      <c r="A95" s="2808" t="s">
        <v>1980</v>
      </c>
      <c r="B95" s="2770">
        <v>1235</v>
      </c>
      <c r="C95" s="2766" t="s">
        <v>2799</v>
      </c>
      <c r="D95" s="2766" t="s">
        <v>2796</v>
      </c>
      <c r="E95" s="2766" t="s">
        <v>2003</v>
      </c>
      <c r="F95" s="2766">
        <v>123514</v>
      </c>
      <c r="G95" s="2766" t="s">
        <v>354</v>
      </c>
      <c r="H95" s="2766">
        <f>Dataark_til_bilag3_2018[[#This Row],[Staldkode]]+Dataark_til_bilag3_2018[[#This Row],[Dyrekode]]</f>
        <v>124749</v>
      </c>
      <c r="I95" s="4347">
        <v>0</v>
      </c>
      <c r="J95" s="2766" t="s">
        <v>1977</v>
      </c>
      <c r="K95" s="2766"/>
      <c r="L95" s="2767">
        <v>18.399999999999999</v>
      </c>
      <c r="M95" s="2766">
        <f t="shared" si="7"/>
        <v>0</v>
      </c>
      <c r="N95" s="2766">
        <v>5.0000000000000001E-3</v>
      </c>
      <c r="O95" s="2766">
        <f t="shared" si="8"/>
        <v>0</v>
      </c>
      <c r="P95" s="2769">
        <f t="shared" si="9"/>
        <v>0</v>
      </c>
      <c r="Q95" s="2809">
        <v>9.7299999999999998E-2</v>
      </c>
      <c r="R95" s="2769">
        <f t="shared" si="10"/>
        <v>0</v>
      </c>
      <c r="S95" s="2766">
        <v>0.01</v>
      </c>
      <c r="T95" s="2769">
        <f t="shared" si="11"/>
        <v>0</v>
      </c>
      <c r="U95" s="2769">
        <f t="shared" si="12"/>
        <v>0</v>
      </c>
      <c r="V95" s="2810">
        <f t="shared" si="13"/>
        <v>0</v>
      </c>
    </row>
    <row r="96" spans="1:22" x14ac:dyDescent="0.25">
      <c r="A96" s="2808" t="s">
        <v>1980</v>
      </c>
      <c r="B96" s="2770">
        <v>1235</v>
      </c>
      <c r="C96" s="2766" t="s">
        <v>2799</v>
      </c>
      <c r="D96" s="2766" t="s">
        <v>2796</v>
      </c>
      <c r="E96" s="2766" t="s">
        <v>2002</v>
      </c>
      <c r="F96" s="2766">
        <v>123515</v>
      </c>
      <c r="G96" s="2766" t="s">
        <v>354</v>
      </c>
      <c r="H96" s="2766">
        <f>Dataark_til_bilag3_2018[[#This Row],[Staldkode]]+Dataark_til_bilag3_2018[[#This Row],[Dyrekode]]</f>
        <v>124750</v>
      </c>
      <c r="I96" s="4347">
        <v>0</v>
      </c>
      <c r="J96" s="2766" t="s">
        <v>1977</v>
      </c>
      <c r="K96" s="2766"/>
      <c r="L96" s="2767">
        <v>18.399999999999999</v>
      </c>
      <c r="M96" s="2766">
        <f t="shared" si="7"/>
        <v>0</v>
      </c>
      <c r="N96" s="2766">
        <v>5.0000000000000001E-3</v>
      </c>
      <c r="O96" s="2766">
        <f t="shared" si="8"/>
        <v>0</v>
      </c>
      <c r="P96" s="2769">
        <f t="shared" si="9"/>
        <v>0</v>
      </c>
      <c r="Q96" s="2809">
        <v>9.7299999999999998E-2</v>
      </c>
      <c r="R96" s="2769">
        <f t="shared" si="10"/>
        <v>0</v>
      </c>
      <c r="S96" s="2766">
        <v>0.01</v>
      </c>
      <c r="T96" s="2769">
        <f t="shared" si="11"/>
        <v>0</v>
      </c>
      <c r="U96" s="2769">
        <f t="shared" si="12"/>
        <v>0</v>
      </c>
      <c r="V96" s="2810">
        <f t="shared" si="13"/>
        <v>0</v>
      </c>
    </row>
    <row r="97" spans="1:22" x14ac:dyDescent="0.25">
      <c r="A97" s="2808" t="s">
        <v>1980</v>
      </c>
      <c r="B97" s="2770">
        <v>1235</v>
      </c>
      <c r="C97" s="2766" t="s">
        <v>2799</v>
      </c>
      <c r="D97" s="2766" t="s">
        <v>2796</v>
      </c>
      <c r="E97" s="2766" t="s">
        <v>1990</v>
      </c>
      <c r="F97" s="2766">
        <v>123519</v>
      </c>
      <c r="G97" s="2766" t="s">
        <v>354</v>
      </c>
      <c r="H97" s="2766">
        <f>Dataark_til_bilag3_2018[[#This Row],[Staldkode]]+Dataark_til_bilag3_2018[[#This Row],[Dyrekode]]</f>
        <v>124754</v>
      </c>
      <c r="I97" s="4347">
        <v>0</v>
      </c>
      <c r="J97" s="2766" t="s">
        <v>1977</v>
      </c>
      <c r="K97" s="2766"/>
      <c r="L97" s="2767">
        <v>18.399999999999999</v>
      </c>
      <c r="M97" s="2766">
        <f t="shared" si="7"/>
        <v>0</v>
      </c>
      <c r="N97" s="2766">
        <v>5.0000000000000001E-3</v>
      </c>
      <c r="O97" s="2766">
        <f t="shared" si="8"/>
        <v>0</v>
      </c>
      <c r="P97" s="2769">
        <f t="shared" si="9"/>
        <v>0</v>
      </c>
      <c r="Q97" s="2809">
        <v>9.7299999999999998E-2</v>
      </c>
      <c r="R97" s="2769">
        <f t="shared" si="10"/>
        <v>0</v>
      </c>
      <c r="S97" s="2766">
        <v>0.01</v>
      </c>
      <c r="T97" s="2769">
        <f t="shared" si="11"/>
        <v>0</v>
      </c>
      <c r="U97" s="2769">
        <f t="shared" si="12"/>
        <v>0</v>
      </c>
      <c r="V97" s="2810">
        <f t="shared" si="13"/>
        <v>0</v>
      </c>
    </row>
    <row r="98" spans="1:22" x14ac:dyDescent="0.25">
      <c r="A98" s="2808" t="s">
        <v>1980</v>
      </c>
      <c r="B98" s="2770">
        <v>1236</v>
      </c>
      <c r="C98" s="2766" t="s">
        <v>1993</v>
      </c>
      <c r="D98" s="2766" t="s">
        <v>330</v>
      </c>
      <c r="E98" s="2766" t="s">
        <v>1989</v>
      </c>
      <c r="F98" s="2766">
        <v>123601</v>
      </c>
      <c r="G98" s="2766" t="s">
        <v>639</v>
      </c>
      <c r="H98" s="2766">
        <f>Dataark_til_bilag3_2018[[#This Row],[Staldkode]]+Dataark_til_bilag3_2018[[#This Row],[Dyrekode]]</f>
        <v>124837</v>
      </c>
      <c r="I98" s="4347">
        <v>0</v>
      </c>
      <c r="J98" s="2766" t="s">
        <v>1903</v>
      </c>
      <c r="K98" s="2766"/>
      <c r="L98" s="2767">
        <v>37.9</v>
      </c>
      <c r="M98" s="2766">
        <f t="shared" si="7"/>
        <v>0</v>
      </c>
      <c r="N98" s="2766">
        <v>5.0000000000000001E-3</v>
      </c>
      <c r="O98" s="2766">
        <f t="shared" si="8"/>
        <v>0</v>
      </c>
      <c r="P98" s="2769">
        <f t="shared" si="9"/>
        <v>0</v>
      </c>
      <c r="Q98" s="2809">
        <v>9.7299999999999998E-2</v>
      </c>
      <c r="R98" s="2769">
        <f t="shared" si="10"/>
        <v>0</v>
      </c>
      <c r="S98" s="2766">
        <v>0.01</v>
      </c>
      <c r="T98" s="2769">
        <f t="shared" si="11"/>
        <v>0</v>
      </c>
      <c r="U98" s="2769">
        <f t="shared" si="12"/>
        <v>0</v>
      </c>
      <c r="V98" s="2810">
        <f t="shared" si="13"/>
        <v>0</v>
      </c>
    </row>
    <row r="99" spans="1:22" x14ac:dyDescent="0.25">
      <c r="A99" s="2808" t="s">
        <v>1980</v>
      </c>
      <c r="B99" s="2770">
        <v>1236</v>
      </c>
      <c r="C99" s="2766" t="s">
        <v>1993</v>
      </c>
      <c r="D99" s="2766" t="s">
        <v>330</v>
      </c>
      <c r="E99" s="2766" t="s">
        <v>1988</v>
      </c>
      <c r="F99" s="2766">
        <v>123602</v>
      </c>
      <c r="G99" s="2766" t="s">
        <v>639</v>
      </c>
      <c r="H99" s="2766">
        <f>Dataark_til_bilag3_2018[[#This Row],[Staldkode]]+Dataark_til_bilag3_2018[[#This Row],[Dyrekode]]</f>
        <v>124838</v>
      </c>
      <c r="I99" s="4347">
        <v>0</v>
      </c>
      <c r="J99" s="2766" t="s">
        <v>1977</v>
      </c>
      <c r="K99" s="2766" t="s">
        <v>350</v>
      </c>
      <c r="L99" s="2767">
        <v>37.9</v>
      </c>
      <c r="M99" s="2766">
        <f t="shared" si="7"/>
        <v>0</v>
      </c>
      <c r="N99" s="2766">
        <v>5.0000000000000001E-3</v>
      </c>
      <c r="O99" s="2766">
        <f t="shared" si="8"/>
        <v>0</v>
      </c>
      <c r="P99" s="2769">
        <f t="shared" si="9"/>
        <v>0</v>
      </c>
      <c r="Q99" s="2809">
        <v>9.7299999999999998E-2</v>
      </c>
      <c r="R99" s="2769">
        <f t="shared" si="10"/>
        <v>0</v>
      </c>
      <c r="S99" s="2766">
        <v>0.01</v>
      </c>
      <c r="T99" s="2769">
        <f t="shared" si="11"/>
        <v>0</v>
      </c>
      <c r="U99" s="2769">
        <f t="shared" si="12"/>
        <v>0</v>
      </c>
      <c r="V99" s="2810">
        <f t="shared" si="13"/>
        <v>0</v>
      </c>
    </row>
    <row r="100" spans="1:22" x14ac:dyDescent="0.25">
      <c r="A100" s="2808" t="s">
        <v>1980</v>
      </c>
      <c r="B100" s="2770">
        <v>1236</v>
      </c>
      <c r="C100" s="2766" t="s">
        <v>1993</v>
      </c>
      <c r="D100" s="2766" t="s">
        <v>330</v>
      </c>
      <c r="E100" s="2766" t="s">
        <v>1987</v>
      </c>
      <c r="F100" s="2766">
        <v>123603</v>
      </c>
      <c r="G100" s="2766" t="s">
        <v>350</v>
      </c>
      <c r="H100" s="2766">
        <f>Dataark_til_bilag3_2018[[#This Row],[Staldkode]]+Dataark_til_bilag3_2018[[#This Row],[Dyrekode]]</f>
        <v>124839</v>
      </c>
      <c r="I100" s="4347">
        <v>1.07</v>
      </c>
      <c r="J100" s="2766"/>
      <c r="K100" s="2766" t="s">
        <v>350</v>
      </c>
      <c r="L100" s="2767">
        <v>37.9</v>
      </c>
      <c r="M100" s="2766">
        <f t="shared" si="7"/>
        <v>40.553000000000004</v>
      </c>
      <c r="N100" s="2766">
        <v>0.01</v>
      </c>
      <c r="O100" s="2766">
        <f t="shared" si="8"/>
        <v>0.40553000000000006</v>
      </c>
      <c r="P100" s="2769">
        <f t="shared" si="9"/>
        <v>0.63726142857142865</v>
      </c>
      <c r="Q100" s="2809">
        <v>9.7299999999999998E-2</v>
      </c>
      <c r="R100" s="2769">
        <f t="shared" si="10"/>
        <v>3.9458069000000005</v>
      </c>
      <c r="S100" s="2766">
        <v>0.01</v>
      </c>
      <c r="T100" s="2769">
        <f t="shared" si="11"/>
        <v>3.9458069000000005E-2</v>
      </c>
      <c r="U100" s="2769">
        <f t="shared" si="12"/>
        <v>6.2005537000000006E-2</v>
      </c>
      <c r="V100" s="2810">
        <f t="shared" si="13"/>
        <v>6.9926696557142862E-4</v>
      </c>
    </row>
    <row r="101" spans="1:22" x14ac:dyDescent="0.25">
      <c r="A101" s="2808" t="s">
        <v>1980</v>
      </c>
      <c r="B101" s="2770">
        <v>1236</v>
      </c>
      <c r="C101" s="2766" t="s">
        <v>1993</v>
      </c>
      <c r="D101" s="2766" t="s">
        <v>330</v>
      </c>
      <c r="E101" s="2766" t="s">
        <v>2000</v>
      </c>
      <c r="F101" s="2766">
        <v>123604</v>
      </c>
      <c r="G101" s="2766" t="s">
        <v>350</v>
      </c>
      <c r="H101" s="2766">
        <f>Dataark_til_bilag3_2018[[#This Row],[Staldkode]]+Dataark_til_bilag3_2018[[#This Row],[Dyrekode]]</f>
        <v>124840</v>
      </c>
      <c r="I101" s="4347">
        <v>0</v>
      </c>
      <c r="J101" s="2766"/>
      <c r="K101" s="2766" t="s">
        <v>350</v>
      </c>
      <c r="L101" s="2767">
        <v>37.9</v>
      </c>
      <c r="M101" s="2766">
        <f t="shared" si="7"/>
        <v>0</v>
      </c>
      <c r="N101" s="2766">
        <v>0.01</v>
      </c>
      <c r="O101" s="2766">
        <f t="shared" si="8"/>
        <v>0</v>
      </c>
      <c r="P101" s="2769">
        <f t="shared" si="9"/>
        <v>0</v>
      </c>
      <c r="Q101" s="2809">
        <v>9.7299999999999998E-2</v>
      </c>
      <c r="R101" s="2769">
        <f t="shared" si="10"/>
        <v>0</v>
      </c>
      <c r="S101" s="2766">
        <v>0.01</v>
      </c>
      <c r="T101" s="2769">
        <f t="shared" si="11"/>
        <v>0</v>
      </c>
      <c r="U101" s="2769">
        <f t="shared" si="12"/>
        <v>0</v>
      </c>
      <c r="V101" s="2810">
        <f t="shared" si="13"/>
        <v>0</v>
      </c>
    </row>
    <row r="102" spans="1:22" x14ac:dyDescent="0.25">
      <c r="A102" s="2808" t="s">
        <v>1980</v>
      </c>
      <c r="B102" s="2770">
        <v>1236</v>
      </c>
      <c r="C102" s="2766" t="s">
        <v>1993</v>
      </c>
      <c r="D102" s="2766" t="s">
        <v>330</v>
      </c>
      <c r="E102" s="2766" t="s">
        <v>1999</v>
      </c>
      <c r="F102" s="2766">
        <v>123605</v>
      </c>
      <c r="G102" s="2766" t="s">
        <v>350</v>
      </c>
      <c r="H102" s="2766">
        <f>Dataark_til_bilag3_2018[[#This Row],[Staldkode]]+Dataark_til_bilag3_2018[[#This Row],[Dyrekode]]</f>
        <v>124841</v>
      </c>
      <c r="I102" s="4347">
        <v>0</v>
      </c>
      <c r="J102" s="2766" t="s">
        <v>1977</v>
      </c>
      <c r="K102" s="2766" t="s">
        <v>350</v>
      </c>
      <c r="L102" s="2767">
        <v>37.9</v>
      </c>
      <c r="M102" s="2766">
        <f t="shared" si="7"/>
        <v>0</v>
      </c>
      <c r="N102" s="2766">
        <v>5.0000000000000001E-3</v>
      </c>
      <c r="O102" s="2766">
        <f t="shared" si="8"/>
        <v>0</v>
      </c>
      <c r="P102" s="2769">
        <f t="shared" si="9"/>
        <v>0</v>
      </c>
      <c r="Q102" s="2809">
        <v>9.7299999999999998E-2</v>
      </c>
      <c r="R102" s="2769">
        <f t="shared" si="10"/>
        <v>0</v>
      </c>
      <c r="S102" s="2766">
        <v>0.01</v>
      </c>
      <c r="T102" s="2769">
        <f t="shared" si="11"/>
        <v>0</v>
      </c>
      <c r="U102" s="2769">
        <f t="shared" si="12"/>
        <v>0</v>
      </c>
      <c r="V102" s="2810">
        <f t="shared" si="13"/>
        <v>0</v>
      </c>
    </row>
    <row r="103" spans="1:22" x14ac:dyDescent="0.25">
      <c r="A103" s="2811" t="s">
        <v>2792</v>
      </c>
      <c r="B103" s="2771">
        <v>1236</v>
      </c>
      <c r="C103" s="2772" t="s">
        <v>1993</v>
      </c>
      <c r="D103" s="2772" t="s">
        <v>330</v>
      </c>
      <c r="E103" s="2772" t="s">
        <v>1998</v>
      </c>
      <c r="F103" s="2772">
        <v>123606</v>
      </c>
      <c r="G103" s="2772" t="s">
        <v>350</v>
      </c>
      <c r="H103" s="2772">
        <f>Dataark_til_bilag3_2018[[#This Row],[Staldkode]]+Dataark_til_bilag3_2018[[#This Row],[Dyrekode]]</f>
        <v>124842</v>
      </c>
      <c r="I103" s="4347" t="s">
        <v>270</v>
      </c>
      <c r="J103" s="2772" t="s">
        <v>2893</v>
      </c>
      <c r="K103" s="2772"/>
      <c r="L103" s="2767">
        <v>37.9</v>
      </c>
      <c r="M103" s="2766" t="str">
        <f t="shared" si="7"/>
        <v xml:space="preserve"> </v>
      </c>
      <c r="N103" s="2772">
        <v>5.0000000000000001E-3</v>
      </c>
      <c r="O103" s="2766" t="str">
        <f t="shared" si="8"/>
        <v xml:space="preserve"> </v>
      </c>
      <c r="P103" s="2769" t="str">
        <f t="shared" si="9"/>
        <v xml:space="preserve"> </v>
      </c>
      <c r="Q103" s="2809">
        <v>9.7299999999999998E-2</v>
      </c>
      <c r="R103" s="2769" t="str">
        <f t="shared" si="10"/>
        <v xml:space="preserve"> </v>
      </c>
      <c r="S103" s="2766">
        <v>0.01</v>
      </c>
      <c r="T103" s="2769" t="str">
        <f t="shared" si="11"/>
        <v xml:space="preserve"> </v>
      </c>
      <c r="U103" s="2769">
        <f t="shared" si="12"/>
        <v>0</v>
      </c>
      <c r="V103" s="2810" t="str">
        <f t="shared" si="13"/>
        <v xml:space="preserve"> </v>
      </c>
    </row>
    <row r="104" spans="1:22" x14ac:dyDescent="0.25">
      <c r="A104" s="2808" t="s">
        <v>1980</v>
      </c>
      <c r="B104" s="2770">
        <v>1236</v>
      </c>
      <c r="C104" s="2766" t="s">
        <v>1993</v>
      </c>
      <c r="D104" s="2766" t="s">
        <v>330</v>
      </c>
      <c r="E104" s="2766" t="s">
        <v>1997</v>
      </c>
      <c r="F104" s="2766">
        <v>123607</v>
      </c>
      <c r="G104" s="2766" t="s">
        <v>350</v>
      </c>
      <c r="H104" s="2766">
        <f>Dataark_til_bilag3_2018[[#This Row],[Staldkode]]+Dataark_til_bilag3_2018[[#This Row],[Dyrekode]]</f>
        <v>124843</v>
      </c>
      <c r="I104" s="4347">
        <v>0</v>
      </c>
      <c r="J104" s="2766" t="s">
        <v>1977</v>
      </c>
      <c r="K104" s="2766" t="s">
        <v>350</v>
      </c>
      <c r="L104" s="2767">
        <v>37.9</v>
      </c>
      <c r="M104" s="2766">
        <f t="shared" si="7"/>
        <v>0</v>
      </c>
      <c r="N104" s="2766">
        <v>5.0000000000000001E-3</v>
      </c>
      <c r="O104" s="2766">
        <f t="shared" si="8"/>
        <v>0</v>
      </c>
      <c r="P104" s="2769">
        <f t="shared" si="9"/>
        <v>0</v>
      </c>
      <c r="Q104" s="2809">
        <v>9.7299999999999998E-2</v>
      </c>
      <c r="R104" s="2769">
        <f t="shared" si="10"/>
        <v>0</v>
      </c>
      <c r="S104" s="2766">
        <v>0.01</v>
      </c>
      <c r="T104" s="2769">
        <f t="shared" si="11"/>
        <v>0</v>
      </c>
      <c r="U104" s="2769">
        <f t="shared" si="12"/>
        <v>0</v>
      </c>
      <c r="V104" s="2810">
        <f t="shared" si="13"/>
        <v>0</v>
      </c>
    </row>
    <row r="105" spans="1:22" x14ac:dyDescent="0.25">
      <c r="A105" s="2808" t="s">
        <v>1980</v>
      </c>
      <c r="B105" s="2770">
        <v>1236</v>
      </c>
      <c r="C105" s="2766" t="s">
        <v>1993</v>
      </c>
      <c r="D105" s="2766" t="s">
        <v>330</v>
      </c>
      <c r="E105" s="2766" t="s">
        <v>1996</v>
      </c>
      <c r="F105" s="2766">
        <v>123609</v>
      </c>
      <c r="G105" s="2766" t="s">
        <v>353</v>
      </c>
      <c r="H105" s="2766">
        <f>Dataark_til_bilag3_2018[[#This Row],[Staldkode]]+Dataark_til_bilag3_2018[[#This Row],[Dyrekode]]</f>
        <v>124845</v>
      </c>
      <c r="I105" s="4347">
        <v>0</v>
      </c>
      <c r="J105" s="2766" t="s">
        <v>1977</v>
      </c>
      <c r="K105" s="2766"/>
      <c r="L105" s="2767">
        <v>37.9</v>
      </c>
      <c r="M105" s="2766">
        <f t="shared" si="7"/>
        <v>0</v>
      </c>
      <c r="N105" s="2766">
        <v>5.0000000000000001E-3</v>
      </c>
      <c r="O105" s="2766">
        <f t="shared" si="8"/>
        <v>0</v>
      </c>
      <c r="P105" s="2769">
        <f t="shared" si="9"/>
        <v>0</v>
      </c>
      <c r="Q105" s="2809">
        <v>9.7299999999999998E-2</v>
      </c>
      <c r="R105" s="2769">
        <f t="shared" si="10"/>
        <v>0</v>
      </c>
      <c r="S105" s="2766">
        <v>0.01</v>
      </c>
      <c r="T105" s="2769">
        <f t="shared" si="11"/>
        <v>0</v>
      </c>
      <c r="U105" s="2769">
        <f t="shared" si="12"/>
        <v>0</v>
      </c>
      <c r="V105" s="2810">
        <f t="shared" si="13"/>
        <v>0</v>
      </c>
    </row>
    <row r="106" spans="1:22" x14ac:dyDescent="0.25">
      <c r="A106" s="2808" t="s">
        <v>1980</v>
      </c>
      <c r="B106" s="2770">
        <v>1236</v>
      </c>
      <c r="C106" s="2766" t="s">
        <v>1993</v>
      </c>
      <c r="D106" s="2766" t="s">
        <v>330</v>
      </c>
      <c r="E106" s="2766" t="s">
        <v>1995</v>
      </c>
      <c r="F106" s="2766">
        <v>123610</v>
      </c>
      <c r="G106" s="2766" t="s">
        <v>354</v>
      </c>
      <c r="H106" s="2766">
        <f>Dataark_til_bilag3_2018[[#This Row],[Staldkode]]+Dataark_til_bilag3_2018[[#This Row],[Dyrekode]]</f>
        <v>124846</v>
      </c>
      <c r="I106" s="4347">
        <v>0</v>
      </c>
      <c r="J106" s="2766" t="s">
        <v>1977</v>
      </c>
      <c r="K106" s="2766"/>
      <c r="L106" s="2767">
        <v>37.9</v>
      </c>
      <c r="M106" s="2766">
        <f t="shared" si="7"/>
        <v>0</v>
      </c>
      <c r="N106" s="2766">
        <v>5.0000000000000001E-3</v>
      </c>
      <c r="O106" s="2766">
        <f t="shared" si="8"/>
        <v>0</v>
      </c>
      <c r="P106" s="2769">
        <f t="shared" si="9"/>
        <v>0</v>
      </c>
      <c r="Q106" s="2809">
        <v>9.7299999999999998E-2</v>
      </c>
      <c r="R106" s="2769">
        <f t="shared" si="10"/>
        <v>0</v>
      </c>
      <c r="S106" s="2766">
        <v>0.01</v>
      </c>
      <c r="T106" s="2769">
        <f t="shared" si="11"/>
        <v>0</v>
      </c>
      <c r="U106" s="2769">
        <f t="shared" si="12"/>
        <v>0</v>
      </c>
      <c r="V106" s="2810">
        <f t="shared" si="13"/>
        <v>0</v>
      </c>
    </row>
    <row r="107" spans="1:22" x14ac:dyDescent="0.25">
      <c r="A107" s="2808" t="s">
        <v>1980</v>
      </c>
      <c r="B107" s="2770">
        <v>1236</v>
      </c>
      <c r="C107" s="2766" t="s">
        <v>1993</v>
      </c>
      <c r="D107" s="2766" t="s">
        <v>330</v>
      </c>
      <c r="E107" s="2766" t="s">
        <v>1982</v>
      </c>
      <c r="F107" s="2766">
        <v>123611</v>
      </c>
      <c r="G107" s="2766" t="s">
        <v>354</v>
      </c>
      <c r="H107" s="2766">
        <f>Dataark_til_bilag3_2018[[#This Row],[Staldkode]]+Dataark_til_bilag3_2018[[#This Row],[Dyrekode]]</f>
        <v>124847</v>
      </c>
      <c r="I107" s="4347">
        <v>0</v>
      </c>
      <c r="J107" s="2766" t="s">
        <v>1977</v>
      </c>
      <c r="K107" s="2766"/>
      <c r="L107" s="2767">
        <v>37.9</v>
      </c>
      <c r="M107" s="2766">
        <f t="shared" si="7"/>
        <v>0</v>
      </c>
      <c r="N107" s="2766">
        <v>5.0000000000000001E-3</v>
      </c>
      <c r="O107" s="2766">
        <f t="shared" si="8"/>
        <v>0</v>
      </c>
      <c r="P107" s="2769">
        <f t="shared" si="9"/>
        <v>0</v>
      </c>
      <c r="Q107" s="2809">
        <v>9.7299999999999998E-2</v>
      </c>
      <c r="R107" s="2769">
        <f t="shared" si="10"/>
        <v>0</v>
      </c>
      <c r="S107" s="2766">
        <v>0.01</v>
      </c>
      <c r="T107" s="2769">
        <f t="shared" si="11"/>
        <v>0</v>
      </c>
      <c r="U107" s="2769">
        <f t="shared" si="12"/>
        <v>0</v>
      </c>
      <c r="V107" s="2810">
        <f t="shared" si="13"/>
        <v>0</v>
      </c>
    </row>
    <row r="108" spans="1:22" x14ac:dyDescent="0.25">
      <c r="A108" s="2808" t="s">
        <v>1980</v>
      </c>
      <c r="B108" s="2770">
        <v>1236</v>
      </c>
      <c r="C108" s="2766" t="s">
        <v>1993</v>
      </c>
      <c r="D108" s="2766" t="s">
        <v>330</v>
      </c>
      <c r="E108" s="2766" t="s">
        <v>1994</v>
      </c>
      <c r="F108" s="2766">
        <v>123612</v>
      </c>
      <c r="G108" s="2766" t="s">
        <v>354</v>
      </c>
      <c r="H108" s="2766">
        <f>Dataark_til_bilag3_2018[[#This Row],[Staldkode]]+Dataark_til_bilag3_2018[[#This Row],[Dyrekode]]</f>
        <v>124848</v>
      </c>
      <c r="I108" s="4347">
        <v>0</v>
      </c>
      <c r="J108" s="2766" t="s">
        <v>1977</v>
      </c>
      <c r="K108" s="2766"/>
      <c r="L108" s="2767">
        <v>37.9</v>
      </c>
      <c r="M108" s="2766">
        <f t="shared" si="7"/>
        <v>0</v>
      </c>
      <c r="N108" s="2766">
        <v>5.0000000000000001E-3</v>
      </c>
      <c r="O108" s="2766">
        <f t="shared" si="8"/>
        <v>0</v>
      </c>
      <c r="P108" s="2769">
        <f t="shared" si="9"/>
        <v>0</v>
      </c>
      <c r="Q108" s="2809">
        <v>9.7299999999999998E-2</v>
      </c>
      <c r="R108" s="2769">
        <f t="shared" si="10"/>
        <v>0</v>
      </c>
      <c r="S108" s="2766">
        <v>0.01</v>
      </c>
      <c r="T108" s="2769">
        <f t="shared" si="11"/>
        <v>0</v>
      </c>
      <c r="U108" s="2769">
        <f t="shared" si="12"/>
        <v>0</v>
      </c>
      <c r="V108" s="2810">
        <f t="shared" si="13"/>
        <v>0</v>
      </c>
    </row>
    <row r="109" spans="1:22" x14ac:dyDescent="0.25">
      <c r="A109" s="2808" t="s">
        <v>1980</v>
      </c>
      <c r="B109" s="2770">
        <v>1236</v>
      </c>
      <c r="C109" s="2766" t="s">
        <v>1993</v>
      </c>
      <c r="D109" s="2766" t="s">
        <v>330</v>
      </c>
      <c r="E109" s="2766" t="s">
        <v>1990</v>
      </c>
      <c r="F109" s="2766">
        <v>123619</v>
      </c>
      <c r="G109" s="2766" t="s">
        <v>354</v>
      </c>
      <c r="H109" s="2766">
        <f>Dataark_til_bilag3_2018[[#This Row],[Staldkode]]+Dataark_til_bilag3_2018[[#This Row],[Dyrekode]]</f>
        <v>124855</v>
      </c>
      <c r="I109" s="4347">
        <v>0</v>
      </c>
      <c r="J109" s="2766" t="s">
        <v>1977</v>
      </c>
      <c r="K109" s="2766"/>
      <c r="L109" s="2767">
        <v>37.9</v>
      </c>
      <c r="M109" s="2766">
        <f t="shared" si="7"/>
        <v>0</v>
      </c>
      <c r="N109" s="2766">
        <v>5.0000000000000001E-3</v>
      </c>
      <c r="O109" s="2766">
        <f t="shared" si="8"/>
        <v>0</v>
      </c>
      <c r="P109" s="2769">
        <f t="shared" si="9"/>
        <v>0</v>
      </c>
      <c r="Q109" s="2809">
        <v>9.7299999999999998E-2</v>
      </c>
      <c r="R109" s="2769">
        <f t="shared" si="10"/>
        <v>0</v>
      </c>
      <c r="S109" s="2766">
        <v>0.01</v>
      </c>
      <c r="T109" s="2769">
        <f t="shared" si="11"/>
        <v>0</v>
      </c>
      <c r="U109" s="2769">
        <f t="shared" si="12"/>
        <v>0</v>
      </c>
      <c r="V109" s="2810">
        <f t="shared" si="13"/>
        <v>0</v>
      </c>
    </row>
    <row r="110" spans="1:22" x14ac:dyDescent="0.25">
      <c r="A110" s="2808" t="s">
        <v>1980</v>
      </c>
      <c r="B110" s="2770">
        <v>1241</v>
      </c>
      <c r="C110" s="2766" t="s">
        <v>1992</v>
      </c>
      <c r="D110" s="2766" t="s">
        <v>329</v>
      </c>
      <c r="E110" s="2766" t="s">
        <v>1989</v>
      </c>
      <c r="F110" s="2766">
        <v>124101</v>
      </c>
      <c r="G110" s="2766" t="s">
        <v>639</v>
      </c>
      <c r="H110" s="2766">
        <f>Dataark_til_bilag3_2018[[#This Row],[Staldkode]]+Dataark_til_bilag3_2018[[#This Row],[Dyrekode]]</f>
        <v>125342</v>
      </c>
      <c r="I110" s="4347">
        <v>0</v>
      </c>
      <c r="J110" s="2766" t="s">
        <v>1903</v>
      </c>
      <c r="K110" s="2766"/>
      <c r="L110" s="2767">
        <v>43.6</v>
      </c>
      <c r="M110" s="2766">
        <f t="shared" si="7"/>
        <v>0</v>
      </c>
      <c r="N110" s="2766">
        <v>5.0000000000000001E-3</v>
      </c>
      <c r="O110" s="2766">
        <f t="shared" si="8"/>
        <v>0</v>
      </c>
      <c r="P110" s="2769">
        <f t="shared" si="9"/>
        <v>0</v>
      </c>
      <c r="Q110" s="2809">
        <v>9.7299999999999998E-2</v>
      </c>
      <c r="R110" s="2769">
        <f t="shared" si="10"/>
        <v>0</v>
      </c>
      <c r="S110" s="2766">
        <v>0.01</v>
      </c>
      <c r="T110" s="2769">
        <f t="shared" si="11"/>
        <v>0</v>
      </c>
      <c r="U110" s="2769">
        <f t="shared" si="12"/>
        <v>0</v>
      </c>
      <c r="V110" s="2810">
        <f t="shared" si="13"/>
        <v>0</v>
      </c>
    </row>
    <row r="111" spans="1:22" x14ac:dyDescent="0.25">
      <c r="A111" s="2808" t="s">
        <v>1980</v>
      </c>
      <c r="B111" s="2770">
        <v>1241</v>
      </c>
      <c r="C111" s="2766" t="s">
        <v>1992</v>
      </c>
      <c r="D111" s="2766" t="s">
        <v>329</v>
      </c>
      <c r="E111" s="2766" t="s">
        <v>1988</v>
      </c>
      <c r="F111" s="2766">
        <v>124102</v>
      </c>
      <c r="G111" s="2766" t="s">
        <v>639</v>
      </c>
      <c r="H111" s="2766">
        <f>Dataark_til_bilag3_2018[[#This Row],[Staldkode]]+Dataark_til_bilag3_2018[[#This Row],[Dyrekode]]</f>
        <v>125343</v>
      </c>
      <c r="I111" s="4347">
        <v>0</v>
      </c>
      <c r="J111" s="2766" t="s">
        <v>1977</v>
      </c>
      <c r="K111" s="2766"/>
      <c r="L111" s="2767">
        <v>43.6</v>
      </c>
      <c r="M111" s="2766">
        <f t="shared" si="7"/>
        <v>0</v>
      </c>
      <c r="N111" s="2766">
        <v>5.0000000000000001E-3</v>
      </c>
      <c r="O111" s="2766">
        <f t="shared" si="8"/>
        <v>0</v>
      </c>
      <c r="P111" s="2769">
        <f t="shared" si="9"/>
        <v>0</v>
      </c>
      <c r="Q111" s="2809">
        <v>9.7299999999999998E-2</v>
      </c>
      <c r="R111" s="2769">
        <f t="shared" si="10"/>
        <v>0</v>
      </c>
      <c r="S111" s="2766">
        <v>0.01</v>
      </c>
      <c r="T111" s="2769">
        <f t="shared" si="11"/>
        <v>0</v>
      </c>
      <c r="U111" s="2769">
        <f t="shared" si="12"/>
        <v>0</v>
      </c>
      <c r="V111" s="2810">
        <f t="shared" si="13"/>
        <v>0</v>
      </c>
    </row>
    <row r="112" spans="1:22" x14ac:dyDescent="0.25">
      <c r="A112" s="2808" t="s">
        <v>1980</v>
      </c>
      <c r="B112" s="2770">
        <v>1241</v>
      </c>
      <c r="C112" s="2766" t="s">
        <v>1992</v>
      </c>
      <c r="D112" s="2766" t="s">
        <v>329</v>
      </c>
      <c r="E112" s="2766" t="s">
        <v>1987</v>
      </c>
      <c r="F112" s="2766">
        <v>124103</v>
      </c>
      <c r="G112" s="2766" t="s">
        <v>350</v>
      </c>
      <c r="H112" s="2766">
        <f>Dataark_til_bilag3_2018[[#This Row],[Staldkode]]+Dataark_til_bilag3_2018[[#This Row],[Dyrekode]]</f>
        <v>125344</v>
      </c>
      <c r="I112" s="4347">
        <v>0</v>
      </c>
      <c r="J112" s="2766"/>
      <c r="K112" s="2766" t="s">
        <v>350</v>
      </c>
      <c r="L112" s="2767">
        <v>43.6</v>
      </c>
      <c r="M112" s="2766">
        <f t="shared" si="7"/>
        <v>0</v>
      </c>
      <c r="N112" s="2766">
        <v>0.01</v>
      </c>
      <c r="O112" s="2766">
        <f t="shared" si="8"/>
        <v>0</v>
      </c>
      <c r="P112" s="2769">
        <f t="shared" si="9"/>
        <v>0</v>
      </c>
      <c r="Q112" s="2809">
        <v>9.7299999999999998E-2</v>
      </c>
      <c r="R112" s="2769">
        <f t="shared" si="10"/>
        <v>0</v>
      </c>
      <c r="S112" s="2766">
        <v>0.01</v>
      </c>
      <c r="T112" s="2769">
        <f t="shared" si="11"/>
        <v>0</v>
      </c>
      <c r="U112" s="2769">
        <f t="shared" si="12"/>
        <v>0</v>
      </c>
      <c r="V112" s="2810">
        <f t="shared" si="13"/>
        <v>0</v>
      </c>
    </row>
    <row r="113" spans="1:22" x14ac:dyDescent="0.25">
      <c r="A113" s="2808" t="s">
        <v>1980</v>
      </c>
      <c r="B113" s="2770">
        <v>1241</v>
      </c>
      <c r="C113" s="2766" t="s">
        <v>1992</v>
      </c>
      <c r="D113" s="2766" t="s">
        <v>329</v>
      </c>
      <c r="E113" s="2766" t="s">
        <v>1986</v>
      </c>
      <c r="F113" s="2766">
        <v>124104</v>
      </c>
      <c r="G113" s="2766" t="s">
        <v>350</v>
      </c>
      <c r="H113" s="2766">
        <f>Dataark_til_bilag3_2018[[#This Row],[Staldkode]]+Dataark_til_bilag3_2018[[#This Row],[Dyrekode]]</f>
        <v>125345</v>
      </c>
      <c r="I113" s="4347">
        <v>0</v>
      </c>
      <c r="J113" s="2766"/>
      <c r="K113" s="2766" t="s">
        <v>350</v>
      </c>
      <c r="L113" s="2767">
        <v>43.6</v>
      </c>
      <c r="M113" s="2766">
        <f t="shared" si="7"/>
        <v>0</v>
      </c>
      <c r="N113" s="2766">
        <v>0.01</v>
      </c>
      <c r="O113" s="2766">
        <f t="shared" si="8"/>
        <v>0</v>
      </c>
      <c r="P113" s="2769">
        <f t="shared" si="9"/>
        <v>0</v>
      </c>
      <c r="Q113" s="2809">
        <v>9.7299999999999998E-2</v>
      </c>
      <c r="R113" s="2769">
        <f t="shared" si="10"/>
        <v>0</v>
      </c>
      <c r="S113" s="2766">
        <v>0.01</v>
      </c>
      <c r="T113" s="2769">
        <f t="shared" si="11"/>
        <v>0</v>
      </c>
      <c r="U113" s="2769">
        <f t="shared" si="12"/>
        <v>0</v>
      </c>
      <c r="V113" s="2810">
        <f t="shared" si="13"/>
        <v>0</v>
      </c>
    </row>
    <row r="114" spans="1:22" x14ac:dyDescent="0.25">
      <c r="A114" s="2808" t="s">
        <v>1980</v>
      </c>
      <c r="B114" s="2770">
        <v>1241</v>
      </c>
      <c r="C114" s="2766" t="s">
        <v>1992</v>
      </c>
      <c r="D114" s="2766" t="s">
        <v>329</v>
      </c>
      <c r="E114" s="2766" t="s">
        <v>1985</v>
      </c>
      <c r="F114" s="2766">
        <v>124105</v>
      </c>
      <c r="G114" s="2766" t="s">
        <v>350</v>
      </c>
      <c r="H114" s="2766">
        <f>Dataark_til_bilag3_2018[[#This Row],[Staldkode]]+Dataark_til_bilag3_2018[[#This Row],[Dyrekode]]</f>
        <v>125346</v>
      </c>
      <c r="I114" s="4347">
        <v>0</v>
      </c>
      <c r="J114" s="2766" t="s">
        <v>1977</v>
      </c>
      <c r="K114" s="2766"/>
      <c r="L114" s="2767">
        <v>43.6</v>
      </c>
      <c r="M114" s="2766">
        <f t="shared" si="7"/>
        <v>0</v>
      </c>
      <c r="N114" s="2766">
        <v>5.0000000000000001E-3</v>
      </c>
      <c r="O114" s="2766">
        <f t="shared" si="8"/>
        <v>0</v>
      </c>
      <c r="P114" s="2769">
        <f t="shared" si="9"/>
        <v>0</v>
      </c>
      <c r="Q114" s="2809">
        <v>9.7299999999999998E-2</v>
      </c>
      <c r="R114" s="2769">
        <f t="shared" si="10"/>
        <v>0</v>
      </c>
      <c r="S114" s="2766">
        <v>0.01</v>
      </c>
      <c r="T114" s="2769">
        <f t="shared" si="11"/>
        <v>0</v>
      </c>
      <c r="U114" s="2769">
        <f t="shared" si="12"/>
        <v>0</v>
      </c>
      <c r="V114" s="2810">
        <f t="shared" si="13"/>
        <v>0</v>
      </c>
    </row>
    <row r="115" spans="1:22" x14ac:dyDescent="0.25">
      <c r="A115" s="2808" t="s">
        <v>1980</v>
      </c>
      <c r="B115" s="2770">
        <v>1241</v>
      </c>
      <c r="C115" s="2766" t="s">
        <v>1992</v>
      </c>
      <c r="D115" s="2766" t="s">
        <v>329</v>
      </c>
      <c r="E115" s="2766" t="s">
        <v>1984</v>
      </c>
      <c r="F115" s="2766">
        <v>124106</v>
      </c>
      <c r="G115" s="2766" t="s">
        <v>350</v>
      </c>
      <c r="H115" s="2766">
        <f>Dataark_til_bilag3_2018[[#This Row],[Staldkode]]+Dataark_til_bilag3_2018[[#This Row],[Dyrekode]]</f>
        <v>125347</v>
      </c>
      <c r="I115" s="4347">
        <v>0</v>
      </c>
      <c r="J115" s="2766" t="s">
        <v>1977</v>
      </c>
      <c r="K115" s="2766"/>
      <c r="L115" s="2767">
        <v>43.6</v>
      </c>
      <c r="M115" s="2766">
        <f t="shared" si="7"/>
        <v>0</v>
      </c>
      <c r="N115" s="2766">
        <v>5.0000000000000001E-3</v>
      </c>
      <c r="O115" s="2766">
        <f t="shared" si="8"/>
        <v>0</v>
      </c>
      <c r="P115" s="2769">
        <f t="shared" si="9"/>
        <v>0</v>
      </c>
      <c r="Q115" s="2809">
        <v>9.7299999999999998E-2</v>
      </c>
      <c r="R115" s="2769">
        <f t="shared" si="10"/>
        <v>0</v>
      </c>
      <c r="S115" s="2766">
        <v>0.01</v>
      </c>
      <c r="T115" s="2769">
        <f t="shared" si="11"/>
        <v>0</v>
      </c>
      <c r="U115" s="2769">
        <f t="shared" si="12"/>
        <v>0</v>
      </c>
      <c r="V115" s="2810">
        <f t="shared" si="13"/>
        <v>0</v>
      </c>
    </row>
    <row r="116" spans="1:22" x14ac:dyDescent="0.25">
      <c r="A116" s="2808" t="s">
        <v>1980</v>
      </c>
      <c r="B116" s="2770">
        <v>1241</v>
      </c>
      <c r="C116" s="2766" t="s">
        <v>1992</v>
      </c>
      <c r="D116" s="2766" t="s">
        <v>329</v>
      </c>
      <c r="E116" s="2766" t="s">
        <v>1983</v>
      </c>
      <c r="F116" s="2766">
        <v>124107</v>
      </c>
      <c r="G116" s="2766" t="s">
        <v>350</v>
      </c>
      <c r="H116" s="2766">
        <f>Dataark_til_bilag3_2018[[#This Row],[Staldkode]]+Dataark_til_bilag3_2018[[#This Row],[Dyrekode]]</f>
        <v>125348</v>
      </c>
      <c r="I116" s="4347">
        <v>0</v>
      </c>
      <c r="J116" s="2766" t="s">
        <v>1977</v>
      </c>
      <c r="K116" s="2766"/>
      <c r="L116" s="2767">
        <v>43.6</v>
      </c>
      <c r="M116" s="2766">
        <f t="shared" si="7"/>
        <v>0</v>
      </c>
      <c r="N116" s="2766">
        <v>5.0000000000000001E-3</v>
      </c>
      <c r="O116" s="2766">
        <f t="shared" si="8"/>
        <v>0</v>
      </c>
      <c r="P116" s="2769">
        <f t="shared" si="9"/>
        <v>0</v>
      </c>
      <c r="Q116" s="2809">
        <v>9.7299999999999998E-2</v>
      </c>
      <c r="R116" s="2769">
        <f t="shared" si="10"/>
        <v>0</v>
      </c>
      <c r="S116" s="2766">
        <v>0.01</v>
      </c>
      <c r="T116" s="2769">
        <f t="shared" si="11"/>
        <v>0</v>
      </c>
      <c r="U116" s="2769">
        <f t="shared" si="12"/>
        <v>0</v>
      </c>
      <c r="V116" s="2810">
        <f t="shared" si="13"/>
        <v>0</v>
      </c>
    </row>
    <row r="117" spans="1:22" x14ac:dyDescent="0.25">
      <c r="A117" s="2808" t="s">
        <v>1980</v>
      </c>
      <c r="B117" s="2770">
        <v>1241</v>
      </c>
      <c r="C117" s="2766" t="s">
        <v>1992</v>
      </c>
      <c r="D117" s="2766" t="s">
        <v>329</v>
      </c>
      <c r="E117" s="2766" t="s">
        <v>2793</v>
      </c>
      <c r="F117" s="2766">
        <v>124110</v>
      </c>
      <c r="G117" s="2766" t="s">
        <v>354</v>
      </c>
      <c r="H117" s="2766">
        <f>Dataark_til_bilag3_2018[[#This Row],[Staldkode]]+Dataark_til_bilag3_2018[[#This Row],[Dyrekode]]</f>
        <v>125351</v>
      </c>
      <c r="I117" s="4347">
        <v>0</v>
      </c>
      <c r="J117" s="2766" t="s">
        <v>1977</v>
      </c>
      <c r="K117" s="2766"/>
      <c r="L117" s="2767">
        <v>43.6</v>
      </c>
      <c r="M117" s="2766">
        <f t="shared" si="7"/>
        <v>0</v>
      </c>
      <c r="N117" s="2766">
        <v>5.0000000000000001E-3</v>
      </c>
      <c r="O117" s="2766">
        <f t="shared" si="8"/>
        <v>0</v>
      </c>
      <c r="P117" s="2769">
        <f t="shared" si="9"/>
        <v>0</v>
      </c>
      <c r="Q117" s="2809">
        <v>9.7299999999999998E-2</v>
      </c>
      <c r="R117" s="2769">
        <f t="shared" si="10"/>
        <v>0</v>
      </c>
      <c r="S117" s="2766">
        <v>0.01</v>
      </c>
      <c r="T117" s="2769">
        <f t="shared" si="11"/>
        <v>0</v>
      </c>
      <c r="U117" s="2769">
        <f t="shared" si="12"/>
        <v>0</v>
      </c>
      <c r="V117" s="2810">
        <f t="shared" si="13"/>
        <v>0</v>
      </c>
    </row>
    <row r="118" spans="1:22" x14ac:dyDescent="0.25">
      <c r="A118" s="2808" t="s">
        <v>1980</v>
      </c>
      <c r="B118" s="2770">
        <v>1242</v>
      </c>
      <c r="C118" s="2766" t="s">
        <v>1991</v>
      </c>
      <c r="D118" s="2766" t="s">
        <v>329</v>
      </c>
      <c r="E118" s="2766" t="s">
        <v>1989</v>
      </c>
      <c r="F118" s="2766">
        <v>124201</v>
      </c>
      <c r="G118" s="2766" t="s">
        <v>639</v>
      </c>
      <c r="H118" s="2766">
        <f>Dataark_til_bilag3_2018[[#This Row],[Staldkode]]+Dataark_til_bilag3_2018[[#This Row],[Dyrekode]]</f>
        <v>125443</v>
      </c>
      <c r="I118" s="4347">
        <v>7.97</v>
      </c>
      <c r="J118" s="2766" t="s">
        <v>1903</v>
      </c>
      <c r="K118" s="2766"/>
      <c r="L118" s="2767">
        <v>63.6</v>
      </c>
      <c r="M118" s="2766">
        <f t="shared" si="7"/>
        <v>506.892</v>
      </c>
      <c r="N118" s="2766">
        <v>5.0000000000000001E-3</v>
      </c>
      <c r="O118" s="2766">
        <f t="shared" si="8"/>
        <v>2.5344600000000002</v>
      </c>
      <c r="P118" s="2769">
        <f t="shared" si="9"/>
        <v>3.9827228571428575</v>
      </c>
      <c r="Q118" s="2809">
        <v>9.7299999999999998E-2</v>
      </c>
      <c r="R118" s="2769">
        <f t="shared" si="10"/>
        <v>49.3205916</v>
      </c>
      <c r="S118" s="2766">
        <v>0.01</v>
      </c>
      <c r="T118" s="2769">
        <f t="shared" si="11"/>
        <v>0.49320591600000002</v>
      </c>
      <c r="U118" s="2769">
        <f t="shared" si="12"/>
        <v>0.77503786800000007</v>
      </c>
      <c r="V118" s="2810">
        <f t="shared" si="13"/>
        <v>4.757760725142857E-3</v>
      </c>
    </row>
    <row r="119" spans="1:22" x14ac:dyDescent="0.25">
      <c r="A119" s="2808" t="s">
        <v>1980</v>
      </c>
      <c r="B119" s="2770">
        <v>1242</v>
      </c>
      <c r="C119" s="2766" t="s">
        <v>1991</v>
      </c>
      <c r="D119" s="2766" t="s">
        <v>329</v>
      </c>
      <c r="E119" s="2766" t="s">
        <v>1988</v>
      </c>
      <c r="F119" s="2766">
        <v>124202</v>
      </c>
      <c r="G119" s="2766" t="s">
        <v>639</v>
      </c>
      <c r="H119" s="2766">
        <f>Dataark_til_bilag3_2018[[#This Row],[Staldkode]]+Dataark_til_bilag3_2018[[#This Row],[Dyrekode]]</f>
        <v>125444</v>
      </c>
      <c r="I119" s="4347">
        <v>0</v>
      </c>
      <c r="J119" s="2766" t="s">
        <v>1977</v>
      </c>
      <c r="K119" s="2766"/>
      <c r="L119" s="2767">
        <v>63.6</v>
      </c>
      <c r="M119" s="2766">
        <f t="shared" si="7"/>
        <v>0</v>
      </c>
      <c r="N119" s="2766">
        <v>5.0000000000000001E-3</v>
      </c>
      <c r="O119" s="2766">
        <f t="shared" si="8"/>
        <v>0</v>
      </c>
      <c r="P119" s="2769">
        <f t="shared" si="9"/>
        <v>0</v>
      </c>
      <c r="Q119" s="2809">
        <v>9.7299999999999998E-2</v>
      </c>
      <c r="R119" s="2769">
        <f t="shared" si="10"/>
        <v>0</v>
      </c>
      <c r="S119" s="2766">
        <v>0.01</v>
      </c>
      <c r="T119" s="2769">
        <f t="shared" si="11"/>
        <v>0</v>
      </c>
      <c r="U119" s="2769">
        <f t="shared" si="12"/>
        <v>0</v>
      </c>
      <c r="V119" s="2810">
        <f t="shared" si="13"/>
        <v>0</v>
      </c>
    </row>
    <row r="120" spans="1:22" x14ac:dyDescent="0.25">
      <c r="A120" s="2808" t="s">
        <v>1980</v>
      </c>
      <c r="B120" s="2770">
        <v>1242</v>
      </c>
      <c r="C120" s="2766" t="s">
        <v>1991</v>
      </c>
      <c r="D120" s="2766" t="s">
        <v>329</v>
      </c>
      <c r="E120" s="2766" t="s">
        <v>1987</v>
      </c>
      <c r="F120" s="2766">
        <v>124203</v>
      </c>
      <c r="G120" s="2766" t="s">
        <v>350</v>
      </c>
      <c r="H120" s="2766">
        <f>Dataark_til_bilag3_2018[[#This Row],[Staldkode]]+Dataark_til_bilag3_2018[[#This Row],[Dyrekode]]</f>
        <v>125445</v>
      </c>
      <c r="I120" s="4347">
        <v>235.84</v>
      </c>
      <c r="J120" s="2766"/>
      <c r="K120" s="2766" t="s">
        <v>350</v>
      </c>
      <c r="L120" s="2767">
        <v>63.6</v>
      </c>
      <c r="M120" s="2766">
        <f t="shared" si="7"/>
        <v>14999.424000000001</v>
      </c>
      <c r="N120" s="2766">
        <v>0.01</v>
      </c>
      <c r="O120" s="2766">
        <f t="shared" si="8"/>
        <v>149.99424000000002</v>
      </c>
      <c r="P120" s="2769">
        <f t="shared" si="9"/>
        <v>235.70523428571431</v>
      </c>
      <c r="Q120" s="2809">
        <v>9.7299999999999998E-2</v>
      </c>
      <c r="R120" s="2769">
        <f t="shared" si="10"/>
        <v>1459.4439552000001</v>
      </c>
      <c r="S120" s="2766">
        <v>0.01</v>
      </c>
      <c r="T120" s="2769">
        <f t="shared" si="11"/>
        <v>14.594439552000001</v>
      </c>
      <c r="U120" s="2769">
        <f t="shared" si="12"/>
        <v>22.934119296000002</v>
      </c>
      <c r="V120" s="2810">
        <f t="shared" si="13"/>
        <v>0.2586393535817143</v>
      </c>
    </row>
    <row r="121" spans="1:22" x14ac:dyDescent="0.25">
      <c r="A121" s="2808" t="s">
        <v>1980</v>
      </c>
      <c r="B121" s="2770">
        <v>1242</v>
      </c>
      <c r="C121" s="2766" t="s">
        <v>1991</v>
      </c>
      <c r="D121" s="2766" t="s">
        <v>329</v>
      </c>
      <c r="E121" s="2766" t="s">
        <v>1986</v>
      </c>
      <c r="F121" s="2766">
        <v>124204</v>
      </c>
      <c r="G121" s="2766" t="s">
        <v>350</v>
      </c>
      <c r="H121" s="2766">
        <f>Dataark_til_bilag3_2018[[#This Row],[Staldkode]]+Dataark_til_bilag3_2018[[#This Row],[Dyrekode]]</f>
        <v>125446</v>
      </c>
      <c r="I121" s="4347">
        <v>0</v>
      </c>
      <c r="J121" s="2766"/>
      <c r="K121" s="2746" t="s">
        <v>350</v>
      </c>
      <c r="L121" s="2767">
        <v>63.6</v>
      </c>
      <c r="M121" s="2766">
        <f t="shared" si="7"/>
        <v>0</v>
      </c>
      <c r="N121" s="2766">
        <v>0.01</v>
      </c>
      <c r="O121" s="2766">
        <f t="shared" si="8"/>
        <v>0</v>
      </c>
      <c r="P121" s="2769">
        <f t="shared" si="9"/>
        <v>0</v>
      </c>
      <c r="Q121" s="2809">
        <v>9.7299999999999998E-2</v>
      </c>
      <c r="R121" s="2769">
        <f t="shared" si="10"/>
        <v>0</v>
      </c>
      <c r="S121" s="2766">
        <v>0.01</v>
      </c>
      <c r="T121" s="2769">
        <f t="shared" si="11"/>
        <v>0</v>
      </c>
      <c r="U121" s="2769">
        <f t="shared" si="12"/>
        <v>0</v>
      </c>
      <c r="V121" s="2810">
        <f t="shared" si="13"/>
        <v>0</v>
      </c>
    </row>
    <row r="122" spans="1:22" x14ac:dyDescent="0.25">
      <c r="A122" s="2808" t="s">
        <v>1980</v>
      </c>
      <c r="B122" s="2770">
        <v>1242</v>
      </c>
      <c r="C122" s="2766" t="s">
        <v>1991</v>
      </c>
      <c r="D122" s="2766" t="s">
        <v>329</v>
      </c>
      <c r="E122" s="2766" t="s">
        <v>1985</v>
      </c>
      <c r="F122" s="2766">
        <v>124205</v>
      </c>
      <c r="G122" s="2766" t="s">
        <v>350</v>
      </c>
      <c r="H122" s="2766">
        <f>Dataark_til_bilag3_2018[[#This Row],[Staldkode]]+Dataark_til_bilag3_2018[[#This Row],[Dyrekode]]</f>
        <v>125447</v>
      </c>
      <c r="I122" s="4347">
        <v>0</v>
      </c>
      <c r="J122" s="2766" t="s">
        <v>1977</v>
      </c>
      <c r="K122" s="2766"/>
      <c r="L122" s="2767">
        <v>63.6</v>
      </c>
      <c r="M122" s="2766">
        <f t="shared" si="7"/>
        <v>0</v>
      </c>
      <c r="N122" s="2766">
        <v>5.0000000000000001E-3</v>
      </c>
      <c r="O122" s="2766">
        <f t="shared" si="8"/>
        <v>0</v>
      </c>
      <c r="P122" s="2769">
        <f t="shared" si="9"/>
        <v>0</v>
      </c>
      <c r="Q122" s="2809">
        <v>9.7299999999999998E-2</v>
      </c>
      <c r="R122" s="2769">
        <f t="shared" si="10"/>
        <v>0</v>
      </c>
      <c r="S122" s="2766">
        <v>0.01</v>
      </c>
      <c r="T122" s="2769">
        <f t="shared" si="11"/>
        <v>0</v>
      </c>
      <c r="U122" s="2769">
        <f t="shared" si="12"/>
        <v>0</v>
      </c>
      <c r="V122" s="2810">
        <f t="shared" si="13"/>
        <v>0</v>
      </c>
    </row>
    <row r="123" spans="1:22" x14ac:dyDescent="0.25">
      <c r="A123" s="2808" t="s">
        <v>1980</v>
      </c>
      <c r="B123" s="2770">
        <v>1242</v>
      </c>
      <c r="C123" s="2766" t="s">
        <v>1991</v>
      </c>
      <c r="D123" s="2766" t="s">
        <v>329</v>
      </c>
      <c r="E123" s="2766" t="s">
        <v>1984</v>
      </c>
      <c r="F123" s="2766">
        <v>124206</v>
      </c>
      <c r="G123" s="2766" t="s">
        <v>350</v>
      </c>
      <c r="H123" s="2766">
        <f>Dataark_til_bilag3_2018[[#This Row],[Staldkode]]+Dataark_til_bilag3_2018[[#This Row],[Dyrekode]]</f>
        <v>125448</v>
      </c>
      <c r="I123" s="4347">
        <v>0</v>
      </c>
      <c r="J123" s="2766" t="s">
        <v>1977</v>
      </c>
      <c r="K123" s="2766"/>
      <c r="L123" s="2767">
        <v>63.6</v>
      </c>
      <c r="M123" s="2766">
        <f t="shared" si="7"/>
        <v>0</v>
      </c>
      <c r="N123" s="2766">
        <v>5.0000000000000001E-3</v>
      </c>
      <c r="O123" s="2766">
        <f t="shared" si="8"/>
        <v>0</v>
      </c>
      <c r="P123" s="2769">
        <f t="shared" si="9"/>
        <v>0</v>
      </c>
      <c r="Q123" s="2809">
        <v>9.7299999999999998E-2</v>
      </c>
      <c r="R123" s="2769">
        <f t="shared" si="10"/>
        <v>0</v>
      </c>
      <c r="S123" s="2766">
        <v>0.01</v>
      </c>
      <c r="T123" s="2769">
        <f t="shared" si="11"/>
        <v>0</v>
      </c>
      <c r="U123" s="2769">
        <f t="shared" si="12"/>
        <v>0</v>
      </c>
      <c r="V123" s="2810">
        <f t="shared" si="13"/>
        <v>0</v>
      </c>
    </row>
    <row r="124" spans="1:22" x14ac:dyDescent="0.25">
      <c r="A124" s="2808" t="s">
        <v>1980</v>
      </c>
      <c r="B124" s="2770">
        <v>1242</v>
      </c>
      <c r="C124" s="2766" t="s">
        <v>1991</v>
      </c>
      <c r="D124" s="2766" t="s">
        <v>329</v>
      </c>
      <c r="E124" s="2766" t="s">
        <v>1983</v>
      </c>
      <c r="F124" s="2766">
        <v>124207</v>
      </c>
      <c r="G124" s="2766" t="s">
        <v>350</v>
      </c>
      <c r="H124" s="2766">
        <f>Dataark_til_bilag3_2018[[#This Row],[Staldkode]]+Dataark_til_bilag3_2018[[#This Row],[Dyrekode]]</f>
        <v>125449</v>
      </c>
      <c r="I124" s="4347">
        <v>0</v>
      </c>
      <c r="J124" s="2766" t="s">
        <v>1977</v>
      </c>
      <c r="K124" s="2766"/>
      <c r="L124" s="2767">
        <v>63.6</v>
      </c>
      <c r="M124" s="2766">
        <f t="shared" si="7"/>
        <v>0</v>
      </c>
      <c r="N124" s="2766">
        <v>5.0000000000000001E-3</v>
      </c>
      <c r="O124" s="2766">
        <f t="shared" si="8"/>
        <v>0</v>
      </c>
      <c r="P124" s="2769">
        <f t="shared" si="9"/>
        <v>0</v>
      </c>
      <c r="Q124" s="2809">
        <v>9.7299999999999998E-2</v>
      </c>
      <c r="R124" s="2769">
        <f t="shared" si="10"/>
        <v>0</v>
      </c>
      <c r="S124" s="2766">
        <v>0.01</v>
      </c>
      <c r="T124" s="2769">
        <f t="shared" si="11"/>
        <v>0</v>
      </c>
      <c r="U124" s="2769">
        <f t="shared" si="12"/>
        <v>0</v>
      </c>
      <c r="V124" s="2810">
        <f t="shared" si="13"/>
        <v>0</v>
      </c>
    </row>
    <row r="125" spans="1:22" x14ac:dyDescent="0.25">
      <c r="A125" s="2808" t="s">
        <v>1980</v>
      </c>
      <c r="B125" s="2770">
        <v>1242</v>
      </c>
      <c r="C125" s="2766" t="s">
        <v>1991</v>
      </c>
      <c r="D125" s="2766" t="s">
        <v>329</v>
      </c>
      <c r="E125" s="2766" t="s">
        <v>1982</v>
      </c>
      <c r="F125" s="2766">
        <v>124209</v>
      </c>
      <c r="G125" s="2766" t="s">
        <v>354</v>
      </c>
      <c r="H125" s="2766">
        <f>Dataark_til_bilag3_2018[[#This Row],[Staldkode]]+Dataark_til_bilag3_2018[[#This Row],[Dyrekode]]</f>
        <v>125451</v>
      </c>
      <c r="I125" s="4347">
        <v>0</v>
      </c>
      <c r="J125" s="2766" t="s">
        <v>1977</v>
      </c>
      <c r="K125" s="2766"/>
      <c r="L125" s="2767">
        <v>63.6</v>
      </c>
      <c r="M125" s="2766">
        <f t="shared" si="7"/>
        <v>0</v>
      </c>
      <c r="N125" s="2766">
        <v>5.0000000000000001E-3</v>
      </c>
      <c r="O125" s="2766">
        <f t="shared" si="8"/>
        <v>0</v>
      </c>
      <c r="P125" s="2769">
        <f t="shared" si="9"/>
        <v>0</v>
      </c>
      <c r="Q125" s="2809">
        <v>9.7299999999999998E-2</v>
      </c>
      <c r="R125" s="2769">
        <f t="shared" si="10"/>
        <v>0</v>
      </c>
      <c r="S125" s="2766">
        <v>0.01</v>
      </c>
      <c r="T125" s="2769">
        <f t="shared" si="11"/>
        <v>0</v>
      </c>
      <c r="U125" s="2769">
        <f t="shared" si="12"/>
        <v>0</v>
      </c>
      <c r="V125" s="2810">
        <f t="shared" si="13"/>
        <v>0</v>
      </c>
    </row>
    <row r="126" spans="1:22" x14ac:dyDescent="0.25">
      <c r="A126" s="2808" t="s">
        <v>1980</v>
      </c>
      <c r="B126" s="2770">
        <v>1242</v>
      </c>
      <c r="C126" s="2766" t="s">
        <v>1991</v>
      </c>
      <c r="D126" s="2766" t="s">
        <v>329</v>
      </c>
      <c r="E126" s="2766" t="s">
        <v>2793</v>
      </c>
      <c r="F126" s="2766">
        <v>124210</v>
      </c>
      <c r="G126" s="2766" t="s">
        <v>354</v>
      </c>
      <c r="H126" s="2766">
        <f>Dataark_til_bilag3_2018[[#This Row],[Staldkode]]+Dataark_til_bilag3_2018[[#This Row],[Dyrekode]]</f>
        <v>125452</v>
      </c>
      <c r="I126" s="4347">
        <v>0</v>
      </c>
      <c r="J126" s="2766" t="s">
        <v>1977</v>
      </c>
      <c r="K126" s="2766"/>
      <c r="L126" s="2767">
        <v>63.6</v>
      </c>
      <c r="M126" s="2766">
        <f t="shared" si="7"/>
        <v>0</v>
      </c>
      <c r="N126" s="2766">
        <v>5.0000000000000001E-3</v>
      </c>
      <c r="O126" s="2766">
        <f t="shared" si="8"/>
        <v>0</v>
      </c>
      <c r="P126" s="2769">
        <f t="shared" si="9"/>
        <v>0</v>
      </c>
      <c r="Q126" s="2809">
        <v>9.7299999999999998E-2</v>
      </c>
      <c r="R126" s="2769">
        <f t="shared" si="10"/>
        <v>0</v>
      </c>
      <c r="S126" s="2766">
        <v>0.01</v>
      </c>
      <c r="T126" s="2769">
        <f t="shared" si="11"/>
        <v>0</v>
      </c>
      <c r="U126" s="2769">
        <f t="shared" si="12"/>
        <v>0</v>
      </c>
      <c r="V126" s="2810">
        <f t="shared" si="13"/>
        <v>0</v>
      </c>
    </row>
    <row r="127" spans="1:22" x14ac:dyDescent="0.25">
      <c r="A127" s="2808" t="s">
        <v>1980</v>
      </c>
      <c r="B127" s="2770">
        <v>1242</v>
      </c>
      <c r="C127" s="2766" t="s">
        <v>1991</v>
      </c>
      <c r="D127" s="2766" t="s">
        <v>329</v>
      </c>
      <c r="E127" s="2766" t="s">
        <v>1990</v>
      </c>
      <c r="F127" s="2766">
        <v>124211</v>
      </c>
      <c r="G127" s="2766" t="s">
        <v>354</v>
      </c>
      <c r="H127" s="2766">
        <f>Dataark_til_bilag3_2018[[#This Row],[Staldkode]]+Dataark_til_bilag3_2018[[#This Row],[Dyrekode]]</f>
        <v>125453</v>
      </c>
      <c r="I127" s="4347">
        <v>100</v>
      </c>
      <c r="J127" s="2766" t="s">
        <v>1977</v>
      </c>
      <c r="K127" s="2766"/>
      <c r="L127" s="2767">
        <v>63.6</v>
      </c>
      <c r="M127" s="2766">
        <f t="shared" si="7"/>
        <v>6360</v>
      </c>
      <c r="N127" s="2766">
        <v>5.0000000000000001E-3</v>
      </c>
      <c r="O127" s="2766">
        <f t="shared" si="8"/>
        <v>31.8</v>
      </c>
      <c r="P127" s="2769">
        <f t="shared" si="9"/>
        <v>49.971428571428575</v>
      </c>
      <c r="Q127" s="2809">
        <v>9.7299999999999998E-2</v>
      </c>
      <c r="R127" s="2769">
        <f t="shared" si="10"/>
        <v>618.82799999999997</v>
      </c>
      <c r="S127" s="2766">
        <v>0.01</v>
      </c>
      <c r="T127" s="2769">
        <f t="shared" si="11"/>
        <v>6.1882799999999998</v>
      </c>
      <c r="U127" s="2769">
        <f t="shared" si="12"/>
        <v>9.7244399999999995</v>
      </c>
      <c r="V127" s="2810">
        <f t="shared" si="13"/>
        <v>5.9695868571428577E-2</v>
      </c>
    </row>
    <row r="128" spans="1:22" x14ac:dyDescent="0.25">
      <c r="A128" s="2808" t="s">
        <v>1980</v>
      </c>
      <c r="B128" s="2770">
        <v>1243</v>
      </c>
      <c r="C128" s="2766" t="s">
        <v>1979</v>
      </c>
      <c r="D128" s="2766" t="s">
        <v>329</v>
      </c>
      <c r="E128" s="2766" t="s">
        <v>1989</v>
      </c>
      <c r="F128" s="2766">
        <v>124301</v>
      </c>
      <c r="G128" s="2766" t="s">
        <v>639</v>
      </c>
      <c r="H128" s="2766">
        <f>Dataark_til_bilag3_2018[[#This Row],[Staldkode]]+Dataark_til_bilag3_2018[[#This Row],[Dyrekode]]</f>
        <v>125544</v>
      </c>
      <c r="I128" s="4347">
        <v>42.09</v>
      </c>
      <c r="J128" s="2766" t="s">
        <v>1903</v>
      </c>
      <c r="K128" s="2766"/>
      <c r="L128" s="2767">
        <v>72.400000000000006</v>
      </c>
      <c r="M128" s="2766">
        <f t="shared" si="7"/>
        <v>3047.3160000000007</v>
      </c>
      <c r="N128" s="2766">
        <v>5.0000000000000001E-3</v>
      </c>
      <c r="O128" s="2766">
        <f t="shared" si="8"/>
        <v>15.236580000000004</v>
      </c>
      <c r="P128" s="2769">
        <f t="shared" si="9"/>
        <v>23.943197142857148</v>
      </c>
      <c r="Q128" s="2809">
        <v>9.7299999999999998E-2</v>
      </c>
      <c r="R128" s="2769">
        <f t="shared" si="10"/>
        <v>296.50384680000008</v>
      </c>
      <c r="S128" s="2766">
        <v>0.01</v>
      </c>
      <c r="T128" s="2769">
        <f t="shared" si="11"/>
        <v>2.9650384680000008</v>
      </c>
      <c r="U128" s="2769">
        <f t="shared" si="12"/>
        <v>4.6593461640000013</v>
      </c>
      <c r="V128" s="2810">
        <f t="shared" si="13"/>
        <v>2.8602543306857152E-2</v>
      </c>
    </row>
    <row r="129" spans="1:22" x14ac:dyDescent="0.25">
      <c r="A129" s="2808" t="s">
        <v>1980</v>
      </c>
      <c r="B129" s="2770">
        <v>1243</v>
      </c>
      <c r="C129" s="2766" t="s">
        <v>1979</v>
      </c>
      <c r="D129" s="2766" t="s">
        <v>329</v>
      </c>
      <c r="E129" s="2766" t="s">
        <v>1988</v>
      </c>
      <c r="F129" s="2766">
        <v>124302</v>
      </c>
      <c r="G129" s="2766" t="s">
        <v>639</v>
      </c>
      <c r="H129" s="2766">
        <f>Dataark_til_bilag3_2018[[#This Row],[Staldkode]]+Dataark_til_bilag3_2018[[#This Row],[Dyrekode]]</f>
        <v>125545</v>
      </c>
      <c r="I129" s="4347">
        <v>0</v>
      </c>
      <c r="J129" s="2766" t="s">
        <v>1977</v>
      </c>
      <c r="K129" s="2766"/>
      <c r="L129" s="2767">
        <v>72.400000000000006</v>
      </c>
      <c r="M129" s="2766">
        <f t="shared" si="7"/>
        <v>0</v>
      </c>
      <c r="N129" s="2766">
        <v>5.0000000000000001E-3</v>
      </c>
      <c r="O129" s="2766">
        <f t="shared" si="8"/>
        <v>0</v>
      </c>
      <c r="P129" s="2769">
        <f t="shared" si="9"/>
        <v>0</v>
      </c>
      <c r="Q129" s="2809">
        <v>9.7299999999999998E-2</v>
      </c>
      <c r="R129" s="2769">
        <f t="shared" si="10"/>
        <v>0</v>
      </c>
      <c r="S129" s="2766">
        <v>0.01</v>
      </c>
      <c r="T129" s="2769">
        <f t="shared" si="11"/>
        <v>0</v>
      </c>
      <c r="U129" s="2769">
        <f t="shared" si="12"/>
        <v>0</v>
      </c>
      <c r="V129" s="2810">
        <f t="shared" si="13"/>
        <v>0</v>
      </c>
    </row>
    <row r="130" spans="1:22" x14ac:dyDescent="0.25">
      <c r="A130" s="2808" t="s">
        <v>1980</v>
      </c>
      <c r="B130" s="2770">
        <v>1243</v>
      </c>
      <c r="C130" s="2766" t="s">
        <v>1979</v>
      </c>
      <c r="D130" s="2766" t="s">
        <v>329</v>
      </c>
      <c r="E130" s="2766" t="s">
        <v>1987</v>
      </c>
      <c r="F130" s="2766">
        <v>124303</v>
      </c>
      <c r="G130" s="2766" t="s">
        <v>350</v>
      </c>
      <c r="H130" s="2766">
        <f>Dataark_til_bilag3_2018[[#This Row],[Staldkode]]+Dataark_til_bilag3_2018[[#This Row],[Dyrekode]]</f>
        <v>125546</v>
      </c>
      <c r="I130" s="4347">
        <v>240.79</v>
      </c>
      <c r="J130" s="2766"/>
      <c r="K130" s="2766" t="s">
        <v>350</v>
      </c>
      <c r="L130" s="2767">
        <v>72.400000000000006</v>
      </c>
      <c r="M130" s="2766">
        <f t="shared" si="7"/>
        <v>17433.196</v>
      </c>
      <c r="N130" s="2766">
        <v>0.01</v>
      </c>
      <c r="O130" s="2766">
        <f t="shared" si="8"/>
        <v>174.33196000000001</v>
      </c>
      <c r="P130" s="2769">
        <f t="shared" si="9"/>
        <v>273.95022285714288</v>
      </c>
      <c r="Q130" s="2809">
        <v>9.7299999999999998E-2</v>
      </c>
      <c r="R130" s="2769">
        <f t="shared" si="10"/>
        <v>1696.2499708</v>
      </c>
      <c r="S130" s="2766">
        <v>0.01</v>
      </c>
      <c r="T130" s="2769">
        <f t="shared" si="11"/>
        <v>16.962499707999999</v>
      </c>
      <c r="U130" s="2769">
        <f t="shared" si="12"/>
        <v>26.655356683999997</v>
      </c>
      <c r="V130" s="2810">
        <f t="shared" si="13"/>
        <v>0.30060557954114292</v>
      </c>
    </row>
    <row r="131" spans="1:22" x14ac:dyDescent="0.25">
      <c r="A131" s="2808" t="s">
        <v>1980</v>
      </c>
      <c r="B131" s="2770">
        <v>1243</v>
      </c>
      <c r="C131" s="2766" t="s">
        <v>1979</v>
      </c>
      <c r="D131" s="2766" t="s">
        <v>329</v>
      </c>
      <c r="E131" s="2766" t="s">
        <v>1986</v>
      </c>
      <c r="F131" s="2766">
        <v>124304</v>
      </c>
      <c r="G131" s="2766" t="s">
        <v>350</v>
      </c>
      <c r="H131" s="2766">
        <f>Dataark_til_bilag3_2018[[#This Row],[Staldkode]]+Dataark_til_bilag3_2018[[#This Row],[Dyrekode]]</f>
        <v>125547</v>
      </c>
      <c r="I131" s="4347">
        <v>0</v>
      </c>
      <c r="J131" s="2766"/>
      <c r="K131" s="2766" t="s">
        <v>350</v>
      </c>
      <c r="L131" s="2767">
        <v>72.400000000000006</v>
      </c>
      <c r="M131" s="2766">
        <f t="shared" si="7"/>
        <v>0</v>
      </c>
      <c r="N131" s="2766">
        <v>0.01</v>
      </c>
      <c r="O131" s="2766">
        <f t="shared" si="8"/>
        <v>0</v>
      </c>
      <c r="P131" s="2769">
        <f t="shared" si="9"/>
        <v>0</v>
      </c>
      <c r="Q131" s="2809">
        <v>9.7299999999999998E-2</v>
      </c>
      <c r="R131" s="2769">
        <f t="shared" si="10"/>
        <v>0</v>
      </c>
      <c r="S131" s="2766">
        <v>0.01</v>
      </c>
      <c r="T131" s="2769">
        <f t="shared" si="11"/>
        <v>0</v>
      </c>
      <c r="U131" s="2769">
        <f t="shared" si="12"/>
        <v>0</v>
      </c>
      <c r="V131" s="2810">
        <f t="shared" si="13"/>
        <v>0</v>
      </c>
    </row>
    <row r="132" spans="1:22" x14ac:dyDescent="0.25">
      <c r="A132" s="2808" t="s">
        <v>1980</v>
      </c>
      <c r="B132" s="2770">
        <v>1243</v>
      </c>
      <c r="C132" s="2766" t="s">
        <v>1979</v>
      </c>
      <c r="D132" s="2766" t="s">
        <v>329</v>
      </c>
      <c r="E132" s="2766" t="s">
        <v>1985</v>
      </c>
      <c r="F132" s="2766">
        <v>124305</v>
      </c>
      <c r="G132" s="2766" t="s">
        <v>350</v>
      </c>
      <c r="H132" s="2766">
        <f>Dataark_til_bilag3_2018[[#This Row],[Staldkode]]+Dataark_til_bilag3_2018[[#This Row],[Dyrekode]]</f>
        <v>125548</v>
      </c>
      <c r="I132" s="4347">
        <v>0</v>
      </c>
      <c r="J132" s="2766" t="s">
        <v>1977</v>
      </c>
      <c r="K132" s="2766"/>
      <c r="L132" s="2767">
        <v>72.400000000000006</v>
      </c>
      <c r="M132" s="2766">
        <f t="shared" si="7"/>
        <v>0</v>
      </c>
      <c r="N132" s="2766">
        <v>5.0000000000000001E-3</v>
      </c>
      <c r="O132" s="2766">
        <f t="shared" si="8"/>
        <v>0</v>
      </c>
      <c r="P132" s="2769">
        <f t="shared" si="9"/>
        <v>0</v>
      </c>
      <c r="Q132" s="2809">
        <v>9.7299999999999998E-2</v>
      </c>
      <c r="R132" s="2769">
        <f t="shared" si="10"/>
        <v>0</v>
      </c>
      <c r="S132" s="2766">
        <v>0.01</v>
      </c>
      <c r="T132" s="2769">
        <f t="shared" si="11"/>
        <v>0</v>
      </c>
      <c r="U132" s="2769">
        <f t="shared" si="12"/>
        <v>0</v>
      </c>
      <c r="V132" s="2810">
        <f t="shared" si="13"/>
        <v>0</v>
      </c>
    </row>
    <row r="133" spans="1:22" x14ac:dyDescent="0.25">
      <c r="A133" s="2808" t="s">
        <v>1980</v>
      </c>
      <c r="B133" s="2770">
        <v>1243</v>
      </c>
      <c r="C133" s="2766" t="s">
        <v>1979</v>
      </c>
      <c r="D133" s="2766" t="s">
        <v>329</v>
      </c>
      <c r="E133" s="2766" t="s">
        <v>1984</v>
      </c>
      <c r="F133" s="2766">
        <v>124306</v>
      </c>
      <c r="G133" s="2766" t="s">
        <v>350</v>
      </c>
      <c r="H133" s="2766">
        <f>Dataark_til_bilag3_2018[[#This Row],[Staldkode]]+Dataark_til_bilag3_2018[[#This Row],[Dyrekode]]</f>
        <v>125549</v>
      </c>
      <c r="I133" s="4347">
        <v>0</v>
      </c>
      <c r="J133" s="2766" t="s">
        <v>1977</v>
      </c>
      <c r="K133" s="2766"/>
      <c r="L133" s="2767">
        <v>72.400000000000006</v>
      </c>
      <c r="M133" s="2766">
        <f t="shared" ref="M133:M195" si="14">IFERROR(I133*L133," ")</f>
        <v>0</v>
      </c>
      <c r="N133" s="2766">
        <v>5.0000000000000001E-3</v>
      </c>
      <c r="O133" s="2766">
        <f t="shared" ref="O133:O195" si="15">IFERROR(M133*N133," ")</f>
        <v>0</v>
      </c>
      <c r="P133" s="2769">
        <f t="shared" ref="P133:P195" si="16">IFERROR(O133*44/28," ")</f>
        <v>0</v>
      </c>
      <c r="Q133" s="2809">
        <v>9.7299999999999998E-2</v>
      </c>
      <c r="R133" s="2769">
        <f t="shared" ref="R133:R195" si="17">IFERROR(M133*Q133," ")</f>
        <v>0</v>
      </c>
      <c r="S133" s="2766">
        <v>0.01</v>
      </c>
      <c r="T133" s="2769">
        <f t="shared" ref="T133:T195" si="18">IFERROR(R133*S133," ")</f>
        <v>0</v>
      </c>
      <c r="U133" s="2769">
        <f t="shared" ref="U133:U196" si="19">IFERROR(T133*44/28,0)</f>
        <v>0</v>
      </c>
      <c r="V133" s="2810">
        <f t="shared" ref="V133:V195" si="20">IFERROR((P133+U133)/1000," ")</f>
        <v>0</v>
      </c>
    </row>
    <row r="134" spans="1:22" x14ac:dyDescent="0.25">
      <c r="A134" s="2808" t="s">
        <v>1980</v>
      </c>
      <c r="B134" s="2770">
        <v>1243</v>
      </c>
      <c r="C134" s="2766" t="s">
        <v>1979</v>
      </c>
      <c r="D134" s="2766" t="s">
        <v>329</v>
      </c>
      <c r="E134" s="2766" t="s">
        <v>1983</v>
      </c>
      <c r="F134" s="2766">
        <v>124307</v>
      </c>
      <c r="G134" s="2766" t="s">
        <v>350</v>
      </c>
      <c r="H134" s="2766">
        <f>Dataark_til_bilag3_2018[[#This Row],[Staldkode]]+Dataark_til_bilag3_2018[[#This Row],[Dyrekode]]</f>
        <v>125550</v>
      </c>
      <c r="I134" s="4347">
        <v>0</v>
      </c>
      <c r="J134" s="2766" t="s">
        <v>1977</v>
      </c>
      <c r="K134" s="2766"/>
      <c r="L134" s="2767">
        <v>72.400000000000006</v>
      </c>
      <c r="M134" s="2766">
        <f t="shared" si="14"/>
        <v>0</v>
      </c>
      <c r="N134" s="2766">
        <v>5.0000000000000001E-3</v>
      </c>
      <c r="O134" s="2766">
        <f t="shared" si="15"/>
        <v>0</v>
      </c>
      <c r="P134" s="2769">
        <f t="shared" si="16"/>
        <v>0</v>
      </c>
      <c r="Q134" s="2809">
        <v>9.7299999999999998E-2</v>
      </c>
      <c r="R134" s="2769">
        <f t="shared" si="17"/>
        <v>0</v>
      </c>
      <c r="S134" s="2766">
        <v>0.01</v>
      </c>
      <c r="T134" s="2769">
        <f t="shared" si="18"/>
        <v>0</v>
      </c>
      <c r="U134" s="2769">
        <f t="shared" si="19"/>
        <v>0</v>
      </c>
      <c r="V134" s="2810">
        <f t="shared" si="20"/>
        <v>0</v>
      </c>
    </row>
    <row r="135" spans="1:22" x14ac:dyDescent="0.25">
      <c r="A135" s="2808" t="s">
        <v>1980</v>
      </c>
      <c r="B135" s="2770">
        <v>1243</v>
      </c>
      <c r="C135" s="2766" t="s">
        <v>1979</v>
      </c>
      <c r="D135" s="2766" t="s">
        <v>329</v>
      </c>
      <c r="E135" s="2766" t="s">
        <v>1982</v>
      </c>
      <c r="F135" s="2766">
        <v>124309</v>
      </c>
      <c r="G135" s="2766" t="s">
        <v>354</v>
      </c>
      <c r="H135" s="2766">
        <f>Dataark_til_bilag3_2018[[#This Row],[Staldkode]]+Dataark_til_bilag3_2018[[#This Row],[Dyrekode]]</f>
        <v>125552</v>
      </c>
      <c r="I135" s="4347">
        <v>0</v>
      </c>
      <c r="J135" s="2766" t="s">
        <v>1977</v>
      </c>
      <c r="K135" s="2766"/>
      <c r="L135" s="2767">
        <v>72.400000000000006</v>
      </c>
      <c r="M135" s="2766">
        <f t="shared" si="14"/>
        <v>0</v>
      </c>
      <c r="N135" s="2766">
        <v>5.0000000000000001E-3</v>
      </c>
      <c r="O135" s="2766">
        <f t="shared" si="15"/>
        <v>0</v>
      </c>
      <c r="P135" s="2769">
        <f t="shared" si="16"/>
        <v>0</v>
      </c>
      <c r="Q135" s="2809">
        <v>9.7299999999999998E-2</v>
      </c>
      <c r="R135" s="2769">
        <f t="shared" si="17"/>
        <v>0</v>
      </c>
      <c r="S135" s="2766">
        <v>0.01</v>
      </c>
      <c r="T135" s="2769">
        <f t="shared" si="18"/>
        <v>0</v>
      </c>
      <c r="U135" s="2769">
        <f t="shared" si="19"/>
        <v>0</v>
      </c>
      <c r="V135" s="2810">
        <f t="shared" si="20"/>
        <v>0</v>
      </c>
    </row>
    <row r="136" spans="1:22" x14ac:dyDescent="0.25">
      <c r="A136" s="2808" t="s">
        <v>1980</v>
      </c>
      <c r="B136" s="2770">
        <v>1243</v>
      </c>
      <c r="C136" s="2766" t="s">
        <v>1979</v>
      </c>
      <c r="D136" s="2766" t="s">
        <v>329</v>
      </c>
      <c r="E136" s="2766" t="s">
        <v>2793</v>
      </c>
      <c r="F136" s="2766">
        <v>124310</v>
      </c>
      <c r="G136" s="2766" t="s">
        <v>354</v>
      </c>
      <c r="H136" s="2766">
        <f>Dataark_til_bilag3_2018[[#This Row],[Staldkode]]+Dataark_til_bilag3_2018[[#This Row],[Dyrekode]]</f>
        <v>125553</v>
      </c>
      <c r="I136" s="4347">
        <v>0</v>
      </c>
      <c r="J136" s="2766" t="s">
        <v>1977</v>
      </c>
      <c r="K136" s="2766"/>
      <c r="L136" s="2767">
        <v>72.400000000000006</v>
      </c>
      <c r="M136" s="2766">
        <f t="shared" si="14"/>
        <v>0</v>
      </c>
      <c r="N136" s="2766">
        <v>5.0000000000000001E-3</v>
      </c>
      <c r="O136" s="2766">
        <f t="shared" si="15"/>
        <v>0</v>
      </c>
      <c r="P136" s="2769">
        <f t="shared" si="16"/>
        <v>0</v>
      </c>
      <c r="Q136" s="2809">
        <v>9.7299999999999998E-2</v>
      </c>
      <c r="R136" s="2769">
        <f t="shared" si="17"/>
        <v>0</v>
      </c>
      <c r="S136" s="2766">
        <v>0.01</v>
      </c>
      <c r="T136" s="2769">
        <f t="shared" si="18"/>
        <v>0</v>
      </c>
      <c r="U136" s="2769">
        <f t="shared" si="19"/>
        <v>0</v>
      </c>
      <c r="V136" s="2810">
        <f t="shared" si="20"/>
        <v>0</v>
      </c>
    </row>
    <row r="137" spans="1:22" x14ac:dyDescent="0.25">
      <c r="A137" s="2808" t="s">
        <v>1980</v>
      </c>
      <c r="B137" s="2770">
        <v>1243</v>
      </c>
      <c r="C137" s="2766" t="s">
        <v>1979</v>
      </c>
      <c r="D137" s="2766" t="s">
        <v>329</v>
      </c>
      <c r="E137" s="2766" t="s">
        <v>1978</v>
      </c>
      <c r="F137" s="2766">
        <v>124311</v>
      </c>
      <c r="G137" s="2766" t="s">
        <v>354</v>
      </c>
      <c r="H137" s="2766">
        <f>Dataark_til_bilag3_2018[[#This Row],[Staldkode]]+Dataark_til_bilag3_2018[[#This Row],[Dyrekode]]</f>
        <v>125554</v>
      </c>
      <c r="I137" s="4347">
        <v>0</v>
      </c>
      <c r="J137" s="2766" t="s">
        <v>1977</v>
      </c>
      <c r="K137" s="2766"/>
      <c r="L137" s="2767">
        <v>72.400000000000006</v>
      </c>
      <c r="M137" s="2766">
        <f t="shared" si="14"/>
        <v>0</v>
      </c>
      <c r="N137" s="2766">
        <v>5.0000000000000001E-3</v>
      </c>
      <c r="O137" s="2766">
        <f t="shared" si="15"/>
        <v>0</v>
      </c>
      <c r="P137" s="2769">
        <f t="shared" si="16"/>
        <v>0</v>
      </c>
      <c r="Q137" s="2809">
        <v>9.7299999999999998E-2</v>
      </c>
      <c r="R137" s="2769">
        <f t="shared" si="17"/>
        <v>0</v>
      </c>
      <c r="S137" s="2766">
        <v>0.01</v>
      </c>
      <c r="T137" s="2769">
        <f t="shared" si="18"/>
        <v>0</v>
      </c>
      <c r="U137" s="2769">
        <f t="shared" si="19"/>
        <v>0</v>
      </c>
      <c r="V137" s="2810">
        <f t="shared" si="20"/>
        <v>0</v>
      </c>
    </row>
    <row r="138" spans="1:22" x14ac:dyDescent="0.25">
      <c r="A138" s="2808" t="s">
        <v>963</v>
      </c>
      <c r="B138" s="2770">
        <v>1300</v>
      </c>
      <c r="C138" s="2766" t="s">
        <v>1976</v>
      </c>
      <c r="D138" s="2766" t="s">
        <v>333</v>
      </c>
      <c r="E138" s="2766" t="s">
        <v>963</v>
      </c>
      <c r="F138" s="2766">
        <v>130001</v>
      </c>
      <c r="G138" s="2766" t="s">
        <v>2879</v>
      </c>
      <c r="H138" s="2766">
        <f>Dataark_til_bilag3_2018[[#This Row],[Staldkode]]+Dataark_til_bilag3_2018[[#This Row],[Dyrekode]]</f>
        <v>131301</v>
      </c>
      <c r="I138" s="4347">
        <v>403.89</v>
      </c>
      <c r="J138" s="2766"/>
      <c r="K138" s="2766" t="s">
        <v>350</v>
      </c>
      <c r="L138" s="2767">
        <v>16.899999999999999</v>
      </c>
      <c r="M138" s="2766">
        <f t="shared" si="14"/>
        <v>6825.7409999999991</v>
      </c>
      <c r="N138" s="2766">
        <v>0.01</v>
      </c>
      <c r="O138" s="2766">
        <f t="shared" si="15"/>
        <v>68.257409999999993</v>
      </c>
      <c r="P138" s="2769">
        <f t="shared" si="16"/>
        <v>107.26164428571428</v>
      </c>
      <c r="Q138" s="2809">
        <v>7.0099999999999996E-2</v>
      </c>
      <c r="R138" s="2769">
        <f t="shared" si="17"/>
        <v>478.48444409999991</v>
      </c>
      <c r="S138" s="2766">
        <v>0.01</v>
      </c>
      <c r="T138" s="2769">
        <f t="shared" si="18"/>
        <v>4.7848444409999988</v>
      </c>
      <c r="U138" s="2769">
        <f t="shared" si="19"/>
        <v>7.5190412644285702</v>
      </c>
      <c r="V138" s="2810">
        <f t="shared" si="20"/>
        <v>0.11478068555014286</v>
      </c>
    </row>
    <row r="139" spans="1:22" x14ac:dyDescent="0.25">
      <c r="A139" s="2808" t="s">
        <v>961</v>
      </c>
      <c r="B139" s="2770">
        <v>1401</v>
      </c>
      <c r="C139" s="2766" t="s">
        <v>1975</v>
      </c>
      <c r="D139" s="2766" t="s">
        <v>333</v>
      </c>
      <c r="E139" s="2766" t="s">
        <v>1974</v>
      </c>
      <c r="F139" s="2766">
        <v>140101</v>
      </c>
      <c r="G139" s="2766" t="s">
        <v>2879</v>
      </c>
      <c r="H139" s="2766">
        <f>Dataark_til_bilag3_2018[[#This Row],[Staldkode]]+Dataark_til_bilag3_2018[[#This Row],[Dyrekode]]</f>
        <v>141502</v>
      </c>
      <c r="I139" s="4347">
        <v>0</v>
      </c>
      <c r="J139" s="2766"/>
      <c r="K139" s="2766" t="s">
        <v>350</v>
      </c>
      <c r="L139" s="2767">
        <v>18.5</v>
      </c>
      <c r="M139" s="2766">
        <f t="shared" si="14"/>
        <v>0</v>
      </c>
      <c r="N139" s="2766">
        <v>0.01</v>
      </c>
      <c r="O139" s="2766">
        <f t="shared" si="15"/>
        <v>0</v>
      </c>
      <c r="P139" s="2769">
        <f t="shared" si="16"/>
        <v>0</v>
      </c>
      <c r="Q139" s="2812" t="s">
        <v>1209</v>
      </c>
      <c r="R139" s="2769" t="str">
        <f t="shared" si="17"/>
        <v xml:space="preserve"> </v>
      </c>
      <c r="S139" s="2766">
        <v>0.01</v>
      </c>
      <c r="T139" s="2769" t="str">
        <f t="shared" si="18"/>
        <v xml:space="preserve"> </v>
      </c>
      <c r="U139" s="2783">
        <f t="shared" si="19"/>
        <v>0</v>
      </c>
      <c r="V139" s="2783">
        <f t="shared" si="20"/>
        <v>0</v>
      </c>
    </row>
    <row r="140" spans="1:22" x14ac:dyDescent="0.25">
      <c r="A140" s="2808" t="s">
        <v>961</v>
      </c>
      <c r="B140" s="2770">
        <v>1402</v>
      </c>
      <c r="C140" s="2766" t="s">
        <v>1973</v>
      </c>
      <c r="D140" s="2766" t="s">
        <v>333</v>
      </c>
      <c r="E140" s="2766" t="s">
        <v>1972</v>
      </c>
      <c r="F140" s="2766">
        <v>140201</v>
      </c>
      <c r="G140" s="2766" t="s">
        <v>2879</v>
      </c>
      <c r="H140" s="2766">
        <f>Dataark_til_bilag3_2018[[#This Row],[Staldkode]]+Dataark_til_bilag3_2018[[#This Row],[Dyrekode]]</f>
        <v>141603</v>
      </c>
      <c r="I140" s="4347">
        <v>0</v>
      </c>
      <c r="J140" s="2766"/>
      <c r="K140" s="2766" t="s">
        <v>350</v>
      </c>
      <c r="L140" s="2767">
        <v>16.399999999999999</v>
      </c>
      <c r="M140" s="2766">
        <f t="shared" si="14"/>
        <v>0</v>
      </c>
      <c r="N140" s="2766">
        <v>0.01</v>
      </c>
      <c r="O140" s="2766">
        <f t="shared" si="15"/>
        <v>0</v>
      </c>
      <c r="P140" s="2769">
        <f t="shared" si="16"/>
        <v>0</v>
      </c>
      <c r="Q140" s="2812" t="s">
        <v>1209</v>
      </c>
      <c r="R140" s="2769" t="str">
        <f t="shared" si="17"/>
        <v xml:space="preserve"> </v>
      </c>
      <c r="S140" s="2766">
        <v>0.01</v>
      </c>
      <c r="T140" s="2769" t="str">
        <f t="shared" si="18"/>
        <v xml:space="preserve"> </v>
      </c>
      <c r="U140" s="2783">
        <f t="shared" si="19"/>
        <v>0</v>
      </c>
      <c r="V140" s="2783">
        <f t="shared" si="20"/>
        <v>0</v>
      </c>
    </row>
    <row r="141" spans="1:22" x14ac:dyDescent="0.25">
      <c r="A141" s="2808" t="s">
        <v>961</v>
      </c>
      <c r="B141" s="2770">
        <v>1403</v>
      </c>
      <c r="C141" s="2766" t="s">
        <v>1971</v>
      </c>
      <c r="D141" s="2766" t="s">
        <v>333</v>
      </c>
      <c r="E141" s="2766" t="s">
        <v>1970</v>
      </c>
      <c r="F141" s="2766">
        <v>140301</v>
      </c>
      <c r="G141" s="2766" t="s">
        <v>2879</v>
      </c>
      <c r="H141" s="2766">
        <f>Dataark_til_bilag3_2018[[#This Row],[Staldkode]]+Dataark_til_bilag3_2018[[#This Row],[Dyrekode]]</f>
        <v>141704</v>
      </c>
      <c r="I141" s="4347">
        <v>0</v>
      </c>
      <c r="J141" s="2766"/>
      <c r="K141" s="2766" t="s">
        <v>350</v>
      </c>
      <c r="L141" s="2767">
        <v>17</v>
      </c>
      <c r="M141" s="2766">
        <f t="shared" si="14"/>
        <v>0</v>
      </c>
      <c r="N141" s="2766">
        <v>0.01</v>
      </c>
      <c r="O141" s="2766">
        <f t="shared" si="15"/>
        <v>0</v>
      </c>
      <c r="P141" s="2769">
        <f t="shared" si="16"/>
        <v>0</v>
      </c>
      <c r="Q141" s="2812" t="s">
        <v>1209</v>
      </c>
      <c r="R141" s="2769" t="str">
        <f t="shared" si="17"/>
        <v xml:space="preserve"> </v>
      </c>
      <c r="S141" s="2766">
        <v>0.01</v>
      </c>
      <c r="T141" s="2769" t="str">
        <f t="shared" si="18"/>
        <v xml:space="preserve"> </v>
      </c>
      <c r="U141" s="2783">
        <f t="shared" si="19"/>
        <v>0</v>
      </c>
      <c r="V141" s="2783">
        <f t="shared" si="20"/>
        <v>0</v>
      </c>
    </row>
    <row r="142" spans="1:22" x14ac:dyDescent="0.25">
      <c r="A142" s="2808" t="s">
        <v>907</v>
      </c>
      <c r="B142" s="2770">
        <v>1501</v>
      </c>
      <c r="C142" s="2766" t="s">
        <v>2892</v>
      </c>
      <c r="D142" s="2766" t="s">
        <v>342</v>
      </c>
      <c r="E142" s="2766" t="s">
        <v>1969</v>
      </c>
      <c r="F142" s="2766">
        <v>150101</v>
      </c>
      <c r="G142" s="2766" t="s">
        <v>353</v>
      </c>
      <c r="H142" s="2766">
        <f>Dataark_til_bilag3_2018[[#This Row],[Staldkode]]+Dataark_til_bilag3_2018[[#This Row],[Dyrekode]]</f>
        <v>151602</v>
      </c>
      <c r="I142" s="4347">
        <v>0</v>
      </c>
      <c r="J142" s="2766" t="s">
        <v>1941</v>
      </c>
      <c r="K142" s="2766"/>
      <c r="L142" s="2773">
        <v>24.2</v>
      </c>
      <c r="M142" s="2766">
        <f t="shared" si="14"/>
        <v>0</v>
      </c>
      <c r="N142" s="2766">
        <v>5.0000000000000001E-3</v>
      </c>
      <c r="O142" s="2766">
        <f t="shared" si="15"/>
        <v>0</v>
      </c>
      <c r="P142" s="2769">
        <f t="shared" si="16"/>
        <v>0</v>
      </c>
      <c r="Q142" s="2809">
        <v>0.12609999999999999</v>
      </c>
      <c r="R142" s="2769">
        <f t="shared" si="17"/>
        <v>0</v>
      </c>
      <c r="S142" s="2766">
        <v>0.01</v>
      </c>
      <c r="T142" s="2769">
        <f t="shared" si="18"/>
        <v>0</v>
      </c>
      <c r="U142" s="2769">
        <f t="shared" si="19"/>
        <v>0</v>
      </c>
      <c r="V142" s="2810">
        <f t="shared" si="20"/>
        <v>0</v>
      </c>
    </row>
    <row r="143" spans="1:22" x14ac:dyDescent="0.25">
      <c r="A143" s="2808" t="s">
        <v>907</v>
      </c>
      <c r="B143" s="2770">
        <v>1501</v>
      </c>
      <c r="C143" s="2766" t="s">
        <v>2892</v>
      </c>
      <c r="D143" s="2766" t="s">
        <v>342</v>
      </c>
      <c r="E143" s="2766" t="s">
        <v>1968</v>
      </c>
      <c r="F143" s="2766">
        <v>150104</v>
      </c>
      <c r="G143" s="2766" t="s">
        <v>350</v>
      </c>
      <c r="H143" s="2766">
        <f>Dataark_til_bilag3_2018[[#This Row],[Staldkode]]+Dataark_til_bilag3_2018[[#This Row],[Dyrekode]]</f>
        <v>151605</v>
      </c>
      <c r="I143" s="4347">
        <v>0</v>
      </c>
      <c r="J143" s="2766" t="s">
        <v>1941</v>
      </c>
      <c r="K143" s="2766"/>
      <c r="L143" s="2767">
        <v>24.2</v>
      </c>
      <c r="M143" s="2766">
        <f t="shared" si="14"/>
        <v>0</v>
      </c>
      <c r="N143" s="2766">
        <v>5.0000000000000001E-3</v>
      </c>
      <c r="O143" s="2766">
        <f t="shared" si="15"/>
        <v>0</v>
      </c>
      <c r="P143" s="2769">
        <f t="shared" si="16"/>
        <v>0</v>
      </c>
      <c r="Q143" s="2809">
        <v>0.12609999999999999</v>
      </c>
      <c r="R143" s="2769">
        <f t="shared" si="17"/>
        <v>0</v>
      </c>
      <c r="S143" s="2766">
        <v>0.01</v>
      </c>
      <c r="T143" s="2769">
        <f t="shared" si="18"/>
        <v>0</v>
      </c>
      <c r="U143" s="2769">
        <f t="shared" si="19"/>
        <v>0</v>
      </c>
      <c r="V143" s="2810">
        <f t="shared" si="20"/>
        <v>0</v>
      </c>
    </row>
    <row r="144" spans="1:22" x14ac:dyDescent="0.25">
      <c r="A144" s="2808" t="s">
        <v>907</v>
      </c>
      <c r="B144" s="2770">
        <v>1501</v>
      </c>
      <c r="C144" s="2766" t="s">
        <v>2892</v>
      </c>
      <c r="D144" s="2766" t="s">
        <v>342</v>
      </c>
      <c r="E144" s="2766" t="s">
        <v>1967</v>
      </c>
      <c r="F144" s="2766">
        <v>150105</v>
      </c>
      <c r="G144" s="2766" t="s">
        <v>350</v>
      </c>
      <c r="H144" s="2766">
        <f>Dataark_til_bilag3_2018[[#This Row],[Staldkode]]+Dataark_til_bilag3_2018[[#This Row],[Dyrekode]]</f>
        <v>151606</v>
      </c>
      <c r="I144" s="4347">
        <v>0</v>
      </c>
      <c r="J144" s="2766" t="s">
        <v>1941</v>
      </c>
      <c r="K144" s="2766"/>
      <c r="L144" s="2767">
        <v>24.2</v>
      </c>
      <c r="M144" s="2766">
        <f t="shared" si="14"/>
        <v>0</v>
      </c>
      <c r="N144" s="2766">
        <v>5.0000000000000001E-3</v>
      </c>
      <c r="O144" s="2766">
        <f t="shared" si="15"/>
        <v>0</v>
      </c>
      <c r="P144" s="2769">
        <f t="shared" si="16"/>
        <v>0</v>
      </c>
      <c r="Q144" s="2809">
        <v>0.12609999999999999</v>
      </c>
      <c r="R144" s="2769">
        <f t="shared" si="17"/>
        <v>0</v>
      </c>
      <c r="S144" s="2766">
        <v>0.01</v>
      </c>
      <c r="T144" s="2769">
        <f t="shared" si="18"/>
        <v>0</v>
      </c>
      <c r="U144" s="2769">
        <f t="shared" si="19"/>
        <v>0</v>
      </c>
      <c r="V144" s="2810">
        <f t="shared" si="20"/>
        <v>0</v>
      </c>
    </row>
    <row r="145" spans="1:22" x14ac:dyDescent="0.25">
      <c r="A145" s="2808" t="s">
        <v>2751</v>
      </c>
      <c r="B145" s="2770">
        <v>1501</v>
      </c>
      <c r="C145" s="2766" t="s">
        <v>1964</v>
      </c>
      <c r="D145" s="2766" t="s">
        <v>342</v>
      </c>
      <c r="E145" s="2766" t="s">
        <v>1966</v>
      </c>
      <c r="F145" s="2766">
        <v>150106</v>
      </c>
      <c r="G145" s="2776" t="s">
        <v>350</v>
      </c>
      <c r="H145" s="2766">
        <f>Dataark_til_bilag3_2018[[#This Row],[Staldkode]]+Dataark_til_bilag3_2018[[#This Row],[Dyrekode]]</f>
        <v>151607</v>
      </c>
      <c r="I145" s="4347">
        <v>0</v>
      </c>
      <c r="J145" s="2766" t="s">
        <v>350</v>
      </c>
      <c r="K145" s="2766"/>
      <c r="L145" s="2767">
        <v>24.2</v>
      </c>
      <c r="M145" s="2766">
        <f t="shared" si="14"/>
        <v>0</v>
      </c>
      <c r="N145" s="2766">
        <v>5.0000000000000001E-3</v>
      </c>
      <c r="O145" s="2766">
        <f t="shared" si="15"/>
        <v>0</v>
      </c>
      <c r="P145" s="2769">
        <f t="shared" si="16"/>
        <v>0</v>
      </c>
      <c r="Q145" s="2809">
        <v>0.12609999999999999</v>
      </c>
      <c r="R145" s="2769">
        <f t="shared" si="17"/>
        <v>0</v>
      </c>
      <c r="S145" s="2766">
        <v>0.01</v>
      </c>
      <c r="T145" s="2769">
        <f t="shared" si="18"/>
        <v>0</v>
      </c>
      <c r="U145" s="2769">
        <f t="shared" si="19"/>
        <v>0</v>
      </c>
      <c r="V145" s="2810">
        <f t="shared" si="20"/>
        <v>0</v>
      </c>
    </row>
    <row r="146" spans="1:22" x14ac:dyDescent="0.25">
      <c r="A146" s="2808" t="s">
        <v>907</v>
      </c>
      <c r="B146" s="2770">
        <v>1501</v>
      </c>
      <c r="C146" s="2766" t="s">
        <v>2892</v>
      </c>
      <c r="D146" s="2766" t="s">
        <v>342</v>
      </c>
      <c r="E146" s="2766" t="s">
        <v>1965</v>
      </c>
      <c r="F146" s="2766">
        <v>150107</v>
      </c>
      <c r="G146" s="2766" t="s">
        <v>353</v>
      </c>
      <c r="H146" s="2766">
        <f>Dataark_til_bilag3_2018[[#This Row],[Staldkode]]+Dataark_til_bilag3_2018[[#This Row],[Dyrekode]]</f>
        <v>151608</v>
      </c>
      <c r="I146" s="4347">
        <v>0</v>
      </c>
      <c r="J146" s="2766" t="s">
        <v>1941</v>
      </c>
      <c r="K146" s="2766"/>
      <c r="L146" s="2767">
        <v>24.2</v>
      </c>
      <c r="M146" s="2766">
        <f t="shared" si="14"/>
        <v>0</v>
      </c>
      <c r="N146" s="2766">
        <v>5.0000000000000001E-3</v>
      </c>
      <c r="O146" s="2766">
        <f t="shared" si="15"/>
        <v>0</v>
      </c>
      <c r="P146" s="2769">
        <f t="shared" si="16"/>
        <v>0</v>
      </c>
      <c r="Q146" s="2809">
        <v>0.12609999999999999</v>
      </c>
      <c r="R146" s="2769">
        <f t="shared" si="17"/>
        <v>0</v>
      </c>
      <c r="S146" s="2766">
        <v>0.01</v>
      </c>
      <c r="T146" s="2769">
        <f t="shared" si="18"/>
        <v>0</v>
      </c>
      <c r="U146" s="2769">
        <f t="shared" si="19"/>
        <v>0</v>
      </c>
      <c r="V146" s="2810">
        <f t="shared" si="20"/>
        <v>0</v>
      </c>
    </row>
    <row r="147" spans="1:22" x14ac:dyDescent="0.25">
      <c r="A147" s="2808" t="s">
        <v>907</v>
      </c>
      <c r="B147" s="2770">
        <v>1501</v>
      </c>
      <c r="C147" s="2766" t="s">
        <v>2892</v>
      </c>
      <c r="D147" s="2766" t="s">
        <v>342</v>
      </c>
      <c r="E147" s="2766" t="s">
        <v>1963</v>
      </c>
      <c r="F147" s="2766">
        <v>150108</v>
      </c>
      <c r="G147" s="2766" t="s">
        <v>353</v>
      </c>
      <c r="H147" s="2766">
        <f>Dataark_til_bilag3_2018[[#This Row],[Staldkode]]+Dataark_til_bilag3_2018[[#This Row],[Dyrekode]]</f>
        <v>151609</v>
      </c>
      <c r="I147" s="4347">
        <v>0</v>
      </c>
      <c r="J147" s="2766" t="s">
        <v>1903</v>
      </c>
      <c r="K147" s="2766"/>
      <c r="L147" s="2767">
        <v>24.2</v>
      </c>
      <c r="M147" s="2766">
        <f t="shared" si="14"/>
        <v>0</v>
      </c>
      <c r="N147" s="2766">
        <v>5.0000000000000001E-3</v>
      </c>
      <c r="O147" s="2766">
        <f t="shared" si="15"/>
        <v>0</v>
      </c>
      <c r="P147" s="2769">
        <f t="shared" si="16"/>
        <v>0</v>
      </c>
      <c r="Q147" s="2809">
        <v>0.12609999999999999</v>
      </c>
      <c r="R147" s="2769">
        <f t="shared" si="17"/>
        <v>0</v>
      </c>
      <c r="S147" s="2766">
        <v>0.01</v>
      </c>
      <c r="T147" s="2769">
        <f t="shared" si="18"/>
        <v>0</v>
      </c>
      <c r="U147" s="2769">
        <f t="shared" si="19"/>
        <v>0</v>
      </c>
      <c r="V147" s="2810">
        <f t="shared" si="20"/>
        <v>0</v>
      </c>
    </row>
    <row r="148" spans="1:22" x14ac:dyDescent="0.25">
      <c r="A148" s="2808" t="s">
        <v>907</v>
      </c>
      <c r="B148" s="2770">
        <v>1502</v>
      </c>
      <c r="C148" s="2766" t="s">
        <v>2891</v>
      </c>
      <c r="D148" s="2766" t="s">
        <v>342</v>
      </c>
      <c r="E148" s="2766" t="s">
        <v>1962</v>
      </c>
      <c r="F148" s="2766">
        <v>150201</v>
      </c>
      <c r="G148" s="2766" t="s">
        <v>353</v>
      </c>
      <c r="H148" s="2766">
        <f>Dataark_til_bilag3_2018[[#This Row],[Staldkode]]+Dataark_til_bilag3_2018[[#This Row],[Dyrekode]]</f>
        <v>151703</v>
      </c>
      <c r="I148" s="4347">
        <v>0</v>
      </c>
      <c r="J148" s="2766" t="s">
        <v>1941</v>
      </c>
      <c r="K148" s="2766"/>
      <c r="L148" s="2813" t="s">
        <v>455</v>
      </c>
      <c r="M148" s="2788" t="str">
        <f t="shared" si="14"/>
        <v xml:space="preserve"> </v>
      </c>
      <c r="N148" s="2766">
        <v>5.0000000000000001E-3</v>
      </c>
      <c r="O148" s="2788" t="str">
        <f t="shared" si="15"/>
        <v xml:space="preserve"> </v>
      </c>
      <c r="P148" s="2783" t="str">
        <f t="shared" si="16"/>
        <v xml:space="preserve"> </v>
      </c>
      <c r="Q148" s="2809">
        <v>0.12609999999999999</v>
      </c>
      <c r="R148" s="2783" t="str">
        <f t="shared" si="17"/>
        <v xml:space="preserve"> </v>
      </c>
      <c r="S148" s="2766">
        <v>0.01</v>
      </c>
      <c r="T148" s="2783" t="str">
        <f t="shared" si="18"/>
        <v xml:space="preserve"> </v>
      </c>
      <c r="U148" s="2783">
        <f t="shared" si="19"/>
        <v>0</v>
      </c>
      <c r="V148" s="2783" t="str">
        <f t="shared" si="20"/>
        <v xml:space="preserve"> </v>
      </c>
    </row>
    <row r="149" spans="1:22" x14ac:dyDescent="0.25">
      <c r="A149" s="2808" t="s">
        <v>907</v>
      </c>
      <c r="B149" s="2770">
        <v>1502</v>
      </c>
      <c r="C149" s="2766" t="s">
        <v>2891</v>
      </c>
      <c r="D149" s="2766" t="s">
        <v>342</v>
      </c>
      <c r="E149" s="2766" t="s">
        <v>1961</v>
      </c>
      <c r="F149" s="2766">
        <v>150202</v>
      </c>
      <c r="G149" s="2766" t="s">
        <v>353</v>
      </c>
      <c r="H149" s="2766">
        <f>Dataark_til_bilag3_2018[[#This Row],[Staldkode]]+Dataark_til_bilag3_2018[[#This Row],[Dyrekode]]</f>
        <v>151704</v>
      </c>
      <c r="I149" s="4347">
        <v>0</v>
      </c>
      <c r="J149" s="2766" t="s">
        <v>1941</v>
      </c>
      <c r="K149" s="2766"/>
      <c r="L149" s="2813" t="s">
        <v>455</v>
      </c>
      <c r="M149" s="2788" t="str">
        <f t="shared" si="14"/>
        <v xml:space="preserve"> </v>
      </c>
      <c r="N149" s="2766">
        <v>5.0000000000000001E-3</v>
      </c>
      <c r="O149" s="2788" t="str">
        <f t="shared" si="15"/>
        <v xml:space="preserve"> </v>
      </c>
      <c r="P149" s="2783" t="str">
        <f t="shared" si="16"/>
        <v xml:space="preserve"> </v>
      </c>
      <c r="Q149" s="2809">
        <v>0.12609999999999999</v>
      </c>
      <c r="R149" s="2783" t="str">
        <f t="shared" si="17"/>
        <v xml:space="preserve"> </v>
      </c>
      <c r="S149" s="2766">
        <v>0.01</v>
      </c>
      <c r="T149" s="2783" t="str">
        <f t="shared" si="18"/>
        <v xml:space="preserve"> </v>
      </c>
      <c r="U149" s="2783">
        <f t="shared" si="19"/>
        <v>0</v>
      </c>
      <c r="V149" s="2783" t="str">
        <f t="shared" si="20"/>
        <v xml:space="preserve"> </v>
      </c>
    </row>
    <row r="150" spans="1:22" x14ac:dyDescent="0.25">
      <c r="A150" s="2808" t="s">
        <v>907</v>
      </c>
      <c r="B150" s="2770">
        <v>1502</v>
      </c>
      <c r="C150" s="2766" t="s">
        <v>2891</v>
      </c>
      <c r="D150" s="2766" t="s">
        <v>342</v>
      </c>
      <c r="E150" s="2766" t="s">
        <v>351</v>
      </c>
      <c r="F150" s="2766">
        <v>150205</v>
      </c>
      <c r="G150" s="2776" t="s">
        <v>351</v>
      </c>
      <c r="H150" s="2766">
        <f>Dataark_til_bilag3_2018[[#This Row],[Staldkode]]+Dataark_til_bilag3_2018[[#This Row],[Dyrekode]]</f>
        <v>151707</v>
      </c>
      <c r="I150" s="4347">
        <v>0</v>
      </c>
      <c r="J150" s="2766" t="s">
        <v>1924</v>
      </c>
      <c r="K150" s="2766"/>
      <c r="L150" s="2813" t="s">
        <v>455</v>
      </c>
      <c r="M150" s="2788" t="str">
        <f t="shared" si="14"/>
        <v xml:space="preserve"> </v>
      </c>
      <c r="N150" s="2788"/>
      <c r="O150" s="2788" t="str">
        <f t="shared" si="15"/>
        <v xml:space="preserve"> </v>
      </c>
      <c r="P150" s="2783" t="str">
        <f t="shared" si="16"/>
        <v xml:space="preserve"> </v>
      </c>
      <c r="Q150" s="2809">
        <v>0.12609999999999999</v>
      </c>
      <c r="R150" s="2783" t="str">
        <f t="shared" si="17"/>
        <v xml:space="preserve"> </v>
      </c>
      <c r="S150" s="2766">
        <v>0.01</v>
      </c>
      <c r="T150" s="2783" t="str">
        <f t="shared" si="18"/>
        <v xml:space="preserve"> </v>
      </c>
      <c r="U150" s="2783">
        <f t="shared" si="19"/>
        <v>0</v>
      </c>
      <c r="V150" s="2783" t="str">
        <f t="shared" si="20"/>
        <v xml:space="preserve"> </v>
      </c>
    </row>
    <row r="151" spans="1:22" x14ac:dyDescent="0.25">
      <c r="A151" s="2808" t="s">
        <v>907</v>
      </c>
      <c r="B151" s="2770">
        <v>1511</v>
      </c>
      <c r="C151" s="2766" t="s">
        <v>2752</v>
      </c>
      <c r="D151" s="2766" t="s">
        <v>339</v>
      </c>
      <c r="E151" s="2766" t="s">
        <v>1960</v>
      </c>
      <c r="F151" s="2766">
        <v>151101</v>
      </c>
      <c r="G151" s="2766" t="s">
        <v>353</v>
      </c>
      <c r="H151" s="2766">
        <f>Dataark_til_bilag3_2018[[#This Row],[Staldkode]]+Dataark_til_bilag3_2018[[#This Row],[Dyrekode]]</f>
        <v>152612</v>
      </c>
      <c r="I151" s="4347">
        <v>0</v>
      </c>
      <c r="J151" s="2766" t="s">
        <v>1941</v>
      </c>
      <c r="K151" s="2766"/>
      <c r="L151" s="2767">
        <v>0.47</v>
      </c>
      <c r="M151" s="2766">
        <f t="shared" si="14"/>
        <v>0</v>
      </c>
      <c r="N151" s="2766">
        <v>5.0000000000000001E-3</v>
      </c>
      <c r="O151" s="2766">
        <f t="shared" si="15"/>
        <v>0</v>
      </c>
      <c r="P151" s="2769">
        <f t="shared" si="16"/>
        <v>0</v>
      </c>
      <c r="Q151" s="2809">
        <v>0.12609999999999999</v>
      </c>
      <c r="R151" s="2769">
        <f t="shared" si="17"/>
        <v>0</v>
      </c>
      <c r="S151" s="2766">
        <v>0.01</v>
      </c>
      <c r="T151" s="2769">
        <f t="shared" si="18"/>
        <v>0</v>
      </c>
      <c r="U151" s="2769">
        <f t="shared" si="19"/>
        <v>0</v>
      </c>
      <c r="V151" s="2810">
        <f t="shared" si="20"/>
        <v>0</v>
      </c>
    </row>
    <row r="152" spans="1:22" x14ac:dyDescent="0.25">
      <c r="A152" s="2808" t="s">
        <v>907</v>
      </c>
      <c r="B152" s="2770">
        <v>1511</v>
      </c>
      <c r="C152" s="2766" t="s">
        <v>2752</v>
      </c>
      <c r="D152" s="2766" t="s">
        <v>339</v>
      </c>
      <c r="E152" s="2766" t="s">
        <v>1959</v>
      </c>
      <c r="F152" s="2766">
        <v>151103</v>
      </c>
      <c r="G152" s="2766" t="s">
        <v>353</v>
      </c>
      <c r="H152" s="2766">
        <f>Dataark_til_bilag3_2018[[#This Row],[Staldkode]]+Dataark_til_bilag3_2018[[#This Row],[Dyrekode]]</f>
        <v>152614</v>
      </c>
      <c r="I152" s="4347">
        <v>0</v>
      </c>
      <c r="J152" s="2766" t="s">
        <v>1941</v>
      </c>
      <c r="K152" s="2766"/>
      <c r="L152" s="2767">
        <v>0.47</v>
      </c>
      <c r="M152" s="2766">
        <f t="shared" si="14"/>
        <v>0</v>
      </c>
      <c r="N152" s="2766">
        <v>5.0000000000000001E-3</v>
      </c>
      <c r="O152" s="2766">
        <f t="shared" si="15"/>
        <v>0</v>
      </c>
      <c r="P152" s="2769">
        <f t="shared" si="16"/>
        <v>0</v>
      </c>
      <c r="Q152" s="2809">
        <v>0.12609999999999999</v>
      </c>
      <c r="R152" s="2769">
        <f t="shared" si="17"/>
        <v>0</v>
      </c>
      <c r="S152" s="2766">
        <v>0.01</v>
      </c>
      <c r="T152" s="2769">
        <f t="shared" si="18"/>
        <v>0</v>
      </c>
      <c r="U152" s="2769">
        <f t="shared" si="19"/>
        <v>0</v>
      </c>
      <c r="V152" s="2810">
        <f t="shared" si="20"/>
        <v>0</v>
      </c>
    </row>
    <row r="153" spans="1:22" x14ac:dyDescent="0.25">
      <c r="A153" s="2808" t="s">
        <v>907</v>
      </c>
      <c r="B153" s="2770">
        <v>1511</v>
      </c>
      <c r="C153" s="2766" t="s">
        <v>2752</v>
      </c>
      <c r="D153" s="2766" t="s">
        <v>339</v>
      </c>
      <c r="E153" s="2766" t="s">
        <v>1944</v>
      </c>
      <c r="F153" s="2766">
        <v>151104</v>
      </c>
      <c r="G153" s="2766" t="s">
        <v>352</v>
      </c>
      <c r="H153" s="2766">
        <f>Dataark_til_bilag3_2018[[#This Row],[Staldkode]]+Dataark_til_bilag3_2018[[#This Row],[Dyrekode]]</f>
        <v>152615</v>
      </c>
      <c r="I153" s="4347">
        <v>0</v>
      </c>
      <c r="J153" s="2766" t="s">
        <v>1903</v>
      </c>
      <c r="K153" s="2766"/>
      <c r="L153" s="2767">
        <v>0.47</v>
      </c>
      <c r="M153" s="2766">
        <f t="shared" si="14"/>
        <v>0</v>
      </c>
      <c r="N153" s="2766">
        <v>5.0000000000000001E-3</v>
      </c>
      <c r="O153" s="2766">
        <f t="shared" si="15"/>
        <v>0</v>
      </c>
      <c r="P153" s="2769">
        <f t="shared" si="16"/>
        <v>0</v>
      </c>
      <c r="Q153" s="2809">
        <v>0.12609999999999999</v>
      </c>
      <c r="R153" s="2769">
        <f t="shared" si="17"/>
        <v>0</v>
      </c>
      <c r="S153" s="2766">
        <v>0.01</v>
      </c>
      <c r="T153" s="2769">
        <f t="shared" si="18"/>
        <v>0</v>
      </c>
      <c r="U153" s="2769">
        <f t="shared" si="19"/>
        <v>0</v>
      </c>
      <c r="V153" s="2810">
        <f t="shared" si="20"/>
        <v>0</v>
      </c>
    </row>
    <row r="154" spans="1:22" x14ac:dyDescent="0.25">
      <c r="A154" s="2808" t="s">
        <v>907</v>
      </c>
      <c r="B154" s="2770">
        <v>1511</v>
      </c>
      <c r="C154" s="2766" t="s">
        <v>2752</v>
      </c>
      <c r="D154" s="2766" t="s">
        <v>339</v>
      </c>
      <c r="E154" s="2766" t="s">
        <v>350</v>
      </c>
      <c r="F154" s="2766">
        <v>151105</v>
      </c>
      <c r="G154" s="2766" t="s">
        <v>350</v>
      </c>
      <c r="H154" s="2766">
        <f>Dataark_til_bilag3_2018[[#This Row],[Staldkode]]+Dataark_til_bilag3_2018[[#This Row],[Dyrekode]]</f>
        <v>152616</v>
      </c>
      <c r="I154" s="4347">
        <v>27.54</v>
      </c>
      <c r="J154" s="2766"/>
      <c r="K154" s="2766" t="s">
        <v>350</v>
      </c>
      <c r="L154" s="2767">
        <v>0.47</v>
      </c>
      <c r="M154" s="2766">
        <f t="shared" si="14"/>
        <v>12.9438</v>
      </c>
      <c r="N154" s="2766">
        <v>7.0000000000000007E-2</v>
      </c>
      <c r="O154" s="2766">
        <f t="shared" si="15"/>
        <v>0.90606600000000004</v>
      </c>
      <c r="P154" s="2769">
        <f t="shared" si="16"/>
        <v>1.4238180000000003</v>
      </c>
      <c r="Q154" s="2809">
        <v>0.12609999999999999</v>
      </c>
      <c r="R154" s="2769">
        <f t="shared" si="17"/>
        <v>1.6322131799999997</v>
      </c>
      <c r="S154" s="2766">
        <v>0.01</v>
      </c>
      <c r="T154" s="2769">
        <f t="shared" si="18"/>
        <v>1.6322131799999997E-2</v>
      </c>
      <c r="U154" s="2769">
        <f t="shared" si="19"/>
        <v>2.5649064257142855E-2</v>
      </c>
      <c r="V154" s="2810">
        <f t="shared" si="20"/>
        <v>1.4494670642571431E-3</v>
      </c>
    </row>
    <row r="155" spans="1:22" x14ac:dyDescent="0.25">
      <c r="A155" s="2808" t="s">
        <v>907</v>
      </c>
      <c r="B155" s="2770">
        <v>1512</v>
      </c>
      <c r="C155" s="2766" t="s">
        <v>2753</v>
      </c>
      <c r="D155" s="2766" t="s">
        <v>2747</v>
      </c>
      <c r="E155" s="2766" t="s">
        <v>1945</v>
      </c>
      <c r="F155" s="2766">
        <v>151203</v>
      </c>
      <c r="G155" s="2766" t="s">
        <v>353</v>
      </c>
      <c r="H155" s="2766">
        <f>Dataark_til_bilag3_2018[[#This Row],[Staldkode]]+Dataark_til_bilag3_2018[[#This Row],[Dyrekode]]</f>
        <v>152715</v>
      </c>
      <c r="I155" s="4347">
        <v>0</v>
      </c>
      <c r="J155" s="2766" t="s">
        <v>1941</v>
      </c>
      <c r="K155" s="2766"/>
      <c r="L155" s="2767">
        <v>2.94</v>
      </c>
      <c r="M155" s="2766">
        <f t="shared" si="14"/>
        <v>0</v>
      </c>
      <c r="N155" s="2766">
        <v>5.0000000000000001E-3</v>
      </c>
      <c r="O155" s="2766">
        <f t="shared" si="15"/>
        <v>0</v>
      </c>
      <c r="P155" s="2769">
        <f t="shared" si="16"/>
        <v>0</v>
      </c>
      <c r="Q155" s="2809">
        <v>0.12609999999999999</v>
      </c>
      <c r="R155" s="2769">
        <f t="shared" si="17"/>
        <v>0</v>
      </c>
      <c r="S155" s="2766">
        <v>0.01</v>
      </c>
      <c r="T155" s="2769">
        <f t="shared" si="18"/>
        <v>0</v>
      </c>
      <c r="U155" s="2769">
        <f t="shared" si="19"/>
        <v>0</v>
      </c>
      <c r="V155" s="2810">
        <f t="shared" si="20"/>
        <v>0</v>
      </c>
    </row>
    <row r="156" spans="1:22" x14ac:dyDescent="0.25">
      <c r="A156" s="2808" t="s">
        <v>907</v>
      </c>
      <c r="B156" s="2770">
        <v>1512</v>
      </c>
      <c r="C156" s="2766" t="s">
        <v>2753</v>
      </c>
      <c r="D156" s="2766" t="s">
        <v>2747</v>
      </c>
      <c r="E156" s="2766" t="s">
        <v>1944</v>
      </c>
      <c r="F156" s="2766">
        <v>151204</v>
      </c>
      <c r="G156" s="2766" t="s">
        <v>352</v>
      </c>
      <c r="H156" s="2766">
        <f>Dataark_til_bilag3_2018[[#This Row],[Staldkode]]+Dataark_til_bilag3_2018[[#This Row],[Dyrekode]]</f>
        <v>152716</v>
      </c>
      <c r="I156" s="4347">
        <v>0</v>
      </c>
      <c r="J156" s="2766" t="s">
        <v>1903</v>
      </c>
      <c r="K156" s="2766"/>
      <c r="L156" s="2767">
        <v>2.94</v>
      </c>
      <c r="M156" s="2766">
        <f t="shared" si="14"/>
        <v>0</v>
      </c>
      <c r="N156" s="2766">
        <v>5.0000000000000001E-3</v>
      </c>
      <c r="O156" s="2766">
        <f t="shared" si="15"/>
        <v>0</v>
      </c>
      <c r="P156" s="2769">
        <f t="shared" si="16"/>
        <v>0</v>
      </c>
      <c r="Q156" s="2809">
        <v>0.12609999999999999</v>
      </c>
      <c r="R156" s="2769">
        <f t="shared" si="17"/>
        <v>0</v>
      </c>
      <c r="S156" s="2766">
        <v>0.01</v>
      </c>
      <c r="T156" s="2769">
        <f t="shared" si="18"/>
        <v>0</v>
      </c>
      <c r="U156" s="2769">
        <f t="shared" si="19"/>
        <v>0</v>
      </c>
      <c r="V156" s="2810">
        <f t="shared" si="20"/>
        <v>0</v>
      </c>
    </row>
    <row r="157" spans="1:22" x14ac:dyDescent="0.25">
      <c r="A157" s="2808" t="s">
        <v>907</v>
      </c>
      <c r="B157" s="2770">
        <v>1512</v>
      </c>
      <c r="C157" s="2766" t="s">
        <v>2753</v>
      </c>
      <c r="D157" s="2766" t="s">
        <v>2747</v>
      </c>
      <c r="E157" s="2766" t="s">
        <v>1942</v>
      </c>
      <c r="F157" s="2766">
        <v>151205</v>
      </c>
      <c r="G157" s="2766" t="s">
        <v>350</v>
      </c>
      <c r="H157" s="2766">
        <f>Dataark_til_bilag3_2018[[#This Row],[Staldkode]]+Dataark_til_bilag3_2018[[#This Row],[Dyrekode]]</f>
        <v>152717</v>
      </c>
      <c r="I157" s="4347">
        <v>0</v>
      </c>
      <c r="J157" s="2766" t="s">
        <v>1941</v>
      </c>
      <c r="K157" s="2766"/>
      <c r="L157" s="2767">
        <v>2.94</v>
      </c>
      <c r="M157" s="2766">
        <f t="shared" si="14"/>
        <v>0</v>
      </c>
      <c r="N157" s="2766">
        <v>5.0000000000000001E-3</v>
      </c>
      <c r="O157" s="2766">
        <f t="shared" si="15"/>
        <v>0</v>
      </c>
      <c r="P157" s="2769">
        <f t="shared" si="16"/>
        <v>0</v>
      </c>
      <c r="Q157" s="2809">
        <v>0.12609999999999999</v>
      </c>
      <c r="R157" s="2769">
        <f t="shared" si="17"/>
        <v>0</v>
      </c>
      <c r="S157" s="2766">
        <v>0.01</v>
      </c>
      <c r="T157" s="2769">
        <f t="shared" si="18"/>
        <v>0</v>
      </c>
      <c r="U157" s="2769">
        <f t="shared" si="19"/>
        <v>0</v>
      </c>
      <c r="V157" s="2810">
        <f t="shared" si="20"/>
        <v>0</v>
      </c>
    </row>
    <row r="158" spans="1:22" x14ac:dyDescent="0.25">
      <c r="A158" s="2808" t="s">
        <v>907</v>
      </c>
      <c r="B158" s="2770">
        <v>1512</v>
      </c>
      <c r="C158" s="2766" t="s">
        <v>2753</v>
      </c>
      <c r="D158" s="2766" t="s">
        <v>2747</v>
      </c>
      <c r="E158" s="2766" t="s">
        <v>350</v>
      </c>
      <c r="F158" s="2766">
        <v>151206</v>
      </c>
      <c r="G158" s="2766" t="s">
        <v>350</v>
      </c>
      <c r="H158" s="2766">
        <f>Dataark_til_bilag3_2018[[#This Row],[Staldkode]]+Dataark_til_bilag3_2018[[#This Row],[Dyrekode]]</f>
        <v>152718</v>
      </c>
      <c r="I158" s="4347">
        <v>27.54</v>
      </c>
      <c r="J158" s="2766"/>
      <c r="K158" s="2766" t="s">
        <v>350</v>
      </c>
      <c r="L158" s="2767">
        <v>2.94</v>
      </c>
      <c r="M158" s="2766">
        <f t="shared" si="14"/>
        <v>80.96759999999999</v>
      </c>
      <c r="N158" s="2766">
        <v>7.0000000000000007E-2</v>
      </c>
      <c r="O158" s="2766">
        <f t="shared" si="15"/>
        <v>5.667732</v>
      </c>
      <c r="P158" s="2769">
        <f t="shared" si="16"/>
        <v>8.9064360000000011</v>
      </c>
      <c r="Q158" s="2809">
        <v>0.12609999999999999</v>
      </c>
      <c r="R158" s="2769">
        <f t="shared" si="17"/>
        <v>10.210014359999997</v>
      </c>
      <c r="S158" s="2766">
        <v>0.01</v>
      </c>
      <c r="T158" s="2769">
        <f t="shared" si="18"/>
        <v>0.10210014359999997</v>
      </c>
      <c r="U158" s="2769">
        <f t="shared" si="19"/>
        <v>0.16044308279999994</v>
      </c>
      <c r="V158" s="2810">
        <f t="shared" si="20"/>
        <v>9.0668790828000011E-3</v>
      </c>
    </row>
    <row r="159" spans="1:22" x14ac:dyDescent="0.25">
      <c r="A159" s="2808" t="s">
        <v>907</v>
      </c>
      <c r="B159" s="2770">
        <v>1512</v>
      </c>
      <c r="C159" s="2766" t="s">
        <v>2753</v>
      </c>
      <c r="D159" s="2766" t="s">
        <v>2747</v>
      </c>
      <c r="E159" s="2766" t="s">
        <v>1958</v>
      </c>
      <c r="F159" s="2766">
        <v>151207</v>
      </c>
      <c r="G159" s="2766" t="s">
        <v>353</v>
      </c>
      <c r="H159" s="2766">
        <f>Dataark_til_bilag3_2018[[#This Row],[Staldkode]]+Dataark_til_bilag3_2018[[#This Row],[Dyrekode]]</f>
        <v>152719</v>
      </c>
      <c r="I159" s="4347">
        <v>0</v>
      </c>
      <c r="J159" s="2766" t="s">
        <v>1941</v>
      </c>
      <c r="K159" s="2766"/>
      <c r="L159" s="2767">
        <v>2.94</v>
      </c>
      <c r="M159" s="2766">
        <f t="shared" si="14"/>
        <v>0</v>
      </c>
      <c r="N159" s="2766">
        <v>5.0000000000000001E-3</v>
      </c>
      <c r="O159" s="2766">
        <f t="shared" si="15"/>
        <v>0</v>
      </c>
      <c r="P159" s="2769">
        <f t="shared" si="16"/>
        <v>0</v>
      </c>
      <c r="Q159" s="2809">
        <v>0.12609999999999999</v>
      </c>
      <c r="R159" s="2769">
        <f t="shared" si="17"/>
        <v>0</v>
      </c>
      <c r="S159" s="2766">
        <v>0.01</v>
      </c>
      <c r="T159" s="2769">
        <f t="shared" si="18"/>
        <v>0</v>
      </c>
      <c r="U159" s="2769">
        <f t="shared" si="19"/>
        <v>0</v>
      </c>
      <c r="V159" s="2810">
        <f t="shared" si="20"/>
        <v>0</v>
      </c>
    </row>
    <row r="160" spans="1:22" x14ac:dyDescent="0.25">
      <c r="A160" s="2808" t="s">
        <v>907</v>
      </c>
      <c r="B160" s="2770">
        <v>1512</v>
      </c>
      <c r="C160" s="2766" t="s">
        <v>2753</v>
      </c>
      <c r="D160" s="2766" t="s">
        <v>2747</v>
      </c>
      <c r="E160" s="2766" t="s">
        <v>2890</v>
      </c>
      <c r="F160" s="2766">
        <v>151208</v>
      </c>
      <c r="G160" s="2766" t="s">
        <v>353</v>
      </c>
      <c r="H160" s="2766">
        <f>Dataark_til_bilag3_2018[[#This Row],[Staldkode]]+Dataark_til_bilag3_2018[[#This Row],[Dyrekode]]</f>
        <v>152720</v>
      </c>
      <c r="I160" s="4347">
        <v>0</v>
      </c>
      <c r="J160" s="2766" t="s">
        <v>1941</v>
      </c>
      <c r="K160" s="2766"/>
      <c r="L160" s="2767">
        <v>2.94</v>
      </c>
      <c r="M160" s="2766">
        <f t="shared" si="14"/>
        <v>0</v>
      </c>
      <c r="N160" s="2766">
        <v>5.0000000000000001E-3</v>
      </c>
      <c r="O160" s="2766">
        <f t="shared" si="15"/>
        <v>0</v>
      </c>
      <c r="P160" s="2769">
        <f t="shared" si="16"/>
        <v>0</v>
      </c>
      <c r="Q160" s="2809">
        <v>0.12609999999999999</v>
      </c>
      <c r="R160" s="2769">
        <f t="shared" si="17"/>
        <v>0</v>
      </c>
      <c r="S160" s="2766">
        <v>0.01</v>
      </c>
      <c r="T160" s="2769">
        <f t="shared" si="18"/>
        <v>0</v>
      </c>
      <c r="U160" s="2769">
        <f t="shared" si="19"/>
        <v>0</v>
      </c>
      <c r="V160" s="2810">
        <f t="shared" si="20"/>
        <v>0</v>
      </c>
    </row>
    <row r="161" spans="1:22" x14ac:dyDescent="0.25">
      <c r="A161" s="2771" t="s">
        <v>907</v>
      </c>
      <c r="B161" s="2772">
        <v>1513</v>
      </c>
      <c r="C161" s="2772" t="s">
        <v>1954</v>
      </c>
      <c r="D161" s="2772" t="s">
        <v>342</v>
      </c>
      <c r="E161" s="2772" t="s">
        <v>1956</v>
      </c>
      <c r="F161" s="2772">
        <v>151301</v>
      </c>
      <c r="G161" s="2772" t="s">
        <v>350</v>
      </c>
      <c r="H161" s="2772">
        <f>Dataark_til_bilag3_2018[[#This Row],[Staldkode]]+Dataark_til_bilag3_2018[[#This Row],[Dyrekode]]</f>
        <v>152814</v>
      </c>
      <c r="I161" s="4347" t="s">
        <v>270</v>
      </c>
      <c r="J161" s="2772" t="s">
        <v>1941</v>
      </c>
      <c r="K161" s="2772"/>
      <c r="L161" s="2773">
        <v>28.5</v>
      </c>
      <c r="M161" s="2766" t="str">
        <f t="shared" si="14"/>
        <v xml:space="preserve"> </v>
      </c>
      <c r="N161" s="2766">
        <v>5.0000000000000001E-3</v>
      </c>
      <c r="O161" s="2766" t="str">
        <f t="shared" si="15"/>
        <v xml:space="preserve"> </v>
      </c>
      <c r="P161" s="2769" t="str">
        <f t="shared" si="16"/>
        <v xml:space="preserve"> </v>
      </c>
      <c r="Q161" s="2809">
        <v>0.12609999999999999</v>
      </c>
      <c r="R161" s="2769" t="str">
        <f t="shared" si="17"/>
        <v xml:space="preserve"> </v>
      </c>
      <c r="S161" s="2766">
        <v>0.01</v>
      </c>
      <c r="T161" s="2769" t="str">
        <f t="shared" si="18"/>
        <v xml:space="preserve"> </v>
      </c>
      <c r="U161" s="2769">
        <f t="shared" si="19"/>
        <v>0</v>
      </c>
      <c r="V161" s="2810" t="str">
        <f t="shared" si="20"/>
        <v xml:space="preserve"> </v>
      </c>
    </row>
    <row r="162" spans="1:22" x14ac:dyDescent="0.25">
      <c r="A162" s="2808" t="s">
        <v>907</v>
      </c>
      <c r="B162" s="2770">
        <v>1513</v>
      </c>
      <c r="C162" s="2766" t="s">
        <v>1954</v>
      </c>
      <c r="D162" s="2766" t="s">
        <v>342</v>
      </c>
      <c r="E162" s="2766" t="s">
        <v>1955</v>
      </c>
      <c r="F162" s="2766">
        <v>151302</v>
      </c>
      <c r="G162" s="2766" t="s">
        <v>353</v>
      </c>
      <c r="H162" s="2766">
        <f>Dataark_til_bilag3_2018[[#This Row],[Staldkode]]+Dataark_til_bilag3_2018[[#This Row],[Dyrekode]]</f>
        <v>152815</v>
      </c>
      <c r="I162" s="4347" t="s">
        <v>270</v>
      </c>
      <c r="J162" s="2766" t="s">
        <v>1924</v>
      </c>
      <c r="K162" s="2766"/>
      <c r="L162" s="2767">
        <v>28.5</v>
      </c>
      <c r="M162" s="2766" t="str">
        <f t="shared" si="14"/>
        <v xml:space="preserve"> </v>
      </c>
      <c r="N162" s="2766">
        <v>5.0000000000000001E-3</v>
      </c>
      <c r="O162" s="2766" t="str">
        <f t="shared" si="15"/>
        <v xml:space="preserve"> </v>
      </c>
      <c r="P162" s="2769" t="str">
        <f t="shared" si="16"/>
        <v xml:space="preserve"> </v>
      </c>
      <c r="Q162" s="2809">
        <v>0.12609999999999999</v>
      </c>
      <c r="R162" s="2769" t="str">
        <f t="shared" si="17"/>
        <v xml:space="preserve"> </v>
      </c>
      <c r="S162" s="2766">
        <v>0.01</v>
      </c>
      <c r="T162" s="2769" t="str">
        <f t="shared" si="18"/>
        <v xml:space="preserve"> </v>
      </c>
      <c r="U162" s="2769">
        <f t="shared" si="19"/>
        <v>0</v>
      </c>
      <c r="V162" s="2810" t="str">
        <f t="shared" si="20"/>
        <v xml:space="preserve"> </v>
      </c>
    </row>
    <row r="163" spans="1:22" x14ac:dyDescent="0.25">
      <c r="A163" s="2811" t="s">
        <v>907</v>
      </c>
      <c r="B163" s="2771">
        <v>1513</v>
      </c>
      <c r="C163" s="2772" t="s">
        <v>2757</v>
      </c>
      <c r="D163" s="2772" t="s">
        <v>342</v>
      </c>
      <c r="E163" s="2772" t="s">
        <v>1966</v>
      </c>
      <c r="F163" s="2772">
        <v>151303</v>
      </c>
      <c r="G163" s="2772" t="s">
        <v>350</v>
      </c>
      <c r="H163" s="2772">
        <f>Dataark_til_bilag3_2018[[#This Row],[Staldkode]]+Dataark_til_bilag3_2018[[#This Row],[Dyrekode]]</f>
        <v>152816</v>
      </c>
      <c r="I163" s="4347" t="s">
        <v>270</v>
      </c>
      <c r="J163" s="2766" t="s">
        <v>1941</v>
      </c>
      <c r="K163" s="2766"/>
      <c r="L163" s="2767">
        <v>24.2</v>
      </c>
      <c r="M163" s="2766" t="str">
        <f t="shared" si="14"/>
        <v xml:space="preserve"> </v>
      </c>
      <c r="N163" s="2766">
        <v>5.0000000000000001E-3</v>
      </c>
      <c r="O163" s="2766" t="str">
        <f t="shared" si="15"/>
        <v xml:space="preserve"> </v>
      </c>
      <c r="P163" s="2769" t="str">
        <f t="shared" si="16"/>
        <v xml:space="preserve"> </v>
      </c>
      <c r="Q163" s="2809">
        <v>0.12609999999999999</v>
      </c>
      <c r="R163" s="2769" t="str">
        <f t="shared" si="17"/>
        <v xml:space="preserve"> </v>
      </c>
      <c r="S163" s="2766">
        <v>0.01</v>
      </c>
      <c r="T163" s="2769" t="str">
        <f t="shared" si="18"/>
        <v xml:space="preserve"> </v>
      </c>
      <c r="U163" s="2769">
        <f t="shared" si="19"/>
        <v>0</v>
      </c>
      <c r="V163" s="2810" t="str">
        <f t="shared" si="20"/>
        <v xml:space="preserve"> </v>
      </c>
    </row>
    <row r="164" spans="1:22" x14ac:dyDescent="0.25">
      <c r="A164" s="2808" t="s">
        <v>907</v>
      </c>
      <c r="B164" s="2770">
        <v>1514</v>
      </c>
      <c r="C164" s="2766" t="s">
        <v>1953</v>
      </c>
      <c r="D164" s="2766" t="s">
        <v>342</v>
      </c>
      <c r="E164" s="2766" t="s">
        <v>1952</v>
      </c>
      <c r="F164" s="2766">
        <v>151401</v>
      </c>
      <c r="G164" s="2776" t="s">
        <v>351</v>
      </c>
      <c r="H164" s="2766">
        <f>Dataark_til_bilag3_2018[[#This Row],[Staldkode]]+Dataark_til_bilag3_2018[[#This Row],[Dyrekode]]</f>
        <v>152915</v>
      </c>
      <c r="I164" s="4347" t="s">
        <v>270</v>
      </c>
      <c r="J164" s="2766" t="s">
        <v>1924</v>
      </c>
      <c r="K164" s="2766"/>
      <c r="L164" s="2767">
        <v>0.51</v>
      </c>
      <c r="M164" s="2766" t="str">
        <f t="shared" si="14"/>
        <v xml:space="preserve"> </v>
      </c>
      <c r="N164" s="2766">
        <v>5.0000000000000001E-3</v>
      </c>
      <c r="O164" s="2766" t="str">
        <f t="shared" si="15"/>
        <v xml:space="preserve"> </v>
      </c>
      <c r="P164" s="2769" t="str">
        <f t="shared" si="16"/>
        <v xml:space="preserve"> </v>
      </c>
      <c r="Q164" s="2809">
        <v>0.12609999999999999</v>
      </c>
      <c r="R164" s="2769" t="str">
        <f t="shared" si="17"/>
        <v xml:space="preserve"> </v>
      </c>
      <c r="S164" s="2766">
        <v>0.01</v>
      </c>
      <c r="T164" s="2769" t="str">
        <f t="shared" si="18"/>
        <v xml:space="preserve"> </v>
      </c>
      <c r="U164" s="2769">
        <f t="shared" si="19"/>
        <v>0</v>
      </c>
      <c r="V164" s="2810" t="str">
        <f t="shared" si="20"/>
        <v xml:space="preserve"> </v>
      </c>
    </row>
    <row r="165" spans="1:22" x14ac:dyDescent="0.25">
      <c r="A165" s="2808" t="s">
        <v>907</v>
      </c>
      <c r="B165" s="2770">
        <v>1515</v>
      </c>
      <c r="C165" s="2766" t="s">
        <v>1951</v>
      </c>
      <c r="D165" s="2766" t="s">
        <v>339</v>
      </c>
      <c r="E165" s="2766" t="s">
        <v>2748</v>
      </c>
      <c r="F165" s="2766">
        <v>151501</v>
      </c>
      <c r="G165" s="2766" t="s">
        <v>353</v>
      </c>
      <c r="H165" s="2766">
        <f>Dataark_til_bilag3_2018[[#This Row],[Staldkode]]+Dataark_til_bilag3_2018[[#This Row],[Dyrekode]]</f>
        <v>153016</v>
      </c>
      <c r="I165" s="4347" t="s">
        <v>270</v>
      </c>
      <c r="J165" s="2766" t="s">
        <v>2889</v>
      </c>
      <c r="K165" s="2766"/>
      <c r="L165" s="2767">
        <v>0.51</v>
      </c>
      <c r="M165" s="2766" t="str">
        <f t="shared" si="14"/>
        <v xml:space="preserve"> </v>
      </c>
      <c r="N165" s="2766">
        <v>5.0000000000000001E-3</v>
      </c>
      <c r="O165" s="2766" t="str">
        <f t="shared" si="15"/>
        <v xml:space="preserve"> </v>
      </c>
      <c r="P165" s="2769" t="str">
        <f t="shared" si="16"/>
        <v xml:space="preserve"> </v>
      </c>
      <c r="Q165" s="2809">
        <v>0.12609999999999999</v>
      </c>
      <c r="R165" s="2769" t="str">
        <f t="shared" si="17"/>
        <v xml:space="preserve"> </v>
      </c>
      <c r="S165" s="2766">
        <v>0.01</v>
      </c>
      <c r="T165" s="2769" t="str">
        <f t="shared" si="18"/>
        <v xml:space="preserve"> </v>
      </c>
      <c r="U165" s="2769">
        <f t="shared" si="19"/>
        <v>0</v>
      </c>
      <c r="V165" s="2810" t="str">
        <f t="shared" si="20"/>
        <v xml:space="preserve"> </v>
      </c>
    </row>
    <row r="166" spans="1:22" x14ac:dyDescent="0.25">
      <c r="A166" s="2808" t="s">
        <v>907</v>
      </c>
      <c r="B166" s="2770">
        <v>1515</v>
      </c>
      <c r="C166" s="2766" t="s">
        <v>1951</v>
      </c>
      <c r="D166" s="2766" t="s">
        <v>339</v>
      </c>
      <c r="E166" s="2766" t="s">
        <v>1947</v>
      </c>
      <c r="F166" s="2766">
        <v>151502</v>
      </c>
      <c r="G166" s="2766" t="s">
        <v>350</v>
      </c>
      <c r="H166" s="2766">
        <f>Dataark_til_bilag3_2018[[#This Row],[Staldkode]]+Dataark_til_bilag3_2018[[#This Row],[Dyrekode]]</f>
        <v>153017</v>
      </c>
      <c r="I166" s="4347" t="s">
        <v>270</v>
      </c>
      <c r="J166" s="2766" t="s">
        <v>1941</v>
      </c>
      <c r="K166" s="2766"/>
      <c r="L166" s="2767">
        <v>0.51</v>
      </c>
      <c r="M166" s="2766" t="str">
        <f t="shared" si="14"/>
        <v xml:space="preserve"> </v>
      </c>
      <c r="N166" s="2766">
        <v>5.0000000000000001E-3</v>
      </c>
      <c r="O166" s="2766" t="str">
        <f t="shared" si="15"/>
        <v xml:space="preserve"> </v>
      </c>
      <c r="P166" s="2769" t="str">
        <f t="shared" si="16"/>
        <v xml:space="preserve"> </v>
      </c>
      <c r="Q166" s="2809">
        <v>0.12609999999999999</v>
      </c>
      <c r="R166" s="2769" t="str">
        <f t="shared" si="17"/>
        <v xml:space="preserve"> </v>
      </c>
      <c r="S166" s="2766">
        <v>0.01</v>
      </c>
      <c r="T166" s="2769" t="str">
        <f t="shared" si="18"/>
        <v xml:space="preserve"> </v>
      </c>
      <c r="U166" s="2769">
        <f t="shared" si="19"/>
        <v>0</v>
      </c>
      <c r="V166" s="2810" t="str">
        <f t="shared" si="20"/>
        <v xml:space="preserve"> </v>
      </c>
    </row>
    <row r="167" spans="1:22" x14ac:dyDescent="0.25">
      <c r="A167" s="2808" t="s">
        <v>907</v>
      </c>
      <c r="B167" s="2770">
        <v>1515</v>
      </c>
      <c r="C167" s="2766" t="s">
        <v>1951</v>
      </c>
      <c r="D167" s="2766" t="s">
        <v>339</v>
      </c>
      <c r="E167" s="2766" t="s">
        <v>1950</v>
      </c>
      <c r="F167" s="2780">
        <v>151503</v>
      </c>
      <c r="G167" s="2766" t="s">
        <v>353</v>
      </c>
      <c r="H167" s="2766">
        <f>Dataark_til_bilag3_2018[[#This Row],[Staldkode]]+Dataark_til_bilag3_2018[[#This Row],[Dyrekode]]</f>
        <v>153018</v>
      </c>
      <c r="I167" s="4347" t="s">
        <v>270</v>
      </c>
      <c r="J167" s="2766" t="s">
        <v>1924</v>
      </c>
      <c r="K167" s="2766"/>
      <c r="L167" s="2767">
        <v>0.51</v>
      </c>
      <c r="M167" s="2766" t="str">
        <f t="shared" si="14"/>
        <v xml:space="preserve"> </v>
      </c>
      <c r="N167" s="2766">
        <v>5.0000000000000001E-3</v>
      </c>
      <c r="O167" s="2766" t="str">
        <f t="shared" si="15"/>
        <v xml:space="preserve"> </v>
      </c>
      <c r="P167" s="2769" t="str">
        <f t="shared" si="16"/>
        <v xml:space="preserve"> </v>
      </c>
      <c r="Q167" s="2809">
        <v>0.12609999999999999</v>
      </c>
      <c r="R167" s="2769" t="str">
        <f t="shared" si="17"/>
        <v xml:space="preserve"> </v>
      </c>
      <c r="S167" s="2766">
        <v>0.01</v>
      </c>
      <c r="T167" s="2769" t="str">
        <f t="shared" si="18"/>
        <v xml:space="preserve"> </v>
      </c>
      <c r="U167" s="2769">
        <f t="shared" si="19"/>
        <v>0</v>
      </c>
      <c r="V167" s="2810" t="str">
        <f t="shared" si="20"/>
        <v xml:space="preserve"> </v>
      </c>
    </row>
    <row r="168" spans="1:22" x14ac:dyDescent="0.25">
      <c r="A168" s="2808" t="s">
        <v>907</v>
      </c>
      <c r="B168" s="2770">
        <v>1516</v>
      </c>
      <c r="C168" s="2766" t="s">
        <v>1948</v>
      </c>
      <c r="D168" s="2766" t="s">
        <v>2747</v>
      </c>
      <c r="E168" s="2766" t="s">
        <v>1950</v>
      </c>
      <c r="F168" s="2766">
        <v>151601</v>
      </c>
      <c r="G168" s="2766" t="s">
        <v>353</v>
      </c>
      <c r="H168" s="2766">
        <f>Dataark_til_bilag3_2018[[#This Row],[Staldkode]]+Dataark_til_bilag3_2018[[#This Row],[Dyrekode]]</f>
        <v>153117</v>
      </c>
      <c r="I168" s="4347" t="s">
        <v>270</v>
      </c>
      <c r="J168" s="2766" t="s">
        <v>1924</v>
      </c>
      <c r="K168" s="2766"/>
      <c r="L168" s="2767">
        <v>3.96</v>
      </c>
      <c r="M168" s="2766" t="str">
        <f t="shared" si="14"/>
        <v xml:space="preserve"> </v>
      </c>
      <c r="N168" s="2766">
        <v>5.0000000000000001E-3</v>
      </c>
      <c r="O168" s="2766" t="str">
        <f t="shared" si="15"/>
        <v xml:space="preserve"> </v>
      </c>
      <c r="P168" s="2769" t="str">
        <f t="shared" si="16"/>
        <v xml:space="preserve"> </v>
      </c>
      <c r="Q168" s="2809">
        <v>0.12609999999999999</v>
      </c>
      <c r="R168" s="2769" t="str">
        <f t="shared" si="17"/>
        <v xml:space="preserve"> </v>
      </c>
      <c r="S168" s="2766">
        <v>0.01</v>
      </c>
      <c r="T168" s="2769" t="str">
        <f t="shared" si="18"/>
        <v xml:space="preserve"> </v>
      </c>
      <c r="U168" s="2769">
        <f t="shared" si="19"/>
        <v>0</v>
      </c>
      <c r="V168" s="2810" t="str">
        <f t="shared" si="20"/>
        <v xml:space="preserve"> </v>
      </c>
    </row>
    <row r="169" spans="1:22" x14ac:dyDescent="0.25">
      <c r="A169" s="2808" t="s">
        <v>907</v>
      </c>
      <c r="B169" s="2770">
        <v>1516</v>
      </c>
      <c r="C169" s="2766" t="s">
        <v>1948</v>
      </c>
      <c r="D169" s="2766" t="s">
        <v>2747</v>
      </c>
      <c r="E169" s="2766" t="s">
        <v>1949</v>
      </c>
      <c r="F169" s="2766">
        <v>151602</v>
      </c>
      <c r="G169" s="2766" t="s">
        <v>353</v>
      </c>
      <c r="H169" s="2766">
        <f>Dataark_til_bilag3_2018[[#This Row],[Staldkode]]+Dataark_til_bilag3_2018[[#This Row],[Dyrekode]]</f>
        <v>153118</v>
      </c>
      <c r="I169" s="4347" t="s">
        <v>270</v>
      </c>
      <c r="J169" s="2766" t="s">
        <v>1941</v>
      </c>
      <c r="K169" s="2766"/>
      <c r="L169" s="2767">
        <v>3.96</v>
      </c>
      <c r="M169" s="2766" t="str">
        <f t="shared" si="14"/>
        <v xml:space="preserve"> </v>
      </c>
      <c r="N169" s="2766">
        <v>5.0000000000000001E-3</v>
      </c>
      <c r="O169" s="2766" t="str">
        <f t="shared" si="15"/>
        <v xml:space="preserve"> </v>
      </c>
      <c r="P169" s="2769" t="str">
        <f t="shared" si="16"/>
        <v xml:space="preserve"> </v>
      </c>
      <c r="Q169" s="2809">
        <v>0.12609999999999999</v>
      </c>
      <c r="R169" s="2769" t="str">
        <f t="shared" si="17"/>
        <v xml:space="preserve"> </v>
      </c>
      <c r="S169" s="2766">
        <v>0.01</v>
      </c>
      <c r="T169" s="2769" t="str">
        <f t="shared" si="18"/>
        <v xml:space="preserve"> </v>
      </c>
      <c r="U169" s="2769">
        <f t="shared" si="19"/>
        <v>0</v>
      </c>
      <c r="V169" s="2810" t="str">
        <f t="shared" si="20"/>
        <v xml:space="preserve"> </v>
      </c>
    </row>
    <row r="170" spans="1:22" x14ac:dyDescent="0.25">
      <c r="A170" s="2808" t="s">
        <v>907</v>
      </c>
      <c r="B170" s="2770">
        <v>1516</v>
      </c>
      <c r="C170" s="2766" t="s">
        <v>1948</v>
      </c>
      <c r="D170" s="2766" t="s">
        <v>2747</v>
      </c>
      <c r="E170" s="2766" t="s">
        <v>1947</v>
      </c>
      <c r="F170" s="2766">
        <v>151603</v>
      </c>
      <c r="G170" s="2766" t="s">
        <v>350</v>
      </c>
      <c r="H170" s="2766">
        <f>Dataark_til_bilag3_2018[[#This Row],[Staldkode]]+Dataark_til_bilag3_2018[[#This Row],[Dyrekode]]</f>
        <v>153119</v>
      </c>
      <c r="I170" s="4347" t="s">
        <v>270</v>
      </c>
      <c r="J170" s="2766" t="s">
        <v>1941</v>
      </c>
      <c r="K170" s="2766"/>
      <c r="L170" s="2767">
        <v>3.96</v>
      </c>
      <c r="M170" s="2766" t="str">
        <f t="shared" si="14"/>
        <v xml:space="preserve"> </v>
      </c>
      <c r="N170" s="2766">
        <v>5.0000000000000001E-3</v>
      </c>
      <c r="O170" s="2766" t="str">
        <f t="shared" si="15"/>
        <v xml:space="preserve"> </v>
      </c>
      <c r="P170" s="2769" t="str">
        <f t="shared" si="16"/>
        <v xml:space="preserve"> </v>
      </c>
      <c r="Q170" s="2809">
        <v>0.12609999999999999</v>
      </c>
      <c r="R170" s="2769" t="str">
        <f t="shared" si="17"/>
        <v xml:space="preserve"> </v>
      </c>
      <c r="S170" s="2766">
        <v>0.01</v>
      </c>
      <c r="T170" s="2769" t="str">
        <f t="shared" si="18"/>
        <v xml:space="preserve"> </v>
      </c>
      <c r="U170" s="2769">
        <f t="shared" si="19"/>
        <v>0</v>
      </c>
      <c r="V170" s="2810" t="str">
        <f t="shared" si="20"/>
        <v xml:space="preserve"> </v>
      </c>
    </row>
    <row r="171" spans="1:22" x14ac:dyDescent="0.25">
      <c r="A171" s="2808" t="s">
        <v>907</v>
      </c>
      <c r="B171" s="2770">
        <v>1520</v>
      </c>
      <c r="C171" s="2766" t="s">
        <v>1940</v>
      </c>
      <c r="D171" s="2766" t="s">
        <v>2754</v>
      </c>
      <c r="E171" s="2766" t="s">
        <v>1946</v>
      </c>
      <c r="F171" s="2766">
        <v>152002</v>
      </c>
      <c r="G171" s="2766" t="s">
        <v>353</v>
      </c>
      <c r="H171" s="2766">
        <f>Dataark_til_bilag3_2018[[#This Row],[Staldkode]]+Dataark_til_bilag3_2018[[#This Row],[Dyrekode]]</f>
        <v>153522</v>
      </c>
      <c r="I171" s="4347">
        <v>0</v>
      </c>
      <c r="J171" s="2766" t="s">
        <v>1941</v>
      </c>
      <c r="K171" s="2766"/>
      <c r="L171" s="2767">
        <v>2.94</v>
      </c>
      <c r="M171" s="2766">
        <f t="shared" si="14"/>
        <v>0</v>
      </c>
      <c r="N171" s="2766">
        <v>5.0000000000000001E-3</v>
      </c>
      <c r="O171" s="2766">
        <f t="shared" si="15"/>
        <v>0</v>
      </c>
      <c r="P171" s="2769">
        <f t="shared" si="16"/>
        <v>0</v>
      </c>
      <c r="Q171" s="2809">
        <v>0.12609999999999999</v>
      </c>
      <c r="R171" s="2769">
        <f t="shared" si="17"/>
        <v>0</v>
      </c>
      <c r="S171" s="2766">
        <v>0.01</v>
      </c>
      <c r="T171" s="2769">
        <f t="shared" si="18"/>
        <v>0</v>
      </c>
      <c r="U171" s="2769">
        <f t="shared" si="19"/>
        <v>0</v>
      </c>
      <c r="V171" s="2810">
        <f t="shared" si="20"/>
        <v>0</v>
      </c>
    </row>
    <row r="172" spans="1:22" x14ac:dyDescent="0.25">
      <c r="A172" s="2770" t="s">
        <v>907</v>
      </c>
      <c r="B172" s="2770">
        <v>1520</v>
      </c>
      <c r="C172" s="2766" t="s">
        <v>1940</v>
      </c>
      <c r="D172" s="2766" t="s">
        <v>2754</v>
      </c>
      <c r="E172" s="2766" t="s">
        <v>2755</v>
      </c>
      <c r="F172" s="2766">
        <v>152003</v>
      </c>
      <c r="G172" s="2766" t="s">
        <v>353</v>
      </c>
      <c r="H172" s="2766">
        <f>Dataark_til_bilag3_2018[[#This Row],[Staldkode]]+Dataark_til_bilag3_2018[[#This Row],[Dyrekode]]</f>
        <v>153523</v>
      </c>
      <c r="I172" s="4347">
        <v>0</v>
      </c>
      <c r="J172" s="2766" t="s">
        <v>1941</v>
      </c>
      <c r="K172" s="2766"/>
      <c r="L172" s="2767">
        <v>2.94</v>
      </c>
      <c r="M172" s="2766">
        <f t="shared" si="14"/>
        <v>0</v>
      </c>
      <c r="N172" s="2766">
        <v>5.0000000000000001E-3</v>
      </c>
      <c r="O172" s="2766">
        <f t="shared" si="15"/>
        <v>0</v>
      </c>
      <c r="P172" s="2769">
        <f t="shared" si="16"/>
        <v>0</v>
      </c>
      <c r="Q172" s="2809">
        <v>0.12609999999999999</v>
      </c>
      <c r="R172" s="2769">
        <f t="shared" si="17"/>
        <v>0</v>
      </c>
      <c r="S172" s="2766">
        <v>0.01</v>
      </c>
      <c r="T172" s="2769">
        <f t="shared" si="18"/>
        <v>0</v>
      </c>
      <c r="U172" s="2769">
        <f t="shared" si="19"/>
        <v>0</v>
      </c>
      <c r="V172" s="2810">
        <f t="shared" si="20"/>
        <v>0</v>
      </c>
    </row>
    <row r="173" spans="1:22" x14ac:dyDescent="0.25">
      <c r="A173" s="2770" t="s">
        <v>907</v>
      </c>
      <c r="B173" s="2770">
        <v>1520</v>
      </c>
      <c r="C173" s="2766" t="s">
        <v>1940</v>
      </c>
      <c r="D173" s="2766" t="s">
        <v>2754</v>
      </c>
      <c r="E173" s="2766" t="s">
        <v>1945</v>
      </c>
      <c r="F173" s="2766">
        <v>152004</v>
      </c>
      <c r="G173" s="2766" t="s">
        <v>353</v>
      </c>
      <c r="H173" s="2766">
        <f>Dataark_til_bilag3_2018[[#This Row],[Staldkode]]+Dataark_til_bilag3_2018[[#This Row],[Dyrekode]]</f>
        <v>153524</v>
      </c>
      <c r="I173" s="4347">
        <v>0</v>
      </c>
      <c r="J173" s="2766" t="s">
        <v>1941</v>
      </c>
      <c r="K173" s="2766"/>
      <c r="L173" s="2767">
        <v>2.94</v>
      </c>
      <c r="M173" s="2766">
        <f t="shared" si="14"/>
        <v>0</v>
      </c>
      <c r="N173" s="2766">
        <v>5.0000000000000001E-3</v>
      </c>
      <c r="O173" s="2766">
        <f t="shared" si="15"/>
        <v>0</v>
      </c>
      <c r="P173" s="2769">
        <f t="shared" si="16"/>
        <v>0</v>
      </c>
      <c r="Q173" s="2809">
        <v>0.12609999999999999</v>
      </c>
      <c r="R173" s="2769">
        <f t="shared" si="17"/>
        <v>0</v>
      </c>
      <c r="S173" s="2766">
        <v>0.01</v>
      </c>
      <c r="T173" s="2769">
        <f t="shared" si="18"/>
        <v>0</v>
      </c>
      <c r="U173" s="2769">
        <f t="shared" si="19"/>
        <v>0</v>
      </c>
      <c r="V173" s="2810">
        <f t="shared" si="20"/>
        <v>0</v>
      </c>
    </row>
    <row r="174" spans="1:22" x14ac:dyDescent="0.25">
      <c r="A174" s="2770" t="s">
        <v>907</v>
      </c>
      <c r="B174" s="2770">
        <v>1520</v>
      </c>
      <c r="C174" s="2766" t="s">
        <v>1940</v>
      </c>
      <c r="D174" s="2766" t="s">
        <v>2754</v>
      </c>
      <c r="E174" s="2766" t="s">
        <v>1944</v>
      </c>
      <c r="F174" s="2766">
        <v>152005</v>
      </c>
      <c r="G174" s="2766" t="s">
        <v>352</v>
      </c>
      <c r="H174" s="2766">
        <f>Dataark_til_bilag3_2018[[#This Row],[Staldkode]]+Dataark_til_bilag3_2018[[#This Row],[Dyrekode]]</f>
        <v>153525</v>
      </c>
      <c r="I174" s="4347">
        <v>0</v>
      </c>
      <c r="J174" s="2766" t="s">
        <v>1903</v>
      </c>
      <c r="K174" s="2766"/>
      <c r="L174" s="2767">
        <v>2.94</v>
      </c>
      <c r="M174" s="2766">
        <f t="shared" si="14"/>
        <v>0</v>
      </c>
      <c r="N174" s="2766">
        <v>5.0000000000000001E-3</v>
      </c>
      <c r="O174" s="2766">
        <f t="shared" si="15"/>
        <v>0</v>
      </c>
      <c r="P174" s="2769">
        <f t="shared" si="16"/>
        <v>0</v>
      </c>
      <c r="Q174" s="2809">
        <v>0.12609999999999999</v>
      </c>
      <c r="R174" s="2769">
        <f t="shared" si="17"/>
        <v>0</v>
      </c>
      <c r="S174" s="2766">
        <v>0.01</v>
      </c>
      <c r="T174" s="2769">
        <f t="shared" si="18"/>
        <v>0</v>
      </c>
      <c r="U174" s="2769">
        <f t="shared" si="19"/>
        <v>0</v>
      </c>
      <c r="V174" s="2810">
        <f t="shared" si="20"/>
        <v>0</v>
      </c>
    </row>
    <row r="175" spans="1:22" x14ac:dyDescent="0.25">
      <c r="A175" s="2770" t="s">
        <v>907</v>
      </c>
      <c r="B175" s="2770">
        <v>1520</v>
      </c>
      <c r="C175" s="2766" t="s">
        <v>1940</v>
      </c>
      <c r="D175" s="2766" t="s">
        <v>2754</v>
      </c>
      <c r="E175" s="2766" t="s">
        <v>1942</v>
      </c>
      <c r="F175" s="2766">
        <v>152006</v>
      </c>
      <c r="G175" s="2766" t="s">
        <v>350</v>
      </c>
      <c r="H175" s="2766">
        <f>Dataark_til_bilag3_2018[[#This Row],[Staldkode]]+Dataark_til_bilag3_2018[[#This Row],[Dyrekode]]</f>
        <v>153526</v>
      </c>
      <c r="I175" s="4347">
        <v>0</v>
      </c>
      <c r="J175" s="2766" t="s">
        <v>1941</v>
      </c>
      <c r="K175" s="2766"/>
      <c r="L175" s="2767">
        <v>2.94</v>
      </c>
      <c r="M175" s="2766">
        <f t="shared" si="14"/>
        <v>0</v>
      </c>
      <c r="N175" s="2766">
        <v>5.0000000000000001E-3</v>
      </c>
      <c r="O175" s="2766">
        <f t="shared" si="15"/>
        <v>0</v>
      </c>
      <c r="P175" s="2769">
        <f t="shared" si="16"/>
        <v>0</v>
      </c>
      <c r="Q175" s="2809">
        <v>0.12609999999999999</v>
      </c>
      <c r="R175" s="2769">
        <f t="shared" si="17"/>
        <v>0</v>
      </c>
      <c r="S175" s="2766">
        <v>0.01</v>
      </c>
      <c r="T175" s="2769">
        <f t="shared" si="18"/>
        <v>0</v>
      </c>
      <c r="U175" s="2769">
        <f t="shared" si="19"/>
        <v>0</v>
      </c>
      <c r="V175" s="2810">
        <f t="shared" si="20"/>
        <v>0</v>
      </c>
    </row>
    <row r="176" spans="1:22" x14ac:dyDescent="0.25">
      <c r="A176" s="2770" t="s">
        <v>907</v>
      </c>
      <c r="B176" s="2770">
        <v>1520</v>
      </c>
      <c r="C176" s="2766" t="s">
        <v>1940</v>
      </c>
      <c r="D176" s="2766" t="s">
        <v>2754</v>
      </c>
      <c r="E176" s="2766" t="s">
        <v>350</v>
      </c>
      <c r="F176" s="2766">
        <v>152007</v>
      </c>
      <c r="G176" s="2766" t="s">
        <v>350</v>
      </c>
      <c r="H176" s="2766">
        <f>Dataark_til_bilag3_2018[[#This Row],[Staldkode]]+Dataark_til_bilag3_2018[[#This Row],[Dyrekode]]</f>
        <v>153527</v>
      </c>
      <c r="I176" s="4347">
        <v>0</v>
      </c>
      <c r="J176" s="2766"/>
      <c r="K176" s="2766" t="s">
        <v>350</v>
      </c>
      <c r="L176" s="2767">
        <v>2.94</v>
      </c>
      <c r="M176" s="2766">
        <f t="shared" si="14"/>
        <v>0</v>
      </c>
      <c r="N176" s="2766">
        <v>7.0000000000000007E-2</v>
      </c>
      <c r="O176" s="2766">
        <f t="shared" si="15"/>
        <v>0</v>
      </c>
      <c r="P176" s="2769">
        <f t="shared" si="16"/>
        <v>0</v>
      </c>
      <c r="Q176" s="2809">
        <v>0.12609999999999999</v>
      </c>
      <c r="R176" s="2769">
        <f t="shared" si="17"/>
        <v>0</v>
      </c>
      <c r="S176" s="2766">
        <v>0.01</v>
      </c>
      <c r="T176" s="2769">
        <f t="shared" si="18"/>
        <v>0</v>
      </c>
      <c r="U176" s="2769">
        <f t="shared" si="19"/>
        <v>0</v>
      </c>
      <c r="V176" s="2810">
        <f t="shared" si="20"/>
        <v>0</v>
      </c>
    </row>
    <row r="177" spans="1:22" x14ac:dyDescent="0.25">
      <c r="A177" s="2770" t="s">
        <v>962</v>
      </c>
      <c r="B177" s="2770">
        <v>2101</v>
      </c>
      <c r="C177" s="2766" t="s">
        <v>1939</v>
      </c>
      <c r="D177" s="2766" t="s">
        <v>335</v>
      </c>
      <c r="E177" s="2766" t="s">
        <v>1938</v>
      </c>
      <c r="F177" s="2766">
        <v>210101</v>
      </c>
      <c r="G177" s="2766" t="s">
        <v>2879</v>
      </c>
      <c r="H177" s="2766">
        <f>Dataark_til_bilag3_2018[[#This Row],[Staldkode]]+Dataark_til_bilag3_2018[[#This Row],[Dyrekode]]</f>
        <v>212202</v>
      </c>
      <c r="I177" s="4347">
        <v>0</v>
      </c>
      <c r="J177" s="2766"/>
      <c r="K177" s="2766" t="s">
        <v>350</v>
      </c>
      <c r="L177" s="2767">
        <f t="shared" ref="L177:L182" si="21">88.9/100</f>
        <v>0.88900000000000001</v>
      </c>
      <c r="M177" s="2766">
        <f t="shared" si="14"/>
        <v>0</v>
      </c>
      <c r="N177" s="2766">
        <v>0.01</v>
      </c>
      <c r="O177" s="2766">
        <f t="shared" si="15"/>
        <v>0</v>
      </c>
      <c r="P177" s="2769">
        <f t="shared" si="16"/>
        <v>0</v>
      </c>
      <c r="Q177" s="2814" t="s">
        <v>1209</v>
      </c>
      <c r="R177" s="2783" t="str">
        <f t="shared" si="17"/>
        <v xml:space="preserve"> </v>
      </c>
      <c r="S177" s="2766">
        <v>0.01</v>
      </c>
      <c r="T177" s="2783" t="str">
        <f t="shared" si="18"/>
        <v xml:space="preserve"> </v>
      </c>
      <c r="U177" s="2783">
        <f t="shared" si="19"/>
        <v>0</v>
      </c>
      <c r="V177" s="2783">
        <f t="shared" si="20"/>
        <v>0</v>
      </c>
    </row>
    <row r="178" spans="1:22" x14ac:dyDescent="0.25">
      <c r="A178" s="2808" t="s">
        <v>962</v>
      </c>
      <c r="B178" s="2770">
        <v>2102</v>
      </c>
      <c r="C178" s="2766" t="s">
        <v>1937</v>
      </c>
      <c r="D178" s="2766" t="s">
        <v>335</v>
      </c>
      <c r="E178" s="2766" t="s">
        <v>1936</v>
      </c>
      <c r="F178" s="2766">
        <v>210201</v>
      </c>
      <c r="G178" s="2766" t="s">
        <v>2879</v>
      </c>
      <c r="H178" s="2766">
        <f>Dataark_til_bilag3_2018[[#This Row],[Staldkode]]+Dataark_til_bilag3_2018[[#This Row],[Dyrekode]]</f>
        <v>212303</v>
      </c>
      <c r="I178" s="4347">
        <v>0</v>
      </c>
      <c r="J178" s="2766"/>
      <c r="K178" s="2766" t="s">
        <v>350</v>
      </c>
      <c r="L178" s="2767">
        <f t="shared" si="21"/>
        <v>0.88900000000000001</v>
      </c>
      <c r="M178" s="2766">
        <f t="shared" si="14"/>
        <v>0</v>
      </c>
      <c r="N178" s="2766">
        <v>0.01</v>
      </c>
      <c r="O178" s="2766">
        <f t="shared" si="15"/>
        <v>0</v>
      </c>
      <c r="P178" s="2769">
        <f t="shared" si="16"/>
        <v>0</v>
      </c>
      <c r="Q178" s="2814" t="s">
        <v>1209</v>
      </c>
      <c r="R178" s="2783" t="str">
        <f t="shared" si="17"/>
        <v xml:space="preserve"> </v>
      </c>
      <c r="S178" s="2766">
        <v>0.01</v>
      </c>
      <c r="T178" s="2783" t="str">
        <f t="shared" si="18"/>
        <v xml:space="preserve"> </v>
      </c>
      <c r="U178" s="2783">
        <f t="shared" si="19"/>
        <v>0</v>
      </c>
      <c r="V178" s="2783">
        <f t="shared" si="20"/>
        <v>0</v>
      </c>
    </row>
    <row r="179" spans="1:22" x14ac:dyDescent="0.25">
      <c r="A179" s="2808" t="s">
        <v>962</v>
      </c>
      <c r="B179" s="2770">
        <v>2103</v>
      </c>
      <c r="C179" s="2766" t="s">
        <v>1935</v>
      </c>
      <c r="D179" s="2766" t="s">
        <v>335</v>
      </c>
      <c r="E179" s="2766" t="s">
        <v>1934</v>
      </c>
      <c r="F179" s="2766">
        <v>210301</v>
      </c>
      <c r="G179" s="2766" t="s">
        <v>2879</v>
      </c>
      <c r="H179" s="2766">
        <f>Dataark_til_bilag3_2018[[#This Row],[Staldkode]]+Dataark_til_bilag3_2018[[#This Row],[Dyrekode]]</f>
        <v>212404</v>
      </c>
      <c r="I179" s="4347">
        <v>0</v>
      </c>
      <c r="J179" s="2766"/>
      <c r="K179" s="2766" t="s">
        <v>350</v>
      </c>
      <c r="L179" s="2767">
        <f t="shared" si="21"/>
        <v>0.88900000000000001</v>
      </c>
      <c r="M179" s="2766">
        <f t="shared" si="14"/>
        <v>0</v>
      </c>
      <c r="N179" s="2766">
        <v>0.01</v>
      </c>
      <c r="O179" s="2766">
        <f t="shared" si="15"/>
        <v>0</v>
      </c>
      <c r="P179" s="2769">
        <f t="shared" si="16"/>
        <v>0</v>
      </c>
      <c r="Q179" s="2814" t="s">
        <v>1209</v>
      </c>
      <c r="R179" s="2783" t="str">
        <f t="shared" si="17"/>
        <v xml:space="preserve"> </v>
      </c>
      <c r="S179" s="2766">
        <v>0.01</v>
      </c>
      <c r="T179" s="2783" t="str">
        <f t="shared" si="18"/>
        <v xml:space="preserve"> </v>
      </c>
      <c r="U179" s="2783">
        <f t="shared" si="19"/>
        <v>0</v>
      </c>
      <c r="V179" s="2783">
        <f t="shared" si="20"/>
        <v>0</v>
      </c>
    </row>
    <row r="180" spans="1:22" x14ac:dyDescent="0.25">
      <c r="A180" s="2770" t="s">
        <v>962</v>
      </c>
      <c r="B180" s="2770">
        <v>2104</v>
      </c>
      <c r="C180" s="2766" t="s">
        <v>1933</v>
      </c>
      <c r="D180" s="2766" t="s">
        <v>335</v>
      </c>
      <c r="E180" s="2766" t="s">
        <v>1932</v>
      </c>
      <c r="F180" s="2766">
        <v>210401</v>
      </c>
      <c r="G180" s="2766" t="s">
        <v>2879</v>
      </c>
      <c r="H180" s="2766">
        <f>Dataark_til_bilag3_2018[[#This Row],[Staldkode]]+Dataark_til_bilag3_2018[[#This Row],[Dyrekode]]</f>
        <v>212505</v>
      </c>
      <c r="I180" s="4347">
        <v>0</v>
      </c>
      <c r="J180" s="2766"/>
      <c r="K180" s="2766" t="s">
        <v>350</v>
      </c>
      <c r="L180" s="2767">
        <f t="shared" si="21"/>
        <v>0.88900000000000001</v>
      </c>
      <c r="M180" s="2766">
        <f t="shared" si="14"/>
        <v>0</v>
      </c>
      <c r="N180" s="2766">
        <v>0.01</v>
      </c>
      <c r="O180" s="2766">
        <f t="shared" si="15"/>
        <v>0</v>
      </c>
      <c r="P180" s="2769">
        <f t="shared" si="16"/>
        <v>0</v>
      </c>
      <c r="Q180" s="2814" t="s">
        <v>1209</v>
      </c>
      <c r="R180" s="2783" t="str">
        <f t="shared" si="17"/>
        <v xml:space="preserve"> </v>
      </c>
      <c r="S180" s="2766">
        <v>0.01</v>
      </c>
      <c r="T180" s="2783" t="str">
        <f t="shared" si="18"/>
        <v xml:space="preserve"> </v>
      </c>
      <c r="U180" s="2783">
        <f t="shared" si="19"/>
        <v>0</v>
      </c>
      <c r="V180" s="2783">
        <f t="shared" si="20"/>
        <v>0</v>
      </c>
    </row>
    <row r="181" spans="1:22" x14ac:dyDescent="0.25">
      <c r="A181" s="2808" t="s">
        <v>962</v>
      </c>
      <c r="B181" s="2770">
        <v>2105</v>
      </c>
      <c r="C181" s="2766" t="s">
        <v>1931</v>
      </c>
      <c r="D181" s="2766" t="s">
        <v>335</v>
      </c>
      <c r="E181" s="2766" t="s">
        <v>1930</v>
      </c>
      <c r="F181" s="2766">
        <v>210501</v>
      </c>
      <c r="G181" s="2766" t="s">
        <v>2879</v>
      </c>
      <c r="H181" s="2766">
        <f>Dataark_til_bilag3_2018[[#This Row],[Staldkode]]+Dataark_til_bilag3_2018[[#This Row],[Dyrekode]]</f>
        <v>212606</v>
      </c>
      <c r="I181" s="4347">
        <v>0</v>
      </c>
      <c r="J181" s="2766"/>
      <c r="K181" s="2766" t="s">
        <v>350</v>
      </c>
      <c r="L181" s="2767">
        <f t="shared" si="21"/>
        <v>0.88900000000000001</v>
      </c>
      <c r="M181" s="2766">
        <f t="shared" si="14"/>
        <v>0</v>
      </c>
      <c r="N181" s="2766">
        <v>0.01</v>
      </c>
      <c r="O181" s="2766">
        <f t="shared" si="15"/>
        <v>0</v>
      </c>
      <c r="P181" s="2769">
        <f t="shared" si="16"/>
        <v>0</v>
      </c>
      <c r="Q181" s="2814" t="s">
        <v>1209</v>
      </c>
      <c r="R181" s="2783" t="str">
        <f t="shared" si="17"/>
        <v xml:space="preserve"> </v>
      </c>
      <c r="S181" s="2766">
        <v>0.01</v>
      </c>
      <c r="T181" s="2783" t="str">
        <f t="shared" si="18"/>
        <v xml:space="preserve"> </v>
      </c>
      <c r="U181" s="2783">
        <f t="shared" si="19"/>
        <v>0</v>
      </c>
      <c r="V181" s="2783">
        <f t="shared" si="20"/>
        <v>0</v>
      </c>
    </row>
    <row r="182" spans="1:22" x14ac:dyDescent="0.25">
      <c r="A182" s="2808" t="s">
        <v>962</v>
      </c>
      <c r="B182" s="2770">
        <v>2106</v>
      </c>
      <c r="C182" s="2766" t="s">
        <v>1929</v>
      </c>
      <c r="D182" s="2766" t="s">
        <v>335</v>
      </c>
      <c r="E182" s="2766" t="s">
        <v>1928</v>
      </c>
      <c r="F182" s="2766">
        <v>210601</v>
      </c>
      <c r="G182" s="2766" t="s">
        <v>2879</v>
      </c>
      <c r="H182" s="2766">
        <f>Dataark_til_bilag3_2018[[#This Row],[Staldkode]]+Dataark_til_bilag3_2018[[#This Row],[Dyrekode]]</f>
        <v>212707</v>
      </c>
      <c r="I182" s="4347">
        <v>0</v>
      </c>
      <c r="J182" s="2766"/>
      <c r="K182" s="2766" t="s">
        <v>350</v>
      </c>
      <c r="L182" s="2767">
        <f t="shared" si="21"/>
        <v>0.88900000000000001</v>
      </c>
      <c r="M182" s="2766">
        <f t="shared" si="14"/>
        <v>0</v>
      </c>
      <c r="N182" s="2766">
        <v>0.01</v>
      </c>
      <c r="O182" s="2766">
        <f t="shared" si="15"/>
        <v>0</v>
      </c>
      <c r="P182" s="2769">
        <f t="shared" si="16"/>
        <v>0</v>
      </c>
      <c r="Q182" s="2814" t="s">
        <v>1209</v>
      </c>
      <c r="R182" s="2783" t="str">
        <f t="shared" si="17"/>
        <v xml:space="preserve"> </v>
      </c>
      <c r="S182" s="2766">
        <v>0.01</v>
      </c>
      <c r="T182" s="2783" t="str">
        <f t="shared" si="18"/>
        <v xml:space="preserve"> </v>
      </c>
      <c r="U182" s="2783">
        <f t="shared" si="19"/>
        <v>0</v>
      </c>
      <c r="V182" s="2783">
        <f t="shared" si="20"/>
        <v>0</v>
      </c>
    </row>
    <row r="183" spans="1:22" x14ac:dyDescent="0.25">
      <c r="A183" s="2808" t="s">
        <v>625</v>
      </c>
      <c r="B183" s="2770">
        <v>2400</v>
      </c>
      <c r="C183" s="2766" t="s">
        <v>2750</v>
      </c>
      <c r="D183" s="2766" t="s">
        <v>337</v>
      </c>
      <c r="E183" s="2766" t="s">
        <v>2749</v>
      </c>
      <c r="F183" s="2766">
        <v>240001</v>
      </c>
      <c r="G183" s="2766" t="s">
        <v>2879</v>
      </c>
      <c r="H183" s="2766">
        <f>Dataark_til_bilag3_2018[[#This Row],[Staldkode]]+Dataark_til_bilag3_2018[[#This Row],[Dyrekode]]</f>
        <v>242401</v>
      </c>
      <c r="I183" s="4347">
        <v>28565.51</v>
      </c>
      <c r="J183" s="2766" t="s">
        <v>1926</v>
      </c>
      <c r="K183" s="2766" t="s">
        <v>350</v>
      </c>
      <c r="L183" s="2767">
        <v>5.97</v>
      </c>
      <c r="M183" s="2766">
        <f t="shared" si="14"/>
        <v>170536.09469999999</v>
      </c>
      <c r="N183" s="2766">
        <v>5.0000000000000001E-3</v>
      </c>
      <c r="O183" s="2766">
        <f t="shared" si="15"/>
        <v>852.68047349999995</v>
      </c>
      <c r="P183" s="2769">
        <f t="shared" si="16"/>
        <v>1339.9264583571428</v>
      </c>
      <c r="Q183" s="2814" t="s">
        <v>1209</v>
      </c>
      <c r="R183" s="2783" t="str">
        <f t="shared" si="17"/>
        <v xml:space="preserve"> </v>
      </c>
      <c r="S183" s="2766">
        <v>0.01</v>
      </c>
      <c r="T183" s="2783" t="str">
        <f t="shared" si="18"/>
        <v xml:space="preserve"> </v>
      </c>
      <c r="U183" s="2783">
        <f t="shared" si="19"/>
        <v>0</v>
      </c>
      <c r="V183" s="2783">
        <f t="shared" si="20"/>
        <v>1.3399264583571429</v>
      </c>
    </row>
    <row r="184" spans="1:22" x14ac:dyDescent="0.25">
      <c r="A184" s="2808" t="s">
        <v>625</v>
      </c>
      <c r="B184" s="2770">
        <v>2400</v>
      </c>
      <c r="C184" s="2766" t="s">
        <v>2750</v>
      </c>
      <c r="D184" s="2766" t="s">
        <v>337</v>
      </c>
      <c r="E184" s="2766" t="s">
        <v>2789</v>
      </c>
      <c r="F184" s="2766">
        <v>240003</v>
      </c>
      <c r="G184" s="2766" t="s">
        <v>2879</v>
      </c>
      <c r="H184" s="2766">
        <f>Dataark_til_bilag3_2018[[#This Row],[Staldkode]]+Dataark_til_bilag3_2018[[#This Row],[Dyrekode]]</f>
        <v>242403</v>
      </c>
      <c r="I184" s="4347">
        <v>0</v>
      </c>
      <c r="J184" s="2766" t="s">
        <v>1924</v>
      </c>
      <c r="K184" s="2766"/>
      <c r="L184" s="2767">
        <v>5.97</v>
      </c>
      <c r="M184" s="2766">
        <f t="shared" si="14"/>
        <v>0</v>
      </c>
      <c r="N184" s="2766">
        <v>0.01</v>
      </c>
      <c r="O184" s="2766">
        <f t="shared" si="15"/>
        <v>0</v>
      </c>
      <c r="P184" s="2769">
        <f t="shared" si="16"/>
        <v>0</v>
      </c>
      <c r="Q184" s="2814" t="s">
        <v>1209</v>
      </c>
      <c r="R184" s="2783" t="str">
        <f t="shared" si="17"/>
        <v xml:space="preserve"> </v>
      </c>
      <c r="S184" s="2766">
        <v>0.01</v>
      </c>
      <c r="T184" s="2783" t="str">
        <f t="shared" si="18"/>
        <v xml:space="preserve"> </v>
      </c>
      <c r="U184" s="2783">
        <f t="shared" si="19"/>
        <v>0</v>
      </c>
      <c r="V184" s="2783">
        <f t="shared" si="20"/>
        <v>0</v>
      </c>
    </row>
    <row r="185" spans="1:22" x14ac:dyDescent="0.25">
      <c r="A185" s="2811" t="s">
        <v>2788</v>
      </c>
      <c r="B185" s="2771">
        <v>2501</v>
      </c>
      <c r="C185" s="2772" t="s">
        <v>1923</v>
      </c>
      <c r="D185" s="2772" t="s">
        <v>337</v>
      </c>
      <c r="E185" s="2772" t="s">
        <v>2787</v>
      </c>
      <c r="F185" s="2772">
        <v>240101</v>
      </c>
      <c r="G185" s="2772" t="s">
        <v>2879</v>
      </c>
      <c r="H185" s="2772">
        <f>Dataark_til_bilag3_2018[[#This Row],[Staldkode]]+Dataark_til_bilag3_2018[[#This Row],[Dyrekode]]</f>
        <v>242602</v>
      </c>
      <c r="I185" s="4347" t="s">
        <v>270</v>
      </c>
      <c r="J185" s="2772"/>
      <c r="K185" s="2766" t="s">
        <v>350</v>
      </c>
      <c r="L185" s="2767">
        <f>88.9/100</f>
        <v>0.88900000000000001</v>
      </c>
      <c r="M185" s="2766" t="str">
        <f t="shared" si="14"/>
        <v xml:space="preserve"> </v>
      </c>
      <c r="N185" s="2766">
        <v>0.01</v>
      </c>
      <c r="O185" s="2766" t="str">
        <f t="shared" si="15"/>
        <v xml:space="preserve"> </v>
      </c>
      <c r="P185" s="2769" t="str">
        <f t="shared" si="16"/>
        <v xml:space="preserve"> </v>
      </c>
      <c r="Q185" s="2812" t="s">
        <v>1209</v>
      </c>
      <c r="R185" s="2783" t="str">
        <f t="shared" si="17"/>
        <v xml:space="preserve"> </v>
      </c>
      <c r="S185" s="2766">
        <v>0.01</v>
      </c>
      <c r="T185" s="2783" t="str">
        <f t="shared" si="18"/>
        <v xml:space="preserve"> </v>
      </c>
      <c r="U185" s="2783">
        <f t="shared" si="19"/>
        <v>0</v>
      </c>
      <c r="V185" s="2783" t="str">
        <f t="shared" si="20"/>
        <v xml:space="preserve"> </v>
      </c>
    </row>
    <row r="186" spans="1:22" x14ac:dyDescent="0.25">
      <c r="A186" s="2808" t="s">
        <v>1900</v>
      </c>
      <c r="B186" s="2770">
        <v>3101</v>
      </c>
      <c r="C186" s="2766" t="s">
        <v>2746</v>
      </c>
      <c r="D186" s="2766" t="s">
        <v>331</v>
      </c>
      <c r="E186" s="2766" t="s">
        <v>2763</v>
      </c>
      <c r="F186" s="2766">
        <v>310101</v>
      </c>
      <c r="G186" s="2776" t="s">
        <v>351</v>
      </c>
      <c r="H186" s="2766">
        <f>Dataark_til_bilag3_2018[[#This Row],[Staldkode]]+Dataark_til_bilag3_2018[[#This Row],[Dyrekode]]</f>
        <v>313202</v>
      </c>
      <c r="I186" s="4347">
        <v>0</v>
      </c>
      <c r="J186" s="2766" t="s">
        <v>1903</v>
      </c>
      <c r="K186" s="2766"/>
      <c r="L186" s="2767">
        <f>80.1/100</f>
        <v>0.80099999999999993</v>
      </c>
      <c r="M186" s="2766">
        <f t="shared" si="14"/>
        <v>0</v>
      </c>
      <c r="N186" s="2766">
        <v>1E-3</v>
      </c>
      <c r="O186" s="2766">
        <f t="shared" si="15"/>
        <v>0</v>
      </c>
      <c r="P186" s="2769">
        <f t="shared" si="16"/>
        <v>0</v>
      </c>
      <c r="Q186" s="2809">
        <v>0.33360000000000001</v>
      </c>
      <c r="R186" s="2769">
        <f t="shared" si="17"/>
        <v>0</v>
      </c>
      <c r="S186" s="2766">
        <v>0.01</v>
      </c>
      <c r="T186" s="2769">
        <f t="shared" si="18"/>
        <v>0</v>
      </c>
      <c r="U186" s="2769">
        <f t="shared" si="19"/>
        <v>0</v>
      </c>
      <c r="V186" s="2810">
        <f t="shared" si="20"/>
        <v>0</v>
      </c>
    </row>
    <row r="187" spans="1:22" x14ac:dyDescent="0.25">
      <c r="A187" s="2808" t="s">
        <v>1900</v>
      </c>
      <c r="B187" s="2770">
        <v>3101</v>
      </c>
      <c r="C187" s="2766" t="s">
        <v>2746</v>
      </c>
      <c r="D187" s="2766" t="s">
        <v>331</v>
      </c>
      <c r="E187" s="2766" t="s">
        <v>2786</v>
      </c>
      <c r="F187" s="2766">
        <v>310102</v>
      </c>
      <c r="G187" s="2776" t="s">
        <v>351</v>
      </c>
      <c r="H187" s="2766">
        <f>Dataark_til_bilag3_2018[[#This Row],[Staldkode]]+Dataark_til_bilag3_2018[[#This Row],[Dyrekode]]</f>
        <v>313203</v>
      </c>
      <c r="I187" s="4347">
        <v>0</v>
      </c>
      <c r="J187" s="2766"/>
      <c r="K187" s="2766" t="s">
        <v>350</v>
      </c>
      <c r="L187" s="2767">
        <f>80.1/100</f>
        <v>0.80099999999999993</v>
      </c>
      <c r="M187" s="2766">
        <f t="shared" si="14"/>
        <v>0</v>
      </c>
      <c r="N187" s="2766">
        <v>1E-3</v>
      </c>
      <c r="O187" s="2766">
        <f t="shared" si="15"/>
        <v>0</v>
      </c>
      <c r="P187" s="2769">
        <f t="shared" si="16"/>
        <v>0</v>
      </c>
      <c r="Q187" s="2809">
        <v>0.33360000000000001</v>
      </c>
      <c r="R187" s="2769">
        <f t="shared" si="17"/>
        <v>0</v>
      </c>
      <c r="S187" s="2766">
        <v>0.01</v>
      </c>
      <c r="T187" s="2769">
        <f t="shared" si="18"/>
        <v>0</v>
      </c>
      <c r="U187" s="2769">
        <f t="shared" si="19"/>
        <v>0</v>
      </c>
      <c r="V187" s="2810">
        <f t="shared" si="20"/>
        <v>0</v>
      </c>
    </row>
    <row r="188" spans="1:22" x14ac:dyDescent="0.25">
      <c r="A188" s="2808" t="s">
        <v>1900</v>
      </c>
      <c r="B188" s="2770">
        <v>3101</v>
      </c>
      <c r="C188" s="2766" t="s">
        <v>2746</v>
      </c>
      <c r="D188" s="2766" t="s">
        <v>331</v>
      </c>
      <c r="E188" s="2766" t="s">
        <v>1920</v>
      </c>
      <c r="F188" s="2766">
        <v>310103</v>
      </c>
      <c r="G188" s="2776" t="s">
        <v>351</v>
      </c>
      <c r="H188" s="2766">
        <f>Dataark_til_bilag3_2018[[#This Row],[Staldkode]]+Dataark_til_bilag3_2018[[#This Row],[Dyrekode]]</f>
        <v>313204</v>
      </c>
      <c r="I188" s="4347">
        <v>0</v>
      </c>
      <c r="J188" s="2766" t="s">
        <v>1903</v>
      </c>
      <c r="K188" s="2766"/>
      <c r="L188" s="2767">
        <f>80.1/100</f>
        <v>0.80099999999999993</v>
      </c>
      <c r="M188" s="2766">
        <f t="shared" si="14"/>
        <v>0</v>
      </c>
      <c r="N188" s="2766">
        <v>1E-3</v>
      </c>
      <c r="O188" s="2766">
        <f t="shared" si="15"/>
        <v>0</v>
      </c>
      <c r="P188" s="2769">
        <f t="shared" si="16"/>
        <v>0</v>
      </c>
      <c r="Q188" s="2809">
        <v>0.33360000000000001</v>
      </c>
      <c r="R188" s="2769">
        <f t="shared" si="17"/>
        <v>0</v>
      </c>
      <c r="S188" s="2766">
        <v>0.01</v>
      </c>
      <c r="T188" s="2769">
        <f t="shared" si="18"/>
        <v>0</v>
      </c>
      <c r="U188" s="2769">
        <f t="shared" si="19"/>
        <v>0</v>
      </c>
      <c r="V188" s="2810">
        <f t="shared" si="20"/>
        <v>0</v>
      </c>
    </row>
    <row r="189" spans="1:22" x14ac:dyDescent="0.25">
      <c r="A189" s="2808" t="s">
        <v>1900</v>
      </c>
      <c r="B189" s="2770">
        <v>3102</v>
      </c>
      <c r="C189" s="2766" t="s">
        <v>2744</v>
      </c>
      <c r="D189" s="2766" t="s">
        <v>331</v>
      </c>
      <c r="E189" s="2766" t="s">
        <v>1917</v>
      </c>
      <c r="F189" s="2766">
        <v>310201</v>
      </c>
      <c r="G189" s="2766" t="s">
        <v>2879</v>
      </c>
      <c r="H189" s="2766">
        <f>Dataark_til_bilag3_2018[[#This Row],[Staldkode]]+Dataark_til_bilag3_2018[[#This Row],[Dyrekode]]</f>
        <v>313303</v>
      </c>
      <c r="I189" s="4347">
        <v>0</v>
      </c>
      <c r="J189" s="2766" t="s">
        <v>1903</v>
      </c>
      <c r="K189" s="2766"/>
      <c r="L189" s="2767">
        <f>90.3/100</f>
        <v>0.90300000000000002</v>
      </c>
      <c r="M189" s="2766">
        <f t="shared" si="14"/>
        <v>0</v>
      </c>
      <c r="N189" s="2766">
        <v>1E-3</v>
      </c>
      <c r="O189" s="2766">
        <f t="shared" si="15"/>
        <v>0</v>
      </c>
      <c r="P189" s="2769">
        <f t="shared" si="16"/>
        <v>0</v>
      </c>
      <c r="Q189" s="2809">
        <v>0.33360000000000001</v>
      </c>
      <c r="R189" s="2769">
        <f t="shared" si="17"/>
        <v>0</v>
      </c>
      <c r="S189" s="2766">
        <v>0.01</v>
      </c>
      <c r="T189" s="2769">
        <f t="shared" si="18"/>
        <v>0</v>
      </c>
      <c r="U189" s="2769">
        <f t="shared" si="19"/>
        <v>0</v>
      </c>
      <c r="V189" s="2810">
        <f t="shared" si="20"/>
        <v>0</v>
      </c>
    </row>
    <row r="190" spans="1:22" x14ac:dyDescent="0.25">
      <c r="A190" s="2808" t="s">
        <v>1900</v>
      </c>
      <c r="B190" s="2770">
        <v>3102</v>
      </c>
      <c r="C190" s="2766" t="s">
        <v>2744</v>
      </c>
      <c r="D190" s="2766" t="s">
        <v>331</v>
      </c>
      <c r="E190" s="2766" t="s">
        <v>1916</v>
      </c>
      <c r="F190" s="2766">
        <v>310202</v>
      </c>
      <c r="G190" s="2766" t="s">
        <v>2879</v>
      </c>
      <c r="H190" s="2766">
        <f>Dataark_til_bilag3_2018[[#This Row],[Staldkode]]+Dataark_til_bilag3_2018[[#This Row],[Dyrekode]]</f>
        <v>313304</v>
      </c>
      <c r="I190" s="4347">
        <v>0</v>
      </c>
      <c r="J190" s="2766" t="s">
        <v>1903</v>
      </c>
      <c r="K190" s="2766"/>
      <c r="L190" s="2767">
        <f>90.3/100</f>
        <v>0.90300000000000002</v>
      </c>
      <c r="M190" s="2766">
        <f t="shared" si="14"/>
        <v>0</v>
      </c>
      <c r="N190" s="2766">
        <v>1E-3</v>
      </c>
      <c r="O190" s="2766">
        <f t="shared" si="15"/>
        <v>0</v>
      </c>
      <c r="P190" s="2769">
        <f t="shared" si="16"/>
        <v>0</v>
      </c>
      <c r="Q190" s="2809">
        <v>0.33360000000000001</v>
      </c>
      <c r="R190" s="2769">
        <f t="shared" si="17"/>
        <v>0</v>
      </c>
      <c r="S190" s="2766">
        <v>0.01</v>
      </c>
      <c r="T190" s="2769">
        <f t="shared" si="18"/>
        <v>0</v>
      </c>
      <c r="U190" s="2769">
        <f t="shared" si="19"/>
        <v>0</v>
      </c>
      <c r="V190" s="2810">
        <f t="shared" si="20"/>
        <v>0</v>
      </c>
    </row>
    <row r="191" spans="1:22" x14ac:dyDescent="0.25">
      <c r="A191" s="2808" t="s">
        <v>1900</v>
      </c>
      <c r="B191" s="2770">
        <v>3103</v>
      </c>
      <c r="C191" s="2766" t="s">
        <v>2762</v>
      </c>
      <c r="D191" s="2766" t="s">
        <v>331</v>
      </c>
      <c r="E191" s="2766" t="s">
        <v>1913</v>
      </c>
      <c r="F191" s="2766">
        <v>310301</v>
      </c>
      <c r="G191" s="2766" t="s">
        <v>2879</v>
      </c>
      <c r="H191" s="2766">
        <f>Dataark_til_bilag3_2018[[#This Row],[Staldkode]]+Dataark_til_bilag3_2018[[#This Row],[Dyrekode]]</f>
        <v>313404</v>
      </c>
      <c r="I191" s="4347">
        <v>0</v>
      </c>
      <c r="J191" s="2766" t="s">
        <v>1903</v>
      </c>
      <c r="K191" s="2766" t="s">
        <v>350</v>
      </c>
      <c r="L191" s="2767">
        <f>77.7/100</f>
        <v>0.77700000000000002</v>
      </c>
      <c r="M191" s="2766">
        <f t="shared" si="14"/>
        <v>0</v>
      </c>
      <c r="N191" s="2766">
        <v>1E-3</v>
      </c>
      <c r="O191" s="2766">
        <f t="shared" si="15"/>
        <v>0</v>
      </c>
      <c r="P191" s="2769">
        <f t="shared" si="16"/>
        <v>0</v>
      </c>
      <c r="Q191" s="2809">
        <v>0.33360000000000001</v>
      </c>
      <c r="R191" s="2769">
        <f t="shared" si="17"/>
        <v>0</v>
      </c>
      <c r="S191" s="2766">
        <v>0.01</v>
      </c>
      <c r="T191" s="2769">
        <f t="shared" si="18"/>
        <v>0</v>
      </c>
      <c r="U191" s="2769">
        <f t="shared" si="19"/>
        <v>0</v>
      </c>
      <c r="V191" s="2810">
        <f t="shared" si="20"/>
        <v>0</v>
      </c>
    </row>
    <row r="192" spans="1:22" x14ac:dyDescent="0.25">
      <c r="A192" s="2770" t="s">
        <v>1900</v>
      </c>
      <c r="B192" s="2770">
        <v>3103</v>
      </c>
      <c r="C192" s="2766" t="s">
        <v>2762</v>
      </c>
      <c r="D192" s="2766" t="s">
        <v>331</v>
      </c>
      <c r="E192" s="2766" t="s">
        <v>1912</v>
      </c>
      <c r="F192" s="2766">
        <v>310302</v>
      </c>
      <c r="G192" s="2766" t="s">
        <v>2879</v>
      </c>
      <c r="H192" s="2766">
        <f>Dataark_til_bilag3_2018[[#This Row],[Staldkode]]+Dataark_til_bilag3_2018[[#This Row],[Dyrekode]]</f>
        <v>313405</v>
      </c>
      <c r="I192" s="4347">
        <v>0</v>
      </c>
      <c r="J192" s="2766" t="s">
        <v>1903</v>
      </c>
      <c r="K192" s="2766"/>
      <c r="L192" s="2767">
        <f>77.7/100</f>
        <v>0.77700000000000002</v>
      </c>
      <c r="M192" s="2766">
        <f t="shared" si="14"/>
        <v>0</v>
      </c>
      <c r="N192" s="2766">
        <v>1E-3</v>
      </c>
      <c r="O192" s="2766">
        <f t="shared" si="15"/>
        <v>0</v>
      </c>
      <c r="P192" s="2769">
        <f t="shared" si="16"/>
        <v>0</v>
      </c>
      <c r="Q192" s="2809">
        <v>0.33360000000000001</v>
      </c>
      <c r="R192" s="2769">
        <f t="shared" si="17"/>
        <v>0</v>
      </c>
      <c r="S192" s="2766">
        <v>0.01</v>
      </c>
      <c r="T192" s="2769">
        <f t="shared" si="18"/>
        <v>0</v>
      </c>
      <c r="U192" s="2769">
        <f t="shared" si="19"/>
        <v>0</v>
      </c>
      <c r="V192" s="2810">
        <f t="shared" si="20"/>
        <v>0</v>
      </c>
    </row>
    <row r="193" spans="1:22" x14ac:dyDescent="0.25">
      <c r="A193" s="2770" t="s">
        <v>1900</v>
      </c>
      <c r="B193" s="2770">
        <v>3104</v>
      </c>
      <c r="C193" s="2766" t="s">
        <v>2785</v>
      </c>
      <c r="D193" s="2766" t="s">
        <v>331</v>
      </c>
      <c r="E193" s="2766" t="s">
        <v>1909</v>
      </c>
      <c r="F193" s="2766">
        <v>310402</v>
      </c>
      <c r="G193" s="2766" t="s">
        <v>2879</v>
      </c>
      <c r="H193" s="2766">
        <f>Dataark_til_bilag3_2018[[#This Row],[Staldkode]]+Dataark_til_bilag3_2018[[#This Row],[Dyrekode]]</f>
        <v>313506</v>
      </c>
      <c r="I193" s="4347">
        <v>0</v>
      </c>
      <c r="J193" s="2766" t="s">
        <v>1903</v>
      </c>
      <c r="K193" s="2766"/>
      <c r="L193" s="2767">
        <f>67.9/100</f>
        <v>0.67900000000000005</v>
      </c>
      <c r="M193" s="2766">
        <f t="shared" si="14"/>
        <v>0</v>
      </c>
      <c r="N193" s="2766">
        <v>1E-3</v>
      </c>
      <c r="O193" s="2766">
        <f t="shared" si="15"/>
        <v>0</v>
      </c>
      <c r="P193" s="2769">
        <f t="shared" si="16"/>
        <v>0</v>
      </c>
      <c r="Q193" s="2809">
        <v>0.33360000000000001</v>
      </c>
      <c r="R193" s="2769">
        <f t="shared" si="17"/>
        <v>0</v>
      </c>
      <c r="S193" s="2766">
        <v>0.01</v>
      </c>
      <c r="T193" s="2769">
        <f t="shared" si="18"/>
        <v>0</v>
      </c>
      <c r="U193" s="2769">
        <f t="shared" si="19"/>
        <v>0</v>
      </c>
      <c r="V193" s="2810">
        <f t="shared" si="20"/>
        <v>0</v>
      </c>
    </row>
    <row r="194" spans="1:22" x14ac:dyDescent="0.25">
      <c r="A194" s="2770" t="s">
        <v>1900</v>
      </c>
      <c r="B194" s="2770">
        <v>3104</v>
      </c>
      <c r="C194" s="2766" t="s">
        <v>2785</v>
      </c>
      <c r="D194" s="2766" t="s">
        <v>331</v>
      </c>
      <c r="E194" s="2766" t="s">
        <v>1907</v>
      </c>
      <c r="F194" s="2766">
        <v>310403</v>
      </c>
      <c r="G194" s="2766" t="s">
        <v>2879</v>
      </c>
      <c r="H194" s="2766">
        <f>Dataark_til_bilag3_2018[[#This Row],[Staldkode]]+Dataark_til_bilag3_2018[[#This Row],[Dyrekode]]</f>
        <v>313507</v>
      </c>
      <c r="I194" s="4347">
        <v>0</v>
      </c>
      <c r="J194" s="2766" t="s">
        <v>1906</v>
      </c>
      <c r="K194" s="2766"/>
      <c r="L194" s="2767">
        <f>67.9/100</f>
        <v>0.67900000000000005</v>
      </c>
      <c r="M194" s="2766">
        <f t="shared" si="14"/>
        <v>0</v>
      </c>
      <c r="N194" s="2766">
        <v>1E-3</v>
      </c>
      <c r="O194" s="2766">
        <f t="shared" si="15"/>
        <v>0</v>
      </c>
      <c r="P194" s="2769">
        <f t="shared" si="16"/>
        <v>0</v>
      </c>
      <c r="Q194" s="2809">
        <v>0.33360000000000001</v>
      </c>
      <c r="R194" s="2769">
        <f t="shared" si="17"/>
        <v>0</v>
      </c>
      <c r="S194" s="2766">
        <v>0.01</v>
      </c>
      <c r="T194" s="2769">
        <f t="shared" si="18"/>
        <v>0</v>
      </c>
      <c r="U194" s="2769">
        <f t="shared" si="19"/>
        <v>0</v>
      </c>
      <c r="V194" s="2810">
        <f t="shared" si="20"/>
        <v>0</v>
      </c>
    </row>
    <row r="195" spans="1:22" x14ac:dyDescent="0.25">
      <c r="A195" s="2808" t="s">
        <v>1900</v>
      </c>
      <c r="B195" s="2770">
        <v>3105</v>
      </c>
      <c r="C195" s="2766" t="s">
        <v>2773</v>
      </c>
      <c r="D195" s="2766" t="s">
        <v>331</v>
      </c>
      <c r="E195" s="2766" t="s">
        <v>1879</v>
      </c>
      <c r="F195" s="2766">
        <v>310501</v>
      </c>
      <c r="G195" s="2766" t="s">
        <v>2879</v>
      </c>
      <c r="H195" s="2766">
        <f>Dataark_til_bilag3_2018[[#This Row],[Staldkode]]+Dataark_til_bilag3_2018[[#This Row],[Dyrekode]]</f>
        <v>313606</v>
      </c>
      <c r="I195" s="4347">
        <v>0</v>
      </c>
      <c r="J195" s="2766"/>
      <c r="K195" s="2766" t="s">
        <v>350</v>
      </c>
      <c r="L195" s="2767">
        <f>88.9/100</f>
        <v>0.88900000000000001</v>
      </c>
      <c r="M195" s="2766">
        <f t="shared" si="14"/>
        <v>0</v>
      </c>
      <c r="N195" s="2766">
        <v>1E-3</v>
      </c>
      <c r="O195" s="2766">
        <f t="shared" si="15"/>
        <v>0</v>
      </c>
      <c r="P195" s="2769">
        <f t="shared" si="16"/>
        <v>0</v>
      </c>
      <c r="Q195" s="2809">
        <v>0.33360000000000001</v>
      </c>
      <c r="R195" s="2769">
        <f t="shared" si="17"/>
        <v>0</v>
      </c>
      <c r="S195" s="2766">
        <v>0.01</v>
      </c>
      <c r="T195" s="2769">
        <f t="shared" si="18"/>
        <v>0</v>
      </c>
      <c r="U195" s="2769">
        <f t="shared" si="19"/>
        <v>0</v>
      </c>
      <c r="V195" s="2810">
        <f t="shared" si="20"/>
        <v>0</v>
      </c>
    </row>
    <row r="196" spans="1:22" x14ac:dyDescent="0.25">
      <c r="A196" s="2808" t="s">
        <v>1900</v>
      </c>
      <c r="B196" s="2770">
        <v>3106</v>
      </c>
      <c r="C196" s="2766" t="s">
        <v>1919</v>
      </c>
      <c r="D196" s="2766" t="s">
        <v>331</v>
      </c>
      <c r="E196" s="2766" t="s">
        <v>1918</v>
      </c>
      <c r="F196" s="2766">
        <v>310601</v>
      </c>
      <c r="G196" s="2776" t="s">
        <v>351</v>
      </c>
      <c r="H196" s="2766">
        <f>Dataark_til_bilag3_2018[[#This Row],[Staldkode]]+Dataark_til_bilag3_2018[[#This Row],[Dyrekode]]</f>
        <v>313707</v>
      </c>
      <c r="I196" s="4347">
        <v>0</v>
      </c>
      <c r="J196" s="2766" t="s">
        <v>1906</v>
      </c>
      <c r="K196" s="2766" t="s">
        <v>350</v>
      </c>
      <c r="L196" s="2767">
        <f>88.9/100</f>
        <v>0.88900000000000001</v>
      </c>
      <c r="M196" s="2766">
        <f t="shared" ref="M196:M227" si="22">IFERROR(I196*L196," ")</f>
        <v>0</v>
      </c>
      <c r="N196" s="2766">
        <v>1E-3</v>
      </c>
      <c r="O196" s="2766">
        <f t="shared" ref="O196:O227" si="23">IFERROR(M196*N196," ")</f>
        <v>0</v>
      </c>
      <c r="P196" s="2769">
        <f t="shared" ref="P196:P227" si="24">IFERROR(O196*44/28," ")</f>
        <v>0</v>
      </c>
      <c r="Q196" s="2809">
        <v>0.33360000000000001</v>
      </c>
      <c r="R196" s="2769">
        <f t="shared" ref="R196:R227" si="25">IFERROR(M196*Q196," ")</f>
        <v>0</v>
      </c>
      <c r="S196" s="2766">
        <v>0.01</v>
      </c>
      <c r="T196" s="2783">
        <f t="shared" ref="T196:T227" si="26">IFERROR(R196*S196," ")</f>
        <v>0</v>
      </c>
      <c r="U196" s="2783">
        <f t="shared" si="19"/>
        <v>0</v>
      </c>
      <c r="V196" s="2783">
        <f t="shared" ref="V196:V227" si="27">IFERROR((P196+U196)/1000," ")</f>
        <v>0</v>
      </c>
    </row>
    <row r="197" spans="1:22" x14ac:dyDescent="0.25">
      <c r="A197" s="2770" t="s">
        <v>1900</v>
      </c>
      <c r="B197" s="2766">
        <v>3107</v>
      </c>
      <c r="C197" s="2766" t="s">
        <v>2888</v>
      </c>
      <c r="D197" s="2766" t="s">
        <v>331</v>
      </c>
      <c r="E197" s="2766" t="s">
        <v>1914</v>
      </c>
      <c r="F197" s="2766">
        <v>310701</v>
      </c>
      <c r="G197" s="2766" t="s">
        <v>2879</v>
      </c>
      <c r="H197" s="2766">
        <f>Dataark_til_bilag3_2018[[#This Row],[Staldkode]]+Dataark_til_bilag3_2018[[#This Row],[Dyrekode]]</f>
        <v>313808</v>
      </c>
      <c r="I197" s="4347">
        <v>0</v>
      </c>
      <c r="J197" s="2766" t="s">
        <v>1906</v>
      </c>
      <c r="K197" s="2766" t="s">
        <v>350</v>
      </c>
      <c r="L197" s="2767">
        <f>90.3/100</f>
        <v>0.90300000000000002</v>
      </c>
      <c r="M197" s="2766">
        <f t="shared" si="22"/>
        <v>0</v>
      </c>
      <c r="N197" s="2766">
        <v>1E-3</v>
      </c>
      <c r="O197" s="2766">
        <f t="shared" si="23"/>
        <v>0</v>
      </c>
      <c r="P197" s="2769">
        <f t="shared" si="24"/>
        <v>0</v>
      </c>
      <c r="Q197" s="2809">
        <v>0.33360000000000001</v>
      </c>
      <c r="R197" s="2769">
        <f t="shared" si="25"/>
        <v>0</v>
      </c>
      <c r="S197" s="2766">
        <v>0.01</v>
      </c>
      <c r="T197" s="2783">
        <f t="shared" si="26"/>
        <v>0</v>
      </c>
      <c r="U197" s="2783">
        <f t="shared" ref="U197:U227" si="28">IFERROR(T197*44/28,0)</f>
        <v>0</v>
      </c>
      <c r="V197" s="2783">
        <f t="shared" si="27"/>
        <v>0</v>
      </c>
    </row>
    <row r="198" spans="1:22" x14ac:dyDescent="0.25">
      <c r="A198" s="2808" t="s">
        <v>1900</v>
      </c>
      <c r="B198" s="2770">
        <v>3111</v>
      </c>
      <c r="C198" s="2766" t="s">
        <v>2783</v>
      </c>
      <c r="D198" s="2766" t="s">
        <v>331</v>
      </c>
      <c r="E198" s="2766" t="s">
        <v>1904</v>
      </c>
      <c r="F198" s="2766">
        <v>311105</v>
      </c>
      <c r="G198" s="2766" t="s">
        <v>2879</v>
      </c>
      <c r="H198" s="2766">
        <f>Dataark_til_bilag3_2018[[#This Row],[Staldkode]]+Dataark_til_bilag3_2018[[#This Row],[Dyrekode]]</f>
        <v>314216</v>
      </c>
      <c r="I198" s="4347">
        <v>0</v>
      </c>
      <c r="J198" s="2766" t="s">
        <v>1903</v>
      </c>
      <c r="K198" s="2766"/>
      <c r="L198" s="2767">
        <f>67.9/100</f>
        <v>0.67900000000000005</v>
      </c>
      <c r="M198" s="2766">
        <f t="shared" si="22"/>
        <v>0</v>
      </c>
      <c r="N198" s="2766">
        <v>1E-3</v>
      </c>
      <c r="O198" s="2766">
        <f t="shared" si="23"/>
        <v>0</v>
      </c>
      <c r="P198" s="2769">
        <f t="shared" si="24"/>
        <v>0</v>
      </c>
      <c r="Q198" s="2809">
        <v>0.33360000000000001</v>
      </c>
      <c r="R198" s="2769">
        <f t="shared" si="25"/>
        <v>0</v>
      </c>
      <c r="S198" s="2766">
        <v>0.01</v>
      </c>
      <c r="T198" s="2769">
        <f t="shared" si="26"/>
        <v>0</v>
      </c>
      <c r="U198" s="2769">
        <f t="shared" si="28"/>
        <v>0</v>
      </c>
      <c r="V198" s="2810">
        <f t="shared" si="27"/>
        <v>0</v>
      </c>
    </row>
    <row r="199" spans="1:22" x14ac:dyDescent="0.25">
      <c r="A199" s="2808" t="s">
        <v>1900</v>
      </c>
      <c r="B199" s="2770">
        <v>3111</v>
      </c>
      <c r="C199" s="2766" t="s">
        <v>2782</v>
      </c>
      <c r="D199" s="2766" t="s">
        <v>331</v>
      </c>
      <c r="E199" s="2766" t="s">
        <v>1901</v>
      </c>
      <c r="F199" s="2766">
        <v>311106</v>
      </c>
      <c r="G199" s="2766" t="s">
        <v>2879</v>
      </c>
      <c r="H199" s="2766">
        <f>Dataark_til_bilag3_2018[[#This Row],[Staldkode]]+Dataark_til_bilag3_2018[[#This Row],[Dyrekode]]</f>
        <v>314217</v>
      </c>
      <c r="I199" s="4347">
        <v>0</v>
      </c>
      <c r="J199" s="2766"/>
      <c r="K199" s="2766" t="s">
        <v>350</v>
      </c>
      <c r="L199" s="2767">
        <f>67.9/100</f>
        <v>0.67900000000000005</v>
      </c>
      <c r="M199" s="2766">
        <f t="shared" si="22"/>
        <v>0</v>
      </c>
      <c r="N199" s="2766">
        <v>1E-3</v>
      </c>
      <c r="O199" s="2766">
        <f t="shared" si="23"/>
        <v>0</v>
      </c>
      <c r="P199" s="2769">
        <f t="shared" si="24"/>
        <v>0</v>
      </c>
      <c r="Q199" s="2809">
        <v>0.33360000000000001</v>
      </c>
      <c r="R199" s="2769">
        <f t="shared" si="25"/>
        <v>0</v>
      </c>
      <c r="S199" s="2766">
        <v>0.01</v>
      </c>
      <c r="T199" s="2769">
        <f t="shared" si="26"/>
        <v>0</v>
      </c>
      <c r="U199" s="2769">
        <f t="shared" si="28"/>
        <v>0</v>
      </c>
      <c r="V199" s="2810">
        <f t="shared" si="27"/>
        <v>0</v>
      </c>
    </row>
    <row r="200" spans="1:22" x14ac:dyDescent="0.25">
      <c r="A200" s="2808" t="s">
        <v>1900</v>
      </c>
      <c r="B200" s="2770">
        <v>3112</v>
      </c>
      <c r="C200" s="2766" t="s">
        <v>2772</v>
      </c>
      <c r="D200" s="2766" t="s">
        <v>331</v>
      </c>
      <c r="E200" s="2766" t="s">
        <v>1898</v>
      </c>
      <c r="F200" s="2766">
        <v>311201</v>
      </c>
      <c r="G200" s="2766" t="s">
        <v>2879</v>
      </c>
      <c r="H200" s="2766">
        <f>Dataark_til_bilag3_2018[[#This Row],[Staldkode]]+Dataark_til_bilag3_2018[[#This Row],[Dyrekode]]</f>
        <v>314313</v>
      </c>
      <c r="I200" s="4347">
        <v>0</v>
      </c>
      <c r="J200" s="2766"/>
      <c r="K200" s="2766" t="s">
        <v>350</v>
      </c>
      <c r="L200" s="2767">
        <f>88.9/100</f>
        <v>0.88900000000000001</v>
      </c>
      <c r="M200" s="2766">
        <f t="shared" si="22"/>
        <v>0</v>
      </c>
      <c r="N200" s="2766">
        <v>1E-3</v>
      </c>
      <c r="O200" s="2766">
        <f t="shared" si="23"/>
        <v>0</v>
      </c>
      <c r="P200" s="2769">
        <f t="shared" si="24"/>
        <v>0</v>
      </c>
      <c r="Q200" s="2809">
        <v>0.33360000000000001</v>
      </c>
      <c r="R200" s="2769">
        <f t="shared" si="25"/>
        <v>0</v>
      </c>
      <c r="S200" s="2766">
        <v>0.01</v>
      </c>
      <c r="T200" s="2769">
        <f t="shared" si="26"/>
        <v>0</v>
      </c>
      <c r="U200" s="2769">
        <f t="shared" si="28"/>
        <v>0</v>
      </c>
      <c r="V200" s="2810">
        <f t="shared" si="27"/>
        <v>0</v>
      </c>
    </row>
    <row r="201" spans="1:22" x14ac:dyDescent="0.25">
      <c r="A201" s="2808" t="s">
        <v>1878</v>
      </c>
      <c r="B201" s="2770">
        <v>3201</v>
      </c>
      <c r="C201" s="2766" t="s">
        <v>2887</v>
      </c>
      <c r="D201" s="2766" t="s">
        <v>331</v>
      </c>
      <c r="E201" s="2766" t="s">
        <v>2779</v>
      </c>
      <c r="F201" s="2766">
        <v>320101</v>
      </c>
      <c r="G201" s="2766" t="s">
        <v>2879</v>
      </c>
      <c r="H201" s="2766">
        <f>Dataark_til_bilag3_2018[[#This Row],[Staldkode]]+Dataark_til_bilag3_2018[[#This Row],[Dyrekode]]</f>
        <v>323302</v>
      </c>
      <c r="I201" s="4347">
        <v>0</v>
      </c>
      <c r="J201" s="2766"/>
      <c r="K201" s="2766" t="s">
        <v>350</v>
      </c>
      <c r="L201" s="2767">
        <f>88.9/100</f>
        <v>0.88900000000000001</v>
      </c>
      <c r="M201" s="2766">
        <f t="shared" si="22"/>
        <v>0</v>
      </c>
      <c r="N201" s="2766">
        <v>1E-3</v>
      </c>
      <c r="O201" s="2766">
        <f t="shared" si="23"/>
        <v>0</v>
      </c>
      <c r="P201" s="2769">
        <f t="shared" si="24"/>
        <v>0</v>
      </c>
      <c r="Q201" s="2809">
        <v>0.13450000000000001</v>
      </c>
      <c r="R201" s="2769">
        <f t="shared" si="25"/>
        <v>0</v>
      </c>
      <c r="S201" s="2766">
        <v>0.01</v>
      </c>
      <c r="T201" s="2769">
        <f t="shared" si="26"/>
        <v>0</v>
      </c>
      <c r="U201" s="2769">
        <f t="shared" si="28"/>
        <v>0</v>
      </c>
      <c r="V201" s="2810">
        <f t="shared" si="27"/>
        <v>0</v>
      </c>
    </row>
    <row r="202" spans="1:22" x14ac:dyDescent="0.25">
      <c r="A202" s="2808" t="s">
        <v>1878</v>
      </c>
      <c r="B202" s="2770">
        <v>3202</v>
      </c>
      <c r="C202" s="2766" t="s">
        <v>1896</v>
      </c>
      <c r="D202" s="2766" t="s">
        <v>331</v>
      </c>
      <c r="E202" s="2766" t="s">
        <v>2779</v>
      </c>
      <c r="F202" s="2766">
        <v>320201</v>
      </c>
      <c r="G202" s="2766" t="s">
        <v>2879</v>
      </c>
      <c r="H202" s="2766">
        <f>Dataark_til_bilag3_2018[[#This Row],[Staldkode]]+Dataark_til_bilag3_2018[[#This Row],[Dyrekode]]</f>
        <v>323403</v>
      </c>
      <c r="I202" s="4347">
        <v>0</v>
      </c>
      <c r="J202" s="2766"/>
      <c r="K202" s="2766" t="s">
        <v>350</v>
      </c>
      <c r="L202" s="2767">
        <f>88.9/100</f>
        <v>0.88900000000000001</v>
      </c>
      <c r="M202" s="2766">
        <f t="shared" si="22"/>
        <v>0</v>
      </c>
      <c r="N202" s="2766">
        <v>1E-3</v>
      </c>
      <c r="O202" s="2766">
        <f t="shared" si="23"/>
        <v>0</v>
      </c>
      <c r="P202" s="2769">
        <f t="shared" si="24"/>
        <v>0</v>
      </c>
      <c r="Q202" s="2809">
        <v>0.13450000000000001</v>
      </c>
      <c r="R202" s="2769">
        <f t="shared" si="25"/>
        <v>0</v>
      </c>
      <c r="S202" s="2766">
        <v>0.01</v>
      </c>
      <c r="T202" s="2769">
        <f t="shared" si="26"/>
        <v>0</v>
      </c>
      <c r="U202" s="2769">
        <f t="shared" si="28"/>
        <v>0</v>
      </c>
      <c r="V202" s="2810">
        <f t="shared" si="27"/>
        <v>0</v>
      </c>
    </row>
    <row r="203" spans="1:22" x14ac:dyDescent="0.25">
      <c r="A203" s="2811" t="s">
        <v>1878</v>
      </c>
      <c r="B203" s="2771">
        <v>3205</v>
      </c>
      <c r="C203" s="2772" t="s">
        <v>4264</v>
      </c>
      <c r="D203" s="2772" t="s">
        <v>331</v>
      </c>
      <c r="E203" s="2772" t="s">
        <v>2779</v>
      </c>
      <c r="F203" s="2772">
        <v>320501</v>
      </c>
      <c r="G203" s="2772" t="s">
        <v>2879</v>
      </c>
      <c r="H203" s="2772">
        <f>Dataark_til_bilag3_2018[[#This Row],[Staldkode]]+Dataark_til_bilag3_2018[[#This Row],[Dyrekode]]</f>
        <v>323706</v>
      </c>
      <c r="I203" s="4347">
        <v>0</v>
      </c>
      <c r="J203" s="2772"/>
      <c r="K203" s="2772"/>
      <c r="L203" s="2767">
        <f>88.9/100</f>
        <v>0.88900000000000001</v>
      </c>
      <c r="M203" s="2766">
        <f t="shared" si="22"/>
        <v>0</v>
      </c>
      <c r="N203" s="2766">
        <v>1E-3</v>
      </c>
      <c r="O203" s="2766">
        <f t="shared" si="23"/>
        <v>0</v>
      </c>
      <c r="P203" s="2769">
        <f t="shared" si="24"/>
        <v>0</v>
      </c>
      <c r="Q203" s="2809">
        <v>0.13450000000000001</v>
      </c>
      <c r="R203" s="2769">
        <f t="shared" si="25"/>
        <v>0</v>
      </c>
      <c r="S203" s="2766">
        <v>0.01</v>
      </c>
      <c r="T203" s="2769">
        <f t="shared" si="26"/>
        <v>0</v>
      </c>
      <c r="U203" s="2769">
        <f t="shared" si="28"/>
        <v>0</v>
      </c>
      <c r="V203" s="2810">
        <f t="shared" si="27"/>
        <v>0</v>
      </c>
    </row>
    <row r="204" spans="1:22" x14ac:dyDescent="0.25">
      <c r="A204" s="2808" t="s">
        <v>1878</v>
      </c>
      <c r="B204" s="2770">
        <v>3204</v>
      </c>
      <c r="C204" s="2766" t="s">
        <v>1893</v>
      </c>
      <c r="D204" s="2766" t="s">
        <v>331</v>
      </c>
      <c r="E204" s="2766" t="s">
        <v>2779</v>
      </c>
      <c r="F204" s="2766">
        <v>320401</v>
      </c>
      <c r="G204" s="2766" t="s">
        <v>2879</v>
      </c>
      <c r="H204" s="2766">
        <f>Dataark_til_bilag3_2018[[#This Row],[Staldkode]]+Dataark_til_bilag3_2018[[#This Row],[Dyrekode]]</f>
        <v>323605</v>
      </c>
      <c r="I204" s="4347">
        <v>0</v>
      </c>
      <c r="J204" s="2766"/>
      <c r="K204" s="2766" t="s">
        <v>350</v>
      </c>
      <c r="L204" s="2767">
        <f>88.9/100</f>
        <v>0.88900000000000001</v>
      </c>
      <c r="M204" s="2766">
        <f t="shared" si="22"/>
        <v>0</v>
      </c>
      <c r="N204" s="2766">
        <v>1E-3</v>
      </c>
      <c r="O204" s="2766">
        <f t="shared" si="23"/>
        <v>0</v>
      </c>
      <c r="P204" s="2769">
        <f t="shared" si="24"/>
        <v>0</v>
      </c>
      <c r="Q204" s="2809">
        <v>0.13450000000000001</v>
      </c>
      <c r="R204" s="2769">
        <f t="shared" si="25"/>
        <v>0</v>
      </c>
      <c r="S204" s="2766">
        <v>0.01</v>
      </c>
      <c r="T204" s="2769">
        <f t="shared" si="26"/>
        <v>0</v>
      </c>
      <c r="U204" s="2769">
        <f t="shared" si="28"/>
        <v>0</v>
      </c>
      <c r="V204" s="2810">
        <f t="shared" si="27"/>
        <v>0</v>
      </c>
    </row>
    <row r="205" spans="1:22" x14ac:dyDescent="0.25">
      <c r="A205" s="2770" t="s">
        <v>1878</v>
      </c>
      <c r="B205" s="2770">
        <v>3230</v>
      </c>
      <c r="C205" s="2766" t="s">
        <v>2776</v>
      </c>
      <c r="D205" s="2766" t="s">
        <v>331</v>
      </c>
      <c r="E205" s="2766" t="s">
        <v>1891</v>
      </c>
      <c r="F205" s="2766">
        <v>323001</v>
      </c>
      <c r="G205" s="2766" t="s">
        <v>2879</v>
      </c>
      <c r="H205" s="2766">
        <f>Dataark_til_bilag3_2018[[#This Row],[Staldkode]]+Dataark_til_bilag3_2018[[#This Row],[Dyrekode]]</f>
        <v>326231</v>
      </c>
      <c r="I205" s="4347">
        <v>0</v>
      </c>
      <c r="J205" s="2766"/>
      <c r="K205" s="2766" t="s">
        <v>350</v>
      </c>
      <c r="L205" s="2767">
        <f>30.8/1000</f>
        <v>3.0800000000000001E-2</v>
      </c>
      <c r="M205" s="2766">
        <f t="shared" si="22"/>
        <v>0</v>
      </c>
      <c r="N205" s="2766">
        <v>1E-3</v>
      </c>
      <c r="O205" s="2766">
        <f t="shared" si="23"/>
        <v>0</v>
      </c>
      <c r="P205" s="2769">
        <f t="shared" si="24"/>
        <v>0</v>
      </c>
      <c r="Q205" s="2809">
        <v>0.13450000000000001</v>
      </c>
      <c r="R205" s="2769">
        <f t="shared" si="25"/>
        <v>0</v>
      </c>
      <c r="S205" s="2766">
        <v>0.01</v>
      </c>
      <c r="T205" s="2769">
        <f t="shared" si="26"/>
        <v>0</v>
      </c>
      <c r="U205" s="2769">
        <f t="shared" si="28"/>
        <v>0</v>
      </c>
      <c r="V205" s="2810">
        <f t="shared" si="27"/>
        <v>0</v>
      </c>
    </row>
    <row r="206" spans="1:22" x14ac:dyDescent="0.25">
      <c r="A206" s="2770" t="s">
        <v>1878</v>
      </c>
      <c r="B206" s="2770">
        <v>3232</v>
      </c>
      <c r="C206" s="2766" t="s">
        <v>1890</v>
      </c>
      <c r="D206" s="2766" t="s">
        <v>331</v>
      </c>
      <c r="E206" s="2766" t="s">
        <v>1889</v>
      </c>
      <c r="F206" s="2766">
        <v>323201</v>
      </c>
      <c r="G206" s="2766" t="s">
        <v>2879</v>
      </c>
      <c r="H206" s="2766">
        <f>Dataark_til_bilag3_2018[[#This Row],[Staldkode]]+Dataark_til_bilag3_2018[[#This Row],[Dyrekode]]</f>
        <v>326433</v>
      </c>
      <c r="I206" s="4347">
        <v>0</v>
      </c>
      <c r="J206" s="2766"/>
      <c r="K206" s="2766" t="s">
        <v>350</v>
      </c>
      <c r="L206" s="2767">
        <f>35.9/1000</f>
        <v>3.5900000000000001E-2</v>
      </c>
      <c r="M206" s="2766">
        <f t="shared" si="22"/>
        <v>0</v>
      </c>
      <c r="N206" s="2766">
        <v>1E-3</v>
      </c>
      <c r="O206" s="2766">
        <f t="shared" si="23"/>
        <v>0</v>
      </c>
      <c r="P206" s="2769">
        <f t="shared" si="24"/>
        <v>0</v>
      </c>
      <c r="Q206" s="2809">
        <v>0.13450000000000001</v>
      </c>
      <c r="R206" s="2769">
        <f t="shared" si="25"/>
        <v>0</v>
      </c>
      <c r="S206" s="2766">
        <v>0.01</v>
      </c>
      <c r="T206" s="2769">
        <f t="shared" si="26"/>
        <v>0</v>
      </c>
      <c r="U206" s="2769">
        <f t="shared" si="28"/>
        <v>0</v>
      </c>
      <c r="V206" s="2810">
        <f t="shared" si="27"/>
        <v>0</v>
      </c>
    </row>
    <row r="207" spans="1:22" x14ac:dyDescent="0.25">
      <c r="A207" s="2770" t="s">
        <v>1878</v>
      </c>
      <c r="B207" s="2770">
        <v>3235</v>
      </c>
      <c r="C207" s="2766" t="s">
        <v>1888</v>
      </c>
      <c r="D207" s="2766" t="s">
        <v>331</v>
      </c>
      <c r="E207" s="2766" t="s">
        <v>1887</v>
      </c>
      <c r="F207" s="2766">
        <v>323501</v>
      </c>
      <c r="G207" s="2766" t="s">
        <v>2879</v>
      </c>
      <c r="H207" s="2766">
        <f>Dataark_til_bilag3_2018[[#This Row],[Staldkode]]+Dataark_til_bilag3_2018[[#This Row],[Dyrekode]]</f>
        <v>326736</v>
      </c>
      <c r="I207" s="4347">
        <v>0</v>
      </c>
      <c r="J207" s="2766"/>
      <c r="K207" s="2766" t="s">
        <v>350</v>
      </c>
      <c r="L207" s="2767">
        <f>47.4/1000</f>
        <v>4.7399999999999998E-2</v>
      </c>
      <c r="M207" s="2766">
        <f t="shared" si="22"/>
        <v>0</v>
      </c>
      <c r="N207" s="2766">
        <v>1E-3</v>
      </c>
      <c r="O207" s="2766">
        <f t="shared" si="23"/>
        <v>0</v>
      </c>
      <c r="P207" s="2769">
        <f t="shared" si="24"/>
        <v>0</v>
      </c>
      <c r="Q207" s="2809">
        <v>0.13450000000000001</v>
      </c>
      <c r="R207" s="2769">
        <f t="shared" si="25"/>
        <v>0</v>
      </c>
      <c r="S207" s="2766">
        <v>0.01</v>
      </c>
      <c r="T207" s="2769">
        <f t="shared" si="26"/>
        <v>0</v>
      </c>
      <c r="U207" s="2769">
        <f t="shared" si="28"/>
        <v>0</v>
      </c>
      <c r="V207" s="2810">
        <f t="shared" si="27"/>
        <v>0</v>
      </c>
    </row>
    <row r="208" spans="1:22" x14ac:dyDescent="0.25">
      <c r="A208" s="2808" t="s">
        <v>1878</v>
      </c>
      <c r="B208" s="2770">
        <v>3240</v>
      </c>
      <c r="C208" s="2766" t="s">
        <v>1886</v>
      </c>
      <c r="D208" s="2766" t="s">
        <v>331</v>
      </c>
      <c r="E208" s="2766" t="s">
        <v>1885</v>
      </c>
      <c r="F208" s="2766">
        <v>324001</v>
      </c>
      <c r="G208" s="2766" t="s">
        <v>2879</v>
      </c>
      <c r="H208" s="2766">
        <f>Dataark_til_bilag3_2018[[#This Row],[Staldkode]]+Dataark_til_bilag3_2018[[#This Row],[Dyrekode]]</f>
        <v>327241</v>
      </c>
      <c r="I208" s="4347">
        <v>0</v>
      </c>
      <c r="J208" s="2766"/>
      <c r="K208" s="2766" t="s">
        <v>350</v>
      </c>
      <c r="L208" s="2767">
        <f>62.9/1000</f>
        <v>6.2899999999999998E-2</v>
      </c>
      <c r="M208" s="2766">
        <f t="shared" si="22"/>
        <v>0</v>
      </c>
      <c r="N208" s="2766">
        <v>1E-3</v>
      </c>
      <c r="O208" s="2766">
        <f t="shared" si="23"/>
        <v>0</v>
      </c>
      <c r="P208" s="2769">
        <f t="shared" si="24"/>
        <v>0</v>
      </c>
      <c r="Q208" s="2809">
        <v>0.13450000000000001</v>
      </c>
      <c r="R208" s="2769">
        <f t="shared" si="25"/>
        <v>0</v>
      </c>
      <c r="S208" s="2766">
        <v>0.01</v>
      </c>
      <c r="T208" s="2769">
        <f t="shared" si="26"/>
        <v>0</v>
      </c>
      <c r="U208" s="2769">
        <f t="shared" si="28"/>
        <v>0</v>
      </c>
      <c r="V208" s="2810">
        <f t="shared" si="27"/>
        <v>0</v>
      </c>
    </row>
    <row r="209" spans="1:22" x14ac:dyDescent="0.25">
      <c r="A209" s="2808" t="s">
        <v>1878</v>
      </c>
      <c r="B209" s="2770">
        <v>3245</v>
      </c>
      <c r="C209" s="2766" t="s">
        <v>1884</v>
      </c>
      <c r="D209" s="2766" t="s">
        <v>331</v>
      </c>
      <c r="E209" s="2766" t="s">
        <v>1883</v>
      </c>
      <c r="F209" s="2766">
        <v>324501</v>
      </c>
      <c r="G209" s="2766" t="s">
        <v>2879</v>
      </c>
      <c r="H209" s="2766">
        <f>Dataark_til_bilag3_2018[[#This Row],[Staldkode]]+Dataark_til_bilag3_2018[[#This Row],[Dyrekode]]</f>
        <v>327746</v>
      </c>
      <c r="I209" s="4347">
        <v>0</v>
      </c>
      <c r="J209" s="2766"/>
      <c r="K209" s="2766" t="s">
        <v>350</v>
      </c>
      <c r="L209" s="2767">
        <f>83.4/100</f>
        <v>0.83400000000000007</v>
      </c>
      <c r="M209" s="2766">
        <f t="shared" si="22"/>
        <v>0</v>
      </c>
      <c r="N209" s="2766">
        <v>1E-3</v>
      </c>
      <c r="O209" s="2766">
        <f t="shared" si="23"/>
        <v>0</v>
      </c>
      <c r="P209" s="2769">
        <f t="shared" si="24"/>
        <v>0</v>
      </c>
      <c r="Q209" s="2809">
        <v>0.13450000000000001</v>
      </c>
      <c r="R209" s="2769">
        <f t="shared" si="25"/>
        <v>0</v>
      </c>
      <c r="S209" s="2766">
        <v>0.01</v>
      </c>
      <c r="T209" s="2769">
        <f t="shared" si="26"/>
        <v>0</v>
      </c>
      <c r="U209" s="2769">
        <f t="shared" si="28"/>
        <v>0</v>
      </c>
      <c r="V209" s="2810">
        <f t="shared" si="27"/>
        <v>0</v>
      </c>
    </row>
    <row r="210" spans="1:22" x14ac:dyDescent="0.25">
      <c r="A210" s="2808" t="s">
        <v>1878</v>
      </c>
      <c r="B210" s="2770">
        <v>3256</v>
      </c>
      <c r="C210" s="2766" t="s">
        <v>2775</v>
      </c>
      <c r="D210" s="2766" t="s">
        <v>331</v>
      </c>
      <c r="E210" s="2766" t="s">
        <v>1882</v>
      </c>
      <c r="F210" s="2766">
        <v>325601</v>
      </c>
      <c r="G210" s="2766" t="s">
        <v>2879</v>
      </c>
      <c r="H210" s="2766">
        <f>Dataark_til_bilag3_2018[[#This Row],[Staldkode]]+Dataark_til_bilag3_2018[[#This Row],[Dyrekode]]</f>
        <v>328857</v>
      </c>
      <c r="I210" s="4347">
        <v>0</v>
      </c>
      <c r="J210" s="2766"/>
      <c r="K210" s="2766" t="s">
        <v>350</v>
      </c>
      <c r="L210" s="2767">
        <f>49.4/1000</f>
        <v>4.9399999999999999E-2</v>
      </c>
      <c r="M210" s="2766">
        <f t="shared" si="22"/>
        <v>0</v>
      </c>
      <c r="N210" s="2766">
        <v>1E-3</v>
      </c>
      <c r="O210" s="2766">
        <f t="shared" si="23"/>
        <v>0</v>
      </c>
      <c r="P210" s="2769">
        <f t="shared" si="24"/>
        <v>0</v>
      </c>
      <c r="Q210" s="2809">
        <v>0.13450000000000001</v>
      </c>
      <c r="R210" s="2769">
        <f t="shared" si="25"/>
        <v>0</v>
      </c>
      <c r="S210" s="2766">
        <v>0.01</v>
      </c>
      <c r="T210" s="2769">
        <f t="shared" si="26"/>
        <v>0</v>
      </c>
      <c r="U210" s="2769">
        <f t="shared" si="28"/>
        <v>0</v>
      </c>
      <c r="V210" s="2810">
        <f t="shared" si="27"/>
        <v>0</v>
      </c>
    </row>
    <row r="211" spans="1:22" x14ac:dyDescent="0.25">
      <c r="A211" s="2808" t="s">
        <v>1878</v>
      </c>
      <c r="B211" s="2770">
        <v>3281</v>
      </c>
      <c r="C211" s="2766" t="s">
        <v>2774</v>
      </c>
      <c r="D211" s="2766" t="s">
        <v>331</v>
      </c>
      <c r="E211" s="2766" t="s">
        <v>1881</v>
      </c>
      <c r="F211" s="2766">
        <v>328101</v>
      </c>
      <c r="G211" s="2766" t="s">
        <v>2879</v>
      </c>
      <c r="H211" s="2766">
        <f>Dataark_til_bilag3_2018[[#This Row],[Staldkode]]+Dataark_til_bilag3_2018[[#This Row],[Dyrekode]]</f>
        <v>331382</v>
      </c>
      <c r="I211" s="4347">
        <v>0</v>
      </c>
      <c r="J211" s="2766"/>
      <c r="K211" s="2766" t="s">
        <v>350</v>
      </c>
      <c r="L211" s="2767">
        <f>108/1000</f>
        <v>0.108</v>
      </c>
      <c r="M211" s="2766">
        <f t="shared" si="22"/>
        <v>0</v>
      </c>
      <c r="N211" s="2766">
        <v>1E-3</v>
      </c>
      <c r="O211" s="2766">
        <f t="shared" si="23"/>
        <v>0</v>
      </c>
      <c r="P211" s="2769">
        <f t="shared" si="24"/>
        <v>0</v>
      </c>
      <c r="Q211" s="2809">
        <v>0.13450000000000001</v>
      </c>
      <c r="R211" s="2769">
        <f t="shared" si="25"/>
        <v>0</v>
      </c>
      <c r="S211" s="2766">
        <v>0.01</v>
      </c>
      <c r="T211" s="2769">
        <f t="shared" si="26"/>
        <v>0</v>
      </c>
      <c r="U211" s="2769">
        <f t="shared" si="28"/>
        <v>0</v>
      </c>
      <c r="V211" s="2810">
        <f t="shared" si="27"/>
        <v>0</v>
      </c>
    </row>
    <row r="212" spans="1:22" x14ac:dyDescent="0.25">
      <c r="A212" s="2808" t="s">
        <v>1878</v>
      </c>
      <c r="B212" s="2770">
        <v>3290</v>
      </c>
      <c r="C212" s="2766" t="s">
        <v>1880</v>
      </c>
      <c r="D212" s="2766" t="s">
        <v>331</v>
      </c>
      <c r="E212" s="2766" t="s">
        <v>2784</v>
      </c>
      <c r="F212" s="2766">
        <v>329001</v>
      </c>
      <c r="G212" s="2766" t="s">
        <v>2879</v>
      </c>
      <c r="H212" s="2766">
        <f>Dataark_til_bilag3_2018[[#This Row],[Staldkode]]+Dataark_til_bilag3_2018[[#This Row],[Dyrekode]]</f>
        <v>332291</v>
      </c>
      <c r="I212" s="4347">
        <v>0</v>
      </c>
      <c r="J212" s="2766"/>
      <c r="K212" s="2766" t="s">
        <v>350</v>
      </c>
      <c r="L212" s="2767">
        <f>88.9/100</f>
        <v>0.88900000000000001</v>
      </c>
      <c r="M212" s="2766">
        <f t="shared" si="22"/>
        <v>0</v>
      </c>
      <c r="N212" s="2766">
        <v>1E-3</v>
      </c>
      <c r="O212" s="2766">
        <f t="shared" si="23"/>
        <v>0</v>
      </c>
      <c r="P212" s="2769">
        <f t="shared" si="24"/>
        <v>0</v>
      </c>
      <c r="Q212" s="2809">
        <v>0.13450000000000001</v>
      </c>
      <c r="R212" s="2769">
        <f t="shared" si="25"/>
        <v>0</v>
      </c>
      <c r="S212" s="2766">
        <v>0.01</v>
      </c>
      <c r="T212" s="2769">
        <f t="shared" si="26"/>
        <v>0</v>
      </c>
      <c r="U212" s="2769">
        <f t="shared" si="28"/>
        <v>0</v>
      </c>
      <c r="V212" s="2810">
        <f t="shared" si="27"/>
        <v>0</v>
      </c>
    </row>
    <row r="213" spans="1:22" x14ac:dyDescent="0.25">
      <c r="A213" s="2808" t="s">
        <v>1878</v>
      </c>
      <c r="B213" s="2770">
        <v>3295</v>
      </c>
      <c r="C213" s="2766" t="s">
        <v>2772</v>
      </c>
      <c r="D213" s="2766" t="s">
        <v>331</v>
      </c>
      <c r="E213" s="2766" t="s">
        <v>1876</v>
      </c>
      <c r="F213" s="2766">
        <v>329501</v>
      </c>
      <c r="G213" s="2766" t="s">
        <v>2879</v>
      </c>
      <c r="H213" s="2766">
        <f>Dataark_til_bilag3_2018[[#This Row],[Staldkode]]+Dataark_til_bilag3_2018[[#This Row],[Dyrekode]]</f>
        <v>332796</v>
      </c>
      <c r="I213" s="4347">
        <v>0</v>
      </c>
      <c r="J213" s="2766"/>
      <c r="K213" s="2766"/>
      <c r="L213" s="2767">
        <f>88.9/100</f>
        <v>0.88900000000000001</v>
      </c>
      <c r="M213" s="2766">
        <f t="shared" si="22"/>
        <v>0</v>
      </c>
      <c r="N213" s="2766">
        <v>1E-3</v>
      </c>
      <c r="O213" s="2766">
        <f t="shared" si="23"/>
        <v>0</v>
      </c>
      <c r="P213" s="2769">
        <f t="shared" si="24"/>
        <v>0</v>
      </c>
      <c r="Q213" s="2809">
        <v>0.33360000000000001</v>
      </c>
      <c r="R213" s="2769">
        <f t="shared" si="25"/>
        <v>0</v>
      </c>
      <c r="S213" s="2766">
        <v>0.01</v>
      </c>
      <c r="T213" s="2769">
        <f t="shared" si="26"/>
        <v>0</v>
      </c>
      <c r="U213" s="2769">
        <f t="shared" si="28"/>
        <v>0</v>
      </c>
      <c r="V213" s="2810">
        <f t="shared" si="27"/>
        <v>0</v>
      </c>
    </row>
    <row r="214" spans="1:22" x14ac:dyDescent="0.25">
      <c r="A214" s="2808" t="s">
        <v>1900</v>
      </c>
      <c r="B214" s="2766">
        <v>3295</v>
      </c>
      <c r="C214" s="2766" t="s">
        <v>2781</v>
      </c>
      <c r="D214" s="2766" t="s">
        <v>331</v>
      </c>
      <c r="E214" s="2766" t="s">
        <v>2780</v>
      </c>
      <c r="F214" s="2766">
        <v>329501</v>
      </c>
      <c r="G214" s="2766" t="s">
        <v>2879</v>
      </c>
      <c r="H214" s="2766">
        <f>Dataark_til_bilag3_2018[[#This Row],[Staldkode]]+Dataark_til_bilag3_2018[[#This Row],[Dyrekode]]</f>
        <v>332796</v>
      </c>
      <c r="I214" s="4347">
        <v>0</v>
      </c>
      <c r="J214" s="2766"/>
      <c r="K214" s="2766" t="s">
        <v>350</v>
      </c>
      <c r="L214" s="2767">
        <f>88.9/100</f>
        <v>0.88900000000000001</v>
      </c>
      <c r="M214" s="2766">
        <f t="shared" si="22"/>
        <v>0</v>
      </c>
      <c r="N214" s="2766">
        <v>1E-3</v>
      </c>
      <c r="O214" s="2766">
        <f t="shared" si="23"/>
        <v>0</v>
      </c>
      <c r="P214" s="2769">
        <f t="shared" si="24"/>
        <v>0</v>
      </c>
      <c r="Q214" s="2809">
        <v>0.33360000000000001</v>
      </c>
      <c r="R214" s="2769">
        <f t="shared" si="25"/>
        <v>0</v>
      </c>
      <c r="S214" s="2766">
        <v>0.01</v>
      </c>
      <c r="T214" s="2769">
        <f t="shared" si="26"/>
        <v>0</v>
      </c>
      <c r="U214" s="2769">
        <f t="shared" si="28"/>
        <v>0</v>
      </c>
      <c r="V214" s="2810">
        <f t="shared" si="27"/>
        <v>0</v>
      </c>
    </row>
    <row r="215" spans="1:22" x14ac:dyDescent="0.25">
      <c r="A215" s="2808" t="s">
        <v>2886</v>
      </c>
      <c r="B215" s="2770">
        <v>3301</v>
      </c>
      <c r="C215" s="2766" t="s">
        <v>2771</v>
      </c>
      <c r="D215" s="2766" t="s">
        <v>331</v>
      </c>
      <c r="E215" s="2766" t="s">
        <v>1875</v>
      </c>
      <c r="F215" s="2766">
        <v>330101</v>
      </c>
      <c r="G215" s="2766" t="s">
        <v>2879</v>
      </c>
      <c r="H215" s="2766">
        <f>Dataark_til_bilag3_2018[[#This Row],[Staldkode]]+Dataark_til_bilag3_2018[[#This Row],[Dyrekode]]</f>
        <v>333402</v>
      </c>
      <c r="I215" s="4347">
        <v>0</v>
      </c>
      <c r="J215" s="2766"/>
      <c r="K215" s="2766" t="s">
        <v>350</v>
      </c>
      <c r="L215" s="2767">
        <f>48.1/100</f>
        <v>0.48100000000000004</v>
      </c>
      <c r="M215" s="2766">
        <f t="shared" si="22"/>
        <v>0</v>
      </c>
      <c r="N215" s="2766">
        <v>1E-3</v>
      </c>
      <c r="O215" s="2766">
        <f t="shared" si="23"/>
        <v>0</v>
      </c>
      <c r="P215" s="2769">
        <f t="shared" si="24"/>
        <v>0</v>
      </c>
      <c r="Q215" s="2815">
        <v>0.26850000000000002</v>
      </c>
      <c r="R215" s="2783">
        <f t="shared" si="25"/>
        <v>0</v>
      </c>
      <c r="S215" s="2766">
        <v>0.01</v>
      </c>
      <c r="T215" s="2769">
        <f t="shared" si="26"/>
        <v>0</v>
      </c>
      <c r="U215" s="2769">
        <f t="shared" si="28"/>
        <v>0</v>
      </c>
      <c r="V215" s="2810">
        <f t="shared" si="27"/>
        <v>0</v>
      </c>
    </row>
    <row r="216" spans="1:22" x14ac:dyDescent="0.25">
      <c r="A216" s="2808" t="s">
        <v>2886</v>
      </c>
      <c r="B216" s="2770">
        <v>3302</v>
      </c>
      <c r="C216" s="2766" t="s">
        <v>1873</v>
      </c>
      <c r="D216" s="2766" t="s">
        <v>331</v>
      </c>
      <c r="E216" s="2766" t="s">
        <v>1873</v>
      </c>
      <c r="F216" s="2766">
        <v>330201</v>
      </c>
      <c r="G216" s="2766" t="s">
        <v>2879</v>
      </c>
      <c r="H216" s="2766">
        <f>Dataark_til_bilag3_2018[[#This Row],[Staldkode]]+Dataark_til_bilag3_2018[[#This Row],[Dyrekode]]</f>
        <v>333503</v>
      </c>
      <c r="I216" s="4347">
        <v>0</v>
      </c>
      <c r="J216" s="2766"/>
      <c r="K216" s="2766" t="s">
        <v>350</v>
      </c>
      <c r="L216" s="2767">
        <f>87.8/100</f>
        <v>0.878</v>
      </c>
      <c r="M216" s="2766">
        <f t="shared" si="22"/>
        <v>0</v>
      </c>
      <c r="N216" s="2766">
        <v>1E-3</v>
      </c>
      <c r="O216" s="2766">
        <f t="shared" si="23"/>
        <v>0</v>
      </c>
      <c r="P216" s="2769">
        <f t="shared" si="24"/>
        <v>0</v>
      </c>
      <c r="Q216" s="2809">
        <v>0.26850000000000002</v>
      </c>
      <c r="R216" s="2769">
        <f t="shared" si="25"/>
        <v>0</v>
      </c>
      <c r="S216" s="2766">
        <v>0.01</v>
      </c>
      <c r="T216" s="2769">
        <f t="shared" si="26"/>
        <v>0</v>
      </c>
      <c r="U216" s="2769">
        <f t="shared" si="28"/>
        <v>0</v>
      </c>
      <c r="V216" s="2810">
        <f t="shared" si="27"/>
        <v>0</v>
      </c>
    </row>
    <row r="217" spans="1:22" x14ac:dyDescent="0.25">
      <c r="A217" s="2808" t="s">
        <v>1838</v>
      </c>
      <c r="B217" s="2770">
        <v>3400</v>
      </c>
      <c r="C217" s="2766" t="s">
        <v>2770</v>
      </c>
      <c r="D217" s="2766" t="s">
        <v>331</v>
      </c>
      <c r="E217" s="2766" t="s">
        <v>1872</v>
      </c>
      <c r="F217" s="2766">
        <v>340001</v>
      </c>
      <c r="G217" s="2766" t="s">
        <v>352</v>
      </c>
      <c r="H217" s="2766">
        <f>Dataark_til_bilag3_2018[[#This Row],[Staldkode]]+Dataark_til_bilag3_2018[[#This Row],[Dyrekode]]</f>
        <v>343401</v>
      </c>
      <c r="I217" s="4347">
        <v>0</v>
      </c>
      <c r="J217" s="2766"/>
      <c r="K217" s="2766" t="s">
        <v>350</v>
      </c>
      <c r="L217" s="2767">
        <f>56.1/100</f>
        <v>0.56100000000000005</v>
      </c>
      <c r="M217" s="2766">
        <f t="shared" si="22"/>
        <v>0</v>
      </c>
      <c r="N217" s="2766">
        <v>1E-3</v>
      </c>
      <c r="O217" s="2766">
        <f t="shared" si="23"/>
        <v>0</v>
      </c>
      <c r="P217" s="2769">
        <f t="shared" si="24"/>
        <v>0</v>
      </c>
      <c r="Q217" s="2809">
        <v>0.1152</v>
      </c>
      <c r="R217" s="2769">
        <f t="shared" si="25"/>
        <v>0</v>
      </c>
      <c r="S217" s="2766">
        <v>0.01</v>
      </c>
      <c r="T217" s="2769">
        <f t="shared" si="26"/>
        <v>0</v>
      </c>
      <c r="U217" s="2769">
        <f t="shared" si="28"/>
        <v>0</v>
      </c>
      <c r="V217" s="2810">
        <f t="shared" si="27"/>
        <v>0</v>
      </c>
    </row>
    <row r="218" spans="1:22" x14ac:dyDescent="0.25">
      <c r="A218" s="2808" t="s">
        <v>1837</v>
      </c>
      <c r="B218" s="2770">
        <v>3500</v>
      </c>
      <c r="C218" s="2766" t="s">
        <v>2769</v>
      </c>
      <c r="D218" s="2766" t="s">
        <v>331</v>
      </c>
      <c r="E218" s="2766" t="s">
        <v>1871</v>
      </c>
      <c r="F218" s="2766">
        <v>350001</v>
      </c>
      <c r="G218" s="2766" t="s">
        <v>2879</v>
      </c>
      <c r="H218" s="2766">
        <f>Dataark_til_bilag3_2018[[#This Row],[Staldkode]]+Dataark_til_bilag3_2018[[#This Row],[Dyrekode]]</f>
        <v>353501</v>
      </c>
      <c r="I218" s="4347">
        <v>0</v>
      </c>
      <c r="J218" s="2766"/>
      <c r="K218" s="2766" t="s">
        <v>350</v>
      </c>
      <c r="L218" s="2767">
        <f>17.3/100</f>
        <v>0.17300000000000001</v>
      </c>
      <c r="M218" s="2766">
        <f t="shared" si="22"/>
        <v>0</v>
      </c>
      <c r="N218" s="2766">
        <v>1E-3</v>
      </c>
      <c r="O218" s="2766">
        <f t="shared" si="23"/>
        <v>0</v>
      </c>
      <c r="P218" s="2769">
        <f t="shared" si="24"/>
        <v>0</v>
      </c>
      <c r="Q218" s="2809">
        <v>0.1152</v>
      </c>
      <c r="R218" s="2769">
        <f t="shared" si="25"/>
        <v>0</v>
      </c>
      <c r="S218" s="2766">
        <v>0.01</v>
      </c>
      <c r="T218" s="2769">
        <f t="shared" si="26"/>
        <v>0</v>
      </c>
      <c r="U218" s="2769">
        <f t="shared" si="28"/>
        <v>0</v>
      </c>
      <c r="V218" s="2810">
        <f t="shared" si="27"/>
        <v>0</v>
      </c>
    </row>
    <row r="219" spans="1:22" x14ac:dyDescent="0.25">
      <c r="A219" s="2808" t="s">
        <v>1839</v>
      </c>
      <c r="B219" s="2770">
        <v>4401</v>
      </c>
      <c r="C219" s="2766" t="s">
        <v>2768</v>
      </c>
      <c r="D219" s="2766" t="s">
        <v>331</v>
      </c>
      <c r="E219" s="2766" t="s">
        <v>1870</v>
      </c>
      <c r="F219" s="2766">
        <v>440101</v>
      </c>
      <c r="G219" s="2766" t="s">
        <v>2879</v>
      </c>
      <c r="H219" s="2766">
        <f>Dataark_til_bilag3_2018[[#This Row],[Staldkode]]+Dataark_til_bilag3_2018[[#This Row],[Dyrekode]]</f>
        <v>444502</v>
      </c>
      <c r="I219" s="4347" t="s">
        <v>270</v>
      </c>
      <c r="J219" s="2766"/>
      <c r="K219" s="2766" t="s">
        <v>350</v>
      </c>
      <c r="L219" s="2767">
        <f t="shared" ref="L219:L227" si="29">88.9/100</f>
        <v>0.88900000000000001</v>
      </c>
      <c r="M219" s="2766" t="str">
        <f t="shared" si="22"/>
        <v xml:space="preserve"> </v>
      </c>
      <c r="N219" s="2766">
        <v>0.01</v>
      </c>
      <c r="O219" s="2766" t="str">
        <f t="shared" si="23"/>
        <v xml:space="preserve"> </v>
      </c>
      <c r="P219" s="2769" t="str">
        <f t="shared" si="24"/>
        <v xml:space="preserve"> </v>
      </c>
      <c r="Q219" s="2809">
        <v>0.1152</v>
      </c>
      <c r="R219" s="2769" t="str">
        <f t="shared" si="25"/>
        <v xml:space="preserve"> </v>
      </c>
      <c r="S219" s="2766">
        <v>0.01</v>
      </c>
      <c r="T219" s="2769" t="str">
        <f t="shared" si="26"/>
        <v xml:space="preserve"> </v>
      </c>
      <c r="U219" s="2769">
        <f t="shared" si="28"/>
        <v>0</v>
      </c>
      <c r="V219" s="2810" t="str">
        <f t="shared" si="27"/>
        <v xml:space="preserve"> </v>
      </c>
    </row>
    <row r="220" spans="1:22" x14ac:dyDescent="0.25">
      <c r="A220" s="2771" t="s">
        <v>1839</v>
      </c>
      <c r="B220" s="2771">
        <v>4402</v>
      </c>
      <c r="C220" s="2772" t="s">
        <v>2767</v>
      </c>
      <c r="D220" s="2772" t="s">
        <v>331</v>
      </c>
      <c r="E220" s="2772" t="s">
        <v>2766</v>
      </c>
      <c r="F220" s="2772">
        <v>440201</v>
      </c>
      <c r="G220" s="2772" t="s">
        <v>2879</v>
      </c>
      <c r="H220" s="2772">
        <f>Dataark_til_bilag3_2018[[#This Row],[Staldkode]]+Dataark_til_bilag3_2018[[#This Row],[Dyrekode]]</f>
        <v>444603</v>
      </c>
      <c r="I220" s="4347" t="s">
        <v>270</v>
      </c>
      <c r="J220" s="2772"/>
      <c r="K220" s="2766" t="s">
        <v>350</v>
      </c>
      <c r="L220" s="2767">
        <f t="shared" si="29"/>
        <v>0.88900000000000001</v>
      </c>
      <c r="M220" s="2766" t="str">
        <f t="shared" si="22"/>
        <v xml:space="preserve"> </v>
      </c>
      <c r="N220" s="2766">
        <v>0.01</v>
      </c>
      <c r="O220" s="2766" t="str">
        <f t="shared" si="23"/>
        <v xml:space="preserve"> </v>
      </c>
      <c r="P220" s="2769" t="str">
        <f t="shared" si="24"/>
        <v xml:space="preserve"> </v>
      </c>
      <c r="Q220" s="2809">
        <v>0.1152</v>
      </c>
      <c r="R220" s="2769" t="str">
        <f t="shared" si="25"/>
        <v xml:space="preserve"> </v>
      </c>
      <c r="S220" s="2766">
        <v>0.01</v>
      </c>
      <c r="T220" s="2769" t="str">
        <f t="shared" si="26"/>
        <v xml:space="preserve"> </v>
      </c>
      <c r="U220" s="2769">
        <f t="shared" si="28"/>
        <v>0</v>
      </c>
      <c r="V220" s="2810" t="str">
        <f t="shared" si="27"/>
        <v xml:space="preserve"> </v>
      </c>
    </row>
    <row r="221" spans="1:22" x14ac:dyDescent="0.25">
      <c r="A221" s="2770" t="s">
        <v>662</v>
      </c>
      <c r="B221" s="2770">
        <v>4501</v>
      </c>
      <c r="C221" s="2766" t="s">
        <v>1869</v>
      </c>
      <c r="D221" s="2766" t="s">
        <v>331</v>
      </c>
      <c r="E221" s="2766" t="s">
        <v>1868</v>
      </c>
      <c r="F221" s="2766">
        <v>450101</v>
      </c>
      <c r="G221" s="2766" t="s">
        <v>2879</v>
      </c>
      <c r="H221" s="2766">
        <f>Dataark_til_bilag3_2018[[#This Row],[Staldkode]]+Dataark_til_bilag3_2018[[#This Row],[Dyrekode]]</f>
        <v>454602</v>
      </c>
      <c r="I221" s="4347">
        <v>0</v>
      </c>
      <c r="J221" s="2766"/>
      <c r="K221" s="2766" t="s">
        <v>350</v>
      </c>
      <c r="L221" s="2767">
        <f t="shared" si="29"/>
        <v>0.88900000000000001</v>
      </c>
      <c r="M221" s="2766">
        <f t="shared" si="22"/>
        <v>0</v>
      </c>
      <c r="N221" s="2766">
        <v>1E-3</v>
      </c>
      <c r="O221" s="2766">
        <f t="shared" si="23"/>
        <v>0</v>
      </c>
      <c r="P221" s="2769">
        <f t="shared" si="24"/>
        <v>0</v>
      </c>
      <c r="Q221" s="2809">
        <v>0.1152</v>
      </c>
      <c r="R221" s="2769">
        <f t="shared" si="25"/>
        <v>0</v>
      </c>
      <c r="S221" s="2766">
        <v>0.01</v>
      </c>
      <c r="T221" s="2769">
        <f t="shared" si="26"/>
        <v>0</v>
      </c>
      <c r="U221" s="2769">
        <f t="shared" si="28"/>
        <v>0</v>
      </c>
      <c r="V221" s="2810">
        <f t="shared" si="27"/>
        <v>0</v>
      </c>
    </row>
    <row r="222" spans="1:22" x14ac:dyDescent="0.25">
      <c r="A222" s="2770" t="s">
        <v>662</v>
      </c>
      <c r="B222" s="2770">
        <v>4502</v>
      </c>
      <c r="C222" s="2766" t="s">
        <v>1867</v>
      </c>
      <c r="D222" s="2766" t="s">
        <v>331</v>
      </c>
      <c r="E222" s="2766" t="s">
        <v>2885</v>
      </c>
      <c r="F222" s="2766">
        <v>450201</v>
      </c>
      <c r="G222" s="2766" t="s">
        <v>2879</v>
      </c>
      <c r="H222" s="2766">
        <f>Dataark_til_bilag3_2018[[#This Row],[Staldkode]]+Dataark_til_bilag3_2018[[#This Row],[Dyrekode]]</f>
        <v>454703</v>
      </c>
      <c r="I222" s="4347" t="s">
        <v>270</v>
      </c>
      <c r="J222" s="2766"/>
      <c r="K222" s="2766" t="s">
        <v>350</v>
      </c>
      <c r="L222" s="2767">
        <f t="shared" si="29"/>
        <v>0.88900000000000001</v>
      </c>
      <c r="M222" s="2766" t="str">
        <f t="shared" si="22"/>
        <v xml:space="preserve"> </v>
      </c>
      <c r="N222" s="2766">
        <v>1E-3</v>
      </c>
      <c r="O222" s="2766" t="str">
        <f t="shared" si="23"/>
        <v xml:space="preserve"> </v>
      </c>
      <c r="P222" s="2769" t="str">
        <f t="shared" si="24"/>
        <v xml:space="preserve"> </v>
      </c>
      <c r="Q222" s="2809">
        <v>0.1152</v>
      </c>
      <c r="R222" s="2769" t="str">
        <f t="shared" si="25"/>
        <v xml:space="preserve"> </v>
      </c>
      <c r="S222" s="2766">
        <v>0.01</v>
      </c>
      <c r="T222" s="2769" t="str">
        <f t="shared" si="26"/>
        <v xml:space="preserve"> </v>
      </c>
      <c r="U222" s="2769">
        <f t="shared" si="28"/>
        <v>0</v>
      </c>
      <c r="V222" s="2810" t="str">
        <f t="shared" si="27"/>
        <v xml:space="preserve"> </v>
      </c>
    </row>
    <row r="223" spans="1:22" x14ac:dyDescent="0.25">
      <c r="A223" s="2770" t="s">
        <v>662</v>
      </c>
      <c r="B223" s="2770">
        <v>4701</v>
      </c>
      <c r="C223" s="2766" t="s">
        <v>1866</v>
      </c>
      <c r="D223" s="2766" t="s">
        <v>331</v>
      </c>
      <c r="E223" s="2766" t="s">
        <v>2884</v>
      </c>
      <c r="F223" s="2766">
        <v>470101</v>
      </c>
      <c r="G223" s="2766" t="s">
        <v>2879</v>
      </c>
      <c r="H223" s="2766">
        <f>Dataark_til_bilag3_2018[[#This Row],[Staldkode]]+Dataark_til_bilag3_2018[[#This Row],[Dyrekode]]</f>
        <v>474802</v>
      </c>
      <c r="I223" s="4347">
        <v>0</v>
      </c>
      <c r="J223" s="2766"/>
      <c r="K223" s="2766" t="s">
        <v>350</v>
      </c>
      <c r="L223" s="2767">
        <f t="shared" si="29"/>
        <v>0.88900000000000001</v>
      </c>
      <c r="M223" s="2766">
        <f t="shared" si="22"/>
        <v>0</v>
      </c>
      <c r="N223" s="2766">
        <v>0.01</v>
      </c>
      <c r="O223" s="2766">
        <f t="shared" si="23"/>
        <v>0</v>
      </c>
      <c r="P223" s="2769">
        <f t="shared" si="24"/>
        <v>0</v>
      </c>
      <c r="Q223" s="2809">
        <v>0.1152</v>
      </c>
      <c r="R223" s="2769">
        <f t="shared" si="25"/>
        <v>0</v>
      </c>
      <c r="S223" s="2766">
        <v>0.01</v>
      </c>
      <c r="T223" s="2769">
        <f t="shared" si="26"/>
        <v>0</v>
      </c>
      <c r="U223" s="2769">
        <f t="shared" si="28"/>
        <v>0</v>
      </c>
      <c r="V223" s="2810">
        <f t="shared" si="27"/>
        <v>0</v>
      </c>
    </row>
    <row r="224" spans="1:22" x14ac:dyDescent="0.25">
      <c r="A224" s="2770" t="s">
        <v>662</v>
      </c>
      <c r="B224" s="2770">
        <v>4703</v>
      </c>
      <c r="C224" s="2766" t="s">
        <v>1864</v>
      </c>
      <c r="D224" s="2766" t="s">
        <v>331</v>
      </c>
      <c r="E224" s="2766" t="s">
        <v>2883</v>
      </c>
      <c r="F224" s="2766">
        <v>470301</v>
      </c>
      <c r="G224" s="2766" t="s">
        <v>2879</v>
      </c>
      <c r="H224" s="2766">
        <f>Dataark_til_bilag3_2018[[#This Row],[Staldkode]]+Dataark_til_bilag3_2018[[#This Row],[Dyrekode]]</f>
        <v>475004</v>
      </c>
      <c r="I224" s="4347">
        <v>0</v>
      </c>
      <c r="J224" s="2766"/>
      <c r="K224" s="2766" t="s">
        <v>350</v>
      </c>
      <c r="L224" s="2767">
        <f t="shared" si="29"/>
        <v>0.88900000000000001</v>
      </c>
      <c r="M224" s="2766">
        <f t="shared" si="22"/>
        <v>0</v>
      </c>
      <c r="N224" s="2766">
        <v>0.01</v>
      </c>
      <c r="O224" s="2766">
        <f t="shared" si="23"/>
        <v>0</v>
      </c>
      <c r="P224" s="2769">
        <f t="shared" si="24"/>
        <v>0</v>
      </c>
      <c r="Q224" s="2809">
        <v>0.1152</v>
      </c>
      <c r="R224" s="2769">
        <f t="shared" si="25"/>
        <v>0</v>
      </c>
      <c r="S224" s="2766">
        <v>0.01</v>
      </c>
      <c r="T224" s="2769">
        <f t="shared" si="26"/>
        <v>0</v>
      </c>
      <c r="U224" s="2769">
        <f t="shared" si="28"/>
        <v>0</v>
      </c>
      <c r="V224" s="2810">
        <f t="shared" si="27"/>
        <v>0</v>
      </c>
    </row>
    <row r="225" spans="1:22" x14ac:dyDescent="0.25">
      <c r="A225" s="2770" t="s">
        <v>662</v>
      </c>
      <c r="B225" s="2770">
        <v>4705</v>
      </c>
      <c r="C225" s="2766" t="s">
        <v>1862</v>
      </c>
      <c r="D225" s="2766" t="s">
        <v>331</v>
      </c>
      <c r="E225" s="2766" t="s">
        <v>1861</v>
      </c>
      <c r="F225" s="2766">
        <v>470501</v>
      </c>
      <c r="G225" s="2766" t="s">
        <v>2879</v>
      </c>
      <c r="H225" s="2766">
        <f>Dataark_til_bilag3_2018[[#This Row],[Staldkode]]+Dataark_til_bilag3_2018[[#This Row],[Dyrekode]]</f>
        <v>475206</v>
      </c>
      <c r="I225" s="4347">
        <v>0</v>
      </c>
      <c r="J225" s="2766"/>
      <c r="K225" s="2766" t="s">
        <v>350</v>
      </c>
      <c r="L225" s="2767">
        <f t="shared" si="29"/>
        <v>0.88900000000000001</v>
      </c>
      <c r="M225" s="2766">
        <f t="shared" si="22"/>
        <v>0</v>
      </c>
      <c r="N225" s="2766">
        <v>0.01</v>
      </c>
      <c r="O225" s="2766">
        <f t="shared" si="23"/>
        <v>0</v>
      </c>
      <c r="P225" s="2769">
        <f t="shared" si="24"/>
        <v>0</v>
      </c>
      <c r="Q225" s="2809">
        <v>0.1152</v>
      </c>
      <c r="R225" s="2769">
        <f t="shared" si="25"/>
        <v>0</v>
      </c>
      <c r="S225" s="2766">
        <v>0.01</v>
      </c>
      <c r="T225" s="2769">
        <f t="shared" si="26"/>
        <v>0</v>
      </c>
      <c r="U225" s="2769">
        <f t="shared" si="28"/>
        <v>0</v>
      </c>
      <c r="V225" s="2810">
        <f t="shared" si="27"/>
        <v>0</v>
      </c>
    </row>
    <row r="226" spans="1:22" x14ac:dyDescent="0.25">
      <c r="A226" s="2770" t="s">
        <v>662</v>
      </c>
      <c r="B226" s="2770">
        <v>4706</v>
      </c>
      <c r="C226" s="2766" t="s">
        <v>1860</v>
      </c>
      <c r="D226" s="2766" t="s">
        <v>331</v>
      </c>
      <c r="E226" s="2766" t="s">
        <v>1859</v>
      </c>
      <c r="F226" s="2766">
        <v>470601</v>
      </c>
      <c r="G226" s="2766" t="s">
        <v>2879</v>
      </c>
      <c r="H226" s="2766">
        <f>Dataark_til_bilag3_2018[[#This Row],[Staldkode]]+Dataark_til_bilag3_2018[[#This Row],[Dyrekode]]</f>
        <v>475307</v>
      </c>
      <c r="I226" s="4347">
        <v>0</v>
      </c>
      <c r="J226" s="2766"/>
      <c r="K226" s="2766" t="s">
        <v>350</v>
      </c>
      <c r="L226" s="2767">
        <f t="shared" si="29"/>
        <v>0.88900000000000001</v>
      </c>
      <c r="M226" s="2766">
        <f t="shared" si="22"/>
        <v>0</v>
      </c>
      <c r="N226" s="2766">
        <v>0.01</v>
      </c>
      <c r="O226" s="2766">
        <f t="shared" si="23"/>
        <v>0</v>
      </c>
      <c r="P226" s="2769">
        <f t="shared" si="24"/>
        <v>0</v>
      </c>
      <c r="Q226" s="2809">
        <v>0.1152</v>
      </c>
      <c r="R226" s="2769">
        <f t="shared" si="25"/>
        <v>0</v>
      </c>
      <c r="S226" s="2766">
        <v>0.01</v>
      </c>
      <c r="T226" s="2769">
        <f t="shared" si="26"/>
        <v>0</v>
      </c>
      <c r="U226" s="2769">
        <f t="shared" si="28"/>
        <v>0</v>
      </c>
      <c r="V226" s="2810">
        <f t="shared" si="27"/>
        <v>0</v>
      </c>
    </row>
    <row r="227" spans="1:22" x14ac:dyDescent="0.25">
      <c r="A227" s="2808" t="s">
        <v>1858</v>
      </c>
      <c r="B227" s="2770">
        <v>9923</v>
      </c>
      <c r="C227" s="2766" t="s">
        <v>2764</v>
      </c>
      <c r="D227" s="2766" t="s">
        <v>337</v>
      </c>
      <c r="E227" s="2766" t="s">
        <v>1857</v>
      </c>
      <c r="F227" s="2766">
        <v>992301</v>
      </c>
      <c r="G227" s="2766" t="s">
        <v>2879</v>
      </c>
      <c r="H227" s="2766">
        <f>Dataark_til_bilag3_2018[[#This Row],[Staldkode]]+Dataark_til_bilag3_2018[[#This Row],[Dyrekode]]</f>
        <v>1002224</v>
      </c>
      <c r="I227" s="4347">
        <v>0</v>
      </c>
      <c r="J227" s="2766" t="s">
        <v>1924</v>
      </c>
      <c r="K227" s="2766"/>
      <c r="L227" s="2767">
        <f t="shared" si="29"/>
        <v>0.88900000000000001</v>
      </c>
      <c r="M227" s="2766">
        <f t="shared" si="22"/>
        <v>0</v>
      </c>
      <c r="N227" s="2766">
        <v>0.01</v>
      </c>
      <c r="O227" s="2766">
        <f t="shared" si="23"/>
        <v>0</v>
      </c>
      <c r="P227" s="2769">
        <f t="shared" si="24"/>
        <v>0</v>
      </c>
      <c r="Q227" s="2814" t="s">
        <v>1209</v>
      </c>
      <c r="R227" s="2783" t="str">
        <f t="shared" si="25"/>
        <v xml:space="preserve"> </v>
      </c>
      <c r="S227" s="2766">
        <v>0.01</v>
      </c>
      <c r="T227" s="2783" t="str">
        <f t="shared" si="26"/>
        <v xml:space="preserve"> </v>
      </c>
      <c r="U227" s="2783">
        <f t="shared" si="28"/>
        <v>0</v>
      </c>
      <c r="V227" s="2783">
        <f t="shared" si="27"/>
        <v>0</v>
      </c>
    </row>
    <row r="228" spans="1:22" ht="33" customHeight="1" x14ac:dyDescent="0.25">
      <c r="A228" s="2845" t="s">
        <v>228</v>
      </c>
      <c r="B228" s="2845"/>
      <c r="C228" s="2845"/>
      <c r="D228" s="2845"/>
      <c r="E228" s="2845"/>
      <c r="F228" s="2845"/>
      <c r="G228" s="2845"/>
      <c r="H228" s="2845"/>
      <c r="I228" s="4349" t="s">
        <v>5451</v>
      </c>
      <c r="J228" s="2845"/>
      <c r="K228" s="2845"/>
      <c r="L228" s="2846"/>
      <c r="M228" s="2816"/>
      <c r="N228" s="2845"/>
      <c r="O228" s="2816"/>
      <c r="P228" s="2817"/>
      <c r="Q228" s="2847"/>
      <c r="R228" s="2817">
        <f>SUBTOTAL(109,Dataark_til_bilag3_2018[Total N fra fordampning])</f>
        <v>16223.963820069999</v>
      </c>
      <c r="S228" s="2845"/>
      <c r="T228" s="2817"/>
      <c r="U228" s="2817"/>
      <c r="V228" s="2846">
        <f>SUBTOTAL(109,Dataark_til_bilag3_2018[Total udledning af N2O  (ton)])</f>
        <v>3.5306618611011009</v>
      </c>
    </row>
    <row r="229" spans="1:22" s="2763" customFormat="1" ht="165" x14ac:dyDescent="0.2">
      <c r="A229" s="2818" t="s">
        <v>2062</v>
      </c>
      <c r="B229" s="2818"/>
      <c r="E229" s="2819" t="s">
        <v>1845</v>
      </c>
      <c r="F229" s="2819"/>
      <c r="G229" s="2819"/>
      <c r="H229" s="2819"/>
      <c r="I229" s="2820"/>
      <c r="L229" s="2821" t="s">
        <v>5232</v>
      </c>
      <c r="M229" s="2822"/>
      <c r="N229" s="2823" t="s">
        <v>4213</v>
      </c>
      <c r="O229" s="2822"/>
      <c r="P229" s="2824"/>
      <c r="Q229" s="2825" t="s">
        <v>2882</v>
      </c>
      <c r="R229" s="2824"/>
      <c r="S229" s="2823" t="s">
        <v>4214</v>
      </c>
      <c r="T229" s="2824"/>
      <c r="U229" s="2824"/>
      <c r="V229" s="2824"/>
    </row>
    <row r="230" spans="1:22" x14ac:dyDescent="0.25">
      <c r="I230" s="2826"/>
      <c r="L230" s="2827"/>
      <c r="M230" s="2828"/>
      <c r="N230" s="2829"/>
      <c r="O230" s="2828"/>
      <c r="P230" s="2830"/>
      <c r="Q230" s="2831"/>
      <c r="R230" s="2830"/>
      <c r="S230" s="2829"/>
      <c r="T230" s="2830"/>
      <c r="U230" s="2830"/>
      <c r="V230" s="2830"/>
    </row>
    <row r="232" spans="1:22" x14ac:dyDescent="0.25">
      <c r="B232" s="2742"/>
      <c r="C232" s="2742"/>
      <c r="I232" s="2746"/>
      <c r="L232" s="2746"/>
      <c r="P232" s="2746"/>
      <c r="Q232" s="2746"/>
      <c r="R232" s="2746"/>
    </row>
    <row r="233" spans="1:22" x14ac:dyDescent="0.25">
      <c r="B233" s="2742"/>
      <c r="C233" s="2742"/>
      <c r="I233" s="2746"/>
      <c r="L233" s="2746"/>
      <c r="P233" s="2746"/>
      <c r="Q233" s="2746"/>
      <c r="R233" s="2746"/>
    </row>
    <row r="234" spans="1:22" x14ac:dyDescent="0.25">
      <c r="B234" s="2742"/>
      <c r="C234" s="2742"/>
      <c r="I234" s="2746"/>
      <c r="L234" s="2746"/>
      <c r="P234" s="2746"/>
      <c r="Q234" s="2746"/>
      <c r="R234" s="2746"/>
    </row>
    <row r="235" spans="1:22" x14ac:dyDescent="0.25">
      <c r="A235" s="2790"/>
      <c r="B235" s="2742"/>
      <c r="C235" s="2742"/>
    </row>
    <row r="236" spans="1:22" x14ac:dyDescent="0.25">
      <c r="B236" s="2742"/>
      <c r="C236" s="2742"/>
    </row>
    <row r="237" spans="1:22" x14ac:dyDescent="0.25">
      <c r="B237" s="2742"/>
      <c r="C237" s="2742"/>
    </row>
    <row r="238" spans="1:22" x14ac:dyDescent="0.25">
      <c r="B238" s="2742"/>
      <c r="C238" s="2742"/>
    </row>
    <row r="239" spans="1:22" x14ac:dyDescent="0.25">
      <c r="B239" s="2742"/>
      <c r="C239" s="2742"/>
    </row>
    <row r="240" spans="1:22" x14ac:dyDescent="0.25">
      <c r="B240" s="2742"/>
      <c r="C240" s="2742"/>
    </row>
    <row r="241" spans="2:3" x14ac:dyDescent="0.25">
      <c r="B241" s="2742"/>
      <c r="C241" s="2742"/>
    </row>
    <row r="242" spans="2:3" x14ac:dyDescent="0.25">
      <c r="B242" s="2742"/>
      <c r="C242" s="2742"/>
    </row>
    <row r="243" spans="2:3" x14ac:dyDescent="0.25">
      <c r="B243" s="2742"/>
      <c r="C243" s="2742"/>
    </row>
    <row r="244" spans="2:3" x14ac:dyDescent="0.25">
      <c r="B244" s="2742"/>
      <c r="C244" s="2742"/>
    </row>
    <row r="245" spans="2:3" x14ac:dyDescent="0.25">
      <c r="B245" s="2742"/>
      <c r="C245" s="2742"/>
    </row>
    <row r="246" spans="2:3" x14ac:dyDescent="0.25">
      <c r="B246" s="2742"/>
      <c r="C246" s="2742"/>
    </row>
    <row r="247" spans="2:3" x14ac:dyDescent="0.25">
      <c r="B247" s="2742"/>
      <c r="C247" s="2742"/>
    </row>
    <row r="248" spans="2:3" x14ac:dyDescent="0.25">
      <c r="B248" s="2742"/>
      <c r="C248" s="2742"/>
    </row>
    <row r="249" spans="2:3" x14ac:dyDescent="0.25">
      <c r="B249" s="2742"/>
      <c r="C249" s="2742"/>
    </row>
  </sheetData>
  <mergeCells count="3">
    <mergeCell ref="A3:G3"/>
    <mergeCell ref="L3:P3"/>
    <mergeCell ref="Q3:U3"/>
  </mergeCells>
  <hyperlinks>
    <hyperlink ref="A2" location="Index!A1" display="Til index" xr:uid="{91EA3CC0-5E6E-4B5D-9010-6F0011E9C6B5}"/>
  </hyperlinks>
  <pageMargins left="0.7" right="0.7" top="0.75" bottom="0.75" header="0.3" footer="0.3"/>
  <pageSetup paperSize="9" orientation="portrait" r:id="rId1"/>
  <drawing r:id="rId2"/>
  <legacyDrawing r:id="rId3"/>
  <tableParts count="1">
    <tablePart r:id="rId4"/>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D798B-DCD6-4A7A-9C6C-730DFCEDD899}">
  <sheetPr codeName="Ark152">
    <tabColor theme="3" tint="0.59999389629810485"/>
  </sheetPr>
  <dimension ref="A1:D43"/>
  <sheetViews>
    <sheetView zoomScale="70" zoomScaleNormal="70" workbookViewId="0">
      <selection activeCell="C3" sqref="C3:D39"/>
    </sheetView>
  </sheetViews>
  <sheetFormatPr defaultColWidth="9.140625" defaultRowHeight="15" x14ac:dyDescent="0.25"/>
  <cols>
    <col min="1" max="1" width="16.7109375" style="1008" bestFit="1" customWidth="1"/>
    <col min="2" max="2" width="53.85546875" style="1008" customWidth="1"/>
    <col min="3" max="3" width="16.7109375" style="1008" bestFit="1" customWidth="1"/>
    <col min="4" max="4" width="16.7109375" style="1008" customWidth="1"/>
    <col min="5" max="6" width="9.140625" style="1008"/>
    <col min="7" max="7" width="60.7109375" style="1008" bestFit="1" customWidth="1"/>
    <col min="8" max="8" width="52" style="1008" bestFit="1" customWidth="1"/>
    <col min="9" max="9" width="17.28515625" style="1008" bestFit="1" customWidth="1"/>
    <col min="10" max="10" width="13.85546875" style="1008" bestFit="1" customWidth="1"/>
    <col min="11" max="16384" width="9.140625" style="1008"/>
  </cols>
  <sheetData>
    <row r="1" spans="1:4" x14ac:dyDescent="0.25">
      <c r="A1" s="4146" t="str">
        <f>'Dyrehold 2018'!U4</f>
        <v>Læsø Kommune 2018</v>
      </c>
      <c r="B1"/>
      <c r="C1"/>
      <c r="D1"/>
    </row>
    <row r="2" spans="1:4" x14ac:dyDescent="0.25">
      <c r="A2" s="2333" t="s">
        <v>2878</v>
      </c>
      <c r="B2" s="2333" t="s">
        <v>2877</v>
      </c>
      <c r="C2" s="4035" t="s">
        <v>5319</v>
      </c>
      <c r="D2" s="2334" t="s">
        <v>2876</v>
      </c>
    </row>
    <row r="3" spans="1:4" x14ac:dyDescent="0.25">
      <c r="A3" s="4090" t="s">
        <v>2910</v>
      </c>
      <c r="B3" s="2333" t="s">
        <v>2875</v>
      </c>
      <c r="C3" s="2334"/>
      <c r="D3" s="2334"/>
    </row>
    <row r="4" spans="1:4" x14ac:dyDescent="0.25">
      <c r="A4" s="4090" t="str">
        <f>A3</f>
        <v>-</v>
      </c>
      <c r="B4" s="2333" t="s">
        <v>2874</v>
      </c>
      <c r="C4" s="4091"/>
      <c r="D4" s="4091"/>
    </row>
    <row r="5" spans="1:4" x14ac:dyDescent="0.25">
      <c r="A5" s="4090" t="str">
        <f t="shared" ref="A5:A42" si="0">A4</f>
        <v>-</v>
      </c>
      <c r="B5" s="2333" t="s">
        <v>2873</v>
      </c>
      <c r="C5" s="4175"/>
      <c r="D5" s="4175"/>
    </row>
    <row r="6" spans="1:4" x14ac:dyDescent="0.25">
      <c r="A6" s="4090" t="str">
        <f t="shared" si="0"/>
        <v>-</v>
      </c>
      <c r="B6" s="2333" t="s">
        <v>2872</v>
      </c>
      <c r="C6" s="2334"/>
      <c r="D6" s="2334"/>
    </row>
    <row r="7" spans="1:4" x14ac:dyDescent="0.25">
      <c r="A7" s="4090" t="str">
        <f t="shared" si="0"/>
        <v>-</v>
      </c>
      <c r="B7" s="2333" t="s">
        <v>2871</v>
      </c>
      <c r="C7" s="4175"/>
      <c r="D7" s="4175"/>
    </row>
    <row r="8" spans="1:4" x14ac:dyDescent="0.25">
      <c r="A8" s="4090" t="str">
        <f t="shared" si="0"/>
        <v>-</v>
      </c>
      <c r="B8" s="2694" t="s">
        <v>2835</v>
      </c>
      <c r="C8" s="4175"/>
      <c r="D8" s="4175"/>
    </row>
    <row r="9" spans="1:4" x14ac:dyDescent="0.25">
      <c r="A9" s="4090" t="str">
        <f t="shared" si="0"/>
        <v>-</v>
      </c>
      <c r="B9" s="2333" t="s">
        <v>2870</v>
      </c>
      <c r="C9" s="2334"/>
      <c r="D9" s="2334"/>
    </row>
    <row r="10" spans="1:4" x14ac:dyDescent="0.25">
      <c r="A10" s="4090" t="str">
        <f t="shared" si="0"/>
        <v>-</v>
      </c>
      <c r="B10" s="2694" t="s">
        <v>2869</v>
      </c>
      <c r="C10" s="4175"/>
      <c r="D10" s="4175"/>
    </row>
    <row r="11" spans="1:4" x14ac:dyDescent="0.25">
      <c r="A11" s="4090" t="str">
        <f t="shared" si="0"/>
        <v>-</v>
      </c>
      <c r="B11" s="2694" t="s">
        <v>2868</v>
      </c>
      <c r="C11" s="4175"/>
      <c r="D11" s="4175"/>
    </row>
    <row r="12" spans="1:4" x14ac:dyDescent="0.25">
      <c r="A12" s="4090" t="str">
        <f t="shared" si="0"/>
        <v>-</v>
      </c>
      <c r="B12" s="2694" t="s">
        <v>2867</v>
      </c>
      <c r="C12" s="4175"/>
      <c r="D12" s="4175"/>
    </row>
    <row r="13" spans="1:4" x14ac:dyDescent="0.25">
      <c r="A13" s="4090" t="str">
        <f t="shared" si="0"/>
        <v>-</v>
      </c>
      <c r="B13" s="2333" t="s">
        <v>1903</v>
      </c>
      <c r="C13" s="2334"/>
      <c r="D13" s="2334"/>
    </row>
    <row r="14" spans="1:4" x14ac:dyDescent="0.25">
      <c r="A14" s="4090" t="str">
        <f t="shared" si="0"/>
        <v>-</v>
      </c>
      <c r="B14" s="2333" t="s">
        <v>2866</v>
      </c>
      <c r="C14" s="2334"/>
      <c r="D14" s="2334"/>
    </row>
    <row r="15" spans="1:4" x14ac:dyDescent="0.25">
      <c r="A15" s="4090" t="str">
        <f t="shared" si="0"/>
        <v>-</v>
      </c>
      <c r="B15" s="2333" t="s">
        <v>2865</v>
      </c>
      <c r="C15" s="2334"/>
      <c r="D15" s="2334"/>
    </row>
    <row r="16" spans="1:4" x14ac:dyDescent="0.25">
      <c r="A16" s="4090" t="str">
        <f t="shared" si="0"/>
        <v>-</v>
      </c>
      <c r="B16" s="2694" t="s">
        <v>1906</v>
      </c>
      <c r="C16" s="4175"/>
      <c r="D16" s="4175"/>
    </row>
    <row r="17" spans="1:4" x14ac:dyDescent="0.25">
      <c r="A17" s="4090" t="str">
        <f t="shared" si="0"/>
        <v>-</v>
      </c>
      <c r="B17" s="2333" t="s">
        <v>2864</v>
      </c>
      <c r="C17" s="2334"/>
      <c r="D17" s="2334"/>
    </row>
    <row r="18" spans="1:4" x14ac:dyDescent="0.25">
      <c r="A18" s="4090" t="str">
        <f t="shared" si="0"/>
        <v>-</v>
      </c>
      <c r="B18" s="2333" t="s">
        <v>2863</v>
      </c>
      <c r="C18" s="4175"/>
      <c r="D18" s="4175"/>
    </row>
    <row r="19" spans="1:4" x14ac:dyDescent="0.25">
      <c r="A19" s="4090" t="str">
        <f t="shared" si="0"/>
        <v>-</v>
      </c>
      <c r="B19" s="2333" t="s">
        <v>2862</v>
      </c>
      <c r="C19" s="4175"/>
      <c r="D19" s="4175"/>
    </row>
    <row r="20" spans="1:4" x14ac:dyDescent="0.25">
      <c r="A20" s="4090" t="str">
        <f t="shared" si="0"/>
        <v>-</v>
      </c>
      <c r="B20" s="2333" t="s">
        <v>2861</v>
      </c>
      <c r="C20" s="4175"/>
      <c r="D20" s="4175"/>
    </row>
    <row r="21" spans="1:4" x14ac:dyDescent="0.25">
      <c r="A21" s="4090" t="str">
        <f t="shared" si="0"/>
        <v>-</v>
      </c>
      <c r="B21" s="2333" t="s">
        <v>2860</v>
      </c>
      <c r="C21" s="2334"/>
      <c r="D21" s="2334"/>
    </row>
    <row r="22" spans="1:4" x14ac:dyDescent="0.25">
      <c r="A22" s="4090" t="str">
        <f t="shared" si="0"/>
        <v>-</v>
      </c>
      <c r="B22" s="2333" t="s">
        <v>2859</v>
      </c>
      <c r="C22" s="2334"/>
      <c r="D22" s="2334"/>
    </row>
    <row r="23" spans="1:4" x14ac:dyDescent="0.25">
      <c r="A23" s="4090" t="str">
        <f t="shared" si="0"/>
        <v>-</v>
      </c>
      <c r="B23" s="2333" t="s">
        <v>2858</v>
      </c>
      <c r="C23" s="2334"/>
      <c r="D23" s="2334"/>
    </row>
    <row r="24" spans="1:4" x14ac:dyDescent="0.25">
      <c r="A24" s="4090" t="str">
        <f t="shared" si="0"/>
        <v>-</v>
      </c>
      <c r="B24" s="2333" t="s">
        <v>2857</v>
      </c>
      <c r="C24" s="4175"/>
      <c r="D24" s="4175"/>
    </row>
    <row r="25" spans="1:4" x14ac:dyDescent="0.25">
      <c r="A25" s="4090" t="str">
        <f t="shared" si="0"/>
        <v>-</v>
      </c>
      <c r="B25" s="2333" t="s">
        <v>2856</v>
      </c>
      <c r="C25" s="4175"/>
      <c r="D25" s="4175"/>
    </row>
    <row r="26" spans="1:4" x14ac:dyDescent="0.25">
      <c r="A26" s="4090" t="str">
        <f t="shared" si="0"/>
        <v>-</v>
      </c>
      <c r="B26" s="2333" t="s">
        <v>2855</v>
      </c>
      <c r="C26" s="4175"/>
      <c r="D26" s="4175"/>
    </row>
    <row r="27" spans="1:4" x14ac:dyDescent="0.25">
      <c r="A27" s="4090" t="str">
        <f t="shared" si="0"/>
        <v>-</v>
      </c>
      <c r="B27" s="2694" t="s">
        <v>1977</v>
      </c>
      <c r="C27" s="4175"/>
      <c r="D27" s="4175"/>
    </row>
    <row r="28" spans="1:4" x14ac:dyDescent="0.25">
      <c r="A28" s="4090" t="str">
        <f t="shared" si="0"/>
        <v>-</v>
      </c>
      <c r="B28" s="2333" t="s">
        <v>2854</v>
      </c>
      <c r="C28" s="2334"/>
      <c r="D28" s="2334"/>
    </row>
    <row r="29" spans="1:4" x14ac:dyDescent="0.25">
      <c r="A29" s="4090" t="str">
        <f t="shared" si="0"/>
        <v>-</v>
      </c>
      <c r="B29" s="2333" t="s">
        <v>2853</v>
      </c>
      <c r="C29" s="2334"/>
      <c r="D29" s="2334"/>
    </row>
    <row r="30" spans="1:4" x14ac:dyDescent="0.25">
      <c r="A30" s="4090" t="str">
        <f t="shared" si="0"/>
        <v>-</v>
      </c>
      <c r="B30" s="2333" t="s">
        <v>2852</v>
      </c>
      <c r="C30" s="4175"/>
      <c r="D30" s="4175"/>
    </row>
    <row r="31" spans="1:4" x14ac:dyDescent="0.25">
      <c r="A31" s="4090" t="str">
        <f t="shared" si="0"/>
        <v>-</v>
      </c>
      <c r="B31" s="2333" t="s">
        <v>2851</v>
      </c>
      <c r="C31" s="4175"/>
      <c r="D31" s="4175"/>
    </row>
    <row r="32" spans="1:4" x14ac:dyDescent="0.25">
      <c r="A32" s="4090" t="str">
        <f t="shared" si="0"/>
        <v>-</v>
      </c>
      <c r="B32" s="2333" t="s">
        <v>2850</v>
      </c>
      <c r="C32" s="2334"/>
      <c r="D32" s="2334"/>
    </row>
    <row r="33" spans="1:4" x14ac:dyDescent="0.25">
      <c r="A33" s="4090" t="str">
        <f t="shared" si="0"/>
        <v>-</v>
      </c>
      <c r="B33" s="2333" t="s">
        <v>2849</v>
      </c>
      <c r="C33" s="4175"/>
      <c r="D33" s="4175"/>
    </row>
    <row r="34" spans="1:4" x14ac:dyDescent="0.25">
      <c r="A34" s="4090" t="str">
        <f t="shared" si="0"/>
        <v>-</v>
      </c>
      <c r="B34" s="2333" t="s">
        <v>2848</v>
      </c>
      <c r="C34" s="4175"/>
      <c r="D34" s="4175"/>
    </row>
    <row r="35" spans="1:4" x14ac:dyDescent="0.25">
      <c r="A35" s="4090" t="str">
        <f t="shared" si="0"/>
        <v>-</v>
      </c>
      <c r="B35" s="2333" t="s">
        <v>2847</v>
      </c>
      <c r="C35" s="2334"/>
      <c r="D35" s="2334"/>
    </row>
    <row r="36" spans="1:4" x14ac:dyDescent="0.25">
      <c r="A36" s="4090" t="str">
        <f t="shared" si="0"/>
        <v>-</v>
      </c>
      <c r="B36" s="2333" t="s">
        <v>2846</v>
      </c>
      <c r="C36" s="4175"/>
      <c r="D36" s="4175"/>
    </row>
    <row r="37" spans="1:4" x14ac:dyDescent="0.25">
      <c r="A37" s="4090" t="str">
        <f t="shared" si="0"/>
        <v>-</v>
      </c>
      <c r="B37" s="2333" t="s">
        <v>2845</v>
      </c>
      <c r="C37" s="2334"/>
      <c r="D37" s="2334"/>
    </row>
    <row r="38" spans="1:4" x14ac:dyDescent="0.25">
      <c r="A38" s="4090" t="str">
        <f t="shared" si="0"/>
        <v>-</v>
      </c>
      <c r="B38" s="2333" t="s">
        <v>2844</v>
      </c>
      <c r="C38" s="2334"/>
      <c r="D38" s="2334"/>
    </row>
    <row r="39" spans="1:4" x14ac:dyDescent="0.25">
      <c r="A39" s="4090" t="str">
        <f t="shared" si="0"/>
        <v>-</v>
      </c>
      <c r="B39" s="2694" t="s">
        <v>1941</v>
      </c>
      <c r="C39" s="4175"/>
      <c r="D39" s="4175"/>
    </row>
    <row r="40" spans="1:4" x14ac:dyDescent="0.25">
      <c r="A40" s="4090" t="str">
        <f t="shared" si="0"/>
        <v>-</v>
      </c>
      <c r="B40" s="2333" t="s">
        <v>2843</v>
      </c>
      <c r="C40" s="2334"/>
      <c r="D40" s="2334"/>
    </row>
    <row r="41" spans="1:4" x14ac:dyDescent="0.25">
      <c r="A41" s="4090" t="str">
        <f t="shared" si="0"/>
        <v>-</v>
      </c>
      <c r="B41" s="2333" t="s">
        <v>2842</v>
      </c>
      <c r="C41" s="2334"/>
      <c r="D41" s="2334"/>
    </row>
    <row r="42" spans="1:4" x14ac:dyDescent="0.25">
      <c r="A42" s="4090" t="str">
        <f t="shared" si="0"/>
        <v>-</v>
      </c>
      <c r="B42" s="2333" t="s">
        <v>2841</v>
      </c>
      <c r="C42" s="2334"/>
      <c r="D42" s="2334"/>
    </row>
    <row r="43" spans="1:4" x14ac:dyDescent="0.25">
      <c r="A43" s="4090">
        <v>727</v>
      </c>
      <c r="B43" s="2333" t="s">
        <v>97</v>
      </c>
      <c r="C43" s="2334">
        <f>SUM(C3:C42)</f>
        <v>0</v>
      </c>
      <c r="D43" s="2334">
        <f>SUM(D3:D42)</f>
        <v>0</v>
      </c>
    </row>
  </sheetData>
  <conditionalFormatting sqref="A2:B2 D2">
    <cfRule type="colorScale" priority="1">
      <colorScale>
        <cfvo type="min"/>
        <cfvo type="percentile" val="50"/>
        <cfvo type="max"/>
        <color rgb="FFF8696B"/>
        <color rgb="FFFCFCFF"/>
        <color rgb="FF63BE7B"/>
      </colorScale>
    </cfRule>
  </conditionalFormatting>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2C458-92A6-48CE-9AC5-1637AD31EE6D}">
  <sheetPr codeName="Ark153">
    <tabColor theme="3" tint="0.59999389629810485"/>
  </sheetPr>
  <dimension ref="A1:T213"/>
  <sheetViews>
    <sheetView zoomScale="85" zoomScaleNormal="85" workbookViewId="0">
      <pane xSplit="2" ySplit="2" topLeftCell="C3" activePane="bottomRight" state="frozen"/>
      <selection pane="topRight" activeCell="C1" sqref="C1"/>
      <selection pane="bottomLeft" activeCell="A3" sqref="A3"/>
      <selection pane="bottomRight" activeCell="F13" sqref="F13"/>
    </sheetView>
  </sheetViews>
  <sheetFormatPr defaultColWidth="8.7109375" defaultRowHeight="15" x14ac:dyDescent="0.25"/>
  <cols>
    <col min="1" max="1" width="14.140625" style="632" bestFit="1" customWidth="1"/>
    <col min="2" max="2" width="22.28515625" style="632" customWidth="1"/>
    <col min="3" max="3" width="65" style="632" bestFit="1" customWidth="1"/>
    <col min="4" max="4" width="29.42578125" style="632" customWidth="1"/>
    <col min="5" max="5" width="47" style="632" customWidth="1"/>
    <col min="6" max="6" width="11.5703125" style="632" customWidth="1"/>
    <col min="7" max="7" width="12.28515625" style="632" customWidth="1"/>
    <col min="8" max="8" width="12.7109375" style="632" customWidth="1"/>
    <col min="9" max="9" width="23.42578125" style="632" customWidth="1"/>
    <col min="10" max="10" width="11.42578125" style="859" customWidth="1"/>
    <col min="11" max="11" width="11.5703125" style="859" customWidth="1"/>
    <col min="12" max="12" width="12.28515625" style="859" customWidth="1"/>
    <col min="13" max="13" width="12.7109375" style="859" customWidth="1"/>
    <col min="14" max="14" width="11.28515625" style="859" customWidth="1"/>
    <col min="15" max="15" width="11.28515625" style="633" customWidth="1"/>
    <col min="16" max="16" width="8.7109375" style="632" customWidth="1"/>
    <col min="17" max="17" width="12.28515625" style="632" customWidth="1"/>
    <col min="18" max="18" width="11" style="632" customWidth="1"/>
    <col min="19" max="19" width="10.28515625" style="632" customWidth="1"/>
    <col min="20" max="21" width="8.7109375" style="632"/>
    <col min="22" max="22" width="20.28515625" style="632" bestFit="1" customWidth="1"/>
    <col min="23" max="23" width="8.7109375" style="632"/>
    <col min="24" max="24" width="10" style="632" bestFit="1" customWidth="1"/>
    <col min="25" max="25" width="12.28515625" style="632" bestFit="1" customWidth="1"/>
    <col min="26" max="28" width="11.140625" style="632" bestFit="1" customWidth="1"/>
    <col min="29" max="16384" width="8.7109375" style="632"/>
  </cols>
  <sheetData>
    <row r="1" spans="1:20" ht="18.75" x14ac:dyDescent="0.3">
      <c r="A1" s="1008" t="s">
        <v>2828</v>
      </c>
      <c r="B1" s="1591" t="s">
        <v>228</v>
      </c>
      <c r="C1"/>
      <c r="D1"/>
      <c r="E1"/>
      <c r="F1"/>
      <c r="G1"/>
      <c r="H1"/>
      <c r="I1" s="2275"/>
      <c r="J1" s="2275"/>
      <c r="K1" s="2275"/>
      <c r="L1" s="2275"/>
      <c r="M1" s="2275"/>
      <c r="N1" s="2275"/>
      <c r="O1"/>
    </row>
    <row r="2" spans="1:20" x14ac:dyDescent="0.25">
      <c r="A2" s="1009"/>
      <c r="B2" s="4180" t="s">
        <v>2039</v>
      </c>
      <c r="C2" s="4180" t="s">
        <v>2038</v>
      </c>
      <c r="D2" s="4180" t="s">
        <v>2037</v>
      </c>
      <c r="E2" s="4180" t="s">
        <v>2036</v>
      </c>
      <c r="F2" s="4180" t="s">
        <v>2035</v>
      </c>
      <c r="G2" s="4180" t="s">
        <v>2034</v>
      </c>
      <c r="H2" s="4180" t="s">
        <v>2033</v>
      </c>
      <c r="I2" s="4209" t="s">
        <v>2032</v>
      </c>
      <c r="J2" s="4209" t="s">
        <v>2031</v>
      </c>
      <c r="K2" s="4209" t="s">
        <v>2030</v>
      </c>
      <c r="L2" s="4209" t="s">
        <v>2029</v>
      </c>
      <c r="M2" s="4209" t="s">
        <v>2028</v>
      </c>
      <c r="N2" s="4209" t="s">
        <v>2027</v>
      </c>
      <c r="O2" s="4180" t="s">
        <v>2026</v>
      </c>
    </row>
    <row r="3" spans="1:20" x14ac:dyDescent="0.25">
      <c r="A3" s="1009">
        <f>D3+F3</f>
        <v>111202</v>
      </c>
      <c r="B3" s="4174" t="s">
        <v>334</v>
      </c>
      <c r="C3" s="4174" t="s">
        <v>2025</v>
      </c>
      <c r="D3" s="4174">
        <v>1101</v>
      </c>
      <c r="E3" s="4174" t="s">
        <v>2024</v>
      </c>
      <c r="F3" s="4173">
        <v>110101</v>
      </c>
      <c r="G3" s="4173" t="s">
        <v>350</v>
      </c>
      <c r="H3" s="4173"/>
      <c r="I3" s="4173">
        <v>3</v>
      </c>
      <c r="J3" s="4173">
        <v>15.21</v>
      </c>
      <c r="K3" s="4173">
        <v>3.24</v>
      </c>
      <c r="L3" s="4173">
        <v>321.12</v>
      </c>
      <c r="M3" s="4173">
        <v>0</v>
      </c>
      <c r="N3" s="4173">
        <v>70.010000000000005</v>
      </c>
      <c r="O3" s="4210">
        <f>K3/K$211</f>
        <v>1.3800858720098138E-3</v>
      </c>
    </row>
    <row r="4" spans="1:20" x14ac:dyDescent="0.25">
      <c r="A4" s="1009">
        <f t="shared" ref="A4:A67" si="0">D4+F4</f>
        <v>111303</v>
      </c>
      <c r="B4" s="4174" t="s">
        <v>334</v>
      </c>
      <c r="C4" s="4174" t="s">
        <v>2023</v>
      </c>
      <c r="D4" s="4174">
        <v>1102</v>
      </c>
      <c r="E4" s="4174" t="s">
        <v>2022</v>
      </c>
      <c r="F4" s="4173">
        <v>110201</v>
      </c>
      <c r="G4" s="4173" t="s">
        <v>350</v>
      </c>
      <c r="H4" s="4173"/>
      <c r="I4" s="4173">
        <v>15</v>
      </c>
      <c r="J4" s="4173">
        <v>277.02</v>
      </c>
      <c r="K4" s="4173">
        <v>95.59</v>
      </c>
      <c r="L4" s="4173">
        <v>9646.5300000000007</v>
      </c>
      <c r="M4" s="4173">
        <v>0</v>
      </c>
      <c r="N4" s="4173">
        <v>1968.19</v>
      </c>
      <c r="O4" s="4210">
        <f t="shared" ref="O4:O67" si="1">K4/K$211</f>
        <v>4.0716792748585834E-2</v>
      </c>
      <c r="P4" s="632" t="s">
        <v>966</v>
      </c>
      <c r="R4" s="833">
        <f>'K1 2018'!C7</f>
        <v>188.07</v>
      </c>
      <c r="S4" s="860">
        <f>SUM(J7:J17)+SUM(J58:J67)</f>
        <v>188.07</v>
      </c>
      <c r="T4" s="860">
        <f>R4-S4</f>
        <v>0</v>
      </c>
    </row>
    <row r="5" spans="1:20" x14ac:dyDescent="0.25">
      <c r="A5" s="1009">
        <f t="shared" si="0"/>
        <v>111404</v>
      </c>
      <c r="B5" s="4174" t="s">
        <v>334</v>
      </c>
      <c r="C5" s="4174" t="s">
        <v>2021</v>
      </c>
      <c r="D5" s="4174">
        <v>1103</v>
      </c>
      <c r="E5" s="4174" t="s">
        <v>2020</v>
      </c>
      <c r="F5" s="4173">
        <v>110301</v>
      </c>
      <c r="G5" s="4173" t="s">
        <v>350</v>
      </c>
      <c r="H5" s="4173"/>
      <c r="I5" s="4173">
        <v>9</v>
      </c>
      <c r="J5" s="4173">
        <v>26.5</v>
      </c>
      <c r="K5" s="4173">
        <v>11.52</v>
      </c>
      <c r="L5" s="4173">
        <v>1159.17</v>
      </c>
      <c r="M5" s="4173">
        <v>0</v>
      </c>
      <c r="N5" s="4173">
        <v>241.39</v>
      </c>
      <c r="O5" s="4210">
        <f t="shared" si="1"/>
        <v>4.9069719893682267E-3</v>
      </c>
      <c r="P5" s="632" t="s">
        <v>965</v>
      </c>
      <c r="R5" s="833">
        <f>'K1 2018'!C8</f>
        <v>493.31</v>
      </c>
      <c r="S5" s="860">
        <f>SUM(J32:J33)+SUM(J82:J83)</f>
        <v>493.31</v>
      </c>
      <c r="T5" s="860">
        <f t="shared" ref="T5:T10" si="2">R5-S5</f>
        <v>0</v>
      </c>
    </row>
    <row r="6" spans="1:20" x14ac:dyDescent="0.25">
      <c r="A6" s="1009">
        <f t="shared" si="0"/>
        <v>111505</v>
      </c>
      <c r="B6" s="4174" t="s">
        <v>334</v>
      </c>
      <c r="C6" s="4174" t="s">
        <v>2019</v>
      </c>
      <c r="D6" s="4174">
        <v>1104</v>
      </c>
      <c r="E6" s="4174" t="s">
        <v>2018</v>
      </c>
      <c r="F6" s="4173">
        <v>110401</v>
      </c>
      <c r="G6" s="4173" t="s">
        <v>350</v>
      </c>
      <c r="H6" s="4173"/>
      <c r="I6" s="4173">
        <v>0</v>
      </c>
      <c r="J6" s="4173">
        <v>0</v>
      </c>
      <c r="K6" s="4173">
        <v>0</v>
      </c>
      <c r="L6" s="4173">
        <v>0</v>
      </c>
      <c r="M6" s="4173">
        <v>0</v>
      </c>
      <c r="N6" s="4173">
        <v>0</v>
      </c>
      <c r="O6" s="4210">
        <f t="shared" si="1"/>
        <v>0</v>
      </c>
      <c r="P6" s="632" t="s">
        <v>964</v>
      </c>
      <c r="R6" s="833">
        <f>SUM('K1 2018'!C9)</f>
        <v>553.46</v>
      </c>
      <c r="S6" s="860">
        <f>SUM(J34:J45)+SUM(J84:J95)</f>
        <v>553.46</v>
      </c>
      <c r="T6" s="860">
        <f t="shared" si="2"/>
        <v>0</v>
      </c>
    </row>
    <row r="7" spans="1:20" x14ac:dyDescent="0.25">
      <c r="A7" s="1009">
        <f t="shared" si="0"/>
        <v>121302</v>
      </c>
      <c r="B7" s="4174" t="s">
        <v>1980</v>
      </c>
      <c r="C7" s="4174" t="s">
        <v>2017</v>
      </c>
      <c r="D7" s="4174">
        <v>1201</v>
      </c>
      <c r="E7" s="4174" t="s">
        <v>1989</v>
      </c>
      <c r="F7" s="4173">
        <v>120101</v>
      </c>
      <c r="G7" s="4173" t="s">
        <v>1903</v>
      </c>
      <c r="H7" s="4173" t="s">
        <v>1943</v>
      </c>
      <c r="I7" s="4173">
        <v>0</v>
      </c>
      <c r="J7" s="4173">
        <v>0</v>
      </c>
      <c r="K7" s="4173">
        <v>0</v>
      </c>
      <c r="L7" s="4173">
        <v>0</v>
      </c>
      <c r="M7" s="4173">
        <v>0</v>
      </c>
      <c r="N7" s="4173">
        <v>0</v>
      </c>
      <c r="O7" s="4210">
        <f t="shared" si="1"/>
        <v>0</v>
      </c>
      <c r="P7" s="632" t="s">
        <v>330</v>
      </c>
      <c r="R7" s="833">
        <f>'K1 2018'!C10</f>
        <v>10.94</v>
      </c>
      <c r="S7" s="860">
        <f>SUM(J46:J57)+SUM(J96:J106)</f>
        <v>10.94</v>
      </c>
      <c r="T7" s="860">
        <f t="shared" si="2"/>
        <v>0</v>
      </c>
    </row>
    <row r="8" spans="1:20" x14ac:dyDescent="0.25">
      <c r="A8" s="1009">
        <f t="shared" si="0"/>
        <v>121303</v>
      </c>
      <c r="B8" s="4174" t="s">
        <v>1980</v>
      </c>
      <c r="C8" s="4174" t="s">
        <v>2017</v>
      </c>
      <c r="D8" s="4174">
        <v>1201</v>
      </c>
      <c r="E8" s="4174" t="s">
        <v>1988</v>
      </c>
      <c r="F8" s="4173">
        <v>120102</v>
      </c>
      <c r="G8" s="4173" t="s">
        <v>1977</v>
      </c>
      <c r="H8" s="4173"/>
      <c r="I8" s="4173">
        <v>0</v>
      </c>
      <c r="J8" s="4173">
        <v>0</v>
      </c>
      <c r="K8" s="4173">
        <v>0</v>
      </c>
      <c r="L8" s="4173">
        <v>0</v>
      </c>
      <c r="M8" s="4173">
        <v>0</v>
      </c>
      <c r="N8" s="4173">
        <v>0</v>
      </c>
      <c r="O8" s="4210">
        <f t="shared" si="1"/>
        <v>0</v>
      </c>
      <c r="P8" s="632" t="s">
        <v>340</v>
      </c>
      <c r="R8" s="833">
        <f>'K1 2018'!C11</f>
        <v>175.85</v>
      </c>
      <c r="S8" s="860">
        <f>SUM(J18:J19)+SUM(J68:J69)</f>
        <v>175.85</v>
      </c>
      <c r="T8" s="860">
        <f t="shared" si="2"/>
        <v>0</v>
      </c>
    </row>
    <row r="9" spans="1:20" x14ac:dyDescent="0.25">
      <c r="A9" s="1009">
        <f t="shared" si="0"/>
        <v>121304</v>
      </c>
      <c r="B9" s="4174" t="s">
        <v>1980</v>
      </c>
      <c r="C9" s="4174" t="s">
        <v>2017</v>
      </c>
      <c r="D9" s="4174">
        <v>1201</v>
      </c>
      <c r="E9" s="4174" t="s">
        <v>1995</v>
      </c>
      <c r="F9" s="4173">
        <v>120103</v>
      </c>
      <c r="G9" s="4173" t="s">
        <v>1977</v>
      </c>
      <c r="H9" s="4173"/>
      <c r="I9" s="4173">
        <v>0</v>
      </c>
      <c r="J9" s="4173">
        <v>0</v>
      </c>
      <c r="K9" s="4173">
        <v>0</v>
      </c>
      <c r="L9" s="4173">
        <v>0</v>
      </c>
      <c r="M9" s="4173">
        <v>0</v>
      </c>
      <c r="N9" s="4173">
        <v>0</v>
      </c>
      <c r="O9" s="4210">
        <f t="shared" si="1"/>
        <v>0</v>
      </c>
      <c r="P9" s="632" t="s">
        <v>336</v>
      </c>
      <c r="R9" s="833">
        <f>'K1 2018'!C12</f>
        <v>570.12000000000012</v>
      </c>
      <c r="S9" s="860">
        <f>SUM(J20:J31)+SUM(J70:J81)</f>
        <v>570.12000000000012</v>
      </c>
      <c r="T9" s="860">
        <f t="shared" si="2"/>
        <v>0</v>
      </c>
    </row>
    <row r="10" spans="1:20" x14ac:dyDescent="0.25">
      <c r="A10" s="1009">
        <f t="shared" si="0"/>
        <v>121305</v>
      </c>
      <c r="B10" s="4174" t="s">
        <v>1980</v>
      </c>
      <c r="C10" s="4174" t="s">
        <v>2017</v>
      </c>
      <c r="D10" s="4174">
        <v>1201</v>
      </c>
      <c r="E10" s="4174" t="s">
        <v>2003</v>
      </c>
      <c r="F10" s="4173">
        <v>120104</v>
      </c>
      <c r="G10" s="4173" t="s">
        <v>1977</v>
      </c>
      <c r="H10" s="4173"/>
      <c r="I10" s="4173">
        <v>0</v>
      </c>
      <c r="J10" s="4173">
        <v>0</v>
      </c>
      <c r="K10" s="4173">
        <v>0</v>
      </c>
      <c r="L10" s="4173">
        <v>0</v>
      </c>
      <c r="M10" s="4173">
        <v>0</v>
      </c>
      <c r="N10" s="4173">
        <v>0</v>
      </c>
      <c r="O10" s="4210">
        <f t="shared" si="1"/>
        <v>0</v>
      </c>
      <c r="P10" s="632" t="s">
        <v>329</v>
      </c>
      <c r="R10" s="833">
        <f>'K1 2018'!C13</f>
        <v>626.68999999999994</v>
      </c>
      <c r="S10" s="860">
        <f>SUM(J107:J134)</f>
        <v>626.68999999999994</v>
      </c>
      <c r="T10" s="860">
        <f t="shared" si="2"/>
        <v>0</v>
      </c>
    </row>
    <row r="11" spans="1:20" x14ac:dyDescent="0.25">
      <c r="A11" s="1009">
        <f t="shared" si="0"/>
        <v>121306</v>
      </c>
      <c r="B11" s="4174" t="s">
        <v>1980</v>
      </c>
      <c r="C11" s="4174" t="s">
        <v>2017</v>
      </c>
      <c r="D11" s="4174">
        <v>1201</v>
      </c>
      <c r="E11" s="4174" t="s">
        <v>2002</v>
      </c>
      <c r="F11" s="4173">
        <v>120105</v>
      </c>
      <c r="G11" s="4173" t="s">
        <v>1977</v>
      </c>
      <c r="H11" s="4173"/>
      <c r="I11" s="4173">
        <v>1</v>
      </c>
      <c r="J11" s="4173">
        <v>188.07</v>
      </c>
      <c r="K11" s="4173">
        <v>259.8</v>
      </c>
      <c r="L11" s="4173">
        <v>25343.67</v>
      </c>
      <c r="M11" s="4173">
        <v>0</v>
      </c>
      <c r="N11" s="4173">
        <v>3900.72</v>
      </c>
      <c r="O11" s="4210">
        <f t="shared" si="1"/>
        <v>0.11066244121856471</v>
      </c>
      <c r="Q11" s="860"/>
    </row>
    <row r="12" spans="1:20" x14ac:dyDescent="0.25">
      <c r="A12" s="1009">
        <f t="shared" si="0"/>
        <v>121307</v>
      </c>
      <c r="B12" s="4174" t="s">
        <v>1980</v>
      </c>
      <c r="C12" s="4174" t="s">
        <v>2017</v>
      </c>
      <c r="D12" s="4174">
        <v>1201</v>
      </c>
      <c r="E12" s="4174" t="s">
        <v>2006</v>
      </c>
      <c r="F12" s="4173">
        <v>120106</v>
      </c>
      <c r="G12" s="4173" t="s">
        <v>350</v>
      </c>
      <c r="H12" s="4173"/>
      <c r="I12" s="4173">
        <v>0</v>
      </c>
      <c r="J12" s="4173">
        <v>0</v>
      </c>
      <c r="K12" s="4173">
        <v>0</v>
      </c>
      <c r="L12" s="4173">
        <v>0</v>
      </c>
      <c r="M12" s="4173">
        <v>0</v>
      </c>
      <c r="N12" s="4173">
        <v>0</v>
      </c>
      <c r="O12" s="4210">
        <f t="shared" si="1"/>
        <v>0</v>
      </c>
    </row>
    <row r="13" spans="1:20" x14ac:dyDescent="0.25">
      <c r="A13" s="1009">
        <f t="shared" si="0"/>
        <v>121308</v>
      </c>
      <c r="B13" s="4174" t="s">
        <v>1980</v>
      </c>
      <c r="C13" s="4174" t="s">
        <v>2017</v>
      </c>
      <c r="D13" s="4174">
        <v>1201</v>
      </c>
      <c r="E13" s="4174" t="s">
        <v>1985</v>
      </c>
      <c r="F13" s="4173">
        <v>120107</v>
      </c>
      <c r="G13" s="4173" t="s">
        <v>1977</v>
      </c>
      <c r="H13" s="4173" t="s">
        <v>350</v>
      </c>
      <c r="I13" s="4173">
        <v>0</v>
      </c>
      <c r="J13" s="4173">
        <v>0</v>
      </c>
      <c r="K13" s="4173">
        <v>0</v>
      </c>
      <c r="L13" s="4173">
        <v>0</v>
      </c>
      <c r="M13" s="4173">
        <v>0</v>
      </c>
      <c r="N13" s="4173">
        <v>0</v>
      </c>
      <c r="O13" s="4210">
        <f t="shared" si="1"/>
        <v>0</v>
      </c>
    </row>
    <row r="14" spans="1:20" x14ac:dyDescent="0.25">
      <c r="A14" s="1009">
        <f t="shared" si="0"/>
        <v>121309</v>
      </c>
      <c r="B14" s="4174" t="s">
        <v>1980</v>
      </c>
      <c r="C14" s="4174" t="s">
        <v>2017</v>
      </c>
      <c r="D14" s="4174">
        <v>1201</v>
      </c>
      <c r="E14" s="4174" t="s">
        <v>1984</v>
      </c>
      <c r="F14" s="4173">
        <v>120108</v>
      </c>
      <c r="G14" s="4173" t="s">
        <v>1977</v>
      </c>
      <c r="H14" s="4173" t="s">
        <v>350</v>
      </c>
      <c r="I14" s="4173">
        <v>0</v>
      </c>
      <c r="J14" s="4173">
        <v>0</v>
      </c>
      <c r="K14" s="4173">
        <v>0</v>
      </c>
      <c r="L14" s="4173">
        <v>0</v>
      </c>
      <c r="M14" s="4173">
        <v>0</v>
      </c>
      <c r="N14" s="4173">
        <v>0</v>
      </c>
      <c r="O14" s="4210">
        <f t="shared" si="1"/>
        <v>0</v>
      </c>
    </row>
    <row r="15" spans="1:20" x14ac:dyDescent="0.25">
      <c r="A15" s="1009">
        <f t="shared" si="0"/>
        <v>121310</v>
      </c>
      <c r="B15" s="4174" t="s">
        <v>1980</v>
      </c>
      <c r="C15" s="4174" t="s">
        <v>2017</v>
      </c>
      <c r="D15" s="4174">
        <v>1201</v>
      </c>
      <c r="E15" s="4174" t="s">
        <v>1983</v>
      </c>
      <c r="F15" s="4173">
        <v>120109</v>
      </c>
      <c r="G15" s="4173" t="s">
        <v>1977</v>
      </c>
      <c r="H15" s="4173" t="s">
        <v>350</v>
      </c>
      <c r="I15" s="4173">
        <v>0</v>
      </c>
      <c r="J15" s="4173">
        <v>0</v>
      </c>
      <c r="K15" s="4173">
        <v>0</v>
      </c>
      <c r="L15" s="4173">
        <v>0</v>
      </c>
      <c r="M15" s="4173">
        <v>0</v>
      </c>
      <c r="N15" s="4173">
        <v>0</v>
      </c>
      <c r="O15" s="4210">
        <f t="shared" si="1"/>
        <v>0</v>
      </c>
    </row>
    <row r="16" spans="1:20" x14ac:dyDescent="0.25">
      <c r="A16" s="1009">
        <f t="shared" si="0"/>
        <v>121315</v>
      </c>
      <c r="B16" s="4174" t="s">
        <v>1980</v>
      </c>
      <c r="C16" s="4174" t="s">
        <v>2017</v>
      </c>
      <c r="D16" s="4174">
        <v>1201</v>
      </c>
      <c r="E16" s="4174" t="s">
        <v>1990</v>
      </c>
      <c r="F16" s="4173">
        <v>120114</v>
      </c>
      <c r="G16" s="4173" t="s">
        <v>1977</v>
      </c>
      <c r="H16" s="4173"/>
      <c r="I16" s="4173">
        <v>0</v>
      </c>
      <c r="J16" s="4173">
        <v>0</v>
      </c>
      <c r="K16" s="4173">
        <v>0</v>
      </c>
      <c r="L16" s="4173">
        <v>0</v>
      </c>
      <c r="M16" s="4173">
        <v>0</v>
      </c>
      <c r="N16" s="4173">
        <v>0</v>
      </c>
      <c r="O16" s="4210">
        <f t="shared" si="1"/>
        <v>0</v>
      </c>
    </row>
    <row r="17" spans="1:15" x14ac:dyDescent="0.25">
      <c r="A17" s="1009">
        <f t="shared" si="0"/>
        <v>121316</v>
      </c>
      <c r="B17" s="4174" t="s">
        <v>1980</v>
      </c>
      <c r="C17" s="4174" t="s">
        <v>2017</v>
      </c>
      <c r="D17" s="4174">
        <v>1201</v>
      </c>
      <c r="E17" s="4174" t="s">
        <v>2016</v>
      </c>
      <c r="F17" s="4173">
        <v>120115</v>
      </c>
      <c r="G17" s="4173" t="s">
        <v>1977</v>
      </c>
      <c r="H17" s="4173" t="s">
        <v>350</v>
      </c>
      <c r="I17" s="4173">
        <v>0</v>
      </c>
      <c r="J17" s="4173">
        <v>0</v>
      </c>
      <c r="K17" s="4173">
        <v>0</v>
      </c>
      <c r="L17" s="4173">
        <v>0</v>
      </c>
      <c r="M17" s="4173">
        <v>0</v>
      </c>
      <c r="N17" s="4173">
        <v>0</v>
      </c>
      <c r="O17" s="4210">
        <f t="shared" si="1"/>
        <v>0</v>
      </c>
    </row>
    <row r="18" spans="1:15" x14ac:dyDescent="0.25">
      <c r="A18" s="1009">
        <f t="shared" si="0"/>
        <v>121403</v>
      </c>
      <c r="B18" s="4174" t="s">
        <v>1980</v>
      </c>
      <c r="C18" s="4174" t="s">
        <v>2015</v>
      </c>
      <c r="D18" s="4174">
        <v>1202</v>
      </c>
      <c r="E18" s="4174" t="s">
        <v>2006</v>
      </c>
      <c r="F18" s="4173">
        <v>120201</v>
      </c>
      <c r="G18" s="4173" t="s">
        <v>350</v>
      </c>
      <c r="H18" s="4173"/>
      <c r="I18" s="4173">
        <v>18</v>
      </c>
      <c r="J18" s="4173">
        <v>161.9</v>
      </c>
      <c r="K18" s="4173">
        <v>43.43</v>
      </c>
      <c r="L18" s="4173">
        <v>4304.1400000000003</v>
      </c>
      <c r="M18" s="4173">
        <v>0</v>
      </c>
      <c r="N18" s="4173">
        <v>531.85</v>
      </c>
      <c r="O18" s="4210">
        <f t="shared" si="1"/>
        <v>1.8499114018946362E-2</v>
      </c>
    </row>
    <row r="19" spans="1:15" x14ac:dyDescent="0.25">
      <c r="A19" s="1009">
        <f t="shared" si="0"/>
        <v>121404</v>
      </c>
      <c r="B19" s="4174" t="s">
        <v>1980</v>
      </c>
      <c r="C19" s="4174" t="s">
        <v>2015</v>
      </c>
      <c r="D19" s="4174">
        <v>1202</v>
      </c>
      <c r="E19" s="4174" t="s">
        <v>2004</v>
      </c>
      <c r="F19" s="4173">
        <v>120202</v>
      </c>
      <c r="G19" s="4173" t="s">
        <v>350</v>
      </c>
      <c r="H19" s="4173"/>
      <c r="I19" s="4173">
        <v>1</v>
      </c>
      <c r="J19" s="4173">
        <v>7.98</v>
      </c>
      <c r="K19" s="4173">
        <v>2.1</v>
      </c>
      <c r="L19" s="4173">
        <v>207.77</v>
      </c>
      <c r="M19" s="4173">
        <v>0</v>
      </c>
      <c r="N19" s="4173">
        <v>25.68</v>
      </c>
      <c r="O19" s="4210">
        <f t="shared" si="1"/>
        <v>8.9450010222858302E-4</v>
      </c>
    </row>
    <row r="20" spans="1:15" x14ac:dyDescent="0.25">
      <c r="A20" s="1009">
        <f t="shared" si="0"/>
        <v>121504</v>
      </c>
      <c r="B20" s="4174" t="s">
        <v>1980</v>
      </c>
      <c r="C20" s="4174" t="s">
        <v>2014</v>
      </c>
      <c r="D20" s="4174">
        <v>1203</v>
      </c>
      <c r="E20" s="4174" t="s">
        <v>1989</v>
      </c>
      <c r="F20" s="4173">
        <v>120301</v>
      </c>
      <c r="G20" s="4173" t="s">
        <v>1903</v>
      </c>
      <c r="H20" s="4173" t="s">
        <v>1943</v>
      </c>
      <c r="I20" s="4173">
        <v>2</v>
      </c>
      <c r="J20" s="4173">
        <v>37.799999999999997</v>
      </c>
      <c r="K20" s="4173">
        <v>18.899999999999999</v>
      </c>
      <c r="L20" s="4173">
        <v>836.08</v>
      </c>
      <c r="M20" s="4173">
        <v>923.42</v>
      </c>
      <c r="N20" s="4173">
        <v>265.45</v>
      </c>
      <c r="O20" s="4210">
        <f t="shared" si="1"/>
        <v>8.050500920057246E-3</v>
      </c>
    </row>
    <row r="21" spans="1:15" x14ac:dyDescent="0.25">
      <c r="A21" s="1009">
        <f t="shared" si="0"/>
        <v>121505</v>
      </c>
      <c r="B21" s="4174" t="s">
        <v>1980</v>
      </c>
      <c r="C21" s="4174" t="s">
        <v>2014</v>
      </c>
      <c r="D21" s="4174">
        <v>1203</v>
      </c>
      <c r="E21" s="4174" t="s">
        <v>1988</v>
      </c>
      <c r="F21" s="4173">
        <v>120302</v>
      </c>
      <c r="G21" s="4173" t="s">
        <v>1977</v>
      </c>
      <c r="H21" s="4173"/>
      <c r="I21" s="4173">
        <v>0</v>
      </c>
      <c r="J21" s="4173">
        <v>0</v>
      </c>
      <c r="K21" s="4173">
        <v>0</v>
      </c>
      <c r="L21" s="4173">
        <v>0</v>
      </c>
      <c r="M21" s="4173">
        <v>0</v>
      </c>
      <c r="N21" s="4173">
        <v>0</v>
      </c>
      <c r="O21" s="4210">
        <f t="shared" si="1"/>
        <v>0</v>
      </c>
    </row>
    <row r="22" spans="1:15" x14ac:dyDescent="0.25">
      <c r="A22" s="1009">
        <f t="shared" si="0"/>
        <v>121506</v>
      </c>
      <c r="B22" s="4174" t="s">
        <v>1980</v>
      </c>
      <c r="C22" s="4174" t="s">
        <v>2014</v>
      </c>
      <c r="D22" s="4174">
        <v>1203</v>
      </c>
      <c r="E22" s="4174" t="s">
        <v>1995</v>
      </c>
      <c r="F22" s="4173">
        <v>120303</v>
      </c>
      <c r="G22" s="4173" t="s">
        <v>1977</v>
      </c>
      <c r="H22" s="4173"/>
      <c r="I22" s="4173">
        <v>0</v>
      </c>
      <c r="J22" s="4173">
        <v>0</v>
      </c>
      <c r="K22" s="4173">
        <v>0</v>
      </c>
      <c r="L22" s="4173">
        <v>0</v>
      </c>
      <c r="M22" s="4173">
        <v>0</v>
      </c>
      <c r="N22" s="4173">
        <v>0</v>
      </c>
      <c r="O22" s="4210">
        <f t="shared" si="1"/>
        <v>0</v>
      </c>
    </row>
    <row r="23" spans="1:15" x14ac:dyDescent="0.25">
      <c r="A23" s="1009">
        <f t="shared" si="0"/>
        <v>121507</v>
      </c>
      <c r="B23" s="4174" t="s">
        <v>1980</v>
      </c>
      <c r="C23" s="4174" t="s">
        <v>2014</v>
      </c>
      <c r="D23" s="4174">
        <v>1203</v>
      </c>
      <c r="E23" s="4174" t="s">
        <v>1982</v>
      </c>
      <c r="F23" s="4173">
        <v>120304</v>
      </c>
      <c r="G23" s="4173" t="s">
        <v>1977</v>
      </c>
      <c r="H23" s="4173"/>
      <c r="I23" s="4173">
        <v>0</v>
      </c>
      <c r="J23" s="4173">
        <v>0</v>
      </c>
      <c r="K23" s="4173">
        <v>0</v>
      </c>
      <c r="L23" s="4173">
        <v>0</v>
      </c>
      <c r="M23" s="4173">
        <v>0</v>
      </c>
      <c r="N23" s="4173">
        <v>0</v>
      </c>
      <c r="O23" s="4210">
        <f t="shared" si="1"/>
        <v>0</v>
      </c>
    </row>
    <row r="24" spans="1:15" x14ac:dyDescent="0.25">
      <c r="A24" s="1009">
        <f t="shared" si="0"/>
        <v>121508</v>
      </c>
      <c r="B24" s="4174" t="s">
        <v>1980</v>
      </c>
      <c r="C24" s="4174" t="s">
        <v>2014</v>
      </c>
      <c r="D24" s="4174">
        <v>1203</v>
      </c>
      <c r="E24" s="4174" t="s">
        <v>1994</v>
      </c>
      <c r="F24" s="4173">
        <v>120305</v>
      </c>
      <c r="G24" s="4173" t="s">
        <v>1977</v>
      </c>
      <c r="H24" s="4173"/>
      <c r="I24" s="4173">
        <v>0</v>
      </c>
      <c r="J24" s="4173">
        <v>0</v>
      </c>
      <c r="K24" s="4173">
        <v>0</v>
      </c>
      <c r="L24" s="4173">
        <v>0</v>
      </c>
      <c r="M24" s="4173">
        <v>0</v>
      </c>
      <c r="N24" s="4173">
        <v>0</v>
      </c>
      <c r="O24" s="4210">
        <f t="shared" si="1"/>
        <v>0</v>
      </c>
    </row>
    <row r="25" spans="1:15" x14ac:dyDescent="0.25">
      <c r="A25" s="1009">
        <f t="shared" si="0"/>
        <v>121509</v>
      </c>
      <c r="B25" s="4174" t="s">
        <v>1980</v>
      </c>
      <c r="C25" s="4174" t="s">
        <v>2014</v>
      </c>
      <c r="D25" s="4174">
        <v>1203</v>
      </c>
      <c r="E25" s="4174" t="s">
        <v>1987</v>
      </c>
      <c r="F25" s="4173">
        <v>120306</v>
      </c>
      <c r="G25" s="4173" t="s">
        <v>350</v>
      </c>
      <c r="H25" s="4173"/>
      <c r="I25" s="4173">
        <v>19</v>
      </c>
      <c r="J25" s="4173">
        <v>356.1</v>
      </c>
      <c r="K25" s="4173">
        <v>165.7</v>
      </c>
      <c r="L25" s="4173">
        <v>18372.599999999999</v>
      </c>
      <c r="M25" s="4173">
        <v>0</v>
      </c>
      <c r="N25" s="4173">
        <v>2619.1</v>
      </c>
      <c r="O25" s="4210">
        <f t="shared" si="1"/>
        <v>7.0580317590131517E-2</v>
      </c>
    </row>
    <row r="26" spans="1:15" x14ac:dyDescent="0.25">
      <c r="A26" s="1009">
        <f t="shared" si="0"/>
        <v>121510</v>
      </c>
      <c r="B26" s="4174" t="s">
        <v>1980</v>
      </c>
      <c r="C26" s="4174" t="s">
        <v>2014</v>
      </c>
      <c r="D26" s="4174">
        <v>1203</v>
      </c>
      <c r="E26" s="4174" t="s">
        <v>2004</v>
      </c>
      <c r="F26" s="4173">
        <v>120307</v>
      </c>
      <c r="G26" s="4173" t="s">
        <v>350</v>
      </c>
      <c r="H26" s="4173"/>
      <c r="I26" s="4173">
        <v>1</v>
      </c>
      <c r="J26" s="4173">
        <v>103.66</v>
      </c>
      <c r="K26" s="4173">
        <v>47.12</v>
      </c>
      <c r="L26" s="4173">
        <v>5094.59</v>
      </c>
      <c r="M26" s="4173">
        <v>0</v>
      </c>
      <c r="N26" s="4173">
        <v>721.99</v>
      </c>
      <c r="O26" s="4210">
        <f t="shared" si="1"/>
        <v>2.0070878484290872E-2</v>
      </c>
    </row>
    <row r="27" spans="1:15" x14ac:dyDescent="0.25">
      <c r="A27" s="1009">
        <f t="shared" si="0"/>
        <v>121511</v>
      </c>
      <c r="B27" s="4174" t="s">
        <v>1980</v>
      </c>
      <c r="C27" s="4174" t="s">
        <v>2014</v>
      </c>
      <c r="D27" s="4174">
        <v>1203</v>
      </c>
      <c r="E27" s="4174" t="s">
        <v>1985</v>
      </c>
      <c r="F27" s="4173">
        <v>120308</v>
      </c>
      <c r="G27" s="4173" t="s">
        <v>1977</v>
      </c>
      <c r="H27" s="4173" t="s">
        <v>350</v>
      </c>
      <c r="I27" s="4173">
        <v>0</v>
      </c>
      <c r="J27" s="4173">
        <v>0</v>
      </c>
      <c r="K27" s="4173">
        <v>0</v>
      </c>
      <c r="L27" s="4173">
        <v>0</v>
      </c>
      <c r="M27" s="4173">
        <v>0</v>
      </c>
      <c r="N27" s="4173">
        <v>0</v>
      </c>
      <c r="O27" s="4210">
        <f t="shared" si="1"/>
        <v>0</v>
      </c>
    </row>
    <row r="28" spans="1:15" x14ac:dyDescent="0.25">
      <c r="A28" s="1009">
        <f t="shared" si="0"/>
        <v>121512</v>
      </c>
      <c r="B28" s="4174" t="s">
        <v>1980</v>
      </c>
      <c r="C28" s="4174" t="s">
        <v>2014</v>
      </c>
      <c r="D28" s="4174">
        <v>1203</v>
      </c>
      <c r="E28" s="4174" t="s">
        <v>1984</v>
      </c>
      <c r="F28" s="4173">
        <v>120309</v>
      </c>
      <c r="G28" s="4173" t="s">
        <v>1977</v>
      </c>
      <c r="H28" s="4173" t="s">
        <v>350</v>
      </c>
      <c r="I28" s="4173">
        <v>0</v>
      </c>
      <c r="J28" s="4173">
        <v>0</v>
      </c>
      <c r="K28" s="4173">
        <v>0</v>
      </c>
      <c r="L28" s="4173">
        <v>0</v>
      </c>
      <c r="M28" s="4173">
        <v>0</v>
      </c>
      <c r="N28" s="4173">
        <v>0</v>
      </c>
      <c r="O28" s="4210">
        <f t="shared" si="1"/>
        <v>0</v>
      </c>
    </row>
    <row r="29" spans="1:15" x14ac:dyDescent="0.25">
      <c r="A29" s="1009">
        <f t="shared" si="0"/>
        <v>121513</v>
      </c>
      <c r="B29" s="4174" t="s">
        <v>1980</v>
      </c>
      <c r="C29" s="4174" t="s">
        <v>2014</v>
      </c>
      <c r="D29" s="4174">
        <v>1203</v>
      </c>
      <c r="E29" s="4174" t="s">
        <v>1983</v>
      </c>
      <c r="F29" s="4173">
        <v>120310</v>
      </c>
      <c r="G29" s="4173" t="s">
        <v>1977</v>
      </c>
      <c r="H29" s="4173" t="s">
        <v>350</v>
      </c>
      <c r="I29" s="4173">
        <v>0</v>
      </c>
      <c r="J29" s="4173">
        <v>0</v>
      </c>
      <c r="K29" s="4173">
        <v>0</v>
      </c>
      <c r="L29" s="4173">
        <v>0</v>
      </c>
      <c r="M29" s="4173">
        <v>0</v>
      </c>
      <c r="N29" s="4173">
        <v>0</v>
      </c>
      <c r="O29" s="4210">
        <f t="shared" si="1"/>
        <v>0</v>
      </c>
    </row>
    <row r="30" spans="1:15" x14ac:dyDescent="0.25">
      <c r="A30" s="1009">
        <f t="shared" si="0"/>
        <v>121515</v>
      </c>
      <c r="B30" s="4174" t="s">
        <v>1980</v>
      </c>
      <c r="C30" s="4174" t="s">
        <v>2014</v>
      </c>
      <c r="D30" s="4174">
        <v>1203</v>
      </c>
      <c r="E30" s="4174" t="s">
        <v>1996</v>
      </c>
      <c r="F30" s="4173">
        <v>120312</v>
      </c>
      <c r="G30" s="4173" t="s">
        <v>1977</v>
      </c>
      <c r="H30" s="4173"/>
      <c r="I30" s="4173">
        <v>0</v>
      </c>
      <c r="J30" s="4173">
        <v>0</v>
      </c>
      <c r="K30" s="4173">
        <v>0</v>
      </c>
      <c r="L30" s="4173">
        <v>0</v>
      </c>
      <c r="M30" s="4173">
        <v>0</v>
      </c>
      <c r="N30" s="4173">
        <v>0</v>
      </c>
      <c r="O30" s="4210">
        <f t="shared" si="1"/>
        <v>0</v>
      </c>
    </row>
    <row r="31" spans="1:15" x14ac:dyDescent="0.25">
      <c r="A31" s="1009">
        <f t="shared" si="0"/>
        <v>121519</v>
      </c>
      <c r="B31" s="4174" t="s">
        <v>1980</v>
      </c>
      <c r="C31" s="4174" t="s">
        <v>2014</v>
      </c>
      <c r="D31" s="4174">
        <v>1203</v>
      </c>
      <c r="E31" s="4174" t="s">
        <v>1990</v>
      </c>
      <c r="F31" s="4173">
        <v>120316</v>
      </c>
      <c r="G31" s="4173" t="s">
        <v>1977</v>
      </c>
      <c r="H31" s="4173"/>
      <c r="I31" s="4173">
        <v>0</v>
      </c>
      <c r="J31" s="4173">
        <v>0</v>
      </c>
      <c r="K31" s="4173">
        <v>0</v>
      </c>
      <c r="L31" s="4173">
        <v>0</v>
      </c>
      <c r="M31" s="4173">
        <v>0</v>
      </c>
      <c r="N31" s="4173">
        <v>0</v>
      </c>
      <c r="O31" s="4210">
        <f t="shared" si="1"/>
        <v>0</v>
      </c>
    </row>
    <row r="32" spans="1:15" x14ac:dyDescent="0.25">
      <c r="A32" s="1009">
        <f t="shared" si="0"/>
        <v>121605</v>
      </c>
      <c r="B32" s="4174" t="s">
        <v>1980</v>
      </c>
      <c r="C32" s="4174" t="s">
        <v>2013</v>
      </c>
      <c r="D32" s="4174">
        <v>1204</v>
      </c>
      <c r="E32" s="4174" t="s">
        <v>2006</v>
      </c>
      <c r="F32" s="4173">
        <v>120401</v>
      </c>
      <c r="G32" s="4173" t="s">
        <v>350</v>
      </c>
      <c r="H32" s="4173"/>
      <c r="I32" s="4173">
        <v>17</v>
      </c>
      <c r="J32" s="4173">
        <v>485</v>
      </c>
      <c r="K32" s="4173">
        <v>61.59</v>
      </c>
      <c r="L32" s="4173">
        <v>5613.1</v>
      </c>
      <c r="M32" s="4173">
        <v>0</v>
      </c>
      <c r="N32" s="4173">
        <v>668.07</v>
      </c>
      <c r="O32" s="4210">
        <f t="shared" si="1"/>
        <v>2.6234410141075443E-2</v>
      </c>
    </row>
    <row r="33" spans="1:15" x14ac:dyDescent="0.25">
      <c r="A33" s="1009">
        <f t="shared" si="0"/>
        <v>121606</v>
      </c>
      <c r="B33" s="4174" t="s">
        <v>1980</v>
      </c>
      <c r="C33" s="4174" t="s">
        <v>2013</v>
      </c>
      <c r="D33" s="4174">
        <v>1204</v>
      </c>
      <c r="E33" s="4174" t="s">
        <v>2004</v>
      </c>
      <c r="F33" s="4173">
        <v>120402</v>
      </c>
      <c r="G33" s="4173" t="s">
        <v>350</v>
      </c>
      <c r="H33" s="4173"/>
      <c r="I33" s="4173">
        <v>0</v>
      </c>
      <c r="J33" s="4173">
        <v>0</v>
      </c>
      <c r="K33" s="4173">
        <v>0</v>
      </c>
      <c r="L33" s="4173">
        <v>0</v>
      </c>
      <c r="M33" s="4173">
        <v>0</v>
      </c>
      <c r="N33" s="4173">
        <v>0</v>
      </c>
      <c r="O33" s="4210">
        <f t="shared" si="1"/>
        <v>0</v>
      </c>
    </row>
    <row r="34" spans="1:15" x14ac:dyDescent="0.25">
      <c r="A34" s="1009">
        <f t="shared" si="0"/>
        <v>121706</v>
      </c>
      <c r="B34" s="4174" t="s">
        <v>1980</v>
      </c>
      <c r="C34" s="4174" t="s">
        <v>2012</v>
      </c>
      <c r="D34" s="4174">
        <v>1205</v>
      </c>
      <c r="E34" s="4174" t="s">
        <v>1989</v>
      </c>
      <c r="F34" s="4173">
        <v>120501</v>
      </c>
      <c r="G34" s="4173" t="s">
        <v>1903</v>
      </c>
      <c r="H34" s="4173" t="s">
        <v>1943</v>
      </c>
      <c r="I34" s="4173">
        <v>1</v>
      </c>
      <c r="J34" s="4173">
        <v>5.1100000000000003</v>
      </c>
      <c r="K34" s="4173">
        <v>2.4</v>
      </c>
      <c r="L34" s="4173">
        <v>142.99</v>
      </c>
      <c r="M34" s="4173">
        <v>100.81</v>
      </c>
      <c r="N34" s="4173">
        <v>43.36</v>
      </c>
      <c r="O34" s="4210">
        <f t="shared" si="1"/>
        <v>1.0222858311183804E-3</v>
      </c>
    </row>
    <row r="35" spans="1:15" x14ac:dyDescent="0.25">
      <c r="A35" s="1009">
        <f t="shared" si="0"/>
        <v>121707</v>
      </c>
      <c r="B35" s="4174" t="s">
        <v>1980</v>
      </c>
      <c r="C35" s="4174" t="s">
        <v>2012</v>
      </c>
      <c r="D35" s="4174">
        <v>1205</v>
      </c>
      <c r="E35" s="4174" t="s">
        <v>1988</v>
      </c>
      <c r="F35" s="4173">
        <v>120502</v>
      </c>
      <c r="G35" s="4173" t="s">
        <v>1977</v>
      </c>
      <c r="H35" s="4173"/>
      <c r="I35" s="4173">
        <v>0</v>
      </c>
      <c r="J35" s="4173">
        <v>0</v>
      </c>
      <c r="K35" s="4173">
        <v>0</v>
      </c>
      <c r="L35" s="4173">
        <v>0</v>
      </c>
      <c r="M35" s="4173">
        <v>0</v>
      </c>
      <c r="N35" s="4173">
        <v>0</v>
      </c>
      <c r="O35" s="4210">
        <f t="shared" si="1"/>
        <v>0</v>
      </c>
    </row>
    <row r="36" spans="1:15" x14ac:dyDescent="0.25">
      <c r="A36" s="1009">
        <f t="shared" si="0"/>
        <v>121708</v>
      </c>
      <c r="B36" s="4174" t="s">
        <v>1980</v>
      </c>
      <c r="C36" s="4174" t="s">
        <v>2012</v>
      </c>
      <c r="D36" s="4174">
        <v>1205</v>
      </c>
      <c r="E36" s="4174" t="s">
        <v>1987</v>
      </c>
      <c r="F36" s="4173">
        <v>120503</v>
      </c>
      <c r="G36" s="4173" t="s">
        <v>350</v>
      </c>
      <c r="H36" s="4173"/>
      <c r="I36" s="4173">
        <v>19</v>
      </c>
      <c r="J36" s="4173">
        <v>376.81</v>
      </c>
      <c r="K36" s="4173">
        <v>105.81</v>
      </c>
      <c r="L36" s="4173">
        <v>10080.799999999999</v>
      </c>
      <c r="M36" s="4173">
        <v>0</v>
      </c>
      <c r="N36" s="4173">
        <v>1679.8</v>
      </c>
      <c r="O36" s="4210">
        <f t="shared" si="1"/>
        <v>4.5070026579431606E-2</v>
      </c>
    </row>
    <row r="37" spans="1:15" x14ac:dyDescent="0.25">
      <c r="A37" s="1009">
        <f t="shared" si="0"/>
        <v>121709</v>
      </c>
      <c r="B37" s="4174" t="s">
        <v>1980</v>
      </c>
      <c r="C37" s="4174" t="s">
        <v>2012</v>
      </c>
      <c r="D37" s="4174">
        <v>1205</v>
      </c>
      <c r="E37" s="4174" t="s">
        <v>2004</v>
      </c>
      <c r="F37" s="4173">
        <v>120504</v>
      </c>
      <c r="G37" s="4173" t="s">
        <v>350</v>
      </c>
      <c r="H37" s="4173"/>
      <c r="I37" s="4173">
        <v>1</v>
      </c>
      <c r="J37" s="4173">
        <v>139.69</v>
      </c>
      <c r="K37" s="4173">
        <v>30.8</v>
      </c>
      <c r="L37" s="4173">
        <v>3088.62</v>
      </c>
      <c r="M37" s="4173">
        <v>0</v>
      </c>
      <c r="N37" s="4173">
        <v>512.52</v>
      </c>
      <c r="O37" s="4210">
        <f t="shared" si="1"/>
        <v>1.3119334832685884E-2</v>
      </c>
    </row>
    <row r="38" spans="1:15" x14ac:dyDescent="0.25">
      <c r="A38" s="1009">
        <f t="shared" si="0"/>
        <v>121710</v>
      </c>
      <c r="B38" s="4174" t="s">
        <v>1980</v>
      </c>
      <c r="C38" s="4174" t="s">
        <v>2012</v>
      </c>
      <c r="D38" s="4174">
        <v>1205</v>
      </c>
      <c r="E38" s="4174" t="s">
        <v>1985</v>
      </c>
      <c r="F38" s="4173">
        <v>120505</v>
      </c>
      <c r="G38" s="4173" t="s">
        <v>1977</v>
      </c>
      <c r="H38" s="4173" t="s">
        <v>350</v>
      </c>
      <c r="I38" s="4173">
        <v>0</v>
      </c>
      <c r="J38" s="4173">
        <v>0</v>
      </c>
      <c r="K38" s="4173">
        <v>0</v>
      </c>
      <c r="L38" s="4173">
        <v>0</v>
      </c>
      <c r="M38" s="4173">
        <v>0</v>
      </c>
      <c r="N38" s="4173">
        <v>0</v>
      </c>
      <c r="O38" s="4210">
        <f t="shared" si="1"/>
        <v>0</v>
      </c>
    </row>
    <row r="39" spans="1:15" x14ac:dyDescent="0.25">
      <c r="A39" s="1009">
        <f t="shared" si="0"/>
        <v>121711</v>
      </c>
      <c r="B39" s="4174" t="s">
        <v>1980</v>
      </c>
      <c r="C39" s="4174" t="s">
        <v>2012</v>
      </c>
      <c r="D39" s="4174">
        <v>1205</v>
      </c>
      <c r="E39" s="4174" t="s">
        <v>1984</v>
      </c>
      <c r="F39" s="4173">
        <v>120506</v>
      </c>
      <c r="G39" s="4173" t="s">
        <v>1977</v>
      </c>
      <c r="H39" s="4173" t="s">
        <v>350</v>
      </c>
      <c r="I39" s="4173">
        <v>0</v>
      </c>
      <c r="J39" s="4173">
        <v>0</v>
      </c>
      <c r="K39" s="4173">
        <v>0</v>
      </c>
      <c r="L39" s="4173">
        <v>0</v>
      </c>
      <c r="M39" s="4173">
        <v>0</v>
      </c>
      <c r="N39" s="4173">
        <v>0</v>
      </c>
      <c r="O39" s="4210">
        <f t="shared" si="1"/>
        <v>0</v>
      </c>
    </row>
    <row r="40" spans="1:15" x14ac:dyDescent="0.25">
      <c r="A40" s="1009">
        <f t="shared" si="0"/>
        <v>121712</v>
      </c>
      <c r="B40" s="4174" t="s">
        <v>1980</v>
      </c>
      <c r="C40" s="4174" t="s">
        <v>2012</v>
      </c>
      <c r="D40" s="4174">
        <v>1205</v>
      </c>
      <c r="E40" s="4174" t="s">
        <v>1983</v>
      </c>
      <c r="F40" s="4173">
        <v>120507</v>
      </c>
      <c r="G40" s="4173" t="s">
        <v>1977</v>
      </c>
      <c r="H40" s="4173" t="s">
        <v>350</v>
      </c>
      <c r="I40" s="4173">
        <v>0</v>
      </c>
      <c r="J40" s="4173">
        <v>0</v>
      </c>
      <c r="K40" s="4173">
        <v>0</v>
      </c>
      <c r="L40" s="4173">
        <v>0</v>
      </c>
      <c r="M40" s="4173">
        <v>0</v>
      </c>
      <c r="N40" s="4173">
        <v>0</v>
      </c>
      <c r="O40" s="4210">
        <f t="shared" si="1"/>
        <v>0</v>
      </c>
    </row>
    <row r="41" spans="1:15" x14ac:dyDescent="0.25">
      <c r="A41" s="1009">
        <f t="shared" si="0"/>
        <v>121714</v>
      </c>
      <c r="B41" s="4174" t="s">
        <v>1980</v>
      </c>
      <c r="C41" s="4174" t="s">
        <v>2012</v>
      </c>
      <c r="D41" s="4174">
        <v>1205</v>
      </c>
      <c r="E41" s="4174" t="s">
        <v>1996</v>
      </c>
      <c r="F41" s="4173">
        <v>120509</v>
      </c>
      <c r="G41" s="4173" t="s">
        <v>1977</v>
      </c>
      <c r="H41" s="4173"/>
      <c r="I41" s="4173">
        <v>0</v>
      </c>
      <c r="J41" s="4173">
        <v>0</v>
      </c>
      <c r="K41" s="4173">
        <v>0</v>
      </c>
      <c r="L41" s="4173">
        <v>0</v>
      </c>
      <c r="M41" s="4173">
        <v>0</v>
      </c>
      <c r="N41" s="4173">
        <v>0</v>
      </c>
      <c r="O41" s="4210">
        <f t="shared" si="1"/>
        <v>0</v>
      </c>
    </row>
    <row r="42" spans="1:15" x14ac:dyDescent="0.25">
      <c r="A42" s="1009">
        <f t="shared" si="0"/>
        <v>121715</v>
      </c>
      <c r="B42" s="4174" t="s">
        <v>1980</v>
      </c>
      <c r="C42" s="4174" t="s">
        <v>2012</v>
      </c>
      <c r="D42" s="4174">
        <v>1205</v>
      </c>
      <c r="E42" s="4174" t="s">
        <v>1995</v>
      </c>
      <c r="F42" s="4173">
        <v>120510</v>
      </c>
      <c r="G42" s="4173" t="s">
        <v>1977</v>
      </c>
      <c r="H42" s="4173"/>
      <c r="I42" s="4173">
        <v>0</v>
      </c>
      <c r="J42" s="4173">
        <v>0</v>
      </c>
      <c r="K42" s="4173">
        <v>0</v>
      </c>
      <c r="L42" s="4173">
        <v>0</v>
      </c>
      <c r="M42" s="4173">
        <v>0</v>
      </c>
      <c r="N42" s="4173">
        <v>0</v>
      </c>
      <c r="O42" s="4210">
        <f t="shared" si="1"/>
        <v>0</v>
      </c>
    </row>
    <row r="43" spans="1:15" x14ac:dyDescent="0.25">
      <c r="A43" s="1009">
        <f t="shared" si="0"/>
        <v>121716</v>
      </c>
      <c r="B43" s="4174" t="s">
        <v>1980</v>
      </c>
      <c r="C43" s="4174" t="s">
        <v>2012</v>
      </c>
      <c r="D43" s="4174">
        <v>1205</v>
      </c>
      <c r="E43" s="4174" t="s">
        <v>2003</v>
      </c>
      <c r="F43" s="4173">
        <v>120511</v>
      </c>
      <c r="G43" s="4173" t="s">
        <v>1977</v>
      </c>
      <c r="H43" s="4173"/>
      <c r="I43" s="4173">
        <v>0</v>
      </c>
      <c r="J43" s="4173">
        <v>0</v>
      </c>
      <c r="K43" s="4173">
        <v>0</v>
      </c>
      <c r="L43" s="4173">
        <v>0</v>
      </c>
      <c r="M43" s="4173">
        <v>0</v>
      </c>
      <c r="N43" s="4173">
        <v>0</v>
      </c>
      <c r="O43" s="4210">
        <f t="shared" si="1"/>
        <v>0</v>
      </c>
    </row>
    <row r="44" spans="1:15" x14ac:dyDescent="0.25">
      <c r="A44" s="1009">
        <f t="shared" si="0"/>
        <v>121717</v>
      </c>
      <c r="B44" s="4174" t="s">
        <v>1980</v>
      </c>
      <c r="C44" s="4174" t="s">
        <v>2012</v>
      </c>
      <c r="D44" s="4174">
        <v>1205</v>
      </c>
      <c r="E44" s="4174" t="s">
        <v>2002</v>
      </c>
      <c r="F44" s="4173">
        <v>120512</v>
      </c>
      <c r="G44" s="4173" t="s">
        <v>1977</v>
      </c>
      <c r="H44" s="4173"/>
      <c r="I44" s="4173">
        <v>0</v>
      </c>
      <c r="J44" s="4173">
        <v>0</v>
      </c>
      <c r="K44" s="4173">
        <v>0</v>
      </c>
      <c r="L44" s="4173">
        <v>0</v>
      </c>
      <c r="M44" s="4173">
        <v>0</v>
      </c>
      <c r="N44" s="4173">
        <v>0</v>
      </c>
      <c r="O44" s="4210">
        <f t="shared" si="1"/>
        <v>0</v>
      </c>
    </row>
    <row r="45" spans="1:15" x14ac:dyDescent="0.25">
      <c r="A45" s="1009">
        <f t="shared" si="0"/>
        <v>121724</v>
      </c>
      <c r="B45" s="4174" t="s">
        <v>1980</v>
      </c>
      <c r="C45" s="4174" t="s">
        <v>2012</v>
      </c>
      <c r="D45" s="4174">
        <v>1205</v>
      </c>
      <c r="E45" s="4174" t="s">
        <v>1990</v>
      </c>
      <c r="F45" s="4173">
        <v>120519</v>
      </c>
      <c r="G45" s="4173" t="s">
        <v>1977</v>
      </c>
      <c r="H45" s="4173"/>
      <c r="I45" s="4173">
        <v>0</v>
      </c>
      <c r="J45" s="4173">
        <v>0</v>
      </c>
      <c r="K45" s="4173">
        <v>0</v>
      </c>
      <c r="L45" s="4173">
        <v>0</v>
      </c>
      <c r="M45" s="4173">
        <v>0</v>
      </c>
      <c r="N45" s="4173">
        <v>0</v>
      </c>
      <c r="O45" s="4210">
        <f t="shared" si="1"/>
        <v>0</v>
      </c>
    </row>
    <row r="46" spans="1:15" x14ac:dyDescent="0.25">
      <c r="A46" s="1009">
        <f t="shared" si="0"/>
        <v>121807</v>
      </c>
      <c r="B46" s="4174" t="s">
        <v>1980</v>
      </c>
      <c r="C46" s="4174" t="s">
        <v>2011</v>
      </c>
      <c r="D46" s="4174">
        <v>1206</v>
      </c>
      <c r="E46" s="4174" t="s">
        <v>1989</v>
      </c>
      <c r="F46" s="4173">
        <v>120601</v>
      </c>
      <c r="G46" s="4173" t="s">
        <v>1903</v>
      </c>
      <c r="H46" s="4173" t="s">
        <v>1943</v>
      </c>
      <c r="I46" s="4173">
        <v>0</v>
      </c>
      <c r="J46" s="4173">
        <v>0</v>
      </c>
      <c r="K46" s="4173">
        <v>0</v>
      </c>
      <c r="L46" s="4173">
        <v>0</v>
      </c>
      <c r="M46" s="4173">
        <v>0</v>
      </c>
      <c r="N46" s="4173">
        <v>0</v>
      </c>
      <c r="O46" s="4210">
        <f t="shared" si="1"/>
        <v>0</v>
      </c>
    </row>
    <row r="47" spans="1:15" x14ac:dyDescent="0.25">
      <c r="A47" s="1009">
        <f t="shared" si="0"/>
        <v>121808</v>
      </c>
      <c r="B47" s="4174" t="s">
        <v>1980</v>
      </c>
      <c r="C47" s="4174" t="s">
        <v>2011</v>
      </c>
      <c r="D47" s="4174">
        <v>1206</v>
      </c>
      <c r="E47" s="4174" t="s">
        <v>1988</v>
      </c>
      <c r="F47" s="4173">
        <v>120602</v>
      </c>
      <c r="G47" s="4173" t="s">
        <v>1977</v>
      </c>
      <c r="H47" s="4173"/>
      <c r="I47" s="4173">
        <v>0</v>
      </c>
      <c r="J47" s="4173">
        <v>0</v>
      </c>
      <c r="K47" s="4173">
        <v>0</v>
      </c>
      <c r="L47" s="4173">
        <v>0</v>
      </c>
      <c r="M47" s="4173">
        <v>0</v>
      </c>
      <c r="N47" s="4173">
        <v>0</v>
      </c>
      <c r="O47" s="4210">
        <f t="shared" si="1"/>
        <v>0</v>
      </c>
    </row>
    <row r="48" spans="1:15" x14ac:dyDescent="0.25">
      <c r="A48" s="1009">
        <f t="shared" si="0"/>
        <v>121809</v>
      </c>
      <c r="B48" s="4174" t="s">
        <v>1980</v>
      </c>
      <c r="C48" s="4174" t="s">
        <v>2011</v>
      </c>
      <c r="D48" s="4174">
        <v>1206</v>
      </c>
      <c r="E48" s="4174" t="s">
        <v>1987</v>
      </c>
      <c r="F48" s="4173">
        <v>120603</v>
      </c>
      <c r="G48" s="4173" t="s">
        <v>350</v>
      </c>
      <c r="H48" s="4173"/>
      <c r="I48" s="4173">
        <v>10</v>
      </c>
      <c r="J48" s="4173">
        <v>9.8699999999999992</v>
      </c>
      <c r="K48" s="4173">
        <v>5.49</v>
      </c>
      <c r="L48" s="4173">
        <v>486.03</v>
      </c>
      <c r="M48" s="4173">
        <v>0</v>
      </c>
      <c r="N48" s="4173">
        <v>80.989999999999995</v>
      </c>
      <c r="O48" s="4210">
        <f t="shared" si="1"/>
        <v>2.3384788386832957E-3</v>
      </c>
    </row>
    <row r="49" spans="1:15" x14ac:dyDescent="0.25">
      <c r="A49" s="1009">
        <f t="shared" si="0"/>
        <v>121810</v>
      </c>
      <c r="B49" s="4174" t="s">
        <v>1980</v>
      </c>
      <c r="C49" s="4174" t="s">
        <v>2011</v>
      </c>
      <c r="D49" s="4174">
        <v>1206</v>
      </c>
      <c r="E49" s="4174" t="s">
        <v>2004</v>
      </c>
      <c r="F49" s="4173">
        <v>120604</v>
      </c>
      <c r="G49" s="4173" t="s">
        <v>350</v>
      </c>
      <c r="H49" s="4173"/>
      <c r="I49" s="4173">
        <v>0</v>
      </c>
      <c r="J49" s="4173">
        <v>0</v>
      </c>
      <c r="K49" s="4173">
        <v>0</v>
      </c>
      <c r="L49" s="4173">
        <v>0</v>
      </c>
      <c r="M49" s="4173">
        <v>0</v>
      </c>
      <c r="N49" s="4173">
        <v>0</v>
      </c>
      <c r="O49" s="4210">
        <f t="shared" si="1"/>
        <v>0</v>
      </c>
    </row>
    <row r="50" spans="1:15" x14ac:dyDescent="0.25">
      <c r="A50" s="1009">
        <f t="shared" si="0"/>
        <v>121811</v>
      </c>
      <c r="B50" s="4174" t="s">
        <v>1980</v>
      </c>
      <c r="C50" s="4174" t="s">
        <v>2011</v>
      </c>
      <c r="D50" s="4174">
        <v>1206</v>
      </c>
      <c r="E50" s="4174" t="s">
        <v>1985</v>
      </c>
      <c r="F50" s="4173">
        <v>120605</v>
      </c>
      <c r="G50" s="4173" t="s">
        <v>1977</v>
      </c>
      <c r="H50" s="4173" t="s">
        <v>350</v>
      </c>
      <c r="I50" s="4173">
        <v>0</v>
      </c>
      <c r="J50" s="4173">
        <v>0</v>
      </c>
      <c r="K50" s="4173">
        <v>0</v>
      </c>
      <c r="L50" s="4173">
        <v>0</v>
      </c>
      <c r="M50" s="4173">
        <v>0</v>
      </c>
      <c r="N50" s="4173">
        <v>0</v>
      </c>
      <c r="O50" s="4210">
        <f t="shared" si="1"/>
        <v>0</v>
      </c>
    </row>
    <row r="51" spans="1:15" x14ac:dyDescent="0.25">
      <c r="A51" s="1009">
        <f t="shared" si="0"/>
        <v>121812</v>
      </c>
      <c r="B51" s="4174" t="s">
        <v>1980</v>
      </c>
      <c r="C51" s="4174" t="s">
        <v>2011</v>
      </c>
      <c r="D51" s="4174">
        <v>1206</v>
      </c>
      <c r="E51" s="4174" t="s">
        <v>1984</v>
      </c>
      <c r="F51" s="4173">
        <v>120606</v>
      </c>
      <c r="G51" s="4173" t="s">
        <v>1977</v>
      </c>
      <c r="H51" s="4173" t="s">
        <v>350</v>
      </c>
      <c r="I51" s="4173">
        <v>0</v>
      </c>
      <c r="J51" s="4173">
        <v>0</v>
      </c>
      <c r="K51" s="4173">
        <v>0</v>
      </c>
      <c r="L51" s="4173">
        <v>0</v>
      </c>
      <c r="M51" s="4173">
        <v>0</v>
      </c>
      <c r="N51" s="4173">
        <v>0</v>
      </c>
      <c r="O51" s="4210">
        <f t="shared" si="1"/>
        <v>0</v>
      </c>
    </row>
    <row r="52" spans="1:15" x14ac:dyDescent="0.25">
      <c r="A52" s="1009">
        <f t="shared" si="0"/>
        <v>121813</v>
      </c>
      <c r="B52" s="4174" t="s">
        <v>1980</v>
      </c>
      <c r="C52" s="4174" t="s">
        <v>2011</v>
      </c>
      <c r="D52" s="4174">
        <v>1206</v>
      </c>
      <c r="E52" s="4174" t="s">
        <v>1983</v>
      </c>
      <c r="F52" s="4173">
        <v>120607</v>
      </c>
      <c r="G52" s="4173" t="s">
        <v>1977</v>
      </c>
      <c r="H52" s="4173" t="s">
        <v>350</v>
      </c>
      <c r="I52" s="4173">
        <v>0</v>
      </c>
      <c r="J52" s="4173">
        <v>0</v>
      </c>
      <c r="K52" s="4173">
        <v>0</v>
      </c>
      <c r="L52" s="4173">
        <v>0</v>
      </c>
      <c r="M52" s="4173">
        <v>0</v>
      </c>
      <c r="N52" s="4173">
        <v>0</v>
      </c>
      <c r="O52" s="4210">
        <f t="shared" si="1"/>
        <v>0</v>
      </c>
    </row>
    <row r="53" spans="1:15" x14ac:dyDescent="0.25">
      <c r="A53" s="1009">
        <f t="shared" si="0"/>
        <v>121815</v>
      </c>
      <c r="B53" s="4174" t="s">
        <v>1980</v>
      </c>
      <c r="C53" s="4174" t="s">
        <v>2011</v>
      </c>
      <c r="D53" s="4174">
        <v>1206</v>
      </c>
      <c r="E53" s="4174" t="s">
        <v>1996</v>
      </c>
      <c r="F53" s="4173">
        <v>120609</v>
      </c>
      <c r="G53" s="4173" t="s">
        <v>1977</v>
      </c>
      <c r="H53" s="4173"/>
      <c r="I53" s="4173">
        <v>0</v>
      </c>
      <c r="J53" s="4173">
        <v>0</v>
      </c>
      <c r="K53" s="4173">
        <v>0</v>
      </c>
      <c r="L53" s="4173">
        <v>0</v>
      </c>
      <c r="M53" s="4173">
        <v>0</v>
      </c>
      <c r="N53" s="4173">
        <v>0</v>
      </c>
      <c r="O53" s="4210">
        <f t="shared" si="1"/>
        <v>0</v>
      </c>
    </row>
    <row r="54" spans="1:15" x14ac:dyDescent="0.25">
      <c r="A54" s="1009">
        <f t="shared" si="0"/>
        <v>121816</v>
      </c>
      <c r="B54" s="4174" t="s">
        <v>1980</v>
      </c>
      <c r="C54" s="4174" t="s">
        <v>2011</v>
      </c>
      <c r="D54" s="4174">
        <v>1206</v>
      </c>
      <c r="E54" s="4174" t="s">
        <v>1995</v>
      </c>
      <c r="F54" s="4173">
        <v>120610</v>
      </c>
      <c r="G54" s="4173" t="s">
        <v>1977</v>
      </c>
      <c r="H54" s="4173"/>
      <c r="I54" s="4173">
        <v>0</v>
      </c>
      <c r="J54" s="4173">
        <v>0</v>
      </c>
      <c r="K54" s="4173">
        <v>0</v>
      </c>
      <c r="L54" s="4173">
        <v>0</v>
      </c>
      <c r="M54" s="4173">
        <v>0</v>
      </c>
      <c r="N54" s="4173">
        <v>0</v>
      </c>
      <c r="O54" s="4210">
        <f t="shared" si="1"/>
        <v>0</v>
      </c>
    </row>
    <row r="55" spans="1:15" x14ac:dyDescent="0.25">
      <c r="A55" s="1009">
        <f t="shared" si="0"/>
        <v>121817</v>
      </c>
      <c r="B55" s="4174" t="s">
        <v>1980</v>
      </c>
      <c r="C55" s="4174" t="s">
        <v>2011</v>
      </c>
      <c r="D55" s="4174">
        <v>1206</v>
      </c>
      <c r="E55" s="4174" t="s">
        <v>1982</v>
      </c>
      <c r="F55" s="4173">
        <v>120611</v>
      </c>
      <c r="G55" s="4173" t="s">
        <v>1977</v>
      </c>
      <c r="H55" s="4173"/>
      <c r="I55" s="4173">
        <v>0</v>
      </c>
      <c r="J55" s="4173">
        <v>0</v>
      </c>
      <c r="K55" s="4173">
        <v>0</v>
      </c>
      <c r="L55" s="4173">
        <v>0</v>
      </c>
      <c r="M55" s="4173">
        <v>0</v>
      </c>
      <c r="N55" s="4173">
        <v>0</v>
      </c>
      <c r="O55" s="4210">
        <f t="shared" si="1"/>
        <v>0</v>
      </c>
    </row>
    <row r="56" spans="1:15" x14ac:dyDescent="0.25">
      <c r="A56" s="1009">
        <f t="shared" si="0"/>
        <v>121818</v>
      </c>
      <c r="B56" s="4174" t="s">
        <v>1980</v>
      </c>
      <c r="C56" s="4174" t="s">
        <v>2011</v>
      </c>
      <c r="D56" s="4174">
        <v>1206</v>
      </c>
      <c r="E56" s="4174" t="s">
        <v>1994</v>
      </c>
      <c r="F56" s="4173">
        <v>120612</v>
      </c>
      <c r="G56" s="4173" t="s">
        <v>1977</v>
      </c>
      <c r="H56" s="4173"/>
      <c r="I56" s="4173">
        <v>0</v>
      </c>
      <c r="J56" s="4173">
        <v>0</v>
      </c>
      <c r="K56" s="4173">
        <v>0</v>
      </c>
      <c r="L56" s="4173">
        <v>0</v>
      </c>
      <c r="M56" s="4173">
        <v>0</v>
      </c>
      <c r="N56" s="4173">
        <v>0</v>
      </c>
      <c r="O56" s="4210">
        <f t="shared" si="1"/>
        <v>0</v>
      </c>
    </row>
    <row r="57" spans="1:15" x14ac:dyDescent="0.25">
      <c r="A57" s="1009">
        <f t="shared" si="0"/>
        <v>121825</v>
      </c>
      <c r="B57" s="4174" t="s">
        <v>1980</v>
      </c>
      <c r="C57" s="4174" t="s">
        <v>2011</v>
      </c>
      <c r="D57" s="4174">
        <v>1206</v>
      </c>
      <c r="E57" s="4174" t="s">
        <v>1990</v>
      </c>
      <c r="F57" s="4173">
        <v>120619</v>
      </c>
      <c r="G57" s="4173" t="s">
        <v>1977</v>
      </c>
      <c r="H57" s="4173"/>
      <c r="I57" s="4173">
        <v>0</v>
      </c>
      <c r="J57" s="4173">
        <v>0</v>
      </c>
      <c r="K57" s="4173">
        <v>0</v>
      </c>
      <c r="L57" s="4173">
        <v>0</v>
      </c>
      <c r="M57" s="4173">
        <v>0</v>
      </c>
      <c r="N57" s="4173">
        <v>0</v>
      </c>
      <c r="O57" s="4210">
        <f t="shared" si="1"/>
        <v>0</v>
      </c>
    </row>
    <row r="58" spans="1:15" x14ac:dyDescent="0.25">
      <c r="A58" s="1009">
        <f t="shared" si="0"/>
        <v>124332</v>
      </c>
      <c r="B58" s="4174" t="s">
        <v>1980</v>
      </c>
      <c r="C58" s="4174" t="s">
        <v>2010</v>
      </c>
      <c r="D58" s="4174">
        <v>1231</v>
      </c>
      <c r="E58" s="4174" t="s">
        <v>1989</v>
      </c>
      <c r="F58" s="4173">
        <v>123101</v>
      </c>
      <c r="G58" s="4173" t="s">
        <v>1903</v>
      </c>
      <c r="H58" s="4173" t="s">
        <v>1943</v>
      </c>
      <c r="I58" s="4173">
        <v>0</v>
      </c>
      <c r="J58" s="4173">
        <v>0</v>
      </c>
      <c r="K58" s="4173">
        <v>0</v>
      </c>
      <c r="L58" s="4173">
        <v>0</v>
      </c>
      <c r="M58" s="4173">
        <v>0</v>
      </c>
      <c r="N58" s="4173">
        <v>0</v>
      </c>
      <c r="O58" s="4210">
        <f t="shared" si="1"/>
        <v>0</v>
      </c>
    </row>
    <row r="59" spans="1:15" x14ac:dyDescent="0.25">
      <c r="A59" s="1009">
        <f t="shared" si="0"/>
        <v>124333</v>
      </c>
      <c r="B59" s="4174" t="s">
        <v>1980</v>
      </c>
      <c r="C59" s="4174" t="s">
        <v>2010</v>
      </c>
      <c r="D59" s="4174">
        <v>1231</v>
      </c>
      <c r="E59" s="4174" t="s">
        <v>1988</v>
      </c>
      <c r="F59" s="4173">
        <v>123102</v>
      </c>
      <c r="G59" s="4173" t="s">
        <v>1977</v>
      </c>
      <c r="H59" s="4173"/>
      <c r="I59" s="4173">
        <v>0</v>
      </c>
      <c r="J59" s="4173">
        <v>0</v>
      </c>
      <c r="K59" s="4173">
        <v>0</v>
      </c>
      <c r="L59" s="4173">
        <v>0</v>
      </c>
      <c r="M59" s="4173">
        <v>0</v>
      </c>
      <c r="N59" s="4173">
        <v>0</v>
      </c>
      <c r="O59" s="4210">
        <f t="shared" si="1"/>
        <v>0</v>
      </c>
    </row>
    <row r="60" spans="1:15" x14ac:dyDescent="0.25">
      <c r="A60" s="1009">
        <f t="shared" si="0"/>
        <v>124334</v>
      </c>
      <c r="B60" s="4174" t="s">
        <v>1980</v>
      </c>
      <c r="C60" s="4174" t="s">
        <v>2010</v>
      </c>
      <c r="D60" s="4174">
        <v>1231</v>
      </c>
      <c r="E60" s="4174" t="s">
        <v>1995</v>
      </c>
      <c r="F60" s="4173">
        <v>123103</v>
      </c>
      <c r="G60" s="4173" t="s">
        <v>1977</v>
      </c>
      <c r="H60" s="4173"/>
      <c r="I60" s="4173">
        <v>0</v>
      </c>
      <c r="J60" s="4173">
        <v>0</v>
      </c>
      <c r="K60" s="4173">
        <v>0</v>
      </c>
      <c r="L60" s="4173">
        <v>0</v>
      </c>
      <c r="M60" s="4173">
        <v>0</v>
      </c>
      <c r="N60" s="4173">
        <v>0</v>
      </c>
      <c r="O60" s="4210">
        <f t="shared" si="1"/>
        <v>0</v>
      </c>
    </row>
    <row r="61" spans="1:15" x14ac:dyDescent="0.25">
      <c r="A61" s="1009">
        <f t="shared" si="0"/>
        <v>124335</v>
      </c>
      <c r="B61" s="4174" t="s">
        <v>1980</v>
      </c>
      <c r="C61" s="4174" t="s">
        <v>2010</v>
      </c>
      <c r="D61" s="4174">
        <v>1231</v>
      </c>
      <c r="E61" s="4174" t="s">
        <v>2003</v>
      </c>
      <c r="F61" s="4173">
        <v>123104</v>
      </c>
      <c r="G61" s="4173" t="s">
        <v>1977</v>
      </c>
      <c r="H61" s="4173"/>
      <c r="I61" s="4173">
        <v>0</v>
      </c>
      <c r="J61" s="4173">
        <v>0</v>
      </c>
      <c r="K61" s="4173">
        <v>0</v>
      </c>
      <c r="L61" s="4173">
        <v>0</v>
      </c>
      <c r="M61" s="4173">
        <v>0</v>
      </c>
      <c r="N61" s="4173">
        <v>0</v>
      </c>
      <c r="O61" s="4210">
        <f t="shared" si="1"/>
        <v>0</v>
      </c>
    </row>
    <row r="62" spans="1:15" x14ac:dyDescent="0.25">
      <c r="A62" s="1009">
        <f t="shared" si="0"/>
        <v>124336</v>
      </c>
      <c r="B62" s="4174" t="s">
        <v>1980</v>
      </c>
      <c r="C62" s="4174" t="s">
        <v>2010</v>
      </c>
      <c r="D62" s="4174">
        <v>1231</v>
      </c>
      <c r="E62" s="4174" t="s">
        <v>2002</v>
      </c>
      <c r="F62" s="4173">
        <v>123105</v>
      </c>
      <c r="G62" s="4173" t="s">
        <v>1977</v>
      </c>
      <c r="H62" s="4173"/>
      <c r="I62" s="4173">
        <v>0</v>
      </c>
      <c r="J62" s="4173">
        <v>0</v>
      </c>
      <c r="K62" s="4173">
        <v>0</v>
      </c>
      <c r="L62" s="4173">
        <v>0</v>
      </c>
      <c r="M62" s="4173">
        <v>0</v>
      </c>
      <c r="N62" s="4173">
        <v>0</v>
      </c>
      <c r="O62" s="4210">
        <f t="shared" si="1"/>
        <v>0</v>
      </c>
    </row>
    <row r="63" spans="1:15" x14ac:dyDescent="0.25">
      <c r="A63" s="1009">
        <f t="shared" si="0"/>
        <v>124337</v>
      </c>
      <c r="B63" s="4174" t="s">
        <v>1980</v>
      </c>
      <c r="C63" s="4174" t="s">
        <v>2010</v>
      </c>
      <c r="D63" s="4174">
        <v>1231</v>
      </c>
      <c r="E63" s="4174" t="s">
        <v>2006</v>
      </c>
      <c r="F63" s="4173">
        <v>123106</v>
      </c>
      <c r="G63" s="4173" t="s">
        <v>350</v>
      </c>
      <c r="H63" s="4173"/>
      <c r="I63" s="4173">
        <v>0</v>
      </c>
      <c r="J63" s="4173">
        <v>0</v>
      </c>
      <c r="K63" s="4173">
        <v>0</v>
      </c>
      <c r="L63" s="4173">
        <v>0</v>
      </c>
      <c r="M63" s="4173">
        <v>0</v>
      </c>
      <c r="N63" s="4173">
        <v>0</v>
      </c>
      <c r="O63" s="4210">
        <f t="shared" si="1"/>
        <v>0</v>
      </c>
    </row>
    <row r="64" spans="1:15" x14ac:dyDescent="0.25">
      <c r="A64" s="1009">
        <f t="shared" si="0"/>
        <v>124338</v>
      </c>
      <c r="B64" s="4174" t="s">
        <v>1980</v>
      </c>
      <c r="C64" s="4174" t="s">
        <v>2010</v>
      </c>
      <c r="D64" s="4174">
        <v>1231</v>
      </c>
      <c r="E64" s="4174" t="s">
        <v>1985</v>
      </c>
      <c r="F64" s="4173">
        <v>123107</v>
      </c>
      <c r="G64" s="4173" t="s">
        <v>1977</v>
      </c>
      <c r="H64" s="4173" t="s">
        <v>350</v>
      </c>
      <c r="I64" s="4173">
        <v>0</v>
      </c>
      <c r="J64" s="4173">
        <v>0</v>
      </c>
      <c r="K64" s="4173">
        <v>0</v>
      </c>
      <c r="L64" s="4173">
        <v>0</v>
      </c>
      <c r="M64" s="4173">
        <v>0</v>
      </c>
      <c r="N64" s="4173">
        <v>0</v>
      </c>
      <c r="O64" s="4210">
        <f t="shared" si="1"/>
        <v>0</v>
      </c>
    </row>
    <row r="65" spans="1:15" x14ac:dyDescent="0.25">
      <c r="A65" s="1009">
        <f t="shared" si="0"/>
        <v>124339</v>
      </c>
      <c r="B65" s="4174" t="s">
        <v>1980</v>
      </c>
      <c r="C65" s="4174" t="s">
        <v>2010</v>
      </c>
      <c r="D65" s="4174">
        <v>1231</v>
      </c>
      <c r="E65" s="4174" t="s">
        <v>1984</v>
      </c>
      <c r="F65" s="4173">
        <v>123108</v>
      </c>
      <c r="G65" s="4173" t="s">
        <v>1977</v>
      </c>
      <c r="H65" s="4173" t="s">
        <v>350</v>
      </c>
      <c r="I65" s="4173">
        <v>0</v>
      </c>
      <c r="J65" s="4173">
        <v>0</v>
      </c>
      <c r="K65" s="4173">
        <v>0</v>
      </c>
      <c r="L65" s="4173">
        <v>0</v>
      </c>
      <c r="M65" s="4173">
        <v>0</v>
      </c>
      <c r="N65" s="4173">
        <v>0</v>
      </c>
      <c r="O65" s="4210">
        <f t="shared" si="1"/>
        <v>0</v>
      </c>
    </row>
    <row r="66" spans="1:15" x14ac:dyDescent="0.25">
      <c r="A66" s="1009">
        <f t="shared" si="0"/>
        <v>124340</v>
      </c>
      <c r="B66" s="4174" t="s">
        <v>1980</v>
      </c>
      <c r="C66" s="4174" t="s">
        <v>2010</v>
      </c>
      <c r="D66" s="4174">
        <v>1231</v>
      </c>
      <c r="E66" s="4174" t="s">
        <v>1983</v>
      </c>
      <c r="F66" s="4173">
        <v>123109</v>
      </c>
      <c r="G66" s="4173" t="s">
        <v>1977</v>
      </c>
      <c r="H66" s="4173" t="s">
        <v>350</v>
      </c>
      <c r="I66" s="4173">
        <v>0</v>
      </c>
      <c r="J66" s="4173">
        <v>0</v>
      </c>
      <c r="K66" s="4173">
        <v>0</v>
      </c>
      <c r="L66" s="4173">
        <v>0</v>
      </c>
      <c r="M66" s="4173">
        <v>0</v>
      </c>
      <c r="N66" s="4173">
        <v>0</v>
      </c>
      <c r="O66" s="4210">
        <f t="shared" si="1"/>
        <v>0</v>
      </c>
    </row>
    <row r="67" spans="1:15" x14ac:dyDescent="0.25">
      <c r="A67" s="1009">
        <f t="shared" si="0"/>
        <v>124345</v>
      </c>
      <c r="B67" s="4174" t="s">
        <v>1980</v>
      </c>
      <c r="C67" s="4174" t="s">
        <v>2010</v>
      </c>
      <c r="D67" s="4174">
        <v>1231</v>
      </c>
      <c r="E67" s="4174" t="s">
        <v>1990</v>
      </c>
      <c r="F67" s="4173">
        <v>123114</v>
      </c>
      <c r="G67" s="4173" t="s">
        <v>1977</v>
      </c>
      <c r="H67" s="4173"/>
      <c r="I67" s="4173">
        <v>0</v>
      </c>
      <c r="J67" s="4173">
        <v>0</v>
      </c>
      <c r="K67" s="4173">
        <v>0</v>
      </c>
      <c r="L67" s="4173">
        <v>0</v>
      </c>
      <c r="M67" s="4173">
        <v>0</v>
      </c>
      <c r="N67" s="4173">
        <v>0</v>
      </c>
      <c r="O67" s="4210">
        <f t="shared" si="1"/>
        <v>0</v>
      </c>
    </row>
    <row r="68" spans="1:15" x14ac:dyDescent="0.25">
      <c r="A68" s="1009">
        <f t="shared" ref="A68:A131" si="3">D68+F68</f>
        <v>124433</v>
      </c>
      <c r="B68" s="4174" t="s">
        <v>1980</v>
      </c>
      <c r="C68" s="4174" t="s">
        <v>2009</v>
      </c>
      <c r="D68" s="4174">
        <v>1232</v>
      </c>
      <c r="E68" s="4174" t="s">
        <v>2006</v>
      </c>
      <c r="F68" s="4173">
        <v>123201</v>
      </c>
      <c r="G68" s="4173" t="s">
        <v>350</v>
      </c>
      <c r="H68" s="4173"/>
      <c r="I68" s="4173">
        <v>2</v>
      </c>
      <c r="J68" s="4173">
        <v>5.97</v>
      </c>
      <c r="K68" s="4173">
        <v>1.2</v>
      </c>
      <c r="L68" s="4173">
        <v>127.49</v>
      </c>
      <c r="M68" s="4173">
        <v>0</v>
      </c>
      <c r="N68" s="4173">
        <v>15.86</v>
      </c>
      <c r="O68" s="4210">
        <f t="shared" ref="O68:O131" si="4">K68/K$211</f>
        <v>5.1114291555919022E-4</v>
      </c>
    </row>
    <row r="69" spans="1:15" x14ac:dyDescent="0.25">
      <c r="A69" s="1009">
        <f t="shared" si="3"/>
        <v>124434</v>
      </c>
      <c r="B69" s="4174" t="s">
        <v>1980</v>
      </c>
      <c r="C69" s="4174" t="s">
        <v>2009</v>
      </c>
      <c r="D69" s="4174">
        <v>1232</v>
      </c>
      <c r="E69" s="4174" t="s">
        <v>2004</v>
      </c>
      <c r="F69" s="4173">
        <v>123202</v>
      </c>
      <c r="G69" s="4173" t="s">
        <v>350</v>
      </c>
      <c r="H69" s="4173"/>
      <c r="I69" s="4173">
        <v>0</v>
      </c>
      <c r="J69" s="4173">
        <v>0</v>
      </c>
      <c r="K69" s="4173">
        <v>0</v>
      </c>
      <c r="L69" s="4173">
        <v>0</v>
      </c>
      <c r="M69" s="4173">
        <v>0</v>
      </c>
      <c r="N69" s="4173">
        <v>0</v>
      </c>
      <c r="O69" s="4210">
        <f t="shared" si="4"/>
        <v>0</v>
      </c>
    </row>
    <row r="70" spans="1:15" x14ac:dyDescent="0.25">
      <c r="A70" s="1009">
        <f t="shared" si="3"/>
        <v>124534</v>
      </c>
      <c r="B70" s="4174" t="s">
        <v>1980</v>
      </c>
      <c r="C70" s="4174" t="s">
        <v>2007</v>
      </c>
      <c r="D70" s="4174">
        <v>1233</v>
      </c>
      <c r="E70" s="4174" t="s">
        <v>1989</v>
      </c>
      <c r="F70" s="4173">
        <v>123301</v>
      </c>
      <c r="G70" s="4173" t="s">
        <v>1903</v>
      </c>
      <c r="H70" s="4173" t="s">
        <v>1943</v>
      </c>
      <c r="I70" s="4173">
        <v>0</v>
      </c>
      <c r="J70" s="4173">
        <v>0</v>
      </c>
      <c r="K70" s="4173">
        <v>0</v>
      </c>
      <c r="L70" s="4173">
        <v>0</v>
      </c>
      <c r="M70" s="4173">
        <v>0</v>
      </c>
      <c r="N70" s="4173">
        <v>0</v>
      </c>
      <c r="O70" s="4210">
        <f t="shared" si="4"/>
        <v>0</v>
      </c>
    </row>
    <row r="71" spans="1:15" x14ac:dyDescent="0.25">
      <c r="A71" s="1009">
        <f t="shared" si="3"/>
        <v>124535</v>
      </c>
      <c r="B71" s="4174" t="s">
        <v>1980</v>
      </c>
      <c r="C71" s="4174" t="s">
        <v>2007</v>
      </c>
      <c r="D71" s="4174">
        <v>1233</v>
      </c>
      <c r="E71" s="4174" t="s">
        <v>1988</v>
      </c>
      <c r="F71" s="4173">
        <v>123302</v>
      </c>
      <c r="G71" s="4173" t="s">
        <v>1977</v>
      </c>
      <c r="H71" s="4173"/>
      <c r="I71" s="4173">
        <v>0</v>
      </c>
      <c r="J71" s="4173">
        <v>0</v>
      </c>
      <c r="K71" s="4173">
        <v>0</v>
      </c>
      <c r="L71" s="4173">
        <v>0</v>
      </c>
      <c r="M71" s="4173">
        <v>0</v>
      </c>
      <c r="N71" s="4173">
        <v>0</v>
      </c>
      <c r="O71" s="4210">
        <f t="shared" si="4"/>
        <v>0</v>
      </c>
    </row>
    <row r="72" spans="1:15" x14ac:dyDescent="0.25">
      <c r="A72" s="1009">
        <f t="shared" si="3"/>
        <v>124536</v>
      </c>
      <c r="B72" s="4174" t="s">
        <v>1980</v>
      </c>
      <c r="C72" s="4174" t="s">
        <v>2007</v>
      </c>
      <c r="D72" s="4174">
        <v>1233</v>
      </c>
      <c r="E72" s="4174" t="s">
        <v>1995</v>
      </c>
      <c r="F72" s="4173">
        <v>123303</v>
      </c>
      <c r="G72" s="4173" t="s">
        <v>1977</v>
      </c>
      <c r="H72" s="4173"/>
      <c r="I72" s="4173">
        <v>0</v>
      </c>
      <c r="J72" s="4173">
        <v>0</v>
      </c>
      <c r="K72" s="4173">
        <v>0</v>
      </c>
      <c r="L72" s="4173">
        <v>0</v>
      </c>
      <c r="M72" s="4173">
        <v>0</v>
      </c>
      <c r="N72" s="4173">
        <v>0</v>
      </c>
      <c r="O72" s="4210">
        <f t="shared" si="4"/>
        <v>0</v>
      </c>
    </row>
    <row r="73" spans="1:15" x14ac:dyDescent="0.25">
      <c r="A73" s="1009">
        <f t="shared" si="3"/>
        <v>124537</v>
      </c>
      <c r="B73" s="4174" t="s">
        <v>1980</v>
      </c>
      <c r="C73" s="4174" t="s">
        <v>2007</v>
      </c>
      <c r="D73" s="4174">
        <v>1233</v>
      </c>
      <c r="E73" s="4174" t="s">
        <v>1982</v>
      </c>
      <c r="F73" s="4173">
        <v>123304</v>
      </c>
      <c r="G73" s="4173" t="s">
        <v>1977</v>
      </c>
      <c r="H73" s="4173"/>
      <c r="I73" s="4173">
        <v>0</v>
      </c>
      <c r="J73" s="4173">
        <v>0</v>
      </c>
      <c r="K73" s="4173">
        <v>0</v>
      </c>
      <c r="L73" s="4173">
        <v>0</v>
      </c>
      <c r="M73" s="4173">
        <v>0</v>
      </c>
      <c r="N73" s="4173">
        <v>0</v>
      </c>
      <c r="O73" s="4210">
        <f t="shared" si="4"/>
        <v>0</v>
      </c>
    </row>
    <row r="74" spans="1:15" x14ac:dyDescent="0.25">
      <c r="A74" s="1009">
        <f t="shared" si="3"/>
        <v>124538</v>
      </c>
      <c r="B74" s="4174" t="s">
        <v>1980</v>
      </c>
      <c r="C74" s="4174" t="s">
        <v>2007</v>
      </c>
      <c r="D74" s="4174">
        <v>1233</v>
      </c>
      <c r="E74" s="4174" t="s">
        <v>1994</v>
      </c>
      <c r="F74" s="4173">
        <v>123305</v>
      </c>
      <c r="G74" s="4173" t="s">
        <v>1977</v>
      </c>
      <c r="H74" s="4173"/>
      <c r="I74" s="4173">
        <v>0</v>
      </c>
      <c r="J74" s="4173">
        <v>0</v>
      </c>
      <c r="K74" s="4173">
        <v>0</v>
      </c>
      <c r="L74" s="4173">
        <v>0</v>
      </c>
      <c r="M74" s="4173">
        <v>0</v>
      </c>
      <c r="N74" s="4173">
        <v>0</v>
      </c>
      <c r="O74" s="4210">
        <f t="shared" si="4"/>
        <v>0</v>
      </c>
    </row>
    <row r="75" spans="1:15" x14ac:dyDescent="0.25">
      <c r="A75" s="1009">
        <f t="shared" si="3"/>
        <v>124539</v>
      </c>
      <c r="B75" s="4174" t="s">
        <v>1980</v>
      </c>
      <c r="C75" s="4174" t="s">
        <v>2007</v>
      </c>
      <c r="D75" s="4174">
        <v>1233</v>
      </c>
      <c r="E75" s="4174" t="s">
        <v>1987</v>
      </c>
      <c r="F75" s="4173">
        <v>123306</v>
      </c>
      <c r="G75" s="4173" t="s">
        <v>350</v>
      </c>
      <c r="H75" s="4173"/>
      <c r="I75" s="4173">
        <v>9</v>
      </c>
      <c r="J75" s="4173">
        <v>72.56</v>
      </c>
      <c r="K75" s="4173">
        <v>25.91</v>
      </c>
      <c r="L75" s="4173">
        <v>4421.8599999999997</v>
      </c>
      <c r="M75" s="4173">
        <v>0</v>
      </c>
      <c r="N75" s="4173">
        <v>628.4</v>
      </c>
      <c r="O75" s="4210">
        <f t="shared" si="4"/>
        <v>1.1036427451782184E-2</v>
      </c>
    </row>
    <row r="76" spans="1:15" x14ac:dyDescent="0.25">
      <c r="A76" s="1009">
        <f t="shared" si="3"/>
        <v>124540</v>
      </c>
      <c r="B76" s="4174" t="s">
        <v>1980</v>
      </c>
      <c r="C76" s="4174" t="s">
        <v>2007</v>
      </c>
      <c r="D76" s="4174">
        <v>1233</v>
      </c>
      <c r="E76" s="4174" t="s">
        <v>2008</v>
      </c>
      <c r="F76" s="4173">
        <v>123307</v>
      </c>
      <c r="G76" s="4173" t="s">
        <v>350</v>
      </c>
      <c r="H76" s="4173"/>
      <c r="I76" s="4173">
        <v>0</v>
      </c>
      <c r="J76" s="4173">
        <v>0</v>
      </c>
      <c r="K76" s="4173">
        <v>0</v>
      </c>
      <c r="L76" s="4173">
        <v>0</v>
      </c>
      <c r="M76" s="4173">
        <v>0</v>
      </c>
      <c r="N76" s="4173">
        <v>0</v>
      </c>
      <c r="O76" s="4210">
        <f t="shared" si="4"/>
        <v>0</v>
      </c>
    </row>
    <row r="77" spans="1:15" x14ac:dyDescent="0.25">
      <c r="A77" s="1009">
        <f t="shared" si="3"/>
        <v>124541</v>
      </c>
      <c r="B77" s="4174" t="s">
        <v>1980</v>
      </c>
      <c r="C77" s="4174" t="s">
        <v>2007</v>
      </c>
      <c r="D77" s="4174">
        <v>1233</v>
      </c>
      <c r="E77" s="4174" t="s">
        <v>1985</v>
      </c>
      <c r="F77" s="4173">
        <v>123308</v>
      </c>
      <c r="G77" s="4173" t="s">
        <v>1977</v>
      </c>
      <c r="H77" s="4173" t="s">
        <v>350</v>
      </c>
      <c r="I77" s="4173">
        <v>0</v>
      </c>
      <c r="J77" s="4173">
        <v>0</v>
      </c>
      <c r="K77" s="4173">
        <v>0</v>
      </c>
      <c r="L77" s="4173">
        <v>0</v>
      </c>
      <c r="M77" s="4173">
        <v>0</v>
      </c>
      <c r="N77" s="4173">
        <v>0</v>
      </c>
      <c r="O77" s="4210">
        <f t="shared" si="4"/>
        <v>0</v>
      </c>
    </row>
    <row r="78" spans="1:15" x14ac:dyDescent="0.25">
      <c r="A78" s="1009">
        <f t="shared" si="3"/>
        <v>124542</v>
      </c>
      <c r="B78" s="4174" t="s">
        <v>1980</v>
      </c>
      <c r="C78" s="4174" t="s">
        <v>2007</v>
      </c>
      <c r="D78" s="4174">
        <v>1233</v>
      </c>
      <c r="E78" s="4174" t="s">
        <v>1984</v>
      </c>
      <c r="F78" s="4173">
        <v>123309</v>
      </c>
      <c r="G78" s="4173" t="s">
        <v>1977</v>
      </c>
      <c r="H78" s="4173" t="s">
        <v>350</v>
      </c>
      <c r="I78" s="4173">
        <v>0</v>
      </c>
      <c r="J78" s="4173">
        <v>0</v>
      </c>
      <c r="K78" s="4173">
        <v>0</v>
      </c>
      <c r="L78" s="4173">
        <v>0</v>
      </c>
      <c r="M78" s="4173">
        <v>0</v>
      </c>
      <c r="N78" s="4173">
        <v>0</v>
      </c>
      <c r="O78" s="4210">
        <f t="shared" si="4"/>
        <v>0</v>
      </c>
    </row>
    <row r="79" spans="1:15" x14ac:dyDescent="0.25">
      <c r="A79" s="1009">
        <f t="shared" si="3"/>
        <v>124543</v>
      </c>
      <c r="B79" s="4174" t="s">
        <v>1980</v>
      </c>
      <c r="C79" s="4174" t="s">
        <v>2007</v>
      </c>
      <c r="D79" s="4174">
        <v>1233</v>
      </c>
      <c r="E79" s="4174" t="s">
        <v>1983</v>
      </c>
      <c r="F79" s="4173">
        <v>123310</v>
      </c>
      <c r="G79" s="4173" t="s">
        <v>1977</v>
      </c>
      <c r="H79" s="4173" t="s">
        <v>350</v>
      </c>
      <c r="I79" s="4173">
        <v>0</v>
      </c>
      <c r="J79" s="4173">
        <v>0</v>
      </c>
      <c r="K79" s="4173">
        <v>0</v>
      </c>
      <c r="L79" s="4173">
        <v>0</v>
      </c>
      <c r="M79" s="4173">
        <v>0</v>
      </c>
      <c r="N79" s="4173">
        <v>0</v>
      </c>
      <c r="O79" s="4210">
        <f t="shared" si="4"/>
        <v>0</v>
      </c>
    </row>
    <row r="80" spans="1:15" x14ac:dyDescent="0.25">
      <c r="A80" s="1009">
        <f t="shared" si="3"/>
        <v>124545</v>
      </c>
      <c r="B80" s="4174" t="s">
        <v>1980</v>
      </c>
      <c r="C80" s="4174" t="s">
        <v>2007</v>
      </c>
      <c r="D80" s="4174">
        <v>1233</v>
      </c>
      <c r="E80" s="4174" t="s">
        <v>1996</v>
      </c>
      <c r="F80" s="4173">
        <v>123312</v>
      </c>
      <c r="G80" s="4173" t="s">
        <v>1977</v>
      </c>
      <c r="H80" s="4173"/>
      <c r="I80" s="4173">
        <v>0</v>
      </c>
      <c r="J80" s="4173">
        <v>0</v>
      </c>
      <c r="K80" s="4173">
        <v>0</v>
      </c>
      <c r="L80" s="4173">
        <v>0</v>
      </c>
      <c r="M80" s="4173">
        <v>0</v>
      </c>
      <c r="N80" s="4173">
        <v>0</v>
      </c>
      <c r="O80" s="4210">
        <f t="shared" si="4"/>
        <v>0</v>
      </c>
    </row>
    <row r="81" spans="1:15" x14ac:dyDescent="0.25">
      <c r="A81" s="1009">
        <f t="shared" si="3"/>
        <v>124549</v>
      </c>
      <c r="B81" s="4174" t="s">
        <v>1980</v>
      </c>
      <c r="C81" s="4174" t="s">
        <v>2007</v>
      </c>
      <c r="D81" s="4174">
        <v>1233</v>
      </c>
      <c r="E81" s="4174" t="s">
        <v>1990</v>
      </c>
      <c r="F81" s="4173">
        <v>123316</v>
      </c>
      <c r="G81" s="4173" t="s">
        <v>1977</v>
      </c>
      <c r="H81" s="4173"/>
      <c r="I81" s="4173">
        <v>0</v>
      </c>
      <c r="J81" s="4173">
        <v>0</v>
      </c>
      <c r="K81" s="4173">
        <v>0</v>
      </c>
      <c r="L81" s="4173">
        <v>0</v>
      </c>
      <c r="M81" s="4173">
        <v>0</v>
      </c>
      <c r="N81" s="4173">
        <v>0</v>
      </c>
      <c r="O81" s="4210">
        <f t="shared" si="4"/>
        <v>0</v>
      </c>
    </row>
    <row r="82" spans="1:15" x14ac:dyDescent="0.25">
      <c r="A82" s="1009">
        <f t="shared" si="3"/>
        <v>124635</v>
      </c>
      <c r="B82" s="4174" t="s">
        <v>1980</v>
      </c>
      <c r="C82" s="4174" t="s">
        <v>2005</v>
      </c>
      <c r="D82" s="4174">
        <v>1234</v>
      </c>
      <c r="E82" s="4174" t="s">
        <v>2006</v>
      </c>
      <c r="F82" s="4173">
        <v>123401</v>
      </c>
      <c r="G82" s="4173" t="s">
        <v>350</v>
      </c>
      <c r="H82" s="4173"/>
      <c r="I82" s="4173">
        <v>1</v>
      </c>
      <c r="J82" s="4173">
        <v>8.31</v>
      </c>
      <c r="K82" s="4173">
        <v>0.72</v>
      </c>
      <c r="L82" s="4173">
        <v>65.39</v>
      </c>
      <c r="M82" s="4173">
        <v>0</v>
      </c>
      <c r="N82" s="4173">
        <v>7.82</v>
      </c>
      <c r="O82" s="4210">
        <f t="shared" si="4"/>
        <v>3.0668574933551417E-4</v>
      </c>
    </row>
    <row r="83" spans="1:15" x14ac:dyDescent="0.25">
      <c r="A83" s="1009">
        <f t="shared" si="3"/>
        <v>124636</v>
      </c>
      <c r="B83" s="4174" t="s">
        <v>1980</v>
      </c>
      <c r="C83" s="4174" t="s">
        <v>2005</v>
      </c>
      <c r="D83" s="4174">
        <v>1234</v>
      </c>
      <c r="E83" s="4174" t="s">
        <v>2004</v>
      </c>
      <c r="F83" s="4173">
        <v>123402</v>
      </c>
      <c r="G83" s="4173" t="s">
        <v>350</v>
      </c>
      <c r="H83" s="4173"/>
      <c r="I83" s="4173">
        <v>0</v>
      </c>
      <c r="J83" s="4173">
        <v>0</v>
      </c>
      <c r="K83" s="4173">
        <v>0</v>
      </c>
      <c r="L83" s="4173">
        <v>0</v>
      </c>
      <c r="M83" s="4173">
        <v>0</v>
      </c>
      <c r="N83" s="4173">
        <v>0</v>
      </c>
      <c r="O83" s="4210">
        <f t="shared" si="4"/>
        <v>0</v>
      </c>
    </row>
    <row r="84" spans="1:15" x14ac:dyDescent="0.25">
      <c r="A84" s="1009">
        <f t="shared" si="3"/>
        <v>124736</v>
      </c>
      <c r="B84" s="4174" t="s">
        <v>1980</v>
      </c>
      <c r="C84" s="4174" t="s">
        <v>2001</v>
      </c>
      <c r="D84" s="4174">
        <v>1235</v>
      </c>
      <c r="E84" s="4174" t="s">
        <v>1989</v>
      </c>
      <c r="F84" s="4173">
        <v>123501</v>
      </c>
      <c r="G84" s="4173" t="s">
        <v>1903</v>
      </c>
      <c r="H84" s="4173" t="s">
        <v>1943</v>
      </c>
      <c r="I84" s="4173">
        <v>0</v>
      </c>
      <c r="J84" s="4173">
        <v>0</v>
      </c>
      <c r="K84" s="4173">
        <v>0</v>
      </c>
      <c r="L84" s="4173">
        <v>0</v>
      </c>
      <c r="M84" s="4173">
        <v>0</v>
      </c>
      <c r="N84" s="4173">
        <v>0</v>
      </c>
      <c r="O84" s="4210">
        <f t="shared" si="4"/>
        <v>0</v>
      </c>
    </row>
    <row r="85" spans="1:15" x14ac:dyDescent="0.25">
      <c r="A85" s="1009">
        <f t="shared" si="3"/>
        <v>124737</v>
      </c>
      <c r="B85" s="4174" t="s">
        <v>1980</v>
      </c>
      <c r="C85" s="4174" t="s">
        <v>2001</v>
      </c>
      <c r="D85" s="4174">
        <v>1235</v>
      </c>
      <c r="E85" s="4174" t="s">
        <v>1988</v>
      </c>
      <c r="F85" s="4173">
        <v>123502</v>
      </c>
      <c r="G85" s="4173" t="s">
        <v>1977</v>
      </c>
      <c r="H85" s="4173"/>
      <c r="I85" s="4173">
        <v>0</v>
      </c>
      <c r="J85" s="4173">
        <v>0</v>
      </c>
      <c r="K85" s="4173">
        <v>0</v>
      </c>
      <c r="L85" s="4173">
        <v>0</v>
      </c>
      <c r="M85" s="4173">
        <v>0</v>
      </c>
      <c r="N85" s="4173">
        <v>0</v>
      </c>
      <c r="O85" s="4210">
        <f t="shared" si="4"/>
        <v>0</v>
      </c>
    </row>
    <row r="86" spans="1:15" x14ac:dyDescent="0.25">
      <c r="A86" s="1009">
        <f t="shared" si="3"/>
        <v>124738</v>
      </c>
      <c r="B86" s="4174" t="s">
        <v>1980</v>
      </c>
      <c r="C86" s="4174" t="s">
        <v>2001</v>
      </c>
      <c r="D86" s="4174">
        <v>1235</v>
      </c>
      <c r="E86" s="4174" t="s">
        <v>1987</v>
      </c>
      <c r="F86" s="4173">
        <v>123503</v>
      </c>
      <c r="G86" s="4173" t="s">
        <v>350</v>
      </c>
      <c r="H86" s="4173"/>
      <c r="I86" s="4173">
        <v>10</v>
      </c>
      <c r="J86" s="4173">
        <v>31.85</v>
      </c>
      <c r="K86" s="4173">
        <v>6.24</v>
      </c>
      <c r="L86" s="4173">
        <v>275.70999999999998</v>
      </c>
      <c r="M86" s="4173">
        <v>0</v>
      </c>
      <c r="N86" s="4173">
        <v>45.94</v>
      </c>
      <c r="O86" s="4210">
        <f t="shared" si="4"/>
        <v>2.6579431609077895E-3</v>
      </c>
    </row>
    <row r="87" spans="1:15" x14ac:dyDescent="0.25">
      <c r="A87" s="1009">
        <f t="shared" si="3"/>
        <v>124739</v>
      </c>
      <c r="B87" s="4174" t="s">
        <v>1980</v>
      </c>
      <c r="C87" s="4174" t="s">
        <v>2001</v>
      </c>
      <c r="D87" s="4174">
        <v>1235</v>
      </c>
      <c r="E87" s="4174" t="s">
        <v>2000</v>
      </c>
      <c r="F87" s="4173">
        <v>123504</v>
      </c>
      <c r="G87" s="4173" t="s">
        <v>350</v>
      </c>
      <c r="H87" s="4173"/>
      <c r="I87" s="4173">
        <v>0</v>
      </c>
      <c r="J87" s="4173">
        <v>0</v>
      </c>
      <c r="K87" s="4173">
        <v>0</v>
      </c>
      <c r="L87" s="4173">
        <v>0</v>
      </c>
      <c r="M87" s="4173">
        <v>0</v>
      </c>
      <c r="N87" s="4173">
        <v>0</v>
      </c>
      <c r="O87" s="4210">
        <f t="shared" si="4"/>
        <v>0</v>
      </c>
    </row>
    <row r="88" spans="1:15" x14ac:dyDescent="0.25">
      <c r="A88" s="1009">
        <f t="shared" si="3"/>
        <v>124740</v>
      </c>
      <c r="B88" s="4174" t="s">
        <v>1980</v>
      </c>
      <c r="C88" s="4174" t="s">
        <v>2001</v>
      </c>
      <c r="D88" s="4174">
        <v>1235</v>
      </c>
      <c r="E88" s="4174" t="s">
        <v>1999</v>
      </c>
      <c r="F88" s="4173">
        <v>123505</v>
      </c>
      <c r="G88" s="4173" t="s">
        <v>1977</v>
      </c>
      <c r="H88" s="4173" t="s">
        <v>350</v>
      </c>
      <c r="I88" s="4173">
        <v>0</v>
      </c>
      <c r="J88" s="4173">
        <v>0</v>
      </c>
      <c r="K88" s="4173">
        <v>0</v>
      </c>
      <c r="L88" s="4173">
        <v>0</v>
      </c>
      <c r="M88" s="4173">
        <v>0</v>
      </c>
      <c r="N88" s="4173">
        <v>0</v>
      </c>
      <c r="O88" s="4210">
        <f t="shared" si="4"/>
        <v>0</v>
      </c>
    </row>
    <row r="89" spans="1:15" x14ac:dyDescent="0.25">
      <c r="A89" s="1009">
        <f t="shared" si="3"/>
        <v>124741</v>
      </c>
      <c r="B89" s="4174" t="s">
        <v>1980</v>
      </c>
      <c r="C89" s="4174" t="s">
        <v>2001</v>
      </c>
      <c r="D89" s="4174">
        <v>1235</v>
      </c>
      <c r="E89" s="4174" t="s">
        <v>1998</v>
      </c>
      <c r="F89" s="4173">
        <v>123506</v>
      </c>
      <c r="G89" s="4173" t="s">
        <v>1977</v>
      </c>
      <c r="H89" s="4173" t="s">
        <v>350</v>
      </c>
      <c r="I89" s="4173">
        <v>0</v>
      </c>
      <c r="J89" s="4173">
        <v>0</v>
      </c>
      <c r="K89" s="4173">
        <v>0</v>
      </c>
      <c r="L89" s="4173">
        <v>0</v>
      </c>
      <c r="M89" s="4173">
        <v>0</v>
      </c>
      <c r="N89" s="4173">
        <v>0</v>
      </c>
      <c r="O89" s="4210">
        <f t="shared" si="4"/>
        <v>0</v>
      </c>
    </row>
    <row r="90" spans="1:15" x14ac:dyDescent="0.25">
      <c r="A90" s="1009">
        <f t="shared" si="3"/>
        <v>124742</v>
      </c>
      <c r="B90" s="4174" t="s">
        <v>1980</v>
      </c>
      <c r="C90" s="4174" t="s">
        <v>2001</v>
      </c>
      <c r="D90" s="4174">
        <v>1235</v>
      </c>
      <c r="E90" s="4174" t="s">
        <v>1997</v>
      </c>
      <c r="F90" s="4173">
        <v>123507</v>
      </c>
      <c r="G90" s="4173" t="s">
        <v>1977</v>
      </c>
      <c r="H90" s="4173" t="s">
        <v>350</v>
      </c>
      <c r="I90" s="4173">
        <v>0</v>
      </c>
      <c r="J90" s="4173">
        <v>0</v>
      </c>
      <c r="K90" s="4173">
        <v>0</v>
      </c>
      <c r="L90" s="4173">
        <v>0</v>
      </c>
      <c r="M90" s="4173">
        <v>0</v>
      </c>
      <c r="N90" s="4173">
        <v>0</v>
      </c>
      <c r="O90" s="4210">
        <f t="shared" si="4"/>
        <v>0</v>
      </c>
    </row>
    <row r="91" spans="1:15" x14ac:dyDescent="0.25">
      <c r="A91" s="1009">
        <f t="shared" si="3"/>
        <v>124744</v>
      </c>
      <c r="B91" s="4174" t="s">
        <v>1980</v>
      </c>
      <c r="C91" s="4174" t="s">
        <v>2001</v>
      </c>
      <c r="D91" s="4174">
        <v>1235</v>
      </c>
      <c r="E91" s="4174" t="s">
        <v>1996</v>
      </c>
      <c r="F91" s="4173">
        <v>123509</v>
      </c>
      <c r="G91" s="4173" t="s">
        <v>1977</v>
      </c>
      <c r="H91" s="4173"/>
      <c r="I91" s="4173">
        <v>0</v>
      </c>
      <c r="J91" s="4173">
        <v>0</v>
      </c>
      <c r="K91" s="4173">
        <v>0</v>
      </c>
      <c r="L91" s="4173">
        <v>0</v>
      </c>
      <c r="M91" s="4173">
        <v>0</v>
      </c>
      <c r="N91" s="4173">
        <v>0</v>
      </c>
      <c r="O91" s="4210">
        <f t="shared" si="4"/>
        <v>0</v>
      </c>
    </row>
    <row r="92" spans="1:15" x14ac:dyDescent="0.25">
      <c r="A92" s="1009">
        <f t="shared" si="3"/>
        <v>124748</v>
      </c>
      <c r="B92" s="4174" t="s">
        <v>1980</v>
      </c>
      <c r="C92" s="4174" t="s">
        <v>2001</v>
      </c>
      <c r="D92" s="4174">
        <v>1235</v>
      </c>
      <c r="E92" s="4174" t="s">
        <v>1995</v>
      </c>
      <c r="F92" s="4173">
        <v>123513</v>
      </c>
      <c r="G92" s="4173" t="s">
        <v>1977</v>
      </c>
      <c r="H92" s="4173"/>
      <c r="I92" s="4173">
        <v>0</v>
      </c>
      <c r="J92" s="4173">
        <v>0</v>
      </c>
      <c r="K92" s="4173">
        <v>0</v>
      </c>
      <c r="L92" s="4173">
        <v>0</v>
      </c>
      <c r="M92" s="4173">
        <v>0</v>
      </c>
      <c r="N92" s="4173">
        <v>0</v>
      </c>
      <c r="O92" s="4210">
        <f t="shared" si="4"/>
        <v>0</v>
      </c>
    </row>
    <row r="93" spans="1:15" x14ac:dyDescent="0.25">
      <c r="A93" s="1009">
        <f t="shared" si="3"/>
        <v>124749</v>
      </c>
      <c r="B93" s="4174" t="s">
        <v>1980</v>
      </c>
      <c r="C93" s="4174" t="s">
        <v>2001</v>
      </c>
      <c r="D93" s="4174">
        <v>1235</v>
      </c>
      <c r="E93" s="4174" t="s">
        <v>2003</v>
      </c>
      <c r="F93" s="4173">
        <v>123514</v>
      </c>
      <c r="G93" s="4173" t="s">
        <v>1977</v>
      </c>
      <c r="H93" s="4173"/>
      <c r="I93" s="4173">
        <v>0</v>
      </c>
      <c r="J93" s="4173">
        <v>0</v>
      </c>
      <c r="K93" s="4173">
        <v>0</v>
      </c>
      <c r="L93" s="4173">
        <v>0</v>
      </c>
      <c r="M93" s="4173">
        <v>0</v>
      </c>
      <c r="N93" s="4173">
        <v>0</v>
      </c>
      <c r="O93" s="4210">
        <f t="shared" si="4"/>
        <v>0</v>
      </c>
    </row>
    <row r="94" spans="1:15" x14ac:dyDescent="0.25">
      <c r="A94" s="1009">
        <f t="shared" si="3"/>
        <v>124750</v>
      </c>
      <c r="B94" s="4174" t="s">
        <v>1980</v>
      </c>
      <c r="C94" s="4174" t="s">
        <v>2001</v>
      </c>
      <c r="D94" s="4174">
        <v>1235</v>
      </c>
      <c r="E94" s="4174" t="s">
        <v>2002</v>
      </c>
      <c r="F94" s="4173">
        <v>123515</v>
      </c>
      <c r="G94" s="4173" t="s">
        <v>1977</v>
      </c>
      <c r="H94" s="4173"/>
      <c r="I94" s="4173">
        <v>0</v>
      </c>
      <c r="J94" s="4173">
        <v>0</v>
      </c>
      <c r="K94" s="4173">
        <v>0</v>
      </c>
      <c r="L94" s="4173">
        <v>0</v>
      </c>
      <c r="M94" s="4173">
        <v>0</v>
      </c>
      <c r="N94" s="4173">
        <v>0</v>
      </c>
      <c r="O94" s="4210">
        <f t="shared" si="4"/>
        <v>0</v>
      </c>
    </row>
    <row r="95" spans="1:15" x14ac:dyDescent="0.25">
      <c r="A95" s="1009">
        <f t="shared" si="3"/>
        <v>124754</v>
      </c>
      <c r="B95" s="4174" t="s">
        <v>1980</v>
      </c>
      <c r="C95" s="4174" t="s">
        <v>2001</v>
      </c>
      <c r="D95" s="4174">
        <v>1235</v>
      </c>
      <c r="E95" s="4174" t="s">
        <v>1990</v>
      </c>
      <c r="F95" s="4173">
        <v>123519</v>
      </c>
      <c r="G95" s="4173" t="s">
        <v>1977</v>
      </c>
      <c r="H95" s="4173"/>
      <c r="I95" s="4173">
        <v>0</v>
      </c>
      <c r="J95" s="4173">
        <v>0</v>
      </c>
      <c r="K95" s="4173">
        <v>0</v>
      </c>
      <c r="L95" s="4173">
        <v>0</v>
      </c>
      <c r="M95" s="4173">
        <v>0</v>
      </c>
      <c r="N95" s="4173">
        <v>0</v>
      </c>
      <c r="O95" s="4210">
        <f t="shared" si="4"/>
        <v>0</v>
      </c>
    </row>
    <row r="96" spans="1:15" x14ac:dyDescent="0.25">
      <c r="A96" s="1009">
        <f t="shared" si="3"/>
        <v>124837</v>
      </c>
      <c r="B96" s="4174" t="s">
        <v>1980</v>
      </c>
      <c r="C96" s="4174" t="s">
        <v>1993</v>
      </c>
      <c r="D96" s="4174">
        <v>1236</v>
      </c>
      <c r="E96" s="4174" t="s">
        <v>1989</v>
      </c>
      <c r="F96" s="4173">
        <v>123601</v>
      </c>
      <c r="G96" s="4173" t="s">
        <v>1903</v>
      </c>
      <c r="H96" s="4173" t="s">
        <v>1943</v>
      </c>
      <c r="I96" s="4173">
        <v>0</v>
      </c>
      <c r="J96" s="4173">
        <v>0</v>
      </c>
      <c r="K96" s="4173">
        <v>0</v>
      </c>
      <c r="L96" s="4173">
        <v>0</v>
      </c>
      <c r="M96" s="4173">
        <v>0</v>
      </c>
      <c r="N96" s="4173">
        <v>0</v>
      </c>
      <c r="O96" s="4210">
        <f t="shared" si="4"/>
        <v>0</v>
      </c>
    </row>
    <row r="97" spans="1:15" x14ac:dyDescent="0.25">
      <c r="A97" s="1009">
        <f t="shared" si="3"/>
        <v>124838</v>
      </c>
      <c r="B97" s="4174" t="s">
        <v>1980</v>
      </c>
      <c r="C97" s="4174" t="s">
        <v>1993</v>
      </c>
      <c r="D97" s="4174">
        <v>1236</v>
      </c>
      <c r="E97" s="4174" t="s">
        <v>1988</v>
      </c>
      <c r="F97" s="4173">
        <v>123602</v>
      </c>
      <c r="G97" s="4173" t="s">
        <v>1977</v>
      </c>
      <c r="H97" s="4173"/>
      <c r="I97" s="4173">
        <v>0</v>
      </c>
      <c r="J97" s="4173">
        <v>0</v>
      </c>
      <c r="K97" s="4173">
        <v>0</v>
      </c>
      <c r="L97" s="4173">
        <v>0</v>
      </c>
      <c r="M97" s="4173">
        <v>0</v>
      </c>
      <c r="N97" s="4173">
        <v>0</v>
      </c>
      <c r="O97" s="4210">
        <f t="shared" si="4"/>
        <v>0</v>
      </c>
    </row>
    <row r="98" spans="1:15" x14ac:dyDescent="0.25">
      <c r="A98" s="1009">
        <f t="shared" si="3"/>
        <v>124839</v>
      </c>
      <c r="B98" s="4174" t="s">
        <v>1980</v>
      </c>
      <c r="C98" s="4174" t="s">
        <v>1993</v>
      </c>
      <c r="D98" s="4174">
        <v>1236</v>
      </c>
      <c r="E98" s="4174" t="s">
        <v>1987</v>
      </c>
      <c r="F98" s="4173">
        <v>123603</v>
      </c>
      <c r="G98" s="4173" t="s">
        <v>350</v>
      </c>
      <c r="H98" s="4173"/>
      <c r="I98" s="4173">
        <v>1</v>
      </c>
      <c r="J98" s="4173">
        <v>1.07</v>
      </c>
      <c r="K98" s="4173">
        <v>0.44</v>
      </c>
      <c r="L98" s="4173">
        <v>41.04</v>
      </c>
      <c r="M98" s="4173">
        <v>0</v>
      </c>
      <c r="N98" s="4173">
        <v>6.84</v>
      </c>
      <c r="O98" s="4210">
        <f t="shared" si="4"/>
        <v>1.8741906903836978E-4</v>
      </c>
    </row>
    <row r="99" spans="1:15" x14ac:dyDescent="0.25">
      <c r="A99" s="1009">
        <f t="shared" si="3"/>
        <v>124840</v>
      </c>
      <c r="B99" s="4174" t="s">
        <v>1980</v>
      </c>
      <c r="C99" s="4174" t="s">
        <v>1993</v>
      </c>
      <c r="D99" s="4174">
        <v>1236</v>
      </c>
      <c r="E99" s="4174" t="s">
        <v>2000</v>
      </c>
      <c r="F99" s="4173">
        <v>123604</v>
      </c>
      <c r="G99" s="4173" t="s">
        <v>350</v>
      </c>
      <c r="H99" s="4173"/>
      <c r="I99" s="4173">
        <v>0</v>
      </c>
      <c r="J99" s="4173">
        <v>0</v>
      </c>
      <c r="K99" s="4173">
        <v>0</v>
      </c>
      <c r="L99" s="4173">
        <v>0</v>
      </c>
      <c r="M99" s="4173">
        <v>0</v>
      </c>
      <c r="N99" s="4173">
        <v>0</v>
      </c>
      <c r="O99" s="4210">
        <f t="shared" si="4"/>
        <v>0</v>
      </c>
    </row>
    <row r="100" spans="1:15" x14ac:dyDescent="0.25">
      <c r="A100" s="1009">
        <f t="shared" si="3"/>
        <v>124841</v>
      </c>
      <c r="B100" s="4174" t="s">
        <v>1980</v>
      </c>
      <c r="C100" s="4174" t="s">
        <v>1993</v>
      </c>
      <c r="D100" s="4174">
        <v>1236</v>
      </c>
      <c r="E100" s="4174" t="s">
        <v>1999</v>
      </c>
      <c r="F100" s="4173">
        <v>123605</v>
      </c>
      <c r="G100" s="4173" t="s">
        <v>1977</v>
      </c>
      <c r="H100" s="4173" t="s">
        <v>350</v>
      </c>
      <c r="I100" s="4173">
        <v>0</v>
      </c>
      <c r="J100" s="4173">
        <v>0</v>
      </c>
      <c r="K100" s="4173">
        <v>0</v>
      </c>
      <c r="L100" s="4173">
        <v>0</v>
      </c>
      <c r="M100" s="4173">
        <v>0</v>
      </c>
      <c r="N100" s="4173">
        <v>0</v>
      </c>
      <c r="O100" s="4210">
        <f t="shared" si="4"/>
        <v>0</v>
      </c>
    </row>
    <row r="101" spans="1:15" x14ac:dyDescent="0.25">
      <c r="A101" s="1009">
        <f t="shared" si="3"/>
        <v>124843</v>
      </c>
      <c r="B101" s="4174" t="s">
        <v>1980</v>
      </c>
      <c r="C101" s="4174" t="s">
        <v>1993</v>
      </c>
      <c r="D101" s="4174">
        <v>1236</v>
      </c>
      <c r="E101" s="4174" t="s">
        <v>1997</v>
      </c>
      <c r="F101" s="4173">
        <v>123607</v>
      </c>
      <c r="G101" s="4173" t="s">
        <v>1977</v>
      </c>
      <c r="H101" s="4173" t="s">
        <v>350</v>
      </c>
      <c r="I101" s="4173">
        <v>0</v>
      </c>
      <c r="J101" s="4173">
        <v>0</v>
      </c>
      <c r="K101" s="4173">
        <v>0</v>
      </c>
      <c r="L101" s="4173">
        <v>0</v>
      </c>
      <c r="M101" s="4173">
        <v>0</v>
      </c>
      <c r="N101" s="4173">
        <v>0</v>
      </c>
      <c r="O101" s="4210">
        <f t="shared" si="4"/>
        <v>0</v>
      </c>
    </row>
    <row r="102" spans="1:15" x14ac:dyDescent="0.25">
      <c r="A102" s="1009">
        <f t="shared" si="3"/>
        <v>124845</v>
      </c>
      <c r="B102" s="4174" t="s">
        <v>1980</v>
      </c>
      <c r="C102" s="4174" t="s">
        <v>1993</v>
      </c>
      <c r="D102" s="4174">
        <v>1236</v>
      </c>
      <c r="E102" s="4174" t="s">
        <v>1996</v>
      </c>
      <c r="F102" s="4173">
        <v>123609</v>
      </c>
      <c r="G102" s="4173" t="s">
        <v>1977</v>
      </c>
      <c r="H102" s="4173"/>
      <c r="I102" s="4173">
        <v>0</v>
      </c>
      <c r="J102" s="4173">
        <v>0</v>
      </c>
      <c r="K102" s="4173">
        <v>0</v>
      </c>
      <c r="L102" s="4173">
        <v>0</v>
      </c>
      <c r="M102" s="4173">
        <v>0</v>
      </c>
      <c r="N102" s="4173">
        <v>0</v>
      </c>
      <c r="O102" s="4210">
        <f t="shared" si="4"/>
        <v>0</v>
      </c>
    </row>
    <row r="103" spans="1:15" x14ac:dyDescent="0.25">
      <c r="A103" s="1009">
        <f t="shared" si="3"/>
        <v>124846</v>
      </c>
      <c r="B103" s="4174" t="s">
        <v>1980</v>
      </c>
      <c r="C103" s="4174" t="s">
        <v>1993</v>
      </c>
      <c r="D103" s="4174">
        <v>1236</v>
      </c>
      <c r="E103" s="4174" t="s">
        <v>1995</v>
      </c>
      <c r="F103" s="4173">
        <v>123610</v>
      </c>
      <c r="G103" s="4173" t="s">
        <v>1977</v>
      </c>
      <c r="H103" s="4173"/>
      <c r="I103" s="4173">
        <v>0</v>
      </c>
      <c r="J103" s="4173">
        <v>0</v>
      </c>
      <c r="K103" s="4173">
        <v>0</v>
      </c>
      <c r="L103" s="4173">
        <v>0</v>
      </c>
      <c r="M103" s="4173">
        <v>0</v>
      </c>
      <c r="N103" s="4173">
        <v>0</v>
      </c>
      <c r="O103" s="4210">
        <f t="shared" si="4"/>
        <v>0</v>
      </c>
    </row>
    <row r="104" spans="1:15" x14ac:dyDescent="0.25">
      <c r="A104" s="1009">
        <f t="shared" si="3"/>
        <v>124847</v>
      </c>
      <c r="B104" s="4174" t="s">
        <v>1980</v>
      </c>
      <c r="C104" s="4174" t="s">
        <v>1993</v>
      </c>
      <c r="D104" s="4174">
        <v>1236</v>
      </c>
      <c r="E104" s="4174" t="s">
        <v>1982</v>
      </c>
      <c r="F104" s="4173">
        <v>123611</v>
      </c>
      <c r="G104" s="4173" t="s">
        <v>1977</v>
      </c>
      <c r="H104" s="4173"/>
      <c r="I104" s="4173">
        <v>0</v>
      </c>
      <c r="J104" s="4173">
        <v>0</v>
      </c>
      <c r="K104" s="4173">
        <v>0</v>
      </c>
      <c r="L104" s="4173">
        <v>0</v>
      </c>
      <c r="M104" s="4173">
        <v>0</v>
      </c>
      <c r="N104" s="4173">
        <v>0</v>
      </c>
      <c r="O104" s="4210">
        <f t="shared" si="4"/>
        <v>0</v>
      </c>
    </row>
    <row r="105" spans="1:15" x14ac:dyDescent="0.25">
      <c r="A105" s="1009">
        <f t="shared" si="3"/>
        <v>124848</v>
      </c>
      <c r="B105" s="4174" t="s">
        <v>1980</v>
      </c>
      <c r="C105" s="4174" t="s">
        <v>1993</v>
      </c>
      <c r="D105" s="4174">
        <v>1236</v>
      </c>
      <c r="E105" s="4174" t="s">
        <v>1994</v>
      </c>
      <c r="F105" s="4173">
        <v>123612</v>
      </c>
      <c r="G105" s="4173" t="s">
        <v>1977</v>
      </c>
      <c r="H105" s="4173"/>
      <c r="I105" s="4173">
        <v>0</v>
      </c>
      <c r="J105" s="4173">
        <v>0</v>
      </c>
      <c r="K105" s="4173">
        <v>0</v>
      </c>
      <c r="L105" s="4173">
        <v>0</v>
      </c>
      <c r="M105" s="4173">
        <v>0</v>
      </c>
      <c r="N105" s="4173">
        <v>0</v>
      </c>
      <c r="O105" s="4210">
        <f t="shared" si="4"/>
        <v>0</v>
      </c>
    </row>
    <row r="106" spans="1:15" x14ac:dyDescent="0.25">
      <c r="A106" s="1009">
        <f t="shared" si="3"/>
        <v>124855</v>
      </c>
      <c r="B106" s="4174" t="s">
        <v>1980</v>
      </c>
      <c r="C106" s="4174" t="s">
        <v>1993</v>
      </c>
      <c r="D106" s="4174">
        <v>1236</v>
      </c>
      <c r="E106" s="4174" t="s">
        <v>1990</v>
      </c>
      <c r="F106" s="4173">
        <v>123619</v>
      </c>
      <c r="G106" s="4173" t="s">
        <v>1977</v>
      </c>
      <c r="H106" s="4173"/>
      <c r="I106" s="4173">
        <v>0</v>
      </c>
      <c r="J106" s="4173">
        <v>0</v>
      </c>
      <c r="K106" s="4173">
        <v>0</v>
      </c>
      <c r="L106" s="4173">
        <v>0</v>
      </c>
      <c r="M106" s="4173">
        <v>0</v>
      </c>
      <c r="N106" s="4173">
        <v>0</v>
      </c>
      <c r="O106" s="4210">
        <f t="shared" si="4"/>
        <v>0</v>
      </c>
    </row>
    <row r="107" spans="1:15" x14ac:dyDescent="0.25">
      <c r="A107" s="1009">
        <f t="shared" si="3"/>
        <v>125342</v>
      </c>
      <c r="B107" s="4174" t="s">
        <v>1980</v>
      </c>
      <c r="C107" s="4174" t="s">
        <v>1992</v>
      </c>
      <c r="D107" s="4174">
        <v>1241</v>
      </c>
      <c r="E107" s="4174" t="s">
        <v>1989</v>
      </c>
      <c r="F107" s="4173">
        <v>124101</v>
      </c>
      <c r="G107" s="4173" t="s">
        <v>1903</v>
      </c>
      <c r="H107" s="4173" t="s">
        <v>1943</v>
      </c>
      <c r="I107" s="4173">
        <v>0</v>
      </c>
      <c r="J107" s="4173">
        <v>0</v>
      </c>
      <c r="K107" s="4173">
        <v>0</v>
      </c>
      <c r="L107" s="4173">
        <v>0</v>
      </c>
      <c r="M107" s="4173">
        <v>0</v>
      </c>
      <c r="N107" s="4173">
        <v>0</v>
      </c>
      <c r="O107" s="4210">
        <f t="shared" si="4"/>
        <v>0</v>
      </c>
    </row>
    <row r="108" spans="1:15" x14ac:dyDescent="0.25">
      <c r="A108" s="1009">
        <f t="shared" si="3"/>
        <v>125343</v>
      </c>
      <c r="B108" s="4174" t="s">
        <v>1980</v>
      </c>
      <c r="C108" s="4174" t="s">
        <v>1992</v>
      </c>
      <c r="D108" s="4174">
        <v>1241</v>
      </c>
      <c r="E108" s="4174" t="s">
        <v>1988</v>
      </c>
      <c r="F108" s="4173">
        <v>124102</v>
      </c>
      <c r="G108" s="4173" t="s">
        <v>1977</v>
      </c>
      <c r="H108" s="4173"/>
      <c r="I108" s="4173">
        <v>0</v>
      </c>
      <c r="J108" s="4173">
        <v>0</v>
      </c>
      <c r="K108" s="4173">
        <v>0</v>
      </c>
      <c r="L108" s="4173">
        <v>0</v>
      </c>
      <c r="M108" s="4173">
        <v>0</v>
      </c>
      <c r="N108" s="4173">
        <v>0</v>
      </c>
      <c r="O108" s="4210">
        <f t="shared" si="4"/>
        <v>0</v>
      </c>
    </row>
    <row r="109" spans="1:15" x14ac:dyDescent="0.25">
      <c r="A109" s="1009">
        <f t="shared" si="3"/>
        <v>125344</v>
      </c>
      <c r="B109" s="4174" t="s">
        <v>1980</v>
      </c>
      <c r="C109" s="4174" t="s">
        <v>1992</v>
      </c>
      <c r="D109" s="4174">
        <v>1241</v>
      </c>
      <c r="E109" s="4174" t="s">
        <v>1987</v>
      </c>
      <c r="F109" s="4173">
        <v>124103</v>
      </c>
      <c r="G109" s="4173" t="s">
        <v>350</v>
      </c>
      <c r="H109" s="4173"/>
      <c r="I109" s="4173">
        <v>0</v>
      </c>
      <c r="J109" s="4173">
        <v>0</v>
      </c>
      <c r="K109" s="4173">
        <v>0</v>
      </c>
      <c r="L109" s="4173">
        <v>0</v>
      </c>
      <c r="M109" s="4173">
        <v>0</v>
      </c>
      <c r="N109" s="4173">
        <v>0</v>
      </c>
      <c r="O109" s="4210">
        <f t="shared" si="4"/>
        <v>0</v>
      </c>
    </row>
    <row r="110" spans="1:15" x14ac:dyDescent="0.25">
      <c r="A110" s="1009">
        <f t="shared" si="3"/>
        <v>125345</v>
      </c>
      <c r="B110" s="4174" t="s">
        <v>1980</v>
      </c>
      <c r="C110" s="4174" t="s">
        <v>1992</v>
      </c>
      <c r="D110" s="4174">
        <v>1241</v>
      </c>
      <c r="E110" s="4174" t="s">
        <v>1986</v>
      </c>
      <c r="F110" s="4173">
        <v>124104</v>
      </c>
      <c r="G110" s="4173" t="s">
        <v>350</v>
      </c>
      <c r="H110" s="4173"/>
      <c r="I110" s="4173">
        <v>0</v>
      </c>
      <c r="J110" s="4173">
        <v>0</v>
      </c>
      <c r="K110" s="4173">
        <v>0</v>
      </c>
      <c r="L110" s="4173">
        <v>0</v>
      </c>
      <c r="M110" s="4173">
        <v>0</v>
      </c>
      <c r="N110" s="4173">
        <v>0</v>
      </c>
      <c r="O110" s="4210">
        <f t="shared" si="4"/>
        <v>0</v>
      </c>
    </row>
    <row r="111" spans="1:15" x14ac:dyDescent="0.25">
      <c r="A111" s="1009">
        <f t="shared" si="3"/>
        <v>125346</v>
      </c>
      <c r="B111" s="4174" t="s">
        <v>1980</v>
      </c>
      <c r="C111" s="4174" t="s">
        <v>1992</v>
      </c>
      <c r="D111" s="4174">
        <v>1241</v>
      </c>
      <c r="E111" s="4174" t="s">
        <v>1985</v>
      </c>
      <c r="F111" s="4173">
        <v>124105</v>
      </c>
      <c r="G111" s="4173" t="s">
        <v>1977</v>
      </c>
      <c r="H111" s="4173" t="s">
        <v>350</v>
      </c>
      <c r="I111" s="4173">
        <v>0</v>
      </c>
      <c r="J111" s="4173">
        <v>0</v>
      </c>
      <c r="K111" s="4173">
        <v>0</v>
      </c>
      <c r="L111" s="4173">
        <v>0</v>
      </c>
      <c r="M111" s="4173">
        <v>0</v>
      </c>
      <c r="N111" s="4173">
        <v>0</v>
      </c>
      <c r="O111" s="4210">
        <f t="shared" si="4"/>
        <v>0</v>
      </c>
    </row>
    <row r="112" spans="1:15" x14ac:dyDescent="0.25">
      <c r="A112" s="1009">
        <f t="shared" si="3"/>
        <v>125347</v>
      </c>
      <c r="B112" s="4174" t="s">
        <v>1980</v>
      </c>
      <c r="C112" s="4174" t="s">
        <v>1992</v>
      </c>
      <c r="D112" s="4174">
        <v>1241</v>
      </c>
      <c r="E112" s="4174" t="s">
        <v>1984</v>
      </c>
      <c r="F112" s="4173">
        <v>124106</v>
      </c>
      <c r="G112" s="4173" t="s">
        <v>1977</v>
      </c>
      <c r="H112" s="4173" t="s">
        <v>350</v>
      </c>
      <c r="I112" s="4173">
        <v>0</v>
      </c>
      <c r="J112" s="4173">
        <v>0</v>
      </c>
      <c r="K112" s="4173">
        <v>0</v>
      </c>
      <c r="L112" s="4173">
        <v>0</v>
      </c>
      <c r="M112" s="4173">
        <v>0</v>
      </c>
      <c r="N112" s="4173">
        <v>0</v>
      </c>
      <c r="O112" s="4210">
        <f t="shared" si="4"/>
        <v>0</v>
      </c>
    </row>
    <row r="113" spans="1:15" x14ac:dyDescent="0.25">
      <c r="A113" s="1009">
        <f t="shared" si="3"/>
        <v>125348</v>
      </c>
      <c r="B113" s="4174" t="s">
        <v>1980</v>
      </c>
      <c r="C113" s="4174" t="s">
        <v>1992</v>
      </c>
      <c r="D113" s="4174">
        <v>1241</v>
      </c>
      <c r="E113" s="4174" t="s">
        <v>1983</v>
      </c>
      <c r="F113" s="4173">
        <v>124107</v>
      </c>
      <c r="G113" s="4173" t="s">
        <v>1977</v>
      </c>
      <c r="H113" s="4173" t="s">
        <v>350</v>
      </c>
      <c r="I113" s="4173">
        <v>0</v>
      </c>
      <c r="J113" s="4173">
        <v>0</v>
      </c>
      <c r="K113" s="4173">
        <v>0</v>
      </c>
      <c r="L113" s="4173">
        <v>0</v>
      </c>
      <c r="M113" s="4173">
        <v>0</v>
      </c>
      <c r="N113" s="4173">
        <v>0</v>
      </c>
      <c r="O113" s="4210">
        <f t="shared" si="4"/>
        <v>0</v>
      </c>
    </row>
    <row r="114" spans="1:15" x14ac:dyDescent="0.25">
      <c r="A114" s="1009">
        <f t="shared" si="3"/>
        <v>125351</v>
      </c>
      <c r="B114" s="4174" t="s">
        <v>1980</v>
      </c>
      <c r="C114" s="4174" t="s">
        <v>1992</v>
      </c>
      <c r="D114" s="4174">
        <v>1241</v>
      </c>
      <c r="E114" s="4174" t="s">
        <v>1981</v>
      </c>
      <c r="F114" s="4173">
        <v>124110</v>
      </c>
      <c r="G114" s="4173" t="s">
        <v>1977</v>
      </c>
      <c r="H114" s="4173"/>
      <c r="I114" s="4173">
        <v>0</v>
      </c>
      <c r="J114" s="4173">
        <v>0</v>
      </c>
      <c r="K114" s="4173">
        <v>0</v>
      </c>
      <c r="L114" s="4173">
        <v>0</v>
      </c>
      <c r="M114" s="4173">
        <v>0</v>
      </c>
      <c r="N114" s="4173">
        <v>0</v>
      </c>
      <c r="O114" s="4210">
        <f t="shared" si="4"/>
        <v>0</v>
      </c>
    </row>
    <row r="115" spans="1:15" x14ac:dyDescent="0.25">
      <c r="A115" s="1009">
        <f t="shared" si="3"/>
        <v>125443</v>
      </c>
      <c r="B115" s="4174" t="s">
        <v>1980</v>
      </c>
      <c r="C115" s="4174" t="s">
        <v>1991</v>
      </c>
      <c r="D115" s="4174">
        <v>1242</v>
      </c>
      <c r="E115" s="4174" t="s">
        <v>1989</v>
      </c>
      <c r="F115" s="4173">
        <v>124201</v>
      </c>
      <c r="G115" s="4173" t="s">
        <v>1903</v>
      </c>
      <c r="H115" s="4173" t="s">
        <v>1943</v>
      </c>
      <c r="I115" s="4173">
        <v>1</v>
      </c>
      <c r="J115" s="4173">
        <v>7.97</v>
      </c>
      <c r="K115" s="4173">
        <v>4.97</v>
      </c>
      <c r="L115" s="4173">
        <v>163.78</v>
      </c>
      <c r="M115" s="4173">
        <v>279.91000000000003</v>
      </c>
      <c r="N115" s="4173">
        <v>48.49</v>
      </c>
      <c r="O115" s="4210">
        <f t="shared" si="4"/>
        <v>2.1169835752743128E-3</v>
      </c>
    </row>
    <row r="116" spans="1:15" x14ac:dyDescent="0.25">
      <c r="A116" s="1009">
        <f t="shared" si="3"/>
        <v>125444</v>
      </c>
      <c r="B116" s="4174" t="s">
        <v>1980</v>
      </c>
      <c r="C116" s="4174" t="s">
        <v>1991</v>
      </c>
      <c r="D116" s="4174">
        <v>1242</v>
      </c>
      <c r="E116" s="4174" t="s">
        <v>1988</v>
      </c>
      <c r="F116" s="4173">
        <v>124202</v>
      </c>
      <c r="G116" s="4173" t="s">
        <v>1977</v>
      </c>
      <c r="H116" s="4173"/>
      <c r="I116" s="4173">
        <v>0</v>
      </c>
      <c r="J116" s="4173">
        <v>0</v>
      </c>
      <c r="K116" s="4173">
        <v>0</v>
      </c>
      <c r="L116" s="4173">
        <v>0</v>
      </c>
      <c r="M116" s="4173">
        <v>0</v>
      </c>
      <c r="N116" s="4173">
        <v>0</v>
      </c>
      <c r="O116" s="4210">
        <f t="shared" si="4"/>
        <v>0</v>
      </c>
    </row>
    <row r="117" spans="1:15" x14ac:dyDescent="0.25">
      <c r="A117" s="1009">
        <f t="shared" si="3"/>
        <v>125445</v>
      </c>
      <c r="B117" s="4174" t="s">
        <v>1980</v>
      </c>
      <c r="C117" s="4174" t="s">
        <v>1991</v>
      </c>
      <c r="D117" s="4174">
        <v>1242</v>
      </c>
      <c r="E117" s="4174" t="s">
        <v>1987</v>
      </c>
      <c r="F117" s="4173">
        <v>124203</v>
      </c>
      <c r="G117" s="4173" t="s">
        <v>350</v>
      </c>
      <c r="H117" s="4173"/>
      <c r="I117" s="4173">
        <v>7</v>
      </c>
      <c r="J117" s="4173">
        <v>235.84</v>
      </c>
      <c r="K117" s="4173">
        <v>147.38</v>
      </c>
      <c r="L117" s="4173">
        <v>15125.97</v>
      </c>
      <c r="M117" s="4173">
        <v>0</v>
      </c>
      <c r="N117" s="4173">
        <v>1627.87</v>
      </c>
      <c r="O117" s="4210">
        <f t="shared" si="4"/>
        <v>6.2776869079261222E-2</v>
      </c>
    </row>
    <row r="118" spans="1:15" x14ac:dyDescent="0.25">
      <c r="A118" s="1009">
        <f t="shared" si="3"/>
        <v>125446</v>
      </c>
      <c r="B118" s="4174" t="s">
        <v>1980</v>
      </c>
      <c r="C118" s="4174" t="s">
        <v>1991</v>
      </c>
      <c r="D118" s="4174">
        <v>1242</v>
      </c>
      <c r="E118" s="4174" t="s">
        <v>1986</v>
      </c>
      <c r="F118" s="4173">
        <v>124204</v>
      </c>
      <c r="G118" s="4173" t="s">
        <v>350</v>
      </c>
      <c r="H118" s="4173"/>
      <c r="I118" s="4173">
        <v>0</v>
      </c>
      <c r="J118" s="4173">
        <v>0</v>
      </c>
      <c r="K118" s="4173">
        <v>0</v>
      </c>
      <c r="L118" s="4173">
        <v>0</v>
      </c>
      <c r="M118" s="4173">
        <v>0</v>
      </c>
      <c r="N118" s="4173">
        <v>0</v>
      </c>
      <c r="O118" s="4210">
        <f t="shared" si="4"/>
        <v>0</v>
      </c>
    </row>
    <row r="119" spans="1:15" x14ac:dyDescent="0.25">
      <c r="A119" s="1009">
        <f t="shared" si="3"/>
        <v>125447</v>
      </c>
      <c r="B119" s="4174" t="s">
        <v>1980</v>
      </c>
      <c r="C119" s="4174" t="s">
        <v>1991</v>
      </c>
      <c r="D119" s="4174">
        <v>1242</v>
      </c>
      <c r="E119" s="4174" t="s">
        <v>1985</v>
      </c>
      <c r="F119" s="4173">
        <v>124205</v>
      </c>
      <c r="G119" s="4173" t="s">
        <v>1977</v>
      </c>
      <c r="H119" s="4173" t="s">
        <v>350</v>
      </c>
      <c r="I119" s="4173">
        <v>0</v>
      </c>
      <c r="J119" s="4173">
        <v>0</v>
      </c>
      <c r="K119" s="4173">
        <v>0</v>
      </c>
      <c r="L119" s="4173">
        <v>0</v>
      </c>
      <c r="M119" s="4173">
        <v>0</v>
      </c>
      <c r="N119" s="4173">
        <v>0</v>
      </c>
      <c r="O119" s="4210">
        <f t="shared" si="4"/>
        <v>0</v>
      </c>
    </row>
    <row r="120" spans="1:15" x14ac:dyDescent="0.25">
      <c r="A120" s="1009">
        <f t="shared" si="3"/>
        <v>125448</v>
      </c>
      <c r="B120" s="4174" t="s">
        <v>1980</v>
      </c>
      <c r="C120" s="4174" t="s">
        <v>1991</v>
      </c>
      <c r="D120" s="4174">
        <v>1242</v>
      </c>
      <c r="E120" s="4174" t="s">
        <v>1984</v>
      </c>
      <c r="F120" s="4173">
        <v>124206</v>
      </c>
      <c r="G120" s="4173" t="s">
        <v>1977</v>
      </c>
      <c r="H120" s="4173" t="s">
        <v>350</v>
      </c>
      <c r="I120" s="4173">
        <v>0</v>
      </c>
      <c r="J120" s="4173">
        <v>0</v>
      </c>
      <c r="K120" s="4173">
        <v>0</v>
      </c>
      <c r="L120" s="4173">
        <v>0</v>
      </c>
      <c r="M120" s="4173">
        <v>0</v>
      </c>
      <c r="N120" s="4173">
        <v>0</v>
      </c>
      <c r="O120" s="4210">
        <f t="shared" si="4"/>
        <v>0</v>
      </c>
    </row>
    <row r="121" spans="1:15" x14ac:dyDescent="0.25">
      <c r="A121" s="1009">
        <f t="shared" si="3"/>
        <v>125449</v>
      </c>
      <c r="B121" s="4174" t="s">
        <v>1980</v>
      </c>
      <c r="C121" s="4174" t="s">
        <v>1991</v>
      </c>
      <c r="D121" s="4174">
        <v>1242</v>
      </c>
      <c r="E121" s="4174" t="s">
        <v>1983</v>
      </c>
      <c r="F121" s="4173">
        <v>124207</v>
      </c>
      <c r="G121" s="4173" t="s">
        <v>1977</v>
      </c>
      <c r="H121" s="4173" t="s">
        <v>350</v>
      </c>
      <c r="I121" s="4173">
        <v>0</v>
      </c>
      <c r="J121" s="4173">
        <v>0</v>
      </c>
      <c r="K121" s="4173">
        <v>0</v>
      </c>
      <c r="L121" s="4173">
        <v>0</v>
      </c>
      <c r="M121" s="4173">
        <v>0</v>
      </c>
      <c r="N121" s="4173">
        <v>0</v>
      </c>
      <c r="O121" s="4210">
        <f t="shared" si="4"/>
        <v>0</v>
      </c>
    </row>
    <row r="122" spans="1:15" x14ac:dyDescent="0.25">
      <c r="A122" s="1009">
        <f t="shared" si="3"/>
        <v>125451</v>
      </c>
      <c r="B122" s="4174" t="s">
        <v>1980</v>
      </c>
      <c r="C122" s="4174" t="s">
        <v>1991</v>
      </c>
      <c r="D122" s="4174">
        <v>1242</v>
      </c>
      <c r="E122" s="4174" t="s">
        <v>1982</v>
      </c>
      <c r="F122" s="4173">
        <v>124209</v>
      </c>
      <c r="G122" s="4173" t="s">
        <v>1977</v>
      </c>
      <c r="H122" s="4173"/>
      <c r="I122" s="4173">
        <v>0</v>
      </c>
      <c r="J122" s="4173">
        <v>0</v>
      </c>
      <c r="K122" s="4173">
        <v>0</v>
      </c>
      <c r="L122" s="4173">
        <v>0</v>
      </c>
      <c r="M122" s="4173">
        <v>0</v>
      </c>
      <c r="N122" s="4173">
        <v>0</v>
      </c>
      <c r="O122" s="4210">
        <f t="shared" si="4"/>
        <v>0</v>
      </c>
    </row>
    <row r="123" spans="1:15" x14ac:dyDescent="0.25">
      <c r="A123" s="1009">
        <f t="shared" si="3"/>
        <v>125452</v>
      </c>
      <c r="B123" s="4174" t="s">
        <v>1980</v>
      </c>
      <c r="C123" s="4174" t="s">
        <v>1991</v>
      </c>
      <c r="D123" s="4174">
        <v>1242</v>
      </c>
      <c r="E123" s="4174" t="s">
        <v>1981</v>
      </c>
      <c r="F123" s="4173">
        <v>124210</v>
      </c>
      <c r="G123" s="4173" t="s">
        <v>1977</v>
      </c>
      <c r="H123" s="4173"/>
      <c r="I123" s="4173">
        <v>0</v>
      </c>
      <c r="J123" s="4173">
        <v>0</v>
      </c>
      <c r="K123" s="4173">
        <v>0</v>
      </c>
      <c r="L123" s="4173">
        <v>0</v>
      </c>
      <c r="M123" s="4173">
        <v>0</v>
      </c>
      <c r="N123" s="4173">
        <v>0</v>
      </c>
      <c r="O123" s="4210">
        <f t="shared" si="4"/>
        <v>0</v>
      </c>
    </row>
    <row r="124" spans="1:15" x14ac:dyDescent="0.25">
      <c r="A124" s="1009">
        <f t="shared" si="3"/>
        <v>125453</v>
      </c>
      <c r="B124" s="4174" t="s">
        <v>1980</v>
      </c>
      <c r="C124" s="4174" t="s">
        <v>1991</v>
      </c>
      <c r="D124" s="4174">
        <v>1242</v>
      </c>
      <c r="E124" s="4174" t="s">
        <v>1990</v>
      </c>
      <c r="F124" s="4173">
        <v>124211</v>
      </c>
      <c r="G124" s="4173" t="s">
        <v>1977</v>
      </c>
      <c r="H124" s="4173"/>
      <c r="I124" s="4173">
        <v>1</v>
      </c>
      <c r="J124" s="4173">
        <v>100</v>
      </c>
      <c r="K124" s="4173">
        <v>62.13</v>
      </c>
      <c r="L124" s="4173">
        <v>5866.33</v>
      </c>
      <c r="M124" s="4173">
        <v>0</v>
      </c>
      <c r="N124" s="4173">
        <v>606.55999999999995</v>
      </c>
      <c r="O124" s="4210">
        <f t="shared" si="4"/>
        <v>2.646442445307708E-2</v>
      </c>
    </row>
    <row r="125" spans="1:15" x14ac:dyDescent="0.25">
      <c r="A125" s="1009">
        <f t="shared" si="3"/>
        <v>125544</v>
      </c>
      <c r="B125" s="4174" t="s">
        <v>1980</v>
      </c>
      <c r="C125" s="4174" t="s">
        <v>1979</v>
      </c>
      <c r="D125" s="4174">
        <v>1243</v>
      </c>
      <c r="E125" s="4174" t="s">
        <v>1989</v>
      </c>
      <c r="F125" s="4173">
        <v>124301</v>
      </c>
      <c r="G125" s="4173" t="s">
        <v>1903</v>
      </c>
      <c r="H125" s="4173" t="s">
        <v>1943</v>
      </c>
      <c r="I125" s="4173">
        <v>1</v>
      </c>
      <c r="J125" s="4173">
        <v>42.09</v>
      </c>
      <c r="K125" s="4173">
        <v>30</v>
      </c>
      <c r="L125" s="4173">
        <v>953.29</v>
      </c>
      <c r="M125" s="4173">
        <v>1713.72</v>
      </c>
      <c r="N125" s="4173">
        <v>293.93</v>
      </c>
      <c r="O125" s="4210">
        <f t="shared" si="4"/>
        <v>1.2778572888979756E-2</v>
      </c>
    </row>
    <row r="126" spans="1:15" x14ac:dyDescent="0.25">
      <c r="A126" s="1009">
        <f t="shared" si="3"/>
        <v>125545</v>
      </c>
      <c r="B126" s="4174" t="s">
        <v>1980</v>
      </c>
      <c r="C126" s="4174" t="s">
        <v>1979</v>
      </c>
      <c r="D126" s="4174">
        <v>1243</v>
      </c>
      <c r="E126" s="4174" t="s">
        <v>1988</v>
      </c>
      <c r="F126" s="4173">
        <v>124302</v>
      </c>
      <c r="G126" s="4173" t="s">
        <v>1977</v>
      </c>
      <c r="H126" s="4173"/>
      <c r="I126" s="4173">
        <v>0</v>
      </c>
      <c r="J126" s="4173">
        <v>0</v>
      </c>
      <c r="K126" s="4173">
        <v>0</v>
      </c>
      <c r="L126" s="4173">
        <v>0</v>
      </c>
      <c r="M126" s="4173">
        <v>0</v>
      </c>
      <c r="N126" s="4173">
        <v>0</v>
      </c>
      <c r="O126" s="4210">
        <f t="shared" si="4"/>
        <v>0</v>
      </c>
    </row>
    <row r="127" spans="1:15" x14ac:dyDescent="0.25">
      <c r="A127" s="1009">
        <f t="shared" si="3"/>
        <v>125546</v>
      </c>
      <c r="B127" s="4174" t="s">
        <v>1980</v>
      </c>
      <c r="C127" s="4174" t="s">
        <v>1979</v>
      </c>
      <c r="D127" s="4174">
        <v>1243</v>
      </c>
      <c r="E127" s="4174" t="s">
        <v>1987</v>
      </c>
      <c r="F127" s="4173">
        <v>124303</v>
      </c>
      <c r="G127" s="4173" t="s">
        <v>350</v>
      </c>
      <c r="H127" s="4173"/>
      <c r="I127" s="4173">
        <v>10</v>
      </c>
      <c r="J127" s="4173">
        <v>240.79</v>
      </c>
      <c r="K127" s="4173">
        <v>171.99</v>
      </c>
      <c r="L127" s="4173">
        <v>17371.240000000002</v>
      </c>
      <c r="M127" s="4173">
        <v>0</v>
      </c>
      <c r="N127" s="4173">
        <v>1854.78</v>
      </c>
      <c r="O127" s="4210">
        <f t="shared" si="4"/>
        <v>7.3259558372520947E-2</v>
      </c>
    </row>
    <row r="128" spans="1:15" x14ac:dyDescent="0.25">
      <c r="A128" s="1009">
        <f t="shared" si="3"/>
        <v>125547</v>
      </c>
      <c r="B128" s="4174" t="s">
        <v>1980</v>
      </c>
      <c r="C128" s="4174" t="s">
        <v>1979</v>
      </c>
      <c r="D128" s="4174">
        <v>1243</v>
      </c>
      <c r="E128" s="4174" t="s">
        <v>1986</v>
      </c>
      <c r="F128" s="4173">
        <v>124304</v>
      </c>
      <c r="G128" s="4173" t="s">
        <v>350</v>
      </c>
      <c r="H128" s="4173"/>
      <c r="I128" s="4173">
        <v>0</v>
      </c>
      <c r="J128" s="4173">
        <v>0</v>
      </c>
      <c r="K128" s="4173">
        <v>0</v>
      </c>
      <c r="L128" s="4173">
        <v>0</v>
      </c>
      <c r="M128" s="4173">
        <v>0</v>
      </c>
      <c r="N128" s="4173">
        <v>0</v>
      </c>
      <c r="O128" s="4210">
        <f t="shared" si="4"/>
        <v>0</v>
      </c>
    </row>
    <row r="129" spans="1:15" x14ac:dyDescent="0.25">
      <c r="A129" s="1009">
        <f t="shared" si="3"/>
        <v>125548</v>
      </c>
      <c r="B129" s="4174" t="s">
        <v>1980</v>
      </c>
      <c r="C129" s="4174" t="s">
        <v>1979</v>
      </c>
      <c r="D129" s="4174">
        <v>1243</v>
      </c>
      <c r="E129" s="4174" t="s">
        <v>1985</v>
      </c>
      <c r="F129" s="4173">
        <v>124305</v>
      </c>
      <c r="G129" s="4173" t="s">
        <v>1977</v>
      </c>
      <c r="H129" s="4173" t="s">
        <v>350</v>
      </c>
      <c r="I129" s="4173">
        <v>0</v>
      </c>
      <c r="J129" s="4173">
        <v>0</v>
      </c>
      <c r="K129" s="4173">
        <v>0</v>
      </c>
      <c r="L129" s="4173">
        <v>0</v>
      </c>
      <c r="M129" s="4173">
        <v>0</v>
      </c>
      <c r="N129" s="4173">
        <v>0</v>
      </c>
      <c r="O129" s="4210">
        <f t="shared" si="4"/>
        <v>0</v>
      </c>
    </row>
    <row r="130" spans="1:15" x14ac:dyDescent="0.25">
      <c r="A130" s="1009">
        <f t="shared" si="3"/>
        <v>125549</v>
      </c>
      <c r="B130" s="4174" t="s">
        <v>1980</v>
      </c>
      <c r="C130" s="4174" t="s">
        <v>1979</v>
      </c>
      <c r="D130" s="4174">
        <v>1243</v>
      </c>
      <c r="E130" s="4174" t="s">
        <v>1984</v>
      </c>
      <c r="F130" s="4173">
        <v>124306</v>
      </c>
      <c r="G130" s="4173" t="s">
        <v>1977</v>
      </c>
      <c r="H130" s="4173" t="s">
        <v>350</v>
      </c>
      <c r="I130" s="4173">
        <v>0</v>
      </c>
      <c r="J130" s="4173">
        <v>0</v>
      </c>
      <c r="K130" s="4173">
        <v>0</v>
      </c>
      <c r="L130" s="4173">
        <v>0</v>
      </c>
      <c r="M130" s="4173">
        <v>0</v>
      </c>
      <c r="N130" s="4173">
        <v>0</v>
      </c>
      <c r="O130" s="4210">
        <f t="shared" si="4"/>
        <v>0</v>
      </c>
    </row>
    <row r="131" spans="1:15" x14ac:dyDescent="0.25">
      <c r="A131" s="1009">
        <f t="shared" si="3"/>
        <v>125550</v>
      </c>
      <c r="B131" s="4174" t="s">
        <v>1980</v>
      </c>
      <c r="C131" s="4174" t="s">
        <v>1979</v>
      </c>
      <c r="D131" s="4174">
        <v>1243</v>
      </c>
      <c r="E131" s="4174" t="s">
        <v>1983</v>
      </c>
      <c r="F131" s="4173">
        <v>124307</v>
      </c>
      <c r="G131" s="4173" t="s">
        <v>1977</v>
      </c>
      <c r="H131" s="4173" t="s">
        <v>350</v>
      </c>
      <c r="I131" s="4173">
        <v>0</v>
      </c>
      <c r="J131" s="4173">
        <v>0</v>
      </c>
      <c r="K131" s="4173">
        <v>0</v>
      </c>
      <c r="L131" s="4173">
        <v>0</v>
      </c>
      <c r="M131" s="4173">
        <v>0</v>
      </c>
      <c r="N131" s="4173">
        <v>0</v>
      </c>
      <c r="O131" s="4210">
        <f t="shared" si="4"/>
        <v>0</v>
      </c>
    </row>
    <row r="132" spans="1:15" x14ac:dyDescent="0.25">
      <c r="A132" s="1009">
        <f t="shared" ref="A132:A195" si="5">D132+F132</f>
        <v>125552</v>
      </c>
      <c r="B132" s="4174" t="s">
        <v>1980</v>
      </c>
      <c r="C132" s="4174" t="s">
        <v>1979</v>
      </c>
      <c r="D132" s="4174">
        <v>1243</v>
      </c>
      <c r="E132" s="4174" t="s">
        <v>1982</v>
      </c>
      <c r="F132" s="4173">
        <v>124309</v>
      </c>
      <c r="G132" s="4173" t="s">
        <v>1977</v>
      </c>
      <c r="H132" s="4173"/>
      <c r="I132" s="4173">
        <v>0</v>
      </c>
      <c r="J132" s="4173">
        <v>0</v>
      </c>
      <c r="K132" s="4173">
        <v>0</v>
      </c>
      <c r="L132" s="4173">
        <v>0</v>
      </c>
      <c r="M132" s="4173">
        <v>0</v>
      </c>
      <c r="N132" s="4173">
        <v>0</v>
      </c>
      <c r="O132" s="4210">
        <f t="shared" ref="O132:O195" si="6">K132/K$211</f>
        <v>0</v>
      </c>
    </row>
    <row r="133" spans="1:15" x14ac:dyDescent="0.25">
      <c r="A133" s="1009">
        <f t="shared" si="5"/>
        <v>125553</v>
      </c>
      <c r="B133" s="4174" t="s">
        <v>1980</v>
      </c>
      <c r="C133" s="4174" t="s">
        <v>1979</v>
      </c>
      <c r="D133" s="4174">
        <v>1243</v>
      </c>
      <c r="E133" s="4174" t="s">
        <v>1981</v>
      </c>
      <c r="F133" s="4173">
        <v>124310</v>
      </c>
      <c r="G133" s="4173" t="s">
        <v>1977</v>
      </c>
      <c r="H133" s="4173"/>
      <c r="I133" s="4173">
        <v>0</v>
      </c>
      <c r="J133" s="4173">
        <v>0</v>
      </c>
      <c r="K133" s="4173">
        <v>0</v>
      </c>
      <c r="L133" s="4173">
        <v>0</v>
      </c>
      <c r="M133" s="4173">
        <v>0</v>
      </c>
      <c r="N133" s="4173">
        <v>0</v>
      </c>
      <c r="O133" s="4210">
        <f t="shared" si="6"/>
        <v>0</v>
      </c>
    </row>
    <row r="134" spans="1:15" x14ac:dyDescent="0.25">
      <c r="A134" s="1009">
        <f t="shared" si="5"/>
        <v>125554</v>
      </c>
      <c r="B134" s="4174" t="s">
        <v>1980</v>
      </c>
      <c r="C134" s="4174" t="s">
        <v>1979</v>
      </c>
      <c r="D134" s="4174">
        <v>1243</v>
      </c>
      <c r="E134" s="4174" t="s">
        <v>1978</v>
      </c>
      <c r="F134" s="4173">
        <v>124311</v>
      </c>
      <c r="G134" s="4173" t="s">
        <v>1977</v>
      </c>
      <c r="H134" s="4173"/>
      <c r="I134" s="4173">
        <v>0</v>
      </c>
      <c r="J134" s="4173">
        <v>0</v>
      </c>
      <c r="K134" s="4173">
        <v>0</v>
      </c>
      <c r="L134" s="4173">
        <v>0</v>
      </c>
      <c r="M134" s="4173">
        <v>0</v>
      </c>
      <c r="N134" s="4173">
        <v>0</v>
      </c>
      <c r="O134" s="4210">
        <f t="shared" si="6"/>
        <v>0</v>
      </c>
    </row>
    <row r="135" spans="1:15" x14ac:dyDescent="0.25">
      <c r="A135" s="1009">
        <f t="shared" si="5"/>
        <v>131301</v>
      </c>
      <c r="B135" s="4174" t="s">
        <v>963</v>
      </c>
      <c r="C135" s="4174" t="s">
        <v>1976</v>
      </c>
      <c r="D135" s="4174">
        <v>1300</v>
      </c>
      <c r="E135" s="4174" t="s">
        <v>963</v>
      </c>
      <c r="F135" s="4173">
        <v>130001</v>
      </c>
      <c r="G135" s="4173" t="s">
        <v>350</v>
      </c>
      <c r="H135" s="4173"/>
      <c r="I135" s="4173">
        <v>10</v>
      </c>
      <c r="J135" s="4173">
        <v>403.89</v>
      </c>
      <c r="K135" s="4173">
        <v>57.71</v>
      </c>
      <c r="L135" s="4173">
        <v>5896.77</v>
      </c>
      <c r="M135" s="4173">
        <v>0</v>
      </c>
      <c r="N135" s="4173">
        <v>1252.05</v>
      </c>
      <c r="O135" s="4210">
        <f t="shared" si="6"/>
        <v>2.4581714714100728E-2</v>
      </c>
    </row>
    <row r="136" spans="1:15" x14ac:dyDescent="0.25">
      <c r="A136" s="1009">
        <f t="shared" si="5"/>
        <v>141502</v>
      </c>
      <c r="B136" s="4174" t="s">
        <v>961</v>
      </c>
      <c r="C136" s="4174" t="s">
        <v>1975</v>
      </c>
      <c r="D136" s="4174">
        <v>1401</v>
      </c>
      <c r="E136" s="4174" t="s">
        <v>1974</v>
      </c>
      <c r="F136" s="4173">
        <v>140101</v>
      </c>
      <c r="G136" s="4173" t="s">
        <v>350</v>
      </c>
      <c r="H136" s="4173"/>
      <c r="I136" s="4173">
        <v>0</v>
      </c>
      <c r="J136" s="4173">
        <v>0</v>
      </c>
      <c r="K136" s="4173">
        <v>0</v>
      </c>
      <c r="L136" s="4173">
        <v>0</v>
      </c>
      <c r="M136" s="4173">
        <v>0</v>
      </c>
      <c r="N136" s="4173">
        <v>0</v>
      </c>
      <c r="O136" s="4210">
        <f t="shared" si="6"/>
        <v>0</v>
      </c>
    </row>
    <row r="137" spans="1:15" x14ac:dyDescent="0.25">
      <c r="A137" s="1009">
        <f t="shared" si="5"/>
        <v>141603</v>
      </c>
      <c r="B137" s="4174" t="s">
        <v>961</v>
      </c>
      <c r="C137" s="4174" t="s">
        <v>1973</v>
      </c>
      <c r="D137" s="4174">
        <v>1402</v>
      </c>
      <c r="E137" s="4174" t="s">
        <v>1972</v>
      </c>
      <c r="F137" s="4173">
        <v>140201</v>
      </c>
      <c r="G137" s="4173" t="s">
        <v>350</v>
      </c>
      <c r="H137" s="4173"/>
      <c r="I137" s="4173">
        <v>0</v>
      </c>
      <c r="J137" s="4173">
        <v>0</v>
      </c>
      <c r="K137" s="4173">
        <v>0</v>
      </c>
      <c r="L137" s="4173">
        <v>0</v>
      </c>
      <c r="M137" s="4173">
        <v>0</v>
      </c>
      <c r="N137" s="4173">
        <v>0</v>
      </c>
      <c r="O137" s="4210">
        <f t="shared" si="6"/>
        <v>0</v>
      </c>
    </row>
    <row r="138" spans="1:15" x14ac:dyDescent="0.25">
      <c r="A138" s="1009">
        <f t="shared" si="5"/>
        <v>141704</v>
      </c>
      <c r="B138" s="4174" t="s">
        <v>961</v>
      </c>
      <c r="C138" s="4174" t="s">
        <v>1971</v>
      </c>
      <c r="D138" s="4174">
        <v>1403</v>
      </c>
      <c r="E138" s="4174" t="s">
        <v>1970</v>
      </c>
      <c r="F138" s="4173">
        <v>140301</v>
      </c>
      <c r="G138" s="4173" t="s">
        <v>350</v>
      </c>
      <c r="H138" s="4173"/>
      <c r="I138" s="4173">
        <v>0</v>
      </c>
      <c r="J138" s="4173">
        <v>0</v>
      </c>
      <c r="K138" s="4173">
        <v>0</v>
      </c>
      <c r="L138" s="4173">
        <v>0</v>
      </c>
      <c r="M138" s="4173">
        <v>0</v>
      </c>
      <c r="N138" s="4173">
        <v>0</v>
      </c>
      <c r="O138" s="4210">
        <f t="shared" si="6"/>
        <v>0</v>
      </c>
    </row>
    <row r="139" spans="1:15" x14ac:dyDescent="0.25">
      <c r="A139" s="1009">
        <f t="shared" si="5"/>
        <v>151602</v>
      </c>
      <c r="B139" s="4174" t="s">
        <v>907</v>
      </c>
      <c r="C139" s="4174" t="s">
        <v>2892</v>
      </c>
      <c r="D139" s="4174">
        <v>1501</v>
      </c>
      <c r="E139" s="4174" t="s">
        <v>1969</v>
      </c>
      <c r="F139" s="4173">
        <v>150101</v>
      </c>
      <c r="G139" s="4173" t="s">
        <v>1941</v>
      </c>
      <c r="H139" s="4173"/>
      <c r="I139" s="4173">
        <v>0</v>
      </c>
      <c r="J139" s="4173">
        <v>0</v>
      </c>
      <c r="K139" s="4173">
        <v>0</v>
      </c>
      <c r="L139" s="4173">
        <v>0</v>
      </c>
      <c r="M139" s="4173">
        <v>0</v>
      </c>
      <c r="N139" s="4173">
        <v>0</v>
      </c>
      <c r="O139" s="4210">
        <f t="shared" si="6"/>
        <v>0</v>
      </c>
    </row>
    <row r="140" spans="1:15" x14ac:dyDescent="0.25">
      <c r="A140" s="1009">
        <f t="shared" si="5"/>
        <v>151605</v>
      </c>
      <c r="B140" s="4174" t="s">
        <v>907</v>
      </c>
      <c r="C140" s="4174" t="s">
        <v>2892</v>
      </c>
      <c r="D140" s="4174">
        <v>1501</v>
      </c>
      <c r="E140" s="4174" t="s">
        <v>1968</v>
      </c>
      <c r="F140" s="4173">
        <v>150104</v>
      </c>
      <c r="G140" s="4173" t="s">
        <v>1941</v>
      </c>
      <c r="H140" s="4173" t="s">
        <v>350</v>
      </c>
      <c r="I140" s="4173">
        <v>0</v>
      </c>
      <c r="J140" s="4173">
        <v>0</v>
      </c>
      <c r="K140" s="4173">
        <v>0</v>
      </c>
      <c r="L140" s="4173">
        <v>0</v>
      </c>
      <c r="M140" s="4173">
        <v>0</v>
      </c>
      <c r="N140" s="4173">
        <v>0</v>
      </c>
      <c r="O140" s="4210">
        <f t="shared" si="6"/>
        <v>0</v>
      </c>
    </row>
    <row r="141" spans="1:15" x14ac:dyDescent="0.25">
      <c r="A141" s="1009">
        <f t="shared" si="5"/>
        <v>151606</v>
      </c>
      <c r="B141" s="4174" t="s">
        <v>907</v>
      </c>
      <c r="C141" s="4174" t="s">
        <v>2892</v>
      </c>
      <c r="D141" s="4174">
        <v>1501</v>
      </c>
      <c r="E141" s="4174" t="s">
        <v>1967</v>
      </c>
      <c r="F141" s="4173">
        <v>150105</v>
      </c>
      <c r="G141" s="4173" t="s">
        <v>1941</v>
      </c>
      <c r="H141" s="4173" t="s">
        <v>350</v>
      </c>
      <c r="I141" s="4173">
        <v>0</v>
      </c>
      <c r="J141" s="4173">
        <v>0</v>
      </c>
      <c r="K141" s="4173">
        <v>0</v>
      </c>
      <c r="L141" s="4173">
        <v>0</v>
      </c>
      <c r="M141" s="4173">
        <v>0</v>
      </c>
      <c r="N141" s="4173">
        <v>0</v>
      </c>
      <c r="O141" s="4210">
        <f t="shared" si="6"/>
        <v>0</v>
      </c>
    </row>
    <row r="142" spans="1:15" x14ac:dyDescent="0.25">
      <c r="A142" s="1009">
        <f t="shared" si="5"/>
        <v>151607</v>
      </c>
      <c r="B142" s="4174" t="s">
        <v>907</v>
      </c>
      <c r="C142" s="4174" t="s">
        <v>2892</v>
      </c>
      <c r="D142" s="4174">
        <v>1501</v>
      </c>
      <c r="E142" s="4174" t="s">
        <v>1966</v>
      </c>
      <c r="F142" s="4173">
        <v>150106</v>
      </c>
      <c r="G142" s="4173" t="s">
        <v>350</v>
      </c>
      <c r="H142" s="4173"/>
      <c r="I142" s="4173">
        <v>0</v>
      </c>
      <c r="J142" s="4173">
        <v>0</v>
      </c>
      <c r="K142" s="4173">
        <v>0</v>
      </c>
      <c r="L142" s="4173">
        <v>0</v>
      </c>
      <c r="M142" s="4173">
        <v>0</v>
      </c>
      <c r="N142" s="4173">
        <v>0</v>
      </c>
      <c r="O142" s="4210">
        <f t="shared" si="6"/>
        <v>0</v>
      </c>
    </row>
    <row r="143" spans="1:15" x14ac:dyDescent="0.25">
      <c r="A143" s="1009">
        <f t="shared" si="5"/>
        <v>151608</v>
      </c>
      <c r="B143" s="4174" t="s">
        <v>907</v>
      </c>
      <c r="C143" s="4174" t="s">
        <v>2892</v>
      </c>
      <c r="D143" s="4174">
        <v>1501</v>
      </c>
      <c r="E143" s="4174" t="s">
        <v>1965</v>
      </c>
      <c r="F143" s="4173">
        <v>150107</v>
      </c>
      <c r="G143" s="4173" t="s">
        <v>1941</v>
      </c>
      <c r="H143" s="4173"/>
      <c r="I143" s="4173">
        <v>0</v>
      </c>
      <c r="J143" s="4173">
        <v>0</v>
      </c>
      <c r="K143" s="4173">
        <v>0</v>
      </c>
      <c r="L143" s="4173">
        <v>0</v>
      </c>
      <c r="M143" s="4173">
        <v>0</v>
      </c>
      <c r="N143" s="4173">
        <v>0</v>
      </c>
      <c r="O143" s="4210">
        <f t="shared" si="6"/>
        <v>0</v>
      </c>
    </row>
    <row r="144" spans="1:15" x14ac:dyDescent="0.25">
      <c r="A144" s="1009">
        <f t="shared" si="5"/>
        <v>151609</v>
      </c>
      <c r="B144" s="4174" t="s">
        <v>907</v>
      </c>
      <c r="C144" s="4174" t="s">
        <v>2892</v>
      </c>
      <c r="D144" s="4174">
        <v>1501</v>
      </c>
      <c r="E144" s="4174" t="s">
        <v>1963</v>
      </c>
      <c r="F144" s="4173">
        <v>150108</v>
      </c>
      <c r="G144" s="4173" t="s">
        <v>1903</v>
      </c>
      <c r="H144" s="4173" t="s">
        <v>1943</v>
      </c>
      <c r="I144" s="4173">
        <v>0</v>
      </c>
      <c r="J144" s="4173">
        <v>0</v>
      </c>
      <c r="K144" s="4173">
        <v>0</v>
      </c>
      <c r="L144" s="4173">
        <v>0</v>
      </c>
      <c r="M144" s="4173">
        <v>0</v>
      </c>
      <c r="N144" s="4173">
        <v>0</v>
      </c>
      <c r="O144" s="4210">
        <f t="shared" si="6"/>
        <v>0</v>
      </c>
    </row>
    <row r="145" spans="1:15" x14ac:dyDescent="0.25">
      <c r="A145" s="1009">
        <f t="shared" si="5"/>
        <v>151703</v>
      </c>
      <c r="B145" s="4174" t="s">
        <v>907</v>
      </c>
      <c r="C145" s="4174" t="s">
        <v>2891</v>
      </c>
      <c r="D145" s="4174">
        <v>1502</v>
      </c>
      <c r="E145" s="4174" t="s">
        <v>1962</v>
      </c>
      <c r="F145" s="4173">
        <v>150201</v>
      </c>
      <c r="G145" s="4173" t="s">
        <v>1941</v>
      </c>
      <c r="H145" s="4173"/>
      <c r="I145" s="4173">
        <v>0</v>
      </c>
      <c r="J145" s="4173">
        <v>0</v>
      </c>
      <c r="K145" s="4173">
        <v>0</v>
      </c>
      <c r="L145" s="4173">
        <v>0</v>
      </c>
      <c r="M145" s="4173">
        <v>0</v>
      </c>
      <c r="N145" s="4173">
        <v>0</v>
      </c>
      <c r="O145" s="4210">
        <f t="shared" si="6"/>
        <v>0</v>
      </c>
    </row>
    <row r="146" spans="1:15" x14ac:dyDescent="0.25">
      <c r="A146" s="1009">
        <f t="shared" si="5"/>
        <v>151704</v>
      </c>
      <c r="B146" s="4174" t="s">
        <v>907</v>
      </c>
      <c r="C146" s="4174" t="s">
        <v>2891</v>
      </c>
      <c r="D146" s="4174">
        <v>1502</v>
      </c>
      <c r="E146" s="4174" t="s">
        <v>1961</v>
      </c>
      <c r="F146" s="4173">
        <v>150202</v>
      </c>
      <c r="G146" s="4173" t="s">
        <v>1941</v>
      </c>
      <c r="H146" s="4173"/>
      <c r="I146" s="4173">
        <v>0</v>
      </c>
      <c r="J146" s="4173">
        <v>0</v>
      </c>
      <c r="K146" s="4173">
        <v>0</v>
      </c>
      <c r="L146" s="4173">
        <v>0</v>
      </c>
      <c r="M146" s="4173">
        <v>0</v>
      </c>
      <c r="N146" s="4173">
        <v>0</v>
      </c>
      <c r="O146" s="4210">
        <f t="shared" si="6"/>
        <v>0</v>
      </c>
    </row>
    <row r="147" spans="1:15" x14ac:dyDescent="0.25">
      <c r="A147" s="1009">
        <f t="shared" si="5"/>
        <v>151707</v>
      </c>
      <c r="B147" s="4174" t="s">
        <v>907</v>
      </c>
      <c r="C147" s="4174" t="s">
        <v>2891</v>
      </c>
      <c r="D147" s="4174">
        <v>1502</v>
      </c>
      <c r="E147" s="4174" t="s">
        <v>351</v>
      </c>
      <c r="F147" s="4173">
        <v>150205</v>
      </c>
      <c r="G147" s="4173" t="s">
        <v>1924</v>
      </c>
      <c r="H147" s="4173"/>
      <c r="I147" s="4173">
        <v>0</v>
      </c>
      <c r="J147" s="4173">
        <v>0</v>
      </c>
      <c r="K147" s="4173">
        <v>0</v>
      </c>
      <c r="L147" s="4173">
        <v>0</v>
      </c>
      <c r="M147" s="4173">
        <v>0</v>
      </c>
      <c r="N147" s="4173">
        <v>0</v>
      </c>
      <c r="O147" s="4210">
        <f t="shared" si="6"/>
        <v>0</v>
      </c>
    </row>
    <row r="148" spans="1:15" x14ac:dyDescent="0.25">
      <c r="A148" s="1009">
        <f t="shared" si="5"/>
        <v>152612</v>
      </c>
      <c r="B148" s="4174" t="s">
        <v>907</v>
      </c>
      <c r="C148" s="4174" t="s">
        <v>2752</v>
      </c>
      <c r="D148" s="4174">
        <v>1511</v>
      </c>
      <c r="E148" s="4174" t="s">
        <v>1960</v>
      </c>
      <c r="F148" s="4173">
        <v>151101</v>
      </c>
      <c r="G148" s="4173" t="s">
        <v>1941</v>
      </c>
      <c r="H148" s="4173"/>
      <c r="I148" s="4173">
        <v>0</v>
      </c>
      <c r="J148" s="4173">
        <v>0</v>
      </c>
      <c r="K148" s="4173">
        <v>0</v>
      </c>
      <c r="L148" s="4173">
        <v>0</v>
      </c>
      <c r="M148" s="4173">
        <v>0</v>
      </c>
      <c r="N148" s="4173">
        <v>0</v>
      </c>
      <c r="O148" s="4210">
        <f t="shared" si="6"/>
        <v>0</v>
      </c>
    </row>
    <row r="149" spans="1:15" x14ac:dyDescent="0.25">
      <c r="A149" s="1009">
        <f t="shared" si="5"/>
        <v>152614</v>
      </c>
      <c r="B149" s="4174" t="s">
        <v>907</v>
      </c>
      <c r="C149" s="4174" t="s">
        <v>2752</v>
      </c>
      <c r="D149" s="4174">
        <v>1511</v>
      </c>
      <c r="E149" s="4174" t="s">
        <v>1959</v>
      </c>
      <c r="F149" s="4173">
        <v>151103</v>
      </c>
      <c r="G149" s="4173" t="s">
        <v>1941</v>
      </c>
      <c r="H149" s="4173"/>
      <c r="I149" s="4173">
        <v>0</v>
      </c>
      <c r="J149" s="4173">
        <v>0</v>
      </c>
      <c r="K149" s="4173">
        <v>0</v>
      </c>
      <c r="L149" s="4173">
        <v>0</v>
      </c>
      <c r="M149" s="4173">
        <v>0</v>
      </c>
      <c r="N149" s="4173">
        <v>0</v>
      </c>
      <c r="O149" s="4210">
        <f t="shared" si="6"/>
        <v>0</v>
      </c>
    </row>
    <row r="150" spans="1:15" x14ac:dyDescent="0.25">
      <c r="A150" s="1009">
        <f t="shared" si="5"/>
        <v>152615</v>
      </c>
      <c r="B150" s="4174" t="s">
        <v>907</v>
      </c>
      <c r="C150" s="4174" t="s">
        <v>2752</v>
      </c>
      <c r="D150" s="4174">
        <v>1511</v>
      </c>
      <c r="E150" s="4174" t="s">
        <v>1944</v>
      </c>
      <c r="F150" s="4173">
        <v>151104</v>
      </c>
      <c r="G150" s="4173" t="s">
        <v>1903</v>
      </c>
      <c r="H150" s="4173" t="s">
        <v>1943</v>
      </c>
      <c r="I150" s="4173">
        <v>0</v>
      </c>
      <c r="J150" s="4173">
        <v>0</v>
      </c>
      <c r="K150" s="4173">
        <v>0</v>
      </c>
      <c r="L150" s="4173">
        <v>0</v>
      </c>
      <c r="M150" s="4173">
        <v>0</v>
      </c>
      <c r="N150" s="4173">
        <v>0</v>
      </c>
      <c r="O150" s="4210">
        <f t="shared" si="6"/>
        <v>0</v>
      </c>
    </row>
    <row r="151" spans="1:15" x14ac:dyDescent="0.25">
      <c r="A151" s="1009">
        <f t="shared" si="5"/>
        <v>152616</v>
      </c>
      <c r="B151" s="4174" t="s">
        <v>907</v>
      </c>
      <c r="C151" s="4174" t="s">
        <v>2752</v>
      </c>
      <c r="D151" s="4174">
        <v>1511</v>
      </c>
      <c r="E151" s="4174" t="s">
        <v>350</v>
      </c>
      <c r="F151" s="4173">
        <v>151105</v>
      </c>
      <c r="G151" s="4173" t="s">
        <v>350</v>
      </c>
      <c r="H151" s="4173"/>
      <c r="I151" s="4173">
        <v>1</v>
      </c>
      <c r="J151" s="4173">
        <v>27.54</v>
      </c>
      <c r="K151" s="4173">
        <v>0.08</v>
      </c>
      <c r="L151" s="4173">
        <v>4.9800000000000004</v>
      </c>
      <c r="M151" s="4173">
        <v>0</v>
      </c>
      <c r="N151" s="4173">
        <v>2.16</v>
      </c>
      <c r="O151" s="4210">
        <f t="shared" si="6"/>
        <v>3.4076194370612687E-5</v>
      </c>
    </row>
    <row r="152" spans="1:15" x14ac:dyDescent="0.25">
      <c r="A152" s="1009">
        <f t="shared" si="5"/>
        <v>152715</v>
      </c>
      <c r="B152" s="4174" t="s">
        <v>907</v>
      </c>
      <c r="C152" s="4174" t="s">
        <v>2753</v>
      </c>
      <c r="D152" s="4174">
        <v>1512</v>
      </c>
      <c r="E152" s="4174" t="s">
        <v>1945</v>
      </c>
      <c r="F152" s="4173">
        <v>151203</v>
      </c>
      <c r="G152" s="4173" t="s">
        <v>1941</v>
      </c>
      <c r="H152" s="4173"/>
      <c r="I152" s="4173">
        <v>0</v>
      </c>
      <c r="J152" s="4173">
        <v>0</v>
      </c>
      <c r="K152" s="4173">
        <v>0</v>
      </c>
      <c r="L152" s="4173">
        <v>0</v>
      </c>
      <c r="M152" s="4173">
        <v>0</v>
      </c>
      <c r="N152" s="4173">
        <v>0</v>
      </c>
      <c r="O152" s="4210">
        <f t="shared" si="6"/>
        <v>0</v>
      </c>
    </row>
    <row r="153" spans="1:15" x14ac:dyDescent="0.25">
      <c r="A153" s="1009">
        <f t="shared" si="5"/>
        <v>152716</v>
      </c>
      <c r="B153" s="4174" t="s">
        <v>907</v>
      </c>
      <c r="C153" s="4174" t="s">
        <v>2753</v>
      </c>
      <c r="D153" s="4174">
        <v>1512</v>
      </c>
      <c r="E153" s="4174" t="s">
        <v>1944</v>
      </c>
      <c r="F153" s="4173">
        <v>151204</v>
      </c>
      <c r="G153" s="4173" t="s">
        <v>1903</v>
      </c>
      <c r="H153" s="4173" t="s">
        <v>1943</v>
      </c>
      <c r="I153" s="4173">
        <v>0</v>
      </c>
      <c r="J153" s="4173">
        <v>0</v>
      </c>
      <c r="K153" s="4173">
        <v>0</v>
      </c>
      <c r="L153" s="4173">
        <v>0</v>
      </c>
      <c r="M153" s="4173">
        <v>0</v>
      </c>
      <c r="N153" s="4173">
        <v>0</v>
      </c>
      <c r="O153" s="4210">
        <f t="shared" si="6"/>
        <v>0</v>
      </c>
    </row>
    <row r="154" spans="1:15" x14ac:dyDescent="0.25">
      <c r="A154" s="1009">
        <f t="shared" si="5"/>
        <v>152717</v>
      </c>
      <c r="B154" s="4174" t="s">
        <v>907</v>
      </c>
      <c r="C154" s="4174" t="s">
        <v>2753</v>
      </c>
      <c r="D154" s="4174">
        <v>1512</v>
      </c>
      <c r="E154" s="4174" t="s">
        <v>1942</v>
      </c>
      <c r="F154" s="4173">
        <v>151205</v>
      </c>
      <c r="G154" s="4173" t="s">
        <v>1941</v>
      </c>
      <c r="H154" s="4173" t="s">
        <v>350</v>
      </c>
      <c r="I154" s="4173">
        <v>0</v>
      </c>
      <c r="J154" s="4173">
        <v>0</v>
      </c>
      <c r="K154" s="4173">
        <v>0</v>
      </c>
      <c r="L154" s="4173">
        <v>0</v>
      </c>
      <c r="M154" s="4173">
        <v>0</v>
      </c>
      <c r="N154" s="4173">
        <v>0</v>
      </c>
      <c r="O154" s="4210">
        <f t="shared" si="6"/>
        <v>0</v>
      </c>
    </row>
    <row r="155" spans="1:15" x14ac:dyDescent="0.25">
      <c r="A155" s="1009">
        <f t="shared" si="5"/>
        <v>152718</v>
      </c>
      <c r="B155" s="4174" t="s">
        <v>907</v>
      </c>
      <c r="C155" s="4174" t="s">
        <v>2753</v>
      </c>
      <c r="D155" s="4174">
        <v>1512</v>
      </c>
      <c r="E155" s="4174" t="s">
        <v>350</v>
      </c>
      <c r="F155" s="4173">
        <v>151206</v>
      </c>
      <c r="G155" s="4173" t="s">
        <v>350</v>
      </c>
      <c r="H155" s="4173"/>
      <c r="I155" s="4173">
        <v>1</v>
      </c>
      <c r="J155" s="4173">
        <v>27.54</v>
      </c>
      <c r="K155" s="4173">
        <v>0.42</v>
      </c>
      <c r="L155" s="4173">
        <v>32.270000000000003</v>
      </c>
      <c r="M155" s="4173">
        <v>0</v>
      </c>
      <c r="N155" s="4173">
        <v>11.26</v>
      </c>
      <c r="O155" s="4210">
        <f t="shared" si="6"/>
        <v>1.7890002044571658E-4</v>
      </c>
    </row>
    <row r="156" spans="1:15" x14ac:dyDescent="0.25">
      <c r="A156" s="1009">
        <f t="shared" si="5"/>
        <v>152719</v>
      </c>
      <c r="B156" s="4174" t="s">
        <v>907</v>
      </c>
      <c r="C156" s="4174" t="s">
        <v>2753</v>
      </c>
      <c r="D156" s="4174">
        <v>1512</v>
      </c>
      <c r="E156" s="4174" t="s">
        <v>1958</v>
      </c>
      <c r="F156" s="4173">
        <v>151207</v>
      </c>
      <c r="G156" s="4173" t="s">
        <v>1941</v>
      </c>
      <c r="H156" s="4173"/>
      <c r="I156" s="4173">
        <v>0</v>
      </c>
      <c r="J156" s="4173">
        <v>0</v>
      </c>
      <c r="K156" s="4173">
        <v>0</v>
      </c>
      <c r="L156" s="4173">
        <v>0</v>
      </c>
      <c r="M156" s="4173">
        <v>0</v>
      </c>
      <c r="N156" s="4173">
        <v>0</v>
      </c>
      <c r="O156" s="4210">
        <f t="shared" si="6"/>
        <v>0</v>
      </c>
    </row>
    <row r="157" spans="1:15" x14ac:dyDescent="0.25">
      <c r="A157" s="1009">
        <f t="shared" si="5"/>
        <v>152720</v>
      </c>
      <c r="B157" s="4174" t="s">
        <v>907</v>
      </c>
      <c r="C157" s="4174" t="s">
        <v>2753</v>
      </c>
      <c r="D157" s="4174">
        <v>1512</v>
      </c>
      <c r="E157" s="4174" t="s">
        <v>2890</v>
      </c>
      <c r="F157" s="4173">
        <v>151208</v>
      </c>
      <c r="G157" s="4173" t="s">
        <v>1941</v>
      </c>
      <c r="H157" s="4173"/>
      <c r="I157" s="4173">
        <v>0</v>
      </c>
      <c r="J157" s="4173">
        <v>0</v>
      </c>
      <c r="K157" s="4173">
        <v>0</v>
      </c>
      <c r="L157" s="4173">
        <v>0</v>
      </c>
      <c r="M157" s="4173">
        <v>0</v>
      </c>
      <c r="N157" s="4173">
        <v>0</v>
      </c>
      <c r="O157" s="4210">
        <f t="shared" si="6"/>
        <v>0</v>
      </c>
    </row>
    <row r="158" spans="1:15" x14ac:dyDescent="0.25">
      <c r="A158" s="1009">
        <f t="shared" si="5"/>
        <v>153522</v>
      </c>
      <c r="B158" s="4174" t="s">
        <v>907</v>
      </c>
      <c r="C158" s="4174" t="s">
        <v>1940</v>
      </c>
      <c r="D158" s="4174">
        <v>1520</v>
      </c>
      <c r="E158" s="4174" t="s">
        <v>1946</v>
      </c>
      <c r="F158" s="4173">
        <v>152002</v>
      </c>
      <c r="G158" s="4173" t="s">
        <v>1941</v>
      </c>
      <c r="H158" s="4173"/>
      <c r="I158" s="4173">
        <v>0</v>
      </c>
      <c r="J158" s="4173">
        <v>0</v>
      </c>
      <c r="K158" s="4173">
        <v>0</v>
      </c>
      <c r="L158" s="4173">
        <v>0</v>
      </c>
      <c r="M158" s="4173">
        <v>0</v>
      </c>
      <c r="N158" s="4173">
        <v>0</v>
      </c>
      <c r="O158" s="4210">
        <f t="shared" si="6"/>
        <v>0</v>
      </c>
    </row>
    <row r="159" spans="1:15" x14ac:dyDescent="0.25">
      <c r="A159" s="1009">
        <f t="shared" si="5"/>
        <v>153523</v>
      </c>
      <c r="B159" s="4174" t="s">
        <v>907</v>
      </c>
      <c r="C159" s="4174" t="s">
        <v>1940</v>
      </c>
      <c r="D159" s="4174">
        <v>1520</v>
      </c>
      <c r="E159" s="4174" t="s">
        <v>2755</v>
      </c>
      <c r="F159" s="4173">
        <v>152003</v>
      </c>
      <c r="G159" s="4173" t="s">
        <v>1941</v>
      </c>
      <c r="H159" s="4173"/>
      <c r="I159" s="4173">
        <v>0</v>
      </c>
      <c r="J159" s="4173">
        <v>0</v>
      </c>
      <c r="K159" s="4173">
        <v>0</v>
      </c>
      <c r="L159" s="4173">
        <v>0</v>
      </c>
      <c r="M159" s="4173">
        <v>0</v>
      </c>
      <c r="N159" s="4173">
        <v>0</v>
      </c>
      <c r="O159" s="4210">
        <f t="shared" si="6"/>
        <v>0</v>
      </c>
    </row>
    <row r="160" spans="1:15" x14ac:dyDescent="0.25">
      <c r="A160" s="1009">
        <f t="shared" si="5"/>
        <v>153524</v>
      </c>
      <c r="B160" s="4174" t="s">
        <v>907</v>
      </c>
      <c r="C160" s="4174" t="s">
        <v>1940</v>
      </c>
      <c r="D160" s="4174">
        <v>1520</v>
      </c>
      <c r="E160" s="4174" t="s">
        <v>1945</v>
      </c>
      <c r="F160" s="4173">
        <v>152004</v>
      </c>
      <c r="G160" s="4173" t="s">
        <v>1941</v>
      </c>
      <c r="H160" s="4173"/>
      <c r="I160" s="4173">
        <v>0</v>
      </c>
      <c r="J160" s="4173">
        <v>0</v>
      </c>
      <c r="K160" s="4173">
        <v>0</v>
      </c>
      <c r="L160" s="4173">
        <v>0</v>
      </c>
      <c r="M160" s="4173">
        <v>0</v>
      </c>
      <c r="N160" s="4173">
        <v>0</v>
      </c>
      <c r="O160" s="4210">
        <f t="shared" si="6"/>
        <v>0</v>
      </c>
    </row>
    <row r="161" spans="1:15" x14ac:dyDescent="0.25">
      <c r="A161" s="1009">
        <f t="shared" si="5"/>
        <v>153525</v>
      </c>
      <c r="B161" s="4174" t="s">
        <v>907</v>
      </c>
      <c r="C161" s="4174" t="s">
        <v>1940</v>
      </c>
      <c r="D161" s="4174">
        <v>1520</v>
      </c>
      <c r="E161" s="4174" t="s">
        <v>1944</v>
      </c>
      <c r="F161" s="4173">
        <v>152005</v>
      </c>
      <c r="G161" s="4173" t="s">
        <v>1903</v>
      </c>
      <c r="H161" s="4173" t="s">
        <v>1943</v>
      </c>
      <c r="I161" s="4173">
        <v>0</v>
      </c>
      <c r="J161" s="4173">
        <v>0</v>
      </c>
      <c r="K161" s="4173">
        <v>0</v>
      </c>
      <c r="L161" s="4173">
        <v>0</v>
      </c>
      <c r="M161" s="4173">
        <v>0</v>
      </c>
      <c r="N161" s="4173">
        <v>0</v>
      </c>
      <c r="O161" s="4210">
        <f t="shared" si="6"/>
        <v>0</v>
      </c>
    </row>
    <row r="162" spans="1:15" x14ac:dyDescent="0.25">
      <c r="A162" s="1009">
        <f t="shared" si="5"/>
        <v>153526</v>
      </c>
      <c r="B162" s="4174" t="s">
        <v>907</v>
      </c>
      <c r="C162" s="4174" t="s">
        <v>1940</v>
      </c>
      <c r="D162" s="4174">
        <v>1520</v>
      </c>
      <c r="E162" s="4174" t="s">
        <v>1942</v>
      </c>
      <c r="F162" s="4173">
        <v>152006</v>
      </c>
      <c r="G162" s="4173" t="s">
        <v>1941</v>
      </c>
      <c r="H162" s="4173" t="s">
        <v>350</v>
      </c>
      <c r="I162" s="4173">
        <v>0</v>
      </c>
      <c r="J162" s="4173">
        <v>0</v>
      </c>
      <c r="K162" s="4173">
        <v>0</v>
      </c>
      <c r="L162" s="4173">
        <v>0</v>
      </c>
      <c r="M162" s="4173">
        <v>0</v>
      </c>
      <c r="N162" s="4173">
        <v>0</v>
      </c>
      <c r="O162" s="4210">
        <f t="shared" si="6"/>
        <v>0</v>
      </c>
    </row>
    <row r="163" spans="1:15" x14ac:dyDescent="0.25">
      <c r="A163" s="1009">
        <f t="shared" si="5"/>
        <v>153527</v>
      </c>
      <c r="B163" s="4174" t="s">
        <v>907</v>
      </c>
      <c r="C163" s="4174" t="s">
        <v>1940</v>
      </c>
      <c r="D163" s="4174">
        <v>1520</v>
      </c>
      <c r="E163" s="4174" t="s">
        <v>350</v>
      </c>
      <c r="F163" s="4173">
        <v>152007</v>
      </c>
      <c r="G163" s="4173" t="s">
        <v>350</v>
      </c>
      <c r="H163" s="4173"/>
      <c r="I163" s="4173">
        <v>0</v>
      </c>
      <c r="J163" s="4173">
        <v>0</v>
      </c>
      <c r="K163" s="4173">
        <v>0</v>
      </c>
      <c r="L163" s="4173">
        <v>0</v>
      </c>
      <c r="M163" s="4173">
        <v>0</v>
      </c>
      <c r="N163" s="4173">
        <v>0</v>
      </c>
      <c r="O163" s="4210">
        <f t="shared" si="6"/>
        <v>0</v>
      </c>
    </row>
    <row r="164" spans="1:15" x14ac:dyDescent="0.25">
      <c r="A164" s="1009">
        <f t="shared" si="5"/>
        <v>212202</v>
      </c>
      <c r="B164" s="4174" t="s">
        <v>962</v>
      </c>
      <c r="C164" s="4174" t="s">
        <v>1939</v>
      </c>
      <c r="D164" s="4174">
        <v>2101</v>
      </c>
      <c r="E164" s="4174" t="s">
        <v>1938</v>
      </c>
      <c r="F164" s="4173">
        <v>210101</v>
      </c>
      <c r="G164" s="4173" t="s">
        <v>350</v>
      </c>
      <c r="H164" s="4173"/>
      <c r="I164" s="4173">
        <v>0</v>
      </c>
      <c r="J164" s="4173">
        <v>0</v>
      </c>
      <c r="K164" s="4173">
        <v>0</v>
      </c>
      <c r="L164" s="4173">
        <v>0</v>
      </c>
      <c r="M164" s="4173">
        <v>0</v>
      </c>
      <c r="N164" s="4173">
        <v>0</v>
      </c>
      <c r="O164" s="4210">
        <f t="shared" si="6"/>
        <v>0</v>
      </c>
    </row>
    <row r="165" spans="1:15" x14ac:dyDescent="0.25">
      <c r="A165" s="1009">
        <f t="shared" si="5"/>
        <v>212303</v>
      </c>
      <c r="B165" s="4174" t="s">
        <v>962</v>
      </c>
      <c r="C165" s="4174" t="s">
        <v>1937</v>
      </c>
      <c r="D165" s="4174">
        <v>2102</v>
      </c>
      <c r="E165" s="4174" t="s">
        <v>1936</v>
      </c>
      <c r="F165" s="4173">
        <v>210201</v>
      </c>
      <c r="G165" s="4173" t="s">
        <v>350</v>
      </c>
      <c r="H165" s="4173"/>
      <c r="I165" s="4173">
        <v>0</v>
      </c>
      <c r="J165" s="4173">
        <v>0</v>
      </c>
      <c r="K165" s="4173">
        <v>0</v>
      </c>
      <c r="L165" s="4173">
        <v>0</v>
      </c>
      <c r="M165" s="4173">
        <v>0</v>
      </c>
      <c r="N165" s="4173">
        <v>0</v>
      </c>
      <c r="O165" s="4210">
        <f t="shared" si="6"/>
        <v>0</v>
      </c>
    </row>
    <row r="166" spans="1:15" x14ac:dyDescent="0.25">
      <c r="A166" s="1009">
        <f t="shared" si="5"/>
        <v>212404</v>
      </c>
      <c r="B166" s="4174" t="s">
        <v>962</v>
      </c>
      <c r="C166" s="4174" t="s">
        <v>1935</v>
      </c>
      <c r="D166" s="4174">
        <v>2103</v>
      </c>
      <c r="E166" s="4174" t="s">
        <v>1934</v>
      </c>
      <c r="F166" s="4173">
        <v>210301</v>
      </c>
      <c r="G166" s="4173" t="s">
        <v>350</v>
      </c>
      <c r="H166" s="4173"/>
      <c r="I166" s="4173">
        <v>0</v>
      </c>
      <c r="J166" s="4173">
        <v>0</v>
      </c>
      <c r="K166" s="4173">
        <v>0</v>
      </c>
      <c r="L166" s="4173">
        <v>0</v>
      </c>
      <c r="M166" s="4173">
        <v>0</v>
      </c>
      <c r="N166" s="4173">
        <v>0</v>
      </c>
      <c r="O166" s="4210">
        <f t="shared" si="6"/>
        <v>0</v>
      </c>
    </row>
    <row r="167" spans="1:15" x14ac:dyDescent="0.25">
      <c r="A167" s="1009">
        <f t="shared" si="5"/>
        <v>212505</v>
      </c>
      <c r="B167" s="4174" t="s">
        <v>962</v>
      </c>
      <c r="C167" s="4174" t="s">
        <v>1933</v>
      </c>
      <c r="D167" s="4174">
        <v>2104</v>
      </c>
      <c r="E167" s="4174" t="s">
        <v>1932</v>
      </c>
      <c r="F167" s="4173">
        <v>210401</v>
      </c>
      <c r="G167" s="4173" t="s">
        <v>350</v>
      </c>
      <c r="H167" s="4173"/>
      <c r="I167" s="4173">
        <v>0</v>
      </c>
      <c r="J167" s="4173">
        <v>0</v>
      </c>
      <c r="K167" s="4173">
        <v>0</v>
      </c>
      <c r="L167" s="4173">
        <v>0</v>
      </c>
      <c r="M167" s="4173">
        <v>0</v>
      </c>
      <c r="N167" s="4173">
        <v>0</v>
      </c>
      <c r="O167" s="4210">
        <f t="shared" si="6"/>
        <v>0</v>
      </c>
    </row>
    <row r="168" spans="1:15" x14ac:dyDescent="0.25">
      <c r="A168" s="1009">
        <f t="shared" si="5"/>
        <v>212606</v>
      </c>
      <c r="B168" s="4174" t="s">
        <v>962</v>
      </c>
      <c r="C168" s="4174" t="s">
        <v>1931</v>
      </c>
      <c r="D168" s="4174">
        <v>2105</v>
      </c>
      <c r="E168" s="4174" t="s">
        <v>1930</v>
      </c>
      <c r="F168" s="4173">
        <v>210501</v>
      </c>
      <c r="G168" s="4173" t="s">
        <v>350</v>
      </c>
      <c r="H168" s="4173"/>
      <c r="I168" s="4173">
        <v>0</v>
      </c>
      <c r="J168" s="4173">
        <v>0</v>
      </c>
      <c r="K168" s="4173">
        <v>0</v>
      </c>
      <c r="L168" s="4173">
        <v>0</v>
      </c>
      <c r="M168" s="4173">
        <v>0</v>
      </c>
      <c r="N168" s="4173">
        <v>0</v>
      </c>
      <c r="O168" s="4210">
        <f t="shared" si="6"/>
        <v>0</v>
      </c>
    </row>
    <row r="169" spans="1:15" x14ac:dyDescent="0.25">
      <c r="A169" s="1009">
        <f t="shared" si="5"/>
        <v>212707</v>
      </c>
      <c r="B169" s="4174" t="s">
        <v>962</v>
      </c>
      <c r="C169" s="4174" t="s">
        <v>1929</v>
      </c>
      <c r="D169" s="4174">
        <v>2106</v>
      </c>
      <c r="E169" s="4174" t="s">
        <v>1928</v>
      </c>
      <c r="F169" s="4173">
        <v>210601</v>
      </c>
      <c r="G169" s="4173" t="s">
        <v>350</v>
      </c>
      <c r="H169" s="4173"/>
      <c r="I169" s="4173">
        <v>0</v>
      </c>
      <c r="J169" s="4173">
        <v>0</v>
      </c>
      <c r="K169" s="4173">
        <v>0</v>
      </c>
      <c r="L169" s="4173">
        <v>0</v>
      </c>
      <c r="M169" s="4173">
        <v>0</v>
      </c>
      <c r="N169" s="4173">
        <v>0</v>
      </c>
      <c r="O169" s="4210">
        <f t="shared" si="6"/>
        <v>0</v>
      </c>
    </row>
    <row r="170" spans="1:15" x14ac:dyDescent="0.25">
      <c r="A170" s="1009">
        <f t="shared" si="5"/>
        <v>242401</v>
      </c>
      <c r="B170" s="4174" t="s">
        <v>625</v>
      </c>
      <c r="C170" s="4174" t="s">
        <v>2750</v>
      </c>
      <c r="D170" s="4174">
        <v>2400</v>
      </c>
      <c r="E170" s="4174" t="s">
        <v>1927</v>
      </c>
      <c r="F170" s="4173">
        <v>240001</v>
      </c>
      <c r="G170" s="4173" t="s">
        <v>1926</v>
      </c>
      <c r="H170" s="4173" t="s">
        <v>350</v>
      </c>
      <c r="I170" s="4173">
        <v>8</v>
      </c>
      <c r="J170" s="4173">
        <v>28565.51</v>
      </c>
      <c r="K170" s="4173">
        <v>985</v>
      </c>
      <c r="L170" s="4173">
        <v>101859.99</v>
      </c>
      <c r="M170" s="4173">
        <v>16834.03</v>
      </c>
      <c r="N170" s="4173">
        <v>26534.959999999999</v>
      </c>
      <c r="O170" s="4210">
        <f t="shared" si="6"/>
        <v>0.41956314318816867</v>
      </c>
    </row>
    <row r="171" spans="1:15" x14ac:dyDescent="0.25">
      <c r="A171" s="1009">
        <f t="shared" si="5"/>
        <v>242403</v>
      </c>
      <c r="B171" s="4174" t="s">
        <v>625</v>
      </c>
      <c r="C171" s="4174" t="s">
        <v>2750</v>
      </c>
      <c r="D171" s="4174">
        <v>2400</v>
      </c>
      <c r="E171" s="4174" t="s">
        <v>1925</v>
      </c>
      <c r="F171" s="4173">
        <v>240003</v>
      </c>
      <c r="G171" s="4173" t="s">
        <v>1924</v>
      </c>
      <c r="H171" s="4173"/>
      <c r="I171" s="4173">
        <v>0</v>
      </c>
      <c r="J171" s="4173">
        <v>0</v>
      </c>
      <c r="K171" s="4173">
        <v>0</v>
      </c>
      <c r="L171" s="4173">
        <v>0</v>
      </c>
      <c r="M171" s="4173">
        <v>0</v>
      </c>
      <c r="N171" s="4173">
        <v>0</v>
      </c>
      <c r="O171" s="4210">
        <f t="shared" si="6"/>
        <v>0</v>
      </c>
    </row>
    <row r="172" spans="1:15" x14ac:dyDescent="0.25">
      <c r="A172" s="1009">
        <f t="shared" si="5"/>
        <v>242502</v>
      </c>
      <c r="B172" s="4174" t="s">
        <v>962</v>
      </c>
      <c r="C172" s="4174" t="s">
        <v>1922</v>
      </c>
      <c r="D172" s="4174">
        <v>2401</v>
      </c>
      <c r="E172" s="4174" t="s">
        <v>1921</v>
      </c>
      <c r="F172" s="4173">
        <v>240101</v>
      </c>
      <c r="G172" s="4173" t="s">
        <v>350</v>
      </c>
      <c r="H172" s="4173"/>
      <c r="I172" s="4173">
        <v>0</v>
      </c>
      <c r="J172" s="4173">
        <v>0</v>
      </c>
      <c r="K172" s="4173">
        <v>0</v>
      </c>
      <c r="L172" s="4173">
        <v>0</v>
      </c>
      <c r="M172" s="4173">
        <v>0</v>
      </c>
      <c r="N172" s="4173">
        <v>0</v>
      </c>
      <c r="O172" s="4210">
        <f t="shared" si="6"/>
        <v>0</v>
      </c>
    </row>
    <row r="173" spans="1:15" x14ac:dyDescent="0.25">
      <c r="A173" s="1009">
        <f t="shared" si="5"/>
        <v>313202</v>
      </c>
      <c r="B173" s="4174" t="s">
        <v>1900</v>
      </c>
      <c r="C173" s="4174" t="s">
        <v>1919</v>
      </c>
      <c r="D173" s="4174">
        <v>3101</v>
      </c>
      <c r="E173" s="4174" t="s">
        <v>2763</v>
      </c>
      <c r="F173" s="4173">
        <v>310101</v>
      </c>
      <c r="G173" s="4173" t="s">
        <v>1903</v>
      </c>
      <c r="H173" s="4173" t="s">
        <v>350</v>
      </c>
      <c r="I173" s="4173">
        <v>0</v>
      </c>
      <c r="J173" s="4173">
        <v>0</v>
      </c>
      <c r="K173" s="4173">
        <v>0</v>
      </c>
      <c r="L173" s="4173">
        <v>0</v>
      </c>
      <c r="M173" s="4173">
        <v>0</v>
      </c>
      <c r="N173" s="4173">
        <v>0</v>
      </c>
      <c r="O173" s="4210">
        <f t="shared" si="6"/>
        <v>0</v>
      </c>
    </row>
    <row r="174" spans="1:15" x14ac:dyDescent="0.25">
      <c r="A174" s="1009">
        <f t="shared" si="5"/>
        <v>313203</v>
      </c>
      <c r="B174" s="4174" t="s">
        <v>1900</v>
      </c>
      <c r="C174" s="4174" t="s">
        <v>1919</v>
      </c>
      <c r="D174" s="4174">
        <v>3101</v>
      </c>
      <c r="E174" s="4174" t="s">
        <v>2786</v>
      </c>
      <c r="F174" s="4173">
        <v>310102</v>
      </c>
      <c r="G174" s="4173" t="s">
        <v>350</v>
      </c>
      <c r="H174" s="4173"/>
      <c r="I174" s="4173">
        <v>0</v>
      </c>
      <c r="J174" s="4173">
        <v>0</v>
      </c>
      <c r="K174" s="4173">
        <v>0</v>
      </c>
      <c r="L174" s="4173">
        <v>0</v>
      </c>
      <c r="M174" s="4173">
        <v>0</v>
      </c>
      <c r="N174" s="4173">
        <v>0</v>
      </c>
      <c r="O174" s="4210">
        <f t="shared" si="6"/>
        <v>0</v>
      </c>
    </row>
    <row r="175" spans="1:15" x14ac:dyDescent="0.25">
      <c r="A175" s="1009">
        <f t="shared" si="5"/>
        <v>313204</v>
      </c>
      <c r="B175" s="4174" t="s">
        <v>1900</v>
      </c>
      <c r="C175" s="4174" t="s">
        <v>1919</v>
      </c>
      <c r="D175" s="4174">
        <v>3101</v>
      </c>
      <c r="E175" s="4174" t="s">
        <v>1920</v>
      </c>
      <c r="F175" s="4173">
        <v>310103</v>
      </c>
      <c r="G175" s="4173" t="s">
        <v>1903</v>
      </c>
      <c r="H175" s="4173" t="s">
        <v>350</v>
      </c>
      <c r="I175" s="4173">
        <v>0</v>
      </c>
      <c r="J175" s="4173">
        <v>0</v>
      </c>
      <c r="K175" s="4173">
        <v>0</v>
      </c>
      <c r="L175" s="4173">
        <v>0</v>
      </c>
      <c r="M175" s="4173">
        <v>0</v>
      </c>
      <c r="N175" s="4173">
        <v>0</v>
      </c>
      <c r="O175" s="4210">
        <f t="shared" si="6"/>
        <v>0</v>
      </c>
    </row>
    <row r="176" spans="1:15" x14ac:dyDescent="0.25">
      <c r="A176" s="1009">
        <f t="shared" si="5"/>
        <v>313303</v>
      </c>
      <c r="B176" s="4174" t="s">
        <v>1900</v>
      </c>
      <c r="C176" s="4174" t="s">
        <v>1915</v>
      </c>
      <c r="D176" s="4174">
        <v>3102</v>
      </c>
      <c r="E176" s="4174" t="s">
        <v>1917</v>
      </c>
      <c r="F176" s="4173">
        <v>310201</v>
      </c>
      <c r="G176" s="4173" t="s">
        <v>1903</v>
      </c>
      <c r="H176" s="4173" t="s">
        <v>350</v>
      </c>
      <c r="I176" s="4173">
        <v>0</v>
      </c>
      <c r="J176" s="4173">
        <v>0</v>
      </c>
      <c r="K176" s="4173">
        <v>0</v>
      </c>
      <c r="L176" s="4173">
        <v>0</v>
      </c>
      <c r="M176" s="4173">
        <v>0</v>
      </c>
      <c r="N176" s="4173">
        <v>0</v>
      </c>
      <c r="O176" s="4210">
        <f t="shared" si="6"/>
        <v>0</v>
      </c>
    </row>
    <row r="177" spans="1:17" x14ac:dyDescent="0.25">
      <c r="A177" s="1009">
        <f t="shared" si="5"/>
        <v>313304</v>
      </c>
      <c r="B177" s="4174" t="s">
        <v>1900</v>
      </c>
      <c r="C177" s="4174" t="s">
        <v>1915</v>
      </c>
      <c r="D177" s="4174">
        <v>3102</v>
      </c>
      <c r="E177" s="4174" t="s">
        <v>1916</v>
      </c>
      <c r="F177" s="4173">
        <v>310202</v>
      </c>
      <c r="G177" s="4173" t="s">
        <v>1903</v>
      </c>
      <c r="H177" s="4173" t="s">
        <v>350</v>
      </c>
      <c r="I177" s="4173">
        <v>0</v>
      </c>
      <c r="J177" s="4173">
        <v>0</v>
      </c>
      <c r="K177" s="4173">
        <v>0</v>
      </c>
      <c r="L177" s="4173">
        <v>0</v>
      </c>
      <c r="M177" s="4173">
        <v>0</v>
      </c>
      <c r="N177" s="4173">
        <v>0</v>
      </c>
      <c r="O177" s="4210">
        <f t="shared" si="6"/>
        <v>0</v>
      </c>
    </row>
    <row r="178" spans="1:17" x14ac:dyDescent="0.25">
      <c r="A178" s="1009">
        <f t="shared" si="5"/>
        <v>313404</v>
      </c>
      <c r="B178" s="4174" t="s">
        <v>1900</v>
      </c>
      <c r="C178" s="4174" t="s">
        <v>1911</v>
      </c>
      <c r="D178" s="4174">
        <v>3103</v>
      </c>
      <c r="E178" s="4174" t="s">
        <v>1913</v>
      </c>
      <c r="F178" s="4173">
        <v>310301</v>
      </c>
      <c r="G178" s="4173" t="s">
        <v>1903</v>
      </c>
      <c r="H178" s="4173" t="s">
        <v>350</v>
      </c>
      <c r="I178" s="4173">
        <v>0</v>
      </c>
      <c r="J178" s="4173">
        <v>0</v>
      </c>
      <c r="K178" s="4173">
        <v>0</v>
      </c>
      <c r="L178" s="4173">
        <v>0</v>
      </c>
      <c r="M178" s="4173">
        <v>0</v>
      </c>
      <c r="N178" s="4173">
        <v>0</v>
      </c>
      <c r="O178" s="4210">
        <f t="shared" si="6"/>
        <v>0</v>
      </c>
    </row>
    <row r="179" spans="1:17" x14ac:dyDescent="0.25">
      <c r="A179" s="1009">
        <f t="shared" si="5"/>
        <v>313405</v>
      </c>
      <c r="B179" s="4174" t="s">
        <v>1900</v>
      </c>
      <c r="C179" s="4174" t="s">
        <v>1911</v>
      </c>
      <c r="D179" s="4174">
        <v>3103</v>
      </c>
      <c r="E179" s="4174" t="s">
        <v>1912</v>
      </c>
      <c r="F179" s="4173">
        <v>310302</v>
      </c>
      <c r="G179" s="4173" t="s">
        <v>1903</v>
      </c>
      <c r="H179" s="4173" t="s">
        <v>350</v>
      </c>
      <c r="I179" s="4173">
        <v>0</v>
      </c>
      <c r="J179" s="4173">
        <v>0</v>
      </c>
      <c r="K179" s="4173">
        <v>0</v>
      </c>
      <c r="L179" s="4173">
        <v>0</v>
      </c>
      <c r="M179" s="4173">
        <v>0</v>
      </c>
      <c r="N179" s="4173">
        <v>0</v>
      </c>
      <c r="O179" s="4210">
        <f t="shared" si="6"/>
        <v>0</v>
      </c>
    </row>
    <row r="180" spans="1:17" x14ac:dyDescent="0.25">
      <c r="A180" s="1009">
        <f t="shared" si="5"/>
        <v>313506</v>
      </c>
      <c r="B180" s="4174" t="s">
        <v>1900</v>
      </c>
      <c r="C180" s="4174" t="s">
        <v>1908</v>
      </c>
      <c r="D180" s="4174">
        <v>3104</v>
      </c>
      <c r="E180" s="4174" t="s">
        <v>1909</v>
      </c>
      <c r="F180" s="4173">
        <v>310402</v>
      </c>
      <c r="G180" s="4173" t="s">
        <v>1903</v>
      </c>
      <c r="H180" s="4173"/>
      <c r="I180" s="4173">
        <v>0</v>
      </c>
      <c r="J180" s="4173">
        <v>0</v>
      </c>
      <c r="K180" s="4173">
        <v>0</v>
      </c>
      <c r="L180" s="4173">
        <v>0</v>
      </c>
      <c r="M180" s="4173">
        <v>0</v>
      </c>
      <c r="N180" s="4173">
        <v>0</v>
      </c>
      <c r="O180" s="4210">
        <f t="shared" si="6"/>
        <v>0</v>
      </c>
    </row>
    <row r="181" spans="1:17" x14ac:dyDescent="0.25">
      <c r="A181" s="1009">
        <f t="shared" si="5"/>
        <v>313507</v>
      </c>
      <c r="B181" s="4174" t="s">
        <v>1900</v>
      </c>
      <c r="C181" s="4174" t="s">
        <v>1908</v>
      </c>
      <c r="D181" s="4174">
        <v>3104</v>
      </c>
      <c r="E181" s="4174" t="s">
        <v>1907</v>
      </c>
      <c r="F181" s="4173">
        <v>310403</v>
      </c>
      <c r="G181" s="4173" t="s">
        <v>1906</v>
      </c>
      <c r="H181" s="4173"/>
      <c r="I181" s="4173">
        <v>0</v>
      </c>
      <c r="J181" s="4173">
        <v>0</v>
      </c>
      <c r="K181" s="4173">
        <v>0</v>
      </c>
      <c r="L181" s="4173">
        <v>0</v>
      </c>
      <c r="M181" s="4173">
        <v>0</v>
      </c>
      <c r="N181" s="4173">
        <v>0</v>
      </c>
      <c r="O181" s="4210">
        <f t="shared" si="6"/>
        <v>0</v>
      </c>
    </row>
    <row r="182" spans="1:17" x14ac:dyDescent="0.25">
      <c r="A182" s="1009">
        <f t="shared" si="5"/>
        <v>313606</v>
      </c>
      <c r="B182" s="4174" t="s">
        <v>1900</v>
      </c>
      <c r="C182" s="4174" t="s">
        <v>1905</v>
      </c>
      <c r="D182" s="4174">
        <v>3105</v>
      </c>
      <c r="E182" s="4174" t="s">
        <v>1879</v>
      </c>
      <c r="F182" s="4173">
        <v>310501</v>
      </c>
      <c r="G182" s="4173" t="s">
        <v>350</v>
      </c>
      <c r="H182" s="4173"/>
      <c r="I182" s="4173">
        <v>0</v>
      </c>
      <c r="J182" s="4173">
        <v>0</v>
      </c>
      <c r="K182" s="4173">
        <v>0</v>
      </c>
      <c r="L182" s="4173">
        <v>0</v>
      </c>
      <c r="M182" s="4173">
        <v>0</v>
      </c>
      <c r="N182" s="4173">
        <v>0</v>
      </c>
      <c r="O182" s="4210">
        <f t="shared" si="6"/>
        <v>0</v>
      </c>
    </row>
    <row r="183" spans="1:17" s="1750" customFormat="1" x14ac:dyDescent="0.25">
      <c r="A183" s="2848">
        <f t="shared" si="5"/>
        <v>313707</v>
      </c>
      <c r="B183" s="4174" t="s">
        <v>1900</v>
      </c>
      <c r="C183" s="4174" t="s">
        <v>1919</v>
      </c>
      <c r="D183" s="4174">
        <v>3106</v>
      </c>
      <c r="E183" s="4174" t="s">
        <v>1918</v>
      </c>
      <c r="F183" s="4173">
        <v>310601</v>
      </c>
      <c r="G183" s="4173" t="s">
        <v>350</v>
      </c>
      <c r="H183" s="4173" t="s">
        <v>1906</v>
      </c>
      <c r="I183" s="4173">
        <v>0</v>
      </c>
      <c r="J183" s="4173">
        <v>0</v>
      </c>
      <c r="K183" s="4173">
        <v>0</v>
      </c>
      <c r="L183" s="4173">
        <v>0</v>
      </c>
      <c r="M183" s="4173">
        <v>0</v>
      </c>
      <c r="N183" s="4173">
        <v>0</v>
      </c>
      <c r="O183" s="4210">
        <f t="shared" si="6"/>
        <v>0</v>
      </c>
      <c r="P183" s="2849" t="s">
        <v>4751</v>
      </c>
    </row>
    <row r="184" spans="1:17" s="1750" customFormat="1" x14ac:dyDescent="0.25">
      <c r="A184" s="2848">
        <f t="shared" si="5"/>
        <v>313808</v>
      </c>
      <c r="B184" s="4174" t="s">
        <v>1900</v>
      </c>
      <c r="C184" s="4174" t="s">
        <v>2888</v>
      </c>
      <c r="D184" s="4174">
        <v>3107</v>
      </c>
      <c r="E184" s="4174" t="s">
        <v>1914</v>
      </c>
      <c r="F184" s="4173">
        <v>310701</v>
      </c>
      <c r="G184" s="4173" t="s">
        <v>350</v>
      </c>
      <c r="H184" s="4173" t="s">
        <v>1906</v>
      </c>
      <c r="I184" s="4173">
        <v>0</v>
      </c>
      <c r="J184" s="4173">
        <v>0</v>
      </c>
      <c r="K184" s="4173">
        <v>0</v>
      </c>
      <c r="L184" s="4173">
        <v>0</v>
      </c>
      <c r="M184" s="4173">
        <v>0</v>
      </c>
      <c r="N184" s="4173">
        <v>0</v>
      </c>
      <c r="O184" s="4210">
        <f t="shared" si="6"/>
        <v>0</v>
      </c>
      <c r="P184" s="2849" t="s">
        <v>4752</v>
      </c>
    </row>
    <row r="185" spans="1:17" x14ac:dyDescent="0.25">
      <c r="A185" s="1009">
        <f t="shared" si="5"/>
        <v>314216</v>
      </c>
      <c r="B185" s="4174" t="s">
        <v>1900</v>
      </c>
      <c r="C185" s="4174" t="s">
        <v>1902</v>
      </c>
      <c r="D185" s="4174">
        <v>3111</v>
      </c>
      <c r="E185" s="4174" t="s">
        <v>1904</v>
      </c>
      <c r="F185" s="4173">
        <v>311105</v>
      </c>
      <c r="G185" s="4173" t="s">
        <v>1903</v>
      </c>
      <c r="H185" s="4173"/>
      <c r="I185" s="4173">
        <v>0</v>
      </c>
      <c r="J185" s="4173">
        <v>0</v>
      </c>
      <c r="K185" s="4173">
        <v>0</v>
      </c>
      <c r="L185" s="4173">
        <v>0</v>
      </c>
      <c r="M185" s="4173">
        <v>0</v>
      </c>
      <c r="N185" s="4173">
        <v>0</v>
      </c>
      <c r="O185" s="4210">
        <f t="shared" si="6"/>
        <v>0</v>
      </c>
    </row>
    <row r="186" spans="1:17" x14ac:dyDescent="0.25">
      <c r="A186" s="1009">
        <f t="shared" si="5"/>
        <v>314217</v>
      </c>
      <c r="B186" s="4174" t="s">
        <v>1900</v>
      </c>
      <c r="C186" s="4174" t="s">
        <v>1902</v>
      </c>
      <c r="D186" s="4174">
        <v>3111</v>
      </c>
      <c r="E186" s="4174" t="s">
        <v>1901</v>
      </c>
      <c r="F186" s="4173">
        <v>311106</v>
      </c>
      <c r="G186" s="4173" t="s">
        <v>350</v>
      </c>
      <c r="H186" s="4173"/>
      <c r="I186" s="4173">
        <v>0</v>
      </c>
      <c r="J186" s="4173">
        <v>0</v>
      </c>
      <c r="K186" s="4173">
        <v>0</v>
      </c>
      <c r="L186" s="4173">
        <v>0</v>
      </c>
      <c r="M186" s="4173">
        <v>0</v>
      </c>
      <c r="N186" s="4173">
        <v>0</v>
      </c>
      <c r="O186" s="4210">
        <f t="shared" si="6"/>
        <v>0</v>
      </c>
    </row>
    <row r="187" spans="1:17" x14ac:dyDescent="0.25">
      <c r="A187" s="1009">
        <f t="shared" si="5"/>
        <v>314313</v>
      </c>
      <c r="B187" s="4174" t="s">
        <v>1900</v>
      </c>
      <c r="C187" s="4174" t="s">
        <v>1899</v>
      </c>
      <c r="D187" s="4174">
        <v>3112</v>
      </c>
      <c r="E187" s="4174" t="s">
        <v>1898</v>
      </c>
      <c r="F187" s="4173">
        <v>311201</v>
      </c>
      <c r="G187" s="4173" t="s">
        <v>350</v>
      </c>
      <c r="H187" s="4173"/>
      <c r="I187" s="4173">
        <v>0</v>
      </c>
      <c r="J187" s="4173">
        <v>0</v>
      </c>
      <c r="K187" s="4173">
        <v>0</v>
      </c>
      <c r="L187" s="4173">
        <v>0</v>
      </c>
      <c r="M187" s="4173">
        <v>0</v>
      </c>
      <c r="N187" s="4173">
        <v>0</v>
      </c>
      <c r="O187" s="4210">
        <f t="shared" si="6"/>
        <v>0</v>
      </c>
    </row>
    <row r="188" spans="1:17" x14ac:dyDescent="0.25">
      <c r="A188" s="1009">
        <f t="shared" si="5"/>
        <v>323302</v>
      </c>
      <c r="B188" s="4174" t="s">
        <v>1878</v>
      </c>
      <c r="C188" s="4174" t="s">
        <v>2887</v>
      </c>
      <c r="D188" s="4174">
        <v>3201</v>
      </c>
      <c r="E188" s="4174" t="s">
        <v>2779</v>
      </c>
      <c r="F188" s="4173">
        <v>320101</v>
      </c>
      <c r="G188" s="4173" t="s">
        <v>350</v>
      </c>
      <c r="H188" s="4173"/>
      <c r="I188" s="4173">
        <v>0</v>
      </c>
      <c r="J188" s="4173">
        <v>0</v>
      </c>
      <c r="K188" s="4173">
        <v>0</v>
      </c>
      <c r="L188" s="4173">
        <v>0</v>
      </c>
      <c r="M188" s="4173">
        <v>0</v>
      </c>
      <c r="N188" s="4173">
        <v>0</v>
      </c>
      <c r="O188" s="4210">
        <f t="shared" si="6"/>
        <v>0</v>
      </c>
      <c r="Q188" s="860"/>
    </row>
    <row r="189" spans="1:17" x14ac:dyDescent="0.25">
      <c r="A189" s="1009">
        <f t="shared" si="5"/>
        <v>323403</v>
      </c>
      <c r="B189" s="4174" t="s">
        <v>1878</v>
      </c>
      <c r="C189" s="4174" t="s">
        <v>1896</v>
      </c>
      <c r="D189" s="4174">
        <v>3202</v>
      </c>
      <c r="E189" s="4174" t="s">
        <v>2779</v>
      </c>
      <c r="F189" s="4173">
        <v>320201</v>
      </c>
      <c r="G189" s="4173" t="s">
        <v>350</v>
      </c>
      <c r="H189" s="4173"/>
      <c r="I189" s="4173">
        <v>0</v>
      </c>
      <c r="J189" s="4173">
        <v>0</v>
      </c>
      <c r="K189" s="4173">
        <v>0</v>
      </c>
      <c r="L189" s="4173">
        <v>0</v>
      </c>
      <c r="M189" s="4173">
        <v>0</v>
      </c>
      <c r="N189" s="4173">
        <v>0</v>
      </c>
      <c r="O189" s="4210">
        <f t="shared" si="6"/>
        <v>0</v>
      </c>
    </row>
    <row r="190" spans="1:17" x14ac:dyDescent="0.25">
      <c r="A190" s="1009">
        <f t="shared" si="5"/>
        <v>323605</v>
      </c>
      <c r="B190" s="4174" t="s">
        <v>1878</v>
      </c>
      <c r="C190" s="4174" t="s">
        <v>1893</v>
      </c>
      <c r="D190" s="4174">
        <v>3204</v>
      </c>
      <c r="E190" s="4174" t="s">
        <v>2777</v>
      </c>
      <c r="F190" s="4173">
        <v>320401</v>
      </c>
      <c r="G190" s="4173" t="s">
        <v>350</v>
      </c>
      <c r="H190" s="4173"/>
      <c r="I190" s="4173">
        <v>0</v>
      </c>
      <c r="J190" s="4173">
        <v>0</v>
      </c>
      <c r="K190" s="4173">
        <v>0</v>
      </c>
      <c r="L190" s="4173">
        <v>0</v>
      </c>
      <c r="M190" s="4173">
        <v>0</v>
      </c>
      <c r="N190" s="4173">
        <v>0</v>
      </c>
      <c r="O190" s="4210">
        <f t="shared" si="6"/>
        <v>0</v>
      </c>
    </row>
    <row r="191" spans="1:17" s="1750" customFormat="1" x14ac:dyDescent="0.25">
      <c r="A191" s="2848">
        <f t="shared" si="5"/>
        <v>323706</v>
      </c>
      <c r="B191" s="4174" t="s">
        <v>1878</v>
      </c>
      <c r="C191" s="4174" t="s">
        <v>4264</v>
      </c>
      <c r="D191" s="4174">
        <v>3205</v>
      </c>
      <c r="E191" s="4174" t="s">
        <v>2779</v>
      </c>
      <c r="F191" s="4173">
        <v>320501</v>
      </c>
      <c r="G191" s="4173" t="s">
        <v>350</v>
      </c>
      <c r="H191" s="4173"/>
      <c r="I191" s="4173">
        <v>0</v>
      </c>
      <c r="J191" s="4173">
        <v>0</v>
      </c>
      <c r="K191" s="4173">
        <v>0</v>
      </c>
      <c r="L191" s="4173">
        <v>0</v>
      </c>
      <c r="M191" s="4173">
        <v>0</v>
      </c>
      <c r="N191" s="4173">
        <v>0</v>
      </c>
      <c r="O191" s="4210">
        <f t="shared" si="6"/>
        <v>0</v>
      </c>
    </row>
    <row r="192" spans="1:17" x14ac:dyDescent="0.25">
      <c r="A192" s="1009">
        <f t="shared" si="5"/>
        <v>326231</v>
      </c>
      <c r="B192" s="4174" t="s">
        <v>1878</v>
      </c>
      <c r="C192" s="4174" t="s">
        <v>1892</v>
      </c>
      <c r="D192" s="4174">
        <v>3230</v>
      </c>
      <c r="E192" s="4174" t="s">
        <v>1891</v>
      </c>
      <c r="F192" s="4173">
        <v>323001</v>
      </c>
      <c r="G192" s="4173" t="s">
        <v>350</v>
      </c>
      <c r="H192" s="4173"/>
      <c r="I192" s="4173">
        <v>0</v>
      </c>
      <c r="J192" s="4173">
        <v>0</v>
      </c>
      <c r="K192" s="4173">
        <v>0</v>
      </c>
      <c r="L192" s="4173">
        <v>0</v>
      </c>
      <c r="M192" s="4173">
        <v>0</v>
      </c>
      <c r="N192" s="4173">
        <v>0</v>
      </c>
      <c r="O192" s="4210">
        <f t="shared" si="6"/>
        <v>0</v>
      </c>
    </row>
    <row r="193" spans="1:15" x14ac:dyDescent="0.25">
      <c r="A193" s="1009">
        <f t="shared" si="5"/>
        <v>326433</v>
      </c>
      <c r="B193" s="4174" t="s">
        <v>1878</v>
      </c>
      <c r="C193" s="4174" t="s">
        <v>1890</v>
      </c>
      <c r="D193" s="4174">
        <v>3232</v>
      </c>
      <c r="E193" s="4174" t="s">
        <v>1889</v>
      </c>
      <c r="F193" s="4173">
        <v>323201</v>
      </c>
      <c r="G193" s="4173" t="s">
        <v>350</v>
      </c>
      <c r="H193" s="4173"/>
      <c r="I193" s="4173">
        <v>0</v>
      </c>
      <c r="J193" s="4173">
        <v>0</v>
      </c>
      <c r="K193" s="4173">
        <v>0</v>
      </c>
      <c r="L193" s="4173">
        <v>0</v>
      </c>
      <c r="M193" s="4173">
        <v>0</v>
      </c>
      <c r="N193" s="4173">
        <v>0</v>
      </c>
      <c r="O193" s="4210">
        <f t="shared" si="6"/>
        <v>0</v>
      </c>
    </row>
    <row r="194" spans="1:15" x14ac:dyDescent="0.25">
      <c r="A194" s="1009">
        <f t="shared" si="5"/>
        <v>326736</v>
      </c>
      <c r="B194" s="4174" t="s">
        <v>1878</v>
      </c>
      <c r="C194" s="4174" t="s">
        <v>1888</v>
      </c>
      <c r="D194" s="4174">
        <v>3235</v>
      </c>
      <c r="E194" s="4174" t="s">
        <v>1887</v>
      </c>
      <c r="F194" s="4173">
        <v>323501</v>
      </c>
      <c r="G194" s="4173" t="s">
        <v>350</v>
      </c>
      <c r="H194" s="4173"/>
      <c r="I194" s="4173">
        <v>0</v>
      </c>
      <c r="J194" s="4173">
        <v>0</v>
      </c>
      <c r="K194" s="4173">
        <v>0</v>
      </c>
      <c r="L194" s="4173">
        <v>0</v>
      </c>
      <c r="M194" s="4173">
        <v>0</v>
      </c>
      <c r="N194" s="4173">
        <v>0</v>
      </c>
      <c r="O194" s="4210">
        <f t="shared" si="6"/>
        <v>0</v>
      </c>
    </row>
    <row r="195" spans="1:15" x14ac:dyDescent="0.25">
      <c r="A195" s="1009">
        <f t="shared" si="5"/>
        <v>327241</v>
      </c>
      <c r="B195" s="4174" t="s">
        <v>1878</v>
      </c>
      <c r="C195" s="4174" t="s">
        <v>1886</v>
      </c>
      <c r="D195" s="4174">
        <v>3240</v>
      </c>
      <c r="E195" s="4174" t="s">
        <v>1885</v>
      </c>
      <c r="F195" s="4173">
        <v>324001</v>
      </c>
      <c r="G195" s="4173" t="s">
        <v>350</v>
      </c>
      <c r="H195" s="4173"/>
      <c r="I195" s="4173">
        <v>0</v>
      </c>
      <c r="J195" s="4173">
        <v>0</v>
      </c>
      <c r="K195" s="4173">
        <v>0</v>
      </c>
      <c r="L195" s="4173">
        <v>0</v>
      </c>
      <c r="M195" s="4173">
        <v>0</v>
      </c>
      <c r="N195" s="4173">
        <v>0</v>
      </c>
      <c r="O195" s="4210">
        <f t="shared" si="6"/>
        <v>0</v>
      </c>
    </row>
    <row r="196" spans="1:15" x14ac:dyDescent="0.25">
      <c r="A196" s="1009">
        <f t="shared" ref="A196:A209" si="7">D196+F196</f>
        <v>327746</v>
      </c>
      <c r="B196" s="4174" t="s">
        <v>1878</v>
      </c>
      <c r="C196" s="4174" t="s">
        <v>1884</v>
      </c>
      <c r="D196" s="4174">
        <v>3245</v>
      </c>
      <c r="E196" s="4174" t="s">
        <v>1883</v>
      </c>
      <c r="F196" s="4173">
        <v>324501</v>
      </c>
      <c r="G196" s="4173" t="s">
        <v>350</v>
      </c>
      <c r="H196" s="4173"/>
      <c r="I196" s="4173">
        <v>0</v>
      </c>
      <c r="J196" s="4173">
        <v>0</v>
      </c>
      <c r="K196" s="4173">
        <v>0</v>
      </c>
      <c r="L196" s="4173">
        <v>0</v>
      </c>
      <c r="M196" s="4173">
        <v>0</v>
      </c>
      <c r="N196" s="4173">
        <v>0</v>
      </c>
      <c r="O196" s="4210">
        <f t="shared" ref="O196:O211" si="8">K196/K$211</f>
        <v>0</v>
      </c>
    </row>
    <row r="197" spans="1:15" x14ac:dyDescent="0.25">
      <c r="A197" s="1009">
        <f t="shared" si="7"/>
        <v>328857</v>
      </c>
      <c r="B197" s="4174" t="s">
        <v>1878</v>
      </c>
      <c r="C197" s="4174" t="s">
        <v>4265</v>
      </c>
      <c r="D197" s="4174">
        <v>3256</v>
      </c>
      <c r="E197" s="4174" t="s">
        <v>1882</v>
      </c>
      <c r="F197" s="4173">
        <v>325601</v>
      </c>
      <c r="G197" s="4173" t="s">
        <v>350</v>
      </c>
      <c r="H197" s="4173"/>
      <c r="I197" s="4173">
        <v>0</v>
      </c>
      <c r="J197" s="4173">
        <v>0</v>
      </c>
      <c r="K197" s="4173">
        <v>0</v>
      </c>
      <c r="L197" s="4173">
        <v>0</v>
      </c>
      <c r="M197" s="4173">
        <v>0</v>
      </c>
      <c r="N197" s="4173">
        <v>0</v>
      </c>
      <c r="O197" s="4210">
        <f t="shared" si="8"/>
        <v>0</v>
      </c>
    </row>
    <row r="198" spans="1:15" x14ac:dyDescent="0.25">
      <c r="A198" s="1009">
        <f t="shared" si="7"/>
        <v>331382</v>
      </c>
      <c r="B198" s="4174" t="s">
        <v>1878</v>
      </c>
      <c r="C198" s="4174" t="s">
        <v>1881</v>
      </c>
      <c r="D198" s="4174">
        <v>3281</v>
      </c>
      <c r="E198" s="4174" t="s">
        <v>1881</v>
      </c>
      <c r="F198" s="4173">
        <v>328101</v>
      </c>
      <c r="G198" s="4173" t="s">
        <v>350</v>
      </c>
      <c r="H198" s="4173"/>
      <c r="I198" s="4173">
        <v>0</v>
      </c>
      <c r="J198" s="4173">
        <v>0</v>
      </c>
      <c r="K198" s="4173">
        <v>0</v>
      </c>
      <c r="L198" s="4173">
        <v>0</v>
      </c>
      <c r="M198" s="4173">
        <v>0</v>
      </c>
      <c r="N198" s="4173">
        <v>0</v>
      </c>
      <c r="O198" s="4210">
        <f t="shared" si="8"/>
        <v>0</v>
      </c>
    </row>
    <row r="199" spans="1:15" x14ac:dyDescent="0.25">
      <c r="A199" s="1009">
        <f t="shared" si="7"/>
        <v>332291</v>
      </c>
      <c r="B199" s="4174" t="s">
        <v>1878</v>
      </c>
      <c r="C199" s="4174" t="s">
        <v>1880</v>
      </c>
      <c r="D199" s="4174">
        <v>3290</v>
      </c>
      <c r="E199" s="4174" t="s">
        <v>1879</v>
      </c>
      <c r="F199" s="4173">
        <v>329001</v>
      </c>
      <c r="G199" s="4173" t="s">
        <v>350</v>
      </c>
      <c r="H199" s="4173"/>
      <c r="I199" s="4173">
        <v>0</v>
      </c>
      <c r="J199" s="4173">
        <v>0</v>
      </c>
      <c r="K199" s="4173">
        <v>0</v>
      </c>
      <c r="L199" s="4173">
        <v>0</v>
      </c>
      <c r="M199" s="4173">
        <v>0</v>
      </c>
      <c r="N199" s="4173">
        <v>0</v>
      </c>
      <c r="O199" s="4210">
        <f t="shared" si="8"/>
        <v>0</v>
      </c>
    </row>
    <row r="200" spans="1:15" x14ac:dyDescent="0.25">
      <c r="A200" s="1009">
        <f t="shared" si="7"/>
        <v>332796</v>
      </c>
      <c r="B200" s="4174" t="s">
        <v>1878</v>
      </c>
      <c r="C200" s="4174" t="s">
        <v>1877</v>
      </c>
      <c r="D200" s="4174">
        <v>3295</v>
      </c>
      <c r="E200" s="4174" t="s">
        <v>1876</v>
      </c>
      <c r="F200" s="4173">
        <v>329501</v>
      </c>
      <c r="G200" s="4173" t="s">
        <v>350</v>
      </c>
      <c r="H200" s="4173"/>
      <c r="I200" s="4173">
        <v>0</v>
      </c>
      <c r="J200" s="4173">
        <v>0</v>
      </c>
      <c r="K200" s="4173">
        <v>0</v>
      </c>
      <c r="L200" s="4173">
        <v>0</v>
      </c>
      <c r="M200" s="4173">
        <v>0</v>
      </c>
      <c r="N200" s="4173">
        <v>0</v>
      </c>
      <c r="O200" s="4210">
        <f t="shared" si="8"/>
        <v>0</v>
      </c>
    </row>
    <row r="201" spans="1:15" x14ac:dyDescent="0.25">
      <c r="A201" s="1009">
        <f t="shared" si="7"/>
        <v>333402</v>
      </c>
      <c r="B201" s="4174" t="s">
        <v>1874</v>
      </c>
      <c r="C201" s="4174" t="s">
        <v>1875</v>
      </c>
      <c r="D201" s="4174">
        <v>3301</v>
      </c>
      <c r="E201" s="4174" t="s">
        <v>1875</v>
      </c>
      <c r="F201" s="4173">
        <v>330101</v>
      </c>
      <c r="G201" s="4173" t="s">
        <v>350</v>
      </c>
      <c r="H201" s="4173"/>
      <c r="I201" s="4173">
        <v>0</v>
      </c>
      <c r="J201" s="4173">
        <v>0</v>
      </c>
      <c r="K201" s="4173">
        <v>0</v>
      </c>
      <c r="L201" s="4173">
        <v>0</v>
      </c>
      <c r="M201" s="4173">
        <v>0</v>
      </c>
      <c r="N201" s="4173">
        <v>0</v>
      </c>
      <c r="O201" s="4210">
        <f t="shared" si="8"/>
        <v>0</v>
      </c>
    </row>
    <row r="202" spans="1:15" x14ac:dyDescent="0.25">
      <c r="A202" s="1009">
        <f t="shared" si="7"/>
        <v>333503</v>
      </c>
      <c r="B202" s="4174" t="s">
        <v>1874</v>
      </c>
      <c r="C202" s="4174" t="s">
        <v>1873</v>
      </c>
      <c r="D202" s="4174">
        <v>3302</v>
      </c>
      <c r="E202" s="4174" t="s">
        <v>1873</v>
      </c>
      <c r="F202" s="4173">
        <v>330201</v>
      </c>
      <c r="G202" s="4173" t="s">
        <v>350</v>
      </c>
      <c r="H202" s="4173"/>
      <c r="I202" s="4173">
        <v>0</v>
      </c>
      <c r="J202" s="4173">
        <v>0</v>
      </c>
      <c r="K202" s="4173">
        <v>0</v>
      </c>
      <c r="L202" s="4173">
        <v>0</v>
      </c>
      <c r="M202" s="4173">
        <v>0</v>
      </c>
      <c r="N202" s="4173">
        <v>0</v>
      </c>
      <c r="O202" s="4210">
        <f t="shared" si="8"/>
        <v>0</v>
      </c>
    </row>
    <row r="203" spans="1:15" x14ac:dyDescent="0.25">
      <c r="A203" s="1009">
        <f t="shared" si="7"/>
        <v>343401</v>
      </c>
      <c r="B203" s="4174" t="s">
        <v>1838</v>
      </c>
      <c r="C203" s="4174" t="s">
        <v>1872</v>
      </c>
      <c r="D203" s="4174">
        <v>3400</v>
      </c>
      <c r="E203" s="4174" t="s">
        <v>1872</v>
      </c>
      <c r="F203" s="4173">
        <v>340001</v>
      </c>
      <c r="G203" s="4173" t="s">
        <v>350</v>
      </c>
      <c r="H203" s="4173"/>
      <c r="I203" s="4173">
        <v>0</v>
      </c>
      <c r="J203" s="4173">
        <v>0</v>
      </c>
      <c r="K203" s="4173">
        <v>0</v>
      </c>
      <c r="L203" s="4173">
        <v>0</v>
      </c>
      <c r="M203" s="4173">
        <v>0</v>
      </c>
      <c r="N203" s="4173">
        <v>0</v>
      </c>
      <c r="O203" s="4210">
        <f t="shared" si="8"/>
        <v>0</v>
      </c>
    </row>
    <row r="204" spans="1:15" x14ac:dyDescent="0.25">
      <c r="A204" s="1009">
        <f t="shared" si="7"/>
        <v>353501</v>
      </c>
      <c r="B204" s="4174" t="s">
        <v>1837</v>
      </c>
      <c r="C204" s="4174" t="s">
        <v>1871</v>
      </c>
      <c r="D204" s="4174">
        <v>3500</v>
      </c>
      <c r="E204" s="4174" t="s">
        <v>1871</v>
      </c>
      <c r="F204" s="4173">
        <v>350001</v>
      </c>
      <c r="G204" s="4173" t="s">
        <v>350</v>
      </c>
      <c r="H204" s="4173"/>
      <c r="I204" s="4173">
        <v>0</v>
      </c>
      <c r="J204" s="4173">
        <v>0</v>
      </c>
      <c r="K204" s="4173">
        <v>0</v>
      </c>
      <c r="L204" s="4173">
        <v>0</v>
      </c>
      <c r="M204" s="4173">
        <v>0</v>
      </c>
      <c r="N204" s="4173">
        <v>0</v>
      </c>
      <c r="O204" s="4210">
        <f t="shared" si="8"/>
        <v>0</v>
      </c>
    </row>
    <row r="205" spans="1:15" x14ac:dyDescent="0.25">
      <c r="A205" s="1009">
        <f t="shared" si="7"/>
        <v>454602</v>
      </c>
      <c r="B205" s="4174" t="s">
        <v>662</v>
      </c>
      <c r="C205" s="4174" t="s">
        <v>1869</v>
      </c>
      <c r="D205" s="4174">
        <v>4501</v>
      </c>
      <c r="E205" s="4174" t="s">
        <v>1868</v>
      </c>
      <c r="F205" s="4173">
        <v>450101</v>
      </c>
      <c r="G205" s="4173" t="s">
        <v>350</v>
      </c>
      <c r="H205" s="4173"/>
      <c r="I205" s="4173">
        <v>0</v>
      </c>
      <c r="J205" s="4173">
        <v>0</v>
      </c>
      <c r="K205" s="4173">
        <v>0</v>
      </c>
      <c r="L205" s="4173">
        <v>0</v>
      </c>
      <c r="M205" s="4173">
        <v>0</v>
      </c>
      <c r="N205" s="4173">
        <v>0</v>
      </c>
      <c r="O205" s="4210">
        <f t="shared" si="8"/>
        <v>0</v>
      </c>
    </row>
    <row r="206" spans="1:15" x14ac:dyDescent="0.25">
      <c r="A206" s="1009">
        <f t="shared" si="7"/>
        <v>474802</v>
      </c>
      <c r="B206" s="4174" t="s">
        <v>662</v>
      </c>
      <c r="C206" s="4174" t="s">
        <v>1866</v>
      </c>
      <c r="D206" s="4174">
        <v>4701</v>
      </c>
      <c r="E206" s="4174" t="s">
        <v>1865</v>
      </c>
      <c r="F206" s="4173">
        <v>470101</v>
      </c>
      <c r="G206" s="4173" t="s">
        <v>350</v>
      </c>
      <c r="H206" s="4173"/>
      <c r="I206" s="4173">
        <v>0</v>
      </c>
      <c r="J206" s="4173">
        <v>0</v>
      </c>
      <c r="K206" s="4173">
        <v>0</v>
      </c>
      <c r="L206" s="4173">
        <v>0</v>
      </c>
      <c r="M206" s="4173">
        <v>0</v>
      </c>
      <c r="N206" s="4173">
        <v>0</v>
      </c>
      <c r="O206" s="4210">
        <f t="shared" si="8"/>
        <v>0</v>
      </c>
    </row>
    <row r="207" spans="1:15" x14ac:dyDescent="0.25">
      <c r="A207" s="1009">
        <f t="shared" si="7"/>
        <v>475004</v>
      </c>
      <c r="B207" s="4174" t="s">
        <v>662</v>
      </c>
      <c r="C207" s="4174" t="s">
        <v>1864</v>
      </c>
      <c r="D207" s="4174">
        <v>4703</v>
      </c>
      <c r="E207" s="4174" t="s">
        <v>1863</v>
      </c>
      <c r="F207" s="4173">
        <v>470301</v>
      </c>
      <c r="G207" s="4173" t="s">
        <v>350</v>
      </c>
      <c r="H207" s="4173"/>
      <c r="I207" s="4173">
        <v>0</v>
      </c>
      <c r="J207" s="4173">
        <v>0</v>
      </c>
      <c r="K207" s="4173">
        <v>0</v>
      </c>
      <c r="L207" s="4173">
        <v>0</v>
      </c>
      <c r="M207" s="4173">
        <v>0</v>
      </c>
      <c r="N207" s="4173">
        <v>0</v>
      </c>
      <c r="O207" s="4210">
        <f t="shared" si="8"/>
        <v>0</v>
      </c>
    </row>
    <row r="208" spans="1:15" x14ac:dyDescent="0.25">
      <c r="A208" s="1009">
        <f t="shared" si="7"/>
        <v>475206</v>
      </c>
      <c r="B208" s="4174" t="s">
        <v>662</v>
      </c>
      <c r="C208" s="4174" t="s">
        <v>1862</v>
      </c>
      <c r="D208" s="4174">
        <v>4705</v>
      </c>
      <c r="E208" s="4174" t="s">
        <v>1861</v>
      </c>
      <c r="F208" s="4173">
        <v>470501</v>
      </c>
      <c r="G208" s="4173" t="s">
        <v>350</v>
      </c>
      <c r="H208" s="4173"/>
      <c r="I208" s="4173">
        <v>0</v>
      </c>
      <c r="J208" s="4173">
        <v>0</v>
      </c>
      <c r="K208" s="4173">
        <v>0</v>
      </c>
      <c r="L208" s="4173">
        <v>0</v>
      </c>
      <c r="M208" s="4173">
        <v>0</v>
      </c>
      <c r="N208" s="4173">
        <v>0</v>
      </c>
      <c r="O208" s="4210">
        <f t="shared" si="8"/>
        <v>0</v>
      </c>
    </row>
    <row r="209" spans="1:15" x14ac:dyDescent="0.25">
      <c r="A209" s="1009">
        <f t="shared" si="7"/>
        <v>475307</v>
      </c>
      <c r="B209" s="4174" t="s">
        <v>662</v>
      </c>
      <c r="C209" s="4174" t="s">
        <v>1860</v>
      </c>
      <c r="D209" s="4174">
        <v>4706</v>
      </c>
      <c r="E209" s="4174" t="s">
        <v>1859</v>
      </c>
      <c r="F209" s="4173">
        <v>470601</v>
      </c>
      <c r="G209" s="4173" t="s">
        <v>350</v>
      </c>
      <c r="H209" s="4173"/>
      <c r="I209" s="4173">
        <v>0</v>
      </c>
      <c r="J209" s="4173">
        <v>0</v>
      </c>
      <c r="K209" s="4173">
        <v>0</v>
      </c>
      <c r="L209" s="4173">
        <v>0</v>
      </c>
      <c r="M209" s="4173">
        <v>0</v>
      </c>
      <c r="N209" s="4173">
        <v>0</v>
      </c>
      <c r="O209" s="4210">
        <f t="shared" si="8"/>
        <v>0</v>
      </c>
    </row>
    <row r="210" spans="1:15" x14ac:dyDescent="0.25">
      <c r="A210" s="1009">
        <f>D210+F210</f>
        <v>1002224</v>
      </c>
      <c r="B210" s="4174" t="s">
        <v>1858</v>
      </c>
      <c r="C210" s="4174" t="s">
        <v>2764</v>
      </c>
      <c r="D210" s="4174">
        <v>9923</v>
      </c>
      <c r="E210" s="4174" t="s">
        <v>1857</v>
      </c>
      <c r="F210" s="4173">
        <v>992301</v>
      </c>
      <c r="G210" s="4173" t="s">
        <v>1924</v>
      </c>
      <c r="H210" s="4173"/>
      <c r="I210" s="4173">
        <v>0</v>
      </c>
      <c r="J210" s="4173">
        <v>0</v>
      </c>
      <c r="K210" s="4173">
        <v>0</v>
      </c>
      <c r="L210" s="4173">
        <v>0</v>
      </c>
      <c r="M210" s="4173">
        <v>0</v>
      </c>
      <c r="N210" s="4173">
        <v>0</v>
      </c>
      <c r="O210" s="4210">
        <f t="shared" si="8"/>
        <v>0</v>
      </c>
    </row>
    <row r="211" spans="1:15" x14ac:dyDescent="0.25">
      <c r="A211" s="1009"/>
      <c r="B211" s="4174" t="s">
        <v>4266</v>
      </c>
      <c r="C211" s="4174"/>
      <c r="D211" s="4174"/>
      <c r="E211" s="4174"/>
      <c r="F211" s="4173">
        <f t="shared" ref="F211:N211" si="9">SUM(F3:F210)</f>
        <v>35955010</v>
      </c>
      <c r="G211" s="4173">
        <f t="shared" si="9"/>
        <v>0</v>
      </c>
      <c r="H211" s="4173">
        <f t="shared" si="9"/>
        <v>0</v>
      </c>
      <c r="I211" s="4173">
        <f t="shared" si="9"/>
        <v>180</v>
      </c>
      <c r="J211" s="4173">
        <f t="shared" si="9"/>
        <v>31961.649999999998</v>
      </c>
      <c r="K211" s="4173">
        <f t="shared" si="9"/>
        <v>2347.6800000000003</v>
      </c>
      <c r="L211" s="4173">
        <f t="shared" si="9"/>
        <v>236903.32</v>
      </c>
      <c r="M211" s="4173">
        <f t="shared" si="9"/>
        <v>19851.89</v>
      </c>
      <c r="N211" s="4173">
        <f t="shared" si="9"/>
        <v>46266.039999999994</v>
      </c>
      <c r="O211" s="4210">
        <f t="shared" si="8"/>
        <v>1</v>
      </c>
    </row>
    <row r="213" spans="1:15" x14ac:dyDescent="0.25">
      <c r="I213" s="860"/>
    </row>
  </sheetData>
  <phoneticPr fontId="257" type="noConversion"/>
  <conditionalFormatting sqref="T4:T10">
    <cfRule type="colorScale" priority="1">
      <colorScale>
        <cfvo type="min"/>
        <cfvo type="percentile" val="50"/>
        <cfvo type="max"/>
        <color rgb="FFF8696B"/>
        <color rgb="FFFCFCFF"/>
        <color rgb="FF63BE7B"/>
      </colorScale>
    </cfRule>
  </conditionalFormatting>
  <pageMargins left="0.7" right="0.7" top="0.75" bottom="0.75" header="0.3" footer="0.3"/>
  <pageSetup paperSize="9" orientation="portrait" horizontalDpi="360" verticalDpi="36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1B7CB-9F28-4396-9E4E-054B05E963BB}">
  <sheetPr codeName="Ark154">
    <tabColor theme="3" tint="0.59999389629810485"/>
  </sheetPr>
  <dimension ref="A1:J79"/>
  <sheetViews>
    <sheetView topLeftCell="A37" zoomScaleNormal="100" workbookViewId="0">
      <selection activeCell="I48" sqref="I48:J49"/>
    </sheetView>
  </sheetViews>
  <sheetFormatPr defaultRowHeight="12.75" x14ac:dyDescent="0.2"/>
  <cols>
    <col min="1" max="1" width="3" bestFit="1" customWidth="1"/>
    <col min="2" max="2" width="4.28515625" bestFit="1" customWidth="1"/>
    <col min="3" max="3" width="42.7109375" bestFit="1" customWidth="1"/>
    <col min="4" max="4" width="7.7109375" style="2275" customWidth="1"/>
    <col min="5" max="7" width="9.28515625" style="2275" bestFit="1" customWidth="1"/>
    <col min="8" max="8" width="20.28515625" style="2275" bestFit="1" customWidth="1"/>
  </cols>
  <sheetData>
    <row r="1" spans="1:8" ht="15" x14ac:dyDescent="0.25">
      <c r="A1" s="4181" t="s">
        <v>2163</v>
      </c>
      <c r="B1" s="4181" t="s">
        <v>2162</v>
      </c>
      <c r="C1" s="4181" t="s">
        <v>2161</v>
      </c>
      <c r="D1" s="4176" t="s">
        <v>2160</v>
      </c>
      <c r="E1" s="4176" t="s">
        <v>2159</v>
      </c>
      <c r="F1" s="4176" t="s">
        <v>2158</v>
      </c>
      <c r="G1" s="4176" t="s">
        <v>228</v>
      </c>
      <c r="H1" s="4177" t="s">
        <v>2157</v>
      </c>
    </row>
    <row r="2" spans="1:8" ht="15" x14ac:dyDescent="0.25">
      <c r="A2" s="4182">
        <v>1</v>
      </c>
      <c r="B2" s="4183" t="s">
        <v>2165</v>
      </c>
      <c r="C2" s="4183" t="s">
        <v>2156</v>
      </c>
      <c r="D2" s="4178">
        <v>0</v>
      </c>
      <c r="E2" s="4178">
        <v>0</v>
      </c>
      <c r="F2" s="4178">
        <v>6.37</v>
      </c>
      <c r="G2" s="4149">
        <f t="shared" ref="G2:G24" si="0">SUM(D2:F2)</f>
        <v>6.37</v>
      </c>
      <c r="H2" s="4149">
        <f t="shared" ref="H2:H24" si="1">G2-D2</f>
        <v>6.37</v>
      </c>
    </row>
    <row r="3" spans="1:8" ht="15" x14ac:dyDescent="0.25">
      <c r="A3" s="4182">
        <v>1</v>
      </c>
      <c r="B3" s="4183" t="s">
        <v>2164</v>
      </c>
      <c r="C3" s="4183" t="s">
        <v>2156</v>
      </c>
      <c r="D3" s="4179">
        <v>0</v>
      </c>
      <c r="E3" s="4178">
        <v>0</v>
      </c>
      <c r="F3" s="4178">
        <v>0</v>
      </c>
      <c r="G3" s="4149">
        <f t="shared" si="0"/>
        <v>0</v>
      </c>
      <c r="H3" s="4149">
        <f t="shared" si="1"/>
        <v>0</v>
      </c>
    </row>
    <row r="4" spans="1:8" ht="15" x14ac:dyDescent="0.25">
      <c r="A4" s="4182">
        <v>2</v>
      </c>
      <c r="B4" s="4183" t="s">
        <v>2165</v>
      </c>
      <c r="C4" s="4183" t="s">
        <v>2155</v>
      </c>
      <c r="D4" s="4179">
        <v>0</v>
      </c>
      <c r="E4" s="4178">
        <v>0</v>
      </c>
      <c r="F4" s="4178">
        <v>9.75</v>
      </c>
      <c r="G4" s="4149">
        <f t="shared" si="0"/>
        <v>9.75</v>
      </c>
      <c r="H4" s="4149">
        <f t="shared" si="1"/>
        <v>9.75</v>
      </c>
    </row>
    <row r="5" spans="1:8" ht="15" x14ac:dyDescent="0.25">
      <c r="A5" s="4182">
        <v>2</v>
      </c>
      <c r="B5" s="4183" t="s">
        <v>2164</v>
      </c>
      <c r="C5" s="4183" t="s">
        <v>2155</v>
      </c>
      <c r="D5" s="4179">
        <v>0</v>
      </c>
      <c r="E5" s="4178">
        <v>0</v>
      </c>
      <c r="F5" s="4178">
        <v>3.84</v>
      </c>
      <c r="G5" s="4149">
        <f t="shared" si="0"/>
        <v>3.84</v>
      </c>
      <c r="H5" s="4149">
        <f t="shared" si="1"/>
        <v>3.84</v>
      </c>
    </row>
    <row r="6" spans="1:8" ht="15" x14ac:dyDescent="0.25">
      <c r="A6" s="4182">
        <v>3</v>
      </c>
      <c r="B6" s="4183" t="s">
        <v>2165</v>
      </c>
      <c r="C6" s="4183" t="s">
        <v>2154</v>
      </c>
      <c r="D6" s="4179">
        <v>0</v>
      </c>
      <c r="E6" s="4178">
        <v>0</v>
      </c>
      <c r="F6" s="4178">
        <v>67.430000000000007</v>
      </c>
      <c r="G6" s="4149">
        <f t="shared" si="0"/>
        <v>67.430000000000007</v>
      </c>
      <c r="H6" s="4149">
        <f t="shared" si="1"/>
        <v>67.430000000000007</v>
      </c>
    </row>
    <row r="7" spans="1:8" ht="15" x14ac:dyDescent="0.25">
      <c r="A7" s="4182">
        <v>3</v>
      </c>
      <c r="B7" s="4183" t="s">
        <v>2164</v>
      </c>
      <c r="C7" s="4183" t="s">
        <v>2154</v>
      </c>
      <c r="D7" s="4179">
        <v>0</v>
      </c>
      <c r="E7" s="4178">
        <v>0</v>
      </c>
      <c r="F7" s="4178">
        <v>0</v>
      </c>
      <c r="G7" s="4149">
        <f t="shared" si="0"/>
        <v>0</v>
      </c>
      <c r="H7" s="4149">
        <f t="shared" si="1"/>
        <v>0</v>
      </c>
    </row>
    <row r="8" spans="1:8" ht="15" x14ac:dyDescent="0.25">
      <c r="A8" s="4182">
        <v>4</v>
      </c>
      <c r="B8" s="4183" t="s">
        <v>2165</v>
      </c>
      <c r="C8" s="4183" t="s">
        <v>2153</v>
      </c>
      <c r="D8" s="4179">
        <v>0</v>
      </c>
      <c r="E8" s="4178">
        <v>0</v>
      </c>
      <c r="F8" s="4178">
        <v>0</v>
      </c>
      <c r="G8" s="4149">
        <f t="shared" si="0"/>
        <v>0</v>
      </c>
      <c r="H8" s="4149">
        <f t="shared" si="1"/>
        <v>0</v>
      </c>
    </row>
    <row r="9" spans="1:8" ht="15" x14ac:dyDescent="0.25">
      <c r="A9" s="4182">
        <v>4</v>
      </c>
      <c r="B9" s="4183" t="s">
        <v>2164</v>
      </c>
      <c r="C9" s="4183" t="s">
        <v>2153</v>
      </c>
      <c r="D9" s="4179">
        <v>0</v>
      </c>
      <c r="E9" s="4178">
        <v>0</v>
      </c>
      <c r="F9" s="4178">
        <v>0</v>
      </c>
      <c r="G9" s="4149">
        <f t="shared" si="0"/>
        <v>0</v>
      </c>
      <c r="H9" s="4149">
        <f t="shared" si="1"/>
        <v>0</v>
      </c>
    </row>
    <row r="10" spans="1:8" ht="15" x14ac:dyDescent="0.25">
      <c r="A10" s="4182">
        <v>5</v>
      </c>
      <c r="B10" s="4183" t="s">
        <v>2165</v>
      </c>
      <c r="C10" s="4183" t="s">
        <v>2152</v>
      </c>
      <c r="D10" s="4179">
        <v>0</v>
      </c>
      <c r="E10" s="4178">
        <v>0</v>
      </c>
      <c r="F10" s="4178">
        <v>500.41</v>
      </c>
      <c r="G10" s="4149">
        <f t="shared" si="0"/>
        <v>500.41</v>
      </c>
      <c r="H10" s="4149">
        <f t="shared" si="1"/>
        <v>500.41</v>
      </c>
    </row>
    <row r="11" spans="1:8" ht="15" x14ac:dyDescent="0.25">
      <c r="A11" s="4182">
        <v>5</v>
      </c>
      <c r="B11" s="4183" t="s">
        <v>2164</v>
      </c>
      <c r="C11" s="4183" t="s">
        <v>2152</v>
      </c>
      <c r="D11" s="4179">
        <v>0</v>
      </c>
      <c r="E11" s="4178">
        <v>0</v>
      </c>
      <c r="F11" s="4178">
        <v>82.19</v>
      </c>
      <c r="G11" s="4149">
        <f t="shared" si="0"/>
        <v>82.19</v>
      </c>
      <c r="H11" s="4149">
        <f t="shared" si="1"/>
        <v>82.19</v>
      </c>
    </row>
    <row r="12" spans="1:8" ht="15" x14ac:dyDescent="0.25">
      <c r="A12" s="4182">
        <v>6</v>
      </c>
      <c r="B12" s="4183" t="s">
        <v>2165</v>
      </c>
      <c r="C12" s="4183" t="s">
        <v>2151</v>
      </c>
      <c r="D12" s="4179">
        <v>0</v>
      </c>
      <c r="E12" s="4178">
        <v>0</v>
      </c>
      <c r="F12" s="4178">
        <v>182.08</v>
      </c>
      <c r="G12" s="4149">
        <f t="shared" si="0"/>
        <v>182.08</v>
      </c>
      <c r="H12" s="4149">
        <f t="shared" si="1"/>
        <v>182.08</v>
      </c>
    </row>
    <row r="13" spans="1:8" ht="15" x14ac:dyDescent="0.25">
      <c r="A13" s="4182">
        <v>6</v>
      </c>
      <c r="B13" s="4183" t="s">
        <v>2164</v>
      </c>
      <c r="C13" s="4183" t="s">
        <v>2151</v>
      </c>
      <c r="D13" s="4179">
        <v>0</v>
      </c>
      <c r="E13" s="4179">
        <v>0</v>
      </c>
      <c r="F13" s="4178">
        <v>34.67</v>
      </c>
      <c r="G13" s="4149">
        <f t="shared" si="0"/>
        <v>34.67</v>
      </c>
      <c r="H13" s="4149">
        <f t="shared" si="1"/>
        <v>34.67</v>
      </c>
    </row>
    <row r="14" spans="1:8" ht="15" x14ac:dyDescent="0.25">
      <c r="A14" s="4182">
        <v>7</v>
      </c>
      <c r="B14" s="4183" t="s">
        <v>2165</v>
      </c>
      <c r="C14" s="4183" t="s">
        <v>2150</v>
      </c>
      <c r="D14" s="4179">
        <v>0</v>
      </c>
      <c r="E14" s="4179">
        <v>0</v>
      </c>
      <c r="F14" s="4178">
        <v>0</v>
      </c>
      <c r="G14" s="4149">
        <f t="shared" si="0"/>
        <v>0</v>
      </c>
      <c r="H14" s="4149">
        <f t="shared" si="1"/>
        <v>0</v>
      </c>
    </row>
    <row r="15" spans="1:8" ht="15" x14ac:dyDescent="0.25">
      <c r="A15" s="4182">
        <v>7</v>
      </c>
      <c r="B15" s="4183" t="s">
        <v>2164</v>
      </c>
      <c r="C15" s="4183" t="s">
        <v>2150</v>
      </c>
      <c r="D15" s="4179">
        <v>0</v>
      </c>
      <c r="E15" s="4178">
        <v>0</v>
      </c>
      <c r="F15" s="4179">
        <v>0</v>
      </c>
      <c r="G15" s="4149">
        <f t="shared" si="0"/>
        <v>0</v>
      </c>
      <c r="H15" s="4149">
        <f t="shared" si="1"/>
        <v>0</v>
      </c>
    </row>
    <row r="16" spans="1:8" ht="15" x14ac:dyDescent="0.25">
      <c r="A16" s="4182">
        <v>8</v>
      </c>
      <c r="B16" s="4183" t="s">
        <v>2165</v>
      </c>
      <c r="C16" s="4183" t="s">
        <v>2149</v>
      </c>
      <c r="D16" s="4179">
        <v>0</v>
      </c>
      <c r="E16" s="4179">
        <v>0</v>
      </c>
      <c r="F16" s="4178">
        <v>0</v>
      </c>
      <c r="G16" s="4149">
        <f t="shared" si="0"/>
        <v>0</v>
      </c>
      <c r="H16" s="4149">
        <f t="shared" si="1"/>
        <v>0</v>
      </c>
    </row>
    <row r="17" spans="1:8" ht="15" x14ac:dyDescent="0.25">
      <c r="A17" s="4182">
        <v>8</v>
      </c>
      <c r="B17" s="4183" t="s">
        <v>2164</v>
      </c>
      <c r="C17" s="4183" t="s">
        <v>2149</v>
      </c>
      <c r="D17" s="4179">
        <v>0</v>
      </c>
      <c r="E17" s="4179">
        <v>0</v>
      </c>
      <c r="F17" s="4178">
        <v>0</v>
      </c>
      <c r="G17" s="4149">
        <f t="shared" si="0"/>
        <v>0</v>
      </c>
      <c r="H17" s="4149">
        <f t="shared" si="1"/>
        <v>0</v>
      </c>
    </row>
    <row r="18" spans="1:8" ht="15" x14ac:dyDescent="0.25">
      <c r="A18" s="4182">
        <v>9</v>
      </c>
      <c r="B18" s="4183" t="s">
        <v>2165</v>
      </c>
      <c r="C18" s="4183" t="s">
        <v>2148</v>
      </c>
      <c r="D18" s="4178">
        <v>0</v>
      </c>
      <c r="E18" s="4178">
        <v>0</v>
      </c>
      <c r="F18" s="4178">
        <v>1.75</v>
      </c>
      <c r="G18" s="4149">
        <f t="shared" si="0"/>
        <v>1.75</v>
      </c>
      <c r="H18" s="4149">
        <f t="shared" si="1"/>
        <v>1.75</v>
      </c>
    </row>
    <row r="19" spans="1:8" ht="15" x14ac:dyDescent="0.25">
      <c r="A19" s="4182">
        <v>9</v>
      </c>
      <c r="B19" s="4183" t="s">
        <v>2164</v>
      </c>
      <c r="C19" s="4183" t="s">
        <v>2148</v>
      </c>
      <c r="D19" s="4179">
        <v>0</v>
      </c>
      <c r="E19" s="4179">
        <v>0</v>
      </c>
      <c r="F19" s="4178">
        <v>7.53</v>
      </c>
      <c r="G19" s="4149">
        <f t="shared" si="0"/>
        <v>7.53</v>
      </c>
      <c r="H19" s="4149">
        <f t="shared" si="1"/>
        <v>7.53</v>
      </c>
    </row>
    <row r="20" spans="1:8" ht="15" x14ac:dyDescent="0.25">
      <c r="A20" s="4182">
        <v>10</v>
      </c>
      <c r="B20" s="4183" t="s">
        <v>2165</v>
      </c>
      <c r="C20" s="4183" t="s">
        <v>2147</v>
      </c>
      <c r="D20" s="4179">
        <v>0</v>
      </c>
      <c r="E20" s="4179">
        <v>0</v>
      </c>
      <c r="F20" s="4178">
        <v>0</v>
      </c>
      <c r="G20" s="4149">
        <f t="shared" si="0"/>
        <v>0</v>
      </c>
      <c r="H20" s="4149">
        <f t="shared" si="1"/>
        <v>0</v>
      </c>
    </row>
    <row r="21" spans="1:8" ht="15" x14ac:dyDescent="0.25">
      <c r="A21" s="4182">
        <v>10</v>
      </c>
      <c r="B21" s="4183" t="s">
        <v>2164</v>
      </c>
      <c r="C21" s="4183" t="s">
        <v>2147</v>
      </c>
      <c r="D21" s="4179">
        <v>0</v>
      </c>
      <c r="E21" s="4179">
        <v>0</v>
      </c>
      <c r="F21" s="4178">
        <v>0</v>
      </c>
      <c r="G21" s="4149">
        <f t="shared" si="0"/>
        <v>0</v>
      </c>
      <c r="H21" s="4149">
        <f t="shared" si="1"/>
        <v>0</v>
      </c>
    </row>
    <row r="22" spans="1:8" ht="15" x14ac:dyDescent="0.25">
      <c r="A22" s="4182">
        <v>11</v>
      </c>
      <c r="B22" s="4183" t="s">
        <v>2165</v>
      </c>
      <c r="C22" s="4183" t="s">
        <v>2146</v>
      </c>
      <c r="D22" s="4179">
        <v>0</v>
      </c>
      <c r="E22" s="4178">
        <v>0</v>
      </c>
      <c r="F22" s="4178">
        <v>5.01</v>
      </c>
      <c r="G22" s="4149">
        <f t="shared" si="0"/>
        <v>5.01</v>
      </c>
      <c r="H22" s="4149">
        <f t="shared" si="1"/>
        <v>5.01</v>
      </c>
    </row>
    <row r="23" spans="1:8" ht="15" x14ac:dyDescent="0.25">
      <c r="A23" s="4182">
        <v>11</v>
      </c>
      <c r="B23" s="4183" t="s">
        <v>2164</v>
      </c>
      <c r="C23" s="4183" t="s">
        <v>2146</v>
      </c>
      <c r="D23" s="4179">
        <v>0</v>
      </c>
      <c r="E23" s="4178">
        <v>0</v>
      </c>
      <c r="F23" s="4178">
        <v>0</v>
      </c>
      <c r="G23" s="4149">
        <f t="shared" si="0"/>
        <v>0</v>
      </c>
      <c r="H23" s="4149">
        <f t="shared" si="1"/>
        <v>0</v>
      </c>
    </row>
    <row r="24" spans="1:8" ht="30" x14ac:dyDescent="0.25">
      <c r="A24" s="4182">
        <v>12</v>
      </c>
      <c r="B24" s="4183" t="s">
        <v>2165</v>
      </c>
      <c r="C24" s="4183" t="s">
        <v>2145</v>
      </c>
      <c r="D24" s="4184">
        <v>0</v>
      </c>
      <c r="E24" s="4184">
        <v>0</v>
      </c>
      <c r="F24" s="4178">
        <v>0.35</v>
      </c>
      <c r="G24" s="4185">
        <f t="shared" si="0"/>
        <v>0.35</v>
      </c>
      <c r="H24" s="4185">
        <f t="shared" si="1"/>
        <v>0.35</v>
      </c>
    </row>
    <row r="25" spans="1:8" ht="15" customHeight="1" x14ac:dyDescent="0.25">
      <c r="A25" s="4182">
        <v>12</v>
      </c>
      <c r="B25" s="4183" t="s">
        <v>2164</v>
      </c>
      <c r="C25" s="4183" t="s">
        <v>2911</v>
      </c>
      <c r="D25" s="4184">
        <v>0</v>
      </c>
      <c r="E25" s="4184">
        <v>0</v>
      </c>
      <c r="F25" s="4178">
        <v>0</v>
      </c>
      <c r="G25" s="4185"/>
      <c r="H25" s="4185"/>
    </row>
    <row r="26" spans="1:8" ht="15" x14ac:dyDescent="0.25">
      <c r="A26" s="4182">
        <v>13</v>
      </c>
      <c r="B26" s="4183" t="s">
        <v>2165</v>
      </c>
      <c r="C26" s="4183" t="s">
        <v>2144</v>
      </c>
      <c r="D26" s="4184">
        <v>0</v>
      </c>
      <c r="E26" s="4178">
        <v>0</v>
      </c>
      <c r="F26" s="4178">
        <v>9.51</v>
      </c>
      <c r="G26" s="4185">
        <f t="shared" ref="G26:G49" si="2">SUM(D26:F26)</f>
        <v>9.51</v>
      </c>
      <c r="H26" s="4185">
        <f t="shared" ref="H26:H49" si="3">G26-D26</f>
        <v>9.51</v>
      </c>
    </row>
    <row r="27" spans="1:8" ht="15" x14ac:dyDescent="0.25">
      <c r="A27" s="4182">
        <v>13</v>
      </c>
      <c r="B27" s="4183" t="s">
        <v>2164</v>
      </c>
      <c r="C27" s="4183" t="s">
        <v>2144</v>
      </c>
      <c r="D27" s="4184">
        <v>0</v>
      </c>
      <c r="E27" s="4178">
        <v>0</v>
      </c>
      <c r="F27" s="4178">
        <v>7.18</v>
      </c>
      <c r="G27" s="4185">
        <f t="shared" si="2"/>
        <v>7.18</v>
      </c>
      <c r="H27" s="4185">
        <f t="shared" si="3"/>
        <v>7.18</v>
      </c>
    </row>
    <row r="28" spans="1:8" ht="15" x14ac:dyDescent="0.25">
      <c r="A28" s="4182">
        <v>14</v>
      </c>
      <c r="B28" s="4183" t="s">
        <v>2165</v>
      </c>
      <c r="C28" s="4183" t="s">
        <v>2143</v>
      </c>
      <c r="D28" s="4178">
        <v>0</v>
      </c>
      <c r="E28" s="4178">
        <v>0</v>
      </c>
      <c r="F28" s="4178">
        <v>466.35</v>
      </c>
      <c r="G28" s="4149">
        <f t="shared" si="2"/>
        <v>466.35</v>
      </c>
      <c r="H28" s="4149">
        <f t="shared" si="3"/>
        <v>466.35</v>
      </c>
    </row>
    <row r="29" spans="1:8" ht="15" x14ac:dyDescent="0.25">
      <c r="A29" s="4182">
        <v>14</v>
      </c>
      <c r="B29" s="4183" t="s">
        <v>2164</v>
      </c>
      <c r="C29" s="4183" t="s">
        <v>2143</v>
      </c>
      <c r="D29" s="4179">
        <v>0</v>
      </c>
      <c r="E29" s="4178">
        <v>0</v>
      </c>
      <c r="F29" s="4178">
        <v>258.58999999999997</v>
      </c>
      <c r="G29" s="4149">
        <f t="shared" si="2"/>
        <v>258.58999999999997</v>
      </c>
      <c r="H29" s="4149">
        <f t="shared" si="3"/>
        <v>258.58999999999997</v>
      </c>
    </row>
    <row r="30" spans="1:8" ht="15" x14ac:dyDescent="0.25">
      <c r="A30" s="4182">
        <v>15</v>
      </c>
      <c r="B30" s="4183" t="s">
        <v>2165</v>
      </c>
      <c r="C30" s="4183" t="s">
        <v>2142</v>
      </c>
      <c r="D30" s="4178">
        <v>0</v>
      </c>
      <c r="E30" s="4178">
        <v>0</v>
      </c>
      <c r="F30" s="4178">
        <v>386.8</v>
      </c>
      <c r="G30" s="4149">
        <f t="shared" si="2"/>
        <v>386.8</v>
      </c>
      <c r="H30" s="4149">
        <f t="shared" si="3"/>
        <v>386.8</v>
      </c>
    </row>
    <row r="31" spans="1:8" ht="15" x14ac:dyDescent="0.25">
      <c r="A31" s="4182">
        <v>15</v>
      </c>
      <c r="B31" s="4183" t="s">
        <v>2164</v>
      </c>
      <c r="C31" s="4183" t="s">
        <v>2142</v>
      </c>
      <c r="D31" s="4179">
        <v>0</v>
      </c>
      <c r="E31" s="4178">
        <v>0</v>
      </c>
      <c r="F31" s="4178">
        <v>111.15</v>
      </c>
      <c r="G31" s="4149">
        <f t="shared" si="2"/>
        <v>111.15</v>
      </c>
      <c r="H31" s="4149">
        <f t="shared" si="3"/>
        <v>111.15</v>
      </c>
    </row>
    <row r="32" spans="1:8" ht="15" x14ac:dyDescent="0.25">
      <c r="A32" s="4182">
        <v>16</v>
      </c>
      <c r="B32" s="4183" t="s">
        <v>2165</v>
      </c>
      <c r="C32" s="4183" t="s">
        <v>2141</v>
      </c>
      <c r="D32" s="4179">
        <v>0</v>
      </c>
      <c r="E32" s="4178">
        <v>0</v>
      </c>
      <c r="F32" s="4178">
        <v>0</v>
      </c>
      <c r="G32" s="4149">
        <f t="shared" si="2"/>
        <v>0</v>
      </c>
      <c r="H32" s="4149">
        <f t="shared" si="3"/>
        <v>0</v>
      </c>
    </row>
    <row r="33" spans="1:10" ht="15" x14ac:dyDescent="0.25">
      <c r="A33" s="4182">
        <v>16</v>
      </c>
      <c r="B33" s="4183" t="s">
        <v>2164</v>
      </c>
      <c r="C33" s="4183" t="s">
        <v>2141</v>
      </c>
      <c r="D33" s="4179">
        <v>0</v>
      </c>
      <c r="E33" s="4178">
        <v>0</v>
      </c>
      <c r="F33" s="4178">
        <v>1.91</v>
      </c>
      <c r="G33" s="4149">
        <f t="shared" si="2"/>
        <v>1.91</v>
      </c>
      <c r="H33" s="4149">
        <f t="shared" si="3"/>
        <v>1.91</v>
      </c>
    </row>
    <row r="34" spans="1:10" ht="15" x14ac:dyDescent="0.25">
      <c r="A34" s="4182">
        <v>17</v>
      </c>
      <c r="B34" s="4183" t="s">
        <v>2165</v>
      </c>
      <c r="C34" s="4183" t="s">
        <v>2140</v>
      </c>
      <c r="D34" s="4178">
        <v>0</v>
      </c>
      <c r="E34" s="4178">
        <v>0</v>
      </c>
      <c r="F34" s="4178">
        <v>2856.09</v>
      </c>
      <c r="G34" s="4149">
        <f t="shared" si="2"/>
        <v>2856.09</v>
      </c>
      <c r="H34" s="4149">
        <f t="shared" si="3"/>
        <v>2856.09</v>
      </c>
    </row>
    <row r="35" spans="1:10" ht="15" x14ac:dyDescent="0.25">
      <c r="A35" s="4182">
        <v>17</v>
      </c>
      <c r="B35" s="4183" t="s">
        <v>2164</v>
      </c>
      <c r="C35" s="4183" t="s">
        <v>2140</v>
      </c>
      <c r="D35" s="4178">
        <v>0</v>
      </c>
      <c r="E35" s="4178">
        <v>0</v>
      </c>
      <c r="F35" s="4178">
        <v>297.08</v>
      </c>
      <c r="G35" s="4149">
        <f t="shared" si="2"/>
        <v>297.08</v>
      </c>
      <c r="H35" s="4149">
        <f t="shared" si="3"/>
        <v>297.08</v>
      </c>
    </row>
    <row r="36" spans="1:10" ht="15" x14ac:dyDescent="0.25">
      <c r="A36" s="4182">
        <v>18</v>
      </c>
      <c r="B36" s="4183" t="s">
        <v>2165</v>
      </c>
      <c r="C36" s="4183" t="s">
        <v>2139</v>
      </c>
      <c r="D36" s="4179">
        <v>0</v>
      </c>
      <c r="E36" s="4178">
        <v>0</v>
      </c>
      <c r="F36" s="4178">
        <v>1.81</v>
      </c>
      <c r="G36" s="4149">
        <f t="shared" si="2"/>
        <v>1.81</v>
      </c>
      <c r="H36" s="4149">
        <f t="shared" si="3"/>
        <v>1.81</v>
      </c>
    </row>
    <row r="37" spans="1:10" ht="15" x14ac:dyDescent="0.25">
      <c r="A37" s="4182">
        <v>18</v>
      </c>
      <c r="B37" s="4183" t="s">
        <v>2164</v>
      </c>
      <c r="C37" s="4183" t="s">
        <v>2139</v>
      </c>
      <c r="D37" s="4179">
        <v>0</v>
      </c>
      <c r="E37" s="4178">
        <v>0</v>
      </c>
      <c r="F37" s="4178">
        <v>0</v>
      </c>
      <c r="G37" s="4149">
        <f t="shared" si="2"/>
        <v>0</v>
      </c>
      <c r="H37" s="4149">
        <f t="shared" si="3"/>
        <v>0</v>
      </c>
    </row>
    <row r="38" spans="1:10" ht="15" x14ac:dyDescent="0.25">
      <c r="A38" s="4182">
        <v>19</v>
      </c>
      <c r="B38" s="4183" t="s">
        <v>2165</v>
      </c>
      <c r="C38" s="4183" t="s">
        <v>2138</v>
      </c>
      <c r="D38" s="4179">
        <v>0</v>
      </c>
      <c r="E38" s="4178">
        <v>0</v>
      </c>
      <c r="F38" s="4178">
        <v>167.96</v>
      </c>
      <c r="G38" s="4149">
        <f t="shared" si="2"/>
        <v>167.96</v>
      </c>
      <c r="H38" s="4149">
        <f t="shared" si="3"/>
        <v>167.96</v>
      </c>
    </row>
    <row r="39" spans="1:10" ht="15" x14ac:dyDescent="0.25">
      <c r="A39" s="4182">
        <v>19</v>
      </c>
      <c r="B39" s="4183" t="s">
        <v>2164</v>
      </c>
      <c r="C39" s="4183" t="s">
        <v>2138</v>
      </c>
      <c r="D39" s="4179">
        <v>0</v>
      </c>
      <c r="E39" s="4178">
        <v>0</v>
      </c>
      <c r="F39" s="4178">
        <v>6.7</v>
      </c>
      <c r="G39" s="4149">
        <f t="shared" si="2"/>
        <v>6.7</v>
      </c>
      <c r="H39" s="4149">
        <f t="shared" si="3"/>
        <v>6.7</v>
      </c>
    </row>
    <row r="40" spans="1:10" ht="15" x14ac:dyDescent="0.25">
      <c r="A40" s="4182">
        <v>20</v>
      </c>
      <c r="B40" s="4183" t="s">
        <v>2165</v>
      </c>
      <c r="C40" s="4183" t="s">
        <v>2137</v>
      </c>
      <c r="D40" s="4179">
        <v>0</v>
      </c>
      <c r="E40" s="4178">
        <v>0</v>
      </c>
      <c r="F40" s="4178">
        <v>5.86</v>
      </c>
      <c r="G40" s="4149">
        <f t="shared" si="2"/>
        <v>5.86</v>
      </c>
      <c r="H40" s="4149">
        <f t="shared" si="3"/>
        <v>5.86</v>
      </c>
    </row>
    <row r="41" spans="1:10" ht="15" x14ac:dyDescent="0.25">
      <c r="A41" s="4182">
        <v>20</v>
      </c>
      <c r="B41" s="4183" t="s">
        <v>2164</v>
      </c>
      <c r="C41" s="4183" t="s">
        <v>2137</v>
      </c>
      <c r="D41" s="4179">
        <v>0</v>
      </c>
      <c r="E41" s="4178">
        <v>0</v>
      </c>
      <c r="F41" s="4178">
        <v>0.78</v>
      </c>
      <c r="G41" s="4149">
        <f t="shared" si="2"/>
        <v>0.78</v>
      </c>
      <c r="H41" s="4149">
        <f t="shared" si="3"/>
        <v>0.78</v>
      </c>
    </row>
    <row r="42" spans="1:10" ht="15" x14ac:dyDescent="0.25">
      <c r="A42" s="4182">
        <v>21</v>
      </c>
      <c r="B42" s="4183" t="s">
        <v>2165</v>
      </c>
      <c r="C42" s="4183" t="s">
        <v>2136</v>
      </c>
      <c r="D42" s="4179">
        <v>0</v>
      </c>
      <c r="E42" s="4178">
        <v>0</v>
      </c>
      <c r="F42" s="4178">
        <v>1.5</v>
      </c>
      <c r="G42" s="4149">
        <f t="shared" si="2"/>
        <v>1.5</v>
      </c>
      <c r="H42" s="4149">
        <f t="shared" si="3"/>
        <v>1.5</v>
      </c>
    </row>
    <row r="43" spans="1:10" ht="15" x14ac:dyDescent="0.25">
      <c r="A43" s="4182">
        <v>21</v>
      </c>
      <c r="B43" s="4183" t="s">
        <v>2164</v>
      </c>
      <c r="C43" s="4183" t="s">
        <v>2136</v>
      </c>
      <c r="D43" s="4179">
        <v>0</v>
      </c>
      <c r="E43" s="4178">
        <v>0</v>
      </c>
      <c r="F43" s="4178">
        <v>2.2400000000000002</v>
      </c>
      <c r="G43" s="4149">
        <f t="shared" si="2"/>
        <v>2.2400000000000002</v>
      </c>
      <c r="H43" s="4149">
        <f t="shared" si="3"/>
        <v>2.2400000000000002</v>
      </c>
    </row>
    <row r="44" spans="1:10" ht="15" x14ac:dyDescent="0.25">
      <c r="A44" s="4182">
        <v>22</v>
      </c>
      <c r="B44" s="4183" t="s">
        <v>2165</v>
      </c>
      <c r="C44" s="4183" t="s">
        <v>2135</v>
      </c>
      <c r="D44" s="4179">
        <v>0</v>
      </c>
      <c r="E44" s="4178">
        <v>0</v>
      </c>
      <c r="F44" s="4178">
        <v>7.21</v>
      </c>
      <c r="G44" s="4149">
        <f t="shared" si="2"/>
        <v>7.21</v>
      </c>
      <c r="H44" s="4149">
        <f t="shared" si="3"/>
        <v>7.21</v>
      </c>
    </row>
    <row r="45" spans="1:10" ht="15" x14ac:dyDescent="0.25">
      <c r="A45" s="4182">
        <v>22</v>
      </c>
      <c r="B45" s="4183" t="s">
        <v>2164</v>
      </c>
      <c r="C45" s="4183" t="s">
        <v>2135</v>
      </c>
      <c r="D45" s="4179">
        <v>0</v>
      </c>
      <c r="E45" s="4178">
        <v>0</v>
      </c>
      <c r="F45" s="4179">
        <v>23.14</v>
      </c>
      <c r="G45" s="4149">
        <f t="shared" si="2"/>
        <v>23.14</v>
      </c>
      <c r="H45" s="4149">
        <f t="shared" si="3"/>
        <v>23.14</v>
      </c>
    </row>
    <row r="46" spans="1:10" ht="15" x14ac:dyDescent="0.25">
      <c r="A46" s="4182">
        <v>23</v>
      </c>
      <c r="B46" s="4183" t="s">
        <v>2165</v>
      </c>
      <c r="C46" s="4183" t="s">
        <v>2134</v>
      </c>
      <c r="D46" s="4179">
        <v>0</v>
      </c>
      <c r="E46" s="4178">
        <v>0</v>
      </c>
      <c r="F46" s="4178">
        <v>56.7</v>
      </c>
      <c r="G46" s="4149">
        <f t="shared" si="2"/>
        <v>56.7</v>
      </c>
      <c r="H46" s="4149">
        <f t="shared" si="3"/>
        <v>56.7</v>
      </c>
    </row>
    <row r="47" spans="1:10" ht="15" x14ac:dyDescent="0.25">
      <c r="A47" s="4182">
        <v>23</v>
      </c>
      <c r="B47" s="4183" t="s">
        <v>2164</v>
      </c>
      <c r="C47" s="4183" t="s">
        <v>2134</v>
      </c>
      <c r="D47" s="4179">
        <v>0</v>
      </c>
      <c r="E47" s="4178">
        <v>0</v>
      </c>
      <c r="F47" s="4179">
        <v>10.25</v>
      </c>
      <c r="G47" s="4149">
        <f t="shared" si="2"/>
        <v>10.25</v>
      </c>
      <c r="H47" s="4149">
        <f t="shared" si="3"/>
        <v>10.25</v>
      </c>
    </row>
    <row r="48" spans="1:10" ht="15" x14ac:dyDescent="0.25">
      <c r="A48" s="2272">
        <v>24</v>
      </c>
      <c r="B48" s="4183" t="s">
        <v>2165</v>
      </c>
      <c r="C48" s="2272" t="s">
        <v>2132</v>
      </c>
      <c r="D48" s="4149">
        <v>0</v>
      </c>
      <c r="E48" s="4149">
        <v>0</v>
      </c>
      <c r="F48" s="4149">
        <v>0</v>
      </c>
      <c r="G48" s="4149">
        <f t="shared" si="2"/>
        <v>0</v>
      </c>
      <c r="H48" s="4149">
        <f t="shared" si="3"/>
        <v>0</v>
      </c>
      <c r="I48" s="2934"/>
      <c r="J48" s="2934"/>
    </row>
    <row r="49" spans="1:10" ht="15" x14ac:dyDescent="0.25">
      <c r="A49" s="2272">
        <v>24</v>
      </c>
      <c r="B49" s="4183" t="s">
        <v>2164</v>
      </c>
      <c r="C49" s="2272" t="s">
        <v>2132</v>
      </c>
      <c r="D49" s="4149">
        <v>0</v>
      </c>
      <c r="E49" s="4149">
        <v>0</v>
      </c>
      <c r="F49" s="4149">
        <v>0</v>
      </c>
      <c r="G49" s="4149">
        <f t="shared" si="2"/>
        <v>0</v>
      </c>
      <c r="H49" s="4149">
        <f t="shared" si="3"/>
        <v>0</v>
      </c>
      <c r="I49" s="1594"/>
      <c r="J49" s="1594"/>
    </row>
    <row r="50" spans="1:10" ht="15" x14ac:dyDescent="0.25">
      <c r="A50" s="2272"/>
      <c r="B50" s="2272"/>
      <c r="C50" s="4183" t="s">
        <v>97</v>
      </c>
      <c r="D50" s="4149">
        <f>SUM(D2:D49)</f>
        <v>0</v>
      </c>
      <c r="E50" s="4149">
        <f t="shared" ref="E50:H50" si="4">SUM(E2:E49)</f>
        <v>0</v>
      </c>
      <c r="F50" s="4149">
        <f t="shared" si="4"/>
        <v>5580.19</v>
      </c>
      <c r="G50" s="4149">
        <f t="shared" si="4"/>
        <v>5580.19</v>
      </c>
      <c r="H50" s="4149">
        <f t="shared" si="4"/>
        <v>5580.19</v>
      </c>
    </row>
    <row r="51" spans="1:10" ht="30" x14ac:dyDescent="0.25">
      <c r="A51" s="2272"/>
      <c r="B51" s="2272"/>
      <c r="C51" s="4183" t="s">
        <v>2131</v>
      </c>
      <c r="D51" s="4149">
        <f>SUM(D2:D33)</f>
        <v>0</v>
      </c>
      <c r="E51" s="4149">
        <f t="shared" ref="E51:H51" si="5">SUM(E2:E33)</f>
        <v>0</v>
      </c>
      <c r="F51" s="4149">
        <f t="shared" si="5"/>
        <v>2142.87</v>
      </c>
      <c r="G51" s="4149">
        <f t="shared" si="5"/>
        <v>2142.87</v>
      </c>
      <c r="H51" s="4149">
        <f t="shared" si="5"/>
        <v>2142.87</v>
      </c>
    </row>
    <row r="52" spans="1:10" ht="15" customHeight="1" x14ac:dyDescent="0.2"/>
    <row r="53" spans="1:10" x14ac:dyDescent="0.2">
      <c r="A53" s="2272" t="s">
        <v>2163</v>
      </c>
      <c r="B53" s="2272" t="s">
        <v>2162</v>
      </c>
      <c r="C53" s="2272" t="s">
        <v>2161</v>
      </c>
      <c r="D53" s="4149" t="s">
        <v>2160</v>
      </c>
      <c r="E53" s="4149" t="s">
        <v>2159</v>
      </c>
      <c r="F53" s="4149" t="s">
        <v>2158</v>
      </c>
      <c r="G53" s="4149" t="s">
        <v>228</v>
      </c>
      <c r="H53" s="4149" t="s">
        <v>2157</v>
      </c>
    </row>
    <row r="54" spans="1:10" x14ac:dyDescent="0.2">
      <c r="A54" s="2272">
        <v>1</v>
      </c>
      <c r="B54" s="2272" t="s">
        <v>2133</v>
      </c>
      <c r="C54" s="2272" t="s">
        <v>2156</v>
      </c>
      <c r="D54" s="4149">
        <f>D2+D3</f>
        <v>0</v>
      </c>
      <c r="E54" s="4149">
        <f t="shared" ref="E54:F54" si="6">E2+E3</f>
        <v>0</v>
      </c>
      <c r="F54" s="4149">
        <f t="shared" si="6"/>
        <v>6.37</v>
      </c>
      <c r="G54" s="4149">
        <f>G2+G3</f>
        <v>6.37</v>
      </c>
      <c r="H54" s="4149">
        <f t="shared" ref="H54" si="7">H2+H3</f>
        <v>6.37</v>
      </c>
    </row>
    <row r="55" spans="1:10" x14ac:dyDescent="0.2">
      <c r="A55" s="2272">
        <v>2</v>
      </c>
      <c r="B55" s="2272" t="s">
        <v>2133</v>
      </c>
      <c r="C55" s="2272" t="s">
        <v>2155</v>
      </c>
      <c r="D55" s="4149">
        <f>D4+D5</f>
        <v>0</v>
      </c>
      <c r="E55" s="4149">
        <f t="shared" ref="E55:F55" si="8">E4+E5</f>
        <v>0</v>
      </c>
      <c r="F55" s="4149">
        <f t="shared" si="8"/>
        <v>13.59</v>
      </c>
      <c r="G55" s="4149">
        <f>G4+G5</f>
        <v>13.59</v>
      </c>
      <c r="H55" s="4149">
        <f t="shared" ref="H55" si="9">H4+H5</f>
        <v>13.59</v>
      </c>
    </row>
    <row r="56" spans="1:10" x14ac:dyDescent="0.2">
      <c r="A56" s="2272">
        <v>3</v>
      </c>
      <c r="B56" s="2272" t="s">
        <v>2133</v>
      </c>
      <c r="C56" s="2272" t="s">
        <v>2154</v>
      </c>
      <c r="D56" s="4149">
        <f t="shared" ref="D56:H56" si="10">D6+D7</f>
        <v>0</v>
      </c>
      <c r="E56" s="4149">
        <f t="shared" si="10"/>
        <v>0</v>
      </c>
      <c r="F56" s="4149">
        <f t="shared" si="10"/>
        <v>67.430000000000007</v>
      </c>
      <c r="G56" s="4149">
        <f t="shared" si="10"/>
        <v>67.430000000000007</v>
      </c>
      <c r="H56" s="4149">
        <f t="shared" si="10"/>
        <v>67.430000000000007</v>
      </c>
    </row>
    <row r="57" spans="1:10" x14ac:dyDescent="0.2">
      <c r="A57" s="2272">
        <v>4</v>
      </c>
      <c r="B57" s="2272" t="s">
        <v>2133</v>
      </c>
      <c r="C57" s="2272" t="s">
        <v>2153</v>
      </c>
      <c r="D57" s="4149">
        <f>D8+D9</f>
        <v>0</v>
      </c>
      <c r="E57" s="4149">
        <f t="shared" ref="E57:F57" si="11">E8+E9</f>
        <v>0</v>
      </c>
      <c r="F57" s="4149">
        <f t="shared" si="11"/>
        <v>0</v>
      </c>
      <c r="G57" s="4149">
        <f>G8+G9</f>
        <v>0</v>
      </c>
      <c r="H57" s="4149">
        <f t="shared" ref="H57" si="12">H8+H9</f>
        <v>0</v>
      </c>
    </row>
    <row r="58" spans="1:10" x14ac:dyDescent="0.2">
      <c r="A58" s="2272">
        <v>5</v>
      </c>
      <c r="B58" s="2272" t="s">
        <v>2133</v>
      </c>
      <c r="C58" s="2272" t="s">
        <v>2152</v>
      </c>
      <c r="D58" s="4149">
        <f>D10+D11</f>
        <v>0</v>
      </c>
      <c r="E58" s="4149">
        <f t="shared" ref="E58:F58" si="13">E10+E11</f>
        <v>0</v>
      </c>
      <c r="F58" s="4149">
        <f t="shared" si="13"/>
        <v>582.6</v>
      </c>
      <c r="G58" s="4149">
        <f>G10+G11</f>
        <v>582.6</v>
      </c>
      <c r="H58" s="4149">
        <f t="shared" ref="H58" si="14">H10+H11</f>
        <v>582.6</v>
      </c>
    </row>
    <row r="59" spans="1:10" x14ac:dyDescent="0.2">
      <c r="A59" s="2272">
        <v>6</v>
      </c>
      <c r="B59" s="2272" t="s">
        <v>2133</v>
      </c>
      <c r="C59" s="2272" t="s">
        <v>2151</v>
      </c>
      <c r="D59" s="4149">
        <f>D12+D13</f>
        <v>0</v>
      </c>
      <c r="E59" s="4149">
        <f t="shared" ref="E59:F59" si="15">E12+E13</f>
        <v>0</v>
      </c>
      <c r="F59" s="4149">
        <f t="shared" si="15"/>
        <v>216.75</v>
      </c>
      <c r="G59" s="4149">
        <f>G12+G13</f>
        <v>216.75</v>
      </c>
      <c r="H59" s="4149">
        <f t="shared" ref="H59" si="16">H12+H13</f>
        <v>216.75</v>
      </c>
    </row>
    <row r="60" spans="1:10" x14ac:dyDescent="0.2">
      <c r="A60" s="2272">
        <v>7</v>
      </c>
      <c r="B60" s="2272" t="s">
        <v>2133</v>
      </c>
      <c r="C60" s="2272" t="s">
        <v>2150</v>
      </c>
      <c r="D60" s="4149">
        <f>D14+D15</f>
        <v>0</v>
      </c>
      <c r="E60" s="4149">
        <f t="shared" ref="E60:F60" si="17">E14+E15</f>
        <v>0</v>
      </c>
      <c r="F60" s="4149">
        <f t="shared" si="17"/>
        <v>0</v>
      </c>
      <c r="G60" s="4149">
        <f>G14+G15</f>
        <v>0</v>
      </c>
      <c r="H60" s="4149">
        <f t="shared" ref="H60" si="18">H14+H15</f>
        <v>0</v>
      </c>
    </row>
    <row r="61" spans="1:10" x14ac:dyDescent="0.2">
      <c r="A61" s="2272">
        <v>8</v>
      </c>
      <c r="B61" s="2272" t="s">
        <v>2133</v>
      </c>
      <c r="C61" s="2272" t="s">
        <v>2149</v>
      </c>
      <c r="D61" s="4149">
        <f>D16+D17</f>
        <v>0</v>
      </c>
      <c r="E61" s="4149">
        <f t="shared" ref="E61:F61" si="19">E16+E17</f>
        <v>0</v>
      </c>
      <c r="F61" s="4149">
        <f t="shared" si="19"/>
        <v>0</v>
      </c>
      <c r="G61" s="4149">
        <f>G16+G17</f>
        <v>0</v>
      </c>
      <c r="H61" s="4149">
        <f t="shared" ref="H61" si="20">H16+H17</f>
        <v>0</v>
      </c>
    </row>
    <row r="62" spans="1:10" x14ac:dyDescent="0.2">
      <c r="A62" s="2272">
        <v>9</v>
      </c>
      <c r="B62" s="2272" t="s">
        <v>2133</v>
      </c>
      <c r="C62" s="2272" t="s">
        <v>2148</v>
      </c>
      <c r="D62" s="4149">
        <f>D18+D19</f>
        <v>0</v>
      </c>
      <c r="E62" s="4149">
        <f>E18+E19</f>
        <v>0</v>
      </c>
      <c r="F62" s="4149">
        <f>F18+F19</f>
        <v>9.2800000000000011</v>
      </c>
      <c r="G62" s="4149">
        <f>G18+G19</f>
        <v>9.2800000000000011</v>
      </c>
      <c r="H62" s="4149">
        <f>H18+H19</f>
        <v>9.2800000000000011</v>
      </c>
    </row>
    <row r="63" spans="1:10" x14ac:dyDescent="0.2">
      <c r="A63" s="2272">
        <v>10</v>
      </c>
      <c r="B63" s="2272" t="s">
        <v>2133</v>
      </c>
      <c r="C63" s="2272" t="s">
        <v>2147</v>
      </c>
      <c r="D63" s="4149">
        <f>D20+D21</f>
        <v>0</v>
      </c>
      <c r="E63" s="4149">
        <f>E20+E21</f>
        <v>0</v>
      </c>
      <c r="F63" s="4149">
        <f>F20+F21</f>
        <v>0</v>
      </c>
      <c r="G63" s="4149">
        <f>G20+G21</f>
        <v>0</v>
      </c>
      <c r="H63" s="4149">
        <f>H20+H21</f>
        <v>0</v>
      </c>
    </row>
    <row r="64" spans="1:10" x14ac:dyDescent="0.2">
      <c r="A64" s="2272">
        <v>11</v>
      </c>
      <c r="B64" s="2272" t="s">
        <v>2133</v>
      </c>
      <c r="C64" s="2272" t="s">
        <v>2146</v>
      </c>
      <c r="D64" s="4149">
        <f>D22+D23</f>
        <v>0</v>
      </c>
      <c r="E64" s="4149">
        <f t="shared" ref="E64:F64" si="21">E22+E23</f>
        <v>0</v>
      </c>
      <c r="F64" s="4149">
        <f t="shared" si="21"/>
        <v>5.01</v>
      </c>
      <c r="G64" s="4149">
        <f>G22+G23</f>
        <v>5.01</v>
      </c>
      <c r="H64" s="4149">
        <f t="shared" ref="H64" si="22">H22+H23</f>
        <v>5.01</v>
      </c>
    </row>
    <row r="65" spans="1:8" x14ac:dyDescent="0.2">
      <c r="A65" s="2272">
        <v>12</v>
      </c>
      <c r="B65" s="2272" t="s">
        <v>2133</v>
      </c>
      <c r="C65" s="2272" t="s">
        <v>2145</v>
      </c>
      <c r="D65" s="4149">
        <f>D24+D25</f>
        <v>0</v>
      </c>
      <c r="E65" s="4149">
        <f t="shared" ref="E65:F65" si="23">E24+E25</f>
        <v>0</v>
      </c>
      <c r="F65" s="4149">
        <f t="shared" si="23"/>
        <v>0.35</v>
      </c>
      <c r="G65" s="4149">
        <f>G24+G25</f>
        <v>0.35</v>
      </c>
      <c r="H65" s="4149">
        <f t="shared" ref="H65" si="24">H24+H25</f>
        <v>0.35</v>
      </c>
    </row>
    <row r="66" spans="1:8" x14ac:dyDescent="0.2">
      <c r="A66" s="2272">
        <v>13</v>
      </c>
      <c r="B66" s="2272" t="s">
        <v>2133</v>
      </c>
      <c r="C66" s="2272" t="s">
        <v>2144</v>
      </c>
      <c r="D66" s="4149">
        <f>D26+D27</f>
        <v>0</v>
      </c>
      <c r="E66" s="4149">
        <f t="shared" ref="E66:F66" si="25">E26+E27</f>
        <v>0</v>
      </c>
      <c r="F66" s="4149">
        <f t="shared" si="25"/>
        <v>16.689999999999998</v>
      </c>
      <c r="G66" s="4149">
        <f>G26+G27</f>
        <v>16.689999999999998</v>
      </c>
      <c r="H66" s="4149">
        <f t="shared" ref="H66" si="26">H26+H27</f>
        <v>16.689999999999998</v>
      </c>
    </row>
    <row r="67" spans="1:8" x14ac:dyDescent="0.2">
      <c r="A67" s="2272">
        <v>14</v>
      </c>
      <c r="B67" s="2272" t="s">
        <v>2133</v>
      </c>
      <c r="C67" s="2272" t="s">
        <v>2143</v>
      </c>
      <c r="D67" s="4149">
        <f>D28+D29</f>
        <v>0</v>
      </c>
      <c r="E67" s="4149">
        <f t="shared" ref="E67:F67" si="27">E28+E29</f>
        <v>0</v>
      </c>
      <c r="F67" s="4149">
        <f t="shared" si="27"/>
        <v>724.94</v>
      </c>
      <c r="G67" s="4149">
        <f>G28+G29</f>
        <v>724.94</v>
      </c>
      <c r="H67" s="4149">
        <f t="shared" ref="H67" si="28">H28+H29</f>
        <v>724.94</v>
      </c>
    </row>
    <row r="68" spans="1:8" x14ac:dyDescent="0.2">
      <c r="A68" s="2272">
        <v>15</v>
      </c>
      <c r="B68" s="2272" t="s">
        <v>2133</v>
      </c>
      <c r="C68" s="2272" t="s">
        <v>2142</v>
      </c>
      <c r="D68" s="4149">
        <f>D30+D31</f>
        <v>0</v>
      </c>
      <c r="E68" s="4149">
        <f t="shared" ref="E68:F68" si="29">E30+E31</f>
        <v>0</v>
      </c>
      <c r="F68" s="4149">
        <f t="shared" si="29"/>
        <v>497.95000000000005</v>
      </c>
      <c r="G68" s="4149">
        <f>G30+G31</f>
        <v>497.95000000000005</v>
      </c>
      <c r="H68" s="4149">
        <f t="shared" ref="H68" si="30">H30+H31</f>
        <v>497.95000000000005</v>
      </c>
    </row>
    <row r="69" spans="1:8" x14ac:dyDescent="0.2">
      <c r="A69" s="2272">
        <v>16</v>
      </c>
      <c r="B69" s="2272" t="s">
        <v>2133</v>
      </c>
      <c r="C69" s="2272" t="s">
        <v>2141</v>
      </c>
      <c r="D69" s="4149">
        <f>D32+D33</f>
        <v>0</v>
      </c>
      <c r="E69" s="4149">
        <f t="shared" ref="E69:F69" si="31">E32+E33</f>
        <v>0</v>
      </c>
      <c r="F69" s="4149">
        <f t="shared" si="31"/>
        <v>1.91</v>
      </c>
      <c r="G69" s="4149">
        <f>G32+G33</f>
        <v>1.91</v>
      </c>
      <c r="H69" s="4149">
        <f t="shared" ref="H69" si="32">H32+H33</f>
        <v>1.91</v>
      </c>
    </row>
    <row r="70" spans="1:8" x14ac:dyDescent="0.2">
      <c r="A70" s="2272">
        <v>17</v>
      </c>
      <c r="B70" s="2272" t="s">
        <v>2133</v>
      </c>
      <c r="C70" s="2272" t="s">
        <v>2140</v>
      </c>
      <c r="D70" s="4149">
        <f>D34+D35</f>
        <v>0</v>
      </c>
      <c r="E70" s="4149">
        <f t="shared" ref="E70:F70" si="33">E34+E35</f>
        <v>0</v>
      </c>
      <c r="F70" s="4149">
        <f t="shared" si="33"/>
        <v>3153.17</v>
      </c>
      <c r="G70" s="4149">
        <f>G34+G35</f>
        <v>3153.17</v>
      </c>
      <c r="H70" s="4149">
        <f t="shared" ref="H70" si="34">H34+H35</f>
        <v>3153.17</v>
      </c>
    </row>
    <row r="71" spans="1:8" x14ac:dyDescent="0.2">
      <c r="A71" s="2272">
        <v>18</v>
      </c>
      <c r="B71" s="2272" t="s">
        <v>2133</v>
      </c>
      <c r="C71" s="2272" t="s">
        <v>2139</v>
      </c>
      <c r="D71" s="4149">
        <f>D36+D37</f>
        <v>0</v>
      </c>
      <c r="E71" s="4149">
        <f t="shared" ref="E71:F71" si="35">E36+E37</f>
        <v>0</v>
      </c>
      <c r="F71" s="4149">
        <f t="shared" si="35"/>
        <v>1.81</v>
      </c>
      <c r="G71" s="4149">
        <f>G36+G37</f>
        <v>1.81</v>
      </c>
      <c r="H71" s="4149">
        <f t="shared" ref="H71" si="36">H36+H37</f>
        <v>1.81</v>
      </c>
    </row>
    <row r="72" spans="1:8" x14ac:dyDescent="0.2">
      <c r="A72" s="2272">
        <v>19</v>
      </c>
      <c r="B72" s="2272" t="s">
        <v>2133</v>
      </c>
      <c r="C72" s="2272" t="s">
        <v>2138</v>
      </c>
      <c r="D72" s="4149">
        <f>D38+D39</f>
        <v>0</v>
      </c>
      <c r="E72" s="4149">
        <f t="shared" ref="E72:F72" si="37">E38+E39</f>
        <v>0</v>
      </c>
      <c r="F72" s="4149">
        <f t="shared" si="37"/>
        <v>174.66</v>
      </c>
      <c r="G72" s="4149">
        <f>G38+G39</f>
        <v>174.66</v>
      </c>
      <c r="H72" s="4149">
        <f t="shared" ref="H72" si="38">H38+H39</f>
        <v>174.66</v>
      </c>
    </row>
    <row r="73" spans="1:8" x14ac:dyDescent="0.2">
      <c r="A73" s="2272">
        <v>20</v>
      </c>
      <c r="B73" s="2272" t="s">
        <v>2133</v>
      </c>
      <c r="C73" s="2272" t="s">
        <v>2137</v>
      </c>
      <c r="D73" s="4149">
        <f>D40+D41</f>
        <v>0</v>
      </c>
      <c r="E73" s="4149">
        <f t="shared" ref="E73:F73" si="39">E40+E41</f>
        <v>0</v>
      </c>
      <c r="F73" s="4149">
        <f t="shared" si="39"/>
        <v>6.6400000000000006</v>
      </c>
      <c r="G73" s="4149">
        <f>G40+G41</f>
        <v>6.6400000000000006</v>
      </c>
      <c r="H73" s="4149">
        <f t="shared" ref="H73" si="40">H40+H41</f>
        <v>6.6400000000000006</v>
      </c>
    </row>
    <row r="74" spans="1:8" x14ac:dyDescent="0.2">
      <c r="A74" s="2272">
        <v>21</v>
      </c>
      <c r="B74" s="2272" t="s">
        <v>2133</v>
      </c>
      <c r="C74" s="2272" t="s">
        <v>2136</v>
      </c>
      <c r="D74" s="4149">
        <f>D42+D43</f>
        <v>0</v>
      </c>
      <c r="E74" s="4149">
        <f t="shared" ref="E74:F74" si="41">E42+E43</f>
        <v>0</v>
      </c>
      <c r="F74" s="4149">
        <f t="shared" si="41"/>
        <v>3.74</v>
      </c>
      <c r="G74" s="4149">
        <f>G42+G43</f>
        <v>3.74</v>
      </c>
      <c r="H74" s="4149">
        <f t="shared" ref="H74" si="42">H42+H43</f>
        <v>3.74</v>
      </c>
    </row>
    <row r="75" spans="1:8" x14ac:dyDescent="0.2">
      <c r="A75" s="2272">
        <v>22</v>
      </c>
      <c r="B75" s="2272" t="s">
        <v>2133</v>
      </c>
      <c r="C75" s="2272" t="s">
        <v>2135</v>
      </c>
      <c r="D75" s="4149">
        <f>D44+D45</f>
        <v>0</v>
      </c>
      <c r="E75" s="4149">
        <f t="shared" ref="E75:F75" si="43">E44+E45</f>
        <v>0</v>
      </c>
      <c r="F75" s="4149">
        <f t="shared" si="43"/>
        <v>30.35</v>
      </c>
      <c r="G75" s="4149">
        <f>G44+G45</f>
        <v>30.35</v>
      </c>
      <c r="H75" s="4149">
        <f t="shared" ref="H75" si="44">H44+H45</f>
        <v>30.35</v>
      </c>
    </row>
    <row r="76" spans="1:8" x14ac:dyDescent="0.2">
      <c r="A76" s="2272">
        <v>23</v>
      </c>
      <c r="B76" s="2272" t="s">
        <v>2133</v>
      </c>
      <c r="C76" s="2272" t="s">
        <v>2134</v>
      </c>
      <c r="D76" s="4149">
        <f>D46+D47</f>
        <v>0</v>
      </c>
      <c r="E76" s="4149">
        <f t="shared" ref="E76:H76" si="45">E46+E47</f>
        <v>0</v>
      </c>
      <c r="F76" s="4149">
        <f t="shared" si="45"/>
        <v>66.95</v>
      </c>
      <c r="G76" s="4149">
        <f t="shared" si="45"/>
        <v>66.95</v>
      </c>
      <c r="H76" s="4149">
        <f t="shared" si="45"/>
        <v>66.95</v>
      </c>
    </row>
    <row r="77" spans="1:8" x14ac:dyDescent="0.2">
      <c r="A77" s="2272">
        <v>24</v>
      </c>
      <c r="B77" s="2272" t="s">
        <v>2133</v>
      </c>
      <c r="C77" s="2272" t="s">
        <v>2132</v>
      </c>
      <c r="D77" s="4149">
        <f>D48+D49</f>
        <v>0</v>
      </c>
      <c r="E77" s="4149">
        <f t="shared" ref="E77:F77" si="46">E48+E49</f>
        <v>0</v>
      </c>
      <c r="F77" s="4149">
        <f t="shared" si="46"/>
        <v>0</v>
      </c>
      <c r="G77" s="4149">
        <f>G48+G49</f>
        <v>0</v>
      </c>
      <c r="H77" s="4149">
        <f t="shared" ref="H77" si="47">H48+H49</f>
        <v>0</v>
      </c>
    </row>
    <row r="78" spans="1:8" x14ac:dyDescent="0.2">
      <c r="A78" s="2272"/>
      <c r="B78" s="2272"/>
      <c r="C78" s="2272" t="s">
        <v>97</v>
      </c>
      <c r="D78" s="4149">
        <f t="shared" ref="D78:H78" si="48">SUM(D54:D77)</f>
        <v>0</v>
      </c>
      <c r="E78" s="4149">
        <f t="shared" si="48"/>
        <v>0</v>
      </c>
      <c r="F78" s="4149">
        <f t="shared" si="48"/>
        <v>5580.1900000000005</v>
      </c>
      <c r="G78" s="4149">
        <f t="shared" si="48"/>
        <v>5580.1900000000005</v>
      </c>
      <c r="H78" s="4149">
        <f t="shared" si="48"/>
        <v>5580.1900000000005</v>
      </c>
    </row>
    <row r="79" spans="1:8" x14ac:dyDescent="0.2">
      <c r="A79" s="2272"/>
      <c r="B79" s="2272"/>
      <c r="C79" s="2272" t="s">
        <v>2131</v>
      </c>
      <c r="D79" s="4149">
        <f>SUM(D54:D69)</f>
        <v>0</v>
      </c>
      <c r="E79" s="4149">
        <f t="shared" ref="E79:H79" si="49">SUM(E54:E69)</f>
        <v>0</v>
      </c>
      <c r="F79" s="4149">
        <f t="shared" si="49"/>
        <v>2142.87</v>
      </c>
      <c r="G79" s="4149">
        <f t="shared" si="49"/>
        <v>2142.87</v>
      </c>
      <c r="H79" s="4149">
        <f t="shared" si="49"/>
        <v>2142.87</v>
      </c>
    </row>
  </sheetData>
  <sortState xmlns:xlrd2="http://schemas.microsoft.com/office/spreadsheetml/2017/richdata2" ref="A2:H49">
    <sortCondition ref="A2:A49"/>
  </sortState>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2A8BB-6494-4A65-8F62-82A06C1DCB0E}">
  <sheetPr codeName="Ark155">
    <tabColor theme="3" tint="0.59999389629810485"/>
  </sheetPr>
  <dimension ref="A1:P58"/>
  <sheetViews>
    <sheetView zoomScale="85" zoomScaleNormal="85" workbookViewId="0">
      <selection activeCell="T26" sqref="T26"/>
    </sheetView>
  </sheetViews>
  <sheetFormatPr defaultRowHeight="12.75" x14ac:dyDescent="0.2"/>
  <cols>
    <col min="1" max="1" width="10.140625" customWidth="1"/>
    <col min="2" max="2" width="36.140625" bestFit="1" customWidth="1"/>
    <col min="3" max="3" width="10.85546875" customWidth="1"/>
    <col min="4" max="4" width="7.85546875" bestFit="1" customWidth="1"/>
    <col min="5" max="7" width="9" bestFit="1" customWidth="1"/>
    <col min="8" max="10" width="9.28515625" bestFit="1" customWidth="1"/>
  </cols>
  <sheetData>
    <row r="1" spans="1:16" ht="15" x14ac:dyDescent="0.25">
      <c r="A1" s="5404" t="s">
        <v>2254</v>
      </c>
      <c r="B1" s="5404"/>
      <c r="C1" s="5404"/>
      <c r="D1" s="5404"/>
      <c r="E1" s="5404"/>
      <c r="F1" s="5404"/>
      <c r="G1" s="5404"/>
      <c r="H1" s="5404"/>
      <c r="I1" s="5404"/>
      <c r="J1" s="5404"/>
      <c r="K1" s="5404"/>
      <c r="L1" s="5404"/>
      <c r="M1" s="5404"/>
      <c r="N1" s="5404"/>
      <c r="O1" s="5404"/>
      <c r="P1" s="5404"/>
    </row>
    <row r="2" spans="1:16" ht="15" x14ac:dyDescent="0.25">
      <c r="A2" s="1592" t="s">
        <v>2163</v>
      </c>
      <c r="B2" s="1592" t="s">
        <v>2161</v>
      </c>
      <c r="C2" s="1592" t="s">
        <v>2253</v>
      </c>
      <c r="D2" s="1592" t="s">
        <v>2252</v>
      </c>
      <c r="E2" s="1592" t="s">
        <v>2251</v>
      </c>
      <c r="F2" s="1592" t="s">
        <v>2250</v>
      </c>
      <c r="G2" s="1592" t="s">
        <v>2249</v>
      </c>
      <c r="H2" s="1592" t="s">
        <v>2248</v>
      </c>
      <c r="I2" s="1592" t="s">
        <v>2247</v>
      </c>
      <c r="J2" s="1592" t="s">
        <v>2246</v>
      </c>
      <c r="K2" s="1592" t="s">
        <v>2245</v>
      </c>
      <c r="L2" s="1592" t="s">
        <v>2244</v>
      </c>
      <c r="M2" s="1592" t="s">
        <v>2243</v>
      </c>
      <c r="N2" s="1592" t="s">
        <v>2242</v>
      </c>
      <c r="O2" s="1592" t="s">
        <v>2241</v>
      </c>
      <c r="P2" s="1592" t="s">
        <v>97</v>
      </c>
    </row>
    <row r="3" spans="1:16" ht="15" x14ac:dyDescent="0.25">
      <c r="A3" s="2702">
        <v>1</v>
      </c>
      <c r="B3" s="2703" t="s">
        <v>2156</v>
      </c>
      <c r="C3" s="4149">
        <v>0</v>
      </c>
      <c r="D3" s="4149">
        <v>0</v>
      </c>
      <c r="E3" s="4149">
        <v>0</v>
      </c>
      <c r="F3" s="4149">
        <v>0</v>
      </c>
      <c r="G3" s="4149">
        <v>0</v>
      </c>
      <c r="H3" s="4149">
        <v>0</v>
      </c>
      <c r="I3" s="4149">
        <v>0</v>
      </c>
      <c r="J3" s="4149">
        <v>0</v>
      </c>
      <c r="K3" s="4149">
        <v>0</v>
      </c>
      <c r="L3" s="4149">
        <v>0</v>
      </c>
      <c r="M3" s="4149">
        <v>0</v>
      </c>
      <c r="N3" s="4149">
        <v>0</v>
      </c>
      <c r="O3" s="4149">
        <v>0</v>
      </c>
      <c r="P3" s="2698">
        <f t="shared" ref="P3:P26" si="0">SUM(C3:O3)</f>
        <v>0</v>
      </c>
    </row>
    <row r="4" spans="1:16" ht="15" x14ac:dyDescent="0.25">
      <c r="A4" s="2702">
        <v>2</v>
      </c>
      <c r="B4" s="2703" t="s">
        <v>2155</v>
      </c>
      <c r="C4" s="4149">
        <v>0</v>
      </c>
      <c r="D4" s="4149">
        <v>0</v>
      </c>
      <c r="E4" s="4149">
        <v>0</v>
      </c>
      <c r="F4" s="4149">
        <v>0</v>
      </c>
      <c r="G4" s="4149">
        <v>0</v>
      </c>
      <c r="H4" s="4149">
        <v>0</v>
      </c>
      <c r="I4" s="4149">
        <v>0</v>
      </c>
      <c r="J4" s="4149">
        <v>0</v>
      </c>
      <c r="K4" s="4149">
        <v>0</v>
      </c>
      <c r="L4" s="4149">
        <v>0</v>
      </c>
      <c r="M4" s="4149">
        <v>0</v>
      </c>
      <c r="N4" s="4149">
        <v>0</v>
      </c>
      <c r="O4" s="4149">
        <v>0</v>
      </c>
      <c r="P4" s="2698">
        <f t="shared" si="0"/>
        <v>0</v>
      </c>
    </row>
    <row r="5" spans="1:16" ht="15" x14ac:dyDescent="0.25">
      <c r="A5" s="2702">
        <v>3</v>
      </c>
      <c r="B5" s="2703" t="s">
        <v>2154</v>
      </c>
      <c r="C5" s="4149">
        <v>0</v>
      </c>
      <c r="D5" s="4149">
        <v>0</v>
      </c>
      <c r="E5" s="4149">
        <v>0</v>
      </c>
      <c r="F5" s="4149">
        <v>0</v>
      </c>
      <c r="G5" s="4149">
        <v>0</v>
      </c>
      <c r="H5" s="4149">
        <v>0</v>
      </c>
      <c r="I5" s="4149">
        <v>0</v>
      </c>
      <c r="J5" s="4149">
        <v>0</v>
      </c>
      <c r="K5" s="4149">
        <v>0</v>
      </c>
      <c r="L5" s="4149">
        <v>0</v>
      </c>
      <c r="M5" s="4149">
        <v>0</v>
      </c>
      <c r="N5" s="4149">
        <v>0</v>
      </c>
      <c r="O5" s="4149">
        <v>0</v>
      </c>
      <c r="P5" s="2698">
        <f t="shared" si="0"/>
        <v>0</v>
      </c>
    </row>
    <row r="6" spans="1:16" ht="15" x14ac:dyDescent="0.25">
      <c r="A6" s="2702">
        <v>4</v>
      </c>
      <c r="B6" s="2703" t="s">
        <v>2153</v>
      </c>
      <c r="C6" s="4149">
        <v>0</v>
      </c>
      <c r="D6" s="4149">
        <v>0</v>
      </c>
      <c r="E6" s="4149">
        <v>0</v>
      </c>
      <c r="F6" s="4149">
        <v>0</v>
      </c>
      <c r="G6" s="4149">
        <v>0</v>
      </c>
      <c r="H6" s="4149">
        <v>0</v>
      </c>
      <c r="I6" s="4149">
        <v>0</v>
      </c>
      <c r="J6" s="4149">
        <v>0</v>
      </c>
      <c r="K6" s="4149">
        <v>0</v>
      </c>
      <c r="L6" s="4149">
        <v>0</v>
      </c>
      <c r="M6" s="4149">
        <v>0</v>
      </c>
      <c r="N6" s="4149">
        <v>0</v>
      </c>
      <c r="O6" s="4149">
        <v>0</v>
      </c>
      <c r="P6" s="2698">
        <f t="shared" si="0"/>
        <v>0</v>
      </c>
    </row>
    <row r="7" spans="1:16" ht="15" x14ac:dyDescent="0.25">
      <c r="A7" s="2702">
        <v>5</v>
      </c>
      <c r="B7" s="2703" t="s">
        <v>2152</v>
      </c>
      <c r="C7" s="4149">
        <v>0</v>
      </c>
      <c r="D7" s="4149">
        <v>0</v>
      </c>
      <c r="E7" s="4149">
        <v>0</v>
      </c>
      <c r="F7" s="4149">
        <v>0</v>
      </c>
      <c r="G7" s="4149">
        <v>0</v>
      </c>
      <c r="H7" s="4149">
        <v>0</v>
      </c>
      <c r="I7" s="4149">
        <v>0</v>
      </c>
      <c r="J7" s="4149">
        <v>0</v>
      </c>
      <c r="K7" s="4149">
        <v>0</v>
      </c>
      <c r="L7" s="4149">
        <v>0</v>
      </c>
      <c r="M7" s="4149">
        <v>0</v>
      </c>
      <c r="N7" s="4149">
        <v>0</v>
      </c>
      <c r="O7" s="4149">
        <v>0</v>
      </c>
      <c r="P7" s="2698">
        <f t="shared" si="0"/>
        <v>0</v>
      </c>
    </row>
    <row r="8" spans="1:16" ht="15" x14ac:dyDescent="0.25">
      <c r="A8" s="2702">
        <v>6</v>
      </c>
      <c r="B8" s="2703" t="s">
        <v>2151</v>
      </c>
      <c r="C8" s="4149">
        <v>0</v>
      </c>
      <c r="D8" s="4149">
        <v>0</v>
      </c>
      <c r="E8" s="4149">
        <v>0</v>
      </c>
      <c r="F8" s="4149">
        <v>0</v>
      </c>
      <c r="G8" s="4149">
        <v>0</v>
      </c>
      <c r="H8" s="4149">
        <v>0</v>
      </c>
      <c r="I8" s="4149">
        <v>0</v>
      </c>
      <c r="J8" s="4149">
        <v>0</v>
      </c>
      <c r="K8" s="4149">
        <v>0</v>
      </c>
      <c r="L8" s="4149">
        <v>0</v>
      </c>
      <c r="M8" s="4149">
        <v>0</v>
      </c>
      <c r="N8" s="4149">
        <v>0</v>
      </c>
      <c r="O8" s="4149">
        <v>0</v>
      </c>
      <c r="P8" s="2698">
        <f t="shared" si="0"/>
        <v>0</v>
      </c>
    </row>
    <row r="9" spans="1:16" ht="15" x14ac:dyDescent="0.25">
      <c r="A9" s="2702">
        <v>7</v>
      </c>
      <c r="B9" s="2703" t="s">
        <v>2150</v>
      </c>
      <c r="C9" s="4149">
        <v>0</v>
      </c>
      <c r="D9" s="4149">
        <v>0</v>
      </c>
      <c r="E9" s="4149">
        <v>0</v>
      </c>
      <c r="F9" s="4149">
        <v>0</v>
      </c>
      <c r="G9" s="4149">
        <v>0</v>
      </c>
      <c r="H9" s="4149">
        <v>0</v>
      </c>
      <c r="I9" s="4149">
        <v>0</v>
      </c>
      <c r="J9" s="4149">
        <v>0</v>
      </c>
      <c r="K9" s="4149">
        <v>0</v>
      </c>
      <c r="L9" s="4149">
        <v>0</v>
      </c>
      <c r="M9" s="4149">
        <v>0</v>
      </c>
      <c r="N9" s="4149">
        <v>0</v>
      </c>
      <c r="O9" s="4149">
        <v>0</v>
      </c>
      <c r="P9" s="2698">
        <f t="shared" si="0"/>
        <v>0</v>
      </c>
    </row>
    <row r="10" spans="1:16" ht="15" x14ac:dyDescent="0.25">
      <c r="A10" s="2702">
        <v>8</v>
      </c>
      <c r="B10" s="2703" t="s">
        <v>2149</v>
      </c>
      <c r="C10" s="4149">
        <v>0</v>
      </c>
      <c r="D10" s="4149">
        <v>0</v>
      </c>
      <c r="E10" s="4149">
        <v>0</v>
      </c>
      <c r="F10" s="4149">
        <v>0</v>
      </c>
      <c r="G10" s="4149">
        <v>0</v>
      </c>
      <c r="H10" s="4149">
        <v>0</v>
      </c>
      <c r="I10" s="4149">
        <v>0</v>
      </c>
      <c r="J10" s="4149">
        <v>0</v>
      </c>
      <c r="K10" s="4149">
        <v>0</v>
      </c>
      <c r="L10" s="4149">
        <v>0</v>
      </c>
      <c r="M10" s="4149">
        <v>0</v>
      </c>
      <c r="N10" s="4149">
        <v>0</v>
      </c>
      <c r="O10" s="4149">
        <v>0</v>
      </c>
      <c r="P10" s="2698">
        <f t="shared" si="0"/>
        <v>0</v>
      </c>
    </row>
    <row r="11" spans="1:16" ht="15" x14ac:dyDescent="0.25">
      <c r="A11" s="2702">
        <v>9</v>
      </c>
      <c r="B11" s="2703" t="s">
        <v>2148</v>
      </c>
      <c r="C11" s="4149">
        <v>0</v>
      </c>
      <c r="D11" s="4149">
        <v>0</v>
      </c>
      <c r="E11" s="4149">
        <v>0</v>
      </c>
      <c r="F11" s="4149">
        <v>0</v>
      </c>
      <c r="G11" s="4149">
        <v>0</v>
      </c>
      <c r="H11" s="4149">
        <v>0</v>
      </c>
      <c r="I11" s="4149">
        <v>0</v>
      </c>
      <c r="J11" s="4149">
        <v>0</v>
      </c>
      <c r="K11" s="4149">
        <v>0</v>
      </c>
      <c r="L11" s="4149">
        <v>0</v>
      </c>
      <c r="M11" s="4149">
        <v>0</v>
      </c>
      <c r="N11" s="4149">
        <v>0</v>
      </c>
      <c r="O11" s="4149">
        <v>0</v>
      </c>
      <c r="P11" s="2698">
        <f t="shared" si="0"/>
        <v>0</v>
      </c>
    </row>
    <row r="12" spans="1:16" ht="15" x14ac:dyDescent="0.25">
      <c r="A12" s="4037">
        <v>10</v>
      </c>
      <c r="B12" s="4038"/>
      <c r="C12" s="4149">
        <v>0</v>
      </c>
      <c r="D12" s="4149">
        <v>0</v>
      </c>
      <c r="E12" s="4149">
        <v>0</v>
      </c>
      <c r="F12" s="4149">
        <v>0</v>
      </c>
      <c r="G12" s="4149">
        <v>0</v>
      </c>
      <c r="H12" s="4149">
        <v>0</v>
      </c>
      <c r="I12" s="4149">
        <v>0</v>
      </c>
      <c r="J12" s="4149">
        <v>0</v>
      </c>
      <c r="K12" s="4149">
        <v>0</v>
      </c>
      <c r="L12" s="4149">
        <v>0</v>
      </c>
      <c r="M12" s="4149">
        <v>0</v>
      </c>
      <c r="N12" s="4149">
        <v>0</v>
      </c>
      <c r="O12" s="4149">
        <v>0</v>
      </c>
      <c r="P12" s="4039"/>
    </row>
    <row r="13" spans="1:16" ht="15" x14ac:dyDescent="0.25">
      <c r="A13" s="2702">
        <v>11</v>
      </c>
      <c r="B13" s="2703" t="s">
        <v>2146</v>
      </c>
      <c r="C13" s="4149">
        <v>0</v>
      </c>
      <c r="D13" s="4149">
        <v>0</v>
      </c>
      <c r="E13" s="4149">
        <v>0</v>
      </c>
      <c r="F13" s="4149">
        <v>0</v>
      </c>
      <c r="G13" s="4149">
        <v>0</v>
      </c>
      <c r="H13" s="4149">
        <v>0</v>
      </c>
      <c r="I13" s="4149">
        <v>0</v>
      </c>
      <c r="J13" s="4149">
        <v>0</v>
      </c>
      <c r="K13" s="4149">
        <v>0</v>
      </c>
      <c r="L13" s="4149">
        <v>0</v>
      </c>
      <c r="M13" s="4149">
        <v>0</v>
      </c>
      <c r="N13" s="4149">
        <v>0</v>
      </c>
      <c r="O13" s="4149">
        <v>0</v>
      </c>
      <c r="P13" s="2698">
        <f t="shared" si="0"/>
        <v>0</v>
      </c>
    </row>
    <row r="14" spans="1:16" ht="30" x14ac:dyDescent="0.25">
      <c r="A14" s="2702">
        <v>12</v>
      </c>
      <c r="B14" s="2703" t="s">
        <v>2145</v>
      </c>
      <c r="C14" s="4149">
        <v>0</v>
      </c>
      <c r="D14" s="4149">
        <v>0</v>
      </c>
      <c r="E14" s="4149">
        <v>0</v>
      </c>
      <c r="F14" s="4149">
        <v>0</v>
      </c>
      <c r="G14" s="4149">
        <v>0</v>
      </c>
      <c r="H14" s="4149">
        <v>0</v>
      </c>
      <c r="I14" s="4149">
        <v>0</v>
      </c>
      <c r="J14" s="4149">
        <v>0</v>
      </c>
      <c r="K14" s="4149">
        <v>0</v>
      </c>
      <c r="L14" s="4149">
        <v>0</v>
      </c>
      <c r="M14" s="4149">
        <v>0</v>
      </c>
      <c r="N14" s="4149">
        <v>0</v>
      </c>
      <c r="O14" s="4149">
        <v>0</v>
      </c>
      <c r="P14" s="2698">
        <f t="shared" si="0"/>
        <v>0</v>
      </c>
    </row>
    <row r="15" spans="1:16" ht="15" x14ac:dyDescent="0.25">
      <c r="A15" s="2702">
        <v>13</v>
      </c>
      <c r="B15" s="2703" t="s">
        <v>2144</v>
      </c>
      <c r="C15" s="4149">
        <v>0</v>
      </c>
      <c r="D15" s="4149">
        <v>0</v>
      </c>
      <c r="E15" s="4149">
        <v>0</v>
      </c>
      <c r="F15" s="4149">
        <v>0</v>
      </c>
      <c r="G15" s="4149">
        <v>0.61</v>
      </c>
      <c r="H15" s="4149">
        <v>0</v>
      </c>
      <c r="I15" s="4149">
        <v>0</v>
      </c>
      <c r="J15" s="4149">
        <v>2.73</v>
      </c>
      <c r="K15" s="4149">
        <v>0</v>
      </c>
      <c r="L15" s="4149">
        <v>0</v>
      </c>
      <c r="M15" s="4149">
        <v>0</v>
      </c>
      <c r="N15" s="4149">
        <v>0</v>
      </c>
      <c r="O15" s="4149">
        <v>0</v>
      </c>
      <c r="P15" s="2698">
        <f t="shared" si="0"/>
        <v>3.34</v>
      </c>
    </row>
    <row r="16" spans="1:16" ht="30" x14ac:dyDescent="0.25">
      <c r="A16" s="2702">
        <v>14</v>
      </c>
      <c r="B16" s="2703" t="s">
        <v>2143</v>
      </c>
      <c r="C16" s="4149">
        <v>0</v>
      </c>
      <c r="D16" s="4149">
        <v>0</v>
      </c>
      <c r="E16" s="4149">
        <v>0</v>
      </c>
      <c r="F16" s="4149">
        <v>0</v>
      </c>
      <c r="G16" s="4149">
        <v>0</v>
      </c>
      <c r="H16" s="4149">
        <v>0</v>
      </c>
      <c r="I16" s="4149">
        <v>0</v>
      </c>
      <c r="J16" s="4149">
        <v>0</v>
      </c>
      <c r="K16" s="4149">
        <v>0</v>
      </c>
      <c r="L16" s="4149">
        <v>0</v>
      </c>
      <c r="M16" s="4149">
        <v>0</v>
      </c>
      <c r="N16" s="4149">
        <v>0</v>
      </c>
      <c r="O16" s="4149">
        <v>0</v>
      </c>
      <c r="P16" s="2698">
        <f t="shared" si="0"/>
        <v>0</v>
      </c>
    </row>
    <row r="17" spans="1:16" ht="15" x14ac:dyDescent="0.25">
      <c r="A17" s="2702">
        <v>15</v>
      </c>
      <c r="B17" s="2703" t="s">
        <v>4267</v>
      </c>
      <c r="C17" s="4149">
        <v>0</v>
      </c>
      <c r="D17" s="4149">
        <v>0</v>
      </c>
      <c r="E17" s="4149">
        <v>0</v>
      </c>
      <c r="F17" s="4149">
        <v>0</v>
      </c>
      <c r="G17" s="4149">
        <v>0</v>
      </c>
      <c r="H17" s="4149">
        <v>0</v>
      </c>
      <c r="I17" s="4149">
        <v>0</v>
      </c>
      <c r="J17" s="4149">
        <v>0</v>
      </c>
      <c r="K17" s="4149">
        <v>0</v>
      </c>
      <c r="L17" s="4149">
        <v>0</v>
      </c>
      <c r="M17" s="4149">
        <v>0</v>
      </c>
      <c r="N17" s="4149">
        <v>0</v>
      </c>
      <c r="O17" s="4149">
        <v>0</v>
      </c>
      <c r="P17" s="2698">
        <f t="shared" si="0"/>
        <v>0</v>
      </c>
    </row>
    <row r="18" spans="1:16" ht="15" x14ac:dyDescent="0.25">
      <c r="A18" s="2702">
        <v>16</v>
      </c>
      <c r="B18" s="2703" t="s">
        <v>2141</v>
      </c>
      <c r="C18" s="4149">
        <v>0</v>
      </c>
      <c r="D18" s="4149">
        <v>0</v>
      </c>
      <c r="E18" s="4149">
        <v>0</v>
      </c>
      <c r="F18" s="4149">
        <v>0</v>
      </c>
      <c r="G18" s="4149">
        <v>0</v>
      </c>
      <c r="H18" s="4149">
        <v>0</v>
      </c>
      <c r="I18" s="4149">
        <v>0</v>
      </c>
      <c r="J18" s="4149">
        <v>0</v>
      </c>
      <c r="K18" s="4149">
        <v>0</v>
      </c>
      <c r="L18" s="4149">
        <v>0</v>
      </c>
      <c r="M18" s="4149">
        <v>0</v>
      </c>
      <c r="N18" s="4149">
        <v>0</v>
      </c>
      <c r="O18" s="4149">
        <v>0</v>
      </c>
      <c r="P18" s="2698">
        <f t="shared" si="0"/>
        <v>0</v>
      </c>
    </row>
    <row r="19" spans="1:16" ht="15" x14ac:dyDescent="0.25">
      <c r="A19" s="2702">
        <v>17</v>
      </c>
      <c r="B19" s="2703" t="s">
        <v>2140</v>
      </c>
      <c r="C19" s="4149">
        <v>0</v>
      </c>
      <c r="D19" s="4149">
        <v>0</v>
      </c>
      <c r="E19" s="4149">
        <v>0</v>
      </c>
      <c r="F19" s="4149">
        <v>0</v>
      </c>
      <c r="G19" s="4149">
        <v>0</v>
      </c>
      <c r="H19" s="4149">
        <v>0</v>
      </c>
      <c r="I19" s="4149">
        <v>0</v>
      </c>
      <c r="J19" s="4149">
        <v>0</v>
      </c>
      <c r="K19" s="4149">
        <v>0</v>
      </c>
      <c r="L19" s="4149">
        <v>0</v>
      </c>
      <c r="M19" s="4149">
        <v>0</v>
      </c>
      <c r="N19" s="4149">
        <v>0</v>
      </c>
      <c r="O19" s="4149">
        <v>0</v>
      </c>
      <c r="P19" s="2698">
        <f t="shared" si="0"/>
        <v>0</v>
      </c>
    </row>
    <row r="20" spans="1:16" ht="15" x14ac:dyDescent="0.25">
      <c r="A20" s="4037">
        <v>18</v>
      </c>
      <c r="B20" s="4038"/>
      <c r="C20" s="4039"/>
      <c r="D20" s="4039"/>
      <c r="E20" s="4039"/>
      <c r="F20" s="4039"/>
      <c r="G20" s="4039"/>
      <c r="H20" s="4039"/>
      <c r="I20" s="4039"/>
      <c r="J20" s="4039"/>
      <c r="K20" s="4039"/>
      <c r="L20" s="4039"/>
      <c r="M20" s="4039"/>
      <c r="N20" s="4039"/>
      <c r="O20" s="4039"/>
      <c r="P20" s="4039"/>
    </row>
    <row r="21" spans="1:16" ht="15" x14ac:dyDescent="0.25">
      <c r="A21" s="4037">
        <v>19</v>
      </c>
      <c r="B21" s="2703" t="s">
        <v>2138</v>
      </c>
      <c r="C21" s="4149">
        <v>0</v>
      </c>
      <c r="D21" s="4149">
        <v>0</v>
      </c>
      <c r="E21" s="4149">
        <v>0</v>
      </c>
      <c r="F21" s="4149">
        <v>0</v>
      </c>
      <c r="G21" s="4149">
        <v>0</v>
      </c>
      <c r="H21" s="4149">
        <v>0</v>
      </c>
      <c r="I21" s="4149">
        <v>0</v>
      </c>
      <c r="J21" s="4149">
        <v>0</v>
      </c>
      <c r="K21" s="4149">
        <v>0</v>
      </c>
      <c r="L21" s="4149">
        <v>0</v>
      </c>
      <c r="M21" s="4149">
        <v>0</v>
      </c>
      <c r="N21" s="4149">
        <v>0</v>
      </c>
      <c r="O21" s="4149">
        <v>0</v>
      </c>
      <c r="P21" s="4039"/>
    </row>
    <row r="22" spans="1:16" ht="15" x14ac:dyDescent="0.25">
      <c r="A22" s="2702">
        <v>20</v>
      </c>
      <c r="B22" s="2703" t="s">
        <v>2137</v>
      </c>
      <c r="C22" s="4149">
        <v>0</v>
      </c>
      <c r="D22" s="4149">
        <v>0</v>
      </c>
      <c r="E22" s="4149">
        <v>0</v>
      </c>
      <c r="F22" s="4149">
        <v>0</v>
      </c>
      <c r="G22" s="4149">
        <v>0</v>
      </c>
      <c r="H22" s="4149">
        <v>0</v>
      </c>
      <c r="I22" s="4149">
        <v>0</v>
      </c>
      <c r="J22" s="4149">
        <v>0</v>
      </c>
      <c r="K22" s="4149">
        <v>0</v>
      </c>
      <c r="L22" s="4149">
        <v>0</v>
      </c>
      <c r="M22" s="4149">
        <v>0</v>
      </c>
      <c r="N22" s="4149">
        <v>0</v>
      </c>
      <c r="O22" s="4149">
        <v>0</v>
      </c>
      <c r="P22" s="2698">
        <f t="shared" si="0"/>
        <v>0</v>
      </c>
    </row>
    <row r="23" spans="1:16" ht="15" x14ac:dyDescent="0.25">
      <c r="A23" s="2702">
        <v>21</v>
      </c>
      <c r="B23" s="2703" t="s">
        <v>2136</v>
      </c>
      <c r="C23" s="4149">
        <v>0</v>
      </c>
      <c r="D23" s="4149">
        <v>0</v>
      </c>
      <c r="E23" s="4149">
        <v>0</v>
      </c>
      <c r="F23" s="4149">
        <v>0</v>
      </c>
      <c r="G23" s="4149">
        <v>0</v>
      </c>
      <c r="H23" s="4149">
        <v>0</v>
      </c>
      <c r="I23" s="4149">
        <v>0</v>
      </c>
      <c r="J23" s="4149">
        <v>0</v>
      </c>
      <c r="K23" s="4149">
        <v>0</v>
      </c>
      <c r="L23" s="4149">
        <v>0</v>
      </c>
      <c r="M23" s="4149">
        <v>0</v>
      </c>
      <c r="N23" s="4149">
        <v>0</v>
      </c>
      <c r="O23" s="4149">
        <v>0</v>
      </c>
      <c r="P23" s="2698">
        <f t="shared" si="0"/>
        <v>0</v>
      </c>
    </row>
    <row r="24" spans="1:16" ht="15" x14ac:dyDescent="0.25">
      <c r="A24" s="2702">
        <v>22</v>
      </c>
      <c r="B24" s="2703" t="s">
        <v>2135</v>
      </c>
      <c r="C24" s="4149">
        <v>0</v>
      </c>
      <c r="D24" s="4149">
        <v>0</v>
      </c>
      <c r="E24" s="4149">
        <v>0</v>
      </c>
      <c r="F24" s="4149">
        <v>0</v>
      </c>
      <c r="G24" s="4149">
        <v>0</v>
      </c>
      <c r="H24" s="4149">
        <v>0</v>
      </c>
      <c r="I24" s="4149">
        <v>0</v>
      </c>
      <c r="J24" s="4149">
        <v>0</v>
      </c>
      <c r="K24" s="4149">
        <v>0</v>
      </c>
      <c r="L24" s="4149">
        <v>0</v>
      </c>
      <c r="M24" s="4149">
        <v>0</v>
      </c>
      <c r="N24" s="4149">
        <v>0</v>
      </c>
      <c r="O24" s="4149">
        <v>0</v>
      </c>
      <c r="P24" s="2698">
        <f t="shared" si="0"/>
        <v>0</v>
      </c>
    </row>
    <row r="25" spans="1:16" ht="15" x14ac:dyDescent="0.25">
      <c r="A25" s="2702">
        <v>23</v>
      </c>
      <c r="B25" s="2703" t="s">
        <v>2134</v>
      </c>
      <c r="C25" s="4149">
        <v>0</v>
      </c>
      <c r="D25" s="4149">
        <v>0</v>
      </c>
      <c r="E25" s="4149">
        <v>0</v>
      </c>
      <c r="F25" s="4149">
        <v>3.53</v>
      </c>
      <c r="G25" s="4149">
        <v>0</v>
      </c>
      <c r="H25" s="4149">
        <v>0</v>
      </c>
      <c r="I25" s="4149">
        <v>4.8</v>
      </c>
      <c r="J25" s="4149">
        <v>0</v>
      </c>
      <c r="K25" s="4149">
        <v>0</v>
      </c>
      <c r="L25" s="4149">
        <v>0</v>
      </c>
      <c r="M25" s="4149">
        <v>0</v>
      </c>
      <c r="N25" s="4149">
        <v>0</v>
      </c>
      <c r="O25" s="4149">
        <v>0</v>
      </c>
      <c r="P25" s="2698">
        <f t="shared" si="0"/>
        <v>8.33</v>
      </c>
    </row>
    <row r="26" spans="1:16" ht="15" x14ac:dyDescent="0.25">
      <c r="A26" s="2699"/>
      <c r="B26" s="2703" t="s">
        <v>97</v>
      </c>
      <c r="C26" s="2698">
        <f t="shared" ref="C26:O26" si="1">SUM(C1:C25)</f>
        <v>0</v>
      </c>
      <c r="D26" s="2698">
        <f t="shared" si="1"/>
        <v>0</v>
      </c>
      <c r="E26" s="2698">
        <f t="shared" si="1"/>
        <v>0</v>
      </c>
      <c r="F26" s="2698">
        <f t="shared" si="1"/>
        <v>3.53</v>
      </c>
      <c r="G26" s="2698">
        <f t="shared" si="1"/>
        <v>0.61</v>
      </c>
      <c r="H26" s="2698">
        <f t="shared" si="1"/>
        <v>0</v>
      </c>
      <c r="I26" s="2698">
        <f t="shared" si="1"/>
        <v>4.8</v>
      </c>
      <c r="J26" s="2698">
        <f t="shared" si="1"/>
        <v>2.73</v>
      </c>
      <c r="K26" s="2698">
        <f t="shared" si="1"/>
        <v>0</v>
      </c>
      <c r="L26" s="2698">
        <f t="shared" si="1"/>
        <v>0</v>
      </c>
      <c r="M26" s="2698">
        <f t="shared" si="1"/>
        <v>0</v>
      </c>
      <c r="N26" s="2698">
        <f t="shared" si="1"/>
        <v>0</v>
      </c>
      <c r="O26" s="2698">
        <f t="shared" si="1"/>
        <v>0</v>
      </c>
      <c r="P26" s="2705">
        <f t="shared" si="0"/>
        <v>11.67</v>
      </c>
    </row>
    <row r="28" spans="1:16" ht="15" x14ac:dyDescent="0.25">
      <c r="A28" s="5404" t="s">
        <v>2240</v>
      </c>
      <c r="B28" s="5404"/>
      <c r="C28" s="5404"/>
    </row>
    <row r="29" spans="1:16" ht="15" x14ac:dyDescent="0.25">
      <c r="A29" s="1592" t="s">
        <v>4750</v>
      </c>
      <c r="B29" s="1592" t="s">
        <v>2239</v>
      </c>
      <c r="C29" s="1592" t="s">
        <v>4268</v>
      </c>
    </row>
    <row r="30" spans="1:16" x14ac:dyDescent="0.2">
      <c r="A30" s="2699">
        <v>1082</v>
      </c>
      <c r="B30" s="147" t="s">
        <v>2912</v>
      </c>
      <c r="C30" s="1228"/>
    </row>
    <row r="31" spans="1:16" x14ac:dyDescent="0.2">
      <c r="A31" s="2699">
        <v>1082</v>
      </c>
      <c r="B31" s="147" t="s">
        <v>2913</v>
      </c>
      <c r="C31" s="1228"/>
    </row>
    <row r="32" spans="1:16" x14ac:dyDescent="0.2">
      <c r="A32" s="2699">
        <v>1082</v>
      </c>
      <c r="B32" s="147" t="s">
        <v>2914</v>
      </c>
      <c r="C32" s="1228"/>
    </row>
    <row r="33" spans="1:3" x14ac:dyDescent="0.2">
      <c r="A33" s="2699">
        <v>1082</v>
      </c>
      <c r="B33" s="147" t="s">
        <v>2915</v>
      </c>
      <c r="C33" s="1228"/>
    </row>
    <row r="34" spans="1:3" x14ac:dyDescent="0.2">
      <c r="A34" s="2699">
        <v>1082</v>
      </c>
      <c r="B34" s="147" t="s">
        <v>2916</v>
      </c>
      <c r="C34" s="1228"/>
    </row>
    <row r="35" spans="1:3" x14ac:dyDescent="0.2">
      <c r="A35" s="2699">
        <v>1082</v>
      </c>
      <c r="B35" s="147" t="s">
        <v>2917</v>
      </c>
      <c r="C35" s="1228"/>
    </row>
    <row r="36" spans="1:3" x14ac:dyDescent="0.2">
      <c r="A36" s="2699">
        <v>1082</v>
      </c>
      <c r="B36" s="147" t="s">
        <v>2238</v>
      </c>
      <c r="C36" s="1228"/>
    </row>
    <row r="37" spans="1:3" x14ac:dyDescent="0.2">
      <c r="A37" s="2699">
        <v>1082</v>
      </c>
      <c r="B37" t="s">
        <v>2237</v>
      </c>
    </row>
    <row r="39" spans="1:3" ht="15" x14ac:dyDescent="0.25">
      <c r="A39" s="5404" t="s">
        <v>2236</v>
      </c>
      <c r="B39" s="5404"/>
      <c r="C39" s="5404"/>
    </row>
    <row r="40" spans="1:3" ht="15" x14ac:dyDescent="0.25">
      <c r="A40" s="1592" t="s">
        <v>4750</v>
      </c>
      <c r="B40" s="1592" t="s">
        <v>2234</v>
      </c>
      <c r="C40" s="1592" t="s">
        <v>4269</v>
      </c>
    </row>
    <row r="41" spans="1:3" x14ac:dyDescent="0.2">
      <c r="A41" s="2699">
        <v>1082</v>
      </c>
      <c r="B41" s="147" t="s">
        <v>2233</v>
      </c>
      <c r="C41" s="1228"/>
    </row>
    <row r="42" spans="1:3" x14ac:dyDescent="0.2">
      <c r="A42" s="2699">
        <v>1082</v>
      </c>
      <c r="B42" s="2272" t="s">
        <v>2232</v>
      </c>
      <c r="C42" s="4149">
        <v>233.25</v>
      </c>
    </row>
    <row r="43" spans="1:3" x14ac:dyDescent="0.2">
      <c r="A43" s="2699">
        <v>1082</v>
      </c>
      <c r="B43" s="147" t="s">
        <v>2231</v>
      </c>
      <c r="C43" s="1228"/>
    </row>
    <row r="44" spans="1:3" x14ac:dyDescent="0.2">
      <c r="A44" s="2699">
        <v>1082</v>
      </c>
      <c r="B44" s="147" t="s">
        <v>2230</v>
      </c>
      <c r="C44" s="1228"/>
    </row>
    <row r="45" spans="1:3" x14ac:dyDescent="0.2">
      <c r="A45" s="2699">
        <v>1082</v>
      </c>
      <c r="B45" s="147" t="s">
        <v>2229</v>
      </c>
      <c r="C45" s="1228"/>
    </row>
    <row r="46" spans="1:3" x14ac:dyDescent="0.2">
      <c r="A46" s="2699">
        <v>1082</v>
      </c>
      <c r="B46" s="147" t="s">
        <v>2228</v>
      </c>
      <c r="C46" s="1228"/>
    </row>
    <row r="47" spans="1:3" x14ac:dyDescent="0.2">
      <c r="A47" s="2699">
        <v>1082</v>
      </c>
      <c r="B47" s="147" t="s">
        <v>2227</v>
      </c>
      <c r="C47" s="1228"/>
    </row>
    <row r="49" spans="1:4" ht="15" x14ac:dyDescent="0.25">
      <c r="A49" s="5404" t="s">
        <v>2235</v>
      </c>
      <c r="B49" s="5404"/>
      <c r="C49" s="5404"/>
    </row>
    <row r="50" spans="1:4" ht="15" x14ac:dyDescent="0.25">
      <c r="A50" s="1592" t="s">
        <v>4750</v>
      </c>
      <c r="B50" s="1592" t="s">
        <v>2234</v>
      </c>
      <c r="C50" s="1592" t="s">
        <v>4269</v>
      </c>
    </row>
    <row r="51" spans="1:4" x14ac:dyDescent="0.2">
      <c r="A51" s="147">
        <v>575</v>
      </c>
      <c r="B51" s="147" t="s">
        <v>2233</v>
      </c>
      <c r="C51" s="1593">
        <f>C41*1.015</f>
        <v>0</v>
      </c>
    </row>
    <row r="52" spans="1:4" x14ac:dyDescent="0.2">
      <c r="A52" s="147">
        <v>575</v>
      </c>
      <c r="B52" s="147" t="s">
        <v>2232</v>
      </c>
      <c r="C52" s="1593"/>
    </row>
    <row r="53" spans="1:4" x14ac:dyDescent="0.2">
      <c r="A53" s="147">
        <v>575</v>
      </c>
      <c r="B53" s="147" t="s">
        <v>2231</v>
      </c>
      <c r="C53" s="1593">
        <f t="shared" ref="C53:C57" si="2">C43*1.015</f>
        <v>0</v>
      </c>
    </row>
    <row r="54" spans="1:4" x14ac:dyDescent="0.2">
      <c r="A54" s="147">
        <v>575</v>
      </c>
      <c r="B54" s="147" t="s">
        <v>2230</v>
      </c>
      <c r="C54" s="1593">
        <f t="shared" si="2"/>
        <v>0</v>
      </c>
    </row>
    <row r="55" spans="1:4" x14ac:dyDescent="0.2">
      <c r="A55" s="147">
        <v>575</v>
      </c>
      <c r="B55" s="147" t="s">
        <v>2229</v>
      </c>
      <c r="C55" s="1593">
        <f t="shared" si="2"/>
        <v>0</v>
      </c>
    </row>
    <row r="56" spans="1:4" x14ac:dyDescent="0.2">
      <c r="A56" s="147">
        <v>575</v>
      </c>
      <c r="B56" s="147" t="s">
        <v>2228</v>
      </c>
      <c r="C56" s="1593">
        <f t="shared" si="2"/>
        <v>0</v>
      </c>
    </row>
    <row r="57" spans="1:4" x14ac:dyDescent="0.2">
      <c r="A57" s="147">
        <v>575</v>
      </c>
      <c r="B57" s="147" t="s">
        <v>2227</v>
      </c>
      <c r="C57" s="1593">
        <f t="shared" si="2"/>
        <v>0</v>
      </c>
    </row>
    <row r="58" spans="1:4" x14ac:dyDescent="0.2">
      <c r="A58" s="147">
        <v>575</v>
      </c>
      <c r="B58" s="147" t="s">
        <v>2226</v>
      </c>
      <c r="C58" s="1228"/>
      <c r="D58" s="1594"/>
    </row>
  </sheetData>
  <mergeCells count="4">
    <mergeCell ref="A1:P1"/>
    <mergeCell ref="A28:C28"/>
    <mergeCell ref="A39:C39"/>
    <mergeCell ref="A49:C49"/>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C1BB3-C0E3-4205-AC0C-6745E75DB94B}">
  <sheetPr codeName="Ark156">
    <tabColor theme="3" tint="0.59999389629810485"/>
    <pageSetUpPr fitToPage="1"/>
  </sheetPr>
  <dimension ref="A1:D34"/>
  <sheetViews>
    <sheetView workbookViewId="0">
      <selection activeCell="N23" sqref="N23"/>
    </sheetView>
  </sheetViews>
  <sheetFormatPr defaultRowHeight="12.75" x14ac:dyDescent="0.2"/>
  <cols>
    <col min="1" max="1" width="33.7109375" bestFit="1" customWidth="1"/>
    <col min="2" max="2" width="12.85546875" bestFit="1" customWidth="1"/>
    <col min="3" max="3" width="10.28515625" bestFit="1" customWidth="1"/>
    <col min="4" max="4" width="12.85546875" bestFit="1" customWidth="1"/>
  </cols>
  <sheetData>
    <row r="1" spans="1:4" x14ac:dyDescent="0.2">
      <c r="A1" s="4177" t="s">
        <v>2106</v>
      </c>
      <c r="B1" s="5405" t="s">
        <v>5384</v>
      </c>
      <c r="C1" s="5406"/>
      <c r="D1" s="5407"/>
    </row>
    <row r="2" spans="1:4" x14ac:dyDescent="0.2">
      <c r="A2" s="4177" t="s">
        <v>270</v>
      </c>
      <c r="B2" s="4186" t="s">
        <v>2104</v>
      </c>
      <c r="C2" s="4186" t="s">
        <v>2103</v>
      </c>
      <c r="D2" s="4186" t="s">
        <v>97</v>
      </c>
    </row>
    <row r="3" spans="1:4" x14ac:dyDescent="0.2">
      <c r="A3" s="4187" t="s">
        <v>2130</v>
      </c>
      <c r="B3" s="4187">
        <v>0</v>
      </c>
      <c r="C3" s="4187">
        <v>274.42</v>
      </c>
      <c r="D3" s="4187">
        <f t="shared" ref="D3:D27" si="0">SUM(B3:C3)</f>
        <v>274.42</v>
      </c>
    </row>
    <row r="4" spans="1:4" x14ac:dyDescent="0.2">
      <c r="A4" s="4187" t="s">
        <v>2129</v>
      </c>
      <c r="B4" s="4187">
        <v>623.22</v>
      </c>
      <c r="C4" s="4187">
        <v>0</v>
      </c>
      <c r="D4" s="4187">
        <f t="shared" si="0"/>
        <v>623.22</v>
      </c>
    </row>
    <row r="5" spans="1:4" x14ac:dyDescent="0.2">
      <c r="A5" s="4187" t="s">
        <v>2128</v>
      </c>
      <c r="B5" s="4187">
        <v>0</v>
      </c>
      <c r="C5" s="4187">
        <v>0</v>
      </c>
      <c r="D5" s="4187">
        <f t="shared" si="0"/>
        <v>0</v>
      </c>
    </row>
    <row r="6" spans="1:4" x14ac:dyDescent="0.2">
      <c r="A6" s="4187" t="s">
        <v>2127</v>
      </c>
      <c r="B6" s="4187">
        <v>0</v>
      </c>
      <c r="C6" s="4187">
        <v>0</v>
      </c>
      <c r="D6" s="4187">
        <f t="shared" si="0"/>
        <v>0</v>
      </c>
    </row>
    <row r="7" spans="1:4" x14ac:dyDescent="0.2">
      <c r="A7" s="4187" t="s">
        <v>2126</v>
      </c>
      <c r="B7" s="4187">
        <v>0</v>
      </c>
      <c r="C7" s="4187">
        <v>0</v>
      </c>
      <c r="D7" s="4187">
        <f t="shared" si="0"/>
        <v>0</v>
      </c>
    </row>
    <row r="8" spans="1:4" x14ac:dyDescent="0.2">
      <c r="A8" s="4149" t="s">
        <v>2125</v>
      </c>
      <c r="B8" s="4149">
        <v>283429.55</v>
      </c>
      <c r="C8" s="4149">
        <v>8853.77</v>
      </c>
      <c r="D8" s="4149">
        <f t="shared" si="0"/>
        <v>292283.32</v>
      </c>
    </row>
    <row r="9" spans="1:4" x14ac:dyDescent="0.2">
      <c r="A9" s="4188" t="s">
        <v>2124</v>
      </c>
      <c r="B9" s="4188">
        <v>2354.04</v>
      </c>
      <c r="C9" s="4188">
        <v>0</v>
      </c>
      <c r="D9" s="4188">
        <f t="shared" si="0"/>
        <v>2354.04</v>
      </c>
    </row>
    <row r="10" spans="1:4" x14ac:dyDescent="0.2">
      <c r="A10" s="4188" t="s">
        <v>2123</v>
      </c>
      <c r="B10" s="4188">
        <v>3135.17</v>
      </c>
      <c r="C10" s="4188">
        <v>0</v>
      </c>
      <c r="D10" s="4188">
        <f t="shared" si="0"/>
        <v>3135.17</v>
      </c>
    </row>
    <row r="11" spans="1:4" x14ac:dyDescent="0.2">
      <c r="A11" s="4188" t="s">
        <v>2122</v>
      </c>
      <c r="B11" s="4188">
        <v>13.97</v>
      </c>
      <c r="C11" s="4188">
        <v>684.08</v>
      </c>
      <c r="D11" s="4188">
        <f t="shared" si="0"/>
        <v>698.05000000000007</v>
      </c>
    </row>
    <row r="12" spans="1:4" x14ac:dyDescent="0.2">
      <c r="A12" s="4188" t="s">
        <v>2121</v>
      </c>
      <c r="B12" s="4188">
        <v>0</v>
      </c>
      <c r="C12" s="4188">
        <v>0</v>
      </c>
      <c r="D12" s="4188">
        <f t="shared" si="0"/>
        <v>0</v>
      </c>
    </row>
    <row r="13" spans="1:4" x14ac:dyDescent="0.2">
      <c r="A13" s="4188" t="s">
        <v>2120</v>
      </c>
      <c r="B13" s="4188">
        <v>3658.12</v>
      </c>
      <c r="C13" s="4188">
        <v>1451.31</v>
      </c>
      <c r="D13" s="4188">
        <f t="shared" si="0"/>
        <v>5109.43</v>
      </c>
    </row>
    <row r="14" spans="1:4" x14ac:dyDescent="0.2">
      <c r="A14" s="4188" t="s">
        <v>2119</v>
      </c>
      <c r="B14" s="4188">
        <v>3167.66</v>
      </c>
      <c r="C14" s="4188">
        <v>2247.2399999999998</v>
      </c>
      <c r="D14" s="4188">
        <f t="shared" si="0"/>
        <v>5414.9</v>
      </c>
    </row>
    <row r="15" spans="1:4" x14ac:dyDescent="0.2">
      <c r="A15" s="4188" t="s">
        <v>2118</v>
      </c>
      <c r="B15" s="4188">
        <v>0</v>
      </c>
      <c r="C15" s="4188">
        <v>0</v>
      </c>
      <c r="D15" s="4188">
        <f t="shared" si="0"/>
        <v>0</v>
      </c>
    </row>
    <row r="16" spans="1:4" x14ac:dyDescent="0.2">
      <c r="A16" s="4188" t="s">
        <v>2117</v>
      </c>
      <c r="B16" s="4188">
        <v>15127.69</v>
      </c>
      <c r="C16" s="4188">
        <v>3989.69</v>
      </c>
      <c r="D16" s="4188">
        <f t="shared" si="0"/>
        <v>19117.38</v>
      </c>
    </row>
    <row r="17" spans="1:4" x14ac:dyDescent="0.2">
      <c r="A17" s="4188" t="s">
        <v>2116</v>
      </c>
      <c r="B17" s="4188">
        <v>51161.17</v>
      </c>
      <c r="C17" s="4188">
        <v>10869.13</v>
      </c>
      <c r="D17" s="4188">
        <f t="shared" si="0"/>
        <v>62030.299999999996</v>
      </c>
    </row>
    <row r="18" spans="1:4" x14ac:dyDescent="0.2">
      <c r="A18" s="4188" t="s">
        <v>2115</v>
      </c>
      <c r="B18" s="4188">
        <v>11350.31</v>
      </c>
      <c r="C18" s="4188">
        <v>101.02</v>
      </c>
      <c r="D18" s="4188">
        <f t="shared" si="0"/>
        <v>11451.33</v>
      </c>
    </row>
    <row r="19" spans="1:4" x14ac:dyDescent="0.2">
      <c r="A19" s="4188" t="s">
        <v>2114</v>
      </c>
      <c r="B19" s="4188">
        <v>0</v>
      </c>
      <c r="C19" s="4188">
        <v>0</v>
      </c>
      <c r="D19" s="4188">
        <f t="shared" si="0"/>
        <v>0</v>
      </c>
    </row>
    <row r="20" spans="1:4" x14ac:dyDescent="0.2">
      <c r="A20" s="4188" t="s">
        <v>2113</v>
      </c>
      <c r="B20" s="4188">
        <v>43180.23</v>
      </c>
      <c r="C20" s="4188">
        <v>7962.84</v>
      </c>
      <c r="D20" s="4188">
        <f t="shared" si="0"/>
        <v>51143.070000000007</v>
      </c>
    </row>
    <row r="21" spans="1:4" x14ac:dyDescent="0.2">
      <c r="A21" s="4188" t="s">
        <v>2112</v>
      </c>
      <c r="B21" s="4188">
        <v>0</v>
      </c>
      <c r="C21" s="4188">
        <v>0</v>
      </c>
      <c r="D21" s="4188">
        <f t="shared" si="0"/>
        <v>0</v>
      </c>
    </row>
    <row r="22" spans="1:4" x14ac:dyDescent="0.2">
      <c r="A22" s="4188" t="s">
        <v>2111</v>
      </c>
      <c r="B22" s="4188">
        <v>0</v>
      </c>
      <c r="C22" s="4188">
        <v>0</v>
      </c>
      <c r="D22" s="4188">
        <f t="shared" si="0"/>
        <v>0</v>
      </c>
    </row>
    <row r="23" spans="1:4" x14ac:dyDescent="0.2">
      <c r="A23" s="4188" t="s">
        <v>2110</v>
      </c>
      <c r="B23" s="4188">
        <v>4817.79</v>
      </c>
      <c r="C23" s="4188">
        <v>605.12</v>
      </c>
      <c r="D23" s="4188">
        <f t="shared" si="0"/>
        <v>5422.91</v>
      </c>
    </row>
    <row r="24" spans="1:4" x14ac:dyDescent="0.2">
      <c r="A24" s="4188" t="s">
        <v>2109</v>
      </c>
      <c r="B24" s="4188">
        <v>0</v>
      </c>
      <c r="C24" s="4188">
        <v>0</v>
      </c>
      <c r="D24" s="4188">
        <f t="shared" si="0"/>
        <v>0</v>
      </c>
    </row>
    <row r="25" spans="1:4" x14ac:dyDescent="0.2">
      <c r="A25" s="4188" t="s">
        <v>2108</v>
      </c>
      <c r="B25" s="4188">
        <v>0</v>
      </c>
      <c r="C25" s="4188">
        <v>0</v>
      </c>
      <c r="D25" s="4188">
        <f t="shared" si="0"/>
        <v>0</v>
      </c>
    </row>
    <row r="26" spans="1:4" x14ac:dyDescent="0.2">
      <c r="A26" s="4188" t="s">
        <v>2107</v>
      </c>
      <c r="B26" s="4188">
        <v>0</v>
      </c>
      <c r="C26" s="4188">
        <v>0</v>
      </c>
      <c r="D26" s="4188">
        <f t="shared" si="0"/>
        <v>0</v>
      </c>
    </row>
    <row r="27" spans="1:4" x14ac:dyDescent="0.2">
      <c r="A27" s="4149" t="s">
        <v>97</v>
      </c>
      <c r="B27" s="4149">
        <f>SUM(B3:B26)</f>
        <v>422018.91999999981</v>
      </c>
      <c r="C27" s="4149">
        <f>SUM(C3:C26)</f>
        <v>37038.620000000003</v>
      </c>
      <c r="D27" s="4149">
        <f t="shared" si="0"/>
        <v>459057.5399999998</v>
      </c>
    </row>
    <row r="29" spans="1:4" x14ac:dyDescent="0.2">
      <c r="A29" s="4177" t="s">
        <v>2106</v>
      </c>
      <c r="B29" s="5408" t="s">
        <v>5384</v>
      </c>
      <c r="C29" s="5408"/>
      <c r="D29" s="5408"/>
    </row>
    <row r="30" spans="1:4" x14ac:dyDescent="0.2">
      <c r="A30" s="4177" t="s">
        <v>2105</v>
      </c>
      <c r="B30" s="4189" t="s">
        <v>2104</v>
      </c>
      <c r="C30" s="4189" t="s">
        <v>2103</v>
      </c>
      <c r="D30" s="4189" t="s">
        <v>97</v>
      </c>
    </row>
    <row r="31" spans="1:4" x14ac:dyDescent="0.2">
      <c r="A31" s="4190" t="s">
        <v>2102</v>
      </c>
      <c r="B31" s="4191">
        <v>297601.03000000003</v>
      </c>
      <c r="C31" s="4191">
        <v>9296.4599999999991</v>
      </c>
      <c r="D31" s="4191">
        <f>SUM(B31:C31)</f>
        <v>306897.49000000005</v>
      </c>
    </row>
    <row r="32" spans="1:4" x14ac:dyDescent="0.2">
      <c r="A32" s="4192" t="s">
        <v>2101</v>
      </c>
      <c r="B32" s="4193">
        <v>137966.15</v>
      </c>
      <c r="C32" s="4193">
        <v>27910.43</v>
      </c>
      <c r="D32" s="4193">
        <f>SUM(B32:C32)</f>
        <v>165876.57999999999</v>
      </c>
    </row>
    <row r="33" spans="1:4" x14ac:dyDescent="0.2">
      <c r="A33" s="4194" t="s">
        <v>2100</v>
      </c>
      <c r="B33" s="4195">
        <v>623.22</v>
      </c>
      <c r="C33" s="4195">
        <v>274.42</v>
      </c>
      <c r="D33" s="4195">
        <f>SUM(B33:C33)</f>
        <v>897.6400000000001</v>
      </c>
    </row>
    <row r="34" spans="1:4" x14ac:dyDescent="0.2">
      <c r="A34" s="4190" t="s">
        <v>2099</v>
      </c>
      <c r="B34" s="4191">
        <f>SUM(B31:B33)</f>
        <v>436190.4</v>
      </c>
      <c r="C34" s="4191">
        <f t="shared" ref="C34:D34" si="1">SUM(C31:C33)</f>
        <v>37481.31</v>
      </c>
      <c r="D34" s="4191">
        <f t="shared" si="1"/>
        <v>473671.71000000008</v>
      </c>
    </row>
  </sheetData>
  <mergeCells count="2">
    <mergeCell ref="B1:D1"/>
    <mergeCell ref="B29:D29"/>
  </mergeCells>
  <pageMargins left="0.7" right="0.7" top="0.75" bottom="0.75" header="0.3" footer="0.3"/>
  <pageSetup paperSize="9" scale="96"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21CB7-2FBE-414E-ACF8-2891B3B1D67E}">
  <sheetPr codeName="Ark162">
    <tabColor theme="3" tint="0.59999389629810485"/>
  </sheetPr>
  <dimension ref="A1:AN39"/>
  <sheetViews>
    <sheetView workbookViewId="0">
      <selection sqref="A1:AL38"/>
    </sheetView>
  </sheetViews>
  <sheetFormatPr defaultRowHeight="12.75" x14ac:dyDescent="0.2"/>
  <cols>
    <col min="2" max="2" width="25.140625" customWidth="1"/>
  </cols>
  <sheetData>
    <row r="1" spans="1:39" ht="15" x14ac:dyDescent="0.25">
      <c r="A1" s="4093" t="s">
        <v>5385</v>
      </c>
      <c r="B1" s="4094" t="s">
        <v>5317</v>
      </c>
      <c r="C1" s="4093">
        <v>1110</v>
      </c>
      <c r="D1" s="4093">
        <v>1120</v>
      </c>
      <c r="E1" s="4093">
        <v>1130</v>
      </c>
      <c r="F1" s="4093">
        <v>1180</v>
      </c>
      <c r="G1" s="4093">
        <v>1210</v>
      </c>
      <c r="H1" s="4093">
        <v>1220</v>
      </c>
      <c r="I1" s="4093">
        <v>1230</v>
      </c>
      <c r="J1" s="4093">
        <v>1280</v>
      </c>
      <c r="K1" s="4093">
        <v>1310</v>
      </c>
      <c r="L1" s="4093">
        <v>1320</v>
      </c>
      <c r="M1" s="4093">
        <v>1330</v>
      </c>
      <c r="N1" s="4093">
        <v>1380</v>
      </c>
      <c r="O1" s="4093">
        <v>1410</v>
      </c>
      <c r="P1" s="4093">
        <v>1420</v>
      </c>
      <c r="Q1" s="4093">
        <v>1430</v>
      </c>
      <c r="R1" s="4093">
        <v>1480</v>
      </c>
      <c r="S1" s="4093">
        <v>1510</v>
      </c>
      <c r="T1" s="4093">
        <v>1520</v>
      </c>
      <c r="U1" s="4093">
        <v>1530</v>
      </c>
      <c r="V1" s="4093">
        <v>1580</v>
      </c>
      <c r="W1" s="4093">
        <v>1610</v>
      </c>
      <c r="X1" s="4093">
        <v>1620</v>
      </c>
      <c r="Y1" s="4093">
        <v>1630</v>
      </c>
      <c r="Z1" s="4093">
        <v>1680</v>
      </c>
      <c r="AA1" s="4093">
        <v>1710</v>
      </c>
      <c r="AB1" s="4093">
        <v>1720</v>
      </c>
      <c r="AC1" s="4093">
        <v>1730</v>
      </c>
      <c r="AD1" s="4093">
        <v>1780</v>
      </c>
      <c r="AE1" s="4093">
        <v>1810</v>
      </c>
      <c r="AF1" s="4093">
        <v>1820</v>
      </c>
      <c r="AG1" s="4093">
        <v>1830</v>
      </c>
      <c r="AH1" s="4093">
        <v>1880</v>
      </c>
      <c r="AI1" s="4093">
        <v>1910</v>
      </c>
      <c r="AJ1" s="4093">
        <v>1920</v>
      </c>
      <c r="AK1" s="4093">
        <v>1930</v>
      </c>
      <c r="AL1" s="4093">
        <v>1980</v>
      </c>
      <c r="AM1" t="s">
        <v>4272</v>
      </c>
    </row>
    <row r="2" spans="1:39" ht="15" x14ac:dyDescent="0.25">
      <c r="A2" s="4093" t="s">
        <v>2298</v>
      </c>
      <c r="B2" s="4095" t="s">
        <v>2297</v>
      </c>
      <c r="C2" s="4095" t="s">
        <v>2296</v>
      </c>
      <c r="D2" s="4095" t="s">
        <v>2295</v>
      </c>
      <c r="E2" s="4095" t="s">
        <v>2294</v>
      </c>
      <c r="F2" s="4095" t="s">
        <v>2293</v>
      </c>
      <c r="G2" s="4095" t="s">
        <v>2292</v>
      </c>
      <c r="H2" s="4095" t="s">
        <v>2291</v>
      </c>
      <c r="I2" s="4095" t="s">
        <v>2290</v>
      </c>
      <c r="J2" s="4095" t="s">
        <v>2289</v>
      </c>
      <c r="K2" s="4095" t="s">
        <v>2288</v>
      </c>
      <c r="L2" s="4095" t="s">
        <v>2287</v>
      </c>
      <c r="M2" s="4095" t="s">
        <v>2286</v>
      </c>
      <c r="N2" s="4095" t="s">
        <v>2285</v>
      </c>
      <c r="O2" s="4095" t="s">
        <v>2284</v>
      </c>
      <c r="P2" s="4095" t="s">
        <v>2283</v>
      </c>
      <c r="Q2" s="4095" t="s">
        <v>2282</v>
      </c>
      <c r="R2" s="4095" t="s">
        <v>2281</v>
      </c>
      <c r="S2" s="4095" t="s">
        <v>2280</v>
      </c>
      <c r="T2" s="4095" t="s">
        <v>2279</v>
      </c>
      <c r="U2" s="4095" t="s">
        <v>2278</v>
      </c>
      <c r="V2" s="4095" t="s">
        <v>2277</v>
      </c>
      <c r="W2" s="4095" t="s">
        <v>2276</v>
      </c>
      <c r="X2" s="4095" t="s">
        <v>2275</v>
      </c>
      <c r="Y2" s="4095" t="s">
        <v>2274</v>
      </c>
      <c r="Z2" s="4095" t="s">
        <v>2273</v>
      </c>
      <c r="AA2" s="4095" t="s">
        <v>2272</v>
      </c>
      <c r="AB2" s="4095" t="s">
        <v>2271</v>
      </c>
      <c r="AC2" s="4095" t="s">
        <v>2270</v>
      </c>
      <c r="AD2" s="4095" t="s">
        <v>2269</v>
      </c>
      <c r="AE2" s="4095" t="s">
        <v>2268</v>
      </c>
      <c r="AF2" s="4095" t="s">
        <v>2267</v>
      </c>
      <c r="AG2" s="4095" t="s">
        <v>2266</v>
      </c>
      <c r="AH2" s="4095" t="s">
        <v>2265</v>
      </c>
      <c r="AI2" s="4095" t="s">
        <v>2264</v>
      </c>
      <c r="AJ2" s="4095" t="s">
        <v>2263</v>
      </c>
      <c r="AK2" s="4095" t="s">
        <v>2262</v>
      </c>
      <c r="AL2" s="4096" t="s">
        <v>2261</v>
      </c>
    </row>
    <row r="3" spans="1:39" ht="15" x14ac:dyDescent="0.25">
      <c r="A3" s="4093">
        <v>1110</v>
      </c>
      <c r="B3" s="4095" t="s">
        <v>2296</v>
      </c>
      <c r="C3" s="4092">
        <v>1163.9375</v>
      </c>
      <c r="D3" s="4092">
        <v>0</v>
      </c>
      <c r="E3" s="4092">
        <v>0</v>
      </c>
      <c r="F3" s="4092">
        <v>0</v>
      </c>
      <c r="G3" s="4092">
        <v>0</v>
      </c>
      <c r="H3" s="4092">
        <v>0</v>
      </c>
      <c r="I3" s="4092">
        <v>0</v>
      </c>
      <c r="J3" s="4092">
        <v>0</v>
      </c>
      <c r="K3" s="4092">
        <v>0</v>
      </c>
      <c r="L3" s="4092">
        <v>0</v>
      </c>
      <c r="M3" s="4092">
        <v>0</v>
      </c>
      <c r="N3" s="4092">
        <v>0</v>
      </c>
      <c r="O3" s="4092">
        <v>0</v>
      </c>
      <c r="P3" s="4092">
        <v>0</v>
      </c>
      <c r="Q3" s="4092">
        <v>0</v>
      </c>
      <c r="R3" s="4092">
        <v>0</v>
      </c>
      <c r="S3" s="4092">
        <v>0</v>
      </c>
      <c r="T3" s="4092">
        <v>0</v>
      </c>
      <c r="U3" s="4092">
        <v>0</v>
      </c>
      <c r="V3" s="4092">
        <v>0</v>
      </c>
      <c r="W3" s="4092">
        <v>0</v>
      </c>
      <c r="X3" s="4092">
        <v>0</v>
      </c>
      <c r="Y3" s="4092">
        <v>0</v>
      </c>
      <c r="Z3" s="4092">
        <v>0</v>
      </c>
      <c r="AA3" s="4092">
        <v>0</v>
      </c>
      <c r="AB3" s="4092">
        <v>0</v>
      </c>
      <c r="AC3" s="4092">
        <v>0</v>
      </c>
      <c r="AD3" s="4092">
        <v>0</v>
      </c>
      <c r="AE3" s="4092">
        <v>0</v>
      </c>
      <c r="AF3" s="4092">
        <v>0</v>
      </c>
      <c r="AG3" s="4092">
        <v>0</v>
      </c>
      <c r="AH3" s="4092">
        <v>0</v>
      </c>
      <c r="AI3" s="4092">
        <v>0</v>
      </c>
      <c r="AJ3" s="4092">
        <v>0</v>
      </c>
      <c r="AK3" s="4092">
        <v>0</v>
      </c>
      <c r="AL3" s="4092">
        <v>0</v>
      </c>
      <c r="AM3">
        <f>SUM(C3:AL3)</f>
        <v>1163.9375</v>
      </c>
    </row>
    <row r="4" spans="1:39" ht="15" x14ac:dyDescent="0.25">
      <c r="A4" s="4093">
        <v>1120</v>
      </c>
      <c r="B4" s="4095" t="s">
        <v>2295</v>
      </c>
      <c r="C4" s="4092">
        <v>0</v>
      </c>
      <c r="D4" s="4092">
        <v>0</v>
      </c>
      <c r="E4" s="4092">
        <v>0</v>
      </c>
      <c r="F4" s="4092">
        <v>0</v>
      </c>
      <c r="G4" s="4092">
        <v>0</v>
      </c>
      <c r="H4" s="4092">
        <v>0</v>
      </c>
      <c r="I4" s="4092">
        <v>0</v>
      </c>
      <c r="J4" s="4092">
        <v>0</v>
      </c>
      <c r="K4" s="4092">
        <v>0</v>
      </c>
      <c r="L4" s="4092">
        <v>0</v>
      </c>
      <c r="M4" s="4092">
        <v>0</v>
      </c>
      <c r="N4" s="4092">
        <v>0</v>
      </c>
      <c r="O4" s="4092">
        <v>0</v>
      </c>
      <c r="P4" s="4092">
        <v>0</v>
      </c>
      <c r="Q4" s="4092">
        <v>0</v>
      </c>
      <c r="R4" s="4092">
        <v>0</v>
      </c>
      <c r="S4" s="4092">
        <v>0</v>
      </c>
      <c r="T4" s="4092">
        <v>0</v>
      </c>
      <c r="U4" s="4092">
        <v>0</v>
      </c>
      <c r="V4" s="4092">
        <v>0</v>
      </c>
      <c r="W4" s="4092">
        <v>0</v>
      </c>
      <c r="X4" s="4092">
        <v>0</v>
      </c>
      <c r="Y4" s="4092">
        <v>0</v>
      </c>
      <c r="Z4" s="4092">
        <v>0</v>
      </c>
      <c r="AA4" s="4092">
        <v>0</v>
      </c>
      <c r="AB4" s="4092">
        <v>0</v>
      </c>
      <c r="AC4" s="4092">
        <v>0</v>
      </c>
      <c r="AD4" s="4092">
        <v>0</v>
      </c>
      <c r="AE4" s="4092">
        <v>0</v>
      </c>
      <c r="AF4" s="4092">
        <v>0</v>
      </c>
      <c r="AG4" s="4092">
        <v>0</v>
      </c>
      <c r="AH4" s="4092">
        <v>0</v>
      </c>
      <c r="AI4" s="4092">
        <v>0</v>
      </c>
      <c r="AJ4" s="4092">
        <v>0</v>
      </c>
      <c r="AK4" s="4092">
        <v>0</v>
      </c>
      <c r="AL4" s="4092">
        <v>0</v>
      </c>
      <c r="AM4">
        <f t="shared" ref="AM4:AM38" si="0">SUM(C4:AL4)</f>
        <v>0</v>
      </c>
    </row>
    <row r="5" spans="1:39" ht="15" x14ac:dyDescent="0.25">
      <c r="A5" s="4093">
        <v>1130</v>
      </c>
      <c r="B5" s="4095" t="s">
        <v>2294</v>
      </c>
      <c r="C5" s="4092">
        <v>0</v>
      </c>
      <c r="D5" s="4092">
        <v>0</v>
      </c>
      <c r="E5" s="4092">
        <v>0</v>
      </c>
      <c r="F5" s="4092">
        <v>0</v>
      </c>
      <c r="G5" s="4092">
        <v>0</v>
      </c>
      <c r="H5" s="4092">
        <v>0</v>
      </c>
      <c r="I5" s="4092">
        <v>0</v>
      </c>
      <c r="J5" s="4092">
        <v>0</v>
      </c>
      <c r="K5" s="4092">
        <v>0</v>
      </c>
      <c r="L5" s="4092">
        <v>0</v>
      </c>
      <c r="M5" s="4092">
        <v>0</v>
      </c>
      <c r="N5" s="4092">
        <v>0</v>
      </c>
      <c r="O5" s="4092">
        <v>0</v>
      </c>
      <c r="P5" s="4092">
        <v>0</v>
      </c>
      <c r="Q5" s="4092">
        <v>0</v>
      </c>
      <c r="R5" s="4092">
        <v>0</v>
      </c>
      <c r="S5" s="4092">
        <v>0</v>
      </c>
      <c r="T5" s="4092">
        <v>0</v>
      </c>
      <c r="U5" s="4092">
        <v>0</v>
      </c>
      <c r="V5" s="4092">
        <v>0</v>
      </c>
      <c r="W5" s="4092">
        <v>0</v>
      </c>
      <c r="X5" s="4092">
        <v>0</v>
      </c>
      <c r="Y5" s="4092">
        <v>0</v>
      </c>
      <c r="Z5" s="4092">
        <v>0</v>
      </c>
      <c r="AA5" s="4092">
        <v>0</v>
      </c>
      <c r="AB5" s="4092">
        <v>0</v>
      </c>
      <c r="AC5" s="4092">
        <v>0</v>
      </c>
      <c r="AD5" s="4092">
        <v>0</v>
      </c>
      <c r="AE5" s="4092">
        <v>0</v>
      </c>
      <c r="AF5" s="4092">
        <v>0</v>
      </c>
      <c r="AG5" s="4092">
        <v>0</v>
      </c>
      <c r="AH5" s="4092">
        <v>0</v>
      </c>
      <c r="AI5" s="4092">
        <v>0</v>
      </c>
      <c r="AJ5" s="4092">
        <v>0</v>
      </c>
      <c r="AK5" s="4092">
        <v>0</v>
      </c>
      <c r="AL5" s="4092">
        <v>0</v>
      </c>
      <c r="AM5">
        <f t="shared" si="0"/>
        <v>0</v>
      </c>
    </row>
    <row r="6" spans="1:39" ht="15" x14ac:dyDescent="0.25">
      <c r="A6" s="4093">
        <v>1180</v>
      </c>
      <c r="B6" s="4095" t="s">
        <v>2293</v>
      </c>
      <c r="C6" s="4092">
        <v>0</v>
      </c>
      <c r="D6" s="4092">
        <v>0</v>
      </c>
      <c r="E6" s="4092">
        <v>0</v>
      </c>
      <c r="F6" s="4092">
        <v>2</v>
      </c>
      <c r="G6" s="4092">
        <v>0</v>
      </c>
      <c r="H6" s="4092">
        <v>0</v>
      </c>
      <c r="I6" s="4092">
        <v>0</v>
      </c>
      <c r="J6" s="4092">
        <v>0</v>
      </c>
      <c r="K6" s="4092">
        <v>0</v>
      </c>
      <c r="L6" s="4092">
        <v>0</v>
      </c>
      <c r="M6" s="4092">
        <v>0</v>
      </c>
      <c r="N6" s="4092">
        <v>0</v>
      </c>
      <c r="O6" s="4092">
        <v>0</v>
      </c>
      <c r="P6" s="4092">
        <v>0</v>
      </c>
      <c r="Q6" s="4092">
        <v>0</v>
      </c>
      <c r="R6" s="4092">
        <v>0</v>
      </c>
      <c r="S6" s="4092">
        <v>0</v>
      </c>
      <c r="T6" s="4092">
        <v>0</v>
      </c>
      <c r="U6" s="4092">
        <v>0</v>
      </c>
      <c r="V6" s="4092">
        <v>0</v>
      </c>
      <c r="W6" s="4092">
        <v>0</v>
      </c>
      <c r="X6" s="4092">
        <v>0</v>
      </c>
      <c r="Y6" s="4092">
        <v>0</v>
      </c>
      <c r="Z6" s="4092">
        <v>0</v>
      </c>
      <c r="AA6" s="4092">
        <v>0</v>
      </c>
      <c r="AB6" s="4092">
        <v>0</v>
      </c>
      <c r="AC6" s="4092">
        <v>0</v>
      </c>
      <c r="AD6" s="4092">
        <v>0</v>
      </c>
      <c r="AE6" s="4092">
        <v>0</v>
      </c>
      <c r="AF6" s="4092">
        <v>0</v>
      </c>
      <c r="AG6" s="4092">
        <v>0</v>
      </c>
      <c r="AH6" s="4092">
        <v>0</v>
      </c>
      <c r="AI6" s="4092">
        <v>0</v>
      </c>
      <c r="AJ6" s="4092">
        <v>0</v>
      </c>
      <c r="AK6" s="4092">
        <v>0</v>
      </c>
      <c r="AL6" s="4092">
        <v>0</v>
      </c>
      <c r="AM6">
        <f t="shared" si="0"/>
        <v>2</v>
      </c>
    </row>
    <row r="7" spans="1:39" ht="15" x14ac:dyDescent="0.25">
      <c r="A7" s="4093">
        <v>1210</v>
      </c>
      <c r="B7" s="4095" t="s">
        <v>2292</v>
      </c>
      <c r="C7" s="4092">
        <v>0</v>
      </c>
      <c r="D7" s="4092">
        <v>0</v>
      </c>
      <c r="E7" s="4092">
        <v>0</v>
      </c>
      <c r="F7" s="4092">
        <v>0</v>
      </c>
      <c r="G7" s="4092">
        <v>51.0625</v>
      </c>
      <c r="H7" s="4092">
        <v>0</v>
      </c>
      <c r="I7" s="4092">
        <v>0</v>
      </c>
      <c r="J7" s="4092">
        <v>0</v>
      </c>
      <c r="K7" s="4092">
        <v>0</v>
      </c>
      <c r="L7" s="4092">
        <v>0</v>
      </c>
      <c r="M7" s="4092">
        <v>0</v>
      </c>
      <c r="N7" s="4092">
        <v>0</v>
      </c>
      <c r="O7" s="4092">
        <v>0</v>
      </c>
      <c r="P7" s="4092">
        <v>0</v>
      </c>
      <c r="Q7" s="4092">
        <v>0</v>
      </c>
      <c r="R7" s="4092">
        <v>0</v>
      </c>
      <c r="S7" s="4092">
        <v>0</v>
      </c>
      <c r="T7" s="4092">
        <v>0</v>
      </c>
      <c r="U7" s="4092">
        <v>0</v>
      </c>
      <c r="V7" s="4092">
        <v>0</v>
      </c>
      <c r="W7" s="4092">
        <v>0</v>
      </c>
      <c r="X7" s="4092">
        <v>0</v>
      </c>
      <c r="Y7" s="4092">
        <v>0</v>
      </c>
      <c r="Z7" s="4092">
        <v>0</v>
      </c>
      <c r="AA7" s="4092">
        <v>0</v>
      </c>
      <c r="AB7" s="4092">
        <v>0</v>
      </c>
      <c r="AC7" s="4092">
        <v>0</v>
      </c>
      <c r="AD7" s="4092">
        <v>0</v>
      </c>
      <c r="AE7" s="4092">
        <v>0</v>
      </c>
      <c r="AF7" s="4092">
        <v>0</v>
      </c>
      <c r="AG7" s="4092">
        <v>0</v>
      </c>
      <c r="AH7" s="4092">
        <v>0</v>
      </c>
      <c r="AI7" s="4092">
        <v>0</v>
      </c>
      <c r="AJ7" s="4092">
        <v>0</v>
      </c>
      <c r="AK7" s="4092">
        <v>0</v>
      </c>
      <c r="AL7" s="4092">
        <v>0</v>
      </c>
      <c r="AM7">
        <f t="shared" si="0"/>
        <v>51.0625</v>
      </c>
    </row>
    <row r="8" spans="1:39" ht="15" x14ac:dyDescent="0.25">
      <c r="A8" s="4093">
        <v>1220</v>
      </c>
      <c r="B8" s="4095" t="s">
        <v>2291</v>
      </c>
      <c r="C8" s="4092">
        <v>0</v>
      </c>
      <c r="D8" s="4092">
        <v>0</v>
      </c>
      <c r="E8" s="4092">
        <v>0</v>
      </c>
      <c r="F8" s="4092">
        <v>0</v>
      </c>
      <c r="G8" s="4092">
        <v>0</v>
      </c>
      <c r="H8" s="4092">
        <v>0</v>
      </c>
      <c r="I8" s="4092">
        <v>0</v>
      </c>
      <c r="J8" s="4092">
        <v>0</v>
      </c>
      <c r="K8" s="4092">
        <v>0</v>
      </c>
      <c r="L8" s="4092">
        <v>0</v>
      </c>
      <c r="M8" s="4092">
        <v>0</v>
      </c>
      <c r="N8" s="4092">
        <v>0</v>
      </c>
      <c r="O8" s="4092">
        <v>0</v>
      </c>
      <c r="P8" s="4092">
        <v>0</v>
      </c>
      <c r="Q8" s="4092">
        <v>0</v>
      </c>
      <c r="R8" s="4092">
        <v>0</v>
      </c>
      <c r="S8" s="4092">
        <v>0</v>
      </c>
      <c r="T8" s="4092">
        <v>0</v>
      </c>
      <c r="U8" s="4092">
        <v>0</v>
      </c>
      <c r="V8" s="4092">
        <v>0</v>
      </c>
      <c r="W8" s="4092">
        <v>0</v>
      </c>
      <c r="X8" s="4092">
        <v>0</v>
      </c>
      <c r="Y8" s="4092">
        <v>0</v>
      </c>
      <c r="Z8" s="4092">
        <v>0</v>
      </c>
      <c r="AA8" s="4092">
        <v>0</v>
      </c>
      <c r="AB8" s="4092">
        <v>0</v>
      </c>
      <c r="AC8" s="4092">
        <v>0</v>
      </c>
      <c r="AD8" s="4092">
        <v>0</v>
      </c>
      <c r="AE8" s="4092">
        <v>0</v>
      </c>
      <c r="AF8" s="4092">
        <v>0</v>
      </c>
      <c r="AG8" s="4092">
        <v>0</v>
      </c>
      <c r="AH8" s="4092">
        <v>0</v>
      </c>
      <c r="AI8" s="4092">
        <v>0</v>
      </c>
      <c r="AJ8" s="4092">
        <v>0</v>
      </c>
      <c r="AK8" s="4092">
        <v>0</v>
      </c>
      <c r="AL8" s="4092">
        <v>0</v>
      </c>
      <c r="AM8">
        <f t="shared" si="0"/>
        <v>0</v>
      </c>
    </row>
    <row r="9" spans="1:39" ht="15" x14ac:dyDescent="0.25">
      <c r="A9" s="4093">
        <v>1230</v>
      </c>
      <c r="B9" s="4095" t="s">
        <v>2290</v>
      </c>
      <c r="C9" s="4092">
        <v>0</v>
      </c>
      <c r="D9" s="4092">
        <v>0</v>
      </c>
      <c r="E9" s="4092">
        <v>0</v>
      </c>
      <c r="F9" s="4092">
        <v>0</v>
      </c>
      <c r="G9" s="4092">
        <v>0</v>
      </c>
      <c r="H9" s="4092">
        <v>0</v>
      </c>
      <c r="I9" s="4092">
        <v>0</v>
      </c>
      <c r="J9" s="4092">
        <v>0</v>
      </c>
      <c r="K9" s="4092">
        <v>0</v>
      </c>
      <c r="L9" s="4092">
        <v>0</v>
      </c>
      <c r="M9" s="4092">
        <v>0</v>
      </c>
      <c r="N9" s="4092">
        <v>0</v>
      </c>
      <c r="O9" s="4092">
        <v>0</v>
      </c>
      <c r="P9" s="4092">
        <v>0</v>
      </c>
      <c r="Q9" s="4092">
        <v>0</v>
      </c>
      <c r="R9" s="4092">
        <v>0</v>
      </c>
      <c r="S9" s="4092">
        <v>0</v>
      </c>
      <c r="T9" s="4092">
        <v>0</v>
      </c>
      <c r="U9" s="4092">
        <v>0</v>
      </c>
      <c r="V9" s="4092">
        <v>0</v>
      </c>
      <c r="W9" s="4092">
        <v>0</v>
      </c>
      <c r="X9" s="4092">
        <v>0</v>
      </c>
      <c r="Y9" s="4092">
        <v>0</v>
      </c>
      <c r="Z9" s="4092">
        <v>0</v>
      </c>
      <c r="AA9" s="4092">
        <v>0</v>
      </c>
      <c r="AB9" s="4092">
        <v>0</v>
      </c>
      <c r="AC9" s="4092">
        <v>0</v>
      </c>
      <c r="AD9" s="4092">
        <v>0</v>
      </c>
      <c r="AE9" s="4092">
        <v>0</v>
      </c>
      <c r="AF9" s="4092">
        <v>0</v>
      </c>
      <c r="AG9" s="4092">
        <v>0</v>
      </c>
      <c r="AH9" s="4092">
        <v>0</v>
      </c>
      <c r="AI9" s="4092">
        <v>0</v>
      </c>
      <c r="AJ9" s="4092">
        <v>0</v>
      </c>
      <c r="AK9" s="4092">
        <v>0</v>
      </c>
      <c r="AL9" s="4092">
        <v>0</v>
      </c>
      <c r="AM9">
        <f t="shared" si="0"/>
        <v>0</v>
      </c>
    </row>
    <row r="10" spans="1:39" ht="15" x14ac:dyDescent="0.25">
      <c r="A10" s="4093">
        <v>1280</v>
      </c>
      <c r="B10" s="4095" t="s">
        <v>2289</v>
      </c>
      <c r="C10" s="4092">
        <v>0</v>
      </c>
      <c r="D10" s="4092">
        <v>0</v>
      </c>
      <c r="E10" s="4092">
        <v>0</v>
      </c>
      <c r="F10" s="4092">
        <v>0</v>
      </c>
      <c r="G10" s="4092">
        <v>0</v>
      </c>
      <c r="H10" s="4092">
        <v>0</v>
      </c>
      <c r="I10" s="4092">
        <v>0</v>
      </c>
      <c r="J10" s="4092">
        <v>4</v>
      </c>
      <c r="K10" s="4092">
        <v>0</v>
      </c>
      <c r="L10" s="4092">
        <v>0</v>
      </c>
      <c r="M10" s="4092">
        <v>0</v>
      </c>
      <c r="N10" s="4092">
        <v>0</v>
      </c>
      <c r="O10" s="4092">
        <v>0</v>
      </c>
      <c r="P10" s="4092">
        <v>0</v>
      </c>
      <c r="Q10" s="4092">
        <v>0</v>
      </c>
      <c r="R10" s="4092">
        <v>0</v>
      </c>
      <c r="S10" s="4092">
        <v>0</v>
      </c>
      <c r="T10" s="4092">
        <v>0</v>
      </c>
      <c r="U10" s="4092">
        <v>0</v>
      </c>
      <c r="V10" s="4092">
        <v>0</v>
      </c>
      <c r="W10" s="4092">
        <v>0</v>
      </c>
      <c r="X10" s="4092">
        <v>0</v>
      </c>
      <c r="Y10" s="4092">
        <v>0</v>
      </c>
      <c r="Z10" s="4092">
        <v>0</v>
      </c>
      <c r="AA10" s="4092">
        <v>0</v>
      </c>
      <c r="AB10" s="4092">
        <v>0</v>
      </c>
      <c r="AC10" s="4092">
        <v>0</v>
      </c>
      <c r="AD10" s="4092">
        <v>0</v>
      </c>
      <c r="AE10" s="4092">
        <v>0</v>
      </c>
      <c r="AF10" s="4092">
        <v>0</v>
      </c>
      <c r="AG10" s="4092">
        <v>0</v>
      </c>
      <c r="AH10" s="4092">
        <v>0</v>
      </c>
      <c r="AI10" s="4092">
        <v>0</v>
      </c>
      <c r="AJ10" s="4092">
        <v>0</v>
      </c>
      <c r="AK10" s="4092">
        <v>0</v>
      </c>
      <c r="AL10" s="4092">
        <v>0</v>
      </c>
      <c r="AM10">
        <f t="shared" si="0"/>
        <v>4</v>
      </c>
    </row>
    <row r="11" spans="1:39" ht="15" x14ac:dyDescent="0.25">
      <c r="A11" s="4093">
        <v>1310</v>
      </c>
      <c r="B11" s="4095" t="s">
        <v>2288</v>
      </c>
      <c r="C11" s="4092">
        <v>3.375</v>
      </c>
      <c r="D11" s="4092">
        <v>0</v>
      </c>
      <c r="E11" s="4092">
        <v>0</v>
      </c>
      <c r="F11" s="4092">
        <v>0</v>
      </c>
      <c r="G11" s="4092">
        <v>0</v>
      </c>
      <c r="H11" s="4092">
        <v>0</v>
      </c>
      <c r="I11" s="4092">
        <v>0</v>
      </c>
      <c r="J11" s="4092">
        <v>0</v>
      </c>
      <c r="K11" s="4092">
        <v>3159.5</v>
      </c>
      <c r="L11" s="4092">
        <v>0</v>
      </c>
      <c r="M11" s="4092">
        <v>0</v>
      </c>
      <c r="N11" s="4092">
        <v>0</v>
      </c>
      <c r="O11" s="4092">
        <v>1.125</v>
      </c>
      <c r="P11" s="4092">
        <v>0</v>
      </c>
      <c r="Q11" s="4092">
        <v>0</v>
      </c>
      <c r="R11" s="4092">
        <v>0</v>
      </c>
      <c r="S11" s="4092">
        <v>121.3125</v>
      </c>
      <c r="T11" s="4092">
        <v>0</v>
      </c>
      <c r="U11" s="4092">
        <v>0</v>
      </c>
      <c r="V11" s="4092">
        <v>0</v>
      </c>
      <c r="W11" s="4092">
        <v>143.625</v>
      </c>
      <c r="X11" s="4092">
        <v>0</v>
      </c>
      <c r="Y11" s="4092">
        <v>0</v>
      </c>
      <c r="Z11" s="4092">
        <v>0</v>
      </c>
      <c r="AA11" s="4092">
        <v>7.875</v>
      </c>
      <c r="AB11" s="4092">
        <v>0</v>
      </c>
      <c r="AC11" s="4092">
        <v>0</v>
      </c>
      <c r="AD11" s="4092">
        <v>0</v>
      </c>
      <c r="AE11" s="4092">
        <v>0</v>
      </c>
      <c r="AF11" s="4092">
        <v>0</v>
      </c>
      <c r="AG11" s="4092">
        <v>0</v>
      </c>
      <c r="AH11" s="4092">
        <v>0</v>
      </c>
      <c r="AI11" s="4092">
        <v>0</v>
      </c>
      <c r="AJ11" s="4092">
        <v>0</v>
      </c>
      <c r="AK11" s="4092">
        <v>0</v>
      </c>
      <c r="AL11" s="4092">
        <v>0</v>
      </c>
      <c r="AM11">
        <f t="shared" si="0"/>
        <v>3436.8125</v>
      </c>
    </row>
    <row r="12" spans="1:39" ht="15" x14ac:dyDescent="0.25">
      <c r="A12" s="4093">
        <v>1320</v>
      </c>
      <c r="B12" s="4095" t="s">
        <v>2287</v>
      </c>
      <c r="C12" s="4092">
        <v>0</v>
      </c>
      <c r="D12" s="4092">
        <v>0</v>
      </c>
      <c r="E12" s="4092">
        <v>0</v>
      </c>
      <c r="F12" s="4092">
        <v>0</v>
      </c>
      <c r="G12" s="4092">
        <v>0</v>
      </c>
      <c r="H12" s="4092">
        <v>0</v>
      </c>
      <c r="I12" s="4092">
        <v>0</v>
      </c>
      <c r="J12" s="4092">
        <v>0</v>
      </c>
      <c r="K12" s="4092">
        <v>0</v>
      </c>
      <c r="L12" s="4092">
        <v>0</v>
      </c>
      <c r="M12" s="4092">
        <v>0</v>
      </c>
      <c r="N12" s="4092">
        <v>0</v>
      </c>
      <c r="O12" s="4092">
        <v>0</v>
      </c>
      <c r="P12" s="4092">
        <v>0</v>
      </c>
      <c r="Q12" s="4092">
        <v>0</v>
      </c>
      <c r="R12" s="4092">
        <v>0</v>
      </c>
      <c r="S12" s="4092">
        <v>0</v>
      </c>
      <c r="T12" s="4092">
        <v>0</v>
      </c>
      <c r="U12" s="4092">
        <v>0</v>
      </c>
      <c r="V12" s="4092">
        <v>0</v>
      </c>
      <c r="W12" s="4092">
        <v>0</v>
      </c>
      <c r="X12" s="4092">
        <v>0</v>
      </c>
      <c r="Y12" s="4092">
        <v>0</v>
      </c>
      <c r="Z12" s="4092">
        <v>0</v>
      </c>
      <c r="AA12" s="4092">
        <v>0</v>
      </c>
      <c r="AB12" s="4092">
        <v>0</v>
      </c>
      <c r="AC12" s="4092">
        <v>0</v>
      </c>
      <c r="AD12" s="4092">
        <v>0</v>
      </c>
      <c r="AE12" s="4092">
        <v>0</v>
      </c>
      <c r="AF12" s="4092">
        <v>0</v>
      </c>
      <c r="AG12" s="4092">
        <v>0</v>
      </c>
      <c r="AH12" s="4092">
        <v>0</v>
      </c>
      <c r="AI12" s="4092">
        <v>0</v>
      </c>
      <c r="AJ12" s="4092">
        <v>0</v>
      </c>
      <c r="AK12" s="4092">
        <v>0</v>
      </c>
      <c r="AL12" s="4092">
        <v>0</v>
      </c>
      <c r="AM12">
        <f t="shared" si="0"/>
        <v>0</v>
      </c>
    </row>
    <row r="13" spans="1:39" ht="15" x14ac:dyDescent="0.25">
      <c r="A13" s="4093">
        <v>1330</v>
      </c>
      <c r="B13" s="4095" t="s">
        <v>2286</v>
      </c>
      <c r="C13" s="4092">
        <v>0</v>
      </c>
      <c r="D13" s="4092">
        <v>0</v>
      </c>
      <c r="E13" s="4092">
        <v>0</v>
      </c>
      <c r="F13" s="4092">
        <v>0</v>
      </c>
      <c r="G13" s="4092">
        <v>0</v>
      </c>
      <c r="H13" s="4092">
        <v>0</v>
      </c>
      <c r="I13" s="4092">
        <v>0</v>
      </c>
      <c r="J13" s="4092">
        <v>0</v>
      </c>
      <c r="K13" s="4092">
        <v>0</v>
      </c>
      <c r="L13" s="4092">
        <v>0</v>
      </c>
      <c r="M13" s="4092">
        <v>0</v>
      </c>
      <c r="N13" s="4092">
        <v>0</v>
      </c>
      <c r="O13" s="4092">
        <v>0</v>
      </c>
      <c r="P13" s="4092">
        <v>0</v>
      </c>
      <c r="Q13" s="4092">
        <v>0</v>
      </c>
      <c r="R13" s="4092">
        <v>0</v>
      </c>
      <c r="S13" s="4092">
        <v>0</v>
      </c>
      <c r="T13" s="4092">
        <v>0</v>
      </c>
      <c r="U13" s="4092">
        <v>0</v>
      </c>
      <c r="V13" s="4092">
        <v>0</v>
      </c>
      <c r="W13" s="4092">
        <v>0</v>
      </c>
      <c r="X13" s="4092">
        <v>0</v>
      </c>
      <c r="Y13" s="4092">
        <v>0</v>
      </c>
      <c r="Z13" s="4092">
        <v>0</v>
      </c>
      <c r="AA13" s="4092">
        <v>0</v>
      </c>
      <c r="AB13" s="4092">
        <v>0</v>
      </c>
      <c r="AC13" s="4092">
        <v>0</v>
      </c>
      <c r="AD13" s="4092">
        <v>0</v>
      </c>
      <c r="AE13" s="4092">
        <v>0</v>
      </c>
      <c r="AF13" s="4092">
        <v>0</v>
      </c>
      <c r="AG13" s="4092">
        <v>0</v>
      </c>
      <c r="AH13" s="4092">
        <v>0</v>
      </c>
      <c r="AI13" s="4092">
        <v>0</v>
      </c>
      <c r="AJ13" s="4092">
        <v>0</v>
      </c>
      <c r="AK13" s="4092">
        <v>0</v>
      </c>
      <c r="AL13" s="4092">
        <v>0</v>
      </c>
      <c r="AM13">
        <f t="shared" si="0"/>
        <v>0</v>
      </c>
    </row>
    <row r="14" spans="1:39" ht="15" x14ac:dyDescent="0.25">
      <c r="A14" s="4093">
        <v>1380</v>
      </c>
      <c r="B14" s="4095" t="s">
        <v>2285</v>
      </c>
      <c r="C14" s="4092">
        <v>0</v>
      </c>
      <c r="D14" s="4092">
        <v>0</v>
      </c>
      <c r="E14" s="4092">
        <v>0</v>
      </c>
      <c r="F14" s="4092">
        <v>0</v>
      </c>
      <c r="G14" s="4092">
        <v>0</v>
      </c>
      <c r="H14" s="4092">
        <v>0</v>
      </c>
      <c r="I14" s="4092">
        <v>0</v>
      </c>
      <c r="J14" s="4092">
        <v>0</v>
      </c>
      <c r="K14" s="4092">
        <v>0</v>
      </c>
      <c r="L14" s="4092">
        <v>0</v>
      </c>
      <c r="M14" s="4092">
        <v>0</v>
      </c>
      <c r="N14" s="4092">
        <v>1.1875</v>
      </c>
      <c r="O14" s="4092">
        <v>0</v>
      </c>
      <c r="P14" s="4092">
        <v>0</v>
      </c>
      <c r="Q14" s="4092">
        <v>0</v>
      </c>
      <c r="R14" s="4092">
        <v>0</v>
      </c>
      <c r="S14" s="4092">
        <v>0</v>
      </c>
      <c r="T14" s="4092">
        <v>0</v>
      </c>
      <c r="U14" s="4092">
        <v>0</v>
      </c>
      <c r="V14" s="4092">
        <v>0</v>
      </c>
      <c r="W14" s="4092">
        <v>0</v>
      </c>
      <c r="X14" s="4092">
        <v>0</v>
      </c>
      <c r="Y14" s="4092">
        <v>0</v>
      </c>
      <c r="Z14" s="4092">
        <v>0.125</v>
      </c>
      <c r="AA14" s="4092">
        <v>0</v>
      </c>
      <c r="AB14" s="4092">
        <v>0</v>
      </c>
      <c r="AC14" s="4092">
        <v>0</v>
      </c>
      <c r="AD14" s="4092">
        <v>0</v>
      </c>
      <c r="AE14" s="4092">
        <v>0</v>
      </c>
      <c r="AF14" s="4092">
        <v>0</v>
      </c>
      <c r="AG14" s="4092">
        <v>0</v>
      </c>
      <c r="AH14" s="4092">
        <v>0</v>
      </c>
      <c r="AI14" s="4092">
        <v>0</v>
      </c>
      <c r="AJ14" s="4092">
        <v>0</v>
      </c>
      <c r="AK14" s="4092">
        <v>0</v>
      </c>
      <c r="AL14" s="4092">
        <v>0</v>
      </c>
      <c r="AM14">
        <f t="shared" si="0"/>
        <v>1.3125</v>
      </c>
    </row>
    <row r="15" spans="1:39" ht="15" x14ac:dyDescent="0.25">
      <c r="A15" s="4093">
        <v>1410</v>
      </c>
      <c r="B15" s="4095" t="s">
        <v>2284</v>
      </c>
      <c r="C15" s="4092">
        <v>0.125</v>
      </c>
      <c r="D15" s="4092">
        <v>0</v>
      </c>
      <c r="E15" s="4092">
        <v>0</v>
      </c>
      <c r="F15" s="4092">
        <v>0</v>
      </c>
      <c r="G15" s="4092">
        <v>0</v>
      </c>
      <c r="H15" s="4092">
        <v>0</v>
      </c>
      <c r="I15" s="4092">
        <v>0</v>
      </c>
      <c r="J15" s="4092">
        <v>0</v>
      </c>
      <c r="K15" s="4092">
        <v>0</v>
      </c>
      <c r="L15" s="4092">
        <v>0</v>
      </c>
      <c r="M15" s="4092">
        <v>0</v>
      </c>
      <c r="N15" s="4092">
        <v>0</v>
      </c>
      <c r="O15" s="4092">
        <v>2</v>
      </c>
      <c r="P15" s="4092">
        <v>0</v>
      </c>
      <c r="Q15" s="4092">
        <v>0</v>
      </c>
      <c r="R15" s="4092">
        <v>0</v>
      </c>
      <c r="S15" s="4092">
        <v>4</v>
      </c>
      <c r="T15" s="4092">
        <v>0</v>
      </c>
      <c r="U15" s="4092">
        <v>0</v>
      </c>
      <c r="V15" s="4092">
        <v>0</v>
      </c>
      <c r="W15" s="4092">
        <v>0</v>
      </c>
      <c r="X15" s="4092">
        <v>0</v>
      </c>
      <c r="Y15" s="4092">
        <v>0</v>
      </c>
      <c r="Z15" s="4092">
        <v>0</v>
      </c>
      <c r="AA15" s="4092">
        <v>0</v>
      </c>
      <c r="AB15" s="4092">
        <v>0</v>
      </c>
      <c r="AC15" s="4092">
        <v>0</v>
      </c>
      <c r="AD15" s="4092">
        <v>0</v>
      </c>
      <c r="AE15" s="4092">
        <v>0</v>
      </c>
      <c r="AF15" s="4092">
        <v>0</v>
      </c>
      <c r="AG15" s="4092">
        <v>0</v>
      </c>
      <c r="AH15" s="4092">
        <v>0</v>
      </c>
      <c r="AI15" s="4092">
        <v>0</v>
      </c>
      <c r="AJ15" s="4092">
        <v>0</v>
      </c>
      <c r="AK15" s="4092">
        <v>0</v>
      </c>
      <c r="AL15" s="4092">
        <v>0</v>
      </c>
      <c r="AM15">
        <f t="shared" si="0"/>
        <v>6.125</v>
      </c>
    </row>
    <row r="16" spans="1:39" ht="15" x14ac:dyDescent="0.25">
      <c r="A16" s="4093">
        <v>1420</v>
      </c>
      <c r="B16" s="4095" t="s">
        <v>2283</v>
      </c>
      <c r="C16" s="4092">
        <v>0</v>
      </c>
      <c r="D16" s="4092">
        <v>0</v>
      </c>
      <c r="E16" s="4092">
        <v>0</v>
      </c>
      <c r="F16" s="4092">
        <v>0</v>
      </c>
      <c r="G16" s="4092">
        <v>0</v>
      </c>
      <c r="H16" s="4092">
        <v>0</v>
      </c>
      <c r="I16" s="4092">
        <v>0</v>
      </c>
      <c r="J16" s="4092">
        <v>0</v>
      </c>
      <c r="K16" s="4092">
        <v>0</v>
      </c>
      <c r="L16" s="4092">
        <v>0</v>
      </c>
      <c r="M16" s="4092">
        <v>0</v>
      </c>
      <c r="N16" s="4092">
        <v>0</v>
      </c>
      <c r="O16" s="4092">
        <v>0</v>
      </c>
      <c r="P16" s="4092">
        <v>0</v>
      </c>
      <c r="Q16" s="4092">
        <v>0</v>
      </c>
      <c r="R16" s="4092">
        <v>0</v>
      </c>
      <c r="S16" s="4092">
        <v>0</v>
      </c>
      <c r="T16" s="4092">
        <v>0</v>
      </c>
      <c r="U16" s="4092">
        <v>0</v>
      </c>
      <c r="V16" s="4092">
        <v>0</v>
      </c>
      <c r="W16" s="4092">
        <v>0</v>
      </c>
      <c r="X16" s="4092">
        <v>0</v>
      </c>
      <c r="Y16" s="4092">
        <v>0</v>
      </c>
      <c r="Z16" s="4092">
        <v>0</v>
      </c>
      <c r="AA16" s="4092">
        <v>0</v>
      </c>
      <c r="AB16" s="4092">
        <v>0</v>
      </c>
      <c r="AC16" s="4092">
        <v>0</v>
      </c>
      <c r="AD16" s="4092">
        <v>0</v>
      </c>
      <c r="AE16" s="4092">
        <v>0</v>
      </c>
      <c r="AF16" s="4092">
        <v>0</v>
      </c>
      <c r="AG16" s="4092">
        <v>0</v>
      </c>
      <c r="AH16" s="4092">
        <v>0</v>
      </c>
      <c r="AI16" s="4092">
        <v>0</v>
      </c>
      <c r="AJ16" s="4092">
        <v>0</v>
      </c>
      <c r="AK16" s="4092">
        <v>0</v>
      </c>
      <c r="AL16" s="4092">
        <v>0</v>
      </c>
      <c r="AM16">
        <f t="shared" si="0"/>
        <v>0</v>
      </c>
    </row>
    <row r="17" spans="1:39" ht="15" x14ac:dyDescent="0.25">
      <c r="A17" s="4093">
        <v>1430</v>
      </c>
      <c r="B17" s="4095" t="s">
        <v>2282</v>
      </c>
      <c r="C17" s="4092">
        <v>0</v>
      </c>
      <c r="D17" s="4092">
        <v>0</v>
      </c>
      <c r="E17" s="4092">
        <v>0</v>
      </c>
      <c r="F17" s="4092">
        <v>0</v>
      </c>
      <c r="G17" s="4092">
        <v>0</v>
      </c>
      <c r="H17" s="4092">
        <v>0</v>
      </c>
      <c r="I17" s="4092">
        <v>0</v>
      </c>
      <c r="J17" s="4092">
        <v>0</v>
      </c>
      <c r="K17" s="4092">
        <v>0</v>
      </c>
      <c r="L17" s="4092">
        <v>0</v>
      </c>
      <c r="M17" s="4092">
        <v>0</v>
      </c>
      <c r="N17" s="4092">
        <v>0</v>
      </c>
      <c r="O17" s="4092">
        <v>0</v>
      </c>
      <c r="P17" s="4092">
        <v>0</v>
      </c>
      <c r="Q17" s="4092">
        <v>0</v>
      </c>
      <c r="R17" s="4092">
        <v>0</v>
      </c>
      <c r="S17" s="4092">
        <v>0</v>
      </c>
      <c r="T17" s="4092">
        <v>0</v>
      </c>
      <c r="U17" s="4092">
        <v>0</v>
      </c>
      <c r="V17" s="4092">
        <v>0</v>
      </c>
      <c r="W17" s="4092">
        <v>0</v>
      </c>
      <c r="X17" s="4092">
        <v>0</v>
      </c>
      <c r="Y17" s="4092">
        <v>0</v>
      </c>
      <c r="Z17" s="4092">
        <v>0</v>
      </c>
      <c r="AA17" s="4092">
        <v>0</v>
      </c>
      <c r="AB17" s="4092">
        <v>0</v>
      </c>
      <c r="AC17" s="4092">
        <v>0</v>
      </c>
      <c r="AD17" s="4092">
        <v>0</v>
      </c>
      <c r="AE17" s="4092">
        <v>0</v>
      </c>
      <c r="AF17" s="4092">
        <v>0</v>
      </c>
      <c r="AG17" s="4092">
        <v>0</v>
      </c>
      <c r="AH17" s="4092">
        <v>0</v>
      </c>
      <c r="AI17" s="4092">
        <v>0</v>
      </c>
      <c r="AJ17" s="4092">
        <v>0</v>
      </c>
      <c r="AK17" s="4092">
        <v>0</v>
      </c>
      <c r="AL17" s="4092">
        <v>0</v>
      </c>
      <c r="AM17">
        <f t="shared" si="0"/>
        <v>0</v>
      </c>
    </row>
    <row r="18" spans="1:39" ht="15" x14ac:dyDescent="0.25">
      <c r="A18" s="4093">
        <v>1480</v>
      </c>
      <c r="B18" s="4095" t="s">
        <v>2281</v>
      </c>
      <c r="C18" s="4092">
        <v>0</v>
      </c>
      <c r="D18" s="4092">
        <v>0</v>
      </c>
      <c r="E18" s="4092">
        <v>0</v>
      </c>
      <c r="F18" s="4092">
        <v>0</v>
      </c>
      <c r="G18" s="4092">
        <v>0</v>
      </c>
      <c r="H18" s="4092">
        <v>0</v>
      </c>
      <c r="I18" s="4092">
        <v>0</v>
      </c>
      <c r="J18" s="4092">
        <v>0</v>
      </c>
      <c r="K18" s="4092">
        <v>0</v>
      </c>
      <c r="L18" s="4092">
        <v>0</v>
      </c>
      <c r="M18" s="4092">
        <v>0</v>
      </c>
      <c r="N18" s="4092">
        <v>0</v>
      </c>
      <c r="O18" s="4092">
        <v>0</v>
      </c>
      <c r="P18" s="4092">
        <v>0</v>
      </c>
      <c r="Q18" s="4092">
        <v>0</v>
      </c>
      <c r="R18" s="4092">
        <v>0</v>
      </c>
      <c r="S18" s="4092">
        <v>0</v>
      </c>
      <c r="T18" s="4092">
        <v>0</v>
      </c>
      <c r="U18" s="4092">
        <v>0</v>
      </c>
      <c r="V18" s="4092">
        <v>0</v>
      </c>
      <c r="W18" s="4092">
        <v>0</v>
      </c>
      <c r="X18" s="4092">
        <v>0</v>
      </c>
      <c r="Y18" s="4092">
        <v>0</v>
      </c>
      <c r="Z18" s="4092">
        <v>0</v>
      </c>
      <c r="AA18" s="4092">
        <v>0</v>
      </c>
      <c r="AB18" s="4092">
        <v>0</v>
      </c>
      <c r="AC18" s="4092">
        <v>0</v>
      </c>
      <c r="AD18" s="4092">
        <v>0</v>
      </c>
      <c r="AE18" s="4092">
        <v>0</v>
      </c>
      <c r="AF18" s="4092">
        <v>0</v>
      </c>
      <c r="AG18" s="4092">
        <v>0</v>
      </c>
      <c r="AH18" s="4092">
        <v>0</v>
      </c>
      <c r="AI18" s="4092">
        <v>0</v>
      </c>
      <c r="AJ18" s="4092">
        <v>0</v>
      </c>
      <c r="AK18" s="4092">
        <v>0</v>
      </c>
      <c r="AL18" s="4092">
        <v>0</v>
      </c>
      <c r="AM18">
        <f t="shared" si="0"/>
        <v>0</v>
      </c>
    </row>
    <row r="19" spans="1:39" ht="15" x14ac:dyDescent="0.25">
      <c r="A19" s="4093">
        <v>1510</v>
      </c>
      <c r="B19" s="4095" t="s">
        <v>2280</v>
      </c>
      <c r="C19" s="4092">
        <v>46.5</v>
      </c>
      <c r="D19" s="4092">
        <v>0</v>
      </c>
      <c r="E19" s="4092">
        <v>0</v>
      </c>
      <c r="F19" s="4092">
        <v>0</v>
      </c>
      <c r="G19" s="4092">
        <v>2.3125</v>
      </c>
      <c r="H19" s="4092">
        <v>0</v>
      </c>
      <c r="I19" s="4092">
        <v>0</v>
      </c>
      <c r="J19" s="4092">
        <v>0</v>
      </c>
      <c r="K19" s="4092">
        <v>307.1875</v>
      </c>
      <c r="L19" s="4092">
        <v>0</v>
      </c>
      <c r="M19" s="4092">
        <v>0</v>
      </c>
      <c r="N19" s="4092">
        <v>0</v>
      </c>
      <c r="O19" s="4092">
        <v>73.6875</v>
      </c>
      <c r="P19" s="4092">
        <v>0</v>
      </c>
      <c r="Q19" s="4092">
        <v>0</v>
      </c>
      <c r="R19" s="4092">
        <v>0</v>
      </c>
      <c r="S19" s="4092">
        <v>2915.0625</v>
      </c>
      <c r="T19" s="4092">
        <v>0</v>
      </c>
      <c r="U19" s="4092">
        <v>0</v>
      </c>
      <c r="V19" s="4092">
        <v>0</v>
      </c>
      <c r="W19" s="4092">
        <v>565.25</v>
      </c>
      <c r="X19" s="4092">
        <v>0</v>
      </c>
      <c r="Y19" s="4092">
        <v>0</v>
      </c>
      <c r="Z19" s="4092">
        <v>0</v>
      </c>
      <c r="AA19" s="4092">
        <v>2.625</v>
      </c>
      <c r="AB19" s="4092">
        <v>0</v>
      </c>
      <c r="AC19" s="4092">
        <v>0</v>
      </c>
      <c r="AD19" s="4092">
        <v>0</v>
      </c>
      <c r="AE19" s="4092">
        <v>0</v>
      </c>
      <c r="AF19" s="4092">
        <v>0</v>
      </c>
      <c r="AG19" s="4092">
        <v>0</v>
      </c>
      <c r="AH19" s="4092">
        <v>0</v>
      </c>
      <c r="AI19" s="4092">
        <v>0</v>
      </c>
      <c r="AJ19" s="4092">
        <v>0</v>
      </c>
      <c r="AK19" s="4092">
        <v>0</v>
      </c>
      <c r="AL19" s="4092">
        <v>0</v>
      </c>
      <c r="AM19">
        <f t="shared" si="0"/>
        <v>3912.625</v>
      </c>
    </row>
    <row r="20" spans="1:39" ht="15" x14ac:dyDescent="0.25">
      <c r="A20" s="4093">
        <v>1520</v>
      </c>
      <c r="B20" s="4095" t="s">
        <v>2279</v>
      </c>
      <c r="C20" s="4092">
        <v>0</v>
      </c>
      <c r="D20" s="4092">
        <v>0</v>
      </c>
      <c r="E20" s="4092">
        <v>0</v>
      </c>
      <c r="F20" s="4092">
        <v>0</v>
      </c>
      <c r="G20" s="4092">
        <v>0</v>
      </c>
      <c r="H20" s="4092">
        <v>0</v>
      </c>
      <c r="I20" s="4092">
        <v>0</v>
      </c>
      <c r="J20" s="4092">
        <v>0</v>
      </c>
      <c r="K20" s="4092">
        <v>0</v>
      </c>
      <c r="L20" s="4092">
        <v>0</v>
      </c>
      <c r="M20" s="4092">
        <v>0</v>
      </c>
      <c r="N20" s="4092">
        <v>0</v>
      </c>
      <c r="O20" s="4092">
        <v>0</v>
      </c>
      <c r="P20" s="4092">
        <v>0</v>
      </c>
      <c r="Q20" s="4092">
        <v>0</v>
      </c>
      <c r="R20" s="4092">
        <v>0</v>
      </c>
      <c r="S20" s="4092">
        <v>0</v>
      </c>
      <c r="T20" s="4092">
        <v>0</v>
      </c>
      <c r="U20" s="4092">
        <v>0</v>
      </c>
      <c r="V20" s="4092">
        <v>0</v>
      </c>
      <c r="W20" s="4092">
        <v>0</v>
      </c>
      <c r="X20" s="4092">
        <v>0</v>
      </c>
      <c r="Y20" s="4092">
        <v>0</v>
      </c>
      <c r="Z20" s="4092">
        <v>0</v>
      </c>
      <c r="AA20" s="4092">
        <v>0</v>
      </c>
      <c r="AB20" s="4092">
        <v>0</v>
      </c>
      <c r="AC20" s="4092">
        <v>0</v>
      </c>
      <c r="AD20" s="4092">
        <v>0</v>
      </c>
      <c r="AE20" s="4092">
        <v>0</v>
      </c>
      <c r="AF20" s="4092">
        <v>0</v>
      </c>
      <c r="AG20" s="4092">
        <v>0</v>
      </c>
      <c r="AH20" s="4092">
        <v>0</v>
      </c>
      <c r="AI20" s="4092">
        <v>0</v>
      </c>
      <c r="AJ20" s="4092">
        <v>0</v>
      </c>
      <c r="AK20" s="4092">
        <v>0</v>
      </c>
      <c r="AL20" s="4092">
        <v>0</v>
      </c>
      <c r="AM20">
        <f t="shared" si="0"/>
        <v>0</v>
      </c>
    </row>
    <row r="21" spans="1:39" ht="15" x14ac:dyDescent="0.25">
      <c r="A21" s="4093">
        <v>1530</v>
      </c>
      <c r="B21" s="4095" t="s">
        <v>2278</v>
      </c>
      <c r="C21" s="4092">
        <v>0</v>
      </c>
      <c r="D21" s="4092">
        <v>0</v>
      </c>
      <c r="E21" s="4092">
        <v>0</v>
      </c>
      <c r="F21" s="4092">
        <v>0</v>
      </c>
      <c r="G21" s="4092">
        <v>0</v>
      </c>
      <c r="H21" s="4092">
        <v>0</v>
      </c>
      <c r="I21" s="4092">
        <v>0</v>
      </c>
      <c r="J21" s="4092">
        <v>0</v>
      </c>
      <c r="K21" s="4092">
        <v>0</v>
      </c>
      <c r="L21" s="4092">
        <v>0</v>
      </c>
      <c r="M21" s="4092">
        <v>0</v>
      </c>
      <c r="N21" s="4092">
        <v>0</v>
      </c>
      <c r="O21" s="4092">
        <v>0</v>
      </c>
      <c r="P21" s="4092">
        <v>0</v>
      </c>
      <c r="Q21" s="4092">
        <v>0</v>
      </c>
      <c r="R21" s="4092">
        <v>0</v>
      </c>
      <c r="S21" s="4092">
        <v>0</v>
      </c>
      <c r="T21" s="4092">
        <v>0</v>
      </c>
      <c r="U21" s="4092">
        <v>0</v>
      </c>
      <c r="V21" s="4092">
        <v>0</v>
      </c>
      <c r="W21" s="4092">
        <v>0</v>
      </c>
      <c r="X21" s="4092">
        <v>0</v>
      </c>
      <c r="Y21" s="4092">
        <v>0</v>
      </c>
      <c r="Z21" s="4092">
        <v>0</v>
      </c>
      <c r="AA21" s="4092">
        <v>0</v>
      </c>
      <c r="AB21" s="4092">
        <v>0</v>
      </c>
      <c r="AC21" s="4092">
        <v>0</v>
      </c>
      <c r="AD21" s="4092">
        <v>0</v>
      </c>
      <c r="AE21" s="4092">
        <v>0</v>
      </c>
      <c r="AF21" s="4092">
        <v>0</v>
      </c>
      <c r="AG21" s="4092">
        <v>0</v>
      </c>
      <c r="AH21" s="4092">
        <v>0</v>
      </c>
      <c r="AI21" s="4092">
        <v>0</v>
      </c>
      <c r="AJ21" s="4092">
        <v>0</v>
      </c>
      <c r="AK21" s="4092">
        <v>0</v>
      </c>
      <c r="AL21" s="4092">
        <v>0</v>
      </c>
      <c r="AM21">
        <f t="shared" si="0"/>
        <v>0</v>
      </c>
    </row>
    <row r="22" spans="1:39" ht="15" x14ac:dyDescent="0.25">
      <c r="A22" s="4093">
        <v>1580</v>
      </c>
      <c r="B22" s="4095" t="s">
        <v>2277</v>
      </c>
      <c r="C22" s="4092">
        <v>0</v>
      </c>
      <c r="D22" s="4092">
        <v>0</v>
      </c>
      <c r="E22" s="4092">
        <v>0</v>
      </c>
      <c r="F22" s="4092">
        <v>0</v>
      </c>
      <c r="G22" s="4092">
        <v>0</v>
      </c>
      <c r="H22" s="4092">
        <v>0</v>
      </c>
      <c r="I22" s="4092">
        <v>0</v>
      </c>
      <c r="J22" s="4092">
        <v>0</v>
      </c>
      <c r="K22" s="4092">
        <v>0</v>
      </c>
      <c r="L22" s="4092">
        <v>0</v>
      </c>
      <c r="M22" s="4092">
        <v>0</v>
      </c>
      <c r="N22" s="4092">
        <v>6.25E-2</v>
      </c>
      <c r="O22" s="4092">
        <v>0</v>
      </c>
      <c r="P22" s="4092">
        <v>0</v>
      </c>
      <c r="Q22" s="4092">
        <v>0</v>
      </c>
      <c r="R22" s="4092">
        <v>0</v>
      </c>
      <c r="S22" s="4092">
        <v>0</v>
      </c>
      <c r="T22" s="4092">
        <v>0</v>
      </c>
      <c r="U22" s="4092">
        <v>0</v>
      </c>
      <c r="V22" s="4092">
        <v>25.3125</v>
      </c>
      <c r="W22" s="4092">
        <v>0</v>
      </c>
      <c r="X22" s="4092">
        <v>0</v>
      </c>
      <c r="Y22" s="4092">
        <v>0</v>
      </c>
      <c r="Z22" s="4092">
        <v>54.1875</v>
      </c>
      <c r="AA22" s="4092">
        <v>0</v>
      </c>
      <c r="AB22" s="4092">
        <v>0</v>
      </c>
      <c r="AC22" s="4092">
        <v>0</v>
      </c>
      <c r="AD22" s="4092">
        <v>0.25</v>
      </c>
      <c r="AE22" s="4092">
        <v>0</v>
      </c>
      <c r="AF22" s="4092">
        <v>0</v>
      </c>
      <c r="AG22" s="4092">
        <v>0</v>
      </c>
      <c r="AH22" s="4092">
        <v>0</v>
      </c>
      <c r="AI22" s="4092">
        <v>0</v>
      </c>
      <c r="AJ22" s="4092">
        <v>0</v>
      </c>
      <c r="AK22" s="4092">
        <v>0</v>
      </c>
      <c r="AL22" s="4092">
        <v>0</v>
      </c>
      <c r="AM22">
        <f t="shared" si="0"/>
        <v>79.8125</v>
      </c>
    </row>
    <row r="23" spans="1:39" ht="15" x14ac:dyDescent="0.25">
      <c r="A23" s="4093">
        <v>1610</v>
      </c>
      <c r="B23" s="4095" t="s">
        <v>2276</v>
      </c>
      <c r="C23" s="4092">
        <v>1.25</v>
      </c>
      <c r="D23" s="4092">
        <v>0</v>
      </c>
      <c r="E23" s="4092">
        <v>0</v>
      </c>
      <c r="F23" s="4092">
        <v>0</v>
      </c>
      <c r="G23" s="4092">
        <v>0.5625</v>
      </c>
      <c r="H23" s="4092">
        <v>0</v>
      </c>
      <c r="I23" s="4092">
        <v>0</v>
      </c>
      <c r="J23" s="4092">
        <v>0</v>
      </c>
      <c r="K23" s="4092">
        <v>113.3125</v>
      </c>
      <c r="L23" s="4092">
        <v>0</v>
      </c>
      <c r="M23" s="4092">
        <v>0</v>
      </c>
      <c r="N23" s="4092">
        <v>0</v>
      </c>
      <c r="O23" s="4092">
        <v>0.1875</v>
      </c>
      <c r="P23" s="4092">
        <v>0</v>
      </c>
      <c r="Q23" s="4092">
        <v>0</v>
      </c>
      <c r="R23" s="4092">
        <v>0</v>
      </c>
      <c r="S23" s="4092">
        <v>115.8125</v>
      </c>
      <c r="T23" s="4092">
        <v>0</v>
      </c>
      <c r="U23" s="4092">
        <v>0</v>
      </c>
      <c r="V23" s="4092">
        <v>0</v>
      </c>
      <c r="W23" s="4092">
        <v>1903.125</v>
      </c>
      <c r="X23" s="4092">
        <v>0</v>
      </c>
      <c r="Y23" s="4092">
        <v>0</v>
      </c>
      <c r="Z23" s="4092">
        <v>0</v>
      </c>
      <c r="AA23" s="4092">
        <v>21.375</v>
      </c>
      <c r="AB23" s="4092">
        <v>0</v>
      </c>
      <c r="AC23" s="4092">
        <v>0</v>
      </c>
      <c r="AD23" s="4092">
        <v>0</v>
      </c>
      <c r="AE23" s="4092">
        <v>0</v>
      </c>
      <c r="AF23" s="4092">
        <v>0</v>
      </c>
      <c r="AG23" s="4092">
        <v>0</v>
      </c>
      <c r="AH23" s="4092">
        <v>0</v>
      </c>
      <c r="AI23" s="4092">
        <v>0</v>
      </c>
      <c r="AJ23" s="4092">
        <v>0</v>
      </c>
      <c r="AK23" s="4092">
        <v>0</v>
      </c>
      <c r="AL23" s="4092">
        <v>0</v>
      </c>
      <c r="AM23">
        <f t="shared" si="0"/>
        <v>2155.625</v>
      </c>
    </row>
    <row r="24" spans="1:39" ht="15" x14ac:dyDescent="0.25">
      <c r="A24" s="4093">
        <v>1620</v>
      </c>
      <c r="B24" s="4095" t="s">
        <v>2275</v>
      </c>
      <c r="C24" s="4092">
        <v>0</v>
      </c>
      <c r="D24" s="4092">
        <v>0</v>
      </c>
      <c r="E24" s="4092">
        <v>0</v>
      </c>
      <c r="F24" s="4092">
        <v>0</v>
      </c>
      <c r="G24" s="4092">
        <v>0</v>
      </c>
      <c r="H24" s="4092">
        <v>0</v>
      </c>
      <c r="I24" s="4092">
        <v>0</v>
      </c>
      <c r="J24" s="4092">
        <v>0</v>
      </c>
      <c r="K24" s="4092">
        <v>0</v>
      </c>
      <c r="L24" s="4092">
        <v>0</v>
      </c>
      <c r="M24" s="4092">
        <v>0</v>
      </c>
      <c r="N24" s="4092">
        <v>0</v>
      </c>
      <c r="O24" s="4092">
        <v>0</v>
      </c>
      <c r="P24" s="4092">
        <v>0</v>
      </c>
      <c r="Q24" s="4092">
        <v>0</v>
      </c>
      <c r="R24" s="4092">
        <v>0</v>
      </c>
      <c r="S24" s="4092">
        <v>0</v>
      </c>
      <c r="T24" s="4092">
        <v>0</v>
      </c>
      <c r="U24" s="4092">
        <v>0</v>
      </c>
      <c r="V24" s="4092">
        <v>0</v>
      </c>
      <c r="W24" s="4092">
        <v>0</v>
      </c>
      <c r="X24" s="4092">
        <v>0.25</v>
      </c>
      <c r="Y24" s="4092">
        <v>0</v>
      </c>
      <c r="Z24" s="4092">
        <v>0</v>
      </c>
      <c r="AA24" s="4092">
        <v>0</v>
      </c>
      <c r="AB24" s="4092">
        <v>0</v>
      </c>
      <c r="AC24" s="4092">
        <v>0</v>
      </c>
      <c r="AD24" s="4092">
        <v>0</v>
      </c>
      <c r="AE24" s="4092">
        <v>0</v>
      </c>
      <c r="AF24" s="4092">
        <v>0</v>
      </c>
      <c r="AG24" s="4092">
        <v>0</v>
      </c>
      <c r="AH24" s="4092">
        <v>0</v>
      </c>
      <c r="AI24" s="4092">
        <v>0</v>
      </c>
      <c r="AJ24" s="4092">
        <v>0</v>
      </c>
      <c r="AK24" s="4092">
        <v>0</v>
      </c>
      <c r="AL24" s="4092">
        <v>0</v>
      </c>
      <c r="AM24">
        <f t="shared" si="0"/>
        <v>0.25</v>
      </c>
    </row>
    <row r="25" spans="1:39" ht="15" x14ac:dyDescent="0.25">
      <c r="A25" s="4093">
        <v>1630</v>
      </c>
      <c r="B25" s="4095" t="s">
        <v>2274</v>
      </c>
      <c r="C25" s="4092">
        <v>0</v>
      </c>
      <c r="D25" s="4092">
        <v>0</v>
      </c>
      <c r="E25" s="4092">
        <v>0</v>
      </c>
      <c r="F25" s="4092">
        <v>0</v>
      </c>
      <c r="G25" s="4092">
        <v>0</v>
      </c>
      <c r="H25" s="4092">
        <v>0</v>
      </c>
      <c r="I25" s="4092">
        <v>0</v>
      </c>
      <c r="J25" s="4092">
        <v>0</v>
      </c>
      <c r="K25" s="4092">
        <v>0</v>
      </c>
      <c r="L25" s="4092">
        <v>0</v>
      </c>
      <c r="M25" s="4092">
        <v>0</v>
      </c>
      <c r="N25" s="4092">
        <v>0</v>
      </c>
      <c r="O25" s="4092">
        <v>0</v>
      </c>
      <c r="P25" s="4092">
        <v>0</v>
      </c>
      <c r="Q25" s="4092">
        <v>0</v>
      </c>
      <c r="R25" s="4092">
        <v>0</v>
      </c>
      <c r="S25" s="4092">
        <v>0</v>
      </c>
      <c r="T25" s="4092">
        <v>0</v>
      </c>
      <c r="U25" s="4092">
        <v>0</v>
      </c>
      <c r="V25" s="4092">
        <v>0</v>
      </c>
      <c r="W25" s="4092">
        <v>0</v>
      </c>
      <c r="X25" s="4092">
        <v>0</v>
      </c>
      <c r="Y25" s="4092">
        <v>0</v>
      </c>
      <c r="Z25" s="4092">
        <v>0</v>
      </c>
      <c r="AA25" s="4092">
        <v>0</v>
      </c>
      <c r="AB25" s="4092">
        <v>0</v>
      </c>
      <c r="AC25" s="4092">
        <v>0</v>
      </c>
      <c r="AD25" s="4092">
        <v>0</v>
      </c>
      <c r="AE25" s="4092">
        <v>0</v>
      </c>
      <c r="AF25" s="4092">
        <v>0</v>
      </c>
      <c r="AG25" s="4092">
        <v>0</v>
      </c>
      <c r="AH25" s="4092">
        <v>0</v>
      </c>
      <c r="AI25" s="4092">
        <v>0</v>
      </c>
      <c r="AJ25" s="4092">
        <v>0</v>
      </c>
      <c r="AK25" s="4092">
        <v>0</v>
      </c>
      <c r="AL25" s="4092">
        <v>0</v>
      </c>
      <c r="AM25">
        <f t="shared" si="0"/>
        <v>0</v>
      </c>
    </row>
    <row r="26" spans="1:39" ht="15" x14ac:dyDescent="0.25">
      <c r="A26" s="4093">
        <v>1680</v>
      </c>
      <c r="B26" s="4095" t="s">
        <v>2273</v>
      </c>
      <c r="C26" s="4092">
        <v>0</v>
      </c>
      <c r="D26" s="4092">
        <v>0</v>
      </c>
      <c r="E26" s="4092">
        <v>0</v>
      </c>
      <c r="F26" s="4092">
        <v>0</v>
      </c>
      <c r="G26" s="4092">
        <v>0</v>
      </c>
      <c r="H26" s="4092">
        <v>0</v>
      </c>
      <c r="I26" s="4092">
        <v>0</v>
      </c>
      <c r="J26" s="4092">
        <v>0.125</v>
      </c>
      <c r="K26" s="4092">
        <v>0</v>
      </c>
      <c r="L26" s="4092">
        <v>0</v>
      </c>
      <c r="M26" s="4092">
        <v>0</v>
      </c>
      <c r="N26" s="4092">
        <v>0</v>
      </c>
      <c r="O26" s="4092">
        <v>0</v>
      </c>
      <c r="P26" s="4092">
        <v>0</v>
      </c>
      <c r="Q26" s="4092">
        <v>0</v>
      </c>
      <c r="R26" s="4092">
        <v>0</v>
      </c>
      <c r="S26" s="4092">
        <v>0</v>
      </c>
      <c r="T26" s="4092">
        <v>0</v>
      </c>
      <c r="U26" s="4092">
        <v>0</v>
      </c>
      <c r="V26" s="4092">
        <v>6.6875</v>
      </c>
      <c r="W26" s="4092">
        <v>0</v>
      </c>
      <c r="X26" s="4092">
        <v>0</v>
      </c>
      <c r="Y26" s="4092">
        <v>0</v>
      </c>
      <c r="Z26" s="4092">
        <v>114.9375</v>
      </c>
      <c r="AA26" s="4092">
        <v>0</v>
      </c>
      <c r="AB26" s="4092">
        <v>0</v>
      </c>
      <c r="AC26" s="4092">
        <v>0</v>
      </c>
      <c r="AD26" s="4092">
        <v>4.5</v>
      </c>
      <c r="AE26" s="4092">
        <v>0</v>
      </c>
      <c r="AF26" s="4092">
        <v>0</v>
      </c>
      <c r="AG26" s="4092">
        <v>0</v>
      </c>
      <c r="AH26" s="4092">
        <v>0</v>
      </c>
      <c r="AI26" s="4092">
        <v>0</v>
      </c>
      <c r="AJ26" s="4092">
        <v>0</v>
      </c>
      <c r="AK26" s="4092">
        <v>0</v>
      </c>
      <c r="AL26" s="4092">
        <v>0</v>
      </c>
      <c r="AM26">
        <f t="shared" si="0"/>
        <v>126.25</v>
      </c>
    </row>
    <row r="27" spans="1:39" ht="15" x14ac:dyDescent="0.25">
      <c r="A27" s="4093">
        <v>1710</v>
      </c>
      <c r="B27" s="4095" t="s">
        <v>2272</v>
      </c>
      <c r="C27" s="4092">
        <v>0</v>
      </c>
      <c r="D27" s="4092">
        <v>0</v>
      </c>
      <c r="E27" s="4092">
        <v>0</v>
      </c>
      <c r="F27" s="4092">
        <v>0</v>
      </c>
      <c r="G27" s="4092">
        <v>0</v>
      </c>
      <c r="H27" s="4092">
        <v>0</v>
      </c>
      <c r="I27" s="4092">
        <v>0</v>
      </c>
      <c r="J27" s="4092">
        <v>0</v>
      </c>
      <c r="K27" s="4092">
        <v>1.6875</v>
      </c>
      <c r="L27" s="4092">
        <v>0</v>
      </c>
      <c r="M27" s="4092">
        <v>0</v>
      </c>
      <c r="N27" s="4092">
        <v>0</v>
      </c>
      <c r="O27" s="4092">
        <v>0</v>
      </c>
      <c r="P27" s="4092">
        <v>0</v>
      </c>
      <c r="Q27" s="4092">
        <v>0</v>
      </c>
      <c r="R27" s="4092">
        <v>0</v>
      </c>
      <c r="S27" s="4092">
        <v>6.25E-2</v>
      </c>
      <c r="T27" s="4092">
        <v>0</v>
      </c>
      <c r="U27" s="4092">
        <v>0</v>
      </c>
      <c r="V27" s="4092">
        <v>0</v>
      </c>
      <c r="W27" s="4092">
        <v>0</v>
      </c>
      <c r="X27" s="4092">
        <v>0</v>
      </c>
      <c r="Y27" s="4092">
        <v>0</v>
      </c>
      <c r="Z27" s="4092">
        <v>0</v>
      </c>
      <c r="AA27" s="4092">
        <v>208.5</v>
      </c>
      <c r="AB27" s="4092">
        <v>0</v>
      </c>
      <c r="AC27" s="4092">
        <v>0</v>
      </c>
      <c r="AD27" s="4092">
        <v>0</v>
      </c>
      <c r="AE27" s="4092">
        <v>0</v>
      </c>
      <c r="AF27" s="4092">
        <v>0</v>
      </c>
      <c r="AG27" s="4092">
        <v>0</v>
      </c>
      <c r="AH27" s="4092">
        <v>0</v>
      </c>
      <c r="AI27" s="4092">
        <v>0</v>
      </c>
      <c r="AJ27" s="4092">
        <v>0</v>
      </c>
      <c r="AK27" s="4092">
        <v>0</v>
      </c>
      <c r="AL27" s="4092">
        <v>0</v>
      </c>
      <c r="AM27">
        <f t="shared" si="0"/>
        <v>210.25</v>
      </c>
    </row>
    <row r="28" spans="1:39" ht="15" x14ac:dyDescent="0.25">
      <c r="A28" s="4093">
        <v>1720</v>
      </c>
      <c r="B28" s="4095" t="s">
        <v>2271</v>
      </c>
      <c r="C28" s="4092">
        <v>0</v>
      </c>
      <c r="D28" s="4092">
        <v>0</v>
      </c>
      <c r="E28" s="4092">
        <v>0</v>
      </c>
      <c r="F28" s="4092">
        <v>0</v>
      </c>
      <c r="G28" s="4092">
        <v>0</v>
      </c>
      <c r="H28" s="4092">
        <v>0</v>
      </c>
      <c r="I28" s="4092">
        <v>0</v>
      </c>
      <c r="J28" s="4092">
        <v>0</v>
      </c>
      <c r="K28" s="4092">
        <v>0</v>
      </c>
      <c r="L28" s="4092">
        <v>0</v>
      </c>
      <c r="M28" s="4092">
        <v>0</v>
      </c>
      <c r="N28" s="4092">
        <v>0</v>
      </c>
      <c r="O28" s="4092">
        <v>0</v>
      </c>
      <c r="P28" s="4092">
        <v>0</v>
      </c>
      <c r="Q28" s="4092">
        <v>0</v>
      </c>
      <c r="R28" s="4092">
        <v>0</v>
      </c>
      <c r="S28" s="4092">
        <v>0</v>
      </c>
      <c r="T28" s="4092">
        <v>0</v>
      </c>
      <c r="U28" s="4092">
        <v>0</v>
      </c>
      <c r="V28" s="4092">
        <v>0</v>
      </c>
      <c r="W28" s="4092">
        <v>0</v>
      </c>
      <c r="X28" s="4092">
        <v>0</v>
      </c>
      <c r="Y28" s="4092">
        <v>0</v>
      </c>
      <c r="Z28" s="4092">
        <v>0</v>
      </c>
      <c r="AA28" s="4092">
        <v>0</v>
      </c>
      <c r="AB28" s="4092">
        <v>6.25E-2</v>
      </c>
      <c r="AC28" s="4092">
        <v>0</v>
      </c>
      <c r="AD28" s="4092">
        <v>0</v>
      </c>
      <c r="AE28" s="4092">
        <v>0</v>
      </c>
      <c r="AF28" s="4092">
        <v>0</v>
      </c>
      <c r="AG28" s="4092">
        <v>0</v>
      </c>
      <c r="AH28" s="4092">
        <v>0</v>
      </c>
      <c r="AI28" s="4092">
        <v>0</v>
      </c>
      <c r="AJ28" s="4092">
        <v>0</v>
      </c>
      <c r="AK28" s="4092">
        <v>0</v>
      </c>
      <c r="AL28" s="4092">
        <v>0</v>
      </c>
      <c r="AM28">
        <f t="shared" si="0"/>
        <v>6.25E-2</v>
      </c>
    </row>
    <row r="29" spans="1:39" ht="15" x14ac:dyDescent="0.25">
      <c r="A29" s="4093">
        <v>1730</v>
      </c>
      <c r="B29" s="4095" t="s">
        <v>2270</v>
      </c>
      <c r="C29" s="4092">
        <v>0</v>
      </c>
      <c r="D29" s="4092">
        <v>0</v>
      </c>
      <c r="E29" s="4092">
        <v>0</v>
      </c>
      <c r="F29" s="4092">
        <v>0</v>
      </c>
      <c r="G29" s="4092">
        <v>0</v>
      </c>
      <c r="H29" s="4092">
        <v>0</v>
      </c>
      <c r="I29" s="4092">
        <v>0</v>
      </c>
      <c r="J29" s="4092">
        <v>0</v>
      </c>
      <c r="K29" s="4092">
        <v>0</v>
      </c>
      <c r="L29" s="4092">
        <v>0</v>
      </c>
      <c r="M29" s="4092">
        <v>0</v>
      </c>
      <c r="N29" s="4092">
        <v>0</v>
      </c>
      <c r="O29" s="4092">
        <v>0</v>
      </c>
      <c r="P29" s="4092">
        <v>0</v>
      </c>
      <c r="Q29" s="4092">
        <v>0</v>
      </c>
      <c r="R29" s="4092">
        <v>0</v>
      </c>
      <c r="S29" s="4092">
        <v>0</v>
      </c>
      <c r="T29" s="4092">
        <v>0</v>
      </c>
      <c r="U29" s="4092">
        <v>0</v>
      </c>
      <c r="V29" s="4092">
        <v>0</v>
      </c>
      <c r="W29" s="4092">
        <v>0</v>
      </c>
      <c r="X29" s="4092">
        <v>0</v>
      </c>
      <c r="Y29" s="4092">
        <v>0</v>
      </c>
      <c r="Z29" s="4092">
        <v>0</v>
      </c>
      <c r="AA29" s="4092">
        <v>0</v>
      </c>
      <c r="AB29" s="4092">
        <v>0</v>
      </c>
      <c r="AC29" s="4092">
        <v>0</v>
      </c>
      <c r="AD29" s="4092">
        <v>0</v>
      </c>
      <c r="AE29" s="4092">
        <v>0</v>
      </c>
      <c r="AF29" s="4092">
        <v>0</v>
      </c>
      <c r="AG29" s="4092">
        <v>0</v>
      </c>
      <c r="AH29" s="4092">
        <v>0</v>
      </c>
      <c r="AI29" s="4092">
        <v>0</v>
      </c>
      <c r="AJ29" s="4092">
        <v>0</v>
      </c>
      <c r="AK29" s="4092">
        <v>0</v>
      </c>
      <c r="AL29" s="4092">
        <v>0</v>
      </c>
      <c r="AM29">
        <f t="shared" si="0"/>
        <v>0</v>
      </c>
    </row>
    <row r="30" spans="1:39" ht="15" x14ac:dyDescent="0.25">
      <c r="A30" s="4093">
        <v>1780</v>
      </c>
      <c r="B30" s="4095" t="s">
        <v>2269</v>
      </c>
      <c r="C30" s="4092">
        <v>0</v>
      </c>
      <c r="D30" s="4092">
        <v>0</v>
      </c>
      <c r="E30" s="4092">
        <v>0</v>
      </c>
      <c r="F30" s="4092">
        <v>0</v>
      </c>
      <c r="G30" s="4092">
        <v>0</v>
      </c>
      <c r="H30" s="4092">
        <v>0</v>
      </c>
      <c r="I30" s="4092">
        <v>0</v>
      </c>
      <c r="J30" s="4092">
        <v>0</v>
      </c>
      <c r="K30" s="4092">
        <v>0</v>
      </c>
      <c r="L30" s="4092">
        <v>0</v>
      </c>
      <c r="M30" s="4092">
        <v>0</v>
      </c>
      <c r="N30" s="4092">
        <v>0</v>
      </c>
      <c r="O30" s="4092">
        <v>0</v>
      </c>
      <c r="P30" s="4092">
        <v>0</v>
      </c>
      <c r="Q30" s="4092">
        <v>0</v>
      </c>
      <c r="R30" s="4092">
        <v>0</v>
      </c>
      <c r="S30" s="4092">
        <v>0</v>
      </c>
      <c r="T30" s="4092">
        <v>0</v>
      </c>
      <c r="U30" s="4092">
        <v>0</v>
      </c>
      <c r="V30" s="4092">
        <v>0</v>
      </c>
      <c r="W30" s="4092">
        <v>0</v>
      </c>
      <c r="X30" s="4092">
        <v>0</v>
      </c>
      <c r="Y30" s="4092">
        <v>0</v>
      </c>
      <c r="Z30" s="4092">
        <v>0</v>
      </c>
      <c r="AA30" s="4092">
        <v>0</v>
      </c>
      <c r="AB30" s="4092">
        <v>0</v>
      </c>
      <c r="AC30" s="4092">
        <v>0</v>
      </c>
      <c r="AD30" s="4092">
        <v>121.9375</v>
      </c>
      <c r="AE30" s="4092">
        <v>0</v>
      </c>
      <c r="AF30" s="4092">
        <v>0</v>
      </c>
      <c r="AG30" s="4092">
        <v>0</v>
      </c>
      <c r="AH30" s="4092">
        <v>0</v>
      </c>
      <c r="AI30" s="4092">
        <v>0</v>
      </c>
      <c r="AJ30" s="4092">
        <v>0</v>
      </c>
      <c r="AK30" s="4092">
        <v>0</v>
      </c>
      <c r="AL30" s="4092">
        <v>0</v>
      </c>
      <c r="AM30">
        <f t="shared" si="0"/>
        <v>121.9375</v>
      </c>
    </row>
    <row r="31" spans="1:39" ht="15" x14ac:dyDescent="0.25">
      <c r="A31" s="4093">
        <v>1810</v>
      </c>
      <c r="B31" s="4095" t="s">
        <v>2268</v>
      </c>
      <c r="C31" s="4092">
        <v>0</v>
      </c>
      <c r="D31" s="4092">
        <v>0</v>
      </c>
      <c r="E31" s="4092">
        <v>0</v>
      </c>
      <c r="F31" s="4092">
        <v>0</v>
      </c>
      <c r="G31" s="4092">
        <v>0</v>
      </c>
      <c r="H31" s="4092">
        <v>0</v>
      </c>
      <c r="I31" s="4092">
        <v>0</v>
      </c>
      <c r="J31" s="4092">
        <v>0</v>
      </c>
      <c r="K31" s="4092">
        <v>6.25E-2</v>
      </c>
      <c r="L31" s="4092">
        <v>0</v>
      </c>
      <c r="M31" s="4092">
        <v>0</v>
      </c>
      <c r="N31" s="4092">
        <v>0</v>
      </c>
      <c r="O31" s="4092">
        <v>0</v>
      </c>
      <c r="P31" s="4092">
        <v>0</v>
      </c>
      <c r="Q31" s="4092">
        <v>0</v>
      </c>
      <c r="R31" s="4092">
        <v>0</v>
      </c>
      <c r="S31" s="4092">
        <v>0.1875</v>
      </c>
      <c r="T31" s="4092">
        <v>0</v>
      </c>
      <c r="U31" s="4092">
        <v>0</v>
      </c>
      <c r="V31" s="4092">
        <v>0</v>
      </c>
      <c r="W31" s="4092">
        <v>0</v>
      </c>
      <c r="X31" s="4092">
        <v>0</v>
      </c>
      <c r="Y31" s="4092">
        <v>0</v>
      </c>
      <c r="Z31" s="4092">
        <v>0</v>
      </c>
      <c r="AA31" s="4092">
        <v>0</v>
      </c>
      <c r="AB31" s="4092">
        <v>0</v>
      </c>
      <c r="AC31" s="4092">
        <v>0</v>
      </c>
      <c r="AD31" s="4092">
        <v>0</v>
      </c>
      <c r="AE31" s="4092">
        <v>19.5</v>
      </c>
      <c r="AF31" s="4092">
        <v>0</v>
      </c>
      <c r="AG31" s="4092">
        <v>0</v>
      </c>
      <c r="AH31" s="4092">
        <v>0</v>
      </c>
      <c r="AI31" s="4092">
        <v>0</v>
      </c>
      <c r="AJ31" s="4092">
        <v>0</v>
      </c>
      <c r="AK31" s="4092">
        <v>0</v>
      </c>
      <c r="AL31" s="4092">
        <v>0</v>
      </c>
      <c r="AM31">
        <f t="shared" si="0"/>
        <v>19.75</v>
      </c>
    </row>
    <row r="32" spans="1:39" ht="15" x14ac:dyDescent="0.25">
      <c r="A32" s="4093">
        <v>1820</v>
      </c>
      <c r="B32" s="4095" t="s">
        <v>2267</v>
      </c>
      <c r="C32" s="4092">
        <v>0</v>
      </c>
      <c r="D32" s="4092">
        <v>0</v>
      </c>
      <c r="E32" s="4092">
        <v>0</v>
      </c>
      <c r="F32" s="4092">
        <v>0</v>
      </c>
      <c r="G32" s="4092">
        <v>0</v>
      </c>
      <c r="H32" s="4092">
        <v>0</v>
      </c>
      <c r="I32" s="4092">
        <v>0</v>
      </c>
      <c r="J32" s="4092">
        <v>0</v>
      </c>
      <c r="K32" s="4092">
        <v>0</v>
      </c>
      <c r="L32" s="4092">
        <v>0</v>
      </c>
      <c r="M32" s="4092">
        <v>0</v>
      </c>
      <c r="N32" s="4092">
        <v>0</v>
      </c>
      <c r="O32" s="4092">
        <v>0</v>
      </c>
      <c r="P32" s="4092">
        <v>0</v>
      </c>
      <c r="Q32" s="4092">
        <v>0</v>
      </c>
      <c r="R32" s="4092">
        <v>0</v>
      </c>
      <c r="S32" s="4092">
        <v>0</v>
      </c>
      <c r="T32" s="4092">
        <v>0</v>
      </c>
      <c r="U32" s="4092">
        <v>0</v>
      </c>
      <c r="V32" s="4092">
        <v>0</v>
      </c>
      <c r="W32" s="4092">
        <v>0</v>
      </c>
      <c r="X32" s="4092">
        <v>0</v>
      </c>
      <c r="Y32" s="4092">
        <v>0</v>
      </c>
      <c r="Z32" s="4092">
        <v>0</v>
      </c>
      <c r="AA32" s="4092">
        <v>0</v>
      </c>
      <c r="AB32" s="4092">
        <v>0</v>
      </c>
      <c r="AC32" s="4092">
        <v>0</v>
      </c>
      <c r="AD32" s="4092">
        <v>0</v>
      </c>
      <c r="AE32" s="4092">
        <v>0</v>
      </c>
      <c r="AF32" s="4092">
        <v>0</v>
      </c>
      <c r="AG32" s="4092">
        <v>0</v>
      </c>
      <c r="AH32" s="4092">
        <v>0</v>
      </c>
      <c r="AI32" s="4092">
        <v>0</v>
      </c>
      <c r="AJ32" s="4092">
        <v>0</v>
      </c>
      <c r="AK32" s="4092">
        <v>0</v>
      </c>
      <c r="AL32" s="4092">
        <v>0</v>
      </c>
      <c r="AM32">
        <f t="shared" si="0"/>
        <v>0</v>
      </c>
    </row>
    <row r="33" spans="1:40" ht="15" x14ac:dyDescent="0.25">
      <c r="A33" s="4093">
        <v>1830</v>
      </c>
      <c r="B33" s="4095" t="s">
        <v>2266</v>
      </c>
      <c r="C33" s="4092">
        <v>0</v>
      </c>
      <c r="D33" s="4092">
        <v>0</v>
      </c>
      <c r="E33" s="4092">
        <v>0</v>
      </c>
      <c r="F33" s="4092">
        <v>0</v>
      </c>
      <c r="G33" s="4092">
        <v>0</v>
      </c>
      <c r="H33" s="4092">
        <v>0</v>
      </c>
      <c r="I33" s="4092">
        <v>0</v>
      </c>
      <c r="J33" s="4092">
        <v>0</v>
      </c>
      <c r="K33" s="4092">
        <v>0</v>
      </c>
      <c r="L33" s="4092">
        <v>0</v>
      </c>
      <c r="M33" s="4092">
        <v>0</v>
      </c>
      <c r="N33" s="4092">
        <v>0</v>
      </c>
      <c r="O33" s="4092">
        <v>0</v>
      </c>
      <c r="P33" s="4092">
        <v>0</v>
      </c>
      <c r="Q33" s="4092">
        <v>0</v>
      </c>
      <c r="R33" s="4092">
        <v>0</v>
      </c>
      <c r="S33" s="4092">
        <v>0</v>
      </c>
      <c r="T33" s="4092">
        <v>0</v>
      </c>
      <c r="U33" s="4092">
        <v>0</v>
      </c>
      <c r="V33" s="4092">
        <v>0</v>
      </c>
      <c r="W33" s="4092">
        <v>0</v>
      </c>
      <c r="X33" s="4092">
        <v>0</v>
      </c>
      <c r="Y33" s="4092">
        <v>0</v>
      </c>
      <c r="Z33" s="4092">
        <v>0</v>
      </c>
      <c r="AA33" s="4092">
        <v>0</v>
      </c>
      <c r="AB33" s="4092">
        <v>0</v>
      </c>
      <c r="AC33" s="4092">
        <v>0</v>
      </c>
      <c r="AD33" s="4092">
        <v>0</v>
      </c>
      <c r="AE33" s="4092">
        <v>0</v>
      </c>
      <c r="AF33" s="4092">
        <v>0</v>
      </c>
      <c r="AG33" s="4092">
        <v>0</v>
      </c>
      <c r="AH33" s="4092">
        <v>0</v>
      </c>
      <c r="AI33" s="4092">
        <v>0</v>
      </c>
      <c r="AJ33" s="4092">
        <v>0</v>
      </c>
      <c r="AK33" s="4092">
        <v>0</v>
      </c>
      <c r="AL33" s="4092">
        <v>0</v>
      </c>
      <c r="AM33">
        <f t="shared" si="0"/>
        <v>0</v>
      </c>
    </row>
    <row r="34" spans="1:40" ht="15" x14ac:dyDescent="0.25">
      <c r="A34" s="4093">
        <v>1880</v>
      </c>
      <c r="B34" s="4095" t="s">
        <v>2265</v>
      </c>
      <c r="C34" s="4092">
        <v>0</v>
      </c>
      <c r="D34" s="4092">
        <v>0</v>
      </c>
      <c r="E34" s="4092">
        <v>0</v>
      </c>
      <c r="F34" s="4092">
        <v>0</v>
      </c>
      <c r="G34" s="4092">
        <v>0</v>
      </c>
      <c r="H34" s="4092">
        <v>0</v>
      </c>
      <c r="I34" s="4092">
        <v>0</v>
      </c>
      <c r="J34" s="4092">
        <v>0</v>
      </c>
      <c r="K34" s="4092">
        <v>0</v>
      </c>
      <c r="L34" s="4092">
        <v>0</v>
      </c>
      <c r="M34" s="4092">
        <v>0</v>
      </c>
      <c r="N34" s="4092">
        <v>0</v>
      </c>
      <c r="O34" s="4092">
        <v>0</v>
      </c>
      <c r="P34" s="4092">
        <v>0</v>
      </c>
      <c r="Q34" s="4092">
        <v>0</v>
      </c>
      <c r="R34" s="4092">
        <v>0</v>
      </c>
      <c r="S34" s="4092">
        <v>0</v>
      </c>
      <c r="T34" s="4092">
        <v>0</v>
      </c>
      <c r="U34" s="4092">
        <v>0</v>
      </c>
      <c r="V34" s="4092">
        <v>0</v>
      </c>
      <c r="W34" s="4092">
        <v>0</v>
      </c>
      <c r="X34" s="4092">
        <v>0</v>
      </c>
      <c r="Y34" s="4092">
        <v>0</v>
      </c>
      <c r="Z34" s="4092">
        <v>0</v>
      </c>
      <c r="AA34" s="4092">
        <v>0</v>
      </c>
      <c r="AB34" s="4092">
        <v>0</v>
      </c>
      <c r="AC34" s="4092">
        <v>0</v>
      </c>
      <c r="AD34" s="4092">
        <v>0</v>
      </c>
      <c r="AE34" s="4092">
        <v>0</v>
      </c>
      <c r="AF34" s="4092">
        <v>0</v>
      </c>
      <c r="AG34" s="4092">
        <v>0</v>
      </c>
      <c r="AH34" s="4092">
        <v>7.375</v>
      </c>
      <c r="AI34" s="4092">
        <v>0</v>
      </c>
      <c r="AJ34" s="4092">
        <v>0</v>
      </c>
      <c r="AK34" s="4092">
        <v>0</v>
      </c>
      <c r="AL34" s="4092">
        <v>0</v>
      </c>
      <c r="AM34">
        <f t="shared" si="0"/>
        <v>7.375</v>
      </c>
    </row>
    <row r="35" spans="1:40" ht="15" x14ac:dyDescent="0.25">
      <c r="A35" s="4093">
        <v>1910</v>
      </c>
      <c r="B35" s="4095" t="s">
        <v>2264</v>
      </c>
      <c r="C35" s="4092">
        <v>0</v>
      </c>
      <c r="D35" s="4092">
        <v>0</v>
      </c>
      <c r="E35" s="4092">
        <v>0</v>
      </c>
      <c r="F35" s="4092">
        <v>0</v>
      </c>
      <c r="G35" s="4092">
        <v>0</v>
      </c>
      <c r="H35" s="4092">
        <v>0</v>
      </c>
      <c r="I35" s="4092">
        <v>0</v>
      </c>
      <c r="J35" s="4092">
        <v>0</v>
      </c>
      <c r="K35" s="4092">
        <v>0</v>
      </c>
      <c r="L35" s="4092">
        <v>0</v>
      </c>
      <c r="M35" s="4092">
        <v>0</v>
      </c>
      <c r="N35" s="4092">
        <v>0</v>
      </c>
      <c r="O35" s="4092">
        <v>0</v>
      </c>
      <c r="P35" s="4092">
        <v>0</v>
      </c>
      <c r="Q35" s="4092">
        <v>0</v>
      </c>
      <c r="R35" s="4092">
        <v>0</v>
      </c>
      <c r="S35" s="4092">
        <v>0</v>
      </c>
      <c r="T35" s="4092">
        <v>0</v>
      </c>
      <c r="U35" s="4092">
        <v>0</v>
      </c>
      <c r="V35" s="4092">
        <v>0</v>
      </c>
      <c r="W35" s="4092">
        <v>0</v>
      </c>
      <c r="X35" s="4092">
        <v>0</v>
      </c>
      <c r="Y35" s="4092">
        <v>0</v>
      </c>
      <c r="Z35" s="4092">
        <v>0</v>
      </c>
      <c r="AA35" s="4092">
        <v>0</v>
      </c>
      <c r="AB35" s="4092">
        <v>0</v>
      </c>
      <c r="AC35" s="4092">
        <v>0</v>
      </c>
      <c r="AD35" s="4092">
        <v>0</v>
      </c>
      <c r="AE35" s="4092">
        <v>0</v>
      </c>
      <c r="AF35" s="4092">
        <v>0</v>
      </c>
      <c r="AG35" s="4092">
        <v>0</v>
      </c>
      <c r="AH35" s="4092">
        <v>0</v>
      </c>
      <c r="AI35" s="4092">
        <v>287.5</v>
      </c>
      <c r="AJ35" s="4092">
        <v>0</v>
      </c>
      <c r="AK35" s="4092">
        <v>0</v>
      </c>
      <c r="AL35" s="4092">
        <v>0</v>
      </c>
      <c r="AM35">
        <f t="shared" si="0"/>
        <v>287.5</v>
      </c>
    </row>
    <row r="36" spans="1:40" ht="15" x14ac:dyDescent="0.25">
      <c r="A36" s="4093">
        <v>1920</v>
      </c>
      <c r="B36" s="4095" t="s">
        <v>2263</v>
      </c>
      <c r="C36" s="4092">
        <v>0</v>
      </c>
      <c r="D36" s="4092">
        <v>0</v>
      </c>
      <c r="E36" s="4092">
        <v>0</v>
      </c>
      <c r="F36" s="4092">
        <v>0</v>
      </c>
      <c r="G36" s="4092">
        <v>0</v>
      </c>
      <c r="H36" s="4092">
        <v>0</v>
      </c>
      <c r="I36" s="4092">
        <v>0</v>
      </c>
      <c r="J36" s="4092">
        <v>0</v>
      </c>
      <c r="K36" s="4092">
        <v>0</v>
      </c>
      <c r="L36" s="4092">
        <v>0</v>
      </c>
      <c r="M36" s="4092">
        <v>0</v>
      </c>
      <c r="N36" s="4092">
        <v>0</v>
      </c>
      <c r="O36" s="4092">
        <v>0</v>
      </c>
      <c r="P36" s="4092">
        <v>0</v>
      </c>
      <c r="Q36" s="4092">
        <v>0</v>
      </c>
      <c r="R36" s="4092">
        <v>0</v>
      </c>
      <c r="S36" s="4092">
        <v>0</v>
      </c>
      <c r="T36" s="4092">
        <v>0</v>
      </c>
      <c r="U36" s="4092">
        <v>0</v>
      </c>
      <c r="V36" s="4092">
        <v>0</v>
      </c>
      <c r="W36" s="4092">
        <v>0</v>
      </c>
      <c r="X36" s="4092">
        <v>0</v>
      </c>
      <c r="Y36" s="4092">
        <v>0</v>
      </c>
      <c r="Z36" s="4092">
        <v>0</v>
      </c>
      <c r="AA36" s="4092">
        <v>0</v>
      </c>
      <c r="AB36" s="4092">
        <v>0</v>
      </c>
      <c r="AC36" s="4092">
        <v>0</v>
      </c>
      <c r="AD36" s="4092">
        <v>0</v>
      </c>
      <c r="AE36" s="4092">
        <v>0</v>
      </c>
      <c r="AF36" s="4092">
        <v>0</v>
      </c>
      <c r="AG36" s="4092">
        <v>0</v>
      </c>
      <c r="AH36" s="4092">
        <v>0</v>
      </c>
      <c r="AI36" s="4092">
        <v>0</v>
      </c>
      <c r="AJ36" s="4092">
        <v>1.25</v>
      </c>
      <c r="AK36" s="4092">
        <v>0</v>
      </c>
      <c r="AL36" s="4092">
        <v>0</v>
      </c>
      <c r="AM36">
        <f t="shared" si="0"/>
        <v>1.25</v>
      </c>
    </row>
    <row r="37" spans="1:40" ht="15" x14ac:dyDescent="0.25">
      <c r="A37" s="4093">
        <v>1930</v>
      </c>
      <c r="B37" s="4095" t="s">
        <v>2262</v>
      </c>
      <c r="C37" s="4092">
        <v>0</v>
      </c>
      <c r="D37" s="4092">
        <v>0</v>
      </c>
      <c r="E37" s="4092">
        <v>0</v>
      </c>
      <c r="F37" s="4092">
        <v>0</v>
      </c>
      <c r="G37" s="4092">
        <v>0</v>
      </c>
      <c r="H37" s="4092">
        <v>0</v>
      </c>
      <c r="I37" s="4092">
        <v>0</v>
      </c>
      <c r="J37" s="4092">
        <v>0</v>
      </c>
      <c r="K37" s="4092">
        <v>0</v>
      </c>
      <c r="L37" s="4092">
        <v>0</v>
      </c>
      <c r="M37" s="4092">
        <v>0</v>
      </c>
      <c r="N37" s="4092">
        <v>0</v>
      </c>
      <c r="O37" s="4092">
        <v>0</v>
      </c>
      <c r="P37" s="4092">
        <v>0</v>
      </c>
      <c r="Q37" s="4092">
        <v>0</v>
      </c>
      <c r="R37" s="4092">
        <v>0</v>
      </c>
      <c r="S37" s="4092">
        <v>0</v>
      </c>
      <c r="T37" s="4092">
        <v>0</v>
      </c>
      <c r="U37" s="4092">
        <v>0</v>
      </c>
      <c r="V37" s="4092">
        <v>0</v>
      </c>
      <c r="W37" s="4092">
        <v>0</v>
      </c>
      <c r="X37" s="4092">
        <v>0</v>
      </c>
      <c r="Y37" s="4092">
        <v>0</v>
      </c>
      <c r="Z37" s="4092">
        <v>0</v>
      </c>
      <c r="AA37" s="4092">
        <v>0</v>
      </c>
      <c r="AB37" s="4092">
        <v>0</v>
      </c>
      <c r="AC37" s="4092">
        <v>0</v>
      </c>
      <c r="AD37" s="4092">
        <v>0</v>
      </c>
      <c r="AE37" s="4092">
        <v>0</v>
      </c>
      <c r="AF37" s="4092">
        <v>0</v>
      </c>
      <c r="AG37" s="4092">
        <v>0</v>
      </c>
      <c r="AH37" s="4092">
        <v>0</v>
      </c>
      <c r="AI37" s="4092">
        <v>0</v>
      </c>
      <c r="AJ37" s="4092">
        <v>0</v>
      </c>
      <c r="AK37" s="4092">
        <v>0</v>
      </c>
      <c r="AL37" s="4092">
        <v>0</v>
      </c>
      <c r="AM37">
        <f t="shared" si="0"/>
        <v>0</v>
      </c>
    </row>
    <row r="38" spans="1:40" ht="15" x14ac:dyDescent="0.25">
      <c r="A38" s="4093">
        <v>1980</v>
      </c>
      <c r="B38" s="4096" t="s">
        <v>2261</v>
      </c>
      <c r="C38" s="4092">
        <v>0</v>
      </c>
      <c r="D38" s="4092">
        <v>0</v>
      </c>
      <c r="E38" s="4092">
        <v>0</v>
      </c>
      <c r="F38" s="4092">
        <v>0</v>
      </c>
      <c r="G38" s="4092">
        <v>0</v>
      </c>
      <c r="H38" s="4092">
        <v>0</v>
      </c>
      <c r="I38" s="4092">
        <v>0</v>
      </c>
      <c r="J38" s="4092">
        <v>0</v>
      </c>
      <c r="K38" s="4092">
        <v>0</v>
      </c>
      <c r="L38" s="4092">
        <v>0</v>
      </c>
      <c r="M38" s="4092">
        <v>0</v>
      </c>
      <c r="N38" s="4092">
        <v>0</v>
      </c>
      <c r="O38" s="4092">
        <v>0</v>
      </c>
      <c r="P38" s="4092">
        <v>0</v>
      </c>
      <c r="Q38" s="4092">
        <v>0</v>
      </c>
      <c r="R38" s="4092">
        <v>0</v>
      </c>
      <c r="S38" s="4092">
        <v>0</v>
      </c>
      <c r="T38" s="4092">
        <v>0</v>
      </c>
      <c r="U38" s="4092">
        <v>0</v>
      </c>
      <c r="V38" s="4092">
        <v>0</v>
      </c>
      <c r="W38" s="4092">
        <v>0</v>
      </c>
      <c r="X38" s="4092">
        <v>0</v>
      </c>
      <c r="Y38" s="4092">
        <v>0</v>
      </c>
      <c r="Z38" s="4092">
        <v>0</v>
      </c>
      <c r="AA38" s="4092">
        <v>0</v>
      </c>
      <c r="AB38" s="4092">
        <v>0</v>
      </c>
      <c r="AC38" s="4092">
        <v>0</v>
      </c>
      <c r="AD38" s="4092">
        <v>0</v>
      </c>
      <c r="AE38" s="4092">
        <v>0</v>
      </c>
      <c r="AF38" s="4092">
        <v>0</v>
      </c>
      <c r="AG38" s="4092">
        <v>0</v>
      </c>
      <c r="AH38" s="4092">
        <v>0</v>
      </c>
      <c r="AI38" s="4092">
        <v>0</v>
      </c>
      <c r="AJ38" s="4092">
        <v>0</v>
      </c>
      <c r="AK38" s="4092">
        <v>0</v>
      </c>
      <c r="AL38" s="4092">
        <v>77.875</v>
      </c>
      <c r="AM38">
        <f t="shared" si="0"/>
        <v>77.875</v>
      </c>
      <c r="AN38" t="s">
        <v>4271</v>
      </c>
    </row>
    <row r="39" spans="1:40" x14ac:dyDescent="0.2">
      <c r="A39" t="s">
        <v>4272</v>
      </c>
      <c r="C39">
        <f>SUM(C3:C38)</f>
        <v>1215.1875</v>
      </c>
      <c r="D39">
        <f t="shared" ref="D39:AL39" si="1">SUM(D3:D38)</f>
        <v>0</v>
      </c>
      <c r="E39">
        <f t="shared" si="1"/>
        <v>0</v>
      </c>
      <c r="F39">
        <f t="shared" si="1"/>
        <v>2</v>
      </c>
      <c r="G39">
        <f t="shared" si="1"/>
        <v>53.9375</v>
      </c>
      <c r="H39">
        <f t="shared" si="1"/>
        <v>0</v>
      </c>
      <c r="I39">
        <f t="shared" si="1"/>
        <v>0</v>
      </c>
      <c r="J39">
        <f>SUM(J3:J38)</f>
        <v>4.125</v>
      </c>
      <c r="K39">
        <f t="shared" si="1"/>
        <v>3581.75</v>
      </c>
      <c r="L39">
        <f t="shared" si="1"/>
        <v>0</v>
      </c>
      <c r="M39">
        <f t="shared" si="1"/>
        <v>0</v>
      </c>
      <c r="N39">
        <f t="shared" si="1"/>
        <v>1.25</v>
      </c>
      <c r="O39">
        <f t="shared" si="1"/>
        <v>77</v>
      </c>
      <c r="P39">
        <f t="shared" si="1"/>
        <v>0</v>
      </c>
      <c r="Q39">
        <f t="shared" si="1"/>
        <v>0</v>
      </c>
      <c r="R39">
        <f t="shared" si="1"/>
        <v>0</v>
      </c>
      <c r="S39">
        <f t="shared" si="1"/>
        <v>3156.4375</v>
      </c>
      <c r="T39">
        <f t="shared" si="1"/>
        <v>0</v>
      </c>
      <c r="U39">
        <f t="shared" si="1"/>
        <v>0</v>
      </c>
      <c r="V39">
        <f t="shared" si="1"/>
        <v>32</v>
      </c>
      <c r="W39">
        <f t="shared" si="1"/>
        <v>2612</v>
      </c>
      <c r="X39">
        <f t="shared" si="1"/>
        <v>0.25</v>
      </c>
      <c r="Y39">
        <f t="shared" si="1"/>
        <v>0</v>
      </c>
      <c r="Z39">
        <f t="shared" si="1"/>
        <v>169.25</v>
      </c>
      <c r="AA39">
        <f t="shared" si="1"/>
        <v>240.375</v>
      </c>
      <c r="AB39">
        <f t="shared" si="1"/>
        <v>6.25E-2</v>
      </c>
      <c r="AC39">
        <f t="shared" si="1"/>
        <v>0</v>
      </c>
      <c r="AD39">
        <f t="shared" si="1"/>
        <v>126.6875</v>
      </c>
      <c r="AE39">
        <f t="shared" si="1"/>
        <v>19.5</v>
      </c>
      <c r="AF39">
        <f t="shared" si="1"/>
        <v>0</v>
      </c>
      <c r="AG39">
        <f t="shared" si="1"/>
        <v>0</v>
      </c>
      <c r="AH39">
        <f t="shared" si="1"/>
        <v>7.375</v>
      </c>
      <c r="AI39">
        <f t="shared" si="1"/>
        <v>287.5</v>
      </c>
      <c r="AJ39">
        <f t="shared" si="1"/>
        <v>1.25</v>
      </c>
      <c r="AK39">
        <f t="shared" si="1"/>
        <v>0</v>
      </c>
      <c r="AL39">
        <f t="shared" si="1"/>
        <v>77.875</v>
      </c>
      <c r="AM39">
        <f>SUM(C39:AL39)</f>
        <v>11665.8125</v>
      </c>
      <c r="AN39">
        <f>SUM(AM3:AM38)</f>
        <v>11665.8125</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32975-CDD9-4988-B3A9-E5E7CA2D63A5}">
  <sheetPr codeName="Ark163">
    <tabColor theme="3" tint="0.59999389629810485"/>
  </sheetPr>
  <dimension ref="A1:AN40"/>
  <sheetViews>
    <sheetView workbookViewId="0">
      <selection activeCell="D16" sqref="A1:AN39"/>
    </sheetView>
  </sheetViews>
  <sheetFormatPr defaultRowHeight="12.75" x14ac:dyDescent="0.2"/>
  <cols>
    <col min="2" max="2" width="25.7109375" customWidth="1"/>
  </cols>
  <sheetData>
    <row r="1" spans="1:39" ht="15" x14ac:dyDescent="0.25">
      <c r="A1" s="4211" t="s">
        <v>5385</v>
      </c>
      <c r="B1" s="4212" t="s">
        <v>5318</v>
      </c>
      <c r="C1" s="4211">
        <v>1110</v>
      </c>
      <c r="D1" s="4211">
        <v>1120</v>
      </c>
      <c r="E1" s="4211">
        <v>1130</v>
      </c>
      <c r="F1" s="4211">
        <v>1180</v>
      </c>
      <c r="G1" s="4211">
        <v>1210</v>
      </c>
      <c r="H1" s="4211">
        <v>1220</v>
      </c>
      <c r="I1" s="4211">
        <v>1230</v>
      </c>
      <c r="J1" s="4211">
        <v>1280</v>
      </c>
      <c r="K1" s="4211">
        <v>1310</v>
      </c>
      <c r="L1" s="4211">
        <v>1320</v>
      </c>
      <c r="M1" s="4211">
        <v>1330</v>
      </c>
      <c r="N1" s="4211">
        <v>1380</v>
      </c>
      <c r="O1" s="4211">
        <v>1410</v>
      </c>
      <c r="P1" s="4211">
        <v>1420</v>
      </c>
      <c r="Q1" s="4211">
        <v>1430</v>
      </c>
      <c r="R1" s="4211">
        <v>1480</v>
      </c>
      <c r="S1" s="4211">
        <v>1510</v>
      </c>
      <c r="T1" s="4211">
        <v>1520</v>
      </c>
      <c r="U1" s="4211">
        <v>1530</v>
      </c>
      <c r="V1" s="4211">
        <v>1580</v>
      </c>
      <c r="W1" s="4211">
        <v>1610</v>
      </c>
      <c r="X1" s="4211">
        <v>1620</v>
      </c>
      <c r="Y1" s="4211">
        <v>1630</v>
      </c>
      <c r="Z1" s="4211">
        <v>1680</v>
      </c>
      <c r="AA1" s="4211">
        <v>1710</v>
      </c>
      <c r="AB1" s="4211">
        <v>1720</v>
      </c>
      <c r="AC1" s="4211">
        <v>1730</v>
      </c>
      <c r="AD1" s="4211">
        <v>1780</v>
      </c>
      <c r="AE1" s="4211">
        <v>1810</v>
      </c>
      <c r="AF1" s="4211">
        <v>1820</v>
      </c>
      <c r="AG1" s="4211">
        <v>1830</v>
      </c>
      <c r="AH1" s="4211">
        <v>1880</v>
      </c>
      <c r="AI1" s="4211">
        <v>1910</v>
      </c>
      <c r="AJ1" s="4211">
        <v>1920</v>
      </c>
      <c r="AK1" s="4211">
        <v>1930</v>
      </c>
      <c r="AL1" s="4211">
        <v>1980</v>
      </c>
      <c r="AM1" t="s">
        <v>4272</v>
      </c>
    </row>
    <row r="2" spans="1:39" ht="16.149999999999999" customHeight="1" x14ac:dyDescent="0.2">
      <c r="A2" s="4211" t="s">
        <v>2298</v>
      </c>
      <c r="B2" s="4213" t="s">
        <v>2297</v>
      </c>
      <c r="C2" s="4213" t="s">
        <v>2296</v>
      </c>
      <c r="D2" s="4213" t="s">
        <v>2295</v>
      </c>
      <c r="E2" s="4213" t="s">
        <v>2294</v>
      </c>
      <c r="F2" s="4213" t="s">
        <v>2293</v>
      </c>
      <c r="G2" s="4213" t="s">
        <v>2292</v>
      </c>
      <c r="H2" s="4213" t="s">
        <v>2291</v>
      </c>
      <c r="I2" s="4213" t="s">
        <v>2290</v>
      </c>
      <c r="J2" s="4213" t="s">
        <v>2289</v>
      </c>
      <c r="K2" s="4213" t="s">
        <v>2288</v>
      </c>
      <c r="L2" s="4213" t="s">
        <v>2287</v>
      </c>
      <c r="M2" s="4213" t="s">
        <v>2286</v>
      </c>
      <c r="N2" s="4213" t="s">
        <v>2285</v>
      </c>
      <c r="O2" s="4213" t="s">
        <v>2284</v>
      </c>
      <c r="P2" s="4213" t="s">
        <v>2283</v>
      </c>
      <c r="Q2" s="4213" t="s">
        <v>2282</v>
      </c>
      <c r="R2" s="4213" t="s">
        <v>2281</v>
      </c>
      <c r="S2" s="4213" t="s">
        <v>2280</v>
      </c>
      <c r="T2" s="4213" t="s">
        <v>2279</v>
      </c>
      <c r="U2" s="4213" t="s">
        <v>2278</v>
      </c>
      <c r="V2" s="4213" t="s">
        <v>2277</v>
      </c>
      <c r="W2" s="4213" t="s">
        <v>2276</v>
      </c>
      <c r="X2" s="4213" t="s">
        <v>2275</v>
      </c>
      <c r="Y2" s="4213" t="s">
        <v>2274</v>
      </c>
      <c r="Z2" s="4213" t="s">
        <v>2273</v>
      </c>
      <c r="AA2" s="4213" t="s">
        <v>2272</v>
      </c>
      <c r="AB2" s="4213" t="s">
        <v>2271</v>
      </c>
      <c r="AC2" s="4213" t="s">
        <v>2270</v>
      </c>
      <c r="AD2" s="4213" t="s">
        <v>2269</v>
      </c>
      <c r="AE2" s="4213" t="s">
        <v>2268</v>
      </c>
      <c r="AF2" s="4213" t="s">
        <v>2267</v>
      </c>
      <c r="AG2" s="4213" t="s">
        <v>2266</v>
      </c>
      <c r="AH2" s="4213" t="s">
        <v>2265</v>
      </c>
      <c r="AI2" s="4213" t="s">
        <v>2264</v>
      </c>
      <c r="AJ2" s="4213" t="s">
        <v>2263</v>
      </c>
      <c r="AK2" s="4213" t="s">
        <v>2262</v>
      </c>
      <c r="AL2" s="4214" t="s">
        <v>2261</v>
      </c>
    </row>
    <row r="3" spans="1:39" ht="16.149999999999999" customHeight="1" x14ac:dyDescent="0.2">
      <c r="A3" s="4211">
        <v>1110</v>
      </c>
      <c r="B3" s="4213" t="s">
        <v>2296</v>
      </c>
      <c r="C3">
        <v>1186.25</v>
      </c>
      <c r="D3">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f>SUM(C3:AL3)</f>
        <v>1186.25</v>
      </c>
    </row>
    <row r="4" spans="1:39" ht="16.149999999999999" customHeight="1" x14ac:dyDescent="0.2">
      <c r="A4" s="4211">
        <v>1120</v>
      </c>
      <c r="B4" s="4213" t="s">
        <v>2295</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f t="shared" ref="AM4:AM38" si="0">SUM(C4:AL4)</f>
        <v>0</v>
      </c>
    </row>
    <row r="5" spans="1:39" ht="16.149999999999999" customHeight="1" x14ac:dyDescent="0.2">
      <c r="A5" s="4211">
        <v>1130</v>
      </c>
      <c r="B5" s="4213" t="s">
        <v>2294</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f t="shared" si="0"/>
        <v>0</v>
      </c>
    </row>
    <row r="6" spans="1:39" ht="16.149999999999999" customHeight="1" x14ac:dyDescent="0.2">
      <c r="A6" s="4211">
        <v>1180</v>
      </c>
      <c r="B6" s="4213" t="s">
        <v>2293</v>
      </c>
      <c r="C6">
        <v>0</v>
      </c>
      <c r="D6">
        <v>0</v>
      </c>
      <c r="E6">
        <v>0</v>
      </c>
      <c r="F6">
        <v>2</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f t="shared" si="0"/>
        <v>2</v>
      </c>
    </row>
    <row r="7" spans="1:39" ht="16.149999999999999" customHeight="1" x14ac:dyDescent="0.2">
      <c r="A7" s="4211">
        <v>1210</v>
      </c>
      <c r="B7" s="4213" t="s">
        <v>2292</v>
      </c>
      <c r="C7">
        <v>0</v>
      </c>
      <c r="D7">
        <v>0</v>
      </c>
      <c r="E7">
        <v>0</v>
      </c>
      <c r="F7">
        <v>0</v>
      </c>
      <c r="G7">
        <v>53.4375</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f t="shared" si="0"/>
        <v>53.4375</v>
      </c>
    </row>
    <row r="8" spans="1:39" ht="16.149999999999999" customHeight="1" x14ac:dyDescent="0.2">
      <c r="A8" s="4211">
        <v>1220</v>
      </c>
      <c r="B8" s="4213" t="s">
        <v>2291</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f t="shared" si="0"/>
        <v>0</v>
      </c>
    </row>
    <row r="9" spans="1:39" ht="16.149999999999999" customHeight="1" x14ac:dyDescent="0.2">
      <c r="A9" s="4211">
        <v>1230</v>
      </c>
      <c r="B9" s="4213" t="s">
        <v>2290</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f t="shared" si="0"/>
        <v>0</v>
      </c>
    </row>
    <row r="10" spans="1:39" ht="16.149999999999999" customHeight="1" x14ac:dyDescent="0.2">
      <c r="A10" s="4211">
        <v>1280</v>
      </c>
      <c r="B10" s="4213" t="s">
        <v>2289</v>
      </c>
      <c r="C10">
        <v>0</v>
      </c>
      <c r="D10">
        <v>0</v>
      </c>
      <c r="E10">
        <v>0</v>
      </c>
      <c r="F10">
        <v>0</v>
      </c>
      <c r="G10">
        <v>0</v>
      </c>
      <c r="H10">
        <v>0</v>
      </c>
      <c r="I10">
        <v>0</v>
      </c>
      <c r="J10">
        <v>4.125</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f t="shared" si="0"/>
        <v>4.125</v>
      </c>
    </row>
    <row r="11" spans="1:39" ht="16.149999999999999" customHeight="1" x14ac:dyDescent="0.2">
      <c r="A11" s="4211">
        <v>1310</v>
      </c>
      <c r="B11" s="4213" t="s">
        <v>2288</v>
      </c>
      <c r="C11">
        <v>2.9375</v>
      </c>
      <c r="D11">
        <v>0</v>
      </c>
      <c r="E11">
        <v>0</v>
      </c>
      <c r="F11">
        <v>0</v>
      </c>
      <c r="G11">
        <v>0</v>
      </c>
      <c r="H11">
        <v>0</v>
      </c>
      <c r="I11">
        <v>0</v>
      </c>
      <c r="J11">
        <v>0</v>
      </c>
      <c r="K11">
        <v>3363.8125</v>
      </c>
      <c r="L11">
        <v>0</v>
      </c>
      <c r="M11">
        <v>0</v>
      </c>
      <c r="N11">
        <v>0</v>
      </c>
      <c r="O11">
        <v>0.125</v>
      </c>
      <c r="P11">
        <v>0</v>
      </c>
      <c r="Q11">
        <v>0</v>
      </c>
      <c r="R11">
        <v>0</v>
      </c>
      <c r="S11">
        <v>131.75</v>
      </c>
      <c r="T11">
        <v>0</v>
      </c>
      <c r="U11">
        <v>0</v>
      </c>
      <c r="V11">
        <v>0</v>
      </c>
      <c r="W11">
        <v>143.625</v>
      </c>
      <c r="X11">
        <v>0</v>
      </c>
      <c r="Y11">
        <v>0</v>
      </c>
      <c r="Z11">
        <v>0</v>
      </c>
      <c r="AA11">
        <v>7.875</v>
      </c>
      <c r="AB11">
        <v>0</v>
      </c>
      <c r="AC11">
        <v>0</v>
      </c>
      <c r="AD11">
        <v>0</v>
      </c>
      <c r="AE11">
        <v>0</v>
      </c>
      <c r="AF11">
        <v>0</v>
      </c>
      <c r="AG11">
        <v>0</v>
      </c>
      <c r="AH11">
        <v>0</v>
      </c>
      <c r="AI11">
        <v>0</v>
      </c>
      <c r="AJ11">
        <v>0</v>
      </c>
      <c r="AK11">
        <v>0</v>
      </c>
      <c r="AL11">
        <v>0</v>
      </c>
      <c r="AM11">
        <f t="shared" si="0"/>
        <v>3650.125</v>
      </c>
    </row>
    <row r="12" spans="1:39" ht="16.149999999999999" customHeight="1" x14ac:dyDescent="0.2">
      <c r="A12" s="4211">
        <v>1320</v>
      </c>
      <c r="B12" s="4213" t="s">
        <v>2287</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f t="shared" si="0"/>
        <v>0</v>
      </c>
    </row>
    <row r="13" spans="1:39" ht="16.149999999999999" customHeight="1" x14ac:dyDescent="0.2">
      <c r="A13" s="4211">
        <v>1330</v>
      </c>
      <c r="B13" s="4213" t="s">
        <v>2286</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f t="shared" si="0"/>
        <v>0</v>
      </c>
    </row>
    <row r="14" spans="1:39" ht="16.149999999999999" customHeight="1" x14ac:dyDescent="0.2">
      <c r="A14" s="4211">
        <v>1380</v>
      </c>
      <c r="B14" s="4213" t="s">
        <v>2285</v>
      </c>
      <c r="C14">
        <v>0</v>
      </c>
      <c r="D14">
        <v>0</v>
      </c>
      <c r="E14">
        <v>0</v>
      </c>
      <c r="F14">
        <v>0</v>
      </c>
      <c r="G14">
        <v>0</v>
      </c>
      <c r="H14">
        <v>0</v>
      </c>
      <c r="I14">
        <v>0</v>
      </c>
      <c r="J14">
        <v>0</v>
      </c>
      <c r="K14">
        <v>0</v>
      </c>
      <c r="L14">
        <v>0</v>
      </c>
      <c r="M14">
        <v>0</v>
      </c>
      <c r="N14">
        <v>1.1875</v>
      </c>
      <c r="O14">
        <v>0</v>
      </c>
      <c r="P14">
        <v>0</v>
      </c>
      <c r="Q14">
        <v>0</v>
      </c>
      <c r="R14">
        <v>0</v>
      </c>
      <c r="S14">
        <v>0</v>
      </c>
      <c r="T14">
        <v>0</v>
      </c>
      <c r="U14">
        <v>0</v>
      </c>
      <c r="V14">
        <v>0</v>
      </c>
      <c r="W14">
        <v>0</v>
      </c>
      <c r="X14">
        <v>0</v>
      </c>
      <c r="Y14">
        <v>0</v>
      </c>
      <c r="Z14">
        <v>0.125</v>
      </c>
      <c r="AA14">
        <v>0</v>
      </c>
      <c r="AB14">
        <v>0</v>
      </c>
      <c r="AC14">
        <v>0</v>
      </c>
      <c r="AD14">
        <v>0</v>
      </c>
      <c r="AE14">
        <v>0</v>
      </c>
      <c r="AF14">
        <v>0</v>
      </c>
      <c r="AG14">
        <v>0</v>
      </c>
      <c r="AH14">
        <v>0</v>
      </c>
      <c r="AI14">
        <v>0</v>
      </c>
      <c r="AJ14">
        <v>0</v>
      </c>
      <c r="AK14">
        <v>0</v>
      </c>
      <c r="AL14">
        <v>0</v>
      </c>
      <c r="AM14">
        <f t="shared" si="0"/>
        <v>1.3125</v>
      </c>
    </row>
    <row r="15" spans="1:39" ht="16.149999999999999" customHeight="1" x14ac:dyDescent="0.2">
      <c r="A15" s="4211">
        <v>1410</v>
      </c>
      <c r="B15" s="4213" t="s">
        <v>2284</v>
      </c>
      <c r="C15">
        <v>0.1875</v>
      </c>
      <c r="D15">
        <v>0</v>
      </c>
      <c r="E15">
        <v>0</v>
      </c>
      <c r="F15">
        <v>0</v>
      </c>
      <c r="G15">
        <v>0</v>
      </c>
      <c r="H15">
        <v>0</v>
      </c>
      <c r="I15">
        <v>0</v>
      </c>
      <c r="J15">
        <v>0</v>
      </c>
      <c r="K15">
        <v>0.5625</v>
      </c>
      <c r="L15">
        <v>0</v>
      </c>
      <c r="M15">
        <v>0</v>
      </c>
      <c r="N15">
        <v>0</v>
      </c>
      <c r="O15">
        <v>49.25</v>
      </c>
      <c r="P15">
        <v>0</v>
      </c>
      <c r="Q15">
        <v>0</v>
      </c>
      <c r="R15">
        <v>0</v>
      </c>
      <c r="S15">
        <v>5.9375</v>
      </c>
      <c r="T15">
        <v>0</v>
      </c>
      <c r="U15">
        <v>0</v>
      </c>
      <c r="V15">
        <v>0</v>
      </c>
      <c r="W15">
        <v>0</v>
      </c>
      <c r="X15">
        <v>0</v>
      </c>
      <c r="Y15">
        <v>0</v>
      </c>
      <c r="Z15">
        <v>0</v>
      </c>
      <c r="AA15">
        <v>0</v>
      </c>
      <c r="AB15">
        <v>0</v>
      </c>
      <c r="AC15">
        <v>0</v>
      </c>
      <c r="AD15">
        <v>0</v>
      </c>
      <c r="AE15">
        <v>0</v>
      </c>
      <c r="AF15">
        <v>0</v>
      </c>
      <c r="AG15">
        <v>0</v>
      </c>
      <c r="AH15">
        <v>0</v>
      </c>
      <c r="AI15">
        <v>0</v>
      </c>
      <c r="AJ15">
        <v>0</v>
      </c>
      <c r="AK15">
        <v>0</v>
      </c>
      <c r="AL15">
        <v>0</v>
      </c>
      <c r="AM15">
        <f t="shared" si="0"/>
        <v>55.9375</v>
      </c>
    </row>
    <row r="16" spans="1:39" ht="16.149999999999999" customHeight="1" x14ac:dyDescent="0.2">
      <c r="A16" s="4211">
        <v>1420</v>
      </c>
      <c r="B16" s="4213" t="s">
        <v>2283</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f t="shared" si="0"/>
        <v>0</v>
      </c>
    </row>
    <row r="17" spans="1:39" ht="16.149999999999999" customHeight="1" x14ac:dyDescent="0.2">
      <c r="A17" s="4211">
        <v>1430</v>
      </c>
      <c r="B17" s="4213" t="s">
        <v>2282</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f t="shared" si="0"/>
        <v>0</v>
      </c>
    </row>
    <row r="18" spans="1:39" ht="16.149999999999999" customHeight="1" x14ac:dyDescent="0.2">
      <c r="A18" s="4211">
        <v>1480</v>
      </c>
      <c r="B18" s="4213" t="s">
        <v>2281</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f t="shared" si="0"/>
        <v>0</v>
      </c>
    </row>
    <row r="19" spans="1:39" ht="16.149999999999999" customHeight="1" x14ac:dyDescent="0.2">
      <c r="A19" s="4211">
        <v>1510</v>
      </c>
      <c r="B19" s="4213" t="s">
        <v>2280</v>
      </c>
      <c r="C19">
        <v>25.8125</v>
      </c>
      <c r="D19">
        <v>0</v>
      </c>
      <c r="E19">
        <v>0</v>
      </c>
      <c r="F19">
        <v>0</v>
      </c>
      <c r="G19">
        <v>0.4375</v>
      </c>
      <c r="H19">
        <v>0</v>
      </c>
      <c r="I19">
        <v>0</v>
      </c>
      <c r="J19">
        <v>0</v>
      </c>
      <c r="K19">
        <v>149.875</v>
      </c>
      <c r="L19">
        <v>0</v>
      </c>
      <c r="M19">
        <v>0</v>
      </c>
      <c r="N19">
        <v>0</v>
      </c>
      <c r="O19">
        <v>27.375</v>
      </c>
      <c r="P19">
        <v>0</v>
      </c>
      <c r="Q19">
        <v>0</v>
      </c>
      <c r="R19">
        <v>0</v>
      </c>
      <c r="S19">
        <v>2896.5</v>
      </c>
      <c r="T19">
        <v>0</v>
      </c>
      <c r="U19">
        <v>0</v>
      </c>
      <c r="V19">
        <v>0</v>
      </c>
      <c r="W19">
        <v>557.5</v>
      </c>
      <c r="X19">
        <v>0</v>
      </c>
      <c r="Y19">
        <v>0</v>
      </c>
      <c r="Z19">
        <v>0</v>
      </c>
      <c r="AA19">
        <v>0.8125</v>
      </c>
      <c r="AB19">
        <v>0</v>
      </c>
      <c r="AC19">
        <v>0</v>
      </c>
      <c r="AD19">
        <v>0</v>
      </c>
      <c r="AE19">
        <v>0</v>
      </c>
      <c r="AF19">
        <v>0</v>
      </c>
      <c r="AG19">
        <v>0</v>
      </c>
      <c r="AH19">
        <v>0</v>
      </c>
      <c r="AI19">
        <v>0</v>
      </c>
      <c r="AJ19">
        <v>0</v>
      </c>
      <c r="AK19">
        <v>0</v>
      </c>
      <c r="AL19">
        <v>0</v>
      </c>
      <c r="AM19">
        <f t="shared" si="0"/>
        <v>3658.3125</v>
      </c>
    </row>
    <row r="20" spans="1:39" ht="16.149999999999999" customHeight="1" x14ac:dyDescent="0.2">
      <c r="A20" s="4211">
        <v>1520</v>
      </c>
      <c r="B20" s="4213" t="s">
        <v>2279</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f t="shared" si="0"/>
        <v>0</v>
      </c>
    </row>
    <row r="21" spans="1:39" ht="16.149999999999999" customHeight="1" x14ac:dyDescent="0.2">
      <c r="A21" s="4211">
        <v>1530</v>
      </c>
      <c r="B21" s="4213" t="s">
        <v>2278</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f t="shared" si="0"/>
        <v>0</v>
      </c>
    </row>
    <row r="22" spans="1:39" ht="16.149999999999999" customHeight="1" x14ac:dyDescent="0.2">
      <c r="A22" s="4211">
        <v>1580</v>
      </c>
      <c r="B22" s="4213" t="s">
        <v>2277</v>
      </c>
      <c r="C22">
        <v>0</v>
      </c>
      <c r="D22">
        <v>0</v>
      </c>
      <c r="E22">
        <v>0</v>
      </c>
      <c r="F22">
        <v>0</v>
      </c>
      <c r="G22">
        <v>0</v>
      </c>
      <c r="H22">
        <v>0</v>
      </c>
      <c r="I22">
        <v>0</v>
      </c>
      <c r="J22">
        <v>0</v>
      </c>
      <c r="K22">
        <v>0</v>
      </c>
      <c r="L22">
        <v>0</v>
      </c>
      <c r="M22">
        <v>0</v>
      </c>
      <c r="N22">
        <v>6.25E-2</v>
      </c>
      <c r="O22">
        <v>0</v>
      </c>
      <c r="P22">
        <v>0</v>
      </c>
      <c r="Q22">
        <v>0</v>
      </c>
      <c r="R22">
        <v>0</v>
      </c>
      <c r="S22">
        <v>0</v>
      </c>
      <c r="T22">
        <v>0</v>
      </c>
      <c r="U22">
        <v>0</v>
      </c>
      <c r="V22">
        <v>25.0625</v>
      </c>
      <c r="W22">
        <v>0</v>
      </c>
      <c r="X22">
        <v>0</v>
      </c>
      <c r="Y22">
        <v>0</v>
      </c>
      <c r="Z22">
        <v>53.625</v>
      </c>
      <c r="AA22">
        <v>0</v>
      </c>
      <c r="AB22">
        <v>0</v>
      </c>
      <c r="AC22">
        <v>0</v>
      </c>
      <c r="AD22">
        <v>6.25E-2</v>
      </c>
      <c r="AE22">
        <v>0</v>
      </c>
      <c r="AF22">
        <v>0</v>
      </c>
      <c r="AG22">
        <v>0</v>
      </c>
      <c r="AH22">
        <v>0</v>
      </c>
      <c r="AI22">
        <v>0</v>
      </c>
      <c r="AJ22">
        <v>0</v>
      </c>
      <c r="AK22">
        <v>0</v>
      </c>
      <c r="AL22">
        <v>0</v>
      </c>
      <c r="AM22">
        <f t="shared" si="0"/>
        <v>78.8125</v>
      </c>
    </row>
    <row r="23" spans="1:39" ht="16.149999999999999" customHeight="1" x14ac:dyDescent="0.2">
      <c r="A23" s="4211">
        <v>1610</v>
      </c>
      <c r="B23" s="4213" t="s">
        <v>2276</v>
      </c>
      <c r="C23">
        <v>0</v>
      </c>
      <c r="D23">
        <v>0</v>
      </c>
      <c r="E23">
        <v>0</v>
      </c>
      <c r="F23">
        <v>0</v>
      </c>
      <c r="G23">
        <v>6.25E-2</v>
      </c>
      <c r="H23">
        <v>0</v>
      </c>
      <c r="I23">
        <v>0</v>
      </c>
      <c r="J23">
        <v>0</v>
      </c>
      <c r="K23">
        <v>66.5625</v>
      </c>
      <c r="L23">
        <v>0</v>
      </c>
      <c r="M23">
        <v>0</v>
      </c>
      <c r="N23">
        <v>0</v>
      </c>
      <c r="O23">
        <v>0.25</v>
      </c>
      <c r="P23">
        <v>0</v>
      </c>
      <c r="Q23">
        <v>0</v>
      </c>
      <c r="R23">
        <v>0</v>
      </c>
      <c r="S23">
        <v>121.9375</v>
      </c>
      <c r="T23">
        <v>0</v>
      </c>
      <c r="U23">
        <v>0</v>
      </c>
      <c r="V23">
        <v>0</v>
      </c>
      <c r="W23">
        <v>1910.875</v>
      </c>
      <c r="X23">
        <v>0</v>
      </c>
      <c r="Y23">
        <v>0</v>
      </c>
      <c r="Z23">
        <v>0</v>
      </c>
      <c r="AA23">
        <v>9.8125</v>
      </c>
      <c r="AB23">
        <v>0</v>
      </c>
      <c r="AC23">
        <v>0</v>
      </c>
      <c r="AD23">
        <v>0</v>
      </c>
      <c r="AE23">
        <v>0</v>
      </c>
      <c r="AF23">
        <v>0</v>
      </c>
      <c r="AG23">
        <v>0</v>
      </c>
      <c r="AH23">
        <v>0</v>
      </c>
      <c r="AI23">
        <v>0</v>
      </c>
      <c r="AJ23">
        <v>0</v>
      </c>
      <c r="AK23">
        <v>0</v>
      </c>
      <c r="AL23">
        <v>0</v>
      </c>
      <c r="AM23">
        <f t="shared" si="0"/>
        <v>2109.5</v>
      </c>
    </row>
    <row r="24" spans="1:39" ht="16.149999999999999" customHeight="1" x14ac:dyDescent="0.2">
      <c r="A24" s="4211">
        <v>1620</v>
      </c>
      <c r="B24" s="4213" t="s">
        <v>2275</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0.25</v>
      </c>
      <c r="Y24">
        <v>0</v>
      </c>
      <c r="Z24">
        <v>0</v>
      </c>
      <c r="AA24">
        <v>0</v>
      </c>
      <c r="AB24">
        <v>0</v>
      </c>
      <c r="AC24">
        <v>0</v>
      </c>
      <c r="AD24">
        <v>0</v>
      </c>
      <c r="AE24">
        <v>0</v>
      </c>
      <c r="AF24">
        <v>0</v>
      </c>
      <c r="AG24">
        <v>0</v>
      </c>
      <c r="AH24">
        <v>0</v>
      </c>
      <c r="AI24">
        <v>0</v>
      </c>
      <c r="AJ24">
        <v>0</v>
      </c>
      <c r="AK24">
        <v>0</v>
      </c>
      <c r="AL24">
        <v>0</v>
      </c>
      <c r="AM24">
        <f t="shared" si="0"/>
        <v>0.25</v>
      </c>
    </row>
    <row r="25" spans="1:39" ht="16.149999999999999" customHeight="1" x14ac:dyDescent="0.2">
      <c r="A25" s="4211">
        <v>1630</v>
      </c>
      <c r="B25" s="4213" t="s">
        <v>2274</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f t="shared" si="0"/>
        <v>0</v>
      </c>
    </row>
    <row r="26" spans="1:39" ht="16.149999999999999" customHeight="1" x14ac:dyDescent="0.2">
      <c r="A26" s="4211">
        <v>1680</v>
      </c>
      <c r="B26" s="4213" t="s">
        <v>2273</v>
      </c>
      <c r="C26">
        <v>0</v>
      </c>
      <c r="D26">
        <v>0</v>
      </c>
      <c r="E26">
        <v>0</v>
      </c>
      <c r="F26">
        <v>0</v>
      </c>
      <c r="G26">
        <v>0</v>
      </c>
      <c r="H26">
        <v>0</v>
      </c>
      <c r="I26">
        <v>0</v>
      </c>
      <c r="J26">
        <v>0</v>
      </c>
      <c r="K26">
        <v>0</v>
      </c>
      <c r="L26">
        <v>0</v>
      </c>
      <c r="M26">
        <v>0</v>
      </c>
      <c r="N26">
        <v>0</v>
      </c>
      <c r="O26">
        <v>0</v>
      </c>
      <c r="P26">
        <v>0</v>
      </c>
      <c r="Q26">
        <v>0</v>
      </c>
      <c r="R26">
        <v>0</v>
      </c>
      <c r="S26">
        <v>0</v>
      </c>
      <c r="T26">
        <v>0</v>
      </c>
      <c r="U26">
        <v>0</v>
      </c>
      <c r="V26">
        <v>6.9375</v>
      </c>
      <c r="W26">
        <v>0</v>
      </c>
      <c r="X26">
        <v>0</v>
      </c>
      <c r="Y26">
        <v>0</v>
      </c>
      <c r="Z26">
        <v>115.5</v>
      </c>
      <c r="AA26">
        <v>0</v>
      </c>
      <c r="AB26">
        <v>0</v>
      </c>
      <c r="AC26">
        <v>0</v>
      </c>
      <c r="AD26">
        <v>1.3125</v>
      </c>
      <c r="AE26">
        <v>0</v>
      </c>
      <c r="AF26">
        <v>0</v>
      </c>
      <c r="AG26">
        <v>0</v>
      </c>
      <c r="AH26">
        <v>0</v>
      </c>
      <c r="AI26">
        <v>0</v>
      </c>
      <c r="AJ26">
        <v>0</v>
      </c>
      <c r="AK26">
        <v>0</v>
      </c>
      <c r="AL26">
        <v>0</v>
      </c>
      <c r="AM26">
        <f t="shared" si="0"/>
        <v>123.75</v>
      </c>
    </row>
    <row r="27" spans="1:39" ht="16.149999999999999" customHeight="1" x14ac:dyDescent="0.2">
      <c r="A27" s="4211">
        <v>1710</v>
      </c>
      <c r="B27" s="4213" t="s">
        <v>2272</v>
      </c>
      <c r="C27">
        <v>0</v>
      </c>
      <c r="D27">
        <v>0</v>
      </c>
      <c r="E27">
        <v>0</v>
      </c>
      <c r="F27">
        <v>0</v>
      </c>
      <c r="G27">
        <v>0</v>
      </c>
      <c r="H27">
        <v>0</v>
      </c>
      <c r="I27">
        <v>0</v>
      </c>
      <c r="J27">
        <v>0</v>
      </c>
      <c r="K27">
        <v>0.875</v>
      </c>
      <c r="L27">
        <v>0</v>
      </c>
      <c r="M27">
        <v>0</v>
      </c>
      <c r="N27">
        <v>0</v>
      </c>
      <c r="O27">
        <v>0</v>
      </c>
      <c r="P27">
        <v>0</v>
      </c>
      <c r="Q27">
        <v>0</v>
      </c>
      <c r="R27">
        <v>0</v>
      </c>
      <c r="S27">
        <v>0.125</v>
      </c>
      <c r="T27">
        <v>0</v>
      </c>
      <c r="U27">
        <v>0</v>
      </c>
      <c r="V27">
        <v>0</v>
      </c>
      <c r="W27">
        <v>0</v>
      </c>
      <c r="X27">
        <v>0</v>
      </c>
      <c r="Y27">
        <v>0</v>
      </c>
      <c r="Z27">
        <v>0</v>
      </c>
      <c r="AA27">
        <v>221.875</v>
      </c>
      <c r="AB27">
        <v>0</v>
      </c>
      <c r="AC27">
        <v>0</v>
      </c>
      <c r="AD27">
        <v>0</v>
      </c>
      <c r="AE27">
        <v>0</v>
      </c>
      <c r="AF27">
        <v>0</v>
      </c>
      <c r="AG27">
        <v>0</v>
      </c>
      <c r="AH27">
        <v>0</v>
      </c>
      <c r="AI27">
        <v>0</v>
      </c>
      <c r="AJ27">
        <v>0</v>
      </c>
      <c r="AK27">
        <v>0</v>
      </c>
      <c r="AL27">
        <v>0</v>
      </c>
      <c r="AM27">
        <f t="shared" si="0"/>
        <v>222.875</v>
      </c>
    </row>
    <row r="28" spans="1:39" ht="16.149999999999999" customHeight="1" x14ac:dyDescent="0.2">
      <c r="A28" s="4211">
        <v>1720</v>
      </c>
      <c r="B28" s="4213" t="s">
        <v>2271</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6.25E-2</v>
      </c>
      <c r="AC28">
        <v>0</v>
      </c>
      <c r="AD28">
        <v>0</v>
      </c>
      <c r="AE28">
        <v>0</v>
      </c>
      <c r="AF28">
        <v>0</v>
      </c>
      <c r="AG28">
        <v>0</v>
      </c>
      <c r="AH28">
        <v>0</v>
      </c>
      <c r="AI28">
        <v>0</v>
      </c>
      <c r="AJ28">
        <v>0</v>
      </c>
      <c r="AK28">
        <v>0</v>
      </c>
      <c r="AL28">
        <v>0</v>
      </c>
      <c r="AM28">
        <f t="shared" si="0"/>
        <v>6.25E-2</v>
      </c>
    </row>
    <row r="29" spans="1:39" ht="16.149999999999999" customHeight="1" x14ac:dyDescent="0.2">
      <c r="A29" s="4211">
        <v>1730</v>
      </c>
      <c r="B29" s="4213" t="s">
        <v>2270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f t="shared" si="0"/>
        <v>0</v>
      </c>
    </row>
    <row r="30" spans="1:39" ht="16.149999999999999" customHeight="1" x14ac:dyDescent="0.2">
      <c r="A30" s="4211">
        <v>1780</v>
      </c>
      <c r="B30" s="4213" t="s">
        <v>2269</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125.3125</v>
      </c>
      <c r="AE30">
        <v>0</v>
      </c>
      <c r="AF30">
        <v>0</v>
      </c>
      <c r="AG30">
        <v>0</v>
      </c>
      <c r="AH30">
        <v>0</v>
      </c>
      <c r="AI30">
        <v>0</v>
      </c>
      <c r="AJ30">
        <v>0</v>
      </c>
      <c r="AK30">
        <v>0</v>
      </c>
      <c r="AL30">
        <v>0</v>
      </c>
      <c r="AM30">
        <f t="shared" si="0"/>
        <v>125.3125</v>
      </c>
    </row>
    <row r="31" spans="1:39" ht="16.149999999999999" customHeight="1" x14ac:dyDescent="0.2">
      <c r="A31" s="4211">
        <v>1810</v>
      </c>
      <c r="B31" s="4213" t="s">
        <v>2268</v>
      </c>
      <c r="C31">
        <v>0</v>
      </c>
      <c r="D31">
        <v>0</v>
      </c>
      <c r="E31">
        <v>0</v>
      </c>
      <c r="F31">
        <v>0</v>
      </c>
      <c r="G31">
        <v>0</v>
      </c>
      <c r="H31">
        <v>0</v>
      </c>
      <c r="I31">
        <v>0</v>
      </c>
      <c r="J31">
        <v>0</v>
      </c>
      <c r="K31">
        <v>6.25E-2</v>
      </c>
      <c r="L31">
        <v>0</v>
      </c>
      <c r="M31">
        <v>0</v>
      </c>
      <c r="N31">
        <v>0</v>
      </c>
      <c r="O31">
        <v>0</v>
      </c>
      <c r="P31">
        <v>0</v>
      </c>
      <c r="Q31">
        <v>0</v>
      </c>
      <c r="R31">
        <v>0</v>
      </c>
      <c r="S31">
        <v>0.1875</v>
      </c>
      <c r="T31">
        <v>0</v>
      </c>
      <c r="U31">
        <v>0</v>
      </c>
      <c r="V31">
        <v>0</v>
      </c>
      <c r="W31">
        <v>0</v>
      </c>
      <c r="X31">
        <v>0</v>
      </c>
      <c r="Y31">
        <v>0</v>
      </c>
      <c r="Z31">
        <v>0</v>
      </c>
      <c r="AA31">
        <v>0</v>
      </c>
      <c r="AB31">
        <v>0</v>
      </c>
      <c r="AC31">
        <v>0</v>
      </c>
      <c r="AD31">
        <v>0</v>
      </c>
      <c r="AE31">
        <v>19.5</v>
      </c>
      <c r="AF31">
        <v>0</v>
      </c>
      <c r="AG31">
        <v>0</v>
      </c>
      <c r="AH31">
        <v>0</v>
      </c>
      <c r="AI31">
        <v>0</v>
      </c>
      <c r="AJ31">
        <v>0</v>
      </c>
      <c r="AK31">
        <v>0</v>
      </c>
      <c r="AL31">
        <v>0</v>
      </c>
      <c r="AM31">
        <f t="shared" si="0"/>
        <v>19.75</v>
      </c>
    </row>
    <row r="32" spans="1:39" ht="16.149999999999999" customHeight="1" x14ac:dyDescent="0.2">
      <c r="A32" s="4211">
        <v>1820</v>
      </c>
      <c r="B32" s="4213" t="s">
        <v>2267</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f t="shared" si="0"/>
        <v>0</v>
      </c>
    </row>
    <row r="33" spans="1:40" ht="16.149999999999999" customHeight="1" x14ac:dyDescent="0.2">
      <c r="A33" s="4211">
        <v>1830</v>
      </c>
      <c r="B33" s="4213" t="s">
        <v>2266</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f t="shared" si="0"/>
        <v>0</v>
      </c>
    </row>
    <row r="34" spans="1:40" ht="16.149999999999999" customHeight="1" x14ac:dyDescent="0.2">
      <c r="A34" s="4211">
        <v>1880</v>
      </c>
      <c r="B34" s="4213" t="s">
        <v>2265</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7.375</v>
      </c>
      <c r="AI34">
        <v>0</v>
      </c>
      <c r="AJ34">
        <v>0</v>
      </c>
      <c r="AK34">
        <v>0</v>
      </c>
      <c r="AL34">
        <v>0</v>
      </c>
      <c r="AM34">
        <f t="shared" si="0"/>
        <v>7.375</v>
      </c>
    </row>
    <row r="35" spans="1:40" ht="16.149999999999999" customHeight="1" x14ac:dyDescent="0.2">
      <c r="A35" s="4211">
        <v>1910</v>
      </c>
      <c r="B35" s="4213" t="s">
        <v>2264</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287.5</v>
      </c>
      <c r="AJ35">
        <v>0</v>
      </c>
      <c r="AK35">
        <v>0</v>
      </c>
      <c r="AL35">
        <v>0</v>
      </c>
      <c r="AM35">
        <f t="shared" si="0"/>
        <v>287.5</v>
      </c>
    </row>
    <row r="36" spans="1:40" ht="16.149999999999999" customHeight="1" x14ac:dyDescent="0.2">
      <c r="A36" s="4211">
        <v>1920</v>
      </c>
      <c r="B36" s="4213" t="s">
        <v>2263</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1.25</v>
      </c>
      <c r="AK36">
        <v>0</v>
      </c>
      <c r="AL36">
        <v>0</v>
      </c>
      <c r="AM36">
        <f t="shared" si="0"/>
        <v>1.25</v>
      </c>
    </row>
    <row r="37" spans="1:40" ht="16.149999999999999" customHeight="1" x14ac:dyDescent="0.2">
      <c r="A37" s="4211">
        <v>1930</v>
      </c>
      <c r="B37" s="4213" t="s">
        <v>2262</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f t="shared" si="0"/>
        <v>0</v>
      </c>
    </row>
    <row r="38" spans="1:40" ht="16.149999999999999" customHeight="1" x14ac:dyDescent="0.2">
      <c r="A38" s="4211">
        <v>1980</v>
      </c>
      <c r="B38" s="4214" t="s">
        <v>2261</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77.875</v>
      </c>
      <c r="AM38">
        <f t="shared" si="0"/>
        <v>77.875</v>
      </c>
      <c r="AN38" t="s">
        <v>4271</v>
      </c>
    </row>
    <row r="39" spans="1:40" ht="16.149999999999999" customHeight="1" x14ac:dyDescent="0.2">
      <c r="A39" t="s">
        <v>4272</v>
      </c>
      <c r="C39">
        <f t="shared" ref="C39:AL39" si="1">SUM(C3:C38)</f>
        <v>1215.1875</v>
      </c>
      <c r="D39">
        <f t="shared" si="1"/>
        <v>0</v>
      </c>
      <c r="E39">
        <f t="shared" si="1"/>
        <v>0</v>
      </c>
      <c r="F39">
        <f t="shared" si="1"/>
        <v>2</v>
      </c>
      <c r="G39">
        <f t="shared" si="1"/>
        <v>53.9375</v>
      </c>
      <c r="H39">
        <f t="shared" si="1"/>
        <v>0</v>
      </c>
      <c r="I39">
        <f t="shared" si="1"/>
        <v>0</v>
      </c>
      <c r="J39">
        <f t="shared" si="1"/>
        <v>4.125</v>
      </c>
      <c r="K39">
        <f t="shared" si="1"/>
        <v>3581.75</v>
      </c>
      <c r="L39">
        <f t="shared" si="1"/>
        <v>0</v>
      </c>
      <c r="M39">
        <f t="shared" si="1"/>
        <v>0</v>
      </c>
      <c r="N39">
        <f t="shared" si="1"/>
        <v>1.25</v>
      </c>
      <c r="O39">
        <f t="shared" si="1"/>
        <v>77</v>
      </c>
      <c r="P39">
        <f t="shared" si="1"/>
        <v>0</v>
      </c>
      <c r="Q39">
        <f t="shared" si="1"/>
        <v>0</v>
      </c>
      <c r="R39">
        <f t="shared" si="1"/>
        <v>0</v>
      </c>
      <c r="S39">
        <f t="shared" si="1"/>
        <v>3156.4375</v>
      </c>
      <c r="T39">
        <f t="shared" si="1"/>
        <v>0</v>
      </c>
      <c r="U39">
        <f t="shared" si="1"/>
        <v>0</v>
      </c>
      <c r="V39">
        <f t="shared" si="1"/>
        <v>32</v>
      </c>
      <c r="W39">
        <f t="shared" si="1"/>
        <v>2612</v>
      </c>
      <c r="X39">
        <f t="shared" si="1"/>
        <v>0.25</v>
      </c>
      <c r="Y39">
        <f t="shared" si="1"/>
        <v>0</v>
      </c>
      <c r="Z39">
        <f t="shared" si="1"/>
        <v>169.25</v>
      </c>
      <c r="AA39">
        <f t="shared" si="1"/>
        <v>240.375</v>
      </c>
      <c r="AB39">
        <f t="shared" si="1"/>
        <v>6.25E-2</v>
      </c>
      <c r="AC39">
        <f t="shared" si="1"/>
        <v>0</v>
      </c>
      <c r="AD39">
        <f t="shared" si="1"/>
        <v>126.6875</v>
      </c>
      <c r="AE39">
        <f t="shared" si="1"/>
        <v>19.5</v>
      </c>
      <c r="AF39">
        <f t="shared" si="1"/>
        <v>0</v>
      </c>
      <c r="AG39">
        <f t="shared" si="1"/>
        <v>0</v>
      </c>
      <c r="AH39">
        <f t="shared" si="1"/>
        <v>7.375</v>
      </c>
      <c r="AI39">
        <f t="shared" si="1"/>
        <v>287.5</v>
      </c>
      <c r="AJ39">
        <f t="shared" si="1"/>
        <v>1.25</v>
      </c>
      <c r="AK39">
        <f t="shared" si="1"/>
        <v>0</v>
      </c>
      <c r="AL39">
        <f t="shared" si="1"/>
        <v>77.875</v>
      </c>
      <c r="AM39">
        <f>SUM(C39:AL39)</f>
        <v>11665.8125</v>
      </c>
      <c r="AN39">
        <f>SUM(AM3:AM38)</f>
        <v>11665.8125</v>
      </c>
    </row>
    <row r="40" spans="1:40" ht="16.149999999999999" customHeight="1" x14ac:dyDescent="0.2"/>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F3885-DD31-4894-B7C8-64EF7F609BD3}">
  <sheetPr codeName="Ark164">
    <tabColor theme="3" tint="0.59999389629810485"/>
  </sheetPr>
  <dimension ref="A1:C54"/>
  <sheetViews>
    <sheetView workbookViewId="0">
      <selection activeCell="C2" sqref="C2:C54"/>
    </sheetView>
  </sheetViews>
  <sheetFormatPr defaultColWidth="8.85546875" defaultRowHeight="15" x14ac:dyDescent="0.25"/>
  <cols>
    <col min="1" max="1" width="21.28515625" style="992" customWidth="1"/>
    <col min="2" max="2" width="28.140625" style="992" customWidth="1"/>
    <col min="3" max="3" width="17.42578125" style="992" bestFit="1" customWidth="1"/>
    <col min="4" max="5" width="8.85546875" style="992"/>
    <col min="6" max="6" width="8.85546875" style="992" customWidth="1"/>
    <col min="7" max="16384" width="8.85546875" style="992"/>
  </cols>
  <sheetData>
    <row r="1" spans="1:3" x14ac:dyDescent="0.25">
      <c r="A1" s="4145" t="str">
        <f>C2</f>
        <v>Læsø</v>
      </c>
      <c r="B1" s="2706"/>
      <c r="C1" s="2706"/>
    </row>
    <row r="2" spans="1:3" x14ac:dyDescent="0.25">
      <c r="A2" s="2707" t="s">
        <v>2381</v>
      </c>
      <c r="B2" s="2706" t="s">
        <v>2380</v>
      </c>
      <c r="C2" s="2706" t="s">
        <v>5385</v>
      </c>
    </row>
    <row r="3" spans="1:3" x14ac:dyDescent="0.25">
      <c r="A3" s="2707">
        <v>1110</v>
      </c>
      <c r="B3" s="2708" t="s">
        <v>2379</v>
      </c>
      <c r="C3" s="2706">
        <v>1215.1875</v>
      </c>
    </row>
    <row r="4" spans="1:3" x14ac:dyDescent="0.25">
      <c r="A4" s="2707">
        <v>1120</v>
      </c>
      <c r="B4" s="2708" t="s">
        <v>2378</v>
      </c>
      <c r="C4" s="2706">
        <v>0</v>
      </c>
    </row>
    <row r="5" spans="1:3" x14ac:dyDescent="0.25">
      <c r="A5" s="2707">
        <v>1130</v>
      </c>
      <c r="B5" s="2708" t="s">
        <v>2377</v>
      </c>
      <c r="C5" s="2706">
        <v>0</v>
      </c>
    </row>
    <row r="6" spans="1:3" x14ac:dyDescent="0.25">
      <c r="A6" s="2707">
        <v>1180</v>
      </c>
      <c r="B6" s="2708" t="s">
        <v>2376</v>
      </c>
      <c r="C6" s="2706">
        <v>2</v>
      </c>
    </row>
    <row r="7" spans="1:3" x14ac:dyDescent="0.25">
      <c r="A7" s="2707">
        <v>1210</v>
      </c>
      <c r="B7" s="2708" t="s">
        <v>2375</v>
      </c>
      <c r="C7" s="2706">
        <v>53.9375</v>
      </c>
    </row>
    <row r="8" spans="1:3" x14ac:dyDescent="0.25">
      <c r="A8" s="2707">
        <v>1220</v>
      </c>
      <c r="B8" s="2708" t="s">
        <v>2374</v>
      </c>
      <c r="C8" s="2706">
        <v>0</v>
      </c>
    </row>
    <row r="9" spans="1:3" x14ac:dyDescent="0.25">
      <c r="A9" s="2707">
        <v>1230</v>
      </c>
      <c r="B9" s="2708" t="s">
        <v>2373</v>
      </c>
      <c r="C9" s="2706">
        <v>0</v>
      </c>
    </row>
    <row r="10" spans="1:3" x14ac:dyDescent="0.25">
      <c r="A10" s="2707">
        <v>1280</v>
      </c>
      <c r="B10" s="2708" t="s">
        <v>2372</v>
      </c>
      <c r="C10" s="2706">
        <v>4.125</v>
      </c>
    </row>
    <row r="11" spans="1:3" x14ac:dyDescent="0.25">
      <c r="A11" s="2707">
        <v>1310</v>
      </c>
      <c r="B11" s="2708" t="s">
        <v>2371</v>
      </c>
      <c r="C11" s="2706">
        <v>3581.75</v>
      </c>
    </row>
    <row r="12" spans="1:3" x14ac:dyDescent="0.25">
      <c r="A12" s="2707">
        <v>1320</v>
      </c>
      <c r="B12" s="2708" t="s">
        <v>2370</v>
      </c>
      <c r="C12" s="2706">
        <v>0</v>
      </c>
    </row>
    <row r="13" spans="1:3" x14ac:dyDescent="0.25">
      <c r="A13" s="2707">
        <v>1330</v>
      </c>
      <c r="B13" s="2708" t="s">
        <v>2369</v>
      </c>
      <c r="C13" s="2706">
        <v>0</v>
      </c>
    </row>
    <row r="14" spans="1:3" x14ac:dyDescent="0.25">
      <c r="A14" s="2707">
        <v>1380</v>
      </c>
      <c r="B14" s="2708" t="s">
        <v>2368</v>
      </c>
      <c r="C14" s="2706">
        <v>1.25</v>
      </c>
    </row>
    <row r="15" spans="1:3" x14ac:dyDescent="0.25">
      <c r="A15" s="2707">
        <v>1410</v>
      </c>
      <c r="B15" s="2708" t="s">
        <v>2367</v>
      </c>
      <c r="C15" s="2706">
        <v>77</v>
      </c>
    </row>
    <row r="16" spans="1:3" x14ac:dyDescent="0.25">
      <c r="A16" s="2707">
        <v>1420</v>
      </c>
      <c r="B16" s="2708" t="s">
        <v>2366</v>
      </c>
      <c r="C16" s="2706">
        <v>0</v>
      </c>
    </row>
    <row r="17" spans="1:3" x14ac:dyDescent="0.25">
      <c r="A17" s="2707">
        <v>1430</v>
      </c>
      <c r="B17" s="2708" t="s">
        <v>2365</v>
      </c>
      <c r="C17" s="2706">
        <v>0</v>
      </c>
    </row>
    <row r="18" spans="1:3" x14ac:dyDescent="0.25">
      <c r="A18" s="2707">
        <v>1480</v>
      </c>
      <c r="B18" s="2708" t="s">
        <v>2364</v>
      </c>
      <c r="C18" s="2706">
        <v>0</v>
      </c>
    </row>
    <row r="19" spans="1:3" x14ac:dyDescent="0.25">
      <c r="A19" s="2707">
        <v>15110</v>
      </c>
      <c r="B19" s="2708" t="s">
        <v>2363</v>
      </c>
      <c r="C19" s="2706">
        <v>156.625</v>
      </c>
    </row>
    <row r="20" spans="1:3" x14ac:dyDescent="0.25">
      <c r="A20" s="2707">
        <v>15120</v>
      </c>
      <c r="B20" s="2708" t="s">
        <v>2362</v>
      </c>
      <c r="C20" s="2706">
        <v>0</v>
      </c>
    </row>
    <row r="21" spans="1:3" x14ac:dyDescent="0.25">
      <c r="A21" s="2707">
        <v>15130</v>
      </c>
      <c r="B21" s="2708" t="s">
        <v>2361</v>
      </c>
      <c r="C21" s="2706">
        <v>0</v>
      </c>
    </row>
    <row r="22" spans="1:3" x14ac:dyDescent="0.25">
      <c r="A22" s="2707">
        <v>15210</v>
      </c>
      <c r="B22" s="2708" t="s">
        <v>2360</v>
      </c>
      <c r="C22" s="2706">
        <v>2241.3125</v>
      </c>
    </row>
    <row r="23" spans="1:3" x14ac:dyDescent="0.25">
      <c r="A23" s="2707">
        <v>15220</v>
      </c>
      <c r="B23" s="2708" t="s">
        <v>2359</v>
      </c>
      <c r="C23" s="2706">
        <v>0</v>
      </c>
    </row>
    <row r="24" spans="1:3" x14ac:dyDescent="0.25">
      <c r="A24" s="2707">
        <v>15230</v>
      </c>
      <c r="B24" s="2708" t="s">
        <v>2358</v>
      </c>
      <c r="C24" s="2706">
        <v>0</v>
      </c>
    </row>
    <row r="25" spans="1:3" x14ac:dyDescent="0.25">
      <c r="A25" s="2707">
        <v>15810</v>
      </c>
      <c r="B25" s="2708" t="s">
        <v>2357</v>
      </c>
      <c r="C25" s="2706">
        <v>758.5</v>
      </c>
    </row>
    <row r="26" spans="1:3" x14ac:dyDescent="0.25">
      <c r="A26" s="2707">
        <v>15820</v>
      </c>
      <c r="B26" s="2708" t="s">
        <v>2356</v>
      </c>
      <c r="C26" s="2706">
        <v>0</v>
      </c>
    </row>
    <row r="27" spans="1:3" x14ac:dyDescent="0.25">
      <c r="A27" s="2707">
        <v>15830</v>
      </c>
      <c r="B27" s="2708" t="s">
        <v>2355</v>
      </c>
      <c r="C27" s="2706">
        <v>0</v>
      </c>
    </row>
    <row r="28" spans="1:3" x14ac:dyDescent="0.25">
      <c r="A28" s="2707">
        <v>15880</v>
      </c>
      <c r="B28" s="2708" t="s">
        <v>2354</v>
      </c>
      <c r="C28" s="2706">
        <v>32</v>
      </c>
    </row>
    <row r="29" spans="1:3" x14ac:dyDescent="0.25">
      <c r="A29" s="2707">
        <v>16110</v>
      </c>
      <c r="B29" s="2708" t="s">
        <v>2353</v>
      </c>
      <c r="C29" s="2706">
        <v>473.125</v>
      </c>
    </row>
    <row r="30" spans="1:3" x14ac:dyDescent="0.25">
      <c r="A30" s="2707">
        <v>16120</v>
      </c>
      <c r="B30" s="2708" t="s">
        <v>2352</v>
      </c>
      <c r="C30" s="2706">
        <v>6.25E-2</v>
      </c>
    </row>
    <row r="31" spans="1:3" x14ac:dyDescent="0.25">
      <c r="A31" s="2707">
        <v>16130</v>
      </c>
      <c r="B31" s="2708" t="s">
        <v>2351</v>
      </c>
      <c r="C31" s="2706">
        <v>0</v>
      </c>
    </row>
    <row r="32" spans="1:3" x14ac:dyDescent="0.25">
      <c r="A32" s="2707">
        <v>16210</v>
      </c>
      <c r="B32" s="2708" t="s">
        <v>2350</v>
      </c>
      <c r="C32" s="2706">
        <v>1364.1875</v>
      </c>
    </row>
    <row r="33" spans="1:3" x14ac:dyDescent="0.25">
      <c r="A33" s="2707">
        <v>16220</v>
      </c>
      <c r="B33" s="2708" t="s">
        <v>2349</v>
      </c>
      <c r="C33" s="2706">
        <v>6.25E-2</v>
      </c>
    </row>
    <row r="34" spans="1:3" x14ac:dyDescent="0.25">
      <c r="A34" s="2707">
        <v>16230</v>
      </c>
      <c r="B34" s="2708" t="s">
        <v>2348</v>
      </c>
      <c r="C34" s="2706">
        <v>0</v>
      </c>
    </row>
    <row r="35" spans="1:3" x14ac:dyDescent="0.25">
      <c r="A35" s="2707">
        <v>16810</v>
      </c>
      <c r="B35" s="2708" t="s">
        <v>2347</v>
      </c>
      <c r="C35" s="2706">
        <v>774.6875</v>
      </c>
    </row>
    <row r="36" spans="1:3" x14ac:dyDescent="0.25">
      <c r="A36" s="2707">
        <v>16820</v>
      </c>
      <c r="B36" s="2708" t="s">
        <v>2346</v>
      </c>
      <c r="C36" s="2706">
        <v>0.125</v>
      </c>
    </row>
    <row r="37" spans="1:3" x14ac:dyDescent="0.25">
      <c r="A37" s="2707">
        <v>16830</v>
      </c>
      <c r="B37" s="2708" t="s">
        <v>2345</v>
      </c>
      <c r="C37" s="2706">
        <v>0</v>
      </c>
    </row>
    <row r="38" spans="1:3" ht="15.75" customHeight="1" x14ac:dyDescent="0.25">
      <c r="A38" s="2707">
        <v>16880</v>
      </c>
      <c r="B38" s="2708" t="s">
        <v>2344</v>
      </c>
      <c r="C38" s="2706">
        <v>169.25</v>
      </c>
    </row>
    <row r="39" spans="1:3" x14ac:dyDescent="0.25">
      <c r="A39" s="2707">
        <v>1710</v>
      </c>
      <c r="B39" s="2708" t="s">
        <v>2343</v>
      </c>
      <c r="C39" s="2706">
        <v>3.25</v>
      </c>
    </row>
    <row r="40" spans="1:3" x14ac:dyDescent="0.25">
      <c r="A40" s="2707">
        <v>1720</v>
      </c>
      <c r="B40" s="2708" t="s">
        <v>2342</v>
      </c>
      <c r="C40" s="2706">
        <v>0</v>
      </c>
    </row>
    <row r="41" spans="1:3" x14ac:dyDescent="0.25">
      <c r="A41" s="2707">
        <v>1730</v>
      </c>
      <c r="B41" s="2708" t="s">
        <v>2341</v>
      </c>
      <c r="C41" s="2706">
        <v>0</v>
      </c>
    </row>
    <row r="42" spans="1:3" x14ac:dyDescent="0.25">
      <c r="A42" s="2707">
        <v>1780</v>
      </c>
      <c r="B42" s="2708" t="s">
        <v>2340</v>
      </c>
      <c r="C42" s="2706">
        <v>38.25</v>
      </c>
    </row>
    <row r="43" spans="1:3" x14ac:dyDescent="0.25">
      <c r="A43" s="2707">
        <v>1810</v>
      </c>
      <c r="B43" s="2708" t="s">
        <v>2339</v>
      </c>
      <c r="C43" s="2706">
        <v>0</v>
      </c>
    </row>
    <row r="44" spans="1:3" x14ac:dyDescent="0.25">
      <c r="A44" s="2707">
        <v>1820</v>
      </c>
      <c r="B44" s="2708" t="s">
        <v>2339</v>
      </c>
      <c r="C44" s="2706">
        <v>0</v>
      </c>
    </row>
    <row r="45" spans="1:3" x14ac:dyDescent="0.25">
      <c r="A45" s="2707">
        <v>1830</v>
      </c>
      <c r="B45" s="2708" t="s">
        <v>2339</v>
      </c>
      <c r="C45" s="2706">
        <v>198.875</v>
      </c>
    </row>
    <row r="46" spans="1:3" x14ac:dyDescent="0.25">
      <c r="A46" s="2707">
        <v>1880</v>
      </c>
      <c r="B46" s="2708" t="s">
        <v>2339</v>
      </c>
      <c r="C46" s="2706">
        <v>6.25E-2</v>
      </c>
    </row>
    <row r="47" spans="1:3" x14ac:dyDescent="0.25">
      <c r="A47" s="2707">
        <v>1910</v>
      </c>
      <c r="B47" s="2706" t="s">
        <v>2339</v>
      </c>
      <c r="C47" s="2706">
        <v>0</v>
      </c>
    </row>
    <row r="48" spans="1:3" x14ac:dyDescent="0.25">
      <c r="A48" s="2707">
        <v>1920</v>
      </c>
      <c r="B48" s="2706" t="s">
        <v>2339</v>
      </c>
      <c r="C48" s="2706">
        <v>126.6875</v>
      </c>
    </row>
    <row r="49" spans="1:3" x14ac:dyDescent="0.25">
      <c r="A49" s="2707">
        <v>1930</v>
      </c>
      <c r="B49" s="2706" t="s">
        <v>2339</v>
      </c>
      <c r="C49" s="2706">
        <v>0</v>
      </c>
    </row>
    <row r="50" spans="1:3" x14ac:dyDescent="0.25">
      <c r="A50" s="2707">
        <v>1980</v>
      </c>
      <c r="B50" s="2706" t="s">
        <v>2339</v>
      </c>
      <c r="C50" s="2706">
        <v>0</v>
      </c>
    </row>
    <row r="51" spans="1:3" x14ac:dyDescent="0.25">
      <c r="A51" s="2707">
        <v>2010</v>
      </c>
      <c r="B51" s="2706" t="s">
        <v>2339</v>
      </c>
      <c r="C51" s="2706">
        <v>0</v>
      </c>
    </row>
    <row r="52" spans="1:3" x14ac:dyDescent="0.25">
      <c r="A52" s="2707">
        <v>2020</v>
      </c>
      <c r="B52" s="2706" t="s">
        <v>2339</v>
      </c>
      <c r="C52" s="2706">
        <v>0.1875</v>
      </c>
    </row>
    <row r="53" spans="1:3" x14ac:dyDescent="0.25">
      <c r="A53" s="2707">
        <v>2030</v>
      </c>
      <c r="B53" s="2706" t="s">
        <v>2339</v>
      </c>
      <c r="C53" s="2706">
        <v>0</v>
      </c>
    </row>
    <row r="54" spans="1:3" x14ac:dyDescent="0.25">
      <c r="A54" s="2707">
        <v>2080</v>
      </c>
      <c r="B54" s="2706" t="s">
        <v>2339</v>
      </c>
      <c r="C54" s="2706">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C39F6-EDC0-41CC-AC13-25F2708A3A1D}">
  <sheetPr codeName="Ark89">
    <tabColor rgb="FFDD0BC9"/>
  </sheetPr>
  <dimension ref="A1:Z204"/>
  <sheetViews>
    <sheetView showGridLines="0" topLeftCell="A137" zoomScale="85" zoomScaleNormal="85" workbookViewId="0">
      <selection activeCell="D142" sqref="D142"/>
    </sheetView>
  </sheetViews>
  <sheetFormatPr defaultColWidth="9.140625" defaultRowHeight="12.75" x14ac:dyDescent="0.2"/>
  <cols>
    <col min="1" max="1" width="9.140625" style="32"/>
    <col min="2" max="2" width="36" style="32" customWidth="1"/>
    <col min="3" max="9" width="20.140625" style="32" customWidth="1"/>
    <col min="10" max="10" width="9.140625" style="32"/>
    <col min="11" max="14" width="21.28515625" style="32" customWidth="1"/>
    <col min="15" max="16384" width="9.140625" style="32"/>
  </cols>
  <sheetData>
    <row r="1" spans="1:26" ht="27.75" x14ac:dyDescent="0.4">
      <c r="A1" s="2491" t="s">
        <v>4428</v>
      </c>
      <c r="B1" s="2491"/>
      <c r="C1" s="2491"/>
      <c r="D1" s="2491"/>
      <c r="E1" s="2491"/>
      <c r="F1" s="2491"/>
      <c r="G1" s="2491"/>
      <c r="H1" s="2491"/>
      <c r="I1" s="2491"/>
      <c r="J1" s="2491"/>
      <c r="K1" s="2491"/>
      <c r="L1" s="2491"/>
      <c r="M1" s="2491"/>
      <c r="N1" s="2491"/>
      <c r="O1" s="2491"/>
      <c r="P1" s="2491"/>
      <c r="Q1" s="2491"/>
      <c r="R1" s="2491"/>
      <c r="S1" s="2491"/>
      <c r="T1" s="2491"/>
      <c r="U1" s="2491"/>
      <c r="V1" s="2491"/>
      <c r="W1" s="2491"/>
      <c r="X1" s="2491"/>
      <c r="Y1" s="2491"/>
      <c r="Z1" s="2491"/>
    </row>
    <row r="3" spans="1:26" ht="23.25" x14ac:dyDescent="0.4">
      <c r="A3" s="3192" t="s">
        <v>5118</v>
      </c>
      <c r="C3" s="2487"/>
      <c r="D3" s="2487"/>
      <c r="E3" s="2487"/>
      <c r="F3" s="2487"/>
    </row>
    <row r="5" spans="1:26" x14ac:dyDescent="0.2">
      <c r="B5" s="32" t="s">
        <v>2042</v>
      </c>
      <c r="C5" s="2490" t="s">
        <v>4427</v>
      </c>
      <c r="D5" s="2489"/>
      <c r="E5" s="2489"/>
      <c r="F5" s="2489"/>
      <c r="G5" s="2489"/>
      <c r="H5" s="2489"/>
      <c r="I5" s="2489"/>
      <c r="J5" s="2489"/>
      <c r="K5" s="2489"/>
      <c r="L5" s="2489"/>
      <c r="M5" s="2489"/>
      <c r="N5" s="2489"/>
      <c r="O5" s="2489"/>
      <c r="P5" s="2489"/>
      <c r="Q5" s="2489"/>
      <c r="R5" s="2489"/>
    </row>
    <row r="6" spans="1:26" x14ac:dyDescent="0.2">
      <c r="C6" s="32" t="s">
        <v>4426</v>
      </c>
      <c r="L6" s="2489"/>
    </row>
    <row r="7" spans="1:26" ht="41.1" customHeight="1" x14ac:dyDescent="0.25">
      <c r="A7" s="32" t="s">
        <v>4425</v>
      </c>
      <c r="B7" s="3005" t="s">
        <v>4424</v>
      </c>
      <c r="C7" s="3005"/>
      <c r="D7" s="3005"/>
      <c r="E7" s="3005"/>
      <c r="F7" s="3006"/>
      <c r="G7" s="3006"/>
      <c r="H7" s="3006"/>
      <c r="I7" s="3006"/>
      <c r="J7" s="3006"/>
      <c r="K7" s="3023" t="s">
        <v>5116</v>
      </c>
      <c r="L7" s="3182"/>
      <c r="M7" s="3023" t="s">
        <v>5117</v>
      </c>
      <c r="N7" s="3182"/>
    </row>
    <row r="8" spans="1:26" ht="15" x14ac:dyDescent="0.25">
      <c r="B8" s="3007" t="s">
        <v>4423</v>
      </c>
      <c r="C8" s="3007">
        <v>1990</v>
      </c>
      <c r="D8" s="3007">
        <v>2018</v>
      </c>
      <c r="E8" s="3007">
        <v>2019</v>
      </c>
      <c r="F8" s="3007">
        <v>2020</v>
      </c>
      <c r="G8" s="3007">
        <v>2030</v>
      </c>
      <c r="H8" s="3007">
        <v>2035</v>
      </c>
      <c r="I8" s="3007">
        <v>2050</v>
      </c>
      <c r="J8" s="3006"/>
      <c r="K8" s="3007">
        <v>2030</v>
      </c>
      <c r="L8" s="3007">
        <v>2050</v>
      </c>
      <c r="M8" s="3007">
        <v>2030</v>
      </c>
      <c r="N8" s="3007">
        <v>2050</v>
      </c>
    </row>
    <row r="9" spans="1:26" ht="14.25" x14ac:dyDescent="0.2">
      <c r="B9" s="3006" t="s">
        <v>4420</v>
      </c>
      <c r="C9" s="3008">
        <f>INDEX('Table LULUCF_arealer'!$B$25:$AU$27,MATCH('K-tiltag'!$B9,'Table LULUCF_arealer'!$A$25:$A$27,0),MATCH('K-tiltag'!C$8,'Table LULUCF_arealer'!$B$24:$AU$24,0))</f>
        <v>54082.304686474105</v>
      </c>
      <c r="D9" s="3008">
        <f>INDEX('Table LULUCF_arealer'!$B$25:$AU$27,MATCH('K-tiltag'!$B9,'Table LULUCF_arealer'!$A$25:$A$27,0),MATCH('K-tiltag'!D$8,'Table LULUCF_arealer'!$B$24:$AU$24,0))</f>
        <v>31059.749421492077</v>
      </c>
      <c r="E9" s="3008">
        <f>INDEX('Table LULUCF_arealer'!$B$25:$AU$27,MATCH('K-tiltag'!$B9,'Table LULUCF_arealer'!$A$25:$A$27,0),MATCH('K-tiltag'!E$8,'Table LULUCF_arealer'!$B$24:$AU$24,0))</f>
        <v>31339.038704099185</v>
      </c>
      <c r="F9" s="3008">
        <f>INDEX('Table LULUCF_arealer'!$B$25:$AU$27,MATCH('K-tiltag'!$B9,'Table LULUCF_arealer'!$A$25:$A$27,0),MATCH('K-tiltag'!F$8,'Table LULUCF_arealer'!$B$24:$AU$24,0))</f>
        <v>30347.955260795665</v>
      </c>
      <c r="G9" s="3008">
        <f>INDEX('Table LULUCF_arealer'!$B$25:$AU$27,MATCH('K-tiltag'!$B9,'Table LULUCF_arealer'!$A$25:$A$27,0),MATCH('K-tiltag'!G$8,'Table LULUCF_arealer'!$B$24:$AU$24,0))</f>
        <v>21112.560054028752</v>
      </c>
      <c r="H9" s="3008">
        <f>INDEX('Table LULUCF_arealer'!$B$25:$AU$27,MATCH('K-tiltag'!$B9,'Table LULUCF_arealer'!$A$25:$A$27,0),MATCH('K-tiltag'!H$8,'Table LULUCF_arealer'!$B$24:$AU$24,0))</f>
        <v>20662.560054028752</v>
      </c>
      <c r="I9" s="3008">
        <f>H9</f>
        <v>20662.560054028752</v>
      </c>
      <c r="J9" s="3006"/>
      <c r="K9" s="3009">
        <f>-(D9-G9)/D9</f>
        <v>-0.32025980739497778</v>
      </c>
      <c r="L9" s="3009">
        <f>-(D9-I9)/D9</f>
        <v>-0.33474801185192093</v>
      </c>
      <c r="M9" s="3009">
        <f>-(F9-G9)/F9</f>
        <v>-0.30431688485772396</v>
      </c>
      <c r="N9" s="3009">
        <f>-(F9-I9)/F9</f>
        <v>-0.3191449019723176</v>
      </c>
    </row>
    <row r="10" spans="1:26" ht="14.25" x14ac:dyDescent="0.2">
      <c r="B10" s="3006" t="s">
        <v>4419</v>
      </c>
      <c r="C10" s="3008">
        <f>INDEX('Table LULUCF_arealer'!$B$25:$AU$27,MATCH('K-tiltag'!$B10,'Table LULUCF_arealer'!$A$25:$A$27,0),MATCH('K-tiltag'!C$8,'Table LULUCF_arealer'!$B$24:$AU$24,0))</f>
        <v>46668.339554175058</v>
      </c>
      <c r="D10" s="3008">
        <f>INDEX('Table LULUCF_arealer'!$B$25:$AU$27,MATCH('K-tiltag'!$B10,'Table LULUCF_arealer'!$A$25:$A$27,0),MATCH('K-tiltag'!D$8,'Table LULUCF_arealer'!$B$24:$AU$24,0))</f>
        <v>41956.203210171931</v>
      </c>
      <c r="E10" s="3008">
        <f>INDEX('Table LULUCF_arealer'!$B$25:$AU$27,MATCH('K-tiltag'!$B10,'Table LULUCF_arealer'!$A$25:$A$27,0),MATCH('K-tiltag'!E$8,'Table LULUCF_arealer'!$B$24:$AU$24,0))</f>
        <v>41657.857493126707</v>
      </c>
      <c r="F10" s="3008">
        <f>INDEX('Table LULUCF_arealer'!$B$25:$AU$27,MATCH('K-tiltag'!$B10,'Table LULUCF_arealer'!$A$25:$A$27,0),MATCH('K-tiltag'!F$8,'Table LULUCF_arealer'!$B$24:$AU$24,0))</f>
        <v>42272.833287589492</v>
      </c>
      <c r="G10" s="3008">
        <f>INDEX('Table LULUCF_arealer'!$B$25:$AU$27,MATCH('K-tiltag'!$B10,'Table LULUCF_arealer'!$A$25:$A$27,0),MATCH('K-tiltag'!G$8,'Table LULUCF_arealer'!$B$24:$AU$24,0))</f>
        <v>33037.438080822569</v>
      </c>
      <c r="H10" s="3008">
        <f>INDEX('Table LULUCF_arealer'!$B$25:$AU$27,MATCH('K-tiltag'!$B10,'Table LULUCF_arealer'!$A$25:$A$27,0),MATCH('K-tiltag'!H$8,'Table LULUCF_arealer'!$B$24:$AU$24,0))</f>
        <v>32587.438080822569</v>
      </c>
      <c r="I10" s="3008">
        <f t="shared" ref="I10:I11" si="0">H10</f>
        <v>32587.438080822569</v>
      </c>
      <c r="J10" s="3006"/>
      <c r="K10" s="3009">
        <f>-(D10-G10)/D10</f>
        <v>-0.21257321794997602</v>
      </c>
      <c r="L10" s="3009">
        <f t="shared" ref="L10:L11" si="1">-(D10-I10)/D10</f>
        <v>-0.2232986879775142</v>
      </c>
      <c r="M10" s="3009">
        <f t="shared" ref="M10:M11" si="2">-(F10-G10)/F10</f>
        <v>-0.21847116666954663</v>
      </c>
      <c r="N10" s="3009">
        <f t="shared" ref="N10:N11" si="3">-(F10-I10)/F10</f>
        <v>-0.22911630126316546</v>
      </c>
    </row>
    <row r="11" spans="1:26" ht="14.25" x14ac:dyDescent="0.2">
      <c r="B11" s="3006" t="s">
        <v>4422</v>
      </c>
      <c r="C11" s="3008">
        <f>INDEX('Table LULUCF_arealer'!$B$25:$AU$27,MATCH('K-tiltag'!$B11,'Table LULUCF_arealer'!$A$25:$A$27,0),MATCH('K-tiltag'!C$8,'Table LULUCF_arealer'!$B$24:$AU$24,0))</f>
        <v>0</v>
      </c>
      <c r="D11" s="3008">
        <f>INDEX('Table LULUCF_arealer'!$B$25:$AU$27,MATCH('K-tiltag'!$B11,'Table LULUCF_arealer'!$A$25:$A$27,0),MATCH('K-tiltag'!D$8,'Table LULUCF_arealer'!$B$24:$AU$24,0))</f>
        <v>1437.7567572363405</v>
      </c>
      <c r="E11" s="3008">
        <f>INDEX('Table LULUCF_arealer'!$B$25:$AU$27,MATCH('K-tiltag'!$B11,'Table LULUCF_arealer'!$A$25:$A$27,0),MATCH('K-tiltag'!E$8,'Table LULUCF_arealer'!$B$24:$AU$24,0))</f>
        <v>1414.8591977981923</v>
      </c>
      <c r="F11" s="3008">
        <f>INDEX('Table LULUCF_arealer'!$B$25:$AU$27,MATCH('K-tiltag'!$B11,'Table LULUCF_arealer'!$A$25:$A$27,0),MATCH('K-tiltag'!F$8,'Table LULUCF_arealer'!$B$24:$AU$24,0))</f>
        <v>1442.0011159399801</v>
      </c>
      <c r="G11" s="3008">
        <f>INDEX('Table LULUCF_arealer'!$B$25:$AU$27,MATCH('K-tiltag'!$B11,'Table LULUCF_arealer'!$A$25:$A$27,0),MATCH('K-tiltag'!G$8,'Table LULUCF_arealer'!$B$24:$AU$24,0))</f>
        <v>1442.0011159399801</v>
      </c>
      <c r="H11" s="3008">
        <f>INDEX('Table LULUCF_arealer'!$B$25:$AU$27,MATCH('K-tiltag'!$B11,'Table LULUCF_arealer'!$A$25:$A$27,0),MATCH('K-tiltag'!H$8,'Table LULUCF_arealer'!$B$24:$AU$24,0))</f>
        <v>1442.0011159399801</v>
      </c>
      <c r="I11" s="3008">
        <f t="shared" si="0"/>
        <v>1442.0011159399801</v>
      </c>
      <c r="J11" s="3006"/>
      <c r="K11" s="3009">
        <f>-(D11-G11)/D11</f>
        <v>2.9520700788067292E-3</v>
      </c>
      <c r="L11" s="3009">
        <f t="shared" si="1"/>
        <v>2.9520700788067292E-3</v>
      </c>
      <c r="M11" s="3009">
        <f t="shared" si="2"/>
        <v>0</v>
      </c>
      <c r="N11" s="3009">
        <f t="shared" si="3"/>
        <v>0</v>
      </c>
    </row>
    <row r="12" spans="1:26" ht="15" x14ac:dyDescent="0.25">
      <c r="B12" s="3007" t="s">
        <v>4421</v>
      </c>
      <c r="C12" s="3007">
        <v>1990</v>
      </c>
      <c r="D12" s="3007">
        <v>2018</v>
      </c>
      <c r="E12" s="3007">
        <v>2019</v>
      </c>
      <c r="F12" s="3007">
        <v>2020</v>
      </c>
      <c r="G12" s="3007">
        <v>2030</v>
      </c>
      <c r="H12" s="3007">
        <v>2035</v>
      </c>
      <c r="I12" s="3007">
        <v>2050</v>
      </c>
      <c r="J12" s="3006"/>
      <c r="K12" s="3007">
        <v>2030</v>
      </c>
      <c r="L12" s="3007">
        <v>2050</v>
      </c>
      <c r="M12" s="3007">
        <v>2030</v>
      </c>
      <c r="N12" s="3007">
        <v>2050</v>
      </c>
    </row>
    <row r="13" spans="1:26" ht="14.25" x14ac:dyDescent="0.2">
      <c r="B13" s="3006" t="s">
        <v>4420</v>
      </c>
      <c r="C13" s="3008">
        <f>INDEX('Table LULUCF_arealer'!$B$29:$AU$31,MATCH('K-tiltag'!$B13,'Table LULUCF_arealer'!$A$29:$A$231,0),MATCH('K-tiltag'!C$12,'Table LULUCF_arealer'!$B$28:$AU$28,0))</f>
        <v>79617.765279961532</v>
      </c>
      <c r="D13" s="3008">
        <f>INDEX('Table LULUCF_arealer'!$B$29:$AU$31,MATCH('K-tiltag'!$B13,'Table LULUCF_arealer'!$A$29:$A$231,0),MATCH('K-tiltag'!D$12,'Table LULUCF_arealer'!$B$28:$AU$28,0))</f>
        <v>59914.966814504529</v>
      </c>
      <c r="E13" s="3008">
        <f>INDEX('Table LULUCF_arealer'!$B$29:$AU$31,MATCH('K-tiltag'!$B13,'Table LULUCF_arealer'!$A$29:$A$231,0),MATCH('K-tiltag'!E$12,'Table LULUCF_arealer'!$B$28:$AU$28,0))</f>
        <v>59870.712166672427</v>
      </c>
      <c r="F13" s="3008">
        <f>INDEX('Table LULUCF_arealer'!$B$29:$AU$31,MATCH('K-tiltag'!$B13,'Table LULUCF_arealer'!$A$29:$A$231,0),MATCH('K-tiltag'!F$12,'Table LULUCF_arealer'!$B$28:$AU$28,0))</f>
        <v>58717.335144824247</v>
      </c>
      <c r="G13" s="3008">
        <f>INDEX('Table LULUCF_arealer'!$B$29:$AU$31,MATCH('K-tiltag'!$B13,'Table LULUCF_arealer'!$A$29:$A$231,0),MATCH('K-tiltag'!G$12,'Table LULUCF_arealer'!$B$28:$AU$28,0))</f>
        <v>49481.939938057323</v>
      </c>
      <c r="H13" s="3008">
        <f>INDEX('Table LULUCF_arealer'!$B$29:$AU$31,MATCH('K-tiltag'!$B13,'Table LULUCF_arealer'!$A$29:$A$231,0),MATCH('K-tiltag'!H$12,'Table LULUCF_arealer'!$B$28:$AU$28,0))</f>
        <v>49031.939938057323</v>
      </c>
      <c r="I13" s="3008">
        <f>H13</f>
        <v>49031.939938057323</v>
      </c>
      <c r="J13" s="3006"/>
      <c r="K13" s="3009">
        <f>-(D13-G13)/D13</f>
        <v>-0.17413056254787951</v>
      </c>
      <c r="L13" s="3009">
        <f>-(D13-I13)/D13</f>
        <v>-0.18164120678128434</v>
      </c>
      <c r="M13" s="3009">
        <f>-(F13-G13)/F13</f>
        <v>-0.15728566672837152</v>
      </c>
      <c r="N13" s="3009">
        <f>-(F13-I13)/F13</f>
        <v>-0.16494950227012578</v>
      </c>
    </row>
    <row r="14" spans="1:26" ht="14.25" x14ac:dyDescent="0.2">
      <c r="B14" s="3006" t="s">
        <v>4419</v>
      </c>
      <c r="C14" s="3008">
        <f>INDEX('Table LULUCF_arealer'!$B$29:$AU$31,MATCH('K-tiltag'!$B14,'Table LULUCF_arealer'!$A$29:$A$231,0),MATCH('K-tiltag'!C$12,'Table LULUCF_arealer'!$B$28:$AU$28,0))</f>
        <v>34921.940738067977</v>
      </c>
      <c r="D14" s="3008">
        <f>INDEX('Table LULUCF_arealer'!$B$29:$AU$31,MATCH('K-tiltag'!$B14,'Table LULUCF_arealer'!$A$29:$A$231,0),MATCH('K-tiltag'!D$12,'Table LULUCF_arealer'!$B$28:$AU$28,0))</f>
        <v>37106.305023668974</v>
      </c>
      <c r="E14" s="3008">
        <f>INDEX('Table LULUCF_arealer'!$B$29:$AU$31,MATCH('K-tiltag'!$B14,'Table LULUCF_arealer'!$A$29:$A$231,0),MATCH('K-tiltag'!E$12,'Table LULUCF_arealer'!$B$28:$AU$28,0))</f>
        <v>36979.84152292888</v>
      </c>
      <c r="F14" s="3008">
        <f>INDEX('Table LULUCF_arealer'!$B$29:$AU$31,MATCH('K-tiltag'!$B14,'Table LULUCF_arealer'!$A$29:$A$231,0),MATCH('K-tiltag'!F$12,'Table LULUCF_arealer'!$B$28:$AU$28,0))</f>
        <v>37648.975017994773</v>
      </c>
      <c r="G14" s="3008">
        <f>INDEX('Table LULUCF_arealer'!$B$29:$AU$31,MATCH('K-tiltag'!$B14,'Table LULUCF_arealer'!$A$29:$A$231,0),MATCH('K-tiltag'!G$12,'Table LULUCF_arealer'!$B$28:$AU$28,0))</f>
        <v>28413.579811227853</v>
      </c>
      <c r="H14" s="3008">
        <f>INDEX('Table LULUCF_arealer'!$B$29:$AU$31,MATCH('K-tiltag'!$B14,'Table LULUCF_arealer'!$A$29:$A$231,0),MATCH('K-tiltag'!H$12,'Table LULUCF_arealer'!$B$28:$AU$28,0))</f>
        <v>27963.579811227853</v>
      </c>
      <c r="I14" s="3008">
        <f>H14</f>
        <v>27963.579811227853</v>
      </c>
      <c r="J14" s="3006"/>
      <c r="K14" s="3191">
        <f>-(D14-G14)/D14</f>
        <v>-0.23426544914392036</v>
      </c>
      <c r="L14" s="3191">
        <f>-(D14-I14)/D14</f>
        <v>-0.24639276819961611</v>
      </c>
      <c r="M14" s="3191">
        <f>-(F14-G14)/F14</f>
        <v>-0.24530269953837397</v>
      </c>
      <c r="N14" s="3191">
        <f>-(F14-I14)/F14</f>
        <v>-0.25725521616824021</v>
      </c>
    </row>
    <row r="15" spans="1:26" ht="14.25" x14ac:dyDescent="0.2">
      <c r="K15" s="3006"/>
      <c r="L15" s="3006"/>
      <c r="M15" s="3006"/>
      <c r="N15" s="3006"/>
    </row>
    <row r="16" spans="1:26" ht="28.5" customHeight="1" x14ac:dyDescent="0.25">
      <c r="A16" s="32" t="s">
        <v>4418</v>
      </c>
      <c r="B16" s="3005" t="s">
        <v>243</v>
      </c>
      <c r="C16" s="3006"/>
      <c r="D16" s="3006"/>
      <c r="E16" s="3006"/>
      <c r="F16" s="3006"/>
      <c r="G16" s="3006"/>
      <c r="H16" s="3006"/>
      <c r="I16" s="3006"/>
      <c r="J16" s="3006"/>
      <c r="K16" s="3023" t="s">
        <v>5112</v>
      </c>
      <c r="L16" s="3181"/>
      <c r="M16" s="3023" t="s">
        <v>5113</v>
      </c>
      <c r="N16" s="3181"/>
    </row>
    <row r="17" spans="1:18" ht="15" x14ac:dyDescent="0.25">
      <c r="B17" s="3007" t="s">
        <v>4390</v>
      </c>
      <c r="C17" s="3007">
        <v>1990</v>
      </c>
      <c r="D17" s="3007">
        <v>2018</v>
      </c>
      <c r="E17" s="3007">
        <v>2019</v>
      </c>
      <c r="F17" s="3007">
        <v>2020</v>
      </c>
      <c r="G17" s="3007">
        <v>2030</v>
      </c>
      <c r="H17" s="3007">
        <v>2035</v>
      </c>
      <c r="I17" s="3007">
        <v>2050</v>
      </c>
      <c r="J17" s="3006"/>
      <c r="K17" s="3007">
        <v>2030</v>
      </c>
      <c r="L17" s="3007">
        <v>2050</v>
      </c>
      <c r="M17" s="3007">
        <v>2030</v>
      </c>
      <c r="N17" s="3007">
        <v>2050</v>
      </c>
    </row>
    <row r="18" spans="1:18" ht="14.25" x14ac:dyDescent="0.2">
      <c r="B18" s="3011" t="s">
        <v>243</v>
      </c>
      <c r="C18" s="3012">
        <f>INDEX('Table LULUCF_arealer'!$B$7:$AU$11,MATCH('K-tiltag'!$B18,'Table LULUCF_arealer'!$A$7:$A$11,0),MATCH('K-tiltag'!C$17,'Table LULUCF_arealer'!$B$6:$AU$6,0))</f>
        <v>548.74505833196656</v>
      </c>
      <c r="D18" s="3012">
        <f>INDEX('Table LULUCF_arealer'!$B$7:$AU$11,MATCH('K-tiltag'!$B18,'Table LULUCF_arealer'!$A$7:$A$11,0),MATCH('K-tiltag'!D$17,'Table LULUCF_arealer'!$B$6:$AU$6,0))</f>
        <v>639.10618749574996</v>
      </c>
      <c r="E18" s="3012">
        <f>INDEX('Table LULUCF_arealer'!$B$7:$AU$11,MATCH('K-tiltag'!$B18,'Table LULUCF_arealer'!$A$7:$A$11,0),MATCH('K-tiltag'!E$17,'Table LULUCF_arealer'!$B$6:$AU$6,0))</f>
        <v>640.11050000295995</v>
      </c>
      <c r="F18" s="3012">
        <f>INDEX('Table LULUCF_arealer'!$B$7:$AU$11,MATCH('K-tiltag'!$B18,'Table LULUCF_arealer'!$A$7:$A$11,0),MATCH('K-tiltag'!F$17,'Table LULUCF_arealer'!$B$6:$AU$6,0))</f>
        <v>641.32549999866001</v>
      </c>
      <c r="G18" s="3012">
        <f>INDEX('Table LULUCF_arealer'!$B$7:$AU$11,MATCH('K-tiltag'!$B18,'Table LULUCF_arealer'!$A$7:$A$11,0),MATCH('K-tiltag'!G$17,'Table LULUCF_arealer'!$B$6:$AU$6,0))</f>
        <v>668.04965625</v>
      </c>
      <c r="H18" s="3012">
        <f>INDEX('Table LULUCF_arealer'!$B$7:$AU$11,MATCH('K-tiltag'!$B18,'Table LULUCF_arealer'!$A$7:$A$11,0),MATCH('K-tiltag'!H$17,'Table LULUCF_arealer'!$B$6:$AU$6,0))</f>
        <v>668.78471428571436</v>
      </c>
      <c r="I18" s="3012">
        <f>H18</f>
        <v>668.78471428571436</v>
      </c>
      <c r="J18" s="3006"/>
      <c r="K18" s="3190">
        <f>-(D18-G18)/D18</f>
        <v>4.5287417522369873E-2</v>
      </c>
      <c r="L18" s="3190">
        <f>-(D18-I18)/D18</f>
        <v>4.6437551960270697E-2</v>
      </c>
      <c r="M18" s="3190">
        <f>-(F18-G18)/F18</f>
        <v>4.1670191270105163E-2</v>
      </c>
      <c r="N18" s="3190">
        <f>-(F18-I18)/F18</f>
        <v>4.2816345657722521E-2</v>
      </c>
    </row>
    <row r="19" spans="1:18" ht="14.25" x14ac:dyDescent="0.2">
      <c r="K19" s="3006"/>
      <c r="L19" s="3006"/>
      <c r="M19" s="3006"/>
      <c r="N19" s="3006"/>
    </row>
    <row r="20" spans="1:18" ht="30" customHeight="1" x14ac:dyDescent="0.25">
      <c r="A20" s="32" t="s">
        <v>4417</v>
      </c>
      <c r="B20" s="3005" t="s">
        <v>2220</v>
      </c>
      <c r="C20" s="3006"/>
      <c r="D20" s="3006"/>
      <c r="E20" s="3006"/>
      <c r="F20" s="3006"/>
      <c r="G20" s="3006"/>
      <c r="H20" s="3006"/>
      <c r="I20" s="3006"/>
      <c r="J20" s="3006"/>
      <c r="K20" s="3023" t="s">
        <v>5114</v>
      </c>
      <c r="L20" s="3181"/>
      <c r="M20" s="3023" t="s">
        <v>5115</v>
      </c>
      <c r="N20" s="3181"/>
      <c r="P20" s="59"/>
    </row>
    <row r="21" spans="1:18" ht="15" x14ac:dyDescent="0.25">
      <c r="B21" s="3007" t="s">
        <v>4416</v>
      </c>
      <c r="C21" s="3007">
        <v>1990</v>
      </c>
      <c r="D21" s="3007">
        <v>2018</v>
      </c>
      <c r="E21" s="3007">
        <v>2019</v>
      </c>
      <c r="F21" s="3007">
        <v>2020</v>
      </c>
      <c r="G21" s="3007">
        <v>2030</v>
      </c>
      <c r="H21" s="3007">
        <v>2035</v>
      </c>
      <c r="I21" s="3007">
        <v>2050</v>
      </c>
      <c r="J21" s="3006"/>
      <c r="K21" s="3007">
        <v>2030</v>
      </c>
      <c r="L21" s="3007">
        <v>2050</v>
      </c>
      <c r="M21" s="3007">
        <v>2030</v>
      </c>
      <c r="N21" s="3007">
        <v>2050</v>
      </c>
    </row>
    <row r="22" spans="1:18" ht="14.25" x14ac:dyDescent="0.2">
      <c r="B22" s="3011" t="s">
        <v>4415</v>
      </c>
      <c r="C22" s="3012">
        <f>INDEX('Table LULUCF_arealer'!$B$47:$AU$47,MATCH('K-tiltag'!$B22,'Table LULUCF_arealer'!$A47:$A$47,0),MATCH('K-tiltag'!C$21,'Table LULUCF_arealer'!$B$46:$AU$46,0))</f>
        <v>0</v>
      </c>
      <c r="D22" s="3012">
        <f>INDEX('Table LULUCF_arealer'!$B$47:$AU$47,MATCH('K-tiltag'!$B22,'Table LULUCF_arealer'!$A47:$A$47,0),MATCH('K-tiltag'!D$21,'Table LULUCF_arealer'!$B$46:$AU$46,0))</f>
        <v>384.95845000000065</v>
      </c>
      <c r="E22" s="3012">
        <f>INDEX('Table LULUCF_arealer'!$B$47:$AU$47,MATCH('K-tiltag'!$B22,'Table LULUCF_arealer'!$A47:$A$47,0),MATCH('K-tiltag'!E$21,'Table LULUCF_arealer'!$B$46:$AU$46,0))</f>
        <v>405.22500000000002</v>
      </c>
      <c r="F22" s="3012">
        <f>INDEX('Table LULUCF_arealer'!$B$47:$AU$47,MATCH('K-tiltag'!$B22,'Table LULUCF_arealer'!$A47:$A$47,0),MATCH('K-tiltag'!F$21,'Table LULUCF_arealer'!$B$46:$AU$46,0))</f>
        <v>505</v>
      </c>
      <c r="G22" s="3012">
        <f>INDEX('Table LULUCF_arealer'!$B$47:$AU$47,MATCH('K-tiltag'!$B22,'Table LULUCF_arealer'!$A47:$A$47,0),MATCH('K-tiltag'!G$21,'Table LULUCF_arealer'!$B$46:$AU$46,0))</f>
        <v>770</v>
      </c>
      <c r="H22" s="3012">
        <f>INDEX('Table LULUCF_arealer'!$B$47:$AU$47,MATCH('K-tiltag'!$B22,'Table LULUCF_arealer'!$A47:$A$47,0),MATCH('K-tiltag'!H$21,'Table LULUCF_arealer'!$B$46:$AU$46,0))</f>
        <v>770</v>
      </c>
      <c r="I22" s="3012">
        <f>H22</f>
        <v>770</v>
      </c>
      <c r="J22" s="3006"/>
      <c r="K22" s="3190">
        <f>-(D22-G22)/D22</f>
        <v>1.0002158674527049</v>
      </c>
      <c r="L22" s="3190">
        <f>-(D22-I22)/D22</f>
        <v>1.0002158674527049</v>
      </c>
      <c r="M22" s="3190">
        <f>-(F22-G22)/F22</f>
        <v>0.52475247524752477</v>
      </c>
      <c r="N22" s="3190">
        <f>-(F22-I22)/F22</f>
        <v>0.52475247524752477</v>
      </c>
    </row>
    <row r="23" spans="1:18" ht="14.25" x14ac:dyDescent="0.2">
      <c r="B23" s="3006"/>
      <c r="C23" s="3006"/>
      <c r="D23" s="3006"/>
      <c r="E23" s="3006"/>
      <c r="F23" s="3006"/>
      <c r="G23" s="3006"/>
      <c r="H23" s="3006"/>
      <c r="I23" s="3006"/>
      <c r="J23" s="3006"/>
      <c r="K23" s="3006"/>
      <c r="L23" s="3006"/>
      <c r="M23" s="3006"/>
      <c r="N23" s="3006"/>
    </row>
    <row r="24" spans="1:18" ht="15.75" x14ac:dyDescent="0.25">
      <c r="A24" s="32" t="s">
        <v>4414</v>
      </c>
      <c r="B24" s="3005" t="s">
        <v>4413</v>
      </c>
      <c r="C24" s="3006"/>
      <c r="D24" s="3006"/>
      <c r="E24" s="3006"/>
      <c r="K24" s="3006"/>
      <c r="L24" s="3006"/>
      <c r="M24" s="3006"/>
      <c r="N24" s="3006"/>
    </row>
    <row r="25" spans="1:18" ht="15" x14ac:dyDescent="0.25">
      <c r="B25" s="3007" t="s">
        <v>4371</v>
      </c>
      <c r="C25" s="3007" t="s">
        <v>4371</v>
      </c>
      <c r="D25" s="3007">
        <v>2030</v>
      </c>
      <c r="E25" s="3007">
        <v>2050</v>
      </c>
      <c r="K25" s="3006"/>
      <c r="L25" s="3006"/>
      <c r="M25" s="3006"/>
      <c r="N25" s="3006"/>
    </row>
    <row r="26" spans="1:18" ht="14.25" x14ac:dyDescent="0.2">
      <c r="B26" s="3011" t="s">
        <v>559</v>
      </c>
      <c r="C26" s="3012" t="s">
        <v>4371</v>
      </c>
      <c r="D26" s="3013">
        <v>1</v>
      </c>
      <c r="E26" s="3013">
        <v>1</v>
      </c>
      <c r="K26" s="3006"/>
      <c r="L26" s="3006"/>
      <c r="M26" s="3006"/>
      <c r="N26" s="3006"/>
    </row>
    <row r="27" spans="1:18" ht="14.25" x14ac:dyDescent="0.2">
      <c r="B27" s="3006"/>
      <c r="C27" s="3006"/>
      <c r="D27" s="3006"/>
      <c r="E27" s="3006"/>
      <c r="K27" s="3006"/>
      <c r="L27" s="3006"/>
      <c r="M27" s="3006"/>
      <c r="N27" s="3006"/>
    </row>
    <row r="28" spans="1:18" ht="14.25" x14ac:dyDescent="0.2">
      <c r="K28" s="3006"/>
      <c r="L28" s="3006"/>
      <c r="M28" s="3006"/>
      <c r="N28" s="3006"/>
      <c r="R28" s="64"/>
    </row>
    <row r="29" spans="1:18" ht="14.25" x14ac:dyDescent="0.2">
      <c r="B29" s="3006"/>
      <c r="C29" s="3006"/>
      <c r="D29" s="3006"/>
      <c r="E29" s="3006"/>
      <c r="F29" s="3006"/>
      <c r="G29" s="3006"/>
      <c r="H29" s="3006"/>
      <c r="I29" s="3006"/>
      <c r="J29" s="3006"/>
      <c r="K29" s="3006"/>
      <c r="L29" s="3006"/>
      <c r="M29" s="3006"/>
      <c r="N29" s="3006"/>
    </row>
    <row r="30" spans="1:18" ht="15.75" customHeight="1" x14ac:dyDescent="0.25">
      <c r="A30" s="32" t="s">
        <v>4412</v>
      </c>
      <c r="B30" s="3005" t="s">
        <v>4411</v>
      </c>
      <c r="C30" s="3006"/>
      <c r="D30" s="3006"/>
      <c r="E30" s="3006"/>
      <c r="F30" s="3006"/>
      <c r="G30" s="3006"/>
      <c r="H30" s="3006"/>
      <c r="I30" s="3006"/>
      <c r="J30" s="3006"/>
      <c r="K30" s="3023" t="s">
        <v>4410</v>
      </c>
      <c r="L30" s="3023"/>
      <c r="M30" s="3023" t="s">
        <v>4409</v>
      </c>
      <c r="N30" s="3023"/>
      <c r="R30" s="59"/>
    </row>
    <row r="31" spans="1:18" ht="15" x14ac:dyDescent="0.25">
      <c r="B31" s="3007" t="s">
        <v>4371</v>
      </c>
      <c r="C31" s="3007">
        <v>1990</v>
      </c>
      <c r="D31" s="3007">
        <v>2018</v>
      </c>
      <c r="E31" s="3007">
        <v>2019</v>
      </c>
      <c r="F31" s="3007">
        <v>2020</v>
      </c>
      <c r="G31" s="3007">
        <v>2030</v>
      </c>
      <c r="H31" s="3007">
        <v>2035</v>
      </c>
      <c r="I31" s="3007">
        <v>2050</v>
      </c>
      <c r="J31" s="3006"/>
      <c r="K31" s="3007">
        <v>2030</v>
      </c>
      <c r="L31" s="3007">
        <v>2050</v>
      </c>
      <c r="M31" s="3007">
        <v>2030</v>
      </c>
      <c r="N31" s="3007">
        <v>2050</v>
      </c>
    </row>
    <row r="32" spans="1:18" ht="14.25" x14ac:dyDescent="0.2">
      <c r="B32" s="3011" t="s">
        <v>4408</v>
      </c>
      <c r="C32" s="3012">
        <f>INDEX('Table 12 Handelsgødning'!$B$7:$AU$7,MATCH('K-tiltag'!$B32,'Table 12 Handelsgødning'!$A$7,0),MATCH('K-tiltag'!C31,'Table 12 Handelsgødning'!$B$6:$AU$6,0))</f>
        <v>400.4</v>
      </c>
      <c r="D32" s="3012">
        <f>INDEX('Table 12 Handelsgødning'!$B$7:$AU$7,MATCH('K-tiltag'!$B32,'Table 12 Handelsgødning'!$A$7,0),MATCH('K-tiltag'!D31,'Table 12 Handelsgødning'!$B$6:$AU$6,0))</f>
        <v>224.18396000000001</v>
      </c>
      <c r="E32" s="3012">
        <f>INDEX('Table 12 Handelsgødning'!$B$7:$AU$7,MATCH('K-tiltag'!$B32,'Table 12 Handelsgødning'!$A$7,0),MATCH('K-tiltag'!E31,'Table 12 Handelsgødning'!$B$6:$AU$6,0))</f>
        <v>234.827</v>
      </c>
      <c r="F32" s="3012">
        <f>INDEX('Table 12 Handelsgødning'!$B$7:$AU$7,MATCH('K-tiltag'!$B32,'Table 12 Handelsgødning'!$A$7,0),MATCH('K-tiltag'!F31,'Table 12 Handelsgødning'!$B$6:$AU$6,0))</f>
        <v>251.86679999999996</v>
      </c>
      <c r="G32" s="3012">
        <f>INDEX('Table 12 Handelsgødning'!$B$7:$AU$7,MATCH('K-tiltag'!$B32,'Table 12 Handelsgødning'!$A$7,0),MATCH('K-tiltag'!G31,'Table 12 Handelsgødning'!$B$6:$AU$6,0))</f>
        <v>197.35511310183568</v>
      </c>
      <c r="H32" s="3012">
        <f>INDEX('Table 12 Handelsgødning'!$B$7:$AU$7,MATCH('K-tiltag'!$B32,'Table 12 Handelsgødning'!$A$7,0),MATCH('K-tiltag'!H31,'Table 12 Handelsgødning'!$B$6:$AU$6,0))</f>
        <v>204.13000301872623</v>
      </c>
      <c r="I32" s="3012">
        <f>H32</f>
        <v>204.13000301872623</v>
      </c>
      <c r="J32" s="3006"/>
      <c r="K32" s="3190">
        <f>+(D32-G32)/D32</f>
        <v>0.1196733561944589</v>
      </c>
      <c r="L32" s="3190">
        <f t="shared" ref="L32" si="4">+(D32-I32)/D32</f>
        <v>8.9453130283155782E-2</v>
      </c>
      <c r="M32" s="3190">
        <f>+(F32-G32)/F32</f>
        <v>0.21643061689021451</v>
      </c>
      <c r="N32" s="3190">
        <f t="shared" ref="N32" si="5">+(F32-I32)/F32</f>
        <v>0.18953191520785484</v>
      </c>
    </row>
    <row r="33" spans="1:14" ht="14.25" x14ac:dyDescent="0.2">
      <c r="D33" s="64"/>
      <c r="K33" s="3006"/>
      <c r="L33" s="3006"/>
      <c r="M33" s="3006"/>
      <c r="N33" s="3006"/>
    </row>
    <row r="35" spans="1:14" ht="15.75" x14ac:dyDescent="0.25">
      <c r="B35" s="3005" t="s">
        <v>5052</v>
      </c>
    </row>
    <row r="36" spans="1:14" ht="15" x14ac:dyDescent="0.25">
      <c r="A36" s="32" t="s">
        <v>4407</v>
      </c>
      <c r="B36" s="3014" t="s">
        <v>4406</v>
      </c>
      <c r="C36" s="3014" t="s">
        <v>4405</v>
      </c>
      <c r="D36" s="3014">
        <v>2018</v>
      </c>
      <c r="E36" s="3014">
        <v>2019</v>
      </c>
      <c r="F36" s="3014">
        <v>2020</v>
      </c>
      <c r="G36" s="3014">
        <v>2030</v>
      </c>
      <c r="H36" s="3014">
        <v>2035</v>
      </c>
      <c r="I36" s="3014">
        <v>2050</v>
      </c>
    </row>
    <row r="37" spans="1:14" ht="14.25" x14ac:dyDescent="0.2">
      <c r="B37" s="3015" t="s">
        <v>947</v>
      </c>
      <c r="C37" s="3015">
        <f>INDEX('Table 7 Miljøteknologi'!$B$8:$AD$10,MATCH('K-tiltag'!$B37,'Table 7 Miljøteknologi'!$A$8:$A$10,0),MATCH('K-tiltag'!C$36,'Table 7 Miljøteknologi'!$B$7:$AD$7,0))</f>
        <v>0</v>
      </c>
      <c r="D37" s="3015">
        <f>INDEX('Table 7 Miljøteknologi'!$B$8:$AD$10,MATCH('K-tiltag'!$B37,'Table 7 Miljøteknologi'!$A$8:$A$10,0),MATCH('K-tiltag'!D$36,'Table 7 Miljøteknologi'!$B$7:$AD$7,0))</f>
        <v>7.4278757936523592</v>
      </c>
      <c r="E37" s="3015">
        <f>INDEX('Table 7 Miljøteknologi'!$B$8:$AD$10,MATCH('K-tiltag'!$B37,'Table 7 Miljøteknologi'!$A$8:$A$10,0),MATCH('K-tiltag'!E$36,'Table 7 Miljøteknologi'!$B$7:$AD$7,0))</f>
        <v>7.4278757936523592</v>
      </c>
      <c r="F37" s="3015">
        <f>INDEX('Table 7 Miljøteknologi'!$B$8:$AD$10,MATCH('K-tiltag'!$B37,'Table 7 Miljøteknologi'!$A$8:$A$10,0),MATCH('K-tiltag'!F$36,'Table 7 Miljøteknologi'!$B$7:$AD$7,0))</f>
        <v>7.4278757936523592</v>
      </c>
      <c r="G37" s="3015">
        <f>INDEX('Table 7 Miljøteknologi'!$B$8:$AD$10,MATCH('K-tiltag'!$B37,'Table 7 Miljøteknologi'!$A$8:$A$10,0),MATCH('K-tiltag'!G$36,'Table 7 Miljøteknologi'!$B$7:$AD$7,0))</f>
        <v>40</v>
      </c>
      <c r="H37" s="3015">
        <f>INDEX('Table 7 Miljøteknologi'!$B$8:$AD$10,MATCH('K-tiltag'!$B37,'Table 7 Miljøteknologi'!$A$8:$A$10,0),MATCH('K-tiltag'!H$36,'Table 7 Miljøteknologi'!$B$7:$AD$7,0))</f>
        <v>55</v>
      </c>
      <c r="I37" s="3015">
        <f>H37</f>
        <v>55</v>
      </c>
    </row>
    <row r="38" spans="1:14" ht="14.25" x14ac:dyDescent="0.2">
      <c r="B38" s="3012" t="s">
        <v>339</v>
      </c>
      <c r="C38" s="3012">
        <f>INDEX('Table 7 Miljøteknologi'!$B$8:$AD$10,MATCH('K-tiltag'!$B38,'Table 7 Miljøteknologi'!$A$8:$A$10,0),MATCH('K-tiltag'!C$36,'Table 7 Miljøteknologi'!$B$7:$AD$7,0))</f>
        <v>0</v>
      </c>
      <c r="D38" s="3012">
        <f>INDEX('Table 7 Miljøteknologi'!$B$8:$AD$10,MATCH('K-tiltag'!$B38,'Table 7 Miljøteknologi'!$A$8:$A$10,0),MATCH('K-tiltag'!D$36,'Table 7 Miljøteknologi'!$B$7:$AD$7,0))</f>
        <v>5.3093256220423894</v>
      </c>
      <c r="E38" s="3012">
        <f>INDEX('Table 7 Miljøteknologi'!$B$8:$AD$10,MATCH('K-tiltag'!$B38,'Table 7 Miljøteknologi'!$A$8:$A$10,0),MATCH('K-tiltag'!E$36,'Table 7 Miljøteknologi'!$B$7:$AD$7,0))</f>
        <v>5.3093256220423894</v>
      </c>
      <c r="F38" s="3012">
        <f>INDEX('Table 7 Miljøteknologi'!$B$8:$AD$10,MATCH('K-tiltag'!$B38,'Table 7 Miljøteknologi'!$A$8:$A$10,0),MATCH('K-tiltag'!F$36,'Table 7 Miljøteknologi'!$B$7:$AD$7,0))</f>
        <v>5.3093256220423894</v>
      </c>
      <c r="G38" s="3012">
        <f>INDEX('Table 7 Miljøteknologi'!$B$8:$AD$10,MATCH('K-tiltag'!$B38,'Table 7 Miljøteknologi'!$A$8:$A$10,0),MATCH('K-tiltag'!G$36,'Table 7 Miljøteknologi'!$B$7:$AD$7,0))</f>
        <v>30</v>
      </c>
      <c r="H38" s="3012">
        <f>INDEX('Table 7 Miljøteknologi'!$B$8:$AD$10,MATCH('K-tiltag'!$B38,'Table 7 Miljøteknologi'!$A$8:$A$10,0),MATCH('K-tiltag'!H$36,'Table 7 Miljøteknologi'!$B$7:$AD$7,0))</f>
        <v>42.5</v>
      </c>
      <c r="I38" s="3012">
        <f t="shared" ref="I38:I39" si="6">H38</f>
        <v>42.5</v>
      </c>
    </row>
    <row r="39" spans="1:14" ht="15" thickBot="1" x14ac:dyDescent="0.25">
      <c r="B39" s="3016" t="s">
        <v>948</v>
      </c>
      <c r="C39" s="3017">
        <f>INDEX('Table 7 Miljøteknologi'!$B$8:$AD$10,MATCH('K-tiltag'!$B39,'Table 7 Miljøteknologi'!$A$8:$A$10,0),MATCH('K-tiltag'!C$36,'Table 7 Miljøteknologi'!$B$7:$AD$7,0))</f>
        <v>0</v>
      </c>
      <c r="D39" s="3017">
        <f>INDEX('Table 7 Miljøteknologi'!$B$8:$AD$10,MATCH('K-tiltag'!$B39,'Table 7 Miljøteknologi'!$A$8:$A$10,0),MATCH('K-tiltag'!D$36,'Table 7 Miljøteknologi'!$B$7:$AD$7,0))</f>
        <v>3.4465009843293628</v>
      </c>
      <c r="E39" s="3017">
        <f>INDEX('Table 7 Miljøteknologi'!$B$8:$AD$10,MATCH('K-tiltag'!$B39,'Table 7 Miljøteknologi'!$A$8:$A$10,0),MATCH('K-tiltag'!E$36,'Table 7 Miljøteknologi'!$B$7:$AD$7,0))</f>
        <v>3.4465009843293628</v>
      </c>
      <c r="F39" s="3017">
        <f>INDEX('Table 7 Miljøteknologi'!$B$8:$AD$10,MATCH('K-tiltag'!$B39,'Table 7 Miljøteknologi'!$A$8:$A$10,0),MATCH('K-tiltag'!F$36,'Table 7 Miljøteknologi'!$B$7:$AD$7,0))</f>
        <v>3.4465009843293628</v>
      </c>
      <c r="G39" s="3017">
        <f>INDEX('Table 7 Miljøteknologi'!$B$8:$AD$10,MATCH('K-tiltag'!$B39,'Table 7 Miljøteknologi'!$A$8:$A$10,0),MATCH('K-tiltag'!G$36,'Table 7 Miljøteknologi'!$B$7:$AD$7,0))</f>
        <v>20</v>
      </c>
      <c r="H39" s="3017">
        <f>INDEX('Table 7 Miljøteknologi'!$B$8:$AD$10,MATCH('K-tiltag'!$B39,'Table 7 Miljøteknologi'!$A$8:$A$10,0),MATCH('K-tiltag'!H$36,'Table 7 Miljøteknologi'!$B$7:$AD$7,0))</f>
        <v>27.5</v>
      </c>
      <c r="I39" s="3017">
        <f t="shared" si="6"/>
        <v>27.5</v>
      </c>
    </row>
    <row r="40" spans="1:14" ht="14.25" x14ac:dyDescent="0.2">
      <c r="B40" s="3018" t="s">
        <v>4404</v>
      </c>
      <c r="C40" s="3018"/>
      <c r="D40" s="3019">
        <v>0.05</v>
      </c>
      <c r="E40" s="3019">
        <v>0.05</v>
      </c>
      <c r="F40" s="3019">
        <v>0.05</v>
      </c>
      <c r="G40" s="3019">
        <v>0.28000000000000003</v>
      </c>
      <c r="H40" s="3019">
        <v>0.38</v>
      </c>
      <c r="I40" s="3019">
        <v>0.38</v>
      </c>
    </row>
    <row r="41" spans="1:14" x14ac:dyDescent="0.2">
      <c r="D41" s="3020"/>
    </row>
    <row r="42" spans="1:14" x14ac:dyDescent="0.2">
      <c r="D42" s="3020"/>
    </row>
    <row r="43" spans="1:14" ht="15.75" x14ac:dyDescent="0.25">
      <c r="B43" s="3005" t="s">
        <v>4402</v>
      </c>
      <c r="D43" s="3020"/>
    </row>
    <row r="44" spans="1:14" ht="15" x14ac:dyDescent="0.25">
      <c r="A44" s="32" t="s">
        <v>4403</v>
      </c>
      <c r="B44" s="3014"/>
      <c r="C44" s="3014" t="s">
        <v>4785</v>
      </c>
      <c r="D44" s="3020"/>
    </row>
    <row r="45" spans="1:14" ht="14.25" x14ac:dyDescent="0.2">
      <c r="B45" s="3015" t="s">
        <v>4401</v>
      </c>
      <c r="C45" s="3231">
        <f>SUMIFS(Dataark_til_bilag2_2020[Gødning (g) total (ton)],Dataark_til_bilag2_2020[Gødningstype],"Svinegylle",Dataark_til_bilag2_2020[Fordeling af dyretyper],"Sl. svin")</f>
        <v>0</v>
      </c>
      <c r="D45" s="3020"/>
    </row>
    <row r="46" spans="1:14" x14ac:dyDescent="0.2">
      <c r="D46" s="3020"/>
    </row>
    <row r="47" spans="1:14" x14ac:dyDescent="0.2">
      <c r="B47" s="3021" t="s">
        <v>4400</v>
      </c>
      <c r="D47" s="3020"/>
    </row>
    <row r="48" spans="1:14" x14ac:dyDescent="0.2">
      <c r="D48" s="3020"/>
    </row>
    <row r="49" spans="1:14" x14ac:dyDescent="0.2">
      <c r="D49" s="2488"/>
    </row>
    <row r="51" spans="1:14" ht="18" x14ac:dyDescent="0.25">
      <c r="A51" s="32" t="s">
        <v>4399</v>
      </c>
      <c r="B51" s="2487" t="s">
        <v>4398</v>
      </c>
      <c r="C51" s="3022"/>
      <c r="D51" s="3022"/>
      <c r="E51" s="3006"/>
      <c r="F51" s="3006"/>
      <c r="G51" s="3006"/>
      <c r="H51" s="3006"/>
      <c r="I51" s="3006"/>
      <c r="J51" s="3006"/>
      <c r="K51" s="3006"/>
      <c r="L51" s="3006"/>
      <c r="M51" s="3006"/>
      <c r="N51" s="3006"/>
    </row>
    <row r="52" spans="1:14" ht="15.75" x14ac:dyDescent="0.25">
      <c r="B52" s="3005" t="s">
        <v>4397</v>
      </c>
      <c r="C52" s="3006"/>
      <c r="D52" s="3006"/>
      <c r="E52" s="3006"/>
      <c r="F52" s="3006"/>
      <c r="G52" s="3006"/>
      <c r="H52" s="3006"/>
      <c r="I52" s="3006"/>
      <c r="J52" s="3006"/>
      <c r="K52" s="3006"/>
      <c r="L52" s="3006"/>
      <c r="M52" s="3006"/>
      <c r="N52" s="3006"/>
    </row>
    <row r="53" spans="1:14" ht="14.25" x14ac:dyDescent="0.2">
      <c r="B53" s="3006"/>
      <c r="C53" s="3006"/>
      <c r="D53" s="3006"/>
      <c r="E53" s="3006"/>
      <c r="F53" s="3006"/>
      <c r="G53" s="3006"/>
      <c r="H53" s="3006"/>
      <c r="I53" s="3006"/>
      <c r="J53" s="3006"/>
      <c r="K53" s="3011"/>
      <c r="L53" s="3011"/>
      <c r="M53" s="3011"/>
      <c r="N53" s="3011"/>
    </row>
    <row r="54" spans="1:14" ht="15" x14ac:dyDescent="0.25">
      <c r="B54" s="3024" t="s">
        <v>1825</v>
      </c>
      <c r="C54" s="3024">
        <v>1990</v>
      </c>
      <c r="D54" s="3024">
        <v>2018</v>
      </c>
      <c r="E54" s="3024">
        <v>2019</v>
      </c>
      <c r="F54" s="3024">
        <v>2020</v>
      </c>
      <c r="G54" s="3024">
        <v>2030</v>
      </c>
      <c r="H54" s="3024">
        <v>2035</v>
      </c>
      <c r="I54" s="3024">
        <v>2050</v>
      </c>
      <c r="J54" s="3006"/>
      <c r="K54" s="3180" t="s">
        <v>4371</v>
      </c>
      <c r="L54" s="3180" t="s">
        <v>4371</v>
      </c>
      <c r="M54" s="3180">
        <v>2030</v>
      </c>
      <c r="N54" s="3180">
        <v>2050</v>
      </c>
    </row>
    <row r="55" spans="1:14" ht="14.25" x14ac:dyDescent="0.2">
      <c r="B55" s="3006" t="s">
        <v>1977</v>
      </c>
      <c r="C55" s="3015">
        <f>INDEX('Table 9 Gylle afsat til biogas'!$B$7:$AU$8,MATCH('K-tiltag'!$B55,'Table 9 Gylle afsat til biogas'!$A$7:$A$8,0),MATCH('K-tiltag'!C$54,'Table 9 Gylle afsat til biogas'!$B$6:$AU$6,0))</f>
        <v>129.16181416057856</v>
      </c>
      <c r="D55" s="3015">
        <f>INDEX('Table 9 Gylle afsat til biogas'!$B$7:$AU$8,MATCH('K-tiltag'!$B55,'Table 9 Gylle afsat til biogas'!$A$7:$A$8,0),MATCH('K-tiltag'!D$54,'Table 9 Gylle afsat til biogas'!$B$6:$AU$6,0))</f>
        <v>3543.3495192295245</v>
      </c>
      <c r="E55" s="3015">
        <f>INDEX('Table 9 Gylle afsat til biogas'!$B$7:$AU$8,MATCH('K-tiltag'!$B55,'Table 9 Gylle afsat til biogas'!$A$7:$A$8,0),MATCH('K-tiltag'!E$54,'Table 9 Gylle afsat til biogas'!$B$6:$AU$6,0))</f>
        <v>4431.8504551706601</v>
      </c>
      <c r="F55" s="3015">
        <f>INDEX('Table 9 Gylle afsat til biogas'!$B$7:$AU$8,MATCH('K-tiltag'!$B55,'Table 9 Gylle afsat til biogas'!$A$7:$A$8,0),MATCH('K-tiltag'!F$54,'Table 9 Gylle afsat til biogas'!$B$6:$AU$6,0))</f>
        <v>5166.1582149302085</v>
      </c>
      <c r="G55" s="3015">
        <f>INDEX('Table 9 Gylle afsat til biogas'!$B$7:$AU$8,MATCH('K-tiltag'!$B55,'Table 9 Gylle afsat til biogas'!$A$7:$A$8,0),MATCH('K-tiltag'!G$54,'Table 9 Gylle afsat til biogas'!$B$6:$AU$6,0))</f>
        <v>14587.619746384296</v>
      </c>
      <c r="H55" s="3015">
        <f>INDEX('Table 9 Gylle afsat til biogas'!$B$7:$AU$8,MATCH('K-tiltag'!$B55,'Table 9 Gylle afsat til biogas'!$A$7:$A$8,0),MATCH('K-tiltag'!H$54,'Table 9 Gylle afsat til biogas'!$B$6:$AU$6,0))</f>
        <v>12627.062610687819</v>
      </c>
      <c r="I55" s="3015">
        <f>H55</f>
        <v>12627.062610687819</v>
      </c>
      <c r="J55" s="3006"/>
      <c r="K55" s="3006" t="s">
        <v>4396</v>
      </c>
      <c r="L55" s="3006"/>
      <c r="M55" s="3009">
        <f>+G55/(G61/1000)</f>
        <v>0.69652772723438938</v>
      </c>
      <c r="N55" s="3009">
        <f>+H55/(H61/1000)</f>
        <v>0.60471121942756156</v>
      </c>
    </row>
    <row r="56" spans="1:14" ht="15" thickBot="1" x14ac:dyDescent="0.25">
      <c r="B56" s="3011" t="s">
        <v>1941</v>
      </c>
      <c r="C56" s="3015">
        <f>INDEX('Table 9 Gylle afsat til biogas'!$B$7:$AU$8,MATCH('K-tiltag'!$B56,'Table 9 Gylle afsat til biogas'!$A$7:$A$8,0),MATCH('K-tiltag'!C$54,'Table 9 Gylle afsat til biogas'!$B$6:$AU$6,0))</f>
        <v>91.078829233952732</v>
      </c>
      <c r="D56" s="3015">
        <f>INDEX('Table 9 Gylle afsat til biogas'!$B$7:$AU$8,MATCH('K-tiltag'!$B56,'Table 9 Gylle afsat til biogas'!$A$7:$A$8,0),MATCH('K-tiltag'!D$54,'Table 9 Gylle afsat til biogas'!$B$6:$AU$6,0))</f>
        <v>2197.9982393226646</v>
      </c>
      <c r="E56" s="3015">
        <f>INDEX('Table 9 Gylle afsat til biogas'!$B$7:$AU$8,MATCH('K-tiltag'!$B56,'Table 9 Gylle afsat til biogas'!$A$7:$A$8,0),MATCH('K-tiltag'!E$54,'Table 9 Gylle afsat til biogas'!$B$6:$AU$6,0))</f>
        <v>2640.816324829339</v>
      </c>
      <c r="F56" s="3015">
        <f>INDEX('Table 9 Gylle afsat til biogas'!$B$7:$AU$8,MATCH('K-tiltag'!$B56,'Table 9 Gylle afsat til biogas'!$A$7:$A$8,0),MATCH('K-tiltag'!F$54,'Table 9 Gylle afsat til biogas'!$B$6:$AU$6,0))</f>
        <v>3136.5135500697916</v>
      </c>
      <c r="G56" s="3015">
        <f>INDEX('Table 9 Gylle afsat til biogas'!$B$7:$AU$8,MATCH('K-tiltag'!$B56,'Table 9 Gylle afsat til biogas'!$A$7:$A$8,0),MATCH('K-tiltag'!G$54,'Table 9 Gylle afsat til biogas'!$B$6:$AU$6,0))</f>
        <v>8856.5361520617153</v>
      </c>
      <c r="H56" s="3015">
        <f>INDEX('Table 9 Gylle afsat til biogas'!$B$7:$AU$8,MATCH('K-tiltag'!$B56,'Table 9 Gylle afsat til biogas'!$A$7:$A$8,0),MATCH('K-tiltag'!H$54,'Table 9 Gylle afsat til biogas'!$B$6:$AU$6,0))</f>
        <v>7666.2292032682217</v>
      </c>
      <c r="I56" s="3015">
        <f>H56</f>
        <v>7666.2292032682217</v>
      </c>
      <c r="J56" s="3006"/>
      <c r="K56" s="3025" t="s">
        <v>4395</v>
      </c>
      <c r="L56" s="3025"/>
      <c r="M56" s="3010">
        <f>+G56/(G67/1000)</f>
        <v>0.46217257579839466</v>
      </c>
      <c r="N56" s="3010">
        <f>+H56/(H67/1000)</f>
        <v>0.46323233504912087</v>
      </c>
    </row>
    <row r="57" spans="1:14" ht="14.25" x14ac:dyDescent="0.2">
      <c r="B57" s="3006"/>
      <c r="C57" s="3006"/>
      <c r="D57" s="3006"/>
      <c r="E57" s="3006"/>
      <c r="F57" s="3006"/>
      <c r="G57" s="3006"/>
      <c r="H57" s="3006"/>
      <c r="I57" s="3006"/>
      <c r="J57" s="3006"/>
      <c r="K57" s="3006"/>
      <c r="L57" s="3006"/>
      <c r="M57" s="3006"/>
      <c r="N57" s="3006"/>
    </row>
    <row r="58" spans="1:14" ht="15" x14ac:dyDescent="0.25">
      <c r="B58" s="3026" t="s">
        <v>226</v>
      </c>
      <c r="C58" s="3026">
        <v>1990</v>
      </c>
      <c r="D58" s="3026">
        <v>2018</v>
      </c>
      <c r="E58" s="3026">
        <v>2019</v>
      </c>
      <c r="F58" s="3026">
        <v>2020</v>
      </c>
      <c r="G58" s="3026">
        <v>2030</v>
      </c>
      <c r="H58" s="3026">
        <v>2035</v>
      </c>
      <c r="I58" s="3026">
        <v>2050</v>
      </c>
      <c r="J58" s="3006"/>
      <c r="K58" s="3006"/>
      <c r="L58" s="3006"/>
      <c r="M58" s="3006"/>
      <c r="N58" s="3006"/>
    </row>
    <row r="59" spans="1:14" ht="14.25" x14ac:dyDescent="0.2">
      <c r="B59" s="3027" t="s">
        <v>4394</v>
      </c>
      <c r="C59" s="3015">
        <f>INDEX('Table 6 Gødningsmængder'!$B$8:$AU$19,MATCH('K-tiltag'!$B59,'Table 6 Gødningsmængder'!$A$8:$A$19,0),MATCH('K-tiltag'!C$58,'Table 6 Gødningsmængder'!$B$7:$AU$7,0))</f>
        <v>11250260.446772</v>
      </c>
      <c r="D59" s="3015">
        <f>INDEX('Table 6 Gødningsmængder'!$B$8:$AU$19,MATCH('K-tiltag'!$B59,'Table 6 Gødningsmængder'!$A$8:$A$19,0),MATCH('K-tiltag'!D$58,'Table 6 Gødningsmængder'!$B$7:$AU$7,0))</f>
        <v>16256350.351827426</v>
      </c>
      <c r="E59" s="3015">
        <f>INDEX('Table 6 Gødningsmængder'!$B$8:$AU$19,MATCH('K-tiltag'!$B59,'Table 6 Gødningsmængder'!$A$8:$A$19,0),MATCH('K-tiltag'!E$58,'Table 6 Gødningsmængder'!$B$7:$AU$7,0))</f>
        <v>16135578.321278874</v>
      </c>
      <c r="F59" s="3015">
        <f>INDEX('Table 6 Gødningsmængder'!$B$8:$AU$19,MATCH('K-tiltag'!$B59,'Table 6 Gødningsmængder'!$A$8:$A$19,0),MATCH('K-tiltag'!F$58,'Table 6 Gødningsmængder'!$B$7:$AU$7,0))</f>
        <v>16157839.877820468</v>
      </c>
      <c r="G59" s="3015">
        <f>INDEX('Table 6 Gødningsmængder'!$B$8:$AU$19,MATCH('K-tiltag'!$B59,'Table 6 Gødningsmængder'!$A$8:$A$19,0),MATCH('K-tiltag'!G$58,'Table 6 Gødningsmængder'!$B$7:$AU$7,0))</f>
        <v>18439041.048251454</v>
      </c>
      <c r="H59" s="3015">
        <f>INDEX('Table 6 Gødningsmængder'!$B$8:$AU$19,MATCH('K-tiltag'!$B59,'Table 6 Gødningsmængder'!$A$8:$A$19,0),MATCH('K-tiltag'!H$58,'Table 6 Gødningsmængder'!$B$7:$AU$7,0))</f>
        <v>18435376.685101204</v>
      </c>
      <c r="I59" s="3015">
        <f>H59</f>
        <v>18435376.685101204</v>
      </c>
      <c r="J59" s="3006"/>
      <c r="K59" s="3006"/>
      <c r="L59" s="3006"/>
      <c r="M59" s="3006"/>
      <c r="N59" s="3006"/>
    </row>
    <row r="60" spans="1:14" ht="15" thickBot="1" x14ac:dyDescent="0.25">
      <c r="B60" s="3025" t="s">
        <v>5058</v>
      </c>
      <c r="C60" s="3016">
        <f>INDEX('Table 6 Gødningsmængder'!$B$8:$AU$19,MATCH('K-tiltag'!$B60,'Table 6 Gødningsmængder'!$A$8:$A$19,0),MATCH('K-tiltag'!C$58,'Table 6 Gødningsmængder'!$B$7:$AU$7,0))</f>
        <v>3993459.4665073976</v>
      </c>
      <c r="D60" s="3016">
        <f>INDEX('Table 6 Gødningsmængder'!$B$8:$AU$19,MATCH('K-tiltag'!$B60,'Table 6 Gødningsmængder'!$A$8:$A$19,0),MATCH('K-tiltag'!D$58,'Table 6 Gødningsmængder'!$B$7:$AU$7,0))</f>
        <v>2392833.913869123</v>
      </c>
      <c r="E60" s="3016">
        <f>INDEX('Table 6 Gødningsmængder'!$B$8:$AU$19,MATCH('K-tiltag'!$B60,'Table 6 Gødningsmængder'!$A$8:$A$19,0),MATCH('K-tiltag'!E$58,'Table 6 Gødningsmængder'!$B$7:$AU$7,0))</f>
        <v>2335092.3234533425</v>
      </c>
      <c r="F60" s="3016">
        <f>INDEX('Table 6 Gødningsmængder'!$B$8:$AU$19,MATCH('K-tiltag'!$B60,'Table 6 Gødningsmængder'!$A$8:$A$19,0),MATCH('K-tiltag'!F$58,'Table 6 Gødningsmængder'!$B$7:$AU$7,0))</f>
        <v>2317599.229324548</v>
      </c>
      <c r="G60" s="3016">
        <f>INDEX('Table 6 Gødningsmængder'!$B$8:$AU$19,MATCH('K-tiltag'!$B60,'Table 6 Gødningsmængder'!$A$8:$A$19,0),MATCH('K-tiltag'!G$58,'Table 6 Gødningsmængder'!$B$7:$AU$7,0))</f>
        <v>2504302.8790684659</v>
      </c>
      <c r="H60" s="3016">
        <f>INDEX('Table 6 Gødningsmængder'!$B$8:$AU$19,MATCH('K-tiltag'!$B60,'Table 6 Gødningsmængder'!$A$8:$A$19,0),MATCH('K-tiltag'!H$58,'Table 6 Gødningsmængder'!$B$7:$AU$7,0))</f>
        <v>2445768.2399772326</v>
      </c>
      <c r="I60" s="3016">
        <f>H60</f>
        <v>2445768.2399772326</v>
      </c>
      <c r="J60" s="3006"/>
      <c r="K60" s="3006"/>
      <c r="L60" s="3006"/>
      <c r="M60" s="3006"/>
      <c r="N60" s="3006"/>
    </row>
    <row r="61" spans="1:14" ht="14.25" x14ac:dyDescent="0.2">
      <c r="B61" s="3011" t="s">
        <v>1977</v>
      </c>
      <c r="C61" s="3028">
        <f>SUM(C59:C60)</f>
        <v>15243719.913279397</v>
      </c>
      <c r="D61" s="3029">
        <f t="shared" ref="D61:I61" si="7">SUM(D59:D60)</f>
        <v>18649184.265696548</v>
      </c>
      <c r="E61" s="3029">
        <f>SUM(E59:E60)</f>
        <v>18470670.644732215</v>
      </c>
      <c r="F61" s="3029">
        <f t="shared" si="7"/>
        <v>18475439.107145015</v>
      </c>
      <c r="G61" s="3029">
        <f t="shared" si="7"/>
        <v>20943343.927319922</v>
      </c>
      <c r="H61" s="3029">
        <f t="shared" si="7"/>
        <v>20881144.925078437</v>
      </c>
      <c r="I61" s="3029">
        <f t="shared" si="7"/>
        <v>20881144.925078437</v>
      </c>
      <c r="J61" s="3006"/>
      <c r="K61" s="3006"/>
      <c r="L61" s="3006"/>
      <c r="M61" s="3006"/>
      <c r="N61" s="3006"/>
    </row>
    <row r="62" spans="1:14" ht="14.25" x14ac:dyDescent="0.2">
      <c r="B62" s="3006"/>
      <c r="C62" s="3030"/>
      <c r="D62" s="3030"/>
      <c r="E62" s="3030"/>
      <c r="F62" s="3030"/>
      <c r="G62" s="3030"/>
      <c r="H62" s="3030"/>
      <c r="I62" s="3030"/>
      <c r="J62" s="3006"/>
      <c r="K62" s="3006"/>
      <c r="L62" s="3006"/>
      <c r="M62" s="3006"/>
      <c r="N62" s="3006"/>
    </row>
    <row r="63" spans="1:14" ht="15" x14ac:dyDescent="0.25">
      <c r="B63" s="3024" t="s">
        <v>1825</v>
      </c>
      <c r="C63" s="3024">
        <v>1990</v>
      </c>
      <c r="D63" s="3024">
        <v>2018</v>
      </c>
      <c r="E63" s="3024">
        <v>2019</v>
      </c>
      <c r="F63" s="3024">
        <v>2020</v>
      </c>
      <c r="G63" s="3024">
        <v>2030</v>
      </c>
      <c r="H63" s="3024">
        <v>2035</v>
      </c>
      <c r="I63" s="3024">
        <v>2050</v>
      </c>
      <c r="J63" s="3006"/>
      <c r="K63" s="3006"/>
      <c r="L63" s="3006"/>
      <c r="M63" s="3006"/>
      <c r="N63" s="3006"/>
    </row>
    <row r="64" spans="1:14" ht="14.25" x14ac:dyDescent="0.2">
      <c r="B64" s="3027" t="s">
        <v>947</v>
      </c>
      <c r="C64" s="3015">
        <f>INDEX('Table 6 Gødningsmængder'!$B$8:$AU$19,MATCH('K-tiltag'!$B64,'Table 6 Gødningsmængder'!$A$8:$A$19,0),MATCH('K-tiltag'!C$58,'Table 6 Gødningsmængder'!$B$7:$AU$7,0))</f>
        <v>3497931.9408</v>
      </c>
      <c r="D64" s="3015">
        <f>INDEX('Table 6 Gødningsmængder'!$B$8:$AU$19,MATCH('K-tiltag'!$B64,'Table 6 Gødningsmængder'!$A$8:$A$19,0),MATCH('K-tiltag'!D$58,'Table 6 Gødningsmængder'!$B$7:$AU$7,0))</f>
        <v>5843612.1681000004</v>
      </c>
      <c r="E64" s="3015">
        <f>INDEX('Table 6 Gødningsmængder'!$B$8:$AU$19,MATCH('K-tiltag'!$B64,'Table 6 Gødningsmængder'!$A$8:$A$19,0),MATCH('K-tiltag'!E$58,'Table 6 Gødningsmængder'!$B$7:$AU$7,0))</f>
        <v>5679007.0475599999</v>
      </c>
      <c r="F64" s="3015">
        <f>INDEX('Table 6 Gødningsmængder'!$B$8:$AU$19,MATCH('K-tiltag'!$B64,'Table 6 Gødningsmængder'!$A$8:$A$19,0),MATCH('K-tiltag'!F$58,'Table 6 Gødningsmængder'!$B$7:$AU$7,0))</f>
        <v>6138540.9103999995</v>
      </c>
      <c r="G64" s="3015">
        <f>INDEX('Table 6 Gødningsmængder'!$B$8:$AU$19,MATCH('K-tiltag'!$B64,'Table 6 Gødningsmængder'!$A$8:$A$19,0),MATCH('K-tiltag'!G$58,'Table 6 Gødningsmængder'!$B$7:$AU$7,0))</f>
        <v>5478378.4368099999</v>
      </c>
      <c r="H64" s="3015">
        <f>INDEX('Table 6 Gødningsmængder'!$B$8:$AU$19,MATCH('K-tiltag'!$B64,'Table 6 Gødningsmængder'!$A$8:$A$19,0),MATCH('K-tiltag'!H$58,'Table 6 Gødningsmængder'!$B$7:$AU$7,0))</f>
        <v>4756005.3492400004</v>
      </c>
      <c r="I64" s="3015">
        <f>H64</f>
        <v>4756005.3492400004</v>
      </c>
      <c r="J64" s="3006"/>
      <c r="K64" s="3006"/>
      <c r="L64" s="3006"/>
      <c r="M64" s="3006"/>
      <c r="N64" s="3006"/>
    </row>
    <row r="65" spans="1:14" ht="14.25" x14ac:dyDescent="0.2">
      <c r="B65" s="3006" t="s">
        <v>339</v>
      </c>
      <c r="C65" s="3015">
        <f>INDEX('Table 6 Gødningsmængder'!$B$8:$AU$19,MATCH('K-tiltag'!$B65,'Table 6 Gødningsmængder'!$A$8:$A$19,0),MATCH('K-tiltag'!C$58,'Table 6 Gødningsmængder'!$B$7:$AU$7,0))</f>
        <v>1742195.4653400001</v>
      </c>
      <c r="D65" s="3015">
        <f>INDEX('Table 6 Gødningsmængder'!$B$8:$AU$19,MATCH('K-tiltag'!$B65,'Table 6 Gødningsmængder'!$A$8:$A$19,0),MATCH('K-tiltag'!D$58,'Table 6 Gødningsmængder'!$B$7:$AU$7,0))</f>
        <v>4224532.9093800001</v>
      </c>
      <c r="E65" s="3015">
        <f>INDEX('Table 6 Gødningsmængder'!$B$8:$AU$19,MATCH('K-tiltag'!$B65,'Table 6 Gødningsmængder'!$A$8:$A$19,0),MATCH('K-tiltag'!E$58,'Table 6 Gødningsmængder'!$B$7:$AU$7,0))</f>
        <v>4151468.9905400006</v>
      </c>
      <c r="F65" s="3015">
        <f>INDEX('Table 6 Gødningsmængder'!$B$8:$AU$19,MATCH('K-tiltag'!$B65,'Table 6 Gødningsmængder'!$A$8:$A$19,0),MATCH('K-tiltag'!F$58,'Table 6 Gødningsmængder'!$B$7:$AU$7,0))</f>
        <v>4240094.8459299998</v>
      </c>
      <c r="G65" s="3015">
        <f>INDEX('Table 6 Gødningsmængder'!$B$8:$AU$19,MATCH('K-tiltag'!$B65,'Table 6 Gødningsmængder'!$A$8:$A$19,0),MATCH('K-tiltag'!G$58,'Table 6 Gødningsmængder'!$B$7:$AU$7,0))</f>
        <v>3871682.0439600004</v>
      </c>
      <c r="H65" s="3015">
        <f>INDEX('Table 6 Gødningsmængder'!$B$8:$AU$19,MATCH('K-tiltag'!$B65,'Table 6 Gødningsmængder'!$A$8:$A$19,0),MATCH('K-tiltag'!H$58,'Table 6 Gødningsmængder'!$B$7:$AU$7,0))</f>
        <v>3275524.0414100005</v>
      </c>
      <c r="I65" s="3015">
        <f t="shared" ref="I65:I66" si="8">H65</f>
        <v>3275524.0414100005</v>
      </c>
      <c r="J65" s="3006"/>
      <c r="K65" s="3006"/>
      <c r="L65" s="3006"/>
      <c r="M65" s="3006"/>
      <c r="N65" s="3006"/>
    </row>
    <row r="66" spans="1:14" ht="15" thickBot="1" x14ac:dyDescent="0.25">
      <c r="B66" s="3025" t="s">
        <v>948</v>
      </c>
      <c r="C66" s="3016">
        <f>INDEX('Table 6 Gødningsmængder'!$B$8:$AU$19,MATCH('K-tiltag'!$B66,'Table 6 Gødningsmængder'!$A$8:$A$19,0),MATCH('K-tiltag'!C$58,'Table 6 Gødningsmængder'!$B$7:$AU$7,0))</f>
        <v>7022557.58256</v>
      </c>
      <c r="D66" s="3016">
        <f>INDEX('Table 6 Gødningsmængder'!$B$8:$AU$19,MATCH('K-tiltag'!$B66,'Table 6 Gødningsmængder'!$A$8:$A$19,0),MATCH('K-tiltag'!D$58,'Table 6 Gødningsmængder'!$B$7:$AU$7,0))</f>
        <v>10535016.620790003</v>
      </c>
      <c r="E66" s="3016">
        <f>INDEX('Table 6 Gødningsmængder'!$B$8:$AU$19,MATCH('K-tiltag'!$B66,'Table 6 Gødningsmængder'!$A$8:$A$19,0),MATCH('K-tiltag'!E$58,'Table 6 Gødningsmængder'!$B$7:$AU$7,0))</f>
        <v>9961940.8324900009</v>
      </c>
      <c r="F66" s="3016">
        <f>INDEX('Table 6 Gødningsmængder'!$B$8:$AU$19,MATCH('K-tiltag'!$B66,'Table 6 Gødningsmængder'!$A$8:$A$19,0),MATCH('K-tiltag'!F$58,'Table 6 Gødningsmængder'!$B$7:$AU$7,0))</f>
        <v>10689828.73896</v>
      </c>
      <c r="G66" s="3016">
        <f>INDEX('Table 6 Gødningsmængder'!$B$8:$AU$19,MATCH('K-tiltag'!$B66,'Table 6 Gødningsmængder'!$A$8:$A$19,0),MATCH('K-tiltag'!G$58,'Table 6 Gødningsmængder'!$B$7:$AU$7,0))</f>
        <v>9812773.0922999997</v>
      </c>
      <c r="H66" s="3016">
        <f>INDEX('Table 6 Gødningsmængder'!$B$8:$AU$19,MATCH('K-tiltag'!$B66,'Table 6 Gødningsmængder'!$A$8:$A$19,0),MATCH('K-tiltag'!H$58,'Table 6 Gødningsmængder'!$B$7:$AU$7,0))</f>
        <v>8517896.5091099981</v>
      </c>
      <c r="I66" s="3016">
        <f t="shared" si="8"/>
        <v>8517896.5091099981</v>
      </c>
      <c r="J66" s="3006"/>
      <c r="K66" s="3006"/>
      <c r="L66" s="3006"/>
      <c r="M66" s="3006"/>
      <c r="N66" s="3006"/>
    </row>
    <row r="67" spans="1:14" ht="14.25" x14ac:dyDescent="0.2">
      <c r="B67" s="3011" t="s">
        <v>1941</v>
      </c>
      <c r="C67" s="3031">
        <f>SUM(C64:C66)</f>
        <v>12262684.988699999</v>
      </c>
      <c r="D67" s="3031">
        <f t="shared" ref="D67:I67" si="9">SUM(D64:D66)</f>
        <v>20603161.698270001</v>
      </c>
      <c r="E67" s="3031">
        <f t="shared" si="9"/>
        <v>19792416.870590001</v>
      </c>
      <c r="F67" s="3031">
        <f t="shared" si="9"/>
        <v>21068464.495289996</v>
      </c>
      <c r="G67" s="3031">
        <f t="shared" si="9"/>
        <v>19162833.573069997</v>
      </c>
      <c r="H67" s="3031">
        <f t="shared" si="9"/>
        <v>16549425.899759999</v>
      </c>
      <c r="I67" s="3031">
        <f t="shared" si="9"/>
        <v>16549425.899759999</v>
      </c>
      <c r="J67" s="3006"/>
      <c r="K67" s="3006"/>
      <c r="L67" s="3006"/>
      <c r="M67" s="3006"/>
      <c r="N67" s="3006"/>
    </row>
    <row r="69" spans="1:14" ht="15.75" x14ac:dyDescent="0.25">
      <c r="A69" s="32" t="s">
        <v>4393</v>
      </c>
      <c r="B69" s="3005" t="s">
        <v>4392</v>
      </c>
      <c r="C69" s="3023"/>
      <c r="D69" s="3023"/>
      <c r="E69" s="3023"/>
      <c r="F69" s="3023"/>
      <c r="G69" s="3006"/>
      <c r="H69" s="3006"/>
      <c r="I69" s="3006"/>
      <c r="J69" s="3006"/>
      <c r="K69" s="3187" t="s">
        <v>4391</v>
      </c>
      <c r="L69" s="3187"/>
      <c r="M69" s="3187"/>
      <c r="N69" s="3011"/>
    </row>
    <row r="70" spans="1:14" ht="15" x14ac:dyDescent="0.25">
      <c r="B70" s="3007" t="s">
        <v>4390</v>
      </c>
      <c r="C70" s="3007">
        <v>1990</v>
      </c>
      <c r="D70" s="3007">
        <v>2018</v>
      </c>
      <c r="E70" s="3007">
        <v>2019</v>
      </c>
      <c r="F70" s="3007">
        <v>2020</v>
      </c>
      <c r="G70" s="3007">
        <v>2030</v>
      </c>
      <c r="H70" s="3007">
        <v>2035</v>
      </c>
      <c r="I70" s="3006"/>
      <c r="J70" s="3006"/>
      <c r="K70" s="3186" t="s">
        <v>4371</v>
      </c>
      <c r="L70" s="3186" t="s">
        <v>4371</v>
      </c>
      <c r="M70" s="3186" t="s">
        <v>4371</v>
      </c>
      <c r="N70" s="3180">
        <v>2030</v>
      </c>
    </row>
    <row r="71" spans="1:14" ht="14.25" x14ac:dyDescent="0.2">
      <c r="B71" s="3006" t="s">
        <v>243</v>
      </c>
      <c r="C71" s="3012">
        <f>INDEX('Table LULUCF_arealer'!$B$7:$AU$11,MATCH('K-tiltag'!$B71,'Table LULUCF_arealer'!$A$7:$A$11,0),MATCH('K-tiltag'!C$70,'Table LULUCF_arealer'!$B$6:$AU$6,0))</f>
        <v>548.74505833196656</v>
      </c>
      <c r="D71" s="3012">
        <f>INDEX('Table LULUCF_arealer'!$B$7:$AU$11,MATCH('K-tiltag'!$B71,'Table LULUCF_arealer'!$A$7:$A$11,0),MATCH('K-tiltag'!D$70,'Table LULUCF_arealer'!$B$6:$AU$6,0))</f>
        <v>639.10618749574996</v>
      </c>
      <c r="E71" s="3012">
        <f>INDEX('Table LULUCF_arealer'!$B$7:$AU$11,MATCH('K-tiltag'!$B71,'Table LULUCF_arealer'!$A$7:$A$11,0),MATCH('K-tiltag'!E$70,'Table LULUCF_arealer'!$B$6:$AU$6,0))</f>
        <v>640.11050000295995</v>
      </c>
      <c r="F71" s="3012">
        <f>INDEX('Table LULUCF_arealer'!$B$7:$AU$11,MATCH('K-tiltag'!$B71,'Table LULUCF_arealer'!$A$7:$A$11,0),MATCH('K-tiltag'!F$70,'Table LULUCF_arealer'!$B$6:$AU$6,0))</f>
        <v>641.32549999866001</v>
      </c>
      <c r="G71" s="3012">
        <f>INDEX('Table LULUCF_arealer'!$B$7:$AU$11,MATCH('K-tiltag'!$B71,'Table LULUCF_arealer'!$A$7:$A$11,0),MATCH('K-tiltag'!G$70,'Table LULUCF_arealer'!$B$6:$AU$6,0))</f>
        <v>668.04965625</v>
      </c>
      <c r="H71" s="3012">
        <f>INDEX('Table LULUCF_arealer'!$B$7:$AU$11,MATCH('K-tiltag'!$B71,'Table LULUCF_arealer'!$A$7:$A$11,0),MATCH('K-tiltag'!H$70,'Table LULUCF_arealer'!$B$6:$AU$6,0))</f>
        <v>668.78471428571436</v>
      </c>
      <c r="I71" s="3006"/>
      <c r="J71" s="3006"/>
      <c r="K71" s="3006" t="s">
        <v>4389</v>
      </c>
      <c r="L71" s="3006"/>
      <c r="M71" s="3006"/>
      <c r="N71" s="3183">
        <f>+F76-G76</f>
        <v>58.859835498601569</v>
      </c>
    </row>
    <row r="72" spans="1:14" ht="14.25" x14ac:dyDescent="0.2">
      <c r="B72" s="3006" t="s">
        <v>4388</v>
      </c>
      <c r="C72" s="3012">
        <f>INDEX('Table LULUCF_arealer'!$B$7:$AU$11,MATCH('K-tiltag'!$B72,'Table LULUCF_arealer'!$A$7:$A$11,0),MATCH('K-tiltag'!C$70,'Table LULUCF_arealer'!$B$6:$AU$6,0))</f>
        <v>2993.1686437530002</v>
      </c>
      <c r="D72" s="3012">
        <f>INDEX('Table LULUCF_arealer'!$B$7:$AU$11,MATCH('K-tiltag'!$B72,'Table LULUCF_arealer'!$A$7:$A$11,0),MATCH('K-tiltag'!D$70,'Table LULUCF_arealer'!$B$6:$AU$6,0))</f>
        <v>2810.7453124918361</v>
      </c>
      <c r="E72" s="3012">
        <f>INDEX('Table LULUCF_arealer'!$B$7:$AU$11,MATCH('K-tiltag'!$B72,'Table LULUCF_arealer'!$A$7:$A$11,0),MATCH('K-tiltag'!E$70,'Table LULUCF_arealer'!$B$6:$AU$6,0))</f>
        <v>2805.7915624599859</v>
      </c>
      <c r="F72" s="3012">
        <f>INDEX('Table LULUCF_arealer'!$B$7:$AU$11,MATCH('K-tiltag'!$B72,'Table LULUCF_arealer'!$A$7:$A$11,0),MATCH('K-tiltag'!F$70,'Table LULUCF_arealer'!$B$6:$AU$6,0))</f>
        <v>2801.9203749830299</v>
      </c>
      <c r="G72" s="3012">
        <f>INDEX('Table LULUCF_arealer'!$B$7:$AU$11,MATCH('K-tiltag'!$B72,'Table LULUCF_arealer'!$A$7:$A$11,0),MATCH('K-tiltag'!G$70,'Table LULUCF_arealer'!$B$6:$AU$6,0))</f>
        <v>2724.5897490708944</v>
      </c>
      <c r="H72" s="3012">
        <f>INDEX('Table LULUCF_arealer'!$B$7:$AU$11,MATCH('K-tiltag'!$B72,'Table LULUCF_arealer'!$A$7:$A$11,0),MATCH('K-tiltag'!H$70,'Table LULUCF_arealer'!$B$6:$AU$6,0))</f>
        <v>2710.5731042296247</v>
      </c>
      <c r="I72" s="3006"/>
      <c r="J72" s="3006"/>
      <c r="K72" s="3006" t="s">
        <v>4387</v>
      </c>
      <c r="L72" s="3006"/>
      <c r="M72" s="3006"/>
      <c r="N72" s="3183">
        <f>+F77-G77</f>
        <v>15.342026472301029</v>
      </c>
    </row>
    <row r="73" spans="1:14" ht="14.25" x14ac:dyDescent="0.2">
      <c r="B73" s="3006" t="s">
        <v>2140</v>
      </c>
      <c r="C73" s="3012">
        <f>INDEX('Table LULUCF_arealer'!$B$7:$AU$11,MATCH('K-tiltag'!$B73,'Table LULUCF_arealer'!$A$7:$A$11,0),MATCH('K-tiltag'!C$70,'Table LULUCF_arealer'!$B$6:$AU$6,0))</f>
        <v>146.3881479166669</v>
      </c>
      <c r="D73" s="3012">
        <f>INDEX('Table LULUCF_arealer'!$B$7:$AU$11,MATCH('K-tiltag'!$B73,'Table LULUCF_arealer'!$A$7:$A$11,0),MATCH('K-tiltag'!D$70,'Table LULUCF_arealer'!$B$6:$AU$6,0))</f>
        <v>170.03081250083</v>
      </c>
      <c r="E73" s="3012">
        <f>INDEX('Table LULUCF_arealer'!$B$7:$AU$11,MATCH('K-tiltag'!$B73,'Table LULUCF_arealer'!$A$7:$A$11,0),MATCH('K-tiltag'!E$70,'Table LULUCF_arealer'!$B$6:$AU$6,0))</f>
        <v>170.7555000001</v>
      </c>
      <c r="F73" s="3012">
        <f>INDEX('Table LULUCF_arealer'!$B$7:$AU$11,MATCH('K-tiltag'!$B73,'Table LULUCF_arealer'!$A$7:$A$11,0),MATCH('K-tiltag'!F$70,'Table LULUCF_arealer'!$B$6:$AU$6,0))</f>
        <v>168.91693749986999</v>
      </c>
      <c r="G73" s="3012">
        <f>INDEX('Table LULUCF_arealer'!$B$7:$AU$11,MATCH('K-tiltag'!$B73,'Table LULUCF_arealer'!$A$7:$A$11,0),MATCH('K-tiltag'!G$70,'Table LULUCF_arealer'!$B$6:$AU$6,0))</f>
        <v>135.10412061403511</v>
      </c>
      <c r="H73" s="3012">
        <f>INDEX('Table LULUCF_arealer'!$B$7:$AU$11,MATCH('K-tiltag'!$B73,'Table LULUCF_arealer'!$A$7:$A$11,0),MATCH('K-tiltag'!H$70,'Table LULUCF_arealer'!$B$6:$AU$6,0))</f>
        <v>131.83098519736842</v>
      </c>
      <c r="I73" s="3006"/>
      <c r="J73" s="3006"/>
      <c r="K73" s="3032" t="s">
        <v>4386</v>
      </c>
      <c r="L73" s="3032" t="s">
        <v>4371</v>
      </c>
      <c r="M73" s="3032" t="s">
        <v>4371</v>
      </c>
      <c r="N73" s="3184">
        <f>SUM(N71:N72)</f>
        <v>74.201861970902598</v>
      </c>
    </row>
    <row r="74" spans="1:14" ht="14.25" x14ac:dyDescent="0.2">
      <c r="B74" s="3006" t="s">
        <v>827</v>
      </c>
      <c r="C74" s="3012">
        <f>INDEX('Table LULUCF_arealer'!$B$7:$AU$11,MATCH('K-tiltag'!$B74,'Table LULUCF_arealer'!$A$7:$A$11,0),MATCH('K-tiltag'!C$70,'Table LULUCF_arealer'!$B$6:$AU$6,0))</f>
        <v>487.55026666699968</v>
      </c>
      <c r="D74" s="3012">
        <f>INDEX('Table LULUCF_arealer'!$B$7:$AU$11,MATCH('K-tiltag'!$B74,'Table LULUCF_arealer'!$A$7:$A$11,0),MATCH('K-tiltag'!D$70,'Table LULUCF_arealer'!$B$6:$AU$6,0))</f>
        <v>535.38999999509997</v>
      </c>
      <c r="E74" s="3012">
        <f>INDEX('Table LULUCF_arealer'!$B$7:$AU$11,MATCH('K-tiltag'!$B74,'Table LULUCF_arealer'!$A$7:$A$11,0),MATCH('K-tiltag'!E$70,'Table LULUCF_arealer'!$B$6:$AU$6,0))</f>
        <v>536.53268749999995</v>
      </c>
      <c r="F74" s="3012">
        <f>INDEX('Table LULUCF_arealer'!$B$7:$AU$11,MATCH('K-tiltag'!$B74,'Table LULUCF_arealer'!$A$7:$A$11,0),MATCH('K-tiltag'!F$70,'Table LULUCF_arealer'!$B$6:$AU$6,0))</f>
        <v>539.10131250303004</v>
      </c>
      <c r="G74" s="3012">
        <f>INDEX('Table LULUCF_arealer'!$B$7:$AU$11,MATCH('K-tiltag'!$B74,'Table LULUCF_arealer'!$A$7:$A$11,0),MATCH('K-tiltag'!G$70,'Table LULUCF_arealer'!$B$6:$AU$6,0))</f>
        <v>566.28145138888885</v>
      </c>
      <c r="H74" s="3012">
        <f>INDEX('Table LULUCF_arealer'!$B$7:$AU$11,MATCH('K-tiltag'!$B74,'Table LULUCF_arealer'!$A$7:$A$11,0),MATCH('K-tiltag'!H$70,'Table LULUCF_arealer'!$B$6:$AU$6,0))</f>
        <v>579.87152083333342</v>
      </c>
      <c r="I74" s="3006"/>
      <c r="J74" s="3006"/>
      <c r="K74" s="3185" t="s">
        <v>5066</v>
      </c>
      <c r="L74" s="3006"/>
      <c r="M74" s="3006"/>
      <c r="N74" s="3183">
        <f>-F71+G71</f>
        <v>26.724156251339991</v>
      </c>
    </row>
    <row r="75" spans="1:14" ht="14.25" x14ac:dyDescent="0.2">
      <c r="B75" s="3006"/>
      <c r="C75" s="3006"/>
      <c r="D75" s="3006"/>
      <c r="E75" s="3006"/>
      <c r="F75" s="3006"/>
      <c r="G75" s="3006"/>
      <c r="H75" s="3006"/>
      <c r="I75" s="3006"/>
      <c r="J75" s="3006"/>
      <c r="K75" s="3185" t="s">
        <v>5067</v>
      </c>
      <c r="L75" s="3006"/>
      <c r="M75" s="3006"/>
      <c r="N75" s="3183">
        <f>-F74+G74</f>
        <v>27.18013888585881</v>
      </c>
    </row>
    <row r="76" spans="1:14" ht="14.25" x14ac:dyDescent="0.2">
      <c r="B76" s="3006" t="s">
        <v>5064</v>
      </c>
      <c r="C76" s="3012">
        <f>C72-(C9+C13)/1000</f>
        <v>2859.4685737865648</v>
      </c>
      <c r="D76" s="3012">
        <f t="shared" ref="D76:H76" si="10">D72-(D9+D13)/1000</f>
        <v>2719.7705962558393</v>
      </c>
      <c r="E76" s="3012">
        <f t="shared" si="10"/>
        <v>2714.5818115892143</v>
      </c>
      <c r="F76" s="3012">
        <f t="shared" si="10"/>
        <v>2712.8550845774098</v>
      </c>
      <c r="G76" s="3012">
        <f t="shared" si="10"/>
        <v>2653.9952490788082</v>
      </c>
      <c r="H76" s="3012">
        <f t="shared" si="10"/>
        <v>2640.8786042375386</v>
      </c>
      <c r="I76" s="3006"/>
      <c r="J76" s="3006"/>
      <c r="K76" s="3032" t="s">
        <v>4385</v>
      </c>
      <c r="L76" s="3032"/>
      <c r="M76" s="3032" t="s">
        <v>4371</v>
      </c>
      <c r="N76" s="3184">
        <f>+N73-N74-N75</f>
        <v>20.297566833703797</v>
      </c>
    </row>
    <row r="77" spans="1:14" ht="14.25" x14ac:dyDescent="0.2">
      <c r="B77" s="3011" t="s">
        <v>5065</v>
      </c>
      <c r="C77" s="3012">
        <f>C73-(C10+C14)/1000</f>
        <v>64.797867624423873</v>
      </c>
      <c r="D77" s="3012">
        <f t="shared" ref="D77:H77" si="11">D73-(D10+D14)/1000</f>
        <v>90.968304266989094</v>
      </c>
      <c r="E77" s="3012">
        <f t="shared" si="11"/>
        <v>92.117800984044408</v>
      </c>
      <c r="F77" s="3012">
        <f t="shared" si="11"/>
        <v>88.99512919428571</v>
      </c>
      <c r="G77" s="3012">
        <f t="shared" si="11"/>
        <v>73.653102721984681</v>
      </c>
      <c r="H77" s="3012">
        <f t="shared" si="11"/>
        <v>71.279967305317996</v>
      </c>
      <c r="I77" s="3006"/>
      <c r="J77" s="3006"/>
      <c r="K77" s="3188" t="s">
        <v>4384</v>
      </c>
      <c r="L77" s="3188"/>
      <c r="M77" s="3188"/>
      <c r="N77" s="3189">
        <f>+N76/F72</f>
        <v>7.2441626160867374E-3</v>
      </c>
    </row>
    <row r="82" spans="1:15" ht="23.25" x14ac:dyDescent="0.4">
      <c r="A82" s="3192" t="s">
        <v>5119</v>
      </c>
      <c r="C82" s="2487"/>
      <c r="D82" s="2487"/>
      <c r="E82" s="2487"/>
      <c r="F82" s="2487"/>
    </row>
    <row r="83" spans="1:15" ht="14.25" x14ac:dyDescent="0.2">
      <c r="A83" s="3006"/>
      <c r="B83" s="3006"/>
      <c r="C83" s="3006"/>
      <c r="D83" s="3006"/>
      <c r="E83" s="3006"/>
      <c r="F83" s="3006"/>
      <c r="G83" s="3006"/>
      <c r="H83" s="3006"/>
    </row>
    <row r="84" spans="1:15" ht="18" x14ac:dyDescent="0.25">
      <c r="A84" s="3006"/>
      <c r="B84" s="3199" t="s">
        <v>4383</v>
      </c>
      <c r="C84" s="3194"/>
      <c r="D84" s="3194"/>
      <c r="E84" s="3194"/>
      <c r="J84" s="2934"/>
      <c r="K84" s="2934"/>
      <c r="L84" s="2934"/>
      <c r="M84" s="2934"/>
      <c r="N84" s="2934"/>
    </row>
    <row r="85" spans="1:15" ht="15" x14ac:dyDescent="0.25">
      <c r="A85" s="3006"/>
      <c r="B85" s="2936"/>
      <c r="C85" s="3194"/>
      <c r="D85" s="3194"/>
      <c r="E85" s="3194"/>
      <c r="J85" s="2934"/>
      <c r="L85" s="3194"/>
      <c r="M85" s="2934"/>
      <c r="N85" s="2934"/>
    </row>
    <row r="86" spans="1:15" ht="15.75" x14ac:dyDescent="0.25">
      <c r="A86" s="3006"/>
      <c r="B86" s="3193" t="s">
        <v>5134</v>
      </c>
      <c r="C86" s="3194"/>
      <c r="D86" s="3194"/>
      <c r="E86" s="3194"/>
      <c r="F86" s="3193" t="s">
        <v>5131</v>
      </c>
      <c r="G86" s="5146" t="s">
        <v>392</v>
      </c>
      <c r="H86" s="5146"/>
      <c r="I86" s="2934"/>
      <c r="J86" s="2934"/>
      <c r="K86" s="2934"/>
      <c r="L86" s="2934"/>
      <c r="M86" s="2934"/>
      <c r="N86" s="2934"/>
    </row>
    <row r="87" spans="1:15" ht="15" x14ac:dyDescent="0.25">
      <c r="A87" s="3006"/>
      <c r="B87" s="3007" t="s">
        <v>362</v>
      </c>
      <c r="C87" s="3033" t="s">
        <v>392</v>
      </c>
      <c r="D87" s="3033" t="s">
        <v>5130</v>
      </c>
      <c r="E87" s="3194"/>
      <c r="F87" s="3007" t="s">
        <v>362</v>
      </c>
      <c r="G87" s="3033">
        <v>2018</v>
      </c>
      <c r="H87" s="3033" t="s">
        <v>5135</v>
      </c>
      <c r="I87" s="2934"/>
      <c r="J87" s="2934"/>
      <c r="K87" s="2934"/>
      <c r="L87" s="2934"/>
      <c r="M87" s="2934"/>
      <c r="N87" s="2934"/>
    </row>
    <row r="88" spans="1:15" ht="14.25" x14ac:dyDescent="0.2">
      <c r="A88" s="3006"/>
      <c r="B88" s="3034">
        <v>2018</v>
      </c>
      <c r="C88" s="3218">
        <f>'K6 2018'!B10</f>
        <v>3163.8125</v>
      </c>
      <c r="D88" s="3222">
        <f>C88/G88</f>
        <v>0.2625570539419087</v>
      </c>
      <c r="F88" s="3195" t="s">
        <v>5132</v>
      </c>
      <c r="G88" s="2883">
        <f>'ARE207'!M6*100</f>
        <v>12050</v>
      </c>
      <c r="H88" s="2883">
        <f>'ARE207'!O6*100</f>
        <v>12190</v>
      </c>
      <c r="I88" s="2934"/>
      <c r="J88" s="2934"/>
      <c r="K88" s="2934"/>
      <c r="L88" s="2934"/>
      <c r="M88" s="2934"/>
      <c r="N88" s="2934"/>
    </row>
    <row r="89" spans="1:15" ht="28.5" x14ac:dyDescent="0.2">
      <c r="A89" s="3006"/>
      <c r="B89" s="3034">
        <v>2020</v>
      </c>
      <c r="C89" s="3218">
        <f>'K6 2018G'!B10</f>
        <v>3163.8125</v>
      </c>
      <c r="D89" s="3223">
        <f>C89/H88</f>
        <v>0.25954163248564399</v>
      </c>
      <c r="E89" s="3194"/>
      <c r="F89" s="3195" t="s">
        <v>5133</v>
      </c>
      <c r="G89" s="3196">
        <f>SUM('Planteavl 2018'!C10:Q10,'Planteavl 2018'!S10)</f>
        <v>1644.92</v>
      </c>
      <c r="H89" s="3196">
        <f>Reduktionsstiberegner!F15</f>
        <v>1577.2094720000002</v>
      </c>
      <c r="I89" s="2934"/>
      <c r="J89" s="2934"/>
      <c r="K89" s="2934"/>
      <c r="L89" s="2934"/>
      <c r="M89" s="2934"/>
      <c r="N89" s="2934"/>
    </row>
    <row r="90" spans="1:15" ht="14.25" x14ac:dyDescent="0.2">
      <c r="A90" s="3006"/>
      <c r="B90" s="3034">
        <v>2090</v>
      </c>
      <c r="D90" s="3013">
        <v>0.25</v>
      </c>
      <c r="E90" s="3194"/>
      <c r="F90" s="3195"/>
      <c r="G90" s="3196"/>
      <c r="H90" s="3196"/>
      <c r="I90" s="3001"/>
      <c r="J90" s="2934"/>
      <c r="K90" s="2934"/>
      <c r="L90" s="2934"/>
      <c r="M90" s="2934"/>
      <c r="N90" s="2934"/>
    </row>
    <row r="91" spans="1:15" ht="14.25" x14ac:dyDescent="0.2">
      <c r="A91" s="3006"/>
      <c r="B91" s="3194"/>
      <c r="D91" s="3194"/>
      <c r="E91" s="3194"/>
      <c r="F91" s="3219"/>
      <c r="G91" s="3194"/>
      <c r="H91" s="3194"/>
      <c r="I91" s="3001"/>
      <c r="J91" s="2934"/>
      <c r="K91" s="2934"/>
      <c r="L91" s="2934"/>
      <c r="M91" s="2934"/>
      <c r="N91" s="2934"/>
    </row>
    <row r="92" spans="1:15" ht="15.75" x14ac:dyDescent="0.25">
      <c r="A92" s="3006"/>
      <c r="B92" s="3193" t="s">
        <v>5137</v>
      </c>
      <c r="D92" s="3194"/>
      <c r="E92" s="3194"/>
      <c r="F92" s="3194"/>
      <c r="G92" s="3194"/>
      <c r="H92" s="3194"/>
      <c r="I92" s="2934"/>
      <c r="J92" s="2934"/>
      <c r="K92" s="3194"/>
      <c r="L92" s="2934"/>
      <c r="M92" s="2934"/>
      <c r="N92" s="2934"/>
    </row>
    <row r="93" spans="1:15" ht="15" x14ac:dyDescent="0.25">
      <c r="A93" s="3006"/>
      <c r="B93" s="3007" t="s">
        <v>362</v>
      </c>
      <c r="C93" s="3033" t="s">
        <v>392</v>
      </c>
      <c r="D93" s="3033" t="s">
        <v>18</v>
      </c>
      <c r="E93" s="3194"/>
      <c r="F93" s="3194"/>
      <c r="G93" s="3194"/>
      <c r="H93" s="3194"/>
      <c r="I93" s="2934"/>
      <c r="J93" s="2934"/>
      <c r="K93" s="3194"/>
      <c r="L93" s="2934"/>
      <c r="M93" s="2934"/>
      <c r="N93" s="2934"/>
    </row>
    <row r="94" spans="1:15" ht="14.25" x14ac:dyDescent="0.2">
      <c r="A94" s="3006"/>
      <c r="B94" s="3034">
        <v>2030</v>
      </c>
      <c r="C94" s="3221">
        <f>G88*D94</f>
        <v>3163.8125</v>
      </c>
      <c r="D94" s="3013">
        <f>$L$92*B94+$L$93+D88</f>
        <v>0.2625570539419087</v>
      </c>
      <c r="E94" s="3194"/>
      <c r="F94" s="3194"/>
      <c r="G94" s="3194"/>
      <c r="H94" s="3194"/>
      <c r="I94" s="2934"/>
      <c r="J94" s="2934"/>
      <c r="K94" s="2934"/>
      <c r="L94" s="2934"/>
      <c r="M94" s="2934"/>
      <c r="N94" s="2934"/>
    </row>
    <row r="95" spans="1:15" ht="14.25" x14ac:dyDescent="0.2">
      <c r="A95" s="3006"/>
      <c r="B95" s="3034">
        <v>2050</v>
      </c>
      <c r="C95" s="3221">
        <f>G88*D95</f>
        <v>3163.8125</v>
      </c>
      <c r="D95" s="3013">
        <f>$L$92*B95+$L$93+D88</f>
        <v>0.2625570539419087</v>
      </c>
      <c r="E95" s="3194"/>
      <c r="F95" s="3194"/>
      <c r="G95" s="3194"/>
      <c r="H95" s="3194"/>
      <c r="I95" s="2934"/>
      <c r="J95" s="2934"/>
      <c r="K95" s="2934"/>
      <c r="L95" s="2934"/>
      <c r="M95" s="2934"/>
      <c r="N95" s="2934"/>
    </row>
    <row r="96" spans="1:15" ht="18" x14ac:dyDescent="0.25">
      <c r="A96" s="3006"/>
      <c r="B96" s="3194"/>
      <c r="C96" s="3194"/>
      <c r="D96" s="3194"/>
      <c r="E96" s="3194"/>
      <c r="F96" s="3194"/>
      <c r="G96" s="3194"/>
      <c r="H96" s="3194"/>
      <c r="I96" s="2934"/>
      <c r="J96" s="2934"/>
      <c r="K96" s="2934"/>
      <c r="L96" s="2934"/>
      <c r="M96" s="2934"/>
      <c r="N96" s="2934"/>
      <c r="O96" s="2487"/>
    </row>
    <row r="97" spans="1:14" ht="15.75" x14ac:dyDescent="0.25">
      <c r="A97" s="3006"/>
      <c r="B97" s="3193" t="s">
        <v>5136</v>
      </c>
      <c r="C97" s="3197"/>
      <c r="D97" s="3197"/>
      <c r="E97" s="3194"/>
      <c r="F97" s="3194"/>
      <c r="G97" s="3194"/>
      <c r="H97" s="3194"/>
      <c r="I97" s="2934"/>
      <c r="J97" s="2934"/>
      <c r="K97" s="2934"/>
      <c r="L97" s="2934"/>
      <c r="M97" s="2934"/>
      <c r="N97" s="2934"/>
    </row>
    <row r="98" spans="1:14" ht="15" x14ac:dyDescent="0.25">
      <c r="A98" s="3006"/>
      <c r="B98" s="3007" t="s">
        <v>362</v>
      </c>
      <c r="C98" s="3033" t="s">
        <v>544</v>
      </c>
      <c r="D98" s="3033" t="s">
        <v>18</v>
      </c>
      <c r="E98" s="3194"/>
      <c r="F98" s="3194"/>
      <c r="G98" s="3194"/>
      <c r="H98" s="3194"/>
      <c r="I98" s="2934"/>
      <c r="J98" s="2934"/>
      <c r="K98" s="2934"/>
      <c r="L98" s="2934"/>
      <c r="M98" s="2934"/>
      <c r="N98" s="2934"/>
    </row>
    <row r="99" spans="1:14" ht="14.25" x14ac:dyDescent="0.2">
      <c r="A99" s="3006"/>
      <c r="B99" s="3194" t="s">
        <v>5138</v>
      </c>
      <c r="C99" s="3221">
        <f>D99*G88</f>
        <v>0</v>
      </c>
      <c r="D99" s="3220">
        <f>D94-D88</f>
        <v>0</v>
      </c>
      <c r="E99" s="3194"/>
      <c r="F99" s="3194"/>
      <c r="G99" s="3194"/>
      <c r="H99" s="3194"/>
      <c r="I99" s="2934"/>
      <c r="J99" s="2934"/>
      <c r="K99" s="2934"/>
      <c r="L99" s="2934"/>
      <c r="M99" s="2934"/>
      <c r="N99" s="2934"/>
    </row>
    <row r="100" spans="1:14" ht="14.25" x14ac:dyDescent="0.2">
      <c r="A100" s="3006"/>
      <c r="B100" s="3194" t="s">
        <v>5068</v>
      </c>
      <c r="C100" s="3221">
        <f>D100*G88+C99</f>
        <v>0</v>
      </c>
      <c r="D100" s="3220">
        <f>D95-D94</f>
        <v>0</v>
      </c>
      <c r="E100" s="3194"/>
      <c r="F100" s="3194"/>
      <c r="G100" s="3194"/>
      <c r="H100" s="3194"/>
      <c r="I100" s="2934"/>
      <c r="J100" s="2934"/>
      <c r="K100" s="2934"/>
      <c r="L100" s="2934"/>
      <c r="M100" s="2934"/>
      <c r="N100" s="2934"/>
    </row>
    <row r="101" spans="1:14" ht="14.25" x14ac:dyDescent="0.2">
      <c r="A101" s="3006"/>
      <c r="B101" s="3194"/>
      <c r="C101" s="3194"/>
      <c r="D101" s="3194"/>
      <c r="E101" s="3194"/>
      <c r="F101" s="3194"/>
      <c r="G101" s="3194"/>
      <c r="H101" s="3194"/>
      <c r="I101" s="2934"/>
      <c r="J101" s="2934"/>
      <c r="K101" s="2934"/>
      <c r="L101" s="2934"/>
      <c r="M101" s="2934"/>
      <c r="N101" s="2934"/>
    </row>
    <row r="102" spans="1:14" ht="15.75" x14ac:dyDescent="0.25">
      <c r="A102" s="3006"/>
      <c r="B102" s="3200" t="s">
        <v>5223</v>
      </c>
      <c r="C102" s="3198"/>
      <c r="D102" s="3197" t="s">
        <v>18</v>
      </c>
      <c r="E102" s="3194"/>
      <c r="F102" s="3194"/>
      <c r="G102" s="3194"/>
      <c r="H102" s="3194"/>
      <c r="I102" s="2934"/>
      <c r="J102" s="2934"/>
      <c r="K102" s="2934"/>
      <c r="L102" s="2934"/>
      <c r="M102" s="2934"/>
      <c r="N102" s="2934"/>
    </row>
    <row r="103" spans="1:14" ht="14.25" x14ac:dyDescent="0.2">
      <c r="A103" s="3006"/>
      <c r="B103" s="3194" t="s">
        <v>5138</v>
      </c>
      <c r="C103" s="3012"/>
      <c r="D103" s="3663">
        <f>C99/Reduktionsstiberegner!F15</f>
        <v>0</v>
      </c>
      <c r="E103" s="3194"/>
      <c r="F103" s="3194"/>
      <c r="G103" s="3194"/>
      <c r="H103" s="3194"/>
      <c r="I103" s="2934"/>
      <c r="J103" s="2934"/>
      <c r="K103" s="2934"/>
      <c r="L103" s="2934"/>
      <c r="M103" s="2934"/>
      <c r="N103" s="2934"/>
    </row>
    <row r="104" spans="1:14" ht="14.25" x14ac:dyDescent="0.2">
      <c r="A104" s="3006"/>
      <c r="B104" s="3194" t="s">
        <v>5068</v>
      </c>
      <c r="C104" s="3012"/>
      <c r="D104" s="3663">
        <f>C100/Reduktionsstiberegner!F15</f>
        <v>0</v>
      </c>
      <c r="E104" s="3194"/>
      <c r="F104" s="3194"/>
      <c r="G104" s="3194"/>
      <c r="H104" s="3194"/>
      <c r="I104" s="2934"/>
      <c r="J104" s="2934"/>
      <c r="K104" s="2934"/>
      <c r="L104" s="2934"/>
      <c r="M104" s="2934"/>
      <c r="N104" s="2934"/>
    </row>
    <row r="107" spans="1:14" customFormat="1" ht="18" x14ac:dyDescent="0.25">
      <c r="A107" s="3199" t="s">
        <v>5069</v>
      </c>
      <c r="B107" s="32"/>
    </row>
    <row r="108" spans="1:14" customFormat="1" x14ac:dyDescent="0.2"/>
    <row r="109" spans="1:14" customFormat="1" ht="15" x14ac:dyDescent="0.25">
      <c r="A109" s="2934" t="s">
        <v>4425</v>
      </c>
      <c r="B109" s="3007" t="s">
        <v>5070</v>
      </c>
      <c r="C109" s="3007"/>
      <c r="D109" s="3007">
        <v>2030</v>
      </c>
      <c r="E109" s="3007"/>
    </row>
    <row r="110" spans="1:14" customFormat="1" x14ac:dyDescent="0.2">
      <c r="B110" s="3212"/>
      <c r="C110" s="3212"/>
      <c r="D110" s="3003"/>
      <c r="E110" s="3003"/>
    </row>
    <row r="111" spans="1:14" customFormat="1" x14ac:dyDescent="0.2">
      <c r="B111" s="2934" t="s">
        <v>5071</v>
      </c>
      <c r="D111" s="3003">
        <v>50500</v>
      </c>
      <c r="E111" s="3201" t="s">
        <v>392</v>
      </c>
    </row>
    <row r="112" spans="1:14" customFormat="1" x14ac:dyDescent="0.2">
      <c r="B112" s="2934" t="s">
        <v>5072</v>
      </c>
      <c r="D112" s="3003">
        <v>38000</v>
      </c>
      <c r="E112" s="3201" t="s">
        <v>392</v>
      </c>
    </row>
    <row r="113" spans="1:5" customFormat="1" x14ac:dyDescent="0.2">
      <c r="D113" s="3003"/>
      <c r="E113" s="3003"/>
    </row>
    <row r="114" spans="1:5" customFormat="1" x14ac:dyDescent="0.2">
      <c r="B114" s="2934" t="s">
        <v>4386</v>
      </c>
      <c r="D114" s="3003">
        <f>+D111+D112</f>
        <v>88500</v>
      </c>
      <c r="E114" s="3201" t="s">
        <v>392</v>
      </c>
    </row>
    <row r="115" spans="1:5" customFormat="1" x14ac:dyDescent="0.2">
      <c r="D115" s="3003"/>
      <c r="E115" s="3003"/>
    </row>
    <row r="116" spans="1:5" customFormat="1" x14ac:dyDescent="0.2">
      <c r="B116" s="2934" t="s">
        <v>5124</v>
      </c>
      <c r="D116" s="3003">
        <v>171000</v>
      </c>
      <c r="E116" s="3201" t="s">
        <v>392</v>
      </c>
    </row>
    <row r="117" spans="1:5" customFormat="1" x14ac:dyDescent="0.2">
      <c r="D117" s="3003"/>
      <c r="E117" s="3003"/>
    </row>
    <row r="118" spans="1:5" customFormat="1" x14ac:dyDescent="0.2">
      <c r="B118" s="2934" t="s">
        <v>5073</v>
      </c>
      <c r="D118" s="3204">
        <f>+D114/D116*100</f>
        <v>51.754385964912288</v>
      </c>
      <c r="E118" s="3201" t="s">
        <v>18</v>
      </c>
    </row>
    <row r="119" spans="1:5" customFormat="1" x14ac:dyDescent="0.2">
      <c r="B119" s="3035" t="s">
        <v>5074</v>
      </c>
      <c r="C119" s="2945"/>
      <c r="D119" s="3204">
        <f>+D112/D116*100</f>
        <v>22.222222222222221</v>
      </c>
      <c r="E119" s="3201" t="s">
        <v>18</v>
      </c>
    </row>
    <row r="120" spans="1:5" customFormat="1" x14ac:dyDescent="0.2"/>
    <row r="121" spans="1:5" customFormat="1" x14ac:dyDescent="0.2"/>
    <row r="122" spans="1:5" customFormat="1" ht="15.75" x14ac:dyDescent="0.3">
      <c r="B122" s="3007" t="s">
        <v>5075</v>
      </c>
      <c r="C122" s="3217"/>
      <c r="D122" s="3217">
        <v>170000</v>
      </c>
      <c r="E122" s="3217" t="s">
        <v>5003</v>
      </c>
    </row>
    <row r="123" spans="1:5" customFormat="1" x14ac:dyDescent="0.2">
      <c r="B123" s="3212"/>
      <c r="C123" s="3212"/>
      <c r="D123" s="3003"/>
      <c r="E123" s="3003"/>
    </row>
    <row r="124" spans="1:5" customFormat="1" x14ac:dyDescent="0.2">
      <c r="A124" s="2934" t="s">
        <v>4418</v>
      </c>
      <c r="B124" s="2934" t="s">
        <v>5125</v>
      </c>
      <c r="D124" s="3003">
        <v>19</v>
      </c>
      <c r="E124" s="3201" t="s">
        <v>5076</v>
      </c>
    </row>
    <row r="125" spans="1:5" customFormat="1" x14ac:dyDescent="0.2">
      <c r="D125" s="3003"/>
      <c r="E125" s="3003"/>
    </row>
    <row r="126" spans="1:5" customFormat="1" ht="15.75" x14ac:dyDescent="0.3">
      <c r="B126" s="2934" t="s">
        <v>592</v>
      </c>
      <c r="D126" s="3003">
        <v>2.3E-2</v>
      </c>
      <c r="E126" s="3201" t="s">
        <v>5077</v>
      </c>
    </row>
    <row r="127" spans="1:5" customFormat="1" ht="15.75" x14ac:dyDescent="0.3">
      <c r="B127" s="2934" t="s">
        <v>5078</v>
      </c>
      <c r="D127" s="3204">
        <f>+D124*D126*1000000</f>
        <v>437000</v>
      </c>
      <c r="E127" s="3201" t="s">
        <v>5003</v>
      </c>
    </row>
    <row r="128" spans="1:5" customFormat="1" x14ac:dyDescent="0.2">
      <c r="B128" s="3035" t="s">
        <v>5079</v>
      </c>
      <c r="C128" s="2945"/>
      <c r="D128" s="3204">
        <f>+D122/D127*100</f>
        <v>38.901601830663616</v>
      </c>
      <c r="E128" s="3201" t="s">
        <v>18</v>
      </c>
    </row>
    <row r="129" spans="1:5" customFormat="1" x14ac:dyDescent="0.2"/>
    <row r="130" spans="1:5" customFormat="1" x14ac:dyDescent="0.2"/>
    <row r="131" spans="1:5" customFormat="1" ht="15" x14ac:dyDescent="0.25">
      <c r="B131" s="3007" t="s">
        <v>5080</v>
      </c>
      <c r="C131" s="3217"/>
      <c r="D131" s="3217">
        <v>170000</v>
      </c>
      <c r="E131" s="3217" t="s">
        <v>5081</v>
      </c>
    </row>
    <row r="132" spans="1:5" customFormat="1" x14ac:dyDescent="0.2">
      <c r="B132" s="3213" t="s">
        <v>5082</v>
      </c>
      <c r="C132" s="3212"/>
      <c r="D132" s="3003">
        <v>160000</v>
      </c>
      <c r="E132" s="3201" t="s">
        <v>5083</v>
      </c>
    </row>
    <row r="133" spans="1:5" customFormat="1" x14ac:dyDescent="0.2">
      <c r="A133" s="2934" t="s">
        <v>4417</v>
      </c>
      <c r="D133" s="3003"/>
      <c r="E133" s="3003"/>
    </row>
    <row r="134" spans="1:5" customFormat="1" x14ac:dyDescent="0.2">
      <c r="B134" s="2934" t="s">
        <v>5084</v>
      </c>
      <c r="D134" s="3003">
        <v>570000</v>
      </c>
      <c r="E134" s="3201" t="s">
        <v>5085</v>
      </c>
    </row>
    <row r="135" spans="1:5" customFormat="1" x14ac:dyDescent="0.2">
      <c r="B135" s="2934" t="s">
        <v>5120</v>
      </c>
      <c r="D135" s="3205">
        <f>+'Dyrehold 2018G'!Q8</f>
        <v>188.07</v>
      </c>
      <c r="E135" s="3201" t="s">
        <v>5085</v>
      </c>
    </row>
    <row r="136" spans="1:5" customFormat="1" ht="15.75" x14ac:dyDescent="0.3">
      <c r="B136" s="3035" t="s">
        <v>5086</v>
      </c>
      <c r="C136" s="2945"/>
      <c r="D136" s="3004">
        <f>+D132/D134</f>
        <v>0.2807017543859649</v>
      </c>
      <c r="E136" s="3201" t="s">
        <v>5087</v>
      </c>
    </row>
    <row r="137" spans="1:5" customFormat="1" ht="15.75" x14ac:dyDescent="0.3">
      <c r="B137" s="3035" t="s">
        <v>5127</v>
      </c>
      <c r="C137" s="2945"/>
      <c r="D137" s="3214">
        <f>+D136*D135</f>
        <v>52.791578947368414</v>
      </c>
      <c r="E137" s="3201" t="s">
        <v>5003</v>
      </c>
    </row>
    <row r="138" spans="1:5" customFormat="1" x14ac:dyDescent="0.2">
      <c r="B138" s="3202" t="s">
        <v>5088</v>
      </c>
      <c r="D138" s="3207"/>
      <c r="E138" s="2934"/>
    </row>
    <row r="139" spans="1:5" customFormat="1" x14ac:dyDescent="0.2"/>
    <row r="140" spans="1:5" customFormat="1" ht="15" x14ac:dyDescent="0.25">
      <c r="B140" s="3007" t="s">
        <v>4383</v>
      </c>
      <c r="C140" s="3007"/>
      <c r="D140" s="3007"/>
      <c r="E140" s="3007"/>
    </row>
    <row r="141" spans="1:5" customFormat="1" ht="15.75" x14ac:dyDescent="0.3">
      <c r="B141" s="3213" t="s">
        <v>5089</v>
      </c>
      <c r="C141" s="3212"/>
      <c r="D141" s="2693">
        <v>480000</v>
      </c>
      <c r="E141" s="3201" t="s">
        <v>5003</v>
      </c>
    </row>
    <row r="142" spans="1:5" customFormat="1" x14ac:dyDescent="0.2">
      <c r="A142" s="2934" t="s">
        <v>4414</v>
      </c>
      <c r="B142" s="2934" t="s">
        <v>5122</v>
      </c>
      <c r="D142" s="3208">
        <f>+Reduktionsstiberegner!F12</f>
        <v>1643.01</v>
      </c>
      <c r="E142" s="3201" t="s">
        <v>392</v>
      </c>
    </row>
    <row r="143" spans="1:5" customFormat="1" x14ac:dyDescent="0.2">
      <c r="B143" s="3035" t="s">
        <v>5123</v>
      </c>
      <c r="C143" s="2945"/>
      <c r="D143" s="2693">
        <v>2283702</v>
      </c>
      <c r="E143" s="3201" t="s">
        <v>392</v>
      </c>
    </row>
    <row r="144" spans="1:5" customFormat="1" ht="15.75" x14ac:dyDescent="0.3">
      <c r="B144" s="3035" t="s">
        <v>5121</v>
      </c>
      <c r="C144" s="2945"/>
      <c r="D144" s="3215">
        <f>+D142/D143*D141</f>
        <v>345.33612529130335</v>
      </c>
      <c r="E144" s="3201" t="s">
        <v>5003</v>
      </c>
    </row>
    <row r="145" spans="1:6" customFormat="1" x14ac:dyDescent="0.2"/>
    <row r="146" spans="1:6" customFormat="1" x14ac:dyDescent="0.2"/>
    <row r="147" spans="1:6" customFormat="1" ht="15.75" x14ac:dyDescent="0.3">
      <c r="B147" s="3007" t="s">
        <v>5090</v>
      </c>
      <c r="C147" s="3217"/>
      <c r="D147" s="3217">
        <v>380000</v>
      </c>
      <c r="E147" s="3217" t="s">
        <v>5003</v>
      </c>
    </row>
    <row r="148" spans="1:6" customFormat="1" x14ac:dyDescent="0.2">
      <c r="B148" s="3212"/>
      <c r="C148" s="3212"/>
      <c r="D148" s="3003"/>
      <c r="E148" s="3003"/>
    </row>
    <row r="149" spans="1:6" customFormat="1" ht="15" x14ac:dyDescent="0.25">
      <c r="A149" s="2934" t="s">
        <v>4412</v>
      </c>
      <c r="B149" s="2934" t="s">
        <v>5122</v>
      </c>
      <c r="D149" s="3209">
        <f>+D142</f>
        <v>1643.01</v>
      </c>
      <c r="E149" s="3201" t="s">
        <v>392</v>
      </c>
    </row>
    <row r="150" spans="1:6" customFormat="1" x14ac:dyDescent="0.2">
      <c r="B150" s="2934" t="s">
        <v>5123</v>
      </c>
      <c r="D150" s="3003">
        <v>2283702</v>
      </c>
      <c r="E150" s="3201" t="s">
        <v>392</v>
      </c>
    </row>
    <row r="151" spans="1:6" customFormat="1" x14ac:dyDescent="0.2">
      <c r="D151" s="3003"/>
      <c r="E151" s="3003"/>
    </row>
    <row r="152" spans="1:6" customFormat="1" ht="15.75" x14ac:dyDescent="0.3">
      <c r="B152" s="2934" t="s">
        <v>5091</v>
      </c>
      <c r="D152" s="3003">
        <f>+D147/D150</f>
        <v>0.16639649131103795</v>
      </c>
      <c r="E152" s="3201" t="s">
        <v>5003</v>
      </c>
    </row>
    <row r="153" spans="1:6" customFormat="1" x14ac:dyDescent="0.2">
      <c r="B153" s="2945"/>
      <c r="C153" s="2945"/>
      <c r="D153" s="3003"/>
      <c r="E153" s="3003"/>
    </row>
    <row r="154" spans="1:6" customFormat="1" ht="15.75" x14ac:dyDescent="0.3">
      <c r="B154" s="2934" t="s">
        <v>5126</v>
      </c>
      <c r="D154" s="3216">
        <f>+D149*D152</f>
        <v>273.39109918894849</v>
      </c>
      <c r="E154" s="3201" t="s">
        <v>5003</v>
      </c>
    </row>
    <row r="155" spans="1:6" customFormat="1" x14ac:dyDescent="0.2">
      <c r="B155" s="2945"/>
      <c r="C155" s="2945"/>
      <c r="D155" s="3003"/>
      <c r="E155" s="3003"/>
      <c r="F155" s="3"/>
    </row>
    <row r="156" spans="1:6" customFormat="1" x14ac:dyDescent="0.2">
      <c r="B156" s="3203" t="s">
        <v>5092</v>
      </c>
    </row>
    <row r="157" spans="1:6" customFormat="1" x14ac:dyDescent="0.2"/>
    <row r="158" spans="1:6" customFormat="1" x14ac:dyDescent="0.2"/>
    <row r="159" spans="1:6" customFormat="1" ht="15.75" x14ac:dyDescent="0.3">
      <c r="B159" s="3007" t="s">
        <v>5093</v>
      </c>
      <c r="C159" s="3217"/>
      <c r="D159" s="3217">
        <v>640000</v>
      </c>
      <c r="E159" s="3217" t="s">
        <v>5003</v>
      </c>
    </row>
    <row r="160" spans="1:6" customFormat="1" x14ac:dyDescent="0.2">
      <c r="D160" s="3003"/>
      <c r="E160" s="3003"/>
    </row>
    <row r="161" spans="1:5" customFormat="1" x14ac:dyDescent="0.2">
      <c r="A161" s="2934" t="s">
        <v>4407</v>
      </c>
      <c r="B161" s="2934" t="s">
        <v>5094</v>
      </c>
      <c r="D161" s="3003">
        <v>776406</v>
      </c>
      <c r="E161" s="3201" t="s">
        <v>392</v>
      </c>
    </row>
    <row r="162" spans="1:5" customFormat="1" x14ac:dyDescent="0.2">
      <c r="D162" s="3003"/>
      <c r="E162" s="3003"/>
    </row>
    <row r="163" spans="1:5" customFormat="1" ht="15.75" x14ac:dyDescent="0.3">
      <c r="B163" s="2934" t="s">
        <v>5095</v>
      </c>
      <c r="D163" s="3004">
        <f>+D159/D161</f>
        <v>0.82431099192948021</v>
      </c>
      <c r="E163" s="3201" t="s">
        <v>5096</v>
      </c>
    </row>
    <row r="164" spans="1:5" customFormat="1" x14ac:dyDescent="0.2">
      <c r="D164" s="3003"/>
      <c r="E164" s="3003"/>
    </row>
    <row r="165" spans="1:5" customFormat="1" x14ac:dyDescent="0.2">
      <c r="D165" s="3003"/>
      <c r="E165" s="3003"/>
    </row>
    <row r="166" spans="1:5" customFormat="1" x14ac:dyDescent="0.2">
      <c r="B166" s="2934" t="s">
        <v>5097</v>
      </c>
      <c r="D166" s="3003">
        <v>1</v>
      </c>
      <c r="E166" s="3003"/>
    </row>
    <row r="167" spans="1:5" customFormat="1" x14ac:dyDescent="0.2">
      <c r="B167" s="2934" t="s">
        <v>5128</v>
      </c>
      <c r="D167" s="3205">
        <f>+Reduktionsstiberegner!F23</f>
        <v>812.94</v>
      </c>
      <c r="E167" s="3201" t="s">
        <v>392</v>
      </c>
    </row>
    <row r="168" spans="1:5" customFormat="1" x14ac:dyDescent="0.2">
      <c r="B168" s="2945"/>
      <c r="C168" s="2945"/>
      <c r="D168" s="3003"/>
      <c r="E168" s="3003"/>
    </row>
    <row r="169" spans="1:5" customFormat="1" ht="15.75" x14ac:dyDescent="0.3">
      <c r="B169" s="3035" t="s">
        <v>5098</v>
      </c>
      <c r="C169" s="2945"/>
      <c r="D169" s="3214">
        <f>+D167*D166*D163</f>
        <v>670.11537777915169</v>
      </c>
      <c r="E169" s="3201" t="s">
        <v>5003</v>
      </c>
    </row>
    <row r="170" spans="1:5" customFormat="1" x14ac:dyDescent="0.2"/>
    <row r="171" spans="1:5" customFormat="1" x14ac:dyDescent="0.2"/>
    <row r="172" spans="1:5" customFormat="1" x14ac:dyDescent="0.2"/>
    <row r="173" spans="1:5" customFormat="1" ht="15" x14ac:dyDescent="0.25">
      <c r="B173" s="3007" t="s">
        <v>4382</v>
      </c>
      <c r="C173" s="3007"/>
      <c r="D173" s="3007"/>
      <c r="E173" s="3007"/>
    </row>
    <row r="174" spans="1:5" customFormat="1" ht="15.75" x14ac:dyDescent="0.3">
      <c r="B174" s="3213" t="s">
        <v>4381</v>
      </c>
      <c r="C174" s="3212"/>
      <c r="D174" s="3003">
        <v>500000</v>
      </c>
      <c r="E174" s="3201" t="s">
        <v>5003</v>
      </c>
    </row>
    <row r="175" spans="1:5" customFormat="1" x14ac:dyDescent="0.2">
      <c r="D175" s="3003"/>
      <c r="E175" s="3003"/>
    </row>
    <row r="176" spans="1:5" customFormat="1" x14ac:dyDescent="0.2">
      <c r="B176" s="2934" t="s">
        <v>4380</v>
      </c>
      <c r="D176" s="3003">
        <v>310000</v>
      </c>
      <c r="E176" s="3201" t="s">
        <v>392</v>
      </c>
    </row>
    <row r="177" spans="2:5" customFormat="1" x14ac:dyDescent="0.2">
      <c r="D177" s="3003"/>
      <c r="E177" s="3003"/>
    </row>
    <row r="178" spans="2:5" customFormat="1" ht="15.75" x14ac:dyDescent="0.3">
      <c r="B178" s="2934" t="s">
        <v>4379</v>
      </c>
      <c r="D178" s="3004">
        <f>+D174/D176</f>
        <v>1.6129032258064515</v>
      </c>
      <c r="E178" s="3201" t="s">
        <v>5003</v>
      </c>
    </row>
    <row r="179" spans="2:5" customFormat="1" x14ac:dyDescent="0.2">
      <c r="D179" s="3003"/>
      <c r="E179" s="3003"/>
    </row>
    <row r="180" spans="2:5" customFormat="1" x14ac:dyDescent="0.2">
      <c r="B180" s="2934" t="s">
        <v>5099</v>
      </c>
      <c r="D180" s="3210">
        <v>89.493210219673571</v>
      </c>
      <c r="E180" s="3201" t="s">
        <v>5100</v>
      </c>
    </row>
    <row r="181" spans="2:5" customFormat="1" x14ac:dyDescent="0.2">
      <c r="B181" s="2934" t="s">
        <v>5101</v>
      </c>
      <c r="D181" s="3210">
        <f>+D180*0.25</f>
        <v>22.373302554918393</v>
      </c>
      <c r="E181" s="3201" t="s">
        <v>5100</v>
      </c>
    </row>
    <row r="182" spans="2:5" customFormat="1" ht="15" x14ac:dyDescent="0.25">
      <c r="B182" s="2934" t="s">
        <v>5129</v>
      </c>
      <c r="D182" s="3209">
        <f>Reduktionsstiberegner!F21</f>
        <v>473.67171000000008</v>
      </c>
      <c r="E182" s="3201" t="s">
        <v>553</v>
      </c>
    </row>
    <row r="183" spans="2:5" customFormat="1" x14ac:dyDescent="0.2">
      <c r="D183" s="3003"/>
      <c r="E183" s="3003"/>
    </row>
    <row r="184" spans="2:5" customFormat="1" ht="15.75" x14ac:dyDescent="0.3">
      <c r="B184" s="2934" t="s">
        <v>5102</v>
      </c>
      <c r="D184" s="3004">
        <f>0.01*D180*44/28*298/1000</f>
        <v>0.41908391871441419</v>
      </c>
      <c r="E184" s="3201" t="s">
        <v>5096</v>
      </c>
    </row>
    <row r="185" spans="2:5" customFormat="1" ht="15.75" x14ac:dyDescent="0.3">
      <c r="B185" s="2934" t="s">
        <v>5103</v>
      </c>
      <c r="D185" s="3211">
        <f>+D180*0.05*0.01/1000*44/28</f>
        <v>7.0316093744029231E-5</v>
      </c>
      <c r="E185" s="3201" t="s">
        <v>5096</v>
      </c>
    </row>
    <row r="186" spans="2:5" customFormat="1" ht="15.75" x14ac:dyDescent="0.3">
      <c r="B186" s="2934" t="s">
        <v>297</v>
      </c>
      <c r="D186" s="3004">
        <f>+D181*0.0075*298/1000*44/28</f>
        <v>7.8578234758952661E-2</v>
      </c>
      <c r="E186" s="3201" t="s">
        <v>5096</v>
      </c>
    </row>
    <row r="187" spans="2:5" customFormat="1" ht="15.75" x14ac:dyDescent="0.3">
      <c r="B187" s="2934" t="s">
        <v>5104</v>
      </c>
      <c r="D187" s="3004">
        <f>1.54*0.2</f>
        <v>0.30800000000000005</v>
      </c>
      <c r="E187" s="3201" t="s">
        <v>5096</v>
      </c>
    </row>
    <row r="188" spans="2:5" customFormat="1" x14ac:dyDescent="0.2">
      <c r="B188" s="2934"/>
      <c r="D188" s="3004"/>
      <c r="E188" s="3201"/>
    </row>
    <row r="189" spans="2:5" customFormat="1" ht="15.75" x14ac:dyDescent="0.3">
      <c r="B189" s="2934" t="s">
        <v>5105</v>
      </c>
      <c r="D189" s="3004">
        <f>+D184+D185+D186+D187</f>
        <v>0.80573246956711086</v>
      </c>
      <c r="E189" s="3201" t="s">
        <v>5096</v>
      </c>
    </row>
    <row r="190" spans="2:5" customFormat="1" ht="15.75" x14ac:dyDescent="0.3">
      <c r="B190" s="2934" t="s">
        <v>5106</v>
      </c>
      <c r="D190" s="3004">
        <f>+D163</f>
        <v>0.82431099192948021</v>
      </c>
      <c r="E190" s="3201" t="s">
        <v>5096</v>
      </c>
    </row>
    <row r="191" spans="2:5" customFormat="1" ht="15.75" x14ac:dyDescent="0.3">
      <c r="B191" s="2934" t="s">
        <v>5107</v>
      </c>
      <c r="D191" s="3004">
        <f>+D189+D190</f>
        <v>1.6300434614965911</v>
      </c>
      <c r="E191" s="3201" t="s">
        <v>5096</v>
      </c>
    </row>
    <row r="192" spans="2:5" customFormat="1" x14ac:dyDescent="0.2">
      <c r="D192" s="3003"/>
      <c r="E192" s="3003"/>
    </row>
    <row r="193" spans="2:5" customFormat="1" x14ac:dyDescent="0.2">
      <c r="B193" s="2934" t="s">
        <v>5108</v>
      </c>
      <c r="D193" s="3204">
        <f>+D176/D150*D149</f>
        <v>223.02958091730005</v>
      </c>
      <c r="E193" s="3201" t="s">
        <v>392</v>
      </c>
    </row>
    <row r="194" spans="2:5" customFormat="1" x14ac:dyDescent="0.2">
      <c r="B194" s="3035" t="s">
        <v>5109</v>
      </c>
      <c r="C194" s="2945"/>
      <c r="D194" s="3204">
        <f>+D193*0.2</f>
        <v>44.60591618346001</v>
      </c>
      <c r="E194" s="3201" t="s">
        <v>392</v>
      </c>
    </row>
    <row r="195" spans="2:5" customFormat="1" ht="15.75" x14ac:dyDescent="0.3">
      <c r="B195" s="3002" t="s">
        <v>5110</v>
      </c>
      <c r="C195" s="3003"/>
      <c r="D195" s="3206">
        <f>+D193*D191</f>
        <v>363.54791009456983</v>
      </c>
      <c r="E195" s="3201" t="s">
        <v>5003</v>
      </c>
    </row>
    <row r="196" spans="2:5" customFormat="1" x14ac:dyDescent="0.2">
      <c r="B196" s="3203" t="s">
        <v>5111</v>
      </c>
    </row>
    <row r="197" spans="2:5" customFormat="1" x14ac:dyDescent="0.2"/>
    <row r="198" spans="2:5" customFormat="1" ht="15.75" x14ac:dyDescent="0.3">
      <c r="B198" s="3007" t="s">
        <v>4378</v>
      </c>
      <c r="C198" s="3217"/>
      <c r="D198" s="3217">
        <v>2000000</v>
      </c>
      <c r="E198" s="3217" t="s">
        <v>5003</v>
      </c>
    </row>
    <row r="199" spans="2:5" customFormat="1" ht="15.75" x14ac:dyDescent="0.3">
      <c r="B199" s="3213" t="s">
        <v>4377</v>
      </c>
      <c r="C199" s="3212"/>
      <c r="D199" s="3004">
        <f>+D198/D150</f>
        <v>0.87577100690019971</v>
      </c>
      <c r="E199" s="3201" t="s">
        <v>5096</v>
      </c>
    </row>
    <row r="200" spans="2:5" customFormat="1" ht="15.75" x14ac:dyDescent="0.3">
      <c r="B200" s="2934" t="s">
        <v>4376</v>
      </c>
      <c r="D200" s="3003">
        <v>25</v>
      </c>
      <c r="E200" s="3201" t="s">
        <v>5096</v>
      </c>
    </row>
    <row r="201" spans="2:5" customFormat="1" ht="15.75" x14ac:dyDescent="0.3">
      <c r="B201" s="2934" t="s">
        <v>4375</v>
      </c>
      <c r="D201" s="3003">
        <f>+D200/20</f>
        <v>1.25</v>
      </c>
      <c r="E201" s="3201" t="s">
        <v>5096</v>
      </c>
    </row>
    <row r="202" spans="2:5" customFormat="1" x14ac:dyDescent="0.2">
      <c r="B202" s="2934" t="s">
        <v>4374</v>
      </c>
      <c r="D202" s="3210">
        <f>+D200/D201</f>
        <v>20</v>
      </c>
      <c r="E202" s="3201" t="s">
        <v>392</v>
      </c>
    </row>
    <row r="203" spans="2:5" customFormat="1" x14ac:dyDescent="0.2">
      <c r="B203" s="3035" t="s">
        <v>4373</v>
      </c>
      <c r="C203" s="2945"/>
      <c r="D203" s="3204">
        <f>+D149/D202</f>
        <v>82.150499999999994</v>
      </c>
      <c r="E203" s="3201" t="s">
        <v>392</v>
      </c>
    </row>
    <row r="204" spans="2:5" customFormat="1" x14ac:dyDescent="0.2">
      <c r="B204" s="3201" t="s">
        <v>4372</v>
      </c>
      <c r="C204" s="3003"/>
      <c r="D204" s="3206">
        <f>+D199/D201*D203</f>
        <v>57.556020881883882</v>
      </c>
      <c r="E204" s="3201" t="s">
        <v>392</v>
      </c>
    </row>
  </sheetData>
  <sheetProtection selectLockedCells="1" selectUnlockedCells="1"/>
  <protectedRanges>
    <protectedRange sqref="D149 D142" name="Potentialer_2"/>
    <protectedRange sqref="D182" name="Potentialer_1_1"/>
  </protectedRanges>
  <mergeCells count="1">
    <mergeCell ref="G86:H86"/>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66F43-DA7F-4233-B46F-D3B2533B358C}">
  <sheetPr codeName="Ark165">
    <tabColor theme="3" tint="0.59999389629810485"/>
  </sheetPr>
  <dimension ref="A1:C35"/>
  <sheetViews>
    <sheetView workbookViewId="0">
      <selection activeCell="C2" sqref="C2:C35"/>
    </sheetView>
  </sheetViews>
  <sheetFormatPr defaultColWidth="8.85546875" defaultRowHeight="15" x14ac:dyDescent="0.25"/>
  <cols>
    <col min="1" max="1" width="15.28515625" style="1143" customWidth="1"/>
    <col min="2" max="2" width="45.140625" style="992" customWidth="1"/>
    <col min="3" max="3" width="13.42578125" style="992" customWidth="1"/>
    <col min="4" max="16384" width="8.85546875" style="992"/>
  </cols>
  <sheetData>
    <row r="1" spans="1:3" x14ac:dyDescent="0.25">
      <c r="A1" s="4097" t="str">
        <f>C2</f>
        <v>Læsø</v>
      </c>
      <c r="B1" s="2706"/>
      <c r="C1" s="2706"/>
    </row>
    <row r="2" spans="1:3" x14ac:dyDescent="0.25">
      <c r="A2" s="2707" t="s">
        <v>2415</v>
      </c>
      <c r="B2" s="2706" t="s">
        <v>2380</v>
      </c>
      <c r="C2" t="s">
        <v>5385</v>
      </c>
    </row>
    <row r="3" spans="1:3" x14ac:dyDescent="0.25">
      <c r="A3" s="2707">
        <v>0</v>
      </c>
      <c r="B3" s="2706" t="s">
        <v>2414</v>
      </c>
      <c r="C3">
        <v>0</v>
      </c>
    </row>
    <row r="4" spans="1:3" x14ac:dyDescent="0.25">
      <c r="A4" s="2707">
        <v>1312010</v>
      </c>
      <c r="B4" s="2706" t="s">
        <v>2413</v>
      </c>
      <c r="C4">
        <v>0</v>
      </c>
    </row>
    <row r="5" spans="1:3" x14ac:dyDescent="0.25">
      <c r="A5" s="2707">
        <v>1312020</v>
      </c>
      <c r="B5" s="2706" t="s">
        <v>2412</v>
      </c>
      <c r="C5">
        <v>0</v>
      </c>
    </row>
    <row r="6" spans="1:3" x14ac:dyDescent="0.25">
      <c r="A6" s="2707">
        <v>1312030</v>
      </c>
      <c r="B6" s="2706" t="s">
        <v>2411</v>
      </c>
      <c r="C6">
        <v>0</v>
      </c>
    </row>
    <row r="7" spans="1:3" x14ac:dyDescent="0.25">
      <c r="A7" s="2707">
        <v>1312080</v>
      </c>
      <c r="B7" s="2706" t="s">
        <v>2410</v>
      </c>
      <c r="C7">
        <v>0</v>
      </c>
    </row>
    <row r="8" spans="1:3" x14ac:dyDescent="0.25">
      <c r="A8" s="2707">
        <v>1317010</v>
      </c>
      <c r="B8" s="2706" t="s">
        <v>2409</v>
      </c>
      <c r="C8">
        <v>7.875</v>
      </c>
    </row>
    <row r="9" spans="1:3" x14ac:dyDescent="0.25">
      <c r="A9" s="2707">
        <v>1317020</v>
      </c>
      <c r="B9" s="2706" t="s">
        <v>2408</v>
      </c>
      <c r="C9">
        <v>0</v>
      </c>
    </row>
    <row r="10" spans="1:3" x14ac:dyDescent="0.25">
      <c r="A10" s="2707">
        <v>1317030</v>
      </c>
      <c r="B10" s="2706" t="s">
        <v>2407</v>
      </c>
      <c r="C10">
        <v>0</v>
      </c>
    </row>
    <row r="11" spans="1:3" x14ac:dyDescent="0.25">
      <c r="A11" s="2707">
        <v>1317080</v>
      </c>
      <c r="B11" s="2706" t="s">
        <v>2406</v>
      </c>
      <c r="C11">
        <v>0</v>
      </c>
    </row>
    <row r="12" spans="1:3" x14ac:dyDescent="0.25">
      <c r="A12" s="2707">
        <v>1412010</v>
      </c>
      <c r="B12" s="2706" t="s">
        <v>2405</v>
      </c>
      <c r="C12">
        <v>0</v>
      </c>
    </row>
    <row r="13" spans="1:3" x14ac:dyDescent="0.25">
      <c r="A13" s="2707">
        <v>1412020</v>
      </c>
      <c r="B13" s="2706" t="s">
        <v>2404</v>
      </c>
      <c r="C13">
        <v>0</v>
      </c>
    </row>
    <row r="14" spans="1:3" x14ac:dyDescent="0.25">
      <c r="A14" s="2707">
        <v>1412030</v>
      </c>
      <c r="B14" s="2706" t="s">
        <v>2403</v>
      </c>
      <c r="C14">
        <v>0</v>
      </c>
    </row>
    <row r="15" spans="1:3" x14ac:dyDescent="0.25">
      <c r="A15" s="2707">
        <v>1412080</v>
      </c>
      <c r="B15" s="2706" t="s">
        <v>2402</v>
      </c>
      <c r="C15">
        <v>0</v>
      </c>
    </row>
    <row r="16" spans="1:3" x14ac:dyDescent="0.25">
      <c r="A16" s="2707">
        <v>1417010</v>
      </c>
      <c r="B16" s="2706" t="s">
        <v>2401</v>
      </c>
      <c r="C16">
        <v>0</v>
      </c>
    </row>
    <row r="17" spans="1:3" x14ac:dyDescent="0.25">
      <c r="A17" s="2707">
        <v>1417020</v>
      </c>
      <c r="B17" s="2706" t="s">
        <v>2400</v>
      </c>
      <c r="C17">
        <v>0</v>
      </c>
    </row>
    <row r="18" spans="1:3" x14ac:dyDescent="0.25">
      <c r="A18" s="2707">
        <v>1417030</v>
      </c>
      <c r="B18" s="2706" t="s">
        <v>2399</v>
      </c>
      <c r="C18">
        <v>0</v>
      </c>
    </row>
    <row r="19" spans="1:3" x14ac:dyDescent="0.25">
      <c r="A19" s="2707">
        <v>1417080</v>
      </c>
      <c r="B19" s="2706" t="s">
        <v>2398</v>
      </c>
      <c r="C19">
        <v>0</v>
      </c>
    </row>
    <row r="20" spans="1:3" x14ac:dyDescent="0.25">
      <c r="A20" s="2707">
        <v>1512010</v>
      </c>
      <c r="B20" s="2706" t="s">
        <v>2397</v>
      </c>
      <c r="C20">
        <v>0.4375</v>
      </c>
    </row>
    <row r="21" spans="1:3" x14ac:dyDescent="0.25">
      <c r="A21" s="2707">
        <v>1512020</v>
      </c>
      <c r="B21" s="2706" t="s">
        <v>2396</v>
      </c>
      <c r="C21">
        <v>0</v>
      </c>
    </row>
    <row r="22" spans="1:3" x14ac:dyDescent="0.25">
      <c r="A22" s="2707">
        <v>1512030</v>
      </c>
      <c r="B22" s="2706" t="s">
        <v>2395</v>
      </c>
      <c r="C22">
        <v>0</v>
      </c>
    </row>
    <row r="23" spans="1:3" x14ac:dyDescent="0.25">
      <c r="A23" s="2707">
        <v>1512080</v>
      </c>
      <c r="B23" s="2706" t="s">
        <v>2394</v>
      </c>
      <c r="C23">
        <v>0</v>
      </c>
    </row>
    <row r="24" spans="1:3" x14ac:dyDescent="0.25">
      <c r="A24" s="2707">
        <v>1517010</v>
      </c>
      <c r="B24" s="2706" t="s">
        <v>2393</v>
      </c>
      <c r="C24">
        <v>0.8125</v>
      </c>
    </row>
    <row r="25" spans="1:3" x14ac:dyDescent="0.25">
      <c r="A25" s="2707">
        <v>1517020</v>
      </c>
      <c r="B25" s="2706" t="s">
        <v>2392</v>
      </c>
      <c r="C25">
        <v>0</v>
      </c>
    </row>
    <row r="26" spans="1:3" x14ac:dyDescent="0.25">
      <c r="A26" s="2707">
        <v>1517030</v>
      </c>
      <c r="B26" s="2706" t="s">
        <v>2391</v>
      </c>
      <c r="C26">
        <v>0</v>
      </c>
    </row>
    <row r="27" spans="1:3" x14ac:dyDescent="0.25">
      <c r="A27" s="2707">
        <v>1517080</v>
      </c>
      <c r="B27" s="2706" t="s">
        <v>2390</v>
      </c>
      <c r="C27">
        <v>6.25E-2</v>
      </c>
    </row>
    <row r="28" spans="1:3" x14ac:dyDescent="0.25">
      <c r="A28" s="2707">
        <v>1612010</v>
      </c>
      <c r="B28" s="2706" t="s">
        <v>2389</v>
      </c>
      <c r="C28">
        <v>6.25E-2</v>
      </c>
    </row>
    <row r="29" spans="1:3" x14ac:dyDescent="0.25">
      <c r="A29" s="2707">
        <v>1612020</v>
      </c>
      <c r="B29" s="2706" t="s">
        <v>2388</v>
      </c>
      <c r="C29">
        <v>0</v>
      </c>
    </row>
    <row r="30" spans="1:3" x14ac:dyDescent="0.25">
      <c r="A30" s="2707">
        <v>1612030</v>
      </c>
      <c r="B30" s="2706" t="s">
        <v>2387</v>
      </c>
      <c r="C30">
        <v>0</v>
      </c>
    </row>
    <row r="31" spans="1:3" x14ac:dyDescent="0.25">
      <c r="A31" s="2707">
        <v>1612080</v>
      </c>
      <c r="B31" s="2706" t="s">
        <v>2386</v>
      </c>
      <c r="C31">
        <v>0</v>
      </c>
    </row>
    <row r="32" spans="1:3" x14ac:dyDescent="0.25">
      <c r="A32" s="2707">
        <v>1617010</v>
      </c>
      <c r="B32" s="2706" t="s">
        <v>2385</v>
      </c>
      <c r="C32">
        <v>9.8125</v>
      </c>
    </row>
    <row r="33" spans="1:3" x14ac:dyDescent="0.25">
      <c r="A33" s="2707">
        <v>1617020</v>
      </c>
      <c r="B33" s="2706" t="s">
        <v>2384</v>
      </c>
      <c r="C33">
        <v>0</v>
      </c>
    </row>
    <row r="34" spans="1:3" x14ac:dyDescent="0.25">
      <c r="A34" s="2707">
        <v>1617030</v>
      </c>
      <c r="B34" s="2706" t="s">
        <v>2383</v>
      </c>
      <c r="C34">
        <v>0</v>
      </c>
    </row>
    <row r="35" spans="1:3" x14ac:dyDescent="0.25">
      <c r="A35" s="2707">
        <v>1617080</v>
      </c>
      <c r="B35" s="2706" t="s">
        <v>2382</v>
      </c>
      <c r="C35">
        <v>1.3125</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F7876-ED7D-48DE-A2E3-93BB5DCB845D}">
  <sheetPr codeName="Ark166">
    <tabColor theme="3" tint="0.59999389629810485"/>
  </sheetPr>
  <dimension ref="B1:I103"/>
  <sheetViews>
    <sheetView zoomScale="130" zoomScaleNormal="130" workbookViewId="0">
      <selection activeCell="G13" sqref="G13"/>
    </sheetView>
  </sheetViews>
  <sheetFormatPr defaultColWidth="9.140625" defaultRowHeight="15" x14ac:dyDescent="0.25"/>
  <cols>
    <col min="1" max="1" width="17.42578125" style="632" customWidth="1"/>
    <col min="2" max="2" width="21.7109375" style="632" customWidth="1"/>
    <col min="3" max="3" width="22.5703125" style="632" customWidth="1"/>
    <col min="4" max="4" width="15.85546875" style="632" customWidth="1"/>
    <col min="5" max="5" width="10" style="632" bestFit="1" customWidth="1"/>
    <col min="6" max="7" width="9.140625" style="632"/>
    <col min="8" max="8" width="11.42578125" style="632" customWidth="1"/>
    <col min="9" max="9" width="10.5703125" style="632" customWidth="1"/>
    <col min="10" max="16384" width="9.140625" style="632"/>
  </cols>
  <sheetData>
    <row r="1" spans="2:9" ht="15" customHeight="1" x14ac:dyDescent="0.25">
      <c r="H1" s="949"/>
      <c r="I1" s="949"/>
    </row>
    <row r="2" spans="2:9" x14ac:dyDescent="0.25">
      <c r="B2" s="950" t="s">
        <v>4741</v>
      </c>
      <c r="H2" s="949"/>
      <c r="I2" s="949"/>
    </row>
    <row r="3" spans="2:9" x14ac:dyDescent="0.25">
      <c r="B3" s="4216" t="s">
        <v>5386</v>
      </c>
      <c r="C3" s="5409" t="s">
        <v>2097</v>
      </c>
      <c r="D3" s="5409"/>
      <c r="E3" s="5409"/>
      <c r="F3" s="5409"/>
      <c r="H3" s="949"/>
      <c r="I3" s="949"/>
    </row>
    <row r="4" spans="2:9" x14ac:dyDescent="0.25">
      <c r="B4" s="4216" t="s">
        <v>2096</v>
      </c>
      <c r="C4" s="4216" t="s">
        <v>2095</v>
      </c>
      <c r="D4" s="4216" t="s">
        <v>2094</v>
      </c>
      <c r="E4" s="4216" t="s">
        <v>2093</v>
      </c>
      <c r="F4" s="4216" t="s">
        <v>2092</v>
      </c>
      <c r="H4" s="949"/>
      <c r="I4" s="949"/>
    </row>
    <row r="5" spans="2:9" x14ac:dyDescent="0.25">
      <c r="B5" s="4215" t="s">
        <v>2091</v>
      </c>
      <c r="C5" s="4215">
        <v>16.184999999999999</v>
      </c>
      <c r="D5" s="4215">
        <v>0</v>
      </c>
      <c r="E5" s="4215">
        <v>0</v>
      </c>
      <c r="F5" s="4215">
        <v>0</v>
      </c>
      <c r="H5" s="949"/>
      <c r="I5" s="949"/>
    </row>
    <row r="6" spans="2:9" x14ac:dyDescent="0.25">
      <c r="B6" s="4215" t="s">
        <v>1377</v>
      </c>
      <c r="C6" s="4215">
        <v>1999.9175</v>
      </c>
      <c r="D6" s="4215">
        <v>0</v>
      </c>
      <c r="E6" s="4215">
        <v>0</v>
      </c>
      <c r="F6" s="4215">
        <v>0.215</v>
      </c>
      <c r="H6" s="949"/>
      <c r="I6" s="949"/>
    </row>
    <row r="7" spans="2:9" ht="15" customHeight="1" x14ac:dyDescent="0.25">
      <c r="B7" s="4215" t="s">
        <v>1399</v>
      </c>
      <c r="C7" s="4215">
        <v>695.16750000000002</v>
      </c>
      <c r="D7" s="4215">
        <v>0</v>
      </c>
      <c r="E7" s="4215">
        <v>0</v>
      </c>
      <c r="F7" s="4215">
        <v>29.247499999999999</v>
      </c>
      <c r="H7" s="949"/>
      <c r="I7" s="949"/>
    </row>
    <row r="8" spans="2:9" x14ac:dyDescent="0.25">
      <c r="B8" s="4215" t="s">
        <v>2090</v>
      </c>
      <c r="C8" s="4215">
        <v>2589.4650000000001</v>
      </c>
      <c r="D8" s="4215">
        <v>0.2475</v>
      </c>
      <c r="E8" s="4215">
        <v>0</v>
      </c>
      <c r="F8" s="4215">
        <v>155.18</v>
      </c>
      <c r="H8" s="949"/>
      <c r="I8" s="949"/>
    </row>
    <row r="9" spans="2:9" x14ac:dyDescent="0.25">
      <c r="H9" s="949"/>
      <c r="I9" s="949"/>
    </row>
    <row r="10" spans="2:9" x14ac:dyDescent="0.25">
      <c r="H10" s="949"/>
      <c r="I10" s="949"/>
    </row>
    <row r="11" spans="2:9" x14ac:dyDescent="0.25">
      <c r="B11" s="949"/>
      <c r="C11" s="4092"/>
      <c r="D11" s="4092"/>
      <c r="E11" s="4092"/>
      <c r="F11" s="4092"/>
    </row>
    <row r="12" spans="2:9" x14ac:dyDescent="0.25">
      <c r="B12" s="949"/>
      <c r="C12" s="4092"/>
      <c r="D12" s="4092"/>
      <c r="E12" s="4092"/>
      <c r="F12" s="4092"/>
    </row>
    <row r="13" spans="2:9" ht="15" customHeight="1" x14ac:dyDescent="0.25">
      <c r="B13" s="949"/>
      <c r="C13" s="4092"/>
      <c r="D13" s="4092"/>
      <c r="E13" s="4092"/>
      <c r="F13" s="4092"/>
    </row>
    <row r="14" spans="2:9" x14ac:dyDescent="0.25">
      <c r="B14" s="949"/>
      <c r="C14" s="4092"/>
      <c r="D14" s="4092"/>
      <c r="E14" s="4092"/>
      <c r="F14" s="4092"/>
    </row>
    <row r="15" spans="2:9" x14ac:dyDescent="0.25">
      <c r="B15" s="949"/>
      <c r="C15" s="949"/>
    </row>
    <row r="16" spans="2:9" x14ac:dyDescent="0.25">
      <c r="B16" s="949"/>
      <c r="C16" s="949"/>
    </row>
    <row r="17" spans="8:9" x14ac:dyDescent="0.25">
      <c r="H17" s="949"/>
      <c r="I17" s="949"/>
    </row>
    <row r="18" spans="8:9" x14ac:dyDescent="0.25">
      <c r="H18" s="949"/>
      <c r="I18" s="949"/>
    </row>
    <row r="19" spans="8:9" ht="15.95" customHeight="1" x14ac:dyDescent="0.25">
      <c r="H19" s="949"/>
      <c r="I19" s="949"/>
    </row>
    <row r="20" spans="8:9" x14ac:dyDescent="0.25">
      <c r="H20" s="949"/>
      <c r="I20" s="949"/>
    </row>
    <row r="21" spans="8:9" x14ac:dyDescent="0.25">
      <c r="H21" s="949"/>
      <c r="I21" s="949"/>
    </row>
    <row r="22" spans="8:9" x14ac:dyDescent="0.25">
      <c r="H22" s="949"/>
      <c r="I22" s="949"/>
    </row>
    <row r="23" spans="8:9" x14ac:dyDescent="0.25">
      <c r="H23" s="949"/>
      <c r="I23" s="949"/>
    </row>
    <row r="24" spans="8:9" x14ac:dyDescent="0.25">
      <c r="H24" s="949"/>
      <c r="I24" s="949"/>
    </row>
    <row r="25" spans="8:9" ht="15" customHeight="1" x14ac:dyDescent="0.25">
      <c r="H25" s="949"/>
      <c r="I25" s="949"/>
    </row>
    <row r="26" spans="8:9" x14ac:dyDescent="0.25">
      <c r="H26" s="949"/>
      <c r="I26" s="949"/>
    </row>
    <row r="27" spans="8:9" x14ac:dyDescent="0.25">
      <c r="H27" s="949"/>
      <c r="I27" s="949"/>
    </row>
    <row r="28" spans="8:9" x14ac:dyDescent="0.25">
      <c r="H28" s="949"/>
      <c r="I28" s="949"/>
    </row>
    <row r="29" spans="8:9" x14ac:dyDescent="0.25">
      <c r="H29" s="949"/>
      <c r="I29" s="949"/>
    </row>
    <row r="30" spans="8:9" x14ac:dyDescent="0.25">
      <c r="H30" s="949"/>
      <c r="I30" s="949"/>
    </row>
    <row r="31" spans="8:9" ht="15" customHeight="1" x14ac:dyDescent="0.25">
      <c r="H31" s="949"/>
      <c r="I31" s="949"/>
    </row>
    <row r="32" spans="8:9" x14ac:dyDescent="0.25">
      <c r="H32" s="949"/>
      <c r="I32" s="949"/>
    </row>
    <row r="33" spans="8:9" x14ac:dyDescent="0.25">
      <c r="H33" s="949"/>
      <c r="I33" s="949"/>
    </row>
    <row r="34" spans="8:9" x14ac:dyDescent="0.25">
      <c r="H34" s="949"/>
      <c r="I34" s="949"/>
    </row>
    <row r="35" spans="8:9" x14ac:dyDescent="0.25">
      <c r="H35" s="949"/>
      <c r="I35" s="949"/>
    </row>
    <row r="36" spans="8:9" x14ac:dyDescent="0.25">
      <c r="H36" s="949"/>
      <c r="I36" s="949"/>
    </row>
    <row r="37" spans="8:9" ht="15" customHeight="1" x14ac:dyDescent="0.25">
      <c r="H37" s="949"/>
      <c r="I37" s="949"/>
    </row>
    <row r="38" spans="8:9" x14ac:dyDescent="0.25">
      <c r="H38" s="949"/>
      <c r="I38" s="949"/>
    </row>
    <row r="39" spans="8:9" x14ac:dyDescent="0.25">
      <c r="H39" s="949"/>
      <c r="I39" s="949"/>
    </row>
    <row r="40" spans="8:9" x14ac:dyDescent="0.25">
      <c r="H40" s="949"/>
      <c r="I40" s="949"/>
    </row>
    <row r="41" spans="8:9" x14ac:dyDescent="0.25">
      <c r="H41" s="949"/>
      <c r="I41" s="949"/>
    </row>
    <row r="42" spans="8:9" x14ac:dyDescent="0.25">
      <c r="H42" s="949"/>
      <c r="I42" s="949"/>
    </row>
    <row r="43" spans="8:9" ht="15" customHeight="1" x14ac:dyDescent="0.25">
      <c r="H43" s="949"/>
      <c r="I43" s="949"/>
    </row>
    <row r="44" spans="8:9" x14ac:dyDescent="0.25">
      <c r="H44" s="949"/>
      <c r="I44" s="949"/>
    </row>
    <row r="45" spans="8:9" x14ac:dyDescent="0.25">
      <c r="H45" s="949"/>
      <c r="I45" s="949"/>
    </row>
    <row r="46" spans="8:9" x14ac:dyDescent="0.25">
      <c r="H46" s="949"/>
      <c r="I46" s="949"/>
    </row>
    <row r="47" spans="8:9" x14ac:dyDescent="0.25">
      <c r="H47" s="949"/>
      <c r="I47" s="949"/>
    </row>
    <row r="48" spans="8:9" x14ac:dyDescent="0.25">
      <c r="H48" s="949"/>
      <c r="I48" s="949"/>
    </row>
    <row r="49" spans="8:9" ht="15" customHeight="1" x14ac:dyDescent="0.25">
      <c r="H49" s="949"/>
      <c r="I49" s="949"/>
    </row>
    <row r="50" spans="8:9" x14ac:dyDescent="0.25">
      <c r="H50" s="949"/>
      <c r="I50" s="949"/>
    </row>
    <row r="51" spans="8:9" x14ac:dyDescent="0.25">
      <c r="H51" s="949"/>
      <c r="I51" s="949"/>
    </row>
    <row r="52" spans="8:9" x14ac:dyDescent="0.25">
      <c r="H52" s="949"/>
      <c r="I52" s="949"/>
    </row>
    <row r="53" spans="8:9" x14ac:dyDescent="0.25">
      <c r="H53" s="949"/>
      <c r="I53" s="949"/>
    </row>
    <row r="54" spans="8:9" x14ac:dyDescent="0.25">
      <c r="H54" s="949"/>
      <c r="I54" s="949"/>
    </row>
    <row r="55" spans="8:9" ht="15" customHeight="1" x14ac:dyDescent="0.25">
      <c r="H55" s="949"/>
      <c r="I55" s="949"/>
    </row>
    <row r="56" spans="8:9" x14ac:dyDescent="0.25">
      <c r="H56" s="949"/>
      <c r="I56" s="949"/>
    </row>
    <row r="57" spans="8:9" x14ac:dyDescent="0.25">
      <c r="H57" s="949"/>
      <c r="I57" s="949"/>
    </row>
    <row r="58" spans="8:9" x14ac:dyDescent="0.25">
      <c r="H58" s="949"/>
      <c r="I58" s="949"/>
    </row>
    <row r="59" spans="8:9" x14ac:dyDescent="0.25">
      <c r="H59" s="949"/>
      <c r="I59" s="949"/>
    </row>
    <row r="60" spans="8:9" x14ac:dyDescent="0.25">
      <c r="H60" s="949"/>
      <c r="I60" s="949"/>
    </row>
    <row r="61" spans="8:9" ht="15" customHeight="1" x14ac:dyDescent="0.25">
      <c r="H61" s="949"/>
      <c r="I61" s="949"/>
    </row>
    <row r="62" spans="8:9" x14ac:dyDescent="0.25">
      <c r="H62" s="949"/>
      <c r="I62" s="949"/>
    </row>
    <row r="63" spans="8:9" x14ac:dyDescent="0.25">
      <c r="H63" s="949"/>
      <c r="I63" s="949"/>
    </row>
    <row r="64" spans="8:9" x14ac:dyDescent="0.25">
      <c r="H64" s="949"/>
      <c r="I64" s="949"/>
    </row>
    <row r="65" spans="8:9" x14ac:dyDescent="0.25">
      <c r="H65" s="949"/>
      <c r="I65" s="949"/>
    </row>
    <row r="66" spans="8:9" x14ac:dyDescent="0.25">
      <c r="H66" s="949"/>
      <c r="I66" s="949"/>
    </row>
    <row r="67" spans="8:9" ht="15" customHeight="1" x14ac:dyDescent="0.25">
      <c r="H67" s="949"/>
      <c r="I67" s="949"/>
    </row>
    <row r="68" spans="8:9" x14ac:dyDescent="0.25">
      <c r="H68" s="949"/>
      <c r="I68" s="949"/>
    </row>
    <row r="69" spans="8:9" x14ac:dyDescent="0.25">
      <c r="H69" s="949"/>
      <c r="I69" s="949"/>
    </row>
    <row r="70" spans="8:9" x14ac:dyDescent="0.25">
      <c r="H70" s="949"/>
      <c r="I70" s="949"/>
    </row>
    <row r="71" spans="8:9" x14ac:dyDescent="0.25">
      <c r="H71" s="949"/>
      <c r="I71" s="949"/>
    </row>
    <row r="72" spans="8:9" x14ac:dyDescent="0.25">
      <c r="H72" s="949"/>
      <c r="I72" s="949"/>
    </row>
    <row r="73" spans="8:9" ht="15" customHeight="1" x14ac:dyDescent="0.25">
      <c r="H73" s="949"/>
      <c r="I73" s="949"/>
    </row>
    <row r="74" spans="8:9" x14ac:dyDescent="0.25">
      <c r="H74" s="949"/>
      <c r="I74" s="949"/>
    </row>
    <row r="75" spans="8:9" x14ac:dyDescent="0.25">
      <c r="H75" s="949"/>
      <c r="I75" s="949"/>
    </row>
    <row r="76" spans="8:9" x14ac:dyDescent="0.25">
      <c r="H76" s="949"/>
      <c r="I76" s="949"/>
    </row>
    <row r="77" spans="8:9" x14ac:dyDescent="0.25">
      <c r="H77" s="949"/>
      <c r="I77" s="949"/>
    </row>
    <row r="78" spans="8:9" x14ac:dyDescent="0.25">
      <c r="H78" s="949"/>
      <c r="I78" s="949"/>
    </row>
    <row r="79" spans="8:9" ht="15" customHeight="1" x14ac:dyDescent="0.25">
      <c r="H79" s="949"/>
      <c r="I79" s="949"/>
    </row>
    <row r="80" spans="8:9" x14ac:dyDescent="0.25">
      <c r="H80" s="949"/>
      <c r="I80" s="949"/>
    </row>
    <row r="81" spans="8:9" x14ac:dyDescent="0.25">
      <c r="H81" s="949"/>
      <c r="I81" s="949"/>
    </row>
    <row r="82" spans="8:9" x14ac:dyDescent="0.25">
      <c r="H82" s="949"/>
      <c r="I82" s="949"/>
    </row>
    <row r="83" spans="8:9" x14ac:dyDescent="0.25">
      <c r="H83" s="949"/>
      <c r="I83" s="949"/>
    </row>
    <row r="84" spans="8:9" x14ac:dyDescent="0.25">
      <c r="H84" s="949"/>
      <c r="I84" s="949"/>
    </row>
    <row r="85" spans="8:9" ht="15" customHeight="1" x14ac:dyDescent="0.25">
      <c r="H85" s="949"/>
      <c r="I85" s="949"/>
    </row>
    <row r="86" spans="8:9" x14ac:dyDescent="0.25">
      <c r="H86" s="949"/>
      <c r="I86" s="949"/>
    </row>
    <row r="87" spans="8:9" x14ac:dyDescent="0.25">
      <c r="H87" s="949"/>
      <c r="I87" s="949"/>
    </row>
    <row r="88" spans="8:9" x14ac:dyDescent="0.25">
      <c r="H88" s="949"/>
      <c r="I88" s="949"/>
    </row>
    <row r="89" spans="8:9" x14ac:dyDescent="0.25">
      <c r="H89" s="949"/>
      <c r="I89" s="949"/>
    </row>
    <row r="90" spans="8:9" x14ac:dyDescent="0.25">
      <c r="H90" s="949"/>
      <c r="I90" s="949"/>
    </row>
    <row r="91" spans="8:9" ht="15" customHeight="1" x14ac:dyDescent="0.25">
      <c r="H91" s="949"/>
      <c r="I91" s="949"/>
    </row>
    <row r="92" spans="8:9" x14ac:dyDescent="0.25">
      <c r="H92" s="949"/>
      <c r="I92" s="949"/>
    </row>
    <row r="93" spans="8:9" x14ac:dyDescent="0.25">
      <c r="H93" s="949"/>
      <c r="I93" s="949"/>
    </row>
    <row r="94" spans="8:9" x14ac:dyDescent="0.25">
      <c r="H94" s="949"/>
      <c r="I94" s="949"/>
    </row>
    <row r="97" ht="15" customHeight="1" x14ac:dyDescent="0.25"/>
    <row r="103" ht="14.45" customHeight="1" x14ac:dyDescent="0.25"/>
  </sheetData>
  <mergeCells count="1">
    <mergeCell ref="C3:F3"/>
  </mergeCell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23C8F-90E8-494C-9E68-64809A0F30B0}">
  <sheetPr codeName="Ark135">
    <tabColor theme="3" tint="-0.249977111117893"/>
  </sheetPr>
  <dimension ref="A1:Y304"/>
  <sheetViews>
    <sheetView topLeftCell="A5" zoomScale="70" zoomScaleNormal="70" workbookViewId="0">
      <selection activeCell="Z1" sqref="Z1:XFD1048576"/>
    </sheetView>
  </sheetViews>
  <sheetFormatPr defaultColWidth="8.7109375" defaultRowHeight="15" x14ac:dyDescent="0.25"/>
  <cols>
    <col min="1" max="1" width="52.5703125" style="2746" customWidth="1"/>
    <col min="2" max="2" width="14.7109375" style="2746" customWidth="1"/>
    <col min="3" max="3" width="70.140625" style="2746" customWidth="1"/>
    <col min="4" max="4" width="14.28515625" style="2746" customWidth="1"/>
    <col min="5" max="5" width="62.140625" style="2746" customWidth="1"/>
    <col min="6" max="6" width="24.42578125" style="2746" customWidth="1"/>
    <col min="7" max="7" width="14" style="2746" customWidth="1"/>
    <col min="8" max="8" width="16" style="2746" customWidth="1"/>
    <col min="9" max="9" width="16.5703125" style="2747" customWidth="1"/>
    <col min="10" max="10" width="48.28515625" style="2746" customWidth="1"/>
    <col min="11" max="11" width="14.5703125" style="2746" customWidth="1"/>
    <col min="12" max="12" width="22" style="2748" customWidth="1"/>
    <col min="13" max="13" width="15" style="2748" customWidth="1"/>
    <col min="14" max="14" width="15.28515625" style="2748" customWidth="1"/>
    <col min="15" max="15" width="23" style="2748" customWidth="1"/>
    <col min="16" max="16" width="21" style="2748" customWidth="1"/>
    <col min="17" max="17" width="11.7109375" style="2748" customWidth="1"/>
    <col min="18" max="18" width="21" style="2748" customWidth="1"/>
    <col min="19" max="19" width="17.28515625" style="2748" customWidth="1"/>
    <col min="20" max="20" width="20.140625" style="2748" customWidth="1"/>
    <col min="21" max="21" width="21.5703125" style="2748" customWidth="1"/>
    <col min="22" max="23" width="13" style="2748" customWidth="1"/>
    <col min="24" max="24" width="15.42578125" style="2748" bestFit="1" customWidth="1"/>
    <col min="25" max="25" width="23.140625" style="2748" customWidth="1"/>
    <col min="26" max="16384" width="8.7109375" style="2746"/>
  </cols>
  <sheetData>
    <row r="1" spans="1:25" s="2743" customFormat="1" ht="53.45" customHeight="1" x14ac:dyDescent="0.35">
      <c r="B1" s="2744" t="s">
        <v>2823</v>
      </c>
    </row>
    <row r="2" spans="1:25" ht="21" x14ac:dyDescent="0.35">
      <c r="A2" s="2745" t="s">
        <v>4206</v>
      </c>
    </row>
    <row r="3" spans="1:25" ht="15.75" thickBot="1" x14ac:dyDescent="0.3"/>
    <row r="4" spans="1:25" s="2756" customFormat="1" ht="45.75" thickBot="1" x14ac:dyDescent="0.25">
      <c r="A4" s="2749" t="s">
        <v>2822</v>
      </c>
      <c r="B4" s="2750" t="s">
        <v>2821</v>
      </c>
      <c r="C4" s="2750" t="s">
        <v>2820</v>
      </c>
      <c r="D4" s="2750" t="s">
        <v>2819</v>
      </c>
      <c r="E4" s="2750" t="s">
        <v>2818</v>
      </c>
      <c r="F4" s="2750" t="s">
        <v>2817</v>
      </c>
      <c r="G4" s="2750" t="s">
        <v>2816</v>
      </c>
      <c r="H4" s="2750" t="s">
        <v>2815</v>
      </c>
      <c r="I4" s="2751" t="s">
        <v>4749</v>
      </c>
      <c r="J4" s="2752" t="s">
        <v>897</v>
      </c>
      <c r="K4" s="2752" t="s">
        <v>2814</v>
      </c>
      <c r="L4" s="2753" t="s">
        <v>2813</v>
      </c>
      <c r="M4" s="2753" t="s">
        <v>958</v>
      </c>
      <c r="N4" s="2753" t="s">
        <v>957</v>
      </c>
      <c r="O4" s="2753" t="s">
        <v>956</v>
      </c>
      <c r="P4" s="2753" t="s">
        <v>955</v>
      </c>
      <c r="Q4" s="2753" t="s">
        <v>954</v>
      </c>
      <c r="R4" s="2753" t="s">
        <v>2812</v>
      </c>
      <c r="S4" s="2753" t="s">
        <v>2811</v>
      </c>
      <c r="T4" s="2753" t="s">
        <v>2810</v>
      </c>
      <c r="U4" s="2753" t="s">
        <v>2809</v>
      </c>
      <c r="V4" s="2754" t="s">
        <v>2808</v>
      </c>
      <c r="W4" s="2754" t="s">
        <v>2807</v>
      </c>
      <c r="X4" s="2753" t="s">
        <v>2806</v>
      </c>
      <c r="Y4" s="2755" t="s">
        <v>2805</v>
      </c>
    </row>
    <row r="5" spans="1:25" x14ac:dyDescent="0.25">
      <c r="A5" s="2757" t="s">
        <v>334</v>
      </c>
      <c r="B5" s="2758">
        <v>1101</v>
      </c>
      <c r="C5" s="2758" t="s">
        <v>2025</v>
      </c>
      <c r="D5" s="2758" t="s">
        <v>334</v>
      </c>
      <c r="E5" s="2758" t="s">
        <v>2024</v>
      </c>
      <c r="F5" s="2758" t="s">
        <v>2743</v>
      </c>
      <c r="G5" s="2758">
        <v>110101</v>
      </c>
      <c r="H5" s="2758">
        <f>Dataark_til_bilag2_2020[[#This Row],[Stald_kode]]+Dataark_til_bilag2_2020[[#This Row],[Dyr_Kode]]</f>
        <v>111202</v>
      </c>
      <c r="I5" s="4347">
        <v>15.21</v>
      </c>
      <c r="J5" s="2758"/>
      <c r="K5" s="2758" t="s">
        <v>350</v>
      </c>
      <c r="L5" s="2759"/>
      <c r="M5" s="2759"/>
      <c r="N5" s="2760">
        <f>IFERROR(Dataark_til_bilag2_2020[[#This Row],[Antal dyr]]*Dataark_til_bilag2_2020[[#This Row],[Gødning (g) pr. dyr (ton)]]," ")</f>
        <v>0</v>
      </c>
      <c r="O5" s="2759">
        <v>2.97</v>
      </c>
      <c r="P5" s="2759">
        <v>45.173700000000004</v>
      </c>
      <c r="Q5" s="2759">
        <v>0.26</v>
      </c>
      <c r="R5" s="2761">
        <v>183</v>
      </c>
      <c r="S5" s="2761">
        <v>183</v>
      </c>
      <c r="T5" s="2761">
        <v>384.86892279452059</v>
      </c>
      <c r="U5" s="2761">
        <v>309.72624657534249</v>
      </c>
      <c r="V5" s="2761">
        <v>2</v>
      </c>
      <c r="W5" s="2761">
        <v>0.3</v>
      </c>
      <c r="X5" s="2761">
        <v>2.7922725808668494</v>
      </c>
      <c r="Y5" s="2762">
        <f t="shared" ref="Y5:Y36" si="0">IFERROR(IFERROR((X5*I5)/1000,(X5*I4)/1000),"-")</f>
        <v>4.2470465954984785E-2</v>
      </c>
    </row>
    <row r="6" spans="1:25" x14ac:dyDescent="0.25">
      <c r="A6" s="2770" t="s">
        <v>334</v>
      </c>
      <c r="B6" s="2766">
        <v>1102</v>
      </c>
      <c r="C6" s="2766" t="s">
        <v>2023</v>
      </c>
      <c r="D6" s="2766" t="s">
        <v>334</v>
      </c>
      <c r="E6" s="2766" t="s">
        <v>2022</v>
      </c>
      <c r="F6" s="2766" t="s">
        <v>2743</v>
      </c>
      <c r="G6" s="2766">
        <v>110201</v>
      </c>
      <c r="H6" s="2766">
        <f>Dataark_til_bilag2_2020[[#This Row],[Stald_kode]]+Dataark_til_bilag2_2020[[#This Row],[Dyr_Kode]]</f>
        <v>111303</v>
      </c>
      <c r="I6" s="4347">
        <v>277.02</v>
      </c>
      <c r="J6" s="2766"/>
      <c r="K6" s="2766" t="s">
        <v>350</v>
      </c>
      <c r="L6" s="2767"/>
      <c r="M6" s="2767"/>
      <c r="N6" s="2760">
        <f>IFERROR(Dataark_til_bilag2_2020[[#This Row],[Antal dyr]]*Dataark_til_bilag2_2020[[#This Row],[Gødning (g) pr. dyr (ton)]]," ")</f>
        <v>0</v>
      </c>
      <c r="O6" s="2767">
        <v>4.62</v>
      </c>
      <c r="P6" s="2759">
        <v>1279.8324</v>
      </c>
      <c r="Q6" s="2767">
        <v>0.26</v>
      </c>
      <c r="R6" s="2769">
        <v>183</v>
      </c>
      <c r="S6" s="2769">
        <v>183</v>
      </c>
      <c r="T6" s="2769">
        <v>598.68499101369866</v>
      </c>
      <c r="U6" s="2769">
        <v>481.79638356164389</v>
      </c>
      <c r="V6" s="2769">
        <v>2</v>
      </c>
      <c r="W6" s="2769">
        <v>0.3</v>
      </c>
      <c r="X6" s="2769">
        <v>4.3435351257928776</v>
      </c>
      <c r="Y6" s="2762">
        <f t="shared" si="0"/>
        <v>1.2032461005471426</v>
      </c>
    </row>
    <row r="7" spans="1:25" x14ac:dyDescent="0.25">
      <c r="A7" s="2770" t="s">
        <v>334</v>
      </c>
      <c r="B7" s="2766">
        <v>1103</v>
      </c>
      <c r="C7" s="2766" t="s">
        <v>2021</v>
      </c>
      <c r="D7" s="2766" t="s">
        <v>334</v>
      </c>
      <c r="E7" s="2766" t="s">
        <v>2020</v>
      </c>
      <c r="F7" s="2766" t="s">
        <v>2743</v>
      </c>
      <c r="G7" s="2766">
        <v>110301</v>
      </c>
      <c r="H7" s="2766">
        <f>Dataark_til_bilag2_2020[[#This Row],[Stald_kode]]+Dataark_til_bilag2_2020[[#This Row],[Dyr_Kode]]</f>
        <v>111404</v>
      </c>
      <c r="I7" s="4347">
        <v>26.5</v>
      </c>
      <c r="J7" s="2766"/>
      <c r="K7" s="2766" t="s">
        <v>350</v>
      </c>
      <c r="L7" s="2767"/>
      <c r="M7" s="2767"/>
      <c r="N7" s="2760">
        <f>IFERROR(Dataark_til_bilag2_2020[[#This Row],[Antal dyr]]*Dataark_til_bilag2_2020[[#This Row],[Gødning (g) pr. dyr (ton)]]," ")</f>
        <v>0</v>
      </c>
      <c r="O7" s="2767">
        <v>5.13</v>
      </c>
      <c r="P7" s="2759">
        <v>135.94499999999999</v>
      </c>
      <c r="Q7" s="2767">
        <v>0.26</v>
      </c>
      <c r="R7" s="2769">
        <v>183</v>
      </c>
      <c r="S7" s="2769">
        <v>183</v>
      </c>
      <c r="T7" s="2769">
        <v>664.77359391780828</v>
      </c>
      <c r="U7" s="2769">
        <v>534.98169863013698</v>
      </c>
      <c r="V7" s="2769">
        <v>2</v>
      </c>
      <c r="W7" s="2769">
        <v>0.3</v>
      </c>
      <c r="X7" s="2769">
        <v>4.8230162760427397</v>
      </c>
      <c r="Y7" s="2762">
        <f t="shared" si="0"/>
        <v>0.1278099313151326</v>
      </c>
    </row>
    <row r="8" spans="1:25" x14ac:dyDescent="0.25">
      <c r="A8" s="2770" t="s">
        <v>334</v>
      </c>
      <c r="B8" s="2766">
        <v>1104</v>
      </c>
      <c r="C8" s="2766" t="s">
        <v>2019</v>
      </c>
      <c r="D8" s="2766" t="s">
        <v>334</v>
      </c>
      <c r="E8" s="2766" t="s">
        <v>2018</v>
      </c>
      <c r="F8" s="2766" t="s">
        <v>2743</v>
      </c>
      <c r="G8" s="2766">
        <v>110401</v>
      </c>
      <c r="H8" s="2766">
        <f>Dataark_til_bilag2_2020[[#This Row],[Stald_kode]]+Dataark_til_bilag2_2020[[#This Row],[Dyr_Kode]]</f>
        <v>111505</v>
      </c>
      <c r="I8" s="4347">
        <v>0</v>
      </c>
      <c r="J8" s="2766"/>
      <c r="K8" s="2766" t="s">
        <v>350</v>
      </c>
      <c r="L8" s="2767"/>
      <c r="M8" s="2767"/>
      <c r="N8" s="2760">
        <f>IFERROR(Dataark_til_bilag2_2020[[#This Row],[Antal dyr]]*Dataark_til_bilag2_2020[[#This Row],[Gødning (g) pr. dyr (ton)]]," ")</f>
        <v>0</v>
      </c>
      <c r="O8" s="2767">
        <v>5.75</v>
      </c>
      <c r="P8" s="2759">
        <v>0</v>
      </c>
      <c r="Q8" s="2767">
        <v>0.26</v>
      </c>
      <c r="R8" s="2769">
        <v>183</v>
      </c>
      <c r="S8" s="2769">
        <v>183</v>
      </c>
      <c r="T8" s="2769">
        <v>745.11660136986302</v>
      </c>
      <c r="U8" s="2769">
        <v>599.63835616438359</v>
      </c>
      <c r="V8" s="2769">
        <v>2</v>
      </c>
      <c r="W8" s="2769">
        <v>0.3</v>
      </c>
      <c r="X8" s="2769">
        <v>5.4059149292876718</v>
      </c>
      <c r="Y8" s="2762">
        <f t="shared" si="0"/>
        <v>0</v>
      </c>
    </row>
    <row r="9" spans="1:25" x14ac:dyDescent="0.25">
      <c r="A9" s="2770" t="s">
        <v>1980</v>
      </c>
      <c r="B9" s="2766">
        <v>1201</v>
      </c>
      <c r="C9" s="2766" t="s">
        <v>2017</v>
      </c>
      <c r="D9" s="2766" t="s">
        <v>341</v>
      </c>
      <c r="E9" s="2766" t="s">
        <v>1989</v>
      </c>
      <c r="F9" s="2766" t="s">
        <v>639</v>
      </c>
      <c r="G9" s="2766">
        <v>120101</v>
      </c>
      <c r="H9" s="2766">
        <f>Dataark_til_bilag2_2020[[#This Row],[Stald_kode]]+Dataark_til_bilag2_2020[[#This Row],[Dyr_Kode]]</f>
        <v>121302</v>
      </c>
      <c r="I9" s="4347">
        <v>0</v>
      </c>
      <c r="J9" s="2766" t="s">
        <v>1903</v>
      </c>
      <c r="K9" s="2766"/>
      <c r="L9" s="2767">
        <v>12.06</v>
      </c>
      <c r="M9" s="2767">
        <v>0.2</v>
      </c>
      <c r="N9" s="2760">
        <f>IFERROR(Dataark_til_bilag2_2020[[#This Row],[Antal dyr]]*Dataark_til_bilag2_2020[[#This Row],[Gødning (g) pr. dyr (ton)]]," ")</f>
        <v>0</v>
      </c>
      <c r="O9" s="2768"/>
      <c r="P9" s="2759">
        <v>0</v>
      </c>
      <c r="Q9" s="2767"/>
      <c r="R9" s="2769">
        <v>18</v>
      </c>
      <c r="S9" s="2769">
        <v>181</v>
      </c>
      <c r="T9" s="2769">
        <v>1834.4416438356166</v>
      </c>
      <c r="U9" s="2769">
        <v>95.158356164383562</v>
      </c>
      <c r="V9" s="2769">
        <v>2</v>
      </c>
      <c r="W9" s="2769">
        <v>0.24</v>
      </c>
      <c r="X9" s="2769">
        <v>6.2055936000000012</v>
      </c>
      <c r="Y9" s="2762">
        <f t="shared" si="0"/>
        <v>0</v>
      </c>
    </row>
    <row r="10" spans="1:25" x14ac:dyDescent="0.25">
      <c r="A10" s="2770" t="s">
        <v>1980</v>
      </c>
      <c r="B10" s="2766">
        <v>1201</v>
      </c>
      <c r="C10" s="2766" t="s">
        <v>2017</v>
      </c>
      <c r="D10" s="2766" t="s">
        <v>341</v>
      </c>
      <c r="E10" s="2766" t="s">
        <v>1988</v>
      </c>
      <c r="F10" s="2766" t="s">
        <v>639</v>
      </c>
      <c r="G10" s="2766">
        <v>120102</v>
      </c>
      <c r="H10" s="2766">
        <f>Dataark_til_bilag2_2020[[#This Row],[Stald_kode]]+Dataark_til_bilag2_2020[[#This Row],[Dyr_Kode]]</f>
        <v>121303</v>
      </c>
      <c r="I10" s="4347">
        <v>0</v>
      </c>
      <c r="J10" s="2766" t="s">
        <v>1977</v>
      </c>
      <c r="K10" s="2766"/>
      <c r="L10" s="2767">
        <v>32.049999999999997</v>
      </c>
      <c r="M10" s="2767">
        <v>8.6999999999999994E-2</v>
      </c>
      <c r="N10" s="2760">
        <f>IFERROR(Dataark_til_bilag2_2020[[#This Row],[Antal dyr]]*Dataark_til_bilag2_2020[[#This Row],[Gødning (g) pr. dyr (ton)]]," ")</f>
        <v>0</v>
      </c>
      <c r="O10" s="2768"/>
      <c r="P10" s="2759">
        <v>0</v>
      </c>
      <c r="Q10" s="2767"/>
      <c r="R10" s="2769">
        <v>18</v>
      </c>
      <c r="S10" s="2769">
        <v>181</v>
      </c>
      <c r="T10" s="2769">
        <v>2120.6738630136983</v>
      </c>
      <c r="U10" s="2769">
        <v>110.00613698630136</v>
      </c>
      <c r="V10" s="2769">
        <v>12.5</v>
      </c>
      <c r="W10" s="2769">
        <v>0.24</v>
      </c>
      <c r="X10" s="2769">
        <v>44.836667999999989</v>
      </c>
      <c r="Y10" s="2762">
        <f t="shared" si="0"/>
        <v>0</v>
      </c>
    </row>
    <row r="11" spans="1:25" x14ac:dyDescent="0.25">
      <c r="A11" s="2770" t="s">
        <v>1980</v>
      </c>
      <c r="B11" s="2766">
        <v>1201</v>
      </c>
      <c r="C11" s="2766" t="s">
        <v>2017</v>
      </c>
      <c r="D11" s="2766" t="s">
        <v>341</v>
      </c>
      <c r="E11" s="2766" t="s">
        <v>1995</v>
      </c>
      <c r="F11" s="2766" t="s">
        <v>354</v>
      </c>
      <c r="G11" s="2766">
        <v>120103</v>
      </c>
      <c r="H11" s="2766">
        <f>Dataark_til_bilag2_2020[[#This Row],[Stald_kode]]+Dataark_til_bilag2_2020[[#This Row],[Dyr_Kode]]</f>
        <v>121304</v>
      </c>
      <c r="I11" s="4347">
        <v>0</v>
      </c>
      <c r="J11" s="2766" t="s">
        <v>1977</v>
      </c>
      <c r="K11" s="2766"/>
      <c r="L11" s="2767">
        <v>32.06</v>
      </c>
      <c r="M11" s="2767">
        <v>0.08</v>
      </c>
      <c r="N11" s="2760">
        <f>IFERROR(Dataark_til_bilag2_2020[[#This Row],[Antal dyr]]*Dataark_til_bilag2_2020[[#This Row],[Gødning (g) pr. dyr (ton)]]," ")</f>
        <v>0</v>
      </c>
      <c r="O11" s="2768"/>
      <c r="P11" s="2759">
        <v>0</v>
      </c>
      <c r="Q11" s="2767"/>
      <c r="R11" s="2769">
        <v>18</v>
      </c>
      <c r="S11" s="2769">
        <v>181</v>
      </c>
      <c r="T11" s="2769">
        <v>1950.6533698630137</v>
      </c>
      <c r="U11" s="2769">
        <v>101.18663013698631</v>
      </c>
      <c r="V11" s="2769">
        <v>12.5</v>
      </c>
      <c r="W11" s="2769">
        <v>0.24</v>
      </c>
      <c r="X11" s="2769">
        <v>41.241984000000002</v>
      </c>
      <c r="Y11" s="2762">
        <f t="shared" si="0"/>
        <v>0</v>
      </c>
    </row>
    <row r="12" spans="1:25" x14ac:dyDescent="0.25">
      <c r="A12" s="2770" t="s">
        <v>1980</v>
      </c>
      <c r="B12" s="2766">
        <v>1201</v>
      </c>
      <c r="C12" s="2766" t="s">
        <v>2017</v>
      </c>
      <c r="D12" s="2766" t="s">
        <v>341</v>
      </c>
      <c r="E12" s="2766" t="s">
        <v>2003</v>
      </c>
      <c r="F12" s="2766" t="s">
        <v>354</v>
      </c>
      <c r="G12" s="2766">
        <v>120104</v>
      </c>
      <c r="H12" s="2766">
        <f>Dataark_til_bilag2_2020[[#This Row],[Stald_kode]]+Dataark_til_bilag2_2020[[#This Row],[Dyr_Kode]]</f>
        <v>121305</v>
      </c>
      <c r="I12" s="4347">
        <v>0</v>
      </c>
      <c r="J12" s="2766" t="s">
        <v>1977</v>
      </c>
      <c r="K12" s="2766"/>
      <c r="L12" s="2767">
        <v>32.06</v>
      </c>
      <c r="M12" s="2767">
        <v>0.08</v>
      </c>
      <c r="N12" s="2760">
        <f>IFERROR(Dataark_til_bilag2_2020[[#This Row],[Antal dyr]]*Dataark_til_bilag2_2020[[#This Row],[Gødning (g) pr. dyr (ton)]]," ")</f>
        <v>0</v>
      </c>
      <c r="O12" s="2768"/>
      <c r="P12" s="2759">
        <v>0</v>
      </c>
      <c r="Q12" s="2767"/>
      <c r="R12" s="2769">
        <v>18</v>
      </c>
      <c r="S12" s="2769">
        <v>181</v>
      </c>
      <c r="T12" s="2769">
        <v>1950.6533698630137</v>
      </c>
      <c r="U12" s="2769">
        <v>101.18663013698631</v>
      </c>
      <c r="V12" s="2769">
        <v>12.5</v>
      </c>
      <c r="W12" s="2769">
        <v>0.24</v>
      </c>
      <c r="X12" s="2769">
        <v>41.241984000000002</v>
      </c>
      <c r="Y12" s="2762">
        <f t="shared" si="0"/>
        <v>0</v>
      </c>
    </row>
    <row r="13" spans="1:25" x14ac:dyDescent="0.25">
      <c r="A13" s="2770" t="s">
        <v>1980</v>
      </c>
      <c r="B13" s="2766">
        <v>1201</v>
      </c>
      <c r="C13" s="2766" t="s">
        <v>2017</v>
      </c>
      <c r="D13" s="2766" t="s">
        <v>341</v>
      </c>
      <c r="E13" s="2766" t="s">
        <v>2002</v>
      </c>
      <c r="F13" s="2766" t="s">
        <v>354</v>
      </c>
      <c r="G13" s="2766">
        <v>120105</v>
      </c>
      <c r="H13" s="2766">
        <f>Dataark_til_bilag2_2020[[#This Row],[Stald_kode]]+Dataark_til_bilag2_2020[[#This Row],[Dyr_Kode]]</f>
        <v>121306</v>
      </c>
      <c r="I13" s="4347">
        <v>188.07</v>
      </c>
      <c r="J13" s="2766" t="s">
        <v>1977</v>
      </c>
      <c r="K13" s="2766"/>
      <c r="L13" s="2767">
        <v>32.06</v>
      </c>
      <c r="M13" s="2767">
        <v>0.08</v>
      </c>
      <c r="N13" s="2760">
        <f>IFERROR(Dataark_til_bilag2_2020[[#This Row],[Antal dyr]]*Dataark_til_bilag2_2020[[#This Row],[Gødning (g) pr. dyr (ton)]]," ")</f>
        <v>6029.5241999999998</v>
      </c>
      <c r="O13" s="2768"/>
      <c r="P13" s="2759">
        <v>0</v>
      </c>
      <c r="Q13" s="2767"/>
      <c r="R13" s="2769">
        <v>18</v>
      </c>
      <c r="S13" s="2769">
        <v>181</v>
      </c>
      <c r="T13" s="2769">
        <v>1950.6533698630137</v>
      </c>
      <c r="U13" s="2769">
        <v>101.18663013698631</v>
      </c>
      <c r="V13" s="2769">
        <v>12.5</v>
      </c>
      <c r="W13" s="2769">
        <v>0.24</v>
      </c>
      <c r="X13" s="2769">
        <v>41.241984000000002</v>
      </c>
      <c r="Y13" s="2762">
        <f t="shared" si="0"/>
        <v>7.7563799308799997</v>
      </c>
    </row>
    <row r="14" spans="1:25" x14ac:dyDescent="0.25">
      <c r="A14" s="2770" t="s">
        <v>1980</v>
      </c>
      <c r="B14" s="2766">
        <v>1201</v>
      </c>
      <c r="C14" s="2766" t="s">
        <v>2017</v>
      </c>
      <c r="D14" s="2766" t="s">
        <v>341</v>
      </c>
      <c r="E14" s="2766" t="s">
        <v>2006</v>
      </c>
      <c r="F14" s="2766" t="s">
        <v>350</v>
      </c>
      <c r="G14" s="2766">
        <v>120106</v>
      </c>
      <c r="H14" s="2766">
        <f>Dataark_til_bilag2_2020[[#This Row],[Stald_kode]]+Dataark_til_bilag2_2020[[#This Row],[Dyr_Kode]]</f>
        <v>121307</v>
      </c>
      <c r="I14" s="4347">
        <v>0</v>
      </c>
      <c r="J14" s="2766"/>
      <c r="K14" s="2766" t="s">
        <v>350</v>
      </c>
      <c r="L14" s="2767"/>
      <c r="M14" s="2767"/>
      <c r="N14" s="2760">
        <f>IFERROR(Dataark_til_bilag2_2020[[#This Row],[Antal dyr]]*Dataark_til_bilag2_2020[[#This Row],[Gødning (g) pr. dyr (ton)]]," ")</f>
        <v>0</v>
      </c>
      <c r="O14" s="2767">
        <v>16.21</v>
      </c>
      <c r="P14" s="2759">
        <v>0</v>
      </c>
      <c r="Q14" s="2767">
        <v>0.3</v>
      </c>
      <c r="R14" s="2769">
        <v>18</v>
      </c>
      <c r="S14" s="2769">
        <v>181</v>
      </c>
      <c r="T14" s="2769">
        <v>4621.1003905479456</v>
      </c>
      <c r="U14" s="2769">
        <v>191.85534246575347</v>
      </c>
      <c r="V14" s="2769">
        <v>17</v>
      </c>
      <c r="W14" s="2769">
        <v>0.24</v>
      </c>
      <c r="X14" s="2769">
        <v>131.56695791766248</v>
      </c>
      <c r="Y14" s="2762">
        <f t="shared" si="0"/>
        <v>0</v>
      </c>
    </row>
    <row r="15" spans="1:25" x14ac:dyDescent="0.25">
      <c r="A15" s="2770" t="s">
        <v>1980</v>
      </c>
      <c r="B15" s="2766">
        <v>1201</v>
      </c>
      <c r="C15" s="2766" t="s">
        <v>2017</v>
      </c>
      <c r="D15" s="2766" t="s">
        <v>341</v>
      </c>
      <c r="E15" s="2766" t="s">
        <v>1985</v>
      </c>
      <c r="F15" s="2766" t="s">
        <v>350</v>
      </c>
      <c r="G15" s="2766">
        <v>120107</v>
      </c>
      <c r="H15" s="2766">
        <f>Dataark_til_bilag2_2020[[#This Row],[Stald_kode]]+Dataark_til_bilag2_2020[[#This Row],[Dyr_Kode]]</f>
        <v>121308</v>
      </c>
      <c r="I15" s="4347">
        <v>0</v>
      </c>
      <c r="J15" s="2766" t="s">
        <v>1977</v>
      </c>
      <c r="K15" s="2766"/>
      <c r="L15" s="2767">
        <v>14.11</v>
      </c>
      <c r="M15" s="2767">
        <v>6.9000000000000006E-2</v>
      </c>
      <c r="N15" s="2760">
        <f>IFERROR(Dataark_til_bilag2_2020[[#This Row],[Antal dyr]]*Dataark_til_bilag2_2020[[#This Row],[Gødning (g) pr. dyr (ton)]]," ")</f>
        <v>0</v>
      </c>
      <c r="O15" s="2768"/>
      <c r="P15" s="2759">
        <v>0</v>
      </c>
      <c r="Q15" s="2767"/>
      <c r="R15" s="2769">
        <v>18</v>
      </c>
      <c r="S15" s="2769">
        <v>181</v>
      </c>
      <c r="T15" s="2769">
        <v>740.46187397260292</v>
      </c>
      <c r="U15" s="2769">
        <v>38.410126027397268</v>
      </c>
      <c r="V15" s="2769">
        <v>12.5</v>
      </c>
      <c r="W15" s="2769">
        <v>0.24</v>
      </c>
      <c r="X15" s="2769">
        <v>15.655327200000004</v>
      </c>
      <c r="Y15" s="2762">
        <f t="shared" si="0"/>
        <v>0</v>
      </c>
    </row>
    <row r="16" spans="1:25" x14ac:dyDescent="0.25">
      <c r="A16" s="2770" t="s">
        <v>1980</v>
      </c>
      <c r="B16" s="2766">
        <v>1201</v>
      </c>
      <c r="C16" s="2766" t="s">
        <v>2017</v>
      </c>
      <c r="D16" s="2766" t="s">
        <v>341</v>
      </c>
      <c r="E16" s="2766" t="s">
        <v>1984</v>
      </c>
      <c r="F16" s="2766" t="s">
        <v>350</v>
      </c>
      <c r="G16" s="2766">
        <v>120108</v>
      </c>
      <c r="H16" s="2766">
        <f>Dataark_til_bilag2_2020[[#This Row],[Stald_kode]]+Dataark_til_bilag2_2020[[#This Row],[Dyr_Kode]]</f>
        <v>121309</v>
      </c>
      <c r="I16" s="4347">
        <v>0</v>
      </c>
      <c r="J16" s="2766" t="s">
        <v>1977</v>
      </c>
      <c r="K16" s="2766"/>
      <c r="L16" s="2767">
        <v>14.11</v>
      </c>
      <c r="M16" s="2767">
        <v>6.9000000000000006E-2</v>
      </c>
      <c r="N16" s="2760">
        <f>IFERROR(Dataark_til_bilag2_2020[[#This Row],[Antal dyr]]*Dataark_til_bilag2_2020[[#This Row],[Gødning (g) pr. dyr (ton)]]," ")</f>
        <v>0</v>
      </c>
      <c r="O16" s="2768"/>
      <c r="P16" s="2759">
        <v>0</v>
      </c>
      <c r="Q16" s="2767"/>
      <c r="R16" s="2769">
        <v>18</v>
      </c>
      <c r="S16" s="2769">
        <v>181</v>
      </c>
      <c r="T16" s="2769">
        <v>740.46187397260292</v>
      </c>
      <c r="U16" s="2769">
        <v>38.410126027397268</v>
      </c>
      <c r="V16" s="2769">
        <v>12.5</v>
      </c>
      <c r="W16" s="2769">
        <v>0.24</v>
      </c>
      <c r="X16" s="2769">
        <v>15.655327200000004</v>
      </c>
      <c r="Y16" s="2762">
        <f t="shared" si="0"/>
        <v>0</v>
      </c>
    </row>
    <row r="17" spans="1:25" x14ac:dyDescent="0.25">
      <c r="A17" s="2770" t="s">
        <v>1980</v>
      </c>
      <c r="B17" s="2766">
        <v>1201</v>
      </c>
      <c r="C17" s="2766" t="s">
        <v>2017</v>
      </c>
      <c r="D17" s="2766" t="s">
        <v>341</v>
      </c>
      <c r="E17" s="2766" t="s">
        <v>1983</v>
      </c>
      <c r="F17" s="2766" t="s">
        <v>350</v>
      </c>
      <c r="G17" s="2766">
        <v>120109</v>
      </c>
      <c r="H17" s="2766">
        <f>Dataark_til_bilag2_2020[[#This Row],[Stald_kode]]+Dataark_til_bilag2_2020[[#This Row],[Dyr_Kode]]</f>
        <v>121310</v>
      </c>
      <c r="I17" s="4347">
        <v>0</v>
      </c>
      <c r="J17" s="2766" t="s">
        <v>1977</v>
      </c>
      <c r="K17" s="2766"/>
      <c r="L17" s="2767">
        <v>14.11</v>
      </c>
      <c r="M17" s="2767">
        <v>6.9000000000000006E-2</v>
      </c>
      <c r="N17" s="2760">
        <f>IFERROR(Dataark_til_bilag2_2020[[#This Row],[Antal dyr]]*Dataark_til_bilag2_2020[[#This Row],[Gødning (g) pr. dyr (ton)]]," ")</f>
        <v>0</v>
      </c>
      <c r="O17" s="2768"/>
      <c r="P17" s="2759">
        <v>0</v>
      </c>
      <c r="Q17" s="2767"/>
      <c r="R17" s="2769">
        <v>18</v>
      </c>
      <c r="S17" s="2769">
        <v>181</v>
      </c>
      <c r="T17" s="2769">
        <v>740.46187397260292</v>
      </c>
      <c r="U17" s="2769">
        <v>38.410126027397268</v>
      </c>
      <c r="V17" s="2769">
        <v>12.5</v>
      </c>
      <c r="W17" s="2769">
        <v>0.24</v>
      </c>
      <c r="X17" s="2769">
        <v>15.655327200000004</v>
      </c>
      <c r="Y17" s="2762">
        <f t="shared" si="0"/>
        <v>0</v>
      </c>
    </row>
    <row r="18" spans="1:25" x14ac:dyDescent="0.25">
      <c r="A18" s="2770" t="s">
        <v>1980</v>
      </c>
      <c r="B18" s="2766">
        <v>1201</v>
      </c>
      <c r="C18" s="2766" t="s">
        <v>2017</v>
      </c>
      <c r="D18" s="2766" t="s">
        <v>341</v>
      </c>
      <c r="E18" s="2766" t="s">
        <v>1990</v>
      </c>
      <c r="F18" s="2766" t="s">
        <v>354</v>
      </c>
      <c r="G18" s="2766">
        <v>120114</v>
      </c>
      <c r="H18" s="2766">
        <f>Dataark_til_bilag2_2020[[#This Row],[Stald_kode]]+Dataark_til_bilag2_2020[[#This Row],[Dyr_Kode]]</f>
        <v>121315</v>
      </c>
      <c r="I18" s="4347">
        <v>0</v>
      </c>
      <c r="J18" s="2766" t="s">
        <v>1977</v>
      </c>
      <c r="K18" s="2766"/>
      <c r="L18" s="2767">
        <v>32.06</v>
      </c>
      <c r="M18" s="2767">
        <v>0.08</v>
      </c>
      <c r="N18" s="2760">
        <f>IFERROR(Dataark_til_bilag2_2020[[#This Row],[Antal dyr]]*Dataark_til_bilag2_2020[[#This Row],[Gødning (g) pr. dyr (ton)]]," ")</f>
        <v>0</v>
      </c>
      <c r="O18" s="2768"/>
      <c r="P18" s="2759">
        <v>0</v>
      </c>
      <c r="Q18" s="2767"/>
      <c r="R18" s="2769">
        <v>18</v>
      </c>
      <c r="S18" s="2769">
        <v>181</v>
      </c>
      <c r="T18" s="2769">
        <v>1950.6533698630137</v>
      </c>
      <c r="U18" s="2769">
        <v>101.18663013698631</v>
      </c>
      <c r="V18" s="2769">
        <v>12.5</v>
      </c>
      <c r="W18" s="2769">
        <v>0.24</v>
      </c>
      <c r="X18" s="2769">
        <v>41.241984000000002</v>
      </c>
      <c r="Y18" s="2762">
        <f t="shared" si="0"/>
        <v>0</v>
      </c>
    </row>
    <row r="19" spans="1:25" x14ac:dyDescent="0.25">
      <c r="A19" s="2770" t="s">
        <v>1980</v>
      </c>
      <c r="B19" s="2766">
        <v>1201</v>
      </c>
      <c r="C19" s="2766" t="s">
        <v>2017</v>
      </c>
      <c r="D19" s="2766" t="s">
        <v>341</v>
      </c>
      <c r="E19" s="2766" t="s">
        <v>2016</v>
      </c>
      <c r="F19" s="2766" t="s">
        <v>350</v>
      </c>
      <c r="G19" s="2766">
        <v>120115</v>
      </c>
      <c r="H19" s="2766">
        <f>Dataark_til_bilag2_2020[[#This Row],[Stald_kode]]+Dataark_til_bilag2_2020[[#This Row],[Dyr_Kode]]</f>
        <v>121316</v>
      </c>
      <c r="I19" s="4347">
        <v>0</v>
      </c>
      <c r="J19" s="2766" t="s">
        <v>1977</v>
      </c>
      <c r="K19" s="2766"/>
      <c r="L19" s="2767">
        <v>14.11</v>
      </c>
      <c r="M19" s="2767">
        <v>6.9000000000000006E-2</v>
      </c>
      <c r="N19" s="2760">
        <f>IFERROR(Dataark_til_bilag2_2020[[#This Row],[Antal dyr]]*Dataark_til_bilag2_2020[[#This Row],[Gødning (g) pr. dyr (ton)]]," ")</f>
        <v>0</v>
      </c>
      <c r="O19" s="2768"/>
      <c r="P19" s="2759">
        <v>0</v>
      </c>
      <c r="Q19" s="2767"/>
      <c r="R19" s="2769">
        <v>18</v>
      </c>
      <c r="S19" s="2769">
        <v>181</v>
      </c>
      <c r="T19" s="2769">
        <v>740.46187397260292</v>
      </c>
      <c r="U19" s="2769">
        <v>38.410126027397268</v>
      </c>
      <c r="V19" s="2769">
        <v>4.5999999999999996</v>
      </c>
      <c r="W19" s="2769">
        <v>0.24</v>
      </c>
      <c r="X19" s="2769">
        <v>5.7611604096000013</v>
      </c>
      <c r="Y19" s="2762">
        <f t="shared" si="0"/>
        <v>0</v>
      </c>
    </row>
    <row r="20" spans="1:25" x14ac:dyDescent="0.25">
      <c r="A20" s="2770" t="s">
        <v>1980</v>
      </c>
      <c r="B20" s="2766">
        <v>1202</v>
      </c>
      <c r="C20" s="2766" t="s">
        <v>2803</v>
      </c>
      <c r="D20" s="2766" t="s">
        <v>340</v>
      </c>
      <c r="E20" s="2766" t="s">
        <v>2006</v>
      </c>
      <c r="F20" s="2766" t="s">
        <v>350</v>
      </c>
      <c r="G20" s="2766">
        <v>120201</v>
      </c>
      <c r="H20" s="2766">
        <f>Dataark_til_bilag2_2020[[#This Row],[Stald_kode]]+Dataark_til_bilag2_2020[[#This Row],[Dyr_Kode]]</f>
        <v>121403</v>
      </c>
      <c r="I20" s="4347">
        <v>161.9</v>
      </c>
      <c r="J20" s="2766"/>
      <c r="K20" s="2766" t="s">
        <v>350</v>
      </c>
      <c r="L20" s="2767"/>
      <c r="M20" s="2767"/>
      <c r="N20" s="2760">
        <f>IFERROR(Dataark_til_bilag2_2020[[#This Row],[Antal dyr]]*Dataark_til_bilag2_2020[[#This Row],[Gødning (g) pr. dyr (ton)]]," ")</f>
        <v>0</v>
      </c>
      <c r="O20" s="2767">
        <v>1.89</v>
      </c>
      <c r="P20" s="2759">
        <v>305.99099999999999</v>
      </c>
      <c r="Q20" s="2767">
        <v>0.3</v>
      </c>
      <c r="R20" s="2769">
        <v>224</v>
      </c>
      <c r="S20" s="2769">
        <v>224</v>
      </c>
      <c r="T20" s="2769">
        <v>218.93431191780823</v>
      </c>
      <c r="U20" s="2769">
        <v>278.37369863013703</v>
      </c>
      <c r="V20" s="2769">
        <v>17</v>
      </c>
      <c r="W20" s="2769">
        <v>0.18</v>
      </c>
      <c r="X20" s="2769">
        <v>10.195808832253974</v>
      </c>
      <c r="Y20" s="2762">
        <f t="shared" si="0"/>
        <v>1.6507014499419184</v>
      </c>
    </row>
    <row r="21" spans="1:25" x14ac:dyDescent="0.25">
      <c r="A21" s="2770" t="s">
        <v>1980</v>
      </c>
      <c r="B21" s="2766">
        <v>1202</v>
      </c>
      <c r="C21" s="2766" t="s">
        <v>2803</v>
      </c>
      <c r="D21" s="2766" t="s">
        <v>340</v>
      </c>
      <c r="E21" s="2766" t="s">
        <v>2004</v>
      </c>
      <c r="F21" s="2766" t="s">
        <v>350</v>
      </c>
      <c r="G21" s="2766">
        <v>120202</v>
      </c>
      <c r="H21" s="2766">
        <f>Dataark_til_bilag2_2020[[#This Row],[Stald_kode]]+Dataark_til_bilag2_2020[[#This Row],[Dyr_Kode]]</f>
        <v>121404</v>
      </c>
      <c r="I21" s="4347">
        <v>7.98</v>
      </c>
      <c r="J21" s="2766"/>
      <c r="K21" s="2766" t="s">
        <v>350</v>
      </c>
      <c r="L21" s="2767"/>
      <c r="M21" s="2767"/>
      <c r="N21" s="2760">
        <f>IFERROR(Dataark_til_bilag2_2020[[#This Row],[Antal dyr]]*Dataark_til_bilag2_2020[[#This Row],[Gødning (g) pr. dyr (ton)]]," ")</f>
        <v>0</v>
      </c>
      <c r="O21" s="2767">
        <v>1.89</v>
      </c>
      <c r="P21" s="2759">
        <v>15.0822</v>
      </c>
      <c r="Q21" s="2767">
        <v>0.3</v>
      </c>
      <c r="R21" s="2769">
        <v>224</v>
      </c>
      <c r="S21" s="2769">
        <v>224</v>
      </c>
      <c r="T21" s="2769">
        <v>218.93431191780823</v>
      </c>
      <c r="U21" s="2769">
        <v>278.37369863013703</v>
      </c>
      <c r="V21" s="2769">
        <v>17</v>
      </c>
      <c r="W21" s="2769">
        <v>0.18</v>
      </c>
      <c r="X21" s="2769">
        <v>10.195808832253974</v>
      </c>
      <c r="Y21" s="2762">
        <f t="shared" si="0"/>
        <v>8.1362554481386712E-2</v>
      </c>
    </row>
    <row r="22" spans="1:25" x14ac:dyDescent="0.25">
      <c r="A22" s="2770" t="s">
        <v>1980</v>
      </c>
      <c r="B22" s="2766">
        <v>1203</v>
      </c>
      <c r="C22" s="2766" t="s">
        <v>2761</v>
      </c>
      <c r="D22" s="2766" t="s">
        <v>336</v>
      </c>
      <c r="E22" s="2766" t="s">
        <v>1989</v>
      </c>
      <c r="F22" s="2766" t="s">
        <v>639</v>
      </c>
      <c r="G22" s="2766">
        <v>120301</v>
      </c>
      <c r="H22" s="2766">
        <f>Dataark_til_bilag2_2020[[#This Row],[Stald_kode]]+Dataark_til_bilag2_2020[[#This Row],[Dyr_Kode]]</f>
        <v>121504</v>
      </c>
      <c r="I22" s="4347">
        <v>37.799999999999997</v>
      </c>
      <c r="J22" s="2766" t="s">
        <v>1903</v>
      </c>
      <c r="K22" s="2766"/>
      <c r="L22" s="2767">
        <v>4.51</v>
      </c>
      <c r="M22" s="2767">
        <v>0.182</v>
      </c>
      <c r="N22" s="2760">
        <f>IFERROR(Dataark_til_bilag2_2020[[#This Row],[Antal dyr]]*Dataark_til_bilag2_2020[[#This Row],[Gødning (g) pr. dyr (ton)]]," ")</f>
        <v>170.47799999999998</v>
      </c>
      <c r="O22" s="2768"/>
      <c r="P22" s="2759">
        <v>0</v>
      </c>
      <c r="Q22" s="2767"/>
      <c r="R22" s="2769">
        <v>132</v>
      </c>
      <c r="S22" s="2769">
        <v>181</v>
      </c>
      <c r="T22" s="2769">
        <v>419.18040547945202</v>
      </c>
      <c r="U22" s="2769">
        <v>237.47559452054793</v>
      </c>
      <c r="V22" s="2769">
        <v>2</v>
      </c>
      <c r="W22" s="2769">
        <v>0.18</v>
      </c>
      <c r="X22" s="2769">
        <v>1.583854272</v>
      </c>
      <c r="Y22" s="2762">
        <f t="shared" si="0"/>
        <v>5.9869691481599992E-2</v>
      </c>
    </row>
    <row r="23" spans="1:25" x14ac:dyDescent="0.25">
      <c r="A23" s="2770" t="s">
        <v>1980</v>
      </c>
      <c r="B23" s="2766">
        <v>1203</v>
      </c>
      <c r="C23" s="2766" t="s">
        <v>2761</v>
      </c>
      <c r="D23" s="2766" t="s">
        <v>336</v>
      </c>
      <c r="E23" s="2766" t="s">
        <v>1988</v>
      </c>
      <c r="F23" s="2766" t="s">
        <v>639</v>
      </c>
      <c r="G23" s="2766">
        <v>120302</v>
      </c>
      <c r="H23" s="2766">
        <f>Dataark_til_bilag2_2020[[#This Row],[Stald_kode]]+Dataark_til_bilag2_2020[[#This Row],[Dyr_Kode]]</f>
        <v>121505</v>
      </c>
      <c r="I23" s="4347">
        <v>0</v>
      </c>
      <c r="J23" s="2766" t="s">
        <v>1977</v>
      </c>
      <c r="K23" s="2766"/>
      <c r="L23" s="2767">
        <v>7.22</v>
      </c>
      <c r="M23" s="2767">
        <v>0.123</v>
      </c>
      <c r="N23" s="2760">
        <f>IFERROR(Dataark_til_bilag2_2020[[#This Row],[Antal dyr]]*Dataark_til_bilag2_2020[[#This Row],[Gødning (g) pr. dyr (ton)]]," ")</f>
        <v>0</v>
      </c>
      <c r="O23" s="2768"/>
      <c r="P23" s="2759">
        <v>0</v>
      </c>
      <c r="Q23" s="2767"/>
      <c r="R23" s="2769">
        <v>132</v>
      </c>
      <c r="S23" s="2769">
        <v>181</v>
      </c>
      <c r="T23" s="2769">
        <v>453.51886027397262</v>
      </c>
      <c r="U23" s="2769">
        <v>256.92913972602742</v>
      </c>
      <c r="V23" s="2769">
        <v>12.5</v>
      </c>
      <c r="W23" s="2769">
        <v>0.18</v>
      </c>
      <c r="X23" s="2769">
        <v>10.7100036</v>
      </c>
      <c r="Y23" s="2762">
        <f t="shared" si="0"/>
        <v>0</v>
      </c>
    </row>
    <row r="24" spans="1:25" x14ac:dyDescent="0.25">
      <c r="A24" s="2770" t="s">
        <v>1980</v>
      </c>
      <c r="B24" s="2766">
        <v>1203</v>
      </c>
      <c r="C24" s="2766" t="s">
        <v>2761</v>
      </c>
      <c r="D24" s="2766" t="s">
        <v>336</v>
      </c>
      <c r="E24" s="2766" t="s">
        <v>1995</v>
      </c>
      <c r="F24" s="2766" t="s">
        <v>354</v>
      </c>
      <c r="G24" s="2766">
        <v>120303</v>
      </c>
      <c r="H24" s="2766">
        <f>Dataark_til_bilag2_2020[[#This Row],[Stald_kode]]+Dataark_til_bilag2_2020[[#This Row],[Dyr_Kode]]</f>
        <v>121506</v>
      </c>
      <c r="I24" s="4347">
        <v>0</v>
      </c>
      <c r="J24" s="2766" t="s">
        <v>1977</v>
      </c>
      <c r="K24" s="2766"/>
      <c r="L24" s="2767">
        <v>6.44</v>
      </c>
      <c r="M24" s="2767">
        <v>0.123</v>
      </c>
      <c r="N24" s="2760">
        <f>IFERROR(Dataark_til_bilag2_2020[[#This Row],[Antal dyr]]*Dataark_til_bilag2_2020[[#This Row],[Gødning (g) pr. dyr (ton)]]," ")</f>
        <v>0</v>
      </c>
      <c r="O24" s="2768"/>
      <c r="P24" s="2759">
        <v>0</v>
      </c>
      <c r="Q24" s="2767"/>
      <c r="R24" s="2769">
        <v>132</v>
      </c>
      <c r="S24" s="2769">
        <v>181</v>
      </c>
      <c r="T24" s="2769">
        <v>404.52374794520551</v>
      </c>
      <c r="U24" s="2769">
        <v>229.17225205479454</v>
      </c>
      <c r="V24" s="2769">
        <v>12.5</v>
      </c>
      <c r="W24" s="2769">
        <v>0.18</v>
      </c>
      <c r="X24" s="2769">
        <v>9.5529672000000012</v>
      </c>
      <c r="Y24" s="2762">
        <f t="shared" si="0"/>
        <v>0</v>
      </c>
    </row>
    <row r="25" spans="1:25" x14ac:dyDescent="0.25">
      <c r="A25" s="2770" t="s">
        <v>1980</v>
      </c>
      <c r="B25" s="2766">
        <v>1203</v>
      </c>
      <c r="C25" s="2766" t="s">
        <v>2761</v>
      </c>
      <c r="D25" s="2766" t="s">
        <v>336</v>
      </c>
      <c r="E25" s="2766" t="s">
        <v>1982</v>
      </c>
      <c r="F25" s="2766" t="s">
        <v>354</v>
      </c>
      <c r="G25" s="2766">
        <v>120304</v>
      </c>
      <c r="H25" s="2766">
        <f>Dataark_til_bilag2_2020[[#This Row],[Stald_kode]]+Dataark_til_bilag2_2020[[#This Row],[Dyr_Kode]]</f>
        <v>121507</v>
      </c>
      <c r="I25" s="4347">
        <v>0</v>
      </c>
      <c r="J25" s="2766" t="s">
        <v>1977</v>
      </c>
      <c r="K25" s="2766"/>
      <c r="L25" s="2767">
        <v>6.44</v>
      </c>
      <c r="M25" s="2767">
        <v>0.123</v>
      </c>
      <c r="N25" s="2760">
        <f>IFERROR(Dataark_til_bilag2_2020[[#This Row],[Antal dyr]]*Dataark_til_bilag2_2020[[#This Row],[Gødning (g) pr. dyr (ton)]]," ")</f>
        <v>0</v>
      </c>
      <c r="O25" s="2768"/>
      <c r="P25" s="2759">
        <v>0</v>
      </c>
      <c r="Q25" s="2767"/>
      <c r="R25" s="2769">
        <v>132</v>
      </c>
      <c r="S25" s="2769">
        <v>181</v>
      </c>
      <c r="T25" s="2769">
        <v>404.52374794520551</v>
      </c>
      <c r="U25" s="2769">
        <v>229.17225205479454</v>
      </c>
      <c r="V25" s="2769">
        <v>12.5</v>
      </c>
      <c r="W25" s="2769">
        <v>0.18</v>
      </c>
      <c r="X25" s="2769">
        <v>9.5529672000000012</v>
      </c>
      <c r="Y25" s="2762">
        <f t="shared" si="0"/>
        <v>0</v>
      </c>
    </row>
    <row r="26" spans="1:25" x14ac:dyDescent="0.25">
      <c r="A26" s="2770" t="s">
        <v>1980</v>
      </c>
      <c r="B26" s="2766">
        <v>1203</v>
      </c>
      <c r="C26" s="2766" t="s">
        <v>2761</v>
      </c>
      <c r="D26" s="2766" t="s">
        <v>336</v>
      </c>
      <c r="E26" s="2766" t="s">
        <v>1994</v>
      </c>
      <c r="F26" s="2766" t="s">
        <v>354</v>
      </c>
      <c r="G26" s="2766">
        <v>120305</v>
      </c>
      <c r="H26" s="2766">
        <f>Dataark_til_bilag2_2020[[#This Row],[Stald_kode]]+Dataark_til_bilag2_2020[[#This Row],[Dyr_Kode]]</f>
        <v>121508</v>
      </c>
      <c r="I26" s="4347">
        <v>0</v>
      </c>
      <c r="J26" s="2766" t="s">
        <v>1977</v>
      </c>
      <c r="K26" s="2766"/>
      <c r="L26" s="2767">
        <v>6.44</v>
      </c>
      <c r="M26" s="2767">
        <v>0.123</v>
      </c>
      <c r="N26" s="2760">
        <f>IFERROR(Dataark_til_bilag2_2020[[#This Row],[Antal dyr]]*Dataark_til_bilag2_2020[[#This Row],[Gødning (g) pr. dyr (ton)]]," ")</f>
        <v>0</v>
      </c>
      <c r="O26" s="2768"/>
      <c r="P26" s="2759">
        <v>0</v>
      </c>
      <c r="Q26" s="2767"/>
      <c r="R26" s="2769">
        <v>132</v>
      </c>
      <c r="S26" s="2769">
        <v>181</v>
      </c>
      <c r="T26" s="2769">
        <v>404.52374794520551</v>
      </c>
      <c r="U26" s="2769">
        <v>229.17225205479454</v>
      </c>
      <c r="V26" s="2769">
        <v>12.5</v>
      </c>
      <c r="W26" s="2769">
        <v>0.18</v>
      </c>
      <c r="X26" s="2769">
        <v>9.5529672000000012</v>
      </c>
      <c r="Y26" s="2762">
        <f t="shared" si="0"/>
        <v>0</v>
      </c>
    </row>
    <row r="27" spans="1:25" x14ac:dyDescent="0.25">
      <c r="A27" s="2770" t="s">
        <v>1980</v>
      </c>
      <c r="B27" s="2766">
        <v>1203</v>
      </c>
      <c r="C27" s="2766" t="s">
        <v>2761</v>
      </c>
      <c r="D27" s="2766" t="s">
        <v>336</v>
      </c>
      <c r="E27" s="2766" t="s">
        <v>1987</v>
      </c>
      <c r="F27" s="2766" t="s">
        <v>350</v>
      </c>
      <c r="G27" s="2766">
        <v>120306</v>
      </c>
      <c r="H27" s="2766">
        <f>Dataark_til_bilag2_2020[[#This Row],[Stald_kode]]+Dataark_til_bilag2_2020[[#This Row],[Dyr_Kode]]</f>
        <v>121509</v>
      </c>
      <c r="I27" s="4347">
        <v>356.1</v>
      </c>
      <c r="J27" s="2766"/>
      <c r="K27" s="2766" t="s">
        <v>350</v>
      </c>
      <c r="L27" s="2767"/>
      <c r="M27" s="2767"/>
      <c r="N27" s="2760">
        <f>IFERROR(Dataark_til_bilag2_2020[[#This Row],[Antal dyr]]*Dataark_til_bilag2_2020[[#This Row],[Gødning (g) pr. dyr (ton)]]," ")</f>
        <v>0</v>
      </c>
      <c r="O27" s="2767">
        <v>5.52</v>
      </c>
      <c r="P27" s="2759">
        <v>1965.672</v>
      </c>
      <c r="Q27" s="2767">
        <v>0.3</v>
      </c>
      <c r="R27" s="2769">
        <v>132</v>
      </c>
      <c r="S27" s="2769">
        <v>181</v>
      </c>
      <c r="T27" s="2769">
        <v>1056.6421052054795</v>
      </c>
      <c r="U27" s="2769">
        <v>479.10575342465756</v>
      </c>
      <c r="V27" s="2769">
        <v>17</v>
      </c>
      <c r="W27" s="2769">
        <v>0.18</v>
      </c>
      <c r="X27" s="2769">
        <v>31.485902597635068</v>
      </c>
      <c r="Y27" s="2762">
        <f t="shared" si="0"/>
        <v>11.212129915017849</v>
      </c>
    </row>
    <row r="28" spans="1:25" ht="14.25" customHeight="1" x14ac:dyDescent="0.25">
      <c r="A28" s="2770" t="s">
        <v>1980</v>
      </c>
      <c r="B28" s="2766">
        <v>1203</v>
      </c>
      <c r="C28" s="2766" t="s">
        <v>2761</v>
      </c>
      <c r="D28" s="2766" t="s">
        <v>336</v>
      </c>
      <c r="E28" s="2766" t="s">
        <v>2004</v>
      </c>
      <c r="F28" s="2766" t="s">
        <v>350</v>
      </c>
      <c r="G28" s="2766">
        <v>120307</v>
      </c>
      <c r="H28" s="2766">
        <f>Dataark_til_bilag2_2020[[#This Row],[Stald_kode]]+Dataark_til_bilag2_2020[[#This Row],[Dyr_Kode]]</f>
        <v>121510</v>
      </c>
      <c r="I28" s="4347">
        <v>103.66</v>
      </c>
      <c r="J28" s="2766"/>
      <c r="K28" s="2766" t="s">
        <v>350</v>
      </c>
      <c r="L28" s="2767"/>
      <c r="M28" s="2767"/>
      <c r="N28" s="2760">
        <f>IFERROR(Dataark_til_bilag2_2020[[#This Row],[Antal dyr]]*Dataark_til_bilag2_2020[[#This Row],[Gødning (g) pr. dyr (ton)]]," ")</f>
        <v>0</v>
      </c>
      <c r="O28" s="2767">
        <v>4.88</v>
      </c>
      <c r="P28" s="2759">
        <v>505.86079999999998</v>
      </c>
      <c r="Q28" s="2767">
        <v>0.3</v>
      </c>
      <c r="R28" s="2769">
        <v>132</v>
      </c>
      <c r="S28" s="2769">
        <v>181</v>
      </c>
      <c r="T28" s="2769">
        <v>934.13287561643835</v>
      </c>
      <c r="U28" s="2769">
        <v>423.55726027397259</v>
      </c>
      <c r="V28" s="2769">
        <v>17</v>
      </c>
      <c r="W28" s="2769">
        <v>0.18</v>
      </c>
      <c r="X28" s="2769">
        <v>27.835363166025203</v>
      </c>
      <c r="Y28" s="2762">
        <f t="shared" si="0"/>
        <v>2.8854137457901725</v>
      </c>
    </row>
    <row r="29" spans="1:25" x14ac:dyDescent="0.25">
      <c r="A29" s="2770" t="s">
        <v>1980</v>
      </c>
      <c r="B29" s="2766">
        <v>1203</v>
      </c>
      <c r="C29" s="2766" t="s">
        <v>2761</v>
      </c>
      <c r="D29" s="2766" t="s">
        <v>336</v>
      </c>
      <c r="E29" s="2766" t="s">
        <v>1985</v>
      </c>
      <c r="F29" s="2766" t="s">
        <v>350</v>
      </c>
      <c r="G29" s="2766">
        <v>120308</v>
      </c>
      <c r="H29" s="2766">
        <f>Dataark_til_bilag2_2020[[#This Row],[Stald_kode]]+Dataark_til_bilag2_2020[[#This Row],[Dyr_Kode]]</f>
        <v>121511</v>
      </c>
      <c r="I29" s="4347">
        <v>0</v>
      </c>
      <c r="J29" s="2766" t="s">
        <v>1977</v>
      </c>
      <c r="K29" s="2766"/>
      <c r="L29" s="2767">
        <v>2.65</v>
      </c>
      <c r="M29" s="2767">
        <v>0.11</v>
      </c>
      <c r="N29" s="2760">
        <f>IFERROR(Dataark_til_bilag2_2020[[#This Row],[Antal dyr]]*Dataark_til_bilag2_2020[[#This Row],[Gødning (g) pr. dyr (ton)]]," ")</f>
        <v>0</v>
      </c>
      <c r="O29" s="2768"/>
      <c r="P29" s="2759">
        <v>0</v>
      </c>
      <c r="Q29" s="2767"/>
      <c r="R29" s="2769">
        <v>132</v>
      </c>
      <c r="S29" s="2769">
        <v>181</v>
      </c>
      <c r="T29" s="2769">
        <v>148.86465753424656</v>
      </c>
      <c r="U29" s="2769">
        <v>84.335342465753428</v>
      </c>
      <c r="V29" s="2769">
        <v>12.5</v>
      </c>
      <c r="W29" s="2769">
        <v>0.18</v>
      </c>
      <c r="X29" s="2769">
        <v>3.5154899999999998</v>
      </c>
      <c r="Y29" s="2762">
        <f t="shared" si="0"/>
        <v>0</v>
      </c>
    </row>
    <row r="30" spans="1:25" x14ac:dyDescent="0.25">
      <c r="A30" s="2770" t="s">
        <v>1980</v>
      </c>
      <c r="B30" s="2766">
        <v>1203</v>
      </c>
      <c r="C30" s="2766" t="s">
        <v>2761</v>
      </c>
      <c r="D30" s="2766" t="s">
        <v>336</v>
      </c>
      <c r="E30" s="2766" t="s">
        <v>1984</v>
      </c>
      <c r="F30" s="2766" t="s">
        <v>350</v>
      </c>
      <c r="G30" s="2766">
        <v>120309</v>
      </c>
      <c r="H30" s="2766">
        <f>Dataark_til_bilag2_2020[[#This Row],[Stald_kode]]+Dataark_til_bilag2_2020[[#This Row],[Dyr_Kode]]</f>
        <v>121512</v>
      </c>
      <c r="I30" s="4347">
        <v>0</v>
      </c>
      <c r="J30" s="2766" t="s">
        <v>1977</v>
      </c>
      <c r="K30" s="2766"/>
      <c r="L30" s="2767">
        <v>2.65</v>
      </c>
      <c r="M30" s="2767">
        <v>0.11</v>
      </c>
      <c r="N30" s="2760">
        <f>IFERROR(Dataark_til_bilag2_2020[[#This Row],[Antal dyr]]*Dataark_til_bilag2_2020[[#This Row],[Gødning (g) pr. dyr (ton)]]," ")</f>
        <v>0</v>
      </c>
      <c r="O30" s="2768"/>
      <c r="P30" s="2759">
        <v>0</v>
      </c>
      <c r="Q30" s="2767"/>
      <c r="R30" s="2769">
        <v>132</v>
      </c>
      <c r="S30" s="2769">
        <v>181</v>
      </c>
      <c r="T30" s="2769">
        <v>148.86465753424656</v>
      </c>
      <c r="U30" s="2769">
        <v>84.335342465753428</v>
      </c>
      <c r="V30" s="2769">
        <v>12.5</v>
      </c>
      <c r="W30" s="2769">
        <v>0.18</v>
      </c>
      <c r="X30" s="2769">
        <v>3.5154899999999998</v>
      </c>
      <c r="Y30" s="2762">
        <f t="shared" si="0"/>
        <v>0</v>
      </c>
    </row>
    <row r="31" spans="1:25" x14ac:dyDescent="0.25">
      <c r="A31" s="2770" t="s">
        <v>1980</v>
      </c>
      <c r="B31" s="2766">
        <v>1203</v>
      </c>
      <c r="C31" s="2766" t="s">
        <v>2761</v>
      </c>
      <c r="D31" s="2766" t="s">
        <v>336</v>
      </c>
      <c r="E31" s="2766" t="s">
        <v>1983</v>
      </c>
      <c r="F31" s="2766" t="s">
        <v>350</v>
      </c>
      <c r="G31" s="2766">
        <v>120310</v>
      </c>
      <c r="H31" s="2766">
        <f>Dataark_til_bilag2_2020[[#This Row],[Stald_kode]]+Dataark_til_bilag2_2020[[#This Row],[Dyr_Kode]]</f>
        <v>121513</v>
      </c>
      <c r="I31" s="4347">
        <v>0</v>
      </c>
      <c r="J31" s="2766" t="s">
        <v>1977</v>
      </c>
      <c r="K31" s="2766"/>
      <c r="L31" s="2767">
        <v>2.65</v>
      </c>
      <c r="M31" s="2767">
        <v>0.11</v>
      </c>
      <c r="N31" s="2760">
        <f>IFERROR(Dataark_til_bilag2_2020[[#This Row],[Antal dyr]]*Dataark_til_bilag2_2020[[#This Row],[Gødning (g) pr. dyr (ton)]]," ")</f>
        <v>0</v>
      </c>
      <c r="O31" s="2768"/>
      <c r="P31" s="2759">
        <v>0</v>
      </c>
      <c r="Q31" s="2767"/>
      <c r="R31" s="2769">
        <v>132</v>
      </c>
      <c r="S31" s="2769">
        <v>181</v>
      </c>
      <c r="T31" s="2769">
        <v>148.86465753424656</v>
      </c>
      <c r="U31" s="2769">
        <v>84.335342465753428</v>
      </c>
      <c r="V31" s="2769">
        <v>12.5</v>
      </c>
      <c r="W31" s="2769">
        <v>0.18</v>
      </c>
      <c r="X31" s="2769">
        <v>3.5154899999999998</v>
      </c>
      <c r="Y31" s="2762">
        <f t="shared" si="0"/>
        <v>0</v>
      </c>
    </row>
    <row r="32" spans="1:25" x14ac:dyDescent="0.25">
      <c r="A32" s="2770" t="s">
        <v>1980</v>
      </c>
      <c r="B32" s="2766">
        <v>1203</v>
      </c>
      <c r="C32" s="2766" t="s">
        <v>2761</v>
      </c>
      <c r="D32" s="2766" t="s">
        <v>336</v>
      </c>
      <c r="E32" s="2766" t="s">
        <v>1996</v>
      </c>
      <c r="F32" s="2766" t="s">
        <v>353</v>
      </c>
      <c r="G32" s="2766">
        <v>120312</v>
      </c>
      <c r="H32" s="2766">
        <f>Dataark_til_bilag2_2020[[#This Row],[Stald_kode]]+Dataark_til_bilag2_2020[[#This Row],[Dyr_Kode]]</f>
        <v>121515</v>
      </c>
      <c r="I32" s="4347">
        <v>0</v>
      </c>
      <c r="J32" s="2766" t="s">
        <v>1977</v>
      </c>
      <c r="K32" s="2766"/>
      <c r="L32" s="2767">
        <v>7.28</v>
      </c>
      <c r="M32" s="2767">
        <v>0.1</v>
      </c>
      <c r="N32" s="2760">
        <f>IFERROR(Dataark_til_bilag2_2020[[#This Row],[Antal dyr]]*Dataark_til_bilag2_2020[[#This Row],[Gødning (g) pr. dyr (ton)]]," ")</f>
        <v>0</v>
      </c>
      <c r="O32" s="2768"/>
      <c r="P32" s="2759">
        <v>0</v>
      </c>
      <c r="Q32" s="2767"/>
      <c r="R32" s="2769">
        <v>132</v>
      </c>
      <c r="S32" s="2769">
        <v>181</v>
      </c>
      <c r="T32" s="2769">
        <v>371.77863013698635</v>
      </c>
      <c r="U32" s="2769">
        <v>210.62136986301374</v>
      </c>
      <c r="V32" s="2769">
        <v>12.5</v>
      </c>
      <c r="W32" s="2769">
        <v>0.18</v>
      </c>
      <c r="X32" s="2769">
        <v>8.7796800000000008</v>
      </c>
      <c r="Y32" s="2762">
        <f t="shared" si="0"/>
        <v>0</v>
      </c>
    </row>
    <row r="33" spans="1:25" x14ac:dyDescent="0.25">
      <c r="A33" s="2770" t="s">
        <v>1980</v>
      </c>
      <c r="B33" s="2766">
        <v>1203</v>
      </c>
      <c r="C33" s="2766" t="s">
        <v>2761</v>
      </c>
      <c r="D33" s="2766" t="s">
        <v>336</v>
      </c>
      <c r="E33" s="2766" t="s">
        <v>1990</v>
      </c>
      <c r="F33" s="2766" t="s">
        <v>354</v>
      </c>
      <c r="G33" s="2766">
        <v>120316</v>
      </c>
      <c r="H33" s="2766">
        <f>Dataark_til_bilag2_2020[[#This Row],[Stald_kode]]+Dataark_til_bilag2_2020[[#This Row],[Dyr_Kode]]</f>
        <v>121519</v>
      </c>
      <c r="I33" s="4347">
        <v>0</v>
      </c>
      <c r="J33" s="2766" t="s">
        <v>1977</v>
      </c>
      <c r="K33" s="2766"/>
      <c r="L33" s="2767">
        <v>6.44</v>
      </c>
      <c r="M33" s="2767">
        <v>0.123</v>
      </c>
      <c r="N33" s="2760">
        <f>IFERROR(Dataark_til_bilag2_2020[[#This Row],[Antal dyr]]*Dataark_til_bilag2_2020[[#This Row],[Gødning (g) pr. dyr (ton)]]," ")</f>
        <v>0</v>
      </c>
      <c r="O33" s="2768"/>
      <c r="P33" s="2759">
        <v>0</v>
      </c>
      <c r="Q33" s="2767"/>
      <c r="R33" s="2769">
        <v>132</v>
      </c>
      <c r="S33" s="2769">
        <v>181</v>
      </c>
      <c r="T33" s="2769">
        <v>404.52374794520551</v>
      </c>
      <c r="U33" s="2769">
        <v>229.17225205479454</v>
      </c>
      <c r="V33" s="2769">
        <v>12.5</v>
      </c>
      <c r="W33" s="2769">
        <v>0.24</v>
      </c>
      <c r="X33" s="2769">
        <v>12.7372896</v>
      </c>
      <c r="Y33" s="2762">
        <f t="shared" si="0"/>
        <v>0</v>
      </c>
    </row>
    <row r="34" spans="1:25" x14ac:dyDescent="0.25">
      <c r="A34" s="2770" t="s">
        <v>1980</v>
      </c>
      <c r="B34" s="2766">
        <v>1204</v>
      </c>
      <c r="C34" s="2766" t="s">
        <v>2802</v>
      </c>
      <c r="D34" s="2766" t="s">
        <v>2794</v>
      </c>
      <c r="E34" s="2766" t="s">
        <v>2006</v>
      </c>
      <c r="F34" s="2766" t="s">
        <v>350</v>
      </c>
      <c r="G34" s="2766">
        <v>120401</v>
      </c>
      <c r="H34" s="2766">
        <f>Dataark_til_bilag2_2020[[#This Row],[Stald_kode]]+Dataark_til_bilag2_2020[[#This Row],[Dyr_Kode]]</f>
        <v>121605</v>
      </c>
      <c r="I34" s="4347">
        <v>485</v>
      </c>
      <c r="J34" s="2766"/>
      <c r="K34" s="2766" t="s">
        <v>350</v>
      </c>
      <c r="L34" s="2767"/>
      <c r="M34" s="2767"/>
      <c r="N34" s="2760">
        <f>IFERROR(Dataark_til_bilag2_2020[[#This Row],[Antal dyr]]*Dataark_til_bilag2_2020[[#This Row],[Gødning (g) pr. dyr (ton)]]," ")</f>
        <v>0</v>
      </c>
      <c r="O34" s="2767">
        <v>1.89</v>
      </c>
      <c r="P34" s="2759">
        <v>916.65</v>
      </c>
      <c r="Q34" s="2767">
        <v>0.3</v>
      </c>
      <c r="R34" s="2769">
        <v>18</v>
      </c>
      <c r="S34" s="2769">
        <v>224</v>
      </c>
      <c r="T34" s="2769">
        <v>538.7957889041096</v>
      </c>
      <c r="U34" s="2769">
        <v>22.369315068493151</v>
      </c>
      <c r="V34" s="2769">
        <v>17</v>
      </c>
      <c r="W34" s="2769">
        <v>0.18</v>
      </c>
      <c r="X34" s="2769">
        <v>11.505006961646304</v>
      </c>
      <c r="Y34" s="2762">
        <f t="shared" si="0"/>
        <v>5.579928376398458</v>
      </c>
    </row>
    <row r="35" spans="1:25" x14ac:dyDescent="0.25">
      <c r="A35" s="2770" t="s">
        <v>1980</v>
      </c>
      <c r="B35" s="2766">
        <v>1204</v>
      </c>
      <c r="C35" s="2766" t="s">
        <v>2802</v>
      </c>
      <c r="D35" s="2766" t="s">
        <v>2794</v>
      </c>
      <c r="E35" s="2766" t="s">
        <v>2004</v>
      </c>
      <c r="F35" s="2766" t="s">
        <v>350</v>
      </c>
      <c r="G35" s="2766">
        <v>120402</v>
      </c>
      <c r="H35" s="2766">
        <f>Dataark_til_bilag2_2020[[#This Row],[Stald_kode]]+Dataark_til_bilag2_2020[[#This Row],[Dyr_Kode]]</f>
        <v>121606</v>
      </c>
      <c r="I35" s="4347">
        <v>0</v>
      </c>
      <c r="J35" s="2766"/>
      <c r="K35" s="2766" t="s">
        <v>350</v>
      </c>
      <c r="L35" s="2767"/>
      <c r="M35" s="2767"/>
      <c r="N35" s="2760">
        <f>IFERROR(Dataark_til_bilag2_2020[[#This Row],[Antal dyr]]*Dataark_til_bilag2_2020[[#This Row],[Gødning (g) pr. dyr (ton)]]," ")</f>
        <v>0</v>
      </c>
      <c r="O35" s="2767">
        <v>1.89</v>
      </c>
      <c r="P35" s="2759">
        <v>0</v>
      </c>
      <c r="Q35" s="2767">
        <v>0.3</v>
      </c>
      <c r="R35" s="2769">
        <v>18</v>
      </c>
      <c r="S35" s="2769">
        <v>224</v>
      </c>
      <c r="T35" s="2769">
        <v>538.7957889041096</v>
      </c>
      <c r="U35" s="2769">
        <v>22.369315068493151</v>
      </c>
      <c r="V35" s="2769">
        <v>3</v>
      </c>
      <c r="W35" s="2769">
        <v>0.18</v>
      </c>
      <c r="X35" s="2769">
        <v>2.0302953461728772</v>
      </c>
      <c r="Y35" s="2762">
        <f t="shared" si="0"/>
        <v>0</v>
      </c>
    </row>
    <row r="36" spans="1:25" x14ac:dyDescent="0.25">
      <c r="A36" s="2770" t="s">
        <v>1980</v>
      </c>
      <c r="B36" s="2766">
        <v>1205</v>
      </c>
      <c r="C36" s="2766" t="s">
        <v>2797</v>
      </c>
      <c r="D36" s="2766" t="s">
        <v>2796</v>
      </c>
      <c r="E36" s="2766" t="s">
        <v>1989</v>
      </c>
      <c r="F36" s="2766" t="s">
        <v>639</v>
      </c>
      <c r="G36" s="2766">
        <v>120501</v>
      </c>
      <c r="H36" s="2766">
        <f>Dataark_til_bilag2_2020[[#This Row],[Stald_kode]]+Dataark_til_bilag2_2020[[#This Row],[Dyr_Kode]]</f>
        <v>121706</v>
      </c>
      <c r="I36" s="4347">
        <v>5.1100000000000003</v>
      </c>
      <c r="J36" s="2766" t="s">
        <v>1903</v>
      </c>
      <c r="K36" s="2766"/>
      <c r="L36" s="2767">
        <v>1.92</v>
      </c>
      <c r="M36" s="2767">
        <v>0.20599999999999999</v>
      </c>
      <c r="N36" s="2760">
        <f>IFERROR(Dataark_til_bilag2_2020[[#This Row],[Antal dyr]]*Dataark_til_bilag2_2020[[#This Row],[Gødning (g) pr. dyr (ton)]]," ")</f>
        <v>9.8111999999999995</v>
      </c>
      <c r="O36" s="2768"/>
      <c r="P36" s="2759">
        <v>0</v>
      </c>
      <c r="Q36" s="2767"/>
      <c r="R36" s="2769">
        <v>18</v>
      </c>
      <c r="S36" s="2769">
        <v>181</v>
      </c>
      <c r="T36" s="2769">
        <v>300.81192328767116</v>
      </c>
      <c r="U36" s="2769">
        <v>15.604076712328764</v>
      </c>
      <c r="V36" s="2769">
        <v>2</v>
      </c>
      <c r="W36" s="2769">
        <v>0.18</v>
      </c>
      <c r="X36" s="2769">
        <v>0.76319539199999986</v>
      </c>
      <c r="Y36" s="2762">
        <f t="shared" si="0"/>
        <v>3.8999284531199994E-3</v>
      </c>
    </row>
    <row r="37" spans="1:25" x14ac:dyDescent="0.25">
      <c r="A37" s="2770" t="s">
        <v>1980</v>
      </c>
      <c r="B37" s="2766">
        <v>1205</v>
      </c>
      <c r="C37" s="2766" t="s">
        <v>2797</v>
      </c>
      <c r="D37" s="2766" t="s">
        <v>2796</v>
      </c>
      <c r="E37" s="2766" t="s">
        <v>1988</v>
      </c>
      <c r="F37" s="2766" t="s">
        <v>639</v>
      </c>
      <c r="G37" s="2766">
        <v>120502</v>
      </c>
      <c r="H37" s="2766">
        <f>Dataark_til_bilag2_2020[[#This Row],[Stald_kode]]+Dataark_til_bilag2_2020[[#This Row],[Dyr_Kode]]</f>
        <v>121707</v>
      </c>
      <c r="I37" s="4347">
        <v>0</v>
      </c>
      <c r="J37" s="2766" t="s">
        <v>1977</v>
      </c>
      <c r="K37" s="2766"/>
      <c r="L37" s="2767">
        <v>3.31</v>
      </c>
      <c r="M37" s="2767">
        <v>0.128</v>
      </c>
      <c r="N37" s="2760">
        <f>IFERROR(Dataark_til_bilag2_2020[[#This Row],[Antal dyr]]*Dataark_til_bilag2_2020[[#This Row],[Gødning (g) pr. dyr (ton)]]," ")</f>
        <v>0</v>
      </c>
      <c r="O37" s="2768"/>
      <c r="P37" s="2759">
        <v>0</v>
      </c>
      <c r="Q37" s="2767"/>
      <c r="R37" s="2769">
        <v>18</v>
      </c>
      <c r="S37" s="2769">
        <v>181</v>
      </c>
      <c r="T37" s="2769">
        <v>322.22895342465756</v>
      </c>
      <c r="U37" s="2769">
        <v>16.715046575342466</v>
      </c>
      <c r="V37" s="2769">
        <v>12.5</v>
      </c>
      <c r="W37" s="2769">
        <v>0.18</v>
      </c>
      <c r="X37" s="2769">
        <v>5.1095808000000007</v>
      </c>
      <c r="Y37" s="2762">
        <f t="shared" ref="Y37:Y68" si="1">IFERROR(IFERROR((X37*I37)/1000,(X37*I36)/1000),"-")</f>
        <v>0</v>
      </c>
    </row>
    <row r="38" spans="1:25" x14ac:dyDescent="0.25">
      <c r="A38" s="2770" t="s">
        <v>1980</v>
      </c>
      <c r="B38" s="2766">
        <v>1205</v>
      </c>
      <c r="C38" s="2766" t="s">
        <v>2797</v>
      </c>
      <c r="D38" s="2766" t="s">
        <v>2796</v>
      </c>
      <c r="E38" s="2766" t="s">
        <v>1987</v>
      </c>
      <c r="F38" s="2766" t="s">
        <v>350</v>
      </c>
      <c r="G38" s="2766">
        <v>120503</v>
      </c>
      <c r="H38" s="2766">
        <f>Dataark_til_bilag2_2020[[#This Row],[Stald_kode]]+Dataark_til_bilag2_2020[[#This Row],[Dyr_Kode]]</f>
        <v>121708</v>
      </c>
      <c r="I38" s="4347">
        <v>376.81</v>
      </c>
      <c r="J38" s="2766"/>
      <c r="K38" s="2766" t="s">
        <v>350</v>
      </c>
      <c r="L38" s="2767"/>
      <c r="M38" s="2767"/>
      <c r="N38" s="2760">
        <f>IFERROR(Dataark_til_bilag2_2020[[#This Row],[Antal dyr]]*Dataark_til_bilag2_2020[[#This Row],[Gødning (g) pr. dyr (ton)]]," ")</f>
        <v>0</v>
      </c>
      <c r="O38" s="2767">
        <v>2.5299999999999998</v>
      </c>
      <c r="P38" s="2759">
        <v>953.32929999999988</v>
      </c>
      <c r="Q38" s="2767">
        <v>0.3</v>
      </c>
      <c r="R38" s="2769">
        <v>18</v>
      </c>
      <c r="S38" s="2769">
        <v>181</v>
      </c>
      <c r="T38" s="2769">
        <v>721.24515657534243</v>
      </c>
      <c r="U38" s="2769">
        <v>29.944109589041098</v>
      </c>
      <c r="V38" s="2769">
        <v>17</v>
      </c>
      <c r="W38" s="2769">
        <v>0.18</v>
      </c>
      <c r="X38" s="2769">
        <v>15.400882334902189</v>
      </c>
      <c r="Y38" s="2762">
        <f t="shared" si="1"/>
        <v>5.8032064726144936</v>
      </c>
    </row>
    <row r="39" spans="1:25" x14ac:dyDescent="0.25">
      <c r="A39" s="2770" t="s">
        <v>1980</v>
      </c>
      <c r="B39" s="2766">
        <v>1205</v>
      </c>
      <c r="C39" s="2766" t="s">
        <v>2797</v>
      </c>
      <c r="D39" s="2766" t="s">
        <v>2796</v>
      </c>
      <c r="E39" s="2766" t="s">
        <v>2004</v>
      </c>
      <c r="F39" s="2766" t="s">
        <v>350</v>
      </c>
      <c r="G39" s="2766">
        <v>120504</v>
      </c>
      <c r="H39" s="2766">
        <f>Dataark_til_bilag2_2020[[#This Row],[Stald_kode]]+Dataark_til_bilag2_2020[[#This Row],[Dyr_Kode]]</f>
        <v>121709</v>
      </c>
      <c r="I39" s="4347">
        <v>139.69</v>
      </c>
      <c r="J39" s="2766"/>
      <c r="K39" s="2766" t="s">
        <v>350</v>
      </c>
      <c r="L39" s="2767"/>
      <c r="M39" s="2767"/>
      <c r="N39" s="2760">
        <f>IFERROR(Dataark_til_bilag2_2020[[#This Row],[Antal dyr]]*Dataark_til_bilag2_2020[[#This Row],[Gødning (g) pr. dyr (ton)]]," ")</f>
        <v>0</v>
      </c>
      <c r="O39" s="2767">
        <v>2.2400000000000002</v>
      </c>
      <c r="P39" s="2759">
        <v>312.90560000000005</v>
      </c>
      <c r="Q39" s="2767">
        <v>0.3</v>
      </c>
      <c r="R39" s="2769">
        <v>18</v>
      </c>
      <c r="S39" s="2769">
        <v>181</v>
      </c>
      <c r="T39" s="2769">
        <v>638.57278684931498</v>
      </c>
      <c r="U39" s="2769">
        <v>26.511780821917803</v>
      </c>
      <c r="V39" s="2769">
        <v>3</v>
      </c>
      <c r="W39" s="2769">
        <v>0.18</v>
      </c>
      <c r="X39" s="2769">
        <v>2.4062759658345203</v>
      </c>
      <c r="Y39" s="2762">
        <f t="shared" si="1"/>
        <v>0.33613268966742416</v>
      </c>
    </row>
    <row r="40" spans="1:25" x14ac:dyDescent="0.25">
      <c r="A40" s="2770" t="s">
        <v>1980</v>
      </c>
      <c r="B40" s="2766">
        <v>1205</v>
      </c>
      <c r="C40" s="2766" t="s">
        <v>2797</v>
      </c>
      <c r="D40" s="2766" t="s">
        <v>2796</v>
      </c>
      <c r="E40" s="2766" t="s">
        <v>1985</v>
      </c>
      <c r="F40" s="2766" t="s">
        <v>350</v>
      </c>
      <c r="G40" s="2766">
        <v>120505</v>
      </c>
      <c r="H40" s="2766">
        <f>Dataark_til_bilag2_2020[[#This Row],[Stald_kode]]+Dataark_til_bilag2_2020[[#This Row],[Dyr_Kode]]</f>
        <v>121710</v>
      </c>
      <c r="I40" s="4347">
        <v>0</v>
      </c>
      <c r="J40" s="2766" t="s">
        <v>1977</v>
      </c>
      <c r="K40" s="2766"/>
      <c r="L40" s="2767">
        <v>1.36</v>
      </c>
      <c r="M40" s="2767">
        <v>8.8999999999999996E-2</v>
      </c>
      <c r="N40" s="2760">
        <f>IFERROR(Dataark_til_bilag2_2020[[#This Row],[Antal dyr]]*Dataark_til_bilag2_2020[[#This Row],[Gødning (g) pr. dyr (ton)]]," ")</f>
        <v>0</v>
      </c>
      <c r="O40" s="2768"/>
      <c r="P40" s="2759">
        <v>0</v>
      </c>
      <c r="Q40" s="2767"/>
      <c r="R40" s="2769">
        <v>18</v>
      </c>
      <c r="S40" s="2769">
        <v>181</v>
      </c>
      <c r="T40" s="2769">
        <v>92.056723287671218</v>
      </c>
      <c r="U40" s="2769">
        <v>4.7752767123287665</v>
      </c>
      <c r="V40" s="2769">
        <v>12.5</v>
      </c>
      <c r="W40" s="2769">
        <v>0.18</v>
      </c>
      <c r="X40" s="2769">
        <v>1.4597423999999997</v>
      </c>
      <c r="Y40" s="2762">
        <f t="shared" si="1"/>
        <v>0</v>
      </c>
    </row>
    <row r="41" spans="1:25" x14ac:dyDescent="0.25">
      <c r="A41" s="2770" t="s">
        <v>1980</v>
      </c>
      <c r="B41" s="2766">
        <v>1205</v>
      </c>
      <c r="C41" s="2766" t="s">
        <v>2797</v>
      </c>
      <c r="D41" s="2766" t="s">
        <v>2796</v>
      </c>
      <c r="E41" s="2766" t="s">
        <v>1984</v>
      </c>
      <c r="F41" s="2766" t="s">
        <v>350</v>
      </c>
      <c r="G41" s="2766">
        <v>120506</v>
      </c>
      <c r="H41" s="2766">
        <f>Dataark_til_bilag2_2020[[#This Row],[Stald_kode]]+Dataark_til_bilag2_2020[[#This Row],[Dyr_Kode]]</f>
        <v>121711</v>
      </c>
      <c r="I41" s="4347">
        <v>0</v>
      </c>
      <c r="J41" s="2766" t="s">
        <v>1977</v>
      </c>
      <c r="K41" s="2766"/>
      <c r="L41" s="2767">
        <v>1.36</v>
      </c>
      <c r="M41" s="2767">
        <v>8.8999999999999996E-2</v>
      </c>
      <c r="N41" s="2760">
        <f>IFERROR(Dataark_til_bilag2_2020[[#This Row],[Antal dyr]]*Dataark_til_bilag2_2020[[#This Row],[Gødning (g) pr. dyr (ton)]]," ")</f>
        <v>0</v>
      </c>
      <c r="O41" s="2768"/>
      <c r="P41" s="2759">
        <v>0</v>
      </c>
      <c r="Q41" s="2767"/>
      <c r="R41" s="2769">
        <v>18</v>
      </c>
      <c r="S41" s="2769">
        <v>181</v>
      </c>
      <c r="T41" s="2769">
        <v>92.056723287671218</v>
      </c>
      <c r="U41" s="2769">
        <v>4.7752767123287665</v>
      </c>
      <c r="V41" s="2769">
        <v>12.5</v>
      </c>
      <c r="W41" s="2769">
        <v>0.18</v>
      </c>
      <c r="X41" s="2769">
        <v>1.4597423999999997</v>
      </c>
      <c r="Y41" s="2762">
        <f t="shared" si="1"/>
        <v>0</v>
      </c>
    </row>
    <row r="42" spans="1:25" x14ac:dyDescent="0.25">
      <c r="A42" s="2770" t="s">
        <v>1980</v>
      </c>
      <c r="B42" s="2766">
        <v>1205</v>
      </c>
      <c r="C42" s="2766" t="s">
        <v>2797</v>
      </c>
      <c r="D42" s="2766" t="s">
        <v>2796</v>
      </c>
      <c r="E42" s="2766" t="s">
        <v>1983</v>
      </c>
      <c r="F42" s="2766" t="s">
        <v>350</v>
      </c>
      <c r="G42" s="2766">
        <v>120507</v>
      </c>
      <c r="H42" s="2766">
        <f>Dataark_til_bilag2_2020[[#This Row],[Stald_kode]]+Dataark_til_bilag2_2020[[#This Row],[Dyr_Kode]]</f>
        <v>121712</v>
      </c>
      <c r="I42" s="4347">
        <v>0</v>
      </c>
      <c r="J42" s="2766" t="s">
        <v>1977</v>
      </c>
      <c r="K42" s="2766"/>
      <c r="L42" s="2767">
        <v>1.36</v>
      </c>
      <c r="M42" s="2767">
        <v>8.8999999999999996E-2</v>
      </c>
      <c r="N42" s="2760">
        <f>IFERROR(Dataark_til_bilag2_2020[[#This Row],[Antal dyr]]*Dataark_til_bilag2_2020[[#This Row],[Gødning (g) pr. dyr (ton)]]," ")</f>
        <v>0</v>
      </c>
      <c r="O42" s="2768"/>
      <c r="P42" s="2759">
        <v>0</v>
      </c>
      <c r="Q42" s="2767"/>
      <c r="R42" s="2769">
        <v>18</v>
      </c>
      <c r="S42" s="2769">
        <v>181</v>
      </c>
      <c r="T42" s="2769">
        <v>92.056723287671218</v>
      </c>
      <c r="U42" s="2769">
        <v>4.7752767123287665</v>
      </c>
      <c r="V42" s="2769">
        <v>12.5</v>
      </c>
      <c r="W42" s="2769">
        <v>0.18</v>
      </c>
      <c r="X42" s="2769">
        <v>1.4597423999999997</v>
      </c>
      <c r="Y42" s="2762">
        <f t="shared" si="1"/>
        <v>0</v>
      </c>
    </row>
    <row r="43" spans="1:25" x14ac:dyDescent="0.25">
      <c r="A43" s="2770" t="s">
        <v>1980</v>
      </c>
      <c r="B43" s="2766">
        <v>1205</v>
      </c>
      <c r="C43" s="2766" t="s">
        <v>2797</v>
      </c>
      <c r="D43" s="2766" t="s">
        <v>2796</v>
      </c>
      <c r="E43" s="2766" t="s">
        <v>1996</v>
      </c>
      <c r="F43" s="2766" t="s">
        <v>353</v>
      </c>
      <c r="G43" s="2766">
        <v>120509</v>
      </c>
      <c r="H43" s="2766">
        <f>Dataark_til_bilag2_2020[[#This Row],[Stald_kode]]+Dataark_til_bilag2_2020[[#This Row],[Dyr_Kode]]</f>
        <v>121714</v>
      </c>
      <c r="I43" s="4347">
        <v>0</v>
      </c>
      <c r="J43" s="2766" t="s">
        <v>1977</v>
      </c>
      <c r="K43" s="2766"/>
      <c r="L43" s="2767">
        <v>3</v>
      </c>
      <c r="M43" s="2767">
        <v>0.10100000000000001</v>
      </c>
      <c r="N43" s="2760">
        <f>IFERROR(Dataark_til_bilag2_2020[[#This Row],[Antal dyr]]*Dataark_til_bilag2_2020[[#This Row],[Gødning (g) pr. dyr (ton)]]," ")</f>
        <v>0</v>
      </c>
      <c r="O43" s="2768"/>
      <c r="P43" s="2759">
        <v>0</v>
      </c>
      <c r="Q43" s="2767"/>
      <c r="R43" s="2769">
        <v>18</v>
      </c>
      <c r="S43" s="2769">
        <v>181</v>
      </c>
      <c r="T43" s="2769">
        <v>230.44602739726034</v>
      </c>
      <c r="U43" s="2769">
        <v>11.953972602739729</v>
      </c>
      <c r="V43" s="2769">
        <v>12.5</v>
      </c>
      <c r="W43" s="2769">
        <v>0.18</v>
      </c>
      <c r="X43" s="2769">
        <v>3.6541800000000015</v>
      </c>
      <c r="Y43" s="2762">
        <f t="shared" si="1"/>
        <v>0</v>
      </c>
    </row>
    <row r="44" spans="1:25" x14ac:dyDescent="0.25">
      <c r="A44" s="2770" t="s">
        <v>1980</v>
      </c>
      <c r="B44" s="2766">
        <v>1205</v>
      </c>
      <c r="C44" s="2766" t="s">
        <v>2797</v>
      </c>
      <c r="D44" s="2766" t="s">
        <v>2796</v>
      </c>
      <c r="E44" s="2766" t="s">
        <v>1995</v>
      </c>
      <c r="F44" s="2766" t="s">
        <v>354</v>
      </c>
      <c r="G44" s="2766">
        <v>120510</v>
      </c>
      <c r="H44" s="2766">
        <f>Dataark_til_bilag2_2020[[#This Row],[Stald_kode]]+Dataark_til_bilag2_2020[[#This Row],[Dyr_Kode]]</f>
        <v>121715</v>
      </c>
      <c r="I44" s="4347">
        <v>0</v>
      </c>
      <c r="J44" s="2766" t="s">
        <v>1977</v>
      </c>
      <c r="K44" s="2766"/>
      <c r="L44" s="2767">
        <v>2.85</v>
      </c>
      <c r="M44" s="2767">
        <v>0.123</v>
      </c>
      <c r="N44" s="2760">
        <f>IFERROR(Dataark_til_bilag2_2020[[#This Row],[Antal dyr]]*Dataark_til_bilag2_2020[[#This Row],[Gødning (g) pr. dyr (ton)]]," ")</f>
        <v>0</v>
      </c>
      <c r="O44" s="2768"/>
      <c r="P44" s="2759">
        <v>0</v>
      </c>
      <c r="Q44" s="2767"/>
      <c r="R44" s="2769">
        <v>18</v>
      </c>
      <c r="S44" s="2769">
        <v>181</v>
      </c>
      <c r="T44" s="2769">
        <v>266.6100821917808</v>
      </c>
      <c r="U44" s="2769">
        <v>13.829917808219179</v>
      </c>
      <c r="V44" s="2769">
        <v>12.5</v>
      </c>
      <c r="W44" s="2769">
        <v>0.18</v>
      </c>
      <c r="X44" s="2769">
        <v>4.2276329999999991</v>
      </c>
      <c r="Y44" s="2762">
        <f t="shared" si="1"/>
        <v>0</v>
      </c>
    </row>
    <row r="45" spans="1:25" s="2775" customFormat="1" x14ac:dyDescent="0.25">
      <c r="A45" s="2770" t="s">
        <v>1980</v>
      </c>
      <c r="B45" s="2766">
        <v>1205</v>
      </c>
      <c r="C45" s="2766" t="s">
        <v>2797</v>
      </c>
      <c r="D45" s="2766" t="s">
        <v>2796</v>
      </c>
      <c r="E45" s="2766" t="s">
        <v>2003</v>
      </c>
      <c r="F45" s="2766" t="s">
        <v>354</v>
      </c>
      <c r="G45" s="2766">
        <v>120511</v>
      </c>
      <c r="H45" s="2766">
        <f>Dataark_til_bilag2_2020[[#This Row],[Stald_kode]]+Dataark_til_bilag2_2020[[#This Row],[Dyr_Kode]]</f>
        <v>121716</v>
      </c>
      <c r="I45" s="4347">
        <v>0</v>
      </c>
      <c r="J45" s="2766" t="s">
        <v>1977</v>
      </c>
      <c r="K45" s="2766"/>
      <c r="L45" s="2767">
        <v>2.85</v>
      </c>
      <c r="M45" s="2767">
        <v>0.123</v>
      </c>
      <c r="N45" s="2760">
        <f>IFERROR(Dataark_til_bilag2_2020[[#This Row],[Antal dyr]]*Dataark_til_bilag2_2020[[#This Row],[Gødning (g) pr. dyr (ton)]]," ")</f>
        <v>0</v>
      </c>
      <c r="O45" s="2768"/>
      <c r="P45" s="2759">
        <v>0</v>
      </c>
      <c r="Q45" s="2767"/>
      <c r="R45" s="2769">
        <v>18</v>
      </c>
      <c r="S45" s="2769">
        <v>181</v>
      </c>
      <c r="T45" s="2769">
        <v>266.6100821917808</v>
      </c>
      <c r="U45" s="2769">
        <v>13.829917808219179</v>
      </c>
      <c r="V45" s="2769">
        <v>12.5</v>
      </c>
      <c r="W45" s="2769">
        <v>0.18</v>
      </c>
      <c r="X45" s="2769">
        <v>4.2276329999999991</v>
      </c>
      <c r="Y45" s="2762">
        <f t="shared" si="1"/>
        <v>0</v>
      </c>
    </row>
    <row r="46" spans="1:25" x14ac:dyDescent="0.25">
      <c r="A46" s="2770" t="s">
        <v>1980</v>
      </c>
      <c r="B46" s="2766">
        <v>1205</v>
      </c>
      <c r="C46" s="2766" t="s">
        <v>2797</v>
      </c>
      <c r="D46" s="2766" t="s">
        <v>2796</v>
      </c>
      <c r="E46" s="2766" t="s">
        <v>2002</v>
      </c>
      <c r="F46" s="2766" t="s">
        <v>354</v>
      </c>
      <c r="G46" s="2766">
        <v>120512</v>
      </c>
      <c r="H46" s="2766">
        <f>Dataark_til_bilag2_2020[[#This Row],[Stald_kode]]+Dataark_til_bilag2_2020[[#This Row],[Dyr_Kode]]</f>
        <v>121717</v>
      </c>
      <c r="I46" s="4347">
        <v>0</v>
      </c>
      <c r="J46" s="2766" t="s">
        <v>1977</v>
      </c>
      <c r="K46" s="2766"/>
      <c r="L46" s="2767">
        <v>2.85</v>
      </c>
      <c r="M46" s="2767">
        <v>0.123</v>
      </c>
      <c r="N46" s="2760">
        <f>IFERROR(Dataark_til_bilag2_2020[[#This Row],[Antal dyr]]*Dataark_til_bilag2_2020[[#This Row],[Gødning (g) pr. dyr (ton)]]," ")</f>
        <v>0</v>
      </c>
      <c r="O46" s="2768"/>
      <c r="P46" s="2759">
        <v>0</v>
      </c>
      <c r="Q46" s="2767"/>
      <c r="R46" s="2769">
        <v>18</v>
      </c>
      <c r="S46" s="2769">
        <v>181</v>
      </c>
      <c r="T46" s="2769">
        <v>266.6100821917808</v>
      </c>
      <c r="U46" s="2769">
        <v>13.829917808219179</v>
      </c>
      <c r="V46" s="2769">
        <v>12.5</v>
      </c>
      <c r="W46" s="2769">
        <v>0.18</v>
      </c>
      <c r="X46" s="2769">
        <v>4.2276329999999991</v>
      </c>
      <c r="Y46" s="2762">
        <f t="shared" si="1"/>
        <v>0</v>
      </c>
    </row>
    <row r="47" spans="1:25" x14ac:dyDescent="0.25">
      <c r="A47" s="2770" t="s">
        <v>1980</v>
      </c>
      <c r="B47" s="2766">
        <v>1205</v>
      </c>
      <c r="C47" s="2766" t="s">
        <v>2797</v>
      </c>
      <c r="D47" s="2766" t="s">
        <v>2796</v>
      </c>
      <c r="E47" s="2766" t="s">
        <v>1990</v>
      </c>
      <c r="F47" s="2766" t="s">
        <v>354</v>
      </c>
      <c r="G47" s="2766">
        <v>120519</v>
      </c>
      <c r="H47" s="2766">
        <f>Dataark_til_bilag2_2020[[#This Row],[Stald_kode]]+Dataark_til_bilag2_2020[[#This Row],[Dyr_Kode]]</f>
        <v>121724</v>
      </c>
      <c r="I47" s="4347">
        <v>0</v>
      </c>
      <c r="J47" s="2766" t="s">
        <v>1977</v>
      </c>
      <c r="K47" s="2766"/>
      <c r="L47" s="2767">
        <v>2.85</v>
      </c>
      <c r="M47" s="2767">
        <v>0.123</v>
      </c>
      <c r="N47" s="2760">
        <f>IFERROR(Dataark_til_bilag2_2020[[#This Row],[Antal dyr]]*Dataark_til_bilag2_2020[[#This Row],[Gødning (g) pr. dyr (ton)]]," ")</f>
        <v>0</v>
      </c>
      <c r="O47" s="2768"/>
      <c r="P47" s="2759">
        <v>0</v>
      </c>
      <c r="Q47" s="2767"/>
      <c r="R47" s="2769">
        <v>18</v>
      </c>
      <c r="S47" s="2769">
        <v>181</v>
      </c>
      <c r="T47" s="2769">
        <v>266.6100821917808</v>
      </c>
      <c r="U47" s="2769">
        <v>13.829917808219179</v>
      </c>
      <c r="V47" s="2769">
        <v>12.5</v>
      </c>
      <c r="W47" s="2769">
        <v>0.18</v>
      </c>
      <c r="X47" s="2769">
        <v>4.2276329999999991</v>
      </c>
      <c r="Y47" s="2762">
        <f t="shared" si="1"/>
        <v>0</v>
      </c>
    </row>
    <row r="48" spans="1:25" x14ac:dyDescent="0.25">
      <c r="A48" s="2770" t="s">
        <v>1980</v>
      </c>
      <c r="B48" s="2766">
        <v>1206</v>
      </c>
      <c r="C48" s="2766" t="s">
        <v>2011</v>
      </c>
      <c r="D48" s="2766" t="s">
        <v>330</v>
      </c>
      <c r="E48" s="2766" t="s">
        <v>1989</v>
      </c>
      <c r="F48" s="2766" t="s">
        <v>639</v>
      </c>
      <c r="G48" s="2766">
        <v>120601</v>
      </c>
      <c r="H48" s="2766">
        <f>Dataark_til_bilag2_2020[[#This Row],[Stald_kode]]+Dataark_til_bilag2_2020[[#This Row],[Dyr_Kode]]</f>
        <v>121807</v>
      </c>
      <c r="I48" s="4347">
        <v>0</v>
      </c>
      <c r="J48" s="2766" t="s">
        <v>1903</v>
      </c>
      <c r="K48" s="2766"/>
      <c r="L48" s="2767">
        <v>4.51</v>
      </c>
      <c r="M48" s="2767">
        <f>18.2/100</f>
        <v>0.182</v>
      </c>
      <c r="N48" s="2760">
        <f>IFERROR(Dataark_til_bilag2_2020[[#This Row],[Antal dyr]]*Dataark_til_bilag2_2020[[#This Row],[Gødning (g) pr. dyr (ton)]]," ")</f>
        <v>0</v>
      </c>
      <c r="O48" s="2767"/>
      <c r="P48" s="2759">
        <v>0</v>
      </c>
      <c r="Q48" s="2767"/>
      <c r="R48" s="2769">
        <v>18</v>
      </c>
      <c r="S48" s="2769">
        <v>181</v>
      </c>
      <c r="T48" s="2769">
        <v>624.27296438356166</v>
      </c>
      <c r="U48" s="2769">
        <v>32.383035616438356</v>
      </c>
      <c r="V48" s="2769">
        <v>2</v>
      </c>
      <c r="W48" s="2769">
        <v>0.18</v>
      </c>
      <c r="X48" s="2769">
        <v>1.5838542720000002</v>
      </c>
      <c r="Y48" s="2762">
        <f t="shared" si="1"/>
        <v>0</v>
      </c>
    </row>
    <row r="49" spans="1:25" x14ac:dyDescent="0.25">
      <c r="A49" s="2770" t="s">
        <v>1980</v>
      </c>
      <c r="B49" s="2766">
        <v>1206</v>
      </c>
      <c r="C49" s="2766" t="s">
        <v>2011</v>
      </c>
      <c r="D49" s="2766" t="s">
        <v>330</v>
      </c>
      <c r="E49" s="2766" t="s">
        <v>1988</v>
      </c>
      <c r="F49" s="2766" t="s">
        <v>639</v>
      </c>
      <c r="G49" s="2766">
        <v>120602</v>
      </c>
      <c r="H49" s="2766">
        <f>Dataark_til_bilag2_2020[[#This Row],[Stald_kode]]+Dataark_til_bilag2_2020[[#This Row],[Dyr_Kode]]</f>
        <v>121808</v>
      </c>
      <c r="I49" s="4347">
        <v>0</v>
      </c>
      <c r="J49" s="2766" t="s">
        <v>1977</v>
      </c>
      <c r="K49" s="2766"/>
      <c r="L49" s="2767">
        <v>7.22</v>
      </c>
      <c r="M49" s="2767">
        <f>12.3/100</f>
        <v>0.12300000000000001</v>
      </c>
      <c r="N49" s="2760">
        <f>IFERROR(Dataark_til_bilag2_2020[[#This Row],[Antal dyr]]*Dataark_til_bilag2_2020[[#This Row],[Gødning (g) pr. dyr (ton)]]," ")</f>
        <v>0</v>
      </c>
      <c r="O49" s="2767"/>
      <c r="P49" s="2759">
        <v>0</v>
      </c>
      <c r="Q49" s="2767"/>
      <c r="R49" s="2769">
        <v>18</v>
      </c>
      <c r="S49" s="2769">
        <v>181</v>
      </c>
      <c r="T49" s="2769">
        <v>675.41220821917807</v>
      </c>
      <c r="U49" s="2769">
        <v>35.035791780821917</v>
      </c>
      <c r="V49" s="2769">
        <v>12.5</v>
      </c>
      <c r="W49" s="2769">
        <v>0.18</v>
      </c>
      <c r="X49" s="2769">
        <v>10.710003600000002</v>
      </c>
      <c r="Y49" s="2762">
        <f t="shared" si="1"/>
        <v>0</v>
      </c>
    </row>
    <row r="50" spans="1:25" x14ac:dyDescent="0.25">
      <c r="A50" s="2770" t="s">
        <v>1980</v>
      </c>
      <c r="B50" s="2766">
        <v>1206</v>
      </c>
      <c r="C50" s="2766" t="s">
        <v>2011</v>
      </c>
      <c r="D50" s="2766" t="s">
        <v>330</v>
      </c>
      <c r="E50" s="2766" t="s">
        <v>1987</v>
      </c>
      <c r="F50" s="2766" t="s">
        <v>350</v>
      </c>
      <c r="G50" s="2766">
        <v>120603</v>
      </c>
      <c r="H50" s="2766">
        <f>Dataark_til_bilag2_2020[[#This Row],[Stald_kode]]+Dataark_til_bilag2_2020[[#This Row],[Dyr_Kode]]</f>
        <v>121809</v>
      </c>
      <c r="I50" s="4347">
        <v>9.8699999999999992</v>
      </c>
      <c r="J50" s="2766"/>
      <c r="K50" s="2766" t="s">
        <v>350</v>
      </c>
      <c r="L50" s="2767"/>
      <c r="M50" s="2767"/>
      <c r="N50" s="2760">
        <f>IFERROR(Dataark_til_bilag2_2020[[#This Row],[Antal dyr]]*Dataark_til_bilag2_2020[[#This Row],[Gødning (g) pr. dyr (ton)]]," ")</f>
        <v>0</v>
      </c>
      <c r="O50" s="2767">
        <v>5.52</v>
      </c>
      <c r="P50" s="2759">
        <v>54.482399999999991</v>
      </c>
      <c r="Q50" s="2767">
        <f>30/100</f>
        <v>0.3</v>
      </c>
      <c r="R50" s="2769">
        <v>18</v>
      </c>
      <c r="S50" s="2769">
        <v>181</v>
      </c>
      <c r="T50" s="2769">
        <v>1573.6257961643835</v>
      </c>
      <c r="U50" s="2769">
        <v>0</v>
      </c>
      <c r="V50" s="2769">
        <v>17</v>
      </c>
      <c r="W50" s="2769">
        <v>0.18</v>
      </c>
      <c r="X50" s="2769">
        <v>32.262476072962187</v>
      </c>
      <c r="Y50" s="2762">
        <f t="shared" si="1"/>
        <v>0.31843063884013673</v>
      </c>
    </row>
    <row r="51" spans="1:25" x14ac:dyDescent="0.25">
      <c r="A51" s="2770" t="s">
        <v>1980</v>
      </c>
      <c r="B51" s="2766">
        <v>1206</v>
      </c>
      <c r="C51" s="2766" t="s">
        <v>2011</v>
      </c>
      <c r="D51" s="2766" t="s">
        <v>330</v>
      </c>
      <c r="E51" s="2766" t="s">
        <v>2004</v>
      </c>
      <c r="F51" s="2766" t="s">
        <v>350</v>
      </c>
      <c r="G51" s="2766">
        <v>120604</v>
      </c>
      <c r="H51" s="2766">
        <f>Dataark_til_bilag2_2020[[#This Row],[Stald_kode]]+Dataark_til_bilag2_2020[[#This Row],[Dyr_Kode]]</f>
        <v>121810</v>
      </c>
      <c r="I51" s="4347">
        <v>0</v>
      </c>
      <c r="J51" s="2766"/>
      <c r="K51" s="2766" t="s">
        <v>350</v>
      </c>
      <c r="L51" s="2767"/>
      <c r="M51" s="2767"/>
      <c r="N51" s="2760">
        <f>IFERROR(Dataark_til_bilag2_2020[[#This Row],[Antal dyr]]*Dataark_til_bilag2_2020[[#This Row],[Gødning (g) pr. dyr (ton)]]," ")</f>
        <v>0</v>
      </c>
      <c r="O51" s="2767">
        <v>4.88</v>
      </c>
      <c r="P51" s="2759">
        <v>0</v>
      </c>
      <c r="Q51" s="2767">
        <f>30/100</f>
        <v>0.3</v>
      </c>
      <c r="R51" s="2769">
        <v>18</v>
      </c>
      <c r="S51" s="2769">
        <v>181</v>
      </c>
      <c r="T51" s="2769">
        <v>1391.1764284931508</v>
      </c>
      <c r="U51" s="2769">
        <v>0</v>
      </c>
      <c r="V51" s="2769">
        <v>17</v>
      </c>
      <c r="W51" s="2769">
        <v>0.18</v>
      </c>
      <c r="X51" s="2769">
        <v>28.521899136966582</v>
      </c>
      <c r="Y51" s="2762">
        <f t="shared" si="1"/>
        <v>0</v>
      </c>
    </row>
    <row r="52" spans="1:25" x14ac:dyDescent="0.25">
      <c r="A52" s="2770" t="s">
        <v>1980</v>
      </c>
      <c r="B52" s="2766">
        <v>1206</v>
      </c>
      <c r="C52" s="2766" t="s">
        <v>2011</v>
      </c>
      <c r="D52" s="2766" t="s">
        <v>330</v>
      </c>
      <c r="E52" s="2766" t="s">
        <v>1985</v>
      </c>
      <c r="F52" s="2766" t="s">
        <v>350</v>
      </c>
      <c r="G52" s="2766">
        <v>120605</v>
      </c>
      <c r="H52" s="2766">
        <f>Dataark_til_bilag2_2020[[#This Row],[Stald_kode]]+Dataark_til_bilag2_2020[[#This Row],[Dyr_Kode]]</f>
        <v>121811</v>
      </c>
      <c r="I52" s="4347">
        <v>0</v>
      </c>
      <c r="J52" s="2766" t="s">
        <v>1977</v>
      </c>
      <c r="K52" s="2766"/>
      <c r="L52" s="2767">
        <v>2.65</v>
      </c>
      <c r="M52" s="2767">
        <f>11/100</f>
        <v>0.11</v>
      </c>
      <c r="N52" s="2760">
        <f>IFERROR(Dataark_til_bilag2_2020[[#This Row],[Antal dyr]]*Dataark_til_bilag2_2020[[#This Row],[Gødning (g) pr. dyr (ton)]]," ")</f>
        <v>0</v>
      </c>
      <c r="O52" s="2767"/>
      <c r="P52" s="2759">
        <v>0</v>
      </c>
      <c r="Q52" s="2767"/>
      <c r="R52" s="2769">
        <v>18</v>
      </c>
      <c r="S52" s="2769">
        <v>181</v>
      </c>
      <c r="T52" s="2769">
        <v>221.69972602739728</v>
      </c>
      <c r="U52" s="2769">
        <v>11.50027397260274</v>
      </c>
      <c r="V52" s="2769">
        <v>12.5</v>
      </c>
      <c r="W52" s="2769">
        <v>0.18</v>
      </c>
      <c r="X52" s="2769">
        <v>3.5154900000000002</v>
      </c>
      <c r="Y52" s="2762">
        <f t="shared" si="1"/>
        <v>0</v>
      </c>
    </row>
    <row r="53" spans="1:25" x14ac:dyDescent="0.25">
      <c r="A53" s="2770" t="s">
        <v>1980</v>
      </c>
      <c r="B53" s="2766">
        <v>1206</v>
      </c>
      <c r="C53" s="2766" t="s">
        <v>2011</v>
      </c>
      <c r="D53" s="2766" t="s">
        <v>330</v>
      </c>
      <c r="E53" s="2766" t="s">
        <v>2801</v>
      </c>
      <c r="F53" s="2766" t="s">
        <v>350</v>
      </c>
      <c r="G53" s="2766">
        <v>120606</v>
      </c>
      <c r="H53" s="2766">
        <f>Dataark_til_bilag2_2020[[#This Row],[Stald_kode]]+Dataark_til_bilag2_2020[[#This Row],[Dyr_Kode]]</f>
        <v>121812</v>
      </c>
      <c r="I53" s="4347">
        <v>0</v>
      </c>
      <c r="J53" s="2766" t="s">
        <v>1977</v>
      </c>
      <c r="K53" s="2766"/>
      <c r="L53" s="2767">
        <v>2.65</v>
      </c>
      <c r="M53" s="2767">
        <f>11/100</f>
        <v>0.11</v>
      </c>
      <c r="N53" s="2760">
        <f>IFERROR(Dataark_til_bilag2_2020[[#This Row],[Antal dyr]]*Dataark_til_bilag2_2020[[#This Row],[Gødning (g) pr. dyr (ton)]]," ")</f>
        <v>0</v>
      </c>
      <c r="O53" s="2767"/>
      <c r="P53" s="2759">
        <v>0</v>
      </c>
      <c r="Q53" s="2767"/>
      <c r="R53" s="2769">
        <v>18</v>
      </c>
      <c r="S53" s="2769">
        <v>181</v>
      </c>
      <c r="T53" s="2769">
        <v>221.69972602739728</v>
      </c>
      <c r="U53" s="2769">
        <v>11.50027397260274</v>
      </c>
      <c r="V53" s="2769">
        <v>12.5</v>
      </c>
      <c r="W53" s="2769">
        <v>0.18</v>
      </c>
      <c r="X53" s="2769">
        <v>3.5154900000000002</v>
      </c>
      <c r="Y53" s="2762">
        <f t="shared" si="1"/>
        <v>0</v>
      </c>
    </row>
    <row r="54" spans="1:25" s="2775" customFormat="1" x14ac:dyDescent="0.25">
      <c r="A54" s="2770" t="s">
        <v>1980</v>
      </c>
      <c r="B54" s="2766">
        <v>1206</v>
      </c>
      <c r="C54" s="2766" t="s">
        <v>2011</v>
      </c>
      <c r="D54" s="2766" t="s">
        <v>330</v>
      </c>
      <c r="E54" s="2766" t="s">
        <v>1984</v>
      </c>
      <c r="F54" s="2766" t="s">
        <v>350</v>
      </c>
      <c r="G54" s="2766">
        <v>120607</v>
      </c>
      <c r="H54" s="2766">
        <f>Dataark_til_bilag2_2020[[#This Row],[Stald_kode]]+Dataark_til_bilag2_2020[[#This Row],[Dyr_Kode]]</f>
        <v>121813</v>
      </c>
      <c r="I54" s="4347">
        <v>0</v>
      </c>
      <c r="J54" s="2766" t="s">
        <v>1977</v>
      </c>
      <c r="K54" s="2766"/>
      <c r="L54" s="2767">
        <v>2.65</v>
      </c>
      <c r="M54" s="2767">
        <f>11/100</f>
        <v>0.11</v>
      </c>
      <c r="N54" s="2760">
        <f>IFERROR(Dataark_til_bilag2_2020[[#This Row],[Antal dyr]]*Dataark_til_bilag2_2020[[#This Row],[Gødning (g) pr. dyr (ton)]]," ")</f>
        <v>0</v>
      </c>
      <c r="O54" s="2767"/>
      <c r="P54" s="2759">
        <v>0</v>
      </c>
      <c r="Q54" s="2767"/>
      <c r="R54" s="2769">
        <v>18</v>
      </c>
      <c r="S54" s="2769">
        <v>181</v>
      </c>
      <c r="T54" s="2769">
        <v>221.69972602739728</v>
      </c>
      <c r="U54" s="2769">
        <v>11.50027397260274</v>
      </c>
      <c r="V54" s="2769">
        <v>12.5</v>
      </c>
      <c r="W54" s="2769">
        <v>0.18</v>
      </c>
      <c r="X54" s="2769">
        <v>3.5154900000000002</v>
      </c>
      <c r="Y54" s="2762">
        <f t="shared" si="1"/>
        <v>0</v>
      </c>
    </row>
    <row r="55" spans="1:25" x14ac:dyDescent="0.25">
      <c r="A55" s="2770" t="s">
        <v>1980</v>
      </c>
      <c r="B55" s="2766">
        <v>1206</v>
      </c>
      <c r="C55" s="2766" t="s">
        <v>2800</v>
      </c>
      <c r="D55" s="2766" t="s">
        <v>330</v>
      </c>
      <c r="E55" s="2766" t="s">
        <v>1990</v>
      </c>
      <c r="F55" s="2766" t="s">
        <v>354</v>
      </c>
      <c r="G55" s="2766">
        <v>120609</v>
      </c>
      <c r="H55" s="2766">
        <f>Dataark_til_bilag2_2020[[#This Row],[Stald_kode]]+Dataark_til_bilag2_2020[[#This Row],[Dyr_Kode]]</f>
        <v>121815</v>
      </c>
      <c r="I55" s="4347">
        <v>0</v>
      </c>
      <c r="J55" s="2766" t="s">
        <v>1977</v>
      </c>
      <c r="K55" s="2766"/>
      <c r="L55" s="2767">
        <v>6.44</v>
      </c>
      <c r="M55" s="2767">
        <f>12.3/100</f>
        <v>0.12300000000000001</v>
      </c>
      <c r="N55" s="2760">
        <f>IFERROR(Dataark_til_bilag2_2020[[#This Row],[Antal dyr]]*Dataark_til_bilag2_2020[[#This Row],[Gødning (g) pr. dyr (ton)]]," ")</f>
        <v>0</v>
      </c>
      <c r="O55" s="2767"/>
      <c r="P55" s="2759">
        <v>0</v>
      </c>
      <c r="Q55" s="2767"/>
      <c r="R55" s="2769">
        <v>18</v>
      </c>
      <c r="S55" s="2769">
        <v>181</v>
      </c>
      <c r="T55" s="2769">
        <v>602.4452383561644</v>
      </c>
      <c r="U55" s="2769">
        <v>31.250761643835617</v>
      </c>
      <c r="V55" s="2769">
        <v>12.5</v>
      </c>
      <c r="W55" s="2769">
        <v>0.18</v>
      </c>
      <c r="X55" s="2769">
        <v>9.5529671999999994</v>
      </c>
      <c r="Y55" s="2762">
        <f t="shared" si="1"/>
        <v>0</v>
      </c>
    </row>
    <row r="56" spans="1:25" x14ac:dyDescent="0.25">
      <c r="A56" s="2770" t="s">
        <v>1980</v>
      </c>
      <c r="B56" s="2766">
        <v>1206</v>
      </c>
      <c r="C56" s="2766" t="s">
        <v>2011</v>
      </c>
      <c r="D56" s="2766" t="s">
        <v>330</v>
      </c>
      <c r="E56" s="2766" t="s">
        <v>1995</v>
      </c>
      <c r="F56" s="2766" t="s">
        <v>354</v>
      </c>
      <c r="G56" s="2766">
        <v>120610</v>
      </c>
      <c r="H56" s="2766">
        <f>Dataark_til_bilag2_2020[[#This Row],[Stald_kode]]+Dataark_til_bilag2_2020[[#This Row],[Dyr_Kode]]</f>
        <v>121816</v>
      </c>
      <c r="I56" s="4347">
        <v>0</v>
      </c>
      <c r="J56" s="2766" t="s">
        <v>1977</v>
      </c>
      <c r="K56" s="2766"/>
      <c r="L56" s="2767">
        <v>6.44</v>
      </c>
      <c r="M56" s="2767">
        <f>12.3/100</f>
        <v>0.12300000000000001</v>
      </c>
      <c r="N56" s="2760">
        <f>IFERROR(Dataark_til_bilag2_2020[[#This Row],[Antal dyr]]*Dataark_til_bilag2_2020[[#This Row],[Gødning (g) pr. dyr (ton)]]," ")</f>
        <v>0</v>
      </c>
      <c r="O56" s="2767"/>
      <c r="P56" s="2759">
        <v>0</v>
      </c>
      <c r="Q56" s="2767"/>
      <c r="R56" s="2769">
        <v>18</v>
      </c>
      <c r="S56" s="2769">
        <v>181</v>
      </c>
      <c r="T56" s="2769">
        <v>602.4452383561644</v>
      </c>
      <c r="U56" s="2769">
        <v>31.250761643835617</v>
      </c>
      <c r="V56" s="2769">
        <v>12.5</v>
      </c>
      <c r="W56" s="2769">
        <v>0.18</v>
      </c>
      <c r="X56" s="2769">
        <v>9.5529671999999994</v>
      </c>
      <c r="Y56" s="2762">
        <f t="shared" si="1"/>
        <v>0</v>
      </c>
    </row>
    <row r="57" spans="1:25" x14ac:dyDescent="0.25">
      <c r="A57" s="2770" t="s">
        <v>1980</v>
      </c>
      <c r="B57" s="2766">
        <v>1206</v>
      </c>
      <c r="C57" s="2766" t="s">
        <v>2011</v>
      </c>
      <c r="D57" s="2766" t="s">
        <v>330</v>
      </c>
      <c r="E57" s="2766" t="s">
        <v>1982</v>
      </c>
      <c r="F57" s="2766" t="s">
        <v>354</v>
      </c>
      <c r="G57" s="2766">
        <v>120611</v>
      </c>
      <c r="H57" s="2766">
        <f>Dataark_til_bilag2_2020[[#This Row],[Stald_kode]]+Dataark_til_bilag2_2020[[#This Row],[Dyr_Kode]]</f>
        <v>121817</v>
      </c>
      <c r="I57" s="4347">
        <v>0</v>
      </c>
      <c r="J57" s="2766" t="s">
        <v>1977</v>
      </c>
      <c r="K57" s="2766"/>
      <c r="L57" s="2767">
        <v>6.44</v>
      </c>
      <c r="M57" s="2767">
        <f>12.3/100</f>
        <v>0.12300000000000001</v>
      </c>
      <c r="N57" s="2760">
        <f>IFERROR(Dataark_til_bilag2_2020[[#This Row],[Antal dyr]]*Dataark_til_bilag2_2020[[#This Row],[Gødning (g) pr. dyr (ton)]]," ")</f>
        <v>0</v>
      </c>
      <c r="O57" s="2767"/>
      <c r="P57" s="2759">
        <v>0</v>
      </c>
      <c r="Q57" s="2767"/>
      <c r="R57" s="2769">
        <v>18</v>
      </c>
      <c r="S57" s="2769">
        <v>181</v>
      </c>
      <c r="T57" s="2769">
        <v>602.4452383561644</v>
      </c>
      <c r="U57" s="2769">
        <v>31.250761643835617</v>
      </c>
      <c r="V57" s="2769">
        <v>12.5</v>
      </c>
      <c r="W57" s="2769">
        <v>0.18</v>
      </c>
      <c r="X57" s="2769">
        <v>9.5529671999999994</v>
      </c>
      <c r="Y57" s="2762">
        <f t="shared" si="1"/>
        <v>0</v>
      </c>
    </row>
    <row r="58" spans="1:25" s="2775" customFormat="1" x14ac:dyDescent="0.25">
      <c r="A58" s="2770" t="s">
        <v>1980</v>
      </c>
      <c r="B58" s="2766">
        <v>1206</v>
      </c>
      <c r="C58" s="2766" t="s">
        <v>2011</v>
      </c>
      <c r="D58" s="2766" t="s">
        <v>330</v>
      </c>
      <c r="E58" s="2766" t="s">
        <v>1994</v>
      </c>
      <c r="F58" s="2766" t="s">
        <v>354</v>
      </c>
      <c r="G58" s="2766">
        <v>120612</v>
      </c>
      <c r="H58" s="2766">
        <f>Dataark_til_bilag2_2020[[#This Row],[Stald_kode]]+Dataark_til_bilag2_2020[[#This Row],[Dyr_Kode]]</f>
        <v>121818</v>
      </c>
      <c r="I58" s="4347">
        <v>0</v>
      </c>
      <c r="J58" s="2766" t="s">
        <v>1977</v>
      </c>
      <c r="K58" s="2766"/>
      <c r="L58" s="2767">
        <v>6.44</v>
      </c>
      <c r="M58" s="2767">
        <f>12.3/100</f>
        <v>0.12300000000000001</v>
      </c>
      <c r="N58" s="2760">
        <f>IFERROR(Dataark_til_bilag2_2020[[#This Row],[Antal dyr]]*Dataark_til_bilag2_2020[[#This Row],[Gødning (g) pr. dyr (ton)]]," ")</f>
        <v>0</v>
      </c>
      <c r="O58" s="2767"/>
      <c r="P58" s="2759">
        <v>0</v>
      </c>
      <c r="Q58" s="2767"/>
      <c r="R58" s="2769">
        <v>18</v>
      </c>
      <c r="S58" s="2769">
        <v>181</v>
      </c>
      <c r="T58" s="2769">
        <v>602.4452383561644</v>
      </c>
      <c r="U58" s="2769">
        <v>31.250761643835617</v>
      </c>
      <c r="V58" s="2769">
        <v>12.5</v>
      </c>
      <c r="W58" s="2769">
        <v>0.18</v>
      </c>
      <c r="X58" s="2769">
        <v>9.5529671999999994</v>
      </c>
      <c r="Y58" s="2762">
        <f t="shared" si="1"/>
        <v>0</v>
      </c>
    </row>
    <row r="59" spans="1:25" x14ac:dyDescent="0.25">
      <c r="A59" s="2770" t="s">
        <v>1980</v>
      </c>
      <c r="B59" s="2766">
        <v>1206</v>
      </c>
      <c r="C59" s="2766" t="s">
        <v>2011</v>
      </c>
      <c r="D59" s="2766" t="s">
        <v>330</v>
      </c>
      <c r="E59" s="2766" t="s">
        <v>1996</v>
      </c>
      <c r="F59" s="2766" t="s">
        <v>353</v>
      </c>
      <c r="G59" s="2766">
        <v>120619</v>
      </c>
      <c r="H59" s="2766">
        <f>Dataark_til_bilag2_2020[[#This Row],[Stald_kode]]+Dataark_til_bilag2_2020[[#This Row],[Dyr_Kode]]</f>
        <v>121825</v>
      </c>
      <c r="I59" s="4347">
        <v>0</v>
      </c>
      <c r="J59" s="2766" t="s">
        <v>1977</v>
      </c>
      <c r="K59" s="2766"/>
      <c r="L59" s="2767">
        <v>7.28</v>
      </c>
      <c r="M59" s="2767">
        <f>10/100</f>
        <v>0.1</v>
      </c>
      <c r="N59" s="2760">
        <f>IFERROR(Dataark_til_bilag2_2020[[#This Row],[Antal dyr]]*Dataark_til_bilag2_2020[[#This Row],[Gødning (g) pr. dyr (ton)]]," ")</f>
        <v>0</v>
      </c>
      <c r="O59" s="2767"/>
      <c r="P59" s="2759">
        <v>0</v>
      </c>
      <c r="Q59" s="2767"/>
      <c r="R59" s="2769">
        <v>18</v>
      </c>
      <c r="S59" s="2769">
        <v>181</v>
      </c>
      <c r="T59" s="2769">
        <v>553.6789041095891</v>
      </c>
      <c r="U59" s="2769">
        <v>28.721095890410965</v>
      </c>
      <c r="V59" s="2769">
        <v>12.5</v>
      </c>
      <c r="W59" s="2769">
        <v>0.18</v>
      </c>
      <c r="X59" s="2769">
        <v>8.7796800000000008</v>
      </c>
      <c r="Y59" s="2762">
        <f t="shared" si="1"/>
        <v>0</v>
      </c>
    </row>
    <row r="60" spans="1:25" x14ac:dyDescent="0.25">
      <c r="A60" s="2770" t="s">
        <v>1980</v>
      </c>
      <c r="B60" s="2766">
        <v>1231</v>
      </c>
      <c r="C60" s="2766" t="s">
        <v>2010</v>
      </c>
      <c r="D60" s="2766" t="s">
        <v>341</v>
      </c>
      <c r="E60" s="2766" t="s">
        <v>1989</v>
      </c>
      <c r="F60" s="2766" t="s">
        <v>639</v>
      </c>
      <c r="G60" s="2766">
        <v>123101</v>
      </c>
      <c r="H60" s="2766">
        <f>Dataark_til_bilag2_2020[[#This Row],[Stald_kode]]+Dataark_til_bilag2_2020[[#This Row],[Dyr_Kode]]</f>
        <v>124332</v>
      </c>
      <c r="I60" s="4347">
        <v>0</v>
      </c>
      <c r="J60" s="2766" t="s">
        <v>1903</v>
      </c>
      <c r="K60" s="2766"/>
      <c r="L60" s="2767">
        <v>9.9</v>
      </c>
      <c r="M60" s="2767">
        <v>0.2</v>
      </c>
      <c r="N60" s="2760">
        <f>IFERROR(Dataark_til_bilag2_2020[[#This Row],[Antal dyr]]*Dataark_til_bilag2_2020[[#This Row],[Gødning (g) pr. dyr (ton)]]," ")</f>
        <v>0</v>
      </c>
      <c r="O60" s="2768"/>
      <c r="P60" s="2759">
        <v>0</v>
      </c>
      <c r="Q60" s="2767"/>
      <c r="R60" s="2769">
        <v>18</v>
      </c>
      <c r="S60" s="2769">
        <v>181</v>
      </c>
      <c r="T60" s="2769">
        <v>1505.8849315068494</v>
      </c>
      <c r="U60" s="2769">
        <v>78.115068493150702</v>
      </c>
      <c r="V60" s="2769">
        <v>2</v>
      </c>
      <c r="W60" s="2769">
        <v>0.24</v>
      </c>
      <c r="X60" s="2769">
        <v>5.094144</v>
      </c>
      <c r="Y60" s="2762">
        <f t="shared" si="1"/>
        <v>0</v>
      </c>
    </row>
    <row r="61" spans="1:25" x14ac:dyDescent="0.25">
      <c r="A61" s="2770" t="s">
        <v>1980</v>
      </c>
      <c r="B61" s="2766">
        <v>1231</v>
      </c>
      <c r="C61" s="2766" t="s">
        <v>2010</v>
      </c>
      <c r="D61" s="2766" t="s">
        <v>341</v>
      </c>
      <c r="E61" s="2766" t="s">
        <v>1988</v>
      </c>
      <c r="F61" s="2766" t="s">
        <v>639</v>
      </c>
      <c r="G61" s="2766">
        <v>123102</v>
      </c>
      <c r="H61" s="2766">
        <f>Dataark_til_bilag2_2020[[#This Row],[Stald_kode]]+Dataark_til_bilag2_2020[[#This Row],[Dyr_Kode]]</f>
        <v>124333</v>
      </c>
      <c r="I61" s="4347">
        <v>0</v>
      </c>
      <c r="J61" s="2766" t="s">
        <v>1977</v>
      </c>
      <c r="K61" s="2766"/>
      <c r="L61" s="2767">
        <v>26.29</v>
      </c>
      <c r="M61" s="2767">
        <v>8.6999999999999994E-2</v>
      </c>
      <c r="N61" s="2760">
        <f>IFERROR(Dataark_til_bilag2_2020[[#This Row],[Antal dyr]]*Dataark_til_bilag2_2020[[#This Row],[Gødning (g) pr. dyr (ton)]]," ")</f>
        <v>0</v>
      </c>
      <c r="O61" s="2768"/>
      <c r="P61" s="2759">
        <v>0</v>
      </c>
      <c r="Q61" s="2767"/>
      <c r="R61" s="2769">
        <v>18</v>
      </c>
      <c r="S61" s="2769">
        <v>181</v>
      </c>
      <c r="T61" s="2769">
        <v>1739.5480767123286</v>
      </c>
      <c r="U61" s="2769">
        <v>90.235923287671227</v>
      </c>
      <c r="V61" s="2769">
        <v>12.5</v>
      </c>
      <c r="W61" s="2769">
        <v>0.24</v>
      </c>
      <c r="X61" s="2769">
        <v>36.778658399999991</v>
      </c>
      <c r="Y61" s="2762">
        <f t="shared" si="1"/>
        <v>0</v>
      </c>
    </row>
    <row r="62" spans="1:25" x14ac:dyDescent="0.25">
      <c r="A62" s="2770" t="s">
        <v>1980</v>
      </c>
      <c r="B62" s="2766">
        <v>1231</v>
      </c>
      <c r="C62" s="2766" t="s">
        <v>2010</v>
      </c>
      <c r="D62" s="2766" t="s">
        <v>341</v>
      </c>
      <c r="E62" s="2766" t="s">
        <v>1995</v>
      </c>
      <c r="F62" s="2766" t="s">
        <v>354</v>
      </c>
      <c r="G62" s="2766">
        <v>123103</v>
      </c>
      <c r="H62" s="2766">
        <f>Dataark_til_bilag2_2020[[#This Row],[Stald_kode]]+Dataark_til_bilag2_2020[[#This Row],[Dyr_Kode]]</f>
        <v>124334</v>
      </c>
      <c r="I62" s="4347">
        <v>0</v>
      </c>
      <c r="J62" s="2766" t="s">
        <v>1977</v>
      </c>
      <c r="K62" s="2766"/>
      <c r="L62" s="2767">
        <v>26.14</v>
      </c>
      <c r="M62" s="2767">
        <v>8.6999999999999994E-2</v>
      </c>
      <c r="N62" s="2760">
        <f>IFERROR(Dataark_til_bilag2_2020[[#This Row],[Antal dyr]]*Dataark_til_bilag2_2020[[#This Row],[Gødning (g) pr. dyr (ton)]]," ")</f>
        <v>0</v>
      </c>
      <c r="O62" s="2768"/>
      <c r="P62" s="2759">
        <v>0</v>
      </c>
      <c r="Q62" s="2767"/>
      <c r="R62" s="2769">
        <v>18</v>
      </c>
      <c r="S62" s="2769">
        <v>181</v>
      </c>
      <c r="T62" s="2769">
        <v>1729.6229260273974</v>
      </c>
      <c r="U62" s="2769">
        <v>89.721073972602738</v>
      </c>
      <c r="V62" s="2769">
        <v>12.5</v>
      </c>
      <c r="W62" s="2769">
        <v>0.24</v>
      </c>
      <c r="X62" s="2769">
        <v>36.568814400000008</v>
      </c>
      <c r="Y62" s="2762">
        <f t="shared" si="1"/>
        <v>0</v>
      </c>
    </row>
    <row r="63" spans="1:25" x14ac:dyDescent="0.25">
      <c r="A63" s="2770" t="s">
        <v>1980</v>
      </c>
      <c r="B63" s="2766">
        <v>1231</v>
      </c>
      <c r="C63" s="2766" t="s">
        <v>2010</v>
      </c>
      <c r="D63" s="2766" t="s">
        <v>341</v>
      </c>
      <c r="E63" s="2766" t="s">
        <v>2003</v>
      </c>
      <c r="F63" s="2766" t="s">
        <v>354</v>
      </c>
      <c r="G63" s="2766">
        <v>123104</v>
      </c>
      <c r="H63" s="2766">
        <f>Dataark_til_bilag2_2020[[#This Row],[Stald_kode]]+Dataark_til_bilag2_2020[[#This Row],[Dyr_Kode]]</f>
        <v>124335</v>
      </c>
      <c r="I63" s="4347">
        <v>0</v>
      </c>
      <c r="J63" s="2766" t="s">
        <v>1977</v>
      </c>
      <c r="K63" s="2766"/>
      <c r="L63" s="2767">
        <v>24.16</v>
      </c>
      <c r="M63" s="2767">
        <v>0.08</v>
      </c>
      <c r="N63" s="2760">
        <f>IFERROR(Dataark_til_bilag2_2020[[#This Row],[Antal dyr]]*Dataark_til_bilag2_2020[[#This Row],[Gødning (g) pr. dyr (ton)]]," ")</f>
        <v>0</v>
      </c>
      <c r="O63" s="2768"/>
      <c r="P63" s="2759">
        <v>0</v>
      </c>
      <c r="Q63" s="2767"/>
      <c r="R63" s="2769">
        <v>18</v>
      </c>
      <c r="S63" s="2769">
        <v>181</v>
      </c>
      <c r="T63" s="2769">
        <v>1469.9870684931507</v>
      </c>
      <c r="U63" s="2769">
        <v>76.252931506849308</v>
      </c>
      <c r="V63" s="2769">
        <v>12.5</v>
      </c>
      <c r="W63" s="2769">
        <v>0.24</v>
      </c>
      <c r="X63" s="2769">
        <v>31.079423999999999</v>
      </c>
      <c r="Y63" s="2762">
        <f t="shared" si="1"/>
        <v>0</v>
      </c>
    </row>
    <row r="64" spans="1:25" s="2775" customFormat="1" x14ac:dyDescent="0.25">
      <c r="A64" s="2770" t="s">
        <v>1980</v>
      </c>
      <c r="B64" s="2766">
        <v>1231</v>
      </c>
      <c r="C64" s="2766" t="s">
        <v>2010</v>
      </c>
      <c r="D64" s="2766" t="s">
        <v>341</v>
      </c>
      <c r="E64" s="2766" t="s">
        <v>2002</v>
      </c>
      <c r="F64" s="2766" t="s">
        <v>354</v>
      </c>
      <c r="G64" s="2766">
        <v>123105</v>
      </c>
      <c r="H64" s="2766">
        <f>Dataark_til_bilag2_2020[[#This Row],[Stald_kode]]+Dataark_til_bilag2_2020[[#This Row],[Dyr_Kode]]</f>
        <v>124336</v>
      </c>
      <c r="I64" s="4347">
        <v>0</v>
      </c>
      <c r="J64" s="2766" t="s">
        <v>1977</v>
      </c>
      <c r="K64" s="2766"/>
      <c r="L64" s="2767">
        <v>26.14</v>
      </c>
      <c r="M64" s="2767">
        <v>0.08</v>
      </c>
      <c r="N64" s="2760">
        <f>IFERROR(Dataark_til_bilag2_2020[[#This Row],[Antal dyr]]*Dataark_til_bilag2_2020[[#This Row],[Gødning (g) pr. dyr (ton)]]," ")</f>
        <v>0</v>
      </c>
      <c r="O64" s="2768"/>
      <c r="P64" s="2759">
        <v>0</v>
      </c>
      <c r="Q64" s="2767"/>
      <c r="R64" s="2769">
        <v>18</v>
      </c>
      <c r="S64" s="2769">
        <v>181</v>
      </c>
      <c r="T64" s="2769">
        <v>1590.4578630136987</v>
      </c>
      <c r="U64" s="2769">
        <v>82.502136986301366</v>
      </c>
      <c r="V64" s="2769">
        <v>12.5</v>
      </c>
      <c r="W64" s="2769">
        <v>0.24</v>
      </c>
      <c r="X64" s="2769">
        <v>33.626495999999996</v>
      </c>
      <c r="Y64" s="2762">
        <f t="shared" si="1"/>
        <v>0</v>
      </c>
    </row>
    <row r="65" spans="1:25" x14ac:dyDescent="0.25">
      <c r="A65" s="2770" t="s">
        <v>1980</v>
      </c>
      <c r="B65" s="2766">
        <v>1231</v>
      </c>
      <c r="C65" s="2766" t="s">
        <v>2010</v>
      </c>
      <c r="D65" s="2766" t="s">
        <v>341</v>
      </c>
      <c r="E65" s="2766" t="s">
        <v>2006</v>
      </c>
      <c r="F65" s="2766" t="s">
        <v>350</v>
      </c>
      <c r="G65" s="2766">
        <v>123106</v>
      </c>
      <c r="H65" s="2766">
        <f>Dataark_til_bilag2_2020[[#This Row],[Stald_kode]]+Dataark_til_bilag2_2020[[#This Row],[Dyr_Kode]]</f>
        <v>124337</v>
      </c>
      <c r="I65" s="4347">
        <v>0</v>
      </c>
      <c r="J65" s="2766"/>
      <c r="K65" s="2766" t="s">
        <v>350</v>
      </c>
      <c r="L65" s="2767"/>
      <c r="M65" s="2767"/>
      <c r="N65" s="2760">
        <f>IFERROR(Dataark_til_bilag2_2020[[#This Row],[Antal dyr]]*Dataark_til_bilag2_2020[[#This Row],[Gødning (g) pr. dyr (ton)]]," ")</f>
        <v>0</v>
      </c>
      <c r="O65" s="2767">
        <v>13.42</v>
      </c>
      <c r="P65" s="2759">
        <v>0</v>
      </c>
      <c r="Q65" s="2767">
        <v>0.3</v>
      </c>
      <c r="R65" s="2769">
        <v>132</v>
      </c>
      <c r="S65" s="2769">
        <v>181</v>
      </c>
      <c r="T65" s="2769">
        <v>2568.8654079452058</v>
      </c>
      <c r="U65" s="2769">
        <v>1164.7824657534247</v>
      </c>
      <c r="V65" s="2769">
        <v>17</v>
      </c>
      <c r="W65" s="2769">
        <v>0.24</v>
      </c>
      <c r="X65" s="2769">
        <v>102.06299827542576</v>
      </c>
      <c r="Y65" s="2762">
        <f t="shared" si="1"/>
        <v>0</v>
      </c>
    </row>
    <row r="66" spans="1:25" x14ac:dyDescent="0.25">
      <c r="A66" s="2770" t="s">
        <v>1980</v>
      </c>
      <c r="B66" s="2766">
        <v>1231</v>
      </c>
      <c r="C66" s="2766" t="s">
        <v>2010</v>
      </c>
      <c r="D66" s="2766" t="s">
        <v>341</v>
      </c>
      <c r="E66" s="2766" t="s">
        <v>1985</v>
      </c>
      <c r="F66" s="2766" t="s">
        <v>350</v>
      </c>
      <c r="G66" s="2766">
        <v>123107</v>
      </c>
      <c r="H66" s="2766">
        <f>Dataark_til_bilag2_2020[[#This Row],[Stald_kode]]+Dataark_til_bilag2_2020[[#This Row],[Dyr_Kode]]</f>
        <v>124338</v>
      </c>
      <c r="I66" s="4347">
        <v>0</v>
      </c>
      <c r="J66" s="2766" t="s">
        <v>1977</v>
      </c>
      <c r="K66" s="2766"/>
      <c r="L66" s="2767">
        <v>11.55</v>
      </c>
      <c r="M66" s="2767">
        <v>6.9000000000000006E-2</v>
      </c>
      <c r="N66" s="2760">
        <f>IFERROR(Dataark_til_bilag2_2020[[#This Row],[Antal dyr]]*Dataark_til_bilag2_2020[[#This Row],[Gødning (g) pr. dyr (ton)]]," ")</f>
        <v>0</v>
      </c>
      <c r="O66" s="2768"/>
      <c r="P66" s="2759">
        <v>0</v>
      </c>
      <c r="Q66" s="2767"/>
      <c r="R66" s="2769">
        <v>18</v>
      </c>
      <c r="S66" s="2769">
        <v>181</v>
      </c>
      <c r="T66" s="2769">
        <v>606.11868493150689</v>
      </c>
      <c r="U66" s="2769">
        <v>31.441315068493154</v>
      </c>
      <c r="V66" s="2769">
        <v>12.5</v>
      </c>
      <c r="W66" s="2769">
        <v>0.24</v>
      </c>
      <c r="X66" s="2769">
        <v>12.814956000000002</v>
      </c>
      <c r="Y66" s="2762">
        <f t="shared" si="1"/>
        <v>0</v>
      </c>
    </row>
    <row r="67" spans="1:25" x14ac:dyDescent="0.25">
      <c r="A67" s="2770" t="s">
        <v>1980</v>
      </c>
      <c r="B67" s="2766">
        <v>1231</v>
      </c>
      <c r="C67" s="2766" t="s">
        <v>2010</v>
      </c>
      <c r="D67" s="2766" t="s">
        <v>341</v>
      </c>
      <c r="E67" s="2766" t="s">
        <v>1984</v>
      </c>
      <c r="F67" s="2766" t="s">
        <v>350</v>
      </c>
      <c r="G67" s="2766">
        <v>123108</v>
      </c>
      <c r="H67" s="2766">
        <f>Dataark_til_bilag2_2020[[#This Row],[Stald_kode]]+Dataark_til_bilag2_2020[[#This Row],[Dyr_Kode]]</f>
        <v>124339</v>
      </c>
      <c r="I67" s="4347">
        <v>0</v>
      </c>
      <c r="J67" s="2766" t="s">
        <v>1977</v>
      </c>
      <c r="K67" s="2766"/>
      <c r="L67" s="2767">
        <v>11.55</v>
      </c>
      <c r="M67" s="2767">
        <v>6.9000000000000006E-2</v>
      </c>
      <c r="N67" s="2760">
        <f>IFERROR(Dataark_til_bilag2_2020[[#This Row],[Antal dyr]]*Dataark_til_bilag2_2020[[#This Row],[Gødning (g) pr. dyr (ton)]]," ")</f>
        <v>0</v>
      </c>
      <c r="O67" s="2768"/>
      <c r="P67" s="2759">
        <v>0</v>
      </c>
      <c r="Q67" s="2767"/>
      <c r="R67" s="2769">
        <v>18</v>
      </c>
      <c r="S67" s="2769">
        <v>181</v>
      </c>
      <c r="T67" s="2769">
        <v>606.11868493150689</v>
      </c>
      <c r="U67" s="2769">
        <v>31.441315068493154</v>
      </c>
      <c r="V67" s="2769">
        <v>12.5</v>
      </c>
      <c r="W67" s="2769">
        <v>0.24</v>
      </c>
      <c r="X67" s="2769">
        <v>12.814956000000002</v>
      </c>
      <c r="Y67" s="2762">
        <f t="shared" si="1"/>
        <v>0</v>
      </c>
    </row>
    <row r="68" spans="1:25" x14ac:dyDescent="0.25">
      <c r="A68" s="2770" t="s">
        <v>1980</v>
      </c>
      <c r="B68" s="2766">
        <v>1231</v>
      </c>
      <c r="C68" s="2766" t="s">
        <v>2010</v>
      </c>
      <c r="D68" s="2766" t="s">
        <v>341</v>
      </c>
      <c r="E68" s="2766" t="s">
        <v>1983</v>
      </c>
      <c r="F68" s="2766" t="s">
        <v>350</v>
      </c>
      <c r="G68" s="2766">
        <v>123109</v>
      </c>
      <c r="H68" s="2766">
        <f>Dataark_til_bilag2_2020[[#This Row],[Stald_kode]]+Dataark_til_bilag2_2020[[#This Row],[Dyr_Kode]]</f>
        <v>124340</v>
      </c>
      <c r="I68" s="4347">
        <v>0</v>
      </c>
      <c r="J68" s="2766" t="s">
        <v>1977</v>
      </c>
      <c r="K68" s="2766"/>
      <c r="L68" s="2767">
        <v>11.55</v>
      </c>
      <c r="M68" s="2767">
        <v>6.9000000000000006E-2</v>
      </c>
      <c r="N68" s="2760">
        <f>IFERROR(Dataark_til_bilag2_2020[[#This Row],[Antal dyr]]*Dataark_til_bilag2_2020[[#This Row],[Gødning (g) pr. dyr (ton)]]," ")</f>
        <v>0</v>
      </c>
      <c r="O68" s="2768"/>
      <c r="P68" s="2759">
        <v>0</v>
      </c>
      <c r="Q68" s="2767"/>
      <c r="R68" s="2769">
        <v>18</v>
      </c>
      <c r="S68" s="2769">
        <v>181</v>
      </c>
      <c r="T68" s="2769">
        <v>606.11868493150689</v>
      </c>
      <c r="U68" s="2769">
        <v>31.441315068493154</v>
      </c>
      <c r="V68" s="2769">
        <v>12.5</v>
      </c>
      <c r="W68" s="2769">
        <v>0.24</v>
      </c>
      <c r="X68" s="2769">
        <v>12.814956000000002</v>
      </c>
      <c r="Y68" s="2762">
        <f t="shared" si="1"/>
        <v>0</v>
      </c>
    </row>
    <row r="69" spans="1:25" x14ac:dyDescent="0.25">
      <c r="A69" s="2770" t="s">
        <v>1980</v>
      </c>
      <c r="B69" s="2766">
        <v>1231</v>
      </c>
      <c r="C69" s="2766" t="s">
        <v>2010</v>
      </c>
      <c r="D69" s="2766" t="s">
        <v>341</v>
      </c>
      <c r="E69" s="2766" t="s">
        <v>1990</v>
      </c>
      <c r="F69" s="2766" t="s">
        <v>354</v>
      </c>
      <c r="G69" s="2766">
        <v>123114</v>
      </c>
      <c r="H69" s="2766">
        <f>Dataark_til_bilag2_2020[[#This Row],[Stald_kode]]+Dataark_til_bilag2_2020[[#This Row],[Dyr_Kode]]</f>
        <v>124345</v>
      </c>
      <c r="I69" s="4347">
        <v>0</v>
      </c>
      <c r="J69" s="2766" t="s">
        <v>1977</v>
      </c>
      <c r="K69" s="2766"/>
      <c r="L69" s="2767">
        <v>24.14</v>
      </c>
      <c r="M69" s="2767">
        <v>0.08</v>
      </c>
      <c r="N69" s="2760">
        <f>IFERROR(Dataark_til_bilag2_2020[[#This Row],[Antal dyr]]*Dataark_til_bilag2_2020[[#This Row],[Gødning (g) pr. dyr (ton)]]," ")</f>
        <v>0</v>
      </c>
      <c r="O69" s="2768"/>
      <c r="P69" s="2759">
        <v>0</v>
      </c>
      <c r="Q69" s="2767"/>
      <c r="R69" s="2769">
        <v>18</v>
      </c>
      <c r="S69" s="2769">
        <v>181</v>
      </c>
      <c r="T69" s="2769">
        <v>1468.770191780822</v>
      </c>
      <c r="U69" s="2769">
        <v>76.18980821917809</v>
      </c>
      <c r="V69" s="2769">
        <v>12.5</v>
      </c>
      <c r="W69" s="2769">
        <v>0.24</v>
      </c>
      <c r="X69" s="2769">
        <v>31.053695999999999</v>
      </c>
      <c r="Y69" s="2762">
        <f t="shared" ref="Y69:Y100" si="2">IFERROR(IFERROR((X69*I69)/1000,(X69*I68)/1000),"-")</f>
        <v>0</v>
      </c>
    </row>
    <row r="70" spans="1:25" x14ac:dyDescent="0.25">
      <c r="A70" s="2770" t="s">
        <v>1980</v>
      </c>
      <c r="B70" s="2766">
        <v>1232</v>
      </c>
      <c r="C70" s="2766" t="s">
        <v>2798</v>
      </c>
      <c r="D70" s="2766" t="s">
        <v>340</v>
      </c>
      <c r="E70" s="2766" t="s">
        <v>2006</v>
      </c>
      <c r="F70" s="2766" t="s">
        <v>350</v>
      </c>
      <c r="G70" s="2766">
        <v>123201</v>
      </c>
      <c r="H70" s="2766">
        <f>Dataark_til_bilag2_2020[[#This Row],[Stald_kode]]+Dataark_til_bilag2_2020[[#This Row],[Dyr_Kode]]</f>
        <v>124433</v>
      </c>
      <c r="I70" s="4347">
        <v>5.97</v>
      </c>
      <c r="J70" s="2766"/>
      <c r="K70" s="2766" t="s">
        <v>350</v>
      </c>
      <c r="L70" s="2767"/>
      <c r="M70" s="2767"/>
      <c r="N70" s="2760">
        <f>IFERROR(Dataark_til_bilag2_2020[[#This Row],[Antal dyr]]*Dataark_til_bilag2_2020[[#This Row],[Gødning (g) pr. dyr (ton)]]," ")</f>
        <v>0</v>
      </c>
      <c r="O70" s="2767">
        <v>1.48</v>
      </c>
      <c r="P70" s="2759">
        <v>8.8355999999999995</v>
      </c>
      <c r="Q70" s="2767">
        <v>0.3</v>
      </c>
      <c r="R70" s="2769">
        <v>224</v>
      </c>
      <c r="S70" s="2769">
        <v>224</v>
      </c>
      <c r="T70" s="2769">
        <v>171.44062520547948</v>
      </c>
      <c r="U70" s="2769">
        <v>217.98575342465756</v>
      </c>
      <c r="V70" s="2769">
        <v>17</v>
      </c>
      <c r="W70" s="2769">
        <v>0.18</v>
      </c>
      <c r="X70" s="2769">
        <v>7.9840196146750699</v>
      </c>
      <c r="Y70" s="2762">
        <f t="shared" si="2"/>
        <v>4.7664597099610163E-2</v>
      </c>
    </row>
    <row r="71" spans="1:25" x14ac:dyDescent="0.25">
      <c r="A71" s="2770" t="s">
        <v>1980</v>
      </c>
      <c r="B71" s="2766">
        <v>1232</v>
      </c>
      <c r="C71" s="2766" t="s">
        <v>2798</v>
      </c>
      <c r="D71" s="2766" t="s">
        <v>340</v>
      </c>
      <c r="E71" s="2766" t="s">
        <v>2004</v>
      </c>
      <c r="F71" s="2766" t="s">
        <v>350</v>
      </c>
      <c r="G71" s="2766">
        <v>123202</v>
      </c>
      <c r="H71" s="2766">
        <f>Dataark_til_bilag2_2020[[#This Row],[Stald_kode]]+Dataark_til_bilag2_2020[[#This Row],[Dyr_Kode]]</f>
        <v>124434</v>
      </c>
      <c r="I71" s="4347">
        <v>0</v>
      </c>
      <c r="J71" s="2766"/>
      <c r="K71" s="2766" t="s">
        <v>350</v>
      </c>
      <c r="L71" s="2767"/>
      <c r="M71" s="2767"/>
      <c r="N71" s="2760">
        <f>IFERROR(Dataark_til_bilag2_2020[[#This Row],[Antal dyr]]*Dataark_til_bilag2_2020[[#This Row],[Gødning (g) pr. dyr (ton)]]," ")</f>
        <v>0</v>
      </c>
      <c r="O71" s="2767">
        <v>1.48</v>
      </c>
      <c r="P71" s="2759">
        <v>0</v>
      </c>
      <c r="Q71" s="2767">
        <v>0.3</v>
      </c>
      <c r="R71" s="2769">
        <v>224</v>
      </c>
      <c r="S71" s="2769">
        <v>224</v>
      </c>
      <c r="T71" s="2769">
        <v>171.44062520547948</v>
      </c>
      <c r="U71" s="2769">
        <v>217.98575342465756</v>
      </c>
      <c r="V71" s="2769">
        <v>17</v>
      </c>
      <c r="W71" s="2769">
        <v>0.18</v>
      </c>
      <c r="X71" s="2769">
        <v>7.9840196146750699</v>
      </c>
      <c r="Y71" s="2762">
        <f t="shared" si="2"/>
        <v>0</v>
      </c>
    </row>
    <row r="72" spans="1:25" x14ac:dyDescent="0.25">
      <c r="A72" s="2770" t="s">
        <v>1980</v>
      </c>
      <c r="B72" s="2766">
        <v>1233</v>
      </c>
      <c r="C72" s="2766" t="s">
        <v>2791</v>
      </c>
      <c r="D72" s="2766" t="s">
        <v>336</v>
      </c>
      <c r="E72" s="2766" t="s">
        <v>1989</v>
      </c>
      <c r="F72" s="2766" t="s">
        <v>639</v>
      </c>
      <c r="G72" s="2766">
        <v>123301</v>
      </c>
      <c r="H72" s="2766">
        <f>Dataark_til_bilag2_2020[[#This Row],[Stald_kode]]+Dataark_til_bilag2_2020[[#This Row],[Dyr_Kode]]</f>
        <v>124534</v>
      </c>
      <c r="I72" s="4347">
        <v>0</v>
      </c>
      <c r="J72" s="2766" t="s">
        <v>1903</v>
      </c>
      <c r="K72" s="2766"/>
      <c r="L72" s="2767">
        <v>3.36</v>
      </c>
      <c r="M72" s="2767">
        <v>0.186</v>
      </c>
      <c r="N72" s="2760">
        <f>IFERROR(Dataark_til_bilag2_2020[[#This Row],[Antal dyr]]*Dataark_til_bilag2_2020[[#This Row],[Gødning (g) pr. dyr (ton)]]," ")</f>
        <v>0</v>
      </c>
      <c r="O72" s="2768"/>
      <c r="P72" s="2759">
        <v>0</v>
      </c>
      <c r="Q72" s="2767"/>
      <c r="R72" s="2769">
        <v>132</v>
      </c>
      <c r="S72" s="2769">
        <v>181</v>
      </c>
      <c r="T72" s="2769">
        <v>319.15765479452057</v>
      </c>
      <c r="U72" s="2769">
        <v>180.81034520547942</v>
      </c>
      <c r="V72" s="2769">
        <v>2</v>
      </c>
      <c r="W72" s="2769">
        <v>0.18</v>
      </c>
      <c r="X72" s="2769">
        <v>1.205922816</v>
      </c>
      <c r="Y72" s="2762">
        <f t="shared" si="2"/>
        <v>0</v>
      </c>
    </row>
    <row r="73" spans="1:25" x14ac:dyDescent="0.25">
      <c r="A73" s="2770" t="s">
        <v>1980</v>
      </c>
      <c r="B73" s="2766">
        <v>1233</v>
      </c>
      <c r="C73" s="2766" t="s">
        <v>2791</v>
      </c>
      <c r="D73" s="2766" t="s">
        <v>336</v>
      </c>
      <c r="E73" s="2766" t="s">
        <v>1988</v>
      </c>
      <c r="F73" s="2766" t="s">
        <v>639</v>
      </c>
      <c r="G73" s="2766">
        <v>123302</v>
      </c>
      <c r="H73" s="2766">
        <f>Dataark_til_bilag2_2020[[#This Row],[Stald_kode]]+Dataark_til_bilag2_2020[[#This Row],[Dyr_Kode]]</f>
        <v>124535</v>
      </c>
      <c r="I73" s="4347">
        <v>0</v>
      </c>
      <c r="J73" s="2766" t="s">
        <v>1977</v>
      </c>
      <c r="K73" s="2766"/>
      <c r="L73" s="2767">
        <v>5.31</v>
      </c>
      <c r="M73" s="2767">
        <v>0.127</v>
      </c>
      <c r="N73" s="2760">
        <f>IFERROR(Dataark_til_bilag2_2020[[#This Row],[Antal dyr]]*Dataark_til_bilag2_2020[[#This Row],[Gødning (g) pr. dyr (ton)]]," ")</f>
        <v>0</v>
      </c>
      <c r="O73" s="2768"/>
      <c r="P73" s="2759">
        <v>0</v>
      </c>
      <c r="Q73" s="2767"/>
      <c r="R73" s="2769">
        <v>132</v>
      </c>
      <c r="S73" s="2769">
        <v>181</v>
      </c>
      <c r="T73" s="2769">
        <v>344.39059726027403</v>
      </c>
      <c r="U73" s="2769">
        <v>195.10540273972606</v>
      </c>
      <c r="V73" s="2769">
        <v>12.5</v>
      </c>
      <c r="W73" s="2769">
        <v>0.18</v>
      </c>
      <c r="X73" s="2769">
        <v>8.132902200000002</v>
      </c>
      <c r="Y73" s="2762">
        <f t="shared" si="2"/>
        <v>0</v>
      </c>
    </row>
    <row r="74" spans="1:25" x14ac:dyDescent="0.25">
      <c r="A74" s="2770" t="s">
        <v>1980</v>
      </c>
      <c r="B74" s="2766">
        <v>1233</v>
      </c>
      <c r="C74" s="2766" t="s">
        <v>2791</v>
      </c>
      <c r="D74" s="2766" t="s">
        <v>336</v>
      </c>
      <c r="E74" s="2766" t="s">
        <v>1995</v>
      </c>
      <c r="F74" s="2766" t="s">
        <v>354</v>
      </c>
      <c r="G74" s="2766">
        <v>123303</v>
      </c>
      <c r="H74" s="2766">
        <f>Dataark_til_bilag2_2020[[#This Row],[Stald_kode]]+Dataark_til_bilag2_2020[[#This Row],[Dyr_Kode]]</f>
        <v>124536</v>
      </c>
      <c r="I74" s="4347">
        <v>0</v>
      </c>
      <c r="J74" s="2766" t="s">
        <v>1977</v>
      </c>
      <c r="K74" s="2766"/>
      <c r="L74" s="2767">
        <v>4.6399999999999997</v>
      </c>
      <c r="M74" s="2767">
        <v>0.127</v>
      </c>
      <c r="N74" s="2760">
        <f>IFERROR(Dataark_til_bilag2_2020[[#This Row],[Antal dyr]]*Dataark_til_bilag2_2020[[#This Row],[Gødning (g) pr. dyr (ton)]]," ")</f>
        <v>0</v>
      </c>
      <c r="O74" s="2768"/>
      <c r="P74" s="2759">
        <v>0</v>
      </c>
      <c r="Q74" s="2767"/>
      <c r="R74" s="2769">
        <v>132</v>
      </c>
      <c r="S74" s="2769">
        <v>181</v>
      </c>
      <c r="T74" s="2769">
        <v>300.93641643835616</v>
      </c>
      <c r="U74" s="2769">
        <v>170.48758356164385</v>
      </c>
      <c r="V74" s="2769">
        <v>12.5</v>
      </c>
      <c r="W74" s="2769">
        <v>0.18</v>
      </c>
      <c r="X74" s="2769">
        <v>7.1067168000000009</v>
      </c>
      <c r="Y74" s="2762">
        <f t="shared" si="2"/>
        <v>0</v>
      </c>
    </row>
    <row r="75" spans="1:25" x14ac:dyDescent="0.25">
      <c r="A75" s="2770" t="s">
        <v>1980</v>
      </c>
      <c r="B75" s="2766">
        <v>1233</v>
      </c>
      <c r="C75" s="2766" t="s">
        <v>2791</v>
      </c>
      <c r="D75" s="2766" t="s">
        <v>336</v>
      </c>
      <c r="E75" s="2766" t="s">
        <v>1982</v>
      </c>
      <c r="F75" s="2766" t="s">
        <v>354</v>
      </c>
      <c r="G75" s="2766">
        <v>123304</v>
      </c>
      <c r="H75" s="2766">
        <f>Dataark_til_bilag2_2020[[#This Row],[Stald_kode]]+Dataark_til_bilag2_2020[[#This Row],[Dyr_Kode]]</f>
        <v>124537</v>
      </c>
      <c r="I75" s="4347">
        <v>0</v>
      </c>
      <c r="J75" s="2766" t="s">
        <v>1977</v>
      </c>
      <c r="K75" s="2766"/>
      <c r="L75" s="2767">
        <v>4.6399999999999997</v>
      </c>
      <c r="M75" s="2767">
        <v>0.127</v>
      </c>
      <c r="N75" s="2760">
        <f>IFERROR(Dataark_til_bilag2_2020[[#This Row],[Antal dyr]]*Dataark_til_bilag2_2020[[#This Row],[Gødning (g) pr. dyr (ton)]]," ")</f>
        <v>0</v>
      </c>
      <c r="O75" s="2768"/>
      <c r="P75" s="2759">
        <v>0</v>
      </c>
      <c r="Q75" s="2767"/>
      <c r="R75" s="2769">
        <v>132</v>
      </c>
      <c r="S75" s="2769">
        <v>181</v>
      </c>
      <c r="T75" s="2769">
        <v>300.93641643835616</v>
      </c>
      <c r="U75" s="2769">
        <v>170.48758356164385</v>
      </c>
      <c r="V75" s="2769">
        <v>12.5</v>
      </c>
      <c r="W75" s="2769">
        <v>0.18</v>
      </c>
      <c r="X75" s="2769">
        <v>7.1067168000000009</v>
      </c>
      <c r="Y75" s="2762">
        <f t="shared" si="2"/>
        <v>0</v>
      </c>
    </row>
    <row r="76" spans="1:25" x14ac:dyDescent="0.25">
      <c r="A76" s="2770" t="s">
        <v>1980</v>
      </c>
      <c r="B76" s="2766">
        <v>1233</v>
      </c>
      <c r="C76" s="2766" t="s">
        <v>2791</v>
      </c>
      <c r="D76" s="2766" t="s">
        <v>336</v>
      </c>
      <c r="E76" s="2766" t="s">
        <v>1994</v>
      </c>
      <c r="F76" s="2766" t="s">
        <v>354</v>
      </c>
      <c r="G76" s="2766">
        <v>123305</v>
      </c>
      <c r="H76" s="2766">
        <f>Dataark_til_bilag2_2020[[#This Row],[Stald_kode]]+Dataark_til_bilag2_2020[[#This Row],[Dyr_Kode]]</f>
        <v>124538</v>
      </c>
      <c r="I76" s="4347">
        <v>0</v>
      </c>
      <c r="J76" s="2766" t="s">
        <v>1977</v>
      </c>
      <c r="K76" s="2766"/>
      <c r="L76" s="2767">
        <v>4.6399999999999997</v>
      </c>
      <c r="M76" s="2767">
        <v>0.127</v>
      </c>
      <c r="N76" s="2760">
        <f>IFERROR(Dataark_til_bilag2_2020[[#This Row],[Antal dyr]]*Dataark_til_bilag2_2020[[#This Row],[Gødning (g) pr. dyr (ton)]]," ")</f>
        <v>0</v>
      </c>
      <c r="O76" s="2768"/>
      <c r="P76" s="2759">
        <v>0</v>
      </c>
      <c r="Q76" s="2767"/>
      <c r="R76" s="2769">
        <v>132</v>
      </c>
      <c r="S76" s="2769">
        <v>181</v>
      </c>
      <c r="T76" s="2769">
        <v>300.93641643835616</v>
      </c>
      <c r="U76" s="2769">
        <v>170.48758356164385</v>
      </c>
      <c r="V76" s="2769">
        <v>12.5</v>
      </c>
      <c r="W76" s="2769">
        <v>0.18</v>
      </c>
      <c r="X76" s="2769">
        <v>7.1067168000000009</v>
      </c>
      <c r="Y76" s="2762">
        <f t="shared" si="2"/>
        <v>0</v>
      </c>
    </row>
    <row r="77" spans="1:25" x14ac:dyDescent="0.25">
      <c r="A77" s="2770" t="s">
        <v>1980</v>
      </c>
      <c r="B77" s="2766">
        <v>1233</v>
      </c>
      <c r="C77" s="2766" t="s">
        <v>2791</v>
      </c>
      <c r="D77" s="2766" t="s">
        <v>336</v>
      </c>
      <c r="E77" s="2766" t="s">
        <v>1987</v>
      </c>
      <c r="F77" s="2766" t="s">
        <v>350</v>
      </c>
      <c r="G77" s="2766">
        <v>123306</v>
      </c>
      <c r="H77" s="2766">
        <f>Dataark_til_bilag2_2020[[#This Row],[Stald_kode]]+Dataark_til_bilag2_2020[[#This Row],[Dyr_Kode]]</f>
        <v>124539</v>
      </c>
      <c r="I77" s="4347">
        <v>72.56</v>
      </c>
      <c r="J77" s="2766"/>
      <c r="K77" s="2766" t="s">
        <v>350</v>
      </c>
      <c r="L77" s="2767"/>
      <c r="M77" s="2767"/>
      <c r="N77" s="2760">
        <f>IFERROR(Dataark_til_bilag2_2020[[#This Row],[Antal dyr]]*Dataark_til_bilag2_2020[[#This Row],[Gødning (g) pr. dyr (ton)]]," ")</f>
        <v>0</v>
      </c>
      <c r="O77" s="2767">
        <v>4.45</v>
      </c>
      <c r="P77" s="2759">
        <v>322.892</v>
      </c>
      <c r="Q77" s="2767">
        <v>0.3</v>
      </c>
      <c r="R77" s="2769">
        <v>132</v>
      </c>
      <c r="S77" s="2769">
        <v>181</v>
      </c>
      <c r="T77" s="2769">
        <v>851.82198698630134</v>
      </c>
      <c r="U77" s="2769">
        <v>386.23561643835615</v>
      </c>
      <c r="V77" s="2769">
        <v>17</v>
      </c>
      <c r="W77" s="2769">
        <v>0.18</v>
      </c>
      <c r="X77" s="2769">
        <v>25.382656985412329</v>
      </c>
      <c r="Y77" s="2762">
        <f t="shared" si="2"/>
        <v>1.8417655908615187</v>
      </c>
    </row>
    <row r="78" spans="1:25" x14ac:dyDescent="0.25">
      <c r="A78" s="2770" t="s">
        <v>1980</v>
      </c>
      <c r="B78" s="2766">
        <v>1233</v>
      </c>
      <c r="C78" s="2766" t="s">
        <v>2791</v>
      </c>
      <c r="D78" s="2766" t="s">
        <v>336</v>
      </c>
      <c r="E78" s="2766" t="s">
        <v>2008</v>
      </c>
      <c r="F78" s="2766" t="s">
        <v>350</v>
      </c>
      <c r="G78" s="2766">
        <v>123307</v>
      </c>
      <c r="H78" s="2766">
        <f>Dataark_til_bilag2_2020[[#This Row],[Stald_kode]]+Dataark_til_bilag2_2020[[#This Row],[Dyr_Kode]]</f>
        <v>124540</v>
      </c>
      <c r="I78" s="4347">
        <v>0</v>
      </c>
      <c r="J78" s="2766"/>
      <c r="K78" s="2766" t="s">
        <v>350</v>
      </c>
      <c r="L78" s="2767"/>
      <c r="M78" s="2767"/>
      <c r="N78" s="2760">
        <f>IFERROR(Dataark_til_bilag2_2020[[#This Row],[Antal dyr]]*Dataark_til_bilag2_2020[[#This Row],[Gødning (g) pr. dyr (ton)]]," ")</f>
        <v>0</v>
      </c>
      <c r="O78" s="2767">
        <v>3.82</v>
      </c>
      <c r="P78" s="2759">
        <v>0</v>
      </c>
      <c r="Q78" s="2767">
        <v>0.3</v>
      </c>
      <c r="R78" s="2769">
        <v>132</v>
      </c>
      <c r="S78" s="2769">
        <v>181</v>
      </c>
      <c r="T78" s="2769">
        <v>731.22696410958906</v>
      </c>
      <c r="U78" s="2769">
        <v>331.55506849315071</v>
      </c>
      <c r="V78" s="2769">
        <v>17</v>
      </c>
      <c r="W78" s="2769">
        <v>0.18</v>
      </c>
      <c r="X78" s="2769">
        <v>21.78915723242137</v>
      </c>
      <c r="Y78" s="2762">
        <f t="shared" si="2"/>
        <v>0</v>
      </c>
    </row>
    <row r="79" spans="1:25" x14ac:dyDescent="0.25">
      <c r="A79" s="2770" t="s">
        <v>1980</v>
      </c>
      <c r="B79" s="2766">
        <v>1233</v>
      </c>
      <c r="C79" s="2766" t="s">
        <v>2791</v>
      </c>
      <c r="D79" s="2766" t="s">
        <v>336</v>
      </c>
      <c r="E79" s="2766" t="s">
        <v>1985</v>
      </c>
      <c r="F79" s="2766" t="s">
        <v>350</v>
      </c>
      <c r="G79" s="2766">
        <v>123308</v>
      </c>
      <c r="H79" s="2766">
        <f>Dataark_til_bilag2_2020[[#This Row],[Stald_kode]]+Dataark_til_bilag2_2020[[#This Row],[Dyr_Kode]]</f>
        <v>124541</v>
      </c>
      <c r="I79" s="4347">
        <v>0</v>
      </c>
      <c r="J79" s="2766" t="s">
        <v>1977</v>
      </c>
      <c r="K79" s="2766"/>
      <c r="L79" s="2767">
        <v>2.1</v>
      </c>
      <c r="M79" s="2767">
        <v>0.104</v>
      </c>
      <c r="N79" s="2760">
        <f>IFERROR(Dataark_til_bilag2_2020[[#This Row],[Antal dyr]]*Dataark_til_bilag2_2020[[#This Row],[Gødning (g) pr. dyr (ton)]]," ")</f>
        <v>0</v>
      </c>
      <c r="O79" s="2768"/>
      <c r="P79" s="2759">
        <v>0</v>
      </c>
      <c r="Q79" s="2767"/>
      <c r="R79" s="2769">
        <v>132</v>
      </c>
      <c r="S79" s="2769">
        <v>181</v>
      </c>
      <c r="T79" s="2769">
        <v>111.53358904109589</v>
      </c>
      <c r="U79" s="2769">
        <v>63.186410958904112</v>
      </c>
      <c r="V79" s="2769">
        <v>12.5</v>
      </c>
      <c r="W79" s="2769">
        <v>0.18</v>
      </c>
      <c r="X79" s="2769">
        <v>2.6339040000000002</v>
      </c>
      <c r="Y79" s="2762">
        <f t="shared" si="2"/>
        <v>0</v>
      </c>
    </row>
    <row r="80" spans="1:25" x14ac:dyDescent="0.25">
      <c r="A80" s="2770" t="s">
        <v>1980</v>
      </c>
      <c r="B80" s="2766">
        <v>1233</v>
      </c>
      <c r="C80" s="2766" t="s">
        <v>2791</v>
      </c>
      <c r="D80" s="2766" t="s">
        <v>336</v>
      </c>
      <c r="E80" s="2766" t="s">
        <v>1984</v>
      </c>
      <c r="F80" s="2766" t="s">
        <v>350</v>
      </c>
      <c r="G80" s="2766">
        <v>123309</v>
      </c>
      <c r="H80" s="2766">
        <f>Dataark_til_bilag2_2020[[#This Row],[Stald_kode]]+Dataark_til_bilag2_2020[[#This Row],[Dyr_Kode]]</f>
        <v>124542</v>
      </c>
      <c r="I80" s="4347">
        <v>0</v>
      </c>
      <c r="J80" s="2766" t="s">
        <v>1977</v>
      </c>
      <c r="K80" s="2766"/>
      <c r="L80" s="2767">
        <v>2.1</v>
      </c>
      <c r="M80" s="2767">
        <v>0.104</v>
      </c>
      <c r="N80" s="2760">
        <f>IFERROR(Dataark_til_bilag2_2020[[#This Row],[Antal dyr]]*Dataark_til_bilag2_2020[[#This Row],[Gødning (g) pr. dyr (ton)]]," ")</f>
        <v>0</v>
      </c>
      <c r="O80" s="2768"/>
      <c r="P80" s="2759">
        <v>0</v>
      </c>
      <c r="Q80" s="2767"/>
      <c r="R80" s="2769">
        <v>132</v>
      </c>
      <c r="S80" s="2769">
        <v>181</v>
      </c>
      <c r="T80" s="2769">
        <v>111.53358904109589</v>
      </c>
      <c r="U80" s="2769">
        <v>63.186410958904112</v>
      </c>
      <c r="V80" s="2769">
        <v>12.5</v>
      </c>
      <c r="W80" s="2769">
        <v>0.18</v>
      </c>
      <c r="X80" s="2769">
        <v>2.6339040000000002</v>
      </c>
      <c r="Y80" s="2762">
        <f t="shared" si="2"/>
        <v>0</v>
      </c>
    </row>
    <row r="81" spans="1:25" x14ac:dyDescent="0.25">
      <c r="A81" s="2770" t="s">
        <v>1980</v>
      </c>
      <c r="B81" s="2766">
        <v>1233</v>
      </c>
      <c r="C81" s="2766" t="s">
        <v>2791</v>
      </c>
      <c r="D81" s="2766" t="s">
        <v>336</v>
      </c>
      <c r="E81" s="2766" t="s">
        <v>1983</v>
      </c>
      <c r="F81" s="2766" t="s">
        <v>350</v>
      </c>
      <c r="G81" s="2766">
        <v>123310</v>
      </c>
      <c r="H81" s="2766">
        <f>Dataark_til_bilag2_2020[[#This Row],[Stald_kode]]+Dataark_til_bilag2_2020[[#This Row],[Dyr_Kode]]</f>
        <v>124543</v>
      </c>
      <c r="I81" s="4347">
        <v>0</v>
      </c>
      <c r="J81" s="2766" t="s">
        <v>1977</v>
      </c>
      <c r="K81" s="2766"/>
      <c r="L81" s="2767">
        <v>2.1</v>
      </c>
      <c r="M81" s="2767">
        <v>0.104</v>
      </c>
      <c r="N81" s="2760">
        <f>IFERROR(Dataark_til_bilag2_2020[[#This Row],[Antal dyr]]*Dataark_til_bilag2_2020[[#This Row],[Gødning (g) pr. dyr (ton)]]," ")</f>
        <v>0</v>
      </c>
      <c r="O81" s="2768"/>
      <c r="P81" s="2759">
        <v>0</v>
      </c>
      <c r="Q81" s="2767"/>
      <c r="R81" s="2769">
        <v>132</v>
      </c>
      <c r="S81" s="2769">
        <v>181</v>
      </c>
      <c r="T81" s="2769">
        <v>111.53358904109589</v>
      </c>
      <c r="U81" s="2769">
        <v>63.186410958904112</v>
      </c>
      <c r="V81" s="2769">
        <v>12.5</v>
      </c>
      <c r="W81" s="2769">
        <v>0.18</v>
      </c>
      <c r="X81" s="2769">
        <v>2.6339040000000002</v>
      </c>
      <c r="Y81" s="2762">
        <f t="shared" si="2"/>
        <v>0</v>
      </c>
    </row>
    <row r="82" spans="1:25" s="2775" customFormat="1" x14ac:dyDescent="0.25">
      <c r="A82" s="2770" t="s">
        <v>1980</v>
      </c>
      <c r="B82" s="2766">
        <v>1233</v>
      </c>
      <c r="C82" s="2766" t="s">
        <v>2791</v>
      </c>
      <c r="D82" s="2766" t="s">
        <v>336</v>
      </c>
      <c r="E82" s="2766" t="s">
        <v>1996</v>
      </c>
      <c r="F82" s="2766" t="s">
        <v>353</v>
      </c>
      <c r="G82" s="2766">
        <v>123312</v>
      </c>
      <c r="H82" s="2766">
        <f>Dataark_til_bilag2_2020[[#This Row],[Stald_kode]]+Dataark_til_bilag2_2020[[#This Row],[Dyr_Kode]]</f>
        <v>124545</v>
      </c>
      <c r="I82" s="4347">
        <v>0</v>
      </c>
      <c r="J82" s="2766" t="s">
        <v>1977</v>
      </c>
      <c r="K82" s="2766"/>
      <c r="L82" s="2767">
        <v>5.46</v>
      </c>
      <c r="M82" s="2767">
        <v>0.1</v>
      </c>
      <c r="N82" s="2760">
        <f>IFERROR(Dataark_til_bilag2_2020[[#This Row],[Antal dyr]]*Dataark_til_bilag2_2020[[#This Row],[Gødning (g) pr. dyr (ton)]]," ")</f>
        <v>0</v>
      </c>
      <c r="O82" s="2768"/>
      <c r="P82" s="2759">
        <v>0</v>
      </c>
      <c r="Q82" s="2767"/>
      <c r="R82" s="2769">
        <v>132</v>
      </c>
      <c r="S82" s="2769">
        <v>181</v>
      </c>
      <c r="T82" s="2769">
        <v>278.83397260273972</v>
      </c>
      <c r="U82" s="2769">
        <v>157.96602739726026</v>
      </c>
      <c r="V82" s="2769">
        <v>12.5</v>
      </c>
      <c r="W82" s="2769">
        <v>0.18</v>
      </c>
      <c r="X82" s="2769">
        <v>6.5847599999999993</v>
      </c>
      <c r="Y82" s="2762">
        <f t="shared" si="2"/>
        <v>0</v>
      </c>
    </row>
    <row r="83" spans="1:25" x14ac:dyDescent="0.25">
      <c r="A83" s="2770" t="s">
        <v>1980</v>
      </c>
      <c r="B83" s="2766">
        <v>1233</v>
      </c>
      <c r="C83" s="2766" t="s">
        <v>2791</v>
      </c>
      <c r="D83" s="2766" t="s">
        <v>336</v>
      </c>
      <c r="E83" s="2766" t="s">
        <v>1990</v>
      </c>
      <c r="F83" s="2766" t="s">
        <v>354</v>
      </c>
      <c r="G83" s="2766">
        <v>123316</v>
      </c>
      <c r="H83" s="2766">
        <f>Dataark_til_bilag2_2020[[#This Row],[Stald_kode]]+Dataark_til_bilag2_2020[[#This Row],[Dyr_Kode]]</f>
        <v>124549</v>
      </c>
      <c r="I83" s="4347">
        <v>0</v>
      </c>
      <c r="J83" s="2766" t="s">
        <v>1977</v>
      </c>
      <c r="K83" s="2766"/>
      <c r="L83" s="2767">
        <v>4.6399999999999997</v>
      </c>
      <c r="M83" s="2767">
        <v>0.127</v>
      </c>
      <c r="N83" s="2760">
        <f>IFERROR(Dataark_til_bilag2_2020[[#This Row],[Antal dyr]]*Dataark_til_bilag2_2020[[#This Row],[Gødning (g) pr. dyr (ton)]]," ")</f>
        <v>0</v>
      </c>
      <c r="O83" s="2768"/>
      <c r="P83" s="2759">
        <v>0</v>
      </c>
      <c r="Q83" s="2767"/>
      <c r="R83" s="2769">
        <v>132</v>
      </c>
      <c r="S83" s="2769">
        <v>181</v>
      </c>
      <c r="T83" s="2769">
        <v>300.93641643835616</v>
      </c>
      <c r="U83" s="2769">
        <v>170.48758356164385</v>
      </c>
      <c r="V83" s="2769">
        <v>12.5</v>
      </c>
      <c r="W83" s="2769">
        <v>0.18</v>
      </c>
      <c r="X83" s="2769">
        <v>7.1067168000000009</v>
      </c>
      <c r="Y83" s="2762">
        <f t="shared" si="2"/>
        <v>0</v>
      </c>
    </row>
    <row r="84" spans="1:25" x14ac:dyDescent="0.25">
      <c r="A84" s="2770" t="s">
        <v>1980</v>
      </c>
      <c r="B84" s="2766">
        <v>1234</v>
      </c>
      <c r="C84" s="2766" t="s">
        <v>2795</v>
      </c>
      <c r="D84" s="2766" t="s">
        <v>2794</v>
      </c>
      <c r="E84" s="2766" t="s">
        <v>2006</v>
      </c>
      <c r="F84" s="2766" t="s">
        <v>350</v>
      </c>
      <c r="G84" s="2766">
        <v>123401</v>
      </c>
      <c r="H84" s="2766">
        <f>Dataark_til_bilag2_2020[[#This Row],[Stald_kode]]+Dataark_til_bilag2_2020[[#This Row],[Dyr_Kode]]</f>
        <v>124635</v>
      </c>
      <c r="I84" s="4347">
        <v>8.31</v>
      </c>
      <c r="J84" s="2766"/>
      <c r="K84" s="2766" t="s">
        <v>350</v>
      </c>
      <c r="L84" s="2767"/>
      <c r="M84" s="2767"/>
      <c r="N84" s="2760">
        <f>IFERROR(Dataark_til_bilag2_2020[[#This Row],[Antal dyr]]*Dataark_til_bilag2_2020[[#This Row],[Gødning (g) pr. dyr (ton)]]," ")</f>
        <v>0</v>
      </c>
      <c r="O84" s="2767">
        <v>1.48</v>
      </c>
      <c r="P84" s="2759">
        <v>12.2988</v>
      </c>
      <c r="Q84" s="2767">
        <v>0.3</v>
      </c>
      <c r="R84" s="2769">
        <v>18</v>
      </c>
      <c r="S84" s="2769">
        <v>224</v>
      </c>
      <c r="T84" s="2769">
        <v>421.91416273972607</v>
      </c>
      <c r="U84" s="2769">
        <v>17.516712328767127</v>
      </c>
      <c r="V84" s="2769">
        <v>17</v>
      </c>
      <c r="W84" s="2769">
        <v>0.18</v>
      </c>
      <c r="X84" s="2769">
        <v>9.0092118006542474</v>
      </c>
      <c r="Y84" s="2762">
        <f t="shared" si="2"/>
        <v>7.4866550063436801E-2</v>
      </c>
    </row>
    <row r="85" spans="1:25" x14ac:dyDescent="0.25">
      <c r="A85" s="2770" t="s">
        <v>1980</v>
      </c>
      <c r="B85" s="2766">
        <v>1234</v>
      </c>
      <c r="C85" s="2766" t="s">
        <v>2795</v>
      </c>
      <c r="D85" s="2766" t="s">
        <v>2794</v>
      </c>
      <c r="E85" s="2766" t="s">
        <v>2004</v>
      </c>
      <c r="F85" s="2766" t="s">
        <v>350</v>
      </c>
      <c r="G85" s="2766">
        <v>123402</v>
      </c>
      <c r="H85" s="2766">
        <f>Dataark_til_bilag2_2020[[#This Row],[Stald_kode]]+Dataark_til_bilag2_2020[[#This Row],[Dyr_Kode]]</f>
        <v>124636</v>
      </c>
      <c r="I85" s="4347">
        <v>0</v>
      </c>
      <c r="J85" s="2766"/>
      <c r="K85" s="2766" t="s">
        <v>350</v>
      </c>
      <c r="L85" s="2767"/>
      <c r="M85" s="2767"/>
      <c r="N85" s="2760">
        <f>IFERROR(Dataark_til_bilag2_2020[[#This Row],[Antal dyr]]*Dataark_til_bilag2_2020[[#This Row],[Gødning (g) pr. dyr (ton)]]," ")</f>
        <v>0</v>
      </c>
      <c r="O85" s="2767">
        <v>1.48</v>
      </c>
      <c r="P85" s="2759">
        <v>0</v>
      </c>
      <c r="Q85" s="2767">
        <v>0.3</v>
      </c>
      <c r="R85" s="2769">
        <v>18</v>
      </c>
      <c r="S85" s="2769">
        <v>224</v>
      </c>
      <c r="T85" s="2769">
        <v>421.91416273972607</v>
      </c>
      <c r="U85" s="2769">
        <v>17.516712328767127</v>
      </c>
      <c r="V85" s="2769">
        <v>3</v>
      </c>
      <c r="W85" s="2769">
        <v>0.18</v>
      </c>
      <c r="X85" s="2769">
        <v>1.5898609059978084</v>
      </c>
      <c r="Y85" s="2762">
        <f t="shared" si="2"/>
        <v>0</v>
      </c>
    </row>
    <row r="86" spans="1:25" x14ac:dyDescent="0.25">
      <c r="A86" s="2770" t="s">
        <v>1980</v>
      </c>
      <c r="B86" s="2766">
        <v>1235</v>
      </c>
      <c r="C86" s="2766" t="s">
        <v>2799</v>
      </c>
      <c r="D86" s="2766" t="s">
        <v>2796</v>
      </c>
      <c r="E86" s="2766" t="s">
        <v>1989</v>
      </c>
      <c r="F86" s="2766" t="s">
        <v>639</v>
      </c>
      <c r="G86" s="2766">
        <v>123501</v>
      </c>
      <c r="H86" s="2766">
        <f>Dataark_til_bilag2_2020[[#This Row],[Stald_kode]]+Dataark_til_bilag2_2020[[#This Row],[Dyr_Kode]]</f>
        <v>124736</v>
      </c>
      <c r="I86" s="4347">
        <v>0</v>
      </c>
      <c r="J86" s="2766" t="s">
        <v>1903</v>
      </c>
      <c r="K86" s="2766"/>
      <c r="L86" s="2767">
        <v>1.48</v>
      </c>
      <c r="M86" s="2767">
        <f>21.1/100</f>
        <v>0.21100000000000002</v>
      </c>
      <c r="N86" s="2760">
        <f>IFERROR(Dataark_til_bilag2_2020[[#This Row],[Antal dyr]]*Dataark_til_bilag2_2020[[#This Row],[Gødning (g) pr. dyr (ton)]]," ")</f>
        <v>0</v>
      </c>
      <c r="O86" s="2768"/>
      <c r="P86" s="2759">
        <v>0</v>
      </c>
      <c r="Q86" s="2767"/>
      <c r="R86" s="2769">
        <v>18</v>
      </c>
      <c r="S86" s="2769">
        <v>181</v>
      </c>
      <c r="T86" s="2769">
        <v>237.5039123287672</v>
      </c>
      <c r="U86" s="2769">
        <v>12.32008767123288</v>
      </c>
      <c r="V86" s="2769">
        <v>2</v>
      </c>
      <c r="W86" s="2769">
        <v>0.18</v>
      </c>
      <c r="X86" s="2769">
        <v>0.60257548800000027</v>
      </c>
      <c r="Y86" s="2762">
        <f t="shared" si="2"/>
        <v>0</v>
      </c>
    </row>
    <row r="87" spans="1:25" x14ac:dyDescent="0.25">
      <c r="A87" s="2770" t="s">
        <v>1980</v>
      </c>
      <c r="B87" s="2766">
        <v>1235</v>
      </c>
      <c r="C87" s="2766" t="s">
        <v>2799</v>
      </c>
      <c r="D87" s="2766" t="s">
        <v>2796</v>
      </c>
      <c r="E87" s="2766" t="s">
        <v>1988</v>
      </c>
      <c r="F87" s="2766" t="s">
        <v>639</v>
      </c>
      <c r="G87" s="2766">
        <v>123502</v>
      </c>
      <c r="H87" s="2766">
        <f>Dataark_til_bilag2_2020[[#This Row],[Stald_kode]]+Dataark_til_bilag2_2020[[#This Row],[Dyr_Kode]]</f>
        <v>124737</v>
      </c>
      <c r="I87" s="4347">
        <v>0</v>
      </c>
      <c r="J87" s="2766" t="s">
        <v>1977</v>
      </c>
      <c r="K87" s="2766"/>
      <c r="L87" s="2767">
        <v>3.12</v>
      </c>
      <c r="M87" s="2767">
        <v>0.108</v>
      </c>
      <c r="N87" s="2760">
        <f>IFERROR(Dataark_til_bilag2_2020[[#This Row],[Antal dyr]]*Dataark_til_bilag2_2020[[#This Row],[Gødning (g) pr. dyr (ton)]]," ")</f>
        <v>0</v>
      </c>
      <c r="O87" s="2768"/>
      <c r="P87" s="2759">
        <v>0</v>
      </c>
      <c r="Q87" s="2767"/>
      <c r="R87" s="2769">
        <v>18</v>
      </c>
      <c r="S87" s="2769">
        <v>181</v>
      </c>
      <c r="T87" s="2769">
        <v>256.27423561643838</v>
      </c>
      <c r="U87" s="2769">
        <v>13.293764383561646</v>
      </c>
      <c r="V87" s="2769">
        <v>12.5</v>
      </c>
      <c r="W87" s="2769">
        <v>0.18</v>
      </c>
      <c r="X87" s="2769">
        <v>4.0637376000000005</v>
      </c>
      <c r="Y87" s="2762">
        <f t="shared" si="2"/>
        <v>0</v>
      </c>
    </row>
    <row r="88" spans="1:25" x14ac:dyDescent="0.25">
      <c r="A88" s="2770" t="s">
        <v>1980</v>
      </c>
      <c r="B88" s="2766">
        <v>1235</v>
      </c>
      <c r="C88" s="2766" t="s">
        <v>2799</v>
      </c>
      <c r="D88" s="2766" t="s">
        <v>2796</v>
      </c>
      <c r="E88" s="2766" t="s">
        <v>1987</v>
      </c>
      <c r="F88" s="2766" t="s">
        <v>350</v>
      </c>
      <c r="G88" s="2766">
        <v>123503</v>
      </c>
      <c r="H88" s="2766">
        <f>Dataark_til_bilag2_2020[[#This Row],[Stald_kode]]+Dataark_til_bilag2_2020[[#This Row],[Dyr_Kode]]</f>
        <v>124738</v>
      </c>
      <c r="I88" s="4347">
        <v>31.85</v>
      </c>
      <c r="J88" s="2766"/>
      <c r="K88" s="2766" t="s">
        <v>350</v>
      </c>
      <c r="L88" s="2767"/>
      <c r="M88" s="2767"/>
      <c r="N88" s="2760">
        <f>IFERROR(Dataark_til_bilag2_2020[[#This Row],[Antal dyr]]*Dataark_til_bilag2_2020[[#This Row],[Gødning (g) pr. dyr (ton)]]," ")</f>
        <v>0</v>
      </c>
      <c r="O88" s="2767">
        <v>1.95</v>
      </c>
      <c r="P88" s="2759">
        <v>62.107500000000002</v>
      </c>
      <c r="Q88" s="2767">
        <v>0.3</v>
      </c>
      <c r="R88" s="2769">
        <v>18</v>
      </c>
      <c r="S88" s="2769">
        <v>181</v>
      </c>
      <c r="T88" s="2769">
        <v>555.90041712328764</v>
      </c>
      <c r="U88" s="2769">
        <v>23.079452054794523</v>
      </c>
      <c r="V88" s="2769">
        <v>17</v>
      </c>
      <c r="W88" s="2769">
        <v>0.18</v>
      </c>
      <c r="X88" s="2769">
        <v>11.870245277889042</v>
      </c>
      <c r="Y88" s="2762">
        <f t="shared" si="2"/>
        <v>0.378067312100766</v>
      </c>
    </row>
    <row r="89" spans="1:25" x14ac:dyDescent="0.25">
      <c r="A89" s="2770" t="s">
        <v>1980</v>
      </c>
      <c r="B89" s="2766">
        <v>1235</v>
      </c>
      <c r="C89" s="2766" t="s">
        <v>2799</v>
      </c>
      <c r="D89" s="2766" t="s">
        <v>2796</v>
      </c>
      <c r="E89" s="2766" t="s">
        <v>2000</v>
      </c>
      <c r="F89" s="2766" t="s">
        <v>350</v>
      </c>
      <c r="G89" s="2766">
        <v>123504</v>
      </c>
      <c r="H89" s="2766">
        <f>Dataark_til_bilag2_2020[[#This Row],[Stald_kode]]+Dataark_til_bilag2_2020[[#This Row],[Dyr_Kode]]</f>
        <v>124739</v>
      </c>
      <c r="I89" s="4347">
        <v>0</v>
      </c>
      <c r="J89" s="2766"/>
      <c r="K89" s="2766" t="s">
        <v>350</v>
      </c>
      <c r="L89" s="2767"/>
      <c r="M89" s="2767"/>
      <c r="N89" s="2760">
        <f>IFERROR(Dataark_til_bilag2_2020[[#This Row],[Antal dyr]]*Dataark_til_bilag2_2020[[#This Row],[Gødning (g) pr. dyr (ton)]]," ")</f>
        <v>0</v>
      </c>
      <c r="O89" s="2767">
        <v>1.71</v>
      </c>
      <c r="P89" s="2759">
        <v>0</v>
      </c>
      <c r="Q89" s="2767">
        <v>0.3</v>
      </c>
      <c r="R89" s="2769">
        <v>18</v>
      </c>
      <c r="S89" s="2769">
        <v>181</v>
      </c>
      <c r="T89" s="2769">
        <v>487.48190424657531</v>
      </c>
      <c r="U89" s="2769">
        <v>20.23890410958904</v>
      </c>
      <c r="V89" s="2769">
        <v>3</v>
      </c>
      <c r="W89" s="2769">
        <v>0.18</v>
      </c>
      <c r="X89" s="2769">
        <v>1.8369338846326027</v>
      </c>
      <c r="Y89" s="2762">
        <f t="shared" si="2"/>
        <v>0</v>
      </c>
    </row>
    <row r="90" spans="1:25" x14ac:dyDescent="0.25">
      <c r="A90" s="2770" t="s">
        <v>1980</v>
      </c>
      <c r="B90" s="2766">
        <v>1235</v>
      </c>
      <c r="C90" s="2766" t="s">
        <v>2799</v>
      </c>
      <c r="D90" s="2766" t="s">
        <v>2796</v>
      </c>
      <c r="E90" s="2766" t="s">
        <v>1999</v>
      </c>
      <c r="F90" s="2766" t="s">
        <v>350</v>
      </c>
      <c r="G90" s="2766">
        <v>123505</v>
      </c>
      <c r="H90" s="2766">
        <f>Dataark_til_bilag2_2020[[#This Row],[Stald_kode]]+Dataark_til_bilag2_2020[[#This Row],[Dyr_Kode]]</f>
        <v>124740</v>
      </c>
      <c r="I90" s="4347">
        <v>0</v>
      </c>
      <c r="J90" s="2766" t="s">
        <v>1977</v>
      </c>
      <c r="K90" s="2766"/>
      <c r="L90" s="2767">
        <v>1.1399999999999999</v>
      </c>
      <c r="M90" s="2767">
        <v>8.4000000000000005E-2</v>
      </c>
      <c r="N90" s="2760">
        <f>IFERROR(Dataark_til_bilag2_2020[[#This Row],[Antal dyr]]*Dataark_til_bilag2_2020[[#This Row],[Gødning (g) pr. dyr (ton)]]," ")</f>
        <v>0</v>
      </c>
      <c r="O90" s="2768"/>
      <c r="P90" s="2759">
        <v>0</v>
      </c>
      <c r="Q90" s="2767"/>
      <c r="R90" s="2769">
        <v>18</v>
      </c>
      <c r="S90" s="2769">
        <v>181</v>
      </c>
      <c r="T90" s="2769">
        <v>72.830071232876719</v>
      </c>
      <c r="U90" s="2769">
        <v>3.7779287671232886</v>
      </c>
      <c r="V90" s="2769">
        <v>12.5</v>
      </c>
      <c r="W90" s="2769">
        <v>0.18</v>
      </c>
      <c r="X90" s="2769">
        <v>1.1548656000000002</v>
      </c>
      <c r="Y90" s="2762">
        <f t="shared" si="2"/>
        <v>0</v>
      </c>
    </row>
    <row r="91" spans="1:25" x14ac:dyDescent="0.25">
      <c r="A91" s="2770" t="s">
        <v>1980</v>
      </c>
      <c r="B91" s="2766">
        <v>1235</v>
      </c>
      <c r="C91" s="2766" t="s">
        <v>2799</v>
      </c>
      <c r="D91" s="2766" t="s">
        <v>2796</v>
      </c>
      <c r="E91" s="2766" t="s">
        <v>1998</v>
      </c>
      <c r="F91" s="2766" t="s">
        <v>350</v>
      </c>
      <c r="G91" s="2766">
        <v>123506</v>
      </c>
      <c r="H91" s="2766">
        <f>Dataark_til_bilag2_2020[[#This Row],[Stald_kode]]+Dataark_til_bilag2_2020[[#This Row],[Dyr_Kode]]</f>
        <v>124741</v>
      </c>
      <c r="I91" s="4347">
        <v>0</v>
      </c>
      <c r="J91" s="2766" t="s">
        <v>1977</v>
      </c>
      <c r="K91" s="2766"/>
      <c r="L91" s="2767">
        <v>1.1399999999999999</v>
      </c>
      <c r="M91" s="2767">
        <v>8.4000000000000005E-2</v>
      </c>
      <c r="N91" s="2760">
        <f>IFERROR(Dataark_til_bilag2_2020[[#This Row],[Antal dyr]]*Dataark_til_bilag2_2020[[#This Row],[Gødning (g) pr. dyr (ton)]]," ")</f>
        <v>0</v>
      </c>
      <c r="O91" s="2768"/>
      <c r="P91" s="2759">
        <v>0</v>
      </c>
      <c r="Q91" s="2767"/>
      <c r="R91" s="2769">
        <v>18</v>
      </c>
      <c r="S91" s="2769">
        <v>181</v>
      </c>
      <c r="T91" s="2769">
        <v>72.830071232876719</v>
      </c>
      <c r="U91" s="2769">
        <v>3.7779287671232886</v>
      </c>
      <c r="V91" s="2769">
        <v>12.5</v>
      </c>
      <c r="W91" s="2769">
        <v>0.18</v>
      </c>
      <c r="X91" s="2769">
        <v>1.1548656000000002</v>
      </c>
      <c r="Y91" s="2762">
        <f t="shared" si="2"/>
        <v>0</v>
      </c>
    </row>
    <row r="92" spans="1:25" x14ac:dyDescent="0.25">
      <c r="A92" s="2770" t="s">
        <v>1980</v>
      </c>
      <c r="B92" s="2766">
        <v>1235</v>
      </c>
      <c r="C92" s="2766" t="s">
        <v>2799</v>
      </c>
      <c r="D92" s="2766" t="s">
        <v>2796</v>
      </c>
      <c r="E92" s="2766" t="s">
        <v>1997</v>
      </c>
      <c r="F92" s="2766" t="s">
        <v>350</v>
      </c>
      <c r="G92" s="2766">
        <v>123507</v>
      </c>
      <c r="H92" s="2766">
        <f>Dataark_til_bilag2_2020[[#This Row],[Stald_kode]]+Dataark_til_bilag2_2020[[#This Row],[Dyr_Kode]]</f>
        <v>124742</v>
      </c>
      <c r="I92" s="4347">
        <v>0</v>
      </c>
      <c r="J92" s="2766" t="s">
        <v>1977</v>
      </c>
      <c r="K92" s="2766"/>
      <c r="L92" s="2767">
        <v>1.1399999999999999</v>
      </c>
      <c r="M92" s="2767">
        <v>8.4000000000000005E-2</v>
      </c>
      <c r="N92" s="2760">
        <f>IFERROR(Dataark_til_bilag2_2020[[#This Row],[Antal dyr]]*Dataark_til_bilag2_2020[[#This Row],[Gødning (g) pr. dyr (ton)]]," ")</f>
        <v>0</v>
      </c>
      <c r="O92" s="2768"/>
      <c r="P92" s="2759">
        <v>0</v>
      </c>
      <c r="Q92" s="2767"/>
      <c r="R92" s="2769">
        <v>18</v>
      </c>
      <c r="S92" s="2769">
        <v>181</v>
      </c>
      <c r="T92" s="2769">
        <v>72.830071232876719</v>
      </c>
      <c r="U92" s="2769">
        <v>3.7779287671232886</v>
      </c>
      <c r="V92" s="2769">
        <v>12.5</v>
      </c>
      <c r="W92" s="2769">
        <v>0.18</v>
      </c>
      <c r="X92" s="2769">
        <v>1.1548656000000002</v>
      </c>
      <c r="Y92" s="2762">
        <f t="shared" si="2"/>
        <v>0</v>
      </c>
    </row>
    <row r="93" spans="1:25" x14ac:dyDescent="0.25">
      <c r="A93" s="2770" t="s">
        <v>1980</v>
      </c>
      <c r="B93" s="2766">
        <v>1235</v>
      </c>
      <c r="C93" s="2766" t="s">
        <v>2799</v>
      </c>
      <c r="D93" s="2766" t="s">
        <v>2796</v>
      </c>
      <c r="E93" s="2766" t="s">
        <v>1996</v>
      </c>
      <c r="F93" s="2766" t="s">
        <v>353</v>
      </c>
      <c r="G93" s="2766">
        <v>123509</v>
      </c>
      <c r="H93" s="2766">
        <f>Dataark_til_bilag2_2020[[#This Row],[Stald_kode]]+Dataark_til_bilag2_2020[[#This Row],[Dyr_Kode]]</f>
        <v>124744</v>
      </c>
      <c r="I93" s="4347">
        <v>0</v>
      </c>
      <c r="J93" s="2766" t="s">
        <v>1977</v>
      </c>
      <c r="K93" s="2766"/>
      <c r="L93" s="2767">
        <v>2.4500000000000002</v>
      </c>
      <c r="M93" s="2767">
        <v>9.8000000000000004E-2</v>
      </c>
      <c r="N93" s="2760">
        <f>IFERROR(Dataark_til_bilag2_2020[[#This Row],[Antal dyr]]*Dataark_til_bilag2_2020[[#This Row],[Gødning (g) pr. dyr (ton)]]," ")</f>
        <v>0</v>
      </c>
      <c r="O93" s="2768"/>
      <c r="P93" s="2759">
        <v>0</v>
      </c>
      <c r="Q93" s="2767"/>
      <c r="R93" s="2769">
        <v>18</v>
      </c>
      <c r="S93" s="2769">
        <v>181</v>
      </c>
      <c r="T93" s="2769">
        <v>182.60756164383562</v>
      </c>
      <c r="U93" s="2769">
        <v>9.4724383561643837</v>
      </c>
      <c r="V93" s="2769">
        <v>12.5</v>
      </c>
      <c r="W93" s="2769">
        <v>0.18</v>
      </c>
      <c r="X93" s="2769">
        <v>2.8956060000000003</v>
      </c>
      <c r="Y93" s="2762">
        <f t="shared" si="2"/>
        <v>0</v>
      </c>
    </row>
    <row r="94" spans="1:25" x14ac:dyDescent="0.25">
      <c r="A94" s="2770" t="s">
        <v>1980</v>
      </c>
      <c r="B94" s="2766">
        <v>1235</v>
      </c>
      <c r="C94" s="2766" t="s">
        <v>2799</v>
      </c>
      <c r="D94" s="2766" t="s">
        <v>2796</v>
      </c>
      <c r="E94" s="2766" t="s">
        <v>1995</v>
      </c>
      <c r="F94" s="2766" t="s">
        <v>354</v>
      </c>
      <c r="G94" s="2766">
        <v>123513</v>
      </c>
      <c r="H94" s="2766">
        <f>Dataark_til_bilag2_2020[[#This Row],[Stald_kode]]+Dataark_til_bilag2_2020[[#This Row],[Dyr_Kode]]</f>
        <v>124748</v>
      </c>
      <c r="I94" s="4347">
        <v>0</v>
      </c>
      <c r="J94" s="2766" t="s">
        <v>1977</v>
      </c>
      <c r="K94" s="2766"/>
      <c r="L94" s="2767">
        <v>2.14</v>
      </c>
      <c r="M94" s="2767">
        <v>0.127</v>
      </c>
      <c r="N94" s="2760">
        <f>IFERROR(Dataark_til_bilag2_2020[[#This Row],[Antal dyr]]*Dataark_til_bilag2_2020[[#This Row],[Gødning (g) pr. dyr (ton)]]," ")</f>
        <v>0</v>
      </c>
      <c r="O94" s="2768"/>
      <c r="P94" s="2759">
        <v>0</v>
      </c>
      <c r="Q94" s="2767"/>
      <c r="R94" s="2769">
        <v>18</v>
      </c>
      <c r="S94" s="2769">
        <v>181</v>
      </c>
      <c r="T94" s="2769">
        <v>206.70172054794523</v>
      </c>
      <c r="U94" s="2769">
        <v>10.722279452054796</v>
      </c>
      <c r="V94" s="2769">
        <v>12.5</v>
      </c>
      <c r="W94" s="2769">
        <v>0.18</v>
      </c>
      <c r="X94" s="2769">
        <v>3.2776668000000004</v>
      </c>
      <c r="Y94" s="2762">
        <f t="shared" si="2"/>
        <v>0</v>
      </c>
    </row>
    <row r="95" spans="1:25" x14ac:dyDescent="0.25">
      <c r="A95" s="2770" t="s">
        <v>1980</v>
      </c>
      <c r="B95" s="2766">
        <v>1235</v>
      </c>
      <c r="C95" s="2766" t="s">
        <v>2799</v>
      </c>
      <c r="D95" s="2766" t="s">
        <v>2796</v>
      </c>
      <c r="E95" s="2766" t="s">
        <v>2003</v>
      </c>
      <c r="F95" s="2766" t="s">
        <v>354</v>
      </c>
      <c r="G95" s="2766">
        <v>123514</v>
      </c>
      <c r="H95" s="2766">
        <f>Dataark_til_bilag2_2020[[#This Row],[Stald_kode]]+Dataark_til_bilag2_2020[[#This Row],[Dyr_Kode]]</f>
        <v>124749</v>
      </c>
      <c r="I95" s="4347">
        <v>0</v>
      </c>
      <c r="J95" s="2766" t="s">
        <v>1977</v>
      </c>
      <c r="K95" s="2766"/>
      <c r="L95" s="2767">
        <v>2.14</v>
      </c>
      <c r="M95" s="2767">
        <v>0.127</v>
      </c>
      <c r="N95" s="2760">
        <f>IFERROR(Dataark_til_bilag2_2020[[#This Row],[Antal dyr]]*Dataark_til_bilag2_2020[[#This Row],[Gødning (g) pr. dyr (ton)]]," ")</f>
        <v>0</v>
      </c>
      <c r="O95" s="2768"/>
      <c r="P95" s="2759">
        <v>0</v>
      </c>
      <c r="Q95" s="2767"/>
      <c r="R95" s="2769">
        <v>18</v>
      </c>
      <c r="S95" s="2769">
        <v>181</v>
      </c>
      <c r="T95" s="2769">
        <v>206.70172054794523</v>
      </c>
      <c r="U95" s="2769">
        <v>10.722279452054796</v>
      </c>
      <c r="V95" s="2769">
        <v>12.5</v>
      </c>
      <c r="W95" s="2769">
        <v>0.18</v>
      </c>
      <c r="X95" s="2769">
        <v>3.2776668000000004</v>
      </c>
      <c r="Y95" s="2762">
        <f t="shared" si="2"/>
        <v>0</v>
      </c>
    </row>
    <row r="96" spans="1:25" x14ac:dyDescent="0.25">
      <c r="A96" s="2770" t="s">
        <v>1980</v>
      </c>
      <c r="B96" s="2766">
        <v>1235</v>
      </c>
      <c r="C96" s="2766" t="s">
        <v>2799</v>
      </c>
      <c r="D96" s="2766" t="s">
        <v>2796</v>
      </c>
      <c r="E96" s="2766" t="s">
        <v>2002</v>
      </c>
      <c r="F96" s="2766" t="s">
        <v>354</v>
      </c>
      <c r="G96" s="2766">
        <v>123515</v>
      </c>
      <c r="H96" s="2766">
        <f>Dataark_til_bilag2_2020[[#This Row],[Stald_kode]]+Dataark_til_bilag2_2020[[#This Row],[Dyr_Kode]]</f>
        <v>124750</v>
      </c>
      <c r="I96" s="4347">
        <v>0</v>
      </c>
      <c r="J96" s="2766" t="s">
        <v>1977</v>
      </c>
      <c r="K96" s="2766"/>
      <c r="L96" s="2767">
        <v>2.14</v>
      </c>
      <c r="M96" s="2767">
        <v>0.128</v>
      </c>
      <c r="N96" s="2760">
        <f>IFERROR(Dataark_til_bilag2_2020[[#This Row],[Antal dyr]]*Dataark_til_bilag2_2020[[#This Row],[Gødning (g) pr. dyr (ton)]]," ")</f>
        <v>0</v>
      </c>
      <c r="O96" s="2768"/>
      <c r="P96" s="2759">
        <v>0</v>
      </c>
      <c r="Q96" s="2767"/>
      <c r="R96" s="2769">
        <v>18</v>
      </c>
      <c r="S96" s="2769">
        <v>181</v>
      </c>
      <c r="T96" s="2769">
        <v>208.32929315068498</v>
      </c>
      <c r="U96" s="2769">
        <v>10.80670684931507</v>
      </c>
      <c r="V96" s="2769">
        <v>12.5</v>
      </c>
      <c r="W96" s="2769">
        <v>0.18</v>
      </c>
      <c r="X96" s="2769">
        <v>3.3034752000000003</v>
      </c>
      <c r="Y96" s="2762">
        <f t="shared" si="2"/>
        <v>0</v>
      </c>
    </row>
    <row r="97" spans="1:25" x14ac:dyDescent="0.25">
      <c r="A97" s="2770" t="s">
        <v>1980</v>
      </c>
      <c r="B97" s="2766">
        <v>1235</v>
      </c>
      <c r="C97" s="2766" t="s">
        <v>2799</v>
      </c>
      <c r="D97" s="2766" t="s">
        <v>2796</v>
      </c>
      <c r="E97" s="2766" t="s">
        <v>1990</v>
      </c>
      <c r="F97" s="2766" t="s">
        <v>354</v>
      </c>
      <c r="G97" s="2766">
        <v>123519</v>
      </c>
      <c r="H97" s="2766">
        <f>Dataark_til_bilag2_2020[[#This Row],[Stald_kode]]+Dataark_til_bilag2_2020[[#This Row],[Dyr_Kode]]</f>
        <v>124754</v>
      </c>
      <c r="I97" s="4347">
        <v>0</v>
      </c>
      <c r="J97" s="2766" t="s">
        <v>1977</v>
      </c>
      <c r="K97" s="2766"/>
      <c r="L97" s="2767">
        <v>2.14</v>
      </c>
      <c r="M97" s="2767">
        <v>0.127</v>
      </c>
      <c r="N97" s="2760">
        <f>IFERROR(Dataark_til_bilag2_2020[[#This Row],[Antal dyr]]*Dataark_til_bilag2_2020[[#This Row],[Gødning (g) pr. dyr (ton)]]," ")</f>
        <v>0</v>
      </c>
      <c r="O97" s="2768"/>
      <c r="P97" s="2759">
        <v>0</v>
      </c>
      <c r="Q97" s="2767"/>
      <c r="R97" s="2769">
        <v>18</v>
      </c>
      <c r="S97" s="2769">
        <v>181</v>
      </c>
      <c r="T97" s="2769">
        <v>206.70172054794523</v>
      </c>
      <c r="U97" s="2769">
        <v>10.722279452054796</v>
      </c>
      <c r="V97" s="2769">
        <v>12.5</v>
      </c>
      <c r="W97" s="2769">
        <v>0.18</v>
      </c>
      <c r="X97" s="2769">
        <v>3.2776668000000004</v>
      </c>
      <c r="Y97" s="2762">
        <f t="shared" si="2"/>
        <v>0</v>
      </c>
    </row>
    <row r="98" spans="1:25" x14ac:dyDescent="0.25">
      <c r="A98" s="2770" t="s">
        <v>1980</v>
      </c>
      <c r="B98" s="2766">
        <v>1236</v>
      </c>
      <c r="C98" s="2766" t="s">
        <v>1993</v>
      </c>
      <c r="D98" s="2766" t="s">
        <v>330</v>
      </c>
      <c r="E98" s="2766" t="s">
        <v>1989</v>
      </c>
      <c r="F98" s="2766" t="s">
        <v>639</v>
      </c>
      <c r="G98" s="2766">
        <v>123601</v>
      </c>
      <c r="H98" s="2766">
        <f>Dataark_til_bilag2_2020[[#This Row],[Stald_kode]]+Dataark_til_bilag2_2020[[#This Row],[Dyr_Kode]]</f>
        <v>124837</v>
      </c>
      <c r="I98" s="4347">
        <v>0</v>
      </c>
      <c r="J98" s="2766" t="s">
        <v>1903</v>
      </c>
      <c r="K98" s="2766"/>
      <c r="L98" s="2767">
        <v>3.36</v>
      </c>
      <c r="M98" s="2767">
        <f>18.6/100</f>
        <v>0.18600000000000003</v>
      </c>
      <c r="N98" s="2760">
        <f>IFERROR(Dataark_til_bilag2_2020[[#This Row],[Antal dyr]]*Dataark_til_bilag2_2020[[#This Row],[Gødning (g) pr. dyr (ton)]]," ")</f>
        <v>0</v>
      </c>
      <c r="O98" s="2768"/>
      <c r="P98" s="2759">
        <v>0</v>
      </c>
      <c r="Q98" s="2767"/>
      <c r="R98" s="2769">
        <v>132</v>
      </c>
      <c r="S98" s="2769">
        <v>181</v>
      </c>
      <c r="T98" s="2769">
        <v>319.15765479452062</v>
      </c>
      <c r="U98" s="2769">
        <v>180.81034520547948</v>
      </c>
      <c r="V98" s="2769">
        <v>2</v>
      </c>
      <c r="W98" s="2769">
        <v>0.18</v>
      </c>
      <c r="X98" s="2769">
        <v>1.2059228160000002</v>
      </c>
      <c r="Y98" s="2762">
        <f t="shared" si="2"/>
        <v>0</v>
      </c>
    </row>
    <row r="99" spans="1:25" x14ac:dyDescent="0.25">
      <c r="A99" s="2770" t="s">
        <v>1980</v>
      </c>
      <c r="B99" s="2766">
        <v>1236</v>
      </c>
      <c r="C99" s="2766" t="s">
        <v>1993</v>
      </c>
      <c r="D99" s="2766" t="s">
        <v>330</v>
      </c>
      <c r="E99" s="2766" t="s">
        <v>1988</v>
      </c>
      <c r="F99" s="2766" t="s">
        <v>639</v>
      </c>
      <c r="G99" s="2766">
        <v>123602</v>
      </c>
      <c r="H99" s="2766">
        <f>Dataark_til_bilag2_2020[[#This Row],[Stald_kode]]+Dataark_til_bilag2_2020[[#This Row],[Dyr_Kode]]</f>
        <v>124838</v>
      </c>
      <c r="I99" s="4347">
        <v>0</v>
      </c>
      <c r="J99" s="2766" t="s">
        <v>1977</v>
      </c>
      <c r="K99" s="2766"/>
      <c r="L99" s="2767">
        <v>5.31</v>
      </c>
      <c r="M99" s="2767">
        <f>12.7/100</f>
        <v>0.127</v>
      </c>
      <c r="N99" s="2760">
        <f>IFERROR(Dataark_til_bilag2_2020[[#This Row],[Antal dyr]]*Dataark_til_bilag2_2020[[#This Row],[Gødning (g) pr. dyr (ton)]]," ")</f>
        <v>0</v>
      </c>
      <c r="O99" s="2768"/>
      <c r="P99" s="2759">
        <v>0</v>
      </c>
      <c r="Q99" s="2767"/>
      <c r="R99" s="2769">
        <v>132</v>
      </c>
      <c r="S99" s="2769">
        <v>181</v>
      </c>
      <c r="T99" s="2769">
        <v>344.39059726027403</v>
      </c>
      <c r="U99" s="2769">
        <v>195.10540273972606</v>
      </c>
      <c r="V99" s="2769">
        <v>12.5</v>
      </c>
      <c r="W99" s="2769">
        <v>0.18</v>
      </c>
      <c r="X99" s="2769">
        <v>8.132902200000002</v>
      </c>
      <c r="Y99" s="2762">
        <f t="shared" si="2"/>
        <v>0</v>
      </c>
    </row>
    <row r="100" spans="1:25" x14ac:dyDescent="0.25">
      <c r="A100" s="2770" t="s">
        <v>1980</v>
      </c>
      <c r="B100" s="2766">
        <v>1236</v>
      </c>
      <c r="C100" s="2766" t="s">
        <v>1993</v>
      </c>
      <c r="D100" s="2766" t="s">
        <v>330</v>
      </c>
      <c r="E100" s="2766" t="s">
        <v>1987</v>
      </c>
      <c r="F100" s="2766" t="s">
        <v>350</v>
      </c>
      <c r="G100" s="2766">
        <v>123603</v>
      </c>
      <c r="H100" s="2766">
        <f>Dataark_til_bilag2_2020[[#This Row],[Stald_kode]]+Dataark_til_bilag2_2020[[#This Row],[Dyr_Kode]]</f>
        <v>124839</v>
      </c>
      <c r="I100" s="4347">
        <v>1.07</v>
      </c>
      <c r="J100" s="2766"/>
      <c r="K100" s="2766" t="s">
        <v>350</v>
      </c>
      <c r="L100" s="2767"/>
      <c r="M100" s="2767"/>
      <c r="N100" s="2760">
        <f>IFERROR(Dataark_til_bilag2_2020[[#This Row],[Antal dyr]]*Dataark_til_bilag2_2020[[#This Row],[Gødning (g) pr. dyr (ton)]]," ")</f>
        <v>0</v>
      </c>
      <c r="O100" s="2767">
        <v>4.45</v>
      </c>
      <c r="P100" s="2759">
        <v>4.7615000000000007</v>
      </c>
      <c r="Q100" s="2767">
        <v>0.3</v>
      </c>
      <c r="R100" s="2769">
        <v>18</v>
      </c>
      <c r="S100" s="2769">
        <v>181</v>
      </c>
      <c r="T100" s="2769">
        <v>1268.5932595890411</v>
      </c>
      <c r="U100" s="2769">
        <v>0</v>
      </c>
      <c r="V100" s="2769">
        <v>17</v>
      </c>
      <c r="W100" s="2769">
        <v>0.18</v>
      </c>
      <c r="X100" s="2769">
        <v>26.008699008094521</v>
      </c>
      <c r="Y100" s="2762">
        <f t="shared" si="2"/>
        <v>2.7829307938661139E-2</v>
      </c>
    </row>
    <row r="101" spans="1:25" x14ac:dyDescent="0.25">
      <c r="A101" s="2770" t="s">
        <v>1980</v>
      </c>
      <c r="B101" s="2766">
        <v>1236</v>
      </c>
      <c r="C101" s="2766" t="s">
        <v>1993</v>
      </c>
      <c r="D101" s="2766" t="s">
        <v>330</v>
      </c>
      <c r="E101" s="2766" t="s">
        <v>2000</v>
      </c>
      <c r="F101" s="2766" t="s">
        <v>350</v>
      </c>
      <c r="G101" s="2766">
        <v>123604</v>
      </c>
      <c r="H101" s="2766">
        <f>Dataark_til_bilag2_2020[[#This Row],[Stald_kode]]+Dataark_til_bilag2_2020[[#This Row],[Dyr_Kode]]</f>
        <v>124840</v>
      </c>
      <c r="I101" s="4347">
        <v>0</v>
      </c>
      <c r="J101" s="2766"/>
      <c r="K101" s="2766"/>
      <c r="L101" s="2767">
        <v>3.83</v>
      </c>
      <c r="M101" s="2767">
        <f>30/100</f>
        <v>0.3</v>
      </c>
      <c r="N101" s="2760">
        <f>IFERROR(Dataark_til_bilag2_2020[[#This Row],[Antal dyr]]*Dataark_til_bilag2_2020[[#This Row],[Gødning (g) pr. dyr (ton)]]," ")</f>
        <v>0</v>
      </c>
      <c r="O101" s="2768"/>
      <c r="P101" s="2759">
        <v>0</v>
      </c>
      <c r="Q101" s="2767"/>
      <c r="R101" s="2769">
        <v>132</v>
      </c>
      <c r="S101" s="2769">
        <v>181</v>
      </c>
      <c r="T101" s="2769">
        <v>586.7769863013699</v>
      </c>
      <c r="U101" s="2769">
        <v>332.42301369863014</v>
      </c>
      <c r="V101" s="2769">
        <v>17</v>
      </c>
      <c r="W101" s="2769">
        <v>0.18</v>
      </c>
      <c r="X101" s="2769">
        <v>18.845438399999999</v>
      </c>
      <c r="Y101" s="2762">
        <f t="shared" ref="Y101:Y132" si="3">IFERROR(IFERROR((X101*I101)/1000,(X101*I100)/1000),"-")</f>
        <v>0</v>
      </c>
    </row>
    <row r="102" spans="1:25" x14ac:dyDescent="0.25">
      <c r="A102" s="2770" t="s">
        <v>1980</v>
      </c>
      <c r="B102" s="2766">
        <v>1236</v>
      </c>
      <c r="C102" s="2766" t="s">
        <v>1993</v>
      </c>
      <c r="D102" s="2766" t="s">
        <v>330</v>
      </c>
      <c r="E102" s="2766" t="s">
        <v>1999</v>
      </c>
      <c r="F102" s="2766" t="s">
        <v>350</v>
      </c>
      <c r="G102" s="2766">
        <v>123605</v>
      </c>
      <c r="H102" s="2766">
        <f>Dataark_til_bilag2_2020[[#This Row],[Stald_kode]]+Dataark_til_bilag2_2020[[#This Row],[Dyr_Kode]]</f>
        <v>124841</v>
      </c>
      <c r="I102" s="4347">
        <v>0</v>
      </c>
      <c r="J102" s="2766" t="s">
        <v>1977</v>
      </c>
      <c r="K102" s="2766"/>
      <c r="L102" s="2767">
        <v>2.1</v>
      </c>
      <c r="M102" s="2767">
        <f>10.4/100</f>
        <v>0.10400000000000001</v>
      </c>
      <c r="N102" s="2760">
        <f>IFERROR(Dataark_til_bilag2_2020[[#This Row],[Antal dyr]]*Dataark_til_bilag2_2020[[#This Row],[Gødning (g) pr. dyr (ton)]]," ")</f>
        <v>0</v>
      </c>
      <c r="O102" s="2767"/>
      <c r="P102" s="2759">
        <v>0</v>
      </c>
      <c r="Q102" s="2767"/>
      <c r="R102" s="2769">
        <v>18</v>
      </c>
      <c r="S102" s="2769">
        <v>181</v>
      </c>
      <c r="T102" s="2769">
        <v>166.10367123287674</v>
      </c>
      <c r="U102" s="2769">
        <v>8.6163287671232887</v>
      </c>
      <c r="V102" s="2769">
        <v>12.5</v>
      </c>
      <c r="W102" s="2769">
        <v>0.18</v>
      </c>
      <c r="X102" s="2769">
        <v>2.6339040000000002</v>
      </c>
      <c r="Y102" s="2762">
        <f t="shared" si="3"/>
        <v>0</v>
      </c>
    </row>
    <row r="103" spans="1:25" x14ac:dyDescent="0.25">
      <c r="A103" s="2771" t="s">
        <v>2792</v>
      </c>
      <c r="B103" s="2772">
        <v>1236</v>
      </c>
      <c r="C103" s="2772" t="s">
        <v>1993</v>
      </c>
      <c r="D103" s="2772" t="s">
        <v>330</v>
      </c>
      <c r="E103" s="2772" t="s">
        <v>1998</v>
      </c>
      <c r="F103" s="2772" t="s">
        <v>350</v>
      </c>
      <c r="G103" s="2772">
        <v>123606</v>
      </c>
      <c r="H103" s="2772">
        <f>Dataark_til_bilag2_2020[[#This Row],[Stald_kode]]+Dataark_til_bilag2_2020[[#This Row],[Dyr_Kode]]</f>
        <v>124842</v>
      </c>
      <c r="I103" s="4347" t="s">
        <v>270</v>
      </c>
      <c r="J103" s="2772" t="s">
        <v>1977</v>
      </c>
      <c r="K103" s="2772"/>
      <c r="L103" s="2773">
        <v>2.1</v>
      </c>
      <c r="M103" s="2773">
        <v>0.10400000000000001</v>
      </c>
      <c r="N103" s="2760" t="str">
        <f>IFERROR(Dataark_til_bilag2_2020[[#This Row],[Antal dyr]]*Dataark_til_bilag2_2020[[#This Row],[Gødning (g) pr. dyr (ton)]]," ")</f>
        <v xml:space="preserve"> </v>
      </c>
      <c r="O103" s="2773"/>
      <c r="P103" s="2759" t="s">
        <v>270</v>
      </c>
      <c r="Q103" s="2773"/>
      <c r="R103" s="2774">
        <v>18</v>
      </c>
      <c r="S103" s="2774">
        <v>181</v>
      </c>
      <c r="T103" s="2769">
        <v>166.10367123287674</v>
      </c>
      <c r="U103" s="2769">
        <v>8.6163287671232887</v>
      </c>
      <c r="V103" s="2774">
        <v>12.5</v>
      </c>
      <c r="W103" s="2774">
        <v>0.18</v>
      </c>
      <c r="X103" s="2769">
        <v>2.6339040000000002</v>
      </c>
      <c r="Y103" s="2762">
        <f t="shared" si="3"/>
        <v>0</v>
      </c>
    </row>
    <row r="104" spans="1:25" x14ac:dyDescent="0.25">
      <c r="A104" s="2770" t="s">
        <v>1980</v>
      </c>
      <c r="B104" s="2766">
        <v>1236</v>
      </c>
      <c r="C104" s="2766" t="s">
        <v>1993</v>
      </c>
      <c r="D104" s="2766" t="s">
        <v>330</v>
      </c>
      <c r="E104" s="2766" t="s">
        <v>1997</v>
      </c>
      <c r="F104" s="2766" t="s">
        <v>350</v>
      </c>
      <c r="G104" s="2766">
        <v>123607</v>
      </c>
      <c r="H104" s="2766">
        <f>Dataark_til_bilag2_2020[[#This Row],[Stald_kode]]+Dataark_til_bilag2_2020[[#This Row],[Dyr_Kode]]</f>
        <v>124843</v>
      </c>
      <c r="I104" s="4347">
        <v>0</v>
      </c>
      <c r="J104" s="2766" t="s">
        <v>1977</v>
      </c>
      <c r="K104" s="2766"/>
      <c r="L104" s="2767">
        <v>2.1</v>
      </c>
      <c r="M104" s="2767">
        <v>0.10400000000000001</v>
      </c>
      <c r="N104" s="2760">
        <f>IFERROR(Dataark_til_bilag2_2020[[#This Row],[Antal dyr]]*Dataark_til_bilag2_2020[[#This Row],[Gødning (g) pr. dyr (ton)]]," ")</f>
        <v>0</v>
      </c>
      <c r="O104" s="2767"/>
      <c r="P104" s="2759">
        <v>0</v>
      </c>
      <c r="Q104" s="2767"/>
      <c r="R104" s="2769">
        <v>18</v>
      </c>
      <c r="S104" s="2769">
        <v>181</v>
      </c>
      <c r="T104" s="2769">
        <v>166.10367123287674</v>
      </c>
      <c r="U104" s="2769">
        <v>8.6163287671232887</v>
      </c>
      <c r="V104" s="2769">
        <v>12.5</v>
      </c>
      <c r="W104" s="2769">
        <v>0.18</v>
      </c>
      <c r="X104" s="2769">
        <v>2.6339040000000002</v>
      </c>
      <c r="Y104" s="2762">
        <f t="shared" si="3"/>
        <v>0</v>
      </c>
    </row>
    <row r="105" spans="1:25" x14ac:dyDescent="0.25">
      <c r="A105" s="2770" t="s">
        <v>1980</v>
      </c>
      <c r="B105" s="2766">
        <v>1236</v>
      </c>
      <c r="C105" s="2766" t="s">
        <v>1993</v>
      </c>
      <c r="D105" s="2766" t="s">
        <v>330</v>
      </c>
      <c r="E105" s="2766" t="s">
        <v>1996</v>
      </c>
      <c r="F105" s="2766" t="s">
        <v>353</v>
      </c>
      <c r="G105" s="2766">
        <v>123609</v>
      </c>
      <c r="H105" s="2766">
        <f>Dataark_til_bilag2_2020[[#This Row],[Stald_kode]]+Dataark_til_bilag2_2020[[#This Row],[Dyr_Kode]]</f>
        <v>124845</v>
      </c>
      <c r="I105" s="4347">
        <v>0</v>
      </c>
      <c r="J105" s="2766" t="s">
        <v>1977</v>
      </c>
      <c r="K105" s="2766"/>
      <c r="L105" s="2767">
        <v>5.46</v>
      </c>
      <c r="M105" s="2767">
        <f>10/100</f>
        <v>0.1</v>
      </c>
      <c r="N105" s="2760">
        <f>IFERROR(Dataark_til_bilag2_2020[[#This Row],[Antal dyr]]*Dataark_til_bilag2_2020[[#This Row],[Gødning (g) pr. dyr (ton)]]," ")</f>
        <v>0</v>
      </c>
      <c r="O105" s="2767"/>
      <c r="P105" s="2759">
        <v>0</v>
      </c>
      <c r="Q105" s="2767"/>
      <c r="R105" s="2769">
        <v>18</v>
      </c>
      <c r="S105" s="2769">
        <v>181</v>
      </c>
      <c r="T105" s="2769">
        <v>415.25917808219185</v>
      </c>
      <c r="U105" s="2769">
        <v>21.54082191780822</v>
      </c>
      <c r="V105" s="2769">
        <v>12.5</v>
      </c>
      <c r="W105" s="2769">
        <v>0.18</v>
      </c>
      <c r="X105" s="2769">
        <v>6.5847600000000011</v>
      </c>
      <c r="Y105" s="2762">
        <f t="shared" si="3"/>
        <v>0</v>
      </c>
    </row>
    <row r="106" spans="1:25" x14ac:dyDescent="0.25">
      <c r="A106" s="2770" t="s">
        <v>1980</v>
      </c>
      <c r="B106" s="2766">
        <v>1236</v>
      </c>
      <c r="C106" s="2766" t="s">
        <v>1993</v>
      </c>
      <c r="D106" s="2766" t="s">
        <v>330</v>
      </c>
      <c r="E106" s="2766" t="s">
        <v>1995</v>
      </c>
      <c r="F106" s="2766" t="s">
        <v>354</v>
      </c>
      <c r="G106" s="2766">
        <v>123610</v>
      </c>
      <c r="H106" s="2766">
        <f>Dataark_til_bilag2_2020[[#This Row],[Stald_kode]]+Dataark_til_bilag2_2020[[#This Row],[Dyr_Kode]]</f>
        <v>124846</v>
      </c>
      <c r="I106" s="4347">
        <v>0</v>
      </c>
      <c r="J106" s="2766" t="s">
        <v>1977</v>
      </c>
      <c r="K106" s="2766"/>
      <c r="L106" s="2767">
        <v>4.6399999999999997</v>
      </c>
      <c r="M106" s="2767">
        <f>12.7/100</f>
        <v>0.127</v>
      </c>
      <c r="N106" s="2760">
        <f>IFERROR(Dataark_til_bilag2_2020[[#This Row],[Antal dyr]]*Dataark_til_bilag2_2020[[#This Row],[Gødning (g) pr. dyr (ton)]]," ")</f>
        <v>0</v>
      </c>
      <c r="O106" s="2767"/>
      <c r="P106" s="2759">
        <v>0</v>
      </c>
      <c r="Q106" s="2767"/>
      <c r="R106" s="2769">
        <v>18</v>
      </c>
      <c r="S106" s="2769">
        <v>181</v>
      </c>
      <c r="T106" s="2769">
        <v>448.17569315068488</v>
      </c>
      <c r="U106" s="2769">
        <v>23.248306849315071</v>
      </c>
      <c r="V106" s="2769">
        <v>12.5</v>
      </c>
      <c r="W106" s="2769">
        <v>0.18</v>
      </c>
      <c r="X106" s="2769">
        <v>7.1067167999999992</v>
      </c>
      <c r="Y106" s="2762">
        <f t="shared" si="3"/>
        <v>0</v>
      </c>
    </row>
    <row r="107" spans="1:25" x14ac:dyDescent="0.25">
      <c r="A107" s="2770" t="s">
        <v>1980</v>
      </c>
      <c r="B107" s="2766">
        <v>1236</v>
      </c>
      <c r="C107" s="2766" t="s">
        <v>1993</v>
      </c>
      <c r="D107" s="2766" t="s">
        <v>330</v>
      </c>
      <c r="E107" s="2766" t="s">
        <v>1982</v>
      </c>
      <c r="F107" s="2766" t="s">
        <v>354</v>
      </c>
      <c r="G107" s="2766">
        <v>123611</v>
      </c>
      <c r="H107" s="2766">
        <f>Dataark_til_bilag2_2020[[#This Row],[Stald_kode]]+Dataark_til_bilag2_2020[[#This Row],[Dyr_Kode]]</f>
        <v>124847</v>
      </c>
      <c r="I107" s="4347">
        <v>0</v>
      </c>
      <c r="J107" s="2766" t="s">
        <v>1977</v>
      </c>
      <c r="K107" s="2766"/>
      <c r="L107" s="2767">
        <v>4.6399999999999997</v>
      </c>
      <c r="M107" s="2767">
        <f>12.7/100</f>
        <v>0.127</v>
      </c>
      <c r="N107" s="2760">
        <f>IFERROR(Dataark_til_bilag2_2020[[#This Row],[Antal dyr]]*Dataark_til_bilag2_2020[[#This Row],[Gødning (g) pr. dyr (ton)]]," ")</f>
        <v>0</v>
      </c>
      <c r="O107" s="2767"/>
      <c r="P107" s="2759">
        <v>0</v>
      </c>
      <c r="Q107" s="2767"/>
      <c r="R107" s="2769">
        <v>18</v>
      </c>
      <c r="S107" s="2769">
        <v>181</v>
      </c>
      <c r="T107" s="2769">
        <v>448.17569315068488</v>
      </c>
      <c r="U107" s="2769">
        <v>23.248306849315071</v>
      </c>
      <c r="V107" s="2769">
        <v>12.5</v>
      </c>
      <c r="W107" s="2769">
        <v>0.18</v>
      </c>
      <c r="X107" s="2769">
        <v>7.1067167999999992</v>
      </c>
      <c r="Y107" s="2762">
        <f t="shared" si="3"/>
        <v>0</v>
      </c>
    </row>
    <row r="108" spans="1:25" x14ac:dyDescent="0.25">
      <c r="A108" s="2770" t="s">
        <v>1980</v>
      </c>
      <c r="B108" s="2766">
        <v>1236</v>
      </c>
      <c r="C108" s="2766" t="s">
        <v>1993</v>
      </c>
      <c r="D108" s="2766" t="s">
        <v>330</v>
      </c>
      <c r="E108" s="2766" t="s">
        <v>1994</v>
      </c>
      <c r="F108" s="2766" t="s">
        <v>354</v>
      </c>
      <c r="G108" s="2766">
        <v>123612</v>
      </c>
      <c r="H108" s="2766">
        <f>Dataark_til_bilag2_2020[[#This Row],[Stald_kode]]+Dataark_til_bilag2_2020[[#This Row],[Dyr_Kode]]</f>
        <v>124848</v>
      </c>
      <c r="I108" s="4347">
        <v>0</v>
      </c>
      <c r="J108" s="2766" t="s">
        <v>1977</v>
      </c>
      <c r="K108" s="2766"/>
      <c r="L108" s="2767">
        <v>4.6399999999999997</v>
      </c>
      <c r="M108" s="2767">
        <f>12.7/100</f>
        <v>0.127</v>
      </c>
      <c r="N108" s="2760">
        <f>IFERROR(Dataark_til_bilag2_2020[[#This Row],[Antal dyr]]*Dataark_til_bilag2_2020[[#This Row],[Gødning (g) pr. dyr (ton)]]," ")</f>
        <v>0</v>
      </c>
      <c r="O108" s="2767"/>
      <c r="P108" s="2759">
        <v>0</v>
      </c>
      <c r="Q108" s="2767"/>
      <c r="R108" s="2769">
        <v>18</v>
      </c>
      <c r="S108" s="2769">
        <v>181</v>
      </c>
      <c r="T108" s="2769">
        <v>448.17569315068488</v>
      </c>
      <c r="U108" s="2769">
        <v>23.248306849315071</v>
      </c>
      <c r="V108" s="2769">
        <v>12.5</v>
      </c>
      <c r="W108" s="2769">
        <v>0.18</v>
      </c>
      <c r="X108" s="2769">
        <v>7.1067167999999992</v>
      </c>
      <c r="Y108" s="2762">
        <f t="shared" si="3"/>
        <v>0</v>
      </c>
    </row>
    <row r="109" spans="1:25" x14ac:dyDescent="0.25">
      <c r="A109" s="2770" t="s">
        <v>1980</v>
      </c>
      <c r="B109" s="2766">
        <v>1236</v>
      </c>
      <c r="C109" s="2766" t="s">
        <v>1993</v>
      </c>
      <c r="D109" s="2766" t="s">
        <v>330</v>
      </c>
      <c r="E109" s="2766" t="s">
        <v>1990</v>
      </c>
      <c r="F109" s="2766" t="s">
        <v>354</v>
      </c>
      <c r="G109" s="2766">
        <v>123619</v>
      </c>
      <c r="H109" s="2766">
        <f>Dataark_til_bilag2_2020[[#This Row],[Stald_kode]]+Dataark_til_bilag2_2020[[#This Row],[Dyr_Kode]]</f>
        <v>124855</v>
      </c>
      <c r="I109" s="4347">
        <v>0</v>
      </c>
      <c r="J109" s="2766" t="s">
        <v>1977</v>
      </c>
      <c r="K109" s="2766"/>
      <c r="L109" s="2767">
        <v>4.6399999999999997</v>
      </c>
      <c r="M109" s="2767">
        <f>12.7/100</f>
        <v>0.127</v>
      </c>
      <c r="N109" s="2760">
        <f>IFERROR(Dataark_til_bilag2_2020[[#This Row],[Antal dyr]]*Dataark_til_bilag2_2020[[#This Row],[Gødning (g) pr. dyr (ton)]]," ")</f>
        <v>0</v>
      </c>
      <c r="O109" s="2767"/>
      <c r="P109" s="2759">
        <v>0</v>
      </c>
      <c r="Q109" s="2767"/>
      <c r="R109" s="2769">
        <v>18</v>
      </c>
      <c r="S109" s="2769">
        <v>181</v>
      </c>
      <c r="T109" s="2769">
        <v>448.17569315068488</v>
      </c>
      <c r="U109" s="2769">
        <v>23.248306849315071</v>
      </c>
      <c r="V109" s="2769">
        <v>12.5</v>
      </c>
      <c r="W109" s="2769">
        <v>0.18</v>
      </c>
      <c r="X109" s="2769">
        <v>7.1067167999999992</v>
      </c>
      <c r="Y109" s="2762">
        <f t="shared" si="3"/>
        <v>0</v>
      </c>
    </row>
    <row r="110" spans="1:25" x14ac:dyDescent="0.25">
      <c r="A110" s="2770" t="s">
        <v>1980</v>
      </c>
      <c r="B110" s="2766">
        <v>1241</v>
      </c>
      <c r="C110" s="2766" t="s">
        <v>1992</v>
      </c>
      <c r="D110" s="2766" t="s">
        <v>329</v>
      </c>
      <c r="E110" s="2766" t="s">
        <v>1989</v>
      </c>
      <c r="F110" s="2766" t="s">
        <v>639</v>
      </c>
      <c r="G110" s="2766">
        <v>124101</v>
      </c>
      <c r="H110" s="2766">
        <f>Dataark_til_bilag2_2020[[#This Row],[Stald_kode]]+Dataark_til_bilag2_2020[[#This Row],[Dyr_Kode]]</f>
        <v>125342</v>
      </c>
      <c r="I110" s="4347">
        <v>0</v>
      </c>
      <c r="J110" s="2766" t="s">
        <v>1903</v>
      </c>
      <c r="K110" s="2766"/>
      <c r="L110" s="2767">
        <v>2.61</v>
      </c>
      <c r="M110" s="2767">
        <v>0.22800000000000001</v>
      </c>
      <c r="N110" s="2760">
        <f>IFERROR(Dataark_til_bilag2_2020[[#This Row],[Antal dyr]]*Dataark_til_bilag2_2020[[#This Row],[Gødning (g) pr. dyr (ton)]]," ")</f>
        <v>0</v>
      </c>
      <c r="O110" s="2768"/>
      <c r="P110" s="2759">
        <v>0</v>
      </c>
      <c r="Q110" s="2767"/>
      <c r="R110" s="2769">
        <v>132</v>
      </c>
      <c r="S110" s="2769">
        <v>181</v>
      </c>
      <c r="T110" s="2769">
        <v>303.89838904109592</v>
      </c>
      <c r="U110" s="2769">
        <v>172.16561095890413</v>
      </c>
      <c r="V110" s="2769">
        <v>2</v>
      </c>
      <c r="W110" s="2769">
        <v>0.18</v>
      </c>
      <c r="X110" s="2769">
        <v>1.1482663680000003</v>
      </c>
      <c r="Y110" s="2762">
        <f t="shared" si="3"/>
        <v>0</v>
      </c>
    </row>
    <row r="111" spans="1:25" x14ac:dyDescent="0.25">
      <c r="A111" s="2770" t="s">
        <v>1980</v>
      </c>
      <c r="B111" s="2766">
        <v>1241</v>
      </c>
      <c r="C111" s="2766" t="s">
        <v>1992</v>
      </c>
      <c r="D111" s="2766" t="s">
        <v>329</v>
      </c>
      <c r="E111" s="2766" t="s">
        <v>1988</v>
      </c>
      <c r="F111" s="2766" t="s">
        <v>639</v>
      </c>
      <c r="G111" s="2766">
        <v>124102</v>
      </c>
      <c r="H111" s="2766">
        <f>Dataark_til_bilag2_2020[[#This Row],[Stald_kode]]+Dataark_til_bilag2_2020[[#This Row],[Dyr_Kode]]</f>
        <v>125343</v>
      </c>
      <c r="I111" s="4347">
        <v>0</v>
      </c>
      <c r="J111" s="2766" t="s">
        <v>1977</v>
      </c>
      <c r="K111" s="2766"/>
      <c r="L111" s="2767">
        <v>5.5</v>
      </c>
      <c r="M111" s="2767">
        <v>0.121</v>
      </c>
      <c r="N111" s="2760">
        <f>IFERROR(Dataark_til_bilag2_2020[[#This Row],[Antal dyr]]*Dataark_til_bilag2_2020[[#This Row],[Gødning (g) pr. dyr (ton)]]," ")</f>
        <v>0</v>
      </c>
      <c r="O111" s="2768"/>
      <c r="P111" s="2759">
        <v>0</v>
      </c>
      <c r="Q111" s="2767"/>
      <c r="R111" s="2769">
        <v>132</v>
      </c>
      <c r="S111" s="2769">
        <v>181</v>
      </c>
      <c r="T111" s="2769">
        <v>339.86082191780821</v>
      </c>
      <c r="U111" s="2769">
        <v>192.5391780821918</v>
      </c>
      <c r="V111" s="2769">
        <v>12.5</v>
      </c>
      <c r="W111" s="2769">
        <v>0.18</v>
      </c>
      <c r="X111" s="2769">
        <v>8.0259300000000007</v>
      </c>
      <c r="Y111" s="2762">
        <f t="shared" si="3"/>
        <v>0</v>
      </c>
    </row>
    <row r="112" spans="1:25" x14ac:dyDescent="0.25">
      <c r="A112" s="2770" t="s">
        <v>1980</v>
      </c>
      <c r="B112" s="2766">
        <v>1241</v>
      </c>
      <c r="C112" s="2766" t="s">
        <v>1992</v>
      </c>
      <c r="D112" s="2766" t="s">
        <v>329</v>
      </c>
      <c r="E112" s="2766" t="s">
        <v>1987</v>
      </c>
      <c r="F112" s="2766" t="s">
        <v>350</v>
      </c>
      <c r="G112" s="2766">
        <v>124103</v>
      </c>
      <c r="H112" s="2766">
        <f>Dataark_til_bilag2_2020[[#This Row],[Stald_kode]]+Dataark_til_bilag2_2020[[#This Row],[Dyr_Kode]]</f>
        <v>125344</v>
      </c>
      <c r="I112" s="4347">
        <v>0</v>
      </c>
      <c r="J112" s="2766"/>
      <c r="K112" s="2766" t="s">
        <v>350</v>
      </c>
      <c r="L112" s="2767"/>
      <c r="M112" s="2767"/>
      <c r="N112" s="2760">
        <f>IFERROR(Dataark_til_bilag2_2020[[#This Row],[Antal dyr]]*Dataark_til_bilag2_2020[[#This Row],[Gødning (g) pr. dyr (ton)]]," ")</f>
        <v>0</v>
      </c>
      <c r="O112" s="2767">
        <v>6.99</v>
      </c>
      <c r="P112" s="2759">
        <v>0</v>
      </c>
      <c r="Q112" s="2767">
        <v>0.3</v>
      </c>
      <c r="R112" s="2769">
        <v>132</v>
      </c>
      <c r="S112" s="2769">
        <v>181</v>
      </c>
      <c r="T112" s="2769">
        <v>1338.0304919178081</v>
      </c>
      <c r="U112" s="2769">
        <v>606.69369863013696</v>
      </c>
      <c r="V112" s="2769">
        <v>17</v>
      </c>
      <c r="W112" s="2769">
        <v>0.18</v>
      </c>
      <c r="X112" s="2769">
        <v>39.87073535461397</v>
      </c>
      <c r="Y112" s="2762">
        <f t="shared" si="3"/>
        <v>0</v>
      </c>
    </row>
    <row r="113" spans="1:25" x14ac:dyDescent="0.25">
      <c r="A113" s="2770" t="s">
        <v>1980</v>
      </c>
      <c r="B113" s="2766">
        <v>1241</v>
      </c>
      <c r="C113" s="2766" t="s">
        <v>1992</v>
      </c>
      <c r="D113" s="2766" t="s">
        <v>329</v>
      </c>
      <c r="E113" s="2766" t="s">
        <v>1986</v>
      </c>
      <c r="F113" s="2766" t="s">
        <v>350</v>
      </c>
      <c r="G113" s="2766">
        <v>124104</v>
      </c>
      <c r="H113" s="2766">
        <f>Dataark_til_bilag2_2020[[#This Row],[Stald_kode]]+Dataark_til_bilag2_2020[[#This Row],[Dyr_Kode]]</f>
        <v>125345</v>
      </c>
      <c r="I113" s="4347">
        <v>0</v>
      </c>
      <c r="J113" s="2766"/>
      <c r="K113" s="2766" t="s">
        <v>350</v>
      </c>
      <c r="L113" s="2767"/>
      <c r="M113" s="2767"/>
      <c r="N113" s="2760">
        <f>IFERROR(Dataark_til_bilag2_2020[[#This Row],[Antal dyr]]*Dataark_til_bilag2_2020[[#This Row],[Gødning (g) pr. dyr (ton)]]," ")</f>
        <v>0</v>
      </c>
      <c r="O113" s="2767">
        <v>6.42</v>
      </c>
      <c r="P113" s="2759">
        <v>0</v>
      </c>
      <c r="Q113" s="2767">
        <v>0.3</v>
      </c>
      <c r="R113" s="2769">
        <v>132</v>
      </c>
      <c r="S113" s="2769">
        <v>181</v>
      </c>
      <c r="T113" s="2769">
        <v>1228.9207093150687</v>
      </c>
      <c r="U113" s="2769">
        <v>557.22082191780828</v>
      </c>
      <c r="V113" s="2769">
        <v>17</v>
      </c>
      <c r="W113" s="2769">
        <v>0.18</v>
      </c>
      <c r="X113" s="2769">
        <v>36.619473673336444</v>
      </c>
      <c r="Y113" s="2762">
        <f t="shared" si="3"/>
        <v>0</v>
      </c>
    </row>
    <row r="114" spans="1:25" x14ac:dyDescent="0.25">
      <c r="A114" s="2770" t="s">
        <v>1980</v>
      </c>
      <c r="B114" s="2766">
        <v>1241</v>
      </c>
      <c r="C114" s="2766" t="s">
        <v>1992</v>
      </c>
      <c r="D114" s="2766" t="s">
        <v>329</v>
      </c>
      <c r="E114" s="2766" t="s">
        <v>1985</v>
      </c>
      <c r="F114" s="2766" t="s">
        <v>350</v>
      </c>
      <c r="G114" s="2766">
        <v>124105</v>
      </c>
      <c r="H114" s="2766">
        <f>Dataark_til_bilag2_2020[[#This Row],[Stald_kode]]+Dataark_til_bilag2_2020[[#This Row],[Dyr_Kode]]</f>
        <v>125346</v>
      </c>
      <c r="I114" s="4347">
        <v>0</v>
      </c>
      <c r="J114" s="2766" t="s">
        <v>1977</v>
      </c>
      <c r="K114" s="2766"/>
      <c r="L114" s="2767">
        <v>3.35</v>
      </c>
      <c r="M114" s="2767">
        <v>6.9000000000000006E-2</v>
      </c>
      <c r="N114" s="2760">
        <f>IFERROR(Dataark_til_bilag2_2020[[#This Row],[Antal dyr]]*Dataark_til_bilag2_2020[[#This Row],[Gødning (g) pr. dyr (ton)]]," ")</f>
        <v>0</v>
      </c>
      <c r="O114" s="2768"/>
      <c r="P114" s="2759">
        <v>0</v>
      </c>
      <c r="Q114" s="2767"/>
      <c r="R114" s="2769">
        <v>132</v>
      </c>
      <c r="S114" s="2769">
        <v>181</v>
      </c>
      <c r="T114" s="2769">
        <v>118.04482191780824</v>
      </c>
      <c r="U114" s="2769">
        <v>66.875178082191795</v>
      </c>
      <c r="V114" s="2769">
        <v>12.5</v>
      </c>
      <c r="W114" s="2769">
        <v>0.18</v>
      </c>
      <c r="X114" s="2769">
        <v>2.7876690000000002</v>
      </c>
      <c r="Y114" s="2762">
        <f t="shared" si="3"/>
        <v>0</v>
      </c>
    </row>
    <row r="115" spans="1:25" x14ac:dyDescent="0.25">
      <c r="A115" s="2770" t="s">
        <v>1980</v>
      </c>
      <c r="B115" s="2766">
        <v>1241</v>
      </c>
      <c r="C115" s="2766" t="s">
        <v>1992</v>
      </c>
      <c r="D115" s="2766" t="s">
        <v>329</v>
      </c>
      <c r="E115" s="2766" t="s">
        <v>1984</v>
      </c>
      <c r="F115" s="2766" t="s">
        <v>350</v>
      </c>
      <c r="G115" s="2766">
        <v>124106</v>
      </c>
      <c r="H115" s="2766">
        <f>Dataark_til_bilag2_2020[[#This Row],[Stald_kode]]+Dataark_til_bilag2_2020[[#This Row],[Dyr_Kode]]</f>
        <v>125347</v>
      </c>
      <c r="I115" s="4347">
        <v>0</v>
      </c>
      <c r="J115" s="2766" t="s">
        <v>1977</v>
      </c>
      <c r="K115" s="2766"/>
      <c r="L115" s="2767">
        <v>3.35</v>
      </c>
      <c r="M115" s="2767">
        <v>6.9000000000000006E-2</v>
      </c>
      <c r="N115" s="2760">
        <f>IFERROR(Dataark_til_bilag2_2020[[#This Row],[Antal dyr]]*Dataark_til_bilag2_2020[[#This Row],[Gødning (g) pr. dyr (ton)]]," ")</f>
        <v>0</v>
      </c>
      <c r="O115" s="2768"/>
      <c r="P115" s="2759">
        <v>0</v>
      </c>
      <c r="Q115" s="2767"/>
      <c r="R115" s="2769">
        <v>132</v>
      </c>
      <c r="S115" s="2769">
        <v>181</v>
      </c>
      <c r="T115" s="2769">
        <v>118.04482191780824</v>
      </c>
      <c r="U115" s="2769">
        <v>66.875178082191795</v>
      </c>
      <c r="V115" s="2769">
        <v>12.5</v>
      </c>
      <c r="W115" s="2769">
        <v>0.18</v>
      </c>
      <c r="X115" s="2769">
        <v>2.7876690000000002</v>
      </c>
      <c r="Y115" s="2762">
        <f t="shared" si="3"/>
        <v>0</v>
      </c>
    </row>
    <row r="116" spans="1:25" x14ac:dyDescent="0.25">
      <c r="A116" s="2770" t="s">
        <v>1980</v>
      </c>
      <c r="B116" s="2766">
        <v>1241</v>
      </c>
      <c r="C116" s="2766" t="s">
        <v>1992</v>
      </c>
      <c r="D116" s="2766" t="s">
        <v>329</v>
      </c>
      <c r="E116" s="2766" t="s">
        <v>1983</v>
      </c>
      <c r="F116" s="2766" t="s">
        <v>350</v>
      </c>
      <c r="G116" s="2766">
        <v>124107</v>
      </c>
      <c r="H116" s="2766">
        <f>Dataark_til_bilag2_2020[[#This Row],[Stald_kode]]+Dataark_til_bilag2_2020[[#This Row],[Dyr_Kode]]</f>
        <v>125348</v>
      </c>
      <c r="I116" s="4347">
        <v>0</v>
      </c>
      <c r="J116" s="2766" t="s">
        <v>1977</v>
      </c>
      <c r="K116" s="2766"/>
      <c r="L116" s="2767">
        <v>3.35</v>
      </c>
      <c r="M116" s="2767">
        <v>6.9000000000000006E-2</v>
      </c>
      <c r="N116" s="2760">
        <f>IFERROR(Dataark_til_bilag2_2020[[#This Row],[Antal dyr]]*Dataark_til_bilag2_2020[[#This Row],[Gødning (g) pr. dyr (ton)]]," ")</f>
        <v>0</v>
      </c>
      <c r="O116" s="2768"/>
      <c r="P116" s="2759">
        <v>0</v>
      </c>
      <c r="Q116" s="2767"/>
      <c r="R116" s="2769">
        <v>132</v>
      </c>
      <c r="S116" s="2769">
        <v>181</v>
      </c>
      <c r="T116" s="2769">
        <v>118.04482191780824</v>
      </c>
      <c r="U116" s="2769">
        <v>66.875178082191795</v>
      </c>
      <c r="V116" s="2769">
        <v>12.5</v>
      </c>
      <c r="W116" s="2769">
        <v>0.18</v>
      </c>
      <c r="X116" s="2769">
        <v>2.7876690000000002</v>
      </c>
      <c r="Y116" s="2762">
        <f t="shared" si="3"/>
        <v>0</v>
      </c>
    </row>
    <row r="117" spans="1:25" x14ac:dyDescent="0.25">
      <c r="A117" s="2770" t="s">
        <v>1980</v>
      </c>
      <c r="B117" s="2766">
        <v>1241</v>
      </c>
      <c r="C117" s="2766" t="s">
        <v>1992</v>
      </c>
      <c r="D117" s="2766" t="s">
        <v>329</v>
      </c>
      <c r="E117" s="2766" t="s">
        <v>2793</v>
      </c>
      <c r="F117" s="2766" t="s">
        <v>354</v>
      </c>
      <c r="G117" s="2766">
        <v>124110</v>
      </c>
      <c r="H117" s="2766">
        <f>Dataark_til_bilag2_2020[[#This Row],[Stald_kode]]+Dataark_til_bilag2_2020[[#This Row],[Dyr_Kode]]</f>
        <v>125351</v>
      </c>
      <c r="I117" s="4347">
        <v>0</v>
      </c>
      <c r="J117" s="2766" t="s">
        <v>1977</v>
      </c>
      <c r="K117" s="2766"/>
      <c r="L117" s="2767">
        <v>5.0199999999999996</v>
      </c>
      <c r="M117" s="2767">
        <v>0.121</v>
      </c>
      <c r="N117" s="2760">
        <f>IFERROR(Dataark_til_bilag2_2020[[#This Row],[Antal dyr]]*Dataark_til_bilag2_2020[[#This Row],[Gødning (g) pr. dyr (ton)]]," ")</f>
        <v>0</v>
      </c>
      <c r="O117" s="2768"/>
      <c r="P117" s="2759">
        <v>0</v>
      </c>
      <c r="Q117" s="2767"/>
      <c r="R117" s="2769">
        <v>132</v>
      </c>
      <c r="S117" s="2769">
        <v>181</v>
      </c>
      <c r="T117" s="2769">
        <v>310.20024109589042</v>
      </c>
      <c r="U117" s="2769">
        <v>175.73575890410959</v>
      </c>
      <c r="V117" s="2769">
        <v>12.5</v>
      </c>
      <c r="W117" s="2769">
        <v>0.18</v>
      </c>
      <c r="X117" s="2769">
        <v>7.3254852000000001</v>
      </c>
      <c r="Y117" s="2762">
        <f t="shared" si="3"/>
        <v>0</v>
      </c>
    </row>
    <row r="118" spans="1:25" x14ac:dyDescent="0.25">
      <c r="A118" s="2770" t="s">
        <v>1980</v>
      </c>
      <c r="B118" s="2766">
        <v>1242</v>
      </c>
      <c r="C118" s="2766" t="s">
        <v>1991</v>
      </c>
      <c r="D118" s="2766" t="s">
        <v>329</v>
      </c>
      <c r="E118" s="2766" t="s">
        <v>1989</v>
      </c>
      <c r="F118" s="2766" t="s">
        <v>639</v>
      </c>
      <c r="G118" s="2766">
        <v>124201</v>
      </c>
      <c r="H118" s="2766">
        <f>Dataark_til_bilag2_2020[[#This Row],[Stald_kode]]+Dataark_til_bilag2_2020[[#This Row],[Dyr_Kode]]</f>
        <v>125443</v>
      </c>
      <c r="I118" s="4347">
        <v>7.97</v>
      </c>
      <c r="J118" s="2766" t="s">
        <v>1903</v>
      </c>
      <c r="K118" s="2766"/>
      <c r="L118" s="2767">
        <v>3.72</v>
      </c>
      <c r="M118" s="2767">
        <v>0.22800000000000001</v>
      </c>
      <c r="N118" s="2760">
        <f>IFERROR(Dataark_til_bilag2_2020[[#This Row],[Antal dyr]]*Dataark_til_bilag2_2020[[#This Row],[Gødning (g) pr. dyr (ton)]]," ")</f>
        <v>29.648400000000002</v>
      </c>
      <c r="O118" s="2768"/>
      <c r="P118" s="2759">
        <v>0</v>
      </c>
      <c r="Q118" s="2767"/>
      <c r="R118" s="2769">
        <v>132</v>
      </c>
      <c r="S118" s="2769">
        <v>181</v>
      </c>
      <c r="T118" s="2769">
        <v>433.14253150684931</v>
      </c>
      <c r="U118" s="2769">
        <v>245.38546849315071</v>
      </c>
      <c r="V118" s="2769">
        <v>2</v>
      </c>
      <c r="W118" s="2769">
        <v>0.18</v>
      </c>
      <c r="X118" s="2769">
        <v>1.6366095360000004</v>
      </c>
      <c r="Y118" s="2762">
        <f t="shared" si="3"/>
        <v>1.3043778001920003E-2</v>
      </c>
    </row>
    <row r="119" spans="1:25" x14ac:dyDescent="0.25">
      <c r="A119" s="2770" t="s">
        <v>1980</v>
      </c>
      <c r="B119" s="2766">
        <v>1242</v>
      </c>
      <c r="C119" s="2766" t="s">
        <v>1991</v>
      </c>
      <c r="D119" s="2766" t="s">
        <v>329</v>
      </c>
      <c r="E119" s="2766" t="s">
        <v>1988</v>
      </c>
      <c r="F119" s="2766" t="s">
        <v>639</v>
      </c>
      <c r="G119" s="2766">
        <v>124202</v>
      </c>
      <c r="H119" s="2766">
        <f>Dataark_til_bilag2_2020[[#This Row],[Stald_kode]]+Dataark_til_bilag2_2020[[#This Row],[Dyr_Kode]]</f>
        <v>125444</v>
      </c>
      <c r="I119" s="4347">
        <v>0</v>
      </c>
      <c r="J119" s="2766" t="s">
        <v>1977</v>
      </c>
      <c r="K119" s="2766"/>
      <c r="L119" s="2767">
        <v>7.88</v>
      </c>
      <c r="M119" s="2767">
        <v>0.121</v>
      </c>
      <c r="N119" s="2760">
        <f>IFERROR(Dataark_til_bilag2_2020[[#This Row],[Antal dyr]]*Dataark_til_bilag2_2020[[#This Row],[Gødning (g) pr. dyr (ton)]]," ")</f>
        <v>0</v>
      </c>
      <c r="O119" s="2768"/>
      <c r="P119" s="2759">
        <v>0</v>
      </c>
      <c r="Q119" s="2767"/>
      <c r="R119" s="2769">
        <v>132</v>
      </c>
      <c r="S119" s="2769">
        <v>181</v>
      </c>
      <c r="T119" s="2769">
        <v>486.92786849315075</v>
      </c>
      <c r="U119" s="2769">
        <v>275.85613150684935</v>
      </c>
      <c r="V119" s="2769">
        <v>12.5</v>
      </c>
      <c r="W119" s="2769">
        <v>0.18</v>
      </c>
      <c r="X119" s="2769">
        <v>11.498968800000002</v>
      </c>
      <c r="Y119" s="2762">
        <f t="shared" si="3"/>
        <v>0</v>
      </c>
    </row>
    <row r="120" spans="1:25" x14ac:dyDescent="0.25">
      <c r="A120" s="2770" t="s">
        <v>1980</v>
      </c>
      <c r="B120" s="2766">
        <v>1242</v>
      </c>
      <c r="C120" s="2766" t="s">
        <v>1991</v>
      </c>
      <c r="D120" s="2766" t="s">
        <v>329</v>
      </c>
      <c r="E120" s="2766" t="s">
        <v>1987</v>
      </c>
      <c r="F120" s="2766" t="s">
        <v>350</v>
      </c>
      <c r="G120" s="2766">
        <v>124203</v>
      </c>
      <c r="H120" s="2766">
        <f>Dataark_til_bilag2_2020[[#This Row],[Stald_kode]]+Dataark_til_bilag2_2020[[#This Row],[Dyr_Kode]]</f>
        <v>125445</v>
      </c>
      <c r="I120" s="4347">
        <v>235.84</v>
      </c>
      <c r="J120" s="2766"/>
      <c r="K120" s="2766" t="s">
        <v>350</v>
      </c>
      <c r="L120" s="2767"/>
      <c r="M120" s="2767"/>
      <c r="N120" s="2760">
        <f>IFERROR(Dataark_til_bilag2_2020[[#This Row],[Antal dyr]]*Dataark_til_bilag2_2020[[#This Row],[Gødning (g) pr. dyr (ton)]]," ")</f>
        <v>0</v>
      </c>
      <c r="O120" s="2767">
        <v>9.59</v>
      </c>
      <c r="P120" s="2759">
        <v>2261.7055999999998</v>
      </c>
      <c r="Q120" s="2767">
        <v>0.3</v>
      </c>
      <c r="R120" s="2769">
        <v>132</v>
      </c>
      <c r="S120" s="2769">
        <v>181</v>
      </c>
      <c r="T120" s="2769">
        <v>1835.7242371232874</v>
      </c>
      <c r="U120" s="2769">
        <v>832.35945205479447</v>
      </c>
      <c r="V120" s="2769">
        <v>17</v>
      </c>
      <c r="W120" s="2769">
        <v>0.18</v>
      </c>
      <c r="X120" s="2769">
        <v>54.701051795529025</v>
      </c>
      <c r="Y120" s="2762">
        <f t="shared" si="3"/>
        <v>12.900696055457566</v>
      </c>
    </row>
    <row r="121" spans="1:25" x14ac:dyDescent="0.25">
      <c r="A121" s="2770" t="s">
        <v>1980</v>
      </c>
      <c r="B121" s="2766">
        <v>1242</v>
      </c>
      <c r="C121" s="2766" t="s">
        <v>1991</v>
      </c>
      <c r="D121" s="2766" t="s">
        <v>329</v>
      </c>
      <c r="E121" s="2766" t="s">
        <v>1986</v>
      </c>
      <c r="F121" s="2766" t="s">
        <v>350</v>
      </c>
      <c r="G121" s="2766">
        <v>124204</v>
      </c>
      <c r="H121" s="2766">
        <f>Dataark_til_bilag2_2020[[#This Row],[Stald_kode]]+Dataark_til_bilag2_2020[[#This Row],[Dyr_Kode]]</f>
        <v>125446</v>
      </c>
      <c r="I121" s="4347">
        <v>0</v>
      </c>
      <c r="J121" s="2766"/>
      <c r="K121" s="2766" t="s">
        <v>350</v>
      </c>
      <c r="L121" s="2767"/>
      <c r="M121" s="2767"/>
      <c r="N121" s="2760">
        <f>IFERROR(Dataark_til_bilag2_2020[[#This Row],[Antal dyr]]*Dataark_til_bilag2_2020[[#This Row],[Gødning (g) pr. dyr (ton)]]," ")</f>
        <v>0</v>
      </c>
      <c r="O121" s="2767">
        <v>8.83</v>
      </c>
      <c r="P121" s="2759">
        <v>0</v>
      </c>
      <c r="Q121" s="2767">
        <v>0.3</v>
      </c>
      <c r="R121" s="2769">
        <v>132</v>
      </c>
      <c r="S121" s="2769">
        <v>181</v>
      </c>
      <c r="T121" s="2769">
        <v>1690.2445269863017</v>
      </c>
      <c r="U121" s="2769">
        <v>766.39561643835623</v>
      </c>
      <c r="V121" s="2769">
        <v>17</v>
      </c>
      <c r="W121" s="2769">
        <v>0.18</v>
      </c>
      <c r="X121" s="2769">
        <v>50.366036220492333</v>
      </c>
      <c r="Y121" s="2762">
        <f t="shared" si="3"/>
        <v>0</v>
      </c>
    </row>
    <row r="122" spans="1:25" x14ac:dyDescent="0.25">
      <c r="A122" s="2770" t="s">
        <v>1980</v>
      </c>
      <c r="B122" s="2766">
        <v>1242</v>
      </c>
      <c r="C122" s="2766" t="s">
        <v>1991</v>
      </c>
      <c r="D122" s="2766" t="s">
        <v>329</v>
      </c>
      <c r="E122" s="2766" t="s">
        <v>1985</v>
      </c>
      <c r="F122" s="2766" t="s">
        <v>350</v>
      </c>
      <c r="G122" s="2766">
        <v>124205</v>
      </c>
      <c r="H122" s="2766">
        <f>Dataark_til_bilag2_2020[[#This Row],[Stald_kode]]+Dataark_til_bilag2_2020[[#This Row],[Dyr_Kode]]</f>
        <v>125447</v>
      </c>
      <c r="I122" s="4347">
        <v>0</v>
      </c>
      <c r="J122" s="2766" t="s">
        <v>1977</v>
      </c>
      <c r="K122" s="2766"/>
      <c r="L122" s="2767">
        <v>4.8499999999999996</v>
      </c>
      <c r="M122" s="2767">
        <v>6.9000000000000006E-2</v>
      </c>
      <c r="N122" s="2760">
        <f>IFERROR(Dataark_til_bilag2_2020[[#This Row],[Antal dyr]]*Dataark_til_bilag2_2020[[#This Row],[Gødning (g) pr. dyr (ton)]]," ")</f>
        <v>0</v>
      </c>
      <c r="O122" s="2768"/>
      <c r="P122" s="2759">
        <v>0</v>
      </c>
      <c r="Q122" s="2767"/>
      <c r="R122" s="2769">
        <v>132</v>
      </c>
      <c r="S122" s="2769">
        <v>181</v>
      </c>
      <c r="T122" s="2769">
        <v>170.90071232876716</v>
      </c>
      <c r="U122" s="2769">
        <v>96.8192876712329</v>
      </c>
      <c r="V122" s="2769">
        <v>12.5</v>
      </c>
      <c r="W122" s="2769">
        <v>0.18</v>
      </c>
      <c r="X122" s="2769">
        <v>4.0358790000000004</v>
      </c>
      <c r="Y122" s="2762">
        <f t="shared" si="3"/>
        <v>0</v>
      </c>
    </row>
    <row r="123" spans="1:25" x14ac:dyDescent="0.25">
      <c r="A123" s="2770" t="s">
        <v>1980</v>
      </c>
      <c r="B123" s="2766">
        <v>1242</v>
      </c>
      <c r="C123" s="2766" t="s">
        <v>1991</v>
      </c>
      <c r="D123" s="2766" t="s">
        <v>329</v>
      </c>
      <c r="E123" s="2766" t="s">
        <v>1984</v>
      </c>
      <c r="F123" s="2766" t="s">
        <v>350</v>
      </c>
      <c r="G123" s="2766">
        <v>124206</v>
      </c>
      <c r="H123" s="2766">
        <f>Dataark_til_bilag2_2020[[#This Row],[Stald_kode]]+Dataark_til_bilag2_2020[[#This Row],[Dyr_Kode]]</f>
        <v>125448</v>
      </c>
      <c r="I123" s="4347">
        <v>0</v>
      </c>
      <c r="J123" s="2766" t="s">
        <v>1977</v>
      </c>
      <c r="K123" s="2766"/>
      <c r="L123" s="2767">
        <v>4.8499999999999996</v>
      </c>
      <c r="M123" s="2767">
        <v>6.9000000000000006E-2</v>
      </c>
      <c r="N123" s="2760">
        <f>IFERROR(Dataark_til_bilag2_2020[[#This Row],[Antal dyr]]*Dataark_til_bilag2_2020[[#This Row],[Gødning (g) pr. dyr (ton)]]," ")</f>
        <v>0</v>
      </c>
      <c r="O123" s="2768"/>
      <c r="P123" s="2759">
        <v>0</v>
      </c>
      <c r="Q123" s="2767"/>
      <c r="R123" s="2769">
        <v>132</v>
      </c>
      <c r="S123" s="2769">
        <v>181</v>
      </c>
      <c r="T123" s="2769">
        <v>170.90071232876716</v>
      </c>
      <c r="U123" s="2769">
        <v>96.8192876712329</v>
      </c>
      <c r="V123" s="2769">
        <v>12.5</v>
      </c>
      <c r="W123" s="2769">
        <v>0.18</v>
      </c>
      <c r="X123" s="2769">
        <v>4.0358790000000004</v>
      </c>
      <c r="Y123" s="2762">
        <f t="shared" si="3"/>
        <v>0</v>
      </c>
    </row>
    <row r="124" spans="1:25" x14ac:dyDescent="0.25">
      <c r="A124" s="2770" t="s">
        <v>1980</v>
      </c>
      <c r="B124" s="2766">
        <v>1242</v>
      </c>
      <c r="C124" s="2766" t="s">
        <v>1991</v>
      </c>
      <c r="D124" s="2766" t="s">
        <v>329</v>
      </c>
      <c r="E124" s="2766" t="s">
        <v>1983</v>
      </c>
      <c r="F124" s="2766" t="s">
        <v>350</v>
      </c>
      <c r="G124" s="2766">
        <v>124207</v>
      </c>
      <c r="H124" s="2766">
        <f>Dataark_til_bilag2_2020[[#This Row],[Stald_kode]]+Dataark_til_bilag2_2020[[#This Row],[Dyr_Kode]]</f>
        <v>125449</v>
      </c>
      <c r="I124" s="4347">
        <v>0</v>
      </c>
      <c r="J124" s="2766" t="s">
        <v>1977</v>
      </c>
      <c r="K124" s="2766"/>
      <c r="L124" s="2767">
        <v>4.8499999999999996</v>
      </c>
      <c r="M124" s="2767">
        <v>6.9000000000000006E-2</v>
      </c>
      <c r="N124" s="2760">
        <f>IFERROR(Dataark_til_bilag2_2020[[#This Row],[Antal dyr]]*Dataark_til_bilag2_2020[[#This Row],[Gødning (g) pr. dyr (ton)]]," ")</f>
        <v>0</v>
      </c>
      <c r="O124" s="2768"/>
      <c r="P124" s="2759">
        <v>0</v>
      </c>
      <c r="Q124" s="2767"/>
      <c r="R124" s="2769">
        <v>132</v>
      </c>
      <c r="S124" s="2769">
        <v>181</v>
      </c>
      <c r="T124" s="2769">
        <v>170.90071232876716</v>
      </c>
      <c r="U124" s="2769">
        <v>96.8192876712329</v>
      </c>
      <c r="V124" s="2769">
        <v>12.5</v>
      </c>
      <c r="W124" s="2769">
        <v>0.18</v>
      </c>
      <c r="X124" s="2769">
        <v>4.0358790000000004</v>
      </c>
      <c r="Y124" s="2762">
        <f t="shared" si="3"/>
        <v>0</v>
      </c>
    </row>
    <row r="125" spans="1:25" x14ac:dyDescent="0.25">
      <c r="A125" s="2770" t="s">
        <v>1980</v>
      </c>
      <c r="B125" s="2766">
        <v>1242</v>
      </c>
      <c r="C125" s="2766" t="s">
        <v>1991</v>
      </c>
      <c r="D125" s="2766" t="s">
        <v>329</v>
      </c>
      <c r="E125" s="2766" t="s">
        <v>1982</v>
      </c>
      <c r="F125" s="2766" t="s">
        <v>354</v>
      </c>
      <c r="G125" s="2766">
        <v>124209</v>
      </c>
      <c r="H125" s="2766">
        <f>Dataark_til_bilag2_2020[[#This Row],[Stald_kode]]+Dataark_til_bilag2_2020[[#This Row],[Dyr_Kode]]</f>
        <v>125451</v>
      </c>
      <c r="I125" s="4347">
        <v>0</v>
      </c>
      <c r="J125" s="2766" t="s">
        <v>1977</v>
      </c>
      <c r="K125" s="2766"/>
      <c r="L125" s="2767">
        <v>7.28</v>
      </c>
      <c r="M125" s="2767">
        <v>0.121</v>
      </c>
      <c r="N125" s="2760">
        <f>IFERROR(Dataark_til_bilag2_2020[[#This Row],[Antal dyr]]*Dataark_til_bilag2_2020[[#This Row],[Gødning (g) pr. dyr (ton)]]," ")</f>
        <v>0</v>
      </c>
      <c r="O125" s="2768"/>
      <c r="P125" s="2759">
        <v>0</v>
      </c>
      <c r="Q125" s="2767"/>
      <c r="R125" s="2769">
        <v>132</v>
      </c>
      <c r="S125" s="2769">
        <v>181</v>
      </c>
      <c r="T125" s="2769">
        <v>449.85214246575345</v>
      </c>
      <c r="U125" s="2769">
        <v>254.85185753424659</v>
      </c>
      <c r="V125" s="2769">
        <v>12.5</v>
      </c>
      <c r="W125" s="2769">
        <v>0.18</v>
      </c>
      <c r="X125" s="2769">
        <v>10.623412800000001</v>
      </c>
      <c r="Y125" s="2762">
        <f t="shared" si="3"/>
        <v>0</v>
      </c>
    </row>
    <row r="126" spans="1:25" x14ac:dyDescent="0.25">
      <c r="A126" s="2770" t="s">
        <v>1980</v>
      </c>
      <c r="B126" s="2766">
        <v>1242</v>
      </c>
      <c r="C126" s="2766" t="s">
        <v>1991</v>
      </c>
      <c r="D126" s="2766" t="s">
        <v>329</v>
      </c>
      <c r="E126" s="2766" t="s">
        <v>2793</v>
      </c>
      <c r="F126" s="2766" t="s">
        <v>354</v>
      </c>
      <c r="G126" s="2766">
        <v>124210</v>
      </c>
      <c r="H126" s="2766">
        <f>Dataark_til_bilag2_2020[[#This Row],[Stald_kode]]+Dataark_til_bilag2_2020[[#This Row],[Dyr_Kode]]</f>
        <v>125452</v>
      </c>
      <c r="I126" s="4347">
        <v>0</v>
      </c>
      <c r="J126" s="2766" t="s">
        <v>1977</v>
      </c>
      <c r="K126" s="2766"/>
      <c r="L126" s="2767">
        <v>7.28</v>
      </c>
      <c r="M126" s="2767">
        <v>0.121</v>
      </c>
      <c r="N126" s="2760">
        <f>IFERROR(Dataark_til_bilag2_2020[[#This Row],[Antal dyr]]*Dataark_til_bilag2_2020[[#This Row],[Gødning (g) pr. dyr (ton)]]," ")</f>
        <v>0</v>
      </c>
      <c r="O126" s="2768"/>
      <c r="P126" s="2759">
        <v>0</v>
      </c>
      <c r="Q126" s="2767"/>
      <c r="R126" s="2769">
        <v>132</v>
      </c>
      <c r="S126" s="2769"/>
      <c r="T126" s="2769">
        <v>449.85214246575345</v>
      </c>
      <c r="U126" s="2769">
        <v>254.85185753424659</v>
      </c>
      <c r="V126" s="2769">
        <v>12.5</v>
      </c>
      <c r="W126" s="2769">
        <v>0.18</v>
      </c>
      <c r="X126" s="2769">
        <v>10.623412800000001</v>
      </c>
      <c r="Y126" s="2762">
        <f t="shared" si="3"/>
        <v>0</v>
      </c>
    </row>
    <row r="127" spans="1:25" x14ac:dyDescent="0.25">
      <c r="A127" s="2770" t="s">
        <v>1980</v>
      </c>
      <c r="B127" s="2766">
        <v>1242</v>
      </c>
      <c r="C127" s="2766" t="s">
        <v>1991</v>
      </c>
      <c r="D127" s="2766" t="s">
        <v>329</v>
      </c>
      <c r="E127" s="2766" t="s">
        <v>1990</v>
      </c>
      <c r="F127" s="2766" t="s">
        <v>354</v>
      </c>
      <c r="G127" s="2766">
        <v>124211</v>
      </c>
      <c r="H127" s="2766">
        <f>Dataark_til_bilag2_2020[[#This Row],[Stald_kode]]+Dataark_til_bilag2_2020[[#This Row],[Dyr_Kode]]</f>
        <v>125453</v>
      </c>
      <c r="I127" s="4347">
        <v>100</v>
      </c>
      <c r="J127" s="2766" t="s">
        <v>1977</v>
      </c>
      <c r="K127" s="2766"/>
      <c r="L127" s="2767">
        <v>7.28</v>
      </c>
      <c r="M127" s="2767">
        <v>0.121</v>
      </c>
      <c r="N127" s="2760">
        <f>IFERROR(Dataark_til_bilag2_2020[[#This Row],[Antal dyr]]*Dataark_til_bilag2_2020[[#This Row],[Gødning (g) pr. dyr (ton)]]," ")</f>
        <v>728</v>
      </c>
      <c r="O127" s="2768"/>
      <c r="P127" s="2759">
        <v>0</v>
      </c>
      <c r="Q127" s="2767"/>
      <c r="R127" s="2769">
        <v>132</v>
      </c>
      <c r="S127" s="2769">
        <v>181</v>
      </c>
      <c r="T127" s="2769">
        <v>449.85214246575345</v>
      </c>
      <c r="U127" s="2769">
        <v>254.85185753424659</v>
      </c>
      <c r="V127" s="2769">
        <v>12.5</v>
      </c>
      <c r="W127" s="2769">
        <v>0.18</v>
      </c>
      <c r="X127" s="2769">
        <v>10.623412800000001</v>
      </c>
      <c r="Y127" s="2762">
        <f t="shared" si="3"/>
        <v>1.0623412800000001</v>
      </c>
    </row>
    <row r="128" spans="1:25" x14ac:dyDescent="0.25">
      <c r="A128" s="2770" t="s">
        <v>1980</v>
      </c>
      <c r="B128" s="2766">
        <v>1243</v>
      </c>
      <c r="C128" s="2766" t="s">
        <v>1979</v>
      </c>
      <c r="D128" s="2766" t="s">
        <v>329</v>
      </c>
      <c r="E128" s="2766" t="s">
        <v>1989</v>
      </c>
      <c r="F128" s="2766" t="s">
        <v>639</v>
      </c>
      <c r="G128" s="2766">
        <v>124301</v>
      </c>
      <c r="H128" s="2766">
        <f>Dataark_til_bilag2_2020[[#This Row],[Stald_kode]]+Dataark_til_bilag2_2020[[#This Row],[Dyr_Kode]]</f>
        <v>125544</v>
      </c>
      <c r="I128" s="4347">
        <v>42.09</v>
      </c>
      <c r="J128" s="2766" t="s">
        <v>1903</v>
      </c>
      <c r="K128" s="2766"/>
      <c r="L128" s="2767">
        <v>4.1500000000000004</v>
      </c>
      <c r="M128" s="2767">
        <v>0.22800000000000001</v>
      </c>
      <c r="N128" s="2760">
        <f>IFERROR(Dataark_til_bilag2_2020[[#This Row],[Antal dyr]]*Dataark_til_bilag2_2020[[#This Row],[Gødning (g) pr. dyr (ton)]]," ")</f>
        <v>174.67350000000002</v>
      </c>
      <c r="O128" s="2768"/>
      <c r="P128" s="2759">
        <v>0</v>
      </c>
      <c r="Q128" s="2767"/>
      <c r="R128" s="2769">
        <v>132</v>
      </c>
      <c r="S128" s="2769">
        <v>181</v>
      </c>
      <c r="T128" s="2769">
        <v>483.21008219178088</v>
      </c>
      <c r="U128" s="2769">
        <v>273.74991780821921</v>
      </c>
      <c r="V128" s="2769">
        <v>2</v>
      </c>
      <c r="W128" s="2769">
        <v>0.18</v>
      </c>
      <c r="X128" s="2769">
        <v>1.8257875200000004</v>
      </c>
      <c r="Y128" s="2762">
        <f t="shared" si="3"/>
        <v>7.684739671680002E-2</v>
      </c>
    </row>
    <row r="129" spans="1:25" x14ac:dyDescent="0.25">
      <c r="A129" s="2770" t="s">
        <v>1980</v>
      </c>
      <c r="B129" s="2766">
        <v>1243</v>
      </c>
      <c r="C129" s="2766" t="s">
        <v>1979</v>
      </c>
      <c r="D129" s="2766" t="s">
        <v>329</v>
      </c>
      <c r="E129" s="2766" t="s">
        <v>1988</v>
      </c>
      <c r="F129" s="2766" t="s">
        <v>639</v>
      </c>
      <c r="G129" s="2766">
        <v>124302</v>
      </c>
      <c r="H129" s="2766">
        <f>Dataark_til_bilag2_2020[[#This Row],[Stald_kode]]+Dataark_til_bilag2_2020[[#This Row],[Dyr_Kode]]</f>
        <v>125545</v>
      </c>
      <c r="I129" s="4347">
        <v>0</v>
      </c>
      <c r="J129" s="2766" t="s">
        <v>1977</v>
      </c>
      <c r="K129" s="2766"/>
      <c r="L129" s="2767">
        <v>8.81</v>
      </c>
      <c r="M129" s="2767">
        <v>0.121</v>
      </c>
      <c r="N129" s="2760">
        <f>IFERROR(Dataark_til_bilag2_2020[[#This Row],[Antal dyr]]*Dataark_til_bilag2_2020[[#This Row],[Gødning (g) pr. dyr (ton)]]," ")</f>
        <v>0</v>
      </c>
      <c r="O129" s="2768"/>
      <c r="P129" s="2759">
        <v>0</v>
      </c>
      <c r="Q129" s="2767"/>
      <c r="R129" s="2769">
        <v>132</v>
      </c>
      <c r="S129" s="2769">
        <v>181</v>
      </c>
      <c r="T129" s="2769">
        <v>544.3952438356165</v>
      </c>
      <c r="U129" s="2769">
        <v>308.41275616438361</v>
      </c>
      <c r="V129" s="2769">
        <v>12.5</v>
      </c>
      <c r="W129" s="2769">
        <v>0.18</v>
      </c>
      <c r="X129" s="2769">
        <v>12.856080600000002</v>
      </c>
      <c r="Y129" s="2762">
        <f t="shared" si="3"/>
        <v>0</v>
      </c>
    </row>
    <row r="130" spans="1:25" x14ac:dyDescent="0.25">
      <c r="A130" s="2770" t="s">
        <v>1980</v>
      </c>
      <c r="B130" s="2766">
        <v>1243</v>
      </c>
      <c r="C130" s="2766" t="s">
        <v>1979</v>
      </c>
      <c r="D130" s="2766" t="s">
        <v>329</v>
      </c>
      <c r="E130" s="2766" t="s">
        <v>1987</v>
      </c>
      <c r="F130" s="2766" t="s">
        <v>350</v>
      </c>
      <c r="G130" s="2766">
        <v>124303</v>
      </c>
      <c r="H130" s="2766">
        <f>Dataark_til_bilag2_2020[[#This Row],[Stald_kode]]+Dataark_til_bilag2_2020[[#This Row],[Dyr_Kode]]</f>
        <v>125546</v>
      </c>
      <c r="I130" s="4347">
        <v>240.79</v>
      </c>
      <c r="J130" s="2766"/>
      <c r="K130" s="2766" t="s">
        <v>350</v>
      </c>
      <c r="L130" s="2767"/>
      <c r="M130" s="2767"/>
      <c r="N130" s="2760">
        <f>IFERROR(Dataark_til_bilag2_2020[[#This Row],[Antal dyr]]*Dataark_til_bilag2_2020[[#This Row],[Gødning (g) pr. dyr (ton)]]," ")</f>
        <v>0</v>
      </c>
      <c r="O130" s="2767">
        <v>10.06</v>
      </c>
      <c r="P130" s="2759">
        <v>2422.3474000000001</v>
      </c>
      <c r="Q130" s="2767">
        <v>0.3</v>
      </c>
      <c r="R130" s="2769">
        <v>132</v>
      </c>
      <c r="S130" s="2769">
        <v>181</v>
      </c>
      <c r="T130" s="2769">
        <v>1925.6919526027395</v>
      </c>
      <c r="U130" s="2769">
        <v>873.15287671232875</v>
      </c>
      <c r="V130" s="2769">
        <v>17</v>
      </c>
      <c r="W130" s="2769">
        <v>0.18</v>
      </c>
      <c r="X130" s="2769">
        <v>57.381916690617537</v>
      </c>
      <c r="Y130" s="2762">
        <f t="shared" si="3"/>
        <v>13.816991719933796</v>
      </c>
    </row>
    <row r="131" spans="1:25" x14ac:dyDescent="0.25">
      <c r="A131" s="2770" t="s">
        <v>1980</v>
      </c>
      <c r="B131" s="2766">
        <v>1243</v>
      </c>
      <c r="C131" s="2766" t="s">
        <v>1979</v>
      </c>
      <c r="D131" s="2766" t="s">
        <v>329</v>
      </c>
      <c r="E131" s="2766" t="s">
        <v>1986</v>
      </c>
      <c r="F131" s="2766" t="s">
        <v>350</v>
      </c>
      <c r="G131" s="2766">
        <v>124304</v>
      </c>
      <c r="H131" s="2766">
        <f>Dataark_til_bilag2_2020[[#This Row],[Stald_kode]]+Dataark_til_bilag2_2020[[#This Row],[Dyr_Kode]]</f>
        <v>125547</v>
      </c>
      <c r="I131" s="4347">
        <v>0</v>
      </c>
      <c r="J131" s="2766"/>
      <c r="K131" s="2766" t="s">
        <v>350</v>
      </c>
      <c r="L131" s="2767"/>
      <c r="M131" s="2767"/>
      <c r="N131" s="2760">
        <f>IFERROR(Dataark_til_bilag2_2020[[#This Row],[Antal dyr]]*Dataark_til_bilag2_2020[[#This Row],[Gødning (g) pr. dyr (ton)]]," ")</f>
        <v>0</v>
      </c>
      <c r="O131" s="2767">
        <v>9.3000000000000007</v>
      </c>
      <c r="P131" s="2759">
        <v>0</v>
      </c>
      <c r="Q131" s="2767">
        <v>0.3</v>
      </c>
      <c r="R131" s="2769">
        <v>132</v>
      </c>
      <c r="S131" s="2769">
        <v>181</v>
      </c>
      <c r="T131" s="2769">
        <v>1780.2122424657532</v>
      </c>
      <c r="U131" s="2769">
        <v>807.18904109589039</v>
      </c>
      <c r="V131" s="2769">
        <v>17</v>
      </c>
      <c r="W131" s="2769">
        <v>0.18</v>
      </c>
      <c r="X131" s="2769">
        <v>53.046901115580816</v>
      </c>
      <c r="Y131" s="2762">
        <f t="shared" si="3"/>
        <v>0</v>
      </c>
    </row>
    <row r="132" spans="1:25" x14ac:dyDescent="0.25">
      <c r="A132" s="2770" t="s">
        <v>1980</v>
      </c>
      <c r="B132" s="2766">
        <v>1243</v>
      </c>
      <c r="C132" s="2766" t="s">
        <v>1979</v>
      </c>
      <c r="D132" s="2766" t="s">
        <v>329</v>
      </c>
      <c r="E132" s="2766" t="s">
        <v>1985</v>
      </c>
      <c r="F132" s="2766" t="s">
        <v>350</v>
      </c>
      <c r="G132" s="2766">
        <v>124305</v>
      </c>
      <c r="H132" s="2766">
        <f>Dataark_til_bilag2_2020[[#This Row],[Stald_kode]]+Dataark_til_bilag2_2020[[#This Row],[Dyr_Kode]]</f>
        <v>125548</v>
      </c>
      <c r="I132" s="4347">
        <v>0</v>
      </c>
      <c r="J132" s="2766" t="s">
        <v>1977</v>
      </c>
      <c r="K132" s="2766"/>
      <c r="L132" s="2767">
        <v>5.5</v>
      </c>
      <c r="M132" s="2767">
        <v>6.9000000000000006E-2</v>
      </c>
      <c r="N132" s="2760">
        <f>IFERROR(Dataark_til_bilag2_2020[[#This Row],[Antal dyr]]*Dataark_til_bilag2_2020[[#This Row],[Gødning (g) pr. dyr (ton)]]," ")</f>
        <v>0</v>
      </c>
      <c r="O132" s="2768"/>
      <c r="P132" s="2759">
        <v>0</v>
      </c>
      <c r="Q132" s="2767"/>
      <c r="R132" s="2769">
        <v>132</v>
      </c>
      <c r="S132" s="2769">
        <v>181</v>
      </c>
      <c r="T132" s="2769">
        <v>193.80493150684936</v>
      </c>
      <c r="U132" s="2769">
        <v>109.79506849315069</v>
      </c>
      <c r="V132" s="2769">
        <v>12.5</v>
      </c>
      <c r="W132" s="2769">
        <v>0.18</v>
      </c>
      <c r="X132" s="2769">
        <v>4.5767700000000016</v>
      </c>
      <c r="Y132" s="2762">
        <f t="shared" si="3"/>
        <v>0</v>
      </c>
    </row>
    <row r="133" spans="1:25" x14ac:dyDescent="0.25">
      <c r="A133" s="2770" t="s">
        <v>1980</v>
      </c>
      <c r="B133" s="2766">
        <v>1243</v>
      </c>
      <c r="C133" s="2766" t="s">
        <v>1979</v>
      </c>
      <c r="D133" s="2766" t="s">
        <v>329</v>
      </c>
      <c r="E133" s="2766" t="s">
        <v>1984</v>
      </c>
      <c r="F133" s="2766" t="s">
        <v>350</v>
      </c>
      <c r="G133" s="2766">
        <v>124306</v>
      </c>
      <c r="H133" s="2766">
        <f>Dataark_til_bilag2_2020[[#This Row],[Stald_kode]]+Dataark_til_bilag2_2020[[#This Row],[Dyr_Kode]]</f>
        <v>125549</v>
      </c>
      <c r="I133" s="4347">
        <v>0</v>
      </c>
      <c r="J133" s="2766" t="s">
        <v>1977</v>
      </c>
      <c r="K133" s="2766"/>
      <c r="L133" s="2767">
        <v>5.5</v>
      </c>
      <c r="M133" s="2767">
        <v>6.9000000000000006E-2</v>
      </c>
      <c r="N133" s="2760">
        <f>IFERROR(Dataark_til_bilag2_2020[[#This Row],[Antal dyr]]*Dataark_til_bilag2_2020[[#This Row],[Gødning (g) pr. dyr (ton)]]," ")</f>
        <v>0</v>
      </c>
      <c r="O133" s="2768"/>
      <c r="P133" s="2759">
        <v>0</v>
      </c>
      <c r="Q133" s="2767"/>
      <c r="R133" s="2769">
        <v>132</v>
      </c>
      <c r="S133" s="2769">
        <v>181</v>
      </c>
      <c r="T133" s="2769">
        <v>193.80493150684936</v>
      </c>
      <c r="U133" s="2769">
        <v>109.79506849315069</v>
      </c>
      <c r="V133" s="2769">
        <v>12.5</v>
      </c>
      <c r="W133" s="2769">
        <v>0.18</v>
      </c>
      <c r="X133" s="2769">
        <v>4.5767700000000016</v>
      </c>
      <c r="Y133" s="2762">
        <f t="shared" ref="Y133:Y160" si="4">IFERROR(IFERROR((X133*I133)/1000,(X133*I132)/1000),"-")</f>
        <v>0</v>
      </c>
    </row>
    <row r="134" spans="1:25" x14ac:dyDescent="0.25">
      <c r="A134" s="2770" t="s">
        <v>1980</v>
      </c>
      <c r="B134" s="2766">
        <v>1243</v>
      </c>
      <c r="C134" s="2766" t="s">
        <v>1979</v>
      </c>
      <c r="D134" s="2766" t="s">
        <v>329</v>
      </c>
      <c r="E134" s="2766" t="s">
        <v>1983</v>
      </c>
      <c r="F134" s="2766" t="s">
        <v>350</v>
      </c>
      <c r="G134" s="2766">
        <v>124307</v>
      </c>
      <c r="H134" s="2766">
        <f>Dataark_til_bilag2_2020[[#This Row],[Stald_kode]]+Dataark_til_bilag2_2020[[#This Row],[Dyr_Kode]]</f>
        <v>125550</v>
      </c>
      <c r="I134" s="4347">
        <v>0</v>
      </c>
      <c r="J134" s="2766" t="s">
        <v>1977</v>
      </c>
      <c r="K134" s="2766"/>
      <c r="L134" s="2767">
        <v>5.5</v>
      </c>
      <c r="M134" s="2767">
        <v>6.9000000000000006E-2</v>
      </c>
      <c r="N134" s="2760">
        <f>IFERROR(Dataark_til_bilag2_2020[[#This Row],[Antal dyr]]*Dataark_til_bilag2_2020[[#This Row],[Gødning (g) pr. dyr (ton)]]," ")</f>
        <v>0</v>
      </c>
      <c r="O134" s="2768"/>
      <c r="P134" s="2759">
        <v>0</v>
      </c>
      <c r="Q134" s="2767"/>
      <c r="R134" s="2769">
        <v>132</v>
      </c>
      <c r="S134" s="2769">
        <v>181</v>
      </c>
      <c r="T134" s="2769">
        <v>193.80493150684936</v>
      </c>
      <c r="U134" s="2769">
        <v>109.79506849315069</v>
      </c>
      <c r="V134" s="2769">
        <v>12.5</v>
      </c>
      <c r="W134" s="2769">
        <v>0.18</v>
      </c>
      <c r="X134" s="2769">
        <v>4.5767700000000016</v>
      </c>
      <c r="Y134" s="2762">
        <f t="shared" si="4"/>
        <v>0</v>
      </c>
    </row>
    <row r="135" spans="1:25" x14ac:dyDescent="0.25">
      <c r="A135" s="2770" t="s">
        <v>1980</v>
      </c>
      <c r="B135" s="2766">
        <v>1243</v>
      </c>
      <c r="C135" s="2766" t="s">
        <v>1979</v>
      </c>
      <c r="D135" s="2766" t="s">
        <v>329</v>
      </c>
      <c r="E135" s="2766" t="s">
        <v>1982</v>
      </c>
      <c r="F135" s="2766" t="s">
        <v>354</v>
      </c>
      <c r="G135" s="2766">
        <v>124309</v>
      </c>
      <c r="H135" s="2766">
        <f>Dataark_til_bilag2_2020[[#This Row],[Stald_kode]]+Dataark_til_bilag2_2020[[#This Row],[Dyr_Kode]]</f>
        <v>125552</v>
      </c>
      <c r="I135" s="4347">
        <v>0</v>
      </c>
      <c r="J135" s="2766" t="s">
        <v>1977</v>
      </c>
      <c r="K135" s="2766"/>
      <c r="L135" s="2767">
        <v>8.1999999999999993</v>
      </c>
      <c r="M135" s="2767">
        <v>0.121</v>
      </c>
      <c r="N135" s="2760">
        <f>IFERROR(Dataark_til_bilag2_2020[[#This Row],[Antal dyr]]*Dataark_til_bilag2_2020[[#This Row],[Gødning (g) pr. dyr (ton)]]," ")</f>
        <v>0</v>
      </c>
      <c r="O135" s="2768"/>
      <c r="P135" s="2759">
        <v>0</v>
      </c>
      <c r="Q135" s="2767"/>
      <c r="R135" s="2769">
        <v>132</v>
      </c>
      <c r="S135" s="2769">
        <v>181</v>
      </c>
      <c r="T135" s="2769">
        <v>506.70158904109599</v>
      </c>
      <c r="U135" s="2769">
        <v>287.05841095890412</v>
      </c>
      <c r="V135" s="2769">
        <v>12.5</v>
      </c>
      <c r="W135" s="2769">
        <v>0.18</v>
      </c>
      <c r="X135" s="2769">
        <v>11.965932000000002</v>
      </c>
      <c r="Y135" s="2762">
        <f t="shared" si="4"/>
        <v>0</v>
      </c>
    </row>
    <row r="136" spans="1:25" x14ac:dyDescent="0.25">
      <c r="A136" s="2770" t="s">
        <v>1980</v>
      </c>
      <c r="B136" s="2766">
        <v>1243</v>
      </c>
      <c r="C136" s="2766" t="s">
        <v>1979</v>
      </c>
      <c r="D136" s="2766" t="s">
        <v>329</v>
      </c>
      <c r="E136" s="2766" t="s">
        <v>2793</v>
      </c>
      <c r="F136" s="2766" t="s">
        <v>354</v>
      </c>
      <c r="G136" s="2766">
        <v>124310</v>
      </c>
      <c r="H136" s="2766">
        <f>Dataark_til_bilag2_2020[[#This Row],[Stald_kode]]+Dataark_til_bilag2_2020[[#This Row],[Dyr_Kode]]</f>
        <v>125553</v>
      </c>
      <c r="I136" s="4347">
        <v>0</v>
      </c>
      <c r="J136" s="2766" t="s">
        <v>1977</v>
      </c>
      <c r="K136" s="2766"/>
      <c r="L136" s="2767">
        <v>8.1999999999999993</v>
      </c>
      <c r="M136" s="2767">
        <v>0.121</v>
      </c>
      <c r="N136" s="2760">
        <f>IFERROR(Dataark_til_bilag2_2020[[#This Row],[Antal dyr]]*Dataark_til_bilag2_2020[[#This Row],[Gødning (g) pr. dyr (ton)]]," ")</f>
        <v>0</v>
      </c>
      <c r="O136" s="2768"/>
      <c r="P136" s="2759">
        <v>0</v>
      </c>
      <c r="Q136" s="2767"/>
      <c r="R136" s="2769">
        <v>132</v>
      </c>
      <c r="S136" s="2769">
        <v>181</v>
      </c>
      <c r="T136" s="2769">
        <v>506.70158904109599</v>
      </c>
      <c r="U136" s="2769">
        <v>287.05841095890412</v>
      </c>
      <c r="V136" s="2769">
        <v>12.5</v>
      </c>
      <c r="W136" s="2769">
        <v>0.18</v>
      </c>
      <c r="X136" s="2769">
        <v>11.965932000000002</v>
      </c>
      <c r="Y136" s="2762">
        <f t="shared" si="4"/>
        <v>0</v>
      </c>
    </row>
    <row r="137" spans="1:25" x14ac:dyDescent="0.25">
      <c r="A137" s="2770" t="s">
        <v>1980</v>
      </c>
      <c r="B137" s="2766">
        <v>1243</v>
      </c>
      <c r="C137" s="2766" t="s">
        <v>1979</v>
      </c>
      <c r="D137" s="2766" t="s">
        <v>329</v>
      </c>
      <c r="E137" s="2766" t="s">
        <v>1978</v>
      </c>
      <c r="F137" s="2766" t="s">
        <v>354</v>
      </c>
      <c r="G137" s="2766">
        <v>124311</v>
      </c>
      <c r="H137" s="2766">
        <f>Dataark_til_bilag2_2020[[#This Row],[Stald_kode]]+Dataark_til_bilag2_2020[[#This Row],[Dyr_Kode]]</f>
        <v>125554</v>
      </c>
      <c r="I137" s="4347">
        <v>0</v>
      </c>
      <c r="J137" s="2766" t="s">
        <v>1977</v>
      </c>
      <c r="K137" s="2766"/>
      <c r="L137" s="2767">
        <v>8.1999999999999993</v>
      </c>
      <c r="M137" s="2767">
        <v>0.121</v>
      </c>
      <c r="N137" s="2760">
        <f>IFERROR(Dataark_til_bilag2_2020[[#This Row],[Antal dyr]]*Dataark_til_bilag2_2020[[#This Row],[Gødning (g) pr. dyr (ton)]]," ")</f>
        <v>0</v>
      </c>
      <c r="O137" s="2768"/>
      <c r="P137" s="2759">
        <v>0</v>
      </c>
      <c r="Q137" s="2767"/>
      <c r="R137" s="2769">
        <v>132</v>
      </c>
      <c r="S137" s="2769">
        <v>181</v>
      </c>
      <c r="T137" s="2769">
        <v>506.70158904109599</v>
      </c>
      <c r="U137" s="2769">
        <v>287.05841095890412</v>
      </c>
      <c r="V137" s="2769">
        <v>12.5</v>
      </c>
      <c r="W137" s="2769">
        <v>0.18</v>
      </c>
      <c r="X137" s="2769">
        <v>11.965932000000002</v>
      </c>
      <c r="Y137" s="2762">
        <f t="shared" si="4"/>
        <v>0</v>
      </c>
    </row>
    <row r="138" spans="1:25" x14ac:dyDescent="0.25">
      <c r="A138" s="2770" t="s">
        <v>963</v>
      </c>
      <c r="B138" s="2766">
        <v>1300</v>
      </c>
      <c r="C138" s="2766" t="s">
        <v>1976</v>
      </c>
      <c r="D138" s="2766" t="s">
        <v>333</v>
      </c>
      <c r="E138" s="2766" t="s">
        <v>963</v>
      </c>
      <c r="F138" s="2766" t="s">
        <v>352</v>
      </c>
      <c r="G138" s="2766">
        <v>130001</v>
      </c>
      <c r="H138" s="2766">
        <f>Dataark_til_bilag2_2020[[#This Row],[Stald_kode]]+Dataark_til_bilag2_2020[[#This Row],[Dyr_Kode]]</f>
        <v>131301</v>
      </c>
      <c r="I138" s="4347">
        <v>403.89</v>
      </c>
      <c r="J138" s="2766"/>
      <c r="K138" s="2766" t="s">
        <v>350</v>
      </c>
      <c r="L138" s="2767"/>
      <c r="M138" s="2767"/>
      <c r="N138" s="2760">
        <f>IFERROR(Dataark_til_bilag2_2020[[#This Row],[Antal dyr]]*Dataark_til_bilag2_2020[[#This Row],[Gødning (g) pr. dyr (ton)]]," ")</f>
        <v>0</v>
      </c>
      <c r="O138" s="2767">
        <v>1.1299999999999999</v>
      </c>
      <c r="P138" s="2759">
        <v>456.39569999999992</v>
      </c>
      <c r="Q138" s="2767">
        <v>0.34599999999999997</v>
      </c>
      <c r="R138" s="2769">
        <v>265</v>
      </c>
      <c r="S138" s="2769">
        <v>265</v>
      </c>
      <c r="T138" s="2769">
        <v>107.06960520547945</v>
      </c>
      <c r="U138" s="2769">
        <v>227.08975342465752</v>
      </c>
      <c r="V138" s="2769">
        <v>5.38</v>
      </c>
      <c r="W138" s="2769">
        <v>0.19</v>
      </c>
      <c r="X138" s="2769">
        <v>2.2885705658245641</v>
      </c>
      <c r="Y138" s="2762">
        <f t="shared" si="4"/>
        <v>0.92433076583088314</v>
      </c>
    </row>
    <row r="139" spans="1:25" x14ac:dyDescent="0.25">
      <c r="A139" s="2770" t="s">
        <v>961</v>
      </c>
      <c r="B139" s="2766">
        <v>1401</v>
      </c>
      <c r="C139" s="2766" t="s">
        <v>1975</v>
      </c>
      <c r="D139" s="2766" t="s">
        <v>333</v>
      </c>
      <c r="E139" s="2766" t="s">
        <v>1974</v>
      </c>
      <c r="F139" s="2766" t="s">
        <v>2743</v>
      </c>
      <c r="G139" s="2766">
        <v>140101</v>
      </c>
      <c r="H139" s="2766">
        <f>Dataark_til_bilag2_2020[[#This Row],[Stald_kode]]+Dataark_til_bilag2_2020[[#This Row],[Dyr_Kode]]</f>
        <v>141502</v>
      </c>
      <c r="I139" s="4347">
        <v>0</v>
      </c>
      <c r="J139" s="2766"/>
      <c r="K139" s="2766" t="s">
        <v>350</v>
      </c>
      <c r="L139" s="2767"/>
      <c r="M139" s="2767"/>
      <c r="N139" s="2760">
        <f>IFERROR(Dataark_til_bilag2_2020[[#This Row],[Antal dyr]]*Dataark_til_bilag2_2020[[#This Row],[Gødning (g) pr. dyr (ton)]]," ")</f>
        <v>0</v>
      </c>
      <c r="O139" s="2767">
        <v>1.21</v>
      </c>
      <c r="P139" s="2759">
        <v>0</v>
      </c>
      <c r="Q139" s="2767">
        <v>0.34599999999999997</v>
      </c>
      <c r="R139" s="2769">
        <v>265</v>
      </c>
      <c r="S139" s="2769">
        <v>265</v>
      </c>
      <c r="T139" s="2769">
        <v>114.64975424657534</v>
      </c>
      <c r="U139" s="2769">
        <v>243.16690410958904</v>
      </c>
      <c r="V139" s="2769">
        <v>17</v>
      </c>
      <c r="W139" s="2769">
        <v>0.18</v>
      </c>
      <c r="X139" s="2769">
        <v>7.3359571296180821</v>
      </c>
      <c r="Y139" s="2762">
        <f t="shared" si="4"/>
        <v>0</v>
      </c>
    </row>
    <row r="140" spans="1:25" x14ac:dyDescent="0.25">
      <c r="A140" s="2770" t="s">
        <v>961</v>
      </c>
      <c r="B140" s="2766">
        <v>1402</v>
      </c>
      <c r="C140" s="2766" t="s">
        <v>1973</v>
      </c>
      <c r="D140" s="2766" t="s">
        <v>333</v>
      </c>
      <c r="E140" s="2766" t="s">
        <v>1972</v>
      </c>
      <c r="F140" s="2766" t="s">
        <v>2743</v>
      </c>
      <c r="G140" s="2766">
        <v>140201</v>
      </c>
      <c r="H140" s="2766">
        <f>Dataark_til_bilag2_2020[[#This Row],[Stald_kode]]+Dataark_til_bilag2_2020[[#This Row],[Dyr_Kode]]</f>
        <v>141603</v>
      </c>
      <c r="I140" s="4347">
        <v>0</v>
      </c>
      <c r="J140" s="2766"/>
      <c r="K140" s="2766" t="s">
        <v>350</v>
      </c>
      <c r="L140" s="2767"/>
      <c r="M140" s="2767"/>
      <c r="N140" s="2760">
        <f>IFERROR(Dataark_til_bilag2_2020[[#This Row],[Antal dyr]]*Dataark_til_bilag2_2020[[#This Row],[Gødning (g) pr. dyr (ton)]]," ")</f>
        <v>0</v>
      </c>
      <c r="O140" s="2767">
        <v>1.1000000000000001</v>
      </c>
      <c r="P140" s="2759">
        <v>0</v>
      </c>
      <c r="Q140" s="2767">
        <v>0.34599999999999997</v>
      </c>
      <c r="R140" s="2769">
        <v>265</v>
      </c>
      <c r="S140" s="2769">
        <v>265</v>
      </c>
      <c r="T140" s="2769">
        <v>104.22704931506848</v>
      </c>
      <c r="U140" s="2769">
        <v>221.06082191780823</v>
      </c>
      <c r="V140" s="2769">
        <v>17</v>
      </c>
      <c r="W140" s="2769">
        <v>0.18</v>
      </c>
      <c r="X140" s="2769">
        <v>6.6690519360164391</v>
      </c>
      <c r="Y140" s="2762">
        <f t="shared" si="4"/>
        <v>0</v>
      </c>
    </row>
    <row r="141" spans="1:25" x14ac:dyDescent="0.25">
      <c r="A141" s="2770" t="s">
        <v>961</v>
      </c>
      <c r="B141" s="2766">
        <v>1403</v>
      </c>
      <c r="C141" s="2766" t="s">
        <v>1971</v>
      </c>
      <c r="D141" s="2766" t="s">
        <v>333</v>
      </c>
      <c r="E141" s="2766" t="s">
        <v>1970</v>
      </c>
      <c r="F141" s="2766" t="s">
        <v>2743</v>
      </c>
      <c r="G141" s="2766">
        <v>140301</v>
      </c>
      <c r="H141" s="2766">
        <f>Dataark_til_bilag2_2020[[#This Row],[Stald_kode]]+Dataark_til_bilag2_2020[[#This Row],[Dyr_Kode]]</f>
        <v>141704</v>
      </c>
      <c r="I141" s="4347">
        <v>0</v>
      </c>
      <c r="J141" s="2766"/>
      <c r="K141" s="2766" t="s">
        <v>350</v>
      </c>
      <c r="L141" s="2767"/>
      <c r="M141" s="2767"/>
      <c r="N141" s="2760">
        <f>IFERROR(Dataark_til_bilag2_2020[[#This Row],[Antal dyr]]*Dataark_til_bilag2_2020[[#This Row],[Gødning (g) pr. dyr (ton)]]," ")</f>
        <v>0</v>
      </c>
      <c r="O141" s="2767">
        <v>1.1299999999999999</v>
      </c>
      <c r="P141" s="2759">
        <v>0</v>
      </c>
      <c r="Q141" s="2767">
        <v>0.34599999999999997</v>
      </c>
      <c r="R141" s="2769">
        <v>265</v>
      </c>
      <c r="S141" s="2769">
        <v>265</v>
      </c>
      <c r="T141" s="2769">
        <v>107.06960520547945</v>
      </c>
      <c r="U141" s="2769">
        <v>227.08975342465752</v>
      </c>
      <c r="V141" s="2769">
        <v>17</v>
      </c>
      <c r="W141" s="2769">
        <v>0.18</v>
      </c>
      <c r="X141" s="2769">
        <v>6.8509351706350676</v>
      </c>
      <c r="Y141" s="2762">
        <f t="shared" si="4"/>
        <v>0</v>
      </c>
    </row>
    <row r="142" spans="1:25" x14ac:dyDescent="0.25">
      <c r="A142" s="2770" t="s">
        <v>907</v>
      </c>
      <c r="B142" s="2766">
        <v>1501</v>
      </c>
      <c r="C142" s="2766" t="s">
        <v>2757</v>
      </c>
      <c r="D142" s="2766" t="s">
        <v>342</v>
      </c>
      <c r="E142" s="2766" t="s">
        <v>1969</v>
      </c>
      <c r="F142" s="2766" t="s">
        <v>353</v>
      </c>
      <c r="G142" s="2766">
        <v>150101</v>
      </c>
      <c r="H142" s="2766">
        <f>Dataark_til_bilag2_2020[[#This Row],[Stald_kode]]+Dataark_til_bilag2_2020[[#This Row],[Dyr_Kode]]</f>
        <v>151602</v>
      </c>
      <c r="I142" s="4347">
        <v>0</v>
      </c>
      <c r="J142" s="2766" t="s">
        <v>1941</v>
      </c>
      <c r="K142" s="2766"/>
      <c r="L142" s="2767">
        <v>3.98</v>
      </c>
      <c r="M142" s="2767">
        <v>0.05</v>
      </c>
      <c r="N142" s="2760">
        <f>IFERROR(Dataark_til_bilag2_2020[[#This Row],[Antal dyr]]*Dataark_til_bilag2_2020[[#This Row],[Gødning (g) pr. dyr (ton)]]," ")</f>
        <v>0</v>
      </c>
      <c r="O142" s="2768"/>
      <c r="P142" s="2759">
        <v>0</v>
      </c>
      <c r="Q142" s="2767"/>
      <c r="R142" s="2769">
        <v>0</v>
      </c>
      <c r="S142" s="2769">
        <v>181</v>
      </c>
      <c r="T142" s="2769">
        <v>159.20000000000002</v>
      </c>
      <c r="U142" s="2769">
        <v>0</v>
      </c>
      <c r="V142" s="2769">
        <v>13.4</v>
      </c>
      <c r="W142" s="2769">
        <v>0.45</v>
      </c>
      <c r="X142" s="2769">
        <v>6.4318392000000015</v>
      </c>
      <c r="Y142" s="2762">
        <f t="shared" si="4"/>
        <v>0</v>
      </c>
    </row>
    <row r="143" spans="1:25" x14ac:dyDescent="0.25">
      <c r="A143" s="2770" t="s">
        <v>907</v>
      </c>
      <c r="B143" s="2766">
        <v>1501</v>
      </c>
      <c r="C143" s="2766" t="s">
        <v>2757</v>
      </c>
      <c r="D143" s="2766" t="s">
        <v>342</v>
      </c>
      <c r="E143" s="2766" t="s">
        <v>1968</v>
      </c>
      <c r="F143" s="2766" t="s">
        <v>350</v>
      </c>
      <c r="G143" s="2766">
        <v>150104</v>
      </c>
      <c r="H143" s="2766">
        <f>Dataark_til_bilag2_2020[[#This Row],[Stald_kode]]+Dataark_til_bilag2_2020[[#This Row],[Dyr_Kode]]</f>
        <v>151605</v>
      </c>
      <c r="I143" s="4347">
        <v>0</v>
      </c>
      <c r="J143" s="2766" t="s">
        <v>1941</v>
      </c>
      <c r="K143" s="2766"/>
      <c r="L143" s="2767">
        <v>2.2000000000000002</v>
      </c>
      <c r="M143" s="2767">
        <v>5.5E-2</v>
      </c>
      <c r="N143" s="2760">
        <f>IFERROR(Dataark_til_bilag2_2020[[#This Row],[Antal dyr]]*Dataark_til_bilag2_2020[[#This Row],[Gødning (g) pr. dyr (ton)]]," ")</f>
        <v>0</v>
      </c>
      <c r="O143" s="2768"/>
      <c r="P143" s="2759">
        <v>0</v>
      </c>
      <c r="Q143" s="2767"/>
      <c r="R143" s="2769">
        <v>0</v>
      </c>
      <c r="S143" s="2769">
        <v>181</v>
      </c>
      <c r="T143" s="2769">
        <v>96.800000000000011</v>
      </c>
      <c r="U143" s="2769">
        <v>0</v>
      </c>
      <c r="V143" s="2769">
        <v>13.4</v>
      </c>
      <c r="W143" s="2769">
        <v>0.45</v>
      </c>
      <c r="X143" s="2769">
        <v>3.910816800000001</v>
      </c>
      <c r="Y143" s="2762">
        <f t="shared" si="4"/>
        <v>0</v>
      </c>
    </row>
    <row r="144" spans="1:25" x14ac:dyDescent="0.25">
      <c r="A144" s="2770" t="s">
        <v>907</v>
      </c>
      <c r="B144" s="2766">
        <v>1501</v>
      </c>
      <c r="C144" s="2766" t="s">
        <v>2757</v>
      </c>
      <c r="D144" s="2766" t="s">
        <v>342</v>
      </c>
      <c r="E144" s="2766" t="s">
        <v>1967</v>
      </c>
      <c r="F144" s="2766" t="s">
        <v>350</v>
      </c>
      <c r="G144" s="2766">
        <v>150105</v>
      </c>
      <c r="H144" s="2766">
        <f>Dataark_til_bilag2_2020[[#This Row],[Stald_kode]]+Dataark_til_bilag2_2020[[#This Row],[Dyr_Kode]]</f>
        <v>151606</v>
      </c>
      <c r="I144" s="4347">
        <v>0</v>
      </c>
      <c r="J144" s="2766" t="s">
        <v>1941</v>
      </c>
      <c r="K144" s="2766"/>
      <c r="L144" s="2767">
        <v>2.2000000000000002</v>
      </c>
      <c r="M144" s="2767">
        <v>5.5E-2</v>
      </c>
      <c r="N144" s="2760">
        <f>IFERROR(Dataark_til_bilag2_2020[[#This Row],[Antal dyr]]*Dataark_til_bilag2_2020[[#This Row],[Gødning (g) pr. dyr (ton)]]," ")</f>
        <v>0</v>
      </c>
      <c r="O144" s="2768"/>
      <c r="P144" s="2759">
        <v>0</v>
      </c>
      <c r="Q144" s="2767"/>
      <c r="R144" s="2769">
        <v>0</v>
      </c>
      <c r="S144" s="2769">
        <v>181</v>
      </c>
      <c r="T144" s="2769">
        <v>96.800000000000011</v>
      </c>
      <c r="U144" s="2769">
        <v>0</v>
      </c>
      <c r="V144" s="2769">
        <v>13.4</v>
      </c>
      <c r="W144" s="2769">
        <v>0.45</v>
      </c>
      <c r="X144" s="2769">
        <v>3.910816800000001</v>
      </c>
      <c r="Y144" s="2762">
        <f t="shared" si="4"/>
        <v>0</v>
      </c>
    </row>
    <row r="145" spans="1:25" x14ac:dyDescent="0.25">
      <c r="A145" s="2770" t="s">
        <v>2751</v>
      </c>
      <c r="B145" s="2766">
        <v>1501</v>
      </c>
      <c r="C145" s="2766" t="s">
        <v>1964</v>
      </c>
      <c r="D145" s="2766" t="s">
        <v>342</v>
      </c>
      <c r="E145" s="2766" t="s">
        <v>1966</v>
      </c>
      <c r="F145" s="2776" t="s">
        <v>350</v>
      </c>
      <c r="G145" s="2766">
        <v>150106</v>
      </c>
      <c r="H145" s="2766">
        <f>Dataark_til_bilag2_2020[[#This Row],[Stald_kode]]+Dataark_til_bilag2_2020[[#This Row],[Dyr_Kode]]</f>
        <v>151607</v>
      </c>
      <c r="I145" s="4347">
        <v>0</v>
      </c>
      <c r="J145" s="2766"/>
      <c r="K145" s="2766" t="s">
        <v>2760</v>
      </c>
      <c r="L145" s="2767"/>
      <c r="M145" s="2767"/>
      <c r="N145" s="2760">
        <f>IFERROR(Dataark_til_bilag2_2020[[#This Row],[Antal dyr]]*Dataark_til_bilag2_2020[[#This Row],[Gødning (g) pr. dyr (ton)]]," ")</f>
        <v>0</v>
      </c>
      <c r="O145" s="2767">
        <v>1.78</v>
      </c>
      <c r="P145" s="2759">
        <v>0</v>
      </c>
      <c r="Q145" s="2767">
        <v>0.33</v>
      </c>
      <c r="R145" s="2769">
        <v>0</v>
      </c>
      <c r="S145" s="2769">
        <v>181</v>
      </c>
      <c r="T145" s="2769">
        <v>587.13567</v>
      </c>
      <c r="U145" s="2769">
        <v>0</v>
      </c>
      <c r="V145" s="2769">
        <v>14.7</v>
      </c>
      <c r="W145" s="2769">
        <v>0.45</v>
      </c>
      <c r="X145" s="2769">
        <v>26.022146462235003</v>
      </c>
      <c r="Y145" s="2762">
        <f t="shared" si="4"/>
        <v>0</v>
      </c>
    </row>
    <row r="146" spans="1:25" x14ac:dyDescent="0.25">
      <c r="A146" s="2770" t="s">
        <v>907</v>
      </c>
      <c r="B146" s="2766">
        <v>1501</v>
      </c>
      <c r="C146" s="2766" t="s">
        <v>2757</v>
      </c>
      <c r="D146" s="2766" t="s">
        <v>342</v>
      </c>
      <c r="E146" s="2766" t="s">
        <v>1965</v>
      </c>
      <c r="F146" s="2766" t="s">
        <v>353</v>
      </c>
      <c r="G146" s="2766">
        <v>150107</v>
      </c>
      <c r="H146" s="2766">
        <f>Dataark_til_bilag2_2020[[#This Row],[Stald_kode]]+Dataark_til_bilag2_2020[[#This Row],[Dyr_Kode]]</f>
        <v>151608</v>
      </c>
      <c r="I146" s="4347">
        <v>0</v>
      </c>
      <c r="J146" s="2766" t="s">
        <v>1941</v>
      </c>
      <c r="K146" s="2766"/>
      <c r="L146" s="2767">
        <v>4.7</v>
      </c>
      <c r="M146" s="2767">
        <v>4.4999999999999998E-2</v>
      </c>
      <c r="N146" s="2760">
        <f>IFERROR(Dataark_til_bilag2_2020[[#This Row],[Antal dyr]]*Dataark_til_bilag2_2020[[#This Row],[Gødning (g) pr. dyr (ton)]]," ")</f>
        <v>0</v>
      </c>
      <c r="O146" s="2768"/>
      <c r="P146" s="2759">
        <v>0</v>
      </c>
      <c r="Q146" s="2767"/>
      <c r="R146" s="2769">
        <v>0</v>
      </c>
      <c r="S146" s="2769">
        <v>181</v>
      </c>
      <c r="T146" s="2769">
        <v>169.20000000000002</v>
      </c>
      <c r="U146" s="2769">
        <v>0</v>
      </c>
      <c r="V146" s="2769">
        <v>13.4</v>
      </c>
      <c r="W146" s="2769">
        <v>0.45</v>
      </c>
      <c r="X146" s="2769">
        <v>6.835849200000002</v>
      </c>
      <c r="Y146" s="2762">
        <f t="shared" si="4"/>
        <v>0</v>
      </c>
    </row>
    <row r="147" spans="1:25" x14ac:dyDescent="0.25">
      <c r="A147" s="2770" t="s">
        <v>907</v>
      </c>
      <c r="B147" s="2766">
        <v>1501</v>
      </c>
      <c r="C147" s="2766" t="s">
        <v>2757</v>
      </c>
      <c r="D147" s="2766" t="s">
        <v>342</v>
      </c>
      <c r="E147" s="2766" t="s">
        <v>1963</v>
      </c>
      <c r="F147" s="2766" t="s">
        <v>353</v>
      </c>
      <c r="G147" s="2766">
        <v>150108</v>
      </c>
      <c r="H147" s="2766">
        <f>Dataark_til_bilag2_2020[[#This Row],[Stald_kode]]+Dataark_til_bilag2_2020[[#This Row],[Dyr_Kode]]</f>
        <v>151609</v>
      </c>
      <c r="I147" s="4347">
        <v>0</v>
      </c>
      <c r="J147" s="2766" t="s">
        <v>1903</v>
      </c>
      <c r="K147" s="2766"/>
      <c r="L147" s="2767">
        <v>0.52</v>
      </c>
      <c r="M147" s="2767">
        <v>0.23</v>
      </c>
      <c r="N147" s="2760">
        <f>IFERROR(Dataark_til_bilag2_2020[[#This Row],[Antal dyr]]*Dataark_til_bilag2_2020[[#This Row],[Gødning (g) pr. dyr (ton)]]," ")</f>
        <v>0</v>
      </c>
      <c r="O147" s="2768"/>
      <c r="P147" s="2759">
        <v>0</v>
      </c>
      <c r="Q147" s="2767"/>
      <c r="R147" s="2769">
        <v>0</v>
      </c>
      <c r="S147" s="2769">
        <v>181</v>
      </c>
      <c r="T147" s="2769">
        <v>95.68</v>
      </c>
      <c r="U147" s="2769">
        <v>0</v>
      </c>
      <c r="V147" s="2769">
        <v>2</v>
      </c>
      <c r="W147" s="2769">
        <v>0.45</v>
      </c>
      <c r="X147" s="2769">
        <v>0.57695040000000009</v>
      </c>
      <c r="Y147" s="2762">
        <f t="shared" si="4"/>
        <v>0</v>
      </c>
    </row>
    <row r="148" spans="1:25" x14ac:dyDescent="0.25">
      <c r="A148" s="2770" t="s">
        <v>907</v>
      </c>
      <c r="B148" s="2766">
        <v>1502</v>
      </c>
      <c r="C148" s="2766" t="s">
        <v>2758</v>
      </c>
      <c r="D148" s="2766" t="s">
        <v>342</v>
      </c>
      <c r="E148" s="2766" t="s">
        <v>1962</v>
      </c>
      <c r="F148" s="2766" t="s">
        <v>353</v>
      </c>
      <c r="G148" s="2766">
        <v>150201</v>
      </c>
      <c r="H148" s="2766">
        <f>Dataark_til_bilag2_2020[[#This Row],[Stald_kode]]+Dataark_til_bilag2_2020[[#This Row],[Dyr_Kode]]</f>
        <v>151703</v>
      </c>
      <c r="I148" s="4347">
        <v>0</v>
      </c>
      <c r="J148" s="2766" t="s">
        <v>1941</v>
      </c>
      <c r="K148" s="2766"/>
      <c r="L148" s="2767">
        <v>1.71</v>
      </c>
      <c r="M148" s="2767">
        <v>4.4999999999999998E-2</v>
      </c>
      <c r="N148" s="2760">
        <f>IFERROR(Dataark_til_bilag2_2020[[#This Row],[Antal dyr]]*Dataark_til_bilag2_2020[[#This Row],[Gødning (g) pr. dyr (ton)]]," ")</f>
        <v>0</v>
      </c>
      <c r="O148" s="2768"/>
      <c r="P148" s="2759">
        <v>0</v>
      </c>
      <c r="Q148" s="2767"/>
      <c r="R148" s="2769">
        <v>0</v>
      </c>
      <c r="S148" s="2769">
        <v>181</v>
      </c>
      <c r="T148" s="2769">
        <v>61.56</v>
      </c>
      <c r="U148" s="2769">
        <v>0</v>
      </c>
      <c r="V148" s="2769">
        <v>13.7</v>
      </c>
      <c r="W148" s="2769">
        <v>0.45</v>
      </c>
      <c r="X148" s="2769">
        <v>2.5427665799999999</v>
      </c>
      <c r="Y148" s="2762">
        <f t="shared" si="4"/>
        <v>0</v>
      </c>
    </row>
    <row r="149" spans="1:25" x14ac:dyDescent="0.25">
      <c r="A149" s="2770" t="s">
        <v>907</v>
      </c>
      <c r="B149" s="2766">
        <v>1502</v>
      </c>
      <c r="C149" s="2766" t="s">
        <v>2758</v>
      </c>
      <c r="D149" s="2766" t="s">
        <v>342</v>
      </c>
      <c r="E149" s="2766" t="s">
        <v>1961</v>
      </c>
      <c r="F149" s="2766" t="s">
        <v>353</v>
      </c>
      <c r="G149" s="2766">
        <v>150202</v>
      </c>
      <c r="H149" s="2766">
        <f>Dataark_til_bilag2_2020[[#This Row],[Stald_kode]]+Dataark_til_bilag2_2020[[#This Row],[Dyr_Kode]]</f>
        <v>151704</v>
      </c>
      <c r="I149" s="4347">
        <v>0</v>
      </c>
      <c r="J149" s="2766" t="s">
        <v>1941</v>
      </c>
      <c r="K149" s="2766"/>
      <c r="L149" s="2767">
        <v>1.71</v>
      </c>
      <c r="M149" s="2767">
        <v>4.4999999999999998E-2</v>
      </c>
      <c r="N149" s="2760">
        <f>IFERROR(Dataark_til_bilag2_2020[[#This Row],[Antal dyr]]*Dataark_til_bilag2_2020[[#This Row],[Gødning (g) pr. dyr (ton)]]," ")</f>
        <v>0</v>
      </c>
      <c r="O149" s="2768"/>
      <c r="P149" s="2759">
        <v>0</v>
      </c>
      <c r="Q149" s="2767"/>
      <c r="R149" s="2769">
        <v>0</v>
      </c>
      <c r="S149" s="2769">
        <v>181</v>
      </c>
      <c r="T149" s="2769">
        <v>61.56</v>
      </c>
      <c r="U149" s="2769">
        <v>0</v>
      </c>
      <c r="V149" s="2769">
        <v>13.7</v>
      </c>
      <c r="W149" s="2769">
        <v>0.45</v>
      </c>
      <c r="X149" s="2769">
        <v>2.5427665799999999</v>
      </c>
      <c r="Y149" s="2762">
        <f t="shared" si="4"/>
        <v>0</v>
      </c>
    </row>
    <row r="150" spans="1:25" x14ac:dyDescent="0.25">
      <c r="A150" s="2770" t="s">
        <v>907</v>
      </c>
      <c r="B150" s="2766">
        <v>1502</v>
      </c>
      <c r="C150" s="2766" t="s">
        <v>2758</v>
      </c>
      <c r="D150" s="2766" t="s">
        <v>342</v>
      </c>
      <c r="E150" s="2766" t="s">
        <v>2759</v>
      </c>
      <c r="F150" s="2776" t="s">
        <v>351</v>
      </c>
      <c r="G150" s="2766">
        <v>150205</v>
      </c>
      <c r="H150" s="2766">
        <f>Dataark_til_bilag2_2020[[#This Row],[Stald_kode]]+Dataark_til_bilag2_2020[[#This Row],[Dyr_Kode]]</f>
        <v>151707</v>
      </c>
      <c r="I150" s="4347">
        <v>0</v>
      </c>
      <c r="J150" s="2766" t="s">
        <v>1924</v>
      </c>
      <c r="K150" s="2766"/>
      <c r="L150" s="2767">
        <v>1.3</v>
      </c>
      <c r="M150" s="2767">
        <v>7.6999999999999999E-2</v>
      </c>
      <c r="N150" s="2760">
        <f>IFERROR(Dataark_til_bilag2_2020[[#This Row],[Antal dyr]]*Dataark_til_bilag2_2020[[#This Row],[Gødning (g) pr. dyr (ton)]]," ")</f>
        <v>0</v>
      </c>
      <c r="O150" s="2768"/>
      <c r="P150" s="2759">
        <v>0</v>
      </c>
      <c r="Q150" s="2767"/>
      <c r="R150" s="2769">
        <v>0</v>
      </c>
      <c r="S150" s="2769">
        <v>181</v>
      </c>
      <c r="T150" s="2769">
        <v>80.080000000000013</v>
      </c>
      <c r="U150" s="2769">
        <v>0</v>
      </c>
      <c r="V150" s="2769">
        <v>1</v>
      </c>
      <c r="W150" s="2769">
        <v>0.45</v>
      </c>
      <c r="X150" s="2769">
        <v>0.24144120000000005</v>
      </c>
      <c r="Y150" s="2762">
        <f t="shared" si="4"/>
        <v>0</v>
      </c>
    </row>
    <row r="151" spans="1:25" x14ac:dyDescent="0.25">
      <c r="A151" s="2770" t="s">
        <v>907</v>
      </c>
      <c r="B151" s="2766">
        <v>1511</v>
      </c>
      <c r="C151" s="2766" t="s">
        <v>2752</v>
      </c>
      <c r="D151" s="2766" t="s">
        <v>339</v>
      </c>
      <c r="E151" s="2766" t="s">
        <v>1960</v>
      </c>
      <c r="F151" s="2766" t="s">
        <v>353</v>
      </c>
      <c r="G151" s="2766">
        <v>151101</v>
      </c>
      <c r="H151" s="2766">
        <f>Dataark_til_bilag2_2020[[#This Row],[Stald_kode]]+Dataark_til_bilag2_2020[[#This Row],[Dyr_Kode]]</f>
        <v>152612</v>
      </c>
      <c r="I151" s="4347">
        <v>0</v>
      </c>
      <c r="J151" s="2766" t="s">
        <v>1941</v>
      </c>
      <c r="K151" s="2766"/>
      <c r="L151" s="2767">
        <v>0.13400000000000001</v>
      </c>
      <c r="M151" s="2767">
        <v>0.05</v>
      </c>
      <c r="N151" s="2760">
        <f>IFERROR(Dataark_til_bilag2_2020[[#This Row],[Antal dyr]]*Dataark_til_bilag2_2020[[#This Row],[Gødning (g) pr. dyr (ton)]]," ")</f>
        <v>0</v>
      </c>
      <c r="O151" s="2768"/>
      <c r="P151" s="2759">
        <v>0</v>
      </c>
      <c r="Q151" s="2767"/>
      <c r="R151" s="2769">
        <v>0</v>
      </c>
      <c r="S151" s="2769">
        <v>181</v>
      </c>
      <c r="T151" s="2769">
        <v>5.36</v>
      </c>
      <c r="U151" s="2769">
        <v>0</v>
      </c>
      <c r="V151" s="2769">
        <v>13.7</v>
      </c>
      <c r="W151" s="2769">
        <v>0.45</v>
      </c>
      <c r="X151" s="2769">
        <v>0.22139748000000001</v>
      </c>
      <c r="Y151" s="2762">
        <f t="shared" si="4"/>
        <v>0</v>
      </c>
    </row>
    <row r="152" spans="1:25" x14ac:dyDescent="0.25">
      <c r="A152" s="2770" t="s">
        <v>907</v>
      </c>
      <c r="B152" s="2766">
        <v>1511</v>
      </c>
      <c r="C152" s="2766" t="s">
        <v>2752</v>
      </c>
      <c r="D152" s="2766" t="s">
        <v>339</v>
      </c>
      <c r="E152" s="2766" t="s">
        <v>1959</v>
      </c>
      <c r="F152" s="2766" t="s">
        <v>353</v>
      </c>
      <c r="G152" s="2766">
        <v>151103</v>
      </c>
      <c r="H152" s="2766">
        <f>Dataark_til_bilag2_2020[[#This Row],[Stald_kode]]+Dataark_til_bilag2_2020[[#This Row],[Dyr_Kode]]</f>
        <v>152614</v>
      </c>
      <c r="I152" s="4347">
        <v>0</v>
      </c>
      <c r="J152" s="2766" t="s">
        <v>1941</v>
      </c>
      <c r="K152" s="2766"/>
      <c r="L152" s="2767">
        <v>0.13400000000000001</v>
      </c>
      <c r="M152" s="2767">
        <v>4.3999999999999997E-2</v>
      </c>
      <c r="N152" s="2760">
        <f>IFERROR(Dataark_til_bilag2_2020[[#This Row],[Antal dyr]]*Dataark_til_bilag2_2020[[#This Row],[Gødning (g) pr. dyr (ton)]]," ")</f>
        <v>0</v>
      </c>
      <c r="O152" s="2768"/>
      <c r="P152" s="2759">
        <v>0</v>
      </c>
      <c r="Q152" s="2767"/>
      <c r="R152" s="2769">
        <v>0</v>
      </c>
      <c r="S152" s="2769">
        <v>181</v>
      </c>
      <c r="T152" s="2769">
        <v>4.7168000000000001</v>
      </c>
      <c r="U152" s="2769">
        <v>0</v>
      </c>
      <c r="V152" s="2769">
        <v>13.7</v>
      </c>
      <c r="W152" s="2769">
        <v>0.45</v>
      </c>
      <c r="X152" s="2769">
        <v>0.19482978240000001</v>
      </c>
      <c r="Y152" s="2762">
        <f t="shared" si="4"/>
        <v>0</v>
      </c>
    </row>
    <row r="153" spans="1:25" x14ac:dyDescent="0.25">
      <c r="A153" s="2770" t="s">
        <v>907</v>
      </c>
      <c r="B153" s="2766">
        <v>1511</v>
      </c>
      <c r="C153" s="2766" t="s">
        <v>2752</v>
      </c>
      <c r="D153" s="2766" t="s">
        <v>339</v>
      </c>
      <c r="E153" s="2766" t="s">
        <v>1944</v>
      </c>
      <c r="F153" s="2766" t="s">
        <v>352</v>
      </c>
      <c r="G153" s="2766">
        <v>151104</v>
      </c>
      <c r="H153" s="2766">
        <f>Dataark_til_bilag2_2020[[#This Row],[Stald_kode]]+Dataark_til_bilag2_2020[[#This Row],[Dyr_Kode]]</f>
        <v>152615</v>
      </c>
      <c r="I153" s="4347">
        <v>0</v>
      </c>
      <c r="J153" s="2766" t="s">
        <v>1903</v>
      </c>
      <c r="K153" s="2766"/>
      <c r="L153" s="2767">
        <v>1.7999999999999999E-2</v>
      </c>
      <c r="M153" s="2767">
        <v>0.23</v>
      </c>
      <c r="N153" s="2760">
        <f>IFERROR(Dataark_til_bilag2_2020[[#This Row],[Antal dyr]]*Dataark_til_bilag2_2020[[#This Row],[Gødning (g) pr. dyr (ton)]]," ")</f>
        <v>0</v>
      </c>
      <c r="O153" s="2768"/>
      <c r="P153" s="2759">
        <v>0</v>
      </c>
      <c r="Q153" s="2767"/>
      <c r="R153" s="2769">
        <v>0</v>
      </c>
      <c r="S153" s="2769">
        <v>181</v>
      </c>
      <c r="T153" s="2769">
        <v>3.3119999999999998</v>
      </c>
      <c r="U153" s="2769">
        <v>0</v>
      </c>
      <c r="V153" s="2769">
        <v>2</v>
      </c>
      <c r="W153" s="2769">
        <v>0.45</v>
      </c>
      <c r="X153" s="2769">
        <v>1.9971360000000001E-2</v>
      </c>
      <c r="Y153" s="2762">
        <f t="shared" si="4"/>
        <v>0</v>
      </c>
    </row>
    <row r="154" spans="1:25" x14ac:dyDescent="0.25">
      <c r="A154" s="2770" t="s">
        <v>907</v>
      </c>
      <c r="B154" s="2766">
        <v>1511</v>
      </c>
      <c r="C154" s="2766" t="s">
        <v>2752</v>
      </c>
      <c r="D154" s="2766" t="s">
        <v>339</v>
      </c>
      <c r="E154" s="2766" t="s">
        <v>350</v>
      </c>
      <c r="F154" s="2766" t="s">
        <v>350</v>
      </c>
      <c r="G154" s="2766">
        <v>151105</v>
      </c>
      <c r="H154" s="2766">
        <f>Dataark_til_bilag2_2020[[#This Row],[Stald_kode]]+Dataark_til_bilag2_2020[[#This Row],[Dyr_Kode]]</f>
        <v>152616</v>
      </c>
      <c r="I154" s="4347">
        <v>27.54</v>
      </c>
      <c r="J154" s="2766"/>
      <c r="K154" s="2766" t="s">
        <v>350</v>
      </c>
      <c r="L154" s="2767"/>
      <c r="M154" s="2767"/>
      <c r="N154" s="2760">
        <f>IFERROR(Dataark_til_bilag2_2020[[#This Row],[Antal dyr]]*Dataark_til_bilag2_2020[[#This Row],[Gødning (g) pr. dyr (ton)]]," ")</f>
        <v>0</v>
      </c>
      <c r="O154" s="2767">
        <v>2.5999999999999999E-2</v>
      </c>
      <c r="P154" s="2759">
        <v>0.7160399999999999</v>
      </c>
      <c r="Q154" s="2767">
        <v>0.33</v>
      </c>
      <c r="R154" s="2769">
        <v>0</v>
      </c>
      <c r="S154" s="2769">
        <v>181</v>
      </c>
      <c r="T154" s="2769">
        <v>8.5761390000000013</v>
      </c>
      <c r="U154" s="2769">
        <v>0</v>
      </c>
      <c r="V154" s="2769">
        <v>7.2</v>
      </c>
      <c r="W154" s="2769">
        <v>0.45</v>
      </c>
      <c r="X154" s="2769">
        <v>0.18617082541200003</v>
      </c>
      <c r="Y154" s="2762">
        <f t="shared" si="4"/>
        <v>5.1271445318464811E-3</v>
      </c>
    </row>
    <row r="155" spans="1:25" x14ac:dyDescent="0.25">
      <c r="A155" s="2770" t="s">
        <v>907</v>
      </c>
      <c r="B155" s="2766">
        <v>1512</v>
      </c>
      <c r="C155" s="2766" t="s">
        <v>2753</v>
      </c>
      <c r="D155" s="2766" t="s">
        <v>2747</v>
      </c>
      <c r="E155" s="2768" t="s">
        <v>1945</v>
      </c>
      <c r="F155" s="2766" t="s">
        <v>353</v>
      </c>
      <c r="G155" s="2766">
        <v>151203</v>
      </c>
      <c r="H155" s="2766">
        <f>Dataark_til_bilag2_2020[[#This Row],[Stald_kode]]+Dataark_til_bilag2_2020[[#This Row],[Dyr_Kode]]</f>
        <v>152715</v>
      </c>
      <c r="I155" s="4347">
        <v>0</v>
      </c>
      <c r="J155" s="2766" t="s">
        <v>1941</v>
      </c>
      <c r="K155" s="2766"/>
      <c r="L155" s="2767">
        <v>0.56000000000000005</v>
      </c>
      <c r="M155" s="2767">
        <v>6.0999999999999999E-2</v>
      </c>
      <c r="N155" s="2760">
        <f>IFERROR(Dataark_til_bilag2_2020[[#This Row],[Antal dyr]]*Dataark_til_bilag2_2020[[#This Row],[Gødning (g) pr. dyr (ton)]]," ")</f>
        <v>0</v>
      </c>
      <c r="O155" s="2768"/>
      <c r="P155" s="2759">
        <v>0</v>
      </c>
      <c r="Q155" s="2767"/>
      <c r="R155" s="2769">
        <v>0</v>
      </c>
      <c r="S155" s="2769">
        <v>181</v>
      </c>
      <c r="T155" s="2769">
        <v>27.327999999999999</v>
      </c>
      <c r="U155" s="2769">
        <v>0</v>
      </c>
      <c r="V155" s="2769">
        <v>13.7</v>
      </c>
      <c r="W155" s="2769">
        <v>0.45</v>
      </c>
      <c r="X155" s="2769">
        <v>1.128796704</v>
      </c>
      <c r="Y155" s="2762">
        <f t="shared" si="4"/>
        <v>0</v>
      </c>
    </row>
    <row r="156" spans="1:25" x14ac:dyDescent="0.25">
      <c r="A156" s="2770" t="s">
        <v>907</v>
      </c>
      <c r="B156" s="2766">
        <v>1512</v>
      </c>
      <c r="C156" s="2766" t="s">
        <v>2753</v>
      </c>
      <c r="D156" s="2766" t="s">
        <v>2747</v>
      </c>
      <c r="E156" s="2768" t="s">
        <v>1944</v>
      </c>
      <c r="F156" s="2766" t="s">
        <v>352</v>
      </c>
      <c r="G156" s="2766">
        <v>151204</v>
      </c>
      <c r="H156" s="2766">
        <f>Dataark_til_bilag2_2020[[#This Row],[Stald_kode]]+Dataark_til_bilag2_2020[[#This Row],[Dyr_Kode]]</f>
        <v>152716</v>
      </c>
      <c r="I156" s="4347">
        <v>0</v>
      </c>
      <c r="J156" s="2766" t="s">
        <v>1903</v>
      </c>
      <c r="K156" s="2766"/>
      <c r="L156" s="2767">
        <v>0.1</v>
      </c>
      <c r="M156" s="2767">
        <v>0.23</v>
      </c>
      <c r="N156" s="2760">
        <f>IFERROR(Dataark_til_bilag2_2020[[#This Row],[Antal dyr]]*Dataark_til_bilag2_2020[[#This Row],[Gødning (g) pr. dyr (ton)]]," ")</f>
        <v>0</v>
      </c>
      <c r="O156" s="2768"/>
      <c r="P156" s="2759">
        <v>0</v>
      </c>
      <c r="Q156" s="2767"/>
      <c r="R156" s="2769">
        <v>0</v>
      </c>
      <c r="S156" s="2769">
        <v>181</v>
      </c>
      <c r="T156" s="2769">
        <v>18.400000000000002</v>
      </c>
      <c r="U156" s="2769">
        <v>0</v>
      </c>
      <c r="V156" s="2769">
        <v>2</v>
      </c>
      <c r="W156" s="2769">
        <v>0.45</v>
      </c>
      <c r="X156" s="2769">
        <v>0.11095200000000002</v>
      </c>
      <c r="Y156" s="2762">
        <f t="shared" si="4"/>
        <v>0</v>
      </c>
    </row>
    <row r="157" spans="1:25" x14ac:dyDescent="0.25">
      <c r="A157" s="2770" t="s">
        <v>907</v>
      </c>
      <c r="B157" s="2766">
        <v>1512</v>
      </c>
      <c r="C157" s="2766" t="s">
        <v>2753</v>
      </c>
      <c r="D157" s="2766" t="s">
        <v>2747</v>
      </c>
      <c r="E157" s="2768" t="s">
        <v>1942</v>
      </c>
      <c r="F157" s="2766" t="s">
        <v>350</v>
      </c>
      <c r="G157" s="2766">
        <v>151205</v>
      </c>
      <c r="H157" s="2766">
        <f>Dataark_til_bilag2_2020[[#This Row],[Stald_kode]]+Dataark_til_bilag2_2020[[#This Row],[Dyr_Kode]]</f>
        <v>152717</v>
      </c>
      <c r="I157" s="4347">
        <v>0</v>
      </c>
      <c r="J157" s="2766" t="s">
        <v>1941</v>
      </c>
      <c r="K157" s="2766"/>
      <c r="L157" s="2767">
        <v>0.35</v>
      </c>
      <c r="M157" s="2767">
        <v>4.9000000000000002E-2</v>
      </c>
      <c r="N157" s="2760">
        <f>IFERROR(Dataark_til_bilag2_2020[[#This Row],[Antal dyr]]*Dataark_til_bilag2_2020[[#This Row],[Gødning (g) pr. dyr (ton)]]," ")</f>
        <v>0</v>
      </c>
      <c r="O157" s="2768"/>
      <c r="P157" s="2759">
        <v>0</v>
      </c>
      <c r="Q157" s="2767"/>
      <c r="R157" s="2769">
        <v>0</v>
      </c>
      <c r="S157" s="2769">
        <v>181</v>
      </c>
      <c r="T157" s="2769">
        <v>13.720000000000002</v>
      </c>
      <c r="U157" s="2769">
        <v>0</v>
      </c>
      <c r="V157" s="2769">
        <v>13.4</v>
      </c>
      <c r="W157" s="2769">
        <v>0.45</v>
      </c>
      <c r="X157" s="2769">
        <v>0.55430172000000022</v>
      </c>
      <c r="Y157" s="2762">
        <f t="shared" si="4"/>
        <v>0</v>
      </c>
    </row>
    <row r="158" spans="1:25" x14ac:dyDescent="0.25">
      <c r="A158" s="2770" t="s">
        <v>907</v>
      </c>
      <c r="B158" s="2766">
        <v>1512</v>
      </c>
      <c r="C158" s="2766" t="s">
        <v>2753</v>
      </c>
      <c r="D158" s="2766" t="s">
        <v>2747</v>
      </c>
      <c r="E158" s="2768" t="s">
        <v>350</v>
      </c>
      <c r="F158" s="2766" t="s">
        <v>350</v>
      </c>
      <c r="G158" s="2766">
        <v>151206</v>
      </c>
      <c r="H158" s="2766">
        <f>Dataark_til_bilag2_2020[[#This Row],[Stald_kode]]+Dataark_til_bilag2_2020[[#This Row],[Dyr_Kode]]</f>
        <v>152718</v>
      </c>
      <c r="I158" s="4347">
        <v>27.54</v>
      </c>
      <c r="J158" s="2766"/>
      <c r="K158" s="2766" t="s">
        <v>350</v>
      </c>
      <c r="L158" s="2767"/>
      <c r="M158" s="2767"/>
      <c r="N158" s="2760">
        <f>IFERROR(Dataark_til_bilag2_2020[[#This Row],[Antal dyr]]*Dataark_til_bilag2_2020[[#This Row],[Gødning (g) pr. dyr (ton)]]," ")</f>
        <v>0</v>
      </c>
      <c r="O158" s="2767">
        <v>0.18</v>
      </c>
      <c r="P158" s="2759">
        <v>4.9571999999999994</v>
      </c>
      <c r="Q158" s="2767">
        <v>0.33</v>
      </c>
      <c r="R158" s="2769">
        <v>0</v>
      </c>
      <c r="S158" s="2769">
        <v>181</v>
      </c>
      <c r="T158" s="2769">
        <v>59.373269999999998</v>
      </c>
      <c r="U158" s="2769">
        <v>0</v>
      </c>
      <c r="V158" s="2769">
        <v>11.4</v>
      </c>
      <c r="W158" s="2769">
        <v>0.45</v>
      </c>
      <c r="X158" s="2769">
        <v>2.0407186631700003</v>
      </c>
      <c r="Y158" s="2762">
        <f t="shared" si="4"/>
        <v>5.6201391983701804E-2</v>
      </c>
    </row>
    <row r="159" spans="1:25" x14ac:dyDescent="0.25">
      <c r="A159" s="2770" t="s">
        <v>907</v>
      </c>
      <c r="B159" s="2766">
        <v>1512</v>
      </c>
      <c r="C159" s="2766" t="s">
        <v>2753</v>
      </c>
      <c r="D159" s="2766" t="s">
        <v>2747</v>
      </c>
      <c r="E159" s="2768" t="s">
        <v>1958</v>
      </c>
      <c r="F159" s="2766" t="s">
        <v>353</v>
      </c>
      <c r="G159" s="2766">
        <v>151207</v>
      </c>
      <c r="H159" s="2766">
        <f>Dataark_til_bilag2_2020[[#This Row],[Stald_kode]]+Dataark_til_bilag2_2020[[#This Row],[Dyr_Kode]]</f>
        <v>152719</v>
      </c>
      <c r="I159" s="4347">
        <v>0</v>
      </c>
      <c r="J159" s="2766" t="s">
        <v>1941</v>
      </c>
      <c r="K159" s="2766"/>
      <c r="L159" s="2767">
        <v>0.55000000000000004</v>
      </c>
      <c r="M159" s="2767">
        <v>6.6000000000000003E-2</v>
      </c>
      <c r="N159" s="2760">
        <f>IFERROR(Dataark_til_bilag2_2020[[#This Row],[Antal dyr]]*Dataark_til_bilag2_2020[[#This Row],[Gødning (g) pr. dyr (ton)]]," ")</f>
        <v>0</v>
      </c>
      <c r="O159" s="2768"/>
      <c r="P159" s="2759">
        <v>0</v>
      </c>
      <c r="Q159" s="2767"/>
      <c r="R159" s="2769">
        <v>0</v>
      </c>
      <c r="S159" s="2769">
        <v>181</v>
      </c>
      <c r="T159" s="2769">
        <v>29.040000000000006</v>
      </c>
      <c r="U159" s="2769">
        <v>0</v>
      </c>
      <c r="V159" s="2769">
        <v>13.4</v>
      </c>
      <c r="W159" s="2769">
        <v>0.45</v>
      </c>
      <c r="X159" s="2769">
        <v>1.1732450400000003</v>
      </c>
      <c r="Y159" s="2762">
        <f t="shared" si="4"/>
        <v>0</v>
      </c>
    </row>
    <row r="160" spans="1:25" x14ac:dyDescent="0.25">
      <c r="A160" s="2770" t="s">
        <v>907</v>
      </c>
      <c r="B160" s="2766">
        <v>1512</v>
      </c>
      <c r="C160" s="2766" t="s">
        <v>2753</v>
      </c>
      <c r="D160" s="2766" t="s">
        <v>2747</v>
      </c>
      <c r="E160" s="2768" t="s">
        <v>1957</v>
      </c>
      <c r="F160" s="2766" t="s">
        <v>353</v>
      </c>
      <c r="G160" s="2766">
        <v>151208</v>
      </c>
      <c r="H160" s="2766">
        <f>Dataark_til_bilag2_2020[[#This Row],[Stald_kode]]+Dataark_til_bilag2_2020[[#This Row],[Dyr_Kode]]</f>
        <v>152720</v>
      </c>
      <c r="I160" s="4347">
        <v>0</v>
      </c>
      <c r="J160" s="2766" t="s">
        <v>1941</v>
      </c>
      <c r="K160" s="2766"/>
      <c r="L160" s="2767">
        <v>0.55000000000000004</v>
      </c>
      <c r="M160" s="2767">
        <v>6.6000000000000003E-2</v>
      </c>
      <c r="N160" s="2760">
        <f>IFERROR(Dataark_til_bilag2_2020[[#This Row],[Antal dyr]]*Dataark_til_bilag2_2020[[#This Row],[Gødning (g) pr. dyr (ton)]]," ")</f>
        <v>0</v>
      </c>
      <c r="O160" s="2768"/>
      <c r="P160" s="2759">
        <v>0</v>
      </c>
      <c r="Q160" s="2767"/>
      <c r="R160" s="2769">
        <v>0</v>
      </c>
      <c r="S160" s="2769">
        <v>181</v>
      </c>
      <c r="T160" s="2769">
        <v>29.040000000000006</v>
      </c>
      <c r="U160" s="2769">
        <v>0</v>
      </c>
      <c r="V160" s="2769">
        <v>13.4</v>
      </c>
      <c r="W160" s="2769">
        <v>0.45</v>
      </c>
      <c r="X160" s="2769">
        <v>1.1732450400000003</v>
      </c>
      <c r="Y160" s="2762">
        <f t="shared" si="4"/>
        <v>0</v>
      </c>
    </row>
    <row r="161" spans="1:25" x14ac:dyDescent="0.25">
      <c r="A161" s="2770" t="s">
        <v>907</v>
      </c>
      <c r="B161" s="2766">
        <v>1513</v>
      </c>
      <c r="C161" s="2766" t="s">
        <v>1954</v>
      </c>
      <c r="D161" s="2766" t="s">
        <v>342</v>
      </c>
      <c r="E161" s="2768" t="s">
        <v>1956</v>
      </c>
      <c r="F161" s="2766" t="s">
        <v>353</v>
      </c>
      <c r="G161" s="2766">
        <v>151301</v>
      </c>
      <c r="H161" s="2766">
        <f>Dataark_til_bilag2_2020[[#This Row],[Stald_kode]]+Dataark_til_bilag2_2020[[#This Row],[Dyr_Kode]]</f>
        <v>152814</v>
      </c>
      <c r="I161" s="4347" t="s">
        <v>270</v>
      </c>
      <c r="J161" s="2766" t="s">
        <v>1941</v>
      </c>
      <c r="K161" s="2766"/>
      <c r="L161" s="2767">
        <v>2.14</v>
      </c>
      <c r="M161" s="2767">
        <v>0.05</v>
      </c>
      <c r="N161" s="2760" t="str">
        <f>IFERROR(Dataark_til_bilag2_2020[[#This Row],[Antal dyr]]*Dataark_til_bilag2_2020[[#This Row],[Gødning (g) pr. dyr (ton)]]," ")</f>
        <v xml:space="preserve"> </v>
      </c>
      <c r="O161" s="2768"/>
      <c r="P161" s="2759" t="s">
        <v>270</v>
      </c>
      <c r="Q161" s="2767"/>
      <c r="R161" s="2769">
        <v>181</v>
      </c>
      <c r="S161" s="2769">
        <v>181</v>
      </c>
      <c r="T161" s="2769">
        <v>43.151780821917811</v>
      </c>
      <c r="U161" s="2769">
        <v>42.448219178082198</v>
      </c>
      <c r="V161" s="2769">
        <v>13.7</v>
      </c>
      <c r="W161" s="2769">
        <v>0.45</v>
      </c>
      <c r="X161" s="2769">
        <v>3.5357508000000006</v>
      </c>
      <c r="Y161" s="2762" t="str">
        <f>IFERROR(IFERROR((X161*I161)/1000,(X161*#REF!)/1000),"-")</f>
        <v>-</v>
      </c>
    </row>
    <row r="162" spans="1:25" x14ac:dyDescent="0.25">
      <c r="A162" s="2770" t="s">
        <v>907</v>
      </c>
      <c r="B162" s="2766">
        <v>1513</v>
      </c>
      <c r="C162" s="2766" t="s">
        <v>1954</v>
      </c>
      <c r="D162" s="2766" t="s">
        <v>342</v>
      </c>
      <c r="E162" s="2768" t="s">
        <v>1955</v>
      </c>
      <c r="F162" s="2766" t="s">
        <v>350</v>
      </c>
      <c r="G162" s="2766">
        <v>151302</v>
      </c>
      <c r="H162" s="2766">
        <f>Dataark_til_bilag2_2020[[#This Row],[Stald_kode]]+Dataark_til_bilag2_2020[[#This Row],[Dyr_Kode]]</f>
        <v>152815</v>
      </c>
      <c r="I162" s="4347" t="s">
        <v>270</v>
      </c>
      <c r="J162" s="2766"/>
      <c r="K162" s="2766" t="s">
        <v>350</v>
      </c>
      <c r="L162" s="2767"/>
      <c r="M162" s="2767"/>
      <c r="N162" s="2760" t="str">
        <f>IFERROR(Dataark_til_bilag2_2020[[#This Row],[Antal dyr]]*Dataark_til_bilag2_2020[[#This Row],[Gødning (g) pr. dyr (ton)]]," ")</f>
        <v xml:space="preserve"> </v>
      </c>
      <c r="O162" s="2768">
        <v>0</v>
      </c>
      <c r="P162" s="2759" t="s">
        <v>270</v>
      </c>
      <c r="Q162" s="2767">
        <v>0</v>
      </c>
      <c r="R162" s="2769">
        <v>365</v>
      </c>
      <c r="S162" s="2769">
        <v>365</v>
      </c>
      <c r="T162" s="2769">
        <v>0</v>
      </c>
      <c r="U162" s="2769">
        <v>0</v>
      </c>
      <c r="V162" s="2769">
        <v>1</v>
      </c>
      <c r="W162" s="2769">
        <v>0.45</v>
      </c>
      <c r="X162" s="2769">
        <v>0</v>
      </c>
      <c r="Y162" s="2762" t="str">
        <f t="shared" ref="Y162:Y168" si="5">IFERROR(IFERROR((X162*I162)/1000,(X162*I161)/1000),"-")</f>
        <v>-</v>
      </c>
    </row>
    <row r="163" spans="1:25" x14ac:dyDescent="0.25">
      <c r="A163" s="2770" t="s">
        <v>2751</v>
      </c>
      <c r="B163" s="2766">
        <v>1513</v>
      </c>
      <c r="C163" s="2766" t="s">
        <v>1954</v>
      </c>
      <c r="D163" s="2766" t="s">
        <v>342</v>
      </c>
      <c r="E163" s="2768" t="s">
        <v>2748</v>
      </c>
      <c r="F163" s="2766" t="s">
        <v>353</v>
      </c>
      <c r="G163" s="2766">
        <v>151303</v>
      </c>
      <c r="H163" s="2766">
        <f>Dataark_til_bilag2_2020[[#This Row],[Stald_kode]]+Dataark_til_bilag2_2020[[#This Row],[Dyr_Kode]]</f>
        <v>152816</v>
      </c>
      <c r="I163" s="4347" t="s">
        <v>270</v>
      </c>
      <c r="J163" s="2766" t="s">
        <v>1941</v>
      </c>
      <c r="K163" s="2766"/>
      <c r="L163" s="2767">
        <v>0.12</v>
      </c>
      <c r="M163" s="2767">
        <v>0.05</v>
      </c>
      <c r="N163" s="2760" t="str">
        <f>IFERROR(Dataark_til_bilag2_2020[[#This Row],[Antal dyr]]*Dataark_til_bilag2_2020[[#This Row],[Gødning (g) pr. dyr (ton)]]," ")</f>
        <v xml:space="preserve"> </v>
      </c>
      <c r="O163" s="2768"/>
      <c r="P163" s="2759" t="s">
        <v>270</v>
      </c>
      <c r="Q163" s="2767"/>
      <c r="R163" s="2769">
        <v>0</v>
      </c>
      <c r="S163" s="2769">
        <v>0</v>
      </c>
      <c r="T163" s="2769">
        <v>4.8</v>
      </c>
      <c r="U163" s="2769">
        <v>0</v>
      </c>
      <c r="V163" s="2769">
        <v>7.2</v>
      </c>
      <c r="W163" s="2769">
        <v>0.45</v>
      </c>
      <c r="X163" s="2769">
        <v>0.10419840000000002</v>
      </c>
      <c r="Y163" s="2762" t="str">
        <f t="shared" si="5"/>
        <v>-</v>
      </c>
    </row>
    <row r="164" spans="1:25" x14ac:dyDescent="0.25">
      <c r="A164" s="2770" t="s">
        <v>907</v>
      </c>
      <c r="B164" s="2766">
        <v>1514</v>
      </c>
      <c r="C164" s="2766" t="s">
        <v>1953</v>
      </c>
      <c r="D164" s="2766" t="s">
        <v>342</v>
      </c>
      <c r="E164" s="2766" t="s">
        <v>1952</v>
      </c>
      <c r="F164" s="2766" t="s">
        <v>350</v>
      </c>
      <c r="G164" s="2766">
        <v>151401</v>
      </c>
      <c r="H164" s="2766">
        <f>Dataark_til_bilag2_2020[[#This Row],[Stald_kode]]+Dataark_til_bilag2_2020[[#This Row],[Dyr_Kode]]</f>
        <v>152915</v>
      </c>
      <c r="I164" s="4347" t="s">
        <v>270</v>
      </c>
      <c r="J164" s="2766"/>
      <c r="K164" s="2766" t="s">
        <v>350</v>
      </c>
      <c r="L164" s="2767"/>
      <c r="M164" s="2767"/>
      <c r="N164" s="2760" t="str">
        <f>IFERROR(Dataark_til_bilag2_2020[[#This Row],[Antal dyr]]*Dataark_til_bilag2_2020[[#This Row],[Gødning (g) pr. dyr (ton)]]," ")</f>
        <v xml:space="preserve"> </v>
      </c>
      <c r="O164" s="2767"/>
      <c r="P164" s="2759" t="s">
        <v>270</v>
      </c>
      <c r="Q164" s="2767"/>
      <c r="R164" s="2769">
        <v>365</v>
      </c>
      <c r="S164" s="2769">
        <v>365</v>
      </c>
      <c r="T164" s="2769">
        <v>0</v>
      </c>
      <c r="U164" s="2769">
        <v>0</v>
      </c>
      <c r="V164" s="2769">
        <v>7.2</v>
      </c>
      <c r="W164" s="2769">
        <v>0.45</v>
      </c>
      <c r="X164" s="2769">
        <v>0</v>
      </c>
      <c r="Y164" s="2762" t="str">
        <f t="shared" si="5"/>
        <v>-</v>
      </c>
    </row>
    <row r="165" spans="1:25" x14ac:dyDescent="0.25">
      <c r="A165" s="2770" t="s">
        <v>907</v>
      </c>
      <c r="B165" s="2766">
        <v>1515</v>
      </c>
      <c r="C165" s="2766" t="s">
        <v>1951</v>
      </c>
      <c r="D165" s="2766" t="s">
        <v>339</v>
      </c>
      <c r="E165" s="2766" t="s">
        <v>1950</v>
      </c>
      <c r="F165" s="2766" t="s">
        <v>350</v>
      </c>
      <c r="G165" s="2766">
        <v>151501</v>
      </c>
      <c r="H165" s="2766">
        <f>Dataark_til_bilag2_2020[[#This Row],[Stald_kode]]+Dataark_til_bilag2_2020[[#This Row],[Dyr_Kode]]</f>
        <v>153016</v>
      </c>
      <c r="I165" s="4347" t="s">
        <v>270</v>
      </c>
      <c r="J165" s="2766"/>
      <c r="K165" s="2766" t="s">
        <v>350</v>
      </c>
      <c r="L165" s="2767"/>
      <c r="M165" s="2767"/>
      <c r="N165" s="2760" t="str">
        <f>IFERROR(Dataark_til_bilag2_2020[[#This Row],[Antal dyr]]*Dataark_til_bilag2_2020[[#This Row],[Gødning (g) pr. dyr (ton)]]," ")</f>
        <v xml:space="preserve"> </v>
      </c>
      <c r="O165" s="2767">
        <v>0</v>
      </c>
      <c r="P165" s="2759" t="s">
        <v>270</v>
      </c>
      <c r="Q165" s="2767">
        <v>0</v>
      </c>
      <c r="R165" s="2769">
        <v>365</v>
      </c>
      <c r="S165" s="2769">
        <v>365</v>
      </c>
      <c r="T165" s="2769">
        <v>0</v>
      </c>
      <c r="U165" s="2769">
        <v>0</v>
      </c>
      <c r="V165" s="2769">
        <v>7.2</v>
      </c>
      <c r="W165" s="2769">
        <v>0.45</v>
      </c>
      <c r="X165" s="2769">
        <v>0</v>
      </c>
      <c r="Y165" s="2762" t="str">
        <f t="shared" si="5"/>
        <v>-</v>
      </c>
    </row>
    <row r="166" spans="1:25" x14ac:dyDescent="0.25">
      <c r="A166" s="2770" t="s">
        <v>907</v>
      </c>
      <c r="B166" s="2766">
        <v>1515</v>
      </c>
      <c r="C166" s="2766" t="s">
        <v>1951</v>
      </c>
      <c r="D166" s="2766" t="s">
        <v>339</v>
      </c>
      <c r="E166" s="2766" t="s">
        <v>1947</v>
      </c>
      <c r="F166" s="2766" t="s">
        <v>350</v>
      </c>
      <c r="G166" s="2766">
        <v>151502</v>
      </c>
      <c r="H166" s="2766">
        <f>Dataark_til_bilag2_2020[[#This Row],[Stald_kode]]+Dataark_til_bilag2_2020[[#This Row],[Dyr_Kode]]</f>
        <v>153017</v>
      </c>
      <c r="I166" s="4347" t="s">
        <v>270</v>
      </c>
      <c r="J166" s="2768" t="s">
        <v>1941</v>
      </c>
      <c r="K166" s="2766"/>
      <c r="L166" s="2767">
        <v>0.06</v>
      </c>
      <c r="M166" s="2767">
        <v>0.05</v>
      </c>
      <c r="N166" s="2760" t="str">
        <f>IFERROR(Dataark_til_bilag2_2020[[#This Row],[Antal dyr]]*Dataark_til_bilag2_2020[[#This Row],[Gødning (g) pr. dyr (ton)]]," ")</f>
        <v xml:space="preserve"> </v>
      </c>
      <c r="O166" s="2767"/>
      <c r="P166" s="2759" t="s">
        <v>270</v>
      </c>
      <c r="Q166" s="2767">
        <v>0.33</v>
      </c>
      <c r="R166" s="2769">
        <v>0</v>
      </c>
      <c r="S166" s="2769">
        <v>0</v>
      </c>
      <c r="T166" s="2769">
        <v>2.4</v>
      </c>
      <c r="U166" s="2769">
        <v>0</v>
      </c>
      <c r="V166" s="2769">
        <v>7.2</v>
      </c>
      <c r="W166" s="2769">
        <v>0.45</v>
      </c>
      <c r="X166" s="2769">
        <v>5.2099200000000012E-2</v>
      </c>
      <c r="Y166" s="2762" t="str">
        <f t="shared" si="5"/>
        <v>-</v>
      </c>
    </row>
    <row r="167" spans="1:25" x14ac:dyDescent="0.25">
      <c r="A167" s="2778" t="s">
        <v>907</v>
      </c>
      <c r="B167" s="2768">
        <v>1515</v>
      </c>
      <c r="C167" s="2766" t="s">
        <v>1951</v>
      </c>
      <c r="D167" s="2768" t="s">
        <v>339</v>
      </c>
      <c r="E167" s="2766" t="s">
        <v>2748</v>
      </c>
      <c r="F167" s="2768" t="s">
        <v>353</v>
      </c>
      <c r="G167" s="2766">
        <v>151503</v>
      </c>
      <c r="H167" s="2768">
        <f>Dataark_til_bilag2_2020[[#This Row],[Stald_kode]]+Dataark_til_bilag2_2020[[#This Row],[Dyr_Kode]]</f>
        <v>153018</v>
      </c>
      <c r="I167" s="4347" t="s">
        <v>270</v>
      </c>
      <c r="J167" s="2768" t="s">
        <v>1941</v>
      </c>
      <c r="K167" s="2768"/>
      <c r="L167" s="2767">
        <v>0.12</v>
      </c>
      <c r="M167" s="2767">
        <v>0.05</v>
      </c>
      <c r="N167" s="2760" t="str">
        <f>IFERROR(Dataark_til_bilag2_2020[[#This Row],[Antal dyr]]*Dataark_til_bilag2_2020[[#This Row],[Gødning (g) pr. dyr (ton)]]," ")</f>
        <v xml:space="preserve"> </v>
      </c>
      <c r="O167" s="2768"/>
      <c r="P167" s="2759" t="s">
        <v>270</v>
      </c>
      <c r="Q167" s="2767"/>
      <c r="R167" s="2767">
        <v>0</v>
      </c>
      <c r="S167" s="2767">
        <v>0</v>
      </c>
      <c r="T167" s="2767">
        <v>4.8</v>
      </c>
      <c r="U167" s="2767">
        <v>0</v>
      </c>
      <c r="V167" s="2769">
        <v>7.2</v>
      </c>
      <c r="W167" s="2769">
        <v>0.45</v>
      </c>
      <c r="X167" s="2767">
        <v>0.10419840000000002</v>
      </c>
      <c r="Y167" s="2762" t="str">
        <f t="shared" si="5"/>
        <v>-</v>
      </c>
    </row>
    <row r="168" spans="1:25" x14ac:dyDescent="0.25">
      <c r="A168" s="2770" t="s">
        <v>907</v>
      </c>
      <c r="B168" s="2766">
        <v>1516</v>
      </c>
      <c r="C168" s="2766" t="s">
        <v>1948</v>
      </c>
      <c r="D168" s="2766" t="s">
        <v>2747</v>
      </c>
      <c r="E168" s="2766" t="s">
        <v>1950</v>
      </c>
      <c r="F168" s="2766" t="s">
        <v>350</v>
      </c>
      <c r="G168" s="2766">
        <v>151601</v>
      </c>
      <c r="H168" s="2766">
        <f>Dataark_til_bilag2_2020[[#This Row],[Stald_kode]]+Dataark_til_bilag2_2020[[#This Row],[Dyr_Kode]]</f>
        <v>153117</v>
      </c>
      <c r="I168" s="4347" t="s">
        <v>270</v>
      </c>
      <c r="J168" s="2766"/>
      <c r="K168" s="2766" t="s">
        <v>350</v>
      </c>
      <c r="L168" s="2767"/>
      <c r="M168" s="2767"/>
      <c r="N168" s="2760" t="str">
        <f>IFERROR(Dataark_til_bilag2_2020[[#This Row],[Antal dyr]]*Dataark_til_bilag2_2020[[#This Row],[Gødning (g) pr. dyr (ton)]]," ")</f>
        <v xml:space="preserve"> </v>
      </c>
      <c r="O168" s="2767">
        <v>0</v>
      </c>
      <c r="P168" s="2759" t="s">
        <v>270</v>
      </c>
      <c r="Q168" s="2767"/>
      <c r="R168" s="2769">
        <v>365</v>
      </c>
      <c r="S168" s="2769">
        <v>365</v>
      </c>
      <c r="T168" s="2769">
        <v>0</v>
      </c>
      <c r="U168" s="2769">
        <v>0</v>
      </c>
      <c r="V168" s="2769">
        <v>7.2</v>
      </c>
      <c r="W168" s="2769">
        <v>0.45</v>
      </c>
      <c r="X168" s="2769">
        <v>0</v>
      </c>
      <c r="Y168" s="2762" t="str">
        <f t="shared" si="5"/>
        <v>-</v>
      </c>
    </row>
    <row r="169" spans="1:25" x14ac:dyDescent="0.25">
      <c r="A169" s="2770" t="s">
        <v>907</v>
      </c>
      <c r="B169" s="2766">
        <v>1516</v>
      </c>
      <c r="C169" s="2766" t="s">
        <v>1948</v>
      </c>
      <c r="D169" s="2766" t="s">
        <v>2747</v>
      </c>
      <c r="E169" s="2766" t="s">
        <v>1949</v>
      </c>
      <c r="F169" s="2766" t="s">
        <v>350</v>
      </c>
      <c r="G169" s="2766">
        <v>151602</v>
      </c>
      <c r="H169" s="2766">
        <f>Dataark_til_bilag2_2020[[#This Row],[Stald_kode]]+Dataark_til_bilag2_2020[[#This Row],[Dyr_Kode]]</f>
        <v>153118</v>
      </c>
      <c r="I169" s="4347" t="s">
        <v>270</v>
      </c>
      <c r="J169" s="2766" t="s">
        <v>1941</v>
      </c>
      <c r="K169" s="2766"/>
      <c r="L169" s="2767">
        <v>0.46</v>
      </c>
      <c r="M169" s="2767">
        <v>0.05</v>
      </c>
      <c r="N169" s="2760" t="str">
        <f>IFERROR(Dataark_til_bilag2_2020[[#This Row],[Antal dyr]]*Dataark_til_bilag2_2020[[#This Row],[Gødning (g) pr. dyr (ton)]]," ")</f>
        <v xml:space="preserve"> </v>
      </c>
      <c r="O169" s="2767"/>
      <c r="P169" s="2759" t="s">
        <v>270</v>
      </c>
      <c r="Q169" s="2767">
        <v>0.33</v>
      </c>
      <c r="R169" s="2769">
        <v>0</v>
      </c>
      <c r="S169" s="2769">
        <v>0</v>
      </c>
      <c r="T169" s="2769">
        <v>18.400000000000002</v>
      </c>
      <c r="U169" s="2769">
        <v>0</v>
      </c>
      <c r="V169" s="2769">
        <v>14.7</v>
      </c>
      <c r="W169" s="2769">
        <v>0.45</v>
      </c>
      <c r="X169" s="2769">
        <v>0.81549720000000014</v>
      </c>
      <c r="Y169" s="2762" t="str">
        <f>IFERROR(IFERROR((X169*I169)/1000,(X169*#REF!)/1000),"-")</f>
        <v>-</v>
      </c>
    </row>
    <row r="170" spans="1:25" x14ac:dyDescent="0.25">
      <c r="A170" s="2770" t="s">
        <v>907</v>
      </c>
      <c r="B170" s="2766">
        <v>1516</v>
      </c>
      <c r="C170" s="2766" t="s">
        <v>1948</v>
      </c>
      <c r="D170" s="2766" t="s">
        <v>2747</v>
      </c>
      <c r="E170" s="2766" t="s">
        <v>1947</v>
      </c>
      <c r="F170" s="2766" t="s">
        <v>350</v>
      </c>
      <c r="G170" s="2766">
        <v>151603</v>
      </c>
      <c r="H170" s="2766">
        <f>Dataark_til_bilag2_2020[[#This Row],[Stald_kode]]+Dataark_til_bilag2_2020[[#This Row],[Dyr_Kode]]</f>
        <v>153119</v>
      </c>
      <c r="I170" s="4347" t="s">
        <v>270</v>
      </c>
      <c r="J170" s="2768" t="s">
        <v>1941</v>
      </c>
      <c r="K170" s="2766"/>
      <c r="L170" s="2767">
        <f>0.133+0.55</f>
        <v>0.68300000000000005</v>
      </c>
      <c r="M170" s="2767">
        <v>6.6000000000000003E-2</v>
      </c>
      <c r="N170" s="2760" t="str">
        <f>IFERROR(Dataark_til_bilag2_2020[[#This Row],[Antal dyr]]*Dataark_til_bilag2_2020[[#This Row],[Gødning (g) pr. dyr (ton)]]," ")</f>
        <v xml:space="preserve"> </v>
      </c>
      <c r="O170" s="2767"/>
      <c r="P170" s="2759" t="s">
        <v>270</v>
      </c>
      <c r="Q170" s="2767"/>
      <c r="R170" s="2769">
        <v>0</v>
      </c>
      <c r="S170" s="2769">
        <v>0</v>
      </c>
      <c r="T170" s="2769">
        <v>36.062400000000004</v>
      </c>
      <c r="U170" s="2769">
        <v>0</v>
      </c>
      <c r="V170" s="2769">
        <v>13.4</v>
      </c>
      <c r="W170" s="2769">
        <v>0.45</v>
      </c>
      <c r="X170" s="2769">
        <v>1.4569570224000004</v>
      </c>
      <c r="Y170" s="2762" t="str">
        <f>IFERROR(IFERROR((X170*I170)/1000,(X170*#REF!)/1000),"-")</f>
        <v>-</v>
      </c>
    </row>
    <row r="171" spans="1:25" x14ac:dyDescent="0.25">
      <c r="A171" s="2778" t="s">
        <v>907</v>
      </c>
      <c r="B171" s="2768">
        <v>1520</v>
      </c>
      <c r="C171" s="2766" t="s">
        <v>1940</v>
      </c>
      <c r="D171" s="2768" t="s">
        <v>2754</v>
      </c>
      <c r="E171" s="2766" t="s">
        <v>1946</v>
      </c>
      <c r="F171" s="2768" t="s">
        <v>353</v>
      </c>
      <c r="G171" s="2766">
        <v>152002</v>
      </c>
      <c r="H171" s="2768">
        <f>Dataark_til_bilag2_2020[[#This Row],[Stald_kode]]+Dataark_til_bilag2_2020[[#This Row],[Dyr_Kode]]</f>
        <v>153522</v>
      </c>
      <c r="I171" s="4347">
        <v>0</v>
      </c>
      <c r="J171" s="2768" t="s">
        <v>1941</v>
      </c>
      <c r="K171" s="2768"/>
      <c r="L171" s="2767">
        <f>0.55+0.133</f>
        <v>0.68300000000000005</v>
      </c>
      <c r="M171" s="2767">
        <v>6.6000000000000003E-2</v>
      </c>
      <c r="N171" s="2760">
        <f>IFERROR(Dataark_til_bilag2_2020[[#This Row],[Antal dyr]]*Dataark_til_bilag2_2020[[#This Row],[Gødning (g) pr. dyr (ton)]]," ")</f>
        <v>0</v>
      </c>
      <c r="O171" s="2768"/>
      <c r="P171" s="2759">
        <v>0</v>
      </c>
      <c r="Q171" s="2767">
        <v>0.3</v>
      </c>
      <c r="R171" s="2767">
        <v>0</v>
      </c>
      <c r="S171" s="2767">
        <v>181</v>
      </c>
      <c r="T171" s="2767">
        <v>36.062400000000004</v>
      </c>
      <c r="U171" s="2767">
        <v>0</v>
      </c>
      <c r="V171" s="2769">
        <v>13.4</v>
      </c>
      <c r="W171" s="2769">
        <v>0.45</v>
      </c>
      <c r="X171" s="2767">
        <v>1.4569570224000004</v>
      </c>
      <c r="Y171" s="2762">
        <f t="shared" ref="Y171:Y189" si="6">IFERROR(IFERROR((X171*I171)/1000,(X171*I170)/1000),"-")</f>
        <v>0</v>
      </c>
    </row>
    <row r="172" spans="1:25" x14ac:dyDescent="0.25">
      <c r="A172" s="2770" t="s">
        <v>907</v>
      </c>
      <c r="B172" s="2766">
        <v>1520</v>
      </c>
      <c r="C172" s="2766" t="s">
        <v>1940</v>
      </c>
      <c r="D172" s="2766" t="s">
        <v>2754</v>
      </c>
      <c r="E172" s="2766" t="s">
        <v>4753</v>
      </c>
      <c r="F172" s="2766" t="s">
        <v>353</v>
      </c>
      <c r="G172" s="2766">
        <v>152003</v>
      </c>
      <c r="H172" s="2766">
        <f>Dataark_til_bilag2_2020[[#This Row],[Stald_kode]]+Dataark_til_bilag2_2020[[#This Row],[Dyr_Kode]]</f>
        <v>153523</v>
      </c>
      <c r="I172" s="4347">
        <v>0</v>
      </c>
      <c r="J172" s="2766" t="s">
        <v>1941</v>
      </c>
      <c r="K172" s="2766"/>
      <c r="L172" s="2767">
        <f>0.55+0.133</f>
        <v>0.68300000000000005</v>
      </c>
      <c r="M172" s="2767">
        <v>6.6000000000000003E-2</v>
      </c>
      <c r="N172" s="2760">
        <f>IFERROR(Dataark_til_bilag2_2020[[#This Row],[Antal dyr]]*Dataark_til_bilag2_2020[[#This Row],[Gødning (g) pr. dyr (ton)]]," ")</f>
        <v>0</v>
      </c>
      <c r="O172" s="2767"/>
      <c r="P172" s="2759">
        <v>0</v>
      </c>
      <c r="Q172" s="2767"/>
      <c r="R172" s="2769">
        <v>0</v>
      </c>
      <c r="S172" s="2769">
        <v>181</v>
      </c>
      <c r="T172" s="2769">
        <v>36.062400000000004</v>
      </c>
      <c r="U172" s="2769">
        <v>0</v>
      </c>
      <c r="V172" s="2769">
        <v>13.4</v>
      </c>
      <c r="W172" s="2769">
        <v>0.45</v>
      </c>
      <c r="X172" s="2769">
        <v>1.4569570224000004</v>
      </c>
      <c r="Y172" s="2762">
        <f t="shared" si="6"/>
        <v>0</v>
      </c>
    </row>
    <row r="173" spans="1:25" x14ac:dyDescent="0.25">
      <c r="A173" s="2770" t="s">
        <v>907</v>
      </c>
      <c r="B173" s="2766">
        <v>1520</v>
      </c>
      <c r="C173" s="2766" t="s">
        <v>1940</v>
      </c>
      <c r="D173" s="2766" t="s">
        <v>2754</v>
      </c>
      <c r="E173" s="2766" t="s">
        <v>1945</v>
      </c>
      <c r="F173" s="2766" t="s">
        <v>353</v>
      </c>
      <c r="G173" s="2766">
        <v>152004</v>
      </c>
      <c r="H173" s="2766">
        <f>Dataark_til_bilag2_2020[[#This Row],[Stald_kode]]+Dataark_til_bilag2_2020[[#This Row],[Dyr_Kode]]</f>
        <v>153524</v>
      </c>
      <c r="I173" s="4347">
        <v>0</v>
      </c>
      <c r="J173" s="2766" t="s">
        <v>1941</v>
      </c>
      <c r="K173" s="2766"/>
      <c r="L173" s="2767">
        <f>0.55+0.133</f>
        <v>0.68300000000000005</v>
      </c>
      <c r="M173" s="2767">
        <v>6.0999999999999999E-2</v>
      </c>
      <c r="N173" s="2760">
        <f>IFERROR(Dataark_til_bilag2_2020[[#This Row],[Antal dyr]]*Dataark_til_bilag2_2020[[#This Row],[Gødning (g) pr. dyr (ton)]]," ")</f>
        <v>0</v>
      </c>
      <c r="O173" s="2767"/>
      <c r="P173" s="2759">
        <v>0</v>
      </c>
      <c r="Q173" s="2767"/>
      <c r="R173" s="2769">
        <v>0</v>
      </c>
      <c r="S173" s="2769">
        <v>181</v>
      </c>
      <c r="T173" s="2769">
        <v>33.330399999999997</v>
      </c>
      <c r="U173" s="2769">
        <v>0</v>
      </c>
      <c r="V173" s="2769">
        <v>13.7</v>
      </c>
      <c r="W173" s="2769">
        <v>0.45</v>
      </c>
      <c r="X173" s="2769">
        <v>1.3767288371999999</v>
      </c>
      <c r="Y173" s="2762">
        <f t="shared" si="6"/>
        <v>0</v>
      </c>
    </row>
    <row r="174" spans="1:25" x14ac:dyDescent="0.25">
      <c r="A174" s="2770" t="s">
        <v>907</v>
      </c>
      <c r="B174" s="2766">
        <v>1520</v>
      </c>
      <c r="C174" s="2766" t="s">
        <v>1940</v>
      </c>
      <c r="D174" s="2766" t="s">
        <v>2754</v>
      </c>
      <c r="E174" s="2766" t="s">
        <v>1944</v>
      </c>
      <c r="F174" s="2766" t="s">
        <v>352</v>
      </c>
      <c r="G174" s="2766">
        <v>152005</v>
      </c>
      <c r="H174" s="2766">
        <f>Dataark_til_bilag2_2020[[#This Row],[Stald_kode]]+Dataark_til_bilag2_2020[[#This Row],[Dyr_Kode]]</f>
        <v>153525</v>
      </c>
      <c r="I174" s="4347">
        <v>0</v>
      </c>
      <c r="J174" s="2768" t="s">
        <v>1903</v>
      </c>
      <c r="K174" s="2766"/>
      <c r="L174" s="2767">
        <f>0.1+0.018</f>
        <v>0.11800000000000001</v>
      </c>
      <c r="M174" s="2767">
        <v>0.23</v>
      </c>
      <c r="N174" s="2760">
        <f>IFERROR(Dataark_til_bilag2_2020[[#This Row],[Antal dyr]]*Dataark_til_bilag2_2020[[#This Row],[Gødning (g) pr. dyr (ton)]]," ")</f>
        <v>0</v>
      </c>
      <c r="O174" s="2767"/>
      <c r="P174" s="2759">
        <v>0</v>
      </c>
      <c r="Q174" s="2767"/>
      <c r="R174" s="2769">
        <v>0</v>
      </c>
      <c r="S174" s="2769">
        <v>181</v>
      </c>
      <c r="T174" s="2769">
        <v>21.712000000000003</v>
      </c>
      <c r="U174" s="2769">
        <v>0</v>
      </c>
      <c r="V174" s="2769">
        <v>2</v>
      </c>
      <c r="W174" s="2769">
        <v>0.45</v>
      </c>
      <c r="X174" s="2769">
        <v>0.13092336000000002</v>
      </c>
      <c r="Y174" s="2762">
        <f t="shared" si="6"/>
        <v>0</v>
      </c>
    </row>
    <row r="175" spans="1:25" x14ac:dyDescent="0.25">
      <c r="A175" s="2778" t="s">
        <v>907</v>
      </c>
      <c r="B175" s="2768">
        <v>1520</v>
      </c>
      <c r="C175" s="2766" t="s">
        <v>1940</v>
      </c>
      <c r="D175" s="2768" t="s">
        <v>2754</v>
      </c>
      <c r="E175" s="2766" t="s">
        <v>1942</v>
      </c>
      <c r="F175" s="2768" t="s">
        <v>350</v>
      </c>
      <c r="G175" s="2766">
        <v>152006</v>
      </c>
      <c r="H175" s="2768">
        <f>Dataark_til_bilag2_2020[[#This Row],[Stald_kode]]+Dataark_til_bilag2_2020[[#This Row],[Dyr_Kode]]</f>
        <v>153526</v>
      </c>
      <c r="I175" s="4347">
        <v>0</v>
      </c>
      <c r="J175" s="2768" t="s">
        <v>1941</v>
      </c>
      <c r="K175" s="2768"/>
      <c r="L175" s="2767">
        <v>0.35</v>
      </c>
      <c r="M175" s="2767">
        <v>4.9000000000000002E-2</v>
      </c>
      <c r="N175" s="2760">
        <f>IFERROR(Dataark_til_bilag2_2020[[#This Row],[Antal dyr]]*Dataark_til_bilag2_2020[[#This Row],[Gødning (g) pr. dyr (ton)]]," ")</f>
        <v>0</v>
      </c>
      <c r="O175" s="2768"/>
      <c r="P175" s="2759">
        <v>0</v>
      </c>
      <c r="Q175" s="2767"/>
      <c r="R175" s="2767">
        <v>0</v>
      </c>
      <c r="S175" s="2767">
        <v>181</v>
      </c>
      <c r="T175" s="2767">
        <v>13.720000000000002</v>
      </c>
      <c r="U175" s="2767">
        <v>0</v>
      </c>
      <c r="V175" s="2769">
        <v>13.4</v>
      </c>
      <c r="W175" s="2769">
        <v>0.45</v>
      </c>
      <c r="X175" s="2767">
        <v>0.55430172000000022</v>
      </c>
      <c r="Y175" s="2762">
        <f t="shared" si="6"/>
        <v>0</v>
      </c>
    </row>
    <row r="176" spans="1:25" x14ac:dyDescent="0.25">
      <c r="A176" s="2770" t="s">
        <v>907</v>
      </c>
      <c r="B176" s="2766">
        <v>1520</v>
      </c>
      <c r="C176" s="2766" t="s">
        <v>1940</v>
      </c>
      <c r="D176" s="2766" t="s">
        <v>2754</v>
      </c>
      <c r="E176" s="2766" t="s">
        <v>350</v>
      </c>
      <c r="F176" s="2766" t="s">
        <v>350</v>
      </c>
      <c r="G176" s="2766">
        <v>152007</v>
      </c>
      <c r="H176" s="2766">
        <f>Dataark_til_bilag2_2020[[#This Row],[Stald_kode]]+Dataark_til_bilag2_2020[[#This Row],[Dyr_Kode]]</f>
        <v>153527</v>
      </c>
      <c r="I176" s="4347">
        <v>0</v>
      </c>
      <c r="J176" s="2766"/>
      <c r="K176" s="2766" t="s">
        <v>350</v>
      </c>
      <c r="L176" s="2767"/>
      <c r="M176" s="2767"/>
      <c r="N176" s="2760">
        <f>IFERROR(Dataark_til_bilag2_2020[[#This Row],[Antal dyr]]*Dataark_til_bilag2_2020[[#This Row],[Gødning (g) pr. dyr (ton)]]," ")</f>
        <v>0</v>
      </c>
      <c r="O176" s="2767">
        <v>0.18</v>
      </c>
      <c r="P176" s="2759">
        <v>0</v>
      </c>
      <c r="Q176" s="2767">
        <v>0.33</v>
      </c>
      <c r="R176" s="2769">
        <v>0</v>
      </c>
      <c r="S176" s="2769">
        <v>181</v>
      </c>
      <c r="T176" s="2769">
        <v>59.373269999999998</v>
      </c>
      <c r="U176" s="2769">
        <v>0</v>
      </c>
      <c r="V176" s="2769">
        <v>11.4</v>
      </c>
      <c r="W176" s="2769">
        <v>0.45</v>
      </c>
      <c r="X176" s="2769">
        <v>2.0407186631700003</v>
      </c>
      <c r="Y176" s="2762">
        <f t="shared" si="6"/>
        <v>0</v>
      </c>
    </row>
    <row r="177" spans="1:25" x14ac:dyDescent="0.25">
      <c r="A177" s="2770" t="s">
        <v>962</v>
      </c>
      <c r="B177" s="2766">
        <v>2101</v>
      </c>
      <c r="C177" s="2766" t="s">
        <v>1939</v>
      </c>
      <c r="D177" s="2766" t="s">
        <v>335</v>
      </c>
      <c r="E177" s="2766" t="s">
        <v>1938</v>
      </c>
      <c r="F177" s="2766" t="s">
        <v>2743</v>
      </c>
      <c r="G177" s="2766">
        <v>210101</v>
      </c>
      <c r="H177" s="2766">
        <f>Dataark_til_bilag2_2020[[#This Row],[Stald_kode]]+Dataark_til_bilag2_2020[[#This Row],[Dyr_Kode]]</f>
        <v>212202</v>
      </c>
      <c r="I177" s="4347">
        <v>0</v>
      </c>
      <c r="J177" s="2766"/>
      <c r="K177" s="2766" t="s">
        <v>350</v>
      </c>
      <c r="L177" s="2782"/>
      <c r="M177" s="2782"/>
      <c r="N177" s="2760">
        <f>IFERROR(Dataark_til_bilag2_2020[[#This Row],[Antal dyr]]*Dataark_til_bilag2_2020[[#This Row],[Gødning (g) pr. dyr (ton)]]," ")</f>
        <v>0</v>
      </c>
      <c r="O177" s="2782"/>
      <c r="P177" s="2759">
        <v>0</v>
      </c>
      <c r="Q177" s="2782"/>
      <c r="R177" s="2783"/>
      <c r="S177" s="2783"/>
      <c r="T177" s="2769">
        <v>0</v>
      </c>
      <c r="U177" s="2769">
        <v>0</v>
      </c>
      <c r="V177" s="2786"/>
      <c r="W177" s="2783"/>
      <c r="X177" s="4348">
        <v>0.22</v>
      </c>
      <c r="Y177" s="2762">
        <f t="shared" si="6"/>
        <v>0</v>
      </c>
    </row>
    <row r="178" spans="1:25" x14ac:dyDescent="0.25">
      <c r="A178" s="2770" t="s">
        <v>962</v>
      </c>
      <c r="B178" s="2766">
        <v>2102</v>
      </c>
      <c r="C178" s="2766" t="s">
        <v>1937</v>
      </c>
      <c r="D178" s="2766" t="s">
        <v>335</v>
      </c>
      <c r="E178" s="2766" t="s">
        <v>1936</v>
      </c>
      <c r="F178" s="2766" t="s">
        <v>2743</v>
      </c>
      <c r="G178" s="2766">
        <v>210201</v>
      </c>
      <c r="H178" s="2766">
        <f>Dataark_til_bilag2_2020[[#This Row],[Stald_kode]]+Dataark_til_bilag2_2020[[#This Row],[Dyr_Kode]]</f>
        <v>212303</v>
      </c>
      <c r="I178" s="4347">
        <v>0</v>
      </c>
      <c r="J178" s="2766"/>
      <c r="K178" s="2766" t="s">
        <v>350</v>
      </c>
      <c r="L178" s="2782"/>
      <c r="M178" s="2782"/>
      <c r="N178" s="2760">
        <f>IFERROR(Dataark_til_bilag2_2020[[#This Row],[Antal dyr]]*Dataark_til_bilag2_2020[[#This Row],[Gødning (g) pr. dyr (ton)]]," ")</f>
        <v>0</v>
      </c>
      <c r="O178" s="2782"/>
      <c r="P178" s="2759">
        <v>0</v>
      </c>
      <c r="Q178" s="2782"/>
      <c r="R178" s="2783"/>
      <c r="S178" s="2783"/>
      <c r="T178" s="2769">
        <v>0</v>
      </c>
      <c r="U178" s="2769">
        <v>0</v>
      </c>
      <c r="V178" s="2786"/>
      <c r="W178" s="2783"/>
      <c r="X178" s="4348">
        <v>0.22</v>
      </c>
      <c r="Y178" s="2762">
        <f t="shared" si="6"/>
        <v>0</v>
      </c>
    </row>
    <row r="179" spans="1:25" x14ac:dyDescent="0.25">
      <c r="A179" s="2770" t="s">
        <v>962</v>
      </c>
      <c r="B179" s="2766">
        <v>2103</v>
      </c>
      <c r="C179" s="2766" t="s">
        <v>1935</v>
      </c>
      <c r="D179" s="2766" t="s">
        <v>335</v>
      </c>
      <c r="E179" s="2766" t="s">
        <v>1934</v>
      </c>
      <c r="F179" s="2766" t="s">
        <v>2743</v>
      </c>
      <c r="G179" s="2766">
        <v>210301</v>
      </c>
      <c r="H179" s="2766">
        <f>Dataark_til_bilag2_2020[[#This Row],[Stald_kode]]+Dataark_til_bilag2_2020[[#This Row],[Dyr_Kode]]</f>
        <v>212404</v>
      </c>
      <c r="I179" s="4347">
        <v>0</v>
      </c>
      <c r="J179" s="2766"/>
      <c r="K179" s="2766" t="s">
        <v>350</v>
      </c>
      <c r="L179" s="2782"/>
      <c r="M179" s="2782"/>
      <c r="N179" s="2760">
        <f>IFERROR(Dataark_til_bilag2_2020[[#This Row],[Antal dyr]]*Dataark_til_bilag2_2020[[#This Row],[Gødning (g) pr. dyr (ton)]]," ")</f>
        <v>0</v>
      </c>
      <c r="O179" s="2782"/>
      <c r="P179" s="2759">
        <v>0</v>
      </c>
      <c r="Q179" s="2782"/>
      <c r="R179" s="2783"/>
      <c r="S179" s="2783"/>
      <c r="T179" s="2769">
        <v>0</v>
      </c>
      <c r="U179" s="2769">
        <v>0</v>
      </c>
      <c r="V179" s="2786"/>
      <c r="W179" s="2783"/>
      <c r="X179" s="4348">
        <v>0.22</v>
      </c>
      <c r="Y179" s="2762">
        <f t="shared" si="6"/>
        <v>0</v>
      </c>
    </row>
    <row r="180" spans="1:25" x14ac:dyDescent="0.25">
      <c r="A180" s="2770" t="s">
        <v>962</v>
      </c>
      <c r="B180" s="2766">
        <v>2104</v>
      </c>
      <c r="C180" s="2766" t="s">
        <v>2790</v>
      </c>
      <c r="D180" s="2766" t="s">
        <v>335</v>
      </c>
      <c r="E180" s="2766" t="s">
        <v>1932</v>
      </c>
      <c r="F180" s="2766" t="s">
        <v>2743</v>
      </c>
      <c r="G180" s="2766">
        <v>210401</v>
      </c>
      <c r="H180" s="2766">
        <f>Dataark_til_bilag2_2020[[#This Row],[Stald_kode]]+Dataark_til_bilag2_2020[[#This Row],[Dyr_Kode]]</f>
        <v>212505</v>
      </c>
      <c r="I180" s="4347">
        <v>0</v>
      </c>
      <c r="J180" s="2766"/>
      <c r="K180" s="2766" t="s">
        <v>350</v>
      </c>
      <c r="L180" s="2782"/>
      <c r="M180" s="2782"/>
      <c r="N180" s="2760">
        <f>IFERROR(Dataark_til_bilag2_2020[[#This Row],[Antal dyr]]*Dataark_til_bilag2_2020[[#This Row],[Gødning (g) pr. dyr (ton)]]," ")</f>
        <v>0</v>
      </c>
      <c r="O180" s="2782"/>
      <c r="P180" s="2759">
        <v>0</v>
      </c>
      <c r="Q180" s="2782"/>
      <c r="R180" s="2783"/>
      <c r="S180" s="2783"/>
      <c r="T180" s="2769">
        <v>0</v>
      </c>
      <c r="U180" s="2769">
        <v>0</v>
      </c>
      <c r="V180" s="2786"/>
      <c r="W180" s="2783"/>
      <c r="X180" s="4348">
        <v>0.22</v>
      </c>
      <c r="Y180" s="2762">
        <f t="shared" si="6"/>
        <v>0</v>
      </c>
    </row>
    <row r="181" spans="1:25" x14ac:dyDescent="0.25">
      <c r="A181" s="2770" t="s">
        <v>962</v>
      </c>
      <c r="B181" s="2766">
        <v>2105</v>
      </c>
      <c r="C181" s="2766" t="s">
        <v>1931</v>
      </c>
      <c r="D181" s="2766" t="s">
        <v>335</v>
      </c>
      <c r="E181" s="2766" t="s">
        <v>1930</v>
      </c>
      <c r="F181" s="2766" t="s">
        <v>2743</v>
      </c>
      <c r="G181" s="2766">
        <v>210501</v>
      </c>
      <c r="H181" s="2766">
        <f>Dataark_til_bilag2_2020[[#This Row],[Stald_kode]]+Dataark_til_bilag2_2020[[#This Row],[Dyr_Kode]]</f>
        <v>212606</v>
      </c>
      <c r="I181" s="4347">
        <v>0</v>
      </c>
      <c r="J181" s="2766"/>
      <c r="K181" s="2766" t="s">
        <v>350</v>
      </c>
      <c r="L181" s="2782"/>
      <c r="M181" s="2782"/>
      <c r="N181" s="2760">
        <f>IFERROR(Dataark_til_bilag2_2020[[#This Row],[Antal dyr]]*Dataark_til_bilag2_2020[[#This Row],[Gødning (g) pr. dyr (ton)]]," ")</f>
        <v>0</v>
      </c>
      <c r="O181" s="2782"/>
      <c r="P181" s="2759">
        <v>0</v>
      </c>
      <c r="Q181" s="2782"/>
      <c r="R181" s="2783"/>
      <c r="S181" s="2783"/>
      <c r="T181" s="2769">
        <v>0</v>
      </c>
      <c r="U181" s="2769">
        <v>0</v>
      </c>
      <c r="V181" s="2786"/>
      <c r="W181" s="2783"/>
      <c r="X181" s="4348">
        <v>0.22</v>
      </c>
      <c r="Y181" s="2762">
        <f t="shared" si="6"/>
        <v>0</v>
      </c>
    </row>
    <row r="182" spans="1:25" x14ac:dyDescent="0.25">
      <c r="A182" s="2770" t="s">
        <v>962</v>
      </c>
      <c r="B182" s="2766">
        <v>2106</v>
      </c>
      <c r="C182" s="2766" t="s">
        <v>1929</v>
      </c>
      <c r="D182" s="2766" t="s">
        <v>335</v>
      </c>
      <c r="E182" s="2766" t="s">
        <v>1928</v>
      </c>
      <c r="F182" s="2766" t="s">
        <v>2743</v>
      </c>
      <c r="G182" s="2766">
        <v>210601</v>
      </c>
      <c r="H182" s="2766">
        <f>Dataark_til_bilag2_2020[[#This Row],[Stald_kode]]+Dataark_til_bilag2_2020[[#This Row],[Dyr_Kode]]</f>
        <v>212707</v>
      </c>
      <c r="I182" s="4347">
        <v>0</v>
      </c>
      <c r="J182" s="2766"/>
      <c r="K182" s="2766" t="s">
        <v>350</v>
      </c>
      <c r="L182" s="2782"/>
      <c r="M182" s="2782"/>
      <c r="N182" s="2760">
        <f>IFERROR(Dataark_til_bilag2_2020[[#This Row],[Antal dyr]]*Dataark_til_bilag2_2020[[#This Row],[Gødning (g) pr. dyr (ton)]]," ")</f>
        <v>0</v>
      </c>
      <c r="O182" s="2782"/>
      <c r="P182" s="2759">
        <v>0</v>
      </c>
      <c r="Q182" s="2782"/>
      <c r="R182" s="2783"/>
      <c r="S182" s="2783"/>
      <c r="T182" s="2784"/>
      <c r="U182" s="2784"/>
      <c r="V182" s="2783"/>
      <c r="W182" s="2783"/>
      <c r="X182" s="4348">
        <v>0.22</v>
      </c>
      <c r="Y182" s="2762">
        <f t="shared" si="6"/>
        <v>0</v>
      </c>
    </row>
    <row r="183" spans="1:25" x14ac:dyDescent="0.25">
      <c r="A183" s="2770" t="s">
        <v>625</v>
      </c>
      <c r="B183" s="2766">
        <v>2400</v>
      </c>
      <c r="C183" s="2766" t="s">
        <v>2750</v>
      </c>
      <c r="D183" s="2766" t="s">
        <v>337</v>
      </c>
      <c r="E183" s="2766" t="s">
        <v>2749</v>
      </c>
      <c r="F183" s="2766" t="s">
        <v>2743</v>
      </c>
      <c r="G183" s="2766">
        <v>240001</v>
      </c>
      <c r="H183" s="2766">
        <f>Dataark_til_bilag2_2020[[#This Row],[Stald_kode]]+Dataark_til_bilag2_2020[[#This Row],[Dyr_Kode]]</f>
        <v>242401</v>
      </c>
      <c r="I183" s="4347">
        <v>28565.51</v>
      </c>
      <c r="J183" s="2766" t="s">
        <v>1926</v>
      </c>
      <c r="K183" s="2766"/>
      <c r="L183" s="2767">
        <v>0.38</v>
      </c>
      <c r="M183" s="2767">
        <v>0.69</v>
      </c>
      <c r="N183" s="2760">
        <f>IFERROR(Dataark_til_bilag2_2020[[#This Row],[Antal dyr]]*Dataark_til_bilag2_2020[[#This Row],[Gødning (g) pr. dyr (ton)]]," ")</f>
        <v>10854.8938</v>
      </c>
      <c r="O183" s="2768"/>
      <c r="P183" s="2759">
        <v>0</v>
      </c>
      <c r="Q183" s="2767"/>
      <c r="R183" s="2769">
        <v>0</v>
      </c>
      <c r="S183" s="2769">
        <v>0</v>
      </c>
      <c r="T183" s="2769">
        <f t="shared" ref="T183:T223" si="7">(L183*1000)/365*M183*(365-R183)*0.8+(O183*1000)/365*Q183*(365-R183)*(1-0.045/100)</f>
        <v>209.76</v>
      </c>
      <c r="U183" s="2769">
        <f>(L183*1000)/365*M183*0.8*R183</f>
        <v>0</v>
      </c>
      <c r="V183" s="2769">
        <v>10.14</v>
      </c>
      <c r="W183" s="2769">
        <v>0.25</v>
      </c>
      <c r="X183" s="2769">
        <v>3.5626687200000005</v>
      </c>
      <c r="Y183" s="2762">
        <f t="shared" si="6"/>
        <v>101.76944894784721</v>
      </c>
    </row>
    <row r="184" spans="1:25" x14ac:dyDescent="0.25">
      <c r="A184" s="2770" t="s">
        <v>625</v>
      </c>
      <c r="B184" s="2766">
        <v>2400</v>
      </c>
      <c r="C184" s="2766" t="s">
        <v>2750</v>
      </c>
      <c r="D184" s="2766" t="s">
        <v>337</v>
      </c>
      <c r="E184" s="2766" t="s">
        <v>2789</v>
      </c>
      <c r="F184" s="2766" t="s">
        <v>2743</v>
      </c>
      <c r="G184" s="2766">
        <v>240003</v>
      </c>
      <c r="H184" s="2766">
        <f>Dataark_til_bilag2_2020[[#This Row],[Stald_kode]]+Dataark_til_bilag2_2020[[#This Row],[Dyr_Kode]]</f>
        <v>242403</v>
      </c>
      <c r="I184" s="4347">
        <v>0</v>
      </c>
      <c r="J184" s="2766" t="s">
        <v>1924</v>
      </c>
      <c r="K184" s="2766"/>
      <c r="L184" s="2767">
        <v>0.35</v>
      </c>
      <c r="M184" s="2767">
        <v>0.12</v>
      </c>
      <c r="N184" s="2760">
        <f>IFERROR(Dataark_til_bilag2_2020[[#This Row],[Antal dyr]]*Dataark_til_bilag2_2020[[#This Row],[Gødning (g) pr. dyr (ton)]]," ")</f>
        <v>0</v>
      </c>
      <c r="O184" s="2768"/>
      <c r="P184" s="2759">
        <v>0</v>
      </c>
      <c r="Q184" s="2767"/>
      <c r="R184" s="2769">
        <v>0</v>
      </c>
      <c r="S184" s="2769">
        <v>0</v>
      </c>
      <c r="T184" s="2769">
        <f t="shared" si="7"/>
        <v>33.599999999999994</v>
      </c>
      <c r="U184" s="2769">
        <f>(L184*1000)/365*M184*0.8*R184</f>
        <v>0</v>
      </c>
      <c r="V184" s="2769">
        <v>10.14</v>
      </c>
      <c r="W184" s="2769">
        <v>0.25</v>
      </c>
      <c r="X184" s="2769">
        <v>0.57067919999999994</v>
      </c>
      <c r="Y184" s="2762">
        <f t="shared" si="6"/>
        <v>0</v>
      </c>
    </row>
    <row r="185" spans="1:25" x14ac:dyDescent="0.25">
      <c r="A185" s="2770" t="s">
        <v>2788</v>
      </c>
      <c r="B185" s="2766">
        <v>2501</v>
      </c>
      <c r="C185" s="2766" t="s">
        <v>1923</v>
      </c>
      <c r="D185" s="2766" t="s">
        <v>337</v>
      </c>
      <c r="E185" s="2766" t="s">
        <v>2787</v>
      </c>
      <c r="F185" s="2766" t="s">
        <v>350</v>
      </c>
      <c r="G185" s="2766">
        <v>240101</v>
      </c>
      <c r="H185" s="2766">
        <f>Dataark_til_bilag2_2020[[#This Row],[Stald_kode]]+Dataark_til_bilag2_2020[[#This Row],[Dyr_Kode]]</f>
        <v>242602</v>
      </c>
      <c r="I185" s="4347" t="s">
        <v>270</v>
      </c>
      <c r="J185" s="2766"/>
      <c r="K185" s="2766" t="s">
        <v>350</v>
      </c>
      <c r="L185" s="2767"/>
      <c r="M185" s="2767"/>
      <c r="N185" s="2760" t="str">
        <f>IFERROR(Dataark_til_bilag2_2020[[#This Row],[Antal dyr]]*Dataark_til_bilag2_2020[[#This Row],[Gødning (g) pr. dyr (ton)]]," ")</f>
        <v xml:space="preserve"> </v>
      </c>
      <c r="O185" s="2768"/>
      <c r="P185" s="2759" t="s">
        <v>270</v>
      </c>
      <c r="Q185" s="2767"/>
      <c r="R185" s="2774">
        <v>0</v>
      </c>
      <c r="S185" s="2774">
        <v>0</v>
      </c>
      <c r="T185" s="2769">
        <f t="shared" si="7"/>
        <v>0</v>
      </c>
      <c r="U185" s="2769">
        <f>(L185*1000)/365*M185*0.8*R185</f>
        <v>0</v>
      </c>
      <c r="V185" s="2769">
        <v>0</v>
      </c>
      <c r="W185" s="2769">
        <v>0</v>
      </c>
      <c r="X185" s="2769">
        <v>0</v>
      </c>
      <c r="Y185" s="2762">
        <f t="shared" si="6"/>
        <v>0</v>
      </c>
    </row>
    <row r="186" spans="1:25" x14ac:dyDescent="0.25">
      <c r="A186" s="2770" t="s">
        <v>1900</v>
      </c>
      <c r="B186" s="2766">
        <v>3101</v>
      </c>
      <c r="C186" s="2766" t="s">
        <v>2746</v>
      </c>
      <c r="D186" s="2766" t="s">
        <v>331</v>
      </c>
      <c r="E186" s="2766" t="s">
        <v>2763</v>
      </c>
      <c r="F186" s="2776" t="s">
        <v>351</v>
      </c>
      <c r="G186" s="2766">
        <v>310101</v>
      </c>
      <c r="H186" s="2766">
        <f>Dataark_til_bilag2_2020[[#This Row],[Stald_kode]]+Dataark_til_bilag2_2020[[#This Row],[Dyr_Kode]]</f>
        <v>313202</v>
      </c>
      <c r="I186" s="4347">
        <v>0</v>
      </c>
      <c r="J186" s="2766" t="s">
        <v>1903</v>
      </c>
      <c r="K186" s="2766"/>
      <c r="L186" s="2767">
        <f>1.27/100</f>
        <v>1.2699999999999999E-2</v>
      </c>
      <c r="M186" s="2767">
        <v>0.4</v>
      </c>
      <c r="N186" s="2760">
        <f>IFERROR(Dataark_til_bilag2_2020[[#This Row],[Antal dyr]]*Dataark_til_bilag2_2020[[#This Row],[Gødning (g) pr. dyr (ton)]]," ")</f>
        <v>0</v>
      </c>
      <c r="O186" s="2768"/>
      <c r="P186" s="2759">
        <v>0</v>
      </c>
      <c r="Q186" s="2767"/>
      <c r="R186" s="2783">
        <v>0</v>
      </c>
      <c r="S186" s="2783">
        <v>0</v>
      </c>
      <c r="T186" s="2769">
        <f t="shared" si="7"/>
        <v>4.0640000000000001</v>
      </c>
      <c r="U186" s="2769">
        <f>(L186*1000)/365*M186*0.8*R186</f>
        <v>0</v>
      </c>
      <c r="V186" s="2769">
        <v>1</v>
      </c>
      <c r="W186" s="2769">
        <v>0.39</v>
      </c>
      <c r="X186" s="2769">
        <v>1.0619232000000003E-2</v>
      </c>
      <c r="Y186" s="2762">
        <f t="shared" si="6"/>
        <v>0</v>
      </c>
    </row>
    <row r="187" spans="1:25" x14ac:dyDescent="0.25">
      <c r="A187" s="2770" t="s">
        <v>1900</v>
      </c>
      <c r="B187" s="2766">
        <v>3101</v>
      </c>
      <c r="C187" s="2766" t="s">
        <v>2746</v>
      </c>
      <c r="D187" s="2766" t="s">
        <v>331</v>
      </c>
      <c r="E187" s="2766" t="s">
        <v>2786</v>
      </c>
      <c r="F187" s="2776" t="s">
        <v>351</v>
      </c>
      <c r="G187" s="2766">
        <v>310102</v>
      </c>
      <c r="H187" s="2766">
        <f>Dataark_til_bilag2_2020[[#This Row],[Stald_kode]]+Dataark_til_bilag2_2020[[#This Row],[Dyr_Kode]]</f>
        <v>313203</v>
      </c>
      <c r="I187" s="4347">
        <v>0</v>
      </c>
      <c r="J187" s="2766"/>
      <c r="K187" s="2766" t="s">
        <v>350</v>
      </c>
      <c r="L187" s="2767"/>
      <c r="M187" s="2767"/>
      <c r="N187" s="2760">
        <f>IFERROR(Dataark_til_bilag2_2020[[#This Row],[Antal dyr]]*Dataark_til_bilag2_2020[[#This Row],[Gødning (g) pr. dyr (ton)]]," ")</f>
        <v>0</v>
      </c>
      <c r="O187" s="2767">
        <f>1.1/100</f>
        <v>1.1000000000000001E-2</v>
      </c>
      <c r="P187" s="2759">
        <v>0</v>
      </c>
      <c r="Q187" s="2767">
        <v>0.63300000000000001</v>
      </c>
      <c r="R187" s="2783">
        <v>0</v>
      </c>
      <c r="S187" s="2783">
        <v>0</v>
      </c>
      <c r="T187" s="2769">
        <f t="shared" si="7"/>
        <v>6.9598666500000022</v>
      </c>
      <c r="U187" s="2769">
        <f>(O187*1000)/365*Q187*0.8*R187</f>
        <v>0</v>
      </c>
      <c r="V187" s="2769">
        <v>1</v>
      </c>
      <c r="W187" s="2769">
        <v>0.39</v>
      </c>
      <c r="X187" s="2769">
        <v>1.8186131556450009E-2</v>
      </c>
      <c r="Y187" s="2762">
        <f t="shared" si="6"/>
        <v>0</v>
      </c>
    </row>
    <row r="188" spans="1:25" x14ac:dyDescent="0.25">
      <c r="A188" s="2770" t="s">
        <v>1900</v>
      </c>
      <c r="B188" s="2766">
        <v>3101</v>
      </c>
      <c r="C188" s="2766" t="s">
        <v>2746</v>
      </c>
      <c r="D188" s="2766" t="s">
        <v>331</v>
      </c>
      <c r="E188" s="2766" t="s">
        <v>1920</v>
      </c>
      <c r="F188" s="2766" t="s">
        <v>351</v>
      </c>
      <c r="G188" s="2766">
        <v>310103</v>
      </c>
      <c r="H188" s="2766">
        <f>Dataark_til_bilag2_2020[[#This Row],[Stald_kode]]+Dataark_til_bilag2_2020[[#This Row],[Dyr_Kode]]</f>
        <v>313204</v>
      </c>
      <c r="I188" s="4347">
        <v>0</v>
      </c>
      <c r="J188" s="2766" t="s">
        <v>1903</v>
      </c>
      <c r="K188" s="2766"/>
      <c r="L188" s="2767">
        <f>2.11/100</f>
        <v>2.1099999999999997E-2</v>
      </c>
      <c r="M188" s="2767">
        <v>0.4</v>
      </c>
      <c r="N188" s="2760">
        <f>IFERROR(Dataark_til_bilag2_2020[[#This Row],[Antal dyr]]*Dataark_til_bilag2_2020[[#This Row],[Gødning (g) pr. dyr (ton)]]," ")</f>
        <v>0</v>
      </c>
      <c r="O188" s="2767"/>
      <c r="P188" s="2759">
        <v>0</v>
      </c>
      <c r="Q188" s="2767"/>
      <c r="R188" s="2769">
        <v>181</v>
      </c>
      <c r="S188" s="2769">
        <v>181</v>
      </c>
      <c r="T188" s="2769">
        <f t="shared" si="7"/>
        <v>3.4037479452054797</v>
      </c>
      <c r="U188" s="2769">
        <f t="shared" ref="U188:U197" si="8">(L188*1000)/365*M188*0.8*R188</f>
        <v>3.3482520547945209</v>
      </c>
      <c r="V188" s="2769">
        <v>1</v>
      </c>
      <c r="W188" s="2769">
        <v>0.39</v>
      </c>
      <c r="X188" s="2769">
        <v>1.7642976000000005E-2</v>
      </c>
      <c r="Y188" s="2762">
        <f t="shared" si="6"/>
        <v>0</v>
      </c>
    </row>
    <row r="189" spans="1:25" x14ac:dyDescent="0.25">
      <c r="A189" s="2770" t="s">
        <v>2745</v>
      </c>
      <c r="B189" s="2766">
        <v>3101</v>
      </c>
      <c r="C189" s="2766" t="s">
        <v>1919</v>
      </c>
      <c r="D189" s="2766" t="s">
        <v>331</v>
      </c>
      <c r="E189" s="2766" t="s">
        <v>1918</v>
      </c>
      <c r="F189" s="2766" t="s">
        <v>351</v>
      </c>
      <c r="G189" s="2766">
        <v>310104</v>
      </c>
      <c r="H189" s="2766">
        <f>Dataark_til_bilag2_2020[[#This Row],[Stald_kode]]+Dataark_til_bilag2_2020[[#This Row],[Dyr_Kode]]</f>
        <v>313205</v>
      </c>
      <c r="I189" s="4347" t="s">
        <v>270</v>
      </c>
      <c r="J189" s="2766" t="s">
        <v>1903</v>
      </c>
      <c r="K189" s="2766"/>
      <c r="L189" s="2767">
        <f>2.11/100</f>
        <v>2.1099999999999997E-2</v>
      </c>
      <c r="M189" s="2767">
        <v>0.4</v>
      </c>
      <c r="N189" s="2760" t="str">
        <f>IFERROR(Dataark_til_bilag2_2020[[#This Row],[Antal dyr]]*Dataark_til_bilag2_2020[[#This Row],[Gødning (g) pr. dyr (ton)]]," ")</f>
        <v xml:space="preserve"> </v>
      </c>
      <c r="O189" s="2767"/>
      <c r="P189" s="2759" t="s">
        <v>270</v>
      </c>
      <c r="Q189" s="2767"/>
      <c r="R189" s="2769">
        <v>181</v>
      </c>
      <c r="S189" s="2769">
        <v>181</v>
      </c>
      <c r="T189" s="2769">
        <f t="shared" si="7"/>
        <v>3.4037479452054797</v>
      </c>
      <c r="U189" s="2769">
        <f t="shared" si="8"/>
        <v>3.3482520547945209</v>
      </c>
      <c r="V189" s="2769">
        <v>1.5</v>
      </c>
      <c r="W189" s="2769">
        <v>0.39</v>
      </c>
      <c r="X189" s="2769">
        <v>2.6464464000000007E-2</v>
      </c>
      <c r="Y189" s="2762">
        <f t="shared" si="6"/>
        <v>0</v>
      </c>
    </row>
    <row r="190" spans="1:25" x14ac:dyDescent="0.25">
      <c r="A190" s="2770" t="s">
        <v>1900</v>
      </c>
      <c r="B190" s="2766">
        <v>3102</v>
      </c>
      <c r="C190" s="2766" t="s">
        <v>2744</v>
      </c>
      <c r="D190" s="2766" t="s">
        <v>331</v>
      </c>
      <c r="E190" s="2766" t="s">
        <v>1917</v>
      </c>
      <c r="F190" s="2766" t="s">
        <v>2743</v>
      </c>
      <c r="G190" s="2766">
        <v>310201</v>
      </c>
      <c r="H190" s="2766">
        <f>Dataark_til_bilag2_2020[[#This Row],[Stald_kode]]+Dataark_til_bilag2_2020[[#This Row],[Dyr_Kode]]</f>
        <v>313303</v>
      </c>
      <c r="I190" s="4347">
        <v>0</v>
      </c>
      <c r="J190" s="2768" t="s">
        <v>1903</v>
      </c>
      <c r="K190" s="2766"/>
      <c r="L190" s="2767">
        <f>1.51/100</f>
        <v>1.5100000000000001E-2</v>
      </c>
      <c r="M190" s="2767">
        <v>0.4</v>
      </c>
      <c r="N190" s="2760">
        <f>IFERROR(Dataark_til_bilag2_2020[[#This Row],[Antal dyr]]*Dataark_til_bilag2_2020[[#This Row],[Gødning (g) pr. dyr (ton)]]," ")</f>
        <v>0</v>
      </c>
      <c r="O190" s="2767"/>
      <c r="P190" s="2759">
        <v>0</v>
      </c>
      <c r="Q190" s="2767"/>
      <c r="R190" s="2769">
        <v>0</v>
      </c>
      <c r="S190" s="2769">
        <v>0</v>
      </c>
      <c r="T190" s="2769">
        <f t="shared" si="7"/>
        <v>4.8320000000000007</v>
      </c>
      <c r="U190" s="2769">
        <f t="shared" si="8"/>
        <v>0</v>
      </c>
      <c r="V190" s="2769">
        <v>1.5</v>
      </c>
      <c r="W190" s="2769">
        <v>0.39</v>
      </c>
      <c r="X190" s="2769">
        <v>1.8939024000000006E-2</v>
      </c>
      <c r="Y190" s="2762">
        <f>IFERROR(IFERROR((X190*I190)/1000,(X190*I187)/1000),"-")</f>
        <v>0</v>
      </c>
    </row>
    <row r="191" spans="1:25" x14ac:dyDescent="0.25">
      <c r="A191" s="2778" t="s">
        <v>1900</v>
      </c>
      <c r="B191" s="2768">
        <v>3102</v>
      </c>
      <c r="C191" s="2766" t="s">
        <v>2744</v>
      </c>
      <c r="D191" s="2768" t="s">
        <v>331</v>
      </c>
      <c r="E191" s="2766" t="s">
        <v>1916</v>
      </c>
      <c r="F191" s="2768" t="s">
        <v>2743</v>
      </c>
      <c r="G191" s="2766">
        <v>310202</v>
      </c>
      <c r="H191" s="2768">
        <f>Dataark_til_bilag2_2020[[#This Row],[Stald_kode]]+Dataark_til_bilag2_2020[[#This Row],[Dyr_Kode]]</f>
        <v>313304</v>
      </c>
      <c r="I191" s="4347">
        <v>0</v>
      </c>
      <c r="J191" s="2768" t="s">
        <v>1903</v>
      </c>
      <c r="K191" s="2768"/>
      <c r="L191" s="2767">
        <f>1.3/100</f>
        <v>1.3000000000000001E-2</v>
      </c>
      <c r="M191" s="2767">
        <v>0.4</v>
      </c>
      <c r="N191" s="2760">
        <f>IFERROR(Dataark_til_bilag2_2020[[#This Row],[Antal dyr]]*Dataark_til_bilag2_2020[[#This Row],[Gødning (g) pr. dyr (ton)]]," ")</f>
        <v>0</v>
      </c>
      <c r="O191" s="2768"/>
      <c r="P191" s="2759">
        <v>0</v>
      </c>
      <c r="Q191" s="2767"/>
      <c r="R191" s="2767">
        <v>0</v>
      </c>
      <c r="S191" s="2767">
        <v>0</v>
      </c>
      <c r="T191" s="2767">
        <f t="shared" si="7"/>
        <v>4.160000000000001</v>
      </c>
      <c r="U191" s="2767">
        <f t="shared" si="8"/>
        <v>0</v>
      </c>
      <c r="V191" s="2769">
        <v>1.5</v>
      </c>
      <c r="W191" s="2769">
        <v>0.39</v>
      </c>
      <c r="X191" s="2767">
        <v>1.6305120000000006E-2</v>
      </c>
      <c r="Y191" s="2762">
        <f>IFERROR(IFERROR((X191*I191)/1000,(X191*I190)/1000),"-")</f>
        <v>0</v>
      </c>
    </row>
    <row r="192" spans="1:25" x14ac:dyDescent="0.25">
      <c r="A192" s="2770" t="s">
        <v>2745</v>
      </c>
      <c r="B192" s="2766">
        <v>3102</v>
      </c>
      <c r="C192" s="2766" t="s">
        <v>2744</v>
      </c>
      <c r="D192" s="2766" t="s">
        <v>331</v>
      </c>
      <c r="E192" s="2766" t="s">
        <v>1914</v>
      </c>
      <c r="F192" s="2766" t="s">
        <v>2743</v>
      </c>
      <c r="G192" s="2766">
        <v>310203</v>
      </c>
      <c r="H192" s="2766">
        <f>Dataark_til_bilag2_2020[[#This Row],[Stald_kode]]+Dataark_til_bilag2_2020[[#This Row],[Dyr_Kode]]</f>
        <v>313305</v>
      </c>
      <c r="I192" s="4347" t="s">
        <v>270</v>
      </c>
      <c r="J192" s="2766" t="s">
        <v>1903</v>
      </c>
      <c r="K192" s="2766"/>
      <c r="L192" s="2767">
        <f>6.48/100</f>
        <v>6.480000000000001E-2</v>
      </c>
      <c r="M192" s="2767">
        <v>0.12</v>
      </c>
      <c r="N192" s="2760" t="str">
        <f>IFERROR(Dataark_til_bilag2_2020[[#This Row],[Antal dyr]]*Dataark_til_bilag2_2020[[#This Row],[Gødning (g) pr. dyr (ton)]]," ")</f>
        <v xml:space="preserve"> </v>
      </c>
      <c r="O192" s="2767"/>
      <c r="P192" s="2759" t="s">
        <v>270</v>
      </c>
      <c r="Q192" s="2767"/>
      <c r="R192" s="2769"/>
      <c r="S192" s="2769">
        <v>181</v>
      </c>
      <c r="T192" s="2769">
        <f t="shared" si="7"/>
        <v>6.2208000000000006</v>
      </c>
      <c r="U192" s="2769">
        <f t="shared" si="8"/>
        <v>0</v>
      </c>
      <c r="V192" s="2769">
        <v>1.5</v>
      </c>
      <c r="W192" s="2769">
        <v>0.39</v>
      </c>
      <c r="X192" s="2769">
        <v>2.4382425600000004E-2</v>
      </c>
      <c r="Y192" s="2762">
        <f>IFERROR(IFERROR((X192*I192)/1000,(X192*I190)/1000),"-")</f>
        <v>0</v>
      </c>
    </row>
    <row r="193" spans="1:25" x14ac:dyDescent="0.25">
      <c r="A193" s="2770" t="s">
        <v>1900</v>
      </c>
      <c r="B193" s="2766">
        <v>3103</v>
      </c>
      <c r="C193" s="2766" t="s">
        <v>2762</v>
      </c>
      <c r="D193" s="2766" t="s">
        <v>331</v>
      </c>
      <c r="E193" s="2766" t="s">
        <v>1913</v>
      </c>
      <c r="F193" s="2766" t="s">
        <v>2743</v>
      </c>
      <c r="G193" s="2766">
        <v>310301</v>
      </c>
      <c r="H193" s="2766">
        <f>Dataark_til_bilag2_2020[[#This Row],[Stald_kode]]+Dataark_til_bilag2_2020[[#This Row],[Dyr_Kode]]</f>
        <v>313404</v>
      </c>
      <c r="I193" s="4347">
        <v>0</v>
      </c>
      <c r="J193" s="2766" t="s">
        <v>1903</v>
      </c>
      <c r="K193" s="2766"/>
      <c r="L193" s="2767">
        <f>1.4/100</f>
        <v>1.3999999999999999E-2</v>
      </c>
      <c r="M193" s="2767">
        <v>0.4</v>
      </c>
      <c r="N193" s="2760">
        <f>IFERROR(Dataark_til_bilag2_2020[[#This Row],[Antal dyr]]*Dataark_til_bilag2_2020[[#This Row],[Gødning (g) pr. dyr (ton)]]," ")</f>
        <v>0</v>
      </c>
      <c r="O193" s="2767"/>
      <c r="P193" s="2759">
        <v>0</v>
      </c>
      <c r="Q193" s="2767"/>
      <c r="R193" s="2769">
        <v>0</v>
      </c>
      <c r="S193" s="2769">
        <v>0</v>
      </c>
      <c r="T193" s="2769">
        <f t="shared" si="7"/>
        <v>4.4799999999999995</v>
      </c>
      <c r="U193" s="2769">
        <f t="shared" si="8"/>
        <v>0</v>
      </c>
      <c r="V193" s="2769">
        <v>1.5</v>
      </c>
      <c r="W193" s="2769">
        <v>0.39</v>
      </c>
      <c r="X193" s="2769">
        <v>1.7559359999999996E-2</v>
      </c>
      <c r="Y193" s="2762">
        <f t="shared" ref="Y193:Y206" si="9">IFERROR(IFERROR((X193*I193)/1000,(X193*I192)/1000),"-")</f>
        <v>0</v>
      </c>
    </row>
    <row r="194" spans="1:25" x14ac:dyDescent="0.25">
      <c r="A194" s="2770" t="s">
        <v>1900</v>
      </c>
      <c r="B194" s="2766">
        <v>3103</v>
      </c>
      <c r="C194" s="2766" t="s">
        <v>2762</v>
      </c>
      <c r="D194" s="2766" t="s">
        <v>331</v>
      </c>
      <c r="E194" s="2766" t="s">
        <v>1912</v>
      </c>
      <c r="F194" s="2766" t="s">
        <v>2743</v>
      </c>
      <c r="G194" s="2766">
        <v>310302</v>
      </c>
      <c r="H194" s="2766">
        <f>Dataark_til_bilag2_2020[[#This Row],[Stald_kode]]+Dataark_til_bilag2_2020[[#This Row],[Dyr_Kode]]</f>
        <v>313405</v>
      </c>
      <c r="I194" s="4347">
        <v>0</v>
      </c>
      <c r="J194" s="2768" t="s">
        <v>1903</v>
      </c>
      <c r="K194" s="2766"/>
      <c r="L194" s="2767">
        <f>2.23/100</f>
        <v>2.23E-2</v>
      </c>
      <c r="M194" s="2767">
        <v>0.4</v>
      </c>
      <c r="N194" s="2760">
        <f>IFERROR(Dataark_til_bilag2_2020[[#This Row],[Antal dyr]]*Dataark_til_bilag2_2020[[#This Row],[Gødning (g) pr. dyr (ton)]]," ")</f>
        <v>0</v>
      </c>
      <c r="O194" s="2767"/>
      <c r="P194" s="2759">
        <v>0</v>
      </c>
      <c r="Q194" s="2767"/>
      <c r="R194" s="2769">
        <v>0</v>
      </c>
      <c r="S194" s="2769">
        <v>0</v>
      </c>
      <c r="T194" s="2769">
        <f t="shared" si="7"/>
        <v>7.1360000000000001</v>
      </c>
      <c r="U194" s="2769">
        <f t="shared" si="8"/>
        <v>0</v>
      </c>
      <c r="V194" s="2769">
        <v>1.5</v>
      </c>
      <c r="W194" s="2769">
        <v>0.39</v>
      </c>
      <c r="X194" s="2769">
        <v>2.7969552000000005E-2</v>
      </c>
      <c r="Y194" s="2762">
        <f t="shared" si="9"/>
        <v>0</v>
      </c>
    </row>
    <row r="195" spans="1:25" x14ac:dyDescent="0.25">
      <c r="A195" s="2778" t="s">
        <v>2745</v>
      </c>
      <c r="B195" s="2768">
        <v>3103</v>
      </c>
      <c r="C195" s="2766" t="s">
        <v>1911</v>
      </c>
      <c r="D195" s="2768" t="s">
        <v>331</v>
      </c>
      <c r="E195" s="2766" t="s">
        <v>1910</v>
      </c>
      <c r="F195" s="2768" t="s">
        <v>2743</v>
      </c>
      <c r="G195" s="2766">
        <v>310303</v>
      </c>
      <c r="H195" s="2768">
        <f>Dataark_til_bilag2_2020[[#This Row],[Stald_kode]]+Dataark_til_bilag2_2020[[#This Row],[Dyr_Kode]]</f>
        <v>313406</v>
      </c>
      <c r="I195" s="4347" t="s">
        <v>270</v>
      </c>
      <c r="J195" s="2768" t="s">
        <v>1903</v>
      </c>
      <c r="K195" s="2768"/>
      <c r="L195" s="2767">
        <f>2.23/100</f>
        <v>2.23E-2</v>
      </c>
      <c r="M195" s="2767">
        <v>0.4</v>
      </c>
      <c r="N195" s="2760" t="str">
        <f>IFERROR(Dataark_til_bilag2_2020[[#This Row],[Antal dyr]]*Dataark_til_bilag2_2020[[#This Row],[Gødning (g) pr. dyr (ton)]]," ")</f>
        <v xml:space="preserve"> </v>
      </c>
      <c r="O195" s="2768"/>
      <c r="P195" s="2759" t="s">
        <v>270</v>
      </c>
      <c r="Q195" s="2767"/>
      <c r="R195" s="2767">
        <v>0</v>
      </c>
      <c r="S195" s="2767"/>
      <c r="T195" s="2767">
        <f t="shared" si="7"/>
        <v>7.1360000000000001</v>
      </c>
      <c r="U195" s="2767">
        <f t="shared" si="8"/>
        <v>0</v>
      </c>
      <c r="V195" s="2769">
        <v>1.5</v>
      </c>
      <c r="W195" s="2769">
        <v>0.39</v>
      </c>
      <c r="X195" s="2767">
        <v>2.7969552000000005E-2</v>
      </c>
      <c r="Y195" s="2762">
        <f t="shared" si="9"/>
        <v>0</v>
      </c>
    </row>
    <row r="196" spans="1:25" x14ac:dyDescent="0.25">
      <c r="A196" s="2770" t="s">
        <v>1900</v>
      </c>
      <c r="B196" s="2766">
        <v>3104</v>
      </c>
      <c r="C196" s="2766" t="s">
        <v>2785</v>
      </c>
      <c r="D196" s="2766" t="s">
        <v>331</v>
      </c>
      <c r="E196" s="2766" t="s">
        <v>1909</v>
      </c>
      <c r="F196" s="2766" t="s">
        <v>2743</v>
      </c>
      <c r="G196" s="2766">
        <v>310402</v>
      </c>
      <c r="H196" s="2766">
        <f>Dataark_til_bilag2_2020[[#This Row],[Stald_kode]]+Dataark_til_bilag2_2020[[#This Row],[Dyr_Kode]]</f>
        <v>313506</v>
      </c>
      <c r="I196" s="4347">
        <v>0</v>
      </c>
      <c r="J196" s="2766" t="s">
        <v>1903</v>
      </c>
      <c r="K196" s="2766"/>
      <c r="L196" s="2767">
        <f>2.82/100</f>
        <v>2.8199999999999999E-2</v>
      </c>
      <c r="M196" s="2767">
        <v>0.4</v>
      </c>
      <c r="N196" s="2760">
        <f>IFERROR(Dataark_til_bilag2_2020[[#This Row],[Antal dyr]]*Dataark_til_bilag2_2020[[#This Row],[Gødning (g) pr. dyr (ton)]]," ")</f>
        <v>0</v>
      </c>
      <c r="O196" s="2768"/>
      <c r="P196" s="2759">
        <v>0</v>
      </c>
      <c r="Q196" s="2767"/>
      <c r="R196" s="2769">
        <v>0</v>
      </c>
      <c r="S196" s="2769"/>
      <c r="T196" s="2769">
        <f t="shared" si="7"/>
        <v>9.0239999999999991</v>
      </c>
      <c r="U196" s="2769">
        <f t="shared" si="8"/>
        <v>0</v>
      </c>
      <c r="V196" s="2769">
        <v>1.5</v>
      </c>
      <c r="W196" s="2769">
        <v>0.39</v>
      </c>
      <c r="X196" s="2769">
        <v>3.5369567999999997E-2</v>
      </c>
      <c r="Y196" s="2762">
        <f t="shared" si="9"/>
        <v>0</v>
      </c>
    </row>
    <row r="197" spans="1:25" x14ac:dyDescent="0.25">
      <c r="A197" s="2770" t="s">
        <v>1900</v>
      </c>
      <c r="B197" s="2766">
        <v>3104</v>
      </c>
      <c r="C197" s="2766" t="s">
        <v>2785</v>
      </c>
      <c r="D197" s="2766" t="s">
        <v>331</v>
      </c>
      <c r="E197" s="2766" t="s">
        <v>1907</v>
      </c>
      <c r="F197" s="2766" t="s">
        <v>2743</v>
      </c>
      <c r="G197" s="2766">
        <v>310403</v>
      </c>
      <c r="H197" s="2766">
        <f>Dataark_til_bilag2_2020[[#This Row],[Stald_kode]]+Dataark_til_bilag2_2020[[#This Row],[Dyr_Kode]]</f>
        <v>313507</v>
      </c>
      <c r="I197" s="4347">
        <v>0</v>
      </c>
      <c r="J197" s="2766" t="s">
        <v>1906</v>
      </c>
      <c r="K197" s="2766"/>
      <c r="L197" s="2767">
        <f>9.92/100</f>
        <v>9.9199999999999997E-2</v>
      </c>
      <c r="M197" s="2767">
        <v>0.12</v>
      </c>
      <c r="N197" s="2760">
        <f>IFERROR(Dataark_til_bilag2_2020[[#This Row],[Antal dyr]]*Dataark_til_bilag2_2020[[#This Row],[Gødning (g) pr. dyr (ton)]]," ")</f>
        <v>0</v>
      </c>
      <c r="O197" s="2768"/>
      <c r="P197" s="2759">
        <v>0</v>
      </c>
      <c r="Q197" s="2767"/>
      <c r="R197" s="2769">
        <v>0</v>
      </c>
      <c r="S197" s="2769">
        <v>0</v>
      </c>
      <c r="T197" s="2769">
        <f t="shared" si="7"/>
        <v>9.523200000000001</v>
      </c>
      <c r="U197" s="2769">
        <f t="shared" si="8"/>
        <v>0</v>
      </c>
      <c r="V197" s="2769">
        <v>1.5</v>
      </c>
      <c r="W197" s="2769">
        <v>0.39</v>
      </c>
      <c r="X197" s="2769">
        <v>3.7326182400000005E-2</v>
      </c>
      <c r="Y197" s="2762">
        <f t="shared" si="9"/>
        <v>0</v>
      </c>
    </row>
    <row r="198" spans="1:25" x14ac:dyDescent="0.25">
      <c r="A198" s="2770" t="s">
        <v>1900</v>
      </c>
      <c r="B198" s="2766">
        <v>3105</v>
      </c>
      <c r="C198" s="2766" t="s">
        <v>1880</v>
      </c>
      <c r="D198" s="2766" t="s">
        <v>331</v>
      </c>
      <c r="E198" s="2766" t="s">
        <v>2784</v>
      </c>
      <c r="F198" s="2766" t="s">
        <v>2743</v>
      </c>
      <c r="G198" s="2766">
        <v>310501</v>
      </c>
      <c r="H198" s="2766">
        <f>Dataark_til_bilag2_2020[[#This Row],[Stald_kode]]+Dataark_til_bilag2_2020[[#This Row],[Dyr_Kode]]</f>
        <v>313606</v>
      </c>
      <c r="I198" s="4347">
        <v>0</v>
      </c>
      <c r="J198" s="2766"/>
      <c r="K198" s="2766" t="s">
        <v>350</v>
      </c>
      <c r="L198" s="2767"/>
      <c r="M198" s="2767"/>
      <c r="N198" s="2760">
        <f>IFERROR(Dataark_til_bilag2_2020[[#This Row],[Antal dyr]]*Dataark_til_bilag2_2020[[#This Row],[Gødning (g) pr. dyr (ton)]]," ")</f>
        <v>0</v>
      </c>
      <c r="O198" s="2767">
        <f>1.63/100</f>
        <v>1.6299999999999999E-2</v>
      </c>
      <c r="P198" s="2759">
        <v>0</v>
      </c>
      <c r="Q198" s="2767">
        <v>0.63300000000000001</v>
      </c>
      <c r="R198" s="2783">
        <v>0</v>
      </c>
      <c r="S198" s="2783">
        <v>0</v>
      </c>
      <c r="T198" s="2769">
        <f t="shared" si="7"/>
        <v>10.313256944999999</v>
      </c>
      <c r="U198" s="2769">
        <f>(O198*1000)/365*Q198*0.8*R198</f>
        <v>0</v>
      </c>
      <c r="V198" s="2769">
        <v>1.5</v>
      </c>
      <c r="W198" s="2769">
        <v>0.39</v>
      </c>
      <c r="X198" s="2769">
        <v>4.0422810595927498E-2</v>
      </c>
      <c r="Y198" s="2762">
        <f t="shared" si="9"/>
        <v>0</v>
      </c>
    </row>
    <row r="199" spans="1:25" x14ac:dyDescent="0.25">
      <c r="A199" s="2770" t="s">
        <v>2745</v>
      </c>
      <c r="B199" s="2766">
        <v>3106</v>
      </c>
      <c r="C199" s="2766" t="s">
        <v>1919</v>
      </c>
      <c r="D199" s="2766" t="s">
        <v>331</v>
      </c>
      <c r="E199" s="2766" t="s">
        <v>1918</v>
      </c>
      <c r="F199" s="2776" t="s">
        <v>351</v>
      </c>
      <c r="G199" s="2766">
        <v>310601</v>
      </c>
      <c r="H199" s="2766">
        <f>Dataark_til_bilag2_2020[[#This Row],[Stald_kode]]+Dataark_til_bilag2_2020[[#This Row],[Dyr_Kode]]</f>
        <v>313707</v>
      </c>
      <c r="I199" s="4347">
        <v>0</v>
      </c>
      <c r="J199" s="2766" t="s">
        <v>1903</v>
      </c>
      <c r="K199" s="2766"/>
      <c r="L199" s="2767">
        <f>2.11/100</f>
        <v>2.1099999999999997E-2</v>
      </c>
      <c r="M199" s="2767">
        <v>0.4</v>
      </c>
      <c r="N199" s="2760">
        <f>IFERROR(Dataark_til_bilag2_2020[[#This Row],[Antal dyr]]*Dataark_til_bilag2_2020[[#This Row],[Gødning (g) pr. dyr (ton)]]," ")</f>
        <v>0</v>
      </c>
      <c r="O199" s="2767"/>
      <c r="P199" s="2759">
        <v>0</v>
      </c>
      <c r="Q199" s="2767"/>
      <c r="R199" s="2769">
        <v>181</v>
      </c>
      <c r="S199" s="2769">
        <v>181</v>
      </c>
      <c r="T199" s="2769">
        <f t="shared" si="7"/>
        <v>3.4037479452054797</v>
      </c>
      <c r="U199" s="2769">
        <f>(L199*1000)/365*M199*0.8*R199</f>
        <v>3.3482520547945209</v>
      </c>
      <c r="V199" s="2769">
        <v>1.5</v>
      </c>
      <c r="W199" s="2769">
        <v>0.39</v>
      </c>
      <c r="X199" s="2769">
        <v>2.6464464000000007E-2</v>
      </c>
      <c r="Y199" s="2762">
        <f t="shared" si="9"/>
        <v>0</v>
      </c>
    </row>
    <row r="200" spans="1:25" x14ac:dyDescent="0.25">
      <c r="A200" s="2770" t="s">
        <v>2745</v>
      </c>
      <c r="B200" s="2766">
        <v>3107</v>
      </c>
      <c r="C200" s="2766" t="s">
        <v>2744</v>
      </c>
      <c r="D200" s="2766" t="s">
        <v>331</v>
      </c>
      <c r="E200" s="2766" t="s">
        <v>1914</v>
      </c>
      <c r="F200" s="2766" t="s">
        <v>2743</v>
      </c>
      <c r="G200" s="2766">
        <v>310701</v>
      </c>
      <c r="H200" s="2766">
        <f>Dataark_til_bilag2_2020[[#This Row],[Stald_kode]]+Dataark_til_bilag2_2020[[#This Row],[Dyr_Kode]]</f>
        <v>313808</v>
      </c>
      <c r="I200" s="4347">
        <v>0</v>
      </c>
      <c r="J200" s="2766" t="s">
        <v>1903</v>
      </c>
      <c r="K200" s="2766"/>
      <c r="L200" s="2767">
        <f>6.48/100</f>
        <v>6.480000000000001E-2</v>
      </c>
      <c r="M200" s="2767">
        <v>0.12</v>
      </c>
      <c r="N200" s="2760">
        <f>IFERROR(Dataark_til_bilag2_2020[[#This Row],[Antal dyr]]*Dataark_til_bilag2_2020[[#This Row],[Gødning (g) pr. dyr (ton)]]," ")</f>
        <v>0</v>
      </c>
      <c r="O200" s="2767"/>
      <c r="P200" s="2759">
        <v>0</v>
      </c>
      <c r="Q200" s="2767"/>
      <c r="R200" s="2769"/>
      <c r="S200" s="2769">
        <v>181</v>
      </c>
      <c r="T200" s="2769">
        <f t="shared" si="7"/>
        <v>6.2208000000000006</v>
      </c>
      <c r="U200" s="2769">
        <f>(L200*1000)/365*M200*0.8*R200</f>
        <v>0</v>
      </c>
      <c r="V200" s="2769">
        <v>1.5</v>
      </c>
      <c r="W200" s="2769">
        <v>0.39</v>
      </c>
      <c r="X200" s="2769">
        <v>2.4382425600000004E-2</v>
      </c>
      <c r="Y200" s="2762">
        <f t="shared" si="9"/>
        <v>0</v>
      </c>
    </row>
    <row r="201" spans="1:25" x14ac:dyDescent="0.25">
      <c r="A201" s="2770" t="s">
        <v>1900</v>
      </c>
      <c r="B201" s="2766">
        <v>3111</v>
      </c>
      <c r="C201" s="2766" t="s">
        <v>2783</v>
      </c>
      <c r="D201" s="2766" t="s">
        <v>331</v>
      </c>
      <c r="E201" s="2766" t="s">
        <v>1904</v>
      </c>
      <c r="F201" s="2766" t="s">
        <v>2743</v>
      </c>
      <c r="G201" s="2766">
        <v>311105</v>
      </c>
      <c r="H201" s="2766">
        <f>Dataark_til_bilag2_2020[[#This Row],[Stald_kode]]+Dataark_til_bilag2_2020[[#This Row],[Dyr_Kode]]</f>
        <v>314216</v>
      </c>
      <c r="I201" s="4347">
        <v>0</v>
      </c>
      <c r="J201" s="2766" t="s">
        <v>1903</v>
      </c>
      <c r="K201" s="2766"/>
      <c r="L201" s="2767">
        <f>0.23/100</f>
        <v>2.3E-3</v>
      </c>
      <c r="M201" s="2767">
        <v>0.4</v>
      </c>
      <c r="N201" s="2760">
        <f>IFERROR(Dataark_til_bilag2_2020[[#This Row],[Antal dyr]]*Dataark_til_bilag2_2020[[#This Row],[Gødning (g) pr. dyr (ton)]]," ")</f>
        <v>0</v>
      </c>
      <c r="O201" s="2768"/>
      <c r="P201" s="2759">
        <v>0</v>
      </c>
      <c r="Q201" s="2767"/>
      <c r="R201" s="2783">
        <v>0</v>
      </c>
      <c r="S201" s="2783">
        <v>0</v>
      </c>
      <c r="T201" s="2769">
        <f t="shared" si="7"/>
        <v>0.7360000000000001</v>
      </c>
      <c r="U201" s="2769">
        <f>(L201*1000)/365*M201*0.8*R201</f>
        <v>0</v>
      </c>
      <c r="V201" s="2769">
        <v>1.5</v>
      </c>
      <c r="W201" s="2769">
        <v>0.39</v>
      </c>
      <c r="X201" s="2769">
        <v>2.8847520000000004E-3</v>
      </c>
      <c r="Y201" s="2762">
        <f t="shared" si="9"/>
        <v>0</v>
      </c>
    </row>
    <row r="202" spans="1:25" x14ac:dyDescent="0.25">
      <c r="A202" s="2770" t="s">
        <v>1900</v>
      </c>
      <c r="B202" s="2766">
        <v>3111</v>
      </c>
      <c r="C202" s="2766" t="s">
        <v>2782</v>
      </c>
      <c r="D202" s="2766" t="s">
        <v>331</v>
      </c>
      <c r="E202" s="2766" t="s">
        <v>1901</v>
      </c>
      <c r="F202" s="2766" t="s">
        <v>2743</v>
      </c>
      <c r="G202" s="2766">
        <v>311106</v>
      </c>
      <c r="H202" s="2766">
        <f>Dataark_til_bilag2_2020[[#This Row],[Stald_kode]]+Dataark_til_bilag2_2020[[#This Row],[Dyr_Kode]]</f>
        <v>314217</v>
      </c>
      <c r="I202" s="4347">
        <v>0</v>
      </c>
      <c r="J202" s="2766"/>
      <c r="K202" s="2766" t="s">
        <v>350</v>
      </c>
      <c r="L202" s="2767"/>
      <c r="M202" s="2767"/>
      <c r="N202" s="2760">
        <f>IFERROR(Dataark_til_bilag2_2020[[#This Row],[Antal dyr]]*Dataark_til_bilag2_2020[[#This Row],[Gødning (g) pr. dyr (ton)]]," ")</f>
        <v>0</v>
      </c>
      <c r="O202" s="2767">
        <f>0.14/100</f>
        <v>1.4000000000000002E-3</v>
      </c>
      <c r="P202" s="2759">
        <v>0</v>
      </c>
      <c r="Q202" s="2767">
        <v>0.48</v>
      </c>
      <c r="R202" s="2783">
        <v>0</v>
      </c>
      <c r="S202" s="2783">
        <v>0</v>
      </c>
      <c r="T202" s="2769">
        <f t="shared" si="7"/>
        <v>0.67169760000000012</v>
      </c>
      <c r="U202" s="2769">
        <f>(O202*1000)/365*Q202*0.8*R202</f>
        <v>0</v>
      </c>
      <c r="V202" s="2769">
        <v>1.5</v>
      </c>
      <c r="W202" s="2769">
        <v>0.39</v>
      </c>
      <c r="X202" s="2769">
        <v>2.6327187432000011E-3</v>
      </c>
      <c r="Y202" s="2762">
        <f t="shared" si="9"/>
        <v>0</v>
      </c>
    </row>
    <row r="203" spans="1:25" x14ac:dyDescent="0.25">
      <c r="A203" s="2770" t="s">
        <v>1900</v>
      </c>
      <c r="B203" s="2766">
        <v>3112</v>
      </c>
      <c r="C203" s="2766" t="s">
        <v>2781</v>
      </c>
      <c r="D203" s="2766" t="s">
        <v>331</v>
      </c>
      <c r="E203" s="2766" t="s">
        <v>2780</v>
      </c>
      <c r="F203" s="2766" t="s">
        <v>2743</v>
      </c>
      <c r="G203" s="2766">
        <v>311201</v>
      </c>
      <c r="H203" s="2766">
        <f>Dataark_til_bilag2_2020[[#This Row],[Stald_kode]]+Dataark_til_bilag2_2020[[#This Row],[Dyr_Kode]]</f>
        <v>314313</v>
      </c>
      <c r="I203" s="4347">
        <v>0</v>
      </c>
      <c r="J203" s="2766"/>
      <c r="K203" s="2766" t="s">
        <v>350</v>
      </c>
      <c r="L203" s="2767"/>
      <c r="M203" s="2767"/>
      <c r="N203" s="2760">
        <f>IFERROR(Dataark_til_bilag2_2020[[#This Row],[Antal dyr]]*Dataark_til_bilag2_2020[[#This Row],[Gødning (g) pr. dyr (ton)]]," ")</f>
        <v>0</v>
      </c>
      <c r="O203" s="2767">
        <f>0.15/100</f>
        <v>1.5E-3</v>
      </c>
      <c r="P203" s="2759">
        <v>0</v>
      </c>
      <c r="Q203" s="2767">
        <v>0.48</v>
      </c>
      <c r="R203" s="2783">
        <v>0</v>
      </c>
      <c r="S203" s="2783">
        <v>0</v>
      </c>
      <c r="T203" s="2769">
        <f t="shared" si="7"/>
        <v>0.71967599999999998</v>
      </c>
      <c r="U203" s="2769">
        <f>(O203*1000)/365*Q203*0.8*R203</f>
        <v>0</v>
      </c>
      <c r="V203" s="2769">
        <v>1.5</v>
      </c>
      <c r="W203" s="2769">
        <v>0.39</v>
      </c>
      <c r="X203" s="2769">
        <v>2.8207700820000008E-3</v>
      </c>
      <c r="Y203" s="2762">
        <f t="shared" si="9"/>
        <v>0</v>
      </c>
    </row>
    <row r="204" spans="1:25" x14ac:dyDescent="0.25">
      <c r="A204" s="2770" t="s">
        <v>1878</v>
      </c>
      <c r="B204" s="2766">
        <v>3201</v>
      </c>
      <c r="C204" s="2766" t="s">
        <v>1897</v>
      </c>
      <c r="D204" s="2766" t="s">
        <v>331</v>
      </c>
      <c r="E204" s="2766" t="s">
        <v>4891</v>
      </c>
      <c r="F204" s="2766" t="s">
        <v>2743</v>
      </c>
      <c r="G204" s="2766">
        <v>320101</v>
      </c>
      <c r="H204" s="2766">
        <f>Dataark_til_bilag2_2020[[#This Row],[Stald_kode]]+Dataark_til_bilag2_2020[[#This Row],[Dyr_Kode]]</f>
        <v>323302</v>
      </c>
      <c r="I204" s="4347">
        <v>0</v>
      </c>
      <c r="J204" s="2766"/>
      <c r="K204" s="2766" t="s">
        <v>350</v>
      </c>
      <c r="L204" s="2767"/>
      <c r="M204" s="2767"/>
      <c r="N204" s="2760">
        <f>IFERROR(Dataark_til_bilag2_2020[[#This Row],[Antal dyr]]*Dataark_til_bilag2_2020[[#This Row],[Gødning (g) pr. dyr (ton)]]," ")</f>
        <v>0</v>
      </c>
      <c r="O204" s="2767">
        <f>1.17/1000</f>
        <v>1.17E-3</v>
      </c>
      <c r="P204" s="2759">
        <v>0</v>
      </c>
      <c r="Q204" s="2767">
        <v>0.48</v>
      </c>
      <c r="R204" s="2769">
        <v>0</v>
      </c>
      <c r="S204" s="2769">
        <v>0</v>
      </c>
      <c r="T204" s="2769">
        <f t="shared" si="7"/>
        <v>0.56134728</v>
      </c>
      <c r="U204" s="2769">
        <f>(L204*1000)/365*M204*0.8*R204</f>
        <v>0</v>
      </c>
      <c r="V204" s="2769">
        <v>1.5</v>
      </c>
      <c r="W204" s="2769">
        <v>0.36</v>
      </c>
      <c r="X204" s="2769">
        <v>2.0309544590399998E-3</v>
      </c>
      <c r="Y204" s="2762">
        <f t="shared" si="9"/>
        <v>0</v>
      </c>
    </row>
    <row r="205" spans="1:25" x14ac:dyDescent="0.25">
      <c r="A205" s="2770" t="s">
        <v>1878</v>
      </c>
      <c r="B205" s="2766">
        <v>3202</v>
      </c>
      <c r="C205" s="2766" t="s">
        <v>1896</v>
      </c>
      <c r="D205" s="2766" t="s">
        <v>331</v>
      </c>
      <c r="E205" s="2766" t="s">
        <v>4754</v>
      </c>
      <c r="F205" s="2766" t="s">
        <v>2743</v>
      </c>
      <c r="G205" s="2766">
        <v>320201</v>
      </c>
      <c r="H205" s="2766">
        <f>Dataark_til_bilag2_2020[[#This Row],[Stald_kode]]+Dataark_til_bilag2_2020[[#This Row],[Dyr_Kode]]</f>
        <v>323403</v>
      </c>
      <c r="I205" s="4347">
        <v>0</v>
      </c>
      <c r="J205" s="2766"/>
      <c r="K205" s="2766" t="s">
        <v>350</v>
      </c>
      <c r="L205" s="2767"/>
      <c r="M205" s="2767"/>
      <c r="N205" s="2760">
        <f>IFERROR(Dataark_til_bilag2_2020[[#This Row],[Antal dyr]]*Dataark_til_bilag2_2020[[#This Row],[Gødning (g) pr. dyr (ton)]]," ")</f>
        <v>0</v>
      </c>
      <c r="O205" s="2767">
        <f>1.39/1000</f>
        <v>1.39E-3</v>
      </c>
      <c r="P205" s="2759">
        <v>0</v>
      </c>
      <c r="Q205" s="2767">
        <v>0.48</v>
      </c>
      <c r="R205" s="2769">
        <v>0</v>
      </c>
      <c r="S205" s="2769">
        <v>0</v>
      </c>
      <c r="T205" s="2769">
        <f t="shared" si="7"/>
        <v>0.66689975999999995</v>
      </c>
      <c r="U205" s="2769">
        <f>(L205*1000)/365*M205*0.8*R205</f>
        <v>0</v>
      </c>
      <c r="V205" s="2769">
        <v>1.5</v>
      </c>
      <c r="W205" s="2769">
        <v>0.36</v>
      </c>
      <c r="X205" s="2769">
        <v>2.4128433316800003E-3</v>
      </c>
      <c r="Y205" s="2762">
        <f t="shared" si="9"/>
        <v>0</v>
      </c>
    </row>
    <row r="206" spans="1:25" x14ac:dyDescent="0.25">
      <c r="A206" s="2770" t="s">
        <v>1878</v>
      </c>
      <c r="B206" s="2766">
        <v>3203</v>
      </c>
      <c r="C206" s="2766" t="s">
        <v>1895</v>
      </c>
      <c r="D206" s="2766" t="s">
        <v>331</v>
      </c>
      <c r="E206" s="2766" t="s">
        <v>1894</v>
      </c>
      <c r="F206" s="2766" t="s">
        <v>2743</v>
      </c>
      <c r="G206" s="2766">
        <v>320301</v>
      </c>
      <c r="H206" s="2766">
        <f>Dataark_til_bilag2_2020[[#This Row],[Stald_kode]]+Dataark_til_bilag2_2020[[#This Row],[Dyr_Kode]]</f>
        <v>323504</v>
      </c>
      <c r="I206" s="4347" t="s">
        <v>270</v>
      </c>
      <c r="J206" s="2768"/>
      <c r="K206" s="2766" t="s">
        <v>350</v>
      </c>
      <c r="L206" s="2767"/>
      <c r="M206" s="2767"/>
      <c r="N206" s="2760" t="str">
        <f>IFERROR(Dataark_til_bilag2_2020[[#This Row],[Antal dyr]]*Dataark_til_bilag2_2020[[#This Row],[Gødning (g) pr. dyr (ton)]]," ")</f>
        <v xml:space="preserve"> </v>
      </c>
      <c r="O206" s="2767">
        <f>1.78/1000</f>
        <v>1.7800000000000001E-3</v>
      </c>
      <c r="P206" s="2759" t="s">
        <v>270</v>
      </c>
      <c r="Q206" s="2767">
        <v>0.48</v>
      </c>
      <c r="R206" s="2769">
        <v>0</v>
      </c>
      <c r="S206" s="2769">
        <v>0</v>
      </c>
      <c r="T206" s="2769">
        <f t="shared" si="7"/>
        <v>0.85401552000000003</v>
      </c>
      <c r="U206" s="2769">
        <f>(L206*1000)/365*M206*0.8*R206</f>
        <v>0</v>
      </c>
      <c r="V206" s="2769">
        <v>1.5</v>
      </c>
      <c r="W206" s="2769">
        <v>0.36</v>
      </c>
      <c r="X206" s="2769">
        <v>3.0898281513600007E-3</v>
      </c>
      <c r="Y206" s="2762">
        <f t="shared" si="9"/>
        <v>0</v>
      </c>
    </row>
    <row r="207" spans="1:25" x14ac:dyDescent="0.25">
      <c r="A207" s="2778" t="s">
        <v>1878</v>
      </c>
      <c r="B207" s="2768">
        <v>3204</v>
      </c>
      <c r="C207" s="2766" t="s">
        <v>1893</v>
      </c>
      <c r="D207" s="2768" t="s">
        <v>331</v>
      </c>
      <c r="E207" s="2766" t="s">
        <v>4890</v>
      </c>
      <c r="F207" s="2768" t="s">
        <v>2743</v>
      </c>
      <c r="G207" s="2766">
        <v>320401</v>
      </c>
      <c r="H207" s="2768">
        <f>Dataark_til_bilag2_2020[[#This Row],[Stald_kode]]+Dataark_til_bilag2_2020[[#This Row],[Dyr_Kode]]</f>
        <v>323605</v>
      </c>
      <c r="I207" s="4347">
        <v>0</v>
      </c>
      <c r="J207" s="2768"/>
      <c r="K207" s="2768" t="s">
        <v>350</v>
      </c>
      <c r="L207" s="2767"/>
      <c r="M207" s="2767"/>
      <c r="N207" s="2760">
        <f>IFERROR(Dataark_til_bilag2_2020[[#This Row],[Antal dyr]]*Dataark_til_bilag2_2020[[#This Row],[Gødning (g) pr. dyr (ton)]]," ")</f>
        <v>0</v>
      </c>
      <c r="O207" s="2768">
        <f>2.22/1000</f>
        <v>2.2200000000000002E-3</v>
      </c>
      <c r="P207" s="2759">
        <v>0</v>
      </c>
      <c r="Q207" s="2767">
        <v>0.48</v>
      </c>
      <c r="R207" s="2767">
        <v>0</v>
      </c>
      <c r="S207" s="2767">
        <v>0</v>
      </c>
      <c r="T207" s="2767">
        <f t="shared" si="7"/>
        <v>1.0651204800000003</v>
      </c>
      <c r="U207" s="2767">
        <f>(L207*1000)/365*M207*0.8*R207</f>
        <v>0</v>
      </c>
      <c r="V207" s="2769">
        <v>1.5</v>
      </c>
      <c r="W207" s="2769">
        <v>0.36</v>
      </c>
      <c r="X207" s="2767">
        <v>3.8536058966400014E-3</v>
      </c>
      <c r="Y207" s="2762">
        <f>IFERROR(IFERROR((X207*I207)/1000,(X207*I205)/1000),"-")</f>
        <v>0</v>
      </c>
    </row>
    <row r="208" spans="1:25" x14ac:dyDescent="0.25">
      <c r="A208" s="2770" t="s">
        <v>1878</v>
      </c>
      <c r="B208" s="2766">
        <v>3205</v>
      </c>
      <c r="C208" s="2766" t="s">
        <v>4264</v>
      </c>
      <c r="D208" s="2766" t="s">
        <v>331</v>
      </c>
      <c r="E208" s="2766" t="s">
        <v>2779</v>
      </c>
      <c r="F208" s="2766" t="s">
        <v>2743</v>
      </c>
      <c r="G208" s="2766">
        <v>320501</v>
      </c>
      <c r="H208" s="2766">
        <f>Dataark_til_bilag2_2020[[#This Row],[Stald_kode]]+Dataark_til_bilag2_2020[[#This Row],[Dyr_Kode]]</f>
        <v>323706</v>
      </c>
      <c r="I208" s="4347">
        <v>0</v>
      </c>
      <c r="J208" s="2766"/>
      <c r="K208" s="2766" t="s">
        <v>350</v>
      </c>
      <c r="L208" s="2767"/>
      <c r="M208" s="2767"/>
      <c r="N208" s="2760">
        <f>IFERROR(Dataark_til_bilag2_2020[[#This Row],[Antal dyr]]*Dataark_til_bilag2_2020[[#This Row],[Gødning (g) pr. dyr (ton)]]," ")</f>
        <v>0</v>
      </c>
      <c r="O208" s="2767">
        <f>1.78/1000</f>
        <v>1.7800000000000001E-3</v>
      </c>
      <c r="P208" s="2759">
        <v>0</v>
      </c>
      <c r="Q208" s="2767">
        <v>0.48</v>
      </c>
      <c r="R208" s="2769"/>
      <c r="S208" s="2769"/>
      <c r="T208" s="2769">
        <f t="shared" si="7"/>
        <v>0.85401552000000003</v>
      </c>
      <c r="U208" s="2769">
        <f>(L208*1000)/365*M208*0.8*R208</f>
        <v>0</v>
      </c>
      <c r="V208" s="2769">
        <v>1.5</v>
      </c>
      <c r="W208" s="2769">
        <v>0.36</v>
      </c>
      <c r="X208" s="2769">
        <v>3.0898281513600007E-3</v>
      </c>
      <c r="Y208" s="2762">
        <f t="shared" ref="Y208:Y239" si="10">IFERROR(IFERROR((X208*I208)/1000,(X208*I207)/1000),"-")</f>
        <v>0</v>
      </c>
    </row>
    <row r="209" spans="1:25" x14ac:dyDescent="0.25">
      <c r="A209" s="2770" t="s">
        <v>1878</v>
      </c>
      <c r="B209" s="2766">
        <v>3230</v>
      </c>
      <c r="C209" s="2766" t="s">
        <v>2776</v>
      </c>
      <c r="D209" s="2787" t="s">
        <v>331</v>
      </c>
      <c r="E209" s="2787" t="s">
        <v>1891</v>
      </c>
      <c r="F209" s="2766" t="s">
        <v>2743</v>
      </c>
      <c r="G209" s="2766">
        <v>323001</v>
      </c>
      <c r="H209" s="2766">
        <f>Dataark_til_bilag2_2020[[#This Row],[Stald_kode]]+Dataark_til_bilag2_2020[[#This Row],[Dyr_Kode]]</f>
        <v>326231</v>
      </c>
      <c r="I209" s="4347">
        <v>0</v>
      </c>
      <c r="J209" s="2766"/>
      <c r="K209" s="2766" t="s">
        <v>350</v>
      </c>
      <c r="L209" s="2767"/>
      <c r="M209" s="2767"/>
      <c r="N209" s="2760">
        <f>IFERROR(Dataark_til_bilag2_2020[[#This Row],[Antal dyr]]*Dataark_til_bilag2_2020[[#This Row],[Gødning (g) pr. dyr (ton)]]," ")</f>
        <v>0</v>
      </c>
      <c r="O209" s="2767">
        <f>1.03/1000</f>
        <v>1.0300000000000001E-3</v>
      </c>
      <c r="P209" s="2759">
        <v>0</v>
      </c>
      <c r="Q209" s="2767">
        <v>0.48</v>
      </c>
      <c r="R209" s="2783">
        <v>0</v>
      </c>
      <c r="S209" s="2783">
        <v>0</v>
      </c>
      <c r="T209" s="2769">
        <f t="shared" si="7"/>
        <v>0.49417751999999998</v>
      </c>
      <c r="U209" s="2769">
        <f t="shared" ref="U209:U221" si="11">(O209*1000)/365*Q209*0.8*R209</f>
        <v>0</v>
      </c>
      <c r="V209" s="2769">
        <v>1.5</v>
      </c>
      <c r="W209" s="2769">
        <v>0.36</v>
      </c>
      <c r="X209" s="2769">
        <v>1.7879342673599999E-3</v>
      </c>
      <c r="Y209" s="2762">
        <f t="shared" si="10"/>
        <v>0</v>
      </c>
    </row>
    <row r="210" spans="1:25" x14ac:dyDescent="0.25">
      <c r="A210" s="2770" t="s">
        <v>1878</v>
      </c>
      <c r="B210" s="2766">
        <v>3232</v>
      </c>
      <c r="C210" s="2766" t="s">
        <v>1890</v>
      </c>
      <c r="D210" s="2772" t="s">
        <v>331</v>
      </c>
      <c r="E210" s="2772" t="s">
        <v>1889</v>
      </c>
      <c r="F210" s="2766" t="s">
        <v>2743</v>
      </c>
      <c r="G210" s="2766">
        <v>323201</v>
      </c>
      <c r="H210" s="2766">
        <f>Dataark_til_bilag2_2020[[#This Row],[Stald_kode]]+Dataark_til_bilag2_2020[[#This Row],[Dyr_Kode]]</f>
        <v>326433</v>
      </c>
      <c r="I210" s="4347">
        <v>0</v>
      </c>
      <c r="J210" s="2766"/>
      <c r="K210" s="2766" t="s">
        <v>350</v>
      </c>
      <c r="L210" s="2767"/>
      <c r="M210" s="2767"/>
      <c r="N210" s="2760">
        <f>IFERROR(Dataark_til_bilag2_2020[[#This Row],[Antal dyr]]*Dataark_til_bilag2_2020[[#This Row],[Gødning (g) pr. dyr (ton)]]," ")</f>
        <v>0</v>
      </c>
      <c r="O210" s="2767">
        <f>1.17/1000</f>
        <v>1.17E-3</v>
      </c>
      <c r="P210" s="2759">
        <v>0</v>
      </c>
      <c r="Q210" s="2767">
        <v>0.48</v>
      </c>
      <c r="R210" s="2783">
        <v>0</v>
      </c>
      <c r="S210" s="2783">
        <v>0</v>
      </c>
      <c r="T210" s="2769">
        <f t="shared" si="7"/>
        <v>0.56134728</v>
      </c>
      <c r="U210" s="2769">
        <f t="shared" si="11"/>
        <v>0</v>
      </c>
      <c r="V210" s="2769">
        <v>1.5</v>
      </c>
      <c r="W210" s="2769">
        <v>0.36</v>
      </c>
      <c r="X210" s="2769">
        <v>2.0309544590399998E-3</v>
      </c>
      <c r="Y210" s="2762">
        <f t="shared" si="10"/>
        <v>0</v>
      </c>
    </row>
    <row r="211" spans="1:25" x14ac:dyDescent="0.25">
      <c r="A211" s="2770" t="s">
        <v>1878</v>
      </c>
      <c r="B211" s="2766">
        <v>3235</v>
      </c>
      <c r="C211" s="2766" t="s">
        <v>1888</v>
      </c>
      <c r="D211" s="2787" t="s">
        <v>331</v>
      </c>
      <c r="E211" s="2787" t="s">
        <v>1887</v>
      </c>
      <c r="F211" s="2766" t="s">
        <v>2743</v>
      </c>
      <c r="G211" s="2766">
        <v>323501</v>
      </c>
      <c r="H211" s="2766">
        <f>Dataark_til_bilag2_2020[[#This Row],[Stald_kode]]+Dataark_til_bilag2_2020[[#This Row],[Dyr_Kode]]</f>
        <v>326736</v>
      </c>
      <c r="I211" s="4347">
        <v>0</v>
      </c>
      <c r="J211" s="2766"/>
      <c r="K211" s="2766" t="s">
        <v>350</v>
      </c>
      <c r="L211" s="2767"/>
      <c r="M211" s="2767"/>
      <c r="N211" s="2760">
        <f>IFERROR(Dataark_til_bilag2_2020[[#This Row],[Antal dyr]]*Dataark_til_bilag2_2020[[#This Row],[Gødning (g) pr. dyr (ton)]]," ")</f>
        <v>0</v>
      </c>
      <c r="O211" s="2767">
        <f>1.39/1000</f>
        <v>1.39E-3</v>
      </c>
      <c r="P211" s="2759">
        <v>0</v>
      </c>
      <c r="Q211" s="2767">
        <v>0.48</v>
      </c>
      <c r="R211" s="2783">
        <v>0</v>
      </c>
      <c r="S211" s="2783">
        <v>0</v>
      </c>
      <c r="T211" s="2769">
        <f t="shared" si="7"/>
        <v>0.66689975999999995</v>
      </c>
      <c r="U211" s="2769">
        <f t="shared" si="11"/>
        <v>0</v>
      </c>
      <c r="V211" s="2769">
        <v>1.5</v>
      </c>
      <c r="W211" s="2769">
        <v>0.36</v>
      </c>
      <c r="X211" s="2769">
        <v>2.4128433316800003E-3</v>
      </c>
      <c r="Y211" s="2762">
        <f t="shared" si="10"/>
        <v>0</v>
      </c>
    </row>
    <row r="212" spans="1:25" x14ac:dyDescent="0.25">
      <c r="A212" s="2770" t="s">
        <v>1878</v>
      </c>
      <c r="B212" s="2766">
        <v>3240</v>
      </c>
      <c r="C212" s="2766" t="s">
        <v>1886</v>
      </c>
      <c r="D212" s="2772" t="s">
        <v>331</v>
      </c>
      <c r="E212" s="2772" t="s">
        <v>1885</v>
      </c>
      <c r="F212" s="2766" t="s">
        <v>2743</v>
      </c>
      <c r="G212" s="2766">
        <v>324001</v>
      </c>
      <c r="H212" s="2766">
        <f>Dataark_til_bilag2_2020[[#This Row],[Stald_kode]]+Dataark_til_bilag2_2020[[#This Row],[Dyr_Kode]]</f>
        <v>327241</v>
      </c>
      <c r="I212" s="4347">
        <v>0</v>
      </c>
      <c r="J212" s="2766"/>
      <c r="K212" s="2766" t="s">
        <v>350</v>
      </c>
      <c r="L212" s="2767"/>
      <c r="M212" s="2767"/>
      <c r="N212" s="2760">
        <f>IFERROR(Dataark_til_bilag2_2020[[#This Row],[Antal dyr]]*Dataark_til_bilag2_2020[[#This Row],[Gødning (g) pr. dyr (ton)]]," ")</f>
        <v>0</v>
      </c>
      <c r="O212" s="2767">
        <f>1.78/1000</f>
        <v>1.7800000000000001E-3</v>
      </c>
      <c r="P212" s="2759">
        <v>0</v>
      </c>
      <c r="Q212" s="2767">
        <v>0.48</v>
      </c>
      <c r="R212" s="2783">
        <v>0</v>
      </c>
      <c r="S212" s="2783">
        <v>0</v>
      </c>
      <c r="T212" s="2769">
        <f t="shared" si="7"/>
        <v>0.85401552000000003</v>
      </c>
      <c r="U212" s="2769">
        <f t="shared" si="11"/>
        <v>0</v>
      </c>
      <c r="V212" s="2769">
        <v>1.5</v>
      </c>
      <c r="W212" s="2769">
        <v>0.36</v>
      </c>
      <c r="X212" s="2769">
        <v>3.0898281513600007E-3</v>
      </c>
      <c r="Y212" s="2762">
        <f t="shared" si="10"/>
        <v>0</v>
      </c>
    </row>
    <row r="213" spans="1:25" x14ac:dyDescent="0.25">
      <c r="A213" s="2770" t="s">
        <v>1878</v>
      </c>
      <c r="B213" s="2766">
        <v>3245</v>
      </c>
      <c r="C213" s="2766" t="s">
        <v>1884</v>
      </c>
      <c r="D213" s="2766" t="s">
        <v>331</v>
      </c>
      <c r="E213" s="2766" t="s">
        <v>1883</v>
      </c>
      <c r="F213" s="2766" t="s">
        <v>2743</v>
      </c>
      <c r="G213" s="2766">
        <v>324501</v>
      </c>
      <c r="H213" s="2766">
        <f>Dataark_til_bilag2_2020[[#This Row],[Stald_kode]]+Dataark_til_bilag2_2020[[#This Row],[Dyr_Kode]]</f>
        <v>327746</v>
      </c>
      <c r="I213" s="4347">
        <v>0</v>
      </c>
      <c r="J213" s="2766"/>
      <c r="K213" s="2766" t="s">
        <v>350</v>
      </c>
      <c r="L213" s="2767"/>
      <c r="M213" s="2767"/>
      <c r="N213" s="2760">
        <f>IFERROR(Dataark_til_bilag2_2020[[#This Row],[Antal dyr]]*Dataark_til_bilag2_2020[[#This Row],[Gødning (g) pr. dyr (ton)]]," ")</f>
        <v>0</v>
      </c>
      <c r="O213" s="2767">
        <f>2.22/1000</f>
        <v>2.2200000000000002E-3</v>
      </c>
      <c r="P213" s="2759">
        <v>0</v>
      </c>
      <c r="Q213" s="2767">
        <v>0.48</v>
      </c>
      <c r="R213" s="2783">
        <v>0</v>
      </c>
      <c r="S213" s="2783">
        <v>0</v>
      </c>
      <c r="T213" s="2769">
        <f t="shared" si="7"/>
        <v>1.0651204800000003</v>
      </c>
      <c r="U213" s="2769">
        <f t="shared" si="11"/>
        <v>0</v>
      </c>
      <c r="V213" s="2769">
        <v>1.5</v>
      </c>
      <c r="W213" s="2769">
        <v>0.36</v>
      </c>
      <c r="X213" s="2769">
        <v>3.8536058966400014E-3</v>
      </c>
      <c r="Y213" s="2762">
        <f t="shared" si="10"/>
        <v>0</v>
      </c>
    </row>
    <row r="214" spans="1:25" x14ac:dyDescent="0.25">
      <c r="A214" s="2770" t="s">
        <v>1878</v>
      </c>
      <c r="B214" s="2766">
        <v>3256</v>
      </c>
      <c r="C214" s="2766" t="s">
        <v>2775</v>
      </c>
      <c r="D214" s="2772" t="s">
        <v>331</v>
      </c>
      <c r="E214" s="2772" t="s">
        <v>1882</v>
      </c>
      <c r="F214" s="2766" t="s">
        <v>2743</v>
      </c>
      <c r="G214" s="2766">
        <v>325601</v>
      </c>
      <c r="H214" s="2766">
        <f>Dataark_til_bilag2_2020[[#This Row],[Stald_kode]]+Dataark_til_bilag2_2020[[#This Row],[Dyr_Kode]]</f>
        <v>328857</v>
      </c>
      <c r="I214" s="4347">
        <v>0</v>
      </c>
      <c r="J214" s="2766"/>
      <c r="K214" s="2766" t="s">
        <v>350</v>
      </c>
      <c r="L214" s="2767"/>
      <c r="M214" s="2767"/>
      <c r="N214" s="2760">
        <f>IFERROR(Dataark_til_bilag2_2020[[#This Row],[Antal dyr]]*Dataark_til_bilag2_2020[[#This Row],[Gødning (g) pr. dyr (ton)]]," ")</f>
        <v>0</v>
      </c>
      <c r="O214" s="2767">
        <f>1.57/1000</f>
        <v>1.57E-3</v>
      </c>
      <c r="P214" s="2759">
        <v>0</v>
      </c>
      <c r="Q214" s="2767">
        <v>0.48</v>
      </c>
      <c r="R214" s="2783">
        <v>0</v>
      </c>
      <c r="S214" s="2783">
        <v>0</v>
      </c>
      <c r="T214" s="2769">
        <f t="shared" si="7"/>
        <v>0.75326088000000013</v>
      </c>
      <c r="U214" s="2769">
        <f t="shared" si="11"/>
        <v>0</v>
      </c>
      <c r="V214" s="2769">
        <v>1.5</v>
      </c>
      <c r="W214" s="2769">
        <v>0.36</v>
      </c>
      <c r="X214" s="2769">
        <v>2.7252978638400011E-3</v>
      </c>
      <c r="Y214" s="2762">
        <f t="shared" si="10"/>
        <v>0</v>
      </c>
    </row>
    <row r="215" spans="1:25" x14ac:dyDescent="0.25">
      <c r="A215" s="2770" t="s">
        <v>1878</v>
      </c>
      <c r="B215" s="2766">
        <v>3281</v>
      </c>
      <c r="C215" s="2766" t="s">
        <v>2774</v>
      </c>
      <c r="D215" s="2766" t="s">
        <v>331</v>
      </c>
      <c r="E215" s="2766" t="s">
        <v>1881</v>
      </c>
      <c r="F215" s="2766" t="s">
        <v>2743</v>
      </c>
      <c r="G215" s="2766">
        <v>328101</v>
      </c>
      <c r="H215" s="2766">
        <f>Dataark_til_bilag2_2020[[#This Row],[Stald_kode]]+Dataark_til_bilag2_2020[[#This Row],[Dyr_Kode]]</f>
        <v>331382</v>
      </c>
      <c r="I215" s="4347">
        <v>0</v>
      </c>
      <c r="J215" s="2766"/>
      <c r="K215" s="2766" t="s">
        <v>350</v>
      </c>
      <c r="L215" s="2767"/>
      <c r="M215" s="2767"/>
      <c r="N215" s="2760">
        <f>IFERROR(Dataark_til_bilag2_2020[[#This Row],[Antal dyr]]*Dataark_til_bilag2_2020[[#This Row],[Gødning (g) pr. dyr (ton)]]," ")</f>
        <v>0</v>
      </c>
      <c r="O215" s="2767">
        <f>2.09/1000</f>
        <v>2.0899999999999998E-3</v>
      </c>
      <c r="P215" s="2759">
        <v>0</v>
      </c>
      <c r="Q215" s="2767">
        <v>0.5</v>
      </c>
      <c r="R215" s="2783">
        <v>0</v>
      </c>
      <c r="S215" s="2783">
        <v>0</v>
      </c>
      <c r="T215" s="2769">
        <f t="shared" si="7"/>
        <v>1.0445297499999999</v>
      </c>
      <c r="U215" s="2769">
        <f t="shared" si="11"/>
        <v>0</v>
      </c>
      <c r="V215" s="2769">
        <v>1.5</v>
      </c>
      <c r="W215" s="2769">
        <v>0.36</v>
      </c>
      <c r="X215" s="2769">
        <v>3.7791086355000001E-3</v>
      </c>
      <c r="Y215" s="2762">
        <f t="shared" si="10"/>
        <v>0</v>
      </c>
    </row>
    <row r="216" spans="1:25" x14ac:dyDescent="0.25">
      <c r="A216" s="2770" t="s">
        <v>1878</v>
      </c>
      <c r="B216" s="2766">
        <v>3290</v>
      </c>
      <c r="C216" s="2766" t="s">
        <v>2773</v>
      </c>
      <c r="D216" s="2766" t="s">
        <v>331</v>
      </c>
      <c r="E216" s="2766" t="s">
        <v>1879</v>
      </c>
      <c r="F216" s="2766" t="s">
        <v>2743</v>
      </c>
      <c r="G216" s="2766">
        <v>329001</v>
      </c>
      <c r="H216" s="2766">
        <f>Dataark_til_bilag2_2020[[#This Row],[Stald_kode]]+Dataark_til_bilag2_2020[[#This Row],[Dyr_Kode]]</f>
        <v>332291</v>
      </c>
      <c r="I216" s="4347">
        <v>0</v>
      </c>
      <c r="J216" s="2766"/>
      <c r="K216" s="2766" t="s">
        <v>350</v>
      </c>
      <c r="L216" s="2767"/>
      <c r="M216" s="2767"/>
      <c r="N216" s="2760">
        <f>IFERROR(Dataark_til_bilag2_2020[[#This Row],[Antal dyr]]*Dataark_til_bilag2_2020[[#This Row],[Gødning (g) pr. dyr (ton)]]," ")</f>
        <v>0</v>
      </c>
      <c r="O216" s="2767">
        <f>1.63/100</f>
        <v>1.6299999999999999E-2</v>
      </c>
      <c r="P216" s="2759">
        <v>0</v>
      </c>
      <c r="Q216" s="2767">
        <v>0.63300000000000001</v>
      </c>
      <c r="R216" s="2783">
        <v>0</v>
      </c>
      <c r="S216" s="2783">
        <v>0</v>
      </c>
      <c r="T216" s="2769">
        <f t="shared" si="7"/>
        <v>10.313256944999999</v>
      </c>
      <c r="U216" s="2769">
        <f t="shared" si="11"/>
        <v>0</v>
      </c>
      <c r="V216" s="2769">
        <v>1.5</v>
      </c>
      <c r="W216" s="2769">
        <v>0.39</v>
      </c>
      <c r="X216" s="2769">
        <v>4.0422810595927498E-2</v>
      </c>
      <c r="Y216" s="2762">
        <f t="shared" si="10"/>
        <v>0</v>
      </c>
    </row>
    <row r="217" spans="1:25" x14ac:dyDescent="0.25">
      <c r="A217" s="2770" t="s">
        <v>1878</v>
      </c>
      <c r="B217" s="2766">
        <v>3295</v>
      </c>
      <c r="C217" s="2766" t="s">
        <v>2772</v>
      </c>
      <c r="D217" s="2766" t="s">
        <v>331</v>
      </c>
      <c r="E217" s="2766" t="s">
        <v>1898</v>
      </c>
      <c r="F217" s="2766" t="s">
        <v>2743</v>
      </c>
      <c r="G217" s="2766">
        <v>329501</v>
      </c>
      <c r="H217" s="2766">
        <f>Dataark_til_bilag2_2020[[#This Row],[Stald_kode]]+Dataark_til_bilag2_2020[[#This Row],[Dyr_Kode]]</f>
        <v>332796</v>
      </c>
      <c r="I217" s="4347">
        <v>0</v>
      </c>
      <c r="J217" s="2766"/>
      <c r="K217" s="2766" t="s">
        <v>350</v>
      </c>
      <c r="L217" s="2767"/>
      <c r="M217" s="2767"/>
      <c r="N217" s="2760">
        <f>IFERROR(Dataark_til_bilag2_2020[[#This Row],[Antal dyr]]*Dataark_til_bilag2_2020[[#This Row],[Gødning (g) pr. dyr (ton)]]," ")</f>
        <v>0</v>
      </c>
      <c r="O217" s="2767">
        <f>0.15/100</f>
        <v>1.5E-3</v>
      </c>
      <c r="P217" s="2759">
        <v>0</v>
      </c>
      <c r="Q217" s="2767">
        <v>0.48</v>
      </c>
      <c r="R217" s="2769">
        <v>0</v>
      </c>
      <c r="S217" s="2769">
        <v>0</v>
      </c>
      <c r="T217" s="2769">
        <f t="shared" si="7"/>
        <v>0.71967599999999998</v>
      </c>
      <c r="U217" s="2769">
        <f t="shared" si="11"/>
        <v>0</v>
      </c>
      <c r="V217" s="2769">
        <v>1.5</v>
      </c>
      <c r="W217" s="2769">
        <v>0.39</v>
      </c>
      <c r="X217" s="2769">
        <v>2.8207700820000008E-3</v>
      </c>
      <c r="Y217" s="2762">
        <f t="shared" si="10"/>
        <v>0</v>
      </c>
    </row>
    <row r="218" spans="1:25" x14ac:dyDescent="0.25">
      <c r="A218" s="2770" t="s">
        <v>1874</v>
      </c>
      <c r="B218" s="2766">
        <v>3301</v>
      </c>
      <c r="C218" s="2766" t="s">
        <v>2771</v>
      </c>
      <c r="D218" s="2766" t="s">
        <v>331</v>
      </c>
      <c r="E218" s="2766" t="s">
        <v>1875</v>
      </c>
      <c r="F218" s="2766" t="s">
        <v>2743</v>
      </c>
      <c r="G218" s="2766">
        <v>330101</v>
      </c>
      <c r="H218" s="2766">
        <f>Dataark_til_bilag2_2020[[#This Row],[Stald_kode]]+Dataark_til_bilag2_2020[[#This Row],[Dyr_Kode]]</f>
        <v>333402</v>
      </c>
      <c r="I218" s="4347">
        <v>0</v>
      </c>
      <c r="J218" s="2766"/>
      <c r="K218" s="2766" t="s">
        <v>350</v>
      </c>
      <c r="L218" s="2767"/>
      <c r="M218" s="2767"/>
      <c r="N218" s="2760">
        <f>IFERROR(Dataark_til_bilag2_2020[[#This Row],[Antal dyr]]*Dataark_til_bilag2_2020[[#This Row],[Gødning (g) pr. dyr (ton)]]," ")</f>
        <v>0</v>
      </c>
      <c r="O218" s="2767">
        <f>1.01/100</f>
        <v>1.01E-2</v>
      </c>
      <c r="P218" s="2759">
        <v>0</v>
      </c>
      <c r="Q218" s="2767">
        <v>0.48</v>
      </c>
      <c r="R218" s="2783">
        <v>0</v>
      </c>
      <c r="S218" s="2783">
        <v>0</v>
      </c>
      <c r="T218" s="2769">
        <f t="shared" si="7"/>
        <v>4.8458183999999997</v>
      </c>
      <c r="U218" s="2769">
        <f t="shared" si="11"/>
        <v>0</v>
      </c>
      <c r="V218" s="2769">
        <v>1.5</v>
      </c>
      <c r="W218" s="2769">
        <v>0.36</v>
      </c>
      <c r="X218" s="2769">
        <v>1.7532170971199999E-2</v>
      </c>
      <c r="Y218" s="2762">
        <f t="shared" si="10"/>
        <v>0</v>
      </c>
    </row>
    <row r="219" spans="1:25" x14ac:dyDescent="0.25">
      <c r="A219" s="2770" t="s">
        <v>1874</v>
      </c>
      <c r="B219" s="2766">
        <v>3302</v>
      </c>
      <c r="C219" s="2766" t="s">
        <v>1873</v>
      </c>
      <c r="D219" s="2766" t="s">
        <v>331</v>
      </c>
      <c r="E219" s="2766" t="s">
        <v>1873</v>
      </c>
      <c r="F219" s="2766" t="s">
        <v>2743</v>
      </c>
      <c r="G219" s="2766">
        <v>330201</v>
      </c>
      <c r="H219" s="2766">
        <f>Dataark_til_bilag2_2020[[#This Row],[Stald_kode]]+Dataark_til_bilag2_2020[[#This Row],[Dyr_Kode]]</f>
        <v>333503</v>
      </c>
      <c r="I219" s="4347">
        <v>0</v>
      </c>
      <c r="J219" s="2766"/>
      <c r="K219" s="2766" t="s">
        <v>350</v>
      </c>
      <c r="L219" s="2767"/>
      <c r="M219" s="2767"/>
      <c r="N219" s="2760">
        <f>IFERROR(Dataark_til_bilag2_2020[[#This Row],[Antal dyr]]*Dataark_til_bilag2_2020[[#This Row],[Gødning (g) pr. dyr (ton)]]," ")</f>
        <v>0</v>
      </c>
      <c r="O219" s="2767">
        <f>2.02/100</f>
        <v>2.0199999999999999E-2</v>
      </c>
      <c r="P219" s="2759">
        <v>0</v>
      </c>
      <c r="Q219" s="2767">
        <v>0.48</v>
      </c>
      <c r="R219" s="2783">
        <v>0</v>
      </c>
      <c r="S219" s="2783">
        <v>0</v>
      </c>
      <c r="T219" s="2769">
        <f t="shared" si="7"/>
        <v>9.6916367999999995</v>
      </c>
      <c r="U219" s="2769">
        <f t="shared" si="11"/>
        <v>0</v>
      </c>
      <c r="V219" s="2769">
        <v>1.5</v>
      </c>
      <c r="W219" s="2769">
        <v>0.36</v>
      </c>
      <c r="X219" s="2769">
        <v>3.5064341942399997E-2</v>
      </c>
      <c r="Y219" s="2762">
        <f t="shared" si="10"/>
        <v>0</v>
      </c>
    </row>
    <row r="220" spans="1:25" x14ac:dyDescent="0.25">
      <c r="A220" s="2770" t="s">
        <v>1838</v>
      </c>
      <c r="B220" s="2766">
        <v>3400</v>
      </c>
      <c r="C220" s="2766" t="s">
        <v>2770</v>
      </c>
      <c r="D220" s="2766" t="s">
        <v>331</v>
      </c>
      <c r="E220" s="2766" t="s">
        <v>1872</v>
      </c>
      <c r="F220" s="2766" t="s">
        <v>352</v>
      </c>
      <c r="G220" s="2766">
        <v>340001</v>
      </c>
      <c r="H220" s="2766">
        <f>Dataark_til_bilag2_2020[[#This Row],[Stald_kode]]+Dataark_til_bilag2_2020[[#This Row],[Dyr_Kode]]</f>
        <v>343401</v>
      </c>
      <c r="I220" s="4347">
        <v>0</v>
      </c>
      <c r="J220" s="2766"/>
      <c r="K220" s="2766" t="s">
        <v>350</v>
      </c>
      <c r="L220" s="2767"/>
      <c r="M220" s="2767"/>
      <c r="N220" s="2760">
        <f>IFERROR(Dataark_til_bilag2_2020[[#This Row],[Antal dyr]]*Dataark_til_bilag2_2020[[#This Row],[Gødning (g) pr. dyr (ton)]]," ")</f>
        <v>0</v>
      </c>
      <c r="O220" s="2767">
        <f>1.96/100</f>
        <v>1.9599999999999999E-2</v>
      </c>
      <c r="P220" s="2759">
        <v>0</v>
      </c>
      <c r="Q220" s="2767">
        <v>0.35</v>
      </c>
      <c r="R220" s="2783">
        <v>0</v>
      </c>
      <c r="S220" s="2783">
        <v>0</v>
      </c>
      <c r="T220" s="2769">
        <f t="shared" si="7"/>
        <v>6.8569129999999987</v>
      </c>
      <c r="U220" s="2769">
        <f t="shared" si="11"/>
        <v>0</v>
      </c>
      <c r="V220" s="2769">
        <v>1.5</v>
      </c>
      <c r="W220" s="2769">
        <v>0.36</v>
      </c>
      <c r="X220" s="2769">
        <v>2.4808311233999993E-2</v>
      </c>
      <c r="Y220" s="2762">
        <f t="shared" si="10"/>
        <v>0</v>
      </c>
    </row>
    <row r="221" spans="1:25" x14ac:dyDescent="0.25">
      <c r="A221" s="2770" t="s">
        <v>1837</v>
      </c>
      <c r="B221" s="2766">
        <v>3500</v>
      </c>
      <c r="C221" s="2766" t="s">
        <v>2769</v>
      </c>
      <c r="D221" s="2766" t="s">
        <v>331</v>
      </c>
      <c r="E221" s="2766" t="s">
        <v>1871</v>
      </c>
      <c r="F221" s="2766" t="s">
        <v>2743</v>
      </c>
      <c r="G221" s="2766">
        <v>350001</v>
      </c>
      <c r="H221" s="2766">
        <f>Dataark_til_bilag2_2020[[#This Row],[Stald_kode]]+Dataark_til_bilag2_2020[[#This Row],[Dyr_Kode]]</f>
        <v>353501</v>
      </c>
      <c r="I221" s="4347">
        <v>0</v>
      </c>
      <c r="J221" s="2766"/>
      <c r="K221" s="2766" t="s">
        <v>350</v>
      </c>
      <c r="L221" s="2769"/>
      <c r="M221" s="2769"/>
      <c r="N221" s="2760">
        <f>IFERROR(Dataark_til_bilag2_2020[[#This Row],[Antal dyr]]*Dataark_til_bilag2_2020[[#This Row],[Gødning (g) pr. dyr (ton)]]," ")</f>
        <v>0</v>
      </c>
      <c r="O221" s="2767">
        <f>1/100</f>
        <v>0.01</v>
      </c>
      <c r="P221" s="2759">
        <v>0</v>
      </c>
      <c r="Q221" s="2767">
        <v>0.35</v>
      </c>
      <c r="R221" s="2783">
        <v>0</v>
      </c>
      <c r="S221" s="2783">
        <v>0</v>
      </c>
      <c r="T221" s="2769">
        <f t="shared" si="7"/>
        <v>3.4984249999999997</v>
      </c>
      <c r="U221" s="2769">
        <f t="shared" si="11"/>
        <v>0</v>
      </c>
      <c r="V221" s="2769">
        <v>1.5</v>
      </c>
      <c r="W221" s="2769">
        <v>0.36</v>
      </c>
      <c r="X221" s="2769">
        <v>1.2657301650000001E-2</v>
      </c>
      <c r="Y221" s="2762">
        <f t="shared" si="10"/>
        <v>0</v>
      </c>
    </row>
    <row r="222" spans="1:25" x14ac:dyDescent="0.25">
      <c r="A222" s="2770" t="s">
        <v>1839</v>
      </c>
      <c r="B222" s="2766">
        <v>4401</v>
      </c>
      <c r="C222" s="2766" t="s">
        <v>2768</v>
      </c>
      <c r="D222" s="2766" t="s">
        <v>331</v>
      </c>
      <c r="E222" s="2766" t="s">
        <v>1870</v>
      </c>
      <c r="F222" s="2766" t="s">
        <v>350</v>
      </c>
      <c r="G222" s="2766">
        <v>440101</v>
      </c>
      <c r="H222" s="2766">
        <f>Dataark_til_bilag2_2020[[#This Row],[Stald_kode]]+Dataark_til_bilag2_2020[[#This Row],[Dyr_Kode]]</f>
        <v>444502</v>
      </c>
      <c r="I222" s="4347" t="s">
        <v>270</v>
      </c>
      <c r="J222" s="2766" t="s">
        <v>350</v>
      </c>
      <c r="K222" s="2766"/>
      <c r="L222" s="2767"/>
      <c r="M222" s="2767"/>
      <c r="N222" s="2760" t="str">
        <f>IFERROR(Dataark_til_bilag2_2020[[#This Row],[Antal dyr]]*Dataark_til_bilag2_2020[[#This Row],[Gødning (g) pr. dyr (ton)]]," ")</f>
        <v xml:space="preserve"> </v>
      </c>
      <c r="O222" s="2767"/>
      <c r="P222" s="2759" t="s">
        <v>270</v>
      </c>
      <c r="Q222" s="2767"/>
      <c r="R222" s="2769"/>
      <c r="S222" s="2769"/>
      <c r="T222" s="2769">
        <f t="shared" si="7"/>
        <v>0</v>
      </c>
      <c r="U222" s="2769">
        <f>(L222*1000)/365*M222*0.8*R222</f>
        <v>0</v>
      </c>
      <c r="V222" s="2769"/>
      <c r="W222" s="2769"/>
      <c r="X222" s="2769">
        <v>0</v>
      </c>
      <c r="Y222" s="2762">
        <f t="shared" si="10"/>
        <v>0</v>
      </c>
    </row>
    <row r="223" spans="1:25" x14ac:dyDescent="0.25">
      <c r="A223" s="2770" t="s">
        <v>1839</v>
      </c>
      <c r="B223" s="2766">
        <v>4402</v>
      </c>
      <c r="C223" s="2766" t="s">
        <v>2767</v>
      </c>
      <c r="D223" s="2766" t="s">
        <v>331</v>
      </c>
      <c r="E223" s="2766" t="s">
        <v>2766</v>
      </c>
      <c r="F223" s="2766" t="s">
        <v>350</v>
      </c>
      <c r="G223" s="2766">
        <v>440201</v>
      </c>
      <c r="H223" s="2766">
        <f>Dataark_til_bilag2_2020[[#This Row],[Stald_kode]]+Dataark_til_bilag2_2020[[#This Row],[Dyr_Kode]]</f>
        <v>444603</v>
      </c>
      <c r="I223" s="4347" t="s">
        <v>270</v>
      </c>
      <c r="J223" s="2766"/>
      <c r="K223" s="2766"/>
      <c r="L223" s="2767"/>
      <c r="M223" s="2767"/>
      <c r="N223" s="2760" t="str">
        <f>IFERROR(Dataark_til_bilag2_2020[[#This Row],[Antal dyr]]*Dataark_til_bilag2_2020[[#This Row],[Gødning (g) pr. dyr (ton)]]," ")</f>
        <v xml:space="preserve"> </v>
      </c>
      <c r="O223" s="2767"/>
      <c r="P223" s="2759" t="s">
        <v>270</v>
      </c>
      <c r="Q223" s="2767"/>
      <c r="R223" s="2769"/>
      <c r="S223" s="2769"/>
      <c r="T223" s="2769">
        <f t="shared" si="7"/>
        <v>0</v>
      </c>
      <c r="U223" s="2769">
        <f>(L223*1000)/365*M223*0.8*R223</f>
        <v>0</v>
      </c>
      <c r="V223" s="2769"/>
      <c r="W223" s="2769"/>
      <c r="X223" s="2769">
        <v>0</v>
      </c>
      <c r="Y223" s="2762" t="str">
        <f t="shared" si="10"/>
        <v>-</v>
      </c>
    </row>
    <row r="224" spans="1:25" x14ac:dyDescent="0.25">
      <c r="A224" s="2770" t="s">
        <v>662</v>
      </c>
      <c r="B224" s="2766">
        <v>4501</v>
      </c>
      <c r="C224" s="2766" t="s">
        <v>1868</v>
      </c>
      <c r="D224" s="2766" t="s">
        <v>331</v>
      </c>
      <c r="E224" s="2766" t="s">
        <v>1868</v>
      </c>
      <c r="F224" s="2766" t="s">
        <v>350</v>
      </c>
      <c r="G224" s="2766">
        <v>450101</v>
      </c>
      <c r="H224" s="2766">
        <f>Dataark_til_bilag2_2020[[#This Row],[Stald_kode]]+Dataark_til_bilag2_2020[[#This Row],[Dyr_Kode]]</f>
        <v>454602</v>
      </c>
      <c r="I224" s="4347">
        <v>0</v>
      </c>
      <c r="J224" s="2766" t="s">
        <v>350</v>
      </c>
      <c r="K224" s="2772"/>
      <c r="L224" s="2773"/>
      <c r="M224" s="2773"/>
      <c r="N224" s="2760">
        <f>IFERROR(Dataark_til_bilag2_2020[[#This Row],[Antal dyr]]*Dataark_til_bilag2_2020[[#This Row],[Gødning (g) pr. dyr (ton)]]," ")</f>
        <v>0</v>
      </c>
      <c r="O224" s="2773">
        <v>1.57E-3</v>
      </c>
      <c r="P224" s="2759">
        <v>0</v>
      </c>
      <c r="Q224" s="2773">
        <v>0.48</v>
      </c>
      <c r="R224" s="2774">
        <v>0</v>
      </c>
      <c r="S224" s="2774">
        <v>0</v>
      </c>
      <c r="T224" s="2774">
        <v>0.75326088000000013</v>
      </c>
      <c r="U224" s="2774">
        <v>0</v>
      </c>
      <c r="V224" s="2774">
        <v>1.5</v>
      </c>
      <c r="W224" s="2774">
        <v>0.36</v>
      </c>
      <c r="X224" s="2769">
        <v>2.7252978638400011E-3</v>
      </c>
      <c r="Y224" s="2762">
        <f t="shared" si="10"/>
        <v>0</v>
      </c>
    </row>
    <row r="225" spans="1:25" x14ac:dyDescent="0.25">
      <c r="A225" s="2770" t="s">
        <v>662</v>
      </c>
      <c r="B225" s="2766">
        <v>4502</v>
      </c>
      <c r="C225" s="2766" t="s">
        <v>1867</v>
      </c>
      <c r="D225" s="2766" t="s">
        <v>331</v>
      </c>
      <c r="E225" s="2766" t="s">
        <v>2765</v>
      </c>
      <c r="F225" s="2766" t="s">
        <v>350</v>
      </c>
      <c r="G225" s="2766">
        <v>450201</v>
      </c>
      <c r="H225" s="2766">
        <f>Dataark_til_bilag2_2020[[#This Row],[Stald_kode]]+Dataark_til_bilag2_2020[[#This Row],[Dyr_Kode]]</f>
        <v>454703</v>
      </c>
      <c r="I225" s="4347" t="s">
        <v>270</v>
      </c>
      <c r="J225" s="2766"/>
      <c r="K225" s="2766"/>
      <c r="L225" s="2767"/>
      <c r="M225" s="2767"/>
      <c r="N225" s="2760" t="str">
        <f>IFERROR(Dataark_til_bilag2_2020[[#This Row],[Antal dyr]]*Dataark_til_bilag2_2020[[#This Row],[Gødning (g) pr. dyr (ton)]]," ")</f>
        <v xml:space="preserve"> </v>
      </c>
      <c r="O225" s="2767"/>
      <c r="P225" s="2759" t="s">
        <v>270</v>
      </c>
      <c r="Q225" s="2767"/>
      <c r="R225" s="2769"/>
      <c r="S225" s="2769"/>
      <c r="T225" s="2769">
        <f>(L225*1000)/365*M225*(365-R225)*0.8+(O225*1000)/365*Q225*(365-R225)*(1-0.045/100)</f>
        <v>0</v>
      </c>
      <c r="U225" s="2769">
        <f>(L225*1000)/365*M225*0.8*R225</f>
        <v>0</v>
      </c>
      <c r="V225" s="2769"/>
      <c r="W225" s="2769"/>
      <c r="X225" s="2769">
        <v>0</v>
      </c>
      <c r="Y225" s="2762">
        <f t="shared" si="10"/>
        <v>0</v>
      </c>
    </row>
    <row r="226" spans="1:25" x14ac:dyDescent="0.25">
      <c r="A226" s="2770" t="s">
        <v>662</v>
      </c>
      <c r="B226" s="2766">
        <v>4701</v>
      </c>
      <c r="C226" s="2766" t="s">
        <v>1865</v>
      </c>
      <c r="D226" s="2766" t="s">
        <v>331</v>
      </c>
      <c r="E226" s="2766" t="s">
        <v>1865</v>
      </c>
      <c r="F226" s="2766" t="s">
        <v>350</v>
      </c>
      <c r="G226" s="2766">
        <v>470101</v>
      </c>
      <c r="H226" s="2766">
        <f>Dataark_til_bilag2_2020[[#This Row],[Stald_kode]]+Dataark_til_bilag2_2020[[#This Row],[Dyr_Kode]]</f>
        <v>474802</v>
      </c>
      <c r="I226" s="4347">
        <v>0</v>
      </c>
      <c r="J226" s="2766" t="s">
        <v>350</v>
      </c>
      <c r="K226" s="2788"/>
      <c r="L226" s="2789"/>
      <c r="M226" s="2789"/>
      <c r="N226" s="2760">
        <f>IFERROR(Dataark_til_bilag2_2020[[#This Row],[Antal dyr]]*Dataark_til_bilag2_2020[[#This Row],[Gødning (g) pr. dyr (ton)]]," ")</f>
        <v>0</v>
      </c>
      <c r="O226" s="2789"/>
      <c r="P226" s="2759">
        <v>0</v>
      </c>
      <c r="Q226" s="2789"/>
      <c r="R226" s="2783"/>
      <c r="S226" s="2783"/>
      <c r="T226" s="2783"/>
      <c r="U226" s="2783"/>
      <c r="V226" s="2783"/>
      <c r="W226" s="2783"/>
      <c r="X226" s="2769">
        <v>5.67</v>
      </c>
      <c r="Y226" s="2762">
        <f t="shared" si="10"/>
        <v>0</v>
      </c>
    </row>
    <row r="227" spans="1:25" x14ac:dyDescent="0.25">
      <c r="A227" s="2770" t="s">
        <v>662</v>
      </c>
      <c r="B227" s="2766">
        <v>4703</v>
      </c>
      <c r="C227" s="2766" t="s">
        <v>1863</v>
      </c>
      <c r="D227" s="2766" t="s">
        <v>331</v>
      </c>
      <c r="E227" s="2766" t="s">
        <v>1863</v>
      </c>
      <c r="F227" s="2766" t="s">
        <v>350</v>
      </c>
      <c r="G227" s="2766">
        <v>470301</v>
      </c>
      <c r="H227" s="2766">
        <f>Dataark_til_bilag2_2020[[#This Row],[Stald_kode]]+Dataark_til_bilag2_2020[[#This Row],[Dyr_Kode]]</f>
        <v>475004</v>
      </c>
      <c r="I227" s="4347">
        <v>0</v>
      </c>
      <c r="J227" s="2766" t="s">
        <v>350</v>
      </c>
      <c r="K227" s="2788"/>
      <c r="L227" s="2789"/>
      <c r="M227" s="2789"/>
      <c r="N227" s="2760">
        <f>IFERROR(Dataark_til_bilag2_2020[[#This Row],[Antal dyr]]*Dataark_til_bilag2_2020[[#This Row],[Gødning (g) pr. dyr (ton)]]," ")</f>
        <v>0</v>
      </c>
      <c r="O227" s="2789"/>
      <c r="P227" s="2759">
        <v>0</v>
      </c>
      <c r="Q227" s="2789"/>
      <c r="R227" s="2783"/>
      <c r="S227" s="2783"/>
      <c r="T227" s="2783"/>
      <c r="U227" s="2783"/>
      <c r="V227" s="2783"/>
      <c r="W227" s="2783"/>
      <c r="X227" s="2769">
        <v>5.67</v>
      </c>
      <c r="Y227" s="2762">
        <f t="shared" si="10"/>
        <v>0</v>
      </c>
    </row>
    <row r="228" spans="1:25" x14ac:dyDescent="0.25">
      <c r="A228" s="2770" t="s">
        <v>662</v>
      </c>
      <c r="B228" s="2766">
        <v>4705</v>
      </c>
      <c r="C228" s="2766" t="s">
        <v>1861</v>
      </c>
      <c r="D228" s="2766" t="s">
        <v>331</v>
      </c>
      <c r="E228" s="2766" t="s">
        <v>1861</v>
      </c>
      <c r="F228" s="2766" t="s">
        <v>350</v>
      </c>
      <c r="G228" s="2766">
        <v>470501</v>
      </c>
      <c r="H228" s="2766">
        <f>Dataark_til_bilag2_2020[[#This Row],[Stald_kode]]+Dataark_til_bilag2_2020[[#This Row],[Dyr_Kode]]</f>
        <v>475206</v>
      </c>
      <c r="I228" s="4347">
        <v>0</v>
      </c>
      <c r="J228" s="2766" t="s">
        <v>350</v>
      </c>
      <c r="K228" s="2788"/>
      <c r="L228" s="2789"/>
      <c r="M228" s="2789"/>
      <c r="N228" s="2760">
        <f>IFERROR(Dataark_til_bilag2_2020[[#This Row],[Antal dyr]]*Dataark_til_bilag2_2020[[#This Row],[Gødning (g) pr. dyr (ton)]]," ")</f>
        <v>0</v>
      </c>
      <c r="O228" s="2789"/>
      <c r="P228" s="2759">
        <v>0</v>
      </c>
      <c r="Q228" s="2789"/>
      <c r="R228" s="2783"/>
      <c r="S228" s="2783"/>
      <c r="T228" s="2783"/>
      <c r="U228" s="2783"/>
      <c r="V228" s="2783"/>
      <c r="W228" s="2783"/>
      <c r="X228" s="2769">
        <v>5.67</v>
      </c>
      <c r="Y228" s="2762">
        <f t="shared" si="10"/>
        <v>0</v>
      </c>
    </row>
    <row r="229" spans="1:25" x14ac:dyDescent="0.25">
      <c r="A229" s="2770" t="s">
        <v>662</v>
      </c>
      <c r="B229" s="2766">
        <v>4706</v>
      </c>
      <c r="C229" s="2766" t="s">
        <v>1859</v>
      </c>
      <c r="D229" s="2766" t="s">
        <v>331</v>
      </c>
      <c r="E229" s="2766" t="s">
        <v>1859</v>
      </c>
      <c r="F229" s="2766" t="s">
        <v>350</v>
      </c>
      <c r="G229" s="2766">
        <v>470601</v>
      </c>
      <c r="H229" s="2766">
        <f>Dataark_til_bilag2_2020[[#This Row],[Stald_kode]]+Dataark_til_bilag2_2020[[#This Row],[Dyr_Kode]]</f>
        <v>475307</v>
      </c>
      <c r="I229" s="4347">
        <v>0</v>
      </c>
      <c r="J229" s="2766" t="s">
        <v>350</v>
      </c>
      <c r="K229" s="2788"/>
      <c r="L229" s="2789"/>
      <c r="M229" s="2789"/>
      <c r="N229" s="2760">
        <f>IFERROR(Dataark_til_bilag2_2020[[#This Row],[Antal dyr]]*Dataark_til_bilag2_2020[[#This Row],[Gødning (g) pr. dyr (ton)]]," ")</f>
        <v>0</v>
      </c>
      <c r="O229" s="2789"/>
      <c r="P229" s="2759">
        <v>0</v>
      </c>
      <c r="Q229" s="2789"/>
      <c r="R229" s="2783"/>
      <c r="S229" s="2783"/>
      <c r="T229" s="2783"/>
      <c r="U229" s="2783"/>
      <c r="V229" s="2783"/>
      <c r="W229" s="2783"/>
      <c r="X229" s="2769">
        <v>5.67</v>
      </c>
      <c r="Y229" s="2762">
        <f t="shared" si="10"/>
        <v>0</v>
      </c>
    </row>
    <row r="230" spans="1:25" x14ac:dyDescent="0.25">
      <c r="A230" s="2770" t="s">
        <v>1858</v>
      </c>
      <c r="B230" s="2766">
        <v>9923</v>
      </c>
      <c r="C230" s="2766" t="s">
        <v>2764</v>
      </c>
      <c r="D230" s="2766" t="s">
        <v>337</v>
      </c>
      <c r="E230" s="2766" t="s">
        <v>1857</v>
      </c>
      <c r="F230" s="2766" t="s">
        <v>2743</v>
      </c>
      <c r="G230" s="2766">
        <v>992301</v>
      </c>
      <c r="H230" s="2766">
        <f>Dataark_til_bilag2_2020[[#This Row],[Stald_kode]]+Dataark_til_bilag2_2020[[#This Row],[Dyr_Kode]]</f>
        <v>1002224</v>
      </c>
      <c r="I230" s="4347">
        <v>0</v>
      </c>
      <c r="J230" s="2766" t="s">
        <v>1924</v>
      </c>
      <c r="K230" s="2766"/>
      <c r="L230" s="2782" t="s">
        <v>1209</v>
      </c>
      <c r="M230" s="2782" t="s">
        <v>1209</v>
      </c>
      <c r="N230" s="2760" t="str">
        <f>IFERROR(Dataark_til_bilag2_2020[[#This Row],[Antal dyr]]*Dataark_til_bilag2_2020[[#This Row],[Gødning (g) pr. dyr (ton)]]," ")</f>
        <v xml:space="preserve"> </v>
      </c>
      <c r="O230" s="2767">
        <v>4.5199999999999996</v>
      </c>
      <c r="P230" s="2759">
        <v>0</v>
      </c>
      <c r="Q230" s="2767">
        <v>0.26</v>
      </c>
      <c r="R230" s="2769">
        <v>0</v>
      </c>
      <c r="S230" s="2769">
        <v>0</v>
      </c>
      <c r="T230" s="2784" t="s">
        <v>1209</v>
      </c>
      <c r="U230" s="2784" t="s">
        <v>1209</v>
      </c>
      <c r="V230" s="2769">
        <v>10.14</v>
      </c>
      <c r="W230" s="2769">
        <v>0.25</v>
      </c>
      <c r="X230" s="4348" t="s">
        <v>1209</v>
      </c>
      <c r="Y230" s="2762" t="str">
        <f t="shared" si="10"/>
        <v>-</v>
      </c>
    </row>
    <row r="231" spans="1:25" x14ac:dyDescent="0.25">
      <c r="A231" s="2764" t="s">
        <v>1980</v>
      </c>
      <c r="B231" s="2765"/>
      <c r="C231" s="2766" t="s">
        <v>1993</v>
      </c>
      <c r="D231" s="2766" t="s">
        <v>330</v>
      </c>
      <c r="E231" s="2766" t="s">
        <v>1989</v>
      </c>
      <c r="F231" s="2766" t="s">
        <v>639</v>
      </c>
      <c r="G231" s="2766"/>
      <c r="H231" s="2766">
        <f>Dataark_til_bilag2_2020[[#This Row],[Stald_kode]]+Dataark_til_bilag2_2020[[#This Row],[Dyr_Kode]]</f>
        <v>0</v>
      </c>
      <c r="I231" s="4347" t="s">
        <v>270</v>
      </c>
      <c r="J231" s="2766" t="s">
        <v>2804</v>
      </c>
      <c r="K231" s="2766"/>
      <c r="L231" s="2767">
        <v>2.56</v>
      </c>
      <c r="M231" s="2767">
        <f>3.1/100</f>
        <v>3.1E-2</v>
      </c>
      <c r="N231" s="2760" t="str">
        <f>IFERROR(Dataark_til_bilag2_2020[[#This Row],[Antal dyr]]*Dataark_til_bilag2_2020[[#This Row],[Gødning (g) pr. dyr (ton)]]," ")</f>
        <v xml:space="preserve"> </v>
      </c>
      <c r="O231" s="2768"/>
      <c r="P231" s="2759" t="s">
        <v>270</v>
      </c>
      <c r="Q231" s="2767"/>
      <c r="R231" s="2769">
        <v>132</v>
      </c>
      <c r="S231" s="2769">
        <v>181</v>
      </c>
      <c r="T231" s="2769">
        <f t="shared" ref="T231:T262" si="12">(L231*1000)/365*M231*(365-R231)*0.8+(O231*1000)/365*Q231*(365-R231)*(1-0.045/100)</f>
        <v>40.527956164383561</v>
      </c>
      <c r="U231" s="2769">
        <f t="shared" ref="U231:U245" si="13">(L231*1000)/365*M231*0.8*R231</f>
        <v>22.960043835616439</v>
      </c>
      <c r="V231" s="2769">
        <v>12.5</v>
      </c>
      <c r="W231" s="2769">
        <v>0.18</v>
      </c>
      <c r="X231" s="2769">
        <v>0.95708159999999998</v>
      </c>
      <c r="Y231" s="2762">
        <f t="shared" si="10"/>
        <v>0</v>
      </c>
    </row>
    <row r="232" spans="1:25" x14ac:dyDescent="0.25">
      <c r="A232" s="2764" t="s">
        <v>1980</v>
      </c>
      <c r="B232" s="2765"/>
      <c r="C232" s="2766" t="s">
        <v>2011</v>
      </c>
      <c r="D232" s="2766" t="s">
        <v>330</v>
      </c>
      <c r="E232" s="2766" t="s">
        <v>1989</v>
      </c>
      <c r="F232" s="2766" t="s">
        <v>639</v>
      </c>
      <c r="G232" s="2766"/>
      <c r="H232" s="2766">
        <f>Dataark_til_bilag2_2020[[#This Row],[Stald_kode]]+Dataark_til_bilag2_2020[[#This Row],[Dyr_Kode]]</f>
        <v>0</v>
      </c>
      <c r="I232" s="4347" t="s">
        <v>270</v>
      </c>
      <c r="J232" s="2766" t="s">
        <v>1943</v>
      </c>
      <c r="K232" s="2766"/>
      <c r="L232" s="2767">
        <v>3.17</v>
      </c>
      <c r="M232" s="2767">
        <f>3.4/100</f>
        <v>3.4000000000000002E-2</v>
      </c>
      <c r="N232" s="2760" t="str">
        <f>IFERROR(Dataark_til_bilag2_2020[[#This Row],[Antal dyr]]*Dataark_til_bilag2_2020[[#This Row],[Gødning (g) pr. dyr (ton)]]," ")</f>
        <v xml:space="preserve"> </v>
      </c>
      <c r="O232" s="2767"/>
      <c r="P232" s="2759" t="s">
        <v>270</v>
      </c>
      <c r="Q232" s="2767"/>
      <c r="R232" s="2769">
        <v>18</v>
      </c>
      <c r="S232" s="2769">
        <v>181</v>
      </c>
      <c r="T232" s="2769">
        <f t="shared" si="12"/>
        <v>81.971857534246595</v>
      </c>
      <c r="U232" s="2769">
        <f t="shared" si="13"/>
        <v>4.2521424657534252</v>
      </c>
      <c r="V232" s="2769">
        <v>12.5</v>
      </c>
      <c r="W232" s="2769">
        <v>0.18</v>
      </c>
      <c r="X232" s="2769">
        <v>1.2998268000000004</v>
      </c>
      <c r="Y232" s="2762" t="str">
        <f t="shared" si="10"/>
        <v>-</v>
      </c>
    </row>
    <row r="233" spans="1:25" x14ac:dyDescent="0.25">
      <c r="A233" s="2764" t="s">
        <v>1980</v>
      </c>
      <c r="B233" s="2765"/>
      <c r="C233" s="2766" t="s">
        <v>2799</v>
      </c>
      <c r="D233" s="2766" t="s">
        <v>2796</v>
      </c>
      <c r="E233" s="2766" t="s">
        <v>1989</v>
      </c>
      <c r="F233" s="2766" t="s">
        <v>639</v>
      </c>
      <c r="G233" s="2766"/>
      <c r="H233" s="2766">
        <f>Dataark_til_bilag2_2020[[#This Row],[Stald_kode]]+Dataark_til_bilag2_2020[[#This Row],[Dyr_Kode]]</f>
        <v>0</v>
      </c>
      <c r="I233" s="4347" t="s">
        <v>270</v>
      </c>
      <c r="J233" s="2766" t="s">
        <v>1943</v>
      </c>
      <c r="K233" s="2766"/>
      <c r="L233" s="2767">
        <v>1.07</v>
      </c>
      <c r="M233" s="2767">
        <v>3.1E-2</v>
      </c>
      <c r="N233" s="2760" t="str">
        <f>IFERROR(Dataark_til_bilag2_2020[[#This Row],[Antal dyr]]*Dataark_til_bilag2_2020[[#This Row],[Gødning (g) pr. dyr (ton)]]," ")</f>
        <v xml:space="preserve"> </v>
      </c>
      <c r="O233" s="2767"/>
      <c r="P233" s="2759" t="s">
        <v>270</v>
      </c>
      <c r="Q233" s="2767"/>
      <c r="R233" s="2769">
        <v>18</v>
      </c>
      <c r="S233" s="2769">
        <v>181</v>
      </c>
      <c r="T233" s="2769">
        <f t="shared" si="12"/>
        <v>25.227375342465756</v>
      </c>
      <c r="U233" s="2769">
        <f t="shared" si="13"/>
        <v>1.3086246575342466</v>
      </c>
      <c r="V233" s="2769">
        <v>12.5</v>
      </c>
      <c r="W233" s="2769">
        <v>0.18</v>
      </c>
      <c r="X233" s="2769">
        <v>0.40003020000000006</v>
      </c>
      <c r="Y233" s="2762" t="str">
        <f t="shared" si="10"/>
        <v>-</v>
      </c>
    </row>
    <row r="234" spans="1:25" x14ac:dyDescent="0.25">
      <c r="A234" s="2764" t="s">
        <v>1980</v>
      </c>
      <c r="B234" s="2765"/>
      <c r="C234" s="2766" t="s">
        <v>2797</v>
      </c>
      <c r="D234" s="2766" t="s">
        <v>2796</v>
      </c>
      <c r="E234" s="2766" t="s">
        <v>1989</v>
      </c>
      <c r="F234" s="2766" t="s">
        <v>639</v>
      </c>
      <c r="G234" s="2766"/>
      <c r="H234" s="2766">
        <f>Dataark_til_bilag2_2020[[#This Row],[Stald_kode]]+Dataark_til_bilag2_2020[[#This Row],[Dyr_Kode]]</f>
        <v>0</v>
      </c>
      <c r="I234" s="4347" t="s">
        <v>270</v>
      </c>
      <c r="J234" s="2766" t="s">
        <v>1943</v>
      </c>
      <c r="K234" s="2766"/>
      <c r="L234" s="2767">
        <v>1.36</v>
      </c>
      <c r="M234" s="2767">
        <v>3.1E-2</v>
      </c>
      <c r="N234" s="2760" t="str">
        <f>IFERROR(Dataark_til_bilag2_2020[[#This Row],[Antal dyr]]*Dataark_til_bilag2_2020[[#This Row],[Gødning (g) pr. dyr (ton)]]," ")</f>
        <v xml:space="preserve"> </v>
      </c>
      <c r="O234" s="2767"/>
      <c r="P234" s="2759" t="s">
        <v>270</v>
      </c>
      <c r="Q234" s="2767"/>
      <c r="R234" s="2769">
        <v>18</v>
      </c>
      <c r="S234" s="2769">
        <v>181</v>
      </c>
      <c r="T234" s="2769">
        <f t="shared" si="12"/>
        <v>32.064701369863009</v>
      </c>
      <c r="U234" s="2769">
        <f t="shared" si="13"/>
        <v>1.6632986301369863</v>
      </c>
      <c r="V234" s="2769">
        <v>12.5</v>
      </c>
      <c r="W234" s="2769">
        <v>0.18</v>
      </c>
      <c r="X234" s="2769">
        <v>0.50844959999999995</v>
      </c>
      <c r="Y234" s="2762" t="str">
        <f t="shared" si="10"/>
        <v>-</v>
      </c>
    </row>
    <row r="235" spans="1:25" x14ac:dyDescent="0.25">
      <c r="A235" s="2764" t="s">
        <v>1980</v>
      </c>
      <c r="B235" s="2765"/>
      <c r="C235" s="2766" t="s">
        <v>1991</v>
      </c>
      <c r="D235" s="2766" t="s">
        <v>329</v>
      </c>
      <c r="E235" s="2766" t="s">
        <v>1989</v>
      </c>
      <c r="F235" s="2766" t="s">
        <v>639</v>
      </c>
      <c r="G235" s="2766"/>
      <c r="H235" s="2766">
        <f>Dataark_til_bilag2_2020[[#This Row],[Stald_kode]]+Dataark_til_bilag2_2020[[#This Row],[Dyr_Kode]]</f>
        <v>0</v>
      </c>
      <c r="I235" s="4347" t="s">
        <v>270</v>
      </c>
      <c r="J235" s="2766" t="s">
        <v>1943</v>
      </c>
      <c r="K235" s="2766"/>
      <c r="L235" s="2767">
        <v>4.17</v>
      </c>
      <c r="M235" s="2767">
        <v>3.7999999999999999E-2</v>
      </c>
      <c r="N235" s="2760" t="str">
        <f>IFERROR(Dataark_til_bilag2_2020[[#This Row],[Antal dyr]]*Dataark_til_bilag2_2020[[#This Row],[Gødning (g) pr. dyr (ton)]]," ")</f>
        <v xml:space="preserve"> </v>
      </c>
      <c r="O235" s="2767"/>
      <c r="P235" s="2759" t="s">
        <v>270</v>
      </c>
      <c r="Q235" s="2767"/>
      <c r="R235" s="2769">
        <v>132</v>
      </c>
      <c r="S235" s="2769">
        <v>181</v>
      </c>
      <c r="T235" s="2769">
        <f t="shared" si="12"/>
        <v>80.923134246575344</v>
      </c>
      <c r="U235" s="2769">
        <f t="shared" si="13"/>
        <v>45.844865753424664</v>
      </c>
      <c r="V235" s="2769">
        <v>12.5</v>
      </c>
      <c r="W235" s="2769">
        <v>0.18</v>
      </c>
      <c r="X235" s="2769">
        <v>1.9110276000000002</v>
      </c>
      <c r="Y235" s="2762" t="str">
        <f t="shared" si="10"/>
        <v>-</v>
      </c>
    </row>
    <row r="236" spans="1:25" x14ac:dyDescent="0.25">
      <c r="A236" s="2764" t="s">
        <v>1980</v>
      </c>
      <c r="B236" s="2765"/>
      <c r="C236" s="2766" t="s">
        <v>1979</v>
      </c>
      <c r="D236" s="2766" t="s">
        <v>329</v>
      </c>
      <c r="E236" s="2766" t="s">
        <v>1989</v>
      </c>
      <c r="F236" s="2766" t="s">
        <v>639</v>
      </c>
      <c r="G236" s="2766"/>
      <c r="H236" s="2766">
        <f>Dataark_til_bilag2_2020[[#This Row],[Stald_kode]]+Dataark_til_bilag2_2020[[#This Row],[Dyr_Kode]]</f>
        <v>0</v>
      </c>
      <c r="I236" s="4347" t="s">
        <v>270</v>
      </c>
      <c r="J236" s="2766" t="s">
        <v>1943</v>
      </c>
      <c r="K236" s="2766"/>
      <c r="L236" s="2767">
        <v>4.8</v>
      </c>
      <c r="M236" s="2767">
        <v>3.7999999999999999E-2</v>
      </c>
      <c r="N236" s="2760" t="str">
        <f>IFERROR(Dataark_til_bilag2_2020[[#This Row],[Antal dyr]]*Dataark_til_bilag2_2020[[#This Row],[Gødning (g) pr. dyr (ton)]]," ")</f>
        <v xml:space="preserve"> </v>
      </c>
      <c r="O236" s="2767"/>
      <c r="P236" s="2759" t="s">
        <v>270</v>
      </c>
      <c r="Q236" s="2767"/>
      <c r="R236" s="2769">
        <v>132</v>
      </c>
      <c r="S236" s="2769">
        <v>181</v>
      </c>
      <c r="T236" s="2769">
        <f t="shared" si="12"/>
        <v>93.148931506849308</v>
      </c>
      <c r="U236" s="2769">
        <f t="shared" si="13"/>
        <v>52.771068493150686</v>
      </c>
      <c r="V236" s="2769">
        <v>12.5</v>
      </c>
      <c r="W236" s="2769">
        <v>0.18</v>
      </c>
      <c r="X236" s="2769">
        <v>2.1997439999999999</v>
      </c>
      <c r="Y236" s="2762" t="str">
        <f t="shared" si="10"/>
        <v>-</v>
      </c>
    </row>
    <row r="237" spans="1:25" x14ac:dyDescent="0.25">
      <c r="A237" s="2764" t="s">
        <v>1980</v>
      </c>
      <c r="B237" s="2765"/>
      <c r="C237" s="2766" t="s">
        <v>1992</v>
      </c>
      <c r="D237" s="2766" t="s">
        <v>329</v>
      </c>
      <c r="E237" s="2766" t="s">
        <v>1989</v>
      </c>
      <c r="F237" s="2766" t="s">
        <v>639</v>
      </c>
      <c r="G237" s="2766"/>
      <c r="H237" s="2766">
        <f>Dataark_til_bilag2_2020[[#This Row],[Stald_kode]]+Dataark_til_bilag2_2020[[#This Row],[Dyr_Kode]]</f>
        <v>0</v>
      </c>
      <c r="I237" s="4347" t="s">
        <v>270</v>
      </c>
      <c r="J237" s="2766" t="s">
        <v>1943</v>
      </c>
      <c r="K237" s="2766"/>
      <c r="L237" s="2767">
        <v>2.86</v>
      </c>
      <c r="M237" s="2767">
        <v>3.7999999999999999E-2</v>
      </c>
      <c r="N237" s="2760" t="str">
        <f>IFERROR(Dataark_til_bilag2_2020[[#This Row],[Antal dyr]]*Dataark_til_bilag2_2020[[#This Row],[Gødning (g) pr. dyr (ton)]]," ")</f>
        <v xml:space="preserve"> </v>
      </c>
      <c r="O237" s="2768"/>
      <c r="P237" s="2759" t="s">
        <v>270</v>
      </c>
      <c r="Q237" s="2767"/>
      <c r="R237" s="2769">
        <v>132</v>
      </c>
      <c r="S237" s="2769">
        <v>181</v>
      </c>
      <c r="T237" s="2769">
        <f t="shared" si="12"/>
        <v>55.501238356164379</v>
      </c>
      <c r="U237" s="2769">
        <f t="shared" si="13"/>
        <v>31.442761643835617</v>
      </c>
      <c r="V237" s="2769">
        <v>2</v>
      </c>
      <c r="W237" s="2769">
        <v>0.18</v>
      </c>
      <c r="X237" s="2769">
        <v>0.20970892799999999</v>
      </c>
      <c r="Y237" s="2762" t="str">
        <f t="shared" si="10"/>
        <v>-</v>
      </c>
    </row>
    <row r="238" spans="1:25" x14ac:dyDescent="0.25">
      <c r="A238" s="2764" t="s">
        <v>1980</v>
      </c>
      <c r="B238" s="2765"/>
      <c r="C238" s="2766" t="s">
        <v>2010</v>
      </c>
      <c r="D238" s="2766" t="s">
        <v>341</v>
      </c>
      <c r="E238" s="2766" t="s">
        <v>1989</v>
      </c>
      <c r="F238" s="2766" t="s">
        <v>639</v>
      </c>
      <c r="G238" s="2766"/>
      <c r="H238" s="2766">
        <f>Dataark_til_bilag2_2020[[#This Row],[Stald_kode]]+Dataark_til_bilag2_2020[[#This Row],[Dyr_Kode]]</f>
        <v>0</v>
      </c>
      <c r="I238" s="4347" t="s">
        <v>270</v>
      </c>
      <c r="J238" s="2766" t="s">
        <v>1943</v>
      </c>
      <c r="K238" s="2766"/>
      <c r="L238" s="2767">
        <v>12.95</v>
      </c>
      <c r="M238" s="2767">
        <v>3.4000000000000002E-2</v>
      </c>
      <c r="N238" s="2760" t="str">
        <f>IFERROR(Dataark_til_bilag2_2020[[#This Row],[Antal dyr]]*Dataark_til_bilag2_2020[[#This Row],[Gødning (g) pr. dyr (ton)]]," ")</f>
        <v xml:space="preserve"> </v>
      </c>
      <c r="O238" s="2768"/>
      <c r="P238" s="2759" t="s">
        <v>270</v>
      </c>
      <c r="Q238" s="2767"/>
      <c r="R238" s="2769">
        <v>18</v>
      </c>
      <c r="S238" s="2769">
        <v>181</v>
      </c>
      <c r="T238" s="2769">
        <f t="shared" si="12"/>
        <v>334.86926027397266</v>
      </c>
      <c r="U238" s="2769">
        <f t="shared" si="13"/>
        <v>17.370739726027399</v>
      </c>
      <c r="V238" s="2769">
        <v>12.5</v>
      </c>
      <c r="W238" s="2769">
        <v>0.24</v>
      </c>
      <c r="X238" s="2769">
        <v>7.0800240000000034</v>
      </c>
      <c r="Y238" s="2762" t="str">
        <f t="shared" si="10"/>
        <v>-</v>
      </c>
    </row>
    <row r="239" spans="1:25" x14ac:dyDescent="0.25">
      <c r="A239" s="2764" t="s">
        <v>1980</v>
      </c>
      <c r="B239" s="2765"/>
      <c r="C239" s="2766" t="s">
        <v>2017</v>
      </c>
      <c r="D239" s="2766" t="s">
        <v>341</v>
      </c>
      <c r="E239" s="2766" t="s">
        <v>1989</v>
      </c>
      <c r="F239" s="2766" t="s">
        <v>639</v>
      </c>
      <c r="G239" s="2766"/>
      <c r="H239" s="2766">
        <f>Dataark_til_bilag2_2020[[#This Row],[Stald_kode]]+Dataark_til_bilag2_2020[[#This Row],[Dyr_Kode]]</f>
        <v>0</v>
      </c>
      <c r="I239" s="4347" t="s">
        <v>270</v>
      </c>
      <c r="J239" s="2766" t="s">
        <v>1943</v>
      </c>
      <c r="K239" s="2766"/>
      <c r="L239" s="2767">
        <v>15.85</v>
      </c>
      <c r="M239" s="2767">
        <v>3.4000000000000002E-2</v>
      </c>
      <c r="N239" s="2760" t="str">
        <f>IFERROR(Dataark_til_bilag2_2020[[#This Row],[Antal dyr]]*Dataark_til_bilag2_2020[[#This Row],[Gødning (g) pr. dyr (ton)]]," ")</f>
        <v xml:space="preserve"> </v>
      </c>
      <c r="O239" s="2767"/>
      <c r="P239" s="2759" t="s">
        <v>270</v>
      </c>
      <c r="Q239" s="2767"/>
      <c r="R239" s="2769">
        <v>18</v>
      </c>
      <c r="S239" s="2769">
        <v>181</v>
      </c>
      <c r="T239" s="2769">
        <f t="shared" si="12"/>
        <v>409.85928767123289</v>
      </c>
      <c r="U239" s="2769">
        <f t="shared" si="13"/>
        <v>21.260712328767127</v>
      </c>
      <c r="V239" s="2769">
        <v>12.5</v>
      </c>
      <c r="W239" s="2769">
        <v>0.24</v>
      </c>
      <c r="X239" s="2769">
        <v>8.6655120000000014</v>
      </c>
      <c r="Y239" s="2762" t="str">
        <f t="shared" si="10"/>
        <v>-</v>
      </c>
    </row>
    <row r="240" spans="1:25" x14ac:dyDescent="0.25">
      <c r="A240" s="2764" t="s">
        <v>1980</v>
      </c>
      <c r="B240" s="2765"/>
      <c r="C240" s="2766" t="s">
        <v>2791</v>
      </c>
      <c r="D240" s="2766" t="s">
        <v>336</v>
      </c>
      <c r="E240" s="2766" t="s">
        <v>1989</v>
      </c>
      <c r="F240" s="2766" t="s">
        <v>639</v>
      </c>
      <c r="G240" s="2766"/>
      <c r="H240" s="2766">
        <f>Dataark_til_bilag2_2020[[#This Row],[Stald_kode]]+Dataark_til_bilag2_2020[[#This Row],[Dyr_Kode]]</f>
        <v>0</v>
      </c>
      <c r="I240" s="4347" t="s">
        <v>270</v>
      </c>
      <c r="J240" s="2766" t="s">
        <v>1943</v>
      </c>
      <c r="K240" s="2766"/>
      <c r="L240" s="2767">
        <v>2.56</v>
      </c>
      <c r="M240" s="2767">
        <v>3.1E-2</v>
      </c>
      <c r="N240" s="2760" t="str">
        <f>IFERROR(Dataark_til_bilag2_2020[[#This Row],[Antal dyr]]*Dataark_til_bilag2_2020[[#This Row],[Gødning (g) pr. dyr (ton)]]," ")</f>
        <v xml:space="preserve"> </v>
      </c>
      <c r="O240" s="2767"/>
      <c r="P240" s="2759" t="s">
        <v>270</v>
      </c>
      <c r="Q240" s="2767"/>
      <c r="R240" s="2769">
        <v>132</v>
      </c>
      <c r="S240" s="2769">
        <v>181</v>
      </c>
      <c r="T240" s="2769">
        <f t="shared" si="12"/>
        <v>40.527956164383561</v>
      </c>
      <c r="U240" s="2769">
        <f t="shared" si="13"/>
        <v>22.960043835616439</v>
      </c>
      <c r="V240" s="2769">
        <v>12.5</v>
      </c>
      <c r="W240" s="2769">
        <v>0.18</v>
      </c>
      <c r="X240" s="2769">
        <v>0.95708159999999998</v>
      </c>
      <c r="Y240" s="2762" t="str">
        <f t="shared" ref="Y240:Y271" si="14">IFERROR(IFERROR((X240*I240)/1000,(X240*I239)/1000),"-")</f>
        <v>-</v>
      </c>
    </row>
    <row r="241" spans="1:25" x14ac:dyDescent="0.25">
      <c r="A241" s="2764" t="s">
        <v>1980</v>
      </c>
      <c r="B241" s="2765"/>
      <c r="C241" s="2766" t="s">
        <v>2761</v>
      </c>
      <c r="D241" s="2766" t="s">
        <v>336</v>
      </c>
      <c r="E241" s="2766" t="s">
        <v>1989</v>
      </c>
      <c r="F241" s="2766" t="s">
        <v>639</v>
      </c>
      <c r="G241" s="2766"/>
      <c r="H241" s="2766">
        <f>Dataark_til_bilag2_2020[[#This Row],[Stald_kode]]+Dataark_til_bilag2_2020[[#This Row],[Dyr_Kode]]</f>
        <v>0</v>
      </c>
      <c r="I241" s="4347" t="s">
        <v>270</v>
      </c>
      <c r="J241" s="2766" t="s">
        <v>1943</v>
      </c>
      <c r="K241" s="2766"/>
      <c r="L241" s="2767">
        <v>3.17</v>
      </c>
      <c r="M241" s="2767">
        <v>3.4000000000000002E-2</v>
      </c>
      <c r="N241" s="2760" t="str">
        <f>IFERROR(Dataark_til_bilag2_2020[[#This Row],[Antal dyr]]*Dataark_til_bilag2_2020[[#This Row],[Gødning (g) pr. dyr (ton)]]," ")</f>
        <v xml:space="preserve"> </v>
      </c>
      <c r="O241" s="2767"/>
      <c r="P241" s="2759" t="s">
        <v>270</v>
      </c>
      <c r="Q241" s="2767"/>
      <c r="R241" s="2769">
        <v>132</v>
      </c>
      <c r="S241" s="2769">
        <v>181</v>
      </c>
      <c r="T241" s="2769">
        <f t="shared" si="12"/>
        <v>55.041621917808222</v>
      </c>
      <c r="U241" s="2769">
        <f t="shared" si="13"/>
        <v>31.182378082191786</v>
      </c>
      <c r="V241" s="2769">
        <v>12.5</v>
      </c>
      <c r="W241" s="2769">
        <v>0.18</v>
      </c>
      <c r="X241" s="2769">
        <v>1.2998267999999999</v>
      </c>
      <c r="Y241" s="2762" t="str">
        <f t="shared" si="14"/>
        <v>-</v>
      </c>
    </row>
    <row r="242" spans="1:25" x14ac:dyDescent="0.25">
      <c r="A242" s="2764" t="s">
        <v>907</v>
      </c>
      <c r="B242" s="2765"/>
      <c r="C242" s="2766" t="s">
        <v>1954</v>
      </c>
      <c r="D242" s="2766" t="s">
        <v>342</v>
      </c>
      <c r="E242" s="2766" t="s">
        <v>1956</v>
      </c>
      <c r="F242" s="2766" t="s">
        <v>353</v>
      </c>
      <c r="G242" s="2777"/>
      <c r="H242" s="2766">
        <f>Dataark_til_bilag2_2020[[#This Row],[Stald_kode]]+Dataark_til_bilag2_2020[[#This Row],[Dyr_Kode]]</f>
        <v>0</v>
      </c>
      <c r="I242" s="4347" t="s">
        <v>270</v>
      </c>
      <c r="J242" s="2766"/>
      <c r="K242" s="2766" t="s">
        <v>350</v>
      </c>
      <c r="L242" s="2767"/>
      <c r="M242" s="2767"/>
      <c r="N242" s="2760" t="str">
        <f>IFERROR(Dataark_til_bilag2_2020[[#This Row],[Antal dyr]]*Dataark_til_bilag2_2020[[#This Row],[Gødning (g) pr. dyr (ton)]]," ")</f>
        <v xml:space="preserve"> </v>
      </c>
      <c r="O242" s="2768">
        <v>0.8</v>
      </c>
      <c r="P242" s="2759" t="s">
        <v>270</v>
      </c>
      <c r="Q242" s="2767">
        <v>0.33</v>
      </c>
      <c r="R242" s="2769">
        <v>181</v>
      </c>
      <c r="S242" s="2769">
        <v>181</v>
      </c>
      <c r="T242" s="2769">
        <f t="shared" si="12"/>
        <v>133.02504328767125</v>
      </c>
      <c r="U242" s="2769">
        <f t="shared" si="13"/>
        <v>0</v>
      </c>
      <c r="V242" s="2769">
        <v>13.7</v>
      </c>
      <c r="W242" s="2769">
        <v>0.45</v>
      </c>
      <c r="X242" s="2769">
        <v>5.4946659255189054</v>
      </c>
      <c r="Y242" s="2762" t="str">
        <f t="shared" si="14"/>
        <v>-</v>
      </c>
    </row>
    <row r="243" spans="1:25" x14ac:dyDescent="0.25">
      <c r="A243" s="2764" t="s">
        <v>907</v>
      </c>
      <c r="B243" s="2765"/>
      <c r="C243" s="2766" t="s">
        <v>1948</v>
      </c>
      <c r="D243" s="2766" t="s">
        <v>2747</v>
      </c>
      <c r="E243" s="2766" t="s">
        <v>1947</v>
      </c>
      <c r="F243" s="2766" t="s">
        <v>350</v>
      </c>
      <c r="G243" s="2780"/>
      <c r="H243" s="2766">
        <f>Dataark_til_bilag2_2020[[#This Row],[Stald_kode]]+Dataark_til_bilag2_2020[[#This Row],[Dyr_Kode]]</f>
        <v>0</v>
      </c>
      <c r="I243" s="4347" t="s">
        <v>270</v>
      </c>
      <c r="J243" s="2768"/>
      <c r="K243" s="2766" t="s">
        <v>350</v>
      </c>
      <c r="L243" s="2767">
        <v>0.7</v>
      </c>
      <c r="M243" s="2767">
        <v>0.33</v>
      </c>
      <c r="N243" s="2760" t="str">
        <f>IFERROR(Dataark_til_bilag2_2020[[#This Row],[Antal dyr]]*Dataark_til_bilag2_2020[[#This Row],[Gødning (g) pr. dyr (ton)]]," ")</f>
        <v xml:space="preserve"> </v>
      </c>
      <c r="O243" s="2767"/>
      <c r="P243" s="2759" t="s">
        <v>270</v>
      </c>
      <c r="Q243" s="2767">
        <v>0.33</v>
      </c>
      <c r="R243" s="2769">
        <v>0</v>
      </c>
      <c r="S243" s="2769">
        <v>0</v>
      </c>
      <c r="T243" s="2769">
        <f t="shared" si="12"/>
        <v>184.79999999999998</v>
      </c>
      <c r="U243" s="2769">
        <f t="shared" si="13"/>
        <v>0</v>
      </c>
      <c r="V243" s="2769">
        <v>14.7</v>
      </c>
      <c r="W243" s="2769">
        <v>0.45</v>
      </c>
      <c r="X243" s="2769">
        <v>8.1904283999999983</v>
      </c>
      <c r="Y243" s="2762" t="str">
        <f t="shared" si="14"/>
        <v>-</v>
      </c>
    </row>
    <row r="244" spans="1:25" x14ac:dyDescent="0.25">
      <c r="A244" s="2764" t="s">
        <v>907</v>
      </c>
      <c r="B244" s="2765"/>
      <c r="C244" s="2766" t="s">
        <v>1951</v>
      </c>
      <c r="D244" s="2766" t="s">
        <v>339</v>
      </c>
      <c r="E244" s="2766" t="s">
        <v>1947</v>
      </c>
      <c r="F244" s="2766" t="s">
        <v>350</v>
      </c>
      <c r="G244" s="2780"/>
      <c r="H244" s="2766">
        <f>Dataark_til_bilag2_2020[[#This Row],[Stald_kode]]+Dataark_til_bilag2_2020[[#This Row],[Dyr_Kode]]</f>
        <v>0</v>
      </c>
      <c r="I244" s="4347" t="s">
        <v>270</v>
      </c>
      <c r="J244" s="2766"/>
      <c r="K244" s="2766" t="s">
        <v>350</v>
      </c>
      <c r="L244" s="2767"/>
      <c r="M244" s="2767"/>
      <c r="N244" s="2760" t="str">
        <f>IFERROR(Dataark_til_bilag2_2020[[#This Row],[Antal dyr]]*Dataark_til_bilag2_2020[[#This Row],[Gødning (g) pr. dyr (ton)]]," ")</f>
        <v xml:space="preserve"> </v>
      </c>
      <c r="O244" s="2767">
        <v>0.01</v>
      </c>
      <c r="P244" s="2759" t="s">
        <v>270</v>
      </c>
      <c r="Q244" s="2767">
        <v>0.33</v>
      </c>
      <c r="R244" s="2769">
        <v>0</v>
      </c>
      <c r="S244" s="2769">
        <v>0</v>
      </c>
      <c r="T244" s="2769">
        <f t="shared" si="12"/>
        <v>3.2985150000000005</v>
      </c>
      <c r="U244" s="2769">
        <f t="shared" si="13"/>
        <v>0</v>
      </c>
      <c r="V244" s="2769">
        <v>7.2</v>
      </c>
      <c r="W244" s="2769">
        <v>0.45</v>
      </c>
      <c r="X244" s="2769">
        <v>7.1604163620000022E-2</v>
      </c>
      <c r="Y244" s="2762" t="str">
        <f t="shared" si="14"/>
        <v>-</v>
      </c>
    </row>
    <row r="245" spans="1:25" x14ac:dyDescent="0.25">
      <c r="A245" s="2764" t="s">
        <v>1980</v>
      </c>
      <c r="B245" s="2765"/>
      <c r="C245" s="2766" t="s">
        <v>2011</v>
      </c>
      <c r="D245" s="2766" t="s">
        <v>330</v>
      </c>
      <c r="E245" s="2766" t="s">
        <v>1985</v>
      </c>
      <c r="F245" s="2766" t="s">
        <v>350</v>
      </c>
      <c r="G245" s="2766"/>
      <c r="H245" s="2766">
        <f>Dataark_til_bilag2_2020[[#This Row],[Stald_kode]]+Dataark_til_bilag2_2020[[#This Row],[Dyr_Kode]]</f>
        <v>0</v>
      </c>
      <c r="I245" s="4347" t="s">
        <v>270</v>
      </c>
      <c r="J245" s="2766"/>
      <c r="K245" s="2766" t="s">
        <v>350</v>
      </c>
      <c r="L245" s="2767"/>
      <c r="M245" s="2767"/>
      <c r="N245" s="2760" t="str">
        <f>IFERROR(Dataark_til_bilag2_2020[[#This Row],[Antal dyr]]*Dataark_til_bilag2_2020[[#This Row],[Gødning (g) pr. dyr (ton)]]," ")</f>
        <v xml:space="preserve"> </v>
      </c>
      <c r="O245" s="2767">
        <v>4.2</v>
      </c>
      <c r="P245" s="2759" t="s">
        <v>270</v>
      </c>
      <c r="Q245" s="2767">
        <v>0.3</v>
      </c>
      <c r="R245" s="2769">
        <v>18</v>
      </c>
      <c r="S245" s="2769">
        <v>181</v>
      </c>
      <c r="T245" s="2769">
        <f t="shared" si="12"/>
        <v>1197.3239753424657</v>
      </c>
      <c r="U245" s="2769">
        <f t="shared" si="13"/>
        <v>0</v>
      </c>
      <c r="V245" s="2769">
        <v>17</v>
      </c>
      <c r="W245" s="2769">
        <v>0.18</v>
      </c>
      <c r="X245" s="2769">
        <v>24.54753614247123</v>
      </c>
      <c r="Y245" s="2762" t="str">
        <f t="shared" si="14"/>
        <v>-</v>
      </c>
    </row>
    <row r="246" spans="1:25" x14ac:dyDescent="0.25">
      <c r="A246" s="2764" t="s">
        <v>1980</v>
      </c>
      <c r="B246" s="2765"/>
      <c r="C246" s="2766" t="s">
        <v>2797</v>
      </c>
      <c r="D246" s="2766" t="s">
        <v>2796</v>
      </c>
      <c r="E246" s="2766" t="s">
        <v>1985</v>
      </c>
      <c r="F246" s="2766" t="s">
        <v>350</v>
      </c>
      <c r="G246" s="2766"/>
      <c r="H246" s="2766">
        <f>Dataark_til_bilag2_2020[[#This Row],[Stald_kode]]+Dataark_til_bilag2_2020[[#This Row],[Dyr_Kode]]</f>
        <v>0</v>
      </c>
      <c r="I246" s="4347" t="s">
        <v>270</v>
      </c>
      <c r="J246" s="2766"/>
      <c r="K246" s="2766" t="s">
        <v>350</v>
      </c>
      <c r="L246" s="2768"/>
      <c r="M246" s="2768"/>
      <c r="N246" s="2760" t="str">
        <f>IFERROR(Dataark_til_bilag2_2020[[#This Row],[Antal dyr]]*Dataark_til_bilag2_2020[[#This Row],[Gødning (g) pr. dyr (ton)]]," ")</f>
        <v xml:space="preserve"> </v>
      </c>
      <c r="O246" s="2767">
        <v>1.91</v>
      </c>
      <c r="P246" s="2759" t="s">
        <v>270</v>
      </c>
      <c r="Q246" s="2767">
        <v>0.3</v>
      </c>
      <c r="R246" s="2769">
        <v>18</v>
      </c>
      <c r="S246" s="2769">
        <v>181</v>
      </c>
      <c r="T246" s="2769">
        <f t="shared" si="12"/>
        <v>544.49733164383565</v>
      </c>
      <c r="U246" s="2769">
        <f t="shared" ref="U246:U261" si="15">(O246*1000)/365*Q246*0.8*R246</f>
        <v>22.606027397260277</v>
      </c>
      <c r="V246" s="2769">
        <v>3</v>
      </c>
      <c r="W246" s="2769">
        <v>0.18</v>
      </c>
      <c r="X246" s="2769">
        <v>2.0517799530106853</v>
      </c>
      <c r="Y246" s="2762" t="str">
        <f t="shared" si="14"/>
        <v>-</v>
      </c>
    </row>
    <row r="247" spans="1:25" x14ac:dyDescent="0.25">
      <c r="A247" s="2764" t="s">
        <v>1980</v>
      </c>
      <c r="B247" s="2765"/>
      <c r="C247" s="2766" t="s">
        <v>1991</v>
      </c>
      <c r="D247" s="2766" t="s">
        <v>329</v>
      </c>
      <c r="E247" s="2766" t="s">
        <v>1985</v>
      </c>
      <c r="F247" s="2766" t="s">
        <v>350</v>
      </c>
      <c r="G247" s="2766"/>
      <c r="H247" s="2766">
        <f>Dataark_til_bilag2_2020[[#This Row],[Stald_kode]]+Dataark_til_bilag2_2020[[#This Row],[Dyr_Kode]]</f>
        <v>0</v>
      </c>
      <c r="I247" s="4347" t="s">
        <v>270</v>
      </c>
      <c r="J247" s="2766"/>
      <c r="K247" s="2766" t="s">
        <v>350</v>
      </c>
      <c r="L247" s="2768"/>
      <c r="M247" s="2768"/>
      <c r="N247" s="2760" t="str">
        <f>IFERROR(Dataark_til_bilag2_2020[[#This Row],[Antal dyr]]*Dataark_til_bilag2_2020[[#This Row],[Gødning (g) pr. dyr (ton)]]," ")</f>
        <v xml:space="preserve"> </v>
      </c>
      <c r="O247" s="2767">
        <v>6.67</v>
      </c>
      <c r="P247" s="2759" t="s">
        <v>270</v>
      </c>
      <c r="Q247" s="2767">
        <v>0.3</v>
      </c>
      <c r="R247" s="2769">
        <v>132</v>
      </c>
      <c r="S247" s="2769">
        <v>181</v>
      </c>
      <c r="T247" s="2769">
        <f t="shared" si="12"/>
        <v>1276.7758771232877</v>
      </c>
      <c r="U247" s="2769">
        <f t="shared" si="15"/>
        <v>578.91945205479453</v>
      </c>
      <c r="V247" s="2769">
        <v>17</v>
      </c>
      <c r="W247" s="2769">
        <v>0.18</v>
      </c>
      <c r="X247" s="2769">
        <v>38.045465638809048</v>
      </c>
      <c r="Y247" s="2762" t="str">
        <f t="shared" si="14"/>
        <v>-</v>
      </c>
    </row>
    <row r="248" spans="1:25" x14ac:dyDescent="0.25">
      <c r="A248" s="2764" t="s">
        <v>1980</v>
      </c>
      <c r="B248" s="2765"/>
      <c r="C248" s="2766" t="s">
        <v>1979</v>
      </c>
      <c r="D248" s="2766" t="s">
        <v>329</v>
      </c>
      <c r="E248" s="2766" t="s">
        <v>1985</v>
      </c>
      <c r="F248" s="2766" t="s">
        <v>350</v>
      </c>
      <c r="G248" s="2766"/>
      <c r="H248" s="2766">
        <f>Dataark_til_bilag2_2020[[#This Row],[Stald_kode]]+Dataark_til_bilag2_2020[[#This Row],[Dyr_Kode]]</f>
        <v>0</v>
      </c>
      <c r="I248" s="4347" t="s">
        <v>270</v>
      </c>
      <c r="J248" s="2766"/>
      <c r="K248" s="2766" t="s">
        <v>350</v>
      </c>
      <c r="L248" s="2768"/>
      <c r="M248" s="2768"/>
      <c r="N248" s="2760" t="str">
        <f>IFERROR(Dataark_til_bilag2_2020[[#This Row],[Antal dyr]]*Dataark_til_bilag2_2020[[#This Row],[Gødning (g) pr. dyr (ton)]]," ")</f>
        <v xml:space="preserve"> </v>
      </c>
      <c r="O248" s="2767">
        <v>6.95</v>
      </c>
      <c r="P248" s="2759" t="s">
        <v>270</v>
      </c>
      <c r="Q248" s="2767">
        <v>0.3</v>
      </c>
      <c r="R248" s="2769">
        <v>132</v>
      </c>
      <c r="S248" s="2769">
        <v>181</v>
      </c>
      <c r="T248" s="2769">
        <f t="shared" si="12"/>
        <v>1330.3736650684932</v>
      </c>
      <c r="U248" s="2769">
        <f t="shared" si="15"/>
        <v>603.22191780821913</v>
      </c>
      <c r="V248" s="2769">
        <v>17</v>
      </c>
      <c r="W248" s="2769">
        <v>0.18</v>
      </c>
      <c r="X248" s="2769">
        <v>39.642576640138358</v>
      </c>
      <c r="Y248" s="2762" t="str">
        <f t="shared" si="14"/>
        <v>-</v>
      </c>
    </row>
    <row r="249" spans="1:25" x14ac:dyDescent="0.25">
      <c r="A249" s="2764" t="s">
        <v>1980</v>
      </c>
      <c r="B249" s="2765"/>
      <c r="C249" s="2766" t="s">
        <v>1992</v>
      </c>
      <c r="D249" s="2766" t="s">
        <v>329</v>
      </c>
      <c r="E249" s="2766" t="s">
        <v>1985</v>
      </c>
      <c r="F249" s="2766" t="s">
        <v>350</v>
      </c>
      <c r="G249" s="2766"/>
      <c r="H249" s="2766">
        <f>Dataark_til_bilag2_2020[[#This Row],[Stald_kode]]+Dataark_til_bilag2_2020[[#This Row],[Dyr_Kode]]</f>
        <v>0</v>
      </c>
      <c r="I249" s="4347" t="s">
        <v>270</v>
      </c>
      <c r="J249" s="2766"/>
      <c r="K249" s="2766" t="s">
        <v>350</v>
      </c>
      <c r="L249" s="2768"/>
      <c r="M249" s="2768"/>
      <c r="N249" s="2760" t="str">
        <f>IFERROR(Dataark_til_bilag2_2020[[#This Row],[Antal dyr]]*Dataark_til_bilag2_2020[[#This Row],[Gødning (g) pr. dyr (ton)]]," ")</f>
        <v xml:space="preserve"> </v>
      </c>
      <c r="O249" s="2767">
        <v>4.88</v>
      </c>
      <c r="P249" s="2759" t="s">
        <v>270</v>
      </c>
      <c r="Q249" s="2767">
        <v>0.3</v>
      </c>
      <c r="R249" s="2769">
        <v>132</v>
      </c>
      <c r="S249" s="2769">
        <v>181</v>
      </c>
      <c r="T249" s="2769">
        <f t="shared" si="12"/>
        <v>934.13287561643835</v>
      </c>
      <c r="U249" s="2769">
        <f t="shared" si="15"/>
        <v>423.55726027397259</v>
      </c>
      <c r="V249" s="2769">
        <v>17</v>
      </c>
      <c r="W249" s="2769">
        <v>0.18</v>
      </c>
      <c r="X249" s="2769">
        <v>27.835363166025203</v>
      </c>
      <c r="Y249" s="2762" t="str">
        <f t="shared" si="14"/>
        <v>-</v>
      </c>
    </row>
    <row r="250" spans="1:25" x14ac:dyDescent="0.25">
      <c r="A250" s="2764" t="s">
        <v>1980</v>
      </c>
      <c r="B250" s="2765"/>
      <c r="C250" s="2766" t="s">
        <v>2010</v>
      </c>
      <c r="D250" s="2766" t="s">
        <v>341</v>
      </c>
      <c r="E250" s="2766" t="s">
        <v>1985</v>
      </c>
      <c r="F250" s="2766" t="s">
        <v>350</v>
      </c>
      <c r="G250" s="2766"/>
      <c r="H250" s="2766">
        <f>Dataark_til_bilag2_2020[[#This Row],[Stald_kode]]+Dataark_til_bilag2_2020[[#This Row],[Dyr_Kode]]</f>
        <v>0</v>
      </c>
      <c r="I250" s="4347" t="s">
        <v>270</v>
      </c>
      <c r="J250" s="2766"/>
      <c r="K250" s="2766" t="s">
        <v>350</v>
      </c>
      <c r="L250" s="2768"/>
      <c r="M250" s="2768"/>
      <c r="N250" s="2760" t="str">
        <f>IFERROR(Dataark_til_bilag2_2020[[#This Row],[Antal dyr]]*Dataark_til_bilag2_2020[[#This Row],[Gødning (g) pr. dyr (ton)]]," ")</f>
        <v xml:space="preserve"> </v>
      </c>
      <c r="O250" s="2767">
        <v>10.24</v>
      </c>
      <c r="P250" s="2759" t="s">
        <v>270</v>
      </c>
      <c r="Q250" s="2767">
        <v>0.28999999999999998</v>
      </c>
      <c r="R250" s="2769">
        <v>18</v>
      </c>
      <c r="S250" s="2769">
        <v>181</v>
      </c>
      <c r="T250" s="2769">
        <f t="shared" si="12"/>
        <v>2821.8835533150677</v>
      </c>
      <c r="U250" s="2769">
        <f t="shared" si="15"/>
        <v>117.1568219178082</v>
      </c>
      <c r="V250" s="2769">
        <v>17</v>
      </c>
      <c r="W250" s="2769">
        <v>0.24</v>
      </c>
      <c r="X250" s="2769">
        <v>80.341607697365902</v>
      </c>
      <c r="Y250" s="2762" t="str">
        <f t="shared" si="14"/>
        <v>-</v>
      </c>
    </row>
    <row r="251" spans="1:25" x14ac:dyDescent="0.25">
      <c r="A251" s="2764" t="s">
        <v>1980</v>
      </c>
      <c r="B251" s="2765"/>
      <c r="C251" s="2766" t="s">
        <v>2017</v>
      </c>
      <c r="D251" s="2766" t="s">
        <v>341</v>
      </c>
      <c r="E251" s="2766" t="s">
        <v>1985</v>
      </c>
      <c r="F251" s="2766" t="s">
        <v>350</v>
      </c>
      <c r="G251" s="2766"/>
      <c r="H251" s="2766">
        <f>Dataark_til_bilag2_2020[[#This Row],[Stald_kode]]+Dataark_til_bilag2_2020[[#This Row],[Dyr_Kode]]</f>
        <v>0</v>
      </c>
      <c r="I251" s="4347" t="s">
        <v>270</v>
      </c>
      <c r="J251" s="2766"/>
      <c r="K251" s="2766" t="s">
        <v>350</v>
      </c>
      <c r="L251" s="2768"/>
      <c r="M251" s="2768"/>
      <c r="N251" s="2760" t="str">
        <f>IFERROR(Dataark_til_bilag2_2020[[#This Row],[Antal dyr]]*Dataark_til_bilag2_2020[[#This Row],[Gødning (g) pr. dyr (ton)]]," ")</f>
        <v xml:space="preserve"> </v>
      </c>
      <c r="O251" s="2767">
        <v>12.72</v>
      </c>
      <c r="P251" s="2759" t="s">
        <v>270</v>
      </c>
      <c r="Q251" s="2767">
        <v>0.28699999999999998</v>
      </c>
      <c r="R251" s="2769">
        <v>18</v>
      </c>
      <c r="S251" s="2769">
        <v>181</v>
      </c>
      <c r="T251" s="2769">
        <f t="shared" si="12"/>
        <v>3469.0466645589036</v>
      </c>
      <c r="U251" s="2769">
        <f t="shared" si="15"/>
        <v>144.02524931506849</v>
      </c>
      <c r="V251" s="2769">
        <v>17</v>
      </c>
      <c r="W251" s="2769">
        <v>0.24</v>
      </c>
      <c r="X251" s="2769">
        <v>98.766933837658897</v>
      </c>
      <c r="Y251" s="2762" t="str">
        <f t="shared" si="14"/>
        <v>-</v>
      </c>
    </row>
    <row r="252" spans="1:25" x14ac:dyDescent="0.25">
      <c r="A252" s="2764" t="s">
        <v>1980</v>
      </c>
      <c r="B252" s="2765"/>
      <c r="C252" s="2766" t="s">
        <v>2791</v>
      </c>
      <c r="D252" s="2766" t="s">
        <v>336</v>
      </c>
      <c r="E252" s="2766" t="s">
        <v>1985</v>
      </c>
      <c r="F252" s="2766" t="s">
        <v>350</v>
      </c>
      <c r="G252" s="2766"/>
      <c r="H252" s="2766">
        <f>Dataark_til_bilag2_2020[[#This Row],[Stald_kode]]+Dataark_til_bilag2_2020[[#This Row],[Dyr_Kode]]</f>
        <v>0</v>
      </c>
      <c r="I252" s="4347" t="s">
        <v>270</v>
      </c>
      <c r="J252" s="2766"/>
      <c r="K252" s="2766" t="s">
        <v>350</v>
      </c>
      <c r="L252" s="2768"/>
      <c r="M252" s="2768"/>
      <c r="N252" s="2760" t="str">
        <f>IFERROR(Dataark_til_bilag2_2020[[#This Row],[Antal dyr]]*Dataark_til_bilag2_2020[[#This Row],[Gødning (g) pr. dyr (ton)]]," ")</f>
        <v xml:space="preserve"> </v>
      </c>
      <c r="O252" s="2767">
        <v>3.31</v>
      </c>
      <c r="P252" s="2759" t="s">
        <v>270</v>
      </c>
      <c r="Q252" s="2767">
        <v>0.3</v>
      </c>
      <c r="R252" s="2769">
        <v>132</v>
      </c>
      <c r="S252" s="2769">
        <v>181</v>
      </c>
      <c r="T252" s="2769">
        <f t="shared" si="12"/>
        <v>633.60242178082194</v>
      </c>
      <c r="U252" s="2769">
        <f t="shared" si="15"/>
        <v>287.28986301369866</v>
      </c>
      <c r="V252" s="2769">
        <v>17</v>
      </c>
      <c r="W252" s="2769">
        <v>0.18</v>
      </c>
      <c r="X252" s="2769">
        <v>18.880133622857265</v>
      </c>
      <c r="Y252" s="2762" t="str">
        <f t="shared" si="14"/>
        <v>-</v>
      </c>
    </row>
    <row r="253" spans="1:25" x14ac:dyDescent="0.25">
      <c r="A253" s="2764" t="s">
        <v>1980</v>
      </c>
      <c r="B253" s="2765"/>
      <c r="C253" s="2766" t="s">
        <v>2761</v>
      </c>
      <c r="D253" s="2766" t="s">
        <v>336</v>
      </c>
      <c r="E253" s="2766" t="s">
        <v>1985</v>
      </c>
      <c r="F253" s="2766" t="s">
        <v>350</v>
      </c>
      <c r="G253" s="2766"/>
      <c r="H253" s="2766">
        <f>Dataark_til_bilag2_2020[[#This Row],[Stald_kode]]+Dataark_til_bilag2_2020[[#This Row],[Dyr_Kode]]</f>
        <v>0</v>
      </c>
      <c r="I253" s="4347" t="s">
        <v>270</v>
      </c>
      <c r="J253" s="2766"/>
      <c r="K253" s="2766" t="s">
        <v>350</v>
      </c>
      <c r="L253" s="2768"/>
      <c r="M253" s="2768"/>
      <c r="N253" s="2760" t="str">
        <f>IFERROR(Dataark_til_bilag2_2020[[#This Row],[Antal dyr]]*Dataark_til_bilag2_2020[[#This Row],[Gødning (g) pr. dyr (ton)]]," ")</f>
        <v xml:space="preserve"> </v>
      </c>
      <c r="O253" s="2767">
        <v>4.2</v>
      </c>
      <c r="P253" s="2759" t="s">
        <v>270</v>
      </c>
      <c r="Q253" s="2767">
        <v>0.3</v>
      </c>
      <c r="R253" s="2769">
        <v>132</v>
      </c>
      <c r="S253" s="2769">
        <v>181</v>
      </c>
      <c r="T253" s="2769">
        <f t="shared" si="12"/>
        <v>803.96681917808223</v>
      </c>
      <c r="U253" s="2769">
        <f t="shared" si="15"/>
        <v>364.53698630136989</v>
      </c>
      <c r="V253" s="2769">
        <v>17</v>
      </c>
      <c r="W253" s="2769">
        <v>0.18</v>
      </c>
      <c r="X253" s="2769">
        <v>23.956665019939731</v>
      </c>
      <c r="Y253" s="2762" t="str">
        <f t="shared" si="14"/>
        <v>-</v>
      </c>
    </row>
    <row r="254" spans="1:25" x14ac:dyDescent="0.25">
      <c r="A254" s="2764" t="s">
        <v>1980</v>
      </c>
      <c r="B254" s="2765"/>
      <c r="C254" s="2766" t="s">
        <v>2797</v>
      </c>
      <c r="D254" s="2766" t="s">
        <v>2796</v>
      </c>
      <c r="E254" s="2766" t="s">
        <v>1983</v>
      </c>
      <c r="F254" s="2766" t="s">
        <v>350</v>
      </c>
      <c r="G254" s="2766"/>
      <c r="H254" s="2766">
        <f>Dataark_til_bilag2_2020[[#This Row],[Stald_kode]]+Dataark_til_bilag2_2020[[#This Row],[Dyr_Kode]]</f>
        <v>0</v>
      </c>
      <c r="I254" s="4347" t="s">
        <v>270</v>
      </c>
      <c r="J254" s="2766"/>
      <c r="K254" s="2766" t="s">
        <v>350</v>
      </c>
      <c r="L254" s="2768"/>
      <c r="M254" s="2768"/>
      <c r="N254" s="2760" t="str">
        <f>IFERROR(Dataark_til_bilag2_2020[[#This Row],[Antal dyr]]*Dataark_til_bilag2_2020[[#This Row],[Gødning (g) pr. dyr (ton)]]," ")</f>
        <v xml:space="preserve"> </v>
      </c>
      <c r="O254" s="2767">
        <v>1.91</v>
      </c>
      <c r="P254" s="2759" t="s">
        <v>270</v>
      </c>
      <c r="Q254" s="2767">
        <v>0.3</v>
      </c>
      <c r="R254" s="2769">
        <v>18</v>
      </c>
      <c r="S254" s="2769">
        <v>181</v>
      </c>
      <c r="T254" s="2769">
        <f t="shared" si="12"/>
        <v>544.49733164383565</v>
      </c>
      <c r="U254" s="2769">
        <f t="shared" si="15"/>
        <v>22.606027397260277</v>
      </c>
      <c r="V254" s="2769">
        <v>17</v>
      </c>
      <c r="W254" s="2769">
        <v>0.18</v>
      </c>
      <c r="X254" s="2769">
        <v>11.626753067060548</v>
      </c>
      <c r="Y254" s="2762" t="str">
        <f t="shared" si="14"/>
        <v>-</v>
      </c>
    </row>
    <row r="255" spans="1:25" x14ac:dyDescent="0.25">
      <c r="A255" s="2764" t="s">
        <v>1980</v>
      </c>
      <c r="B255" s="2765"/>
      <c r="C255" s="2766" t="s">
        <v>1991</v>
      </c>
      <c r="D255" s="2766" t="s">
        <v>329</v>
      </c>
      <c r="E255" s="2766" t="s">
        <v>1983</v>
      </c>
      <c r="F255" s="2766" t="s">
        <v>350</v>
      </c>
      <c r="G255" s="2766"/>
      <c r="H255" s="2766">
        <f>Dataark_til_bilag2_2020[[#This Row],[Stald_kode]]+Dataark_til_bilag2_2020[[#This Row],[Dyr_Kode]]</f>
        <v>0</v>
      </c>
      <c r="I255" s="4347" t="s">
        <v>270</v>
      </c>
      <c r="J255" s="2766"/>
      <c r="K255" s="2766" t="s">
        <v>350</v>
      </c>
      <c r="L255" s="2768"/>
      <c r="M255" s="2768"/>
      <c r="N255" s="2760" t="str">
        <f>IFERROR(Dataark_til_bilag2_2020[[#This Row],[Antal dyr]]*Dataark_til_bilag2_2020[[#This Row],[Gødning (g) pr. dyr (ton)]]," ")</f>
        <v xml:space="preserve"> </v>
      </c>
      <c r="O255" s="2767">
        <v>6.67</v>
      </c>
      <c r="P255" s="2759" t="s">
        <v>270</v>
      </c>
      <c r="Q255" s="2767">
        <v>0.3</v>
      </c>
      <c r="R255" s="2769">
        <v>132</v>
      </c>
      <c r="S255" s="2769">
        <v>181</v>
      </c>
      <c r="T255" s="2769">
        <f t="shared" si="12"/>
        <v>1276.7758771232877</v>
      </c>
      <c r="U255" s="2769">
        <f t="shared" si="15"/>
        <v>578.91945205479453</v>
      </c>
      <c r="V255" s="2769">
        <v>17</v>
      </c>
      <c r="W255" s="2769">
        <v>0.18</v>
      </c>
      <c r="X255" s="2769">
        <v>38.045465638809048</v>
      </c>
      <c r="Y255" s="2762" t="str">
        <f t="shared" si="14"/>
        <v>-</v>
      </c>
    </row>
    <row r="256" spans="1:25" x14ac:dyDescent="0.25">
      <c r="A256" s="2764" t="s">
        <v>1980</v>
      </c>
      <c r="B256" s="2765"/>
      <c r="C256" s="2766" t="s">
        <v>1979</v>
      </c>
      <c r="D256" s="2766" t="s">
        <v>329</v>
      </c>
      <c r="E256" s="2766" t="s">
        <v>1983</v>
      </c>
      <c r="F256" s="2766" t="s">
        <v>350</v>
      </c>
      <c r="G256" s="2766"/>
      <c r="H256" s="2766">
        <f>Dataark_til_bilag2_2020[[#This Row],[Stald_kode]]+Dataark_til_bilag2_2020[[#This Row],[Dyr_Kode]]</f>
        <v>0</v>
      </c>
      <c r="I256" s="4347" t="s">
        <v>270</v>
      </c>
      <c r="J256" s="2766"/>
      <c r="K256" s="2766" t="s">
        <v>350</v>
      </c>
      <c r="L256" s="2768"/>
      <c r="M256" s="2768"/>
      <c r="N256" s="2760" t="str">
        <f>IFERROR(Dataark_til_bilag2_2020[[#This Row],[Antal dyr]]*Dataark_til_bilag2_2020[[#This Row],[Gødning (g) pr. dyr (ton)]]," ")</f>
        <v xml:space="preserve"> </v>
      </c>
      <c r="O256" s="2767">
        <v>6.95</v>
      </c>
      <c r="P256" s="2759" t="s">
        <v>270</v>
      </c>
      <c r="Q256" s="2767">
        <v>0.3</v>
      </c>
      <c r="R256" s="2769">
        <v>132</v>
      </c>
      <c r="S256" s="2769">
        <v>181</v>
      </c>
      <c r="T256" s="2769">
        <f t="shared" si="12"/>
        <v>1330.3736650684932</v>
      </c>
      <c r="U256" s="2769">
        <f t="shared" si="15"/>
        <v>603.22191780821913</v>
      </c>
      <c r="V256" s="2769">
        <v>17</v>
      </c>
      <c r="W256" s="2769">
        <v>0.18</v>
      </c>
      <c r="X256" s="2769">
        <v>39.642576640138358</v>
      </c>
      <c r="Y256" s="2762" t="str">
        <f t="shared" si="14"/>
        <v>-</v>
      </c>
    </row>
    <row r="257" spans="1:25" x14ac:dyDescent="0.25">
      <c r="A257" s="2764" t="s">
        <v>1980</v>
      </c>
      <c r="B257" s="2765"/>
      <c r="C257" s="2766" t="s">
        <v>1992</v>
      </c>
      <c r="D257" s="2766" t="s">
        <v>329</v>
      </c>
      <c r="E257" s="2766" t="s">
        <v>1983</v>
      </c>
      <c r="F257" s="2766" t="s">
        <v>350</v>
      </c>
      <c r="G257" s="2766"/>
      <c r="H257" s="2766">
        <f>Dataark_til_bilag2_2020[[#This Row],[Stald_kode]]+Dataark_til_bilag2_2020[[#This Row],[Dyr_Kode]]</f>
        <v>0</v>
      </c>
      <c r="I257" s="4347" t="s">
        <v>270</v>
      </c>
      <c r="J257" s="2766"/>
      <c r="K257" s="2766" t="s">
        <v>350</v>
      </c>
      <c r="L257" s="2768"/>
      <c r="M257" s="2768"/>
      <c r="N257" s="2760" t="str">
        <f>IFERROR(Dataark_til_bilag2_2020[[#This Row],[Antal dyr]]*Dataark_til_bilag2_2020[[#This Row],[Gødning (g) pr. dyr (ton)]]," ")</f>
        <v xml:space="preserve"> </v>
      </c>
      <c r="O257" s="2767">
        <v>4.88</v>
      </c>
      <c r="P257" s="2759" t="s">
        <v>270</v>
      </c>
      <c r="Q257" s="2767">
        <v>0.3</v>
      </c>
      <c r="R257" s="2769">
        <v>132</v>
      </c>
      <c r="S257" s="2769">
        <v>181</v>
      </c>
      <c r="T257" s="2769">
        <f t="shared" si="12"/>
        <v>934.13287561643835</v>
      </c>
      <c r="U257" s="2769">
        <f t="shared" si="15"/>
        <v>423.55726027397259</v>
      </c>
      <c r="V257" s="2769">
        <v>17</v>
      </c>
      <c r="W257" s="2769">
        <v>0.18</v>
      </c>
      <c r="X257" s="2769">
        <v>27.835363166025203</v>
      </c>
      <c r="Y257" s="2762" t="str">
        <f t="shared" si="14"/>
        <v>-</v>
      </c>
    </row>
    <row r="258" spans="1:25" x14ac:dyDescent="0.25">
      <c r="A258" s="2764" t="s">
        <v>1980</v>
      </c>
      <c r="B258" s="2765"/>
      <c r="C258" s="2766" t="s">
        <v>2010</v>
      </c>
      <c r="D258" s="2766" t="s">
        <v>341</v>
      </c>
      <c r="E258" s="2766" t="s">
        <v>1983</v>
      </c>
      <c r="F258" s="2766" t="s">
        <v>350</v>
      </c>
      <c r="G258" s="2766"/>
      <c r="H258" s="2766">
        <f>Dataark_til_bilag2_2020[[#This Row],[Stald_kode]]+Dataark_til_bilag2_2020[[#This Row],[Dyr_Kode]]</f>
        <v>0</v>
      </c>
      <c r="I258" s="4347" t="s">
        <v>270</v>
      </c>
      <c r="J258" s="2766"/>
      <c r="K258" s="2766" t="s">
        <v>350</v>
      </c>
      <c r="L258" s="2768"/>
      <c r="M258" s="2768"/>
      <c r="N258" s="2760" t="str">
        <f>IFERROR(Dataark_til_bilag2_2020[[#This Row],[Antal dyr]]*Dataark_til_bilag2_2020[[#This Row],[Gødning (g) pr. dyr (ton)]]," ")</f>
        <v xml:space="preserve"> </v>
      </c>
      <c r="O258" s="2767">
        <v>10.24</v>
      </c>
      <c r="P258" s="2759" t="s">
        <v>270</v>
      </c>
      <c r="Q258" s="2767">
        <v>0.28699999999999998</v>
      </c>
      <c r="R258" s="2769">
        <v>18</v>
      </c>
      <c r="S258" s="2769">
        <v>181</v>
      </c>
      <c r="T258" s="2769">
        <f t="shared" si="12"/>
        <v>2792.6916544876713</v>
      </c>
      <c r="U258" s="2769">
        <f t="shared" si="15"/>
        <v>115.94485479452055</v>
      </c>
      <c r="V258" s="2769">
        <v>17</v>
      </c>
      <c r="W258" s="2769">
        <v>0.24</v>
      </c>
      <c r="X258" s="2769">
        <v>79.510487617738008</v>
      </c>
      <c r="Y258" s="2762" t="str">
        <f t="shared" si="14"/>
        <v>-</v>
      </c>
    </row>
    <row r="259" spans="1:25" x14ac:dyDescent="0.25">
      <c r="A259" s="2764" t="s">
        <v>1980</v>
      </c>
      <c r="B259" s="2765"/>
      <c r="C259" s="2766" t="s">
        <v>2017</v>
      </c>
      <c r="D259" s="2766" t="s">
        <v>341</v>
      </c>
      <c r="E259" s="2766" t="s">
        <v>1983</v>
      </c>
      <c r="F259" s="2766" t="s">
        <v>350</v>
      </c>
      <c r="G259" s="2766"/>
      <c r="H259" s="2766">
        <f>Dataark_til_bilag2_2020[[#This Row],[Stald_kode]]+Dataark_til_bilag2_2020[[#This Row],[Dyr_Kode]]</f>
        <v>0</v>
      </c>
      <c r="I259" s="4347" t="s">
        <v>270</v>
      </c>
      <c r="J259" s="2766"/>
      <c r="K259" s="2766" t="s">
        <v>350</v>
      </c>
      <c r="L259" s="2768"/>
      <c r="M259" s="2768"/>
      <c r="N259" s="2760" t="str">
        <f>IFERROR(Dataark_til_bilag2_2020[[#This Row],[Antal dyr]]*Dataark_til_bilag2_2020[[#This Row],[Gødning (g) pr. dyr (ton)]]," ")</f>
        <v xml:space="preserve"> </v>
      </c>
      <c r="O259" s="2767">
        <v>12.72</v>
      </c>
      <c r="P259" s="2759" t="s">
        <v>270</v>
      </c>
      <c r="Q259" s="2767">
        <v>0.28699999999999998</v>
      </c>
      <c r="R259" s="2769">
        <v>18</v>
      </c>
      <c r="S259" s="2769">
        <v>181</v>
      </c>
      <c r="T259" s="2769">
        <f t="shared" si="12"/>
        <v>3469.0466645589036</v>
      </c>
      <c r="U259" s="2769">
        <f t="shared" si="15"/>
        <v>144.02524931506849</v>
      </c>
      <c r="V259" s="2769">
        <v>17</v>
      </c>
      <c r="W259" s="2769">
        <v>0.24</v>
      </c>
      <c r="X259" s="2769">
        <v>98.766933837658897</v>
      </c>
      <c r="Y259" s="2762" t="str">
        <f t="shared" si="14"/>
        <v>-</v>
      </c>
    </row>
    <row r="260" spans="1:25" x14ac:dyDescent="0.25">
      <c r="A260" s="2764" t="s">
        <v>1980</v>
      </c>
      <c r="B260" s="2765"/>
      <c r="C260" s="2766" t="s">
        <v>2791</v>
      </c>
      <c r="D260" s="2766" t="s">
        <v>336</v>
      </c>
      <c r="E260" s="2766" t="s">
        <v>1983</v>
      </c>
      <c r="F260" s="2766" t="s">
        <v>350</v>
      </c>
      <c r="G260" s="2766"/>
      <c r="H260" s="2766">
        <f>Dataark_til_bilag2_2020[[#This Row],[Stald_kode]]+Dataark_til_bilag2_2020[[#This Row],[Dyr_Kode]]</f>
        <v>0</v>
      </c>
      <c r="I260" s="4347" t="s">
        <v>270</v>
      </c>
      <c r="J260" s="2766"/>
      <c r="K260" s="2766" t="s">
        <v>350</v>
      </c>
      <c r="L260" s="2768"/>
      <c r="M260" s="2768"/>
      <c r="N260" s="2760" t="str">
        <f>IFERROR(Dataark_til_bilag2_2020[[#This Row],[Antal dyr]]*Dataark_til_bilag2_2020[[#This Row],[Gødning (g) pr. dyr (ton)]]," ")</f>
        <v xml:space="preserve"> </v>
      </c>
      <c r="O260" s="2767">
        <v>3.31</v>
      </c>
      <c r="P260" s="2759" t="s">
        <v>270</v>
      </c>
      <c r="Q260" s="2767">
        <v>0.3</v>
      </c>
      <c r="R260" s="2769">
        <v>132</v>
      </c>
      <c r="S260" s="2769">
        <v>181</v>
      </c>
      <c r="T260" s="2769">
        <f t="shared" si="12"/>
        <v>633.60242178082194</v>
      </c>
      <c r="U260" s="2769">
        <f t="shared" si="15"/>
        <v>287.28986301369866</v>
      </c>
      <c r="V260" s="2769">
        <v>17</v>
      </c>
      <c r="W260" s="2769">
        <v>0.18</v>
      </c>
      <c r="X260" s="2769">
        <v>18.880133622857265</v>
      </c>
      <c r="Y260" s="2762" t="str">
        <f t="shared" si="14"/>
        <v>-</v>
      </c>
    </row>
    <row r="261" spans="1:25" x14ac:dyDescent="0.25">
      <c r="A261" s="2764" t="s">
        <v>1980</v>
      </c>
      <c r="B261" s="2765"/>
      <c r="C261" s="2766" t="s">
        <v>2761</v>
      </c>
      <c r="D261" s="2766" t="s">
        <v>336</v>
      </c>
      <c r="E261" s="2766" t="s">
        <v>1983</v>
      </c>
      <c r="F261" s="2766" t="s">
        <v>350</v>
      </c>
      <c r="G261" s="2766"/>
      <c r="H261" s="2766">
        <f>Dataark_til_bilag2_2020[[#This Row],[Stald_kode]]+Dataark_til_bilag2_2020[[#This Row],[Dyr_Kode]]</f>
        <v>0</v>
      </c>
      <c r="I261" s="4347" t="s">
        <v>270</v>
      </c>
      <c r="J261" s="2766"/>
      <c r="K261" s="2766" t="s">
        <v>350</v>
      </c>
      <c r="L261" s="2768"/>
      <c r="M261" s="2768"/>
      <c r="N261" s="2760" t="str">
        <f>IFERROR(Dataark_til_bilag2_2020[[#This Row],[Antal dyr]]*Dataark_til_bilag2_2020[[#This Row],[Gødning (g) pr. dyr (ton)]]," ")</f>
        <v xml:space="preserve"> </v>
      </c>
      <c r="O261" s="2767">
        <v>4.2</v>
      </c>
      <c r="P261" s="2759" t="s">
        <v>270</v>
      </c>
      <c r="Q261" s="2767">
        <v>0.3</v>
      </c>
      <c r="R261" s="2769">
        <v>132</v>
      </c>
      <c r="S261" s="2769">
        <v>181</v>
      </c>
      <c r="T261" s="2769">
        <f t="shared" si="12"/>
        <v>803.96681917808223</v>
      </c>
      <c r="U261" s="2769">
        <f t="shared" si="15"/>
        <v>364.53698630136989</v>
      </c>
      <c r="V261" s="2769">
        <v>17</v>
      </c>
      <c r="W261" s="2769">
        <v>0.18</v>
      </c>
      <c r="X261" s="2769">
        <v>23.956665019939731</v>
      </c>
      <c r="Y261" s="2762" t="str">
        <f t="shared" si="14"/>
        <v>-</v>
      </c>
    </row>
    <row r="262" spans="1:25" x14ac:dyDescent="0.25">
      <c r="A262" s="2764" t="s">
        <v>1980</v>
      </c>
      <c r="B262" s="2765"/>
      <c r="C262" s="2766" t="s">
        <v>2011</v>
      </c>
      <c r="D262" s="2766" t="s">
        <v>330</v>
      </c>
      <c r="E262" s="2766" t="s">
        <v>1984</v>
      </c>
      <c r="F262" s="2766" t="s">
        <v>350</v>
      </c>
      <c r="G262" s="2766"/>
      <c r="H262" s="2766">
        <f>Dataark_til_bilag2_2020[[#This Row],[Stald_kode]]+Dataark_til_bilag2_2020[[#This Row],[Dyr_Kode]]</f>
        <v>0</v>
      </c>
      <c r="I262" s="4347" t="s">
        <v>270</v>
      </c>
      <c r="J262" s="2766"/>
      <c r="K262" s="2766" t="s">
        <v>350</v>
      </c>
      <c r="L262" s="2767"/>
      <c r="M262" s="2767"/>
      <c r="N262" s="2760" t="str">
        <f>IFERROR(Dataark_til_bilag2_2020[[#This Row],[Antal dyr]]*Dataark_til_bilag2_2020[[#This Row],[Gødning (g) pr. dyr (ton)]]," ")</f>
        <v xml:space="preserve"> </v>
      </c>
      <c r="O262" s="2767">
        <v>4.2</v>
      </c>
      <c r="P262" s="2759" t="s">
        <v>270</v>
      </c>
      <c r="Q262" s="2767">
        <f>30/100</f>
        <v>0.3</v>
      </c>
      <c r="R262" s="2769">
        <v>18</v>
      </c>
      <c r="S262" s="2769">
        <v>181</v>
      </c>
      <c r="T262" s="2769">
        <f t="shared" si="12"/>
        <v>1197.3239753424657</v>
      </c>
      <c r="U262" s="2769">
        <f>(L262*1000)/365*M262*0.8*R262</f>
        <v>0</v>
      </c>
      <c r="V262" s="2769">
        <v>17</v>
      </c>
      <c r="W262" s="2769">
        <v>0.18</v>
      </c>
      <c r="X262" s="2769">
        <v>24.54753614247123</v>
      </c>
      <c r="Y262" s="2762" t="str">
        <f t="shared" si="14"/>
        <v>-</v>
      </c>
    </row>
    <row r="263" spans="1:25" x14ac:dyDescent="0.25">
      <c r="A263" s="2764" t="s">
        <v>1980</v>
      </c>
      <c r="B263" s="2765"/>
      <c r="C263" s="2766" t="s">
        <v>2797</v>
      </c>
      <c r="D263" s="2766" t="s">
        <v>2796</v>
      </c>
      <c r="E263" s="2766" t="s">
        <v>1984</v>
      </c>
      <c r="F263" s="2766" t="s">
        <v>350</v>
      </c>
      <c r="G263" s="2766"/>
      <c r="H263" s="2766">
        <f>Dataark_til_bilag2_2020[[#This Row],[Stald_kode]]+Dataark_til_bilag2_2020[[#This Row],[Dyr_Kode]]</f>
        <v>0</v>
      </c>
      <c r="I263" s="4347" t="s">
        <v>270</v>
      </c>
      <c r="J263" s="2766"/>
      <c r="K263" s="2766" t="s">
        <v>350</v>
      </c>
      <c r="L263" s="2768"/>
      <c r="M263" s="2768"/>
      <c r="N263" s="2760" t="str">
        <f>IFERROR(Dataark_til_bilag2_2020[[#This Row],[Antal dyr]]*Dataark_til_bilag2_2020[[#This Row],[Gødning (g) pr. dyr (ton)]]," ")</f>
        <v xml:space="preserve"> </v>
      </c>
      <c r="O263" s="2767">
        <v>1.91</v>
      </c>
      <c r="P263" s="2759" t="s">
        <v>270</v>
      </c>
      <c r="Q263" s="2767">
        <v>0.3</v>
      </c>
      <c r="R263" s="2769">
        <v>18</v>
      </c>
      <c r="S263" s="2769">
        <v>181</v>
      </c>
      <c r="T263" s="2769">
        <f t="shared" ref="T263:T296" si="16">(L263*1000)/365*M263*(365-R263)*0.8+(O263*1000)/365*Q263*(365-R263)*(1-0.045/100)</f>
        <v>544.49733164383565</v>
      </c>
      <c r="U263" s="2769">
        <f t="shared" ref="U263:U271" si="17">(O263*1000)/365*Q263*0.8*R263</f>
        <v>22.606027397260277</v>
      </c>
      <c r="V263" s="2769">
        <v>17</v>
      </c>
      <c r="W263" s="2769">
        <v>0.18</v>
      </c>
      <c r="X263" s="2769">
        <v>11.626753067060548</v>
      </c>
      <c r="Y263" s="2762" t="str">
        <f t="shared" si="14"/>
        <v>-</v>
      </c>
    </row>
    <row r="264" spans="1:25" x14ac:dyDescent="0.25">
      <c r="A264" s="2764" t="s">
        <v>1980</v>
      </c>
      <c r="B264" s="2765"/>
      <c r="C264" s="2766" t="s">
        <v>1991</v>
      </c>
      <c r="D264" s="2766" t="s">
        <v>329</v>
      </c>
      <c r="E264" s="2766" t="s">
        <v>1984</v>
      </c>
      <c r="F264" s="2766" t="s">
        <v>350</v>
      </c>
      <c r="G264" s="2766"/>
      <c r="H264" s="2766">
        <f>Dataark_til_bilag2_2020[[#This Row],[Stald_kode]]+Dataark_til_bilag2_2020[[#This Row],[Dyr_Kode]]</f>
        <v>0</v>
      </c>
      <c r="I264" s="4347" t="s">
        <v>270</v>
      </c>
      <c r="J264" s="2766"/>
      <c r="K264" s="2766" t="s">
        <v>350</v>
      </c>
      <c r="L264" s="2768"/>
      <c r="M264" s="2768"/>
      <c r="N264" s="2760" t="str">
        <f>IFERROR(Dataark_til_bilag2_2020[[#This Row],[Antal dyr]]*Dataark_til_bilag2_2020[[#This Row],[Gødning (g) pr. dyr (ton)]]," ")</f>
        <v xml:space="preserve"> </v>
      </c>
      <c r="O264" s="2767">
        <v>6.67</v>
      </c>
      <c r="P264" s="2759" t="s">
        <v>270</v>
      </c>
      <c r="Q264" s="2767">
        <v>0.3</v>
      </c>
      <c r="R264" s="2769">
        <v>132</v>
      </c>
      <c r="S264" s="2769">
        <v>181</v>
      </c>
      <c r="T264" s="2769">
        <f t="shared" si="16"/>
        <v>1276.7758771232877</v>
      </c>
      <c r="U264" s="2769">
        <f t="shared" si="17"/>
        <v>578.91945205479453</v>
      </c>
      <c r="V264" s="2769">
        <v>17</v>
      </c>
      <c r="W264" s="2769">
        <v>0.18</v>
      </c>
      <c r="X264" s="2769">
        <v>38.045465638809048</v>
      </c>
      <c r="Y264" s="2762" t="str">
        <f t="shared" si="14"/>
        <v>-</v>
      </c>
    </row>
    <row r="265" spans="1:25" x14ac:dyDescent="0.25">
      <c r="A265" s="2764" t="s">
        <v>1980</v>
      </c>
      <c r="B265" s="2765"/>
      <c r="C265" s="2766" t="s">
        <v>1979</v>
      </c>
      <c r="D265" s="2766" t="s">
        <v>329</v>
      </c>
      <c r="E265" s="2766" t="s">
        <v>1984</v>
      </c>
      <c r="F265" s="2766" t="s">
        <v>350</v>
      </c>
      <c r="G265" s="2766"/>
      <c r="H265" s="2766">
        <f>Dataark_til_bilag2_2020[[#This Row],[Stald_kode]]+Dataark_til_bilag2_2020[[#This Row],[Dyr_Kode]]</f>
        <v>0</v>
      </c>
      <c r="I265" s="4347" t="s">
        <v>270</v>
      </c>
      <c r="J265" s="2766"/>
      <c r="K265" s="2766" t="s">
        <v>350</v>
      </c>
      <c r="L265" s="2768"/>
      <c r="M265" s="2768"/>
      <c r="N265" s="2760" t="str">
        <f>IFERROR(Dataark_til_bilag2_2020[[#This Row],[Antal dyr]]*Dataark_til_bilag2_2020[[#This Row],[Gødning (g) pr. dyr (ton)]]," ")</f>
        <v xml:space="preserve"> </v>
      </c>
      <c r="O265" s="2767">
        <v>6.95</v>
      </c>
      <c r="P265" s="2759" t="s">
        <v>270</v>
      </c>
      <c r="Q265" s="2767">
        <v>0.3</v>
      </c>
      <c r="R265" s="2769">
        <v>132</v>
      </c>
      <c r="S265" s="2769">
        <v>181</v>
      </c>
      <c r="T265" s="2769">
        <f t="shared" si="16"/>
        <v>1330.3736650684932</v>
      </c>
      <c r="U265" s="2769">
        <f t="shared" si="17"/>
        <v>603.22191780821913</v>
      </c>
      <c r="V265" s="2769">
        <v>17</v>
      </c>
      <c r="W265" s="2769">
        <v>0.18</v>
      </c>
      <c r="X265" s="2769">
        <v>39.642576640138358</v>
      </c>
      <c r="Y265" s="2762" t="str">
        <f t="shared" si="14"/>
        <v>-</v>
      </c>
    </row>
    <row r="266" spans="1:25" x14ac:dyDescent="0.25">
      <c r="A266" s="2764" t="s">
        <v>1980</v>
      </c>
      <c r="B266" s="2765"/>
      <c r="C266" s="2766" t="s">
        <v>1992</v>
      </c>
      <c r="D266" s="2766" t="s">
        <v>329</v>
      </c>
      <c r="E266" s="2766" t="s">
        <v>1984</v>
      </c>
      <c r="F266" s="2766" t="s">
        <v>350</v>
      </c>
      <c r="G266" s="2766"/>
      <c r="H266" s="2766">
        <f>Dataark_til_bilag2_2020[[#This Row],[Stald_kode]]+Dataark_til_bilag2_2020[[#This Row],[Dyr_Kode]]</f>
        <v>0</v>
      </c>
      <c r="I266" s="4347" t="s">
        <v>270</v>
      </c>
      <c r="J266" s="2766"/>
      <c r="K266" s="2766" t="s">
        <v>350</v>
      </c>
      <c r="L266" s="2768"/>
      <c r="M266" s="2768"/>
      <c r="N266" s="2760" t="str">
        <f>IFERROR(Dataark_til_bilag2_2020[[#This Row],[Antal dyr]]*Dataark_til_bilag2_2020[[#This Row],[Gødning (g) pr. dyr (ton)]]," ")</f>
        <v xml:space="preserve"> </v>
      </c>
      <c r="O266" s="2767">
        <v>4.88</v>
      </c>
      <c r="P266" s="2759" t="s">
        <v>270</v>
      </c>
      <c r="Q266" s="2767">
        <v>0.3</v>
      </c>
      <c r="R266" s="2769">
        <v>132</v>
      </c>
      <c r="S266" s="2769">
        <v>181</v>
      </c>
      <c r="T266" s="2769">
        <f t="shared" si="16"/>
        <v>934.13287561643835</v>
      </c>
      <c r="U266" s="2769">
        <f t="shared" si="17"/>
        <v>423.55726027397259</v>
      </c>
      <c r="V266" s="2769">
        <v>17</v>
      </c>
      <c r="W266" s="2769">
        <v>0.18</v>
      </c>
      <c r="X266" s="2769">
        <v>27.835363166025203</v>
      </c>
      <c r="Y266" s="2762" t="str">
        <f t="shared" si="14"/>
        <v>-</v>
      </c>
    </row>
    <row r="267" spans="1:25" x14ac:dyDescent="0.25">
      <c r="A267" s="2764" t="s">
        <v>1980</v>
      </c>
      <c r="B267" s="2765"/>
      <c r="C267" s="2766" t="s">
        <v>2010</v>
      </c>
      <c r="D267" s="2766" t="s">
        <v>341</v>
      </c>
      <c r="E267" s="2766" t="s">
        <v>1984</v>
      </c>
      <c r="F267" s="2766" t="s">
        <v>350</v>
      </c>
      <c r="G267" s="2766"/>
      <c r="H267" s="2766">
        <f>Dataark_til_bilag2_2020[[#This Row],[Stald_kode]]+Dataark_til_bilag2_2020[[#This Row],[Dyr_Kode]]</f>
        <v>0</v>
      </c>
      <c r="I267" s="4347" t="s">
        <v>270</v>
      </c>
      <c r="J267" s="2766"/>
      <c r="K267" s="2766" t="s">
        <v>350</v>
      </c>
      <c r="L267" s="2768"/>
      <c r="M267" s="2768"/>
      <c r="N267" s="2760" t="str">
        <f>IFERROR(Dataark_til_bilag2_2020[[#This Row],[Antal dyr]]*Dataark_til_bilag2_2020[[#This Row],[Gødning (g) pr. dyr (ton)]]," ")</f>
        <v xml:space="preserve"> </v>
      </c>
      <c r="O267" s="2767">
        <v>10.24</v>
      </c>
      <c r="P267" s="2759" t="s">
        <v>270</v>
      </c>
      <c r="Q267" s="2767">
        <v>0.28699999999999998</v>
      </c>
      <c r="R267" s="2769">
        <v>18</v>
      </c>
      <c r="S267" s="2769">
        <v>181</v>
      </c>
      <c r="T267" s="2769">
        <f t="shared" si="16"/>
        <v>2792.6916544876713</v>
      </c>
      <c r="U267" s="2769">
        <f t="shared" si="17"/>
        <v>115.94485479452055</v>
      </c>
      <c r="V267" s="2769">
        <v>17</v>
      </c>
      <c r="W267" s="2769">
        <v>0.24</v>
      </c>
      <c r="X267" s="2769">
        <v>79.510487617738008</v>
      </c>
      <c r="Y267" s="2762" t="str">
        <f t="shared" si="14"/>
        <v>-</v>
      </c>
    </row>
    <row r="268" spans="1:25" x14ac:dyDescent="0.25">
      <c r="A268" s="2764" t="s">
        <v>1980</v>
      </c>
      <c r="B268" s="2765"/>
      <c r="C268" s="2766" t="s">
        <v>2017</v>
      </c>
      <c r="D268" s="2766" t="s">
        <v>341</v>
      </c>
      <c r="E268" s="2766" t="s">
        <v>1984</v>
      </c>
      <c r="F268" s="2766" t="s">
        <v>350</v>
      </c>
      <c r="G268" s="2766"/>
      <c r="H268" s="2766">
        <f>Dataark_til_bilag2_2020[[#This Row],[Stald_kode]]+Dataark_til_bilag2_2020[[#This Row],[Dyr_Kode]]</f>
        <v>0</v>
      </c>
      <c r="I268" s="4347" t="s">
        <v>270</v>
      </c>
      <c r="J268" s="2766"/>
      <c r="K268" s="2766" t="s">
        <v>350</v>
      </c>
      <c r="L268" s="2768"/>
      <c r="M268" s="2768"/>
      <c r="N268" s="2760" t="str">
        <f>IFERROR(Dataark_til_bilag2_2020[[#This Row],[Antal dyr]]*Dataark_til_bilag2_2020[[#This Row],[Gødning (g) pr. dyr (ton)]]," ")</f>
        <v xml:space="preserve"> </v>
      </c>
      <c r="O268" s="2767">
        <v>12.72</v>
      </c>
      <c r="P268" s="2759" t="s">
        <v>270</v>
      </c>
      <c r="Q268" s="2767">
        <v>0.28699999999999998</v>
      </c>
      <c r="R268" s="2769">
        <v>18</v>
      </c>
      <c r="S268" s="2769">
        <v>181</v>
      </c>
      <c r="T268" s="2769">
        <f t="shared" si="16"/>
        <v>3469.0466645589036</v>
      </c>
      <c r="U268" s="2769">
        <f t="shared" si="17"/>
        <v>144.02524931506849</v>
      </c>
      <c r="V268" s="2769">
        <v>17</v>
      </c>
      <c r="W268" s="2769">
        <v>0.24</v>
      </c>
      <c r="X268" s="2769">
        <v>98.766933837658897</v>
      </c>
      <c r="Y268" s="2762" t="str">
        <f t="shared" si="14"/>
        <v>-</v>
      </c>
    </row>
    <row r="269" spans="1:25" x14ac:dyDescent="0.25">
      <c r="A269" s="2764" t="s">
        <v>1980</v>
      </c>
      <c r="B269" s="2765"/>
      <c r="C269" s="2766" t="s">
        <v>2791</v>
      </c>
      <c r="D269" s="2766" t="s">
        <v>336</v>
      </c>
      <c r="E269" s="2766" t="s">
        <v>1984</v>
      </c>
      <c r="F269" s="2766" t="s">
        <v>350</v>
      </c>
      <c r="G269" s="2766"/>
      <c r="H269" s="2766">
        <f>Dataark_til_bilag2_2020[[#This Row],[Stald_kode]]+Dataark_til_bilag2_2020[[#This Row],[Dyr_Kode]]</f>
        <v>0</v>
      </c>
      <c r="I269" s="4347" t="s">
        <v>270</v>
      </c>
      <c r="J269" s="2766"/>
      <c r="K269" s="2766" t="s">
        <v>350</v>
      </c>
      <c r="L269" s="2768"/>
      <c r="M269" s="2768"/>
      <c r="N269" s="2760" t="str">
        <f>IFERROR(Dataark_til_bilag2_2020[[#This Row],[Antal dyr]]*Dataark_til_bilag2_2020[[#This Row],[Gødning (g) pr. dyr (ton)]]," ")</f>
        <v xml:space="preserve"> </v>
      </c>
      <c r="O269" s="2767">
        <v>3.31</v>
      </c>
      <c r="P269" s="2759" t="s">
        <v>270</v>
      </c>
      <c r="Q269" s="2767">
        <v>0.3</v>
      </c>
      <c r="R269" s="2769">
        <v>132</v>
      </c>
      <c r="S269" s="2769">
        <v>181</v>
      </c>
      <c r="T269" s="2769">
        <f t="shared" si="16"/>
        <v>633.60242178082194</v>
      </c>
      <c r="U269" s="2769">
        <f t="shared" si="17"/>
        <v>287.28986301369866</v>
      </c>
      <c r="V269" s="2769">
        <v>17</v>
      </c>
      <c r="W269" s="2769">
        <v>0.18</v>
      </c>
      <c r="X269" s="2769">
        <v>18.880133622857265</v>
      </c>
      <c r="Y269" s="2762" t="str">
        <f t="shared" si="14"/>
        <v>-</v>
      </c>
    </row>
    <row r="270" spans="1:25" x14ac:dyDescent="0.25">
      <c r="A270" s="2764" t="s">
        <v>1980</v>
      </c>
      <c r="B270" s="2765"/>
      <c r="C270" s="2766" t="s">
        <v>2761</v>
      </c>
      <c r="D270" s="2766" t="s">
        <v>336</v>
      </c>
      <c r="E270" s="2766" t="s">
        <v>1984</v>
      </c>
      <c r="F270" s="2766" t="s">
        <v>350</v>
      </c>
      <c r="G270" s="2766"/>
      <c r="H270" s="2766">
        <f>Dataark_til_bilag2_2020[[#This Row],[Stald_kode]]+Dataark_til_bilag2_2020[[#This Row],[Dyr_Kode]]</f>
        <v>0</v>
      </c>
      <c r="I270" s="4347" t="s">
        <v>270</v>
      </c>
      <c r="J270" s="2766"/>
      <c r="K270" s="2766" t="s">
        <v>350</v>
      </c>
      <c r="L270" s="2768"/>
      <c r="M270" s="2768"/>
      <c r="N270" s="2760" t="str">
        <f>IFERROR(Dataark_til_bilag2_2020[[#This Row],[Antal dyr]]*Dataark_til_bilag2_2020[[#This Row],[Gødning (g) pr. dyr (ton)]]," ")</f>
        <v xml:space="preserve"> </v>
      </c>
      <c r="O270" s="2767">
        <v>4.2</v>
      </c>
      <c r="P270" s="2759" t="s">
        <v>270</v>
      </c>
      <c r="Q270" s="2767">
        <v>0.3</v>
      </c>
      <c r="R270" s="2769">
        <v>132</v>
      </c>
      <c r="S270" s="2769">
        <v>181</v>
      </c>
      <c r="T270" s="2769">
        <f t="shared" si="16"/>
        <v>803.96681917808223</v>
      </c>
      <c r="U270" s="2769">
        <f t="shared" si="17"/>
        <v>364.53698630136989</v>
      </c>
      <c r="V270" s="2769">
        <v>17</v>
      </c>
      <c r="W270" s="2769">
        <v>0.18</v>
      </c>
      <c r="X270" s="2769">
        <v>23.956665019939731</v>
      </c>
      <c r="Y270" s="2762" t="str">
        <f t="shared" si="14"/>
        <v>-</v>
      </c>
    </row>
    <row r="271" spans="1:25" x14ac:dyDescent="0.25">
      <c r="A271" s="2764" t="s">
        <v>1980</v>
      </c>
      <c r="B271" s="2765"/>
      <c r="C271" s="2766" t="s">
        <v>2799</v>
      </c>
      <c r="D271" s="2766" t="s">
        <v>2796</v>
      </c>
      <c r="E271" s="2766" t="s">
        <v>1998</v>
      </c>
      <c r="F271" s="2766" t="s">
        <v>350</v>
      </c>
      <c r="G271" s="2766"/>
      <c r="H271" s="2766">
        <f>Dataark_til_bilag2_2020[[#This Row],[Stald_kode]]+Dataark_til_bilag2_2020[[#This Row],[Dyr_Kode]]</f>
        <v>0</v>
      </c>
      <c r="I271" s="4347" t="s">
        <v>270</v>
      </c>
      <c r="J271" s="2766"/>
      <c r="K271" s="2766" t="s">
        <v>350</v>
      </c>
      <c r="L271" s="2768"/>
      <c r="M271" s="2768"/>
      <c r="N271" s="2760" t="str">
        <f>IFERROR(Dataark_til_bilag2_2020[[#This Row],[Antal dyr]]*Dataark_til_bilag2_2020[[#This Row],[Gødning (g) pr. dyr (ton)]]," ")</f>
        <v xml:space="preserve"> </v>
      </c>
      <c r="O271" s="2767">
        <v>1.44</v>
      </c>
      <c r="P271" s="2759" t="s">
        <v>270</v>
      </c>
      <c r="Q271" s="2767">
        <v>0.3</v>
      </c>
      <c r="R271" s="2769">
        <v>18</v>
      </c>
      <c r="S271" s="2769">
        <v>181</v>
      </c>
      <c r="T271" s="2769">
        <f t="shared" si="16"/>
        <v>410.51107726027391</v>
      </c>
      <c r="U271" s="2769">
        <f t="shared" si="17"/>
        <v>17.043287671232875</v>
      </c>
      <c r="V271" s="2769">
        <v>17</v>
      </c>
      <c r="W271" s="2769">
        <v>0.18</v>
      </c>
      <c r="X271" s="2769">
        <v>8.7657195898257534</v>
      </c>
      <c r="Y271" s="2762" t="str">
        <f t="shared" si="14"/>
        <v>-</v>
      </c>
    </row>
    <row r="272" spans="1:25" x14ac:dyDescent="0.25">
      <c r="A272" s="2764" t="s">
        <v>1980</v>
      </c>
      <c r="B272" s="2765"/>
      <c r="C272" s="2766" t="s">
        <v>1993</v>
      </c>
      <c r="D272" s="2766" t="s">
        <v>330</v>
      </c>
      <c r="E272" s="2766" t="s">
        <v>1999</v>
      </c>
      <c r="F272" s="2766" t="s">
        <v>350</v>
      </c>
      <c r="G272" s="2766"/>
      <c r="H272" s="2766">
        <f>Dataark_til_bilag2_2020[[#This Row],[Stald_kode]]+Dataark_til_bilag2_2020[[#This Row],[Dyr_Kode]]</f>
        <v>0</v>
      </c>
      <c r="I272" s="4347" t="s">
        <v>270</v>
      </c>
      <c r="J272" s="2766"/>
      <c r="K272" s="2766" t="s">
        <v>350</v>
      </c>
      <c r="L272" s="2767"/>
      <c r="M272" s="2767"/>
      <c r="N272" s="2760" t="str">
        <f>IFERROR(Dataark_til_bilag2_2020[[#This Row],[Antal dyr]]*Dataark_til_bilag2_2020[[#This Row],[Gødning (g) pr. dyr (ton)]]," ")</f>
        <v xml:space="preserve"> </v>
      </c>
      <c r="O272" s="2767">
        <v>3.31</v>
      </c>
      <c r="P272" s="2759" t="s">
        <v>270</v>
      </c>
      <c r="Q272" s="2767">
        <v>0.3</v>
      </c>
      <c r="R272" s="2769">
        <v>18</v>
      </c>
      <c r="S272" s="2769">
        <v>181</v>
      </c>
      <c r="T272" s="2769">
        <f t="shared" si="16"/>
        <v>943.60532342465763</v>
      </c>
      <c r="U272" s="2769">
        <f>(L272*1000)/365*M272*0.8*R272</f>
        <v>0</v>
      </c>
      <c r="V272" s="2769">
        <v>17</v>
      </c>
      <c r="W272" s="2769">
        <v>0.18</v>
      </c>
      <c r="X272" s="2769">
        <v>19.345796340852331</v>
      </c>
      <c r="Y272" s="2762" t="str">
        <f t="shared" ref="Y272:Y296" si="18">IFERROR(IFERROR((X272*I272)/1000,(X272*I271)/1000),"-")</f>
        <v>-</v>
      </c>
    </row>
    <row r="273" spans="1:25" x14ac:dyDescent="0.25">
      <c r="A273" s="2764" t="s">
        <v>1980</v>
      </c>
      <c r="B273" s="2765"/>
      <c r="C273" s="2766" t="s">
        <v>2799</v>
      </c>
      <c r="D273" s="2766" t="s">
        <v>2796</v>
      </c>
      <c r="E273" s="2766" t="s">
        <v>1999</v>
      </c>
      <c r="F273" s="2766" t="s">
        <v>350</v>
      </c>
      <c r="G273" s="2766"/>
      <c r="H273" s="2766">
        <f>Dataark_til_bilag2_2020[[#This Row],[Stald_kode]]+Dataark_til_bilag2_2020[[#This Row],[Dyr_Kode]]</f>
        <v>0</v>
      </c>
      <c r="I273" s="4347" t="s">
        <v>270</v>
      </c>
      <c r="J273" s="2766"/>
      <c r="K273" s="2766" t="s">
        <v>350</v>
      </c>
      <c r="L273" s="2768"/>
      <c r="M273" s="2768"/>
      <c r="N273" s="2760" t="str">
        <f>IFERROR(Dataark_til_bilag2_2020[[#This Row],[Antal dyr]]*Dataark_til_bilag2_2020[[#This Row],[Gødning (g) pr. dyr (ton)]]," ")</f>
        <v xml:space="preserve"> </v>
      </c>
      <c r="O273" s="2767">
        <v>1.44</v>
      </c>
      <c r="P273" s="2759" t="s">
        <v>270</v>
      </c>
      <c r="Q273" s="2767">
        <v>0.3</v>
      </c>
      <c r="R273" s="2769">
        <v>18</v>
      </c>
      <c r="S273" s="2769">
        <v>181</v>
      </c>
      <c r="T273" s="2769">
        <f t="shared" si="16"/>
        <v>410.51107726027391</v>
      </c>
      <c r="U273" s="2769">
        <f>(O273*1000)/365*Q273*0.8*R273</f>
        <v>17.043287671232875</v>
      </c>
      <c r="V273" s="2769">
        <v>3</v>
      </c>
      <c r="W273" s="2769">
        <v>0.18</v>
      </c>
      <c r="X273" s="2769">
        <v>1.5468916923221916</v>
      </c>
      <c r="Y273" s="2762" t="str">
        <f t="shared" si="18"/>
        <v>-</v>
      </c>
    </row>
    <row r="274" spans="1:25" x14ac:dyDescent="0.25">
      <c r="A274" s="2764" t="s">
        <v>1980</v>
      </c>
      <c r="B274" s="2765"/>
      <c r="C274" s="2766" t="s">
        <v>2011</v>
      </c>
      <c r="D274" s="2766" t="s">
        <v>330</v>
      </c>
      <c r="E274" s="2766" t="s">
        <v>2801</v>
      </c>
      <c r="F274" s="2766" t="s">
        <v>350</v>
      </c>
      <c r="G274" s="2766"/>
      <c r="H274" s="2766">
        <f>Dataark_til_bilag2_2020[[#This Row],[Stald_kode]]+Dataark_til_bilag2_2020[[#This Row],[Dyr_Kode]]</f>
        <v>0</v>
      </c>
      <c r="I274" s="4347" t="s">
        <v>270</v>
      </c>
      <c r="J274" s="2766"/>
      <c r="K274" s="2766" t="s">
        <v>350</v>
      </c>
      <c r="L274" s="2767"/>
      <c r="M274" s="2767"/>
      <c r="N274" s="2760" t="str">
        <f>IFERROR(Dataark_til_bilag2_2020[[#This Row],[Antal dyr]]*Dataark_til_bilag2_2020[[#This Row],[Gødning (g) pr. dyr (ton)]]," ")</f>
        <v xml:space="preserve"> </v>
      </c>
      <c r="O274" s="2767">
        <v>4.2</v>
      </c>
      <c r="P274" s="2759" t="s">
        <v>270</v>
      </c>
      <c r="Q274" s="2767">
        <v>0.3</v>
      </c>
      <c r="R274" s="2769">
        <v>18</v>
      </c>
      <c r="S274" s="2769">
        <v>181</v>
      </c>
      <c r="T274" s="2769">
        <f t="shared" si="16"/>
        <v>1197.3239753424657</v>
      </c>
      <c r="U274" s="2769">
        <f>(L274*1000)/365*M274*0.8*R274</f>
        <v>0</v>
      </c>
      <c r="V274" s="2769">
        <v>17</v>
      </c>
      <c r="W274" s="2769">
        <v>0.18</v>
      </c>
      <c r="X274" s="2769">
        <v>24.54753614247123</v>
      </c>
      <c r="Y274" s="2762" t="str">
        <f t="shared" si="18"/>
        <v>-</v>
      </c>
    </row>
    <row r="275" spans="1:25" x14ac:dyDescent="0.25">
      <c r="A275" s="2764" t="s">
        <v>907</v>
      </c>
      <c r="B275" s="2765"/>
      <c r="C275" s="2766" t="s">
        <v>1940</v>
      </c>
      <c r="D275" s="2766" t="s">
        <v>2754</v>
      </c>
      <c r="E275" s="2766" t="s">
        <v>1942</v>
      </c>
      <c r="F275" s="2766" t="s">
        <v>350</v>
      </c>
      <c r="G275" s="2766"/>
      <c r="H275" s="2766">
        <f>Dataark_til_bilag2_2020[[#This Row],[Stald_kode]]+Dataark_til_bilag2_2020[[#This Row],[Dyr_Kode]]</f>
        <v>0</v>
      </c>
      <c r="I275" s="4347" t="s">
        <v>270</v>
      </c>
      <c r="J275" s="2766"/>
      <c r="K275" s="2766" t="s">
        <v>350</v>
      </c>
      <c r="L275" s="2768"/>
      <c r="M275" s="2768"/>
      <c r="N275" s="2760" t="str">
        <f>IFERROR(Dataark_til_bilag2_2020[[#This Row],[Antal dyr]]*Dataark_til_bilag2_2020[[#This Row],[Gødning (g) pr. dyr (ton)]]," ")</f>
        <v xml:space="preserve"> </v>
      </c>
      <c r="O275" s="2767">
        <f>0.09+0.026</f>
        <v>0.11599999999999999</v>
      </c>
      <c r="P275" s="2759" t="s">
        <v>270</v>
      </c>
      <c r="Q275" s="2767">
        <v>0.33</v>
      </c>
      <c r="R275" s="2769">
        <v>0</v>
      </c>
      <c r="S275" s="2769">
        <v>181</v>
      </c>
      <c r="T275" s="2769">
        <f t="shared" si="16"/>
        <v>38.262774</v>
      </c>
      <c r="U275" s="2769">
        <f>(O275*1000)/365*Q275*0.8*R275</f>
        <v>0</v>
      </c>
      <c r="V275" s="2769">
        <v>14.7</v>
      </c>
      <c r="W275" s="2769">
        <v>0.45</v>
      </c>
      <c r="X275" s="2769">
        <v>1.6958252750670004</v>
      </c>
      <c r="Y275" s="2762" t="str">
        <f t="shared" si="18"/>
        <v>-</v>
      </c>
    </row>
    <row r="276" spans="1:25" x14ac:dyDescent="0.25">
      <c r="A276" s="2764" t="s">
        <v>907</v>
      </c>
      <c r="B276" s="2765"/>
      <c r="C276" s="2766" t="s">
        <v>2753</v>
      </c>
      <c r="D276" s="2766" t="s">
        <v>2747</v>
      </c>
      <c r="E276" s="2768" t="s">
        <v>1942</v>
      </c>
      <c r="F276" s="2766" t="s">
        <v>350</v>
      </c>
      <c r="G276" s="2766"/>
      <c r="H276" s="2766">
        <f>Dataark_til_bilag2_2020[[#This Row],[Stald_kode]]+Dataark_til_bilag2_2020[[#This Row],[Dyr_Kode]]</f>
        <v>0</v>
      </c>
      <c r="I276" s="4347" t="s">
        <v>270</v>
      </c>
      <c r="J276" s="2779"/>
      <c r="K276" s="2766" t="s">
        <v>350</v>
      </c>
      <c r="L276" s="2768"/>
      <c r="M276" s="2768"/>
      <c r="N276" s="2760" t="str">
        <f>IFERROR(Dataark_til_bilag2_2020[[#This Row],[Antal dyr]]*Dataark_til_bilag2_2020[[#This Row],[Gødning (g) pr. dyr (ton)]]," ")</f>
        <v xml:space="preserve"> </v>
      </c>
      <c r="O276" s="2767">
        <v>0.09</v>
      </c>
      <c r="P276" s="2759" t="s">
        <v>270</v>
      </c>
      <c r="Q276" s="2767">
        <v>0.33</v>
      </c>
      <c r="R276" s="2769">
        <v>0</v>
      </c>
      <c r="S276" s="2769">
        <v>181</v>
      </c>
      <c r="T276" s="2769">
        <f t="shared" si="16"/>
        <v>29.686634999999999</v>
      </c>
      <c r="U276" s="2769">
        <f>(O276*1000)/365*Q276*0.8*R276</f>
        <v>0</v>
      </c>
      <c r="V276" s="2769">
        <v>14.7</v>
      </c>
      <c r="W276" s="2769">
        <v>0.45</v>
      </c>
      <c r="X276" s="2769">
        <v>1.3157265065175001</v>
      </c>
      <c r="Y276" s="2762" t="str">
        <f t="shared" si="18"/>
        <v>-</v>
      </c>
    </row>
    <row r="277" spans="1:25" x14ac:dyDescent="0.25">
      <c r="A277" s="2764" t="s">
        <v>1980</v>
      </c>
      <c r="B277" s="2765"/>
      <c r="C277" s="2766" t="s">
        <v>1993</v>
      </c>
      <c r="D277" s="2766" t="s">
        <v>330</v>
      </c>
      <c r="E277" s="2766" t="s">
        <v>1997</v>
      </c>
      <c r="F277" s="2766" t="s">
        <v>350</v>
      </c>
      <c r="G277" s="2766"/>
      <c r="H277" s="2766">
        <f>Dataark_til_bilag2_2020[[#This Row],[Stald_kode]]+Dataark_til_bilag2_2020[[#This Row],[Dyr_Kode]]</f>
        <v>0</v>
      </c>
      <c r="I277" s="4347" t="s">
        <v>270</v>
      </c>
      <c r="J277" s="2766"/>
      <c r="K277" s="2766" t="s">
        <v>350</v>
      </c>
      <c r="L277" s="2767"/>
      <c r="M277" s="2767"/>
      <c r="N277" s="2760" t="str">
        <f>IFERROR(Dataark_til_bilag2_2020[[#This Row],[Antal dyr]]*Dataark_til_bilag2_2020[[#This Row],[Gødning (g) pr. dyr (ton)]]," ")</f>
        <v xml:space="preserve"> </v>
      </c>
      <c r="O277" s="2767">
        <v>3.31</v>
      </c>
      <c r="P277" s="2759" t="s">
        <v>270</v>
      </c>
      <c r="Q277" s="2767">
        <v>0.3</v>
      </c>
      <c r="R277" s="2769">
        <v>18</v>
      </c>
      <c r="S277" s="2769">
        <v>181</v>
      </c>
      <c r="T277" s="2769">
        <f t="shared" si="16"/>
        <v>943.60532342465763</v>
      </c>
      <c r="U277" s="2769">
        <f>(L277*1000)/365*M277*0.8*R277</f>
        <v>0</v>
      </c>
      <c r="V277" s="2769">
        <v>17</v>
      </c>
      <c r="W277" s="2769">
        <v>0.18</v>
      </c>
      <c r="X277" s="2769">
        <v>19.345796340852331</v>
      </c>
      <c r="Y277" s="2762" t="str">
        <f t="shared" si="18"/>
        <v>-</v>
      </c>
    </row>
    <row r="278" spans="1:25" x14ac:dyDescent="0.25">
      <c r="A278" s="2764" t="s">
        <v>1980</v>
      </c>
      <c r="B278" s="2765"/>
      <c r="C278" s="2766" t="s">
        <v>2799</v>
      </c>
      <c r="D278" s="2766" t="s">
        <v>2796</v>
      </c>
      <c r="E278" s="2766" t="s">
        <v>1997</v>
      </c>
      <c r="F278" s="2766" t="s">
        <v>350</v>
      </c>
      <c r="G278" s="2766"/>
      <c r="H278" s="2766">
        <f>Dataark_til_bilag2_2020[[#This Row],[Stald_kode]]+Dataark_til_bilag2_2020[[#This Row],[Dyr_Kode]]</f>
        <v>0</v>
      </c>
      <c r="I278" s="4347" t="s">
        <v>270</v>
      </c>
      <c r="J278" s="2766"/>
      <c r="K278" s="2766" t="s">
        <v>350</v>
      </c>
      <c r="L278" s="2768"/>
      <c r="M278" s="2768"/>
      <c r="N278" s="2760" t="str">
        <f>IFERROR(Dataark_til_bilag2_2020[[#This Row],[Antal dyr]]*Dataark_til_bilag2_2020[[#This Row],[Gødning (g) pr. dyr (ton)]]," ")</f>
        <v xml:space="preserve"> </v>
      </c>
      <c r="O278" s="2767">
        <v>1.44</v>
      </c>
      <c r="P278" s="2759" t="s">
        <v>270</v>
      </c>
      <c r="Q278" s="2767">
        <v>0.3</v>
      </c>
      <c r="R278" s="2769">
        <v>18</v>
      </c>
      <c r="S278" s="2769">
        <v>181</v>
      </c>
      <c r="T278" s="2769">
        <f t="shared" si="16"/>
        <v>410.51107726027391</v>
      </c>
      <c r="U278" s="2769">
        <f>(O278*1000)/365*Q278*0.8*R278</f>
        <v>17.043287671232875</v>
      </c>
      <c r="V278" s="2769">
        <v>17</v>
      </c>
      <c r="W278" s="2769">
        <v>0.18</v>
      </c>
      <c r="X278" s="2769">
        <v>8.7657195898257534</v>
      </c>
      <c r="Y278" s="2762" t="str">
        <f t="shared" si="18"/>
        <v>-</v>
      </c>
    </row>
    <row r="279" spans="1:25" x14ac:dyDescent="0.25">
      <c r="A279" s="2764" t="s">
        <v>907</v>
      </c>
      <c r="B279" s="2765"/>
      <c r="C279" s="2766" t="s">
        <v>1940</v>
      </c>
      <c r="D279" s="2766" t="s">
        <v>2754</v>
      </c>
      <c r="E279" s="2766" t="s">
        <v>1944</v>
      </c>
      <c r="F279" s="2766" t="s">
        <v>352</v>
      </c>
      <c r="G279" s="2766"/>
      <c r="H279" s="2766">
        <f>Dataark_til_bilag2_2020[[#This Row],[Stald_kode]]+Dataark_til_bilag2_2020[[#This Row],[Dyr_Kode]]</f>
        <v>0</v>
      </c>
      <c r="I279" s="4347" t="s">
        <v>270</v>
      </c>
      <c r="J279" s="2766" t="s">
        <v>1943</v>
      </c>
      <c r="K279" s="2766"/>
      <c r="L279" s="2767">
        <f>0.35+0.072</f>
        <v>0.42199999999999999</v>
      </c>
      <c r="M279" s="2767">
        <v>0.02</v>
      </c>
      <c r="N279" s="2760" t="str">
        <f>IFERROR(Dataark_til_bilag2_2020[[#This Row],[Antal dyr]]*Dataark_til_bilag2_2020[[#This Row],[Gødning (g) pr. dyr (ton)]]," ")</f>
        <v xml:space="preserve"> </v>
      </c>
      <c r="O279" s="2767"/>
      <c r="P279" s="2759" t="s">
        <v>270</v>
      </c>
      <c r="Q279" s="2767"/>
      <c r="R279" s="2769">
        <v>0</v>
      </c>
      <c r="S279" s="2769">
        <v>181</v>
      </c>
      <c r="T279" s="2769">
        <f t="shared" si="16"/>
        <v>6.7519999999999998</v>
      </c>
      <c r="U279" s="2769">
        <f>(L279*1000)/365*M279*0.8*R279</f>
        <v>0</v>
      </c>
      <c r="V279" s="2769">
        <v>13.4</v>
      </c>
      <c r="W279" s="2769">
        <v>0.45</v>
      </c>
      <c r="X279" s="2769">
        <v>0.27278755200000004</v>
      </c>
      <c r="Y279" s="2762" t="str">
        <f t="shared" si="18"/>
        <v>-</v>
      </c>
    </row>
    <row r="280" spans="1:25" x14ac:dyDescent="0.25">
      <c r="A280" s="2764" t="s">
        <v>907</v>
      </c>
      <c r="B280" s="2765"/>
      <c r="C280" s="2766" t="s">
        <v>2753</v>
      </c>
      <c r="D280" s="2766" t="s">
        <v>2747</v>
      </c>
      <c r="E280" s="2768" t="s">
        <v>1944</v>
      </c>
      <c r="F280" s="2766" t="s">
        <v>352</v>
      </c>
      <c r="G280" s="2766"/>
      <c r="H280" s="2766">
        <f>Dataark_til_bilag2_2020[[#This Row],[Stald_kode]]+Dataark_til_bilag2_2020[[#This Row],[Dyr_Kode]]</f>
        <v>0</v>
      </c>
      <c r="I280" s="4347" t="s">
        <v>270</v>
      </c>
      <c r="J280" s="2766" t="s">
        <v>1943</v>
      </c>
      <c r="K280" s="2766"/>
      <c r="L280" s="2767">
        <v>0.36</v>
      </c>
      <c r="M280" s="2767">
        <v>0.2</v>
      </c>
      <c r="N280" s="2760" t="str">
        <f>IFERROR(Dataark_til_bilag2_2020[[#This Row],[Antal dyr]]*Dataark_til_bilag2_2020[[#This Row],[Gødning (g) pr. dyr (ton)]]," ")</f>
        <v xml:space="preserve"> </v>
      </c>
      <c r="O280" s="2767"/>
      <c r="P280" s="2759" t="s">
        <v>270</v>
      </c>
      <c r="Q280" s="2767"/>
      <c r="R280" s="2769">
        <v>0</v>
      </c>
      <c r="S280" s="2769">
        <v>181</v>
      </c>
      <c r="T280" s="2769">
        <f t="shared" si="16"/>
        <v>57.6</v>
      </c>
      <c r="U280" s="2769">
        <f>(L280*1000)/365*M280*0.8*R280</f>
        <v>0</v>
      </c>
      <c r="V280" s="2769">
        <v>13.7</v>
      </c>
      <c r="W280" s="2769">
        <v>0.45</v>
      </c>
      <c r="X280" s="2769">
        <v>2.3791968000000003</v>
      </c>
      <c r="Y280" s="2762" t="str">
        <f t="shared" si="18"/>
        <v>-</v>
      </c>
    </row>
    <row r="281" spans="1:25" x14ac:dyDescent="0.25">
      <c r="A281" s="2764" t="s">
        <v>907</v>
      </c>
      <c r="B281" s="2765"/>
      <c r="C281" s="2766" t="s">
        <v>2752</v>
      </c>
      <c r="D281" s="2766" t="s">
        <v>339</v>
      </c>
      <c r="E281" s="2766" t="s">
        <v>1944</v>
      </c>
      <c r="F281" s="2766" t="s">
        <v>352</v>
      </c>
      <c r="G281" s="2766"/>
      <c r="H281" s="2766">
        <f>Dataark_til_bilag2_2020[[#This Row],[Stald_kode]]+Dataark_til_bilag2_2020[[#This Row],[Dyr_Kode]]</f>
        <v>0</v>
      </c>
      <c r="I281" s="4347" t="s">
        <v>270</v>
      </c>
      <c r="J281" s="2766" t="s">
        <v>1943</v>
      </c>
      <c r="K281" s="2766"/>
      <c r="L281" s="2767">
        <v>7.2999999999999995E-2</v>
      </c>
      <c r="M281" s="2768">
        <v>0.02</v>
      </c>
      <c r="N281" s="2760" t="str">
        <f>IFERROR(Dataark_til_bilag2_2020[[#This Row],[Antal dyr]]*Dataark_til_bilag2_2020[[#This Row],[Gødning (g) pr. dyr (ton)]]," ")</f>
        <v xml:space="preserve"> </v>
      </c>
      <c r="O281" s="2767"/>
      <c r="P281" s="2759" t="s">
        <v>270</v>
      </c>
      <c r="Q281" s="2767">
        <v>1.9E-2</v>
      </c>
      <c r="R281" s="2769">
        <v>0</v>
      </c>
      <c r="S281" s="2769">
        <v>181</v>
      </c>
      <c r="T281" s="2769">
        <f t="shared" si="16"/>
        <v>1.1679999999999999</v>
      </c>
      <c r="U281" s="2769">
        <f>(L281*1000)/365*Q281*0.8*R281</f>
        <v>0</v>
      </c>
      <c r="V281" s="2769">
        <v>13.7</v>
      </c>
      <c r="W281" s="2769">
        <v>0.45</v>
      </c>
      <c r="X281" s="2769">
        <v>4.8244823999999999E-2</v>
      </c>
      <c r="Y281" s="2762" t="str">
        <f t="shared" si="18"/>
        <v>-</v>
      </c>
    </row>
    <row r="282" spans="1:25" x14ac:dyDescent="0.25">
      <c r="A282" s="2764" t="s">
        <v>2745</v>
      </c>
      <c r="B282" s="2765"/>
      <c r="C282" s="2772" t="s">
        <v>1919</v>
      </c>
      <c r="D282" s="2772" t="s">
        <v>331</v>
      </c>
      <c r="E282" s="2772" t="s">
        <v>1918</v>
      </c>
      <c r="F282" s="2785" t="s">
        <v>351</v>
      </c>
      <c r="G282" s="2772"/>
      <c r="H282" s="2772">
        <f>Dataark_til_bilag2_2020[[#This Row],[Stald_kode]]+Dataark_til_bilag2_2020[[#This Row],[Dyr_Kode]]</f>
        <v>0</v>
      </c>
      <c r="I282" s="4347" t="s">
        <v>270</v>
      </c>
      <c r="J282" s="2772"/>
      <c r="K282" s="2772" t="s">
        <v>350</v>
      </c>
      <c r="L282" s="2773"/>
      <c r="M282" s="2773"/>
      <c r="N282" s="2760" t="str">
        <f>IFERROR(Dataark_til_bilag2_2020[[#This Row],[Antal dyr]]*Dataark_til_bilag2_2020[[#This Row],[Gødning (g) pr. dyr (ton)]]," ")</f>
        <v xml:space="preserve"> </v>
      </c>
      <c r="O282" s="2773">
        <f>0.26/100</f>
        <v>2.5999999999999999E-3</v>
      </c>
      <c r="P282" s="2759" t="s">
        <v>270</v>
      </c>
      <c r="Q282" s="2773">
        <v>0.63300000000000001</v>
      </c>
      <c r="R282" s="2774">
        <v>181</v>
      </c>
      <c r="S282" s="2774">
        <v>181</v>
      </c>
      <c r="T282" s="2774">
        <f t="shared" si="16"/>
        <v>0.82929021304109607</v>
      </c>
      <c r="U282" s="2774">
        <f>(L282*1000)/365*M282*0.8*R282</f>
        <v>0</v>
      </c>
      <c r="V282" s="2774">
        <v>1.5</v>
      </c>
      <c r="W282" s="2774">
        <v>0.39</v>
      </c>
      <c r="X282" s="2769">
        <v>3.2504029900145759E-3</v>
      </c>
      <c r="Y282" s="2762" t="str">
        <f t="shared" si="18"/>
        <v>-</v>
      </c>
    </row>
    <row r="283" spans="1:25" s="2775" customFormat="1" x14ac:dyDescent="0.25">
      <c r="A283" s="2764" t="s">
        <v>1900</v>
      </c>
      <c r="B283" s="2765"/>
      <c r="C283" s="2766" t="s">
        <v>2746</v>
      </c>
      <c r="D283" s="2766" t="s">
        <v>331</v>
      </c>
      <c r="E283" s="2766" t="s">
        <v>1920</v>
      </c>
      <c r="F283" s="2776" t="s">
        <v>351</v>
      </c>
      <c r="G283" s="2766"/>
      <c r="H283" s="2766">
        <f>Dataark_til_bilag2_2020[[#This Row],[Stald_kode]]+Dataark_til_bilag2_2020[[#This Row],[Dyr_Kode]]</f>
        <v>0</v>
      </c>
      <c r="I283" s="4347" t="s">
        <v>270</v>
      </c>
      <c r="J283" s="2766"/>
      <c r="K283" s="2766" t="s">
        <v>350</v>
      </c>
      <c r="L283" s="2781"/>
      <c r="M283" s="2781"/>
      <c r="N283" s="2760" t="str">
        <f>IFERROR(Dataark_til_bilag2_2020[[#This Row],[Antal dyr]]*Dataark_til_bilag2_2020[[#This Row],[Gødning (g) pr. dyr (ton)]]," ")</f>
        <v xml:space="preserve"> </v>
      </c>
      <c r="O283" s="2773">
        <f>0.26/100</f>
        <v>2.5999999999999999E-3</v>
      </c>
      <c r="P283" s="2759" t="s">
        <v>270</v>
      </c>
      <c r="Q283" s="2773">
        <v>0.63300000000000001</v>
      </c>
      <c r="R283" s="2769">
        <v>181</v>
      </c>
      <c r="S283" s="2769">
        <v>181</v>
      </c>
      <c r="T283" s="2769">
        <f t="shared" si="16"/>
        <v>0.82929021304109607</v>
      </c>
      <c r="U283" s="2769">
        <f>(O283*1000)/365*Q283*0.8*R283</f>
        <v>0.65290915068493161</v>
      </c>
      <c r="V283" s="2769">
        <v>1</v>
      </c>
      <c r="W283" s="2769">
        <v>0.39</v>
      </c>
      <c r="X283" s="2769">
        <v>3.872986937416111E-3</v>
      </c>
      <c r="Y283" s="2762" t="str">
        <f t="shared" si="18"/>
        <v>-</v>
      </c>
    </row>
    <row r="284" spans="1:25" x14ac:dyDescent="0.25">
      <c r="A284" s="2764" t="s">
        <v>1900</v>
      </c>
      <c r="B284" s="2765"/>
      <c r="C284" s="2766" t="s">
        <v>2746</v>
      </c>
      <c r="D284" s="2766" t="s">
        <v>331</v>
      </c>
      <c r="E284" s="2766" t="s">
        <v>2763</v>
      </c>
      <c r="F284" s="2776" t="s">
        <v>351</v>
      </c>
      <c r="G284" s="2766"/>
      <c r="H284" s="2766">
        <f>Dataark_til_bilag2_2020[[#This Row],[Stald_kode]]+Dataark_til_bilag2_2020[[#This Row],[Dyr_Kode]]</f>
        <v>0</v>
      </c>
      <c r="I284" s="4347" t="s">
        <v>270</v>
      </c>
      <c r="J284" s="2766"/>
      <c r="K284" s="2766" t="s">
        <v>350</v>
      </c>
      <c r="L284" s="2768"/>
      <c r="M284" s="2768"/>
      <c r="N284" s="2760" t="str">
        <f>IFERROR(Dataark_til_bilag2_2020[[#This Row],[Antal dyr]]*Dataark_til_bilag2_2020[[#This Row],[Gødning (g) pr. dyr (ton)]]," ")</f>
        <v xml:space="preserve"> </v>
      </c>
      <c r="O284" s="2767">
        <f>0.38/100</f>
        <v>3.8E-3</v>
      </c>
      <c r="P284" s="2759" t="s">
        <v>270</v>
      </c>
      <c r="Q284" s="2767">
        <v>0.63300000000000001</v>
      </c>
      <c r="R284" s="2783">
        <v>0</v>
      </c>
      <c r="S284" s="2783">
        <v>0</v>
      </c>
      <c r="T284" s="2769">
        <f t="shared" si="16"/>
        <v>2.4043175699999999</v>
      </c>
      <c r="U284" s="2769">
        <f>(O284*1000)/365*Q284*0.8*R284</f>
        <v>0</v>
      </c>
      <c r="V284" s="2769">
        <v>1</v>
      </c>
      <c r="W284" s="2769">
        <v>0.39</v>
      </c>
      <c r="X284" s="2769">
        <v>6.2824818104100007E-3</v>
      </c>
      <c r="Y284" s="2762" t="str">
        <f t="shared" si="18"/>
        <v>-</v>
      </c>
    </row>
    <row r="285" spans="1:25" s="2790" customFormat="1" x14ac:dyDescent="0.25">
      <c r="A285" s="2764" t="s">
        <v>907</v>
      </c>
      <c r="B285" s="2765"/>
      <c r="C285" s="2766" t="s">
        <v>2757</v>
      </c>
      <c r="D285" s="2766" t="s">
        <v>342</v>
      </c>
      <c r="E285" s="2766" t="s">
        <v>1963</v>
      </c>
      <c r="F285" s="2766" t="s">
        <v>353</v>
      </c>
      <c r="G285" s="2766"/>
      <c r="H285" s="2766">
        <f>Dataark_til_bilag2_2020[[#This Row],[Stald_kode]]+Dataark_til_bilag2_2020[[#This Row],[Dyr_Kode]]</f>
        <v>0</v>
      </c>
      <c r="I285" s="4347" t="s">
        <v>270</v>
      </c>
      <c r="J285" s="2766" t="s">
        <v>1943</v>
      </c>
      <c r="K285" s="2766"/>
      <c r="L285" s="2768">
        <v>1.74</v>
      </c>
      <c r="M285" s="2768">
        <v>0.03</v>
      </c>
      <c r="N285" s="2760" t="str">
        <f>IFERROR(Dataark_til_bilag2_2020[[#This Row],[Antal dyr]]*Dataark_til_bilag2_2020[[#This Row],[Gødning (g) pr. dyr (ton)]]," ")</f>
        <v xml:space="preserve"> </v>
      </c>
      <c r="O285" s="2767"/>
      <c r="P285" s="2759" t="s">
        <v>270</v>
      </c>
      <c r="Q285" s="2767"/>
      <c r="R285" s="2769">
        <v>0</v>
      </c>
      <c r="S285" s="2769">
        <v>181</v>
      </c>
      <c r="T285" s="2769">
        <f t="shared" si="16"/>
        <v>41.760000000000005</v>
      </c>
      <c r="U285" s="2769">
        <f>(O285*1000)/365*Q285*0.8*R285</f>
        <v>0</v>
      </c>
      <c r="V285" s="2769">
        <v>13.7</v>
      </c>
      <c r="W285" s="2769">
        <v>0.45</v>
      </c>
      <c r="X285" s="2769">
        <v>1.7249176800000006</v>
      </c>
      <c r="Y285" s="2762" t="str">
        <f t="shared" si="18"/>
        <v>-</v>
      </c>
    </row>
    <row r="286" spans="1:25" s="2790" customFormat="1" x14ac:dyDescent="0.25">
      <c r="A286" s="2764" t="s">
        <v>625</v>
      </c>
      <c r="B286" s="2765"/>
      <c r="C286" s="2766" t="s">
        <v>2750</v>
      </c>
      <c r="D286" s="2766" t="s">
        <v>337</v>
      </c>
      <c r="E286" s="2766" t="s">
        <v>2749</v>
      </c>
      <c r="F286" s="2766" t="s">
        <v>2743</v>
      </c>
      <c r="G286" s="2766"/>
      <c r="H286" s="2766">
        <f>Dataark_til_bilag2_2020[[#This Row],[Stald_kode]]+Dataark_til_bilag2_2020[[#This Row],[Dyr_Kode]]</f>
        <v>0</v>
      </c>
      <c r="I286" s="4347" t="s">
        <v>270</v>
      </c>
      <c r="J286" s="2766"/>
      <c r="K286" s="2766" t="s">
        <v>350</v>
      </c>
      <c r="L286" s="2767"/>
      <c r="M286" s="2767"/>
      <c r="N286" s="2760" t="str">
        <f>IFERROR(Dataark_til_bilag2_2020[[#This Row],[Antal dyr]]*Dataark_til_bilag2_2020[[#This Row],[Gødning (g) pr. dyr (ton)]]," ")</f>
        <v xml:space="preserve"> </v>
      </c>
      <c r="O286" s="2768">
        <v>0.05</v>
      </c>
      <c r="P286" s="2759" t="s">
        <v>270</v>
      </c>
      <c r="Q286" s="2767">
        <v>0.35</v>
      </c>
      <c r="R286" s="2774"/>
      <c r="S286" s="2774"/>
      <c r="T286" s="2769">
        <f t="shared" si="16"/>
        <v>17.492125000000001</v>
      </c>
      <c r="U286" s="2769">
        <f>(L286*1000)/365*M286*0.8*R286</f>
        <v>0</v>
      </c>
      <c r="V286" s="2769"/>
      <c r="W286" s="2769"/>
      <c r="X286" s="2769">
        <v>0</v>
      </c>
      <c r="Y286" s="2762" t="str">
        <f t="shared" si="18"/>
        <v>-</v>
      </c>
    </row>
    <row r="287" spans="1:25" s="2775" customFormat="1" x14ac:dyDescent="0.25">
      <c r="A287" s="2764" t="s">
        <v>907</v>
      </c>
      <c r="B287" s="2765"/>
      <c r="C287" s="2766" t="s">
        <v>2756</v>
      </c>
      <c r="D287" s="2766" t="s">
        <v>342</v>
      </c>
      <c r="E287" s="2766" t="s">
        <v>1967</v>
      </c>
      <c r="F287" s="2766" t="s">
        <v>350</v>
      </c>
      <c r="G287" s="2766"/>
      <c r="H287" s="2766">
        <f>Dataark_til_bilag2_2020[[#This Row],[Stald_kode]]+Dataark_til_bilag2_2020[[#This Row],[Dyr_Kode]]</f>
        <v>0</v>
      </c>
      <c r="I287" s="4347" t="s">
        <v>270</v>
      </c>
      <c r="J287" s="2766"/>
      <c r="K287" s="2766" t="s">
        <v>350</v>
      </c>
      <c r="L287" s="2768"/>
      <c r="M287" s="2768"/>
      <c r="N287" s="2760" t="str">
        <f>IFERROR(Dataark_til_bilag2_2020[[#This Row],[Antal dyr]]*Dataark_til_bilag2_2020[[#This Row],[Gødning (g) pr. dyr (ton)]]," ")</f>
        <v xml:space="preserve"> </v>
      </c>
      <c r="O287" s="2767">
        <v>0.67</v>
      </c>
      <c r="P287" s="2759" t="s">
        <v>270</v>
      </c>
      <c r="Q287" s="2767">
        <v>0.33</v>
      </c>
      <c r="R287" s="2769">
        <v>0</v>
      </c>
      <c r="S287" s="2769">
        <v>181</v>
      </c>
      <c r="T287" s="2769">
        <f t="shared" si="16"/>
        <v>221.000505</v>
      </c>
      <c r="U287" s="2769">
        <f>(O287*1000)/365*Q287*0.8*R287</f>
        <v>0</v>
      </c>
      <c r="V287" s="2769">
        <v>14.7</v>
      </c>
      <c r="W287" s="2769">
        <v>0.45</v>
      </c>
      <c r="X287" s="2769">
        <v>9.7948528818525027</v>
      </c>
      <c r="Y287" s="2762" t="str">
        <f t="shared" si="18"/>
        <v>-</v>
      </c>
    </row>
    <row r="288" spans="1:25" s="2775" customFormat="1" x14ac:dyDescent="0.25">
      <c r="A288" s="2764" t="s">
        <v>907</v>
      </c>
      <c r="B288" s="2765"/>
      <c r="C288" s="2766" t="s">
        <v>2756</v>
      </c>
      <c r="D288" s="2766" t="s">
        <v>342</v>
      </c>
      <c r="E288" s="2766" t="s">
        <v>1968</v>
      </c>
      <c r="F288" s="2766" t="s">
        <v>350</v>
      </c>
      <c r="G288" s="2766"/>
      <c r="H288" s="2766">
        <f>Dataark_til_bilag2_2020[[#This Row],[Stald_kode]]+Dataark_til_bilag2_2020[[#This Row],[Dyr_Kode]]</f>
        <v>0</v>
      </c>
      <c r="I288" s="4347" t="s">
        <v>270</v>
      </c>
      <c r="J288" s="2766"/>
      <c r="K288" s="2766" t="s">
        <v>350</v>
      </c>
      <c r="L288" s="2768"/>
      <c r="M288" s="2768"/>
      <c r="N288" s="2760" t="str">
        <f>IFERROR(Dataark_til_bilag2_2020[[#This Row],[Antal dyr]]*Dataark_til_bilag2_2020[[#This Row],[Gødning (g) pr. dyr (ton)]]," ")</f>
        <v xml:space="preserve"> </v>
      </c>
      <c r="O288" s="2767">
        <v>0.67</v>
      </c>
      <c r="P288" s="2759" t="s">
        <v>270</v>
      </c>
      <c r="Q288" s="2767">
        <v>0.33</v>
      </c>
      <c r="R288" s="2769">
        <v>0</v>
      </c>
      <c r="S288" s="2769">
        <v>181</v>
      </c>
      <c r="T288" s="2769">
        <f t="shared" si="16"/>
        <v>221.000505</v>
      </c>
      <c r="U288" s="2769">
        <f>(O288*1000)/365*Q288*0.8*R288</f>
        <v>0</v>
      </c>
      <c r="V288" s="2769">
        <v>14.7</v>
      </c>
      <c r="W288" s="2769">
        <v>0.45</v>
      </c>
      <c r="X288" s="2769">
        <v>9.7948528818525027</v>
      </c>
      <c r="Y288" s="2762" t="str">
        <f t="shared" si="18"/>
        <v>-</v>
      </c>
    </row>
    <row r="289" spans="1:25" x14ac:dyDescent="0.25">
      <c r="A289" s="2764" t="s">
        <v>1900</v>
      </c>
      <c r="B289" s="2765"/>
      <c r="C289" s="2766" t="s">
        <v>2762</v>
      </c>
      <c r="D289" s="2766" t="s">
        <v>331</v>
      </c>
      <c r="E289" s="2766" t="s">
        <v>1912</v>
      </c>
      <c r="F289" s="2766" t="s">
        <v>2743</v>
      </c>
      <c r="G289" s="2766"/>
      <c r="H289" s="2766">
        <f>Dataark_til_bilag2_2020[[#This Row],[Stald_kode]]+Dataark_til_bilag2_2020[[#This Row],[Dyr_Kode]]</f>
        <v>0</v>
      </c>
      <c r="I289" s="4347" t="s">
        <v>270</v>
      </c>
      <c r="J289" s="2766"/>
      <c r="K289" s="2766" t="s">
        <v>350</v>
      </c>
      <c r="L289" s="2768"/>
      <c r="M289" s="2768"/>
      <c r="N289" s="2760" t="str">
        <f>IFERROR(Dataark_til_bilag2_2020[[#This Row],[Antal dyr]]*Dataark_til_bilag2_2020[[#This Row],[Gødning (g) pr. dyr (ton)]]," ")</f>
        <v xml:space="preserve"> </v>
      </c>
      <c r="O289" s="2767">
        <f>0.31/100</f>
        <v>3.0999999999999999E-3</v>
      </c>
      <c r="P289" s="2759" t="s">
        <v>270</v>
      </c>
      <c r="Q289" s="2767">
        <v>0.63300000000000001</v>
      </c>
      <c r="R289" s="2769">
        <v>0</v>
      </c>
      <c r="S289" s="2783">
        <v>0</v>
      </c>
      <c r="T289" s="2769">
        <f t="shared" si="16"/>
        <v>1.9614169650000002</v>
      </c>
      <c r="U289" s="2769">
        <f>(O289*1000)/365*Q289*0.8*R289</f>
        <v>0</v>
      </c>
      <c r="V289" s="2769">
        <v>1</v>
      </c>
      <c r="W289" s="2769">
        <v>0.39</v>
      </c>
      <c r="X289" s="2769">
        <v>5.1251825295450014E-3</v>
      </c>
      <c r="Y289" s="2762" t="str">
        <f t="shared" si="18"/>
        <v>-</v>
      </c>
    </row>
    <row r="290" spans="1:25" s="2775" customFormat="1" x14ac:dyDescent="0.25">
      <c r="A290" s="2764" t="s">
        <v>1900</v>
      </c>
      <c r="B290" s="2765"/>
      <c r="C290" s="2766" t="s">
        <v>1900</v>
      </c>
      <c r="D290" s="2766" t="s">
        <v>331</v>
      </c>
      <c r="E290" s="2766" t="s">
        <v>1913</v>
      </c>
      <c r="F290" s="2766" t="s">
        <v>2743</v>
      </c>
      <c r="G290" s="2766"/>
      <c r="H290" s="2766">
        <f>Dataark_til_bilag2_2020[[#This Row],[Stald_kode]]+Dataark_til_bilag2_2020[[#This Row],[Dyr_Kode]]</f>
        <v>0</v>
      </c>
      <c r="I290" s="4347" t="s">
        <v>270</v>
      </c>
      <c r="J290" s="2766"/>
      <c r="K290" s="2766" t="s">
        <v>350</v>
      </c>
      <c r="L290" s="2767"/>
      <c r="M290" s="2767"/>
      <c r="N290" s="2760" t="str">
        <f>IFERROR(Dataark_til_bilag2_2020[[#This Row],[Antal dyr]]*Dataark_til_bilag2_2020[[#This Row],[Gødning (g) pr. dyr (ton)]]," ")</f>
        <v xml:space="preserve"> </v>
      </c>
      <c r="O290" s="2768">
        <f>0.4/100</f>
        <v>4.0000000000000001E-3</v>
      </c>
      <c r="P290" s="2759" t="s">
        <v>270</v>
      </c>
      <c r="Q290" s="2767">
        <v>0.63300000000000001</v>
      </c>
      <c r="R290" s="2774"/>
      <c r="S290" s="2774"/>
      <c r="T290" s="2769">
        <f t="shared" si="16"/>
        <v>2.5308606</v>
      </c>
      <c r="U290" s="2769">
        <f>(L290*1000)/365*M290*0.8*R290</f>
        <v>0</v>
      </c>
      <c r="V290" s="2769"/>
      <c r="W290" s="2769"/>
      <c r="X290" s="2769">
        <v>0</v>
      </c>
      <c r="Y290" s="2762" t="str">
        <f t="shared" si="18"/>
        <v>-</v>
      </c>
    </row>
    <row r="291" spans="1:25" x14ac:dyDescent="0.25">
      <c r="A291" s="2764" t="s">
        <v>2745</v>
      </c>
      <c r="B291" s="2765"/>
      <c r="C291" s="2766" t="s">
        <v>2744</v>
      </c>
      <c r="D291" s="2766" t="s">
        <v>331</v>
      </c>
      <c r="E291" s="2766" t="s">
        <v>1914</v>
      </c>
      <c r="F291" s="2766" t="s">
        <v>2743</v>
      </c>
      <c r="G291" s="2766"/>
      <c r="H291" s="2766">
        <f>Dataark_til_bilag2_2020[[#This Row],[Stald_kode]]+Dataark_til_bilag2_2020[[#This Row],[Dyr_Kode]]</f>
        <v>0</v>
      </c>
      <c r="I291" s="4347" t="s">
        <v>270</v>
      </c>
      <c r="J291" s="2766"/>
      <c r="K291" s="2766" t="s">
        <v>350</v>
      </c>
      <c r="L291" s="2767"/>
      <c r="M291" s="2767"/>
      <c r="N291" s="2760" t="str">
        <f>IFERROR(Dataark_til_bilag2_2020[[#This Row],[Antal dyr]]*Dataark_til_bilag2_2020[[#This Row],[Gødning (g) pr. dyr (ton)]]," ")</f>
        <v xml:space="preserve"> </v>
      </c>
      <c r="O291" s="2767">
        <f>0.3/100</f>
        <v>3.0000000000000001E-3</v>
      </c>
      <c r="P291" s="2759" t="s">
        <v>270</v>
      </c>
      <c r="Q291" s="2767">
        <v>0.63300000000000001</v>
      </c>
      <c r="R291" s="2769"/>
      <c r="S291" s="2769">
        <v>181</v>
      </c>
      <c r="T291" s="2769">
        <f t="shared" si="16"/>
        <v>1.8981454499999999</v>
      </c>
      <c r="U291" s="2769">
        <f>(L291*1000)/365*M291*0.8*R291</f>
        <v>0</v>
      </c>
      <c r="V291" s="2769">
        <v>1.5</v>
      </c>
      <c r="W291" s="2769">
        <v>0.39</v>
      </c>
      <c r="X291" s="2769">
        <v>7.4397810912750009E-3</v>
      </c>
      <c r="Y291" s="2762" t="str">
        <f t="shared" si="18"/>
        <v>-</v>
      </c>
    </row>
    <row r="292" spans="1:25" s="2775" customFormat="1" x14ac:dyDescent="0.25">
      <c r="A292" s="2764" t="s">
        <v>1900</v>
      </c>
      <c r="B292" s="2765"/>
      <c r="C292" s="2766" t="s">
        <v>2744</v>
      </c>
      <c r="D292" s="2766" t="s">
        <v>331</v>
      </c>
      <c r="E292" s="2766" t="s">
        <v>1917</v>
      </c>
      <c r="F292" s="2766" t="s">
        <v>2743</v>
      </c>
      <c r="G292" s="2766"/>
      <c r="H292" s="2766">
        <f>Dataark_til_bilag2_2020[[#This Row],[Stald_kode]]+Dataark_til_bilag2_2020[[#This Row],[Dyr_Kode]]</f>
        <v>0</v>
      </c>
      <c r="I292" s="4347" t="s">
        <v>270</v>
      </c>
      <c r="J292" s="2766"/>
      <c r="K292" s="2766" t="s">
        <v>350</v>
      </c>
      <c r="L292" s="2768"/>
      <c r="M292" s="2768"/>
      <c r="N292" s="2760" t="str">
        <f>IFERROR(Dataark_til_bilag2_2020[[#This Row],[Antal dyr]]*Dataark_til_bilag2_2020[[#This Row],[Gødning (g) pr. dyr (ton)]]," ")</f>
        <v xml:space="preserve"> </v>
      </c>
      <c r="O292" s="2767">
        <f>0.3/100</f>
        <v>3.0000000000000001E-3</v>
      </c>
      <c r="P292" s="2759" t="s">
        <v>270</v>
      </c>
      <c r="Q292" s="2767">
        <v>0.63300000000000001</v>
      </c>
      <c r="R292" s="2783">
        <v>0</v>
      </c>
      <c r="S292" s="2783">
        <v>0</v>
      </c>
      <c r="T292" s="2769">
        <f t="shared" si="16"/>
        <v>1.8981454499999999</v>
      </c>
      <c r="U292" s="2769">
        <f>(O292*1000)/365*Q292*0.8*R292</f>
        <v>0</v>
      </c>
      <c r="V292" s="2769">
        <v>1.5</v>
      </c>
      <c r="W292" s="2769">
        <v>0.39</v>
      </c>
      <c r="X292" s="2769">
        <v>7.4397810912750009E-3</v>
      </c>
      <c r="Y292" s="2762" t="str">
        <f t="shared" si="18"/>
        <v>-</v>
      </c>
    </row>
    <row r="293" spans="1:25" x14ac:dyDescent="0.25">
      <c r="A293" s="2764" t="s">
        <v>1900</v>
      </c>
      <c r="B293" s="2765"/>
      <c r="C293" s="2766" t="s">
        <v>2744</v>
      </c>
      <c r="D293" s="2766" t="s">
        <v>331</v>
      </c>
      <c r="E293" s="2766" t="s">
        <v>1916</v>
      </c>
      <c r="F293" s="2766" t="s">
        <v>2743</v>
      </c>
      <c r="G293" s="2766"/>
      <c r="H293" s="2766">
        <f>Dataark_til_bilag2_2020[[#This Row],[Stald_kode]]+Dataark_til_bilag2_2020[[#This Row],[Dyr_Kode]]</f>
        <v>0</v>
      </c>
      <c r="I293" s="4347" t="s">
        <v>270</v>
      </c>
      <c r="J293" s="2766"/>
      <c r="K293" s="2766" t="s">
        <v>350</v>
      </c>
      <c r="L293" s="2768"/>
      <c r="M293" s="2768"/>
      <c r="N293" s="2760" t="str">
        <f>IFERROR(Dataark_til_bilag2_2020[[#This Row],[Antal dyr]]*Dataark_til_bilag2_2020[[#This Row],[Gødning (g) pr. dyr (ton)]]," ")</f>
        <v xml:space="preserve"> </v>
      </c>
      <c r="O293" s="2767">
        <f>0.42/100</f>
        <v>4.1999999999999997E-3</v>
      </c>
      <c r="P293" s="2759" t="s">
        <v>270</v>
      </c>
      <c r="Q293" s="2767">
        <v>0.63300000000000001</v>
      </c>
      <c r="R293" s="2783">
        <v>0</v>
      </c>
      <c r="S293" s="2783">
        <v>0</v>
      </c>
      <c r="T293" s="2769">
        <f t="shared" si="16"/>
        <v>2.6574036300000006</v>
      </c>
      <c r="U293" s="2769">
        <f>(O293*1000)/365*Q293*0.8*R293</f>
        <v>0</v>
      </c>
      <c r="V293" s="2769">
        <v>1.5</v>
      </c>
      <c r="W293" s="2769">
        <v>0.39</v>
      </c>
      <c r="X293" s="2769">
        <v>1.0415693527785003E-2</v>
      </c>
      <c r="Y293" s="2762" t="str">
        <f t="shared" si="18"/>
        <v>-</v>
      </c>
    </row>
    <row r="294" spans="1:25" x14ac:dyDescent="0.25">
      <c r="A294" s="2764" t="s">
        <v>2792</v>
      </c>
      <c r="B294" s="2765"/>
      <c r="C294" s="2766" t="s">
        <v>2017</v>
      </c>
      <c r="D294" s="2766" t="s">
        <v>341</v>
      </c>
      <c r="E294" s="2766" t="s">
        <v>2016</v>
      </c>
      <c r="F294" s="2766" t="s">
        <v>350</v>
      </c>
      <c r="G294" s="2766"/>
      <c r="H294" s="2766"/>
      <c r="I294" s="4347" t="s">
        <v>270</v>
      </c>
      <c r="J294" s="2766"/>
      <c r="K294" s="2766" t="s">
        <v>350</v>
      </c>
      <c r="L294" s="2767"/>
      <c r="M294" s="2767"/>
      <c r="N294" s="2760" t="str">
        <f>IFERROR(Dataark_til_bilag2_2020[[#This Row],[Antal dyr]]*Dataark_til_bilag2_2020[[#This Row],[Gødning (g) pr. dyr (ton)]]," ")</f>
        <v xml:space="preserve"> </v>
      </c>
      <c r="O294" s="2768">
        <v>12.72</v>
      </c>
      <c r="P294" s="2759" t="s">
        <v>270</v>
      </c>
      <c r="Q294" s="2767">
        <v>0.28999999999999998</v>
      </c>
      <c r="R294" s="2769">
        <v>18</v>
      </c>
      <c r="S294" s="2769">
        <v>181</v>
      </c>
      <c r="T294" s="2769">
        <f t="shared" si="16"/>
        <v>3505.3084763835614</v>
      </c>
      <c r="U294" s="2769">
        <f>(L294*1000)/365*M294*0.8*R294</f>
        <v>0</v>
      </c>
      <c r="V294" s="2769">
        <v>4.5999999999999996</v>
      </c>
      <c r="W294" s="2769">
        <v>0.24</v>
      </c>
      <c r="X294" s="2769">
        <v>25.928065738113922</v>
      </c>
      <c r="Y294" s="2762" t="str">
        <f t="shared" si="18"/>
        <v>-</v>
      </c>
    </row>
    <row r="295" spans="1:25" x14ac:dyDescent="0.25">
      <c r="A295" s="2764" t="s">
        <v>2792</v>
      </c>
      <c r="B295" s="2765"/>
      <c r="C295" s="2772" t="s">
        <v>1993</v>
      </c>
      <c r="D295" s="2772" t="s">
        <v>330</v>
      </c>
      <c r="E295" s="2772" t="s">
        <v>1998</v>
      </c>
      <c r="F295" s="2772" t="s">
        <v>350</v>
      </c>
      <c r="G295" s="2772"/>
      <c r="H295" s="2772"/>
      <c r="I295" s="4347" t="s">
        <v>270</v>
      </c>
      <c r="J295" s="2772"/>
      <c r="K295" s="2772" t="s">
        <v>350</v>
      </c>
      <c r="L295" s="2773"/>
      <c r="M295" s="2773"/>
      <c r="N295" s="2760" t="str">
        <f>IFERROR(Dataark_til_bilag2_2020[[#This Row],[Antal dyr]]*Dataark_til_bilag2_2020[[#This Row],[Gødning (g) pr. dyr (ton)]]," ")</f>
        <v xml:space="preserve"> </v>
      </c>
      <c r="O295" s="2773">
        <v>3.31</v>
      </c>
      <c r="P295" s="2759" t="s">
        <v>270</v>
      </c>
      <c r="Q295" s="2773">
        <v>0.3</v>
      </c>
      <c r="R295" s="2774">
        <v>18</v>
      </c>
      <c r="S295" s="2774">
        <v>181</v>
      </c>
      <c r="T295" s="2774">
        <f t="shared" si="16"/>
        <v>943.60532342465763</v>
      </c>
      <c r="U295" s="2774">
        <f>(L295*1000)/365*M295*0.8*R295</f>
        <v>0</v>
      </c>
      <c r="V295" s="2774">
        <v>12.5</v>
      </c>
      <c r="W295" s="2774">
        <v>0.18</v>
      </c>
      <c r="X295" s="2769">
        <v>14.224850250626716</v>
      </c>
      <c r="Y295" s="2762" t="str">
        <f t="shared" si="18"/>
        <v>-</v>
      </c>
    </row>
    <row r="296" spans="1:25" s="2775" customFormat="1" x14ac:dyDescent="0.25">
      <c r="A296" s="2840" t="s">
        <v>2745</v>
      </c>
      <c r="B296" s="2841"/>
      <c r="C296" s="2791" t="s">
        <v>1911</v>
      </c>
      <c r="D296" s="2791" t="s">
        <v>331</v>
      </c>
      <c r="E296" s="2791" t="s">
        <v>1910</v>
      </c>
      <c r="F296" s="2791" t="s">
        <v>2743</v>
      </c>
      <c r="G296" s="2791"/>
      <c r="H296" s="2791"/>
      <c r="I296" s="4347" t="s">
        <v>270</v>
      </c>
      <c r="J296" s="2791"/>
      <c r="K296" s="2791" t="s">
        <v>350</v>
      </c>
      <c r="L296" s="2842"/>
      <c r="M296" s="2842"/>
      <c r="N296" s="2760" t="str">
        <f>IFERROR(Dataark_til_bilag2_2020[[#This Row],[Antal dyr]]*Dataark_til_bilag2_2020[[#This Row],[Gødning (g) pr. dyr (ton)]]," ")</f>
        <v xml:space="preserve"> </v>
      </c>
      <c r="O296" s="2843">
        <f>0.31/100</f>
        <v>3.0999999999999999E-3</v>
      </c>
      <c r="P296" s="2759" t="s">
        <v>270</v>
      </c>
      <c r="Q296" s="2842">
        <v>0.63300000000000001</v>
      </c>
      <c r="R296" s="2844">
        <v>0</v>
      </c>
      <c r="S296" s="2844"/>
      <c r="T296" s="2844">
        <f t="shared" si="16"/>
        <v>1.9614169650000002</v>
      </c>
      <c r="U296" s="2844">
        <f>(L296*1000)/365*M296*0.8*R296</f>
        <v>0</v>
      </c>
      <c r="V296" s="2844">
        <v>1.5</v>
      </c>
      <c r="W296" s="2844">
        <v>0.39</v>
      </c>
      <c r="X296" s="2844">
        <v>7.6877737943175026E-3</v>
      </c>
      <c r="Y296" s="2762" t="str">
        <f t="shared" si="18"/>
        <v>-</v>
      </c>
    </row>
    <row r="297" spans="1:25" ht="15.75" thickBot="1" x14ac:dyDescent="0.3">
      <c r="A297" s="2792" t="s">
        <v>2742</v>
      </c>
      <c r="B297" s="2792"/>
      <c r="I297" s="2747">
        <f>SUM(Dataark_til_bilag2_2020[Antal dyr])</f>
        <v>31961.649999999998</v>
      </c>
      <c r="N297" s="2748">
        <f>SUBTOTAL(9,Dataark_til_bilag2_2020[Gødning (g) total (ton)])</f>
        <v>17997.0291</v>
      </c>
      <c r="P297" s="2748">
        <f>SUM(Dataark_til_bilag2_2020[Gødning (s)(ton)])</f>
        <v>12047.941739999998</v>
      </c>
      <c r="Y297" s="2793">
        <f>SUM(Dataark_til_bilag2_2020[Total udledning af metan (ton)])</f>
        <v>170.05620372975153</v>
      </c>
    </row>
    <row r="299" spans="1:25" s="2797" customFormat="1" ht="59.25" customHeight="1" x14ac:dyDescent="0.2">
      <c r="A299" s="2794" t="s">
        <v>2042</v>
      </c>
      <c r="B299" s="2794"/>
      <c r="C299" s="5395" t="s">
        <v>1845</v>
      </c>
      <c r="D299" s="5395"/>
      <c r="E299" s="5395"/>
      <c r="F299" s="5395"/>
      <c r="G299" s="5395"/>
      <c r="H299" s="5395"/>
      <c r="I299" s="5395"/>
      <c r="J299" s="5395"/>
      <c r="K299" s="5395"/>
      <c r="L299" s="5410" t="s">
        <v>2741</v>
      </c>
      <c r="M299" s="5397"/>
      <c r="N299" s="5397"/>
      <c r="O299" s="5397"/>
      <c r="P299" s="5397"/>
      <c r="Q299" s="5398"/>
      <c r="R299" s="5399" t="s">
        <v>4211</v>
      </c>
      <c r="S299" s="5400"/>
      <c r="T299" s="5399" t="s">
        <v>4212</v>
      </c>
      <c r="U299" s="5400"/>
      <c r="V299" s="2851" t="s">
        <v>2740</v>
      </c>
      <c r="W299" s="2795" t="s">
        <v>2739</v>
      </c>
      <c r="X299" s="2796"/>
      <c r="Y299" s="2796"/>
    </row>
    <row r="304" spans="1:25" x14ac:dyDescent="0.25">
      <c r="I304" s="2748"/>
    </row>
  </sheetData>
  <mergeCells count="4">
    <mergeCell ref="C299:K299"/>
    <mergeCell ref="L299:Q299"/>
    <mergeCell ref="R299:S299"/>
    <mergeCell ref="T299:U299"/>
  </mergeCells>
  <hyperlinks>
    <hyperlink ref="A2" location="Index!A1" display="Til index" xr:uid="{7F447D99-3563-4D8F-BA3F-CAA59DFC754A}"/>
  </hyperlinks>
  <pageMargins left="0.7" right="0.7" top="0.75" bottom="0.75" header="0.3" footer="0.3"/>
  <pageSetup paperSize="9" orientation="portrait" r:id="rId1"/>
  <drawing r:id="rId2"/>
  <legacyDrawing r:id="rId3"/>
  <tableParts count="1">
    <tablePart r:id="rId4"/>
  </tablePart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06BC-7E80-41ED-A6C1-E1434715B189}">
  <sheetPr codeName="Ark124">
    <tabColor theme="3" tint="-0.249977111117893"/>
  </sheetPr>
  <dimension ref="A1:V250"/>
  <sheetViews>
    <sheetView topLeftCell="A214" zoomScale="85" zoomScaleNormal="85" workbookViewId="0">
      <selection activeCell="A214" sqref="A214"/>
    </sheetView>
  </sheetViews>
  <sheetFormatPr defaultColWidth="9.140625" defaultRowHeight="15" x14ac:dyDescent="0.25"/>
  <cols>
    <col min="1" max="1" width="27" style="1008" customWidth="1"/>
    <col min="2" max="2" width="20.28515625" style="1008" bestFit="1" customWidth="1"/>
    <col min="3" max="3" width="43.7109375" style="1008" customWidth="1"/>
    <col min="4" max="4" width="11" style="1008" bestFit="1" customWidth="1"/>
    <col min="5" max="5" width="46.85546875" style="1008" customWidth="1"/>
    <col min="6" max="7" width="11" style="1008" bestFit="1" customWidth="1"/>
    <col min="8" max="8" width="12" style="1008" bestFit="1" customWidth="1"/>
    <col min="9" max="9" width="11.5703125" style="1535" customWidth="1"/>
    <col min="10" max="10" width="12" style="1008" bestFit="1" customWidth="1"/>
    <col min="11" max="11" width="7" style="1008" bestFit="1" customWidth="1"/>
    <col min="12" max="12" width="12" style="1013" bestFit="1" customWidth="1"/>
    <col min="13" max="13" width="18.85546875" style="1008" bestFit="1" customWidth="1"/>
    <col min="14" max="14" width="17.28515625" style="1008" bestFit="1" customWidth="1"/>
    <col min="15" max="15" width="12" style="1008" bestFit="1" customWidth="1"/>
    <col min="16" max="16" width="12" style="1013" bestFit="1" customWidth="1"/>
    <col min="17" max="17" width="16.42578125" style="1554" bestFit="1" customWidth="1"/>
    <col min="18" max="18" width="13.42578125" style="1013" customWidth="1"/>
    <col min="19" max="19" width="12" style="1008" bestFit="1" customWidth="1"/>
    <col min="20" max="20" width="18.7109375" style="1013" customWidth="1"/>
    <col min="21" max="21" width="34.28515625" style="1013" customWidth="1"/>
    <col min="22" max="22" width="30.85546875" style="1013" customWidth="1"/>
    <col min="23" max="16384" width="9.140625" style="1008"/>
  </cols>
  <sheetData>
    <row r="1" spans="1:22" s="1006" customFormat="1" ht="53.45" customHeight="1" x14ac:dyDescent="0.35">
      <c r="B1" s="1007" t="s">
        <v>2909</v>
      </c>
    </row>
    <row r="2" spans="1:22" ht="21.75" thickBot="1" x14ac:dyDescent="0.4">
      <c r="A2" s="1740" t="s">
        <v>4206</v>
      </c>
      <c r="B2" s="1585"/>
    </row>
    <row r="3" spans="1:22" x14ac:dyDescent="0.25">
      <c r="A3" s="5413"/>
      <c r="B3" s="5413"/>
      <c r="C3" s="5413"/>
      <c r="D3" s="5413"/>
      <c r="E3" s="5413"/>
      <c r="F3" s="5413"/>
      <c r="G3" s="5413"/>
      <c r="H3" s="1014"/>
      <c r="L3" s="5411" t="s">
        <v>2908</v>
      </c>
      <c r="M3" s="5412"/>
      <c r="N3" s="5412"/>
      <c r="O3" s="5412"/>
      <c r="P3" s="5412"/>
      <c r="Q3" s="5411" t="s">
        <v>2907</v>
      </c>
      <c r="R3" s="5412"/>
      <c r="S3" s="5412"/>
      <c r="T3" s="5412"/>
      <c r="U3" s="5412"/>
    </row>
    <row r="4" spans="1:22" s="1162" customFormat="1" ht="73.5" customHeight="1" x14ac:dyDescent="0.25">
      <c r="A4" s="1584" t="s">
        <v>2840</v>
      </c>
      <c r="B4" s="1584" t="s">
        <v>2906</v>
      </c>
      <c r="C4" s="1582" t="s">
        <v>2820</v>
      </c>
      <c r="D4" s="1582" t="s">
        <v>2839</v>
      </c>
      <c r="E4" s="1582" t="s">
        <v>2818</v>
      </c>
      <c r="F4" s="1582" t="s">
        <v>2905</v>
      </c>
      <c r="G4" s="1582" t="s">
        <v>2904</v>
      </c>
      <c r="H4" s="1582" t="s">
        <v>2903</v>
      </c>
      <c r="I4" s="1583" t="s">
        <v>4749</v>
      </c>
      <c r="J4" s="1582" t="s">
        <v>897</v>
      </c>
      <c r="K4" s="1582" t="s">
        <v>2814</v>
      </c>
      <c r="L4" s="1579" t="s">
        <v>951</v>
      </c>
      <c r="M4" s="1580" t="s">
        <v>2902</v>
      </c>
      <c r="N4" s="1580" t="s">
        <v>950</v>
      </c>
      <c r="O4" s="1580" t="s">
        <v>2901</v>
      </c>
      <c r="P4" s="1579" t="s">
        <v>2900</v>
      </c>
      <c r="Q4" s="1581" t="s">
        <v>2899</v>
      </c>
      <c r="R4" s="1579" t="s">
        <v>2898</v>
      </c>
      <c r="S4" s="1580" t="s">
        <v>4944</v>
      </c>
      <c r="T4" s="1579" t="s">
        <v>2897</v>
      </c>
      <c r="U4" s="1579" t="s">
        <v>2896</v>
      </c>
      <c r="V4" s="1578" t="s">
        <v>4792</v>
      </c>
    </row>
    <row r="5" spans="1:22" x14ac:dyDescent="0.25">
      <c r="A5" s="1390" t="s">
        <v>334</v>
      </c>
      <c r="B5" s="1322">
        <v>1101</v>
      </c>
      <c r="C5" s="1198" t="s">
        <v>2025</v>
      </c>
      <c r="D5" s="1198" t="s">
        <v>334</v>
      </c>
      <c r="E5" s="1198" t="s">
        <v>2024</v>
      </c>
      <c r="F5" s="1198">
        <v>110101</v>
      </c>
      <c r="G5" s="1198" t="s">
        <v>2879</v>
      </c>
      <c r="H5" s="1198">
        <f>Dataark_til_bilag3_2030[[#This Row],[Staldkode]]+Dataark_til_bilag3_2030[[#This Row],[Dyrekode]]</f>
        <v>111202</v>
      </c>
      <c r="I5" s="1222">
        <v>15.21</v>
      </c>
      <c r="J5" s="1198"/>
      <c r="K5" s="1198" t="s">
        <v>350</v>
      </c>
      <c r="L5" s="1540">
        <v>23</v>
      </c>
      <c r="M5" s="1198">
        <f t="shared" ref="M5:M68" si="0">IFERROR(I5*L5," ")</f>
        <v>349.83000000000004</v>
      </c>
      <c r="N5" s="1198">
        <v>0.01</v>
      </c>
      <c r="O5" s="1198">
        <f t="shared" ref="O5:O68" si="1">IFERROR(M5*N5," ")</f>
        <v>3.4983000000000004</v>
      </c>
      <c r="P5" s="1539">
        <f t="shared" ref="P5:P68" si="2">IFERROR(O5*44/28," ")</f>
        <v>5.4973285714285725</v>
      </c>
      <c r="Q5" s="1571">
        <v>0.34389999999999998</v>
      </c>
      <c r="R5" s="1539">
        <f t="shared" ref="R5:R68" si="3">IFERROR(M5*Q5," ")</f>
        <v>120.30653700000001</v>
      </c>
      <c r="S5" s="1198">
        <v>0.01</v>
      </c>
      <c r="T5" s="1539">
        <f t="shared" ref="T5:T68" si="4">IFERROR(R5*S5," ")</f>
        <v>1.20306537</v>
      </c>
      <c r="U5" s="1539">
        <f t="shared" ref="U5:U68" si="5">IFERROR(T5*44/28,0)</f>
        <v>1.8905312957142857</v>
      </c>
      <c r="V5" s="1570">
        <f t="shared" ref="V5:V68" si="6">IFERROR((P5+U5)/1000," ")</f>
        <v>7.3878598671428576E-3</v>
      </c>
    </row>
    <row r="6" spans="1:22" x14ac:dyDescent="0.25">
      <c r="A6" s="1322" t="s">
        <v>334</v>
      </c>
      <c r="B6" s="1322">
        <v>1102</v>
      </c>
      <c r="C6" s="1198" t="s">
        <v>2023</v>
      </c>
      <c r="D6" s="1198" t="s">
        <v>334</v>
      </c>
      <c r="E6" s="1198" t="s">
        <v>2022</v>
      </c>
      <c r="F6" s="1198">
        <v>110201</v>
      </c>
      <c r="G6" s="1198" t="s">
        <v>2879</v>
      </c>
      <c r="H6" s="1198">
        <f>Dataark_til_bilag3_2030[[#This Row],[Staldkode]]+Dataark_til_bilag3_2030[[#This Row],[Dyrekode]]</f>
        <v>111303</v>
      </c>
      <c r="I6" s="1222">
        <v>277.02</v>
      </c>
      <c r="J6" s="1198"/>
      <c r="K6" s="1198" t="s">
        <v>350</v>
      </c>
      <c r="L6" s="1540">
        <v>38</v>
      </c>
      <c r="M6" s="1198">
        <f t="shared" si="0"/>
        <v>10526.759999999998</v>
      </c>
      <c r="N6" s="1198">
        <v>0.01</v>
      </c>
      <c r="O6" s="1198">
        <f t="shared" si="1"/>
        <v>105.26759999999999</v>
      </c>
      <c r="P6" s="1539">
        <f t="shared" si="2"/>
        <v>165.42051428571426</v>
      </c>
      <c r="Q6" s="1571">
        <v>0.34389999999999998</v>
      </c>
      <c r="R6" s="1539">
        <f t="shared" si="3"/>
        <v>3620.1527639999995</v>
      </c>
      <c r="S6" s="1198">
        <v>0.01</v>
      </c>
      <c r="T6" s="1539">
        <f t="shared" si="4"/>
        <v>36.201527639999995</v>
      </c>
      <c r="U6" s="1539">
        <f t="shared" si="5"/>
        <v>56.888114862857137</v>
      </c>
      <c r="V6" s="1570">
        <f t="shared" si="6"/>
        <v>0.22230862914857141</v>
      </c>
    </row>
    <row r="7" spans="1:22" x14ac:dyDescent="0.25">
      <c r="A7" s="1390" t="s">
        <v>334</v>
      </c>
      <c r="B7" s="1322">
        <v>1103</v>
      </c>
      <c r="C7" s="1198" t="s">
        <v>2021</v>
      </c>
      <c r="D7" s="1198" t="s">
        <v>334</v>
      </c>
      <c r="E7" s="1198" t="s">
        <v>2020</v>
      </c>
      <c r="F7" s="1198">
        <v>110301</v>
      </c>
      <c r="G7" s="1198" t="s">
        <v>2879</v>
      </c>
      <c r="H7" s="1198">
        <f>Dataark_til_bilag3_2030[[#This Row],[Staldkode]]+Dataark_til_bilag3_2030[[#This Row],[Dyrekode]]</f>
        <v>111404</v>
      </c>
      <c r="I7" s="1222">
        <v>26.5</v>
      </c>
      <c r="J7" s="1198"/>
      <c r="K7" s="1198" t="s">
        <v>350</v>
      </c>
      <c r="L7" s="1540">
        <v>50</v>
      </c>
      <c r="M7" s="1198">
        <f t="shared" si="0"/>
        <v>1325</v>
      </c>
      <c r="N7" s="1198">
        <v>0.01</v>
      </c>
      <c r="O7" s="1198">
        <f t="shared" si="1"/>
        <v>13.25</v>
      </c>
      <c r="P7" s="1539">
        <f t="shared" si="2"/>
        <v>20.821428571428573</v>
      </c>
      <c r="Q7" s="1571">
        <v>0.34389999999999998</v>
      </c>
      <c r="R7" s="1539">
        <f t="shared" si="3"/>
        <v>455.66749999999996</v>
      </c>
      <c r="S7" s="1198">
        <v>0.01</v>
      </c>
      <c r="T7" s="1539">
        <f t="shared" si="4"/>
        <v>4.5566749999999994</v>
      </c>
      <c r="U7" s="1539">
        <f t="shared" si="5"/>
        <v>7.1604892857142843</v>
      </c>
      <c r="V7" s="1570">
        <f t="shared" si="6"/>
        <v>2.7981917857142859E-2</v>
      </c>
    </row>
    <row r="8" spans="1:22" x14ac:dyDescent="0.25">
      <c r="A8" s="1390" t="s">
        <v>334</v>
      </c>
      <c r="B8" s="1322">
        <v>1104</v>
      </c>
      <c r="C8" s="1198" t="s">
        <v>2019</v>
      </c>
      <c r="D8" s="1198" t="s">
        <v>334</v>
      </c>
      <c r="E8" s="1198" t="s">
        <v>2018</v>
      </c>
      <c r="F8" s="1198">
        <v>110401</v>
      </c>
      <c r="G8" s="1198" t="s">
        <v>2879</v>
      </c>
      <c r="H8" s="1198">
        <f>Dataark_til_bilag3_2030[[#This Row],[Staldkode]]+Dataark_til_bilag3_2030[[#This Row],[Dyrekode]]</f>
        <v>111505</v>
      </c>
      <c r="I8" s="1222">
        <v>0</v>
      </c>
      <c r="J8" s="1198"/>
      <c r="K8" s="1198" t="s">
        <v>350</v>
      </c>
      <c r="L8" s="1540">
        <v>63</v>
      </c>
      <c r="M8" s="1198">
        <f t="shared" si="0"/>
        <v>0</v>
      </c>
      <c r="N8" s="1198">
        <v>0.01</v>
      </c>
      <c r="O8" s="1198">
        <f t="shared" si="1"/>
        <v>0</v>
      </c>
      <c r="P8" s="1539">
        <f t="shared" si="2"/>
        <v>0</v>
      </c>
      <c r="Q8" s="1571">
        <v>0.34389999999999998</v>
      </c>
      <c r="R8" s="1539">
        <f t="shared" si="3"/>
        <v>0</v>
      </c>
      <c r="S8" s="1198">
        <v>0.01</v>
      </c>
      <c r="T8" s="1539">
        <f t="shared" si="4"/>
        <v>0</v>
      </c>
      <c r="U8" s="1539">
        <f t="shared" si="5"/>
        <v>0</v>
      </c>
      <c r="V8" s="1570">
        <f t="shared" si="6"/>
        <v>0</v>
      </c>
    </row>
    <row r="9" spans="1:22" x14ac:dyDescent="0.25">
      <c r="A9" s="1390" t="s">
        <v>1980</v>
      </c>
      <c r="B9" s="1322">
        <v>1201</v>
      </c>
      <c r="C9" s="1198" t="s">
        <v>2017</v>
      </c>
      <c r="D9" s="1198" t="s">
        <v>341</v>
      </c>
      <c r="E9" s="1198" t="s">
        <v>1989</v>
      </c>
      <c r="F9" s="1198">
        <v>120101</v>
      </c>
      <c r="G9" s="1198" t="s">
        <v>639</v>
      </c>
      <c r="H9" s="1198">
        <f>Dataark_til_bilag3_2030[[#This Row],[Staldkode]]+Dataark_til_bilag3_2030[[#This Row],[Dyrekode]]</f>
        <v>121302</v>
      </c>
      <c r="I9" s="1222">
        <v>0</v>
      </c>
      <c r="J9" s="1198" t="s">
        <v>1903</v>
      </c>
      <c r="K9" s="1198"/>
      <c r="L9" s="1540">
        <v>160.5</v>
      </c>
      <c r="M9" s="1198">
        <f t="shared" si="0"/>
        <v>0</v>
      </c>
      <c r="N9" s="1198">
        <v>5.0000000000000001E-3</v>
      </c>
      <c r="O9" s="1198">
        <f t="shared" si="1"/>
        <v>0</v>
      </c>
      <c r="P9" s="1539">
        <f t="shared" si="2"/>
        <v>0</v>
      </c>
      <c r="Q9" s="1571">
        <v>7.8E-2</v>
      </c>
      <c r="R9" s="1539">
        <f t="shared" si="3"/>
        <v>0</v>
      </c>
      <c r="S9" s="1198">
        <v>0.01</v>
      </c>
      <c r="T9" s="1539">
        <f t="shared" si="4"/>
        <v>0</v>
      </c>
      <c r="U9" s="1539">
        <f t="shared" si="5"/>
        <v>0</v>
      </c>
      <c r="V9" s="1570">
        <f t="shared" si="6"/>
        <v>0</v>
      </c>
    </row>
    <row r="10" spans="1:22" x14ac:dyDescent="0.25">
      <c r="A10" s="1390" t="s">
        <v>1980</v>
      </c>
      <c r="B10" s="1322">
        <v>1201</v>
      </c>
      <c r="C10" s="1198" t="s">
        <v>2017</v>
      </c>
      <c r="D10" s="1198" t="s">
        <v>341</v>
      </c>
      <c r="E10" s="1198" t="s">
        <v>1988</v>
      </c>
      <c r="F10" s="1198">
        <v>120102</v>
      </c>
      <c r="G10" s="1198" t="s">
        <v>639</v>
      </c>
      <c r="H10" s="1198">
        <f>Dataark_til_bilag3_2030[[#This Row],[Staldkode]]+Dataark_til_bilag3_2030[[#This Row],[Dyrekode]]</f>
        <v>121303</v>
      </c>
      <c r="I10" s="1222">
        <v>0</v>
      </c>
      <c r="J10" s="1198" t="s">
        <v>1977</v>
      </c>
      <c r="K10" s="1198"/>
      <c r="L10" s="1540">
        <v>160.5</v>
      </c>
      <c r="M10" s="1198">
        <f t="shared" si="0"/>
        <v>0</v>
      </c>
      <c r="N10" s="1198">
        <v>5.0000000000000001E-3</v>
      </c>
      <c r="O10" s="1198">
        <f t="shared" si="1"/>
        <v>0</v>
      </c>
      <c r="P10" s="1539">
        <f t="shared" si="2"/>
        <v>0</v>
      </c>
      <c r="Q10" s="1571">
        <v>7.8E-2</v>
      </c>
      <c r="R10" s="1539">
        <f t="shared" si="3"/>
        <v>0</v>
      </c>
      <c r="S10" s="1198">
        <v>0.01</v>
      </c>
      <c r="T10" s="1539">
        <f t="shared" si="4"/>
        <v>0</v>
      </c>
      <c r="U10" s="1539">
        <f t="shared" si="5"/>
        <v>0</v>
      </c>
      <c r="V10" s="1570">
        <f t="shared" si="6"/>
        <v>0</v>
      </c>
    </row>
    <row r="11" spans="1:22" x14ac:dyDescent="0.25">
      <c r="A11" s="1322" t="s">
        <v>1980</v>
      </c>
      <c r="B11" s="1322">
        <v>1201</v>
      </c>
      <c r="C11" s="1322" t="s">
        <v>2017</v>
      </c>
      <c r="D11" s="1198" t="s">
        <v>341</v>
      </c>
      <c r="E11" s="1198" t="s">
        <v>1995</v>
      </c>
      <c r="F11" s="1538">
        <v>120103</v>
      </c>
      <c r="G11" s="1198" t="s">
        <v>354</v>
      </c>
      <c r="H11" s="1198">
        <f>Dataark_til_bilag3_2030[[#This Row],[Staldkode]]+Dataark_til_bilag3_2030[[#This Row],[Dyrekode]]</f>
        <v>121304</v>
      </c>
      <c r="I11" s="1222">
        <v>0</v>
      </c>
      <c r="J11" s="1198" t="s">
        <v>1977</v>
      </c>
      <c r="K11" s="1198"/>
      <c r="L11" s="1540">
        <v>160.5</v>
      </c>
      <c r="M11" s="1198">
        <f t="shared" si="0"/>
        <v>0</v>
      </c>
      <c r="N11" s="1198">
        <v>5.0000000000000001E-3</v>
      </c>
      <c r="O11" s="1198">
        <f t="shared" si="1"/>
        <v>0</v>
      </c>
      <c r="P11" s="1539">
        <f t="shared" si="2"/>
        <v>0</v>
      </c>
      <c r="Q11" s="1571">
        <v>7.8E-2</v>
      </c>
      <c r="R11" s="1539">
        <f t="shared" si="3"/>
        <v>0</v>
      </c>
      <c r="S11" s="1198">
        <v>0.01</v>
      </c>
      <c r="T11" s="1539">
        <f t="shared" si="4"/>
        <v>0</v>
      </c>
      <c r="U11" s="1539">
        <f t="shared" si="5"/>
        <v>0</v>
      </c>
      <c r="V11" s="1570">
        <f t="shared" si="6"/>
        <v>0</v>
      </c>
    </row>
    <row r="12" spans="1:22" x14ac:dyDescent="0.25">
      <c r="A12" s="1322" t="s">
        <v>1980</v>
      </c>
      <c r="B12" s="1322">
        <v>1201</v>
      </c>
      <c r="C12" s="1198" t="s">
        <v>2017</v>
      </c>
      <c r="D12" s="1198" t="s">
        <v>341</v>
      </c>
      <c r="E12" s="1198" t="s">
        <v>2003</v>
      </c>
      <c r="F12" s="1538">
        <v>120104</v>
      </c>
      <c r="G12" s="1198" t="s">
        <v>354</v>
      </c>
      <c r="H12" s="1198">
        <f>Dataark_til_bilag3_2030[[#This Row],[Staldkode]]+Dataark_til_bilag3_2030[[#This Row],[Dyrekode]]</f>
        <v>121305</v>
      </c>
      <c r="I12" s="1222">
        <v>0</v>
      </c>
      <c r="J12" s="1198" t="s">
        <v>1977</v>
      </c>
      <c r="K12" s="1198"/>
      <c r="L12" s="1540">
        <v>160.5</v>
      </c>
      <c r="M12" s="1198">
        <f t="shared" si="0"/>
        <v>0</v>
      </c>
      <c r="N12" s="1198">
        <v>5.0000000000000001E-3</v>
      </c>
      <c r="O12" s="1198">
        <f t="shared" si="1"/>
        <v>0</v>
      </c>
      <c r="P12" s="1539">
        <f t="shared" si="2"/>
        <v>0</v>
      </c>
      <c r="Q12" s="1571">
        <v>7.8E-2</v>
      </c>
      <c r="R12" s="1539">
        <f t="shared" si="3"/>
        <v>0</v>
      </c>
      <c r="S12" s="1198">
        <v>0.01</v>
      </c>
      <c r="T12" s="1539">
        <f t="shared" si="4"/>
        <v>0</v>
      </c>
      <c r="U12" s="1539">
        <f t="shared" si="5"/>
        <v>0</v>
      </c>
      <c r="V12" s="1570">
        <f t="shared" si="6"/>
        <v>0</v>
      </c>
    </row>
    <row r="13" spans="1:22" x14ac:dyDescent="0.25">
      <c r="A13" s="1322" t="s">
        <v>1980</v>
      </c>
      <c r="B13" s="1322">
        <v>1201</v>
      </c>
      <c r="C13" s="1198" t="s">
        <v>2017</v>
      </c>
      <c r="D13" s="1198" t="s">
        <v>341</v>
      </c>
      <c r="E13" s="1198" t="s">
        <v>2002</v>
      </c>
      <c r="F13" s="1198">
        <v>120105</v>
      </c>
      <c r="G13" s="1198" t="s">
        <v>354</v>
      </c>
      <c r="H13" s="1198">
        <f>Dataark_til_bilag3_2030[[#This Row],[Staldkode]]+Dataark_til_bilag3_2030[[#This Row],[Dyrekode]]</f>
        <v>121306</v>
      </c>
      <c r="I13" s="1222">
        <v>188.07</v>
      </c>
      <c r="J13" s="1198" t="s">
        <v>1977</v>
      </c>
      <c r="K13" s="1198"/>
      <c r="L13" s="1540">
        <v>160.5</v>
      </c>
      <c r="M13" s="1198">
        <f t="shared" si="0"/>
        <v>30185.235000000001</v>
      </c>
      <c r="N13" s="1198">
        <v>5.0000000000000001E-3</v>
      </c>
      <c r="O13" s="1198">
        <f t="shared" si="1"/>
        <v>150.926175</v>
      </c>
      <c r="P13" s="1539">
        <f t="shared" si="2"/>
        <v>237.16970357142856</v>
      </c>
      <c r="Q13" s="1571">
        <v>7.8E-2</v>
      </c>
      <c r="R13" s="1539">
        <f t="shared" si="3"/>
        <v>2354.4483300000002</v>
      </c>
      <c r="S13" s="1198">
        <v>0.01</v>
      </c>
      <c r="T13" s="1539">
        <f t="shared" si="4"/>
        <v>23.544483300000003</v>
      </c>
      <c r="U13" s="1539">
        <f t="shared" si="5"/>
        <v>36.998473757142861</v>
      </c>
      <c r="V13" s="1570">
        <f t="shared" si="6"/>
        <v>0.27416817732857141</v>
      </c>
    </row>
    <row r="14" spans="1:22" x14ac:dyDescent="0.25">
      <c r="A14" s="1390" t="s">
        <v>1980</v>
      </c>
      <c r="B14" s="1322">
        <v>1201</v>
      </c>
      <c r="C14" s="1198" t="s">
        <v>2017</v>
      </c>
      <c r="D14" s="1198" t="s">
        <v>341</v>
      </c>
      <c r="E14" s="1198" t="s">
        <v>2006</v>
      </c>
      <c r="F14" s="1198">
        <v>120106</v>
      </c>
      <c r="G14" s="1198" t="s">
        <v>350</v>
      </c>
      <c r="H14" s="1198">
        <f>Dataark_til_bilag3_2030[[#This Row],[Staldkode]]+Dataark_til_bilag3_2030[[#This Row],[Dyrekode]]</f>
        <v>121307</v>
      </c>
      <c r="I14" s="1222">
        <v>0</v>
      </c>
      <c r="J14" s="1198"/>
      <c r="K14" s="1198" t="s">
        <v>350</v>
      </c>
      <c r="L14" s="1540">
        <v>160.5</v>
      </c>
      <c r="M14" s="1198">
        <f t="shared" si="0"/>
        <v>0</v>
      </c>
      <c r="N14" s="1198">
        <v>0.01</v>
      </c>
      <c r="O14" s="1198">
        <f t="shared" si="1"/>
        <v>0</v>
      </c>
      <c r="P14" s="1539">
        <f t="shared" si="2"/>
        <v>0</v>
      </c>
      <c r="Q14" s="1571">
        <v>7.8E-2</v>
      </c>
      <c r="R14" s="1539">
        <f t="shared" si="3"/>
        <v>0</v>
      </c>
      <c r="S14" s="1198">
        <v>0.01</v>
      </c>
      <c r="T14" s="1539">
        <f t="shared" si="4"/>
        <v>0</v>
      </c>
      <c r="U14" s="1539">
        <f t="shared" si="5"/>
        <v>0</v>
      </c>
      <c r="V14" s="1570">
        <f t="shared" si="6"/>
        <v>0</v>
      </c>
    </row>
    <row r="15" spans="1:22" x14ac:dyDescent="0.25">
      <c r="A15" s="1390" t="s">
        <v>1980</v>
      </c>
      <c r="B15" s="1322">
        <v>1201</v>
      </c>
      <c r="C15" s="1198" t="s">
        <v>2017</v>
      </c>
      <c r="D15" s="1198" t="s">
        <v>341</v>
      </c>
      <c r="E15" s="1198" t="s">
        <v>1985</v>
      </c>
      <c r="F15" s="1198">
        <v>120107</v>
      </c>
      <c r="G15" s="1198" t="s">
        <v>350</v>
      </c>
      <c r="H15" s="1198">
        <f>Dataark_til_bilag3_2030[[#This Row],[Staldkode]]+Dataark_til_bilag3_2030[[#This Row],[Dyrekode]]</f>
        <v>121308</v>
      </c>
      <c r="I15" s="1222">
        <v>0</v>
      </c>
      <c r="J15" s="1198" t="s">
        <v>1977</v>
      </c>
      <c r="K15" s="1198"/>
      <c r="L15" s="1540">
        <v>160.5</v>
      </c>
      <c r="M15" s="1198">
        <f t="shared" si="0"/>
        <v>0</v>
      </c>
      <c r="N15" s="1198">
        <v>5.0000000000000001E-3</v>
      </c>
      <c r="O15" s="1198">
        <f t="shared" si="1"/>
        <v>0</v>
      </c>
      <c r="P15" s="1539">
        <f t="shared" si="2"/>
        <v>0</v>
      </c>
      <c r="Q15" s="1571">
        <v>7.8E-2</v>
      </c>
      <c r="R15" s="1539">
        <f t="shared" si="3"/>
        <v>0</v>
      </c>
      <c r="S15" s="1198">
        <v>0.01</v>
      </c>
      <c r="T15" s="1539">
        <f t="shared" si="4"/>
        <v>0</v>
      </c>
      <c r="U15" s="1539">
        <f t="shared" si="5"/>
        <v>0</v>
      </c>
      <c r="V15" s="1570">
        <f t="shared" si="6"/>
        <v>0</v>
      </c>
    </row>
    <row r="16" spans="1:22" x14ac:dyDescent="0.25">
      <c r="A16" s="1390" t="s">
        <v>1980</v>
      </c>
      <c r="B16" s="1322">
        <v>1201</v>
      </c>
      <c r="C16" s="1198" t="s">
        <v>2017</v>
      </c>
      <c r="D16" s="1198" t="s">
        <v>341</v>
      </c>
      <c r="E16" s="1198" t="s">
        <v>1984</v>
      </c>
      <c r="F16" s="1198">
        <v>120108</v>
      </c>
      <c r="G16" s="1198" t="s">
        <v>350</v>
      </c>
      <c r="H16" s="1198">
        <f>Dataark_til_bilag3_2030[[#This Row],[Staldkode]]+Dataark_til_bilag3_2030[[#This Row],[Dyrekode]]</f>
        <v>121309</v>
      </c>
      <c r="I16" s="1222">
        <v>0</v>
      </c>
      <c r="J16" s="1198" t="s">
        <v>1977</v>
      </c>
      <c r="K16" s="1198"/>
      <c r="L16" s="1540">
        <v>160.5</v>
      </c>
      <c r="M16" s="1198">
        <f t="shared" si="0"/>
        <v>0</v>
      </c>
      <c r="N16" s="1198">
        <v>5.0000000000000001E-3</v>
      </c>
      <c r="O16" s="1198">
        <f t="shared" si="1"/>
        <v>0</v>
      </c>
      <c r="P16" s="1539">
        <f t="shared" si="2"/>
        <v>0</v>
      </c>
      <c r="Q16" s="1571">
        <v>7.8E-2</v>
      </c>
      <c r="R16" s="1539">
        <f t="shared" si="3"/>
        <v>0</v>
      </c>
      <c r="S16" s="1198">
        <v>0.01</v>
      </c>
      <c r="T16" s="1539">
        <f t="shared" si="4"/>
        <v>0</v>
      </c>
      <c r="U16" s="1539">
        <f t="shared" si="5"/>
        <v>0</v>
      </c>
      <c r="V16" s="1570">
        <f t="shared" si="6"/>
        <v>0</v>
      </c>
    </row>
    <row r="17" spans="1:22" x14ac:dyDescent="0.25">
      <c r="A17" s="1390" t="s">
        <v>1980</v>
      </c>
      <c r="B17" s="1322">
        <v>1201</v>
      </c>
      <c r="C17" s="1198" t="s">
        <v>2017</v>
      </c>
      <c r="D17" s="1198" t="s">
        <v>341</v>
      </c>
      <c r="E17" s="1198" t="s">
        <v>1983</v>
      </c>
      <c r="F17" s="1198">
        <v>120109</v>
      </c>
      <c r="G17" s="1198" t="s">
        <v>350</v>
      </c>
      <c r="H17" s="1198">
        <f>Dataark_til_bilag3_2030[[#This Row],[Staldkode]]+Dataark_til_bilag3_2030[[#This Row],[Dyrekode]]</f>
        <v>121310</v>
      </c>
      <c r="I17" s="1222">
        <v>0</v>
      </c>
      <c r="J17" s="1198" t="s">
        <v>1977</v>
      </c>
      <c r="K17" s="1198"/>
      <c r="L17" s="1540">
        <v>160.5</v>
      </c>
      <c r="M17" s="1198">
        <f t="shared" si="0"/>
        <v>0</v>
      </c>
      <c r="N17" s="1198">
        <v>5.0000000000000001E-3</v>
      </c>
      <c r="O17" s="1198">
        <f t="shared" si="1"/>
        <v>0</v>
      </c>
      <c r="P17" s="1539">
        <f t="shared" si="2"/>
        <v>0</v>
      </c>
      <c r="Q17" s="1571">
        <v>7.8E-2</v>
      </c>
      <c r="R17" s="1539">
        <f t="shared" si="3"/>
        <v>0</v>
      </c>
      <c r="S17" s="1198">
        <v>0.01</v>
      </c>
      <c r="T17" s="1539">
        <f t="shared" si="4"/>
        <v>0</v>
      </c>
      <c r="U17" s="1539">
        <f t="shared" si="5"/>
        <v>0</v>
      </c>
      <c r="V17" s="1570">
        <f t="shared" si="6"/>
        <v>0</v>
      </c>
    </row>
    <row r="18" spans="1:22" x14ac:dyDescent="0.25">
      <c r="A18" s="1390" t="s">
        <v>1980</v>
      </c>
      <c r="B18" s="1322">
        <v>1201</v>
      </c>
      <c r="C18" s="1198" t="s">
        <v>2017</v>
      </c>
      <c r="D18" s="1198" t="s">
        <v>341</v>
      </c>
      <c r="E18" s="1198" t="s">
        <v>1990</v>
      </c>
      <c r="F18" s="1198">
        <v>120114</v>
      </c>
      <c r="G18" s="1198" t="s">
        <v>354</v>
      </c>
      <c r="H18" s="1198">
        <f>Dataark_til_bilag3_2030[[#This Row],[Staldkode]]+Dataark_til_bilag3_2030[[#This Row],[Dyrekode]]</f>
        <v>121315</v>
      </c>
      <c r="I18" s="1222">
        <v>0</v>
      </c>
      <c r="J18" s="1198" t="s">
        <v>1977</v>
      </c>
      <c r="K18" s="1198"/>
      <c r="L18" s="1540">
        <v>160.5</v>
      </c>
      <c r="M18" s="1198">
        <f t="shared" si="0"/>
        <v>0</v>
      </c>
      <c r="N18" s="1198">
        <v>5.0000000000000001E-3</v>
      </c>
      <c r="O18" s="1198">
        <f t="shared" si="1"/>
        <v>0</v>
      </c>
      <c r="P18" s="1539">
        <f t="shared" si="2"/>
        <v>0</v>
      </c>
      <c r="Q18" s="1571">
        <v>7.8E-2</v>
      </c>
      <c r="R18" s="1539">
        <f t="shared" si="3"/>
        <v>0</v>
      </c>
      <c r="S18" s="1198">
        <v>0.01</v>
      </c>
      <c r="T18" s="1539">
        <f t="shared" si="4"/>
        <v>0</v>
      </c>
      <c r="U18" s="1539">
        <f t="shared" si="5"/>
        <v>0</v>
      </c>
      <c r="V18" s="1570">
        <f t="shared" si="6"/>
        <v>0</v>
      </c>
    </row>
    <row r="19" spans="1:22" x14ac:dyDescent="0.25">
      <c r="A19" s="1390" t="s">
        <v>1980</v>
      </c>
      <c r="B19" s="1322">
        <v>1201</v>
      </c>
      <c r="C19" s="1198" t="s">
        <v>2017</v>
      </c>
      <c r="D19" s="1198" t="s">
        <v>341</v>
      </c>
      <c r="E19" s="1198" t="s">
        <v>2016</v>
      </c>
      <c r="F19" s="1198">
        <v>120115</v>
      </c>
      <c r="G19" s="1198" t="s">
        <v>350</v>
      </c>
      <c r="H19" s="1198">
        <f>Dataark_til_bilag3_2030[[#This Row],[Staldkode]]+Dataark_til_bilag3_2030[[#This Row],[Dyrekode]]</f>
        <v>121316</v>
      </c>
      <c r="I19" s="1222">
        <v>0</v>
      </c>
      <c r="J19" s="1198" t="s">
        <v>1977</v>
      </c>
      <c r="K19" s="1198"/>
      <c r="L19" s="1540">
        <v>160.5</v>
      </c>
      <c r="M19" s="1198">
        <f t="shared" si="0"/>
        <v>0</v>
      </c>
      <c r="N19" s="1198">
        <v>5.0000000000000001E-3</v>
      </c>
      <c r="O19" s="1198">
        <f t="shared" si="1"/>
        <v>0</v>
      </c>
      <c r="P19" s="1539">
        <f t="shared" si="2"/>
        <v>0</v>
      </c>
      <c r="Q19" s="1571">
        <v>7.8E-2</v>
      </c>
      <c r="R19" s="1539">
        <f t="shared" si="3"/>
        <v>0</v>
      </c>
      <c r="S19" s="1198">
        <v>0.01</v>
      </c>
      <c r="T19" s="1539">
        <f t="shared" si="4"/>
        <v>0</v>
      </c>
      <c r="U19" s="1539">
        <f t="shared" si="5"/>
        <v>0</v>
      </c>
      <c r="V19" s="1570">
        <f t="shared" si="6"/>
        <v>0</v>
      </c>
    </row>
    <row r="20" spans="1:22" x14ac:dyDescent="0.25">
      <c r="A20" s="1390" t="s">
        <v>1980</v>
      </c>
      <c r="B20" s="1322">
        <v>1202</v>
      </c>
      <c r="C20" s="1198" t="s">
        <v>2803</v>
      </c>
      <c r="D20" s="1198" t="s">
        <v>340</v>
      </c>
      <c r="E20" s="1198" t="s">
        <v>2006</v>
      </c>
      <c r="F20" s="1198">
        <v>120201</v>
      </c>
      <c r="G20" s="1198" t="s">
        <v>350</v>
      </c>
      <c r="H20" s="1198">
        <f>Dataark_til_bilag3_2030[[#This Row],[Staldkode]]+Dataark_til_bilag3_2030[[#This Row],[Dyrekode]]</f>
        <v>121403</v>
      </c>
      <c r="I20" s="1222">
        <v>161.9</v>
      </c>
      <c r="J20" s="1198"/>
      <c r="K20" s="1198" t="s">
        <v>350</v>
      </c>
      <c r="L20" s="1540">
        <v>26.7</v>
      </c>
      <c r="M20" s="1198">
        <f t="shared" si="0"/>
        <v>4322.7300000000005</v>
      </c>
      <c r="N20" s="1198">
        <v>0.01</v>
      </c>
      <c r="O20" s="1198">
        <f t="shared" si="1"/>
        <v>43.227300000000007</v>
      </c>
      <c r="P20" s="1539">
        <f t="shared" si="2"/>
        <v>67.928614285714303</v>
      </c>
      <c r="Q20" s="1571">
        <v>9.7299999999999998E-2</v>
      </c>
      <c r="R20" s="1539">
        <f t="shared" si="3"/>
        <v>420.60162900000006</v>
      </c>
      <c r="S20" s="1198">
        <v>0.01</v>
      </c>
      <c r="T20" s="1539">
        <f t="shared" si="4"/>
        <v>4.2060162900000009</v>
      </c>
      <c r="U20" s="1539">
        <f t="shared" si="5"/>
        <v>6.6094541700000011</v>
      </c>
      <c r="V20" s="1570">
        <f t="shared" si="6"/>
        <v>7.4538068455714312E-2</v>
      </c>
    </row>
    <row r="21" spans="1:22" x14ac:dyDescent="0.25">
      <c r="A21" s="1390" t="s">
        <v>1980</v>
      </c>
      <c r="B21" s="1322">
        <v>1202</v>
      </c>
      <c r="C21" s="1198" t="s">
        <v>2803</v>
      </c>
      <c r="D21" s="1198" t="s">
        <v>340</v>
      </c>
      <c r="E21" s="1198" t="s">
        <v>2004</v>
      </c>
      <c r="F21" s="1198">
        <v>120202</v>
      </c>
      <c r="G21" s="1198" t="s">
        <v>350</v>
      </c>
      <c r="H21" s="1198">
        <f>Dataark_til_bilag3_2030[[#This Row],[Staldkode]]+Dataark_til_bilag3_2030[[#This Row],[Dyrekode]]</f>
        <v>121404</v>
      </c>
      <c r="I21" s="1222">
        <v>7.98</v>
      </c>
      <c r="J21" s="1198"/>
      <c r="K21" s="1198" t="s">
        <v>350</v>
      </c>
      <c r="L21" s="1540">
        <v>26.7</v>
      </c>
      <c r="M21" s="1198">
        <f t="shared" si="0"/>
        <v>213.066</v>
      </c>
      <c r="N21" s="1198">
        <v>0.01</v>
      </c>
      <c r="O21" s="1198">
        <f t="shared" si="1"/>
        <v>2.1306600000000002</v>
      </c>
      <c r="P21" s="1539">
        <f t="shared" si="2"/>
        <v>3.3481800000000002</v>
      </c>
      <c r="Q21" s="1571">
        <v>9.7299999999999998E-2</v>
      </c>
      <c r="R21" s="1539">
        <f t="shared" si="3"/>
        <v>20.7313218</v>
      </c>
      <c r="S21" s="1198">
        <v>0.01</v>
      </c>
      <c r="T21" s="1539">
        <f t="shared" si="4"/>
        <v>0.20731321799999999</v>
      </c>
      <c r="U21" s="1539">
        <f t="shared" si="5"/>
        <v>0.325777914</v>
      </c>
      <c r="V21" s="1570">
        <f t="shared" si="6"/>
        <v>3.6739579140000001E-3</v>
      </c>
    </row>
    <row r="22" spans="1:22" x14ac:dyDescent="0.25">
      <c r="A22" s="1390" t="s">
        <v>1980</v>
      </c>
      <c r="B22" s="1322">
        <v>1203</v>
      </c>
      <c r="C22" s="1198" t="s">
        <v>2761</v>
      </c>
      <c r="D22" s="1198" t="s">
        <v>336</v>
      </c>
      <c r="E22" s="1198" t="s">
        <v>1989</v>
      </c>
      <c r="F22" s="1198">
        <v>120301</v>
      </c>
      <c r="G22" s="1198" t="s">
        <v>639</v>
      </c>
      <c r="H22" s="1198">
        <f>Dataark_til_bilag3_2030[[#This Row],[Staldkode]]+Dataark_til_bilag3_2030[[#This Row],[Dyrekode]]</f>
        <v>121504</v>
      </c>
      <c r="I22" s="1222">
        <v>37.799999999999997</v>
      </c>
      <c r="J22" s="1198" t="s">
        <v>1903</v>
      </c>
      <c r="K22" s="1198"/>
      <c r="L22" s="1540">
        <v>50.4</v>
      </c>
      <c r="M22" s="1198">
        <f t="shared" si="0"/>
        <v>1905.12</v>
      </c>
      <c r="N22" s="1198">
        <v>5.0000000000000001E-3</v>
      </c>
      <c r="O22" s="1198">
        <f t="shared" si="1"/>
        <v>9.525599999999999</v>
      </c>
      <c r="P22" s="1539">
        <f t="shared" si="2"/>
        <v>14.968799999999998</v>
      </c>
      <c r="Q22" s="1571">
        <v>9.7299999999999998E-2</v>
      </c>
      <c r="R22" s="1539">
        <f t="shared" si="3"/>
        <v>185.36817599999998</v>
      </c>
      <c r="S22" s="1198">
        <v>0.01</v>
      </c>
      <c r="T22" s="1539">
        <f t="shared" si="4"/>
        <v>1.8536817599999997</v>
      </c>
      <c r="U22" s="1539">
        <f t="shared" si="5"/>
        <v>2.9129284799999993</v>
      </c>
      <c r="V22" s="1570">
        <f t="shared" si="6"/>
        <v>1.7881728479999998E-2</v>
      </c>
    </row>
    <row r="23" spans="1:22" x14ac:dyDescent="0.25">
      <c r="A23" s="1390" t="s">
        <v>1980</v>
      </c>
      <c r="B23" s="1322">
        <v>1203</v>
      </c>
      <c r="C23" s="1198" t="s">
        <v>2761</v>
      </c>
      <c r="D23" s="1198" t="s">
        <v>336</v>
      </c>
      <c r="E23" s="1198" t="s">
        <v>1988</v>
      </c>
      <c r="F23" s="1198">
        <v>120302</v>
      </c>
      <c r="G23" s="1198" t="s">
        <v>639</v>
      </c>
      <c r="H23" s="1198">
        <f>Dataark_til_bilag3_2030[[#This Row],[Staldkode]]+Dataark_til_bilag3_2030[[#This Row],[Dyrekode]]</f>
        <v>121505</v>
      </c>
      <c r="I23" s="1222">
        <v>0</v>
      </c>
      <c r="J23" s="1198" t="s">
        <v>1977</v>
      </c>
      <c r="K23" s="1198"/>
      <c r="L23" s="1540">
        <v>50.4</v>
      </c>
      <c r="M23" s="1198">
        <f t="shared" si="0"/>
        <v>0</v>
      </c>
      <c r="N23" s="1198">
        <v>5.0000000000000001E-3</v>
      </c>
      <c r="O23" s="1198">
        <f t="shared" si="1"/>
        <v>0</v>
      </c>
      <c r="P23" s="1539">
        <f t="shared" si="2"/>
        <v>0</v>
      </c>
      <c r="Q23" s="1571">
        <v>9.7299999999999998E-2</v>
      </c>
      <c r="R23" s="1539">
        <f t="shared" si="3"/>
        <v>0</v>
      </c>
      <c r="S23" s="1198">
        <v>0.01</v>
      </c>
      <c r="T23" s="1539">
        <f t="shared" si="4"/>
        <v>0</v>
      </c>
      <c r="U23" s="1539">
        <f t="shared" si="5"/>
        <v>0</v>
      </c>
      <c r="V23" s="1570">
        <f t="shared" si="6"/>
        <v>0</v>
      </c>
    </row>
    <row r="24" spans="1:22" x14ac:dyDescent="0.25">
      <c r="A24" s="1390" t="s">
        <v>1980</v>
      </c>
      <c r="B24" s="1322">
        <v>1203</v>
      </c>
      <c r="C24" s="1198" t="s">
        <v>2761</v>
      </c>
      <c r="D24" s="1198" t="s">
        <v>336</v>
      </c>
      <c r="E24" s="1198" t="s">
        <v>1995</v>
      </c>
      <c r="F24" s="1198">
        <v>120303</v>
      </c>
      <c r="G24" s="1198" t="s">
        <v>354</v>
      </c>
      <c r="H24" s="1198">
        <f>Dataark_til_bilag3_2030[[#This Row],[Staldkode]]+Dataark_til_bilag3_2030[[#This Row],[Dyrekode]]</f>
        <v>121506</v>
      </c>
      <c r="I24" s="1222">
        <v>0</v>
      </c>
      <c r="J24" s="1198" t="s">
        <v>1977</v>
      </c>
      <c r="K24" s="1198"/>
      <c r="L24" s="1540">
        <v>50.4</v>
      </c>
      <c r="M24" s="1198">
        <f t="shared" si="0"/>
        <v>0</v>
      </c>
      <c r="N24" s="1198">
        <v>5.0000000000000001E-3</v>
      </c>
      <c r="O24" s="1198">
        <f t="shared" si="1"/>
        <v>0</v>
      </c>
      <c r="P24" s="1539">
        <f t="shared" si="2"/>
        <v>0</v>
      </c>
      <c r="Q24" s="1571">
        <v>9.7299999999999998E-2</v>
      </c>
      <c r="R24" s="1539">
        <f t="shared" si="3"/>
        <v>0</v>
      </c>
      <c r="S24" s="1198">
        <v>0.01</v>
      </c>
      <c r="T24" s="1539">
        <f t="shared" si="4"/>
        <v>0</v>
      </c>
      <c r="U24" s="1539">
        <f t="shared" si="5"/>
        <v>0</v>
      </c>
      <c r="V24" s="1570">
        <f t="shared" si="6"/>
        <v>0</v>
      </c>
    </row>
    <row r="25" spans="1:22" x14ac:dyDescent="0.25">
      <c r="A25" s="1390" t="s">
        <v>1980</v>
      </c>
      <c r="B25" s="1322">
        <v>1203</v>
      </c>
      <c r="C25" s="1198" t="s">
        <v>2761</v>
      </c>
      <c r="D25" s="1198" t="s">
        <v>336</v>
      </c>
      <c r="E25" s="1198" t="s">
        <v>1982</v>
      </c>
      <c r="F25" s="1198">
        <v>120304</v>
      </c>
      <c r="G25" s="1198" t="s">
        <v>354</v>
      </c>
      <c r="H25" s="1198">
        <f>Dataark_til_bilag3_2030[[#This Row],[Staldkode]]+Dataark_til_bilag3_2030[[#This Row],[Dyrekode]]</f>
        <v>121507</v>
      </c>
      <c r="I25" s="1222">
        <v>0</v>
      </c>
      <c r="J25" s="1198" t="s">
        <v>1977</v>
      </c>
      <c r="K25" s="1198"/>
      <c r="L25" s="1540">
        <v>50.4</v>
      </c>
      <c r="M25" s="1198">
        <f t="shared" si="0"/>
        <v>0</v>
      </c>
      <c r="N25" s="1198">
        <v>5.0000000000000001E-3</v>
      </c>
      <c r="O25" s="1198">
        <f t="shared" si="1"/>
        <v>0</v>
      </c>
      <c r="P25" s="1539">
        <f t="shared" si="2"/>
        <v>0</v>
      </c>
      <c r="Q25" s="1571">
        <v>9.7299999999999998E-2</v>
      </c>
      <c r="R25" s="1539">
        <f t="shared" si="3"/>
        <v>0</v>
      </c>
      <c r="S25" s="1198">
        <v>0.01</v>
      </c>
      <c r="T25" s="1539">
        <f t="shared" si="4"/>
        <v>0</v>
      </c>
      <c r="U25" s="1539">
        <f t="shared" si="5"/>
        <v>0</v>
      </c>
      <c r="V25" s="1570">
        <f t="shared" si="6"/>
        <v>0</v>
      </c>
    </row>
    <row r="26" spans="1:22" x14ac:dyDescent="0.25">
      <c r="A26" s="1390" t="s">
        <v>1980</v>
      </c>
      <c r="B26" s="1322">
        <v>1203</v>
      </c>
      <c r="C26" s="1198" t="s">
        <v>2761</v>
      </c>
      <c r="D26" s="1198" t="s">
        <v>336</v>
      </c>
      <c r="E26" s="1198" t="s">
        <v>1994</v>
      </c>
      <c r="F26" s="1198">
        <v>120305</v>
      </c>
      <c r="G26" s="1198" t="s">
        <v>354</v>
      </c>
      <c r="H26" s="1198">
        <f>Dataark_til_bilag3_2030[[#This Row],[Staldkode]]+Dataark_til_bilag3_2030[[#This Row],[Dyrekode]]</f>
        <v>121508</v>
      </c>
      <c r="I26" s="1222">
        <v>0</v>
      </c>
      <c r="J26" s="1198" t="s">
        <v>1977</v>
      </c>
      <c r="K26" s="1198"/>
      <c r="L26" s="1540">
        <v>50.4</v>
      </c>
      <c r="M26" s="1198">
        <f t="shared" si="0"/>
        <v>0</v>
      </c>
      <c r="N26" s="1198">
        <v>5.0000000000000001E-3</v>
      </c>
      <c r="O26" s="1198">
        <f t="shared" si="1"/>
        <v>0</v>
      </c>
      <c r="P26" s="1539">
        <f t="shared" si="2"/>
        <v>0</v>
      </c>
      <c r="Q26" s="1571">
        <v>9.7299999999999998E-2</v>
      </c>
      <c r="R26" s="1539">
        <f t="shared" si="3"/>
        <v>0</v>
      </c>
      <c r="S26" s="1198">
        <v>0.01</v>
      </c>
      <c r="T26" s="1539">
        <f t="shared" si="4"/>
        <v>0</v>
      </c>
      <c r="U26" s="1539">
        <f t="shared" si="5"/>
        <v>0</v>
      </c>
      <c r="V26" s="1570">
        <f t="shared" si="6"/>
        <v>0</v>
      </c>
    </row>
    <row r="27" spans="1:22" x14ac:dyDescent="0.25">
      <c r="A27" s="1390" t="s">
        <v>1980</v>
      </c>
      <c r="B27" s="1322">
        <v>1203</v>
      </c>
      <c r="C27" s="1198" t="s">
        <v>2761</v>
      </c>
      <c r="D27" s="1198" t="s">
        <v>336</v>
      </c>
      <c r="E27" s="1198" t="s">
        <v>1987</v>
      </c>
      <c r="F27" s="1198">
        <v>120306</v>
      </c>
      <c r="G27" s="1198" t="s">
        <v>350</v>
      </c>
      <c r="H27" s="1198">
        <f>Dataark_til_bilag3_2030[[#This Row],[Staldkode]]+Dataark_til_bilag3_2030[[#This Row],[Dyrekode]]</f>
        <v>121509</v>
      </c>
      <c r="I27" s="1222">
        <v>356.1</v>
      </c>
      <c r="J27" s="1198"/>
      <c r="K27" s="1198" t="s">
        <v>350</v>
      </c>
      <c r="L27" s="1540">
        <v>50.4</v>
      </c>
      <c r="M27" s="1198">
        <f t="shared" si="0"/>
        <v>17947.440000000002</v>
      </c>
      <c r="N27" s="1198">
        <v>0.01</v>
      </c>
      <c r="O27" s="1198">
        <f t="shared" si="1"/>
        <v>179.47440000000003</v>
      </c>
      <c r="P27" s="1539">
        <f t="shared" si="2"/>
        <v>282.03120000000007</v>
      </c>
      <c r="Q27" s="1571">
        <v>9.7299999999999998E-2</v>
      </c>
      <c r="R27" s="1539">
        <f t="shared" si="3"/>
        <v>1746.2859120000003</v>
      </c>
      <c r="S27" s="1198">
        <v>0.01</v>
      </c>
      <c r="T27" s="1539">
        <f t="shared" si="4"/>
        <v>17.462859120000005</v>
      </c>
      <c r="U27" s="1539">
        <f t="shared" si="5"/>
        <v>27.441635760000004</v>
      </c>
      <c r="V27" s="1570">
        <f t="shared" si="6"/>
        <v>0.30947283576000006</v>
      </c>
    </row>
    <row r="28" spans="1:22" x14ac:dyDescent="0.25">
      <c r="A28" s="1390" t="s">
        <v>1980</v>
      </c>
      <c r="B28" s="1322">
        <v>1203</v>
      </c>
      <c r="C28" s="1198" t="s">
        <v>2761</v>
      </c>
      <c r="D28" s="1198" t="s">
        <v>336</v>
      </c>
      <c r="E28" s="1198" t="s">
        <v>2004</v>
      </c>
      <c r="F28" s="1198">
        <v>120307</v>
      </c>
      <c r="G28" s="1198" t="s">
        <v>350</v>
      </c>
      <c r="H28" s="1198">
        <f>Dataark_til_bilag3_2030[[#This Row],[Staldkode]]+Dataark_til_bilag3_2030[[#This Row],[Dyrekode]]</f>
        <v>121510</v>
      </c>
      <c r="I28" s="1222">
        <v>103.66</v>
      </c>
      <c r="J28" s="1198"/>
      <c r="K28" s="1198" t="s">
        <v>350</v>
      </c>
      <c r="L28" s="1540">
        <v>50.4</v>
      </c>
      <c r="M28" s="1198">
        <f t="shared" si="0"/>
        <v>5224.4639999999999</v>
      </c>
      <c r="N28" s="1198">
        <v>0.01</v>
      </c>
      <c r="O28" s="1198">
        <f t="shared" si="1"/>
        <v>52.244640000000004</v>
      </c>
      <c r="P28" s="1539">
        <f t="shared" si="2"/>
        <v>82.09872</v>
      </c>
      <c r="Q28" s="1571">
        <v>9.7299999999999998E-2</v>
      </c>
      <c r="R28" s="1539">
        <f t="shared" si="3"/>
        <v>508.3403472</v>
      </c>
      <c r="S28" s="1198">
        <v>0.01</v>
      </c>
      <c r="T28" s="1539">
        <f t="shared" si="4"/>
        <v>5.0834034719999996</v>
      </c>
      <c r="U28" s="1539">
        <f t="shared" si="5"/>
        <v>7.9882054560000002</v>
      </c>
      <c r="V28" s="1570">
        <f t="shared" si="6"/>
        <v>9.0086925456E-2</v>
      </c>
    </row>
    <row r="29" spans="1:22" x14ac:dyDescent="0.25">
      <c r="A29" s="1390" t="s">
        <v>1980</v>
      </c>
      <c r="B29" s="1322">
        <v>1203</v>
      </c>
      <c r="C29" s="1198" t="s">
        <v>2761</v>
      </c>
      <c r="D29" s="1198" t="s">
        <v>336</v>
      </c>
      <c r="E29" s="1198" t="s">
        <v>1985</v>
      </c>
      <c r="F29" s="1198">
        <v>120308</v>
      </c>
      <c r="G29" s="1198" t="s">
        <v>350</v>
      </c>
      <c r="H29" s="1198">
        <f>Dataark_til_bilag3_2030[[#This Row],[Staldkode]]+Dataark_til_bilag3_2030[[#This Row],[Dyrekode]]</f>
        <v>121511</v>
      </c>
      <c r="I29" s="1222">
        <v>0</v>
      </c>
      <c r="J29" s="1198" t="s">
        <v>1977</v>
      </c>
      <c r="K29" s="1198"/>
      <c r="L29" s="1540">
        <v>50.4</v>
      </c>
      <c r="M29" s="1198">
        <f t="shared" si="0"/>
        <v>0</v>
      </c>
      <c r="N29" s="1198">
        <v>5.0000000000000001E-3</v>
      </c>
      <c r="O29" s="1198">
        <f t="shared" si="1"/>
        <v>0</v>
      </c>
      <c r="P29" s="1539">
        <f t="shared" si="2"/>
        <v>0</v>
      </c>
      <c r="Q29" s="1571">
        <v>9.7299999999999998E-2</v>
      </c>
      <c r="R29" s="1539">
        <f t="shared" si="3"/>
        <v>0</v>
      </c>
      <c r="S29" s="1198">
        <v>0.01</v>
      </c>
      <c r="T29" s="1539">
        <f t="shared" si="4"/>
        <v>0</v>
      </c>
      <c r="U29" s="1539">
        <f t="shared" si="5"/>
        <v>0</v>
      </c>
      <c r="V29" s="1570">
        <f t="shared" si="6"/>
        <v>0</v>
      </c>
    </row>
    <row r="30" spans="1:22" x14ac:dyDescent="0.25">
      <c r="A30" s="1390" t="s">
        <v>1980</v>
      </c>
      <c r="B30" s="1322">
        <v>1203</v>
      </c>
      <c r="C30" s="1198" t="s">
        <v>2761</v>
      </c>
      <c r="D30" s="1198" t="s">
        <v>336</v>
      </c>
      <c r="E30" s="1198" t="s">
        <v>1984</v>
      </c>
      <c r="F30" s="1198">
        <v>120309</v>
      </c>
      <c r="G30" s="1198" t="s">
        <v>350</v>
      </c>
      <c r="H30" s="1198">
        <f>Dataark_til_bilag3_2030[[#This Row],[Staldkode]]+Dataark_til_bilag3_2030[[#This Row],[Dyrekode]]</f>
        <v>121512</v>
      </c>
      <c r="I30" s="1222">
        <v>0</v>
      </c>
      <c r="J30" s="1198" t="s">
        <v>1977</v>
      </c>
      <c r="K30" s="1198"/>
      <c r="L30" s="1540">
        <v>50.4</v>
      </c>
      <c r="M30" s="1198">
        <f t="shared" si="0"/>
        <v>0</v>
      </c>
      <c r="N30" s="1198">
        <v>5.0000000000000001E-3</v>
      </c>
      <c r="O30" s="1198">
        <f t="shared" si="1"/>
        <v>0</v>
      </c>
      <c r="P30" s="1539">
        <f t="shared" si="2"/>
        <v>0</v>
      </c>
      <c r="Q30" s="1571">
        <v>9.7299999999999998E-2</v>
      </c>
      <c r="R30" s="1539">
        <f t="shared" si="3"/>
        <v>0</v>
      </c>
      <c r="S30" s="1198">
        <v>0.01</v>
      </c>
      <c r="T30" s="1539">
        <f t="shared" si="4"/>
        <v>0</v>
      </c>
      <c r="U30" s="1539">
        <f t="shared" si="5"/>
        <v>0</v>
      </c>
      <c r="V30" s="1570">
        <f t="shared" si="6"/>
        <v>0</v>
      </c>
    </row>
    <row r="31" spans="1:22" x14ac:dyDescent="0.25">
      <c r="A31" s="1322" t="s">
        <v>1980</v>
      </c>
      <c r="B31" s="1322">
        <v>1203</v>
      </c>
      <c r="C31" s="1198" t="s">
        <v>2761</v>
      </c>
      <c r="D31" s="1198" t="s">
        <v>336</v>
      </c>
      <c r="E31" s="1198" t="s">
        <v>1983</v>
      </c>
      <c r="F31" s="1198">
        <v>120310</v>
      </c>
      <c r="G31" s="1198" t="s">
        <v>350</v>
      </c>
      <c r="H31" s="1198">
        <f>Dataark_til_bilag3_2030[[#This Row],[Staldkode]]+Dataark_til_bilag3_2030[[#This Row],[Dyrekode]]</f>
        <v>121513</v>
      </c>
      <c r="I31" s="1222">
        <v>0</v>
      </c>
      <c r="J31" s="1198" t="s">
        <v>1977</v>
      </c>
      <c r="K31" s="1198"/>
      <c r="L31" s="1540">
        <v>50.4</v>
      </c>
      <c r="M31" s="1198">
        <f t="shared" si="0"/>
        <v>0</v>
      </c>
      <c r="N31" s="1198">
        <v>5.0000000000000001E-3</v>
      </c>
      <c r="O31" s="1198">
        <f t="shared" si="1"/>
        <v>0</v>
      </c>
      <c r="P31" s="1539">
        <f t="shared" si="2"/>
        <v>0</v>
      </c>
      <c r="Q31" s="1571">
        <v>9.7299999999999998E-2</v>
      </c>
      <c r="R31" s="1539">
        <f t="shared" si="3"/>
        <v>0</v>
      </c>
      <c r="S31" s="1198">
        <v>0.01</v>
      </c>
      <c r="T31" s="1539">
        <f t="shared" si="4"/>
        <v>0</v>
      </c>
      <c r="U31" s="1539">
        <f t="shared" si="5"/>
        <v>0</v>
      </c>
      <c r="V31" s="1570">
        <f t="shared" si="6"/>
        <v>0</v>
      </c>
    </row>
    <row r="32" spans="1:22" x14ac:dyDescent="0.25">
      <c r="A32" s="1390" t="s">
        <v>1980</v>
      </c>
      <c r="B32" s="1322">
        <v>1203</v>
      </c>
      <c r="C32" s="1198" t="s">
        <v>2761</v>
      </c>
      <c r="D32" s="1198" t="s">
        <v>336</v>
      </c>
      <c r="E32" s="1198" t="s">
        <v>1996</v>
      </c>
      <c r="F32" s="1198">
        <v>120312</v>
      </c>
      <c r="G32" s="1198" t="s">
        <v>353</v>
      </c>
      <c r="H32" s="1198">
        <f>Dataark_til_bilag3_2030[[#This Row],[Staldkode]]+Dataark_til_bilag3_2030[[#This Row],[Dyrekode]]</f>
        <v>121515</v>
      </c>
      <c r="I32" s="1222">
        <v>0</v>
      </c>
      <c r="J32" s="1198" t="s">
        <v>1977</v>
      </c>
      <c r="K32" s="1198"/>
      <c r="L32" s="1540">
        <v>50.4</v>
      </c>
      <c r="M32" s="1198">
        <f t="shared" si="0"/>
        <v>0</v>
      </c>
      <c r="N32" s="1198">
        <v>5.0000000000000001E-3</v>
      </c>
      <c r="O32" s="1198">
        <f t="shared" si="1"/>
        <v>0</v>
      </c>
      <c r="P32" s="1539">
        <f t="shared" si="2"/>
        <v>0</v>
      </c>
      <c r="Q32" s="1571">
        <v>9.7299999999999998E-2</v>
      </c>
      <c r="R32" s="1539">
        <f t="shared" si="3"/>
        <v>0</v>
      </c>
      <c r="S32" s="1198">
        <v>0.01</v>
      </c>
      <c r="T32" s="1539">
        <f t="shared" si="4"/>
        <v>0</v>
      </c>
      <c r="U32" s="1539">
        <f t="shared" si="5"/>
        <v>0</v>
      </c>
      <c r="V32" s="1570">
        <f t="shared" si="6"/>
        <v>0</v>
      </c>
    </row>
    <row r="33" spans="1:22" x14ac:dyDescent="0.25">
      <c r="A33" s="1390" t="s">
        <v>1980</v>
      </c>
      <c r="B33" s="1322">
        <v>1203</v>
      </c>
      <c r="C33" s="1198" t="s">
        <v>2761</v>
      </c>
      <c r="D33" s="1198" t="s">
        <v>336</v>
      </c>
      <c r="E33" s="1198" t="s">
        <v>1990</v>
      </c>
      <c r="F33" s="1198">
        <v>120316</v>
      </c>
      <c r="G33" s="1198" t="s">
        <v>354</v>
      </c>
      <c r="H33" s="1198">
        <f>Dataark_til_bilag3_2030[[#This Row],[Staldkode]]+Dataark_til_bilag3_2030[[#This Row],[Dyrekode]]</f>
        <v>121519</v>
      </c>
      <c r="I33" s="1222">
        <v>0</v>
      </c>
      <c r="J33" s="1198" t="s">
        <v>1977</v>
      </c>
      <c r="K33" s="1198"/>
      <c r="L33" s="1540">
        <v>50.4</v>
      </c>
      <c r="M33" s="1198">
        <f t="shared" si="0"/>
        <v>0</v>
      </c>
      <c r="N33" s="1198">
        <v>5.0000000000000001E-3</v>
      </c>
      <c r="O33" s="1198">
        <f t="shared" si="1"/>
        <v>0</v>
      </c>
      <c r="P33" s="1539">
        <f t="shared" si="2"/>
        <v>0</v>
      </c>
      <c r="Q33" s="1571">
        <v>9.7299999999999998E-2</v>
      </c>
      <c r="R33" s="1539">
        <f t="shared" si="3"/>
        <v>0</v>
      </c>
      <c r="S33" s="1198">
        <v>0.01</v>
      </c>
      <c r="T33" s="1539">
        <f t="shared" si="4"/>
        <v>0</v>
      </c>
      <c r="U33" s="1539">
        <f t="shared" si="5"/>
        <v>0</v>
      </c>
      <c r="V33" s="1570">
        <f t="shared" si="6"/>
        <v>0</v>
      </c>
    </row>
    <row r="34" spans="1:22" x14ac:dyDescent="0.25">
      <c r="A34" s="1390" t="s">
        <v>1980</v>
      </c>
      <c r="B34" s="1322">
        <v>1204</v>
      </c>
      <c r="C34" s="1198" t="s">
        <v>2895</v>
      </c>
      <c r="D34" s="1198" t="s">
        <v>2794</v>
      </c>
      <c r="E34" s="1198" t="s">
        <v>2006</v>
      </c>
      <c r="F34" s="1198">
        <v>120401</v>
      </c>
      <c r="G34" s="1198" t="s">
        <v>350</v>
      </c>
      <c r="H34" s="1198">
        <f>Dataark_til_bilag3_2030[[#This Row],[Staldkode]]+Dataark_til_bilag3_2030[[#This Row],[Dyrekode]]</f>
        <v>121605</v>
      </c>
      <c r="I34" s="1222">
        <v>485</v>
      </c>
      <c r="J34" s="1198"/>
      <c r="K34" s="1198" t="s">
        <v>350</v>
      </c>
      <c r="L34" s="1540">
        <v>12.56</v>
      </c>
      <c r="M34" s="1198">
        <f t="shared" si="0"/>
        <v>6091.6</v>
      </c>
      <c r="N34" s="1198">
        <v>0.01</v>
      </c>
      <c r="O34" s="1198">
        <f t="shared" si="1"/>
        <v>60.916000000000004</v>
      </c>
      <c r="P34" s="1539">
        <f t="shared" si="2"/>
        <v>95.725142857142856</v>
      </c>
      <c r="Q34" s="1571">
        <v>9.7299999999999998E-2</v>
      </c>
      <c r="R34" s="1539">
        <f t="shared" si="3"/>
        <v>592.71267999999998</v>
      </c>
      <c r="S34" s="1198">
        <v>0.01</v>
      </c>
      <c r="T34" s="1539">
        <f t="shared" si="4"/>
        <v>5.9271267999999999</v>
      </c>
      <c r="U34" s="1539">
        <f t="shared" si="5"/>
        <v>9.3140564000000001</v>
      </c>
      <c r="V34" s="1570">
        <f t="shared" si="6"/>
        <v>0.10503919925714285</v>
      </c>
    </row>
    <row r="35" spans="1:22" x14ac:dyDescent="0.25">
      <c r="A35" s="1390" t="s">
        <v>1980</v>
      </c>
      <c r="B35" s="1322">
        <v>1204</v>
      </c>
      <c r="C35" s="1198" t="s">
        <v>2894</v>
      </c>
      <c r="D35" s="1198" t="s">
        <v>2794</v>
      </c>
      <c r="E35" s="1198" t="s">
        <v>2004</v>
      </c>
      <c r="F35" s="1198">
        <v>120402</v>
      </c>
      <c r="G35" s="1198" t="s">
        <v>350</v>
      </c>
      <c r="H35" s="1198">
        <f>Dataark_til_bilag3_2030[[#This Row],[Staldkode]]+Dataark_til_bilag3_2030[[#This Row],[Dyrekode]]</f>
        <v>121606</v>
      </c>
      <c r="I35" s="1222">
        <v>0</v>
      </c>
      <c r="J35" s="1198"/>
      <c r="K35" s="1198" t="s">
        <v>350</v>
      </c>
      <c r="L35" s="1540">
        <v>12.56</v>
      </c>
      <c r="M35" s="1198">
        <f t="shared" si="0"/>
        <v>0</v>
      </c>
      <c r="N35" s="1198">
        <v>0.01</v>
      </c>
      <c r="O35" s="1198">
        <f t="shared" si="1"/>
        <v>0</v>
      </c>
      <c r="P35" s="1539">
        <f t="shared" si="2"/>
        <v>0</v>
      </c>
      <c r="Q35" s="1571">
        <v>9.7299999999999998E-2</v>
      </c>
      <c r="R35" s="1539">
        <f t="shared" si="3"/>
        <v>0</v>
      </c>
      <c r="S35" s="1198">
        <v>0.01</v>
      </c>
      <c r="T35" s="1539">
        <f t="shared" si="4"/>
        <v>0</v>
      </c>
      <c r="U35" s="1539">
        <f t="shared" si="5"/>
        <v>0</v>
      </c>
      <c r="V35" s="1570">
        <f t="shared" si="6"/>
        <v>0</v>
      </c>
    </row>
    <row r="36" spans="1:22" x14ac:dyDescent="0.25">
      <c r="A36" s="1390" t="s">
        <v>1980</v>
      </c>
      <c r="B36" s="1322">
        <v>1205</v>
      </c>
      <c r="C36" s="1198" t="s">
        <v>2797</v>
      </c>
      <c r="D36" s="1198" t="s">
        <v>2796</v>
      </c>
      <c r="E36" s="1198" t="s">
        <v>1989</v>
      </c>
      <c r="F36" s="1198">
        <v>120501</v>
      </c>
      <c r="G36" s="1198" t="s">
        <v>639</v>
      </c>
      <c r="H36" s="1198">
        <f>Dataark_til_bilag3_2030[[#This Row],[Staldkode]]+Dataark_til_bilag3_2030[[#This Row],[Dyrekode]]</f>
        <v>121706</v>
      </c>
      <c r="I36" s="1222">
        <v>5.1100000000000003</v>
      </c>
      <c r="J36" s="1198" t="s">
        <v>1903</v>
      </c>
      <c r="K36" s="1198"/>
      <c r="L36" s="1540">
        <v>23.5</v>
      </c>
      <c r="M36" s="1198">
        <f t="shared" si="0"/>
        <v>120.08500000000001</v>
      </c>
      <c r="N36" s="1198">
        <v>5.0000000000000001E-3</v>
      </c>
      <c r="O36" s="1198">
        <f t="shared" si="1"/>
        <v>0.6004250000000001</v>
      </c>
      <c r="P36" s="1539">
        <f t="shared" si="2"/>
        <v>0.94352500000000017</v>
      </c>
      <c r="Q36" s="1571">
        <v>9.7299999999999998E-2</v>
      </c>
      <c r="R36" s="1539">
        <f t="shared" si="3"/>
        <v>11.6842705</v>
      </c>
      <c r="S36" s="1198">
        <v>0.01</v>
      </c>
      <c r="T36" s="1539">
        <f t="shared" si="4"/>
        <v>0.11684270500000001</v>
      </c>
      <c r="U36" s="1539">
        <f t="shared" si="5"/>
        <v>0.18360996500000001</v>
      </c>
      <c r="V36" s="1570">
        <f t="shared" si="6"/>
        <v>1.1271349650000002E-3</v>
      </c>
    </row>
    <row r="37" spans="1:22" x14ac:dyDescent="0.25">
      <c r="A37" s="1390" t="s">
        <v>1980</v>
      </c>
      <c r="B37" s="1322">
        <v>1205</v>
      </c>
      <c r="C37" s="1198" t="s">
        <v>2797</v>
      </c>
      <c r="D37" s="1198" t="s">
        <v>2796</v>
      </c>
      <c r="E37" s="1198" t="s">
        <v>1988</v>
      </c>
      <c r="F37" s="1198">
        <v>120502</v>
      </c>
      <c r="G37" s="1198" t="s">
        <v>639</v>
      </c>
      <c r="H37" s="1198">
        <f>Dataark_til_bilag3_2030[[#This Row],[Staldkode]]+Dataark_til_bilag3_2030[[#This Row],[Dyrekode]]</f>
        <v>121707</v>
      </c>
      <c r="I37" s="1222">
        <v>0</v>
      </c>
      <c r="J37" s="1198" t="s">
        <v>1977</v>
      </c>
      <c r="K37" s="1198"/>
      <c r="L37" s="1540">
        <v>23.5</v>
      </c>
      <c r="M37" s="1198">
        <f t="shared" si="0"/>
        <v>0</v>
      </c>
      <c r="N37" s="1198">
        <v>5.0000000000000001E-3</v>
      </c>
      <c r="O37" s="1198">
        <f t="shared" si="1"/>
        <v>0</v>
      </c>
      <c r="P37" s="1539">
        <f t="shared" si="2"/>
        <v>0</v>
      </c>
      <c r="Q37" s="1571">
        <v>9.7299999999999998E-2</v>
      </c>
      <c r="R37" s="1539">
        <f t="shared" si="3"/>
        <v>0</v>
      </c>
      <c r="S37" s="1198">
        <v>0.01</v>
      </c>
      <c r="T37" s="1539">
        <f t="shared" si="4"/>
        <v>0</v>
      </c>
      <c r="U37" s="1539">
        <f t="shared" si="5"/>
        <v>0</v>
      </c>
      <c r="V37" s="1570">
        <f t="shared" si="6"/>
        <v>0</v>
      </c>
    </row>
    <row r="38" spans="1:22" x14ac:dyDescent="0.25">
      <c r="A38" s="1390" t="s">
        <v>1980</v>
      </c>
      <c r="B38" s="1322">
        <v>1205</v>
      </c>
      <c r="C38" s="1198" t="s">
        <v>2797</v>
      </c>
      <c r="D38" s="1198" t="s">
        <v>2796</v>
      </c>
      <c r="E38" s="1198" t="s">
        <v>1987</v>
      </c>
      <c r="F38" s="1198">
        <v>120503</v>
      </c>
      <c r="G38" s="1198" t="s">
        <v>350</v>
      </c>
      <c r="H38" s="1198">
        <f>Dataark_til_bilag3_2030[[#This Row],[Staldkode]]+Dataark_til_bilag3_2030[[#This Row],[Dyrekode]]</f>
        <v>121708</v>
      </c>
      <c r="I38" s="1222">
        <v>376.81</v>
      </c>
      <c r="J38" s="1198"/>
      <c r="K38" s="1198" t="s">
        <v>350</v>
      </c>
      <c r="L38" s="1540">
        <v>23.5</v>
      </c>
      <c r="M38" s="1198">
        <f t="shared" si="0"/>
        <v>8855.0349999999999</v>
      </c>
      <c r="N38" s="1198">
        <v>0.01</v>
      </c>
      <c r="O38" s="1198">
        <f t="shared" si="1"/>
        <v>88.550349999999995</v>
      </c>
      <c r="P38" s="1539">
        <f t="shared" si="2"/>
        <v>139.15054999999998</v>
      </c>
      <c r="Q38" s="1571">
        <v>9.7299999999999998E-2</v>
      </c>
      <c r="R38" s="1539">
        <f t="shared" si="3"/>
        <v>861.59490549999998</v>
      </c>
      <c r="S38" s="1198">
        <v>0.01</v>
      </c>
      <c r="T38" s="1539">
        <f t="shared" si="4"/>
        <v>8.6159490549999997</v>
      </c>
      <c r="U38" s="1539">
        <f t="shared" si="5"/>
        <v>13.539348515</v>
      </c>
      <c r="V38" s="1570">
        <f t="shared" si="6"/>
        <v>0.15268989851499998</v>
      </c>
    </row>
    <row r="39" spans="1:22" x14ac:dyDescent="0.25">
      <c r="A39" s="1390" t="s">
        <v>1980</v>
      </c>
      <c r="B39" s="1322">
        <v>1205</v>
      </c>
      <c r="C39" s="1198" t="s">
        <v>2797</v>
      </c>
      <c r="D39" s="1198" t="s">
        <v>2796</v>
      </c>
      <c r="E39" s="1198" t="s">
        <v>2004</v>
      </c>
      <c r="F39" s="1198">
        <v>120504</v>
      </c>
      <c r="G39" s="1198" t="s">
        <v>350</v>
      </c>
      <c r="H39" s="1198">
        <f>Dataark_til_bilag3_2030[[#This Row],[Staldkode]]+Dataark_til_bilag3_2030[[#This Row],[Dyrekode]]</f>
        <v>121709</v>
      </c>
      <c r="I39" s="1222">
        <v>139.69</v>
      </c>
      <c r="J39" s="1198"/>
      <c r="K39" s="1198" t="s">
        <v>350</v>
      </c>
      <c r="L39" s="1540">
        <v>23.5</v>
      </c>
      <c r="M39" s="1198">
        <f t="shared" si="0"/>
        <v>3282.7150000000001</v>
      </c>
      <c r="N39" s="1198">
        <v>0.01</v>
      </c>
      <c r="O39" s="1198">
        <f t="shared" si="1"/>
        <v>32.827150000000003</v>
      </c>
      <c r="P39" s="1539">
        <f t="shared" si="2"/>
        <v>51.585521428571433</v>
      </c>
      <c r="Q39" s="1571">
        <v>9.7299999999999998E-2</v>
      </c>
      <c r="R39" s="1539">
        <f t="shared" si="3"/>
        <v>319.40816949999999</v>
      </c>
      <c r="S39" s="1198">
        <v>0.01</v>
      </c>
      <c r="T39" s="1539">
        <f t="shared" si="4"/>
        <v>3.1940816949999999</v>
      </c>
      <c r="U39" s="1539">
        <f t="shared" si="5"/>
        <v>5.0192712349999997</v>
      </c>
      <c r="V39" s="1570">
        <f t="shared" si="6"/>
        <v>5.6604792663571428E-2</v>
      </c>
    </row>
    <row r="40" spans="1:22" x14ac:dyDescent="0.25">
      <c r="A40" s="1390" t="s">
        <v>1980</v>
      </c>
      <c r="B40" s="1322">
        <v>1205</v>
      </c>
      <c r="C40" s="1198" t="s">
        <v>2797</v>
      </c>
      <c r="D40" s="1198" t="s">
        <v>2796</v>
      </c>
      <c r="E40" s="1198" t="s">
        <v>1985</v>
      </c>
      <c r="F40" s="1198">
        <v>120505</v>
      </c>
      <c r="G40" s="1198" t="s">
        <v>350</v>
      </c>
      <c r="H40" s="1198">
        <f>Dataark_til_bilag3_2030[[#This Row],[Staldkode]]+Dataark_til_bilag3_2030[[#This Row],[Dyrekode]]</f>
        <v>121710</v>
      </c>
      <c r="I40" s="1222">
        <v>0</v>
      </c>
      <c r="J40" s="1198" t="s">
        <v>1977</v>
      </c>
      <c r="K40" s="1198"/>
      <c r="L40" s="1540">
        <v>23.5</v>
      </c>
      <c r="M40" s="1198">
        <f t="shared" si="0"/>
        <v>0</v>
      </c>
      <c r="N40" s="1198">
        <v>5.0000000000000001E-3</v>
      </c>
      <c r="O40" s="1198">
        <f t="shared" si="1"/>
        <v>0</v>
      </c>
      <c r="P40" s="1539">
        <f t="shared" si="2"/>
        <v>0</v>
      </c>
      <c r="Q40" s="1571">
        <v>9.7299999999999998E-2</v>
      </c>
      <c r="R40" s="1539">
        <f t="shared" si="3"/>
        <v>0</v>
      </c>
      <c r="S40" s="1198">
        <v>0.01</v>
      </c>
      <c r="T40" s="1539">
        <f t="shared" si="4"/>
        <v>0</v>
      </c>
      <c r="U40" s="1539">
        <f t="shared" si="5"/>
        <v>0</v>
      </c>
      <c r="V40" s="1570">
        <f t="shared" si="6"/>
        <v>0</v>
      </c>
    </row>
    <row r="41" spans="1:22" x14ac:dyDescent="0.25">
      <c r="A41" s="1322" t="s">
        <v>1980</v>
      </c>
      <c r="B41" s="1322">
        <v>1205</v>
      </c>
      <c r="C41" s="1198" t="s">
        <v>2797</v>
      </c>
      <c r="D41" s="1198" t="s">
        <v>2796</v>
      </c>
      <c r="E41" s="1198" t="s">
        <v>1984</v>
      </c>
      <c r="F41" s="1198">
        <v>120506</v>
      </c>
      <c r="G41" s="1198" t="s">
        <v>350</v>
      </c>
      <c r="H41" s="1198">
        <f>Dataark_til_bilag3_2030[[#This Row],[Staldkode]]+Dataark_til_bilag3_2030[[#This Row],[Dyrekode]]</f>
        <v>121711</v>
      </c>
      <c r="I41" s="1222">
        <v>0</v>
      </c>
      <c r="J41" s="1198" t="s">
        <v>1977</v>
      </c>
      <c r="K41" s="1198"/>
      <c r="L41" s="1540">
        <v>23.5</v>
      </c>
      <c r="M41" s="1198">
        <f t="shared" si="0"/>
        <v>0</v>
      </c>
      <c r="N41" s="1198">
        <v>5.0000000000000001E-3</v>
      </c>
      <c r="O41" s="1198">
        <f t="shared" si="1"/>
        <v>0</v>
      </c>
      <c r="P41" s="1539">
        <f t="shared" si="2"/>
        <v>0</v>
      </c>
      <c r="Q41" s="1571">
        <v>9.7299999999999998E-2</v>
      </c>
      <c r="R41" s="1539">
        <f t="shared" si="3"/>
        <v>0</v>
      </c>
      <c r="S41" s="1198">
        <v>0.01</v>
      </c>
      <c r="T41" s="1539">
        <f t="shared" si="4"/>
        <v>0</v>
      </c>
      <c r="U41" s="1539">
        <f t="shared" si="5"/>
        <v>0</v>
      </c>
      <c r="V41" s="1570">
        <f t="shared" si="6"/>
        <v>0</v>
      </c>
    </row>
    <row r="42" spans="1:22" x14ac:dyDescent="0.25">
      <c r="A42" s="1390" t="s">
        <v>1980</v>
      </c>
      <c r="B42" s="1322">
        <v>1205</v>
      </c>
      <c r="C42" s="1198" t="s">
        <v>2797</v>
      </c>
      <c r="D42" s="1198" t="s">
        <v>2796</v>
      </c>
      <c r="E42" s="1198" t="s">
        <v>1983</v>
      </c>
      <c r="F42" s="1198">
        <v>120507</v>
      </c>
      <c r="G42" s="1198" t="s">
        <v>350</v>
      </c>
      <c r="H42" s="1198">
        <f>Dataark_til_bilag3_2030[[#This Row],[Staldkode]]+Dataark_til_bilag3_2030[[#This Row],[Dyrekode]]</f>
        <v>121712</v>
      </c>
      <c r="I42" s="1222">
        <v>0</v>
      </c>
      <c r="J42" s="1198" t="s">
        <v>1977</v>
      </c>
      <c r="K42" s="1198"/>
      <c r="L42" s="1540">
        <v>23.5</v>
      </c>
      <c r="M42" s="1198">
        <f t="shared" si="0"/>
        <v>0</v>
      </c>
      <c r="N42" s="1198">
        <v>5.0000000000000001E-3</v>
      </c>
      <c r="O42" s="1198">
        <f t="shared" si="1"/>
        <v>0</v>
      </c>
      <c r="P42" s="1539">
        <f t="shared" si="2"/>
        <v>0</v>
      </c>
      <c r="Q42" s="1571">
        <v>9.7299999999999998E-2</v>
      </c>
      <c r="R42" s="1539">
        <f t="shared" si="3"/>
        <v>0</v>
      </c>
      <c r="S42" s="1198">
        <v>0.01</v>
      </c>
      <c r="T42" s="1539">
        <f t="shared" si="4"/>
        <v>0</v>
      </c>
      <c r="U42" s="1539">
        <f t="shared" si="5"/>
        <v>0</v>
      </c>
      <c r="V42" s="1570">
        <f t="shared" si="6"/>
        <v>0</v>
      </c>
    </row>
    <row r="43" spans="1:22" x14ac:dyDescent="0.25">
      <c r="A43" s="1390" t="s">
        <v>1980</v>
      </c>
      <c r="B43" s="1322">
        <v>1205</v>
      </c>
      <c r="C43" s="1198" t="s">
        <v>2797</v>
      </c>
      <c r="D43" s="1198" t="s">
        <v>2796</v>
      </c>
      <c r="E43" s="1198" t="s">
        <v>1996</v>
      </c>
      <c r="F43" s="1198">
        <v>120509</v>
      </c>
      <c r="G43" s="1198" t="s">
        <v>353</v>
      </c>
      <c r="H43" s="1198">
        <f>Dataark_til_bilag3_2030[[#This Row],[Staldkode]]+Dataark_til_bilag3_2030[[#This Row],[Dyrekode]]</f>
        <v>121714</v>
      </c>
      <c r="I43" s="1222">
        <v>0</v>
      </c>
      <c r="J43" s="1198" t="s">
        <v>1977</v>
      </c>
      <c r="K43" s="1198"/>
      <c r="L43" s="1540">
        <v>23.5</v>
      </c>
      <c r="M43" s="1198">
        <f t="shared" si="0"/>
        <v>0</v>
      </c>
      <c r="N43" s="1198">
        <v>5.0000000000000001E-3</v>
      </c>
      <c r="O43" s="1198">
        <f t="shared" si="1"/>
        <v>0</v>
      </c>
      <c r="P43" s="1539">
        <f t="shared" si="2"/>
        <v>0</v>
      </c>
      <c r="Q43" s="1571">
        <v>9.7299999999999998E-2</v>
      </c>
      <c r="R43" s="1539">
        <f t="shared" si="3"/>
        <v>0</v>
      </c>
      <c r="S43" s="1198">
        <v>0.01</v>
      </c>
      <c r="T43" s="1539">
        <f t="shared" si="4"/>
        <v>0</v>
      </c>
      <c r="U43" s="1539">
        <f t="shared" si="5"/>
        <v>0</v>
      </c>
      <c r="V43" s="1570">
        <f t="shared" si="6"/>
        <v>0</v>
      </c>
    </row>
    <row r="44" spans="1:22" x14ac:dyDescent="0.25">
      <c r="A44" s="1390" t="s">
        <v>1980</v>
      </c>
      <c r="B44" s="1322">
        <v>1205</v>
      </c>
      <c r="C44" s="1198" t="s">
        <v>2797</v>
      </c>
      <c r="D44" s="1198" t="s">
        <v>2796</v>
      </c>
      <c r="E44" s="1198" t="s">
        <v>1995</v>
      </c>
      <c r="F44" s="1198">
        <v>120510</v>
      </c>
      <c r="G44" s="1198" t="s">
        <v>354</v>
      </c>
      <c r="H44" s="1198">
        <f>Dataark_til_bilag3_2030[[#This Row],[Staldkode]]+Dataark_til_bilag3_2030[[#This Row],[Dyrekode]]</f>
        <v>121715</v>
      </c>
      <c r="I44" s="1222">
        <v>0</v>
      </c>
      <c r="J44" s="1198" t="s">
        <v>1977</v>
      </c>
      <c r="K44" s="1198"/>
      <c r="L44" s="1540">
        <v>23.5</v>
      </c>
      <c r="M44" s="1198">
        <f t="shared" si="0"/>
        <v>0</v>
      </c>
      <c r="N44" s="1198">
        <v>5.0000000000000001E-3</v>
      </c>
      <c r="O44" s="1198">
        <f t="shared" si="1"/>
        <v>0</v>
      </c>
      <c r="P44" s="1539">
        <f t="shared" si="2"/>
        <v>0</v>
      </c>
      <c r="Q44" s="1571">
        <v>9.7299999999999998E-2</v>
      </c>
      <c r="R44" s="1539">
        <f t="shared" si="3"/>
        <v>0</v>
      </c>
      <c r="S44" s="1198">
        <v>0.01</v>
      </c>
      <c r="T44" s="1539">
        <f t="shared" si="4"/>
        <v>0</v>
      </c>
      <c r="U44" s="1539">
        <f t="shared" si="5"/>
        <v>0</v>
      </c>
      <c r="V44" s="1570">
        <f t="shared" si="6"/>
        <v>0</v>
      </c>
    </row>
    <row r="45" spans="1:22" s="1572" customFormat="1" x14ac:dyDescent="0.25">
      <c r="A45" s="1322" t="s">
        <v>1980</v>
      </c>
      <c r="B45" s="1198">
        <v>1205</v>
      </c>
      <c r="C45" s="1008" t="s">
        <v>2797</v>
      </c>
      <c r="D45" s="1198" t="s">
        <v>2796</v>
      </c>
      <c r="E45" s="1198" t="s">
        <v>2003</v>
      </c>
      <c r="F45" s="1198">
        <v>120511</v>
      </c>
      <c r="G45" s="1198" t="s">
        <v>354</v>
      </c>
      <c r="H45" s="1198">
        <f>Dataark_til_bilag3_2030[[#This Row],[Staldkode]]+Dataark_til_bilag3_2030[[#This Row],[Dyrekode]]</f>
        <v>121716</v>
      </c>
      <c r="I45" s="1222">
        <v>0</v>
      </c>
      <c r="J45" s="1198" t="s">
        <v>1977</v>
      </c>
      <c r="K45" s="1198"/>
      <c r="L45" s="1540">
        <v>23.5</v>
      </c>
      <c r="M45" s="1198">
        <f t="shared" si="0"/>
        <v>0</v>
      </c>
      <c r="N45" s="1198">
        <v>5.0000000000000001E-3</v>
      </c>
      <c r="O45" s="1198">
        <f t="shared" si="1"/>
        <v>0</v>
      </c>
      <c r="P45" s="1539">
        <f t="shared" si="2"/>
        <v>0</v>
      </c>
      <c r="Q45" s="1571">
        <v>9.7299999999999998E-2</v>
      </c>
      <c r="R45" s="1539">
        <f t="shared" si="3"/>
        <v>0</v>
      </c>
      <c r="S45" s="1198">
        <v>0.01</v>
      </c>
      <c r="T45" s="1539">
        <f t="shared" si="4"/>
        <v>0</v>
      </c>
      <c r="U45" s="1539">
        <f t="shared" si="5"/>
        <v>0</v>
      </c>
      <c r="V45" s="1570">
        <f t="shared" si="6"/>
        <v>0</v>
      </c>
    </row>
    <row r="46" spans="1:22" x14ac:dyDescent="0.25">
      <c r="A46" s="1390" t="s">
        <v>1980</v>
      </c>
      <c r="B46" s="1322">
        <v>1205</v>
      </c>
      <c r="C46" s="1198" t="s">
        <v>2797</v>
      </c>
      <c r="D46" s="1198" t="s">
        <v>2796</v>
      </c>
      <c r="E46" s="1198" t="s">
        <v>2002</v>
      </c>
      <c r="F46" s="1198">
        <v>120512</v>
      </c>
      <c r="G46" s="1198" t="s">
        <v>354</v>
      </c>
      <c r="H46" s="1198">
        <f>Dataark_til_bilag3_2030[[#This Row],[Staldkode]]+Dataark_til_bilag3_2030[[#This Row],[Dyrekode]]</f>
        <v>121717</v>
      </c>
      <c r="I46" s="1222">
        <v>0</v>
      </c>
      <c r="J46" s="1198" t="s">
        <v>1977</v>
      </c>
      <c r="K46" s="1198"/>
      <c r="L46" s="1540">
        <v>23.5</v>
      </c>
      <c r="M46" s="1198">
        <f t="shared" si="0"/>
        <v>0</v>
      </c>
      <c r="N46" s="1198">
        <v>5.0000000000000001E-3</v>
      </c>
      <c r="O46" s="1198">
        <f t="shared" si="1"/>
        <v>0</v>
      </c>
      <c r="P46" s="1539">
        <f t="shared" si="2"/>
        <v>0</v>
      </c>
      <c r="Q46" s="1571">
        <v>9.7299999999999998E-2</v>
      </c>
      <c r="R46" s="1539">
        <f t="shared" si="3"/>
        <v>0</v>
      </c>
      <c r="S46" s="1198">
        <v>0.01</v>
      </c>
      <c r="T46" s="1539">
        <f t="shared" si="4"/>
        <v>0</v>
      </c>
      <c r="U46" s="1539">
        <f t="shared" si="5"/>
        <v>0</v>
      </c>
      <c r="V46" s="1570">
        <f t="shared" si="6"/>
        <v>0</v>
      </c>
    </row>
    <row r="47" spans="1:22" x14ac:dyDescent="0.25">
      <c r="A47" s="1390" t="s">
        <v>1980</v>
      </c>
      <c r="B47" s="1322">
        <v>1205</v>
      </c>
      <c r="C47" s="1198" t="s">
        <v>2797</v>
      </c>
      <c r="D47" s="1198" t="s">
        <v>2796</v>
      </c>
      <c r="E47" s="1198" t="s">
        <v>1990</v>
      </c>
      <c r="F47" s="1198">
        <v>120519</v>
      </c>
      <c r="G47" s="1198" t="s">
        <v>354</v>
      </c>
      <c r="H47" s="1198">
        <f>Dataark_til_bilag3_2030[[#This Row],[Staldkode]]+Dataark_til_bilag3_2030[[#This Row],[Dyrekode]]</f>
        <v>121724</v>
      </c>
      <c r="I47" s="1222">
        <v>0</v>
      </c>
      <c r="J47" s="1198" t="s">
        <v>1977</v>
      </c>
      <c r="K47" s="1198"/>
      <c r="L47" s="1540">
        <v>23.5</v>
      </c>
      <c r="M47" s="1198">
        <f t="shared" si="0"/>
        <v>0</v>
      </c>
      <c r="N47" s="1198">
        <v>5.0000000000000001E-3</v>
      </c>
      <c r="O47" s="1198">
        <f t="shared" si="1"/>
        <v>0</v>
      </c>
      <c r="P47" s="1539">
        <f t="shared" si="2"/>
        <v>0</v>
      </c>
      <c r="Q47" s="1571">
        <v>9.7299999999999998E-2</v>
      </c>
      <c r="R47" s="1539">
        <f t="shared" si="3"/>
        <v>0</v>
      </c>
      <c r="S47" s="1198">
        <v>0.01</v>
      </c>
      <c r="T47" s="1539">
        <f t="shared" si="4"/>
        <v>0</v>
      </c>
      <c r="U47" s="1539">
        <f t="shared" si="5"/>
        <v>0</v>
      </c>
      <c r="V47" s="1570">
        <f t="shared" si="6"/>
        <v>0</v>
      </c>
    </row>
    <row r="48" spans="1:22" x14ac:dyDescent="0.25">
      <c r="A48" s="1390" t="s">
        <v>1980</v>
      </c>
      <c r="B48" s="1322">
        <v>1206</v>
      </c>
      <c r="C48" s="1198" t="s">
        <v>2011</v>
      </c>
      <c r="D48" s="1198" t="s">
        <v>330</v>
      </c>
      <c r="E48" s="1198" t="s">
        <v>1989</v>
      </c>
      <c r="F48" s="1198">
        <v>120601</v>
      </c>
      <c r="G48" s="1198" t="s">
        <v>639</v>
      </c>
      <c r="H48" s="1198">
        <f>Dataark_til_bilag3_2030[[#This Row],[Staldkode]]+Dataark_til_bilag3_2030[[#This Row],[Dyrekode]]</f>
        <v>121807</v>
      </c>
      <c r="I48" s="1222">
        <v>0</v>
      </c>
      <c r="J48" s="1198" t="s">
        <v>1903</v>
      </c>
      <c r="K48" s="1198"/>
      <c r="L48" s="1540">
        <v>50.4</v>
      </c>
      <c r="M48" s="1198">
        <f t="shared" si="0"/>
        <v>0</v>
      </c>
      <c r="N48" s="1198">
        <v>5.0000000000000001E-3</v>
      </c>
      <c r="O48" s="1198">
        <f t="shared" si="1"/>
        <v>0</v>
      </c>
      <c r="P48" s="1539">
        <f t="shared" si="2"/>
        <v>0</v>
      </c>
      <c r="Q48" s="1571">
        <v>9.7299999999999998E-2</v>
      </c>
      <c r="R48" s="1539">
        <f t="shared" si="3"/>
        <v>0</v>
      </c>
      <c r="S48" s="1198">
        <v>0.01</v>
      </c>
      <c r="T48" s="1539">
        <f t="shared" si="4"/>
        <v>0</v>
      </c>
      <c r="U48" s="1539">
        <f t="shared" si="5"/>
        <v>0</v>
      </c>
      <c r="V48" s="1570">
        <f t="shared" si="6"/>
        <v>0</v>
      </c>
    </row>
    <row r="49" spans="1:22" x14ac:dyDescent="0.25">
      <c r="A49" s="1390" t="s">
        <v>1980</v>
      </c>
      <c r="B49" s="1322">
        <v>1206</v>
      </c>
      <c r="C49" s="1198" t="s">
        <v>2011</v>
      </c>
      <c r="D49" s="1198" t="s">
        <v>330</v>
      </c>
      <c r="E49" s="1198" t="s">
        <v>1988</v>
      </c>
      <c r="F49" s="1198">
        <v>120602</v>
      </c>
      <c r="G49" s="1198" t="s">
        <v>639</v>
      </c>
      <c r="H49" s="1198">
        <f>Dataark_til_bilag3_2030[[#This Row],[Staldkode]]+Dataark_til_bilag3_2030[[#This Row],[Dyrekode]]</f>
        <v>121808</v>
      </c>
      <c r="I49" s="1222">
        <v>0</v>
      </c>
      <c r="J49" s="1198" t="s">
        <v>1977</v>
      </c>
      <c r="K49" s="1198"/>
      <c r="L49" s="1540">
        <v>50.4</v>
      </c>
      <c r="M49" s="1198">
        <f t="shared" si="0"/>
        <v>0</v>
      </c>
      <c r="N49" s="1198">
        <v>5.0000000000000001E-3</v>
      </c>
      <c r="O49" s="1198">
        <f t="shared" si="1"/>
        <v>0</v>
      </c>
      <c r="P49" s="1539">
        <f t="shared" si="2"/>
        <v>0</v>
      </c>
      <c r="Q49" s="1571">
        <v>9.7299999999999998E-2</v>
      </c>
      <c r="R49" s="1539">
        <f t="shared" si="3"/>
        <v>0</v>
      </c>
      <c r="S49" s="1198">
        <v>0.01</v>
      </c>
      <c r="T49" s="1539">
        <f t="shared" si="4"/>
        <v>0</v>
      </c>
      <c r="U49" s="1539">
        <f t="shared" si="5"/>
        <v>0</v>
      </c>
      <c r="V49" s="1570">
        <f t="shared" si="6"/>
        <v>0</v>
      </c>
    </row>
    <row r="50" spans="1:22" x14ac:dyDescent="0.25">
      <c r="A50" s="1390" t="s">
        <v>1980</v>
      </c>
      <c r="B50" s="1322">
        <v>1206</v>
      </c>
      <c r="C50" s="1198" t="s">
        <v>2011</v>
      </c>
      <c r="D50" s="1198" t="s">
        <v>330</v>
      </c>
      <c r="E50" s="1198" t="s">
        <v>1987</v>
      </c>
      <c r="F50" s="1198">
        <v>120603</v>
      </c>
      <c r="G50" s="1198" t="s">
        <v>350</v>
      </c>
      <c r="H50" s="1198">
        <f>Dataark_til_bilag3_2030[[#This Row],[Staldkode]]+Dataark_til_bilag3_2030[[#This Row],[Dyrekode]]</f>
        <v>121809</v>
      </c>
      <c r="I50" s="1222">
        <v>9.8699999999999992</v>
      </c>
      <c r="J50" s="1198"/>
      <c r="K50" s="1198" t="s">
        <v>350</v>
      </c>
      <c r="L50" s="1540">
        <v>50.4</v>
      </c>
      <c r="M50" s="1198">
        <f t="shared" si="0"/>
        <v>497.44799999999992</v>
      </c>
      <c r="N50" s="1198">
        <v>0.01</v>
      </c>
      <c r="O50" s="1198">
        <f t="shared" si="1"/>
        <v>4.9744799999999989</v>
      </c>
      <c r="P50" s="1539">
        <f t="shared" si="2"/>
        <v>7.8170399999999987</v>
      </c>
      <c r="Q50" s="1571">
        <v>9.7299999999999998E-2</v>
      </c>
      <c r="R50" s="1539">
        <f t="shared" si="3"/>
        <v>48.401690399999993</v>
      </c>
      <c r="S50" s="1198">
        <v>0.01</v>
      </c>
      <c r="T50" s="1539">
        <f t="shared" si="4"/>
        <v>0.48401690399999991</v>
      </c>
      <c r="U50" s="1539">
        <f t="shared" si="5"/>
        <v>0.76059799199999989</v>
      </c>
      <c r="V50" s="1570">
        <f t="shared" si="6"/>
        <v>8.5776379919999986E-3</v>
      </c>
    </row>
    <row r="51" spans="1:22" x14ac:dyDescent="0.25">
      <c r="A51" s="1390" t="s">
        <v>1980</v>
      </c>
      <c r="B51" s="1322">
        <v>1206</v>
      </c>
      <c r="C51" s="1198" t="s">
        <v>2011</v>
      </c>
      <c r="D51" s="1198" t="s">
        <v>330</v>
      </c>
      <c r="E51" s="1198" t="s">
        <v>2004</v>
      </c>
      <c r="F51" s="1198">
        <v>120604</v>
      </c>
      <c r="G51" s="1198" t="s">
        <v>350</v>
      </c>
      <c r="H51" s="1198">
        <f>Dataark_til_bilag3_2030[[#This Row],[Staldkode]]+Dataark_til_bilag3_2030[[#This Row],[Dyrekode]]</f>
        <v>121810</v>
      </c>
      <c r="I51" s="1222">
        <v>0</v>
      </c>
      <c r="J51" s="1198"/>
      <c r="K51" s="1198" t="s">
        <v>350</v>
      </c>
      <c r="L51" s="1540">
        <v>50.4</v>
      </c>
      <c r="M51" s="1198">
        <f t="shared" si="0"/>
        <v>0</v>
      </c>
      <c r="N51" s="1198">
        <v>0.01</v>
      </c>
      <c r="O51" s="1198">
        <f t="shared" si="1"/>
        <v>0</v>
      </c>
      <c r="P51" s="1539">
        <f t="shared" si="2"/>
        <v>0</v>
      </c>
      <c r="Q51" s="1571">
        <v>9.7299999999999998E-2</v>
      </c>
      <c r="R51" s="1539">
        <f t="shared" si="3"/>
        <v>0</v>
      </c>
      <c r="S51" s="1198">
        <v>0.01</v>
      </c>
      <c r="T51" s="1539">
        <f t="shared" si="4"/>
        <v>0</v>
      </c>
      <c r="U51" s="1539">
        <f t="shared" si="5"/>
        <v>0</v>
      </c>
      <c r="V51" s="1570">
        <f t="shared" si="6"/>
        <v>0</v>
      </c>
    </row>
    <row r="52" spans="1:22" x14ac:dyDescent="0.25">
      <c r="A52" s="1390" t="s">
        <v>1980</v>
      </c>
      <c r="B52" s="1322">
        <v>1206</v>
      </c>
      <c r="C52" s="1198" t="s">
        <v>2011</v>
      </c>
      <c r="D52" s="1198" t="s">
        <v>330</v>
      </c>
      <c r="E52" s="1198" t="s">
        <v>1985</v>
      </c>
      <c r="F52" s="1198">
        <v>120605</v>
      </c>
      <c r="G52" s="1198" t="s">
        <v>350</v>
      </c>
      <c r="H52" s="1198">
        <f>Dataark_til_bilag3_2030[[#This Row],[Staldkode]]+Dataark_til_bilag3_2030[[#This Row],[Dyrekode]]</f>
        <v>121811</v>
      </c>
      <c r="I52" s="1222">
        <v>0</v>
      </c>
      <c r="J52" s="1198" t="s">
        <v>1977</v>
      </c>
      <c r="K52" s="1198" t="s">
        <v>350</v>
      </c>
      <c r="L52" s="1540">
        <v>50.4</v>
      </c>
      <c r="M52" s="1198">
        <f t="shared" si="0"/>
        <v>0</v>
      </c>
      <c r="N52" s="1198">
        <v>5.0000000000000001E-3</v>
      </c>
      <c r="O52" s="1198">
        <f t="shared" si="1"/>
        <v>0</v>
      </c>
      <c r="P52" s="1539">
        <f t="shared" si="2"/>
        <v>0</v>
      </c>
      <c r="Q52" s="1571">
        <v>9.7299999999999998E-2</v>
      </c>
      <c r="R52" s="1539">
        <f t="shared" si="3"/>
        <v>0</v>
      </c>
      <c r="S52" s="1198">
        <v>0.01</v>
      </c>
      <c r="T52" s="1539">
        <f t="shared" si="4"/>
        <v>0</v>
      </c>
      <c r="U52" s="1539">
        <f t="shared" si="5"/>
        <v>0</v>
      </c>
      <c r="V52" s="1570">
        <f t="shared" si="6"/>
        <v>0</v>
      </c>
    </row>
    <row r="53" spans="1:22" x14ac:dyDescent="0.25">
      <c r="A53" s="1390" t="s">
        <v>1980</v>
      </c>
      <c r="B53" s="1322">
        <v>1206</v>
      </c>
      <c r="C53" s="1198" t="s">
        <v>2011</v>
      </c>
      <c r="D53" s="1198" t="s">
        <v>330</v>
      </c>
      <c r="E53" s="1198" t="s">
        <v>1984</v>
      </c>
      <c r="F53" s="1198">
        <v>120606</v>
      </c>
      <c r="G53" s="1198" t="s">
        <v>350</v>
      </c>
      <c r="H53" s="1198">
        <f>Dataark_til_bilag3_2030[[#This Row],[Staldkode]]+Dataark_til_bilag3_2030[[#This Row],[Dyrekode]]</f>
        <v>121812</v>
      </c>
      <c r="I53" s="1222">
        <v>0</v>
      </c>
      <c r="J53" s="1198" t="s">
        <v>1977</v>
      </c>
      <c r="K53" s="1198"/>
      <c r="L53" s="1540">
        <v>50.4</v>
      </c>
      <c r="M53" s="1198">
        <f t="shared" si="0"/>
        <v>0</v>
      </c>
      <c r="N53" s="1198">
        <v>5.0000000000000001E-3</v>
      </c>
      <c r="O53" s="1198">
        <f t="shared" si="1"/>
        <v>0</v>
      </c>
      <c r="P53" s="1539">
        <f t="shared" si="2"/>
        <v>0</v>
      </c>
      <c r="Q53" s="1571">
        <v>9.7299999999999998E-2</v>
      </c>
      <c r="R53" s="1539">
        <f t="shared" si="3"/>
        <v>0</v>
      </c>
      <c r="S53" s="1198">
        <v>0.01</v>
      </c>
      <c r="T53" s="1539">
        <f t="shared" si="4"/>
        <v>0</v>
      </c>
      <c r="U53" s="1539">
        <f t="shared" si="5"/>
        <v>0</v>
      </c>
      <c r="V53" s="1570">
        <f t="shared" si="6"/>
        <v>0</v>
      </c>
    </row>
    <row r="54" spans="1:22" x14ac:dyDescent="0.25">
      <c r="A54" s="1390" t="s">
        <v>1980</v>
      </c>
      <c r="B54" s="1322">
        <v>1206</v>
      </c>
      <c r="C54" s="1198" t="s">
        <v>2011</v>
      </c>
      <c r="D54" s="1198" t="s">
        <v>330</v>
      </c>
      <c r="E54" s="1198" t="s">
        <v>1983</v>
      </c>
      <c r="F54" s="1198">
        <v>120607</v>
      </c>
      <c r="G54" s="1198" t="s">
        <v>350</v>
      </c>
      <c r="H54" s="1198">
        <f>Dataark_til_bilag3_2030[[#This Row],[Staldkode]]+Dataark_til_bilag3_2030[[#This Row],[Dyrekode]]</f>
        <v>121813</v>
      </c>
      <c r="I54" s="1222">
        <v>0</v>
      </c>
      <c r="J54" s="1198" t="s">
        <v>1977</v>
      </c>
      <c r="K54" s="1198" t="s">
        <v>350</v>
      </c>
      <c r="L54" s="1540">
        <v>50.4</v>
      </c>
      <c r="M54" s="1198">
        <f t="shared" si="0"/>
        <v>0</v>
      </c>
      <c r="N54" s="1198">
        <v>5.0000000000000001E-3</v>
      </c>
      <c r="O54" s="1198">
        <f t="shared" si="1"/>
        <v>0</v>
      </c>
      <c r="P54" s="1539">
        <f t="shared" si="2"/>
        <v>0</v>
      </c>
      <c r="Q54" s="1571">
        <v>9.7299999999999998E-2</v>
      </c>
      <c r="R54" s="1539">
        <f t="shared" si="3"/>
        <v>0</v>
      </c>
      <c r="S54" s="1198">
        <v>0.01</v>
      </c>
      <c r="T54" s="1539">
        <f t="shared" si="4"/>
        <v>0</v>
      </c>
      <c r="U54" s="1539">
        <f t="shared" si="5"/>
        <v>0</v>
      </c>
      <c r="V54" s="1570">
        <f t="shared" si="6"/>
        <v>0</v>
      </c>
    </row>
    <row r="55" spans="1:22" x14ac:dyDescent="0.25">
      <c r="A55" s="1390" t="s">
        <v>1980</v>
      </c>
      <c r="B55" s="1322">
        <v>1206</v>
      </c>
      <c r="C55" s="1198" t="s">
        <v>2011</v>
      </c>
      <c r="D55" s="1198" t="s">
        <v>330</v>
      </c>
      <c r="E55" s="1198" t="s">
        <v>1996</v>
      </c>
      <c r="F55" s="1198">
        <v>120609</v>
      </c>
      <c r="G55" s="1198" t="s">
        <v>353</v>
      </c>
      <c r="H55" s="1198">
        <f>Dataark_til_bilag3_2030[[#This Row],[Staldkode]]+Dataark_til_bilag3_2030[[#This Row],[Dyrekode]]</f>
        <v>121815</v>
      </c>
      <c r="I55" s="1222">
        <v>0</v>
      </c>
      <c r="J55" s="1198" t="s">
        <v>1977</v>
      </c>
      <c r="K55" s="1198"/>
      <c r="L55" s="1540">
        <v>50.4</v>
      </c>
      <c r="M55" s="1198">
        <f t="shared" si="0"/>
        <v>0</v>
      </c>
      <c r="N55" s="1198">
        <v>5.0000000000000001E-3</v>
      </c>
      <c r="O55" s="1198">
        <f t="shared" si="1"/>
        <v>0</v>
      </c>
      <c r="P55" s="1539">
        <f t="shared" si="2"/>
        <v>0</v>
      </c>
      <c r="Q55" s="1571">
        <v>9.7299999999999998E-2</v>
      </c>
      <c r="R55" s="1539">
        <f t="shared" si="3"/>
        <v>0</v>
      </c>
      <c r="S55" s="1198">
        <v>0.01</v>
      </c>
      <c r="T55" s="1539">
        <f t="shared" si="4"/>
        <v>0</v>
      </c>
      <c r="U55" s="1539">
        <f t="shared" si="5"/>
        <v>0</v>
      </c>
      <c r="V55" s="1570">
        <f t="shared" si="6"/>
        <v>0</v>
      </c>
    </row>
    <row r="56" spans="1:22" x14ac:dyDescent="0.25">
      <c r="A56" s="1390" t="s">
        <v>1980</v>
      </c>
      <c r="B56" s="1322">
        <v>1206</v>
      </c>
      <c r="C56" s="1198" t="s">
        <v>2011</v>
      </c>
      <c r="D56" s="1198" t="s">
        <v>330</v>
      </c>
      <c r="E56" s="1198" t="s">
        <v>1995</v>
      </c>
      <c r="F56" s="1198">
        <v>120610</v>
      </c>
      <c r="G56" s="1198" t="s">
        <v>354</v>
      </c>
      <c r="H56" s="1198">
        <f>Dataark_til_bilag3_2030[[#This Row],[Staldkode]]+Dataark_til_bilag3_2030[[#This Row],[Dyrekode]]</f>
        <v>121816</v>
      </c>
      <c r="I56" s="1222">
        <v>0</v>
      </c>
      <c r="J56" s="1198" t="s">
        <v>1977</v>
      </c>
      <c r="K56" s="1198"/>
      <c r="L56" s="1540">
        <v>50.4</v>
      </c>
      <c r="M56" s="1198">
        <f t="shared" si="0"/>
        <v>0</v>
      </c>
      <c r="N56" s="1198">
        <v>5.0000000000000001E-3</v>
      </c>
      <c r="O56" s="1198">
        <f t="shared" si="1"/>
        <v>0</v>
      </c>
      <c r="P56" s="1539">
        <f t="shared" si="2"/>
        <v>0</v>
      </c>
      <c r="Q56" s="1571">
        <v>9.7299999999999998E-2</v>
      </c>
      <c r="R56" s="1539">
        <f t="shared" si="3"/>
        <v>0</v>
      </c>
      <c r="S56" s="1198">
        <v>0.01</v>
      </c>
      <c r="T56" s="1539">
        <f t="shared" si="4"/>
        <v>0</v>
      </c>
      <c r="U56" s="1539">
        <f t="shared" si="5"/>
        <v>0</v>
      </c>
      <c r="V56" s="1570">
        <f t="shared" si="6"/>
        <v>0</v>
      </c>
    </row>
    <row r="57" spans="1:22" x14ac:dyDescent="0.25">
      <c r="A57" s="1322" t="s">
        <v>1980</v>
      </c>
      <c r="B57" s="1322">
        <v>1206</v>
      </c>
      <c r="C57" s="1198" t="s">
        <v>2011</v>
      </c>
      <c r="D57" s="1198" t="s">
        <v>330</v>
      </c>
      <c r="E57" s="1198" t="s">
        <v>1982</v>
      </c>
      <c r="F57" s="1198">
        <v>120611</v>
      </c>
      <c r="G57" s="1198" t="s">
        <v>354</v>
      </c>
      <c r="H57" s="1198">
        <f>Dataark_til_bilag3_2030[[#This Row],[Staldkode]]+Dataark_til_bilag3_2030[[#This Row],[Dyrekode]]</f>
        <v>121817</v>
      </c>
      <c r="I57" s="1222">
        <v>0</v>
      </c>
      <c r="J57" s="1198" t="s">
        <v>1977</v>
      </c>
      <c r="K57" s="1198"/>
      <c r="L57" s="1540">
        <v>50.4</v>
      </c>
      <c r="M57" s="1198">
        <f t="shared" si="0"/>
        <v>0</v>
      </c>
      <c r="N57" s="1198">
        <v>5.0000000000000001E-3</v>
      </c>
      <c r="O57" s="1198">
        <f t="shared" si="1"/>
        <v>0</v>
      </c>
      <c r="P57" s="1539">
        <f t="shared" si="2"/>
        <v>0</v>
      </c>
      <c r="Q57" s="1571">
        <v>9.7299999999999998E-2</v>
      </c>
      <c r="R57" s="1539">
        <f t="shared" si="3"/>
        <v>0</v>
      </c>
      <c r="S57" s="1198">
        <v>0.01</v>
      </c>
      <c r="T57" s="1539">
        <f t="shared" si="4"/>
        <v>0</v>
      </c>
      <c r="U57" s="1539">
        <f t="shared" si="5"/>
        <v>0</v>
      </c>
      <c r="V57" s="1570">
        <f t="shared" si="6"/>
        <v>0</v>
      </c>
    </row>
    <row r="58" spans="1:22" x14ac:dyDescent="0.25">
      <c r="A58" s="1322" t="s">
        <v>1980</v>
      </c>
      <c r="B58" s="1322">
        <v>1206</v>
      </c>
      <c r="C58" s="1198" t="s">
        <v>2011</v>
      </c>
      <c r="D58" s="1198" t="s">
        <v>330</v>
      </c>
      <c r="E58" s="1198" t="s">
        <v>1994</v>
      </c>
      <c r="F58" s="1198">
        <v>120612</v>
      </c>
      <c r="G58" s="1198" t="s">
        <v>354</v>
      </c>
      <c r="H58" s="1198">
        <f>Dataark_til_bilag3_2030[[#This Row],[Staldkode]]+Dataark_til_bilag3_2030[[#This Row],[Dyrekode]]</f>
        <v>121818</v>
      </c>
      <c r="I58" s="1222">
        <v>0</v>
      </c>
      <c r="J58" s="1198" t="s">
        <v>1977</v>
      </c>
      <c r="K58" s="1198"/>
      <c r="L58" s="1540">
        <v>50.4</v>
      </c>
      <c r="M58" s="1198">
        <f t="shared" si="0"/>
        <v>0</v>
      </c>
      <c r="N58" s="1198">
        <v>5.0000000000000001E-3</v>
      </c>
      <c r="O58" s="1198">
        <f t="shared" si="1"/>
        <v>0</v>
      </c>
      <c r="P58" s="1539">
        <f t="shared" si="2"/>
        <v>0</v>
      </c>
      <c r="Q58" s="1571">
        <v>9.7299999999999998E-2</v>
      </c>
      <c r="R58" s="1539">
        <f t="shared" si="3"/>
        <v>0</v>
      </c>
      <c r="S58" s="1198">
        <v>0.01</v>
      </c>
      <c r="T58" s="1539">
        <f t="shared" si="4"/>
        <v>0</v>
      </c>
      <c r="U58" s="1539">
        <f t="shared" si="5"/>
        <v>0</v>
      </c>
      <c r="V58" s="1570">
        <f t="shared" si="6"/>
        <v>0</v>
      </c>
    </row>
    <row r="59" spans="1:22" x14ac:dyDescent="0.25">
      <c r="A59" s="1390" t="s">
        <v>1980</v>
      </c>
      <c r="B59" s="1322">
        <v>1206</v>
      </c>
      <c r="C59" s="1198" t="s">
        <v>2011</v>
      </c>
      <c r="D59" s="1198" t="s">
        <v>330</v>
      </c>
      <c r="E59" s="1198" t="s">
        <v>1990</v>
      </c>
      <c r="F59" s="1198">
        <v>120619</v>
      </c>
      <c r="G59" s="1198" t="s">
        <v>354</v>
      </c>
      <c r="H59" s="1198">
        <f>Dataark_til_bilag3_2030[[#This Row],[Staldkode]]+Dataark_til_bilag3_2030[[#This Row],[Dyrekode]]</f>
        <v>121825</v>
      </c>
      <c r="I59" s="1222">
        <v>0</v>
      </c>
      <c r="J59" s="1198" t="s">
        <v>1977</v>
      </c>
      <c r="K59" s="1198"/>
      <c r="L59" s="1540">
        <v>50.4</v>
      </c>
      <c r="M59" s="1198">
        <f t="shared" si="0"/>
        <v>0</v>
      </c>
      <c r="N59" s="1198">
        <v>5.0000000000000001E-3</v>
      </c>
      <c r="O59" s="1198">
        <f t="shared" si="1"/>
        <v>0</v>
      </c>
      <c r="P59" s="1539">
        <f t="shared" si="2"/>
        <v>0</v>
      </c>
      <c r="Q59" s="1571">
        <v>9.7299999999999998E-2</v>
      </c>
      <c r="R59" s="1539">
        <f t="shared" si="3"/>
        <v>0</v>
      </c>
      <c r="S59" s="1198">
        <v>0.01</v>
      </c>
      <c r="T59" s="1539">
        <f t="shared" si="4"/>
        <v>0</v>
      </c>
      <c r="U59" s="1539">
        <f t="shared" si="5"/>
        <v>0</v>
      </c>
      <c r="V59" s="1570">
        <f t="shared" si="6"/>
        <v>0</v>
      </c>
    </row>
    <row r="60" spans="1:22" x14ac:dyDescent="0.25">
      <c r="A60" s="1390" t="s">
        <v>1980</v>
      </c>
      <c r="B60" s="1322">
        <v>1231</v>
      </c>
      <c r="C60" s="1198" t="s">
        <v>2010</v>
      </c>
      <c r="D60" s="1198" t="s">
        <v>341</v>
      </c>
      <c r="E60" s="1198" t="s">
        <v>1989</v>
      </c>
      <c r="F60" s="1198">
        <v>123101</v>
      </c>
      <c r="G60" s="1198" t="s">
        <v>639</v>
      </c>
      <c r="H60" s="1198">
        <f>Dataark_til_bilag3_2030[[#This Row],[Staldkode]]+Dataark_til_bilag3_2030[[#This Row],[Dyrekode]]</f>
        <v>124332</v>
      </c>
      <c r="I60" s="1222">
        <v>0</v>
      </c>
      <c r="J60" s="1198" t="s">
        <v>1903</v>
      </c>
      <c r="K60" s="1198"/>
      <c r="L60" s="1540">
        <v>130.5</v>
      </c>
      <c r="M60" s="1198">
        <f t="shared" si="0"/>
        <v>0</v>
      </c>
      <c r="N60" s="1198">
        <v>5.0000000000000001E-3</v>
      </c>
      <c r="O60" s="1198">
        <f t="shared" si="1"/>
        <v>0</v>
      </c>
      <c r="P60" s="1539">
        <f t="shared" si="2"/>
        <v>0</v>
      </c>
      <c r="Q60" s="1571">
        <v>7.22E-2</v>
      </c>
      <c r="R60" s="1539">
        <f t="shared" si="3"/>
        <v>0</v>
      </c>
      <c r="S60" s="1198">
        <v>0.01</v>
      </c>
      <c r="T60" s="1539">
        <f t="shared" si="4"/>
        <v>0</v>
      </c>
      <c r="U60" s="1539">
        <f t="shared" si="5"/>
        <v>0</v>
      </c>
      <c r="V60" s="1570">
        <f t="shared" si="6"/>
        <v>0</v>
      </c>
    </row>
    <row r="61" spans="1:22" x14ac:dyDescent="0.25">
      <c r="A61" s="1390" t="s">
        <v>1980</v>
      </c>
      <c r="B61" s="1322">
        <v>1231</v>
      </c>
      <c r="C61" s="1198" t="s">
        <v>2010</v>
      </c>
      <c r="D61" s="1198" t="s">
        <v>341</v>
      </c>
      <c r="E61" s="1198" t="s">
        <v>1988</v>
      </c>
      <c r="F61" s="1198">
        <v>123102</v>
      </c>
      <c r="G61" s="1198" t="s">
        <v>639</v>
      </c>
      <c r="H61" s="1198">
        <f>Dataark_til_bilag3_2030[[#This Row],[Staldkode]]+Dataark_til_bilag3_2030[[#This Row],[Dyrekode]]</f>
        <v>124333</v>
      </c>
      <c r="I61" s="1222">
        <v>0</v>
      </c>
      <c r="J61" s="1198" t="s">
        <v>1977</v>
      </c>
      <c r="K61" s="1198"/>
      <c r="L61" s="1540">
        <v>130.5</v>
      </c>
      <c r="M61" s="1198">
        <f t="shared" si="0"/>
        <v>0</v>
      </c>
      <c r="N61" s="1198">
        <v>5.0000000000000001E-3</v>
      </c>
      <c r="O61" s="1198">
        <f t="shared" si="1"/>
        <v>0</v>
      </c>
      <c r="P61" s="1539">
        <f t="shared" si="2"/>
        <v>0</v>
      </c>
      <c r="Q61" s="1571">
        <v>7.22E-2</v>
      </c>
      <c r="R61" s="1539">
        <f t="shared" si="3"/>
        <v>0</v>
      </c>
      <c r="S61" s="1198">
        <v>0.01</v>
      </c>
      <c r="T61" s="1539">
        <f t="shared" si="4"/>
        <v>0</v>
      </c>
      <c r="U61" s="1539">
        <f t="shared" si="5"/>
        <v>0</v>
      </c>
      <c r="V61" s="1570">
        <f t="shared" si="6"/>
        <v>0</v>
      </c>
    </row>
    <row r="62" spans="1:22" x14ac:dyDescent="0.25">
      <c r="A62" s="1390" t="s">
        <v>1980</v>
      </c>
      <c r="B62" s="1322">
        <v>1231</v>
      </c>
      <c r="C62" s="1198" t="s">
        <v>2010</v>
      </c>
      <c r="D62" s="1198" t="s">
        <v>341</v>
      </c>
      <c r="E62" s="1198" t="s">
        <v>1995</v>
      </c>
      <c r="F62" s="1198">
        <v>123103</v>
      </c>
      <c r="G62" s="1198" t="s">
        <v>354</v>
      </c>
      <c r="H62" s="1198">
        <f>Dataark_til_bilag3_2030[[#This Row],[Staldkode]]+Dataark_til_bilag3_2030[[#This Row],[Dyrekode]]</f>
        <v>124334</v>
      </c>
      <c r="I62" s="1222">
        <v>0</v>
      </c>
      <c r="J62" s="1198" t="s">
        <v>1977</v>
      </c>
      <c r="K62" s="1198"/>
      <c r="L62" s="1540">
        <v>130.5</v>
      </c>
      <c r="M62" s="1198">
        <f t="shared" si="0"/>
        <v>0</v>
      </c>
      <c r="N62" s="1198">
        <v>5.0000000000000001E-3</v>
      </c>
      <c r="O62" s="1198">
        <f t="shared" si="1"/>
        <v>0</v>
      </c>
      <c r="P62" s="1539">
        <f t="shared" si="2"/>
        <v>0</v>
      </c>
      <c r="Q62" s="1571">
        <v>7.22E-2</v>
      </c>
      <c r="R62" s="1539">
        <f t="shared" si="3"/>
        <v>0</v>
      </c>
      <c r="S62" s="1198">
        <v>0.01</v>
      </c>
      <c r="T62" s="1539">
        <f t="shared" si="4"/>
        <v>0</v>
      </c>
      <c r="U62" s="1539">
        <f t="shared" si="5"/>
        <v>0</v>
      </c>
      <c r="V62" s="1570">
        <f t="shared" si="6"/>
        <v>0</v>
      </c>
    </row>
    <row r="63" spans="1:22" x14ac:dyDescent="0.25">
      <c r="A63" s="1322" t="s">
        <v>1980</v>
      </c>
      <c r="B63" s="1322">
        <v>1231</v>
      </c>
      <c r="C63" s="1198" t="s">
        <v>2010</v>
      </c>
      <c r="D63" s="1198" t="s">
        <v>341</v>
      </c>
      <c r="E63" s="1198" t="s">
        <v>2003</v>
      </c>
      <c r="F63" s="1198">
        <v>123104</v>
      </c>
      <c r="G63" s="1198" t="s">
        <v>354</v>
      </c>
      <c r="H63" s="1198">
        <f>Dataark_til_bilag3_2030[[#This Row],[Staldkode]]+Dataark_til_bilag3_2030[[#This Row],[Dyrekode]]</f>
        <v>124335</v>
      </c>
      <c r="I63" s="1222">
        <v>0</v>
      </c>
      <c r="J63" s="1198" t="s">
        <v>1977</v>
      </c>
      <c r="K63" s="1198"/>
      <c r="L63" s="1540">
        <v>130.5</v>
      </c>
      <c r="M63" s="1198">
        <f t="shared" si="0"/>
        <v>0</v>
      </c>
      <c r="N63" s="1198">
        <v>5.0000000000000001E-3</v>
      </c>
      <c r="O63" s="1198">
        <f t="shared" si="1"/>
        <v>0</v>
      </c>
      <c r="P63" s="1539">
        <f t="shared" si="2"/>
        <v>0</v>
      </c>
      <c r="Q63" s="1571">
        <v>7.22E-2</v>
      </c>
      <c r="R63" s="1539">
        <f t="shared" si="3"/>
        <v>0</v>
      </c>
      <c r="S63" s="1198">
        <v>0.01</v>
      </c>
      <c r="T63" s="1539">
        <f t="shared" si="4"/>
        <v>0</v>
      </c>
      <c r="U63" s="1539">
        <f t="shared" si="5"/>
        <v>0</v>
      </c>
      <c r="V63" s="1570">
        <f t="shared" si="6"/>
        <v>0</v>
      </c>
    </row>
    <row r="64" spans="1:22" x14ac:dyDescent="0.25">
      <c r="A64" s="1390" t="s">
        <v>1980</v>
      </c>
      <c r="B64" s="1322">
        <v>1231</v>
      </c>
      <c r="C64" s="1198" t="s">
        <v>2010</v>
      </c>
      <c r="D64" s="1198" t="s">
        <v>341</v>
      </c>
      <c r="E64" s="1198" t="s">
        <v>2002</v>
      </c>
      <c r="F64" s="1198">
        <v>123105</v>
      </c>
      <c r="G64" s="1198" t="s">
        <v>354</v>
      </c>
      <c r="H64" s="1198">
        <f>Dataark_til_bilag3_2030[[#This Row],[Staldkode]]+Dataark_til_bilag3_2030[[#This Row],[Dyrekode]]</f>
        <v>124336</v>
      </c>
      <c r="I64" s="1222">
        <v>0</v>
      </c>
      <c r="J64" s="1198" t="s">
        <v>1977</v>
      </c>
      <c r="K64" s="1198"/>
      <c r="L64" s="1540">
        <v>130.5</v>
      </c>
      <c r="M64" s="1198">
        <f t="shared" si="0"/>
        <v>0</v>
      </c>
      <c r="N64" s="1198">
        <v>5.0000000000000001E-3</v>
      </c>
      <c r="O64" s="1198">
        <f t="shared" si="1"/>
        <v>0</v>
      </c>
      <c r="P64" s="1539">
        <f t="shared" si="2"/>
        <v>0</v>
      </c>
      <c r="Q64" s="1571">
        <v>7.22E-2</v>
      </c>
      <c r="R64" s="1539">
        <f t="shared" si="3"/>
        <v>0</v>
      </c>
      <c r="S64" s="1198">
        <v>0.01</v>
      </c>
      <c r="T64" s="1539">
        <f t="shared" si="4"/>
        <v>0</v>
      </c>
      <c r="U64" s="1539">
        <f t="shared" si="5"/>
        <v>0</v>
      </c>
      <c r="V64" s="1570">
        <f t="shared" si="6"/>
        <v>0</v>
      </c>
    </row>
    <row r="65" spans="1:22" x14ac:dyDescent="0.25">
      <c r="A65" s="1390" t="s">
        <v>1980</v>
      </c>
      <c r="B65" s="1322">
        <v>1231</v>
      </c>
      <c r="C65" s="1198" t="s">
        <v>2010</v>
      </c>
      <c r="D65" s="1198" t="s">
        <v>341</v>
      </c>
      <c r="E65" s="1198" t="s">
        <v>2006</v>
      </c>
      <c r="F65" s="1198">
        <v>123106</v>
      </c>
      <c r="G65" s="1198" t="s">
        <v>350</v>
      </c>
      <c r="H65" s="1198">
        <f>Dataark_til_bilag3_2030[[#This Row],[Staldkode]]+Dataark_til_bilag3_2030[[#This Row],[Dyrekode]]</f>
        <v>124337</v>
      </c>
      <c r="I65" s="1222">
        <v>0</v>
      </c>
      <c r="J65" s="1198"/>
      <c r="K65" s="1198" t="s">
        <v>350</v>
      </c>
      <c r="L65" s="1540">
        <v>130.5</v>
      </c>
      <c r="M65" s="1198">
        <f t="shared" si="0"/>
        <v>0</v>
      </c>
      <c r="N65" s="1198">
        <v>0.01</v>
      </c>
      <c r="O65" s="1198">
        <f t="shared" si="1"/>
        <v>0</v>
      </c>
      <c r="P65" s="1539">
        <f t="shared" si="2"/>
        <v>0</v>
      </c>
      <c r="Q65" s="1571">
        <v>7.22E-2</v>
      </c>
      <c r="R65" s="1539">
        <f t="shared" si="3"/>
        <v>0</v>
      </c>
      <c r="S65" s="1198">
        <v>0.01</v>
      </c>
      <c r="T65" s="1539">
        <f t="shared" si="4"/>
        <v>0</v>
      </c>
      <c r="U65" s="1539">
        <f t="shared" si="5"/>
        <v>0</v>
      </c>
      <c r="V65" s="1570">
        <f t="shared" si="6"/>
        <v>0</v>
      </c>
    </row>
    <row r="66" spans="1:22" x14ac:dyDescent="0.25">
      <c r="A66" s="1390" t="s">
        <v>1980</v>
      </c>
      <c r="B66" s="1322">
        <v>1231</v>
      </c>
      <c r="C66" s="1198" t="s">
        <v>2010</v>
      </c>
      <c r="D66" s="1198" t="s">
        <v>341</v>
      </c>
      <c r="E66" s="1198" t="s">
        <v>1985</v>
      </c>
      <c r="F66" s="1198">
        <v>123107</v>
      </c>
      <c r="G66" s="1198" t="s">
        <v>350</v>
      </c>
      <c r="H66" s="1198">
        <f>Dataark_til_bilag3_2030[[#This Row],[Staldkode]]+Dataark_til_bilag3_2030[[#This Row],[Dyrekode]]</f>
        <v>124338</v>
      </c>
      <c r="I66" s="1222">
        <v>0</v>
      </c>
      <c r="J66" s="1198" t="s">
        <v>1977</v>
      </c>
      <c r="K66" s="1198"/>
      <c r="L66" s="1540">
        <v>130.5</v>
      </c>
      <c r="M66" s="1198">
        <f t="shared" si="0"/>
        <v>0</v>
      </c>
      <c r="N66" s="1198">
        <v>5.0000000000000001E-3</v>
      </c>
      <c r="O66" s="1198">
        <f t="shared" si="1"/>
        <v>0</v>
      </c>
      <c r="P66" s="1539">
        <f t="shared" si="2"/>
        <v>0</v>
      </c>
      <c r="Q66" s="1571">
        <v>7.22E-2</v>
      </c>
      <c r="R66" s="1539">
        <f t="shared" si="3"/>
        <v>0</v>
      </c>
      <c r="S66" s="1198">
        <v>0.01</v>
      </c>
      <c r="T66" s="1539">
        <f t="shared" si="4"/>
        <v>0</v>
      </c>
      <c r="U66" s="1539">
        <f t="shared" si="5"/>
        <v>0</v>
      </c>
      <c r="V66" s="1570">
        <f t="shared" si="6"/>
        <v>0</v>
      </c>
    </row>
    <row r="67" spans="1:22" x14ac:dyDescent="0.25">
      <c r="A67" s="1390" t="s">
        <v>1980</v>
      </c>
      <c r="B67" s="1322">
        <v>1231</v>
      </c>
      <c r="C67" s="1198" t="s">
        <v>2010</v>
      </c>
      <c r="D67" s="1198" t="s">
        <v>341</v>
      </c>
      <c r="E67" s="1198" t="s">
        <v>1984</v>
      </c>
      <c r="F67" s="1198">
        <v>123108</v>
      </c>
      <c r="G67" s="1198" t="s">
        <v>350</v>
      </c>
      <c r="H67" s="1198">
        <f>Dataark_til_bilag3_2030[[#This Row],[Staldkode]]+Dataark_til_bilag3_2030[[#This Row],[Dyrekode]]</f>
        <v>124339</v>
      </c>
      <c r="I67" s="1222">
        <v>0</v>
      </c>
      <c r="J67" s="1198" t="s">
        <v>1977</v>
      </c>
      <c r="K67" s="1198"/>
      <c r="L67" s="1540">
        <v>130.5</v>
      </c>
      <c r="M67" s="1198">
        <f t="shared" si="0"/>
        <v>0</v>
      </c>
      <c r="N67" s="1198">
        <v>5.0000000000000001E-3</v>
      </c>
      <c r="O67" s="1198">
        <f t="shared" si="1"/>
        <v>0</v>
      </c>
      <c r="P67" s="1539">
        <f t="shared" si="2"/>
        <v>0</v>
      </c>
      <c r="Q67" s="1571">
        <v>7.22E-2</v>
      </c>
      <c r="R67" s="1539">
        <f t="shared" si="3"/>
        <v>0</v>
      </c>
      <c r="S67" s="1198">
        <v>0.01</v>
      </c>
      <c r="T67" s="1539">
        <f t="shared" si="4"/>
        <v>0</v>
      </c>
      <c r="U67" s="1539">
        <f t="shared" si="5"/>
        <v>0</v>
      </c>
      <c r="V67" s="1570">
        <f t="shared" si="6"/>
        <v>0</v>
      </c>
    </row>
    <row r="68" spans="1:22" x14ac:dyDescent="0.25">
      <c r="A68" s="1390" t="s">
        <v>1980</v>
      </c>
      <c r="B68" s="1322">
        <v>1231</v>
      </c>
      <c r="C68" s="1198" t="s">
        <v>2010</v>
      </c>
      <c r="D68" s="1198" t="s">
        <v>341</v>
      </c>
      <c r="E68" s="1198" t="s">
        <v>1983</v>
      </c>
      <c r="F68" s="1198">
        <v>123109</v>
      </c>
      <c r="G68" s="1198" t="s">
        <v>350</v>
      </c>
      <c r="H68" s="1198">
        <f>Dataark_til_bilag3_2030[[#This Row],[Staldkode]]+Dataark_til_bilag3_2030[[#This Row],[Dyrekode]]</f>
        <v>124340</v>
      </c>
      <c r="I68" s="1222">
        <v>0</v>
      </c>
      <c r="J68" s="1198" t="s">
        <v>1977</v>
      </c>
      <c r="K68" s="1198"/>
      <c r="L68" s="1540">
        <v>130.5</v>
      </c>
      <c r="M68" s="1198">
        <f t="shared" si="0"/>
        <v>0</v>
      </c>
      <c r="N68" s="1198">
        <v>5.0000000000000001E-3</v>
      </c>
      <c r="O68" s="1198">
        <f t="shared" si="1"/>
        <v>0</v>
      </c>
      <c r="P68" s="1539">
        <f t="shared" si="2"/>
        <v>0</v>
      </c>
      <c r="Q68" s="1571">
        <v>7.22E-2</v>
      </c>
      <c r="R68" s="1539">
        <f t="shared" si="3"/>
        <v>0</v>
      </c>
      <c r="S68" s="1198">
        <v>0.01</v>
      </c>
      <c r="T68" s="1539">
        <f t="shared" si="4"/>
        <v>0</v>
      </c>
      <c r="U68" s="1539">
        <f t="shared" si="5"/>
        <v>0</v>
      </c>
      <c r="V68" s="1570">
        <f t="shared" si="6"/>
        <v>0</v>
      </c>
    </row>
    <row r="69" spans="1:22" x14ac:dyDescent="0.25">
      <c r="A69" s="1390" t="s">
        <v>1980</v>
      </c>
      <c r="B69" s="1322">
        <v>1231</v>
      </c>
      <c r="C69" s="1198" t="s">
        <v>2010</v>
      </c>
      <c r="D69" s="1198" t="s">
        <v>341</v>
      </c>
      <c r="E69" s="1198" t="s">
        <v>1990</v>
      </c>
      <c r="F69" s="1198">
        <v>123114</v>
      </c>
      <c r="G69" s="1198" t="s">
        <v>354</v>
      </c>
      <c r="H69" s="1198">
        <f>Dataark_til_bilag3_2030[[#This Row],[Staldkode]]+Dataark_til_bilag3_2030[[#This Row],[Dyrekode]]</f>
        <v>124345</v>
      </c>
      <c r="I69" s="1222">
        <v>0</v>
      </c>
      <c r="J69" s="1198" t="s">
        <v>1977</v>
      </c>
      <c r="K69" s="1198"/>
      <c r="L69" s="1540">
        <v>130.5</v>
      </c>
      <c r="M69" s="1198">
        <f t="shared" ref="M69:M132" si="7">IFERROR(I69*L69," ")</f>
        <v>0</v>
      </c>
      <c r="N69" s="1198">
        <v>5.0000000000000001E-3</v>
      </c>
      <c r="O69" s="1198">
        <f t="shared" ref="O69:O132" si="8">IFERROR(M69*N69," ")</f>
        <v>0</v>
      </c>
      <c r="P69" s="1539">
        <f t="shared" ref="P69:P132" si="9">IFERROR(O69*44/28," ")</f>
        <v>0</v>
      </c>
      <c r="Q69" s="1571">
        <v>7.22E-2</v>
      </c>
      <c r="R69" s="1539">
        <f t="shared" ref="R69:R132" si="10">IFERROR(M69*Q69," ")</f>
        <v>0</v>
      </c>
      <c r="S69" s="1198">
        <v>0.01</v>
      </c>
      <c r="T69" s="1539">
        <f t="shared" ref="T69:T132" si="11">IFERROR(R69*S69," ")</f>
        <v>0</v>
      </c>
      <c r="U69" s="1539">
        <f t="shared" ref="U69:U132" si="12">IFERROR(T69*44/28,0)</f>
        <v>0</v>
      </c>
      <c r="V69" s="1570">
        <f t="shared" ref="V69:V132" si="13">IFERROR((P69+U69)/1000," ")</f>
        <v>0</v>
      </c>
    </row>
    <row r="70" spans="1:22" x14ac:dyDescent="0.25">
      <c r="A70" s="1390" t="s">
        <v>1980</v>
      </c>
      <c r="B70" s="1322">
        <v>1232</v>
      </c>
      <c r="C70" s="1198" t="s">
        <v>2798</v>
      </c>
      <c r="D70" s="1198" t="s">
        <v>340</v>
      </c>
      <c r="E70" s="1198" t="s">
        <v>2006</v>
      </c>
      <c r="F70" s="1198">
        <v>123201</v>
      </c>
      <c r="G70" s="1198" t="s">
        <v>350</v>
      </c>
      <c r="H70" s="1198">
        <f>Dataark_til_bilag3_2030[[#This Row],[Staldkode]]+Dataark_til_bilag3_2030[[#This Row],[Dyrekode]]</f>
        <v>124433</v>
      </c>
      <c r="I70" s="1222">
        <v>5.97</v>
      </c>
      <c r="J70" s="1198"/>
      <c r="K70" s="1198" t="s">
        <v>350</v>
      </c>
      <c r="L70" s="1540">
        <v>20.100000000000001</v>
      </c>
      <c r="M70" s="1198">
        <f t="shared" si="7"/>
        <v>119.997</v>
      </c>
      <c r="N70" s="1198">
        <v>0.01</v>
      </c>
      <c r="O70" s="1198">
        <f t="shared" si="8"/>
        <v>1.19997</v>
      </c>
      <c r="P70" s="1539">
        <f t="shared" si="9"/>
        <v>1.8856671428571428</v>
      </c>
      <c r="Q70" s="1571">
        <v>9.7299999999999998E-2</v>
      </c>
      <c r="R70" s="1539">
        <f t="shared" si="10"/>
        <v>11.6757081</v>
      </c>
      <c r="S70" s="1198">
        <v>0.01</v>
      </c>
      <c r="T70" s="1539">
        <f t="shared" si="11"/>
        <v>0.116757081</v>
      </c>
      <c r="U70" s="1539">
        <f t="shared" si="12"/>
        <v>0.183475413</v>
      </c>
      <c r="V70" s="1570">
        <f t="shared" si="13"/>
        <v>2.0691425558571428E-3</v>
      </c>
    </row>
    <row r="71" spans="1:22" x14ac:dyDescent="0.25">
      <c r="A71" s="1390" t="s">
        <v>1980</v>
      </c>
      <c r="B71" s="1322">
        <v>1232</v>
      </c>
      <c r="C71" s="1198" t="s">
        <v>2798</v>
      </c>
      <c r="D71" s="1198" t="s">
        <v>340</v>
      </c>
      <c r="E71" s="1198" t="s">
        <v>2004</v>
      </c>
      <c r="F71" s="1198">
        <v>123202</v>
      </c>
      <c r="G71" s="1198" t="s">
        <v>350</v>
      </c>
      <c r="H71" s="1198">
        <f>Dataark_til_bilag3_2030[[#This Row],[Staldkode]]+Dataark_til_bilag3_2030[[#This Row],[Dyrekode]]</f>
        <v>124434</v>
      </c>
      <c r="I71" s="1222">
        <v>0</v>
      </c>
      <c r="J71" s="1198"/>
      <c r="K71" s="1198" t="s">
        <v>350</v>
      </c>
      <c r="L71" s="1540">
        <v>20.100000000000001</v>
      </c>
      <c r="M71" s="1198">
        <f t="shared" si="7"/>
        <v>0</v>
      </c>
      <c r="N71" s="1198">
        <v>0.01</v>
      </c>
      <c r="O71" s="1198">
        <f t="shared" si="8"/>
        <v>0</v>
      </c>
      <c r="P71" s="1539">
        <f t="shared" si="9"/>
        <v>0</v>
      </c>
      <c r="Q71" s="1571">
        <v>9.7299999999999998E-2</v>
      </c>
      <c r="R71" s="1539">
        <f t="shared" si="10"/>
        <v>0</v>
      </c>
      <c r="S71" s="1198">
        <v>0.01</v>
      </c>
      <c r="T71" s="1539">
        <f t="shared" si="11"/>
        <v>0</v>
      </c>
      <c r="U71" s="1539">
        <f t="shared" si="12"/>
        <v>0</v>
      </c>
      <c r="V71" s="1570">
        <f t="shared" si="13"/>
        <v>0</v>
      </c>
    </row>
    <row r="72" spans="1:22" x14ac:dyDescent="0.25">
      <c r="A72" s="1390" t="s">
        <v>1980</v>
      </c>
      <c r="B72" s="1322">
        <v>1233</v>
      </c>
      <c r="C72" s="1198" t="s">
        <v>2791</v>
      </c>
      <c r="D72" s="1198" t="s">
        <v>336</v>
      </c>
      <c r="E72" s="1198" t="s">
        <v>1989</v>
      </c>
      <c r="F72" s="1198">
        <v>123301</v>
      </c>
      <c r="G72" s="1198" t="s">
        <v>639</v>
      </c>
      <c r="H72" s="1198">
        <f>Dataark_til_bilag3_2030[[#This Row],[Staldkode]]+Dataark_til_bilag3_2030[[#This Row],[Dyrekode]]</f>
        <v>124534</v>
      </c>
      <c r="I72" s="1222">
        <v>0</v>
      </c>
      <c r="J72" s="1198" t="s">
        <v>1903</v>
      </c>
      <c r="K72" s="1198"/>
      <c r="L72" s="1540">
        <v>37.9</v>
      </c>
      <c r="M72" s="1198">
        <f t="shared" si="7"/>
        <v>0</v>
      </c>
      <c r="N72" s="1198">
        <v>5.0000000000000001E-3</v>
      </c>
      <c r="O72" s="1198">
        <f t="shared" si="8"/>
        <v>0</v>
      </c>
      <c r="P72" s="1539">
        <f t="shared" si="9"/>
        <v>0</v>
      </c>
      <c r="Q72" s="1571">
        <v>9.7299999999999998E-2</v>
      </c>
      <c r="R72" s="1539">
        <f t="shared" si="10"/>
        <v>0</v>
      </c>
      <c r="S72" s="1198">
        <v>0.01</v>
      </c>
      <c r="T72" s="1539">
        <f t="shared" si="11"/>
        <v>0</v>
      </c>
      <c r="U72" s="1539">
        <f t="shared" si="12"/>
        <v>0</v>
      </c>
      <c r="V72" s="1570">
        <f t="shared" si="13"/>
        <v>0</v>
      </c>
    </row>
    <row r="73" spans="1:22" x14ac:dyDescent="0.25">
      <c r="A73" s="1390" t="s">
        <v>1980</v>
      </c>
      <c r="B73" s="1322">
        <v>1233</v>
      </c>
      <c r="C73" s="1198" t="s">
        <v>2791</v>
      </c>
      <c r="D73" s="1198" t="s">
        <v>336</v>
      </c>
      <c r="E73" s="1198" t="s">
        <v>1988</v>
      </c>
      <c r="F73" s="1198">
        <v>123302</v>
      </c>
      <c r="G73" s="1198" t="s">
        <v>639</v>
      </c>
      <c r="H73" s="1198">
        <f>Dataark_til_bilag3_2030[[#This Row],[Staldkode]]+Dataark_til_bilag3_2030[[#This Row],[Dyrekode]]</f>
        <v>124535</v>
      </c>
      <c r="I73" s="1222">
        <v>0</v>
      </c>
      <c r="J73" s="1198" t="s">
        <v>1977</v>
      </c>
      <c r="K73" s="1198"/>
      <c r="L73" s="1540">
        <v>37.9</v>
      </c>
      <c r="M73" s="1198">
        <f t="shared" si="7"/>
        <v>0</v>
      </c>
      <c r="N73" s="1198">
        <v>5.0000000000000001E-3</v>
      </c>
      <c r="O73" s="1198">
        <f t="shared" si="8"/>
        <v>0</v>
      </c>
      <c r="P73" s="1539">
        <f t="shared" si="9"/>
        <v>0</v>
      </c>
      <c r="Q73" s="1571">
        <v>9.7299999999999998E-2</v>
      </c>
      <c r="R73" s="1539">
        <f t="shared" si="10"/>
        <v>0</v>
      </c>
      <c r="S73" s="1198">
        <v>0.01</v>
      </c>
      <c r="T73" s="1539">
        <f t="shared" si="11"/>
        <v>0</v>
      </c>
      <c r="U73" s="1539">
        <f t="shared" si="12"/>
        <v>0</v>
      </c>
      <c r="V73" s="1570">
        <f t="shared" si="13"/>
        <v>0</v>
      </c>
    </row>
    <row r="74" spans="1:22" x14ac:dyDescent="0.25">
      <c r="A74" s="1390" t="s">
        <v>1980</v>
      </c>
      <c r="B74" s="1322">
        <v>1233</v>
      </c>
      <c r="C74" s="1198" t="s">
        <v>2791</v>
      </c>
      <c r="D74" s="1198" t="s">
        <v>336</v>
      </c>
      <c r="E74" s="1198" t="s">
        <v>1995</v>
      </c>
      <c r="F74" s="1198">
        <v>123303</v>
      </c>
      <c r="G74" s="1198" t="s">
        <v>354</v>
      </c>
      <c r="H74" s="1198">
        <f>Dataark_til_bilag3_2030[[#This Row],[Staldkode]]+Dataark_til_bilag3_2030[[#This Row],[Dyrekode]]</f>
        <v>124536</v>
      </c>
      <c r="I74" s="1222">
        <v>0</v>
      </c>
      <c r="J74" s="1198" t="s">
        <v>1977</v>
      </c>
      <c r="K74" s="1198"/>
      <c r="L74" s="1540">
        <v>37.9</v>
      </c>
      <c r="M74" s="1198">
        <f t="shared" si="7"/>
        <v>0</v>
      </c>
      <c r="N74" s="1198">
        <v>5.0000000000000001E-3</v>
      </c>
      <c r="O74" s="1198">
        <f t="shared" si="8"/>
        <v>0</v>
      </c>
      <c r="P74" s="1539">
        <f t="shared" si="9"/>
        <v>0</v>
      </c>
      <c r="Q74" s="1571">
        <v>9.7299999999999998E-2</v>
      </c>
      <c r="R74" s="1539">
        <f t="shared" si="10"/>
        <v>0</v>
      </c>
      <c r="S74" s="1198">
        <v>0.01</v>
      </c>
      <c r="T74" s="1539">
        <f t="shared" si="11"/>
        <v>0</v>
      </c>
      <c r="U74" s="1539">
        <f t="shared" si="12"/>
        <v>0</v>
      </c>
      <c r="V74" s="1570">
        <f t="shared" si="13"/>
        <v>0</v>
      </c>
    </row>
    <row r="75" spans="1:22" x14ac:dyDescent="0.25">
      <c r="A75" s="1390" t="s">
        <v>1980</v>
      </c>
      <c r="B75" s="1322">
        <v>1233</v>
      </c>
      <c r="C75" s="1198" t="s">
        <v>2791</v>
      </c>
      <c r="D75" s="1198" t="s">
        <v>336</v>
      </c>
      <c r="E75" s="1198" t="s">
        <v>1982</v>
      </c>
      <c r="F75" s="1198">
        <v>123304</v>
      </c>
      <c r="G75" s="1198" t="s">
        <v>354</v>
      </c>
      <c r="H75" s="1198">
        <f>Dataark_til_bilag3_2030[[#This Row],[Staldkode]]+Dataark_til_bilag3_2030[[#This Row],[Dyrekode]]</f>
        <v>124537</v>
      </c>
      <c r="I75" s="1222">
        <v>0</v>
      </c>
      <c r="J75" s="1198" t="s">
        <v>1977</v>
      </c>
      <c r="K75" s="1198"/>
      <c r="L75" s="1540">
        <v>37.9</v>
      </c>
      <c r="M75" s="1198">
        <f t="shared" si="7"/>
        <v>0</v>
      </c>
      <c r="N75" s="1198">
        <v>5.0000000000000001E-3</v>
      </c>
      <c r="O75" s="1198">
        <f t="shared" si="8"/>
        <v>0</v>
      </c>
      <c r="P75" s="1539">
        <f t="shared" si="9"/>
        <v>0</v>
      </c>
      <c r="Q75" s="1571">
        <v>9.7299999999999998E-2</v>
      </c>
      <c r="R75" s="1539">
        <f t="shared" si="10"/>
        <v>0</v>
      </c>
      <c r="S75" s="1198">
        <v>0.01</v>
      </c>
      <c r="T75" s="1539">
        <f t="shared" si="11"/>
        <v>0</v>
      </c>
      <c r="U75" s="1539">
        <f t="shared" si="12"/>
        <v>0</v>
      </c>
      <c r="V75" s="1570">
        <f t="shared" si="13"/>
        <v>0</v>
      </c>
    </row>
    <row r="76" spans="1:22" x14ac:dyDescent="0.25">
      <c r="A76" s="1390" t="s">
        <v>1980</v>
      </c>
      <c r="B76" s="1322">
        <v>1233</v>
      </c>
      <c r="C76" s="1198" t="s">
        <v>2791</v>
      </c>
      <c r="D76" s="1198" t="s">
        <v>336</v>
      </c>
      <c r="E76" s="1198" t="s">
        <v>1994</v>
      </c>
      <c r="F76" s="1198">
        <v>123305</v>
      </c>
      <c r="G76" s="1198" t="s">
        <v>354</v>
      </c>
      <c r="H76" s="1198">
        <f>Dataark_til_bilag3_2030[[#This Row],[Staldkode]]+Dataark_til_bilag3_2030[[#This Row],[Dyrekode]]</f>
        <v>124538</v>
      </c>
      <c r="I76" s="1222">
        <v>0</v>
      </c>
      <c r="J76" s="1198" t="s">
        <v>1977</v>
      </c>
      <c r="K76" s="1198"/>
      <c r="L76" s="1540">
        <v>37.9</v>
      </c>
      <c r="M76" s="1198">
        <f t="shared" si="7"/>
        <v>0</v>
      </c>
      <c r="N76" s="1198">
        <v>5.0000000000000001E-3</v>
      </c>
      <c r="O76" s="1198">
        <f t="shared" si="8"/>
        <v>0</v>
      </c>
      <c r="P76" s="1539">
        <f t="shared" si="9"/>
        <v>0</v>
      </c>
      <c r="Q76" s="1571">
        <v>9.7299999999999998E-2</v>
      </c>
      <c r="R76" s="1539">
        <f t="shared" si="10"/>
        <v>0</v>
      </c>
      <c r="S76" s="1198">
        <v>0.01</v>
      </c>
      <c r="T76" s="1539">
        <f t="shared" si="11"/>
        <v>0</v>
      </c>
      <c r="U76" s="1539">
        <f t="shared" si="12"/>
        <v>0</v>
      </c>
      <c r="V76" s="1570">
        <f t="shared" si="13"/>
        <v>0</v>
      </c>
    </row>
    <row r="77" spans="1:22" x14ac:dyDescent="0.25">
      <c r="A77" s="1390" t="s">
        <v>1980</v>
      </c>
      <c r="B77" s="1322">
        <v>1233</v>
      </c>
      <c r="C77" s="1198" t="s">
        <v>2791</v>
      </c>
      <c r="D77" s="1198" t="s">
        <v>336</v>
      </c>
      <c r="E77" s="1198" t="s">
        <v>1987</v>
      </c>
      <c r="F77" s="1198">
        <v>123306</v>
      </c>
      <c r="G77" s="1198" t="s">
        <v>350</v>
      </c>
      <c r="H77" s="1198">
        <f>Dataark_til_bilag3_2030[[#This Row],[Staldkode]]+Dataark_til_bilag3_2030[[#This Row],[Dyrekode]]</f>
        <v>124539</v>
      </c>
      <c r="I77" s="1222">
        <v>72.56</v>
      </c>
      <c r="J77" s="1198"/>
      <c r="K77" s="1198" t="s">
        <v>350</v>
      </c>
      <c r="L77" s="1540">
        <v>37.9</v>
      </c>
      <c r="M77" s="1198">
        <f t="shared" si="7"/>
        <v>2750.0239999999999</v>
      </c>
      <c r="N77" s="1198">
        <v>0.01</v>
      </c>
      <c r="O77" s="1198">
        <f t="shared" si="8"/>
        <v>27.500239999999998</v>
      </c>
      <c r="P77" s="1539">
        <f t="shared" si="9"/>
        <v>43.214662857142855</v>
      </c>
      <c r="Q77" s="1571">
        <v>9.7299999999999998E-2</v>
      </c>
      <c r="R77" s="1539">
        <f t="shared" si="10"/>
        <v>267.57733519999999</v>
      </c>
      <c r="S77" s="1198">
        <v>0.01</v>
      </c>
      <c r="T77" s="1539">
        <f t="shared" si="11"/>
        <v>2.6757733519999998</v>
      </c>
      <c r="U77" s="1539">
        <f t="shared" si="12"/>
        <v>4.2047866960000002</v>
      </c>
      <c r="V77" s="1570">
        <f t="shared" si="13"/>
        <v>4.7419449553142853E-2</v>
      </c>
    </row>
    <row r="78" spans="1:22" x14ac:dyDescent="0.25">
      <c r="A78" s="1390" t="s">
        <v>1980</v>
      </c>
      <c r="B78" s="1322">
        <v>1233</v>
      </c>
      <c r="C78" s="1198" t="s">
        <v>2791</v>
      </c>
      <c r="D78" s="1198" t="s">
        <v>336</v>
      </c>
      <c r="E78" s="1198" t="s">
        <v>2008</v>
      </c>
      <c r="F78" s="1198">
        <v>123307</v>
      </c>
      <c r="G78" s="1198" t="s">
        <v>350</v>
      </c>
      <c r="H78" s="1198">
        <f>Dataark_til_bilag3_2030[[#This Row],[Staldkode]]+Dataark_til_bilag3_2030[[#This Row],[Dyrekode]]</f>
        <v>124540</v>
      </c>
      <c r="I78" s="1222">
        <v>0</v>
      </c>
      <c r="J78" s="1198"/>
      <c r="K78" s="1198" t="s">
        <v>350</v>
      </c>
      <c r="L78" s="1540">
        <v>37.9</v>
      </c>
      <c r="M78" s="1198">
        <f t="shared" si="7"/>
        <v>0</v>
      </c>
      <c r="N78" s="1198">
        <v>0.01</v>
      </c>
      <c r="O78" s="1198">
        <f t="shared" si="8"/>
        <v>0</v>
      </c>
      <c r="P78" s="1539">
        <f t="shared" si="9"/>
        <v>0</v>
      </c>
      <c r="Q78" s="1571">
        <v>9.7299999999999998E-2</v>
      </c>
      <c r="R78" s="1539">
        <f t="shared" si="10"/>
        <v>0</v>
      </c>
      <c r="S78" s="1198">
        <v>0.01</v>
      </c>
      <c r="T78" s="1539">
        <f t="shared" si="11"/>
        <v>0</v>
      </c>
      <c r="U78" s="1539">
        <f t="shared" si="12"/>
        <v>0</v>
      </c>
      <c r="V78" s="1570">
        <f t="shared" si="13"/>
        <v>0</v>
      </c>
    </row>
    <row r="79" spans="1:22" x14ac:dyDescent="0.25">
      <c r="A79" s="1390" t="s">
        <v>1980</v>
      </c>
      <c r="B79" s="1322">
        <v>1233</v>
      </c>
      <c r="C79" s="1198" t="s">
        <v>2791</v>
      </c>
      <c r="D79" s="1198" t="s">
        <v>336</v>
      </c>
      <c r="E79" s="1198" t="s">
        <v>1985</v>
      </c>
      <c r="F79" s="1198">
        <v>123308</v>
      </c>
      <c r="G79" s="1198" t="s">
        <v>350</v>
      </c>
      <c r="H79" s="1198">
        <f>Dataark_til_bilag3_2030[[#This Row],[Staldkode]]+Dataark_til_bilag3_2030[[#This Row],[Dyrekode]]</f>
        <v>124541</v>
      </c>
      <c r="I79" s="1222">
        <v>0</v>
      </c>
      <c r="J79" s="1198" t="s">
        <v>1977</v>
      </c>
      <c r="K79" s="1198"/>
      <c r="L79" s="1540">
        <v>37.9</v>
      </c>
      <c r="M79" s="1198">
        <f t="shared" si="7"/>
        <v>0</v>
      </c>
      <c r="N79" s="1198">
        <v>5.0000000000000001E-3</v>
      </c>
      <c r="O79" s="1198">
        <f t="shared" si="8"/>
        <v>0</v>
      </c>
      <c r="P79" s="1539">
        <f t="shared" si="9"/>
        <v>0</v>
      </c>
      <c r="Q79" s="1571">
        <v>9.7299999999999998E-2</v>
      </c>
      <c r="R79" s="1539">
        <f t="shared" si="10"/>
        <v>0</v>
      </c>
      <c r="S79" s="1198">
        <v>0.01</v>
      </c>
      <c r="T79" s="1539">
        <f t="shared" si="11"/>
        <v>0</v>
      </c>
      <c r="U79" s="1539">
        <f t="shared" si="12"/>
        <v>0</v>
      </c>
      <c r="V79" s="1570">
        <f t="shared" si="13"/>
        <v>0</v>
      </c>
    </row>
    <row r="80" spans="1:22" x14ac:dyDescent="0.25">
      <c r="A80" s="1390" t="s">
        <v>1980</v>
      </c>
      <c r="B80" s="1322">
        <v>1233</v>
      </c>
      <c r="C80" s="1198" t="s">
        <v>2791</v>
      </c>
      <c r="D80" s="1198" t="s">
        <v>336</v>
      </c>
      <c r="E80" s="1198" t="s">
        <v>1984</v>
      </c>
      <c r="F80" s="1198">
        <v>123309</v>
      </c>
      <c r="G80" s="1198" t="s">
        <v>350</v>
      </c>
      <c r="H80" s="1198">
        <f>Dataark_til_bilag3_2030[[#This Row],[Staldkode]]+Dataark_til_bilag3_2030[[#This Row],[Dyrekode]]</f>
        <v>124542</v>
      </c>
      <c r="I80" s="1222">
        <v>0</v>
      </c>
      <c r="J80" s="1198" t="s">
        <v>1977</v>
      </c>
      <c r="K80" s="1198"/>
      <c r="L80" s="1540">
        <v>37.9</v>
      </c>
      <c r="M80" s="1198">
        <f t="shared" si="7"/>
        <v>0</v>
      </c>
      <c r="N80" s="1198">
        <v>5.0000000000000001E-3</v>
      </c>
      <c r="O80" s="1198">
        <f t="shared" si="8"/>
        <v>0</v>
      </c>
      <c r="P80" s="1539">
        <f t="shared" si="9"/>
        <v>0</v>
      </c>
      <c r="Q80" s="1571">
        <v>9.7299999999999998E-2</v>
      </c>
      <c r="R80" s="1539">
        <f t="shared" si="10"/>
        <v>0</v>
      </c>
      <c r="S80" s="1198">
        <v>0.01</v>
      </c>
      <c r="T80" s="1539">
        <f t="shared" si="11"/>
        <v>0</v>
      </c>
      <c r="U80" s="1539">
        <f t="shared" si="12"/>
        <v>0</v>
      </c>
      <c r="V80" s="1570">
        <f t="shared" si="13"/>
        <v>0</v>
      </c>
    </row>
    <row r="81" spans="1:22" x14ac:dyDescent="0.25">
      <c r="A81" s="1390" t="s">
        <v>1980</v>
      </c>
      <c r="B81" s="1322">
        <v>1233</v>
      </c>
      <c r="C81" s="1198" t="s">
        <v>2791</v>
      </c>
      <c r="D81" s="1198" t="s">
        <v>336</v>
      </c>
      <c r="E81" s="1198" t="s">
        <v>1983</v>
      </c>
      <c r="F81" s="1198">
        <v>123310</v>
      </c>
      <c r="G81" s="1198" t="s">
        <v>350</v>
      </c>
      <c r="H81" s="1198">
        <f>Dataark_til_bilag3_2030[[#This Row],[Staldkode]]+Dataark_til_bilag3_2030[[#This Row],[Dyrekode]]</f>
        <v>124543</v>
      </c>
      <c r="I81" s="1222">
        <v>0</v>
      </c>
      <c r="J81" s="1198" t="s">
        <v>1977</v>
      </c>
      <c r="K81" s="1198"/>
      <c r="L81" s="1540">
        <v>37.9</v>
      </c>
      <c r="M81" s="1198">
        <f t="shared" si="7"/>
        <v>0</v>
      </c>
      <c r="N81" s="1198">
        <v>5.0000000000000001E-3</v>
      </c>
      <c r="O81" s="1198">
        <f t="shared" si="8"/>
        <v>0</v>
      </c>
      <c r="P81" s="1539">
        <f t="shared" si="9"/>
        <v>0</v>
      </c>
      <c r="Q81" s="1571">
        <v>9.7299999999999998E-2</v>
      </c>
      <c r="R81" s="1539">
        <f t="shared" si="10"/>
        <v>0</v>
      </c>
      <c r="S81" s="1198">
        <v>0.01</v>
      </c>
      <c r="T81" s="1539">
        <f t="shared" si="11"/>
        <v>0</v>
      </c>
      <c r="U81" s="1539">
        <f t="shared" si="12"/>
        <v>0</v>
      </c>
      <c r="V81" s="1570">
        <f t="shared" si="13"/>
        <v>0</v>
      </c>
    </row>
    <row r="82" spans="1:22" x14ac:dyDescent="0.25">
      <c r="A82" s="1390" t="s">
        <v>1980</v>
      </c>
      <c r="B82" s="1322">
        <v>1233</v>
      </c>
      <c r="C82" s="1198" t="s">
        <v>2791</v>
      </c>
      <c r="D82" s="1198" t="s">
        <v>336</v>
      </c>
      <c r="E82" s="1198" t="s">
        <v>1996</v>
      </c>
      <c r="F82" s="1198">
        <v>123312</v>
      </c>
      <c r="G82" s="1198" t="s">
        <v>353</v>
      </c>
      <c r="H82" s="1198">
        <f>Dataark_til_bilag3_2030[[#This Row],[Staldkode]]+Dataark_til_bilag3_2030[[#This Row],[Dyrekode]]</f>
        <v>124545</v>
      </c>
      <c r="I82" s="1222">
        <v>0</v>
      </c>
      <c r="J82" s="1198" t="s">
        <v>1977</v>
      </c>
      <c r="K82" s="1198"/>
      <c r="L82" s="1540">
        <v>37.9</v>
      </c>
      <c r="M82" s="1198">
        <f t="shared" si="7"/>
        <v>0</v>
      </c>
      <c r="N82" s="1198">
        <v>5.0000000000000001E-3</v>
      </c>
      <c r="O82" s="1198">
        <f t="shared" si="8"/>
        <v>0</v>
      </c>
      <c r="P82" s="1539">
        <f t="shared" si="9"/>
        <v>0</v>
      </c>
      <c r="Q82" s="1571">
        <v>9.7299999999999998E-2</v>
      </c>
      <c r="R82" s="1539">
        <f t="shared" si="10"/>
        <v>0</v>
      </c>
      <c r="S82" s="1198">
        <v>0.01</v>
      </c>
      <c r="T82" s="1539">
        <f t="shared" si="11"/>
        <v>0</v>
      </c>
      <c r="U82" s="1539">
        <f t="shared" si="12"/>
        <v>0</v>
      </c>
      <c r="V82" s="1570">
        <f t="shared" si="13"/>
        <v>0</v>
      </c>
    </row>
    <row r="83" spans="1:22" x14ac:dyDescent="0.25">
      <c r="A83" s="1390" t="s">
        <v>1980</v>
      </c>
      <c r="B83" s="1322">
        <v>1233</v>
      </c>
      <c r="C83" s="1198" t="s">
        <v>2791</v>
      </c>
      <c r="D83" s="1198" t="s">
        <v>336</v>
      </c>
      <c r="E83" s="1198" t="s">
        <v>1990</v>
      </c>
      <c r="F83" s="1198">
        <v>123316</v>
      </c>
      <c r="G83" s="1198" t="s">
        <v>354</v>
      </c>
      <c r="H83" s="1198">
        <f>Dataark_til_bilag3_2030[[#This Row],[Staldkode]]+Dataark_til_bilag3_2030[[#This Row],[Dyrekode]]</f>
        <v>124549</v>
      </c>
      <c r="I83" s="1222">
        <v>0</v>
      </c>
      <c r="J83" s="1198" t="s">
        <v>1977</v>
      </c>
      <c r="K83" s="1198"/>
      <c r="L83" s="1540">
        <v>37.9</v>
      </c>
      <c r="M83" s="1198">
        <f t="shared" si="7"/>
        <v>0</v>
      </c>
      <c r="N83" s="1198">
        <v>5.0000000000000001E-3</v>
      </c>
      <c r="O83" s="1198">
        <f t="shared" si="8"/>
        <v>0</v>
      </c>
      <c r="P83" s="1539">
        <f t="shared" si="9"/>
        <v>0</v>
      </c>
      <c r="Q83" s="1571">
        <v>9.7299999999999998E-2</v>
      </c>
      <c r="R83" s="1539">
        <f t="shared" si="10"/>
        <v>0</v>
      </c>
      <c r="S83" s="1198">
        <v>0.01</v>
      </c>
      <c r="T83" s="1539">
        <f t="shared" si="11"/>
        <v>0</v>
      </c>
      <c r="U83" s="1539">
        <f t="shared" si="12"/>
        <v>0</v>
      </c>
      <c r="V83" s="1570">
        <f t="shared" si="13"/>
        <v>0</v>
      </c>
    </row>
    <row r="84" spans="1:22" x14ac:dyDescent="0.25">
      <c r="A84" s="1390" t="s">
        <v>1980</v>
      </c>
      <c r="B84" s="1322">
        <v>1234</v>
      </c>
      <c r="C84" s="1198" t="s">
        <v>2795</v>
      </c>
      <c r="D84" s="1198" t="s">
        <v>2794</v>
      </c>
      <c r="E84" s="1198" t="s">
        <v>2006</v>
      </c>
      <c r="F84" s="1198">
        <v>123401</v>
      </c>
      <c r="G84" s="1198" t="s">
        <v>350</v>
      </c>
      <c r="H84" s="1198">
        <f>Dataark_til_bilag3_2030[[#This Row],[Staldkode]]+Dataark_til_bilag3_2030[[#This Row],[Dyrekode]]</f>
        <v>124635</v>
      </c>
      <c r="I84" s="1222">
        <v>8.31</v>
      </c>
      <c r="J84" s="1198"/>
      <c r="K84" s="1198" t="s">
        <v>350</v>
      </c>
      <c r="L84" s="1540">
        <v>9.11</v>
      </c>
      <c r="M84" s="1198">
        <f t="shared" si="7"/>
        <v>75.704099999999997</v>
      </c>
      <c r="N84" s="1198">
        <v>0.01</v>
      </c>
      <c r="O84" s="1198">
        <f t="shared" si="8"/>
        <v>0.75704099999999996</v>
      </c>
      <c r="P84" s="1539">
        <f t="shared" si="9"/>
        <v>1.1896358571428571</v>
      </c>
      <c r="Q84" s="1571">
        <v>9.7299999999999998E-2</v>
      </c>
      <c r="R84" s="1539">
        <f t="shared" si="10"/>
        <v>7.3660089299999996</v>
      </c>
      <c r="S84" s="1198">
        <v>0.01</v>
      </c>
      <c r="T84" s="1539">
        <f t="shared" si="11"/>
        <v>7.3660089299999995E-2</v>
      </c>
      <c r="U84" s="1539">
        <f t="shared" si="12"/>
        <v>0.1157515689</v>
      </c>
      <c r="V84" s="1570">
        <f t="shared" si="13"/>
        <v>1.3053874260428571E-3</v>
      </c>
    </row>
    <row r="85" spans="1:22" x14ac:dyDescent="0.25">
      <c r="A85" s="1390" t="s">
        <v>1980</v>
      </c>
      <c r="B85" s="1322">
        <v>1234</v>
      </c>
      <c r="C85" s="1198" t="s">
        <v>2795</v>
      </c>
      <c r="D85" s="1198" t="s">
        <v>2794</v>
      </c>
      <c r="E85" s="1198" t="s">
        <v>2004</v>
      </c>
      <c r="F85" s="1198">
        <v>123402</v>
      </c>
      <c r="G85" s="1198" t="s">
        <v>350</v>
      </c>
      <c r="H85" s="1198">
        <f>Dataark_til_bilag3_2030[[#This Row],[Staldkode]]+Dataark_til_bilag3_2030[[#This Row],[Dyrekode]]</f>
        <v>124636</v>
      </c>
      <c r="I85" s="1222">
        <v>0</v>
      </c>
      <c r="J85" s="1198"/>
      <c r="K85" s="1198" t="s">
        <v>350</v>
      </c>
      <c r="L85" s="1540">
        <v>9.11</v>
      </c>
      <c r="M85" s="1198">
        <f t="shared" si="7"/>
        <v>0</v>
      </c>
      <c r="N85" s="1198">
        <v>0.01</v>
      </c>
      <c r="O85" s="1198">
        <f t="shared" si="8"/>
        <v>0</v>
      </c>
      <c r="P85" s="1539">
        <f t="shared" si="9"/>
        <v>0</v>
      </c>
      <c r="Q85" s="1571">
        <v>9.7299999999999998E-2</v>
      </c>
      <c r="R85" s="1539">
        <f t="shared" si="10"/>
        <v>0</v>
      </c>
      <c r="S85" s="1198">
        <v>0.01</v>
      </c>
      <c r="T85" s="1539">
        <f t="shared" si="11"/>
        <v>0</v>
      </c>
      <c r="U85" s="1539">
        <f t="shared" si="12"/>
        <v>0</v>
      </c>
      <c r="V85" s="1570">
        <f t="shared" si="13"/>
        <v>0</v>
      </c>
    </row>
    <row r="86" spans="1:22" x14ac:dyDescent="0.25">
      <c r="A86" s="1390" t="s">
        <v>1980</v>
      </c>
      <c r="B86" s="1322">
        <v>1235</v>
      </c>
      <c r="C86" s="1198" t="s">
        <v>2799</v>
      </c>
      <c r="D86" s="1198" t="s">
        <v>2796</v>
      </c>
      <c r="E86" s="1198" t="s">
        <v>1989</v>
      </c>
      <c r="F86" s="1198">
        <v>123501</v>
      </c>
      <c r="G86" s="1198" t="s">
        <v>639</v>
      </c>
      <c r="H86" s="1198">
        <f>Dataark_til_bilag3_2030[[#This Row],[Staldkode]]+Dataark_til_bilag3_2030[[#This Row],[Dyrekode]]</f>
        <v>124736</v>
      </c>
      <c r="I86" s="1222">
        <v>0</v>
      </c>
      <c r="J86" s="1198" t="s">
        <v>1903</v>
      </c>
      <c r="K86" s="1198"/>
      <c r="L86" s="1540">
        <v>18.399999999999999</v>
      </c>
      <c r="M86" s="1198">
        <f t="shared" si="7"/>
        <v>0</v>
      </c>
      <c r="N86" s="1198">
        <v>5.0000000000000001E-3</v>
      </c>
      <c r="O86" s="1198">
        <f t="shared" si="8"/>
        <v>0</v>
      </c>
      <c r="P86" s="1539">
        <f t="shared" si="9"/>
        <v>0</v>
      </c>
      <c r="Q86" s="1571">
        <v>9.7299999999999998E-2</v>
      </c>
      <c r="R86" s="1539">
        <f t="shared" si="10"/>
        <v>0</v>
      </c>
      <c r="S86" s="1198">
        <v>0.01</v>
      </c>
      <c r="T86" s="1539">
        <f t="shared" si="11"/>
        <v>0</v>
      </c>
      <c r="U86" s="1539">
        <f t="shared" si="12"/>
        <v>0</v>
      </c>
      <c r="V86" s="1570">
        <f t="shared" si="13"/>
        <v>0</v>
      </c>
    </row>
    <row r="87" spans="1:22" x14ac:dyDescent="0.25">
      <c r="A87" s="1390" t="s">
        <v>1980</v>
      </c>
      <c r="B87" s="1322">
        <v>1235</v>
      </c>
      <c r="C87" s="1198" t="s">
        <v>2799</v>
      </c>
      <c r="D87" s="1198" t="s">
        <v>2796</v>
      </c>
      <c r="E87" s="1198" t="s">
        <v>1988</v>
      </c>
      <c r="F87" s="1198">
        <v>123502</v>
      </c>
      <c r="G87" s="1198" t="s">
        <v>639</v>
      </c>
      <c r="H87" s="1198">
        <f>Dataark_til_bilag3_2030[[#This Row],[Staldkode]]+Dataark_til_bilag3_2030[[#This Row],[Dyrekode]]</f>
        <v>124737</v>
      </c>
      <c r="I87" s="1222">
        <v>0</v>
      </c>
      <c r="J87" s="1198" t="s">
        <v>1977</v>
      </c>
      <c r="K87" s="1198"/>
      <c r="L87" s="1540">
        <v>18.399999999999999</v>
      </c>
      <c r="M87" s="1198">
        <f t="shared" si="7"/>
        <v>0</v>
      </c>
      <c r="N87" s="1198">
        <v>5.0000000000000001E-3</v>
      </c>
      <c r="O87" s="1198">
        <f t="shared" si="8"/>
        <v>0</v>
      </c>
      <c r="P87" s="1539">
        <f t="shared" si="9"/>
        <v>0</v>
      </c>
      <c r="Q87" s="1571">
        <v>9.7299999999999998E-2</v>
      </c>
      <c r="R87" s="1539">
        <f t="shared" si="10"/>
        <v>0</v>
      </c>
      <c r="S87" s="1198">
        <v>0.01</v>
      </c>
      <c r="T87" s="1539">
        <f t="shared" si="11"/>
        <v>0</v>
      </c>
      <c r="U87" s="1539">
        <f t="shared" si="12"/>
        <v>0</v>
      </c>
      <c r="V87" s="1570">
        <f t="shared" si="13"/>
        <v>0</v>
      </c>
    </row>
    <row r="88" spans="1:22" x14ac:dyDescent="0.25">
      <c r="A88" s="1390" t="s">
        <v>1980</v>
      </c>
      <c r="B88" s="1322">
        <v>1235</v>
      </c>
      <c r="C88" s="1198" t="s">
        <v>2799</v>
      </c>
      <c r="D88" s="1198" t="s">
        <v>2796</v>
      </c>
      <c r="E88" s="1198" t="s">
        <v>1987</v>
      </c>
      <c r="F88" s="1198">
        <v>123503</v>
      </c>
      <c r="G88" s="1198" t="s">
        <v>350</v>
      </c>
      <c r="H88" s="1198">
        <f>Dataark_til_bilag3_2030[[#This Row],[Staldkode]]+Dataark_til_bilag3_2030[[#This Row],[Dyrekode]]</f>
        <v>124738</v>
      </c>
      <c r="I88" s="1222">
        <v>31.85</v>
      </c>
      <c r="J88" s="1198"/>
      <c r="K88" s="1198" t="s">
        <v>350</v>
      </c>
      <c r="L88" s="1540">
        <v>18.399999999999999</v>
      </c>
      <c r="M88" s="1198">
        <f t="shared" si="7"/>
        <v>586.04</v>
      </c>
      <c r="N88" s="1198">
        <v>0.01</v>
      </c>
      <c r="O88" s="1198">
        <f t="shared" si="8"/>
        <v>5.8603999999999994</v>
      </c>
      <c r="P88" s="1539">
        <f t="shared" si="9"/>
        <v>9.2091999999999992</v>
      </c>
      <c r="Q88" s="1571">
        <v>9.7299999999999998E-2</v>
      </c>
      <c r="R88" s="1539">
        <f t="shared" si="10"/>
        <v>57.021691999999994</v>
      </c>
      <c r="S88" s="1198">
        <v>0.01</v>
      </c>
      <c r="T88" s="1539">
        <f t="shared" si="11"/>
        <v>0.5702169199999999</v>
      </c>
      <c r="U88" s="1539">
        <f t="shared" si="12"/>
        <v>0.89605515999999985</v>
      </c>
      <c r="V88" s="1570">
        <f t="shared" si="13"/>
        <v>1.0105255159999998E-2</v>
      </c>
    </row>
    <row r="89" spans="1:22" x14ac:dyDescent="0.25">
      <c r="A89" s="1390" t="s">
        <v>1980</v>
      </c>
      <c r="B89" s="1322">
        <v>1235</v>
      </c>
      <c r="C89" s="1198" t="s">
        <v>2799</v>
      </c>
      <c r="D89" s="1198" t="s">
        <v>2796</v>
      </c>
      <c r="E89" s="1198" t="s">
        <v>2000</v>
      </c>
      <c r="F89" s="1198">
        <v>123504</v>
      </c>
      <c r="G89" s="1198" t="s">
        <v>350</v>
      </c>
      <c r="H89" s="1198">
        <f>Dataark_til_bilag3_2030[[#This Row],[Staldkode]]+Dataark_til_bilag3_2030[[#This Row],[Dyrekode]]</f>
        <v>124739</v>
      </c>
      <c r="I89" s="1222">
        <v>0</v>
      </c>
      <c r="J89" s="1198"/>
      <c r="K89" s="1198" t="s">
        <v>350</v>
      </c>
      <c r="L89" s="1540">
        <v>18.399999999999999</v>
      </c>
      <c r="M89" s="1198">
        <f t="shared" si="7"/>
        <v>0</v>
      </c>
      <c r="N89" s="1198">
        <v>0.01</v>
      </c>
      <c r="O89" s="1198">
        <f t="shared" si="8"/>
        <v>0</v>
      </c>
      <c r="P89" s="1539">
        <f t="shared" si="9"/>
        <v>0</v>
      </c>
      <c r="Q89" s="1571">
        <v>9.7299999999999998E-2</v>
      </c>
      <c r="R89" s="1539">
        <f t="shared" si="10"/>
        <v>0</v>
      </c>
      <c r="S89" s="1198">
        <v>0.01</v>
      </c>
      <c r="T89" s="1539">
        <f t="shared" si="11"/>
        <v>0</v>
      </c>
      <c r="U89" s="1539">
        <f t="shared" si="12"/>
        <v>0</v>
      </c>
      <c r="V89" s="1570">
        <f t="shared" si="13"/>
        <v>0</v>
      </c>
    </row>
    <row r="90" spans="1:22" x14ac:dyDescent="0.25">
      <c r="A90" s="1390" t="s">
        <v>1980</v>
      </c>
      <c r="B90" s="1322">
        <v>1235</v>
      </c>
      <c r="C90" s="1198" t="s">
        <v>2799</v>
      </c>
      <c r="D90" s="1198" t="s">
        <v>2796</v>
      </c>
      <c r="E90" s="1198" t="s">
        <v>1999</v>
      </c>
      <c r="F90" s="1198">
        <v>123505</v>
      </c>
      <c r="G90" s="1198" t="s">
        <v>350</v>
      </c>
      <c r="H90" s="1198">
        <f>Dataark_til_bilag3_2030[[#This Row],[Staldkode]]+Dataark_til_bilag3_2030[[#This Row],[Dyrekode]]</f>
        <v>124740</v>
      </c>
      <c r="I90" s="1222">
        <v>0</v>
      </c>
      <c r="J90" s="1198" t="s">
        <v>1977</v>
      </c>
      <c r="K90" s="1198"/>
      <c r="L90" s="1540">
        <v>18.399999999999999</v>
      </c>
      <c r="M90" s="1198">
        <f t="shared" si="7"/>
        <v>0</v>
      </c>
      <c r="N90" s="1198">
        <v>5.0000000000000001E-3</v>
      </c>
      <c r="O90" s="1198">
        <f t="shared" si="8"/>
        <v>0</v>
      </c>
      <c r="P90" s="1539">
        <f t="shared" si="9"/>
        <v>0</v>
      </c>
      <c r="Q90" s="1571">
        <v>9.7299999999999998E-2</v>
      </c>
      <c r="R90" s="1539">
        <f t="shared" si="10"/>
        <v>0</v>
      </c>
      <c r="S90" s="1198">
        <v>0.01</v>
      </c>
      <c r="T90" s="1539">
        <f t="shared" si="11"/>
        <v>0</v>
      </c>
      <c r="U90" s="1539">
        <f t="shared" si="12"/>
        <v>0</v>
      </c>
      <c r="V90" s="1570">
        <f t="shared" si="13"/>
        <v>0</v>
      </c>
    </row>
    <row r="91" spans="1:22" x14ac:dyDescent="0.25">
      <c r="A91" s="1390" t="s">
        <v>1980</v>
      </c>
      <c r="B91" s="1322">
        <v>1235</v>
      </c>
      <c r="C91" s="1198" t="s">
        <v>2799</v>
      </c>
      <c r="D91" s="1198" t="s">
        <v>2796</v>
      </c>
      <c r="E91" s="1198" t="s">
        <v>1998</v>
      </c>
      <c r="F91" s="1198">
        <v>123506</v>
      </c>
      <c r="G91" s="1198" t="s">
        <v>350</v>
      </c>
      <c r="H91" s="1198">
        <f>Dataark_til_bilag3_2030[[#This Row],[Staldkode]]+Dataark_til_bilag3_2030[[#This Row],[Dyrekode]]</f>
        <v>124741</v>
      </c>
      <c r="I91" s="1222">
        <v>0</v>
      </c>
      <c r="J91" s="1198" t="s">
        <v>1977</v>
      </c>
      <c r="K91" s="1198"/>
      <c r="L91" s="1540">
        <v>18.399999999999999</v>
      </c>
      <c r="M91" s="1198">
        <f t="shared" si="7"/>
        <v>0</v>
      </c>
      <c r="N91" s="1198">
        <v>5.0000000000000001E-3</v>
      </c>
      <c r="O91" s="1198">
        <f t="shared" si="8"/>
        <v>0</v>
      </c>
      <c r="P91" s="1539">
        <f t="shared" si="9"/>
        <v>0</v>
      </c>
      <c r="Q91" s="1571">
        <v>9.7299999999999998E-2</v>
      </c>
      <c r="R91" s="1539">
        <f t="shared" si="10"/>
        <v>0</v>
      </c>
      <c r="S91" s="1198">
        <v>0.01</v>
      </c>
      <c r="T91" s="1539">
        <f t="shared" si="11"/>
        <v>0</v>
      </c>
      <c r="U91" s="1539">
        <f t="shared" si="12"/>
        <v>0</v>
      </c>
      <c r="V91" s="1570">
        <f t="shared" si="13"/>
        <v>0</v>
      </c>
    </row>
    <row r="92" spans="1:22" x14ac:dyDescent="0.25">
      <c r="A92" s="1390" t="s">
        <v>1980</v>
      </c>
      <c r="B92" s="1322">
        <v>1235</v>
      </c>
      <c r="C92" s="1198" t="s">
        <v>2799</v>
      </c>
      <c r="D92" s="1198" t="s">
        <v>2796</v>
      </c>
      <c r="E92" s="1198" t="s">
        <v>1997</v>
      </c>
      <c r="F92" s="1198">
        <v>123507</v>
      </c>
      <c r="G92" s="1198" t="s">
        <v>350</v>
      </c>
      <c r="H92" s="1198">
        <f>Dataark_til_bilag3_2030[[#This Row],[Staldkode]]+Dataark_til_bilag3_2030[[#This Row],[Dyrekode]]</f>
        <v>124742</v>
      </c>
      <c r="I92" s="1222">
        <v>0</v>
      </c>
      <c r="J92" s="1198" t="s">
        <v>1977</v>
      </c>
      <c r="K92" s="1198"/>
      <c r="L92" s="1540">
        <v>18.399999999999999</v>
      </c>
      <c r="M92" s="1198">
        <f t="shared" si="7"/>
        <v>0</v>
      </c>
      <c r="N92" s="1198">
        <v>5.0000000000000001E-3</v>
      </c>
      <c r="O92" s="1198">
        <f t="shared" si="8"/>
        <v>0</v>
      </c>
      <c r="P92" s="1539">
        <f t="shared" si="9"/>
        <v>0</v>
      </c>
      <c r="Q92" s="1571">
        <v>9.7299999999999998E-2</v>
      </c>
      <c r="R92" s="1539">
        <f t="shared" si="10"/>
        <v>0</v>
      </c>
      <c r="S92" s="1198">
        <v>0.01</v>
      </c>
      <c r="T92" s="1539">
        <f t="shared" si="11"/>
        <v>0</v>
      </c>
      <c r="U92" s="1539">
        <f t="shared" si="12"/>
        <v>0</v>
      </c>
      <c r="V92" s="1570">
        <f t="shared" si="13"/>
        <v>0</v>
      </c>
    </row>
    <row r="93" spans="1:22" x14ac:dyDescent="0.25">
      <c r="A93" s="1390" t="s">
        <v>1980</v>
      </c>
      <c r="B93" s="1322">
        <v>1235</v>
      </c>
      <c r="C93" s="1198" t="s">
        <v>2799</v>
      </c>
      <c r="D93" s="1198" t="s">
        <v>2796</v>
      </c>
      <c r="E93" s="1198" t="s">
        <v>1996</v>
      </c>
      <c r="F93" s="1198">
        <v>123509</v>
      </c>
      <c r="G93" s="1198" t="s">
        <v>353</v>
      </c>
      <c r="H93" s="1198">
        <f>Dataark_til_bilag3_2030[[#This Row],[Staldkode]]+Dataark_til_bilag3_2030[[#This Row],[Dyrekode]]</f>
        <v>124744</v>
      </c>
      <c r="I93" s="1222">
        <v>0</v>
      </c>
      <c r="J93" s="1198" t="s">
        <v>1977</v>
      </c>
      <c r="K93" s="1198"/>
      <c r="L93" s="1540">
        <v>18.399999999999999</v>
      </c>
      <c r="M93" s="1198">
        <f t="shared" si="7"/>
        <v>0</v>
      </c>
      <c r="N93" s="1198">
        <v>5.0000000000000001E-3</v>
      </c>
      <c r="O93" s="1198">
        <f t="shared" si="8"/>
        <v>0</v>
      </c>
      <c r="P93" s="1539">
        <f t="shared" si="9"/>
        <v>0</v>
      </c>
      <c r="Q93" s="1571">
        <v>9.7299999999999998E-2</v>
      </c>
      <c r="R93" s="1539">
        <f t="shared" si="10"/>
        <v>0</v>
      </c>
      <c r="S93" s="1198">
        <v>0.01</v>
      </c>
      <c r="T93" s="1539">
        <f t="shared" si="11"/>
        <v>0</v>
      </c>
      <c r="U93" s="1539">
        <f t="shared" si="12"/>
        <v>0</v>
      </c>
      <c r="V93" s="1570">
        <f t="shared" si="13"/>
        <v>0</v>
      </c>
    </row>
    <row r="94" spans="1:22" x14ac:dyDescent="0.25">
      <c r="A94" s="1390" t="s">
        <v>1980</v>
      </c>
      <c r="B94" s="1322">
        <v>1235</v>
      </c>
      <c r="C94" s="1198" t="s">
        <v>2799</v>
      </c>
      <c r="D94" s="1198" t="s">
        <v>2796</v>
      </c>
      <c r="E94" s="1198" t="s">
        <v>1995</v>
      </c>
      <c r="F94" s="1198">
        <v>123513</v>
      </c>
      <c r="G94" s="1198" t="s">
        <v>354</v>
      </c>
      <c r="H94" s="1198">
        <f>Dataark_til_bilag3_2030[[#This Row],[Staldkode]]+Dataark_til_bilag3_2030[[#This Row],[Dyrekode]]</f>
        <v>124748</v>
      </c>
      <c r="I94" s="1222">
        <v>0</v>
      </c>
      <c r="J94" s="1198" t="s">
        <v>1977</v>
      </c>
      <c r="K94" s="1198"/>
      <c r="L94" s="1540">
        <v>18.399999999999999</v>
      </c>
      <c r="M94" s="1198">
        <f t="shared" si="7"/>
        <v>0</v>
      </c>
      <c r="N94" s="1198">
        <v>5.0000000000000001E-3</v>
      </c>
      <c r="O94" s="1198">
        <f t="shared" si="8"/>
        <v>0</v>
      </c>
      <c r="P94" s="1539">
        <f t="shared" si="9"/>
        <v>0</v>
      </c>
      <c r="Q94" s="1571">
        <v>9.7299999999999998E-2</v>
      </c>
      <c r="R94" s="1539">
        <f t="shared" si="10"/>
        <v>0</v>
      </c>
      <c r="S94" s="1198">
        <v>0.01</v>
      </c>
      <c r="T94" s="1539">
        <f t="shared" si="11"/>
        <v>0</v>
      </c>
      <c r="U94" s="1539">
        <f t="shared" si="12"/>
        <v>0</v>
      </c>
      <c r="V94" s="1570">
        <f t="shared" si="13"/>
        <v>0</v>
      </c>
    </row>
    <row r="95" spans="1:22" x14ac:dyDescent="0.25">
      <c r="A95" s="1390" t="s">
        <v>1980</v>
      </c>
      <c r="B95" s="1322">
        <v>1235</v>
      </c>
      <c r="C95" s="1198" t="s">
        <v>2799</v>
      </c>
      <c r="D95" s="1198" t="s">
        <v>2796</v>
      </c>
      <c r="E95" s="1198" t="s">
        <v>2003</v>
      </c>
      <c r="F95" s="1198">
        <v>123514</v>
      </c>
      <c r="G95" s="1198" t="s">
        <v>354</v>
      </c>
      <c r="H95" s="1198">
        <f>Dataark_til_bilag3_2030[[#This Row],[Staldkode]]+Dataark_til_bilag3_2030[[#This Row],[Dyrekode]]</f>
        <v>124749</v>
      </c>
      <c r="I95" s="1222">
        <v>0</v>
      </c>
      <c r="J95" s="1198" t="s">
        <v>1977</v>
      </c>
      <c r="K95" s="1198"/>
      <c r="L95" s="1540">
        <v>18.399999999999999</v>
      </c>
      <c r="M95" s="1198">
        <f t="shared" si="7"/>
        <v>0</v>
      </c>
      <c r="N95" s="1198">
        <v>5.0000000000000001E-3</v>
      </c>
      <c r="O95" s="1198">
        <f t="shared" si="8"/>
        <v>0</v>
      </c>
      <c r="P95" s="1539">
        <f t="shared" si="9"/>
        <v>0</v>
      </c>
      <c r="Q95" s="1571">
        <v>9.7299999999999998E-2</v>
      </c>
      <c r="R95" s="1539">
        <f t="shared" si="10"/>
        <v>0</v>
      </c>
      <c r="S95" s="1198">
        <v>0.01</v>
      </c>
      <c r="T95" s="1539">
        <f t="shared" si="11"/>
        <v>0</v>
      </c>
      <c r="U95" s="1539">
        <f t="shared" si="12"/>
        <v>0</v>
      </c>
      <c r="V95" s="1570">
        <f t="shared" si="13"/>
        <v>0</v>
      </c>
    </row>
    <row r="96" spans="1:22" x14ac:dyDescent="0.25">
      <c r="A96" s="1390" t="s">
        <v>1980</v>
      </c>
      <c r="B96" s="1322">
        <v>1235</v>
      </c>
      <c r="C96" s="1198" t="s">
        <v>2799</v>
      </c>
      <c r="D96" s="1198" t="s">
        <v>2796</v>
      </c>
      <c r="E96" s="1198" t="s">
        <v>2002</v>
      </c>
      <c r="F96" s="1198">
        <v>123515</v>
      </c>
      <c r="G96" s="1198" t="s">
        <v>354</v>
      </c>
      <c r="H96" s="1198">
        <f>Dataark_til_bilag3_2030[[#This Row],[Staldkode]]+Dataark_til_bilag3_2030[[#This Row],[Dyrekode]]</f>
        <v>124750</v>
      </c>
      <c r="I96" s="1222">
        <v>0</v>
      </c>
      <c r="J96" s="1198" t="s">
        <v>1977</v>
      </c>
      <c r="K96" s="1198"/>
      <c r="L96" s="1540">
        <v>18.399999999999999</v>
      </c>
      <c r="M96" s="1198">
        <f t="shared" si="7"/>
        <v>0</v>
      </c>
      <c r="N96" s="1198">
        <v>5.0000000000000001E-3</v>
      </c>
      <c r="O96" s="1198">
        <f t="shared" si="8"/>
        <v>0</v>
      </c>
      <c r="P96" s="1539">
        <f t="shared" si="9"/>
        <v>0</v>
      </c>
      <c r="Q96" s="1571">
        <v>9.7299999999999998E-2</v>
      </c>
      <c r="R96" s="1539">
        <f t="shared" si="10"/>
        <v>0</v>
      </c>
      <c r="S96" s="1198">
        <v>0.01</v>
      </c>
      <c r="T96" s="1539">
        <f t="shared" si="11"/>
        <v>0</v>
      </c>
      <c r="U96" s="1539">
        <f t="shared" si="12"/>
        <v>0</v>
      </c>
      <c r="V96" s="1570">
        <f t="shared" si="13"/>
        <v>0</v>
      </c>
    </row>
    <row r="97" spans="1:22" x14ac:dyDescent="0.25">
      <c r="A97" s="1390" t="s">
        <v>1980</v>
      </c>
      <c r="B97" s="1322">
        <v>1235</v>
      </c>
      <c r="C97" s="1198" t="s">
        <v>2799</v>
      </c>
      <c r="D97" s="1198" t="s">
        <v>2796</v>
      </c>
      <c r="E97" s="1198" t="s">
        <v>1990</v>
      </c>
      <c r="F97" s="1198">
        <v>123519</v>
      </c>
      <c r="G97" s="1198" t="s">
        <v>354</v>
      </c>
      <c r="H97" s="1198">
        <f>Dataark_til_bilag3_2030[[#This Row],[Staldkode]]+Dataark_til_bilag3_2030[[#This Row],[Dyrekode]]</f>
        <v>124754</v>
      </c>
      <c r="I97" s="1222">
        <v>0</v>
      </c>
      <c r="J97" s="1198" t="s">
        <v>1977</v>
      </c>
      <c r="K97" s="1198"/>
      <c r="L97" s="1540">
        <v>18.399999999999999</v>
      </c>
      <c r="M97" s="1198">
        <f t="shared" si="7"/>
        <v>0</v>
      </c>
      <c r="N97" s="1198">
        <v>5.0000000000000001E-3</v>
      </c>
      <c r="O97" s="1198">
        <f t="shared" si="8"/>
        <v>0</v>
      </c>
      <c r="P97" s="1539">
        <f t="shared" si="9"/>
        <v>0</v>
      </c>
      <c r="Q97" s="1571">
        <v>9.7299999999999998E-2</v>
      </c>
      <c r="R97" s="1539">
        <f t="shared" si="10"/>
        <v>0</v>
      </c>
      <c r="S97" s="1198">
        <v>0.01</v>
      </c>
      <c r="T97" s="1539">
        <f t="shared" si="11"/>
        <v>0</v>
      </c>
      <c r="U97" s="1539">
        <f t="shared" si="12"/>
        <v>0</v>
      </c>
      <c r="V97" s="1570">
        <f t="shared" si="13"/>
        <v>0</v>
      </c>
    </row>
    <row r="98" spans="1:22" x14ac:dyDescent="0.25">
      <c r="A98" s="1390" t="s">
        <v>1980</v>
      </c>
      <c r="B98" s="1322">
        <v>1236</v>
      </c>
      <c r="C98" s="1198" t="s">
        <v>1993</v>
      </c>
      <c r="D98" s="1198" t="s">
        <v>330</v>
      </c>
      <c r="E98" s="1198" t="s">
        <v>1989</v>
      </c>
      <c r="F98" s="1198">
        <v>123601</v>
      </c>
      <c r="G98" s="1198" t="s">
        <v>639</v>
      </c>
      <c r="H98" s="1198">
        <f>Dataark_til_bilag3_2030[[#This Row],[Staldkode]]+Dataark_til_bilag3_2030[[#This Row],[Dyrekode]]</f>
        <v>124837</v>
      </c>
      <c r="I98" s="1222">
        <v>0</v>
      </c>
      <c r="J98" s="1198" t="s">
        <v>1903</v>
      </c>
      <c r="K98" s="1198"/>
      <c r="L98" s="1540">
        <v>37.9</v>
      </c>
      <c r="M98" s="1198">
        <f t="shared" si="7"/>
        <v>0</v>
      </c>
      <c r="N98" s="1198">
        <v>5.0000000000000001E-3</v>
      </c>
      <c r="O98" s="1198">
        <f t="shared" si="8"/>
        <v>0</v>
      </c>
      <c r="P98" s="1539">
        <f t="shared" si="9"/>
        <v>0</v>
      </c>
      <c r="Q98" s="1571">
        <v>9.7299999999999998E-2</v>
      </c>
      <c r="R98" s="1539">
        <f t="shared" si="10"/>
        <v>0</v>
      </c>
      <c r="S98" s="1198">
        <v>0.01</v>
      </c>
      <c r="T98" s="1539">
        <f t="shared" si="11"/>
        <v>0</v>
      </c>
      <c r="U98" s="1539">
        <f t="shared" si="12"/>
        <v>0</v>
      </c>
      <c r="V98" s="1570">
        <f t="shared" si="13"/>
        <v>0</v>
      </c>
    </row>
    <row r="99" spans="1:22" x14ac:dyDescent="0.25">
      <c r="A99" s="1390" t="s">
        <v>1980</v>
      </c>
      <c r="B99" s="1322">
        <v>1236</v>
      </c>
      <c r="C99" s="1198" t="s">
        <v>1993</v>
      </c>
      <c r="D99" s="1198" t="s">
        <v>330</v>
      </c>
      <c r="E99" s="1198" t="s">
        <v>1988</v>
      </c>
      <c r="F99" s="1198">
        <v>123602</v>
      </c>
      <c r="G99" s="1198" t="s">
        <v>639</v>
      </c>
      <c r="H99" s="1198">
        <f>Dataark_til_bilag3_2030[[#This Row],[Staldkode]]+Dataark_til_bilag3_2030[[#This Row],[Dyrekode]]</f>
        <v>124838</v>
      </c>
      <c r="I99" s="1222">
        <v>0</v>
      </c>
      <c r="J99" s="1198" t="s">
        <v>1977</v>
      </c>
      <c r="K99" s="1198" t="s">
        <v>350</v>
      </c>
      <c r="L99" s="1540">
        <v>37.9</v>
      </c>
      <c r="M99" s="1198">
        <f t="shared" si="7"/>
        <v>0</v>
      </c>
      <c r="N99" s="1198">
        <v>5.0000000000000001E-3</v>
      </c>
      <c r="O99" s="1198">
        <f t="shared" si="8"/>
        <v>0</v>
      </c>
      <c r="P99" s="1539">
        <f t="shared" si="9"/>
        <v>0</v>
      </c>
      <c r="Q99" s="1571">
        <v>9.7299999999999998E-2</v>
      </c>
      <c r="R99" s="1539">
        <f t="shared" si="10"/>
        <v>0</v>
      </c>
      <c r="S99" s="1198">
        <v>0.01</v>
      </c>
      <c r="T99" s="1539">
        <f t="shared" si="11"/>
        <v>0</v>
      </c>
      <c r="U99" s="1539">
        <f t="shared" si="12"/>
        <v>0</v>
      </c>
      <c r="V99" s="1570">
        <f t="shared" si="13"/>
        <v>0</v>
      </c>
    </row>
    <row r="100" spans="1:22" x14ac:dyDescent="0.25">
      <c r="A100" s="1390" t="s">
        <v>1980</v>
      </c>
      <c r="B100" s="1322">
        <v>1236</v>
      </c>
      <c r="C100" s="1198" t="s">
        <v>1993</v>
      </c>
      <c r="D100" s="1198" t="s">
        <v>330</v>
      </c>
      <c r="E100" s="1198" t="s">
        <v>1987</v>
      </c>
      <c r="F100" s="1198">
        <v>123603</v>
      </c>
      <c r="G100" s="1198" t="s">
        <v>350</v>
      </c>
      <c r="H100" s="1198">
        <f>Dataark_til_bilag3_2030[[#This Row],[Staldkode]]+Dataark_til_bilag3_2030[[#This Row],[Dyrekode]]</f>
        <v>124839</v>
      </c>
      <c r="I100" s="1222">
        <v>1.07</v>
      </c>
      <c r="J100" s="1198"/>
      <c r="K100" s="1198" t="s">
        <v>350</v>
      </c>
      <c r="L100" s="1540">
        <v>37.9</v>
      </c>
      <c r="M100" s="1198">
        <f t="shared" si="7"/>
        <v>40.553000000000004</v>
      </c>
      <c r="N100" s="1198">
        <v>0.01</v>
      </c>
      <c r="O100" s="1198">
        <f t="shared" si="8"/>
        <v>0.40553000000000006</v>
      </c>
      <c r="P100" s="1539">
        <f t="shared" si="9"/>
        <v>0.63726142857142865</v>
      </c>
      <c r="Q100" s="1571">
        <v>9.7299999999999998E-2</v>
      </c>
      <c r="R100" s="1539">
        <f t="shared" si="10"/>
        <v>3.9458069000000005</v>
      </c>
      <c r="S100" s="1198">
        <v>0.01</v>
      </c>
      <c r="T100" s="1539">
        <f t="shared" si="11"/>
        <v>3.9458069000000005E-2</v>
      </c>
      <c r="U100" s="1539">
        <f t="shared" si="12"/>
        <v>6.2005537000000006E-2</v>
      </c>
      <c r="V100" s="1570">
        <f t="shared" si="13"/>
        <v>6.9926696557142862E-4</v>
      </c>
    </row>
    <row r="101" spans="1:22" x14ac:dyDescent="0.25">
      <c r="A101" s="1390" t="s">
        <v>1980</v>
      </c>
      <c r="B101" s="1322">
        <v>1236</v>
      </c>
      <c r="C101" s="1198" t="s">
        <v>1993</v>
      </c>
      <c r="D101" s="1198" t="s">
        <v>330</v>
      </c>
      <c r="E101" s="1198" t="s">
        <v>2000</v>
      </c>
      <c r="F101" s="1198">
        <v>123604</v>
      </c>
      <c r="G101" s="1198" t="s">
        <v>350</v>
      </c>
      <c r="H101" s="1198">
        <f>Dataark_til_bilag3_2030[[#This Row],[Staldkode]]+Dataark_til_bilag3_2030[[#This Row],[Dyrekode]]</f>
        <v>124840</v>
      </c>
      <c r="I101" s="1222">
        <v>0</v>
      </c>
      <c r="J101" s="1198"/>
      <c r="K101" s="1198" t="s">
        <v>350</v>
      </c>
      <c r="L101" s="1540">
        <v>37.9</v>
      </c>
      <c r="M101" s="1198">
        <f t="shared" si="7"/>
        <v>0</v>
      </c>
      <c r="N101" s="1198">
        <v>0.01</v>
      </c>
      <c r="O101" s="1198">
        <f t="shared" si="8"/>
        <v>0</v>
      </c>
      <c r="P101" s="1539">
        <f t="shared" si="9"/>
        <v>0</v>
      </c>
      <c r="Q101" s="1571">
        <v>9.7299999999999998E-2</v>
      </c>
      <c r="R101" s="1539">
        <f t="shared" si="10"/>
        <v>0</v>
      </c>
      <c r="S101" s="1198">
        <v>0.01</v>
      </c>
      <c r="T101" s="1539">
        <f t="shared" si="11"/>
        <v>0</v>
      </c>
      <c r="U101" s="1539">
        <f t="shared" si="12"/>
        <v>0</v>
      </c>
      <c r="V101" s="1570">
        <f t="shared" si="13"/>
        <v>0</v>
      </c>
    </row>
    <row r="102" spans="1:22" x14ac:dyDescent="0.25">
      <c r="A102" s="1390" t="s">
        <v>1980</v>
      </c>
      <c r="B102" s="1322">
        <v>1236</v>
      </c>
      <c r="C102" s="1198" t="s">
        <v>1993</v>
      </c>
      <c r="D102" s="1198" t="s">
        <v>330</v>
      </c>
      <c r="E102" s="1198" t="s">
        <v>1999</v>
      </c>
      <c r="F102" s="1198">
        <v>123605</v>
      </c>
      <c r="G102" s="1198" t="s">
        <v>350</v>
      </c>
      <c r="H102" s="1198">
        <f>Dataark_til_bilag3_2030[[#This Row],[Staldkode]]+Dataark_til_bilag3_2030[[#This Row],[Dyrekode]]</f>
        <v>124841</v>
      </c>
      <c r="I102" s="1222">
        <v>0</v>
      </c>
      <c r="J102" s="1198" t="s">
        <v>1977</v>
      </c>
      <c r="K102" s="1198" t="s">
        <v>350</v>
      </c>
      <c r="L102" s="1540">
        <v>37.9</v>
      </c>
      <c r="M102" s="1198">
        <f t="shared" si="7"/>
        <v>0</v>
      </c>
      <c r="N102" s="1198">
        <v>5.0000000000000001E-3</v>
      </c>
      <c r="O102" s="1198">
        <f t="shared" si="8"/>
        <v>0</v>
      </c>
      <c r="P102" s="1539">
        <f t="shared" si="9"/>
        <v>0</v>
      </c>
      <c r="Q102" s="1571">
        <v>9.7299999999999998E-2</v>
      </c>
      <c r="R102" s="1539">
        <f t="shared" si="10"/>
        <v>0</v>
      </c>
      <c r="S102" s="1198">
        <v>0.01</v>
      </c>
      <c r="T102" s="1539">
        <f t="shared" si="11"/>
        <v>0</v>
      </c>
      <c r="U102" s="1539">
        <f t="shared" si="12"/>
        <v>0</v>
      </c>
      <c r="V102" s="1570">
        <f t="shared" si="13"/>
        <v>0</v>
      </c>
    </row>
    <row r="103" spans="1:22" x14ac:dyDescent="0.25">
      <c r="A103" s="1575" t="s">
        <v>2792</v>
      </c>
      <c r="B103" s="1543">
        <v>1236</v>
      </c>
      <c r="C103" s="1542" t="s">
        <v>1993</v>
      </c>
      <c r="D103" s="1542" t="s">
        <v>330</v>
      </c>
      <c r="E103" s="1542" t="s">
        <v>1998</v>
      </c>
      <c r="F103" s="1542">
        <v>123606</v>
      </c>
      <c r="G103" s="1542" t="s">
        <v>350</v>
      </c>
      <c r="H103" s="1542">
        <f>Dataark_til_bilag3_2030[[#This Row],[Staldkode]]+Dataark_til_bilag3_2030[[#This Row],[Dyrekode]]</f>
        <v>124842</v>
      </c>
      <c r="I103" s="1222" t="s">
        <v>270</v>
      </c>
      <c r="J103" s="1542" t="s">
        <v>2893</v>
      </c>
      <c r="K103" s="1542"/>
      <c r="L103" s="1540">
        <v>37.9</v>
      </c>
      <c r="M103" s="1198" t="str">
        <f t="shared" si="7"/>
        <v xml:space="preserve"> </v>
      </c>
      <c r="N103" s="1542">
        <v>5.0000000000000001E-3</v>
      </c>
      <c r="O103" s="1198" t="str">
        <f t="shared" si="8"/>
        <v xml:space="preserve"> </v>
      </c>
      <c r="P103" s="1539" t="str">
        <f t="shared" si="9"/>
        <v xml:space="preserve"> </v>
      </c>
      <c r="Q103" s="1571">
        <v>9.7299999999999998E-2</v>
      </c>
      <c r="R103" s="1539" t="str">
        <f t="shared" si="10"/>
        <v xml:space="preserve"> </v>
      </c>
      <c r="S103" s="1198">
        <v>0.01</v>
      </c>
      <c r="T103" s="1539" t="str">
        <f t="shared" si="11"/>
        <v xml:space="preserve"> </v>
      </c>
      <c r="U103" s="1539">
        <f t="shared" si="12"/>
        <v>0</v>
      </c>
      <c r="V103" s="1570" t="str">
        <f t="shared" si="13"/>
        <v xml:space="preserve"> </v>
      </c>
    </row>
    <row r="104" spans="1:22" x14ac:dyDescent="0.25">
      <c r="A104" s="1390" t="s">
        <v>1980</v>
      </c>
      <c r="B104" s="1322">
        <v>1236</v>
      </c>
      <c r="C104" s="1198" t="s">
        <v>1993</v>
      </c>
      <c r="D104" s="1198" t="s">
        <v>330</v>
      </c>
      <c r="E104" s="1198" t="s">
        <v>1997</v>
      </c>
      <c r="F104" s="1198">
        <v>123607</v>
      </c>
      <c r="G104" s="1198" t="s">
        <v>350</v>
      </c>
      <c r="H104" s="1198">
        <f>Dataark_til_bilag3_2030[[#This Row],[Staldkode]]+Dataark_til_bilag3_2030[[#This Row],[Dyrekode]]</f>
        <v>124843</v>
      </c>
      <c r="I104" s="1222">
        <v>0</v>
      </c>
      <c r="J104" s="1198" t="s">
        <v>1977</v>
      </c>
      <c r="K104" s="1198" t="s">
        <v>350</v>
      </c>
      <c r="L104" s="1540">
        <v>37.9</v>
      </c>
      <c r="M104" s="1198">
        <f t="shared" si="7"/>
        <v>0</v>
      </c>
      <c r="N104" s="1198">
        <v>5.0000000000000001E-3</v>
      </c>
      <c r="O104" s="1198">
        <f t="shared" si="8"/>
        <v>0</v>
      </c>
      <c r="P104" s="1539">
        <f t="shared" si="9"/>
        <v>0</v>
      </c>
      <c r="Q104" s="1571">
        <v>9.7299999999999998E-2</v>
      </c>
      <c r="R104" s="1539">
        <f t="shared" si="10"/>
        <v>0</v>
      </c>
      <c r="S104" s="1198">
        <v>0.01</v>
      </c>
      <c r="T104" s="1539">
        <f t="shared" si="11"/>
        <v>0</v>
      </c>
      <c r="U104" s="1539">
        <f t="shared" si="12"/>
        <v>0</v>
      </c>
      <c r="V104" s="1570">
        <f t="shared" si="13"/>
        <v>0</v>
      </c>
    </row>
    <row r="105" spans="1:22" x14ac:dyDescent="0.25">
      <c r="A105" s="1390" t="s">
        <v>1980</v>
      </c>
      <c r="B105" s="1322">
        <v>1236</v>
      </c>
      <c r="C105" s="1198" t="s">
        <v>1993</v>
      </c>
      <c r="D105" s="1198" t="s">
        <v>330</v>
      </c>
      <c r="E105" s="1198" t="s">
        <v>1996</v>
      </c>
      <c r="F105" s="1198">
        <v>123609</v>
      </c>
      <c r="G105" s="1198" t="s">
        <v>353</v>
      </c>
      <c r="H105" s="1198">
        <f>Dataark_til_bilag3_2030[[#This Row],[Staldkode]]+Dataark_til_bilag3_2030[[#This Row],[Dyrekode]]</f>
        <v>124845</v>
      </c>
      <c r="I105" s="1222">
        <v>0</v>
      </c>
      <c r="J105" s="1198" t="s">
        <v>1977</v>
      </c>
      <c r="K105" s="1198"/>
      <c r="L105" s="1540">
        <v>37.9</v>
      </c>
      <c r="M105" s="1198">
        <f t="shared" si="7"/>
        <v>0</v>
      </c>
      <c r="N105" s="1198">
        <v>5.0000000000000001E-3</v>
      </c>
      <c r="O105" s="1198">
        <f t="shared" si="8"/>
        <v>0</v>
      </c>
      <c r="P105" s="1539">
        <f t="shared" si="9"/>
        <v>0</v>
      </c>
      <c r="Q105" s="1571">
        <v>9.7299999999999998E-2</v>
      </c>
      <c r="R105" s="1539">
        <f t="shared" si="10"/>
        <v>0</v>
      </c>
      <c r="S105" s="1198">
        <v>0.01</v>
      </c>
      <c r="T105" s="1539">
        <f t="shared" si="11"/>
        <v>0</v>
      </c>
      <c r="U105" s="1539">
        <f t="shared" si="12"/>
        <v>0</v>
      </c>
      <c r="V105" s="1570">
        <f t="shared" si="13"/>
        <v>0</v>
      </c>
    </row>
    <row r="106" spans="1:22" x14ac:dyDescent="0.25">
      <c r="A106" s="1390" t="s">
        <v>1980</v>
      </c>
      <c r="B106" s="1322">
        <v>1236</v>
      </c>
      <c r="C106" s="1198" t="s">
        <v>1993</v>
      </c>
      <c r="D106" s="1198" t="s">
        <v>330</v>
      </c>
      <c r="E106" s="1198" t="s">
        <v>1995</v>
      </c>
      <c r="F106" s="1198">
        <v>123610</v>
      </c>
      <c r="G106" s="1198" t="s">
        <v>354</v>
      </c>
      <c r="H106" s="1198">
        <f>Dataark_til_bilag3_2030[[#This Row],[Staldkode]]+Dataark_til_bilag3_2030[[#This Row],[Dyrekode]]</f>
        <v>124846</v>
      </c>
      <c r="I106" s="1222">
        <v>0</v>
      </c>
      <c r="J106" s="1198" t="s">
        <v>1977</v>
      </c>
      <c r="K106" s="1198"/>
      <c r="L106" s="1540">
        <v>37.9</v>
      </c>
      <c r="M106" s="1198">
        <f t="shared" si="7"/>
        <v>0</v>
      </c>
      <c r="N106" s="1198">
        <v>5.0000000000000001E-3</v>
      </c>
      <c r="O106" s="1198">
        <f t="shared" si="8"/>
        <v>0</v>
      </c>
      <c r="P106" s="1539">
        <f t="shared" si="9"/>
        <v>0</v>
      </c>
      <c r="Q106" s="1571">
        <v>9.7299999999999998E-2</v>
      </c>
      <c r="R106" s="1539">
        <f t="shared" si="10"/>
        <v>0</v>
      </c>
      <c r="S106" s="1198">
        <v>0.01</v>
      </c>
      <c r="T106" s="1539">
        <f t="shared" si="11"/>
        <v>0</v>
      </c>
      <c r="U106" s="1539">
        <f t="shared" si="12"/>
        <v>0</v>
      </c>
      <c r="V106" s="1570">
        <f t="shared" si="13"/>
        <v>0</v>
      </c>
    </row>
    <row r="107" spans="1:22" x14ac:dyDescent="0.25">
      <c r="A107" s="1390" t="s">
        <v>1980</v>
      </c>
      <c r="B107" s="1322">
        <v>1236</v>
      </c>
      <c r="C107" s="1198" t="s">
        <v>1993</v>
      </c>
      <c r="D107" s="1198" t="s">
        <v>330</v>
      </c>
      <c r="E107" s="1198" t="s">
        <v>1982</v>
      </c>
      <c r="F107" s="1198">
        <v>123611</v>
      </c>
      <c r="G107" s="1198" t="s">
        <v>354</v>
      </c>
      <c r="H107" s="1198">
        <f>Dataark_til_bilag3_2030[[#This Row],[Staldkode]]+Dataark_til_bilag3_2030[[#This Row],[Dyrekode]]</f>
        <v>124847</v>
      </c>
      <c r="I107" s="1222">
        <v>0</v>
      </c>
      <c r="J107" s="1198" t="s">
        <v>1977</v>
      </c>
      <c r="K107" s="1198"/>
      <c r="L107" s="1540">
        <v>37.9</v>
      </c>
      <c r="M107" s="1198">
        <f t="shared" si="7"/>
        <v>0</v>
      </c>
      <c r="N107" s="1198">
        <v>5.0000000000000001E-3</v>
      </c>
      <c r="O107" s="1198">
        <f t="shared" si="8"/>
        <v>0</v>
      </c>
      <c r="P107" s="1539">
        <f t="shared" si="9"/>
        <v>0</v>
      </c>
      <c r="Q107" s="1571">
        <v>9.7299999999999998E-2</v>
      </c>
      <c r="R107" s="1539">
        <f t="shared" si="10"/>
        <v>0</v>
      </c>
      <c r="S107" s="1198">
        <v>0.01</v>
      </c>
      <c r="T107" s="1539">
        <f t="shared" si="11"/>
        <v>0</v>
      </c>
      <c r="U107" s="1539">
        <f t="shared" si="12"/>
        <v>0</v>
      </c>
      <c r="V107" s="1570">
        <f t="shared" si="13"/>
        <v>0</v>
      </c>
    </row>
    <row r="108" spans="1:22" x14ac:dyDescent="0.25">
      <c r="A108" s="1390" t="s">
        <v>1980</v>
      </c>
      <c r="B108" s="1322">
        <v>1236</v>
      </c>
      <c r="C108" s="1198" t="s">
        <v>1993</v>
      </c>
      <c r="D108" s="1198" t="s">
        <v>330</v>
      </c>
      <c r="E108" s="1198" t="s">
        <v>1994</v>
      </c>
      <c r="F108" s="1198">
        <v>123612</v>
      </c>
      <c r="G108" s="1198" t="s">
        <v>354</v>
      </c>
      <c r="H108" s="1198">
        <f>Dataark_til_bilag3_2030[[#This Row],[Staldkode]]+Dataark_til_bilag3_2030[[#This Row],[Dyrekode]]</f>
        <v>124848</v>
      </c>
      <c r="I108" s="1222">
        <v>0</v>
      </c>
      <c r="J108" s="1198" t="s">
        <v>1977</v>
      </c>
      <c r="K108" s="1198"/>
      <c r="L108" s="1540">
        <v>37.9</v>
      </c>
      <c r="M108" s="1198">
        <f t="shared" si="7"/>
        <v>0</v>
      </c>
      <c r="N108" s="1198">
        <v>5.0000000000000001E-3</v>
      </c>
      <c r="O108" s="1198">
        <f t="shared" si="8"/>
        <v>0</v>
      </c>
      <c r="P108" s="1539">
        <f t="shared" si="9"/>
        <v>0</v>
      </c>
      <c r="Q108" s="1571">
        <v>9.7299999999999998E-2</v>
      </c>
      <c r="R108" s="1539">
        <f t="shared" si="10"/>
        <v>0</v>
      </c>
      <c r="S108" s="1198">
        <v>0.01</v>
      </c>
      <c r="T108" s="1539">
        <f t="shared" si="11"/>
        <v>0</v>
      </c>
      <c r="U108" s="1539">
        <f t="shared" si="12"/>
        <v>0</v>
      </c>
      <c r="V108" s="1570">
        <f t="shared" si="13"/>
        <v>0</v>
      </c>
    </row>
    <row r="109" spans="1:22" x14ac:dyDescent="0.25">
      <c r="A109" s="1390" t="s">
        <v>1980</v>
      </c>
      <c r="B109" s="1322">
        <v>1236</v>
      </c>
      <c r="C109" s="1198" t="s">
        <v>1993</v>
      </c>
      <c r="D109" s="1198" t="s">
        <v>330</v>
      </c>
      <c r="E109" s="1198" t="s">
        <v>1990</v>
      </c>
      <c r="F109" s="1198">
        <v>123619</v>
      </c>
      <c r="G109" s="1198" t="s">
        <v>354</v>
      </c>
      <c r="H109" s="1198">
        <f>Dataark_til_bilag3_2030[[#This Row],[Staldkode]]+Dataark_til_bilag3_2030[[#This Row],[Dyrekode]]</f>
        <v>124855</v>
      </c>
      <c r="I109" s="1222">
        <v>0</v>
      </c>
      <c r="J109" s="1198" t="s">
        <v>1977</v>
      </c>
      <c r="K109" s="1198"/>
      <c r="L109" s="1540">
        <v>37.9</v>
      </c>
      <c r="M109" s="1198">
        <f t="shared" si="7"/>
        <v>0</v>
      </c>
      <c r="N109" s="1198">
        <v>5.0000000000000001E-3</v>
      </c>
      <c r="O109" s="1198">
        <f t="shared" si="8"/>
        <v>0</v>
      </c>
      <c r="P109" s="1539">
        <f t="shared" si="9"/>
        <v>0</v>
      </c>
      <c r="Q109" s="1571">
        <v>9.7299999999999998E-2</v>
      </c>
      <c r="R109" s="1539">
        <f t="shared" si="10"/>
        <v>0</v>
      </c>
      <c r="S109" s="1198">
        <v>0.01</v>
      </c>
      <c r="T109" s="1539">
        <f t="shared" si="11"/>
        <v>0</v>
      </c>
      <c r="U109" s="1539">
        <f t="shared" si="12"/>
        <v>0</v>
      </c>
      <c r="V109" s="1570">
        <f t="shared" si="13"/>
        <v>0</v>
      </c>
    </row>
    <row r="110" spans="1:22" x14ac:dyDescent="0.25">
      <c r="A110" s="1390" t="s">
        <v>1980</v>
      </c>
      <c r="B110" s="1322">
        <v>1241</v>
      </c>
      <c r="C110" s="1198" t="s">
        <v>1992</v>
      </c>
      <c r="D110" s="1198" t="s">
        <v>329</v>
      </c>
      <c r="E110" s="1198" t="s">
        <v>1989</v>
      </c>
      <c r="F110" s="1198">
        <v>124101</v>
      </c>
      <c r="G110" s="1198" t="s">
        <v>639</v>
      </c>
      <c r="H110" s="1198">
        <f>Dataark_til_bilag3_2030[[#This Row],[Staldkode]]+Dataark_til_bilag3_2030[[#This Row],[Dyrekode]]</f>
        <v>125342</v>
      </c>
      <c r="I110" s="1222">
        <v>0</v>
      </c>
      <c r="J110" s="1198" t="s">
        <v>1903</v>
      </c>
      <c r="K110" s="1198"/>
      <c r="L110" s="1540">
        <v>43.6</v>
      </c>
      <c r="M110" s="1198">
        <f t="shared" si="7"/>
        <v>0</v>
      </c>
      <c r="N110" s="1198">
        <v>5.0000000000000001E-3</v>
      </c>
      <c r="O110" s="1198">
        <f t="shared" si="8"/>
        <v>0</v>
      </c>
      <c r="P110" s="1539">
        <f t="shared" si="9"/>
        <v>0</v>
      </c>
      <c r="Q110" s="1571">
        <v>9.7299999999999998E-2</v>
      </c>
      <c r="R110" s="1539">
        <f t="shared" si="10"/>
        <v>0</v>
      </c>
      <c r="S110" s="1198">
        <v>0.01</v>
      </c>
      <c r="T110" s="1539">
        <f t="shared" si="11"/>
        <v>0</v>
      </c>
      <c r="U110" s="1539">
        <f t="shared" si="12"/>
        <v>0</v>
      </c>
      <c r="V110" s="1570">
        <f t="shared" si="13"/>
        <v>0</v>
      </c>
    </row>
    <row r="111" spans="1:22" x14ac:dyDescent="0.25">
      <c r="A111" s="1390" t="s">
        <v>1980</v>
      </c>
      <c r="B111" s="1322">
        <v>1241</v>
      </c>
      <c r="C111" s="1198" t="s">
        <v>1992</v>
      </c>
      <c r="D111" s="1198" t="s">
        <v>329</v>
      </c>
      <c r="E111" s="1198" t="s">
        <v>1988</v>
      </c>
      <c r="F111" s="1198">
        <v>124102</v>
      </c>
      <c r="G111" s="1198" t="s">
        <v>639</v>
      </c>
      <c r="H111" s="1198">
        <f>Dataark_til_bilag3_2030[[#This Row],[Staldkode]]+Dataark_til_bilag3_2030[[#This Row],[Dyrekode]]</f>
        <v>125343</v>
      </c>
      <c r="I111" s="1222">
        <v>0</v>
      </c>
      <c r="J111" s="1198" t="s">
        <v>1977</v>
      </c>
      <c r="K111" s="1198"/>
      <c r="L111" s="1540">
        <v>43.6</v>
      </c>
      <c r="M111" s="1198">
        <f t="shared" si="7"/>
        <v>0</v>
      </c>
      <c r="N111" s="1198">
        <v>5.0000000000000001E-3</v>
      </c>
      <c r="O111" s="1198">
        <f t="shared" si="8"/>
        <v>0</v>
      </c>
      <c r="P111" s="1539">
        <f t="shared" si="9"/>
        <v>0</v>
      </c>
      <c r="Q111" s="1571">
        <v>9.7299999999999998E-2</v>
      </c>
      <c r="R111" s="1539">
        <f t="shared" si="10"/>
        <v>0</v>
      </c>
      <c r="S111" s="1198">
        <v>0.01</v>
      </c>
      <c r="T111" s="1539">
        <f t="shared" si="11"/>
        <v>0</v>
      </c>
      <c r="U111" s="1539">
        <f t="shared" si="12"/>
        <v>0</v>
      </c>
      <c r="V111" s="1570">
        <f t="shared" si="13"/>
        <v>0</v>
      </c>
    </row>
    <row r="112" spans="1:22" x14ac:dyDescent="0.25">
      <c r="A112" s="1390" t="s">
        <v>1980</v>
      </c>
      <c r="B112" s="1322">
        <v>1241</v>
      </c>
      <c r="C112" s="1198" t="s">
        <v>1992</v>
      </c>
      <c r="D112" s="1198" t="s">
        <v>329</v>
      </c>
      <c r="E112" s="1198" t="s">
        <v>1987</v>
      </c>
      <c r="F112" s="1198">
        <v>124103</v>
      </c>
      <c r="G112" s="1198" t="s">
        <v>350</v>
      </c>
      <c r="H112" s="1198">
        <f>Dataark_til_bilag3_2030[[#This Row],[Staldkode]]+Dataark_til_bilag3_2030[[#This Row],[Dyrekode]]</f>
        <v>125344</v>
      </c>
      <c r="I112" s="1222">
        <v>0</v>
      </c>
      <c r="J112" s="1198"/>
      <c r="K112" s="1198" t="s">
        <v>350</v>
      </c>
      <c r="L112" s="1540">
        <v>43.6</v>
      </c>
      <c r="M112" s="1198">
        <f t="shared" si="7"/>
        <v>0</v>
      </c>
      <c r="N112" s="1198">
        <v>0.01</v>
      </c>
      <c r="O112" s="1198">
        <f t="shared" si="8"/>
        <v>0</v>
      </c>
      <c r="P112" s="1539">
        <f t="shared" si="9"/>
        <v>0</v>
      </c>
      <c r="Q112" s="1571">
        <v>9.7299999999999998E-2</v>
      </c>
      <c r="R112" s="1539">
        <f t="shared" si="10"/>
        <v>0</v>
      </c>
      <c r="S112" s="1198">
        <v>0.01</v>
      </c>
      <c r="T112" s="1539">
        <f t="shared" si="11"/>
        <v>0</v>
      </c>
      <c r="U112" s="1539">
        <f t="shared" si="12"/>
        <v>0</v>
      </c>
      <c r="V112" s="1570">
        <f t="shared" si="13"/>
        <v>0</v>
      </c>
    </row>
    <row r="113" spans="1:22" x14ac:dyDescent="0.25">
      <c r="A113" s="1390" t="s">
        <v>1980</v>
      </c>
      <c r="B113" s="1322">
        <v>1241</v>
      </c>
      <c r="C113" s="1198" t="s">
        <v>1992</v>
      </c>
      <c r="D113" s="1198" t="s">
        <v>329</v>
      </c>
      <c r="E113" s="1198" t="s">
        <v>1986</v>
      </c>
      <c r="F113" s="1198">
        <v>124104</v>
      </c>
      <c r="G113" s="1198" t="s">
        <v>350</v>
      </c>
      <c r="H113" s="1198">
        <f>Dataark_til_bilag3_2030[[#This Row],[Staldkode]]+Dataark_til_bilag3_2030[[#This Row],[Dyrekode]]</f>
        <v>125345</v>
      </c>
      <c r="I113" s="1222">
        <v>0</v>
      </c>
      <c r="J113" s="1198"/>
      <c r="K113" s="1198" t="s">
        <v>350</v>
      </c>
      <c r="L113" s="1540">
        <v>43.6</v>
      </c>
      <c r="M113" s="1198">
        <f t="shared" si="7"/>
        <v>0</v>
      </c>
      <c r="N113" s="1198">
        <v>0.01</v>
      </c>
      <c r="O113" s="1198">
        <f t="shared" si="8"/>
        <v>0</v>
      </c>
      <c r="P113" s="1539">
        <f t="shared" si="9"/>
        <v>0</v>
      </c>
      <c r="Q113" s="1571">
        <v>9.7299999999999998E-2</v>
      </c>
      <c r="R113" s="1539">
        <f t="shared" si="10"/>
        <v>0</v>
      </c>
      <c r="S113" s="1198">
        <v>0.01</v>
      </c>
      <c r="T113" s="1539">
        <f t="shared" si="11"/>
        <v>0</v>
      </c>
      <c r="U113" s="1539">
        <f t="shared" si="12"/>
        <v>0</v>
      </c>
      <c r="V113" s="1570">
        <f t="shared" si="13"/>
        <v>0</v>
      </c>
    </row>
    <row r="114" spans="1:22" x14ac:dyDescent="0.25">
      <c r="A114" s="1390" t="s">
        <v>1980</v>
      </c>
      <c r="B114" s="1322">
        <v>1241</v>
      </c>
      <c r="C114" s="1198" t="s">
        <v>1992</v>
      </c>
      <c r="D114" s="1198" t="s">
        <v>329</v>
      </c>
      <c r="E114" s="1198" t="s">
        <v>1985</v>
      </c>
      <c r="F114" s="1198">
        <v>124105</v>
      </c>
      <c r="G114" s="1198" t="s">
        <v>350</v>
      </c>
      <c r="H114" s="1198">
        <f>Dataark_til_bilag3_2030[[#This Row],[Staldkode]]+Dataark_til_bilag3_2030[[#This Row],[Dyrekode]]</f>
        <v>125346</v>
      </c>
      <c r="I114" s="1222">
        <v>0</v>
      </c>
      <c r="J114" s="1198" t="s">
        <v>1977</v>
      </c>
      <c r="K114" s="1198"/>
      <c r="L114" s="1540">
        <v>43.6</v>
      </c>
      <c r="M114" s="1198">
        <f t="shared" si="7"/>
        <v>0</v>
      </c>
      <c r="N114" s="1198">
        <v>5.0000000000000001E-3</v>
      </c>
      <c r="O114" s="1198">
        <f t="shared" si="8"/>
        <v>0</v>
      </c>
      <c r="P114" s="1539">
        <f t="shared" si="9"/>
        <v>0</v>
      </c>
      <c r="Q114" s="1571">
        <v>9.7299999999999998E-2</v>
      </c>
      <c r="R114" s="1539">
        <f t="shared" si="10"/>
        <v>0</v>
      </c>
      <c r="S114" s="1198">
        <v>0.01</v>
      </c>
      <c r="T114" s="1539">
        <f t="shared" si="11"/>
        <v>0</v>
      </c>
      <c r="U114" s="1539">
        <f t="shared" si="12"/>
        <v>0</v>
      </c>
      <c r="V114" s="1570">
        <f t="shared" si="13"/>
        <v>0</v>
      </c>
    </row>
    <row r="115" spans="1:22" x14ac:dyDescent="0.25">
      <c r="A115" s="1390" t="s">
        <v>1980</v>
      </c>
      <c r="B115" s="1322">
        <v>1241</v>
      </c>
      <c r="C115" s="1198" t="s">
        <v>1992</v>
      </c>
      <c r="D115" s="1198" t="s">
        <v>329</v>
      </c>
      <c r="E115" s="1198" t="s">
        <v>1984</v>
      </c>
      <c r="F115" s="1198">
        <v>124106</v>
      </c>
      <c r="G115" s="1198" t="s">
        <v>350</v>
      </c>
      <c r="H115" s="1198">
        <f>Dataark_til_bilag3_2030[[#This Row],[Staldkode]]+Dataark_til_bilag3_2030[[#This Row],[Dyrekode]]</f>
        <v>125347</v>
      </c>
      <c r="I115" s="1222">
        <v>0</v>
      </c>
      <c r="J115" s="1198" t="s">
        <v>1977</v>
      </c>
      <c r="K115" s="1198"/>
      <c r="L115" s="1540">
        <v>43.6</v>
      </c>
      <c r="M115" s="1198">
        <f t="shared" si="7"/>
        <v>0</v>
      </c>
      <c r="N115" s="1198">
        <v>5.0000000000000001E-3</v>
      </c>
      <c r="O115" s="1198">
        <f t="shared" si="8"/>
        <v>0</v>
      </c>
      <c r="P115" s="1539">
        <f t="shared" si="9"/>
        <v>0</v>
      </c>
      <c r="Q115" s="1571">
        <v>9.7299999999999998E-2</v>
      </c>
      <c r="R115" s="1539">
        <f t="shared" si="10"/>
        <v>0</v>
      </c>
      <c r="S115" s="1198">
        <v>0.01</v>
      </c>
      <c r="T115" s="1539">
        <f t="shared" si="11"/>
        <v>0</v>
      </c>
      <c r="U115" s="1539">
        <f t="shared" si="12"/>
        <v>0</v>
      </c>
      <c r="V115" s="1570">
        <f t="shared" si="13"/>
        <v>0</v>
      </c>
    </row>
    <row r="116" spans="1:22" x14ac:dyDescent="0.25">
      <c r="A116" s="1390" t="s">
        <v>1980</v>
      </c>
      <c r="B116" s="1322">
        <v>1241</v>
      </c>
      <c r="C116" s="1198" t="s">
        <v>1992</v>
      </c>
      <c r="D116" s="1198" t="s">
        <v>329</v>
      </c>
      <c r="E116" s="1198" t="s">
        <v>1983</v>
      </c>
      <c r="F116" s="1198">
        <v>124107</v>
      </c>
      <c r="G116" s="1198" t="s">
        <v>350</v>
      </c>
      <c r="H116" s="1198">
        <f>Dataark_til_bilag3_2030[[#This Row],[Staldkode]]+Dataark_til_bilag3_2030[[#This Row],[Dyrekode]]</f>
        <v>125348</v>
      </c>
      <c r="I116" s="1222">
        <v>0</v>
      </c>
      <c r="J116" s="1198" t="s">
        <v>1977</v>
      </c>
      <c r="K116" s="1198"/>
      <c r="L116" s="1540">
        <v>43.6</v>
      </c>
      <c r="M116" s="1198">
        <f t="shared" si="7"/>
        <v>0</v>
      </c>
      <c r="N116" s="1198">
        <v>5.0000000000000001E-3</v>
      </c>
      <c r="O116" s="1198">
        <f t="shared" si="8"/>
        <v>0</v>
      </c>
      <c r="P116" s="1539">
        <f t="shared" si="9"/>
        <v>0</v>
      </c>
      <c r="Q116" s="1571">
        <v>9.7299999999999998E-2</v>
      </c>
      <c r="R116" s="1539">
        <f t="shared" si="10"/>
        <v>0</v>
      </c>
      <c r="S116" s="1198">
        <v>0.01</v>
      </c>
      <c r="T116" s="1539">
        <f t="shared" si="11"/>
        <v>0</v>
      </c>
      <c r="U116" s="1539">
        <f t="shared" si="12"/>
        <v>0</v>
      </c>
      <c r="V116" s="1570">
        <f t="shared" si="13"/>
        <v>0</v>
      </c>
    </row>
    <row r="117" spans="1:22" x14ac:dyDescent="0.25">
      <c r="A117" s="1390" t="s">
        <v>1980</v>
      </c>
      <c r="B117" s="1322">
        <v>1241</v>
      </c>
      <c r="C117" s="1198" t="s">
        <v>1992</v>
      </c>
      <c r="D117" s="1198" t="s">
        <v>329</v>
      </c>
      <c r="E117" s="1198" t="s">
        <v>2793</v>
      </c>
      <c r="F117" s="1198">
        <v>124110</v>
      </c>
      <c r="G117" s="1198" t="s">
        <v>354</v>
      </c>
      <c r="H117" s="1198">
        <f>Dataark_til_bilag3_2030[[#This Row],[Staldkode]]+Dataark_til_bilag3_2030[[#This Row],[Dyrekode]]</f>
        <v>125351</v>
      </c>
      <c r="I117" s="1222">
        <v>0</v>
      </c>
      <c r="J117" s="1198" t="s">
        <v>1977</v>
      </c>
      <c r="K117" s="1198"/>
      <c r="L117" s="1540">
        <v>43.6</v>
      </c>
      <c r="M117" s="1198">
        <f t="shared" si="7"/>
        <v>0</v>
      </c>
      <c r="N117" s="1198">
        <v>5.0000000000000001E-3</v>
      </c>
      <c r="O117" s="1198">
        <f t="shared" si="8"/>
        <v>0</v>
      </c>
      <c r="P117" s="1539">
        <f t="shared" si="9"/>
        <v>0</v>
      </c>
      <c r="Q117" s="1571">
        <v>9.7299999999999998E-2</v>
      </c>
      <c r="R117" s="1539">
        <f t="shared" si="10"/>
        <v>0</v>
      </c>
      <c r="S117" s="1198">
        <v>0.01</v>
      </c>
      <c r="T117" s="1539">
        <f t="shared" si="11"/>
        <v>0</v>
      </c>
      <c r="U117" s="1539">
        <f t="shared" si="12"/>
        <v>0</v>
      </c>
      <c r="V117" s="1570">
        <f t="shared" si="13"/>
        <v>0</v>
      </c>
    </row>
    <row r="118" spans="1:22" x14ac:dyDescent="0.25">
      <c r="A118" s="1390" t="s">
        <v>1980</v>
      </c>
      <c r="B118" s="1322">
        <v>1242</v>
      </c>
      <c r="C118" s="1198" t="s">
        <v>1991</v>
      </c>
      <c r="D118" s="1198" t="s">
        <v>329</v>
      </c>
      <c r="E118" s="1198" t="s">
        <v>1989</v>
      </c>
      <c r="F118" s="1198">
        <v>124201</v>
      </c>
      <c r="G118" s="1198" t="s">
        <v>639</v>
      </c>
      <c r="H118" s="1198">
        <f>Dataark_til_bilag3_2030[[#This Row],[Staldkode]]+Dataark_til_bilag3_2030[[#This Row],[Dyrekode]]</f>
        <v>125443</v>
      </c>
      <c r="I118" s="1222">
        <v>7.97</v>
      </c>
      <c r="J118" s="1198" t="s">
        <v>1903</v>
      </c>
      <c r="K118" s="1198"/>
      <c r="L118" s="1540">
        <v>63.6</v>
      </c>
      <c r="M118" s="1198">
        <f t="shared" si="7"/>
        <v>506.892</v>
      </c>
      <c r="N118" s="1198">
        <v>5.0000000000000001E-3</v>
      </c>
      <c r="O118" s="1198">
        <f t="shared" si="8"/>
        <v>2.5344600000000002</v>
      </c>
      <c r="P118" s="1539">
        <f t="shared" si="9"/>
        <v>3.9827228571428575</v>
      </c>
      <c r="Q118" s="1571">
        <v>9.7299999999999998E-2</v>
      </c>
      <c r="R118" s="1539">
        <f t="shared" si="10"/>
        <v>49.3205916</v>
      </c>
      <c r="S118" s="1198">
        <v>0.01</v>
      </c>
      <c r="T118" s="1539">
        <f t="shared" si="11"/>
        <v>0.49320591600000002</v>
      </c>
      <c r="U118" s="1539">
        <f t="shared" si="12"/>
        <v>0.77503786800000007</v>
      </c>
      <c r="V118" s="1570">
        <f t="shared" si="13"/>
        <v>4.757760725142857E-3</v>
      </c>
    </row>
    <row r="119" spans="1:22" x14ac:dyDescent="0.25">
      <c r="A119" s="1390" t="s">
        <v>1980</v>
      </c>
      <c r="B119" s="1322">
        <v>1242</v>
      </c>
      <c r="C119" s="1198" t="s">
        <v>1991</v>
      </c>
      <c r="D119" s="1198" t="s">
        <v>329</v>
      </c>
      <c r="E119" s="1198" t="s">
        <v>1988</v>
      </c>
      <c r="F119" s="1198">
        <v>124202</v>
      </c>
      <c r="G119" s="1198" t="s">
        <v>639</v>
      </c>
      <c r="H119" s="1198">
        <f>Dataark_til_bilag3_2030[[#This Row],[Staldkode]]+Dataark_til_bilag3_2030[[#This Row],[Dyrekode]]</f>
        <v>125444</v>
      </c>
      <c r="I119" s="1222">
        <v>0</v>
      </c>
      <c r="J119" s="1198" t="s">
        <v>1977</v>
      </c>
      <c r="K119" s="1198"/>
      <c r="L119" s="1540">
        <v>63.6</v>
      </c>
      <c r="M119" s="1198">
        <f t="shared" si="7"/>
        <v>0</v>
      </c>
      <c r="N119" s="1198">
        <v>5.0000000000000001E-3</v>
      </c>
      <c r="O119" s="1198">
        <f t="shared" si="8"/>
        <v>0</v>
      </c>
      <c r="P119" s="1539">
        <f t="shared" si="9"/>
        <v>0</v>
      </c>
      <c r="Q119" s="1571">
        <v>9.7299999999999998E-2</v>
      </c>
      <c r="R119" s="1539">
        <f t="shared" si="10"/>
        <v>0</v>
      </c>
      <c r="S119" s="1198">
        <v>0.01</v>
      </c>
      <c r="T119" s="1539">
        <f t="shared" si="11"/>
        <v>0</v>
      </c>
      <c r="U119" s="1539">
        <f t="shared" si="12"/>
        <v>0</v>
      </c>
      <c r="V119" s="1570">
        <f t="shared" si="13"/>
        <v>0</v>
      </c>
    </row>
    <row r="120" spans="1:22" x14ac:dyDescent="0.25">
      <c r="A120" s="1390" t="s">
        <v>1980</v>
      </c>
      <c r="B120" s="1322">
        <v>1242</v>
      </c>
      <c r="C120" s="1198" t="s">
        <v>1991</v>
      </c>
      <c r="D120" s="1198" t="s">
        <v>329</v>
      </c>
      <c r="E120" s="1198" t="s">
        <v>1987</v>
      </c>
      <c r="F120" s="1198">
        <v>124203</v>
      </c>
      <c r="G120" s="1198" t="s">
        <v>350</v>
      </c>
      <c r="H120" s="1198">
        <f>Dataark_til_bilag3_2030[[#This Row],[Staldkode]]+Dataark_til_bilag3_2030[[#This Row],[Dyrekode]]</f>
        <v>125445</v>
      </c>
      <c r="I120" s="1222">
        <v>235.84</v>
      </c>
      <c r="J120" s="1198"/>
      <c r="K120" s="1198" t="s">
        <v>350</v>
      </c>
      <c r="L120" s="1540">
        <v>63.6</v>
      </c>
      <c r="M120" s="1198">
        <f t="shared" si="7"/>
        <v>14999.424000000001</v>
      </c>
      <c r="N120" s="1198">
        <v>0.01</v>
      </c>
      <c r="O120" s="1198">
        <f t="shared" si="8"/>
        <v>149.99424000000002</v>
      </c>
      <c r="P120" s="1539">
        <f t="shared" si="9"/>
        <v>235.70523428571431</v>
      </c>
      <c r="Q120" s="1571">
        <v>9.7299999999999998E-2</v>
      </c>
      <c r="R120" s="1539">
        <f t="shared" si="10"/>
        <v>1459.4439552000001</v>
      </c>
      <c r="S120" s="1198">
        <v>0.01</v>
      </c>
      <c r="T120" s="1539">
        <f t="shared" si="11"/>
        <v>14.594439552000001</v>
      </c>
      <c r="U120" s="1539">
        <f t="shared" si="12"/>
        <v>22.934119296000002</v>
      </c>
      <c r="V120" s="1570">
        <f t="shared" si="13"/>
        <v>0.2586393535817143</v>
      </c>
    </row>
    <row r="121" spans="1:22" x14ac:dyDescent="0.25">
      <c r="A121" s="1390" t="s">
        <v>1980</v>
      </c>
      <c r="B121" s="1322">
        <v>1242</v>
      </c>
      <c r="C121" s="1198" t="s">
        <v>1991</v>
      </c>
      <c r="D121" s="1198" t="s">
        <v>329</v>
      </c>
      <c r="E121" s="1198" t="s">
        <v>1986</v>
      </c>
      <c r="F121" s="1198">
        <v>124204</v>
      </c>
      <c r="G121" s="1198" t="s">
        <v>350</v>
      </c>
      <c r="H121" s="1198">
        <f>Dataark_til_bilag3_2030[[#This Row],[Staldkode]]+Dataark_til_bilag3_2030[[#This Row],[Dyrekode]]</f>
        <v>125446</v>
      </c>
      <c r="I121" s="1222">
        <v>0</v>
      </c>
      <c r="J121" s="1198"/>
      <c r="K121" s="1008" t="s">
        <v>350</v>
      </c>
      <c r="L121" s="1540">
        <v>63.6</v>
      </c>
      <c r="M121" s="1198">
        <f t="shared" si="7"/>
        <v>0</v>
      </c>
      <c r="N121" s="1198">
        <v>0.01</v>
      </c>
      <c r="O121" s="1198">
        <f t="shared" si="8"/>
        <v>0</v>
      </c>
      <c r="P121" s="1539">
        <f t="shared" si="9"/>
        <v>0</v>
      </c>
      <c r="Q121" s="1571">
        <v>9.7299999999999998E-2</v>
      </c>
      <c r="R121" s="1539">
        <f t="shared" si="10"/>
        <v>0</v>
      </c>
      <c r="S121" s="1198">
        <v>0.01</v>
      </c>
      <c r="T121" s="1539">
        <f t="shared" si="11"/>
        <v>0</v>
      </c>
      <c r="U121" s="1539">
        <f t="shared" si="12"/>
        <v>0</v>
      </c>
      <c r="V121" s="1570">
        <f t="shared" si="13"/>
        <v>0</v>
      </c>
    </row>
    <row r="122" spans="1:22" x14ac:dyDescent="0.25">
      <c r="A122" s="1390" t="s">
        <v>1980</v>
      </c>
      <c r="B122" s="1322">
        <v>1242</v>
      </c>
      <c r="C122" s="1198" t="s">
        <v>1991</v>
      </c>
      <c r="D122" s="1198" t="s">
        <v>329</v>
      </c>
      <c r="E122" s="1198" t="s">
        <v>1985</v>
      </c>
      <c r="F122" s="1198">
        <v>124205</v>
      </c>
      <c r="G122" s="1198" t="s">
        <v>350</v>
      </c>
      <c r="H122" s="1198">
        <f>Dataark_til_bilag3_2030[[#This Row],[Staldkode]]+Dataark_til_bilag3_2030[[#This Row],[Dyrekode]]</f>
        <v>125447</v>
      </c>
      <c r="I122" s="1222">
        <v>0</v>
      </c>
      <c r="J122" s="1198" t="s">
        <v>1977</v>
      </c>
      <c r="K122" s="1198"/>
      <c r="L122" s="1540">
        <v>63.6</v>
      </c>
      <c r="M122" s="1198">
        <f t="shared" si="7"/>
        <v>0</v>
      </c>
      <c r="N122" s="1198">
        <v>5.0000000000000001E-3</v>
      </c>
      <c r="O122" s="1198">
        <f t="shared" si="8"/>
        <v>0</v>
      </c>
      <c r="P122" s="1539">
        <f t="shared" si="9"/>
        <v>0</v>
      </c>
      <c r="Q122" s="1571">
        <v>9.7299999999999998E-2</v>
      </c>
      <c r="R122" s="1539">
        <f t="shared" si="10"/>
        <v>0</v>
      </c>
      <c r="S122" s="1198">
        <v>0.01</v>
      </c>
      <c r="T122" s="1539">
        <f t="shared" si="11"/>
        <v>0</v>
      </c>
      <c r="U122" s="1539">
        <f t="shared" si="12"/>
        <v>0</v>
      </c>
      <c r="V122" s="1570">
        <f t="shared" si="13"/>
        <v>0</v>
      </c>
    </row>
    <row r="123" spans="1:22" x14ac:dyDescent="0.25">
      <c r="A123" s="1390" t="s">
        <v>1980</v>
      </c>
      <c r="B123" s="1322">
        <v>1242</v>
      </c>
      <c r="C123" s="1198" t="s">
        <v>1991</v>
      </c>
      <c r="D123" s="1198" t="s">
        <v>329</v>
      </c>
      <c r="E123" s="1198" t="s">
        <v>1984</v>
      </c>
      <c r="F123" s="1198">
        <v>124206</v>
      </c>
      <c r="G123" s="1198" t="s">
        <v>350</v>
      </c>
      <c r="H123" s="1198">
        <f>Dataark_til_bilag3_2030[[#This Row],[Staldkode]]+Dataark_til_bilag3_2030[[#This Row],[Dyrekode]]</f>
        <v>125448</v>
      </c>
      <c r="I123" s="1222">
        <v>0</v>
      </c>
      <c r="J123" s="1198" t="s">
        <v>1977</v>
      </c>
      <c r="K123" s="1198"/>
      <c r="L123" s="1540">
        <v>63.6</v>
      </c>
      <c r="M123" s="1198">
        <f t="shared" si="7"/>
        <v>0</v>
      </c>
      <c r="N123" s="1198">
        <v>5.0000000000000001E-3</v>
      </c>
      <c r="O123" s="1198">
        <f t="shared" si="8"/>
        <v>0</v>
      </c>
      <c r="P123" s="1539">
        <f t="shared" si="9"/>
        <v>0</v>
      </c>
      <c r="Q123" s="1571">
        <v>9.7299999999999998E-2</v>
      </c>
      <c r="R123" s="1539">
        <f t="shared" si="10"/>
        <v>0</v>
      </c>
      <c r="S123" s="1198">
        <v>0.01</v>
      </c>
      <c r="T123" s="1539">
        <f t="shared" si="11"/>
        <v>0</v>
      </c>
      <c r="U123" s="1539">
        <f t="shared" si="12"/>
        <v>0</v>
      </c>
      <c r="V123" s="1570">
        <f t="shared" si="13"/>
        <v>0</v>
      </c>
    </row>
    <row r="124" spans="1:22" x14ac:dyDescent="0.25">
      <c r="A124" s="1390" t="s">
        <v>1980</v>
      </c>
      <c r="B124" s="1322">
        <v>1242</v>
      </c>
      <c r="C124" s="1198" t="s">
        <v>1991</v>
      </c>
      <c r="D124" s="1198" t="s">
        <v>329</v>
      </c>
      <c r="E124" s="1198" t="s">
        <v>1983</v>
      </c>
      <c r="F124" s="1198">
        <v>124207</v>
      </c>
      <c r="G124" s="1198" t="s">
        <v>350</v>
      </c>
      <c r="H124" s="1198">
        <f>Dataark_til_bilag3_2030[[#This Row],[Staldkode]]+Dataark_til_bilag3_2030[[#This Row],[Dyrekode]]</f>
        <v>125449</v>
      </c>
      <c r="I124" s="1222">
        <v>0</v>
      </c>
      <c r="J124" s="1198" t="s">
        <v>1977</v>
      </c>
      <c r="K124" s="1198"/>
      <c r="L124" s="1540">
        <v>63.6</v>
      </c>
      <c r="M124" s="1198">
        <f t="shared" si="7"/>
        <v>0</v>
      </c>
      <c r="N124" s="1198">
        <v>5.0000000000000001E-3</v>
      </c>
      <c r="O124" s="1198">
        <f t="shared" si="8"/>
        <v>0</v>
      </c>
      <c r="P124" s="1539">
        <f t="shared" si="9"/>
        <v>0</v>
      </c>
      <c r="Q124" s="1571">
        <v>9.7299999999999998E-2</v>
      </c>
      <c r="R124" s="1539">
        <f t="shared" si="10"/>
        <v>0</v>
      </c>
      <c r="S124" s="1198">
        <v>0.01</v>
      </c>
      <c r="T124" s="1539">
        <f t="shared" si="11"/>
        <v>0</v>
      </c>
      <c r="U124" s="1539">
        <f t="shared" si="12"/>
        <v>0</v>
      </c>
      <c r="V124" s="1570">
        <f t="shared" si="13"/>
        <v>0</v>
      </c>
    </row>
    <row r="125" spans="1:22" x14ac:dyDescent="0.25">
      <c r="A125" s="1390" t="s">
        <v>1980</v>
      </c>
      <c r="B125" s="1322">
        <v>1242</v>
      </c>
      <c r="C125" s="1198" t="s">
        <v>1991</v>
      </c>
      <c r="D125" s="1198" t="s">
        <v>329</v>
      </c>
      <c r="E125" s="1198" t="s">
        <v>1982</v>
      </c>
      <c r="F125" s="1198">
        <v>124209</v>
      </c>
      <c r="G125" s="1198" t="s">
        <v>354</v>
      </c>
      <c r="H125" s="1198">
        <f>Dataark_til_bilag3_2030[[#This Row],[Staldkode]]+Dataark_til_bilag3_2030[[#This Row],[Dyrekode]]</f>
        <v>125451</v>
      </c>
      <c r="I125" s="1222">
        <v>0</v>
      </c>
      <c r="J125" s="1198" t="s">
        <v>1977</v>
      </c>
      <c r="K125" s="1198"/>
      <c r="L125" s="1540">
        <v>63.6</v>
      </c>
      <c r="M125" s="1198">
        <f t="shared" si="7"/>
        <v>0</v>
      </c>
      <c r="N125" s="1198">
        <v>5.0000000000000001E-3</v>
      </c>
      <c r="O125" s="1198">
        <f t="shared" si="8"/>
        <v>0</v>
      </c>
      <c r="P125" s="1539">
        <f t="shared" si="9"/>
        <v>0</v>
      </c>
      <c r="Q125" s="1571">
        <v>9.7299999999999998E-2</v>
      </c>
      <c r="R125" s="1539">
        <f t="shared" si="10"/>
        <v>0</v>
      </c>
      <c r="S125" s="1198">
        <v>0.01</v>
      </c>
      <c r="T125" s="1539">
        <f t="shared" si="11"/>
        <v>0</v>
      </c>
      <c r="U125" s="1539">
        <f t="shared" si="12"/>
        <v>0</v>
      </c>
      <c r="V125" s="1570">
        <f t="shared" si="13"/>
        <v>0</v>
      </c>
    </row>
    <row r="126" spans="1:22" x14ac:dyDescent="0.25">
      <c r="A126" s="1390" t="s">
        <v>1980</v>
      </c>
      <c r="B126" s="1322">
        <v>1242</v>
      </c>
      <c r="C126" s="1198" t="s">
        <v>1991</v>
      </c>
      <c r="D126" s="1198" t="s">
        <v>329</v>
      </c>
      <c r="E126" s="1198" t="s">
        <v>2793</v>
      </c>
      <c r="F126" s="1198">
        <v>124210</v>
      </c>
      <c r="G126" s="1198" t="s">
        <v>354</v>
      </c>
      <c r="H126" s="1198">
        <f>Dataark_til_bilag3_2030[[#This Row],[Staldkode]]+Dataark_til_bilag3_2030[[#This Row],[Dyrekode]]</f>
        <v>125452</v>
      </c>
      <c r="I126" s="1222">
        <v>0</v>
      </c>
      <c r="J126" s="1198" t="s">
        <v>1977</v>
      </c>
      <c r="K126" s="1198"/>
      <c r="L126" s="1540">
        <v>63.6</v>
      </c>
      <c r="M126" s="1198">
        <f t="shared" si="7"/>
        <v>0</v>
      </c>
      <c r="N126" s="1198">
        <v>5.0000000000000001E-3</v>
      </c>
      <c r="O126" s="1198">
        <f t="shared" si="8"/>
        <v>0</v>
      </c>
      <c r="P126" s="1539">
        <f t="shared" si="9"/>
        <v>0</v>
      </c>
      <c r="Q126" s="1571">
        <v>9.7299999999999998E-2</v>
      </c>
      <c r="R126" s="1539">
        <f t="shared" si="10"/>
        <v>0</v>
      </c>
      <c r="S126" s="1198">
        <v>0.01</v>
      </c>
      <c r="T126" s="1539">
        <f t="shared" si="11"/>
        <v>0</v>
      </c>
      <c r="U126" s="1539">
        <f t="shared" si="12"/>
        <v>0</v>
      </c>
      <c r="V126" s="1570">
        <f t="shared" si="13"/>
        <v>0</v>
      </c>
    </row>
    <row r="127" spans="1:22" x14ac:dyDescent="0.25">
      <c r="A127" s="1390" t="s">
        <v>1980</v>
      </c>
      <c r="B127" s="1322">
        <v>1242</v>
      </c>
      <c r="C127" s="1198" t="s">
        <v>1991</v>
      </c>
      <c r="D127" s="1198" t="s">
        <v>329</v>
      </c>
      <c r="E127" s="1198" t="s">
        <v>1990</v>
      </c>
      <c r="F127" s="1198">
        <v>124211</v>
      </c>
      <c r="G127" s="1198" t="s">
        <v>354</v>
      </c>
      <c r="H127" s="1198">
        <f>Dataark_til_bilag3_2030[[#This Row],[Staldkode]]+Dataark_til_bilag3_2030[[#This Row],[Dyrekode]]</f>
        <v>125453</v>
      </c>
      <c r="I127" s="1222">
        <v>100</v>
      </c>
      <c r="J127" s="1198" t="s">
        <v>1977</v>
      </c>
      <c r="K127" s="1198"/>
      <c r="L127" s="1540">
        <v>63.6</v>
      </c>
      <c r="M127" s="1198">
        <f t="shared" si="7"/>
        <v>6360</v>
      </c>
      <c r="N127" s="1198">
        <v>5.0000000000000001E-3</v>
      </c>
      <c r="O127" s="1198">
        <f t="shared" si="8"/>
        <v>31.8</v>
      </c>
      <c r="P127" s="1539">
        <f t="shared" si="9"/>
        <v>49.971428571428575</v>
      </c>
      <c r="Q127" s="1571">
        <v>9.7299999999999998E-2</v>
      </c>
      <c r="R127" s="1539">
        <f t="shared" si="10"/>
        <v>618.82799999999997</v>
      </c>
      <c r="S127" s="1198">
        <v>0.01</v>
      </c>
      <c r="T127" s="1539">
        <f t="shared" si="11"/>
        <v>6.1882799999999998</v>
      </c>
      <c r="U127" s="1539">
        <f t="shared" si="12"/>
        <v>9.7244399999999995</v>
      </c>
      <c r="V127" s="1570">
        <f t="shared" si="13"/>
        <v>5.9695868571428577E-2</v>
      </c>
    </row>
    <row r="128" spans="1:22" x14ac:dyDescent="0.25">
      <c r="A128" s="1390" t="s">
        <v>1980</v>
      </c>
      <c r="B128" s="1322">
        <v>1243</v>
      </c>
      <c r="C128" s="1198" t="s">
        <v>1979</v>
      </c>
      <c r="D128" s="1198" t="s">
        <v>329</v>
      </c>
      <c r="E128" s="1198" t="s">
        <v>1989</v>
      </c>
      <c r="F128" s="1198">
        <v>124301</v>
      </c>
      <c r="G128" s="1198" t="s">
        <v>639</v>
      </c>
      <c r="H128" s="1198">
        <f>Dataark_til_bilag3_2030[[#This Row],[Staldkode]]+Dataark_til_bilag3_2030[[#This Row],[Dyrekode]]</f>
        <v>125544</v>
      </c>
      <c r="I128" s="1222">
        <v>42.09</v>
      </c>
      <c r="J128" s="1198" t="s">
        <v>1903</v>
      </c>
      <c r="K128" s="1198"/>
      <c r="L128" s="1540">
        <v>72.400000000000006</v>
      </c>
      <c r="M128" s="1198">
        <f t="shared" si="7"/>
        <v>3047.3160000000007</v>
      </c>
      <c r="N128" s="1198">
        <v>5.0000000000000001E-3</v>
      </c>
      <c r="O128" s="1198">
        <f t="shared" si="8"/>
        <v>15.236580000000004</v>
      </c>
      <c r="P128" s="1539">
        <f t="shared" si="9"/>
        <v>23.943197142857148</v>
      </c>
      <c r="Q128" s="1571">
        <v>9.7299999999999998E-2</v>
      </c>
      <c r="R128" s="1539">
        <f t="shared" si="10"/>
        <v>296.50384680000008</v>
      </c>
      <c r="S128" s="1198">
        <v>0.01</v>
      </c>
      <c r="T128" s="1539">
        <f t="shared" si="11"/>
        <v>2.9650384680000008</v>
      </c>
      <c r="U128" s="1539">
        <f t="shared" si="12"/>
        <v>4.6593461640000013</v>
      </c>
      <c r="V128" s="1570">
        <f t="shared" si="13"/>
        <v>2.8602543306857152E-2</v>
      </c>
    </row>
    <row r="129" spans="1:22" x14ac:dyDescent="0.25">
      <c r="A129" s="1390" t="s">
        <v>1980</v>
      </c>
      <c r="B129" s="1322">
        <v>1243</v>
      </c>
      <c r="C129" s="1198" t="s">
        <v>1979</v>
      </c>
      <c r="D129" s="1198" t="s">
        <v>329</v>
      </c>
      <c r="E129" s="1198" t="s">
        <v>1988</v>
      </c>
      <c r="F129" s="1198">
        <v>124302</v>
      </c>
      <c r="G129" s="1198" t="s">
        <v>639</v>
      </c>
      <c r="H129" s="1198">
        <f>Dataark_til_bilag3_2030[[#This Row],[Staldkode]]+Dataark_til_bilag3_2030[[#This Row],[Dyrekode]]</f>
        <v>125545</v>
      </c>
      <c r="I129" s="1222">
        <v>0</v>
      </c>
      <c r="J129" s="1198" t="s">
        <v>1977</v>
      </c>
      <c r="K129" s="1198"/>
      <c r="L129" s="1540">
        <v>72.400000000000006</v>
      </c>
      <c r="M129" s="1198">
        <f t="shared" si="7"/>
        <v>0</v>
      </c>
      <c r="N129" s="1198">
        <v>5.0000000000000001E-3</v>
      </c>
      <c r="O129" s="1198">
        <f t="shared" si="8"/>
        <v>0</v>
      </c>
      <c r="P129" s="1539">
        <f t="shared" si="9"/>
        <v>0</v>
      </c>
      <c r="Q129" s="1571">
        <v>9.7299999999999998E-2</v>
      </c>
      <c r="R129" s="1539">
        <f t="shared" si="10"/>
        <v>0</v>
      </c>
      <c r="S129" s="1198">
        <v>0.01</v>
      </c>
      <c r="T129" s="1539">
        <f t="shared" si="11"/>
        <v>0</v>
      </c>
      <c r="U129" s="1539">
        <f t="shared" si="12"/>
        <v>0</v>
      </c>
      <c r="V129" s="1570">
        <f t="shared" si="13"/>
        <v>0</v>
      </c>
    </row>
    <row r="130" spans="1:22" x14ac:dyDescent="0.25">
      <c r="A130" s="1390" t="s">
        <v>1980</v>
      </c>
      <c r="B130" s="1322">
        <v>1243</v>
      </c>
      <c r="C130" s="1198" t="s">
        <v>1979</v>
      </c>
      <c r="D130" s="1198" t="s">
        <v>329</v>
      </c>
      <c r="E130" s="1198" t="s">
        <v>1987</v>
      </c>
      <c r="F130" s="1198">
        <v>124303</v>
      </c>
      <c r="G130" s="1198" t="s">
        <v>350</v>
      </c>
      <c r="H130" s="1198">
        <f>Dataark_til_bilag3_2030[[#This Row],[Staldkode]]+Dataark_til_bilag3_2030[[#This Row],[Dyrekode]]</f>
        <v>125546</v>
      </c>
      <c r="I130" s="1222">
        <v>240.79</v>
      </c>
      <c r="J130" s="1198"/>
      <c r="K130" s="1198" t="s">
        <v>350</v>
      </c>
      <c r="L130" s="1540">
        <v>72.400000000000006</v>
      </c>
      <c r="M130" s="1198">
        <f t="shared" si="7"/>
        <v>17433.196</v>
      </c>
      <c r="N130" s="1198">
        <v>0.01</v>
      </c>
      <c r="O130" s="1198">
        <f t="shared" si="8"/>
        <v>174.33196000000001</v>
      </c>
      <c r="P130" s="1539">
        <f t="shared" si="9"/>
        <v>273.95022285714288</v>
      </c>
      <c r="Q130" s="1571">
        <v>9.7299999999999998E-2</v>
      </c>
      <c r="R130" s="1539">
        <f t="shared" si="10"/>
        <v>1696.2499708</v>
      </c>
      <c r="S130" s="1198">
        <v>0.01</v>
      </c>
      <c r="T130" s="1539">
        <f t="shared" si="11"/>
        <v>16.962499707999999</v>
      </c>
      <c r="U130" s="1539">
        <f t="shared" si="12"/>
        <v>26.655356683999997</v>
      </c>
      <c r="V130" s="1570">
        <f t="shared" si="13"/>
        <v>0.30060557954114292</v>
      </c>
    </row>
    <row r="131" spans="1:22" x14ac:dyDescent="0.25">
      <c r="A131" s="1390" t="s">
        <v>1980</v>
      </c>
      <c r="B131" s="1322">
        <v>1243</v>
      </c>
      <c r="C131" s="1198" t="s">
        <v>1979</v>
      </c>
      <c r="D131" s="1198" t="s">
        <v>329</v>
      </c>
      <c r="E131" s="1198" t="s">
        <v>1986</v>
      </c>
      <c r="F131" s="1198">
        <v>124304</v>
      </c>
      <c r="G131" s="1198" t="s">
        <v>350</v>
      </c>
      <c r="H131" s="1198">
        <f>Dataark_til_bilag3_2030[[#This Row],[Staldkode]]+Dataark_til_bilag3_2030[[#This Row],[Dyrekode]]</f>
        <v>125547</v>
      </c>
      <c r="I131" s="1222">
        <v>0</v>
      </c>
      <c r="J131" s="1198"/>
      <c r="K131" s="1198" t="s">
        <v>350</v>
      </c>
      <c r="L131" s="1540">
        <v>72.400000000000006</v>
      </c>
      <c r="M131" s="1198">
        <f t="shared" si="7"/>
        <v>0</v>
      </c>
      <c r="N131" s="1198">
        <v>0.01</v>
      </c>
      <c r="O131" s="1198">
        <f t="shared" si="8"/>
        <v>0</v>
      </c>
      <c r="P131" s="1539">
        <f t="shared" si="9"/>
        <v>0</v>
      </c>
      <c r="Q131" s="1571">
        <v>9.7299999999999998E-2</v>
      </c>
      <c r="R131" s="1539">
        <f t="shared" si="10"/>
        <v>0</v>
      </c>
      <c r="S131" s="1198">
        <v>0.01</v>
      </c>
      <c r="T131" s="1539">
        <f t="shared" si="11"/>
        <v>0</v>
      </c>
      <c r="U131" s="1539">
        <f t="shared" si="12"/>
        <v>0</v>
      </c>
      <c r="V131" s="1570">
        <f t="shared" si="13"/>
        <v>0</v>
      </c>
    </row>
    <row r="132" spans="1:22" x14ac:dyDescent="0.25">
      <c r="A132" s="1390" t="s">
        <v>1980</v>
      </c>
      <c r="B132" s="1322">
        <v>1243</v>
      </c>
      <c r="C132" s="1198" t="s">
        <v>1979</v>
      </c>
      <c r="D132" s="1198" t="s">
        <v>329</v>
      </c>
      <c r="E132" s="1198" t="s">
        <v>1985</v>
      </c>
      <c r="F132" s="1198">
        <v>124305</v>
      </c>
      <c r="G132" s="1198" t="s">
        <v>350</v>
      </c>
      <c r="H132" s="1198">
        <f>Dataark_til_bilag3_2030[[#This Row],[Staldkode]]+Dataark_til_bilag3_2030[[#This Row],[Dyrekode]]</f>
        <v>125548</v>
      </c>
      <c r="I132" s="1222">
        <v>0</v>
      </c>
      <c r="J132" s="1198" t="s">
        <v>1977</v>
      </c>
      <c r="K132" s="1198"/>
      <c r="L132" s="1540">
        <v>72.400000000000006</v>
      </c>
      <c r="M132" s="1198">
        <f t="shared" si="7"/>
        <v>0</v>
      </c>
      <c r="N132" s="1198">
        <v>5.0000000000000001E-3</v>
      </c>
      <c r="O132" s="1198">
        <f t="shared" si="8"/>
        <v>0</v>
      </c>
      <c r="P132" s="1539">
        <f t="shared" si="9"/>
        <v>0</v>
      </c>
      <c r="Q132" s="1571">
        <v>9.7299999999999998E-2</v>
      </c>
      <c r="R132" s="1539">
        <f t="shared" si="10"/>
        <v>0</v>
      </c>
      <c r="S132" s="1198">
        <v>0.01</v>
      </c>
      <c r="T132" s="1539">
        <f t="shared" si="11"/>
        <v>0</v>
      </c>
      <c r="U132" s="1539">
        <f t="shared" si="12"/>
        <v>0</v>
      </c>
      <c r="V132" s="1570">
        <f t="shared" si="13"/>
        <v>0</v>
      </c>
    </row>
    <row r="133" spans="1:22" x14ac:dyDescent="0.25">
      <c r="A133" s="1390" t="s">
        <v>1980</v>
      </c>
      <c r="B133" s="1322">
        <v>1243</v>
      </c>
      <c r="C133" s="1198" t="s">
        <v>1979</v>
      </c>
      <c r="D133" s="1198" t="s">
        <v>329</v>
      </c>
      <c r="E133" s="1198" t="s">
        <v>1984</v>
      </c>
      <c r="F133" s="1198">
        <v>124306</v>
      </c>
      <c r="G133" s="1198" t="s">
        <v>350</v>
      </c>
      <c r="H133" s="1198">
        <f>Dataark_til_bilag3_2030[[#This Row],[Staldkode]]+Dataark_til_bilag3_2030[[#This Row],[Dyrekode]]</f>
        <v>125549</v>
      </c>
      <c r="I133" s="1222">
        <v>0</v>
      </c>
      <c r="J133" s="1198" t="s">
        <v>1977</v>
      </c>
      <c r="K133" s="1198"/>
      <c r="L133" s="1540">
        <v>72.400000000000006</v>
      </c>
      <c r="M133" s="1198">
        <f t="shared" ref="M133:M196" si="14">IFERROR(I133*L133," ")</f>
        <v>0</v>
      </c>
      <c r="N133" s="1198">
        <v>5.0000000000000001E-3</v>
      </c>
      <c r="O133" s="1198">
        <f t="shared" ref="O133:O196" si="15">IFERROR(M133*N133," ")</f>
        <v>0</v>
      </c>
      <c r="P133" s="1539">
        <f t="shared" ref="P133:P196" si="16">IFERROR(O133*44/28," ")</f>
        <v>0</v>
      </c>
      <c r="Q133" s="1571">
        <v>9.7299999999999998E-2</v>
      </c>
      <c r="R133" s="1539">
        <f t="shared" ref="R133:R196" si="17">IFERROR(M133*Q133," ")</f>
        <v>0</v>
      </c>
      <c r="S133" s="1198">
        <v>0.01</v>
      </c>
      <c r="T133" s="1539">
        <f t="shared" ref="T133:T196" si="18">IFERROR(R133*S133," ")</f>
        <v>0</v>
      </c>
      <c r="U133" s="1539">
        <f t="shared" ref="U133:U196" si="19">IFERROR(T133*44/28,0)</f>
        <v>0</v>
      </c>
      <c r="V133" s="1570">
        <f t="shared" ref="V133:V196" si="20">IFERROR((P133+U133)/1000," ")</f>
        <v>0</v>
      </c>
    </row>
    <row r="134" spans="1:22" x14ac:dyDescent="0.25">
      <c r="A134" s="1390" t="s">
        <v>1980</v>
      </c>
      <c r="B134" s="1322">
        <v>1243</v>
      </c>
      <c r="C134" s="1198" t="s">
        <v>1979</v>
      </c>
      <c r="D134" s="1198" t="s">
        <v>329</v>
      </c>
      <c r="E134" s="1198" t="s">
        <v>1983</v>
      </c>
      <c r="F134" s="1198">
        <v>124307</v>
      </c>
      <c r="G134" s="1198" t="s">
        <v>350</v>
      </c>
      <c r="H134" s="1198">
        <f>Dataark_til_bilag3_2030[[#This Row],[Staldkode]]+Dataark_til_bilag3_2030[[#This Row],[Dyrekode]]</f>
        <v>125550</v>
      </c>
      <c r="I134" s="1222">
        <v>0</v>
      </c>
      <c r="J134" s="1198" t="s">
        <v>1977</v>
      </c>
      <c r="K134" s="1198"/>
      <c r="L134" s="1540">
        <v>72.400000000000006</v>
      </c>
      <c r="M134" s="1198">
        <f t="shared" si="14"/>
        <v>0</v>
      </c>
      <c r="N134" s="1198">
        <v>5.0000000000000001E-3</v>
      </c>
      <c r="O134" s="1198">
        <f t="shared" si="15"/>
        <v>0</v>
      </c>
      <c r="P134" s="1539">
        <f t="shared" si="16"/>
        <v>0</v>
      </c>
      <c r="Q134" s="1571">
        <v>9.7299999999999998E-2</v>
      </c>
      <c r="R134" s="1539">
        <f t="shared" si="17"/>
        <v>0</v>
      </c>
      <c r="S134" s="1198">
        <v>0.01</v>
      </c>
      <c r="T134" s="1539">
        <f t="shared" si="18"/>
        <v>0</v>
      </c>
      <c r="U134" s="1539">
        <f t="shared" si="19"/>
        <v>0</v>
      </c>
      <c r="V134" s="1570">
        <f t="shared" si="20"/>
        <v>0</v>
      </c>
    </row>
    <row r="135" spans="1:22" x14ac:dyDescent="0.25">
      <c r="A135" s="1390" t="s">
        <v>1980</v>
      </c>
      <c r="B135" s="1322">
        <v>1243</v>
      </c>
      <c r="C135" s="1198" t="s">
        <v>1979</v>
      </c>
      <c r="D135" s="1198" t="s">
        <v>329</v>
      </c>
      <c r="E135" s="1198" t="s">
        <v>1982</v>
      </c>
      <c r="F135" s="1198">
        <v>124309</v>
      </c>
      <c r="G135" s="1198" t="s">
        <v>354</v>
      </c>
      <c r="H135" s="1198">
        <f>Dataark_til_bilag3_2030[[#This Row],[Staldkode]]+Dataark_til_bilag3_2030[[#This Row],[Dyrekode]]</f>
        <v>125552</v>
      </c>
      <c r="I135" s="1222">
        <v>0</v>
      </c>
      <c r="J135" s="1198" t="s">
        <v>1977</v>
      </c>
      <c r="K135" s="1198"/>
      <c r="L135" s="1540">
        <v>72.400000000000006</v>
      </c>
      <c r="M135" s="1198">
        <f t="shared" si="14"/>
        <v>0</v>
      </c>
      <c r="N135" s="1198">
        <v>5.0000000000000001E-3</v>
      </c>
      <c r="O135" s="1198">
        <f t="shared" si="15"/>
        <v>0</v>
      </c>
      <c r="P135" s="1539">
        <f t="shared" si="16"/>
        <v>0</v>
      </c>
      <c r="Q135" s="1571">
        <v>9.7299999999999998E-2</v>
      </c>
      <c r="R135" s="1539">
        <f t="shared" si="17"/>
        <v>0</v>
      </c>
      <c r="S135" s="1198">
        <v>0.01</v>
      </c>
      <c r="T135" s="1539">
        <f t="shared" si="18"/>
        <v>0</v>
      </c>
      <c r="U135" s="1539">
        <f t="shared" si="19"/>
        <v>0</v>
      </c>
      <c r="V135" s="1570">
        <f t="shared" si="20"/>
        <v>0</v>
      </c>
    </row>
    <row r="136" spans="1:22" x14ac:dyDescent="0.25">
      <c r="A136" s="1390" t="s">
        <v>1980</v>
      </c>
      <c r="B136" s="1322">
        <v>1243</v>
      </c>
      <c r="C136" s="1198" t="s">
        <v>1979</v>
      </c>
      <c r="D136" s="1198" t="s">
        <v>329</v>
      </c>
      <c r="E136" s="1198" t="s">
        <v>2793</v>
      </c>
      <c r="F136" s="1198">
        <v>124310</v>
      </c>
      <c r="G136" s="1198" t="s">
        <v>354</v>
      </c>
      <c r="H136" s="1198">
        <f>Dataark_til_bilag3_2030[[#This Row],[Staldkode]]+Dataark_til_bilag3_2030[[#This Row],[Dyrekode]]</f>
        <v>125553</v>
      </c>
      <c r="I136" s="1222">
        <v>0</v>
      </c>
      <c r="J136" s="1198" t="s">
        <v>1977</v>
      </c>
      <c r="K136" s="1198"/>
      <c r="L136" s="1540">
        <v>72.400000000000006</v>
      </c>
      <c r="M136" s="1198">
        <f t="shared" si="14"/>
        <v>0</v>
      </c>
      <c r="N136" s="1198">
        <v>5.0000000000000001E-3</v>
      </c>
      <c r="O136" s="1198">
        <f t="shared" si="15"/>
        <v>0</v>
      </c>
      <c r="P136" s="1539">
        <f t="shared" si="16"/>
        <v>0</v>
      </c>
      <c r="Q136" s="1571">
        <v>9.7299999999999998E-2</v>
      </c>
      <c r="R136" s="1539">
        <f t="shared" si="17"/>
        <v>0</v>
      </c>
      <c r="S136" s="1198">
        <v>0.01</v>
      </c>
      <c r="T136" s="1539">
        <f t="shared" si="18"/>
        <v>0</v>
      </c>
      <c r="U136" s="1539">
        <f t="shared" si="19"/>
        <v>0</v>
      </c>
      <c r="V136" s="1570">
        <f t="shared" si="20"/>
        <v>0</v>
      </c>
    </row>
    <row r="137" spans="1:22" x14ac:dyDescent="0.25">
      <c r="A137" s="1390" t="s">
        <v>1980</v>
      </c>
      <c r="B137" s="1322">
        <v>1243</v>
      </c>
      <c r="C137" s="1198" t="s">
        <v>1979</v>
      </c>
      <c r="D137" s="1198" t="s">
        <v>329</v>
      </c>
      <c r="E137" s="1198" t="s">
        <v>1978</v>
      </c>
      <c r="F137" s="1198">
        <v>124311</v>
      </c>
      <c r="G137" s="1198" t="s">
        <v>354</v>
      </c>
      <c r="H137" s="1198">
        <f>Dataark_til_bilag3_2030[[#This Row],[Staldkode]]+Dataark_til_bilag3_2030[[#This Row],[Dyrekode]]</f>
        <v>125554</v>
      </c>
      <c r="I137" s="1222">
        <v>0</v>
      </c>
      <c r="J137" s="1198" t="s">
        <v>1977</v>
      </c>
      <c r="K137" s="1198"/>
      <c r="L137" s="1540">
        <v>72.400000000000006</v>
      </c>
      <c r="M137" s="1198">
        <f t="shared" si="14"/>
        <v>0</v>
      </c>
      <c r="N137" s="1198">
        <v>5.0000000000000001E-3</v>
      </c>
      <c r="O137" s="1198">
        <f t="shared" si="15"/>
        <v>0</v>
      </c>
      <c r="P137" s="1539">
        <f t="shared" si="16"/>
        <v>0</v>
      </c>
      <c r="Q137" s="1571">
        <v>9.7299999999999998E-2</v>
      </c>
      <c r="R137" s="1539">
        <f t="shared" si="17"/>
        <v>0</v>
      </c>
      <c r="S137" s="1198">
        <v>0.01</v>
      </c>
      <c r="T137" s="1539">
        <f t="shared" si="18"/>
        <v>0</v>
      </c>
      <c r="U137" s="1539">
        <f t="shared" si="19"/>
        <v>0</v>
      </c>
      <c r="V137" s="1570">
        <f t="shared" si="20"/>
        <v>0</v>
      </c>
    </row>
    <row r="138" spans="1:22" x14ac:dyDescent="0.25">
      <c r="A138" s="1390" t="s">
        <v>963</v>
      </c>
      <c r="B138" s="1322">
        <v>1300</v>
      </c>
      <c r="C138" s="1198" t="s">
        <v>1976</v>
      </c>
      <c r="D138" s="1198" t="s">
        <v>333</v>
      </c>
      <c r="E138" s="1198" t="s">
        <v>963</v>
      </c>
      <c r="F138" s="1198">
        <v>130001</v>
      </c>
      <c r="G138" s="1198" t="s">
        <v>2879</v>
      </c>
      <c r="H138" s="1198">
        <f>Dataark_til_bilag3_2030[[#This Row],[Staldkode]]+Dataark_til_bilag3_2030[[#This Row],[Dyrekode]]</f>
        <v>131301</v>
      </c>
      <c r="I138" s="1222">
        <v>403.89</v>
      </c>
      <c r="J138" s="1198"/>
      <c r="K138" s="1198" t="s">
        <v>350</v>
      </c>
      <c r="L138" s="1540">
        <v>16.899999999999999</v>
      </c>
      <c r="M138" s="1198">
        <f t="shared" si="14"/>
        <v>6825.7409999999991</v>
      </c>
      <c r="N138" s="1198">
        <v>0.01</v>
      </c>
      <c r="O138" s="1198">
        <f t="shared" si="15"/>
        <v>68.257409999999993</v>
      </c>
      <c r="P138" s="1539">
        <f t="shared" si="16"/>
        <v>107.26164428571428</v>
      </c>
      <c r="Q138" s="1571">
        <v>7.0099999999999996E-2</v>
      </c>
      <c r="R138" s="1539">
        <f t="shared" si="17"/>
        <v>478.48444409999991</v>
      </c>
      <c r="S138" s="1198">
        <v>0.01</v>
      </c>
      <c r="T138" s="1539">
        <f t="shared" si="18"/>
        <v>4.7848444409999988</v>
      </c>
      <c r="U138" s="1539">
        <f t="shared" si="19"/>
        <v>7.5190412644285702</v>
      </c>
      <c r="V138" s="1570">
        <f t="shared" si="20"/>
        <v>0.11478068555014286</v>
      </c>
    </row>
    <row r="139" spans="1:22" x14ac:dyDescent="0.25">
      <c r="A139" s="1390" t="s">
        <v>961</v>
      </c>
      <c r="B139" s="1322">
        <v>1401</v>
      </c>
      <c r="C139" s="1198" t="s">
        <v>1975</v>
      </c>
      <c r="D139" s="1198" t="s">
        <v>333</v>
      </c>
      <c r="E139" s="1198" t="s">
        <v>1974</v>
      </c>
      <c r="F139" s="1198">
        <v>140101</v>
      </c>
      <c r="G139" s="1198" t="s">
        <v>2879</v>
      </c>
      <c r="H139" s="1198">
        <f>Dataark_til_bilag3_2030[[#This Row],[Staldkode]]+Dataark_til_bilag3_2030[[#This Row],[Dyrekode]]</f>
        <v>141502</v>
      </c>
      <c r="I139" s="1222">
        <v>0</v>
      </c>
      <c r="J139" s="1198"/>
      <c r="K139" s="1198" t="s">
        <v>350</v>
      </c>
      <c r="L139" s="1540">
        <v>18.5</v>
      </c>
      <c r="M139" s="1198">
        <f t="shared" si="14"/>
        <v>0</v>
      </c>
      <c r="N139" s="1198">
        <v>0.01</v>
      </c>
      <c r="O139" s="1198">
        <f t="shared" si="15"/>
        <v>0</v>
      </c>
      <c r="P139" s="1539">
        <f t="shared" si="16"/>
        <v>0</v>
      </c>
      <c r="Q139" s="1576" t="s">
        <v>1209</v>
      </c>
      <c r="R139" s="1539" t="str">
        <f t="shared" si="17"/>
        <v xml:space="preserve"> </v>
      </c>
      <c r="S139" s="1198">
        <v>0.01</v>
      </c>
      <c r="T139" s="1539" t="str">
        <f t="shared" si="18"/>
        <v xml:space="preserve"> </v>
      </c>
      <c r="U139" s="1544">
        <f t="shared" si="19"/>
        <v>0</v>
      </c>
      <c r="V139" s="1544">
        <f t="shared" si="20"/>
        <v>0</v>
      </c>
    </row>
    <row r="140" spans="1:22" x14ac:dyDescent="0.25">
      <c r="A140" s="1390" t="s">
        <v>961</v>
      </c>
      <c r="B140" s="1322">
        <v>1402</v>
      </c>
      <c r="C140" s="1198" t="s">
        <v>1973</v>
      </c>
      <c r="D140" s="1198" t="s">
        <v>333</v>
      </c>
      <c r="E140" s="1198" t="s">
        <v>1972</v>
      </c>
      <c r="F140" s="1198">
        <v>140201</v>
      </c>
      <c r="G140" s="1198" t="s">
        <v>2879</v>
      </c>
      <c r="H140" s="1198">
        <f>Dataark_til_bilag3_2030[[#This Row],[Staldkode]]+Dataark_til_bilag3_2030[[#This Row],[Dyrekode]]</f>
        <v>141603</v>
      </c>
      <c r="I140" s="1222">
        <v>0</v>
      </c>
      <c r="J140" s="1198"/>
      <c r="K140" s="1198" t="s">
        <v>350</v>
      </c>
      <c r="L140" s="1540">
        <v>16.399999999999999</v>
      </c>
      <c r="M140" s="1198">
        <f t="shared" si="14"/>
        <v>0</v>
      </c>
      <c r="N140" s="1198">
        <v>0.01</v>
      </c>
      <c r="O140" s="1198">
        <f t="shared" si="15"/>
        <v>0</v>
      </c>
      <c r="P140" s="1539">
        <f t="shared" si="16"/>
        <v>0</v>
      </c>
      <c r="Q140" s="1576" t="s">
        <v>1209</v>
      </c>
      <c r="R140" s="1539" t="str">
        <f t="shared" si="17"/>
        <v xml:space="preserve"> </v>
      </c>
      <c r="S140" s="1198">
        <v>0.01</v>
      </c>
      <c r="T140" s="1539" t="str">
        <f t="shared" si="18"/>
        <v xml:space="preserve"> </v>
      </c>
      <c r="U140" s="1544">
        <f t="shared" si="19"/>
        <v>0</v>
      </c>
      <c r="V140" s="1544">
        <f t="shared" si="20"/>
        <v>0</v>
      </c>
    </row>
    <row r="141" spans="1:22" x14ac:dyDescent="0.25">
      <c r="A141" s="1390" t="s">
        <v>961</v>
      </c>
      <c r="B141" s="1322">
        <v>1403</v>
      </c>
      <c r="C141" s="1198" t="s">
        <v>1971</v>
      </c>
      <c r="D141" s="1198" t="s">
        <v>333</v>
      </c>
      <c r="E141" s="1198" t="s">
        <v>1970</v>
      </c>
      <c r="F141" s="1198">
        <v>140301</v>
      </c>
      <c r="G141" s="1198" t="s">
        <v>2879</v>
      </c>
      <c r="H141" s="1198">
        <f>Dataark_til_bilag3_2030[[#This Row],[Staldkode]]+Dataark_til_bilag3_2030[[#This Row],[Dyrekode]]</f>
        <v>141704</v>
      </c>
      <c r="I141" s="1222">
        <v>0</v>
      </c>
      <c r="J141" s="1198"/>
      <c r="K141" s="1198" t="s">
        <v>350</v>
      </c>
      <c r="L141" s="1540">
        <v>17</v>
      </c>
      <c r="M141" s="1198">
        <f t="shared" si="14"/>
        <v>0</v>
      </c>
      <c r="N141" s="1198">
        <v>0.01</v>
      </c>
      <c r="O141" s="1198">
        <f t="shared" si="15"/>
        <v>0</v>
      </c>
      <c r="P141" s="1539">
        <f t="shared" si="16"/>
        <v>0</v>
      </c>
      <c r="Q141" s="1576" t="s">
        <v>1209</v>
      </c>
      <c r="R141" s="1539" t="str">
        <f t="shared" si="17"/>
        <v xml:space="preserve"> </v>
      </c>
      <c r="S141" s="1198">
        <v>0.01</v>
      </c>
      <c r="T141" s="1539" t="str">
        <f t="shared" si="18"/>
        <v xml:space="preserve"> </v>
      </c>
      <c r="U141" s="1544">
        <f t="shared" si="19"/>
        <v>0</v>
      </c>
      <c r="V141" s="1544">
        <f t="shared" si="20"/>
        <v>0</v>
      </c>
    </row>
    <row r="142" spans="1:22" x14ac:dyDescent="0.25">
      <c r="A142" s="1390" t="s">
        <v>907</v>
      </c>
      <c r="B142" s="1322">
        <v>1501</v>
      </c>
      <c r="C142" s="1198" t="s">
        <v>2892</v>
      </c>
      <c r="D142" s="1198" t="s">
        <v>342</v>
      </c>
      <c r="E142" s="1198" t="s">
        <v>1969</v>
      </c>
      <c r="F142" s="1198">
        <v>150101</v>
      </c>
      <c r="G142" s="1198" t="s">
        <v>353</v>
      </c>
      <c r="H142" s="1198">
        <f>Dataark_til_bilag3_2030[[#This Row],[Staldkode]]+Dataark_til_bilag3_2030[[#This Row],[Dyrekode]]</f>
        <v>151602</v>
      </c>
      <c r="I142" s="1222">
        <v>0</v>
      </c>
      <c r="J142" s="1198" t="s">
        <v>1941</v>
      </c>
      <c r="K142" s="1198"/>
      <c r="L142" s="1541">
        <v>24.2</v>
      </c>
      <c r="M142" s="1198">
        <f t="shared" si="14"/>
        <v>0</v>
      </c>
      <c r="N142" s="1198">
        <v>5.0000000000000001E-3</v>
      </c>
      <c r="O142" s="1198">
        <f t="shared" si="15"/>
        <v>0</v>
      </c>
      <c r="P142" s="1539">
        <f t="shared" si="16"/>
        <v>0</v>
      </c>
      <c r="Q142" s="1571">
        <v>0.12609999999999999</v>
      </c>
      <c r="R142" s="1539">
        <f t="shared" si="17"/>
        <v>0</v>
      </c>
      <c r="S142" s="1198">
        <v>0.01</v>
      </c>
      <c r="T142" s="1539">
        <f t="shared" si="18"/>
        <v>0</v>
      </c>
      <c r="U142" s="1539">
        <f t="shared" si="19"/>
        <v>0</v>
      </c>
      <c r="V142" s="1570">
        <f t="shared" si="20"/>
        <v>0</v>
      </c>
    </row>
    <row r="143" spans="1:22" x14ac:dyDescent="0.25">
      <c r="A143" s="1390" t="s">
        <v>907</v>
      </c>
      <c r="B143" s="1322">
        <v>1501</v>
      </c>
      <c r="C143" s="1198" t="s">
        <v>2892</v>
      </c>
      <c r="D143" s="1198" t="s">
        <v>342</v>
      </c>
      <c r="E143" s="1198" t="s">
        <v>1968</v>
      </c>
      <c r="F143" s="1198">
        <v>150104</v>
      </c>
      <c r="G143" s="1198" t="s">
        <v>350</v>
      </c>
      <c r="H143" s="1198">
        <f>Dataark_til_bilag3_2030[[#This Row],[Staldkode]]+Dataark_til_bilag3_2030[[#This Row],[Dyrekode]]</f>
        <v>151605</v>
      </c>
      <c r="I143" s="1222">
        <v>0</v>
      </c>
      <c r="J143" s="1198" t="s">
        <v>1941</v>
      </c>
      <c r="K143" s="1198"/>
      <c r="L143" s="1540">
        <v>24.2</v>
      </c>
      <c r="M143" s="1198">
        <f t="shared" si="14"/>
        <v>0</v>
      </c>
      <c r="N143" s="1198">
        <v>5.0000000000000001E-3</v>
      </c>
      <c r="O143" s="1198">
        <f t="shared" si="15"/>
        <v>0</v>
      </c>
      <c r="P143" s="1539">
        <f t="shared" si="16"/>
        <v>0</v>
      </c>
      <c r="Q143" s="1571">
        <v>0.12609999999999999</v>
      </c>
      <c r="R143" s="1539">
        <f t="shared" si="17"/>
        <v>0</v>
      </c>
      <c r="S143" s="1198">
        <v>0.01</v>
      </c>
      <c r="T143" s="1539">
        <f t="shared" si="18"/>
        <v>0</v>
      </c>
      <c r="U143" s="1539">
        <f t="shared" si="19"/>
        <v>0</v>
      </c>
      <c r="V143" s="1570">
        <f t="shared" si="20"/>
        <v>0</v>
      </c>
    </row>
    <row r="144" spans="1:22" x14ac:dyDescent="0.25">
      <c r="A144" s="1390" t="s">
        <v>907</v>
      </c>
      <c r="B144" s="1322">
        <v>1501</v>
      </c>
      <c r="C144" s="1198" t="s">
        <v>2892</v>
      </c>
      <c r="D144" s="1198" t="s">
        <v>342</v>
      </c>
      <c r="E144" s="1198" t="s">
        <v>1967</v>
      </c>
      <c r="F144" s="1198">
        <v>150105</v>
      </c>
      <c r="G144" s="1198" t="s">
        <v>350</v>
      </c>
      <c r="H144" s="1198">
        <f>Dataark_til_bilag3_2030[[#This Row],[Staldkode]]+Dataark_til_bilag3_2030[[#This Row],[Dyrekode]]</f>
        <v>151606</v>
      </c>
      <c r="I144" s="1222">
        <v>0</v>
      </c>
      <c r="J144" s="1198" t="s">
        <v>1941</v>
      </c>
      <c r="K144" s="1198"/>
      <c r="L144" s="1540">
        <v>24.2</v>
      </c>
      <c r="M144" s="1198">
        <f t="shared" si="14"/>
        <v>0</v>
      </c>
      <c r="N144" s="1198">
        <v>5.0000000000000001E-3</v>
      </c>
      <c r="O144" s="1198">
        <f t="shared" si="15"/>
        <v>0</v>
      </c>
      <c r="P144" s="1539">
        <f t="shared" si="16"/>
        <v>0</v>
      </c>
      <c r="Q144" s="1571">
        <v>0.12609999999999999</v>
      </c>
      <c r="R144" s="1539">
        <f t="shared" si="17"/>
        <v>0</v>
      </c>
      <c r="S144" s="1198">
        <v>0.01</v>
      </c>
      <c r="T144" s="1539">
        <f t="shared" si="18"/>
        <v>0</v>
      </c>
      <c r="U144" s="1539">
        <f t="shared" si="19"/>
        <v>0</v>
      </c>
      <c r="V144" s="1570">
        <f t="shared" si="20"/>
        <v>0</v>
      </c>
    </row>
    <row r="145" spans="1:22" x14ac:dyDescent="0.25">
      <c r="A145" s="1390" t="s">
        <v>2751</v>
      </c>
      <c r="B145" s="1322">
        <v>1501</v>
      </c>
      <c r="C145" s="1198" t="s">
        <v>1964</v>
      </c>
      <c r="D145" s="1198" t="s">
        <v>342</v>
      </c>
      <c r="E145" s="1198" t="s">
        <v>1966</v>
      </c>
      <c r="F145" s="1198">
        <v>150106</v>
      </c>
      <c r="G145" s="1774" t="s">
        <v>350</v>
      </c>
      <c r="H145" s="1198">
        <f>Dataark_til_bilag3_2030[[#This Row],[Staldkode]]+Dataark_til_bilag3_2030[[#This Row],[Dyrekode]]</f>
        <v>151607</v>
      </c>
      <c r="I145" s="1222">
        <v>0</v>
      </c>
      <c r="J145" s="1198" t="s">
        <v>350</v>
      </c>
      <c r="K145" s="1198"/>
      <c r="L145" s="1540">
        <v>24.2</v>
      </c>
      <c r="M145" s="1198">
        <f t="shared" si="14"/>
        <v>0</v>
      </c>
      <c r="N145" s="1198">
        <v>5.0000000000000001E-3</v>
      </c>
      <c r="O145" s="1198">
        <f t="shared" si="15"/>
        <v>0</v>
      </c>
      <c r="P145" s="1539">
        <f t="shared" si="16"/>
        <v>0</v>
      </c>
      <c r="Q145" s="1571">
        <v>0.12609999999999999</v>
      </c>
      <c r="R145" s="1539">
        <f t="shared" si="17"/>
        <v>0</v>
      </c>
      <c r="S145" s="1198">
        <v>0.01</v>
      </c>
      <c r="T145" s="1539">
        <f t="shared" si="18"/>
        <v>0</v>
      </c>
      <c r="U145" s="1539">
        <f t="shared" si="19"/>
        <v>0</v>
      </c>
      <c r="V145" s="1570">
        <f t="shared" si="20"/>
        <v>0</v>
      </c>
    </row>
    <row r="146" spans="1:22" x14ac:dyDescent="0.25">
      <c r="A146" s="1390" t="s">
        <v>907</v>
      </c>
      <c r="B146" s="1322">
        <v>1501</v>
      </c>
      <c r="C146" s="1198" t="s">
        <v>2892</v>
      </c>
      <c r="D146" s="1198" t="s">
        <v>342</v>
      </c>
      <c r="E146" s="1198" t="s">
        <v>1965</v>
      </c>
      <c r="F146" s="1198">
        <v>150107</v>
      </c>
      <c r="G146" s="1198" t="s">
        <v>353</v>
      </c>
      <c r="H146" s="1198">
        <f>Dataark_til_bilag3_2030[[#This Row],[Staldkode]]+Dataark_til_bilag3_2030[[#This Row],[Dyrekode]]</f>
        <v>151608</v>
      </c>
      <c r="I146" s="1222">
        <v>0</v>
      </c>
      <c r="J146" s="1198" t="s">
        <v>1941</v>
      </c>
      <c r="K146" s="1198"/>
      <c r="L146" s="1540">
        <v>24.2</v>
      </c>
      <c r="M146" s="1198">
        <f t="shared" si="14"/>
        <v>0</v>
      </c>
      <c r="N146" s="1198">
        <v>5.0000000000000001E-3</v>
      </c>
      <c r="O146" s="1198">
        <f t="shared" si="15"/>
        <v>0</v>
      </c>
      <c r="P146" s="1539">
        <f t="shared" si="16"/>
        <v>0</v>
      </c>
      <c r="Q146" s="1571">
        <v>0.12609999999999999</v>
      </c>
      <c r="R146" s="1539">
        <f t="shared" si="17"/>
        <v>0</v>
      </c>
      <c r="S146" s="1198">
        <v>0.01</v>
      </c>
      <c r="T146" s="1539">
        <f t="shared" si="18"/>
        <v>0</v>
      </c>
      <c r="U146" s="1539">
        <f t="shared" si="19"/>
        <v>0</v>
      </c>
      <c r="V146" s="1570">
        <f t="shared" si="20"/>
        <v>0</v>
      </c>
    </row>
    <row r="147" spans="1:22" x14ac:dyDescent="0.25">
      <c r="A147" s="1390" t="s">
        <v>907</v>
      </c>
      <c r="B147" s="1322">
        <v>1501</v>
      </c>
      <c r="C147" s="1198" t="s">
        <v>2892</v>
      </c>
      <c r="D147" s="1198" t="s">
        <v>342</v>
      </c>
      <c r="E147" s="1198" t="s">
        <v>1963</v>
      </c>
      <c r="F147" s="1198">
        <v>150108</v>
      </c>
      <c r="G147" s="1198" t="s">
        <v>353</v>
      </c>
      <c r="H147" s="1198">
        <f>Dataark_til_bilag3_2030[[#This Row],[Staldkode]]+Dataark_til_bilag3_2030[[#This Row],[Dyrekode]]</f>
        <v>151609</v>
      </c>
      <c r="I147" s="1222">
        <v>0</v>
      </c>
      <c r="J147" s="1198" t="s">
        <v>1903</v>
      </c>
      <c r="K147" s="1198"/>
      <c r="L147" s="1540">
        <v>24.2</v>
      </c>
      <c r="M147" s="1198">
        <f t="shared" si="14"/>
        <v>0</v>
      </c>
      <c r="N147" s="1198">
        <v>5.0000000000000001E-3</v>
      </c>
      <c r="O147" s="1198">
        <f t="shared" si="15"/>
        <v>0</v>
      </c>
      <c r="P147" s="1539">
        <f t="shared" si="16"/>
        <v>0</v>
      </c>
      <c r="Q147" s="1571">
        <v>0.12609999999999999</v>
      </c>
      <c r="R147" s="1539">
        <f t="shared" si="17"/>
        <v>0</v>
      </c>
      <c r="S147" s="1198">
        <v>0.01</v>
      </c>
      <c r="T147" s="1539">
        <f t="shared" si="18"/>
        <v>0</v>
      </c>
      <c r="U147" s="1539">
        <f t="shared" si="19"/>
        <v>0</v>
      </c>
      <c r="V147" s="1570">
        <f t="shared" si="20"/>
        <v>0</v>
      </c>
    </row>
    <row r="148" spans="1:22" x14ac:dyDescent="0.25">
      <c r="A148" s="1390" t="s">
        <v>907</v>
      </c>
      <c r="B148" s="1322">
        <v>1502</v>
      </c>
      <c r="C148" s="1198" t="s">
        <v>2891</v>
      </c>
      <c r="D148" s="1198" t="s">
        <v>342</v>
      </c>
      <c r="E148" s="1198" t="s">
        <v>1962</v>
      </c>
      <c r="F148" s="1198">
        <v>150201</v>
      </c>
      <c r="G148" s="1198" t="s">
        <v>353</v>
      </c>
      <c r="H148" s="1198">
        <f>Dataark_til_bilag3_2030[[#This Row],[Staldkode]]+Dataark_til_bilag3_2030[[#This Row],[Dyrekode]]</f>
        <v>151703</v>
      </c>
      <c r="I148" s="1222">
        <v>0</v>
      </c>
      <c r="J148" s="1198" t="s">
        <v>1941</v>
      </c>
      <c r="K148" s="1198"/>
      <c r="L148" s="1577" t="s">
        <v>455</v>
      </c>
      <c r="M148" s="1545" t="str">
        <f t="shared" si="14"/>
        <v xml:space="preserve"> </v>
      </c>
      <c r="N148" s="1198">
        <v>5.0000000000000001E-3</v>
      </c>
      <c r="O148" s="1545" t="str">
        <f t="shared" si="15"/>
        <v xml:space="preserve"> </v>
      </c>
      <c r="P148" s="1544" t="str">
        <f t="shared" si="16"/>
        <v xml:space="preserve"> </v>
      </c>
      <c r="Q148" s="1571">
        <v>0.12609999999999999</v>
      </c>
      <c r="R148" s="1544" t="str">
        <f t="shared" si="17"/>
        <v xml:space="preserve"> </v>
      </c>
      <c r="S148" s="1198">
        <v>0.01</v>
      </c>
      <c r="T148" s="1544" t="str">
        <f t="shared" si="18"/>
        <v xml:space="preserve"> </v>
      </c>
      <c r="U148" s="1544">
        <f t="shared" si="19"/>
        <v>0</v>
      </c>
      <c r="V148" s="1544" t="str">
        <f t="shared" si="20"/>
        <v xml:space="preserve"> </v>
      </c>
    </row>
    <row r="149" spans="1:22" x14ac:dyDescent="0.25">
      <c r="A149" s="1390" t="s">
        <v>907</v>
      </c>
      <c r="B149" s="1322">
        <v>1502</v>
      </c>
      <c r="C149" s="1198" t="s">
        <v>2891</v>
      </c>
      <c r="D149" s="1198" t="s">
        <v>342</v>
      </c>
      <c r="E149" s="1198" t="s">
        <v>1961</v>
      </c>
      <c r="F149" s="1198">
        <v>150202</v>
      </c>
      <c r="G149" s="1198" t="s">
        <v>353</v>
      </c>
      <c r="H149" s="1198">
        <f>Dataark_til_bilag3_2030[[#This Row],[Staldkode]]+Dataark_til_bilag3_2030[[#This Row],[Dyrekode]]</f>
        <v>151704</v>
      </c>
      <c r="I149" s="1222">
        <v>0</v>
      </c>
      <c r="J149" s="1198" t="s">
        <v>1941</v>
      </c>
      <c r="K149" s="1198"/>
      <c r="L149" s="1577" t="s">
        <v>455</v>
      </c>
      <c r="M149" s="1545" t="str">
        <f t="shared" si="14"/>
        <v xml:space="preserve"> </v>
      </c>
      <c r="N149" s="1198">
        <v>5.0000000000000001E-3</v>
      </c>
      <c r="O149" s="1545" t="str">
        <f t="shared" si="15"/>
        <v xml:space="preserve"> </v>
      </c>
      <c r="P149" s="1544" t="str">
        <f t="shared" si="16"/>
        <v xml:space="preserve"> </v>
      </c>
      <c r="Q149" s="1571">
        <v>0.12609999999999999</v>
      </c>
      <c r="R149" s="1544" t="str">
        <f t="shared" si="17"/>
        <v xml:space="preserve"> </v>
      </c>
      <c r="S149" s="1198">
        <v>0.01</v>
      </c>
      <c r="T149" s="1544" t="str">
        <f t="shared" si="18"/>
        <v xml:space="preserve"> </v>
      </c>
      <c r="U149" s="1544">
        <f t="shared" si="19"/>
        <v>0</v>
      </c>
      <c r="V149" s="1544" t="str">
        <f t="shared" si="20"/>
        <v xml:space="preserve"> </v>
      </c>
    </row>
    <row r="150" spans="1:22" x14ac:dyDescent="0.25">
      <c r="A150" s="1390" t="s">
        <v>907</v>
      </c>
      <c r="B150" s="1322">
        <v>1502</v>
      </c>
      <c r="C150" s="1198" t="s">
        <v>2891</v>
      </c>
      <c r="D150" s="1198" t="s">
        <v>342</v>
      </c>
      <c r="E150" s="1198" t="s">
        <v>351</v>
      </c>
      <c r="F150" s="1198">
        <v>150205</v>
      </c>
      <c r="G150" s="1774" t="s">
        <v>351</v>
      </c>
      <c r="H150" s="1198">
        <f>Dataark_til_bilag3_2030[[#This Row],[Staldkode]]+Dataark_til_bilag3_2030[[#This Row],[Dyrekode]]</f>
        <v>151707</v>
      </c>
      <c r="I150" s="1222">
        <v>0</v>
      </c>
      <c r="J150" s="1198" t="s">
        <v>1924</v>
      </c>
      <c r="K150" s="1198"/>
      <c r="L150" s="1577" t="s">
        <v>455</v>
      </c>
      <c r="M150" s="1545" t="str">
        <f t="shared" si="14"/>
        <v xml:space="preserve"> </v>
      </c>
      <c r="N150" s="1545"/>
      <c r="O150" s="1545" t="str">
        <f t="shared" si="15"/>
        <v xml:space="preserve"> </v>
      </c>
      <c r="P150" s="1544" t="str">
        <f t="shared" si="16"/>
        <v xml:space="preserve"> </v>
      </c>
      <c r="Q150" s="1571">
        <v>0.12609999999999999</v>
      </c>
      <c r="R150" s="1544" t="str">
        <f t="shared" si="17"/>
        <v xml:space="preserve"> </v>
      </c>
      <c r="S150" s="1198">
        <v>0.01</v>
      </c>
      <c r="T150" s="1544" t="str">
        <f t="shared" si="18"/>
        <v xml:space="preserve"> </v>
      </c>
      <c r="U150" s="1544">
        <f t="shared" si="19"/>
        <v>0</v>
      </c>
      <c r="V150" s="1544" t="str">
        <f t="shared" si="20"/>
        <v xml:space="preserve"> </v>
      </c>
    </row>
    <row r="151" spans="1:22" x14ac:dyDescent="0.25">
      <c r="A151" s="1390" t="s">
        <v>907</v>
      </c>
      <c r="B151" s="1322">
        <v>1511</v>
      </c>
      <c r="C151" s="1198" t="s">
        <v>2752</v>
      </c>
      <c r="D151" s="1198" t="s">
        <v>339</v>
      </c>
      <c r="E151" s="1198" t="s">
        <v>1960</v>
      </c>
      <c r="F151" s="1198">
        <v>151101</v>
      </c>
      <c r="G151" s="1198" t="s">
        <v>353</v>
      </c>
      <c r="H151" s="1198">
        <f>Dataark_til_bilag3_2030[[#This Row],[Staldkode]]+Dataark_til_bilag3_2030[[#This Row],[Dyrekode]]</f>
        <v>152612</v>
      </c>
      <c r="I151" s="1222">
        <v>0</v>
      </c>
      <c r="J151" s="1198" t="s">
        <v>1941</v>
      </c>
      <c r="K151" s="1198"/>
      <c r="L151" s="1540">
        <v>0.47</v>
      </c>
      <c r="M151" s="1198">
        <f t="shared" si="14"/>
        <v>0</v>
      </c>
      <c r="N151" s="1198">
        <v>5.0000000000000001E-3</v>
      </c>
      <c r="O151" s="1198">
        <f t="shared" si="15"/>
        <v>0</v>
      </c>
      <c r="P151" s="1539">
        <f t="shared" si="16"/>
        <v>0</v>
      </c>
      <c r="Q151" s="1571">
        <v>0.12609999999999999</v>
      </c>
      <c r="R151" s="1539">
        <f t="shared" si="17"/>
        <v>0</v>
      </c>
      <c r="S151" s="1198">
        <v>0.01</v>
      </c>
      <c r="T151" s="1539">
        <f t="shared" si="18"/>
        <v>0</v>
      </c>
      <c r="U151" s="1539">
        <f t="shared" si="19"/>
        <v>0</v>
      </c>
      <c r="V151" s="1570">
        <f t="shared" si="20"/>
        <v>0</v>
      </c>
    </row>
    <row r="152" spans="1:22" x14ac:dyDescent="0.25">
      <c r="A152" s="1390" t="s">
        <v>907</v>
      </c>
      <c r="B152" s="1322">
        <v>1511</v>
      </c>
      <c r="C152" s="1198" t="s">
        <v>2752</v>
      </c>
      <c r="D152" s="1198" t="s">
        <v>339</v>
      </c>
      <c r="E152" s="1198" t="s">
        <v>1959</v>
      </c>
      <c r="F152" s="1198">
        <v>151103</v>
      </c>
      <c r="G152" s="1198" t="s">
        <v>353</v>
      </c>
      <c r="H152" s="1198">
        <f>Dataark_til_bilag3_2030[[#This Row],[Staldkode]]+Dataark_til_bilag3_2030[[#This Row],[Dyrekode]]</f>
        <v>152614</v>
      </c>
      <c r="I152" s="1222">
        <v>0</v>
      </c>
      <c r="J152" s="1198" t="s">
        <v>1941</v>
      </c>
      <c r="K152" s="1198"/>
      <c r="L152" s="1540">
        <v>0.47</v>
      </c>
      <c r="M152" s="1198">
        <f t="shared" si="14"/>
        <v>0</v>
      </c>
      <c r="N152" s="1198">
        <v>5.0000000000000001E-3</v>
      </c>
      <c r="O152" s="1198">
        <f t="shared" si="15"/>
        <v>0</v>
      </c>
      <c r="P152" s="1539">
        <f t="shared" si="16"/>
        <v>0</v>
      </c>
      <c r="Q152" s="1571">
        <v>0.12609999999999999</v>
      </c>
      <c r="R152" s="1539">
        <f t="shared" si="17"/>
        <v>0</v>
      </c>
      <c r="S152" s="1198">
        <v>0.01</v>
      </c>
      <c r="T152" s="1539">
        <f t="shared" si="18"/>
        <v>0</v>
      </c>
      <c r="U152" s="1539">
        <f t="shared" si="19"/>
        <v>0</v>
      </c>
      <c r="V152" s="1570">
        <f t="shared" si="20"/>
        <v>0</v>
      </c>
    </row>
    <row r="153" spans="1:22" x14ac:dyDescent="0.25">
      <c r="A153" s="1390" t="s">
        <v>907</v>
      </c>
      <c r="B153" s="1322">
        <v>1511</v>
      </c>
      <c r="C153" s="1198" t="s">
        <v>2752</v>
      </c>
      <c r="D153" s="1198" t="s">
        <v>339</v>
      </c>
      <c r="E153" s="1198" t="s">
        <v>1944</v>
      </c>
      <c r="F153" s="1198">
        <v>151104</v>
      </c>
      <c r="G153" s="1198" t="s">
        <v>352</v>
      </c>
      <c r="H153" s="1198">
        <f>Dataark_til_bilag3_2030[[#This Row],[Staldkode]]+Dataark_til_bilag3_2030[[#This Row],[Dyrekode]]</f>
        <v>152615</v>
      </c>
      <c r="I153" s="1222">
        <v>0</v>
      </c>
      <c r="J153" s="1198" t="s">
        <v>1903</v>
      </c>
      <c r="K153" s="1198"/>
      <c r="L153" s="1540">
        <v>0.47</v>
      </c>
      <c r="M153" s="1198">
        <f t="shared" si="14"/>
        <v>0</v>
      </c>
      <c r="N153" s="1198">
        <v>5.0000000000000001E-3</v>
      </c>
      <c r="O153" s="1198">
        <f t="shared" si="15"/>
        <v>0</v>
      </c>
      <c r="P153" s="1539">
        <f t="shared" si="16"/>
        <v>0</v>
      </c>
      <c r="Q153" s="1571">
        <v>0.12609999999999999</v>
      </c>
      <c r="R153" s="1539">
        <f t="shared" si="17"/>
        <v>0</v>
      </c>
      <c r="S153" s="1198">
        <v>0.01</v>
      </c>
      <c r="T153" s="1539">
        <f t="shared" si="18"/>
        <v>0</v>
      </c>
      <c r="U153" s="1539">
        <f t="shared" si="19"/>
        <v>0</v>
      </c>
      <c r="V153" s="1570">
        <f t="shared" si="20"/>
        <v>0</v>
      </c>
    </row>
    <row r="154" spans="1:22" x14ac:dyDescent="0.25">
      <c r="A154" s="1390" t="s">
        <v>907</v>
      </c>
      <c r="B154" s="1322">
        <v>1511</v>
      </c>
      <c r="C154" s="1198" t="s">
        <v>2752</v>
      </c>
      <c r="D154" s="1198" t="s">
        <v>339</v>
      </c>
      <c r="E154" s="1198" t="s">
        <v>350</v>
      </c>
      <c r="F154" s="1198">
        <v>151105</v>
      </c>
      <c r="G154" s="1198" t="s">
        <v>350</v>
      </c>
      <c r="H154" s="1198">
        <f>Dataark_til_bilag3_2030[[#This Row],[Staldkode]]+Dataark_til_bilag3_2030[[#This Row],[Dyrekode]]</f>
        <v>152616</v>
      </c>
      <c r="I154" s="1222">
        <v>27.54</v>
      </c>
      <c r="J154" s="1198"/>
      <c r="K154" s="1198" t="s">
        <v>350</v>
      </c>
      <c r="L154" s="1540">
        <v>0.47</v>
      </c>
      <c r="M154" s="1198">
        <f t="shared" si="14"/>
        <v>12.9438</v>
      </c>
      <c r="N154" s="1198">
        <v>7.0000000000000007E-2</v>
      </c>
      <c r="O154" s="1198">
        <f t="shared" si="15"/>
        <v>0.90606600000000004</v>
      </c>
      <c r="P154" s="1539">
        <f t="shared" si="16"/>
        <v>1.4238180000000003</v>
      </c>
      <c r="Q154" s="1571">
        <v>0.12609999999999999</v>
      </c>
      <c r="R154" s="1539">
        <f t="shared" si="17"/>
        <v>1.6322131799999997</v>
      </c>
      <c r="S154" s="1198">
        <v>0.01</v>
      </c>
      <c r="T154" s="1539">
        <f t="shared" si="18"/>
        <v>1.6322131799999997E-2</v>
      </c>
      <c r="U154" s="1539">
        <f t="shared" si="19"/>
        <v>2.5649064257142855E-2</v>
      </c>
      <c r="V154" s="1570">
        <f t="shared" si="20"/>
        <v>1.4494670642571431E-3</v>
      </c>
    </row>
    <row r="155" spans="1:22" x14ac:dyDescent="0.25">
      <c r="A155" s="1390" t="s">
        <v>907</v>
      </c>
      <c r="B155" s="1322">
        <v>1512</v>
      </c>
      <c r="C155" s="1198" t="s">
        <v>2753</v>
      </c>
      <c r="D155" s="1198" t="s">
        <v>2747</v>
      </c>
      <c r="E155" s="1198" t="s">
        <v>1945</v>
      </c>
      <c r="F155" s="1198">
        <v>151203</v>
      </c>
      <c r="G155" s="1198" t="s">
        <v>353</v>
      </c>
      <c r="H155" s="1198">
        <f>Dataark_til_bilag3_2030[[#This Row],[Staldkode]]+Dataark_til_bilag3_2030[[#This Row],[Dyrekode]]</f>
        <v>152715</v>
      </c>
      <c r="I155" s="1222">
        <v>0</v>
      </c>
      <c r="J155" s="1198" t="s">
        <v>1941</v>
      </c>
      <c r="K155" s="1198"/>
      <c r="L155" s="1540">
        <v>2.94</v>
      </c>
      <c r="M155" s="1198">
        <f t="shared" si="14"/>
        <v>0</v>
      </c>
      <c r="N155" s="1198">
        <v>5.0000000000000001E-3</v>
      </c>
      <c r="O155" s="1198">
        <f t="shared" si="15"/>
        <v>0</v>
      </c>
      <c r="P155" s="1539">
        <f t="shared" si="16"/>
        <v>0</v>
      </c>
      <c r="Q155" s="1571">
        <v>0.12609999999999999</v>
      </c>
      <c r="R155" s="1539">
        <f t="shared" si="17"/>
        <v>0</v>
      </c>
      <c r="S155" s="1198">
        <v>0.01</v>
      </c>
      <c r="T155" s="1539">
        <f t="shared" si="18"/>
        <v>0</v>
      </c>
      <c r="U155" s="1539">
        <f t="shared" si="19"/>
        <v>0</v>
      </c>
      <c r="V155" s="1570">
        <f t="shared" si="20"/>
        <v>0</v>
      </c>
    </row>
    <row r="156" spans="1:22" x14ac:dyDescent="0.25">
      <c r="A156" s="1390" t="s">
        <v>907</v>
      </c>
      <c r="B156" s="1322">
        <v>1512</v>
      </c>
      <c r="C156" s="1198" t="s">
        <v>2753</v>
      </c>
      <c r="D156" s="1198" t="s">
        <v>2747</v>
      </c>
      <c r="E156" s="1198" t="s">
        <v>1944</v>
      </c>
      <c r="F156" s="1198">
        <v>151204</v>
      </c>
      <c r="G156" s="1198" t="s">
        <v>352</v>
      </c>
      <c r="H156" s="1198">
        <f>Dataark_til_bilag3_2030[[#This Row],[Staldkode]]+Dataark_til_bilag3_2030[[#This Row],[Dyrekode]]</f>
        <v>152716</v>
      </c>
      <c r="I156" s="1222">
        <v>0</v>
      </c>
      <c r="J156" s="1198" t="s">
        <v>1903</v>
      </c>
      <c r="K156" s="1198"/>
      <c r="L156" s="1540">
        <v>2.94</v>
      </c>
      <c r="M156" s="1198">
        <f t="shared" si="14"/>
        <v>0</v>
      </c>
      <c r="N156" s="1198">
        <v>5.0000000000000001E-3</v>
      </c>
      <c r="O156" s="1198">
        <f t="shared" si="15"/>
        <v>0</v>
      </c>
      <c r="P156" s="1539">
        <f t="shared" si="16"/>
        <v>0</v>
      </c>
      <c r="Q156" s="1571">
        <v>0.12609999999999999</v>
      </c>
      <c r="R156" s="1539">
        <f t="shared" si="17"/>
        <v>0</v>
      </c>
      <c r="S156" s="1198">
        <v>0.01</v>
      </c>
      <c r="T156" s="1539">
        <f t="shared" si="18"/>
        <v>0</v>
      </c>
      <c r="U156" s="1539">
        <f t="shared" si="19"/>
        <v>0</v>
      </c>
      <c r="V156" s="1570">
        <f t="shared" si="20"/>
        <v>0</v>
      </c>
    </row>
    <row r="157" spans="1:22" x14ac:dyDescent="0.25">
      <c r="A157" s="1390" t="s">
        <v>907</v>
      </c>
      <c r="B157" s="1322">
        <v>1512</v>
      </c>
      <c r="C157" s="1198" t="s">
        <v>2753</v>
      </c>
      <c r="D157" s="1198" t="s">
        <v>2747</v>
      </c>
      <c r="E157" s="1198" t="s">
        <v>1942</v>
      </c>
      <c r="F157" s="1198">
        <v>151205</v>
      </c>
      <c r="G157" s="1198" t="s">
        <v>350</v>
      </c>
      <c r="H157" s="1198">
        <f>Dataark_til_bilag3_2030[[#This Row],[Staldkode]]+Dataark_til_bilag3_2030[[#This Row],[Dyrekode]]</f>
        <v>152717</v>
      </c>
      <c r="I157" s="1222">
        <v>0</v>
      </c>
      <c r="J157" s="1198" t="s">
        <v>1941</v>
      </c>
      <c r="K157" s="1198"/>
      <c r="L157" s="1540">
        <v>2.94</v>
      </c>
      <c r="M157" s="1198">
        <f t="shared" si="14"/>
        <v>0</v>
      </c>
      <c r="N157" s="1198">
        <v>5.0000000000000001E-3</v>
      </c>
      <c r="O157" s="1198">
        <f t="shared" si="15"/>
        <v>0</v>
      </c>
      <c r="P157" s="1539">
        <f t="shared" si="16"/>
        <v>0</v>
      </c>
      <c r="Q157" s="1571">
        <v>0.12609999999999999</v>
      </c>
      <c r="R157" s="1539">
        <f t="shared" si="17"/>
        <v>0</v>
      </c>
      <c r="S157" s="1198">
        <v>0.01</v>
      </c>
      <c r="T157" s="1539">
        <f t="shared" si="18"/>
        <v>0</v>
      </c>
      <c r="U157" s="1539">
        <f t="shared" si="19"/>
        <v>0</v>
      </c>
      <c r="V157" s="1570">
        <f t="shared" si="20"/>
        <v>0</v>
      </c>
    </row>
    <row r="158" spans="1:22" x14ac:dyDescent="0.25">
      <c r="A158" s="1390" t="s">
        <v>907</v>
      </c>
      <c r="B158" s="1322">
        <v>1512</v>
      </c>
      <c r="C158" s="1198" t="s">
        <v>2753</v>
      </c>
      <c r="D158" s="1198" t="s">
        <v>2747</v>
      </c>
      <c r="E158" s="1198" t="s">
        <v>350</v>
      </c>
      <c r="F158" s="1198">
        <v>151206</v>
      </c>
      <c r="G158" s="1198" t="s">
        <v>350</v>
      </c>
      <c r="H158" s="1198">
        <f>Dataark_til_bilag3_2030[[#This Row],[Staldkode]]+Dataark_til_bilag3_2030[[#This Row],[Dyrekode]]</f>
        <v>152718</v>
      </c>
      <c r="I158" s="1222">
        <v>27.54</v>
      </c>
      <c r="J158" s="1198"/>
      <c r="K158" s="1198" t="s">
        <v>350</v>
      </c>
      <c r="L158" s="1540">
        <v>2.94</v>
      </c>
      <c r="M158" s="1198">
        <f t="shared" si="14"/>
        <v>80.96759999999999</v>
      </c>
      <c r="N158" s="1198">
        <v>7.0000000000000007E-2</v>
      </c>
      <c r="O158" s="1198">
        <f t="shared" si="15"/>
        <v>5.667732</v>
      </c>
      <c r="P158" s="1539">
        <f t="shared" si="16"/>
        <v>8.9064360000000011</v>
      </c>
      <c r="Q158" s="1571">
        <v>0.12609999999999999</v>
      </c>
      <c r="R158" s="1539">
        <f t="shared" si="17"/>
        <v>10.210014359999997</v>
      </c>
      <c r="S158" s="1198">
        <v>0.01</v>
      </c>
      <c r="T158" s="1539">
        <f t="shared" si="18"/>
        <v>0.10210014359999997</v>
      </c>
      <c r="U158" s="1539">
        <f t="shared" si="19"/>
        <v>0.16044308279999994</v>
      </c>
      <c r="V158" s="1570">
        <f t="shared" si="20"/>
        <v>9.0668790828000011E-3</v>
      </c>
    </row>
    <row r="159" spans="1:22" x14ac:dyDescent="0.25">
      <c r="A159" s="1390" t="s">
        <v>907</v>
      </c>
      <c r="B159" s="1322">
        <v>1512</v>
      </c>
      <c r="C159" s="1198" t="s">
        <v>2753</v>
      </c>
      <c r="D159" s="1198" t="s">
        <v>2747</v>
      </c>
      <c r="E159" s="1198" t="s">
        <v>1958</v>
      </c>
      <c r="F159" s="1198">
        <v>151207</v>
      </c>
      <c r="G159" s="1198" t="s">
        <v>353</v>
      </c>
      <c r="H159" s="1198">
        <f>Dataark_til_bilag3_2030[[#This Row],[Staldkode]]+Dataark_til_bilag3_2030[[#This Row],[Dyrekode]]</f>
        <v>152719</v>
      </c>
      <c r="I159" s="1222">
        <v>0</v>
      </c>
      <c r="J159" s="1198" t="s">
        <v>1941</v>
      </c>
      <c r="K159" s="1198"/>
      <c r="L159" s="1540">
        <v>2.94</v>
      </c>
      <c r="M159" s="1198">
        <f t="shared" si="14"/>
        <v>0</v>
      </c>
      <c r="N159" s="1198">
        <v>5.0000000000000001E-3</v>
      </c>
      <c r="O159" s="1198">
        <f t="shared" si="15"/>
        <v>0</v>
      </c>
      <c r="P159" s="1539">
        <f t="shared" si="16"/>
        <v>0</v>
      </c>
      <c r="Q159" s="1571">
        <v>0.12609999999999999</v>
      </c>
      <c r="R159" s="1539">
        <f t="shared" si="17"/>
        <v>0</v>
      </c>
      <c r="S159" s="1198">
        <v>0.01</v>
      </c>
      <c r="T159" s="1539">
        <f t="shared" si="18"/>
        <v>0</v>
      </c>
      <c r="U159" s="1539">
        <f t="shared" si="19"/>
        <v>0</v>
      </c>
      <c r="V159" s="1570">
        <f t="shared" si="20"/>
        <v>0</v>
      </c>
    </row>
    <row r="160" spans="1:22" x14ac:dyDescent="0.25">
      <c r="A160" s="1390" t="s">
        <v>907</v>
      </c>
      <c r="B160" s="1322">
        <v>1512</v>
      </c>
      <c r="C160" s="1198" t="s">
        <v>2753</v>
      </c>
      <c r="D160" s="1198" t="s">
        <v>2747</v>
      </c>
      <c r="E160" s="1198" t="s">
        <v>2890</v>
      </c>
      <c r="F160" s="1198">
        <v>151208</v>
      </c>
      <c r="G160" s="1198" t="s">
        <v>353</v>
      </c>
      <c r="H160" s="1198">
        <f>Dataark_til_bilag3_2030[[#This Row],[Staldkode]]+Dataark_til_bilag3_2030[[#This Row],[Dyrekode]]</f>
        <v>152720</v>
      </c>
      <c r="I160" s="1222">
        <v>0</v>
      </c>
      <c r="J160" s="1198" t="s">
        <v>1941</v>
      </c>
      <c r="K160" s="1198"/>
      <c r="L160" s="1540">
        <v>2.94</v>
      </c>
      <c r="M160" s="1198">
        <f t="shared" si="14"/>
        <v>0</v>
      </c>
      <c r="N160" s="1198">
        <v>5.0000000000000001E-3</v>
      </c>
      <c r="O160" s="1198">
        <f t="shared" si="15"/>
        <v>0</v>
      </c>
      <c r="P160" s="1539">
        <f t="shared" si="16"/>
        <v>0</v>
      </c>
      <c r="Q160" s="1571">
        <v>0.12609999999999999</v>
      </c>
      <c r="R160" s="1539">
        <f t="shared" si="17"/>
        <v>0</v>
      </c>
      <c r="S160" s="1198">
        <v>0.01</v>
      </c>
      <c r="T160" s="1539">
        <f t="shared" si="18"/>
        <v>0</v>
      </c>
      <c r="U160" s="1539">
        <f t="shared" si="19"/>
        <v>0</v>
      </c>
      <c r="V160" s="1570">
        <f t="shared" si="20"/>
        <v>0</v>
      </c>
    </row>
    <row r="161" spans="1:22" s="1572" customFormat="1" x14ac:dyDescent="0.25">
      <c r="A161" s="1543" t="s">
        <v>907</v>
      </c>
      <c r="B161" s="1542">
        <v>1513</v>
      </c>
      <c r="C161" s="1542" t="s">
        <v>1954</v>
      </c>
      <c r="D161" s="1542" t="s">
        <v>342</v>
      </c>
      <c r="E161" s="1542" t="s">
        <v>1956</v>
      </c>
      <c r="F161" s="1542">
        <v>151301</v>
      </c>
      <c r="G161" s="1542" t="s">
        <v>350</v>
      </c>
      <c r="H161" s="1542">
        <f>Dataark_til_bilag3_2030[[#This Row],[Staldkode]]+Dataark_til_bilag3_2030[[#This Row],[Dyrekode]]</f>
        <v>152814</v>
      </c>
      <c r="I161" s="1222" t="s">
        <v>270</v>
      </c>
      <c r="J161" s="1542" t="s">
        <v>1941</v>
      </c>
      <c r="K161" s="1542"/>
      <c r="L161" s="1541">
        <v>28.5</v>
      </c>
      <c r="M161" s="1198" t="str">
        <f t="shared" si="14"/>
        <v xml:space="preserve"> </v>
      </c>
      <c r="N161" s="1198">
        <v>5.0000000000000001E-3</v>
      </c>
      <c r="O161" s="1198" t="str">
        <f t="shared" si="15"/>
        <v xml:space="preserve"> </v>
      </c>
      <c r="P161" s="1539" t="str">
        <f t="shared" si="16"/>
        <v xml:space="preserve"> </v>
      </c>
      <c r="Q161" s="1571">
        <v>0.12609999999999999</v>
      </c>
      <c r="R161" s="1539" t="str">
        <f t="shared" si="17"/>
        <v xml:space="preserve"> </v>
      </c>
      <c r="S161" s="1198">
        <v>0.01</v>
      </c>
      <c r="T161" s="1539" t="str">
        <f t="shared" si="18"/>
        <v xml:space="preserve"> </v>
      </c>
      <c r="U161" s="1539">
        <f t="shared" si="19"/>
        <v>0</v>
      </c>
      <c r="V161" s="1570" t="str">
        <f t="shared" si="20"/>
        <v xml:space="preserve"> </v>
      </c>
    </row>
    <row r="162" spans="1:22" x14ac:dyDescent="0.25">
      <c r="A162" s="1390" t="s">
        <v>907</v>
      </c>
      <c r="B162" s="1322">
        <v>1513</v>
      </c>
      <c r="C162" s="1198" t="s">
        <v>1954</v>
      </c>
      <c r="D162" s="1198" t="s">
        <v>342</v>
      </c>
      <c r="E162" s="1198" t="s">
        <v>1955</v>
      </c>
      <c r="F162" s="1198">
        <v>151302</v>
      </c>
      <c r="G162" s="1198" t="s">
        <v>353</v>
      </c>
      <c r="H162" s="1198">
        <f>Dataark_til_bilag3_2030[[#This Row],[Staldkode]]+Dataark_til_bilag3_2030[[#This Row],[Dyrekode]]</f>
        <v>152815</v>
      </c>
      <c r="I162" s="1222" t="s">
        <v>270</v>
      </c>
      <c r="J162" s="1198" t="s">
        <v>1924</v>
      </c>
      <c r="K162" s="1198"/>
      <c r="L162" s="1540">
        <v>28.5</v>
      </c>
      <c r="M162" s="1198" t="str">
        <f t="shared" si="14"/>
        <v xml:space="preserve"> </v>
      </c>
      <c r="N162" s="1198">
        <v>5.0000000000000001E-3</v>
      </c>
      <c r="O162" s="1198" t="str">
        <f t="shared" si="15"/>
        <v xml:space="preserve"> </v>
      </c>
      <c r="P162" s="1539" t="str">
        <f t="shared" si="16"/>
        <v xml:space="preserve"> </v>
      </c>
      <c r="Q162" s="1571">
        <v>0.12609999999999999</v>
      </c>
      <c r="R162" s="1539" t="str">
        <f t="shared" si="17"/>
        <v xml:space="preserve"> </v>
      </c>
      <c r="S162" s="1198">
        <v>0.01</v>
      </c>
      <c r="T162" s="1539" t="str">
        <f t="shared" si="18"/>
        <v xml:space="preserve"> </v>
      </c>
      <c r="U162" s="1539">
        <f t="shared" si="19"/>
        <v>0</v>
      </c>
      <c r="V162" s="1570" t="str">
        <f t="shared" si="20"/>
        <v xml:space="preserve"> </v>
      </c>
    </row>
    <row r="163" spans="1:22" x14ac:dyDescent="0.25">
      <c r="A163" s="1575" t="s">
        <v>907</v>
      </c>
      <c r="B163" s="1543">
        <v>1513</v>
      </c>
      <c r="C163" s="1542" t="s">
        <v>2757</v>
      </c>
      <c r="D163" s="1542" t="s">
        <v>342</v>
      </c>
      <c r="E163" s="1542" t="s">
        <v>1966</v>
      </c>
      <c r="F163" s="1542">
        <v>151303</v>
      </c>
      <c r="G163" s="1542" t="s">
        <v>350</v>
      </c>
      <c r="H163" s="1542">
        <f>Dataark_til_bilag3_2030[[#This Row],[Staldkode]]+Dataark_til_bilag3_2030[[#This Row],[Dyrekode]]</f>
        <v>152816</v>
      </c>
      <c r="I163" s="1222" t="s">
        <v>270</v>
      </c>
      <c r="J163" s="1198" t="s">
        <v>1941</v>
      </c>
      <c r="K163" s="1198"/>
      <c r="L163" s="1540">
        <v>24.2</v>
      </c>
      <c r="M163" s="1198" t="str">
        <f t="shared" si="14"/>
        <v xml:space="preserve"> </v>
      </c>
      <c r="N163" s="1198">
        <v>5.0000000000000001E-3</v>
      </c>
      <c r="O163" s="1198" t="str">
        <f t="shared" si="15"/>
        <v xml:space="preserve"> </v>
      </c>
      <c r="P163" s="1539" t="str">
        <f t="shared" si="16"/>
        <v xml:space="preserve"> </v>
      </c>
      <c r="Q163" s="1571">
        <v>0.12609999999999999</v>
      </c>
      <c r="R163" s="1539" t="str">
        <f t="shared" si="17"/>
        <v xml:space="preserve"> </v>
      </c>
      <c r="S163" s="1198">
        <v>0.01</v>
      </c>
      <c r="T163" s="1539" t="str">
        <f t="shared" si="18"/>
        <v xml:space="preserve"> </v>
      </c>
      <c r="U163" s="1539">
        <f t="shared" si="19"/>
        <v>0</v>
      </c>
      <c r="V163" s="1570" t="str">
        <f t="shared" si="20"/>
        <v xml:space="preserve"> </v>
      </c>
    </row>
    <row r="164" spans="1:22" x14ac:dyDescent="0.25">
      <c r="A164" s="1390" t="s">
        <v>907</v>
      </c>
      <c r="B164" s="1322">
        <v>1514</v>
      </c>
      <c r="C164" s="1198" t="s">
        <v>1953</v>
      </c>
      <c r="D164" s="1198" t="s">
        <v>342</v>
      </c>
      <c r="E164" s="1198" t="s">
        <v>1952</v>
      </c>
      <c r="F164" s="1198">
        <v>151401</v>
      </c>
      <c r="G164" s="1774" t="s">
        <v>351</v>
      </c>
      <c r="H164" s="1198">
        <f>Dataark_til_bilag3_2030[[#This Row],[Staldkode]]+Dataark_til_bilag3_2030[[#This Row],[Dyrekode]]</f>
        <v>152915</v>
      </c>
      <c r="I164" s="1222" t="s">
        <v>270</v>
      </c>
      <c r="J164" s="1198" t="s">
        <v>1924</v>
      </c>
      <c r="K164" s="1198"/>
      <c r="L164" s="1540">
        <v>0.51</v>
      </c>
      <c r="M164" s="1198" t="str">
        <f t="shared" si="14"/>
        <v xml:space="preserve"> </v>
      </c>
      <c r="N164" s="1198">
        <v>5.0000000000000001E-3</v>
      </c>
      <c r="O164" s="1198" t="str">
        <f t="shared" si="15"/>
        <v xml:space="preserve"> </v>
      </c>
      <c r="P164" s="1539" t="str">
        <f t="shared" si="16"/>
        <v xml:space="preserve"> </v>
      </c>
      <c r="Q164" s="1571">
        <v>0.12609999999999999</v>
      </c>
      <c r="R164" s="1539" t="str">
        <f t="shared" si="17"/>
        <v xml:space="preserve"> </v>
      </c>
      <c r="S164" s="1198">
        <v>0.01</v>
      </c>
      <c r="T164" s="1539" t="str">
        <f t="shared" si="18"/>
        <v xml:space="preserve"> </v>
      </c>
      <c r="U164" s="1539">
        <f t="shared" si="19"/>
        <v>0</v>
      </c>
      <c r="V164" s="1570" t="str">
        <f t="shared" si="20"/>
        <v xml:space="preserve"> </v>
      </c>
    </row>
    <row r="165" spans="1:22" x14ac:dyDescent="0.25">
      <c r="A165" s="1390" t="s">
        <v>907</v>
      </c>
      <c r="B165" s="1322">
        <v>1515</v>
      </c>
      <c r="C165" s="1198" t="s">
        <v>1951</v>
      </c>
      <c r="D165" s="1198" t="s">
        <v>339</v>
      </c>
      <c r="E165" s="1198" t="s">
        <v>2748</v>
      </c>
      <c r="F165" s="1198">
        <v>151501</v>
      </c>
      <c r="G165" s="1198" t="s">
        <v>353</v>
      </c>
      <c r="H165" s="1198">
        <f>Dataark_til_bilag3_2030[[#This Row],[Staldkode]]+Dataark_til_bilag3_2030[[#This Row],[Dyrekode]]</f>
        <v>153016</v>
      </c>
      <c r="I165" s="1222" t="s">
        <v>270</v>
      </c>
      <c r="J165" s="1198" t="s">
        <v>2889</v>
      </c>
      <c r="K165" s="1198"/>
      <c r="L165" s="1540">
        <v>0.51</v>
      </c>
      <c r="M165" s="1198" t="str">
        <f t="shared" si="14"/>
        <v xml:space="preserve"> </v>
      </c>
      <c r="N165" s="1198">
        <v>5.0000000000000001E-3</v>
      </c>
      <c r="O165" s="1198" t="str">
        <f t="shared" si="15"/>
        <v xml:space="preserve"> </v>
      </c>
      <c r="P165" s="1539" t="str">
        <f t="shared" si="16"/>
        <v xml:space="preserve"> </v>
      </c>
      <c r="Q165" s="1571">
        <v>0.12609999999999999</v>
      </c>
      <c r="R165" s="1539" t="str">
        <f t="shared" si="17"/>
        <v xml:space="preserve"> </v>
      </c>
      <c r="S165" s="1198">
        <v>0.01</v>
      </c>
      <c r="T165" s="1539" t="str">
        <f t="shared" si="18"/>
        <v xml:space="preserve"> </v>
      </c>
      <c r="U165" s="1539">
        <f t="shared" si="19"/>
        <v>0</v>
      </c>
      <c r="V165" s="1570" t="str">
        <f t="shared" si="20"/>
        <v xml:space="preserve"> </v>
      </c>
    </row>
    <row r="166" spans="1:22" x14ac:dyDescent="0.25">
      <c r="A166" s="1390" t="s">
        <v>907</v>
      </c>
      <c r="B166" s="1322">
        <v>1515</v>
      </c>
      <c r="C166" s="1198" t="s">
        <v>1951</v>
      </c>
      <c r="D166" s="1198" t="s">
        <v>339</v>
      </c>
      <c r="E166" s="1198" t="s">
        <v>1947</v>
      </c>
      <c r="F166" s="1198">
        <v>151502</v>
      </c>
      <c r="G166" s="1198" t="s">
        <v>350</v>
      </c>
      <c r="H166" s="1198">
        <f>Dataark_til_bilag3_2030[[#This Row],[Staldkode]]+Dataark_til_bilag3_2030[[#This Row],[Dyrekode]]</f>
        <v>153017</v>
      </c>
      <c r="I166" s="1222" t="s">
        <v>270</v>
      </c>
      <c r="J166" s="1198" t="s">
        <v>1941</v>
      </c>
      <c r="K166" s="1198"/>
      <c r="L166" s="1540">
        <v>0.51</v>
      </c>
      <c r="M166" s="1198" t="str">
        <f t="shared" si="14"/>
        <v xml:space="preserve"> </v>
      </c>
      <c r="N166" s="1198">
        <v>5.0000000000000001E-3</v>
      </c>
      <c r="O166" s="1198" t="str">
        <f t="shared" si="15"/>
        <v xml:space="preserve"> </v>
      </c>
      <c r="P166" s="1539" t="str">
        <f t="shared" si="16"/>
        <v xml:space="preserve"> </v>
      </c>
      <c r="Q166" s="1571">
        <v>0.12609999999999999</v>
      </c>
      <c r="R166" s="1539" t="str">
        <f t="shared" si="17"/>
        <v xml:space="preserve"> </v>
      </c>
      <c r="S166" s="1198">
        <v>0.01</v>
      </c>
      <c r="T166" s="1539" t="str">
        <f t="shared" si="18"/>
        <v xml:space="preserve"> </v>
      </c>
      <c r="U166" s="1539">
        <f t="shared" si="19"/>
        <v>0</v>
      </c>
      <c r="V166" s="1570" t="str">
        <f t="shared" si="20"/>
        <v xml:space="preserve"> </v>
      </c>
    </row>
    <row r="167" spans="1:22" x14ac:dyDescent="0.25">
      <c r="A167" s="1390" t="s">
        <v>907</v>
      </c>
      <c r="B167" s="1322">
        <v>1515</v>
      </c>
      <c r="C167" s="1198" t="s">
        <v>1951</v>
      </c>
      <c r="D167" s="1198" t="s">
        <v>339</v>
      </c>
      <c r="E167" s="1198" t="s">
        <v>1950</v>
      </c>
      <c r="F167" s="1223">
        <v>151503</v>
      </c>
      <c r="G167" s="1198" t="s">
        <v>353</v>
      </c>
      <c r="H167" s="1198">
        <f>Dataark_til_bilag3_2030[[#This Row],[Staldkode]]+Dataark_til_bilag3_2030[[#This Row],[Dyrekode]]</f>
        <v>153018</v>
      </c>
      <c r="I167" s="1222" t="s">
        <v>270</v>
      </c>
      <c r="J167" s="1198" t="s">
        <v>1924</v>
      </c>
      <c r="K167" s="1198"/>
      <c r="L167" s="1540">
        <v>0.51</v>
      </c>
      <c r="M167" s="1198" t="str">
        <f t="shared" si="14"/>
        <v xml:space="preserve"> </v>
      </c>
      <c r="N167" s="1198">
        <v>5.0000000000000001E-3</v>
      </c>
      <c r="O167" s="1198" t="str">
        <f t="shared" si="15"/>
        <v xml:space="preserve"> </v>
      </c>
      <c r="P167" s="1539" t="str">
        <f t="shared" si="16"/>
        <v xml:space="preserve"> </v>
      </c>
      <c r="Q167" s="1571">
        <v>0.12609999999999999</v>
      </c>
      <c r="R167" s="1539" t="str">
        <f t="shared" si="17"/>
        <v xml:space="preserve"> </v>
      </c>
      <c r="S167" s="1198">
        <v>0.01</v>
      </c>
      <c r="T167" s="1539" t="str">
        <f t="shared" si="18"/>
        <v xml:space="preserve"> </v>
      </c>
      <c r="U167" s="1539">
        <f t="shared" si="19"/>
        <v>0</v>
      </c>
      <c r="V167" s="1570" t="str">
        <f t="shared" si="20"/>
        <v xml:space="preserve"> </v>
      </c>
    </row>
    <row r="168" spans="1:22" x14ac:dyDescent="0.25">
      <c r="A168" s="1390" t="s">
        <v>907</v>
      </c>
      <c r="B168" s="1322">
        <v>1516</v>
      </c>
      <c r="C168" s="1198" t="s">
        <v>1948</v>
      </c>
      <c r="D168" s="1198" t="s">
        <v>2747</v>
      </c>
      <c r="E168" s="1198" t="s">
        <v>1950</v>
      </c>
      <c r="F168" s="1198">
        <v>151601</v>
      </c>
      <c r="G168" s="1198" t="s">
        <v>353</v>
      </c>
      <c r="H168" s="1198">
        <f>Dataark_til_bilag3_2030[[#This Row],[Staldkode]]+Dataark_til_bilag3_2030[[#This Row],[Dyrekode]]</f>
        <v>153117</v>
      </c>
      <c r="I168" s="1222" t="s">
        <v>270</v>
      </c>
      <c r="J168" s="1198" t="s">
        <v>1924</v>
      </c>
      <c r="K168" s="1198"/>
      <c r="L168" s="1540">
        <v>3.96</v>
      </c>
      <c r="M168" s="1198" t="str">
        <f t="shared" si="14"/>
        <v xml:space="preserve"> </v>
      </c>
      <c r="N168" s="1198">
        <v>5.0000000000000001E-3</v>
      </c>
      <c r="O168" s="1198" t="str">
        <f t="shared" si="15"/>
        <v xml:space="preserve"> </v>
      </c>
      <c r="P168" s="1539" t="str">
        <f t="shared" si="16"/>
        <v xml:space="preserve"> </v>
      </c>
      <c r="Q168" s="1571">
        <v>0.12609999999999999</v>
      </c>
      <c r="R168" s="1539" t="str">
        <f t="shared" si="17"/>
        <v xml:space="preserve"> </v>
      </c>
      <c r="S168" s="1198">
        <v>0.01</v>
      </c>
      <c r="T168" s="1539" t="str">
        <f t="shared" si="18"/>
        <v xml:space="preserve"> </v>
      </c>
      <c r="U168" s="1539">
        <f t="shared" si="19"/>
        <v>0</v>
      </c>
      <c r="V168" s="1570" t="str">
        <f t="shared" si="20"/>
        <v xml:space="preserve"> </v>
      </c>
    </row>
    <row r="169" spans="1:22" x14ac:dyDescent="0.25">
      <c r="A169" s="1390" t="s">
        <v>907</v>
      </c>
      <c r="B169" s="1322">
        <v>1516</v>
      </c>
      <c r="C169" s="1198" t="s">
        <v>1948</v>
      </c>
      <c r="D169" s="1198" t="s">
        <v>2747</v>
      </c>
      <c r="E169" s="1198" t="s">
        <v>1949</v>
      </c>
      <c r="F169" s="1198">
        <v>151602</v>
      </c>
      <c r="G169" s="1198" t="s">
        <v>353</v>
      </c>
      <c r="H169" s="1198">
        <f>Dataark_til_bilag3_2030[[#This Row],[Staldkode]]+Dataark_til_bilag3_2030[[#This Row],[Dyrekode]]</f>
        <v>153118</v>
      </c>
      <c r="I169" s="1222" t="s">
        <v>270</v>
      </c>
      <c r="J169" s="1198" t="s">
        <v>1941</v>
      </c>
      <c r="K169" s="1198"/>
      <c r="L169" s="1540">
        <v>3.96</v>
      </c>
      <c r="M169" s="1198" t="str">
        <f t="shared" si="14"/>
        <v xml:space="preserve"> </v>
      </c>
      <c r="N169" s="1198">
        <v>5.0000000000000001E-3</v>
      </c>
      <c r="O169" s="1198" t="str">
        <f t="shared" si="15"/>
        <v xml:space="preserve"> </v>
      </c>
      <c r="P169" s="1539" t="str">
        <f t="shared" si="16"/>
        <v xml:space="preserve"> </v>
      </c>
      <c r="Q169" s="1571">
        <v>0.12609999999999999</v>
      </c>
      <c r="R169" s="1539" t="str">
        <f t="shared" si="17"/>
        <v xml:space="preserve"> </v>
      </c>
      <c r="S169" s="1198">
        <v>0.01</v>
      </c>
      <c r="T169" s="1539" t="str">
        <f t="shared" si="18"/>
        <v xml:space="preserve"> </v>
      </c>
      <c r="U169" s="1539">
        <f t="shared" si="19"/>
        <v>0</v>
      </c>
      <c r="V169" s="1570" t="str">
        <f t="shared" si="20"/>
        <v xml:space="preserve"> </v>
      </c>
    </row>
    <row r="170" spans="1:22" x14ac:dyDescent="0.25">
      <c r="A170" s="1390" t="s">
        <v>907</v>
      </c>
      <c r="B170" s="1322">
        <v>1516</v>
      </c>
      <c r="C170" s="1198" t="s">
        <v>1948</v>
      </c>
      <c r="D170" s="1198" t="s">
        <v>2747</v>
      </c>
      <c r="E170" s="1198" t="s">
        <v>1947</v>
      </c>
      <c r="F170" s="1198">
        <v>151603</v>
      </c>
      <c r="G170" s="1198" t="s">
        <v>350</v>
      </c>
      <c r="H170" s="1198">
        <f>Dataark_til_bilag3_2030[[#This Row],[Staldkode]]+Dataark_til_bilag3_2030[[#This Row],[Dyrekode]]</f>
        <v>153119</v>
      </c>
      <c r="I170" s="1222" t="s">
        <v>270</v>
      </c>
      <c r="J170" s="1198" t="s">
        <v>1941</v>
      </c>
      <c r="K170" s="1198"/>
      <c r="L170" s="1540">
        <v>3.96</v>
      </c>
      <c r="M170" s="1198" t="str">
        <f t="shared" si="14"/>
        <v xml:space="preserve"> </v>
      </c>
      <c r="N170" s="1198">
        <v>5.0000000000000001E-3</v>
      </c>
      <c r="O170" s="1198" t="str">
        <f t="shared" si="15"/>
        <v xml:space="preserve"> </v>
      </c>
      <c r="P170" s="1539" t="str">
        <f t="shared" si="16"/>
        <v xml:space="preserve"> </v>
      </c>
      <c r="Q170" s="1571">
        <v>0.12609999999999999</v>
      </c>
      <c r="R170" s="1539" t="str">
        <f t="shared" si="17"/>
        <v xml:space="preserve"> </v>
      </c>
      <c r="S170" s="1198">
        <v>0.01</v>
      </c>
      <c r="T170" s="1539" t="str">
        <f t="shared" si="18"/>
        <v xml:space="preserve"> </v>
      </c>
      <c r="U170" s="1539">
        <f t="shared" si="19"/>
        <v>0</v>
      </c>
      <c r="V170" s="1570" t="str">
        <f t="shared" si="20"/>
        <v xml:space="preserve"> </v>
      </c>
    </row>
    <row r="171" spans="1:22" x14ac:dyDescent="0.25">
      <c r="A171" s="1390" t="s">
        <v>907</v>
      </c>
      <c r="B171" s="1322">
        <v>1520</v>
      </c>
      <c r="C171" s="1198" t="s">
        <v>1940</v>
      </c>
      <c r="D171" s="1198" t="s">
        <v>2754</v>
      </c>
      <c r="E171" s="1198" t="s">
        <v>1946</v>
      </c>
      <c r="F171" s="1198">
        <v>152002</v>
      </c>
      <c r="G171" s="1198" t="s">
        <v>353</v>
      </c>
      <c r="H171" s="1198">
        <f>Dataark_til_bilag3_2030[[#This Row],[Staldkode]]+Dataark_til_bilag3_2030[[#This Row],[Dyrekode]]</f>
        <v>153522</v>
      </c>
      <c r="I171" s="1222">
        <v>0</v>
      </c>
      <c r="J171" s="1198" t="s">
        <v>1941</v>
      </c>
      <c r="K171" s="1198"/>
      <c r="L171" s="1540">
        <v>2.94</v>
      </c>
      <c r="M171" s="1198">
        <f t="shared" si="14"/>
        <v>0</v>
      </c>
      <c r="N171" s="1198">
        <v>5.0000000000000001E-3</v>
      </c>
      <c r="O171" s="1198">
        <f t="shared" si="15"/>
        <v>0</v>
      </c>
      <c r="P171" s="1539">
        <f t="shared" si="16"/>
        <v>0</v>
      </c>
      <c r="Q171" s="1571">
        <v>0.12609999999999999</v>
      </c>
      <c r="R171" s="1539">
        <f t="shared" si="17"/>
        <v>0</v>
      </c>
      <c r="S171" s="1198">
        <v>0.01</v>
      </c>
      <c r="T171" s="1539">
        <f t="shared" si="18"/>
        <v>0</v>
      </c>
      <c r="U171" s="1539">
        <f t="shared" si="19"/>
        <v>0</v>
      </c>
      <c r="V171" s="1570">
        <f t="shared" si="20"/>
        <v>0</v>
      </c>
    </row>
    <row r="172" spans="1:22" x14ac:dyDescent="0.25">
      <c r="A172" s="1322" t="s">
        <v>907</v>
      </c>
      <c r="B172" s="1322">
        <v>1520</v>
      </c>
      <c r="C172" s="1198" t="s">
        <v>1940</v>
      </c>
      <c r="D172" s="1198" t="s">
        <v>2754</v>
      </c>
      <c r="E172" s="1198" t="s">
        <v>2755</v>
      </c>
      <c r="F172" s="1198">
        <v>152003</v>
      </c>
      <c r="G172" s="1198" t="s">
        <v>353</v>
      </c>
      <c r="H172" s="1198">
        <f>Dataark_til_bilag3_2030[[#This Row],[Staldkode]]+Dataark_til_bilag3_2030[[#This Row],[Dyrekode]]</f>
        <v>153523</v>
      </c>
      <c r="I172" s="1222">
        <v>0</v>
      </c>
      <c r="J172" s="1198" t="s">
        <v>1941</v>
      </c>
      <c r="K172" s="1198"/>
      <c r="L172" s="1540">
        <v>2.94</v>
      </c>
      <c r="M172" s="1198">
        <f t="shared" si="14"/>
        <v>0</v>
      </c>
      <c r="N172" s="1198">
        <v>5.0000000000000001E-3</v>
      </c>
      <c r="O172" s="1198">
        <f t="shared" si="15"/>
        <v>0</v>
      </c>
      <c r="P172" s="1539">
        <f t="shared" si="16"/>
        <v>0</v>
      </c>
      <c r="Q172" s="1571">
        <v>0.12609999999999999</v>
      </c>
      <c r="R172" s="1539">
        <f t="shared" si="17"/>
        <v>0</v>
      </c>
      <c r="S172" s="1198">
        <v>0.01</v>
      </c>
      <c r="T172" s="1539">
        <f t="shared" si="18"/>
        <v>0</v>
      </c>
      <c r="U172" s="1539">
        <f t="shared" si="19"/>
        <v>0</v>
      </c>
      <c r="V172" s="1570">
        <f t="shared" si="20"/>
        <v>0</v>
      </c>
    </row>
    <row r="173" spans="1:22" x14ac:dyDescent="0.25">
      <c r="A173" s="1322" t="s">
        <v>907</v>
      </c>
      <c r="B173" s="1322">
        <v>1520</v>
      </c>
      <c r="C173" s="1198" t="s">
        <v>1940</v>
      </c>
      <c r="D173" s="1198" t="s">
        <v>2754</v>
      </c>
      <c r="E173" s="1198" t="s">
        <v>1945</v>
      </c>
      <c r="F173" s="1198">
        <v>152004</v>
      </c>
      <c r="G173" s="1198" t="s">
        <v>353</v>
      </c>
      <c r="H173" s="1198">
        <f>Dataark_til_bilag3_2030[[#This Row],[Staldkode]]+Dataark_til_bilag3_2030[[#This Row],[Dyrekode]]</f>
        <v>153524</v>
      </c>
      <c r="I173" s="1222">
        <v>0</v>
      </c>
      <c r="J173" s="1198" t="s">
        <v>1941</v>
      </c>
      <c r="K173" s="1198"/>
      <c r="L173" s="1540">
        <v>2.94</v>
      </c>
      <c r="M173" s="1198">
        <f t="shared" si="14"/>
        <v>0</v>
      </c>
      <c r="N173" s="1198">
        <v>5.0000000000000001E-3</v>
      </c>
      <c r="O173" s="1198">
        <f t="shared" si="15"/>
        <v>0</v>
      </c>
      <c r="P173" s="1539">
        <f t="shared" si="16"/>
        <v>0</v>
      </c>
      <c r="Q173" s="1571">
        <v>0.12609999999999999</v>
      </c>
      <c r="R173" s="1539">
        <f t="shared" si="17"/>
        <v>0</v>
      </c>
      <c r="S173" s="1198">
        <v>0.01</v>
      </c>
      <c r="T173" s="1539">
        <f t="shared" si="18"/>
        <v>0</v>
      </c>
      <c r="U173" s="1539">
        <f t="shared" si="19"/>
        <v>0</v>
      </c>
      <c r="V173" s="1570">
        <f t="shared" si="20"/>
        <v>0</v>
      </c>
    </row>
    <row r="174" spans="1:22" x14ac:dyDescent="0.25">
      <c r="A174" s="1322" t="s">
        <v>907</v>
      </c>
      <c r="B174" s="1322">
        <v>1520</v>
      </c>
      <c r="C174" s="1198" t="s">
        <v>1940</v>
      </c>
      <c r="D174" s="1198" t="s">
        <v>2754</v>
      </c>
      <c r="E174" s="1198" t="s">
        <v>1944</v>
      </c>
      <c r="F174" s="1198">
        <v>152005</v>
      </c>
      <c r="G174" s="1198" t="s">
        <v>352</v>
      </c>
      <c r="H174" s="1198">
        <f>Dataark_til_bilag3_2030[[#This Row],[Staldkode]]+Dataark_til_bilag3_2030[[#This Row],[Dyrekode]]</f>
        <v>153525</v>
      </c>
      <c r="I174" s="1222">
        <v>0</v>
      </c>
      <c r="J174" s="1198" t="s">
        <v>1903</v>
      </c>
      <c r="K174" s="1198"/>
      <c r="L174" s="1540">
        <v>2.94</v>
      </c>
      <c r="M174" s="1198">
        <f t="shared" si="14"/>
        <v>0</v>
      </c>
      <c r="N174" s="1198">
        <v>5.0000000000000001E-3</v>
      </c>
      <c r="O174" s="1198">
        <f t="shared" si="15"/>
        <v>0</v>
      </c>
      <c r="P174" s="1539">
        <f t="shared" si="16"/>
        <v>0</v>
      </c>
      <c r="Q174" s="1571">
        <v>0.12609999999999999</v>
      </c>
      <c r="R174" s="1539">
        <f t="shared" si="17"/>
        <v>0</v>
      </c>
      <c r="S174" s="1198">
        <v>0.01</v>
      </c>
      <c r="T174" s="1539">
        <f t="shared" si="18"/>
        <v>0</v>
      </c>
      <c r="U174" s="1539">
        <f t="shared" si="19"/>
        <v>0</v>
      </c>
      <c r="V174" s="1570">
        <f t="shared" si="20"/>
        <v>0</v>
      </c>
    </row>
    <row r="175" spans="1:22" x14ac:dyDescent="0.25">
      <c r="A175" s="1322" t="s">
        <v>907</v>
      </c>
      <c r="B175" s="1322">
        <v>1520</v>
      </c>
      <c r="C175" s="1198" t="s">
        <v>1940</v>
      </c>
      <c r="D175" s="1198" t="s">
        <v>2754</v>
      </c>
      <c r="E175" s="1198" t="s">
        <v>1942</v>
      </c>
      <c r="F175" s="1198">
        <v>152006</v>
      </c>
      <c r="G175" s="1198" t="s">
        <v>350</v>
      </c>
      <c r="H175" s="1198">
        <f>Dataark_til_bilag3_2030[[#This Row],[Staldkode]]+Dataark_til_bilag3_2030[[#This Row],[Dyrekode]]</f>
        <v>153526</v>
      </c>
      <c r="I175" s="1222">
        <v>0</v>
      </c>
      <c r="J175" s="1198" t="s">
        <v>1941</v>
      </c>
      <c r="K175" s="1198"/>
      <c r="L175" s="1540">
        <v>2.94</v>
      </c>
      <c r="M175" s="1198">
        <f t="shared" si="14"/>
        <v>0</v>
      </c>
      <c r="N175" s="1198">
        <v>5.0000000000000001E-3</v>
      </c>
      <c r="O175" s="1198">
        <f t="shared" si="15"/>
        <v>0</v>
      </c>
      <c r="P175" s="1539">
        <f t="shared" si="16"/>
        <v>0</v>
      </c>
      <c r="Q175" s="1571">
        <v>0.12609999999999999</v>
      </c>
      <c r="R175" s="1539">
        <f t="shared" si="17"/>
        <v>0</v>
      </c>
      <c r="S175" s="1198">
        <v>0.01</v>
      </c>
      <c r="T175" s="1539">
        <f t="shared" si="18"/>
        <v>0</v>
      </c>
      <c r="U175" s="1539">
        <f t="shared" si="19"/>
        <v>0</v>
      </c>
      <c r="V175" s="1570">
        <f t="shared" si="20"/>
        <v>0</v>
      </c>
    </row>
    <row r="176" spans="1:22" x14ac:dyDescent="0.25">
      <c r="A176" s="1322" t="s">
        <v>907</v>
      </c>
      <c r="B176" s="1322">
        <v>1520</v>
      </c>
      <c r="C176" s="1198" t="s">
        <v>1940</v>
      </c>
      <c r="D176" s="1198" t="s">
        <v>2754</v>
      </c>
      <c r="E176" s="1198" t="s">
        <v>350</v>
      </c>
      <c r="F176" s="1198">
        <v>152007</v>
      </c>
      <c r="G176" s="1198" t="s">
        <v>350</v>
      </c>
      <c r="H176" s="1198">
        <f>Dataark_til_bilag3_2030[[#This Row],[Staldkode]]+Dataark_til_bilag3_2030[[#This Row],[Dyrekode]]</f>
        <v>153527</v>
      </c>
      <c r="I176" s="1222">
        <v>0</v>
      </c>
      <c r="J176" s="1198"/>
      <c r="K176" s="1198" t="s">
        <v>350</v>
      </c>
      <c r="L176" s="1540">
        <v>2.94</v>
      </c>
      <c r="M176" s="1198">
        <f t="shared" si="14"/>
        <v>0</v>
      </c>
      <c r="N176" s="1198">
        <v>7.0000000000000007E-2</v>
      </c>
      <c r="O176" s="1198">
        <f t="shared" si="15"/>
        <v>0</v>
      </c>
      <c r="P176" s="1539">
        <f t="shared" si="16"/>
        <v>0</v>
      </c>
      <c r="Q176" s="1571">
        <v>0.12609999999999999</v>
      </c>
      <c r="R176" s="1539">
        <f t="shared" si="17"/>
        <v>0</v>
      </c>
      <c r="S176" s="1198">
        <v>0.01</v>
      </c>
      <c r="T176" s="1539">
        <f t="shared" si="18"/>
        <v>0</v>
      </c>
      <c r="U176" s="1539">
        <f t="shared" si="19"/>
        <v>0</v>
      </c>
      <c r="V176" s="1570">
        <f t="shared" si="20"/>
        <v>0</v>
      </c>
    </row>
    <row r="177" spans="1:22" x14ac:dyDescent="0.25">
      <c r="A177" s="1322" t="s">
        <v>962</v>
      </c>
      <c r="B177" s="1322">
        <v>2101</v>
      </c>
      <c r="C177" s="1198" t="s">
        <v>1939</v>
      </c>
      <c r="D177" s="1198" t="s">
        <v>335</v>
      </c>
      <c r="E177" s="1198" t="s">
        <v>1938</v>
      </c>
      <c r="F177" s="1198">
        <v>210101</v>
      </c>
      <c r="G177" s="1198" t="s">
        <v>2879</v>
      </c>
      <c r="H177" s="1198">
        <f>Dataark_til_bilag3_2030[[#This Row],[Staldkode]]+Dataark_til_bilag3_2030[[#This Row],[Dyrekode]]</f>
        <v>212202</v>
      </c>
      <c r="I177" s="1222">
        <v>0</v>
      </c>
      <c r="J177" s="1198"/>
      <c r="K177" s="1198" t="s">
        <v>350</v>
      </c>
      <c r="L177" s="1540">
        <f t="shared" ref="L177:L182" si="21">88.9/100</f>
        <v>0.88900000000000001</v>
      </c>
      <c r="M177" s="1198">
        <f t="shared" si="14"/>
        <v>0</v>
      </c>
      <c r="N177" s="1198">
        <v>0.01</v>
      </c>
      <c r="O177" s="1198">
        <f t="shared" si="15"/>
        <v>0</v>
      </c>
      <c r="P177" s="1539">
        <f t="shared" si="16"/>
        <v>0</v>
      </c>
      <c r="Q177" s="1569" t="s">
        <v>1209</v>
      </c>
      <c r="R177" s="1544" t="str">
        <f t="shared" si="17"/>
        <v xml:space="preserve"> </v>
      </c>
      <c r="S177" s="1198">
        <v>0.01</v>
      </c>
      <c r="T177" s="1544" t="str">
        <f t="shared" si="18"/>
        <v xml:space="preserve"> </v>
      </c>
      <c r="U177" s="1544">
        <f t="shared" si="19"/>
        <v>0</v>
      </c>
      <c r="V177" s="1544">
        <f t="shared" si="20"/>
        <v>0</v>
      </c>
    </row>
    <row r="178" spans="1:22" x14ac:dyDescent="0.25">
      <c r="A178" s="1390" t="s">
        <v>962</v>
      </c>
      <c r="B178" s="1322">
        <v>2102</v>
      </c>
      <c r="C178" s="1198" t="s">
        <v>1937</v>
      </c>
      <c r="D178" s="1198" t="s">
        <v>335</v>
      </c>
      <c r="E178" s="1198" t="s">
        <v>1936</v>
      </c>
      <c r="F178" s="1198">
        <v>210201</v>
      </c>
      <c r="G178" s="1198" t="s">
        <v>2879</v>
      </c>
      <c r="H178" s="1198">
        <f>Dataark_til_bilag3_2030[[#This Row],[Staldkode]]+Dataark_til_bilag3_2030[[#This Row],[Dyrekode]]</f>
        <v>212303</v>
      </c>
      <c r="I178" s="1222">
        <v>0</v>
      </c>
      <c r="J178" s="1198"/>
      <c r="K178" s="1198" t="s">
        <v>350</v>
      </c>
      <c r="L178" s="1540">
        <f t="shared" si="21"/>
        <v>0.88900000000000001</v>
      </c>
      <c r="M178" s="1198">
        <f t="shared" si="14"/>
        <v>0</v>
      </c>
      <c r="N178" s="1198">
        <v>0.01</v>
      </c>
      <c r="O178" s="1198">
        <f t="shared" si="15"/>
        <v>0</v>
      </c>
      <c r="P178" s="1539">
        <f t="shared" si="16"/>
        <v>0</v>
      </c>
      <c r="Q178" s="1569" t="s">
        <v>1209</v>
      </c>
      <c r="R178" s="1544" t="str">
        <f t="shared" si="17"/>
        <v xml:space="preserve"> </v>
      </c>
      <c r="S178" s="1198">
        <v>0.01</v>
      </c>
      <c r="T178" s="1544" t="str">
        <f t="shared" si="18"/>
        <v xml:space="preserve"> </v>
      </c>
      <c r="U178" s="1544">
        <f t="shared" si="19"/>
        <v>0</v>
      </c>
      <c r="V178" s="1544">
        <f t="shared" si="20"/>
        <v>0</v>
      </c>
    </row>
    <row r="179" spans="1:22" x14ac:dyDescent="0.25">
      <c r="A179" s="1390" t="s">
        <v>962</v>
      </c>
      <c r="B179" s="1322">
        <v>2103</v>
      </c>
      <c r="C179" s="1198" t="s">
        <v>1935</v>
      </c>
      <c r="D179" s="1198" t="s">
        <v>335</v>
      </c>
      <c r="E179" s="1198" t="s">
        <v>1934</v>
      </c>
      <c r="F179" s="1198">
        <v>210301</v>
      </c>
      <c r="G179" s="1198" t="s">
        <v>2879</v>
      </c>
      <c r="H179" s="1198">
        <f>Dataark_til_bilag3_2030[[#This Row],[Staldkode]]+Dataark_til_bilag3_2030[[#This Row],[Dyrekode]]</f>
        <v>212404</v>
      </c>
      <c r="I179" s="1222">
        <v>0</v>
      </c>
      <c r="J179" s="1198"/>
      <c r="K179" s="1198" t="s">
        <v>350</v>
      </c>
      <c r="L179" s="1540">
        <f t="shared" si="21"/>
        <v>0.88900000000000001</v>
      </c>
      <c r="M179" s="1198">
        <f t="shared" si="14"/>
        <v>0</v>
      </c>
      <c r="N179" s="1198">
        <v>0.01</v>
      </c>
      <c r="O179" s="1198">
        <f t="shared" si="15"/>
        <v>0</v>
      </c>
      <c r="P179" s="1539">
        <f t="shared" si="16"/>
        <v>0</v>
      </c>
      <c r="Q179" s="1569" t="s">
        <v>1209</v>
      </c>
      <c r="R179" s="1544" t="str">
        <f t="shared" si="17"/>
        <v xml:space="preserve"> </v>
      </c>
      <c r="S179" s="1198">
        <v>0.01</v>
      </c>
      <c r="T179" s="1544" t="str">
        <f t="shared" si="18"/>
        <v xml:space="preserve"> </v>
      </c>
      <c r="U179" s="1544">
        <f t="shared" si="19"/>
        <v>0</v>
      </c>
      <c r="V179" s="1544">
        <f t="shared" si="20"/>
        <v>0</v>
      </c>
    </row>
    <row r="180" spans="1:22" x14ac:dyDescent="0.25">
      <c r="A180" s="1322" t="s">
        <v>962</v>
      </c>
      <c r="B180" s="1322">
        <v>2104</v>
      </c>
      <c r="C180" s="1198" t="s">
        <v>1933</v>
      </c>
      <c r="D180" s="1198" t="s">
        <v>335</v>
      </c>
      <c r="E180" s="1198" t="s">
        <v>1932</v>
      </c>
      <c r="F180" s="1198">
        <v>210401</v>
      </c>
      <c r="G180" s="1198" t="s">
        <v>2879</v>
      </c>
      <c r="H180" s="1198">
        <f>Dataark_til_bilag3_2030[[#This Row],[Staldkode]]+Dataark_til_bilag3_2030[[#This Row],[Dyrekode]]</f>
        <v>212505</v>
      </c>
      <c r="I180" s="1222">
        <v>0</v>
      </c>
      <c r="J180" s="1198"/>
      <c r="K180" s="1198" t="s">
        <v>350</v>
      </c>
      <c r="L180" s="1540">
        <f t="shared" si="21"/>
        <v>0.88900000000000001</v>
      </c>
      <c r="M180" s="1198">
        <f t="shared" si="14"/>
        <v>0</v>
      </c>
      <c r="N180" s="1198">
        <v>0.01</v>
      </c>
      <c r="O180" s="1198">
        <f t="shared" si="15"/>
        <v>0</v>
      </c>
      <c r="P180" s="1539">
        <f t="shared" si="16"/>
        <v>0</v>
      </c>
      <c r="Q180" s="1569" t="s">
        <v>1209</v>
      </c>
      <c r="R180" s="1544" t="str">
        <f t="shared" si="17"/>
        <v xml:space="preserve"> </v>
      </c>
      <c r="S180" s="1198">
        <v>0.01</v>
      </c>
      <c r="T180" s="1544" t="str">
        <f t="shared" si="18"/>
        <v xml:space="preserve"> </v>
      </c>
      <c r="U180" s="1544">
        <f t="shared" si="19"/>
        <v>0</v>
      </c>
      <c r="V180" s="1544">
        <f t="shared" si="20"/>
        <v>0</v>
      </c>
    </row>
    <row r="181" spans="1:22" x14ac:dyDescent="0.25">
      <c r="A181" s="1390" t="s">
        <v>962</v>
      </c>
      <c r="B181" s="1322">
        <v>2105</v>
      </c>
      <c r="C181" s="1198" t="s">
        <v>1931</v>
      </c>
      <c r="D181" s="1198" t="s">
        <v>335</v>
      </c>
      <c r="E181" s="1198" t="s">
        <v>1930</v>
      </c>
      <c r="F181" s="1198">
        <v>210501</v>
      </c>
      <c r="G181" s="1198" t="s">
        <v>2879</v>
      </c>
      <c r="H181" s="1198">
        <f>Dataark_til_bilag3_2030[[#This Row],[Staldkode]]+Dataark_til_bilag3_2030[[#This Row],[Dyrekode]]</f>
        <v>212606</v>
      </c>
      <c r="I181" s="1222">
        <v>0</v>
      </c>
      <c r="J181" s="1198"/>
      <c r="K181" s="1198" t="s">
        <v>350</v>
      </c>
      <c r="L181" s="1540">
        <f t="shared" si="21"/>
        <v>0.88900000000000001</v>
      </c>
      <c r="M181" s="1198">
        <f t="shared" si="14"/>
        <v>0</v>
      </c>
      <c r="N181" s="1198">
        <v>0.01</v>
      </c>
      <c r="O181" s="1198">
        <f t="shared" si="15"/>
        <v>0</v>
      </c>
      <c r="P181" s="1539">
        <f t="shared" si="16"/>
        <v>0</v>
      </c>
      <c r="Q181" s="1569" t="s">
        <v>1209</v>
      </c>
      <c r="R181" s="1544" t="str">
        <f t="shared" si="17"/>
        <v xml:space="preserve"> </v>
      </c>
      <c r="S181" s="1198">
        <v>0.01</v>
      </c>
      <c r="T181" s="1544" t="str">
        <f t="shared" si="18"/>
        <v xml:space="preserve"> </v>
      </c>
      <c r="U181" s="1544">
        <f t="shared" si="19"/>
        <v>0</v>
      </c>
      <c r="V181" s="1544">
        <f t="shared" si="20"/>
        <v>0</v>
      </c>
    </row>
    <row r="182" spans="1:22" x14ac:dyDescent="0.25">
      <c r="A182" s="1390" t="s">
        <v>962</v>
      </c>
      <c r="B182" s="1322">
        <v>2106</v>
      </c>
      <c r="C182" s="1198" t="s">
        <v>1929</v>
      </c>
      <c r="D182" s="1198" t="s">
        <v>335</v>
      </c>
      <c r="E182" s="1198" t="s">
        <v>1928</v>
      </c>
      <c r="F182" s="1198">
        <v>210601</v>
      </c>
      <c r="G182" s="1198" t="s">
        <v>2879</v>
      </c>
      <c r="H182" s="1198">
        <f>Dataark_til_bilag3_2030[[#This Row],[Staldkode]]+Dataark_til_bilag3_2030[[#This Row],[Dyrekode]]</f>
        <v>212707</v>
      </c>
      <c r="I182" s="1222">
        <v>0</v>
      </c>
      <c r="J182" s="1198"/>
      <c r="K182" s="1198" t="s">
        <v>350</v>
      </c>
      <c r="L182" s="1540">
        <f t="shared" si="21"/>
        <v>0.88900000000000001</v>
      </c>
      <c r="M182" s="1198">
        <f t="shared" si="14"/>
        <v>0</v>
      </c>
      <c r="N182" s="1198">
        <v>0.01</v>
      </c>
      <c r="O182" s="1198">
        <f t="shared" si="15"/>
        <v>0</v>
      </c>
      <c r="P182" s="1539">
        <f t="shared" si="16"/>
        <v>0</v>
      </c>
      <c r="Q182" s="1569" t="s">
        <v>1209</v>
      </c>
      <c r="R182" s="1544" t="str">
        <f t="shared" si="17"/>
        <v xml:space="preserve"> </v>
      </c>
      <c r="S182" s="1198">
        <v>0.01</v>
      </c>
      <c r="T182" s="1544" t="str">
        <f t="shared" si="18"/>
        <v xml:space="preserve"> </v>
      </c>
      <c r="U182" s="1544">
        <f t="shared" si="19"/>
        <v>0</v>
      </c>
      <c r="V182" s="1544">
        <f t="shared" si="20"/>
        <v>0</v>
      </c>
    </row>
    <row r="183" spans="1:22" x14ac:dyDescent="0.25">
      <c r="A183" s="1390" t="s">
        <v>625</v>
      </c>
      <c r="B183" s="1322">
        <v>2400</v>
      </c>
      <c r="C183" s="1198" t="s">
        <v>2750</v>
      </c>
      <c r="D183" s="1198" t="s">
        <v>337</v>
      </c>
      <c r="E183" s="1198" t="s">
        <v>2749</v>
      </c>
      <c r="F183" s="1198">
        <v>240001</v>
      </c>
      <c r="G183" s="1198" t="s">
        <v>2879</v>
      </c>
      <c r="H183" s="1198">
        <f>Dataark_til_bilag3_2030[[#This Row],[Staldkode]]+Dataark_til_bilag3_2030[[#This Row],[Dyrekode]]</f>
        <v>242401</v>
      </c>
      <c r="I183" s="1222">
        <v>28565.51</v>
      </c>
      <c r="J183" s="1198" t="s">
        <v>1926</v>
      </c>
      <c r="K183" s="1198" t="s">
        <v>350</v>
      </c>
      <c r="L183" s="1540">
        <v>5.97</v>
      </c>
      <c r="M183" s="1198">
        <f t="shared" si="14"/>
        <v>170536.09469999999</v>
      </c>
      <c r="N183" s="1198">
        <v>5.0000000000000001E-3</v>
      </c>
      <c r="O183" s="1198">
        <f t="shared" si="15"/>
        <v>852.68047349999995</v>
      </c>
      <c r="P183" s="1539">
        <f t="shared" si="16"/>
        <v>1339.9264583571428</v>
      </c>
      <c r="Q183" s="1569" t="s">
        <v>1209</v>
      </c>
      <c r="R183" s="1544" t="str">
        <f t="shared" si="17"/>
        <v xml:space="preserve"> </v>
      </c>
      <c r="S183" s="1198">
        <v>0.01</v>
      </c>
      <c r="T183" s="1544" t="str">
        <f t="shared" si="18"/>
        <v xml:space="preserve"> </v>
      </c>
      <c r="U183" s="1544">
        <f t="shared" si="19"/>
        <v>0</v>
      </c>
      <c r="V183" s="1544">
        <f t="shared" si="20"/>
        <v>1.3399264583571429</v>
      </c>
    </row>
    <row r="184" spans="1:22" x14ac:dyDescent="0.25">
      <c r="A184" s="1390" t="s">
        <v>625</v>
      </c>
      <c r="B184" s="1322">
        <v>2400</v>
      </c>
      <c r="C184" s="1198" t="s">
        <v>2750</v>
      </c>
      <c r="D184" s="1198" t="s">
        <v>337</v>
      </c>
      <c r="E184" s="1198" t="s">
        <v>2789</v>
      </c>
      <c r="F184" s="1198">
        <v>240003</v>
      </c>
      <c r="G184" s="1198" t="s">
        <v>2879</v>
      </c>
      <c r="H184" s="1198">
        <f>Dataark_til_bilag3_2030[[#This Row],[Staldkode]]+Dataark_til_bilag3_2030[[#This Row],[Dyrekode]]</f>
        <v>242403</v>
      </c>
      <c r="I184" s="1222">
        <v>0</v>
      </c>
      <c r="J184" s="1198" t="s">
        <v>1924</v>
      </c>
      <c r="K184" s="1198"/>
      <c r="L184" s="1540">
        <v>5.97</v>
      </c>
      <c r="M184" s="1198">
        <f t="shared" si="14"/>
        <v>0</v>
      </c>
      <c r="N184" s="1198">
        <v>0.01</v>
      </c>
      <c r="O184" s="1198">
        <f t="shared" si="15"/>
        <v>0</v>
      </c>
      <c r="P184" s="1539">
        <f t="shared" si="16"/>
        <v>0</v>
      </c>
      <c r="Q184" s="1569" t="s">
        <v>1209</v>
      </c>
      <c r="R184" s="1544" t="str">
        <f t="shared" si="17"/>
        <v xml:space="preserve"> </v>
      </c>
      <c r="S184" s="1198">
        <v>0.01</v>
      </c>
      <c r="T184" s="1544" t="str">
        <f t="shared" si="18"/>
        <v xml:space="preserve"> </v>
      </c>
      <c r="U184" s="1544">
        <f t="shared" si="19"/>
        <v>0</v>
      </c>
      <c r="V184" s="1544">
        <f t="shared" si="20"/>
        <v>0</v>
      </c>
    </row>
    <row r="185" spans="1:22" x14ac:dyDescent="0.25">
      <c r="A185" s="1575" t="s">
        <v>2788</v>
      </c>
      <c r="B185" s="1543">
        <v>2501</v>
      </c>
      <c r="C185" s="1542" t="s">
        <v>1923</v>
      </c>
      <c r="D185" s="1542" t="s">
        <v>337</v>
      </c>
      <c r="E185" s="1542" t="s">
        <v>2787</v>
      </c>
      <c r="F185" s="1542">
        <v>240101</v>
      </c>
      <c r="G185" s="1542" t="s">
        <v>2879</v>
      </c>
      <c r="H185" s="1542">
        <f>Dataark_til_bilag3_2030[[#This Row],[Staldkode]]+Dataark_til_bilag3_2030[[#This Row],[Dyrekode]]</f>
        <v>242602</v>
      </c>
      <c r="I185" s="1222" t="s">
        <v>270</v>
      </c>
      <c r="J185" s="1542"/>
      <c r="K185" s="1198" t="s">
        <v>350</v>
      </c>
      <c r="L185" s="1540">
        <f>88.9/100</f>
        <v>0.88900000000000001</v>
      </c>
      <c r="M185" s="1198" t="str">
        <f t="shared" si="14"/>
        <v xml:space="preserve"> </v>
      </c>
      <c r="N185" s="1198">
        <v>0.01</v>
      </c>
      <c r="O185" s="1198" t="str">
        <f t="shared" si="15"/>
        <v xml:space="preserve"> </v>
      </c>
      <c r="P185" s="1539" t="str">
        <f t="shared" si="16"/>
        <v xml:space="preserve"> </v>
      </c>
      <c r="Q185" s="1576" t="s">
        <v>1209</v>
      </c>
      <c r="R185" s="1544" t="str">
        <f t="shared" si="17"/>
        <v xml:space="preserve"> </v>
      </c>
      <c r="S185" s="1198">
        <v>0.01</v>
      </c>
      <c r="T185" s="1544" t="str">
        <f t="shared" si="18"/>
        <v xml:space="preserve"> </v>
      </c>
      <c r="U185" s="1544">
        <f t="shared" si="19"/>
        <v>0</v>
      </c>
      <c r="V185" s="1544" t="str">
        <f t="shared" si="20"/>
        <v xml:space="preserve"> </v>
      </c>
    </row>
    <row r="186" spans="1:22" x14ac:dyDescent="0.25">
      <c r="A186" s="1390" t="s">
        <v>1900</v>
      </c>
      <c r="B186" s="1322">
        <v>3101</v>
      </c>
      <c r="C186" s="1198" t="s">
        <v>2746</v>
      </c>
      <c r="D186" s="1198" t="s">
        <v>331</v>
      </c>
      <c r="E186" s="1198" t="s">
        <v>2763</v>
      </c>
      <c r="F186" s="1198">
        <v>310101</v>
      </c>
      <c r="G186" s="1774" t="s">
        <v>351</v>
      </c>
      <c r="H186" s="1198">
        <f>Dataark_til_bilag3_2030[[#This Row],[Staldkode]]+Dataark_til_bilag3_2030[[#This Row],[Dyrekode]]</f>
        <v>313202</v>
      </c>
      <c r="I186" s="1222">
        <v>0</v>
      </c>
      <c r="J186" s="1198" t="s">
        <v>1903</v>
      </c>
      <c r="K186" s="1198"/>
      <c r="L186" s="1540">
        <f>80.1/100</f>
        <v>0.80099999999999993</v>
      </c>
      <c r="M186" s="1198">
        <f t="shared" si="14"/>
        <v>0</v>
      </c>
      <c r="N186" s="1198">
        <v>1E-3</v>
      </c>
      <c r="O186" s="1198">
        <f t="shared" si="15"/>
        <v>0</v>
      </c>
      <c r="P186" s="1539">
        <f t="shared" si="16"/>
        <v>0</v>
      </c>
      <c r="Q186" s="1571">
        <v>0.33360000000000001</v>
      </c>
      <c r="R186" s="1539">
        <f t="shared" si="17"/>
        <v>0</v>
      </c>
      <c r="S186" s="1198">
        <v>0.01</v>
      </c>
      <c r="T186" s="1539">
        <f t="shared" si="18"/>
        <v>0</v>
      </c>
      <c r="U186" s="1539">
        <f t="shared" si="19"/>
        <v>0</v>
      </c>
      <c r="V186" s="1570">
        <f t="shared" si="20"/>
        <v>0</v>
      </c>
    </row>
    <row r="187" spans="1:22" x14ac:dyDescent="0.25">
      <c r="A187" s="1390" t="s">
        <v>1900</v>
      </c>
      <c r="B187" s="1322">
        <v>3101</v>
      </c>
      <c r="C187" s="1198" t="s">
        <v>2746</v>
      </c>
      <c r="D187" s="1198" t="s">
        <v>331</v>
      </c>
      <c r="E187" s="1198" t="s">
        <v>2786</v>
      </c>
      <c r="F187" s="1198">
        <v>310102</v>
      </c>
      <c r="G187" s="1774" t="s">
        <v>351</v>
      </c>
      <c r="H187" s="1198">
        <f>Dataark_til_bilag3_2030[[#This Row],[Staldkode]]+Dataark_til_bilag3_2030[[#This Row],[Dyrekode]]</f>
        <v>313203</v>
      </c>
      <c r="I187" s="1222">
        <v>0</v>
      </c>
      <c r="J187" s="1198"/>
      <c r="K187" s="1198" t="s">
        <v>350</v>
      </c>
      <c r="L187" s="1540">
        <f>80.1/100</f>
        <v>0.80099999999999993</v>
      </c>
      <c r="M187" s="1198">
        <f t="shared" si="14"/>
        <v>0</v>
      </c>
      <c r="N187" s="1198">
        <v>1E-3</v>
      </c>
      <c r="O187" s="1198">
        <f t="shared" si="15"/>
        <v>0</v>
      </c>
      <c r="P187" s="1539">
        <f t="shared" si="16"/>
        <v>0</v>
      </c>
      <c r="Q187" s="1571">
        <v>0.33360000000000001</v>
      </c>
      <c r="R187" s="1539">
        <f t="shared" si="17"/>
        <v>0</v>
      </c>
      <c r="S187" s="1198">
        <v>0.01</v>
      </c>
      <c r="T187" s="1539">
        <f t="shared" si="18"/>
        <v>0</v>
      </c>
      <c r="U187" s="1539">
        <f t="shared" si="19"/>
        <v>0</v>
      </c>
      <c r="V187" s="1570">
        <f t="shared" si="20"/>
        <v>0</v>
      </c>
    </row>
    <row r="188" spans="1:22" x14ac:dyDescent="0.25">
      <c r="A188" s="1390" t="s">
        <v>1900</v>
      </c>
      <c r="B188" s="1322">
        <v>3101</v>
      </c>
      <c r="C188" s="1198" t="s">
        <v>2746</v>
      </c>
      <c r="D188" s="1198" t="s">
        <v>331</v>
      </c>
      <c r="E188" s="1198" t="s">
        <v>1920</v>
      </c>
      <c r="F188" s="1198">
        <v>310103</v>
      </c>
      <c r="G188" s="1774" t="s">
        <v>351</v>
      </c>
      <c r="H188" s="1198">
        <f>Dataark_til_bilag3_2030[[#This Row],[Staldkode]]+Dataark_til_bilag3_2030[[#This Row],[Dyrekode]]</f>
        <v>313204</v>
      </c>
      <c r="I188" s="1222">
        <v>0</v>
      </c>
      <c r="J188" s="1198" t="s">
        <v>1903</v>
      </c>
      <c r="K188" s="1198"/>
      <c r="L188" s="1540">
        <f>80.1/100</f>
        <v>0.80099999999999993</v>
      </c>
      <c r="M188" s="1198">
        <f t="shared" si="14"/>
        <v>0</v>
      </c>
      <c r="N188" s="1198">
        <v>1E-3</v>
      </c>
      <c r="O188" s="1198">
        <f t="shared" si="15"/>
        <v>0</v>
      </c>
      <c r="P188" s="1539">
        <f t="shared" si="16"/>
        <v>0</v>
      </c>
      <c r="Q188" s="1571">
        <v>0.33360000000000001</v>
      </c>
      <c r="R188" s="1539">
        <f t="shared" si="17"/>
        <v>0</v>
      </c>
      <c r="S188" s="1198">
        <v>0.01</v>
      </c>
      <c r="T188" s="1539">
        <f t="shared" si="18"/>
        <v>0</v>
      </c>
      <c r="U188" s="1539">
        <f t="shared" si="19"/>
        <v>0</v>
      </c>
      <c r="V188" s="1570">
        <f t="shared" si="20"/>
        <v>0</v>
      </c>
    </row>
    <row r="189" spans="1:22" s="1536" customFormat="1" x14ac:dyDescent="0.25">
      <c r="A189" s="1390" t="s">
        <v>2745</v>
      </c>
      <c r="B189" s="1322">
        <v>3101</v>
      </c>
      <c r="C189" s="1198" t="s">
        <v>1919</v>
      </c>
      <c r="D189" s="1198" t="s">
        <v>331</v>
      </c>
      <c r="E189" s="1198" t="s">
        <v>1918</v>
      </c>
      <c r="F189" s="1198">
        <v>310104</v>
      </c>
      <c r="G189" s="1774" t="s">
        <v>351</v>
      </c>
      <c r="H189" s="1198">
        <f>Dataark_til_bilag3_2030[[#This Row],[Staldkode]]+Dataark_til_bilag3_2030[[#This Row],[Dyrekode]]</f>
        <v>313205</v>
      </c>
      <c r="I189" s="1222" t="s">
        <v>270</v>
      </c>
      <c r="J189" s="1198"/>
      <c r="K189" s="1198"/>
      <c r="L189" s="1540">
        <f>88.9/100</f>
        <v>0.88900000000000001</v>
      </c>
      <c r="M189" s="1198" t="str">
        <f t="shared" si="14"/>
        <v xml:space="preserve"> </v>
      </c>
      <c r="N189" s="1198">
        <v>1E-3</v>
      </c>
      <c r="O189" s="1198" t="str">
        <f t="shared" si="15"/>
        <v xml:space="preserve"> </v>
      </c>
      <c r="P189" s="1539" t="str">
        <f t="shared" si="16"/>
        <v xml:space="preserve"> </v>
      </c>
      <c r="Q189" s="1571">
        <v>0.33360000000000001</v>
      </c>
      <c r="R189" s="1539" t="str">
        <f t="shared" si="17"/>
        <v xml:space="preserve"> </v>
      </c>
      <c r="S189" s="1198">
        <v>0.01</v>
      </c>
      <c r="T189" s="1539" t="str">
        <f t="shared" si="18"/>
        <v xml:space="preserve"> </v>
      </c>
      <c r="U189" s="1539">
        <f t="shared" si="19"/>
        <v>0</v>
      </c>
      <c r="V189" s="1570" t="str">
        <f t="shared" si="20"/>
        <v xml:space="preserve"> </v>
      </c>
    </row>
    <row r="190" spans="1:22" x14ac:dyDescent="0.25">
      <c r="A190" s="1390" t="s">
        <v>1900</v>
      </c>
      <c r="B190" s="1322">
        <v>3102</v>
      </c>
      <c r="C190" s="1198" t="s">
        <v>2744</v>
      </c>
      <c r="D190" s="1198" t="s">
        <v>331</v>
      </c>
      <c r="E190" s="1198" t="s">
        <v>1917</v>
      </c>
      <c r="F190" s="1198">
        <v>310201</v>
      </c>
      <c r="G190" s="1198" t="s">
        <v>2879</v>
      </c>
      <c r="H190" s="1198">
        <f>Dataark_til_bilag3_2030[[#This Row],[Staldkode]]+Dataark_til_bilag3_2030[[#This Row],[Dyrekode]]</f>
        <v>313303</v>
      </c>
      <c r="I190" s="1222">
        <v>0</v>
      </c>
      <c r="J190" s="1198" t="s">
        <v>1903</v>
      </c>
      <c r="K190" s="1198"/>
      <c r="L190" s="1540">
        <f>90.3/100</f>
        <v>0.90300000000000002</v>
      </c>
      <c r="M190" s="1198">
        <f t="shared" si="14"/>
        <v>0</v>
      </c>
      <c r="N190" s="1198">
        <v>1E-3</v>
      </c>
      <c r="O190" s="1198">
        <f t="shared" si="15"/>
        <v>0</v>
      </c>
      <c r="P190" s="1539">
        <f t="shared" si="16"/>
        <v>0</v>
      </c>
      <c r="Q190" s="1571">
        <v>0.33360000000000001</v>
      </c>
      <c r="R190" s="1539">
        <f t="shared" si="17"/>
        <v>0</v>
      </c>
      <c r="S190" s="1198">
        <v>0.01</v>
      </c>
      <c r="T190" s="1539">
        <f t="shared" si="18"/>
        <v>0</v>
      </c>
      <c r="U190" s="1539">
        <f t="shared" si="19"/>
        <v>0</v>
      </c>
      <c r="V190" s="1570">
        <f t="shared" si="20"/>
        <v>0</v>
      </c>
    </row>
    <row r="191" spans="1:22" x14ac:dyDescent="0.25">
      <c r="A191" s="1390" t="s">
        <v>1900</v>
      </c>
      <c r="B191" s="1322">
        <v>3102</v>
      </c>
      <c r="C191" s="1198" t="s">
        <v>2744</v>
      </c>
      <c r="D191" s="1198" t="s">
        <v>331</v>
      </c>
      <c r="E191" s="1198" t="s">
        <v>1916</v>
      </c>
      <c r="F191" s="1198">
        <v>310202</v>
      </c>
      <c r="G191" s="1198" t="s">
        <v>2879</v>
      </c>
      <c r="H191" s="1198">
        <f>Dataark_til_bilag3_2030[[#This Row],[Staldkode]]+Dataark_til_bilag3_2030[[#This Row],[Dyrekode]]</f>
        <v>313304</v>
      </c>
      <c r="I191" s="1222">
        <v>0</v>
      </c>
      <c r="J191" s="1198" t="s">
        <v>1903</v>
      </c>
      <c r="K191" s="1198"/>
      <c r="L191" s="1540">
        <f>90.3/100</f>
        <v>0.90300000000000002</v>
      </c>
      <c r="M191" s="1198">
        <f t="shared" si="14"/>
        <v>0</v>
      </c>
      <c r="N191" s="1198">
        <v>1E-3</v>
      </c>
      <c r="O191" s="1198">
        <f t="shared" si="15"/>
        <v>0</v>
      </c>
      <c r="P191" s="1539">
        <f t="shared" si="16"/>
        <v>0</v>
      </c>
      <c r="Q191" s="1571">
        <v>0.33360000000000001</v>
      </c>
      <c r="R191" s="1539">
        <f t="shared" si="17"/>
        <v>0</v>
      </c>
      <c r="S191" s="1198">
        <v>0.01</v>
      </c>
      <c r="T191" s="1539">
        <f t="shared" si="18"/>
        <v>0</v>
      </c>
      <c r="U191" s="1539">
        <f t="shared" si="19"/>
        <v>0</v>
      </c>
      <c r="V191" s="1570">
        <f t="shared" si="20"/>
        <v>0</v>
      </c>
    </row>
    <row r="192" spans="1:22" x14ac:dyDescent="0.25">
      <c r="A192" s="1390" t="s">
        <v>1900</v>
      </c>
      <c r="B192" s="1322">
        <v>3103</v>
      </c>
      <c r="C192" s="1198" t="s">
        <v>2762</v>
      </c>
      <c r="D192" s="1198" t="s">
        <v>331</v>
      </c>
      <c r="E192" s="1198" t="s">
        <v>1913</v>
      </c>
      <c r="F192" s="1198">
        <v>310301</v>
      </c>
      <c r="G192" s="1198" t="s">
        <v>2879</v>
      </c>
      <c r="H192" s="1198">
        <f>Dataark_til_bilag3_2030[[#This Row],[Staldkode]]+Dataark_til_bilag3_2030[[#This Row],[Dyrekode]]</f>
        <v>313404</v>
      </c>
      <c r="I192" s="1222">
        <v>0</v>
      </c>
      <c r="J192" s="1198" t="s">
        <v>1903</v>
      </c>
      <c r="K192" s="1198" t="s">
        <v>350</v>
      </c>
      <c r="L192" s="1540">
        <f>77.7/100</f>
        <v>0.77700000000000002</v>
      </c>
      <c r="M192" s="1198">
        <f t="shared" si="14"/>
        <v>0</v>
      </c>
      <c r="N192" s="1198">
        <v>1E-3</v>
      </c>
      <c r="O192" s="1198">
        <f t="shared" si="15"/>
        <v>0</v>
      </c>
      <c r="P192" s="1539">
        <f t="shared" si="16"/>
        <v>0</v>
      </c>
      <c r="Q192" s="1571">
        <v>0.33360000000000001</v>
      </c>
      <c r="R192" s="1539">
        <f t="shared" si="17"/>
        <v>0</v>
      </c>
      <c r="S192" s="1198">
        <v>0.01</v>
      </c>
      <c r="T192" s="1539">
        <f t="shared" si="18"/>
        <v>0</v>
      </c>
      <c r="U192" s="1539">
        <f t="shared" si="19"/>
        <v>0</v>
      </c>
      <c r="V192" s="1570">
        <f t="shared" si="20"/>
        <v>0</v>
      </c>
    </row>
    <row r="193" spans="1:22" x14ac:dyDescent="0.25">
      <c r="A193" s="1322" t="s">
        <v>1900</v>
      </c>
      <c r="B193" s="1322">
        <v>3103</v>
      </c>
      <c r="C193" s="1198" t="s">
        <v>2762</v>
      </c>
      <c r="D193" s="1198" t="s">
        <v>331</v>
      </c>
      <c r="E193" s="1198" t="s">
        <v>1912</v>
      </c>
      <c r="F193" s="1198">
        <v>310302</v>
      </c>
      <c r="G193" s="1198" t="s">
        <v>2879</v>
      </c>
      <c r="H193" s="1198">
        <f>Dataark_til_bilag3_2030[[#This Row],[Staldkode]]+Dataark_til_bilag3_2030[[#This Row],[Dyrekode]]</f>
        <v>313405</v>
      </c>
      <c r="I193" s="1222">
        <v>0</v>
      </c>
      <c r="J193" s="1198" t="s">
        <v>1903</v>
      </c>
      <c r="K193" s="1198"/>
      <c r="L193" s="1540">
        <f>77.7/100</f>
        <v>0.77700000000000002</v>
      </c>
      <c r="M193" s="1198">
        <f t="shared" si="14"/>
        <v>0</v>
      </c>
      <c r="N193" s="1198">
        <v>1E-3</v>
      </c>
      <c r="O193" s="1198">
        <f t="shared" si="15"/>
        <v>0</v>
      </c>
      <c r="P193" s="1539">
        <f t="shared" si="16"/>
        <v>0</v>
      </c>
      <c r="Q193" s="1571">
        <v>0.33360000000000001</v>
      </c>
      <c r="R193" s="1539">
        <f t="shared" si="17"/>
        <v>0</v>
      </c>
      <c r="S193" s="1198">
        <v>0.01</v>
      </c>
      <c r="T193" s="1539">
        <f t="shared" si="18"/>
        <v>0</v>
      </c>
      <c r="U193" s="1539">
        <f t="shared" si="19"/>
        <v>0</v>
      </c>
      <c r="V193" s="1570">
        <f t="shared" si="20"/>
        <v>0</v>
      </c>
    </row>
    <row r="194" spans="1:22" x14ac:dyDescent="0.25">
      <c r="A194" s="1322" t="s">
        <v>1900</v>
      </c>
      <c r="B194" s="1322">
        <v>3104</v>
      </c>
      <c r="C194" s="1198" t="s">
        <v>2785</v>
      </c>
      <c r="D194" s="1198" t="s">
        <v>331</v>
      </c>
      <c r="E194" s="1198" t="s">
        <v>1909</v>
      </c>
      <c r="F194" s="1198">
        <v>310402</v>
      </c>
      <c r="G194" s="1198" t="s">
        <v>2879</v>
      </c>
      <c r="H194" s="1198">
        <f>Dataark_til_bilag3_2030[[#This Row],[Staldkode]]+Dataark_til_bilag3_2030[[#This Row],[Dyrekode]]</f>
        <v>313506</v>
      </c>
      <c r="I194" s="1222">
        <v>0</v>
      </c>
      <c r="J194" s="1198" t="s">
        <v>1903</v>
      </c>
      <c r="K194" s="1198"/>
      <c r="L194" s="1540">
        <f>67.9/100</f>
        <v>0.67900000000000005</v>
      </c>
      <c r="M194" s="1198">
        <f t="shared" si="14"/>
        <v>0</v>
      </c>
      <c r="N194" s="1198">
        <v>1E-3</v>
      </c>
      <c r="O194" s="1198">
        <f t="shared" si="15"/>
        <v>0</v>
      </c>
      <c r="P194" s="1539">
        <f t="shared" si="16"/>
        <v>0</v>
      </c>
      <c r="Q194" s="1571">
        <v>0.33360000000000001</v>
      </c>
      <c r="R194" s="1539">
        <f t="shared" si="17"/>
        <v>0</v>
      </c>
      <c r="S194" s="1198">
        <v>0.01</v>
      </c>
      <c r="T194" s="1539">
        <f t="shared" si="18"/>
        <v>0</v>
      </c>
      <c r="U194" s="1539">
        <f t="shared" si="19"/>
        <v>0</v>
      </c>
      <c r="V194" s="1570">
        <f t="shared" si="20"/>
        <v>0</v>
      </c>
    </row>
    <row r="195" spans="1:22" x14ac:dyDescent="0.25">
      <c r="A195" s="1322" t="s">
        <v>1900</v>
      </c>
      <c r="B195" s="1322">
        <v>3104</v>
      </c>
      <c r="C195" s="1198" t="s">
        <v>2785</v>
      </c>
      <c r="D195" s="1198" t="s">
        <v>331</v>
      </c>
      <c r="E195" s="1198" t="s">
        <v>1907</v>
      </c>
      <c r="F195" s="1198">
        <v>310403</v>
      </c>
      <c r="G195" s="1198" t="s">
        <v>2879</v>
      </c>
      <c r="H195" s="1198">
        <f>Dataark_til_bilag3_2030[[#This Row],[Staldkode]]+Dataark_til_bilag3_2030[[#This Row],[Dyrekode]]</f>
        <v>313507</v>
      </c>
      <c r="I195" s="1222">
        <v>0</v>
      </c>
      <c r="J195" s="1198" t="s">
        <v>1906</v>
      </c>
      <c r="K195" s="1198"/>
      <c r="L195" s="1540">
        <f>67.9/100</f>
        <v>0.67900000000000005</v>
      </c>
      <c r="M195" s="1198">
        <f t="shared" si="14"/>
        <v>0</v>
      </c>
      <c r="N195" s="1198">
        <v>1E-3</v>
      </c>
      <c r="O195" s="1198">
        <f t="shared" si="15"/>
        <v>0</v>
      </c>
      <c r="P195" s="1539">
        <f t="shared" si="16"/>
        <v>0</v>
      </c>
      <c r="Q195" s="1571">
        <v>0.33360000000000001</v>
      </c>
      <c r="R195" s="1539">
        <f t="shared" si="17"/>
        <v>0</v>
      </c>
      <c r="S195" s="1198">
        <v>0.01</v>
      </c>
      <c r="T195" s="1539">
        <f t="shared" si="18"/>
        <v>0</v>
      </c>
      <c r="U195" s="1539">
        <f t="shared" si="19"/>
        <v>0</v>
      </c>
      <c r="V195" s="1570">
        <f t="shared" si="20"/>
        <v>0</v>
      </c>
    </row>
    <row r="196" spans="1:22" x14ac:dyDescent="0.25">
      <c r="A196" s="1390" t="s">
        <v>1900</v>
      </c>
      <c r="B196" s="1322">
        <v>3105</v>
      </c>
      <c r="C196" s="1198" t="s">
        <v>2773</v>
      </c>
      <c r="D196" s="1198" t="s">
        <v>331</v>
      </c>
      <c r="E196" s="1198" t="s">
        <v>1879</v>
      </c>
      <c r="F196" s="1198">
        <v>310501</v>
      </c>
      <c r="G196" s="1198" t="s">
        <v>2879</v>
      </c>
      <c r="H196" s="1198">
        <f>Dataark_til_bilag3_2030[[#This Row],[Staldkode]]+Dataark_til_bilag3_2030[[#This Row],[Dyrekode]]</f>
        <v>313606</v>
      </c>
      <c r="I196" s="1222">
        <v>0</v>
      </c>
      <c r="J196" s="1198"/>
      <c r="K196" s="1198" t="s">
        <v>350</v>
      </c>
      <c r="L196" s="1540">
        <f>88.9/100</f>
        <v>0.88900000000000001</v>
      </c>
      <c r="M196" s="1198">
        <f t="shared" si="14"/>
        <v>0</v>
      </c>
      <c r="N196" s="1198">
        <v>1E-3</v>
      </c>
      <c r="O196" s="1198">
        <f t="shared" si="15"/>
        <v>0</v>
      </c>
      <c r="P196" s="1539">
        <f t="shared" si="16"/>
        <v>0</v>
      </c>
      <c r="Q196" s="1571">
        <v>0.33360000000000001</v>
      </c>
      <c r="R196" s="1539">
        <f t="shared" si="17"/>
        <v>0</v>
      </c>
      <c r="S196" s="1198">
        <v>0.01</v>
      </c>
      <c r="T196" s="1539">
        <f t="shared" si="18"/>
        <v>0</v>
      </c>
      <c r="U196" s="1539">
        <f t="shared" si="19"/>
        <v>0</v>
      </c>
      <c r="V196" s="1570">
        <f t="shared" si="20"/>
        <v>0</v>
      </c>
    </row>
    <row r="197" spans="1:22" x14ac:dyDescent="0.25">
      <c r="A197" s="1390" t="s">
        <v>1900</v>
      </c>
      <c r="B197" s="1322">
        <v>3106</v>
      </c>
      <c r="C197" s="1198" t="s">
        <v>1919</v>
      </c>
      <c r="D197" s="1198" t="s">
        <v>331</v>
      </c>
      <c r="E197" s="1198" t="s">
        <v>1918</v>
      </c>
      <c r="F197" s="1198">
        <v>310601</v>
      </c>
      <c r="G197" s="1774" t="s">
        <v>351</v>
      </c>
      <c r="H197" s="1198">
        <f>Dataark_til_bilag3_2030[[#This Row],[Staldkode]]+Dataark_til_bilag3_2030[[#This Row],[Dyrekode]]</f>
        <v>313707</v>
      </c>
      <c r="I197" s="1222">
        <v>0</v>
      </c>
      <c r="J197" s="1198" t="s">
        <v>1906</v>
      </c>
      <c r="K197" s="1198" t="s">
        <v>350</v>
      </c>
      <c r="L197" s="1540">
        <f>88.9/100</f>
        <v>0.88900000000000001</v>
      </c>
      <c r="M197" s="1198">
        <f t="shared" ref="M197:M228" si="22">IFERROR(I197*L197," ")</f>
        <v>0</v>
      </c>
      <c r="N197" s="1198">
        <v>1E-3</v>
      </c>
      <c r="O197" s="1198">
        <f t="shared" ref="O197:O228" si="23">IFERROR(M197*N197," ")</f>
        <v>0</v>
      </c>
      <c r="P197" s="1539">
        <f t="shared" ref="P197:P228" si="24">IFERROR(O197*44/28," ")</f>
        <v>0</v>
      </c>
      <c r="Q197" s="1571">
        <v>0.33360000000000001</v>
      </c>
      <c r="R197" s="1539">
        <f t="shared" ref="R197:R228" si="25">IFERROR(M197*Q197," ")</f>
        <v>0</v>
      </c>
      <c r="S197" s="1198">
        <v>0.01</v>
      </c>
      <c r="T197" s="1544">
        <f t="shared" ref="T197:T228" si="26">IFERROR(R197*S197," ")</f>
        <v>0</v>
      </c>
      <c r="U197" s="1544">
        <f t="shared" ref="U197:U228" si="27">IFERROR(T197*44/28,0)</f>
        <v>0</v>
      </c>
      <c r="V197" s="1544">
        <f t="shared" ref="V197:V228" si="28">IFERROR((P197+U197)/1000," ")</f>
        <v>0</v>
      </c>
    </row>
    <row r="198" spans="1:22" s="1572" customFormat="1" x14ac:dyDescent="0.25">
      <c r="A198" s="1322" t="s">
        <v>1900</v>
      </c>
      <c r="B198" s="1198">
        <v>3107</v>
      </c>
      <c r="C198" s="1198" t="s">
        <v>2888</v>
      </c>
      <c r="D198" s="1198" t="s">
        <v>331</v>
      </c>
      <c r="E198" s="1198" t="s">
        <v>1914</v>
      </c>
      <c r="F198" s="1198">
        <v>310701</v>
      </c>
      <c r="G198" s="1198" t="s">
        <v>2879</v>
      </c>
      <c r="H198" s="1198">
        <f>Dataark_til_bilag3_2030[[#This Row],[Staldkode]]+Dataark_til_bilag3_2030[[#This Row],[Dyrekode]]</f>
        <v>313808</v>
      </c>
      <c r="I198" s="1222">
        <v>0</v>
      </c>
      <c r="J198" s="1198" t="s">
        <v>1906</v>
      </c>
      <c r="K198" s="1198" t="s">
        <v>350</v>
      </c>
      <c r="L198" s="1540">
        <f>90.3/100</f>
        <v>0.90300000000000002</v>
      </c>
      <c r="M198" s="1198">
        <f t="shared" si="22"/>
        <v>0</v>
      </c>
      <c r="N198" s="1198">
        <v>1E-3</v>
      </c>
      <c r="O198" s="1198">
        <f t="shared" si="23"/>
        <v>0</v>
      </c>
      <c r="P198" s="1539">
        <f t="shared" si="24"/>
        <v>0</v>
      </c>
      <c r="Q198" s="1571">
        <v>0.33360000000000001</v>
      </c>
      <c r="R198" s="1539">
        <f t="shared" si="25"/>
        <v>0</v>
      </c>
      <c r="S198" s="1198">
        <v>0.01</v>
      </c>
      <c r="T198" s="1544">
        <f t="shared" si="26"/>
        <v>0</v>
      </c>
      <c r="U198" s="1544">
        <f t="shared" si="27"/>
        <v>0</v>
      </c>
      <c r="V198" s="1544">
        <f t="shared" si="28"/>
        <v>0</v>
      </c>
    </row>
    <row r="199" spans="1:22" x14ac:dyDescent="0.25">
      <c r="A199" s="1390" t="s">
        <v>1900</v>
      </c>
      <c r="B199" s="1322">
        <v>3111</v>
      </c>
      <c r="C199" s="1198" t="s">
        <v>2783</v>
      </c>
      <c r="D199" s="1198" t="s">
        <v>331</v>
      </c>
      <c r="E199" s="1198" t="s">
        <v>1904</v>
      </c>
      <c r="F199" s="1198">
        <v>311105</v>
      </c>
      <c r="G199" s="1198" t="s">
        <v>2879</v>
      </c>
      <c r="H199" s="1198">
        <f>Dataark_til_bilag3_2030[[#This Row],[Staldkode]]+Dataark_til_bilag3_2030[[#This Row],[Dyrekode]]</f>
        <v>314216</v>
      </c>
      <c r="I199" s="1222">
        <v>0</v>
      </c>
      <c r="J199" s="1198" t="s">
        <v>1903</v>
      </c>
      <c r="K199" s="1198"/>
      <c r="L199" s="1540">
        <f>67.9/100</f>
        <v>0.67900000000000005</v>
      </c>
      <c r="M199" s="1198">
        <f t="shared" si="22"/>
        <v>0</v>
      </c>
      <c r="N199" s="1198">
        <v>1E-3</v>
      </c>
      <c r="O199" s="1198">
        <f t="shared" si="23"/>
        <v>0</v>
      </c>
      <c r="P199" s="1539">
        <f t="shared" si="24"/>
        <v>0</v>
      </c>
      <c r="Q199" s="1571">
        <v>0.33360000000000001</v>
      </c>
      <c r="R199" s="1539">
        <f t="shared" si="25"/>
        <v>0</v>
      </c>
      <c r="S199" s="1198">
        <v>0.01</v>
      </c>
      <c r="T199" s="1539">
        <f t="shared" si="26"/>
        <v>0</v>
      </c>
      <c r="U199" s="1539">
        <f t="shared" si="27"/>
        <v>0</v>
      </c>
      <c r="V199" s="1570">
        <f t="shared" si="28"/>
        <v>0</v>
      </c>
    </row>
    <row r="200" spans="1:22" x14ac:dyDescent="0.25">
      <c r="A200" s="1390" t="s">
        <v>1900</v>
      </c>
      <c r="B200" s="1322">
        <v>3111</v>
      </c>
      <c r="C200" s="1198" t="s">
        <v>2782</v>
      </c>
      <c r="D200" s="1198" t="s">
        <v>331</v>
      </c>
      <c r="E200" s="1198" t="s">
        <v>1901</v>
      </c>
      <c r="F200" s="1198">
        <v>311106</v>
      </c>
      <c r="G200" s="1198" t="s">
        <v>2879</v>
      </c>
      <c r="H200" s="1198">
        <f>Dataark_til_bilag3_2030[[#This Row],[Staldkode]]+Dataark_til_bilag3_2030[[#This Row],[Dyrekode]]</f>
        <v>314217</v>
      </c>
      <c r="I200" s="1222">
        <v>0</v>
      </c>
      <c r="J200" s="1198"/>
      <c r="K200" s="1198" t="s">
        <v>350</v>
      </c>
      <c r="L200" s="1540">
        <f>67.9/100</f>
        <v>0.67900000000000005</v>
      </c>
      <c r="M200" s="1198">
        <f t="shared" si="22"/>
        <v>0</v>
      </c>
      <c r="N200" s="1198">
        <v>1E-3</v>
      </c>
      <c r="O200" s="1198">
        <f t="shared" si="23"/>
        <v>0</v>
      </c>
      <c r="P200" s="1539">
        <f t="shared" si="24"/>
        <v>0</v>
      </c>
      <c r="Q200" s="1571">
        <v>0.33360000000000001</v>
      </c>
      <c r="R200" s="1539">
        <f t="shared" si="25"/>
        <v>0</v>
      </c>
      <c r="S200" s="1198">
        <v>0.01</v>
      </c>
      <c r="T200" s="1539">
        <f t="shared" si="26"/>
        <v>0</v>
      </c>
      <c r="U200" s="1539">
        <f t="shared" si="27"/>
        <v>0</v>
      </c>
      <c r="V200" s="1570">
        <f t="shared" si="28"/>
        <v>0</v>
      </c>
    </row>
    <row r="201" spans="1:22" x14ac:dyDescent="0.25">
      <c r="A201" s="1390" t="s">
        <v>1900</v>
      </c>
      <c r="B201" s="1322">
        <v>3112</v>
      </c>
      <c r="C201" s="1198" t="s">
        <v>2772</v>
      </c>
      <c r="D201" s="1198" t="s">
        <v>331</v>
      </c>
      <c r="E201" s="1198" t="s">
        <v>1898</v>
      </c>
      <c r="F201" s="1198">
        <v>311201</v>
      </c>
      <c r="G201" s="1198" t="s">
        <v>2879</v>
      </c>
      <c r="H201" s="1198">
        <f>Dataark_til_bilag3_2030[[#This Row],[Staldkode]]+Dataark_til_bilag3_2030[[#This Row],[Dyrekode]]</f>
        <v>314313</v>
      </c>
      <c r="I201" s="1222">
        <v>0</v>
      </c>
      <c r="J201" s="1198"/>
      <c r="K201" s="1198" t="s">
        <v>350</v>
      </c>
      <c r="L201" s="1540">
        <f>88.9/100</f>
        <v>0.88900000000000001</v>
      </c>
      <c r="M201" s="1198">
        <f t="shared" si="22"/>
        <v>0</v>
      </c>
      <c r="N201" s="1198">
        <v>1E-3</v>
      </c>
      <c r="O201" s="1198">
        <f t="shared" si="23"/>
        <v>0</v>
      </c>
      <c r="P201" s="1539">
        <f t="shared" si="24"/>
        <v>0</v>
      </c>
      <c r="Q201" s="1571">
        <v>0.33360000000000001</v>
      </c>
      <c r="R201" s="1539">
        <f t="shared" si="25"/>
        <v>0</v>
      </c>
      <c r="S201" s="1198">
        <v>0.01</v>
      </c>
      <c r="T201" s="1539">
        <f t="shared" si="26"/>
        <v>0</v>
      </c>
      <c r="U201" s="1539">
        <f t="shared" si="27"/>
        <v>0</v>
      </c>
      <c r="V201" s="1570">
        <f t="shared" si="28"/>
        <v>0</v>
      </c>
    </row>
    <row r="202" spans="1:22" x14ac:dyDescent="0.25">
      <c r="A202" s="1390" t="s">
        <v>1878</v>
      </c>
      <c r="B202" s="1322">
        <v>3201</v>
      </c>
      <c r="C202" s="1198" t="s">
        <v>2887</v>
      </c>
      <c r="D202" s="1198" t="s">
        <v>331</v>
      </c>
      <c r="E202" s="1198" t="s">
        <v>2779</v>
      </c>
      <c r="F202" s="1198">
        <v>320101</v>
      </c>
      <c r="G202" s="1198" t="s">
        <v>2879</v>
      </c>
      <c r="H202" s="1198">
        <f>Dataark_til_bilag3_2030[[#This Row],[Staldkode]]+Dataark_til_bilag3_2030[[#This Row],[Dyrekode]]</f>
        <v>323302</v>
      </c>
      <c r="I202" s="1222">
        <v>0</v>
      </c>
      <c r="J202" s="1198"/>
      <c r="K202" s="1198" t="s">
        <v>350</v>
      </c>
      <c r="L202" s="1540">
        <f>88.9/100</f>
        <v>0.88900000000000001</v>
      </c>
      <c r="M202" s="1198">
        <f t="shared" si="22"/>
        <v>0</v>
      </c>
      <c r="N202" s="1198">
        <v>1E-3</v>
      </c>
      <c r="O202" s="1198">
        <f t="shared" si="23"/>
        <v>0</v>
      </c>
      <c r="P202" s="1539">
        <f t="shared" si="24"/>
        <v>0</v>
      </c>
      <c r="Q202" s="1571">
        <v>0.13450000000000001</v>
      </c>
      <c r="R202" s="1539">
        <f t="shared" si="25"/>
        <v>0</v>
      </c>
      <c r="S202" s="1198">
        <v>0.01</v>
      </c>
      <c r="T202" s="1539">
        <f t="shared" si="26"/>
        <v>0</v>
      </c>
      <c r="U202" s="1539">
        <f t="shared" si="27"/>
        <v>0</v>
      </c>
      <c r="V202" s="1570">
        <f t="shared" si="28"/>
        <v>0</v>
      </c>
    </row>
    <row r="203" spans="1:22" x14ac:dyDescent="0.25">
      <c r="A203" s="1390" t="s">
        <v>1878</v>
      </c>
      <c r="B203" s="1322">
        <v>3202</v>
      </c>
      <c r="C203" s="1198" t="s">
        <v>1896</v>
      </c>
      <c r="D203" s="1198" t="s">
        <v>331</v>
      </c>
      <c r="E203" s="1198" t="s">
        <v>2779</v>
      </c>
      <c r="F203" s="1198">
        <v>320201</v>
      </c>
      <c r="G203" s="1198" t="s">
        <v>2879</v>
      </c>
      <c r="H203" s="1198">
        <f>Dataark_til_bilag3_2030[[#This Row],[Staldkode]]+Dataark_til_bilag3_2030[[#This Row],[Dyrekode]]</f>
        <v>323403</v>
      </c>
      <c r="I203" s="1222">
        <v>0</v>
      </c>
      <c r="J203" s="1198"/>
      <c r="K203" s="1198" t="s">
        <v>350</v>
      </c>
      <c r="L203" s="1540">
        <f>88.9/100</f>
        <v>0.88900000000000001</v>
      </c>
      <c r="M203" s="1198">
        <f t="shared" si="22"/>
        <v>0</v>
      </c>
      <c r="N203" s="1198">
        <v>1E-3</v>
      </c>
      <c r="O203" s="1198">
        <f t="shared" si="23"/>
        <v>0</v>
      </c>
      <c r="P203" s="1539">
        <f t="shared" si="24"/>
        <v>0</v>
      </c>
      <c r="Q203" s="1571">
        <v>0.13450000000000001</v>
      </c>
      <c r="R203" s="1539">
        <f t="shared" si="25"/>
        <v>0</v>
      </c>
      <c r="S203" s="1198">
        <v>0.01</v>
      </c>
      <c r="T203" s="1539">
        <f t="shared" si="26"/>
        <v>0</v>
      </c>
      <c r="U203" s="1539">
        <f t="shared" si="27"/>
        <v>0</v>
      </c>
      <c r="V203" s="1570">
        <f t="shared" si="28"/>
        <v>0</v>
      </c>
    </row>
    <row r="204" spans="1:22" x14ac:dyDescent="0.25">
      <c r="A204" s="1575" t="s">
        <v>1878</v>
      </c>
      <c r="B204" s="1543">
        <v>3203</v>
      </c>
      <c r="C204" s="1542" t="s">
        <v>2778</v>
      </c>
      <c r="D204" s="1542" t="s">
        <v>331</v>
      </c>
      <c r="E204" s="1542" t="s">
        <v>2779</v>
      </c>
      <c r="F204" s="1542">
        <v>320301</v>
      </c>
      <c r="G204" s="1542" t="s">
        <v>2879</v>
      </c>
      <c r="H204" s="1542">
        <f>Dataark_til_bilag3_2030[[#This Row],[Staldkode]]+Dataark_til_bilag3_2030[[#This Row],[Dyrekode]]</f>
        <v>323504</v>
      </c>
      <c r="I204" s="1222" t="s">
        <v>270</v>
      </c>
      <c r="J204" s="1542"/>
      <c r="K204" s="1542"/>
      <c r="L204" s="1540">
        <f>88.9/100</f>
        <v>0.88900000000000001</v>
      </c>
      <c r="M204" s="1198" t="str">
        <f t="shared" si="22"/>
        <v xml:space="preserve"> </v>
      </c>
      <c r="N204" s="1198">
        <v>1E-3</v>
      </c>
      <c r="O204" s="1198" t="str">
        <f t="shared" si="23"/>
        <v xml:space="preserve"> </v>
      </c>
      <c r="P204" s="1539" t="str">
        <f t="shared" si="24"/>
        <v xml:space="preserve"> </v>
      </c>
      <c r="Q204" s="1571">
        <v>0.13450000000000001</v>
      </c>
      <c r="R204" s="1539" t="str">
        <f t="shared" si="25"/>
        <v xml:space="preserve"> </v>
      </c>
      <c r="S204" s="1198">
        <v>0.01</v>
      </c>
      <c r="T204" s="1539" t="str">
        <f t="shared" si="26"/>
        <v xml:space="preserve"> </v>
      </c>
      <c r="U204" s="1539">
        <f t="shared" si="27"/>
        <v>0</v>
      </c>
      <c r="V204" s="1570" t="str">
        <f t="shared" si="28"/>
        <v xml:space="preserve"> </v>
      </c>
    </row>
    <row r="205" spans="1:22" x14ac:dyDescent="0.25">
      <c r="A205" s="1390" t="s">
        <v>1878</v>
      </c>
      <c r="B205" s="1322">
        <v>3204</v>
      </c>
      <c r="C205" s="1198" t="s">
        <v>1893</v>
      </c>
      <c r="D205" s="1198" t="s">
        <v>331</v>
      </c>
      <c r="E205" s="1198" t="s">
        <v>2779</v>
      </c>
      <c r="F205" s="1198">
        <v>320401</v>
      </c>
      <c r="G205" s="1198" t="s">
        <v>2879</v>
      </c>
      <c r="H205" s="1198">
        <f>Dataark_til_bilag3_2030[[#This Row],[Staldkode]]+Dataark_til_bilag3_2030[[#This Row],[Dyrekode]]</f>
        <v>323605</v>
      </c>
      <c r="I205" s="1222">
        <v>0</v>
      </c>
      <c r="J205" s="1198"/>
      <c r="K205" s="1198" t="s">
        <v>350</v>
      </c>
      <c r="L205" s="1540">
        <f>88.9/100</f>
        <v>0.88900000000000001</v>
      </c>
      <c r="M205" s="1198">
        <f t="shared" si="22"/>
        <v>0</v>
      </c>
      <c r="N205" s="1198">
        <v>1E-3</v>
      </c>
      <c r="O205" s="1198">
        <f t="shared" si="23"/>
        <v>0</v>
      </c>
      <c r="P205" s="1539">
        <f t="shared" si="24"/>
        <v>0</v>
      </c>
      <c r="Q205" s="1571">
        <v>0.13450000000000001</v>
      </c>
      <c r="R205" s="1539">
        <f t="shared" si="25"/>
        <v>0</v>
      </c>
      <c r="S205" s="1198">
        <v>0.01</v>
      </c>
      <c r="T205" s="1539">
        <f t="shared" si="26"/>
        <v>0</v>
      </c>
      <c r="U205" s="1539">
        <f t="shared" si="27"/>
        <v>0</v>
      </c>
      <c r="V205" s="1570">
        <f t="shared" si="28"/>
        <v>0</v>
      </c>
    </row>
    <row r="206" spans="1:22" s="1572" customFormat="1" x14ac:dyDescent="0.25">
      <c r="A206" s="1322" t="s">
        <v>1878</v>
      </c>
      <c r="B206" s="1322">
        <v>3230</v>
      </c>
      <c r="C206" s="1198" t="s">
        <v>2776</v>
      </c>
      <c r="D206" s="1198" t="s">
        <v>331</v>
      </c>
      <c r="E206" s="1198" t="s">
        <v>1891</v>
      </c>
      <c r="F206" s="1198">
        <v>323001</v>
      </c>
      <c r="G206" s="1198" t="s">
        <v>2879</v>
      </c>
      <c r="H206" s="1198">
        <f>Dataark_til_bilag3_2030[[#This Row],[Staldkode]]+Dataark_til_bilag3_2030[[#This Row],[Dyrekode]]</f>
        <v>326231</v>
      </c>
      <c r="I206" s="1222">
        <v>0</v>
      </c>
      <c r="J206" s="1198"/>
      <c r="K206" s="1198" t="s">
        <v>350</v>
      </c>
      <c r="L206" s="1540">
        <f>30.8/1000</f>
        <v>3.0800000000000001E-2</v>
      </c>
      <c r="M206" s="1198">
        <f t="shared" si="22"/>
        <v>0</v>
      </c>
      <c r="N206" s="1198">
        <v>1E-3</v>
      </c>
      <c r="O206" s="1198">
        <f t="shared" si="23"/>
        <v>0</v>
      </c>
      <c r="P206" s="1539">
        <f t="shared" si="24"/>
        <v>0</v>
      </c>
      <c r="Q206" s="1571">
        <v>0.13450000000000001</v>
      </c>
      <c r="R206" s="1539">
        <f t="shared" si="25"/>
        <v>0</v>
      </c>
      <c r="S206" s="1198">
        <v>0.01</v>
      </c>
      <c r="T206" s="1539">
        <f t="shared" si="26"/>
        <v>0</v>
      </c>
      <c r="U206" s="1539">
        <f t="shared" si="27"/>
        <v>0</v>
      </c>
      <c r="V206" s="1570">
        <f t="shared" si="28"/>
        <v>0</v>
      </c>
    </row>
    <row r="207" spans="1:22" s="1572" customFormat="1" x14ac:dyDescent="0.25">
      <c r="A207" s="1322" t="s">
        <v>1878</v>
      </c>
      <c r="B207" s="1322">
        <v>3232</v>
      </c>
      <c r="C207" s="1198" t="s">
        <v>1890</v>
      </c>
      <c r="D207" s="1198" t="s">
        <v>331</v>
      </c>
      <c r="E207" s="1198" t="s">
        <v>1889</v>
      </c>
      <c r="F207" s="1198">
        <v>323201</v>
      </c>
      <c r="G207" s="1198" t="s">
        <v>2879</v>
      </c>
      <c r="H207" s="1198">
        <f>Dataark_til_bilag3_2030[[#This Row],[Staldkode]]+Dataark_til_bilag3_2030[[#This Row],[Dyrekode]]</f>
        <v>326433</v>
      </c>
      <c r="I207" s="1222">
        <v>0</v>
      </c>
      <c r="J207" s="1198"/>
      <c r="K207" s="1198" t="s">
        <v>350</v>
      </c>
      <c r="L207" s="1540">
        <f>35.9/1000</f>
        <v>3.5900000000000001E-2</v>
      </c>
      <c r="M207" s="1198">
        <f t="shared" si="22"/>
        <v>0</v>
      </c>
      <c r="N207" s="1198">
        <v>1E-3</v>
      </c>
      <c r="O207" s="1198">
        <f t="shared" si="23"/>
        <v>0</v>
      </c>
      <c r="P207" s="1539">
        <f t="shared" si="24"/>
        <v>0</v>
      </c>
      <c r="Q207" s="1571">
        <v>0.13450000000000001</v>
      </c>
      <c r="R207" s="1539">
        <f t="shared" si="25"/>
        <v>0</v>
      </c>
      <c r="S207" s="1198">
        <v>0.01</v>
      </c>
      <c r="T207" s="1539">
        <f t="shared" si="26"/>
        <v>0</v>
      </c>
      <c r="U207" s="1539">
        <f t="shared" si="27"/>
        <v>0</v>
      </c>
      <c r="V207" s="1570">
        <f t="shared" si="28"/>
        <v>0</v>
      </c>
    </row>
    <row r="208" spans="1:22" s="1572" customFormat="1" x14ac:dyDescent="0.25">
      <c r="A208" s="1322" t="s">
        <v>1878</v>
      </c>
      <c r="B208" s="1322">
        <v>3235</v>
      </c>
      <c r="C208" s="1198" t="s">
        <v>1888</v>
      </c>
      <c r="D208" s="1198" t="s">
        <v>331</v>
      </c>
      <c r="E208" s="1198" t="s">
        <v>1887</v>
      </c>
      <c r="F208" s="1198">
        <v>323501</v>
      </c>
      <c r="G208" s="1198" t="s">
        <v>2879</v>
      </c>
      <c r="H208" s="1198">
        <f>Dataark_til_bilag3_2030[[#This Row],[Staldkode]]+Dataark_til_bilag3_2030[[#This Row],[Dyrekode]]</f>
        <v>326736</v>
      </c>
      <c r="I208" s="1222">
        <v>0</v>
      </c>
      <c r="J208" s="1198"/>
      <c r="K208" s="1198" t="s">
        <v>350</v>
      </c>
      <c r="L208" s="1540">
        <f>47.4/1000</f>
        <v>4.7399999999999998E-2</v>
      </c>
      <c r="M208" s="1198">
        <f t="shared" si="22"/>
        <v>0</v>
      </c>
      <c r="N208" s="1198">
        <v>1E-3</v>
      </c>
      <c r="O208" s="1198">
        <f t="shared" si="23"/>
        <v>0</v>
      </c>
      <c r="P208" s="1539">
        <f t="shared" si="24"/>
        <v>0</v>
      </c>
      <c r="Q208" s="1571">
        <v>0.13450000000000001</v>
      </c>
      <c r="R208" s="1539">
        <f t="shared" si="25"/>
        <v>0</v>
      </c>
      <c r="S208" s="1198">
        <v>0.01</v>
      </c>
      <c r="T208" s="1539">
        <f t="shared" si="26"/>
        <v>0</v>
      </c>
      <c r="U208" s="1539">
        <f t="shared" si="27"/>
        <v>0</v>
      </c>
      <c r="V208" s="1570">
        <f t="shared" si="28"/>
        <v>0</v>
      </c>
    </row>
    <row r="209" spans="1:22" x14ac:dyDescent="0.25">
      <c r="A209" s="1390" t="s">
        <v>1878</v>
      </c>
      <c r="B209" s="1322">
        <v>3240</v>
      </c>
      <c r="C209" s="1198" t="s">
        <v>1886</v>
      </c>
      <c r="D209" s="1198" t="s">
        <v>331</v>
      </c>
      <c r="E209" s="1198" t="s">
        <v>1885</v>
      </c>
      <c r="F209" s="1198">
        <v>324001</v>
      </c>
      <c r="G209" s="1198" t="s">
        <v>2879</v>
      </c>
      <c r="H209" s="1198">
        <f>Dataark_til_bilag3_2030[[#This Row],[Staldkode]]+Dataark_til_bilag3_2030[[#This Row],[Dyrekode]]</f>
        <v>327241</v>
      </c>
      <c r="I209" s="1222">
        <v>0</v>
      </c>
      <c r="J209" s="1198"/>
      <c r="K209" s="1198" t="s">
        <v>350</v>
      </c>
      <c r="L209" s="1540">
        <f>62.9/1000</f>
        <v>6.2899999999999998E-2</v>
      </c>
      <c r="M209" s="1198">
        <f t="shared" si="22"/>
        <v>0</v>
      </c>
      <c r="N209" s="1198">
        <v>1E-3</v>
      </c>
      <c r="O209" s="1198">
        <f t="shared" si="23"/>
        <v>0</v>
      </c>
      <c r="P209" s="1539">
        <f t="shared" si="24"/>
        <v>0</v>
      </c>
      <c r="Q209" s="1571">
        <v>0.13450000000000001</v>
      </c>
      <c r="R209" s="1539">
        <f t="shared" si="25"/>
        <v>0</v>
      </c>
      <c r="S209" s="1198">
        <v>0.01</v>
      </c>
      <c r="T209" s="1539">
        <f t="shared" si="26"/>
        <v>0</v>
      </c>
      <c r="U209" s="1539">
        <f t="shared" si="27"/>
        <v>0</v>
      </c>
      <c r="V209" s="1570">
        <f t="shared" si="28"/>
        <v>0</v>
      </c>
    </row>
    <row r="210" spans="1:22" x14ac:dyDescent="0.25">
      <c r="A210" s="1390" t="s">
        <v>1878</v>
      </c>
      <c r="B210" s="1322">
        <v>3245</v>
      </c>
      <c r="C210" s="1198" t="s">
        <v>1884</v>
      </c>
      <c r="D210" s="1198" t="s">
        <v>331</v>
      </c>
      <c r="E210" s="1198" t="s">
        <v>1883</v>
      </c>
      <c r="F210" s="1198">
        <v>324501</v>
      </c>
      <c r="G210" s="1198" t="s">
        <v>2879</v>
      </c>
      <c r="H210" s="1198">
        <f>Dataark_til_bilag3_2030[[#This Row],[Staldkode]]+Dataark_til_bilag3_2030[[#This Row],[Dyrekode]]</f>
        <v>327746</v>
      </c>
      <c r="I210" s="1222">
        <v>0</v>
      </c>
      <c r="J210" s="1198"/>
      <c r="K210" s="1198" t="s">
        <v>350</v>
      </c>
      <c r="L210" s="1540">
        <f>83.4/100</f>
        <v>0.83400000000000007</v>
      </c>
      <c r="M210" s="1198">
        <f t="shared" si="22"/>
        <v>0</v>
      </c>
      <c r="N210" s="1198">
        <v>1E-3</v>
      </c>
      <c r="O210" s="1198">
        <f t="shared" si="23"/>
        <v>0</v>
      </c>
      <c r="P210" s="1539">
        <f t="shared" si="24"/>
        <v>0</v>
      </c>
      <c r="Q210" s="1571">
        <v>0.13450000000000001</v>
      </c>
      <c r="R210" s="1539">
        <f t="shared" si="25"/>
        <v>0</v>
      </c>
      <c r="S210" s="1198">
        <v>0.01</v>
      </c>
      <c r="T210" s="1539">
        <f t="shared" si="26"/>
        <v>0</v>
      </c>
      <c r="U210" s="1539">
        <f t="shared" si="27"/>
        <v>0</v>
      </c>
      <c r="V210" s="1570">
        <f t="shared" si="28"/>
        <v>0</v>
      </c>
    </row>
    <row r="211" spans="1:22" x14ac:dyDescent="0.25">
      <c r="A211" s="1390" t="s">
        <v>1878</v>
      </c>
      <c r="B211" s="1322">
        <v>3256</v>
      </c>
      <c r="C211" s="1198" t="s">
        <v>2775</v>
      </c>
      <c r="D211" s="1198" t="s">
        <v>331</v>
      </c>
      <c r="E211" s="1198" t="s">
        <v>1882</v>
      </c>
      <c r="F211" s="1198">
        <v>325601</v>
      </c>
      <c r="G211" s="1198" t="s">
        <v>2879</v>
      </c>
      <c r="H211" s="1198">
        <f>Dataark_til_bilag3_2030[[#This Row],[Staldkode]]+Dataark_til_bilag3_2030[[#This Row],[Dyrekode]]</f>
        <v>328857</v>
      </c>
      <c r="I211" s="1222">
        <v>0</v>
      </c>
      <c r="J211" s="1198"/>
      <c r="K211" s="1198" t="s">
        <v>350</v>
      </c>
      <c r="L211" s="1540">
        <f>49.4/1000</f>
        <v>4.9399999999999999E-2</v>
      </c>
      <c r="M211" s="1198">
        <f t="shared" si="22"/>
        <v>0</v>
      </c>
      <c r="N211" s="1198">
        <v>1E-3</v>
      </c>
      <c r="O211" s="1198">
        <f t="shared" si="23"/>
        <v>0</v>
      </c>
      <c r="P211" s="1539">
        <f t="shared" si="24"/>
        <v>0</v>
      </c>
      <c r="Q211" s="1571">
        <v>0.13450000000000001</v>
      </c>
      <c r="R211" s="1539">
        <f t="shared" si="25"/>
        <v>0</v>
      </c>
      <c r="S211" s="1198">
        <v>0.01</v>
      </c>
      <c r="T211" s="1539">
        <f t="shared" si="26"/>
        <v>0</v>
      </c>
      <c r="U211" s="1539">
        <f t="shared" si="27"/>
        <v>0</v>
      </c>
      <c r="V211" s="1570">
        <f t="shared" si="28"/>
        <v>0</v>
      </c>
    </row>
    <row r="212" spans="1:22" x14ac:dyDescent="0.25">
      <c r="A212" s="1390" t="s">
        <v>1878</v>
      </c>
      <c r="B212" s="1322">
        <v>3281</v>
      </c>
      <c r="C212" s="1198" t="s">
        <v>2774</v>
      </c>
      <c r="D212" s="1198" t="s">
        <v>331</v>
      </c>
      <c r="E212" s="1198" t="s">
        <v>1881</v>
      </c>
      <c r="F212" s="1198">
        <v>328101</v>
      </c>
      <c r="G212" s="1198" t="s">
        <v>2879</v>
      </c>
      <c r="H212" s="1198">
        <f>Dataark_til_bilag3_2030[[#This Row],[Staldkode]]+Dataark_til_bilag3_2030[[#This Row],[Dyrekode]]</f>
        <v>331382</v>
      </c>
      <c r="I212" s="1222">
        <v>0</v>
      </c>
      <c r="J212" s="1198"/>
      <c r="K212" s="1198" t="s">
        <v>350</v>
      </c>
      <c r="L212" s="1540">
        <f>108/1000</f>
        <v>0.108</v>
      </c>
      <c r="M212" s="1198">
        <f t="shared" si="22"/>
        <v>0</v>
      </c>
      <c r="N212" s="1198">
        <v>1E-3</v>
      </c>
      <c r="O212" s="1198">
        <f t="shared" si="23"/>
        <v>0</v>
      </c>
      <c r="P212" s="1539">
        <f t="shared" si="24"/>
        <v>0</v>
      </c>
      <c r="Q212" s="1571">
        <v>0.13450000000000001</v>
      </c>
      <c r="R212" s="1539">
        <f t="shared" si="25"/>
        <v>0</v>
      </c>
      <c r="S212" s="1198">
        <v>0.01</v>
      </c>
      <c r="T212" s="1539">
        <f t="shared" si="26"/>
        <v>0</v>
      </c>
      <c r="U212" s="1539">
        <f t="shared" si="27"/>
        <v>0</v>
      </c>
      <c r="V212" s="1570">
        <f t="shared" si="28"/>
        <v>0</v>
      </c>
    </row>
    <row r="213" spans="1:22" x14ac:dyDescent="0.25">
      <c r="A213" s="1390" t="s">
        <v>1878</v>
      </c>
      <c r="B213" s="1322">
        <v>3290</v>
      </c>
      <c r="C213" s="1198" t="s">
        <v>1880</v>
      </c>
      <c r="D213" s="1198" t="s">
        <v>331</v>
      </c>
      <c r="E213" s="1198" t="s">
        <v>2784</v>
      </c>
      <c r="F213" s="1198">
        <v>329001</v>
      </c>
      <c r="G213" s="1198" t="s">
        <v>2879</v>
      </c>
      <c r="H213" s="1198">
        <f>Dataark_til_bilag3_2030[[#This Row],[Staldkode]]+Dataark_til_bilag3_2030[[#This Row],[Dyrekode]]</f>
        <v>332291</v>
      </c>
      <c r="I213" s="1222">
        <v>0</v>
      </c>
      <c r="J213" s="1198"/>
      <c r="K213" s="1198" t="s">
        <v>350</v>
      </c>
      <c r="L213" s="1540">
        <f>88.9/100</f>
        <v>0.88900000000000001</v>
      </c>
      <c r="M213" s="1198">
        <f t="shared" si="22"/>
        <v>0</v>
      </c>
      <c r="N213" s="1198">
        <v>1E-3</v>
      </c>
      <c r="O213" s="1198">
        <f t="shared" si="23"/>
        <v>0</v>
      </c>
      <c r="P213" s="1539">
        <f t="shared" si="24"/>
        <v>0</v>
      </c>
      <c r="Q213" s="1571">
        <v>0.13450000000000001</v>
      </c>
      <c r="R213" s="1539">
        <f t="shared" si="25"/>
        <v>0</v>
      </c>
      <c r="S213" s="1198">
        <v>0.01</v>
      </c>
      <c r="T213" s="1539">
        <f t="shared" si="26"/>
        <v>0</v>
      </c>
      <c r="U213" s="1539">
        <f t="shared" si="27"/>
        <v>0</v>
      </c>
      <c r="V213" s="1570">
        <f t="shared" si="28"/>
        <v>0</v>
      </c>
    </row>
    <row r="214" spans="1:22" s="1574" customFormat="1" x14ac:dyDescent="0.25">
      <c r="A214" s="1390" t="s">
        <v>1878</v>
      </c>
      <c r="B214" s="1322">
        <v>3295</v>
      </c>
      <c r="C214" s="1198" t="s">
        <v>2772</v>
      </c>
      <c r="D214" s="1198" t="s">
        <v>331</v>
      </c>
      <c r="E214" s="1198" t="s">
        <v>1876</v>
      </c>
      <c r="F214" s="1198">
        <v>329501</v>
      </c>
      <c r="G214" s="1198" t="s">
        <v>2879</v>
      </c>
      <c r="H214" s="1198">
        <f>Dataark_til_bilag3_2030[[#This Row],[Staldkode]]+Dataark_til_bilag3_2030[[#This Row],[Dyrekode]]</f>
        <v>332796</v>
      </c>
      <c r="I214" s="1222">
        <v>0</v>
      </c>
      <c r="J214" s="1198"/>
      <c r="K214" s="1198"/>
      <c r="L214" s="1540">
        <f>88.9/100</f>
        <v>0.88900000000000001</v>
      </c>
      <c r="M214" s="1198">
        <f t="shared" si="22"/>
        <v>0</v>
      </c>
      <c r="N214" s="1198">
        <v>1E-3</v>
      </c>
      <c r="O214" s="1198">
        <f t="shared" si="23"/>
        <v>0</v>
      </c>
      <c r="P214" s="1539">
        <f t="shared" si="24"/>
        <v>0</v>
      </c>
      <c r="Q214" s="1571">
        <v>0.33360000000000001</v>
      </c>
      <c r="R214" s="1539">
        <f t="shared" si="25"/>
        <v>0</v>
      </c>
      <c r="S214" s="1198">
        <v>0.01</v>
      </c>
      <c r="T214" s="1539">
        <f t="shared" si="26"/>
        <v>0</v>
      </c>
      <c r="U214" s="1539">
        <f t="shared" si="27"/>
        <v>0</v>
      </c>
      <c r="V214" s="1570">
        <f t="shared" si="28"/>
        <v>0</v>
      </c>
    </row>
    <row r="215" spans="1:22" x14ac:dyDescent="0.25">
      <c r="A215" s="1390" t="s">
        <v>1900</v>
      </c>
      <c r="B215" s="1198">
        <v>3295</v>
      </c>
      <c r="C215" s="1198" t="s">
        <v>2781</v>
      </c>
      <c r="D215" s="1198" t="s">
        <v>331</v>
      </c>
      <c r="E215" s="1198" t="s">
        <v>2780</v>
      </c>
      <c r="F215" s="1198">
        <v>329501</v>
      </c>
      <c r="G215" s="1198" t="s">
        <v>2879</v>
      </c>
      <c r="H215" s="1198">
        <f>Dataark_til_bilag3_2030[[#This Row],[Staldkode]]+Dataark_til_bilag3_2030[[#This Row],[Dyrekode]]</f>
        <v>332796</v>
      </c>
      <c r="I215" s="1222">
        <v>0</v>
      </c>
      <c r="J215" s="1198"/>
      <c r="K215" s="1198" t="s">
        <v>350</v>
      </c>
      <c r="L215" s="1540">
        <f>88.9/100</f>
        <v>0.88900000000000001</v>
      </c>
      <c r="M215" s="1198">
        <f t="shared" si="22"/>
        <v>0</v>
      </c>
      <c r="N215" s="1198">
        <v>1E-3</v>
      </c>
      <c r="O215" s="1198">
        <f t="shared" si="23"/>
        <v>0</v>
      </c>
      <c r="P215" s="1539">
        <f t="shared" si="24"/>
        <v>0</v>
      </c>
      <c r="Q215" s="1571">
        <v>0.33360000000000001</v>
      </c>
      <c r="R215" s="1539">
        <f t="shared" si="25"/>
        <v>0</v>
      </c>
      <c r="S215" s="1198">
        <v>0.01</v>
      </c>
      <c r="T215" s="1539">
        <f t="shared" si="26"/>
        <v>0</v>
      </c>
      <c r="U215" s="1539">
        <f t="shared" si="27"/>
        <v>0</v>
      </c>
      <c r="V215" s="1570">
        <f t="shared" si="28"/>
        <v>0</v>
      </c>
    </row>
    <row r="216" spans="1:22" s="1572" customFormat="1" x14ac:dyDescent="0.25">
      <c r="A216" s="1390" t="s">
        <v>2886</v>
      </c>
      <c r="B216" s="1322">
        <v>3301</v>
      </c>
      <c r="C216" s="1198" t="s">
        <v>2771</v>
      </c>
      <c r="D216" s="1198" t="s">
        <v>331</v>
      </c>
      <c r="E216" s="1198" t="s">
        <v>1875</v>
      </c>
      <c r="F216" s="1198">
        <v>330101</v>
      </c>
      <c r="G216" s="1198" t="s">
        <v>2879</v>
      </c>
      <c r="H216" s="1198">
        <f>Dataark_til_bilag3_2030[[#This Row],[Staldkode]]+Dataark_til_bilag3_2030[[#This Row],[Dyrekode]]</f>
        <v>333402</v>
      </c>
      <c r="I216" s="1222">
        <v>0</v>
      </c>
      <c r="J216" s="1198"/>
      <c r="K216" s="1198" t="s">
        <v>350</v>
      </c>
      <c r="L216" s="1540">
        <f>48.1/100</f>
        <v>0.48100000000000004</v>
      </c>
      <c r="M216" s="1198">
        <f t="shared" si="22"/>
        <v>0</v>
      </c>
      <c r="N216" s="1198">
        <v>1E-3</v>
      </c>
      <c r="O216" s="1198">
        <f t="shared" si="23"/>
        <v>0</v>
      </c>
      <c r="P216" s="1539">
        <f t="shared" si="24"/>
        <v>0</v>
      </c>
      <c r="Q216" s="1573">
        <v>0.26850000000000002</v>
      </c>
      <c r="R216" s="1544">
        <f t="shared" si="25"/>
        <v>0</v>
      </c>
      <c r="S216" s="1198">
        <v>0.01</v>
      </c>
      <c r="T216" s="1539">
        <f t="shared" si="26"/>
        <v>0</v>
      </c>
      <c r="U216" s="1539">
        <f t="shared" si="27"/>
        <v>0</v>
      </c>
      <c r="V216" s="1570">
        <f t="shared" si="28"/>
        <v>0</v>
      </c>
    </row>
    <row r="217" spans="1:22" s="1572" customFormat="1" x14ac:dyDescent="0.25">
      <c r="A217" s="1390" t="s">
        <v>2886</v>
      </c>
      <c r="B217" s="1322">
        <v>3302</v>
      </c>
      <c r="C217" s="1198" t="s">
        <v>1873</v>
      </c>
      <c r="D217" s="1198" t="s">
        <v>331</v>
      </c>
      <c r="E217" s="1198" t="s">
        <v>1873</v>
      </c>
      <c r="F217" s="1198">
        <v>330201</v>
      </c>
      <c r="G217" s="1198" t="s">
        <v>2879</v>
      </c>
      <c r="H217" s="1198">
        <f>Dataark_til_bilag3_2030[[#This Row],[Staldkode]]+Dataark_til_bilag3_2030[[#This Row],[Dyrekode]]</f>
        <v>333503</v>
      </c>
      <c r="I217" s="1222">
        <v>0</v>
      </c>
      <c r="J217" s="1198"/>
      <c r="K217" s="1198" t="s">
        <v>350</v>
      </c>
      <c r="L217" s="1540">
        <f>87.8/100</f>
        <v>0.878</v>
      </c>
      <c r="M217" s="1198">
        <f t="shared" si="22"/>
        <v>0</v>
      </c>
      <c r="N217" s="1198">
        <v>1E-3</v>
      </c>
      <c r="O217" s="1198">
        <f t="shared" si="23"/>
        <v>0</v>
      </c>
      <c r="P217" s="1539">
        <f t="shared" si="24"/>
        <v>0</v>
      </c>
      <c r="Q217" s="1571">
        <v>0.26850000000000002</v>
      </c>
      <c r="R217" s="1539">
        <f t="shared" si="25"/>
        <v>0</v>
      </c>
      <c r="S217" s="1198">
        <v>0.01</v>
      </c>
      <c r="T217" s="1539">
        <f t="shared" si="26"/>
        <v>0</v>
      </c>
      <c r="U217" s="1539">
        <f t="shared" si="27"/>
        <v>0</v>
      </c>
      <c r="V217" s="1570">
        <f t="shared" si="28"/>
        <v>0</v>
      </c>
    </row>
    <row r="218" spans="1:22" s="1572" customFormat="1" x14ac:dyDescent="0.25">
      <c r="A218" s="1390" t="s">
        <v>1838</v>
      </c>
      <c r="B218" s="1322">
        <v>3400</v>
      </c>
      <c r="C218" s="1198" t="s">
        <v>2770</v>
      </c>
      <c r="D218" s="1198" t="s">
        <v>331</v>
      </c>
      <c r="E218" s="1198" t="s">
        <v>1872</v>
      </c>
      <c r="F218" s="1198">
        <v>340001</v>
      </c>
      <c r="G218" s="1198" t="s">
        <v>352</v>
      </c>
      <c r="H218" s="1198">
        <f>Dataark_til_bilag3_2030[[#This Row],[Staldkode]]+Dataark_til_bilag3_2030[[#This Row],[Dyrekode]]</f>
        <v>343401</v>
      </c>
      <c r="I218" s="1222">
        <v>0</v>
      </c>
      <c r="J218" s="1198"/>
      <c r="K218" s="1198" t="s">
        <v>350</v>
      </c>
      <c r="L218" s="1540">
        <f>56.1/100</f>
        <v>0.56100000000000005</v>
      </c>
      <c r="M218" s="1198">
        <f t="shared" si="22"/>
        <v>0</v>
      </c>
      <c r="N218" s="1198">
        <v>1E-3</v>
      </c>
      <c r="O218" s="1198">
        <f t="shared" si="23"/>
        <v>0</v>
      </c>
      <c r="P218" s="1539">
        <f t="shared" si="24"/>
        <v>0</v>
      </c>
      <c r="Q218" s="1571">
        <v>0.1152</v>
      </c>
      <c r="R218" s="1539">
        <f t="shared" si="25"/>
        <v>0</v>
      </c>
      <c r="S218" s="1198">
        <v>0.01</v>
      </c>
      <c r="T218" s="1539">
        <f t="shared" si="26"/>
        <v>0</v>
      </c>
      <c r="U218" s="1539">
        <f t="shared" si="27"/>
        <v>0</v>
      </c>
      <c r="V218" s="1570">
        <f t="shared" si="28"/>
        <v>0</v>
      </c>
    </row>
    <row r="219" spans="1:22" s="1572" customFormat="1" x14ac:dyDescent="0.25">
      <c r="A219" s="1390" t="s">
        <v>1837</v>
      </c>
      <c r="B219" s="1322">
        <v>3500</v>
      </c>
      <c r="C219" s="1198" t="s">
        <v>2769</v>
      </c>
      <c r="D219" s="1198" t="s">
        <v>331</v>
      </c>
      <c r="E219" s="1198" t="s">
        <v>1871</v>
      </c>
      <c r="F219" s="1198">
        <v>350001</v>
      </c>
      <c r="G219" s="1198" t="s">
        <v>2879</v>
      </c>
      <c r="H219" s="1198">
        <f>Dataark_til_bilag3_2030[[#This Row],[Staldkode]]+Dataark_til_bilag3_2030[[#This Row],[Dyrekode]]</f>
        <v>353501</v>
      </c>
      <c r="I219" s="1222">
        <v>0</v>
      </c>
      <c r="J219" s="1198"/>
      <c r="K219" s="1198" t="s">
        <v>350</v>
      </c>
      <c r="L219" s="1540">
        <f>17.3/100</f>
        <v>0.17300000000000001</v>
      </c>
      <c r="M219" s="1198">
        <f t="shared" si="22"/>
        <v>0</v>
      </c>
      <c r="N219" s="1198">
        <v>1E-3</v>
      </c>
      <c r="O219" s="1198">
        <f t="shared" si="23"/>
        <v>0</v>
      </c>
      <c r="P219" s="1539">
        <f t="shared" si="24"/>
        <v>0</v>
      </c>
      <c r="Q219" s="1571">
        <v>0.1152</v>
      </c>
      <c r="R219" s="1539">
        <f t="shared" si="25"/>
        <v>0</v>
      </c>
      <c r="S219" s="1198">
        <v>0.01</v>
      </c>
      <c r="T219" s="1539">
        <f t="shared" si="26"/>
        <v>0</v>
      </c>
      <c r="U219" s="1539">
        <f t="shared" si="27"/>
        <v>0</v>
      </c>
      <c r="V219" s="1570">
        <f t="shared" si="28"/>
        <v>0</v>
      </c>
    </row>
    <row r="220" spans="1:22" s="1572" customFormat="1" x14ac:dyDescent="0.25">
      <c r="A220" s="1390" t="s">
        <v>1839</v>
      </c>
      <c r="B220" s="1322">
        <v>4401</v>
      </c>
      <c r="C220" s="1198" t="s">
        <v>2768</v>
      </c>
      <c r="D220" s="1198" t="s">
        <v>331</v>
      </c>
      <c r="E220" s="1198" t="s">
        <v>1870</v>
      </c>
      <c r="F220" s="1198">
        <v>440101</v>
      </c>
      <c r="G220" s="1198" t="s">
        <v>2879</v>
      </c>
      <c r="H220" s="1198">
        <f>Dataark_til_bilag3_2030[[#This Row],[Staldkode]]+Dataark_til_bilag3_2030[[#This Row],[Dyrekode]]</f>
        <v>444502</v>
      </c>
      <c r="I220" s="1222" t="s">
        <v>270</v>
      </c>
      <c r="J220" s="1198"/>
      <c r="K220" s="1198" t="s">
        <v>350</v>
      </c>
      <c r="L220" s="1540">
        <f t="shared" ref="L220:L228" si="29">88.9/100</f>
        <v>0.88900000000000001</v>
      </c>
      <c r="M220" s="1198" t="str">
        <f t="shared" si="22"/>
        <v xml:space="preserve"> </v>
      </c>
      <c r="N220" s="1198">
        <v>0.01</v>
      </c>
      <c r="O220" s="1198" t="str">
        <f t="shared" si="23"/>
        <v xml:space="preserve"> </v>
      </c>
      <c r="P220" s="1539" t="str">
        <f t="shared" si="24"/>
        <v xml:space="preserve"> </v>
      </c>
      <c r="Q220" s="1571">
        <v>0.1152</v>
      </c>
      <c r="R220" s="1539" t="str">
        <f t="shared" si="25"/>
        <v xml:space="preserve"> </v>
      </c>
      <c r="S220" s="1198">
        <v>0.01</v>
      </c>
      <c r="T220" s="1539" t="str">
        <f t="shared" si="26"/>
        <v xml:space="preserve"> </v>
      </c>
      <c r="U220" s="1539">
        <f t="shared" si="27"/>
        <v>0</v>
      </c>
      <c r="V220" s="1570" t="str">
        <f t="shared" si="28"/>
        <v xml:space="preserve"> </v>
      </c>
    </row>
    <row r="221" spans="1:22" s="1572" customFormat="1" x14ac:dyDescent="0.25">
      <c r="A221" s="1543" t="s">
        <v>1839</v>
      </c>
      <c r="B221" s="1543">
        <v>4402</v>
      </c>
      <c r="C221" s="1542" t="s">
        <v>2767</v>
      </c>
      <c r="D221" s="1542" t="s">
        <v>331</v>
      </c>
      <c r="E221" s="1542" t="s">
        <v>2766</v>
      </c>
      <c r="F221" s="1542">
        <v>440201</v>
      </c>
      <c r="G221" s="1542" t="s">
        <v>2879</v>
      </c>
      <c r="H221" s="1542">
        <f>Dataark_til_bilag3_2030[[#This Row],[Staldkode]]+Dataark_til_bilag3_2030[[#This Row],[Dyrekode]]</f>
        <v>444603</v>
      </c>
      <c r="I221" s="1222" t="s">
        <v>270</v>
      </c>
      <c r="J221" s="1542"/>
      <c r="K221" s="1198" t="s">
        <v>350</v>
      </c>
      <c r="L221" s="1540">
        <f t="shared" si="29"/>
        <v>0.88900000000000001</v>
      </c>
      <c r="M221" s="1198" t="str">
        <f t="shared" si="22"/>
        <v xml:space="preserve"> </v>
      </c>
      <c r="N221" s="1198">
        <v>0.01</v>
      </c>
      <c r="O221" s="1198" t="str">
        <f t="shared" si="23"/>
        <v xml:space="preserve"> </v>
      </c>
      <c r="P221" s="1539" t="str">
        <f t="shared" si="24"/>
        <v xml:space="preserve"> </v>
      </c>
      <c r="Q221" s="1571">
        <v>0.1152</v>
      </c>
      <c r="R221" s="1539" t="str">
        <f t="shared" si="25"/>
        <v xml:space="preserve"> </v>
      </c>
      <c r="S221" s="1198">
        <v>0.01</v>
      </c>
      <c r="T221" s="1539" t="str">
        <f t="shared" si="26"/>
        <v xml:space="preserve"> </v>
      </c>
      <c r="U221" s="1539">
        <f t="shared" si="27"/>
        <v>0</v>
      </c>
      <c r="V221" s="1570" t="str">
        <f t="shared" si="28"/>
        <v xml:space="preserve"> </v>
      </c>
    </row>
    <row r="222" spans="1:22" x14ac:dyDescent="0.25">
      <c r="A222" s="1322" t="s">
        <v>662</v>
      </c>
      <c r="B222" s="1322">
        <v>4501</v>
      </c>
      <c r="C222" s="1198" t="s">
        <v>1869</v>
      </c>
      <c r="D222" s="1198" t="s">
        <v>331</v>
      </c>
      <c r="E222" s="1198" t="s">
        <v>1868</v>
      </c>
      <c r="F222" s="1198">
        <v>450101</v>
      </c>
      <c r="G222" s="1198" t="s">
        <v>2879</v>
      </c>
      <c r="H222" s="1198">
        <f>Dataark_til_bilag3_2030[[#This Row],[Staldkode]]+Dataark_til_bilag3_2030[[#This Row],[Dyrekode]]</f>
        <v>454602</v>
      </c>
      <c r="I222" s="1222">
        <v>0</v>
      </c>
      <c r="J222" s="1198"/>
      <c r="K222" s="1198" t="s">
        <v>350</v>
      </c>
      <c r="L222" s="1540">
        <f t="shared" si="29"/>
        <v>0.88900000000000001</v>
      </c>
      <c r="M222" s="1198">
        <f t="shared" si="22"/>
        <v>0</v>
      </c>
      <c r="N222" s="1198">
        <v>1E-3</v>
      </c>
      <c r="O222" s="1198">
        <f t="shared" si="23"/>
        <v>0</v>
      </c>
      <c r="P222" s="1539">
        <f t="shared" si="24"/>
        <v>0</v>
      </c>
      <c r="Q222" s="1571">
        <v>0.1152</v>
      </c>
      <c r="R222" s="1539">
        <f t="shared" si="25"/>
        <v>0</v>
      </c>
      <c r="S222" s="1198">
        <v>0.01</v>
      </c>
      <c r="T222" s="1539">
        <f t="shared" si="26"/>
        <v>0</v>
      </c>
      <c r="U222" s="1539">
        <f t="shared" si="27"/>
        <v>0</v>
      </c>
      <c r="V222" s="1570">
        <f t="shared" si="28"/>
        <v>0</v>
      </c>
    </row>
    <row r="223" spans="1:22" x14ac:dyDescent="0.25">
      <c r="A223" s="1322" t="s">
        <v>662</v>
      </c>
      <c r="B223" s="1322">
        <v>4502</v>
      </c>
      <c r="C223" s="1198" t="s">
        <v>1867</v>
      </c>
      <c r="D223" s="1198" t="s">
        <v>331</v>
      </c>
      <c r="E223" s="1198" t="s">
        <v>2885</v>
      </c>
      <c r="F223" s="1198">
        <v>450201</v>
      </c>
      <c r="G223" s="1198" t="s">
        <v>2879</v>
      </c>
      <c r="H223" s="1198">
        <f>Dataark_til_bilag3_2030[[#This Row],[Staldkode]]+Dataark_til_bilag3_2030[[#This Row],[Dyrekode]]</f>
        <v>454703</v>
      </c>
      <c r="I223" s="1222" t="s">
        <v>270</v>
      </c>
      <c r="J223" s="1198"/>
      <c r="K223" s="1198" t="s">
        <v>350</v>
      </c>
      <c r="L223" s="1540">
        <f t="shared" si="29"/>
        <v>0.88900000000000001</v>
      </c>
      <c r="M223" s="1198" t="str">
        <f t="shared" si="22"/>
        <v xml:space="preserve"> </v>
      </c>
      <c r="N223" s="1198">
        <v>1E-3</v>
      </c>
      <c r="O223" s="1198" t="str">
        <f t="shared" si="23"/>
        <v xml:space="preserve"> </v>
      </c>
      <c r="P223" s="1539" t="str">
        <f t="shared" si="24"/>
        <v xml:space="preserve"> </v>
      </c>
      <c r="Q223" s="1571">
        <v>0.1152</v>
      </c>
      <c r="R223" s="1539" t="str">
        <f t="shared" si="25"/>
        <v xml:space="preserve"> </v>
      </c>
      <c r="S223" s="1198">
        <v>0.01</v>
      </c>
      <c r="T223" s="1539" t="str">
        <f t="shared" si="26"/>
        <v xml:space="preserve"> </v>
      </c>
      <c r="U223" s="1539">
        <f t="shared" si="27"/>
        <v>0</v>
      </c>
      <c r="V223" s="1570" t="str">
        <f t="shared" si="28"/>
        <v xml:space="preserve"> </v>
      </c>
    </row>
    <row r="224" spans="1:22" x14ac:dyDescent="0.25">
      <c r="A224" s="1322" t="s">
        <v>662</v>
      </c>
      <c r="B224" s="1322">
        <v>4701</v>
      </c>
      <c r="C224" s="1198" t="s">
        <v>1866</v>
      </c>
      <c r="D224" s="1198" t="s">
        <v>331</v>
      </c>
      <c r="E224" s="1198" t="s">
        <v>2884</v>
      </c>
      <c r="F224" s="1198">
        <v>470101</v>
      </c>
      <c r="G224" s="1198" t="s">
        <v>2879</v>
      </c>
      <c r="H224" s="1198">
        <f>Dataark_til_bilag3_2030[[#This Row],[Staldkode]]+Dataark_til_bilag3_2030[[#This Row],[Dyrekode]]</f>
        <v>474802</v>
      </c>
      <c r="I224" s="1222">
        <v>0</v>
      </c>
      <c r="J224" s="1198"/>
      <c r="K224" s="1198" t="s">
        <v>350</v>
      </c>
      <c r="L224" s="1540">
        <f t="shared" si="29"/>
        <v>0.88900000000000001</v>
      </c>
      <c r="M224" s="1198">
        <f t="shared" si="22"/>
        <v>0</v>
      </c>
      <c r="N224" s="1198">
        <v>0.01</v>
      </c>
      <c r="O224" s="1198">
        <f t="shared" si="23"/>
        <v>0</v>
      </c>
      <c r="P224" s="1539">
        <f t="shared" si="24"/>
        <v>0</v>
      </c>
      <c r="Q224" s="1571">
        <v>0.1152</v>
      </c>
      <c r="R224" s="1539">
        <f t="shared" si="25"/>
        <v>0</v>
      </c>
      <c r="S224" s="1198">
        <v>0.01</v>
      </c>
      <c r="T224" s="1539">
        <f t="shared" si="26"/>
        <v>0</v>
      </c>
      <c r="U224" s="1539">
        <f t="shared" si="27"/>
        <v>0</v>
      </c>
      <c r="V224" s="1570">
        <f t="shared" si="28"/>
        <v>0</v>
      </c>
    </row>
    <row r="225" spans="1:22" x14ac:dyDescent="0.25">
      <c r="A225" s="1322" t="s">
        <v>662</v>
      </c>
      <c r="B225" s="1322">
        <v>4703</v>
      </c>
      <c r="C225" s="1198" t="s">
        <v>1864</v>
      </c>
      <c r="D225" s="1198" t="s">
        <v>331</v>
      </c>
      <c r="E225" s="1198" t="s">
        <v>2883</v>
      </c>
      <c r="F225" s="1198">
        <v>470301</v>
      </c>
      <c r="G225" s="1198" t="s">
        <v>2879</v>
      </c>
      <c r="H225" s="1198">
        <f>Dataark_til_bilag3_2030[[#This Row],[Staldkode]]+Dataark_til_bilag3_2030[[#This Row],[Dyrekode]]</f>
        <v>475004</v>
      </c>
      <c r="I225" s="1222">
        <v>0</v>
      </c>
      <c r="J225" s="1198"/>
      <c r="K225" s="1198" t="s">
        <v>350</v>
      </c>
      <c r="L225" s="1540">
        <f t="shared" si="29"/>
        <v>0.88900000000000001</v>
      </c>
      <c r="M225" s="1198">
        <f t="shared" si="22"/>
        <v>0</v>
      </c>
      <c r="N225" s="1198">
        <v>0.01</v>
      </c>
      <c r="O225" s="1198">
        <f t="shared" si="23"/>
        <v>0</v>
      </c>
      <c r="P225" s="1539">
        <f t="shared" si="24"/>
        <v>0</v>
      </c>
      <c r="Q225" s="1571">
        <v>0.1152</v>
      </c>
      <c r="R225" s="1539">
        <f t="shared" si="25"/>
        <v>0</v>
      </c>
      <c r="S225" s="1198">
        <v>0.01</v>
      </c>
      <c r="T225" s="1539">
        <f t="shared" si="26"/>
        <v>0</v>
      </c>
      <c r="U225" s="1539">
        <f t="shared" si="27"/>
        <v>0</v>
      </c>
      <c r="V225" s="1570">
        <f t="shared" si="28"/>
        <v>0</v>
      </c>
    </row>
    <row r="226" spans="1:22" x14ac:dyDescent="0.25">
      <c r="A226" s="1322" t="s">
        <v>662</v>
      </c>
      <c r="B226" s="1322">
        <v>4705</v>
      </c>
      <c r="C226" s="1198" t="s">
        <v>1862</v>
      </c>
      <c r="D226" s="1198" t="s">
        <v>331</v>
      </c>
      <c r="E226" s="1198" t="s">
        <v>1861</v>
      </c>
      <c r="F226" s="1198">
        <v>470501</v>
      </c>
      <c r="G226" s="1198" t="s">
        <v>2879</v>
      </c>
      <c r="H226" s="1198">
        <f>Dataark_til_bilag3_2030[[#This Row],[Staldkode]]+Dataark_til_bilag3_2030[[#This Row],[Dyrekode]]</f>
        <v>475206</v>
      </c>
      <c r="I226" s="1222">
        <v>0</v>
      </c>
      <c r="J226" s="1198"/>
      <c r="K226" s="1198" t="s">
        <v>350</v>
      </c>
      <c r="L226" s="1540">
        <f t="shared" si="29"/>
        <v>0.88900000000000001</v>
      </c>
      <c r="M226" s="1198">
        <f t="shared" si="22"/>
        <v>0</v>
      </c>
      <c r="N226" s="1198">
        <v>0.01</v>
      </c>
      <c r="O226" s="1198">
        <f t="shared" si="23"/>
        <v>0</v>
      </c>
      <c r="P226" s="1539">
        <f t="shared" si="24"/>
        <v>0</v>
      </c>
      <c r="Q226" s="1571">
        <v>0.1152</v>
      </c>
      <c r="R226" s="1539">
        <f t="shared" si="25"/>
        <v>0</v>
      </c>
      <c r="S226" s="1198">
        <v>0.01</v>
      </c>
      <c r="T226" s="1539">
        <f t="shared" si="26"/>
        <v>0</v>
      </c>
      <c r="U226" s="1539">
        <f t="shared" si="27"/>
        <v>0</v>
      </c>
      <c r="V226" s="1570">
        <f t="shared" si="28"/>
        <v>0</v>
      </c>
    </row>
    <row r="227" spans="1:22" x14ac:dyDescent="0.25">
      <c r="A227" s="1322" t="s">
        <v>662</v>
      </c>
      <c r="B227" s="1322">
        <v>4706</v>
      </c>
      <c r="C227" s="1198" t="s">
        <v>1860</v>
      </c>
      <c r="D227" s="1198" t="s">
        <v>331</v>
      </c>
      <c r="E227" s="1198" t="s">
        <v>1859</v>
      </c>
      <c r="F227" s="1198">
        <v>470601</v>
      </c>
      <c r="G227" s="1198" t="s">
        <v>2879</v>
      </c>
      <c r="H227" s="1198">
        <f>Dataark_til_bilag3_2030[[#This Row],[Staldkode]]+Dataark_til_bilag3_2030[[#This Row],[Dyrekode]]</f>
        <v>475307</v>
      </c>
      <c r="I227" s="1222">
        <v>0</v>
      </c>
      <c r="J227" s="1198"/>
      <c r="K227" s="1198" t="s">
        <v>350</v>
      </c>
      <c r="L227" s="1540">
        <f t="shared" si="29"/>
        <v>0.88900000000000001</v>
      </c>
      <c r="M227" s="1198">
        <f t="shared" si="22"/>
        <v>0</v>
      </c>
      <c r="N227" s="1198">
        <v>0.01</v>
      </c>
      <c r="O227" s="1198">
        <f t="shared" si="23"/>
        <v>0</v>
      </c>
      <c r="P227" s="1539">
        <f t="shared" si="24"/>
        <v>0</v>
      </c>
      <c r="Q227" s="1571">
        <v>0.1152</v>
      </c>
      <c r="R227" s="1539">
        <f t="shared" si="25"/>
        <v>0</v>
      </c>
      <c r="S227" s="1198">
        <v>0.01</v>
      </c>
      <c r="T227" s="1539">
        <f t="shared" si="26"/>
        <v>0</v>
      </c>
      <c r="U227" s="1539">
        <f t="shared" si="27"/>
        <v>0</v>
      </c>
      <c r="V227" s="1570">
        <f t="shared" si="28"/>
        <v>0</v>
      </c>
    </row>
    <row r="228" spans="1:22" x14ac:dyDescent="0.25">
      <c r="A228" s="1390" t="s">
        <v>1858</v>
      </c>
      <c r="B228" s="1322">
        <v>9923</v>
      </c>
      <c r="C228" s="1198" t="s">
        <v>2764</v>
      </c>
      <c r="D228" s="1198" t="s">
        <v>337</v>
      </c>
      <c r="E228" s="1198" t="s">
        <v>1857</v>
      </c>
      <c r="F228" s="1198">
        <v>992301</v>
      </c>
      <c r="G228" s="1198" t="s">
        <v>2879</v>
      </c>
      <c r="H228" s="1198">
        <f>Dataark_til_bilag3_2030[[#This Row],[Staldkode]]+Dataark_til_bilag3_2030[[#This Row],[Dyrekode]]</f>
        <v>1002224</v>
      </c>
      <c r="I228" s="1222">
        <v>0</v>
      </c>
      <c r="J228" s="1198" t="s">
        <v>1924</v>
      </c>
      <c r="K228" s="1198"/>
      <c r="L228" s="1540">
        <f t="shared" si="29"/>
        <v>0.88900000000000001</v>
      </c>
      <c r="M228" s="1198">
        <f t="shared" si="22"/>
        <v>0</v>
      </c>
      <c r="N228" s="1198">
        <v>0.01</v>
      </c>
      <c r="O228" s="1198">
        <f t="shared" si="23"/>
        <v>0</v>
      </c>
      <c r="P228" s="1539">
        <f t="shared" si="24"/>
        <v>0</v>
      </c>
      <c r="Q228" s="1569" t="s">
        <v>1209</v>
      </c>
      <c r="R228" s="1544" t="str">
        <f t="shared" si="25"/>
        <v xml:space="preserve"> </v>
      </c>
      <c r="S228" s="1198">
        <v>0.01</v>
      </c>
      <c r="T228" s="1544" t="str">
        <f t="shared" si="26"/>
        <v xml:space="preserve"> </v>
      </c>
      <c r="U228" s="1544">
        <f t="shared" si="27"/>
        <v>0</v>
      </c>
      <c r="V228" s="1544">
        <f t="shared" si="28"/>
        <v>0</v>
      </c>
    </row>
    <row r="229" spans="1:22" ht="33" customHeight="1" x14ac:dyDescent="0.25">
      <c r="A229" s="2852" t="s">
        <v>228</v>
      </c>
      <c r="B229" s="2852"/>
      <c r="C229" s="2852"/>
      <c r="D229" s="2852"/>
      <c r="E229" s="2852"/>
      <c r="F229" s="2852"/>
      <c r="G229" s="2852"/>
      <c r="H229" s="2852"/>
      <c r="I229" s="2853">
        <f>SUBTOTAL(109,Dataark_til_bilag3_2030[Antal dyr])</f>
        <v>31961.649999999998</v>
      </c>
      <c r="J229" s="2852"/>
      <c r="K229" s="2852"/>
      <c r="L229" s="2854"/>
      <c r="M229" s="1586"/>
      <c r="N229" s="2852"/>
      <c r="O229" s="1586"/>
      <c r="P229" s="1587"/>
      <c r="Q229" s="2855"/>
      <c r="R229" s="1587">
        <f>SUBTOTAL(109,Dataark_til_bilag3_2030[Total N fra fordampning])</f>
        <v>16223.963820069999</v>
      </c>
      <c r="S229" s="2852"/>
      <c r="T229" s="1587"/>
      <c r="U229" s="1587"/>
      <c r="V229" s="2854">
        <f>SUBTOTAL(109,Dataark_til_bilag3_2030[Total udledning af N2O  (ton)])</f>
        <v>3.5306618611011009</v>
      </c>
    </row>
    <row r="230" spans="1:22" s="1537" customFormat="1" ht="165" x14ac:dyDescent="0.2">
      <c r="A230" s="1568" t="s">
        <v>2062</v>
      </c>
      <c r="B230" s="1568"/>
      <c r="E230" s="1567" t="s">
        <v>1845</v>
      </c>
      <c r="F230" s="1567"/>
      <c r="G230" s="1567"/>
      <c r="H230" s="1567"/>
      <c r="I230" s="1566"/>
      <c r="L230" s="1565" t="s">
        <v>5232</v>
      </c>
      <c r="M230" s="1564"/>
      <c r="N230" s="1562" t="s">
        <v>4213</v>
      </c>
      <c r="O230" s="1564"/>
      <c r="P230" s="1561"/>
      <c r="Q230" s="1563" t="s">
        <v>5233</v>
      </c>
      <c r="R230" s="1561"/>
      <c r="S230" s="1562" t="s">
        <v>4214</v>
      </c>
      <c r="T230" s="1561"/>
      <c r="U230" s="1561"/>
      <c r="V230" s="1561"/>
    </row>
    <row r="231" spans="1:22" x14ac:dyDescent="0.25">
      <c r="I231" s="1560"/>
      <c r="L231" s="1559"/>
      <c r="M231" s="1558"/>
      <c r="N231" s="1556"/>
      <c r="O231" s="1558"/>
      <c r="P231" s="1555"/>
      <c r="Q231" s="1557"/>
      <c r="R231" s="1555"/>
      <c r="S231" s="1556"/>
      <c r="T231" s="1555"/>
      <c r="U231" s="1555"/>
      <c r="V231" s="1555"/>
    </row>
    <row r="233" spans="1:22" x14ac:dyDescent="0.25">
      <c r="B233"/>
      <c r="C233"/>
      <c r="I233" s="1008"/>
      <c r="L233" s="1008"/>
      <c r="P233" s="1008"/>
      <c r="Q233" s="1008"/>
      <c r="R233" s="1008"/>
    </row>
    <row r="234" spans="1:22" x14ac:dyDescent="0.25">
      <c r="B234"/>
      <c r="C234"/>
      <c r="I234" s="1008"/>
      <c r="L234" s="1008"/>
      <c r="P234" s="1008"/>
      <c r="Q234" s="1008"/>
      <c r="R234" s="1008"/>
    </row>
    <row r="235" spans="1:22" x14ac:dyDescent="0.25">
      <c r="B235"/>
      <c r="C235"/>
      <c r="I235" s="1008"/>
      <c r="L235" s="1008"/>
      <c r="P235" s="1008"/>
      <c r="Q235" s="1008"/>
      <c r="R235" s="1008"/>
    </row>
    <row r="236" spans="1:22" x14ac:dyDescent="0.25">
      <c r="A236" s="1162"/>
      <c r="B236"/>
      <c r="C236"/>
    </row>
    <row r="237" spans="1:22" x14ac:dyDescent="0.25">
      <c r="B237"/>
      <c r="C237"/>
    </row>
    <row r="238" spans="1:22" x14ac:dyDescent="0.25">
      <c r="B238"/>
      <c r="C238"/>
    </row>
    <row r="239" spans="1:22" x14ac:dyDescent="0.25">
      <c r="B239"/>
      <c r="C239"/>
    </row>
    <row r="240" spans="1:22" x14ac:dyDescent="0.25">
      <c r="B240"/>
      <c r="C240"/>
    </row>
    <row r="241" spans="2:3" x14ac:dyDescent="0.25">
      <c r="B241"/>
      <c r="C241"/>
    </row>
    <row r="242" spans="2:3" x14ac:dyDescent="0.25">
      <c r="B242"/>
      <c r="C242"/>
    </row>
    <row r="243" spans="2:3" x14ac:dyDescent="0.25">
      <c r="B243"/>
      <c r="C243"/>
    </row>
    <row r="244" spans="2:3" x14ac:dyDescent="0.25">
      <c r="B244"/>
      <c r="C244"/>
    </row>
    <row r="245" spans="2:3" x14ac:dyDescent="0.25">
      <c r="B245"/>
      <c r="C245"/>
    </row>
    <row r="246" spans="2:3" x14ac:dyDescent="0.25">
      <c r="B246"/>
      <c r="C246"/>
    </row>
    <row r="247" spans="2:3" x14ac:dyDescent="0.25">
      <c r="B247"/>
      <c r="C247"/>
    </row>
    <row r="248" spans="2:3" x14ac:dyDescent="0.25">
      <c r="B248"/>
      <c r="C248"/>
    </row>
    <row r="249" spans="2:3" x14ac:dyDescent="0.25">
      <c r="B249"/>
      <c r="C249"/>
    </row>
    <row r="250" spans="2:3" x14ac:dyDescent="0.25">
      <c r="B250"/>
      <c r="C250"/>
    </row>
  </sheetData>
  <mergeCells count="3">
    <mergeCell ref="L3:P3"/>
    <mergeCell ref="Q3:U3"/>
    <mergeCell ref="A3:G3"/>
  </mergeCells>
  <hyperlinks>
    <hyperlink ref="A2" location="Index!A1" display="Til index" xr:uid="{459850EF-6371-4D56-9CFA-72826D79C13F}"/>
  </hyperlinks>
  <pageMargins left="0.7" right="0.7" top="0.75" bottom="0.75" header="0.3" footer="0.3"/>
  <pageSetup paperSize="9" orientation="portrait" r:id="rId1"/>
  <drawing r:id="rId2"/>
  <legacyDrawing r:id="rId3"/>
  <tableParts count="1">
    <tablePart r:id="rId4"/>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AD808-68F5-4DAB-9937-B85EC8BCF555}">
  <sheetPr codeName="Ark125">
    <tabColor theme="3" tint="-0.249977111117893"/>
  </sheetPr>
  <dimension ref="A1:D43"/>
  <sheetViews>
    <sheetView zoomScale="85" zoomScaleNormal="85" workbookViewId="0">
      <selection activeCell="C3" sqref="C3:D42"/>
    </sheetView>
  </sheetViews>
  <sheetFormatPr defaultColWidth="9.140625" defaultRowHeight="15" x14ac:dyDescent="0.25"/>
  <cols>
    <col min="1" max="1" width="16.7109375" style="1008" bestFit="1" customWidth="1"/>
    <col min="2" max="2" width="53.85546875" style="1008" customWidth="1"/>
    <col min="3" max="3" width="16.7109375" style="1008" bestFit="1" customWidth="1"/>
    <col min="4" max="4" width="16.7109375" style="1008" customWidth="1"/>
    <col min="5" max="6" width="9.140625" style="1008"/>
    <col min="7" max="7" width="60.7109375" style="1008" bestFit="1" customWidth="1"/>
    <col min="8" max="16384" width="9.140625" style="1008"/>
  </cols>
  <sheetData>
    <row r="1" spans="1:4" x14ac:dyDescent="0.25">
      <c r="A1" s="4147" t="str">
        <f>'Dyrehold 2018G'!U4</f>
        <v>Læsø 2018G</v>
      </c>
      <c r="B1"/>
      <c r="C1"/>
      <c r="D1"/>
    </row>
    <row r="2" spans="1:4" x14ac:dyDescent="0.25">
      <c r="A2" s="4090" t="s">
        <v>2106</v>
      </c>
      <c r="B2" s="2333" t="s">
        <v>2877</v>
      </c>
      <c r="C2" s="2334" t="s">
        <v>5320</v>
      </c>
      <c r="D2" s="2334" t="s">
        <v>2876</v>
      </c>
    </row>
    <row r="3" spans="1:4" x14ac:dyDescent="0.25">
      <c r="A3" s="4090" t="s">
        <v>2910</v>
      </c>
      <c r="B3" s="2333" t="s">
        <v>2875</v>
      </c>
      <c r="C3" s="2334"/>
      <c r="D3" s="2334"/>
    </row>
    <row r="4" spans="1:4" x14ac:dyDescent="0.25">
      <c r="A4" s="4090" t="str">
        <f>A3</f>
        <v>-</v>
      </c>
      <c r="B4" s="2333" t="s">
        <v>2874</v>
      </c>
      <c r="C4" s="2334"/>
      <c r="D4" s="2334"/>
    </row>
    <row r="5" spans="1:4" x14ac:dyDescent="0.25">
      <c r="A5" s="4090" t="str">
        <f t="shared" ref="A5:A43" si="0">A4</f>
        <v>-</v>
      </c>
      <c r="B5" s="2333" t="s">
        <v>2873</v>
      </c>
      <c r="C5" s="2274"/>
      <c r="D5" s="2274"/>
    </row>
    <row r="6" spans="1:4" x14ac:dyDescent="0.25">
      <c r="A6" s="4090" t="str">
        <f t="shared" si="0"/>
        <v>-</v>
      </c>
      <c r="B6" s="2333" t="s">
        <v>2872</v>
      </c>
      <c r="C6" s="2334"/>
      <c r="D6" s="2334"/>
    </row>
    <row r="7" spans="1:4" x14ac:dyDescent="0.25">
      <c r="A7" s="4090" t="str">
        <f t="shared" si="0"/>
        <v>-</v>
      </c>
      <c r="B7" s="2333" t="s">
        <v>2871</v>
      </c>
      <c r="C7" s="2334"/>
      <c r="D7" s="2334"/>
    </row>
    <row r="8" spans="1:4" x14ac:dyDescent="0.25">
      <c r="A8" s="4090" t="str">
        <f t="shared" si="0"/>
        <v>-</v>
      </c>
      <c r="B8" s="2694" t="s">
        <v>2835</v>
      </c>
      <c r="C8" s="2274"/>
      <c r="D8" s="2274"/>
    </row>
    <row r="9" spans="1:4" x14ac:dyDescent="0.25">
      <c r="A9" s="4090" t="str">
        <f t="shared" si="0"/>
        <v>-</v>
      </c>
      <c r="B9" s="2333" t="s">
        <v>2870</v>
      </c>
      <c r="C9" s="2334"/>
      <c r="D9" s="2334"/>
    </row>
    <row r="10" spans="1:4" x14ac:dyDescent="0.25">
      <c r="A10" s="4090" t="str">
        <f t="shared" si="0"/>
        <v>-</v>
      </c>
      <c r="B10" s="2694" t="s">
        <v>2869</v>
      </c>
      <c r="C10" s="2274"/>
      <c r="D10" s="2274"/>
    </row>
    <row r="11" spans="1:4" x14ac:dyDescent="0.25">
      <c r="A11" s="4090" t="str">
        <f t="shared" si="0"/>
        <v>-</v>
      </c>
      <c r="B11" s="2694" t="s">
        <v>2868</v>
      </c>
      <c r="C11" s="2274"/>
      <c r="D11" s="2274"/>
    </row>
    <row r="12" spans="1:4" x14ac:dyDescent="0.25">
      <c r="A12" s="4090" t="str">
        <f t="shared" si="0"/>
        <v>-</v>
      </c>
      <c r="B12" s="2694" t="s">
        <v>2867</v>
      </c>
      <c r="C12" s="2274"/>
      <c r="D12" s="2274"/>
    </row>
    <row r="13" spans="1:4" x14ac:dyDescent="0.25">
      <c r="A13" s="4090" t="str">
        <f t="shared" si="0"/>
        <v>-</v>
      </c>
      <c r="B13" s="2333" t="s">
        <v>1903</v>
      </c>
      <c r="C13" s="2334"/>
      <c r="D13" s="2334"/>
    </row>
    <row r="14" spans="1:4" x14ac:dyDescent="0.25">
      <c r="A14" s="4090" t="str">
        <f t="shared" si="0"/>
        <v>-</v>
      </c>
      <c r="B14" s="2333" t="s">
        <v>2866</v>
      </c>
      <c r="C14" s="2334"/>
      <c r="D14" s="2334"/>
    </row>
    <row r="15" spans="1:4" x14ac:dyDescent="0.25">
      <c r="A15" s="4090" t="str">
        <f t="shared" si="0"/>
        <v>-</v>
      </c>
      <c r="B15" s="2333" t="s">
        <v>2865</v>
      </c>
      <c r="C15" s="2334"/>
      <c r="D15" s="2334"/>
    </row>
    <row r="16" spans="1:4" x14ac:dyDescent="0.25">
      <c r="A16" s="4090" t="str">
        <f t="shared" si="0"/>
        <v>-</v>
      </c>
      <c r="B16" s="2694" t="s">
        <v>1906</v>
      </c>
      <c r="C16" s="2274"/>
      <c r="D16" s="2274"/>
    </row>
    <row r="17" spans="1:4" x14ac:dyDescent="0.25">
      <c r="A17" s="4090" t="str">
        <f t="shared" si="0"/>
        <v>-</v>
      </c>
      <c r="B17" s="2333" t="s">
        <v>2864</v>
      </c>
      <c r="C17" s="2334"/>
      <c r="D17" s="2334"/>
    </row>
    <row r="18" spans="1:4" x14ac:dyDescent="0.25">
      <c r="A18" s="4090" t="str">
        <f t="shared" si="0"/>
        <v>-</v>
      </c>
      <c r="B18" s="2333" t="s">
        <v>2863</v>
      </c>
      <c r="C18" s="2334"/>
      <c r="D18" s="2334"/>
    </row>
    <row r="19" spans="1:4" x14ac:dyDescent="0.25">
      <c r="A19" s="4090" t="str">
        <f t="shared" si="0"/>
        <v>-</v>
      </c>
      <c r="B19" s="2333" t="s">
        <v>2862</v>
      </c>
      <c r="C19" s="2274"/>
      <c r="D19" s="2274"/>
    </row>
    <row r="20" spans="1:4" x14ac:dyDescent="0.25">
      <c r="A20" s="4090" t="str">
        <f t="shared" si="0"/>
        <v>-</v>
      </c>
      <c r="B20" s="2333" t="s">
        <v>2861</v>
      </c>
      <c r="C20" s="2274"/>
      <c r="D20" s="2274"/>
    </row>
    <row r="21" spans="1:4" x14ac:dyDescent="0.25">
      <c r="A21" s="4090" t="str">
        <f t="shared" si="0"/>
        <v>-</v>
      </c>
      <c r="B21" s="2333" t="s">
        <v>2860</v>
      </c>
      <c r="C21" s="2334"/>
      <c r="D21" s="2334"/>
    </row>
    <row r="22" spans="1:4" x14ac:dyDescent="0.25">
      <c r="A22" s="4090" t="str">
        <f t="shared" si="0"/>
        <v>-</v>
      </c>
      <c r="B22" s="2333" t="s">
        <v>2859</v>
      </c>
      <c r="C22" s="2334"/>
      <c r="D22" s="2334"/>
    </row>
    <row r="23" spans="1:4" x14ac:dyDescent="0.25">
      <c r="A23" s="4090" t="str">
        <f t="shared" si="0"/>
        <v>-</v>
      </c>
      <c r="B23" s="2333" t="s">
        <v>2858</v>
      </c>
      <c r="C23" s="2334"/>
      <c r="D23" s="2334"/>
    </row>
    <row r="24" spans="1:4" x14ac:dyDescent="0.25">
      <c r="A24" s="4090" t="str">
        <f t="shared" si="0"/>
        <v>-</v>
      </c>
      <c r="B24" s="2333" t="s">
        <v>2857</v>
      </c>
      <c r="C24" s="2274"/>
      <c r="D24" s="2274"/>
    </row>
    <row r="25" spans="1:4" x14ac:dyDescent="0.25">
      <c r="A25" s="4090" t="str">
        <f t="shared" si="0"/>
        <v>-</v>
      </c>
      <c r="B25" s="2333" t="s">
        <v>2856</v>
      </c>
      <c r="C25" s="2334"/>
      <c r="D25" s="2334"/>
    </row>
    <row r="26" spans="1:4" x14ac:dyDescent="0.25">
      <c r="A26" s="4090" t="str">
        <f t="shared" si="0"/>
        <v>-</v>
      </c>
      <c r="B26" s="2333" t="s">
        <v>2855</v>
      </c>
      <c r="C26" s="2274"/>
      <c r="D26" s="2274"/>
    </row>
    <row r="27" spans="1:4" x14ac:dyDescent="0.25">
      <c r="A27" s="4090" t="str">
        <f t="shared" si="0"/>
        <v>-</v>
      </c>
      <c r="B27" s="2694" t="s">
        <v>1977</v>
      </c>
      <c r="C27" s="2274"/>
      <c r="D27" s="2274"/>
    </row>
    <row r="28" spans="1:4" x14ac:dyDescent="0.25">
      <c r="A28" s="4090" t="str">
        <f t="shared" si="0"/>
        <v>-</v>
      </c>
      <c r="B28" s="2333" t="s">
        <v>2854</v>
      </c>
      <c r="C28" s="2334"/>
      <c r="D28" s="2334"/>
    </row>
    <row r="29" spans="1:4" x14ac:dyDescent="0.25">
      <c r="A29" s="4090" t="str">
        <f t="shared" si="0"/>
        <v>-</v>
      </c>
      <c r="B29" s="2333" t="s">
        <v>2853</v>
      </c>
      <c r="C29" s="2334"/>
      <c r="D29" s="2334"/>
    </row>
    <row r="30" spans="1:4" x14ac:dyDescent="0.25">
      <c r="A30" s="4090" t="str">
        <f t="shared" si="0"/>
        <v>-</v>
      </c>
      <c r="B30" s="2333" t="s">
        <v>2852</v>
      </c>
      <c r="C30" s="2274"/>
      <c r="D30" s="2274"/>
    </row>
    <row r="31" spans="1:4" x14ac:dyDescent="0.25">
      <c r="A31" s="4090" t="str">
        <f t="shared" si="0"/>
        <v>-</v>
      </c>
      <c r="B31" s="2333" t="s">
        <v>2851</v>
      </c>
      <c r="C31" s="2274"/>
      <c r="D31" s="2274"/>
    </row>
    <row r="32" spans="1:4" x14ac:dyDescent="0.25">
      <c r="A32" s="4090" t="str">
        <f t="shared" si="0"/>
        <v>-</v>
      </c>
      <c r="B32" s="2333" t="s">
        <v>2850</v>
      </c>
      <c r="C32" s="2334"/>
      <c r="D32" s="2334"/>
    </row>
    <row r="33" spans="1:4" x14ac:dyDescent="0.25">
      <c r="A33" s="4090" t="str">
        <f t="shared" si="0"/>
        <v>-</v>
      </c>
      <c r="B33" s="2333" t="s">
        <v>2849</v>
      </c>
      <c r="C33" s="2334"/>
      <c r="D33" s="2334"/>
    </row>
    <row r="34" spans="1:4" x14ac:dyDescent="0.25">
      <c r="A34" s="4090" t="str">
        <f t="shared" si="0"/>
        <v>-</v>
      </c>
      <c r="B34" s="2333" t="s">
        <v>2848</v>
      </c>
      <c r="C34" s="2274"/>
      <c r="D34" s="2274"/>
    </row>
    <row r="35" spans="1:4" x14ac:dyDescent="0.25">
      <c r="A35" s="4090" t="str">
        <f t="shared" si="0"/>
        <v>-</v>
      </c>
      <c r="B35" s="2333" t="s">
        <v>2847</v>
      </c>
      <c r="C35" s="2334"/>
      <c r="D35" s="2334"/>
    </row>
    <row r="36" spans="1:4" x14ac:dyDescent="0.25">
      <c r="A36" s="4090" t="str">
        <f t="shared" si="0"/>
        <v>-</v>
      </c>
      <c r="B36" s="2333" t="s">
        <v>2846</v>
      </c>
      <c r="C36" s="2334"/>
      <c r="D36" s="2334"/>
    </row>
    <row r="37" spans="1:4" x14ac:dyDescent="0.25">
      <c r="A37" s="4090" t="str">
        <f t="shared" si="0"/>
        <v>-</v>
      </c>
      <c r="B37" s="2333" t="s">
        <v>2845</v>
      </c>
      <c r="C37" s="2334"/>
      <c r="D37" s="2334"/>
    </row>
    <row r="38" spans="1:4" x14ac:dyDescent="0.25">
      <c r="A38" s="4090" t="str">
        <f t="shared" si="0"/>
        <v>-</v>
      </c>
      <c r="B38" s="2333" t="s">
        <v>2844</v>
      </c>
      <c r="C38" s="2334"/>
      <c r="D38" s="2334"/>
    </row>
    <row r="39" spans="1:4" x14ac:dyDescent="0.25">
      <c r="A39" s="4090" t="str">
        <f t="shared" si="0"/>
        <v>-</v>
      </c>
      <c r="B39" s="2694" t="s">
        <v>1941</v>
      </c>
      <c r="C39" s="2274"/>
      <c r="D39" s="2274"/>
    </row>
    <row r="40" spans="1:4" x14ac:dyDescent="0.25">
      <c r="A40" s="4090" t="str">
        <f t="shared" si="0"/>
        <v>-</v>
      </c>
      <c r="B40" s="2333" t="s">
        <v>2843</v>
      </c>
      <c r="C40" s="2334"/>
      <c r="D40" s="2334"/>
    </row>
    <row r="41" spans="1:4" x14ac:dyDescent="0.25">
      <c r="A41" s="4090" t="str">
        <f t="shared" si="0"/>
        <v>-</v>
      </c>
      <c r="B41" s="2333" t="s">
        <v>2842</v>
      </c>
      <c r="C41" s="2334"/>
      <c r="D41" s="2334"/>
    </row>
    <row r="42" spans="1:4" x14ac:dyDescent="0.25">
      <c r="A42" s="4090" t="str">
        <f t="shared" si="0"/>
        <v>-</v>
      </c>
      <c r="B42" s="2333" t="s">
        <v>2841</v>
      </c>
      <c r="C42" s="2334"/>
      <c r="D42" s="2334"/>
    </row>
    <row r="43" spans="1:4" x14ac:dyDescent="0.25">
      <c r="A43" s="4090" t="str">
        <f t="shared" si="0"/>
        <v>-</v>
      </c>
      <c r="B43" s="2333" t="s">
        <v>97</v>
      </c>
      <c r="C43" s="2334">
        <f>SUM(C2:C42)</f>
        <v>0</v>
      </c>
      <c r="D43" s="2334">
        <f>SUM(D2:D42)</f>
        <v>0</v>
      </c>
    </row>
  </sheetData>
  <conditionalFormatting sqref="A2:D2">
    <cfRule type="colorScale" priority="1">
      <colorScale>
        <cfvo type="min"/>
        <cfvo type="percentile" val="50"/>
        <cfvo type="max"/>
        <color rgb="FFF8696B"/>
        <color rgb="FFFCFCFF"/>
        <color rgb="FF63BE7B"/>
      </colorScale>
    </cfRule>
  </conditionalFormatting>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01D7B-A58A-4BD1-BCA3-86438BC727A8}">
  <sheetPr codeName="Ark85">
    <tabColor theme="3" tint="-0.249977111117893"/>
  </sheetPr>
  <dimension ref="A1:T226"/>
  <sheetViews>
    <sheetView zoomScale="85" zoomScaleNormal="85" workbookViewId="0">
      <pane xSplit="2" ySplit="2" topLeftCell="C3" activePane="bottomRight" state="frozen"/>
      <selection pane="topRight" activeCell="C1" sqref="C1"/>
      <selection pane="bottomLeft" activeCell="A3" sqref="A3"/>
      <selection pane="bottomRight" activeCell="E21" sqref="E21"/>
    </sheetView>
  </sheetViews>
  <sheetFormatPr defaultColWidth="8.7109375" defaultRowHeight="15" x14ac:dyDescent="0.25"/>
  <cols>
    <col min="1" max="1" width="14.140625" style="632" bestFit="1" customWidth="1"/>
    <col min="2" max="2" width="22.28515625" style="632" customWidth="1"/>
    <col min="3" max="3" width="65" style="632" bestFit="1" customWidth="1"/>
    <col min="4" max="4" width="29.42578125" style="632" customWidth="1"/>
    <col min="5" max="5" width="52.85546875" style="632" customWidth="1"/>
    <col min="6" max="6" width="11.5703125" style="632" customWidth="1"/>
    <col min="7" max="7" width="12.28515625" style="632" customWidth="1"/>
    <col min="8" max="8" width="12.7109375" style="632" customWidth="1"/>
    <col min="9" max="9" width="23.42578125" style="632" customWidth="1"/>
    <col min="10" max="10" width="11.42578125" style="859" customWidth="1"/>
    <col min="11" max="11" width="11.5703125" style="859" customWidth="1"/>
    <col min="12" max="12" width="12.28515625" style="859" customWidth="1"/>
    <col min="13" max="13" width="12.7109375" style="859" customWidth="1"/>
    <col min="14" max="14" width="11.28515625" style="859" customWidth="1"/>
    <col min="15" max="15" width="11.28515625" style="633" customWidth="1"/>
    <col min="16" max="16" width="8.7109375" style="632" customWidth="1"/>
    <col min="17" max="17" width="12.28515625" style="632" customWidth="1"/>
    <col min="18" max="18" width="11" style="632" customWidth="1"/>
    <col min="19" max="19" width="10.28515625" style="632" customWidth="1"/>
    <col min="20" max="21" width="8.7109375" style="632"/>
    <col min="22" max="22" width="20.28515625" style="632" bestFit="1" customWidth="1"/>
    <col min="23" max="23" width="8.7109375" style="632"/>
    <col min="24" max="24" width="10" style="632" bestFit="1" customWidth="1"/>
    <col min="25" max="25" width="12.28515625" style="632" bestFit="1" customWidth="1"/>
    <col min="26" max="28" width="11.140625" style="632" bestFit="1" customWidth="1"/>
    <col min="29" max="16384" width="8.7109375" style="632"/>
  </cols>
  <sheetData>
    <row r="1" spans="1:20" ht="18.75" x14ac:dyDescent="0.3">
      <c r="A1"/>
      <c r="B1" s="1591" t="s">
        <v>228</v>
      </c>
      <c r="C1"/>
      <c r="D1"/>
      <c r="E1"/>
      <c r="F1"/>
      <c r="G1"/>
      <c r="H1"/>
      <c r="I1"/>
      <c r="J1"/>
      <c r="K1"/>
      <c r="L1"/>
      <c r="M1"/>
      <c r="N1"/>
      <c r="O1"/>
    </row>
    <row r="2" spans="1:20" x14ac:dyDescent="0.25">
      <c r="A2" t="s">
        <v>5387</v>
      </c>
      <c r="B2" s="4180" t="s">
        <v>2039</v>
      </c>
      <c r="C2" s="4180" t="s">
        <v>2038</v>
      </c>
      <c r="D2" s="4180" t="s">
        <v>2037</v>
      </c>
      <c r="E2" s="4180" t="s">
        <v>2036</v>
      </c>
      <c r="F2" s="4180" t="s">
        <v>2035</v>
      </c>
      <c r="G2" s="4180" t="s">
        <v>2034</v>
      </c>
      <c r="H2" s="4180" t="s">
        <v>2033</v>
      </c>
      <c r="I2" s="4180" t="s">
        <v>2032</v>
      </c>
      <c r="J2" s="4180" t="s">
        <v>2031</v>
      </c>
      <c r="K2" s="4180" t="s">
        <v>2030</v>
      </c>
      <c r="L2" s="4180" t="s">
        <v>2029</v>
      </c>
      <c r="M2" s="4180" t="s">
        <v>2028</v>
      </c>
      <c r="N2" s="4180" t="s">
        <v>2027</v>
      </c>
      <c r="O2" s="4180" t="s">
        <v>2026</v>
      </c>
    </row>
    <row r="3" spans="1:20" x14ac:dyDescent="0.25">
      <c r="A3" s="1594">
        <f>F3+D3</f>
        <v>111202</v>
      </c>
      <c r="B3" s="4174" t="s">
        <v>334</v>
      </c>
      <c r="C3" s="4174" t="s">
        <v>2025</v>
      </c>
      <c r="D3" s="4174">
        <v>1101</v>
      </c>
      <c r="E3" s="4174" t="s">
        <v>2024</v>
      </c>
      <c r="F3" s="4173">
        <v>110101</v>
      </c>
      <c r="G3" s="4173" t="s">
        <v>350</v>
      </c>
      <c r="H3" s="4173"/>
      <c r="I3" s="4174">
        <v>3</v>
      </c>
      <c r="J3" s="4173">
        <v>15.21</v>
      </c>
      <c r="K3" s="4173">
        <v>3.24</v>
      </c>
      <c r="L3" s="4173">
        <v>321.12</v>
      </c>
      <c r="M3" s="4173">
        <v>0</v>
      </c>
      <c r="N3" s="4173">
        <v>70.010000000000005</v>
      </c>
      <c r="O3" s="4210">
        <f>K3/K$211</f>
        <v>1.3800858720098138E-3</v>
      </c>
    </row>
    <row r="4" spans="1:20" x14ac:dyDescent="0.25">
      <c r="A4" s="1594">
        <f t="shared" ref="A4:A67" si="0">F4+D4</f>
        <v>111303</v>
      </c>
      <c r="B4" s="4174" t="s">
        <v>334</v>
      </c>
      <c r="C4" s="4174" t="s">
        <v>2023</v>
      </c>
      <c r="D4" s="4174">
        <v>1102</v>
      </c>
      <c r="E4" s="4174" t="s">
        <v>2022</v>
      </c>
      <c r="F4" s="4173">
        <v>110201</v>
      </c>
      <c r="G4" s="4173" t="s">
        <v>350</v>
      </c>
      <c r="H4" s="4173"/>
      <c r="I4" s="4174">
        <v>15</v>
      </c>
      <c r="J4" s="4173">
        <v>277.02</v>
      </c>
      <c r="K4" s="4173">
        <v>95.59</v>
      </c>
      <c r="L4" s="4173">
        <v>9646.5300000000007</v>
      </c>
      <c r="M4" s="4173">
        <v>0</v>
      </c>
      <c r="N4" s="4173">
        <v>1968.19</v>
      </c>
      <c r="O4" s="4210">
        <f t="shared" ref="O4:O67" si="1">K4/K$211</f>
        <v>4.0716792748585834E-2</v>
      </c>
      <c r="P4" s="632" t="s">
        <v>966</v>
      </c>
      <c r="R4" s="833">
        <f>'K1 2018G'!C7</f>
        <v>188.07</v>
      </c>
      <c r="S4" s="860">
        <f>SUM(J7:J17)+SUM(J58:J67)</f>
        <v>188.07</v>
      </c>
      <c r="T4" s="860">
        <f>R4-S4</f>
        <v>0</v>
      </c>
    </row>
    <row r="5" spans="1:20" x14ac:dyDescent="0.25">
      <c r="A5" s="1594">
        <f t="shared" si="0"/>
        <v>111404</v>
      </c>
      <c r="B5" s="4174" t="s">
        <v>334</v>
      </c>
      <c r="C5" s="4174" t="s">
        <v>2021</v>
      </c>
      <c r="D5" s="4174">
        <v>1103</v>
      </c>
      <c r="E5" s="4174" t="s">
        <v>2020</v>
      </c>
      <c r="F5" s="4173">
        <v>110301</v>
      </c>
      <c r="G5" s="4173" t="s">
        <v>350</v>
      </c>
      <c r="H5" s="4173"/>
      <c r="I5" s="4174">
        <v>9</v>
      </c>
      <c r="J5" s="4173">
        <v>26.5</v>
      </c>
      <c r="K5" s="4173">
        <v>11.52</v>
      </c>
      <c r="L5" s="4173">
        <v>1159.17</v>
      </c>
      <c r="M5" s="4173">
        <v>0</v>
      </c>
      <c r="N5" s="4173">
        <v>241.39</v>
      </c>
      <c r="O5" s="4210">
        <f t="shared" si="1"/>
        <v>4.9069719893682267E-3</v>
      </c>
      <c r="P5" s="632" t="s">
        <v>965</v>
      </c>
      <c r="R5" s="833">
        <f>'K1 2018G'!C8</f>
        <v>493.31</v>
      </c>
      <c r="S5" s="860">
        <f>SUM(J32:J33)+SUM(J82:J83)</f>
        <v>493.31</v>
      </c>
      <c r="T5" s="860">
        <f t="shared" ref="T5:T10" si="2">R5-S5</f>
        <v>0</v>
      </c>
    </row>
    <row r="6" spans="1:20" x14ac:dyDescent="0.25">
      <c r="A6" s="1594">
        <f t="shared" si="0"/>
        <v>111505</v>
      </c>
      <c r="B6" s="4174" t="s">
        <v>334</v>
      </c>
      <c r="C6" s="4174" t="s">
        <v>2019</v>
      </c>
      <c r="D6" s="4174">
        <v>1104</v>
      </c>
      <c r="E6" s="4174" t="s">
        <v>2018</v>
      </c>
      <c r="F6" s="4173">
        <v>110401</v>
      </c>
      <c r="G6" s="4173" t="s">
        <v>350</v>
      </c>
      <c r="H6" s="4173"/>
      <c r="I6" s="4174">
        <v>0</v>
      </c>
      <c r="J6" s="4173">
        <v>0</v>
      </c>
      <c r="K6" s="4173">
        <v>0</v>
      </c>
      <c r="L6" s="4173">
        <v>0</v>
      </c>
      <c r="M6" s="4173">
        <v>0</v>
      </c>
      <c r="N6" s="4173">
        <v>0</v>
      </c>
      <c r="O6" s="4210">
        <f t="shared" si="1"/>
        <v>0</v>
      </c>
      <c r="P6" s="632" t="s">
        <v>964</v>
      </c>
      <c r="R6" s="833">
        <f>SUM('K1 2018G'!C9)</f>
        <v>553.46</v>
      </c>
      <c r="S6" s="860">
        <f>SUM(J34:J45)+SUM(J84:J95)</f>
        <v>553.46</v>
      </c>
      <c r="T6" s="860">
        <f t="shared" si="2"/>
        <v>0</v>
      </c>
    </row>
    <row r="7" spans="1:20" x14ac:dyDescent="0.25">
      <c r="A7" s="1594">
        <f t="shared" si="0"/>
        <v>121302</v>
      </c>
      <c r="B7" s="4174" t="s">
        <v>1980</v>
      </c>
      <c r="C7" s="4174" t="s">
        <v>2017</v>
      </c>
      <c r="D7" s="4174">
        <v>1201</v>
      </c>
      <c r="E7" s="4174" t="s">
        <v>1989</v>
      </c>
      <c r="F7" s="4173">
        <v>120101</v>
      </c>
      <c r="G7" s="4173" t="s">
        <v>1903</v>
      </c>
      <c r="H7" s="4173" t="s">
        <v>1943</v>
      </c>
      <c r="I7" s="4174">
        <v>0</v>
      </c>
      <c r="J7" s="4173">
        <v>0</v>
      </c>
      <c r="K7" s="4173">
        <v>0</v>
      </c>
      <c r="L7" s="4173">
        <v>0</v>
      </c>
      <c r="M7" s="4173">
        <v>0</v>
      </c>
      <c r="N7" s="4173">
        <v>0</v>
      </c>
      <c r="O7" s="4210">
        <f t="shared" si="1"/>
        <v>0</v>
      </c>
      <c r="P7" s="632" t="s">
        <v>330</v>
      </c>
      <c r="R7" s="833">
        <f>'K1 2018G'!C10</f>
        <v>10.94</v>
      </c>
      <c r="S7" s="860">
        <f>SUM(J46:J57)+SUM(J96:J106)</f>
        <v>10.94</v>
      </c>
      <c r="T7" s="860">
        <f t="shared" si="2"/>
        <v>0</v>
      </c>
    </row>
    <row r="8" spans="1:20" x14ac:dyDescent="0.25">
      <c r="A8" s="1594">
        <f t="shared" si="0"/>
        <v>121303</v>
      </c>
      <c r="B8" s="4174" t="s">
        <v>1980</v>
      </c>
      <c r="C8" s="4174" t="s">
        <v>2017</v>
      </c>
      <c r="D8" s="4174">
        <v>1201</v>
      </c>
      <c r="E8" s="4174" t="s">
        <v>1988</v>
      </c>
      <c r="F8" s="4173">
        <v>120102</v>
      </c>
      <c r="G8" s="4173" t="s">
        <v>1977</v>
      </c>
      <c r="H8" s="4173"/>
      <c r="I8" s="4174">
        <v>0</v>
      </c>
      <c r="J8" s="4173">
        <v>0</v>
      </c>
      <c r="K8" s="4173">
        <v>0</v>
      </c>
      <c r="L8" s="4173">
        <v>0</v>
      </c>
      <c r="M8" s="4173">
        <v>0</v>
      </c>
      <c r="N8" s="4173">
        <v>0</v>
      </c>
      <c r="O8" s="4210">
        <f t="shared" si="1"/>
        <v>0</v>
      </c>
      <c r="P8" s="632" t="s">
        <v>340</v>
      </c>
      <c r="R8" s="833">
        <f>'K1 2018G'!C11</f>
        <v>175.85</v>
      </c>
      <c r="S8" s="860">
        <f>SUM(J18:J19)+SUM(J68:J69)</f>
        <v>175.85</v>
      </c>
      <c r="T8" s="860">
        <f t="shared" si="2"/>
        <v>0</v>
      </c>
    </row>
    <row r="9" spans="1:20" x14ac:dyDescent="0.25">
      <c r="A9" s="1594">
        <f t="shared" si="0"/>
        <v>121304</v>
      </c>
      <c r="B9" s="4174" t="s">
        <v>1980</v>
      </c>
      <c r="C9" s="4174" t="s">
        <v>2017</v>
      </c>
      <c r="D9" s="4174">
        <v>1201</v>
      </c>
      <c r="E9" s="4174" t="s">
        <v>1995</v>
      </c>
      <c r="F9" s="4173">
        <v>120103</v>
      </c>
      <c r="G9" s="4173" t="s">
        <v>1977</v>
      </c>
      <c r="H9" s="4173"/>
      <c r="I9" s="4174">
        <v>0</v>
      </c>
      <c r="J9" s="4173">
        <v>0</v>
      </c>
      <c r="K9" s="4173">
        <v>0</v>
      </c>
      <c r="L9" s="4173">
        <v>0</v>
      </c>
      <c r="M9" s="4173">
        <v>0</v>
      </c>
      <c r="N9" s="4173">
        <v>0</v>
      </c>
      <c r="O9" s="4210">
        <f t="shared" si="1"/>
        <v>0</v>
      </c>
      <c r="P9" s="632" t="s">
        <v>336</v>
      </c>
      <c r="R9" s="833">
        <f>'K1 2018G'!C12</f>
        <v>570.12000000000012</v>
      </c>
      <c r="S9" s="860">
        <f>SUM(J20:J31)+SUM(J70:J81)</f>
        <v>570.12000000000012</v>
      </c>
      <c r="T9" s="860">
        <f t="shared" si="2"/>
        <v>0</v>
      </c>
    </row>
    <row r="10" spans="1:20" x14ac:dyDescent="0.25">
      <c r="A10" s="1594">
        <f t="shared" si="0"/>
        <v>121305</v>
      </c>
      <c r="B10" s="4174" t="s">
        <v>1980</v>
      </c>
      <c r="C10" s="4174" t="s">
        <v>2017</v>
      </c>
      <c r="D10" s="4174">
        <v>1201</v>
      </c>
      <c r="E10" s="4174" t="s">
        <v>2003</v>
      </c>
      <c r="F10" s="4173">
        <v>120104</v>
      </c>
      <c r="G10" s="4173" t="s">
        <v>1977</v>
      </c>
      <c r="H10" s="4173"/>
      <c r="I10" s="4174">
        <v>0</v>
      </c>
      <c r="J10" s="4173">
        <v>0</v>
      </c>
      <c r="K10" s="4173">
        <v>0</v>
      </c>
      <c r="L10" s="4173">
        <v>0</v>
      </c>
      <c r="M10" s="4173">
        <v>0</v>
      </c>
      <c r="N10" s="4173">
        <v>0</v>
      </c>
      <c r="O10" s="4210">
        <f t="shared" si="1"/>
        <v>0</v>
      </c>
      <c r="P10" s="632" t="s">
        <v>329</v>
      </c>
      <c r="R10" s="833">
        <f>'K1 2018G'!C13</f>
        <v>626.68999999999994</v>
      </c>
      <c r="S10" s="860">
        <f>SUM(J107:J134)</f>
        <v>626.68999999999994</v>
      </c>
      <c r="T10" s="860">
        <f t="shared" si="2"/>
        <v>0</v>
      </c>
    </row>
    <row r="11" spans="1:20" x14ac:dyDescent="0.25">
      <c r="A11" s="1594">
        <f t="shared" si="0"/>
        <v>121306</v>
      </c>
      <c r="B11" s="4174" t="s">
        <v>1980</v>
      </c>
      <c r="C11" s="4174" t="s">
        <v>2017</v>
      </c>
      <c r="D11" s="4174">
        <v>1201</v>
      </c>
      <c r="E11" s="4174" t="s">
        <v>2002</v>
      </c>
      <c r="F11" s="4173">
        <v>120105</v>
      </c>
      <c r="G11" s="4173" t="s">
        <v>1977</v>
      </c>
      <c r="H11" s="4173"/>
      <c r="I11" s="4174">
        <v>1</v>
      </c>
      <c r="J11" s="4173">
        <v>188.07</v>
      </c>
      <c r="K11" s="4173">
        <v>259.8</v>
      </c>
      <c r="L11" s="4173">
        <v>25343.67</v>
      </c>
      <c r="M11" s="4173">
        <v>0</v>
      </c>
      <c r="N11" s="4173">
        <v>3900.72</v>
      </c>
      <c r="O11" s="4210">
        <f t="shared" si="1"/>
        <v>0.11066244121856471</v>
      </c>
      <c r="Q11" s="860"/>
    </row>
    <row r="12" spans="1:20" x14ac:dyDescent="0.25">
      <c r="A12" s="1594">
        <f t="shared" si="0"/>
        <v>121307</v>
      </c>
      <c r="B12" s="4174" t="s">
        <v>1980</v>
      </c>
      <c r="C12" s="4174" t="s">
        <v>2017</v>
      </c>
      <c r="D12" s="4174">
        <v>1201</v>
      </c>
      <c r="E12" s="4174" t="s">
        <v>2006</v>
      </c>
      <c r="F12" s="4173">
        <v>120106</v>
      </c>
      <c r="G12" s="4173" t="s">
        <v>350</v>
      </c>
      <c r="H12" s="4173"/>
      <c r="I12" s="4174">
        <v>0</v>
      </c>
      <c r="J12" s="4173">
        <v>0</v>
      </c>
      <c r="K12" s="4173">
        <v>0</v>
      </c>
      <c r="L12" s="4173">
        <v>0</v>
      </c>
      <c r="M12" s="4173">
        <v>0</v>
      </c>
      <c r="N12" s="4173">
        <v>0</v>
      </c>
      <c r="O12" s="4210">
        <f t="shared" si="1"/>
        <v>0</v>
      </c>
    </row>
    <row r="13" spans="1:20" x14ac:dyDescent="0.25">
      <c r="A13" s="1594">
        <f t="shared" si="0"/>
        <v>121308</v>
      </c>
      <c r="B13" s="4174" t="s">
        <v>1980</v>
      </c>
      <c r="C13" s="4174" t="s">
        <v>2017</v>
      </c>
      <c r="D13" s="4174">
        <v>1201</v>
      </c>
      <c r="E13" s="4174" t="s">
        <v>1985</v>
      </c>
      <c r="F13" s="4173">
        <v>120107</v>
      </c>
      <c r="G13" s="4173" t="s">
        <v>1977</v>
      </c>
      <c r="H13" s="4173" t="s">
        <v>350</v>
      </c>
      <c r="I13" s="4174">
        <v>0</v>
      </c>
      <c r="J13" s="4173">
        <v>0</v>
      </c>
      <c r="K13" s="4173">
        <v>0</v>
      </c>
      <c r="L13" s="4173">
        <v>0</v>
      </c>
      <c r="M13" s="4173">
        <v>0</v>
      </c>
      <c r="N13" s="4173">
        <v>0</v>
      </c>
      <c r="O13" s="4210">
        <f t="shared" si="1"/>
        <v>0</v>
      </c>
    </row>
    <row r="14" spans="1:20" x14ac:dyDescent="0.25">
      <c r="A14" s="1594">
        <f t="shared" si="0"/>
        <v>121309</v>
      </c>
      <c r="B14" s="4174" t="s">
        <v>1980</v>
      </c>
      <c r="C14" s="4174" t="s">
        <v>2017</v>
      </c>
      <c r="D14" s="4174">
        <v>1201</v>
      </c>
      <c r="E14" s="4174" t="s">
        <v>1984</v>
      </c>
      <c r="F14" s="4173">
        <v>120108</v>
      </c>
      <c r="G14" s="4173" t="s">
        <v>1977</v>
      </c>
      <c r="H14" s="4173" t="s">
        <v>350</v>
      </c>
      <c r="I14" s="4174">
        <v>0</v>
      </c>
      <c r="J14" s="4173">
        <v>0</v>
      </c>
      <c r="K14" s="4173">
        <v>0</v>
      </c>
      <c r="L14" s="4173">
        <v>0</v>
      </c>
      <c r="M14" s="4173">
        <v>0</v>
      </c>
      <c r="N14" s="4173">
        <v>0</v>
      </c>
      <c r="O14" s="4210">
        <f t="shared" si="1"/>
        <v>0</v>
      </c>
    </row>
    <row r="15" spans="1:20" x14ac:dyDescent="0.25">
      <c r="A15" s="1594">
        <f t="shared" si="0"/>
        <v>121310</v>
      </c>
      <c r="B15" s="4174" t="s">
        <v>1980</v>
      </c>
      <c r="C15" s="4174" t="s">
        <v>2017</v>
      </c>
      <c r="D15" s="4174">
        <v>1201</v>
      </c>
      <c r="E15" s="4174" t="s">
        <v>1983</v>
      </c>
      <c r="F15" s="4173">
        <v>120109</v>
      </c>
      <c r="G15" s="4173" t="s">
        <v>1977</v>
      </c>
      <c r="H15" s="4173" t="s">
        <v>350</v>
      </c>
      <c r="I15" s="4174">
        <v>0</v>
      </c>
      <c r="J15" s="4173">
        <v>0</v>
      </c>
      <c r="K15" s="4173">
        <v>0</v>
      </c>
      <c r="L15" s="4173">
        <v>0</v>
      </c>
      <c r="M15" s="4173">
        <v>0</v>
      </c>
      <c r="N15" s="4173">
        <v>0</v>
      </c>
      <c r="O15" s="4210">
        <f t="shared" si="1"/>
        <v>0</v>
      </c>
    </row>
    <row r="16" spans="1:20" x14ac:dyDescent="0.25">
      <c r="A16" s="1594">
        <f t="shared" si="0"/>
        <v>121315</v>
      </c>
      <c r="B16" s="4174" t="s">
        <v>1980</v>
      </c>
      <c r="C16" s="4174" t="s">
        <v>2017</v>
      </c>
      <c r="D16" s="4174">
        <v>1201</v>
      </c>
      <c r="E16" s="4174" t="s">
        <v>1990</v>
      </c>
      <c r="F16" s="4173">
        <v>120114</v>
      </c>
      <c r="G16" s="4173" t="s">
        <v>1977</v>
      </c>
      <c r="H16" s="4173"/>
      <c r="I16" s="4174">
        <v>0</v>
      </c>
      <c r="J16" s="4173">
        <v>0</v>
      </c>
      <c r="K16" s="4173">
        <v>0</v>
      </c>
      <c r="L16" s="4173">
        <v>0</v>
      </c>
      <c r="M16" s="4173">
        <v>0</v>
      </c>
      <c r="N16" s="4173">
        <v>0</v>
      </c>
      <c r="O16" s="4210">
        <f t="shared" si="1"/>
        <v>0</v>
      </c>
    </row>
    <row r="17" spans="1:15" x14ac:dyDescent="0.25">
      <c r="A17" s="1594">
        <f t="shared" si="0"/>
        <v>121316</v>
      </c>
      <c r="B17" s="4174" t="s">
        <v>1980</v>
      </c>
      <c r="C17" s="4174" t="s">
        <v>2017</v>
      </c>
      <c r="D17" s="4174">
        <v>1201</v>
      </c>
      <c r="E17" s="4174" t="s">
        <v>2016</v>
      </c>
      <c r="F17" s="4173">
        <v>120115</v>
      </c>
      <c r="G17" s="4173" t="s">
        <v>1977</v>
      </c>
      <c r="H17" s="4173" t="s">
        <v>350</v>
      </c>
      <c r="I17" s="4174">
        <v>0</v>
      </c>
      <c r="J17" s="4173">
        <v>0</v>
      </c>
      <c r="K17" s="4173">
        <v>0</v>
      </c>
      <c r="L17" s="4173">
        <v>0</v>
      </c>
      <c r="M17" s="4173">
        <v>0</v>
      </c>
      <c r="N17" s="4173">
        <v>0</v>
      </c>
      <c r="O17" s="4210">
        <f t="shared" si="1"/>
        <v>0</v>
      </c>
    </row>
    <row r="18" spans="1:15" x14ac:dyDescent="0.25">
      <c r="A18" s="1594">
        <f t="shared" si="0"/>
        <v>121403</v>
      </c>
      <c r="B18" s="4174" t="s">
        <v>1980</v>
      </c>
      <c r="C18" s="4174" t="s">
        <v>2803</v>
      </c>
      <c r="D18" s="4174">
        <v>1202</v>
      </c>
      <c r="E18" s="4174" t="s">
        <v>2006</v>
      </c>
      <c r="F18" s="4173">
        <v>120201</v>
      </c>
      <c r="G18" s="4173" t="s">
        <v>350</v>
      </c>
      <c r="H18" s="4173"/>
      <c r="I18" s="4174">
        <v>18</v>
      </c>
      <c r="J18" s="4173">
        <v>161.9</v>
      </c>
      <c r="K18" s="4173">
        <v>43.43</v>
      </c>
      <c r="L18" s="4173">
        <v>4304.1400000000003</v>
      </c>
      <c r="M18" s="4173">
        <v>0</v>
      </c>
      <c r="N18" s="4173">
        <v>531.85</v>
      </c>
      <c r="O18" s="4210">
        <f t="shared" si="1"/>
        <v>1.8499114018946362E-2</v>
      </c>
    </row>
    <row r="19" spans="1:15" x14ac:dyDescent="0.25">
      <c r="A19" s="1594">
        <f t="shared" si="0"/>
        <v>121404</v>
      </c>
      <c r="B19" s="4174" t="s">
        <v>1980</v>
      </c>
      <c r="C19" s="4174" t="s">
        <v>2803</v>
      </c>
      <c r="D19" s="4174">
        <v>1202</v>
      </c>
      <c r="E19" s="4174" t="s">
        <v>2004</v>
      </c>
      <c r="F19" s="4173">
        <v>120202</v>
      </c>
      <c r="G19" s="4173" t="s">
        <v>350</v>
      </c>
      <c r="H19" s="4173"/>
      <c r="I19" s="4174">
        <v>1</v>
      </c>
      <c r="J19" s="4173">
        <v>7.98</v>
      </c>
      <c r="K19" s="4173">
        <v>2.1</v>
      </c>
      <c r="L19" s="4173">
        <v>207.77</v>
      </c>
      <c r="M19" s="4173">
        <v>0</v>
      </c>
      <c r="N19" s="4173">
        <v>25.68</v>
      </c>
      <c r="O19" s="4210">
        <f t="shared" si="1"/>
        <v>8.9450010222858302E-4</v>
      </c>
    </row>
    <row r="20" spans="1:15" x14ac:dyDescent="0.25">
      <c r="A20" s="1594">
        <f t="shared" si="0"/>
        <v>121504</v>
      </c>
      <c r="B20" s="4174" t="s">
        <v>1980</v>
      </c>
      <c r="C20" s="4174" t="s">
        <v>2761</v>
      </c>
      <c r="D20" s="4174">
        <v>1203</v>
      </c>
      <c r="E20" s="4174" t="s">
        <v>1989</v>
      </c>
      <c r="F20" s="4173">
        <v>120301</v>
      </c>
      <c r="G20" s="4173" t="s">
        <v>1903</v>
      </c>
      <c r="H20" s="4173" t="s">
        <v>1943</v>
      </c>
      <c r="I20" s="4174">
        <v>2</v>
      </c>
      <c r="J20" s="4173">
        <v>37.799999999999997</v>
      </c>
      <c r="K20" s="4173">
        <v>18.899999999999999</v>
      </c>
      <c r="L20" s="4173">
        <v>836.08</v>
      </c>
      <c r="M20" s="4173">
        <v>923.42</v>
      </c>
      <c r="N20" s="4173">
        <v>265.45</v>
      </c>
      <c r="O20" s="4210">
        <f t="shared" si="1"/>
        <v>8.050500920057246E-3</v>
      </c>
    </row>
    <row r="21" spans="1:15" x14ac:dyDescent="0.25">
      <c r="A21" s="1594">
        <f t="shared" si="0"/>
        <v>121505</v>
      </c>
      <c r="B21" s="4174" t="s">
        <v>1980</v>
      </c>
      <c r="C21" s="4174" t="s">
        <v>2761</v>
      </c>
      <c r="D21" s="4174">
        <v>1203</v>
      </c>
      <c r="E21" s="4174" t="s">
        <v>1988</v>
      </c>
      <c r="F21" s="4173">
        <v>120302</v>
      </c>
      <c r="G21" s="4173" t="s">
        <v>1977</v>
      </c>
      <c r="H21" s="4173"/>
      <c r="I21" s="4174">
        <v>0</v>
      </c>
      <c r="J21" s="4173">
        <v>0</v>
      </c>
      <c r="K21" s="4173">
        <v>0</v>
      </c>
      <c r="L21" s="4173">
        <v>0</v>
      </c>
      <c r="M21" s="4173">
        <v>0</v>
      </c>
      <c r="N21" s="4173">
        <v>0</v>
      </c>
      <c r="O21" s="4210">
        <f t="shared" si="1"/>
        <v>0</v>
      </c>
    </row>
    <row r="22" spans="1:15" x14ac:dyDescent="0.25">
      <c r="A22" s="1594">
        <f t="shared" si="0"/>
        <v>121506</v>
      </c>
      <c r="B22" s="4174" t="s">
        <v>1980</v>
      </c>
      <c r="C22" s="4174" t="s">
        <v>2761</v>
      </c>
      <c r="D22" s="4174">
        <v>1203</v>
      </c>
      <c r="E22" s="4174" t="s">
        <v>1995</v>
      </c>
      <c r="F22" s="4173">
        <v>120303</v>
      </c>
      <c r="G22" s="4173" t="s">
        <v>1977</v>
      </c>
      <c r="H22" s="4173"/>
      <c r="I22" s="4174">
        <v>0</v>
      </c>
      <c r="J22" s="4173">
        <v>0</v>
      </c>
      <c r="K22" s="4173">
        <v>0</v>
      </c>
      <c r="L22" s="4173">
        <v>0</v>
      </c>
      <c r="M22" s="4173">
        <v>0</v>
      </c>
      <c r="N22" s="4173">
        <v>0</v>
      </c>
      <c r="O22" s="4210">
        <f t="shared" si="1"/>
        <v>0</v>
      </c>
    </row>
    <row r="23" spans="1:15" x14ac:dyDescent="0.25">
      <c r="A23" s="1594">
        <f t="shared" si="0"/>
        <v>121507</v>
      </c>
      <c r="B23" s="4174" t="s">
        <v>1980</v>
      </c>
      <c r="C23" s="4174" t="s">
        <v>2761</v>
      </c>
      <c r="D23" s="4174">
        <v>1203</v>
      </c>
      <c r="E23" s="4174" t="s">
        <v>1982</v>
      </c>
      <c r="F23" s="4173">
        <v>120304</v>
      </c>
      <c r="G23" s="4173" t="s">
        <v>1977</v>
      </c>
      <c r="H23" s="4173"/>
      <c r="I23" s="4174">
        <v>0</v>
      </c>
      <c r="J23" s="4173">
        <v>0</v>
      </c>
      <c r="K23" s="4173">
        <v>0</v>
      </c>
      <c r="L23" s="4173">
        <v>0</v>
      </c>
      <c r="M23" s="4173">
        <v>0</v>
      </c>
      <c r="N23" s="4173">
        <v>0</v>
      </c>
      <c r="O23" s="4210">
        <f t="shared" si="1"/>
        <v>0</v>
      </c>
    </row>
    <row r="24" spans="1:15" x14ac:dyDescent="0.25">
      <c r="A24" s="1594">
        <f t="shared" si="0"/>
        <v>121508</v>
      </c>
      <c r="B24" s="4174" t="s">
        <v>1980</v>
      </c>
      <c r="C24" s="4174" t="s">
        <v>2761</v>
      </c>
      <c r="D24" s="4174">
        <v>1203</v>
      </c>
      <c r="E24" s="4174" t="s">
        <v>1994</v>
      </c>
      <c r="F24" s="4173">
        <v>120305</v>
      </c>
      <c r="G24" s="4173" t="s">
        <v>1977</v>
      </c>
      <c r="H24" s="4173"/>
      <c r="I24" s="4174">
        <v>0</v>
      </c>
      <c r="J24" s="4173">
        <v>0</v>
      </c>
      <c r="K24" s="4173">
        <v>0</v>
      </c>
      <c r="L24" s="4173">
        <v>0</v>
      </c>
      <c r="M24" s="4173">
        <v>0</v>
      </c>
      <c r="N24" s="4173">
        <v>0</v>
      </c>
      <c r="O24" s="4210">
        <f t="shared" si="1"/>
        <v>0</v>
      </c>
    </row>
    <row r="25" spans="1:15" x14ac:dyDescent="0.25">
      <c r="A25" s="1594">
        <f t="shared" si="0"/>
        <v>121509</v>
      </c>
      <c r="B25" s="4174" t="s">
        <v>1980</v>
      </c>
      <c r="C25" s="4174" t="s">
        <v>2761</v>
      </c>
      <c r="D25" s="4174">
        <v>1203</v>
      </c>
      <c r="E25" s="4174" t="s">
        <v>1987</v>
      </c>
      <c r="F25" s="4173">
        <v>120306</v>
      </c>
      <c r="G25" s="4173" t="s">
        <v>350</v>
      </c>
      <c r="H25" s="4173"/>
      <c r="I25" s="4174">
        <v>19</v>
      </c>
      <c r="J25" s="4173">
        <v>356.1</v>
      </c>
      <c r="K25" s="4173">
        <v>165.7</v>
      </c>
      <c r="L25" s="4173">
        <v>18372.599999999999</v>
      </c>
      <c r="M25" s="4173">
        <v>0</v>
      </c>
      <c r="N25" s="4173">
        <v>2619.1</v>
      </c>
      <c r="O25" s="4210">
        <f t="shared" si="1"/>
        <v>7.0580317590131517E-2</v>
      </c>
    </row>
    <row r="26" spans="1:15" x14ac:dyDescent="0.25">
      <c r="A26" s="1594">
        <f t="shared" si="0"/>
        <v>121510</v>
      </c>
      <c r="B26" s="4174" t="s">
        <v>1980</v>
      </c>
      <c r="C26" s="4174" t="s">
        <v>2761</v>
      </c>
      <c r="D26" s="4174">
        <v>1203</v>
      </c>
      <c r="E26" s="4174" t="s">
        <v>2004</v>
      </c>
      <c r="F26" s="4173">
        <v>120307</v>
      </c>
      <c r="G26" s="4173" t="s">
        <v>350</v>
      </c>
      <c r="H26" s="4173"/>
      <c r="I26" s="4174">
        <v>1</v>
      </c>
      <c r="J26" s="4173">
        <v>103.66</v>
      </c>
      <c r="K26" s="4173">
        <v>47.12</v>
      </c>
      <c r="L26" s="4173">
        <v>5094.59</v>
      </c>
      <c r="M26" s="4173">
        <v>0</v>
      </c>
      <c r="N26" s="4173">
        <v>721.99</v>
      </c>
      <c r="O26" s="4210">
        <f t="shared" si="1"/>
        <v>2.0070878484290872E-2</v>
      </c>
    </row>
    <row r="27" spans="1:15" x14ac:dyDescent="0.25">
      <c r="A27" s="1594">
        <f t="shared" si="0"/>
        <v>121511</v>
      </c>
      <c r="B27" s="4174" t="s">
        <v>1980</v>
      </c>
      <c r="C27" s="4174" t="s">
        <v>2761</v>
      </c>
      <c r="D27" s="4174">
        <v>1203</v>
      </c>
      <c r="E27" s="4174" t="s">
        <v>1985</v>
      </c>
      <c r="F27" s="4173">
        <v>120308</v>
      </c>
      <c r="G27" s="4173" t="s">
        <v>1977</v>
      </c>
      <c r="H27" s="4173" t="s">
        <v>350</v>
      </c>
      <c r="I27" s="4174">
        <v>0</v>
      </c>
      <c r="J27" s="4173">
        <v>0</v>
      </c>
      <c r="K27" s="4173">
        <v>0</v>
      </c>
      <c r="L27" s="4173">
        <v>0</v>
      </c>
      <c r="M27" s="4173">
        <v>0</v>
      </c>
      <c r="N27" s="4173">
        <v>0</v>
      </c>
      <c r="O27" s="4210">
        <f t="shared" si="1"/>
        <v>0</v>
      </c>
    </row>
    <row r="28" spans="1:15" x14ac:dyDescent="0.25">
      <c r="A28" s="1594">
        <f t="shared" si="0"/>
        <v>121512</v>
      </c>
      <c r="B28" s="4174" t="s">
        <v>1980</v>
      </c>
      <c r="C28" s="4174" t="s">
        <v>2761</v>
      </c>
      <c r="D28" s="4174">
        <v>1203</v>
      </c>
      <c r="E28" s="4174" t="s">
        <v>1984</v>
      </c>
      <c r="F28" s="4173">
        <v>120309</v>
      </c>
      <c r="G28" s="4173" t="s">
        <v>1977</v>
      </c>
      <c r="H28" s="4173" t="s">
        <v>350</v>
      </c>
      <c r="I28" s="4174">
        <v>0</v>
      </c>
      <c r="J28" s="4173">
        <v>0</v>
      </c>
      <c r="K28" s="4173">
        <v>0</v>
      </c>
      <c r="L28" s="4173">
        <v>0</v>
      </c>
      <c r="M28" s="4173">
        <v>0</v>
      </c>
      <c r="N28" s="4173">
        <v>0</v>
      </c>
      <c r="O28" s="4210">
        <f t="shared" si="1"/>
        <v>0</v>
      </c>
    </row>
    <row r="29" spans="1:15" x14ac:dyDescent="0.25">
      <c r="A29" s="1594">
        <f t="shared" si="0"/>
        <v>121513</v>
      </c>
      <c r="B29" s="4174" t="s">
        <v>1980</v>
      </c>
      <c r="C29" s="4174" t="s">
        <v>2761</v>
      </c>
      <c r="D29" s="4174">
        <v>1203</v>
      </c>
      <c r="E29" s="4174" t="s">
        <v>1983</v>
      </c>
      <c r="F29" s="4173">
        <v>120310</v>
      </c>
      <c r="G29" s="4173" t="s">
        <v>1977</v>
      </c>
      <c r="H29" s="4173" t="s">
        <v>350</v>
      </c>
      <c r="I29" s="4174">
        <v>0</v>
      </c>
      <c r="J29" s="4173">
        <v>0</v>
      </c>
      <c r="K29" s="4173">
        <v>0</v>
      </c>
      <c r="L29" s="4173">
        <v>0</v>
      </c>
      <c r="M29" s="4173">
        <v>0</v>
      </c>
      <c r="N29" s="4173">
        <v>0</v>
      </c>
      <c r="O29" s="4210">
        <f t="shared" si="1"/>
        <v>0</v>
      </c>
    </row>
    <row r="30" spans="1:15" x14ac:dyDescent="0.25">
      <c r="A30" s="1594">
        <f t="shared" si="0"/>
        <v>121515</v>
      </c>
      <c r="B30" s="4174" t="s">
        <v>1980</v>
      </c>
      <c r="C30" s="4174" t="s">
        <v>2761</v>
      </c>
      <c r="D30" s="4174">
        <v>1203</v>
      </c>
      <c r="E30" s="4174" t="s">
        <v>1996</v>
      </c>
      <c r="F30" s="4173">
        <v>120312</v>
      </c>
      <c r="G30" s="4173" t="s">
        <v>1977</v>
      </c>
      <c r="H30" s="4173"/>
      <c r="I30" s="4174">
        <v>0</v>
      </c>
      <c r="J30" s="4173">
        <v>0</v>
      </c>
      <c r="K30" s="4173">
        <v>0</v>
      </c>
      <c r="L30" s="4173">
        <v>0</v>
      </c>
      <c r="M30" s="4173">
        <v>0</v>
      </c>
      <c r="N30" s="4173">
        <v>0</v>
      </c>
      <c r="O30" s="4210">
        <f t="shared" si="1"/>
        <v>0</v>
      </c>
    </row>
    <row r="31" spans="1:15" x14ac:dyDescent="0.25">
      <c r="A31" s="1594">
        <f t="shared" si="0"/>
        <v>121519</v>
      </c>
      <c r="B31" s="4174" t="s">
        <v>1980</v>
      </c>
      <c r="C31" s="4174" t="s">
        <v>2761</v>
      </c>
      <c r="D31" s="4174">
        <v>1203</v>
      </c>
      <c r="E31" s="4174" t="s">
        <v>1990</v>
      </c>
      <c r="F31" s="4173">
        <v>120316</v>
      </c>
      <c r="G31" s="4173" t="s">
        <v>1977</v>
      </c>
      <c r="H31" s="4173"/>
      <c r="I31" s="4174">
        <v>0</v>
      </c>
      <c r="J31" s="4173">
        <v>0</v>
      </c>
      <c r="K31" s="4173">
        <v>0</v>
      </c>
      <c r="L31" s="4173">
        <v>0</v>
      </c>
      <c r="M31" s="4173">
        <v>0</v>
      </c>
      <c r="N31" s="4173">
        <v>0</v>
      </c>
      <c r="O31" s="4210">
        <f t="shared" si="1"/>
        <v>0</v>
      </c>
    </row>
    <row r="32" spans="1:15" x14ac:dyDescent="0.25">
      <c r="A32" s="1594">
        <f t="shared" si="0"/>
        <v>121605</v>
      </c>
      <c r="B32" s="4174" t="s">
        <v>1980</v>
      </c>
      <c r="C32" s="4174" t="s">
        <v>2802</v>
      </c>
      <c r="D32" s="4174">
        <v>1204</v>
      </c>
      <c r="E32" s="4174" t="s">
        <v>2006</v>
      </c>
      <c r="F32" s="4173">
        <v>120401</v>
      </c>
      <c r="G32" s="4173" t="s">
        <v>350</v>
      </c>
      <c r="H32" s="4173"/>
      <c r="I32" s="4174">
        <v>17</v>
      </c>
      <c r="J32" s="4173">
        <v>485</v>
      </c>
      <c r="K32" s="4173">
        <v>61.59</v>
      </c>
      <c r="L32" s="4173">
        <v>5613.1</v>
      </c>
      <c r="M32" s="4173">
        <v>0</v>
      </c>
      <c r="N32" s="4173">
        <v>668.07</v>
      </c>
      <c r="O32" s="4210">
        <f t="shared" si="1"/>
        <v>2.6234410141075443E-2</v>
      </c>
    </row>
    <row r="33" spans="1:15" x14ac:dyDescent="0.25">
      <c r="A33" s="1594">
        <f t="shared" si="0"/>
        <v>121606</v>
      </c>
      <c r="B33" s="4174" t="s">
        <v>1980</v>
      </c>
      <c r="C33" s="4174" t="s">
        <v>2802</v>
      </c>
      <c r="D33" s="4174">
        <v>1204</v>
      </c>
      <c r="E33" s="4174" t="s">
        <v>2004</v>
      </c>
      <c r="F33" s="4173">
        <v>120402</v>
      </c>
      <c r="G33" s="4173" t="s">
        <v>350</v>
      </c>
      <c r="H33" s="4173"/>
      <c r="I33" s="4174">
        <v>0</v>
      </c>
      <c r="J33" s="4173">
        <v>0</v>
      </c>
      <c r="K33" s="4173">
        <v>0</v>
      </c>
      <c r="L33" s="4173">
        <v>0</v>
      </c>
      <c r="M33" s="4173">
        <v>0</v>
      </c>
      <c r="N33" s="4173">
        <v>0</v>
      </c>
      <c r="O33" s="4210">
        <f t="shared" si="1"/>
        <v>0</v>
      </c>
    </row>
    <row r="34" spans="1:15" x14ac:dyDescent="0.25">
      <c r="A34" s="1594">
        <f t="shared" si="0"/>
        <v>121706</v>
      </c>
      <c r="B34" s="4174" t="s">
        <v>1980</v>
      </c>
      <c r="C34" s="4174" t="s">
        <v>2797</v>
      </c>
      <c r="D34" s="4174">
        <v>1205</v>
      </c>
      <c r="E34" s="4174" t="s">
        <v>1989</v>
      </c>
      <c r="F34" s="4173">
        <v>120501</v>
      </c>
      <c r="G34" s="4173" t="s">
        <v>1903</v>
      </c>
      <c r="H34" s="4173" t="s">
        <v>1943</v>
      </c>
      <c r="I34" s="4174">
        <v>1</v>
      </c>
      <c r="J34" s="4173">
        <v>5.1100000000000003</v>
      </c>
      <c r="K34" s="4173">
        <v>2.4</v>
      </c>
      <c r="L34" s="4173">
        <v>142.99</v>
      </c>
      <c r="M34" s="4173">
        <v>100.81</v>
      </c>
      <c r="N34" s="4173">
        <v>43.36</v>
      </c>
      <c r="O34" s="4210">
        <f t="shared" si="1"/>
        <v>1.0222858311183804E-3</v>
      </c>
    </row>
    <row r="35" spans="1:15" x14ac:dyDescent="0.25">
      <c r="A35" s="1594">
        <f t="shared" si="0"/>
        <v>121707</v>
      </c>
      <c r="B35" s="4174" t="s">
        <v>1980</v>
      </c>
      <c r="C35" s="4174" t="s">
        <v>2797</v>
      </c>
      <c r="D35" s="4174">
        <v>1205</v>
      </c>
      <c r="E35" s="4174" t="s">
        <v>1988</v>
      </c>
      <c r="F35" s="4173">
        <v>120502</v>
      </c>
      <c r="G35" s="4173" t="s">
        <v>1977</v>
      </c>
      <c r="H35" s="4173"/>
      <c r="I35" s="4174">
        <v>0</v>
      </c>
      <c r="J35" s="4173">
        <v>0</v>
      </c>
      <c r="K35" s="4173">
        <v>0</v>
      </c>
      <c r="L35" s="4173">
        <v>0</v>
      </c>
      <c r="M35" s="4173">
        <v>0</v>
      </c>
      <c r="N35" s="4173">
        <v>0</v>
      </c>
      <c r="O35" s="4210">
        <f t="shared" si="1"/>
        <v>0</v>
      </c>
    </row>
    <row r="36" spans="1:15" x14ac:dyDescent="0.25">
      <c r="A36" s="1594">
        <f t="shared" si="0"/>
        <v>121708</v>
      </c>
      <c r="B36" s="4174" t="s">
        <v>1980</v>
      </c>
      <c r="C36" s="4174" t="s">
        <v>2797</v>
      </c>
      <c r="D36" s="4174">
        <v>1205</v>
      </c>
      <c r="E36" s="4174" t="s">
        <v>1987</v>
      </c>
      <c r="F36" s="4173">
        <v>120503</v>
      </c>
      <c r="G36" s="4173" t="s">
        <v>350</v>
      </c>
      <c r="H36" s="4173"/>
      <c r="I36" s="4174">
        <v>19</v>
      </c>
      <c r="J36" s="4173">
        <v>376.81</v>
      </c>
      <c r="K36" s="4173">
        <v>105.81</v>
      </c>
      <c r="L36" s="4173">
        <v>10080.799999999999</v>
      </c>
      <c r="M36" s="4173">
        <v>0</v>
      </c>
      <c r="N36" s="4173">
        <v>1679.8</v>
      </c>
      <c r="O36" s="4210">
        <f t="shared" si="1"/>
        <v>4.5070026579431606E-2</v>
      </c>
    </row>
    <row r="37" spans="1:15" x14ac:dyDescent="0.25">
      <c r="A37" s="1594">
        <f t="shared" si="0"/>
        <v>121709</v>
      </c>
      <c r="B37" s="4174" t="s">
        <v>1980</v>
      </c>
      <c r="C37" s="4174" t="s">
        <v>2797</v>
      </c>
      <c r="D37" s="4174">
        <v>1205</v>
      </c>
      <c r="E37" s="4174" t="s">
        <v>2004</v>
      </c>
      <c r="F37" s="4173">
        <v>120504</v>
      </c>
      <c r="G37" s="4173" t="s">
        <v>350</v>
      </c>
      <c r="H37" s="4173"/>
      <c r="I37" s="4174">
        <v>1</v>
      </c>
      <c r="J37" s="4173">
        <v>139.69</v>
      </c>
      <c r="K37" s="4173">
        <v>30.8</v>
      </c>
      <c r="L37" s="4173">
        <v>3088.62</v>
      </c>
      <c r="M37" s="4173">
        <v>0</v>
      </c>
      <c r="N37" s="4173">
        <v>512.52</v>
      </c>
      <c r="O37" s="4210">
        <f t="shared" si="1"/>
        <v>1.3119334832685884E-2</v>
      </c>
    </row>
    <row r="38" spans="1:15" x14ac:dyDescent="0.25">
      <c r="A38" s="1594">
        <f t="shared" si="0"/>
        <v>121710</v>
      </c>
      <c r="B38" s="4174" t="s">
        <v>1980</v>
      </c>
      <c r="C38" s="4174" t="s">
        <v>2797</v>
      </c>
      <c r="D38" s="4174">
        <v>1205</v>
      </c>
      <c r="E38" s="4174" t="s">
        <v>1985</v>
      </c>
      <c r="F38" s="4173">
        <v>120505</v>
      </c>
      <c r="G38" s="4173" t="s">
        <v>1977</v>
      </c>
      <c r="H38" s="4173" t="s">
        <v>350</v>
      </c>
      <c r="I38" s="4174">
        <v>0</v>
      </c>
      <c r="J38" s="4173">
        <v>0</v>
      </c>
      <c r="K38" s="4173">
        <v>0</v>
      </c>
      <c r="L38" s="4173">
        <v>0</v>
      </c>
      <c r="M38" s="4173">
        <v>0</v>
      </c>
      <c r="N38" s="4173">
        <v>0</v>
      </c>
      <c r="O38" s="4210">
        <f t="shared" si="1"/>
        <v>0</v>
      </c>
    </row>
    <row r="39" spans="1:15" x14ac:dyDescent="0.25">
      <c r="A39" s="1594">
        <f t="shared" si="0"/>
        <v>121711</v>
      </c>
      <c r="B39" s="4174" t="s">
        <v>1980</v>
      </c>
      <c r="C39" s="4174" t="s">
        <v>2797</v>
      </c>
      <c r="D39" s="4174">
        <v>1205</v>
      </c>
      <c r="E39" s="4174" t="s">
        <v>1984</v>
      </c>
      <c r="F39" s="4173">
        <v>120506</v>
      </c>
      <c r="G39" s="4173" t="s">
        <v>1977</v>
      </c>
      <c r="H39" s="4173" t="s">
        <v>350</v>
      </c>
      <c r="I39" s="4174">
        <v>0</v>
      </c>
      <c r="J39" s="4173">
        <v>0</v>
      </c>
      <c r="K39" s="4173">
        <v>0</v>
      </c>
      <c r="L39" s="4173">
        <v>0</v>
      </c>
      <c r="M39" s="4173">
        <v>0</v>
      </c>
      <c r="N39" s="4173">
        <v>0</v>
      </c>
      <c r="O39" s="4210">
        <f t="shared" si="1"/>
        <v>0</v>
      </c>
    </row>
    <row r="40" spans="1:15" x14ac:dyDescent="0.25">
      <c r="A40" s="1594">
        <f t="shared" si="0"/>
        <v>121712</v>
      </c>
      <c r="B40" s="4174" t="s">
        <v>1980</v>
      </c>
      <c r="C40" s="4174" t="s">
        <v>2797</v>
      </c>
      <c r="D40" s="4174">
        <v>1205</v>
      </c>
      <c r="E40" s="4174" t="s">
        <v>1983</v>
      </c>
      <c r="F40" s="4173">
        <v>120507</v>
      </c>
      <c r="G40" s="4173" t="s">
        <v>1977</v>
      </c>
      <c r="H40" s="4173" t="s">
        <v>350</v>
      </c>
      <c r="I40" s="4174">
        <v>0</v>
      </c>
      <c r="J40" s="4173">
        <v>0</v>
      </c>
      <c r="K40" s="4173">
        <v>0</v>
      </c>
      <c r="L40" s="4173">
        <v>0</v>
      </c>
      <c r="M40" s="4173">
        <v>0</v>
      </c>
      <c r="N40" s="4173">
        <v>0</v>
      </c>
      <c r="O40" s="4210">
        <f t="shared" si="1"/>
        <v>0</v>
      </c>
    </row>
    <row r="41" spans="1:15" x14ac:dyDescent="0.25">
      <c r="A41" s="1594">
        <f t="shared" si="0"/>
        <v>121714</v>
      </c>
      <c r="B41" s="4174" t="s">
        <v>1980</v>
      </c>
      <c r="C41" s="4174" t="s">
        <v>2797</v>
      </c>
      <c r="D41" s="4174">
        <v>1205</v>
      </c>
      <c r="E41" s="4174" t="s">
        <v>1996</v>
      </c>
      <c r="F41" s="4173">
        <v>120509</v>
      </c>
      <c r="G41" s="4173" t="s">
        <v>1977</v>
      </c>
      <c r="H41" s="4173"/>
      <c r="I41" s="4174">
        <v>0</v>
      </c>
      <c r="J41" s="4173">
        <v>0</v>
      </c>
      <c r="K41" s="4173">
        <v>0</v>
      </c>
      <c r="L41" s="4173">
        <v>0</v>
      </c>
      <c r="M41" s="4173">
        <v>0</v>
      </c>
      <c r="N41" s="4173">
        <v>0</v>
      </c>
      <c r="O41" s="4210">
        <f t="shared" si="1"/>
        <v>0</v>
      </c>
    </row>
    <row r="42" spans="1:15" x14ac:dyDescent="0.25">
      <c r="A42" s="1594">
        <f t="shared" si="0"/>
        <v>121715</v>
      </c>
      <c r="B42" s="4174" t="s">
        <v>1980</v>
      </c>
      <c r="C42" s="4174" t="s">
        <v>2797</v>
      </c>
      <c r="D42" s="4174">
        <v>1205</v>
      </c>
      <c r="E42" s="4174" t="s">
        <v>1995</v>
      </c>
      <c r="F42" s="4173">
        <v>120510</v>
      </c>
      <c r="G42" s="4173" t="s">
        <v>1977</v>
      </c>
      <c r="H42" s="4173"/>
      <c r="I42" s="4174">
        <v>0</v>
      </c>
      <c r="J42" s="4173">
        <v>0</v>
      </c>
      <c r="K42" s="4173">
        <v>0</v>
      </c>
      <c r="L42" s="4173">
        <v>0</v>
      </c>
      <c r="M42" s="4173">
        <v>0</v>
      </c>
      <c r="N42" s="4173">
        <v>0</v>
      </c>
      <c r="O42" s="4210">
        <f t="shared" si="1"/>
        <v>0</v>
      </c>
    </row>
    <row r="43" spans="1:15" x14ac:dyDescent="0.25">
      <c r="A43" s="1594">
        <f t="shared" si="0"/>
        <v>121716</v>
      </c>
      <c r="B43" s="4174" t="s">
        <v>1980</v>
      </c>
      <c r="C43" s="4174" t="s">
        <v>2797</v>
      </c>
      <c r="D43" s="4174">
        <v>1205</v>
      </c>
      <c r="E43" s="4174" t="s">
        <v>2003</v>
      </c>
      <c r="F43" s="4173">
        <v>120511</v>
      </c>
      <c r="G43" s="4173" t="s">
        <v>1977</v>
      </c>
      <c r="H43" s="4173"/>
      <c r="I43" s="4174">
        <v>0</v>
      </c>
      <c r="J43" s="4173">
        <v>0</v>
      </c>
      <c r="K43" s="4173">
        <v>0</v>
      </c>
      <c r="L43" s="4173">
        <v>0</v>
      </c>
      <c r="M43" s="4173">
        <v>0</v>
      </c>
      <c r="N43" s="4173">
        <v>0</v>
      </c>
      <c r="O43" s="4210">
        <f t="shared" si="1"/>
        <v>0</v>
      </c>
    </row>
    <row r="44" spans="1:15" x14ac:dyDescent="0.25">
      <c r="A44" s="1594">
        <f t="shared" si="0"/>
        <v>121717</v>
      </c>
      <c r="B44" s="4174" t="s">
        <v>1980</v>
      </c>
      <c r="C44" s="4174" t="s">
        <v>2797</v>
      </c>
      <c r="D44" s="4174">
        <v>1205</v>
      </c>
      <c r="E44" s="4174" t="s">
        <v>2002</v>
      </c>
      <c r="F44" s="4173">
        <v>120512</v>
      </c>
      <c r="G44" s="4173" t="s">
        <v>1977</v>
      </c>
      <c r="H44" s="4173"/>
      <c r="I44" s="4174">
        <v>0</v>
      </c>
      <c r="J44" s="4173">
        <v>0</v>
      </c>
      <c r="K44" s="4173">
        <v>0</v>
      </c>
      <c r="L44" s="4173">
        <v>0</v>
      </c>
      <c r="M44" s="4173">
        <v>0</v>
      </c>
      <c r="N44" s="4173">
        <v>0</v>
      </c>
      <c r="O44" s="4210">
        <f t="shared" si="1"/>
        <v>0</v>
      </c>
    </row>
    <row r="45" spans="1:15" x14ac:dyDescent="0.25">
      <c r="A45" s="1594">
        <f t="shared" si="0"/>
        <v>121724</v>
      </c>
      <c r="B45" s="4174" t="s">
        <v>1980</v>
      </c>
      <c r="C45" s="4174" t="s">
        <v>2797</v>
      </c>
      <c r="D45" s="4174">
        <v>1205</v>
      </c>
      <c r="E45" s="4174" t="s">
        <v>1990</v>
      </c>
      <c r="F45" s="4173">
        <v>120519</v>
      </c>
      <c r="G45" s="4173" t="s">
        <v>1977</v>
      </c>
      <c r="H45" s="4173"/>
      <c r="I45" s="4174">
        <v>0</v>
      </c>
      <c r="J45" s="4173">
        <v>0</v>
      </c>
      <c r="K45" s="4173">
        <v>0</v>
      </c>
      <c r="L45" s="4173">
        <v>0</v>
      </c>
      <c r="M45" s="4173">
        <v>0</v>
      </c>
      <c r="N45" s="4173">
        <v>0</v>
      </c>
      <c r="O45" s="4210">
        <f t="shared" si="1"/>
        <v>0</v>
      </c>
    </row>
    <row r="46" spans="1:15" x14ac:dyDescent="0.25">
      <c r="A46" s="1594">
        <f t="shared" si="0"/>
        <v>121807</v>
      </c>
      <c r="B46" s="4174" t="s">
        <v>1980</v>
      </c>
      <c r="C46" s="4174" t="s">
        <v>2011</v>
      </c>
      <c r="D46" s="4174">
        <v>1206</v>
      </c>
      <c r="E46" s="4174" t="s">
        <v>1989</v>
      </c>
      <c r="F46" s="4173">
        <v>120601</v>
      </c>
      <c r="G46" s="4173" t="s">
        <v>1903</v>
      </c>
      <c r="H46" s="4173" t="s">
        <v>1943</v>
      </c>
      <c r="I46" s="4174">
        <v>0</v>
      </c>
      <c r="J46" s="4173">
        <v>0</v>
      </c>
      <c r="K46" s="4173">
        <v>0</v>
      </c>
      <c r="L46" s="4173">
        <v>0</v>
      </c>
      <c r="M46" s="4173">
        <v>0</v>
      </c>
      <c r="N46" s="4173">
        <v>0</v>
      </c>
      <c r="O46" s="4210">
        <f t="shared" si="1"/>
        <v>0</v>
      </c>
    </row>
    <row r="47" spans="1:15" x14ac:dyDescent="0.25">
      <c r="A47" s="1594">
        <f t="shared" si="0"/>
        <v>121808</v>
      </c>
      <c r="B47" s="4174" t="s">
        <v>1980</v>
      </c>
      <c r="C47" s="4174" t="s">
        <v>2011</v>
      </c>
      <c r="D47" s="4174">
        <v>1206</v>
      </c>
      <c r="E47" s="4174" t="s">
        <v>1988</v>
      </c>
      <c r="F47" s="4173">
        <v>120602</v>
      </c>
      <c r="G47" s="4173" t="s">
        <v>1977</v>
      </c>
      <c r="H47" s="4173"/>
      <c r="I47" s="4174">
        <v>0</v>
      </c>
      <c r="J47" s="4173">
        <v>0</v>
      </c>
      <c r="K47" s="4173">
        <v>0</v>
      </c>
      <c r="L47" s="4173">
        <v>0</v>
      </c>
      <c r="M47" s="4173">
        <v>0</v>
      </c>
      <c r="N47" s="4173">
        <v>0</v>
      </c>
      <c r="O47" s="4210">
        <f t="shared" si="1"/>
        <v>0</v>
      </c>
    </row>
    <row r="48" spans="1:15" x14ac:dyDescent="0.25">
      <c r="A48" s="1594">
        <f t="shared" si="0"/>
        <v>121809</v>
      </c>
      <c r="B48" s="4174" t="s">
        <v>1980</v>
      </c>
      <c r="C48" s="4174" t="s">
        <v>2011</v>
      </c>
      <c r="D48" s="4174">
        <v>1206</v>
      </c>
      <c r="E48" s="4174" t="s">
        <v>1987</v>
      </c>
      <c r="F48" s="4173">
        <v>120603</v>
      </c>
      <c r="G48" s="4173" t="s">
        <v>350</v>
      </c>
      <c r="H48" s="4173"/>
      <c r="I48" s="4174">
        <v>10</v>
      </c>
      <c r="J48" s="4173">
        <v>9.8699999999999992</v>
      </c>
      <c r="K48" s="4173">
        <v>5.49</v>
      </c>
      <c r="L48" s="4173">
        <v>486.03</v>
      </c>
      <c r="M48" s="4173">
        <v>0</v>
      </c>
      <c r="N48" s="4173">
        <v>80.989999999999995</v>
      </c>
      <c r="O48" s="4210">
        <f t="shared" si="1"/>
        <v>2.3384788386832957E-3</v>
      </c>
    </row>
    <row r="49" spans="1:15" x14ac:dyDescent="0.25">
      <c r="A49" s="1594">
        <f t="shared" si="0"/>
        <v>121810</v>
      </c>
      <c r="B49" s="4174" t="s">
        <v>1980</v>
      </c>
      <c r="C49" s="4174" t="s">
        <v>2011</v>
      </c>
      <c r="D49" s="4174">
        <v>1206</v>
      </c>
      <c r="E49" s="4174" t="s">
        <v>2004</v>
      </c>
      <c r="F49" s="4173">
        <v>120604</v>
      </c>
      <c r="G49" s="4173" t="s">
        <v>350</v>
      </c>
      <c r="H49" s="4173"/>
      <c r="I49" s="4174">
        <v>0</v>
      </c>
      <c r="J49" s="4173">
        <v>0</v>
      </c>
      <c r="K49" s="4173">
        <v>0</v>
      </c>
      <c r="L49" s="4173">
        <v>0</v>
      </c>
      <c r="M49" s="4173">
        <v>0</v>
      </c>
      <c r="N49" s="4173">
        <v>0</v>
      </c>
      <c r="O49" s="4210">
        <f t="shared" si="1"/>
        <v>0</v>
      </c>
    </row>
    <row r="50" spans="1:15" x14ac:dyDescent="0.25">
      <c r="A50" s="1594">
        <f t="shared" si="0"/>
        <v>121811</v>
      </c>
      <c r="B50" s="4174" t="s">
        <v>1980</v>
      </c>
      <c r="C50" s="4174" t="s">
        <v>2011</v>
      </c>
      <c r="D50" s="4174">
        <v>1206</v>
      </c>
      <c r="E50" s="4174" t="s">
        <v>1985</v>
      </c>
      <c r="F50" s="4173">
        <v>120605</v>
      </c>
      <c r="G50" s="4173" t="s">
        <v>1977</v>
      </c>
      <c r="H50" s="4173" t="s">
        <v>350</v>
      </c>
      <c r="I50" s="4174">
        <v>0</v>
      </c>
      <c r="J50" s="4173">
        <v>0</v>
      </c>
      <c r="K50" s="4173">
        <v>0</v>
      </c>
      <c r="L50" s="4173">
        <v>0</v>
      </c>
      <c r="M50" s="4173">
        <v>0</v>
      </c>
      <c r="N50" s="4173">
        <v>0</v>
      </c>
      <c r="O50" s="4210">
        <f t="shared" si="1"/>
        <v>0</v>
      </c>
    </row>
    <row r="51" spans="1:15" x14ac:dyDescent="0.25">
      <c r="A51" s="1594">
        <f t="shared" si="0"/>
        <v>121812</v>
      </c>
      <c r="B51" s="4174" t="s">
        <v>1980</v>
      </c>
      <c r="C51" s="4174" t="s">
        <v>2011</v>
      </c>
      <c r="D51" s="4174">
        <v>1206</v>
      </c>
      <c r="E51" s="4174" t="s">
        <v>1984</v>
      </c>
      <c r="F51" s="4173">
        <v>120606</v>
      </c>
      <c r="G51" s="4173" t="s">
        <v>1977</v>
      </c>
      <c r="H51" s="4173" t="s">
        <v>350</v>
      </c>
      <c r="I51" s="4174">
        <v>0</v>
      </c>
      <c r="J51" s="4173">
        <v>0</v>
      </c>
      <c r="K51" s="4173">
        <v>0</v>
      </c>
      <c r="L51" s="4173">
        <v>0</v>
      </c>
      <c r="M51" s="4173">
        <v>0</v>
      </c>
      <c r="N51" s="4173">
        <v>0</v>
      </c>
      <c r="O51" s="4210">
        <f t="shared" si="1"/>
        <v>0</v>
      </c>
    </row>
    <row r="52" spans="1:15" x14ac:dyDescent="0.25">
      <c r="A52" s="1594">
        <f t="shared" si="0"/>
        <v>121813</v>
      </c>
      <c r="B52" s="4174" t="s">
        <v>1980</v>
      </c>
      <c r="C52" s="4174" t="s">
        <v>2011</v>
      </c>
      <c r="D52" s="4174">
        <v>1206</v>
      </c>
      <c r="E52" s="4174" t="s">
        <v>1983</v>
      </c>
      <c r="F52" s="4173">
        <v>120607</v>
      </c>
      <c r="G52" s="4173" t="s">
        <v>1977</v>
      </c>
      <c r="H52" s="4173" t="s">
        <v>350</v>
      </c>
      <c r="I52" s="4174">
        <v>0</v>
      </c>
      <c r="J52" s="4173">
        <v>0</v>
      </c>
      <c r="K52" s="4173">
        <v>0</v>
      </c>
      <c r="L52" s="4173">
        <v>0</v>
      </c>
      <c r="M52" s="4173">
        <v>0</v>
      </c>
      <c r="N52" s="4173">
        <v>0</v>
      </c>
      <c r="O52" s="4210">
        <f t="shared" si="1"/>
        <v>0</v>
      </c>
    </row>
    <row r="53" spans="1:15" x14ac:dyDescent="0.25">
      <c r="A53" s="1594">
        <f t="shared" si="0"/>
        <v>121815</v>
      </c>
      <c r="B53" s="4174" t="s">
        <v>1980</v>
      </c>
      <c r="C53" s="4174" t="s">
        <v>2011</v>
      </c>
      <c r="D53" s="4174">
        <v>1206</v>
      </c>
      <c r="E53" s="4174" t="s">
        <v>1996</v>
      </c>
      <c r="F53" s="4173">
        <v>120609</v>
      </c>
      <c r="G53" s="4173" t="s">
        <v>1977</v>
      </c>
      <c r="H53" s="4173"/>
      <c r="I53" s="4174">
        <v>0</v>
      </c>
      <c r="J53" s="4173">
        <v>0</v>
      </c>
      <c r="K53" s="4173">
        <v>0</v>
      </c>
      <c r="L53" s="4173">
        <v>0</v>
      </c>
      <c r="M53" s="4173">
        <v>0</v>
      </c>
      <c r="N53" s="4173">
        <v>0</v>
      </c>
      <c r="O53" s="4210">
        <f t="shared" si="1"/>
        <v>0</v>
      </c>
    </row>
    <row r="54" spans="1:15" x14ac:dyDescent="0.25">
      <c r="A54" s="1594">
        <f t="shared" si="0"/>
        <v>121816</v>
      </c>
      <c r="B54" s="4174" t="s">
        <v>1980</v>
      </c>
      <c r="C54" s="4174" t="s">
        <v>2011</v>
      </c>
      <c r="D54" s="4174">
        <v>1206</v>
      </c>
      <c r="E54" s="4174" t="s">
        <v>1995</v>
      </c>
      <c r="F54" s="4173">
        <v>120610</v>
      </c>
      <c r="G54" s="4173" t="s">
        <v>1977</v>
      </c>
      <c r="H54" s="4173"/>
      <c r="I54" s="4174">
        <v>0</v>
      </c>
      <c r="J54" s="4173">
        <v>0</v>
      </c>
      <c r="K54" s="4173">
        <v>0</v>
      </c>
      <c r="L54" s="4173">
        <v>0</v>
      </c>
      <c r="M54" s="4173">
        <v>0</v>
      </c>
      <c r="N54" s="4173">
        <v>0</v>
      </c>
      <c r="O54" s="4210">
        <f t="shared" si="1"/>
        <v>0</v>
      </c>
    </row>
    <row r="55" spans="1:15" x14ac:dyDescent="0.25">
      <c r="A55" s="1594">
        <f t="shared" si="0"/>
        <v>121817</v>
      </c>
      <c r="B55" s="4174" t="s">
        <v>1980</v>
      </c>
      <c r="C55" s="4174" t="s">
        <v>2011</v>
      </c>
      <c r="D55" s="4174">
        <v>1206</v>
      </c>
      <c r="E55" s="4174" t="s">
        <v>1982</v>
      </c>
      <c r="F55" s="4173">
        <v>120611</v>
      </c>
      <c r="G55" s="4173" t="s">
        <v>1977</v>
      </c>
      <c r="H55" s="4173"/>
      <c r="I55" s="4174">
        <v>0</v>
      </c>
      <c r="J55" s="4173">
        <v>0</v>
      </c>
      <c r="K55" s="4173">
        <v>0</v>
      </c>
      <c r="L55" s="4173">
        <v>0</v>
      </c>
      <c r="M55" s="4173">
        <v>0</v>
      </c>
      <c r="N55" s="4173">
        <v>0</v>
      </c>
      <c r="O55" s="4210">
        <f t="shared" si="1"/>
        <v>0</v>
      </c>
    </row>
    <row r="56" spans="1:15" x14ac:dyDescent="0.25">
      <c r="A56" s="1594">
        <f t="shared" si="0"/>
        <v>121818</v>
      </c>
      <c r="B56" s="4174" t="s">
        <v>1980</v>
      </c>
      <c r="C56" s="4174" t="s">
        <v>2011</v>
      </c>
      <c r="D56" s="4174">
        <v>1206</v>
      </c>
      <c r="E56" s="4174" t="s">
        <v>1994</v>
      </c>
      <c r="F56" s="4173">
        <v>120612</v>
      </c>
      <c r="G56" s="4173" t="s">
        <v>1977</v>
      </c>
      <c r="H56" s="4173"/>
      <c r="I56" s="4174">
        <v>0</v>
      </c>
      <c r="J56" s="4173">
        <v>0</v>
      </c>
      <c r="K56" s="4173">
        <v>0</v>
      </c>
      <c r="L56" s="4173">
        <v>0</v>
      </c>
      <c r="M56" s="4173">
        <v>0</v>
      </c>
      <c r="N56" s="4173">
        <v>0</v>
      </c>
      <c r="O56" s="4210">
        <f t="shared" si="1"/>
        <v>0</v>
      </c>
    </row>
    <row r="57" spans="1:15" x14ac:dyDescent="0.25">
      <c r="A57" s="1594">
        <f t="shared" si="0"/>
        <v>121825</v>
      </c>
      <c r="B57" s="4174" t="s">
        <v>1980</v>
      </c>
      <c r="C57" s="4174" t="s">
        <v>2011</v>
      </c>
      <c r="D57" s="4174">
        <v>1206</v>
      </c>
      <c r="E57" s="4174" t="s">
        <v>1990</v>
      </c>
      <c r="F57" s="4173">
        <v>120619</v>
      </c>
      <c r="G57" s="4173" t="s">
        <v>1977</v>
      </c>
      <c r="H57" s="4173"/>
      <c r="I57" s="4174">
        <v>0</v>
      </c>
      <c r="J57" s="4173">
        <v>0</v>
      </c>
      <c r="K57" s="4173">
        <v>0</v>
      </c>
      <c r="L57" s="4173">
        <v>0</v>
      </c>
      <c r="M57" s="4173">
        <v>0</v>
      </c>
      <c r="N57" s="4173">
        <v>0</v>
      </c>
      <c r="O57" s="4210">
        <f t="shared" si="1"/>
        <v>0</v>
      </c>
    </row>
    <row r="58" spans="1:15" x14ac:dyDescent="0.25">
      <c r="A58" s="1594">
        <f t="shared" si="0"/>
        <v>124332</v>
      </c>
      <c r="B58" s="4174" t="s">
        <v>1980</v>
      </c>
      <c r="C58" s="4174" t="s">
        <v>2010</v>
      </c>
      <c r="D58" s="4174">
        <v>1231</v>
      </c>
      <c r="E58" s="4174" t="s">
        <v>1989</v>
      </c>
      <c r="F58" s="4173">
        <v>123101</v>
      </c>
      <c r="G58" s="4173" t="s">
        <v>1903</v>
      </c>
      <c r="H58" s="4173" t="s">
        <v>1943</v>
      </c>
      <c r="I58" s="4174">
        <v>0</v>
      </c>
      <c r="J58" s="4173">
        <v>0</v>
      </c>
      <c r="K58" s="4173">
        <v>0</v>
      </c>
      <c r="L58" s="4173">
        <v>0</v>
      </c>
      <c r="M58" s="4173">
        <v>0</v>
      </c>
      <c r="N58" s="4173">
        <v>0</v>
      </c>
      <c r="O58" s="4210">
        <f t="shared" si="1"/>
        <v>0</v>
      </c>
    </row>
    <row r="59" spans="1:15" x14ac:dyDescent="0.25">
      <c r="A59" s="1594">
        <f t="shared" si="0"/>
        <v>124333</v>
      </c>
      <c r="B59" s="4174" t="s">
        <v>1980</v>
      </c>
      <c r="C59" s="4174" t="s">
        <v>2010</v>
      </c>
      <c r="D59" s="4174">
        <v>1231</v>
      </c>
      <c r="E59" s="4174" t="s">
        <v>1988</v>
      </c>
      <c r="F59" s="4173">
        <v>123102</v>
      </c>
      <c r="G59" s="4173" t="s">
        <v>1977</v>
      </c>
      <c r="H59" s="4173"/>
      <c r="I59" s="4174">
        <v>0</v>
      </c>
      <c r="J59" s="4173">
        <v>0</v>
      </c>
      <c r="K59" s="4173">
        <v>0</v>
      </c>
      <c r="L59" s="4173">
        <v>0</v>
      </c>
      <c r="M59" s="4173">
        <v>0</v>
      </c>
      <c r="N59" s="4173">
        <v>0</v>
      </c>
      <c r="O59" s="4210">
        <f t="shared" si="1"/>
        <v>0</v>
      </c>
    </row>
    <row r="60" spans="1:15" x14ac:dyDescent="0.25">
      <c r="A60" s="1594">
        <f t="shared" si="0"/>
        <v>124334</v>
      </c>
      <c r="B60" s="4174" t="s">
        <v>1980</v>
      </c>
      <c r="C60" s="4174" t="s">
        <v>2010</v>
      </c>
      <c r="D60" s="4174">
        <v>1231</v>
      </c>
      <c r="E60" s="4174" t="s">
        <v>1995</v>
      </c>
      <c r="F60" s="4173">
        <v>123103</v>
      </c>
      <c r="G60" s="4173" t="s">
        <v>1977</v>
      </c>
      <c r="H60" s="4173"/>
      <c r="I60" s="4174">
        <v>0</v>
      </c>
      <c r="J60" s="4173">
        <v>0</v>
      </c>
      <c r="K60" s="4173">
        <v>0</v>
      </c>
      <c r="L60" s="4173">
        <v>0</v>
      </c>
      <c r="M60" s="4173">
        <v>0</v>
      </c>
      <c r="N60" s="4173">
        <v>0</v>
      </c>
      <c r="O60" s="4210">
        <f t="shared" si="1"/>
        <v>0</v>
      </c>
    </row>
    <row r="61" spans="1:15" x14ac:dyDescent="0.25">
      <c r="A61" s="1594">
        <f t="shared" si="0"/>
        <v>124335</v>
      </c>
      <c r="B61" s="4174" t="s">
        <v>1980</v>
      </c>
      <c r="C61" s="4174" t="s">
        <v>2010</v>
      </c>
      <c r="D61" s="4174">
        <v>1231</v>
      </c>
      <c r="E61" s="4174" t="s">
        <v>2003</v>
      </c>
      <c r="F61" s="4173">
        <v>123104</v>
      </c>
      <c r="G61" s="4173" t="s">
        <v>1977</v>
      </c>
      <c r="H61" s="4173"/>
      <c r="I61" s="4174">
        <v>0</v>
      </c>
      <c r="J61" s="4173">
        <v>0</v>
      </c>
      <c r="K61" s="4173">
        <v>0</v>
      </c>
      <c r="L61" s="4173">
        <v>0</v>
      </c>
      <c r="M61" s="4173">
        <v>0</v>
      </c>
      <c r="N61" s="4173">
        <v>0</v>
      </c>
      <c r="O61" s="4210">
        <f t="shared" si="1"/>
        <v>0</v>
      </c>
    </row>
    <row r="62" spans="1:15" x14ac:dyDescent="0.25">
      <c r="A62" s="1594">
        <f t="shared" si="0"/>
        <v>124336</v>
      </c>
      <c r="B62" s="4174" t="s">
        <v>1980</v>
      </c>
      <c r="C62" s="4174" t="s">
        <v>2010</v>
      </c>
      <c r="D62" s="4174">
        <v>1231</v>
      </c>
      <c r="E62" s="4174" t="s">
        <v>2002</v>
      </c>
      <c r="F62" s="4173">
        <v>123105</v>
      </c>
      <c r="G62" s="4173" t="s">
        <v>1977</v>
      </c>
      <c r="H62" s="4173"/>
      <c r="I62" s="4174">
        <v>0</v>
      </c>
      <c r="J62" s="4173">
        <v>0</v>
      </c>
      <c r="K62" s="4173">
        <v>0</v>
      </c>
      <c r="L62" s="4173">
        <v>0</v>
      </c>
      <c r="M62" s="4173">
        <v>0</v>
      </c>
      <c r="N62" s="4173">
        <v>0</v>
      </c>
      <c r="O62" s="4210">
        <f t="shared" si="1"/>
        <v>0</v>
      </c>
    </row>
    <row r="63" spans="1:15" x14ac:dyDescent="0.25">
      <c r="A63" s="1594">
        <f t="shared" si="0"/>
        <v>124337</v>
      </c>
      <c r="B63" s="4174" t="s">
        <v>1980</v>
      </c>
      <c r="C63" s="4174" t="s">
        <v>2010</v>
      </c>
      <c r="D63" s="4174">
        <v>1231</v>
      </c>
      <c r="E63" s="4174" t="s">
        <v>2006</v>
      </c>
      <c r="F63" s="4173">
        <v>123106</v>
      </c>
      <c r="G63" s="4173" t="s">
        <v>350</v>
      </c>
      <c r="H63" s="4173"/>
      <c r="I63" s="4174">
        <v>0</v>
      </c>
      <c r="J63" s="4173">
        <v>0</v>
      </c>
      <c r="K63" s="4173">
        <v>0</v>
      </c>
      <c r="L63" s="4173">
        <v>0</v>
      </c>
      <c r="M63" s="4173">
        <v>0</v>
      </c>
      <c r="N63" s="4173">
        <v>0</v>
      </c>
      <c r="O63" s="4210">
        <f t="shared" si="1"/>
        <v>0</v>
      </c>
    </row>
    <row r="64" spans="1:15" x14ac:dyDescent="0.25">
      <c r="A64" s="1594">
        <f t="shared" si="0"/>
        <v>124338</v>
      </c>
      <c r="B64" s="4174" t="s">
        <v>1980</v>
      </c>
      <c r="C64" s="4174" t="s">
        <v>2010</v>
      </c>
      <c r="D64" s="4174">
        <v>1231</v>
      </c>
      <c r="E64" s="4174" t="s">
        <v>1985</v>
      </c>
      <c r="F64" s="4173">
        <v>123107</v>
      </c>
      <c r="G64" s="4173" t="s">
        <v>1977</v>
      </c>
      <c r="H64" s="4173" t="s">
        <v>350</v>
      </c>
      <c r="I64" s="4174">
        <v>0</v>
      </c>
      <c r="J64" s="4173">
        <v>0</v>
      </c>
      <c r="K64" s="4173">
        <v>0</v>
      </c>
      <c r="L64" s="4173">
        <v>0</v>
      </c>
      <c r="M64" s="4173">
        <v>0</v>
      </c>
      <c r="N64" s="4173">
        <v>0</v>
      </c>
      <c r="O64" s="4210">
        <f t="shared" si="1"/>
        <v>0</v>
      </c>
    </row>
    <row r="65" spans="1:15" x14ac:dyDescent="0.25">
      <c r="A65" s="1594">
        <f t="shared" si="0"/>
        <v>124339</v>
      </c>
      <c r="B65" s="4174" t="s">
        <v>1980</v>
      </c>
      <c r="C65" s="4174" t="s">
        <v>2010</v>
      </c>
      <c r="D65" s="4174">
        <v>1231</v>
      </c>
      <c r="E65" s="4174" t="s">
        <v>1984</v>
      </c>
      <c r="F65" s="4173">
        <v>123108</v>
      </c>
      <c r="G65" s="4173" t="s">
        <v>1977</v>
      </c>
      <c r="H65" s="4173" t="s">
        <v>350</v>
      </c>
      <c r="I65" s="4174">
        <v>0</v>
      </c>
      <c r="J65" s="4173">
        <v>0</v>
      </c>
      <c r="K65" s="4173">
        <v>0</v>
      </c>
      <c r="L65" s="4173">
        <v>0</v>
      </c>
      <c r="M65" s="4173">
        <v>0</v>
      </c>
      <c r="N65" s="4173">
        <v>0</v>
      </c>
      <c r="O65" s="4210">
        <f t="shared" si="1"/>
        <v>0</v>
      </c>
    </row>
    <row r="66" spans="1:15" x14ac:dyDescent="0.25">
      <c r="A66" s="1594">
        <f t="shared" si="0"/>
        <v>124340</v>
      </c>
      <c r="B66" s="4174" t="s">
        <v>1980</v>
      </c>
      <c r="C66" s="4174" t="s">
        <v>2010</v>
      </c>
      <c r="D66" s="4174">
        <v>1231</v>
      </c>
      <c r="E66" s="4174" t="s">
        <v>1983</v>
      </c>
      <c r="F66" s="4173">
        <v>123109</v>
      </c>
      <c r="G66" s="4173" t="s">
        <v>1977</v>
      </c>
      <c r="H66" s="4173" t="s">
        <v>350</v>
      </c>
      <c r="I66" s="4174">
        <v>0</v>
      </c>
      <c r="J66" s="4173">
        <v>0</v>
      </c>
      <c r="K66" s="4173">
        <v>0</v>
      </c>
      <c r="L66" s="4173">
        <v>0</v>
      </c>
      <c r="M66" s="4173">
        <v>0</v>
      </c>
      <c r="N66" s="4173">
        <v>0</v>
      </c>
      <c r="O66" s="4210">
        <f t="shared" si="1"/>
        <v>0</v>
      </c>
    </row>
    <row r="67" spans="1:15" x14ac:dyDescent="0.25">
      <c r="A67" s="1594">
        <f t="shared" si="0"/>
        <v>124345</v>
      </c>
      <c r="B67" s="4174" t="s">
        <v>1980</v>
      </c>
      <c r="C67" s="4174" t="s">
        <v>2010</v>
      </c>
      <c r="D67" s="4174">
        <v>1231</v>
      </c>
      <c r="E67" s="4174" t="s">
        <v>1990</v>
      </c>
      <c r="F67" s="4173">
        <v>123114</v>
      </c>
      <c r="G67" s="4173" t="s">
        <v>1977</v>
      </c>
      <c r="H67" s="4173"/>
      <c r="I67" s="4174">
        <v>0</v>
      </c>
      <c r="J67" s="4173">
        <v>0</v>
      </c>
      <c r="K67" s="4173">
        <v>0</v>
      </c>
      <c r="L67" s="4173">
        <v>0</v>
      </c>
      <c r="M67" s="4173">
        <v>0</v>
      </c>
      <c r="N67" s="4173">
        <v>0</v>
      </c>
      <c r="O67" s="4210">
        <f t="shared" si="1"/>
        <v>0</v>
      </c>
    </row>
    <row r="68" spans="1:15" x14ac:dyDescent="0.25">
      <c r="A68" s="1594">
        <f t="shared" ref="A68:A131" si="3">F68+D68</f>
        <v>124433</v>
      </c>
      <c r="B68" s="4174" t="s">
        <v>1980</v>
      </c>
      <c r="C68" s="4174" t="s">
        <v>2798</v>
      </c>
      <c r="D68" s="4174">
        <v>1232</v>
      </c>
      <c r="E68" s="4174" t="s">
        <v>2006</v>
      </c>
      <c r="F68" s="4173">
        <v>123201</v>
      </c>
      <c r="G68" s="4173" t="s">
        <v>350</v>
      </c>
      <c r="H68" s="4173"/>
      <c r="I68" s="4174">
        <v>2</v>
      </c>
      <c r="J68" s="4173">
        <v>5.97</v>
      </c>
      <c r="K68" s="4173">
        <v>1.2</v>
      </c>
      <c r="L68" s="4173">
        <v>127.49</v>
      </c>
      <c r="M68" s="4173">
        <v>0</v>
      </c>
      <c r="N68" s="4173">
        <v>15.86</v>
      </c>
      <c r="O68" s="4210">
        <f t="shared" ref="O68:O131" si="4">K68/K$211</f>
        <v>5.1114291555919022E-4</v>
      </c>
    </row>
    <row r="69" spans="1:15" x14ac:dyDescent="0.25">
      <c r="A69" s="1594">
        <f t="shared" si="3"/>
        <v>124434</v>
      </c>
      <c r="B69" s="4174" t="s">
        <v>1980</v>
      </c>
      <c r="C69" s="4174" t="s">
        <v>2798</v>
      </c>
      <c r="D69" s="4174">
        <v>1232</v>
      </c>
      <c r="E69" s="4174" t="s">
        <v>2004</v>
      </c>
      <c r="F69" s="4173">
        <v>123202</v>
      </c>
      <c r="G69" s="4173" t="s">
        <v>350</v>
      </c>
      <c r="H69" s="4173"/>
      <c r="I69" s="4174">
        <v>0</v>
      </c>
      <c r="J69" s="4173">
        <v>0</v>
      </c>
      <c r="K69" s="4173">
        <v>0</v>
      </c>
      <c r="L69" s="4173">
        <v>0</v>
      </c>
      <c r="M69" s="4173">
        <v>0</v>
      </c>
      <c r="N69" s="4173">
        <v>0</v>
      </c>
      <c r="O69" s="4210">
        <f t="shared" si="4"/>
        <v>0</v>
      </c>
    </row>
    <row r="70" spans="1:15" x14ac:dyDescent="0.25">
      <c r="A70" s="1594">
        <f t="shared" si="3"/>
        <v>124534</v>
      </c>
      <c r="B70" s="4174" t="s">
        <v>1980</v>
      </c>
      <c r="C70" s="4174" t="s">
        <v>2791</v>
      </c>
      <c r="D70" s="4174">
        <v>1233</v>
      </c>
      <c r="E70" s="4174" t="s">
        <v>1989</v>
      </c>
      <c r="F70" s="4173">
        <v>123301</v>
      </c>
      <c r="G70" s="4173" t="s">
        <v>1903</v>
      </c>
      <c r="H70" s="4173" t="s">
        <v>1943</v>
      </c>
      <c r="I70" s="4174">
        <v>0</v>
      </c>
      <c r="J70" s="4173">
        <v>0</v>
      </c>
      <c r="K70" s="4173">
        <v>0</v>
      </c>
      <c r="L70" s="4173">
        <v>0</v>
      </c>
      <c r="M70" s="4173">
        <v>0</v>
      </c>
      <c r="N70" s="4173">
        <v>0</v>
      </c>
      <c r="O70" s="4210">
        <f t="shared" si="4"/>
        <v>0</v>
      </c>
    </row>
    <row r="71" spans="1:15" x14ac:dyDescent="0.25">
      <c r="A71" s="1594">
        <f t="shared" si="3"/>
        <v>124535</v>
      </c>
      <c r="B71" s="4174" t="s">
        <v>1980</v>
      </c>
      <c r="C71" s="4174" t="s">
        <v>2791</v>
      </c>
      <c r="D71" s="4174">
        <v>1233</v>
      </c>
      <c r="E71" s="4174" t="s">
        <v>1988</v>
      </c>
      <c r="F71" s="4173">
        <v>123302</v>
      </c>
      <c r="G71" s="4173" t="s">
        <v>1977</v>
      </c>
      <c r="H71" s="4173"/>
      <c r="I71" s="4174">
        <v>0</v>
      </c>
      <c r="J71" s="4173">
        <v>0</v>
      </c>
      <c r="K71" s="4173">
        <v>0</v>
      </c>
      <c r="L71" s="4173">
        <v>0</v>
      </c>
      <c r="M71" s="4173">
        <v>0</v>
      </c>
      <c r="N71" s="4173">
        <v>0</v>
      </c>
      <c r="O71" s="4210">
        <f t="shared" si="4"/>
        <v>0</v>
      </c>
    </row>
    <row r="72" spans="1:15" x14ac:dyDescent="0.25">
      <c r="A72" s="1594">
        <f t="shared" si="3"/>
        <v>124536</v>
      </c>
      <c r="B72" s="4174" t="s">
        <v>1980</v>
      </c>
      <c r="C72" s="4174" t="s">
        <v>2791</v>
      </c>
      <c r="D72" s="4174">
        <v>1233</v>
      </c>
      <c r="E72" s="4174" t="s">
        <v>1995</v>
      </c>
      <c r="F72" s="4173">
        <v>123303</v>
      </c>
      <c r="G72" s="4173" t="s">
        <v>1977</v>
      </c>
      <c r="H72" s="4173"/>
      <c r="I72" s="4174">
        <v>0</v>
      </c>
      <c r="J72" s="4173">
        <v>0</v>
      </c>
      <c r="K72" s="4173">
        <v>0</v>
      </c>
      <c r="L72" s="4173">
        <v>0</v>
      </c>
      <c r="M72" s="4173">
        <v>0</v>
      </c>
      <c r="N72" s="4173">
        <v>0</v>
      </c>
      <c r="O72" s="4210">
        <f t="shared" si="4"/>
        <v>0</v>
      </c>
    </row>
    <row r="73" spans="1:15" x14ac:dyDescent="0.25">
      <c r="A73" s="1594">
        <f t="shared" si="3"/>
        <v>124537</v>
      </c>
      <c r="B73" s="4174" t="s">
        <v>1980</v>
      </c>
      <c r="C73" s="4174" t="s">
        <v>2791</v>
      </c>
      <c r="D73" s="4174">
        <v>1233</v>
      </c>
      <c r="E73" s="4174" t="s">
        <v>1982</v>
      </c>
      <c r="F73" s="4173">
        <v>123304</v>
      </c>
      <c r="G73" s="4173" t="s">
        <v>1977</v>
      </c>
      <c r="H73" s="4173"/>
      <c r="I73" s="4174">
        <v>0</v>
      </c>
      <c r="J73" s="4173">
        <v>0</v>
      </c>
      <c r="K73" s="4173">
        <v>0</v>
      </c>
      <c r="L73" s="4173">
        <v>0</v>
      </c>
      <c r="M73" s="4173">
        <v>0</v>
      </c>
      <c r="N73" s="4173">
        <v>0</v>
      </c>
      <c r="O73" s="4210">
        <f t="shared" si="4"/>
        <v>0</v>
      </c>
    </row>
    <row r="74" spans="1:15" x14ac:dyDescent="0.25">
      <c r="A74" s="1594">
        <f t="shared" si="3"/>
        <v>124538</v>
      </c>
      <c r="B74" s="4174" t="s">
        <v>1980</v>
      </c>
      <c r="C74" s="4174" t="s">
        <v>2791</v>
      </c>
      <c r="D74" s="4174">
        <v>1233</v>
      </c>
      <c r="E74" s="4174" t="s">
        <v>1994</v>
      </c>
      <c r="F74" s="4173">
        <v>123305</v>
      </c>
      <c r="G74" s="4173" t="s">
        <v>1977</v>
      </c>
      <c r="H74" s="4173"/>
      <c r="I74" s="4174">
        <v>0</v>
      </c>
      <c r="J74" s="4173">
        <v>0</v>
      </c>
      <c r="K74" s="4173">
        <v>0</v>
      </c>
      <c r="L74" s="4173">
        <v>0</v>
      </c>
      <c r="M74" s="4173">
        <v>0</v>
      </c>
      <c r="N74" s="4173">
        <v>0</v>
      </c>
      <c r="O74" s="4210">
        <f t="shared" si="4"/>
        <v>0</v>
      </c>
    </row>
    <row r="75" spans="1:15" x14ac:dyDescent="0.25">
      <c r="A75" s="1594">
        <f t="shared" si="3"/>
        <v>124539</v>
      </c>
      <c r="B75" s="4174" t="s">
        <v>1980</v>
      </c>
      <c r="C75" s="4174" t="s">
        <v>2791</v>
      </c>
      <c r="D75" s="4174">
        <v>1233</v>
      </c>
      <c r="E75" s="4174" t="s">
        <v>1987</v>
      </c>
      <c r="F75" s="4173">
        <v>123306</v>
      </c>
      <c r="G75" s="4173" t="s">
        <v>350</v>
      </c>
      <c r="H75" s="4173"/>
      <c r="I75" s="4174">
        <v>9</v>
      </c>
      <c r="J75" s="4173">
        <v>72.56</v>
      </c>
      <c r="K75" s="4173">
        <v>25.91</v>
      </c>
      <c r="L75" s="4173">
        <v>4421.8599999999997</v>
      </c>
      <c r="M75" s="4173">
        <v>0</v>
      </c>
      <c r="N75" s="4173">
        <v>628.4</v>
      </c>
      <c r="O75" s="4210">
        <f t="shared" si="4"/>
        <v>1.1036427451782184E-2</v>
      </c>
    </row>
    <row r="76" spans="1:15" x14ac:dyDescent="0.25">
      <c r="A76" s="1594">
        <f t="shared" si="3"/>
        <v>124540</v>
      </c>
      <c r="B76" s="4174" t="s">
        <v>1980</v>
      </c>
      <c r="C76" s="4174" t="s">
        <v>2791</v>
      </c>
      <c r="D76" s="4174">
        <v>1233</v>
      </c>
      <c r="E76" s="4174" t="s">
        <v>2008</v>
      </c>
      <c r="F76" s="4173">
        <v>123307</v>
      </c>
      <c r="G76" s="4173" t="s">
        <v>350</v>
      </c>
      <c r="H76" s="4173"/>
      <c r="I76" s="4174">
        <v>0</v>
      </c>
      <c r="J76" s="4173">
        <v>0</v>
      </c>
      <c r="K76" s="4173">
        <v>0</v>
      </c>
      <c r="L76" s="4173">
        <v>0</v>
      </c>
      <c r="M76" s="4173">
        <v>0</v>
      </c>
      <c r="N76" s="4173">
        <v>0</v>
      </c>
      <c r="O76" s="4210">
        <f t="shared" si="4"/>
        <v>0</v>
      </c>
    </row>
    <row r="77" spans="1:15" x14ac:dyDescent="0.25">
      <c r="A77" s="1594">
        <f t="shared" si="3"/>
        <v>124541</v>
      </c>
      <c r="B77" s="4174" t="s">
        <v>1980</v>
      </c>
      <c r="C77" s="4174" t="s">
        <v>2791</v>
      </c>
      <c r="D77" s="4174">
        <v>1233</v>
      </c>
      <c r="E77" s="4174" t="s">
        <v>1985</v>
      </c>
      <c r="F77" s="4173">
        <v>123308</v>
      </c>
      <c r="G77" s="4173" t="s">
        <v>1977</v>
      </c>
      <c r="H77" s="4173" t="s">
        <v>350</v>
      </c>
      <c r="I77" s="4174">
        <v>0</v>
      </c>
      <c r="J77" s="4173">
        <v>0</v>
      </c>
      <c r="K77" s="4173">
        <v>0</v>
      </c>
      <c r="L77" s="4173">
        <v>0</v>
      </c>
      <c r="M77" s="4173">
        <v>0</v>
      </c>
      <c r="N77" s="4173">
        <v>0</v>
      </c>
      <c r="O77" s="4210">
        <f t="shared" si="4"/>
        <v>0</v>
      </c>
    </row>
    <row r="78" spans="1:15" x14ac:dyDescent="0.25">
      <c r="A78" s="1594">
        <f t="shared" si="3"/>
        <v>124542</v>
      </c>
      <c r="B78" s="4174" t="s">
        <v>1980</v>
      </c>
      <c r="C78" s="4174" t="s">
        <v>2791</v>
      </c>
      <c r="D78" s="4174">
        <v>1233</v>
      </c>
      <c r="E78" s="4174" t="s">
        <v>1984</v>
      </c>
      <c r="F78" s="4173">
        <v>123309</v>
      </c>
      <c r="G78" s="4173" t="s">
        <v>1977</v>
      </c>
      <c r="H78" s="4173" t="s">
        <v>350</v>
      </c>
      <c r="I78" s="4174">
        <v>0</v>
      </c>
      <c r="J78" s="4173">
        <v>0</v>
      </c>
      <c r="K78" s="4173">
        <v>0</v>
      </c>
      <c r="L78" s="4173">
        <v>0</v>
      </c>
      <c r="M78" s="4173">
        <v>0</v>
      </c>
      <c r="N78" s="4173">
        <v>0</v>
      </c>
      <c r="O78" s="4210">
        <f t="shared" si="4"/>
        <v>0</v>
      </c>
    </row>
    <row r="79" spans="1:15" x14ac:dyDescent="0.25">
      <c r="A79" s="1594">
        <f t="shared" si="3"/>
        <v>124543</v>
      </c>
      <c r="B79" s="4174" t="s">
        <v>1980</v>
      </c>
      <c r="C79" s="4174" t="s">
        <v>2791</v>
      </c>
      <c r="D79" s="4174">
        <v>1233</v>
      </c>
      <c r="E79" s="4174" t="s">
        <v>1983</v>
      </c>
      <c r="F79" s="4173">
        <v>123310</v>
      </c>
      <c r="G79" s="4173" t="s">
        <v>1977</v>
      </c>
      <c r="H79" s="4173" t="s">
        <v>350</v>
      </c>
      <c r="I79" s="4174">
        <v>0</v>
      </c>
      <c r="J79" s="4173">
        <v>0</v>
      </c>
      <c r="K79" s="4173">
        <v>0</v>
      </c>
      <c r="L79" s="4173">
        <v>0</v>
      </c>
      <c r="M79" s="4173">
        <v>0</v>
      </c>
      <c r="N79" s="4173">
        <v>0</v>
      </c>
      <c r="O79" s="4210">
        <f t="shared" si="4"/>
        <v>0</v>
      </c>
    </row>
    <row r="80" spans="1:15" x14ac:dyDescent="0.25">
      <c r="A80" s="1594">
        <f t="shared" si="3"/>
        <v>124545</v>
      </c>
      <c r="B80" s="4174" t="s">
        <v>1980</v>
      </c>
      <c r="C80" s="4174" t="s">
        <v>2791</v>
      </c>
      <c r="D80" s="4174">
        <v>1233</v>
      </c>
      <c r="E80" s="4174" t="s">
        <v>1996</v>
      </c>
      <c r="F80" s="4173">
        <v>123312</v>
      </c>
      <c r="G80" s="4173" t="s">
        <v>1977</v>
      </c>
      <c r="H80" s="4173"/>
      <c r="I80" s="4174">
        <v>0</v>
      </c>
      <c r="J80" s="4173">
        <v>0</v>
      </c>
      <c r="K80" s="4173">
        <v>0</v>
      </c>
      <c r="L80" s="4173">
        <v>0</v>
      </c>
      <c r="M80" s="4173">
        <v>0</v>
      </c>
      <c r="N80" s="4173">
        <v>0</v>
      </c>
      <c r="O80" s="4210">
        <f t="shared" si="4"/>
        <v>0</v>
      </c>
    </row>
    <row r="81" spans="1:15" x14ac:dyDescent="0.25">
      <c r="A81" s="1594">
        <f t="shared" si="3"/>
        <v>124549</v>
      </c>
      <c r="B81" s="4174" t="s">
        <v>1980</v>
      </c>
      <c r="C81" s="4174" t="s">
        <v>2791</v>
      </c>
      <c r="D81" s="4174">
        <v>1233</v>
      </c>
      <c r="E81" s="4174" t="s">
        <v>1990</v>
      </c>
      <c r="F81" s="4173">
        <v>123316</v>
      </c>
      <c r="G81" s="4173" t="s">
        <v>1977</v>
      </c>
      <c r="H81" s="4173"/>
      <c r="I81" s="4174">
        <v>0</v>
      </c>
      <c r="J81" s="4173">
        <v>0</v>
      </c>
      <c r="K81" s="4173">
        <v>0</v>
      </c>
      <c r="L81" s="4173">
        <v>0</v>
      </c>
      <c r="M81" s="4173">
        <v>0</v>
      </c>
      <c r="N81" s="4173">
        <v>0</v>
      </c>
      <c r="O81" s="4210">
        <f t="shared" si="4"/>
        <v>0</v>
      </c>
    </row>
    <row r="82" spans="1:15" x14ac:dyDescent="0.25">
      <c r="A82" s="1594">
        <f t="shared" si="3"/>
        <v>124635</v>
      </c>
      <c r="B82" s="4174" t="s">
        <v>1980</v>
      </c>
      <c r="C82" s="4174" t="s">
        <v>2795</v>
      </c>
      <c r="D82" s="4174">
        <v>1234</v>
      </c>
      <c r="E82" s="4174" t="s">
        <v>2006</v>
      </c>
      <c r="F82" s="4173">
        <v>123401</v>
      </c>
      <c r="G82" s="4173" t="s">
        <v>350</v>
      </c>
      <c r="H82" s="4173"/>
      <c r="I82" s="4174">
        <v>1</v>
      </c>
      <c r="J82" s="4173">
        <v>8.31</v>
      </c>
      <c r="K82" s="4173">
        <v>0.72</v>
      </c>
      <c r="L82" s="4173">
        <v>65.39</v>
      </c>
      <c r="M82" s="4173">
        <v>0</v>
      </c>
      <c r="N82" s="4173">
        <v>7.82</v>
      </c>
      <c r="O82" s="4210">
        <f t="shared" si="4"/>
        <v>3.0668574933551417E-4</v>
      </c>
    </row>
    <row r="83" spans="1:15" x14ac:dyDescent="0.25">
      <c r="A83" s="1594">
        <f t="shared" si="3"/>
        <v>124636</v>
      </c>
      <c r="B83" s="4174" t="s">
        <v>1980</v>
      </c>
      <c r="C83" s="4174" t="s">
        <v>2795</v>
      </c>
      <c r="D83" s="4174">
        <v>1234</v>
      </c>
      <c r="E83" s="4174" t="s">
        <v>2004</v>
      </c>
      <c r="F83" s="4173">
        <v>123402</v>
      </c>
      <c r="G83" s="4173" t="s">
        <v>350</v>
      </c>
      <c r="H83" s="4173"/>
      <c r="I83" s="4174">
        <v>0</v>
      </c>
      <c r="J83" s="4173">
        <v>0</v>
      </c>
      <c r="K83" s="4173">
        <v>0</v>
      </c>
      <c r="L83" s="4173">
        <v>0</v>
      </c>
      <c r="M83" s="4173">
        <v>0</v>
      </c>
      <c r="N83" s="4173">
        <v>0</v>
      </c>
      <c r="O83" s="4210">
        <f t="shared" si="4"/>
        <v>0</v>
      </c>
    </row>
    <row r="84" spans="1:15" x14ac:dyDescent="0.25">
      <c r="A84" s="1594">
        <f t="shared" si="3"/>
        <v>124736</v>
      </c>
      <c r="B84" s="4174" t="s">
        <v>1980</v>
      </c>
      <c r="C84" s="4174" t="s">
        <v>2799</v>
      </c>
      <c r="D84" s="4174">
        <v>1235</v>
      </c>
      <c r="E84" s="4174" t="s">
        <v>1989</v>
      </c>
      <c r="F84" s="4173">
        <v>123501</v>
      </c>
      <c r="G84" s="4173" t="s">
        <v>1903</v>
      </c>
      <c r="H84" s="4173" t="s">
        <v>1943</v>
      </c>
      <c r="I84" s="4174">
        <v>0</v>
      </c>
      <c r="J84" s="4173">
        <v>0</v>
      </c>
      <c r="K84" s="4173">
        <v>0</v>
      </c>
      <c r="L84" s="4173">
        <v>0</v>
      </c>
      <c r="M84" s="4173">
        <v>0</v>
      </c>
      <c r="N84" s="4173">
        <v>0</v>
      </c>
      <c r="O84" s="4210">
        <f t="shared" si="4"/>
        <v>0</v>
      </c>
    </row>
    <row r="85" spans="1:15" x14ac:dyDescent="0.25">
      <c r="A85" s="1594">
        <f t="shared" si="3"/>
        <v>124737</v>
      </c>
      <c r="B85" s="4174" t="s">
        <v>1980</v>
      </c>
      <c r="C85" s="4174" t="s">
        <v>2799</v>
      </c>
      <c r="D85" s="4174">
        <v>1235</v>
      </c>
      <c r="E85" s="4174" t="s">
        <v>1988</v>
      </c>
      <c r="F85" s="4173">
        <v>123502</v>
      </c>
      <c r="G85" s="4173" t="s">
        <v>1977</v>
      </c>
      <c r="H85" s="4173"/>
      <c r="I85" s="4174">
        <v>0</v>
      </c>
      <c r="J85" s="4173">
        <v>0</v>
      </c>
      <c r="K85" s="4173">
        <v>0</v>
      </c>
      <c r="L85" s="4173">
        <v>0</v>
      </c>
      <c r="M85" s="4173">
        <v>0</v>
      </c>
      <c r="N85" s="4173">
        <v>0</v>
      </c>
      <c r="O85" s="4210">
        <f t="shared" si="4"/>
        <v>0</v>
      </c>
    </row>
    <row r="86" spans="1:15" x14ac:dyDescent="0.25">
      <c r="A86" s="1594">
        <f t="shared" si="3"/>
        <v>124738</v>
      </c>
      <c r="B86" s="4174" t="s">
        <v>1980</v>
      </c>
      <c r="C86" s="4174" t="s">
        <v>2799</v>
      </c>
      <c r="D86" s="4174">
        <v>1235</v>
      </c>
      <c r="E86" s="4174" t="s">
        <v>1987</v>
      </c>
      <c r="F86" s="4173">
        <v>123503</v>
      </c>
      <c r="G86" s="4173" t="s">
        <v>350</v>
      </c>
      <c r="H86" s="4173"/>
      <c r="I86" s="4174">
        <v>10</v>
      </c>
      <c r="J86" s="4173">
        <v>31.85</v>
      </c>
      <c r="K86" s="4173">
        <v>6.24</v>
      </c>
      <c r="L86" s="4173">
        <v>275.70999999999998</v>
      </c>
      <c r="M86" s="4173">
        <v>0</v>
      </c>
      <c r="N86" s="4173">
        <v>45.94</v>
      </c>
      <c r="O86" s="4210">
        <f t="shared" si="4"/>
        <v>2.6579431609077895E-3</v>
      </c>
    </row>
    <row r="87" spans="1:15" x14ac:dyDescent="0.25">
      <c r="A87" s="1594">
        <f t="shared" si="3"/>
        <v>124739</v>
      </c>
      <c r="B87" s="4174" t="s">
        <v>1980</v>
      </c>
      <c r="C87" s="4174" t="s">
        <v>2799</v>
      </c>
      <c r="D87" s="4174">
        <v>1235</v>
      </c>
      <c r="E87" s="4174" t="s">
        <v>2000</v>
      </c>
      <c r="F87" s="4173">
        <v>123504</v>
      </c>
      <c r="G87" s="4173" t="s">
        <v>350</v>
      </c>
      <c r="H87" s="4173"/>
      <c r="I87" s="4174">
        <v>0</v>
      </c>
      <c r="J87" s="4173">
        <v>0</v>
      </c>
      <c r="K87" s="4173">
        <v>0</v>
      </c>
      <c r="L87" s="4173">
        <v>0</v>
      </c>
      <c r="M87" s="4173">
        <v>0</v>
      </c>
      <c r="N87" s="4173">
        <v>0</v>
      </c>
      <c r="O87" s="4210">
        <f t="shared" si="4"/>
        <v>0</v>
      </c>
    </row>
    <row r="88" spans="1:15" x14ac:dyDescent="0.25">
      <c r="A88" s="1594">
        <f t="shared" si="3"/>
        <v>124740</v>
      </c>
      <c r="B88" s="4174" t="s">
        <v>1980</v>
      </c>
      <c r="C88" s="4174" t="s">
        <v>2799</v>
      </c>
      <c r="D88" s="4174">
        <v>1235</v>
      </c>
      <c r="E88" s="4174" t="s">
        <v>1999</v>
      </c>
      <c r="F88" s="4173">
        <v>123505</v>
      </c>
      <c r="G88" s="4173" t="s">
        <v>1977</v>
      </c>
      <c r="H88" s="4173" t="s">
        <v>350</v>
      </c>
      <c r="I88" s="4174">
        <v>0</v>
      </c>
      <c r="J88" s="4173">
        <v>0</v>
      </c>
      <c r="K88" s="4173">
        <v>0</v>
      </c>
      <c r="L88" s="4173">
        <v>0</v>
      </c>
      <c r="M88" s="4173">
        <v>0</v>
      </c>
      <c r="N88" s="4173">
        <v>0</v>
      </c>
      <c r="O88" s="4210">
        <f t="shared" si="4"/>
        <v>0</v>
      </c>
    </row>
    <row r="89" spans="1:15" x14ac:dyDescent="0.25">
      <c r="A89" s="1594">
        <f t="shared" si="3"/>
        <v>124741</v>
      </c>
      <c r="B89" s="4174" t="s">
        <v>1980</v>
      </c>
      <c r="C89" s="4174" t="s">
        <v>2799</v>
      </c>
      <c r="D89" s="4174">
        <v>1235</v>
      </c>
      <c r="E89" s="4174" t="s">
        <v>1998</v>
      </c>
      <c r="F89" s="4173">
        <v>123506</v>
      </c>
      <c r="G89" s="4173" t="s">
        <v>1977</v>
      </c>
      <c r="H89" s="4173" t="s">
        <v>350</v>
      </c>
      <c r="I89" s="4174">
        <v>0</v>
      </c>
      <c r="J89" s="4173">
        <v>0</v>
      </c>
      <c r="K89" s="4173">
        <v>0</v>
      </c>
      <c r="L89" s="4173">
        <v>0</v>
      </c>
      <c r="M89" s="4173">
        <v>0</v>
      </c>
      <c r="N89" s="4173">
        <v>0</v>
      </c>
      <c r="O89" s="4210">
        <f t="shared" si="4"/>
        <v>0</v>
      </c>
    </row>
    <row r="90" spans="1:15" x14ac:dyDescent="0.25">
      <c r="A90" s="1594">
        <f t="shared" si="3"/>
        <v>124742</v>
      </c>
      <c r="B90" s="4174" t="s">
        <v>1980</v>
      </c>
      <c r="C90" s="4174" t="s">
        <v>2799</v>
      </c>
      <c r="D90" s="4174">
        <v>1235</v>
      </c>
      <c r="E90" s="4174" t="s">
        <v>1997</v>
      </c>
      <c r="F90" s="4173">
        <v>123507</v>
      </c>
      <c r="G90" s="4173" t="s">
        <v>1977</v>
      </c>
      <c r="H90" s="4173" t="s">
        <v>350</v>
      </c>
      <c r="I90" s="4174">
        <v>0</v>
      </c>
      <c r="J90" s="4173">
        <v>0</v>
      </c>
      <c r="K90" s="4173">
        <v>0</v>
      </c>
      <c r="L90" s="4173">
        <v>0</v>
      </c>
      <c r="M90" s="4173">
        <v>0</v>
      </c>
      <c r="N90" s="4173">
        <v>0</v>
      </c>
      <c r="O90" s="4210">
        <f t="shared" si="4"/>
        <v>0</v>
      </c>
    </row>
    <row r="91" spans="1:15" x14ac:dyDescent="0.25">
      <c r="A91" s="1594">
        <f t="shared" si="3"/>
        <v>124744</v>
      </c>
      <c r="B91" s="4174" t="s">
        <v>1980</v>
      </c>
      <c r="C91" s="4174" t="s">
        <v>2799</v>
      </c>
      <c r="D91" s="4174">
        <v>1235</v>
      </c>
      <c r="E91" s="4174" t="s">
        <v>1996</v>
      </c>
      <c r="F91" s="4173">
        <v>123509</v>
      </c>
      <c r="G91" s="4173" t="s">
        <v>1977</v>
      </c>
      <c r="H91" s="4173"/>
      <c r="I91" s="4174">
        <v>0</v>
      </c>
      <c r="J91" s="4173">
        <v>0</v>
      </c>
      <c r="K91" s="4173">
        <v>0</v>
      </c>
      <c r="L91" s="4173">
        <v>0</v>
      </c>
      <c r="M91" s="4173">
        <v>0</v>
      </c>
      <c r="N91" s="4173">
        <v>0</v>
      </c>
      <c r="O91" s="4210">
        <f t="shared" si="4"/>
        <v>0</v>
      </c>
    </row>
    <row r="92" spans="1:15" x14ac:dyDescent="0.25">
      <c r="A92" s="1594">
        <f t="shared" si="3"/>
        <v>124748</v>
      </c>
      <c r="B92" s="4174" t="s">
        <v>1980</v>
      </c>
      <c r="C92" s="4174" t="s">
        <v>2799</v>
      </c>
      <c r="D92" s="4174">
        <v>1235</v>
      </c>
      <c r="E92" s="4174" t="s">
        <v>1995</v>
      </c>
      <c r="F92" s="4173">
        <v>123513</v>
      </c>
      <c r="G92" s="4173" t="s">
        <v>1977</v>
      </c>
      <c r="H92" s="4173"/>
      <c r="I92" s="4174">
        <v>0</v>
      </c>
      <c r="J92" s="4173">
        <v>0</v>
      </c>
      <c r="K92" s="4173">
        <v>0</v>
      </c>
      <c r="L92" s="4173">
        <v>0</v>
      </c>
      <c r="M92" s="4173">
        <v>0</v>
      </c>
      <c r="N92" s="4173">
        <v>0</v>
      </c>
      <c r="O92" s="4210">
        <f t="shared" si="4"/>
        <v>0</v>
      </c>
    </row>
    <row r="93" spans="1:15" x14ac:dyDescent="0.25">
      <c r="A93" s="1594">
        <f t="shared" si="3"/>
        <v>124749</v>
      </c>
      <c r="B93" s="4174" t="s">
        <v>1980</v>
      </c>
      <c r="C93" s="4174" t="s">
        <v>2799</v>
      </c>
      <c r="D93" s="4174">
        <v>1235</v>
      </c>
      <c r="E93" s="4174" t="s">
        <v>2003</v>
      </c>
      <c r="F93" s="4173">
        <v>123514</v>
      </c>
      <c r="G93" s="4173" t="s">
        <v>1977</v>
      </c>
      <c r="H93" s="4173"/>
      <c r="I93" s="4174">
        <v>0</v>
      </c>
      <c r="J93" s="4173">
        <v>0</v>
      </c>
      <c r="K93" s="4173">
        <v>0</v>
      </c>
      <c r="L93" s="4173">
        <v>0</v>
      </c>
      <c r="M93" s="4173">
        <v>0</v>
      </c>
      <c r="N93" s="4173">
        <v>0</v>
      </c>
      <c r="O93" s="4210">
        <f t="shared" si="4"/>
        <v>0</v>
      </c>
    </row>
    <row r="94" spans="1:15" x14ac:dyDescent="0.25">
      <c r="A94" s="1594">
        <f t="shared" si="3"/>
        <v>124750</v>
      </c>
      <c r="B94" s="4174" t="s">
        <v>1980</v>
      </c>
      <c r="C94" s="4174" t="s">
        <v>2799</v>
      </c>
      <c r="D94" s="4174">
        <v>1235</v>
      </c>
      <c r="E94" s="4174" t="s">
        <v>2002</v>
      </c>
      <c r="F94" s="4173">
        <v>123515</v>
      </c>
      <c r="G94" s="4173" t="s">
        <v>1977</v>
      </c>
      <c r="H94" s="4173"/>
      <c r="I94" s="4174">
        <v>0</v>
      </c>
      <c r="J94" s="4173">
        <v>0</v>
      </c>
      <c r="K94" s="4173">
        <v>0</v>
      </c>
      <c r="L94" s="4173">
        <v>0</v>
      </c>
      <c r="M94" s="4173">
        <v>0</v>
      </c>
      <c r="N94" s="4173">
        <v>0</v>
      </c>
      <c r="O94" s="4210">
        <f t="shared" si="4"/>
        <v>0</v>
      </c>
    </row>
    <row r="95" spans="1:15" x14ac:dyDescent="0.25">
      <c r="A95" s="1594">
        <f t="shared" si="3"/>
        <v>124754</v>
      </c>
      <c r="B95" s="4174" t="s">
        <v>1980</v>
      </c>
      <c r="C95" s="4174" t="s">
        <v>2799</v>
      </c>
      <c r="D95" s="4174">
        <v>1235</v>
      </c>
      <c r="E95" s="4174" t="s">
        <v>1990</v>
      </c>
      <c r="F95" s="4173">
        <v>123519</v>
      </c>
      <c r="G95" s="4173" t="s">
        <v>1977</v>
      </c>
      <c r="H95" s="4173"/>
      <c r="I95" s="4174">
        <v>0</v>
      </c>
      <c r="J95" s="4173">
        <v>0</v>
      </c>
      <c r="K95" s="4173">
        <v>0</v>
      </c>
      <c r="L95" s="4173">
        <v>0</v>
      </c>
      <c r="M95" s="4173">
        <v>0</v>
      </c>
      <c r="N95" s="4173">
        <v>0</v>
      </c>
      <c r="O95" s="4210">
        <f t="shared" si="4"/>
        <v>0</v>
      </c>
    </row>
    <row r="96" spans="1:15" x14ac:dyDescent="0.25">
      <c r="A96" s="1594">
        <f t="shared" si="3"/>
        <v>124837</v>
      </c>
      <c r="B96" s="4174" t="s">
        <v>1980</v>
      </c>
      <c r="C96" s="4174" t="s">
        <v>1993</v>
      </c>
      <c r="D96" s="4174">
        <v>1236</v>
      </c>
      <c r="E96" s="4174" t="s">
        <v>1989</v>
      </c>
      <c r="F96" s="4173">
        <v>123601</v>
      </c>
      <c r="G96" s="4173" t="s">
        <v>1903</v>
      </c>
      <c r="H96" s="4173" t="s">
        <v>1943</v>
      </c>
      <c r="I96" s="4174">
        <v>0</v>
      </c>
      <c r="J96" s="4173">
        <v>0</v>
      </c>
      <c r="K96" s="4173">
        <v>0</v>
      </c>
      <c r="L96" s="4173">
        <v>0</v>
      </c>
      <c r="M96" s="4173">
        <v>0</v>
      </c>
      <c r="N96" s="4173">
        <v>0</v>
      </c>
      <c r="O96" s="4210">
        <f t="shared" si="4"/>
        <v>0</v>
      </c>
    </row>
    <row r="97" spans="1:15" x14ac:dyDescent="0.25">
      <c r="A97" s="1594">
        <f t="shared" si="3"/>
        <v>124838</v>
      </c>
      <c r="B97" s="4174" t="s">
        <v>1980</v>
      </c>
      <c r="C97" s="4174" t="s">
        <v>1993</v>
      </c>
      <c r="D97" s="4174">
        <v>1236</v>
      </c>
      <c r="E97" s="4174" t="s">
        <v>1988</v>
      </c>
      <c r="F97" s="4173">
        <v>123602</v>
      </c>
      <c r="G97" s="4173" t="s">
        <v>1977</v>
      </c>
      <c r="H97" s="4173"/>
      <c r="I97" s="4174">
        <v>0</v>
      </c>
      <c r="J97" s="4173">
        <v>0</v>
      </c>
      <c r="K97" s="4173">
        <v>0</v>
      </c>
      <c r="L97" s="4173">
        <v>0</v>
      </c>
      <c r="M97" s="4173">
        <v>0</v>
      </c>
      <c r="N97" s="4173">
        <v>0</v>
      </c>
      <c r="O97" s="4210">
        <f t="shared" si="4"/>
        <v>0</v>
      </c>
    </row>
    <row r="98" spans="1:15" x14ac:dyDescent="0.25">
      <c r="A98" s="1594">
        <f t="shared" si="3"/>
        <v>124839</v>
      </c>
      <c r="B98" s="4174" t="s">
        <v>1980</v>
      </c>
      <c r="C98" s="4174" t="s">
        <v>1993</v>
      </c>
      <c r="D98" s="4174">
        <v>1236</v>
      </c>
      <c r="E98" s="4174" t="s">
        <v>1987</v>
      </c>
      <c r="F98" s="4173">
        <v>123603</v>
      </c>
      <c r="G98" s="4173" t="s">
        <v>350</v>
      </c>
      <c r="H98" s="4173"/>
      <c r="I98" s="4174">
        <v>1</v>
      </c>
      <c r="J98" s="4173">
        <v>1.07</v>
      </c>
      <c r="K98" s="4173">
        <v>0.44</v>
      </c>
      <c r="L98" s="4173">
        <v>41.04</v>
      </c>
      <c r="M98" s="4173">
        <v>0</v>
      </c>
      <c r="N98" s="4173">
        <v>6.84</v>
      </c>
      <c r="O98" s="4210">
        <f t="shared" si="4"/>
        <v>1.8741906903836978E-4</v>
      </c>
    </row>
    <row r="99" spans="1:15" x14ac:dyDescent="0.25">
      <c r="A99" s="1594">
        <f t="shared" si="3"/>
        <v>124840</v>
      </c>
      <c r="B99" s="4174" t="s">
        <v>1980</v>
      </c>
      <c r="C99" s="4174" t="s">
        <v>1993</v>
      </c>
      <c r="D99" s="4174">
        <v>1236</v>
      </c>
      <c r="E99" s="4174" t="s">
        <v>2000</v>
      </c>
      <c r="F99" s="4173">
        <v>123604</v>
      </c>
      <c r="G99" s="4173" t="s">
        <v>350</v>
      </c>
      <c r="H99" s="4173"/>
      <c r="I99" s="4174">
        <v>0</v>
      </c>
      <c r="J99" s="4173">
        <v>0</v>
      </c>
      <c r="K99" s="4173">
        <v>0</v>
      </c>
      <c r="L99" s="4173">
        <v>0</v>
      </c>
      <c r="M99" s="4173">
        <v>0</v>
      </c>
      <c r="N99" s="4173">
        <v>0</v>
      </c>
      <c r="O99" s="4210">
        <f t="shared" si="4"/>
        <v>0</v>
      </c>
    </row>
    <row r="100" spans="1:15" x14ac:dyDescent="0.25">
      <c r="A100" s="1594">
        <f t="shared" si="3"/>
        <v>124841</v>
      </c>
      <c r="B100" s="4174" t="s">
        <v>1980</v>
      </c>
      <c r="C100" s="4174" t="s">
        <v>1993</v>
      </c>
      <c r="D100" s="4174">
        <v>1236</v>
      </c>
      <c r="E100" s="4174" t="s">
        <v>1999</v>
      </c>
      <c r="F100" s="4173">
        <v>123605</v>
      </c>
      <c r="G100" s="4173" t="s">
        <v>1977</v>
      </c>
      <c r="H100" s="4173" t="s">
        <v>350</v>
      </c>
      <c r="I100" s="4174">
        <v>0</v>
      </c>
      <c r="J100" s="4173">
        <v>0</v>
      </c>
      <c r="K100" s="4173">
        <v>0</v>
      </c>
      <c r="L100" s="4173">
        <v>0</v>
      </c>
      <c r="M100" s="4173">
        <v>0</v>
      </c>
      <c r="N100" s="4173">
        <v>0</v>
      </c>
      <c r="O100" s="4210">
        <f t="shared" si="4"/>
        <v>0</v>
      </c>
    </row>
    <row r="101" spans="1:15" x14ac:dyDescent="0.25">
      <c r="A101" s="1594">
        <f t="shared" si="3"/>
        <v>124843</v>
      </c>
      <c r="B101" s="4174" t="s">
        <v>1980</v>
      </c>
      <c r="C101" s="4174" t="s">
        <v>1993</v>
      </c>
      <c r="D101" s="4174">
        <v>1236</v>
      </c>
      <c r="E101" s="4174" t="s">
        <v>1997</v>
      </c>
      <c r="F101" s="4173">
        <v>123607</v>
      </c>
      <c r="G101" s="4173" t="s">
        <v>1977</v>
      </c>
      <c r="H101" s="4173" t="s">
        <v>350</v>
      </c>
      <c r="I101" s="4174">
        <v>0</v>
      </c>
      <c r="J101" s="4173">
        <v>0</v>
      </c>
      <c r="K101" s="4173">
        <v>0</v>
      </c>
      <c r="L101" s="4173">
        <v>0</v>
      </c>
      <c r="M101" s="4173">
        <v>0</v>
      </c>
      <c r="N101" s="4173">
        <v>0</v>
      </c>
      <c r="O101" s="4210">
        <f t="shared" si="4"/>
        <v>0</v>
      </c>
    </row>
    <row r="102" spans="1:15" x14ac:dyDescent="0.25">
      <c r="A102" s="1594">
        <f t="shared" si="3"/>
        <v>124845</v>
      </c>
      <c r="B102" s="4174" t="s">
        <v>1980</v>
      </c>
      <c r="C102" s="4174" t="s">
        <v>1993</v>
      </c>
      <c r="D102" s="4174">
        <v>1236</v>
      </c>
      <c r="E102" s="4174" t="s">
        <v>1996</v>
      </c>
      <c r="F102" s="4173">
        <v>123609</v>
      </c>
      <c r="G102" s="4173" t="s">
        <v>1977</v>
      </c>
      <c r="H102" s="4173"/>
      <c r="I102" s="4174">
        <v>0</v>
      </c>
      <c r="J102" s="4173">
        <v>0</v>
      </c>
      <c r="K102" s="4173">
        <v>0</v>
      </c>
      <c r="L102" s="4173">
        <v>0</v>
      </c>
      <c r="M102" s="4173">
        <v>0</v>
      </c>
      <c r="N102" s="4173">
        <v>0</v>
      </c>
      <c r="O102" s="4210">
        <f t="shared" si="4"/>
        <v>0</v>
      </c>
    </row>
    <row r="103" spans="1:15" x14ac:dyDescent="0.25">
      <c r="A103" s="1594">
        <f t="shared" si="3"/>
        <v>124846</v>
      </c>
      <c r="B103" s="4174" t="s">
        <v>1980</v>
      </c>
      <c r="C103" s="4174" t="s">
        <v>1993</v>
      </c>
      <c r="D103" s="4174">
        <v>1236</v>
      </c>
      <c r="E103" s="4174" t="s">
        <v>1995</v>
      </c>
      <c r="F103" s="4173">
        <v>123610</v>
      </c>
      <c r="G103" s="4173" t="s">
        <v>1977</v>
      </c>
      <c r="H103" s="4173"/>
      <c r="I103" s="4174">
        <v>0</v>
      </c>
      <c r="J103" s="4173">
        <v>0</v>
      </c>
      <c r="K103" s="4173">
        <v>0</v>
      </c>
      <c r="L103" s="4173">
        <v>0</v>
      </c>
      <c r="M103" s="4173">
        <v>0</v>
      </c>
      <c r="N103" s="4173">
        <v>0</v>
      </c>
      <c r="O103" s="4210">
        <f t="shared" si="4"/>
        <v>0</v>
      </c>
    </row>
    <row r="104" spans="1:15" x14ac:dyDescent="0.25">
      <c r="A104" s="1594">
        <f t="shared" si="3"/>
        <v>124847</v>
      </c>
      <c r="B104" s="4174" t="s">
        <v>1980</v>
      </c>
      <c r="C104" s="4174" t="s">
        <v>1993</v>
      </c>
      <c r="D104" s="4174">
        <v>1236</v>
      </c>
      <c r="E104" s="4174" t="s">
        <v>1982</v>
      </c>
      <c r="F104" s="4173">
        <v>123611</v>
      </c>
      <c r="G104" s="4173" t="s">
        <v>1977</v>
      </c>
      <c r="H104" s="4173"/>
      <c r="I104" s="4174">
        <v>0</v>
      </c>
      <c r="J104" s="4173">
        <v>0</v>
      </c>
      <c r="K104" s="4173">
        <v>0</v>
      </c>
      <c r="L104" s="4173">
        <v>0</v>
      </c>
      <c r="M104" s="4173">
        <v>0</v>
      </c>
      <c r="N104" s="4173">
        <v>0</v>
      </c>
      <c r="O104" s="4210">
        <f t="shared" si="4"/>
        <v>0</v>
      </c>
    </row>
    <row r="105" spans="1:15" x14ac:dyDescent="0.25">
      <c r="A105" s="1594">
        <f t="shared" si="3"/>
        <v>124848</v>
      </c>
      <c r="B105" s="4174" t="s">
        <v>1980</v>
      </c>
      <c r="C105" s="4174" t="s">
        <v>1993</v>
      </c>
      <c r="D105" s="4174">
        <v>1236</v>
      </c>
      <c r="E105" s="4174" t="s">
        <v>1994</v>
      </c>
      <c r="F105" s="4173">
        <v>123612</v>
      </c>
      <c r="G105" s="4173" t="s">
        <v>1977</v>
      </c>
      <c r="H105" s="4173"/>
      <c r="I105" s="4174">
        <v>0</v>
      </c>
      <c r="J105" s="4173">
        <v>0</v>
      </c>
      <c r="K105" s="4173">
        <v>0</v>
      </c>
      <c r="L105" s="4173">
        <v>0</v>
      </c>
      <c r="M105" s="4173">
        <v>0</v>
      </c>
      <c r="N105" s="4173">
        <v>0</v>
      </c>
      <c r="O105" s="4210">
        <f t="shared" si="4"/>
        <v>0</v>
      </c>
    </row>
    <row r="106" spans="1:15" x14ac:dyDescent="0.25">
      <c r="A106" s="1594">
        <f t="shared" si="3"/>
        <v>124855</v>
      </c>
      <c r="B106" s="4174" t="s">
        <v>1980</v>
      </c>
      <c r="C106" s="4174" t="s">
        <v>1993</v>
      </c>
      <c r="D106" s="4174">
        <v>1236</v>
      </c>
      <c r="E106" s="4174" t="s">
        <v>1990</v>
      </c>
      <c r="F106" s="4173">
        <v>123619</v>
      </c>
      <c r="G106" s="4173" t="s">
        <v>1977</v>
      </c>
      <c r="H106" s="4173"/>
      <c r="I106" s="4174">
        <v>0</v>
      </c>
      <c r="J106" s="4173">
        <v>0</v>
      </c>
      <c r="K106" s="4173">
        <v>0</v>
      </c>
      <c r="L106" s="4173">
        <v>0</v>
      </c>
      <c r="M106" s="4173">
        <v>0</v>
      </c>
      <c r="N106" s="4173">
        <v>0</v>
      </c>
      <c r="O106" s="4210">
        <f t="shared" si="4"/>
        <v>0</v>
      </c>
    </row>
    <row r="107" spans="1:15" x14ac:dyDescent="0.25">
      <c r="A107" s="1594">
        <f t="shared" si="3"/>
        <v>125342</v>
      </c>
      <c r="B107" s="4174" t="s">
        <v>1980</v>
      </c>
      <c r="C107" s="4174" t="s">
        <v>1992</v>
      </c>
      <c r="D107" s="4174">
        <v>1241</v>
      </c>
      <c r="E107" s="4174" t="s">
        <v>1989</v>
      </c>
      <c r="F107" s="4173">
        <v>124101</v>
      </c>
      <c r="G107" s="4173" t="s">
        <v>1903</v>
      </c>
      <c r="H107" s="4173" t="s">
        <v>1943</v>
      </c>
      <c r="I107" s="4174">
        <v>0</v>
      </c>
      <c r="J107" s="4173">
        <v>0</v>
      </c>
      <c r="K107" s="4173">
        <v>0</v>
      </c>
      <c r="L107" s="4173">
        <v>0</v>
      </c>
      <c r="M107" s="4173">
        <v>0</v>
      </c>
      <c r="N107" s="4173">
        <v>0</v>
      </c>
      <c r="O107" s="4210">
        <f t="shared" si="4"/>
        <v>0</v>
      </c>
    </row>
    <row r="108" spans="1:15" x14ac:dyDescent="0.25">
      <c r="A108" s="1594">
        <f t="shared" si="3"/>
        <v>125343</v>
      </c>
      <c r="B108" s="4174" t="s">
        <v>1980</v>
      </c>
      <c r="C108" s="4174" t="s">
        <v>1992</v>
      </c>
      <c r="D108" s="4174">
        <v>1241</v>
      </c>
      <c r="E108" s="4174" t="s">
        <v>1988</v>
      </c>
      <c r="F108" s="4173">
        <v>124102</v>
      </c>
      <c r="G108" s="4173" t="s">
        <v>1977</v>
      </c>
      <c r="H108" s="4173"/>
      <c r="I108" s="4174">
        <v>0</v>
      </c>
      <c r="J108" s="4173">
        <v>0</v>
      </c>
      <c r="K108" s="4173">
        <v>0</v>
      </c>
      <c r="L108" s="4173">
        <v>0</v>
      </c>
      <c r="M108" s="4173">
        <v>0</v>
      </c>
      <c r="N108" s="4173">
        <v>0</v>
      </c>
      <c r="O108" s="4210">
        <f t="shared" si="4"/>
        <v>0</v>
      </c>
    </row>
    <row r="109" spans="1:15" x14ac:dyDescent="0.25">
      <c r="A109" s="1594">
        <f t="shared" si="3"/>
        <v>125344</v>
      </c>
      <c r="B109" s="4174" t="s">
        <v>1980</v>
      </c>
      <c r="C109" s="4174" t="s">
        <v>1992</v>
      </c>
      <c r="D109" s="4174">
        <v>1241</v>
      </c>
      <c r="E109" s="4174" t="s">
        <v>1987</v>
      </c>
      <c r="F109" s="4173">
        <v>124103</v>
      </c>
      <c r="G109" s="4173" t="s">
        <v>350</v>
      </c>
      <c r="H109" s="4173"/>
      <c r="I109" s="4174">
        <v>0</v>
      </c>
      <c r="J109" s="4173">
        <v>0</v>
      </c>
      <c r="K109" s="4173">
        <v>0</v>
      </c>
      <c r="L109" s="4173">
        <v>0</v>
      </c>
      <c r="M109" s="4173">
        <v>0</v>
      </c>
      <c r="N109" s="4173">
        <v>0</v>
      </c>
      <c r="O109" s="4210">
        <f t="shared" si="4"/>
        <v>0</v>
      </c>
    </row>
    <row r="110" spans="1:15" x14ac:dyDescent="0.25">
      <c r="A110" s="1594">
        <f t="shared" si="3"/>
        <v>125345</v>
      </c>
      <c r="B110" s="4174" t="s">
        <v>1980</v>
      </c>
      <c r="C110" s="4174" t="s">
        <v>1992</v>
      </c>
      <c r="D110" s="4174">
        <v>1241</v>
      </c>
      <c r="E110" s="4174" t="s">
        <v>1986</v>
      </c>
      <c r="F110" s="4173">
        <v>124104</v>
      </c>
      <c r="G110" s="4173" t="s">
        <v>350</v>
      </c>
      <c r="H110" s="4173"/>
      <c r="I110" s="4174">
        <v>0</v>
      </c>
      <c r="J110" s="4173">
        <v>0</v>
      </c>
      <c r="K110" s="4173">
        <v>0</v>
      </c>
      <c r="L110" s="4173">
        <v>0</v>
      </c>
      <c r="M110" s="4173">
        <v>0</v>
      </c>
      <c r="N110" s="4173">
        <v>0</v>
      </c>
      <c r="O110" s="4210">
        <f t="shared" si="4"/>
        <v>0</v>
      </c>
    </row>
    <row r="111" spans="1:15" x14ac:dyDescent="0.25">
      <c r="A111" s="1594">
        <f t="shared" si="3"/>
        <v>125346</v>
      </c>
      <c r="B111" s="4174" t="s">
        <v>1980</v>
      </c>
      <c r="C111" s="4174" t="s">
        <v>1992</v>
      </c>
      <c r="D111" s="4174">
        <v>1241</v>
      </c>
      <c r="E111" s="4174" t="s">
        <v>1985</v>
      </c>
      <c r="F111" s="4173">
        <v>124105</v>
      </c>
      <c r="G111" s="4173" t="s">
        <v>1977</v>
      </c>
      <c r="H111" s="4173" t="s">
        <v>350</v>
      </c>
      <c r="I111" s="4174">
        <v>0</v>
      </c>
      <c r="J111" s="4173">
        <v>0</v>
      </c>
      <c r="K111" s="4173">
        <v>0</v>
      </c>
      <c r="L111" s="4173">
        <v>0</v>
      </c>
      <c r="M111" s="4173">
        <v>0</v>
      </c>
      <c r="N111" s="4173">
        <v>0</v>
      </c>
      <c r="O111" s="4210">
        <f t="shared" si="4"/>
        <v>0</v>
      </c>
    </row>
    <row r="112" spans="1:15" x14ac:dyDescent="0.25">
      <c r="A112" s="1594">
        <f t="shared" si="3"/>
        <v>125347</v>
      </c>
      <c r="B112" s="4174" t="s">
        <v>1980</v>
      </c>
      <c r="C112" s="4174" t="s">
        <v>1992</v>
      </c>
      <c r="D112" s="4174">
        <v>1241</v>
      </c>
      <c r="E112" s="4174" t="s">
        <v>1984</v>
      </c>
      <c r="F112" s="4173">
        <v>124106</v>
      </c>
      <c r="G112" s="4173" t="s">
        <v>1977</v>
      </c>
      <c r="H112" s="4173" t="s">
        <v>350</v>
      </c>
      <c r="I112" s="4174">
        <v>0</v>
      </c>
      <c r="J112" s="4173">
        <v>0</v>
      </c>
      <c r="K112" s="4173">
        <v>0</v>
      </c>
      <c r="L112" s="4173">
        <v>0</v>
      </c>
      <c r="M112" s="4173">
        <v>0</v>
      </c>
      <c r="N112" s="4173">
        <v>0</v>
      </c>
      <c r="O112" s="4210">
        <f t="shared" si="4"/>
        <v>0</v>
      </c>
    </row>
    <row r="113" spans="1:15" x14ac:dyDescent="0.25">
      <c r="A113" s="1594">
        <f t="shared" si="3"/>
        <v>125348</v>
      </c>
      <c r="B113" s="4174" t="s">
        <v>1980</v>
      </c>
      <c r="C113" s="4174" t="s">
        <v>1992</v>
      </c>
      <c r="D113" s="4174">
        <v>1241</v>
      </c>
      <c r="E113" s="4174" t="s">
        <v>1983</v>
      </c>
      <c r="F113" s="4173">
        <v>124107</v>
      </c>
      <c r="G113" s="4173" t="s">
        <v>1977</v>
      </c>
      <c r="H113" s="4173" t="s">
        <v>350</v>
      </c>
      <c r="I113" s="4174">
        <v>0</v>
      </c>
      <c r="J113" s="4173">
        <v>0</v>
      </c>
      <c r="K113" s="4173">
        <v>0</v>
      </c>
      <c r="L113" s="4173">
        <v>0</v>
      </c>
      <c r="M113" s="4173">
        <v>0</v>
      </c>
      <c r="N113" s="4173">
        <v>0</v>
      </c>
      <c r="O113" s="4210">
        <f t="shared" si="4"/>
        <v>0</v>
      </c>
    </row>
    <row r="114" spans="1:15" x14ac:dyDescent="0.25">
      <c r="A114" s="1594">
        <f t="shared" si="3"/>
        <v>125351</v>
      </c>
      <c r="B114" s="4174" t="s">
        <v>1980</v>
      </c>
      <c r="C114" s="4174" t="s">
        <v>1992</v>
      </c>
      <c r="D114" s="4174">
        <v>1241</v>
      </c>
      <c r="E114" s="4174" t="s">
        <v>2793</v>
      </c>
      <c r="F114" s="4173">
        <v>124110</v>
      </c>
      <c r="G114" s="4173" t="s">
        <v>1977</v>
      </c>
      <c r="H114" s="4173"/>
      <c r="I114" s="4174">
        <v>0</v>
      </c>
      <c r="J114" s="4173">
        <v>0</v>
      </c>
      <c r="K114" s="4173">
        <v>0</v>
      </c>
      <c r="L114" s="4173">
        <v>0</v>
      </c>
      <c r="M114" s="4173">
        <v>0</v>
      </c>
      <c r="N114" s="4173">
        <v>0</v>
      </c>
      <c r="O114" s="4210">
        <f t="shared" si="4"/>
        <v>0</v>
      </c>
    </row>
    <row r="115" spans="1:15" x14ac:dyDescent="0.25">
      <c r="A115" s="1594">
        <f t="shared" si="3"/>
        <v>125443</v>
      </c>
      <c r="B115" s="4174" t="s">
        <v>1980</v>
      </c>
      <c r="C115" s="4174" t="s">
        <v>1991</v>
      </c>
      <c r="D115" s="4174">
        <v>1242</v>
      </c>
      <c r="E115" s="4174" t="s">
        <v>1989</v>
      </c>
      <c r="F115" s="4173">
        <v>124201</v>
      </c>
      <c r="G115" s="4173" t="s">
        <v>1903</v>
      </c>
      <c r="H115" s="4173" t="s">
        <v>1943</v>
      </c>
      <c r="I115" s="4174">
        <v>1</v>
      </c>
      <c r="J115" s="4173">
        <v>7.97</v>
      </c>
      <c r="K115" s="4173">
        <v>4.97</v>
      </c>
      <c r="L115" s="4173">
        <v>163.78</v>
      </c>
      <c r="M115" s="4173">
        <v>279.91000000000003</v>
      </c>
      <c r="N115" s="4173">
        <v>48.49</v>
      </c>
      <c r="O115" s="4210">
        <f t="shared" si="4"/>
        <v>2.1169835752743128E-3</v>
      </c>
    </row>
    <row r="116" spans="1:15" x14ac:dyDescent="0.25">
      <c r="A116" s="1594">
        <f t="shared" si="3"/>
        <v>125444</v>
      </c>
      <c r="B116" s="4174" t="s">
        <v>1980</v>
      </c>
      <c r="C116" s="4174" t="s">
        <v>1991</v>
      </c>
      <c r="D116" s="4174">
        <v>1242</v>
      </c>
      <c r="E116" s="4174" t="s">
        <v>1988</v>
      </c>
      <c r="F116" s="4173">
        <v>124202</v>
      </c>
      <c r="G116" s="4173" t="s">
        <v>1977</v>
      </c>
      <c r="H116" s="4173"/>
      <c r="I116" s="4174">
        <v>0</v>
      </c>
      <c r="J116" s="4173">
        <v>0</v>
      </c>
      <c r="K116" s="4173">
        <v>0</v>
      </c>
      <c r="L116" s="4173">
        <v>0</v>
      </c>
      <c r="M116" s="4173">
        <v>0</v>
      </c>
      <c r="N116" s="4173">
        <v>0</v>
      </c>
      <c r="O116" s="4210">
        <f t="shared" si="4"/>
        <v>0</v>
      </c>
    </row>
    <row r="117" spans="1:15" x14ac:dyDescent="0.25">
      <c r="A117" s="1594">
        <f t="shared" si="3"/>
        <v>125445</v>
      </c>
      <c r="B117" s="4174" t="s">
        <v>1980</v>
      </c>
      <c r="C117" s="4174" t="s">
        <v>1991</v>
      </c>
      <c r="D117" s="4174">
        <v>1242</v>
      </c>
      <c r="E117" s="4174" t="s">
        <v>1987</v>
      </c>
      <c r="F117" s="4173">
        <v>124203</v>
      </c>
      <c r="G117" s="4173" t="s">
        <v>350</v>
      </c>
      <c r="H117" s="4173"/>
      <c r="I117" s="4174">
        <v>7</v>
      </c>
      <c r="J117" s="4173">
        <v>235.84</v>
      </c>
      <c r="K117" s="4173">
        <v>147.38</v>
      </c>
      <c r="L117" s="4173">
        <v>15125.97</v>
      </c>
      <c r="M117" s="4173">
        <v>0</v>
      </c>
      <c r="N117" s="4173">
        <v>1627.87</v>
      </c>
      <c r="O117" s="4210">
        <f t="shared" si="4"/>
        <v>6.2776869079261222E-2</v>
      </c>
    </row>
    <row r="118" spans="1:15" x14ac:dyDescent="0.25">
      <c r="A118" s="1594">
        <f t="shared" si="3"/>
        <v>125446</v>
      </c>
      <c r="B118" s="4174" t="s">
        <v>1980</v>
      </c>
      <c r="C118" s="4174" t="s">
        <v>1991</v>
      </c>
      <c r="D118" s="4174">
        <v>1242</v>
      </c>
      <c r="E118" s="4174" t="s">
        <v>1986</v>
      </c>
      <c r="F118" s="4173">
        <v>124204</v>
      </c>
      <c r="G118" s="4173" t="s">
        <v>350</v>
      </c>
      <c r="H118" s="4173"/>
      <c r="I118" s="4174">
        <v>0</v>
      </c>
      <c r="J118" s="4173">
        <v>0</v>
      </c>
      <c r="K118" s="4173">
        <v>0</v>
      </c>
      <c r="L118" s="4173">
        <v>0</v>
      </c>
      <c r="M118" s="4173">
        <v>0</v>
      </c>
      <c r="N118" s="4173">
        <v>0</v>
      </c>
      <c r="O118" s="4210">
        <f t="shared" si="4"/>
        <v>0</v>
      </c>
    </row>
    <row r="119" spans="1:15" x14ac:dyDescent="0.25">
      <c r="A119" s="1594">
        <f t="shared" si="3"/>
        <v>125447</v>
      </c>
      <c r="B119" s="4174" t="s">
        <v>1980</v>
      </c>
      <c r="C119" s="4174" t="s">
        <v>1991</v>
      </c>
      <c r="D119" s="4174">
        <v>1242</v>
      </c>
      <c r="E119" s="4174" t="s">
        <v>1985</v>
      </c>
      <c r="F119" s="4173">
        <v>124205</v>
      </c>
      <c r="G119" s="4173" t="s">
        <v>1977</v>
      </c>
      <c r="H119" s="4173" t="s">
        <v>350</v>
      </c>
      <c r="I119" s="4174">
        <v>0</v>
      </c>
      <c r="J119" s="4173">
        <v>0</v>
      </c>
      <c r="K119" s="4173">
        <v>0</v>
      </c>
      <c r="L119" s="4173">
        <v>0</v>
      </c>
      <c r="M119" s="4173">
        <v>0</v>
      </c>
      <c r="N119" s="4173">
        <v>0</v>
      </c>
      <c r="O119" s="4210">
        <f t="shared" si="4"/>
        <v>0</v>
      </c>
    </row>
    <row r="120" spans="1:15" x14ac:dyDescent="0.25">
      <c r="A120" s="1594">
        <f t="shared" si="3"/>
        <v>125448</v>
      </c>
      <c r="B120" s="4174" t="s">
        <v>1980</v>
      </c>
      <c r="C120" s="4174" t="s">
        <v>1991</v>
      </c>
      <c r="D120" s="4174">
        <v>1242</v>
      </c>
      <c r="E120" s="4174" t="s">
        <v>1984</v>
      </c>
      <c r="F120" s="4173">
        <v>124206</v>
      </c>
      <c r="G120" s="4173" t="s">
        <v>1977</v>
      </c>
      <c r="H120" s="4173" t="s">
        <v>350</v>
      </c>
      <c r="I120" s="4174">
        <v>0</v>
      </c>
      <c r="J120" s="4173">
        <v>0</v>
      </c>
      <c r="K120" s="4173">
        <v>0</v>
      </c>
      <c r="L120" s="4173">
        <v>0</v>
      </c>
      <c r="M120" s="4173">
        <v>0</v>
      </c>
      <c r="N120" s="4173">
        <v>0</v>
      </c>
      <c r="O120" s="4210">
        <f t="shared" si="4"/>
        <v>0</v>
      </c>
    </row>
    <row r="121" spans="1:15" x14ac:dyDescent="0.25">
      <c r="A121" s="1594">
        <f t="shared" si="3"/>
        <v>125449</v>
      </c>
      <c r="B121" s="4174" t="s">
        <v>1980</v>
      </c>
      <c r="C121" s="4174" t="s">
        <v>1991</v>
      </c>
      <c r="D121" s="4174">
        <v>1242</v>
      </c>
      <c r="E121" s="4174" t="s">
        <v>1983</v>
      </c>
      <c r="F121" s="4173">
        <v>124207</v>
      </c>
      <c r="G121" s="4173" t="s">
        <v>1977</v>
      </c>
      <c r="H121" s="4173" t="s">
        <v>350</v>
      </c>
      <c r="I121" s="4174">
        <v>0</v>
      </c>
      <c r="J121" s="4173">
        <v>0</v>
      </c>
      <c r="K121" s="4173">
        <v>0</v>
      </c>
      <c r="L121" s="4173">
        <v>0</v>
      </c>
      <c r="M121" s="4173">
        <v>0</v>
      </c>
      <c r="N121" s="4173">
        <v>0</v>
      </c>
      <c r="O121" s="4210">
        <f t="shared" si="4"/>
        <v>0</v>
      </c>
    </row>
    <row r="122" spans="1:15" x14ac:dyDescent="0.25">
      <c r="A122" s="1594">
        <f t="shared" si="3"/>
        <v>125451</v>
      </c>
      <c r="B122" s="4174" t="s">
        <v>1980</v>
      </c>
      <c r="C122" s="4174" t="s">
        <v>1991</v>
      </c>
      <c r="D122" s="4174">
        <v>1242</v>
      </c>
      <c r="E122" s="4174" t="s">
        <v>1982</v>
      </c>
      <c r="F122" s="4173">
        <v>124209</v>
      </c>
      <c r="G122" s="4173" t="s">
        <v>1977</v>
      </c>
      <c r="H122" s="4173"/>
      <c r="I122" s="4174">
        <v>0</v>
      </c>
      <c r="J122" s="4173">
        <v>0</v>
      </c>
      <c r="K122" s="4173">
        <v>0</v>
      </c>
      <c r="L122" s="4173">
        <v>0</v>
      </c>
      <c r="M122" s="4173">
        <v>0</v>
      </c>
      <c r="N122" s="4173">
        <v>0</v>
      </c>
      <c r="O122" s="4210">
        <f t="shared" si="4"/>
        <v>0</v>
      </c>
    </row>
    <row r="123" spans="1:15" x14ac:dyDescent="0.25">
      <c r="A123" s="1594">
        <f t="shared" si="3"/>
        <v>125452</v>
      </c>
      <c r="B123" s="4174" t="s">
        <v>1980</v>
      </c>
      <c r="C123" s="4174" t="s">
        <v>1991</v>
      </c>
      <c r="D123" s="4174">
        <v>1242</v>
      </c>
      <c r="E123" s="4174" t="s">
        <v>2793</v>
      </c>
      <c r="F123" s="4173">
        <v>124210</v>
      </c>
      <c r="G123" s="4173" t="s">
        <v>1977</v>
      </c>
      <c r="H123" s="4173"/>
      <c r="I123" s="4174">
        <v>0</v>
      </c>
      <c r="J123" s="4173">
        <v>0</v>
      </c>
      <c r="K123" s="4173">
        <v>0</v>
      </c>
      <c r="L123" s="4173">
        <v>0</v>
      </c>
      <c r="M123" s="4173">
        <v>0</v>
      </c>
      <c r="N123" s="4173">
        <v>0</v>
      </c>
      <c r="O123" s="4210">
        <f t="shared" si="4"/>
        <v>0</v>
      </c>
    </row>
    <row r="124" spans="1:15" x14ac:dyDescent="0.25">
      <c r="A124" s="1594">
        <f t="shared" si="3"/>
        <v>125453</v>
      </c>
      <c r="B124" s="4174" t="s">
        <v>1980</v>
      </c>
      <c r="C124" s="4174" t="s">
        <v>1991</v>
      </c>
      <c r="D124" s="4174">
        <v>1242</v>
      </c>
      <c r="E124" s="4174" t="s">
        <v>1990</v>
      </c>
      <c r="F124" s="4173">
        <v>124211</v>
      </c>
      <c r="G124" s="4173" t="s">
        <v>1977</v>
      </c>
      <c r="H124" s="4173"/>
      <c r="I124" s="4174">
        <v>1</v>
      </c>
      <c r="J124" s="4173">
        <v>100</v>
      </c>
      <c r="K124" s="4173">
        <v>62.13</v>
      </c>
      <c r="L124" s="4173">
        <v>5866.33</v>
      </c>
      <c r="M124" s="4173">
        <v>0</v>
      </c>
      <c r="N124" s="4173">
        <v>606.55999999999995</v>
      </c>
      <c r="O124" s="4210">
        <f t="shared" si="4"/>
        <v>2.646442445307708E-2</v>
      </c>
    </row>
    <row r="125" spans="1:15" x14ac:dyDescent="0.25">
      <c r="A125" s="1594">
        <f t="shared" si="3"/>
        <v>125544</v>
      </c>
      <c r="B125" s="4174" t="s">
        <v>1980</v>
      </c>
      <c r="C125" s="4174" t="s">
        <v>1979</v>
      </c>
      <c r="D125" s="4174">
        <v>1243</v>
      </c>
      <c r="E125" s="4174" t="s">
        <v>1989</v>
      </c>
      <c r="F125" s="4173">
        <v>124301</v>
      </c>
      <c r="G125" s="4173" t="s">
        <v>1903</v>
      </c>
      <c r="H125" s="4173" t="s">
        <v>1943</v>
      </c>
      <c r="I125" s="4174">
        <v>1</v>
      </c>
      <c r="J125" s="4173">
        <v>42.09</v>
      </c>
      <c r="K125" s="4173">
        <v>30</v>
      </c>
      <c r="L125" s="4173">
        <v>953.29</v>
      </c>
      <c r="M125" s="4173">
        <v>1713.72</v>
      </c>
      <c r="N125" s="4173">
        <v>293.93</v>
      </c>
      <c r="O125" s="4210">
        <f t="shared" si="4"/>
        <v>1.2778572888979756E-2</v>
      </c>
    </row>
    <row r="126" spans="1:15" x14ac:dyDescent="0.25">
      <c r="A126" s="1594">
        <f t="shared" si="3"/>
        <v>125545</v>
      </c>
      <c r="B126" s="4174" t="s">
        <v>1980</v>
      </c>
      <c r="C126" s="4174" t="s">
        <v>1979</v>
      </c>
      <c r="D126" s="4174">
        <v>1243</v>
      </c>
      <c r="E126" s="4174" t="s">
        <v>1988</v>
      </c>
      <c r="F126" s="4173">
        <v>124302</v>
      </c>
      <c r="G126" s="4173" t="s">
        <v>1977</v>
      </c>
      <c r="H126" s="4173"/>
      <c r="I126" s="4174">
        <v>0</v>
      </c>
      <c r="J126" s="4173">
        <v>0</v>
      </c>
      <c r="K126" s="4173">
        <v>0</v>
      </c>
      <c r="L126" s="4173">
        <v>0</v>
      </c>
      <c r="M126" s="4173">
        <v>0</v>
      </c>
      <c r="N126" s="4173">
        <v>0</v>
      </c>
      <c r="O126" s="4210">
        <f t="shared" si="4"/>
        <v>0</v>
      </c>
    </row>
    <row r="127" spans="1:15" x14ac:dyDescent="0.25">
      <c r="A127" s="1594">
        <f t="shared" si="3"/>
        <v>125546</v>
      </c>
      <c r="B127" s="4174" t="s">
        <v>1980</v>
      </c>
      <c r="C127" s="4174" t="s">
        <v>1979</v>
      </c>
      <c r="D127" s="4174">
        <v>1243</v>
      </c>
      <c r="E127" s="4174" t="s">
        <v>1987</v>
      </c>
      <c r="F127" s="4173">
        <v>124303</v>
      </c>
      <c r="G127" s="4173" t="s">
        <v>350</v>
      </c>
      <c r="H127" s="4173"/>
      <c r="I127" s="4174">
        <v>10</v>
      </c>
      <c r="J127" s="4173">
        <v>240.79</v>
      </c>
      <c r="K127" s="4173">
        <v>171.99</v>
      </c>
      <c r="L127" s="4173">
        <v>17371.240000000002</v>
      </c>
      <c r="M127" s="4173">
        <v>0</v>
      </c>
      <c r="N127" s="4173">
        <v>1854.78</v>
      </c>
      <c r="O127" s="4210">
        <f t="shared" si="4"/>
        <v>7.3259558372520947E-2</v>
      </c>
    </row>
    <row r="128" spans="1:15" x14ac:dyDescent="0.25">
      <c r="A128" s="1594">
        <f t="shared" si="3"/>
        <v>125547</v>
      </c>
      <c r="B128" s="4174" t="s">
        <v>1980</v>
      </c>
      <c r="C128" s="4174" t="s">
        <v>1979</v>
      </c>
      <c r="D128" s="4174">
        <v>1243</v>
      </c>
      <c r="E128" s="4174" t="s">
        <v>1986</v>
      </c>
      <c r="F128" s="4173">
        <v>124304</v>
      </c>
      <c r="G128" s="4173" t="s">
        <v>350</v>
      </c>
      <c r="H128" s="4173"/>
      <c r="I128" s="4174">
        <v>0</v>
      </c>
      <c r="J128" s="4173">
        <v>0</v>
      </c>
      <c r="K128" s="4173">
        <v>0</v>
      </c>
      <c r="L128" s="4173">
        <v>0</v>
      </c>
      <c r="M128" s="4173">
        <v>0</v>
      </c>
      <c r="N128" s="4173">
        <v>0</v>
      </c>
      <c r="O128" s="4210">
        <f t="shared" si="4"/>
        <v>0</v>
      </c>
    </row>
    <row r="129" spans="1:17" x14ac:dyDescent="0.25">
      <c r="A129" s="1594">
        <f t="shared" si="3"/>
        <v>125548</v>
      </c>
      <c r="B129" s="4174" t="s">
        <v>1980</v>
      </c>
      <c r="C129" s="4174" t="s">
        <v>1979</v>
      </c>
      <c r="D129" s="4174">
        <v>1243</v>
      </c>
      <c r="E129" s="4174" t="s">
        <v>1985</v>
      </c>
      <c r="F129" s="4173">
        <v>124305</v>
      </c>
      <c r="G129" s="4173" t="s">
        <v>1977</v>
      </c>
      <c r="H129" s="4173" t="s">
        <v>350</v>
      </c>
      <c r="I129" s="4174">
        <v>0</v>
      </c>
      <c r="J129" s="4173">
        <v>0</v>
      </c>
      <c r="K129" s="4173">
        <v>0</v>
      </c>
      <c r="L129" s="4173">
        <v>0</v>
      </c>
      <c r="M129" s="4173">
        <v>0</v>
      </c>
      <c r="N129" s="4173">
        <v>0</v>
      </c>
      <c r="O129" s="4210">
        <f t="shared" si="4"/>
        <v>0</v>
      </c>
    </row>
    <row r="130" spans="1:17" x14ac:dyDescent="0.25">
      <c r="A130" s="1594">
        <f t="shared" si="3"/>
        <v>125549</v>
      </c>
      <c r="B130" s="4174" t="s">
        <v>1980</v>
      </c>
      <c r="C130" s="4174" t="s">
        <v>1979</v>
      </c>
      <c r="D130" s="4174">
        <v>1243</v>
      </c>
      <c r="E130" s="4174" t="s">
        <v>1984</v>
      </c>
      <c r="F130" s="4173">
        <v>124306</v>
      </c>
      <c r="G130" s="4173" t="s">
        <v>1977</v>
      </c>
      <c r="H130" s="4173" t="s">
        <v>350</v>
      </c>
      <c r="I130" s="4174">
        <v>0</v>
      </c>
      <c r="J130" s="4173">
        <v>0</v>
      </c>
      <c r="K130" s="4173">
        <v>0</v>
      </c>
      <c r="L130" s="4173">
        <v>0</v>
      </c>
      <c r="M130" s="4173">
        <v>0</v>
      </c>
      <c r="N130" s="4173">
        <v>0</v>
      </c>
      <c r="O130" s="4210">
        <f t="shared" si="4"/>
        <v>0</v>
      </c>
    </row>
    <row r="131" spans="1:17" x14ac:dyDescent="0.25">
      <c r="A131" s="1594">
        <f t="shared" si="3"/>
        <v>125550</v>
      </c>
      <c r="B131" s="4174" t="s">
        <v>1980</v>
      </c>
      <c r="C131" s="4174" t="s">
        <v>1979</v>
      </c>
      <c r="D131" s="4174">
        <v>1243</v>
      </c>
      <c r="E131" s="4174" t="s">
        <v>1983</v>
      </c>
      <c r="F131" s="4173">
        <v>124307</v>
      </c>
      <c r="G131" s="4173" t="s">
        <v>1977</v>
      </c>
      <c r="H131" s="4173" t="s">
        <v>350</v>
      </c>
      <c r="I131" s="4174">
        <v>0</v>
      </c>
      <c r="J131" s="4173">
        <v>0</v>
      </c>
      <c r="K131" s="4173">
        <v>0</v>
      </c>
      <c r="L131" s="4173">
        <v>0</v>
      </c>
      <c r="M131" s="4173">
        <v>0</v>
      </c>
      <c r="N131" s="4173">
        <v>0</v>
      </c>
      <c r="O131" s="4210">
        <f t="shared" si="4"/>
        <v>0</v>
      </c>
    </row>
    <row r="132" spans="1:17" x14ac:dyDescent="0.25">
      <c r="A132" s="1594">
        <f t="shared" ref="A132:A195" si="5">F132+D132</f>
        <v>125552</v>
      </c>
      <c r="B132" s="4174" t="s">
        <v>1980</v>
      </c>
      <c r="C132" s="4174" t="s">
        <v>1979</v>
      </c>
      <c r="D132" s="4174">
        <v>1243</v>
      </c>
      <c r="E132" s="4174" t="s">
        <v>1982</v>
      </c>
      <c r="F132" s="4173">
        <v>124309</v>
      </c>
      <c r="G132" s="4173" t="s">
        <v>1977</v>
      </c>
      <c r="H132" s="4173"/>
      <c r="I132" s="4174">
        <v>0</v>
      </c>
      <c r="J132" s="4173">
        <v>0</v>
      </c>
      <c r="K132" s="4173">
        <v>0</v>
      </c>
      <c r="L132" s="4173">
        <v>0</v>
      </c>
      <c r="M132" s="4173">
        <v>0</v>
      </c>
      <c r="N132" s="4173">
        <v>0</v>
      </c>
      <c r="O132" s="4210">
        <f t="shared" ref="O132:O195" si="6">K132/K$211</f>
        <v>0</v>
      </c>
    </row>
    <row r="133" spans="1:17" x14ac:dyDescent="0.25">
      <c r="A133" s="1594">
        <f t="shared" si="5"/>
        <v>125553</v>
      </c>
      <c r="B133" s="4174" t="s">
        <v>1980</v>
      </c>
      <c r="C133" s="4174" t="s">
        <v>1979</v>
      </c>
      <c r="D133" s="4174">
        <v>1243</v>
      </c>
      <c r="E133" s="4174" t="s">
        <v>2793</v>
      </c>
      <c r="F133" s="4173">
        <v>124310</v>
      </c>
      <c r="G133" s="4173" t="s">
        <v>1977</v>
      </c>
      <c r="H133" s="4173"/>
      <c r="I133" s="4174">
        <v>0</v>
      </c>
      <c r="J133" s="4173">
        <v>0</v>
      </c>
      <c r="K133" s="4173">
        <v>0</v>
      </c>
      <c r="L133" s="4173">
        <v>0</v>
      </c>
      <c r="M133" s="4173">
        <v>0</v>
      </c>
      <c r="N133" s="4173">
        <v>0</v>
      </c>
      <c r="O133" s="4210">
        <f t="shared" si="6"/>
        <v>0</v>
      </c>
    </row>
    <row r="134" spans="1:17" x14ac:dyDescent="0.25">
      <c r="A134" s="1594">
        <f t="shared" si="5"/>
        <v>125554</v>
      </c>
      <c r="B134" s="4174" t="s">
        <v>1980</v>
      </c>
      <c r="C134" s="4174" t="s">
        <v>1979</v>
      </c>
      <c r="D134" s="4174">
        <v>1243</v>
      </c>
      <c r="E134" s="4174" t="s">
        <v>1978</v>
      </c>
      <c r="F134" s="4173">
        <v>124311</v>
      </c>
      <c r="G134" s="4173" t="s">
        <v>1977</v>
      </c>
      <c r="H134" s="4173"/>
      <c r="I134" s="4174">
        <v>0</v>
      </c>
      <c r="J134" s="4173">
        <v>0</v>
      </c>
      <c r="K134" s="4173">
        <v>0</v>
      </c>
      <c r="L134" s="4173">
        <v>0</v>
      </c>
      <c r="M134" s="4173">
        <v>0</v>
      </c>
      <c r="N134" s="4173">
        <v>0</v>
      </c>
      <c r="O134" s="4210">
        <f t="shared" si="6"/>
        <v>0</v>
      </c>
    </row>
    <row r="135" spans="1:17" x14ac:dyDescent="0.25">
      <c r="A135" s="1594">
        <f t="shared" si="5"/>
        <v>131301</v>
      </c>
      <c r="B135" s="4174" t="s">
        <v>963</v>
      </c>
      <c r="C135" s="4174" t="s">
        <v>1976</v>
      </c>
      <c r="D135" s="4174">
        <v>1300</v>
      </c>
      <c r="E135" s="4174" t="s">
        <v>963</v>
      </c>
      <c r="F135" s="4173">
        <v>130001</v>
      </c>
      <c r="G135" s="4173" t="s">
        <v>350</v>
      </c>
      <c r="H135" s="4173"/>
      <c r="I135" s="4174">
        <v>10</v>
      </c>
      <c r="J135" s="4173">
        <v>403.89</v>
      </c>
      <c r="K135" s="4173">
        <v>57.71</v>
      </c>
      <c r="L135" s="4173">
        <v>5896.77</v>
      </c>
      <c r="M135" s="4173">
        <v>0</v>
      </c>
      <c r="N135" s="4173">
        <v>1252.05</v>
      </c>
      <c r="O135" s="4210">
        <f t="shared" si="6"/>
        <v>2.4581714714100728E-2</v>
      </c>
    </row>
    <row r="136" spans="1:17" x14ac:dyDescent="0.25">
      <c r="A136" s="1594">
        <f t="shared" si="5"/>
        <v>141502</v>
      </c>
      <c r="B136" s="4174" t="s">
        <v>961</v>
      </c>
      <c r="C136" s="4174" t="s">
        <v>1975</v>
      </c>
      <c r="D136" s="4174">
        <v>1401</v>
      </c>
      <c r="E136" s="4174" t="s">
        <v>1974</v>
      </c>
      <c r="F136" s="4173">
        <v>140101</v>
      </c>
      <c r="G136" s="4173" t="s">
        <v>350</v>
      </c>
      <c r="H136" s="4173"/>
      <c r="I136" s="4174">
        <v>0</v>
      </c>
      <c r="J136" s="4173">
        <v>0</v>
      </c>
      <c r="K136" s="4173">
        <v>0</v>
      </c>
      <c r="L136" s="4173">
        <v>0</v>
      </c>
      <c r="M136" s="4173">
        <v>0</v>
      </c>
      <c r="N136" s="4173">
        <v>0</v>
      </c>
      <c r="O136" s="4210">
        <f t="shared" si="6"/>
        <v>0</v>
      </c>
    </row>
    <row r="137" spans="1:17" x14ac:dyDescent="0.25">
      <c r="A137" s="1594">
        <f t="shared" si="5"/>
        <v>141603</v>
      </c>
      <c r="B137" s="4174" t="s">
        <v>961</v>
      </c>
      <c r="C137" s="4174" t="s">
        <v>1973</v>
      </c>
      <c r="D137" s="4174">
        <v>1402</v>
      </c>
      <c r="E137" s="4174" t="s">
        <v>1972</v>
      </c>
      <c r="F137" s="4173">
        <v>140201</v>
      </c>
      <c r="G137" s="4173" t="s">
        <v>350</v>
      </c>
      <c r="H137" s="4173"/>
      <c r="I137" s="4174">
        <v>0</v>
      </c>
      <c r="J137" s="4173">
        <v>0</v>
      </c>
      <c r="K137" s="4173">
        <v>0</v>
      </c>
      <c r="L137" s="4173">
        <v>0</v>
      </c>
      <c r="M137" s="4173">
        <v>0</v>
      </c>
      <c r="N137" s="4173">
        <v>0</v>
      </c>
      <c r="O137" s="4210">
        <f t="shared" si="6"/>
        <v>0</v>
      </c>
    </row>
    <row r="138" spans="1:17" x14ac:dyDescent="0.25">
      <c r="A138" s="1594">
        <f t="shared" si="5"/>
        <v>141704</v>
      </c>
      <c r="B138" s="4174" t="s">
        <v>961</v>
      </c>
      <c r="C138" s="4174" t="s">
        <v>1971</v>
      </c>
      <c r="D138" s="4174">
        <v>1403</v>
      </c>
      <c r="E138" s="4174" t="s">
        <v>1970</v>
      </c>
      <c r="F138" s="4173">
        <v>140301</v>
      </c>
      <c r="G138" s="4173" t="s">
        <v>350</v>
      </c>
      <c r="H138" s="4173"/>
      <c r="I138" s="4174">
        <v>0</v>
      </c>
      <c r="J138" s="4173">
        <v>0</v>
      </c>
      <c r="K138" s="4173">
        <v>0</v>
      </c>
      <c r="L138" s="4173">
        <v>0</v>
      </c>
      <c r="M138" s="4173">
        <v>0</v>
      </c>
      <c r="N138" s="4173">
        <v>0</v>
      </c>
      <c r="O138" s="4210">
        <f t="shared" si="6"/>
        <v>0</v>
      </c>
    </row>
    <row r="139" spans="1:17" x14ac:dyDescent="0.25">
      <c r="A139" s="1594">
        <f t="shared" si="5"/>
        <v>151602</v>
      </c>
      <c r="B139" s="4174" t="s">
        <v>907</v>
      </c>
      <c r="C139" s="4174" t="s">
        <v>5362</v>
      </c>
      <c r="D139" s="4174">
        <v>1501</v>
      </c>
      <c r="E139" s="4174" t="s">
        <v>1969</v>
      </c>
      <c r="F139" s="4173">
        <v>150101</v>
      </c>
      <c r="G139" s="4173" t="s">
        <v>1941</v>
      </c>
      <c r="H139" s="4173"/>
      <c r="I139" s="4174">
        <v>0</v>
      </c>
      <c r="J139" s="4173">
        <v>0</v>
      </c>
      <c r="K139" s="4173">
        <v>0</v>
      </c>
      <c r="L139" s="4173">
        <v>0</v>
      </c>
      <c r="M139" s="4173">
        <v>0</v>
      </c>
      <c r="N139" s="4173">
        <v>0</v>
      </c>
      <c r="O139" s="4210">
        <f t="shared" si="6"/>
        <v>0</v>
      </c>
    </row>
    <row r="140" spans="1:17" x14ac:dyDescent="0.25">
      <c r="A140" s="1594">
        <f t="shared" si="5"/>
        <v>151605</v>
      </c>
      <c r="B140" s="4174" t="s">
        <v>907</v>
      </c>
      <c r="C140" s="4174" t="s">
        <v>5362</v>
      </c>
      <c r="D140" s="4174">
        <v>1501</v>
      </c>
      <c r="E140" s="4174" t="s">
        <v>1968</v>
      </c>
      <c r="F140" s="4173">
        <v>150104</v>
      </c>
      <c r="G140" s="4173" t="s">
        <v>1941</v>
      </c>
      <c r="H140" s="4173" t="s">
        <v>350</v>
      </c>
      <c r="I140" s="4174">
        <v>0</v>
      </c>
      <c r="J140" s="4173">
        <v>0</v>
      </c>
      <c r="K140" s="4173">
        <v>0</v>
      </c>
      <c r="L140" s="4173">
        <v>0</v>
      </c>
      <c r="M140" s="4173">
        <v>0</v>
      </c>
      <c r="N140" s="4173">
        <v>0</v>
      </c>
      <c r="O140" s="4210">
        <f t="shared" si="6"/>
        <v>0</v>
      </c>
      <c r="Q140" s="860">
        <f>SUM(J140:J148)+SUM(J159:J162)</f>
        <v>0</v>
      </c>
    </row>
    <row r="141" spans="1:17" x14ac:dyDescent="0.25">
      <c r="A141" s="1594">
        <f t="shared" si="5"/>
        <v>151606</v>
      </c>
      <c r="B141" s="4174" t="s">
        <v>907</v>
      </c>
      <c r="C141" s="4174" t="s">
        <v>5362</v>
      </c>
      <c r="D141" s="4174">
        <v>1501</v>
      </c>
      <c r="E141" s="4174" t="s">
        <v>1967</v>
      </c>
      <c r="F141" s="4173">
        <v>150105</v>
      </c>
      <c r="G141" s="4173" t="s">
        <v>1941</v>
      </c>
      <c r="H141" s="4173" t="s">
        <v>350</v>
      </c>
      <c r="I141" s="4174">
        <v>0</v>
      </c>
      <c r="J141" s="4173">
        <v>0</v>
      </c>
      <c r="K141" s="4173">
        <v>0</v>
      </c>
      <c r="L141" s="4173">
        <v>0</v>
      </c>
      <c r="M141" s="4173">
        <v>0</v>
      </c>
      <c r="N141" s="4173">
        <v>0</v>
      </c>
      <c r="O141" s="4210">
        <f t="shared" si="6"/>
        <v>0</v>
      </c>
    </row>
    <row r="142" spans="1:17" x14ac:dyDescent="0.25">
      <c r="A142" s="1594">
        <f t="shared" si="5"/>
        <v>151607</v>
      </c>
      <c r="B142" s="4174" t="s">
        <v>907</v>
      </c>
      <c r="C142" s="4174" t="s">
        <v>5362</v>
      </c>
      <c r="D142" s="4174">
        <v>1501</v>
      </c>
      <c r="E142" s="4174" t="s">
        <v>1966</v>
      </c>
      <c r="F142" s="4173">
        <v>150106</v>
      </c>
      <c r="G142" s="4173" t="s">
        <v>350</v>
      </c>
      <c r="H142" s="4173"/>
      <c r="I142" s="4174">
        <v>0</v>
      </c>
      <c r="J142" s="4173">
        <v>0</v>
      </c>
      <c r="K142" s="4173">
        <v>0</v>
      </c>
      <c r="L142" s="4173">
        <v>0</v>
      </c>
      <c r="M142" s="4173">
        <v>0</v>
      </c>
      <c r="N142" s="4173">
        <v>0</v>
      </c>
      <c r="O142" s="4210">
        <f t="shared" si="6"/>
        <v>0</v>
      </c>
    </row>
    <row r="143" spans="1:17" x14ac:dyDescent="0.25">
      <c r="A143" s="1594">
        <f t="shared" si="5"/>
        <v>151608</v>
      </c>
      <c r="B143" s="4174" t="s">
        <v>907</v>
      </c>
      <c r="C143" s="4174" t="s">
        <v>5362</v>
      </c>
      <c r="D143" s="4174">
        <v>1501</v>
      </c>
      <c r="E143" s="4174" t="s">
        <v>1965</v>
      </c>
      <c r="F143" s="4173">
        <v>150107</v>
      </c>
      <c r="G143" s="4173" t="s">
        <v>1941</v>
      </c>
      <c r="H143" s="4173"/>
      <c r="I143" s="4174">
        <v>0</v>
      </c>
      <c r="J143" s="4173">
        <v>0</v>
      </c>
      <c r="K143" s="4173">
        <v>0</v>
      </c>
      <c r="L143" s="4173">
        <v>0</v>
      </c>
      <c r="M143" s="4173">
        <v>0</v>
      </c>
      <c r="N143" s="4173">
        <v>0</v>
      </c>
      <c r="O143" s="4210">
        <f t="shared" si="6"/>
        <v>0</v>
      </c>
    </row>
    <row r="144" spans="1:17" x14ac:dyDescent="0.25">
      <c r="A144" s="1594">
        <f t="shared" si="5"/>
        <v>151609</v>
      </c>
      <c r="B144" s="4174" t="s">
        <v>907</v>
      </c>
      <c r="C144" s="4174" t="s">
        <v>5362</v>
      </c>
      <c r="D144" s="4174">
        <v>1501</v>
      </c>
      <c r="E144" s="4174" t="s">
        <v>1963</v>
      </c>
      <c r="F144" s="4173">
        <v>150108</v>
      </c>
      <c r="G144" s="4173" t="s">
        <v>1903</v>
      </c>
      <c r="H144" s="4173" t="s">
        <v>1943</v>
      </c>
      <c r="I144" s="4174">
        <v>0</v>
      </c>
      <c r="J144" s="4173">
        <v>0</v>
      </c>
      <c r="K144" s="4173">
        <v>0</v>
      </c>
      <c r="L144" s="4173">
        <v>0</v>
      </c>
      <c r="M144" s="4173">
        <v>0</v>
      </c>
      <c r="N144" s="4173">
        <v>0</v>
      </c>
      <c r="O144" s="4210">
        <f t="shared" si="6"/>
        <v>0</v>
      </c>
    </row>
    <row r="145" spans="1:15" x14ac:dyDescent="0.25">
      <c r="A145" s="1594">
        <f t="shared" si="5"/>
        <v>151703</v>
      </c>
      <c r="B145" s="4174" t="s">
        <v>907</v>
      </c>
      <c r="C145" s="4174" t="s">
        <v>5363</v>
      </c>
      <c r="D145" s="4174">
        <v>1502</v>
      </c>
      <c r="E145" s="4174" t="s">
        <v>1962</v>
      </c>
      <c r="F145" s="4173">
        <v>150201</v>
      </c>
      <c r="G145" s="4173" t="s">
        <v>1941</v>
      </c>
      <c r="H145" s="4173"/>
      <c r="I145" s="4174">
        <v>0</v>
      </c>
      <c r="J145" s="4173">
        <v>0</v>
      </c>
      <c r="K145" s="4173">
        <v>0</v>
      </c>
      <c r="L145" s="4173">
        <v>0</v>
      </c>
      <c r="M145" s="4173">
        <v>0</v>
      </c>
      <c r="N145" s="4173">
        <v>0</v>
      </c>
      <c r="O145" s="4210">
        <f t="shared" si="6"/>
        <v>0</v>
      </c>
    </row>
    <row r="146" spans="1:15" x14ac:dyDescent="0.25">
      <c r="A146" s="1594">
        <f t="shared" si="5"/>
        <v>151704</v>
      </c>
      <c r="B146" s="4174" t="s">
        <v>907</v>
      </c>
      <c r="C146" s="4174" t="s">
        <v>5363</v>
      </c>
      <c r="D146" s="4174">
        <v>1502</v>
      </c>
      <c r="E146" s="4174" t="s">
        <v>1961</v>
      </c>
      <c r="F146" s="4173">
        <v>150202</v>
      </c>
      <c r="G146" s="4173" t="s">
        <v>1941</v>
      </c>
      <c r="H146" s="4173"/>
      <c r="I146" s="4174">
        <v>0</v>
      </c>
      <c r="J146" s="4173">
        <v>0</v>
      </c>
      <c r="K146" s="4173">
        <v>0</v>
      </c>
      <c r="L146" s="4173">
        <v>0</v>
      </c>
      <c r="M146" s="4173">
        <v>0</v>
      </c>
      <c r="N146" s="4173">
        <v>0</v>
      </c>
      <c r="O146" s="4210">
        <f t="shared" si="6"/>
        <v>0</v>
      </c>
    </row>
    <row r="147" spans="1:15" x14ac:dyDescent="0.25">
      <c r="A147" s="1594">
        <f t="shared" si="5"/>
        <v>151707</v>
      </c>
      <c r="B147" s="4174" t="s">
        <v>907</v>
      </c>
      <c r="C147" s="4174" t="s">
        <v>5363</v>
      </c>
      <c r="D147" s="4174">
        <v>1502</v>
      </c>
      <c r="E147" s="4174" t="s">
        <v>351</v>
      </c>
      <c r="F147" s="4173">
        <v>150205</v>
      </c>
      <c r="G147" s="4173" t="s">
        <v>1924</v>
      </c>
      <c r="H147" s="4173"/>
      <c r="I147" s="4174">
        <v>0</v>
      </c>
      <c r="J147" s="4173">
        <v>0</v>
      </c>
      <c r="K147" s="4173">
        <v>0</v>
      </c>
      <c r="L147" s="4173">
        <v>0</v>
      </c>
      <c r="M147" s="4173">
        <v>0</v>
      </c>
      <c r="N147" s="4173">
        <v>0</v>
      </c>
      <c r="O147" s="4210">
        <f t="shared" si="6"/>
        <v>0</v>
      </c>
    </row>
    <row r="148" spans="1:15" x14ac:dyDescent="0.25">
      <c r="A148" s="1594">
        <f t="shared" si="5"/>
        <v>152612</v>
      </c>
      <c r="B148" s="4174" t="s">
        <v>907</v>
      </c>
      <c r="C148" s="4174" t="s">
        <v>2752</v>
      </c>
      <c r="D148" s="4174">
        <v>1511</v>
      </c>
      <c r="E148" s="4174" t="s">
        <v>1960</v>
      </c>
      <c r="F148" s="4173">
        <v>151101</v>
      </c>
      <c r="G148" s="4173" t="s">
        <v>1941</v>
      </c>
      <c r="H148" s="4173"/>
      <c r="I148" s="4174">
        <v>0</v>
      </c>
      <c r="J148" s="4173">
        <v>0</v>
      </c>
      <c r="K148" s="4173">
        <v>0</v>
      </c>
      <c r="L148" s="4173">
        <v>0</v>
      </c>
      <c r="M148" s="4173">
        <v>0</v>
      </c>
      <c r="N148" s="4173">
        <v>0</v>
      </c>
      <c r="O148" s="4210">
        <f t="shared" si="6"/>
        <v>0</v>
      </c>
    </row>
    <row r="149" spans="1:15" x14ac:dyDescent="0.25">
      <c r="A149" s="1594">
        <f t="shared" si="5"/>
        <v>152614</v>
      </c>
      <c r="B149" s="4174" t="s">
        <v>907</v>
      </c>
      <c r="C149" s="4174" t="s">
        <v>2752</v>
      </c>
      <c r="D149" s="4174">
        <v>1511</v>
      </c>
      <c r="E149" s="4174" t="s">
        <v>1959</v>
      </c>
      <c r="F149" s="4173">
        <v>151103</v>
      </c>
      <c r="G149" s="4173" t="s">
        <v>1941</v>
      </c>
      <c r="H149" s="4173"/>
      <c r="I149" s="4174">
        <v>0</v>
      </c>
      <c r="J149" s="4173">
        <v>0</v>
      </c>
      <c r="K149" s="4173">
        <v>0</v>
      </c>
      <c r="L149" s="4173">
        <v>0</v>
      </c>
      <c r="M149" s="4173">
        <v>0</v>
      </c>
      <c r="N149" s="4173">
        <v>0</v>
      </c>
      <c r="O149" s="4210">
        <f t="shared" si="6"/>
        <v>0</v>
      </c>
    </row>
    <row r="150" spans="1:15" x14ac:dyDescent="0.25">
      <c r="A150" s="1594">
        <f t="shared" si="5"/>
        <v>152615</v>
      </c>
      <c r="B150" s="4174" t="s">
        <v>907</v>
      </c>
      <c r="C150" s="4174" t="s">
        <v>2752</v>
      </c>
      <c r="D150" s="4174">
        <v>1511</v>
      </c>
      <c r="E150" s="4174" t="s">
        <v>1944</v>
      </c>
      <c r="F150" s="4173">
        <v>151104</v>
      </c>
      <c r="G150" s="4173" t="s">
        <v>1903</v>
      </c>
      <c r="H150" s="4173" t="s">
        <v>1943</v>
      </c>
      <c r="I150" s="4174">
        <v>0</v>
      </c>
      <c r="J150" s="4173">
        <v>0</v>
      </c>
      <c r="K150" s="4173">
        <v>0</v>
      </c>
      <c r="L150" s="4173">
        <v>0</v>
      </c>
      <c r="M150" s="4173">
        <v>0</v>
      </c>
      <c r="N150" s="4173">
        <v>0</v>
      </c>
      <c r="O150" s="4210">
        <f t="shared" si="6"/>
        <v>0</v>
      </c>
    </row>
    <row r="151" spans="1:15" x14ac:dyDescent="0.25">
      <c r="A151" s="1594">
        <f t="shared" si="5"/>
        <v>152616</v>
      </c>
      <c r="B151" s="4174" t="s">
        <v>907</v>
      </c>
      <c r="C151" s="4174" t="s">
        <v>2752</v>
      </c>
      <c r="D151" s="4174">
        <v>1511</v>
      </c>
      <c r="E151" s="4174" t="s">
        <v>350</v>
      </c>
      <c r="F151" s="4173">
        <v>151105</v>
      </c>
      <c r="G151" s="4173" t="s">
        <v>350</v>
      </c>
      <c r="H151" s="4173"/>
      <c r="I151" s="4174">
        <v>1</v>
      </c>
      <c r="J151" s="4173">
        <v>27.54</v>
      </c>
      <c r="K151" s="4173">
        <v>0.08</v>
      </c>
      <c r="L151" s="4173">
        <v>4.9800000000000004</v>
      </c>
      <c r="M151" s="4173">
        <v>0</v>
      </c>
      <c r="N151" s="4173">
        <v>2.16</v>
      </c>
      <c r="O151" s="4210">
        <f t="shared" si="6"/>
        <v>3.4076194370612687E-5</v>
      </c>
    </row>
    <row r="152" spans="1:15" x14ac:dyDescent="0.25">
      <c r="A152" s="1594">
        <f t="shared" si="5"/>
        <v>152715</v>
      </c>
      <c r="B152" s="4174" t="s">
        <v>907</v>
      </c>
      <c r="C152" s="4174" t="s">
        <v>2753</v>
      </c>
      <c r="D152" s="4174">
        <v>1512</v>
      </c>
      <c r="E152" s="4174" t="s">
        <v>1945</v>
      </c>
      <c r="F152" s="4173">
        <v>151203</v>
      </c>
      <c r="G152" s="4173" t="s">
        <v>1941</v>
      </c>
      <c r="H152" s="4173"/>
      <c r="I152" s="4174">
        <v>0</v>
      </c>
      <c r="J152" s="4173">
        <v>0</v>
      </c>
      <c r="K152" s="4173">
        <v>0</v>
      </c>
      <c r="L152" s="4173">
        <v>0</v>
      </c>
      <c r="M152" s="4173">
        <v>0</v>
      </c>
      <c r="N152" s="4173">
        <v>0</v>
      </c>
      <c r="O152" s="4210">
        <f t="shared" si="6"/>
        <v>0</v>
      </c>
    </row>
    <row r="153" spans="1:15" x14ac:dyDescent="0.25">
      <c r="A153" s="1594">
        <f t="shared" si="5"/>
        <v>152716</v>
      </c>
      <c r="B153" s="4174" t="s">
        <v>907</v>
      </c>
      <c r="C153" s="4174" t="s">
        <v>2753</v>
      </c>
      <c r="D153" s="4174">
        <v>1512</v>
      </c>
      <c r="E153" s="4174" t="s">
        <v>1944</v>
      </c>
      <c r="F153" s="4173">
        <v>151204</v>
      </c>
      <c r="G153" s="4173" t="s">
        <v>1903</v>
      </c>
      <c r="H153" s="4173" t="s">
        <v>1943</v>
      </c>
      <c r="I153" s="4174">
        <v>0</v>
      </c>
      <c r="J153" s="4173">
        <v>0</v>
      </c>
      <c r="K153" s="4173">
        <v>0</v>
      </c>
      <c r="L153" s="4173">
        <v>0</v>
      </c>
      <c r="M153" s="4173">
        <v>0</v>
      </c>
      <c r="N153" s="4173">
        <v>0</v>
      </c>
      <c r="O153" s="4210">
        <f t="shared" si="6"/>
        <v>0</v>
      </c>
    </row>
    <row r="154" spans="1:15" x14ac:dyDescent="0.25">
      <c r="A154" s="1594">
        <f t="shared" si="5"/>
        <v>152717</v>
      </c>
      <c r="B154" s="4174" t="s">
        <v>907</v>
      </c>
      <c r="C154" s="4174" t="s">
        <v>2753</v>
      </c>
      <c r="D154" s="4174">
        <v>1512</v>
      </c>
      <c r="E154" s="4174" t="s">
        <v>1942</v>
      </c>
      <c r="F154" s="4173">
        <v>151205</v>
      </c>
      <c r="G154" s="4173" t="s">
        <v>1941</v>
      </c>
      <c r="H154" s="4173" t="s">
        <v>350</v>
      </c>
      <c r="I154" s="4174">
        <v>0</v>
      </c>
      <c r="J154" s="4173">
        <v>0</v>
      </c>
      <c r="K154" s="4173">
        <v>0</v>
      </c>
      <c r="L154" s="4173">
        <v>0</v>
      </c>
      <c r="M154" s="4173">
        <v>0</v>
      </c>
      <c r="N154" s="4173">
        <v>0</v>
      </c>
      <c r="O154" s="4210">
        <f t="shared" si="6"/>
        <v>0</v>
      </c>
    </row>
    <row r="155" spans="1:15" x14ac:dyDescent="0.25">
      <c r="A155" s="1594">
        <f t="shared" si="5"/>
        <v>152718</v>
      </c>
      <c r="B155" s="4174" t="s">
        <v>907</v>
      </c>
      <c r="C155" s="4174" t="s">
        <v>2753</v>
      </c>
      <c r="D155" s="4174">
        <v>1512</v>
      </c>
      <c r="E155" s="4174" t="s">
        <v>350</v>
      </c>
      <c r="F155" s="4173">
        <v>151206</v>
      </c>
      <c r="G155" s="4173" t="s">
        <v>350</v>
      </c>
      <c r="H155" s="4173"/>
      <c r="I155" s="4174">
        <v>1</v>
      </c>
      <c r="J155" s="4173">
        <v>27.54</v>
      </c>
      <c r="K155" s="4173">
        <v>0.42</v>
      </c>
      <c r="L155" s="4173">
        <v>32.270000000000003</v>
      </c>
      <c r="M155" s="4173">
        <v>0</v>
      </c>
      <c r="N155" s="4173">
        <v>11.26</v>
      </c>
      <c r="O155" s="4210">
        <f t="shared" si="6"/>
        <v>1.7890002044571658E-4</v>
      </c>
    </row>
    <row r="156" spans="1:15" x14ac:dyDescent="0.25">
      <c r="A156" s="1594">
        <f t="shared" si="5"/>
        <v>152719</v>
      </c>
      <c r="B156" s="4174" t="s">
        <v>907</v>
      </c>
      <c r="C156" s="4174" t="s">
        <v>2753</v>
      </c>
      <c r="D156" s="4174">
        <v>1512</v>
      </c>
      <c r="E156" s="4174" t="s">
        <v>1958</v>
      </c>
      <c r="F156" s="4173">
        <v>151207</v>
      </c>
      <c r="G156" s="4173" t="s">
        <v>1941</v>
      </c>
      <c r="H156" s="4173"/>
      <c r="I156" s="4174">
        <v>0</v>
      </c>
      <c r="J156" s="4173">
        <v>0</v>
      </c>
      <c r="K156" s="4173">
        <v>0</v>
      </c>
      <c r="L156" s="4173">
        <v>0</v>
      </c>
      <c r="M156" s="4173">
        <v>0</v>
      </c>
      <c r="N156" s="4173">
        <v>0</v>
      </c>
      <c r="O156" s="4210">
        <f t="shared" si="6"/>
        <v>0</v>
      </c>
    </row>
    <row r="157" spans="1:15" x14ac:dyDescent="0.25">
      <c r="A157" s="1594">
        <f t="shared" si="5"/>
        <v>152720</v>
      </c>
      <c r="B157" s="4174" t="s">
        <v>907</v>
      </c>
      <c r="C157" s="4174" t="s">
        <v>2753</v>
      </c>
      <c r="D157" s="4174">
        <v>1512</v>
      </c>
      <c r="E157" s="4174" t="s">
        <v>2890</v>
      </c>
      <c r="F157" s="4173">
        <v>151208</v>
      </c>
      <c r="G157" s="4173" t="s">
        <v>1941</v>
      </c>
      <c r="H157" s="4173"/>
      <c r="I157" s="4174">
        <v>0</v>
      </c>
      <c r="J157" s="4173">
        <v>0</v>
      </c>
      <c r="K157" s="4173">
        <v>0</v>
      </c>
      <c r="L157" s="4173">
        <v>0</v>
      </c>
      <c r="M157" s="4173">
        <v>0</v>
      </c>
      <c r="N157" s="4173">
        <v>0</v>
      </c>
      <c r="O157" s="4210">
        <f t="shared" si="6"/>
        <v>0</v>
      </c>
    </row>
    <row r="158" spans="1:15" x14ac:dyDescent="0.25">
      <c r="A158" s="1594">
        <f t="shared" si="5"/>
        <v>153522</v>
      </c>
      <c r="B158" s="4174" t="s">
        <v>907</v>
      </c>
      <c r="C158" s="4174" t="s">
        <v>1940</v>
      </c>
      <c r="D158" s="4174">
        <v>1520</v>
      </c>
      <c r="E158" s="4174" t="s">
        <v>1946</v>
      </c>
      <c r="F158" s="4173">
        <v>152002</v>
      </c>
      <c r="G158" s="4173" t="s">
        <v>1941</v>
      </c>
      <c r="H158" s="4173"/>
      <c r="I158" s="4174">
        <v>0</v>
      </c>
      <c r="J158" s="4173">
        <v>0</v>
      </c>
      <c r="K158" s="4173">
        <v>0</v>
      </c>
      <c r="L158" s="4173">
        <v>0</v>
      </c>
      <c r="M158" s="4173">
        <v>0</v>
      </c>
      <c r="N158" s="4173">
        <v>0</v>
      </c>
      <c r="O158" s="4210">
        <f t="shared" si="6"/>
        <v>0</v>
      </c>
    </row>
    <row r="159" spans="1:15" x14ac:dyDescent="0.25">
      <c r="A159" s="1594">
        <f t="shared" si="5"/>
        <v>153523</v>
      </c>
      <c r="B159" s="4174" t="s">
        <v>907</v>
      </c>
      <c r="C159" s="4174" t="s">
        <v>1940</v>
      </c>
      <c r="D159" s="4174">
        <v>1520</v>
      </c>
      <c r="E159" s="4174" t="s">
        <v>2755</v>
      </c>
      <c r="F159" s="4173">
        <v>152003</v>
      </c>
      <c r="G159" s="4173" t="s">
        <v>1941</v>
      </c>
      <c r="H159" s="4173"/>
      <c r="I159" s="4174">
        <v>0</v>
      </c>
      <c r="J159" s="4173">
        <v>0</v>
      </c>
      <c r="K159" s="4173">
        <v>0</v>
      </c>
      <c r="L159" s="4173">
        <v>0</v>
      </c>
      <c r="M159" s="4173">
        <v>0</v>
      </c>
      <c r="N159" s="4173">
        <v>0</v>
      </c>
      <c r="O159" s="4210">
        <f t="shared" si="6"/>
        <v>0</v>
      </c>
    </row>
    <row r="160" spans="1:15" x14ac:dyDescent="0.25">
      <c r="A160" s="1594">
        <f t="shared" si="5"/>
        <v>153524</v>
      </c>
      <c r="B160" s="4174" t="s">
        <v>907</v>
      </c>
      <c r="C160" s="4174" t="s">
        <v>1940</v>
      </c>
      <c r="D160" s="4174">
        <v>1520</v>
      </c>
      <c r="E160" s="4174" t="s">
        <v>1945</v>
      </c>
      <c r="F160" s="4173">
        <v>152004</v>
      </c>
      <c r="G160" s="4173" t="s">
        <v>1941</v>
      </c>
      <c r="H160" s="4173"/>
      <c r="I160" s="4174">
        <v>0</v>
      </c>
      <c r="J160" s="4173">
        <v>0</v>
      </c>
      <c r="K160" s="4173">
        <v>0</v>
      </c>
      <c r="L160" s="4173">
        <v>0</v>
      </c>
      <c r="M160" s="4173">
        <v>0</v>
      </c>
      <c r="N160" s="4173">
        <v>0</v>
      </c>
      <c r="O160" s="4210">
        <f t="shared" si="6"/>
        <v>0</v>
      </c>
    </row>
    <row r="161" spans="1:15" x14ac:dyDescent="0.25">
      <c r="A161" s="1594">
        <f t="shared" si="5"/>
        <v>153525</v>
      </c>
      <c r="B161" s="4174" t="s">
        <v>907</v>
      </c>
      <c r="C161" s="4174" t="s">
        <v>1940</v>
      </c>
      <c r="D161" s="4174">
        <v>1520</v>
      </c>
      <c r="E161" s="4174" t="s">
        <v>1944</v>
      </c>
      <c r="F161" s="4173">
        <v>152005</v>
      </c>
      <c r="G161" s="4173" t="s">
        <v>1903</v>
      </c>
      <c r="H161" s="4173" t="s">
        <v>1943</v>
      </c>
      <c r="I161" s="4174">
        <v>0</v>
      </c>
      <c r="J161" s="4173">
        <v>0</v>
      </c>
      <c r="K161" s="4173">
        <v>0</v>
      </c>
      <c r="L161" s="4173">
        <v>0</v>
      </c>
      <c r="M161" s="4173">
        <v>0</v>
      </c>
      <c r="N161" s="4173">
        <v>0</v>
      </c>
      <c r="O161" s="4210">
        <f t="shared" si="6"/>
        <v>0</v>
      </c>
    </row>
    <row r="162" spans="1:15" x14ac:dyDescent="0.25">
      <c r="A162" s="1594">
        <f t="shared" si="5"/>
        <v>153526</v>
      </c>
      <c r="B162" s="4174" t="s">
        <v>907</v>
      </c>
      <c r="C162" s="4174" t="s">
        <v>1940</v>
      </c>
      <c r="D162" s="4174">
        <v>1520</v>
      </c>
      <c r="E162" s="4174" t="s">
        <v>1942</v>
      </c>
      <c r="F162" s="4173">
        <v>152006</v>
      </c>
      <c r="G162" s="4173" t="s">
        <v>1941</v>
      </c>
      <c r="H162" s="4173" t="s">
        <v>350</v>
      </c>
      <c r="I162" s="4174">
        <v>0</v>
      </c>
      <c r="J162" s="4173">
        <v>0</v>
      </c>
      <c r="K162" s="4173">
        <v>0</v>
      </c>
      <c r="L162" s="4173">
        <v>0</v>
      </c>
      <c r="M162" s="4173">
        <v>0</v>
      </c>
      <c r="N162" s="4173">
        <v>0</v>
      </c>
      <c r="O162" s="4210">
        <f t="shared" si="6"/>
        <v>0</v>
      </c>
    </row>
    <row r="163" spans="1:15" x14ac:dyDescent="0.25">
      <c r="A163" s="1594">
        <f t="shared" si="5"/>
        <v>153527</v>
      </c>
      <c r="B163" s="4174" t="s">
        <v>907</v>
      </c>
      <c r="C163" s="4174" t="s">
        <v>1940</v>
      </c>
      <c r="D163" s="4174">
        <v>1520</v>
      </c>
      <c r="E163" s="4174" t="s">
        <v>350</v>
      </c>
      <c r="F163" s="4173">
        <v>152007</v>
      </c>
      <c r="G163" s="4173" t="s">
        <v>350</v>
      </c>
      <c r="H163" s="4173"/>
      <c r="I163" s="4174">
        <v>0</v>
      </c>
      <c r="J163" s="4173">
        <v>0</v>
      </c>
      <c r="K163" s="4173">
        <v>0</v>
      </c>
      <c r="L163" s="4173">
        <v>0</v>
      </c>
      <c r="M163" s="4173">
        <v>0</v>
      </c>
      <c r="N163" s="4173">
        <v>0</v>
      </c>
      <c r="O163" s="4210">
        <f t="shared" si="6"/>
        <v>0</v>
      </c>
    </row>
    <row r="164" spans="1:15" x14ac:dyDescent="0.25">
      <c r="A164" s="1594">
        <f t="shared" si="5"/>
        <v>212202</v>
      </c>
      <c r="B164" s="4174" t="s">
        <v>962</v>
      </c>
      <c r="C164" s="4174" t="s">
        <v>5364</v>
      </c>
      <c r="D164" s="4174">
        <v>2101</v>
      </c>
      <c r="E164" s="4174" t="s">
        <v>5365</v>
      </c>
      <c r="F164" s="4173">
        <v>210101</v>
      </c>
      <c r="G164" s="4173" t="s">
        <v>350</v>
      </c>
      <c r="H164" s="4173"/>
      <c r="I164" s="4174">
        <v>0</v>
      </c>
      <c r="J164" s="4173">
        <v>0</v>
      </c>
      <c r="K164" s="4173">
        <v>0</v>
      </c>
      <c r="L164" s="4173">
        <v>0</v>
      </c>
      <c r="M164" s="4173">
        <v>0</v>
      </c>
      <c r="N164" s="4173">
        <v>0</v>
      </c>
      <c r="O164" s="4210">
        <f t="shared" si="6"/>
        <v>0</v>
      </c>
    </row>
    <row r="165" spans="1:15" x14ac:dyDescent="0.25">
      <c r="A165" s="1594">
        <f t="shared" si="5"/>
        <v>212303</v>
      </c>
      <c r="B165" s="4174" t="s">
        <v>962</v>
      </c>
      <c r="C165" s="4174" t="s">
        <v>5366</v>
      </c>
      <c r="D165" s="4174">
        <v>2102</v>
      </c>
      <c r="E165" s="4174" t="s">
        <v>5367</v>
      </c>
      <c r="F165" s="4173">
        <v>210201</v>
      </c>
      <c r="G165" s="4173" t="s">
        <v>350</v>
      </c>
      <c r="H165" s="4173"/>
      <c r="I165" s="4174">
        <v>0</v>
      </c>
      <c r="J165" s="4173">
        <v>0</v>
      </c>
      <c r="K165" s="4173">
        <v>0</v>
      </c>
      <c r="L165" s="4173">
        <v>0</v>
      </c>
      <c r="M165" s="4173">
        <v>0</v>
      </c>
      <c r="N165" s="4173">
        <v>0</v>
      </c>
      <c r="O165" s="4210">
        <f t="shared" si="6"/>
        <v>0</v>
      </c>
    </row>
    <row r="166" spans="1:15" x14ac:dyDescent="0.25">
      <c r="A166" s="1594">
        <f t="shared" si="5"/>
        <v>212404</v>
      </c>
      <c r="B166" s="4174" t="s">
        <v>962</v>
      </c>
      <c r="C166" s="4174" t="s">
        <v>5368</v>
      </c>
      <c r="D166" s="4174">
        <v>2103</v>
      </c>
      <c r="E166" s="4174" t="s">
        <v>5369</v>
      </c>
      <c r="F166" s="4173">
        <v>210301</v>
      </c>
      <c r="G166" s="4173" t="s">
        <v>350</v>
      </c>
      <c r="H166" s="4173"/>
      <c r="I166" s="4174">
        <v>0</v>
      </c>
      <c r="J166" s="4173">
        <v>0</v>
      </c>
      <c r="K166" s="4173">
        <v>0</v>
      </c>
      <c r="L166" s="4173">
        <v>0</v>
      </c>
      <c r="M166" s="4173">
        <v>0</v>
      </c>
      <c r="N166" s="4173">
        <v>0</v>
      </c>
      <c r="O166" s="4210">
        <f t="shared" si="6"/>
        <v>0</v>
      </c>
    </row>
    <row r="167" spans="1:15" x14ac:dyDescent="0.25">
      <c r="A167" s="1594">
        <f t="shared" si="5"/>
        <v>212505</v>
      </c>
      <c r="B167" s="4174" t="s">
        <v>962</v>
      </c>
      <c r="C167" s="4174" t="s">
        <v>5370</v>
      </c>
      <c r="D167" s="4174">
        <v>2104</v>
      </c>
      <c r="E167" s="4174" t="s">
        <v>5371</v>
      </c>
      <c r="F167" s="4173">
        <v>210401</v>
      </c>
      <c r="G167" s="4173" t="s">
        <v>350</v>
      </c>
      <c r="H167" s="4173"/>
      <c r="I167" s="4174">
        <v>0</v>
      </c>
      <c r="J167" s="4173">
        <v>0</v>
      </c>
      <c r="K167" s="4173">
        <v>0</v>
      </c>
      <c r="L167" s="4173">
        <v>0</v>
      </c>
      <c r="M167" s="4173">
        <v>0</v>
      </c>
      <c r="N167" s="4173">
        <v>0</v>
      </c>
      <c r="O167" s="4210">
        <f t="shared" si="6"/>
        <v>0</v>
      </c>
    </row>
    <row r="168" spans="1:15" x14ac:dyDescent="0.25">
      <c r="A168" s="1594">
        <f t="shared" si="5"/>
        <v>212606</v>
      </c>
      <c r="B168" s="4174" t="s">
        <v>962</v>
      </c>
      <c r="C168" s="4174" t="s">
        <v>1931</v>
      </c>
      <c r="D168" s="4174">
        <v>2105</v>
      </c>
      <c r="E168" s="4174" t="s">
        <v>5372</v>
      </c>
      <c r="F168" s="4173">
        <v>210501</v>
      </c>
      <c r="G168" s="4173" t="s">
        <v>350</v>
      </c>
      <c r="H168" s="4173"/>
      <c r="I168" s="4174">
        <v>0</v>
      </c>
      <c r="J168" s="4173">
        <v>0</v>
      </c>
      <c r="K168" s="4173">
        <v>0</v>
      </c>
      <c r="L168" s="4173">
        <v>0</v>
      </c>
      <c r="M168" s="4173">
        <v>0</v>
      </c>
      <c r="N168" s="4173">
        <v>0</v>
      </c>
      <c r="O168" s="4210">
        <f t="shared" si="6"/>
        <v>0</v>
      </c>
    </row>
    <row r="169" spans="1:15" x14ac:dyDescent="0.25">
      <c r="A169" s="1594">
        <f t="shared" si="5"/>
        <v>212707</v>
      </c>
      <c r="B169" s="4174" t="s">
        <v>962</v>
      </c>
      <c r="C169" s="4174" t="s">
        <v>1929</v>
      </c>
      <c r="D169" s="4174">
        <v>2106</v>
      </c>
      <c r="E169" s="4174" t="s">
        <v>5373</v>
      </c>
      <c r="F169" s="4173">
        <v>210601</v>
      </c>
      <c r="G169" s="4173" t="s">
        <v>350</v>
      </c>
      <c r="H169" s="4173"/>
      <c r="I169" s="4174">
        <v>0</v>
      </c>
      <c r="J169" s="4173">
        <v>0</v>
      </c>
      <c r="K169" s="4173">
        <v>0</v>
      </c>
      <c r="L169" s="4173">
        <v>0</v>
      </c>
      <c r="M169" s="4173">
        <v>0</v>
      </c>
      <c r="N169" s="4173">
        <v>0</v>
      </c>
      <c r="O169" s="4210">
        <f t="shared" si="6"/>
        <v>0</v>
      </c>
    </row>
    <row r="170" spans="1:15" x14ac:dyDescent="0.25">
      <c r="A170" s="1594">
        <f t="shared" si="5"/>
        <v>242401</v>
      </c>
      <c r="B170" s="4174" t="s">
        <v>625</v>
      </c>
      <c r="C170" s="4174" t="s">
        <v>2750</v>
      </c>
      <c r="D170" s="4174">
        <v>2400</v>
      </c>
      <c r="E170" s="4174" t="s">
        <v>2749</v>
      </c>
      <c r="F170" s="4173">
        <v>240001</v>
      </c>
      <c r="G170" s="4173" t="s">
        <v>1926</v>
      </c>
      <c r="H170" s="4173" t="s">
        <v>350</v>
      </c>
      <c r="I170" s="4174">
        <v>8</v>
      </c>
      <c r="J170" s="4173">
        <v>28565.51</v>
      </c>
      <c r="K170" s="4173">
        <v>985</v>
      </c>
      <c r="L170" s="4173">
        <v>101859.99</v>
      </c>
      <c r="M170" s="4173">
        <v>16834.03</v>
      </c>
      <c r="N170" s="4173">
        <v>26534.959999999999</v>
      </c>
      <c r="O170" s="4210">
        <f t="shared" si="6"/>
        <v>0.41956314318816867</v>
      </c>
    </row>
    <row r="171" spans="1:15" x14ac:dyDescent="0.25">
      <c r="A171" s="1594">
        <f t="shared" si="5"/>
        <v>242403</v>
      </c>
      <c r="B171" s="4174" t="s">
        <v>625</v>
      </c>
      <c r="C171" s="4174" t="s">
        <v>2750</v>
      </c>
      <c r="D171" s="4174">
        <v>2400</v>
      </c>
      <c r="E171" s="4174" t="s">
        <v>2789</v>
      </c>
      <c r="F171" s="4173">
        <v>240003</v>
      </c>
      <c r="G171" s="4173" t="s">
        <v>1924</v>
      </c>
      <c r="H171" s="4173"/>
      <c r="I171" s="4174">
        <v>0</v>
      </c>
      <c r="J171" s="4173">
        <v>0</v>
      </c>
      <c r="K171" s="4173">
        <v>0</v>
      </c>
      <c r="L171" s="4173">
        <v>0</v>
      </c>
      <c r="M171" s="4173">
        <v>0</v>
      </c>
      <c r="N171" s="4173">
        <v>0</v>
      </c>
      <c r="O171" s="4210">
        <f t="shared" si="6"/>
        <v>0</v>
      </c>
    </row>
    <row r="172" spans="1:15" x14ac:dyDescent="0.25">
      <c r="A172" s="1594">
        <f t="shared" si="5"/>
        <v>242502</v>
      </c>
      <c r="B172" s="4174" t="s">
        <v>962</v>
      </c>
      <c r="C172" s="4174" t="s">
        <v>1922</v>
      </c>
      <c r="D172" s="4174">
        <v>2401</v>
      </c>
      <c r="E172" s="4174" t="s">
        <v>2787</v>
      </c>
      <c r="F172" s="4173">
        <v>240101</v>
      </c>
      <c r="G172" s="4173" t="s">
        <v>350</v>
      </c>
      <c r="H172" s="4173"/>
      <c r="I172" s="4174">
        <v>0</v>
      </c>
      <c r="J172" s="4173">
        <v>0</v>
      </c>
      <c r="K172" s="4173">
        <v>0</v>
      </c>
      <c r="L172" s="4173">
        <v>0</v>
      </c>
      <c r="M172" s="4173">
        <v>0</v>
      </c>
      <c r="N172" s="4173">
        <v>0</v>
      </c>
      <c r="O172" s="4210">
        <f t="shared" si="6"/>
        <v>0</v>
      </c>
    </row>
    <row r="173" spans="1:15" x14ac:dyDescent="0.25">
      <c r="A173" s="1594">
        <f t="shared" si="5"/>
        <v>313202</v>
      </c>
      <c r="B173" s="4174" t="s">
        <v>1900</v>
      </c>
      <c r="C173" s="4174" t="s">
        <v>1919</v>
      </c>
      <c r="D173" s="4174">
        <v>3101</v>
      </c>
      <c r="E173" s="4174" t="s">
        <v>2763</v>
      </c>
      <c r="F173" s="4173">
        <v>310101</v>
      </c>
      <c r="G173" s="4173" t="s">
        <v>1903</v>
      </c>
      <c r="H173" s="4173" t="s">
        <v>350</v>
      </c>
      <c r="I173" s="4174">
        <v>0</v>
      </c>
      <c r="J173" s="4173">
        <v>0</v>
      </c>
      <c r="K173" s="4173">
        <v>0</v>
      </c>
      <c r="L173" s="4173">
        <v>0</v>
      </c>
      <c r="M173" s="4173">
        <v>0</v>
      </c>
      <c r="N173" s="4173">
        <v>0</v>
      </c>
      <c r="O173" s="4210">
        <f t="shared" si="6"/>
        <v>0</v>
      </c>
    </row>
    <row r="174" spans="1:15" x14ac:dyDescent="0.25">
      <c r="A174" s="1594">
        <f t="shared" si="5"/>
        <v>313203</v>
      </c>
      <c r="B174" s="4174" t="s">
        <v>1900</v>
      </c>
      <c r="C174" s="4174" t="s">
        <v>1919</v>
      </c>
      <c r="D174" s="4174">
        <v>3101</v>
      </c>
      <c r="E174" s="4174" t="s">
        <v>2786</v>
      </c>
      <c r="F174" s="4173">
        <v>310102</v>
      </c>
      <c r="G174" s="4173" t="s">
        <v>350</v>
      </c>
      <c r="H174" s="4173"/>
      <c r="I174" s="4174">
        <v>0</v>
      </c>
      <c r="J174" s="4173">
        <v>0</v>
      </c>
      <c r="K174" s="4173">
        <v>0</v>
      </c>
      <c r="L174" s="4173">
        <v>0</v>
      </c>
      <c r="M174" s="4173">
        <v>0</v>
      </c>
      <c r="N174" s="4173">
        <v>0</v>
      </c>
      <c r="O174" s="4210">
        <f t="shared" si="6"/>
        <v>0</v>
      </c>
    </row>
    <row r="175" spans="1:15" x14ac:dyDescent="0.25">
      <c r="A175" s="1594">
        <f t="shared" si="5"/>
        <v>313204</v>
      </c>
      <c r="B175" s="4174" t="s">
        <v>1900</v>
      </c>
      <c r="C175" s="4174" t="s">
        <v>1919</v>
      </c>
      <c r="D175" s="4174">
        <v>3101</v>
      </c>
      <c r="E175" s="4174" t="s">
        <v>1920</v>
      </c>
      <c r="F175" s="4173">
        <v>310103</v>
      </c>
      <c r="G175" s="4173" t="s">
        <v>1903</v>
      </c>
      <c r="H175" s="4173" t="s">
        <v>350</v>
      </c>
      <c r="I175" s="4174">
        <v>0</v>
      </c>
      <c r="J175" s="4173">
        <v>0</v>
      </c>
      <c r="K175" s="4173">
        <v>0</v>
      </c>
      <c r="L175" s="4173">
        <v>0</v>
      </c>
      <c r="M175" s="4173">
        <v>0</v>
      </c>
      <c r="N175" s="4173">
        <v>0</v>
      </c>
      <c r="O175" s="4210">
        <f t="shared" si="6"/>
        <v>0</v>
      </c>
    </row>
    <row r="176" spans="1:15" x14ac:dyDescent="0.25">
      <c r="A176" s="1594">
        <f t="shared" si="5"/>
        <v>313303</v>
      </c>
      <c r="B176" s="4174" t="s">
        <v>1900</v>
      </c>
      <c r="C176" s="4174" t="s">
        <v>1915</v>
      </c>
      <c r="D176" s="4174">
        <v>3102</v>
      </c>
      <c r="E176" s="4174" t="s">
        <v>1917</v>
      </c>
      <c r="F176" s="4173">
        <v>310201</v>
      </c>
      <c r="G176" s="4173" t="s">
        <v>1903</v>
      </c>
      <c r="H176" s="4173" t="s">
        <v>350</v>
      </c>
      <c r="I176" s="4174">
        <v>0</v>
      </c>
      <c r="J176" s="4173">
        <v>0</v>
      </c>
      <c r="K176" s="4173">
        <v>0</v>
      </c>
      <c r="L176" s="4173">
        <v>0</v>
      </c>
      <c r="M176" s="4173">
        <v>0</v>
      </c>
      <c r="N176" s="4173">
        <v>0</v>
      </c>
      <c r="O176" s="4210">
        <f t="shared" si="6"/>
        <v>0</v>
      </c>
    </row>
    <row r="177" spans="1:17" x14ac:dyDescent="0.25">
      <c r="A177" s="1594">
        <f t="shared" si="5"/>
        <v>313304</v>
      </c>
      <c r="B177" s="4174" t="s">
        <v>1900</v>
      </c>
      <c r="C177" s="4174" t="s">
        <v>1915</v>
      </c>
      <c r="D177" s="4174">
        <v>3102</v>
      </c>
      <c r="E177" s="4174" t="s">
        <v>1916</v>
      </c>
      <c r="F177" s="4173">
        <v>310202</v>
      </c>
      <c r="G177" s="4173" t="s">
        <v>1903</v>
      </c>
      <c r="H177" s="4173" t="s">
        <v>350</v>
      </c>
      <c r="I177" s="4174">
        <v>0</v>
      </c>
      <c r="J177" s="4173">
        <v>0</v>
      </c>
      <c r="K177" s="4173">
        <v>0</v>
      </c>
      <c r="L177" s="4173">
        <v>0</v>
      </c>
      <c r="M177" s="4173">
        <v>0</v>
      </c>
      <c r="N177" s="4173">
        <v>0</v>
      </c>
      <c r="O177" s="4210">
        <f t="shared" si="6"/>
        <v>0</v>
      </c>
    </row>
    <row r="178" spans="1:17" x14ac:dyDescent="0.25">
      <c r="A178" s="1594">
        <f t="shared" si="5"/>
        <v>313404</v>
      </c>
      <c r="B178" s="4174" t="s">
        <v>1900</v>
      </c>
      <c r="C178" s="4174" t="s">
        <v>1911</v>
      </c>
      <c r="D178" s="4174">
        <v>3103</v>
      </c>
      <c r="E178" s="4174" t="s">
        <v>1913</v>
      </c>
      <c r="F178" s="4173">
        <v>310301</v>
      </c>
      <c r="G178" s="4173" t="s">
        <v>1903</v>
      </c>
      <c r="H178" s="4173" t="s">
        <v>350</v>
      </c>
      <c r="I178" s="4174">
        <v>0</v>
      </c>
      <c r="J178" s="4173">
        <v>0</v>
      </c>
      <c r="K178" s="4173">
        <v>0</v>
      </c>
      <c r="L178" s="4173">
        <v>0</v>
      </c>
      <c r="M178" s="4173">
        <v>0</v>
      </c>
      <c r="N178" s="4173">
        <v>0</v>
      </c>
      <c r="O178" s="4210">
        <f t="shared" si="6"/>
        <v>0</v>
      </c>
    </row>
    <row r="179" spans="1:17" x14ac:dyDescent="0.25">
      <c r="A179" s="1594">
        <f t="shared" si="5"/>
        <v>313405</v>
      </c>
      <c r="B179" s="4174" t="s">
        <v>1900</v>
      </c>
      <c r="C179" s="4174" t="s">
        <v>1911</v>
      </c>
      <c r="D179" s="4174">
        <v>3103</v>
      </c>
      <c r="E179" s="4174" t="s">
        <v>1912</v>
      </c>
      <c r="F179" s="4173">
        <v>310302</v>
      </c>
      <c r="G179" s="4173" t="s">
        <v>1903</v>
      </c>
      <c r="H179" s="4173" t="s">
        <v>350</v>
      </c>
      <c r="I179" s="4174">
        <v>0</v>
      </c>
      <c r="J179" s="4173">
        <v>0</v>
      </c>
      <c r="K179" s="4173">
        <v>0</v>
      </c>
      <c r="L179" s="4173">
        <v>0</v>
      </c>
      <c r="M179" s="4173">
        <v>0</v>
      </c>
      <c r="N179" s="4173">
        <v>0</v>
      </c>
      <c r="O179" s="4210">
        <f t="shared" si="6"/>
        <v>0</v>
      </c>
    </row>
    <row r="180" spans="1:17" x14ac:dyDescent="0.25">
      <c r="A180" s="1594">
        <f t="shared" si="5"/>
        <v>313506</v>
      </c>
      <c r="B180" s="4174" t="s">
        <v>1900</v>
      </c>
      <c r="C180" s="4174" t="s">
        <v>1908</v>
      </c>
      <c r="D180" s="4174">
        <v>3104</v>
      </c>
      <c r="E180" s="4174" t="s">
        <v>1909</v>
      </c>
      <c r="F180" s="4173">
        <v>310402</v>
      </c>
      <c r="G180" s="4173" t="s">
        <v>1903</v>
      </c>
      <c r="H180" s="4173"/>
      <c r="I180" s="4174">
        <v>0</v>
      </c>
      <c r="J180" s="4173">
        <v>0</v>
      </c>
      <c r="K180" s="4173">
        <v>0</v>
      </c>
      <c r="L180" s="4173">
        <v>0</v>
      </c>
      <c r="M180" s="4173">
        <v>0</v>
      </c>
      <c r="N180" s="4173">
        <v>0</v>
      </c>
      <c r="O180" s="4210">
        <f t="shared" si="6"/>
        <v>0</v>
      </c>
    </row>
    <row r="181" spans="1:17" x14ac:dyDescent="0.25">
      <c r="A181" s="1594">
        <f t="shared" si="5"/>
        <v>313507</v>
      </c>
      <c r="B181" s="4174" t="s">
        <v>1900</v>
      </c>
      <c r="C181" s="4174" t="s">
        <v>1908</v>
      </c>
      <c r="D181" s="4174">
        <v>3104</v>
      </c>
      <c r="E181" s="4174" t="s">
        <v>1907</v>
      </c>
      <c r="F181" s="4173">
        <v>310403</v>
      </c>
      <c r="G181" s="4173" t="s">
        <v>1906</v>
      </c>
      <c r="H181" s="4173"/>
      <c r="I181" s="4174">
        <v>0</v>
      </c>
      <c r="J181" s="4173">
        <v>0</v>
      </c>
      <c r="K181" s="4173">
        <v>0</v>
      </c>
      <c r="L181" s="4173">
        <v>0</v>
      </c>
      <c r="M181" s="4173">
        <v>0</v>
      </c>
      <c r="N181" s="4173">
        <v>0</v>
      </c>
      <c r="O181" s="4210">
        <f t="shared" si="6"/>
        <v>0</v>
      </c>
    </row>
    <row r="182" spans="1:17" x14ac:dyDescent="0.25">
      <c r="A182" s="1594">
        <f t="shared" si="5"/>
        <v>313606</v>
      </c>
      <c r="B182" s="4174" t="s">
        <v>1900</v>
      </c>
      <c r="C182" s="4174" t="s">
        <v>1905</v>
      </c>
      <c r="D182" s="4174">
        <v>3105</v>
      </c>
      <c r="E182" s="4174" t="s">
        <v>1879</v>
      </c>
      <c r="F182" s="4173">
        <v>310501</v>
      </c>
      <c r="G182" s="4173" t="s">
        <v>350</v>
      </c>
      <c r="H182" s="4173"/>
      <c r="I182" s="4174">
        <v>0</v>
      </c>
      <c r="J182" s="4173">
        <v>0</v>
      </c>
      <c r="K182" s="4173">
        <v>0</v>
      </c>
      <c r="L182" s="4173">
        <v>0</v>
      </c>
      <c r="M182" s="4173">
        <v>0</v>
      </c>
      <c r="N182" s="4173">
        <v>0</v>
      </c>
      <c r="O182" s="4210">
        <f t="shared" si="6"/>
        <v>0</v>
      </c>
    </row>
    <row r="183" spans="1:17" x14ac:dyDescent="0.25">
      <c r="A183" s="1594">
        <f t="shared" si="5"/>
        <v>313707</v>
      </c>
      <c r="B183" s="4174" t="s">
        <v>1900</v>
      </c>
      <c r="C183" s="4174" t="s">
        <v>1919</v>
      </c>
      <c r="D183" s="4174">
        <v>3106</v>
      </c>
      <c r="E183" s="4174" t="s">
        <v>1918</v>
      </c>
      <c r="F183" s="4173">
        <v>310601</v>
      </c>
      <c r="G183" s="4173" t="s">
        <v>350</v>
      </c>
      <c r="H183" s="4173" t="s">
        <v>1906</v>
      </c>
      <c r="I183" s="4174">
        <v>0</v>
      </c>
      <c r="J183" s="4173">
        <v>0</v>
      </c>
      <c r="K183" s="4173">
        <v>0</v>
      </c>
      <c r="L183" s="4173">
        <v>0</v>
      </c>
      <c r="M183" s="4173">
        <v>0</v>
      </c>
      <c r="N183" s="4173">
        <v>0</v>
      </c>
      <c r="O183" s="4210">
        <f t="shared" si="6"/>
        <v>0</v>
      </c>
    </row>
    <row r="184" spans="1:17" x14ac:dyDescent="0.25">
      <c r="A184" s="1594">
        <f t="shared" si="5"/>
        <v>313808</v>
      </c>
      <c r="B184" s="4174" t="s">
        <v>1900</v>
      </c>
      <c r="C184" s="4174" t="s">
        <v>2888</v>
      </c>
      <c r="D184" s="4174">
        <v>3107</v>
      </c>
      <c r="E184" s="4174" t="s">
        <v>1914</v>
      </c>
      <c r="F184" s="4173">
        <v>310701</v>
      </c>
      <c r="G184" s="4173" t="s">
        <v>350</v>
      </c>
      <c r="H184" s="4173" t="s">
        <v>1906</v>
      </c>
      <c r="I184" s="4174">
        <v>0</v>
      </c>
      <c r="J184" s="4173">
        <v>0</v>
      </c>
      <c r="K184" s="4173">
        <v>0</v>
      </c>
      <c r="L184" s="4173">
        <v>0</v>
      </c>
      <c r="M184" s="4173">
        <v>0</v>
      </c>
      <c r="N184" s="4173">
        <v>0</v>
      </c>
      <c r="O184" s="4210">
        <f t="shared" si="6"/>
        <v>0</v>
      </c>
    </row>
    <row r="185" spans="1:17" x14ac:dyDescent="0.25">
      <c r="A185" s="1594">
        <f t="shared" si="5"/>
        <v>314216</v>
      </c>
      <c r="B185" s="4174" t="s">
        <v>1900</v>
      </c>
      <c r="C185" s="4174" t="s">
        <v>1902</v>
      </c>
      <c r="D185" s="4174">
        <v>3111</v>
      </c>
      <c r="E185" s="4174" t="s">
        <v>1904</v>
      </c>
      <c r="F185" s="4173">
        <v>311105</v>
      </c>
      <c r="G185" s="4173" t="s">
        <v>1903</v>
      </c>
      <c r="H185" s="4173"/>
      <c r="I185" s="4174">
        <v>0</v>
      </c>
      <c r="J185" s="4173">
        <v>0</v>
      </c>
      <c r="K185" s="4173">
        <v>0</v>
      </c>
      <c r="L185" s="4173">
        <v>0</v>
      </c>
      <c r="M185" s="4173">
        <v>0</v>
      </c>
      <c r="N185" s="4173">
        <v>0</v>
      </c>
      <c r="O185" s="4210">
        <f t="shared" si="6"/>
        <v>0</v>
      </c>
    </row>
    <row r="186" spans="1:17" x14ac:dyDescent="0.25">
      <c r="A186" s="1594">
        <f t="shared" si="5"/>
        <v>314217</v>
      </c>
      <c r="B186" s="4174" t="s">
        <v>1900</v>
      </c>
      <c r="C186" s="4174" t="s">
        <v>1902</v>
      </c>
      <c r="D186" s="4174">
        <v>3111</v>
      </c>
      <c r="E186" s="4174" t="s">
        <v>1901</v>
      </c>
      <c r="F186" s="4173">
        <v>311106</v>
      </c>
      <c r="G186" s="4173" t="s">
        <v>350</v>
      </c>
      <c r="H186" s="4173"/>
      <c r="I186" s="4174">
        <v>0</v>
      </c>
      <c r="J186" s="4173">
        <v>0</v>
      </c>
      <c r="K186" s="4173">
        <v>0</v>
      </c>
      <c r="L186" s="4173">
        <v>0</v>
      </c>
      <c r="M186" s="4173">
        <v>0</v>
      </c>
      <c r="N186" s="4173">
        <v>0</v>
      </c>
      <c r="O186" s="4210">
        <f t="shared" si="6"/>
        <v>0</v>
      </c>
    </row>
    <row r="187" spans="1:17" x14ac:dyDescent="0.25">
      <c r="A187" s="1594">
        <f t="shared" si="5"/>
        <v>314313</v>
      </c>
      <c r="B187" s="4174" t="s">
        <v>1900</v>
      </c>
      <c r="C187" s="4174" t="s">
        <v>1899</v>
      </c>
      <c r="D187" s="4174">
        <v>3112</v>
      </c>
      <c r="E187" s="4174" t="s">
        <v>1898</v>
      </c>
      <c r="F187" s="4173">
        <v>311201</v>
      </c>
      <c r="G187" s="4173" t="s">
        <v>350</v>
      </c>
      <c r="H187" s="4173"/>
      <c r="I187" s="4174">
        <v>0</v>
      </c>
      <c r="J187" s="4173">
        <v>0</v>
      </c>
      <c r="K187" s="4173">
        <v>0</v>
      </c>
      <c r="L187" s="4173">
        <v>0</v>
      </c>
      <c r="M187" s="4173">
        <v>0</v>
      </c>
      <c r="N187" s="4173">
        <v>0</v>
      </c>
      <c r="O187" s="4210">
        <f t="shared" si="6"/>
        <v>0</v>
      </c>
    </row>
    <row r="188" spans="1:17" x14ac:dyDescent="0.25">
      <c r="A188" s="1594">
        <f t="shared" si="5"/>
        <v>323302</v>
      </c>
      <c r="B188" s="4174" t="s">
        <v>1878</v>
      </c>
      <c r="C188" s="4174" t="s">
        <v>2887</v>
      </c>
      <c r="D188" s="4174">
        <v>3201</v>
      </c>
      <c r="E188" s="4174" t="s">
        <v>2779</v>
      </c>
      <c r="F188" s="4173">
        <v>320101</v>
      </c>
      <c r="G188" s="4173" t="s">
        <v>350</v>
      </c>
      <c r="H188" s="4173"/>
      <c r="I188" s="4174">
        <v>0</v>
      </c>
      <c r="J188" s="4173">
        <v>0</v>
      </c>
      <c r="K188" s="4173">
        <v>0</v>
      </c>
      <c r="L188" s="4173">
        <v>0</v>
      </c>
      <c r="M188" s="4173">
        <v>0</v>
      </c>
      <c r="N188" s="4173">
        <v>0</v>
      </c>
      <c r="O188" s="4210">
        <f t="shared" si="6"/>
        <v>0</v>
      </c>
      <c r="Q188" s="860"/>
    </row>
    <row r="189" spans="1:17" x14ac:dyDescent="0.25">
      <c r="A189" s="1594">
        <f t="shared" si="5"/>
        <v>323403</v>
      </c>
      <c r="B189" s="4174" t="s">
        <v>1878</v>
      </c>
      <c r="C189" s="4174" t="s">
        <v>5374</v>
      </c>
      <c r="D189" s="4174">
        <v>3202</v>
      </c>
      <c r="E189" s="4174" t="s">
        <v>2779</v>
      </c>
      <c r="F189" s="4173">
        <v>320201</v>
      </c>
      <c r="G189" s="4173" t="s">
        <v>350</v>
      </c>
      <c r="H189" s="4173"/>
      <c r="I189" s="4174">
        <v>0</v>
      </c>
      <c r="J189" s="4173">
        <v>0</v>
      </c>
      <c r="K189" s="4173">
        <v>0</v>
      </c>
      <c r="L189" s="4173">
        <v>0</v>
      </c>
      <c r="M189" s="4173">
        <v>0</v>
      </c>
      <c r="N189" s="4173">
        <v>0</v>
      </c>
      <c r="O189" s="4210">
        <f t="shared" si="6"/>
        <v>0</v>
      </c>
    </row>
    <row r="190" spans="1:17" x14ac:dyDescent="0.25">
      <c r="A190" s="1594">
        <f t="shared" si="5"/>
        <v>323605</v>
      </c>
      <c r="B190" s="4174" t="s">
        <v>1878</v>
      </c>
      <c r="C190" s="4174" t="s">
        <v>1893</v>
      </c>
      <c r="D190" s="4174">
        <v>3204</v>
      </c>
      <c r="E190" s="4174" t="s">
        <v>2777</v>
      </c>
      <c r="F190" s="4173">
        <v>320401</v>
      </c>
      <c r="G190" s="4173" t="s">
        <v>350</v>
      </c>
      <c r="H190" s="4173"/>
      <c r="I190" s="4174">
        <v>0</v>
      </c>
      <c r="J190" s="4173">
        <v>0</v>
      </c>
      <c r="K190" s="4173">
        <v>0</v>
      </c>
      <c r="L190" s="4173">
        <v>0</v>
      </c>
      <c r="M190" s="4173">
        <v>0</v>
      </c>
      <c r="N190" s="4173">
        <v>0</v>
      </c>
      <c r="O190" s="4210">
        <f t="shared" si="6"/>
        <v>0</v>
      </c>
    </row>
    <row r="191" spans="1:17" x14ac:dyDescent="0.25">
      <c r="A191" s="1594">
        <f t="shared" si="5"/>
        <v>323706</v>
      </c>
      <c r="B191" s="4174" t="s">
        <v>1878</v>
      </c>
      <c r="C191" s="4174" t="s">
        <v>4264</v>
      </c>
      <c r="D191" s="4174">
        <v>3205</v>
      </c>
      <c r="E191" s="4174" t="s">
        <v>2779</v>
      </c>
      <c r="F191" s="4173">
        <v>320501</v>
      </c>
      <c r="G191" s="4173" t="s">
        <v>350</v>
      </c>
      <c r="H191" s="4173"/>
      <c r="I191" s="4174">
        <v>0</v>
      </c>
      <c r="J191" s="4173">
        <v>0</v>
      </c>
      <c r="K191" s="4173">
        <v>0</v>
      </c>
      <c r="L191" s="4173">
        <v>0</v>
      </c>
      <c r="M191" s="4173">
        <v>0</v>
      </c>
      <c r="N191" s="4173">
        <v>0</v>
      </c>
      <c r="O191" s="4210">
        <f t="shared" si="6"/>
        <v>0</v>
      </c>
    </row>
    <row r="192" spans="1:17" x14ac:dyDescent="0.25">
      <c r="A192" s="1594">
        <f t="shared" si="5"/>
        <v>326231</v>
      </c>
      <c r="B192" s="4174" t="s">
        <v>1878</v>
      </c>
      <c r="C192" s="4174" t="s">
        <v>1892</v>
      </c>
      <c r="D192" s="4174">
        <v>3230</v>
      </c>
      <c r="E192" s="4174" t="s">
        <v>1891</v>
      </c>
      <c r="F192" s="4173">
        <v>323001</v>
      </c>
      <c r="G192" s="4173" t="s">
        <v>350</v>
      </c>
      <c r="H192" s="4173"/>
      <c r="I192" s="4174">
        <v>0</v>
      </c>
      <c r="J192" s="4173">
        <v>0</v>
      </c>
      <c r="K192" s="4173">
        <v>0</v>
      </c>
      <c r="L192" s="4173">
        <v>0</v>
      </c>
      <c r="M192" s="4173">
        <v>0</v>
      </c>
      <c r="N192" s="4173">
        <v>0</v>
      </c>
      <c r="O192" s="4210">
        <f t="shared" si="6"/>
        <v>0</v>
      </c>
    </row>
    <row r="193" spans="1:15" x14ac:dyDescent="0.25">
      <c r="A193" s="1594">
        <f t="shared" si="5"/>
        <v>326433</v>
      </c>
      <c r="B193" s="4174" t="s">
        <v>1878</v>
      </c>
      <c r="C193" s="4174" t="s">
        <v>1890</v>
      </c>
      <c r="D193" s="4174">
        <v>3232</v>
      </c>
      <c r="E193" s="4174" t="s">
        <v>1889</v>
      </c>
      <c r="F193" s="4173">
        <v>323201</v>
      </c>
      <c r="G193" s="4173" t="s">
        <v>350</v>
      </c>
      <c r="H193" s="4173"/>
      <c r="I193" s="4174">
        <v>0</v>
      </c>
      <c r="J193" s="4173">
        <v>0</v>
      </c>
      <c r="K193" s="4173">
        <v>0</v>
      </c>
      <c r="L193" s="4173">
        <v>0</v>
      </c>
      <c r="M193" s="4173">
        <v>0</v>
      </c>
      <c r="N193" s="4173">
        <v>0</v>
      </c>
      <c r="O193" s="4210">
        <f t="shared" si="6"/>
        <v>0</v>
      </c>
    </row>
    <row r="194" spans="1:15" x14ac:dyDescent="0.25">
      <c r="A194" s="1594">
        <f t="shared" si="5"/>
        <v>326736</v>
      </c>
      <c r="B194" s="4174" t="s">
        <v>1878</v>
      </c>
      <c r="C194" s="4174" t="s">
        <v>1888</v>
      </c>
      <c r="D194" s="4174">
        <v>3235</v>
      </c>
      <c r="E194" s="4174" t="s">
        <v>1887</v>
      </c>
      <c r="F194" s="4173">
        <v>323501</v>
      </c>
      <c r="G194" s="4173" t="s">
        <v>350</v>
      </c>
      <c r="H194" s="4173"/>
      <c r="I194" s="4174">
        <v>0</v>
      </c>
      <c r="J194" s="4173">
        <v>0</v>
      </c>
      <c r="K194" s="4173">
        <v>0</v>
      </c>
      <c r="L194" s="4173">
        <v>0</v>
      </c>
      <c r="M194" s="4173">
        <v>0</v>
      </c>
      <c r="N194" s="4173">
        <v>0</v>
      </c>
      <c r="O194" s="4210">
        <f t="shared" si="6"/>
        <v>0</v>
      </c>
    </row>
    <row r="195" spans="1:15" x14ac:dyDescent="0.25">
      <c r="A195" s="1594">
        <f t="shared" si="5"/>
        <v>327241</v>
      </c>
      <c r="B195" s="4174" t="s">
        <v>1878</v>
      </c>
      <c r="C195" s="4174" t="s">
        <v>1886</v>
      </c>
      <c r="D195" s="4174">
        <v>3240</v>
      </c>
      <c r="E195" s="4174" t="s">
        <v>1885</v>
      </c>
      <c r="F195" s="4173">
        <v>324001</v>
      </c>
      <c r="G195" s="4173" t="s">
        <v>350</v>
      </c>
      <c r="H195" s="4173"/>
      <c r="I195" s="4174">
        <v>0</v>
      </c>
      <c r="J195" s="4173">
        <v>0</v>
      </c>
      <c r="K195" s="4173">
        <v>0</v>
      </c>
      <c r="L195" s="4173">
        <v>0</v>
      </c>
      <c r="M195" s="4173">
        <v>0</v>
      </c>
      <c r="N195" s="4173">
        <v>0</v>
      </c>
      <c r="O195" s="4210">
        <f t="shared" si="6"/>
        <v>0</v>
      </c>
    </row>
    <row r="196" spans="1:15" x14ac:dyDescent="0.25">
      <c r="A196" s="1594">
        <f t="shared" ref="A196:A211" si="7">F196+D196</f>
        <v>327746</v>
      </c>
      <c r="B196" s="4174" t="s">
        <v>1878</v>
      </c>
      <c r="C196" s="4174" t="s">
        <v>1884</v>
      </c>
      <c r="D196" s="4174">
        <v>3245</v>
      </c>
      <c r="E196" s="4174" t="s">
        <v>1883</v>
      </c>
      <c r="F196" s="4173">
        <v>324501</v>
      </c>
      <c r="G196" s="4173" t="s">
        <v>350</v>
      </c>
      <c r="H196" s="4173"/>
      <c r="I196" s="4174">
        <v>0</v>
      </c>
      <c r="J196" s="4173">
        <v>0</v>
      </c>
      <c r="K196" s="4173">
        <v>0</v>
      </c>
      <c r="L196" s="4173">
        <v>0</v>
      </c>
      <c r="M196" s="4173">
        <v>0</v>
      </c>
      <c r="N196" s="4173">
        <v>0</v>
      </c>
      <c r="O196" s="4210">
        <f t="shared" ref="O196:O211" si="8">K196/K$211</f>
        <v>0</v>
      </c>
    </row>
    <row r="197" spans="1:15" x14ac:dyDescent="0.25">
      <c r="A197" s="1594">
        <f t="shared" si="7"/>
        <v>328857</v>
      </c>
      <c r="B197" s="4174" t="s">
        <v>1878</v>
      </c>
      <c r="C197" s="4174" t="s">
        <v>4265</v>
      </c>
      <c r="D197" s="4174">
        <v>3256</v>
      </c>
      <c r="E197" s="4174" t="s">
        <v>1882</v>
      </c>
      <c r="F197" s="4173">
        <v>325601</v>
      </c>
      <c r="G197" s="4173" t="s">
        <v>350</v>
      </c>
      <c r="H197" s="4173"/>
      <c r="I197" s="4174">
        <v>0</v>
      </c>
      <c r="J197" s="4173">
        <v>0</v>
      </c>
      <c r="K197" s="4173">
        <v>0</v>
      </c>
      <c r="L197" s="4173">
        <v>0</v>
      </c>
      <c r="M197" s="4173">
        <v>0</v>
      </c>
      <c r="N197" s="4173">
        <v>0</v>
      </c>
      <c r="O197" s="4210">
        <f t="shared" si="8"/>
        <v>0</v>
      </c>
    </row>
    <row r="198" spans="1:15" x14ac:dyDescent="0.25">
      <c r="A198" s="1594">
        <f t="shared" si="7"/>
        <v>331382</v>
      </c>
      <c r="B198" s="4174" t="s">
        <v>1878</v>
      </c>
      <c r="C198" s="4174" t="s">
        <v>1881</v>
      </c>
      <c r="D198" s="4174">
        <v>3281</v>
      </c>
      <c r="E198" s="4174" t="s">
        <v>1881</v>
      </c>
      <c r="F198" s="4173">
        <v>328101</v>
      </c>
      <c r="G198" s="4173" t="s">
        <v>350</v>
      </c>
      <c r="H198" s="4173"/>
      <c r="I198" s="4174">
        <v>0</v>
      </c>
      <c r="J198" s="4173">
        <v>0</v>
      </c>
      <c r="K198" s="4173">
        <v>0</v>
      </c>
      <c r="L198" s="4173">
        <v>0</v>
      </c>
      <c r="M198" s="4173">
        <v>0</v>
      </c>
      <c r="N198" s="4173">
        <v>0</v>
      </c>
      <c r="O198" s="4210">
        <f t="shared" si="8"/>
        <v>0</v>
      </c>
    </row>
    <row r="199" spans="1:15" x14ac:dyDescent="0.25">
      <c r="A199" s="1594">
        <f t="shared" si="7"/>
        <v>332291</v>
      </c>
      <c r="B199" s="4174" t="s">
        <v>1878</v>
      </c>
      <c r="C199" s="4174" t="s">
        <v>1880</v>
      </c>
      <c r="D199" s="4174">
        <v>3290</v>
      </c>
      <c r="E199" s="4174" t="s">
        <v>1879</v>
      </c>
      <c r="F199" s="4173">
        <v>329001</v>
      </c>
      <c r="G199" s="4173" t="s">
        <v>350</v>
      </c>
      <c r="H199" s="4173"/>
      <c r="I199" s="4174">
        <v>0</v>
      </c>
      <c r="J199" s="4173">
        <v>0</v>
      </c>
      <c r="K199" s="4173">
        <v>0</v>
      </c>
      <c r="L199" s="4173">
        <v>0</v>
      </c>
      <c r="M199" s="4173">
        <v>0</v>
      </c>
      <c r="N199" s="4173">
        <v>0</v>
      </c>
      <c r="O199" s="4210">
        <f t="shared" si="8"/>
        <v>0</v>
      </c>
    </row>
    <row r="200" spans="1:15" x14ac:dyDescent="0.25">
      <c r="A200" s="1594">
        <f t="shared" si="7"/>
        <v>332796</v>
      </c>
      <c r="B200" s="4174" t="s">
        <v>1878</v>
      </c>
      <c r="C200" s="4174" t="s">
        <v>1877</v>
      </c>
      <c r="D200" s="4174">
        <v>3295</v>
      </c>
      <c r="E200" s="4174" t="s">
        <v>1876</v>
      </c>
      <c r="F200" s="4173">
        <v>329501</v>
      </c>
      <c r="G200" s="4173" t="s">
        <v>350</v>
      </c>
      <c r="H200" s="4173"/>
      <c r="I200" s="4174">
        <v>0</v>
      </c>
      <c r="J200" s="4173">
        <v>0</v>
      </c>
      <c r="K200" s="4173">
        <v>0</v>
      </c>
      <c r="L200" s="4173">
        <v>0</v>
      </c>
      <c r="M200" s="4173">
        <v>0</v>
      </c>
      <c r="N200" s="4173">
        <v>0</v>
      </c>
      <c r="O200" s="4210">
        <f t="shared" si="8"/>
        <v>0</v>
      </c>
    </row>
    <row r="201" spans="1:15" x14ac:dyDescent="0.25">
      <c r="A201" s="1594">
        <f t="shared" si="7"/>
        <v>333402</v>
      </c>
      <c r="B201" s="4174" t="s">
        <v>1874</v>
      </c>
      <c r="C201" s="4174" t="s">
        <v>1875</v>
      </c>
      <c r="D201" s="4174">
        <v>3301</v>
      </c>
      <c r="E201" s="4174" t="s">
        <v>1875</v>
      </c>
      <c r="F201" s="4173">
        <v>330101</v>
      </c>
      <c r="G201" s="4173" t="s">
        <v>350</v>
      </c>
      <c r="H201" s="4173"/>
      <c r="I201" s="4174">
        <v>0</v>
      </c>
      <c r="J201" s="4173">
        <v>0</v>
      </c>
      <c r="K201" s="4173">
        <v>0</v>
      </c>
      <c r="L201" s="4173">
        <v>0</v>
      </c>
      <c r="M201" s="4173">
        <v>0</v>
      </c>
      <c r="N201" s="4173">
        <v>0</v>
      </c>
      <c r="O201" s="4210">
        <f t="shared" si="8"/>
        <v>0</v>
      </c>
    </row>
    <row r="202" spans="1:15" x14ac:dyDescent="0.25">
      <c r="A202" s="1594">
        <f t="shared" si="7"/>
        <v>333503</v>
      </c>
      <c r="B202" s="4174" t="s">
        <v>1874</v>
      </c>
      <c r="C202" s="4174" t="s">
        <v>1873</v>
      </c>
      <c r="D202" s="4174">
        <v>3302</v>
      </c>
      <c r="E202" s="4174" t="s">
        <v>1873</v>
      </c>
      <c r="F202" s="4173">
        <v>330201</v>
      </c>
      <c r="G202" s="4173" t="s">
        <v>350</v>
      </c>
      <c r="H202" s="4173"/>
      <c r="I202" s="4174">
        <v>0</v>
      </c>
      <c r="J202" s="4173">
        <v>0</v>
      </c>
      <c r="K202" s="4173">
        <v>0</v>
      </c>
      <c r="L202" s="4173">
        <v>0</v>
      </c>
      <c r="M202" s="4173">
        <v>0</v>
      </c>
      <c r="N202" s="4173">
        <v>0</v>
      </c>
      <c r="O202" s="4210">
        <f t="shared" si="8"/>
        <v>0</v>
      </c>
    </row>
    <row r="203" spans="1:15" x14ac:dyDescent="0.25">
      <c r="A203" s="1594">
        <f t="shared" si="7"/>
        <v>343401</v>
      </c>
      <c r="B203" s="4174" t="s">
        <v>1838</v>
      </c>
      <c r="C203" s="4174" t="s">
        <v>1872</v>
      </c>
      <c r="D203" s="4174">
        <v>3400</v>
      </c>
      <c r="E203" s="4174" t="s">
        <v>1872</v>
      </c>
      <c r="F203" s="4173">
        <v>340001</v>
      </c>
      <c r="G203" s="4173" t="s">
        <v>350</v>
      </c>
      <c r="H203" s="4173"/>
      <c r="I203" s="4174">
        <v>0</v>
      </c>
      <c r="J203" s="4173">
        <v>0</v>
      </c>
      <c r="K203" s="4173">
        <v>0</v>
      </c>
      <c r="L203" s="4173">
        <v>0</v>
      </c>
      <c r="M203" s="4173">
        <v>0</v>
      </c>
      <c r="N203" s="4173">
        <v>0</v>
      </c>
      <c r="O203" s="4210">
        <f t="shared" si="8"/>
        <v>0</v>
      </c>
    </row>
    <row r="204" spans="1:15" x14ac:dyDescent="0.25">
      <c r="A204" s="1594">
        <f t="shared" si="7"/>
        <v>353501</v>
      </c>
      <c r="B204" s="4174" t="s">
        <v>1837</v>
      </c>
      <c r="C204" s="4174" t="s">
        <v>1871</v>
      </c>
      <c r="D204" s="4174">
        <v>3500</v>
      </c>
      <c r="E204" s="4174" t="s">
        <v>1871</v>
      </c>
      <c r="F204" s="4173">
        <v>350001</v>
      </c>
      <c r="G204" s="4173" t="s">
        <v>350</v>
      </c>
      <c r="H204" s="4173"/>
      <c r="I204" s="4174">
        <v>0</v>
      </c>
      <c r="J204" s="4173">
        <v>0</v>
      </c>
      <c r="K204" s="4173">
        <v>0</v>
      </c>
      <c r="L204" s="4173">
        <v>0</v>
      </c>
      <c r="M204" s="4173">
        <v>0</v>
      </c>
      <c r="N204" s="4173">
        <v>0</v>
      </c>
      <c r="O204" s="4210">
        <f t="shared" si="8"/>
        <v>0</v>
      </c>
    </row>
    <row r="205" spans="1:15" x14ac:dyDescent="0.25">
      <c r="A205" s="1594">
        <f t="shared" si="7"/>
        <v>454602</v>
      </c>
      <c r="B205" s="4174" t="s">
        <v>662</v>
      </c>
      <c r="C205" s="4174" t="s">
        <v>1869</v>
      </c>
      <c r="D205" s="4174">
        <v>4501</v>
      </c>
      <c r="E205" s="4174" t="s">
        <v>5375</v>
      </c>
      <c r="F205" s="4173">
        <v>450101</v>
      </c>
      <c r="G205" s="4173" t="s">
        <v>350</v>
      </c>
      <c r="H205" s="4173"/>
      <c r="I205" s="4174">
        <v>0</v>
      </c>
      <c r="J205" s="4173">
        <v>0</v>
      </c>
      <c r="K205" s="4173">
        <v>0</v>
      </c>
      <c r="L205" s="4173">
        <v>0</v>
      </c>
      <c r="M205" s="4173">
        <v>0</v>
      </c>
      <c r="N205" s="4173">
        <v>0</v>
      </c>
      <c r="O205" s="4210">
        <f t="shared" si="8"/>
        <v>0</v>
      </c>
    </row>
    <row r="206" spans="1:15" x14ac:dyDescent="0.25">
      <c r="A206" s="1594">
        <f t="shared" si="7"/>
        <v>474802</v>
      </c>
      <c r="B206" s="4174" t="s">
        <v>662</v>
      </c>
      <c r="C206" s="4174" t="s">
        <v>5376</v>
      </c>
      <c r="D206" s="4174">
        <v>4701</v>
      </c>
      <c r="E206" s="4174" t="s">
        <v>5377</v>
      </c>
      <c r="F206" s="4173">
        <v>470101</v>
      </c>
      <c r="G206" s="4173" t="s">
        <v>350</v>
      </c>
      <c r="H206" s="4173"/>
      <c r="I206" s="4174">
        <v>0</v>
      </c>
      <c r="J206" s="4173">
        <v>0</v>
      </c>
      <c r="K206" s="4173">
        <v>0</v>
      </c>
      <c r="L206" s="4173">
        <v>0</v>
      </c>
      <c r="M206" s="4173">
        <v>0</v>
      </c>
      <c r="N206" s="4173">
        <v>0</v>
      </c>
      <c r="O206" s="4210">
        <f t="shared" si="8"/>
        <v>0</v>
      </c>
    </row>
    <row r="207" spans="1:15" x14ac:dyDescent="0.25">
      <c r="A207" s="1594">
        <f t="shared" si="7"/>
        <v>475004</v>
      </c>
      <c r="B207" s="4174" t="s">
        <v>662</v>
      </c>
      <c r="C207" s="4174" t="s">
        <v>5378</v>
      </c>
      <c r="D207" s="4174">
        <v>4703</v>
      </c>
      <c r="E207" s="4174" t="s">
        <v>5379</v>
      </c>
      <c r="F207" s="4173">
        <v>470301</v>
      </c>
      <c r="G207" s="4173" t="s">
        <v>350</v>
      </c>
      <c r="H207" s="4173"/>
      <c r="I207" s="4174">
        <v>0</v>
      </c>
      <c r="J207" s="4173">
        <v>0</v>
      </c>
      <c r="K207" s="4173">
        <v>0</v>
      </c>
      <c r="L207" s="4173">
        <v>0</v>
      </c>
      <c r="M207" s="4173">
        <v>0</v>
      </c>
      <c r="N207" s="4173">
        <v>0</v>
      </c>
      <c r="O207" s="4210">
        <f t="shared" si="8"/>
        <v>0</v>
      </c>
    </row>
    <row r="208" spans="1:15" x14ac:dyDescent="0.25">
      <c r="A208" s="1594">
        <f t="shared" si="7"/>
        <v>475206</v>
      </c>
      <c r="B208" s="4174" t="s">
        <v>662</v>
      </c>
      <c r="C208" s="4174" t="s">
        <v>1862</v>
      </c>
      <c r="D208" s="4174">
        <v>4705</v>
      </c>
      <c r="E208" s="4174" t="s">
        <v>1861</v>
      </c>
      <c r="F208" s="4173">
        <v>470501</v>
      </c>
      <c r="G208" s="4173" t="s">
        <v>350</v>
      </c>
      <c r="H208" s="4173"/>
      <c r="I208" s="4174">
        <v>0</v>
      </c>
      <c r="J208" s="4173">
        <v>0</v>
      </c>
      <c r="K208" s="4173">
        <v>0</v>
      </c>
      <c r="L208" s="4173">
        <v>0</v>
      </c>
      <c r="M208" s="4173">
        <v>0</v>
      </c>
      <c r="N208" s="4173">
        <v>0</v>
      </c>
      <c r="O208" s="4210">
        <f t="shared" si="8"/>
        <v>0</v>
      </c>
    </row>
    <row r="209" spans="1:17" x14ac:dyDescent="0.25">
      <c r="A209" s="1594">
        <f t="shared" si="7"/>
        <v>475307</v>
      </c>
      <c r="B209" s="4174" t="s">
        <v>662</v>
      </c>
      <c r="C209" s="4174" t="s">
        <v>1860</v>
      </c>
      <c r="D209" s="4174">
        <v>4706</v>
      </c>
      <c r="E209" s="4174" t="s">
        <v>1859</v>
      </c>
      <c r="F209" s="4173">
        <v>470601</v>
      </c>
      <c r="G209" s="4173" t="s">
        <v>350</v>
      </c>
      <c r="H209" s="4173"/>
      <c r="I209" s="4174">
        <v>0</v>
      </c>
      <c r="J209" s="4173">
        <v>0</v>
      </c>
      <c r="K209" s="4173">
        <v>0</v>
      </c>
      <c r="L209" s="4173">
        <v>0</v>
      </c>
      <c r="M209" s="4173">
        <v>0</v>
      </c>
      <c r="N209" s="4173">
        <v>0</v>
      </c>
      <c r="O209" s="4210">
        <f t="shared" si="8"/>
        <v>0</v>
      </c>
    </row>
    <row r="210" spans="1:17" x14ac:dyDescent="0.25">
      <c r="A210" s="1594">
        <f t="shared" si="7"/>
        <v>1002224</v>
      </c>
      <c r="B210" s="4174" t="s">
        <v>1858</v>
      </c>
      <c r="C210" s="4174" t="s">
        <v>2764</v>
      </c>
      <c r="D210" s="4174">
        <v>9923</v>
      </c>
      <c r="E210" s="4174" t="s">
        <v>1857</v>
      </c>
      <c r="F210" s="4173">
        <v>992301</v>
      </c>
      <c r="G210" s="4173" t="s">
        <v>1924</v>
      </c>
      <c r="H210" s="4173"/>
      <c r="I210" s="4174">
        <v>0</v>
      </c>
      <c r="J210" s="4173">
        <v>0</v>
      </c>
      <c r="K210" s="4173">
        <v>0</v>
      </c>
      <c r="L210" s="4173">
        <v>0</v>
      </c>
      <c r="M210" s="4173">
        <v>0</v>
      </c>
      <c r="N210" s="4173">
        <v>0</v>
      </c>
      <c r="O210" s="4210">
        <f t="shared" si="8"/>
        <v>0</v>
      </c>
    </row>
    <row r="211" spans="1:17" x14ac:dyDescent="0.25">
      <c r="A211" s="1594">
        <f t="shared" si="7"/>
        <v>35955010</v>
      </c>
      <c r="B211" s="4174" t="s">
        <v>4266</v>
      </c>
      <c r="C211" s="4174"/>
      <c r="D211" s="4174"/>
      <c r="E211" s="4174"/>
      <c r="F211" s="4173">
        <f t="shared" ref="F211:N211" si="9">SUM(F3:F210)</f>
        <v>35955010</v>
      </c>
      <c r="G211" s="4173">
        <f t="shared" si="9"/>
        <v>0</v>
      </c>
      <c r="H211" s="4173">
        <f t="shared" si="9"/>
        <v>0</v>
      </c>
      <c r="I211" s="4173">
        <f t="shared" si="9"/>
        <v>180</v>
      </c>
      <c r="J211" s="4173">
        <f t="shared" si="9"/>
        <v>31961.649999999998</v>
      </c>
      <c r="K211" s="4173">
        <f t="shared" si="9"/>
        <v>2347.6800000000003</v>
      </c>
      <c r="L211" s="4173">
        <f t="shared" si="9"/>
        <v>236903.32</v>
      </c>
      <c r="M211" s="4173">
        <f t="shared" si="9"/>
        <v>19851.89</v>
      </c>
      <c r="N211" s="4173">
        <f t="shared" si="9"/>
        <v>46266.039999999994</v>
      </c>
      <c r="O211" s="4210">
        <f t="shared" si="8"/>
        <v>1</v>
      </c>
    </row>
    <row r="212" spans="1:17" x14ac:dyDescent="0.25">
      <c r="A212" s="1009"/>
      <c r="B212" s="2695"/>
      <c r="C212" s="2695"/>
      <c r="D212" s="2695"/>
      <c r="E212" s="2695"/>
      <c r="F212" s="2696"/>
      <c r="G212" s="2696"/>
      <c r="H212" s="2696"/>
      <c r="I212" s="2695"/>
      <c r="J212" s="2696"/>
      <c r="K212" s="2696"/>
      <c r="L212" s="2696"/>
      <c r="M212" s="2696"/>
      <c r="N212" s="2696"/>
      <c r="O212" s="2697"/>
    </row>
    <row r="213" spans="1:17" x14ac:dyDescent="0.25">
      <c r="A213" s="1009"/>
      <c r="B213" s="2695"/>
      <c r="C213" s="2695"/>
      <c r="D213" s="2695"/>
      <c r="E213" s="2695"/>
      <c r="F213" s="2696"/>
      <c r="G213" s="2696"/>
      <c r="H213" s="2696"/>
      <c r="I213" s="2695"/>
      <c r="J213" s="2696"/>
      <c r="K213" s="2696"/>
      <c r="L213" s="2696"/>
      <c r="M213" s="2696"/>
      <c r="N213" s="2696"/>
      <c r="O213" s="2697"/>
    </row>
    <row r="214" spans="1:17" x14ac:dyDescent="0.25">
      <c r="A214" s="1009"/>
      <c r="B214" s="2695"/>
      <c r="C214" s="2695"/>
      <c r="D214" s="2695"/>
      <c r="E214" s="2695"/>
      <c r="F214" s="2696"/>
      <c r="G214" s="2696"/>
      <c r="H214" s="2696"/>
      <c r="I214" s="2695"/>
      <c r="J214" s="2696"/>
      <c r="K214" s="2696"/>
      <c r="L214" s="2696"/>
      <c r="M214" s="2696"/>
      <c r="N214" s="2696"/>
      <c r="O214" s="2697"/>
    </row>
    <row r="215" spans="1:17" x14ac:dyDescent="0.25">
      <c r="A215" s="1009"/>
      <c r="B215" s="2695"/>
      <c r="C215" s="2695"/>
      <c r="D215" s="2695"/>
      <c r="E215" s="2695"/>
      <c r="F215" s="2696"/>
      <c r="G215" s="2696"/>
      <c r="H215" s="2696"/>
      <c r="I215" s="2695"/>
      <c r="J215" s="2696"/>
      <c r="K215" s="2696"/>
      <c r="L215" s="2696"/>
      <c r="M215" s="2696"/>
      <c r="N215" s="2696"/>
      <c r="O215" s="2697"/>
    </row>
    <row r="216" spans="1:17" x14ac:dyDescent="0.25">
      <c r="A216" s="1009"/>
      <c r="B216" s="2695"/>
      <c r="C216" s="2695"/>
      <c r="D216" s="2695"/>
      <c r="E216" s="2695"/>
      <c r="F216" s="2696"/>
      <c r="G216" s="2696"/>
      <c r="H216" s="2696"/>
      <c r="I216" s="2695"/>
      <c r="J216" s="2696"/>
      <c r="K216" s="2696"/>
      <c r="L216" s="2696"/>
      <c r="M216" s="2696"/>
      <c r="N216" s="2696"/>
      <c r="O216" s="2697"/>
    </row>
    <row r="217" spans="1:17" x14ac:dyDescent="0.25">
      <c r="A217" s="1009"/>
      <c r="B217" s="2695"/>
      <c r="C217" s="2695"/>
      <c r="D217" s="2695"/>
      <c r="E217" s="2695"/>
      <c r="F217" s="2696"/>
      <c r="G217" s="2696"/>
      <c r="H217" s="2696"/>
      <c r="I217" s="2695"/>
      <c r="J217" s="2696"/>
      <c r="K217" s="2696"/>
      <c r="L217" s="2696"/>
      <c r="M217" s="2696"/>
      <c r="N217" s="2696"/>
      <c r="O217" s="2697"/>
    </row>
    <row r="218" spans="1:17" x14ac:dyDescent="0.25">
      <c r="A218" s="1009"/>
      <c r="B218" s="2695"/>
      <c r="C218" s="2695"/>
      <c r="D218" s="2695"/>
      <c r="E218" s="2695"/>
      <c r="F218" s="2696"/>
      <c r="G218" s="2696"/>
      <c r="H218" s="2696"/>
      <c r="I218" s="2695"/>
      <c r="J218" s="2696"/>
      <c r="K218" s="2696"/>
      <c r="L218" s="2696"/>
      <c r="M218" s="2696"/>
      <c r="N218" s="2696"/>
      <c r="O218" s="2697"/>
    </row>
    <row r="219" spans="1:17" x14ac:dyDescent="0.25">
      <c r="A219" s="1009"/>
      <c r="B219" s="2695"/>
      <c r="C219" s="2695"/>
      <c r="D219" s="2695"/>
      <c r="E219" s="2695"/>
      <c r="F219" s="2696"/>
      <c r="G219" s="2696"/>
      <c r="H219" s="2696"/>
      <c r="I219" s="2695"/>
      <c r="J219" s="2696"/>
      <c r="K219" s="2696"/>
      <c r="L219" s="2696"/>
      <c r="M219" s="2696"/>
      <c r="N219" s="2696"/>
      <c r="O219" s="2697"/>
    </row>
    <row r="220" spans="1:17" x14ac:dyDescent="0.25">
      <c r="A220" s="1009"/>
      <c r="B220" s="2695"/>
      <c r="C220" s="2695"/>
      <c r="D220" s="2695"/>
      <c r="E220" s="2695"/>
      <c r="F220" s="2696"/>
      <c r="G220" s="2696"/>
      <c r="H220" s="2696"/>
      <c r="I220" s="2695"/>
      <c r="J220" s="2696"/>
      <c r="K220" s="2696"/>
      <c r="L220" s="2696"/>
      <c r="M220" s="2696"/>
      <c r="N220" s="2696"/>
      <c r="O220" s="2697"/>
    </row>
    <row r="221" spans="1:17" x14ac:dyDescent="0.25">
      <c r="A221" s="1009"/>
      <c r="B221" s="2695"/>
      <c r="C221" s="2695"/>
      <c r="D221" s="2695"/>
      <c r="E221" s="2695"/>
      <c r="F221" s="2696"/>
      <c r="G221" s="2696"/>
      <c r="H221" s="2696"/>
      <c r="I221" s="2695"/>
      <c r="J221" s="2696"/>
      <c r="K221" s="2696"/>
      <c r="L221" s="2696"/>
      <c r="M221" s="2696"/>
      <c r="N221" s="2696"/>
      <c r="O221" s="2697"/>
    </row>
    <row r="222" spans="1:17" x14ac:dyDescent="0.25">
      <c r="A222" s="1009"/>
      <c r="B222" s="2695"/>
      <c r="C222" s="2695"/>
      <c r="D222" s="2695"/>
      <c r="E222" s="2695"/>
      <c r="F222" s="2696"/>
      <c r="G222" s="2696"/>
      <c r="H222" s="2696"/>
      <c r="I222" s="2695"/>
      <c r="J222" s="2696"/>
      <c r="K222" s="2696"/>
      <c r="L222" s="2696"/>
      <c r="M222" s="2696"/>
      <c r="N222" s="2696"/>
      <c r="O222" s="2697"/>
    </row>
    <row r="223" spans="1:17" x14ac:dyDescent="0.25">
      <c r="A223" s="1009"/>
      <c r="B223" s="2695"/>
      <c r="C223" s="2695"/>
      <c r="D223" s="2695"/>
      <c r="E223" s="2695"/>
      <c r="F223" s="2696"/>
      <c r="G223" s="2696"/>
      <c r="H223" s="2696"/>
      <c r="I223" s="2695"/>
      <c r="J223" s="2696"/>
      <c r="K223" s="2696"/>
      <c r="L223" s="2696"/>
      <c r="M223" s="2696"/>
      <c r="N223" s="2696"/>
      <c r="O223" s="2697"/>
      <c r="Q223" s="860"/>
    </row>
    <row r="224" spans="1:17" x14ac:dyDescent="0.25">
      <c r="A224" s="1009"/>
      <c r="B224" s="2695"/>
      <c r="C224" s="2695"/>
      <c r="D224" s="2695"/>
      <c r="E224" s="2695"/>
      <c r="F224" s="2696"/>
      <c r="G224" s="2696"/>
      <c r="H224" s="2696"/>
      <c r="I224" s="2695"/>
      <c r="J224" s="2696"/>
      <c r="K224" s="2696"/>
      <c r="L224" s="2696"/>
      <c r="M224" s="2696"/>
      <c r="N224" s="2696"/>
      <c r="O224" s="2697"/>
    </row>
    <row r="225" spans="1:16" x14ac:dyDescent="0.25">
      <c r="A225" s="1009"/>
      <c r="B225" s="2695"/>
      <c r="C225" s="2695"/>
      <c r="D225" s="2695"/>
      <c r="E225" s="2695"/>
      <c r="F225" s="2696"/>
      <c r="G225" s="2696"/>
      <c r="H225" s="2696"/>
      <c r="I225" s="2695"/>
      <c r="J225" s="2696"/>
      <c r="K225" s="2696"/>
      <c r="L225" s="2696"/>
      <c r="M225" s="2696"/>
      <c r="N225" s="2696"/>
      <c r="O225" s="2697"/>
      <c r="P225" s="860"/>
    </row>
    <row r="226" spans="1:16" x14ac:dyDescent="0.25">
      <c r="A226" s="1009"/>
      <c r="B226" s="2695"/>
      <c r="C226" s="2695"/>
      <c r="D226" s="2695"/>
      <c r="E226" s="2695"/>
      <c r="F226" s="2696"/>
      <c r="G226" s="2696"/>
      <c r="H226" s="2696"/>
      <c r="I226" s="2695"/>
      <c r="J226" s="2696"/>
      <c r="K226" s="2696"/>
      <c r="L226" s="2696"/>
      <c r="M226" s="2696"/>
      <c r="N226" s="2696"/>
      <c r="O226" s="2697"/>
    </row>
  </sheetData>
  <conditionalFormatting sqref="T4:T10">
    <cfRule type="colorScale" priority="1">
      <colorScale>
        <cfvo type="min"/>
        <cfvo type="percentile" val="50"/>
        <cfvo type="max"/>
        <color rgb="FFF8696B"/>
        <color rgb="FFFCFCFF"/>
        <color rgb="FF63BE7B"/>
      </colorScale>
    </cfRule>
  </conditionalFormatting>
  <pageMargins left="0.7" right="0.7" top="0.75" bottom="0.75" header="0.3" footer="0.3"/>
  <pageSetup paperSize="9" orientation="portrait" horizontalDpi="360" verticalDpi="36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E46B1-09AE-4BB3-BF0F-00A86678A1C5}">
  <sheetPr codeName="Ark88">
    <tabColor theme="3" tint="-0.249977111117893"/>
  </sheetPr>
  <dimension ref="A1:H79"/>
  <sheetViews>
    <sheetView topLeftCell="A21" zoomScale="115" zoomScaleNormal="115" workbookViewId="0">
      <selection sqref="A1:XFD1048576"/>
    </sheetView>
  </sheetViews>
  <sheetFormatPr defaultRowHeight="12.75" x14ac:dyDescent="0.2"/>
  <cols>
    <col min="1" max="1" width="3" bestFit="1" customWidth="1"/>
    <col min="2" max="2" width="4.28515625" bestFit="1" customWidth="1"/>
    <col min="3" max="3" width="42.7109375" bestFit="1" customWidth="1"/>
    <col min="4" max="4" width="7.7109375" style="2275" customWidth="1"/>
    <col min="5" max="7" width="9.28515625" style="2275" bestFit="1" customWidth="1"/>
    <col min="8" max="8" width="20.28515625" style="2275" bestFit="1" customWidth="1"/>
  </cols>
  <sheetData>
    <row r="1" spans="1:8" ht="15" x14ac:dyDescent="0.25">
      <c r="A1" s="4181" t="s">
        <v>2163</v>
      </c>
      <c r="B1" s="4181" t="s">
        <v>2162</v>
      </c>
      <c r="C1" s="4181" t="s">
        <v>2161</v>
      </c>
      <c r="D1" s="4176" t="s">
        <v>2160</v>
      </c>
      <c r="E1" s="4176" t="s">
        <v>2159</v>
      </c>
      <c r="F1" s="4176" t="s">
        <v>2158</v>
      </c>
      <c r="G1" s="4176" t="s">
        <v>228</v>
      </c>
      <c r="H1" s="4177" t="s">
        <v>2157</v>
      </c>
    </row>
    <row r="2" spans="1:8" ht="15" x14ac:dyDescent="0.25">
      <c r="A2" s="4182">
        <v>1</v>
      </c>
      <c r="B2" s="4183" t="s">
        <v>2165</v>
      </c>
      <c r="C2" s="4183" t="s">
        <v>2156</v>
      </c>
      <c r="D2" s="4178">
        <v>0</v>
      </c>
      <c r="E2" s="4178">
        <v>0</v>
      </c>
      <c r="F2" s="4178">
        <v>6.37</v>
      </c>
      <c r="G2" s="4149">
        <f t="shared" ref="G2:G24" si="0">SUM(D2:F2)</f>
        <v>6.37</v>
      </c>
      <c r="H2" s="4149">
        <f t="shared" ref="H2:H24" si="1">G2-D2</f>
        <v>6.37</v>
      </c>
    </row>
    <row r="3" spans="1:8" ht="15" x14ac:dyDescent="0.25">
      <c r="A3" s="4182">
        <v>1</v>
      </c>
      <c r="B3" s="4183" t="s">
        <v>2164</v>
      </c>
      <c r="C3" s="4183" t="s">
        <v>2156</v>
      </c>
      <c r="D3" s="4179">
        <v>0</v>
      </c>
      <c r="E3" s="4178">
        <v>0</v>
      </c>
      <c r="F3" s="4178">
        <v>0</v>
      </c>
      <c r="G3" s="4149">
        <f t="shared" si="0"/>
        <v>0</v>
      </c>
      <c r="H3" s="4149">
        <f t="shared" si="1"/>
        <v>0</v>
      </c>
    </row>
    <row r="4" spans="1:8" ht="15" x14ac:dyDescent="0.25">
      <c r="A4" s="4182">
        <v>2</v>
      </c>
      <c r="B4" s="4183" t="s">
        <v>2165</v>
      </c>
      <c r="C4" s="4183" t="s">
        <v>2155</v>
      </c>
      <c r="D4" s="4179">
        <v>0</v>
      </c>
      <c r="E4" s="4178">
        <v>0</v>
      </c>
      <c r="F4" s="4178">
        <v>9.75</v>
      </c>
      <c r="G4" s="4149">
        <f t="shared" si="0"/>
        <v>9.75</v>
      </c>
      <c r="H4" s="4149">
        <f t="shared" si="1"/>
        <v>9.75</v>
      </c>
    </row>
    <row r="5" spans="1:8" ht="15" x14ac:dyDescent="0.25">
      <c r="A5" s="4182">
        <v>2</v>
      </c>
      <c r="B5" s="4183" t="s">
        <v>2164</v>
      </c>
      <c r="C5" s="4183" t="s">
        <v>2155</v>
      </c>
      <c r="D5" s="4179">
        <v>0</v>
      </c>
      <c r="E5" s="4178">
        <v>0</v>
      </c>
      <c r="F5" s="4178">
        <v>3.84</v>
      </c>
      <c r="G5" s="4149">
        <f t="shared" si="0"/>
        <v>3.84</v>
      </c>
      <c r="H5" s="4149">
        <f t="shared" si="1"/>
        <v>3.84</v>
      </c>
    </row>
    <row r="6" spans="1:8" ht="15" x14ac:dyDescent="0.25">
      <c r="A6" s="4182">
        <v>3</v>
      </c>
      <c r="B6" s="4183" t="s">
        <v>2165</v>
      </c>
      <c r="C6" s="4183" t="s">
        <v>2154</v>
      </c>
      <c r="D6" s="4179">
        <v>0</v>
      </c>
      <c r="E6" s="4178">
        <v>0</v>
      </c>
      <c r="F6" s="4178">
        <v>67.430000000000007</v>
      </c>
      <c r="G6" s="4149">
        <f t="shared" si="0"/>
        <v>67.430000000000007</v>
      </c>
      <c r="H6" s="4149">
        <f t="shared" si="1"/>
        <v>67.430000000000007</v>
      </c>
    </row>
    <row r="7" spans="1:8" ht="15" x14ac:dyDescent="0.25">
      <c r="A7" s="4182">
        <v>3</v>
      </c>
      <c r="B7" s="4183" t="s">
        <v>2164</v>
      </c>
      <c r="C7" s="4183" t="s">
        <v>2154</v>
      </c>
      <c r="D7" s="4179">
        <v>0</v>
      </c>
      <c r="E7" s="4178">
        <v>0</v>
      </c>
      <c r="F7" s="4178">
        <v>0</v>
      </c>
      <c r="G7" s="4149">
        <f t="shared" si="0"/>
        <v>0</v>
      </c>
      <c r="H7" s="4149">
        <f t="shared" si="1"/>
        <v>0</v>
      </c>
    </row>
    <row r="8" spans="1:8" ht="15" x14ac:dyDescent="0.25">
      <c r="A8" s="4182">
        <v>4</v>
      </c>
      <c r="B8" s="4183" t="s">
        <v>2165</v>
      </c>
      <c r="C8" s="4183" t="s">
        <v>2153</v>
      </c>
      <c r="D8" s="4179">
        <v>0</v>
      </c>
      <c r="E8" s="4178">
        <v>0</v>
      </c>
      <c r="F8" s="4178">
        <v>0</v>
      </c>
      <c r="G8" s="4149">
        <f t="shared" si="0"/>
        <v>0</v>
      </c>
      <c r="H8" s="4149">
        <f t="shared" si="1"/>
        <v>0</v>
      </c>
    </row>
    <row r="9" spans="1:8" ht="15" x14ac:dyDescent="0.25">
      <c r="A9" s="4182">
        <v>4</v>
      </c>
      <c r="B9" s="4183" t="s">
        <v>2164</v>
      </c>
      <c r="C9" s="4183" t="s">
        <v>2153</v>
      </c>
      <c r="D9" s="4179">
        <v>0</v>
      </c>
      <c r="E9" s="4178">
        <v>0</v>
      </c>
      <c r="F9" s="4178">
        <v>0</v>
      </c>
      <c r="G9" s="4149">
        <f t="shared" si="0"/>
        <v>0</v>
      </c>
      <c r="H9" s="4149">
        <f t="shared" si="1"/>
        <v>0</v>
      </c>
    </row>
    <row r="10" spans="1:8" ht="15" x14ac:dyDescent="0.25">
      <c r="A10" s="4182">
        <v>5</v>
      </c>
      <c r="B10" s="4183" t="s">
        <v>2165</v>
      </c>
      <c r="C10" s="4183" t="s">
        <v>2152</v>
      </c>
      <c r="D10" s="4179">
        <v>0</v>
      </c>
      <c r="E10" s="4178">
        <v>0</v>
      </c>
      <c r="F10" s="4178">
        <v>500.41</v>
      </c>
      <c r="G10" s="4149">
        <f t="shared" si="0"/>
        <v>500.41</v>
      </c>
      <c r="H10" s="4149">
        <f t="shared" si="1"/>
        <v>500.41</v>
      </c>
    </row>
    <row r="11" spans="1:8" ht="15" x14ac:dyDescent="0.25">
      <c r="A11" s="4182">
        <v>5</v>
      </c>
      <c r="B11" s="4183" t="s">
        <v>2164</v>
      </c>
      <c r="C11" s="4183" t="s">
        <v>2152</v>
      </c>
      <c r="D11" s="4179">
        <v>0</v>
      </c>
      <c r="E11" s="4178">
        <v>0</v>
      </c>
      <c r="F11" s="4178">
        <v>82.19</v>
      </c>
      <c r="G11" s="4149">
        <f t="shared" si="0"/>
        <v>82.19</v>
      </c>
      <c r="H11" s="4149">
        <f t="shared" si="1"/>
        <v>82.19</v>
      </c>
    </row>
    <row r="12" spans="1:8" ht="15" x14ac:dyDescent="0.25">
      <c r="A12" s="4182">
        <v>6</v>
      </c>
      <c r="B12" s="4183" t="s">
        <v>2165</v>
      </c>
      <c r="C12" s="4183" t="s">
        <v>2151</v>
      </c>
      <c r="D12" s="4179">
        <v>0</v>
      </c>
      <c r="E12" s="4178">
        <v>0</v>
      </c>
      <c r="F12" s="4178">
        <v>182.08</v>
      </c>
      <c r="G12" s="4149">
        <f t="shared" si="0"/>
        <v>182.08</v>
      </c>
      <c r="H12" s="4149">
        <f t="shared" si="1"/>
        <v>182.08</v>
      </c>
    </row>
    <row r="13" spans="1:8" ht="15" x14ac:dyDescent="0.25">
      <c r="A13" s="4182">
        <v>6</v>
      </c>
      <c r="B13" s="4183" t="s">
        <v>2164</v>
      </c>
      <c r="C13" s="4183" t="s">
        <v>2151</v>
      </c>
      <c r="D13" s="4179">
        <v>0</v>
      </c>
      <c r="E13" s="4179">
        <v>0</v>
      </c>
      <c r="F13" s="4178">
        <v>34.67</v>
      </c>
      <c r="G13" s="4149">
        <f t="shared" si="0"/>
        <v>34.67</v>
      </c>
      <c r="H13" s="4149">
        <f t="shared" si="1"/>
        <v>34.67</v>
      </c>
    </row>
    <row r="14" spans="1:8" ht="15" x14ac:dyDescent="0.25">
      <c r="A14" s="4182">
        <v>7</v>
      </c>
      <c r="B14" s="4183" t="s">
        <v>2165</v>
      </c>
      <c r="C14" s="4183" t="s">
        <v>2150</v>
      </c>
      <c r="D14" s="4179">
        <v>0</v>
      </c>
      <c r="E14" s="4179">
        <v>0</v>
      </c>
      <c r="F14" s="4178">
        <v>0</v>
      </c>
      <c r="G14" s="4149">
        <f t="shared" si="0"/>
        <v>0</v>
      </c>
      <c r="H14" s="4149">
        <f t="shared" si="1"/>
        <v>0</v>
      </c>
    </row>
    <row r="15" spans="1:8" ht="15" x14ac:dyDescent="0.25">
      <c r="A15" s="4182">
        <v>7</v>
      </c>
      <c r="B15" s="4183" t="s">
        <v>2164</v>
      </c>
      <c r="C15" s="4183" t="s">
        <v>2150</v>
      </c>
      <c r="D15" s="4179">
        <v>0</v>
      </c>
      <c r="E15" s="4178">
        <v>0</v>
      </c>
      <c r="F15" s="4179">
        <v>0</v>
      </c>
      <c r="G15" s="4149">
        <f t="shared" si="0"/>
        <v>0</v>
      </c>
      <c r="H15" s="4149">
        <f t="shared" si="1"/>
        <v>0</v>
      </c>
    </row>
    <row r="16" spans="1:8" ht="15" x14ac:dyDescent="0.25">
      <c r="A16" s="4182">
        <v>8</v>
      </c>
      <c r="B16" s="4183" t="s">
        <v>2165</v>
      </c>
      <c r="C16" s="4183" t="s">
        <v>2149</v>
      </c>
      <c r="D16" s="4179">
        <v>0</v>
      </c>
      <c r="E16" s="4179">
        <v>0</v>
      </c>
      <c r="F16" s="4178">
        <v>0</v>
      </c>
      <c r="G16" s="4149">
        <f t="shared" si="0"/>
        <v>0</v>
      </c>
      <c r="H16" s="4149">
        <f t="shared" si="1"/>
        <v>0</v>
      </c>
    </row>
    <row r="17" spans="1:8" ht="15" x14ac:dyDescent="0.25">
      <c r="A17" s="4182">
        <v>8</v>
      </c>
      <c r="B17" s="4183" t="s">
        <v>2164</v>
      </c>
      <c r="C17" s="4183" t="s">
        <v>2149</v>
      </c>
      <c r="D17" s="4179">
        <v>0</v>
      </c>
      <c r="E17" s="4179">
        <v>0</v>
      </c>
      <c r="F17" s="4178">
        <v>0</v>
      </c>
      <c r="G17" s="4149">
        <f t="shared" si="0"/>
        <v>0</v>
      </c>
      <c r="H17" s="4149">
        <f t="shared" si="1"/>
        <v>0</v>
      </c>
    </row>
    <row r="18" spans="1:8" ht="15" x14ac:dyDescent="0.25">
      <c r="A18" s="4182">
        <v>9</v>
      </c>
      <c r="B18" s="4183" t="s">
        <v>2165</v>
      </c>
      <c r="C18" s="4183" t="s">
        <v>2148</v>
      </c>
      <c r="D18" s="4178">
        <v>0</v>
      </c>
      <c r="E18" s="4178">
        <v>0</v>
      </c>
      <c r="F18" s="4178">
        <v>1.75</v>
      </c>
      <c r="G18" s="4149">
        <f t="shared" si="0"/>
        <v>1.75</v>
      </c>
      <c r="H18" s="4149">
        <f t="shared" si="1"/>
        <v>1.75</v>
      </c>
    </row>
    <row r="19" spans="1:8" ht="15" x14ac:dyDescent="0.25">
      <c r="A19" s="4182">
        <v>9</v>
      </c>
      <c r="B19" s="4183" t="s">
        <v>2164</v>
      </c>
      <c r="C19" s="4183" t="s">
        <v>2148</v>
      </c>
      <c r="D19" s="4179">
        <v>0</v>
      </c>
      <c r="E19" s="4179">
        <v>0</v>
      </c>
      <c r="F19" s="4178">
        <v>7.53</v>
      </c>
      <c r="G19" s="4149">
        <f t="shared" si="0"/>
        <v>7.53</v>
      </c>
      <c r="H19" s="4149">
        <f t="shared" si="1"/>
        <v>7.53</v>
      </c>
    </row>
    <row r="20" spans="1:8" ht="15" x14ac:dyDescent="0.25">
      <c r="A20" s="4182">
        <v>10</v>
      </c>
      <c r="B20" s="4183" t="s">
        <v>2165</v>
      </c>
      <c r="C20" s="4183" t="s">
        <v>2147</v>
      </c>
      <c r="D20" s="4179">
        <v>0</v>
      </c>
      <c r="E20" s="4179">
        <v>0</v>
      </c>
      <c r="F20" s="4178">
        <v>0</v>
      </c>
      <c r="G20" s="4149">
        <f t="shared" si="0"/>
        <v>0</v>
      </c>
      <c r="H20" s="4149">
        <f t="shared" si="1"/>
        <v>0</v>
      </c>
    </row>
    <row r="21" spans="1:8" ht="15" x14ac:dyDescent="0.25">
      <c r="A21" s="4182">
        <v>10</v>
      </c>
      <c r="B21" s="4183" t="s">
        <v>2164</v>
      </c>
      <c r="C21" s="4183" t="s">
        <v>2147</v>
      </c>
      <c r="D21" s="4179">
        <v>0</v>
      </c>
      <c r="E21" s="4179">
        <v>0</v>
      </c>
      <c r="F21" s="4178">
        <v>0</v>
      </c>
      <c r="G21" s="4149">
        <f t="shared" si="0"/>
        <v>0</v>
      </c>
      <c r="H21" s="4149">
        <f t="shared" si="1"/>
        <v>0</v>
      </c>
    </row>
    <row r="22" spans="1:8" ht="15" x14ac:dyDescent="0.25">
      <c r="A22" s="4182">
        <v>11</v>
      </c>
      <c r="B22" s="4183" t="s">
        <v>2165</v>
      </c>
      <c r="C22" s="4183" t="s">
        <v>2146</v>
      </c>
      <c r="D22" s="4179">
        <v>0</v>
      </c>
      <c r="E22" s="4178">
        <v>0</v>
      </c>
      <c r="F22" s="4178">
        <v>5.01</v>
      </c>
      <c r="G22" s="4149">
        <f t="shared" si="0"/>
        <v>5.01</v>
      </c>
      <c r="H22" s="4149">
        <f t="shared" si="1"/>
        <v>5.01</v>
      </c>
    </row>
    <row r="23" spans="1:8" ht="15" x14ac:dyDescent="0.25">
      <c r="A23" s="4182">
        <v>11</v>
      </c>
      <c r="B23" s="4183" t="s">
        <v>2164</v>
      </c>
      <c r="C23" s="4183" t="s">
        <v>2146</v>
      </c>
      <c r="D23" s="4179">
        <v>0</v>
      </c>
      <c r="E23" s="4178">
        <v>0</v>
      </c>
      <c r="F23" s="4178">
        <v>0</v>
      </c>
      <c r="G23" s="4149">
        <f t="shared" si="0"/>
        <v>0</v>
      </c>
      <c r="H23" s="4149">
        <f t="shared" si="1"/>
        <v>0</v>
      </c>
    </row>
    <row r="24" spans="1:8" ht="30" x14ac:dyDescent="0.25">
      <c r="A24" s="4182">
        <v>12</v>
      </c>
      <c r="B24" s="4183" t="s">
        <v>2165</v>
      </c>
      <c r="C24" s="4183" t="s">
        <v>2145</v>
      </c>
      <c r="D24" s="4184">
        <v>0</v>
      </c>
      <c r="E24" s="4184">
        <v>0</v>
      </c>
      <c r="F24" s="4178">
        <v>0.35</v>
      </c>
      <c r="G24" s="4185">
        <f t="shared" si="0"/>
        <v>0.35</v>
      </c>
      <c r="H24" s="4185">
        <f t="shared" si="1"/>
        <v>0.35</v>
      </c>
    </row>
    <row r="25" spans="1:8" ht="15" customHeight="1" x14ac:dyDescent="0.25">
      <c r="A25" s="4182">
        <v>12</v>
      </c>
      <c r="B25" s="4183" t="s">
        <v>2164</v>
      </c>
      <c r="C25" s="4183" t="s">
        <v>2911</v>
      </c>
      <c r="D25" s="4184">
        <v>0</v>
      </c>
      <c r="E25" s="4184">
        <v>0</v>
      </c>
      <c r="F25" s="4178">
        <v>0</v>
      </c>
      <c r="G25" s="4185"/>
      <c r="H25" s="4185"/>
    </row>
    <row r="26" spans="1:8" ht="15" x14ac:dyDescent="0.25">
      <c r="A26" s="4182">
        <v>13</v>
      </c>
      <c r="B26" s="4183" t="s">
        <v>2165</v>
      </c>
      <c r="C26" s="4183" t="s">
        <v>2144</v>
      </c>
      <c r="D26" s="4184">
        <v>0</v>
      </c>
      <c r="E26" s="4178">
        <v>0</v>
      </c>
      <c r="F26" s="4178">
        <v>9.51</v>
      </c>
      <c r="G26" s="4185">
        <f t="shared" ref="G26:G49" si="2">SUM(D26:F26)</f>
        <v>9.51</v>
      </c>
      <c r="H26" s="4185">
        <f t="shared" ref="H26:H49" si="3">G26-D26</f>
        <v>9.51</v>
      </c>
    </row>
    <row r="27" spans="1:8" ht="15" x14ac:dyDescent="0.25">
      <c r="A27" s="4182">
        <v>13</v>
      </c>
      <c r="B27" s="4183" t="s">
        <v>2164</v>
      </c>
      <c r="C27" s="4183" t="s">
        <v>2144</v>
      </c>
      <c r="D27" s="4184">
        <v>0</v>
      </c>
      <c r="E27" s="4178">
        <v>0</v>
      </c>
      <c r="F27" s="4178">
        <v>7.18</v>
      </c>
      <c r="G27" s="4185">
        <f t="shared" si="2"/>
        <v>7.18</v>
      </c>
      <c r="H27" s="4185">
        <f t="shared" si="3"/>
        <v>7.18</v>
      </c>
    </row>
    <row r="28" spans="1:8" ht="15" x14ac:dyDescent="0.25">
      <c r="A28" s="4182">
        <v>14</v>
      </c>
      <c r="B28" s="4183" t="s">
        <v>2165</v>
      </c>
      <c r="C28" s="4183" t="s">
        <v>2143</v>
      </c>
      <c r="D28" s="4178">
        <v>0</v>
      </c>
      <c r="E28" s="4178">
        <v>0</v>
      </c>
      <c r="F28" s="4178">
        <v>466.35</v>
      </c>
      <c r="G28" s="4149">
        <f t="shared" si="2"/>
        <v>466.35</v>
      </c>
      <c r="H28" s="4149">
        <f t="shared" si="3"/>
        <v>466.35</v>
      </c>
    </row>
    <row r="29" spans="1:8" ht="15" x14ac:dyDescent="0.25">
      <c r="A29" s="4182">
        <v>14</v>
      </c>
      <c r="B29" s="4183" t="s">
        <v>2164</v>
      </c>
      <c r="C29" s="4183" t="s">
        <v>2143</v>
      </c>
      <c r="D29" s="4179">
        <v>0</v>
      </c>
      <c r="E29" s="4178">
        <v>0</v>
      </c>
      <c r="F29" s="4178">
        <v>258.58999999999997</v>
      </c>
      <c r="G29" s="4149">
        <f t="shared" si="2"/>
        <v>258.58999999999997</v>
      </c>
      <c r="H29" s="4149">
        <f t="shared" si="3"/>
        <v>258.58999999999997</v>
      </c>
    </row>
    <row r="30" spans="1:8" ht="15" x14ac:dyDescent="0.25">
      <c r="A30" s="4182">
        <v>15</v>
      </c>
      <c r="B30" s="4183" t="s">
        <v>2165</v>
      </c>
      <c r="C30" s="4183" t="s">
        <v>2142</v>
      </c>
      <c r="D30" s="4178">
        <v>0</v>
      </c>
      <c r="E30" s="4178">
        <v>0</v>
      </c>
      <c r="F30" s="4178">
        <v>386.8</v>
      </c>
      <c r="G30" s="4149">
        <f t="shared" si="2"/>
        <v>386.8</v>
      </c>
      <c r="H30" s="4149">
        <f t="shared" si="3"/>
        <v>386.8</v>
      </c>
    </row>
    <row r="31" spans="1:8" ht="15" x14ac:dyDescent="0.25">
      <c r="A31" s="4182">
        <v>15</v>
      </c>
      <c r="B31" s="4183" t="s">
        <v>2164</v>
      </c>
      <c r="C31" s="4183" t="s">
        <v>2142</v>
      </c>
      <c r="D31" s="4179">
        <v>0</v>
      </c>
      <c r="E31" s="4178">
        <v>0</v>
      </c>
      <c r="F31" s="4178">
        <v>111.15</v>
      </c>
      <c r="G31" s="4149">
        <f t="shared" si="2"/>
        <v>111.15</v>
      </c>
      <c r="H31" s="4149">
        <f t="shared" si="3"/>
        <v>111.15</v>
      </c>
    </row>
    <row r="32" spans="1:8" ht="15" x14ac:dyDescent="0.25">
      <c r="A32" s="4182">
        <v>16</v>
      </c>
      <c r="B32" s="4183" t="s">
        <v>2165</v>
      </c>
      <c r="C32" s="4183" t="s">
        <v>2141</v>
      </c>
      <c r="D32" s="4179">
        <v>0</v>
      </c>
      <c r="E32" s="4178">
        <v>0</v>
      </c>
      <c r="F32" s="4178">
        <v>0</v>
      </c>
      <c r="G32" s="4149">
        <f t="shared" si="2"/>
        <v>0</v>
      </c>
      <c r="H32" s="4149">
        <f t="shared" si="3"/>
        <v>0</v>
      </c>
    </row>
    <row r="33" spans="1:8" ht="15" x14ac:dyDescent="0.25">
      <c r="A33" s="4182">
        <v>16</v>
      </c>
      <c r="B33" s="4183" t="s">
        <v>2164</v>
      </c>
      <c r="C33" s="4183" t="s">
        <v>2141</v>
      </c>
      <c r="D33" s="4179">
        <v>0</v>
      </c>
      <c r="E33" s="4178">
        <v>0</v>
      </c>
      <c r="F33" s="4178">
        <v>1.91</v>
      </c>
      <c r="G33" s="4149">
        <f t="shared" si="2"/>
        <v>1.91</v>
      </c>
      <c r="H33" s="4149">
        <f t="shared" si="3"/>
        <v>1.91</v>
      </c>
    </row>
    <row r="34" spans="1:8" ht="15" x14ac:dyDescent="0.25">
      <c r="A34" s="4182">
        <v>17</v>
      </c>
      <c r="B34" s="4183" t="s">
        <v>2165</v>
      </c>
      <c r="C34" s="4183" t="s">
        <v>2140</v>
      </c>
      <c r="D34" s="4178">
        <v>0</v>
      </c>
      <c r="E34" s="4178">
        <v>0</v>
      </c>
      <c r="F34" s="4178">
        <v>2856.09</v>
      </c>
      <c r="G34" s="4149">
        <f t="shared" si="2"/>
        <v>2856.09</v>
      </c>
      <c r="H34" s="4149">
        <f t="shared" si="3"/>
        <v>2856.09</v>
      </c>
    </row>
    <row r="35" spans="1:8" ht="15" x14ac:dyDescent="0.25">
      <c r="A35" s="4182">
        <v>17</v>
      </c>
      <c r="B35" s="4183" t="s">
        <v>2164</v>
      </c>
      <c r="C35" s="4183" t="s">
        <v>2140</v>
      </c>
      <c r="D35" s="4178">
        <v>0</v>
      </c>
      <c r="E35" s="4178">
        <v>0</v>
      </c>
      <c r="F35" s="4178">
        <v>297.08</v>
      </c>
      <c r="G35" s="4149">
        <f t="shared" si="2"/>
        <v>297.08</v>
      </c>
      <c r="H35" s="4149">
        <f t="shared" si="3"/>
        <v>297.08</v>
      </c>
    </row>
    <row r="36" spans="1:8" ht="15" x14ac:dyDescent="0.25">
      <c r="A36" s="4182">
        <v>18</v>
      </c>
      <c r="B36" s="4183" t="s">
        <v>2165</v>
      </c>
      <c r="C36" s="4183" t="s">
        <v>2139</v>
      </c>
      <c r="D36" s="4179">
        <v>0</v>
      </c>
      <c r="E36" s="4178">
        <v>0</v>
      </c>
      <c r="F36" s="4178">
        <v>1.81</v>
      </c>
      <c r="G36" s="4149">
        <f t="shared" si="2"/>
        <v>1.81</v>
      </c>
      <c r="H36" s="4149">
        <f t="shared" si="3"/>
        <v>1.81</v>
      </c>
    </row>
    <row r="37" spans="1:8" ht="15" x14ac:dyDescent="0.25">
      <c r="A37" s="4182">
        <v>18</v>
      </c>
      <c r="B37" s="4183" t="s">
        <v>2164</v>
      </c>
      <c r="C37" s="4183" t="s">
        <v>2139</v>
      </c>
      <c r="D37" s="4179">
        <v>0</v>
      </c>
      <c r="E37" s="4178">
        <v>0</v>
      </c>
      <c r="F37" s="4178">
        <v>0</v>
      </c>
      <c r="G37" s="4149">
        <f t="shared" si="2"/>
        <v>0</v>
      </c>
      <c r="H37" s="4149">
        <f t="shared" si="3"/>
        <v>0</v>
      </c>
    </row>
    <row r="38" spans="1:8" ht="15" x14ac:dyDescent="0.25">
      <c r="A38" s="4182">
        <v>19</v>
      </c>
      <c r="B38" s="4183" t="s">
        <v>2165</v>
      </c>
      <c r="C38" s="4183" t="s">
        <v>2138</v>
      </c>
      <c r="D38" s="4179">
        <v>0</v>
      </c>
      <c r="E38" s="4178">
        <v>0</v>
      </c>
      <c r="F38" s="4178">
        <v>167.96</v>
      </c>
      <c r="G38" s="4149">
        <f t="shared" si="2"/>
        <v>167.96</v>
      </c>
      <c r="H38" s="4149">
        <f t="shared" si="3"/>
        <v>167.96</v>
      </c>
    </row>
    <row r="39" spans="1:8" ht="15" x14ac:dyDescent="0.25">
      <c r="A39" s="4182">
        <v>19</v>
      </c>
      <c r="B39" s="4183" t="s">
        <v>2164</v>
      </c>
      <c r="C39" s="4183" t="s">
        <v>2138</v>
      </c>
      <c r="D39" s="4179">
        <v>0</v>
      </c>
      <c r="E39" s="4178">
        <v>0</v>
      </c>
      <c r="F39" s="4178">
        <v>6.7</v>
      </c>
      <c r="G39" s="4149">
        <f t="shared" si="2"/>
        <v>6.7</v>
      </c>
      <c r="H39" s="4149">
        <f t="shared" si="3"/>
        <v>6.7</v>
      </c>
    </row>
    <row r="40" spans="1:8" ht="15" x14ac:dyDescent="0.25">
      <c r="A40" s="4182">
        <v>20</v>
      </c>
      <c r="B40" s="4183" t="s">
        <v>2165</v>
      </c>
      <c r="C40" s="4183" t="s">
        <v>2137</v>
      </c>
      <c r="D40" s="4179">
        <v>0</v>
      </c>
      <c r="E40" s="4178">
        <v>0</v>
      </c>
      <c r="F40" s="4178">
        <v>5.86</v>
      </c>
      <c r="G40" s="4149">
        <f t="shared" si="2"/>
        <v>5.86</v>
      </c>
      <c r="H40" s="4149">
        <f t="shared" si="3"/>
        <v>5.86</v>
      </c>
    </row>
    <row r="41" spans="1:8" ht="15" x14ac:dyDescent="0.25">
      <c r="A41" s="4182">
        <v>20</v>
      </c>
      <c r="B41" s="4183" t="s">
        <v>2164</v>
      </c>
      <c r="C41" s="4183" t="s">
        <v>2137</v>
      </c>
      <c r="D41" s="4179">
        <v>0</v>
      </c>
      <c r="E41" s="4178">
        <v>0</v>
      </c>
      <c r="F41" s="4178">
        <v>0.78</v>
      </c>
      <c r="G41" s="4149">
        <f t="shared" si="2"/>
        <v>0.78</v>
      </c>
      <c r="H41" s="4149">
        <f t="shared" si="3"/>
        <v>0.78</v>
      </c>
    </row>
    <row r="42" spans="1:8" ht="15" x14ac:dyDescent="0.25">
      <c r="A42" s="4182">
        <v>21</v>
      </c>
      <c r="B42" s="4183" t="s">
        <v>2165</v>
      </c>
      <c r="C42" s="4183" t="s">
        <v>2136</v>
      </c>
      <c r="D42" s="4179">
        <v>0</v>
      </c>
      <c r="E42" s="4178">
        <v>0</v>
      </c>
      <c r="F42" s="4178">
        <v>1.5</v>
      </c>
      <c r="G42" s="4149">
        <f t="shared" si="2"/>
        <v>1.5</v>
      </c>
      <c r="H42" s="4149">
        <f t="shared" si="3"/>
        <v>1.5</v>
      </c>
    </row>
    <row r="43" spans="1:8" ht="15" x14ac:dyDescent="0.25">
      <c r="A43" s="4182">
        <v>21</v>
      </c>
      <c r="B43" s="4183" t="s">
        <v>2164</v>
      </c>
      <c r="C43" s="4183" t="s">
        <v>2136</v>
      </c>
      <c r="D43" s="4179">
        <v>0</v>
      </c>
      <c r="E43" s="4178">
        <v>0</v>
      </c>
      <c r="F43" s="4178">
        <v>2.2400000000000002</v>
      </c>
      <c r="G43" s="4149">
        <f t="shared" si="2"/>
        <v>2.2400000000000002</v>
      </c>
      <c r="H43" s="4149">
        <f t="shared" si="3"/>
        <v>2.2400000000000002</v>
      </c>
    </row>
    <row r="44" spans="1:8" ht="15" x14ac:dyDescent="0.25">
      <c r="A44" s="4182">
        <v>22</v>
      </c>
      <c r="B44" s="4183" t="s">
        <v>2165</v>
      </c>
      <c r="C44" s="4183" t="s">
        <v>2135</v>
      </c>
      <c r="D44" s="4179">
        <v>0</v>
      </c>
      <c r="E44" s="4178">
        <v>0</v>
      </c>
      <c r="F44" s="4178">
        <v>7.21</v>
      </c>
      <c r="G44" s="4149">
        <f t="shared" si="2"/>
        <v>7.21</v>
      </c>
      <c r="H44" s="4149">
        <f t="shared" si="3"/>
        <v>7.21</v>
      </c>
    </row>
    <row r="45" spans="1:8" ht="15" x14ac:dyDescent="0.25">
      <c r="A45" s="4182">
        <v>22</v>
      </c>
      <c r="B45" s="4183" t="s">
        <v>2164</v>
      </c>
      <c r="C45" s="4183" t="s">
        <v>2135</v>
      </c>
      <c r="D45" s="4179">
        <v>0</v>
      </c>
      <c r="E45" s="4178">
        <v>0</v>
      </c>
      <c r="F45" s="4179">
        <v>23.14</v>
      </c>
      <c r="G45" s="4149">
        <f t="shared" si="2"/>
        <v>23.14</v>
      </c>
      <c r="H45" s="4149">
        <f t="shared" si="3"/>
        <v>23.14</v>
      </c>
    </row>
    <row r="46" spans="1:8" ht="15" x14ac:dyDescent="0.25">
      <c r="A46" s="4182">
        <v>23</v>
      </c>
      <c r="B46" s="4183" t="s">
        <v>2165</v>
      </c>
      <c r="C46" s="4183" t="s">
        <v>2134</v>
      </c>
      <c r="D46" s="4179">
        <v>0</v>
      </c>
      <c r="E46" s="4178">
        <v>0</v>
      </c>
      <c r="F46" s="4178">
        <v>56.7</v>
      </c>
      <c r="G46" s="4149">
        <f t="shared" si="2"/>
        <v>56.7</v>
      </c>
      <c r="H46" s="4149">
        <f t="shared" si="3"/>
        <v>56.7</v>
      </c>
    </row>
    <row r="47" spans="1:8" ht="15" x14ac:dyDescent="0.25">
      <c r="A47" s="4182">
        <v>23</v>
      </c>
      <c r="B47" s="4183" t="s">
        <v>2164</v>
      </c>
      <c r="C47" s="4183" t="s">
        <v>2134</v>
      </c>
      <c r="D47" s="4179">
        <v>0</v>
      </c>
      <c r="E47" s="4178">
        <v>0</v>
      </c>
      <c r="F47" s="4179">
        <v>10.25</v>
      </c>
      <c r="G47" s="4149">
        <f t="shared" si="2"/>
        <v>10.25</v>
      </c>
      <c r="H47" s="4149">
        <f t="shared" si="3"/>
        <v>10.25</v>
      </c>
    </row>
    <row r="48" spans="1:8" ht="15" x14ac:dyDescent="0.25">
      <c r="A48" s="2272">
        <v>24</v>
      </c>
      <c r="B48" s="4183" t="s">
        <v>2165</v>
      </c>
      <c r="C48" s="2272" t="s">
        <v>2132</v>
      </c>
      <c r="D48" s="4149">
        <v>0</v>
      </c>
      <c r="E48" s="4149">
        <v>0</v>
      </c>
      <c r="F48" s="4149">
        <v>0</v>
      </c>
      <c r="G48" s="4149">
        <f t="shared" si="2"/>
        <v>0</v>
      </c>
      <c r="H48" s="4149">
        <f t="shared" si="3"/>
        <v>0</v>
      </c>
    </row>
    <row r="49" spans="1:8" ht="15" x14ac:dyDescent="0.25">
      <c r="A49" s="2272">
        <v>24</v>
      </c>
      <c r="B49" s="4183" t="s">
        <v>2164</v>
      </c>
      <c r="C49" s="2272" t="s">
        <v>2132</v>
      </c>
      <c r="D49" s="4149">
        <v>0</v>
      </c>
      <c r="E49" s="4149">
        <v>0</v>
      </c>
      <c r="F49" s="4149">
        <v>0</v>
      </c>
      <c r="G49" s="4149">
        <f t="shared" si="2"/>
        <v>0</v>
      </c>
      <c r="H49" s="4149">
        <f t="shared" si="3"/>
        <v>0</v>
      </c>
    </row>
    <row r="50" spans="1:8" ht="15" x14ac:dyDescent="0.25">
      <c r="A50" s="2272"/>
      <c r="B50" s="2272"/>
      <c r="C50" s="4183" t="s">
        <v>97</v>
      </c>
      <c r="D50" s="4149">
        <f>SUM(D2:D49)</f>
        <v>0</v>
      </c>
      <c r="E50" s="4149">
        <f t="shared" ref="E50:H50" si="4">SUM(E2:E49)</f>
        <v>0</v>
      </c>
      <c r="F50" s="4149">
        <f t="shared" si="4"/>
        <v>5580.19</v>
      </c>
      <c r="G50" s="4149">
        <f t="shared" si="4"/>
        <v>5580.19</v>
      </c>
      <c r="H50" s="4149">
        <f t="shared" si="4"/>
        <v>5580.19</v>
      </c>
    </row>
    <row r="51" spans="1:8" ht="30" x14ac:dyDescent="0.25">
      <c r="A51" s="2272"/>
      <c r="B51" s="2272"/>
      <c r="C51" s="4183" t="s">
        <v>2131</v>
      </c>
      <c r="D51" s="4149">
        <f>SUM(D2:D33)</f>
        <v>0</v>
      </c>
      <c r="E51" s="4149">
        <f t="shared" ref="E51:H51" si="5">SUM(E2:E33)</f>
        <v>0</v>
      </c>
      <c r="F51" s="4149">
        <f t="shared" si="5"/>
        <v>2142.87</v>
      </c>
      <c r="G51" s="4149">
        <f t="shared" si="5"/>
        <v>2142.87</v>
      </c>
      <c r="H51" s="4149">
        <f t="shared" si="5"/>
        <v>2142.87</v>
      </c>
    </row>
    <row r="52" spans="1:8" ht="15" customHeight="1" x14ac:dyDescent="0.2"/>
    <row r="53" spans="1:8" x14ac:dyDescent="0.2">
      <c r="A53" s="2272" t="s">
        <v>2163</v>
      </c>
      <c r="B53" s="2272" t="s">
        <v>2162</v>
      </c>
      <c r="C53" s="2272" t="s">
        <v>2161</v>
      </c>
      <c r="D53" s="4149" t="s">
        <v>2160</v>
      </c>
      <c r="E53" s="4149" t="s">
        <v>2159</v>
      </c>
      <c r="F53" s="4149" t="s">
        <v>2158</v>
      </c>
      <c r="G53" s="4149" t="s">
        <v>228</v>
      </c>
      <c r="H53" s="4149" t="s">
        <v>2157</v>
      </c>
    </row>
    <row r="54" spans="1:8" x14ac:dyDescent="0.2">
      <c r="A54" s="2272">
        <v>1</v>
      </c>
      <c r="B54" s="2272" t="s">
        <v>2133</v>
      </c>
      <c r="C54" s="2272" t="s">
        <v>2156</v>
      </c>
      <c r="D54" s="4149">
        <f>D2+D3</f>
        <v>0</v>
      </c>
      <c r="E54" s="4149">
        <f t="shared" ref="E54:F54" si="6">E2+E3</f>
        <v>0</v>
      </c>
      <c r="F54" s="4149">
        <f t="shared" si="6"/>
        <v>6.37</v>
      </c>
      <c r="G54" s="4149">
        <f>G2+G3</f>
        <v>6.37</v>
      </c>
      <c r="H54" s="4149">
        <f t="shared" ref="H54" si="7">H2+H3</f>
        <v>6.37</v>
      </c>
    </row>
    <row r="55" spans="1:8" x14ac:dyDescent="0.2">
      <c r="A55" s="2272">
        <v>2</v>
      </c>
      <c r="B55" s="2272" t="s">
        <v>2133</v>
      </c>
      <c r="C55" s="2272" t="s">
        <v>2155</v>
      </c>
      <c r="D55" s="4149">
        <f>D4+D5</f>
        <v>0</v>
      </c>
      <c r="E55" s="4149">
        <f t="shared" ref="E55:F55" si="8">E4+E5</f>
        <v>0</v>
      </c>
      <c r="F55" s="4149">
        <f t="shared" si="8"/>
        <v>13.59</v>
      </c>
      <c r="G55" s="4149">
        <f>G4+G5</f>
        <v>13.59</v>
      </c>
      <c r="H55" s="4149">
        <f t="shared" ref="H55" si="9">H4+H5</f>
        <v>13.59</v>
      </c>
    </row>
    <row r="56" spans="1:8" x14ac:dyDescent="0.2">
      <c r="A56" s="2272">
        <v>3</v>
      </c>
      <c r="B56" s="2272" t="s">
        <v>2133</v>
      </c>
      <c r="C56" s="2272" t="s">
        <v>2154</v>
      </c>
      <c r="D56" s="4149">
        <f t="shared" ref="D56:H56" si="10">D6+D7</f>
        <v>0</v>
      </c>
      <c r="E56" s="4149">
        <f t="shared" si="10"/>
        <v>0</v>
      </c>
      <c r="F56" s="4149">
        <f t="shared" si="10"/>
        <v>67.430000000000007</v>
      </c>
      <c r="G56" s="4149">
        <f t="shared" si="10"/>
        <v>67.430000000000007</v>
      </c>
      <c r="H56" s="4149">
        <f t="shared" si="10"/>
        <v>67.430000000000007</v>
      </c>
    </row>
    <row r="57" spans="1:8" x14ac:dyDescent="0.2">
      <c r="A57" s="2272">
        <v>4</v>
      </c>
      <c r="B57" s="2272" t="s">
        <v>2133</v>
      </c>
      <c r="C57" s="2272" t="s">
        <v>2153</v>
      </c>
      <c r="D57" s="4149">
        <f>D8+D9</f>
        <v>0</v>
      </c>
      <c r="E57" s="4149">
        <f t="shared" ref="E57:F57" si="11">E8+E9</f>
        <v>0</v>
      </c>
      <c r="F57" s="4149">
        <f t="shared" si="11"/>
        <v>0</v>
      </c>
      <c r="G57" s="4149">
        <f>G8+G9</f>
        <v>0</v>
      </c>
      <c r="H57" s="4149">
        <f t="shared" ref="H57" si="12">H8+H9</f>
        <v>0</v>
      </c>
    </row>
    <row r="58" spans="1:8" x14ac:dyDescent="0.2">
      <c r="A58" s="2272">
        <v>5</v>
      </c>
      <c r="B58" s="2272" t="s">
        <v>2133</v>
      </c>
      <c r="C58" s="2272" t="s">
        <v>2152</v>
      </c>
      <c r="D58" s="4149">
        <f>D10+D11</f>
        <v>0</v>
      </c>
      <c r="E58" s="4149">
        <f t="shared" ref="E58:F58" si="13">E10+E11</f>
        <v>0</v>
      </c>
      <c r="F58" s="4149">
        <f t="shared" si="13"/>
        <v>582.6</v>
      </c>
      <c r="G58" s="4149">
        <f>G10+G11</f>
        <v>582.6</v>
      </c>
      <c r="H58" s="4149">
        <f t="shared" ref="H58" si="14">H10+H11</f>
        <v>582.6</v>
      </c>
    </row>
    <row r="59" spans="1:8" x14ac:dyDescent="0.2">
      <c r="A59" s="2272">
        <v>6</v>
      </c>
      <c r="B59" s="2272" t="s">
        <v>2133</v>
      </c>
      <c r="C59" s="2272" t="s">
        <v>2151</v>
      </c>
      <c r="D59" s="4149">
        <f>D12+D13</f>
        <v>0</v>
      </c>
      <c r="E59" s="4149">
        <f t="shared" ref="E59:F59" si="15">E12+E13</f>
        <v>0</v>
      </c>
      <c r="F59" s="4149">
        <f t="shared" si="15"/>
        <v>216.75</v>
      </c>
      <c r="G59" s="4149">
        <f>G12+G13</f>
        <v>216.75</v>
      </c>
      <c r="H59" s="4149">
        <f t="shared" ref="H59" si="16">H12+H13</f>
        <v>216.75</v>
      </c>
    </row>
    <row r="60" spans="1:8" x14ac:dyDescent="0.2">
      <c r="A60" s="2272">
        <v>7</v>
      </c>
      <c r="B60" s="2272" t="s">
        <v>2133</v>
      </c>
      <c r="C60" s="2272" t="s">
        <v>2150</v>
      </c>
      <c r="D60" s="4149">
        <f>D14+D15</f>
        <v>0</v>
      </c>
      <c r="E60" s="4149">
        <f t="shared" ref="E60:F60" si="17">E14+E15</f>
        <v>0</v>
      </c>
      <c r="F60" s="4149">
        <f t="shared" si="17"/>
        <v>0</v>
      </c>
      <c r="G60" s="4149">
        <f>G14+G15</f>
        <v>0</v>
      </c>
      <c r="H60" s="4149">
        <f t="shared" ref="H60" si="18">H14+H15</f>
        <v>0</v>
      </c>
    </row>
    <row r="61" spans="1:8" x14ac:dyDescent="0.2">
      <c r="A61" s="2272">
        <v>8</v>
      </c>
      <c r="B61" s="2272" t="s">
        <v>2133</v>
      </c>
      <c r="C61" s="2272" t="s">
        <v>2149</v>
      </c>
      <c r="D61" s="4149">
        <f>D16+D17</f>
        <v>0</v>
      </c>
      <c r="E61" s="4149">
        <f t="shared" ref="E61:F61" si="19">E16+E17</f>
        <v>0</v>
      </c>
      <c r="F61" s="4149">
        <f t="shared" si="19"/>
        <v>0</v>
      </c>
      <c r="G61" s="4149">
        <f>G16+G17</f>
        <v>0</v>
      </c>
      <c r="H61" s="4149">
        <f t="shared" ref="H61" si="20">H16+H17</f>
        <v>0</v>
      </c>
    </row>
    <row r="62" spans="1:8" x14ac:dyDescent="0.2">
      <c r="A62" s="2272">
        <v>9</v>
      </c>
      <c r="B62" s="2272" t="s">
        <v>2133</v>
      </c>
      <c r="C62" s="2272" t="s">
        <v>2148</v>
      </c>
      <c r="D62" s="4149">
        <f>D18+D19</f>
        <v>0</v>
      </c>
      <c r="E62" s="4149">
        <f>E18+E19</f>
        <v>0</v>
      </c>
      <c r="F62" s="4149">
        <f>F18+F19</f>
        <v>9.2800000000000011</v>
      </c>
      <c r="G62" s="4149">
        <f>G18+G19</f>
        <v>9.2800000000000011</v>
      </c>
      <c r="H62" s="4149">
        <f>H18+H19</f>
        <v>9.2800000000000011</v>
      </c>
    </row>
    <row r="63" spans="1:8" x14ac:dyDescent="0.2">
      <c r="A63" s="2272">
        <v>10</v>
      </c>
      <c r="B63" s="2272" t="s">
        <v>2133</v>
      </c>
      <c r="C63" s="2272" t="s">
        <v>2147</v>
      </c>
      <c r="D63" s="4149">
        <f>D20+D21</f>
        <v>0</v>
      </c>
      <c r="E63" s="4149">
        <f>E20+E21</f>
        <v>0</v>
      </c>
      <c r="F63" s="4149">
        <f>F20+F21</f>
        <v>0</v>
      </c>
      <c r="G63" s="4149">
        <f>G20+G21</f>
        <v>0</v>
      </c>
      <c r="H63" s="4149">
        <f>H20+H21</f>
        <v>0</v>
      </c>
    </row>
    <row r="64" spans="1:8" x14ac:dyDescent="0.2">
      <c r="A64" s="2272">
        <v>11</v>
      </c>
      <c r="B64" s="2272" t="s">
        <v>2133</v>
      </c>
      <c r="C64" s="2272" t="s">
        <v>2146</v>
      </c>
      <c r="D64" s="4149">
        <f>D22+D23</f>
        <v>0</v>
      </c>
      <c r="E64" s="4149">
        <f t="shared" ref="E64:F64" si="21">E22+E23</f>
        <v>0</v>
      </c>
      <c r="F64" s="4149">
        <f t="shared" si="21"/>
        <v>5.01</v>
      </c>
      <c r="G64" s="4149">
        <f>G22+G23</f>
        <v>5.01</v>
      </c>
      <c r="H64" s="4149">
        <f t="shared" ref="H64" si="22">H22+H23</f>
        <v>5.01</v>
      </c>
    </row>
    <row r="65" spans="1:8" x14ac:dyDescent="0.2">
      <c r="A65" s="2272">
        <v>12</v>
      </c>
      <c r="B65" s="2272" t="s">
        <v>2133</v>
      </c>
      <c r="C65" s="2272" t="s">
        <v>2145</v>
      </c>
      <c r="D65" s="4149">
        <f>D24+D25</f>
        <v>0</v>
      </c>
      <c r="E65" s="4149">
        <f t="shared" ref="E65:F65" si="23">E24+E25</f>
        <v>0</v>
      </c>
      <c r="F65" s="4149">
        <f t="shared" si="23"/>
        <v>0.35</v>
      </c>
      <c r="G65" s="4149">
        <f>G24+G25</f>
        <v>0.35</v>
      </c>
      <c r="H65" s="4149">
        <f t="shared" ref="H65" si="24">H24+H25</f>
        <v>0.35</v>
      </c>
    </row>
    <row r="66" spans="1:8" x14ac:dyDescent="0.2">
      <c r="A66" s="2272">
        <v>13</v>
      </c>
      <c r="B66" s="2272" t="s">
        <v>2133</v>
      </c>
      <c r="C66" s="2272" t="s">
        <v>2144</v>
      </c>
      <c r="D66" s="4149">
        <f>D26+D27</f>
        <v>0</v>
      </c>
      <c r="E66" s="4149">
        <f t="shared" ref="E66:F66" si="25">E26+E27</f>
        <v>0</v>
      </c>
      <c r="F66" s="4149">
        <f t="shared" si="25"/>
        <v>16.689999999999998</v>
      </c>
      <c r="G66" s="4149">
        <f>G26+G27</f>
        <v>16.689999999999998</v>
      </c>
      <c r="H66" s="4149">
        <f t="shared" ref="H66" si="26">H26+H27</f>
        <v>16.689999999999998</v>
      </c>
    </row>
    <row r="67" spans="1:8" x14ac:dyDescent="0.2">
      <c r="A67" s="2272">
        <v>14</v>
      </c>
      <c r="B67" s="2272" t="s">
        <v>2133</v>
      </c>
      <c r="C67" s="2272" t="s">
        <v>2143</v>
      </c>
      <c r="D67" s="4149">
        <f>D28+D29</f>
        <v>0</v>
      </c>
      <c r="E67" s="4149">
        <f t="shared" ref="E67:F67" si="27">E28+E29</f>
        <v>0</v>
      </c>
      <c r="F67" s="4149">
        <f t="shared" si="27"/>
        <v>724.94</v>
      </c>
      <c r="G67" s="4149">
        <f>G28+G29</f>
        <v>724.94</v>
      </c>
      <c r="H67" s="4149">
        <f t="shared" ref="H67" si="28">H28+H29</f>
        <v>724.94</v>
      </c>
    </row>
    <row r="68" spans="1:8" x14ac:dyDescent="0.2">
      <c r="A68" s="2272">
        <v>15</v>
      </c>
      <c r="B68" s="2272" t="s">
        <v>2133</v>
      </c>
      <c r="C68" s="2272" t="s">
        <v>2142</v>
      </c>
      <c r="D68" s="4149">
        <f>D30+D31</f>
        <v>0</v>
      </c>
      <c r="E68" s="4149">
        <f t="shared" ref="E68:F68" si="29">E30+E31</f>
        <v>0</v>
      </c>
      <c r="F68" s="4149">
        <f t="shared" si="29"/>
        <v>497.95000000000005</v>
      </c>
      <c r="G68" s="4149">
        <f>G30+G31</f>
        <v>497.95000000000005</v>
      </c>
      <c r="H68" s="4149">
        <f t="shared" ref="H68" si="30">H30+H31</f>
        <v>497.95000000000005</v>
      </c>
    </row>
    <row r="69" spans="1:8" x14ac:dyDescent="0.2">
      <c r="A69" s="2272">
        <v>16</v>
      </c>
      <c r="B69" s="2272" t="s">
        <v>2133</v>
      </c>
      <c r="C69" s="2272" t="s">
        <v>2141</v>
      </c>
      <c r="D69" s="4149">
        <f>D32+D33</f>
        <v>0</v>
      </c>
      <c r="E69" s="4149">
        <f t="shared" ref="E69:F69" si="31">E32+E33</f>
        <v>0</v>
      </c>
      <c r="F69" s="4149">
        <f t="shared" si="31"/>
        <v>1.91</v>
      </c>
      <c r="G69" s="4149">
        <f>G32+G33</f>
        <v>1.91</v>
      </c>
      <c r="H69" s="4149">
        <f t="shared" ref="H69" si="32">H32+H33</f>
        <v>1.91</v>
      </c>
    </row>
    <row r="70" spans="1:8" x14ac:dyDescent="0.2">
      <c r="A70" s="2272">
        <v>17</v>
      </c>
      <c r="B70" s="2272" t="s">
        <v>2133</v>
      </c>
      <c r="C70" s="2272" t="s">
        <v>2140</v>
      </c>
      <c r="D70" s="4149">
        <f>D34+D35</f>
        <v>0</v>
      </c>
      <c r="E70" s="4149">
        <f t="shared" ref="E70:F70" si="33">E34+E35</f>
        <v>0</v>
      </c>
      <c r="F70" s="4149">
        <f t="shared" si="33"/>
        <v>3153.17</v>
      </c>
      <c r="G70" s="4149">
        <f>G34+G35</f>
        <v>3153.17</v>
      </c>
      <c r="H70" s="4149">
        <f t="shared" ref="H70" si="34">H34+H35</f>
        <v>3153.17</v>
      </c>
    </row>
    <row r="71" spans="1:8" x14ac:dyDescent="0.2">
      <c r="A71" s="2272">
        <v>18</v>
      </c>
      <c r="B71" s="2272" t="s">
        <v>2133</v>
      </c>
      <c r="C71" s="2272" t="s">
        <v>2139</v>
      </c>
      <c r="D71" s="4149">
        <f>D36+D37</f>
        <v>0</v>
      </c>
      <c r="E71" s="4149">
        <f t="shared" ref="E71:F71" si="35">E36+E37</f>
        <v>0</v>
      </c>
      <c r="F71" s="4149">
        <f t="shared" si="35"/>
        <v>1.81</v>
      </c>
      <c r="G71" s="4149">
        <f>G36+G37</f>
        <v>1.81</v>
      </c>
      <c r="H71" s="4149">
        <f t="shared" ref="H71" si="36">H36+H37</f>
        <v>1.81</v>
      </c>
    </row>
    <row r="72" spans="1:8" x14ac:dyDescent="0.2">
      <c r="A72" s="2272">
        <v>19</v>
      </c>
      <c r="B72" s="2272" t="s">
        <v>2133</v>
      </c>
      <c r="C72" s="2272" t="s">
        <v>2138</v>
      </c>
      <c r="D72" s="4149">
        <f>D38+D39</f>
        <v>0</v>
      </c>
      <c r="E72" s="4149">
        <f t="shared" ref="E72:F72" si="37">E38+E39</f>
        <v>0</v>
      </c>
      <c r="F72" s="4149">
        <f t="shared" si="37"/>
        <v>174.66</v>
      </c>
      <c r="G72" s="4149">
        <f>G38+G39</f>
        <v>174.66</v>
      </c>
      <c r="H72" s="4149">
        <f t="shared" ref="H72" si="38">H38+H39</f>
        <v>174.66</v>
      </c>
    </row>
    <row r="73" spans="1:8" x14ac:dyDescent="0.2">
      <c r="A73" s="2272">
        <v>20</v>
      </c>
      <c r="B73" s="2272" t="s">
        <v>2133</v>
      </c>
      <c r="C73" s="2272" t="s">
        <v>2137</v>
      </c>
      <c r="D73" s="4149">
        <f>D40+D41</f>
        <v>0</v>
      </c>
      <c r="E73" s="4149">
        <f t="shared" ref="E73:F73" si="39">E40+E41</f>
        <v>0</v>
      </c>
      <c r="F73" s="4149">
        <f t="shared" si="39"/>
        <v>6.6400000000000006</v>
      </c>
      <c r="G73" s="4149">
        <f>G40+G41</f>
        <v>6.6400000000000006</v>
      </c>
      <c r="H73" s="4149">
        <f t="shared" ref="H73" si="40">H40+H41</f>
        <v>6.6400000000000006</v>
      </c>
    </row>
    <row r="74" spans="1:8" x14ac:dyDescent="0.2">
      <c r="A74" s="2272">
        <v>21</v>
      </c>
      <c r="B74" s="2272" t="s">
        <v>2133</v>
      </c>
      <c r="C74" s="2272" t="s">
        <v>2136</v>
      </c>
      <c r="D74" s="4149">
        <f>D42+D43</f>
        <v>0</v>
      </c>
      <c r="E74" s="4149">
        <f t="shared" ref="E74:F74" si="41">E42+E43</f>
        <v>0</v>
      </c>
      <c r="F74" s="4149">
        <f t="shared" si="41"/>
        <v>3.74</v>
      </c>
      <c r="G74" s="4149">
        <f>G42+G43</f>
        <v>3.74</v>
      </c>
      <c r="H74" s="4149">
        <f t="shared" ref="H74" si="42">H42+H43</f>
        <v>3.74</v>
      </c>
    </row>
    <row r="75" spans="1:8" x14ac:dyDescent="0.2">
      <c r="A75" s="2272">
        <v>22</v>
      </c>
      <c r="B75" s="2272" t="s">
        <v>2133</v>
      </c>
      <c r="C75" s="2272" t="s">
        <v>2135</v>
      </c>
      <c r="D75" s="4149">
        <f>D44+D45</f>
        <v>0</v>
      </c>
      <c r="E75" s="4149">
        <f t="shared" ref="E75:F75" si="43">E44+E45</f>
        <v>0</v>
      </c>
      <c r="F75" s="4149">
        <f t="shared" si="43"/>
        <v>30.35</v>
      </c>
      <c r="G75" s="4149">
        <f>G44+G45</f>
        <v>30.35</v>
      </c>
      <c r="H75" s="4149">
        <f t="shared" ref="H75" si="44">H44+H45</f>
        <v>30.35</v>
      </c>
    </row>
    <row r="76" spans="1:8" x14ac:dyDescent="0.2">
      <c r="A76" s="2272">
        <v>23</v>
      </c>
      <c r="B76" s="2272" t="s">
        <v>2133</v>
      </c>
      <c r="C76" s="2272" t="s">
        <v>2134</v>
      </c>
      <c r="D76" s="4149">
        <f>D46+D47</f>
        <v>0</v>
      </c>
      <c r="E76" s="4149">
        <f t="shared" ref="E76:H76" si="45">E46+E47</f>
        <v>0</v>
      </c>
      <c r="F76" s="4149">
        <f t="shared" si="45"/>
        <v>66.95</v>
      </c>
      <c r="G76" s="4149">
        <f t="shared" si="45"/>
        <v>66.95</v>
      </c>
      <c r="H76" s="4149">
        <f t="shared" si="45"/>
        <v>66.95</v>
      </c>
    </row>
    <row r="77" spans="1:8" x14ac:dyDescent="0.2">
      <c r="A77" s="2272">
        <v>24</v>
      </c>
      <c r="B77" s="2272" t="s">
        <v>2133</v>
      </c>
      <c r="C77" s="2272" t="s">
        <v>2132</v>
      </c>
      <c r="D77" s="4149">
        <f>D48+D49</f>
        <v>0</v>
      </c>
      <c r="E77" s="4149">
        <f t="shared" ref="E77:F77" si="46">E48+E49</f>
        <v>0</v>
      </c>
      <c r="F77" s="4149">
        <f t="shared" si="46"/>
        <v>0</v>
      </c>
      <c r="G77" s="4149">
        <f>G48+G49</f>
        <v>0</v>
      </c>
      <c r="H77" s="4149">
        <f t="shared" ref="H77" si="47">H48+H49</f>
        <v>0</v>
      </c>
    </row>
    <row r="78" spans="1:8" x14ac:dyDescent="0.2">
      <c r="A78" s="2272"/>
      <c r="B78" s="2272"/>
      <c r="C78" s="2272" t="s">
        <v>97</v>
      </c>
      <c r="D78" s="4149">
        <f t="shared" ref="D78:H78" si="48">SUM(D54:D77)</f>
        <v>0</v>
      </c>
      <c r="E78" s="4149">
        <f t="shared" si="48"/>
        <v>0</v>
      </c>
      <c r="F78" s="4149">
        <f t="shared" si="48"/>
        <v>5580.1900000000005</v>
      </c>
      <c r="G78" s="4149">
        <f t="shared" si="48"/>
        <v>5580.1900000000005</v>
      </c>
      <c r="H78" s="4149">
        <f t="shared" si="48"/>
        <v>5580.1900000000005</v>
      </c>
    </row>
    <row r="79" spans="1:8" x14ac:dyDescent="0.2">
      <c r="A79" s="2272"/>
      <c r="B79" s="2272"/>
      <c r="C79" s="2272" t="s">
        <v>2131</v>
      </c>
      <c r="D79" s="4149">
        <f>SUM(D54:D69)</f>
        <v>0</v>
      </c>
      <c r="E79" s="4149">
        <f t="shared" ref="E79:H79" si="49">SUM(E54:E69)</f>
        <v>0</v>
      </c>
      <c r="F79" s="4149">
        <f t="shared" si="49"/>
        <v>2142.87</v>
      </c>
      <c r="G79" s="4149">
        <f t="shared" si="49"/>
        <v>2142.87</v>
      </c>
      <c r="H79" s="4149">
        <f t="shared" si="49"/>
        <v>2142.87</v>
      </c>
    </row>
  </sheetData>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9E6D5-D45D-449E-A2D4-5E14CFE3D271}">
  <sheetPr codeName="Ark91">
    <tabColor theme="3" tint="-0.249977111117893"/>
  </sheetPr>
  <dimension ref="A1:T58"/>
  <sheetViews>
    <sheetView topLeftCell="A5" zoomScale="85" zoomScaleNormal="85" workbookViewId="0">
      <selection activeCell="M36" sqref="M36"/>
    </sheetView>
  </sheetViews>
  <sheetFormatPr defaultRowHeight="12.75" x14ac:dyDescent="0.2"/>
  <cols>
    <col min="1" max="1" width="10.140625" customWidth="1"/>
    <col min="2" max="2" width="36.140625" bestFit="1" customWidth="1"/>
    <col min="3" max="3" width="12.5703125" bestFit="1" customWidth="1"/>
    <col min="4" max="4" width="7.85546875" bestFit="1" customWidth="1"/>
    <col min="5" max="6" width="9" bestFit="1" customWidth="1"/>
    <col min="7" max="7" width="10.140625" customWidth="1"/>
    <col min="8" max="8" width="23.85546875" customWidth="1"/>
    <col min="9" max="10" width="9.28515625" bestFit="1" customWidth="1"/>
  </cols>
  <sheetData>
    <row r="1" spans="1:16" ht="15" x14ac:dyDescent="0.25">
      <c r="A1" s="5404" t="s">
        <v>2254</v>
      </c>
      <c r="B1" s="5404"/>
      <c r="C1" s="5404"/>
      <c r="D1" s="5404"/>
      <c r="E1" s="5404"/>
      <c r="F1" s="5404"/>
      <c r="G1" s="5404"/>
      <c r="H1" s="5404"/>
      <c r="I1" s="5404"/>
      <c r="J1" s="5404"/>
      <c r="K1" s="5404"/>
      <c r="L1" s="5404"/>
      <c r="M1" s="5404"/>
      <c r="N1" s="5404"/>
      <c r="O1" s="5404"/>
      <c r="P1" s="5404"/>
    </row>
    <row r="2" spans="1:16" ht="15" x14ac:dyDescent="0.25">
      <c r="A2" s="2700" t="s">
        <v>2163</v>
      </c>
      <c r="B2" s="2700" t="s">
        <v>2161</v>
      </c>
      <c r="C2" s="2700" t="s">
        <v>2253</v>
      </c>
      <c r="D2" s="2700" t="s">
        <v>2252</v>
      </c>
      <c r="E2" s="2700" t="s">
        <v>2251</v>
      </c>
      <c r="F2" s="2700" t="s">
        <v>2250</v>
      </c>
      <c r="G2" s="2700" t="s">
        <v>2249</v>
      </c>
      <c r="H2" s="2700" t="s">
        <v>2248</v>
      </c>
      <c r="I2" s="2700" t="s">
        <v>2247</v>
      </c>
      <c r="J2" s="2700" t="s">
        <v>2246</v>
      </c>
      <c r="K2" s="2700" t="s">
        <v>2245</v>
      </c>
      <c r="L2" s="2700" t="s">
        <v>2244</v>
      </c>
      <c r="M2" s="2700" t="s">
        <v>2243</v>
      </c>
      <c r="N2" s="2700" t="s">
        <v>2242</v>
      </c>
      <c r="O2" s="2700" t="s">
        <v>2241</v>
      </c>
      <c r="P2" s="2701" t="s">
        <v>97</v>
      </c>
    </row>
    <row r="3" spans="1:16" ht="15" x14ac:dyDescent="0.25">
      <c r="A3" s="2702">
        <v>1</v>
      </c>
      <c r="B3" s="2703" t="s">
        <v>2156</v>
      </c>
      <c r="C3" s="4149">
        <v>0</v>
      </c>
      <c r="D3" s="4149">
        <v>0</v>
      </c>
      <c r="E3" s="4149">
        <v>0</v>
      </c>
      <c r="F3" s="4149">
        <v>0</v>
      </c>
      <c r="G3" s="4149">
        <v>0</v>
      </c>
      <c r="H3" s="4149">
        <v>0</v>
      </c>
      <c r="I3" s="4149">
        <v>0</v>
      </c>
      <c r="J3" s="4149">
        <v>0</v>
      </c>
      <c r="K3" s="4149">
        <v>0</v>
      </c>
      <c r="L3" s="4149">
        <v>0</v>
      </c>
      <c r="M3" s="4149">
        <v>0</v>
      </c>
      <c r="N3" s="4149">
        <v>0</v>
      </c>
      <c r="O3" s="4149">
        <v>0</v>
      </c>
      <c r="P3" s="2698">
        <f t="shared" ref="P3:P25" si="0">SUM(C3:O3)</f>
        <v>0</v>
      </c>
    </row>
    <row r="4" spans="1:16" ht="15" x14ac:dyDescent="0.25">
      <c r="A4" s="2702">
        <v>2</v>
      </c>
      <c r="B4" s="2703" t="s">
        <v>2155</v>
      </c>
      <c r="C4" s="4149">
        <v>0</v>
      </c>
      <c r="D4" s="4149">
        <v>0</v>
      </c>
      <c r="E4" s="4149">
        <v>0</v>
      </c>
      <c r="F4" s="4149">
        <v>0</v>
      </c>
      <c r="G4" s="4149">
        <v>0</v>
      </c>
      <c r="H4" s="4149">
        <v>0</v>
      </c>
      <c r="I4" s="4149">
        <v>0</v>
      </c>
      <c r="J4" s="4149">
        <v>0</v>
      </c>
      <c r="K4" s="4149">
        <v>0</v>
      </c>
      <c r="L4" s="4149">
        <v>0</v>
      </c>
      <c r="M4" s="4149">
        <v>0</v>
      </c>
      <c r="N4" s="4149">
        <v>0</v>
      </c>
      <c r="O4" s="4149">
        <v>0</v>
      </c>
      <c r="P4" s="2698">
        <f t="shared" si="0"/>
        <v>0</v>
      </c>
    </row>
    <row r="5" spans="1:16" ht="15" x14ac:dyDescent="0.25">
      <c r="A5" s="2702">
        <v>3</v>
      </c>
      <c r="B5" s="2703" t="s">
        <v>2154</v>
      </c>
      <c r="C5" s="4149">
        <v>0</v>
      </c>
      <c r="D5" s="4149">
        <v>0</v>
      </c>
      <c r="E5" s="4149">
        <v>0</v>
      </c>
      <c r="F5" s="4149">
        <v>0</v>
      </c>
      <c r="G5" s="4149">
        <v>0</v>
      </c>
      <c r="H5" s="4149">
        <v>0</v>
      </c>
      <c r="I5" s="4149">
        <v>0</v>
      </c>
      <c r="J5" s="4149">
        <v>0</v>
      </c>
      <c r="K5" s="4149">
        <v>0</v>
      </c>
      <c r="L5" s="4149">
        <v>0</v>
      </c>
      <c r="M5" s="4149">
        <v>0</v>
      </c>
      <c r="N5" s="4149">
        <v>0</v>
      </c>
      <c r="O5" s="4149">
        <v>0</v>
      </c>
      <c r="P5" s="2698">
        <f t="shared" si="0"/>
        <v>0</v>
      </c>
    </row>
    <row r="6" spans="1:16" ht="15" x14ac:dyDescent="0.25">
      <c r="A6" s="2702">
        <v>4</v>
      </c>
      <c r="B6" s="2703" t="s">
        <v>2153</v>
      </c>
      <c r="C6" s="4149">
        <v>0</v>
      </c>
      <c r="D6" s="4149">
        <v>0</v>
      </c>
      <c r="E6" s="4149">
        <v>0</v>
      </c>
      <c r="F6" s="4149">
        <v>0</v>
      </c>
      <c r="G6" s="4149">
        <v>0</v>
      </c>
      <c r="H6" s="4149">
        <v>0</v>
      </c>
      <c r="I6" s="4149">
        <v>0</v>
      </c>
      <c r="J6" s="4149">
        <v>0</v>
      </c>
      <c r="K6" s="4149">
        <v>0</v>
      </c>
      <c r="L6" s="4149">
        <v>0</v>
      </c>
      <c r="M6" s="4149">
        <v>0</v>
      </c>
      <c r="N6" s="4149">
        <v>0</v>
      </c>
      <c r="O6" s="4149">
        <v>0</v>
      </c>
      <c r="P6" s="2698">
        <f t="shared" si="0"/>
        <v>0</v>
      </c>
    </row>
    <row r="7" spans="1:16" ht="15" x14ac:dyDescent="0.25">
      <c r="A7" s="2702">
        <v>5</v>
      </c>
      <c r="B7" s="2703" t="s">
        <v>2152</v>
      </c>
      <c r="C7" s="4149">
        <v>0</v>
      </c>
      <c r="D7" s="4149">
        <v>0</v>
      </c>
      <c r="E7" s="4149">
        <v>0</v>
      </c>
      <c r="F7" s="4149">
        <v>0</v>
      </c>
      <c r="G7" s="4149">
        <v>0</v>
      </c>
      <c r="H7" s="4149">
        <v>0</v>
      </c>
      <c r="I7" s="4149">
        <v>0</v>
      </c>
      <c r="J7" s="4149">
        <v>0</v>
      </c>
      <c r="K7" s="4149">
        <v>0</v>
      </c>
      <c r="L7" s="4149">
        <v>0</v>
      </c>
      <c r="M7" s="4149">
        <v>0</v>
      </c>
      <c r="N7" s="4149">
        <v>0</v>
      </c>
      <c r="O7" s="4149">
        <v>0</v>
      </c>
      <c r="P7" s="2698">
        <f t="shared" si="0"/>
        <v>0</v>
      </c>
    </row>
    <row r="8" spans="1:16" ht="15" x14ac:dyDescent="0.25">
      <c r="A8" s="2702">
        <v>6</v>
      </c>
      <c r="B8" s="2703" t="s">
        <v>2151</v>
      </c>
      <c r="C8" s="4149">
        <v>0</v>
      </c>
      <c r="D8" s="4149">
        <v>0</v>
      </c>
      <c r="E8" s="4149">
        <v>0</v>
      </c>
      <c r="F8" s="4149">
        <v>0</v>
      </c>
      <c r="G8" s="4149">
        <v>0</v>
      </c>
      <c r="H8" s="4149">
        <v>0</v>
      </c>
      <c r="I8" s="4149">
        <v>0</v>
      </c>
      <c r="J8" s="4149">
        <v>0</v>
      </c>
      <c r="K8" s="4149">
        <v>0</v>
      </c>
      <c r="L8" s="4149">
        <v>0</v>
      </c>
      <c r="M8" s="4149">
        <v>0</v>
      </c>
      <c r="N8" s="4149">
        <v>0</v>
      </c>
      <c r="O8" s="4149">
        <v>0</v>
      </c>
      <c r="P8" s="2698">
        <f t="shared" si="0"/>
        <v>0</v>
      </c>
    </row>
    <row r="9" spans="1:16" ht="15" x14ac:dyDescent="0.25">
      <c r="A9" s="2702">
        <v>7</v>
      </c>
      <c r="B9" s="2703" t="s">
        <v>2150</v>
      </c>
      <c r="C9" s="4149">
        <v>0</v>
      </c>
      <c r="D9" s="4149">
        <v>0</v>
      </c>
      <c r="E9" s="4149">
        <v>0</v>
      </c>
      <c r="F9" s="4149">
        <v>0</v>
      </c>
      <c r="G9" s="4149">
        <v>0</v>
      </c>
      <c r="H9" s="4149">
        <v>0</v>
      </c>
      <c r="I9" s="4149">
        <v>0</v>
      </c>
      <c r="J9" s="4149">
        <v>0</v>
      </c>
      <c r="K9" s="4149">
        <v>0</v>
      </c>
      <c r="L9" s="4149">
        <v>0</v>
      </c>
      <c r="M9" s="4149">
        <v>0</v>
      </c>
      <c r="N9" s="4149">
        <v>0</v>
      </c>
      <c r="O9" s="4149">
        <v>0</v>
      </c>
      <c r="P9" s="2698">
        <f t="shared" si="0"/>
        <v>0</v>
      </c>
    </row>
    <row r="10" spans="1:16" ht="15" x14ac:dyDescent="0.25">
      <c r="A10" s="2702">
        <v>8</v>
      </c>
      <c r="B10" s="2703" t="s">
        <v>2149</v>
      </c>
      <c r="C10" s="4149">
        <v>0</v>
      </c>
      <c r="D10" s="4149">
        <v>0</v>
      </c>
      <c r="E10" s="4149">
        <v>0</v>
      </c>
      <c r="F10" s="4149">
        <v>0</v>
      </c>
      <c r="G10" s="4149">
        <v>0</v>
      </c>
      <c r="H10" s="4149">
        <v>0</v>
      </c>
      <c r="I10" s="4149">
        <v>0</v>
      </c>
      <c r="J10" s="4149">
        <v>0</v>
      </c>
      <c r="K10" s="4149">
        <v>0</v>
      </c>
      <c r="L10" s="4149">
        <v>0</v>
      </c>
      <c r="M10" s="4149">
        <v>0</v>
      </c>
      <c r="N10" s="4149">
        <v>0</v>
      </c>
      <c r="O10" s="4149">
        <v>0</v>
      </c>
      <c r="P10" s="2698">
        <f t="shared" si="0"/>
        <v>0</v>
      </c>
    </row>
    <row r="11" spans="1:16" ht="15" x14ac:dyDescent="0.25">
      <c r="A11" s="2702">
        <v>9</v>
      </c>
      <c r="B11" s="2703" t="s">
        <v>2148</v>
      </c>
      <c r="C11" s="4149">
        <v>0</v>
      </c>
      <c r="D11" s="4149">
        <v>0</v>
      </c>
      <c r="E11" s="4149">
        <v>0</v>
      </c>
      <c r="F11" s="4149">
        <v>0</v>
      </c>
      <c r="G11" s="4149">
        <v>0</v>
      </c>
      <c r="H11" s="4149">
        <v>0</v>
      </c>
      <c r="I11" s="4149">
        <v>0</v>
      </c>
      <c r="J11" s="4149">
        <v>0</v>
      </c>
      <c r="K11" s="4149">
        <v>0</v>
      </c>
      <c r="L11" s="4149">
        <v>0</v>
      </c>
      <c r="M11" s="4149">
        <v>0</v>
      </c>
      <c r="N11" s="4149">
        <v>0</v>
      </c>
      <c r="O11" s="4149">
        <v>0</v>
      </c>
      <c r="P11" s="2698">
        <f t="shared" si="0"/>
        <v>0</v>
      </c>
    </row>
    <row r="12" spans="1:16" ht="15" x14ac:dyDescent="0.25">
      <c r="A12" s="4037">
        <v>10</v>
      </c>
      <c r="B12" s="4038"/>
      <c r="C12" s="4149">
        <v>0</v>
      </c>
      <c r="D12" s="4149">
        <v>0</v>
      </c>
      <c r="E12" s="4149">
        <v>0</v>
      </c>
      <c r="F12" s="4149">
        <v>0</v>
      </c>
      <c r="G12" s="4149">
        <v>0</v>
      </c>
      <c r="H12" s="4149">
        <v>0</v>
      </c>
      <c r="I12" s="4149">
        <v>0</v>
      </c>
      <c r="J12" s="4149">
        <v>0</v>
      </c>
      <c r="K12" s="4149">
        <v>0</v>
      </c>
      <c r="L12" s="4149">
        <v>0</v>
      </c>
      <c r="M12" s="4149">
        <v>0</v>
      </c>
      <c r="N12" s="4149">
        <v>0</v>
      </c>
      <c r="O12" s="4149">
        <v>0</v>
      </c>
      <c r="P12" s="4039"/>
    </row>
    <row r="13" spans="1:16" ht="15" x14ac:dyDescent="0.25">
      <c r="A13" s="2702">
        <v>11</v>
      </c>
      <c r="B13" s="2703" t="s">
        <v>2146</v>
      </c>
      <c r="C13" s="4149">
        <v>0</v>
      </c>
      <c r="D13" s="4149">
        <v>0</v>
      </c>
      <c r="E13" s="4149">
        <v>0</v>
      </c>
      <c r="F13" s="4149">
        <v>0</v>
      </c>
      <c r="G13" s="4149">
        <v>0</v>
      </c>
      <c r="H13" s="4149">
        <v>0</v>
      </c>
      <c r="I13" s="4149">
        <v>0</v>
      </c>
      <c r="J13" s="4149">
        <v>0</v>
      </c>
      <c r="K13" s="4149">
        <v>0</v>
      </c>
      <c r="L13" s="4149">
        <v>0</v>
      </c>
      <c r="M13" s="4149">
        <v>0</v>
      </c>
      <c r="N13" s="4149">
        <v>0</v>
      </c>
      <c r="O13" s="4149">
        <v>0</v>
      </c>
      <c r="P13" s="2698">
        <f t="shared" si="0"/>
        <v>0</v>
      </c>
    </row>
    <row r="14" spans="1:16" ht="30" x14ac:dyDescent="0.25">
      <c r="A14" s="2702">
        <v>12</v>
      </c>
      <c r="B14" s="2703" t="s">
        <v>2911</v>
      </c>
      <c r="C14" s="4149">
        <v>0</v>
      </c>
      <c r="D14" s="4149">
        <v>0</v>
      </c>
      <c r="E14" s="4149">
        <v>0</v>
      </c>
      <c r="F14" s="4149">
        <v>0</v>
      </c>
      <c r="G14" s="4149">
        <v>0</v>
      </c>
      <c r="H14" s="4149">
        <v>0</v>
      </c>
      <c r="I14" s="4149">
        <v>0</v>
      </c>
      <c r="J14" s="4149">
        <v>0</v>
      </c>
      <c r="K14" s="4149">
        <v>0</v>
      </c>
      <c r="L14" s="4149">
        <v>0</v>
      </c>
      <c r="M14" s="4149">
        <v>0</v>
      </c>
      <c r="N14" s="4149">
        <v>0</v>
      </c>
      <c r="O14" s="4149">
        <v>0</v>
      </c>
      <c r="P14" s="2698">
        <f t="shared" si="0"/>
        <v>0</v>
      </c>
    </row>
    <row r="15" spans="1:16" ht="14.45" customHeight="1" x14ac:dyDescent="0.25">
      <c r="A15" s="2702">
        <v>13</v>
      </c>
      <c r="B15" s="2703" t="s">
        <v>2144</v>
      </c>
      <c r="C15" s="4149">
        <v>0</v>
      </c>
      <c r="D15" s="4149">
        <v>0</v>
      </c>
      <c r="E15" s="4149">
        <v>0</v>
      </c>
      <c r="F15" s="4149">
        <v>0</v>
      </c>
      <c r="G15" s="4149">
        <v>0.61</v>
      </c>
      <c r="H15" s="4149">
        <v>0</v>
      </c>
      <c r="I15" s="4149">
        <v>0</v>
      </c>
      <c r="J15" s="4149">
        <v>2.73</v>
      </c>
      <c r="K15" s="4149">
        <v>0</v>
      </c>
      <c r="L15" s="4149">
        <v>0</v>
      </c>
      <c r="M15" s="4149">
        <v>0</v>
      </c>
      <c r="N15" s="4149">
        <v>0</v>
      </c>
      <c r="O15" s="4149">
        <v>0</v>
      </c>
      <c r="P15" s="2698">
        <f t="shared" si="0"/>
        <v>3.34</v>
      </c>
    </row>
    <row r="16" spans="1:16" ht="30" x14ac:dyDescent="0.25">
      <c r="A16" s="2702">
        <v>14</v>
      </c>
      <c r="B16" s="2703" t="s">
        <v>2143</v>
      </c>
      <c r="C16" s="4149">
        <v>0</v>
      </c>
      <c r="D16" s="4149">
        <v>0</v>
      </c>
      <c r="E16" s="4149">
        <v>0</v>
      </c>
      <c r="F16" s="4149">
        <v>0</v>
      </c>
      <c r="G16" s="4149">
        <v>0</v>
      </c>
      <c r="H16" s="4149">
        <v>0</v>
      </c>
      <c r="I16" s="4149">
        <v>0</v>
      </c>
      <c r="J16" s="4149">
        <v>0</v>
      </c>
      <c r="K16" s="4149">
        <v>0</v>
      </c>
      <c r="L16" s="4149">
        <v>0</v>
      </c>
      <c r="M16" s="4149">
        <v>0</v>
      </c>
      <c r="N16" s="4149">
        <v>0</v>
      </c>
      <c r="O16" s="4149">
        <v>0</v>
      </c>
      <c r="P16" s="2698">
        <f t="shared" si="0"/>
        <v>0</v>
      </c>
    </row>
    <row r="17" spans="1:20" ht="15" x14ac:dyDescent="0.25">
      <c r="A17" s="2702">
        <v>15</v>
      </c>
      <c r="B17" s="2703" t="s">
        <v>2142</v>
      </c>
      <c r="C17" s="4149">
        <v>0</v>
      </c>
      <c r="D17" s="4149">
        <v>0</v>
      </c>
      <c r="E17" s="4149">
        <v>0</v>
      </c>
      <c r="F17" s="4149">
        <v>0</v>
      </c>
      <c r="G17" s="4149">
        <v>0</v>
      </c>
      <c r="H17" s="4149">
        <v>0</v>
      </c>
      <c r="I17" s="4149">
        <v>0</v>
      </c>
      <c r="J17" s="4149">
        <v>0</v>
      </c>
      <c r="K17" s="4149">
        <v>0</v>
      </c>
      <c r="L17" s="4149">
        <v>0</v>
      </c>
      <c r="M17" s="4149">
        <v>0</v>
      </c>
      <c r="N17" s="4149">
        <v>0</v>
      </c>
      <c r="O17" s="4149">
        <v>0</v>
      </c>
      <c r="P17" s="2698">
        <f t="shared" si="0"/>
        <v>0</v>
      </c>
    </row>
    <row r="18" spans="1:20" ht="15" x14ac:dyDescent="0.25">
      <c r="A18" s="2702">
        <v>16</v>
      </c>
      <c r="B18" s="2703" t="s">
        <v>2141</v>
      </c>
      <c r="C18" s="4149">
        <v>0</v>
      </c>
      <c r="D18" s="4149">
        <v>0</v>
      </c>
      <c r="E18" s="4149">
        <v>0</v>
      </c>
      <c r="F18" s="4149">
        <v>0</v>
      </c>
      <c r="G18" s="4149">
        <v>0</v>
      </c>
      <c r="H18" s="4149">
        <v>0</v>
      </c>
      <c r="I18" s="4149">
        <v>0</v>
      </c>
      <c r="J18" s="4149">
        <v>0</v>
      </c>
      <c r="K18" s="4149">
        <v>0</v>
      </c>
      <c r="L18" s="4149">
        <v>0</v>
      </c>
      <c r="M18" s="4149">
        <v>0</v>
      </c>
      <c r="N18" s="4149">
        <v>0</v>
      </c>
      <c r="O18" s="4149">
        <v>0</v>
      </c>
      <c r="P18" s="2698">
        <f t="shared" si="0"/>
        <v>0</v>
      </c>
    </row>
    <row r="19" spans="1:20" ht="15" x14ac:dyDescent="0.25">
      <c r="A19" s="2702">
        <v>17</v>
      </c>
      <c r="B19" s="2703" t="s">
        <v>2140</v>
      </c>
      <c r="C19" s="4149">
        <v>0</v>
      </c>
      <c r="D19" s="4149">
        <v>0</v>
      </c>
      <c r="E19" s="4149">
        <v>0</v>
      </c>
      <c r="F19" s="4149">
        <v>0</v>
      </c>
      <c r="G19" s="4149">
        <v>0</v>
      </c>
      <c r="H19" s="4149">
        <v>0</v>
      </c>
      <c r="I19" s="4149">
        <v>0</v>
      </c>
      <c r="J19" s="4149">
        <v>0</v>
      </c>
      <c r="K19" s="4149">
        <v>0</v>
      </c>
      <c r="L19" s="4149">
        <v>0</v>
      </c>
      <c r="M19" s="4149">
        <v>0</v>
      </c>
      <c r="N19" s="4149">
        <v>0</v>
      </c>
      <c r="O19" s="4149">
        <v>0</v>
      </c>
      <c r="P19" s="2698">
        <f t="shared" si="0"/>
        <v>0</v>
      </c>
    </row>
    <row r="20" spans="1:20" ht="15" x14ac:dyDescent="0.25">
      <c r="A20" s="4037">
        <v>18</v>
      </c>
      <c r="B20" s="4038"/>
      <c r="C20" s="4039"/>
      <c r="D20" s="4039"/>
      <c r="E20" s="4039"/>
      <c r="F20" s="4039"/>
      <c r="G20" s="4039"/>
      <c r="H20" s="4039"/>
      <c r="I20" s="4039"/>
      <c r="J20" s="4039"/>
      <c r="K20" s="4039"/>
      <c r="L20" s="4039"/>
      <c r="M20" s="4039"/>
      <c r="N20" s="4039"/>
      <c r="O20" s="4039"/>
      <c r="P20" s="4039"/>
    </row>
    <row r="21" spans="1:20" ht="15" x14ac:dyDescent="0.25">
      <c r="A21" s="4037">
        <v>19</v>
      </c>
      <c r="B21" s="2703" t="s">
        <v>2138</v>
      </c>
      <c r="C21" s="4149">
        <v>0</v>
      </c>
      <c r="D21" s="4149">
        <v>0</v>
      </c>
      <c r="E21" s="4149">
        <v>0</v>
      </c>
      <c r="F21" s="4149">
        <v>0</v>
      </c>
      <c r="G21" s="4149">
        <v>0</v>
      </c>
      <c r="H21" s="4149">
        <v>0</v>
      </c>
      <c r="I21" s="4149">
        <v>0</v>
      </c>
      <c r="J21" s="4149">
        <v>0</v>
      </c>
      <c r="K21" s="4149">
        <v>0</v>
      </c>
      <c r="L21" s="4149">
        <v>0</v>
      </c>
      <c r="M21" s="4149">
        <v>0</v>
      </c>
      <c r="N21" s="4149">
        <v>0</v>
      </c>
      <c r="O21" s="4149">
        <v>0</v>
      </c>
      <c r="P21" s="4039"/>
    </row>
    <row r="22" spans="1:20" ht="15" x14ac:dyDescent="0.25">
      <c r="A22" s="2702">
        <v>20</v>
      </c>
      <c r="B22" s="2703" t="s">
        <v>2137</v>
      </c>
      <c r="C22" s="4149">
        <v>0</v>
      </c>
      <c r="D22" s="4149">
        <v>0</v>
      </c>
      <c r="E22" s="4149">
        <v>0</v>
      </c>
      <c r="F22" s="4149">
        <v>0</v>
      </c>
      <c r="G22" s="4149">
        <v>0</v>
      </c>
      <c r="H22" s="4149">
        <v>0</v>
      </c>
      <c r="I22" s="4149">
        <v>0</v>
      </c>
      <c r="J22" s="4149">
        <v>0</v>
      </c>
      <c r="K22" s="4149">
        <v>0</v>
      </c>
      <c r="L22" s="4149">
        <v>0</v>
      </c>
      <c r="M22" s="4149">
        <v>0</v>
      </c>
      <c r="N22" s="4149">
        <v>0</v>
      </c>
      <c r="O22" s="4149">
        <v>0</v>
      </c>
      <c r="P22" s="2698">
        <f t="shared" si="0"/>
        <v>0</v>
      </c>
    </row>
    <row r="23" spans="1:20" ht="15" x14ac:dyDescent="0.25">
      <c r="A23" s="2702">
        <v>21</v>
      </c>
      <c r="B23" s="2703" t="s">
        <v>2136</v>
      </c>
      <c r="C23" s="4149">
        <v>0</v>
      </c>
      <c r="D23" s="4149">
        <v>0</v>
      </c>
      <c r="E23" s="4149">
        <v>0</v>
      </c>
      <c r="F23" s="4149">
        <v>0</v>
      </c>
      <c r="G23" s="4149">
        <v>0</v>
      </c>
      <c r="H23" s="4149">
        <v>0</v>
      </c>
      <c r="I23" s="4149">
        <v>0</v>
      </c>
      <c r="J23" s="4149">
        <v>0</v>
      </c>
      <c r="K23" s="4149">
        <v>0</v>
      </c>
      <c r="L23" s="4149">
        <v>0</v>
      </c>
      <c r="M23" s="4149">
        <v>0</v>
      </c>
      <c r="N23" s="4149">
        <v>0</v>
      </c>
      <c r="O23" s="4149">
        <v>0</v>
      </c>
      <c r="P23" s="2698">
        <f t="shared" si="0"/>
        <v>0</v>
      </c>
    </row>
    <row r="24" spans="1:20" ht="15" x14ac:dyDescent="0.25">
      <c r="A24" s="2702">
        <v>22</v>
      </c>
      <c r="B24" s="2703" t="s">
        <v>2135</v>
      </c>
      <c r="C24" s="4149">
        <v>0</v>
      </c>
      <c r="D24" s="4149">
        <v>0</v>
      </c>
      <c r="E24" s="4149">
        <v>0</v>
      </c>
      <c r="F24" s="4149">
        <v>0</v>
      </c>
      <c r="G24" s="4149">
        <v>0</v>
      </c>
      <c r="H24" s="4149">
        <v>0</v>
      </c>
      <c r="I24" s="4149">
        <v>0</v>
      </c>
      <c r="J24" s="4149">
        <v>0</v>
      </c>
      <c r="K24" s="4149">
        <v>0</v>
      </c>
      <c r="L24" s="4149">
        <v>0</v>
      </c>
      <c r="M24" s="4149">
        <v>0</v>
      </c>
      <c r="N24" s="4149">
        <v>0</v>
      </c>
      <c r="O24" s="4149">
        <v>0</v>
      </c>
      <c r="P24" s="2698">
        <f t="shared" si="0"/>
        <v>0</v>
      </c>
    </row>
    <row r="25" spans="1:20" ht="15" x14ac:dyDescent="0.25">
      <c r="A25" s="2702">
        <v>23</v>
      </c>
      <c r="B25" s="2703" t="s">
        <v>2134</v>
      </c>
      <c r="C25" s="4149">
        <v>0</v>
      </c>
      <c r="D25" s="4149">
        <v>0</v>
      </c>
      <c r="E25" s="4149">
        <v>0</v>
      </c>
      <c r="F25" s="4149">
        <v>3.53</v>
      </c>
      <c r="G25" s="4149">
        <v>0</v>
      </c>
      <c r="H25" s="4149">
        <v>0</v>
      </c>
      <c r="I25" s="4149">
        <v>4.8</v>
      </c>
      <c r="J25" s="4149">
        <v>0</v>
      </c>
      <c r="K25" s="4149">
        <v>0</v>
      </c>
      <c r="L25" s="4149">
        <v>0</v>
      </c>
      <c r="M25" s="4149">
        <v>0</v>
      </c>
      <c r="N25" s="4149">
        <v>0</v>
      </c>
      <c r="O25" s="4149">
        <v>0</v>
      </c>
      <c r="P25" s="2698">
        <f t="shared" si="0"/>
        <v>8.33</v>
      </c>
      <c r="T25" s="3224"/>
    </row>
    <row r="26" spans="1:20" ht="15" x14ac:dyDescent="0.25">
      <c r="A26" s="2699"/>
      <c r="B26" s="2703" t="s">
        <v>97</v>
      </c>
      <c r="C26" s="2698">
        <f t="shared" ref="C26:O26" si="1">SUM(C3:C25)</f>
        <v>0</v>
      </c>
      <c r="D26" s="2698">
        <f t="shared" si="1"/>
        <v>0</v>
      </c>
      <c r="E26" s="4149">
        <f t="shared" si="1"/>
        <v>0</v>
      </c>
      <c r="F26" s="4149">
        <f t="shared" si="1"/>
        <v>3.53</v>
      </c>
      <c r="G26" s="4149">
        <f t="shared" si="1"/>
        <v>0.61</v>
      </c>
      <c r="H26" s="4149">
        <f t="shared" si="1"/>
        <v>0</v>
      </c>
      <c r="I26" s="4149">
        <f t="shared" si="1"/>
        <v>4.8</v>
      </c>
      <c r="J26" s="4149">
        <f t="shared" si="1"/>
        <v>2.73</v>
      </c>
      <c r="K26" s="4149">
        <f t="shared" si="1"/>
        <v>0</v>
      </c>
      <c r="L26" s="2698">
        <f t="shared" si="1"/>
        <v>0</v>
      </c>
      <c r="M26" s="2698">
        <f t="shared" si="1"/>
        <v>0</v>
      </c>
      <c r="N26" s="2698">
        <f t="shared" si="1"/>
        <v>0</v>
      </c>
      <c r="O26" s="2698">
        <f t="shared" si="1"/>
        <v>0</v>
      </c>
      <c r="P26" s="2705">
        <f>SUM(C26:O26)</f>
        <v>11.67</v>
      </c>
    </row>
    <row r="28" spans="1:20" ht="15" x14ac:dyDescent="0.25">
      <c r="A28" s="5404" t="s">
        <v>2240</v>
      </c>
      <c r="B28" s="5404"/>
      <c r="C28" s="5404"/>
      <c r="G28" s="5414"/>
      <c r="H28" s="5414"/>
      <c r="I28" s="5414"/>
    </row>
    <row r="29" spans="1:20" ht="15" x14ac:dyDescent="0.25">
      <c r="A29" s="2699" t="s">
        <v>4740</v>
      </c>
      <c r="B29" s="2699" t="s">
        <v>2239</v>
      </c>
      <c r="C29" s="2699" t="s">
        <v>4268</v>
      </c>
      <c r="G29" s="4148"/>
      <c r="H29" s="4148"/>
      <c r="I29" s="4148"/>
    </row>
    <row r="30" spans="1:20" x14ac:dyDescent="0.2">
      <c r="A30" s="2699">
        <v>1082</v>
      </c>
      <c r="B30" s="2699" t="s">
        <v>2912</v>
      </c>
      <c r="C30" s="2698"/>
    </row>
    <row r="31" spans="1:20" x14ac:dyDescent="0.2">
      <c r="A31" s="2699">
        <v>1082</v>
      </c>
      <c r="B31" s="2699" t="s">
        <v>2913</v>
      </c>
      <c r="C31" s="2698"/>
    </row>
    <row r="32" spans="1:20" x14ac:dyDescent="0.2">
      <c r="A32" s="2699">
        <v>1082</v>
      </c>
      <c r="B32" s="2699" t="s">
        <v>2914</v>
      </c>
      <c r="C32" s="2698"/>
    </row>
    <row r="33" spans="1:3" x14ac:dyDescent="0.2">
      <c r="A33" s="2699">
        <v>1082</v>
      </c>
      <c r="B33" s="2699" t="s">
        <v>2915</v>
      </c>
      <c r="C33" s="2698"/>
    </row>
    <row r="34" spans="1:3" x14ac:dyDescent="0.2">
      <c r="A34" s="2699">
        <v>1082</v>
      </c>
      <c r="B34" s="2699" t="s">
        <v>2916</v>
      </c>
      <c r="C34" s="2698"/>
    </row>
    <row r="35" spans="1:3" x14ac:dyDescent="0.2">
      <c r="A35" s="2699">
        <v>1082</v>
      </c>
      <c r="B35" s="2699" t="s">
        <v>2917</v>
      </c>
      <c r="C35" s="2698"/>
    </row>
    <row r="36" spans="1:3" x14ac:dyDescent="0.2">
      <c r="A36" s="2699">
        <v>1082</v>
      </c>
      <c r="B36" s="2699" t="s">
        <v>2238</v>
      </c>
      <c r="C36" s="2698"/>
    </row>
    <row r="37" spans="1:3" x14ac:dyDescent="0.2">
      <c r="A37" s="2699">
        <v>1082</v>
      </c>
      <c r="B37" s="2699" t="s">
        <v>2237</v>
      </c>
      <c r="C37" s="2698"/>
    </row>
    <row r="39" spans="1:3" ht="15" x14ac:dyDescent="0.25">
      <c r="A39" s="5404" t="s">
        <v>5322</v>
      </c>
      <c r="B39" s="5404"/>
      <c r="C39" s="5404"/>
    </row>
    <row r="40" spans="1:3" ht="15" x14ac:dyDescent="0.25">
      <c r="A40" s="2700" t="s">
        <v>2650</v>
      </c>
      <c r="B40" s="2700" t="s">
        <v>2234</v>
      </c>
      <c r="C40" s="2700" t="s">
        <v>4269</v>
      </c>
    </row>
    <row r="41" spans="1:3" x14ac:dyDescent="0.2">
      <c r="A41" s="2699">
        <v>1082</v>
      </c>
      <c r="B41" s="2699" t="s">
        <v>2233</v>
      </c>
      <c r="C41" s="2698"/>
    </row>
    <row r="42" spans="1:3" x14ac:dyDescent="0.2">
      <c r="A42" s="2699">
        <v>1082</v>
      </c>
      <c r="B42" s="2699" t="s">
        <v>2232</v>
      </c>
      <c r="C42" s="2272">
        <v>233.25</v>
      </c>
    </row>
    <row r="43" spans="1:3" x14ac:dyDescent="0.2">
      <c r="A43" s="2699">
        <v>1082</v>
      </c>
      <c r="B43" s="2699" t="s">
        <v>2231</v>
      </c>
      <c r="C43" s="2698"/>
    </row>
    <row r="44" spans="1:3" x14ac:dyDescent="0.2">
      <c r="A44" s="2699">
        <v>1082</v>
      </c>
      <c r="B44" s="2699" t="s">
        <v>2230</v>
      </c>
      <c r="C44" s="2698"/>
    </row>
    <row r="45" spans="1:3" x14ac:dyDescent="0.2">
      <c r="A45" s="2699">
        <v>1082</v>
      </c>
      <c r="B45" s="2699" t="s">
        <v>2229</v>
      </c>
      <c r="C45" s="2698"/>
    </row>
    <row r="46" spans="1:3" x14ac:dyDescent="0.2">
      <c r="A46" s="2699">
        <v>1082</v>
      </c>
      <c r="B46" s="2699" t="s">
        <v>2228</v>
      </c>
      <c r="C46" s="2698"/>
    </row>
    <row r="47" spans="1:3" x14ac:dyDescent="0.2">
      <c r="A47" s="2699">
        <v>1082</v>
      </c>
      <c r="B47" s="2699" t="s">
        <v>2227</v>
      </c>
      <c r="C47" s="2698"/>
    </row>
    <row r="49" spans="1:3" ht="15" x14ac:dyDescent="0.25">
      <c r="A49" s="5404" t="s">
        <v>5321</v>
      </c>
      <c r="B49" s="5404"/>
      <c r="C49" s="5404"/>
    </row>
    <row r="50" spans="1:3" ht="15" x14ac:dyDescent="0.25">
      <c r="A50" s="2700" t="s">
        <v>2650</v>
      </c>
      <c r="B50" s="2700" t="s">
        <v>2234</v>
      </c>
      <c r="C50" s="2700" t="s">
        <v>4269</v>
      </c>
    </row>
    <row r="51" spans="1:3" x14ac:dyDescent="0.2">
      <c r="A51" s="2699">
        <v>1082</v>
      </c>
      <c r="B51" s="2699" t="s">
        <v>2233</v>
      </c>
      <c r="C51" s="2704">
        <f>C41*1.015</f>
        <v>0</v>
      </c>
    </row>
    <row r="52" spans="1:3" x14ac:dyDescent="0.2">
      <c r="A52" s="2699">
        <v>1082</v>
      </c>
      <c r="B52" s="2699" t="s">
        <v>2232</v>
      </c>
      <c r="C52" s="2704">
        <f>C42*1.015</f>
        <v>236.74874999999997</v>
      </c>
    </row>
    <row r="53" spans="1:3" x14ac:dyDescent="0.2">
      <c r="A53" s="2699">
        <v>1082</v>
      </c>
      <c r="B53" s="2699" t="s">
        <v>2231</v>
      </c>
      <c r="C53" s="2704">
        <f>C43*1.015</f>
        <v>0</v>
      </c>
    </row>
    <row r="54" spans="1:3" x14ac:dyDescent="0.2">
      <c r="A54" s="2699">
        <v>1082</v>
      </c>
      <c r="B54" s="2699" t="s">
        <v>2230</v>
      </c>
      <c r="C54" s="2704">
        <f>C44*1.015</f>
        <v>0</v>
      </c>
    </row>
    <row r="55" spans="1:3" x14ac:dyDescent="0.2">
      <c r="A55" s="2699">
        <v>1082</v>
      </c>
      <c r="B55" s="2699" t="s">
        <v>2229</v>
      </c>
      <c r="C55" s="2704">
        <f>C45*1.015</f>
        <v>0</v>
      </c>
    </row>
    <row r="56" spans="1:3" x14ac:dyDescent="0.2">
      <c r="A56" s="2699">
        <v>1082</v>
      </c>
      <c r="B56" s="2699" t="s">
        <v>2228</v>
      </c>
      <c r="C56" s="2704">
        <f t="shared" ref="C56:C57" si="2">C46*1.015</f>
        <v>0</v>
      </c>
    </row>
    <row r="57" spans="1:3" x14ac:dyDescent="0.2">
      <c r="A57" s="2699">
        <v>1082</v>
      </c>
      <c r="B57" s="2699" t="s">
        <v>2227</v>
      </c>
      <c r="C57" s="2704">
        <f t="shared" si="2"/>
        <v>0</v>
      </c>
    </row>
    <row r="58" spans="1:3" x14ac:dyDescent="0.2">
      <c r="A58" s="2699">
        <v>1082</v>
      </c>
      <c r="B58" s="2699" t="s">
        <v>2226</v>
      </c>
      <c r="C58" s="2698"/>
    </row>
  </sheetData>
  <mergeCells count="5">
    <mergeCell ref="A28:C28"/>
    <mergeCell ref="A1:P1"/>
    <mergeCell ref="A39:C39"/>
    <mergeCell ref="A49:C49"/>
    <mergeCell ref="G28:I28"/>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58B7D-FC8F-4345-8CA3-50260ACB8E08}">
  <sheetPr codeName="Ark112">
    <tabColor theme="3" tint="-0.249977111117893"/>
    <pageSetUpPr fitToPage="1"/>
  </sheetPr>
  <dimension ref="A1:D34"/>
  <sheetViews>
    <sheetView workbookViewId="0">
      <selection activeCell="K14" sqref="K14"/>
    </sheetView>
  </sheetViews>
  <sheetFormatPr defaultRowHeight="12.75" x14ac:dyDescent="0.2"/>
  <cols>
    <col min="1" max="1" width="33.7109375" bestFit="1" customWidth="1"/>
    <col min="2" max="2" width="12.85546875" bestFit="1" customWidth="1"/>
    <col min="3" max="3" width="10.28515625" bestFit="1" customWidth="1"/>
    <col min="4" max="4" width="12.85546875" bestFit="1" customWidth="1"/>
  </cols>
  <sheetData>
    <row r="1" spans="1:4" x14ac:dyDescent="0.2">
      <c r="A1" s="4177" t="s">
        <v>2106</v>
      </c>
      <c r="B1" s="5405" t="s">
        <v>5384</v>
      </c>
      <c r="C1" s="5406"/>
      <c r="D1" s="5407"/>
    </row>
    <row r="2" spans="1:4" x14ac:dyDescent="0.2">
      <c r="A2" s="4177" t="s">
        <v>270</v>
      </c>
      <c r="B2" s="4186" t="s">
        <v>2104</v>
      </c>
      <c r="C2" s="4186" t="s">
        <v>2103</v>
      </c>
      <c r="D2" s="4186" t="s">
        <v>97</v>
      </c>
    </row>
    <row r="3" spans="1:4" x14ac:dyDescent="0.2">
      <c r="A3" s="4187" t="s">
        <v>2130</v>
      </c>
      <c r="B3" s="4187">
        <v>0</v>
      </c>
      <c r="C3" s="4187">
        <v>274.42</v>
      </c>
      <c r="D3" s="4187">
        <f t="shared" ref="D3:D27" si="0">SUM(B3:C3)</f>
        <v>274.42</v>
      </c>
    </row>
    <row r="4" spans="1:4" x14ac:dyDescent="0.2">
      <c r="A4" s="4187" t="s">
        <v>2129</v>
      </c>
      <c r="B4" s="4187">
        <v>623.22</v>
      </c>
      <c r="C4" s="4187">
        <v>0</v>
      </c>
      <c r="D4" s="4187">
        <f t="shared" si="0"/>
        <v>623.22</v>
      </c>
    </row>
    <row r="5" spans="1:4" x14ac:dyDescent="0.2">
      <c r="A5" s="4187" t="s">
        <v>2128</v>
      </c>
      <c r="B5" s="4187">
        <v>0</v>
      </c>
      <c r="C5" s="4187">
        <v>0</v>
      </c>
      <c r="D5" s="4187">
        <f t="shared" si="0"/>
        <v>0</v>
      </c>
    </row>
    <row r="6" spans="1:4" x14ac:dyDescent="0.2">
      <c r="A6" s="4187" t="s">
        <v>2127</v>
      </c>
      <c r="B6" s="4187">
        <v>0</v>
      </c>
      <c r="C6" s="4187">
        <v>0</v>
      </c>
      <c r="D6" s="4187">
        <f t="shared" si="0"/>
        <v>0</v>
      </c>
    </row>
    <row r="7" spans="1:4" x14ac:dyDescent="0.2">
      <c r="A7" s="4187" t="s">
        <v>2126</v>
      </c>
      <c r="B7" s="4187">
        <v>0</v>
      </c>
      <c r="C7" s="4187">
        <v>0</v>
      </c>
      <c r="D7" s="4187">
        <f t="shared" si="0"/>
        <v>0</v>
      </c>
    </row>
    <row r="8" spans="1:4" x14ac:dyDescent="0.2">
      <c r="A8" s="4149" t="s">
        <v>2125</v>
      </c>
      <c r="B8" s="4149">
        <v>283429.55</v>
      </c>
      <c r="C8" s="4149">
        <v>8853.77</v>
      </c>
      <c r="D8" s="4149">
        <f t="shared" si="0"/>
        <v>292283.32</v>
      </c>
    </row>
    <row r="9" spans="1:4" x14ac:dyDescent="0.2">
      <c r="A9" s="4188" t="s">
        <v>2124</v>
      </c>
      <c r="B9" s="4188">
        <v>2354.04</v>
      </c>
      <c r="C9" s="4188">
        <v>0</v>
      </c>
      <c r="D9" s="4188">
        <f t="shared" si="0"/>
        <v>2354.04</v>
      </c>
    </row>
    <row r="10" spans="1:4" x14ac:dyDescent="0.2">
      <c r="A10" s="4188" t="s">
        <v>2123</v>
      </c>
      <c r="B10" s="4188">
        <v>3135.17</v>
      </c>
      <c r="C10" s="4188">
        <v>0</v>
      </c>
      <c r="D10" s="4188">
        <f t="shared" si="0"/>
        <v>3135.17</v>
      </c>
    </row>
    <row r="11" spans="1:4" x14ac:dyDescent="0.2">
      <c r="A11" s="4188" t="s">
        <v>2122</v>
      </c>
      <c r="B11" s="4188">
        <v>13.97</v>
      </c>
      <c r="C11" s="4188">
        <v>684.08</v>
      </c>
      <c r="D11" s="4188">
        <f t="shared" si="0"/>
        <v>698.05000000000007</v>
      </c>
    </row>
    <row r="12" spans="1:4" x14ac:dyDescent="0.2">
      <c r="A12" s="4188" t="s">
        <v>2121</v>
      </c>
      <c r="B12" s="4188">
        <v>0</v>
      </c>
      <c r="C12" s="4188">
        <v>0</v>
      </c>
      <c r="D12" s="4188">
        <f t="shared" si="0"/>
        <v>0</v>
      </c>
    </row>
    <row r="13" spans="1:4" x14ac:dyDescent="0.2">
      <c r="A13" s="4188" t="s">
        <v>2120</v>
      </c>
      <c r="B13" s="4188">
        <v>3658.12</v>
      </c>
      <c r="C13" s="4188">
        <v>1451.31</v>
      </c>
      <c r="D13" s="4188">
        <f t="shared" si="0"/>
        <v>5109.43</v>
      </c>
    </row>
    <row r="14" spans="1:4" x14ac:dyDescent="0.2">
      <c r="A14" s="4188" t="s">
        <v>2119</v>
      </c>
      <c r="B14" s="4188">
        <v>3167.66</v>
      </c>
      <c r="C14" s="4188">
        <v>2247.2399999999998</v>
      </c>
      <c r="D14" s="4188">
        <f t="shared" si="0"/>
        <v>5414.9</v>
      </c>
    </row>
    <row r="15" spans="1:4" x14ac:dyDescent="0.2">
      <c r="A15" s="4188" t="s">
        <v>2118</v>
      </c>
      <c r="B15" s="4188">
        <v>0</v>
      </c>
      <c r="C15" s="4188">
        <v>0</v>
      </c>
      <c r="D15" s="4188">
        <f t="shared" si="0"/>
        <v>0</v>
      </c>
    </row>
    <row r="16" spans="1:4" x14ac:dyDescent="0.2">
      <c r="A16" s="4188" t="s">
        <v>2117</v>
      </c>
      <c r="B16" s="4188">
        <v>15127.69</v>
      </c>
      <c r="C16" s="4188">
        <v>3989.69</v>
      </c>
      <c r="D16" s="4188">
        <f t="shared" si="0"/>
        <v>19117.38</v>
      </c>
    </row>
    <row r="17" spans="1:4" x14ac:dyDescent="0.2">
      <c r="A17" s="4188" t="s">
        <v>2116</v>
      </c>
      <c r="B17" s="4188">
        <v>51161.17</v>
      </c>
      <c r="C17" s="4188">
        <v>10869.13</v>
      </c>
      <c r="D17" s="4188">
        <f t="shared" si="0"/>
        <v>62030.299999999996</v>
      </c>
    </row>
    <row r="18" spans="1:4" x14ac:dyDescent="0.2">
      <c r="A18" s="4188" t="s">
        <v>2115</v>
      </c>
      <c r="B18" s="4188">
        <v>11350.31</v>
      </c>
      <c r="C18" s="4188">
        <v>101.02</v>
      </c>
      <c r="D18" s="4188">
        <f t="shared" si="0"/>
        <v>11451.33</v>
      </c>
    </row>
    <row r="19" spans="1:4" x14ac:dyDescent="0.2">
      <c r="A19" s="4188" t="s">
        <v>2114</v>
      </c>
      <c r="B19" s="4188">
        <v>0</v>
      </c>
      <c r="C19" s="4188">
        <v>0</v>
      </c>
      <c r="D19" s="4188">
        <f t="shared" si="0"/>
        <v>0</v>
      </c>
    </row>
    <row r="20" spans="1:4" x14ac:dyDescent="0.2">
      <c r="A20" s="4188" t="s">
        <v>2113</v>
      </c>
      <c r="B20" s="4188">
        <v>43180.23</v>
      </c>
      <c r="C20" s="4188">
        <v>7962.84</v>
      </c>
      <c r="D20" s="4188">
        <f t="shared" si="0"/>
        <v>51143.070000000007</v>
      </c>
    </row>
    <row r="21" spans="1:4" x14ac:dyDescent="0.2">
      <c r="A21" s="4188" t="s">
        <v>2112</v>
      </c>
      <c r="B21" s="4188">
        <v>0</v>
      </c>
      <c r="C21" s="4188">
        <v>0</v>
      </c>
      <c r="D21" s="4188">
        <f t="shared" si="0"/>
        <v>0</v>
      </c>
    </row>
    <row r="22" spans="1:4" x14ac:dyDescent="0.2">
      <c r="A22" s="4188" t="s">
        <v>2111</v>
      </c>
      <c r="B22" s="4188">
        <v>0</v>
      </c>
      <c r="C22" s="4188">
        <v>0</v>
      </c>
      <c r="D22" s="4188">
        <f t="shared" si="0"/>
        <v>0</v>
      </c>
    </row>
    <row r="23" spans="1:4" x14ac:dyDescent="0.2">
      <c r="A23" s="4188" t="s">
        <v>2110</v>
      </c>
      <c r="B23" s="4188">
        <v>4817.79</v>
      </c>
      <c r="C23" s="4188">
        <v>605.12</v>
      </c>
      <c r="D23" s="4188">
        <f t="shared" si="0"/>
        <v>5422.91</v>
      </c>
    </row>
    <row r="24" spans="1:4" x14ac:dyDescent="0.2">
      <c r="A24" s="4188" t="s">
        <v>2109</v>
      </c>
      <c r="B24" s="4188">
        <v>0</v>
      </c>
      <c r="C24" s="4188">
        <v>0</v>
      </c>
      <c r="D24" s="4188">
        <f t="shared" si="0"/>
        <v>0</v>
      </c>
    </row>
    <row r="25" spans="1:4" x14ac:dyDescent="0.2">
      <c r="A25" s="4188" t="s">
        <v>2108</v>
      </c>
      <c r="B25" s="4188">
        <v>0</v>
      </c>
      <c r="C25" s="4188">
        <v>0</v>
      </c>
      <c r="D25" s="4188">
        <f t="shared" si="0"/>
        <v>0</v>
      </c>
    </row>
    <row r="26" spans="1:4" x14ac:dyDescent="0.2">
      <c r="A26" s="4188" t="s">
        <v>2107</v>
      </c>
      <c r="B26" s="4188">
        <v>0</v>
      </c>
      <c r="C26" s="4188">
        <v>0</v>
      </c>
      <c r="D26" s="4188">
        <f t="shared" si="0"/>
        <v>0</v>
      </c>
    </row>
    <row r="27" spans="1:4" x14ac:dyDescent="0.2">
      <c r="A27" s="4149" t="s">
        <v>97</v>
      </c>
      <c r="B27" s="4149">
        <f>SUM(B3:B26)</f>
        <v>422018.91999999981</v>
      </c>
      <c r="C27" s="4149">
        <f>SUM(C3:C26)</f>
        <v>37038.620000000003</v>
      </c>
      <c r="D27" s="4149">
        <f t="shared" si="0"/>
        <v>459057.5399999998</v>
      </c>
    </row>
    <row r="29" spans="1:4" x14ac:dyDescent="0.2">
      <c r="A29" s="4177" t="s">
        <v>2106</v>
      </c>
      <c r="B29" s="5408" t="s">
        <v>5384</v>
      </c>
      <c r="C29" s="5408"/>
      <c r="D29" s="5408"/>
    </row>
    <row r="30" spans="1:4" x14ac:dyDescent="0.2">
      <c r="A30" s="4177" t="s">
        <v>2105</v>
      </c>
      <c r="B30" s="4189" t="s">
        <v>2104</v>
      </c>
      <c r="C30" s="4189" t="s">
        <v>2103</v>
      </c>
      <c r="D30" s="4189" t="s">
        <v>97</v>
      </c>
    </row>
    <row r="31" spans="1:4" x14ac:dyDescent="0.2">
      <c r="A31" s="4190" t="s">
        <v>2102</v>
      </c>
      <c r="B31" s="4191">
        <v>297601.03000000003</v>
      </c>
      <c r="C31" s="4191">
        <v>9296.4599999999991</v>
      </c>
      <c r="D31" s="4191">
        <f>SUM(B31:C31)</f>
        <v>306897.49000000005</v>
      </c>
    </row>
    <row r="32" spans="1:4" x14ac:dyDescent="0.2">
      <c r="A32" s="4192" t="s">
        <v>2101</v>
      </c>
      <c r="B32" s="4193">
        <v>137966.15</v>
      </c>
      <c r="C32" s="4193">
        <v>27910.43</v>
      </c>
      <c r="D32" s="4193">
        <f>SUM(B32:C32)</f>
        <v>165876.57999999999</v>
      </c>
    </row>
    <row r="33" spans="1:4" x14ac:dyDescent="0.2">
      <c r="A33" s="4194" t="s">
        <v>2100</v>
      </c>
      <c r="B33" s="4195">
        <v>623.22</v>
      </c>
      <c r="C33" s="4195">
        <v>274.42</v>
      </c>
      <c r="D33" s="4195">
        <f>SUM(B33:C33)</f>
        <v>897.6400000000001</v>
      </c>
    </row>
    <row r="34" spans="1:4" x14ac:dyDescent="0.2">
      <c r="A34" s="4190" t="s">
        <v>2099</v>
      </c>
      <c r="B34" s="4191">
        <f>SUM(B31:B33)</f>
        <v>436190.4</v>
      </c>
      <c r="C34" s="4191">
        <f t="shared" ref="C34:D34" si="1">SUM(C31:C33)</f>
        <v>37481.31</v>
      </c>
      <c r="D34" s="4191">
        <f t="shared" si="1"/>
        <v>473671.71000000008</v>
      </c>
    </row>
  </sheetData>
  <mergeCells count="2">
    <mergeCell ref="B1:D1"/>
    <mergeCell ref="B29:D29"/>
  </mergeCells>
  <pageMargins left="0.7" right="0.7" top="0.75" bottom="0.75" header="0.3" footer="0.3"/>
  <pageSetup paperSize="9" scale="96"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E162A-8175-4DC1-B8E0-B604EC30D3A3}">
  <sheetPr codeName="Ark93">
    <tabColor rgb="FFFF0000"/>
  </sheetPr>
  <dimension ref="A1:AN39"/>
  <sheetViews>
    <sheetView workbookViewId="0">
      <selection sqref="A1:AL38"/>
    </sheetView>
  </sheetViews>
  <sheetFormatPr defaultRowHeight="12.75" x14ac:dyDescent="0.2"/>
  <cols>
    <col min="2" max="2" width="25.140625" customWidth="1"/>
  </cols>
  <sheetData>
    <row r="1" spans="1:39" ht="15" x14ac:dyDescent="0.25">
      <c r="A1" s="4093" t="s">
        <v>5385</v>
      </c>
      <c r="B1" s="4094" t="s">
        <v>5317</v>
      </c>
      <c r="C1" s="4093">
        <v>1110</v>
      </c>
      <c r="D1" s="4093">
        <v>1120</v>
      </c>
      <c r="E1" s="4093">
        <v>1130</v>
      </c>
      <c r="F1" s="4093">
        <v>1180</v>
      </c>
      <c r="G1" s="4093">
        <v>1210</v>
      </c>
      <c r="H1" s="4093">
        <v>1220</v>
      </c>
      <c r="I1" s="4093">
        <v>1230</v>
      </c>
      <c r="J1" s="4093">
        <v>1280</v>
      </c>
      <c r="K1" s="4093">
        <v>1310</v>
      </c>
      <c r="L1" s="4093">
        <v>1320</v>
      </c>
      <c r="M1" s="4093">
        <v>1330</v>
      </c>
      <c r="N1" s="4093">
        <v>1380</v>
      </c>
      <c r="O1" s="4093">
        <v>1410</v>
      </c>
      <c r="P1" s="4093">
        <v>1420</v>
      </c>
      <c r="Q1" s="4093">
        <v>1430</v>
      </c>
      <c r="R1" s="4093">
        <v>1480</v>
      </c>
      <c r="S1" s="4093">
        <v>1510</v>
      </c>
      <c r="T1" s="4093">
        <v>1520</v>
      </c>
      <c r="U1" s="4093">
        <v>1530</v>
      </c>
      <c r="V1" s="4093">
        <v>1580</v>
      </c>
      <c r="W1" s="4093">
        <v>1610</v>
      </c>
      <c r="X1" s="4093">
        <v>1620</v>
      </c>
      <c r="Y1" s="4093">
        <v>1630</v>
      </c>
      <c r="Z1" s="4093">
        <v>1680</v>
      </c>
      <c r="AA1" s="4093">
        <v>1710</v>
      </c>
      <c r="AB1" s="4093">
        <v>1720</v>
      </c>
      <c r="AC1" s="4093">
        <v>1730</v>
      </c>
      <c r="AD1" s="4093">
        <v>1780</v>
      </c>
      <c r="AE1" s="4093">
        <v>1810</v>
      </c>
      <c r="AF1" s="4093">
        <v>1820</v>
      </c>
      <c r="AG1" s="4093">
        <v>1830</v>
      </c>
      <c r="AH1" s="4093">
        <v>1880</v>
      </c>
      <c r="AI1" s="4093">
        <v>1910</v>
      </c>
      <c r="AJ1" s="4093">
        <v>1920</v>
      </c>
      <c r="AK1" s="4093">
        <v>1930</v>
      </c>
      <c r="AL1" s="4093">
        <v>1980</v>
      </c>
      <c r="AM1" t="s">
        <v>4272</v>
      </c>
    </row>
    <row r="2" spans="1:39" ht="15" x14ac:dyDescent="0.25">
      <c r="A2" s="4093" t="s">
        <v>2298</v>
      </c>
      <c r="B2" s="4095" t="s">
        <v>2297</v>
      </c>
      <c r="C2" s="4095" t="s">
        <v>2296</v>
      </c>
      <c r="D2" s="4095" t="s">
        <v>2295</v>
      </c>
      <c r="E2" s="4095" t="s">
        <v>2294</v>
      </c>
      <c r="F2" s="4095" t="s">
        <v>2293</v>
      </c>
      <c r="G2" s="4095" t="s">
        <v>2292</v>
      </c>
      <c r="H2" s="4095" t="s">
        <v>2291</v>
      </c>
      <c r="I2" s="4095" t="s">
        <v>2290</v>
      </c>
      <c r="J2" s="4095" t="s">
        <v>2289</v>
      </c>
      <c r="K2" s="4095" t="s">
        <v>2288</v>
      </c>
      <c r="L2" s="4095" t="s">
        <v>2287</v>
      </c>
      <c r="M2" s="4095" t="s">
        <v>2286</v>
      </c>
      <c r="N2" s="4095" t="s">
        <v>2285</v>
      </c>
      <c r="O2" s="4095" t="s">
        <v>2284</v>
      </c>
      <c r="P2" s="4095" t="s">
        <v>2283</v>
      </c>
      <c r="Q2" s="4095" t="s">
        <v>2282</v>
      </c>
      <c r="R2" s="4095" t="s">
        <v>2281</v>
      </c>
      <c r="S2" s="4095" t="s">
        <v>2280</v>
      </c>
      <c r="T2" s="4095" t="s">
        <v>2279</v>
      </c>
      <c r="U2" s="4095" t="s">
        <v>2278</v>
      </c>
      <c r="V2" s="4095" t="s">
        <v>2277</v>
      </c>
      <c r="W2" s="4095" t="s">
        <v>2276</v>
      </c>
      <c r="X2" s="4095" t="s">
        <v>2275</v>
      </c>
      <c r="Y2" s="4095" t="s">
        <v>2274</v>
      </c>
      <c r="Z2" s="4095" t="s">
        <v>2273</v>
      </c>
      <c r="AA2" s="4095" t="s">
        <v>2272</v>
      </c>
      <c r="AB2" s="4095" t="s">
        <v>2271</v>
      </c>
      <c r="AC2" s="4095" t="s">
        <v>2270</v>
      </c>
      <c r="AD2" s="4095" t="s">
        <v>2269</v>
      </c>
      <c r="AE2" s="4095" t="s">
        <v>2268</v>
      </c>
      <c r="AF2" s="4095" t="s">
        <v>2267</v>
      </c>
      <c r="AG2" s="4095" t="s">
        <v>2266</v>
      </c>
      <c r="AH2" s="4095" t="s">
        <v>2265</v>
      </c>
      <c r="AI2" s="4095" t="s">
        <v>2264</v>
      </c>
      <c r="AJ2" s="4095" t="s">
        <v>2263</v>
      </c>
      <c r="AK2" s="4095" t="s">
        <v>2262</v>
      </c>
      <c r="AL2" s="4096" t="s">
        <v>2261</v>
      </c>
    </row>
    <row r="3" spans="1:39" ht="15" x14ac:dyDescent="0.25">
      <c r="A3" s="4093">
        <v>1110</v>
      </c>
      <c r="B3" s="4095" t="s">
        <v>2296</v>
      </c>
      <c r="C3" s="4092">
        <v>1163.9375</v>
      </c>
      <c r="D3" s="4092">
        <v>0</v>
      </c>
      <c r="E3" s="4092">
        <v>0</v>
      </c>
      <c r="F3" s="4092">
        <v>0</v>
      </c>
      <c r="G3" s="4092">
        <v>0</v>
      </c>
      <c r="H3" s="4092">
        <v>0</v>
      </c>
      <c r="I3" s="4092">
        <v>0</v>
      </c>
      <c r="J3" s="4092">
        <v>0</v>
      </c>
      <c r="K3" s="4092">
        <v>0</v>
      </c>
      <c r="L3" s="4092">
        <v>0</v>
      </c>
      <c r="M3" s="4092">
        <v>0</v>
      </c>
      <c r="N3" s="4092">
        <v>0</v>
      </c>
      <c r="O3" s="4092">
        <v>0</v>
      </c>
      <c r="P3" s="4092">
        <v>0</v>
      </c>
      <c r="Q3" s="4092">
        <v>0</v>
      </c>
      <c r="R3" s="4092">
        <v>0</v>
      </c>
      <c r="S3" s="4092">
        <v>0</v>
      </c>
      <c r="T3" s="4092">
        <v>0</v>
      </c>
      <c r="U3" s="4092">
        <v>0</v>
      </c>
      <c r="V3" s="4092">
        <v>0</v>
      </c>
      <c r="W3" s="4092">
        <v>0</v>
      </c>
      <c r="X3" s="4092">
        <v>0</v>
      </c>
      <c r="Y3" s="4092">
        <v>0</v>
      </c>
      <c r="Z3" s="4092">
        <v>0</v>
      </c>
      <c r="AA3" s="4092">
        <v>0</v>
      </c>
      <c r="AB3" s="4092">
        <v>0</v>
      </c>
      <c r="AC3" s="4092">
        <v>0</v>
      </c>
      <c r="AD3" s="4092">
        <v>0</v>
      </c>
      <c r="AE3" s="4092">
        <v>0</v>
      </c>
      <c r="AF3" s="4092">
        <v>0</v>
      </c>
      <c r="AG3" s="4092">
        <v>0</v>
      </c>
      <c r="AH3" s="4092">
        <v>0</v>
      </c>
      <c r="AI3" s="4092">
        <v>0</v>
      </c>
      <c r="AJ3" s="4092">
        <v>0</v>
      </c>
      <c r="AK3" s="4092">
        <v>0</v>
      </c>
      <c r="AL3" s="4092">
        <v>0</v>
      </c>
      <c r="AM3">
        <f>SUM(C3:AL3)</f>
        <v>1163.9375</v>
      </c>
    </row>
    <row r="4" spans="1:39" ht="15" x14ac:dyDescent="0.25">
      <c r="A4" s="4093">
        <v>1120</v>
      </c>
      <c r="B4" s="4095" t="s">
        <v>2295</v>
      </c>
      <c r="C4" s="4092">
        <v>0</v>
      </c>
      <c r="D4" s="4092">
        <v>0</v>
      </c>
      <c r="E4" s="4092">
        <v>0</v>
      </c>
      <c r="F4" s="4092">
        <v>0</v>
      </c>
      <c r="G4" s="4092">
        <v>0</v>
      </c>
      <c r="H4" s="4092">
        <v>0</v>
      </c>
      <c r="I4" s="4092">
        <v>0</v>
      </c>
      <c r="J4" s="4092">
        <v>0</v>
      </c>
      <c r="K4" s="4092">
        <v>0</v>
      </c>
      <c r="L4" s="4092">
        <v>0</v>
      </c>
      <c r="M4" s="4092">
        <v>0</v>
      </c>
      <c r="N4" s="4092">
        <v>0</v>
      </c>
      <c r="O4" s="4092">
        <v>0</v>
      </c>
      <c r="P4" s="4092">
        <v>0</v>
      </c>
      <c r="Q4" s="4092">
        <v>0</v>
      </c>
      <c r="R4" s="4092">
        <v>0</v>
      </c>
      <c r="S4" s="4092">
        <v>0</v>
      </c>
      <c r="T4" s="4092">
        <v>0</v>
      </c>
      <c r="U4" s="4092">
        <v>0</v>
      </c>
      <c r="V4" s="4092">
        <v>0</v>
      </c>
      <c r="W4" s="4092">
        <v>0</v>
      </c>
      <c r="X4" s="4092">
        <v>0</v>
      </c>
      <c r="Y4" s="4092">
        <v>0</v>
      </c>
      <c r="Z4" s="4092">
        <v>0</v>
      </c>
      <c r="AA4" s="4092">
        <v>0</v>
      </c>
      <c r="AB4" s="4092">
        <v>0</v>
      </c>
      <c r="AC4" s="4092">
        <v>0</v>
      </c>
      <c r="AD4" s="4092">
        <v>0</v>
      </c>
      <c r="AE4" s="4092">
        <v>0</v>
      </c>
      <c r="AF4" s="4092">
        <v>0</v>
      </c>
      <c r="AG4" s="4092">
        <v>0</v>
      </c>
      <c r="AH4" s="4092">
        <v>0</v>
      </c>
      <c r="AI4" s="4092">
        <v>0</v>
      </c>
      <c r="AJ4" s="4092">
        <v>0</v>
      </c>
      <c r="AK4" s="4092">
        <v>0</v>
      </c>
      <c r="AL4" s="4092">
        <v>0</v>
      </c>
      <c r="AM4">
        <f t="shared" ref="AM4:AM38" si="0">SUM(C4:AL4)</f>
        <v>0</v>
      </c>
    </row>
    <row r="5" spans="1:39" ht="15" x14ac:dyDescent="0.25">
      <c r="A5" s="4093">
        <v>1130</v>
      </c>
      <c r="B5" s="4095" t="s">
        <v>2294</v>
      </c>
      <c r="C5" s="4092">
        <v>0</v>
      </c>
      <c r="D5" s="4092">
        <v>0</v>
      </c>
      <c r="E5" s="4092">
        <v>0</v>
      </c>
      <c r="F5" s="4092">
        <v>0</v>
      </c>
      <c r="G5" s="4092">
        <v>0</v>
      </c>
      <c r="H5" s="4092">
        <v>0</v>
      </c>
      <c r="I5" s="4092">
        <v>0</v>
      </c>
      <c r="J5" s="4092">
        <v>0</v>
      </c>
      <c r="K5" s="4092">
        <v>0</v>
      </c>
      <c r="L5" s="4092">
        <v>0</v>
      </c>
      <c r="M5" s="4092">
        <v>0</v>
      </c>
      <c r="N5" s="4092">
        <v>0</v>
      </c>
      <c r="O5" s="4092">
        <v>0</v>
      </c>
      <c r="P5" s="4092">
        <v>0</v>
      </c>
      <c r="Q5" s="4092">
        <v>0</v>
      </c>
      <c r="R5" s="4092">
        <v>0</v>
      </c>
      <c r="S5" s="4092">
        <v>0</v>
      </c>
      <c r="T5" s="4092">
        <v>0</v>
      </c>
      <c r="U5" s="4092">
        <v>0</v>
      </c>
      <c r="V5" s="4092">
        <v>0</v>
      </c>
      <c r="W5" s="4092">
        <v>0</v>
      </c>
      <c r="X5" s="4092">
        <v>0</v>
      </c>
      <c r="Y5" s="4092">
        <v>0</v>
      </c>
      <c r="Z5" s="4092">
        <v>0</v>
      </c>
      <c r="AA5" s="4092">
        <v>0</v>
      </c>
      <c r="AB5" s="4092">
        <v>0</v>
      </c>
      <c r="AC5" s="4092">
        <v>0</v>
      </c>
      <c r="AD5" s="4092">
        <v>0</v>
      </c>
      <c r="AE5" s="4092">
        <v>0</v>
      </c>
      <c r="AF5" s="4092">
        <v>0</v>
      </c>
      <c r="AG5" s="4092">
        <v>0</v>
      </c>
      <c r="AH5" s="4092">
        <v>0</v>
      </c>
      <c r="AI5" s="4092">
        <v>0</v>
      </c>
      <c r="AJ5" s="4092">
        <v>0</v>
      </c>
      <c r="AK5" s="4092">
        <v>0</v>
      </c>
      <c r="AL5" s="4092">
        <v>0</v>
      </c>
      <c r="AM5">
        <f t="shared" si="0"/>
        <v>0</v>
      </c>
    </row>
    <row r="6" spans="1:39" ht="15" x14ac:dyDescent="0.25">
      <c r="A6" s="4093">
        <v>1180</v>
      </c>
      <c r="B6" s="4095" t="s">
        <v>2293</v>
      </c>
      <c r="C6" s="4092">
        <v>0</v>
      </c>
      <c r="D6" s="4092">
        <v>0</v>
      </c>
      <c r="E6" s="4092">
        <v>0</v>
      </c>
      <c r="F6" s="4092">
        <v>2</v>
      </c>
      <c r="G6" s="4092">
        <v>0</v>
      </c>
      <c r="H6" s="4092">
        <v>0</v>
      </c>
      <c r="I6" s="4092">
        <v>0</v>
      </c>
      <c r="J6" s="4092">
        <v>0</v>
      </c>
      <c r="K6" s="4092">
        <v>0</v>
      </c>
      <c r="L6" s="4092">
        <v>0</v>
      </c>
      <c r="M6" s="4092">
        <v>0</v>
      </c>
      <c r="N6" s="4092">
        <v>0</v>
      </c>
      <c r="O6" s="4092">
        <v>0</v>
      </c>
      <c r="P6" s="4092">
        <v>0</v>
      </c>
      <c r="Q6" s="4092">
        <v>0</v>
      </c>
      <c r="R6" s="4092">
        <v>0</v>
      </c>
      <c r="S6" s="4092">
        <v>0</v>
      </c>
      <c r="T6" s="4092">
        <v>0</v>
      </c>
      <c r="U6" s="4092">
        <v>0</v>
      </c>
      <c r="V6" s="4092">
        <v>0</v>
      </c>
      <c r="W6" s="4092">
        <v>0</v>
      </c>
      <c r="X6" s="4092">
        <v>0</v>
      </c>
      <c r="Y6" s="4092">
        <v>0</v>
      </c>
      <c r="Z6" s="4092">
        <v>0</v>
      </c>
      <c r="AA6" s="4092">
        <v>0</v>
      </c>
      <c r="AB6" s="4092">
        <v>0</v>
      </c>
      <c r="AC6" s="4092">
        <v>0</v>
      </c>
      <c r="AD6" s="4092">
        <v>0</v>
      </c>
      <c r="AE6" s="4092">
        <v>0</v>
      </c>
      <c r="AF6" s="4092">
        <v>0</v>
      </c>
      <c r="AG6" s="4092">
        <v>0</v>
      </c>
      <c r="AH6" s="4092">
        <v>0</v>
      </c>
      <c r="AI6" s="4092">
        <v>0</v>
      </c>
      <c r="AJ6" s="4092">
        <v>0</v>
      </c>
      <c r="AK6" s="4092">
        <v>0</v>
      </c>
      <c r="AL6" s="4092">
        <v>0</v>
      </c>
      <c r="AM6">
        <f t="shared" si="0"/>
        <v>2</v>
      </c>
    </row>
    <row r="7" spans="1:39" ht="15" x14ac:dyDescent="0.25">
      <c r="A7" s="4093">
        <v>1210</v>
      </c>
      <c r="B7" s="4095" t="s">
        <v>2292</v>
      </c>
      <c r="C7" s="4092">
        <v>0</v>
      </c>
      <c r="D7" s="4092">
        <v>0</v>
      </c>
      <c r="E7" s="4092">
        <v>0</v>
      </c>
      <c r="F7" s="4092">
        <v>0</v>
      </c>
      <c r="G7" s="4092">
        <v>51.0625</v>
      </c>
      <c r="H7" s="4092">
        <v>0</v>
      </c>
      <c r="I7" s="4092">
        <v>0</v>
      </c>
      <c r="J7" s="4092">
        <v>0</v>
      </c>
      <c r="K7" s="4092">
        <v>0</v>
      </c>
      <c r="L7" s="4092">
        <v>0</v>
      </c>
      <c r="M7" s="4092">
        <v>0</v>
      </c>
      <c r="N7" s="4092">
        <v>0</v>
      </c>
      <c r="O7" s="4092">
        <v>0</v>
      </c>
      <c r="P7" s="4092">
        <v>0</v>
      </c>
      <c r="Q7" s="4092">
        <v>0</v>
      </c>
      <c r="R7" s="4092">
        <v>0</v>
      </c>
      <c r="S7" s="4092">
        <v>0</v>
      </c>
      <c r="T7" s="4092">
        <v>0</v>
      </c>
      <c r="U7" s="4092">
        <v>0</v>
      </c>
      <c r="V7" s="4092">
        <v>0</v>
      </c>
      <c r="W7" s="4092">
        <v>0</v>
      </c>
      <c r="X7" s="4092">
        <v>0</v>
      </c>
      <c r="Y7" s="4092">
        <v>0</v>
      </c>
      <c r="Z7" s="4092">
        <v>0</v>
      </c>
      <c r="AA7" s="4092">
        <v>0</v>
      </c>
      <c r="AB7" s="4092">
        <v>0</v>
      </c>
      <c r="AC7" s="4092">
        <v>0</v>
      </c>
      <c r="AD7" s="4092">
        <v>0</v>
      </c>
      <c r="AE7" s="4092">
        <v>0</v>
      </c>
      <c r="AF7" s="4092">
        <v>0</v>
      </c>
      <c r="AG7" s="4092">
        <v>0</v>
      </c>
      <c r="AH7" s="4092">
        <v>0</v>
      </c>
      <c r="AI7" s="4092">
        <v>0</v>
      </c>
      <c r="AJ7" s="4092">
        <v>0</v>
      </c>
      <c r="AK7" s="4092">
        <v>0</v>
      </c>
      <c r="AL7" s="4092">
        <v>0</v>
      </c>
      <c r="AM7">
        <f t="shared" si="0"/>
        <v>51.0625</v>
      </c>
    </row>
    <row r="8" spans="1:39" ht="15" x14ac:dyDescent="0.25">
      <c r="A8" s="4093">
        <v>1220</v>
      </c>
      <c r="B8" s="4095" t="s">
        <v>2291</v>
      </c>
      <c r="C8" s="4092">
        <v>0</v>
      </c>
      <c r="D8" s="4092">
        <v>0</v>
      </c>
      <c r="E8" s="4092">
        <v>0</v>
      </c>
      <c r="F8" s="4092">
        <v>0</v>
      </c>
      <c r="G8" s="4092">
        <v>0</v>
      </c>
      <c r="H8" s="4092">
        <v>0</v>
      </c>
      <c r="I8" s="4092">
        <v>0</v>
      </c>
      <c r="J8" s="4092">
        <v>0</v>
      </c>
      <c r="K8" s="4092">
        <v>0</v>
      </c>
      <c r="L8" s="4092">
        <v>0</v>
      </c>
      <c r="M8" s="4092">
        <v>0</v>
      </c>
      <c r="N8" s="4092">
        <v>0</v>
      </c>
      <c r="O8" s="4092">
        <v>0</v>
      </c>
      <c r="P8" s="4092">
        <v>0</v>
      </c>
      <c r="Q8" s="4092">
        <v>0</v>
      </c>
      <c r="R8" s="4092">
        <v>0</v>
      </c>
      <c r="S8" s="4092">
        <v>0</v>
      </c>
      <c r="T8" s="4092">
        <v>0</v>
      </c>
      <c r="U8" s="4092">
        <v>0</v>
      </c>
      <c r="V8" s="4092">
        <v>0</v>
      </c>
      <c r="W8" s="4092">
        <v>0</v>
      </c>
      <c r="X8" s="4092">
        <v>0</v>
      </c>
      <c r="Y8" s="4092">
        <v>0</v>
      </c>
      <c r="Z8" s="4092">
        <v>0</v>
      </c>
      <c r="AA8" s="4092">
        <v>0</v>
      </c>
      <c r="AB8" s="4092">
        <v>0</v>
      </c>
      <c r="AC8" s="4092">
        <v>0</v>
      </c>
      <c r="AD8" s="4092">
        <v>0</v>
      </c>
      <c r="AE8" s="4092">
        <v>0</v>
      </c>
      <c r="AF8" s="4092">
        <v>0</v>
      </c>
      <c r="AG8" s="4092">
        <v>0</v>
      </c>
      <c r="AH8" s="4092">
        <v>0</v>
      </c>
      <c r="AI8" s="4092">
        <v>0</v>
      </c>
      <c r="AJ8" s="4092">
        <v>0</v>
      </c>
      <c r="AK8" s="4092">
        <v>0</v>
      </c>
      <c r="AL8" s="4092">
        <v>0</v>
      </c>
      <c r="AM8">
        <f t="shared" si="0"/>
        <v>0</v>
      </c>
    </row>
    <row r="9" spans="1:39" ht="15" x14ac:dyDescent="0.25">
      <c r="A9" s="4093">
        <v>1230</v>
      </c>
      <c r="B9" s="4095" t="s">
        <v>2290</v>
      </c>
      <c r="C9" s="4092">
        <v>0</v>
      </c>
      <c r="D9" s="4092">
        <v>0</v>
      </c>
      <c r="E9" s="4092">
        <v>0</v>
      </c>
      <c r="F9" s="4092">
        <v>0</v>
      </c>
      <c r="G9" s="4092">
        <v>0</v>
      </c>
      <c r="H9" s="4092">
        <v>0</v>
      </c>
      <c r="I9" s="4092">
        <v>0</v>
      </c>
      <c r="J9" s="4092">
        <v>0</v>
      </c>
      <c r="K9" s="4092">
        <v>0</v>
      </c>
      <c r="L9" s="4092">
        <v>0</v>
      </c>
      <c r="M9" s="4092">
        <v>0</v>
      </c>
      <c r="N9" s="4092">
        <v>0</v>
      </c>
      <c r="O9" s="4092">
        <v>0</v>
      </c>
      <c r="P9" s="4092">
        <v>0</v>
      </c>
      <c r="Q9" s="4092">
        <v>0</v>
      </c>
      <c r="R9" s="4092">
        <v>0</v>
      </c>
      <c r="S9" s="4092">
        <v>0</v>
      </c>
      <c r="T9" s="4092">
        <v>0</v>
      </c>
      <c r="U9" s="4092">
        <v>0</v>
      </c>
      <c r="V9" s="4092">
        <v>0</v>
      </c>
      <c r="W9" s="4092">
        <v>0</v>
      </c>
      <c r="X9" s="4092">
        <v>0</v>
      </c>
      <c r="Y9" s="4092">
        <v>0</v>
      </c>
      <c r="Z9" s="4092">
        <v>0</v>
      </c>
      <c r="AA9" s="4092">
        <v>0</v>
      </c>
      <c r="AB9" s="4092">
        <v>0</v>
      </c>
      <c r="AC9" s="4092">
        <v>0</v>
      </c>
      <c r="AD9" s="4092">
        <v>0</v>
      </c>
      <c r="AE9" s="4092">
        <v>0</v>
      </c>
      <c r="AF9" s="4092">
        <v>0</v>
      </c>
      <c r="AG9" s="4092">
        <v>0</v>
      </c>
      <c r="AH9" s="4092">
        <v>0</v>
      </c>
      <c r="AI9" s="4092">
        <v>0</v>
      </c>
      <c r="AJ9" s="4092">
        <v>0</v>
      </c>
      <c r="AK9" s="4092">
        <v>0</v>
      </c>
      <c r="AL9" s="4092">
        <v>0</v>
      </c>
      <c r="AM9">
        <f t="shared" si="0"/>
        <v>0</v>
      </c>
    </row>
    <row r="10" spans="1:39" ht="15" x14ac:dyDescent="0.25">
      <c r="A10" s="4093">
        <v>1280</v>
      </c>
      <c r="B10" s="4095" t="s">
        <v>2289</v>
      </c>
      <c r="C10" s="4092">
        <v>0</v>
      </c>
      <c r="D10" s="4092">
        <v>0</v>
      </c>
      <c r="E10" s="4092">
        <v>0</v>
      </c>
      <c r="F10" s="4092">
        <v>0</v>
      </c>
      <c r="G10" s="4092">
        <v>0</v>
      </c>
      <c r="H10" s="4092">
        <v>0</v>
      </c>
      <c r="I10" s="4092">
        <v>0</v>
      </c>
      <c r="J10" s="4092">
        <v>4</v>
      </c>
      <c r="K10" s="4092">
        <v>0</v>
      </c>
      <c r="L10" s="4092">
        <v>0</v>
      </c>
      <c r="M10" s="4092">
        <v>0</v>
      </c>
      <c r="N10" s="4092">
        <v>0</v>
      </c>
      <c r="O10" s="4092">
        <v>0</v>
      </c>
      <c r="P10" s="4092">
        <v>0</v>
      </c>
      <c r="Q10" s="4092">
        <v>0</v>
      </c>
      <c r="R10" s="4092">
        <v>0</v>
      </c>
      <c r="S10" s="4092">
        <v>0</v>
      </c>
      <c r="T10" s="4092">
        <v>0</v>
      </c>
      <c r="U10" s="4092">
        <v>0</v>
      </c>
      <c r="V10" s="4092">
        <v>0</v>
      </c>
      <c r="W10" s="4092">
        <v>0</v>
      </c>
      <c r="X10" s="4092">
        <v>0</v>
      </c>
      <c r="Y10" s="4092">
        <v>0</v>
      </c>
      <c r="Z10" s="4092">
        <v>0</v>
      </c>
      <c r="AA10" s="4092">
        <v>0</v>
      </c>
      <c r="AB10" s="4092">
        <v>0</v>
      </c>
      <c r="AC10" s="4092">
        <v>0</v>
      </c>
      <c r="AD10" s="4092">
        <v>0</v>
      </c>
      <c r="AE10" s="4092">
        <v>0</v>
      </c>
      <c r="AF10" s="4092">
        <v>0</v>
      </c>
      <c r="AG10" s="4092">
        <v>0</v>
      </c>
      <c r="AH10" s="4092">
        <v>0</v>
      </c>
      <c r="AI10" s="4092">
        <v>0</v>
      </c>
      <c r="AJ10" s="4092">
        <v>0</v>
      </c>
      <c r="AK10" s="4092">
        <v>0</v>
      </c>
      <c r="AL10" s="4092">
        <v>0</v>
      </c>
      <c r="AM10">
        <f t="shared" si="0"/>
        <v>4</v>
      </c>
    </row>
    <row r="11" spans="1:39" ht="15" x14ac:dyDescent="0.25">
      <c r="A11" s="4093">
        <v>1310</v>
      </c>
      <c r="B11" s="4095" t="s">
        <v>2288</v>
      </c>
      <c r="C11" s="4092">
        <v>3.375</v>
      </c>
      <c r="D11" s="4092">
        <v>0</v>
      </c>
      <c r="E11" s="4092">
        <v>0</v>
      </c>
      <c r="F11" s="4092">
        <v>0</v>
      </c>
      <c r="G11" s="4092">
        <v>0</v>
      </c>
      <c r="H11" s="4092">
        <v>0</v>
      </c>
      <c r="I11" s="4092">
        <v>0</v>
      </c>
      <c r="J11" s="4092">
        <v>0</v>
      </c>
      <c r="K11" s="4092">
        <v>3159.5</v>
      </c>
      <c r="L11" s="4092">
        <v>0</v>
      </c>
      <c r="M11" s="4092">
        <v>0</v>
      </c>
      <c r="N11" s="4092">
        <v>0</v>
      </c>
      <c r="O11" s="4092">
        <v>1.125</v>
      </c>
      <c r="P11" s="4092">
        <v>0</v>
      </c>
      <c r="Q11" s="4092">
        <v>0</v>
      </c>
      <c r="R11" s="4092">
        <v>0</v>
      </c>
      <c r="S11" s="4092">
        <v>121.3125</v>
      </c>
      <c r="T11" s="4092">
        <v>0</v>
      </c>
      <c r="U11" s="4092">
        <v>0</v>
      </c>
      <c r="V11" s="4092">
        <v>0</v>
      </c>
      <c r="W11" s="4092">
        <v>143.625</v>
      </c>
      <c r="X11" s="4092">
        <v>0</v>
      </c>
      <c r="Y11" s="4092">
        <v>0</v>
      </c>
      <c r="Z11" s="4092">
        <v>0</v>
      </c>
      <c r="AA11" s="4092">
        <v>7.875</v>
      </c>
      <c r="AB11" s="4092">
        <v>0</v>
      </c>
      <c r="AC11" s="4092">
        <v>0</v>
      </c>
      <c r="AD11" s="4092">
        <v>0</v>
      </c>
      <c r="AE11" s="4092">
        <v>0</v>
      </c>
      <c r="AF11" s="4092">
        <v>0</v>
      </c>
      <c r="AG11" s="4092">
        <v>0</v>
      </c>
      <c r="AH11" s="4092">
        <v>0</v>
      </c>
      <c r="AI11" s="4092">
        <v>0</v>
      </c>
      <c r="AJ11" s="4092">
        <v>0</v>
      </c>
      <c r="AK11" s="4092">
        <v>0</v>
      </c>
      <c r="AL11" s="4092">
        <v>0</v>
      </c>
      <c r="AM11">
        <f t="shared" si="0"/>
        <v>3436.8125</v>
      </c>
    </row>
    <row r="12" spans="1:39" ht="15" x14ac:dyDescent="0.25">
      <c r="A12" s="4093">
        <v>1320</v>
      </c>
      <c r="B12" s="4095" t="s">
        <v>2287</v>
      </c>
      <c r="C12" s="4092">
        <v>0</v>
      </c>
      <c r="D12" s="4092">
        <v>0</v>
      </c>
      <c r="E12" s="4092">
        <v>0</v>
      </c>
      <c r="F12" s="4092">
        <v>0</v>
      </c>
      <c r="G12" s="4092">
        <v>0</v>
      </c>
      <c r="H12" s="4092">
        <v>0</v>
      </c>
      <c r="I12" s="4092">
        <v>0</v>
      </c>
      <c r="J12" s="4092">
        <v>0</v>
      </c>
      <c r="K12" s="4092">
        <v>0</v>
      </c>
      <c r="L12" s="4092">
        <v>0</v>
      </c>
      <c r="M12" s="4092">
        <v>0</v>
      </c>
      <c r="N12" s="4092">
        <v>0</v>
      </c>
      <c r="O12" s="4092">
        <v>0</v>
      </c>
      <c r="P12" s="4092">
        <v>0</v>
      </c>
      <c r="Q12" s="4092">
        <v>0</v>
      </c>
      <c r="R12" s="4092">
        <v>0</v>
      </c>
      <c r="S12" s="4092">
        <v>0</v>
      </c>
      <c r="T12" s="4092">
        <v>0</v>
      </c>
      <c r="U12" s="4092">
        <v>0</v>
      </c>
      <c r="V12" s="4092">
        <v>0</v>
      </c>
      <c r="W12" s="4092">
        <v>0</v>
      </c>
      <c r="X12" s="4092">
        <v>0</v>
      </c>
      <c r="Y12" s="4092">
        <v>0</v>
      </c>
      <c r="Z12" s="4092">
        <v>0</v>
      </c>
      <c r="AA12" s="4092">
        <v>0</v>
      </c>
      <c r="AB12" s="4092">
        <v>0</v>
      </c>
      <c r="AC12" s="4092">
        <v>0</v>
      </c>
      <c r="AD12" s="4092">
        <v>0</v>
      </c>
      <c r="AE12" s="4092">
        <v>0</v>
      </c>
      <c r="AF12" s="4092">
        <v>0</v>
      </c>
      <c r="AG12" s="4092">
        <v>0</v>
      </c>
      <c r="AH12" s="4092">
        <v>0</v>
      </c>
      <c r="AI12" s="4092">
        <v>0</v>
      </c>
      <c r="AJ12" s="4092">
        <v>0</v>
      </c>
      <c r="AK12" s="4092">
        <v>0</v>
      </c>
      <c r="AL12" s="4092">
        <v>0</v>
      </c>
      <c r="AM12">
        <f t="shared" si="0"/>
        <v>0</v>
      </c>
    </row>
    <row r="13" spans="1:39" ht="15" x14ac:dyDescent="0.25">
      <c r="A13" s="4093">
        <v>1330</v>
      </c>
      <c r="B13" s="4095" t="s">
        <v>2286</v>
      </c>
      <c r="C13" s="4092">
        <v>0</v>
      </c>
      <c r="D13" s="4092">
        <v>0</v>
      </c>
      <c r="E13" s="4092">
        <v>0</v>
      </c>
      <c r="F13" s="4092">
        <v>0</v>
      </c>
      <c r="G13" s="4092">
        <v>0</v>
      </c>
      <c r="H13" s="4092">
        <v>0</v>
      </c>
      <c r="I13" s="4092">
        <v>0</v>
      </c>
      <c r="J13" s="4092">
        <v>0</v>
      </c>
      <c r="K13" s="4092">
        <v>0</v>
      </c>
      <c r="L13" s="4092">
        <v>0</v>
      </c>
      <c r="M13" s="4092">
        <v>0</v>
      </c>
      <c r="N13" s="4092">
        <v>0</v>
      </c>
      <c r="O13" s="4092">
        <v>0</v>
      </c>
      <c r="P13" s="4092">
        <v>0</v>
      </c>
      <c r="Q13" s="4092">
        <v>0</v>
      </c>
      <c r="R13" s="4092">
        <v>0</v>
      </c>
      <c r="S13" s="4092">
        <v>0</v>
      </c>
      <c r="T13" s="4092">
        <v>0</v>
      </c>
      <c r="U13" s="4092">
        <v>0</v>
      </c>
      <c r="V13" s="4092">
        <v>0</v>
      </c>
      <c r="W13" s="4092">
        <v>0</v>
      </c>
      <c r="X13" s="4092">
        <v>0</v>
      </c>
      <c r="Y13" s="4092">
        <v>0</v>
      </c>
      <c r="Z13" s="4092">
        <v>0</v>
      </c>
      <c r="AA13" s="4092">
        <v>0</v>
      </c>
      <c r="AB13" s="4092">
        <v>0</v>
      </c>
      <c r="AC13" s="4092">
        <v>0</v>
      </c>
      <c r="AD13" s="4092">
        <v>0</v>
      </c>
      <c r="AE13" s="4092">
        <v>0</v>
      </c>
      <c r="AF13" s="4092">
        <v>0</v>
      </c>
      <c r="AG13" s="4092">
        <v>0</v>
      </c>
      <c r="AH13" s="4092">
        <v>0</v>
      </c>
      <c r="AI13" s="4092">
        <v>0</v>
      </c>
      <c r="AJ13" s="4092">
        <v>0</v>
      </c>
      <c r="AK13" s="4092">
        <v>0</v>
      </c>
      <c r="AL13" s="4092">
        <v>0</v>
      </c>
      <c r="AM13">
        <f t="shared" si="0"/>
        <v>0</v>
      </c>
    </row>
    <row r="14" spans="1:39" ht="15" x14ac:dyDescent="0.25">
      <c r="A14" s="4093">
        <v>1380</v>
      </c>
      <c r="B14" s="4095" t="s">
        <v>2285</v>
      </c>
      <c r="C14" s="4092">
        <v>0</v>
      </c>
      <c r="D14" s="4092">
        <v>0</v>
      </c>
      <c r="E14" s="4092">
        <v>0</v>
      </c>
      <c r="F14" s="4092">
        <v>0</v>
      </c>
      <c r="G14" s="4092">
        <v>0</v>
      </c>
      <c r="H14" s="4092">
        <v>0</v>
      </c>
      <c r="I14" s="4092">
        <v>0</v>
      </c>
      <c r="J14" s="4092">
        <v>0</v>
      </c>
      <c r="K14" s="4092">
        <v>0</v>
      </c>
      <c r="L14" s="4092">
        <v>0</v>
      </c>
      <c r="M14" s="4092">
        <v>0</v>
      </c>
      <c r="N14" s="4092">
        <v>1.1875</v>
      </c>
      <c r="O14" s="4092">
        <v>0</v>
      </c>
      <c r="P14" s="4092">
        <v>0</v>
      </c>
      <c r="Q14" s="4092">
        <v>0</v>
      </c>
      <c r="R14" s="4092">
        <v>0</v>
      </c>
      <c r="S14" s="4092">
        <v>0</v>
      </c>
      <c r="T14" s="4092">
        <v>0</v>
      </c>
      <c r="U14" s="4092">
        <v>0</v>
      </c>
      <c r="V14" s="4092">
        <v>0</v>
      </c>
      <c r="W14" s="4092">
        <v>0</v>
      </c>
      <c r="X14" s="4092">
        <v>0</v>
      </c>
      <c r="Y14" s="4092">
        <v>0</v>
      </c>
      <c r="Z14" s="4092">
        <v>0.125</v>
      </c>
      <c r="AA14" s="4092">
        <v>0</v>
      </c>
      <c r="AB14" s="4092">
        <v>0</v>
      </c>
      <c r="AC14" s="4092">
        <v>0</v>
      </c>
      <c r="AD14" s="4092">
        <v>0</v>
      </c>
      <c r="AE14" s="4092">
        <v>0</v>
      </c>
      <c r="AF14" s="4092">
        <v>0</v>
      </c>
      <c r="AG14" s="4092">
        <v>0</v>
      </c>
      <c r="AH14" s="4092">
        <v>0</v>
      </c>
      <c r="AI14" s="4092">
        <v>0</v>
      </c>
      <c r="AJ14" s="4092">
        <v>0</v>
      </c>
      <c r="AK14" s="4092">
        <v>0</v>
      </c>
      <c r="AL14" s="4092">
        <v>0</v>
      </c>
      <c r="AM14">
        <f t="shared" si="0"/>
        <v>1.3125</v>
      </c>
    </row>
    <row r="15" spans="1:39" ht="15" x14ac:dyDescent="0.25">
      <c r="A15" s="4093">
        <v>1410</v>
      </c>
      <c r="B15" s="4095" t="s">
        <v>2284</v>
      </c>
      <c r="C15" s="4092">
        <v>0.125</v>
      </c>
      <c r="D15" s="4092">
        <v>0</v>
      </c>
      <c r="E15" s="4092">
        <v>0</v>
      </c>
      <c r="F15" s="4092">
        <v>0</v>
      </c>
      <c r="G15" s="4092">
        <v>0</v>
      </c>
      <c r="H15" s="4092">
        <v>0</v>
      </c>
      <c r="I15" s="4092">
        <v>0</v>
      </c>
      <c r="J15" s="4092">
        <v>0</v>
      </c>
      <c r="K15" s="4092">
        <v>0</v>
      </c>
      <c r="L15" s="4092">
        <v>0</v>
      </c>
      <c r="M15" s="4092">
        <v>0</v>
      </c>
      <c r="N15" s="4092">
        <v>0</v>
      </c>
      <c r="O15" s="4092">
        <v>2</v>
      </c>
      <c r="P15" s="4092">
        <v>0</v>
      </c>
      <c r="Q15" s="4092">
        <v>0</v>
      </c>
      <c r="R15" s="4092">
        <v>0</v>
      </c>
      <c r="S15" s="4092">
        <v>4</v>
      </c>
      <c r="T15" s="4092">
        <v>0</v>
      </c>
      <c r="U15" s="4092">
        <v>0</v>
      </c>
      <c r="V15" s="4092">
        <v>0</v>
      </c>
      <c r="W15" s="4092">
        <v>0</v>
      </c>
      <c r="X15" s="4092">
        <v>0</v>
      </c>
      <c r="Y15" s="4092">
        <v>0</v>
      </c>
      <c r="Z15" s="4092">
        <v>0</v>
      </c>
      <c r="AA15" s="4092">
        <v>0</v>
      </c>
      <c r="AB15" s="4092">
        <v>0</v>
      </c>
      <c r="AC15" s="4092">
        <v>0</v>
      </c>
      <c r="AD15" s="4092">
        <v>0</v>
      </c>
      <c r="AE15" s="4092">
        <v>0</v>
      </c>
      <c r="AF15" s="4092">
        <v>0</v>
      </c>
      <c r="AG15" s="4092">
        <v>0</v>
      </c>
      <c r="AH15" s="4092">
        <v>0</v>
      </c>
      <c r="AI15" s="4092">
        <v>0</v>
      </c>
      <c r="AJ15" s="4092">
        <v>0</v>
      </c>
      <c r="AK15" s="4092">
        <v>0</v>
      </c>
      <c r="AL15" s="4092">
        <v>0</v>
      </c>
      <c r="AM15">
        <f t="shared" si="0"/>
        <v>6.125</v>
      </c>
    </row>
    <row r="16" spans="1:39" ht="15" x14ac:dyDescent="0.25">
      <c r="A16" s="4093">
        <v>1420</v>
      </c>
      <c r="B16" s="4095" t="s">
        <v>2283</v>
      </c>
      <c r="C16" s="4092">
        <v>0</v>
      </c>
      <c r="D16" s="4092">
        <v>0</v>
      </c>
      <c r="E16" s="4092">
        <v>0</v>
      </c>
      <c r="F16" s="4092">
        <v>0</v>
      </c>
      <c r="G16" s="4092">
        <v>0</v>
      </c>
      <c r="H16" s="4092">
        <v>0</v>
      </c>
      <c r="I16" s="4092">
        <v>0</v>
      </c>
      <c r="J16" s="4092">
        <v>0</v>
      </c>
      <c r="K16" s="4092">
        <v>0</v>
      </c>
      <c r="L16" s="4092">
        <v>0</v>
      </c>
      <c r="M16" s="4092">
        <v>0</v>
      </c>
      <c r="N16" s="4092">
        <v>0</v>
      </c>
      <c r="O16" s="4092">
        <v>0</v>
      </c>
      <c r="P16" s="4092">
        <v>0</v>
      </c>
      <c r="Q16" s="4092">
        <v>0</v>
      </c>
      <c r="R16" s="4092">
        <v>0</v>
      </c>
      <c r="S16" s="4092">
        <v>0</v>
      </c>
      <c r="T16" s="4092">
        <v>0</v>
      </c>
      <c r="U16" s="4092">
        <v>0</v>
      </c>
      <c r="V16" s="4092">
        <v>0</v>
      </c>
      <c r="W16" s="4092">
        <v>0</v>
      </c>
      <c r="X16" s="4092">
        <v>0</v>
      </c>
      <c r="Y16" s="4092">
        <v>0</v>
      </c>
      <c r="Z16" s="4092">
        <v>0</v>
      </c>
      <c r="AA16" s="4092">
        <v>0</v>
      </c>
      <c r="AB16" s="4092">
        <v>0</v>
      </c>
      <c r="AC16" s="4092">
        <v>0</v>
      </c>
      <c r="AD16" s="4092">
        <v>0</v>
      </c>
      <c r="AE16" s="4092">
        <v>0</v>
      </c>
      <c r="AF16" s="4092">
        <v>0</v>
      </c>
      <c r="AG16" s="4092">
        <v>0</v>
      </c>
      <c r="AH16" s="4092">
        <v>0</v>
      </c>
      <c r="AI16" s="4092">
        <v>0</v>
      </c>
      <c r="AJ16" s="4092">
        <v>0</v>
      </c>
      <c r="AK16" s="4092">
        <v>0</v>
      </c>
      <c r="AL16" s="4092">
        <v>0</v>
      </c>
      <c r="AM16">
        <f t="shared" si="0"/>
        <v>0</v>
      </c>
    </row>
    <row r="17" spans="1:39" ht="15" x14ac:dyDescent="0.25">
      <c r="A17" s="4093">
        <v>1430</v>
      </c>
      <c r="B17" s="4095" t="s">
        <v>2282</v>
      </c>
      <c r="C17" s="4092">
        <v>0</v>
      </c>
      <c r="D17" s="4092">
        <v>0</v>
      </c>
      <c r="E17" s="4092">
        <v>0</v>
      </c>
      <c r="F17" s="4092">
        <v>0</v>
      </c>
      <c r="G17" s="4092">
        <v>0</v>
      </c>
      <c r="H17" s="4092">
        <v>0</v>
      </c>
      <c r="I17" s="4092">
        <v>0</v>
      </c>
      <c r="J17" s="4092">
        <v>0</v>
      </c>
      <c r="K17" s="4092">
        <v>0</v>
      </c>
      <c r="L17" s="4092">
        <v>0</v>
      </c>
      <c r="M17" s="4092">
        <v>0</v>
      </c>
      <c r="N17" s="4092">
        <v>0</v>
      </c>
      <c r="O17" s="4092">
        <v>0</v>
      </c>
      <c r="P17" s="4092">
        <v>0</v>
      </c>
      <c r="Q17" s="4092">
        <v>0</v>
      </c>
      <c r="R17" s="4092">
        <v>0</v>
      </c>
      <c r="S17" s="4092">
        <v>0</v>
      </c>
      <c r="T17" s="4092">
        <v>0</v>
      </c>
      <c r="U17" s="4092">
        <v>0</v>
      </c>
      <c r="V17" s="4092">
        <v>0</v>
      </c>
      <c r="W17" s="4092">
        <v>0</v>
      </c>
      <c r="X17" s="4092">
        <v>0</v>
      </c>
      <c r="Y17" s="4092">
        <v>0</v>
      </c>
      <c r="Z17" s="4092">
        <v>0</v>
      </c>
      <c r="AA17" s="4092">
        <v>0</v>
      </c>
      <c r="AB17" s="4092">
        <v>0</v>
      </c>
      <c r="AC17" s="4092">
        <v>0</v>
      </c>
      <c r="AD17" s="4092">
        <v>0</v>
      </c>
      <c r="AE17" s="4092">
        <v>0</v>
      </c>
      <c r="AF17" s="4092">
        <v>0</v>
      </c>
      <c r="AG17" s="4092">
        <v>0</v>
      </c>
      <c r="AH17" s="4092">
        <v>0</v>
      </c>
      <c r="AI17" s="4092">
        <v>0</v>
      </c>
      <c r="AJ17" s="4092">
        <v>0</v>
      </c>
      <c r="AK17" s="4092">
        <v>0</v>
      </c>
      <c r="AL17" s="4092">
        <v>0</v>
      </c>
      <c r="AM17">
        <f t="shared" si="0"/>
        <v>0</v>
      </c>
    </row>
    <row r="18" spans="1:39" ht="15" x14ac:dyDescent="0.25">
      <c r="A18" s="4093">
        <v>1480</v>
      </c>
      <c r="B18" s="4095" t="s">
        <v>2281</v>
      </c>
      <c r="C18" s="4092">
        <v>0</v>
      </c>
      <c r="D18" s="4092">
        <v>0</v>
      </c>
      <c r="E18" s="4092">
        <v>0</v>
      </c>
      <c r="F18" s="4092">
        <v>0</v>
      </c>
      <c r="G18" s="4092">
        <v>0</v>
      </c>
      <c r="H18" s="4092">
        <v>0</v>
      </c>
      <c r="I18" s="4092">
        <v>0</v>
      </c>
      <c r="J18" s="4092">
        <v>0</v>
      </c>
      <c r="K18" s="4092">
        <v>0</v>
      </c>
      <c r="L18" s="4092">
        <v>0</v>
      </c>
      <c r="M18" s="4092">
        <v>0</v>
      </c>
      <c r="N18" s="4092">
        <v>0</v>
      </c>
      <c r="O18" s="4092">
        <v>0</v>
      </c>
      <c r="P18" s="4092">
        <v>0</v>
      </c>
      <c r="Q18" s="4092">
        <v>0</v>
      </c>
      <c r="R18" s="4092">
        <v>0</v>
      </c>
      <c r="S18" s="4092">
        <v>0</v>
      </c>
      <c r="T18" s="4092">
        <v>0</v>
      </c>
      <c r="U18" s="4092">
        <v>0</v>
      </c>
      <c r="V18" s="4092">
        <v>0</v>
      </c>
      <c r="W18" s="4092">
        <v>0</v>
      </c>
      <c r="X18" s="4092">
        <v>0</v>
      </c>
      <c r="Y18" s="4092">
        <v>0</v>
      </c>
      <c r="Z18" s="4092">
        <v>0</v>
      </c>
      <c r="AA18" s="4092">
        <v>0</v>
      </c>
      <c r="AB18" s="4092">
        <v>0</v>
      </c>
      <c r="AC18" s="4092">
        <v>0</v>
      </c>
      <c r="AD18" s="4092">
        <v>0</v>
      </c>
      <c r="AE18" s="4092">
        <v>0</v>
      </c>
      <c r="AF18" s="4092">
        <v>0</v>
      </c>
      <c r="AG18" s="4092">
        <v>0</v>
      </c>
      <c r="AH18" s="4092">
        <v>0</v>
      </c>
      <c r="AI18" s="4092">
        <v>0</v>
      </c>
      <c r="AJ18" s="4092">
        <v>0</v>
      </c>
      <c r="AK18" s="4092">
        <v>0</v>
      </c>
      <c r="AL18" s="4092">
        <v>0</v>
      </c>
      <c r="AM18">
        <f t="shared" si="0"/>
        <v>0</v>
      </c>
    </row>
    <row r="19" spans="1:39" ht="15" x14ac:dyDescent="0.25">
      <c r="A19" s="4093">
        <v>1510</v>
      </c>
      <c r="B19" s="4095" t="s">
        <v>2280</v>
      </c>
      <c r="C19" s="4092">
        <v>46.5</v>
      </c>
      <c r="D19" s="4092">
        <v>0</v>
      </c>
      <c r="E19" s="4092">
        <v>0</v>
      </c>
      <c r="F19" s="4092">
        <v>0</v>
      </c>
      <c r="G19" s="4092">
        <v>2.3125</v>
      </c>
      <c r="H19" s="4092">
        <v>0</v>
      </c>
      <c r="I19" s="4092">
        <v>0</v>
      </c>
      <c r="J19" s="4092">
        <v>0</v>
      </c>
      <c r="K19" s="4092">
        <v>307.1875</v>
      </c>
      <c r="L19" s="4092">
        <v>0</v>
      </c>
      <c r="M19" s="4092">
        <v>0</v>
      </c>
      <c r="N19" s="4092">
        <v>0</v>
      </c>
      <c r="O19" s="4092">
        <v>73.6875</v>
      </c>
      <c r="P19" s="4092">
        <v>0</v>
      </c>
      <c r="Q19" s="4092">
        <v>0</v>
      </c>
      <c r="R19" s="4092">
        <v>0</v>
      </c>
      <c r="S19" s="4092">
        <v>2915.0625</v>
      </c>
      <c r="T19" s="4092">
        <v>0</v>
      </c>
      <c r="U19" s="4092">
        <v>0</v>
      </c>
      <c r="V19" s="4092">
        <v>0</v>
      </c>
      <c r="W19" s="4092">
        <v>565.25</v>
      </c>
      <c r="X19" s="4092">
        <v>0</v>
      </c>
      <c r="Y19" s="4092">
        <v>0</v>
      </c>
      <c r="Z19" s="4092">
        <v>0</v>
      </c>
      <c r="AA19" s="4092">
        <v>2.625</v>
      </c>
      <c r="AB19" s="4092">
        <v>0</v>
      </c>
      <c r="AC19" s="4092">
        <v>0</v>
      </c>
      <c r="AD19" s="4092">
        <v>0</v>
      </c>
      <c r="AE19" s="4092">
        <v>0</v>
      </c>
      <c r="AF19" s="4092">
        <v>0</v>
      </c>
      <c r="AG19" s="4092">
        <v>0</v>
      </c>
      <c r="AH19" s="4092">
        <v>0</v>
      </c>
      <c r="AI19" s="4092">
        <v>0</v>
      </c>
      <c r="AJ19" s="4092">
        <v>0</v>
      </c>
      <c r="AK19" s="4092">
        <v>0</v>
      </c>
      <c r="AL19" s="4092">
        <v>0</v>
      </c>
      <c r="AM19">
        <f t="shared" si="0"/>
        <v>3912.625</v>
      </c>
    </row>
    <row r="20" spans="1:39" ht="15" x14ac:dyDescent="0.25">
      <c r="A20" s="4093">
        <v>1520</v>
      </c>
      <c r="B20" s="4095" t="s">
        <v>2279</v>
      </c>
      <c r="C20" s="4092">
        <v>0</v>
      </c>
      <c r="D20" s="4092">
        <v>0</v>
      </c>
      <c r="E20" s="4092">
        <v>0</v>
      </c>
      <c r="F20" s="4092">
        <v>0</v>
      </c>
      <c r="G20" s="4092">
        <v>0</v>
      </c>
      <c r="H20" s="4092">
        <v>0</v>
      </c>
      <c r="I20" s="4092">
        <v>0</v>
      </c>
      <c r="J20" s="4092">
        <v>0</v>
      </c>
      <c r="K20" s="4092">
        <v>0</v>
      </c>
      <c r="L20" s="4092">
        <v>0</v>
      </c>
      <c r="M20" s="4092">
        <v>0</v>
      </c>
      <c r="N20" s="4092">
        <v>0</v>
      </c>
      <c r="O20" s="4092">
        <v>0</v>
      </c>
      <c r="P20" s="4092">
        <v>0</v>
      </c>
      <c r="Q20" s="4092">
        <v>0</v>
      </c>
      <c r="R20" s="4092">
        <v>0</v>
      </c>
      <c r="S20" s="4092">
        <v>0</v>
      </c>
      <c r="T20" s="4092">
        <v>0</v>
      </c>
      <c r="U20" s="4092">
        <v>0</v>
      </c>
      <c r="V20" s="4092">
        <v>0</v>
      </c>
      <c r="W20" s="4092">
        <v>0</v>
      </c>
      <c r="X20" s="4092">
        <v>0</v>
      </c>
      <c r="Y20" s="4092">
        <v>0</v>
      </c>
      <c r="Z20" s="4092">
        <v>0</v>
      </c>
      <c r="AA20" s="4092">
        <v>0</v>
      </c>
      <c r="AB20" s="4092">
        <v>0</v>
      </c>
      <c r="AC20" s="4092">
        <v>0</v>
      </c>
      <c r="AD20" s="4092">
        <v>0</v>
      </c>
      <c r="AE20" s="4092">
        <v>0</v>
      </c>
      <c r="AF20" s="4092">
        <v>0</v>
      </c>
      <c r="AG20" s="4092">
        <v>0</v>
      </c>
      <c r="AH20" s="4092">
        <v>0</v>
      </c>
      <c r="AI20" s="4092">
        <v>0</v>
      </c>
      <c r="AJ20" s="4092">
        <v>0</v>
      </c>
      <c r="AK20" s="4092">
        <v>0</v>
      </c>
      <c r="AL20" s="4092">
        <v>0</v>
      </c>
      <c r="AM20">
        <f t="shared" si="0"/>
        <v>0</v>
      </c>
    </row>
    <row r="21" spans="1:39" ht="15" x14ac:dyDescent="0.25">
      <c r="A21" s="4093">
        <v>1530</v>
      </c>
      <c r="B21" s="4095" t="s">
        <v>2278</v>
      </c>
      <c r="C21" s="4092">
        <v>0</v>
      </c>
      <c r="D21" s="4092">
        <v>0</v>
      </c>
      <c r="E21" s="4092">
        <v>0</v>
      </c>
      <c r="F21" s="4092">
        <v>0</v>
      </c>
      <c r="G21" s="4092">
        <v>0</v>
      </c>
      <c r="H21" s="4092">
        <v>0</v>
      </c>
      <c r="I21" s="4092">
        <v>0</v>
      </c>
      <c r="J21" s="4092">
        <v>0</v>
      </c>
      <c r="K21" s="4092">
        <v>0</v>
      </c>
      <c r="L21" s="4092">
        <v>0</v>
      </c>
      <c r="M21" s="4092">
        <v>0</v>
      </c>
      <c r="N21" s="4092">
        <v>0</v>
      </c>
      <c r="O21" s="4092">
        <v>0</v>
      </c>
      <c r="P21" s="4092">
        <v>0</v>
      </c>
      <c r="Q21" s="4092">
        <v>0</v>
      </c>
      <c r="R21" s="4092">
        <v>0</v>
      </c>
      <c r="S21" s="4092">
        <v>0</v>
      </c>
      <c r="T21" s="4092">
        <v>0</v>
      </c>
      <c r="U21" s="4092">
        <v>0</v>
      </c>
      <c r="V21" s="4092">
        <v>0</v>
      </c>
      <c r="W21" s="4092">
        <v>0</v>
      </c>
      <c r="X21" s="4092">
        <v>0</v>
      </c>
      <c r="Y21" s="4092">
        <v>0</v>
      </c>
      <c r="Z21" s="4092">
        <v>0</v>
      </c>
      <c r="AA21" s="4092">
        <v>0</v>
      </c>
      <c r="AB21" s="4092">
        <v>0</v>
      </c>
      <c r="AC21" s="4092">
        <v>0</v>
      </c>
      <c r="AD21" s="4092">
        <v>0</v>
      </c>
      <c r="AE21" s="4092">
        <v>0</v>
      </c>
      <c r="AF21" s="4092">
        <v>0</v>
      </c>
      <c r="AG21" s="4092">
        <v>0</v>
      </c>
      <c r="AH21" s="4092">
        <v>0</v>
      </c>
      <c r="AI21" s="4092">
        <v>0</v>
      </c>
      <c r="AJ21" s="4092">
        <v>0</v>
      </c>
      <c r="AK21" s="4092">
        <v>0</v>
      </c>
      <c r="AL21" s="4092">
        <v>0</v>
      </c>
      <c r="AM21">
        <f t="shared" si="0"/>
        <v>0</v>
      </c>
    </row>
    <row r="22" spans="1:39" ht="15" x14ac:dyDescent="0.25">
      <c r="A22" s="4093">
        <v>1580</v>
      </c>
      <c r="B22" s="4095" t="s">
        <v>2277</v>
      </c>
      <c r="C22" s="4092">
        <v>0</v>
      </c>
      <c r="D22" s="4092">
        <v>0</v>
      </c>
      <c r="E22" s="4092">
        <v>0</v>
      </c>
      <c r="F22" s="4092">
        <v>0</v>
      </c>
      <c r="G22" s="4092">
        <v>0</v>
      </c>
      <c r="H22" s="4092">
        <v>0</v>
      </c>
      <c r="I22" s="4092">
        <v>0</v>
      </c>
      <c r="J22" s="4092">
        <v>0</v>
      </c>
      <c r="K22" s="4092">
        <v>0</v>
      </c>
      <c r="L22" s="4092">
        <v>0</v>
      </c>
      <c r="M22" s="4092">
        <v>0</v>
      </c>
      <c r="N22" s="4092">
        <v>6.25E-2</v>
      </c>
      <c r="O22" s="4092">
        <v>0</v>
      </c>
      <c r="P22" s="4092">
        <v>0</v>
      </c>
      <c r="Q22" s="4092">
        <v>0</v>
      </c>
      <c r="R22" s="4092">
        <v>0</v>
      </c>
      <c r="S22" s="4092">
        <v>0</v>
      </c>
      <c r="T22" s="4092">
        <v>0</v>
      </c>
      <c r="U22" s="4092">
        <v>0</v>
      </c>
      <c r="V22" s="4092">
        <v>25.3125</v>
      </c>
      <c r="W22" s="4092">
        <v>0</v>
      </c>
      <c r="X22" s="4092">
        <v>0</v>
      </c>
      <c r="Y22" s="4092">
        <v>0</v>
      </c>
      <c r="Z22" s="4092">
        <v>54.1875</v>
      </c>
      <c r="AA22" s="4092">
        <v>0</v>
      </c>
      <c r="AB22" s="4092">
        <v>0</v>
      </c>
      <c r="AC22" s="4092">
        <v>0</v>
      </c>
      <c r="AD22" s="4092">
        <v>0.25</v>
      </c>
      <c r="AE22" s="4092">
        <v>0</v>
      </c>
      <c r="AF22" s="4092">
        <v>0</v>
      </c>
      <c r="AG22" s="4092">
        <v>0</v>
      </c>
      <c r="AH22" s="4092">
        <v>0</v>
      </c>
      <c r="AI22" s="4092">
        <v>0</v>
      </c>
      <c r="AJ22" s="4092">
        <v>0</v>
      </c>
      <c r="AK22" s="4092">
        <v>0</v>
      </c>
      <c r="AL22" s="4092">
        <v>0</v>
      </c>
      <c r="AM22">
        <f t="shared" si="0"/>
        <v>79.8125</v>
      </c>
    </row>
    <row r="23" spans="1:39" ht="15" x14ac:dyDescent="0.25">
      <c r="A23" s="4093">
        <v>1610</v>
      </c>
      <c r="B23" s="4095" t="s">
        <v>2276</v>
      </c>
      <c r="C23" s="4092">
        <v>1.25</v>
      </c>
      <c r="D23" s="4092">
        <v>0</v>
      </c>
      <c r="E23" s="4092">
        <v>0</v>
      </c>
      <c r="F23" s="4092">
        <v>0</v>
      </c>
      <c r="G23" s="4092">
        <v>0.5625</v>
      </c>
      <c r="H23" s="4092">
        <v>0</v>
      </c>
      <c r="I23" s="4092">
        <v>0</v>
      </c>
      <c r="J23" s="4092">
        <v>0</v>
      </c>
      <c r="K23" s="4092">
        <v>113.3125</v>
      </c>
      <c r="L23" s="4092">
        <v>0</v>
      </c>
      <c r="M23" s="4092">
        <v>0</v>
      </c>
      <c r="N23" s="4092">
        <v>0</v>
      </c>
      <c r="O23" s="4092">
        <v>0.1875</v>
      </c>
      <c r="P23" s="4092">
        <v>0</v>
      </c>
      <c r="Q23" s="4092">
        <v>0</v>
      </c>
      <c r="R23" s="4092">
        <v>0</v>
      </c>
      <c r="S23" s="4092">
        <v>115.8125</v>
      </c>
      <c r="T23" s="4092">
        <v>0</v>
      </c>
      <c r="U23" s="4092">
        <v>0</v>
      </c>
      <c r="V23" s="4092">
        <v>0</v>
      </c>
      <c r="W23" s="4092">
        <v>1903.125</v>
      </c>
      <c r="X23" s="4092">
        <v>0</v>
      </c>
      <c r="Y23" s="4092">
        <v>0</v>
      </c>
      <c r="Z23" s="4092">
        <v>0</v>
      </c>
      <c r="AA23" s="4092">
        <v>21.375</v>
      </c>
      <c r="AB23" s="4092">
        <v>0</v>
      </c>
      <c r="AC23" s="4092">
        <v>0</v>
      </c>
      <c r="AD23" s="4092">
        <v>0</v>
      </c>
      <c r="AE23" s="4092">
        <v>0</v>
      </c>
      <c r="AF23" s="4092">
        <v>0</v>
      </c>
      <c r="AG23" s="4092">
        <v>0</v>
      </c>
      <c r="AH23" s="4092">
        <v>0</v>
      </c>
      <c r="AI23" s="4092">
        <v>0</v>
      </c>
      <c r="AJ23" s="4092">
        <v>0</v>
      </c>
      <c r="AK23" s="4092">
        <v>0</v>
      </c>
      <c r="AL23" s="4092">
        <v>0</v>
      </c>
      <c r="AM23">
        <f t="shared" si="0"/>
        <v>2155.625</v>
      </c>
    </row>
    <row r="24" spans="1:39" ht="15" x14ac:dyDescent="0.25">
      <c r="A24" s="4093">
        <v>1620</v>
      </c>
      <c r="B24" s="4095" t="s">
        <v>2275</v>
      </c>
      <c r="C24" s="4092">
        <v>0</v>
      </c>
      <c r="D24" s="4092">
        <v>0</v>
      </c>
      <c r="E24" s="4092">
        <v>0</v>
      </c>
      <c r="F24" s="4092">
        <v>0</v>
      </c>
      <c r="G24" s="4092">
        <v>0</v>
      </c>
      <c r="H24" s="4092">
        <v>0</v>
      </c>
      <c r="I24" s="4092">
        <v>0</v>
      </c>
      <c r="J24" s="4092">
        <v>0</v>
      </c>
      <c r="K24" s="4092">
        <v>0</v>
      </c>
      <c r="L24" s="4092">
        <v>0</v>
      </c>
      <c r="M24" s="4092">
        <v>0</v>
      </c>
      <c r="N24" s="4092">
        <v>0</v>
      </c>
      <c r="O24" s="4092">
        <v>0</v>
      </c>
      <c r="P24" s="4092">
        <v>0</v>
      </c>
      <c r="Q24" s="4092">
        <v>0</v>
      </c>
      <c r="R24" s="4092">
        <v>0</v>
      </c>
      <c r="S24" s="4092">
        <v>0</v>
      </c>
      <c r="T24" s="4092">
        <v>0</v>
      </c>
      <c r="U24" s="4092">
        <v>0</v>
      </c>
      <c r="V24" s="4092">
        <v>0</v>
      </c>
      <c r="W24" s="4092">
        <v>0</v>
      </c>
      <c r="X24" s="4092">
        <v>0.25</v>
      </c>
      <c r="Y24" s="4092">
        <v>0</v>
      </c>
      <c r="Z24" s="4092">
        <v>0</v>
      </c>
      <c r="AA24" s="4092">
        <v>0</v>
      </c>
      <c r="AB24" s="4092">
        <v>0</v>
      </c>
      <c r="AC24" s="4092">
        <v>0</v>
      </c>
      <c r="AD24" s="4092">
        <v>0</v>
      </c>
      <c r="AE24" s="4092">
        <v>0</v>
      </c>
      <c r="AF24" s="4092">
        <v>0</v>
      </c>
      <c r="AG24" s="4092">
        <v>0</v>
      </c>
      <c r="AH24" s="4092">
        <v>0</v>
      </c>
      <c r="AI24" s="4092">
        <v>0</v>
      </c>
      <c r="AJ24" s="4092">
        <v>0</v>
      </c>
      <c r="AK24" s="4092">
        <v>0</v>
      </c>
      <c r="AL24" s="4092">
        <v>0</v>
      </c>
      <c r="AM24">
        <f t="shared" si="0"/>
        <v>0.25</v>
      </c>
    </row>
    <row r="25" spans="1:39" ht="15" x14ac:dyDescent="0.25">
      <c r="A25" s="4093">
        <v>1630</v>
      </c>
      <c r="B25" s="4095" t="s">
        <v>2274</v>
      </c>
      <c r="C25" s="4092">
        <v>0</v>
      </c>
      <c r="D25" s="4092">
        <v>0</v>
      </c>
      <c r="E25" s="4092">
        <v>0</v>
      </c>
      <c r="F25" s="4092">
        <v>0</v>
      </c>
      <c r="G25" s="4092">
        <v>0</v>
      </c>
      <c r="H25" s="4092">
        <v>0</v>
      </c>
      <c r="I25" s="4092">
        <v>0</v>
      </c>
      <c r="J25" s="4092">
        <v>0</v>
      </c>
      <c r="K25" s="4092">
        <v>0</v>
      </c>
      <c r="L25" s="4092">
        <v>0</v>
      </c>
      <c r="M25" s="4092">
        <v>0</v>
      </c>
      <c r="N25" s="4092">
        <v>0</v>
      </c>
      <c r="O25" s="4092">
        <v>0</v>
      </c>
      <c r="P25" s="4092">
        <v>0</v>
      </c>
      <c r="Q25" s="4092">
        <v>0</v>
      </c>
      <c r="R25" s="4092">
        <v>0</v>
      </c>
      <c r="S25" s="4092">
        <v>0</v>
      </c>
      <c r="T25" s="4092">
        <v>0</v>
      </c>
      <c r="U25" s="4092">
        <v>0</v>
      </c>
      <c r="V25" s="4092">
        <v>0</v>
      </c>
      <c r="W25" s="4092">
        <v>0</v>
      </c>
      <c r="X25" s="4092">
        <v>0</v>
      </c>
      <c r="Y25" s="4092">
        <v>0</v>
      </c>
      <c r="Z25" s="4092">
        <v>0</v>
      </c>
      <c r="AA25" s="4092">
        <v>0</v>
      </c>
      <c r="AB25" s="4092">
        <v>0</v>
      </c>
      <c r="AC25" s="4092">
        <v>0</v>
      </c>
      <c r="AD25" s="4092">
        <v>0</v>
      </c>
      <c r="AE25" s="4092">
        <v>0</v>
      </c>
      <c r="AF25" s="4092">
        <v>0</v>
      </c>
      <c r="AG25" s="4092">
        <v>0</v>
      </c>
      <c r="AH25" s="4092">
        <v>0</v>
      </c>
      <c r="AI25" s="4092">
        <v>0</v>
      </c>
      <c r="AJ25" s="4092">
        <v>0</v>
      </c>
      <c r="AK25" s="4092">
        <v>0</v>
      </c>
      <c r="AL25" s="4092">
        <v>0</v>
      </c>
      <c r="AM25">
        <f t="shared" si="0"/>
        <v>0</v>
      </c>
    </row>
    <row r="26" spans="1:39" ht="15" x14ac:dyDescent="0.25">
      <c r="A26" s="4093">
        <v>1680</v>
      </c>
      <c r="B26" s="4095" t="s">
        <v>2273</v>
      </c>
      <c r="C26" s="4092">
        <v>0</v>
      </c>
      <c r="D26" s="4092">
        <v>0</v>
      </c>
      <c r="E26" s="4092">
        <v>0</v>
      </c>
      <c r="F26" s="4092">
        <v>0</v>
      </c>
      <c r="G26" s="4092">
        <v>0</v>
      </c>
      <c r="H26" s="4092">
        <v>0</v>
      </c>
      <c r="I26" s="4092">
        <v>0</v>
      </c>
      <c r="J26" s="4092">
        <v>0.125</v>
      </c>
      <c r="K26" s="4092">
        <v>0</v>
      </c>
      <c r="L26" s="4092">
        <v>0</v>
      </c>
      <c r="M26" s="4092">
        <v>0</v>
      </c>
      <c r="N26" s="4092">
        <v>0</v>
      </c>
      <c r="O26" s="4092">
        <v>0</v>
      </c>
      <c r="P26" s="4092">
        <v>0</v>
      </c>
      <c r="Q26" s="4092">
        <v>0</v>
      </c>
      <c r="R26" s="4092">
        <v>0</v>
      </c>
      <c r="S26" s="4092">
        <v>0</v>
      </c>
      <c r="T26" s="4092">
        <v>0</v>
      </c>
      <c r="U26" s="4092">
        <v>0</v>
      </c>
      <c r="V26" s="4092">
        <v>6.6875</v>
      </c>
      <c r="W26" s="4092">
        <v>0</v>
      </c>
      <c r="X26" s="4092">
        <v>0</v>
      </c>
      <c r="Y26" s="4092">
        <v>0</v>
      </c>
      <c r="Z26" s="4092">
        <v>114.9375</v>
      </c>
      <c r="AA26" s="4092">
        <v>0</v>
      </c>
      <c r="AB26" s="4092">
        <v>0</v>
      </c>
      <c r="AC26" s="4092">
        <v>0</v>
      </c>
      <c r="AD26" s="4092">
        <v>4.5</v>
      </c>
      <c r="AE26" s="4092">
        <v>0</v>
      </c>
      <c r="AF26" s="4092">
        <v>0</v>
      </c>
      <c r="AG26" s="4092">
        <v>0</v>
      </c>
      <c r="AH26" s="4092">
        <v>0</v>
      </c>
      <c r="AI26" s="4092">
        <v>0</v>
      </c>
      <c r="AJ26" s="4092">
        <v>0</v>
      </c>
      <c r="AK26" s="4092">
        <v>0</v>
      </c>
      <c r="AL26" s="4092">
        <v>0</v>
      </c>
      <c r="AM26">
        <f t="shared" si="0"/>
        <v>126.25</v>
      </c>
    </row>
    <row r="27" spans="1:39" ht="15" x14ac:dyDescent="0.25">
      <c r="A27" s="4093">
        <v>1710</v>
      </c>
      <c r="B27" s="4095" t="s">
        <v>2272</v>
      </c>
      <c r="C27" s="4092">
        <v>0</v>
      </c>
      <c r="D27" s="4092">
        <v>0</v>
      </c>
      <c r="E27" s="4092">
        <v>0</v>
      </c>
      <c r="F27" s="4092">
        <v>0</v>
      </c>
      <c r="G27" s="4092">
        <v>0</v>
      </c>
      <c r="H27" s="4092">
        <v>0</v>
      </c>
      <c r="I27" s="4092">
        <v>0</v>
      </c>
      <c r="J27" s="4092">
        <v>0</v>
      </c>
      <c r="K27" s="4092">
        <v>1.6875</v>
      </c>
      <c r="L27" s="4092">
        <v>0</v>
      </c>
      <c r="M27" s="4092">
        <v>0</v>
      </c>
      <c r="N27" s="4092">
        <v>0</v>
      </c>
      <c r="O27" s="4092">
        <v>0</v>
      </c>
      <c r="P27" s="4092">
        <v>0</v>
      </c>
      <c r="Q27" s="4092">
        <v>0</v>
      </c>
      <c r="R27" s="4092">
        <v>0</v>
      </c>
      <c r="S27" s="4092">
        <v>6.25E-2</v>
      </c>
      <c r="T27" s="4092">
        <v>0</v>
      </c>
      <c r="U27" s="4092">
        <v>0</v>
      </c>
      <c r="V27" s="4092">
        <v>0</v>
      </c>
      <c r="W27" s="4092">
        <v>0</v>
      </c>
      <c r="X27" s="4092">
        <v>0</v>
      </c>
      <c r="Y27" s="4092">
        <v>0</v>
      </c>
      <c r="Z27" s="4092">
        <v>0</v>
      </c>
      <c r="AA27" s="4092">
        <v>208.5</v>
      </c>
      <c r="AB27" s="4092">
        <v>0</v>
      </c>
      <c r="AC27" s="4092">
        <v>0</v>
      </c>
      <c r="AD27" s="4092">
        <v>0</v>
      </c>
      <c r="AE27" s="4092">
        <v>0</v>
      </c>
      <c r="AF27" s="4092">
        <v>0</v>
      </c>
      <c r="AG27" s="4092">
        <v>0</v>
      </c>
      <c r="AH27" s="4092">
        <v>0</v>
      </c>
      <c r="AI27" s="4092">
        <v>0</v>
      </c>
      <c r="AJ27" s="4092">
        <v>0</v>
      </c>
      <c r="AK27" s="4092">
        <v>0</v>
      </c>
      <c r="AL27" s="4092">
        <v>0</v>
      </c>
      <c r="AM27">
        <f t="shared" si="0"/>
        <v>210.25</v>
      </c>
    </row>
    <row r="28" spans="1:39" ht="15" x14ac:dyDescent="0.25">
      <c r="A28" s="4093">
        <v>1720</v>
      </c>
      <c r="B28" s="4095" t="s">
        <v>2271</v>
      </c>
      <c r="C28" s="4092">
        <v>0</v>
      </c>
      <c r="D28" s="4092">
        <v>0</v>
      </c>
      <c r="E28" s="4092">
        <v>0</v>
      </c>
      <c r="F28" s="4092">
        <v>0</v>
      </c>
      <c r="G28" s="4092">
        <v>0</v>
      </c>
      <c r="H28" s="4092">
        <v>0</v>
      </c>
      <c r="I28" s="4092">
        <v>0</v>
      </c>
      <c r="J28" s="4092">
        <v>0</v>
      </c>
      <c r="K28" s="4092">
        <v>0</v>
      </c>
      <c r="L28" s="4092">
        <v>0</v>
      </c>
      <c r="M28" s="4092">
        <v>0</v>
      </c>
      <c r="N28" s="4092">
        <v>0</v>
      </c>
      <c r="O28" s="4092">
        <v>0</v>
      </c>
      <c r="P28" s="4092">
        <v>0</v>
      </c>
      <c r="Q28" s="4092">
        <v>0</v>
      </c>
      <c r="R28" s="4092">
        <v>0</v>
      </c>
      <c r="S28" s="4092">
        <v>0</v>
      </c>
      <c r="T28" s="4092">
        <v>0</v>
      </c>
      <c r="U28" s="4092">
        <v>0</v>
      </c>
      <c r="V28" s="4092">
        <v>0</v>
      </c>
      <c r="W28" s="4092">
        <v>0</v>
      </c>
      <c r="X28" s="4092">
        <v>0</v>
      </c>
      <c r="Y28" s="4092">
        <v>0</v>
      </c>
      <c r="Z28" s="4092">
        <v>0</v>
      </c>
      <c r="AA28" s="4092">
        <v>0</v>
      </c>
      <c r="AB28" s="4092">
        <v>6.25E-2</v>
      </c>
      <c r="AC28" s="4092">
        <v>0</v>
      </c>
      <c r="AD28" s="4092">
        <v>0</v>
      </c>
      <c r="AE28" s="4092">
        <v>0</v>
      </c>
      <c r="AF28" s="4092">
        <v>0</v>
      </c>
      <c r="AG28" s="4092">
        <v>0</v>
      </c>
      <c r="AH28" s="4092">
        <v>0</v>
      </c>
      <c r="AI28" s="4092">
        <v>0</v>
      </c>
      <c r="AJ28" s="4092">
        <v>0</v>
      </c>
      <c r="AK28" s="4092">
        <v>0</v>
      </c>
      <c r="AL28" s="4092">
        <v>0</v>
      </c>
      <c r="AM28">
        <f t="shared" si="0"/>
        <v>6.25E-2</v>
      </c>
    </row>
    <row r="29" spans="1:39" ht="15" x14ac:dyDescent="0.25">
      <c r="A29" s="4093">
        <v>1730</v>
      </c>
      <c r="B29" s="4095" t="s">
        <v>2270</v>
      </c>
      <c r="C29" s="4092">
        <v>0</v>
      </c>
      <c r="D29" s="4092">
        <v>0</v>
      </c>
      <c r="E29" s="4092">
        <v>0</v>
      </c>
      <c r="F29" s="4092">
        <v>0</v>
      </c>
      <c r="G29" s="4092">
        <v>0</v>
      </c>
      <c r="H29" s="4092">
        <v>0</v>
      </c>
      <c r="I29" s="4092">
        <v>0</v>
      </c>
      <c r="J29" s="4092">
        <v>0</v>
      </c>
      <c r="K29" s="4092">
        <v>0</v>
      </c>
      <c r="L29" s="4092">
        <v>0</v>
      </c>
      <c r="M29" s="4092">
        <v>0</v>
      </c>
      <c r="N29" s="4092">
        <v>0</v>
      </c>
      <c r="O29" s="4092">
        <v>0</v>
      </c>
      <c r="P29" s="4092">
        <v>0</v>
      </c>
      <c r="Q29" s="4092">
        <v>0</v>
      </c>
      <c r="R29" s="4092">
        <v>0</v>
      </c>
      <c r="S29" s="4092">
        <v>0</v>
      </c>
      <c r="T29" s="4092">
        <v>0</v>
      </c>
      <c r="U29" s="4092">
        <v>0</v>
      </c>
      <c r="V29" s="4092">
        <v>0</v>
      </c>
      <c r="W29" s="4092">
        <v>0</v>
      </c>
      <c r="X29" s="4092">
        <v>0</v>
      </c>
      <c r="Y29" s="4092">
        <v>0</v>
      </c>
      <c r="Z29" s="4092">
        <v>0</v>
      </c>
      <c r="AA29" s="4092">
        <v>0</v>
      </c>
      <c r="AB29" s="4092">
        <v>0</v>
      </c>
      <c r="AC29" s="4092">
        <v>0</v>
      </c>
      <c r="AD29" s="4092">
        <v>0</v>
      </c>
      <c r="AE29" s="4092">
        <v>0</v>
      </c>
      <c r="AF29" s="4092">
        <v>0</v>
      </c>
      <c r="AG29" s="4092">
        <v>0</v>
      </c>
      <c r="AH29" s="4092">
        <v>0</v>
      </c>
      <c r="AI29" s="4092">
        <v>0</v>
      </c>
      <c r="AJ29" s="4092">
        <v>0</v>
      </c>
      <c r="AK29" s="4092">
        <v>0</v>
      </c>
      <c r="AL29" s="4092">
        <v>0</v>
      </c>
      <c r="AM29">
        <f t="shared" si="0"/>
        <v>0</v>
      </c>
    </row>
    <row r="30" spans="1:39" ht="15" x14ac:dyDescent="0.25">
      <c r="A30" s="4093">
        <v>1780</v>
      </c>
      <c r="B30" s="4095" t="s">
        <v>2269</v>
      </c>
      <c r="C30" s="4092">
        <v>0</v>
      </c>
      <c r="D30" s="4092">
        <v>0</v>
      </c>
      <c r="E30" s="4092">
        <v>0</v>
      </c>
      <c r="F30" s="4092">
        <v>0</v>
      </c>
      <c r="G30" s="4092">
        <v>0</v>
      </c>
      <c r="H30" s="4092">
        <v>0</v>
      </c>
      <c r="I30" s="4092">
        <v>0</v>
      </c>
      <c r="J30" s="4092">
        <v>0</v>
      </c>
      <c r="K30" s="4092">
        <v>0</v>
      </c>
      <c r="L30" s="4092">
        <v>0</v>
      </c>
      <c r="M30" s="4092">
        <v>0</v>
      </c>
      <c r="N30" s="4092">
        <v>0</v>
      </c>
      <c r="O30" s="4092">
        <v>0</v>
      </c>
      <c r="P30" s="4092">
        <v>0</v>
      </c>
      <c r="Q30" s="4092">
        <v>0</v>
      </c>
      <c r="R30" s="4092">
        <v>0</v>
      </c>
      <c r="S30" s="4092">
        <v>0</v>
      </c>
      <c r="T30" s="4092">
        <v>0</v>
      </c>
      <c r="U30" s="4092">
        <v>0</v>
      </c>
      <c r="V30" s="4092">
        <v>0</v>
      </c>
      <c r="W30" s="4092">
        <v>0</v>
      </c>
      <c r="X30" s="4092">
        <v>0</v>
      </c>
      <c r="Y30" s="4092">
        <v>0</v>
      </c>
      <c r="Z30" s="4092">
        <v>0</v>
      </c>
      <c r="AA30" s="4092">
        <v>0</v>
      </c>
      <c r="AB30" s="4092">
        <v>0</v>
      </c>
      <c r="AC30" s="4092">
        <v>0</v>
      </c>
      <c r="AD30" s="4092">
        <v>121.9375</v>
      </c>
      <c r="AE30" s="4092">
        <v>0</v>
      </c>
      <c r="AF30" s="4092">
        <v>0</v>
      </c>
      <c r="AG30" s="4092">
        <v>0</v>
      </c>
      <c r="AH30" s="4092">
        <v>0</v>
      </c>
      <c r="AI30" s="4092">
        <v>0</v>
      </c>
      <c r="AJ30" s="4092">
        <v>0</v>
      </c>
      <c r="AK30" s="4092">
        <v>0</v>
      </c>
      <c r="AL30" s="4092">
        <v>0</v>
      </c>
      <c r="AM30">
        <f t="shared" si="0"/>
        <v>121.9375</v>
      </c>
    </row>
    <row r="31" spans="1:39" ht="15" x14ac:dyDescent="0.25">
      <c r="A31" s="4093">
        <v>1810</v>
      </c>
      <c r="B31" s="4095" t="s">
        <v>2268</v>
      </c>
      <c r="C31" s="4092">
        <v>0</v>
      </c>
      <c r="D31" s="4092">
        <v>0</v>
      </c>
      <c r="E31" s="4092">
        <v>0</v>
      </c>
      <c r="F31" s="4092">
        <v>0</v>
      </c>
      <c r="G31" s="4092">
        <v>0</v>
      </c>
      <c r="H31" s="4092">
        <v>0</v>
      </c>
      <c r="I31" s="4092">
        <v>0</v>
      </c>
      <c r="J31" s="4092">
        <v>0</v>
      </c>
      <c r="K31" s="4092">
        <v>6.25E-2</v>
      </c>
      <c r="L31" s="4092">
        <v>0</v>
      </c>
      <c r="M31" s="4092">
        <v>0</v>
      </c>
      <c r="N31" s="4092">
        <v>0</v>
      </c>
      <c r="O31" s="4092">
        <v>0</v>
      </c>
      <c r="P31" s="4092">
        <v>0</v>
      </c>
      <c r="Q31" s="4092">
        <v>0</v>
      </c>
      <c r="R31" s="4092">
        <v>0</v>
      </c>
      <c r="S31" s="4092">
        <v>0.1875</v>
      </c>
      <c r="T31" s="4092">
        <v>0</v>
      </c>
      <c r="U31" s="4092">
        <v>0</v>
      </c>
      <c r="V31" s="4092">
        <v>0</v>
      </c>
      <c r="W31" s="4092">
        <v>0</v>
      </c>
      <c r="X31" s="4092">
        <v>0</v>
      </c>
      <c r="Y31" s="4092">
        <v>0</v>
      </c>
      <c r="Z31" s="4092">
        <v>0</v>
      </c>
      <c r="AA31" s="4092">
        <v>0</v>
      </c>
      <c r="AB31" s="4092">
        <v>0</v>
      </c>
      <c r="AC31" s="4092">
        <v>0</v>
      </c>
      <c r="AD31" s="4092">
        <v>0</v>
      </c>
      <c r="AE31" s="4092">
        <v>19.5</v>
      </c>
      <c r="AF31" s="4092">
        <v>0</v>
      </c>
      <c r="AG31" s="4092">
        <v>0</v>
      </c>
      <c r="AH31" s="4092">
        <v>0</v>
      </c>
      <c r="AI31" s="4092">
        <v>0</v>
      </c>
      <c r="AJ31" s="4092">
        <v>0</v>
      </c>
      <c r="AK31" s="4092">
        <v>0</v>
      </c>
      <c r="AL31" s="4092">
        <v>0</v>
      </c>
      <c r="AM31">
        <f t="shared" si="0"/>
        <v>19.75</v>
      </c>
    </row>
    <row r="32" spans="1:39" ht="15" x14ac:dyDescent="0.25">
      <c r="A32" s="4093">
        <v>1820</v>
      </c>
      <c r="B32" s="4095" t="s">
        <v>2267</v>
      </c>
      <c r="C32" s="4092">
        <v>0</v>
      </c>
      <c r="D32" s="4092">
        <v>0</v>
      </c>
      <c r="E32" s="4092">
        <v>0</v>
      </c>
      <c r="F32" s="4092">
        <v>0</v>
      </c>
      <c r="G32" s="4092">
        <v>0</v>
      </c>
      <c r="H32" s="4092">
        <v>0</v>
      </c>
      <c r="I32" s="4092">
        <v>0</v>
      </c>
      <c r="J32" s="4092">
        <v>0</v>
      </c>
      <c r="K32" s="4092">
        <v>0</v>
      </c>
      <c r="L32" s="4092">
        <v>0</v>
      </c>
      <c r="M32" s="4092">
        <v>0</v>
      </c>
      <c r="N32" s="4092">
        <v>0</v>
      </c>
      <c r="O32" s="4092">
        <v>0</v>
      </c>
      <c r="P32" s="4092">
        <v>0</v>
      </c>
      <c r="Q32" s="4092">
        <v>0</v>
      </c>
      <c r="R32" s="4092">
        <v>0</v>
      </c>
      <c r="S32" s="4092">
        <v>0</v>
      </c>
      <c r="T32" s="4092">
        <v>0</v>
      </c>
      <c r="U32" s="4092">
        <v>0</v>
      </c>
      <c r="V32" s="4092">
        <v>0</v>
      </c>
      <c r="W32" s="4092">
        <v>0</v>
      </c>
      <c r="X32" s="4092">
        <v>0</v>
      </c>
      <c r="Y32" s="4092">
        <v>0</v>
      </c>
      <c r="Z32" s="4092">
        <v>0</v>
      </c>
      <c r="AA32" s="4092">
        <v>0</v>
      </c>
      <c r="AB32" s="4092">
        <v>0</v>
      </c>
      <c r="AC32" s="4092">
        <v>0</v>
      </c>
      <c r="AD32" s="4092">
        <v>0</v>
      </c>
      <c r="AE32" s="4092">
        <v>0</v>
      </c>
      <c r="AF32" s="4092">
        <v>0</v>
      </c>
      <c r="AG32" s="4092">
        <v>0</v>
      </c>
      <c r="AH32" s="4092">
        <v>0</v>
      </c>
      <c r="AI32" s="4092">
        <v>0</v>
      </c>
      <c r="AJ32" s="4092">
        <v>0</v>
      </c>
      <c r="AK32" s="4092">
        <v>0</v>
      </c>
      <c r="AL32" s="4092">
        <v>0</v>
      </c>
      <c r="AM32">
        <f t="shared" si="0"/>
        <v>0</v>
      </c>
    </row>
    <row r="33" spans="1:40" ht="15" x14ac:dyDescent="0.25">
      <c r="A33" s="4093">
        <v>1830</v>
      </c>
      <c r="B33" s="4095" t="s">
        <v>2266</v>
      </c>
      <c r="C33" s="4092">
        <v>0</v>
      </c>
      <c r="D33" s="4092">
        <v>0</v>
      </c>
      <c r="E33" s="4092">
        <v>0</v>
      </c>
      <c r="F33" s="4092">
        <v>0</v>
      </c>
      <c r="G33" s="4092">
        <v>0</v>
      </c>
      <c r="H33" s="4092">
        <v>0</v>
      </c>
      <c r="I33" s="4092">
        <v>0</v>
      </c>
      <c r="J33" s="4092">
        <v>0</v>
      </c>
      <c r="K33" s="4092">
        <v>0</v>
      </c>
      <c r="L33" s="4092">
        <v>0</v>
      </c>
      <c r="M33" s="4092">
        <v>0</v>
      </c>
      <c r="N33" s="4092">
        <v>0</v>
      </c>
      <c r="O33" s="4092">
        <v>0</v>
      </c>
      <c r="P33" s="4092">
        <v>0</v>
      </c>
      <c r="Q33" s="4092">
        <v>0</v>
      </c>
      <c r="R33" s="4092">
        <v>0</v>
      </c>
      <c r="S33" s="4092">
        <v>0</v>
      </c>
      <c r="T33" s="4092">
        <v>0</v>
      </c>
      <c r="U33" s="4092">
        <v>0</v>
      </c>
      <c r="V33" s="4092">
        <v>0</v>
      </c>
      <c r="W33" s="4092">
        <v>0</v>
      </c>
      <c r="X33" s="4092">
        <v>0</v>
      </c>
      <c r="Y33" s="4092">
        <v>0</v>
      </c>
      <c r="Z33" s="4092">
        <v>0</v>
      </c>
      <c r="AA33" s="4092">
        <v>0</v>
      </c>
      <c r="AB33" s="4092">
        <v>0</v>
      </c>
      <c r="AC33" s="4092">
        <v>0</v>
      </c>
      <c r="AD33" s="4092">
        <v>0</v>
      </c>
      <c r="AE33" s="4092">
        <v>0</v>
      </c>
      <c r="AF33" s="4092">
        <v>0</v>
      </c>
      <c r="AG33" s="4092">
        <v>0</v>
      </c>
      <c r="AH33" s="4092">
        <v>0</v>
      </c>
      <c r="AI33" s="4092">
        <v>0</v>
      </c>
      <c r="AJ33" s="4092">
        <v>0</v>
      </c>
      <c r="AK33" s="4092">
        <v>0</v>
      </c>
      <c r="AL33" s="4092">
        <v>0</v>
      </c>
      <c r="AM33">
        <f t="shared" si="0"/>
        <v>0</v>
      </c>
    </row>
    <row r="34" spans="1:40" ht="15" x14ac:dyDescent="0.25">
      <c r="A34" s="4093">
        <v>1880</v>
      </c>
      <c r="B34" s="4095" t="s">
        <v>2265</v>
      </c>
      <c r="C34" s="4092">
        <v>0</v>
      </c>
      <c r="D34" s="4092">
        <v>0</v>
      </c>
      <c r="E34" s="4092">
        <v>0</v>
      </c>
      <c r="F34" s="4092">
        <v>0</v>
      </c>
      <c r="G34" s="4092">
        <v>0</v>
      </c>
      <c r="H34" s="4092">
        <v>0</v>
      </c>
      <c r="I34" s="4092">
        <v>0</v>
      </c>
      <c r="J34" s="4092">
        <v>0</v>
      </c>
      <c r="K34" s="4092">
        <v>0</v>
      </c>
      <c r="L34" s="4092">
        <v>0</v>
      </c>
      <c r="M34" s="4092">
        <v>0</v>
      </c>
      <c r="N34" s="4092">
        <v>0</v>
      </c>
      <c r="O34" s="4092">
        <v>0</v>
      </c>
      <c r="P34" s="4092">
        <v>0</v>
      </c>
      <c r="Q34" s="4092">
        <v>0</v>
      </c>
      <c r="R34" s="4092">
        <v>0</v>
      </c>
      <c r="S34" s="4092">
        <v>0</v>
      </c>
      <c r="T34" s="4092">
        <v>0</v>
      </c>
      <c r="U34" s="4092">
        <v>0</v>
      </c>
      <c r="V34" s="4092">
        <v>0</v>
      </c>
      <c r="W34" s="4092">
        <v>0</v>
      </c>
      <c r="X34" s="4092">
        <v>0</v>
      </c>
      <c r="Y34" s="4092">
        <v>0</v>
      </c>
      <c r="Z34" s="4092">
        <v>0</v>
      </c>
      <c r="AA34" s="4092">
        <v>0</v>
      </c>
      <c r="AB34" s="4092">
        <v>0</v>
      </c>
      <c r="AC34" s="4092">
        <v>0</v>
      </c>
      <c r="AD34" s="4092">
        <v>0</v>
      </c>
      <c r="AE34" s="4092">
        <v>0</v>
      </c>
      <c r="AF34" s="4092">
        <v>0</v>
      </c>
      <c r="AG34" s="4092">
        <v>0</v>
      </c>
      <c r="AH34" s="4092">
        <v>7.375</v>
      </c>
      <c r="AI34" s="4092">
        <v>0</v>
      </c>
      <c r="AJ34" s="4092">
        <v>0</v>
      </c>
      <c r="AK34" s="4092">
        <v>0</v>
      </c>
      <c r="AL34" s="4092">
        <v>0</v>
      </c>
      <c r="AM34">
        <f t="shared" si="0"/>
        <v>7.375</v>
      </c>
    </row>
    <row r="35" spans="1:40" ht="15" x14ac:dyDescent="0.25">
      <c r="A35" s="4093">
        <v>1910</v>
      </c>
      <c r="B35" s="4095" t="s">
        <v>2264</v>
      </c>
      <c r="C35" s="4092">
        <v>0</v>
      </c>
      <c r="D35" s="4092">
        <v>0</v>
      </c>
      <c r="E35" s="4092">
        <v>0</v>
      </c>
      <c r="F35" s="4092">
        <v>0</v>
      </c>
      <c r="G35" s="4092">
        <v>0</v>
      </c>
      <c r="H35" s="4092">
        <v>0</v>
      </c>
      <c r="I35" s="4092">
        <v>0</v>
      </c>
      <c r="J35" s="4092">
        <v>0</v>
      </c>
      <c r="K35" s="4092">
        <v>0</v>
      </c>
      <c r="L35" s="4092">
        <v>0</v>
      </c>
      <c r="M35" s="4092">
        <v>0</v>
      </c>
      <c r="N35" s="4092">
        <v>0</v>
      </c>
      <c r="O35" s="4092">
        <v>0</v>
      </c>
      <c r="P35" s="4092">
        <v>0</v>
      </c>
      <c r="Q35" s="4092">
        <v>0</v>
      </c>
      <c r="R35" s="4092">
        <v>0</v>
      </c>
      <c r="S35" s="4092">
        <v>0</v>
      </c>
      <c r="T35" s="4092">
        <v>0</v>
      </c>
      <c r="U35" s="4092">
        <v>0</v>
      </c>
      <c r="V35" s="4092">
        <v>0</v>
      </c>
      <c r="W35" s="4092">
        <v>0</v>
      </c>
      <c r="X35" s="4092">
        <v>0</v>
      </c>
      <c r="Y35" s="4092">
        <v>0</v>
      </c>
      <c r="Z35" s="4092">
        <v>0</v>
      </c>
      <c r="AA35" s="4092">
        <v>0</v>
      </c>
      <c r="AB35" s="4092">
        <v>0</v>
      </c>
      <c r="AC35" s="4092">
        <v>0</v>
      </c>
      <c r="AD35" s="4092">
        <v>0</v>
      </c>
      <c r="AE35" s="4092">
        <v>0</v>
      </c>
      <c r="AF35" s="4092">
        <v>0</v>
      </c>
      <c r="AG35" s="4092">
        <v>0</v>
      </c>
      <c r="AH35" s="4092">
        <v>0</v>
      </c>
      <c r="AI35" s="4092">
        <v>287.5</v>
      </c>
      <c r="AJ35" s="4092">
        <v>0</v>
      </c>
      <c r="AK35" s="4092">
        <v>0</v>
      </c>
      <c r="AL35" s="4092">
        <v>0</v>
      </c>
      <c r="AM35">
        <f t="shared" si="0"/>
        <v>287.5</v>
      </c>
    </row>
    <row r="36" spans="1:40" ht="15" x14ac:dyDescent="0.25">
      <c r="A36" s="4093">
        <v>1920</v>
      </c>
      <c r="B36" s="4095" t="s">
        <v>2263</v>
      </c>
      <c r="C36" s="4092">
        <v>0</v>
      </c>
      <c r="D36" s="4092">
        <v>0</v>
      </c>
      <c r="E36" s="4092">
        <v>0</v>
      </c>
      <c r="F36" s="4092">
        <v>0</v>
      </c>
      <c r="G36" s="4092">
        <v>0</v>
      </c>
      <c r="H36" s="4092">
        <v>0</v>
      </c>
      <c r="I36" s="4092">
        <v>0</v>
      </c>
      <c r="J36" s="4092">
        <v>0</v>
      </c>
      <c r="K36" s="4092">
        <v>0</v>
      </c>
      <c r="L36" s="4092">
        <v>0</v>
      </c>
      <c r="M36" s="4092">
        <v>0</v>
      </c>
      <c r="N36" s="4092">
        <v>0</v>
      </c>
      <c r="O36" s="4092">
        <v>0</v>
      </c>
      <c r="P36" s="4092">
        <v>0</v>
      </c>
      <c r="Q36" s="4092">
        <v>0</v>
      </c>
      <c r="R36" s="4092">
        <v>0</v>
      </c>
      <c r="S36" s="4092">
        <v>0</v>
      </c>
      <c r="T36" s="4092">
        <v>0</v>
      </c>
      <c r="U36" s="4092">
        <v>0</v>
      </c>
      <c r="V36" s="4092">
        <v>0</v>
      </c>
      <c r="W36" s="4092">
        <v>0</v>
      </c>
      <c r="X36" s="4092">
        <v>0</v>
      </c>
      <c r="Y36" s="4092">
        <v>0</v>
      </c>
      <c r="Z36" s="4092">
        <v>0</v>
      </c>
      <c r="AA36" s="4092">
        <v>0</v>
      </c>
      <c r="AB36" s="4092">
        <v>0</v>
      </c>
      <c r="AC36" s="4092">
        <v>0</v>
      </c>
      <c r="AD36" s="4092">
        <v>0</v>
      </c>
      <c r="AE36" s="4092">
        <v>0</v>
      </c>
      <c r="AF36" s="4092">
        <v>0</v>
      </c>
      <c r="AG36" s="4092">
        <v>0</v>
      </c>
      <c r="AH36" s="4092">
        <v>0</v>
      </c>
      <c r="AI36" s="4092">
        <v>0</v>
      </c>
      <c r="AJ36" s="4092">
        <v>1.25</v>
      </c>
      <c r="AK36" s="4092">
        <v>0</v>
      </c>
      <c r="AL36" s="4092">
        <v>0</v>
      </c>
      <c r="AM36">
        <f t="shared" si="0"/>
        <v>1.25</v>
      </c>
    </row>
    <row r="37" spans="1:40" ht="15" x14ac:dyDescent="0.25">
      <c r="A37" s="4093">
        <v>1930</v>
      </c>
      <c r="B37" s="4095" t="s">
        <v>2262</v>
      </c>
      <c r="C37" s="4092">
        <v>0</v>
      </c>
      <c r="D37" s="4092">
        <v>0</v>
      </c>
      <c r="E37" s="4092">
        <v>0</v>
      </c>
      <c r="F37" s="4092">
        <v>0</v>
      </c>
      <c r="G37" s="4092">
        <v>0</v>
      </c>
      <c r="H37" s="4092">
        <v>0</v>
      </c>
      <c r="I37" s="4092">
        <v>0</v>
      </c>
      <c r="J37" s="4092">
        <v>0</v>
      </c>
      <c r="K37" s="4092">
        <v>0</v>
      </c>
      <c r="L37" s="4092">
        <v>0</v>
      </c>
      <c r="M37" s="4092">
        <v>0</v>
      </c>
      <c r="N37" s="4092">
        <v>0</v>
      </c>
      <c r="O37" s="4092">
        <v>0</v>
      </c>
      <c r="P37" s="4092">
        <v>0</v>
      </c>
      <c r="Q37" s="4092">
        <v>0</v>
      </c>
      <c r="R37" s="4092">
        <v>0</v>
      </c>
      <c r="S37" s="4092">
        <v>0</v>
      </c>
      <c r="T37" s="4092">
        <v>0</v>
      </c>
      <c r="U37" s="4092">
        <v>0</v>
      </c>
      <c r="V37" s="4092">
        <v>0</v>
      </c>
      <c r="W37" s="4092">
        <v>0</v>
      </c>
      <c r="X37" s="4092">
        <v>0</v>
      </c>
      <c r="Y37" s="4092">
        <v>0</v>
      </c>
      <c r="Z37" s="4092">
        <v>0</v>
      </c>
      <c r="AA37" s="4092">
        <v>0</v>
      </c>
      <c r="AB37" s="4092">
        <v>0</v>
      </c>
      <c r="AC37" s="4092">
        <v>0</v>
      </c>
      <c r="AD37" s="4092">
        <v>0</v>
      </c>
      <c r="AE37" s="4092">
        <v>0</v>
      </c>
      <c r="AF37" s="4092">
        <v>0</v>
      </c>
      <c r="AG37" s="4092">
        <v>0</v>
      </c>
      <c r="AH37" s="4092">
        <v>0</v>
      </c>
      <c r="AI37" s="4092">
        <v>0</v>
      </c>
      <c r="AJ37" s="4092">
        <v>0</v>
      </c>
      <c r="AK37" s="4092">
        <v>0</v>
      </c>
      <c r="AL37" s="4092">
        <v>0</v>
      </c>
      <c r="AM37">
        <f t="shared" si="0"/>
        <v>0</v>
      </c>
    </row>
    <row r="38" spans="1:40" ht="15" x14ac:dyDescent="0.25">
      <c r="A38" s="4093">
        <v>1980</v>
      </c>
      <c r="B38" s="4096" t="s">
        <v>2261</v>
      </c>
      <c r="C38" s="4092">
        <v>0</v>
      </c>
      <c r="D38" s="4092">
        <v>0</v>
      </c>
      <c r="E38" s="4092">
        <v>0</v>
      </c>
      <c r="F38" s="4092">
        <v>0</v>
      </c>
      <c r="G38" s="4092">
        <v>0</v>
      </c>
      <c r="H38" s="4092">
        <v>0</v>
      </c>
      <c r="I38" s="4092">
        <v>0</v>
      </c>
      <c r="J38" s="4092">
        <v>0</v>
      </c>
      <c r="K38" s="4092">
        <v>0</v>
      </c>
      <c r="L38" s="4092">
        <v>0</v>
      </c>
      <c r="M38" s="4092">
        <v>0</v>
      </c>
      <c r="N38" s="4092">
        <v>0</v>
      </c>
      <c r="O38" s="4092">
        <v>0</v>
      </c>
      <c r="P38" s="4092">
        <v>0</v>
      </c>
      <c r="Q38" s="4092">
        <v>0</v>
      </c>
      <c r="R38" s="4092">
        <v>0</v>
      </c>
      <c r="S38" s="4092">
        <v>0</v>
      </c>
      <c r="T38" s="4092">
        <v>0</v>
      </c>
      <c r="U38" s="4092">
        <v>0</v>
      </c>
      <c r="V38" s="4092">
        <v>0</v>
      </c>
      <c r="W38" s="4092">
        <v>0</v>
      </c>
      <c r="X38" s="4092">
        <v>0</v>
      </c>
      <c r="Y38" s="4092">
        <v>0</v>
      </c>
      <c r="Z38" s="4092">
        <v>0</v>
      </c>
      <c r="AA38" s="4092">
        <v>0</v>
      </c>
      <c r="AB38" s="4092">
        <v>0</v>
      </c>
      <c r="AC38" s="4092">
        <v>0</v>
      </c>
      <c r="AD38" s="4092">
        <v>0</v>
      </c>
      <c r="AE38" s="4092">
        <v>0</v>
      </c>
      <c r="AF38" s="4092">
        <v>0</v>
      </c>
      <c r="AG38" s="4092">
        <v>0</v>
      </c>
      <c r="AH38" s="4092">
        <v>0</v>
      </c>
      <c r="AI38" s="4092">
        <v>0</v>
      </c>
      <c r="AJ38" s="4092">
        <v>0</v>
      </c>
      <c r="AK38" s="4092">
        <v>0</v>
      </c>
      <c r="AL38" s="4092">
        <v>77.875</v>
      </c>
      <c r="AM38">
        <f t="shared" si="0"/>
        <v>77.875</v>
      </c>
      <c r="AN38" t="s">
        <v>4271</v>
      </c>
    </row>
    <row r="39" spans="1:40" x14ac:dyDescent="0.2">
      <c r="A39" t="s">
        <v>4272</v>
      </c>
      <c r="C39">
        <f>SUM(C3:C38)</f>
        <v>1215.1875</v>
      </c>
      <c r="D39">
        <f t="shared" ref="D39:AL39" si="1">SUM(D3:D38)</f>
        <v>0</v>
      </c>
      <c r="E39">
        <f t="shared" si="1"/>
        <v>0</v>
      </c>
      <c r="F39">
        <f t="shared" si="1"/>
        <v>2</v>
      </c>
      <c r="G39">
        <f t="shared" si="1"/>
        <v>53.9375</v>
      </c>
      <c r="H39">
        <f t="shared" si="1"/>
        <v>0</v>
      </c>
      <c r="I39">
        <f t="shared" si="1"/>
        <v>0</v>
      </c>
      <c r="J39">
        <f>SUM(J3:J38)</f>
        <v>4.125</v>
      </c>
      <c r="K39">
        <f t="shared" si="1"/>
        <v>3581.75</v>
      </c>
      <c r="L39">
        <f t="shared" si="1"/>
        <v>0</v>
      </c>
      <c r="M39">
        <f t="shared" si="1"/>
        <v>0</v>
      </c>
      <c r="N39">
        <f t="shared" si="1"/>
        <v>1.25</v>
      </c>
      <c r="O39">
        <f t="shared" si="1"/>
        <v>77</v>
      </c>
      <c r="P39">
        <f t="shared" si="1"/>
        <v>0</v>
      </c>
      <c r="Q39">
        <f t="shared" si="1"/>
        <v>0</v>
      </c>
      <c r="R39">
        <f t="shared" si="1"/>
        <v>0</v>
      </c>
      <c r="S39">
        <f t="shared" si="1"/>
        <v>3156.4375</v>
      </c>
      <c r="T39">
        <f t="shared" si="1"/>
        <v>0</v>
      </c>
      <c r="U39">
        <f t="shared" si="1"/>
        <v>0</v>
      </c>
      <c r="V39">
        <f t="shared" si="1"/>
        <v>32</v>
      </c>
      <c r="W39">
        <f t="shared" si="1"/>
        <v>2612</v>
      </c>
      <c r="X39">
        <f t="shared" si="1"/>
        <v>0.25</v>
      </c>
      <c r="Y39">
        <f t="shared" si="1"/>
        <v>0</v>
      </c>
      <c r="Z39">
        <f t="shared" si="1"/>
        <v>169.25</v>
      </c>
      <c r="AA39">
        <f t="shared" si="1"/>
        <v>240.375</v>
      </c>
      <c r="AB39">
        <f t="shared" si="1"/>
        <v>6.25E-2</v>
      </c>
      <c r="AC39">
        <f t="shared" si="1"/>
        <v>0</v>
      </c>
      <c r="AD39">
        <f t="shared" si="1"/>
        <v>126.6875</v>
      </c>
      <c r="AE39">
        <f t="shared" si="1"/>
        <v>19.5</v>
      </c>
      <c r="AF39">
        <f t="shared" si="1"/>
        <v>0</v>
      </c>
      <c r="AG39">
        <f t="shared" si="1"/>
        <v>0</v>
      </c>
      <c r="AH39">
        <f t="shared" si="1"/>
        <v>7.375</v>
      </c>
      <c r="AI39">
        <f t="shared" si="1"/>
        <v>287.5</v>
      </c>
      <c r="AJ39">
        <f t="shared" si="1"/>
        <v>1.25</v>
      </c>
      <c r="AK39">
        <f t="shared" si="1"/>
        <v>0</v>
      </c>
      <c r="AL39">
        <f t="shared" si="1"/>
        <v>77.875</v>
      </c>
      <c r="AM39">
        <f>SUM(C39:AL39)</f>
        <v>11665.8125</v>
      </c>
      <c r="AN39">
        <f>SUM(AM3:AM38)</f>
        <v>11665.8125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745D0-EF2C-4FB6-8096-A42F727DF32B}">
  <sheetPr codeName="Ark157">
    <tabColor rgb="FFDD0BC9"/>
  </sheetPr>
  <dimension ref="A1:BK182"/>
  <sheetViews>
    <sheetView showGridLines="0" topLeftCell="V100" zoomScale="85" zoomScaleNormal="85" workbookViewId="0">
      <selection activeCell="AG123" sqref="AG123"/>
    </sheetView>
  </sheetViews>
  <sheetFormatPr defaultColWidth="9.140625" defaultRowHeight="12.75" x14ac:dyDescent="0.2"/>
  <cols>
    <col min="1" max="5" width="11.28515625" style="12" customWidth="1"/>
    <col min="6" max="6" width="12.28515625" style="12" customWidth="1"/>
    <col min="7" max="10" width="11.28515625" style="12" customWidth="1"/>
    <col min="11" max="13" width="9.140625" style="12"/>
    <col min="14" max="14" width="14" style="12" bestFit="1" customWidth="1"/>
    <col min="15" max="16" width="9.140625" style="12"/>
    <col min="17" max="17" width="9.85546875" style="12" bestFit="1" customWidth="1"/>
    <col min="18" max="18" width="9.140625" style="12"/>
    <col min="19" max="19" width="12.42578125" style="12" bestFit="1" customWidth="1"/>
    <col min="20" max="20" width="11" style="12" customWidth="1"/>
    <col min="21" max="21" width="13.42578125" style="12" customWidth="1"/>
    <col min="22" max="22" width="14" style="12" customWidth="1"/>
    <col min="23" max="24" width="9.140625" style="12"/>
    <col min="25" max="25" width="13" style="12" customWidth="1"/>
    <col min="26" max="26" width="9.140625" style="12"/>
    <col min="27" max="27" width="12.28515625" style="12" bestFit="1" customWidth="1"/>
    <col min="28" max="28" width="10.7109375" style="12" bestFit="1" customWidth="1"/>
    <col min="29" max="30" width="9.85546875" style="12" customWidth="1"/>
    <col min="31" max="31" width="9.7109375" style="12" customWidth="1"/>
    <col min="32" max="32" width="8.85546875" style="12" customWidth="1"/>
    <col min="33" max="39" width="9.140625" style="12"/>
    <col min="40" max="40" width="10.85546875" style="12" bestFit="1" customWidth="1"/>
    <col min="41" max="42" width="9.28515625" style="12" customWidth="1"/>
    <col min="43" max="43" width="11.5703125" style="12" customWidth="1"/>
    <col min="44" max="44" width="11.7109375" style="12" customWidth="1"/>
    <col min="45" max="45" width="11.28515625" style="12" customWidth="1"/>
    <col min="46" max="46" width="9.28515625" style="12" customWidth="1"/>
    <col min="47" max="48" width="9.140625" style="12"/>
    <col min="49" max="49" width="10.7109375" style="12" bestFit="1" customWidth="1"/>
    <col min="50" max="50" width="13.85546875" style="12" customWidth="1"/>
    <col min="51" max="53" width="9.140625" style="12"/>
    <col min="54" max="55" width="9.140625" style="12" customWidth="1"/>
    <col min="56" max="16384" width="9.140625" style="12"/>
  </cols>
  <sheetData>
    <row r="1" spans="1:49" s="2618" customFormat="1" ht="37.5" customHeight="1" x14ac:dyDescent="0.4">
      <c r="A1" s="2620" t="s">
        <v>4721</v>
      </c>
      <c r="L1" s="2619"/>
      <c r="M1" s="2619"/>
      <c r="N1" s="2619"/>
      <c r="O1" s="2619"/>
      <c r="P1" s="2619"/>
      <c r="Q1" s="2619"/>
      <c r="R1" s="2619"/>
      <c r="S1" s="2619"/>
      <c r="T1" s="2619"/>
      <c r="U1" s="2619"/>
      <c r="V1" s="2619"/>
      <c r="Y1" s="2619"/>
      <c r="Z1" s="2619" t="s">
        <v>2946</v>
      </c>
      <c r="AA1" s="2619" t="s">
        <v>4697</v>
      </c>
      <c r="AB1" s="2619"/>
      <c r="AC1" s="2619"/>
      <c r="AD1" s="2619"/>
      <c r="AE1" s="2619"/>
      <c r="AF1" s="2619"/>
      <c r="AG1" s="2619"/>
      <c r="AH1" s="2619"/>
      <c r="AI1" s="2619"/>
    </row>
    <row r="3" spans="1:49" ht="15.75" x14ac:dyDescent="0.25">
      <c r="A3" s="2568" t="s">
        <v>4720</v>
      </c>
      <c r="M3" s="2568" t="s">
        <v>4719</v>
      </c>
      <c r="S3" s="29" t="str">
        <f>$G$24</f>
        <v>BAU2030</v>
      </c>
      <c r="T3" s="29" t="str">
        <f>$H$24</f>
        <v>BAU2050</v>
      </c>
      <c r="U3" s="29" t="str">
        <f>$I$24</f>
        <v>STI2030</v>
      </c>
      <c r="V3" s="29" t="str">
        <f>$J$24</f>
        <v>STI2050</v>
      </c>
      <c r="Y3" s="2568" t="s">
        <v>4718</v>
      </c>
      <c r="Z3" s="29"/>
      <c r="AA3" s="29"/>
      <c r="AB3" s="29"/>
      <c r="AC3" s="29"/>
      <c r="AD3" s="29"/>
      <c r="AE3" s="29" t="str">
        <f>$G$24</f>
        <v>BAU2030</v>
      </c>
      <c r="AF3" s="29" t="str">
        <f>$H$24</f>
        <v>BAU2050</v>
      </c>
      <c r="AG3" s="29" t="str">
        <f>$I$24</f>
        <v>STI2030</v>
      </c>
      <c r="AH3" s="29" t="str">
        <f>$J$24</f>
        <v>STI2050</v>
      </c>
      <c r="AK3" s="2568" t="s">
        <v>4717</v>
      </c>
    </row>
    <row r="4" spans="1:49" x14ac:dyDescent="0.2">
      <c r="A4" s="307" t="s">
        <v>4716</v>
      </c>
      <c r="D4" s="12" t="s">
        <v>4715</v>
      </c>
      <c r="E4" s="12" t="s">
        <v>4714</v>
      </c>
      <c r="I4" s="12" t="s">
        <v>539</v>
      </c>
      <c r="J4" s="2337" t="s">
        <v>4713</v>
      </c>
      <c r="M4" s="2344" t="s">
        <v>4565</v>
      </c>
      <c r="N4" s="2496"/>
      <c r="O4" s="2496"/>
      <c r="P4" s="2496"/>
      <c r="Q4" s="2524" t="s">
        <v>18</v>
      </c>
      <c r="R4" s="2337"/>
      <c r="S4" s="2530">
        <f>Reduktionsstiberegner!H106*100</f>
        <v>100</v>
      </c>
      <c r="T4" s="2529">
        <f>Reduktionsstiberegner!J106*100</f>
        <v>100</v>
      </c>
      <c r="U4" s="2528">
        <f>Reduktionsstiberegner!L106*100</f>
        <v>100</v>
      </c>
      <c r="V4" s="2527">
        <f>Reduktionsstiberegner!N106*100</f>
        <v>100</v>
      </c>
      <c r="Y4" s="2344" t="s">
        <v>87</v>
      </c>
      <c r="Z4" s="2496"/>
      <c r="AA4" s="2496"/>
      <c r="AB4" s="2496"/>
      <c r="AC4" s="2549"/>
      <c r="AD4" s="2549"/>
      <c r="AE4" s="2553">
        <v>6.7000000000000004E-2</v>
      </c>
      <c r="AF4" s="2552">
        <v>6.7000000000000004E-2</v>
      </c>
      <c r="AG4" s="2551">
        <v>6.7000000000000004E-2</v>
      </c>
      <c r="AH4" s="2550">
        <v>6.7000000000000004E-2</v>
      </c>
      <c r="AK4" s="307" t="s">
        <v>4712</v>
      </c>
      <c r="AQ4" s="12">
        <v>1990</v>
      </c>
      <c r="AR4" s="12">
        <v>2018</v>
      </c>
      <c r="AS4" s="12">
        <v>2020</v>
      </c>
      <c r="AT4" s="2553" t="str">
        <f>$G$24</f>
        <v>BAU2030</v>
      </c>
      <c r="AU4" s="2552" t="str">
        <f>$H$24</f>
        <v>BAU2050</v>
      </c>
      <c r="AV4" s="2551" t="str">
        <f>$I$24</f>
        <v>STI2030</v>
      </c>
      <c r="AW4" s="2550" t="str">
        <f>$J$24</f>
        <v>STI2050</v>
      </c>
    </row>
    <row r="5" spans="1:49" x14ac:dyDescent="0.2">
      <c r="A5" s="2344" t="s">
        <v>4711</v>
      </c>
      <c r="B5" s="2496"/>
      <c r="C5" s="2496"/>
      <c r="D5" s="2496" t="s">
        <v>4691</v>
      </c>
      <c r="E5" s="2496" t="s">
        <v>4707</v>
      </c>
      <c r="F5" s="2496"/>
      <c r="G5" s="2496"/>
      <c r="H5" s="2496"/>
      <c r="I5" s="2519" t="s">
        <v>581</v>
      </c>
      <c r="J5" s="2608">
        <v>994</v>
      </c>
      <c r="M5" s="2344" t="s">
        <v>4729</v>
      </c>
      <c r="N5" s="2496"/>
      <c r="O5" s="2496"/>
      <c r="P5" s="2496"/>
      <c r="Q5" s="2524" t="s">
        <v>4562</v>
      </c>
      <c r="R5" s="2337"/>
      <c r="S5" s="2530">
        <f>IFERROR('E2020'!$A$89-'E2020'!$A$89*S4%,'E2020'!$A$89)</f>
        <v>0</v>
      </c>
      <c r="T5" s="2529">
        <f>IFERROR('E2020'!$A$89-'E2020'!$A$89*T4%,'E2020'!$A$89)</f>
        <v>0</v>
      </c>
      <c r="U5" s="2528">
        <f>IFERROR('E2020'!$A$89-'E2020'!$A$89*U4%,'E2020'!$A$89)</f>
        <v>0</v>
      </c>
      <c r="V5" s="2527">
        <f>IFERROR('E2020'!$A$89-'E2020'!$A$89*V4%,'E2020'!$A$89)</f>
        <v>0</v>
      </c>
      <c r="Y5" s="2344" t="s">
        <v>580</v>
      </c>
      <c r="Z5" s="2496"/>
      <c r="AA5" s="2496"/>
      <c r="AB5" s="2496"/>
      <c r="AC5" s="2549"/>
      <c r="AD5" s="2549"/>
      <c r="AE5" s="2553">
        <v>0.107</v>
      </c>
      <c r="AF5" s="2552">
        <v>0.107</v>
      </c>
      <c r="AG5" s="2551">
        <v>0.107</v>
      </c>
      <c r="AH5" s="2550">
        <v>0.107</v>
      </c>
      <c r="AK5" s="2344" t="s">
        <v>4710</v>
      </c>
      <c r="AL5" s="2496"/>
      <c r="AM5" s="2496"/>
      <c r="AN5" s="2496"/>
      <c r="AO5" s="2496"/>
      <c r="AP5" s="2600" t="s">
        <v>79</v>
      </c>
      <c r="AQ5" s="2339">
        <f>'E1990'!$AL$11+'E1990'!$AK$14+'E1990'!$AK$15+'E1990'!$AK$16+'E1990'!$AK$17+'E1990'!$AK$18+'E1990'!$AK$19+'E1990'!$AK$20+'E1990'!$AK$21+'E1990'!$AK$22+'E1990'!$AK$43+'E1990'!$AK$51</f>
        <v>94.552774497405665</v>
      </c>
      <c r="AR5" s="2339">
        <f>'E2018'!$AL$11+'E2018'!$AK$14+'E2018'!$AK$15+'E2018'!$AK$16+'E2018'!$AK$17+'E2018'!$AK$18+'E2018'!$AK$19+'E2018'!$AK$20+'E2018'!$AK$21+'E2018'!$AK$22+'E2018'!$AK$43+'E2018'!$AK$51</f>
        <v>71.885000000000005</v>
      </c>
      <c r="AS5" s="2339">
        <f>'E2020'!$AL$11+'E2020'!$AK$14+'E2020'!$AK$15+'E2020'!$AK$16+'E2020'!$AK$17+'E2020'!$AK$18+'E2020'!$AK$19+'E2020'!$AK$20+'E2020'!$AK$21+'E2020'!$AK$22+'E2020'!$AK$43+'E2020'!$AK$51</f>
        <v>102.02806766399999</v>
      </c>
      <c r="AT5" s="2339">
        <f>EBAU2030!$AL$11+EBAU2030!$AK$14+EBAU2030!$AK$15+EBAU2030!$AK$16+EBAU2030!$AK$17+EBAU2030!$AK$18+EBAU2030!$AK$19+EBAU2030!$AK$20+EBAU2030!$AK$21+EBAU2030!$AK$22+EBAU2030!$AK$43+EBAU2030!$AK$51</f>
        <v>103.98577714532638</v>
      </c>
      <c r="AU5" s="2339">
        <f>EBAU2050!$AL$11+EBAU2050!$AK$14+EBAU2050!$AK$15+EBAU2050!$AK$16+EBAU2050!$AK$17+EBAU2050!$AK$18+EBAU2050!$AK$19+EBAU2050!$AK$20+EBAU2050!$AK$21+EBAU2050!$AK$22+EBAU2050!$AK$43+EBAU2050!$AK$51</f>
        <v>102.4338431933264</v>
      </c>
      <c r="AV5" s="2339">
        <f>ESTI2030!$AL$11+ESTI2030!$AK$14+ESTI2030!$AK$15+ESTI2030!$AK$16+ESTI2030!$AK$17+ESTI2030!$AK$18+ESTI2030!$AK$19+ESTI2030!$AK$20+ESTI2030!$AK$21+ESTI2030!$AK$22+ESTI2030!$AK$43+ESTI2030!$AK$51</f>
        <v>104.81815044105946</v>
      </c>
      <c r="AW5" s="2339">
        <f>ESTI2050!$AL$11+ESTI2050!$AK$14+ESTI2050!$AK$15+ESTI2050!$AK$16+ESTI2050!$AK$17+ESTI2050!$AK$18+ESTI2050!$AK$19+ESTI2050!$AK$20+ESTI2050!$AK$21+ESTI2050!$AK$22+ESTI2050!$AK$43+ESTI2050!$AK$51</f>
        <v>102.141571993464</v>
      </c>
    </row>
    <row r="6" spans="1:49" x14ac:dyDescent="0.2">
      <c r="A6" s="2344" t="s">
        <v>4709</v>
      </c>
      <c r="B6" s="2496"/>
      <c r="C6" s="2496"/>
      <c r="D6" s="2496" t="s">
        <v>4691</v>
      </c>
      <c r="E6" s="2496" t="s">
        <v>4707</v>
      </c>
      <c r="F6" s="2496"/>
      <c r="G6" s="2496"/>
      <c r="H6" s="2496"/>
      <c r="I6" s="2519" t="s">
        <v>581</v>
      </c>
      <c r="J6" s="2608">
        <v>620</v>
      </c>
      <c r="K6" s="33"/>
      <c r="AK6" s="2344" t="s">
        <v>4290</v>
      </c>
      <c r="AL6" s="2496"/>
      <c r="AM6" s="2496"/>
      <c r="AN6" s="2496"/>
      <c r="AO6" s="2496"/>
      <c r="AP6" s="2600" t="s">
        <v>79</v>
      </c>
      <c r="AQ6" s="2339">
        <f>'E1990'!$AH$81</f>
        <v>45.882005923947609</v>
      </c>
      <c r="AR6" s="2339">
        <f>'E2018'!$AH$81</f>
        <v>50.760061409998855</v>
      </c>
      <c r="AS6" s="2339">
        <f>'E2020'!$AH$81</f>
        <v>50.836348559381591</v>
      </c>
      <c r="AT6" s="2339">
        <f>EBAU2030!$AH$81</f>
        <v>62.17056937346716</v>
      </c>
      <c r="AU6" s="2339">
        <f>EBAU2050!$AH$81</f>
        <v>62.473193800133828</v>
      </c>
      <c r="AV6" s="2339">
        <f>ESTI2030!$AH$81</f>
        <v>92.686813883536416</v>
      </c>
      <c r="AW6" s="2339">
        <f>ESTI2050!$AH$81</f>
        <v>97.95201636798825</v>
      </c>
    </row>
    <row r="7" spans="1:49" ht="15.75" x14ac:dyDescent="0.25">
      <c r="A7" s="2344" t="s">
        <v>4708</v>
      </c>
      <c r="B7" s="2496"/>
      <c r="C7" s="2496"/>
      <c r="D7" s="2496" t="s">
        <v>4691</v>
      </c>
      <c r="E7" s="2496" t="s">
        <v>4707</v>
      </c>
      <c r="F7" s="2496"/>
      <c r="G7" s="2496"/>
      <c r="H7" s="2496"/>
      <c r="I7" s="2519" t="s">
        <v>581</v>
      </c>
      <c r="J7" s="2608">
        <v>338</v>
      </c>
      <c r="M7" s="2568" t="s">
        <v>4706</v>
      </c>
      <c r="Y7" s="2568" t="s">
        <v>4320</v>
      </c>
      <c r="AK7" s="2605" t="s">
        <v>4291</v>
      </c>
      <c r="AL7" s="2496"/>
      <c r="AM7" s="2496"/>
      <c r="AN7" s="2496"/>
      <c r="AO7" s="2496"/>
      <c r="AP7" s="2600" t="s">
        <v>79</v>
      </c>
      <c r="AQ7" s="2339">
        <f>'E1990'!$AL$8/'E1990'!$AD$8%</f>
        <v>14.081794598029639</v>
      </c>
      <c r="AR7" s="2339">
        <f>'E2018'!$AL$8/'E2018'!$AD$8%</f>
        <v>22.83019776201122</v>
      </c>
      <c r="AS7" s="2339">
        <f>'E2020'!$AL$8/'E2020'!$AD$8%</f>
        <v>25.989693136565943</v>
      </c>
      <c r="AT7" s="2339">
        <f>EBAU2030!$AL$8/EBAU2030!$AD$8%</f>
        <v>26.136631330977618</v>
      </c>
      <c r="AU7" s="2339">
        <f>EBAU2050!$AL$8/EBAU2050!$AD$8%</f>
        <v>26.136631330977618</v>
      </c>
      <c r="AV7" s="2339">
        <f>ESTI2030!$AL$8/ESTI2030!$AD$8%</f>
        <v>26.136631330977618</v>
      </c>
      <c r="AW7" s="2339">
        <f>ESTI2050!$AL$8/ESTI2050!$AD$8%</f>
        <v>26.136631330977618</v>
      </c>
    </row>
    <row r="8" spans="1:49" x14ac:dyDescent="0.2">
      <c r="A8" s="2344" t="s">
        <v>4705</v>
      </c>
      <c r="B8" s="2496"/>
      <c r="C8" s="2496"/>
      <c r="D8" s="2496" t="s">
        <v>4691</v>
      </c>
      <c r="E8" s="2496" t="s">
        <v>5140</v>
      </c>
      <c r="F8" s="2496"/>
      <c r="G8" s="2496"/>
      <c r="H8" s="2496"/>
      <c r="I8" s="2519" t="s">
        <v>582</v>
      </c>
      <c r="J8" s="2616">
        <f>18.09*1000/J6</f>
        <v>29.177419354838708</v>
      </c>
      <c r="M8" s="311" t="s">
        <v>4704</v>
      </c>
      <c r="Y8" s="307" t="s">
        <v>4703</v>
      </c>
      <c r="AE8" s="29" t="str">
        <f>$G$24</f>
        <v>BAU2030</v>
      </c>
      <c r="AF8" s="29" t="str">
        <f>$H$24</f>
        <v>BAU2050</v>
      </c>
      <c r="AG8" s="29" t="str">
        <f>$I$24</f>
        <v>STI2030</v>
      </c>
      <c r="AH8" s="29" t="str">
        <f>$J$24</f>
        <v>STI2050</v>
      </c>
      <c r="AK8" s="2605" t="s">
        <v>4292</v>
      </c>
      <c r="AL8" s="2496"/>
      <c r="AM8" s="2496"/>
      <c r="AN8" s="2496"/>
      <c r="AO8" s="2496"/>
      <c r="AP8" s="2600" t="s">
        <v>79</v>
      </c>
      <c r="AQ8" s="2339">
        <f>('E1990'!$AN$8+'E1990'!$AO$8+'E1990'!$AP$8+'E1990'!$AQ$8+'E1990'!$AR$8+'E1990'!$AS$8)/'E1990'!$AD$8%</f>
        <v>16.236235523655342</v>
      </c>
      <c r="AR8" s="2339">
        <f>('E2018'!$AN$8+'E2018'!$AO$8+'E2018'!$AP$8+'E2018'!$AQ$8+'E2018'!$AR$8+'E2018'!$AS$8)/'E2018'!$AD$8%</f>
        <v>17.980379898150453</v>
      </c>
      <c r="AS8" s="2339">
        <f>('E2020'!$AN$8+'E2020'!$AO$8+'E2020'!$AP$8+'E2020'!$AQ$8+'E2020'!$AR$8+'E2020'!$AS$8)/'E2020'!$AD$8%</f>
        <v>14.909814944951981</v>
      </c>
      <c r="AT8" s="2339">
        <f>(EBAU2030!$AN$8+EBAU2030!$AO$8+EBAU2030!$AP$8+EBAU2030!$AQ$8+EBAU2030!$AR$8+EBAU2030!$AS$8)/EBAU2030!$AD$8%</f>
        <v>14.994110718492342</v>
      </c>
      <c r="AU8" s="2339">
        <f>(EBAU2050!$AN$8+EBAU2050!$AO$8+EBAU2050!$AP$8+EBAU2050!$AQ$8+EBAU2050!$AR$8+EBAU2050!$AS$8)/EBAU2050!$AD$8%</f>
        <v>14.994110718492342</v>
      </c>
      <c r="AV8" s="2339">
        <f>(ESTI2030!$AN$8+ESTI2030!$AO$8+ESTI2030!$AP$8+ESTI2030!$AQ$8+ESTI2030!$AR$8+ESTI2030!$AS$8)/ESTI2030!$AD$8%</f>
        <v>14.994110718492342</v>
      </c>
      <c r="AW8" s="2339">
        <f>(ESTI2050!$AN$8+ESTI2050!$AO$8+ESTI2050!$AP$8+ESTI2050!$AQ$8+ESTI2050!$AR$8+ESTI2050!$AS$8)/ESTI2050!$AD$8%</f>
        <v>14.994110718492342</v>
      </c>
    </row>
    <row r="9" spans="1:49" x14ac:dyDescent="0.2">
      <c r="A9" s="2344" t="s">
        <v>5141</v>
      </c>
      <c r="B9" s="2496"/>
      <c r="C9" s="2496"/>
      <c r="D9" s="2496" t="s">
        <v>4691</v>
      </c>
      <c r="E9" s="2496" t="s">
        <v>5140</v>
      </c>
      <c r="F9" s="2496"/>
      <c r="G9" s="2496"/>
      <c r="H9" s="2496"/>
      <c r="I9" s="2519" t="s">
        <v>582</v>
      </c>
      <c r="J9" s="2616">
        <f>15.35*1000/J7</f>
        <v>45.414201183431956</v>
      </c>
      <c r="M9" s="2344" t="s">
        <v>4702</v>
      </c>
      <c r="N9" s="2496"/>
      <c r="O9" s="2496"/>
      <c r="P9" s="2496"/>
      <c r="Q9" s="2617" t="s">
        <v>157</v>
      </c>
      <c r="R9" s="2519"/>
      <c r="S9" s="2346">
        <f>'E2020'!$M$24</f>
        <v>0.78</v>
      </c>
      <c r="T9" s="2339">
        <f>'E2020'!$M$24</f>
        <v>0.78</v>
      </c>
      <c r="U9" s="2346">
        <f>'E2020'!$M$24</f>
        <v>0.78</v>
      </c>
      <c r="V9" s="2339">
        <f>'E2020'!$M$24</f>
        <v>0.78</v>
      </c>
      <c r="Y9" s="2344" t="s">
        <v>4701</v>
      </c>
      <c r="Z9" s="2496"/>
      <c r="AA9" s="2496"/>
      <c r="AB9" s="2496"/>
      <c r="AC9" s="2549" t="s">
        <v>581</v>
      </c>
      <c r="AD9" s="2505"/>
      <c r="AE9" s="2572">
        <f>+$J$5</f>
        <v>994</v>
      </c>
      <c r="AF9" s="2572">
        <f>+$J$5</f>
        <v>994</v>
      </c>
      <c r="AG9" s="2572">
        <f>+$J$5</f>
        <v>994</v>
      </c>
      <c r="AH9" s="2572">
        <f>+$J$5</f>
        <v>994</v>
      </c>
      <c r="AK9" s="2605" t="s">
        <v>4293</v>
      </c>
      <c r="AL9" s="2496"/>
      <c r="AM9" s="2496"/>
      <c r="AN9" s="2496"/>
      <c r="AO9" s="2496"/>
      <c r="AP9" s="2600" t="s">
        <v>79</v>
      </c>
      <c r="AQ9" s="2339">
        <f>'E1990'!$AH$11</f>
        <v>0</v>
      </c>
      <c r="AR9" s="2339">
        <f>'E2018'!$AH$11</f>
        <v>0.54999999999999993</v>
      </c>
      <c r="AS9" s="2339">
        <f>'E2020'!$AH$11</f>
        <v>0.56000000000000005</v>
      </c>
      <c r="AT9" s="2339">
        <f>EBAU2030!$AH$11</f>
        <v>5.6065275733333335</v>
      </c>
      <c r="AU9" s="2339">
        <f>EBAU2050!$AH$11</f>
        <v>5.9091520000000015</v>
      </c>
      <c r="AV9" s="2339">
        <f>ESTI2030!$AH$11</f>
        <v>7.4061440000000012</v>
      </c>
      <c r="AW9" s="2339">
        <f>ESTI2050!$AH$11</f>
        <v>8.0002666666666684</v>
      </c>
    </row>
    <row r="10" spans="1:49" x14ac:dyDescent="0.2">
      <c r="A10" s="2344" t="s">
        <v>5142</v>
      </c>
      <c r="B10" s="2496"/>
      <c r="C10" s="2496"/>
      <c r="D10" s="2496" t="s">
        <v>4691</v>
      </c>
      <c r="E10" s="2496" t="s">
        <v>4707</v>
      </c>
      <c r="F10" s="2496"/>
      <c r="G10" s="2496"/>
      <c r="H10" s="2496"/>
      <c r="I10" s="2519" t="s">
        <v>581</v>
      </c>
      <c r="J10" s="2616">
        <v>33</v>
      </c>
      <c r="M10" s="2344" t="s">
        <v>4700</v>
      </c>
      <c r="N10" s="2496"/>
      <c r="O10" s="2496"/>
      <c r="P10" s="2496"/>
      <c r="Q10" s="2617" t="s">
        <v>157</v>
      </c>
      <c r="R10" s="2519"/>
      <c r="S10" s="2339">
        <f>$J$17</f>
        <v>0</v>
      </c>
      <c r="T10" s="2339">
        <f>$J$18</f>
        <v>0</v>
      </c>
      <c r="U10" s="2339">
        <f>$J$17</f>
        <v>0</v>
      </c>
      <c r="V10" s="2339">
        <f>$J$18</f>
        <v>0</v>
      </c>
      <c r="Y10" s="2344" t="s">
        <v>4699</v>
      </c>
      <c r="Z10" s="2496"/>
      <c r="AA10" s="2496"/>
      <c r="AB10" s="2496"/>
      <c r="AC10" s="2549" t="s">
        <v>581</v>
      </c>
      <c r="AD10" s="2505"/>
      <c r="AE10" s="2572">
        <f>ROUND(AE9*(1+G37),0)</f>
        <v>994</v>
      </c>
      <c r="AF10" s="2572">
        <f>ROUND(AF9*(1+H37),0)</f>
        <v>994</v>
      </c>
      <c r="AG10" s="2572">
        <f>ROUND(AG9*(1+I37),0)</f>
        <v>994</v>
      </c>
      <c r="AH10" s="2572">
        <f>ROUND(AH9*(1+J37),0)</f>
        <v>994</v>
      </c>
      <c r="AK10" s="2605" t="s">
        <v>4294</v>
      </c>
      <c r="AL10" s="2496"/>
      <c r="AM10" s="2496"/>
      <c r="AN10" s="2496"/>
      <c r="AO10" s="2496"/>
      <c r="AP10" s="2600" t="s">
        <v>79</v>
      </c>
      <c r="AQ10" s="2339">
        <f>'E1990'!$AH$39+'E1990'!$AH$40+'E1990'!$AH$46+'E1990'!$AH$47</f>
        <v>0</v>
      </c>
      <c r="AR10" s="2339">
        <f>'E2018'!$AH$39+'E2018'!$AH$40+'E2018'!$AH$46+'E2018'!$AH$47</f>
        <v>0</v>
      </c>
      <c r="AS10" s="2339">
        <f>'E2020'!$AH$39+'E2020'!$AH$40+'E2020'!$AH$46+'E2020'!$AH$47</f>
        <v>0</v>
      </c>
      <c r="AT10" s="2339">
        <f>EBAU2030!$AH$39+EBAU2030!$AH$40+EBAU2030!$AH$46+EBAU2030!$AH$47</f>
        <v>0</v>
      </c>
      <c r="AU10" s="2339">
        <f>EBAU2050!$AH$39+EBAU2050!$AH$40+EBAU2050!$AH$46+EBAU2050!$AH$47</f>
        <v>0</v>
      </c>
      <c r="AV10" s="2339">
        <f>ESTI2030!$AH$39+ESTI2030!$AH$40+ESTI2030!$AH$46+ESTI2030!$AH$47</f>
        <v>0</v>
      </c>
      <c r="AW10" s="2339">
        <f>ESTI2050!$AH$39+ESTI2050!$AH$40+ESTI2050!$AH$46+ESTI2050!$AH$47</f>
        <v>0</v>
      </c>
    </row>
    <row r="11" spans="1:49" x14ac:dyDescent="0.2">
      <c r="A11" s="2344" t="s">
        <v>5144</v>
      </c>
      <c r="B11" s="2496"/>
      <c r="C11" s="2496"/>
      <c r="D11" s="2496" t="s">
        <v>4691</v>
      </c>
      <c r="E11" s="2496" t="s">
        <v>5143</v>
      </c>
      <c r="F11" s="2496"/>
      <c r="G11" s="2496"/>
      <c r="H11" s="2496"/>
      <c r="I11" s="2519" t="s">
        <v>582</v>
      </c>
      <c r="J11" s="2616">
        <f>31*1000/J10</f>
        <v>939.39393939393938</v>
      </c>
      <c r="M11" s="2521" t="s">
        <v>4698</v>
      </c>
      <c r="N11" s="2496"/>
      <c r="O11" s="2496"/>
      <c r="P11" s="2496"/>
      <c r="Q11" s="2617"/>
      <c r="R11" s="2519"/>
      <c r="S11" s="2530" t="s">
        <v>4697</v>
      </c>
      <c r="T11" s="2529" t="s">
        <v>4697</v>
      </c>
      <c r="U11" s="2528" t="s">
        <v>4697</v>
      </c>
      <c r="V11" s="2527" t="s">
        <v>4697</v>
      </c>
      <c r="Y11" s="2615" t="s">
        <v>4696</v>
      </c>
      <c r="Z11" s="2614"/>
      <c r="AA11" s="2614"/>
      <c r="AB11" s="2614"/>
      <c r="AC11" s="2613" t="s">
        <v>581</v>
      </c>
      <c r="AD11" s="2505"/>
      <c r="AE11" s="2572">
        <f>$J$6</f>
        <v>620</v>
      </c>
      <c r="AF11" s="2572">
        <f>$J$6</f>
        <v>620</v>
      </c>
      <c r="AG11" s="2572">
        <f>$J$6</f>
        <v>620</v>
      </c>
      <c r="AH11" s="2572">
        <f>$J$6</f>
        <v>620</v>
      </c>
      <c r="AK11" s="2605" t="s">
        <v>4295</v>
      </c>
      <c r="AL11" s="2496"/>
      <c r="AM11" s="2496"/>
      <c r="AN11" s="2496"/>
      <c r="AO11" s="2496"/>
      <c r="AP11" s="2600" t="s">
        <v>79</v>
      </c>
      <c r="AQ11" s="2339">
        <f>SUM('E1990'!$AH$61:$AH$80)</f>
        <v>0</v>
      </c>
      <c r="AR11" s="2339">
        <f>SUM('E2018'!$AH$61:$AH$80)</f>
        <v>0.12122599704579025</v>
      </c>
      <c r="AS11" s="2339">
        <f>SUM('E2020'!$AH$61:$AH$80)</f>
        <v>0.218</v>
      </c>
      <c r="AT11" s="2339">
        <f>SUM(EBAU2030!$AH$61:$AH$80)</f>
        <v>6.2543951570242822</v>
      </c>
      <c r="AU11" s="2339">
        <f>SUM(EBAU2050!$AH$61:$AH$80)</f>
        <v>6.2543951570242822</v>
      </c>
      <c r="AV11" s="2339">
        <f>SUM(ESTI2030!$AH$61:$AH$80)</f>
        <v>34.971023240426888</v>
      </c>
      <c r="AW11" s="2339">
        <f>SUM(ESTI2050!$AH$61:$AH$80)</f>
        <v>39.642103058212058</v>
      </c>
    </row>
    <row r="12" spans="1:49" x14ac:dyDescent="0.2">
      <c r="A12" s="2344" t="s">
        <v>4695</v>
      </c>
      <c r="B12" s="2496"/>
      <c r="C12" s="2496"/>
      <c r="D12" s="2496" t="s">
        <v>4691</v>
      </c>
      <c r="E12" s="2496" t="s">
        <v>4694</v>
      </c>
      <c r="F12" s="2496"/>
      <c r="G12" s="2496"/>
      <c r="H12" s="2496"/>
      <c r="I12" s="2519" t="s">
        <v>581</v>
      </c>
      <c r="J12" s="2616">
        <v>5</v>
      </c>
      <c r="M12" s="2344" t="s">
        <v>626</v>
      </c>
      <c r="N12" s="2496"/>
      <c r="O12" s="2496"/>
      <c r="P12" s="2496"/>
      <c r="Q12" s="2617" t="s">
        <v>157</v>
      </c>
      <c r="R12" s="2519"/>
      <c r="S12" s="2523">
        <f>IF(S11="Ja",S9,S10)</f>
        <v>0</v>
      </c>
      <c r="T12" s="2523">
        <f>IF(T11="Ja",T9,T10)</f>
        <v>0</v>
      </c>
      <c r="U12" s="2523">
        <f>IF(U11="Ja",U9,U10)</f>
        <v>0</v>
      </c>
      <c r="V12" s="2523">
        <f>IF(V11="Ja",V9,V10)</f>
        <v>0</v>
      </c>
      <c r="Y12" s="2545" t="s">
        <v>4693</v>
      </c>
      <c r="Z12" s="2544"/>
      <c r="AA12" s="2544"/>
      <c r="AB12" s="2544"/>
      <c r="AC12" s="2612" t="s">
        <v>581</v>
      </c>
      <c r="AD12" s="2505"/>
      <c r="AE12" s="2572">
        <f>$J$7</f>
        <v>338</v>
      </c>
      <c r="AF12" s="2572">
        <f>$J$7</f>
        <v>338</v>
      </c>
      <c r="AG12" s="2572">
        <f>$J$7</f>
        <v>338</v>
      </c>
      <c r="AH12" s="2572">
        <f>$J$7</f>
        <v>338</v>
      </c>
      <c r="AK12" s="2605" t="s">
        <v>4692</v>
      </c>
      <c r="AL12" s="2496"/>
      <c r="AM12" s="2496"/>
      <c r="AN12" s="2496"/>
      <c r="AO12" s="2496"/>
      <c r="AP12" s="2600" t="s">
        <v>79</v>
      </c>
      <c r="AQ12" s="2339">
        <f>'E1990'!$AH$57+'E1990'!$AH$58+'E1990'!$AH$59</f>
        <v>0</v>
      </c>
      <c r="AR12" s="2339">
        <f>'E2018'!$AH$57+'E2018'!$AH$58+'E2018'!$AH$59</f>
        <v>0</v>
      </c>
      <c r="AS12" s="2339">
        <f>'E2020'!$AH$57+'E2020'!$AH$58+'E2020'!$AH$59</f>
        <v>0</v>
      </c>
      <c r="AT12" s="2339">
        <f>EBAU2030!$AH$57+EBAU2030!$AH$58+EBAU2030!$AH$59</f>
        <v>0</v>
      </c>
      <c r="AU12" s="2339">
        <f>EBAU2050!$AH$57+EBAU2050!$AH$58+EBAU2050!$AH$59</f>
        <v>0</v>
      </c>
      <c r="AV12" s="2339">
        <f>ESTI2030!$AH$57+ESTI2030!$AH$58+ESTI2030!$AH$59</f>
        <v>0</v>
      </c>
      <c r="AW12" s="2339">
        <f>ESTI2050!$AH$57+ESTI2050!$AH$58+ESTI2050!$AH$59</f>
        <v>0</v>
      </c>
    </row>
    <row r="13" spans="1:49" x14ac:dyDescent="0.2">
      <c r="A13" s="2344" t="s">
        <v>5145</v>
      </c>
      <c r="D13" s="2496" t="s">
        <v>4691</v>
      </c>
      <c r="E13" s="2496" t="s">
        <v>5143</v>
      </c>
      <c r="I13" s="2519" t="s">
        <v>582</v>
      </c>
      <c r="J13" s="2616">
        <f>1.45*1000/J12</f>
        <v>290</v>
      </c>
      <c r="Y13" s="2615" t="s">
        <v>4690</v>
      </c>
      <c r="Z13" s="2614"/>
      <c r="AA13" s="2614"/>
      <c r="AB13" s="2614"/>
      <c r="AC13" s="2613"/>
      <c r="AD13" s="2505"/>
      <c r="AE13" s="2611">
        <f t="shared" ref="AE13:AG14" si="0">AE11/(AE$11+AE$12)</f>
        <v>0.64718162839248439</v>
      </c>
      <c r="AF13" s="2611">
        <f t="shared" si="0"/>
        <v>0.64718162839248439</v>
      </c>
      <c r="AG13" s="2611">
        <f t="shared" si="0"/>
        <v>0.64718162839248439</v>
      </c>
      <c r="AH13" s="2611">
        <v>0.65</v>
      </c>
      <c r="AK13" s="2605" t="s">
        <v>4689</v>
      </c>
      <c r="AL13" s="2496"/>
      <c r="AM13" s="2496"/>
      <c r="AN13" s="2496"/>
      <c r="AO13" s="2496"/>
      <c r="AP13" s="2600" t="s">
        <v>79</v>
      </c>
      <c r="AQ13" s="2339">
        <f t="shared" ref="AQ13:AW13" si="1">AQ6-SUM(AQ7:AQ12)</f>
        <v>15.563975802262629</v>
      </c>
      <c r="AR13" s="2339">
        <f t="shared" si="1"/>
        <v>9.2782577527913972</v>
      </c>
      <c r="AS13" s="2339">
        <f t="shared" si="1"/>
        <v>9.158840477863663</v>
      </c>
      <c r="AT13" s="2339">
        <f t="shared" si="1"/>
        <v>9.1789045936395866</v>
      </c>
      <c r="AU13" s="2339">
        <f t="shared" si="1"/>
        <v>9.1789045936395866</v>
      </c>
      <c r="AV13" s="2339">
        <f t="shared" si="1"/>
        <v>9.1789045936395723</v>
      </c>
      <c r="AW13" s="2339">
        <f t="shared" si="1"/>
        <v>9.1789045936395723</v>
      </c>
    </row>
    <row r="14" spans="1:49" x14ac:dyDescent="0.2">
      <c r="A14" s="2344" t="s">
        <v>4496</v>
      </c>
      <c r="B14" s="2496"/>
      <c r="C14" s="2496"/>
      <c r="D14" s="2496" t="s">
        <v>4688</v>
      </c>
      <c r="E14" s="2496" t="s">
        <v>4687</v>
      </c>
      <c r="F14" s="2496"/>
      <c r="G14" s="2496"/>
      <c r="H14" s="2496"/>
      <c r="I14" s="2519" t="s">
        <v>4473</v>
      </c>
      <c r="J14" s="2608">
        <f>Reduktionsstiberegner!F100</f>
        <v>6967.5361462067322</v>
      </c>
      <c r="M14" s="307" t="s">
        <v>4686</v>
      </c>
      <c r="Q14" s="12" t="s">
        <v>4646</v>
      </c>
      <c r="Y14" s="2545" t="s">
        <v>4685</v>
      </c>
      <c r="Z14" s="2544"/>
      <c r="AA14" s="2544"/>
      <c r="AB14" s="2544"/>
      <c r="AC14" s="2612"/>
      <c r="AD14" s="2486"/>
      <c r="AE14" s="2611">
        <f t="shared" si="0"/>
        <v>0.35281837160751567</v>
      </c>
      <c r="AF14" s="2611">
        <f t="shared" si="0"/>
        <v>0.35281837160751567</v>
      </c>
      <c r="AG14" s="2611">
        <f t="shared" si="0"/>
        <v>0.35281837160751567</v>
      </c>
      <c r="AH14" s="2611">
        <v>0.35</v>
      </c>
    </row>
    <row r="15" spans="1:49" x14ac:dyDescent="0.2">
      <c r="A15" s="2344" t="s">
        <v>4684</v>
      </c>
      <c r="B15" s="2496"/>
      <c r="C15" s="2496"/>
      <c r="D15" s="2496" t="s">
        <v>4683</v>
      </c>
      <c r="E15" s="2496" t="s">
        <v>4682</v>
      </c>
      <c r="F15" s="2496"/>
      <c r="G15" s="2496"/>
      <c r="H15" s="2496"/>
      <c r="I15" s="2519" t="s">
        <v>581</v>
      </c>
      <c r="J15" s="3232">
        <v>0</v>
      </c>
      <c r="M15" s="2514" t="s">
        <v>4681</v>
      </c>
      <c r="N15" s="2496"/>
      <c r="O15" s="2496"/>
      <c r="P15" s="2519"/>
      <c r="Q15" s="2498">
        <f>(2.3*3000*3.6/1000)</f>
        <v>24.839999999999996</v>
      </c>
      <c r="R15" s="2600" t="s">
        <v>581</v>
      </c>
      <c r="S15" s="2530"/>
      <c r="T15" s="2529"/>
      <c r="U15" s="2528"/>
      <c r="V15" s="2527"/>
      <c r="Y15" s="307" t="s">
        <v>4680</v>
      </c>
      <c r="AK15" s="2610" t="s">
        <v>4671</v>
      </c>
      <c r="AL15" s="2496"/>
      <c r="AM15" s="2496"/>
      <c r="AN15" s="2496"/>
      <c r="AO15" s="2496"/>
      <c r="AP15" s="2600" t="s">
        <v>79</v>
      </c>
      <c r="AQ15" s="2339"/>
      <c r="AR15" s="2339"/>
      <c r="AS15" s="2339"/>
      <c r="AT15" s="2339">
        <f>AT6-$AS6</f>
        <v>11.334220814085569</v>
      </c>
      <c r="AU15" s="2339">
        <f>AU6-$AS6</f>
        <v>11.636845240752237</v>
      </c>
      <c r="AV15" s="2339">
        <f>AV6-$AS6</f>
        <v>41.850465324154825</v>
      </c>
      <c r="AW15" s="2339">
        <f>AW6-$AS6</f>
        <v>47.115667808606659</v>
      </c>
    </row>
    <row r="16" spans="1:49" x14ac:dyDescent="0.2">
      <c r="A16" s="2344" t="s">
        <v>4679</v>
      </c>
      <c r="B16" s="2496"/>
      <c r="C16" s="2496"/>
      <c r="D16" s="2496" t="s">
        <v>4678</v>
      </c>
      <c r="E16" s="2496" t="s">
        <v>4677</v>
      </c>
      <c r="F16" s="2496"/>
      <c r="G16" s="2496"/>
      <c r="H16" s="2496"/>
      <c r="I16" s="2519" t="s">
        <v>581</v>
      </c>
      <c r="J16" s="2608">
        <v>393</v>
      </c>
      <c r="M16" s="2514" t="s">
        <v>4676</v>
      </c>
      <c r="N16" s="2496"/>
      <c r="O16" s="2496"/>
      <c r="P16" s="2519"/>
      <c r="Q16" s="2498">
        <f>(3.5*3000*3.6/1000)</f>
        <v>37.799999999999997</v>
      </c>
      <c r="R16" s="2600" t="s">
        <v>581</v>
      </c>
      <c r="S16" s="2530"/>
      <c r="T16" s="2529"/>
      <c r="U16" s="2528"/>
      <c r="V16" s="2527"/>
      <c r="Y16" s="2567" t="s">
        <v>4675</v>
      </c>
      <c r="Z16" s="2547"/>
      <c r="AA16" s="2547"/>
      <c r="AB16" s="2547"/>
      <c r="AC16" s="2571"/>
      <c r="AD16" s="2505"/>
      <c r="AE16" s="2553">
        <f>Reduktionsstiberegner!H73</f>
        <v>0.22</v>
      </c>
      <c r="AF16" s="2552">
        <f>Reduktionsstiberegner!J73</f>
        <v>0.42</v>
      </c>
      <c r="AG16" s="2551">
        <f>Reduktionsstiberegner!L73</f>
        <v>0.7</v>
      </c>
      <c r="AH16" s="2550">
        <f>Reduktionsstiberegner!N73</f>
        <v>0.93</v>
      </c>
      <c r="AK16" s="2610" t="s">
        <v>4671</v>
      </c>
      <c r="AL16" s="2496"/>
      <c r="AM16" s="2496"/>
      <c r="AN16" s="2496"/>
      <c r="AO16" s="2496"/>
      <c r="AP16" s="2600" t="s">
        <v>4674</v>
      </c>
      <c r="AQ16" s="2339"/>
      <c r="AR16" s="2339"/>
      <c r="AS16" s="2339"/>
      <c r="AT16" s="2339">
        <f>AT15/3.6</f>
        <v>3.1483946705793247</v>
      </c>
      <c r="AU16" s="2339">
        <f>AU15/3.6</f>
        <v>3.2324570113200659</v>
      </c>
      <c r="AV16" s="2339">
        <f>AV15/3.6</f>
        <v>11.625129256709673</v>
      </c>
      <c r="AW16" s="2339">
        <f>AW15/3.6</f>
        <v>13.087685502390737</v>
      </c>
    </row>
    <row r="17" spans="1:63" x14ac:dyDescent="0.2">
      <c r="A17" s="2344" t="s">
        <v>4673</v>
      </c>
      <c r="B17" s="2496"/>
      <c r="C17" s="2496"/>
      <c r="D17" s="2496" t="s">
        <v>4668</v>
      </c>
      <c r="E17" s="2496" t="s">
        <v>4667</v>
      </c>
      <c r="F17" s="2496"/>
      <c r="G17" s="2496"/>
      <c r="H17" s="2496"/>
      <c r="I17" s="2519" t="s">
        <v>157</v>
      </c>
      <c r="J17" s="2608"/>
      <c r="M17" s="2514" t="s">
        <v>4672</v>
      </c>
      <c r="N17" s="2496"/>
      <c r="O17" s="2496"/>
      <c r="P17" s="2519"/>
      <c r="Q17" s="2498">
        <f>(3.5*3400*3.6/1000)</f>
        <v>42.84</v>
      </c>
      <c r="R17" s="2600" t="s">
        <v>581</v>
      </c>
      <c r="S17" s="2530"/>
      <c r="T17" s="2529"/>
      <c r="U17" s="2528"/>
      <c r="V17" s="2527"/>
      <c r="Y17" s="2567" t="s">
        <v>4650</v>
      </c>
      <c r="Z17" s="2547"/>
      <c r="AA17" s="2547"/>
      <c r="AB17" s="2547"/>
      <c r="AC17" s="2571" t="s">
        <v>4649</v>
      </c>
      <c r="AD17" s="2505"/>
      <c r="AE17" s="2530">
        <v>16800</v>
      </c>
      <c r="AF17" s="2529">
        <v>16800</v>
      </c>
      <c r="AG17" s="2528">
        <v>16800</v>
      </c>
      <c r="AH17" s="2527">
        <v>16800</v>
      </c>
      <c r="AK17" s="2610" t="s">
        <v>4671</v>
      </c>
      <c r="AL17" s="2496"/>
      <c r="AM17" s="2496"/>
      <c r="AN17" s="2496"/>
      <c r="AO17" s="2496"/>
      <c r="AP17" s="2600" t="s">
        <v>4670</v>
      </c>
      <c r="AQ17" s="2339"/>
      <c r="AR17" s="2339"/>
      <c r="AS17" s="2339"/>
      <c r="AT17" s="2339" t="e">
        <f>MROUND(AT16/0.0033,-100)</f>
        <v>#NUM!</v>
      </c>
      <c r="AU17" s="2339" t="e">
        <f>MROUND(AU16/0.0033,-100)</f>
        <v>#NUM!</v>
      </c>
      <c r="AV17" s="2339">
        <f>MROUND(AV16/0.0033,100)</f>
        <v>3500</v>
      </c>
      <c r="AW17" s="2339">
        <f>MROUND(AW16/0.0033,100)</f>
        <v>4000</v>
      </c>
      <c r="AX17" s="2492"/>
    </row>
    <row r="18" spans="1:63" x14ac:dyDescent="0.2">
      <c r="A18" s="2344" t="s">
        <v>4669</v>
      </c>
      <c r="B18" s="2496"/>
      <c r="C18" s="2496"/>
      <c r="D18" s="2496" t="s">
        <v>4668</v>
      </c>
      <c r="E18" s="2496" t="s">
        <v>4667</v>
      </c>
      <c r="F18" s="2496"/>
      <c r="G18" s="2496"/>
      <c r="H18" s="2496"/>
      <c r="I18" s="2519" t="s">
        <v>157</v>
      </c>
      <c r="J18" s="2608"/>
      <c r="M18" s="2514" t="s">
        <v>4666</v>
      </c>
      <c r="N18" s="2496"/>
      <c r="O18" s="2496"/>
      <c r="P18" s="2519"/>
      <c r="Q18" s="2498">
        <f>(4.2*3000*3.6/1000)</f>
        <v>45.36</v>
      </c>
      <c r="R18" s="2600" t="s">
        <v>581</v>
      </c>
      <c r="S18" s="2530">
        <f>Reduktionsstiberegner!I107</f>
        <v>0</v>
      </c>
      <c r="T18" s="2529">
        <f>Reduktionsstiberegner!K107</f>
        <v>0</v>
      </c>
      <c r="U18" s="2528">
        <f>Reduktionsstiberegner!M107</f>
        <v>0</v>
      </c>
      <c r="V18" s="2527">
        <f>Reduktionsstiberegner!M107</f>
        <v>0</v>
      </c>
      <c r="Y18" s="2567" t="s">
        <v>4665</v>
      </c>
      <c r="Z18" s="2547"/>
      <c r="AA18" s="2547"/>
      <c r="AB18" s="2547"/>
      <c r="AC18" s="2571" t="s">
        <v>4641</v>
      </c>
      <c r="AD18" s="2505"/>
      <c r="AE18" s="2518">
        <v>7.4</v>
      </c>
      <c r="AF18" s="2517">
        <f>AE18*(1+10%)</f>
        <v>8.14</v>
      </c>
      <c r="AG18" s="2516">
        <v>7.4</v>
      </c>
      <c r="AH18" s="2515">
        <f>AG18*(1+10%)</f>
        <v>8.14</v>
      </c>
    </row>
    <row r="19" spans="1:63" x14ac:dyDescent="0.2">
      <c r="A19" s="2344" t="s">
        <v>4664</v>
      </c>
      <c r="B19" s="2496"/>
      <c r="C19" s="2496"/>
      <c r="D19" s="2496" t="s">
        <v>4663</v>
      </c>
      <c r="E19" s="2496" t="s">
        <v>4662</v>
      </c>
      <c r="F19" s="2496"/>
      <c r="G19" s="2496"/>
      <c r="H19" s="2496"/>
      <c r="I19" s="2519" t="s">
        <v>18</v>
      </c>
      <c r="J19" s="3233">
        <v>0.25</v>
      </c>
      <c r="M19" s="2514" t="s">
        <v>4661</v>
      </c>
      <c r="N19" s="2496"/>
      <c r="O19" s="2496"/>
      <c r="P19" s="2519"/>
      <c r="Q19" s="2498">
        <f>(4.2*3700*3.6/1000)</f>
        <v>55.944000000000003</v>
      </c>
      <c r="R19" s="2600" t="s">
        <v>581</v>
      </c>
      <c r="S19" s="2530"/>
      <c r="T19" s="2529"/>
      <c r="U19" s="2528"/>
      <c r="V19" s="2527"/>
      <c r="Y19" s="2344" t="s">
        <v>4660</v>
      </c>
      <c r="Z19" s="2496"/>
      <c r="AA19" s="2496"/>
      <c r="AB19" s="2496"/>
      <c r="AC19" s="2549" t="s">
        <v>582</v>
      </c>
      <c r="AD19" s="2519"/>
      <c r="AE19" s="2596">
        <f>AE17/AE18*3.6/1000</f>
        <v>8.172972972972973</v>
      </c>
      <c r="AF19" s="2609">
        <f>AF17/AF18*3.6/1000</f>
        <v>7.4299754299754301</v>
      </c>
      <c r="AG19" s="2596">
        <f>AG17/AG18*3.6/1000</f>
        <v>8.172972972972973</v>
      </c>
      <c r="AH19" s="2609">
        <f>AH17/AH18*3.6/1000</f>
        <v>7.4299754299754301</v>
      </c>
      <c r="AK19" s="307" t="s">
        <v>4659</v>
      </c>
    </row>
    <row r="20" spans="1:63" x14ac:dyDescent="0.2">
      <c r="A20" s="2344" t="s">
        <v>4730</v>
      </c>
      <c r="B20" s="2496"/>
      <c r="C20" s="2496"/>
      <c r="D20" s="2496" t="s">
        <v>4658</v>
      </c>
      <c r="E20" s="2496" t="s">
        <v>4657</v>
      </c>
      <c r="F20" s="2496"/>
      <c r="G20" s="2496"/>
      <c r="H20" s="2496"/>
      <c r="I20" s="2519" t="s">
        <v>4473</v>
      </c>
      <c r="J20" s="2608"/>
      <c r="M20" s="2607" t="s">
        <v>4656</v>
      </c>
      <c r="N20" s="2496"/>
      <c r="O20" s="2496"/>
      <c r="P20" s="2519"/>
      <c r="Q20" s="2339"/>
      <c r="R20" s="2600" t="s">
        <v>581</v>
      </c>
      <c r="S20" s="2339">
        <f>SUM(S15:S18)</f>
        <v>0</v>
      </c>
      <c r="T20" s="2339">
        <f>SUM(T15:T18)</f>
        <v>0</v>
      </c>
      <c r="U20" s="2339">
        <f>SUM(U15:U18)</f>
        <v>0</v>
      </c>
      <c r="V20" s="2339">
        <f>SUM(V15:V18)</f>
        <v>0</v>
      </c>
      <c r="Y20" s="307" t="s">
        <v>4655</v>
      </c>
      <c r="AE20" s="29"/>
      <c r="AF20" s="29"/>
      <c r="AG20" s="29"/>
      <c r="AH20" s="29"/>
      <c r="AK20" s="2344" t="s">
        <v>4654</v>
      </c>
      <c r="AL20" s="2496"/>
      <c r="AM20" s="2496"/>
      <c r="AN20" s="2496"/>
      <c r="AO20" s="2496"/>
      <c r="AP20" s="2600" t="s">
        <v>79</v>
      </c>
      <c r="AQ20" s="2339">
        <f>SUM('E1990'!$AG$23:$AG$29,'E1990'!$AG$34,'E1990'!$AG$37,'E1990'!$AG$44,'E1990'!$AG$52)</f>
        <v>1.7762934375000001</v>
      </c>
      <c r="AR20" s="2339">
        <f>SUM('E2018'!$AG$23:$AG$29,'E2018'!$AG$34,'E2018'!$AG$37,'E2018'!$AG$44,'E2018'!$AG$52)</f>
        <v>18.64</v>
      </c>
      <c r="AS20" s="2339">
        <f>SUM('E2020'!$AG$23:$AG$29,'E2020'!$AG$34,'E2020'!$AG$37,'E2020'!$AG$44,'E2020'!$AG$52)</f>
        <v>26.94</v>
      </c>
      <c r="AT20" s="2339">
        <f>SUM(EBAU2030!$AG$23:$AG$29,EBAU2030!$AG$34,EBAU2030!$AG$37,EBAU2030!$AG$44,EBAU2030!$AG$52)</f>
        <v>26.16</v>
      </c>
      <c r="AU20" s="2339">
        <f>SUM(EBAU2050!$AG$23:$AG$29,EBAU2050!$AG$34,EBAU2050!$AG$37,EBAU2050!$AG$44,EBAU2050!$AG$52)</f>
        <v>26.16</v>
      </c>
      <c r="AV20" s="2339">
        <f>SUM(ESTI2030!$AG$23:$AG$29,ESTI2030!$AG$34,ESTI2030!$AG$37,ESTI2030!$AG$44,ESTI2030!$AG$52)</f>
        <v>26.16</v>
      </c>
      <c r="AW20" s="2339">
        <f>SUM(ESTI2050!$AG$23:$AG$29,ESTI2050!$AG$34,ESTI2050!$AG$37,ESTI2050!$AG$44,ESTI2050!$AG$52)</f>
        <v>26.16</v>
      </c>
    </row>
    <row r="21" spans="1:63" x14ac:dyDescent="0.2">
      <c r="M21" s="2344" t="s">
        <v>4653</v>
      </c>
      <c r="N21" s="2496"/>
      <c r="O21" s="2496"/>
      <c r="P21" s="2496"/>
      <c r="Q21" s="2496"/>
      <c r="R21" s="2600" t="s">
        <v>157</v>
      </c>
      <c r="S21" s="2523">
        <f>SUMPRODUCT($Q$15:$Q$19,S15:S19)</f>
        <v>0</v>
      </c>
      <c r="T21" s="2523">
        <f>SUMPRODUCT($Q$15:$Q$19,T15:T19)</f>
        <v>0</v>
      </c>
      <c r="U21" s="2523">
        <f>SUMPRODUCT($Q$15:$Q$19,U15:U19)</f>
        <v>0</v>
      </c>
      <c r="V21" s="2523">
        <f>SUMPRODUCT($Q$15:$Q$19,V15:V19)</f>
        <v>0</v>
      </c>
      <c r="Y21" s="2344" t="s">
        <v>4652</v>
      </c>
      <c r="Z21" s="2496"/>
      <c r="AA21" s="2496"/>
      <c r="AB21" s="2496"/>
      <c r="AC21" s="2549"/>
      <c r="AD21" s="2519"/>
      <c r="AE21" s="2553">
        <f>Reduktionsstiberegner!H74</f>
        <v>7.0000000000000007E-2</v>
      </c>
      <c r="AF21" s="2552">
        <f>Reduktionsstiberegner!J74</f>
        <v>7.0000000000000007E-2</v>
      </c>
      <c r="AG21" s="2551">
        <f>Reduktionsstiberegner!L74</f>
        <v>7.0000000000000007E-2</v>
      </c>
      <c r="AH21" s="2550">
        <f>Reduktionsstiberegner!N74</f>
        <v>7.0000000000000007E-2</v>
      </c>
      <c r="AK21" s="2605" t="s">
        <v>4651</v>
      </c>
      <c r="AL21" s="2496"/>
      <c r="AM21" s="2496"/>
      <c r="AN21" s="2496"/>
      <c r="AO21" s="2496"/>
      <c r="AP21" s="2600" t="s">
        <v>79</v>
      </c>
      <c r="AQ21" s="2339">
        <f>'E1990'!$AG$24+'E1990'!$AG$25</f>
        <v>1.7762934375000001</v>
      </c>
      <c r="AR21" s="2339">
        <f>'E2018'!$AG$24+'E2018'!$AG$25</f>
        <v>0.5</v>
      </c>
      <c r="AS21" s="2339">
        <f>'E2020'!$AG$24+'E2020'!$AG$25</f>
        <v>0.78</v>
      </c>
      <c r="AT21" s="2339">
        <f>EBAU2030!$AG$24+EBAU2030!$AG$25</f>
        <v>0</v>
      </c>
      <c r="AU21" s="2339">
        <f>EBAU2050!$AG$24+EBAU2050!$AG$25</f>
        <v>0</v>
      </c>
      <c r="AV21" s="2339">
        <f>ESTI2030!$AG$24+ESTI2030!$AG$25</f>
        <v>0</v>
      </c>
      <c r="AW21" s="2339">
        <f>ESTI2050!$AG$24+ESTI2050!$AG$25</f>
        <v>0</v>
      </c>
    </row>
    <row r="22" spans="1:63" x14ac:dyDescent="0.2">
      <c r="S22" s="2606"/>
      <c r="T22" s="2606"/>
      <c r="U22" s="2606"/>
      <c r="V22" s="2606"/>
      <c r="Y22" s="2567" t="s">
        <v>4650</v>
      </c>
      <c r="Z22" s="2547"/>
      <c r="AA22" s="2547"/>
      <c r="AB22" s="2547"/>
      <c r="AC22" s="2571" t="s">
        <v>4649</v>
      </c>
      <c r="AD22" s="2505"/>
      <c r="AE22" s="2530">
        <v>16800</v>
      </c>
      <c r="AF22" s="2529">
        <v>16800</v>
      </c>
      <c r="AG22" s="2528">
        <v>16800</v>
      </c>
      <c r="AH22" s="2527">
        <v>16800</v>
      </c>
      <c r="AK22" s="2605" t="s">
        <v>4648</v>
      </c>
      <c r="AL22" s="2496"/>
      <c r="AM22" s="2496"/>
      <c r="AN22" s="2496"/>
      <c r="AO22" s="2496"/>
      <c r="AP22" s="2600" t="s">
        <v>79</v>
      </c>
      <c r="AQ22" s="2339">
        <f>+'E1990'!$AG$23</f>
        <v>0</v>
      </c>
      <c r="AR22" s="2339">
        <f>+'E2018'!$AG$23</f>
        <v>18.14</v>
      </c>
      <c r="AS22" s="2339">
        <f>+'E2020'!$AG$23</f>
        <v>26.16</v>
      </c>
      <c r="AT22" s="2339">
        <f>+EBAU2030!$AG$23</f>
        <v>26.16</v>
      </c>
      <c r="AU22" s="2339">
        <f>+EBAU2050!$AG$23</f>
        <v>26.16</v>
      </c>
      <c r="AV22" s="2339">
        <f>+ESTI2030!$AG$23</f>
        <v>26.16</v>
      </c>
      <c r="AW22" s="2339">
        <f>+ESTI2050!$AG$23</f>
        <v>26.16</v>
      </c>
    </row>
    <row r="23" spans="1:63" x14ac:dyDescent="0.2">
      <c r="M23" s="307" t="s">
        <v>4647</v>
      </c>
      <c r="Q23" s="12" t="s">
        <v>4646</v>
      </c>
      <c r="Y23" s="2344" t="s">
        <v>4645</v>
      </c>
      <c r="Z23" s="2496"/>
      <c r="AA23" s="2496"/>
      <c r="AB23" s="2496"/>
      <c r="AC23" s="2549" t="s">
        <v>18</v>
      </c>
      <c r="AD23" s="2519"/>
      <c r="AE23" s="2553">
        <v>0.5</v>
      </c>
      <c r="AF23" s="2552">
        <v>0.5</v>
      </c>
      <c r="AG23" s="2551">
        <v>0.5</v>
      </c>
      <c r="AH23" s="2550">
        <v>0.5</v>
      </c>
      <c r="AK23" s="2605" t="s">
        <v>4644</v>
      </c>
      <c r="AL23" s="2496"/>
      <c r="AM23" s="2496"/>
      <c r="AN23" s="2496"/>
      <c r="AO23" s="2496"/>
      <c r="AP23" s="2600" t="s">
        <v>79</v>
      </c>
      <c r="AQ23" s="2339">
        <f>SUM('E1990'!$AG$28,'E1990'!$AG$34,'E1990'!$AG$37,'E1990'!$AG$44,'E1990'!$AG$52)</f>
        <v>0</v>
      </c>
      <c r="AR23" s="2339">
        <f>SUM('E2018'!$AG$28,'E2018'!$AG$34,'E2018'!$AG$37,'E2018'!$AG$44,'E2018'!$AG$52)</f>
        <v>0</v>
      </c>
      <c r="AS23" s="2339">
        <f>SUM('E2020'!$AG$28,'E2020'!$AG$34,'E2020'!$AG$37,'E2020'!$AG$44,'E2020'!$AG$52)</f>
        <v>0</v>
      </c>
      <c r="AT23" s="2339">
        <f>SUM(EBAU2030!$AG$28,EBAU2030!$AG$34,EBAU2030!$AG$37,EBAU2030!$AG$44,EBAU2030!$AG$52)</f>
        <v>0</v>
      </c>
      <c r="AU23" s="2339">
        <f>SUM(EBAU2050!$AG$28,EBAU2050!$AG$34,EBAU2050!$AG$37,EBAU2050!$AG$44,EBAU2050!$AG$52)</f>
        <v>0</v>
      </c>
      <c r="AV23" s="2339">
        <f>SUM(ESTI2030!$AG$28,ESTI2030!$AG$34,ESTI2030!$AG$37,ESTI2030!$AG$44,ESTI2030!$AG$52)</f>
        <v>0</v>
      </c>
      <c r="AW23" s="2339">
        <f>SUM(ESTI2050!$AG$28,ESTI2050!$AG$34,ESTI2050!$AG$37,ESTI2050!$AG$44,ESTI2050!$AG$52)</f>
        <v>0</v>
      </c>
    </row>
    <row r="24" spans="1:63" ht="15.75" x14ac:dyDescent="0.25">
      <c r="A24" s="2568" t="s">
        <v>4639</v>
      </c>
      <c r="G24" s="2604" t="s">
        <v>602</v>
      </c>
      <c r="H24" s="2604" t="s">
        <v>603</v>
      </c>
      <c r="I24" s="2604" t="s">
        <v>4287</v>
      </c>
      <c r="J24" s="2604" t="s">
        <v>4288</v>
      </c>
      <c r="M24" s="2514" t="s">
        <v>4643</v>
      </c>
      <c r="N24" s="2496"/>
      <c r="O24" s="2496"/>
      <c r="P24" s="2519"/>
      <c r="Q24" s="2498">
        <f>(3.5*3800*3.6/1000)</f>
        <v>47.88</v>
      </c>
      <c r="R24" s="2600" t="s">
        <v>581</v>
      </c>
      <c r="S24" s="2530"/>
      <c r="T24" s="2529"/>
      <c r="U24" s="2528"/>
      <c r="V24" s="2527"/>
      <c r="Y24" s="2567" t="s">
        <v>4642</v>
      </c>
      <c r="Z24" s="2547"/>
      <c r="AA24" s="2547"/>
      <c r="AB24" s="2547"/>
      <c r="AC24" s="2571" t="s">
        <v>4641</v>
      </c>
      <c r="AD24" s="2505"/>
      <c r="AE24" s="2518">
        <v>5</v>
      </c>
      <c r="AF24" s="2517">
        <f>AE24*(1+10%)</f>
        <v>5.5</v>
      </c>
      <c r="AG24" s="2516">
        <v>5</v>
      </c>
      <c r="AH24" s="2515">
        <f>AG24*(1+10%)</f>
        <v>5.5</v>
      </c>
      <c r="AK24" s="2605" t="s">
        <v>4640</v>
      </c>
      <c r="AL24" s="2496"/>
      <c r="AM24" s="2496"/>
      <c r="AN24" s="2496"/>
      <c r="AO24" s="2496"/>
      <c r="AP24" s="2600" t="s">
        <v>79</v>
      </c>
      <c r="AQ24" s="2339">
        <f t="shared" ref="AQ24:AW24" si="2">AQ20-SUM(AQ21:AQ23)</f>
        <v>0</v>
      </c>
      <c r="AR24" s="2339">
        <f t="shared" si="2"/>
        <v>0</v>
      </c>
      <c r="AS24" s="2339">
        <f t="shared" si="2"/>
        <v>0</v>
      </c>
      <c r="AT24" s="2339">
        <f t="shared" si="2"/>
        <v>0</v>
      </c>
      <c r="AU24" s="2339">
        <f t="shared" si="2"/>
        <v>0</v>
      </c>
      <c r="AV24" s="2339">
        <f t="shared" si="2"/>
        <v>0</v>
      </c>
      <c r="AW24" s="2339">
        <f t="shared" si="2"/>
        <v>0</v>
      </c>
    </row>
    <row r="25" spans="1:63" x14ac:dyDescent="0.2">
      <c r="A25" s="2567" t="s">
        <v>4635</v>
      </c>
      <c r="B25" s="2547"/>
      <c r="C25" s="2547"/>
      <c r="D25" s="2547"/>
      <c r="E25" s="2571"/>
      <c r="F25" s="2505"/>
      <c r="G25" s="2603">
        <f>'E2020'!$D$1</f>
        <v>1786</v>
      </c>
      <c r="H25" s="2603">
        <f>'E2020'!$D$1</f>
        <v>1786</v>
      </c>
      <c r="I25" s="2603">
        <f>'E2020'!$D$1</f>
        <v>1786</v>
      </c>
      <c r="J25" s="2603">
        <f>'E2020'!$D$1</f>
        <v>1786</v>
      </c>
      <c r="M25" s="2514" t="s">
        <v>4638</v>
      </c>
      <c r="N25" s="2496"/>
      <c r="O25" s="2496"/>
      <c r="P25" s="2519"/>
      <c r="Q25" s="2498">
        <f>(3.7*3800*3.6/1000)</f>
        <v>50.616</v>
      </c>
      <c r="R25" s="2600" t="s">
        <v>581</v>
      </c>
      <c r="S25" s="2530"/>
      <c r="T25" s="2529"/>
      <c r="U25" s="2528"/>
      <c r="V25" s="2527"/>
      <c r="Y25" s="2344" t="s">
        <v>4637</v>
      </c>
      <c r="Z25" s="2496"/>
      <c r="AA25" s="2496"/>
      <c r="AB25" s="2496"/>
      <c r="AC25" s="2549" t="s">
        <v>4636</v>
      </c>
      <c r="AD25" s="2519"/>
      <c r="AE25" s="2518">
        <v>18</v>
      </c>
      <c r="AF25" s="2517">
        <f>AE25*(1+10%)</f>
        <v>19.8</v>
      </c>
      <c r="AG25" s="2516">
        <v>18</v>
      </c>
      <c r="AH25" s="2515">
        <f>AG25*(1+10%)</f>
        <v>19.8</v>
      </c>
      <c r="AK25" s="2344" t="s">
        <v>110</v>
      </c>
      <c r="AL25" s="2496"/>
      <c r="AM25" s="2496"/>
      <c r="AN25" s="2496"/>
      <c r="AO25" s="2496"/>
      <c r="AP25" s="2600" t="s">
        <v>79</v>
      </c>
      <c r="AQ25" s="2339">
        <f>'E1990'!$A$12</f>
        <v>47.766958828937327</v>
      </c>
      <c r="AR25" s="2339">
        <f>'E2018'!$A$12</f>
        <v>36.624084278714058</v>
      </c>
      <c r="AS25" s="2339">
        <f>'E2020'!$A$12</f>
        <v>28.262897773245289</v>
      </c>
      <c r="AT25" s="2339">
        <f>EBAU2030!$A$12</f>
        <v>41.350662801028506</v>
      </c>
      <c r="AU25" s="2339">
        <f>EBAU2050!$A$12</f>
        <v>41.679280920983622</v>
      </c>
      <c r="AV25" s="2339">
        <f>ESTI2030!$A$12</f>
        <v>74.488076754844627</v>
      </c>
      <c r="AW25" s="2339">
        <f>ESTI2050!$A$12</f>
        <v>80.205529773035337</v>
      </c>
      <c r="BK25" s="29"/>
    </row>
    <row r="26" spans="1:63" x14ac:dyDescent="0.2">
      <c r="A26" s="2567" t="s">
        <v>4632</v>
      </c>
      <c r="B26" s="2547"/>
      <c r="C26" s="2547"/>
      <c r="D26" s="2547"/>
      <c r="E26" s="2571"/>
      <c r="F26" s="2505"/>
      <c r="G26" s="2602">
        <f>(G27-G25)/G25</f>
        <v>0</v>
      </c>
      <c r="H26" s="2602">
        <f>(H27-H25)/H25</f>
        <v>0</v>
      </c>
      <c r="I26" s="2602">
        <f>(I27-I25)/I25</f>
        <v>0</v>
      </c>
      <c r="J26" s="2602">
        <f>(J27-J25)/J25</f>
        <v>0</v>
      </c>
      <c r="M26" s="2514" t="s">
        <v>4634</v>
      </c>
      <c r="N26" s="2496"/>
      <c r="O26" s="2496"/>
      <c r="P26" s="2519"/>
      <c r="Q26" s="2498">
        <f>(4.6*3800*3.6/1000)</f>
        <v>62.927999999999997</v>
      </c>
      <c r="R26" s="2600" t="s">
        <v>581</v>
      </c>
      <c r="S26" s="2530">
        <f>Reduktionsstiberegner!I108</f>
        <v>0</v>
      </c>
      <c r="T26" s="2529">
        <f>Reduktionsstiberegner!K108</f>
        <v>0</v>
      </c>
      <c r="U26" s="2528">
        <f>Reduktionsstiberegner!M108</f>
        <v>0</v>
      </c>
      <c r="V26" s="2527">
        <f>Reduktionsstiberegner!O108</f>
        <v>0</v>
      </c>
      <c r="Y26" s="2344" t="s">
        <v>4633</v>
      </c>
      <c r="Z26" s="2547"/>
      <c r="AA26" s="2547"/>
      <c r="AB26" s="2547"/>
      <c r="AC26" s="2571" t="s">
        <v>582</v>
      </c>
      <c r="AD26" s="2505"/>
      <c r="AE26" s="2596">
        <f>AE$22*AE$23/AE$24*3.6/1000</f>
        <v>6.048</v>
      </c>
      <c r="AF26" s="2596">
        <f>AF$22*AF$23/AF$24*3.6/1000</f>
        <v>5.4981818181818181</v>
      </c>
      <c r="AG26" s="2596">
        <f>AG$22*AG$23/AG$24*3.6/1000</f>
        <v>6.048</v>
      </c>
      <c r="AH26" s="2596">
        <f>AH$22*AH$23/AH$24*3.6/1000</f>
        <v>5.4981818181818181</v>
      </c>
    </row>
    <row r="27" spans="1:63" x14ac:dyDescent="0.2">
      <c r="A27" s="2344" t="s">
        <v>4629</v>
      </c>
      <c r="B27" s="2496"/>
      <c r="C27" s="2496"/>
      <c r="D27" s="2496"/>
      <c r="E27" s="2549"/>
      <c r="F27" s="2519"/>
      <c r="G27" s="2601">
        <v>1786</v>
      </c>
      <c r="H27" s="2601">
        <v>1786</v>
      </c>
      <c r="I27" s="2601">
        <v>1786</v>
      </c>
      <c r="J27" s="2601">
        <v>1786</v>
      </c>
      <c r="M27" s="2514" t="s">
        <v>4631</v>
      </c>
      <c r="N27" s="2496"/>
      <c r="O27" s="2496"/>
      <c r="P27" s="2519"/>
      <c r="Q27" s="2498">
        <f>(8.4*3800*3.6/1000)</f>
        <v>114.91200000000001</v>
      </c>
      <c r="R27" s="2600" t="s">
        <v>581</v>
      </c>
      <c r="S27" s="2530"/>
      <c r="T27" s="2529"/>
      <c r="U27" s="2528"/>
      <c r="V27" s="2527"/>
      <c r="Y27" s="2344" t="s">
        <v>4630</v>
      </c>
      <c r="Z27" s="2496"/>
      <c r="AA27" s="2496"/>
      <c r="AB27" s="2496"/>
      <c r="AC27" s="2549" t="s">
        <v>582</v>
      </c>
      <c r="AD27" s="2519"/>
      <c r="AE27" s="2596">
        <f>AE$22*(1-AE$23)/AE$25*9.125*3.6/1000</f>
        <v>15.330000000000002</v>
      </c>
      <c r="AF27" s="2596">
        <f>AF$22*(1-AF$23)/AF$25*9.125*3.6/1000</f>
        <v>13.936363636363637</v>
      </c>
      <c r="AG27" s="2596">
        <f>AG$22*(1-AG$23)/AG$25*9.125*3.6/1000</f>
        <v>15.330000000000002</v>
      </c>
      <c r="AH27" s="2596">
        <f>AH$22*(1-AH$23)/AH$25*9.125*3.6/1000</f>
        <v>13.936363636363637</v>
      </c>
    </row>
    <row r="28" spans="1:63" x14ac:dyDescent="0.2">
      <c r="A28" s="307" t="s">
        <v>4626</v>
      </c>
      <c r="M28" s="2344" t="s">
        <v>4628</v>
      </c>
      <c r="N28" s="2496"/>
      <c r="O28" s="2496"/>
      <c r="P28" s="2496"/>
      <c r="Q28" s="2496"/>
      <c r="R28" s="2600" t="s">
        <v>157</v>
      </c>
      <c r="S28" s="2523">
        <f>SUMPRODUCT($Q$24:$Q$27,S24:S27)</f>
        <v>0</v>
      </c>
      <c r="T28" s="2523">
        <f>SUMPRODUCT($Q$24:$Q$27,T24:T27)</f>
        <v>0</v>
      </c>
      <c r="U28" s="2523">
        <f>SUMPRODUCT($Q$24:$Q$27,U24:U27)</f>
        <v>0</v>
      </c>
      <c r="V28" s="2523">
        <f>SUMPRODUCT($Q$24:$Q$27,V24:V27)</f>
        <v>0</v>
      </c>
      <c r="Y28" s="307" t="s">
        <v>4627</v>
      </c>
    </row>
    <row r="29" spans="1:63" x14ac:dyDescent="0.2">
      <c r="A29" s="2344" t="s">
        <v>4623</v>
      </c>
      <c r="B29" s="2496"/>
      <c r="C29" s="2496"/>
      <c r="D29" s="2496"/>
      <c r="E29" s="2549"/>
      <c r="F29" s="2519" t="s">
        <v>4622</v>
      </c>
      <c r="G29" s="2596">
        <v>2.0499999999999998</v>
      </c>
      <c r="H29" s="2596">
        <v>2.0499999999999998</v>
      </c>
      <c r="I29" s="2596">
        <v>2.0499999999999998</v>
      </c>
      <c r="J29" s="2596">
        <v>2.0499999999999998</v>
      </c>
      <c r="Y29" s="2567" t="s">
        <v>4625</v>
      </c>
      <c r="Z29" s="2547"/>
      <c r="AA29" s="2547"/>
      <c r="AB29" s="2547"/>
      <c r="AC29" s="2571" t="s">
        <v>582</v>
      </c>
      <c r="AD29" s="2505"/>
      <c r="AE29" s="2518">
        <f>$J8*(28.5/32)</f>
        <v>25.986139112903224</v>
      </c>
      <c r="AF29" s="2517">
        <f>AE29*(1-10%)</f>
        <v>23.387525201612902</v>
      </c>
      <c r="AG29" s="2516">
        <f>$J8*(28.5/32)</f>
        <v>25.986139112903224</v>
      </c>
      <c r="AH29" s="2515">
        <f>AG29*(1-10%)</f>
        <v>23.387525201612902</v>
      </c>
      <c r="AK29" s="307" t="s">
        <v>4624</v>
      </c>
    </row>
    <row r="30" spans="1:63" x14ac:dyDescent="0.2">
      <c r="A30" s="2344" t="s">
        <v>4618</v>
      </c>
      <c r="B30" s="2496"/>
      <c r="C30" s="2496"/>
      <c r="D30" s="2496"/>
      <c r="E30" s="2549"/>
      <c r="F30" s="2519" t="s">
        <v>4617</v>
      </c>
      <c r="G30" s="2518">
        <f>130*45/1000</f>
        <v>5.85</v>
      </c>
      <c r="H30" s="2517">
        <f>130*45/1000</f>
        <v>5.85</v>
      </c>
      <c r="I30" s="2516">
        <f>130*45/1000</f>
        <v>5.85</v>
      </c>
      <c r="J30" s="2515">
        <f>130*45/1000</f>
        <v>5.85</v>
      </c>
      <c r="M30" s="307" t="s">
        <v>4621</v>
      </c>
      <c r="Y30" s="2344" t="s">
        <v>4620</v>
      </c>
      <c r="Z30" s="2496"/>
      <c r="AA30" s="2496"/>
      <c r="AB30" s="2496"/>
      <c r="AC30" s="2549" t="s">
        <v>582</v>
      </c>
      <c r="AD30" s="2519"/>
      <c r="AE30" s="2518">
        <f>$J9*(60.1/64.2)</f>
        <v>42.513917307231473</v>
      </c>
      <c r="AF30" s="2517">
        <f>AE30*(1-10%)</f>
        <v>38.262525576508324</v>
      </c>
      <c r="AG30" s="2516">
        <f>$J9*(60.1/64.2)</f>
        <v>42.513917307231473</v>
      </c>
      <c r="AH30" s="2515">
        <f>AG30*(1-10%)</f>
        <v>38.262525576508324</v>
      </c>
      <c r="AK30" s="307" t="s">
        <v>4619</v>
      </c>
      <c r="AP30" s="2553" t="str">
        <f>$AT$4</f>
        <v>BAU2030</v>
      </c>
      <c r="AQ30" s="2552" t="str">
        <f>$AU$4</f>
        <v>BAU2050</v>
      </c>
      <c r="AR30" s="2551" t="str">
        <f>$AV$4</f>
        <v>STI2030</v>
      </c>
      <c r="AS30" s="2550" t="str">
        <f>$AW$4</f>
        <v>STI2050</v>
      </c>
      <c r="BI30" s="29"/>
      <c r="BJ30" s="2597"/>
    </row>
    <row r="31" spans="1:63" x14ac:dyDescent="0.2">
      <c r="A31" s="2344" t="s">
        <v>4613</v>
      </c>
      <c r="B31" s="2496"/>
      <c r="C31" s="2496"/>
      <c r="D31" s="2496"/>
      <c r="E31" s="2496"/>
      <c r="F31" s="2519" t="s">
        <v>79</v>
      </c>
      <c r="G31" s="2596">
        <f>(G27-G25)/G29*(G30*3.6/1000)</f>
        <v>0</v>
      </c>
      <c r="H31" s="2596">
        <f>(H27-H25)/H29*(H30*3.6/1000)</f>
        <v>0</v>
      </c>
      <c r="I31" s="2596">
        <f>(I27-I25)/I29*(I30*3.6/1000)</f>
        <v>0</v>
      </c>
      <c r="J31" s="2596">
        <f>(J27-J25)/J29*(J30*3.6/1000)</f>
        <v>0</v>
      </c>
      <c r="M31" s="2344" t="s">
        <v>4616</v>
      </c>
      <c r="N31" s="2496"/>
      <c r="O31" s="2496"/>
      <c r="P31" s="2496"/>
      <c r="Q31" s="2524" t="s">
        <v>4731</v>
      </c>
      <c r="R31" s="2599">
        <v>1.2949999999999999</v>
      </c>
      <c r="Y31" s="307" t="s">
        <v>4615</v>
      </c>
      <c r="AK31" s="2344" t="s">
        <v>4614</v>
      </c>
      <c r="AL31" s="2496"/>
      <c r="AM31" s="2496"/>
      <c r="AN31" s="2496"/>
      <c r="AO31" s="2519"/>
      <c r="AP31" s="2493">
        <f>G26</f>
        <v>0</v>
      </c>
      <c r="AQ31" s="2512">
        <f>H26</f>
        <v>0</v>
      </c>
      <c r="AR31" s="2512">
        <f>I26</f>
        <v>0</v>
      </c>
      <c r="AS31" s="2512">
        <f>J26</f>
        <v>0</v>
      </c>
      <c r="BI31" s="29"/>
      <c r="BJ31" s="2597"/>
    </row>
    <row r="32" spans="1:63" x14ac:dyDescent="0.2">
      <c r="A32" s="307" t="s">
        <v>4610</v>
      </c>
      <c r="M32" s="2344" t="s">
        <v>4612</v>
      </c>
      <c r="N32" s="2496"/>
      <c r="O32" s="2496"/>
      <c r="P32" s="2496"/>
      <c r="Q32" s="2524" t="s">
        <v>4732</v>
      </c>
      <c r="R32" s="2531">
        <v>850</v>
      </c>
      <c r="Y32" s="2344" t="s">
        <v>4611</v>
      </c>
      <c r="Z32" s="2496"/>
      <c r="AA32" s="2496"/>
      <c r="AB32" s="2496"/>
      <c r="AC32" s="2549" t="s">
        <v>581</v>
      </c>
      <c r="AD32" s="2519"/>
      <c r="AE32" s="2572">
        <f>AE10+G39</f>
        <v>994</v>
      </c>
      <c r="AF32" s="2572">
        <f>AF10+H39</f>
        <v>994</v>
      </c>
      <c r="AG32" s="2572">
        <f>AG10+I39</f>
        <v>994</v>
      </c>
      <c r="AH32" s="2572">
        <f>AH10+J39</f>
        <v>994</v>
      </c>
      <c r="BI32" s="29"/>
      <c r="BJ32" s="2597"/>
    </row>
    <row r="33" spans="1:62" x14ac:dyDescent="0.2">
      <c r="A33" s="2344" t="s">
        <v>4607</v>
      </c>
      <c r="B33" s="2496"/>
      <c r="C33" s="2496"/>
      <c r="D33" s="2496"/>
      <c r="E33" s="2549" t="s">
        <v>4601</v>
      </c>
      <c r="F33" s="2519"/>
      <c r="G33" s="2339">
        <f>'E2020'!$AL$8/G$25/3.6*1000000</f>
        <v>3451.2255816847082</v>
      </c>
      <c r="H33" s="2339">
        <f>'E2020'!$AL$8/H$25/3.6*1000000</f>
        <v>3451.2255816847082</v>
      </c>
      <c r="I33" s="2339">
        <f>'E2020'!$AL$8/I$25/3.6*1000000</f>
        <v>3451.2255816847082</v>
      </c>
      <c r="J33" s="2339">
        <f>'E2020'!$AL$8/J$25/3.6*1000000</f>
        <v>3451.2255816847082</v>
      </c>
      <c r="Y33" s="2566" t="s">
        <v>4609</v>
      </c>
      <c r="Z33" s="2547"/>
      <c r="AA33" s="2547"/>
      <c r="AB33" s="2547"/>
      <c r="AC33" s="2571" t="s">
        <v>581</v>
      </c>
      <c r="AD33" s="2505"/>
      <c r="AE33" s="2572">
        <f>MROUND(AE32*AE16,1)</f>
        <v>219</v>
      </c>
      <c r="AF33" s="2573">
        <f>MROUND(AF32*AF16,1)</f>
        <v>417</v>
      </c>
      <c r="AG33" s="2572">
        <f>MROUND(AG32*AG16,1)</f>
        <v>696</v>
      </c>
      <c r="AH33" s="2573">
        <f>MROUND(AH32*AH16,1)</f>
        <v>924</v>
      </c>
      <c r="AK33" s="307" t="s">
        <v>4608</v>
      </c>
      <c r="BI33" s="29"/>
      <c r="BJ33" s="2597"/>
    </row>
    <row r="34" spans="1:62" x14ac:dyDescent="0.2">
      <c r="A34" s="2344" t="s">
        <v>4602</v>
      </c>
      <c r="B34" s="2496"/>
      <c r="C34" s="2496"/>
      <c r="D34" s="2496"/>
      <c r="E34" s="2549" t="s">
        <v>4601</v>
      </c>
      <c r="F34" s="2519"/>
      <c r="G34" s="2518">
        <f>G33</f>
        <v>3451.2255816847082</v>
      </c>
      <c r="H34" s="2517">
        <f>H33</f>
        <v>3451.2255816847082</v>
      </c>
      <c r="I34" s="2516">
        <f>I33</f>
        <v>3451.2255816847082</v>
      </c>
      <c r="J34" s="2515">
        <f>J33</f>
        <v>3451.2255816847082</v>
      </c>
      <c r="M34" s="307" t="s">
        <v>4606</v>
      </c>
      <c r="Q34" s="12" t="s">
        <v>4605</v>
      </c>
      <c r="Y34" s="2566" t="s">
        <v>4604</v>
      </c>
      <c r="Z34" s="2547"/>
      <c r="AA34" s="2547"/>
      <c r="AB34" s="2547"/>
      <c r="AC34" s="2571" t="s">
        <v>581</v>
      </c>
      <c r="AD34" s="2505"/>
      <c r="AE34" s="2572">
        <f>MROUND(AE32*AE21,1)</f>
        <v>70</v>
      </c>
      <c r="AF34" s="2572">
        <f>MROUND(AF32*AF21,1)</f>
        <v>70</v>
      </c>
      <c r="AG34" s="2572">
        <f>MROUND(AG32*AG21,1)</f>
        <v>70</v>
      </c>
      <c r="AH34" s="2572">
        <f>MROUND(AH32*AH21,1)</f>
        <v>70</v>
      </c>
      <c r="AK34" s="2344" t="s">
        <v>4603</v>
      </c>
      <c r="AL34" s="2496"/>
      <c r="AM34" s="2496"/>
      <c r="AN34" s="2496"/>
      <c r="AO34" s="2519"/>
      <c r="AP34" s="2598">
        <f>-G47</f>
        <v>0.03</v>
      </c>
      <c r="AQ34" s="2574">
        <f>-H47</f>
        <v>0.05</v>
      </c>
      <c r="AR34" s="2574">
        <f>-I47</f>
        <v>0.03</v>
      </c>
      <c r="AS34" s="2574">
        <f>-J47</f>
        <v>0.05</v>
      </c>
      <c r="BI34" s="29"/>
      <c r="BJ34" s="2597"/>
    </row>
    <row r="35" spans="1:62" x14ac:dyDescent="0.2">
      <c r="A35" s="2344" t="s">
        <v>4598</v>
      </c>
      <c r="B35" s="2496"/>
      <c r="C35" s="2496"/>
      <c r="D35" s="2496"/>
      <c r="E35" s="2549" t="s">
        <v>79</v>
      </c>
      <c r="F35" s="2519"/>
      <c r="G35" s="2596">
        <f>G34*3.6/1000000*(G27-G25)</f>
        <v>0</v>
      </c>
      <c r="H35" s="2596">
        <f>H34*3.6/1000000*(H27-H25)</f>
        <v>0</v>
      </c>
      <c r="I35" s="2596">
        <f>I34*3.6/1000000*(I27-I25)</f>
        <v>0</v>
      </c>
      <c r="J35" s="2596">
        <f>J34*3.6/1000000*(J27-J25)</f>
        <v>0</v>
      </c>
      <c r="M35" s="2514" t="s">
        <v>4733</v>
      </c>
      <c r="N35" s="2496"/>
      <c r="O35" s="2496"/>
      <c r="P35" s="2519"/>
      <c r="Q35" s="2498">
        <f>(4.5*$R$32*3.6/1000000)</f>
        <v>1.3769999999999999E-2</v>
      </c>
      <c r="R35" s="2495" t="s">
        <v>581</v>
      </c>
      <c r="S35" s="2530"/>
      <c r="T35" s="2529"/>
      <c r="U35" s="2528"/>
      <c r="V35" s="2527"/>
      <c r="Y35" s="2566" t="s">
        <v>4600</v>
      </c>
      <c r="Z35" s="2547"/>
      <c r="AA35" s="2547"/>
      <c r="AB35" s="2547"/>
      <c r="AC35" s="2571" t="s">
        <v>581</v>
      </c>
      <c r="AD35" s="2505"/>
      <c r="AE35" s="2572">
        <f>MROUND((AE32-AE33-AE34)*AE13,1)</f>
        <v>456</v>
      </c>
      <c r="AF35" s="2572">
        <f>MROUND((AF32-AF33-AF34)*AF13,1)</f>
        <v>328</v>
      </c>
      <c r="AG35" s="2572">
        <f>MROUND((AG32-AG33-AG34)*AG13,1)</f>
        <v>148</v>
      </c>
      <c r="AH35" s="2572">
        <f>MROUND((AH32-AH33-AH34)*AH13,1)</f>
        <v>0</v>
      </c>
      <c r="AK35" s="2344" t="s">
        <v>4599</v>
      </c>
      <c r="AL35" s="2496"/>
      <c r="AM35" s="2496"/>
      <c r="AN35" s="2496"/>
      <c r="AO35" s="2519"/>
      <c r="AP35" s="2585">
        <f>-G50</f>
        <v>0.83</v>
      </c>
      <c r="AQ35" s="2585">
        <f>-H50</f>
        <v>0.9</v>
      </c>
      <c r="AR35" s="2585">
        <f>-I50</f>
        <v>0.9</v>
      </c>
      <c r="AS35" s="2585">
        <f>-J50</f>
        <v>1</v>
      </c>
    </row>
    <row r="36" spans="1:62" x14ac:dyDescent="0.2">
      <c r="A36" s="307" t="s">
        <v>4596</v>
      </c>
      <c r="M36" s="2514" t="s">
        <v>4734</v>
      </c>
      <c r="N36" s="2496"/>
      <c r="O36" s="2496"/>
      <c r="P36" s="2519"/>
      <c r="Q36" s="2498">
        <f>(25*$R$32*3.6/1000000)</f>
        <v>7.6499999999999999E-2</v>
      </c>
      <c r="R36" s="2495" t="s">
        <v>581</v>
      </c>
      <c r="S36" s="2530"/>
      <c r="T36" s="2529"/>
      <c r="U36" s="2528"/>
      <c r="V36" s="2527"/>
      <c r="Y36" s="2514" t="s">
        <v>4521</v>
      </c>
      <c r="Z36" s="2496"/>
      <c r="AA36" s="2496"/>
      <c r="AB36" s="2496"/>
      <c r="AC36" s="2549" t="s">
        <v>581</v>
      </c>
      <c r="AD36" s="2519"/>
      <c r="AE36" s="2572">
        <f>MROUND((AE32-AE33-AE34)*AE14,1)</f>
        <v>249</v>
      </c>
      <c r="AF36" s="2572">
        <f>MROUND((AF32-AF33-AF34)*AF14,1)</f>
        <v>179</v>
      </c>
      <c r="AG36" s="2572">
        <f>MROUND((AG32-AG33-AG34)*AG14,1)</f>
        <v>80</v>
      </c>
      <c r="AH36" s="2572">
        <f>MROUND((AH32-AH33-AH34)*AH14,1)</f>
        <v>0</v>
      </c>
      <c r="AK36" s="2344" t="s">
        <v>4597</v>
      </c>
      <c r="AL36" s="2496"/>
      <c r="AM36" s="2496"/>
      <c r="AN36" s="2496"/>
      <c r="AO36" s="2519"/>
      <c r="AP36" s="2585">
        <f>-G64</f>
        <v>0</v>
      </c>
      <c r="AQ36" s="2585">
        <f>-H64</f>
        <v>0</v>
      </c>
      <c r="AR36" s="2585">
        <f>-I64</f>
        <v>0</v>
      </c>
      <c r="AS36" s="2585">
        <f>-J64</f>
        <v>0</v>
      </c>
    </row>
    <row r="37" spans="1:62" x14ac:dyDescent="0.2">
      <c r="A37" s="2567" t="s">
        <v>4594</v>
      </c>
      <c r="B37" s="2547"/>
      <c r="C37" s="2547"/>
      <c r="D37" s="2547"/>
      <c r="E37" s="2571"/>
      <c r="F37" s="2505" t="s">
        <v>18</v>
      </c>
      <c r="G37" s="2510">
        <v>0</v>
      </c>
      <c r="H37" s="2509">
        <v>0</v>
      </c>
      <c r="I37" s="2507">
        <v>0</v>
      </c>
      <c r="J37" s="2494">
        <v>0</v>
      </c>
      <c r="M37" s="2514" t="s">
        <v>4595</v>
      </c>
      <c r="N37" s="2496"/>
      <c r="O37" s="2496"/>
      <c r="P37" s="2519"/>
      <c r="Q37" s="2498">
        <f>$R$31*$R$32*3.6/1000</f>
        <v>3.9627000000000003</v>
      </c>
      <c r="R37" s="2495" t="s">
        <v>392</v>
      </c>
      <c r="S37" s="2530"/>
      <c r="T37" s="2529"/>
      <c r="U37" s="2528"/>
      <c r="V37" s="2527"/>
      <c r="Y37" s="307" t="s">
        <v>5418</v>
      </c>
      <c r="AC37" s="2535"/>
      <c r="AE37" s="4250"/>
      <c r="AF37" s="4250"/>
      <c r="AG37" s="4250"/>
      <c r="AH37" s="4250"/>
    </row>
    <row r="38" spans="1:62" x14ac:dyDescent="0.2">
      <c r="A38" s="2567" t="s">
        <v>4591</v>
      </c>
      <c r="B38" s="2547"/>
      <c r="C38" s="2547"/>
      <c r="D38" s="2547"/>
      <c r="E38" s="2571"/>
      <c r="F38" s="2505" t="s">
        <v>4580</v>
      </c>
      <c r="G38" s="2510">
        <v>1</v>
      </c>
      <c r="H38" s="2509">
        <v>1</v>
      </c>
      <c r="I38" s="2507">
        <v>1</v>
      </c>
      <c r="J38" s="2494">
        <v>1</v>
      </c>
      <c r="M38" s="2566" t="s">
        <v>4593</v>
      </c>
      <c r="N38" s="2547"/>
      <c r="O38" s="2547"/>
      <c r="P38" s="2505"/>
      <c r="Q38" s="2595">
        <f>$R$31*$R$32*3.6/1000</f>
        <v>3.9627000000000003</v>
      </c>
      <c r="R38" s="2594" t="s">
        <v>392</v>
      </c>
      <c r="S38" s="2530">
        <f>Reduktionsstiberegner!I109</f>
        <v>0</v>
      </c>
      <c r="T38" s="2529">
        <f>Reduktionsstiberegner!K109</f>
        <v>0</v>
      </c>
      <c r="U38" s="2528">
        <f>Reduktionsstiberegner!M109</f>
        <v>0</v>
      </c>
      <c r="V38" s="2527">
        <f>Reduktionsstiberegner!O109</f>
        <v>0</v>
      </c>
      <c r="Y38" s="2344" t="s">
        <v>4611</v>
      </c>
      <c r="Z38" s="2496"/>
      <c r="AA38" s="2496"/>
      <c r="AB38" s="2496"/>
      <c r="AC38" s="2549" t="s">
        <v>581</v>
      </c>
      <c r="AD38" s="2519"/>
      <c r="AE38" s="2572">
        <f>+G40</f>
        <v>1193</v>
      </c>
      <c r="AF38" s="2572">
        <f>+H40</f>
        <v>1193</v>
      </c>
      <c r="AG38" s="2572">
        <f>+I40</f>
        <v>1193</v>
      </c>
      <c r="AH38" s="2572">
        <f>+J40</f>
        <v>1193</v>
      </c>
      <c r="AK38" s="307" t="s">
        <v>4592</v>
      </c>
    </row>
    <row r="39" spans="1:62" x14ac:dyDescent="0.2">
      <c r="A39" s="2344" t="s">
        <v>4587</v>
      </c>
      <c r="B39" s="2496"/>
      <c r="C39" s="2496"/>
      <c r="D39" s="2496"/>
      <c r="E39" s="2549" t="s">
        <v>581</v>
      </c>
      <c r="F39" s="2519"/>
      <c r="G39" s="2572">
        <f>ROUND((AE9/G25*(G27-G25))*G38,0)</f>
        <v>0</v>
      </c>
      <c r="H39" s="2573">
        <f>ROUND((AF9/H25*(H27-H25))*H38,0)</f>
        <v>0</v>
      </c>
      <c r="I39" s="2572">
        <f>ROUND((AG9/I25*(I27-I25))*I38,0)</f>
        <v>0</v>
      </c>
      <c r="J39" s="2573">
        <f>ROUND((AH9/J25*(J27-J25))*J38,0)</f>
        <v>0</v>
      </c>
      <c r="M39" s="2566" t="s">
        <v>4590</v>
      </c>
      <c r="N39" s="2547"/>
      <c r="O39" s="2547"/>
      <c r="P39" s="2593"/>
      <c r="Q39" s="2592"/>
      <c r="R39" s="2547"/>
      <c r="S39" s="2530"/>
      <c r="T39" s="2529"/>
      <c r="U39" s="2528"/>
      <c r="V39" s="2527"/>
      <c r="Y39" s="2566" t="s">
        <v>4609</v>
      </c>
      <c r="Z39" s="2547"/>
      <c r="AA39" s="2547"/>
      <c r="AB39" s="2547"/>
      <c r="AC39" s="2571" t="s">
        <v>581</v>
      </c>
      <c r="AD39" s="2505"/>
      <c r="AE39" s="2572">
        <f>+AE38*AE16</f>
        <v>262.45999999999998</v>
      </c>
      <c r="AF39" s="2572">
        <f t="shared" ref="AF39:AH39" si="3">+AF38*AF16</f>
        <v>501.06</v>
      </c>
      <c r="AG39" s="2572">
        <f t="shared" si="3"/>
        <v>835.09999999999991</v>
      </c>
      <c r="AH39" s="2572">
        <f t="shared" si="3"/>
        <v>1109.49</v>
      </c>
      <c r="AK39" s="2344" t="s">
        <v>4588</v>
      </c>
      <c r="AL39" s="2496"/>
      <c r="AM39" s="2496"/>
      <c r="AN39" s="2496"/>
      <c r="AO39" s="2519"/>
      <c r="AP39" s="2493">
        <f>-G87</f>
        <v>0</v>
      </c>
      <c r="AQ39" s="2512">
        <f>-H87</f>
        <v>0</v>
      </c>
      <c r="AR39" s="2512">
        <f>-I87</f>
        <v>0</v>
      </c>
      <c r="AS39" s="2512">
        <f>-J87</f>
        <v>0</v>
      </c>
    </row>
    <row r="40" spans="1:62" x14ac:dyDescent="0.2">
      <c r="A40" s="2344" t="s">
        <v>5417</v>
      </c>
      <c r="B40" s="2496"/>
      <c r="C40" s="2496"/>
      <c r="D40" s="2496"/>
      <c r="E40" s="2549" t="s">
        <v>581</v>
      </c>
      <c r="F40" s="2519"/>
      <c r="G40" s="2572">
        <f>ROUND((AE10*1.2),0)</f>
        <v>1193</v>
      </c>
      <c r="H40" s="2572">
        <f t="shared" ref="H40:J40" si="4">ROUND((AF10*1.2),0)</f>
        <v>1193</v>
      </c>
      <c r="I40" s="2572">
        <f t="shared" si="4"/>
        <v>1193</v>
      </c>
      <c r="J40" s="2572">
        <f t="shared" si="4"/>
        <v>1193</v>
      </c>
      <c r="M40" s="2521" t="s">
        <v>4586</v>
      </c>
      <c r="N40" s="2520"/>
      <c r="O40" s="2520"/>
      <c r="P40" s="2520"/>
      <c r="Q40" s="2591"/>
      <c r="R40" s="2519"/>
      <c r="S40" s="2590">
        <f>SUMPRODUCT($Q$35:$Q$38,S35:S38)+S39</f>
        <v>0</v>
      </c>
      <c r="T40" s="2590">
        <f>SUMPRODUCT($Q$35:$Q$38,T35:T38)+T39</f>
        <v>0</v>
      </c>
      <c r="U40" s="2590">
        <f>SUMPRODUCT('E-Tiltag'!$Q$35:$Q$38,U35:U38)+U39</f>
        <v>0</v>
      </c>
      <c r="V40" s="2590">
        <f>SUMPRODUCT('E-Tiltag'!$Q$35:$Q$38,V35:V38)+V39</f>
        <v>0</v>
      </c>
      <c r="Y40" s="2514" t="s">
        <v>4604</v>
      </c>
      <c r="Z40" s="2496"/>
      <c r="AA40" s="2496"/>
      <c r="AB40" s="2496"/>
      <c r="AC40" s="2549" t="s">
        <v>581</v>
      </c>
      <c r="AD40" s="2519"/>
      <c r="AE40" s="2572">
        <f>MROUND(AE38*AE21,1)</f>
        <v>84</v>
      </c>
      <c r="AF40" s="2572">
        <f t="shared" ref="AF40:AH40" si="5">MROUND(AF38*AF21,1)</f>
        <v>84</v>
      </c>
      <c r="AG40" s="2572">
        <f t="shared" si="5"/>
        <v>84</v>
      </c>
      <c r="AH40" s="2572">
        <f t="shared" si="5"/>
        <v>84</v>
      </c>
      <c r="AK40" s="2344" t="s">
        <v>4584</v>
      </c>
      <c r="AL40" s="2496"/>
      <c r="AM40" s="2496"/>
      <c r="AN40" s="2496"/>
      <c r="AO40" s="2519"/>
      <c r="AP40" s="2585">
        <f t="shared" ref="AP40:AS41" si="6">G112</f>
        <v>0</v>
      </c>
      <c r="AQ40" s="2585">
        <f t="shared" si="6"/>
        <v>0</v>
      </c>
      <c r="AR40" s="2585">
        <f t="shared" si="6"/>
        <v>0</v>
      </c>
      <c r="AS40" s="2585">
        <f t="shared" si="6"/>
        <v>0</v>
      </c>
    </row>
    <row r="41" spans="1:62" x14ac:dyDescent="0.2">
      <c r="A41" s="307" t="s">
        <v>4579</v>
      </c>
      <c r="Y41" s="2508"/>
      <c r="AC41" s="2535"/>
      <c r="AE41" s="4250"/>
      <c r="AF41" s="4250"/>
      <c r="AG41" s="4250"/>
      <c r="AH41" s="4250"/>
      <c r="AK41" s="2344" t="s">
        <v>4583</v>
      </c>
      <c r="AL41" s="2496"/>
      <c r="AM41" s="2496"/>
      <c r="AN41" s="2496"/>
      <c r="AO41" s="2519"/>
      <c r="AP41" s="2585">
        <f t="shared" si="6"/>
        <v>0</v>
      </c>
      <c r="AQ41" s="2585">
        <f t="shared" si="6"/>
        <v>0</v>
      </c>
      <c r="AR41" s="2585">
        <f t="shared" si="6"/>
        <v>0</v>
      </c>
      <c r="AS41" s="2585">
        <f t="shared" si="6"/>
        <v>0</v>
      </c>
    </row>
    <row r="42" spans="1:62" x14ac:dyDescent="0.2">
      <c r="A42" s="2567" t="s">
        <v>4582</v>
      </c>
      <c r="B42" s="2547"/>
      <c r="C42" s="2547"/>
      <c r="D42" s="2547"/>
      <c r="E42" s="2571"/>
      <c r="F42" s="2505" t="s">
        <v>18</v>
      </c>
      <c r="G42" s="2553">
        <v>0.1142</v>
      </c>
      <c r="H42" s="2552">
        <v>0.2</v>
      </c>
      <c r="I42" s="2551">
        <v>0.1142</v>
      </c>
      <c r="J42" s="2550">
        <v>0.2</v>
      </c>
      <c r="M42" s="12" t="s">
        <v>4581</v>
      </c>
      <c r="P42" s="12">
        <v>2021</v>
      </c>
      <c r="Q42" s="12">
        <v>2025</v>
      </c>
      <c r="R42" s="12" t="s">
        <v>4580</v>
      </c>
      <c r="S42" s="12">
        <v>2030</v>
      </c>
      <c r="T42" s="12" t="s">
        <v>4580</v>
      </c>
      <c r="U42" s="12">
        <v>2035</v>
      </c>
      <c r="V42" s="12" t="s">
        <v>4580</v>
      </c>
      <c r="Y42" s="311" t="str">
        <f>"Til energiregnskabet - "&amp;Y7</f>
        <v>Til energiregnskabet - Person- og varebiler</v>
      </c>
    </row>
    <row r="43" spans="1:62" x14ac:dyDescent="0.2">
      <c r="A43" s="2344" t="s">
        <v>4578</v>
      </c>
      <c r="B43" s="2496"/>
      <c r="C43" s="2496"/>
      <c r="D43" s="2496"/>
      <c r="E43" s="2549"/>
      <c r="F43" s="2519" t="s">
        <v>18</v>
      </c>
      <c r="G43" s="2553">
        <v>-0.1678</v>
      </c>
      <c r="H43" s="2552">
        <v>-0.16200000000000001</v>
      </c>
      <c r="I43" s="2551">
        <v>-0.1678</v>
      </c>
      <c r="J43" s="2550">
        <v>-0.16200000000000001</v>
      </c>
      <c r="M43" s="2514" t="s">
        <v>4577</v>
      </c>
      <c r="N43" s="2496"/>
      <c r="O43" s="2496"/>
      <c r="P43" s="2346">
        <v>1256</v>
      </c>
      <c r="Q43" s="2339">
        <v>2171</v>
      </c>
      <c r="R43" s="2498">
        <f>Q43/$P43</f>
        <v>1.7285031847133758</v>
      </c>
      <c r="S43" s="2339">
        <v>3596</v>
      </c>
      <c r="T43" s="2498">
        <f>S43/$P43</f>
        <v>2.8630573248407645</v>
      </c>
      <c r="U43" s="2339">
        <v>3387</v>
      </c>
      <c r="V43" s="2498">
        <f>U43/$P43</f>
        <v>2.6966560509554141</v>
      </c>
      <c r="Y43" s="2567" t="s">
        <v>5419</v>
      </c>
      <c r="Z43" s="2547"/>
      <c r="AA43" s="2547"/>
      <c r="AB43" s="2547"/>
      <c r="AC43" s="2571" t="s">
        <v>157</v>
      </c>
      <c r="AD43" s="2505"/>
      <c r="AE43" s="2570">
        <f>((AE33+AE39)*AE19+AE26*(AE34+AE40))/1000</f>
        <v>4.866351567567567</v>
      </c>
      <c r="AF43" s="2570">
        <f t="shared" ref="AF43:AH43" si="7">((AF33+AF39)*AF19+AF26*(AF34+AF40))/1000</f>
        <v>7.667883243243244</v>
      </c>
      <c r="AG43" s="2570">
        <f t="shared" si="7"/>
        <v>13.445030918918917</v>
      </c>
      <c r="AH43" s="2570">
        <f t="shared" si="7"/>
        <v>15.955500737100738</v>
      </c>
      <c r="AK43" s="307" t="s">
        <v>109</v>
      </c>
    </row>
    <row r="44" spans="1:62" x14ac:dyDescent="0.2">
      <c r="M44" s="2514" t="s">
        <v>4576</v>
      </c>
      <c r="N44" s="2496"/>
      <c r="O44" s="2496"/>
      <c r="P44" s="2339">
        <v>3913</v>
      </c>
      <c r="Q44" s="2339">
        <v>4165</v>
      </c>
      <c r="R44" s="2498">
        <f>Q44/$P44</f>
        <v>1.0644007155635062</v>
      </c>
      <c r="S44" s="2339">
        <v>4601</v>
      </c>
      <c r="T44" s="2498">
        <f>S44/$P44</f>
        <v>1.1758241758241759</v>
      </c>
      <c r="U44" s="2339">
        <v>4433</v>
      </c>
      <c r="V44" s="2498">
        <f>U44/$P44</f>
        <v>1.132890365448505</v>
      </c>
      <c r="Y44" s="2567" t="s">
        <v>4589</v>
      </c>
      <c r="Z44" s="2547"/>
      <c r="AA44" s="2547"/>
      <c r="AB44" s="2547"/>
      <c r="AC44" s="2571" t="s">
        <v>157</v>
      </c>
      <c r="AD44" s="2505"/>
      <c r="AE44" s="2570">
        <f>(AE34*AE27+AE35*AE29)/1000</f>
        <v>12.92277943548387</v>
      </c>
      <c r="AF44" s="2570">
        <f>(AF34*AF27+AF35*AF29)/1000</f>
        <v>8.6466537206744878</v>
      </c>
      <c r="AG44" s="2570">
        <f>(AG34*AG27+AG35*AG29)/1000</f>
        <v>4.9190485887096775</v>
      </c>
      <c r="AH44" s="2570">
        <f>(AH34*AH27+AH35*AH29)/1000</f>
        <v>0.9755454545454546</v>
      </c>
      <c r="AK44" s="2344" t="s">
        <v>4574</v>
      </c>
      <c r="AL44" s="2496"/>
      <c r="AM44" s="2496"/>
      <c r="AN44" s="2496"/>
      <c r="AO44" s="2519"/>
      <c r="AP44" s="2493">
        <f>AE16</f>
        <v>0.22</v>
      </c>
      <c r="AQ44" s="2493">
        <f>AF16</f>
        <v>0.42</v>
      </c>
      <c r="AR44" s="2493">
        <f>AG16</f>
        <v>0.7</v>
      </c>
      <c r="AS44" s="2493">
        <f>AH16</f>
        <v>0.93</v>
      </c>
    </row>
    <row r="45" spans="1:62" x14ac:dyDescent="0.2">
      <c r="M45" s="2514" t="s">
        <v>4485</v>
      </c>
      <c r="N45" s="2496"/>
      <c r="O45" s="2496"/>
      <c r="P45" s="2339">
        <v>953</v>
      </c>
      <c r="Q45" s="2339">
        <v>3092</v>
      </c>
      <c r="R45" s="2498">
        <f>Q45/$P45</f>
        <v>3.2444910807974816</v>
      </c>
      <c r="S45" s="2339">
        <v>5205</v>
      </c>
      <c r="T45" s="2498">
        <f>S45/$P45</f>
        <v>5.4616998950682056</v>
      </c>
      <c r="U45" s="2339">
        <v>6745</v>
      </c>
      <c r="V45" s="2498">
        <f>U45/$P45</f>
        <v>7.0776495278069254</v>
      </c>
      <c r="Y45" s="2344" t="s">
        <v>4585</v>
      </c>
      <c r="Z45" s="2496"/>
      <c r="AA45" s="2496"/>
      <c r="AB45" s="2496"/>
      <c r="AC45" s="2549" t="s">
        <v>157</v>
      </c>
      <c r="AD45" s="2519"/>
      <c r="AE45" s="2570">
        <f>AE36*AE30/1000</f>
        <v>10.585965409500638</v>
      </c>
      <c r="AF45" s="2570">
        <f>AF36*AF30/1000</f>
        <v>6.8489920781949891</v>
      </c>
      <c r="AG45" s="2570">
        <f>AG36*AG30/1000</f>
        <v>3.401113384578518</v>
      </c>
      <c r="AH45" s="2570">
        <f>AH36*AH30/1000</f>
        <v>0</v>
      </c>
      <c r="AK45" s="2344" t="s">
        <v>4572</v>
      </c>
      <c r="AL45" s="2496"/>
      <c r="AM45" s="2496"/>
      <c r="AN45" s="2496"/>
      <c r="AO45" s="2519"/>
      <c r="AP45" s="2589">
        <f t="shared" ref="AP45:AS46" si="8">AE4</f>
        <v>6.7000000000000004E-2</v>
      </c>
      <c r="AQ45" s="2589">
        <f t="shared" si="8"/>
        <v>6.7000000000000004E-2</v>
      </c>
      <c r="AR45" s="2589">
        <f t="shared" si="8"/>
        <v>6.7000000000000004E-2</v>
      </c>
      <c r="AS45" s="2589">
        <f t="shared" si="8"/>
        <v>6.7000000000000004E-2</v>
      </c>
    </row>
    <row r="46" spans="1:62" ht="15.75" x14ac:dyDescent="0.25">
      <c r="A46" s="2568" t="s">
        <v>4571</v>
      </c>
      <c r="B46" s="29"/>
      <c r="C46" s="29"/>
      <c r="D46" s="29"/>
      <c r="E46" s="29"/>
      <c r="G46" s="29" t="str">
        <f>$G$24</f>
        <v>BAU2030</v>
      </c>
      <c r="H46" s="29" t="str">
        <f>$H$24</f>
        <v>BAU2050</v>
      </c>
      <c r="I46" s="29" t="str">
        <f>$I$24</f>
        <v>STI2030</v>
      </c>
      <c r="J46" s="29" t="str">
        <f>$J$24</f>
        <v>STI2050</v>
      </c>
      <c r="AK46" s="2344" t="s">
        <v>4570</v>
      </c>
      <c r="AL46" s="2496"/>
      <c r="AM46" s="2496"/>
      <c r="AN46" s="2496"/>
      <c r="AO46" s="2519"/>
      <c r="AP46" s="2589">
        <f t="shared" si="8"/>
        <v>0.107</v>
      </c>
      <c r="AQ46" s="2589">
        <f t="shared" si="8"/>
        <v>0.107</v>
      </c>
      <c r="AR46" s="2589">
        <f t="shared" si="8"/>
        <v>0.107</v>
      </c>
      <c r="AS46" s="2589">
        <f t="shared" si="8"/>
        <v>0.107</v>
      </c>
    </row>
    <row r="47" spans="1:62" ht="15.75" x14ac:dyDescent="0.25">
      <c r="A47" s="307" t="s">
        <v>4569</v>
      </c>
      <c r="G47" s="2543">
        <f>-Reduktionsstiberegner!H93</f>
        <v>-0.03</v>
      </c>
      <c r="H47" s="2542">
        <f>-Reduktionsstiberegner!J93</f>
        <v>-0.05</v>
      </c>
      <c r="I47" s="2541">
        <f>-Reduktionsstiberegner!L93</f>
        <v>-0.03</v>
      </c>
      <c r="J47" s="2540">
        <f>-Reduktionsstiberegner!N93</f>
        <v>-0.05</v>
      </c>
      <c r="M47" s="2568" t="s">
        <v>4568</v>
      </c>
      <c r="Y47" s="2568" t="s">
        <v>4579</v>
      </c>
      <c r="AK47" s="12" t="s">
        <v>4567</v>
      </c>
    </row>
    <row r="48" spans="1:62" x14ac:dyDescent="0.2">
      <c r="Y48" s="307" t="s">
        <v>4324</v>
      </c>
    </row>
    <row r="49" spans="1:58" hidden="1" x14ac:dyDescent="0.2">
      <c r="A49" s="307" t="s">
        <v>647</v>
      </c>
      <c r="G49" s="29" t="str">
        <f>$G$24</f>
        <v>BAU2030</v>
      </c>
      <c r="H49" s="29" t="str">
        <f>$H$24</f>
        <v>BAU2050</v>
      </c>
      <c r="I49" s="29" t="str">
        <f>$I$24</f>
        <v>STI2030</v>
      </c>
      <c r="J49" s="29" t="str">
        <f>$J$24</f>
        <v>STI2050</v>
      </c>
      <c r="M49" s="311" t="str">
        <f>"Til energiregnskabet - "&amp;M47</f>
        <v>Til energiregnskabet - Power-To-X og biogas</v>
      </c>
      <c r="Y49" s="2344" t="s">
        <v>4575</v>
      </c>
      <c r="Z49" s="2496"/>
      <c r="AA49" s="2496"/>
      <c r="AB49" s="2496"/>
      <c r="AC49" s="2549"/>
      <c r="AD49" s="2549" t="s">
        <v>581</v>
      </c>
      <c r="AE49" s="2572">
        <f>+$J$10</f>
        <v>33</v>
      </c>
      <c r="AF49" s="2572">
        <f>AE49</f>
        <v>33</v>
      </c>
      <c r="AG49" s="2572">
        <f>AF49</f>
        <v>33</v>
      </c>
      <c r="AH49" s="2572">
        <f>AG49</f>
        <v>33</v>
      </c>
      <c r="AK49" s="307" t="s">
        <v>4566</v>
      </c>
      <c r="AP49" s="2553" t="str">
        <f>$AT$4</f>
        <v>BAU2030</v>
      </c>
      <c r="AQ49" s="2552" t="str">
        <f>$AU$4</f>
        <v>BAU2050</v>
      </c>
      <c r="AR49" s="2551" t="str">
        <f>$AV$4</f>
        <v>STI2030</v>
      </c>
      <c r="AS49" s="2550" t="str">
        <f>$AW$4</f>
        <v>STI2050</v>
      </c>
    </row>
    <row r="50" spans="1:58" hidden="1" x14ac:dyDescent="0.2">
      <c r="A50" s="2514" t="s">
        <v>4508</v>
      </c>
      <c r="B50" s="2513"/>
      <c r="C50" s="2513"/>
      <c r="D50" s="2496"/>
      <c r="E50" s="2532"/>
      <c r="F50" s="2519"/>
      <c r="G50" s="2543">
        <f>-Reduktionsstiberegner!H96</f>
        <v>-0.83</v>
      </c>
      <c r="H50" s="2542">
        <f>-Reduktionsstiberegner!J96</f>
        <v>-0.9</v>
      </c>
      <c r="I50" s="2541">
        <f>-Reduktionsstiberegner!L96</f>
        <v>-0.9</v>
      </c>
      <c r="J50" s="2540">
        <f>-Reduktionsstiberegner!N96</f>
        <v>-1</v>
      </c>
      <c r="M50" s="2521" t="s">
        <v>4469</v>
      </c>
      <c r="N50" s="2520"/>
      <c r="O50" s="2520"/>
      <c r="P50" s="2587"/>
      <c r="Q50" s="2588" t="s">
        <v>79</v>
      </c>
      <c r="R50" s="2336"/>
      <c r="S50" s="2343">
        <f>S66+S82+S93+S109+S120+S128</f>
        <v>0</v>
      </c>
      <c r="T50" s="2343">
        <f>T66+T82+T93+T109+T120+T128</f>
        <v>0</v>
      </c>
      <c r="U50" s="2343">
        <f>U66+U82+U93+U109+U120+U128</f>
        <v>0</v>
      </c>
      <c r="V50" s="2343">
        <f>V66+V82+V93+V109+V120+V128</f>
        <v>0</v>
      </c>
      <c r="Y50" s="2344" t="s">
        <v>4573</v>
      </c>
      <c r="Z50" s="2496"/>
      <c r="AA50" s="2496"/>
      <c r="AB50" s="2496"/>
      <c r="AC50" s="2496"/>
      <c r="AD50" s="2496"/>
      <c r="AE50" s="2496"/>
      <c r="AF50" s="2496"/>
      <c r="AG50" s="2496"/>
      <c r="AH50" s="2519"/>
      <c r="AK50" s="2344" t="s">
        <v>4565</v>
      </c>
      <c r="AL50" s="2496"/>
      <c r="AM50" s="2496"/>
      <c r="AN50" s="2496" t="s">
        <v>18</v>
      </c>
      <c r="AO50" s="2519"/>
      <c r="AP50" s="2493">
        <f>S4/100</f>
        <v>1</v>
      </c>
      <c r="AQ50" s="2493">
        <f>T4/100</f>
        <v>1</v>
      </c>
      <c r="AR50" s="2493">
        <f>U4/100</f>
        <v>1</v>
      </c>
      <c r="AS50" s="2493">
        <f>V4/100</f>
        <v>1</v>
      </c>
    </row>
    <row r="51" spans="1:58" hidden="1" x14ac:dyDescent="0.2">
      <c r="A51" s="2514">
        <v>2020</v>
      </c>
      <c r="B51" s="2513"/>
      <c r="C51" s="2513"/>
      <c r="D51" s="2345">
        <f>'E2020'!$E$14</f>
        <v>29.48</v>
      </c>
      <c r="F51" s="2519"/>
      <c r="G51" s="2519"/>
      <c r="H51" s="2347"/>
      <c r="I51" s="2519"/>
      <c r="J51" s="2347"/>
      <c r="M51" s="2521" t="s">
        <v>4564</v>
      </c>
      <c r="N51" s="2520"/>
      <c r="O51" s="2520"/>
      <c r="P51" s="2587"/>
      <c r="Q51" s="2588" t="s">
        <v>79</v>
      </c>
      <c r="R51" s="2336"/>
      <c r="S51" s="2343">
        <f>+S58+S67+S110+S121</f>
        <v>0</v>
      </c>
      <c r="T51" s="2343">
        <f>+T58+T67+T110+T121</f>
        <v>0</v>
      </c>
      <c r="U51" s="2343">
        <f>+U58+U67+U110+U121</f>
        <v>0</v>
      </c>
      <c r="V51" s="2343">
        <f>+V58+V67+V110+V121</f>
        <v>0</v>
      </c>
      <c r="Y51" s="2514" t="s">
        <v>4521</v>
      </c>
      <c r="Z51" s="2496"/>
      <c r="AA51" s="2496"/>
      <c r="AB51" s="2496"/>
      <c r="AC51" s="2549"/>
      <c r="AD51" s="2549"/>
      <c r="AE51" s="2553">
        <f>1-SUM(AE52:AE54)</f>
        <v>0.92</v>
      </c>
      <c r="AF51" s="2552">
        <f>1-SUM(AF52:AF54)</f>
        <v>0.79</v>
      </c>
      <c r="AG51" s="2551">
        <f>1-SUM(AG52:AG54)</f>
        <v>0.92</v>
      </c>
      <c r="AH51" s="2550">
        <f>1-SUM(AH52:AH54)</f>
        <v>0.79</v>
      </c>
      <c r="AK51" s="2344" t="s">
        <v>4729</v>
      </c>
      <c r="AL51" s="2496"/>
      <c r="AM51" s="2496"/>
      <c r="AN51" s="2496" t="s">
        <v>4562</v>
      </c>
      <c r="AO51" s="2519"/>
      <c r="AP51" s="2339">
        <f>S5</f>
        <v>0</v>
      </c>
      <c r="AQ51" s="2339">
        <f>T5</f>
        <v>0</v>
      </c>
      <c r="AR51" s="2339">
        <f>U5</f>
        <v>0</v>
      </c>
      <c r="AS51" s="2339">
        <f>V5</f>
        <v>0</v>
      </c>
    </row>
    <row r="52" spans="1:58" hidden="1" x14ac:dyDescent="0.2">
      <c r="A52" s="2566">
        <v>2030</v>
      </c>
      <c r="B52" s="2565"/>
      <c r="C52" s="2565"/>
      <c r="D52" s="2564"/>
      <c r="E52" s="2532"/>
      <c r="F52" s="2519"/>
      <c r="G52" s="2563">
        <f>$D$51*(1+G50)*(1+G$47)</f>
        <v>4.8612520000000012</v>
      </c>
      <c r="H52" s="2347">
        <f>$D$51*(1+H50)*(1+H$47)</f>
        <v>2.8005999999999993</v>
      </c>
      <c r="I52" s="2563">
        <f>$D$51*(1+I50)*(1+I$47)</f>
        <v>2.8595599999999997</v>
      </c>
      <c r="J52" s="2347">
        <f>$D$51*(1+J50)*(1+J$47)</f>
        <v>0</v>
      </c>
      <c r="M52" s="2521" t="s">
        <v>4503</v>
      </c>
      <c r="N52" s="2520"/>
      <c r="O52" s="2520"/>
      <c r="P52" s="2587"/>
      <c r="Q52" s="2520" t="s">
        <v>79</v>
      </c>
      <c r="R52" s="2336"/>
      <c r="S52" s="2343">
        <f>+S83+S94</f>
        <v>0</v>
      </c>
      <c r="T52" s="2343">
        <f>+T83+T94</f>
        <v>0</v>
      </c>
      <c r="U52" s="2343">
        <f>+U83+U94</f>
        <v>0</v>
      </c>
      <c r="V52" s="2343">
        <f>+V83+V94</f>
        <v>0</v>
      </c>
      <c r="Y52" s="2514" t="s">
        <v>4519</v>
      </c>
      <c r="Z52" s="2496"/>
      <c r="AA52" s="2496"/>
      <c r="AB52" s="2496"/>
      <c r="AC52" s="2549"/>
      <c r="AD52" s="2549"/>
      <c r="AE52" s="2553">
        <f>Reduktionsstiberegner!H76</f>
        <v>0.05</v>
      </c>
      <c r="AF52" s="2552">
        <f>Reduktionsstiberegner!J76</f>
        <v>0.17</v>
      </c>
      <c r="AG52" s="2551">
        <f>Reduktionsstiberegner!L76</f>
        <v>0.05</v>
      </c>
      <c r="AH52" s="2550">
        <f>Reduktionsstiberegner!N76</f>
        <v>0.17</v>
      </c>
      <c r="BF52" s="33"/>
    </row>
    <row r="53" spans="1:58" ht="15.75" hidden="1" x14ac:dyDescent="0.25">
      <c r="A53" s="2514" t="s">
        <v>4533</v>
      </c>
      <c r="B53" s="2513"/>
      <c r="C53" s="2496"/>
      <c r="D53" s="2562">
        <f>'E2020'!$AE$14%</f>
        <v>0.8</v>
      </c>
      <c r="E53" s="2532"/>
      <c r="F53" s="2519"/>
      <c r="G53" s="2519"/>
      <c r="H53" s="2519"/>
      <c r="I53" s="2519"/>
      <c r="J53" s="2519"/>
      <c r="M53" s="2521" t="s">
        <v>4560</v>
      </c>
      <c r="N53" s="2520"/>
      <c r="O53" s="2520"/>
      <c r="P53" s="2587"/>
      <c r="Q53" s="2520" t="s">
        <v>79</v>
      </c>
      <c r="R53" s="2336"/>
      <c r="S53" s="2343">
        <f>S127</f>
        <v>0</v>
      </c>
      <c r="T53" s="2343">
        <f>T127</f>
        <v>0</v>
      </c>
      <c r="U53" s="2343">
        <f>U127</f>
        <v>0</v>
      </c>
      <c r="V53" s="2343">
        <f>V127</f>
        <v>0</v>
      </c>
      <c r="Y53" s="2514" t="s">
        <v>4517</v>
      </c>
      <c r="Z53" s="2496"/>
      <c r="AA53" s="2496"/>
      <c r="AB53" s="2496"/>
      <c r="AC53" s="2549"/>
      <c r="AD53" s="2549"/>
      <c r="AE53" s="2553">
        <f>Reduktionsstiberegner!H77</f>
        <v>0.02</v>
      </c>
      <c r="AF53" s="2552">
        <f>Reduktionsstiberegner!J77</f>
        <v>0.03</v>
      </c>
      <c r="AG53" s="2551">
        <f>Reduktionsstiberegner!L77</f>
        <v>0.02</v>
      </c>
      <c r="AH53" s="2550">
        <f>Reduktionsstiberegner!N77</f>
        <v>0.03</v>
      </c>
      <c r="AK53" s="2568" t="s">
        <v>4558</v>
      </c>
    </row>
    <row r="54" spans="1:58" hidden="1" x14ac:dyDescent="0.2">
      <c r="A54" s="2578" t="s">
        <v>4505</v>
      </c>
      <c r="B54" s="2577"/>
      <c r="C54" s="2577"/>
      <c r="D54" s="2576"/>
      <c r="E54" s="2575"/>
      <c r="F54" s="2519"/>
      <c r="G54" s="2557">
        <f>($D$51*$D$53)-(G52*$D$53)/(1+G47)</f>
        <v>19.574720000000003</v>
      </c>
      <c r="H54" s="2557">
        <f>($D$51*$D$53)-(H52*$D$53)/(1+H47)</f>
        <v>21.225600000000004</v>
      </c>
      <c r="I54" s="2557">
        <f>($D$51*$D$53)-(I52*$D$53)/(1+I47)</f>
        <v>21.225600000000004</v>
      </c>
      <c r="J54" s="2557">
        <f>($D$51*$D$53)-(J52*$D$53)/(1+J47)</f>
        <v>23.584000000000003</v>
      </c>
      <c r="M54" s="2521" t="s">
        <v>171</v>
      </c>
      <c r="N54" s="2520"/>
      <c r="O54" s="2520"/>
      <c r="P54" s="2587"/>
      <c r="Q54" s="2520" t="s">
        <v>79</v>
      </c>
      <c r="R54" s="2336"/>
      <c r="S54" s="2343">
        <f>+S84+S95+S111+S122+S129</f>
        <v>0</v>
      </c>
      <c r="T54" s="2343">
        <f>+T84+T95+T111+T122+T129</f>
        <v>0</v>
      </c>
      <c r="U54" s="2343">
        <f>+U84+U95+U111+U122+U129</f>
        <v>0</v>
      </c>
      <c r="V54" s="2343">
        <f>+V84+V95+V111+V122+V129</f>
        <v>0</v>
      </c>
      <c r="Y54" s="2514" t="s">
        <v>4516</v>
      </c>
      <c r="Z54" s="2496"/>
      <c r="AA54" s="2496"/>
      <c r="AB54" s="2496"/>
      <c r="AC54" s="2549"/>
      <c r="AD54" s="2549"/>
      <c r="AE54" s="2553">
        <f>Reduktionsstiberegner!H78</f>
        <v>0.01</v>
      </c>
      <c r="AF54" s="2552">
        <f>Reduktionsstiberegner!J78</f>
        <v>0.01</v>
      </c>
      <c r="AG54" s="2551">
        <f>Reduktionsstiberegner!L78</f>
        <v>0.01</v>
      </c>
      <c r="AH54" s="2550">
        <f>Reduktionsstiberegner!N78</f>
        <v>0.01</v>
      </c>
      <c r="AK54" s="2344" t="s">
        <v>4557</v>
      </c>
      <c r="AL54" s="2496"/>
      <c r="AM54" s="2496"/>
      <c r="AN54" s="2496"/>
      <c r="AO54" s="2496" t="s">
        <v>4460</v>
      </c>
      <c r="AP54" s="2498">
        <f>S55</f>
        <v>0</v>
      </c>
      <c r="AQ54" s="2498">
        <f>T55</f>
        <v>0</v>
      </c>
      <c r="AR54" s="2498">
        <f>U55</f>
        <v>0</v>
      </c>
      <c r="AS54" s="2498">
        <f>V55</f>
        <v>0</v>
      </c>
    </row>
    <row r="55" spans="1:58" hidden="1" x14ac:dyDescent="0.2">
      <c r="A55" s="2514" t="s">
        <v>4504</v>
      </c>
      <c r="B55" s="2513"/>
      <c r="C55" s="2513"/>
      <c r="D55" s="2496"/>
      <c r="E55" s="2532"/>
      <c r="F55" s="2519"/>
      <c r="G55" s="2555">
        <f>G54*(1+G$47)</f>
        <v>18.987478400000001</v>
      </c>
      <c r="H55" s="2555">
        <f>H54*(1+H$47)</f>
        <v>20.164320000000004</v>
      </c>
      <c r="I55" s="2555">
        <f>I54*(1+I$47)</f>
        <v>20.588832000000004</v>
      </c>
      <c r="J55" s="2555">
        <f>J54*(1+J$47)</f>
        <v>22.404800000000002</v>
      </c>
      <c r="M55" s="2344" t="s">
        <v>4556</v>
      </c>
      <c r="N55" s="2496"/>
      <c r="O55" s="2496"/>
      <c r="P55" s="2519"/>
      <c r="Q55" s="2496" t="s">
        <v>4460</v>
      </c>
      <c r="R55" s="2337"/>
      <c r="S55" s="2339">
        <f>S76+S91+S104+S118+S125</f>
        <v>0</v>
      </c>
      <c r="T55" s="2339">
        <f>T76+T91+T104+T118+T125</f>
        <v>0</v>
      </c>
      <c r="U55" s="2339">
        <f>U76+U91+U104+U118+U125</f>
        <v>0</v>
      </c>
      <c r="V55" s="2339">
        <f>V76+V91+V104+V118+V125</f>
        <v>0</v>
      </c>
      <c r="Y55" s="2521" t="s">
        <v>4528</v>
      </c>
      <c r="Z55" s="2496"/>
      <c r="AA55" s="2496"/>
      <c r="AB55" s="2496"/>
      <c r="AC55" s="2496"/>
      <c r="AD55" s="2496"/>
      <c r="AE55" s="2496"/>
      <c r="AF55" s="2496"/>
      <c r="AG55" s="2496"/>
      <c r="AH55" s="2519"/>
      <c r="AK55" s="2344" t="s">
        <v>4555</v>
      </c>
      <c r="AL55" s="2496"/>
      <c r="AM55" s="2496"/>
      <c r="AN55" s="2496"/>
      <c r="AO55" s="2496" t="s">
        <v>79</v>
      </c>
      <c r="AP55" s="2498">
        <f>BC12</f>
        <v>0</v>
      </c>
      <c r="AQ55" s="2498">
        <f>BD12</f>
        <v>0</v>
      </c>
      <c r="AR55" s="2498">
        <f>BE12</f>
        <v>0</v>
      </c>
      <c r="AS55" s="2498">
        <f>BF12</f>
        <v>0</v>
      </c>
    </row>
    <row r="56" spans="1:58" hidden="1" x14ac:dyDescent="0.2">
      <c r="A56" s="307" t="s">
        <v>4554</v>
      </c>
      <c r="E56" s="2532"/>
      <c r="Y56" s="2344" t="s">
        <v>4563</v>
      </c>
      <c r="Z56" s="2496"/>
      <c r="AA56" s="2496"/>
      <c r="AB56" s="2496"/>
      <c r="AC56" s="2549" t="s">
        <v>582</v>
      </c>
      <c r="AD56" s="2496"/>
      <c r="AE56" s="2518">
        <f>$J11*(482.2/569.5)</f>
        <v>795.3920238380291</v>
      </c>
      <c r="AF56" s="2517">
        <f>$J11*(482.2/569.5)</f>
        <v>795.3920238380291</v>
      </c>
      <c r="AG56" s="2516">
        <f>$J11*(482.2/569.5)</f>
        <v>795.3920238380291</v>
      </c>
      <c r="AH56" s="2515">
        <f>$J11*(482.2/569.5)</f>
        <v>795.3920238380291</v>
      </c>
    </row>
    <row r="57" spans="1:58" hidden="1" x14ac:dyDescent="0.2">
      <c r="A57" s="2514" t="s">
        <v>4553</v>
      </c>
      <c r="B57" s="2513"/>
      <c r="C57" s="2513"/>
      <c r="D57" s="2496"/>
      <c r="E57" s="2532"/>
      <c r="F57" s="2519"/>
      <c r="G57" s="2510">
        <v>0.8</v>
      </c>
      <c r="H57" s="2509">
        <v>0.8</v>
      </c>
      <c r="I57" s="2507">
        <v>1</v>
      </c>
      <c r="J57" s="2494">
        <v>1</v>
      </c>
      <c r="M57" s="307" t="s">
        <v>4552</v>
      </c>
      <c r="Q57" s="2535" t="s">
        <v>4463</v>
      </c>
      <c r="Y57" s="2344" t="s">
        <v>4561</v>
      </c>
      <c r="Z57" s="2496"/>
      <c r="AA57" s="2496"/>
      <c r="AB57" s="2496"/>
      <c r="AC57" s="2549" t="s">
        <v>582</v>
      </c>
      <c r="AD57" s="2519"/>
      <c r="AE57" s="2572">
        <f>AE56*'E2020'!$AD$71%</f>
        <v>290.31808870088059</v>
      </c>
      <c r="AF57" s="2572">
        <f>AF56*'E2020'!$AD$71%</f>
        <v>290.31808870088059</v>
      </c>
      <c r="AG57" s="2572">
        <f>AG56*'E2020'!$AD$71%</f>
        <v>290.31808870088059</v>
      </c>
      <c r="AH57" s="2572">
        <f>AH56*'E2020'!$AD$71%</f>
        <v>290.31808870088059</v>
      </c>
      <c r="AK57" s="2344" t="s">
        <v>4551</v>
      </c>
      <c r="AL57" s="2496"/>
      <c r="AM57" s="2496"/>
      <c r="AN57" s="2496"/>
      <c r="AO57" s="2496" t="s">
        <v>79</v>
      </c>
      <c r="AP57" s="2498">
        <f t="shared" ref="AP57:AS58" si="9">S51</f>
        <v>0</v>
      </c>
      <c r="AQ57" s="2498">
        <f t="shared" si="9"/>
        <v>0</v>
      </c>
      <c r="AR57" s="2498">
        <f t="shared" si="9"/>
        <v>0</v>
      </c>
      <c r="AS57" s="2498">
        <f t="shared" si="9"/>
        <v>0</v>
      </c>
    </row>
    <row r="58" spans="1:58" x14ac:dyDescent="0.2">
      <c r="A58" s="2514" t="s">
        <v>4550</v>
      </c>
      <c r="B58" s="2513"/>
      <c r="C58" s="2513"/>
      <c r="D58" s="2496"/>
      <c r="E58" s="2532"/>
      <c r="F58" s="2519"/>
      <c r="G58" s="2510">
        <v>0.2</v>
      </c>
      <c r="H58" s="2509">
        <v>0.2</v>
      </c>
      <c r="I58" s="2507">
        <v>0</v>
      </c>
      <c r="J58" s="2494">
        <v>0</v>
      </c>
      <c r="M58" s="2344" t="s">
        <v>4549</v>
      </c>
      <c r="N58" s="2496"/>
      <c r="O58" s="2496"/>
      <c r="P58" s="2524" t="s">
        <v>79</v>
      </c>
      <c r="Q58" s="2339" t="s">
        <v>4548</v>
      </c>
      <c r="R58" s="2337"/>
      <c r="S58" s="2530">
        <v>0</v>
      </c>
      <c r="T58" s="2529">
        <v>0</v>
      </c>
      <c r="U58" s="2528">
        <v>0</v>
      </c>
      <c r="V58" s="2527">
        <v>0</v>
      </c>
      <c r="Y58" s="2344" t="s">
        <v>4559</v>
      </c>
      <c r="Z58" s="2496"/>
      <c r="AA58" s="2496"/>
      <c r="AB58" s="2496"/>
      <c r="AC58" s="2549"/>
      <c r="AD58" s="2549" t="s">
        <v>581</v>
      </c>
      <c r="AE58" s="2573">
        <f>ROUND(AE49*(1+G42),0)</f>
        <v>37</v>
      </c>
      <c r="AF58" s="2572">
        <f>ROUND(AF49*(1+H42),0)</f>
        <v>40</v>
      </c>
      <c r="AG58" s="2572">
        <f>ROUND(AG49*(1+I42),0)</f>
        <v>37</v>
      </c>
      <c r="AH58" s="2572">
        <f>ROUND(AH49*(1+J42),0)</f>
        <v>40</v>
      </c>
      <c r="AK58" s="2344" t="s">
        <v>4547</v>
      </c>
      <c r="AL58" s="2496"/>
      <c r="AM58" s="2496"/>
      <c r="AN58" s="2496"/>
      <c r="AO58" s="2496" t="s">
        <v>79</v>
      </c>
      <c r="AP58" s="2498">
        <f t="shared" si="9"/>
        <v>0</v>
      </c>
      <c r="AQ58" s="2498">
        <f t="shared" si="9"/>
        <v>0</v>
      </c>
      <c r="AR58" s="2498">
        <f t="shared" si="9"/>
        <v>0</v>
      </c>
      <c r="AS58" s="2498">
        <f t="shared" si="9"/>
        <v>0</v>
      </c>
    </row>
    <row r="59" spans="1:58" x14ac:dyDescent="0.2">
      <c r="A59" s="2514" t="s">
        <v>4546</v>
      </c>
      <c r="B59" s="2513"/>
      <c r="C59" s="2513"/>
      <c r="D59" s="2496"/>
      <c r="E59" s="2532"/>
      <c r="F59" s="2519"/>
      <c r="G59" s="2586">
        <f>G55*G57</f>
        <v>15.189982720000001</v>
      </c>
      <c r="H59" s="2586">
        <f>H55*H57</f>
        <v>16.131456000000004</v>
      </c>
      <c r="I59" s="2586">
        <f>I55*I57</f>
        <v>20.588832000000004</v>
      </c>
      <c r="J59" s="2586">
        <f>J55*J57</f>
        <v>22.404800000000002</v>
      </c>
      <c r="Y59" s="2514" t="s">
        <v>4521</v>
      </c>
      <c r="Z59" s="2496"/>
      <c r="AA59" s="2496"/>
      <c r="AB59" s="2496"/>
      <c r="AC59" s="2549"/>
      <c r="AD59" s="2549" t="s">
        <v>581</v>
      </c>
      <c r="AE59" s="2573">
        <f>AE58-SUM(AE60:AE62)</f>
        <v>34</v>
      </c>
      <c r="AF59" s="2572">
        <f>AF58-SUM(AF60:AF62)</f>
        <v>32</v>
      </c>
      <c r="AG59" s="2572">
        <f>AG58-SUM(AG60:AG62)</f>
        <v>34</v>
      </c>
      <c r="AH59" s="2572">
        <f>AH58-SUM(AH60:AH62)</f>
        <v>32</v>
      </c>
    </row>
    <row r="60" spans="1:58" x14ac:dyDescent="0.2">
      <c r="A60" s="2514" t="s">
        <v>4544</v>
      </c>
      <c r="B60" s="2513"/>
      <c r="C60" s="2513"/>
      <c r="D60" s="2496"/>
      <c r="E60" s="2532"/>
      <c r="F60" s="2519"/>
      <c r="G60" s="2586">
        <f>G55*G58</f>
        <v>3.7974956800000004</v>
      </c>
      <c r="H60" s="2586">
        <f>H55*H58</f>
        <v>4.0328640000000009</v>
      </c>
      <c r="I60" s="2586">
        <f>I55*I58</f>
        <v>0</v>
      </c>
      <c r="J60" s="2586">
        <f>J55*J58</f>
        <v>0</v>
      </c>
      <c r="M60" s="2344" t="s">
        <v>4496</v>
      </c>
      <c r="N60" s="2496"/>
      <c r="O60" s="2496"/>
      <c r="P60" s="2524" t="s">
        <v>4473</v>
      </c>
      <c r="Q60" s="2531">
        <f>$J$14</f>
        <v>6967.5361462067322</v>
      </c>
      <c r="R60" s="2337"/>
      <c r="S60" s="2336" t="str">
        <f>IF(SUM(S61,S71,S99)&gt;1,"OBS - SUM &gt; 100%!","")</f>
        <v/>
      </c>
      <c r="T60" s="2336" t="str">
        <f>IF(SUM(T61,T71,T99)&gt;1,"OBS - SUM &gt; 100%!","")</f>
        <v/>
      </c>
      <c r="U60" s="2336" t="str">
        <f>IF(SUM(U61,U71,U99)&gt;1,"OBS - SUM &gt; 100%!","")</f>
        <v/>
      </c>
      <c r="V60" s="2336" t="str">
        <f>IF(SUM(V61,V71,V99)&gt;1,"OBS - SUM &gt; 100%!","")</f>
        <v/>
      </c>
      <c r="Y60" s="2514" t="s">
        <v>4519</v>
      </c>
      <c r="Z60" s="2496"/>
      <c r="AA60" s="2496"/>
      <c r="AB60" s="2496"/>
      <c r="AC60" s="2549"/>
      <c r="AD60" s="2549" t="s">
        <v>581</v>
      </c>
      <c r="AE60" s="2573">
        <f t="shared" ref="AE60:AH62" si="10">ROUND(AE$58*AE52,0)</f>
        <v>2</v>
      </c>
      <c r="AF60" s="2572">
        <f t="shared" si="10"/>
        <v>7</v>
      </c>
      <c r="AG60" s="2572">
        <f t="shared" si="10"/>
        <v>2</v>
      </c>
      <c r="AH60" s="2572">
        <f t="shared" si="10"/>
        <v>7</v>
      </c>
      <c r="AK60" s="2344" t="s">
        <v>4542</v>
      </c>
      <c r="AL60" s="2496"/>
      <c r="AM60" s="2496"/>
      <c r="AN60" s="2496"/>
      <c r="AO60" s="2519" t="s">
        <v>18</v>
      </c>
      <c r="AP60" s="2585">
        <f>S61+S71+S99</f>
        <v>0</v>
      </c>
      <c r="AQ60" s="2585">
        <f>T61+T71+T99</f>
        <v>0</v>
      </c>
      <c r="AR60" s="2585">
        <f>U61+U71+U99</f>
        <v>0</v>
      </c>
      <c r="AS60" s="2585">
        <f>V61+V71+V99</f>
        <v>0</v>
      </c>
    </row>
    <row r="61" spans="1:58" x14ac:dyDescent="0.2">
      <c r="A61" s="2514"/>
      <c r="B61" s="2513"/>
      <c r="C61" s="2513"/>
      <c r="D61" s="2496"/>
      <c r="E61" s="2532"/>
      <c r="F61" s="2519"/>
      <c r="G61" s="2347"/>
      <c r="H61" s="2347"/>
      <c r="I61" s="2347"/>
      <c r="J61" s="2347"/>
      <c r="M61" s="2344" t="s">
        <v>4492</v>
      </c>
      <c r="N61" s="2496"/>
      <c r="O61" s="2496"/>
      <c r="P61" s="2524" t="s">
        <v>18</v>
      </c>
      <c r="Q61" s="2339"/>
      <c r="R61" s="2337"/>
      <c r="S61" s="2510">
        <f>Reduktionsstiberegner!H100</f>
        <v>0</v>
      </c>
      <c r="T61" s="2509">
        <f>Reduktionsstiberegner!J100</f>
        <v>0</v>
      </c>
      <c r="U61" s="2507">
        <f>Reduktionsstiberegner!L100</f>
        <v>0</v>
      </c>
      <c r="V61" s="2494">
        <f>Reduktionsstiberegner!N100</f>
        <v>0</v>
      </c>
      <c r="Y61" s="2514" t="s">
        <v>4517</v>
      </c>
      <c r="Z61" s="2496"/>
      <c r="AA61" s="2496"/>
      <c r="AB61" s="2496"/>
      <c r="AC61" s="2549"/>
      <c r="AD61" s="2549" t="s">
        <v>581</v>
      </c>
      <c r="AE61" s="2573">
        <f t="shared" si="10"/>
        <v>1</v>
      </c>
      <c r="AF61" s="2572">
        <f t="shared" si="10"/>
        <v>1</v>
      </c>
      <c r="AG61" s="2572">
        <f t="shared" si="10"/>
        <v>1</v>
      </c>
      <c r="AH61" s="2572">
        <f t="shared" si="10"/>
        <v>1</v>
      </c>
      <c r="AK61" s="2344" t="s">
        <v>4735</v>
      </c>
      <c r="AL61" s="2496"/>
      <c r="AM61" s="2496"/>
      <c r="AN61" s="2496"/>
      <c r="AO61" s="2519" t="s">
        <v>18</v>
      </c>
      <c r="AP61" s="2585">
        <f>+S88+S115</f>
        <v>0</v>
      </c>
      <c r="AQ61" s="2585">
        <f>+T88+T115</f>
        <v>0</v>
      </c>
      <c r="AR61" s="2585">
        <f>+U88+U115</f>
        <v>0</v>
      </c>
      <c r="AS61" s="2585">
        <f>+V88+V115</f>
        <v>0</v>
      </c>
    </row>
    <row r="62" spans="1:58" x14ac:dyDescent="0.2">
      <c r="M62" s="2344" t="s">
        <v>4492</v>
      </c>
      <c r="N62" s="2496"/>
      <c r="O62" s="2496"/>
      <c r="P62" s="2524" t="s">
        <v>4473</v>
      </c>
      <c r="Q62" s="2339">
        <v>131000</v>
      </c>
      <c r="R62" s="2337"/>
      <c r="S62" s="2339">
        <f>S61*$Q$60</f>
        <v>0</v>
      </c>
      <c r="T62" s="2339">
        <f>T61*$Q$60</f>
        <v>0</v>
      </c>
      <c r="U62" s="2339">
        <f>U61*$Q$60</f>
        <v>0</v>
      </c>
      <c r="V62" s="2339">
        <f>V61*$Q$60</f>
        <v>0</v>
      </c>
      <c r="Y62" s="2514" t="s">
        <v>4516</v>
      </c>
      <c r="Z62" s="2496"/>
      <c r="AA62" s="2496"/>
      <c r="AB62" s="2496"/>
      <c r="AC62" s="2549"/>
      <c r="AD62" s="2549" t="s">
        <v>581</v>
      </c>
      <c r="AE62" s="2573">
        <f t="shared" si="10"/>
        <v>0</v>
      </c>
      <c r="AF62" s="2572">
        <f t="shared" si="10"/>
        <v>0</v>
      </c>
      <c r="AG62" s="2572">
        <f t="shared" si="10"/>
        <v>0</v>
      </c>
      <c r="AH62" s="2572">
        <f t="shared" si="10"/>
        <v>0</v>
      </c>
    </row>
    <row r="63" spans="1:58" x14ac:dyDescent="0.2">
      <c r="A63" s="307" t="s">
        <v>646</v>
      </c>
      <c r="G63" s="29" t="str">
        <f>$G$24</f>
        <v>BAU2030</v>
      </c>
      <c r="H63" s="29" t="str">
        <f>$H$24</f>
        <v>BAU2050</v>
      </c>
      <c r="I63" s="29" t="str">
        <f>$I$24</f>
        <v>STI2030</v>
      </c>
      <c r="J63" s="29" t="str">
        <f>$J$24</f>
        <v>STI2050</v>
      </c>
      <c r="M63" s="2344" t="s">
        <v>4490</v>
      </c>
      <c r="N63" s="2496"/>
      <c r="O63" s="2496"/>
      <c r="P63" s="2524" t="s">
        <v>4473</v>
      </c>
      <c r="Q63" s="2339">
        <v>38000</v>
      </c>
      <c r="R63" s="2337"/>
      <c r="S63" s="2339">
        <f>ROUND(S62/$Q$62*$Q$63,-3)</f>
        <v>0</v>
      </c>
      <c r="T63" s="2339">
        <f>ROUND(T62/$Q$62*$Q$63,-3)</f>
        <v>0</v>
      </c>
      <c r="U63" s="2339">
        <f>ROUND(U62/$Q$62*$Q$63,-3)</f>
        <v>0</v>
      </c>
      <c r="V63" s="2339">
        <f>ROUND(V62/$Q$62*$Q$63,-3)</f>
        <v>0</v>
      </c>
      <c r="Y63" s="311" t="str">
        <f>"Til energiregnskabet - "&amp;Y48</f>
        <v>Til energiregnskabet - Lastbiler</v>
      </c>
      <c r="AK63" s="307" t="s">
        <v>4539</v>
      </c>
    </row>
    <row r="64" spans="1:58" x14ac:dyDescent="0.2">
      <c r="A64" s="2566" t="s">
        <v>4508</v>
      </c>
      <c r="B64" s="2565"/>
      <c r="C64" s="2565"/>
      <c r="D64" s="2547"/>
      <c r="E64" s="2564"/>
      <c r="F64" s="2519"/>
      <c r="G64" s="2543">
        <f>-Reduktionsstiberegner!H95</f>
        <v>0</v>
      </c>
      <c r="H64" s="2542">
        <f>-Reduktionsstiberegner!J95</f>
        <v>0</v>
      </c>
      <c r="I64" s="2541">
        <f>-Reduktionsstiberegner!L95</f>
        <v>0</v>
      </c>
      <c r="J64" s="2540">
        <f>-Reduktionsstiberegner!N95</f>
        <v>0</v>
      </c>
      <c r="M64" s="2344" t="s">
        <v>93</v>
      </c>
      <c r="N64" s="2496"/>
      <c r="O64" s="2496"/>
      <c r="P64" s="2524" t="s">
        <v>4736</v>
      </c>
      <c r="Q64" s="2339">
        <v>1141.5530000000001</v>
      </c>
      <c r="R64" s="2337"/>
      <c r="S64" s="2339">
        <f>ROUND(S62/$Q$62*$Q$64,0)</f>
        <v>0</v>
      </c>
      <c r="T64" s="2339">
        <f>ROUND(T62/$Q$62*$Q$64,0)</f>
        <v>0</v>
      </c>
      <c r="U64" s="2339">
        <f>ROUND(U62/$Q$62*$Q$64,0)</f>
        <v>0</v>
      </c>
      <c r="V64" s="2339">
        <f>ROUND(V62/$Q$62*$Q$64,0)</f>
        <v>0</v>
      </c>
      <c r="Y64" s="2567" t="s">
        <v>4545</v>
      </c>
      <c r="Z64" s="2547"/>
      <c r="AA64" s="2547"/>
      <c r="AB64" s="2547"/>
      <c r="AC64" s="2571" t="s">
        <v>157</v>
      </c>
      <c r="AD64" s="2505"/>
      <c r="AE64" s="2570">
        <f>AE59*AE56/1000</f>
        <v>27.043328810492987</v>
      </c>
      <c r="AF64" s="2570">
        <f>AF59*AF56/1000</f>
        <v>25.452544762816931</v>
      </c>
      <c r="AG64" s="2570">
        <f>AG59*AG56/1000</f>
        <v>27.043328810492987</v>
      </c>
      <c r="AH64" s="2570">
        <f>AH59*AH56/1000</f>
        <v>25.452544762816931</v>
      </c>
      <c r="AK64" s="2344" t="str">
        <f>"Solceller ("&amp;ROUND(R31,2)&amp;" "&amp;Q31&amp;")"</f>
        <v>Solceller (1,3 MWp/ha)</v>
      </c>
      <c r="AL64" s="2496"/>
      <c r="AM64" s="2496"/>
      <c r="AN64" s="2496"/>
      <c r="AO64" s="2496" t="s">
        <v>392</v>
      </c>
      <c r="AP64" s="2498">
        <f>AP54/$R$31</f>
        <v>0</v>
      </c>
      <c r="AQ64" s="2498">
        <f>AQ54/$R$31</f>
        <v>0</v>
      </c>
      <c r="AR64" s="2498">
        <f>AR54/$R$31</f>
        <v>0</v>
      </c>
      <c r="AS64" s="2498">
        <f>AS54/$R$31</f>
        <v>0</v>
      </c>
    </row>
    <row r="65" spans="1:45" x14ac:dyDescent="0.2">
      <c r="A65" s="2514">
        <v>2020</v>
      </c>
      <c r="B65" s="2513"/>
      <c r="C65" s="2513"/>
      <c r="D65" s="2345">
        <f>'E2020'!$I$15</f>
        <v>0</v>
      </c>
      <c r="E65" s="2532"/>
      <c r="F65" s="2519"/>
      <c r="G65" s="2496"/>
      <c r="H65" s="2584"/>
      <c r="I65" s="2496"/>
      <c r="J65" s="2583"/>
      <c r="M65" s="307" t="str">
        <f>"Output - "&amp;M57</f>
        <v>Output - Opgraderet biogas</v>
      </c>
      <c r="Y65" s="2567" t="s">
        <v>4543</v>
      </c>
      <c r="Z65" s="2547"/>
      <c r="AA65" s="2547"/>
      <c r="AB65" s="2547"/>
      <c r="AC65" s="2571" t="s">
        <v>157</v>
      </c>
      <c r="AD65" s="2505"/>
      <c r="AE65" s="2570">
        <f>AE57/'E2020'!$AC$74%/1000*AE60</f>
        <v>0.82948025343108744</v>
      </c>
      <c r="AF65" s="2570">
        <f>AF57/'E2020'!$AC$74%/1000*AF60</f>
        <v>2.9031808870088058</v>
      </c>
      <c r="AG65" s="2570">
        <f>AG57/'E2020'!$AC$74%/1000*AG60</f>
        <v>0.82948025343108744</v>
      </c>
      <c r="AH65" s="2570">
        <f>AH57/'E2020'!$AC$74%/1000*AH60</f>
        <v>2.9031808870088058</v>
      </c>
      <c r="AK65" s="2344" t="s">
        <v>4537</v>
      </c>
      <c r="AL65" s="2496"/>
      <c r="AM65" s="2496"/>
      <c r="AN65" s="2496"/>
      <c r="AO65" s="2496" t="s">
        <v>581</v>
      </c>
      <c r="AP65" s="2339">
        <f>AP54/4.2</f>
        <v>0</v>
      </c>
      <c r="AQ65" s="2339">
        <f>AQ54/4.2</f>
        <v>0</v>
      </c>
      <c r="AR65" s="2339">
        <f>AR54/4.2</f>
        <v>0</v>
      </c>
      <c r="AS65" s="2339">
        <f>AS54/4.2</f>
        <v>0</v>
      </c>
    </row>
    <row r="66" spans="1:45" x14ac:dyDescent="0.2">
      <c r="A66" s="2582">
        <v>2030</v>
      </c>
      <c r="B66" s="2508"/>
      <c r="C66" s="2508"/>
      <c r="D66" s="2581"/>
      <c r="F66" s="2519"/>
      <c r="G66" s="2580">
        <f>$D$65*(1+G64)*(1+G$47)</f>
        <v>0</v>
      </c>
      <c r="H66" s="2579">
        <f>$D$65*(1+H64)*(1+H$47)</f>
        <v>0</v>
      </c>
      <c r="I66" s="2580">
        <f>$D$65*(1+I64)*(1+I$47)</f>
        <v>0</v>
      </c>
      <c r="J66" s="2579">
        <f>$D$65*(1+J64)*(1+J$47)</f>
        <v>0</v>
      </c>
      <c r="M66" s="2344" t="s">
        <v>4536</v>
      </c>
      <c r="N66" s="2496"/>
      <c r="O66" s="2496"/>
      <c r="P66" s="2524" t="s">
        <v>79</v>
      </c>
      <c r="Q66" s="2339">
        <v>3.4849999999999999</v>
      </c>
      <c r="R66" s="2337"/>
      <c r="S66" s="2523">
        <f>S62/$Q$62*$Q$66</f>
        <v>0</v>
      </c>
      <c r="T66" s="2523">
        <f>T62/$Q$62*$Q$66</f>
        <v>0</v>
      </c>
      <c r="U66" s="2523">
        <f>U62/$Q$62*$Q$66</f>
        <v>0</v>
      </c>
      <c r="V66" s="2523">
        <f>V62/$Q$62*$Q$66</f>
        <v>0</v>
      </c>
      <c r="Y66" s="2567" t="s">
        <v>4541</v>
      </c>
      <c r="Z66" s="2496"/>
      <c r="AA66" s="2496"/>
      <c r="AB66" s="2496"/>
      <c r="AC66" s="2549" t="s">
        <v>157</v>
      </c>
      <c r="AD66" s="2519"/>
      <c r="AE66" s="2570">
        <f>AE57/'E2020'!$AD$72%/1000*AE61</f>
        <v>0.90160897112074712</v>
      </c>
      <c r="AF66" s="2570">
        <f>AF57/'E2020'!$AD$72%/1000*AF61</f>
        <v>0.90160897112074712</v>
      </c>
      <c r="AG66" s="2570">
        <f>AG57/'E2020'!$AD$72%/1000*AG61</f>
        <v>0.90160897112074712</v>
      </c>
      <c r="AH66" s="2570">
        <f>AH57/'E2020'!$AD$72%/1000*AH61</f>
        <v>0.90160897112074712</v>
      </c>
      <c r="AK66" s="2344" t="s">
        <v>4534</v>
      </c>
      <c r="AL66" s="2496"/>
      <c r="AM66" s="2496"/>
      <c r="AN66" s="2496"/>
      <c r="AO66" s="2496" t="s">
        <v>581</v>
      </c>
      <c r="AP66" s="2339">
        <f>AP54/8</f>
        <v>0</v>
      </c>
      <c r="AQ66" s="2339">
        <f>AQ54/8</f>
        <v>0</v>
      </c>
      <c r="AR66" s="2339">
        <f>AR54/8</f>
        <v>0</v>
      </c>
      <c r="AS66" s="2339">
        <f>AS54/8</f>
        <v>0</v>
      </c>
    </row>
    <row r="67" spans="1:45" x14ac:dyDescent="0.2">
      <c r="A67" s="2514" t="s">
        <v>4533</v>
      </c>
      <c r="B67" s="2513"/>
      <c r="C67" s="2496"/>
      <c r="D67" s="2562">
        <f>'E2020'!$AE$15%</f>
        <v>0.85</v>
      </c>
      <c r="E67" s="2532"/>
      <c r="F67" s="2519"/>
      <c r="G67" s="2519"/>
      <c r="H67" s="2519"/>
      <c r="I67" s="2519"/>
      <c r="J67" s="2519"/>
      <c r="M67" s="2344" t="s">
        <v>4532</v>
      </c>
      <c r="N67" s="2496"/>
      <c r="O67" s="2496"/>
      <c r="P67" s="2524" t="s">
        <v>79</v>
      </c>
      <c r="Q67" s="2339">
        <v>208.47900000000001</v>
      </c>
      <c r="R67" s="2337"/>
      <c r="S67" s="2523">
        <f>+$Q67*S62/$Q62</f>
        <v>0</v>
      </c>
      <c r="T67" s="2523">
        <f>+$Q67*T62/$Q62</f>
        <v>0</v>
      </c>
      <c r="U67" s="2523">
        <f>+$Q67*U62/$Q62</f>
        <v>0</v>
      </c>
      <c r="V67" s="2523">
        <f>+$Q67*V62/$Q62</f>
        <v>0</v>
      </c>
      <c r="Y67" s="2344" t="s">
        <v>4540</v>
      </c>
      <c r="Z67" s="2496"/>
      <c r="AA67" s="2496"/>
      <c r="AB67" s="2496"/>
      <c r="AC67" s="2549" t="s">
        <v>157</v>
      </c>
      <c r="AD67" s="2519"/>
      <c r="AE67" s="2570">
        <f>AE57/'E2020'!$AD$73%/1000*AE62</f>
        <v>0</v>
      </c>
      <c r="AF67" s="2570">
        <f>AF57/'E2020'!$AD$73%/1000*AF62</f>
        <v>0</v>
      </c>
      <c r="AG67" s="2570">
        <f>AG57/'E2020'!$AD$73%/1000*AG62</f>
        <v>0</v>
      </c>
      <c r="AH67" s="2570">
        <f>AH57/'E2020'!$AD$73%/1000*AH62</f>
        <v>0</v>
      </c>
      <c r="AK67" s="2344" t="s">
        <v>4531</v>
      </c>
      <c r="AL67" s="2496"/>
      <c r="AM67" s="2496"/>
      <c r="AN67" s="2496"/>
      <c r="AO67" s="2496" t="s">
        <v>18</v>
      </c>
      <c r="AP67" s="2574">
        <f>AP54/12900</f>
        <v>0</v>
      </c>
      <c r="AQ67" s="2574">
        <f>AQ54/12900</f>
        <v>0</v>
      </c>
      <c r="AR67" s="2574">
        <f>AR54/12900</f>
        <v>0</v>
      </c>
      <c r="AS67" s="2574">
        <f>AS54/12900</f>
        <v>0</v>
      </c>
    </row>
    <row r="68" spans="1:45" x14ac:dyDescent="0.2">
      <c r="A68" s="2578" t="s">
        <v>4505</v>
      </c>
      <c r="B68" s="2577"/>
      <c r="C68" s="2577"/>
      <c r="D68" s="2576"/>
      <c r="E68" s="2575"/>
      <c r="F68" s="2519"/>
      <c r="G68" s="2557">
        <f>($D$65*$D$67)-(G66*$D$67)/(1+G47)</f>
        <v>0</v>
      </c>
      <c r="H68" s="2557">
        <f>($D$65*$D$67)-(H66*$D$67)/(1+H47)</f>
        <v>0</v>
      </c>
      <c r="I68" s="2557">
        <f>($D$65*$D$67)-(I66*$D$67)/(1+I47)</f>
        <v>0</v>
      </c>
      <c r="J68" s="2557">
        <f>($D$65*$D$67)-(J66*$D$67)/(1+J47)</f>
        <v>0</v>
      </c>
    </row>
    <row r="69" spans="1:45" x14ac:dyDescent="0.2">
      <c r="A69" s="2514" t="s">
        <v>4504</v>
      </c>
      <c r="B69" s="2513"/>
      <c r="C69" s="2513"/>
      <c r="D69" s="2496"/>
      <c r="E69" s="2532"/>
      <c r="F69" s="2519"/>
      <c r="G69" s="2555">
        <f>G68*(1+G$47)</f>
        <v>0</v>
      </c>
      <c r="H69" s="2555">
        <f>H68*(1+H$47)</f>
        <v>0</v>
      </c>
      <c r="I69" s="2555">
        <f>I68*(1+I$47)</f>
        <v>0</v>
      </c>
      <c r="J69" s="2555">
        <f>J68*(1+J$47)</f>
        <v>0</v>
      </c>
      <c r="M69" s="307" t="s">
        <v>4530</v>
      </c>
      <c r="Q69" s="2535" t="s">
        <v>4463</v>
      </c>
      <c r="Y69" s="307" t="s">
        <v>4329</v>
      </c>
      <c r="AK69" s="307" t="s">
        <v>4529</v>
      </c>
    </row>
    <row r="70" spans="1:45" x14ac:dyDescent="0.2">
      <c r="A70" s="307" t="s">
        <v>4476</v>
      </c>
      <c r="M70" s="2344" t="s">
        <v>4496</v>
      </c>
      <c r="N70" s="2496"/>
      <c r="O70" s="2496"/>
      <c r="P70" s="2524" t="s">
        <v>4473</v>
      </c>
      <c r="Q70" s="2531">
        <f>$J$14</f>
        <v>6967.5361462067322</v>
      </c>
      <c r="R70" s="2337"/>
      <c r="S70" s="2337"/>
      <c r="T70" s="2337"/>
      <c r="U70" s="2337"/>
      <c r="V70" s="2337"/>
      <c r="Y70" s="2344" t="s">
        <v>4538</v>
      </c>
      <c r="Z70" s="2496"/>
      <c r="AA70" s="2496"/>
      <c r="AB70" s="2496"/>
      <c r="AC70" s="2549"/>
      <c r="AD70" s="2549" t="s">
        <v>581</v>
      </c>
      <c r="AE70" s="2572">
        <f>+$J$12</f>
        <v>5</v>
      </c>
      <c r="AF70" s="2572">
        <f>+$J$12</f>
        <v>5</v>
      </c>
      <c r="AG70" s="2572">
        <f>+$J$12</f>
        <v>5</v>
      </c>
      <c r="AH70" s="2572">
        <f>+$J$12</f>
        <v>5</v>
      </c>
      <c r="AK70" s="2344" t="str">
        <f>"Solceller ("&amp;ROUND(Q38,2)&amp;" TJ/"&amp;R38&amp;")"</f>
        <v>Solceller (3,96 TJ/ha)</v>
      </c>
      <c r="AL70" s="2496"/>
      <c r="AM70" s="2496"/>
      <c r="AN70" s="2496"/>
      <c r="AO70" s="2496" t="s">
        <v>392</v>
      </c>
      <c r="AP70" s="2339">
        <f>AP55/$Q$38</f>
        <v>0</v>
      </c>
      <c r="AQ70" s="2339">
        <f>AQ55/$Q$38</f>
        <v>0</v>
      </c>
      <c r="AR70" s="2339">
        <f>AR55/$Q$38</f>
        <v>0</v>
      </c>
      <c r="AS70" s="2339">
        <f>AS55/$Q$38</f>
        <v>0</v>
      </c>
    </row>
    <row r="71" spans="1:45" x14ac:dyDescent="0.2">
      <c r="A71" s="2514" t="s">
        <v>4501</v>
      </c>
      <c r="B71" s="2513"/>
      <c r="C71" s="2513"/>
      <c r="D71" s="2496"/>
      <c r="E71" s="2532"/>
      <c r="F71" s="2519"/>
      <c r="G71" s="2510">
        <v>0.15</v>
      </c>
      <c r="H71" s="2509">
        <v>0.15</v>
      </c>
      <c r="I71" s="2507">
        <v>0.15</v>
      </c>
      <c r="J71" s="2494">
        <v>0.15</v>
      </c>
      <c r="M71" s="2344" t="s">
        <v>4492</v>
      </c>
      <c r="N71" s="2496"/>
      <c r="O71" s="2496"/>
      <c r="P71" s="2524" t="s">
        <v>18</v>
      </c>
      <c r="Q71" s="2339"/>
      <c r="R71" s="2337"/>
      <c r="S71" s="2510">
        <f>Reduktionsstiberegner!H101</f>
        <v>0</v>
      </c>
      <c r="T71" s="2509">
        <f>Reduktionsstiberegner!J101</f>
        <v>0</v>
      </c>
      <c r="U71" s="2507">
        <f>Reduktionsstiberegner!L101</f>
        <v>0</v>
      </c>
      <c r="V71" s="2494">
        <f>Reduktionsstiberegner!N101</f>
        <v>0</v>
      </c>
      <c r="Y71" s="2344" t="s">
        <v>4535</v>
      </c>
      <c r="Z71" s="2496"/>
      <c r="AA71" s="2496"/>
      <c r="AB71" s="2496"/>
      <c r="AC71" s="2496"/>
      <c r="AD71" s="2496"/>
      <c r="AE71" s="2496"/>
      <c r="AF71" s="2496"/>
      <c r="AG71" s="2496"/>
      <c r="AH71" s="2519"/>
      <c r="AK71" s="2344" t="s">
        <v>4527</v>
      </c>
      <c r="AL71" s="2496"/>
      <c r="AM71" s="2496"/>
      <c r="AN71" s="2496"/>
      <c r="AO71" s="2496" t="s">
        <v>581</v>
      </c>
      <c r="AP71" s="2339">
        <f>AP55/$Q$18</f>
        <v>0</v>
      </c>
      <c r="AQ71" s="2339">
        <f>AQ55/$Q$18</f>
        <v>0</v>
      </c>
      <c r="AR71" s="2339">
        <f>AR55/$Q$18</f>
        <v>0</v>
      </c>
      <c r="AS71" s="2339">
        <f>AS55/$Q$18</f>
        <v>0</v>
      </c>
    </row>
    <row r="72" spans="1:45" x14ac:dyDescent="0.2">
      <c r="A72" s="2514" t="s">
        <v>4500</v>
      </c>
      <c r="B72" s="2513"/>
      <c r="C72" s="2513"/>
      <c r="D72" s="2496"/>
      <c r="E72" s="2532"/>
      <c r="F72" s="2519"/>
      <c r="G72" s="2510">
        <v>0</v>
      </c>
      <c r="H72" s="2509">
        <v>0</v>
      </c>
      <c r="I72" s="2507">
        <v>0</v>
      </c>
      <c r="J72" s="2494">
        <v>0</v>
      </c>
      <c r="M72" s="2344" t="s">
        <v>4492</v>
      </c>
      <c r="N72" s="2496"/>
      <c r="O72" s="2496"/>
      <c r="P72" s="2524" t="s">
        <v>4473</v>
      </c>
      <c r="Q72" s="2339">
        <v>131000</v>
      </c>
      <c r="R72" s="2337"/>
      <c r="S72" s="2339">
        <f>S71*$Q$70</f>
        <v>0</v>
      </c>
      <c r="T72" s="2339">
        <f>T71*$Q$70</f>
        <v>0</v>
      </c>
      <c r="U72" s="2339">
        <f>U71*'E-Tiltag'!$Q$70</f>
        <v>0</v>
      </c>
      <c r="V72" s="2339">
        <f>V71*'E-Tiltag'!$Q$70</f>
        <v>0</v>
      </c>
      <c r="Y72" s="2514" t="s">
        <v>4521</v>
      </c>
      <c r="Z72" s="2496"/>
      <c r="AA72" s="2496"/>
      <c r="AB72" s="2496"/>
      <c r="AC72" s="2549"/>
      <c r="AD72" s="2549"/>
      <c r="AE72" s="2553">
        <f>1-SUM(AE73:AE75)</f>
        <v>0.65</v>
      </c>
      <c r="AF72" s="2552">
        <f>1-SUM(AF73:AF75)</f>
        <v>0.49</v>
      </c>
      <c r="AG72" s="2551">
        <f>1-SUM(AG73:AG75)</f>
        <v>0.30000000000000004</v>
      </c>
      <c r="AH72" s="2550">
        <f>1-SUM(AH73:AH75)</f>
        <v>0</v>
      </c>
      <c r="AK72" s="2344" t="s">
        <v>4525</v>
      </c>
      <c r="AL72" s="2496"/>
      <c r="AM72" s="2496"/>
      <c r="AN72" s="2496"/>
      <c r="AO72" s="2496" t="s">
        <v>581</v>
      </c>
      <c r="AP72" s="2339">
        <f>AP55/$Q$27</f>
        <v>0</v>
      </c>
      <c r="AQ72" s="2339">
        <f>AQ55/$Q$27</f>
        <v>0</v>
      </c>
      <c r="AR72" s="2339">
        <f>AR55/$Q$27</f>
        <v>0</v>
      </c>
      <c r="AS72" s="2339">
        <f>AS55/$Q$27</f>
        <v>0</v>
      </c>
    </row>
    <row r="73" spans="1:45" x14ac:dyDescent="0.2">
      <c r="A73" s="2514" t="s">
        <v>4499</v>
      </c>
      <c r="B73" s="2513"/>
      <c r="C73" s="2513"/>
      <c r="D73" s="2496"/>
      <c r="E73" s="2532"/>
      <c r="F73" s="2519"/>
      <c r="G73" s="2510">
        <v>0.65</v>
      </c>
      <c r="H73" s="2509">
        <v>0.65</v>
      </c>
      <c r="I73" s="2507">
        <v>0.65</v>
      </c>
      <c r="J73" s="2494">
        <v>0.65</v>
      </c>
      <c r="M73" s="2344" t="s">
        <v>4490</v>
      </c>
      <c r="N73" s="2496"/>
      <c r="O73" s="2496"/>
      <c r="P73" s="2524" t="s">
        <v>4473</v>
      </c>
      <c r="Q73" s="2339">
        <v>38000</v>
      </c>
      <c r="R73" s="2337"/>
      <c r="S73" s="2339">
        <f>ROUND(S72/$Q$72*$Q$73,-3)</f>
        <v>0</v>
      </c>
      <c r="T73" s="2339">
        <f>ROUND(T72/$Q$72*$Q$73,-3)</f>
        <v>0</v>
      </c>
      <c r="U73" s="2339">
        <f>ROUND(U72/'E-Tiltag'!$Q$72*'E-Tiltag'!$Q$73,-3)</f>
        <v>0</v>
      </c>
      <c r="V73" s="2339">
        <f>ROUND(V72/'E-Tiltag'!$Q$72*'E-Tiltag'!$Q$73,-3)</f>
        <v>0</v>
      </c>
      <c r="Y73" s="2514" t="s">
        <v>4519</v>
      </c>
      <c r="Z73" s="2496"/>
      <c r="AA73" s="2496"/>
      <c r="AB73" s="2496"/>
      <c r="AC73" s="2549"/>
      <c r="AD73" s="2549"/>
      <c r="AE73" s="2553">
        <f>Reduktionsstiberegner!H80</f>
        <v>0.28999999999999998</v>
      </c>
      <c r="AF73" s="2552">
        <f>Reduktionsstiberegner!J80</f>
        <v>0.45</v>
      </c>
      <c r="AG73" s="2551">
        <f>Reduktionsstiberegner!L80</f>
        <v>0.7</v>
      </c>
      <c r="AH73" s="2550">
        <f>Reduktionsstiberegner!N80</f>
        <v>1</v>
      </c>
      <c r="AK73" s="2344" t="s">
        <v>4523</v>
      </c>
      <c r="AL73" s="2496"/>
      <c r="AM73" s="2496"/>
      <c r="AN73" s="2496"/>
      <c r="AO73" s="2496" t="s">
        <v>18</v>
      </c>
      <c r="AP73" s="2574">
        <f>AP55/(12.9*4000*3.6)</f>
        <v>0</v>
      </c>
      <c r="AQ73" s="2574">
        <f>AQ55/(12.9*4000*3.6)</f>
        <v>0</v>
      </c>
      <c r="AR73" s="2574">
        <f>AR55/(12.9*4000*3.6)</f>
        <v>0</v>
      </c>
      <c r="AS73" s="2574">
        <f>AS55/(12.9*4000*3.6)</f>
        <v>0</v>
      </c>
    </row>
    <row r="74" spans="1:45" x14ac:dyDescent="0.2">
      <c r="A74" s="2514" t="s">
        <v>4497</v>
      </c>
      <c r="B74" s="2513"/>
      <c r="C74" s="2513"/>
      <c r="D74" s="2496"/>
      <c r="E74" s="2532"/>
      <c r="F74" s="2519"/>
      <c r="G74" s="2510">
        <v>0</v>
      </c>
      <c r="H74" s="2509">
        <v>0</v>
      </c>
      <c r="I74" s="2507">
        <v>0</v>
      </c>
      <c r="J74" s="2494">
        <v>0</v>
      </c>
      <c r="M74" s="311" t="s">
        <v>4489</v>
      </c>
      <c r="Y74" s="2514" t="s">
        <v>4517</v>
      </c>
      <c r="Z74" s="2496"/>
      <c r="AA74" s="2496"/>
      <c r="AB74" s="2496"/>
      <c r="AC74" s="2549"/>
      <c r="AD74" s="2549"/>
      <c r="AE74" s="2553">
        <f>Reduktionsstiberegner!H81</f>
        <v>0.06</v>
      </c>
      <c r="AF74" s="2552">
        <f>Reduktionsstiberegner!J81</f>
        <v>0.06</v>
      </c>
      <c r="AG74" s="2551">
        <f>Reduktionsstiberegner!L81</f>
        <v>0</v>
      </c>
      <c r="AH74" s="2550">
        <f>Reduktionsstiberegner!N81</f>
        <v>0</v>
      </c>
    </row>
    <row r="75" spans="1:45" x14ac:dyDescent="0.2">
      <c r="A75" s="2514" t="s">
        <v>4495</v>
      </c>
      <c r="B75" s="2513"/>
      <c r="C75" s="2513"/>
      <c r="D75" s="2496"/>
      <c r="E75" s="2532"/>
      <c r="F75" s="2519"/>
      <c r="G75" s="2512">
        <f>1-SUM(G71:G74,G76)</f>
        <v>0.19999999999999996</v>
      </c>
      <c r="H75" s="2512">
        <f>1-SUM(H71:H74,H76)</f>
        <v>0.19999999999999996</v>
      </c>
      <c r="I75" s="2512">
        <f>1-SUM(I71:I74,I76)</f>
        <v>0.19999999999999996</v>
      </c>
      <c r="J75" s="2512">
        <f>1-SUM(J71:J74,J76)</f>
        <v>0.19999999999999996</v>
      </c>
      <c r="K75" s="2508"/>
      <c r="M75" s="2514" t="s">
        <v>93</v>
      </c>
      <c r="N75" s="2496"/>
      <c r="O75" s="2496"/>
      <c r="P75" s="2524" t="s">
        <v>4736</v>
      </c>
      <c r="Q75" s="2339">
        <v>1141.5530000000001</v>
      </c>
      <c r="R75" s="2337"/>
      <c r="S75" s="2339">
        <f>ROUND(S72/$Q$72*$Q$75,0)</f>
        <v>0</v>
      </c>
      <c r="T75" s="2339">
        <f>ROUND(T72/$Q$72*$Q$75,0)</f>
        <v>0</v>
      </c>
      <c r="U75" s="2339">
        <f>ROUND(U72/'E-Tiltag'!$Q$72*'E-Tiltag'!$Q$75,0)</f>
        <v>0</v>
      </c>
      <c r="V75" s="2339">
        <f>ROUND(V72/'E-Tiltag'!$Q$72*'E-Tiltag'!$Q$75,0)</f>
        <v>0</v>
      </c>
      <c r="Y75" s="2514" t="s">
        <v>4516</v>
      </c>
      <c r="Z75" s="2496"/>
      <c r="AA75" s="2496"/>
      <c r="AB75" s="2496"/>
      <c r="AC75" s="2549"/>
      <c r="AD75" s="2549"/>
      <c r="AE75" s="2553">
        <f>Reduktionsstiberegner!H82</f>
        <v>0</v>
      </c>
      <c r="AF75" s="2552">
        <f>Reduktionsstiberegner!J82</f>
        <v>0</v>
      </c>
      <c r="AG75" s="2551">
        <f>Reduktionsstiberegner!L82</f>
        <v>0</v>
      </c>
      <c r="AH75" s="2550">
        <f>Reduktionsstiberegner!N82</f>
        <v>0</v>
      </c>
    </row>
    <row r="76" spans="1:45" x14ac:dyDescent="0.2">
      <c r="A76" s="2514" t="s">
        <v>4493</v>
      </c>
      <c r="B76" s="2513"/>
      <c r="C76" s="2513"/>
      <c r="D76" s="2496"/>
      <c r="E76" s="2532"/>
      <c r="F76" s="2519"/>
      <c r="G76" s="2510">
        <v>0</v>
      </c>
      <c r="H76" s="2509">
        <v>0</v>
      </c>
      <c r="I76" s="2507">
        <v>0</v>
      </c>
      <c r="J76" s="2494">
        <v>0</v>
      </c>
      <c r="M76" s="2514" t="s">
        <v>4520</v>
      </c>
      <c r="N76" s="2496"/>
      <c r="O76" s="2496"/>
      <c r="P76" s="2524" t="s">
        <v>4460</v>
      </c>
      <c r="Q76" s="2498">
        <v>6.37</v>
      </c>
      <c r="R76" s="2337"/>
      <c r="S76" s="2498">
        <f>ROUND(S72/$Q$72*$Q$76,1)</f>
        <v>0</v>
      </c>
      <c r="T76" s="2498">
        <f>ROUND(T72/$Q$72*$Q$76,1)</f>
        <v>0</v>
      </c>
      <c r="U76" s="2498">
        <f>ROUND(U72/'E-Tiltag'!$Q$72*'E-Tiltag'!$Q$76,1)</f>
        <v>0</v>
      </c>
      <c r="V76" s="2498">
        <f>ROUND(V72/'E-Tiltag'!$Q$72*'E-Tiltag'!$Q$76,1)</f>
        <v>0</v>
      </c>
      <c r="Y76" s="2521" t="s">
        <v>4528</v>
      </c>
      <c r="Z76" s="2496"/>
      <c r="AA76" s="2496"/>
      <c r="AB76" s="2496"/>
      <c r="AC76" s="2496"/>
      <c r="AD76" s="2496"/>
      <c r="AE76" s="2496"/>
      <c r="AF76" s="2496"/>
      <c r="AG76" s="2496"/>
      <c r="AH76" s="2519"/>
    </row>
    <row r="77" spans="1:45" x14ac:dyDescent="0.2">
      <c r="A77" s="307" t="s">
        <v>4491</v>
      </c>
      <c r="M77" s="2514" t="s">
        <v>4518</v>
      </c>
      <c r="N77" s="2496"/>
      <c r="O77" s="2496"/>
      <c r="P77" s="2524" t="s">
        <v>4460</v>
      </c>
      <c r="Q77" s="2498">
        <v>8.6300000000000008</v>
      </c>
      <c r="R77" s="2337"/>
      <c r="S77" s="2498">
        <f>ROUND(S72/$Q$72*$Q$77,1)</f>
        <v>0</v>
      </c>
      <c r="T77" s="2498">
        <f>ROUND(T72/$Q$72*$Q$77,1)</f>
        <v>0</v>
      </c>
      <c r="U77" s="2498">
        <f>ROUND(U72/'E-Tiltag'!$Q$72*'E-Tiltag'!$Q$77,1)</f>
        <v>0</v>
      </c>
      <c r="V77" s="2498">
        <f>ROUND(V72/'E-Tiltag'!$Q$72*'E-Tiltag'!$Q$77,1)</f>
        <v>0</v>
      </c>
      <c r="Y77" s="2344" t="s">
        <v>4526</v>
      </c>
      <c r="Z77" s="2496"/>
      <c r="AA77" s="2496"/>
      <c r="AB77" s="2496"/>
      <c r="AC77" s="2549" t="s">
        <v>582</v>
      </c>
      <c r="AD77" s="2496"/>
      <c r="AE77" s="2518">
        <f>$J13*(511.2/721.3)</f>
        <v>205.52890614168865</v>
      </c>
      <c r="AF77" s="2517">
        <f>$J13*(511.2/721.3)</f>
        <v>205.52890614168865</v>
      </c>
      <c r="AG77" s="2516">
        <f>$J13*(511.2/721.3)</f>
        <v>205.52890614168865</v>
      </c>
      <c r="AH77" s="2515">
        <f>$J13*(511.2/721.3)</f>
        <v>205.52890614168865</v>
      </c>
    </row>
    <row r="78" spans="1:45" x14ac:dyDescent="0.2">
      <c r="A78" s="2514" t="str">
        <f t="shared" ref="A78:A83" si="11">A71</f>
        <v>Til indviduelle varmepumper</v>
      </c>
      <c r="B78" s="2513"/>
      <c r="C78" s="2513"/>
      <c r="D78" s="2496"/>
      <c r="E78" s="2532"/>
      <c r="F78" s="2519"/>
      <c r="G78" s="2343">
        <f t="shared" ref="G78:G83" si="12">G71*G$69</f>
        <v>0</v>
      </c>
      <c r="H78" s="2343">
        <f>H71*H69</f>
        <v>0</v>
      </c>
      <c r="I78" s="2343">
        <f t="shared" ref="I78:I83" si="13">I71*I$69</f>
        <v>0</v>
      </c>
      <c r="J78" s="2343">
        <f>J71*J69</f>
        <v>0</v>
      </c>
      <c r="M78" s="2514" t="s">
        <v>4487</v>
      </c>
      <c r="N78" s="2496"/>
      <c r="O78" s="2496"/>
      <c r="P78" s="2524" t="s">
        <v>4460</v>
      </c>
      <c r="Q78" s="2339">
        <f>Q76*2</f>
        <v>12.74</v>
      </c>
      <c r="R78" s="2337"/>
      <c r="S78" s="2339">
        <f>ROUND(S72/$Q$72*$Q$78,1)</f>
        <v>0</v>
      </c>
      <c r="T78" s="2339">
        <f>ROUND(T72/$Q$72*$Q$78,1)</f>
        <v>0</v>
      </c>
      <c r="U78" s="2339">
        <f>ROUND(U72/'E-Tiltag'!$Q$72*'E-Tiltag'!$Q$78,1)</f>
        <v>0</v>
      </c>
      <c r="V78" s="2339">
        <f>ROUND(V72/'E-Tiltag'!$Q$72*'E-Tiltag'!$Q$78,1)</f>
        <v>0</v>
      </c>
      <c r="Y78" s="2344" t="s">
        <v>4524</v>
      </c>
      <c r="Z78" s="2496"/>
      <c r="AA78" s="2496"/>
      <c r="AB78" s="2496"/>
      <c r="AC78" s="2549" t="s">
        <v>582</v>
      </c>
      <c r="AD78" s="2519"/>
      <c r="AE78" s="2572">
        <f>AE77*'E2020'!$AD$67%</f>
        <v>60.836556217939851</v>
      </c>
      <c r="AF78" s="2572">
        <f>AF77*'E2020'!$AD$67%</f>
        <v>60.836556217939851</v>
      </c>
      <c r="AG78" s="2572">
        <f>AG77*'E2020'!$AD$67%</f>
        <v>60.836556217939851</v>
      </c>
      <c r="AH78" s="2572">
        <f>AH77*'E2020'!$AD$67%</f>
        <v>60.836556217939851</v>
      </c>
    </row>
    <row r="79" spans="1:45" x14ac:dyDescent="0.2">
      <c r="A79" s="2514" t="str">
        <f t="shared" si="11"/>
        <v>Til store fjernvarmenet</v>
      </c>
      <c r="B79" s="2513"/>
      <c r="C79" s="2513"/>
      <c r="D79" s="2496"/>
      <c r="E79" s="2532"/>
      <c r="F79" s="2519"/>
      <c r="G79" s="2343">
        <f t="shared" si="12"/>
        <v>0</v>
      </c>
      <c r="H79" s="2343">
        <f>H72*H$69</f>
        <v>0</v>
      </c>
      <c r="I79" s="2343">
        <f t="shared" si="13"/>
        <v>0</v>
      </c>
      <c r="J79" s="2343">
        <f>J72*J$69</f>
        <v>0</v>
      </c>
      <c r="M79" s="2514" t="s">
        <v>4486</v>
      </c>
      <c r="N79" s="2496"/>
      <c r="O79" s="2496"/>
      <c r="P79" s="2524" t="s">
        <v>581</v>
      </c>
      <c r="Q79" s="2339">
        <f>ROUNDUP(Q78/2/3.5,0)</f>
        <v>2</v>
      </c>
      <c r="R79" s="2337"/>
      <c r="S79" s="2339">
        <f>ROUNDUP(S72/$Q$72*$Q$79,0)</f>
        <v>0</v>
      </c>
      <c r="T79" s="2339">
        <f>ROUNDUP(T72/$Q$72*$Q$79,0)</f>
        <v>0</v>
      </c>
      <c r="U79" s="2339">
        <f>ROUNDUP(U72/'E-Tiltag'!$Q$72*'E-Tiltag'!$Q$79,0)</f>
        <v>0</v>
      </c>
      <c r="V79" s="2339">
        <f>ROUNDUP(V72/'E-Tiltag'!$Q$72*'E-Tiltag'!$Q$79,0)</f>
        <v>0</v>
      </c>
      <c r="Y79" s="2344" t="s">
        <v>4522</v>
      </c>
      <c r="Z79" s="2496"/>
      <c r="AA79" s="2496"/>
      <c r="AB79" s="2496"/>
      <c r="AC79" s="2549"/>
      <c r="AD79" s="2549" t="s">
        <v>581</v>
      </c>
      <c r="AE79" s="2573">
        <f>ROUND(AE70*(1+G43),0)</f>
        <v>4</v>
      </c>
      <c r="AF79" s="2573">
        <f>ROUND(AF70*(1+H43),0)</f>
        <v>4</v>
      </c>
      <c r="AG79" s="2573">
        <f>ROUND(AG70*(1+I43),0)</f>
        <v>4</v>
      </c>
      <c r="AH79" s="2573">
        <f>ROUND(AH70*(1+J43),0)</f>
        <v>4</v>
      </c>
    </row>
    <row r="80" spans="1:45" x14ac:dyDescent="0.2">
      <c r="A80" s="2514" t="str">
        <f t="shared" si="11"/>
        <v>Til mellemstore fjernvarmenet</v>
      </c>
      <c r="B80" s="2513"/>
      <c r="C80" s="2513"/>
      <c r="D80" s="2496"/>
      <c r="E80" s="2532"/>
      <c r="F80" s="2519"/>
      <c r="G80" s="2343">
        <f t="shared" si="12"/>
        <v>0</v>
      </c>
      <c r="H80" s="2343">
        <f>H73*H$69</f>
        <v>0</v>
      </c>
      <c r="I80" s="2343">
        <f t="shared" si="13"/>
        <v>0</v>
      </c>
      <c r="J80" s="2343">
        <f>J73*J$69</f>
        <v>0</v>
      </c>
      <c r="M80" s="2514" t="s">
        <v>4485</v>
      </c>
      <c r="N80" s="2496"/>
      <c r="O80" s="2496"/>
      <c r="P80" s="2524" t="s">
        <v>392</v>
      </c>
      <c r="Q80" s="2498">
        <v>9.8000000000000007</v>
      </c>
      <c r="R80" s="2337"/>
      <c r="S80" s="2498">
        <f>ROUND(S72/$Q$72*$Q$80,1)</f>
        <v>0</v>
      </c>
      <c r="T80" s="2498">
        <f>ROUND(T72/$Q$72*$Q$80,1)</f>
        <v>0</v>
      </c>
      <c r="U80" s="2498">
        <f>ROUND(U72/'E-Tiltag'!$Q$72*'E-Tiltag'!$Q$80,1)</f>
        <v>0</v>
      </c>
      <c r="V80" s="2498">
        <f>ROUND(V72/'E-Tiltag'!$Q$72*'E-Tiltag'!$Q$80,1)</f>
        <v>0</v>
      </c>
      <c r="Y80" s="2514" t="s">
        <v>4521</v>
      </c>
      <c r="Z80" s="2496"/>
      <c r="AA80" s="2496"/>
      <c r="AB80" s="2496"/>
      <c r="AC80" s="2549"/>
      <c r="AD80" s="2549" t="s">
        <v>581</v>
      </c>
      <c r="AE80" s="2573">
        <f>AE79-SUM(AE81:AE83)</f>
        <v>3</v>
      </c>
      <c r="AF80" s="2572">
        <f>AF79-SUM(AF81:AF83)</f>
        <v>2</v>
      </c>
      <c r="AG80" s="2572">
        <f>AG79-SUM(AG81:AG83)</f>
        <v>1</v>
      </c>
      <c r="AH80" s="2572">
        <f>AH79-SUM(AH81:AH83)</f>
        <v>0</v>
      </c>
    </row>
    <row r="81" spans="1:34" x14ac:dyDescent="0.2">
      <c r="A81" s="2514" t="str">
        <f t="shared" si="11"/>
        <v>Til mindre fjernvarmevarmenet</v>
      </c>
      <c r="B81" s="2513"/>
      <c r="C81" s="2513"/>
      <c r="D81" s="2496"/>
      <c r="E81" s="2532"/>
      <c r="F81" s="2519"/>
      <c r="G81" s="2343">
        <f t="shared" si="12"/>
        <v>0</v>
      </c>
      <c r="H81" s="2343">
        <f>H74*H$69</f>
        <v>0</v>
      </c>
      <c r="I81" s="2343">
        <f t="shared" si="13"/>
        <v>0</v>
      </c>
      <c r="J81" s="2343">
        <f>J74*J$69</f>
        <v>0</v>
      </c>
      <c r="M81" s="307" t="str">
        <f>"Output - "&amp;M69</f>
        <v>Output - PtX - Metanol (eSMR på biogas)</v>
      </c>
      <c r="Y81" s="2514" t="s">
        <v>4519</v>
      </c>
      <c r="Z81" s="2496"/>
      <c r="AA81" s="2496"/>
      <c r="AB81" s="2496"/>
      <c r="AC81" s="2549"/>
      <c r="AD81" s="2549" t="s">
        <v>581</v>
      </c>
      <c r="AE81" s="2573">
        <f t="shared" ref="AE81:AH83" si="14">ROUND(AE$79*AE73,0)</f>
        <v>1</v>
      </c>
      <c r="AF81" s="2572">
        <f t="shared" si="14"/>
        <v>2</v>
      </c>
      <c r="AG81" s="2572">
        <f t="shared" si="14"/>
        <v>3</v>
      </c>
      <c r="AH81" s="2572">
        <f t="shared" si="14"/>
        <v>4</v>
      </c>
    </row>
    <row r="82" spans="1:34" x14ac:dyDescent="0.2">
      <c r="A82" s="2514" t="str">
        <f t="shared" si="11"/>
        <v>Til ny fjernvarme</v>
      </c>
      <c r="B82" s="2513"/>
      <c r="C82" s="2513"/>
      <c r="D82" s="2496"/>
      <c r="E82" s="2532"/>
      <c r="F82" s="2519"/>
      <c r="G82" s="2343">
        <f t="shared" si="12"/>
        <v>0</v>
      </c>
      <c r="H82" s="2343">
        <f>H75*H$69</f>
        <v>0</v>
      </c>
      <c r="I82" s="2343">
        <f t="shared" si="13"/>
        <v>0</v>
      </c>
      <c r="J82" s="2343">
        <f>J75*J$69</f>
        <v>0</v>
      </c>
      <c r="M82" s="2344" t="s">
        <v>4469</v>
      </c>
      <c r="N82" s="2496"/>
      <c r="O82" s="2496"/>
      <c r="P82" s="2524" t="s">
        <v>79</v>
      </c>
      <c r="Q82" s="2339">
        <v>194.91800000000001</v>
      </c>
      <c r="R82" s="2337"/>
      <c r="S82" s="2343">
        <f>ROUND(S$72/$Q$72*$Q$82,1)</f>
        <v>0</v>
      </c>
      <c r="T82" s="2343">
        <f>ROUND(T$72/$Q$72*$Q$82,1)</f>
        <v>0</v>
      </c>
      <c r="U82" s="2343">
        <f>ROUND(U$72/$Q$72*$Q$82,1)</f>
        <v>0</v>
      </c>
      <c r="V82" s="2343">
        <f>ROUND(V$72/$Q$72*$Q$82,1)</f>
        <v>0</v>
      </c>
      <c r="Y82" s="2514" t="s">
        <v>4517</v>
      </c>
      <c r="Z82" s="2496"/>
      <c r="AA82" s="2496"/>
      <c r="AB82" s="2496"/>
      <c r="AC82" s="2549"/>
      <c r="AD82" s="2549" t="s">
        <v>581</v>
      </c>
      <c r="AE82" s="2573">
        <f t="shared" si="14"/>
        <v>0</v>
      </c>
      <c r="AF82" s="2572">
        <f t="shared" si="14"/>
        <v>0</v>
      </c>
      <c r="AG82" s="2572">
        <f t="shared" si="14"/>
        <v>0</v>
      </c>
      <c r="AH82" s="2572">
        <f t="shared" si="14"/>
        <v>0</v>
      </c>
    </row>
    <row r="83" spans="1:34" x14ac:dyDescent="0.2">
      <c r="A83" s="2514" t="str">
        <f t="shared" si="11"/>
        <v>Til sammenhængende fjernvarmenet</v>
      </c>
      <c r="B83" s="2513"/>
      <c r="C83" s="2513"/>
      <c r="D83" s="2496" t="str">
        <f>IF(1-SUM(H71:H76)&lt;&gt;0,1-SUM(H71:H76),"")</f>
        <v/>
      </c>
      <c r="E83" s="2532"/>
      <c r="F83" s="2519"/>
      <c r="G83" s="2343">
        <f t="shared" si="12"/>
        <v>0</v>
      </c>
      <c r="H83" s="2343">
        <f>H76*H$69</f>
        <v>0</v>
      </c>
      <c r="I83" s="2343">
        <f t="shared" si="13"/>
        <v>0</v>
      </c>
      <c r="J83" s="2343">
        <f>J76*J$69</f>
        <v>0</v>
      </c>
      <c r="M83" s="2344" t="s">
        <v>4503</v>
      </c>
      <c r="N83" s="2496"/>
      <c r="O83" s="2496"/>
      <c r="P83" s="2496" t="s">
        <v>79</v>
      </c>
      <c r="Q83" s="2339">
        <v>264.08199999999999</v>
      </c>
      <c r="R83" s="2337"/>
      <c r="S83" s="2343">
        <f>ROUND(S$72/$Q$72*$Q$83,1)</f>
        <v>0</v>
      </c>
      <c r="T83" s="2343">
        <f>ROUND(T$72/$Q$72*$Q$83,1)</f>
        <v>0</v>
      </c>
      <c r="U83" s="2343">
        <f>ROUND(U$72/$Q$72*$Q$83,1)</f>
        <v>0</v>
      </c>
      <c r="V83" s="2343">
        <f>ROUND(V$72/$Q$72*$Q$83,1)</f>
        <v>0</v>
      </c>
      <c r="Y83" s="2514" t="s">
        <v>4516</v>
      </c>
      <c r="Z83" s="2496"/>
      <c r="AA83" s="2496"/>
      <c r="AB83" s="2496"/>
      <c r="AC83" s="2549"/>
      <c r="AD83" s="2549" t="s">
        <v>581</v>
      </c>
      <c r="AE83" s="2573">
        <f t="shared" si="14"/>
        <v>0</v>
      </c>
      <c r="AF83" s="2572">
        <f t="shared" si="14"/>
        <v>0</v>
      </c>
      <c r="AG83" s="2572">
        <f t="shared" si="14"/>
        <v>0</v>
      </c>
      <c r="AH83" s="2572">
        <f t="shared" si="14"/>
        <v>0</v>
      </c>
    </row>
    <row r="84" spans="1:34" x14ac:dyDescent="0.2">
      <c r="M84" s="2344" t="s">
        <v>171</v>
      </c>
      <c r="N84" s="2496"/>
      <c r="O84" s="2496"/>
      <c r="P84" s="2496" t="s">
        <v>79</v>
      </c>
      <c r="Q84" s="2339">
        <v>31.437999999999999</v>
      </c>
      <c r="R84" s="2337"/>
      <c r="S84" s="2343">
        <f>ROUND(S$72/$Q$72*$Q$84,1)</f>
        <v>0</v>
      </c>
      <c r="T84" s="2343">
        <f>ROUND(T$72/$Q$72*$Q$84,1)</f>
        <v>0</v>
      </c>
      <c r="U84" s="2343">
        <f>ROUND(U$72/$Q$72*$Q$84,1)</f>
        <v>0</v>
      </c>
      <c r="V84" s="2343">
        <f>ROUND(V$72/$Q$72*$Q$84,1)</f>
        <v>0</v>
      </c>
      <c r="Y84" s="311" t="str">
        <f>"Til energiregnskabet - "&amp;Y69</f>
        <v>Til energiregnskabet - Busser</v>
      </c>
    </row>
    <row r="85" spans="1:34" ht="15.75" x14ac:dyDescent="0.25">
      <c r="A85" s="2569" t="s">
        <v>4511</v>
      </c>
      <c r="Y85" s="2567" t="s">
        <v>4515</v>
      </c>
      <c r="Z85" s="2547"/>
      <c r="AA85" s="2547"/>
      <c r="AB85" s="2547"/>
      <c r="AC85" s="2571" t="s">
        <v>157</v>
      </c>
      <c r="AD85" s="2505"/>
      <c r="AE85" s="2570">
        <f>AE80*AE77/1000</f>
        <v>0.61658671842506596</v>
      </c>
      <c r="AF85" s="2570">
        <f>AF80*AF77/1000</f>
        <v>0.41105781228337729</v>
      </c>
      <c r="AG85" s="2570">
        <f>AG80*AG77/1000</f>
        <v>0.20552890614168864</v>
      </c>
      <c r="AH85" s="2570">
        <f>AH80*AH77/1000</f>
        <v>0</v>
      </c>
    </row>
    <row r="86" spans="1:34" x14ac:dyDescent="0.2">
      <c r="A86" s="307" t="s">
        <v>4509</v>
      </c>
      <c r="M86" s="307" t="s">
        <v>4737</v>
      </c>
      <c r="Q86" s="12" t="s">
        <v>4463</v>
      </c>
      <c r="Y86" s="2567" t="s">
        <v>4514</v>
      </c>
      <c r="Z86" s="2547"/>
      <c r="AA86" s="2547"/>
      <c r="AB86" s="2547"/>
      <c r="AC86" s="2571" t="s">
        <v>157</v>
      </c>
      <c r="AD86" s="2505"/>
      <c r="AE86" s="2570">
        <f>AE78/'E2020'!$AC$70%/1000*AE81</f>
        <v>8.6909366025628362E-2</v>
      </c>
      <c r="AF86" s="2570">
        <f>AF78/'E2020'!$AC$70%/1000*AF81</f>
        <v>0.17381873205125672</v>
      </c>
      <c r="AG86" s="2570">
        <f>AG78/'E2020'!$AC$70%/1000*AG81</f>
        <v>0.26072809807688507</v>
      </c>
      <c r="AH86" s="2570">
        <f>AH78/'E2020'!$AC$70%/1000*AH81</f>
        <v>0.34763746410251345</v>
      </c>
    </row>
    <row r="87" spans="1:34" x14ac:dyDescent="0.2">
      <c r="A87" s="2514" t="s">
        <v>4508</v>
      </c>
      <c r="B87" s="2513"/>
      <c r="C87" s="2513"/>
      <c r="D87" s="2496"/>
      <c r="E87" s="2532"/>
      <c r="F87" s="2519"/>
      <c r="G87" s="2543">
        <f>-Reduktionsstiberegner!H97</f>
        <v>0</v>
      </c>
      <c r="H87" s="2542">
        <f>-Reduktionsstiberegner!J97</f>
        <v>0</v>
      </c>
      <c r="I87" s="2541">
        <f>-Reduktionsstiberegner!L97</f>
        <v>0</v>
      </c>
      <c r="J87" s="2540">
        <f>-Reduktionsstiberegner!N97</f>
        <v>0</v>
      </c>
      <c r="M87" s="2344" t="s">
        <v>4730</v>
      </c>
      <c r="N87" s="2496"/>
      <c r="O87" s="2496"/>
      <c r="P87" s="2524" t="s">
        <v>4473</v>
      </c>
      <c r="Q87" s="2531">
        <f>$J$20</f>
        <v>0</v>
      </c>
      <c r="R87" s="2337"/>
      <c r="S87" s="2336" t="str">
        <f>IF(SUM(S88,S115)&gt;1,"OBS - SUM &gt; 100%!","")</f>
        <v/>
      </c>
      <c r="T87" s="2336" t="str">
        <f>IF(SUM(T88,T115)&gt;1,"OBS - SUM &gt; 100%!","")</f>
        <v/>
      </c>
      <c r="U87" s="2336" t="str">
        <f>IF(SUM(U88,U115)&gt;1,"OBS - SUM &gt; 100%!","")</f>
        <v/>
      </c>
      <c r="V87" s="2336" t="str">
        <f>IF(SUM(V88,V115)&gt;1,"OBS - SUM &gt; 100%!","")</f>
        <v/>
      </c>
      <c r="Y87" s="2567" t="s">
        <v>4513</v>
      </c>
      <c r="Z87" s="2496"/>
      <c r="AA87" s="2496"/>
      <c r="AB87" s="2496"/>
      <c r="AC87" s="2549" t="s">
        <v>157</v>
      </c>
      <c r="AD87" s="2519"/>
      <c r="AE87" s="2570">
        <f>AE78/'E2020'!$AD$68%/1000*AE82</f>
        <v>0</v>
      </c>
      <c r="AF87" s="2570">
        <f>AF78/'E2020'!$AD$68%/1000*AF82</f>
        <v>0</v>
      </c>
      <c r="AG87" s="2570">
        <f>AG78/'E2020'!$AD$68%/1000*AG82</f>
        <v>0</v>
      </c>
      <c r="AH87" s="2570">
        <f>AH78/'E2020'!$AD$68%/1000*AH82</f>
        <v>0</v>
      </c>
    </row>
    <row r="88" spans="1:34" x14ac:dyDescent="0.2">
      <c r="A88" s="2514">
        <v>2020</v>
      </c>
      <c r="B88" s="2513"/>
      <c r="C88" s="2513"/>
      <c r="D88" s="2345">
        <f>'E2020'!$I$21</f>
        <v>0</v>
      </c>
      <c r="E88" s="2532"/>
      <c r="F88" s="2519"/>
      <c r="G88" s="2519"/>
      <c r="H88" s="2347"/>
      <c r="I88" s="2519"/>
      <c r="J88" s="2347"/>
      <c r="M88" s="2344" t="s">
        <v>4738</v>
      </c>
      <c r="N88" s="2496"/>
      <c r="O88" s="2496"/>
      <c r="P88" s="2524" t="s">
        <v>18</v>
      </c>
      <c r="Q88" s="2339"/>
      <c r="R88" s="2337"/>
      <c r="S88" s="2510">
        <f>Reduktionsstiberegner!H103</f>
        <v>0</v>
      </c>
      <c r="T88" s="2509">
        <f>Reduktionsstiberegner!J103</f>
        <v>0</v>
      </c>
      <c r="U88" s="2507">
        <f>Reduktionsstiberegner!L103</f>
        <v>0</v>
      </c>
      <c r="V88" s="2494">
        <f>Reduktionsstiberegner!N103</f>
        <v>0</v>
      </c>
      <c r="Y88" s="2344" t="s">
        <v>4512</v>
      </c>
      <c r="Z88" s="2496"/>
      <c r="AA88" s="2496"/>
      <c r="AB88" s="2496"/>
      <c r="AC88" s="2549" t="s">
        <v>157</v>
      </c>
      <c r="AD88" s="2519"/>
      <c r="AE88" s="2570">
        <f>AE78/'E2020'!$AD$69%/1000*AE83</f>
        <v>0</v>
      </c>
      <c r="AF88" s="2570">
        <f>AF78/'E2020'!$AD$69%/1000*AF83</f>
        <v>0</v>
      </c>
      <c r="AG88" s="2570">
        <f>AG78/'E2020'!$AD$69%/1000*AG83</f>
        <v>0</v>
      </c>
      <c r="AH88" s="2570">
        <f>AH78/'E2020'!$AD$69%/1000*AH83</f>
        <v>0</v>
      </c>
    </row>
    <row r="89" spans="1:34" x14ac:dyDescent="0.2">
      <c r="A89" s="2566">
        <v>2030</v>
      </c>
      <c r="B89" s="2565"/>
      <c r="C89" s="2565"/>
      <c r="D89" s="2564"/>
      <c r="F89" s="2519"/>
      <c r="G89" s="2563">
        <f>$D$88*(1+G87)*(1+G$47)</f>
        <v>0</v>
      </c>
      <c r="H89" s="2563">
        <f>$D$88*(1+H87)*(1+H$47)</f>
        <v>0</v>
      </c>
      <c r="I89" s="2563">
        <f>$D$88*(1+I87)*(1+I$47)</f>
        <v>0</v>
      </c>
      <c r="J89" s="2347">
        <f>$D$88*(1+J87)*(1+J$47)</f>
        <v>0</v>
      </c>
      <c r="M89" s="2344" t="s">
        <v>4738</v>
      </c>
      <c r="N89" s="2496"/>
      <c r="O89" s="2496"/>
      <c r="P89" s="2524" t="s">
        <v>4473</v>
      </c>
      <c r="Q89" s="2339">
        <v>91324</v>
      </c>
      <c r="R89" s="2337"/>
      <c r="S89" s="2339">
        <f>S88*$Q87</f>
        <v>0</v>
      </c>
      <c r="T89" s="2339">
        <f>T88*$Q87</f>
        <v>0</v>
      </c>
      <c r="U89" s="2339">
        <f>U88*$Q87</f>
        <v>0</v>
      </c>
      <c r="V89" s="2339">
        <f>V88*$Q87</f>
        <v>0</v>
      </c>
    </row>
    <row r="90" spans="1:34" ht="15.75" x14ac:dyDescent="0.25">
      <c r="A90" s="2514" t="s">
        <v>61</v>
      </c>
      <c r="B90" s="2513"/>
      <c r="C90" s="2496"/>
      <c r="D90" s="2562">
        <f>'E2020'!$AD$21%</f>
        <v>0.9</v>
      </c>
      <c r="E90" s="2532"/>
      <c r="F90" s="2519"/>
      <c r="G90" s="2519"/>
      <c r="I90" s="2519"/>
      <c r="J90" s="2561"/>
      <c r="M90" s="2344" t="s">
        <v>4474</v>
      </c>
      <c r="N90" s="2496"/>
      <c r="O90" s="2496"/>
      <c r="P90" s="2524" t="s">
        <v>4473</v>
      </c>
      <c r="Q90" s="2339">
        <v>12420</v>
      </c>
      <c r="R90" s="2337"/>
      <c r="S90" s="2339">
        <f>ROUND(S$89/$Q$89*$Q$90,1)</f>
        <v>0</v>
      </c>
      <c r="T90" s="2339">
        <f>ROUND(T$89/$Q$89*$Q$90,1)</f>
        <v>0</v>
      </c>
      <c r="U90" s="2339">
        <f>ROUND(U$89/$Q$89*$Q$90,1)</f>
        <v>0</v>
      </c>
      <c r="V90" s="2339">
        <f>ROUND(V$89/$Q$89*$Q$90,1)</f>
        <v>0</v>
      </c>
      <c r="Y90" s="2568" t="s">
        <v>4510</v>
      </c>
    </row>
    <row r="91" spans="1:34" x14ac:dyDescent="0.2">
      <c r="A91" s="2560" t="s">
        <v>4505</v>
      </c>
      <c r="B91" s="2559"/>
      <c r="C91" s="2559"/>
      <c r="D91" s="2558"/>
      <c r="E91" s="2532"/>
      <c r="F91" s="2519"/>
      <c r="G91" s="2557">
        <f>($D$88*$D$90)-(G89*$D$90)/(1+G47)</f>
        <v>0</v>
      </c>
      <c r="H91" s="2557">
        <f>($D$88*$D$90)-(H89*$D$90)/(1+H47)</f>
        <v>0</v>
      </c>
      <c r="I91" s="2557">
        <f>($D$88*$D$90)-(I89*$D$90)/(1+I47)</f>
        <v>0</v>
      </c>
      <c r="J91" s="2557">
        <f>($D$88*$D$90)-(J89*$D$90)/(1+J47)</f>
        <v>0</v>
      </c>
      <c r="M91" s="2344" t="s">
        <v>4461</v>
      </c>
      <c r="N91" s="2496"/>
      <c r="O91" s="2496"/>
      <c r="P91" s="2524" t="s">
        <v>4460</v>
      </c>
      <c r="Q91" s="2339">
        <v>100</v>
      </c>
      <c r="R91" s="2337"/>
      <c r="S91" s="2339">
        <f>ROUND(S$89/$Q$89*$Q$91,1)</f>
        <v>0</v>
      </c>
      <c r="T91" s="2339">
        <f>ROUND(T$89/$Q$89*$Q$91,1)</f>
        <v>0</v>
      </c>
      <c r="U91" s="2339">
        <f>ROUND(U$89/$Q$89*$Q$91,1)</f>
        <v>0</v>
      </c>
      <c r="V91" s="2339">
        <f>ROUND(V$89/$Q$89*$Q$91,1)</f>
        <v>0</v>
      </c>
      <c r="Y91" s="307" t="s">
        <v>583</v>
      </c>
    </row>
    <row r="92" spans="1:34" x14ac:dyDescent="0.2">
      <c r="A92" s="2514" t="s">
        <v>4504</v>
      </c>
      <c r="B92" s="2513"/>
      <c r="C92" s="2513"/>
      <c r="D92" s="2496"/>
      <c r="E92" s="2532"/>
      <c r="F92" s="2519"/>
      <c r="G92" s="2555">
        <f>G91*(1+G$47)</f>
        <v>0</v>
      </c>
      <c r="H92" s="2555">
        <f>H91*(1+H$47)</f>
        <v>0</v>
      </c>
      <c r="I92" s="2555">
        <f>I91*(1+I$47)</f>
        <v>0</v>
      </c>
      <c r="J92" s="2555">
        <f>J91*(1+J$47)</f>
        <v>0</v>
      </c>
      <c r="M92" s="307" t="str">
        <f>"Output - "&amp;M86</f>
        <v>Output - PtX - Metanol (syntese, på overskuds-CO2)</v>
      </c>
      <c r="Y92" s="2567" t="s">
        <v>4507</v>
      </c>
      <c r="Z92" s="2547"/>
      <c r="AA92" s="2547"/>
      <c r="AB92" s="2547" t="s">
        <v>157</v>
      </c>
      <c r="AC92" s="2547"/>
      <c r="AD92" s="2505"/>
      <c r="AE92" s="2346">
        <f>'E2020'!$AA$76+'E2020'!$AA$77</f>
        <v>0.81</v>
      </c>
      <c r="AF92" s="2339">
        <f>'E2020'!$AA$76+'E2020'!$AA$77</f>
        <v>0.81</v>
      </c>
      <c r="AG92" s="2346">
        <f>'E2020'!$AA$76+'E2020'!$AA$77</f>
        <v>0.81</v>
      </c>
      <c r="AH92" s="2339">
        <f>'E2020'!$AA$76+'E2020'!$AA$77</f>
        <v>0.81</v>
      </c>
    </row>
    <row r="93" spans="1:34" x14ac:dyDescent="0.2">
      <c r="M93" s="2344" t="s">
        <v>4469</v>
      </c>
      <c r="N93" s="2496"/>
      <c r="O93" s="2496"/>
      <c r="P93" s="2524" t="s">
        <v>79</v>
      </c>
      <c r="Q93" s="2339">
        <v>2494.1</v>
      </c>
      <c r="R93" s="2337"/>
      <c r="S93" s="2343">
        <f>ROUND(S$89/$Q$89*$Q$93,1)</f>
        <v>0</v>
      </c>
      <c r="T93" s="2343">
        <f>ROUND(T$89/$Q$89*$Q$93,1)</f>
        <v>0</v>
      </c>
      <c r="U93" s="2343">
        <f>ROUND(U$89/$Q$89*$Q$93,1)</f>
        <v>0</v>
      </c>
      <c r="V93" s="2343">
        <f>ROUND(V$89/$Q$89*$Q$93,1)</f>
        <v>0</v>
      </c>
      <c r="Y93" s="2344" t="s">
        <v>4506</v>
      </c>
      <c r="Z93" s="2496"/>
      <c r="AA93" s="2496"/>
      <c r="AB93" s="2554">
        <v>-8.8900000000000007E-2</v>
      </c>
      <c r="AC93" s="2496" t="s">
        <v>157</v>
      </c>
      <c r="AD93" s="2519"/>
      <c r="AE93" s="2346">
        <f>AE92*(1+$AB$93)</f>
        <v>0.73799100000000006</v>
      </c>
      <c r="AF93" s="2339">
        <f>AF92*(1+AB93)</f>
        <v>0.73799100000000006</v>
      </c>
      <c r="AG93" s="2346">
        <f>AG92*(1+'E-Tiltag'!$AB$93)</f>
        <v>0.73799100000000006</v>
      </c>
      <c r="AH93" s="2339">
        <f>AH92*(1+'E-Tiltag'!AB93)</f>
        <v>0.73799100000000006</v>
      </c>
    </row>
    <row r="94" spans="1:34" x14ac:dyDescent="0.2">
      <c r="A94" s="307" t="s">
        <v>4476</v>
      </c>
      <c r="G94" s="12" t="str">
        <f>$G$24</f>
        <v>BAU2030</v>
      </c>
      <c r="H94" s="29" t="str">
        <f>$H$24</f>
        <v>BAU2050</v>
      </c>
      <c r="I94" s="29" t="str">
        <f>$I$24</f>
        <v>STI2030</v>
      </c>
      <c r="J94" s="29" t="str">
        <f>$J$24</f>
        <v>STI2050</v>
      </c>
      <c r="M94" s="2344" t="s">
        <v>4503</v>
      </c>
      <c r="N94" s="2496"/>
      <c r="O94" s="2496"/>
      <c r="P94" s="2496" t="s">
        <v>79</v>
      </c>
      <c r="Q94" s="2339">
        <v>1333.3</v>
      </c>
      <c r="R94" s="2337"/>
      <c r="S94" s="2343">
        <f>ROUND(S$89/$Q$89*$Q$94,1)</f>
        <v>0</v>
      </c>
      <c r="T94" s="2343">
        <f>ROUND(T$89/$Q$89*$Q$94,1)</f>
        <v>0</v>
      </c>
      <c r="U94" s="2343">
        <f>ROUND(U$89/$Q$89*$Q$94,1)</f>
        <v>0</v>
      </c>
      <c r="V94" s="2343">
        <f>ROUND(V$89/$Q$89*$Q$94,1)</f>
        <v>0</v>
      </c>
      <c r="Y94" s="2514" t="s">
        <v>584</v>
      </c>
      <c r="Z94" s="2496"/>
      <c r="AA94" s="2496"/>
      <c r="AB94" s="2554">
        <v>0.2195</v>
      </c>
      <c r="AC94" s="2496" t="s">
        <v>157</v>
      </c>
      <c r="AD94" s="2519"/>
      <c r="AE94" s="2498">
        <f>$AB$94*$AE$93</f>
        <v>0.16198902450000002</v>
      </c>
      <c r="AF94" s="2498">
        <f>AB94*$AE$93</f>
        <v>0.16198902450000002</v>
      </c>
      <c r="AG94" s="2498">
        <f>'E-Tiltag'!$AB$94*$AG$93</f>
        <v>0.16198902450000002</v>
      </c>
      <c r="AH94" s="2498">
        <f>'E-Tiltag'!AB94*$AG$93</f>
        <v>0.16198902450000002</v>
      </c>
    </row>
    <row r="95" spans="1:34" x14ac:dyDescent="0.2">
      <c r="A95" s="2514" t="s">
        <v>4501</v>
      </c>
      <c r="B95" s="2513"/>
      <c r="C95" s="2513"/>
      <c r="D95" s="2496"/>
      <c r="E95" s="2532"/>
      <c r="F95" s="2519"/>
      <c r="G95" s="2510">
        <f>G71</f>
        <v>0.15</v>
      </c>
      <c r="H95" s="2509">
        <f>H71</f>
        <v>0.15</v>
      </c>
      <c r="I95" s="2507">
        <f>I71</f>
        <v>0.15</v>
      </c>
      <c r="J95" s="2494">
        <f>J71</f>
        <v>0.15</v>
      </c>
      <c r="M95" s="2344" t="s">
        <v>171</v>
      </c>
      <c r="N95" s="2496"/>
      <c r="O95" s="2496"/>
      <c r="P95" s="2496" t="s">
        <v>79</v>
      </c>
      <c r="Q95" s="2339">
        <v>368.9</v>
      </c>
      <c r="R95" s="2337"/>
      <c r="S95" s="2343">
        <f>ROUND(S$89/$Q$89*$Q$95,1)</f>
        <v>0</v>
      </c>
      <c r="T95" s="2343">
        <f>ROUND(T$89/$Q$89*$Q$95,1)</f>
        <v>0</v>
      </c>
      <c r="U95" s="2343">
        <f>ROUND(U$89/$Q$89*$Q$95,1)</f>
        <v>0</v>
      </c>
      <c r="V95" s="2343">
        <f>ROUND(V$89/$Q$89*$Q$95,1)</f>
        <v>0</v>
      </c>
      <c r="Y95" s="2344" t="s">
        <v>587</v>
      </c>
      <c r="Z95" s="2496"/>
      <c r="AA95" s="2496"/>
      <c r="AB95" s="2554"/>
      <c r="AC95" s="2496" t="s">
        <v>157</v>
      </c>
      <c r="AD95" s="2519"/>
      <c r="AE95" s="2347">
        <f>AE94/AE92*'E2020'!$F$76</f>
        <v>0</v>
      </c>
      <c r="AF95" s="2347">
        <f>AF94/AF92*'E2020'!$F$76</f>
        <v>0</v>
      </c>
      <c r="AG95" s="2347">
        <f>AG94/AG92*'E2020'!$F$76</f>
        <v>0</v>
      </c>
      <c r="AH95" s="2347">
        <f>AH94/AH92*'E2020'!$F$76</f>
        <v>0</v>
      </c>
    </row>
    <row r="96" spans="1:34" x14ac:dyDescent="0.2">
      <c r="A96" s="2514" t="s">
        <v>4500</v>
      </c>
      <c r="B96" s="2513"/>
      <c r="C96" s="2513"/>
      <c r="D96" s="2496"/>
      <c r="E96" s="2532"/>
      <c r="F96" s="2519"/>
      <c r="G96" s="2510">
        <v>0</v>
      </c>
      <c r="H96" s="2509">
        <v>0</v>
      </c>
      <c r="I96" s="2507">
        <v>0</v>
      </c>
      <c r="J96" s="2494">
        <v>0</v>
      </c>
      <c r="Y96" s="2344" t="s">
        <v>588</v>
      </c>
      <c r="Z96" s="2496"/>
      <c r="AA96" s="2496"/>
      <c r="AB96" s="2554"/>
      <c r="AC96" s="2496" t="s">
        <v>157</v>
      </c>
      <c r="AD96" s="2519"/>
      <c r="AE96" s="2556">
        <f>AE94/AE92*'E2020'!$F$77</f>
        <v>0.15000183668700001</v>
      </c>
      <c r="AF96" s="2556">
        <f>AF94/AF92*'E2020'!$F$77</f>
        <v>0.15000183668700001</v>
      </c>
      <c r="AG96" s="2556">
        <f>AG94/AG92*'E2020'!$F$77</f>
        <v>0.15000183668700001</v>
      </c>
      <c r="AH96" s="2556">
        <f>AH94/AH92*'E2020'!$F$77</f>
        <v>0.15000183668700001</v>
      </c>
    </row>
    <row r="97" spans="1:34" x14ac:dyDescent="0.2">
      <c r="A97" s="2514" t="s">
        <v>4499</v>
      </c>
      <c r="B97" s="2513"/>
      <c r="C97" s="2513"/>
      <c r="D97" s="2496"/>
      <c r="E97" s="2532"/>
      <c r="F97" s="2519"/>
      <c r="G97" s="2510">
        <v>0.65</v>
      </c>
      <c r="H97" s="2509">
        <v>0.65</v>
      </c>
      <c r="I97" s="2507">
        <v>0.65</v>
      </c>
      <c r="J97" s="2494">
        <v>0.65</v>
      </c>
      <c r="M97" s="307" t="s">
        <v>4498</v>
      </c>
      <c r="Q97" s="2535" t="s">
        <v>4463</v>
      </c>
      <c r="Y97" s="2514" t="s">
        <v>585</v>
      </c>
      <c r="Z97" s="2496"/>
      <c r="AA97" s="2496"/>
      <c r="AB97" s="2554">
        <f>EBAU2030!AC78%</f>
        <v>0.67</v>
      </c>
      <c r="AC97" s="2496" t="s">
        <v>157</v>
      </c>
      <c r="AD97" s="2519"/>
      <c r="AE97" s="2343">
        <f>$AB$97*AE93</f>
        <v>0.49445397000000008</v>
      </c>
      <c r="AF97" s="2343">
        <f>AB97*AF93</f>
        <v>0.49445397000000008</v>
      </c>
      <c r="AG97" s="2343">
        <f>'E-Tiltag'!$AB$97*AG93</f>
        <v>0.49445397000000008</v>
      </c>
      <c r="AH97" s="2343">
        <f>'E-Tiltag'!AB97*AH93</f>
        <v>0.49445397000000008</v>
      </c>
    </row>
    <row r="98" spans="1:34" x14ac:dyDescent="0.2">
      <c r="A98" s="2514" t="s">
        <v>4497</v>
      </c>
      <c r="B98" s="2513"/>
      <c r="C98" s="2513"/>
      <c r="D98" s="2496"/>
      <c r="E98" s="2532"/>
      <c r="F98" s="2519"/>
      <c r="G98" s="2510">
        <v>0</v>
      </c>
      <c r="H98" s="2509">
        <v>0</v>
      </c>
      <c r="I98" s="2507">
        <v>0</v>
      </c>
      <c r="J98" s="2494">
        <v>0</v>
      </c>
      <c r="M98" s="2344" t="s">
        <v>4496</v>
      </c>
      <c r="N98" s="2496"/>
      <c r="O98" s="2496"/>
      <c r="P98" s="2524" t="s">
        <v>4473</v>
      </c>
      <c r="Q98" s="2531">
        <f>$J$14</f>
        <v>6967.5361462067322</v>
      </c>
      <c r="R98" s="2337"/>
      <c r="S98" s="2337"/>
      <c r="T98" s="2337"/>
      <c r="U98" s="2337"/>
      <c r="V98" s="2337"/>
    </row>
    <row r="99" spans="1:34" x14ac:dyDescent="0.2">
      <c r="A99" s="2514" t="s">
        <v>4495</v>
      </c>
      <c r="B99" s="2513"/>
      <c r="C99" s="2513"/>
      <c r="D99" s="2496"/>
      <c r="E99" s="2532"/>
      <c r="F99" s="2519"/>
      <c r="G99" s="2512">
        <f>1-SUM(G95:G98)-G100</f>
        <v>0.19999999999999996</v>
      </c>
      <c r="H99" s="2512">
        <f>1-SUM(H95:H98)-H100</f>
        <v>0.19999999999999996</v>
      </c>
      <c r="I99" s="2512">
        <f>1-SUM(I95:I98)-I100</f>
        <v>0.19999999999999996</v>
      </c>
      <c r="J99" s="2512">
        <f>1-SUM(J95:J98)-J100</f>
        <v>0.19999999999999996</v>
      </c>
      <c r="M99" s="2344" t="s">
        <v>4492</v>
      </c>
      <c r="N99" s="2496"/>
      <c r="O99" s="2496"/>
      <c r="P99" s="2524" t="s">
        <v>18</v>
      </c>
      <c r="Q99" s="2339"/>
      <c r="R99" s="2337"/>
      <c r="S99" s="2510">
        <f>Reduktionsstiberegner!H102</f>
        <v>0</v>
      </c>
      <c r="T99" s="2509">
        <f>Reduktionsstiberegner!J102</f>
        <v>0</v>
      </c>
      <c r="U99" s="2507">
        <f>Reduktionsstiberegner!L102</f>
        <v>0</v>
      </c>
      <c r="V99" s="2494">
        <f>Reduktionsstiberegner!N102</f>
        <v>0</v>
      </c>
      <c r="Y99" s="307" t="s">
        <v>4502</v>
      </c>
    </row>
    <row r="100" spans="1:34" x14ac:dyDescent="0.2">
      <c r="A100" s="2514" t="s">
        <v>4493</v>
      </c>
      <c r="B100" s="2513"/>
      <c r="C100" s="2513"/>
      <c r="D100" s="2496"/>
      <c r="E100" s="2532"/>
      <c r="F100" s="2519"/>
      <c r="G100" s="2510">
        <v>0</v>
      </c>
      <c r="H100" s="2509">
        <v>0</v>
      </c>
      <c r="I100" s="2507">
        <v>0</v>
      </c>
      <c r="J100" s="2494">
        <v>0</v>
      </c>
      <c r="M100" s="2344" t="s">
        <v>4492</v>
      </c>
      <c r="N100" s="2496"/>
      <c r="O100" s="2496"/>
      <c r="P100" s="2524" t="s">
        <v>4473</v>
      </c>
      <c r="Q100" s="2339">
        <v>131000</v>
      </c>
      <c r="R100" s="2337"/>
      <c r="S100" s="2339">
        <f>S99*$Q$70</f>
        <v>0</v>
      </c>
      <c r="T100" s="2339">
        <f>T99*$Q$70</f>
        <v>0</v>
      </c>
      <c r="U100" s="2339">
        <f>U99*'E-Tiltag'!$Q$70</f>
        <v>0</v>
      </c>
      <c r="V100" s="2339">
        <f>V99*'E-Tiltag'!$Q$70</f>
        <v>0</v>
      </c>
      <c r="Y100" s="2344" t="s">
        <v>578</v>
      </c>
      <c r="Z100" s="2496"/>
      <c r="AA100" s="2496"/>
      <c r="AB100" s="2496"/>
      <c r="AC100" s="2549"/>
      <c r="AD100" s="2549"/>
      <c r="AE100" s="2553">
        <v>-1.52E-2</v>
      </c>
      <c r="AF100" s="2552">
        <v>-1.52E-2</v>
      </c>
      <c r="AG100" s="2551">
        <v>-1.52E-2</v>
      </c>
      <c r="AH100" s="2550">
        <v>-1.52E-2</v>
      </c>
    </row>
    <row r="101" spans="1:34" x14ac:dyDescent="0.2">
      <c r="A101" s="307" t="s">
        <v>4491</v>
      </c>
      <c r="M101" s="2344" t="s">
        <v>4490</v>
      </c>
      <c r="N101" s="2496"/>
      <c r="O101" s="2496"/>
      <c r="P101" s="2524" t="s">
        <v>4473</v>
      </c>
      <c r="Q101" s="2339">
        <v>38000</v>
      </c>
      <c r="R101" s="2337"/>
      <c r="S101" s="2339">
        <f>ROUND(S100/$Q$72*$Q$73,-3)</f>
        <v>0</v>
      </c>
      <c r="T101" s="2339">
        <f>ROUND(T100/$Q$72*$Q$73,-3)</f>
        <v>0</v>
      </c>
      <c r="U101" s="2339">
        <f>ROUND(U100/'E-Tiltag'!$Q$72*'E-Tiltag'!$Q$73,-3)</f>
        <v>0</v>
      </c>
      <c r="V101" s="2339">
        <f>ROUND(V100/'E-Tiltag'!$Q$72*'E-Tiltag'!$Q$73,-3)</f>
        <v>0</v>
      </c>
      <c r="Y101" s="2344" t="s">
        <v>644</v>
      </c>
      <c r="Z101" s="2496"/>
      <c r="AA101" s="2496"/>
      <c r="AB101" s="2496"/>
      <c r="AC101" s="2549"/>
      <c r="AD101" s="2549"/>
      <c r="AE101" s="2553">
        <f>Reduktionsstiberegner!H84</f>
        <v>0.1</v>
      </c>
      <c r="AF101" s="2552">
        <f>Reduktionsstiberegner!J84</f>
        <v>0.1</v>
      </c>
      <c r="AG101" s="2551">
        <f>Reduktionsstiberegner!L84</f>
        <v>0.1</v>
      </c>
      <c r="AH101" s="2550">
        <f>Reduktionsstiberegner!N84</f>
        <v>0.1</v>
      </c>
    </row>
    <row r="102" spans="1:34" x14ac:dyDescent="0.2">
      <c r="A102" s="2514" t="str">
        <f t="shared" ref="A102:A107" si="15">A95</f>
        <v>Til indviduelle varmepumper</v>
      </c>
      <c r="B102" s="2513"/>
      <c r="C102" s="2513"/>
      <c r="D102" s="2496"/>
      <c r="E102" s="2532"/>
      <c r="F102" s="2519"/>
      <c r="G102" s="2343">
        <f t="shared" ref="G102:J107" si="16">G95*G$92</f>
        <v>0</v>
      </c>
      <c r="H102" s="2343">
        <f t="shared" si="16"/>
        <v>0</v>
      </c>
      <c r="I102" s="2343">
        <f t="shared" si="16"/>
        <v>0</v>
      </c>
      <c r="J102" s="2343">
        <f t="shared" si="16"/>
        <v>0</v>
      </c>
      <c r="M102" s="311" t="s">
        <v>4489</v>
      </c>
      <c r="Y102" s="12" t="s">
        <v>579</v>
      </c>
    </row>
    <row r="103" spans="1:34" x14ac:dyDescent="0.2">
      <c r="A103" s="2514" t="str">
        <f t="shared" si="15"/>
        <v>Til store fjernvarmenet</v>
      </c>
      <c r="B103" s="2513"/>
      <c r="C103" s="2513"/>
      <c r="D103" s="2496"/>
      <c r="E103" s="2532"/>
      <c r="F103" s="2519"/>
      <c r="G103" s="2343">
        <f t="shared" si="16"/>
        <v>0</v>
      </c>
      <c r="H103" s="2343">
        <f t="shared" si="16"/>
        <v>0</v>
      </c>
      <c r="I103" s="2343">
        <f t="shared" si="16"/>
        <v>0</v>
      </c>
      <c r="J103" s="2343">
        <f t="shared" si="16"/>
        <v>0</v>
      </c>
      <c r="M103" s="2514" t="s">
        <v>93</v>
      </c>
      <c r="N103" s="2496"/>
      <c r="O103" s="2496"/>
      <c r="P103" s="2524" t="s">
        <v>4736</v>
      </c>
      <c r="Q103" s="2339">
        <v>1141.5530000000001</v>
      </c>
      <c r="R103" s="2337"/>
      <c r="S103" s="2339">
        <f>ROUND(S100/$Q$72*$Q$75,0)</f>
        <v>0</v>
      </c>
      <c r="T103" s="2339">
        <f>ROUND(T100/$Q$72*$Q$75,0)</f>
        <v>0</v>
      </c>
      <c r="U103" s="2339">
        <f>ROUND(U100/'E-Tiltag'!$Q$72*'E-Tiltag'!$Q$75,0)</f>
        <v>0</v>
      </c>
      <c r="V103" s="2339">
        <f>ROUND(V100/'E-Tiltag'!$Q$72*'E-Tiltag'!$Q$75,0)</f>
        <v>0</v>
      </c>
    </row>
    <row r="104" spans="1:34" x14ac:dyDescent="0.2">
      <c r="A104" s="2514" t="str">
        <f t="shared" si="15"/>
        <v>Til mellemstore fjernvarmenet</v>
      </c>
      <c r="B104" s="2513"/>
      <c r="C104" s="2513"/>
      <c r="D104" s="2496"/>
      <c r="E104" s="2532"/>
      <c r="F104" s="2519"/>
      <c r="G104" s="2343">
        <f t="shared" si="16"/>
        <v>0</v>
      </c>
      <c r="H104" s="2343">
        <f t="shared" si="16"/>
        <v>0</v>
      </c>
      <c r="I104" s="2343">
        <f t="shared" si="16"/>
        <v>0</v>
      </c>
      <c r="J104" s="2343">
        <f t="shared" si="16"/>
        <v>0</v>
      </c>
      <c r="M104" s="2514" t="s">
        <v>4488</v>
      </c>
      <c r="N104" s="2496"/>
      <c r="O104" s="2496"/>
      <c r="P104" s="2524" t="s">
        <v>4460</v>
      </c>
      <c r="Q104" s="2498">
        <v>6.71</v>
      </c>
      <c r="R104" s="2337"/>
      <c r="S104" s="2498">
        <f>ROUND(S100/$Q$72*$Q$76,1)</f>
        <v>0</v>
      </c>
      <c r="T104" s="2498">
        <f>ROUND(T100/$Q$72*$Q$76,1)</f>
        <v>0</v>
      </c>
      <c r="U104" s="2498">
        <f>ROUND(U100/'E-Tiltag'!$Q$72*'E-Tiltag'!$Q$76,1)</f>
        <v>0</v>
      </c>
      <c r="V104" s="2498">
        <f>ROUND(V100/'E-Tiltag'!$Q$72*'E-Tiltag'!$Q$76,1)</f>
        <v>0</v>
      </c>
      <c r="Y104" s="307" t="s">
        <v>4494</v>
      </c>
    </row>
    <row r="105" spans="1:34" x14ac:dyDescent="0.2">
      <c r="A105" s="2514" t="str">
        <f t="shared" si="15"/>
        <v>Til mindre fjernvarmevarmenet</v>
      </c>
      <c r="B105" s="2513"/>
      <c r="C105" s="2513"/>
      <c r="D105" s="2496"/>
      <c r="E105" s="2532"/>
      <c r="F105" s="2519"/>
      <c r="G105" s="2343">
        <f t="shared" si="16"/>
        <v>0</v>
      </c>
      <c r="H105" s="2343">
        <f t="shared" si="16"/>
        <v>0</v>
      </c>
      <c r="I105" s="2343">
        <f t="shared" si="16"/>
        <v>0</v>
      </c>
      <c r="J105" s="2343">
        <f t="shared" si="16"/>
        <v>0</v>
      </c>
      <c r="M105" s="2514" t="s">
        <v>4487</v>
      </c>
      <c r="N105" s="2496"/>
      <c r="O105" s="2496"/>
      <c r="P105" s="2524" t="s">
        <v>4460</v>
      </c>
      <c r="Q105" s="2339">
        <f>Q104*2</f>
        <v>13.42</v>
      </c>
      <c r="R105" s="2337"/>
      <c r="S105" s="2339">
        <f>ROUND(S100/$Q$72*$Q$78,1)</f>
        <v>0</v>
      </c>
      <c r="T105" s="2339">
        <f>ROUND(T100/$Q$72*$Q$78,1)</f>
        <v>0</v>
      </c>
      <c r="U105" s="2339">
        <f>ROUND(U100/'E-Tiltag'!$Q$72*'E-Tiltag'!$Q$78,1)</f>
        <v>0</v>
      </c>
      <c r="V105" s="2339">
        <f>ROUND(V100/'E-Tiltag'!$Q$72*'E-Tiltag'!$Q$78,1)</f>
        <v>0</v>
      </c>
      <c r="Y105" s="2344" t="s">
        <v>578</v>
      </c>
      <c r="Z105" s="2496"/>
      <c r="AA105" s="2496"/>
      <c r="AB105" s="2496"/>
      <c r="AC105" s="2549"/>
      <c r="AD105" s="2549"/>
      <c r="AE105" s="2543">
        <v>2.9899999999999999E-2</v>
      </c>
      <c r="AF105" s="2542">
        <v>2.9899999999999999E-2</v>
      </c>
      <c r="AG105" s="2541">
        <v>2.9899999999999999E-2</v>
      </c>
      <c r="AH105" s="2540">
        <v>2.9899999999999999E-2</v>
      </c>
    </row>
    <row r="106" spans="1:34" x14ac:dyDescent="0.2">
      <c r="A106" s="2514" t="str">
        <f t="shared" si="15"/>
        <v>Til ny fjernvarme</v>
      </c>
      <c r="B106" s="2513"/>
      <c r="C106" s="2513"/>
      <c r="D106" s="2496"/>
      <c r="E106" s="2532"/>
      <c r="F106" s="2519"/>
      <c r="G106" s="2343">
        <f t="shared" si="16"/>
        <v>0</v>
      </c>
      <c r="H106" s="2343">
        <f t="shared" si="16"/>
        <v>0</v>
      </c>
      <c r="I106" s="2343">
        <f t="shared" si="16"/>
        <v>0</v>
      </c>
      <c r="J106" s="2343">
        <f t="shared" si="16"/>
        <v>0</v>
      </c>
      <c r="M106" s="2514" t="s">
        <v>4486</v>
      </c>
      <c r="N106" s="2496"/>
      <c r="O106" s="2496"/>
      <c r="P106" s="2524" t="s">
        <v>581</v>
      </c>
      <c r="Q106" s="2339">
        <f>ROUNDUP(Q105/2/3.5,0)</f>
        <v>2</v>
      </c>
      <c r="R106" s="2337"/>
      <c r="S106" s="2339">
        <f>ROUNDUP(S100/$Q$72*$Q$79,0)</f>
        <v>0</v>
      </c>
      <c r="T106" s="2339">
        <f>ROUNDUP(T100/$Q$72*$Q$79,0)</f>
        <v>0</v>
      </c>
      <c r="U106" s="2339">
        <f>ROUNDUP(U100/'E-Tiltag'!$Q$72*'E-Tiltag'!$Q$79,0)</f>
        <v>0</v>
      </c>
      <c r="V106" s="2339">
        <f>ROUNDUP(V100/'E-Tiltag'!$Q$72*'E-Tiltag'!$Q$79,0)</f>
        <v>0</v>
      </c>
    </row>
    <row r="107" spans="1:34" x14ac:dyDescent="0.2">
      <c r="A107" s="2514" t="str">
        <f t="shared" si="15"/>
        <v>Til sammenhængende fjernvarmenet</v>
      </c>
      <c r="B107" s="2513"/>
      <c r="C107" s="2513"/>
      <c r="D107" s="2496"/>
      <c r="E107" s="2532"/>
      <c r="F107" s="2519"/>
      <c r="G107" s="2343">
        <f t="shared" si="16"/>
        <v>0</v>
      </c>
      <c r="H107" s="2343">
        <f t="shared" si="16"/>
        <v>0</v>
      </c>
      <c r="I107" s="2343">
        <f t="shared" si="16"/>
        <v>0</v>
      </c>
      <c r="J107" s="2343">
        <f t="shared" si="16"/>
        <v>0</v>
      </c>
      <c r="M107" s="2514" t="s">
        <v>4485</v>
      </c>
      <c r="N107" s="2496"/>
      <c r="O107" s="2496"/>
      <c r="P107" s="2524" t="s">
        <v>392</v>
      </c>
      <c r="Q107" s="2498">
        <v>9.8000000000000007</v>
      </c>
      <c r="R107" s="2337"/>
      <c r="S107" s="2498">
        <f>ROUND(S100/$Q$72*$Q$80,1)</f>
        <v>0</v>
      </c>
      <c r="T107" s="2498">
        <f>ROUND(T100/$Q$72*$Q$80,1)</f>
        <v>0</v>
      </c>
      <c r="U107" s="2498">
        <f>ROUND(U100/'E-Tiltag'!$Q$72*'E-Tiltag'!$Q$80,1)</f>
        <v>0</v>
      </c>
      <c r="V107" s="2498">
        <f>ROUND(V100/'E-Tiltag'!$Q$72*'E-Tiltag'!$Q$80,1)</f>
        <v>0</v>
      </c>
      <c r="Y107" s="307" t="s">
        <v>5420</v>
      </c>
    </row>
    <row r="108" spans="1:34" x14ac:dyDescent="0.2">
      <c r="M108" s="307" t="str">
        <f>"Output - "&amp;M97</f>
        <v>Output - PtX - Metanisering (på biogas)</v>
      </c>
      <c r="Y108" s="2567" t="s">
        <v>5423</v>
      </c>
      <c r="Z108" s="2547"/>
      <c r="AA108" s="2547"/>
      <c r="AB108" s="2547" t="s">
        <v>157</v>
      </c>
      <c r="AC108" s="2547"/>
      <c r="AD108" s="2505"/>
      <c r="AE108" s="2346">
        <f>1348*36/1000</f>
        <v>48.527999999999999</v>
      </c>
      <c r="AF108" s="2346">
        <f t="shared" ref="AF108:AH108" si="17">1348*36/1000</f>
        <v>48.527999999999999</v>
      </c>
      <c r="AG108" s="2346">
        <f t="shared" si="17"/>
        <v>48.527999999999999</v>
      </c>
      <c r="AH108" s="2346">
        <f t="shared" si="17"/>
        <v>48.527999999999999</v>
      </c>
    </row>
    <row r="109" spans="1:34" x14ac:dyDescent="0.2">
      <c r="A109" s="307" t="s">
        <v>4484</v>
      </c>
      <c r="B109" s="32"/>
      <c r="C109" s="32"/>
      <c r="D109" s="73" t="s">
        <v>4483</v>
      </c>
      <c r="E109" s="32" t="s">
        <v>61</v>
      </c>
      <c r="F109" s="32"/>
      <c r="M109" s="2344" t="s">
        <v>4469</v>
      </c>
      <c r="N109" s="2496"/>
      <c r="O109" s="2496"/>
      <c r="P109" s="2524" t="s">
        <v>79</v>
      </c>
      <c r="Q109" s="2339">
        <v>246.05</v>
      </c>
      <c r="R109" s="2337"/>
      <c r="S109" s="2343">
        <f>ROUND(S$100/$Q$100*$Q$109,1)</f>
        <v>0</v>
      </c>
      <c r="T109" s="2343">
        <f>ROUND(T$100/$Q$100*$Q$109,1)</f>
        <v>0</v>
      </c>
      <c r="U109" s="2343">
        <f>ROUND(U$100/$Q$100*$Q$109,1)</f>
        <v>0</v>
      </c>
      <c r="V109" s="2343">
        <f>ROUND(V$100/$Q$100*$Q$109,1)</f>
        <v>0</v>
      </c>
      <c r="Y109" s="2567" t="s">
        <v>5424</v>
      </c>
      <c r="Z109" s="4251"/>
      <c r="AA109" s="4251"/>
      <c r="AB109" s="4251" t="s">
        <v>157</v>
      </c>
      <c r="AC109" s="4251"/>
      <c r="AD109" s="4252"/>
      <c r="AE109" s="4103">
        <f>200*0.036</f>
        <v>7.1999999999999993</v>
      </c>
      <c r="AF109" s="4103">
        <f t="shared" ref="AF109:AH109" si="18">200*0.036</f>
        <v>7.1999999999999993</v>
      </c>
      <c r="AG109" s="4103">
        <f t="shared" si="18"/>
        <v>7.1999999999999993</v>
      </c>
      <c r="AH109" s="4103">
        <f t="shared" si="18"/>
        <v>7.1999999999999993</v>
      </c>
    </row>
    <row r="110" spans="1:34" x14ac:dyDescent="0.2">
      <c r="A110" s="2337" t="s">
        <v>4482</v>
      </c>
      <c r="B110" s="2496"/>
      <c r="C110" s="2519"/>
      <c r="D110" s="2498">
        <f>'E2020'!$E$20</f>
        <v>0</v>
      </c>
      <c r="E110" s="2512">
        <f>'E2020'!$AD$20%</f>
        <v>0.9</v>
      </c>
      <c r="M110" s="2344" t="s">
        <v>4467</v>
      </c>
      <c r="N110" s="2496"/>
      <c r="O110" s="2496"/>
      <c r="P110" s="2496" t="s">
        <v>79</v>
      </c>
      <c r="Q110" s="2339">
        <v>328.8</v>
      </c>
      <c r="R110" s="2337"/>
      <c r="S110" s="2343">
        <f>ROUND(S$100/$Q$100*$Q$110,1)</f>
        <v>0</v>
      </c>
      <c r="T110" s="2343">
        <f>ROUND(T$100/$Q$100*$Q$110,1)</f>
        <v>0</v>
      </c>
      <c r="U110" s="2343">
        <f>ROUND(U$100/$Q$100*$Q$110,1)</f>
        <v>0</v>
      </c>
      <c r="V110" s="2343">
        <f>ROUND(V$100/$Q$100*$Q$110,1)</f>
        <v>0</v>
      </c>
      <c r="Y110" s="2344" t="s">
        <v>5421</v>
      </c>
      <c r="Z110" s="2496"/>
      <c r="AA110" s="2496"/>
      <c r="AB110" s="2554">
        <v>-0.18</v>
      </c>
      <c r="AC110" s="2496" t="s">
        <v>157</v>
      </c>
      <c r="AD110" s="2519"/>
      <c r="AE110" s="2339">
        <f>AE108*(1+$AB110)</f>
        <v>39.792960000000001</v>
      </c>
      <c r="AF110" s="2339">
        <f>AF108*(1+$AB110)</f>
        <v>39.792960000000001</v>
      </c>
      <c r="AG110" s="2339">
        <f>AG108*(1+$AB110)</f>
        <v>39.792960000000001</v>
      </c>
      <c r="AH110" s="2339">
        <f>AH108*(1+$AB110)</f>
        <v>39.792960000000001</v>
      </c>
    </row>
    <row r="111" spans="1:34" x14ac:dyDescent="0.2">
      <c r="A111" s="2548" t="s">
        <v>4481</v>
      </c>
      <c r="B111" s="2547"/>
      <c r="C111" s="2505"/>
      <c r="D111" s="2498">
        <f>SUM('E2020'!$B$22:$I$22)</f>
        <v>0</v>
      </c>
      <c r="E111" s="2546">
        <f>'E2020'!$AD$22%</f>
        <v>0.9</v>
      </c>
      <c r="M111" s="2344" t="s">
        <v>171</v>
      </c>
      <c r="N111" s="2496"/>
      <c r="O111" s="2496"/>
      <c r="P111" s="2496" t="s">
        <v>79</v>
      </c>
      <c r="Q111" s="2339">
        <v>72.58</v>
      </c>
      <c r="R111" s="2337"/>
      <c r="S111" s="2343">
        <f>ROUND(S$100/$Q$100*$Q$111,1)</f>
        <v>0</v>
      </c>
      <c r="T111" s="2343">
        <f>ROUND(T$100/$Q$100*$Q$111,1)</f>
        <v>0</v>
      </c>
      <c r="U111" s="2343">
        <f>ROUND(U$100/$Q$100*$Q$111,1)</f>
        <v>0</v>
      </c>
      <c r="V111" s="2343">
        <f>ROUND(V$100/$Q$100*$Q$111,1)</f>
        <v>0</v>
      </c>
      <c r="Y111" s="2514" t="s">
        <v>5429</v>
      </c>
      <c r="Z111" s="2496"/>
      <c r="AA111" s="2496"/>
      <c r="AB111" s="2554"/>
      <c r="AC111" s="2496"/>
      <c r="AD111" s="2519"/>
      <c r="AE111" s="2498">
        <v>0.14893617021276595</v>
      </c>
      <c r="AF111" s="2498">
        <v>0.14893617021276595</v>
      </c>
      <c r="AG111" s="2498">
        <v>0.14893617021276595</v>
      </c>
      <c r="AH111" s="2498">
        <v>0.14893617021276595</v>
      </c>
    </row>
    <row r="112" spans="1:34" x14ac:dyDescent="0.2">
      <c r="A112" s="2545" t="s">
        <v>4480</v>
      </c>
      <c r="B112" s="2544"/>
      <c r="C112" s="2544"/>
      <c r="D112" s="2544"/>
      <c r="E112" s="2544"/>
      <c r="F112" s="2486"/>
      <c r="G112" s="2543">
        <f>-Reduktionsstiberegner!H98</f>
        <v>0</v>
      </c>
      <c r="H112" s="2542">
        <f>-Reduktionsstiberegner!J98</f>
        <v>0</v>
      </c>
      <c r="I112" s="2541">
        <f>-Reduktionsstiberegner!L98</f>
        <v>0</v>
      </c>
      <c r="J112" s="2540">
        <f>-Reduktionsstiberegner!N98</f>
        <v>0</v>
      </c>
      <c r="Y112" s="2344" t="s">
        <v>5425</v>
      </c>
      <c r="Z112" s="2496"/>
      <c r="AA112" s="2496"/>
      <c r="AB112" s="2554"/>
      <c r="AC112" s="2496" t="s">
        <v>157</v>
      </c>
      <c r="AD112" s="2519"/>
      <c r="AE112" s="2347">
        <f>+AE110*AE111</f>
        <v>5.9266110638297871</v>
      </c>
      <c r="AF112" s="2347">
        <f t="shared" ref="AF112:AH112" si="19">+AF110*AF111</f>
        <v>5.9266110638297871</v>
      </c>
      <c r="AG112" s="2347">
        <f t="shared" si="19"/>
        <v>5.9266110638297871</v>
      </c>
      <c r="AH112" s="2347">
        <f t="shared" si="19"/>
        <v>5.9266110638297871</v>
      </c>
    </row>
    <row r="113" spans="1:34" x14ac:dyDescent="0.2">
      <c r="A113" s="2545" t="s">
        <v>4479</v>
      </c>
      <c r="B113" s="2544"/>
      <c r="C113" s="2544"/>
      <c r="D113" s="2544"/>
      <c r="E113" s="2544"/>
      <c r="F113" s="2486"/>
      <c r="G113" s="2543">
        <f>-Reduktionsstiberegner!H99</f>
        <v>0</v>
      </c>
      <c r="H113" s="2542">
        <f>-Reduktionsstiberegner!J99</f>
        <v>0</v>
      </c>
      <c r="I113" s="2541">
        <f>-Reduktionsstiberegner!L99</f>
        <v>0</v>
      </c>
      <c r="J113" s="2540">
        <f>-Reduktionsstiberegner!N99</f>
        <v>0</v>
      </c>
      <c r="M113" s="307" t="s">
        <v>4739</v>
      </c>
      <c r="Q113" s="12" t="s">
        <v>4463</v>
      </c>
      <c r="Y113" s="2344" t="s">
        <v>5426</v>
      </c>
      <c r="Z113" s="2496"/>
      <c r="AA113" s="2496"/>
      <c r="AB113" s="2554"/>
      <c r="AC113" s="2496" t="s">
        <v>157</v>
      </c>
      <c r="AD113" s="2519"/>
      <c r="AE113" s="2556">
        <f>+AE108+AE109-AE112</f>
        <v>49.801388936170206</v>
      </c>
      <c r="AF113" s="2556">
        <f t="shared" ref="AF113:AH113" si="20">+AF108+AF109-AF112</f>
        <v>49.801388936170206</v>
      </c>
      <c r="AG113" s="2556">
        <f t="shared" si="20"/>
        <v>49.801388936170206</v>
      </c>
      <c r="AH113" s="2556">
        <f t="shared" si="20"/>
        <v>49.801388936170206</v>
      </c>
    </row>
    <row r="114" spans="1:34" x14ac:dyDescent="0.2">
      <c r="A114" s="2344" t="s">
        <v>4478</v>
      </c>
      <c r="B114" s="2496"/>
      <c r="C114" s="2496"/>
      <c r="D114" s="2496"/>
      <c r="E114" s="2496"/>
      <c r="F114" s="2519"/>
      <c r="G114" s="2339">
        <f>D110*E110*G112</f>
        <v>0</v>
      </c>
      <c r="H114" s="2339">
        <f>$D$110*$E$110*H112</f>
        <v>0</v>
      </c>
      <c r="I114" s="2339">
        <f>D110*E110*I112</f>
        <v>0</v>
      </c>
      <c r="J114" s="2339">
        <f>D110*E110*J112</f>
        <v>0</v>
      </c>
      <c r="M114" s="2344" t="s">
        <v>4730</v>
      </c>
      <c r="N114" s="2496"/>
      <c r="O114" s="2496"/>
      <c r="P114" s="2524" t="s">
        <v>4473</v>
      </c>
      <c r="Q114" s="2531">
        <f>$J$20</f>
        <v>0</v>
      </c>
      <c r="R114" s="2337"/>
      <c r="S114" s="2336"/>
      <c r="T114" s="2336"/>
      <c r="U114" s="2336"/>
      <c r="V114" s="2336"/>
      <c r="Y114" s="2514" t="s">
        <v>5422</v>
      </c>
      <c r="Z114" s="2496"/>
      <c r="AA114" s="2496"/>
      <c r="AB114" s="2554">
        <v>0.5</v>
      </c>
      <c r="AC114" s="2496" t="s">
        <v>157</v>
      </c>
      <c r="AD114" s="2519"/>
      <c r="AE114" s="2343">
        <f>$AB114*AE110</f>
        <v>19.89648</v>
      </c>
      <c r="AF114" s="2343">
        <f>$AB114*AF110</f>
        <v>19.89648</v>
      </c>
      <c r="AG114" s="2343">
        <f>$AB114*AG110</f>
        <v>19.89648</v>
      </c>
      <c r="AH114" s="2343">
        <f>$AB114*AH110</f>
        <v>19.89648</v>
      </c>
    </row>
    <row r="115" spans="1:34" x14ac:dyDescent="0.2">
      <c r="A115" s="2344" t="s">
        <v>4477</v>
      </c>
      <c r="B115" s="2496"/>
      <c r="C115" s="2496"/>
      <c r="D115" s="2496"/>
      <c r="E115" s="2496"/>
      <c r="F115" s="2519"/>
      <c r="G115" s="2339">
        <f>D111*E111*G113</f>
        <v>0</v>
      </c>
      <c r="H115" s="2339">
        <f>$D$111*$E$111*H113</f>
        <v>0</v>
      </c>
      <c r="I115" s="2339">
        <f>D111*E111*I113</f>
        <v>0</v>
      </c>
      <c r="J115" s="2339">
        <f>D111*E111*J113</f>
        <v>0</v>
      </c>
      <c r="M115" s="2344" t="s">
        <v>4738</v>
      </c>
      <c r="N115" s="2496"/>
      <c r="O115" s="2496"/>
      <c r="P115" s="2524" t="s">
        <v>18</v>
      </c>
      <c r="Q115" s="2339"/>
      <c r="R115" s="2337"/>
      <c r="S115" s="2510">
        <f>Reduktionsstiberegner!H104</f>
        <v>0</v>
      </c>
      <c r="T115" s="2509">
        <f>Reduktionsstiberegner!J104</f>
        <v>0</v>
      </c>
      <c r="U115" s="2507">
        <f>Reduktionsstiberegner!L104</f>
        <v>0</v>
      </c>
      <c r="V115" s="2494">
        <f>Reduktionsstiberegner!N104</f>
        <v>0</v>
      </c>
    </row>
    <row r="116" spans="1:34" ht="15.75" x14ac:dyDescent="0.3">
      <c r="A116" s="307" t="s">
        <v>4476</v>
      </c>
      <c r="G116" s="307" t="str">
        <f>IF(SUM(G117:G119)&lt;&gt;1,"OBS - SUMMERER IKKE TIL 100%!","")</f>
        <v/>
      </c>
      <c r="H116" s="307" t="str">
        <f>IF(SUM(H117:H119)&lt;&gt;1,"OBS - SUMMERER IKKE TIL 100%!","")</f>
        <v/>
      </c>
      <c r="I116" s="307" t="str">
        <f>IF(SUM(I117:I119)&lt;&gt;1,"OBS - SUMMERER IKKE TIL 100%!","")</f>
        <v/>
      </c>
      <c r="J116" s="307" t="str">
        <f>IF(SUM(J117:J119)&lt;&gt;1,"OBS - SUMMERER IKKE TIL 100%!","")</f>
        <v/>
      </c>
      <c r="M116" s="2344" t="s">
        <v>4738</v>
      </c>
      <c r="N116" s="2496"/>
      <c r="O116" s="2496"/>
      <c r="P116" s="2524" t="s">
        <v>4473</v>
      </c>
      <c r="Q116" s="2339">
        <v>67275</v>
      </c>
      <c r="R116" s="2337"/>
      <c r="S116" s="2339">
        <f>S115*$Q114</f>
        <v>0</v>
      </c>
      <c r="T116" s="2339">
        <f>T115*$Q114</f>
        <v>0</v>
      </c>
      <c r="U116" s="2339">
        <f>U115*$Q114</f>
        <v>0</v>
      </c>
      <c r="V116" s="2339">
        <f>V115*$Q114</f>
        <v>0</v>
      </c>
      <c r="Y116" s="2514" t="s">
        <v>5428</v>
      </c>
      <c r="Z116" s="2496"/>
      <c r="AA116" s="2496"/>
      <c r="AB116" s="2554"/>
      <c r="AC116" s="2496" t="s">
        <v>5427</v>
      </c>
      <c r="AD116" s="2519"/>
      <c r="AE116" s="2523">
        <f>ROUND(AE113*74,0)</f>
        <v>3685</v>
      </c>
      <c r="AF116" s="2523">
        <f t="shared" ref="AF116:AH116" si="21">ROUND(AF113*74,0)</f>
        <v>3685</v>
      </c>
      <c r="AG116" s="2523">
        <f t="shared" si="21"/>
        <v>3685</v>
      </c>
      <c r="AH116" s="2523">
        <f t="shared" si="21"/>
        <v>3685</v>
      </c>
    </row>
    <row r="117" spans="1:34" x14ac:dyDescent="0.2">
      <c r="A117" s="2514" t="s">
        <v>4475</v>
      </c>
      <c r="B117" s="2513"/>
      <c r="C117" s="2513"/>
      <c r="D117" s="2496"/>
      <c r="E117" s="2532"/>
      <c r="F117" s="2519"/>
      <c r="G117" s="2510">
        <v>0.5</v>
      </c>
      <c r="H117" s="2509">
        <v>0.3</v>
      </c>
      <c r="I117" s="2507">
        <v>0.3</v>
      </c>
      <c r="J117" s="2494">
        <v>0.3</v>
      </c>
      <c r="M117" s="2344" t="s">
        <v>4474</v>
      </c>
      <c r="N117" s="2496"/>
      <c r="O117" s="2496"/>
      <c r="P117" s="2524" t="s">
        <v>4473</v>
      </c>
      <c r="Q117" s="2339">
        <v>12420</v>
      </c>
      <c r="R117" s="2337"/>
      <c r="S117" s="2339">
        <f>ROUND(S116/$Q$116*$Q$117,0)</f>
        <v>0</v>
      </c>
      <c r="T117" s="2339">
        <f>ROUND(T116/$Q$116*$Q$117,0)</f>
        <v>0</v>
      </c>
      <c r="U117" s="2339">
        <f>ROUND(U116/$Q$116*$Q$117,0)</f>
        <v>0</v>
      </c>
      <c r="V117" s="2339">
        <f>ROUND(V116/$Q$116*$Q$117,0)</f>
        <v>0</v>
      </c>
    </row>
    <row r="118" spans="1:34" x14ac:dyDescent="0.2">
      <c r="A118" s="2514" t="s">
        <v>4472</v>
      </c>
      <c r="B118" s="2513"/>
      <c r="C118" s="2513"/>
      <c r="D118" s="2496"/>
      <c r="E118" s="2532"/>
      <c r="F118" s="2519"/>
      <c r="G118" s="2510">
        <v>0.25</v>
      </c>
      <c r="H118" s="2509">
        <v>0.25</v>
      </c>
      <c r="I118" s="2507">
        <v>0.25</v>
      </c>
      <c r="J118" s="2494">
        <v>0.25</v>
      </c>
      <c r="M118" s="2344" t="s">
        <v>4461</v>
      </c>
      <c r="N118" s="2496"/>
      <c r="O118" s="2496"/>
      <c r="P118" s="2524" t="s">
        <v>4460</v>
      </c>
      <c r="Q118" s="2339">
        <v>100</v>
      </c>
      <c r="R118" s="2337"/>
      <c r="S118" s="2339">
        <f>ROUND(S116/$Q$116*$Q$118,0)</f>
        <v>0</v>
      </c>
      <c r="T118" s="2339">
        <f>ROUND(T116/$Q$116*$Q$118,0)</f>
        <v>0</v>
      </c>
      <c r="U118" s="2339">
        <f>ROUND(U116/$Q$116*$Q$118,0)</f>
        <v>0</v>
      </c>
      <c r="V118" s="2339">
        <f>ROUND(V116/$Q$116*$Q$118,0)</f>
        <v>0</v>
      </c>
      <c r="Y118" s="307" t="s">
        <v>5438</v>
      </c>
    </row>
    <row r="119" spans="1:34" x14ac:dyDescent="0.2">
      <c r="A119" s="2514" t="s">
        <v>4471</v>
      </c>
      <c r="B119" s="2513"/>
      <c r="C119" s="2513"/>
      <c r="D119" s="2496"/>
      <c r="E119" s="2532"/>
      <c r="F119" s="2519"/>
      <c r="G119" s="2510">
        <v>0.25</v>
      </c>
      <c r="H119" s="2509">
        <f>1-H117-H118</f>
        <v>0.44999999999999996</v>
      </c>
      <c r="I119" s="2507">
        <v>0.45</v>
      </c>
      <c r="J119" s="2494">
        <v>0.45</v>
      </c>
      <c r="M119" s="307" t="str">
        <f>"Output - "&amp;M113</f>
        <v>Output - PtX - Metanisering (på overskuds-CO2)</v>
      </c>
      <c r="R119" s="2337"/>
      <c r="S119" s="2339"/>
      <c r="T119" s="2339"/>
      <c r="U119" s="2339"/>
      <c r="V119" s="2339"/>
      <c r="Y119" s="2567" t="s">
        <v>5439</v>
      </c>
      <c r="Z119" s="2547"/>
      <c r="AA119" s="2547"/>
      <c r="AB119" s="2547"/>
      <c r="AC119" s="2496"/>
      <c r="AD119" s="2505"/>
      <c r="AE119" s="2346">
        <f>+'E2020'!$A81</f>
        <v>28.262897773245289</v>
      </c>
      <c r="AF119" s="2346">
        <f>+'E2020'!$A81</f>
        <v>28.262897773245289</v>
      </c>
      <c r="AG119" s="2346">
        <f>+'E2020'!$A81</f>
        <v>28.262897773245289</v>
      </c>
      <c r="AH119" s="2346">
        <f>+'E2020'!$A81</f>
        <v>28.262897773245289</v>
      </c>
    </row>
    <row r="120" spans="1:34" x14ac:dyDescent="0.2">
      <c r="A120" s="12" t="s">
        <v>4470</v>
      </c>
      <c r="G120" s="2539">
        <v>2.5</v>
      </c>
      <c r="H120" s="2538">
        <v>2.5</v>
      </c>
      <c r="I120" s="2537">
        <v>2.5</v>
      </c>
      <c r="J120" s="2536">
        <v>2.5</v>
      </c>
      <c r="M120" s="2344" t="s">
        <v>4469</v>
      </c>
      <c r="N120" s="2496"/>
      <c r="O120" s="2496"/>
      <c r="P120" s="2524" t="s">
        <v>79</v>
      </c>
      <c r="Q120" s="2339">
        <v>2489.5</v>
      </c>
      <c r="R120" s="2337"/>
      <c r="S120" s="2343">
        <f>ROUND(S$116/$Q$116*$Q$120,1)</f>
        <v>0</v>
      </c>
      <c r="T120" s="2343">
        <f>ROUND(T$116/$Q$116*$Q$120,1)</f>
        <v>0</v>
      </c>
      <c r="U120" s="2343">
        <f>ROUND(U$116/$Q$116*$Q$120,1)</f>
        <v>0</v>
      </c>
      <c r="V120" s="2343">
        <f>ROUND(V$116/$Q$116*$Q$120,1)</f>
        <v>0</v>
      </c>
      <c r="Y120" s="2567" t="s">
        <v>23</v>
      </c>
      <c r="Z120" s="2547"/>
      <c r="AA120" s="2547"/>
      <c r="AB120" s="2547"/>
      <c r="AC120" s="2496"/>
      <c r="AD120" s="2505"/>
      <c r="AE120" s="2346">
        <f>+G59/3*1/'E2020'!$D2%</f>
        <v>5.4982382162377386</v>
      </c>
      <c r="AF120" s="2346">
        <f>+H59/3*1/'E2020'!$D2%</f>
        <v>5.8390183516125544</v>
      </c>
      <c r="AG120" s="2346">
        <f>+I59/3*1/'E2020'!$D2%</f>
        <v>7.4524313171897072</v>
      </c>
      <c r="AH120" s="2346">
        <f>+J59/3*1/'E2020'!$D2%</f>
        <v>8.1097477105729912</v>
      </c>
    </row>
    <row r="121" spans="1:34" x14ac:dyDescent="0.2">
      <c r="A121" s="2344" t="s">
        <v>4468</v>
      </c>
      <c r="B121" s="2496"/>
      <c r="C121" s="2496"/>
      <c r="D121" s="2534"/>
      <c r="E121" s="2496"/>
      <c r="F121" s="2519"/>
      <c r="G121" s="2533">
        <f>SUM(G$114:G$115)*G117/G120</f>
        <v>0</v>
      </c>
      <c r="H121" s="2533">
        <f>SUM(H$114:H$115)*H117/H120</f>
        <v>0</v>
      </c>
      <c r="I121" s="2533">
        <f>SUM(I$114:I$115)*I117/I120</f>
        <v>0</v>
      </c>
      <c r="J121" s="2533">
        <f>SUM(J$114:J$115)*J117/J120</f>
        <v>0</v>
      </c>
      <c r="M121" s="2344" t="s">
        <v>4467</v>
      </c>
      <c r="N121" s="2496"/>
      <c r="O121" s="2496"/>
      <c r="P121" s="2496" t="s">
        <v>79</v>
      </c>
      <c r="Q121" s="2339">
        <v>1238.3</v>
      </c>
      <c r="R121" s="2337"/>
      <c r="S121" s="2343">
        <f>ROUND(S$116/$Q$116*$Q$121,1)</f>
        <v>0</v>
      </c>
      <c r="T121" s="2343">
        <f>ROUND(T$116/$Q$116*$Q$121,1)</f>
        <v>0</v>
      </c>
      <c r="U121" s="2343">
        <f>ROUND(U$116/$Q$116*$Q$121,1)</f>
        <v>0</v>
      </c>
      <c r="V121" s="2343">
        <f>ROUND(V$116/$Q$116*$Q$121,1)</f>
        <v>0</v>
      </c>
      <c r="Y121" s="2567" t="s">
        <v>5430</v>
      </c>
      <c r="Z121" s="2547"/>
      <c r="AA121" s="2547"/>
      <c r="AB121" s="2547"/>
      <c r="AC121" s="2496" t="s">
        <v>157</v>
      </c>
      <c r="AD121" s="2505"/>
      <c r="AE121" s="2346">
        <f>+(AE43+AE65+AE86)*1/'E2020'!$D2%</f>
        <v>6.2794453111350652</v>
      </c>
      <c r="AF121" s="2346">
        <f>+(AF43+AF65+AF86)*1/'E2020'!$D2%</f>
        <v>11.667806344123473</v>
      </c>
      <c r="AG121" s="2346">
        <f>+(AG43+AG65+AG86)*1/'E2020'!$D2%</f>
        <v>15.78373251213692</v>
      </c>
      <c r="AH121" s="2346">
        <f>+(AH43+AH65+AH86)*1/'E2020'!$D2%</f>
        <v>20.85603115236405</v>
      </c>
    </row>
    <row r="122" spans="1:34" x14ac:dyDescent="0.2">
      <c r="A122" s="2344" t="s">
        <v>4466</v>
      </c>
      <c r="B122" s="2496"/>
      <c r="C122" s="2496"/>
      <c r="D122" s="2534"/>
      <c r="E122" s="2496"/>
      <c r="F122" s="2519"/>
      <c r="G122" s="2533">
        <f>SUM(G$114:G$115)*G118/$E111</f>
        <v>0</v>
      </c>
      <c r="H122" s="2533">
        <f>SUM(H$114:H$115)*H118/$E111</f>
        <v>0</v>
      </c>
      <c r="I122" s="2533">
        <f>SUM(I$114:I$115)*I118/$E111</f>
        <v>0</v>
      </c>
      <c r="J122" s="2533">
        <f>SUM(J$114:J$115)*J118/$E111</f>
        <v>0</v>
      </c>
      <c r="M122" s="2344" t="s">
        <v>171</v>
      </c>
      <c r="N122" s="2496"/>
      <c r="O122" s="2496"/>
      <c r="P122" s="2496" t="s">
        <v>79</v>
      </c>
      <c r="Q122" s="2339">
        <v>745.2</v>
      </c>
      <c r="R122" s="2337"/>
      <c r="S122" s="2343">
        <f>ROUND(S$116/$Q$116*$Q$122,1)</f>
        <v>0</v>
      </c>
      <c r="T122" s="2343">
        <f>ROUND(T$116/$Q$116*$Q$122,1)</f>
        <v>0</v>
      </c>
      <c r="U122" s="2343">
        <f>ROUND(U$116/$Q$116*$Q$122,1)</f>
        <v>0</v>
      </c>
      <c r="V122" s="2343">
        <f>ROUND(V$116/$Q$116*$Q$122,1)</f>
        <v>0</v>
      </c>
      <c r="Y122" s="2567" t="s">
        <v>5431</v>
      </c>
      <c r="Z122" s="4251"/>
      <c r="AA122" s="4251"/>
      <c r="AB122" s="4251"/>
      <c r="AC122" s="2496" t="s">
        <v>157</v>
      </c>
      <c r="AD122" s="4252"/>
      <c r="AE122" s="4103">
        <f>+AE114*1/'E2020'!$D2%</f>
        <v>21.605472906938864</v>
      </c>
      <c r="AF122" s="4103">
        <f>+AF114*1/'E2020'!$D2%</f>
        <v>21.605472906938864</v>
      </c>
      <c r="AG122" s="4103">
        <f>+AG114*1/'E2020'!$D2%</f>
        <v>21.605472906938864</v>
      </c>
      <c r="AH122" s="4103">
        <f>+AH114*1/'E2020'!$D2%</f>
        <v>21.605472906938864</v>
      </c>
    </row>
    <row r="123" spans="1:34" x14ac:dyDescent="0.2">
      <c r="A123" s="2344" t="s">
        <v>4465</v>
      </c>
      <c r="B123" s="2496"/>
      <c r="C123" s="2496"/>
      <c r="D123" s="2534"/>
      <c r="E123" s="2496"/>
      <c r="F123" s="2519"/>
      <c r="G123" s="2533">
        <f>SUM(G$114:G$115)*G119/$D90</f>
        <v>0</v>
      </c>
      <c r="H123" s="2533">
        <f>SUM(H$114:H$115)*H119/$D90</f>
        <v>0</v>
      </c>
      <c r="I123" s="2533">
        <f>SUM(I$114:I$115)*I119/$D90</f>
        <v>0</v>
      </c>
      <c r="J123" s="2533">
        <f>SUM(J$114:J$115)*J119/$D90</f>
        <v>0</v>
      </c>
      <c r="Y123" s="2344" t="s">
        <v>228</v>
      </c>
      <c r="Z123" s="2496"/>
      <c r="AA123" s="2496"/>
      <c r="AB123" s="2554"/>
      <c r="AC123" s="2496" t="s">
        <v>157</v>
      </c>
      <c r="AD123" s="2519"/>
      <c r="AE123" s="2523">
        <f>SUM(AE119:AE122)</f>
        <v>61.646054207556958</v>
      </c>
      <c r="AF123" s="2523">
        <f t="shared" ref="AF123:AH123" si="22">SUM(AF119:AF122)</f>
        <v>67.375195375920185</v>
      </c>
      <c r="AG123" s="2523">
        <f t="shared" si="22"/>
        <v>73.104534509510785</v>
      </c>
      <c r="AH123" s="2523">
        <f t="shared" si="22"/>
        <v>78.834149543121185</v>
      </c>
    </row>
    <row r="124" spans="1:34" x14ac:dyDescent="0.2">
      <c r="M124" s="307" t="s">
        <v>4464</v>
      </c>
      <c r="Q124" s="12" t="s">
        <v>4463</v>
      </c>
      <c r="Y124" s="2344" t="s">
        <v>5432</v>
      </c>
      <c r="Z124" s="2496"/>
      <c r="AA124" s="2496"/>
      <c r="AB124" s="4253">
        <v>2.3616000000000001</v>
      </c>
      <c r="AC124" s="2496" t="s">
        <v>5433</v>
      </c>
      <c r="AD124" s="2519"/>
      <c r="AE124" s="2523">
        <f>ROUND(AE123/$AB124,0)</f>
        <v>26</v>
      </c>
      <c r="AF124" s="2523">
        <f t="shared" ref="AF124:AH124" si="23">ROUND(AF123/$AB124,0)</f>
        <v>29</v>
      </c>
      <c r="AG124" s="2523">
        <f t="shared" si="23"/>
        <v>31</v>
      </c>
      <c r="AH124" s="2523">
        <f t="shared" si="23"/>
        <v>33</v>
      </c>
    </row>
    <row r="125" spans="1:34" x14ac:dyDescent="0.2">
      <c r="A125" s="2514" t="s">
        <v>4462</v>
      </c>
      <c r="B125" s="2513"/>
      <c r="C125" s="2513"/>
      <c r="D125" s="2496"/>
      <c r="E125" s="2532"/>
      <c r="F125" s="2532"/>
      <c r="G125" s="2498">
        <f>SUM(G79:G83)+SUM(G103:G107)</f>
        <v>0</v>
      </c>
      <c r="H125" s="2498">
        <f>SUM(H79:H83)+SUM(H103:H107)</f>
        <v>0</v>
      </c>
      <c r="I125" s="2498">
        <f>SUM(I79:I83)+SUM(I103:I107)</f>
        <v>0</v>
      </c>
      <c r="J125" s="2498">
        <f>SUM(J79:J83)+SUM(J103:J107)</f>
        <v>0</v>
      </c>
      <c r="M125" s="2344" t="s">
        <v>4461</v>
      </c>
      <c r="N125" s="2496"/>
      <c r="O125" s="2496"/>
      <c r="P125" s="2524" t="s">
        <v>4460</v>
      </c>
      <c r="Q125" s="2531">
        <v>100</v>
      </c>
      <c r="R125" s="2337"/>
      <c r="S125" s="2530">
        <v>0</v>
      </c>
      <c r="T125" s="2529">
        <v>0</v>
      </c>
      <c r="U125" s="2528">
        <v>0</v>
      </c>
      <c r="V125" s="2527">
        <v>0</v>
      </c>
    </row>
    <row r="126" spans="1:34" x14ac:dyDescent="0.2">
      <c r="A126" s="307"/>
      <c r="M126" s="2344" t="s">
        <v>4459</v>
      </c>
      <c r="N126" s="2496"/>
      <c r="O126" s="2496"/>
      <c r="P126" s="2524" t="s">
        <v>4458</v>
      </c>
      <c r="Q126" s="2526">
        <v>5500</v>
      </c>
      <c r="R126" s="2337"/>
      <c r="S126" s="2339">
        <f>$Q126</f>
        <v>5500</v>
      </c>
      <c r="T126" s="2339">
        <f>$Q126</f>
        <v>5500</v>
      </c>
      <c r="U126" s="2339">
        <f>$Q126</f>
        <v>5500</v>
      </c>
      <c r="V126" s="2339">
        <f>$Q126</f>
        <v>5500</v>
      </c>
    </row>
    <row r="127" spans="1:34" x14ac:dyDescent="0.2">
      <c r="A127" s="2521" t="s">
        <v>4457</v>
      </c>
      <c r="B127" s="2520"/>
      <c r="C127" s="2496"/>
      <c r="D127" s="2519"/>
      <c r="M127" s="2344" t="s">
        <v>4456</v>
      </c>
      <c r="N127" s="2496"/>
      <c r="O127" s="2496"/>
      <c r="P127" s="2524" t="s">
        <v>157</v>
      </c>
      <c r="Q127" s="2339">
        <f>1080*Q126/5000</f>
        <v>1188</v>
      </c>
      <c r="R127" s="2337"/>
      <c r="S127" s="2523">
        <f t="shared" ref="S127:V129" si="24">S$125/$Q$125*$Q127</f>
        <v>0</v>
      </c>
      <c r="T127" s="2523">
        <f t="shared" si="24"/>
        <v>0</v>
      </c>
      <c r="U127" s="2523">
        <f t="shared" si="24"/>
        <v>0</v>
      </c>
      <c r="V127" s="2523">
        <f t="shared" si="24"/>
        <v>0</v>
      </c>
    </row>
    <row r="128" spans="1:34" x14ac:dyDescent="0.2">
      <c r="B128" s="2496"/>
      <c r="C128" s="2496"/>
      <c r="D128" s="2496"/>
      <c r="E128" s="2496"/>
      <c r="F128" s="2525" t="s">
        <v>4455</v>
      </c>
      <c r="G128" s="12" t="str">
        <f>$G$24</f>
        <v>BAU2030</v>
      </c>
      <c r="H128" s="29" t="str">
        <f>$H$24</f>
        <v>BAU2050</v>
      </c>
      <c r="I128" s="29" t="str">
        <f>$I$24</f>
        <v>STI2030</v>
      </c>
      <c r="J128" s="29" t="str">
        <f>$J$24</f>
        <v>STI2050</v>
      </c>
      <c r="M128" s="2344" t="s">
        <v>4454</v>
      </c>
      <c r="N128" s="2496"/>
      <c r="O128" s="2496"/>
      <c r="P128" s="2524" t="s">
        <v>157</v>
      </c>
      <c r="Q128" s="2339">
        <f>1810.1*Q126/5000</f>
        <v>1991.11</v>
      </c>
      <c r="R128" s="2337"/>
      <c r="S128" s="2523">
        <f t="shared" si="24"/>
        <v>0</v>
      </c>
      <c r="T128" s="2523">
        <f t="shared" si="24"/>
        <v>0</v>
      </c>
      <c r="U128" s="2523">
        <f t="shared" si="24"/>
        <v>0</v>
      </c>
      <c r="V128" s="2523">
        <f t="shared" si="24"/>
        <v>0</v>
      </c>
      <c r="Y128" s="307"/>
      <c r="AC128" s="2535"/>
      <c r="AD128" s="2535"/>
    </row>
    <row r="129" spans="1:24" x14ac:dyDescent="0.2">
      <c r="A129" s="2514" t="s">
        <v>5436</v>
      </c>
      <c r="B129" s="2513"/>
      <c r="C129" s="2513"/>
      <c r="D129" s="2513"/>
      <c r="E129" s="2513"/>
      <c r="F129" s="2522">
        <v>0</v>
      </c>
      <c r="G129" s="2498">
        <f>$F129*(1+G$47)+(G79+G103)/(1-$J$19)</f>
        <v>0</v>
      </c>
      <c r="H129" s="2498">
        <f>$F129*(1+H$47)+(H79+H103)/(1-$J$19)</f>
        <v>0</v>
      </c>
      <c r="I129" s="2498">
        <f>$F129*(1+I$47)+(I79+I103)/(1-$J$19)</f>
        <v>0</v>
      </c>
      <c r="J129" s="2498">
        <f>$F129*(1+J$47)+(J79+J103)/(1-$J$19)</f>
        <v>0</v>
      </c>
      <c r="M129" s="2344" t="s">
        <v>4453</v>
      </c>
      <c r="N129" s="2496"/>
      <c r="O129" s="2496"/>
      <c r="P129" s="2524" t="s">
        <v>157</v>
      </c>
      <c r="Q129" s="2339">
        <f>Q128*15%</f>
        <v>298.66649999999998</v>
      </c>
      <c r="R129" s="2337"/>
      <c r="S129" s="2523">
        <f t="shared" si="24"/>
        <v>0</v>
      </c>
      <c r="T129" s="2523">
        <f t="shared" si="24"/>
        <v>0</v>
      </c>
      <c r="U129" s="2523">
        <f t="shared" si="24"/>
        <v>0</v>
      </c>
      <c r="V129" s="2523">
        <f t="shared" si="24"/>
        <v>0</v>
      </c>
    </row>
    <row r="130" spans="1:24" x14ac:dyDescent="0.2">
      <c r="A130" s="2514" t="s">
        <v>4452</v>
      </c>
      <c r="B130" s="2513"/>
      <c r="C130" s="2513"/>
      <c r="D130" s="2513"/>
      <c r="E130" s="2513"/>
      <c r="F130" s="2522">
        <f>-'E2020'!AI33-'E2020'!AI36-'E2020'!AI43-'E2020'!AI51-'E2020'!AI60</f>
        <v>20.265423551999998</v>
      </c>
      <c r="G130" s="2498">
        <f>$F130*(1+G$47)+(G80+G104)/(1-$J$19)+IF(G31&lt;0,G31,0)/(1-$J$19)</f>
        <v>19.657460845439996</v>
      </c>
      <c r="H130" s="2498">
        <f>$F130*(1+H$47)+(H80+H104)/(1-$J$19)+IF(H31&lt;0,H31,0)/(1-$J$19)</f>
        <v>19.252152374399998</v>
      </c>
      <c r="I130" s="2498">
        <f>$F130*(1+I$47)+(I80+I104)/(1-$J$19)+IF(I31&lt;0,I31,0)/(1-$J$19)</f>
        <v>19.657460845439996</v>
      </c>
      <c r="J130" s="2498">
        <f>$F130*(1+J$47)+(J80+J104)/(1-$J$19)+IF(J31&lt;0,J31,0)/(1-$J$19)</f>
        <v>19.252152374399998</v>
      </c>
    </row>
    <row r="131" spans="1:24" x14ac:dyDescent="0.2">
      <c r="A131" s="2514" t="s">
        <v>5437</v>
      </c>
      <c r="B131" s="2513"/>
      <c r="C131" s="2513"/>
      <c r="D131" s="2513"/>
      <c r="E131" s="2513"/>
      <c r="F131" s="2522">
        <v>0</v>
      </c>
      <c r="G131" s="2498">
        <f>$F131*(1+G$47)+(G81+G105)/(1-$J$19)</f>
        <v>0</v>
      </c>
      <c r="H131" s="2498">
        <f>$F131*(1+H$47)+(H81+H105)/(1-$J$19)</f>
        <v>0</v>
      </c>
      <c r="I131" s="2498">
        <f>$F131*(1+I$47)+(I81+I105)/(1-$J$19)</f>
        <v>0</v>
      </c>
      <c r="J131" s="2498">
        <f>$F131*(1+J$47)+(J81+J105)/(1-$J$19)</f>
        <v>0</v>
      </c>
    </row>
    <row r="132" spans="1:24" x14ac:dyDescent="0.2">
      <c r="A132" s="2514" t="s">
        <v>4451</v>
      </c>
      <c r="B132" s="2513"/>
      <c r="C132" s="2513"/>
      <c r="D132" s="2513"/>
      <c r="E132" s="2513"/>
      <c r="F132" s="2522"/>
      <c r="G132" s="2498">
        <f>(G82+G106)/(1-$J$19)+IF(G31&gt;0,G31,0)/(1-$J$19)</f>
        <v>0</v>
      </c>
      <c r="H132" s="2498">
        <f>(H82+H106)/(1-$J$19)+IF(H31&gt;0,H31,0)/(1-$J$19)</f>
        <v>0</v>
      </c>
      <c r="I132" s="2498">
        <f>(I82+I106)/(1-$J$19)+IF(I31&gt;0,I31,0)/(1-$J$19)</f>
        <v>0</v>
      </c>
      <c r="J132" s="2498">
        <f>(J82+J106)/(1-$J$19)+IF(J31&gt;0,J31,0)/(1-$J$19)</f>
        <v>0</v>
      </c>
    </row>
    <row r="133" spans="1:24" x14ac:dyDescent="0.2">
      <c r="A133" s="2514" t="s">
        <v>4450</v>
      </c>
      <c r="B133" s="2513"/>
      <c r="C133" s="2513"/>
      <c r="D133" s="2513"/>
      <c r="E133" s="2513"/>
      <c r="F133" s="2522">
        <v>0</v>
      </c>
      <c r="G133" s="2498">
        <f>$F133*(1+G$47)+G83+G107</f>
        <v>0</v>
      </c>
      <c r="H133" s="2498">
        <f>$F133*(1+H$47)+H83+H107</f>
        <v>0</v>
      </c>
      <c r="I133" s="2498">
        <f>$F133*(1+I$47)+I83+I107</f>
        <v>0</v>
      </c>
      <c r="J133" s="2498">
        <f>$F133*(1+J$47)+J83+J107</f>
        <v>0</v>
      </c>
    </row>
    <row r="135" spans="1:24" x14ac:dyDescent="0.2">
      <c r="A135" s="2521" t="s">
        <v>4449</v>
      </c>
      <c r="B135" s="2520"/>
      <c r="C135" s="2496"/>
      <c r="D135" s="2519"/>
      <c r="F135" s="12">
        <v>2020</v>
      </c>
      <c r="G135" s="12" t="str">
        <f>$G$24</f>
        <v>BAU2030</v>
      </c>
      <c r="H135" s="29" t="str">
        <f>$H$24</f>
        <v>BAU2050</v>
      </c>
      <c r="I135" s="29" t="str">
        <f>$I$24</f>
        <v>STI2030</v>
      </c>
      <c r="J135" s="29" t="str">
        <f>$J$24</f>
        <v>STI2050</v>
      </c>
    </row>
    <row r="136" spans="1:24" x14ac:dyDescent="0.2">
      <c r="A136" s="2514" t="s">
        <v>4448</v>
      </c>
      <c r="B136" s="2513"/>
      <c r="C136" s="2513"/>
      <c r="D136" s="2513"/>
      <c r="E136" s="2513" t="s">
        <v>18</v>
      </c>
      <c r="F136" s="2498">
        <f>'E2020'!AE39</f>
        <v>313.36</v>
      </c>
      <c r="G136" s="2518">
        <v>300</v>
      </c>
      <c r="H136" s="2517">
        <v>333</v>
      </c>
      <c r="I136" s="2516">
        <v>333</v>
      </c>
      <c r="J136" s="2515">
        <v>333</v>
      </c>
    </row>
    <row r="137" spans="1:24" x14ac:dyDescent="0.2">
      <c r="A137" s="2514" t="s">
        <v>4447</v>
      </c>
      <c r="B137" s="2513"/>
      <c r="C137" s="2513"/>
      <c r="D137" s="2513"/>
      <c r="E137" s="2513" t="s">
        <v>18</v>
      </c>
      <c r="F137" s="2498">
        <v>0</v>
      </c>
      <c r="G137" s="2518">
        <v>600</v>
      </c>
      <c r="H137" s="2517">
        <v>600</v>
      </c>
      <c r="I137" s="2516">
        <v>600</v>
      </c>
      <c r="J137" s="2515">
        <v>600</v>
      </c>
    </row>
    <row r="138" spans="1:24" x14ac:dyDescent="0.2">
      <c r="A138" s="2514" t="s">
        <v>4446</v>
      </c>
      <c r="B138" s="2513"/>
      <c r="C138" s="2513"/>
      <c r="D138" s="2513"/>
      <c r="E138" s="2513" t="s">
        <v>18</v>
      </c>
      <c r="F138" s="2498">
        <f>(('E2020'!AA35+'E2020'!AA38+'E2020'!AA45)/('E2020'!AI35+'E2020'!AI38+'E2020'!AI45)*100)</f>
        <v>110.71744906997343</v>
      </c>
      <c r="G138" s="2518">
        <v>102</v>
      </c>
      <c r="H138" s="2517">
        <v>102</v>
      </c>
      <c r="I138" s="2516">
        <v>102</v>
      </c>
      <c r="J138" s="2515">
        <v>102</v>
      </c>
    </row>
    <row r="139" spans="1:24" x14ac:dyDescent="0.2">
      <c r="A139" s="2514" t="s">
        <v>4445</v>
      </c>
      <c r="B139" s="2513"/>
      <c r="C139" s="2513"/>
      <c r="D139" s="2513"/>
      <c r="E139" s="2513" t="s">
        <v>18</v>
      </c>
      <c r="F139" s="2498">
        <f>(('E2020'!AA35+'E2020'!AA38+'E2020'!AA45)/('E2020'!AI35+'E2020'!AI38+'E2020'!AI45)*100)</f>
        <v>110.71744906997343</v>
      </c>
      <c r="G139" s="2518">
        <v>107</v>
      </c>
      <c r="H139" s="2517">
        <v>107</v>
      </c>
      <c r="I139" s="2516">
        <v>107</v>
      </c>
      <c r="J139" s="2515">
        <v>107</v>
      </c>
    </row>
    <row r="140" spans="1:24" x14ac:dyDescent="0.2">
      <c r="A140" s="2514" t="s">
        <v>4444</v>
      </c>
      <c r="B140" s="2513"/>
      <c r="C140" s="2513"/>
      <c r="D140" s="2513"/>
      <c r="E140" s="2513" t="s">
        <v>18</v>
      </c>
      <c r="F140" s="2512">
        <f>IFERROR('E2020'!Z34/('E2020'!X34+'E2020'!Z34),0)</f>
        <v>0</v>
      </c>
      <c r="G140" s="2510">
        <v>0.26</v>
      </c>
      <c r="H140" s="2509">
        <v>0.26</v>
      </c>
      <c r="I140" s="2507">
        <v>0.26</v>
      </c>
      <c r="J140" s="2494">
        <v>0.26</v>
      </c>
    </row>
    <row r="141" spans="1:24" x14ac:dyDescent="0.2">
      <c r="A141" s="2508"/>
      <c r="B141" s="2508"/>
      <c r="C141" s="2508"/>
      <c r="D141" s="2508"/>
      <c r="E141" s="2508"/>
      <c r="F141" s="2499"/>
    </row>
    <row r="142" spans="1:24" x14ac:dyDescent="0.2">
      <c r="A142" s="2508"/>
      <c r="B142" s="2508"/>
      <c r="C142" s="2508"/>
      <c r="D142" s="2508"/>
      <c r="E142" s="2508"/>
      <c r="F142" s="2499"/>
    </row>
    <row r="144" spans="1:24" ht="67.5" thickBot="1" x14ac:dyDescent="0.25">
      <c r="A144" s="307" t="s">
        <v>4443</v>
      </c>
      <c r="E144" s="2506" t="s">
        <v>4440</v>
      </c>
      <c r="F144" s="2506" t="s">
        <v>4439</v>
      </c>
      <c r="G144" s="2506" t="s">
        <v>4438</v>
      </c>
      <c r="H144" s="2506" t="s">
        <v>4437</v>
      </c>
      <c r="I144" s="2506" t="s">
        <v>4436</v>
      </c>
      <c r="J144" s="2506" t="s">
        <v>160</v>
      </c>
      <c r="K144" s="2506" t="s">
        <v>4435</v>
      </c>
      <c r="L144" s="2506" t="s">
        <v>4434</v>
      </c>
      <c r="M144" s="2506" t="s">
        <v>171</v>
      </c>
      <c r="N144" s="2506" t="s">
        <v>172</v>
      </c>
      <c r="O144" s="2505"/>
      <c r="R144" s="2506" t="s">
        <v>4441</v>
      </c>
      <c r="S144" s="2506" t="s">
        <v>4440</v>
      </c>
      <c r="T144" s="2506" t="s">
        <v>4439</v>
      </c>
      <c r="U144" s="2506" t="s">
        <v>4438</v>
      </c>
      <c r="V144" s="2506" t="s">
        <v>4437</v>
      </c>
      <c r="W144" s="2506" t="s">
        <v>4436</v>
      </c>
      <c r="X144" s="2506" t="s">
        <v>160</v>
      </c>
    </row>
    <row r="145" spans="1:31" ht="13.5" thickBot="1" x14ac:dyDescent="0.25">
      <c r="A145" s="2497" t="str">
        <f>A129</f>
        <v>Store fjernvarmenet (&gt;500TJ)</v>
      </c>
      <c r="B145" s="2496"/>
      <c r="C145" s="2496"/>
      <c r="D145" s="2495">
        <f>G129</f>
        <v>0</v>
      </c>
      <c r="E145" s="2510"/>
      <c r="F145" s="2510"/>
      <c r="G145" s="2510"/>
      <c r="H145" s="2510"/>
      <c r="I145" s="2510"/>
      <c r="J145" s="2510"/>
      <c r="K145" s="2510"/>
      <c r="L145" s="2510"/>
      <c r="M145" s="2510"/>
      <c r="N145" s="2510"/>
      <c r="O145" s="2493">
        <f>SUM(E145:N145)</f>
        <v>0</v>
      </c>
      <c r="R145" s="2504">
        <f>SUM(D145:D149)</f>
        <v>19.657460845439996</v>
      </c>
      <c r="S145" s="2511">
        <f>SUMPRODUCT($D145:$D149,E145:E149)</f>
        <v>0</v>
      </c>
      <c r="T145" s="2502">
        <f>SUMPRODUCT($D145:$D149,F145:F149)</f>
        <v>0</v>
      </c>
      <c r="U145" s="2502">
        <f>SUMPRODUCT($D145:$D149,G145:G149)</f>
        <v>0</v>
      </c>
      <c r="V145" s="2502">
        <f>SUMPRODUCT($D145:$D149,H145:H149)</f>
        <v>19.657460845439996</v>
      </c>
      <c r="W145" s="2502">
        <f>SUMPRODUCT($D145:$D149,I145:I149)</f>
        <v>0</v>
      </c>
      <c r="X145" s="2502">
        <f>'E2020'!$O$41+'E2020'!$O$48</f>
        <v>0</v>
      </c>
    </row>
    <row r="146" spans="1:31" x14ac:dyDescent="0.2">
      <c r="A146" s="2497" t="str">
        <f>A130</f>
        <v>Mellemstore fjernvarmenet (150-500 TJ), 15 stk.</v>
      </c>
      <c r="B146" s="2496"/>
      <c r="C146" s="2496"/>
      <c r="D146" s="2495">
        <f>G130</f>
        <v>19.657460845439996</v>
      </c>
      <c r="E146" s="2510">
        <v>0</v>
      </c>
      <c r="F146" s="2510">
        <v>0</v>
      </c>
      <c r="G146" s="2510">
        <v>0</v>
      </c>
      <c r="H146" s="2510">
        <v>1</v>
      </c>
      <c r="I146" s="2510">
        <v>0</v>
      </c>
      <c r="J146" s="2510">
        <f>X145/R145</f>
        <v>0</v>
      </c>
      <c r="K146" s="2510">
        <v>0</v>
      </c>
      <c r="L146" s="2510"/>
      <c r="M146" s="2510">
        <v>0</v>
      </c>
      <c r="N146" s="2510">
        <v>0</v>
      </c>
      <c r="O146" s="2493">
        <f>SUM(E146:N146)</f>
        <v>1</v>
      </c>
    </row>
    <row r="147" spans="1:31" x14ac:dyDescent="0.2">
      <c r="A147" s="2497" t="str">
        <f>A131</f>
        <v>Mindre fjernvarmenet</v>
      </c>
      <c r="B147" s="2496"/>
      <c r="C147" s="2496"/>
      <c r="D147" s="2495">
        <f>G131</f>
        <v>0</v>
      </c>
      <c r="E147" s="2510"/>
      <c r="F147" s="2510"/>
      <c r="G147" s="2510"/>
      <c r="H147" s="2510"/>
      <c r="I147" s="2510"/>
      <c r="J147" s="2510"/>
      <c r="K147" s="2510"/>
      <c r="L147" s="2510"/>
      <c r="M147" s="2510"/>
      <c r="N147" s="2510"/>
      <c r="O147" s="2493">
        <f>SUM(E147:N147)</f>
        <v>0</v>
      </c>
      <c r="R147" s="12" t="s">
        <v>4431</v>
      </c>
    </row>
    <row r="148" spans="1:31" x14ac:dyDescent="0.2">
      <c r="A148" s="2497" t="str">
        <f>A132</f>
        <v>Ny fjernvarme</v>
      </c>
      <c r="B148" s="2496"/>
      <c r="C148" s="2496"/>
      <c r="D148" s="2495">
        <f>G132</f>
        <v>0</v>
      </c>
      <c r="E148" s="2510">
        <v>0</v>
      </c>
      <c r="F148" s="2510"/>
      <c r="G148" s="2510">
        <v>0</v>
      </c>
      <c r="H148" s="2510">
        <v>1</v>
      </c>
      <c r="I148" s="2510"/>
      <c r="J148" s="2510">
        <v>0</v>
      </c>
      <c r="K148" s="2510"/>
      <c r="L148" s="2510">
        <v>0</v>
      </c>
      <c r="M148" s="2510"/>
      <c r="N148" s="2510"/>
      <c r="O148" s="2493">
        <f>SUM(E148:N148)</f>
        <v>1</v>
      </c>
      <c r="R148" s="12" t="s">
        <v>4430</v>
      </c>
      <c r="S148" s="2498">
        <f>(SUMPRODUCT(D145:D149,H145:H149)+SUMPRODUCT(D145:D149,I145:I149))/$G$138%+SUMPRODUCT(D145:D149,L145:L149)/$G$139%</f>
        <v>19.272020436705876</v>
      </c>
    </row>
    <row r="149" spans="1:31" x14ac:dyDescent="0.2">
      <c r="A149" s="2497" t="str">
        <f>$A$133</f>
        <v>Sammenhængende fjernvarmenet</v>
      </c>
      <c r="B149" s="2496"/>
      <c r="C149" s="2496"/>
      <c r="D149" s="2495">
        <f>G133</f>
        <v>0</v>
      </c>
      <c r="E149" s="2510"/>
      <c r="F149" s="2510"/>
      <c r="G149" s="2510"/>
      <c r="H149" s="2510"/>
      <c r="I149" s="2510"/>
      <c r="J149" s="2510"/>
      <c r="K149" s="2510"/>
      <c r="L149" s="2510"/>
      <c r="M149" s="2510"/>
      <c r="N149" s="2510"/>
      <c r="O149" s="2493">
        <f>SUM(E149:N149)</f>
        <v>0</v>
      </c>
      <c r="R149" s="12" t="s">
        <v>4429</v>
      </c>
      <c r="S149" s="2492">
        <f>((V145+W145+Z153)/S148)*100</f>
        <v>102</v>
      </c>
    </row>
    <row r="152" spans="1:31" ht="75.75" thickBot="1" x14ac:dyDescent="0.25">
      <c r="Y152" s="2506" t="s">
        <v>4435</v>
      </c>
      <c r="Z152" s="2506" t="s">
        <v>4434</v>
      </c>
      <c r="AA152" s="2506" t="s">
        <v>171</v>
      </c>
      <c r="AB152" s="2506" t="s">
        <v>4433</v>
      </c>
      <c r="AC152" s="2505"/>
    </row>
    <row r="153" spans="1:31" ht="67.5" thickBot="1" x14ac:dyDescent="0.25">
      <c r="A153" s="307" t="s">
        <v>4442</v>
      </c>
      <c r="E153" s="2506" t="s">
        <v>4440</v>
      </c>
      <c r="F153" s="2506" t="s">
        <v>4439</v>
      </c>
      <c r="G153" s="2506" t="s">
        <v>4438</v>
      </c>
      <c r="H153" s="2506" t="s">
        <v>4437</v>
      </c>
      <c r="I153" s="2506" t="s">
        <v>4436</v>
      </c>
      <c r="J153" s="2506" t="s">
        <v>160</v>
      </c>
      <c r="K153" s="2506" t="s">
        <v>4435</v>
      </c>
      <c r="L153" s="2506" t="s">
        <v>4434</v>
      </c>
      <c r="M153" s="2506" t="s">
        <v>171</v>
      </c>
      <c r="N153" s="2506" t="s">
        <v>172</v>
      </c>
      <c r="O153" s="2505"/>
      <c r="R153" s="2506" t="s">
        <v>4441</v>
      </c>
      <c r="S153" s="2506" t="s">
        <v>4440</v>
      </c>
      <c r="T153" s="2506" t="s">
        <v>4439</v>
      </c>
      <c r="U153" s="2506" t="s">
        <v>4438</v>
      </c>
      <c r="V153" s="2506" t="s">
        <v>4437</v>
      </c>
      <c r="W153" s="2506" t="s">
        <v>4436</v>
      </c>
      <c r="X153" s="2506" t="s">
        <v>160</v>
      </c>
      <c r="Y153" s="2502">
        <f>SUMPRODUCT($D145:$D149,K145:K149)</f>
        <v>0</v>
      </c>
      <c r="Z153" s="2502">
        <f>SUMPRODUCT($D145:$D149,L145:L149)</f>
        <v>0</v>
      </c>
      <c r="AA153" s="2502">
        <f>SUMPRODUCT($D145:$D149,M145:M149)</f>
        <v>0</v>
      </c>
      <c r="AB153" s="2501">
        <f>SUMPRODUCT($D145:$D149,N145:N149)</f>
        <v>0</v>
      </c>
      <c r="AD153" s="12" t="s">
        <v>4432</v>
      </c>
      <c r="AE153" s="2499">
        <f>T145+S145</f>
        <v>0</v>
      </c>
    </row>
    <row r="154" spans="1:31" ht="13.5" thickBot="1" x14ac:dyDescent="0.25">
      <c r="A154" s="2497" t="str">
        <f>$A$129</f>
        <v>Store fjernvarmenet (&gt;500TJ)</v>
      </c>
      <c r="B154" s="2496"/>
      <c r="C154" s="2496"/>
      <c r="D154" s="2495">
        <f>H129</f>
        <v>0</v>
      </c>
      <c r="E154" s="2509"/>
      <c r="F154" s="2509"/>
      <c r="G154" s="2509"/>
      <c r="H154" s="2509"/>
      <c r="I154" s="2509"/>
      <c r="J154" s="2509"/>
      <c r="K154" s="2509"/>
      <c r="L154" s="2509"/>
      <c r="M154" s="2509"/>
      <c r="N154" s="2509"/>
      <c r="O154" s="2493">
        <f>SUM(E154:N154)</f>
        <v>0</v>
      </c>
      <c r="R154" s="2504">
        <f>SUM(D154:D158)</f>
        <v>19.252152374399998</v>
      </c>
      <c r="S154" s="2503">
        <f>SUMPRODUCT($D154:$D158,E154:E158)</f>
        <v>0</v>
      </c>
      <c r="T154" s="2502">
        <f>SUMPRODUCT($D154:$D158,F154:F158)</f>
        <v>0</v>
      </c>
      <c r="U154" s="2502">
        <f>SUMPRODUCT($D154:$D158,G154:G158)</f>
        <v>0</v>
      </c>
      <c r="V154" s="2502">
        <f>SUMPRODUCT($D154:$D158,H154:H158)</f>
        <v>19.252152374399998</v>
      </c>
      <c r="W154" s="2502">
        <f>SUMPRODUCT($D154:$D158,I154:I158)</f>
        <v>0</v>
      </c>
      <c r="X154" s="2502">
        <f>'E2020'!$O$41+'E2020'!$O$48</f>
        <v>0</v>
      </c>
      <c r="AD154" s="12" t="s">
        <v>4431</v>
      </c>
      <c r="AE154" s="2499">
        <f>V145+W145+Z153</f>
        <v>19.657460845439996</v>
      </c>
    </row>
    <row r="155" spans="1:31" x14ac:dyDescent="0.2">
      <c r="A155" s="2497" t="str">
        <f>$A$130</f>
        <v>Mellemstore fjernvarmenet (150-500 TJ), 15 stk.</v>
      </c>
      <c r="B155" s="2496"/>
      <c r="C155" s="2496"/>
      <c r="D155" s="2495">
        <f>H130</f>
        <v>19.252152374399998</v>
      </c>
      <c r="E155" s="2509">
        <v>0</v>
      </c>
      <c r="F155" s="2509">
        <v>0</v>
      </c>
      <c r="G155" s="2509">
        <v>0</v>
      </c>
      <c r="H155" s="2509">
        <v>1</v>
      </c>
      <c r="I155" s="2509">
        <v>0</v>
      </c>
      <c r="J155" s="2509">
        <f>X154/R154</f>
        <v>0</v>
      </c>
      <c r="K155" s="2509">
        <v>0</v>
      </c>
      <c r="L155" s="2509"/>
      <c r="M155" s="2509">
        <v>0</v>
      </c>
      <c r="N155" s="2509">
        <v>0.04</v>
      </c>
      <c r="O155" s="2493">
        <f>SUM(E155:N155)</f>
        <v>1.04</v>
      </c>
      <c r="X155" s="29"/>
    </row>
    <row r="156" spans="1:31" x14ac:dyDescent="0.2">
      <c r="A156" s="2497" t="str">
        <f>$A$131</f>
        <v>Mindre fjernvarmenet</v>
      </c>
      <c r="B156" s="2496"/>
      <c r="C156" s="2496"/>
      <c r="D156" s="2495">
        <f>H131</f>
        <v>0</v>
      </c>
      <c r="E156" s="2509"/>
      <c r="F156" s="2509"/>
      <c r="G156" s="2509"/>
      <c r="H156" s="2509"/>
      <c r="I156" s="2509"/>
      <c r="J156" s="2509"/>
      <c r="K156" s="2509"/>
      <c r="L156" s="2509"/>
      <c r="M156" s="2509"/>
      <c r="N156" s="2509"/>
      <c r="O156" s="2493">
        <f>SUM(E156:N156)</f>
        <v>0</v>
      </c>
      <c r="R156" s="12" t="s">
        <v>4431</v>
      </c>
      <c r="X156" s="29"/>
    </row>
    <row r="157" spans="1:31" x14ac:dyDescent="0.2">
      <c r="A157" s="2497" t="str">
        <f>$A$132</f>
        <v>Ny fjernvarme</v>
      </c>
      <c r="B157" s="2496"/>
      <c r="C157" s="2496"/>
      <c r="D157" s="2495">
        <f>H132</f>
        <v>0</v>
      </c>
      <c r="E157" s="2509">
        <v>0</v>
      </c>
      <c r="F157" s="2509"/>
      <c r="G157" s="2509">
        <v>0</v>
      </c>
      <c r="H157" s="2509">
        <v>1</v>
      </c>
      <c r="I157" s="2509"/>
      <c r="J157" s="2509">
        <v>0</v>
      </c>
      <c r="K157" s="2509"/>
      <c r="L157" s="2509">
        <v>0</v>
      </c>
      <c r="M157" s="2509"/>
      <c r="N157" s="2509"/>
      <c r="O157" s="2493">
        <f>SUM(E157:N157)</f>
        <v>1</v>
      </c>
      <c r="R157" s="12" t="s">
        <v>4430</v>
      </c>
      <c r="S157" s="2498">
        <f>(SUMPRODUCT(D154:D158,H154:H158)+SUMPRODUCT(D154:D158,I154:I158))/$H$138%+SUMPRODUCT(D154:D158,L154:L158)/$H$139%</f>
        <v>18.874659190588233</v>
      </c>
    </row>
    <row r="158" spans="1:31" x14ac:dyDescent="0.2">
      <c r="A158" s="2497" t="str">
        <f>$A$133</f>
        <v>Sammenhængende fjernvarmenet</v>
      </c>
      <c r="B158" s="2496"/>
      <c r="C158" s="2496"/>
      <c r="D158" s="2495">
        <f>H133</f>
        <v>0</v>
      </c>
      <c r="E158" s="2509"/>
      <c r="F158" s="2509"/>
      <c r="G158" s="2509"/>
      <c r="H158" s="2509"/>
      <c r="I158" s="2509"/>
      <c r="J158" s="2509"/>
      <c r="K158" s="2509"/>
      <c r="L158" s="2509"/>
      <c r="M158" s="2509"/>
      <c r="N158" s="2509"/>
      <c r="O158" s="2493">
        <f>SUM(E158:N158)</f>
        <v>0</v>
      </c>
      <c r="R158" s="12" t="s">
        <v>4429</v>
      </c>
      <c r="S158" s="2492">
        <f>((V154+W154+Z162)/S157)*100</f>
        <v>102</v>
      </c>
    </row>
    <row r="159" spans="1:31" x14ac:dyDescent="0.2">
      <c r="A159" s="2508"/>
      <c r="B159" s="2508"/>
      <c r="C159" s="2508"/>
      <c r="D159" s="2499"/>
      <c r="F159" s="2499"/>
      <c r="G159" s="2499"/>
    </row>
    <row r="161" spans="1:36" ht="75.75" thickBot="1" x14ac:dyDescent="0.25">
      <c r="Y161" s="2506" t="s">
        <v>4435</v>
      </c>
      <c r="Z161" s="2506" t="s">
        <v>4434</v>
      </c>
      <c r="AA161" s="2506" t="s">
        <v>171</v>
      </c>
      <c r="AB161" s="2506" t="s">
        <v>4433</v>
      </c>
      <c r="AC161" s="2505"/>
    </row>
    <row r="162" spans="1:36" ht="67.5" thickBot="1" x14ac:dyDescent="0.25">
      <c r="A162" s="307" t="s">
        <v>4443</v>
      </c>
      <c r="E162" s="2506" t="s">
        <v>4440</v>
      </c>
      <c r="F162" s="2506" t="s">
        <v>4439</v>
      </c>
      <c r="G162" s="2506" t="s">
        <v>4438</v>
      </c>
      <c r="H162" s="2506" t="s">
        <v>4437</v>
      </c>
      <c r="I162" s="2506" t="s">
        <v>4436</v>
      </c>
      <c r="J162" s="2506" t="s">
        <v>160</v>
      </c>
      <c r="K162" s="2506" t="s">
        <v>4435</v>
      </c>
      <c r="L162" s="2506" t="s">
        <v>4434</v>
      </c>
      <c r="M162" s="2506" t="s">
        <v>171</v>
      </c>
      <c r="N162" s="2506" t="s">
        <v>172</v>
      </c>
      <c r="O162" s="2505"/>
      <c r="R162" s="2506" t="s">
        <v>4441</v>
      </c>
      <c r="S162" s="2506" t="s">
        <v>4440</v>
      </c>
      <c r="T162" s="2506" t="s">
        <v>4439</v>
      </c>
      <c r="U162" s="2506" t="s">
        <v>4438</v>
      </c>
      <c r="V162" s="2506" t="s">
        <v>4437</v>
      </c>
      <c r="W162" s="2506" t="s">
        <v>4436</v>
      </c>
      <c r="X162" s="2506" t="s">
        <v>160</v>
      </c>
      <c r="Y162" s="2502">
        <f>SUMPRODUCT($D154:$D158,K154:K158)</f>
        <v>0</v>
      </c>
      <c r="Z162" s="2502">
        <f>SUMPRODUCT($D154:$D158,L154:L158)</f>
        <v>0</v>
      </c>
      <c r="AA162" s="2502">
        <f>SUMPRODUCT($D154:$D158,M154:M158)</f>
        <v>0</v>
      </c>
      <c r="AB162" s="2501">
        <f>SUMPRODUCT($D154:$D158,N154:N158)</f>
        <v>0.77008609497599989</v>
      </c>
      <c r="AC162" s="2500"/>
      <c r="AE162" s="12" t="s">
        <v>4432</v>
      </c>
      <c r="AF162" s="2499">
        <f>T154+S154</f>
        <v>0</v>
      </c>
    </row>
    <row r="163" spans="1:36" ht="13.5" thickBot="1" x14ac:dyDescent="0.25">
      <c r="A163" s="2497" t="str">
        <f>$A$129</f>
        <v>Store fjernvarmenet (&gt;500TJ)</v>
      </c>
      <c r="B163" s="2496"/>
      <c r="C163" s="2496"/>
      <c r="D163" s="2495">
        <f>I129</f>
        <v>0</v>
      </c>
      <c r="E163" s="2507"/>
      <c r="F163" s="2507"/>
      <c r="G163" s="2507"/>
      <c r="H163" s="2507"/>
      <c r="I163" s="2507"/>
      <c r="J163" s="2507"/>
      <c r="K163" s="2507"/>
      <c r="L163" s="2507"/>
      <c r="M163" s="2507"/>
      <c r="N163" s="2507"/>
      <c r="O163" s="2493">
        <f>SUM(E163:N163)</f>
        <v>0</v>
      </c>
      <c r="R163" s="2504">
        <f>SUM(D163:D167)</f>
        <v>19.657460845439996</v>
      </c>
      <c r="S163" s="2503">
        <f>SUMPRODUCT($D163:$D167,E163:E167)</f>
        <v>0</v>
      </c>
      <c r="T163" s="2502">
        <f>SUMPRODUCT($D163:$D167,F163:F167)</f>
        <v>0</v>
      </c>
      <c r="U163" s="2502">
        <f>SUMPRODUCT($D163:$D167,G163:G167)</f>
        <v>0</v>
      </c>
      <c r="V163" s="2502">
        <f>SUMPRODUCT($D163:$D167,H163:H167)</f>
        <v>19.657460845439996</v>
      </c>
      <c r="W163" s="2502">
        <f>SUMPRODUCT($D163:$D167,I163:I167)</f>
        <v>0</v>
      </c>
      <c r="X163" s="2502">
        <f>'E2020'!$O$41+'E2020'!$O$48</f>
        <v>0</v>
      </c>
      <c r="AE163" s="12" t="s">
        <v>4431</v>
      </c>
      <c r="AF163" s="2499">
        <f>V154+W154+Z162</f>
        <v>19.252152374399998</v>
      </c>
    </row>
    <row r="164" spans="1:36" x14ac:dyDescent="0.2">
      <c r="A164" s="2497" t="str">
        <f>$A$130</f>
        <v>Mellemstore fjernvarmenet (150-500 TJ), 15 stk.</v>
      </c>
      <c r="B164" s="2496"/>
      <c r="C164" s="2496"/>
      <c r="D164" s="2495">
        <f>I130</f>
        <v>19.657460845439996</v>
      </c>
      <c r="E164" s="2507"/>
      <c r="F164" s="2507"/>
      <c r="G164" s="2507"/>
      <c r="H164" s="2507">
        <v>1</v>
      </c>
      <c r="I164" s="2507"/>
      <c r="J164" s="2507">
        <v>0</v>
      </c>
      <c r="K164" s="2507">
        <v>0</v>
      </c>
      <c r="L164" s="2507"/>
      <c r="M164" s="2507">
        <v>0</v>
      </c>
      <c r="N164" s="2507">
        <v>0.04</v>
      </c>
      <c r="O164" s="2493">
        <f>SUM(E164:N164)</f>
        <v>1.04</v>
      </c>
      <c r="X164" s="29"/>
    </row>
    <row r="165" spans="1:36" x14ac:dyDescent="0.2">
      <c r="A165" s="2497" t="str">
        <f>$A$131</f>
        <v>Mindre fjernvarmenet</v>
      </c>
      <c r="B165" s="2496"/>
      <c r="C165" s="2496"/>
      <c r="D165" s="2495">
        <f>I131</f>
        <v>0</v>
      </c>
      <c r="E165" s="2507"/>
      <c r="F165" s="2507"/>
      <c r="G165" s="2507"/>
      <c r="H165" s="2507"/>
      <c r="I165" s="2507"/>
      <c r="J165" s="2507"/>
      <c r="K165" s="2507"/>
      <c r="L165" s="2507"/>
      <c r="M165" s="2507"/>
      <c r="N165" s="2507"/>
      <c r="O165" s="2493">
        <f>SUM(E165:N165)</f>
        <v>0</v>
      </c>
      <c r="R165" s="12" t="s">
        <v>4431</v>
      </c>
      <c r="X165" s="29"/>
    </row>
    <row r="166" spans="1:36" x14ac:dyDescent="0.2">
      <c r="A166" s="2497" t="str">
        <f>$A$132</f>
        <v>Ny fjernvarme</v>
      </c>
      <c r="B166" s="2496"/>
      <c r="C166" s="2496"/>
      <c r="D166" s="2495">
        <f>I132</f>
        <v>0</v>
      </c>
      <c r="E166" s="2507"/>
      <c r="F166" s="2507"/>
      <c r="G166" s="2507"/>
      <c r="H166" s="2507">
        <v>1</v>
      </c>
      <c r="I166" s="2507"/>
      <c r="J166" s="2507"/>
      <c r="K166" s="2507"/>
      <c r="L166" s="2507">
        <v>0</v>
      </c>
      <c r="M166" s="2507"/>
      <c r="N166" s="2507"/>
      <c r="O166" s="2493">
        <f>SUM(E166:N166)</f>
        <v>1</v>
      </c>
      <c r="R166" s="12" t="s">
        <v>4430</v>
      </c>
      <c r="S166" s="2498">
        <f>(SUMPRODUCT(D163:D167,H163:H167)+SUMPRODUCT(D163:D167,I163:I167))/$I$138%+SUMPRODUCT(D163:D167,L163:L167)/$I$139%</f>
        <v>19.272020436705876</v>
      </c>
    </row>
    <row r="167" spans="1:36" s="32" customFormat="1" x14ac:dyDescent="0.2">
      <c r="A167" s="2497" t="str">
        <f>$A$133</f>
        <v>Sammenhængende fjernvarmenet</v>
      </c>
      <c r="B167" s="2496"/>
      <c r="C167" s="2496"/>
      <c r="D167" s="2495">
        <f>I133</f>
        <v>0</v>
      </c>
      <c r="E167" s="2507"/>
      <c r="F167" s="2507"/>
      <c r="G167" s="2507"/>
      <c r="H167" s="2507"/>
      <c r="I167" s="2507"/>
      <c r="J167" s="2507"/>
      <c r="K167" s="2507"/>
      <c r="L167" s="2507"/>
      <c r="M167" s="2507"/>
      <c r="N167" s="2507"/>
      <c r="O167" s="2493">
        <f>SUM(E167:N167)</f>
        <v>0</v>
      </c>
      <c r="P167" s="12"/>
      <c r="Q167" s="12"/>
      <c r="R167" s="12" t="s">
        <v>4429</v>
      </c>
      <c r="S167" s="2492">
        <f>((V163+W163+Z171)/S166)*100</f>
        <v>102</v>
      </c>
      <c r="T167" s="12"/>
      <c r="U167" s="12"/>
      <c r="V167" s="12"/>
      <c r="W167" s="12"/>
      <c r="X167" s="12"/>
      <c r="Y167" s="12"/>
      <c r="Z167" s="12"/>
      <c r="AA167" s="12"/>
      <c r="AB167" s="12"/>
      <c r="AC167" s="12"/>
      <c r="AD167" s="12"/>
      <c r="AF167" s="12"/>
      <c r="AG167" s="12"/>
      <c r="AH167" s="12"/>
      <c r="AI167" s="12"/>
      <c r="AJ167" s="12"/>
    </row>
    <row r="168" spans="1:36" s="32" customFormat="1" x14ac:dyDescent="0.2">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F168" s="12"/>
      <c r="AG168" s="12"/>
      <c r="AH168" s="12"/>
      <c r="AI168" s="12"/>
      <c r="AJ168" s="12"/>
    </row>
    <row r="169" spans="1:36" x14ac:dyDescent="0.2">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row>
    <row r="170" spans="1:36" ht="75.75" thickBo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2506" t="s">
        <v>4435</v>
      </c>
      <c r="Z170" s="2506" t="s">
        <v>4434</v>
      </c>
      <c r="AA170" s="2506" t="s">
        <v>171</v>
      </c>
      <c r="AB170" s="2506" t="s">
        <v>4433</v>
      </c>
      <c r="AC170" s="2505"/>
    </row>
    <row r="171" spans="1:36" ht="67.5" thickBot="1" x14ac:dyDescent="0.25">
      <c r="A171" s="307" t="s">
        <v>4442</v>
      </c>
      <c r="E171" s="2506" t="s">
        <v>4440</v>
      </c>
      <c r="F171" s="2506" t="s">
        <v>4439</v>
      </c>
      <c r="G171" s="2506" t="s">
        <v>4438</v>
      </c>
      <c r="H171" s="2506" t="s">
        <v>4437</v>
      </c>
      <c r="I171" s="2506" t="s">
        <v>4436</v>
      </c>
      <c r="J171" s="2506" t="s">
        <v>160</v>
      </c>
      <c r="K171" s="2506" t="s">
        <v>4435</v>
      </c>
      <c r="L171" s="2506" t="s">
        <v>4434</v>
      </c>
      <c r="M171" s="2506" t="s">
        <v>171</v>
      </c>
      <c r="N171" s="2506" t="s">
        <v>172</v>
      </c>
      <c r="O171" s="2505"/>
      <c r="R171" s="2506" t="s">
        <v>4441</v>
      </c>
      <c r="S171" s="2506" t="s">
        <v>4440</v>
      </c>
      <c r="T171" s="2506" t="s">
        <v>4439</v>
      </c>
      <c r="U171" s="2506" t="s">
        <v>4438</v>
      </c>
      <c r="V171" s="2506" t="s">
        <v>4437</v>
      </c>
      <c r="W171" s="2506" t="s">
        <v>4436</v>
      </c>
      <c r="X171" s="2506" t="s">
        <v>160</v>
      </c>
      <c r="Y171" s="2502">
        <f>SUMPRODUCT($D163:$D167,K163:K167)</f>
        <v>0</v>
      </c>
      <c r="Z171" s="2502">
        <f>SUMPRODUCT($D163:$D167,L163:L167)</f>
        <v>0</v>
      </c>
      <c r="AA171" s="2502">
        <f>SUMPRODUCT($D163:$D167,M163:M167)</f>
        <v>0</v>
      </c>
      <c r="AB171" s="2501">
        <f>SUMPRODUCT($D163:$D167,N163:N167)</f>
        <v>0.7862984338175999</v>
      </c>
      <c r="AC171" s="2500"/>
      <c r="AE171" s="12" t="s">
        <v>4432</v>
      </c>
      <c r="AF171" s="2499">
        <f>T163+S163</f>
        <v>0</v>
      </c>
    </row>
    <row r="172" spans="1:36" ht="13.5" thickBot="1" x14ac:dyDescent="0.25">
      <c r="A172" s="2497" t="str">
        <f>$A$129</f>
        <v>Store fjernvarmenet (&gt;500TJ)</v>
      </c>
      <c r="B172" s="2496"/>
      <c r="C172" s="2496"/>
      <c r="D172" s="2495">
        <f>J129</f>
        <v>0</v>
      </c>
      <c r="E172" s="2494"/>
      <c r="F172" s="2494"/>
      <c r="G172" s="2494"/>
      <c r="H172" s="2494"/>
      <c r="I172" s="2494"/>
      <c r="J172" s="2494"/>
      <c r="K172" s="2494"/>
      <c r="L172" s="2494"/>
      <c r="M172" s="2494"/>
      <c r="N172" s="2494"/>
      <c r="O172" s="2493">
        <f>SUM(E172:N172)</f>
        <v>0</v>
      </c>
      <c r="R172" s="2504">
        <f>SUM(D172:D176)</f>
        <v>19.252152374399998</v>
      </c>
      <c r="S172" s="2503">
        <f>SUMPRODUCT($D172:$D176,E172:E176)</f>
        <v>0</v>
      </c>
      <c r="T172" s="2502">
        <f>SUMPRODUCT($D172:$D176,F172:F176)</f>
        <v>0</v>
      </c>
      <c r="U172" s="2502">
        <f>SUMPRODUCT($D172:$D176,G172:G176)</f>
        <v>0</v>
      </c>
      <c r="V172" s="2502">
        <f>SUMPRODUCT($D172:$D176,H172:H176)</f>
        <v>19.252152374399998</v>
      </c>
      <c r="W172" s="2502">
        <f>SUMPRODUCT($D172:$D176,I172:I176)</f>
        <v>0</v>
      </c>
      <c r="X172" s="2502">
        <f>'E2020'!$O$41+'E2020'!$O$48</f>
        <v>0</v>
      </c>
      <c r="AE172" s="12" t="s">
        <v>4431</v>
      </c>
      <c r="AF172" s="2499">
        <f>V163+W163+Z171</f>
        <v>19.657460845439996</v>
      </c>
    </row>
    <row r="173" spans="1:36" x14ac:dyDescent="0.2">
      <c r="A173" s="2497" t="str">
        <f>$A$130</f>
        <v>Mellemstore fjernvarmenet (150-500 TJ), 15 stk.</v>
      </c>
      <c r="B173" s="2496"/>
      <c r="C173" s="2496"/>
      <c r="D173" s="2495">
        <f>J130</f>
        <v>19.252152374399998</v>
      </c>
      <c r="E173" s="2494"/>
      <c r="F173" s="2494"/>
      <c r="G173" s="2494"/>
      <c r="H173" s="2494">
        <v>1</v>
      </c>
      <c r="I173" s="2494"/>
      <c r="J173" s="2494"/>
      <c r="K173" s="2494">
        <v>0</v>
      </c>
      <c r="L173" s="2494"/>
      <c r="M173" s="2494">
        <v>0</v>
      </c>
      <c r="N173" s="2494">
        <v>0</v>
      </c>
      <c r="O173" s="2493">
        <f>SUM(E173:N173)</f>
        <v>1</v>
      </c>
      <c r="X173" s="29"/>
      <c r="AI173" s="32"/>
      <c r="AJ173" s="32"/>
    </row>
    <row r="174" spans="1:36" x14ac:dyDescent="0.2">
      <c r="A174" s="2497" t="str">
        <f>$A$131</f>
        <v>Mindre fjernvarmenet</v>
      </c>
      <c r="B174" s="2496"/>
      <c r="C174" s="2496"/>
      <c r="D174" s="2495">
        <f>J131</f>
        <v>0</v>
      </c>
      <c r="E174" s="2494"/>
      <c r="F174" s="2494"/>
      <c r="G174" s="2494"/>
      <c r="H174" s="2494"/>
      <c r="I174" s="2494"/>
      <c r="J174" s="2494"/>
      <c r="K174" s="2494"/>
      <c r="L174" s="2494"/>
      <c r="M174" s="2494"/>
      <c r="N174" s="2494"/>
      <c r="O174" s="2493">
        <f>SUM(E174:N174)</f>
        <v>0</v>
      </c>
      <c r="R174" s="12" t="s">
        <v>4431</v>
      </c>
      <c r="X174" s="29"/>
      <c r="AI174" s="32"/>
      <c r="AJ174" s="32"/>
    </row>
    <row r="175" spans="1:36" x14ac:dyDescent="0.2">
      <c r="A175" s="2497" t="str">
        <f>$A$132</f>
        <v>Ny fjernvarme</v>
      </c>
      <c r="B175" s="2496"/>
      <c r="C175" s="2496"/>
      <c r="D175" s="2495">
        <f>J132</f>
        <v>0</v>
      </c>
      <c r="E175" s="2494"/>
      <c r="F175" s="2494"/>
      <c r="G175" s="2494"/>
      <c r="H175" s="2494">
        <v>1</v>
      </c>
      <c r="I175" s="2494"/>
      <c r="J175" s="2494"/>
      <c r="K175" s="2494"/>
      <c r="L175" s="2494"/>
      <c r="M175" s="2494"/>
      <c r="N175" s="2494"/>
      <c r="O175" s="2493">
        <f>SUM(E175:N175)</f>
        <v>1</v>
      </c>
      <c r="R175" s="12" t="s">
        <v>4430</v>
      </c>
      <c r="S175" s="2498">
        <f>(SUMPRODUCT(D172:D176,H172:H176)+SUMPRODUCT(D172:D176,I172:I176))/$J$138%+SUMPRODUCT(D172:D176,L172:L176)/$J$139%</f>
        <v>18.874659190588233</v>
      </c>
    </row>
    <row r="176" spans="1:36" x14ac:dyDescent="0.2">
      <c r="A176" s="2497" t="str">
        <f>$A$133</f>
        <v>Sammenhængende fjernvarmenet</v>
      </c>
      <c r="B176" s="2496"/>
      <c r="C176" s="2496"/>
      <c r="D176" s="2495">
        <f>J133</f>
        <v>0</v>
      </c>
      <c r="E176" s="2494"/>
      <c r="F176" s="2494"/>
      <c r="G176" s="2494"/>
      <c r="H176" s="2494"/>
      <c r="I176" s="2494"/>
      <c r="J176" s="2494"/>
      <c r="K176" s="2494"/>
      <c r="L176" s="2494"/>
      <c r="M176" s="2494"/>
      <c r="N176" s="2494"/>
      <c r="O176" s="2493">
        <f>SUM(E176:N176)</f>
        <v>0</v>
      </c>
      <c r="R176" s="12" t="s">
        <v>4429</v>
      </c>
      <c r="S176" s="2492">
        <f>((V172+W172+Z180)/S175)*100</f>
        <v>102</v>
      </c>
    </row>
    <row r="177" spans="25:34" x14ac:dyDescent="0.2">
      <c r="Y177" s="32"/>
      <c r="Z177" s="32"/>
      <c r="AA177" s="32"/>
      <c r="AB177" s="32"/>
      <c r="AC177" s="32"/>
      <c r="AD177" s="32"/>
    </row>
    <row r="178" spans="25:34" x14ac:dyDescent="0.2">
      <c r="Y178" s="32"/>
      <c r="Z178" s="32"/>
      <c r="AA178" s="32"/>
      <c r="AB178" s="32"/>
      <c r="AC178" s="32"/>
      <c r="AD178" s="32"/>
    </row>
    <row r="179" spans="25:34" ht="75.75" thickBot="1" x14ac:dyDescent="0.25">
      <c r="Y179" s="2506" t="s">
        <v>4435</v>
      </c>
      <c r="Z179" s="2506" t="s">
        <v>4434</v>
      </c>
      <c r="AA179" s="2506" t="s">
        <v>171</v>
      </c>
      <c r="AB179" s="2506" t="s">
        <v>4433</v>
      </c>
      <c r="AC179" s="2505"/>
    </row>
    <row r="180" spans="25:34" ht="13.5" thickBot="1" x14ac:dyDescent="0.25">
      <c r="Y180" s="2502">
        <f>SUMPRODUCT($D172:$D176,K172:K176)</f>
        <v>0</v>
      </c>
      <c r="Z180" s="2502">
        <f>SUMPRODUCT($D172:$D176,L172:L176)</f>
        <v>0</v>
      </c>
      <c r="AA180" s="2502">
        <f>SUMPRODUCT($D172:$D176,M172:M176)</f>
        <v>0</v>
      </c>
      <c r="AB180" s="2501">
        <f>SUMPRODUCT($D172:$D176,N172:N176)</f>
        <v>0</v>
      </c>
      <c r="AC180" s="2500"/>
      <c r="AE180" s="12" t="s">
        <v>4432</v>
      </c>
      <c r="AF180" s="2499">
        <f>T172+S172</f>
        <v>0</v>
      </c>
    </row>
    <row r="181" spans="25:34" x14ac:dyDescent="0.2">
      <c r="AE181" s="12" t="s">
        <v>4431</v>
      </c>
      <c r="AF181" s="2499">
        <f>V172+W172+Z180</f>
        <v>19.252152374399998</v>
      </c>
      <c r="AG181" s="32"/>
      <c r="AH181" s="32"/>
    </row>
    <row r="182" spans="25:34" x14ac:dyDescent="0.2">
      <c r="AE182" s="32"/>
      <c r="AF182" s="32"/>
      <c r="AG182" s="32"/>
      <c r="AH182" s="32"/>
    </row>
  </sheetData>
  <sheetProtection selectLockedCells="1" selectUnlockedCells="1"/>
  <conditionalFormatting sqref="O145:O149">
    <cfRule type="cellIs" dxfId="620" priority="4" operator="notEqual">
      <formula>1</formula>
    </cfRule>
  </conditionalFormatting>
  <conditionalFormatting sqref="O154:O158">
    <cfRule type="cellIs" dxfId="619" priority="3" operator="notEqual">
      <formula>1</formula>
    </cfRule>
  </conditionalFormatting>
  <conditionalFormatting sqref="O163:O167">
    <cfRule type="cellIs" dxfId="618" priority="2" operator="notEqual">
      <formula>1</formula>
    </cfRule>
  </conditionalFormatting>
  <conditionalFormatting sqref="O172:O176">
    <cfRule type="cellIs" dxfId="617" priority="1" operator="notEqual">
      <formula>1</formula>
    </cfRule>
  </conditionalFormatting>
  <dataValidations count="1">
    <dataValidation type="list" allowBlank="1" showInputMessage="1" showErrorMessage="1" sqref="S11:V11" xr:uid="{EE529592-58A3-4DCF-B63B-69BF08827BB5}">
      <formula1>$Z$1:$AA$1</formula1>
    </dataValidation>
  </dataValidations>
  <pageMargins left="0.7" right="0.7" top="0.75" bottom="0.75" header="0.3" footer="0.3"/>
  <pageSetup paperSize="9" orientation="portrait" r:id="rId1"/>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0F5C2-8391-4BD1-9620-FBD571D57488}">
  <sheetPr codeName="Ark95">
    <tabColor rgb="FFFF0000"/>
  </sheetPr>
  <dimension ref="A1:AN40"/>
  <sheetViews>
    <sheetView workbookViewId="0">
      <selection sqref="A1:AN39"/>
    </sheetView>
  </sheetViews>
  <sheetFormatPr defaultRowHeight="12.75" x14ac:dyDescent="0.2"/>
  <cols>
    <col min="2" max="2" width="25.7109375" customWidth="1"/>
  </cols>
  <sheetData>
    <row r="1" spans="1:39" ht="15" x14ac:dyDescent="0.25">
      <c r="A1" s="4211" t="s">
        <v>5385</v>
      </c>
      <c r="B1" s="4212" t="s">
        <v>5318</v>
      </c>
      <c r="C1" s="4211">
        <v>1110</v>
      </c>
      <c r="D1" s="4211">
        <v>1120</v>
      </c>
      <c r="E1" s="4211">
        <v>1130</v>
      </c>
      <c r="F1" s="4211">
        <v>1180</v>
      </c>
      <c r="G1" s="4211">
        <v>1210</v>
      </c>
      <c r="H1" s="4211">
        <v>1220</v>
      </c>
      <c r="I1" s="4211">
        <v>1230</v>
      </c>
      <c r="J1" s="4211">
        <v>1280</v>
      </c>
      <c r="K1" s="4211">
        <v>1310</v>
      </c>
      <c r="L1" s="4211">
        <v>1320</v>
      </c>
      <c r="M1" s="4211">
        <v>1330</v>
      </c>
      <c r="N1" s="4211">
        <v>1380</v>
      </c>
      <c r="O1" s="4211">
        <v>1410</v>
      </c>
      <c r="P1" s="4211">
        <v>1420</v>
      </c>
      <c r="Q1" s="4211">
        <v>1430</v>
      </c>
      <c r="R1" s="4211">
        <v>1480</v>
      </c>
      <c r="S1" s="4211">
        <v>1510</v>
      </c>
      <c r="T1" s="4211">
        <v>1520</v>
      </c>
      <c r="U1" s="4211">
        <v>1530</v>
      </c>
      <c r="V1" s="4211">
        <v>1580</v>
      </c>
      <c r="W1" s="4211">
        <v>1610</v>
      </c>
      <c r="X1" s="4211">
        <v>1620</v>
      </c>
      <c r="Y1" s="4211">
        <v>1630</v>
      </c>
      <c r="Z1" s="4211">
        <v>1680</v>
      </c>
      <c r="AA1" s="4211">
        <v>1710</v>
      </c>
      <c r="AB1" s="4211">
        <v>1720</v>
      </c>
      <c r="AC1" s="4211">
        <v>1730</v>
      </c>
      <c r="AD1" s="4211">
        <v>1780</v>
      </c>
      <c r="AE1" s="4211">
        <v>1810</v>
      </c>
      <c r="AF1" s="4211">
        <v>1820</v>
      </c>
      <c r="AG1" s="4211">
        <v>1830</v>
      </c>
      <c r="AH1" s="4211">
        <v>1880</v>
      </c>
      <c r="AI1" s="4211">
        <v>1910</v>
      </c>
      <c r="AJ1" s="4211">
        <v>1920</v>
      </c>
      <c r="AK1" s="4211">
        <v>1930</v>
      </c>
      <c r="AL1" s="4211">
        <v>1980</v>
      </c>
      <c r="AM1" t="s">
        <v>4272</v>
      </c>
    </row>
    <row r="2" spans="1:39" ht="16.149999999999999" customHeight="1" x14ac:dyDescent="0.2">
      <c r="A2" s="4211" t="s">
        <v>2298</v>
      </c>
      <c r="B2" s="4213" t="s">
        <v>2297</v>
      </c>
      <c r="C2" s="4213" t="s">
        <v>2296</v>
      </c>
      <c r="D2" s="4213" t="s">
        <v>2295</v>
      </c>
      <c r="E2" s="4213" t="s">
        <v>2294</v>
      </c>
      <c r="F2" s="4213" t="s">
        <v>2293</v>
      </c>
      <c r="G2" s="4213" t="s">
        <v>2292</v>
      </c>
      <c r="H2" s="4213" t="s">
        <v>2291</v>
      </c>
      <c r="I2" s="4213" t="s">
        <v>2290</v>
      </c>
      <c r="J2" s="4213" t="s">
        <v>2289</v>
      </c>
      <c r="K2" s="4213" t="s">
        <v>2288</v>
      </c>
      <c r="L2" s="4213" t="s">
        <v>2287</v>
      </c>
      <c r="M2" s="4213" t="s">
        <v>2286</v>
      </c>
      <c r="N2" s="4213" t="s">
        <v>2285</v>
      </c>
      <c r="O2" s="4213" t="s">
        <v>2284</v>
      </c>
      <c r="P2" s="4213" t="s">
        <v>2283</v>
      </c>
      <c r="Q2" s="4213" t="s">
        <v>2282</v>
      </c>
      <c r="R2" s="4213" t="s">
        <v>2281</v>
      </c>
      <c r="S2" s="4213" t="s">
        <v>2280</v>
      </c>
      <c r="T2" s="4213" t="s">
        <v>2279</v>
      </c>
      <c r="U2" s="4213" t="s">
        <v>2278</v>
      </c>
      <c r="V2" s="4213" t="s">
        <v>2277</v>
      </c>
      <c r="W2" s="4213" t="s">
        <v>2276</v>
      </c>
      <c r="X2" s="4213" t="s">
        <v>2275</v>
      </c>
      <c r="Y2" s="4213" t="s">
        <v>2274</v>
      </c>
      <c r="Z2" s="4213" t="s">
        <v>2273</v>
      </c>
      <c r="AA2" s="4213" t="s">
        <v>2272</v>
      </c>
      <c r="AB2" s="4213" t="s">
        <v>2271</v>
      </c>
      <c r="AC2" s="4213" t="s">
        <v>2270</v>
      </c>
      <c r="AD2" s="4213" t="s">
        <v>2269</v>
      </c>
      <c r="AE2" s="4213" t="s">
        <v>2268</v>
      </c>
      <c r="AF2" s="4213" t="s">
        <v>2267</v>
      </c>
      <c r="AG2" s="4213" t="s">
        <v>2266</v>
      </c>
      <c r="AH2" s="4213" t="s">
        <v>2265</v>
      </c>
      <c r="AI2" s="4213" t="s">
        <v>2264</v>
      </c>
      <c r="AJ2" s="4213" t="s">
        <v>2263</v>
      </c>
      <c r="AK2" s="4213" t="s">
        <v>2262</v>
      </c>
      <c r="AL2" s="4214" t="s">
        <v>2261</v>
      </c>
    </row>
    <row r="3" spans="1:39" ht="16.149999999999999" customHeight="1" x14ac:dyDescent="0.2">
      <c r="A3" s="4211">
        <v>1110</v>
      </c>
      <c r="B3" s="4213" t="s">
        <v>2296</v>
      </c>
      <c r="C3">
        <v>1186.25</v>
      </c>
      <c r="D3">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f>SUM(C3:AL3)</f>
        <v>1186.25</v>
      </c>
    </row>
    <row r="4" spans="1:39" ht="16.149999999999999" customHeight="1" x14ac:dyDescent="0.2">
      <c r="A4" s="4211">
        <v>1120</v>
      </c>
      <c r="B4" s="4213" t="s">
        <v>2295</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f t="shared" ref="AM4:AM38" si="0">SUM(C4:AL4)</f>
        <v>0</v>
      </c>
    </row>
    <row r="5" spans="1:39" ht="16.149999999999999" customHeight="1" x14ac:dyDescent="0.2">
      <c r="A5" s="4211">
        <v>1130</v>
      </c>
      <c r="B5" s="4213" t="s">
        <v>2294</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f t="shared" si="0"/>
        <v>0</v>
      </c>
    </row>
    <row r="6" spans="1:39" ht="16.149999999999999" customHeight="1" x14ac:dyDescent="0.2">
      <c r="A6" s="4211">
        <v>1180</v>
      </c>
      <c r="B6" s="4213" t="s">
        <v>2293</v>
      </c>
      <c r="C6">
        <v>0</v>
      </c>
      <c r="D6">
        <v>0</v>
      </c>
      <c r="E6">
        <v>0</v>
      </c>
      <c r="F6">
        <v>2</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f t="shared" si="0"/>
        <v>2</v>
      </c>
    </row>
    <row r="7" spans="1:39" ht="16.149999999999999" customHeight="1" x14ac:dyDescent="0.2">
      <c r="A7" s="4211">
        <v>1210</v>
      </c>
      <c r="B7" s="4213" t="s">
        <v>2292</v>
      </c>
      <c r="C7">
        <v>0</v>
      </c>
      <c r="D7">
        <v>0</v>
      </c>
      <c r="E7">
        <v>0</v>
      </c>
      <c r="F7">
        <v>0</v>
      </c>
      <c r="G7">
        <v>53.4375</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f t="shared" si="0"/>
        <v>53.4375</v>
      </c>
    </row>
    <row r="8" spans="1:39" ht="16.149999999999999" customHeight="1" x14ac:dyDescent="0.2">
      <c r="A8" s="4211">
        <v>1220</v>
      </c>
      <c r="B8" s="4213" t="s">
        <v>2291</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f t="shared" si="0"/>
        <v>0</v>
      </c>
    </row>
    <row r="9" spans="1:39" ht="16.149999999999999" customHeight="1" x14ac:dyDescent="0.2">
      <c r="A9" s="4211">
        <v>1230</v>
      </c>
      <c r="B9" s="4213" t="s">
        <v>2290</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f t="shared" si="0"/>
        <v>0</v>
      </c>
    </row>
    <row r="10" spans="1:39" ht="16.149999999999999" customHeight="1" x14ac:dyDescent="0.2">
      <c r="A10" s="4211">
        <v>1280</v>
      </c>
      <c r="B10" s="4213" t="s">
        <v>2289</v>
      </c>
      <c r="C10">
        <v>0</v>
      </c>
      <c r="D10">
        <v>0</v>
      </c>
      <c r="E10">
        <v>0</v>
      </c>
      <c r="F10">
        <v>0</v>
      </c>
      <c r="G10">
        <v>0</v>
      </c>
      <c r="H10">
        <v>0</v>
      </c>
      <c r="I10">
        <v>0</v>
      </c>
      <c r="J10">
        <v>4.125</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f t="shared" si="0"/>
        <v>4.125</v>
      </c>
    </row>
    <row r="11" spans="1:39" ht="16.149999999999999" customHeight="1" x14ac:dyDescent="0.2">
      <c r="A11" s="4211">
        <v>1310</v>
      </c>
      <c r="B11" s="4213" t="s">
        <v>2288</v>
      </c>
      <c r="C11">
        <v>2.9375</v>
      </c>
      <c r="D11">
        <v>0</v>
      </c>
      <c r="E11">
        <v>0</v>
      </c>
      <c r="F11">
        <v>0</v>
      </c>
      <c r="G11">
        <v>0</v>
      </c>
      <c r="H11">
        <v>0</v>
      </c>
      <c r="I11">
        <v>0</v>
      </c>
      <c r="J11">
        <v>0</v>
      </c>
      <c r="K11">
        <v>3363.8125</v>
      </c>
      <c r="L11">
        <v>0</v>
      </c>
      <c r="M11">
        <v>0</v>
      </c>
      <c r="N11">
        <v>0</v>
      </c>
      <c r="O11">
        <v>0.125</v>
      </c>
      <c r="P11">
        <v>0</v>
      </c>
      <c r="Q11">
        <v>0</v>
      </c>
      <c r="R11">
        <v>0</v>
      </c>
      <c r="S11">
        <v>131.75</v>
      </c>
      <c r="T11">
        <v>0</v>
      </c>
      <c r="U11">
        <v>0</v>
      </c>
      <c r="V11">
        <v>0</v>
      </c>
      <c r="W11">
        <v>143.625</v>
      </c>
      <c r="X11">
        <v>0</v>
      </c>
      <c r="Y11">
        <v>0</v>
      </c>
      <c r="Z11">
        <v>0</v>
      </c>
      <c r="AA11">
        <v>7.875</v>
      </c>
      <c r="AB11">
        <v>0</v>
      </c>
      <c r="AC11">
        <v>0</v>
      </c>
      <c r="AD11">
        <v>0</v>
      </c>
      <c r="AE11">
        <v>0</v>
      </c>
      <c r="AF11">
        <v>0</v>
      </c>
      <c r="AG11">
        <v>0</v>
      </c>
      <c r="AH11">
        <v>0</v>
      </c>
      <c r="AI11">
        <v>0</v>
      </c>
      <c r="AJ11">
        <v>0</v>
      </c>
      <c r="AK11">
        <v>0</v>
      </c>
      <c r="AL11">
        <v>0</v>
      </c>
      <c r="AM11">
        <f t="shared" si="0"/>
        <v>3650.125</v>
      </c>
    </row>
    <row r="12" spans="1:39" ht="16.149999999999999" customHeight="1" x14ac:dyDescent="0.2">
      <c r="A12" s="4211">
        <v>1320</v>
      </c>
      <c r="B12" s="4213" t="s">
        <v>2287</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f t="shared" si="0"/>
        <v>0</v>
      </c>
    </row>
    <row r="13" spans="1:39" ht="16.149999999999999" customHeight="1" x14ac:dyDescent="0.2">
      <c r="A13" s="4211">
        <v>1330</v>
      </c>
      <c r="B13" s="4213" t="s">
        <v>2286</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f t="shared" si="0"/>
        <v>0</v>
      </c>
    </row>
    <row r="14" spans="1:39" ht="16.149999999999999" customHeight="1" x14ac:dyDescent="0.2">
      <c r="A14" s="4211">
        <v>1380</v>
      </c>
      <c r="B14" s="4213" t="s">
        <v>2285</v>
      </c>
      <c r="C14">
        <v>0</v>
      </c>
      <c r="D14">
        <v>0</v>
      </c>
      <c r="E14">
        <v>0</v>
      </c>
      <c r="F14">
        <v>0</v>
      </c>
      <c r="G14">
        <v>0</v>
      </c>
      <c r="H14">
        <v>0</v>
      </c>
      <c r="I14">
        <v>0</v>
      </c>
      <c r="J14">
        <v>0</v>
      </c>
      <c r="K14">
        <v>0</v>
      </c>
      <c r="L14">
        <v>0</v>
      </c>
      <c r="M14">
        <v>0</v>
      </c>
      <c r="N14">
        <v>1.1875</v>
      </c>
      <c r="O14">
        <v>0</v>
      </c>
      <c r="P14">
        <v>0</v>
      </c>
      <c r="Q14">
        <v>0</v>
      </c>
      <c r="R14">
        <v>0</v>
      </c>
      <c r="S14">
        <v>0</v>
      </c>
      <c r="T14">
        <v>0</v>
      </c>
      <c r="U14">
        <v>0</v>
      </c>
      <c r="V14">
        <v>0</v>
      </c>
      <c r="W14">
        <v>0</v>
      </c>
      <c r="X14">
        <v>0</v>
      </c>
      <c r="Y14">
        <v>0</v>
      </c>
      <c r="Z14">
        <v>0.125</v>
      </c>
      <c r="AA14">
        <v>0</v>
      </c>
      <c r="AB14">
        <v>0</v>
      </c>
      <c r="AC14">
        <v>0</v>
      </c>
      <c r="AD14">
        <v>0</v>
      </c>
      <c r="AE14">
        <v>0</v>
      </c>
      <c r="AF14">
        <v>0</v>
      </c>
      <c r="AG14">
        <v>0</v>
      </c>
      <c r="AH14">
        <v>0</v>
      </c>
      <c r="AI14">
        <v>0</v>
      </c>
      <c r="AJ14">
        <v>0</v>
      </c>
      <c r="AK14">
        <v>0</v>
      </c>
      <c r="AL14">
        <v>0</v>
      </c>
      <c r="AM14">
        <f t="shared" si="0"/>
        <v>1.3125</v>
      </c>
    </row>
    <row r="15" spans="1:39" ht="16.149999999999999" customHeight="1" x14ac:dyDescent="0.2">
      <c r="A15" s="4211">
        <v>1410</v>
      </c>
      <c r="B15" s="4213" t="s">
        <v>2284</v>
      </c>
      <c r="C15">
        <v>0.1875</v>
      </c>
      <c r="D15">
        <v>0</v>
      </c>
      <c r="E15">
        <v>0</v>
      </c>
      <c r="F15">
        <v>0</v>
      </c>
      <c r="G15">
        <v>0</v>
      </c>
      <c r="H15">
        <v>0</v>
      </c>
      <c r="I15">
        <v>0</v>
      </c>
      <c r="J15">
        <v>0</v>
      </c>
      <c r="K15">
        <v>0.5625</v>
      </c>
      <c r="L15">
        <v>0</v>
      </c>
      <c r="M15">
        <v>0</v>
      </c>
      <c r="N15">
        <v>0</v>
      </c>
      <c r="O15">
        <v>49.25</v>
      </c>
      <c r="P15">
        <v>0</v>
      </c>
      <c r="Q15">
        <v>0</v>
      </c>
      <c r="R15">
        <v>0</v>
      </c>
      <c r="S15">
        <v>5.9375</v>
      </c>
      <c r="T15">
        <v>0</v>
      </c>
      <c r="U15">
        <v>0</v>
      </c>
      <c r="V15">
        <v>0</v>
      </c>
      <c r="W15">
        <v>0</v>
      </c>
      <c r="X15">
        <v>0</v>
      </c>
      <c r="Y15">
        <v>0</v>
      </c>
      <c r="Z15">
        <v>0</v>
      </c>
      <c r="AA15">
        <v>0</v>
      </c>
      <c r="AB15">
        <v>0</v>
      </c>
      <c r="AC15">
        <v>0</v>
      </c>
      <c r="AD15">
        <v>0</v>
      </c>
      <c r="AE15">
        <v>0</v>
      </c>
      <c r="AF15">
        <v>0</v>
      </c>
      <c r="AG15">
        <v>0</v>
      </c>
      <c r="AH15">
        <v>0</v>
      </c>
      <c r="AI15">
        <v>0</v>
      </c>
      <c r="AJ15">
        <v>0</v>
      </c>
      <c r="AK15">
        <v>0</v>
      </c>
      <c r="AL15">
        <v>0</v>
      </c>
      <c r="AM15">
        <f t="shared" si="0"/>
        <v>55.9375</v>
      </c>
    </row>
    <row r="16" spans="1:39" ht="16.149999999999999" customHeight="1" x14ac:dyDescent="0.2">
      <c r="A16" s="4211">
        <v>1420</v>
      </c>
      <c r="B16" s="4213" t="s">
        <v>2283</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f t="shared" si="0"/>
        <v>0</v>
      </c>
    </row>
    <row r="17" spans="1:39" ht="16.149999999999999" customHeight="1" x14ac:dyDescent="0.2">
      <c r="A17" s="4211">
        <v>1430</v>
      </c>
      <c r="B17" s="4213" t="s">
        <v>2282</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f t="shared" si="0"/>
        <v>0</v>
      </c>
    </row>
    <row r="18" spans="1:39" ht="16.149999999999999" customHeight="1" x14ac:dyDescent="0.2">
      <c r="A18" s="4211">
        <v>1480</v>
      </c>
      <c r="B18" s="4213" t="s">
        <v>2281</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f t="shared" si="0"/>
        <v>0</v>
      </c>
    </row>
    <row r="19" spans="1:39" ht="16.149999999999999" customHeight="1" x14ac:dyDescent="0.2">
      <c r="A19" s="4211">
        <v>1510</v>
      </c>
      <c r="B19" s="4213" t="s">
        <v>2280</v>
      </c>
      <c r="C19">
        <v>25.8125</v>
      </c>
      <c r="D19">
        <v>0</v>
      </c>
      <c r="E19">
        <v>0</v>
      </c>
      <c r="F19">
        <v>0</v>
      </c>
      <c r="G19">
        <v>0.4375</v>
      </c>
      <c r="H19">
        <v>0</v>
      </c>
      <c r="I19">
        <v>0</v>
      </c>
      <c r="J19">
        <v>0</v>
      </c>
      <c r="K19">
        <v>149.875</v>
      </c>
      <c r="L19">
        <v>0</v>
      </c>
      <c r="M19">
        <v>0</v>
      </c>
      <c r="N19">
        <v>0</v>
      </c>
      <c r="O19">
        <v>27.375</v>
      </c>
      <c r="P19">
        <v>0</v>
      </c>
      <c r="Q19">
        <v>0</v>
      </c>
      <c r="R19">
        <v>0</v>
      </c>
      <c r="S19">
        <v>2896.5</v>
      </c>
      <c r="T19">
        <v>0</v>
      </c>
      <c r="U19">
        <v>0</v>
      </c>
      <c r="V19">
        <v>0</v>
      </c>
      <c r="W19">
        <v>557.5</v>
      </c>
      <c r="X19">
        <v>0</v>
      </c>
      <c r="Y19">
        <v>0</v>
      </c>
      <c r="Z19">
        <v>0</v>
      </c>
      <c r="AA19">
        <v>0.8125</v>
      </c>
      <c r="AB19">
        <v>0</v>
      </c>
      <c r="AC19">
        <v>0</v>
      </c>
      <c r="AD19">
        <v>0</v>
      </c>
      <c r="AE19">
        <v>0</v>
      </c>
      <c r="AF19">
        <v>0</v>
      </c>
      <c r="AG19">
        <v>0</v>
      </c>
      <c r="AH19">
        <v>0</v>
      </c>
      <c r="AI19">
        <v>0</v>
      </c>
      <c r="AJ19">
        <v>0</v>
      </c>
      <c r="AK19">
        <v>0</v>
      </c>
      <c r="AL19">
        <v>0</v>
      </c>
      <c r="AM19">
        <f t="shared" si="0"/>
        <v>3658.3125</v>
      </c>
    </row>
    <row r="20" spans="1:39" ht="16.149999999999999" customHeight="1" x14ac:dyDescent="0.2">
      <c r="A20" s="4211">
        <v>1520</v>
      </c>
      <c r="B20" s="4213" t="s">
        <v>2279</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f t="shared" si="0"/>
        <v>0</v>
      </c>
    </row>
    <row r="21" spans="1:39" ht="16.149999999999999" customHeight="1" x14ac:dyDescent="0.2">
      <c r="A21" s="4211">
        <v>1530</v>
      </c>
      <c r="B21" s="4213" t="s">
        <v>2278</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f t="shared" si="0"/>
        <v>0</v>
      </c>
    </row>
    <row r="22" spans="1:39" ht="16.149999999999999" customHeight="1" x14ac:dyDescent="0.2">
      <c r="A22" s="4211">
        <v>1580</v>
      </c>
      <c r="B22" s="4213" t="s">
        <v>2277</v>
      </c>
      <c r="C22">
        <v>0</v>
      </c>
      <c r="D22">
        <v>0</v>
      </c>
      <c r="E22">
        <v>0</v>
      </c>
      <c r="F22">
        <v>0</v>
      </c>
      <c r="G22">
        <v>0</v>
      </c>
      <c r="H22">
        <v>0</v>
      </c>
      <c r="I22">
        <v>0</v>
      </c>
      <c r="J22">
        <v>0</v>
      </c>
      <c r="K22">
        <v>0</v>
      </c>
      <c r="L22">
        <v>0</v>
      </c>
      <c r="M22">
        <v>0</v>
      </c>
      <c r="N22">
        <v>6.25E-2</v>
      </c>
      <c r="O22">
        <v>0</v>
      </c>
      <c r="P22">
        <v>0</v>
      </c>
      <c r="Q22">
        <v>0</v>
      </c>
      <c r="R22">
        <v>0</v>
      </c>
      <c r="S22">
        <v>0</v>
      </c>
      <c r="T22">
        <v>0</v>
      </c>
      <c r="U22">
        <v>0</v>
      </c>
      <c r="V22">
        <v>25.0625</v>
      </c>
      <c r="W22">
        <v>0</v>
      </c>
      <c r="X22">
        <v>0</v>
      </c>
      <c r="Y22">
        <v>0</v>
      </c>
      <c r="Z22">
        <v>53.625</v>
      </c>
      <c r="AA22">
        <v>0</v>
      </c>
      <c r="AB22">
        <v>0</v>
      </c>
      <c r="AC22">
        <v>0</v>
      </c>
      <c r="AD22">
        <v>6.25E-2</v>
      </c>
      <c r="AE22">
        <v>0</v>
      </c>
      <c r="AF22">
        <v>0</v>
      </c>
      <c r="AG22">
        <v>0</v>
      </c>
      <c r="AH22">
        <v>0</v>
      </c>
      <c r="AI22">
        <v>0</v>
      </c>
      <c r="AJ22">
        <v>0</v>
      </c>
      <c r="AK22">
        <v>0</v>
      </c>
      <c r="AL22">
        <v>0</v>
      </c>
      <c r="AM22">
        <f t="shared" si="0"/>
        <v>78.8125</v>
      </c>
    </row>
    <row r="23" spans="1:39" ht="16.149999999999999" customHeight="1" x14ac:dyDescent="0.2">
      <c r="A23" s="4211">
        <v>1610</v>
      </c>
      <c r="B23" s="4213" t="s">
        <v>2276</v>
      </c>
      <c r="C23">
        <v>0</v>
      </c>
      <c r="D23">
        <v>0</v>
      </c>
      <c r="E23">
        <v>0</v>
      </c>
      <c r="F23">
        <v>0</v>
      </c>
      <c r="G23">
        <v>6.25E-2</v>
      </c>
      <c r="H23">
        <v>0</v>
      </c>
      <c r="I23">
        <v>0</v>
      </c>
      <c r="J23">
        <v>0</v>
      </c>
      <c r="K23">
        <v>66.5625</v>
      </c>
      <c r="L23">
        <v>0</v>
      </c>
      <c r="M23">
        <v>0</v>
      </c>
      <c r="N23">
        <v>0</v>
      </c>
      <c r="O23">
        <v>0.25</v>
      </c>
      <c r="P23">
        <v>0</v>
      </c>
      <c r="Q23">
        <v>0</v>
      </c>
      <c r="R23">
        <v>0</v>
      </c>
      <c r="S23">
        <v>121.9375</v>
      </c>
      <c r="T23">
        <v>0</v>
      </c>
      <c r="U23">
        <v>0</v>
      </c>
      <c r="V23">
        <v>0</v>
      </c>
      <c r="W23">
        <v>1910.875</v>
      </c>
      <c r="X23">
        <v>0</v>
      </c>
      <c r="Y23">
        <v>0</v>
      </c>
      <c r="Z23">
        <v>0</v>
      </c>
      <c r="AA23">
        <v>9.8125</v>
      </c>
      <c r="AB23">
        <v>0</v>
      </c>
      <c r="AC23">
        <v>0</v>
      </c>
      <c r="AD23">
        <v>0</v>
      </c>
      <c r="AE23">
        <v>0</v>
      </c>
      <c r="AF23">
        <v>0</v>
      </c>
      <c r="AG23">
        <v>0</v>
      </c>
      <c r="AH23">
        <v>0</v>
      </c>
      <c r="AI23">
        <v>0</v>
      </c>
      <c r="AJ23">
        <v>0</v>
      </c>
      <c r="AK23">
        <v>0</v>
      </c>
      <c r="AL23">
        <v>0</v>
      </c>
      <c r="AM23">
        <f t="shared" si="0"/>
        <v>2109.5</v>
      </c>
    </row>
    <row r="24" spans="1:39" ht="16.149999999999999" customHeight="1" x14ac:dyDescent="0.2">
      <c r="A24" s="4211">
        <v>1620</v>
      </c>
      <c r="B24" s="4213" t="s">
        <v>2275</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0.25</v>
      </c>
      <c r="Y24">
        <v>0</v>
      </c>
      <c r="Z24">
        <v>0</v>
      </c>
      <c r="AA24">
        <v>0</v>
      </c>
      <c r="AB24">
        <v>0</v>
      </c>
      <c r="AC24">
        <v>0</v>
      </c>
      <c r="AD24">
        <v>0</v>
      </c>
      <c r="AE24">
        <v>0</v>
      </c>
      <c r="AF24">
        <v>0</v>
      </c>
      <c r="AG24">
        <v>0</v>
      </c>
      <c r="AH24">
        <v>0</v>
      </c>
      <c r="AI24">
        <v>0</v>
      </c>
      <c r="AJ24">
        <v>0</v>
      </c>
      <c r="AK24">
        <v>0</v>
      </c>
      <c r="AL24">
        <v>0</v>
      </c>
      <c r="AM24">
        <f t="shared" si="0"/>
        <v>0.25</v>
      </c>
    </row>
    <row r="25" spans="1:39" ht="16.149999999999999" customHeight="1" x14ac:dyDescent="0.2">
      <c r="A25" s="4211">
        <v>1630</v>
      </c>
      <c r="B25" s="4213" t="s">
        <v>2274</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f t="shared" si="0"/>
        <v>0</v>
      </c>
    </row>
    <row r="26" spans="1:39" ht="16.149999999999999" customHeight="1" x14ac:dyDescent="0.2">
      <c r="A26" s="4211">
        <v>1680</v>
      </c>
      <c r="B26" s="4213" t="s">
        <v>2273</v>
      </c>
      <c r="C26">
        <v>0</v>
      </c>
      <c r="D26">
        <v>0</v>
      </c>
      <c r="E26">
        <v>0</v>
      </c>
      <c r="F26">
        <v>0</v>
      </c>
      <c r="G26">
        <v>0</v>
      </c>
      <c r="H26">
        <v>0</v>
      </c>
      <c r="I26">
        <v>0</v>
      </c>
      <c r="J26">
        <v>0</v>
      </c>
      <c r="K26">
        <v>0</v>
      </c>
      <c r="L26">
        <v>0</v>
      </c>
      <c r="M26">
        <v>0</v>
      </c>
      <c r="N26">
        <v>0</v>
      </c>
      <c r="O26">
        <v>0</v>
      </c>
      <c r="P26">
        <v>0</v>
      </c>
      <c r="Q26">
        <v>0</v>
      </c>
      <c r="R26">
        <v>0</v>
      </c>
      <c r="S26">
        <v>0</v>
      </c>
      <c r="T26">
        <v>0</v>
      </c>
      <c r="U26">
        <v>0</v>
      </c>
      <c r="V26">
        <v>6.9375</v>
      </c>
      <c r="W26">
        <v>0</v>
      </c>
      <c r="X26">
        <v>0</v>
      </c>
      <c r="Y26">
        <v>0</v>
      </c>
      <c r="Z26">
        <v>115.5</v>
      </c>
      <c r="AA26">
        <v>0</v>
      </c>
      <c r="AB26">
        <v>0</v>
      </c>
      <c r="AC26">
        <v>0</v>
      </c>
      <c r="AD26">
        <v>1.3125</v>
      </c>
      <c r="AE26">
        <v>0</v>
      </c>
      <c r="AF26">
        <v>0</v>
      </c>
      <c r="AG26">
        <v>0</v>
      </c>
      <c r="AH26">
        <v>0</v>
      </c>
      <c r="AI26">
        <v>0</v>
      </c>
      <c r="AJ26">
        <v>0</v>
      </c>
      <c r="AK26">
        <v>0</v>
      </c>
      <c r="AL26">
        <v>0</v>
      </c>
      <c r="AM26">
        <f t="shared" si="0"/>
        <v>123.75</v>
      </c>
    </row>
    <row r="27" spans="1:39" ht="16.149999999999999" customHeight="1" x14ac:dyDescent="0.2">
      <c r="A27" s="4211">
        <v>1710</v>
      </c>
      <c r="B27" s="4213" t="s">
        <v>2272</v>
      </c>
      <c r="C27">
        <v>0</v>
      </c>
      <c r="D27">
        <v>0</v>
      </c>
      <c r="E27">
        <v>0</v>
      </c>
      <c r="F27">
        <v>0</v>
      </c>
      <c r="G27">
        <v>0</v>
      </c>
      <c r="H27">
        <v>0</v>
      </c>
      <c r="I27">
        <v>0</v>
      </c>
      <c r="J27">
        <v>0</v>
      </c>
      <c r="K27">
        <v>0.875</v>
      </c>
      <c r="L27">
        <v>0</v>
      </c>
      <c r="M27">
        <v>0</v>
      </c>
      <c r="N27">
        <v>0</v>
      </c>
      <c r="O27">
        <v>0</v>
      </c>
      <c r="P27">
        <v>0</v>
      </c>
      <c r="Q27">
        <v>0</v>
      </c>
      <c r="R27">
        <v>0</v>
      </c>
      <c r="S27">
        <v>0.125</v>
      </c>
      <c r="T27">
        <v>0</v>
      </c>
      <c r="U27">
        <v>0</v>
      </c>
      <c r="V27">
        <v>0</v>
      </c>
      <c r="W27">
        <v>0</v>
      </c>
      <c r="X27">
        <v>0</v>
      </c>
      <c r="Y27">
        <v>0</v>
      </c>
      <c r="Z27">
        <v>0</v>
      </c>
      <c r="AA27">
        <v>221.875</v>
      </c>
      <c r="AB27">
        <v>0</v>
      </c>
      <c r="AC27">
        <v>0</v>
      </c>
      <c r="AD27">
        <v>0</v>
      </c>
      <c r="AE27">
        <v>0</v>
      </c>
      <c r="AF27">
        <v>0</v>
      </c>
      <c r="AG27">
        <v>0</v>
      </c>
      <c r="AH27">
        <v>0</v>
      </c>
      <c r="AI27">
        <v>0</v>
      </c>
      <c r="AJ27">
        <v>0</v>
      </c>
      <c r="AK27">
        <v>0</v>
      </c>
      <c r="AL27">
        <v>0</v>
      </c>
      <c r="AM27">
        <f t="shared" si="0"/>
        <v>222.875</v>
      </c>
    </row>
    <row r="28" spans="1:39" ht="16.149999999999999" customHeight="1" x14ac:dyDescent="0.2">
      <c r="A28" s="4211">
        <v>1720</v>
      </c>
      <c r="B28" s="4213" t="s">
        <v>2271</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6.25E-2</v>
      </c>
      <c r="AC28">
        <v>0</v>
      </c>
      <c r="AD28">
        <v>0</v>
      </c>
      <c r="AE28">
        <v>0</v>
      </c>
      <c r="AF28">
        <v>0</v>
      </c>
      <c r="AG28">
        <v>0</v>
      </c>
      <c r="AH28">
        <v>0</v>
      </c>
      <c r="AI28">
        <v>0</v>
      </c>
      <c r="AJ28">
        <v>0</v>
      </c>
      <c r="AK28">
        <v>0</v>
      </c>
      <c r="AL28">
        <v>0</v>
      </c>
      <c r="AM28">
        <f t="shared" si="0"/>
        <v>6.25E-2</v>
      </c>
    </row>
    <row r="29" spans="1:39" ht="16.149999999999999" customHeight="1" x14ac:dyDescent="0.2">
      <c r="A29" s="4211">
        <v>1730</v>
      </c>
      <c r="B29" s="4213" t="s">
        <v>2270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f t="shared" si="0"/>
        <v>0</v>
      </c>
    </row>
    <row r="30" spans="1:39" ht="16.149999999999999" customHeight="1" x14ac:dyDescent="0.2">
      <c r="A30" s="4211">
        <v>1780</v>
      </c>
      <c r="B30" s="4213" t="s">
        <v>2269</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125.3125</v>
      </c>
      <c r="AE30">
        <v>0</v>
      </c>
      <c r="AF30">
        <v>0</v>
      </c>
      <c r="AG30">
        <v>0</v>
      </c>
      <c r="AH30">
        <v>0</v>
      </c>
      <c r="AI30">
        <v>0</v>
      </c>
      <c r="AJ30">
        <v>0</v>
      </c>
      <c r="AK30">
        <v>0</v>
      </c>
      <c r="AL30">
        <v>0</v>
      </c>
      <c r="AM30">
        <f t="shared" si="0"/>
        <v>125.3125</v>
      </c>
    </row>
    <row r="31" spans="1:39" ht="16.149999999999999" customHeight="1" x14ac:dyDescent="0.2">
      <c r="A31" s="4211">
        <v>1810</v>
      </c>
      <c r="B31" s="4213" t="s">
        <v>2268</v>
      </c>
      <c r="C31">
        <v>0</v>
      </c>
      <c r="D31">
        <v>0</v>
      </c>
      <c r="E31">
        <v>0</v>
      </c>
      <c r="F31">
        <v>0</v>
      </c>
      <c r="G31">
        <v>0</v>
      </c>
      <c r="H31">
        <v>0</v>
      </c>
      <c r="I31">
        <v>0</v>
      </c>
      <c r="J31">
        <v>0</v>
      </c>
      <c r="K31">
        <v>6.25E-2</v>
      </c>
      <c r="L31">
        <v>0</v>
      </c>
      <c r="M31">
        <v>0</v>
      </c>
      <c r="N31">
        <v>0</v>
      </c>
      <c r="O31">
        <v>0</v>
      </c>
      <c r="P31">
        <v>0</v>
      </c>
      <c r="Q31">
        <v>0</v>
      </c>
      <c r="R31">
        <v>0</v>
      </c>
      <c r="S31">
        <v>0.1875</v>
      </c>
      <c r="T31">
        <v>0</v>
      </c>
      <c r="U31">
        <v>0</v>
      </c>
      <c r="V31">
        <v>0</v>
      </c>
      <c r="W31">
        <v>0</v>
      </c>
      <c r="X31">
        <v>0</v>
      </c>
      <c r="Y31">
        <v>0</v>
      </c>
      <c r="Z31">
        <v>0</v>
      </c>
      <c r="AA31">
        <v>0</v>
      </c>
      <c r="AB31">
        <v>0</v>
      </c>
      <c r="AC31">
        <v>0</v>
      </c>
      <c r="AD31">
        <v>0</v>
      </c>
      <c r="AE31">
        <v>19.5</v>
      </c>
      <c r="AF31">
        <v>0</v>
      </c>
      <c r="AG31">
        <v>0</v>
      </c>
      <c r="AH31">
        <v>0</v>
      </c>
      <c r="AI31">
        <v>0</v>
      </c>
      <c r="AJ31">
        <v>0</v>
      </c>
      <c r="AK31">
        <v>0</v>
      </c>
      <c r="AL31">
        <v>0</v>
      </c>
      <c r="AM31">
        <f t="shared" si="0"/>
        <v>19.75</v>
      </c>
    </row>
    <row r="32" spans="1:39" ht="16.149999999999999" customHeight="1" x14ac:dyDescent="0.2">
      <c r="A32" s="4211">
        <v>1820</v>
      </c>
      <c r="B32" s="4213" t="s">
        <v>2267</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f t="shared" si="0"/>
        <v>0</v>
      </c>
    </row>
    <row r="33" spans="1:40" ht="16.149999999999999" customHeight="1" x14ac:dyDescent="0.2">
      <c r="A33" s="4211">
        <v>1830</v>
      </c>
      <c r="B33" s="4213" t="s">
        <v>2266</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f t="shared" si="0"/>
        <v>0</v>
      </c>
    </row>
    <row r="34" spans="1:40" ht="16.149999999999999" customHeight="1" x14ac:dyDescent="0.2">
      <c r="A34" s="4211">
        <v>1880</v>
      </c>
      <c r="B34" s="4213" t="s">
        <v>2265</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7.375</v>
      </c>
      <c r="AI34">
        <v>0</v>
      </c>
      <c r="AJ34">
        <v>0</v>
      </c>
      <c r="AK34">
        <v>0</v>
      </c>
      <c r="AL34">
        <v>0</v>
      </c>
      <c r="AM34">
        <f t="shared" si="0"/>
        <v>7.375</v>
      </c>
    </row>
    <row r="35" spans="1:40" ht="16.149999999999999" customHeight="1" x14ac:dyDescent="0.2">
      <c r="A35" s="4211">
        <v>1910</v>
      </c>
      <c r="B35" s="4213" t="s">
        <v>2264</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287.5</v>
      </c>
      <c r="AJ35">
        <v>0</v>
      </c>
      <c r="AK35">
        <v>0</v>
      </c>
      <c r="AL35">
        <v>0</v>
      </c>
      <c r="AM35">
        <f t="shared" si="0"/>
        <v>287.5</v>
      </c>
    </row>
    <row r="36" spans="1:40" ht="16.149999999999999" customHeight="1" x14ac:dyDescent="0.2">
      <c r="A36" s="4211">
        <v>1920</v>
      </c>
      <c r="B36" s="4213" t="s">
        <v>2263</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1.25</v>
      </c>
      <c r="AK36">
        <v>0</v>
      </c>
      <c r="AL36">
        <v>0</v>
      </c>
      <c r="AM36">
        <f t="shared" si="0"/>
        <v>1.25</v>
      </c>
    </row>
    <row r="37" spans="1:40" ht="16.149999999999999" customHeight="1" x14ac:dyDescent="0.2">
      <c r="A37" s="4211">
        <v>1930</v>
      </c>
      <c r="B37" s="4213" t="s">
        <v>2262</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f t="shared" si="0"/>
        <v>0</v>
      </c>
    </row>
    <row r="38" spans="1:40" ht="16.149999999999999" customHeight="1" x14ac:dyDescent="0.2">
      <c r="A38" s="4211">
        <v>1980</v>
      </c>
      <c r="B38" s="4214" t="s">
        <v>2261</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77.875</v>
      </c>
      <c r="AM38">
        <f t="shared" si="0"/>
        <v>77.875</v>
      </c>
      <c r="AN38" t="s">
        <v>4271</v>
      </c>
    </row>
    <row r="39" spans="1:40" ht="16.149999999999999" customHeight="1" x14ac:dyDescent="0.2">
      <c r="A39" t="s">
        <v>4272</v>
      </c>
      <c r="C39">
        <f t="shared" ref="C39:AL39" si="1">SUM(C3:C38)</f>
        <v>1215.1875</v>
      </c>
      <c r="D39">
        <f t="shared" si="1"/>
        <v>0</v>
      </c>
      <c r="E39">
        <f t="shared" si="1"/>
        <v>0</v>
      </c>
      <c r="F39">
        <f t="shared" si="1"/>
        <v>2</v>
      </c>
      <c r="G39">
        <f t="shared" si="1"/>
        <v>53.9375</v>
      </c>
      <c r="H39">
        <f t="shared" si="1"/>
        <v>0</v>
      </c>
      <c r="I39">
        <f t="shared" si="1"/>
        <v>0</v>
      </c>
      <c r="J39">
        <f t="shared" si="1"/>
        <v>4.125</v>
      </c>
      <c r="K39">
        <f t="shared" si="1"/>
        <v>3581.75</v>
      </c>
      <c r="L39">
        <f t="shared" si="1"/>
        <v>0</v>
      </c>
      <c r="M39">
        <f t="shared" si="1"/>
        <v>0</v>
      </c>
      <c r="N39">
        <f t="shared" si="1"/>
        <v>1.25</v>
      </c>
      <c r="O39">
        <f t="shared" si="1"/>
        <v>77</v>
      </c>
      <c r="P39">
        <f t="shared" si="1"/>
        <v>0</v>
      </c>
      <c r="Q39">
        <f t="shared" si="1"/>
        <v>0</v>
      </c>
      <c r="R39">
        <f t="shared" si="1"/>
        <v>0</v>
      </c>
      <c r="S39">
        <f t="shared" si="1"/>
        <v>3156.4375</v>
      </c>
      <c r="T39">
        <f t="shared" si="1"/>
        <v>0</v>
      </c>
      <c r="U39">
        <f t="shared" si="1"/>
        <v>0</v>
      </c>
      <c r="V39">
        <f t="shared" si="1"/>
        <v>32</v>
      </c>
      <c r="W39">
        <f t="shared" si="1"/>
        <v>2612</v>
      </c>
      <c r="X39">
        <f t="shared" si="1"/>
        <v>0.25</v>
      </c>
      <c r="Y39">
        <f t="shared" si="1"/>
        <v>0</v>
      </c>
      <c r="Z39">
        <f t="shared" si="1"/>
        <v>169.25</v>
      </c>
      <c r="AA39">
        <f t="shared" si="1"/>
        <v>240.375</v>
      </c>
      <c r="AB39">
        <f t="shared" si="1"/>
        <v>6.25E-2</v>
      </c>
      <c r="AC39">
        <f t="shared" si="1"/>
        <v>0</v>
      </c>
      <c r="AD39">
        <f t="shared" si="1"/>
        <v>126.6875</v>
      </c>
      <c r="AE39">
        <f t="shared" si="1"/>
        <v>19.5</v>
      </c>
      <c r="AF39">
        <f t="shared" si="1"/>
        <v>0</v>
      </c>
      <c r="AG39">
        <f t="shared" si="1"/>
        <v>0</v>
      </c>
      <c r="AH39">
        <f t="shared" si="1"/>
        <v>7.375</v>
      </c>
      <c r="AI39">
        <f t="shared" si="1"/>
        <v>287.5</v>
      </c>
      <c r="AJ39">
        <f t="shared" si="1"/>
        <v>1.25</v>
      </c>
      <c r="AK39">
        <f t="shared" si="1"/>
        <v>0</v>
      </c>
      <c r="AL39">
        <f t="shared" si="1"/>
        <v>77.875</v>
      </c>
      <c r="AM39">
        <f>SUM(C39:AL39)</f>
        <v>11665.8125</v>
      </c>
      <c r="AN39">
        <f>SUM(AM3:AM38)</f>
        <v>11665.8125</v>
      </c>
    </row>
    <row r="40" spans="1:40" ht="16.149999999999999" customHeight="1" x14ac:dyDescent="0.2"/>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3C930-FAEB-455C-9503-1FB6172DA1AE}">
  <sheetPr codeName="Ark107">
    <tabColor rgb="FFFF0000"/>
  </sheetPr>
  <dimension ref="A1:C54"/>
  <sheetViews>
    <sheetView zoomScale="85" zoomScaleNormal="85" workbookViewId="0">
      <selection activeCell="C2" sqref="C2:C54"/>
    </sheetView>
  </sheetViews>
  <sheetFormatPr defaultColWidth="8.85546875" defaultRowHeight="15" x14ac:dyDescent="0.25"/>
  <cols>
    <col min="1" max="1" width="21.28515625" style="992" customWidth="1"/>
    <col min="2" max="2" width="28.140625" style="992" customWidth="1"/>
    <col min="3" max="3" width="17.42578125" style="992" bestFit="1" customWidth="1"/>
    <col min="4" max="5" width="8.85546875" style="992"/>
    <col min="6" max="6" width="8.85546875" style="992" customWidth="1"/>
    <col min="7" max="16384" width="8.85546875" style="992"/>
  </cols>
  <sheetData>
    <row r="1" spans="1:3" x14ac:dyDescent="0.25">
      <c r="A1" s="4145" t="str">
        <f>C2</f>
        <v>Læsø</v>
      </c>
      <c r="B1" s="2706"/>
      <c r="C1" s="2706"/>
    </row>
    <row r="2" spans="1:3" x14ac:dyDescent="0.25">
      <c r="A2" s="2707" t="s">
        <v>2381</v>
      </c>
      <c r="B2" s="2706" t="s">
        <v>2380</v>
      </c>
      <c r="C2" s="2706" t="s">
        <v>5385</v>
      </c>
    </row>
    <row r="3" spans="1:3" x14ac:dyDescent="0.25">
      <c r="A3" s="2707">
        <v>1110</v>
      </c>
      <c r="B3" s="2708" t="s">
        <v>2379</v>
      </c>
      <c r="C3" s="2706">
        <v>1215.1875</v>
      </c>
    </row>
    <row r="4" spans="1:3" x14ac:dyDescent="0.25">
      <c r="A4" s="2707">
        <v>1120</v>
      </c>
      <c r="B4" s="2708" t="s">
        <v>2378</v>
      </c>
      <c r="C4" s="2706">
        <v>0</v>
      </c>
    </row>
    <row r="5" spans="1:3" x14ac:dyDescent="0.25">
      <c r="A5" s="2707">
        <v>1130</v>
      </c>
      <c r="B5" s="2708" t="s">
        <v>2377</v>
      </c>
      <c r="C5" s="2706">
        <v>0</v>
      </c>
    </row>
    <row r="6" spans="1:3" x14ac:dyDescent="0.25">
      <c r="A6" s="2707">
        <v>1180</v>
      </c>
      <c r="B6" s="2708" t="s">
        <v>2376</v>
      </c>
      <c r="C6" s="2706">
        <v>2</v>
      </c>
    </row>
    <row r="7" spans="1:3" x14ac:dyDescent="0.25">
      <c r="A7" s="2707">
        <v>1210</v>
      </c>
      <c r="B7" s="2708" t="s">
        <v>2375</v>
      </c>
      <c r="C7" s="2706">
        <v>53.9375</v>
      </c>
    </row>
    <row r="8" spans="1:3" x14ac:dyDescent="0.25">
      <c r="A8" s="2707">
        <v>1220</v>
      </c>
      <c r="B8" s="2708" t="s">
        <v>2374</v>
      </c>
      <c r="C8" s="2706">
        <v>0</v>
      </c>
    </row>
    <row r="9" spans="1:3" x14ac:dyDescent="0.25">
      <c r="A9" s="2707">
        <v>1230</v>
      </c>
      <c r="B9" s="2708" t="s">
        <v>2373</v>
      </c>
      <c r="C9" s="2706">
        <v>0</v>
      </c>
    </row>
    <row r="10" spans="1:3" x14ac:dyDescent="0.25">
      <c r="A10" s="2707">
        <v>1280</v>
      </c>
      <c r="B10" s="2708" t="s">
        <v>2372</v>
      </c>
      <c r="C10" s="2706">
        <v>4.125</v>
      </c>
    </row>
    <row r="11" spans="1:3" x14ac:dyDescent="0.25">
      <c r="A11" s="2707">
        <v>1310</v>
      </c>
      <c r="B11" s="2708" t="s">
        <v>2371</v>
      </c>
      <c r="C11" s="2706">
        <v>3581.75</v>
      </c>
    </row>
    <row r="12" spans="1:3" x14ac:dyDescent="0.25">
      <c r="A12" s="2707">
        <v>1320</v>
      </c>
      <c r="B12" s="2708" t="s">
        <v>2370</v>
      </c>
      <c r="C12" s="2706">
        <v>0</v>
      </c>
    </row>
    <row r="13" spans="1:3" x14ac:dyDescent="0.25">
      <c r="A13" s="2707">
        <v>1330</v>
      </c>
      <c r="B13" s="2708" t="s">
        <v>2369</v>
      </c>
      <c r="C13" s="2706">
        <v>0</v>
      </c>
    </row>
    <row r="14" spans="1:3" x14ac:dyDescent="0.25">
      <c r="A14" s="2707">
        <v>1380</v>
      </c>
      <c r="B14" s="2708" t="s">
        <v>2368</v>
      </c>
      <c r="C14" s="2706">
        <v>1.25</v>
      </c>
    </row>
    <row r="15" spans="1:3" x14ac:dyDescent="0.25">
      <c r="A15" s="2707">
        <v>1410</v>
      </c>
      <c r="B15" s="2708" t="s">
        <v>2367</v>
      </c>
      <c r="C15" s="2706">
        <v>77</v>
      </c>
    </row>
    <row r="16" spans="1:3" x14ac:dyDescent="0.25">
      <c r="A16" s="2707">
        <v>1420</v>
      </c>
      <c r="B16" s="2708" t="s">
        <v>2366</v>
      </c>
      <c r="C16" s="2706">
        <v>0</v>
      </c>
    </row>
    <row r="17" spans="1:3" x14ac:dyDescent="0.25">
      <c r="A17" s="2707">
        <v>1430</v>
      </c>
      <c r="B17" s="2708" t="s">
        <v>2365</v>
      </c>
      <c r="C17" s="2706">
        <v>0</v>
      </c>
    </row>
    <row r="18" spans="1:3" x14ac:dyDescent="0.25">
      <c r="A18" s="2707">
        <v>1480</v>
      </c>
      <c r="B18" s="2708" t="s">
        <v>2364</v>
      </c>
      <c r="C18" s="2706">
        <v>0</v>
      </c>
    </row>
    <row r="19" spans="1:3" x14ac:dyDescent="0.25">
      <c r="A19" s="2707">
        <v>15110</v>
      </c>
      <c r="B19" s="2708" t="s">
        <v>2363</v>
      </c>
      <c r="C19" s="2706">
        <v>156.625</v>
      </c>
    </row>
    <row r="20" spans="1:3" x14ac:dyDescent="0.25">
      <c r="A20" s="2707">
        <v>15120</v>
      </c>
      <c r="B20" s="2708" t="s">
        <v>2362</v>
      </c>
      <c r="C20" s="2706">
        <v>0</v>
      </c>
    </row>
    <row r="21" spans="1:3" x14ac:dyDescent="0.25">
      <c r="A21" s="2707">
        <v>15130</v>
      </c>
      <c r="B21" s="2708" t="s">
        <v>2361</v>
      </c>
      <c r="C21" s="2706">
        <v>0</v>
      </c>
    </row>
    <row r="22" spans="1:3" x14ac:dyDescent="0.25">
      <c r="A22" s="2707">
        <v>15210</v>
      </c>
      <c r="B22" s="2708" t="s">
        <v>2360</v>
      </c>
      <c r="C22" s="2706">
        <v>2241.3125</v>
      </c>
    </row>
    <row r="23" spans="1:3" x14ac:dyDescent="0.25">
      <c r="A23" s="2707">
        <v>15220</v>
      </c>
      <c r="B23" s="2708" t="s">
        <v>2359</v>
      </c>
      <c r="C23" s="2706">
        <v>0</v>
      </c>
    </row>
    <row r="24" spans="1:3" x14ac:dyDescent="0.25">
      <c r="A24" s="2707">
        <v>15230</v>
      </c>
      <c r="B24" s="2708" t="s">
        <v>2358</v>
      </c>
      <c r="C24" s="2706">
        <v>0</v>
      </c>
    </row>
    <row r="25" spans="1:3" x14ac:dyDescent="0.25">
      <c r="A25" s="2707">
        <v>15810</v>
      </c>
      <c r="B25" s="2708" t="s">
        <v>2357</v>
      </c>
      <c r="C25" s="2706">
        <v>758.5</v>
      </c>
    </row>
    <row r="26" spans="1:3" x14ac:dyDescent="0.25">
      <c r="A26" s="2707">
        <v>15820</v>
      </c>
      <c r="B26" s="2708" t="s">
        <v>2356</v>
      </c>
      <c r="C26" s="2706">
        <v>0</v>
      </c>
    </row>
    <row r="27" spans="1:3" x14ac:dyDescent="0.25">
      <c r="A27" s="2707">
        <v>15830</v>
      </c>
      <c r="B27" s="2708" t="s">
        <v>2355</v>
      </c>
      <c r="C27" s="2706">
        <v>0</v>
      </c>
    </row>
    <row r="28" spans="1:3" x14ac:dyDescent="0.25">
      <c r="A28" s="2707">
        <v>15880</v>
      </c>
      <c r="B28" s="2708" t="s">
        <v>2354</v>
      </c>
      <c r="C28" s="2706">
        <v>32</v>
      </c>
    </row>
    <row r="29" spans="1:3" x14ac:dyDescent="0.25">
      <c r="A29" s="2707">
        <v>16110</v>
      </c>
      <c r="B29" s="2708" t="s">
        <v>2353</v>
      </c>
      <c r="C29" s="2706">
        <v>473.125</v>
      </c>
    </row>
    <row r="30" spans="1:3" x14ac:dyDescent="0.25">
      <c r="A30" s="2707">
        <v>16120</v>
      </c>
      <c r="B30" s="2708" t="s">
        <v>2352</v>
      </c>
      <c r="C30" s="2706">
        <v>6.25E-2</v>
      </c>
    </row>
    <row r="31" spans="1:3" x14ac:dyDescent="0.25">
      <c r="A31" s="2707">
        <v>16130</v>
      </c>
      <c r="B31" s="2708" t="s">
        <v>2351</v>
      </c>
      <c r="C31" s="2706">
        <v>0</v>
      </c>
    </row>
    <row r="32" spans="1:3" x14ac:dyDescent="0.25">
      <c r="A32" s="2707">
        <v>16210</v>
      </c>
      <c r="B32" s="2708" t="s">
        <v>2350</v>
      </c>
      <c r="C32" s="2706">
        <v>1364.1875</v>
      </c>
    </row>
    <row r="33" spans="1:3" x14ac:dyDescent="0.25">
      <c r="A33" s="2707">
        <v>16220</v>
      </c>
      <c r="B33" s="2708" t="s">
        <v>2349</v>
      </c>
      <c r="C33" s="2706">
        <v>6.25E-2</v>
      </c>
    </row>
    <row r="34" spans="1:3" x14ac:dyDescent="0.25">
      <c r="A34" s="2707">
        <v>16230</v>
      </c>
      <c r="B34" s="2708" t="s">
        <v>2348</v>
      </c>
      <c r="C34" s="2706">
        <v>0</v>
      </c>
    </row>
    <row r="35" spans="1:3" x14ac:dyDescent="0.25">
      <c r="A35" s="2707">
        <v>16810</v>
      </c>
      <c r="B35" s="2708" t="s">
        <v>2347</v>
      </c>
      <c r="C35" s="2706">
        <v>774.6875</v>
      </c>
    </row>
    <row r="36" spans="1:3" x14ac:dyDescent="0.25">
      <c r="A36" s="2707">
        <v>16820</v>
      </c>
      <c r="B36" s="2708" t="s">
        <v>2346</v>
      </c>
      <c r="C36" s="2706">
        <v>0.125</v>
      </c>
    </row>
    <row r="37" spans="1:3" x14ac:dyDescent="0.25">
      <c r="A37" s="2707">
        <v>16830</v>
      </c>
      <c r="B37" s="2708" t="s">
        <v>2345</v>
      </c>
      <c r="C37" s="2706">
        <v>0</v>
      </c>
    </row>
    <row r="38" spans="1:3" ht="15.75" customHeight="1" x14ac:dyDescent="0.25">
      <c r="A38" s="2707">
        <v>16880</v>
      </c>
      <c r="B38" s="2708" t="s">
        <v>2344</v>
      </c>
      <c r="C38" s="2706">
        <v>169.25</v>
      </c>
    </row>
    <row r="39" spans="1:3" x14ac:dyDescent="0.25">
      <c r="A39" s="2707">
        <v>1710</v>
      </c>
      <c r="B39" s="2708" t="s">
        <v>2343</v>
      </c>
      <c r="C39" s="2706">
        <v>3.25</v>
      </c>
    </row>
    <row r="40" spans="1:3" x14ac:dyDescent="0.25">
      <c r="A40" s="2707">
        <v>1720</v>
      </c>
      <c r="B40" s="2708" t="s">
        <v>2342</v>
      </c>
      <c r="C40" s="2706">
        <v>0</v>
      </c>
    </row>
    <row r="41" spans="1:3" x14ac:dyDescent="0.25">
      <c r="A41" s="2707">
        <v>1730</v>
      </c>
      <c r="B41" s="2708" t="s">
        <v>2341</v>
      </c>
      <c r="C41" s="2706">
        <v>0</v>
      </c>
    </row>
    <row r="42" spans="1:3" x14ac:dyDescent="0.25">
      <c r="A42" s="2707">
        <v>1780</v>
      </c>
      <c r="B42" s="2708" t="s">
        <v>2340</v>
      </c>
      <c r="C42" s="2706">
        <v>38.25</v>
      </c>
    </row>
    <row r="43" spans="1:3" x14ac:dyDescent="0.25">
      <c r="A43" s="2707">
        <v>1810</v>
      </c>
      <c r="B43" s="2708" t="s">
        <v>2339</v>
      </c>
      <c r="C43" s="2706">
        <v>0</v>
      </c>
    </row>
    <row r="44" spans="1:3" x14ac:dyDescent="0.25">
      <c r="A44" s="2707">
        <v>1820</v>
      </c>
      <c r="B44" s="2708" t="s">
        <v>2339</v>
      </c>
      <c r="C44" s="2706">
        <v>0</v>
      </c>
    </row>
    <row r="45" spans="1:3" x14ac:dyDescent="0.25">
      <c r="A45" s="2707">
        <v>1830</v>
      </c>
      <c r="B45" s="2708" t="s">
        <v>2339</v>
      </c>
      <c r="C45" s="2706">
        <v>198.875</v>
      </c>
    </row>
    <row r="46" spans="1:3" x14ac:dyDescent="0.25">
      <c r="A46" s="2707">
        <v>1880</v>
      </c>
      <c r="B46" s="2708" t="s">
        <v>2339</v>
      </c>
      <c r="C46" s="2706">
        <v>6.25E-2</v>
      </c>
    </row>
    <row r="47" spans="1:3" x14ac:dyDescent="0.25">
      <c r="A47" s="2707">
        <v>1910</v>
      </c>
      <c r="B47" s="2706" t="s">
        <v>2339</v>
      </c>
      <c r="C47" s="2706">
        <v>0</v>
      </c>
    </row>
    <row r="48" spans="1:3" x14ac:dyDescent="0.25">
      <c r="A48" s="2707">
        <v>1920</v>
      </c>
      <c r="B48" s="2706" t="s">
        <v>2339</v>
      </c>
      <c r="C48" s="2706">
        <v>126.6875</v>
      </c>
    </row>
    <row r="49" spans="1:3" x14ac:dyDescent="0.25">
      <c r="A49" s="2707">
        <v>1930</v>
      </c>
      <c r="B49" s="2706" t="s">
        <v>2339</v>
      </c>
      <c r="C49" s="2706">
        <v>0</v>
      </c>
    </row>
    <row r="50" spans="1:3" x14ac:dyDescent="0.25">
      <c r="A50" s="2707">
        <v>1980</v>
      </c>
      <c r="B50" s="2706" t="s">
        <v>2339</v>
      </c>
      <c r="C50" s="2706">
        <v>0</v>
      </c>
    </row>
    <row r="51" spans="1:3" x14ac:dyDescent="0.25">
      <c r="A51" s="2707">
        <v>2010</v>
      </c>
      <c r="B51" s="2706" t="s">
        <v>2339</v>
      </c>
      <c r="C51" s="2706">
        <v>0</v>
      </c>
    </row>
    <row r="52" spans="1:3" x14ac:dyDescent="0.25">
      <c r="A52" s="2707">
        <v>2020</v>
      </c>
      <c r="B52" s="2706" t="s">
        <v>2339</v>
      </c>
      <c r="C52" s="2706">
        <v>0.1875</v>
      </c>
    </row>
    <row r="53" spans="1:3" x14ac:dyDescent="0.25">
      <c r="A53" s="2707">
        <v>2030</v>
      </c>
      <c r="B53" s="2706" t="s">
        <v>2339</v>
      </c>
      <c r="C53" s="2706">
        <v>0</v>
      </c>
    </row>
    <row r="54" spans="1:3" x14ac:dyDescent="0.25">
      <c r="A54" s="2707">
        <v>2080</v>
      </c>
      <c r="B54" s="2706" t="s">
        <v>2339</v>
      </c>
      <c r="C54" s="2706">
        <v>0</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824E5-83DE-4E8A-B7D7-007E68377FFA}">
  <sheetPr codeName="Ark108">
    <tabColor rgb="FFFF0000"/>
  </sheetPr>
  <dimension ref="A1:C35"/>
  <sheetViews>
    <sheetView workbookViewId="0">
      <selection activeCell="F14" sqref="F14"/>
    </sheetView>
  </sheetViews>
  <sheetFormatPr defaultColWidth="8.85546875" defaultRowHeight="15" x14ac:dyDescent="0.25"/>
  <cols>
    <col min="1" max="1" width="15.28515625" style="1143" customWidth="1"/>
    <col min="2" max="2" width="45.140625" style="992" customWidth="1"/>
    <col min="3" max="3" width="13.42578125" style="992" customWidth="1"/>
    <col min="4" max="16384" width="8.85546875" style="992"/>
  </cols>
  <sheetData>
    <row r="1" spans="1:3" x14ac:dyDescent="0.25">
      <c r="A1" s="4097" t="str">
        <f>C2</f>
        <v>Læsø</v>
      </c>
      <c r="B1" s="2706"/>
      <c r="C1" s="2706"/>
    </row>
    <row r="2" spans="1:3" x14ac:dyDescent="0.25">
      <c r="A2" s="2707" t="s">
        <v>2415</v>
      </c>
      <c r="B2" s="2706" t="s">
        <v>2380</v>
      </c>
      <c r="C2" t="s">
        <v>5385</v>
      </c>
    </row>
    <row r="3" spans="1:3" x14ac:dyDescent="0.25">
      <c r="A3" s="2707">
        <v>0</v>
      </c>
      <c r="B3" s="2706" t="s">
        <v>2414</v>
      </c>
      <c r="C3">
        <v>0</v>
      </c>
    </row>
    <row r="4" spans="1:3" x14ac:dyDescent="0.25">
      <c r="A4" s="2707">
        <v>1312010</v>
      </c>
      <c r="B4" s="2706" t="s">
        <v>2413</v>
      </c>
      <c r="C4">
        <v>0</v>
      </c>
    </row>
    <row r="5" spans="1:3" x14ac:dyDescent="0.25">
      <c r="A5" s="2707">
        <v>1312020</v>
      </c>
      <c r="B5" s="2706" t="s">
        <v>2412</v>
      </c>
      <c r="C5">
        <v>0</v>
      </c>
    </row>
    <row r="6" spans="1:3" x14ac:dyDescent="0.25">
      <c r="A6" s="2707">
        <v>1312030</v>
      </c>
      <c r="B6" s="2706" t="s">
        <v>2411</v>
      </c>
      <c r="C6">
        <v>0</v>
      </c>
    </row>
    <row r="7" spans="1:3" x14ac:dyDescent="0.25">
      <c r="A7" s="2707">
        <v>1312080</v>
      </c>
      <c r="B7" s="2706" t="s">
        <v>2410</v>
      </c>
      <c r="C7">
        <v>0</v>
      </c>
    </row>
    <row r="8" spans="1:3" x14ac:dyDescent="0.25">
      <c r="A8" s="2707">
        <v>1317010</v>
      </c>
      <c r="B8" s="2706" t="s">
        <v>2409</v>
      </c>
      <c r="C8">
        <v>7.875</v>
      </c>
    </row>
    <row r="9" spans="1:3" x14ac:dyDescent="0.25">
      <c r="A9" s="2707">
        <v>1317020</v>
      </c>
      <c r="B9" s="2706" t="s">
        <v>2408</v>
      </c>
      <c r="C9">
        <v>0</v>
      </c>
    </row>
    <row r="10" spans="1:3" x14ac:dyDescent="0.25">
      <c r="A10" s="2707">
        <v>1317030</v>
      </c>
      <c r="B10" s="2706" t="s">
        <v>2407</v>
      </c>
      <c r="C10">
        <v>0</v>
      </c>
    </row>
    <row r="11" spans="1:3" x14ac:dyDescent="0.25">
      <c r="A11" s="2707">
        <v>1317080</v>
      </c>
      <c r="B11" s="2706" t="s">
        <v>2406</v>
      </c>
      <c r="C11">
        <v>0</v>
      </c>
    </row>
    <row r="12" spans="1:3" x14ac:dyDescent="0.25">
      <c r="A12" s="2707">
        <v>1412010</v>
      </c>
      <c r="B12" s="2706" t="s">
        <v>2405</v>
      </c>
      <c r="C12">
        <v>0</v>
      </c>
    </row>
    <row r="13" spans="1:3" x14ac:dyDescent="0.25">
      <c r="A13" s="2707">
        <v>1412020</v>
      </c>
      <c r="B13" s="2706" t="s">
        <v>2404</v>
      </c>
      <c r="C13">
        <v>0</v>
      </c>
    </row>
    <row r="14" spans="1:3" x14ac:dyDescent="0.25">
      <c r="A14" s="2707">
        <v>1412030</v>
      </c>
      <c r="B14" s="2706" t="s">
        <v>2403</v>
      </c>
      <c r="C14">
        <v>0</v>
      </c>
    </row>
    <row r="15" spans="1:3" x14ac:dyDescent="0.25">
      <c r="A15" s="2707">
        <v>1412080</v>
      </c>
      <c r="B15" s="2706" t="s">
        <v>2402</v>
      </c>
      <c r="C15">
        <v>0</v>
      </c>
    </row>
    <row r="16" spans="1:3" x14ac:dyDescent="0.25">
      <c r="A16" s="2707">
        <v>1417010</v>
      </c>
      <c r="B16" s="2706" t="s">
        <v>2401</v>
      </c>
      <c r="C16">
        <v>0</v>
      </c>
    </row>
    <row r="17" spans="1:3" x14ac:dyDescent="0.25">
      <c r="A17" s="2707">
        <v>1417020</v>
      </c>
      <c r="B17" s="2706" t="s">
        <v>2400</v>
      </c>
      <c r="C17">
        <v>0</v>
      </c>
    </row>
    <row r="18" spans="1:3" x14ac:dyDescent="0.25">
      <c r="A18" s="2707">
        <v>1417030</v>
      </c>
      <c r="B18" s="2706" t="s">
        <v>2399</v>
      </c>
      <c r="C18">
        <v>0</v>
      </c>
    </row>
    <row r="19" spans="1:3" x14ac:dyDescent="0.25">
      <c r="A19" s="2707">
        <v>1417080</v>
      </c>
      <c r="B19" s="2706" t="s">
        <v>2398</v>
      </c>
      <c r="C19">
        <v>0</v>
      </c>
    </row>
    <row r="20" spans="1:3" x14ac:dyDescent="0.25">
      <c r="A20" s="2707">
        <v>1512010</v>
      </c>
      <c r="B20" s="2706" t="s">
        <v>2397</v>
      </c>
      <c r="C20">
        <v>0.4375</v>
      </c>
    </row>
    <row r="21" spans="1:3" x14ac:dyDescent="0.25">
      <c r="A21" s="2707">
        <v>1512020</v>
      </c>
      <c r="B21" s="2706" t="s">
        <v>2396</v>
      </c>
      <c r="C21">
        <v>0</v>
      </c>
    </row>
    <row r="22" spans="1:3" x14ac:dyDescent="0.25">
      <c r="A22" s="2707">
        <v>1512030</v>
      </c>
      <c r="B22" s="2706" t="s">
        <v>2395</v>
      </c>
      <c r="C22">
        <v>0</v>
      </c>
    </row>
    <row r="23" spans="1:3" x14ac:dyDescent="0.25">
      <c r="A23" s="2707">
        <v>1512080</v>
      </c>
      <c r="B23" s="2706" t="s">
        <v>2394</v>
      </c>
      <c r="C23">
        <v>0</v>
      </c>
    </row>
    <row r="24" spans="1:3" x14ac:dyDescent="0.25">
      <c r="A24" s="2707">
        <v>1517010</v>
      </c>
      <c r="B24" s="2706" t="s">
        <v>2393</v>
      </c>
      <c r="C24">
        <v>0.8125</v>
      </c>
    </row>
    <row r="25" spans="1:3" x14ac:dyDescent="0.25">
      <c r="A25" s="2707">
        <v>1517020</v>
      </c>
      <c r="B25" s="2706" t="s">
        <v>2392</v>
      </c>
      <c r="C25">
        <v>0</v>
      </c>
    </row>
    <row r="26" spans="1:3" x14ac:dyDescent="0.25">
      <c r="A26" s="2707">
        <v>1517030</v>
      </c>
      <c r="B26" s="2706" t="s">
        <v>2391</v>
      </c>
      <c r="C26">
        <v>0</v>
      </c>
    </row>
    <row r="27" spans="1:3" x14ac:dyDescent="0.25">
      <c r="A27" s="2707">
        <v>1517080</v>
      </c>
      <c r="B27" s="2706" t="s">
        <v>2390</v>
      </c>
      <c r="C27">
        <v>6.25E-2</v>
      </c>
    </row>
    <row r="28" spans="1:3" x14ac:dyDescent="0.25">
      <c r="A28" s="2707">
        <v>1612010</v>
      </c>
      <c r="B28" s="2706" t="s">
        <v>2389</v>
      </c>
      <c r="C28">
        <v>6.25E-2</v>
      </c>
    </row>
    <row r="29" spans="1:3" x14ac:dyDescent="0.25">
      <c r="A29" s="2707">
        <v>1612020</v>
      </c>
      <c r="B29" s="2706" t="s">
        <v>2388</v>
      </c>
      <c r="C29">
        <v>0</v>
      </c>
    </row>
    <row r="30" spans="1:3" x14ac:dyDescent="0.25">
      <c r="A30" s="2707">
        <v>1612030</v>
      </c>
      <c r="B30" s="2706" t="s">
        <v>2387</v>
      </c>
      <c r="C30">
        <v>0</v>
      </c>
    </row>
    <row r="31" spans="1:3" x14ac:dyDescent="0.25">
      <c r="A31" s="2707">
        <v>1612080</v>
      </c>
      <c r="B31" s="2706" t="s">
        <v>2386</v>
      </c>
      <c r="C31">
        <v>0</v>
      </c>
    </row>
    <row r="32" spans="1:3" x14ac:dyDescent="0.25">
      <c r="A32" s="2707">
        <v>1617010</v>
      </c>
      <c r="B32" s="2706" t="s">
        <v>2385</v>
      </c>
      <c r="C32">
        <v>9.8125</v>
      </c>
    </row>
    <row r="33" spans="1:3" x14ac:dyDescent="0.25">
      <c r="A33" s="2707">
        <v>1617020</v>
      </c>
      <c r="B33" s="2706" t="s">
        <v>2384</v>
      </c>
      <c r="C33">
        <v>0</v>
      </c>
    </row>
    <row r="34" spans="1:3" x14ac:dyDescent="0.25">
      <c r="A34" s="2707">
        <v>1617030</v>
      </c>
      <c r="B34" s="2706" t="s">
        <v>2383</v>
      </c>
      <c r="C34">
        <v>0</v>
      </c>
    </row>
    <row r="35" spans="1:3" x14ac:dyDescent="0.25">
      <c r="A35" s="2707">
        <v>1617080</v>
      </c>
      <c r="B35" s="2706" t="s">
        <v>2382</v>
      </c>
      <c r="C35">
        <v>1.3125</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3512A-1D5F-46D7-A13A-8668CD329BFD}">
  <sheetPr codeName="Ark111">
    <tabColor rgb="FFFF0000"/>
  </sheetPr>
  <dimension ref="B1:I103"/>
  <sheetViews>
    <sheetView zoomScale="130" zoomScaleNormal="130" workbookViewId="0">
      <selection activeCell="B3" sqref="B3:F8"/>
    </sheetView>
  </sheetViews>
  <sheetFormatPr defaultColWidth="9.140625" defaultRowHeight="15" x14ac:dyDescent="0.25"/>
  <cols>
    <col min="1" max="1" width="17.42578125" style="632" customWidth="1"/>
    <col min="2" max="2" width="21.7109375" style="632" customWidth="1"/>
    <col min="3" max="3" width="22.5703125" style="632" customWidth="1"/>
    <col min="4" max="4" width="15.85546875" style="632" customWidth="1"/>
    <col min="5" max="7" width="9.140625" style="632"/>
    <col min="8" max="8" width="11.42578125" style="632" customWidth="1"/>
    <col min="9" max="9" width="10.5703125" style="632" customWidth="1"/>
    <col min="10" max="16384" width="9.140625" style="632"/>
  </cols>
  <sheetData>
    <row r="1" spans="2:9" ht="15" customHeight="1" x14ac:dyDescent="0.25">
      <c r="H1" s="949"/>
      <c r="I1" s="949"/>
    </row>
    <row r="2" spans="2:9" x14ac:dyDescent="0.25">
      <c r="B2" s="950" t="s">
        <v>2098</v>
      </c>
      <c r="H2" s="949"/>
      <c r="I2" s="949"/>
    </row>
    <row r="3" spans="2:9" x14ac:dyDescent="0.25">
      <c r="B3" s="4196" t="s">
        <v>5386</v>
      </c>
      <c r="C3" s="5415" t="s">
        <v>2097</v>
      </c>
      <c r="D3" s="5415"/>
      <c r="E3" s="5415"/>
      <c r="F3" s="5415"/>
      <c r="H3" s="949"/>
      <c r="I3" s="949"/>
    </row>
    <row r="4" spans="2:9" x14ac:dyDescent="0.25">
      <c r="B4" s="4196" t="s">
        <v>2096</v>
      </c>
      <c r="C4" s="4196" t="s">
        <v>2095</v>
      </c>
      <c r="D4" s="4196" t="s">
        <v>2094</v>
      </c>
      <c r="E4" s="4196" t="s">
        <v>2093</v>
      </c>
      <c r="F4" s="4196" t="s">
        <v>2092</v>
      </c>
      <c r="H4" s="949"/>
      <c r="I4" s="949"/>
    </row>
    <row r="5" spans="2:9" x14ac:dyDescent="0.25">
      <c r="B5" t="s">
        <v>2091</v>
      </c>
      <c r="C5">
        <v>154.71</v>
      </c>
      <c r="D5">
        <v>0</v>
      </c>
      <c r="E5">
        <v>0</v>
      </c>
      <c r="F5">
        <v>0</v>
      </c>
      <c r="H5" s="949"/>
      <c r="I5" s="949"/>
    </row>
    <row r="6" spans="2:9" x14ac:dyDescent="0.25">
      <c r="B6" t="s">
        <v>1377</v>
      </c>
      <c r="C6">
        <v>2244.6925000000001</v>
      </c>
      <c r="D6">
        <v>0</v>
      </c>
      <c r="E6">
        <v>0</v>
      </c>
      <c r="F6">
        <v>3.2124999999999999</v>
      </c>
      <c r="H6" s="949"/>
      <c r="I6" s="949"/>
    </row>
    <row r="7" spans="2:9" ht="15" customHeight="1" x14ac:dyDescent="0.25">
      <c r="B7" t="s">
        <v>1399</v>
      </c>
      <c r="C7">
        <v>2874.7249999999999</v>
      </c>
      <c r="D7">
        <v>0.2475</v>
      </c>
      <c r="E7">
        <v>0</v>
      </c>
      <c r="F7">
        <v>181.43</v>
      </c>
      <c r="H7" s="949"/>
      <c r="I7" s="949"/>
    </row>
    <row r="8" spans="2:9" x14ac:dyDescent="0.25">
      <c r="B8" t="s">
        <v>2090</v>
      </c>
      <c r="C8">
        <v>26.607500000000002</v>
      </c>
      <c r="D8">
        <v>0</v>
      </c>
      <c r="E8">
        <v>0</v>
      </c>
      <c r="F8">
        <v>0</v>
      </c>
      <c r="H8" s="949"/>
      <c r="I8" s="949"/>
    </row>
    <row r="9" spans="2:9" x14ac:dyDescent="0.25">
      <c r="H9" s="949"/>
      <c r="I9" s="949"/>
    </row>
    <row r="10" spans="2:9" x14ac:dyDescent="0.25">
      <c r="H10" s="949"/>
      <c r="I10" s="949"/>
    </row>
    <row r="11" spans="2:9" x14ac:dyDescent="0.25">
      <c r="H11" s="949"/>
      <c r="I11" s="949"/>
    </row>
    <row r="12" spans="2:9" x14ac:dyDescent="0.25">
      <c r="H12" s="949"/>
      <c r="I12" s="949"/>
    </row>
    <row r="13" spans="2:9" ht="15" customHeight="1" x14ac:dyDescent="0.25">
      <c r="H13" s="949"/>
      <c r="I13" s="949"/>
    </row>
    <row r="14" spans="2:9" x14ac:dyDescent="0.25">
      <c r="H14" s="949"/>
      <c r="I14" s="949"/>
    </row>
    <row r="15" spans="2:9" x14ac:dyDescent="0.25">
      <c r="H15" s="949"/>
      <c r="I15" s="949"/>
    </row>
    <row r="16" spans="2:9" x14ac:dyDescent="0.25">
      <c r="H16" s="949"/>
      <c r="I16" s="949"/>
    </row>
    <row r="17" spans="8:9" x14ac:dyDescent="0.25">
      <c r="H17" s="949"/>
      <c r="I17" s="949"/>
    </row>
    <row r="18" spans="8:9" x14ac:dyDescent="0.25">
      <c r="H18" s="949"/>
      <c r="I18" s="949"/>
    </row>
    <row r="19" spans="8:9" ht="15.95" customHeight="1" x14ac:dyDescent="0.25">
      <c r="H19" s="949"/>
      <c r="I19" s="949"/>
    </row>
    <row r="20" spans="8:9" x14ac:dyDescent="0.25">
      <c r="H20" s="949"/>
      <c r="I20" s="949"/>
    </row>
    <row r="21" spans="8:9" x14ac:dyDescent="0.25">
      <c r="H21" s="949"/>
      <c r="I21" s="949"/>
    </row>
    <row r="22" spans="8:9" x14ac:dyDescent="0.25">
      <c r="H22" s="949"/>
      <c r="I22" s="949"/>
    </row>
    <row r="23" spans="8:9" x14ac:dyDescent="0.25">
      <c r="H23" s="949"/>
      <c r="I23" s="949"/>
    </row>
    <row r="24" spans="8:9" x14ac:dyDescent="0.25">
      <c r="H24" s="949"/>
      <c r="I24" s="949"/>
    </row>
    <row r="25" spans="8:9" ht="15" customHeight="1" x14ac:dyDescent="0.25">
      <c r="H25" s="949"/>
      <c r="I25" s="949"/>
    </row>
    <row r="26" spans="8:9" x14ac:dyDescent="0.25">
      <c r="H26" s="949"/>
      <c r="I26" s="949"/>
    </row>
    <row r="27" spans="8:9" x14ac:dyDescent="0.25">
      <c r="H27" s="949"/>
      <c r="I27" s="949"/>
    </row>
    <row r="28" spans="8:9" x14ac:dyDescent="0.25">
      <c r="H28" s="949"/>
      <c r="I28" s="949"/>
    </row>
    <row r="29" spans="8:9" x14ac:dyDescent="0.25">
      <c r="H29" s="949"/>
      <c r="I29" s="949"/>
    </row>
    <row r="30" spans="8:9" x14ac:dyDescent="0.25">
      <c r="H30" s="949"/>
      <c r="I30" s="949"/>
    </row>
    <row r="31" spans="8:9" ht="15" customHeight="1" x14ac:dyDescent="0.25">
      <c r="H31" s="949"/>
      <c r="I31" s="949"/>
    </row>
    <row r="32" spans="8:9" x14ac:dyDescent="0.25">
      <c r="H32" s="949"/>
      <c r="I32" s="949"/>
    </row>
    <row r="33" spans="8:9" x14ac:dyDescent="0.25">
      <c r="H33" s="949"/>
      <c r="I33" s="949"/>
    </row>
    <row r="34" spans="8:9" x14ac:dyDescent="0.25">
      <c r="H34" s="949"/>
      <c r="I34" s="949"/>
    </row>
    <row r="35" spans="8:9" x14ac:dyDescent="0.25">
      <c r="H35" s="949"/>
      <c r="I35" s="949"/>
    </row>
    <row r="36" spans="8:9" x14ac:dyDescent="0.25">
      <c r="H36" s="949"/>
      <c r="I36" s="949"/>
    </row>
    <row r="37" spans="8:9" ht="15" customHeight="1" x14ac:dyDescent="0.25">
      <c r="H37" s="949"/>
      <c r="I37" s="949"/>
    </row>
    <row r="38" spans="8:9" x14ac:dyDescent="0.25">
      <c r="H38" s="949"/>
      <c r="I38" s="949"/>
    </row>
    <row r="39" spans="8:9" x14ac:dyDescent="0.25">
      <c r="H39" s="949"/>
      <c r="I39" s="949"/>
    </row>
    <row r="40" spans="8:9" x14ac:dyDescent="0.25">
      <c r="H40" s="949"/>
      <c r="I40" s="949"/>
    </row>
    <row r="41" spans="8:9" x14ac:dyDescent="0.25">
      <c r="H41" s="949"/>
      <c r="I41" s="949"/>
    </row>
    <row r="42" spans="8:9" x14ac:dyDescent="0.25">
      <c r="H42" s="949"/>
      <c r="I42" s="949"/>
    </row>
    <row r="43" spans="8:9" ht="15" customHeight="1" x14ac:dyDescent="0.25">
      <c r="H43" s="949"/>
      <c r="I43" s="949"/>
    </row>
    <row r="44" spans="8:9" x14ac:dyDescent="0.25">
      <c r="H44" s="949"/>
      <c r="I44" s="949"/>
    </row>
    <row r="45" spans="8:9" x14ac:dyDescent="0.25">
      <c r="H45" s="949"/>
      <c r="I45" s="949"/>
    </row>
    <row r="46" spans="8:9" x14ac:dyDescent="0.25">
      <c r="H46" s="949"/>
      <c r="I46" s="949"/>
    </row>
    <row r="47" spans="8:9" x14ac:dyDescent="0.25">
      <c r="H47" s="949"/>
      <c r="I47" s="949"/>
    </row>
    <row r="48" spans="8:9" x14ac:dyDescent="0.25">
      <c r="H48" s="949"/>
      <c r="I48" s="949"/>
    </row>
    <row r="49" spans="8:9" ht="15" customHeight="1" x14ac:dyDescent="0.25">
      <c r="H49" s="949"/>
      <c r="I49" s="949"/>
    </row>
    <row r="50" spans="8:9" x14ac:dyDescent="0.25">
      <c r="H50" s="949"/>
      <c r="I50" s="949"/>
    </row>
    <row r="51" spans="8:9" x14ac:dyDescent="0.25">
      <c r="H51" s="949"/>
      <c r="I51" s="949"/>
    </row>
    <row r="52" spans="8:9" x14ac:dyDescent="0.25">
      <c r="H52" s="949"/>
      <c r="I52" s="949"/>
    </row>
    <row r="53" spans="8:9" x14ac:dyDescent="0.25">
      <c r="H53" s="949"/>
      <c r="I53" s="949"/>
    </row>
    <row r="54" spans="8:9" x14ac:dyDescent="0.25">
      <c r="H54" s="949"/>
      <c r="I54" s="949"/>
    </row>
    <row r="55" spans="8:9" ht="15" customHeight="1" x14ac:dyDescent="0.25">
      <c r="H55" s="949"/>
      <c r="I55" s="949"/>
    </row>
    <row r="56" spans="8:9" x14ac:dyDescent="0.25">
      <c r="H56" s="949"/>
      <c r="I56" s="949"/>
    </row>
    <row r="57" spans="8:9" x14ac:dyDescent="0.25">
      <c r="H57" s="949"/>
      <c r="I57" s="949"/>
    </row>
    <row r="58" spans="8:9" x14ac:dyDescent="0.25">
      <c r="H58" s="949"/>
      <c r="I58" s="949"/>
    </row>
    <row r="59" spans="8:9" x14ac:dyDescent="0.25">
      <c r="H59" s="949"/>
      <c r="I59" s="949"/>
    </row>
    <row r="60" spans="8:9" x14ac:dyDescent="0.25">
      <c r="H60" s="949"/>
      <c r="I60" s="949"/>
    </row>
    <row r="61" spans="8:9" ht="15" customHeight="1" x14ac:dyDescent="0.25">
      <c r="H61" s="949"/>
      <c r="I61" s="949"/>
    </row>
    <row r="62" spans="8:9" x14ac:dyDescent="0.25">
      <c r="H62" s="949"/>
      <c r="I62" s="949"/>
    </row>
    <row r="63" spans="8:9" x14ac:dyDescent="0.25">
      <c r="H63" s="949"/>
      <c r="I63" s="949"/>
    </row>
    <row r="64" spans="8:9" x14ac:dyDescent="0.25">
      <c r="H64" s="949"/>
      <c r="I64" s="949"/>
    </row>
    <row r="65" spans="8:9" x14ac:dyDescent="0.25">
      <c r="H65" s="949"/>
      <c r="I65" s="949"/>
    </row>
    <row r="66" spans="8:9" x14ac:dyDescent="0.25">
      <c r="H66" s="949"/>
      <c r="I66" s="949"/>
    </row>
    <row r="67" spans="8:9" ht="15" customHeight="1" x14ac:dyDescent="0.25">
      <c r="H67" s="949"/>
      <c r="I67" s="949"/>
    </row>
    <row r="68" spans="8:9" x14ac:dyDescent="0.25">
      <c r="H68" s="949"/>
      <c r="I68" s="949"/>
    </row>
    <row r="69" spans="8:9" x14ac:dyDescent="0.25">
      <c r="H69" s="949"/>
      <c r="I69" s="949"/>
    </row>
    <row r="70" spans="8:9" x14ac:dyDescent="0.25">
      <c r="H70" s="949"/>
      <c r="I70" s="949"/>
    </row>
    <row r="71" spans="8:9" x14ac:dyDescent="0.25">
      <c r="H71" s="949"/>
      <c r="I71" s="949"/>
    </row>
    <row r="72" spans="8:9" x14ac:dyDescent="0.25">
      <c r="H72" s="949"/>
      <c r="I72" s="949"/>
    </row>
    <row r="73" spans="8:9" ht="15" customHeight="1" x14ac:dyDescent="0.25">
      <c r="H73" s="949"/>
      <c r="I73" s="949"/>
    </row>
    <row r="74" spans="8:9" x14ac:dyDescent="0.25">
      <c r="H74" s="949"/>
      <c r="I74" s="949"/>
    </row>
    <row r="75" spans="8:9" x14ac:dyDescent="0.25">
      <c r="H75" s="949"/>
      <c r="I75" s="949"/>
    </row>
    <row r="76" spans="8:9" x14ac:dyDescent="0.25">
      <c r="H76" s="949"/>
      <c r="I76" s="949"/>
    </row>
    <row r="77" spans="8:9" x14ac:dyDescent="0.25">
      <c r="H77" s="949"/>
      <c r="I77" s="949"/>
    </row>
    <row r="78" spans="8:9" x14ac:dyDescent="0.25">
      <c r="H78" s="949"/>
      <c r="I78" s="949"/>
    </row>
    <row r="79" spans="8:9" ht="15" customHeight="1" x14ac:dyDescent="0.25">
      <c r="H79" s="949"/>
      <c r="I79" s="949"/>
    </row>
    <row r="80" spans="8:9" x14ac:dyDescent="0.25">
      <c r="H80" s="949"/>
      <c r="I80" s="949"/>
    </row>
    <row r="81" spans="8:9" x14ac:dyDescent="0.25">
      <c r="H81" s="949"/>
      <c r="I81" s="949"/>
    </row>
    <row r="82" spans="8:9" x14ac:dyDescent="0.25">
      <c r="H82" s="949"/>
      <c r="I82" s="949"/>
    </row>
    <row r="83" spans="8:9" x14ac:dyDescent="0.25">
      <c r="H83" s="949"/>
      <c r="I83" s="949"/>
    </row>
    <row r="84" spans="8:9" x14ac:dyDescent="0.25">
      <c r="H84" s="949"/>
      <c r="I84" s="949"/>
    </row>
    <row r="85" spans="8:9" ht="15" customHeight="1" x14ac:dyDescent="0.25">
      <c r="H85" s="949"/>
      <c r="I85" s="949"/>
    </row>
    <row r="86" spans="8:9" x14ac:dyDescent="0.25">
      <c r="H86" s="949"/>
      <c r="I86" s="949"/>
    </row>
    <row r="87" spans="8:9" x14ac:dyDescent="0.25">
      <c r="H87" s="949"/>
      <c r="I87" s="949"/>
    </row>
    <row r="88" spans="8:9" x14ac:dyDescent="0.25">
      <c r="H88" s="949"/>
      <c r="I88" s="949"/>
    </row>
    <row r="89" spans="8:9" x14ac:dyDescent="0.25">
      <c r="H89" s="949"/>
      <c r="I89" s="949"/>
    </row>
    <row r="90" spans="8:9" x14ac:dyDescent="0.25">
      <c r="H90" s="949"/>
      <c r="I90" s="949"/>
    </row>
    <row r="91" spans="8:9" ht="15" customHeight="1" x14ac:dyDescent="0.25">
      <c r="H91" s="949"/>
      <c r="I91" s="949"/>
    </row>
    <row r="92" spans="8:9" x14ac:dyDescent="0.25">
      <c r="H92" s="949"/>
      <c r="I92" s="949"/>
    </row>
    <row r="93" spans="8:9" x14ac:dyDescent="0.25">
      <c r="H93" s="949"/>
      <c r="I93" s="949"/>
    </row>
    <row r="94" spans="8:9" x14ac:dyDescent="0.25">
      <c r="H94" s="949"/>
      <c r="I94" s="949"/>
    </row>
    <row r="97" ht="15" customHeight="1" x14ac:dyDescent="0.25"/>
    <row r="103" ht="14.45" customHeight="1" x14ac:dyDescent="0.25"/>
  </sheetData>
  <mergeCells count="1">
    <mergeCell ref="C3:F3"/>
  </mergeCell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08E90-8CDD-46A3-B360-BE4D90630D97}">
  <sheetPr codeName="Ark104">
    <tabColor theme="3" tint="0.79998168889431442"/>
  </sheetPr>
  <dimension ref="A1:N13"/>
  <sheetViews>
    <sheetView workbookViewId="0">
      <pane ySplit="3" topLeftCell="A4" activePane="bottomLeft" state="frozen"/>
      <selection pane="bottomLeft" activeCell="P21" sqref="P21"/>
    </sheetView>
  </sheetViews>
  <sheetFormatPr defaultColWidth="8.7109375" defaultRowHeight="15" x14ac:dyDescent="0.25"/>
  <cols>
    <col min="1" max="1" width="19" style="951" customWidth="1"/>
    <col min="2" max="2" width="20.42578125" style="951" customWidth="1"/>
    <col min="3" max="6" width="9" style="951" customWidth="1"/>
    <col min="7" max="16384" width="8.7109375" style="951"/>
  </cols>
  <sheetData>
    <row r="1" spans="1:14" ht="17.25" x14ac:dyDescent="0.3">
      <c r="A1" s="955" t="s">
        <v>2506</v>
      </c>
    </row>
    <row r="2" spans="1:14" x14ac:dyDescent="0.25">
      <c r="A2" s="954" t="s">
        <v>2505</v>
      </c>
    </row>
    <row r="3" spans="1:14" s="1264" customFormat="1" x14ac:dyDescent="0.25">
      <c r="A3" s="951"/>
      <c r="B3" s="951"/>
      <c r="C3" s="953" t="s">
        <v>1585</v>
      </c>
      <c r="D3" s="953" t="s">
        <v>1584</v>
      </c>
      <c r="E3" s="953" t="s">
        <v>1583</v>
      </c>
      <c r="F3" s="953" t="s">
        <v>1582</v>
      </c>
      <c r="G3" s="953" t="s">
        <v>1581</v>
      </c>
      <c r="H3" s="953" t="s">
        <v>1580</v>
      </c>
      <c r="I3" s="953" t="s">
        <v>1579</v>
      </c>
      <c r="J3" s="953" t="s">
        <v>1578</v>
      </c>
      <c r="K3" s="953" t="s">
        <v>1764</v>
      </c>
      <c r="L3" s="953" t="s">
        <v>1763</v>
      </c>
      <c r="M3" s="953" t="s">
        <v>2217</v>
      </c>
      <c r="N3" s="953" t="s">
        <v>2919</v>
      </c>
    </row>
    <row r="4" spans="1:14" x14ac:dyDescent="0.25">
      <c r="A4" s="953" t="s">
        <v>2504</v>
      </c>
      <c r="B4" s="953" t="s">
        <v>2216</v>
      </c>
      <c r="C4" s="952">
        <v>716814</v>
      </c>
      <c r="D4" s="952">
        <v>721041</v>
      </c>
      <c r="E4" s="952">
        <v>725276</v>
      </c>
      <c r="F4" s="952">
        <v>730094</v>
      </c>
      <c r="G4" s="952">
        <v>734401</v>
      </c>
      <c r="H4" s="952">
        <v>738308</v>
      </c>
      <c r="I4" s="952">
        <v>743094</v>
      </c>
      <c r="J4" s="952">
        <v>753874</v>
      </c>
      <c r="K4" s="952">
        <v>755426</v>
      </c>
      <c r="L4" s="952">
        <v>759789</v>
      </c>
      <c r="M4" s="952">
        <v>775565</v>
      </c>
      <c r="N4" s="952">
        <v>781576</v>
      </c>
    </row>
    <row r="5" spans="1:14" x14ac:dyDescent="0.25">
      <c r="B5" s="2284" t="s">
        <v>2918</v>
      </c>
      <c r="C5" s="347">
        <v>97355</v>
      </c>
      <c r="D5" s="347">
        <v>97768</v>
      </c>
      <c r="E5" s="347">
        <v>98379</v>
      </c>
      <c r="F5" s="347">
        <v>98996</v>
      </c>
      <c r="G5" s="347">
        <v>99689</v>
      </c>
      <c r="H5" s="347">
        <v>100351</v>
      </c>
      <c r="I5" s="347">
        <v>100725</v>
      </c>
      <c r="J5" s="347">
        <v>101779</v>
      </c>
      <c r="K5" s="347">
        <v>101948</v>
      </c>
      <c r="L5" s="347">
        <v>102264</v>
      </c>
      <c r="M5" s="347">
        <v>104065</v>
      </c>
      <c r="N5" s="347">
        <v>104646</v>
      </c>
    </row>
    <row r="6" spans="1:14" x14ac:dyDescent="0.25">
      <c r="B6" s="2284" t="s">
        <v>5385</v>
      </c>
      <c r="C6" s="347">
        <v>555</v>
      </c>
      <c r="D6" s="347">
        <v>559</v>
      </c>
      <c r="E6" s="347">
        <v>566</v>
      </c>
      <c r="F6" s="347">
        <v>581</v>
      </c>
      <c r="G6" s="347">
        <v>580</v>
      </c>
      <c r="H6" s="347">
        <v>586</v>
      </c>
      <c r="I6" s="347">
        <v>587</v>
      </c>
      <c r="J6" s="347">
        <v>592</v>
      </c>
      <c r="K6" s="347">
        <v>594</v>
      </c>
      <c r="L6" s="347">
        <v>592</v>
      </c>
      <c r="M6" s="347">
        <v>601</v>
      </c>
      <c r="N6" s="347">
        <v>596</v>
      </c>
    </row>
    <row r="7" spans="1:14" x14ac:dyDescent="0.25">
      <c r="A7" s="953" t="s">
        <v>2503</v>
      </c>
      <c r="B7" s="953" t="s">
        <v>2216</v>
      </c>
      <c r="C7" s="952">
        <v>62630</v>
      </c>
      <c r="D7" s="952">
        <v>63137</v>
      </c>
      <c r="E7" s="952">
        <v>63667</v>
      </c>
      <c r="F7" s="952">
        <v>64165</v>
      </c>
      <c r="G7" s="952">
        <v>64666</v>
      </c>
      <c r="H7" s="952">
        <v>65409</v>
      </c>
      <c r="I7" s="952">
        <v>66074</v>
      </c>
      <c r="J7" s="952">
        <v>63439</v>
      </c>
      <c r="K7" s="952">
        <v>63686</v>
      </c>
      <c r="L7" s="952">
        <v>64044</v>
      </c>
      <c r="M7" s="952">
        <v>64315</v>
      </c>
      <c r="N7" s="952">
        <v>64639</v>
      </c>
    </row>
    <row r="8" spans="1:14" x14ac:dyDescent="0.25">
      <c r="B8" s="2284" t="s">
        <v>2918</v>
      </c>
      <c r="C8" s="347">
        <v>5378</v>
      </c>
      <c r="D8" s="347">
        <v>5416</v>
      </c>
      <c r="E8" s="347">
        <v>5446</v>
      </c>
      <c r="F8" s="347">
        <v>5481</v>
      </c>
      <c r="G8" s="347">
        <v>5518</v>
      </c>
      <c r="H8" s="347">
        <v>5555</v>
      </c>
      <c r="I8" s="347">
        <v>5600</v>
      </c>
      <c r="J8" s="347">
        <v>5416</v>
      </c>
      <c r="K8" s="347">
        <v>5419</v>
      </c>
      <c r="L8" s="347">
        <v>5444</v>
      </c>
      <c r="M8" s="347">
        <v>5453</v>
      </c>
      <c r="N8" s="347">
        <v>5460</v>
      </c>
    </row>
    <row r="9" spans="1:14" x14ac:dyDescent="0.25">
      <c r="B9" s="2284" t="s">
        <v>5385</v>
      </c>
      <c r="C9" s="347">
        <v>12</v>
      </c>
      <c r="D9" s="347">
        <v>12</v>
      </c>
      <c r="E9" s="347">
        <v>12</v>
      </c>
      <c r="F9" s="347">
        <v>12</v>
      </c>
      <c r="G9" s="347">
        <v>12</v>
      </c>
      <c r="H9" s="347">
        <v>12</v>
      </c>
      <c r="I9" s="347">
        <v>12</v>
      </c>
      <c r="J9" s="347">
        <v>12</v>
      </c>
      <c r="K9" s="347">
        <v>12</v>
      </c>
      <c r="L9" s="347">
        <v>12</v>
      </c>
      <c r="M9" s="347">
        <v>12</v>
      </c>
      <c r="N9" s="347">
        <v>12</v>
      </c>
    </row>
    <row r="11" spans="1:14" x14ac:dyDescent="0.25">
      <c r="A11" s="1263" t="s">
        <v>1</v>
      </c>
      <c r="B11" s="1263" t="str">
        <f>B4</f>
        <v>Hele landet</v>
      </c>
      <c r="C11" s="951">
        <f t="shared" ref="C11:N11" si="0">C4+C7</f>
        <v>779444</v>
      </c>
      <c r="D11" s="951">
        <f t="shared" si="0"/>
        <v>784178</v>
      </c>
      <c r="E11" s="951">
        <f t="shared" si="0"/>
        <v>788943</v>
      </c>
      <c r="F11" s="951">
        <f t="shared" si="0"/>
        <v>794259</v>
      </c>
      <c r="G11" s="951">
        <f t="shared" si="0"/>
        <v>799067</v>
      </c>
      <c r="H11" s="951">
        <f t="shared" si="0"/>
        <v>803717</v>
      </c>
      <c r="I11" s="951">
        <f t="shared" si="0"/>
        <v>809168</v>
      </c>
      <c r="J11" s="951">
        <f t="shared" si="0"/>
        <v>817313</v>
      </c>
      <c r="K11" s="951">
        <f t="shared" si="0"/>
        <v>819112</v>
      </c>
      <c r="L11" s="951">
        <f t="shared" si="0"/>
        <v>823833</v>
      </c>
      <c r="M11" s="951">
        <f t="shared" si="0"/>
        <v>839880</v>
      </c>
      <c r="N11" s="951">
        <f t="shared" si="0"/>
        <v>846215</v>
      </c>
    </row>
    <row r="12" spans="1:14" x14ac:dyDescent="0.25">
      <c r="B12" s="1263" t="str">
        <f>B5</f>
        <v>Region Nordjylland</v>
      </c>
      <c r="C12" s="951">
        <f t="shared" ref="C12:N12" si="1">C5+C8</f>
        <v>102733</v>
      </c>
      <c r="D12" s="951">
        <f t="shared" si="1"/>
        <v>103184</v>
      </c>
      <c r="E12" s="951">
        <f t="shared" si="1"/>
        <v>103825</v>
      </c>
      <c r="F12" s="951">
        <f t="shared" si="1"/>
        <v>104477</v>
      </c>
      <c r="G12" s="951">
        <f t="shared" si="1"/>
        <v>105207</v>
      </c>
      <c r="H12" s="951">
        <f t="shared" si="1"/>
        <v>105906</v>
      </c>
      <c r="I12" s="951">
        <f t="shared" si="1"/>
        <v>106325</v>
      </c>
      <c r="J12" s="951">
        <f t="shared" si="1"/>
        <v>107195</v>
      </c>
      <c r="K12" s="951">
        <f t="shared" si="1"/>
        <v>107367</v>
      </c>
      <c r="L12" s="951">
        <f t="shared" si="1"/>
        <v>107708</v>
      </c>
      <c r="M12" s="951">
        <f t="shared" si="1"/>
        <v>109518</v>
      </c>
      <c r="N12" s="951">
        <f t="shared" si="1"/>
        <v>110106</v>
      </c>
    </row>
    <row r="13" spans="1:14" x14ac:dyDescent="0.25">
      <c r="B13" s="1263" t="str">
        <f>B6</f>
        <v>Læsø</v>
      </c>
      <c r="C13" s="951">
        <f t="shared" ref="C13:N13" si="2">C6+C9</f>
        <v>567</v>
      </c>
      <c r="D13" s="951">
        <f t="shared" si="2"/>
        <v>571</v>
      </c>
      <c r="E13" s="951">
        <f t="shared" si="2"/>
        <v>578</v>
      </c>
      <c r="F13" s="951">
        <f t="shared" si="2"/>
        <v>593</v>
      </c>
      <c r="G13" s="951">
        <f t="shared" si="2"/>
        <v>592</v>
      </c>
      <c r="H13" s="951">
        <f t="shared" si="2"/>
        <v>598</v>
      </c>
      <c r="I13" s="951">
        <f t="shared" si="2"/>
        <v>599</v>
      </c>
      <c r="J13" s="951">
        <f t="shared" si="2"/>
        <v>604</v>
      </c>
      <c r="K13" s="951">
        <f t="shared" si="2"/>
        <v>606</v>
      </c>
      <c r="L13" s="951">
        <f>L6+L9</f>
        <v>604</v>
      </c>
      <c r="M13" s="951">
        <f t="shared" si="2"/>
        <v>613</v>
      </c>
      <c r="N13" s="951">
        <f t="shared" si="2"/>
        <v>608</v>
      </c>
    </row>
  </sheetData>
  <phoneticPr fontId="51" type="noConversion"/>
  <pageMargins left="0.75" right="0.75" top="0.75" bottom="0.5" header="0.5" footer="0.75"/>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24578-8971-45A3-92E4-5DF7136D42E0}">
  <sheetPr codeName="Ark105">
    <tabColor theme="3" tint="0.79998168889431442"/>
  </sheetPr>
  <dimension ref="A1:P6"/>
  <sheetViews>
    <sheetView workbookViewId="0">
      <selection activeCell="O12" sqref="O12"/>
    </sheetView>
  </sheetViews>
  <sheetFormatPr defaultColWidth="8.7109375" defaultRowHeight="15" x14ac:dyDescent="0.25"/>
  <cols>
    <col min="1" max="1" width="23.7109375" style="951" customWidth="1"/>
    <col min="2" max="2" width="8" style="951" customWidth="1"/>
    <col min="3" max="13" width="9.140625" style="951" customWidth="1"/>
    <col min="14" max="16384" width="8.7109375" style="951"/>
  </cols>
  <sheetData>
    <row r="1" spans="1:16" ht="17.25" x14ac:dyDescent="0.3">
      <c r="A1" s="955" t="s">
        <v>2522</v>
      </c>
    </row>
    <row r="2" spans="1:16" x14ac:dyDescent="0.25">
      <c r="A2" s="954" t="s">
        <v>2521</v>
      </c>
    </row>
    <row r="3" spans="1:16" x14ac:dyDescent="0.25">
      <c r="B3" s="953" t="s">
        <v>2520</v>
      </c>
      <c r="C3" s="953" t="s">
        <v>2519</v>
      </c>
      <c r="D3" s="953" t="s">
        <v>2518</v>
      </c>
      <c r="E3" s="953" t="s">
        <v>2517</v>
      </c>
      <c r="F3" s="953" t="s">
        <v>2516</v>
      </c>
      <c r="G3" s="953" t="s">
        <v>2515</v>
      </c>
      <c r="H3" s="953" t="s">
        <v>2514</v>
      </c>
      <c r="I3" s="953" t="s">
        <v>2513</v>
      </c>
      <c r="J3" s="953" t="s">
        <v>2512</v>
      </c>
      <c r="K3" s="953" t="s">
        <v>2511</v>
      </c>
      <c r="L3" s="953" t="s">
        <v>2510</v>
      </c>
      <c r="M3" s="953" t="s">
        <v>2509</v>
      </c>
      <c r="N3" s="953" t="s">
        <v>2508</v>
      </c>
      <c r="O3" s="953" t="s">
        <v>2507</v>
      </c>
      <c r="P3" s="953" t="s">
        <v>2920</v>
      </c>
    </row>
    <row r="4" spans="1:16" x14ac:dyDescent="0.25">
      <c r="A4" s="953" t="s">
        <v>2216</v>
      </c>
      <c r="B4" s="952">
        <v>5475791</v>
      </c>
      <c r="C4" s="952">
        <v>5511451</v>
      </c>
      <c r="D4" s="952">
        <v>5534738</v>
      </c>
      <c r="E4" s="952">
        <v>5560628</v>
      </c>
      <c r="F4" s="952">
        <v>5580516</v>
      </c>
      <c r="G4" s="952">
        <v>5602628</v>
      </c>
      <c r="H4" s="952">
        <v>5627235</v>
      </c>
      <c r="I4" s="952">
        <v>5659715</v>
      </c>
      <c r="J4" s="952">
        <v>5707251</v>
      </c>
      <c r="K4" s="952">
        <v>5748769</v>
      </c>
      <c r="L4" s="952">
        <v>5781190</v>
      </c>
      <c r="M4" s="952">
        <v>5806081</v>
      </c>
      <c r="N4" s="952">
        <v>5822763</v>
      </c>
      <c r="O4" s="952">
        <v>5840045</v>
      </c>
      <c r="P4" s="952">
        <v>5873420</v>
      </c>
    </row>
    <row r="5" spans="1:16" x14ac:dyDescent="0.25">
      <c r="A5" s="2284" t="s">
        <v>2918</v>
      </c>
      <c r="B5" s="347">
        <v>578839</v>
      </c>
      <c r="C5" s="347">
        <v>580515</v>
      </c>
      <c r="D5" s="347">
        <v>579628</v>
      </c>
      <c r="E5" s="347">
        <v>579829</v>
      </c>
      <c r="F5" s="347">
        <v>579996</v>
      </c>
      <c r="G5" s="347">
        <v>580272</v>
      </c>
      <c r="H5" s="347">
        <v>581057</v>
      </c>
      <c r="I5" s="347">
        <v>582632</v>
      </c>
      <c r="J5" s="347">
        <v>585499</v>
      </c>
      <c r="K5" s="347">
        <v>587335</v>
      </c>
      <c r="L5" s="347">
        <v>589148</v>
      </c>
      <c r="M5" s="347">
        <v>589755</v>
      </c>
      <c r="N5" s="347">
        <v>589936</v>
      </c>
      <c r="O5" s="347">
        <v>590439</v>
      </c>
      <c r="P5" s="347">
        <v>591740</v>
      </c>
    </row>
    <row r="6" spans="1:16" x14ac:dyDescent="0.25">
      <c r="A6" s="2284" t="s">
        <v>5385</v>
      </c>
      <c r="B6" s="347">
        <v>2003</v>
      </c>
      <c r="C6" s="347">
        <v>1993</v>
      </c>
      <c r="D6" s="347">
        <v>1969</v>
      </c>
      <c r="E6" s="347">
        <v>1949</v>
      </c>
      <c r="F6" s="347">
        <v>1897</v>
      </c>
      <c r="G6" s="347">
        <v>1839</v>
      </c>
      <c r="H6" s="347">
        <v>1808</v>
      </c>
      <c r="I6" s="347">
        <v>1795</v>
      </c>
      <c r="J6" s="347">
        <v>1817</v>
      </c>
      <c r="K6" s="347">
        <v>1793</v>
      </c>
      <c r="L6" s="347">
        <v>1807</v>
      </c>
      <c r="M6" s="347">
        <v>1806</v>
      </c>
      <c r="N6" s="347">
        <v>1786</v>
      </c>
      <c r="O6" s="347">
        <v>1764</v>
      </c>
      <c r="P6" s="347">
        <v>1769</v>
      </c>
    </row>
  </sheetData>
  <pageMargins left="0.75" right="0.75" top="0.75" bottom="0.5" header="0.5" footer="0.7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3C590-71CB-48F2-89DC-6E6A9C3AFD8B}">
  <sheetPr codeName="Ark110">
    <tabColor theme="3" tint="0.79998168889431442"/>
  </sheetPr>
  <dimension ref="A1:Q8"/>
  <sheetViews>
    <sheetView workbookViewId="0">
      <selection activeCell="M6" sqref="M6"/>
    </sheetView>
  </sheetViews>
  <sheetFormatPr defaultRowHeight="12.75" x14ac:dyDescent="0.2"/>
  <cols>
    <col min="1" max="1" width="40.7109375" customWidth="1"/>
    <col min="2" max="5" width="10.5703125" customWidth="1"/>
    <col min="6" max="9" width="9.5703125" customWidth="1"/>
    <col min="10" max="12" width="10.5703125" customWidth="1"/>
    <col min="13" max="17" width="9.5703125" customWidth="1"/>
  </cols>
  <sheetData>
    <row r="1" spans="1:17" ht="17.25" x14ac:dyDescent="0.3">
      <c r="A1" s="2285" t="s">
        <v>4137</v>
      </c>
    </row>
    <row r="2" spans="1:17" ht="15" x14ac:dyDescent="0.25">
      <c r="A2" s="2286" t="s">
        <v>4136</v>
      </c>
    </row>
    <row r="3" spans="1:17" ht="15" x14ac:dyDescent="0.25">
      <c r="B3" s="2284" t="s">
        <v>1589</v>
      </c>
      <c r="C3" s="2284" t="s">
        <v>1588</v>
      </c>
      <c r="D3" s="2284" t="s">
        <v>1587</v>
      </c>
      <c r="E3" s="2284" t="s">
        <v>1586</v>
      </c>
      <c r="F3" s="2284" t="s">
        <v>1585</v>
      </c>
      <c r="G3" s="2284" t="s">
        <v>1584</v>
      </c>
      <c r="H3" s="2284" t="s">
        <v>1583</v>
      </c>
      <c r="I3" s="2284" t="s">
        <v>1582</v>
      </c>
      <c r="J3" s="2284" t="s">
        <v>1581</v>
      </c>
      <c r="K3" s="2284" t="s">
        <v>1580</v>
      </c>
      <c r="L3" s="2284" t="s">
        <v>1579</v>
      </c>
      <c r="M3" s="2284" t="s">
        <v>1578</v>
      </c>
      <c r="N3" s="2284" t="s">
        <v>1764</v>
      </c>
      <c r="O3" s="2284" t="s">
        <v>1763</v>
      </c>
      <c r="P3" s="2284" t="s">
        <v>2217</v>
      </c>
      <c r="Q3" s="2284" t="s">
        <v>2919</v>
      </c>
    </row>
    <row r="4" spans="1:17" ht="15" x14ac:dyDescent="0.25">
      <c r="A4" s="2284" t="s">
        <v>2216</v>
      </c>
      <c r="B4" s="347">
        <v>43098.31</v>
      </c>
      <c r="C4" s="347">
        <v>43098.31</v>
      </c>
      <c r="D4" s="347">
        <v>43098.31</v>
      </c>
      <c r="E4" s="347">
        <v>43098.31</v>
      </c>
      <c r="F4" s="347">
        <v>42890.6</v>
      </c>
      <c r="G4" s="347">
        <v>42892.4</v>
      </c>
      <c r="H4" s="347">
        <v>42915.7</v>
      </c>
      <c r="I4" s="347">
        <v>42921.599999999999</v>
      </c>
      <c r="J4" s="347">
        <v>42923.53</v>
      </c>
      <c r="K4" s="347">
        <v>42925.46</v>
      </c>
      <c r="L4" s="347">
        <v>42931</v>
      </c>
      <c r="M4" s="347">
        <v>42934.1</v>
      </c>
      <c r="N4" s="347">
        <v>42937.8</v>
      </c>
      <c r="O4" s="347">
        <v>42943.9</v>
      </c>
      <c r="P4" s="347">
        <v>42947</v>
      </c>
      <c r="Q4" s="347">
        <v>42951.1</v>
      </c>
    </row>
    <row r="5" spans="1:17" ht="15" x14ac:dyDescent="0.25">
      <c r="A5" s="2284" t="s">
        <v>2918</v>
      </c>
      <c r="B5" s="347">
        <v>7933.32</v>
      </c>
      <c r="C5" s="347">
        <v>7933.32</v>
      </c>
      <c r="D5" s="347">
        <v>7933.32</v>
      </c>
      <c r="E5" s="347">
        <v>7933.32</v>
      </c>
      <c r="F5" s="347">
        <v>7872.7</v>
      </c>
      <c r="G5" s="347">
        <v>7873.2</v>
      </c>
      <c r="H5" s="347">
        <v>7878.6</v>
      </c>
      <c r="I5" s="347">
        <v>7878.6</v>
      </c>
      <c r="J5" s="347">
        <v>7879.14</v>
      </c>
      <c r="K5" s="347">
        <v>7879.34</v>
      </c>
      <c r="L5" s="347">
        <v>7881.16</v>
      </c>
      <c r="M5" s="347">
        <v>7883</v>
      </c>
      <c r="N5" s="347">
        <v>7885.4</v>
      </c>
      <c r="O5" s="347">
        <v>7885.5</v>
      </c>
      <c r="P5" s="347">
        <v>7883.5</v>
      </c>
      <c r="Q5" s="347">
        <v>7883.8</v>
      </c>
    </row>
    <row r="6" spans="1:17" ht="15" x14ac:dyDescent="0.25">
      <c r="A6" s="2284" t="s">
        <v>5385</v>
      </c>
      <c r="B6" s="347">
        <v>113.81</v>
      </c>
      <c r="C6" s="347">
        <v>113.81</v>
      </c>
      <c r="D6" s="347">
        <v>113.81</v>
      </c>
      <c r="E6" s="347">
        <v>113.81</v>
      </c>
      <c r="F6" s="347">
        <v>118.4</v>
      </c>
      <c r="G6" s="347">
        <v>118.9</v>
      </c>
      <c r="H6" s="347">
        <v>119</v>
      </c>
      <c r="I6" s="347">
        <v>119</v>
      </c>
      <c r="J6" s="347">
        <v>119.18</v>
      </c>
      <c r="K6" s="347">
        <v>119.22</v>
      </c>
      <c r="L6" s="347">
        <v>119.4</v>
      </c>
      <c r="M6" s="347">
        <v>120.5</v>
      </c>
      <c r="N6" s="347">
        <v>121.8</v>
      </c>
      <c r="O6" s="347">
        <v>121.9</v>
      </c>
      <c r="P6" s="347">
        <v>122</v>
      </c>
      <c r="Q6" s="347">
        <v>122</v>
      </c>
    </row>
    <row r="8" spans="1:17" ht="180" x14ac:dyDescent="0.25">
      <c r="A8" s="2287" t="s">
        <v>4135</v>
      </c>
    </row>
  </sheetData>
  <pageMargins left="0.75" right="0.75" top="0.75" bottom="0.5" header="0.5" footer="0.7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74F4F-877D-49E6-95CD-4A868462ECD7}">
  <sheetPr codeName="Ark114">
    <tabColor theme="3" tint="0.79998168889431442"/>
  </sheetPr>
  <dimension ref="A1:E65"/>
  <sheetViews>
    <sheetView zoomScale="85" zoomScaleNormal="85" workbookViewId="0">
      <selection activeCell="I11" sqref="I11"/>
    </sheetView>
  </sheetViews>
  <sheetFormatPr defaultColWidth="8.7109375" defaultRowHeight="15" x14ac:dyDescent="0.25"/>
  <cols>
    <col min="1" max="1" width="40.7109375" style="951" customWidth="1"/>
    <col min="2" max="2" width="20.42578125" style="951" customWidth="1"/>
    <col min="3" max="4" width="41.5703125" style="951" customWidth="1"/>
    <col min="5" max="5" width="34.7109375" style="951" customWidth="1"/>
    <col min="6" max="16384" width="8.7109375" style="951"/>
  </cols>
  <sheetData>
    <row r="1" spans="1:5" ht="17.25" x14ac:dyDescent="0.3">
      <c r="A1" s="4197" t="s">
        <v>4270</v>
      </c>
      <c r="B1" s="4198"/>
      <c r="C1" s="4198"/>
      <c r="D1" s="4198"/>
      <c r="E1" s="4198"/>
    </row>
    <row r="2" spans="1:5" x14ac:dyDescent="0.25">
      <c r="A2" s="4199" t="s">
        <v>2193</v>
      </c>
      <c r="B2" s="4198"/>
      <c r="C2" s="4198"/>
      <c r="D2" s="4198"/>
      <c r="E2" s="4198"/>
    </row>
    <row r="3" spans="1:5" x14ac:dyDescent="0.25">
      <c r="A3" s="4198"/>
      <c r="B3" s="4198"/>
      <c r="C3" s="4198"/>
      <c r="D3" s="4200" t="s">
        <v>1578</v>
      </c>
      <c r="E3" s="4200" t="s">
        <v>1578</v>
      </c>
    </row>
    <row r="4" spans="1:5" x14ac:dyDescent="0.25">
      <c r="A4" s="4200" t="s">
        <v>2918</v>
      </c>
      <c r="B4" s="4200" t="s">
        <v>2192</v>
      </c>
      <c r="C4" s="4200" t="s">
        <v>2189</v>
      </c>
      <c r="D4" s="4201">
        <v>253.9</v>
      </c>
      <c r="E4" s="4201">
        <v>253.9</v>
      </c>
    </row>
    <row r="5" spans="1:5" x14ac:dyDescent="0.25">
      <c r="A5" s="4198"/>
      <c r="B5" s="4198"/>
      <c r="C5" s="4200" t="s">
        <v>272</v>
      </c>
      <c r="D5" s="4201">
        <v>69.3</v>
      </c>
      <c r="E5" s="4201">
        <v>69.3</v>
      </c>
    </row>
    <row r="6" spans="1:5" x14ac:dyDescent="0.25">
      <c r="A6" s="4198"/>
      <c r="B6" s="4198"/>
      <c r="C6" s="4200" t="s">
        <v>491</v>
      </c>
      <c r="D6" s="4201">
        <v>5.4</v>
      </c>
      <c r="E6" s="4201">
        <v>5.4</v>
      </c>
    </row>
    <row r="7" spans="1:5" x14ac:dyDescent="0.25">
      <c r="A7" s="4198"/>
      <c r="B7" s="4198"/>
      <c r="C7" s="4200" t="s">
        <v>273</v>
      </c>
      <c r="D7" s="4201">
        <v>24.1</v>
      </c>
      <c r="E7" s="4201">
        <v>24.1</v>
      </c>
    </row>
    <row r="8" spans="1:5" x14ac:dyDescent="0.25">
      <c r="A8" s="4198"/>
      <c r="B8" s="4198"/>
      <c r="C8" s="4200" t="s">
        <v>2188</v>
      </c>
      <c r="D8" s="4201">
        <v>2.2000000000000002</v>
      </c>
      <c r="E8" s="4201">
        <v>2.2000000000000002</v>
      </c>
    </row>
    <row r="9" spans="1:5" x14ac:dyDescent="0.25">
      <c r="A9" s="4198"/>
      <c r="B9" s="4198"/>
      <c r="C9" s="4200" t="s">
        <v>274</v>
      </c>
      <c r="D9" s="4201">
        <v>16.3</v>
      </c>
      <c r="E9" s="4201">
        <v>16.3</v>
      </c>
    </row>
    <row r="10" spans="1:5" x14ac:dyDescent="0.25">
      <c r="A10" s="4198"/>
      <c r="B10" s="4198"/>
      <c r="C10" s="4200" t="s">
        <v>275</v>
      </c>
      <c r="D10" s="4201">
        <v>111.8</v>
      </c>
      <c r="E10" s="4201">
        <v>111.8</v>
      </c>
    </row>
    <row r="11" spans="1:5" x14ac:dyDescent="0.25">
      <c r="A11" s="4198"/>
      <c r="B11" s="4198"/>
      <c r="C11" s="4200" t="s">
        <v>2921</v>
      </c>
      <c r="D11" s="4201">
        <v>24.5</v>
      </c>
      <c r="E11" s="4201">
        <v>24.5</v>
      </c>
    </row>
    <row r="12" spans="1:5" x14ac:dyDescent="0.25">
      <c r="A12" s="4198"/>
      <c r="B12" s="4198"/>
      <c r="C12" s="4200" t="s">
        <v>2066</v>
      </c>
      <c r="D12" s="4201">
        <v>0.3</v>
      </c>
      <c r="E12" s="4201">
        <v>0.3</v>
      </c>
    </row>
    <row r="13" spans="1:5" x14ac:dyDescent="0.25">
      <c r="A13" s="4198"/>
      <c r="B13" s="4198"/>
      <c r="C13" s="4200" t="s">
        <v>2187</v>
      </c>
      <c r="D13" s="4201">
        <v>21.8</v>
      </c>
      <c r="E13" s="4201">
        <v>21.8</v>
      </c>
    </row>
    <row r="14" spans="1:5" x14ac:dyDescent="0.25">
      <c r="A14" s="4198"/>
      <c r="B14" s="4198"/>
      <c r="C14" s="4200" t="s">
        <v>2186</v>
      </c>
      <c r="D14" s="4202" t="s">
        <v>2181</v>
      </c>
      <c r="E14" s="4202" t="s">
        <v>2181</v>
      </c>
    </row>
    <row r="15" spans="1:5" x14ac:dyDescent="0.25">
      <c r="A15" s="4198"/>
      <c r="B15" s="4198"/>
      <c r="C15" s="4200" t="s">
        <v>2185</v>
      </c>
      <c r="D15" s="4202" t="s">
        <v>2181</v>
      </c>
      <c r="E15" s="4202" t="s">
        <v>2181</v>
      </c>
    </row>
    <row r="16" spans="1:5" x14ac:dyDescent="0.25">
      <c r="A16" s="4198"/>
      <c r="B16" s="4198"/>
      <c r="C16" s="4200" t="s">
        <v>2184</v>
      </c>
      <c r="D16" s="4201">
        <v>6.5</v>
      </c>
      <c r="E16" s="4201">
        <v>6.5</v>
      </c>
    </row>
    <row r="17" spans="1:5" x14ac:dyDescent="0.25">
      <c r="A17"/>
      <c r="B17"/>
      <c r="C17" s="4200" t="s">
        <v>2183</v>
      </c>
      <c r="D17" s="4201">
        <v>1</v>
      </c>
      <c r="E17" s="4201">
        <v>1</v>
      </c>
    </row>
    <row r="18" spans="1:5" x14ac:dyDescent="0.25">
      <c r="A18"/>
      <c r="B18"/>
      <c r="C18" s="4200" t="s">
        <v>2182</v>
      </c>
      <c r="D18" s="4202" t="s">
        <v>2181</v>
      </c>
      <c r="E18" s="4202" t="s">
        <v>2181</v>
      </c>
    </row>
    <row r="19" spans="1:5" x14ac:dyDescent="0.25">
      <c r="A19"/>
      <c r="B19"/>
      <c r="C19" s="4200" t="s">
        <v>2180</v>
      </c>
      <c r="D19" s="4201">
        <v>235.7</v>
      </c>
      <c r="E19" s="4201">
        <v>235.7</v>
      </c>
    </row>
    <row r="20" spans="1:5" x14ac:dyDescent="0.25">
      <c r="A20"/>
      <c r="B20"/>
      <c r="C20" s="4200" t="s">
        <v>2179</v>
      </c>
      <c r="D20" s="4201">
        <v>220.1</v>
      </c>
      <c r="E20" s="4201">
        <v>220.1</v>
      </c>
    </row>
    <row r="21" spans="1:5" x14ac:dyDescent="0.25">
      <c r="A21"/>
      <c r="B21"/>
      <c r="C21" s="4200" t="s">
        <v>2178</v>
      </c>
      <c r="D21" s="4201">
        <v>11.6</v>
      </c>
      <c r="E21" s="4201">
        <v>11.6</v>
      </c>
    </row>
    <row r="22" spans="1:5" x14ac:dyDescent="0.25">
      <c r="A22"/>
      <c r="B22"/>
      <c r="C22" s="4200" t="s">
        <v>2177</v>
      </c>
      <c r="D22" s="4201">
        <v>1.1000000000000001</v>
      </c>
      <c r="E22" s="4201">
        <v>1.1000000000000001</v>
      </c>
    </row>
    <row r="23" spans="1:5" x14ac:dyDescent="0.25">
      <c r="A23"/>
      <c r="B23"/>
      <c r="C23" s="4200" t="s">
        <v>2176</v>
      </c>
      <c r="D23" s="4201">
        <v>6.1</v>
      </c>
      <c r="E23" s="4201">
        <v>6.1</v>
      </c>
    </row>
    <row r="24" spans="1:5" x14ac:dyDescent="0.25">
      <c r="A24"/>
      <c r="B24"/>
      <c r="C24" s="4200" t="s">
        <v>2175</v>
      </c>
      <c r="D24" s="4201">
        <v>2.2000000000000002</v>
      </c>
      <c r="E24" s="4201">
        <v>2.2000000000000002</v>
      </c>
    </row>
    <row r="25" spans="1:5" x14ac:dyDescent="0.25">
      <c r="A25"/>
      <c r="B25"/>
      <c r="C25" s="4200" t="s">
        <v>2174</v>
      </c>
      <c r="D25" s="4201">
        <v>0</v>
      </c>
      <c r="E25" s="4201">
        <v>0</v>
      </c>
    </row>
    <row r="26" spans="1:5" x14ac:dyDescent="0.25">
      <c r="A26"/>
      <c r="B26"/>
      <c r="C26" s="4200" t="s">
        <v>2173</v>
      </c>
      <c r="D26" s="4201">
        <v>2.2000000000000002</v>
      </c>
      <c r="E26" s="4201">
        <v>2.2000000000000002</v>
      </c>
    </row>
    <row r="27" spans="1:5" x14ac:dyDescent="0.25">
      <c r="A27"/>
      <c r="B27"/>
      <c r="C27" s="4200" t="s">
        <v>2172</v>
      </c>
      <c r="D27" s="4201">
        <v>188.5</v>
      </c>
      <c r="E27" s="4201">
        <v>188.5</v>
      </c>
    </row>
    <row r="28" spans="1:5" x14ac:dyDescent="0.25">
      <c r="A28"/>
      <c r="B28"/>
      <c r="C28" s="4200" t="s">
        <v>280</v>
      </c>
      <c r="D28" s="4201">
        <v>0</v>
      </c>
      <c r="E28" s="4201">
        <v>0</v>
      </c>
    </row>
    <row r="29" spans="1:5" x14ac:dyDescent="0.25">
      <c r="A29"/>
      <c r="B29"/>
      <c r="C29" s="4200" t="s">
        <v>2171</v>
      </c>
      <c r="D29" s="4201">
        <v>31.1</v>
      </c>
      <c r="E29" s="4201">
        <v>31.1</v>
      </c>
    </row>
    <row r="30" spans="1:5" x14ac:dyDescent="0.25">
      <c r="A30"/>
      <c r="B30"/>
      <c r="C30" s="4200" t="s">
        <v>2170</v>
      </c>
      <c r="D30" s="4201">
        <v>17.100000000000001</v>
      </c>
      <c r="E30" s="4201">
        <v>17.100000000000001</v>
      </c>
    </row>
    <row r="31" spans="1:5" x14ac:dyDescent="0.25">
      <c r="A31"/>
      <c r="B31"/>
      <c r="C31" s="4200" t="s">
        <v>2169</v>
      </c>
      <c r="D31" s="4201">
        <v>67.599999999999994</v>
      </c>
      <c r="E31" s="4201">
        <v>67.599999999999994</v>
      </c>
    </row>
    <row r="32" spans="1:5" x14ac:dyDescent="0.25">
      <c r="A32"/>
      <c r="B32"/>
      <c r="C32" s="4200" t="s">
        <v>2168</v>
      </c>
      <c r="D32" s="4201">
        <v>50.7</v>
      </c>
      <c r="E32" s="4201">
        <v>50.7</v>
      </c>
    </row>
    <row r="33" spans="1:5" x14ac:dyDescent="0.25">
      <c r="A33"/>
      <c r="B33" s="4198"/>
      <c r="C33" s="4200" t="s">
        <v>2167</v>
      </c>
      <c r="D33" s="4201">
        <v>22</v>
      </c>
      <c r="E33" s="4201">
        <v>22</v>
      </c>
    </row>
    <row r="34" spans="1:5" x14ac:dyDescent="0.25">
      <c r="A34"/>
      <c r="B34" s="4200" t="s">
        <v>2191</v>
      </c>
      <c r="C34" s="4200" t="s">
        <v>2189</v>
      </c>
      <c r="D34" s="4201">
        <v>49.1</v>
      </c>
      <c r="E34" s="4201">
        <v>49.1</v>
      </c>
    </row>
    <row r="35" spans="1:5" x14ac:dyDescent="0.25">
      <c r="A35"/>
      <c r="B35" s="4198"/>
      <c r="C35" s="4200" t="s">
        <v>272</v>
      </c>
      <c r="D35" s="4201">
        <v>63.1</v>
      </c>
      <c r="E35" s="4201">
        <v>63.1</v>
      </c>
    </row>
    <row r="36" spans="1:5" x14ac:dyDescent="0.25">
      <c r="A36"/>
      <c r="B36" s="4198"/>
      <c r="C36" s="4200" t="s">
        <v>491</v>
      </c>
      <c r="D36" s="4201">
        <v>43.1</v>
      </c>
      <c r="E36" s="4201">
        <v>43.1</v>
      </c>
    </row>
    <row r="37" spans="1:5" x14ac:dyDescent="0.25">
      <c r="A37"/>
      <c r="B37" s="4198"/>
      <c r="C37" s="4200" t="s">
        <v>273</v>
      </c>
      <c r="D37" s="4201">
        <v>54.8</v>
      </c>
      <c r="E37" s="4201">
        <v>54.8</v>
      </c>
    </row>
    <row r="38" spans="1:5" x14ac:dyDescent="0.25">
      <c r="A38"/>
      <c r="B38" s="4198"/>
      <c r="C38" s="4200" t="s">
        <v>2188</v>
      </c>
      <c r="D38" s="4201">
        <v>55.8</v>
      </c>
      <c r="E38" s="4201">
        <v>55.8</v>
      </c>
    </row>
    <row r="39" spans="1:5" x14ac:dyDescent="0.25">
      <c r="A39"/>
      <c r="B39" s="4198"/>
      <c r="C39" s="4200" t="s">
        <v>274</v>
      </c>
      <c r="D39" s="4201">
        <v>52</v>
      </c>
      <c r="E39" s="4201">
        <v>52</v>
      </c>
    </row>
    <row r="40" spans="1:5" x14ac:dyDescent="0.25">
      <c r="A40"/>
      <c r="B40" s="4198"/>
      <c r="C40" s="4200" t="s">
        <v>275</v>
      </c>
      <c r="D40" s="4201">
        <v>42.4</v>
      </c>
      <c r="E40" s="4201">
        <v>42.4</v>
      </c>
    </row>
    <row r="41" spans="1:5" x14ac:dyDescent="0.25">
      <c r="A41"/>
      <c r="B41" s="4198"/>
      <c r="C41" s="4200" t="s">
        <v>2921</v>
      </c>
      <c r="D41" s="4201">
        <v>32.6</v>
      </c>
      <c r="E41" s="4201">
        <v>32.6</v>
      </c>
    </row>
    <row r="42" spans="1:5" x14ac:dyDescent="0.25">
      <c r="A42"/>
      <c r="B42" s="4198"/>
      <c r="C42" s="4200" t="s">
        <v>2066</v>
      </c>
      <c r="D42" s="4201">
        <v>59</v>
      </c>
      <c r="E42" s="4201">
        <v>59</v>
      </c>
    </row>
    <row r="43" spans="1:5" x14ac:dyDescent="0.25">
      <c r="A43"/>
      <c r="B43" s="4198"/>
      <c r="C43" s="4200" t="s">
        <v>2187</v>
      </c>
      <c r="D43" s="4201">
        <v>32.799999999999997</v>
      </c>
      <c r="E43" s="4201">
        <v>32.799999999999997</v>
      </c>
    </row>
    <row r="44" spans="1:5" x14ac:dyDescent="0.25">
      <c r="A44"/>
      <c r="B44" s="4198"/>
      <c r="C44" s="4200" t="s">
        <v>2186</v>
      </c>
      <c r="D44" s="4202" t="s">
        <v>2181</v>
      </c>
      <c r="E44" s="4202" t="s">
        <v>2181</v>
      </c>
    </row>
    <row r="45" spans="1:5" x14ac:dyDescent="0.25">
      <c r="A45"/>
      <c r="B45" s="4198"/>
      <c r="C45" s="4200" t="s">
        <v>2185</v>
      </c>
      <c r="D45" s="4202" t="s">
        <v>2181</v>
      </c>
      <c r="E45" s="4202" t="s">
        <v>2181</v>
      </c>
    </row>
    <row r="46" spans="1:5" x14ac:dyDescent="0.25">
      <c r="A46"/>
      <c r="B46" s="4198"/>
      <c r="C46" s="4200" t="s">
        <v>2184</v>
      </c>
      <c r="D46" s="4201">
        <v>25.1</v>
      </c>
      <c r="E46" s="4201">
        <v>25.1</v>
      </c>
    </row>
    <row r="47" spans="1:5" x14ac:dyDescent="0.25">
      <c r="A47"/>
      <c r="B47" s="4198"/>
      <c r="C47" s="4200" t="s">
        <v>2183</v>
      </c>
      <c r="D47" s="4201">
        <v>25.5</v>
      </c>
      <c r="E47" s="4201">
        <v>25.5</v>
      </c>
    </row>
    <row r="48" spans="1:5" x14ac:dyDescent="0.25">
      <c r="A48"/>
      <c r="B48" s="4198"/>
      <c r="C48" s="4200" t="s">
        <v>2182</v>
      </c>
      <c r="D48" s="4202" t="s">
        <v>2181</v>
      </c>
      <c r="E48" s="4202" t="s">
        <v>2181</v>
      </c>
    </row>
    <row r="49" spans="1:5" x14ac:dyDescent="0.25">
      <c r="A49"/>
      <c r="B49"/>
      <c r="C49" s="4200" t="s">
        <v>2180</v>
      </c>
      <c r="D49" s="4201">
        <v>28.5</v>
      </c>
      <c r="E49" s="4201">
        <v>28.5</v>
      </c>
    </row>
    <row r="50" spans="1:5" x14ac:dyDescent="0.25">
      <c r="A50"/>
      <c r="B50"/>
      <c r="C50" s="4200" t="s">
        <v>2179</v>
      </c>
      <c r="D50" s="4201">
        <v>28.8</v>
      </c>
      <c r="E50" s="4201">
        <v>28.8</v>
      </c>
    </row>
    <row r="51" spans="1:5" x14ac:dyDescent="0.25">
      <c r="A51"/>
      <c r="B51"/>
      <c r="C51" s="4200" t="s">
        <v>2178</v>
      </c>
      <c r="D51" s="4201">
        <v>650</v>
      </c>
      <c r="E51" s="4201">
        <v>650</v>
      </c>
    </row>
    <row r="52" spans="1:5" x14ac:dyDescent="0.25">
      <c r="A52"/>
      <c r="B52"/>
      <c r="C52" s="4200" t="s">
        <v>2177</v>
      </c>
      <c r="D52" s="4201">
        <v>202</v>
      </c>
      <c r="E52" s="4201">
        <v>202</v>
      </c>
    </row>
    <row r="53" spans="1:5" x14ac:dyDescent="0.25">
      <c r="A53"/>
      <c r="B53"/>
      <c r="C53" s="4200" t="s">
        <v>2176</v>
      </c>
      <c r="D53" s="4201">
        <v>391</v>
      </c>
      <c r="E53" s="4201">
        <v>391</v>
      </c>
    </row>
    <row r="54" spans="1:5" x14ac:dyDescent="0.25">
      <c r="A54"/>
      <c r="B54"/>
      <c r="C54" s="4200" t="s">
        <v>2175</v>
      </c>
      <c r="D54" s="4201">
        <v>200.6</v>
      </c>
      <c r="E54" s="4201">
        <v>200.6</v>
      </c>
    </row>
    <row r="55" spans="1:5" x14ac:dyDescent="0.25">
      <c r="A55"/>
      <c r="B55"/>
      <c r="C55" s="4200" t="s">
        <v>2174</v>
      </c>
      <c r="D55" s="4201">
        <v>0</v>
      </c>
      <c r="E55" s="4201">
        <v>0</v>
      </c>
    </row>
    <row r="56" spans="1:5" x14ac:dyDescent="0.25">
      <c r="A56"/>
      <c r="B56"/>
      <c r="C56" s="4200" t="s">
        <v>2173</v>
      </c>
      <c r="D56" s="4201">
        <v>625</v>
      </c>
      <c r="E56" s="4201">
        <v>625</v>
      </c>
    </row>
    <row r="57" spans="1:5" x14ac:dyDescent="0.25">
      <c r="A57"/>
      <c r="B57"/>
      <c r="C57" s="4200" t="s">
        <v>2172</v>
      </c>
      <c r="D57" s="4201">
        <v>513.9</v>
      </c>
      <c r="E57" s="4201">
        <v>513.9</v>
      </c>
    </row>
    <row r="58" spans="1:5" x14ac:dyDescent="0.25">
      <c r="A58"/>
      <c r="B58"/>
      <c r="C58" s="4200" t="s">
        <v>280</v>
      </c>
      <c r="D58" s="4201">
        <v>357.7</v>
      </c>
      <c r="E58" s="4201">
        <v>357.7</v>
      </c>
    </row>
    <row r="59" spans="1:5" x14ac:dyDescent="0.25">
      <c r="A59"/>
      <c r="B59"/>
      <c r="C59" s="4200" t="s">
        <v>2171</v>
      </c>
      <c r="D59" s="4201">
        <v>336.3</v>
      </c>
      <c r="E59" s="4201">
        <v>336.3</v>
      </c>
    </row>
    <row r="60" spans="1:5" x14ac:dyDescent="0.25">
      <c r="A60"/>
      <c r="B60"/>
      <c r="C60" s="4200" t="s">
        <v>2170</v>
      </c>
      <c r="D60" s="4201">
        <v>182.6</v>
      </c>
      <c r="E60" s="4201">
        <v>182.6</v>
      </c>
    </row>
    <row r="61" spans="1:5" x14ac:dyDescent="0.25">
      <c r="A61"/>
      <c r="B61"/>
      <c r="C61" s="4200" t="s">
        <v>2169</v>
      </c>
      <c r="D61" s="4201">
        <v>380.2</v>
      </c>
      <c r="E61" s="4201">
        <v>380.2</v>
      </c>
    </row>
    <row r="62" spans="1:5" x14ac:dyDescent="0.25">
      <c r="A62"/>
      <c r="B62"/>
      <c r="C62" s="4200" t="s">
        <v>2168</v>
      </c>
      <c r="D62" s="4201">
        <v>173.2</v>
      </c>
      <c r="E62" s="4201">
        <v>173.2</v>
      </c>
    </row>
    <row r="63" spans="1:5" x14ac:dyDescent="0.25">
      <c r="A63"/>
      <c r="B63"/>
      <c r="C63" s="4200" t="s">
        <v>2167</v>
      </c>
      <c r="D63" s="4201">
        <v>51.3</v>
      </c>
      <c r="E63" s="4201">
        <v>51.3</v>
      </c>
    </row>
    <row r="65" spans="1:1" ht="180" x14ac:dyDescent="0.25">
      <c r="A65" s="1595" t="s">
        <v>2166</v>
      </c>
    </row>
  </sheetData>
  <pageMargins left="0.75" right="0.75" top="0.75" bottom="0.5" header="0.5" footer="0.75"/>
  <pageSetup orientation="portrait" r:id="rId1"/>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77C45-F187-4E6C-B44D-CB95E1B7E44A}">
  <sheetPr codeName="Ark127">
    <tabColor theme="3" tint="0.79998168889431442"/>
  </sheetPr>
  <dimension ref="A1:JT400"/>
  <sheetViews>
    <sheetView zoomScaleNormal="100" workbookViewId="0">
      <pane xSplit="5" ySplit="5" topLeftCell="CU280" activePane="bottomRight" state="frozen"/>
      <selection pane="topRight"/>
      <selection pane="bottomLeft"/>
      <selection pane="bottomRight" activeCell="DA288" sqref="DA288"/>
    </sheetView>
  </sheetViews>
  <sheetFormatPr defaultColWidth="9.140625" defaultRowHeight="11.25" x14ac:dyDescent="0.2"/>
  <cols>
    <col min="1" max="1" width="7" style="1600" customWidth="1"/>
    <col min="2" max="2" width="4.28515625" style="1600" customWidth="1"/>
    <col min="3" max="3" width="3.7109375" style="1604" customWidth="1"/>
    <col min="4" max="4" width="53.42578125" style="1600" customWidth="1"/>
    <col min="5" max="5" width="8.7109375" style="1600" customWidth="1"/>
    <col min="6" max="6" width="11.5703125" style="1600" customWidth="1"/>
    <col min="7" max="7" width="7.5703125" style="1600" customWidth="1"/>
    <col min="8" max="8" width="6" style="1600" customWidth="1"/>
    <col min="9" max="9" width="7" style="1600" customWidth="1"/>
    <col min="10" max="10" width="4.85546875" style="1600" bestFit="1" customWidth="1"/>
    <col min="11" max="11" width="5.85546875" style="1603" customWidth="1"/>
    <col min="12" max="12" width="5.28515625" style="1600" customWidth="1"/>
    <col min="13" max="13" width="6.85546875" style="1600" customWidth="1"/>
    <col min="14" max="14" width="5.42578125" style="1600" customWidth="1"/>
    <col min="15" max="15" width="5.5703125" style="1600" customWidth="1"/>
    <col min="16" max="16" width="5.28515625" style="1600" customWidth="1"/>
    <col min="17" max="17" width="1.7109375" style="1600" customWidth="1"/>
    <col min="18" max="18" width="6.5703125" style="1600" customWidth="1"/>
    <col min="19" max="19" width="6.28515625" style="1600" customWidth="1"/>
    <col min="20" max="21" width="7.140625" style="1600" customWidth="1"/>
    <col min="22" max="23" width="6.85546875" style="1600" customWidth="1"/>
    <col min="24" max="24" width="2.7109375" style="1600" customWidth="1"/>
    <col min="25" max="29" width="6.28515625" style="1600" customWidth="1"/>
    <col min="30" max="30" width="8.85546875" style="1600" customWidth="1"/>
    <col min="31" max="37" width="6.28515625" style="1600" customWidth="1"/>
    <col min="38" max="38" width="3.140625" style="1600" customWidth="1"/>
    <col min="39" max="39" width="5" style="1600" customWidth="1"/>
    <col min="40" max="40" width="5.42578125" style="1600" customWidth="1"/>
    <col min="41" max="41" width="5.5703125" style="1600" customWidth="1"/>
    <col min="42" max="42" width="5" style="1600" customWidth="1"/>
    <col min="43" max="43" width="6.28515625" style="1600" customWidth="1"/>
    <col min="44" max="45" width="4.85546875" style="1600" customWidth="1"/>
    <col min="46" max="46" width="3.7109375" style="1600" customWidth="1"/>
    <col min="47" max="47" width="6.28515625" style="1600" customWidth="1"/>
    <col min="48" max="48" width="3.7109375" style="1600" customWidth="1"/>
    <col min="49" max="49" width="4.42578125" style="1600" customWidth="1"/>
    <col min="50" max="50" width="3" style="1600" customWidth="1"/>
    <col min="51" max="52" width="5.140625" style="1603" customWidth="1"/>
    <col min="53" max="53" width="4.140625" style="1603" customWidth="1"/>
    <col min="54" max="60" width="5.140625" style="1603" customWidth="1"/>
    <col min="61" max="61" width="4" style="1603" customWidth="1"/>
    <col min="62" max="62" width="2.42578125" style="1600" customWidth="1"/>
    <col min="63" max="63" width="8" style="1600" customWidth="1"/>
    <col min="64" max="66" width="6.28515625" style="1600" customWidth="1"/>
    <col min="67" max="67" width="2.5703125" style="1600" customWidth="1"/>
    <col min="68" max="68" width="5.140625" style="1600" customWidth="1"/>
    <col min="69" max="69" width="8.28515625" style="1600" customWidth="1"/>
    <col min="70" max="70" width="5.85546875" style="1600" customWidth="1"/>
    <col min="71" max="71" width="5.28515625" style="1600" customWidth="1"/>
    <col min="72" max="72" width="2.5703125" style="1600" customWidth="1"/>
    <col min="73" max="73" width="5.140625" style="1600" customWidth="1"/>
    <col min="74" max="74" width="7.7109375" style="1600" customWidth="1"/>
    <col min="75" max="75" width="7.42578125" style="1600" customWidth="1"/>
    <col min="76" max="76" width="5.5703125" style="1600" customWidth="1"/>
    <col min="77" max="77" width="4.85546875" style="1600" customWidth="1"/>
    <col min="78" max="78" width="6.7109375" style="1600" customWidth="1"/>
    <col min="79" max="79" width="7.42578125" style="1600" customWidth="1"/>
    <col min="80" max="80" width="2.7109375" style="1600" customWidth="1"/>
    <col min="81" max="81" width="6.28515625" style="1600" customWidth="1"/>
    <col min="82" max="82" width="5.85546875" style="1600" customWidth="1"/>
    <col min="83" max="83" width="6" style="1600" customWidth="1"/>
    <col min="84" max="84" width="5.5703125" style="1600" customWidth="1"/>
    <col min="85" max="85" width="5.7109375" style="1600" customWidth="1"/>
    <col min="86" max="86" width="6.28515625" style="1600" customWidth="1"/>
    <col min="87" max="87" width="5.140625" style="1600" customWidth="1"/>
    <col min="88" max="88" width="1.140625" style="1600" customWidth="1"/>
    <col min="89" max="89" width="5.85546875" style="1600" customWidth="1"/>
    <col min="90" max="90" width="6.42578125" style="1600" customWidth="1"/>
    <col min="91" max="91" width="6.7109375" style="1600" customWidth="1"/>
    <col min="92" max="94" width="6.28515625" style="1600" customWidth="1"/>
    <col min="95" max="95" width="7.140625" style="1600" customWidth="1"/>
    <col min="96" max="96" width="7" style="1600" customWidth="1"/>
    <col min="97" max="98" width="5.42578125" style="1600" customWidth="1"/>
    <col min="99" max="100" width="6" style="1600" customWidth="1"/>
    <col min="101" max="109" width="5.85546875" style="1600" customWidth="1"/>
    <col min="110" max="110" width="7.5703125" style="1600" customWidth="1"/>
    <col min="111" max="111" width="7.140625" style="1600" customWidth="1"/>
    <col min="112" max="112" width="7.42578125" style="1600" customWidth="1"/>
    <col min="113" max="122" width="6.140625" style="1600" customWidth="1"/>
    <col min="123" max="123" width="7" style="1600" customWidth="1"/>
    <col min="124" max="126" width="6.140625" style="1600" customWidth="1"/>
    <col min="127" max="127" width="7.85546875" style="1601" customWidth="1"/>
    <col min="128" max="229" width="8.42578125" style="1600" hidden="1" customWidth="1"/>
    <col min="230" max="230" width="9.140625" style="1600" hidden="1" customWidth="1"/>
    <col min="231" max="231" width="53.7109375" style="1600" hidden="1" customWidth="1"/>
    <col min="232" max="232" width="49" style="1600" hidden="1" customWidth="1"/>
    <col min="233" max="233" width="55.140625" style="1600" hidden="1" customWidth="1"/>
    <col min="234" max="236" width="9.140625" style="1600" hidden="1" customWidth="1"/>
    <col min="237" max="240" width="9.140625" style="1600"/>
    <col min="241" max="241" width="64.85546875" style="1600" customWidth="1"/>
    <col min="242" max="242" width="7.85546875" style="1602" customWidth="1"/>
    <col min="243" max="243" width="31.140625" style="1600" customWidth="1"/>
    <col min="244" max="245" width="15.42578125" style="1600" customWidth="1"/>
    <col min="246" max="246" width="12.140625" style="1600" customWidth="1"/>
    <col min="247" max="247" width="13.140625" style="1600" customWidth="1"/>
    <col min="248" max="248" width="10.42578125" style="1600" customWidth="1"/>
    <col min="249" max="271" width="9.140625" style="1600" customWidth="1"/>
    <col min="272" max="272" width="7.42578125" style="1601" customWidth="1"/>
    <col min="273" max="273" width="21.85546875" style="1602" bestFit="1" customWidth="1"/>
    <col min="274" max="274" width="7.5703125" style="1601" customWidth="1"/>
    <col min="275" max="275" width="32.42578125" style="1600" customWidth="1"/>
    <col min="276" max="276" width="13.85546875" style="1601" customWidth="1"/>
    <col min="277" max="277" width="7.7109375" style="1600" customWidth="1"/>
    <col min="278" max="280" width="7.28515625" style="1600" customWidth="1"/>
    <col min="281" max="16384" width="9.140625" style="1600"/>
  </cols>
  <sheetData>
    <row r="1" spans="1:280" s="1663" customFormat="1" x14ac:dyDescent="0.2">
      <c r="C1" s="1668"/>
      <c r="K1" s="1667"/>
      <c r="AY1" s="1667"/>
      <c r="AZ1" s="1667"/>
      <c r="BA1" s="1667"/>
      <c r="BB1" s="1667"/>
      <c r="BC1" s="1667"/>
      <c r="BD1" s="1667"/>
      <c r="BE1" s="1667"/>
      <c r="BF1" s="1667"/>
      <c r="BG1" s="1667"/>
      <c r="BH1" s="1667"/>
      <c r="BI1" s="1667"/>
      <c r="DW1" s="1664"/>
      <c r="IH1" s="1665"/>
      <c r="IJ1" s="1664">
        <v>244</v>
      </c>
      <c r="IK1" s="1664">
        <f>+IJ1+1</f>
        <v>245</v>
      </c>
      <c r="IL1" s="1664">
        <f>+IK1+1</f>
        <v>246</v>
      </c>
      <c r="IM1" s="1664">
        <f>+IL1+1</f>
        <v>247</v>
      </c>
      <c r="IN1" s="1664">
        <f>+IM1+1</f>
        <v>248</v>
      </c>
      <c r="IO1" s="1664">
        <f>+IN1+1</f>
        <v>249</v>
      </c>
      <c r="JL1" s="1664"/>
      <c r="JM1" s="1665"/>
      <c r="JN1" s="1664"/>
      <c r="JP1" s="1664"/>
    </row>
    <row r="2" spans="1:280" ht="15.75" customHeight="1" x14ac:dyDescent="0.2">
      <c r="D2" s="1662" t="s">
        <v>4010</v>
      </c>
      <c r="U2" s="5421" t="s">
        <v>4009</v>
      </c>
      <c r="V2" s="5421"/>
      <c r="W2" s="5421"/>
      <c r="X2" s="5421"/>
      <c r="Y2" s="5421"/>
      <c r="Z2" s="5421"/>
      <c r="AA2" s="5421"/>
      <c r="DW2" s="1600"/>
      <c r="IC2" s="5424" t="s">
        <v>4008</v>
      </c>
      <c r="ID2" s="5424"/>
      <c r="IE2" s="5424"/>
      <c r="IF2" s="5424"/>
      <c r="IG2" s="1666"/>
      <c r="IJ2" s="5418" t="s">
        <v>4007</v>
      </c>
      <c r="IK2" s="5418"/>
      <c r="IL2" s="5422" t="s">
        <v>4006</v>
      </c>
      <c r="IM2" s="5422"/>
      <c r="IN2" s="5416" t="s">
        <v>4005</v>
      </c>
      <c r="IO2" s="5418" t="s">
        <v>4004</v>
      </c>
    </row>
    <row r="3" spans="1:280" s="1663" customFormat="1" ht="15.75" customHeight="1" x14ac:dyDescent="0.2">
      <c r="A3" s="1663" t="s">
        <v>4003</v>
      </c>
      <c r="B3" s="1664">
        <f t="shared" ref="B3:AG3" si="0">+C3-1</f>
        <v>2</v>
      </c>
      <c r="C3" s="1664">
        <f t="shared" si="0"/>
        <v>3</v>
      </c>
      <c r="D3" s="1664">
        <f t="shared" si="0"/>
        <v>4</v>
      </c>
      <c r="E3" s="1664">
        <f t="shared" si="0"/>
        <v>5</v>
      </c>
      <c r="F3" s="1664">
        <f t="shared" si="0"/>
        <v>6</v>
      </c>
      <c r="G3" s="1664">
        <f t="shared" si="0"/>
        <v>7</v>
      </c>
      <c r="H3" s="1664">
        <f t="shared" si="0"/>
        <v>8</v>
      </c>
      <c r="I3" s="1664">
        <f t="shared" si="0"/>
        <v>9</v>
      </c>
      <c r="J3" s="1664">
        <f t="shared" si="0"/>
        <v>10</v>
      </c>
      <c r="K3" s="1664">
        <f t="shared" si="0"/>
        <v>11</v>
      </c>
      <c r="L3" s="1664">
        <f t="shared" si="0"/>
        <v>12</v>
      </c>
      <c r="M3" s="1664">
        <f t="shared" si="0"/>
        <v>13</v>
      </c>
      <c r="N3" s="1664">
        <f t="shared" si="0"/>
        <v>14</v>
      </c>
      <c r="O3" s="1664">
        <f t="shared" si="0"/>
        <v>15</v>
      </c>
      <c r="P3" s="1664">
        <f t="shared" si="0"/>
        <v>16</v>
      </c>
      <c r="Q3" s="1664">
        <f t="shared" si="0"/>
        <v>17</v>
      </c>
      <c r="R3" s="1664">
        <f t="shared" si="0"/>
        <v>18</v>
      </c>
      <c r="S3" s="1664">
        <f t="shared" si="0"/>
        <v>19</v>
      </c>
      <c r="T3" s="1664">
        <f t="shared" si="0"/>
        <v>20</v>
      </c>
      <c r="U3" s="1664">
        <f t="shared" si="0"/>
        <v>21</v>
      </c>
      <c r="V3" s="1664">
        <f t="shared" si="0"/>
        <v>22</v>
      </c>
      <c r="W3" s="1664">
        <f t="shared" si="0"/>
        <v>23</v>
      </c>
      <c r="X3" s="1664">
        <f t="shared" si="0"/>
        <v>24</v>
      </c>
      <c r="Y3" s="1664">
        <f t="shared" si="0"/>
        <v>25</v>
      </c>
      <c r="Z3" s="1664">
        <f t="shared" si="0"/>
        <v>26</v>
      </c>
      <c r="AA3" s="1664">
        <f t="shared" si="0"/>
        <v>27</v>
      </c>
      <c r="AB3" s="1664">
        <f t="shared" si="0"/>
        <v>28</v>
      </c>
      <c r="AC3" s="1664">
        <f t="shared" si="0"/>
        <v>29</v>
      </c>
      <c r="AD3" s="1664">
        <f t="shared" si="0"/>
        <v>30</v>
      </c>
      <c r="AE3" s="1664">
        <f t="shared" si="0"/>
        <v>31</v>
      </c>
      <c r="AF3" s="1664">
        <f t="shared" si="0"/>
        <v>32</v>
      </c>
      <c r="AG3" s="1664">
        <f t="shared" si="0"/>
        <v>33</v>
      </c>
      <c r="AH3" s="1664">
        <f t="shared" ref="AH3:BM3" si="1">+AI3-1</f>
        <v>34</v>
      </c>
      <c r="AI3" s="1664">
        <f t="shared" si="1"/>
        <v>35</v>
      </c>
      <c r="AJ3" s="1664">
        <f t="shared" si="1"/>
        <v>36</v>
      </c>
      <c r="AK3" s="1664">
        <f t="shared" si="1"/>
        <v>37</v>
      </c>
      <c r="AL3" s="1664">
        <f t="shared" si="1"/>
        <v>38</v>
      </c>
      <c r="AM3" s="1664">
        <f t="shared" si="1"/>
        <v>39</v>
      </c>
      <c r="AN3" s="1664">
        <f t="shared" si="1"/>
        <v>40</v>
      </c>
      <c r="AO3" s="1664">
        <f t="shared" si="1"/>
        <v>41</v>
      </c>
      <c r="AP3" s="1664">
        <f t="shared" si="1"/>
        <v>42</v>
      </c>
      <c r="AQ3" s="1664">
        <f t="shared" si="1"/>
        <v>43</v>
      </c>
      <c r="AR3" s="1664">
        <f t="shared" si="1"/>
        <v>44</v>
      </c>
      <c r="AS3" s="1664">
        <f t="shared" si="1"/>
        <v>45</v>
      </c>
      <c r="AT3" s="1664">
        <f t="shared" si="1"/>
        <v>46</v>
      </c>
      <c r="AU3" s="1664">
        <f t="shared" si="1"/>
        <v>47</v>
      </c>
      <c r="AV3" s="1664">
        <f t="shared" si="1"/>
        <v>48</v>
      </c>
      <c r="AW3" s="1664">
        <f t="shared" si="1"/>
        <v>49</v>
      </c>
      <c r="AX3" s="1664">
        <f t="shared" si="1"/>
        <v>50</v>
      </c>
      <c r="AY3" s="1664">
        <f t="shared" si="1"/>
        <v>51</v>
      </c>
      <c r="AZ3" s="1664">
        <f t="shared" si="1"/>
        <v>52</v>
      </c>
      <c r="BA3" s="1664">
        <f t="shared" si="1"/>
        <v>53</v>
      </c>
      <c r="BB3" s="1664">
        <f t="shared" si="1"/>
        <v>54</v>
      </c>
      <c r="BC3" s="1664">
        <f t="shared" si="1"/>
        <v>55</v>
      </c>
      <c r="BD3" s="1664">
        <f t="shared" si="1"/>
        <v>56</v>
      </c>
      <c r="BE3" s="1664">
        <f t="shared" si="1"/>
        <v>57</v>
      </c>
      <c r="BF3" s="1664">
        <f t="shared" si="1"/>
        <v>58</v>
      </c>
      <c r="BG3" s="1664">
        <f t="shared" si="1"/>
        <v>59</v>
      </c>
      <c r="BH3" s="1664">
        <f t="shared" si="1"/>
        <v>60</v>
      </c>
      <c r="BI3" s="1664">
        <f t="shared" si="1"/>
        <v>61</v>
      </c>
      <c r="BJ3" s="1664">
        <f t="shared" si="1"/>
        <v>62</v>
      </c>
      <c r="BK3" s="1664">
        <f t="shared" si="1"/>
        <v>63</v>
      </c>
      <c r="BL3" s="1664">
        <f t="shared" si="1"/>
        <v>64</v>
      </c>
      <c r="BM3" s="1664">
        <f t="shared" si="1"/>
        <v>65</v>
      </c>
      <c r="BN3" s="1664">
        <f t="shared" ref="BN3:CO3" si="2">+BO3-1</f>
        <v>66</v>
      </c>
      <c r="BO3" s="1664">
        <f t="shared" si="2"/>
        <v>67</v>
      </c>
      <c r="BP3" s="1664">
        <f t="shared" si="2"/>
        <v>68</v>
      </c>
      <c r="BQ3" s="1664">
        <f t="shared" si="2"/>
        <v>69</v>
      </c>
      <c r="BR3" s="1664">
        <f t="shared" si="2"/>
        <v>70</v>
      </c>
      <c r="BS3" s="1664">
        <f t="shared" si="2"/>
        <v>71</v>
      </c>
      <c r="BT3" s="1664">
        <f t="shared" si="2"/>
        <v>72</v>
      </c>
      <c r="BU3" s="1664">
        <f t="shared" si="2"/>
        <v>73</v>
      </c>
      <c r="BV3" s="1664">
        <f t="shared" si="2"/>
        <v>74</v>
      </c>
      <c r="BW3" s="1664">
        <f t="shared" si="2"/>
        <v>75</v>
      </c>
      <c r="BX3" s="1664">
        <f t="shared" si="2"/>
        <v>76</v>
      </c>
      <c r="BY3" s="1664">
        <f t="shared" si="2"/>
        <v>77</v>
      </c>
      <c r="BZ3" s="1664">
        <f t="shared" si="2"/>
        <v>78</v>
      </c>
      <c r="CA3" s="1664">
        <f t="shared" si="2"/>
        <v>79</v>
      </c>
      <c r="CB3" s="1664">
        <f t="shared" si="2"/>
        <v>80</v>
      </c>
      <c r="CC3" s="1664">
        <f t="shared" si="2"/>
        <v>81</v>
      </c>
      <c r="CD3" s="1664">
        <f t="shared" si="2"/>
        <v>82</v>
      </c>
      <c r="CE3" s="1664">
        <f t="shared" si="2"/>
        <v>83</v>
      </c>
      <c r="CF3" s="1664">
        <f t="shared" si="2"/>
        <v>84</v>
      </c>
      <c r="CG3" s="1664">
        <f t="shared" si="2"/>
        <v>85</v>
      </c>
      <c r="CH3" s="1664">
        <f t="shared" si="2"/>
        <v>86</v>
      </c>
      <c r="CI3" s="1664">
        <f t="shared" si="2"/>
        <v>87</v>
      </c>
      <c r="CJ3" s="1664">
        <f t="shared" si="2"/>
        <v>88</v>
      </c>
      <c r="CK3" s="1664">
        <f t="shared" si="2"/>
        <v>89</v>
      </c>
      <c r="CL3" s="1664">
        <f t="shared" si="2"/>
        <v>90</v>
      </c>
      <c r="CM3" s="1664">
        <f t="shared" si="2"/>
        <v>91</v>
      </c>
      <c r="CN3" s="1664">
        <f t="shared" si="2"/>
        <v>92</v>
      </c>
      <c r="CO3" s="1663">
        <f t="shared" si="2"/>
        <v>93</v>
      </c>
      <c r="CP3" s="1663">
        <v>94</v>
      </c>
      <c r="CQ3" s="1663">
        <f t="shared" ref="CQ3:DV3" si="3">+CP3+1</f>
        <v>95</v>
      </c>
      <c r="CR3" s="1663">
        <f t="shared" si="3"/>
        <v>96</v>
      </c>
      <c r="CS3" s="1663">
        <f t="shared" si="3"/>
        <v>97</v>
      </c>
      <c r="CT3" s="1663">
        <f t="shared" si="3"/>
        <v>98</v>
      </c>
      <c r="CU3" s="1663">
        <f t="shared" si="3"/>
        <v>99</v>
      </c>
      <c r="CV3" s="1663">
        <f t="shared" si="3"/>
        <v>100</v>
      </c>
      <c r="CW3" s="1663">
        <f t="shared" si="3"/>
        <v>101</v>
      </c>
      <c r="CX3" s="1663">
        <f t="shared" si="3"/>
        <v>102</v>
      </c>
      <c r="CY3" s="1663">
        <f t="shared" si="3"/>
        <v>103</v>
      </c>
      <c r="CZ3" s="1663">
        <f t="shared" si="3"/>
        <v>104</v>
      </c>
      <c r="DA3" s="1663">
        <f t="shared" si="3"/>
        <v>105</v>
      </c>
      <c r="DB3" s="1663">
        <f t="shared" si="3"/>
        <v>106</v>
      </c>
      <c r="DC3" s="1663">
        <f t="shared" si="3"/>
        <v>107</v>
      </c>
      <c r="DD3" s="1663">
        <f t="shared" si="3"/>
        <v>108</v>
      </c>
      <c r="DE3" s="1663">
        <f t="shared" si="3"/>
        <v>109</v>
      </c>
      <c r="DF3" s="1663">
        <f t="shared" si="3"/>
        <v>110</v>
      </c>
      <c r="DG3" s="1663">
        <f t="shared" si="3"/>
        <v>111</v>
      </c>
      <c r="DH3" s="1663">
        <f t="shared" si="3"/>
        <v>112</v>
      </c>
      <c r="DI3" s="1663">
        <f t="shared" si="3"/>
        <v>113</v>
      </c>
      <c r="DJ3" s="1663">
        <f t="shared" si="3"/>
        <v>114</v>
      </c>
      <c r="DK3" s="1663">
        <f t="shared" si="3"/>
        <v>115</v>
      </c>
      <c r="DL3" s="1663">
        <f t="shared" si="3"/>
        <v>116</v>
      </c>
      <c r="DM3" s="1663">
        <f t="shared" si="3"/>
        <v>117</v>
      </c>
      <c r="DN3" s="1663">
        <f t="shared" si="3"/>
        <v>118</v>
      </c>
      <c r="DO3" s="1663">
        <f t="shared" si="3"/>
        <v>119</v>
      </c>
      <c r="DP3" s="1663">
        <f t="shared" si="3"/>
        <v>120</v>
      </c>
      <c r="DQ3" s="1663">
        <f t="shared" si="3"/>
        <v>121</v>
      </c>
      <c r="DR3" s="1663">
        <f t="shared" si="3"/>
        <v>122</v>
      </c>
      <c r="DS3" s="1663">
        <f t="shared" si="3"/>
        <v>123</v>
      </c>
      <c r="DT3" s="1663">
        <f t="shared" si="3"/>
        <v>124</v>
      </c>
      <c r="DU3" s="1663">
        <f t="shared" si="3"/>
        <v>125</v>
      </c>
      <c r="DV3" s="1663">
        <f t="shared" si="3"/>
        <v>126</v>
      </c>
      <c r="DW3" s="1664">
        <f t="shared" ref="DW3:FB3" si="4">+DV3+1</f>
        <v>127</v>
      </c>
      <c r="DX3" s="1663">
        <f t="shared" si="4"/>
        <v>128</v>
      </c>
      <c r="DY3" s="1663">
        <f t="shared" si="4"/>
        <v>129</v>
      </c>
      <c r="DZ3" s="1663">
        <f t="shared" si="4"/>
        <v>130</v>
      </c>
      <c r="EA3" s="1663">
        <f t="shared" si="4"/>
        <v>131</v>
      </c>
      <c r="EB3" s="1663">
        <f t="shared" si="4"/>
        <v>132</v>
      </c>
      <c r="EC3" s="1663">
        <f t="shared" si="4"/>
        <v>133</v>
      </c>
      <c r="ED3" s="1663">
        <f t="shared" si="4"/>
        <v>134</v>
      </c>
      <c r="EE3" s="1663">
        <f t="shared" si="4"/>
        <v>135</v>
      </c>
      <c r="EF3" s="1663">
        <f t="shared" si="4"/>
        <v>136</v>
      </c>
      <c r="EG3" s="1663">
        <f t="shared" si="4"/>
        <v>137</v>
      </c>
      <c r="EH3" s="1663">
        <f t="shared" si="4"/>
        <v>138</v>
      </c>
      <c r="EI3" s="1663">
        <f t="shared" si="4"/>
        <v>139</v>
      </c>
      <c r="EJ3" s="1663">
        <f t="shared" si="4"/>
        <v>140</v>
      </c>
      <c r="EK3" s="1663">
        <f t="shared" si="4"/>
        <v>141</v>
      </c>
      <c r="EL3" s="1663">
        <f t="shared" si="4"/>
        <v>142</v>
      </c>
      <c r="EM3" s="1663">
        <f t="shared" si="4"/>
        <v>143</v>
      </c>
      <c r="EN3" s="1663">
        <f t="shared" si="4"/>
        <v>144</v>
      </c>
      <c r="EO3" s="1663">
        <f t="shared" si="4"/>
        <v>145</v>
      </c>
      <c r="EP3" s="1663">
        <f t="shared" si="4"/>
        <v>146</v>
      </c>
      <c r="EQ3" s="1663">
        <f t="shared" si="4"/>
        <v>147</v>
      </c>
      <c r="ER3" s="1663">
        <f t="shared" si="4"/>
        <v>148</v>
      </c>
      <c r="ES3" s="1663">
        <f t="shared" si="4"/>
        <v>149</v>
      </c>
      <c r="ET3" s="1663">
        <f t="shared" si="4"/>
        <v>150</v>
      </c>
      <c r="EU3" s="1663">
        <f t="shared" si="4"/>
        <v>151</v>
      </c>
      <c r="EV3" s="1663">
        <f t="shared" si="4"/>
        <v>152</v>
      </c>
      <c r="EW3" s="1663">
        <f t="shared" si="4"/>
        <v>153</v>
      </c>
      <c r="EX3" s="1663">
        <f t="shared" si="4"/>
        <v>154</v>
      </c>
      <c r="EY3" s="1663">
        <f t="shared" si="4"/>
        <v>155</v>
      </c>
      <c r="EZ3" s="1663">
        <f t="shared" si="4"/>
        <v>156</v>
      </c>
      <c r="FA3" s="1663">
        <f t="shared" si="4"/>
        <v>157</v>
      </c>
      <c r="FB3" s="1663">
        <f t="shared" si="4"/>
        <v>158</v>
      </c>
      <c r="FC3" s="1663">
        <f t="shared" ref="FC3:GH3" si="5">+FB3+1</f>
        <v>159</v>
      </c>
      <c r="FD3" s="1663">
        <f t="shared" si="5"/>
        <v>160</v>
      </c>
      <c r="FE3" s="1663">
        <f t="shared" si="5"/>
        <v>161</v>
      </c>
      <c r="FF3" s="1663">
        <f t="shared" si="5"/>
        <v>162</v>
      </c>
      <c r="FG3" s="1663">
        <f t="shared" si="5"/>
        <v>163</v>
      </c>
      <c r="FH3" s="1663">
        <f t="shared" si="5"/>
        <v>164</v>
      </c>
      <c r="FI3" s="1663">
        <f t="shared" si="5"/>
        <v>165</v>
      </c>
      <c r="FJ3" s="1663">
        <f t="shared" si="5"/>
        <v>166</v>
      </c>
      <c r="FK3" s="1663">
        <f t="shared" si="5"/>
        <v>167</v>
      </c>
      <c r="FL3" s="1663">
        <f t="shared" si="5"/>
        <v>168</v>
      </c>
      <c r="FM3" s="1663">
        <f t="shared" si="5"/>
        <v>169</v>
      </c>
      <c r="FN3" s="1663">
        <f t="shared" si="5"/>
        <v>170</v>
      </c>
      <c r="FO3" s="1663">
        <f t="shared" si="5"/>
        <v>171</v>
      </c>
      <c r="FP3" s="1663">
        <f t="shared" si="5"/>
        <v>172</v>
      </c>
      <c r="FQ3" s="1663">
        <f t="shared" si="5"/>
        <v>173</v>
      </c>
      <c r="FR3" s="1663">
        <f t="shared" si="5"/>
        <v>174</v>
      </c>
      <c r="FS3" s="1663">
        <f t="shared" si="5"/>
        <v>175</v>
      </c>
      <c r="FT3" s="1663">
        <f t="shared" si="5"/>
        <v>176</v>
      </c>
      <c r="FU3" s="1663">
        <f t="shared" si="5"/>
        <v>177</v>
      </c>
      <c r="FV3" s="1663">
        <f t="shared" si="5"/>
        <v>178</v>
      </c>
      <c r="FW3" s="1663">
        <f t="shared" si="5"/>
        <v>179</v>
      </c>
      <c r="FX3" s="1663">
        <f t="shared" si="5"/>
        <v>180</v>
      </c>
      <c r="FY3" s="1663">
        <f t="shared" si="5"/>
        <v>181</v>
      </c>
      <c r="FZ3" s="1663">
        <f t="shared" si="5"/>
        <v>182</v>
      </c>
      <c r="GA3" s="1663">
        <f t="shared" si="5"/>
        <v>183</v>
      </c>
      <c r="GB3" s="1663">
        <f t="shared" si="5"/>
        <v>184</v>
      </c>
      <c r="GC3" s="1663">
        <f t="shared" si="5"/>
        <v>185</v>
      </c>
      <c r="GD3" s="1663">
        <f t="shared" si="5"/>
        <v>186</v>
      </c>
      <c r="GE3" s="1663">
        <f t="shared" si="5"/>
        <v>187</v>
      </c>
      <c r="GF3" s="1663">
        <f t="shared" si="5"/>
        <v>188</v>
      </c>
      <c r="GG3" s="1663">
        <f t="shared" si="5"/>
        <v>189</v>
      </c>
      <c r="GH3" s="1663">
        <f t="shared" si="5"/>
        <v>190</v>
      </c>
      <c r="GI3" s="1663">
        <f t="shared" ref="GI3:HN3" si="6">+GH3+1</f>
        <v>191</v>
      </c>
      <c r="GJ3" s="1663">
        <f t="shared" si="6"/>
        <v>192</v>
      </c>
      <c r="GK3" s="1663">
        <f t="shared" si="6"/>
        <v>193</v>
      </c>
      <c r="GL3" s="1663">
        <f t="shared" si="6"/>
        <v>194</v>
      </c>
      <c r="GM3" s="1663">
        <f t="shared" si="6"/>
        <v>195</v>
      </c>
      <c r="GN3" s="1663">
        <f t="shared" si="6"/>
        <v>196</v>
      </c>
      <c r="GO3" s="1663">
        <f t="shared" si="6"/>
        <v>197</v>
      </c>
      <c r="GP3" s="1663">
        <f t="shared" si="6"/>
        <v>198</v>
      </c>
      <c r="GQ3" s="1663">
        <f t="shared" si="6"/>
        <v>199</v>
      </c>
      <c r="GR3" s="1663">
        <f t="shared" si="6"/>
        <v>200</v>
      </c>
      <c r="GS3" s="1663">
        <f t="shared" si="6"/>
        <v>201</v>
      </c>
      <c r="GT3" s="1663">
        <f t="shared" si="6"/>
        <v>202</v>
      </c>
      <c r="GU3" s="1663">
        <f t="shared" si="6"/>
        <v>203</v>
      </c>
      <c r="GV3" s="1663">
        <f t="shared" si="6"/>
        <v>204</v>
      </c>
      <c r="GW3" s="1663">
        <f t="shared" si="6"/>
        <v>205</v>
      </c>
      <c r="GX3" s="1663">
        <f t="shared" si="6"/>
        <v>206</v>
      </c>
      <c r="GY3" s="1663">
        <f t="shared" si="6"/>
        <v>207</v>
      </c>
      <c r="GZ3" s="1663">
        <f t="shared" si="6"/>
        <v>208</v>
      </c>
      <c r="HA3" s="1663">
        <f t="shared" si="6"/>
        <v>209</v>
      </c>
      <c r="HB3" s="1663">
        <f t="shared" si="6"/>
        <v>210</v>
      </c>
      <c r="HC3" s="1663">
        <f t="shared" si="6"/>
        <v>211</v>
      </c>
      <c r="HD3" s="1663">
        <f t="shared" si="6"/>
        <v>212</v>
      </c>
      <c r="HE3" s="1663">
        <f t="shared" si="6"/>
        <v>213</v>
      </c>
      <c r="HF3" s="1663">
        <f t="shared" si="6"/>
        <v>214</v>
      </c>
      <c r="HG3" s="1663">
        <f t="shared" si="6"/>
        <v>215</v>
      </c>
      <c r="HH3" s="1663">
        <f t="shared" si="6"/>
        <v>216</v>
      </c>
      <c r="HI3" s="1663">
        <f t="shared" si="6"/>
        <v>217</v>
      </c>
      <c r="HJ3" s="1663">
        <f t="shared" si="6"/>
        <v>218</v>
      </c>
      <c r="HK3" s="1663">
        <f t="shared" si="6"/>
        <v>219</v>
      </c>
      <c r="HL3" s="1663">
        <f t="shared" si="6"/>
        <v>220</v>
      </c>
      <c r="HM3" s="1663">
        <f t="shared" si="6"/>
        <v>221</v>
      </c>
      <c r="HN3" s="1663">
        <f t="shared" si="6"/>
        <v>222</v>
      </c>
      <c r="HO3" s="1663">
        <f t="shared" ref="HO3:II3" si="7">+HN3+1</f>
        <v>223</v>
      </c>
      <c r="HP3" s="1663">
        <f t="shared" si="7"/>
        <v>224</v>
      </c>
      <c r="HQ3" s="1663">
        <f t="shared" si="7"/>
        <v>225</v>
      </c>
      <c r="HR3" s="1663">
        <f t="shared" si="7"/>
        <v>226</v>
      </c>
      <c r="HS3" s="1663">
        <f t="shared" si="7"/>
        <v>227</v>
      </c>
      <c r="HT3" s="1663">
        <f t="shared" si="7"/>
        <v>228</v>
      </c>
      <c r="HU3" s="1663">
        <f t="shared" si="7"/>
        <v>229</v>
      </c>
      <c r="HV3" s="1663">
        <f t="shared" si="7"/>
        <v>230</v>
      </c>
      <c r="HW3" s="1663">
        <f t="shared" si="7"/>
        <v>231</v>
      </c>
      <c r="HX3" s="1663">
        <f t="shared" si="7"/>
        <v>232</v>
      </c>
      <c r="HY3" s="1663">
        <f t="shared" si="7"/>
        <v>233</v>
      </c>
      <c r="HZ3" s="1663">
        <f t="shared" si="7"/>
        <v>234</v>
      </c>
      <c r="IA3" s="1664">
        <f t="shared" si="7"/>
        <v>235</v>
      </c>
      <c r="IB3" s="1664">
        <f t="shared" si="7"/>
        <v>236</v>
      </c>
      <c r="IC3" s="1664">
        <f t="shared" si="7"/>
        <v>237</v>
      </c>
      <c r="ID3" s="1664">
        <f t="shared" si="7"/>
        <v>238</v>
      </c>
      <c r="IE3" s="1664">
        <f t="shared" si="7"/>
        <v>239</v>
      </c>
      <c r="IF3" s="1664">
        <f t="shared" si="7"/>
        <v>240</v>
      </c>
      <c r="IG3" s="1664">
        <f t="shared" si="7"/>
        <v>241</v>
      </c>
      <c r="IH3" s="1664">
        <f t="shared" si="7"/>
        <v>242</v>
      </c>
      <c r="II3" s="1664">
        <f t="shared" si="7"/>
        <v>243</v>
      </c>
      <c r="IJ3" s="5418"/>
      <c r="IK3" s="5418"/>
      <c r="IL3" s="5422"/>
      <c r="IM3" s="5422"/>
      <c r="IN3" s="5416"/>
      <c r="IO3" s="5418"/>
      <c r="IP3" s="1664">
        <f>+IO1+1</f>
        <v>250</v>
      </c>
      <c r="IQ3" s="1664">
        <f t="shared" ref="IQ3:JT3" si="8">+IP3+1</f>
        <v>251</v>
      </c>
      <c r="IR3" s="1664">
        <f t="shared" si="8"/>
        <v>252</v>
      </c>
      <c r="IS3" s="1664">
        <f t="shared" si="8"/>
        <v>253</v>
      </c>
      <c r="IT3" s="1664">
        <f t="shared" si="8"/>
        <v>254</v>
      </c>
      <c r="IU3" s="1664">
        <f t="shared" si="8"/>
        <v>255</v>
      </c>
      <c r="IV3" s="1664">
        <f t="shared" si="8"/>
        <v>256</v>
      </c>
      <c r="IW3" s="1664">
        <f t="shared" si="8"/>
        <v>257</v>
      </c>
      <c r="IX3" s="1664">
        <f t="shared" si="8"/>
        <v>258</v>
      </c>
      <c r="IY3" s="1664">
        <f t="shared" si="8"/>
        <v>259</v>
      </c>
      <c r="IZ3" s="1664">
        <f t="shared" si="8"/>
        <v>260</v>
      </c>
      <c r="JA3" s="1664">
        <f t="shared" si="8"/>
        <v>261</v>
      </c>
      <c r="JB3" s="1664">
        <f t="shared" si="8"/>
        <v>262</v>
      </c>
      <c r="JC3" s="1664">
        <f t="shared" si="8"/>
        <v>263</v>
      </c>
      <c r="JD3" s="1664">
        <f t="shared" si="8"/>
        <v>264</v>
      </c>
      <c r="JE3" s="1664">
        <f t="shared" si="8"/>
        <v>265</v>
      </c>
      <c r="JF3" s="1664">
        <f t="shared" si="8"/>
        <v>266</v>
      </c>
      <c r="JG3" s="1664">
        <f t="shared" si="8"/>
        <v>267</v>
      </c>
      <c r="JH3" s="1664">
        <f t="shared" si="8"/>
        <v>268</v>
      </c>
      <c r="JI3" s="1664">
        <f t="shared" si="8"/>
        <v>269</v>
      </c>
      <c r="JJ3" s="1664">
        <f t="shared" si="8"/>
        <v>270</v>
      </c>
      <c r="JK3" s="1664">
        <f t="shared" si="8"/>
        <v>271</v>
      </c>
      <c r="JL3" s="1664">
        <f t="shared" si="8"/>
        <v>272</v>
      </c>
      <c r="JM3" s="1665">
        <f t="shared" si="8"/>
        <v>273</v>
      </c>
      <c r="JN3" s="1664">
        <f t="shared" si="8"/>
        <v>274</v>
      </c>
      <c r="JO3" s="1664">
        <f t="shared" si="8"/>
        <v>275</v>
      </c>
      <c r="JP3" s="1664">
        <f t="shared" si="8"/>
        <v>276</v>
      </c>
      <c r="JQ3" s="1664">
        <f t="shared" si="8"/>
        <v>277</v>
      </c>
      <c r="JR3" s="1664">
        <f t="shared" si="8"/>
        <v>278</v>
      </c>
      <c r="JS3" s="1664">
        <f t="shared" si="8"/>
        <v>279</v>
      </c>
      <c r="JT3" s="1664">
        <f t="shared" si="8"/>
        <v>280</v>
      </c>
    </row>
    <row r="4" spans="1:280" ht="13.5" customHeight="1" x14ac:dyDescent="0.2">
      <c r="B4" s="5420" t="s">
        <v>4002</v>
      </c>
      <c r="C4" s="5420"/>
      <c r="D4" s="1662" t="s">
        <v>4001</v>
      </c>
      <c r="F4" s="1658" t="s">
        <v>4000</v>
      </c>
      <c r="G4" s="1657"/>
      <c r="L4" s="1658" t="s">
        <v>3999</v>
      </c>
      <c r="M4" s="1658"/>
      <c r="N4" s="1658"/>
      <c r="O4" s="1658"/>
      <c r="P4" s="1658"/>
      <c r="R4" s="1658" t="s">
        <v>3998</v>
      </c>
      <c r="S4" s="1657"/>
      <c r="T4" s="1657"/>
      <c r="U4" s="1657"/>
      <c r="V4" s="1657"/>
      <c r="W4" s="1657"/>
      <c r="Y4" s="1658" t="s">
        <v>3992</v>
      </c>
      <c r="Z4" s="1657"/>
      <c r="AA4" s="1657"/>
      <c r="AB4" s="1657"/>
      <c r="AC4" s="1657"/>
      <c r="AD4" s="1657"/>
      <c r="AE4" s="1657"/>
      <c r="AF4" s="1658" t="s">
        <v>3997</v>
      </c>
      <c r="AG4" s="1657"/>
      <c r="AH4" s="1657"/>
      <c r="AI4" s="1657"/>
      <c r="AJ4" s="1657"/>
      <c r="AK4" s="1657"/>
      <c r="AM4" s="1658" t="s">
        <v>3996</v>
      </c>
      <c r="AN4" s="1657"/>
      <c r="AO4" s="1657"/>
      <c r="AP4" s="1657"/>
      <c r="AQ4" s="1657"/>
      <c r="AR4" s="1657"/>
      <c r="AS4" s="1657"/>
      <c r="AT4" s="1657"/>
      <c r="AU4" s="1657"/>
      <c r="AV4" s="1657"/>
      <c r="AW4" s="1657"/>
      <c r="AY4" s="1661" t="s">
        <v>3995</v>
      </c>
      <c r="AZ4" s="1660"/>
      <c r="BA4" s="1660"/>
      <c r="BB4" s="1660"/>
      <c r="BC4" s="1660"/>
      <c r="BD4" s="1660"/>
      <c r="BE4" s="1660"/>
      <c r="BF4" s="1660"/>
      <c r="BG4" s="1660"/>
      <c r="BH4" s="1660"/>
      <c r="BI4" s="1660"/>
      <c r="BK4" s="1658" t="s">
        <v>3994</v>
      </c>
      <c r="BL4" s="1658"/>
      <c r="BM4" s="1658"/>
      <c r="BN4" s="1658"/>
      <c r="BO4" s="1659"/>
      <c r="BP4" s="1659"/>
      <c r="BQ4" s="1658" t="s">
        <v>3993</v>
      </c>
      <c r="BR4" s="1657"/>
      <c r="BS4" s="1657"/>
      <c r="BU4" s="1658" t="s">
        <v>3992</v>
      </c>
      <c r="BV4" s="1657"/>
      <c r="BW4" s="1657"/>
      <c r="BX4" s="1657"/>
      <c r="BY4" s="1657"/>
      <c r="BZ4" s="1657"/>
      <c r="CA4" s="1657"/>
      <c r="CC4" s="1658" t="s">
        <v>3991</v>
      </c>
      <c r="CD4" s="1657"/>
      <c r="CE4" s="1657"/>
      <c r="CF4" s="1657"/>
      <c r="CG4" s="1657"/>
      <c r="CH4" s="1657"/>
      <c r="CI4" s="1657"/>
      <c r="CK4" s="1658" t="s">
        <v>3990</v>
      </c>
      <c r="CL4" s="1657"/>
      <c r="CM4" s="1657"/>
      <c r="CN4" s="1657"/>
      <c r="CO4" s="1657"/>
      <c r="CP4" s="1657"/>
      <c r="CR4" s="1658" t="s">
        <v>3989</v>
      </c>
      <c r="CS4" s="1657"/>
      <c r="CT4" s="1657"/>
      <c r="CU4" s="1657"/>
      <c r="CV4" s="1657"/>
      <c r="CW4" s="1657"/>
      <c r="CX4" s="1657"/>
      <c r="CY4" s="1657"/>
      <c r="CZ4" s="1657"/>
      <c r="DA4" s="1657"/>
      <c r="DB4" s="1657"/>
      <c r="DC4" s="1657"/>
      <c r="DD4" s="1657"/>
      <c r="DE4" s="1657"/>
      <c r="DI4" s="1658" t="s">
        <v>3988</v>
      </c>
      <c r="DJ4" s="1657"/>
      <c r="DK4" s="1657"/>
      <c r="DL4" s="1657"/>
      <c r="DM4" s="1657"/>
      <c r="DN4" s="1657"/>
      <c r="DO4" s="1657"/>
      <c r="DP4" s="1657"/>
      <c r="DQ4" s="1657"/>
      <c r="DR4" s="1657"/>
      <c r="DS4" s="1657"/>
      <c r="DT4" s="1657"/>
      <c r="DU4" s="1657"/>
      <c r="DV4" s="1657"/>
      <c r="DW4" s="1600"/>
      <c r="IC4" s="1658" t="s">
        <v>3987</v>
      </c>
      <c r="ID4" s="1657"/>
      <c r="IE4" s="1657"/>
      <c r="IF4" s="1657"/>
      <c r="IG4" s="1656"/>
      <c r="IH4" s="1656"/>
      <c r="II4" s="1656"/>
      <c r="IJ4" s="5419"/>
      <c r="IK4" s="5419"/>
      <c r="IL4" s="5423"/>
      <c r="IM4" s="5423"/>
      <c r="IN4" s="5417"/>
      <c r="IO4" s="5419"/>
      <c r="IP4" s="1655" t="s">
        <v>3986</v>
      </c>
      <c r="IQ4" s="1654" t="s">
        <v>3985</v>
      </c>
      <c r="IR4" s="1653"/>
      <c r="IS4" s="1652" t="s">
        <v>3984</v>
      </c>
      <c r="IT4" s="1648"/>
      <c r="IU4" s="1648"/>
      <c r="IV4" s="1648"/>
      <c r="IW4" s="1648"/>
      <c r="IX4" s="1648"/>
      <c r="IY4" s="1648"/>
      <c r="IZ4" s="1648"/>
      <c r="JA4" s="1648"/>
      <c r="JB4" s="1648"/>
      <c r="JC4" s="1648"/>
      <c r="JD4" s="1648"/>
      <c r="JE4" s="1648"/>
      <c r="JF4" s="1648"/>
      <c r="JG4" s="1648"/>
      <c r="JH4" s="1648"/>
      <c r="JI4" s="1648"/>
      <c r="JJ4" s="1648"/>
      <c r="JK4" s="1648"/>
      <c r="JL4" s="1649"/>
      <c r="JM4" s="1651"/>
      <c r="JN4" s="1649"/>
      <c r="JO4" s="1650"/>
      <c r="JP4" s="1649"/>
      <c r="JQ4" s="1648"/>
      <c r="JR4" s="1648"/>
      <c r="JS4" s="1648"/>
      <c r="JT4" s="1648"/>
    </row>
    <row r="5" spans="1:280" ht="69" customHeight="1" thickBot="1" x14ac:dyDescent="0.25">
      <c r="A5" s="1642" t="s">
        <v>3983</v>
      </c>
      <c r="B5" s="1642" t="s">
        <v>3982</v>
      </c>
      <c r="C5" s="1642" t="s">
        <v>3981</v>
      </c>
      <c r="D5" s="1647" t="s">
        <v>3980</v>
      </c>
      <c r="E5" s="1644" t="s">
        <v>3979</v>
      </c>
      <c r="F5" s="1644" t="s">
        <v>3942</v>
      </c>
      <c r="G5" s="1644" t="s">
        <v>3941</v>
      </c>
      <c r="H5" s="1644" t="s">
        <v>3978</v>
      </c>
      <c r="I5" s="1644" t="s">
        <v>3977</v>
      </c>
      <c r="J5" s="1644" t="s">
        <v>3976</v>
      </c>
      <c r="K5" s="1646" t="s">
        <v>3975</v>
      </c>
      <c r="L5" s="1645" t="s">
        <v>3974</v>
      </c>
      <c r="M5" s="1645" t="s">
        <v>3973</v>
      </c>
      <c r="N5" s="1645" t="s">
        <v>3972</v>
      </c>
      <c r="O5" s="1645" t="s">
        <v>3971</v>
      </c>
      <c r="P5" s="1644" t="s">
        <v>3970</v>
      </c>
      <c r="Q5" s="1641"/>
      <c r="R5" s="1638" t="s">
        <v>3969</v>
      </c>
      <c r="S5" s="1638" t="s">
        <v>3968</v>
      </c>
      <c r="T5" s="1638" t="s">
        <v>3967</v>
      </c>
      <c r="U5" s="1638" t="s">
        <v>3966</v>
      </c>
      <c r="V5" s="1638" t="s">
        <v>3965</v>
      </c>
      <c r="W5" s="1638" t="s">
        <v>3964</v>
      </c>
      <c r="X5" s="1644"/>
      <c r="Y5" s="1638" t="s">
        <v>3933</v>
      </c>
      <c r="Z5" s="1638" t="s">
        <v>3932</v>
      </c>
      <c r="AA5" s="1638" t="s">
        <v>3931</v>
      </c>
      <c r="AB5" s="1638" t="s">
        <v>3930</v>
      </c>
      <c r="AC5" s="1638" t="s">
        <v>3929</v>
      </c>
      <c r="AD5" s="1638" t="s">
        <v>3963</v>
      </c>
      <c r="AE5" s="1638" t="s">
        <v>3927</v>
      </c>
      <c r="AF5" s="1638" t="s">
        <v>3926</v>
      </c>
      <c r="AG5" s="1638" t="s">
        <v>3925</v>
      </c>
      <c r="AH5" s="1638" t="s">
        <v>3924</v>
      </c>
      <c r="AI5" s="1638" t="s">
        <v>3923</v>
      </c>
      <c r="AJ5" s="1638" t="s">
        <v>3922</v>
      </c>
      <c r="AK5" s="1638" t="s">
        <v>3921</v>
      </c>
      <c r="AL5" s="1644"/>
      <c r="AM5" s="1643" t="s">
        <v>3959</v>
      </c>
      <c r="AN5" s="1643" t="s">
        <v>3958</v>
      </c>
      <c r="AO5" s="1643" t="s">
        <v>3957</v>
      </c>
      <c r="AP5" s="1643" t="s">
        <v>3962</v>
      </c>
      <c r="AQ5" s="1643" t="s">
        <v>3955</v>
      </c>
      <c r="AR5" s="1643" t="s">
        <v>3954</v>
      </c>
      <c r="AS5" s="1643" t="s">
        <v>3953</v>
      </c>
      <c r="AT5" s="1643" t="s">
        <v>3961</v>
      </c>
      <c r="AU5" s="1643" t="s">
        <v>3951</v>
      </c>
      <c r="AV5" s="1643" t="s">
        <v>3960</v>
      </c>
      <c r="AW5" s="1643" t="s">
        <v>3949</v>
      </c>
      <c r="AX5" s="1643"/>
      <c r="AY5" s="1643" t="s">
        <v>3959</v>
      </c>
      <c r="AZ5" s="1643" t="s">
        <v>3958</v>
      </c>
      <c r="BA5" s="1643" t="s">
        <v>3957</v>
      </c>
      <c r="BB5" s="1643" t="s">
        <v>3956</v>
      </c>
      <c r="BC5" s="1643" t="s">
        <v>3955</v>
      </c>
      <c r="BD5" s="1643" t="s">
        <v>3954</v>
      </c>
      <c r="BE5" s="1643" t="s">
        <v>3953</v>
      </c>
      <c r="BF5" s="1643" t="s">
        <v>3952</v>
      </c>
      <c r="BG5" s="1643" t="s">
        <v>3951</v>
      </c>
      <c r="BH5" s="1643" t="s">
        <v>3950</v>
      </c>
      <c r="BI5" s="1643" t="s">
        <v>3949</v>
      </c>
      <c r="BJ5" s="1641"/>
      <c r="BK5" s="1638" t="s">
        <v>3948</v>
      </c>
      <c r="BL5" s="1638" t="s">
        <v>3947</v>
      </c>
      <c r="BM5" s="1638" t="s">
        <v>3946</v>
      </c>
      <c r="BN5" s="1642" t="s">
        <v>3945</v>
      </c>
      <c r="BO5" s="1642"/>
      <c r="BP5" s="1642" t="s">
        <v>3944</v>
      </c>
      <c r="BQ5" s="1638" t="s">
        <v>3943</v>
      </c>
      <c r="BR5" s="1642" t="s">
        <v>3942</v>
      </c>
      <c r="BS5" s="1638" t="s">
        <v>3941</v>
      </c>
      <c r="BT5" s="1641"/>
      <c r="BU5" s="1638" t="s">
        <v>3940</v>
      </c>
      <c r="BV5" s="1638" t="s">
        <v>3939</v>
      </c>
      <c r="BW5" s="1638" t="s">
        <v>3938</v>
      </c>
      <c r="BX5" s="1638" t="s">
        <v>3937</v>
      </c>
      <c r="BY5" s="1638" t="s">
        <v>3936</v>
      </c>
      <c r="BZ5" s="1638" t="s">
        <v>3935</v>
      </c>
      <c r="CA5" s="1638" t="s">
        <v>3934</v>
      </c>
      <c r="CB5" s="1641"/>
      <c r="CC5" s="1638" t="s">
        <v>3933</v>
      </c>
      <c r="CD5" s="1638" t="s">
        <v>3932</v>
      </c>
      <c r="CE5" s="1638" t="s">
        <v>3931</v>
      </c>
      <c r="CF5" s="1638" t="s">
        <v>3930</v>
      </c>
      <c r="CG5" s="1638" t="s">
        <v>3929</v>
      </c>
      <c r="CH5" s="1638" t="s">
        <v>3928</v>
      </c>
      <c r="CI5" s="1638" t="s">
        <v>3927</v>
      </c>
      <c r="CJ5" s="1638"/>
      <c r="CK5" s="1638" t="s">
        <v>3926</v>
      </c>
      <c r="CL5" s="1638" t="s">
        <v>3925</v>
      </c>
      <c r="CM5" s="1638" t="s">
        <v>3924</v>
      </c>
      <c r="CN5" s="1638" t="s">
        <v>3923</v>
      </c>
      <c r="CO5" s="1638" t="s">
        <v>3922</v>
      </c>
      <c r="CP5" s="1638" t="s">
        <v>3921</v>
      </c>
      <c r="CQ5" s="1640" t="s">
        <v>3920</v>
      </c>
      <c r="CR5" s="1640" t="s">
        <v>3919</v>
      </c>
      <c r="CS5" s="1640" t="s">
        <v>3918</v>
      </c>
      <c r="CT5" s="1640" t="s">
        <v>3917</v>
      </c>
      <c r="CU5" s="1640" t="s">
        <v>3916</v>
      </c>
      <c r="CV5" s="1640" t="s">
        <v>3915</v>
      </c>
      <c r="CW5" s="1640" t="s">
        <v>3914</v>
      </c>
      <c r="CX5" s="1640" t="s">
        <v>3913</v>
      </c>
      <c r="CY5" s="1640" t="s">
        <v>3912</v>
      </c>
      <c r="CZ5" s="1640" t="s">
        <v>3911</v>
      </c>
      <c r="DA5" s="1640" t="s">
        <v>3910</v>
      </c>
      <c r="DB5" s="1640" t="s">
        <v>3909</v>
      </c>
      <c r="DC5" s="1640" t="s">
        <v>3908</v>
      </c>
      <c r="DD5" s="1640" t="s">
        <v>3907</v>
      </c>
      <c r="DE5" s="1640" t="s">
        <v>3906</v>
      </c>
      <c r="DF5" s="1638" t="s">
        <v>3905</v>
      </c>
      <c r="DG5" s="1638" t="s">
        <v>3904</v>
      </c>
      <c r="DH5" s="1638" t="s">
        <v>3903</v>
      </c>
      <c r="DI5" s="1638" t="s">
        <v>3902</v>
      </c>
      <c r="DJ5" s="1638" t="s">
        <v>3901</v>
      </c>
      <c r="DK5" s="1638" t="s">
        <v>3900</v>
      </c>
      <c r="DL5" s="1638" t="s">
        <v>3899</v>
      </c>
      <c r="DM5" s="1638" t="s">
        <v>3898</v>
      </c>
      <c r="DN5" s="1638" t="s">
        <v>3897</v>
      </c>
      <c r="DO5" s="1638" t="s">
        <v>3896</v>
      </c>
      <c r="DP5" s="1638" t="s">
        <v>3895</v>
      </c>
      <c r="DQ5" s="1638" t="s">
        <v>3894</v>
      </c>
      <c r="DR5" s="1638" t="s">
        <v>3893</v>
      </c>
      <c r="DS5" s="1638" t="s">
        <v>3892</v>
      </c>
      <c r="DT5" s="1638" t="s">
        <v>3891</v>
      </c>
      <c r="DU5" s="1638" t="s">
        <v>3890</v>
      </c>
      <c r="DV5" s="1638" t="s">
        <v>3889</v>
      </c>
      <c r="DW5" s="1638" t="s">
        <v>3888</v>
      </c>
      <c r="DX5" s="1639" t="s">
        <v>3887</v>
      </c>
      <c r="DY5" s="1639" t="s">
        <v>3886</v>
      </c>
      <c r="DZ5" s="1639" t="s">
        <v>3885</v>
      </c>
      <c r="EA5" s="1639" t="s">
        <v>3884</v>
      </c>
      <c r="EB5" s="1639" t="s">
        <v>3883</v>
      </c>
      <c r="EC5" s="1639" t="s">
        <v>3882</v>
      </c>
      <c r="ED5" s="1639" t="s">
        <v>3881</v>
      </c>
      <c r="EE5" s="1639" t="s">
        <v>3880</v>
      </c>
      <c r="EF5" s="1639" t="s">
        <v>3879</v>
      </c>
      <c r="EG5" s="1639" t="s">
        <v>3878</v>
      </c>
      <c r="EH5" s="1639" t="s">
        <v>3877</v>
      </c>
      <c r="EI5" s="1639" t="s">
        <v>3876</v>
      </c>
      <c r="EJ5" s="1639" t="s">
        <v>3875</v>
      </c>
      <c r="EK5" s="1639" t="s">
        <v>3874</v>
      </c>
      <c r="EL5" s="1639" t="s">
        <v>3873</v>
      </c>
      <c r="EM5" s="1639" t="s">
        <v>3872</v>
      </c>
      <c r="EN5" s="1639" t="s">
        <v>3871</v>
      </c>
      <c r="EO5" s="1639" t="s">
        <v>3870</v>
      </c>
      <c r="EP5" s="1639" t="s">
        <v>3869</v>
      </c>
      <c r="EQ5" s="1639" t="s">
        <v>3868</v>
      </c>
      <c r="ER5" s="1639" t="s">
        <v>3867</v>
      </c>
      <c r="ES5" s="1639" t="s">
        <v>3866</v>
      </c>
      <c r="ET5" s="1639" t="s">
        <v>3865</v>
      </c>
      <c r="EU5" s="1639" t="s">
        <v>3864</v>
      </c>
      <c r="EV5" s="1639" t="s">
        <v>3863</v>
      </c>
      <c r="EW5" s="1639" t="s">
        <v>3862</v>
      </c>
      <c r="EX5" s="1639" t="s">
        <v>3861</v>
      </c>
      <c r="EY5" s="1639" t="s">
        <v>3860</v>
      </c>
      <c r="EZ5" s="1639" t="s">
        <v>3859</v>
      </c>
      <c r="FA5" s="1639" t="s">
        <v>3858</v>
      </c>
      <c r="FB5" s="1639" t="s">
        <v>3857</v>
      </c>
      <c r="FC5" s="1639" t="s">
        <v>3856</v>
      </c>
      <c r="FD5" s="1639" t="s">
        <v>3855</v>
      </c>
      <c r="FE5" s="1639" t="s">
        <v>3854</v>
      </c>
      <c r="FF5" s="1639" t="s">
        <v>3853</v>
      </c>
      <c r="FG5" s="1639" t="s">
        <v>3852</v>
      </c>
      <c r="FH5" s="1639" t="s">
        <v>3851</v>
      </c>
      <c r="FI5" s="1639" t="s">
        <v>3850</v>
      </c>
      <c r="FJ5" s="1639" t="s">
        <v>3849</v>
      </c>
      <c r="FK5" s="1639" t="s">
        <v>3848</v>
      </c>
      <c r="FL5" s="1639" t="s">
        <v>3847</v>
      </c>
      <c r="FM5" s="1639" t="s">
        <v>3846</v>
      </c>
      <c r="FN5" s="1639" t="s">
        <v>3845</v>
      </c>
      <c r="FO5" s="1639" t="s">
        <v>3844</v>
      </c>
      <c r="FP5" s="1639" t="s">
        <v>3843</v>
      </c>
      <c r="FQ5" s="1639" t="s">
        <v>3842</v>
      </c>
      <c r="FR5" s="1639" t="s">
        <v>3841</v>
      </c>
      <c r="FS5" s="1639" t="s">
        <v>3840</v>
      </c>
      <c r="FT5" s="1639" t="s">
        <v>3839</v>
      </c>
      <c r="FU5" s="1639" t="s">
        <v>3838</v>
      </c>
      <c r="FV5" s="1639" t="s">
        <v>3837</v>
      </c>
      <c r="FW5" s="1639" t="s">
        <v>3836</v>
      </c>
      <c r="FX5" s="1639" t="s">
        <v>3835</v>
      </c>
      <c r="FY5" s="1639" t="s">
        <v>3834</v>
      </c>
      <c r="FZ5" s="1639" t="s">
        <v>3833</v>
      </c>
      <c r="GA5" s="1639" t="s">
        <v>3832</v>
      </c>
      <c r="GB5" s="1639" t="s">
        <v>3831</v>
      </c>
      <c r="GC5" s="1639" t="s">
        <v>3830</v>
      </c>
      <c r="GD5" s="1639" t="s">
        <v>3829</v>
      </c>
      <c r="GE5" s="1639" t="s">
        <v>3828</v>
      </c>
      <c r="GF5" s="1639" t="s">
        <v>3827</v>
      </c>
      <c r="GG5" s="1639" t="s">
        <v>3826</v>
      </c>
      <c r="GH5" s="1639" t="s">
        <v>3825</v>
      </c>
      <c r="GI5" s="1639" t="s">
        <v>3824</v>
      </c>
      <c r="GJ5" s="1639" t="s">
        <v>3823</v>
      </c>
      <c r="GK5" s="1639" t="s">
        <v>3822</v>
      </c>
      <c r="GL5" s="1639" t="s">
        <v>3821</v>
      </c>
      <c r="GM5" s="1639" t="s">
        <v>3820</v>
      </c>
      <c r="GN5" s="1639" t="s">
        <v>3819</v>
      </c>
      <c r="GO5" s="1639" t="s">
        <v>3818</v>
      </c>
      <c r="GP5" s="1639" t="s">
        <v>3817</v>
      </c>
      <c r="GQ5" s="1639" t="s">
        <v>3816</v>
      </c>
      <c r="GR5" s="1639" t="s">
        <v>3815</v>
      </c>
      <c r="GS5" s="1639" t="s">
        <v>3814</v>
      </c>
      <c r="GT5" s="1639" t="s">
        <v>3813</v>
      </c>
      <c r="GU5" s="1639" t="s">
        <v>3812</v>
      </c>
      <c r="GV5" s="1639" t="s">
        <v>3811</v>
      </c>
      <c r="GW5" s="1639" t="s">
        <v>3810</v>
      </c>
      <c r="GX5" s="1639" t="s">
        <v>3809</v>
      </c>
      <c r="GY5" s="1639" t="s">
        <v>3808</v>
      </c>
      <c r="GZ5" s="1639" t="s">
        <v>3807</v>
      </c>
      <c r="HA5" s="1639" t="s">
        <v>3806</v>
      </c>
      <c r="HB5" s="1639" t="s">
        <v>3805</v>
      </c>
      <c r="HC5" s="1639" t="s">
        <v>3804</v>
      </c>
      <c r="HD5" s="1639" t="s">
        <v>3803</v>
      </c>
      <c r="HE5" s="1639" t="s">
        <v>3802</v>
      </c>
      <c r="HF5" s="1639" t="s">
        <v>3801</v>
      </c>
      <c r="HG5" s="1639" t="s">
        <v>3800</v>
      </c>
      <c r="HH5" s="1639" t="s">
        <v>3799</v>
      </c>
      <c r="HI5" s="1639" t="s">
        <v>3798</v>
      </c>
      <c r="HJ5" s="1639" t="s">
        <v>3797</v>
      </c>
      <c r="HK5" s="1639" t="s">
        <v>3796</v>
      </c>
      <c r="HL5" s="1639" t="s">
        <v>3795</v>
      </c>
      <c r="HM5" s="1639" t="s">
        <v>3794</v>
      </c>
      <c r="HN5" s="1639" t="s">
        <v>3793</v>
      </c>
      <c r="HO5" s="1639" t="s">
        <v>3792</v>
      </c>
      <c r="HP5" s="1639" t="s">
        <v>3791</v>
      </c>
      <c r="HQ5" s="1639" t="s">
        <v>3790</v>
      </c>
      <c r="HR5" s="1639" t="s">
        <v>3789</v>
      </c>
      <c r="HS5" s="1639" t="s">
        <v>3788</v>
      </c>
      <c r="HT5" s="1639" t="s">
        <v>3787</v>
      </c>
      <c r="HU5" s="1639" t="s">
        <v>3786</v>
      </c>
      <c r="HV5" s="1639"/>
      <c r="HW5" s="1600" t="s">
        <v>3785</v>
      </c>
      <c r="HX5" s="1600" t="s">
        <v>3784</v>
      </c>
      <c r="HY5" s="1600" t="s">
        <v>3783</v>
      </c>
      <c r="IC5" s="1638" t="s">
        <v>3782</v>
      </c>
      <c r="ID5" s="1638" t="s">
        <v>3781</v>
      </c>
      <c r="IE5" s="1638" t="s">
        <v>3780</v>
      </c>
      <c r="IF5" s="1638" t="s">
        <v>3779</v>
      </c>
      <c r="IG5" s="1637" t="s">
        <v>3778</v>
      </c>
      <c r="IH5" s="1636" t="s">
        <v>3777</v>
      </c>
      <c r="II5" s="1635" t="s">
        <v>3776</v>
      </c>
      <c r="IJ5" s="1631" t="s">
        <v>3775</v>
      </c>
      <c r="IK5" s="1631" t="s">
        <v>3774</v>
      </c>
      <c r="IL5" s="1634" t="s">
        <v>3773</v>
      </c>
      <c r="IM5" s="1634" t="s">
        <v>3772</v>
      </c>
      <c r="IN5" s="1633" t="s">
        <v>3771</v>
      </c>
      <c r="IO5" s="1631" t="s">
        <v>3770</v>
      </c>
      <c r="IP5" s="1630" t="s">
        <v>3769</v>
      </c>
      <c r="IQ5" s="1633" t="s">
        <v>3768</v>
      </c>
      <c r="IR5" s="1633" t="s">
        <v>3767</v>
      </c>
      <c r="IS5" s="1630" t="s">
        <v>3766</v>
      </c>
      <c r="IT5" s="1630" t="s">
        <v>3765</v>
      </c>
      <c r="IU5" s="1630" t="s">
        <v>3764</v>
      </c>
      <c r="IV5" s="1630" t="s">
        <v>3763</v>
      </c>
      <c r="IW5" s="1630" t="s">
        <v>3762</v>
      </c>
      <c r="IX5" s="1630" t="s">
        <v>3761</v>
      </c>
      <c r="IY5" s="1630" t="s">
        <v>3760</v>
      </c>
      <c r="IZ5" s="1630" t="s">
        <v>3759</v>
      </c>
      <c r="JA5" s="1630" t="s">
        <v>3758</v>
      </c>
      <c r="JB5" s="1630" t="s">
        <v>3757</v>
      </c>
      <c r="JC5" s="1630" t="s">
        <v>3756</v>
      </c>
      <c r="JD5" s="1630" t="s">
        <v>3755</v>
      </c>
      <c r="JE5" s="1630" t="s">
        <v>3754</v>
      </c>
      <c r="JF5" s="1630" t="s">
        <v>3753</v>
      </c>
      <c r="JG5" s="1630" t="s">
        <v>3752</v>
      </c>
      <c r="JH5" s="1630" t="s">
        <v>3751</v>
      </c>
      <c r="JI5" s="1630" t="s">
        <v>3750</v>
      </c>
      <c r="JJ5" s="1630" t="s">
        <v>3749</v>
      </c>
      <c r="JK5" s="1630" t="s">
        <v>3748</v>
      </c>
      <c r="JL5" s="1631" t="s">
        <v>3747</v>
      </c>
      <c r="JM5" s="1632" t="s">
        <v>3746</v>
      </c>
      <c r="JN5" s="1631" t="s">
        <v>3745</v>
      </c>
      <c r="JO5" s="1631" t="s">
        <v>3744</v>
      </c>
      <c r="JP5" s="1631" t="s">
        <v>3743</v>
      </c>
      <c r="JQ5" s="1630" t="s">
        <v>3742</v>
      </c>
      <c r="JR5" s="1630" t="s">
        <v>3741</v>
      </c>
      <c r="JS5" s="1630" t="s">
        <v>3740</v>
      </c>
      <c r="JT5" s="1630" t="s">
        <v>3739</v>
      </c>
    </row>
    <row r="6" spans="1:280" ht="15" customHeight="1" x14ac:dyDescent="0.2">
      <c r="A6" s="1626">
        <v>94800</v>
      </c>
      <c r="B6" s="1625">
        <v>948</v>
      </c>
      <c r="C6" s="1624">
        <v>0</v>
      </c>
      <c r="D6" s="1623" t="s">
        <v>3738</v>
      </c>
      <c r="E6" s="1622">
        <v>43031</v>
      </c>
      <c r="F6" s="1620">
        <v>1.5695119733062399</v>
      </c>
      <c r="G6" s="1620">
        <v>1.5042855016883101</v>
      </c>
      <c r="H6" s="1621">
        <v>100</v>
      </c>
      <c r="I6" s="1621">
        <v>100</v>
      </c>
      <c r="J6" s="1621">
        <v>100</v>
      </c>
      <c r="K6" s="1620">
        <v>1</v>
      </c>
      <c r="L6" s="1620">
        <v>99</v>
      </c>
      <c r="M6" s="1620">
        <v>1E-4</v>
      </c>
      <c r="N6" s="1620">
        <v>0</v>
      </c>
      <c r="O6" s="1620">
        <v>0</v>
      </c>
      <c r="P6" s="1620">
        <v>0</v>
      </c>
      <c r="Q6" s="1603"/>
      <c r="R6" s="1620">
        <v>0</v>
      </c>
      <c r="S6" s="1620">
        <v>0</v>
      </c>
      <c r="T6" s="1620">
        <v>0</v>
      </c>
      <c r="U6" s="1620">
        <v>0</v>
      </c>
      <c r="V6" s="1620">
        <v>0</v>
      </c>
      <c r="W6" s="1620">
        <v>0</v>
      </c>
      <c r="X6" s="1620"/>
      <c r="Y6" s="1620">
        <v>0</v>
      </c>
      <c r="Z6" s="1620">
        <v>0</v>
      </c>
      <c r="AA6" s="1620">
        <v>0</v>
      </c>
      <c r="AB6" s="1620">
        <v>0</v>
      </c>
      <c r="AC6" s="1620">
        <v>0</v>
      </c>
      <c r="AD6" s="1620">
        <v>0</v>
      </c>
      <c r="AE6" s="1620">
        <v>0</v>
      </c>
      <c r="AF6" s="1620">
        <v>0</v>
      </c>
      <c r="AG6" s="1620">
        <v>0</v>
      </c>
      <c r="AH6" s="1620">
        <v>0</v>
      </c>
      <c r="AI6" s="1620">
        <v>0</v>
      </c>
      <c r="AJ6" s="1620">
        <v>0</v>
      </c>
      <c r="AK6" s="1620">
        <v>0</v>
      </c>
      <c r="AL6" s="1620"/>
      <c r="AM6" s="1620">
        <v>0</v>
      </c>
      <c r="AN6" s="1620">
        <v>0</v>
      </c>
      <c r="AO6" s="1620">
        <v>0</v>
      </c>
      <c r="AP6" s="1620">
        <v>0</v>
      </c>
      <c r="AQ6" s="1620">
        <v>0</v>
      </c>
      <c r="AR6" s="1620">
        <v>0</v>
      </c>
      <c r="AS6" s="1620">
        <v>0</v>
      </c>
      <c r="AT6" s="1620">
        <v>0</v>
      </c>
      <c r="AU6" s="1620">
        <v>0</v>
      </c>
      <c r="AV6" s="1620">
        <v>0</v>
      </c>
      <c r="AW6" s="1620">
        <v>0</v>
      </c>
      <c r="AX6" s="1620"/>
      <c r="AY6" s="1620">
        <v>1</v>
      </c>
      <c r="AZ6" s="1620">
        <v>1</v>
      </c>
      <c r="BA6" s="1620">
        <v>1</v>
      </c>
      <c r="BB6" s="1620">
        <v>1</v>
      </c>
      <c r="BC6" s="1620">
        <v>1</v>
      </c>
      <c r="BD6" s="1620">
        <v>1</v>
      </c>
      <c r="BE6" s="1620">
        <v>1</v>
      </c>
      <c r="BF6" s="1620">
        <v>1</v>
      </c>
      <c r="BG6" s="1620">
        <v>1</v>
      </c>
      <c r="BH6" s="1620">
        <v>1</v>
      </c>
      <c r="BI6" s="1620">
        <v>1</v>
      </c>
      <c r="BJ6" s="1603"/>
      <c r="BK6" s="1620">
        <v>1.0101010101010101E-4</v>
      </c>
      <c r="BL6" s="1620">
        <v>0</v>
      </c>
      <c r="BM6" s="1620">
        <v>0</v>
      </c>
      <c r="BN6" s="1620">
        <v>0</v>
      </c>
      <c r="BO6" s="1620"/>
      <c r="BP6" s="1620">
        <v>0</v>
      </c>
      <c r="BQ6" s="1620">
        <v>0</v>
      </c>
      <c r="BR6" s="1620">
        <v>1.5853656296022625</v>
      </c>
      <c r="BS6" s="1620">
        <v>1.5194803047356669</v>
      </c>
      <c r="BT6" s="1603"/>
      <c r="BU6" s="1620">
        <v>1000</v>
      </c>
      <c r="BV6" s="1620">
        <v>999.99908080808075</v>
      </c>
      <c r="BW6" s="1620">
        <v>0</v>
      </c>
      <c r="BX6" s="1620" t="s">
        <v>270</v>
      </c>
      <c r="BY6" s="1620" t="s">
        <v>270</v>
      </c>
      <c r="BZ6" s="1620" t="s">
        <v>270</v>
      </c>
      <c r="CA6" s="1620" t="s">
        <v>270</v>
      </c>
      <c r="CB6" s="1603"/>
      <c r="CC6" s="1603">
        <v>0</v>
      </c>
      <c r="CD6" s="1603">
        <v>0</v>
      </c>
      <c r="CE6" s="1603">
        <v>0</v>
      </c>
      <c r="CF6" s="1603">
        <v>0</v>
      </c>
      <c r="CG6" s="1603">
        <v>0</v>
      </c>
      <c r="CH6" s="1603">
        <v>0</v>
      </c>
      <c r="CI6" s="1603">
        <v>0</v>
      </c>
      <c r="CJ6" s="1603"/>
      <c r="CK6" s="1603">
        <v>0</v>
      </c>
      <c r="CL6" s="1603">
        <v>0</v>
      </c>
      <c r="CM6" s="1603">
        <v>0</v>
      </c>
      <c r="CN6" s="1603">
        <v>0</v>
      </c>
      <c r="CO6" s="1603">
        <v>0</v>
      </c>
      <c r="CP6" s="1603">
        <v>0</v>
      </c>
      <c r="CQ6" s="1603">
        <v>0</v>
      </c>
      <c r="CR6" s="1603">
        <v>0</v>
      </c>
      <c r="CS6" s="1603">
        <v>0</v>
      </c>
      <c r="CT6" s="1603">
        <v>0</v>
      </c>
      <c r="CU6" s="1603">
        <v>0</v>
      </c>
      <c r="CV6" s="1603">
        <v>0</v>
      </c>
      <c r="CW6" s="1603">
        <v>0</v>
      </c>
      <c r="CX6" s="1603">
        <v>0</v>
      </c>
      <c r="CY6" s="1603">
        <v>0</v>
      </c>
      <c r="CZ6" s="1603">
        <v>0</v>
      </c>
      <c r="DA6" s="1603">
        <v>0</v>
      </c>
      <c r="DB6" s="1603">
        <v>0</v>
      </c>
      <c r="DC6" s="1603">
        <v>0</v>
      </c>
      <c r="DD6" s="1603">
        <v>0</v>
      </c>
      <c r="DE6" s="1603">
        <v>0</v>
      </c>
      <c r="DF6" s="1603">
        <v>0</v>
      </c>
      <c r="DG6" s="1603">
        <v>0</v>
      </c>
      <c r="DH6" s="1603">
        <v>0</v>
      </c>
      <c r="DI6" s="1603">
        <v>0</v>
      </c>
      <c r="DJ6" s="1603">
        <v>0</v>
      </c>
      <c r="DK6" s="1603">
        <v>0</v>
      </c>
      <c r="DL6" s="1603">
        <v>0</v>
      </c>
      <c r="DM6" s="1603">
        <v>0</v>
      </c>
      <c r="DN6" s="1603">
        <v>0</v>
      </c>
      <c r="DO6" s="1603">
        <v>0</v>
      </c>
      <c r="DP6" s="1603">
        <v>0</v>
      </c>
      <c r="DQ6" s="1603">
        <v>0</v>
      </c>
      <c r="DR6" s="1603">
        <v>0</v>
      </c>
      <c r="DS6" s="1603">
        <v>0</v>
      </c>
      <c r="DT6" s="1603">
        <v>0</v>
      </c>
      <c r="DU6" s="1603">
        <v>0</v>
      </c>
      <c r="DV6" s="1603">
        <v>0</v>
      </c>
      <c r="DW6" s="1618" t="s">
        <v>986</v>
      </c>
      <c r="DX6" s="1605" t="s">
        <v>986</v>
      </c>
      <c r="DY6" s="1605" t="s">
        <v>986</v>
      </c>
      <c r="DZ6" s="1605" t="s">
        <v>986</v>
      </c>
      <c r="EA6" s="1605" t="s">
        <v>986</v>
      </c>
      <c r="EB6" s="1605" t="s">
        <v>986</v>
      </c>
      <c r="EC6" s="1605" t="s">
        <v>986</v>
      </c>
      <c r="ED6" s="1605" t="s">
        <v>986</v>
      </c>
      <c r="EE6" s="1605" t="s">
        <v>986</v>
      </c>
      <c r="EF6" s="1605" t="s">
        <v>986</v>
      </c>
      <c r="EG6" s="1605" t="s">
        <v>986</v>
      </c>
      <c r="EH6" s="1605" t="s">
        <v>986</v>
      </c>
      <c r="EI6" s="1605" t="s">
        <v>986</v>
      </c>
      <c r="EJ6" s="1605" t="s">
        <v>986</v>
      </c>
      <c r="EK6" s="1605" t="s">
        <v>986</v>
      </c>
      <c r="EL6" s="1605" t="s">
        <v>986</v>
      </c>
      <c r="EM6" s="1605" t="s">
        <v>986</v>
      </c>
      <c r="EN6" s="1605" t="s">
        <v>986</v>
      </c>
      <c r="EO6" s="1605" t="s">
        <v>986</v>
      </c>
      <c r="EP6" s="1605" t="s">
        <v>986</v>
      </c>
      <c r="EQ6" s="1605" t="s">
        <v>986</v>
      </c>
      <c r="ER6" s="1605" t="s">
        <v>986</v>
      </c>
      <c r="ES6" s="1605" t="s">
        <v>986</v>
      </c>
      <c r="ET6" s="1605" t="s">
        <v>986</v>
      </c>
      <c r="EU6" s="1605" t="s">
        <v>986</v>
      </c>
      <c r="EV6" s="1605" t="s">
        <v>986</v>
      </c>
      <c r="EW6" s="1605" t="s">
        <v>986</v>
      </c>
      <c r="EX6" s="1605" t="s">
        <v>986</v>
      </c>
      <c r="EY6" s="1605" t="s">
        <v>986</v>
      </c>
      <c r="EZ6" s="1605" t="s">
        <v>986</v>
      </c>
      <c r="FA6" s="1605" t="s">
        <v>986</v>
      </c>
      <c r="FB6" s="1605" t="s">
        <v>986</v>
      </c>
      <c r="FC6" s="1605" t="s">
        <v>986</v>
      </c>
      <c r="FD6" s="1605" t="s">
        <v>986</v>
      </c>
      <c r="FE6" s="1605" t="s">
        <v>986</v>
      </c>
      <c r="FF6" s="1605" t="s">
        <v>986</v>
      </c>
      <c r="FG6" s="1605" t="s">
        <v>986</v>
      </c>
      <c r="FH6" s="1605" t="s">
        <v>986</v>
      </c>
      <c r="FI6" s="1605" t="s">
        <v>986</v>
      </c>
      <c r="FJ6" s="1605" t="s">
        <v>986</v>
      </c>
      <c r="FK6" s="1605" t="s">
        <v>986</v>
      </c>
      <c r="FL6" s="1605" t="s">
        <v>986</v>
      </c>
      <c r="FM6" s="1605" t="s">
        <v>986</v>
      </c>
      <c r="FN6" s="1605" t="s">
        <v>986</v>
      </c>
      <c r="FO6" s="1605" t="s">
        <v>986</v>
      </c>
      <c r="FP6" s="1605" t="s">
        <v>986</v>
      </c>
      <c r="FQ6" s="1605" t="s">
        <v>986</v>
      </c>
      <c r="FR6" s="1605" t="s">
        <v>986</v>
      </c>
      <c r="FS6" s="1605" t="s">
        <v>986</v>
      </c>
      <c r="FT6" s="1605" t="s">
        <v>986</v>
      </c>
      <c r="FU6" s="1605" t="s">
        <v>986</v>
      </c>
      <c r="FV6" s="1605" t="s">
        <v>986</v>
      </c>
      <c r="FW6" s="1605" t="s">
        <v>986</v>
      </c>
      <c r="FX6" s="1605" t="s">
        <v>986</v>
      </c>
      <c r="FY6" s="1605" t="s">
        <v>986</v>
      </c>
      <c r="FZ6" s="1605" t="s">
        <v>986</v>
      </c>
      <c r="GA6" s="1605" t="s">
        <v>986</v>
      </c>
      <c r="GB6" s="1605" t="s">
        <v>986</v>
      </c>
      <c r="GC6" s="1605" t="s">
        <v>986</v>
      </c>
      <c r="GD6" s="1605" t="s">
        <v>986</v>
      </c>
      <c r="GE6" s="1605" t="s">
        <v>986</v>
      </c>
      <c r="GF6" s="1605" t="s">
        <v>986</v>
      </c>
      <c r="GG6" s="1605" t="s">
        <v>986</v>
      </c>
      <c r="GH6" s="1605" t="s">
        <v>986</v>
      </c>
      <c r="GI6" s="1605" t="s">
        <v>986</v>
      </c>
      <c r="GJ6" s="1605" t="s">
        <v>986</v>
      </c>
      <c r="GK6" s="1605" t="s">
        <v>986</v>
      </c>
      <c r="GL6" s="1605" t="s">
        <v>986</v>
      </c>
      <c r="GM6" s="1605" t="s">
        <v>986</v>
      </c>
      <c r="GN6" s="1605" t="s">
        <v>986</v>
      </c>
      <c r="GO6" s="1605" t="s">
        <v>986</v>
      </c>
      <c r="GP6" s="1605" t="s">
        <v>986</v>
      </c>
      <c r="GQ6" s="1605" t="s">
        <v>986</v>
      </c>
      <c r="GR6" s="1605" t="s">
        <v>986</v>
      </c>
      <c r="GS6" s="1605" t="s">
        <v>986</v>
      </c>
      <c r="GT6" s="1605" t="s">
        <v>986</v>
      </c>
      <c r="GU6" s="1605" t="s">
        <v>986</v>
      </c>
      <c r="GV6" s="1605" t="s">
        <v>986</v>
      </c>
      <c r="GW6" s="1605" t="s">
        <v>986</v>
      </c>
      <c r="GX6" s="1605" t="s">
        <v>986</v>
      </c>
      <c r="GY6" s="1605" t="s">
        <v>986</v>
      </c>
      <c r="GZ6" s="1605" t="s">
        <v>986</v>
      </c>
      <c r="HA6" s="1605" t="s">
        <v>986</v>
      </c>
      <c r="HB6" s="1605" t="s">
        <v>986</v>
      </c>
      <c r="HC6" s="1605" t="s">
        <v>986</v>
      </c>
      <c r="HD6" s="1605" t="s">
        <v>986</v>
      </c>
      <c r="HE6" s="1605" t="s">
        <v>986</v>
      </c>
      <c r="HF6" s="1605" t="s">
        <v>986</v>
      </c>
      <c r="HG6" s="1605" t="s">
        <v>986</v>
      </c>
      <c r="HH6" s="1605" t="s">
        <v>986</v>
      </c>
      <c r="HI6" s="1605" t="s">
        <v>986</v>
      </c>
      <c r="HJ6" s="1605" t="s">
        <v>986</v>
      </c>
      <c r="HK6" s="1605" t="s">
        <v>986</v>
      </c>
      <c r="HL6" s="1605" t="s">
        <v>986</v>
      </c>
      <c r="HM6" s="1605" t="s">
        <v>986</v>
      </c>
      <c r="HN6" s="1605" t="s">
        <v>986</v>
      </c>
      <c r="HO6" s="1605" t="s">
        <v>986</v>
      </c>
      <c r="HP6" s="1605" t="s">
        <v>986</v>
      </c>
      <c r="HQ6" s="1605" t="s">
        <v>986</v>
      </c>
      <c r="HR6" s="1605" t="s">
        <v>986</v>
      </c>
      <c r="HS6" s="1605" t="s">
        <v>986</v>
      </c>
      <c r="HT6" s="1605" t="s">
        <v>986</v>
      </c>
      <c r="HU6" s="1605" t="s">
        <v>986</v>
      </c>
      <c r="HV6" s="1617"/>
      <c r="HW6" s="1617">
        <v>0</v>
      </c>
      <c r="HX6" s="1617">
        <v>0</v>
      </c>
      <c r="HY6" s="1617">
        <v>0</v>
      </c>
      <c r="HZ6" s="1603"/>
      <c r="IA6" s="1603"/>
      <c r="IB6" s="1603"/>
      <c r="IC6" s="1603">
        <v>0</v>
      </c>
      <c r="ID6" s="1603">
        <v>0</v>
      </c>
      <c r="IE6" s="1603">
        <v>0</v>
      </c>
      <c r="IF6" s="1603">
        <v>0</v>
      </c>
      <c r="IG6" s="1611" t="s">
        <v>2932</v>
      </c>
      <c r="IH6" s="1616" t="s">
        <v>270</v>
      </c>
      <c r="II6" s="1615" t="s">
        <v>270</v>
      </c>
      <c r="IJ6" s="1613">
        <v>1.3101818181818183</v>
      </c>
      <c r="IK6" s="1613">
        <v>1.301848484848485</v>
      </c>
      <c r="IL6" s="1614">
        <v>1.3101818181818183</v>
      </c>
      <c r="IM6" s="1614">
        <v>1.301848484848485</v>
      </c>
      <c r="IN6" s="1612" t="s">
        <v>270</v>
      </c>
      <c r="IO6" s="1613" t="s">
        <v>270</v>
      </c>
      <c r="IP6" s="1607" t="s">
        <v>270</v>
      </c>
      <c r="IQ6" s="1612" t="s">
        <v>270</v>
      </c>
      <c r="IR6" s="1612" t="s">
        <v>270</v>
      </c>
      <c r="IS6" s="1607">
        <v>1.1881818181818182</v>
      </c>
      <c r="IT6" s="1607">
        <v>1.1798484848484849</v>
      </c>
      <c r="IU6" s="1611">
        <v>0</v>
      </c>
      <c r="IV6" s="1611">
        <v>7.7767676767676763E-2</v>
      </c>
      <c r="IW6" s="1611">
        <v>9.0909090909090909E-4</v>
      </c>
      <c r="IX6" s="1611">
        <v>1.6060606060606061E-3</v>
      </c>
      <c r="IY6" s="1611">
        <v>9.6969696969696957E-4</v>
      </c>
      <c r="IZ6" s="1611">
        <v>5.9898989898989896E-3</v>
      </c>
      <c r="JA6" s="1611">
        <v>6.0606060606060598E-5</v>
      </c>
      <c r="JB6" s="1611" t="s">
        <v>270</v>
      </c>
      <c r="JC6" s="1611">
        <v>9.9026969696969704</v>
      </c>
      <c r="JD6" s="1611">
        <v>5.2121212121212122E-3</v>
      </c>
      <c r="JE6" s="1611" t="s">
        <v>270</v>
      </c>
      <c r="JF6" s="1611">
        <v>8.2828282828282835E-4</v>
      </c>
      <c r="JG6" s="1611">
        <v>0.57978787878787885</v>
      </c>
      <c r="JH6" s="1611">
        <v>7.646464646464647E-3</v>
      </c>
      <c r="JI6" s="1611">
        <v>0.3</v>
      </c>
      <c r="JJ6" s="1611" t="s">
        <v>270</v>
      </c>
      <c r="JK6" s="1607">
        <v>0.122</v>
      </c>
      <c r="JL6" s="1608" t="s">
        <v>270</v>
      </c>
      <c r="JM6" s="1610" t="s">
        <v>2924</v>
      </c>
      <c r="JN6" s="1608">
        <v>8.3333333333333037E-3</v>
      </c>
      <c r="JO6" s="1609" t="s">
        <v>2931</v>
      </c>
      <c r="JP6" s="1608" t="s">
        <v>270</v>
      </c>
      <c r="JQ6" s="1607">
        <v>202103</v>
      </c>
      <c r="JR6" s="1606">
        <v>851</v>
      </c>
      <c r="JS6" s="1606">
        <v>774</v>
      </c>
      <c r="JT6" s="1606">
        <v>774</v>
      </c>
    </row>
    <row r="7" spans="1:280" ht="15" customHeight="1" x14ac:dyDescent="0.2">
      <c r="A7" s="1626">
        <v>99565</v>
      </c>
      <c r="B7" s="1625">
        <v>995</v>
      </c>
      <c r="C7" s="1624">
        <v>65</v>
      </c>
      <c r="D7" s="1623" t="s">
        <v>3737</v>
      </c>
      <c r="E7" s="1622">
        <v>43031</v>
      </c>
      <c r="F7" s="1620">
        <v>1.23848610956876</v>
      </c>
      <c r="G7" s="1620">
        <v>1.19562155869088</v>
      </c>
      <c r="H7" s="1621">
        <v>96.5</v>
      </c>
      <c r="I7" s="1621">
        <v>96.000033500000001</v>
      </c>
      <c r="J7" s="1621">
        <v>100</v>
      </c>
      <c r="K7" s="1620">
        <v>1</v>
      </c>
      <c r="L7" s="1620">
        <v>95</v>
      </c>
      <c r="M7" s="1620">
        <v>80</v>
      </c>
      <c r="N7" s="1620">
        <v>0.390143737166324</v>
      </c>
      <c r="O7" s="1620">
        <v>1.65811088295687</v>
      </c>
      <c r="P7" s="1620">
        <v>0</v>
      </c>
      <c r="Q7" s="1603"/>
      <c r="R7" s="1620">
        <v>100</v>
      </c>
      <c r="S7" s="1620">
        <v>50</v>
      </c>
      <c r="T7" s="1620">
        <v>50</v>
      </c>
      <c r="U7" s="1620">
        <v>50</v>
      </c>
      <c r="V7" s="1620">
        <v>50</v>
      </c>
      <c r="W7" s="1620">
        <v>50</v>
      </c>
      <c r="X7" s="1620"/>
      <c r="Y7" s="1620">
        <v>0</v>
      </c>
      <c r="Z7" s="1620">
        <v>1.2320328542094527</v>
      </c>
      <c r="AA7" s="1620">
        <v>1.950718685831621</v>
      </c>
      <c r="AB7" s="1620">
        <v>0.30800821355236102</v>
      </c>
      <c r="AC7" s="1620">
        <v>3.7987679671457895</v>
      </c>
      <c r="AD7" s="1620">
        <v>0.41067761806981473</v>
      </c>
      <c r="AE7" s="1620">
        <v>57.291666666666742</v>
      </c>
      <c r="AF7" s="1620">
        <v>0</v>
      </c>
      <c r="AG7" s="1620">
        <v>0</v>
      </c>
      <c r="AH7" s="1620">
        <v>0</v>
      </c>
      <c r="AI7" s="1620">
        <v>0</v>
      </c>
      <c r="AJ7" s="1620">
        <v>0</v>
      </c>
      <c r="AK7" s="1620">
        <v>0</v>
      </c>
      <c r="AL7" s="1620"/>
      <c r="AM7" s="1620">
        <v>68.25</v>
      </c>
      <c r="AN7" s="1620">
        <v>0.125</v>
      </c>
      <c r="AO7" s="1620">
        <v>7.4999999999999997E-2</v>
      </c>
      <c r="AP7" s="1620">
        <v>0.35</v>
      </c>
      <c r="AQ7" s="1620">
        <v>0.05</v>
      </c>
      <c r="AR7" s="1620">
        <v>0.375</v>
      </c>
      <c r="AS7" s="1620">
        <v>0.61250000000000004</v>
      </c>
      <c r="AT7" s="1620">
        <v>0</v>
      </c>
      <c r="AU7" s="1620">
        <v>0</v>
      </c>
      <c r="AV7" s="1620">
        <v>0</v>
      </c>
      <c r="AW7" s="1620">
        <v>0.46250000000000002</v>
      </c>
      <c r="AX7" s="1620"/>
      <c r="AY7" s="1620">
        <v>1</v>
      </c>
      <c r="AZ7" s="1620">
        <v>0.85</v>
      </c>
      <c r="BA7" s="1620">
        <v>0.85</v>
      </c>
      <c r="BB7" s="1620">
        <v>0.85</v>
      </c>
      <c r="BC7" s="1620">
        <v>0.85</v>
      </c>
      <c r="BD7" s="1620">
        <v>0.85</v>
      </c>
      <c r="BE7" s="1620">
        <v>0.85</v>
      </c>
      <c r="BF7" s="1620">
        <v>0.85</v>
      </c>
      <c r="BG7" s="1620">
        <v>0.85</v>
      </c>
      <c r="BH7" s="1620">
        <v>0.85</v>
      </c>
      <c r="BI7" s="1620">
        <v>0.85</v>
      </c>
      <c r="BJ7" s="1603"/>
      <c r="BK7" s="1620">
        <v>84.21052631578948</v>
      </c>
      <c r="BL7" s="1620">
        <v>0.41067761806981473</v>
      </c>
      <c r="BM7" s="1620">
        <v>1.7453798767967053</v>
      </c>
      <c r="BN7" s="1620">
        <v>0</v>
      </c>
      <c r="BO7" s="1620"/>
      <c r="BP7" s="1620">
        <v>0</v>
      </c>
      <c r="BQ7" s="1620">
        <v>0</v>
      </c>
      <c r="BR7" s="1620">
        <v>1.3036695890197474</v>
      </c>
      <c r="BS7" s="1620">
        <v>1.2585490091482947</v>
      </c>
      <c r="BT7" s="1603"/>
      <c r="BU7" s="1620">
        <v>982.54620123203267</v>
      </c>
      <c r="BV7" s="1620">
        <v>170.84000488683159</v>
      </c>
      <c r="BW7" s="1620">
        <v>7.017716933118411</v>
      </c>
      <c r="BX7" s="1620" t="s">
        <v>270</v>
      </c>
      <c r="BY7" s="1620" t="s">
        <v>270</v>
      </c>
      <c r="BZ7" s="1620" t="s">
        <v>270</v>
      </c>
      <c r="CA7" s="1620" t="s">
        <v>270</v>
      </c>
      <c r="CB7" s="1603"/>
      <c r="CC7" s="1603">
        <v>0</v>
      </c>
      <c r="CD7" s="1603">
        <v>1.1704312114989801</v>
      </c>
      <c r="CE7" s="1603">
        <v>1.8531827515400399</v>
      </c>
      <c r="CF7" s="1603">
        <v>0.29260780287474297</v>
      </c>
      <c r="CG7" s="1603">
        <v>3.6088295687884999</v>
      </c>
      <c r="CH7" s="1603">
        <v>0.390143737166324</v>
      </c>
      <c r="CI7" s="1603">
        <v>54.4270833333334</v>
      </c>
      <c r="CJ7" s="1603"/>
      <c r="CK7" s="1603">
        <v>0</v>
      </c>
      <c r="CL7" s="1603">
        <v>0</v>
      </c>
      <c r="CM7" s="1603">
        <v>0</v>
      </c>
      <c r="CN7" s="1603">
        <v>0</v>
      </c>
      <c r="CO7" s="1603">
        <v>0</v>
      </c>
      <c r="CP7" s="1603">
        <v>0</v>
      </c>
      <c r="CQ7" s="1603">
        <v>800</v>
      </c>
      <c r="CR7" s="1603">
        <v>645.94991725709338</v>
      </c>
      <c r="CS7" s="1603">
        <v>440.86081852796622</v>
      </c>
      <c r="CT7" s="1603">
        <v>0.68632178708566172</v>
      </c>
      <c r="CU7" s="1603">
        <v>0.411793072251397</v>
      </c>
      <c r="CV7" s="1603">
        <v>1.0981148593370589</v>
      </c>
      <c r="CW7" s="1603">
        <v>1.9217010038398525</v>
      </c>
      <c r="CX7" s="1603">
        <v>0.27452871483426472</v>
      </c>
      <c r="CY7" s="1603">
        <v>2.0589653612569849</v>
      </c>
      <c r="CZ7" s="1603">
        <v>3.3629767567197422</v>
      </c>
      <c r="DA7" s="1603">
        <v>0</v>
      </c>
      <c r="DB7" s="1603">
        <v>0</v>
      </c>
      <c r="DC7" s="1603">
        <v>0</v>
      </c>
      <c r="DD7" s="1603">
        <v>0</v>
      </c>
      <c r="DE7" s="1603">
        <v>2.5393906122169483</v>
      </c>
      <c r="DF7" s="1603">
        <v>0</v>
      </c>
      <c r="DG7" s="1603">
        <v>0</v>
      </c>
      <c r="DH7" s="1603">
        <v>0</v>
      </c>
      <c r="DI7" s="1603">
        <v>0</v>
      </c>
      <c r="DJ7" s="1603">
        <v>0</v>
      </c>
      <c r="DK7" s="1603">
        <v>0</v>
      </c>
      <c r="DL7" s="1603">
        <v>0</v>
      </c>
      <c r="DM7" s="1603">
        <v>0</v>
      </c>
      <c r="DN7" s="1603">
        <v>0</v>
      </c>
      <c r="DO7" s="1603">
        <v>0</v>
      </c>
      <c r="DP7" s="1603">
        <v>0</v>
      </c>
      <c r="DQ7" s="1603">
        <v>0</v>
      </c>
      <c r="DR7" s="1603">
        <v>0</v>
      </c>
      <c r="DS7" s="1603">
        <v>0</v>
      </c>
      <c r="DT7" s="1603">
        <v>0</v>
      </c>
      <c r="DU7" s="1603">
        <v>0</v>
      </c>
      <c r="DV7" s="1603">
        <v>0</v>
      </c>
      <c r="DW7" s="1618" t="s">
        <v>986</v>
      </c>
      <c r="DX7" s="1605" t="s">
        <v>986</v>
      </c>
      <c r="DY7" s="1605" t="s">
        <v>986</v>
      </c>
      <c r="DZ7" s="1605" t="s">
        <v>986</v>
      </c>
      <c r="EA7" s="1605" t="s">
        <v>986</v>
      </c>
      <c r="EB7" s="1605" t="s">
        <v>986</v>
      </c>
      <c r="EC7" s="1605" t="s">
        <v>986</v>
      </c>
      <c r="ED7" s="1605" t="s">
        <v>986</v>
      </c>
      <c r="EE7" s="1605" t="s">
        <v>986</v>
      </c>
      <c r="EF7" s="1605" t="s">
        <v>986</v>
      </c>
      <c r="EG7" s="1605" t="s">
        <v>986</v>
      </c>
      <c r="EH7" s="1605" t="s">
        <v>986</v>
      </c>
      <c r="EI7" s="1605" t="s">
        <v>986</v>
      </c>
      <c r="EJ7" s="1605" t="s">
        <v>986</v>
      </c>
      <c r="EK7" s="1605" t="s">
        <v>986</v>
      </c>
      <c r="EL7" s="1605" t="s">
        <v>986</v>
      </c>
      <c r="EM7" s="1605" t="s">
        <v>986</v>
      </c>
      <c r="EN7" s="1605" t="s">
        <v>986</v>
      </c>
      <c r="EO7" s="1605" t="s">
        <v>986</v>
      </c>
      <c r="EP7" s="1605" t="s">
        <v>986</v>
      </c>
      <c r="EQ7" s="1605" t="s">
        <v>986</v>
      </c>
      <c r="ER7" s="1605" t="s">
        <v>986</v>
      </c>
      <c r="ES7" s="1605" t="s">
        <v>986</v>
      </c>
      <c r="ET7" s="1605" t="s">
        <v>986</v>
      </c>
      <c r="EU7" s="1605" t="s">
        <v>986</v>
      </c>
      <c r="EV7" s="1605" t="s">
        <v>986</v>
      </c>
      <c r="EW7" s="1605" t="s">
        <v>986</v>
      </c>
      <c r="EX7" s="1605" t="s">
        <v>986</v>
      </c>
      <c r="EY7" s="1605" t="s">
        <v>986</v>
      </c>
      <c r="EZ7" s="1605" t="s">
        <v>986</v>
      </c>
      <c r="FA7" s="1605" t="s">
        <v>986</v>
      </c>
      <c r="FB7" s="1605" t="s">
        <v>986</v>
      </c>
      <c r="FC7" s="1605" t="s">
        <v>986</v>
      </c>
      <c r="FD7" s="1605" t="s">
        <v>986</v>
      </c>
      <c r="FE7" s="1605" t="s">
        <v>986</v>
      </c>
      <c r="FF7" s="1605" t="s">
        <v>986</v>
      </c>
      <c r="FG7" s="1605" t="s">
        <v>986</v>
      </c>
      <c r="FH7" s="1605" t="s">
        <v>986</v>
      </c>
      <c r="FI7" s="1605" t="s">
        <v>986</v>
      </c>
      <c r="FJ7" s="1605" t="s">
        <v>986</v>
      </c>
      <c r="FK7" s="1605" t="s">
        <v>986</v>
      </c>
      <c r="FL7" s="1605" t="s">
        <v>986</v>
      </c>
      <c r="FM7" s="1605" t="s">
        <v>986</v>
      </c>
      <c r="FN7" s="1605" t="s">
        <v>986</v>
      </c>
      <c r="FO7" s="1605" t="s">
        <v>986</v>
      </c>
      <c r="FP7" s="1605" t="s">
        <v>986</v>
      </c>
      <c r="FQ7" s="1605" t="s">
        <v>986</v>
      </c>
      <c r="FR7" s="1605" t="s">
        <v>986</v>
      </c>
      <c r="FS7" s="1605" t="s">
        <v>986</v>
      </c>
      <c r="FT7" s="1605" t="s">
        <v>986</v>
      </c>
      <c r="FU7" s="1605" t="s">
        <v>986</v>
      </c>
      <c r="FV7" s="1605" t="s">
        <v>986</v>
      </c>
      <c r="FW7" s="1605" t="s">
        <v>986</v>
      </c>
      <c r="FX7" s="1605" t="s">
        <v>986</v>
      </c>
      <c r="FY7" s="1605" t="s">
        <v>986</v>
      </c>
      <c r="FZ7" s="1605" t="s">
        <v>986</v>
      </c>
      <c r="GA7" s="1605" t="s">
        <v>986</v>
      </c>
      <c r="GB7" s="1605" t="s">
        <v>986</v>
      </c>
      <c r="GC7" s="1605" t="s">
        <v>986</v>
      </c>
      <c r="GD7" s="1605" t="s">
        <v>986</v>
      </c>
      <c r="GE7" s="1605" t="s">
        <v>986</v>
      </c>
      <c r="GF7" s="1605" t="s">
        <v>986</v>
      </c>
      <c r="GG7" s="1605" t="s">
        <v>986</v>
      </c>
      <c r="GH7" s="1605" t="s">
        <v>986</v>
      </c>
      <c r="GI7" s="1605" t="s">
        <v>986</v>
      </c>
      <c r="GJ7" s="1605" t="s">
        <v>986</v>
      </c>
      <c r="GK7" s="1605" t="s">
        <v>986</v>
      </c>
      <c r="GL7" s="1605" t="s">
        <v>986</v>
      </c>
      <c r="GM7" s="1605" t="s">
        <v>986</v>
      </c>
      <c r="GN7" s="1605" t="s">
        <v>986</v>
      </c>
      <c r="GO7" s="1605" t="s">
        <v>986</v>
      </c>
      <c r="GP7" s="1605" t="s">
        <v>986</v>
      </c>
      <c r="GQ7" s="1605" t="s">
        <v>986</v>
      </c>
      <c r="GR7" s="1605" t="s">
        <v>986</v>
      </c>
      <c r="GS7" s="1605" t="s">
        <v>986</v>
      </c>
      <c r="GT7" s="1605" t="s">
        <v>986</v>
      </c>
      <c r="GU7" s="1605" t="s">
        <v>986</v>
      </c>
      <c r="GV7" s="1605" t="s">
        <v>986</v>
      </c>
      <c r="GW7" s="1605" t="s">
        <v>986</v>
      </c>
      <c r="GX7" s="1605" t="s">
        <v>986</v>
      </c>
      <c r="GY7" s="1605" t="s">
        <v>986</v>
      </c>
      <c r="GZ7" s="1605" t="s">
        <v>986</v>
      </c>
      <c r="HA7" s="1605" t="s">
        <v>986</v>
      </c>
      <c r="HB7" s="1605" t="s">
        <v>986</v>
      </c>
      <c r="HC7" s="1605" t="s">
        <v>986</v>
      </c>
      <c r="HD7" s="1605" t="s">
        <v>986</v>
      </c>
      <c r="HE7" s="1605" t="s">
        <v>986</v>
      </c>
      <c r="HF7" s="1605" t="s">
        <v>986</v>
      </c>
      <c r="HG7" s="1605" t="s">
        <v>986</v>
      </c>
      <c r="HH7" s="1605" t="s">
        <v>986</v>
      </c>
      <c r="HI7" s="1605" t="s">
        <v>986</v>
      </c>
      <c r="HJ7" s="1605" t="s">
        <v>986</v>
      </c>
      <c r="HK7" s="1605" t="s">
        <v>986</v>
      </c>
      <c r="HL7" s="1605" t="s">
        <v>986</v>
      </c>
      <c r="HM7" s="1605" t="s">
        <v>986</v>
      </c>
      <c r="HN7" s="1605" t="s">
        <v>986</v>
      </c>
      <c r="HO7" s="1605" t="s">
        <v>986</v>
      </c>
      <c r="HP7" s="1605" t="s">
        <v>986</v>
      </c>
      <c r="HQ7" s="1605" t="s">
        <v>986</v>
      </c>
      <c r="HR7" s="1605" t="s">
        <v>986</v>
      </c>
      <c r="HS7" s="1605" t="s">
        <v>986</v>
      </c>
      <c r="HT7" s="1605" t="s">
        <v>986</v>
      </c>
      <c r="HU7" s="1605" t="s">
        <v>986</v>
      </c>
      <c r="HV7" s="1617"/>
      <c r="HW7" s="1617" t="s">
        <v>986</v>
      </c>
      <c r="HX7" s="1617" t="s">
        <v>986</v>
      </c>
      <c r="HY7" s="1617" t="s">
        <v>986</v>
      </c>
      <c r="HZ7" s="1603"/>
      <c r="IA7" s="1603"/>
      <c r="IB7" s="1603"/>
      <c r="IC7" s="1603">
        <v>50</v>
      </c>
      <c r="ID7" s="1603">
        <v>50</v>
      </c>
      <c r="IE7" s="1603">
        <v>50</v>
      </c>
      <c r="IF7" s="1603">
        <v>50</v>
      </c>
      <c r="IG7" s="1611" t="s">
        <v>2932</v>
      </c>
      <c r="IH7" s="1616" t="s">
        <v>270</v>
      </c>
      <c r="II7" s="1615" t="s">
        <v>270</v>
      </c>
      <c r="IJ7" s="1613">
        <v>1.3101818181818183</v>
      </c>
      <c r="IK7" s="1613">
        <v>1.301848484848485</v>
      </c>
      <c r="IL7" s="1614">
        <v>1.3101818181818183</v>
      </c>
      <c r="IM7" s="1614">
        <v>1.301848484848485</v>
      </c>
      <c r="IN7" s="1612" t="s">
        <v>270</v>
      </c>
      <c r="IO7" s="1613" t="s">
        <v>270</v>
      </c>
      <c r="IP7" s="1607" t="s">
        <v>270</v>
      </c>
      <c r="IQ7" s="1612" t="s">
        <v>270</v>
      </c>
      <c r="IR7" s="1612" t="s">
        <v>270</v>
      </c>
      <c r="IS7" s="1607">
        <v>1.1881818181818182</v>
      </c>
      <c r="IT7" s="1607">
        <v>1.1798484848484849</v>
      </c>
      <c r="IU7" s="1611">
        <v>0</v>
      </c>
      <c r="IV7" s="1611">
        <v>7.7767676767676763E-2</v>
      </c>
      <c r="IW7" s="1611">
        <v>9.0909090909090909E-4</v>
      </c>
      <c r="IX7" s="1611">
        <v>1.6060606060606061E-3</v>
      </c>
      <c r="IY7" s="1611">
        <v>9.6969696969696957E-4</v>
      </c>
      <c r="IZ7" s="1611">
        <v>5.9898989898989896E-3</v>
      </c>
      <c r="JA7" s="1611">
        <v>6.0606060606060598E-5</v>
      </c>
      <c r="JB7" s="1611" t="s">
        <v>270</v>
      </c>
      <c r="JC7" s="1611">
        <v>9.9026969696969704</v>
      </c>
      <c r="JD7" s="1611">
        <v>5.2121212121212122E-3</v>
      </c>
      <c r="JE7" s="1611" t="s">
        <v>270</v>
      </c>
      <c r="JF7" s="1611">
        <v>8.2828282828282835E-4</v>
      </c>
      <c r="JG7" s="1611">
        <v>0.57978787878787885</v>
      </c>
      <c r="JH7" s="1611">
        <v>7.646464646464647E-3</v>
      </c>
      <c r="JI7" s="1611">
        <v>0.3</v>
      </c>
      <c r="JJ7" s="1611" t="s">
        <v>270</v>
      </c>
      <c r="JK7" s="1607">
        <f t="shared" ref="JK7:JK70" si="9">IFERROR(IF( IL7-IS7&gt; 0, IL7-IS7,""),"")</f>
        <v>0.12200000000000011</v>
      </c>
      <c r="JL7" s="1608" t="s">
        <v>270</v>
      </c>
      <c r="JM7" s="1610" t="s">
        <v>2924</v>
      </c>
      <c r="JN7" s="1608">
        <v>8.3333333333333037E-3</v>
      </c>
      <c r="JO7" s="1609" t="s">
        <v>2931</v>
      </c>
      <c r="JP7" s="1608" t="s">
        <v>270</v>
      </c>
      <c r="JQ7" s="1607">
        <v>202103</v>
      </c>
      <c r="JR7" s="1606">
        <v>851</v>
      </c>
      <c r="JS7" s="1606">
        <v>774</v>
      </c>
      <c r="JT7" s="1606">
        <v>774</v>
      </c>
    </row>
    <row r="8" spans="1:280" ht="15" customHeight="1" x14ac:dyDescent="0.2">
      <c r="A8" s="1626">
        <v>99567</v>
      </c>
      <c r="B8" s="1625">
        <v>995</v>
      </c>
      <c r="C8" s="1624">
        <v>67</v>
      </c>
      <c r="D8" s="1623" t="s">
        <v>3736</v>
      </c>
      <c r="E8" s="1622">
        <v>43370</v>
      </c>
      <c r="F8" s="1620">
        <v>1.23848610956876</v>
      </c>
      <c r="G8" s="1620">
        <v>1.19562155869088</v>
      </c>
      <c r="H8" s="1621">
        <v>96.5</v>
      </c>
      <c r="I8" s="1621">
        <v>96.000033500000001</v>
      </c>
      <c r="J8" s="1621">
        <v>100</v>
      </c>
      <c r="K8" s="1620">
        <v>1</v>
      </c>
      <c r="L8" s="1620">
        <v>95</v>
      </c>
      <c r="M8" s="1620">
        <v>80</v>
      </c>
      <c r="N8" s="1620">
        <v>0.390143737166324</v>
      </c>
      <c r="O8" s="1620">
        <v>1.65811088295687</v>
      </c>
      <c r="P8" s="1620">
        <v>0</v>
      </c>
      <c r="Q8" s="1603"/>
      <c r="R8" s="1620">
        <v>50</v>
      </c>
      <c r="S8" s="1620">
        <v>50</v>
      </c>
      <c r="T8" s="1620">
        <v>50</v>
      </c>
      <c r="U8" s="1620">
        <v>50</v>
      </c>
      <c r="V8" s="1620">
        <v>50</v>
      </c>
      <c r="W8" s="1620">
        <v>50</v>
      </c>
      <c r="X8" s="1620"/>
      <c r="Y8" s="1620">
        <v>0</v>
      </c>
      <c r="Z8" s="1620">
        <v>1.2320328542094527</v>
      </c>
      <c r="AA8" s="1620">
        <v>1.950718685831621</v>
      </c>
      <c r="AB8" s="1620">
        <v>0.30800821355236102</v>
      </c>
      <c r="AC8" s="1620">
        <v>3.7987679671457895</v>
      </c>
      <c r="AD8" s="1620">
        <v>0.41067761806981473</v>
      </c>
      <c r="AE8" s="1620">
        <v>57.291666666666742</v>
      </c>
      <c r="AF8" s="1620">
        <v>0</v>
      </c>
      <c r="AG8" s="1620">
        <v>0</v>
      </c>
      <c r="AH8" s="1620">
        <v>0</v>
      </c>
      <c r="AI8" s="1620">
        <v>0</v>
      </c>
      <c r="AJ8" s="1620">
        <v>0</v>
      </c>
      <c r="AK8" s="1620">
        <v>0</v>
      </c>
      <c r="AL8" s="1620"/>
      <c r="AM8" s="1620">
        <v>68.25</v>
      </c>
      <c r="AN8" s="1620">
        <v>0.125</v>
      </c>
      <c r="AO8" s="1620">
        <v>7.4999999999999997E-2</v>
      </c>
      <c r="AP8" s="1620">
        <v>0.35</v>
      </c>
      <c r="AQ8" s="1620">
        <v>0.05</v>
      </c>
      <c r="AR8" s="1620">
        <v>0.375</v>
      </c>
      <c r="AS8" s="1620">
        <v>0.61250000000000004</v>
      </c>
      <c r="AT8" s="1620">
        <v>0</v>
      </c>
      <c r="AU8" s="1620">
        <v>0</v>
      </c>
      <c r="AV8" s="1620">
        <v>0</v>
      </c>
      <c r="AW8" s="1620">
        <v>0.46250000000000002</v>
      </c>
      <c r="AX8" s="1620"/>
      <c r="AY8" s="1620">
        <v>1</v>
      </c>
      <c r="AZ8" s="1620">
        <v>0.85</v>
      </c>
      <c r="BA8" s="1620">
        <v>0.85</v>
      </c>
      <c r="BB8" s="1620">
        <v>0.85</v>
      </c>
      <c r="BC8" s="1620">
        <v>0.85</v>
      </c>
      <c r="BD8" s="1620">
        <v>0.85</v>
      </c>
      <c r="BE8" s="1620">
        <v>0.85</v>
      </c>
      <c r="BF8" s="1620">
        <v>0.85</v>
      </c>
      <c r="BG8" s="1620">
        <v>0.85</v>
      </c>
      <c r="BH8" s="1620">
        <v>0.85</v>
      </c>
      <c r="BI8" s="1620">
        <v>0.85</v>
      </c>
      <c r="BJ8" s="1603"/>
      <c r="BK8" s="1620">
        <v>84.21052631578948</v>
      </c>
      <c r="BL8" s="1620">
        <v>0.41067761806981473</v>
      </c>
      <c r="BM8" s="1620">
        <v>1.7453798767967053</v>
      </c>
      <c r="BN8" s="1620">
        <v>0</v>
      </c>
      <c r="BO8" s="1620"/>
      <c r="BP8" s="1620">
        <v>0</v>
      </c>
      <c r="BQ8" s="1620">
        <v>0</v>
      </c>
      <c r="BR8" s="1620">
        <v>1.3036695890197474</v>
      </c>
      <c r="BS8" s="1620">
        <v>1.2585490091482947</v>
      </c>
      <c r="BT8" s="1603"/>
      <c r="BU8" s="1620">
        <v>982.54620123203267</v>
      </c>
      <c r="BV8" s="1620">
        <v>170.84000488683159</v>
      </c>
      <c r="BW8" s="1620">
        <v>7.017716933118411</v>
      </c>
      <c r="BX8" s="1620" t="s">
        <v>270</v>
      </c>
      <c r="BY8" s="1620" t="s">
        <v>270</v>
      </c>
      <c r="BZ8" s="1620" t="s">
        <v>270</v>
      </c>
      <c r="CA8" s="1620" t="s">
        <v>270</v>
      </c>
      <c r="CB8" s="1603"/>
      <c r="CC8" s="1603">
        <v>0</v>
      </c>
      <c r="CD8" s="1603">
        <v>1.1704312114989801</v>
      </c>
      <c r="CE8" s="1603">
        <v>1.8531827515400399</v>
      </c>
      <c r="CF8" s="1603">
        <v>0.29260780287474297</v>
      </c>
      <c r="CG8" s="1603">
        <v>3.6088295687884999</v>
      </c>
      <c r="CH8" s="1603">
        <v>0.390143737166324</v>
      </c>
      <c r="CI8" s="1603">
        <v>54.4270833333334</v>
      </c>
      <c r="CJ8" s="1603"/>
      <c r="CK8" s="1603">
        <v>0</v>
      </c>
      <c r="CL8" s="1603">
        <v>0</v>
      </c>
      <c r="CM8" s="1603">
        <v>0</v>
      </c>
      <c r="CN8" s="1603">
        <v>0</v>
      </c>
      <c r="CO8" s="1603">
        <v>0</v>
      </c>
      <c r="CP8" s="1603">
        <v>0</v>
      </c>
      <c r="CQ8" s="1603">
        <v>400</v>
      </c>
      <c r="CR8" s="1603">
        <v>322.97495862854669</v>
      </c>
      <c r="CS8" s="1603">
        <v>220.43040926398311</v>
      </c>
      <c r="CT8" s="1603">
        <v>0.34316089354283086</v>
      </c>
      <c r="CU8" s="1603">
        <v>0.2058965361256985</v>
      </c>
      <c r="CV8" s="1603">
        <v>0.54905742966852944</v>
      </c>
      <c r="CW8" s="1603">
        <v>0.96085050191992627</v>
      </c>
      <c r="CX8" s="1603">
        <v>0.13726435741713236</v>
      </c>
      <c r="CY8" s="1603">
        <v>1.0294826806284925</v>
      </c>
      <c r="CZ8" s="1603">
        <v>1.6814883783598711</v>
      </c>
      <c r="DA8" s="1603">
        <v>0</v>
      </c>
      <c r="DB8" s="1603">
        <v>0</v>
      </c>
      <c r="DC8" s="1603">
        <v>0</v>
      </c>
      <c r="DD8" s="1603">
        <v>0</v>
      </c>
      <c r="DE8" s="1603">
        <v>1.2696953061084741</v>
      </c>
      <c r="DF8" s="1603">
        <v>0</v>
      </c>
      <c r="DG8" s="1603">
        <v>0</v>
      </c>
      <c r="DH8" s="1603">
        <v>0</v>
      </c>
      <c r="DI8" s="1603">
        <v>0</v>
      </c>
      <c r="DJ8" s="1603">
        <v>0</v>
      </c>
      <c r="DK8" s="1603">
        <v>0</v>
      </c>
      <c r="DL8" s="1603">
        <v>0</v>
      </c>
      <c r="DM8" s="1603">
        <v>0</v>
      </c>
      <c r="DN8" s="1603">
        <v>0</v>
      </c>
      <c r="DO8" s="1603">
        <v>0</v>
      </c>
      <c r="DP8" s="1603">
        <v>0</v>
      </c>
      <c r="DQ8" s="1603">
        <v>0</v>
      </c>
      <c r="DR8" s="1603">
        <v>0</v>
      </c>
      <c r="DS8" s="1603">
        <v>0</v>
      </c>
      <c r="DT8" s="1603">
        <v>0</v>
      </c>
      <c r="DU8" s="1603">
        <v>0</v>
      </c>
      <c r="DV8" s="1603">
        <v>0</v>
      </c>
      <c r="DW8" s="1618" t="s">
        <v>986</v>
      </c>
      <c r="DX8" s="1605" t="s">
        <v>986</v>
      </c>
      <c r="DY8" s="1605" t="s">
        <v>986</v>
      </c>
      <c r="DZ8" s="1605" t="s">
        <v>986</v>
      </c>
      <c r="EA8" s="1605" t="s">
        <v>986</v>
      </c>
      <c r="EB8" s="1605" t="s">
        <v>986</v>
      </c>
      <c r="EC8" s="1605" t="s">
        <v>986</v>
      </c>
      <c r="ED8" s="1605" t="s">
        <v>986</v>
      </c>
      <c r="EE8" s="1605" t="s">
        <v>986</v>
      </c>
      <c r="EF8" s="1605" t="s">
        <v>986</v>
      </c>
      <c r="EG8" s="1605" t="s">
        <v>986</v>
      </c>
      <c r="EH8" s="1605" t="s">
        <v>986</v>
      </c>
      <c r="EI8" s="1605" t="s">
        <v>986</v>
      </c>
      <c r="EJ8" s="1605" t="s">
        <v>986</v>
      </c>
      <c r="EK8" s="1605" t="s">
        <v>986</v>
      </c>
      <c r="EL8" s="1605" t="s">
        <v>986</v>
      </c>
      <c r="EM8" s="1605" t="s">
        <v>986</v>
      </c>
      <c r="EN8" s="1605" t="s">
        <v>986</v>
      </c>
      <c r="EO8" s="1605" t="s">
        <v>986</v>
      </c>
      <c r="EP8" s="1605" t="s">
        <v>986</v>
      </c>
      <c r="EQ8" s="1605" t="s">
        <v>986</v>
      </c>
      <c r="ER8" s="1605" t="s">
        <v>986</v>
      </c>
      <c r="ES8" s="1605" t="s">
        <v>986</v>
      </c>
      <c r="ET8" s="1605" t="s">
        <v>986</v>
      </c>
      <c r="EU8" s="1605" t="s">
        <v>986</v>
      </c>
      <c r="EV8" s="1605" t="s">
        <v>986</v>
      </c>
      <c r="EW8" s="1605" t="s">
        <v>986</v>
      </c>
      <c r="EX8" s="1605" t="s">
        <v>986</v>
      </c>
      <c r="EY8" s="1605" t="s">
        <v>986</v>
      </c>
      <c r="EZ8" s="1605" t="s">
        <v>986</v>
      </c>
      <c r="FA8" s="1605" t="s">
        <v>986</v>
      </c>
      <c r="FB8" s="1605" t="s">
        <v>986</v>
      </c>
      <c r="FC8" s="1605" t="s">
        <v>986</v>
      </c>
      <c r="FD8" s="1605" t="s">
        <v>986</v>
      </c>
      <c r="FE8" s="1605" t="s">
        <v>986</v>
      </c>
      <c r="FF8" s="1605" t="s">
        <v>986</v>
      </c>
      <c r="FG8" s="1605" t="s">
        <v>986</v>
      </c>
      <c r="FH8" s="1605" t="s">
        <v>986</v>
      </c>
      <c r="FI8" s="1605" t="s">
        <v>986</v>
      </c>
      <c r="FJ8" s="1605" t="s">
        <v>986</v>
      </c>
      <c r="FK8" s="1605" t="s">
        <v>986</v>
      </c>
      <c r="FL8" s="1605" t="s">
        <v>986</v>
      </c>
      <c r="FM8" s="1605" t="s">
        <v>986</v>
      </c>
      <c r="FN8" s="1605" t="s">
        <v>986</v>
      </c>
      <c r="FO8" s="1605" t="s">
        <v>986</v>
      </c>
      <c r="FP8" s="1605" t="s">
        <v>986</v>
      </c>
      <c r="FQ8" s="1605" t="s">
        <v>986</v>
      </c>
      <c r="FR8" s="1605" t="s">
        <v>986</v>
      </c>
      <c r="FS8" s="1605" t="s">
        <v>986</v>
      </c>
      <c r="FT8" s="1605" t="s">
        <v>986</v>
      </c>
      <c r="FU8" s="1605" t="s">
        <v>986</v>
      </c>
      <c r="FV8" s="1605" t="s">
        <v>986</v>
      </c>
      <c r="FW8" s="1605" t="s">
        <v>986</v>
      </c>
      <c r="FX8" s="1605" t="s">
        <v>986</v>
      </c>
      <c r="FY8" s="1605" t="s">
        <v>986</v>
      </c>
      <c r="FZ8" s="1605" t="s">
        <v>986</v>
      </c>
      <c r="GA8" s="1605" t="s">
        <v>986</v>
      </c>
      <c r="GB8" s="1605" t="s">
        <v>986</v>
      </c>
      <c r="GC8" s="1605" t="s">
        <v>986</v>
      </c>
      <c r="GD8" s="1605" t="s">
        <v>986</v>
      </c>
      <c r="GE8" s="1605" t="s">
        <v>986</v>
      </c>
      <c r="GF8" s="1605" t="s">
        <v>986</v>
      </c>
      <c r="GG8" s="1605" t="s">
        <v>986</v>
      </c>
      <c r="GH8" s="1605" t="s">
        <v>986</v>
      </c>
      <c r="GI8" s="1605" t="s">
        <v>986</v>
      </c>
      <c r="GJ8" s="1605" t="s">
        <v>986</v>
      </c>
      <c r="GK8" s="1605" t="s">
        <v>986</v>
      </c>
      <c r="GL8" s="1605" t="s">
        <v>986</v>
      </c>
      <c r="GM8" s="1605" t="s">
        <v>986</v>
      </c>
      <c r="GN8" s="1605" t="s">
        <v>986</v>
      </c>
      <c r="GO8" s="1605" t="s">
        <v>986</v>
      </c>
      <c r="GP8" s="1605" t="s">
        <v>986</v>
      </c>
      <c r="GQ8" s="1605" t="s">
        <v>986</v>
      </c>
      <c r="GR8" s="1605" t="s">
        <v>986</v>
      </c>
      <c r="GS8" s="1605" t="s">
        <v>986</v>
      </c>
      <c r="GT8" s="1605" t="s">
        <v>986</v>
      </c>
      <c r="GU8" s="1605" t="s">
        <v>986</v>
      </c>
      <c r="GV8" s="1605" t="s">
        <v>986</v>
      </c>
      <c r="GW8" s="1605" t="s">
        <v>986</v>
      </c>
      <c r="GX8" s="1605" t="s">
        <v>986</v>
      </c>
      <c r="GY8" s="1605" t="s">
        <v>986</v>
      </c>
      <c r="GZ8" s="1605" t="s">
        <v>986</v>
      </c>
      <c r="HA8" s="1605" t="s">
        <v>986</v>
      </c>
      <c r="HB8" s="1605" t="s">
        <v>986</v>
      </c>
      <c r="HC8" s="1605" t="s">
        <v>986</v>
      </c>
      <c r="HD8" s="1605" t="s">
        <v>986</v>
      </c>
      <c r="HE8" s="1605" t="s">
        <v>986</v>
      </c>
      <c r="HF8" s="1605" t="s">
        <v>986</v>
      </c>
      <c r="HG8" s="1605" t="s">
        <v>986</v>
      </c>
      <c r="HH8" s="1605" t="s">
        <v>986</v>
      </c>
      <c r="HI8" s="1605" t="s">
        <v>986</v>
      </c>
      <c r="HJ8" s="1605" t="s">
        <v>986</v>
      </c>
      <c r="HK8" s="1605" t="s">
        <v>986</v>
      </c>
      <c r="HL8" s="1605" t="s">
        <v>986</v>
      </c>
      <c r="HM8" s="1605" t="s">
        <v>986</v>
      </c>
      <c r="HN8" s="1605" t="s">
        <v>986</v>
      </c>
      <c r="HO8" s="1605" t="s">
        <v>986</v>
      </c>
      <c r="HP8" s="1605" t="s">
        <v>986</v>
      </c>
      <c r="HQ8" s="1605" t="s">
        <v>986</v>
      </c>
      <c r="HR8" s="1605" t="s">
        <v>986</v>
      </c>
      <c r="HS8" s="1605" t="s">
        <v>986</v>
      </c>
      <c r="HT8" s="1605" t="s">
        <v>986</v>
      </c>
      <c r="HU8" s="1605" t="s">
        <v>986</v>
      </c>
      <c r="HV8" s="1617"/>
      <c r="HW8" s="1617" t="s">
        <v>986</v>
      </c>
      <c r="HX8" s="1617" t="s">
        <v>986</v>
      </c>
      <c r="HY8" s="1617" t="s">
        <v>986</v>
      </c>
      <c r="HZ8" s="1603"/>
      <c r="IA8" s="1603"/>
      <c r="IB8" s="1603"/>
      <c r="IC8" s="1603">
        <v>50</v>
      </c>
      <c r="ID8" s="1603">
        <v>50</v>
      </c>
      <c r="IE8" s="1603">
        <v>50</v>
      </c>
      <c r="IF8" s="1603">
        <v>50</v>
      </c>
      <c r="IG8" s="1611" t="s">
        <v>2932</v>
      </c>
      <c r="IH8" s="1616" t="s">
        <v>270</v>
      </c>
      <c r="II8" s="1615" t="s">
        <v>270</v>
      </c>
      <c r="IJ8" s="1613">
        <v>1.3101818181818183</v>
      </c>
      <c r="IK8" s="1613">
        <v>1.301848484848485</v>
      </c>
      <c r="IL8" s="1614">
        <v>1.3101818181818183</v>
      </c>
      <c r="IM8" s="1614">
        <v>1.301848484848485</v>
      </c>
      <c r="IN8" s="1612" t="s">
        <v>270</v>
      </c>
      <c r="IO8" s="1613" t="s">
        <v>270</v>
      </c>
      <c r="IP8" s="1607" t="s">
        <v>270</v>
      </c>
      <c r="IQ8" s="1612" t="s">
        <v>270</v>
      </c>
      <c r="IR8" s="1612" t="s">
        <v>270</v>
      </c>
      <c r="IS8" s="1607">
        <v>1.1881818181818182</v>
      </c>
      <c r="IT8" s="1607">
        <v>1.1798484848484849</v>
      </c>
      <c r="IU8" s="1611">
        <v>0</v>
      </c>
      <c r="IV8" s="1611">
        <v>7.7767676767676763E-2</v>
      </c>
      <c r="IW8" s="1611">
        <v>9.0909090909090909E-4</v>
      </c>
      <c r="IX8" s="1611">
        <v>1.6060606060606061E-3</v>
      </c>
      <c r="IY8" s="1611">
        <v>9.6969696969696957E-4</v>
      </c>
      <c r="IZ8" s="1611">
        <v>5.9898989898989896E-3</v>
      </c>
      <c r="JA8" s="1611">
        <v>6.0606060606060598E-5</v>
      </c>
      <c r="JB8" s="1611" t="s">
        <v>270</v>
      </c>
      <c r="JC8" s="1611">
        <v>9.9026969696969704</v>
      </c>
      <c r="JD8" s="1611">
        <v>5.2121212121212122E-3</v>
      </c>
      <c r="JE8" s="1611" t="s">
        <v>270</v>
      </c>
      <c r="JF8" s="1611">
        <v>8.2828282828282835E-4</v>
      </c>
      <c r="JG8" s="1611">
        <v>0.57978787878787885</v>
      </c>
      <c r="JH8" s="1611">
        <v>7.646464646464647E-3</v>
      </c>
      <c r="JI8" s="1611">
        <v>0.3</v>
      </c>
      <c r="JJ8" s="1611" t="s">
        <v>270</v>
      </c>
      <c r="JK8" s="1607">
        <f t="shared" si="9"/>
        <v>0.12200000000000011</v>
      </c>
      <c r="JL8" s="1608" t="s">
        <v>270</v>
      </c>
      <c r="JM8" s="1610" t="s">
        <v>2924</v>
      </c>
      <c r="JN8" s="1608">
        <v>8.3333333333333037E-3</v>
      </c>
      <c r="JO8" s="1609" t="s">
        <v>2931</v>
      </c>
      <c r="JP8" s="1608" t="s">
        <v>270</v>
      </c>
      <c r="JQ8" s="1607">
        <v>202103</v>
      </c>
      <c r="JR8" s="1606">
        <v>851</v>
      </c>
      <c r="JS8" s="1606">
        <v>774</v>
      </c>
      <c r="JT8" s="1606">
        <v>774</v>
      </c>
    </row>
    <row r="9" spans="1:280" ht="15" customHeight="1" x14ac:dyDescent="0.2">
      <c r="A9" s="1626">
        <v>99566</v>
      </c>
      <c r="B9" s="1625">
        <v>995</v>
      </c>
      <c r="C9" s="1624">
        <v>66</v>
      </c>
      <c r="D9" s="1623" t="s">
        <v>3735</v>
      </c>
      <c r="E9" s="1622">
        <v>43031</v>
      </c>
      <c r="F9" s="1620">
        <v>1.23848610956876</v>
      </c>
      <c r="G9" s="1620">
        <v>1.19562155869088</v>
      </c>
      <c r="H9" s="1621">
        <v>96.5</v>
      </c>
      <c r="I9" s="1621">
        <v>96.000033500000001</v>
      </c>
      <c r="J9" s="1621">
        <v>100</v>
      </c>
      <c r="K9" s="1620">
        <v>1</v>
      </c>
      <c r="L9" s="1620">
        <v>95</v>
      </c>
      <c r="M9" s="1620">
        <v>80</v>
      </c>
      <c r="N9" s="1620">
        <v>0.390143737166324</v>
      </c>
      <c r="O9" s="1620">
        <v>1.65811088295687</v>
      </c>
      <c r="P9" s="1620">
        <v>0</v>
      </c>
      <c r="Q9" s="1603"/>
      <c r="R9" s="1620">
        <v>75</v>
      </c>
      <c r="S9" s="1620">
        <v>50</v>
      </c>
      <c r="T9" s="1620">
        <v>50</v>
      </c>
      <c r="U9" s="1620">
        <v>50</v>
      </c>
      <c r="V9" s="1620">
        <v>50</v>
      </c>
      <c r="W9" s="1620">
        <v>50</v>
      </c>
      <c r="X9" s="1620"/>
      <c r="Y9" s="1620">
        <v>0</v>
      </c>
      <c r="Z9" s="1620">
        <v>1.2320328542094527</v>
      </c>
      <c r="AA9" s="1620">
        <v>1.950718685831621</v>
      </c>
      <c r="AB9" s="1620">
        <v>0.30800821355236102</v>
      </c>
      <c r="AC9" s="1620">
        <v>3.7987679671457895</v>
      </c>
      <c r="AD9" s="1620">
        <v>0.41067761806981473</v>
      </c>
      <c r="AE9" s="1620">
        <v>57.291666666666742</v>
      </c>
      <c r="AF9" s="1620">
        <v>0</v>
      </c>
      <c r="AG9" s="1620">
        <v>0</v>
      </c>
      <c r="AH9" s="1620">
        <v>0</v>
      </c>
      <c r="AI9" s="1620">
        <v>0</v>
      </c>
      <c r="AJ9" s="1620">
        <v>0</v>
      </c>
      <c r="AK9" s="1620">
        <v>0</v>
      </c>
      <c r="AL9" s="1620"/>
      <c r="AM9" s="1620">
        <v>68.25</v>
      </c>
      <c r="AN9" s="1620">
        <v>0.125</v>
      </c>
      <c r="AO9" s="1620">
        <v>7.4999999999999997E-2</v>
      </c>
      <c r="AP9" s="1620">
        <v>0.35</v>
      </c>
      <c r="AQ9" s="1620">
        <v>0.05</v>
      </c>
      <c r="AR9" s="1620">
        <v>0.375</v>
      </c>
      <c r="AS9" s="1620">
        <v>0.61250000000000004</v>
      </c>
      <c r="AT9" s="1620">
        <v>0</v>
      </c>
      <c r="AU9" s="1620">
        <v>0</v>
      </c>
      <c r="AV9" s="1620">
        <v>0</v>
      </c>
      <c r="AW9" s="1620">
        <v>0.46250000000000002</v>
      </c>
      <c r="AX9" s="1620"/>
      <c r="AY9" s="1620">
        <v>1</v>
      </c>
      <c r="AZ9" s="1620">
        <v>0.85</v>
      </c>
      <c r="BA9" s="1620">
        <v>0.85</v>
      </c>
      <c r="BB9" s="1620">
        <v>0.85</v>
      </c>
      <c r="BC9" s="1620">
        <v>0.85</v>
      </c>
      <c r="BD9" s="1620">
        <v>0.85</v>
      </c>
      <c r="BE9" s="1620">
        <v>0.85</v>
      </c>
      <c r="BF9" s="1620">
        <v>0.85</v>
      </c>
      <c r="BG9" s="1620">
        <v>0.85</v>
      </c>
      <c r="BH9" s="1620">
        <v>0.85</v>
      </c>
      <c r="BI9" s="1620">
        <v>0.85</v>
      </c>
      <c r="BJ9" s="1603"/>
      <c r="BK9" s="1620">
        <v>84.21052631578948</v>
      </c>
      <c r="BL9" s="1620">
        <v>0.41067761806981473</v>
      </c>
      <c r="BM9" s="1620">
        <v>1.7453798767967053</v>
      </c>
      <c r="BN9" s="1620">
        <v>0</v>
      </c>
      <c r="BO9" s="1620"/>
      <c r="BP9" s="1620">
        <v>0</v>
      </c>
      <c r="BQ9" s="1620">
        <v>0</v>
      </c>
      <c r="BR9" s="1620">
        <v>1.3036695890197474</v>
      </c>
      <c r="BS9" s="1620">
        <v>1.2585490091482947</v>
      </c>
      <c r="BT9" s="1603"/>
      <c r="BU9" s="1620">
        <v>982.54620123203267</v>
      </c>
      <c r="BV9" s="1620">
        <v>170.84000488683159</v>
      </c>
      <c r="BW9" s="1620">
        <v>7.017716933118411</v>
      </c>
      <c r="BX9" s="1620" t="s">
        <v>270</v>
      </c>
      <c r="BY9" s="1620" t="s">
        <v>270</v>
      </c>
      <c r="BZ9" s="1620" t="s">
        <v>270</v>
      </c>
      <c r="CA9" s="1620" t="s">
        <v>270</v>
      </c>
      <c r="CB9" s="1603"/>
      <c r="CC9" s="1603">
        <v>0</v>
      </c>
      <c r="CD9" s="1603">
        <v>1.1704312114989801</v>
      </c>
      <c r="CE9" s="1603">
        <v>1.8531827515400399</v>
      </c>
      <c r="CF9" s="1603">
        <v>0.29260780287474297</v>
      </c>
      <c r="CG9" s="1603">
        <v>3.6088295687884999</v>
      </c>
      <c r="CH9" s="1603">
        <v>0.390143737166324</v>
      </c>
      <c r="CI9" s="1603">
        <v>54.4270833333334</v>
      </c>
      <c r="CJ9" s="1603"/>
      <c r="CK9" s="1603">
        <v>0</v>
      </c>
      <c r="CL9" s="1603">
        <v>0</v>
      </c>
      <c r="CM9" s="1603">
        <v>0</v>
      </c>
      <c r="CN9" s="1603">
        <v>0</v>
      </c>
      <c r="CO9" s="1603">
        <v>0</v>
      </c>
      <c r="CP9" s="1603">
        <v>0</v>
      </c>
      <c r="CQ9" s="1603">
        <v>600</v>
      </c>
      <c r="CR9" s="1603">
        <v>484.46243794282003</v>
      </c>
      <c r="CS9" s="1603">
        <v>330.64561389597463</v>
      </c>
      <c r="CT9" s="1603">
        <v>0.51474134031424623</v>
      </c>
      <c r="CU9" s="1603">
        <v>0.30884480418854776</v>
      </c>
      <c r="CV9" s="1603">
        <v>0.82358614450279399</v>
      </c>
      <c r="CW9" s="1603">
        <v>1.4412757528798894</v>
      </c>
      <c r="CX9" s="1603">
        <v>0.2058965361256985</v>
      </c>
      <c r="CY9" s="1603">
        <v>1.5442240209427389</v>
      </c>
      <c r="CZ9" s="1603">
        <v>2.5222325675398065</v>
      </c>
      <c r="DA9" s="1603">
        <v>0</v>
      </c>
      <c r="DB9" s="1603">
        <v>0</v>
      </c>
      <c r="DC9" s="1603">
        <v>0</v>
      </c>
      <c r="DD9" s="1603">
        <v>0</v>
      </c>
      <c r="DE9" s="1603">
        <v>1.9045429591627112</v>
      </c>
      <c r="DF9" s="1603">
        <v>0</v>
      </c>
      <c r="DG9" s="1603">
        <v>0</v>
      </c>
      <c r="DH9" s="1603">
        <v>0</v>
      </c>
      <c r="DI9" s="1603">
        <v>0</v>
      </c>
      <c r="DJ9" s="1603">
        <v>0</v>
      </c>
      <c r="DK9" s="1603">
        <v>0</v>
      </c>
      <c r="DL9" s="1603">
        <v>0</v>
      </c>
      <c r="DM9" s="1603">
        <v>0</v>
      </c>
      <c r="DN9" s="1603">
        <v>0</v>
      </c>
      <c r="DO9" s="1603">
        <v>0</v>
      </c>
      <c r="DP9" s="1603">
        <v>0</v>
      </c>
      <c r="DQ9" s="1603">
        <v>0</v>
      </c>
      <c r="DR9" s="1603">
        <v>0</v>
      </c>
      <c r="DS9" s="1603">
        <v>0</v>
      </c>
      <c r="DT9" s="1603">
        <v>0</v>
      </c>
      <c r="DU9" s="1603">
        <v>0</v>
      </c>
      <c r="DV9" s="1603">
        <v>0</v>
      </c>
      <c r="DW9" s="1618" t="s">
        <v>986</v>
      </c>
      <c r="DX9" s="1605" t="s">
        <v>986</v>
      </c>
      <c r="DY9" s="1605" t="s">
        <v>986</v>
      </c>
      <c r="DZ9" s="1605" t="s">
        <v>986</v>
      </c>
      <c r="EA9" s="1605" t="s">
        <v>986</v>
      </c>
      <c r="EB9" s="1605" t="s">
        <v>986</v>
      </c>
      <c r="EC9" s="1605" t="s">
        <v>986</v>
      </c>
      <c r="ED9" s="1605" t="s">
        <v>986</v>
      </c>
      <c r="EE9" s="1605" t="s">
        <v>986</v>
      </c>
      <c r="EF9" s="1605" t="s">
        <v>986</v>
      </c>
      <c r="EG9" s="1605" t="s">
        <v>986</v>
      </c>
      <c r="EH9" s="1605" t="s">
        <v>986</v>
      </c>
      <c r="EI9" s="1605" t="s">
        <v>986</v>
      </c>
      <c r="EJ9" s="1605" t="s">
        <v>986</v>
      </c>
      <c r="EK9" s="1605" t="s">
        <v>986</v>
      </c>
      <c r="EL9" s="1605" t="s">
        <v>986</v>
      </c>
      <c r="EM9" s="1605" t="s">
        <v>986</v>
      </c>
      <c r="EN9" s="1605" t="s">
        <v>986</v>
      </c>
      <c r="EO9" s="1605" t="s">
        <v>986</v>
      </c>
      <c r="EP9" s="1605" t="s">
        <v>986</v>
      </c>
      <c r="EQ9" s="1605" t="s">
        <v>986</v>
      </c>
      <c r="ER9" s="1605" t="s">
        <v>986</v>
      </c>
      <c r="ES9" s="1605" t="s">
        <v>986</v>
      </c>
      <c r="ET9" s="1605" t="s">
        <v>986</v>
      </c>
      <c r="EU9" s="1605" t="s">
        <v>986</v>
      </c>
      <c r="EV9" s="1605" t="s">
        <v>986</v>
      </c>
      <c r="EW9" s="1605" t="s">
        <v>986</v>
      </c>
      <c r="EX9" s="1605" t="s">
        <v>986</v>
      </c>
      <c r="EY9" s="1605" t="s">
        <v>986</v>
      </c>
      <c r="EZ9" s="1605" t="s">
        <v>986</v>
      </c>
      <c r="FA9" s="1605" t="s">
        <v>986</v>
      </c>
      <c r="FB9" s="1605" t="s">
        <v>986</v>
      </c>
      <c r="FC9" s="1605" t="s">
        <v>986</v>
      </c>
      <c r="FD9" s="1605" t="s">
        <v>986</v>
      </c>
      <c r="FE9" s="1605" t="s">
        <v>986</v>
      </c>
      <c r="FF9" s="1605" t="s">
        <v>986</v>
      </c>
      <c r="FG9" s="1605" t="s">
        <v>986</v>
      </c>
      <c r="FH9" s="1605" t="s">
        <v>986</v>
      </c>
      <c r="FI9" s="1605" t="s">
        <v>986</v>
      </c>
      <c r="FJ9" s="1605" t="s">
        <v>986</v>
      </c>
      <c r="FK9" s="1605" t="s">
        <v>986</v>
      </c>
      <c r="FL9" s="1605" t="s">
        <v>986</v>
      </c>
      <c r="FM9" s="1605" t="s">
        <v>986</v>
      </c>
      <c r="FN9" s="1605" t="s">
        <v>986</v>
      </c>
      <c r="FO9" s="1605" t="s">
        <v>986</v>
      </c>
      <c r="FP9" s="1605" t="s">
        <v>986</v>
      </c>
      <c r="FQ9" s="1605" t="s">
        <v>986</v>
      </c>
      <c r="FR9" s="1605" t="s">
        <v>986</v>
      </c>
      <c r="FS9" s="1605" t="s">
        <v>986</v>
      </c>
      <c r="FT9" s="1605" t="s">
        <v>986</v>
      </c>
      <c r="FU9" s="1605" t="s">
        <v>986</v>
      </c>
      <c r="FV9" s="1605" t="s">
        <v>986</v>
      </c>
      <c r="FW9" s="1605" t="s">
        <v>986</v>
      </c>
      <c r="FX9" s="1605" t="s">
        <v>986</v>
      </c>
      <c r="FY9" s="1605" t="s">
        <v>986</v>
      </c>
      <c r="FZ9" s="1605" t="s">
        <v>986</v>
      </c>
      <c r="GA9" s="1605" t="s">
        <v>986</v>
      </c>
      <c r="GB9" s="1605" t="s">
        <v>986</v>
      </c>
      <c r="GC9" s="1605" t="s">
        <v>986</v>
      </c>
      <c r="GD9" s="1605" t="s">
        <v>986</v>
      </c>
      <c r="GE9" s="1605" t="s">
        <v>986</v>
      </c>
      <c r="GF9" s="1605" t="s">
        <v>986</v>
      </c>
      <c r="GG9" s="1605" t="s">
        <v>986</v>
      </c>
      <c r="GH9" s="1605" t="s">
        <v>986</v>
      </c>
      <c r="GI9" s="1605" t="s">
        <v>986</v>
      </c>
      <c r="GJ9" s="1605" t="s">
        <v>986</v>
      </c>
      <c r="GK9" s="1605" t="s">
        <v>986</v>
      </c>
      <c r="GL9" s="1605" t="s">
        <v>986</v>
      </c>
      <c r="GM9" s="1605" t="s">
        <v>986</v>
      </c>
      <c r="GN9" s="1605" t="s">
        <v>986</v>
      </c>
      <c r="GO9" s="1605" t="s">
        <v>986</v>
      </c>
      <c r="GP9" s="1605" t="s">
        <v>986</v>
      </c>
      <c r="GQ9" s="1605" t="s">
        <v>986</v>
      </c>
      <c r="GR9" s="1605" t="s">
        <v>986</v>
      </c>
      <c r="GS9" s="1605" t="s">
        <v>986</v>
      </c>
      <c r="GT9" s="1605" t="s">
        <v>986</v>
      </c>
      <c r="GU9" s="1605" t="s">
        <v>986</v>
      </c>
      <c r="GV9" s="1605" t="s">
        <v>986</v>
      </c>
      <c r="GW9" s="1605" t="s">
        <v>986</v>
      </c>
      <c r="GX9" s="1605" t="s">
        <v>986</v>
      </c>
      <c r="GY9" s="1605" t="s">
        <v>986</v>
      </c>
      <c r="GZ9" s="1605" t="s">
        <v>986</v>
      </c>
      <c r="HA9" s="1605" t="s">
        <v>986</v>
      </c>
      <c r="HB9" s="1605" t="s">
        <v>986</v>
      </c>
      <c r="HC9" s="1605" t="s">
        <v>986</v>
      </c>
      <c r="HD9" s="1605" t="s">
        <v>986</v>
      </c>
      <c r="HE9" s="1605" t="s">
        <v>986</v>
      </c>
      <c r="HF9" s="1605" t="s">
        <v>986</v>
      </c>
      <c r="HG9" s="1605" t="s">
        <v>986</v>
      </c>
      <c r="HH9" s="1605" t="s">
        <v>986</v>
      </c>
      <c r="HI9" s="1605" t="s">
        <v>986</v>
      </c>
      <c r="HJ9" s="1605" t="s">
        <v>986</v>
      </c>
      <c r="HK9" s="1605" t="s">
        <v>986</v>
      </c>
      <c r="HL9" s="1605" t="s">
        <v>986</v>
      </c>
      <c r="HM9" s="1605" t="s">
        <v>986</v>
      </c>
      <c r="HN9" s="1605" t="s">
        <v>986</v>
      </c>
      <c r="HO9" s="1605" t="s">
        <v>986</v>
      </c>
      <c r="HP9" s="1605" t="s">
        <v>986</v>
      </c>
      <c r="HQ9" s="1605" t="s">
        <v>986</v>
      </c>
      <c r="HR9" s="1605" t="s">
        <v>986</v>
      </c>
      <c r="HS9" s="1605" t="s">
        <v>986</v>
      </c>
      <c r="HT9" s="1605" t="s">
        <v>986</v>
      </c>
      <c r="HU9" s="1605" t="s">
        <v>986</v>
      </c>
      <c r="HV9" s="1617"/>
      <c r="HW9" s="1617" t="s">
        <v>986</v>
      </c>
      <c r="HX9" s="1617" t="s">
        <v>986</v>
      </c>
      <c r="HY9" s="1617" t="s">
        <v>986</v>
      </c>
      <c r="HZ9" s="1603"/>
      <c r="IA9" s="1603"/>
      <c r="IB9" s="1603"/>
      <c r="IC9" s="1603">
        <v>50</v>
      </c>
      <c r="ID9" s="1603">
        <v>50</v>
      </c>
      <c r="IE9" s="1603">
        <v>50</v>
      </c>
      <c r="IF9" s="1603">
        <v>50</v>
      </c>
      <c r="IG9" s="1611" t="s">
        <v>2932</v>
      </c>
      <c r="IH9" s="1616" t="s">
        <v>270</v>
      </c>
      <c r="II9" s="1615" t="s">
        <v>270</v>
      </c>
      <c r="IJ9" s="1613">
        <v>1.3101818181818183</v>
      </c>
      <c r="IK9" s="1613">
        <v>1.301848484848485</v>
      </c>
      <c r="IL9" s="1614">
        <v>1.3101818181818183</v>
      </c>
      <c r="IM9" s="1614">
        <v>1.301848484848485</v>
      </c>
      <c r="IN9" s="1612" t="s">
        <v>270</v>
      </c>
      <c r="IO9" s="1613" t="s">
        <v>270</v>
      </c>
      <c r="IP9" s="1607" t="s">
        <v>270</v>
      </c>
      <c r="IQ9" s="1612" t="s">
        <v>270</v>
      </c>
      <c r="IR9" s="1612" t="s">
        <v>270</v>
      </c>
      <c r="IS9" s="1607">
        <v>1.1881818181818182</v>
      </c>
      <c r="IT9" s="1607">
        <v>1.1798484848484849</v>
      </c>
      <c r="IU9" s="1611">
        <v>0</v>
      </c>
      <c r="IV9" s="1611">
        <v>7.7767676767676763E-2</v>
      </c>
      <c r="IW9" s="1611">
        <v>9.0909090909090909E-4</v>
      </c>
      <c r="IX9" s="1611">
        <v>1.6060606060606061E-3</v>
      </c>
      <c r="IY9" s="1611">
        <v>9.6969696969696957E-4</v>
      </c>
      <c r="IZ9" s="1611">
        <v>5.9898989898989896E-3</v>
      </c>
      <c r="JA9" s="1611">
        <v>6.0606060606060598E-5</v>
      </c>
      <c r="JB9" s="1611" t="s">
        <v>270</v>
      </c>
      <c r="JC9" s="1611">
        <v>9.9026969696969704</v>
      </c>
      <c r="JD9" s="1611">
        <v>5.2121212121212122E-3</v>
      </c>
      <c r="JE9" s="1611" t="s">
        <v>270</v>
      </c>
      <c r="JF9" s="1611">
        <v>8.2828282828282835E-4</v>
      </c>
      <c r="JG9" s="1611">
        <v>0.57978787878787885</v>
      </c>
      <c r="JH9" s="1611">
        <v>7.646464646464647E-3</v>
      </c>
      <c r="JI9" s="1611">
        <v>0.3</v>
      </c>
      <c r="JJ9" s="1611" t="s">
        <v>270</v>
      </c>
      <c r="JK9" s="1607">
        <f t="shared" si="9"/>
        <v>0.12200000000000011</v>
      </c>
      <c r="JL9" s="1608" t="s">
        <v>270</v>
      </c>
      <c r="JM9" s="1610" t="s">
        <v>2924</v>
      </c>
      <c r="JN9" s="1608">
        <v>8.3333333333333037E-3</v>
      </c>
      <c r="JO9" s="1609" t="s">
        <v>2931</v>
      </c>
      <c r="JP9" s="1608" t="s">
        <v>270</v>
      </c>
      <c r="JQ9" s="1607">
        <v>202103</v>
      </c>
      <c r="JR9" s="1606">
        <v>851</v>
      </c>
      <c r="JS9" s="1606">
        <v>774</v>
      </c>
      <c r="JT9" s="1606">
        <v>774</v>
      </c>
    </row>
    <row r="10" spans="1:280" ht="15" customHeight="1" x14ac:dyDescent="0.2">
      <c r="A10" s="1626">
        <v>80500</v>
      </c>
      <c r="B10" s="1625">
        <v>805</v>
      </c>
      <c r="C10" s="1624">
        <v>0</v>
      </c>
      <c r="D10" s="1623" t="s">
        <v>3734</v>
      </c>
      <c r="E10" s="1622">
        <v>43031</v>
      </c>
      <c r="F10" s="1620">
        <v>1.2317951056910501</v>
      </c>
      <c r="G10" s="1620">
        <v>1.18620933153247</v>
      </c>
      <c r="H10" s="1621">
        <v>99.8</v>
      </c>
      <c r="I10" s="1621">
        <v>98.2</v>
      </c>
      <c r="J10" s="1621">
        <v>91</v>
      </c>
      <c r="K10" s="1620">
        <v>1</v>
      </c>
      <c r="L10" s="1620">
        <v>94</v>
      </c>
      <c r="M10" s="1620">
        <v>82.531999999999996</v>
      </c>
      <c r="N10" s="1620">
        <v>2.0680000000000001</v>
      </c>
      <c r="O10" s="1620">
        <v>5.8280000000000003</v>
      </c>
      <c r="P10" s="1620">
        <v>0</v>
      </c>
      <c r="Q10" s="1603"/>
      <c r="R10" s="1620">
        <v>94</v>
      </c>
      <c r="S10" s="1620">
        <v>55</v>
      </c>
      <c r="T10" s="1620">
        <v>55</v>
      </c>
      <c r="U10" s="1620">
        <v>55</v>
      </c>
      <c r="V10" s="1620">
        <v>55</v>
      </c>
      <c r="W10" s="1620">
        <v>55</v>
      </c>
      <c r="X10" s="1620"/>
      <c r="Y10" s="1620">
        <v>0.59</v>
      </c>
      <c r="Z10" s="1620">
        <v>0.95</v>
      </c>
      <c r="AA10" s="1620">
        <v>22.1</v>
      </c>
      <c r="AB10" s="1620">
        <v>11</v>
      </c>
      <c r="AC10" s="1620">
        <v>1.44</v>
      </c>
      <c r="AD10" s="1620">
        <v>0.12</v>
      </c>
      <c r="AE10" s="1620">
        <v>0</v>
      </c>
      <c r="AF10" s="1620">
        <v>40</v>
      </c>
      <c r="AG10" s="1620">
        <v>25</v>
      </c>
      <c r="AH10" s="1620">
        <v>0</v>
      </c>
      <c r="AI10" s="1620">
        <v>14</v>
      </c>
      <c r="AJ10" s="1620">
        <v>0</v>
      </c>
      <c r="AK10" s="1620">
        <v>0</v>
      </c>
      <c r="AL10" s="1620"/>
      <c r="AM10" s="1620">
        <v>8.6999999999999993</v>
      </c>
      <c r="AN10" s="1620">
        <v>0.9</v>
      </c>
      <c r="AO10" s="1620">
        <v>3.6</v>
      </c>
      <c r="AP10" s="1620">
        <v>6.1</v>
      </c>
      <c r="AQ10" s="1620">
        <v>1.9</v>
      </c>
      <c r="AR10" s="1620">
        <v>4</v>
      </c>
      <c r="AS10" s="1620">
        <v>9.6999999999999993</v>
      </c>
      <c r="AT10" s="1620">
        <v>3.3</v>
      </c>
      <c r="AU10" s="1620">
        <v>5.7</v>
      </c>
      <c r="AV10" s="1620">
        <v>5.4</v>
      </c>
      <c r="AW10" s="1620">
        <v>6.6</v>
      </c>
      <c r="AX10" s="1620"/>
      <c r="AY10" s="1620">
        <v>1</v>
      </c>
      <c r="AZ10" s="1620">
        <v>1</v>
      </c>
      <c r="BA10" s="1620">
        <v>1</v>
      </c>
      <c r="BB10" s="1620">
        <v>1</v>
      </c>
      <c r="BC10" s="1620">
        <v>1</v>
      </c>
      <c r="BD10" s="1620">
        <v>1</v>
      </c>
      <c r="BE10" s="1620">
        <v>1</v>
      </c>
      <c r="BF10" s="1620">
        <v>1</v>
      </c>
      <c r="BG10" s="1620">
        <v>1</v>
      </c>
      <c r="BH10" s="1620">
        <v>1</v>
      </c>
      <c r="BI10" s="1620">
        <v>1</v>
      </c>
      <c r="BJ10" s="1603"/>
      <c r="BK10" s="1620">
        <v>87.799999999999983</v>
      </c>
      <c r="BL10" s="1620">
        <v>2.2000000000000002</v>
      </c>
      <c r="BM10" s="1620">
        <v>6.2000000000000011</v>
      </c>
      <c r="BN10" s="1620">
        <v>0</v>
      </c>
      <c r="BO10" s="1620"/>
      <c r="BP10" s="1620">
        <v>63</v>
      </c>
      <c r="BQ10" s="1620">
        <v>13.86</v>
      </c>
      <c r="BR10" s="1620">
        <v>1.3104203252032447</v>
      </c>
      <c r="BS10" s="1620">
        <v>1.2619248207792233</v>
      </c>
      <c r="BT10" s="1603"/>
      <c r="BU10" s="1620">
        <v>938</v>
      </c>
      <c r="BV10" s="1620">
        <v>94.364000000000118</v>
      </c>
      <c r="BW10" s="1620">
        <v>21.439999999999895</v>
      </c>
      <c r="BX10" s="1620">
        <v>0</v>
      </c>
      <c r="BY10" s="1620">
        <v>0</v>
      </c>
      <c r="BZ10" s="1620" t="s">
        <v>270</v>
      </c>
      <c r="CA10" s="1620" t="s">
        <v>270</v>
      </c>
      <c r="CB10" s="1603"/>
      <c r="CC10" s="1603">
        <v>0.55459999999999998</v>
      </c>
      <c r="CD10" s="1603">
        <v>0.8929999999999999</v>
      </c>
      <c r="CE10" s="1603">
        <v>20.774000000000001</v>
      </c>
      <c r="CF10" s="1603">
        <v>10.34</v>
      </c>
      <c r="CG10" s="1603">
        <v>1.3535999999999999</v>
      </c>
      <c r="CH10" s="1603">
        <v>0.11279999999999998</v>
      </c>
      <c r="CI10" s="1603">
        <v>0</v>
      </c>
      <c r="CJ10" s="1603"/>
      <c r="CK10" s="1603">
        <v>37.599999999999994</v>
      </c>
      <c r="CL10" s="1603">
        <v>23.5</v>
      </c>
      <c r="CM10" s="1603">
        <v>0</v>
      </c>
      <c r="CN10" s="1603">
        <v>13.16</v>
      </c>
      <c r="CO10" s="1603">
        <v>0</v>
      </c>
      <c r="CP10" s="1603">
        <v>0</v>
      </c>
      <c r="CQ10" s="1603">
        <v>775.80079999999998</v>
      </c>
      <c r="CR10" s="1603">
        <v>629.81318598823907</v>
      </c>
      <c r="CS10" s="1603">
        <v>54.793747180976801</v>
      </c>
      <c r="CT10" s="1603">
        <v>5.6683186738941522</v>
      </c>
      <c r="CU10" s="1603">
        <v>22.673274695576609</v>
      </c>
      <c r="CV10" s="1603">
        <v>28.341593369470761</v>
      </c>
      <c r="CW10" s="1603">
        <v>38.418604345282588</v>
      </c>
      <c r="CX10" s="1603">
        <v>11.966450533776543</v>
      </c>
      <c r="CY10" s="1603">
        <v>25.192527439529567</v>
      </c>
      <c r="CZ10" s="1603">
        <v>61.09187904085919</v>
      </c>
      <c r="DA10" s="1603">
        <v>20.783835137611891</v>
      </c>
      <c r="DB10" s="1603">
        <v>35.899351601329627</v>
      </c>
      <c r="DC10" s="1603">
        <v>34.009912043364913</v>
      </c>
      <c r="DD10" s="1603">
        <v>69.909263644694533</v>
      </c>
      <c r="DE10" s="1603">
        <v>41.567670275223783</v>
      </c>
      <c r="DF10" s="1603">
        <v>0</v>
      </c>
      <c r="DG10" s="1603">
        <v>0</v>
      </c>
      <c r="DH10" s="1603">
        <v>0</v>
      </c>
      <c r="DI10" s="1603">
        <v>0</v>
      </c>
      <c r="DJ10" s="1603">
        <v>0</v>
      </c>
      <c r="DK10" s="1603">
        <v>0</v>
      </c>
      <c r="DL10" s="1603">
        <v>0</v>
      </c>
      <c r="DM10" s="1603">
        <v>0</v>
      </c>
      <c r="DN10" s="1603">
        <v>0</v>
      </c>
      <c r="DO10" s="1603">
        <v>0</v>
      </c>
      <c r="DP10" s="1603">
        <v>0</v>
      </c>
      <c r="DQ10" s="1603">
        <v>0</v>
      </c>
      <c r="DR10" s="1603">
        <v>0</v>
      </c>
      <c r="DS10" s="1603">
        <v>0</v>
      </c>
      <c r="DT10" s="1603">
        <v>0</v>
      </c>
      <c r="DU10" s="1603">
        <v>0</v>
      </c>
      <c r="DV10" s="1603">
        <v>0</v>
      </c>
      <c r="DW10" s="1618" t="s">
        <v>3731</v>
      </c>
      <c r="DX10" s="1605" t="s">
        <v>986</v>
      </c>
      <c r="DY10" s="1605" t="s">
        <v>986</v>
      </c>
      <c r="DZ10" s="1605" t="s">
        <v>986</v>
      </c>
      <c r="EA10" s="1605" t="s">
        <v>986</v>
      </c>
      <c r="EB10" s="1605" t="s">
        <v>986</v>
      </c>
      <c r="EC10" s="1605" t="s">
        <v>986</v>
      </c>
      <c r="ED10" s="1605" t="s">
        <v>986</v>
      </c>
      <c r="EE10" s="1605" t="s">
        <v>986</v>
      </c>
      <c r="EF10" s="1605" t="s">
        <v>986</v>
      </c>
      <c r="EG10" s="1605" t="s">
        <v>986</v>
      </c>
      <c r="EH10" s="1605" t="s">
        <v>986</v>
      </c>
      <c r="EI10" s="1605" t="s">
        <v>986</v>
      </c>
      <c r="EJ10" s="1605" t="s">
        <v>986</v>
      </c>
      <c r="EK10" s="1605" t="s">
        <v>986</v>
      </c>
      <c r="EL10" s="1605" t="s">
        <v>986</v>
      </c>
      <c r="EM10" s="1605" t="s">
        <v>986</v>
      </c>
      <c r="EN10" s="1605" t="s">
        <v>986</v>
      </c>
      <c r="EO10" s="1605" t="s">
        <v>986</v>
      </c>
      <c r="EP10" s="1605" t="s">
        <v>986</v>
      </c>
      <c r="EQ10" s="1605" t="s">
        <v>986</v>
      </c>
      <c r="ER10" s="1605" t="s">
        <v>986</v>
      </c>
      <c r="ES10" s="1605" t="s">
        <v>986</v>
      </c>
      <c r="ET10" s="1605" t="s">
        <v>986</v>
      </c>
      <c r="EU10" s="1605" t="s">
        <v>986</v>
      </c>
      <c r="EV10" s="1605" t="s">
        <v>986</v>
      </c>
      <c r="EW10" s="1605" t="s">
        <v>986</v>
      </c>
      <c r="EX10" s="1605" t="s">
        <v>986</v>
      </c>
      <c r="EY10" s="1605" t="s">
        <v>986</v>
      </c>
      <c r="EZ10" s="1605" t="s">
        <v>986</v>
      </c>
      <c r="FA10" s="1605" t="s">
        <v>986</v>
      </c>
      <c r="FB10" s="1605" t="s">
        <v>986</v>
      </c>
      <c r="FC10" s="1605" t="s">
        <v>986</v>
      </c>
      <c r="FD10" s="1605" t="s">
        <v>986</v>
      </c>
      <c r="FE10" s="1605" t="s">
        <v>986</v>
      </c>
      <c r="FF10" s="1605" t="s">
        <v>986</v>
      </c>
      <c r="FG10" s="1605" t="s">
        <v>986</v>
      </c>
      <c r="FH10" s="1605" t="s">
        <v>986</v>
      </c>
      <c r="FI10" s="1605" t="s">
        <v>986</v>
      </c>
      <c r="FJ10" s="1605" t="s">
        <v>986</v>
      </c>
      <c r="FK10" s="1605" t="s">
        <v>986</v>
      </c>
      <c r="FL10" s="1605" t="s">
        <v>986</v>
      </c>
      <c r="FM10" s="1605" t="s">
        <v>986</v>
      </c>
      <c r="FN10" s="1605" t="s">
        <v>986</v>
      </c>
      <c r="FO10" s="1605" t="s">
        <v>986</v>
      </c>
      <c r="FP10" s="1605" t="s">
        <v>986</v>
      </c>
      <c r="FQ10" s="1605" t="s">
        <v>986</v>
      </c>
      <c r="FR10" s="1605" t="s">
        <v>986</v>
      </c>
      <c r="FS10" s="1605" t="s">
        <v>986</v>
      </c>
      <c r="FT10" s="1605" t="s">
        <v>986</v>
      </c>
      <c r="FU10" s="1605" t="s">
        <v>986</v>
      </c>
      <c r="FV10" s="1605" t="s">
        <v>986</v>
      </c>
      <c r="FW10" s="1605" t="s">
        <v>986</v>
      </c>
      <c r="FX10" s="1605" t="s">
        <v>986</v>
      </c>
      <c r="FY10" s="1605" t="s">
        <v>986</v>
      </c>
      <c r="FZ10" s="1605" t="s">
        <v>986</v>
      </c>
      <c r="GA10" s="1605" t="s">
        <v>986</v>
      </c>
      <c r="GB10" s="1605" t="s">
        <v>986</v>
      </c>
      <c r="GC10" s="1605" t="s">
        <v>986</v>
      </c>
      <c r="GD10" s="1605" t="s">
        <v>986</v>
      </c>
      <c r="GE10" s="1605" t="s">
        <v>986</v>
      </c>
      <c r="GF10" s="1605" t="s">
        <v>986</v>
      </c>
      <c r="GG10" s="1605" t="s">
        <v>986</v>
      </c>
      <c r="GH10" s="1605" t="s">
        <v>986</v>
      </c>
      <c r="GI10" s="1605" t="s">
        <v>986</v>
      </c>
      <c r="GJ10" s="1605" t="s">
        <v>986</v>
      </c>
      <c r="GK10" s="1605" t="s">
        <v>986</v>
      </c>
      <c r="GL10" s="1605" t="s">
        <v>986</v>
      </c>
      <c r="GM10" s="1605" t="s">
        <v>986</v>
      </c>
      <c r="GN10" s="1605" t="s">
        <v>986</v>
      </c>
      <c r="GO10" s="1605" t="s">
        <v>986</v>
      </c>
      <c r="GP10" s="1605" t="s">
        <v>986</v>
      </c>
      <c r="GQ10" s="1605" t="s">
        <v>986</v>
      </c>
      <c r="GR10" s="1605" t="s">
        <v>986</v>
      </c>
      <c r="GS10" s="1605" t="s">
        <v>986</v>
      </c>
      <c r="GT10" s="1605" t="s">
        <v>986</v>
      </c>
      <c r="GU10" s="1605" t="s">
        <v>986</v>
      </c>
      <c r="GV10" s="1605" t="s">
        <v>986</v>
      </c>
      <c r="GW10" s="1605" t="s">
        <v>986</v>
      </c>
      <c r="GX10" s="1605" t="s">
        <v>986</v>
      </c>
      <c r="GY10" s="1605" t="s">
        <v>986</v>
      </c>
      <c r="GZ10" s="1605" t="s">
        <v>986</v>
      </c>
      <c r="HA10" s="1605" t="s">
        <v>986</v>
      </c>
      <c r="HB10" s="1605" t="s">
        <v>986</v>
      </c>
      <c r="HC10" s="1605" t="s">
        <v>986</v>
      </c>
      <c r="HD10" s="1605" t="s">
        <v>986</v>
      </c>
      <c r="HE10" s="1605" t="s">
        <v>986</v>
      </c>
      <c r="HF10" s="1605" t="s">
        <v>986</v>
      </c>
      <c r="HG10" s="1605" t="s">
        <v>986</v>
      </c>
      <c r="HH10" s="1605" t="s">
        <v>986</v>
      </c>
      <c r="HI10" s="1605" t="s">
        <v>986</v>
      </c>
      <c r="HJ10" s="1605" t="s">
        <v>986</v>
      </c>
      <c r="HK10" s="1605" t="s">
        <v>986</v>
      </c>
      <c r="HL10" s="1605" t="s">
        <v>986</v>
      </c>
      <c r="HM10" s="1605" t="s">
        <v>986</v>
      </c>
      <c r="HN10" s="1605" t="s">
        <v>986</v>
      </c>
      <c r="HO10" s="1605" t="s">
        <v>986</v>
      </c>
      <c r="HP10" s="1605" t="s">
        <v>986</v>
      </c>
      <c r="HQ10" s="1605" t="s">
        <v>986</v>
      </c>
      <c r="HR10" s="1605" t="s">
        <v>986</v>
      </c>
      <c r="HS10" s="1605" t="s">
        <v>986</v>
      </c>
      <c r="HT10" s="1605" t="s">
        <v>986</v>
      </c>
      <c r="HU10" s="1605" t="s">
        <v>986</v>
      </c>
      <c r="HV10" s="1617"/>
      <c r="HW10" s="1617" t="s">
        <v>3733</v>
      </c>
      <c r="HX10" s="1617">
        <v>0</v>
      </c>
      <c r="HY10" s="1617">
        <v>0</v>
      </c>
      <c r="HZ10" s="1603"/>
      <c r="IA10" s="1603"/>
      <c r="IB10" s="1603"/>
      <c r="IC10" s="1603">
        <v>55</v>
      </c>
      <c r="ID10" s="1603">
        <v>55</v>
      </c>
      <c r="IE10" s="1603">
        <v>55</v>
      </c>
      <c r="IF10" s="1603">
        <v>55</v>
      </c>
      <c r="IG10" s="1611" t="s">
        <v>3728</v>
      </c>
      <c r="IH10" s="1616" t="s">
        <v>270</v>
      </c>
      <c r="II10" s="1615" t="s">
        <v>270</v>
      </c>
      <c r="IJ10" s="1613">
        <v>2.798021052631579</v>
      </c>
      <c r="IK10" s="1613">
        <v>2.2333894736842104</v>
      </c>
      <c r="IL10" s="1614">
        <v>2.798021052631579</v>
      </c>
      <c r="IM10" s="1614">
        <v>2.2333894736842104</v>
      </c>
      <c r="IN10" s="1612" t="s">
        <v>270</v>
      </c>
      <c r="IO10" s="1613" t="s">
        <v>270</v>
      </c>
      <c r="IP10" s="1607" t="s">
        <v>270</v>
      </c>
      <c r="IQ10" s="1612" t="s">
        <v>270</v>
      </c>
      <c r="IR10" s="1612" t="s">
        <v>270</v>
      </c>
      <c r="IS10" s="1607">
        <v>2.6250210526315789</v>
      </c>
      <c r="IT10" s="1607">
        <v>2.0603894736842103</v>
      </c>
      <c r="IU10" s="1611">
        <v>1.0526315789473684E-5</v>
      </c>
      <c r="IV10" s="1611">
        <v>6.5010526315789463E-2</v>
      </c>
      <c r="IW10" s="1611">
        <v>9.6842105263157891E-4</v>
      </c>
      <c r="IX10" s="1611">
        <v>3.2736842105263158E-3</v>
      </c>
      <c r="IY10" s="1611">
        <v>1E-3</v>
      </c>
      <c r="IZ10" s="1611">
        <v>2.0221052631578949E-2</v>
      </c>
      <c r="JA10" s="1611">
        <v>1.6842105263157895E-4</v>
      </c>
      <c r="JB10" s="1611" t="s">
        <v>270</v>
      </c>
      <c r="JC10" s="1611">
        <v>0.41264210526315781</v>
      </c>
      <c r="JD10" s="1611">
        <v>7.3894736842105256E-3</v>
      </c>
      <c r="JE10" s="1611" t="s">
        <v>270</v>
      </c>
      <c r="JF10" s="1611">
        <v>1.0315789473684211E-3</v>
      </c>
      <c r="JG10" s="1611">
        <v>1.1739263157894737</v>
      </c>
      <c r="JH10" s="1611">
        <v>4.526315789473684E-4</v>
      </c>
      <c r="JI10" s="1611">
        <v>0.42545263157894736</v>
      </c>
      <c r="JJ10" s="1611" t="s">
        <v>270</v>
      </c>
      <c r="JK10" s="1607">
        <f t="shared" si="9"/>
        <v>0.17300000000000004</v>
      </c>
      <c r="JL10" s="1608" t="s">
        <v>270</v>
      </c>
      <c r="JM10" s="1610" t="s">
        <v>2924</v>
      </c>
      <c r="JN10" s="1608">
        <v>0.5646315789473686</v>
      </c>
      <c r="JO10" s="1609" t="s">
        <v>2955</v>
      </c>
      <c r="JP10" s="1608" t="s">
        <v>270</v>
      </c>
      <c r="JQ10" s="1607">
        <v>202103</v>
      </c>
      <c r="JR10" s="1606">
        <v>34</v>
      </c>
      <c r="JS10" s="1606">
        <v>41</v>
      </c>
      <c r="JT10" s="1606">
        <v>41</v>
      </c>
    </row>
    <row r="11" spans="1:280" ht="15" customHeight="1" x14ac:dyDescent="0.2">
      <c r="A11" s="1626">
        <v>80600</v>
      </c>
      <c r="B11" s="1625">
        <v>806</v>
      </c>
      <c r="C11" s="1624">
        <v>0</v>
      </c>
      <c r="D11" s="1623" t="s">
        <v>3732</v>
      </c>
      <c r="E11" s="1622">
        <v>43031</v>
      </c>
      <c r="F11" s="1620">
        <v>1.2619960704607001</v>
      </c>
      <c r="G11" s="1620">
        <v>1.21385868051948</v>
      </c>
      <c r="H11" s="1621">
        <v>97.8</v>
      </c>
      <c r="I11" s="1621">
        <v>97.8</v>
      </c>
      <c r="J11" s="1621">
        <v>91</v>
      </c>
      <c r="K11" s="1620">
        <v>1</v>
      </c>
      <c r="L11" s="1620">
        <v>97</v>
      </c>
      <c r="M11" s="1620">
        <v>95</v>
      </c>
      <c r="N11" s="1620">
        <v>1.8</v>
      </c>
      <c r="O11" s="1620">
        <v>3.9</v>
      </c>
      <c r="P11" s="1620">
        <v>0.3</v>
      </c>
      <c r="Q11" s="1603"/>
      <c r="R11" s="1620">
        <v>94</v>
      </c>
      <c r="S11" s="1620">
        <v>55</v>
      </c>
      <c r="T11" s="1620">
        <v>55</v>
      </c>
      <c r="U11" s="1620">
        <v>55</v>
      </c>
      <c r="V11" s="1620">
        <v>55</v>
      </c>
      <c r="W11" s="1620">
        <v>55</v>
      </c>
      <c r="X11" s="1620"/>
      <c r="Y11" s="1620">
        <v>0.01</v>
      </c>
      <c r="Z11" s="1620">
        <v>0.3</v>
      </c>
      <c r="AA11" s="1620">
        <v>0.36000000000000004</v>
      </c>
      <c r="AB11" s="1620">
        <v>0.73</v>
      </c>
      <c r="AC11" s="1620">
        <v>1.2400000000000002</v>
      </c>
      <c r="AD11" s="1620">
        <v>3.0000000000000002E-2</v>
      </c>
      <c r="AE11" s="1620">
        <v>0.2</v>
      </c>
      <c r="AF11" s="1620">
        <v>2769.31</v>
      </c>
      <c r="AG11" s="1620">
        <v>32.010000000000005</v>
      </c>
      <c r="AH11" s="1620">
        <v>0</v>
      </c>
      <c r="AI11" s="1620">
        <v>23.42</v>
      </c>
      <c r="AJ11" s="1620">
        <v>0</v>
      </c>
      <c r="AK11" s="1620">
        <v>0.74</v>
      </c>
      <c r="AL11" s="1620"/>
      <c r="AM11" s="1620">
        <v>8.7563710499490295</v>
      </c>
      <c r="AN11" s="1620">
        <v>0.71355759429153898</v>
      </c>
      <c r="AO11" s="1620">
        <v>0.62181447502548404</v>
      </c>
      <c r="AP11" s="1620">
        <v>3.14984709480122</v>
      </c>
      <c r="AQ11" s="1620">
        <v>1.40163098878695</v>
      </c>
      <c r="AR11" s="1620">
        <v>0.56676860346585101</v>
      </c>
      <c r="AS11" s="1620">
        <v>13.6085626911315</v>
      </c>
      <c r="AT11" s="1620">
        <v>7.7828746177369998</v>
      </c>
      <c r="AU11" s="1620">
        <v>6.8552497451579999</v>
      </c>
      <c r="AV11" s="1620">
        <v>2.21202854230377</v>
      </c>
      <c r="AW11" s="1620">
        <v>9.3068297655453591</v>
      </c>
      <c r="AX11" s="1620"/>
      <c r="AY11" s="1620">
        <v>1</v>
      </c>
      <c r="AZ11" s="1620">
        <v>1</v>
      </c>
      <c r="BA11" s="1620">
        <v>1</v>
      </c>
      <c r="BB11" s="1620">
        <v>1</v>
      </c>
      <c r="BC11" s="1620">
        <v>1</v>
      </c>
      <c r="BD11" s="1620">
        <v>1</v>
      </c>
      <c r="BE11" s="1620">
        <v>1</v>
      </c>
      <c r="BF11" s="1620">
        <v>1</v>
      </c>
      <c r="BG11" s="1620">
        <v>1</v>
      </c>
      <c r="BH11" s="1620">
        <v>1</v>
      </c>
      <c r="BI11" s="1620">
        <v>1</v>
      </c>
      <c r="BJ11" s="1603"/>
      <c r="BK11" s="1620">
        <v>97.9381443298969</v>
      </c>
      <c r="BL11" s="1620">
        <v>1.8556701030927836</v>
      </c>
      <c r="BM11" s="1620">
        <v>4.0206185567010309</v>
      </c>
      <c r="BN11" s="1620">
        <v>0.30927835051546393</v>
      </c>
      <c r="BO11" s="1620"/>
      <c r="BP11" s="1620">
        <v>63</v>
      </c>
      <c r="BQ11" s="1620">
        <v>11.690721649484535</v>
      </c>
      <c r="BR11" s="1620">
        <v>1.3010268767636082</v>
      </c>
      <c r="BS11" s="1620">
        <v>1.2514007015664741</v>
      </c>
      <c r="BT11" s="1603"/>
      <c r="BU11" s="1620">
        <v>959.79381443298973</v>
      </c>
      <c r="BV11" s="1620">
        <v>29.441237113402266</v>
      </c>
      <c r="BW11" s="1620">
        <v>0</v>
      </c>
      <c r="BX11" s="1620">
        <v>0</v>
      </c>
      <c r="BY11" s="1620">
        <v>0</v>
      </c>
      <c r="BZ11" s="1620" t="s">
        <v>270</v>
      </c>
      <c r="CA11" s="1620" t="s">
        <v>270</v>
      </c>
      <c r="CB11" s="1603"/>
      <c r="CC11" s="1603">
        <v>9.7000000000000003E-3</v>
      </c>
      <c r="CD11" s="1603">
        <v>0.29099999999999998</v>
      </c>
      <c r="CE11" s="1603">
        <v>0.34920000000000001</v>
      </c>
      <c r="CF11" s="1603">
        <v>0.70809999999999995</v>
      </c>
      <c r="CG11" s="1603">
        <v>1.2028000000000001</v>
      </c>
      <c r="CH11" s="1603">
        <v>2.9100000000000001E-2</v>
      </c>
      <c r="CI11" s="1603">
        <v>0.19400000000000001</v>
      </c>
      <c r="CJ11" s="1603"/>
      <c r="CK11" s="1603">
        <v>2686.2307000000001</v>
      </c>
      <c r="CL11" s="1603">
        <v>31.049700000000005</v>
      </c>
      <c r="CM11" s="1603">
        <v>0</v>
      </c>
      <c r="CN11" s="1603">
        <v>22.717400000000001</v>
      </c>
      <c r="CO11" s="1603">
        <v>0</v>
      </c>
      <c r="CP11" s="1603">
        <v>0.71779999999999999</v>
      </c>
      <c r="CQ11" s="1603">
        <v>893</v>
      </c>
      <c r="CR11" s="1603">
        <v>707.60917636930867</v>
      </c>
      <c r="CS11" s="1603">
        <v>61.960885066384883</v>
      </c>
      <c r="CT11" s="1603">
        <v>5.0491990158870177</v>
      </c>
      <c r="CU11" s="1603">
        <v>4.4000162852729661</v>
      </c>
      <c r="CV11" s="1603">
        <v>9.4492153011599687</v>
      </c>
      <c r="CW11" s="1603">
        <v>22.288607084415514</v>
      </c>
      <c r="CX11" s="1603">
        <v>9.9180694954922828</v>
      </c>
      <c r="CY11" s="1603">
        <v>4.0105066469045418</v>
      </c>
      <c r="CZ11" s="1603">
        <v>96.295438374416392</v>
      </c>
      <c r="DA11" s="1603">
        <v>55.072334980424756</v>
      </c>
      <c r="DB11" s="1603">
        <v>48.508376259771623</v>
      </c>
      <c r="DC11" s="1603">
        <v>15.652516949249678</v>
      </c>
      <c r="DD11" s="1603">
        <v>64.160893209021381</v>
      </c>
      <c r="DE11" s="1603">
        <v>65.855981450069208</v>
      </c>
      <c r="DF11" s="1603">
        <v>0</v>
      </c>
      <c r="DG11" s="1603">
        <v>0</v>
      </c>
      <c r="DH11" s="1603">
        <v>0</v>
      </c>
      <c r="DI11" s="1603">
        <v>0</v>
      </c>
      <c r="DJ11" s="1603">
        <v>0</v>
      </c>
      <c r="DK11" s="1603">
        <v>0</v>
      </c>
      <c r="DL11" s="1603">
        <v>0</v>
      </c>
      <c r="DM11" s="1603">
        <v>0</v>
      </c>
      <c r="DN11" s="1603">
        <v>0</v>
      </c>
      <c r="DO11" s="1603">
        <v>0</v>
      </c>
      <c r="DP11" s="1603">
        <v>0</v>
      </c>
      <c r="DQ11" s="1603">
        <v>0</v>
      </c>
      <c r="DR11" s="1603">
        <v>0</v>
      </c>
      <c r="DS11" s="1603">
        <v>0</v>
      </c>
      <c r="DT11" s="1603">
        <v>0</v>
      </c>
      <c r="DU11" s="1603">
        <v>0</v>
      </c>
      <c r="DV11" s="1603">
        <v>0</v>
      </c>
      <c r="DW11" s="1618" t="s">
        <v>3731</v>
      </c>
      <c r="DX11" s="1605" t="s">
        <v>986</v>
      </c>
      <c r="DY11" s="1605" t="s">
        <v>986</v>
      </c>
      <c r="DZ11" s="1605" t="s">
        <v>986</v>
      </c>
      <c r="EA11" s="1605" t="s">
        <v>986</v>
      </c>
      <c r="EB11" s="1605" t="s">
        <v>986</v>
      </c>
      <c r="EC11" s="1605" t="s">
        <v>986</v>
      </c>
      <c r="ED11" s="1605" t="s">
        <v>986</v>
      </c>
      <c r="EE11" s="1605" t="s">
        <v>986</v>
      </c>
      <c r="EF11" s="1605" t="s">
        <v>986</v>
      </c>
      <c r="EG11" s="1605" t="s">
        <v>986</v>
      </c>
      <c r="EH11" s="1605" t="s">
        <v>986</v>
      </c>
      <c r="EI11" s="1605" t="s">
        <v>986</v>
      </c>
      <c r="EJ11" s="1605" t="s">
        <v>986</v>
      </c>
      <c r="EK11" s="1605" t="s">
        <v>986</v>
      </c>
      <c r="EL11" s="1605" t="s">
        <v>986</v>
      </c>
      <c r="EM11" s="1605" t="s">
        <v>986</v>
      </c>
      <c r="EN11" s="1605" t="s">
        <v>986</v>
      </c>
      <c r="EO11" s="1605" t="s">
        <v>986</v>
      </c>
      <c r="EP11" s="1605" t="s">
        <v>986</v>
      </c>
      <c r="EQ11" s="1605" t="s">
        <v>986</v>
      </c>
      <c r="ER11" s="1605" t="s">
        <v>986</v>
      </c>
      <c r="ES11" s="1605" t="s">
        <v>986</v>
      </c>
      <c r="ET11" s="1605" t="s">
        <v>986</v>
      </c>
      <c r="EU11" s="1605" t="s">
        <v>986</v>
      </c>
      <c r="EV11" s="1605" t="s">
        <v>986</v>
      </c>
      <c r="EW11" s="1605" t="s">
        <v>986</v>
      </c>
      <c r="EX11" s="1605" t="s">
        <v>986</v>
      </c>
      <c r="EY11" s="1605" t="s">
        <v>986</v>
      </c>
      <c r="EZ11" s="1605" t="s">
        <v>986</v>
      </c>
      <c r="FA11" s="1605" t="s">
        <v>986</v>
      </c>
      <c r="FB11" s="1605" t="s">
        <v>986</v>
      </c>
      <c r="FC11" s="1605" t="s">
        <v>986</v>
      </c>
      <c r="FD11" s="1605" t="s">
        <v>986</v>
      </c>
      <c r="FE11" s="1605" t="s">
        <v>986</v>
      </c>
      <c r="FF11" s="1605" t="s">
        <v>986</v>
      </c>
      <c r="FG11" s="1605" t="s">
        <v>986</v>
      </c>
      <c r="FH11" s="1605" t="s">
        <v>986</v>
      </c>
      <c r="FI11" s="1605" t="s">
        <v>986</v>
      </c>
      <c r="FJ11" s="1605" t="s">
        <v>986</v>
      </c>
      <c r="FK11" s="1605" t="s">
        <v>986</v>
      </c>
      <c r="FL11" s="1605" t="s">
        <v>986</v>
      </c>
      <c r="FM11" s="1605" t="s">
        <v>986</v>
      </c>
      <c r="FN11" s="1605" t="s">
        <v>986</v>
      </c>
      <c r="FO11" s="1605" t="s">
        <v>986</v>
      </c>
      <c r="FP11" s="1605" t="s">
        <v>986</v>
      </c>
      <c r="FQ11" s="1605" t="s">
        <v>986</v>
      </c>
      <c r="FR11" s="1605" t="s">
        <v>986</v>
      </c>
      <c r="FS11" s="1605" t="s">
        <v>986</v>
      </c>
      <c r="FT11" s="1605" t="s">
        <v>986</v>
      </c>
      <c r="FU11" s="1605" t="s">
        <v>986</v>
      </c>
      <c r="FV11" s="1605" t="s">
        <v>986</v>
      </c>
      <c r="FW11" s="1605" t="s">
        <v>986</v>
      </c>
      <c r="FX11" s="1605" t="s">
        <v>986</v>
      </c>
      <c r="FY11" s="1605" t="s">
        <v>986</v>
      </c>
      <c r="FZ11" s="1605" t="s">
        <v>986</v>
      </c>
      <c r="GA11" s="1605" t="s">
        <v>986</v>
      </c>
      <c r="GB11" s="1605" t="s">
        <v>986</v>
      </c>
      <c r="GC11" s="1605" t="s">
        <v>986</v>
      </c>
      <c r="GD11" s="1605" t="s">
        <v>986</v>
      </c>
      <c r="GE11" s="1605" t="s">
        <v>986</v>
      </c>
      <c r="GF11" s="1605" t="s">
        <v>986</v>
      </c>
      <c r="GG11" s="1605" t="s">
        <v>986</v>
      </c>
      <c r="GH11" s="1605" t="s">
        <v>986</v>
      </c>
      <c r="GI11" s="1605" t="s">
        <v>986</v>
      </c>
      <c r="GJ11" s="1605" t="s">
        <v>986</v>
      </c>
      <c r="GK11" s="1605" t="s">
        <v>986</v>
      </c>
      <c r="GL11" s="1605" t="s">
        <v>986</v>
      </c>
      <c r="GM11" s="1605" t="s">
        <v>986</v>
      </c>
      <c r="GN11" s="1605" t="s">
        <v>986</v>
      </c>
      <c r="GO11" s="1605" t="s">
        <v>986</v>
      </c>
      <c r="GP11" s="1605" t="s">
        <v>986</v>
      </c>
      <c r="GQ11" s="1605" t="s">
        <v>986</v>
      </c>
      <c r="GR11" s="1605" t="s">
        <v>986</v>
      </c>
      <c r="GS11" s="1605" t="s">
        <v>986</v>
      </c>
      <c r="GT11" s="1605" t="s">
        <v>986</v>
      </c>
      <c r="GU11" s="1605" t="s">
        <v>986</v>
      </c>
      <c r="GV11" s="1605" t="s">
        <v>986</v>
      </c>
      <c r="GW11" s="1605" t="s">
        <v>986</v>
      </c>
      <c r="GX11" s="1605" t="s">
        <v>986</v>
      </c>
      <c r="GY11" s="1605" t="s">
        <v>986</v>
      </c>
      <c r="GZ11" s="1605" t="s">
        <v>986</v>
      </c>
      <c r="HA11" s="1605" t="s">
        <v>986</v>
      </c>
      <c r="HB11" s="1605" t="s">
        <v>986</v>
      </c>
      <c r="HC11" s="1605" t="s">
        <v>986</v>
      </c>
      <c r="HD11" s="1605" t="s">
        <v>986</v>
      </c>
      <c r="HE11" s="1605" t="s">
        <v>986</v>
      </c>
      <c r="HF11" s="1605" t="s">
        <v>986</v>
      </c>
      <c r="HG11" s="1605" t="s">
        <v>986</v>
      </c>
      <c r="HH11" s="1605" t="s">
        <v>986</v>
      </c>
      <c r="HI11" s="1605" t="s">
        <v>986</v>
      </c>
      <c r="HJ11" s="1605" t="s">
        <v>986</v>
      </c>
      <c r="HK11" s="1605" t="s">
        <v>986</v>
      </c>
      <c r="HL11" s="1605" t="s">
        <v>986</v>
      </c>
      <c r="HM11" s="1605" t="s">
        <v>986</v>
      </c>
      <c r="HN11" s="1605" t="s">
        <v>986</v>
      </c>
      <c r="HO11" s="1605" t="s">
        <v>986</v>
      </c>
      <c r="HP11" s="1605" t="s">
        <v>986</v>
      </c>
      <c r="HQ11" s="1605" t="s">
        <v>986</v>
      </c>
      <c r="HR11" s="1605" t="s">
        <v>986</v>
      </c>
      <c r="HS11" s="1605" t="s">
        <v>986</v>
      </c>
      <c r="HT11" s="1605" t="s">
        <v>986</v>
      </c>
      <c r="HU11" s="1605" t="s">
        <v>986</v>
      </c>
      <c r="HV11" s="1617"/>
      <c r="HW11" s="1617" t="s">
        <v>3730</v>
      </c>
      <c r="HX11" s="1617" t="s">
        <v>3729</v>
      </c>
      <c r="HY11" s="1617">
        <v>0</v>
      </c>
      <c r="HZ11" s="1603"/>
      <c r="IA11" s="1603"/>
      <c r="IB11" s="1603"/>
      <c r="IC11" s="1603">
        <v>55</v>
      </c>
      <c r="ID11" s="1603">
        <v>55</v>
      </c>
      <c r="IE11" s="1603">
        <v>55</v>
      </c>
      <c r="IF11" s="1603">
        <v>55</v>
      </c>
      <c r="IG11" s="1611" t="s">
        <v>3728</v>
      </c>
      <c r="IH11" s="1616" t="s">
        <v>270</v>
      </c>
      <c r="II11" s="1615" t="s">
        <v>270</v>
      </c>
      <c r="IJ11" s="1613">
        <v>2.798021052631579</v>
      </c>
      <c r="IK11" s="1613">
        <v>2.2333894736842104</v>
      </c>
      <c r="IL11" s="1614">
        <v>2.798021052631579</v>
      </c>
      <c r="IM11" s="1614">
        <v>2.2333894736842104</v>
      </c>
      <c r="IN11" s="1612" t="s">
        <v>270</v>
      </c>
      <c r="IO11" s="1613" t="s">
        <v>270</v>
      </c>
      <c r="IP11" s="1607" t="s">
        <v>270</v>
      </c>
      <c r="IQ11" s="1612" t="s">
        <v>270</v>
      </c>
      <c r="IR11" s="1612" t="s">
        <v>270</v>
      </c>
      <c r="IS11" s="1607">
        <v>2.6250210526315789</v>
      </c>
      <c r="IT11" s="1607">
        <v>2.0603894736842103</v>
      </c>
      <c r="IU11" s="1611">
        <v>1.0526315789473684E-5</v>
      </c>
      <c r="IV11" s="1611">
        <v>6.5010526315789463E-2</v>
      </c>
      <c r="IW11" s="1611">
        <v>9.6842105263157891E-4</v>
      </c>
      <c r="IX11" s="1611">
        <v>3.2736842105263158E-3</v>
      </c>
      <c r="IY11" s="1611">
        <v>1E-3</v>
      </c>
      <c r="IZ11" s="1611">
        <v>2.0221052631578949E-2</v>
      </c>
      <c r="JA11" s="1611">
        <v>1.6842105263157895E-4</v>
      </c>
      <c r="JB11" s="1611" t="s">
        <v>270</v>
      </c>
      <c r="JC11" s="1611">
        <v>0.41264210526315781</v>
      </c>
      <c r="JD11" s="1611">
        <v>7.3894736842105256E-3</v>
      </c>
      <c r="JE11" s="1611" t="s">
        <v>270</v>
      </c>
      <c r="JF11" s="1611">
        <v>1.0315789473684211E-3</v>
      </c>
      <c r="JG11" s="1611">
        <v>1.1739263157894737</v>
      </c>
      <c r="JH11" s="1611">
        <v>4.526315789473684E-4</v>
      </c>
      <c r="JI11" s="1611">
        <v>0.42545263157894736</v>
      </c>
      <c r="JJ11" s="1611" t="s">
        <v>270</v>
      </c>
      <c r="JK11" s="1607">
        <f t="shared" si="9"/>
        <v>0.17300000000000004</v>
      </c>
      <c r="JL11" s="1608" t="s">
        <v>270</v>
      </c>
      <c r="JM11" s="1610" t="s">
        <v>2924</v>
      </c>
      <c r="JN11" s="1608">
        <v>0.5646315789473686</v>
      </c>
      <c r="JO11" s="1609" t="s">
        <v>2955</v>
      </c>
      <c r="JP11" s="1608" t="s">
        <v>270</v>
      </c>
      <c r="JQ11" s="1607">
        <v>202103</v>
      </c>
      <c r="JR11" s="1606">
        <v>34</v>
      </c>
      <c r="JS11" s="1606">
        <v>41</v>
      </c>
      <c r="JT11" s="1606">
        <v>41</v>
      </c>
    </row>
    <row r="12" spans="1:280" ht="15" customHeight="1" x14ac:dyDescent="0.2">
      <c r="A12" s="1626">
        <v>46202</v>
      </c>
      <c r="B12" s="1625">
        <v>462</v>
      </c>
      <c r="C12" s="1624">
        <v>2</v>
      </c>
      <c r="D12" s="1623" t="s">
        <v>3727</v>
      </c>
      <c r="E12" s="1622">
        <v>43025</v>
      </c>
      <c r="F12" s="1620">
        <v>-0.112682926829268</v>
      </c>
      <c r="G12" s="1620">
        <v>-0.108</v>
      </c>
      <c r="H12" s="1621">
        <v>70</v>
      </c>
      <c r="I12" s="1621">
        <v>70</v>
      </c>
      <c r="J12" s="1621">
        <v>0</v>
      </c>
      <c r="K12" s="1620">
        <v>1</v>
      </c>
      <c r="L12" s="1620">
        <v>99</v>
      </c>
      <c r="M12" s="1620">
        <v>0</v>
      </c>
      <c r="N12" s="1620">
        <v>0</v>
      </c>
      <c r="O12" s="1620">
        <v>99</v>
      </c>
      <c r="P12" s="1620">
        <v>0</v>
      </c>
      <c r="Q12" s="1603"/>
      <c r="R12" s="1620">
        <v>0</v>
      </c>
      <c r="S12" s="1620">
        <v>67</v>
      </c>
      <c r="T12" s="1620">
        <v>67</v>
      </c>
      <c r="U12" s="1620">
        <v>67</v>
      </c>
      <c r="V12" s="1620">
        <v>67</v>
      </c>
      <c r="W12" s="1620">
        <v>67</v>
      </c>
      <c r="X12" s="1620"/>
      <c r="Y12" s="1620">
        <v>212.12121212121212</v>
      </c>
      <c r="Z12" s="1620">
        <v>181.81818181818181</v>
      </c>
      <c r="AA12" s="1620">
        <v>0</v>
      </c>
      <c r="AB12" s="1620">
        <v>0</v>
      </c>
      <c r="AC12" s="1620">
        <v>0</v>
      </c>
      <c r="AD12" s="1620">
        <v>0</v>
      </c>
      <c r="AE12" s="1620">
        <v>0</v>
      </c>
      <c r="AF12" s="1620">
        <v>0</v>
      </c>
      <c r="AG12" s="1620">
        <v>0</v>
      </c>
      <c r="AH12" s="1620">
        <v>0</v>
      </c>
      <c r="AI12" s="1620">
        <v>0</v>
      </c>
      <c r="AJ12" s="1620">
        <v>0</v>
      </c>
      <c r="AK12" s="1620">
        <v>0</v>
      </c>
      <c r="AL12" s="1620"/>
      <c r="AM12" s="1620">
        <v>0</v>
      </c>
      <c r="AN12" s="1620">
        <v>0</v>
      </c>
      <c r="AO12" s="1620">
        <v>0</v>
      </c>
      <c r="AP12" s="1620">
        <v>0</v>
      </c>
      <c r="AQ12" s="1620">
        <v>0</v>
      </c>
      <c r="AR12" s="1620">
        <v>0</v>
      </c>
      <c r="AS12" s="1620">
        <v>0</v>
      </c>
      <c r="AT12" s="1620">
        <v>0</v>
      </c>
      <c r="AU12" s="1620">
        <v>0</v>
      </c>
      <c r="AV12" s="1620">
        <v>0</v>
      </c>
      <c r="AW12" s="1620">
        <v>0</v>
      </c>
      <c r="AX12" s="1620"/>
      <c r="AY12" s="1620">
        <v>1</v>
      </c>
      <c r="AZ12" s="1620">
        <v>1</v>
      </c>
      <c r="BA12" s="1620">
        <v>1</v>
      </c>
      <c r="BB12" s="1620">
        <v>1</v>
      </c>
      <c r="BC12" s="1620">
        <v>1</v>
      </c>
      <c r="BD12" s="1620">
        <v>1</v>
      </c>
      <c r="BE12" s="1620">
        <v>1</v>
      </c>
      <c r="BF12" s="1620">
        <v>1</v>
      </c>
      <c r="BG12" s="1620">
        <v>1</v>
      </c>
      <c r="BH12" s="1620">
        <v>1</v>
      </c>
      <c r="BI12" s="1620">
        <v>1</v>
      </c>
      <c r="BJ12" s="1603"/>
      <c r="BK12" s="1620">
        <v>0</v>
      </c>
      <c r="BL12" s="1620">
        <v>0</v>
      </c>
      <c r="BM12" s="1620">
        <v>100</v>
      </c>
      <c r="BN12" s="1620">
        <v>0</v>
      </c>
      <c r="BO12" s="1620"/>
      <c r="BP12" s="1620">
        <v>0</v>
      </c>
      <c r="BQ12" s="1620">
        <v>0</v>
      </c>
      <c r="BR12" s="1620">
        <v>-0.11382113821138182</v>
      </c>
      <c r="BS12" s="1620">
        <v>-0.1090909090909091</v>
      </c>
      <c r="BT12" s="1603"/>
      <c r="BU12" s="1620">
        <v>0</v>
      </c>
      <c r="BV12" s="1620">
        <v>0</v>
      </c>
      <c r="BW12" s="1620">
        <v>0</v>
      </c>
      <c r="BX12" s="1620" t="s">
        <v>270</v>
      </c>
      <c r="BY12" s="1620" t="s">
        <v>270</v>
      </c>
      <c r="BZ12" s="1620" t="s">
        <v>270</v>
      </c>
      <c r="CA12" s="1620" t="s">
        <v>270</v>
      </c>
      <c r="CB12" s="1603"/>
      <c r="CC12" s="1603">
        <v>210</v>
      </c>
      <c r="CD12" s="1603">
        <v>180</v>
      </c>
      <c r="CE12" s="1603">
        <v>0</v>
      </c>
      <c r="CF12" s="1603">
        <v>0</v>
      </c>
      <c r="CG12" s="1603">
        <v>0</v>
      </c>
      <c r="CH12" s="1603">
        <v>0</v>
      </c>
      <c r="CI12" s="1603">
        <v>0</v>
      </c>
      <c r="CJ12" s="1603"/>
      <c r="CK12" s="1603">
        <v>0</v>
      </c>
      <c r="CL12" s="1603">
        <v>0</v>
      </c>
      <c r="CM12" s="1603">
        <v>0</v>
      </c>
      <c r="CN12" s="1603">
        <v>0</v>
      </c>
      <c r="CO12" s="1603">
        <v>0</v>
      </c>
      <c r="CP12" s="1603">
        <v>0</v>
      </c>
      <c r="CQ12" s="1603">
        <v>0</v>
      </c>
      <c r="CR12" s="1603">
        <v>0</v>
      </c>
      <c r="CS12" s="1603">
        <v>0</v>
      </c>
      <c r="CT12" s="1603">
        <v>0</v>
      </c>
      <c r="CU12" s="1603">
        <v>0</v>
      </c>
      <c r="CV12" s="1603">
        <v>0</v>
      </c>
      <c r="CW12" s="1603">
        <v>0</v>
      </c>
      <c r="CX12" s="1603">
        <v>0</v>
      </c>
      <c r="CY12" s="1603">
        <v>0</v>
      </c>
      <c r="CZ12" s="1603">
        <v>0</v>
      </c>
      <c r="DA12" s="1603">
        <v>0</v>
      </c>
      <c r="DB12" s="1603">
        <v>0</v>
      </c>
      <c r="DC12" s="1603">
        <v>0</v>
      </c>
      <c r="DD12" s="1603">
        <v>0</v>
      </c>
      <c r="DE12" s="1603">
        <v>0</v>
      </c>
      <c r="DF12" s="1603">
        <v>0</v>
      </c>
      <c r="DG12" s="1603">
        <v>0</v>
      </c>
      <c r="DH12" s="1603">
        <v>0</v>
      </c>
      <c r="DI12" s="1603">
        <v>0</v>
      </c>
      <c r="DJ12" s="1603">
        <v>0</v>
      </c>
      <c r="DK12" s="1603">
        <v>0</v>
      </c>
      <c r="DL12" s="1603">
        <v>0</v>
      </c>
      <c r="DM12" s="1603">
        <v>0</v>
      </c>
      <c r="DN12" s="1603">
        <v>0</v>
      </c>
      <c r="DO12" s="1603">
        <v>0</v>
      </c>
      <c r="DP12" s="1603">
        <v>0</v>
      </c>
      <c r="DQ12" s="1603">
        <v>0</v>
      </c>
      <c r="DR12" s="1603">
        <v>0</v>
      </c>
      <c r="DS12" s="1603">
        <v>0</v>
      </c>
      <c r="DT12" s="1603">
        <v>0</v>
      </c>
      <c r="DU12" s="1603">
        <v>0</v>
      </c>
      <c r="DV12" s="1603">
        <v>0</v>
      </c>
      <c r="DW12" s="1618" t="s">
        <v>986</v>
      </c>
      <c r="DX12" s="1605" t="s">
        <v>986</v>
      </c>
      <c r="DY12" s="1605" t="s">
        <v>986</v>
      </c>
      <c r="DZ12" s="1605" t="s">
        <v>986</v>
      </c>
      <c r="EA12" s="1605" t="s">
        <v>986</v>
      </c>
      <c r="EB12" s="1605" t="s">
        <v>986</v>
      </c>
      <c r="EC12" s="1605" t="s">
        <v>986</v>
      </c>
      <c r="ED12" s="1605" t="s">
        <v>986</v>
      </c>
      <c r="EE12" s="1605" t="s">
        <v>986</v>
      </c>
      <c r="EF12" s="1605" t="s">
        <v>986</v>
      </c>
      <c r="EG12" s="1605" t="s">
        <v>986</v>
      </c>
      <c r="EH12" s="1605" t="s">
        <v>986</v>
      </c>
      <c r="EI12" s="1605" t="s">
        <v>986</v>
      </c>
      <c r="EJ12" s="1605" t="s">
        <v>986</v>
      </c>
      <c r="EK12" s="1605" t="s">
        <v>986</v>
      </c>
      <c r="EL12" s="1605" t="s">
        <v>986</v>
      </c>
      <c r="EM12" s="1605" t="s">
        <v>986</v>
      </c>
      <c r="EN12" s="1605" t="s">
        <v>986</v>
      </c>
      <c r="EO12" s="1605" t="s">
        <v>986</v>
      </c>
      <c r="EP12" s="1605" t="s">
        <v>986</v>
      </c>
      <c r="EQ12" s="1605" t="s">
        <v>986</v>
      </c>
      <c r="ER12" s="1605" t="s">
        <v>986</v>
      </c>
      <c r="ES12" s="1605" t="s">
        <v>986</v>
      </c>
      <c r="ET12" s="1605" t="s">
        <v>986</v>
      </c>
      <c r="EU12" s="1605" t="s">
        <v>986</v>
      </c>
      <c r="EV12" s="1605" t="s">
        <v>986</v>
      </c>
      <c r="EW12" s="1605" t="s">
        <v>986</v>
      </c>
      <c r="EX12" s="1605" t="s">
        <v>986</v>
      </c>
      <c r="EY12" s="1605" t="s">
        <v>986</v>
      </c>
      <c r="EZ12" s="1605" t="s">
        <v>986</v>
      </c>
      <c r="FA12" s="1605" t="s">
        <v>986</v>
      </c>
      <c r="FB12" s="1605" t="s">
        <v>986</v>
      </c>
      <c r="FC12" s="1605" t="s">
        <v>986</v>
      </c>
      <c r="FD12" s="1605" t="s">
        <v>986</v>
      </c>
      <c r="FE12" s="1605" t="s">
        <v>986</v>
      </c>
      <c r="FF12" s="1605" t="s">
        <v>986</v>
      </c>
      <c r="FG12" s="1605" t="s">
        <v>986</v>
      </c>
      <c r="FH12" s="1605" t="s">
        <v>986</v>
      </c>
      <c r="FI12" s="1605" t="s">
        <v>986</v>
      </c>
      <c r="FJ12" s="1605" t="s">
        <v>986</v>
      </c>
      <c r="FK12" s="1605" t="s">
        <v>986</v>
      </c>
      <c r="FL12" s="1605" t="s">
        <v>986</v>
      </c>
      <c r="FM12" s="1605" t="s">
        <v>986</v>
      </c>
      <c r="FN12" s="1605" t="s">
        <v>986</v>
      </c>
      <c r="FO12" s="1605" t="s">
        <v>986</v>
      </c>
      <c r="FP12" s="1605" t="s">
        <v>986</v>
      </c>
      <c r="FQ12" s="1605" t="s">
        <v>986</v>
      </c>
      <c r="FR12" s="1605" t="s">
        <v>986</v>
      </c>
      <c r="FS12" s="1605" t="s">
        <v>986</v>
      </c>
      <c r="FT12" s="1605" t="s">
        <v>986</v>
      </c>
      <c r="FU12" s="1605" t="s">
        <v>986</v>
      </c>
      <c r="FV12" s="1605" t="s">
        <v>986</v>
      </c>
      <c r="FW12" s="1605" t="s">
        <v>986</v>
      </c>
      <c r="FX12" s="1605" t="s">
        <v>986</v>
      </c>
      <c r="FY12" s="1605" t="s">
        <v>986</v>
      </c>
      <c r="FZ12" s="1605" t="s">
        <v>986</v>
      </c>
      <c r="GA12" s="1605" t="s">
        <v>986</v>
      </c>
      <c r="GB12" s="1605" t="s">
        <v>986</v>
      </c>
      <c r="GC12" s="1605" t="s">
        <v>986</v>
      </c>
      <c r="GD12" s="1605" t="s">
        <v>986</v>
      </c>
      <c r="GE12" s="1605" t="s">
        <v>986</v>
      </c>
      <c r="GF12" s="1605" t="s">
        <v>986</v>
      </c>
      <c r="GG12" s="1605" t="s">
        <v>986</v>
      </c>
      <c r="GH12" s="1605" t="s">
        <v>986</v>
      </c>
      <c r="GI12" s="1605" t="s">
        <v>986</v>
      </c>
      <c r="GJ12" s="1605" t="s">
        <v>986</v>
      </c>
      <c r="GK12" s="1605" t="s">
        <v>986</v>
      </c>
      <c r="GL12" s="1605" t="s">
        <v>986</v>
      </c>
      <c r="GM12" s="1605" t="s">
        <v>986</v>
      </c>
      <c r="GN12" s="1605" t="s">
        <v>986</v>
      </c>
      <c r="GO12" s="1605" t="s">
        <v>986</v>
      </c>
      <c r="GP12" s="1605" t="s">
        <v>986</v>
      </c>
      <c r="GQ12" s="1605" t="s">
        <v>986</v>
      </c>
      <c r="GR12" s="1605" t="s">
        <v>986</v>
      </c>
      <c r="GS12" s="1605" t="s">
        <v>986</v>
      </c>
      <c r="GT12" s="1605" t="s">
        <v>986</v>
      </c>
      <c r="GU12" s="1605" t="s">
        <v>986</v>
      </c>
      <c r="GV12" s="1605" t="s">
        <v>986</v>
      </c>
      <c r="GW12" s="1605" t="s">
        <v>986</v>
      </c>
      <c r="GX12" s="1605" t="s">
        <v>986</v>
      </c>
      <c r="GY12" s="1605" t="s">
        <v>986</v>
      </c>
      <c r="GZ12" s="1605" t="s">
        <v>986</v>
      </c>
      <c r="HA12" s="1605" t="s">
        <v>986</v>
      </c>
      <c r="HB12" s="1605" t="s">
        <v>986</v>
      </c>
      <c r="HC12" s="1605" t="s">
        <v>986</v>
      </c>
      <c r="HD12" s="1605" t="s">
        <v>986</v>
      </c>
      <c r="HE12" s="1605" t="s">
        <v>986</v>
      </c>
      <c r="HF12" s="1605" t="s">
        <v>986</v>
      </c>
      <c r="HG12" s="1605" t="s">
        <v>986</v>
      </c>
      <c r="HH12" s="1605" t="s">
        <v>986</v>
      </c>
      <c r="HI12" s="1605" t="s">
        <v>986</v>
      </c>
      <c r="HJ12" s="1605" t="s">
        <v>986</v>
      </c>
      <c r="HK12" s="1605" t="s">
        <v>986</v>
      </c>
      <c r="HL12" s="1605" t="s">
        <v>986</v>
      </c>
      <c r="HM12" s="1605" t="s">
        <v>986</v>
      </c>
      <c r="HN12" s="1605" t="s">
        <v>986</v>
      </c>
      <c r="HO12" s="1605" t="s">
        <v>986</v>
      </c>
      <c r="HP12" s="1605" t="s">
        <v>986</v>
      </c>
      <c r="HQ12" s="1605" t="s">
        <v>986</v>
      </c>
      <c r="HR12" s="1605" t="s">
        <v>986</v>
      </c>
      <c r="HS12" s="1605" t="s">
        <v>986</v>
      </c>
      <c r="HT12" s="1605" t="s">
        <v>986</v>
      </c>
      <c r="HU12" s="1605" t="s">
        <v>986</v>
      </c>
      <c r="HV12" s="1617"/>
      <c r="HW12" s="1617">
        <v>0</v>
      </c>
      <c r="HX12" s="1617">
        <v>0</v>
      </c>
      <c r="HY12" s="1617">
        <v>0</v>
      </c>
      <c r="HZ12" s="1603"/>
      <c r="IA12" s="1603"/>
      <c r="IB12" s="1603"/>
      <c r="IC12" s="1603">
        <v>67</v>
      </c>
      <c r="ID12" s="1603">
        <v>67</v>
      </c>
      <c r="IE12" s="1603">
        <v>67</v>
      </c>
      <c r="IF12" s="1603">
        <v>67</v>
      </c>
      <c r="IG12" s="1611" t="s">
        <v>2932</v>
      </c>
      <c r="IH12" s="1616" t="s">
        <v>3296</v>
      </c>
      <c r="II12" s="1615" t="s">
        <v>3295</v>
      </c>
      <c r="IJ12" s="1613">
        <v>1.3101818181818183</v>
      </c>
      <c r="IK12" s="1613">
        <v>1.301848484848485</v>
      </c>
      <c r="IL12" s="1614">
        <v>1.3101818181818183</v>
      </c>
      <c r="IM12" s="1614">
        <v>1.301848484848485</v>
      </c>
      <c r="IN12" s="1612">
        <v>1.2</v>
      </c>
      <c r="IO12" s="1613">
        <v>-0.11018181818181838</v>
      </c>
      <c r="IP12" s="1607" t="s">
        <v>270</v>
      </c>
      <c r="IQ12" s="1612">
        <v>0</v>
      </c>
      <c r="IR12" s="1612">
        <v>0</v>
      </c>
      <c r="IS12" s="1607">
        <v>1.1881818181818182</v>
      </c>
      <c r="IT12" s="1607">
        <v>1.1798484848484849</v>
      </c>
      <c r="IU12" s="1611">
        <v>0</v>
      </c>
      <c r="IV12" s="1611">
        <v>7.7767676767676763E-2</v>
      </c>
      <c r="IW12" s="1611">
        <v>9.0909090909090909E-4</v>
      </c>
      <c r="IX12" s="1611">
        <v>1.6060606060606061E-3</v>
      </c>
      <c r="IY12" s="1611">
        <v>9.6969696969696957E-4</v>
      </c>
      <c r="IZ12" s="1611">
        <v>5.9898989898989896E-3</v>
      </c>
      <c r="JA12" s="1611">
        <v>6.0606060606060598E-5</v>
      </c>
      <c r="JB12" s="1611" t="s">
        <v>270</v>
      </c>
      <c r="JC12" s="1611">
        <v>9.9026969696969704</v>
      </c>
      <c r="JD12" s="1611">
        <v>5.2121212121212122E-3</v>
      </c>
      <c r="JE12" s="1611" t="s">
        <v>270</v>
      </c>
      <c r="JF12" s="1611">
        <v>8.2828282828282835E-4</v>
      </c>
      <c r="JG12" s="1611">
        <v>0.57978787878787885</v>
      </c>
      <c r="JH12" s="1611">
        <v>7.646464646464647E-3</v>
      </c>
      <c r="JI12" s="1611">
        <v>0.3</v>
      </c>
      <c r="JJ12" s="1611" t="s">
        <v>270</v>
      </c>
      <c r="JK12" s="1607">
        <f t="shared" si="9"/>
        <v>0.12200000000000011</v>
      </c>
      <c r="JL12" s="1608" t="s">
        <v>270</v>
      </c>
      <c r="JM12" s="1610" t="s">
        <v>2924</v>
      </c>
      <c r="JN12" s="1608">
        <v>8.3333333333333037E-3</v>
      </c>
      <c r="JO12" s="1609" t="s">
        <v>2931</v>
      </c>
      <c r="JP12" s="1608" t="s">
        <v>270</v>
      </c>
      <c r="JQ12" s="1607">
        <v>202103</v>
      </c>
      <c r="JR12" s="1606">
        <v>851</v>
      </c>
      <c r="JS12" s="1606">
        <v>774</v>
      </c>
      <c r="JT12" s="1606">
        <v>774</v>
      </c>
    </row>
    <row r="13" spans="1:280" ht="15" customHeight="1" x14ac:dyDescent="0.2">
      <c r="A13" s="1626">
        <v>46203</v>
      </c>
      <c r="B13" s="1625">
        <v>462</v>
      </c>
      <c r="C13" s="1624">
        <v>3</v>
      </c>
      <c r="D13" s="1623" t="s">
        <v>3726</v>
      </c>
      <c r="E13" s="1622">
        <v>43025</v>
      </c>
      <c r="F13" s="1620">
        <v>-0.112682926829268</v>
      </c>
      <c r="G13" s="1620">
        <v>-0.108</v>
      </c>
      <c r="H13" s="1621">
        <v>70</v>
      </c>
      <c r="I13" s="1621">
        <v>70</v>
      </c>
      <c r="J13" s="1621">
        <v>0</v>
      </c>
      <c r="K13" s="1620">
        <v>1</v>
      </c>
      <c r="L13" s="1620">
        <v>99</v>
      </c>
      <c r="M13" s="1620">
        <v>0</v>
      </c>
      <c r="N13" s="1620">
        <v>0</v>
      </c>
      <c r="O13" s="1620">
        <v>99</v>
      </c>
      <c r="P13" s="1620">
        <v>0</v>
      </c>
      <c r="Q13" s="1603"/>
      <c r="R13" s="1620">
        <v>0</v>
      </c>
      <c r="S13" s="1620">
        <v>67</v>
      </c>
      <c r="T13" s="1620">
        <v>67</v>
      </c>
      <c r="U13" s="1620">
        <v>67</v>
      </c>
      <c r="V13" s="1620">
        <v>67</v>
      </c>
      <c r="W13" s="1620">
        <v>67</v>
      </c>
      <c r="X13" s="1620"/>
      <c r="Y13" s="1620">
        <v>161.61616161616161</v>
      </c>
      <c r="Z13" s="1620">
        <v>229.2929292929293</v>
      </c>
      <c r="AA13" s="1620">
        <v>0</v>
      </c>
      <c r="AB13" s="1620">
        <v>0</v>
      </c>
      <c r="AC13" s="1620">
        <v>0</v>
      </c>
      <c r="AD13" s="1620">
        <v>0</v>
      </c>
      <c r="AE13" s="1620">
        <v>0</v>
      </c>
      <c r="AF13" s="1620">
        <v>0</v>
      </c>
      <c r="AG13" s="1620">
        <v>0</v>
      </c>
      <c r="AH13" s="1620">
        <v>0</v>
      </c>
      <c r="AI13" s="1620">
        <v>0</v>
      </c>
      <c r="AJ13" s="1620">
        <v>0</v>
      </c>
      <c r="AK13" s="1620">
        <v>0</v>
      </c>
      <c r="AL13" s="1620"/>
      <c r="AM13" s="1620">
        <v>0</v>
      </c>
      <c r="AN13" s="1620">
        <v>0</v>
      </c>
      <c r="AO13" s="1620">
        <v>0</v>
      </c>
      <c r="AP13" s="1620">
        <v>0</v>
      </c>
      <c r="AQ13" s="1620">
        <v>0</v>
      </c>
      <c r="AR13" s="1620">
        <v>0</v>
      </c>
      <c r="AS13" s="1620">
        <v>0</v>
      </c>
      <c r="AT13" s="1620">
        <v>0</v>
      </c>
      <c r="AU13" s="1620">
        <v>0</v>
      </c>
      <c r="AV13" s="1620">
        <v>0</v>
      </c>
      <c r="AW13" s="1620">
        <v>0</v>
      </c>
      <c r="AX13" s="1620"/>
      <c r="AY13" s="1620">
        <v>1</v>
      </c>
      <c r="AZ13" s="1620">
        <v>1</v>
      </c>
      <c r="BA13" s="1620">
        <v>1</v>
      </c>
      <c r="BB13" s="1620">
        <v>1</v>
      </c>
      <c r="BC13" s="1620">
        <v>1</v>
      </c>
      <c r="BD13" s="1620">
        <v>1</v>
      </c>
      <c r="BE13" s="1620">
        <v>1</v>
      </c>
      <c r="BF13" s="1620">
        <v>1</v>
      </c>
      <c r="BG13" s="1620">
        <v>1</v>
      </c>
      <c r="BH13" s="1620">
        <v>1</v>
      </c>
      <c r="BI13" s="1620">
        <v>1</v>
      </c>
      <c r="BJ13" s="1603"/>
      <c r="BK13" s="1620">
        <v>0</v>
      </c>
      <c r="BL13" s="1620">
        <v>0</v>
      </c>
      <c r="BM13" s="1620">
        <v>100</v>
      </c>
      <c r="BN13" s="1620">
        <v>0</v>
      </c>
      <c r="BO13" s="1620"/>
      <c r="BP13" s="1620">
        <v>0</v>
      </c>
      <c r="BQ13" s="1620">
        <v>0</v>
      </c>
      <c r="BR13" s="1620">
        <v>-0.11382113821138182</v>
      </c>
      <c r="BS13" s="1620">
        <v>-0.1090909090909091</v>
      </c>
      <c r="BT13" s="1603"/>
      <c r="BU13" s="1620">
        <v>0</v>
      </c>
      <c r="BV13" s="1620">
        <v>0</v>
      </c>
      <c r="BW13" s="1620">
        <v>0</v>
      </c>
      <c r="BX13" s="1620" t="s">
        <v>270</v>
      </c>
      <c r="BY13" s="1620" t="s">
        <v>270</v>
      </c>
      <c r="BZ13" s="1620" t="s">
        <v>270</v>
      </c>
      <c r="CA13" s="1620" t="s">
        <v>270</v>
      </c>
      <c r="CB13" s="1603"/>
      <c r="CC13" s="1603">
        <v>160</v>
      </c>
      <c r="CD13" s="1603">
        <v>227</v>
      </c>
      <c r="CE13" s="1603">
        <v>0</v>
      </c>
      <c r="CF13" s="1603">
        <v>0</v>
      </c>
      <c r="CG13" s="1603">
        <v>0</v>
      </c>
      <c r="CH13" s="1603">
        <v>0</v>
      </c>
      <c r="CI13" s="1603">
        <v>0</v>
      </c>
      <c r="CJ13" s="1603"/>
      <c r="CK13" s="1603">
        <v>0</v>
      </c>
      <c r="CL13" s="1603">
        <v>0</v>
      </c>
      <c r="CM13" s="1603">
        <v>0</v>
      </c>
      <c r="CN13" s="1603">
        <v>0</v>
      </c>
      <c r="CO13" s="1603">
        <v>0</v>
      </c>
      <c r="CP13" s="1603">
        <v>0</v>
      </c>
      <c r="CQ13" s="1603">
        <v>0</v>
      </c>
      <c r="CR13" s="1603">
        <v>0</v>
      </c>
      <c r="CS13" s="1603">
        <v>0</v>
      </c>
      <c r="CT13" s="1603">
        <v>0</v>
      </c>
      <c r="CU13" s="1603">
        <v>0</v>
      </c>
      <c r="CV13" s="1603">
        <v>0</v>
      </c>
      <c r="CW13" s="1603">
        <v>0</v>
      </c>
      <c r="CX13" s="1603">
        <v>0</v>
      </c>
      <c r="CY13" s="1603">
        <v>0</v>
      </c>
      <c r="CZ13" s="1603">
        <v>0</v>
      </c>
      <c r="DA13" s="1603">
        <v>0</v>
      </c>
      <c r="DB13" s="1603">
        <v>0</v>
      </c>
      <c r="DC13" s="1603">
        <v>0</v>
      </c>
      <c r="DD13" s="1603">
        <v>0</v>
      </c>
      <c r="DE13" s="1603">
        <v>0</v>
      </c>
      <c r="DF13" s="1603">
        <v>0</v>
      </c>
      <c r="DG13" s="1603">
        <v>0</v>
      </c>
      <c r="DH13" s="1603">
        <v>0</v>
      </c>
      <c r="DI13" s="1603">
        <v>0</v>
      </c>
      <c r="DJ13" s="1603">
        <v>0</v>
      </c>
      <c r="DK13" s="1603">
        <v>0</v>
      </c>
      <c r="DL13" s="1603">
        <v>0</v>
      </c>
      <c r="DM13" s="1603">
        <v>0</v>
      </c>
      <c r="DN13" s="1603">
        <v>0</v>
      </c>
      <c r="DO13" s="1603">
        <v>0</v>
      </c>
      <c r="DP13" s="1603">
        <v>0</v>
      </c>
      <c r="DQ13" s="1603">
        <v>0</v>
      </c>
      <c r="DR13" s="1603">
        <v>0</v>
      </c>
      <c r="DS13" s="1603">
        <v>0</v>
      </c>
      <c r="DT13" s="1603">
        <v>0</v>
      </c>
      <c r="DU13" s="1603">
        <v>0</v>
      </c>
      <c r="DV13" s="1603">
        <v>0</v>
      </c>
      <c r="DW13" s="1618" t="s">
        <v>986</v>
      </c>
      <c r="DX13" s="1605" t="s">
        <v>986</v>
      </c>
      <c r="DY13" s="1605" t="s">
        <v>986</v>
      </c>
      <c r="DZ13" s="1605" t="s">
        <v>986</v>
      </c>
      <c r="EA13" s="1605" t="s">
        <v>986</v>
      </c>
      <c r="EB13" s="1605" t="s">
        <v>986</v>
      </c>
      <c r="EC13" s="1605" t="s">
        <v>986</v>
      </c>
      <c r="ED13" s="1605" t="s">
        <v>986</v>
      </c>
      <c r="EE13" s="1605" t="s">
        <v>986</v>
      </c>
      <c r="EF13" s="1605" t="s">
        <v>986</v>
      </c>
      <c r="EG13" s="1605" t="s">
        <v>986</v>
      </c>
      <c r="EH13" s="1605" t="s">
        <v>986</v>
      </c>
      <c r="EI13" s="1605" t="s">
        <v>986</v>
      </c>
      <c r="EJ13" s="1605" t="s">
        <v>986</v>
      </c>
      <c r="EK13" s="1605" t="s">
        <v>986</v>
      </c>
      <c r="EL13" s="1605" t="s">
        <v>986</v>
      </c>
      <c r="EM13" s="1605" t="s">
        <v>986</v>
      </c>
      <c r="EN13" s="1605" t="s">
        <v>986</v>
      </c>
      <c r="EO13" s="1605" t="s">
        <v>986</v>
      </c>
      <c r="EP13" s="1605" t="s">
        <v>986</v>
      </c>
      <c r="EQ13" s="1605" t="s">
        <v>986</v>
      </c>
      <c r="ER13" s="1605" t="s">
        <v>986</v>
      </c>
      <c r="ES13" s="1605" t="s">
        <v>986</v>
      </c>
      <c r="ET13" s="1605" t="s">
        <v>986</v>
      </c>
      <c r="EU13" s="1605" t="s">
        <v>986</v>
      </c>
      <c r="EV13" s="1605" t="s">
        <v>986</v>
      </c>
      <c r="EW13" s="1605" t="s">
        <v>986</v>
      </c>
      <c r="EX13" s="1605" t="s">
        <v>986</v>
      </c>
      <c r="EY13" s="1605" t="s">
        <v>986</v>
      </c>
      <c r="EZ13" s="1605" t="s">
        <v>986</v>
      </c>
      <c r="FA13" s="1605" t="s">
        <v>986</v>
      </c>
      <c r="FB13" s="1605" t="s">
        <v>986</v>
      </c>
      <c r="FC13" s="1605" t="s">
        <v>986</v>
      </c>
      <c r="FD13" s="1605" t="s">
        <v>986</v>
      </c>
      <c r="FE13" s="1605" t="s">
        <v>986</v>
      </c>
      <c r="FF13" s="1605" t="s">
        <v>986</v>
      </c>
      <c r="FG13" s="1605" t="s">
        <v>986</v>
      </c>
      <c r="FH13" s="1605" t="s">
        <v>986</v>
      </c>
      <c r="FI13" s="1605" t="s">
        <v>986</v>
      </c>
      <c r="FJ13" s="1605" t="s">
        <v>986</v>
      </c>
      <c r="FK13" s="1605" t="s">
        <v>986</v>
      </c>
      <c r="FL13" s="1605" t="s">
        <v>986</v>
      </c>
      <c r="FM13" s="1605" t="s">
        <v>986</v>
      </c>
      <c r="FN13" s="1605" t="s">
        <v>986</v>
      </c>
      <c r="FO13" s="1605" t="s">
        <v>986</v>
      </c>
      <c r="FP13" s="1605" t="s">
        <v>986</v>
      </c>
      <c r="FQ13" s="1605" t="s">
        <v>986</v>
      </c>
      <c r="FR13" s="1605" t="s">
        <v>986</v>
      </c>
      <c r="FS13" s="1605" t="s">
        <v>986</v>
      </c>
      <c r="FT13" s="1605" t="s">
        <v>986</v>
      </c>
      <c r="FU13" s="1605" t="s">
        <v>986</v>
      </c>
      <c r="FV13" s="1605" t="s">
        <v>986</v>
      </c>
      <c r="FW13" s="1605" t="s">
        <v>986</v>
      </c>
      <c r="FX13" s="1605" t="s">
        <v>986</v>
      </c>
      <c r="FY13" s="1605" t="s">
        <v>986</v>
      </c>
      <c r="FZ13" s="1605" t="s">
        <v>986</v>
      </c>
      <c r="GA13" s="1605" t="s">
        <v>986</v>
      </c>
      <c r="GB13" s="1605" t="s">
        <v>986</v>
      </c>
      <c r="GC13" s="1605" t="s">
        <v>986</v>
      </c>
      <c r="GD13" s="1605" t="s">
        <v>986</v>
      </c>
      <c r="GE13" s="1605" t="s">
        <v>986</v>
      </c>
      <c r="GF13" s="1605" t="s">
        <v>986</v>
      </c>
      <c r="GG13" s="1605" t="s">
        <v>986</v>
      </c>
      <c r="GH13" s="1605" t="s">
        <v>986</v>
      </c>
      <c r="GI13" s="1605" t="s">
        <v>986</v>
      </c>
      <c r="GJ13" s="1605" t="s">
        <v>986</v>
      </c>
      <c r="GK13" s="1605" t="s">
        <v>986</v>
      </c>
      <c r="GL13" s="1605" t="s">
        <v>986</v>
      </c>
      <c r="GM13" s="1605" t="s">
        <v>986</v>
      </c>
      <c r="GN13" s="1605" t="s">
        <v>986</v>
      </c>
      <c r="GO13" s="1605" t="s">
        <v>986</v>
      </c>
      <c r="GP13" s="1605" t="s">
        <v>986</v>
      </c>
      <c r="GQ13" s="1605" t="s">
        <v>986</v>
      </c>
      <c r="GR13" s="1605" t="s">
        <v>986</v>
      </c>
      <c r="GS13" s="1605" t="s">
        <v>986</v>
      </c>
      <c r="GT13" s="1605" t="s">
        <v>986</v>
      </c>
      <c r="GU13" s="1605" t="s">
        <v>986</v>
      </c>
      <c r="GV13" s="1605" t="s">
        <v>986</v>
      </c>
      <c r="GW13" s="1605" t="s">
        <v>986</v>
      </c>
      <c r="GX13" s="1605" t="s">
        <v>986</v>
      </c>
      <c r="GY13" s="1605" t="s">
        <v>986</v>
      </c>
      <c r="GZ13" s="1605" t="s">
        <v>986</v>
      </c>
      <c r="HA13" s="1605" t="s">
        <v>986</v>
      </c>
      <c r="HB13" s="1605" t="s">
        <v>986</v>
      </c>
      <c r="HC13" s="1605" t="s">
        <v>986</v>
      </c>
      <c r="HD13" s="1605" t="s">
        <v>986</v>
      </c>
      <c r="HE13" s="1605" t="s">
        <v>986</v>
      </c>
      <c r="HF13" s="1605" t="s">
        <v>986</v>
      </c>
      <c r="HG13" s="1605" t="s">
        <v>986</v>
      </c>
      <c r="HH13" s="1605" t="s">
        <v>986</v>
      </c>
      <c r="HI13" s="1605" t="s">
        <v>986</v>
      </c>
      <c r="HJ13" s="1605" t="s">
        <v>986</v>
      </c>
      <c r="HK13" s="1605" t="s">
        <v>986</v>
      </c>
      <c r="HL13" s="1605" t="s">
        <v>986</v>
      </c>
      <c r="HM13" s="1605" t="s">
        <v>986</v>
      </c>
      <c r="HN13" s="1605" t="s">
        <v>986</v>
      </c>
      <c r="HO13" s="1605" t="s">
        <v>986</v>
      </c>
      <c r="HP13" s="1605" t="s">
        <v>986</v>
      </c>
      <c r="HQ13" s="1605" t="s">
        <v>986</v>
      </c>
      <c r="HR13" s="1605" t="s">
        <v>986</v>
      </c>
      <c r="HS13" s="1605" t="s">
        <v>986</v>
      </c>
      <c r="HT13" s="1605" t="s">
        <v>986</v>
      </c>
      <c r="HU13" s="1605" t="s">
        <v>986</v>
      </c>
      <c r="HV13" s="1617"/>
      <c r="HW13" s="1617" t="s">
        <v>3278</v>
      </c>
      <c r="HX13" s="1617">
        <v>0</v>
      </c>
      <c r="HY13" s="1617">
        <v>0</v>
      </c>
      <c r="HZ13" s="1603"/>
      <c r="IA13" s="1603"/>
      <c r="IB13" s="1603"/>
      <c r="IC13" s="1603">
        <v>67</v>
      </c>
      <c r="ID13" s="1603">
        <v>67</v>
      </c>
      <c r="IE13" s="1603">
        <v>67</v>
      </c>
      <c r="IF13" s="1603">
        <v>67</v>
      </c>
      <c r="IG13" s="1611" t="s">
        <v>2932</v>
      </c>
      <c r="IH13" s="1616" t="s">
        <v>3296</v>
      </c>
      <c r="II13" s="1615" t="s">
        <v>3295</v>
      </c>
      <c r="IJ13" s="1613">
        <v>1.3101818181818183</v>
      </c>
      <c r="IK13" s="1613">
        <v>1.301848484848485</v>
      </c>
      <c r="IL13" s="1614">
        <v>1.3101818181818183</v>
      </c>
      <c r="IM13" s="1614">
        <v>1.301848484848485</v>
      </c>
      <c r="IN13" s="1612">
        <v>1.2</v>
      </c>
      <c r="IO13" s="1613">
        <v>-0.11018181818181838</v>
      </c>
      <c r="IP13" s="1607" t="s">
        <v>270</v>
      </c>
      <c r="IQ13" s="1612">
        <v>0</v>
      </c>
      <c r="IR13" s="1612">
        <v>0</v>
      </c>
      <c r="IS13" s="1607">
        <v>1.1881818181818182</v>
      </c>
      <c r="IT13" s="1607">
        <v>1.1798484848484849</v>
      </c>
      <c r="IU13" s="1611">
        <v>0</v>
      </c>
      <c r="IV13" s="1611">
        <v>7.7767676767676763E-2</v>
      </c>
      <c r="IW13" s="1611">
        <v>9.0909090909090909E-4</v>
      </c>
      <c r="IX13" s="1611">
        <v>1.6060606060606061E-3</v>
      </c>
      <c r="IY13" s="1611">
        <v>9.6969696969696957E-4</v>
      </c>
      <c r="IZ13" s="1611">
        <v>5.9898989898989896E-3</v>
      </c>
      <c r="JA13" s="1611">
        <v>6.0606060606060598E-5</v>
      </c>
      <c r="JB13" s="1611" t="s">
        <v>270</v>
      </c>
      <c r="JC13" s="1611">
        <v>9.9026969696969704</v>
      </c>
      <c r="JD13" s="1611">
        <v>5.2121212121212122E-3</v>
      </c>
      <c r="JE13" s="1611" t="s">
        <v>270</v>
      </c>
      <c r="JF13" s="1611">
        <v>8.2828282828282835E-4</v>
      </c>
      <c r="JG13" s="1611">
        <v>0.57978787878787885</v>
      </c>
      <c r="JH13" s="1611">
        <v>7.646464646464647E-3</v>
      </c>
      <c r="JI13" s="1611">
        <v>0.3</v>
      </c>
      <c r="JJ13" s="1611" t="s">
        <v>270</v>
      </c>
      <c r="JK13" s="1607">
        <f t="shared" si="9"/>
        <v>0.12200000000000011</v>
      </c>
      <c r="JL13" s="1608" t="s">
        <v>270</v>
      </c>
      <c r="JM13" s="1610" t="s">
        <v>2924</v>
      </c>
      <c r="JN13" s="1608">
        <v>8.3333333333333037E-3</v>
      </c>
      <c r="JO13" s="1609" t="s">
        <v>2931</v>
      </c>
      <c r="JP13" s="1608" t="s">
        <v>270</v>
      </c>
      <c r="JQ13" s="1607">
        <v>202103</v>
      </c>
      <c r="JR13" s="1606">
        <v>851</v>
      </c>
      <c r="JS13" s="1606">
        <v>774</v>
      </c>
      <c r="JT13" s="1606">
        <v>774</v>
      </c>
    </row>
    <row r="14" spans="1:280" ht="15" customHeight="1" x14ac:dyDescent="0.2">
      <c r="A14" s="1626">
        <v>50300</v>
      </c>
      <c r="B14" s="1625">
        <v>503</v>
      </c>
      <c r="C14" s="1624">
        <v>0</v>
      </c>
      <c r="D14" s="1623" t="s">
        <v>3725</v>
      </c>
      <c r="E14" s="1622">
        <v>44497</v>
      </c>
      <c r="F14" s="1620">
        <v>1.0399151180797523</v>
      </c>
      <c r="G14" s="1620">
        <v>1.0435126552875693</v>
      </c>
      <c r="H14" s="1621">
        <v>83.2</v>
      </c>
      <c r="I14" s="1621">
        <v>77.900000000000006</v>
      </c>
      <c r="J14" s="1621">
        <v>90</v>
      </c>
      <c r="K14" s="1620">
        <v>1</v>
      </c>
      <c r="L14" s="1620">
        <v>86.9</v>
      </c>
      <c r="M14" s="1620">
        <v>9.3000000000000007</v>
      </c>
      <c r="N14" s="1620">
        <v>2.6</v>
      </c>
      <c r="O14" s="1620">
        <v>1.8</v>
      </c>
      <c r="P14" s="1620">
        <v>4.5999999999999996</v>
      </c>
      <c r="Q14" s="1603"/>
      <c r="R14" s="1620">
        <v>74.76884239631336</v>
      </c>
      <c r="S14" s="1620">
        <v>39</v>
      </c>
      <c r="T14" s="1620">
        <v>46.723577235772403</v>
      </c>
      <c r="U14" s="1620">
        <v>49.8130081300813</v>
      </c>
      <c r="V14" s="1620">
        <v>52.5934959349593</v>
      </c>
      <c r="W14" s="1620">
        <v>54.4471544715447</v>
      </c>
      <c r="X14" s="1620"/>
      <c r="Y14" s="1620">
        <v>0.62140391254315297</v>
      </c>
      <c r="Z14" s="1620">
        <v>3.2220943613348676</v>
      </c>
      <c r="AA14" s="1620">
        <v>0.12658227848101264</v>
      </c>
      <c r="AB14" s="1620">
        <v>1.8150684931506944</v>
      </c>
      <c r="AC14" s="1620">
        <v>5.5581127733026463</v>
      </c>
      <c r="AD14" s="1620">
        <v>1.001150747986191</v>
      </c>
      <c r="AE14" s="1620">
        <v>1.3</v>
      </c>
      <c r="AF14" s="1620">
        <v>39.953970080552359</v>
      </c>
      <c r="AG14" s="1620">
        <v>2.3820483314154197</v>
      </c>
      <c r="AH14" s="1620">
        <v>15.397008055235903</v>
      </c>
      <c r="AI14" s="1620">
        <v>23.268124280782509</v>
      </c>
      <c r="AJ14" s="1620">
        <v>0</v>
      </c>
      <c r="AK14" s="1620">
        <v>0.04</v>
      </c>
      <c r="AL14" s="1620"/>
      <c r="AM14" s="1620">
        <v>3.8401495972382049</v>
      </c>
      <c r="AN14" s="1620">
        <v>1.7226237054085156</v>
      </c>
      <c r="AO14" s="1620">
        <v>2.4129689298043724</v>
      </c>
      <c r="AP14" s="1620">
        <v>3.4780552359033368</v>
      </c>
      <c r="AQ14" s="1620">
        <v>1.3440276179516686</v>
      </c>
      <c r="AR14" s="1620">
        <v>3.6301726121979283</v>
      </c>
      <c r="AS14" s="1620">
        <v>6.8924510932105871</v>
      </c>
      <c r="AT14" s="1620">
        <v>2.2996432681242807</v>
      </c>
      <c r="AU14" s="1620">
        <v>4.7700230149597243</v>
      </c>
      <c r="AV14" s="1620">
        <v>3.2040391254315308</v>
      </c>
      <c r="AW14" s="1620">
        <v>5.1478826237054083</v>
      </c>
      <c r="AX14" s="1620"/>
      <c r="AY14" s="1620">
        <v>0.94</v>
      </c>
      <c r="AZ14" s="1620">
        <v>1.08</v>
      </c>
      <c r="BA14" s="1620">
        <v>1.03</v>
      </c>
      <c r="BB14" s="1620">
        <v>0.95</v>
      </c>
      <c r="BC14" s="1620">
        <v>0.96</v>
      </c>
      <c r="BD14" s="1620">
        <v>1</v>
      </c>
      <c r="BE14" s="1620">
        <v>1.01</v>
      </c>
      <c r="BF14" s="1620">
        <v>1</v>
      </c>
      <c r="BG14" s="1620">
        <v>1.04</v>
      </c>
      <c r="BH14" s="1620">
        <v>0.97</v>
      </c>
      <c r="BI14" s="1620">
        <v>0.96</v>
      </c>
      <c r="BJ14" s="1603"/>
      <c r="BK14" s="1620">
        <v>10.701956271576526</v>
      </c>
      <c r="BL14" s="1620">
        <v>2.9919447640966625</v>
      </c>
      <c r="BM14" s="1620">
        <v>2.0713463751438432</v>
      </c>
      <c r="BN14" s="1620">
        <v>5.4117647058823524</v>
      </c>
      <c r="BO14" s="1620"/>
      <c r="BP14" s="1620">
        <v>120</v>
      </c>
      <c r="BQ14" s="1620">
        <v>38.117647058823529</v>
      </c>
      <c r="BR14" s="1620">
        <v>1.1966802279398763</v>
      </c>
      <c r="BS14" s="1620">
        <v>1.2008200866370189</v>
      </c>
      <c r="BT14" s="1603"/>
      <c r="BU14" s="1620">
        <v>979.28653624856156</v>
      </c>
      <c r="BV14" s="1620">
        <v>614.21075127404242</v>
      </c>
      <c r="BW14" s="1620">
        <v>74.145980601676769</v>
      </c>
      <c r="BX14" s="1620">
        <v>604</v>
      </c>
      <c r="BY14" s="1620">
        <v>21.000000000000004</v>
      </c>
      <c r="BZ14" s="1620">
        <v>56</v>
      </c>
      <c r="CA14" s="1620">
        <v>165</v>
      </c>
      <c r="CB14" s="1603"/>
      <c r="CC14" s="1603">
        <v>0.54</v>
      </c>
      <c r="CD14" s="1603">
        <v>2.8000000000000003</v>
      </c>
      <c r="CE14" s="1603">
        <v>0.11</v>
      </c>
      <c r="CF14" s="1603">
        <v>1.5772945205479536</v>
      </c>
      <c r="CG14" s="1603">
        <v>4.83</v>
      </c>
      <c r="CH14" s="1603">
        <v>0.87000000000000011</v>
      </c>
      <c r="CI14" s="1603">
        <v>1.1297000000000001</v>
      </c>
      <c r="CJ14" s="1603"/>
      <c r="CK14" s="1603">
        <v>34.720000000000006</v>
      </c>
      <c r="CL14" s="1603">
        <v>2.0699999999999998</v>
      </c>
      <c r="CM14" s="1603">
        <v>13.38</v>
      </c>
      <c r="CN14" s="1603">
        <v>20.220000000000002</v>
      </c>
      <c r="CO14" s="1603">
        <v>0</v>
      </c>
      <c r="CP14" s="1603">
        <v>3.4760000000000006E-2</v>
      </c>
      <c r="CQ14" s="1603">
        <v>69.535023428571421</v>
      </c>
      <c r="CR14" s="1603">
        <v>66.866056872959788</v>
      </c>
      <c r="CS14" s="1603">
        <v>2.4136912168742723</v>
      </c>
      <c r="CT14" s="1603">
        <v>1.2439985902907893</v>
      </c>
      <c r="CU14" s="1603">
        <v>1.6618608922377365</v>
      </c>
      <c r="CV14" s="1603">
        <v>2.905859482528526</v>
      </c>
      <c r="CW14" s="1603">
        <v>2.2093564725064767</v>
      </c>
      <c r="CX14" s="1603">
        <v>0.86275034055153565</v>
      </c>
      <c r="CY14" s="1603">
        <v>2.4273532834588774</v>
      </c>
      <c r="CZ14" s="1603">
        <v>4.6547973706064019</v>
      </c>
      <c r="DA14" s="1603">
        <v>1.537680775539173</v>
      </c>
      <c r="DB14" s="1603">
        <v>3.3171073541176903</v>
      </c>
      <c r="DC14" s="1603">
        <v>2.0781421851276427</v>
      </c>
      <c r="DD14" s="1603">
        <v>5.3952495392453326</v>
      </c>
      <c r="DE14" s="1603">
        <v>3.3044986780032701</v>
      </c>
      <c r="DF14" s="1603">
        <v>0</v>
      </c>
      <c r="DG14" s="1603">
        <v>0</v>
      </c>
      <c r="DH14" s="1603">
        <v>0</v>
      </c>
      <c r="DI14" s="1603">
        <v>0</v>
      </c>
      <c r="DJ14" s="1603">
        <v>0</v>
      </c>
      <c r="DK14" s="1603">
        <v>0</v>
      </c>
      <c r="DL14" s="1603">
        <v>0</v>
      </c>
      <c r="DM14" s="1603">
        <v>0</v>
      </c>
      <c r="DN14" s="1603">
        <v>0</v>
      </c>
      <c r="DO14" s="1603">
        <v>0</v>
      </c>
      <c r="DP14" s="1603">
        <v>0</v>
      </c>
      <c r="DQ14" s="1603">
        <v>0</v>
      </c>
      <c r="DR14" s="1603">
        <v>0</v>
      </c>
      <c r="DS14" s="1603">
        <v>0</v>
      </c>
      <c r="DT14" s="1603">
        <v>0</v>
      </c>
      <c r="DU14" s="1603">
        <v>0</v>
      </c>
      <c r="DV14" s="1603">
        <v>0</v>
      </c>
      <c r="DW14" s="1618" t="s">
        <v>3688</v>
      </c>
      <c r="DX14" s="1605">
        <v>12</v>
      </c>
      <c r="DY14" s="1605">
        <v>12</v>
      </c>
      <c r="DZ14" s="1605">
        <v>6</v>
      </c>
      <c r="EA14" s="1605">
        <v>6</v>
      </c>
      <c r="EB14" s="1605" t="s">
        <v>986</v>
      </c>
      <c r="EC14" s="1605">
        <v>6</v>
      </c>
      <c r="ED14" s="1605">
        <v>6</v>
      </c>
      <c r="EE14" s="1605">
        <v>8</v>
      </c>
      <c r="EF14" s="1605">
        <v>6</v>
      </c>
      <c r="EG14" s="1605">
        <v>6</v>
      </c>
      <c r="EH14" s="1605" t="s">
        <v>986</v>
      </c>
      <c r="EI14" s="1605" t="s">
        <v>986</v>
      </c>
      <c r="EJ14" s="1605" t="s">
        <v>986</v>
      </c>
      <c r="EK14" s="1605" t="s">
        <v>986</v>
      </c>
      <c r="EL14" s="1605" t="s">
        <v>986</v>
      </c>
      <c r="EM14" s="1605" t="s">
        <v>986</v>
      </c>
      <c r="EN14" s="1605" t="s">
        <v>986</v>
      </c>
      <c r="EO14" s="1605" t="s">
        <v>986</v>
      </c>
      <c r="EP14" s="1605" t="s">
        <v>986</v>
      </c>
      <c r="EQ14" s="1605" t="s">
        <v>986</v>
      </c>
      <c r="ER14" s="1605" t="s">
        <v>986</v>
      </c>
      <c r="ES14" s="1605">
        <v>6</v>
      </c>
      <c r="ET14" s="1605">
        <v>12</v>
      </c>
      <c r="EU14" s="1605">
        <v>6</v>
      </c>
      <c r="EV14" s="1605">
        <v>7</v>
      </c>
      <c r="EW14" s="1605">
        <v>6</v>
      </c>
      <c r="EX14" s="1605">
        <v>6</v>
      </c>
      <c r="EY14" s="1605" t="s">
        <v>986</v>
      </c>
      <c r="EZ14" s="1605">
        <v>6</v>
      </c>
      <c r="FA14" s="1605">
        <v>6</v>
      </c>
      <c r="FB14" s="1605">
        <v>6</v>
      </c>
      <c r="FC14" s="1605">
        <v>5</v>
      </c>
      <c r="FD14" s="1605" t="s">
        <v>986</v>
      </c>
      <c r="FE14" s="1605" t="s">
        <v>986</v>
      </c>
      <c r="FF14" s="1605">
        <v>0.64854148718957105</v>
      </c>
      <c r="FG14" s="1605">
        <v>0.45006242481436298</v>
      </c>
      <c r="FH14" s="1605">
        <v>0.13079271808657053</v>
      </c>
      <c r="FI14" s="1605">
        <v>0.16467832108193584</v>
      </c>
      <c r="FJ14" s="1605" t="s">
        <v>986</v>
      </c>
      <c r="FK14" s="1605">
        <v>0.38718165855319148</v>
      </c>
      <c r="FL14" s="1605">
        <v>0.88776335872611267</v>
      </c>
      <c r="FM14" s="1605" t="s">
        <v>986</v>
      </c>
      <c r="FN14" s="1605">
        <v>1.2585773168161258</v>
      </c>
      <c r="FO14" s="1605">
        <v>0.97601975897548532</v>
      </c>
      <c r="FP14" s="1605" t="s">
        <v>986</v>
      </c>
      <c r="FQ14" s="1605" t="s">
        <v>986</v>
      </c>
      <c r="FR14" s="1605" t="s">
        <v>986</v>
      </c>
      <c r="FS14" s="1605" t="s">
        <v>986</v>
      </c>
      <c r="FT14" s="1605" t="s">
        <v>986</v>
      </c>
      <c r="FU14" s="1605" t="s">
        <v>986</v>
      </c>
      <c r="FV14" s="1605" t="s">
        <v>986</v>
      </c>
      <c r="FW14" s="1605" t="s">
        <v>986</v>
      </c>
      <c r="FX14" s="1605" t="s">
        <v>986</v>
      </c>
      <c r="FY14" s="1605" t="s">
        <v>986</v>
      </c>
      <c r="FZ14" s="1605" t="s">
        <v>986</v>
      </c>
      <c r="GA14" s="1605">
        <v>4.1924794989600514E-2</v>
      </c>
      <c r="GB14" s="1605">
        <v>0.21389496742441425</v>
      </c>
      <c r="GC14" s="1605">
        <v>1.5640862541518748E-2</v>
      </c>
      <c r="GD14" s="1605">
        <v>0.22</v>
      </c>
      <c r="GE14" s="1605">
        <v>0.36892607801790689</v>
      </c>
      <c r="GF14" s="1605">
        <v>4.0755911147899726E-2</v>
      </c>
      <c r="GG14" s="1605" t="s">
        <v>986</v>
      </c>
      <c r="GH14" s="1605">
        <v>7.0059905857985738</v>
      </c>
      <c r="GI14" s="1605">
        <v>0.15803452140513771</v>
      </c>
      <c r="GJ14" s="1605">
        <v>1.0479185265412074</v>
      </c>
      <c r="GK14" s="1605">
        <v>2.5742285422117761</v>
      </c>
      <c r="GL14" s="1605" t="s">
        <v>986</v>
      </c>
      <c r="GM14" s="1605" t="s">
        <v>986</v>
      </c>
      <c r="GN14" s="1605" t="s">
        <v>2217</v>
      </c>
      <c r="GO14" s="1605" t="s">
        <v>2217</v>
      </c>
      <c r="GP14" s="1605" t="s">
        <v>2217</v>
      </c>
      <c r="GQ14" s="1605" t="s">
        <v>2217</v>
      </c>
      <c r="GR14" s="1605" t="s">
        <v>1763</v>
      </c>
      <c r="GS14" s="1605" t="s">
        <v>2217</v>
      </c>
      <c r="GT14" s="1605" t="s">
        <v>2217</v>
      </c>
      <c r="GU14" s="1605" t="s">
        <v>1763</v>
      </c>
      <c r="GV14" s="1605" t="s">
        <v>2217</v>
      </c>
      <c r="GW14" s="1605" t="s">
        <v>2217</v>
      </c>
      <c r="GX14" s="1605" t="s">
        <v>2217</v>
      </c>
      <c r="GY14" s="1605" t="s">
        <v>2217</v>
      </c>
      <c r="GZ14" s="1605" t="s">
        <v>2217</v>
      </c>
      <c r="HA14" s="1605" t="s">
        <v>2217</v>
      </c>
      <c r="HB14" s="1605" t="s">
        <v>1763</v>
      </c>
      <c r="HC14" s="1605" t="s">
        <v>2217</v>
      </c>
      <c r="HD14" s="1605" t="s">
        <v>2217</v>
      </c>
      <c r="HE14" s="1605" t="s">
        <v>2217</v>
      </c>
      <c r="HF14" s="1605" t="s">
        <v>2217</v>
      </c>
      <c r="HG14" s="1605" t="s">
        <v>2217</v>
      </c>
      <c r="HH14" s="1605" t="s">
        <v>2217</v>
      </c>
      <c r="HI14" s="1605" t="s">
        <v>2217</v>
      </c>
      <c r="HJ14" s="1605" t="s">
        <v>2217</v>
      </c>
      <c r="HK14" s="1605" t="s">
        <v>2217</v>
      </c>
      <c r="HL14" s="1605" t="s">
        <v>1578</v>
      </c>
      <c r="HM14" s="1605" t="s">
        <v>2217</v>
      </c>
      <c r="HN14" s="1605" t="s">
        <v>2217</v>
      </c>
      <c r="HO14" s="1605" t="s">
        <v>986</v>
      </c>
      <c r="HP14" s="1605" t="s">
        <v>2217</v>
      </c>
      <c r="HQ14" s="1605" t="s">
        <v>2217</v>
      </c>
      <c r="HR14" s="1605" t="s">
        <v>2217</v>
      </c>
      <c r="HS14" s="1605" t="s">
        <v>2217</v>
      </c>
      <c r="HT14" s="1605" t="s">
        <v>1763</v>
      </c>
      <c r="HU14" s="1605" t="s">
        <v>1763</v>
      </c>
      <c r="HV14" s="1617"/>
      <c r="HW14" s="1617" t="s">
        <v>3691</v>
      </c>
      <c r="HX14" s="1617" t="s">
        <v>3686</v>
      </c>
      <c r="HY14" s="1617" t="s">
        <v>3685</v>
      </c>
      <c r="HZ14" s="1603"/>
      <c r="IA14" s="1603"/>
      <c r="IB14" s="1603"/>
      <c r="IC14" s="1603">
        <v>55.837398373983703</v>
      </c>
      <c r="ID14" s="1603">
        <v>56.764227642276403</v>
      </c>
      <c r="IE14" s="1603">
        <v>57.536585365853703</v>
      </c>
      <c r="IF14" s="1603">
        <v>58</v>
      </c>
      <c r="IG14" s="1611" t="s">
        <v>3683</v>
      </c>
      <c r="IH14" s="1616" t="s">
        <v>3721</v>
      </c>
      <c r="II14" s="1615" t="s">
        <v>3720</v>
      </c>
      <c r="IJ14" s="1613">
        <v>0.41826136363636363</v>
      </c>
      <c r="IK14" s="1613">
        <v>0.41826136363636363</v>
      </c>
      <c r="IL14" s="1614">
        <v>0.41826136363636363</v>
      </c>
      <c r="IM14" s="1614">
        <v>0.41826136363636363</v>
      </c>
      <c r="IN14" s="1612">
        <v>0.52200000000000002</v>
      </c>
      <c r="IO14" s="1613">
        <v>0.10373863636363639</v>
      </c>
      <c r="IP14" s="1607" t="s">
        <v>270</v>
      </c>
      <c r="IQ14" s="1612">
        <v>2.2000000000000002</v>
      </c>
      <c r="IR14" s="1612">
        <v>0.154</v>
      </c>
      <c r="IS14" s="1607">
        <v>0.41426136363636362</v>
      </c>
      <c r="IT14" s="1607">
        <v>0.41426136363636362</v>
      </c>
      <c r="IU14" s="1611">
        <v>1.1363636363636365E-5</v>
      </c>
      <c r="IV14" s="1611">
        <v>1.0568181818181818E-3</v>
      </c>
      <c r="IW14" s="1611">
        <v>7.8409090909090898E-4</v>
      </c>
      <c r="IX14" s="1611">
        <v>1.0909090909090907E-3</v>
      </c>
      <c r="IY14" s="1611">
        <v>7.9545454545454537E-4</v>
      </c>
      <c r="IZ14" s="1611">
        <v>8.0340909090909091E-3</v>
      </c>
      <c r="JA14" s="1611">
        <v>1.8181818181818183E-4</v>
      </c>
      <c r="JB14" s="1611" t="s">
        <v>270</v>
      </c>
      <c r="JC14" s="1611">
        <v>6.9750000000000006E-2</v>
      </c>
      <c r="JD14" s="1611">
        <v>1.9772727272727273E-3</v>
      </c>
      <c r="JE14" s="1611" t="s">
        <v>270</v>
      </c>
      <c r="JF14" s="1611">
        <v>2.5000000000000001E-4</v>
      </c>
      <c r="JG14" s="1611">
        <v>4.3789545454545458</v>
      </c>
      <c r="JH14" s="1611">
        <v>2.2727272727272727E-4</v>
      </c>
      <c r="JI14" s="1611">
        <v>4.7829545454545458E-2</v>
      </c>
      <c r="JJ14" s="1611" t="s">
        <v>270</v>
      </c>
      <c r="JK14" s="1607">
        <f t="shared" si="9"/>
        <v>4.0000000000000036E-3</v>
      </c>
      <c r="JL14" s="1608" t="s">
        <v>270</v>
      </c>
      <c r="JM14" s="1610" t="s">
        <v>2924</v>
      </c>
      <c r="JN14" s="1608">
        <v>0</v>
      </c>
      <c r="JO14" s="1609" t="s">
        <v>2923</v>
      </c>
      <c r="JP14" s="1608" t="s">
        <v>270</v>
      </c>
      <c r="JQ14" s="1607">
        <v>202103</v>
      </c>
      <c r="JR14" s="1606">
        <v>15</v>
      </c>
      <c r="JS14" s="1606">
        <v>22</v>
      </c>
      <c r="JT14" s="1606">
        <v>22</v>
      </c>
    </row>
    <row r="15" spans="1:280" ht="15" customHeight="1" x14ac:dyDescent="0.2">
      <c r="A15" s="1626">
        <v>50301</v>
      </c>
      <c r="B15" s="1625">
        <v>503</v>
      </c>
      <c r="C15" s="1624">
        <v>1</v>
      </c>
      <c r="D15" s="1623" t="s">
        <v>3724</v>
      </c>
      <c r="E15" s="1622">
        <v>44497</v>
      </c>
      <c r="F15" s="1620">
        <v>1.0460925280681377</v>
      </c>
      <c r="G15" s="1620">
        <v>1.0478544920222632</v>
      </c>
      <c r="H15" s="1621">
        <v>83.2</v>
      </c>
      <c r="I15" s="1621">
        <v>78.400000000000006</v>
      </c>
      <c r="J15" s="1621">
        <v>90</v>
      </c>
      <c r="K15" s="1620">
        <v>1</v>
      </c>
      <c r="L15" s="1620">
        <v>86.9</v>
      </c>
      <c r="M15" s="1620">
        <v>9.3000000000000007</v>
      </c>
      <c r="N15" s="1620">
        <v>2.6</v>
      </c>
      <c r="O15" s="1620">
        <v>1.8</v>
      </c>
      <c r="P15" s="1620">
        <v>4.5999999999999996</v>
      </c>
      <c r="Q15" s="1603"/>
      <c r="R15" s="1620">
        <v>75.200224884792632</v>
      </c>
      <c r="S15" s="1620">
        <v>39</v>
      </c>
      <c r="T15" s="1620">
        <v>46.723577235772403</v>
      </c>
      <c r="U15" s="1620">
        <v>49.8130081300813</v>
      </c>
      <c r="V15" s="1620">
        <v>52.5934959349593</v>
      </c>
      <c r="W15" s="1620">
        <v>54.4471544715447</v>
      </c>
      <c r="X15" s="1620"/>
      <c r="Y15" s="1620">
        <v>0.62140391254315297</v>
      </c>
      <c r="Z15" s="1620">
        <v>3.2220943613348676</v>
      </c>
      <c r="AA15" s="1620">
        <v>0.12658227848101264</v>
      </c>
      <c r="AB15" s="1620">
        <v>1.8150684931506944</v>
      </c>
      <c r="AC15" s="1620">
        <v>5.5581127733026463</v>
      </c>
      <c r="AD15" s="1620">
        <v>1.001150747986191</v>
      </c>
      <c r="AE15" s="1620">
        <v>1.3</v>
      </c>
      <c r="AF15" s="1620">
        <v>39.953970080552359</v>
      </c>
      <c r="AG15" s="1620">
        <v>2.3820483314154197</v>
      </c>
      <c r="AH15" s="1620">
        <v>15.397008055235903</v>
      </c>
      <c r="AI15" s="1620">
        <v>23.268124280782509</v>
      </c>
      <c r="AJ15" s="1620">
        <v>0</v>
      </c>
      <c r="AK15" s="1620">
        <v>0.04</v>
      </c>
      <c r="AL15" s="1620"/>
      <c r="AM15" s="1620">
        <v>3.8401495972382049</v>
      </c>
      <c r="AN15" s="1620">
        <v>1.7226237054085156</v>
      </c>
      <c r="AO15" s="1620">
        <v>2.4129689298043724</v>
      </c>
      <c r="AP15" s="1620">
        <v>3.4780552359033368</v>
      </c>
      <c r="AQ15" s="1620">
        <v>1.3440276179516686</v>
      </c>
      <c r="AR15" s="1620">
        <v>3.6301726121979283</v>
      </c>
      <c r="AS15" s="1620">
        <v>6.8924510932105871</v>
      </c>
      <c r="AT15" s="1620">
        <v>2.2996432681242807</v>
      </c>
      <c r="AU15" s="1620">
        <v>4.7700230149597243</v>
      </c>
      <c r="AV15" s="1620">
        <v>3.2040391254315308</v>
      </c>
      <c r="AW15" s="1620">
        <v>5.1478826237054083</v>
      </c>
      <c r="AX15" s="1620"/>
      <c r="AY15" s="1620">
        <v>0.94</v>
      </c>
      <c r="AZ15" s="1620">
        <v>1.08</v>
      </c>
      <c r="BA15" s="1620">
        <v>1.03</v>
      </c>
      <c r="BB15" s="1620">
        <v>0.95</v>
      </c>
      <c r="BC15" s="1620">
        <v>0.96</v>
      </c>
      <c r="BD15" s="1620">
        <v>1</v>
      </c>
      <c r="BE15" s="1620">
        <v>1.01</v>
      </c>
      <c r="BF15" s="1620">
        <v>1</v>
      </c>
      <c r="BG15" s="1620">
        <v>1.04</v>
      </c>
      <c r="BH15" s="1620">
        <v>0.97</v>
      </c>
      <c r="BI15" s="1620">
        <v>0.96</v>
      </c>
      <c r="BJ15" s="1603"/>
      <c r="BK15" s="1620">
        <v>10.701956271576526</v>
      </c>
      <c r="BL15" s="1620">
        <v>2.9919447640966625</v>
      </c>
      <c r="BM15" s="1620">
        <v>2.0713463751438432</v>
      </c>
      <c r="BN15" s="1620">
        <v>5.4117647058823524</v>
      </c>
      <c r="BO15" s="1620"/>
      <c r="BP15" s="1620">
        <v>120</v>
      </c>
      <c r="BQ15" s="1620">
        <v>38.117647058823529</v>
      </c>
      <c r="BR15" s="1620">
        <v>1.2037888700438868</v>
      </c>
      <c r="BS15" s="1620">
        <v>1.2058164465158381</v>
      </c>
      <c r="BT15" s="1603"/>
      <c r="BU15" s="1620">
        <v>979.28653624856156</v>
      </c>
      <c r="BV15" s="1620">
        <v>621.20565510438928</v>
      </c>
      <c r="BW15" s="1620">
        <v>67.151076771329897</v>
      </c>
      <c r="BX15" s="1620">
        <v>604</v>
      </c>
      <c r="BY15" s="1620">
        <v>21.000000000000004</v>
      </c>
      <c r="BZ15" s="1620">
        <v>56</v>
      </c>
      <c r="CA15" s="1620">
        <v>165</v>
      </c>
      <c r="CB15" s="1603"/>
      <c r="CC15" s="1603">
        <v>0.54</v>
      </c>
      <c r="CD15" s="1603">
        <v>2.8000000000000003</v>
      </c>
      <c r="CE15" s="1603">
        <v>0.11</v>
      </c>
      <c r="CF15" s="1603">
        <v>1.5772945205479536</v>
      </c>
      <c r="CG15" s="1603">
        <v>4.83</v>
      </c>
      <c r="CH15" s="1603">
        <v>0.87000000000000011</v>
      </c>
      <c r="CI15" s="1603">
        <v>1.1297000000000001</v>
      </c>
      <c r="CJ15" s="1603"/>
      <c r="CK15" s="1603">
        <v>34.720000000000006</v>
      </c>
      <c r="CL15" s="1603">
        <v>2.0699999999999998</v>
      </c>
      <c r="CM15" s="1603">
        <v>13.38</v>
      </c>
      <c r="CN15" s="1603">
        <v>20.220000000000002</v>
      </c>
      <c r="CO15" s="1603">
        <v>0</v>
      </c>
      <c r="CP15" s="1603">
        <v>3.4760000000000006E-2</v>
      </c>
      <c r="CQ15" s="1603">
        <v>69.936209142857152</v>
      </c>
      <c r="CR15" s="1603">
        <v>66.854706697897214</v>
      </c>
      <c r="CS15" s="1603">
        <v>2.4132815049944374</v>
      </c>
      <c r="CT15" s="1603">
        <v>1.2437874278200569</v>
      </c>
      <c r="CU15" s="1603">
        <v>1.6615787997540654</v>
      </c>
      <c r="CV15" s="1603">
        <v>2.9053662275741221</v>
      </c>
      <c r="CW15" s="1603">
        <v>2.208981445416331</v>
      </c>
      <c r="CX15" s="1603">
        <v>0.8626038930435096</v>
      </c>
      <c r="CY15" s="1603">
        <v>2.4269412525123184</v>
      </c>
      <c r="CZ15" s="1603">
        <v>4.654007242288567</v>
      </c>
      <c r="DA15" s="1603">
        <v>1.5374197620024257</v>
      </c>
      <c r="DB15" s="1603">
        <v>3.3165442919164576</v>
      </c>
      <c r="DC15" s="1603">
        <v>2.077789430999327</v>
      </c>
      <c r="DD15" s="1603">
        <v>5.3943337229157846</v>
      </c>
      <c r="DE15" s="1603">
        <v>3.3039377560610554</v>
      </c>
      <c r="DF15" s="1603">
        <v>0</v>
      </c>
      <c r="DG15" s="1603">
        <v>0</v>
      </c>
      <c r="DH15" s="1603">
        <v>0</v>
      </c>
      <c r="DI15" s="1603">
        <v>0</v>
      </c>
      <c r="DJ15" s="1603">
        <v>0</v>
      </c>
      <c r="DK15" s="1603">
        <v>0</v>
      </c>
      <c r="DL15" s="1603">
        <v>0</v>
      </c>
      <c r="DM15" s="1603">
        <v>0</v>
      </c>
      <c r="DN15" s="1603">
        <v>0</v>
      </c>
      <c r="DO15" s="1603">
        <v>0</v>
      </c>
      <c r="DP15" s="1603">
        <v>0</v>
      </c>
      <c r="DQ15" s="1603">
        <v>0</v>
      </c>
      <c r="DR15" s="1603">
        <v>0</v>
      </c>
      <c r="DS15" s="1603">
        <v>0</v>
      </c>
      <c r="DT15" s="1603">
        <v>0</v>
      </c>
      <c r="DU15" s="1603">
        <v>0</v>
      </c>
      <c r="DV15" s="1603">
        <v>0</v>
      </c>
      <c r="DW15" s="1618" t="s">
        <v>3688</v>
      </c>
      <c r="DX15" s="1605">
        <v>12</v>
      </c>
      <c r="DY15" s="1605">
        <v>12</v>
      </c>
      <c r="DZ15" s="1605">
        <v>6</v>
      </c>
      <c r="EA15" s="1605">
        <v>6</v>
      </c>
      <c r="EB15" s="1605" t="s">
        <v>986</v>
      </c>
      <c r="EC15" s="1605">
        <v>6</v>
      </c>
      <c r="ED15" s="1605">
        <v>6</v>
      </c>
      <c r="EE15" s="1605">
        <v>8</v>
      </c>
      <c r="EF15" s="1605">
        <v>6</v>
      </c>
      <c r="EG15" s="1605">
        <v>6</v>
      </c>
      <c r="EH15" s="1605" t="s">
        <v>986</v>
      </c>
      <c r="EI15" s="1605" t="s">
        <v>986</v>
      </c>
      <c r="EJ15" s="1605" t="s">
        <v>986</v>
      </c>
      <c r="EK15" s="1605" t="s">
        <v>986</v>
      </c>
      <c r="EL15" s="1605" t="s">
        <v>986</v>
      </c>
      <c r="EM15" s="1605" t="s">
        <v>986</v>
      </c>
      <c r="EN15" s="1605" t="s">
        <v>986</v>
      </c>
      <c r="EO15" s="1605" t="s">
        <v>986</v>
      </c>
      <c r="EP15" s="1605" t="s">
        <v>986</v>
      </c>
      <c r="EQ15" s="1605" t="s">
        <v>986</v>
      </c>
      <c r="ER15" s="1605" t="s">
        <v>986</v>
      </c>
      <c r="ES15" s="1605">
        <v>6</v>
      </c>
      <c r="ET15" s="1605">
        <v>12</v>
      </c>
      <c r="EU15" s="1605">
        <v>6</v>
      </c>
      <c r="EV15" s="1605">
        <v>7</v>
      </c>
      <c r="EW15" s="1605">
        <v>6</v>
      </c>
      <c r="EX15" s="1605">
        <v>6</v>
      </c>
      <c r="EY15" s="1605" t="s">
        <v>986</v>
      </c>
      <c r="EZ15" s="1605">
        <v>6</v>
      </c>
      <c r="FA15" s="1605">
        <v>6</v>
      </c>
      <c r="FB15" s="1605">
        <v>6</v>
      </c>
      <c r="FC15" s="1605">
        <v>5</v>
      </c>
      <c r="FD15" s="1605" t="s">
        <v>986</v>
      </c>
      <c r="FE15" s="1605" t="s">
        <v>986</v>
      </c>
      <c r="FF15" s="1605">
        <v>0.64854148718957105</v>
      </c>
      <c r="FG15" s="1605">
        <v>0.45006242481436298</v>
      </c>
      <c r="FH15" s="1605">
        <v>0.13079271808657053</v>
      </c>
      <c r="FI15" s="1605">
        <v>0.16467832108193584</v>
      </c>
      <c r="FJ15" s="1605" t="s">
        <v>986</v>
      </c>
      <c r="FK15" s="1605">
        <v>0.38718165855319148</v>
      </c>
      <c r="FL15" s="1605">
        <v>0.88776335872611267</v>
      </c>
      <c r="FM15" s="1605" t="s">
        <v>986</v>
      </c>
      <c r="FN15" s="1605">
        <v>1.2585773168161258</v>
      </c>
      <c r="FO15" s="1605">
        <v>0.97601975897548532</v>
      </c>
      <c r="FP15" s="1605" t="s">
        <v>986</v>
      </c>
      <c r="FQ15" s="1605" t="s">
        <v>986</v>
      </c>
      <c r="FR15" s="1605" t="s">
        <v>986</v>
      </c>
      <c r="FS15" s="1605" t="s">
        <v>986</v>
      </c>
      <c r="FT15" s="1605" t="s">
        <v>986</v>
      </c>
      <c r="FU15" s="1605" t="s">
        <v>986</v>
      </c>
      <c r="FV15" s="1605" t="s">
        <v>986</v>
      </c>
      <c r="FW15" s="1605" t="s">
        <v>986</v>
      </c>
      <c r="FX15" s="1605" t="s">
        <v>986</v>
      </c>
      <c r="FY15" s="1605" t="s">
        <v>986</v>
      </c>
      <c r="FZ15" s="1605" t="s">
        <v>986</v>
      </c>
      <c r="GA15" s="1605">
        <v>4.1924794989600514E-2</v>
      </c>
      <c r="GB15" s="1605">
        <v>0.21389496742441425</v>
      </c>
      <c r="GC15" s="1605">
        <v>1.5640862541518748E-2</v>
      </c>
      <c r="GD15" s="1605">
        <v>0.22</v>
      </c>
      <c r="GE15" s="1605">
        <v>0.36892607801790689</v>
      </c>
      <c r="GF15" s="1605">
        <v>4.0755911147899726E-2</v>
      </c>
      <c r="GG15" s="1605" t="s">
        <v>986</v>
      </c>
      <c r="GH15" s="1605">
        <v>7.0059905857985738</v>
      </c>
      <c r="GI15" s="1605">
        <v>0.15803452140513771</v>
      </c>
      <c r="GJ15" s="1605">
        <v>1.0479185265412074</v>
      </c>
      <c r="GK15" s="1605">
        <v>2.5742285422117761</v>
      </c>
      <c r="GL15" s="1605" t="s">
        <v>986</v>
      </c>
      <c r="GM15" s="1605" t="s">
        <v>986</v>
      </c>
      <c r="GN15" s="1605" t="s">
        <v>2217</v>
      </c>
      <c r="GO15" s="1605" t="s">
        <v>2217</v>
      </c>
      <c r="GP15" s="1605" t="s">
        <v>2217</v>
      </c>
      <c r="GQ15" s="1605" t="s">
        <v>2217</v>
      </c>
      <c r="GR15" s="1605" t="s">
        <v>1763</v>
      </c>
      <c r="GS15" s="1605" t="s">
        <v>2217</v>
      </c>
      <c r="GT15" s="1605" t="s">
        <v>2217</v>
      </c>
      <c r="GU15" s="1605" t="s">
        <v>1763</v>
      </c>
      <c r="GV15" s="1605" t="s">
        <v>2217</v>
      </c>
      <c r="GW15" s="1605" t="s">
        <v>2217</v>
      </c>
      <c r="GX15" s="1605" t="s">
        <v>2217</v>
      </c>
      <c r="GY15" s="1605" t="s">
        <v>2217</v>
      </c>
      <c r="GZ15" s="1605" t="s">
        <v>2217</v>
      </c>
      <c r="HA15" s="1605" t="s">
        <v>2217</v>
      </c>
      <c r="HB15" s="1605" t="s">
        <v>1763</v>
      </c>
      <c r="HC15" s="1605" t="s">
        <v>2217</v>
      </c>
      <c r="HD15" s="1605" t="s">
        <v>2217</v>
      </c>
      <c r="HE15" s="1605" t="s">
        <v>2217</v>
      </c>
      <c r="HF15" s="1605" t="s">
        <v>2217</v>
      </c>
      <c r="HG15" s="1605" t="s">
        <v>2217</v>
      </c>
      <c r="HH15" s="1605" t="s">
        <v>2217</v>
      </c>
      <c r="HI15" s="1605" t="s">
        <v>2217</v>
      </c>
      <c r="HJ15" s="1605" t="s">
        <v>2217</v>
      </c>
      <c r="HK15" s="1605" t="s">
        <v>2217</v>
      </c>
      <c r="HL15" s="1605" t="s">
        <v>1578</v>
      </c>
      <c r="HM15" s="1605" t="s">
        <v>2217</v>
      </c>
      <c r="HN15" s="1605" t="s">
        <v>2217</v>
      </c>
      <c r="HO15" s="1605" t="s">
        <v>986</v>
      </c>
      <c r="HP15" s="1605" t="s">
        <v>2217</v>
      </c>
      <c r="HQ15" s="1605" t="s">
        <v>2217</v>
      </c>
      <c r="HR15" s="1605" t="s">
        <v>2217</v>
      </c>
      <c r="HS15" s="1605" t="s">
        <v>2217</v>
      </c>
      <c r="HT15" s="1605" t="s">
        <v>1763</v>
      </c>
      <c r="HU15" s="1605" t="s">
        <v>1763</v>
      </c>
      <c r="HV15" s="1617"/>
      <c r="HW15" s="1617" t="s">
        <v>3691</v>
      </c>
      <c r="HX15" s="1617" t="s">
        <v>3686</v>
      </c>
      <c r="HY15" s="1617" t="s">
        <v>3685</v>
      </c>
      <c r="HZ15" s="1603"/>
      <c r="IA15" s="1603"/>
      <c r="IB15" s="1603"/>
      <c r="IC15" s="1603">
        <v>55.837398373983703</v>
      </c>
      <c r="ID15" s="1603">
        <v>56.764227642276403</v>
      </c>
      <c r="IE15" s="1603">
        <v>57.536585365853703</v>
      </c>
      <c r="IF15" s="1603">
        <v>58</v>
      </c>
      <c r="IG15" s="1611" t="s">
        <v>3683</v>
      </c>
      <c r="IH15" s="1616" t="s">
        <v>3721</v>
      </c>
      <c r="II15" s="1615" t="s">
        <v>3720</v>
      </c>
      <c r="IJ15" s="1613">
        <v>0.41826136363636363</v>
      </c>
      <c r="IK15" s="1613">
        <v>0.41826136363636363</v>
      </c>
      <c r="IL15" s="1614">
        <v>0.41826136363636363</v>
      </c>
      <c r="IM15" s="1614">
        <v>0.41826136363636363</v>
      </c>
      <c r="IN15" s="1612">
        <v>0.52200000000000002</v>
      </c>
      <c r="IO15" s="1613">
        <v>0.10373863636363639</v>
      </c>
      <c r="IP15" s="1607" t="s">
        <v>270</v>
      </c>
      <c r="IQ15" s="1612">
        <v>2.2000000000000002</v>
      </c>
      <c r="IR15" s="1612">
        <v>0.154</v>
      </c>
      <c r="IS15" s="1607">
        <v>0.41426136363636362</v>
      </c>
      <c r="IT15" s="1607">
        <v>0.41426136363636362</v>
      </c>
      <c r="IU15" s="1611">
        <v>1.1363636363636365E-5</v>
      </c>
      <c r="IV15" s="1611">
        <v>1.0568181818181818E-3</v>
      </c>
      <c r="IW15" s="1611">
        <v>7.8409090909090898E-4</v>
      </c>
      <c r="IX15" s="1611">
        <v>1.0909090909090907E-3</v>
      </c>
      <c r="IY15" s="1611">
        <v>7.9545454545454537E-4</v>
      </c>
      <c r="IZ15" s="1611">
        <v>8.0340909090909091E-3</v>
      </c>
      <c r="JA15" s="1611">
        <v>1.8181818181818183E-4</v>
      </c>
      <c r="JB15" s="1611" t="s">
        <v>270</v>
      </c>
      <c r="JC15" s="1611">
        <v>6.9750000000000006E-2</v>
      </c>
      <c r="JD15" s="1611">
        <v>1.9772727272727273E-3</v>
      </c>
      <c r="JE15" s="1611" t="s">
        <v>270</v>
      </c>
      <c r="JF15" s="1611">
        <v>2.5000000000000001E-4</v>
      </c>
      <c r="JG15" s="1611">
        <v>4.3789545454545458</v>
      </c>
      <c r="JH15" s="1611">
        <v>2.2727272727272727E-4</v>
      </c>
      <c r="JI15" s="1611">
        <v>4.7829545454545458E-2</v>
      </c>
      <c r="JJ15" s="1611" t="s">
        <v>270</v>
      </c>
      <c r="JK15" s="1607">
        <f t="shared" si="9"/>
        <v>4.0000000000000036E-3</v>
      </c>
      <c r="JL15" s="1608" t="s">
        <v>270</v>
      </c>
      <c r="JM15" s="1610" t="s">
        <v>2924</v>
      </c>
      <c r="JN15" s="1608">
        <v>0</v>
      </c>
      <c r="JO15" s="1609" t="s">
        <v>2923</v>
      </c>
      <c r="JP15" s="1608" t="s">
        <v>270</v>
      </c>
      <c r="JQ15" s="1607">
        <v>202103</v>
      </c>
      <c r="JR15" s="1606">
        <v>15</v>
      </c>
      <c r="JS15" s="1606">
        <v>22</v>
      </c>
      <c r="JT15" s="1606">
        <v>22</v>
      </c>
    </row>
    <row r="16" spans="1:280" ht="15" customHeight="1" x14ac:dyDescent="0.2">
      <c r="A16" s="1626">
        <v>50310</v>
      </c>
      <c r="B16" s="1625">
        <v>503</v>
      </c>
      <c r="C16" s="1624">
        <v>10</v>
      </c>
      <c r="D16" s="1623" t="s">
        <v>3723</v>
      </c>
      <c r="E16" s="1622">
        <v>44497</v>
      </c>
      <c r="F16" s="1620">
        <v>1.0399151180797523</v>
      </c>
      <c r="G16" s="1620">
        <v>1.0435126552875693</v>
      </c>
      <c r="H16" s="1621">
        <v>83.2</v>
      </c>
      <c r="I16" s="1621">
        <v>77.900000000000006</v>
      </c>
      <c r="J16" s="1621">
        <v>90</v>
      </c>
      <c r="K16" s="1620">
        <v>1</v>
      </c>
      <c r="L16" s="1620">
        <v>86.9</v>
      </c>
      <c r="M16" s="1620">
        <v>9.3000000000000007</v>
      </c>
      <c r="N16" s="1620">
        <v>2.6</v>
      </c>
      <c r="O16" s="1620">
        <v>1.8</v>
      </c>
      <c r="P16" s="1620">
        <v>4.5999999999999996</v>
      </c>
      <c r="Q16" s="1603"/>
      <c r="R16" s="1620">
        <v>74.76884239631336</v>
      </c>
      <c r="S16" s="1620">
        <v>30</v>
      </c>
      <c r="T16" s="1620">
        <v>41.382113821138198</v>
      </c>
      <c r="U16" s="1620">
        <v>45.934959349593498</v>
      </c>
      <c r="V16" s="1620">
        <v>50.032520325203301</v>
      </c>
      <c r="W16" s="1620">
        <v>52.764227642276403</v>
      </c>
      <c r="X16" s="1620"/>
      <c r="Y16" s="1620">
        <v>0.62140391254315297</v>
      </c>
      <c r="Z16" s="1620">
        <v>3.2220943613348676</v>
      </c>
      <c r="AA16" s="1620">
        <v>0.12658227848101264</v>
      </c>
      <c r="AB16" s="1620">
        <v>1.8150684931506944</v>
      </c>
      <c r="AC16" s="1620">
        <v>5.5581127733026463</v>
      </c>
      <c r="AD16" s="1620">
        <v>1.001150747986191</v>
      </c>
      <c r="AE16" s="1620">
        <v>1.3</v>
      </c>
      <c r="AF16" s="1620">
        <v>39.953970080552359</v>
      </c>
      <c r="AG16" s="1620">
        <v>2.3820483314154197</v>
      </c>
      <c r="AH16" s="1620">
        <v>15.397008055235903</v>
      </c>
      <c r="AI16" s="1620">
        <v>23.268124280782509</v>
      </c>
      <c r="AJ16" s="1620">
        <v>0</v>
      </c>
      <c r="AK16" s="1620">
        <v>0.04</v>
      </c>
      <c r="AL16" s="1620"/>
      <c r="AM16" s="1620">
        <v>3.8401495972382049</v>
      </c>
      <c r="AN16" s="1620">
        <v>1.7226237054085156</v>
      </c>
      <c r="AO16" s="1620">
        <v>2.4129689298043724</v>
      </c>
      <c r="AP16" s="1620">
        <v>3.4780552359033368</v>
      </c>
      <c r="AQ16" s="1620">
        <v>1.3440276179516686</v>
      </c>
      <c r="AR16" s="1620">
        <v>3.6301726121979283</v>
      </c>
      <c r="AS16" s="1620">
        <v>6.8924510932105871</v>
      </c>
      <c r="AT16" s="1620">
        <v>2.2996432681242807</v>
      </c>
      <c r="AU16" s="1620">
        <v>4.7700230149597243</v>
      </c>
      <c r="AV16" s="1620">
        <v>3.2040391254315308</v>
      </c>
      <c r="AW16" s="1620">
        <v>5.1478826237054083</v>
      </c>
      <c r="AX16" s="1620"/>
      <c r="AY16" s="1620">
        <v>0.94</v>
      </c>
      <c r="AZ16" s="1620">
        <v>1.08</v>
      </c>
      <c r="BA16" s="1620">
        <v>1.03</v>
      </c>
      <c r="BB16" s="1620">
        <v>0.95</v>
      </c>
      <c r="BC16" s="1620">
        <v>0.96</v>
      </c>
      <c r="BD16" s="1620">
        <v>1</v>
      </c>
      <c r="BE16" s="1620">
        <v>1.01</v>
      </c>
      <c r="BF16" s="1620">
        <v>1</v>
      </c>
      <c r="BG16" s="1620">
        <v>1.04</v>
      </c>
      <c r="BH16" s="1620">
        <v>0.97</v>
      </c>
      <c r="BI16" s="1620">
        <v>0.96</v>
      </c>
      <c r="BJ16" s="1603"/>
      <c r="BK16" s="1620">
        <v>10.701956271576526</v>
      </c>
      <c r="BL16" s="1620">
        <v>2.9919447640966625</v>
      </c>
      <c r="BM16" s="1620">
        <v>2.0713463751438432</v>
      </c>
      <c r="BN16" s="1620">
        <v>5.4117647058823524</v>
      </c>
      <c r="BO16" s="1620"/>
      <c r="BP16" s="1620">
        <v>120</v>
      </c>
      <c r="BQ16" s="1620">
        <v>38.117647058823529</v>
      </c>
      <c r="BR16" s="1620">
        <v>1.1966802279398763</v>
      </c>
      <c r="BS16" s="1620">
        <v>1.2008200866370189</v>
      </c>
      <c r="BT16" s="1603"/>
      <c r="BU16" s="1620">
        <v>979.28653624856156</v>
      </c>
      <c r="BV16" s="1620">
        <v>614.21075127404242</v>
      </c>
      <c r="BW16" s="1620">
        <v>74.145980601676769</v>
      </c>
      <c r="BX16" s="1620">
        <v>604</v>
      </c>
      <c r="BY16" s="1620">
        <v>21.000000000000004</v>
      </c>
      <c r="BZ16" s="1620">
        <v>56</v>
      </c>
      <c r="CA16" s="1620">
        <v>165</v>
      </c>
      <c r="CB16" s="1603"/>
      <c r="CC16" s="1603">
        <v>0.54</v>
      </c>
      <c r="CD16" s="1603">
        <v>2.8000000000000003</v>
      </c>
      <c r="CE16" s="1603">
        <v>0.11</v>
      </c>
      <c r="CF16" s="1603">
        <v>1.5772945205479536</v>
      </c>
      <c r="CG16" s="1603">
        <v>4.83</v>
      </c>
      <c r="CH16" s="1603">
        <v>0.87000000000000011</v>
      </c>
      <c r="CI16" s="1603">
        <v>1.1297000000000001</v>
      </c>
      <c r="CJ16" s="1603"/>
      <c r="CK16" s="1603">
        <v>34.720000000000006</v>
      </c>
      <c r="CL16" s="1603">
        <v>2.0699999999999998</v>
      </c>
      <c r="CM16" s="1603">
        <v>13.38</v>
      </c>
      <c r="CN16" s="1603">
        <v>20.220000000000002</v>
      </c>
      <c r="CO16" s="1603">
        <v>0</v>
      </c>
      <c r="CP16" s="1603">
        <v>3.4760000000000006E-2</v>
      </c>
      <c r="CQ16" s="1603">
        <v>69.535023428571421</v>
      </c>
      <c r="CR16" s="1603">
        <v>66.866056872959788</v>
      </c>
      <c r="CS16" s="1603">
        <v>2.4136912168742723</v>
      </c>
      <c r="CT16" s="1603">
        <v>1.2439985902907893</v>
      </c>
      <c r="CU16" s="1603">
        <v>1.6618608922377365</v>
      </c>
      <c r="CV16" s="1603">
        <v>2.905859482528526</v>
      </c>
      <c r="CW16" s="1603">
        <v>2.2093564725064767</v>
      </c>
      <c r="CX16" s="1603">
        <v>0.86275034055153565</v>
      </c>
      <c r="CY16" s="1603">
        <v>2.4273532834588774</v>
      </c>
      <c r="CZ16" s="1603">
        <v>4.6547973706064019</v>
      </c>
      <c r="DA16" s="1603">
        <v>1.537680775539173</v>
      </c>
      <c r="DB16" s="1603">
        <v>3.3171073541176903</v>
      </c>
      <c r="DC16" s="1603">
        <v>2.0781421851276427</v>
      </c>
      <c r="DD16" s="1603">
        <v>5.3952495392453326</v>
      </c>
      <c r="DE16" s="1603">
        <v>3.3044986780032701</v>
      </c>
      <c r="DF16" s="1603">
        <v>0</v>
      </c>
      <c r="DG16" s="1603">
        <v>0</v>
      </c>
      <c r="DH16" s="1603">
        <v>0</v>
      </c>
      <c r="DI16" s="1603">
        <v>0</v>
      </c>
      <c r="DJ16" s="1603">
        <v>0</v>
      </c>
      <c r="DK16" s="1603">
        <v>0</v>
      </c>
      <c r="DL16" s="1603">
        <v>0</v>
      </c>
      <c r="DM16" s="1603">
        <v>0</v>
      </c>
      <c r="DN16" s="1603">
        <v>0</v>
      </c>
      <c r="DO16" s="1603">
        <v>0</v>
      </c>
      <c r="DP16" s="1603">
        <v>0</v>
      </c>
      <c r="DQ16" s="1603">
        <v>0</v>
      </c>
      <c r="DR16" s="1603">
        <v>0</v>
      </c>
      <c r="DS16" s="1603">
        <v>0</v>
      </c>
      <c r="DT16" s="1603">
        <v>0</v>
      </c>
      <c r="DU16" s="1603">
        <v>0</v>
      </c>
      <c r="DV16" s="1603">
        <v>0</v>
      </c>
      <c r="DW16" s="1618" t="s">
        <v>3688</v>
      </c>
      <c r="DX16" s="1605">
        <v>12</v>
      </c>
      <c r="DY16" s="1605">
        <v>12</v>
      </c>
      <c r="DZ16" s="1605">
        <v>6</v>
      </c>
      <c r="EA16" s="1605">
        <v>6</v>
      </c>
      <c r="EB16" s="1605" t="s">
        <v>986</v>
      </c>
      <c r="EC16" s="1605">
        <v>6</v>
      </c>
      <c r="ED16" s="1605">
        <v>6</v>
      </c>
      <c r="EE16" s="1605">
        <v>8</v>
      </c>
      <c r="EF16" s="1605">
        <v>6</v>
      </c>
      <c r="EG16" s="1605">
        <v>6</v>
      </c>
      <c r="EH16" s="1605" t="s">
        <v>986</v>
      </c>
      <c r="EI16" s="1605" t="s">
        <v>986</v>
      </c>
      <c r="EJ16" s="1605" t="s">
        <v>986</v>
      </c>
      <c r="EK16" s="1605" t="s">
        <v>986</v>
      </c>
      <c r="EL16" s="1605" t="s">
        <v>986</v>
      </c>
      <c r="EM16" s="1605" t="s">
        <v>986</v>
      </c>
      <c r="EN16" s="1605" t="s">
        <v>986</v>
      </c>
      <c r="EO16" s="1605" t="s">
        <v>986</v>
      </c>
      <c r="EP16" s="1605" t="s">
        <v>986</v>
      </c>
      <c r="EQ16" s="1605" t="s">
        <v>986</v>
      </c>
      <c r="ER16" s="1605" t="s">
        <v>986</v>
      </c>
      <c r="ES16" s="1605">
        <v>6</v>
      </c>
      <c r="ET16" s="1605">
        <v>12</v>
      </c>
      <c r="EU16" s="1605">
        <v>6</v>
      </c>
      <c r="EV16" s="1605">
        <v>7</v>
      </c>
      <c r="EW16" s="1605">
        <v>6</v>
      </c>
      <c r="EX16" s="1605">
        <v>6</v>
      </c>
      <c r="EY16" s="1605" t="s">
        <v>986</v>
      </c>
      <c r="EZ16" s="1605">
        <v>6</v>
      </c>
      <c r="FA16" s="1605">
        <v>6</v>
      </c>
      <c r="FB16" s="1605">
        <v>6</v>
      </c>
      <c r="FC16" s="1605">
        <v>5</v>
      </c>
      <c r="FD16" s="1605" t="s">
        <v>986</v>
      </c>
      <c r="FE16" s="1605" t="s">
        <v>986</v>
      </c>
      <c r="FF16" s="1605">
        <v>0.64854148718957105</v>
      </c>
      <c r="FG16" s="1605">
        <v>0.45006242481436298</v>
      </c>
      <c r="FH16" s="1605">
        <v>0.13079271808657053</v>
      </c>
      <c r="FI16" s="1605">
        <v>0.16467832108193584</v>
      </c>
      <c r="FJ16" s="1605" t="s">
        <v>986</v>
      </c>
      <c r="FK16" s="1605">
        <v>0.38718165855319148</v>
      </c>
      <c r="FL16" s="1605">
        <v>0.88776335872611267</v>
      </c>
      <c r="FM16" s="1605" t="s">
        <v>986</v>
      </c>
      <c r="FN16" s="1605">
        <v>1.2585773168161258</v>
      </c>
      <c r="FO16" s="1605">
        <v>0.97601975897548532</v>
      </c>
      <c r="FP16" s="1605" t="s">
        <v>986</v>
      </c>
      <c r="FQ16" s="1605" t="s">
        <v>986</v>
      </c>
      <c r="FR16" s="1605" t="s">
        <v>986</v>
      </c>
      <c r="FS16" s="1605" t="s">
        <v>986</v>
      </c>
      <c r="FT16" s="1605" t="s">
        <v>986</v>
      </c>
      <c r="FU16" s="1605" t="s">
        <v>986</v>
      </c>
      <c r="FV16" s="1605" t="s">
        <v>986</v>
      </c>
      <c r="FW16" s="1605" t="s">
        <v>986</v>
      </c>
      <c r="FX16" s="1605" t="s">
        <v>986</v>
      </c>
      <c r="FY16" s="1605" t="s">
        <v>986</v>
      </c>
      <c r="FZ16" s="1605" t="s">
        <v>986</v>
      </c>
      <c r="GA16" s="1605">
        <v>4.1924794989600514E-2</v>
      </c>
      <c r="GB16" s="1605">
        <v>0.21389496742441425</v>
      </c>
      <c r="GC16" s="1605">
        <v>1.5640862541518748E-2</v>
      </c>
      <c r="GD16" s="1605">
        <v>0.22</v>
      </c>
      <c r="GE16" s="1605">
        <v>0.36892607801790689</v>
      </c>
      <c r="GF16" s="1605">
        <v>4.0755911147899726E-2</v>
      </c>
      <c r="GG16" s="1605" t="s">
        <v>986</v>
      </c>
      <c r="GH16" s="1605">
        <v>7.0059905857985738</v>
      </c>
      <c r="GI16" s="1605">
        <v>0.15803452140513771</v>
      </c>
      <c r="GJ16" s="1605">
        <v>1.0479185265412074</v>
      </c>
      <c r="GK16" s="1605">
        <v>2.5742285422117761</v>
      </c>
      <c r="GL16" s="1605" t="s">
        <v>986</v>
      </c>
      <c r="GM16" s="1605" t="s">
        <v>986</v>
      </c>
      <c r="GN16" s="1605" t="s">
        <v>2217</v>
      </c>
      <c r="GO16" s="1605" t="s">
        <v>2217</v>
      </c>
      <c r="GP16" s="1605" t="s">
        <v>2217</v>
      </c>
      <c r="GQ16" s="1605" t="s">
        <v>2217</v>
      </c>
      <c r="GR16" s="1605" t="s">
        <v>1763</v>
      </c>
      <c r="GS16" s="1605" t="s">
        <v>2217</v>
      </c>
      <c r="GT16" s="1605" t="s">
        <v>2217</v>
      </c>
      <c r="GU16" s="1605" t="s">
        <v>1763</v>
      </c>
      <c r="GV16" s="1605" t="s">
        <v>2217</v>
      </c>
      <c r="GW16" s="1605" t="s">
        <v>2217</v>
      </c>
      <c r="GX16" s="1605" t="s">
        <v>2217</v>
      </c>
      <c r="GY16" s="1605" t="s">
        <v>2217</v>
      </c>
      <c r="GZ16" s="1605" t="s">
        <v>2217</v>
      </c>
      <c r="HA16" s="1605" t="s">
        <v>2217</v>
      </c>
      <c r="HB16" s="1605" t="s">
        <v>1763</v>
      </c>
      <c r="HC16" s="1605" t="s">
        <v>2217</v>
      </c>
      <c r="HD16" s="1605" t="s">
        <v>2217</v>
      </c>
      <c r="HE16" s="1605" t="s">
        <v>2217</v>
      </c>
      <c r="HF16" s="1605" t="s">
        <v>2217</v>
      </c>
      <c r="HG16" s="1605" t="s">
        <v>2217</v>
      </c>
      <c r="HH16" s="1605" t="s">
        <v>2217</v>
      </c>
      <c r="HI16" s="1605" t="s">
        <v>2217</v>
      </c>
      <c r="HJ16" s="1605" t="s">
        <v>2217</v>
      </c>
      <c r="HK16" s="1605" t="s">
        <v>2217</v>
      </c>
      <c r="HL16" s="1605" t="s">
        <v>1578</v>
      </c>
      <c r="HM16" s="1605" t="s">
        <v>2217</v>
      </c>
      <c r="HN16" s="1605" t="s">
        <v>2217</v>
      </c>
      <c r="HO16" s="1605" t="s">
        <v>986</v>
      </c>
      <c r="HP16" s="1605" t="s">
        <v>2217</v>
      </c>
      <c r="HQ16" s="1605" t="s">
        <v>2217</v>
      </c>
      <c r="HR16" s="1605" t="s">
        <v>2217</v>
      </c>
      <c r="HS16" s="1605" t="s">
        <v>2217</v>
      </c>
      <c r="HT16" s="1605" t="s">
        <v>1763</v>
      </c>
      <c r="HU16" s="1605" t="s">
        <v>1763</v>
      </c>
      <c r="HV16" s="1617"/>
      <c r="HW16" s="1617" t="s">
        <v>3691</v>
      </c>
      <c r="HX16" s="1617" t="s">
        <v>3686</v>
      </c>
      <c r="HY16" s="1617" t="s">
        <v>3685</v>
      </c>
      <c r="HZ16" s="1603"/>
      <c r="IA16" s="1603"/>
      <c r="IB16" s="1603"/>
      <c r="IC16" s="1603">
        <v>54.8130081300813</v>
      </c>
      <c r="ID16" s="1603">
        <v>56.178861788617901</v>
      </c>
      <c r="IE16" s="1603">
        <v>57.317073170731703</v>
      </c>
      <c r="IF16" s="1603">
        <v>58</v>
      </c>
      <c r="IG16" s="1611" t="s">
        <v>3683</v>
      </c>
      <c r="IH16" s="1616" t="s">
        <v>3721</v>
      </c>
      <c r="II16" s="1615" t="s">
        <v>3720</v>
      </c>
      <c r="IJ16" s="1613">
        <v>0.41826136363636363</v>
      </c>
      <c r="IK16" s="1613">
        <v>0.41826136363636363</v>
      </c>
      <c r="IL16" s="1614">
        <v>0.41826136363636363</v>
      </c>
      <c r="IM16" s="1614">
        <v>0.41826136363636363</v>
      </c>
      <c r="IN16" s="1612">
        <v>0.52200000000000002</v>
      </c>
      <c r="IO16" s="1613">
        <v>0.10373863636363639</v>
      </c>
      <c r="IP16" s="1607" t="s">
        <v>270</v>
      </c>
      <c r="IQ16" s="1612">
        <v>2.2000000000000002</v>
      </c>
      <c r="IR16" s="1612">
        <v>0.154</v>
      </c>
      <c r="IS16" s="1607">
        <v>0.41426136363636362</v>
      </c>
      <c r="IT16" s="1607">
        <v>0.41426136363636362</v>
      </c>
      <c r="IU16" s="1611">
        <v>1.1363636363636365E-5</v>
      </c>
      <c r="IV16" s="1611">
        <v>1.0568181818181818E-3</v>
      </c>
      <c r="IW16" s="1611">
        <v>7.8409090909090898E-4</v>
      </c>
      <c r="IX16" s="1611">
        <v>1.0909090909090907E-3</v>
      </c>
      <c r="IY16" s="1611">
        <v>7.9545454545454537E-4</v>
      </c>
      <c r="IZ16" s="1611">
        <v>8.0340909090909091E-3</v>
      </c>
      <c r="JA16" s="1611">
        <v>1.8181818181818183E-4</v>
      </c>
      <c r="JB16" s="1611" t="s">
        <v>270</v>
      </c>
      <c r="JC16" s="1611">
        <v>6.9750000000000006E-2</v>
      </c>
      <c r="JD16" s="1611">
        <v>1.9772727272727273E-3</v>
      </c>
      <c r="JE16" s="1611" t="s">
        <v>270</v>
      </c>
      <c r="JF16" s="1611">
        <v>2.5000000000000001E-4</v>
      </c>
      <c r="JG16" s="1611">
        <v>4.3789545454545458</v>
      </c>
      <c r="JH16" s="1611">
        <v>2.2727272727272727E-4</v>
      </c>
      <c r="JI16" s="1611">
        <v>4.7829545454545458E-2</v>
      </c>
      <c r="JJ16" s="1611" t="s">
        <v>270</v>
      </c>
      <c r="JK16" s="1607">
        <f t="shared" si="9"/>
        <v>4.0000000000000036E-3</v>
      </c>
      <c r="JL16" s="1608" t="s">
        <v>270</v>
      </c>
      <c r="JM16" s="1610" t="s">
        <v>2924</v>
      </c>
      <c r="JN16" s="1608">
        <v>0</v>
      </c>
      <c r="JO16" s="1609" t="s">
        <v>2923</v>
      </c>
      <c r="JP16" s="1608" t="s">
        <v>270</v>
      </c>
      <c r="JQ16" s="1607">
        <v>202103</v>
      </c>
      <c r="JR16" s="1606">
        <v>15</v>
      </c>
      <c r="JS16" s="1606">
        <v>22</v>
      </c>
      <c r="JT16" s="1606">
        <v>22</v>
      </c>
    </row>
    <row r="17" spans="1:280" ht="15" customHeight="1" x14ac:dyDescent="0.2">
      <c r="A17" s="1626">
        <v>50311</v>
      </c>
      <c r="B17" s="1625">
        <v>503</v>
      </c>
      <c r="C17" s="1624">
        <v>11</v>
      </c>
      <c r="D17" s="1623" t="s">
        <v>3722</v>
      </c>
      <c r="E17" s="1622">
        <v>44497</v>
      </c>
      <c r="F17" s="1620">
        <v>1.0460925280681377</v>
      </c>
      <c r="G17" s="1620">
        <v>1.0478544920222632</v>
      </c>
      <c r="H17" s="1621">
        <v>83.2</v>
      </c>
      <c r="I17" s="1621">
        <v>78.400000000000006</v>
      </c>
      <c r="J17" s="1621">
        <v>90</v>
      </c>
      <c r="K17" s="1620">
        <v>1</v>
      </c>
      <c r="L17" s="1620">
        <v>86.9</v>
      </c>
      <c r="M17" s="1620">
        <v>9.3000000000000007</v>
      </c>
      <c r="N17" s="1620">
        <v>2.6</v>
      </c>
      <c r="O17" s="1620">
        <v>1.8</v>
      </c>
      <c r="P17" s="1620">
        <v>4.5999999999999996</v>
      </c>
      <c r="Q17" s="1603"/>
      <c r="R17" s="1620">
        <v>75.200224884792632</v>
      </c>
      <c r="S17" s="1620">
        <v>30</v>
      </c>
      <c r="T17" s="1620">
        <v>41.382113821138198</v>
      </c>
      <c r="U17" s="1620">
        <v>45.934959349593498</v>
      </c>
      <c r="V17" s="1620">
        <v>50.032520325203301</v>
      </c>
      <c r="W17" s="1620">
        <v>52.764227642276403</v>
      </c>
      <c r="X17" s="1620"/>
      <c r="Y17" s="1620">
        <v>0.62140391254315297</v>
      </c>
      <c r="Z17" s="1620">
        <v>3.2220943613348676</v>
      </c>
      <c r="AA17" s="1620">
        <v>0.12658227848101264</v>
      </c>
      <c r="AB17" s="1620">
        <v>1.8150684931506944</v>
      </c>
      <c r="AC17" s="1620">
        <v>5.5581127733026463</v>
      </c>
      <c r="AD17" s="1620">
        <v>1.001150747986191</v>
      </c>
      <c r="AE17" s="1620">
        <v>1.3</v>
      </c>
      <c r="AF17" s="1620">
        <v>39.953970080552359</v>
      </c>
      <c r="AG17" s="1620">
        <v>2.3820483314154197</v>
      </c>
      <c r="AH17" s="1620">
        <v>15.397008055235903</v>
      </c>
      <c r="AI17" s="1620">
        <v>23.268124280782509</v>
      </c>
      <c r="AJ17" s="1620">
        <v>0</v>
      </c>
      <c r="AK17" s="1620">
        <v>0.04</v>
      </c>
      <c r="AL17" s="1620"/>
      <c r="AM17" s="1620">
        <v>3.8401495972382049</v>
      </c>
      <c r="AN17" s="1620">
        <v>1.7226237054085156</v>
      </c>
      <c r="AO17" s="1620">
        <v>2.4129689298043724</v>
      </c>
      <c r="AP17" s="1620">
        <v>3.4780552359033368</v>
      </c>
      <c r="AQ17" s="1620">
        <v>1.3440276179516686</v>
      </c>
      <c r="AR17" s="1620">
        <v>3.6301726121979283</v>
      </c>
      <c r="AS17" s="1620">
        <v>6.8924510932105871</v>
      </c>
      <c r="AT17" s="1620">
        <v>2.2996432681242807</v>
      </c>
      <c r="AU17" s="1620">
        <v>4.7700230149597243</v>
      </c>
      <c r="AV17" s="1620">
        <v>3.2040391254315308</v>
      </c>
      <c r="AW17" s="1620">
        <v>5.1478826237054083</v>
      </c>
      <c r="AX17" s="1620"/>
      <c r="AY17" s="1620">
        <v>0.94</v>
      </c>
      <c r="AZ17" s="1620">
        <v>1.08</v>
      </c>
      <c r="BA17" s="1620">
        <v>1.03</v>
      </c>
      <c r="BB17" s="1620">
        <v>0.95</v>
      </c>
      <c r="BC17" s="1620">
        <v>0.96</v>
      </c>
      <c r="BD17" s="1620">
        <v>1</v>
      </c>
      <c r="BE17" s="1620">
        <v>1.01</v>
      </c>
      <c r="BF17" s="1620">
        <v>1</v>
      </c>
      <c r="BG17" s="1620">
        <v>1.04</v>
      </c>
      <c r="BH17" s="1620">
        <v>0.97</v>
      </c>
      <c r="BI17" s="1620">
        <v>0.96</v>
      </c>
      <c r="BJ17" s="1603"/>
      <c r="BK17" s="1620">
        <v>10.701956271576526</v>
      </c>
      <c r="BL17" s="1620">
        <v>2.9919447640966625</v>
      </c>
      <c r="BM17" s="1620">
        <v>2.0713463751438432</v>
      </c>
      <c r="BN17" s="1620">
        <v>5.4117647058823524</v>
      </c>
      <c r="BO17" s="1620"/>
      <c r="BP17" s="1620">
        <v>120</v>
      </c>
      <c r="BQ17" s="1620">
        <v>38.117647058823529</v>
      </c>
      <c r="BR17" s="1620">
        <v>1.2037888700438868</v>
      </c>
      <c r="BS17" s="1620">
        <v>1.2058164465158381</v>
      </c>
      <c r="BT17" s="1603"/>
      <c r="BU17" s="1620">
        <v>979.28653624856156</v>
      </c>
      <c r="BV17" s="1620">
        <v>621.20565510438928</v>
      </c>
      <c r="BW17" s="1620">
        <v>67.151076771329897</v>
      </c>
      <c r="BX17" s="1620">
        <v>604</v>
      </c>
      <c r="BY17" s="1620">
        <v>21.000000000000004</v>
      </c>
      <c r="BZ17" s="1620">
        <v>56</v>
      </c>
      <c r="CA17" s="1620">
        <v>165</v>
      </c>
      <c r="CB17" s="1603"/>
      <c r="CC17" s="1603">
        <v>0.54</v>
      </c>
      <c r="CD17" s="1603">
        <v>2.8000000000000003</v>
      </c>
      <c r="CE17" s="1603">
        <v>0.11</v>
      </c>
      <c r="CF17" s="1603">
        <v>1.5772945205479536</v>
      </c>
      <c r="CG17" s="1603">
        <v>4.83</v>
      </c>
      <c r="CH17" s="1603">
        <v>0.87000000000000011</v>
      </c>
      <c r="CI17" s="1603">
        <v>1.1297000000000001</v>
      </c>
      <c r="CJ17" s="1603"/>
      <c r="CK17" s="1603">
        <v>34.720000000000006</v>
      </c>
      <c r="CL17" s="1603">
        <v>2.0699999999999998</v>
      </c>
      <c r="CM17" s="1603">
        <v>13.38</v>
      </c>
      <c r="CN17" s="1603">
        <v>20.220000000000002</v>
      </c>
      <c r="CO17" s="1603">
        <v>0</v>
      </c>
      <c r="CP17" s="1603">
        <v>3.4760000000000006E-2</v>
      </c>
      <c r="CQ17" s="1603">
        <v>69.936209142857152</v>
      </c>
      <c r="CR17" s="1603">
        <v>66.854706697897214</v>
      </c>
      <c r="CS17" s="1603">
        <v>2.4132815049944374</v>
      </c>
      <c r="CT17" s="1603">
        <v>1.2437874278200569</v>
      </c>
      <c r="CU17" s="1603">
        <v>1.6615787997540654</v>
      </c>
      <c r="CV17" s="1603">
        <v>2.9053662275741221</v>
      </c>
      <c r="CW17" s="1603">
        <v>2.208981445416331</v>
      </c>
      <c r="CX17" s="1603">
        <v>0.8626038930435096</v>
      </c>
      <c r="CY17" s="1603">
        <v>2.4269412525123184</v>
      </c>
      <c r="CZ17" s="1603">
        <v>4.654007242288567</v>
      </c>
      <c r="DA17" s="1603">
        <v>1.5374197620024257</v>
      </c>
      <c r="DB17" s="1603">
        <v>3.3165442919164576</v>
      </c>
      <c r="DC17" s="1603">
        <v>2.077789430999327</v>
      </c>
      <c r="DD17" s="1603">
        <v>5.3943337229157846</v>
      </c>
      <c r="DE17" s="1603">
        <v>3.3039377560610554</v>
      </c>
      <c r="DF17" s="1603">
        <v>0</v>
      </c>
      <c r="DG17" s="1603">
        <v>0</v>
      </c>
      <c r="DH17" s="1603">
        <v>0</v>
      </c>
      <c r="DI17" s="1603">
        <v>0</v>
      </c>
      <c r="DJ17" s="1603">
        <v>0</v>
      </c>
      <c r="DK17" s="1603">
        <v>0</v>
      </c>
      <c r="DL17" s="1603">
        <v>0</v>
      </c>
      <c r="DM17" s="1603">
        <v>0</v>
      </c>
      <c r="DN17" s="1603">
        <v>0</v>
      </c>
      <c r="DO17" s="1603">
        <v>0</v>
      </c>
      <c r="DP17" s="1603">
        <v>0</v>
      </c>
      <c r="DQ17" s="1603">
        <v>0</v>
      </c>
      <c r="DR17" s="1603">
        <v>0</v>
      </c>
      <c r="DS17" s="1603">
        <v>0</v>
      </c>
      <c r="DT17" s="1603">
        <v>0</v>
      </c>
      <c r="DU17" s="1603">
        <v>0</v>
      </c>
      <c r="DV17" s="1603">
        <v>0</v>
      </c>
      <c r="DW17" s="1618" t="s">
        <v>3688</v>
      </c>
      <c r="DX17" s="1605">
        <v>12</v>
      </c>
      <c r="DY17" s="1605">
        <v>12</v>
      </c>
      <c r="DZ17" s="1605">
        <v>6</v>
      </c>
      <c r="EA17" s="1605">
        <v>6</v>
      </c>
      <c r="EB17" s="1605" t="s">
        <v>986</v>
      </c>
      <c r="EC17" s="1605">
        <v>6</v>
      </c>
      <c r="ED17" s="1605">
        <v>6</v>
      </c>
      <c r="EE17" s="1605">
        <v>8</v>
      </c>
      <c r="EF17" s="1605">
        <v>6</v>
      </c>
      <c r="EG17" s="1605">
        <v>6</v>
      </c>
      <c r="EH17" s="1605" t="s">
        <v>986</v>
      </c>
      <c r="EI17" s="1605" t="s">
        <v>986</v>
      </c>
      <c r="EJ17" s="1605" t="s">
        <v>986</v>
      </c>
      <c r="EK17" s="1605" t="s">
        <v>986</v>
      </c>
      <c r="EL17" s="1605" t="s">
        <v>986</v>
      </c>
      <c r="EM17" s="1605" t="s">
        <v>986</v>
      </c>
      <c r="EN17" s="1605" t="s">
        <v>986</v>
      </c>
      <c r="EO17" s="1605" t="s">
        <v>986</v>
      </c>
      <c r="EP17" s="1605" t="s">
        <v>986</v>
      </c>
      <c r="EQ17" s="1605" t="s">
        <v>986</v>
      </c>
      <c r="ER17" s="1605" t="s">
        <v>986</v>
      </c>
      <c r="ES17" s="1605">
        <v>6</v>
      </c>
      <c r="ET17" s="1605">
        <v>12</v>
      </c>
      <c r="EU17" s="1605">
        <v>6</v>
      </c>
      <c r="EV17" s="1605">
        <v>7</v>
      </c>
      <c r="EW17" s="1605">
        <v>6</v>
      </c>
      <c r="EX17" s="1605">
        <v>6</v>
      </c>
      <c r="EY17" s="1605" t="s">
        <v>986</v>
      </c>
      <c r="EZ17" s="1605">
        <v>6</v>
      </c>
      <c r="FA17" s="1605">
        <v>6</v>
      </c>
      <c r="FB17" s="1605">
        <v>6</v>
      </c>
      <c r="FC17" s="1605">
        <v>5</v>
      </c>
      <c r="FD17" s="1605" t="s">
        <v>986</v>
      </c>
      <c r="FE17" s="1605" t="s">
        <v>986</v>
      </c>
      <c r="FF17" s="1605">
        <v>0.64854148718957105</v>
      </c>
      <c r="FG17" s="1605">
        <v>0.45006242481436298</v>
      </c>
      <c r="FH17" s="1605">
        <v>0.13079271808657053</v>
      </c>
      <c r="FI17" s="1605">
        <v>0.16467832108193584</v>
      </c>
      <c r="FJ17" s="1605" t="s">
        <v>986</v>
      </c>
      <c r="FK17" s="1605">
        <v>0.38718165855319148</v>
      </c>
      <c r="FL17" s="1605">
        <v>0.88776335872611267</v>
      </c>
      <c r="FM17" s="1605" t="s">
        <v>986</v>
      </c>
      <c r="FN17" s="1605">
        <v>1.2585773168161258</v>
      </c>
      <c r="FO17" s="1605">
        <v>0.97601975897548532</v>
      </c>
      <c r="FP17" s="1605" t="s">
        <v>986</v>
      </c>
      <c r="FQ17" s="1605" t="s">
        <v>986</v>
      </c>
      <c r="FR17" s="1605" t="s">
        <v>986</v>
      </c>
      <c r="FS17" s="1605" t="s">
        <v>986</v>
      </c>
      <c r="FT17" s="1605" t="s">
        <v>986</v>
      </c>
      <c r="FU17" s="1605" t="s">
        <v>986</v>
      </c>
      <c r="FV17" s="1605" t="s">
        <v>986</v>
      </c>
      <c r="FW17" s="1605" t="s">
        <v>986</v>
      </c>
      <c r="FX17" s="1605" t="s">
        <v>986</v>
      </c>
      <c r="FY17" s="1605" t="s">
        <v>986</v>
      </c>
      <c r="FZ17" s="1605" t="s">
        <v>986</v>
      </c>
      <c r="GA17" s="1605">
        <v>4.1924794989600514E-2</v>
      </c>
      <c r="GB17" s="1605">
        <v>0.21389496742441425</v>
      </c>
      <c r="GC17" s="1605">
        <v>1.5640862541518748E-2</v>
      </c>
      <c r="GD17" s="1605">
        <v>0.22</v>
      </c>
      <c r="GE17" s="1605">
        <v>0.36892607801790689</v>
      </c>
      <c r="GF17" s="1605">
        <v>4.0755911147899726E-2</v>
      </c>
      <c r="GG17" s="1605" t="s">
        <v>986</v>
      </c>
      <c r="GH17" s="1605">
        <v>7.0059905857985738</v>
      </c>
      <c r="GI17" s="1605">
        <v>0.15803452140513771</v>
      </c>
      <c r="GJ17" s="1605">
        <v>1.0479185265412074</v>
      </c>
      <c r="GK17" s="1605">
        <v>2.5742285422117761</v>
      </c>
      <c r="GL17" s="1605" t="s">
        <v>986</v>
      </c>
      <c r="GM17" s="1605" t="s">
        <v>986</v>
      </c>
      <c r="GN17" s="1605" t="s">
        <v>2217</v>
      </c>
      <c r="GO17" s="1605" t="s">
        <v>2217</v>
      </c>
      <c r="GP17" s="1605" t="s">
        <v>2217</v>
      </c>
      <c r="GQ17" s="1605" t="s">
        <v>2217</v>
      </c>
      <c r="GR17" s="1605" t="s">
        <v>1763</v>
      </c>
      <c r="GS17" s="1605" t="s">
        <v>2217</v>
      </c>
      <c r="GT17" s="1605" t="s">
        <v>2217</v>
      </c>
      <c r="GU17" s="1605" t="s">
        <v>1763</v>
      </c>
      <c r="GV17" s="1605" t="s">
        <v>2217</v>
      </c>
      <c r="GW17" s="1605" t="s">
        <v>2217</v>
      </c>
      <c r="GX17" s="1605" t="s">
        <v>2217</v>
      </c>
      <c r="GY17" s="1605" t="s">
        <v>2217</v>
      </c>
      <c r="GZ17" s="1605" t="s">
        <v>2217</v>
      </c>
      <c r="HA17" s="1605" t="s">
        <v>2217</v>
      </c>
      <c r="HB17" s="1605" t="s">
        <v>1763</v>
      </c>
      <c r="HC17" s="1605" t="s">
        <v>2217</v>
      </c>
      <c r="HD17" s="1605" t="s">
        <v>2217</v>
      </c>
      <c r="HE17" s="1605" t="s">
        <v>2217</v>
      </c>
      <c r="HF17" s="1605" t="s">
        <v>2217</v>
      </c>
      <c r="HG17" s="1605" t="s">
        <v>2217</v>
      </c>
      <c r="HH17" s="1605" t="s">
        <v>2217</v>
      </c>
      <c r="HI17" s="1605" t="s">
        <v>2217</v>
      </c>
      <c r="HJ17" s="1605" t="s">
        <v>2217</v>
      </c>
      <c r="HK17" s="1605" t="s">
        <v>2217</v>
      </c>
      <c r="HL17" s="1605" t="s">
        <v>1578</v>
      </c>
      <c r="HM17" s="1605" t="s">
        <v>2217</v>
      </c>
      <c r="HN17" s="1605" t="s">
        <v>2217</v>
      </c>
      <c r="HO17" s="1605" t="s">
        <v>986</v>
      </c>
      <c r="HP17" s="1605" t="s">
        <v>2217</v>
      </c>
      <c r="HQ17" s="1605" t="s">
        <v>2217</v>
      </c>
      <c r="HR17" s="1605" t="s">
        <v>2217</v>
      </c>
      <c r="HS17" s="1605" t="s">
        <v>2217</v>
      </c>
      <c r="HT17" s="1605" t="s">
        <v>1763</v>
      </c>
      <c r="HU17" s="1605" t="s">
        <v>1763</v>
      </c>
      <c r="HV17" s="1617"/>
      <c r="HW17" s="1617" t="s">
        <v>3691</v>
      </c>
      <c r="HX17" s="1617" t="s">
        <v>3686</v>
      </c>
      <c r="HY17" s="1617" t="s">
        <v>3685</v>
      </c>
      <c r="HZ17" s="1603"/>
      <c r="IA17" s="1603"/>
      <c r="IB17" s="1603"/>
      <c r="IC17" s="1603">
        <v>54.8130081300813</v>
      </c>
      <c r="ID17" s="1603">
        <v>56.178861788617901</v>
      </c>
      <c r="IE17" s="1603">
        <v>57.317073170731703</v>
      </c>
      <c r="IF17" s="1603">
        <v>58</v>
      </c>
      <c r="IG17" s="1611" t="s">
        <v>3683</v>
      </c>
      <c r="IH17" s="1616" t="s">
        <v>3721</v>
      </c>
      <c r="II17" s="1615" t="s">
        <v>3720</v>
      </c>
      <c r="IJ17" s="1613">
        <v>0.41826136363636363</v>
      </c>
      <c r="IK17" s="1613">
        <v>0.41826136363636363</v>
      </c>
      <c r="IL17" s="1614">
        <v>0.41826136363636363</v>
      </c>
      <c r="IM17" s="1614">
        <v>0.41826136363636363</v>
      </c>
      <c r="IN17" s="1612">
        <v>0.52200000000000002</v>
      </c>
      <c r="IO17" s="1613">
        <v>0.10373863636363639</v>
      </c>
      <c r="IP17" s="1607" t="s">
        <v>270</v>
      </c>
      <c r="IQ17" s="1612">
        <v>2.2000000000000002</v>
      </c>
      <c r="IR17" s="1612">
        <v>0.154</v>
      </c>
      <c r="IS17" s="1607">
        <v>0.41426136363636362</v>
      </c>
      <c r="IT17" s="1607">
        <v>0.41426136363636362</v>
      </c>
      <c r="IU17" s="1611">
        <v>1.1363636363636365E-5</v>
      </c>
      <c r="IV17" s="1611">
        <v>1.0568181818181818E-3</v>
      </c>
      <c r="IW17" s="1611">
        <v>7.8409090909090898E-4</v>
      </c>
      <c r="IX17" s="1611">
        <v>1.0909090909090907E-3</v>
      </c>
      <c r="IY17" s="1611">
        <v>7.9545454545454537E-4</v>
      </c>
      <c r="IZ17" s="1611">
        <v>8.0340909090909091E-3</v>
      </c>
      <c r="JA17" s="1611">
        <v>1.8181818181818183E-4</v>
      </c>
      <c r="JB17" s="1611" t="s">
        <v>270</v>
      </c>
      <c r="JC17" s="1611">
        <v>6.9750000000000006E-2</v>
      </c>
      <c r="JD17" s="1611">
        <v>1.9772727272727273E-3</v>
      </c>
      <c r="JE17" s="1611" t="s">
        <v>270</v>
      </c>
      <c r="JF17" s="1611">
        <v>2.5000000000000001E-4</v>
      </c>
      <c r="JG17" s="1611">
        <v>4.3789545454545458</v>
      </c>
      <c r="JH17" s="1611">
        <v>2.2727272727272727E-4</v>
      </c>
      <c r="JI17" s="1611">
        <v>4.7829545454545458E-2</v>
      </c>
      <c r="JJ17" s="1611" t="s">
        <v>270</v>
      </c>
      <c r="JK17" s="1607">
        <f t="shared" si="9"/>
        <v>4.0000000000000036E-3</v>
      </c>
      <c r="JL17" s="1608" t="s">
        <v>270</v>
      </c>
      <c r="JM17" s="1610" t="s">
        <v>2924</v>
      </c>
      <c r="JN17" s="1608">
        <v>0</v>
      </c>
      <c r="JO17" s="1609" t="s">
        <v>2923</v>
      </c>
      <c r="JP17" s="1608" t="s">
        <v>270</v>
      </c>
      <c r="JQ17" s="1607">
        <v>202103</v>
      </c>
      <c r="JR17" s="1606">
        <v>15</v>
      </c>
      <c r="JS17" s="1606">
        <v>22</v>
      </c>
      <c r="JT17" s="1606">
        <v>22</v>
      </c>
    </row>
    <row r="18" spans="1:280" ht="15" customHeight="1" x14ac:dyDescent="0.2">
      <c r="A18" s="1626">
        <v>50500</v>
      </c>
      <c r="B18" s="1625">
        <v>505</v>
      </c>
      <c r="C18" s="1624">
        <v>0</v>
      </c>
      <c r="D18" s="1623" t="s">
        <v>3719</v>
      </c>
      <c r="E18" s="1622">
        <v>44497</v>
      </c>
      <c r="F18" s="1620">
        <v>1.0144022454510258</v>
      </c>
      <c r="G18" s="1620">
        <v>1.0197844215213356</v>
      </c>
      <c r="H18" s="1621">
        <v>83.6</v>
      </c>
      <c r="I18" s="1621">
        <v>77.5</v>
      </c>
      <c r="J18" s="1621">
        <v>90</v>
      </c>
      <c r="K18" s="1620">
        <v>1</v>
      </c>
      <c r="L18" s="1620">
        <v>85</v>
      </c>
      <c r="M18" s="1620">
        <v>9.3000000000000007</v>
      </c>
      <c r="N18" s="1620">
        <v>2.6</v>
      </c>
      <c r="O18" s="1620">
        <v>1.8</v>
      </c>
      <c r="P18" s="1620">
        <v>4.5999999999999996</v>
      </c>
      <c r="Q18" s="1603"/>
      <c r="R18" s="1620">
        <v>74.658842396313375</v>
      </c>
      <c r="S18" s="1620">
        <v>39</v>
      </c>
      <c r="T18" s="1620">
        <v>46.723577235772403</v>
      </c>
      <c r="U18" s="1620">
        <v>49.8130081300813</v>
      </c>
      <c r="V18" s="1620">
        <v>52.5934959349593</v>
      </c>
      <c r="W18" s="1620">
        <v>54.4471544715447</v>
      </c>
      <c r="X18" s="1620"/>
      <c r="Y18" s="1620">
        <v>0.65882352941176481</v>
      </c>
      <c r="Z18" s="1620">
        <v>3.1764705882352939</v>
      </c>
      <c r="AA18" s="1620">
        <v>0.12941176470588237</v>
      </c>
      <c r="AB18" s="1620">
        <v>1.8117647058823529</v>
      </c>
      <c r="AC18" s="1620">
        <v>5.2823529411764705</v>
      </c>
      <c r="AD18" s="1620">
        <v>1.0705882352941176</v>
      </c>
      <c r="AE18" s="1620">
        <v>1.3058823529411767</v>
      </c>
      <c r="AF18" s="1620">
        <v>41.235294117647051</v>
      </c>
      <c r="AG18" s="1620">
        <v>2.8588235294117652</v>
      </c>
      <c r="AH18" s="1620">
        <v>15.576470588235294</v>
      </c>
      <c r="AI18" s="1620">
        <v>26.952941176470588</v>
      </c>
      <c r="AJ18" s="1620">
        <v>0</v>
      </c>
      <c r="AK18" s="1620">
        <v>0.04</v>
      </c>
      <c r="AL18" s="1620"/>
      <c r="AM18" s="1620">
        <v>3.8095294117647054</v>
      </c>
      <c r="AN18" s="1620">
        <v>1.7132941176470589</v>
      </c>
      <c r="AO18" s="1620">
        <v>2.3969411764705879</v>
      </c>
      <c r="AP18" s="1620">
        <v>3.46035294117647</v>
      </c>
      <c r="AQ18" s="1620">
        <v>1.3351764705882352</v>
      </c>
      <c r="AR18" s="1620">
        <v>3.6268235294117646</v>
      </c>
      <c r="AS18" s="1620">
        <v>6.8864705882352943</v>
      </c>
      <c r="AT18" s="1620">
        <v>2.2927058823529411</v>
      </c>
      <c r="AU18" s="1620">
        <v>4.7972941176470592</v>
      </c>
      <c r="AV18" s="1620">
        <v>3.2088235294117649</v>
      </c>
      <c r="AW18" s="1620">
        <v>5.1335294117647061</v>
      </c>
      <c r="AX18" s="1620"/>
      <c r="AY18" s="1620">
        <v>0.93979435610052697</v>
      </c>
      <c r="AZ18" s="1620">
        <v>1.0798403419017799</v>
      </c>
      <c r="BA18" s="1620">
        <v>1.0298127927627001</v>
      </c>
      <c r="BB18" s="1620">
        <v>0.94986810513779896</v>
      </c>
      <c r="BC18" s="1620">
        <v>0.95982702731759895</v>
      </c>
      <c r="BD18" s="1620">
        <v>0.99997504265898396</v>
      </c>
      <c r="BE18" s="1620">
        <v>1.0099762951134501</v>
      </c>
      <c r="BF18" s="1620">
        <v>0.99991805051374005</v>
      </c>
      <c r="BG18" s="1620">
        <v>1.04015875310616</v>
      </c>
      <c r="BH18" s="1620">
        <v>0.97003899612635003</v>
      </c>
      <c r="BI18" s="1620">
        <v>0.95992732173874296</v>
      </c>
      <c r="BJ18" s="1603"/>
      <c r="BK18" s="1620">
        <v>10.941176470588237</v>
      </c>
      <c r="BL18" s="1620">
        <v>3.0588235294117645</v>
      </c>
      <c r="BM18" s="1620">
        <v>2.1176470588235294</v>
      </c>
      <c r="BN18" s="1620">
        <v>5.4117647058823524</v>
      </c>
      <c r="BO18" s="1620"/>
      <c r="BP18" s="1620">
        <v>120</v>
      </c>
      <c r="BQ18" s="1620">
        <v>36.705882352941174</v>
      </c>
      <c r="BR18" s="1620">
        <v>1.1934144064129715</v>
      </c>
      <c r="BS18" s="1620">
        <v>1.1997463782603948</v>
      </c>
      <c r="BT18" s="1603"/>
      <c r="BU18" s="1620">
        <v>978.82352941176475</v>
      </c>
      <c r="BV18" s="1620">
        <v>603.76369747899162</v>
      </c>
      <c r="BW18" s="1620">
        <v>85.297478991596563</v>
      </c>
      <c r="BX18" s="1620">
        <v>604</v>
      </c>
      <c r="BY18" s="1620">
        <v>21.000000000000004</v>
      </c>
      <c r="BZ18" s="1620">
        <v>56</v>
      </c>
      <c r="CA18" s="1620">
        <v>165</v>
      </c>
      <c r="CB18" s="1603"/>
      <c r="CC18" s="1603">
        <v>0.56000000000000005</v>
      </c>
      <c r="CD18" s="1603">
        <v>2.6999999999999997</v>
      </c>
      <c r="CE18" s="1603">
        <v>0.11</v>
      </c>
      <c r="CF18" s="1603">
        <v>1.54</v>
      </c>
      <c r="CG18" s="1603">
        <v>4.49</v>
      </c>
      <c r="CH18" s="1603">
        <v>0.90999999999999992</v>
      </c>
      <c r="CI18" s="1603">
        <v>1.1100000000000001</v>
      </c>
      <c r="CJ18" s="1603"/>
      <c r="CK18" s="1603">
        <v>35.04999999999999</v>
      </c>
      <c r="CL18" s="1603">
        <v>2.4300000000000002</v>
      </c>
      <c r="CM18" s="1603">
        <v>13.24</v>
      </c>
      <c r="CN18" s="1603">
        <v>22.91</v>
      </c>
      <c r="CO18" s="1603">
        <v>0</v>
      </c>
      <c r="CP18" s="1603">
        <v>3.4000000000000002E-2</v>
      </c>
      <c r="CQ18" s="1603">
        <v>69.432723428571435</v>
      </c>
      <c r="CR18" s="1603">
        <v>68.446933886369806</v>
      </c>
      <c r="CS18" s="1603">
        <v>2.4505194954635079</v>
      </c>
      <c r="CT18" s="1603">
        <v>1.2663258447243149</v>
      </c>
      <c r="CU18" s="1603">
        <v>1.689544586301498</v>
      </c>
      <c r="CV18" s="1603">
        <v>2.9558704310258128</v>
      </c>
      <c r="CW18" s="1603">
        <v>2.2497678216827959</v>
      </c>
      <c r="CX18" s="1603">
        <v>0.87717378429890402</v>
      </c>
      <c r="CY18" s="1603">
        <v>2.4823875480129645</v>
      </c>
      <c r="CZ18" s="1603">
        <v>4.7606020155090132</v>
      </c>
      <c r="DA18" s="1603">
        <v>1.5691582772494594</v>
      </c>
      <c r="DB18" s="1603">
        <v>3.4154660441779732</v>
      </c>
      <c r="DC18" s="1603">
        <v>2.1305367289191577</v>
      </c>
      <c r="DD18" s="1603">
        <v>5.5460027730971309</v>
      </c>
      <c r="DE18" s="1603">
        <v>3.3729383704408078</v>
      </c>
      <c r="DF18" s="1603">
        <v>0</v>
      </c>
      <c r="DG18" s="1603">
        <v>0</v>
      </c>
      <c r="DH18" s="1603">
        <v>0</v>
      </c>
      <c r="DI18" s="1603">
        <v>0</v>
      </c>
      <c r="DJ18" s="1603">
        <v>0</v>
      </c>
      <c r="DK18" s="1603">
        <v>0</v>
      </c>
      <c r="DL18" s="1603">
        <v>0</v>
      </c>
      <c r="DM18" s="1603">
        <v>0</v>
      </c>
      <c r="DN18" s="1603">
        <v>0</v>
      </c>
      <c r="DO18" s="1603">
        <v>0</v>
      </c>
      <c r="DP18" s="1603">
        <v>0</v>
      </c>
      <c r="DQ18" s="1603">
        <v>0</v>
      </c>
      <c r="DR18" s="1603">
        <v>0</v>
      </c>
      <c r="DS18" s="1603">
        <v>0</v>
      </c>
      <c r="DT18" s="1603">
        <v>0</v>
      </c>
      <c r="DU18" s="1603">
        <v>0</v>
      </c>
      <c r="DV18" s="1603">
        <v>0</v>
      </c>
      <c r="DW18" s="1618" t="s">
        <v>3688</v>
      </c>
      <c r="DX18" s="1605">
        <v>43</v>
      </c>
      <c r="DY18" s="1605">
        <v>43</v>
      </c>
      <c r="DZ18" s="1605">
        <v>22</v>
      </c>
      <c r="EA18" s="1605">
        <v>22</v>
      </c>
      <c r="EB18" s="1605" t="s">
        <v>986</v>
      </c>
      <c r="EC18" s="1605">
        <v>22</v>
      </c>
      <c r="ED18" s="1605">
        <v>22</v>
      </c>
      <c r="EE18" s="1605">
        <v>35</v>
      </c>
      <c r="EF18" s="1605">
        <v>22</v>
      </c>
      <c r="EG18" s="1605">
        <v>22</v>
      </c>
      <c r="EH18" s="1605" t="s">
        <v>986</v>
      </c>
      <c r="EI18" s="1605" t="s">
        <v>986</v>
      </c>
      <c r="EJ18" s="1605" t="s">
        <v>986</v>
      </c>
      <c r="EK18" s="1605" t="s">
        <v>986</v>
      </c>
      <c r="EL18" s="1605" t="s">
        <v>986</v>
      </c>
      <c r="EM18" s="1605" t="s">
        <v>986</v>
      </c>
      <c r="EN18" s="1605" t="s">
        <v>986</v>
      </c>
      <c r="EO18" s="1605" t="s">
        <v>986</v>
      </c>
      <c r="EP18" s="1605" t="s">
        <v>986</v>
      </c>
      <c r="EQ18" s="1605" t="s">
        <v>986</v>
      </c>
      <c r="ER18" s="1605" t="s">
        <v>986</v>
      </c>
      <c r="ES18" s="1605">
        <v>22</v>
      </c>
      <c r="ET18" s="1605">
        <v>43</v>
      </c>
      <c r="EU18" s="1605">
        <v>21</v>
      </c>
      <c r="EV18" s="1605">
        <v>7</v>
      </c>
      <c r="EW18" s="1605">
        <v>21</v>
      </c>
      <c r="EX18" s="1605">
        <v>21</v>
      </c>
      <c r="EY18" s="1605" t="s">
        <v>986</v>
      </c>
      <c r="EZ18" s="1605">
        <v>21</v>
      </c>
      <c r="FA18" s="1605">
        <v>21</v>
      </c>
      <c r="FB18" s="1605">
        <v>21</v>
      </c>
      <c r="FC18" s="1605">
        <v>20</v>
      </c>
      <c r="FD18" s="1605" t="s">
        <v>986</v>
      </c>
      <c r="FE18" s="1605" t="s">
        <v>986</v>
      </c>
      <c r="FF18" s="1605">
        <v>1.6871969191755023</v>
      </c>
      <c r="FG18" s="1605">
        <v>0.54321685399630448</v>
      </c>
      <c r="FH18" s="1605">
        <v>0.21463607254821174</v>
      </c>
      <c r="FI18" s="1605">
        <v>0.19883985691310133</v>
      </c>
      <c r="FJ18" s="1605" t="s">
        <v>986</v>
      </c>
      <c r="FK18" s="1605">
        <v>0.99757630802830899</v>
      </c>
      <c r="FL18" s="1605">
        <v>1.1390148314912005</v>
      </c>
      <c r="FM18" s="1605" t="s">
        <v>986</v>
      </c>
      <c r="FN18" s="1605">
        <v>1.7923107746461753</v>
      </c>
      <c r="FO18" s="1605">
        <v>1.4516944608280948</v>
      </c>
      <c r="FP18" s="1605" t="s">
        <v>986</v>
      </c>
      <c r="FQ18" s="1605" t="s">
        <v>986</v>
      </c>
      <c r="FR18" s="1605" t="s">
        <v>986</v>
      </c>
      <c r="FS18" s="1605" t="s">
        <v>986</v>
      </c>
      <c r="FT18" s="1605" t="s">
        <v>986</v>
      </c>
      <c r="FU18" s="1605" t="s">
        <v>986</v>
      </c>
      <c r="FV18" s="1605" t="s">
        <v>986</v>
      </c>
      <c r="FW18" s="1605" t="s">
        <v>986</v>
      </c>
      <c r="FX18" s="1605" t="s">
        <v>986</v>
      </c>
      <c r="FY18" s="1605" t="s">
        <v>986</v>
      </c>
      <c r="FZ18" s="1605" t="s">
        <v>986</v>
      </c>
      <c r="GA18" s="1605">
        <v>6.3153946025400781E-2</v>
      </c>
      <c r="GB18" s="1605">
        <v>0.21712700921569822</v>
      </c>
      <c r="GC18" s="1605">
        <v>1.2885841094207739E-2</v>
      </c>
      <c r="GD18" s="1605">
        <v>0.22000399695919637</v>
      </c>
      <c r="GE18" s="1605">
        <v>0.50834118100646331</v>
      </c>
      <c r="GF18" s="1605">
        <v>5.7629506141664649E-2</v>
      </c>
      <c r="GG18" s="1605" t="s">
        <v>986</v>
      </c>
      <c r="GH18" s="1605">
        <v>4.5322638354079823</v>
      </c>
      <c r="GI18" s="1605">
        <v>0.51493039616685554</v>
      </c>
      <c r="GJ18" s="1605">
        <v>1.2633254619153587</v>
      </c>
      <c r="GK18" s="1605">
        <v>4.1385865821367043</v>
      </c>
      <c r="GL18" s="1605" t="s">
        <v>986</v>
      </c>
      <c r="GM18" s="1605" t="s">
        <v>986</v>
      </c>
      <c r="GN18" s="1605" t="s">
        <v>3027</v>
      </c>
      <c r="GO18" s="1605" t="s">
        <v>3027</v>
      </c>
      <c r="GP18" s="1605" t="s">
        <v>3027</v>
      </c>
      <c r="GQ18" s="1605" t="s">
        <v>3027</v>
      </c>
      <c r="GR18" s="1605" t="s">
        <v>3026</v>
      </c>
      <c r="GS18" s="1605" t="s">
        <v>3027</v>
      </c>
      <c r="GT18" s="1605" t="s">
        <v>3027</v>
      </c>
      <c r="GU18" s="1605" t="s">
        <v>3026</v>
      </c>
      <c r="GV18" s="1605" t="s">
        <v>3027</v>
      </c>
      <c r="GW18" s="1605" t="s">
        <v>3027</v>
      </c>
      <c r="GX18" s="1605" t="s">
        <v>3027</v>
      </c>
      <c r="GY18" s="1605" t="s">
        <v>3027</v>
      </c>
      <c r="GZ18" s="1605" t="s">
        <v>3027</v>
      </c>
      <c r="HA18" s="1605" t="s">
        <v>3027</v>
      </c>
      <c r="HB18" s="1605" t="s">
        <v>3026</v>
      </c>
      <c r="HC18" s="1605" t="s">
        <v>3027</v>
      </c>
      <c r="HD18" s="1605" t="s">
        <v>3027</v>
      </c>
      <c r="HE18" s="1605" t="s">
        <v>3027</v>
      </c>
      <c r="HF18" s="1605" t="s">
        <v>3027</v>
      </c>
      <c r="HG18" s="1605" t="s">
        <v>3027</v>
      </c>
      <c r="HH18" s="1605" t="s">
        <v>3027</v>
      </c>
      <c r="HI18" s="1605" t="s">
        <v>3027</v>
      </c>
      <c r="HJ18" s="1605" t="s">
        <v>3027</v>
      </c>
      <c r="HK18" s="1605" t="s">
        <v>3027</v>
      </c>
      <c r="HL18" s="1605" t="s">
        <v>1578</v>
      </c>
      <c r="HM18" s="1605" t="s">
        <v>3027</v>
      </c>
      <c r="HN18" s="1605" t="s">
        <v>3027</v>
      </c>
      <c r="HO18" s="1605" t="s">
        <v>986</v>
      </c>
      <c r="HP18" s="1605" t="s">
        <v>3027</v>
      </c>
      <c r="HQ18" s="1605" t="s">
        <v>3027</v>
      </c>
      <c r="HR18" s="1605" t="s">
        <v>3027</v>
      </c>
      <c r="HS18" s="1605" t="s">
        <v>3027</v>
      </c>
      <c r="HT18" s="1605" t="s">
        <v>3026</v>
      </c>
      <c r="HU18" s="1605" t="s">
        <v>3026</v>
      </c>
      <c r="HV18" s="1617"/>
      <c r="HW18" s="1617" t="s">
        <v>3694</v>
      </c>
      <c r="HX18" s="1617" t="s">
        <v>3686</v>
      </c>
      <c r="HY18" s="1617" t="s">
        <v>3685</v>
      </c>
      <c r="HZ18" s="1603"/>
      <c r="IA18" s="1603"/>
      <c r="IB18" s="1603"/>
      <c r="IC18" s="1603">
        <v>55.837398373983703</v>
      </c>
      <c r="ID18" s="1603">
        <v>56.764227642276403</v>
      </c>
      <c r="IE18" s="1603">
        <v>57.536585365853703</v>
      </c>
      <c r="IF18" s="1603">
        <v>58</v>
      </c>
      <c r="IG18" s="1611" t="s">
        <v>3683</v>
      </c>
      <c r="IH18" s="1616" t="s">
        <v>3711</v>
      </c>
      <c r="II18" s="1615" t="s">
        <v>274</v>
      </c>
      <c r="IJ18" s="1613">
        <v>0.41826136363636363</v>
      </c>
      <c r="IK18" s="1613">
        <v>0.41826136363636363</v>
      </c>
      <c r="IL18" s="1614">
        <v>0.41826136363636363</v>
      </c>
      <c r="IM18" s="1614">
        <v>0.41826136363636363</v>
      </c>
      <c r="IN18" s="1612">
        <v>0.52200000000000002</v>
      </c>
      <c r="IO18" s="1613">
        <v>0.10373863636363639</v>
      </c>
      <c r="IP18" s="1607" t="s">
        <v>270</v>
      </c>
      <c r="IQ18" s="1612">
        <v>2.2000000000000002</v>
      </c>
      <c r="IR18" s="1612">
        <v>0.154</v>
      </c>
      <c r="IS18" s="1607">
        <v>0.41426136363636362</v>
      </c>
      <c r="IT18" s="1607">
        <v>0.41426136363636362</v>
      </c>
      <c r="IU18" s="1611">
        <v>1.1363636363636365E-5</v>
      </c>
      <c r="IV18" s="1611">
        <v>1.0568181818181818E-3</v>
      </c>
      <c r="IW18" s="1611">
        <v>7.8409090909090898E-4</v>
      </c>
      <c r="IX18" s="1611">
        <v>1.0909090909090907E-3</v>
      </c>
      <c r="IY18" s="1611">
        <v>7.9545454545454537E-4</v>
      </c>
      <c r="IZ18" s="1611">
        <v>8.0340909090909091E-3</v>
      </c>
      <c r="JA18" s="1611">
        <v>1.8181818181818183E-4</v>
      </c>
      <c r="JB18" s="1611" t="s">
        <v>270</v>
      </c>
      <c r="JC18" s="1611">
        <v>6.9750000000000006E-2</v>
      </c>
      <c r="JD18" s="1611">
        <v>1.9772727272727273E-3</v>
      </c>
      <c r="JE18" s="1611" t="s">
        <v>270</v>
      </c>
      <c r="JF18" s="1611">
        <v>2.5000000000000001E-4</v>
      </c>
      <c r="JG18" s="1611">
        <v>4.3789545454545458</v>
      </c>
      <c r="JH18" s="1611">
        <v>2.2727272727272727E-4</v>
      </c>
      <c r="JI18" s="1611">
        <v>4.7829545454545458E-2</v>
      </c>
      <c r="JJ18" s="1611" t="s">
        <v>270</v>
      </c>
      <c r="JK18" s="1607">
        <f t="shared" si="9"/>
        <v>4.0000000000000036E-3</v>
      </c>
      <c r="JL18" s="1608" t="s">
        <v>270</v>
      </c>
      <c r="JM18" s="1610" t="s">
        <v>2924</v>
      </c>
      <c r="JN18" s="1608">
        <v>0</v>
      </c>
      <c r="JO18" s="1609" t="s">
        <v>2923</v>
      </c>
      <c r="JP18" s="1608" t="s">
        <v>270</v>
      </c>
      <c r="JQ18" s="1607">
        <v>202103</v>
      </c>
      <c r="JR18" s="1606">
        <v>15</v>
      </c>
      <c r="JS18" s="1606">
        <v>22</v>
      </c>
      <c r="JT18" s="1606">
        <v>22</v>
      </c>
    </row>
    <row r="19" spans="1:280" ht="15" customHeight="1" x14ac:dyDescent="0.2">
      <c r="A19" s="1626">
        <v>50501</v>
      </c>
      <c r="B19" s="1625">
        <v>505</v>
      </c>
      <c r="C19" s="1624">
        <v>1</v>
      </c>
      <c r="D19" s="1623" t="s">
        <v>3718</v>
      </c>
      <c r="E19" s="1622">
        <v>44497</v>
      </c>
      <c r="F19" s="1620">
        <v>1.0204417344173442</v>
      </c>
      <c r="G19" s="1620">
        <v>1.0240293194805197</v>
      </c>
      <c r="H19" s="1621">
        <v>83.6</v>
      </c>
      <c r="I19" s="1621">
        <v>78</v>
      </c>
      <c r="J19" s="1621">
        <v>90</v>
      </c>
      <c r="K19" s="1620">
        <v>1</v>
      </c>
      <c r="L19" s="1620">
        <v>85</v>
      </c>
      <c r="M19" s="1620">
        <v>9.3000000000000007</v>
      </c>
      <c r="N19" s="1620">
        <v>2.6</v>
      </c>
      <c r="O19" s="1620">
        <v>1.8</v>
      </c>
      <c r="P19" s="1620">
        <v>4.5999999999999996</v>
      </c>
      <c r="Q19" s="1603"/>
      <c r="R19" s="1620">
        <v>75.0805935483871</v>
      </c>
      <c r="S19" s="1620">
        <v>39</v>
      </c>
      <c r="T19" s="1620">
        <v>46.723577235772403</v>
      </c>
      <c r="U19" s="1620">
        <v>49.8130081300813</v>
      </c>
      <c r="V19" s="1620">
        <v>52.5934959349593</v>
      </c>
      <c r="W19" s="1620">
        <v>54.4471544715447</v>
      </c>
      <c r="X19" s="1620"/>
      <c r="Y19" s="1620">
        <v>0.65882352941176481</v>
      </c>
      <c r="Z19" s="1620">
        <v>3.1764705882352939</v>
      </c>
      <c r="AA19" s="1620">
        <v>0.12941176470588237</v>
      </c>
      <c r="AB19" s="1620">
        <v>1.8117647058823529</v>
      </c>
      <c r="AC19" s="1620">
        <v>5.2823529411764705</v>
      </c>
      <c r="AD19" s="1620">
        <v>1.0705882352941176</v>
      </c>
      <c r="AE19" s="1620">
        <v>1.3058823529411767</v>
      </c>
      <c r="AF19" s="1620">
        <v>41.235294117647051</v>
      </c>
      <c r="AG19" s="1620">
        <v>2.8588235294117652</v>
      </c>
      <c r="AH19" s="1620">
        <v>15.576470588235294</v>
      </c>
      <c r="AI19" s="1620">
        <v>26.952941176470588</v>
      </c>
      <c r="AJ19" s="1620">
        <v>0</v>
      </c>
      <c r="AK19" s="1620">
        <v>0.04</v>
      </c>
      <c r="AL19" s="1620"/>
      <c r="AM19" s="1620">
        <v>3.8095294117647054</v>
      </c>
      <c r="AN19" s="1620">
        <v>1.7132941176470589</v>
      </c>
      <c r="AO19" s="1620">
        <v>2.3969411764705879</v>
      </c>
      <c r="AP19" s="1620">
        <v>3.46035294117647</v>
      </c>
      <c r="AQ19" s="1620">
        <v>1.3351764705882352</v>
      </c>
      <c r="AR19" s="1620">
        <v>3.6268235294117646</v>
      </c>
      <c r="AS19" s="1620">
        <v>6.8864705882352943</v>
      </c>
      <c r="AT19" s="1620">
        <v>2.2927058823529411</v>
      </c>
      <c r="AU19" s="1620">
        <v>4.7972941176470592</v>
      </c>
      <c r="AV19" s="1620">
        <v>3.2088235294117649</v>
      </c>
      <c r="AW19" s="1620">
        <v>5.1335294117647061</v>
      </c>
      <c r="AX19" s="1620"/>
      <c r="AY19" s="1620">
        <v>0.93979435610052697</v>
      </c>
      <c r="AZ19" s="1620">
        <v>1.0798403419017799</v>
      </c>
      <c r="BA19" s="1620">
        <v>1.0298127927627001</v>
      </c>
      <c r="BB19" s="1620">
        <v>0.94986810513779896</v>
      </c>
      <c r="BC19" s="1620">
        <v>0.95982702731759895</v>
      </c>
      <c r="BD19" s="1620">
        <v>0.99997504265898396</v>
      </c>
      <c r="BE19" s="1620">
        <v>1.0099762951134501</v>
      </c>
      <c r="BF19" s="1620">
        <v>0.99991805051374005</v>
      </c>
      <c r="BG19" s="1620">
        <v>1.04015875310616</v>
      </c>
      <c r="BH19" s="1620">
        <v>0.97003899612635003</v>
      </c>
      <c r="BI19" s="1620">
        <v>0.95992732173874296</v>
      </c>
      <c r="BJ19" s="1603"/>
      <c r="BK19" s="1620">
        <v>10.941176470588237</v>
      </c>
      <c r="BL19" s="1620">
        <v>3.0588235294117645</v>
      </c>
      <c r="BM19" s="1620">
        <v>2.1176470588235294</v>
      </c>
      <c r="BN19" s="1620">
        <v>5.4117647058823524</v>
      </c>
      <c r="BO19" s="1620"/>
      <c r="BP19" s="1620">
        <v>120</v>
      </c>
      <c r="BQ19" s="1620">
        <v>36.705882352941174</v>
      </c>
      <c r="BR19" s="1620">
        <v>1.2005196875498167</v>
      </c>
      <c r="BS19" s="1620">
        <v>1.2047403758594348</v>
      </c>
      <c r="BT19" s="1603"/>
      <c r="BU19" s="1620">
        <v>978.82352941176475</v>
      </c>
      <c r="BV19" s="1620">
        <v>610.75529411764705</v>
      </c>
      <c r="BW19" s="1620">
        <v>78.305882352941111</v>
      </c>
      <c r="BX19" s="1620">
        <v>604</v>
      </c>
      <c r="BY19" s="1620">
        <v>21.000000000000004</v>
      </c>
      <c r="BZ19" s="1620">
        <v>56</v>
      </c>
      <c r="CA19" s="1620">
        <v>165</v>
      </c>
      <c r="CB19" s="1603"/>
      <c r="CC19" s="1603">
        <v>0.56000000000000005</v>
      </c>
      <c r="CD19" s="1603">
        <v>2.6999999999999997</v>
      </c>
      <c r="CE19" s="1603">
        <v>0.11</v>
      </c>
      <c r="CF19" s="1603">
        <v>1.54</v>
      </c>
      <c r="CG19" s="1603">
        <v>4.49</v>
      </c>
      <c r="CH19" s="1603">
        <v>0.90999999999999992</v>
      </c>
      <c r="CI19" s="1603">
        <v>1.1100000000000001</v>
      </c>
      <c r="CJ19" s="1603"/>
      <c r="CK19" s="1603">
        <v>35.04999999999999</v>
      </c>
      <c r="CL19" s="1603">
        <v>2.4300000000000002</v>
      </c>
      <c r="CM19" s="1603">
        <v>13.24</v>
      </c>
      <c r="CN19" s="1603">
        <v>22.91</v>
      </c>
      <c r="CO19" s="1603">
        <v>0</v>
      </c>
      <c r="CP19" s="1603">
        <v>3.4000000000000002E-2</v>
      </c>
      <c r="CQ19" s="1603">
        <v>69.824951999999996</v>
      </c>
      <c r="CR19" s="1603">
        <v>68.42620175650589</v>
      </c>
      <c r="CS19" s="1603">
        <v>2.4497772490905976</v>
      </c>
      <c r="CT19" s="1603">
        <v>1.2659422828849132</v>
      </c>
      <c r="CU19" s="1603">
        <v>1.6890328342655014</v>
      </c>
      <c r="CV19" s="1603">
        <v>2.9549751171504148</v>
      </c>
      <c r="CW19" s="1603">
        <v>2.2490863816825728</v>
      </c>
      <c r="CX19" s="1603">
        <v>0.87690809408055936</v>
      </c>
      <c r="CY19" s="1603">
        <v>2.4816356490147795</v>
      </c>
      <c r="CZ19" s="1603">
        <v>4.7591600602071171</v>
      </c>
      <c r="DA19" s="1603">
        <v>1.5686829894413163</v>
      </c>
      <c r="DB19" s="1603">
        <v>3.4144315217888295</v>
      </c>
      <c r="DC19" s="1603">
        <v>2.1298914032393088</v>
      </c>
      <c r="DD19" s="1603">
        <v>5.5443229250281387</v>
      </c>
      <c r="DE19" s="1603">
        <v>3.3719167294066739</v>
      </c>
      <c r="DF19" s="1603">
        <v>0</v>
      </c>
      <c r="DG19" s="1603">
        <v>0</v>
      </c>
      <c r="DH19" s="1603">
        <v>0</v>
      </c>
      <c r="DI19" s="1603">
        <v>0</v>
      </c>
      <c r="DJ19" s="1603">
        <v>0</v>
      </c>
      <c r="DK19" s="1603">
        <v>0</v>
      </c>
      <c r="DL19" s="1603">
        <v>0</v>
      </c>
      <c r="DM19" s="1603">
        <v>0</v>
      </c>
      <c r="DN19" s="1603">
        <v>0</v>
      </c>
      <c r="DO19" s="1603">
        <v>0</v>
      </c>
      <c r="DP19" s="1603">
        <v>0</v>
      </c>
      <c r="DQ19" s="1603">
        <v>0</v>
      </c>
      <c r="DR19" s="1603">
        <v>0</v>
      </c>
      <c r="DS19" s="1603">
        <v>0</v>
      </c>
      <c r="DT19" s="1603">
        <v>0</v>
      </c>
      <c r="DU19" s="1603">
        <v>0</v>
      </c>
      <c r="DV19" s="1603">
        <v>0</v>
      </c>
      <c r="DW19" s="1618" t="s">
        <v>3688</v>
      </c>
      <c r="DX19" s="1605">
        <v>43</v>
      </c>
      <c r="DY19" s="1605">
        <v>43</v>
      </c>
      <c r="DZ19" s="1605">
        <v>22</v>
      </c>
      <c r="EA19" s="1605">
        <v>22</v>
      </c>
      <c r="EB19" s="1605" t="s">
        <v>986</v>
      </c>
      <c r="EC19" s="1605">
        <v>22</v>
      </c>
      <c r="ED19" s="1605">
        <v>22</v>
      </c>
      <c r="EE19" s="1605">
        <v>35</v>
      </c>
      <c r="EF19" s="1605">
        <v>22</v>
      </c>
      <c r="EG19" s="1605">
        <v>22</v>
      </c>
      <c r="EH19" s="1605" t="s">
        <v>986</v>
      </c>
      <c r="EI19" s="1605" t="s">
        <v>986</v>
      </c>
      <c r="EJ19" s="1605" t="s">
        <v>986</v>
      </c>
      <c r="EK19" s="1605" t="s">
        <v>986</v>
      </c>
      <c r="EL19" s="1605" t="s">
        <v>986</v>
      </c>
      <c r="EM19" s="1605" t="s">
        <v>986</v>
      </c>
      <c r="EN19" s="1605" t="s">
        <v>986</v>
      </c>
      <c r="EO19" s="1605" t="s">
        <v>986</v>
      </c>
      <c r="EP19" s="1605" t="s">
        <v>986</v>
      </c>
      <c r="EQ19" s="1605" t="s">
        <v>986</v>
      </c>
      <c r="ER19" s="1605" t="s">
        <v>986</v>
      </c>
      <c r="ES19" s="1605">
        <v>22</v>
      </c>
      <c r="ET19" s="1605">
        <v>43</v>
      </c>
      <c r="EU19" s="1605">
        <v>21</v>
      </c>
      <c r="EV19" s="1605">
        <v>7</v>
      </c>
      <c r="EW19" s="1605">
        <v>21</v>
      </c>
      <c r="EX19" s="1605">
        <v>21</v>
      </c>
      <c r="EY19" s="1605" t="s">
        <v>986</v>
      </c>
      <c r="EZ19" s="1605">
        <v>21</v>
      </c>
      <c r="FA19" s="1605">
        <v>21</v>
      </c>
      <c r="FB19" s="1605">
        <v>21</v>
      </c>
      <c r="FC19" s="1605">
        <v>20</v>
      </c>
      <c r="FD19" s="1605" t="s">
        <v>986</v>
      </c>
      <c r="FE19" s="1605" t="s">
        <v>986</v>
      </c>
      <c r="FF19" s="1605">
        <v>1.6871969191755023</v>
      </c>
      <c r="FG19" s="1605">
        <v>0.54321685399630448</v>
      </c>
      <c r="FH19" s="1605">
        <v>0.21463607254821174</v>
      </c>
      <c r="FI19" s="1605">
        <v>0.19883985691310133</v>
      </c>
      <c r="FJ19" s="1605" t="s">
        <v>986</v>
      </c>
      <c r="FK19" s="1605">
        <v>0.99757630802830899</v>
      </c>
      <c r="FL19" s="1605">
        <v>1.1390148314912005</v>
      </c>
      <c r="FM19" s="1605" t="s">
        <v>986</v>
      </c>
      <c r="FN19" s="1605">
        <v>1.7923107746461753</v>
      </c>
      <c r="FO19" s="1605">
        <v>1.4516944608280948</v>
      </c>
      <c r="FP19" s="1605" t="s">
        <v>986</v>
      </c>
      <c r="FQ19" s="1605" t="s">
        <v>986</v>
      </c>
      <c r="FR19" s="1605" t="s">
        <v>986</v>
      </c>
      <c r="FS19" s="1605" t="s">
        <v>986</v>
      </c>
      <c r="FT19" s="1605" t="s">
        <v>986</v>
      </c>
      <c r="FU19" s="1605" t="s">
        <v>986</v>
      </c>
      <c r="FV19" s="1605" t="s">
        <v>986</v>
      </c>
      <c r="FW19" s="1605" t="s">
        <v>986</v>
      </c>
      <c r="FX19" s="1605" t="s">
        <v>986</v>
      </c>
      <c r="FY19" s="1605" t="s">
        <v>986</v>
      </c>
      <c r="FZ19" s="1605" t="s">
        <v>986</v>
      </c>
      <c r="GA19" s="1605">
        <v>6.3153946025400781E-2</v>
      </c>
      <c r="GB19" s="1605">
        <v>0.21712700921569822</v>
      </c>
      <c r="GC19" s="1605">
        <v>1.2885841094207739E-2</v>
      </c>
      <c r="GD19" s="1605">
        <v>0.22000399695919637</v>
      </c>
      <c r="GE19" s="1605">
        <v>0.50834118100646331</v>
      </c>
      <c r="GF19" s="1605">
        <v>5.7629506141664649E-2</v>
      </c>
      <c r="GG19" s="1605" t="s">
        <v>986</v>
      </c>
      <c r="GH19" s="1605">
        <v>4.5322638354079823</v>
      </c>
      <c r="GI19" s="1605">
        <v>0.51493039616685554</v>
      </c>
      <c r="GJ19" s="1605">
        <v>1.2633254619153587</v>
      </c>
      <c r="GK19" s="1605">
        <v>4.1385865821367043</v>
      </c>
      <c r="GL19" s="1605" t="s">
        <v>986</v>
      </c>
      <c r="GM19" s="1605" t="s">
        <v>986</v>
      </c>
      <c r="GN19" s="1605" t="s">
        <v>3027</v>
      </c>
      <c r="GO19" s="1605" t="s">
        <v>3027</v>
      </c>
      <c r="GP19" s="1605" t="s">
        <v>3027</v>
      </c>
      <c r="GQ19" s="1605" t="s">
        <v>3027</v>
      </c>
      <c r="GR19" s="1605" t="s">
        <v>3026</v>
      </c>
      <c r="GS19" s="1605" t="s">
        <v>3027</v>
      </c>
      <c r="GT19" s="1605" t="s">
        <v>3027</v>
      </c>
      <c r="GU19" s="1605" t="s">
        <v>3026</v>
      </c>
      <c r="GV19" s="1605" t="s">
        <v>3027</v>
      </c>
      <c r="GW19" s="1605" t="s">
        <v>3027</v>
      </c>
      <c r="GX19" s="1605" t="s">
        <v>3027</v>
      </c>
      <c r="GY19" s="1605" t="s">
        <v>3027</v>
      </c>
      <c r="GZ19" s="1605" t="s">
        <v>3027</v>
      </c>
      <c r="HA19" s="1605" t="s">
        <v>3027</v>
      </c>
      <c r="HB19" s="1605" t="s">
        <v>3026</v>
      </c>
      <c r="HC19" s="1605" t="s">
        <v>3027</v>
      </c>
      <c r="HD19" s="1605" t="s">
        <v>3027</v>
      </c>
      <c r="HE19" s="1605" t="s">
        <v>3027</v>
      </c>
      <c r="HF19" s="1605" t="s">
        <v>3027</v>
      </c>
      <c r="HG19" s="1605" t="s">
        <v>3027</v>
      </c>
      <c r="HH19" s="1605" t="s">
        <v>3027</v>
      </c>
      <c r="HI19" s="1605" t="s">
        <v>3027</v>
      </c>
      <c r="HJ19" s="1605" t="s">
        <v>3027</v>
      </c>
      <c r="HK19" s="1605" t="s">
        <v>3027</v>
      </c>
      <c r="HL19" s="1605" t="s">
        <v>1578</v>
      </c>
      <c r="HM19" s="1605" t="s">
        <v>3027</v>
      </c>
      <c r="HN19" s="1605" t="s">
        <v>3027</v>
      </c>
      <c r="HO19" s="1605" t="s">
        <v>986</v>
      </c>
      <c r="HP19" s="1605" t="s">
        <v>3027</v>
      </c>
      <c r="HQ19" s="1605" t="s">
        <v>3027</v>
      </c>
      <c r="HR19" s="1605" t="s">
        <v>3027</v>
      </c>
      <c r="HS19" s="1605" t="s">
        <v>3027</v>
      </c>
      <c r="HT19" s="1605" t="s">
        <v>3026</v>
      </c>
      <c r="HU19" s="1605" t="s">
        <v>3026</v>
      </c>
      <c r="HV19" s="1617"/>
      <c r="HW19" s="1617" t="s">
        <v>3694</v>
      </c>
      <c r="HX19" s="1617" t="s">
        <v>3686</v>
      </c>
      <c r="HY19" s="1617" t="s">
        <v>3685</v>
      </c>
      <c r="HZ19" s="1603"/>
      <c r="IA19" s="1603"/>
      <c r="IB19" s="1603"/>
      <c r="IC19" s="1603">
        <v>55.837398373983703</v>
      </c>
      <c r="ID19" s="1603">
        <v>56.764227642276403</v>
      </c>
      <c r="IE19" s="1603">
        <v>57.536585365853703</v>
      </c>
      <c r="IF19" s="1603">
        <v>58</v>
      </c>
      <c r="IG19" s="1611" t="s">
        <v>3683</v>
      </c>
      <c r="IH19" s="1616" t="s">
        <v>3711</v>
      </c>
      <c r="II19" s="1615" t="s">
        <v>274</v>
      </c>
      <c r="IJ19" s="1613">
        <v>0.41826136363636363</v>
      </c>
      <c r="IK19" s="1613">
        <v>0.41826136363636363</v>
      </c>
      <c r="IL19" s="1614">
        <v>0.41826136363636363</v>
      </c>
      <c r="IM19" s="1614">
        <v>0.41826136363636363</v>
      </c>
      <c r="IN19" s="1612">
        <v>0.52200000000000002</v>
      </c>
      <c r="IO19" s="1613">
        <v>0.10373863636363639</v>
      </c>
      <c r="IP19" s="1607" t="s">
        <v>270</v>
      </c>
      <c r="IQ19" s="1612">
        <v>2.2000000000000002</v>
      </c>
      <c r="IR19" s="1612">
        <v>0.154</v>
      </c>
      <c r="IS19" s="1607">
        <v>0.41426136363636362</v>
      </c>
      <c r="IT19" s="1607">
        <v>0.41426136363636362</v>
      </c>
      <c r="IU19" s="1611">
        <v>1.1363636363636365E-5</v>
      </c>
      <c r="IV19" s="1611">
        <v>1.0568181818181818E-3</v>
      </c>
      <c r="IW19" s="1611">
        <v>7.8409090909090898E-4</v>
      </c>
      <c r="IX19" s="1611">
        <v>1.0909090909090907E-3</v>
      </c>
      <c r="IY19" s="1611">
        <v>7.9545454545454537E-4</v>
      </c>
      <c r="IZ19" s="1611">
        <v>8.0340909090909091E-3</v>
      </c>
      <c r="JA19" s="1611">
        <v>1.8181818181818183E-4</v>
      </c>
      <c r="JB19" s="1611" t="s">
        <v>270</v>
      </c>
      <c r="JC19" s="1611">
        <v>6.9750000000000006E-2</v>
      </c>
      <c r="JD19" s="1611">
        <v>1.9772727272727273E-3</v>
      </c>
      <c r="JE19" s="1611" t="s">
        <v>270</v>
      </c>
      <c r="JF19" s="1611">
        <v>2.5000000000000001E-4</v>
      </c>
      <c r="JG19" s="1611">
        <v>4.3789545454545458</v>
      </c>
      <c r="JH19" s="1611">
        <v>2.2727272727272727E-4</v>
      </c>
      <c r="JI19" s="1611">
        <v>4.7829545454545458E-2</v>
      </c>
      <c r="JJ19" s="1611" t="s">
        <v>270</v>
      </c>
      <c r="JK19" s="1607">
        <f t="shared" si="9"/>
        <v>4.0000000000000036E-3</v>
      </c>
      <c r="JL19" s="1608" t="s">
        <v>270</v>
      </c>
      <c r="JM19" s="1610" t="s">
        <v>2924</v>
      </c>
      <c r="JN19" s="1608">
        <v>0</v>
      </c>
      <c r="JO19" s="1609" t="s">
        <v>2923</v>
      </c>
      <c r="JP19" s="1608" t="s">
        <v>270</v>
      </c>
      <c r="JQ19" s="1607">
        <v>202103</v>
      </c>
      <c r="JR19" s="1606">
        <v>15</v>
      </c>
      <c r="JS19" s="1606">
        <v>22</v>
      </c>
      <c r="JT19" s="1606">
        <v>22</v>
      </c>
    </row>
    <row r="20" spans="1:280" ht="15" customHeight="1" x14ac:dyDescent="0.2">
      <c r="A20" s="1626">
        <v>50510</v>
      </c>
      <c r="B20" s="1625">
        <v>505</v>
      </c>
      <c r="C20" s="1624">
        <v>10</v>
      </c>
      <c r="D20" s="1623" t="s">
        <v>3717</v>
      </c>
      <c r="E20" s="1622">
        <v>44497</v>
      </c>
      <c r="F20" s="1620">
        <v>1.0144022454510258</v>
      </c>
      <c r="G20" s="1620">
        <v>1.0197844215213356</v>
      </c>
      <c r="H20" s="1621">
        <v>83.6</v>
      </c>
      <c r="I20" s="1621">
        <v>77.5</v>
      </c>
      <c r="J20" s="1621">
        <v>90</v>
      </c>
      <c r="K20" s="1620">
        <v>1</v>
      </c>
      <c r="L20" s="1620">
        <v>85</v>
      </c>
      <c r="M20" s="1620">
        <v>9.3000000000000007</v>
      </c>
      <c r="N20" s="1620">
        <v>2.6</v>
      </c>
      <c r="O20" s="1620">
        <v>1.8</v>
      </c>
      <c r="P20" s="1620">
        <v>4.5999999999999996</v>
      </c>
      <c r="Q20" s="1603"/>
      <c r="R20" s="1620">
        <v>74.658842396313375</v>
      </c>
      <c r="S20" s="1620">
        <v>30</v>
      </c>
      <c r="T20" s="1620">
        <v>41.382113821138198</v>
      </c>
      <c r="U20" s="1620">
        <v>45.934959349593498</v>
      </c>
      <c r="V20" s="1620">
        <v>50.032520325203301</v>
      </c>
      <c r="W20" s="1620">
        <v>52.764227642276403</v>
      </c>
      <c r="X20" s="1620"/>
      <c r="Y20" s="1620">
        <v>0.65882352941176481</v>
      </c>
      <c r="Z20" s="1620">
        <v>3.1764705882352939</v>
      </c>
      <c r="AA20" s="1620">
        <v>0.12941176470588237</v>
      </c>
      <c r="AB20" s="1620">
        <v>1.8117647058823529</v>
      </c>
      <c r="AC20" s="1620">
        <v>5.2823529411764705</v>
      </c>
      <c r="AD20" s="1620">
        <v>1.0705882352941176</v>
      </c>
      <c r="AE20" s="1620">
        <v>1.3058823529411767</v>
      </c>
      <c r="AF20" s="1620">
        <v>41.235294117647051</v>
      </c>
      <c r="AG20" s="1620">
        <v>2.8588235294117652</v>
      </c>
      <c r="AH20" s="1620">
        <v>15.576470588235294</v>
      </c>
      <c r="AI20" s="1620">
        <v>26.952941176470588</v>
      </c>
      <c r="AJ20" s="1620">
        <v>0</v>
      </c>
      <c r="AK20" s="1620">
        <v>0.04</v>
      </c>
      <c r="AL20" s="1620"/>
      <c r="AM20" s="1620">
        <v>3.8095294117647054</v>
      </c>
      <c r="AN20" s="1620">
        <v>1.7132941176470589</v>
      </c>
      <c r="AO20" s="1620">
        <v>2.3969411764705879</v>
      </c>
      <c r="AP20" s="1620">
        <v>3.46035294117647</v>
      </c>
      <c r="AQ20" s="1620">
        <v>1.3351764705882352</v>
      </c>
      <c r="AR20" s="1620">
        <v>3.6268235294117646</v>
      </c>
      <c r="AS20" s="1620">
        <v>6.8864705882352943</v>
      </c>
      <c r="AT20" s="1620">
        <v>2.2927058823529411</v>
      </c>
      <c r="AU20" s="1620">
        <v>4.7972941176470592</v>
      </c>
      <c r="AV20" s="1620">
        <v>3.2088235294117649</v>
      </c>
      <c r="AW20" s="1620">
        <v>5.1335294117647061</v>
      </c>
      <c r="AX20" s="1620"/>
      <c r="AY20" s="1620">
        <v>0.93979435610052697</v>
      </c>
      <c r="AZ20" s="1620">
        <v>1.0798403419017799</v>
      </c>
      <c r="BA20" s="1620">
        <v>1.0298127927627001</v>
      </c>
      <c r="BB20" s="1620">
        <v>0.94986810513779896</v>
      </c>
      <c r="BC20" s="1620">
        <v>0.95982702731759895</v>
      </c>
      <c r="BD20" s="1620">
        <v>0.99997504265898396</v>
      </c>
      <c r="BE20" s="1620">
        <v>1.0099762951134501</v>
      </c>
      <c r="BF20" s="1620">
        <v>0.99991805051374005</v>
      </c>
      <c r="BG20" s="1620">
        <v>1.04015875310616</v>
      </c>
      <c r="BH20" s="1620">
        <v>0.97003899612635003</v>
      </c>
      <c r="BI20" s="1620">
        <v>0.95992732173874296</v>
      </c>
      <c r="BJ20" s="1603"/>
      <c r="BK20" s="1620">
        <v>10.941176470588237</v>
      </c>
      <c r="BL20" s="1620">
        <v>3.0588235294117645</v>
      </c>
      <c r="BM20" s="1620">
        <v>2.1176470588235294</v>
      </c>
      <c r="BN20" s="1620">
        <v>5.4117647058823524</v>
      </c>
      <c r="BO20" s="1620"/>
      <c r="BP20" s="1620">
        <v>120</v>
      </c>
      <c r="BQ20" s="1620">
        <v>36.705882352941174</v>
      </c>
      <c r="BR20" s="1620">
        <v>1.1934144064129715</v>
      </c>
      <c r="BS20" s="1620">
        <v>1.1997463782603948</v>
      </c>
      <c r="BT20" s="1603"/>
      <c r="BU20" s="1620">
        <v>978.82352941176475</v>
      </c>
      <c r="BV20" s="1620">
        <v>603.76369747899162</v>
      </c>
      <c r="BW20" s="1620">
        <v>85.297478991596563</v>
      </c>
      <c r="BX20" s="1620">
        <v>604</v>
      </c>
      <c r="BY20" s="1620">
        <v>21.000000000000004</v>
      </c>
      <c r="BZ20" s="1620">
        <v>56</v>
      </c>
      <c r="CA20" s="1620">
        <v>165</v>
      </c>
      <c r="CB20" s="1603"/>
      <c r="CC20" s="1603">
        <v>0.56000000000000005</v>
      </c>
      <c r="CD20" s="1603">
        <v>2.6999999999999997</v>
      </c>
      <c r="CE20" s="1603">
        <v>0.11</v>
      </c>
      <c r="CF20" s="1603">
        <v>1.54</v>
      </c>
      <c r="CG20" s="1603">
        <v>4.49</v>
      </c>
      <c r="CH20" s="1603">
        <v>0.90999999999999992</v>
      </c>
      <c r="CI20" s="1603">
        <v>1.1100000000000001</v>
      </c>
      <c r="CJ20" s="1603"/>
      <c r="CK20" s="1603">
        <v>35.04999999999999</v>
      </c>
      <c r="CL20" s="1603">
        <v>2.4300000000000002</v>
      </c>
      <c r="CM20" s="1603">
        <v>13.24</v>
      </c>
      <c r="CN20" s="1603">
        <v>22.91</v>
      </c>
      <c r="CO20" s="1603">
        <v>0</v>
      </c>
      <c r="CP20" s="1603">
        <v>3.4000000000000002E-2</v>
      </c>
      <c r="CQ20" s="1603">
        <v>69.432723428571435</v>
      </c>
      <c r="CR20" s="1603">
        <v>68.446933886369806</v>
      </c>
      <c r="CS20" s="1603">
        <v>2.4505194954635079</v>
      </c>
      <c r="CT20" s="1603">
        <v>1.2663258447243149</v>
      </c>
      <c r="CU20" s="1603">
        <v>1.689544586301498</v>
      </c>
      <c r="CV20" s="1603">
        <v>2.9558704310258128</v>
      </c>
      <c r="CW20" s="1603">
        <v>2.2497678216827959</v>
      </c>
      <c r="CX20" s="1603">
        <v>0.87717378429890402</v>
      </c>
      <c r="CY20" s="1603">
        <v>2.4823875480129645</v>
      </c>
      <c r="CZ20" s="1603">
        <v>4.7606020155090132</v>
      </c>
      <c r="DA20" s="1603">
        <v>1.5691582772494594</v>
      </c>
      <c r="DB20" s="1603">
        <v>3.4154660441779732</v>
      </c>
      <c r="DC20" s="1603">
        <v>2.1305367289191577</v>
      </c>
      <c r="DD20" s="1603">
        <v>5.5460027730971309</v>
      </c>
      <c r="DE20" s="1603">
        <v>3.3729383704408078</v>
      </c>
      <c r="DF20" s="1603">
        <v>0</v>
      </c>
      <c r="DG20" s="1603">
        <v>0</v>
      </c>
      <c r="DH20" s="1603">
        <v>0</v>
      </c>
      <c r="DI20" s="1603">
        <v>0</v>
      </c>
      <c r="DJ20" s="1603">
        <v>0</v>
      </c>
      <c r="DK20" s="1603">
        <v>0</v>
      </c>
      <c r="DL20" s="1603">
        <v>0</v>
      </c>
      <c r="DM20" s="1603">
        <v>0</v>
      </c>
      <c r="DN20" s="1603">
        <v>0</v>
      </c>
      <c r="DO20" s="1603">
        <v>0</v>
      </c>
      <c r="DP20" s="1603">
        <v>0</v>
      </c>
      <c r="DQ20" s="1603">
        <v>0</v>
      </c>
      <c r="DR20" s="1603">
        <v>0</v>
      </c>
      <c r="DS20" s="1603">
        <v>0</v>
      </c>
      <c r="DT20" s="1603">
        <v>0</v>
      </c>
      <c r="DU20" s="1603">
        <v>0</v>
      </c>
      <c r="DV20" s="1603">
        <v>0</v>
      </c>
      <c r="DW20" s="1618" t="s">
        <v>3688</v>
      </c>
      <c r="DX20" s="1605">
        <v>43</v>
      </c>
      <c r="DY20" s="1605">
        <v>43</v>
      </c>
      <c r="DZ20" s="1605">
        <v>22</v>
      </c>
      <c r="EA20" s="1605">
        <v>22</v>
      </c>
      <c r="EB20" s="1605" t="s">
        <v>986</v>
      </c>
      <c r="EC20" s="1605">
        <v>22</v>
      </c>
      <c r="ED20" s="1605">
        <v>22</v>
      </c>
      <c r="EE20" s="1605">
        <v>35</v>
      </c>
      <c r="EF20" s="1605">
        <v>22</v>
      </c>
      <c r="EG20" s="1605">
        <v>22</v>
      </c>
      <c r="EH20" s="1605" t="s">
        <v>986</v>
      </c>
      <c r="EI20" s="1605" t="s">
        <v>986</v>
      </c>
      <c r="EJ20" s="1605" t="s">
        <v>986</v>
      </c>
      <c r="EK20" s="1605" t="s">
        <v>986</v>
      </c>
      <c r="EL20" s="1605" t="s">
        <v>986</v>
      </c>
      <c r="EM20" s="1605" t="s">
        <v>986</v>
      </c>
      <c r="EN20" s="1605" t="s">
        <v>986</v>
      </c>
      <c r="EO20" s="1605" t="s">
        <v>986</v>
      </c>
      <c r="EP20" s="1605" t="s">
        <v>986</v>
      </c>
      <c r="EQ20" s="1605" t="s">
        <v>986</v>
      </c>
      <c r="ER20" s="1605" t="s">
        <v>986</v>
      </c>
      <c r="ES20" s="1605">
        <v>22</v>
      </c>
      <c r="ET20" s="1605">
        <v>43</v>
      </c>
      <c r="EU20" s="1605">
        <v>21</v>
      </c>
      <c r="EV20" s="1605">
        <v>7</v>
      </c>
      <c r="EW20" s="1605">
        <v>21</v>
      </c>
      <c r="EX20" s="1605">
        <v>21</v>
      </c>
      <c r="EY20" s="1605" t="s">
        <v>986</v>
      </c>
      <c r="EZ20" s="1605">
        <v>21</v>
      </c>
      <c r="FA20" s="1605">
        <v>21</v>
      </c>
      <c r="FB20" s="1605">
        <v>21</v>
      </c>
      <c r="FC20" s="1605">
        <v>20</v>
      </c>
      <c r="FD20" s="1605" t="s">
        <v>986</v>
      </c>
      <c r="FE20" s="1605" t="s">
        <v>986</v>
      </c>
      <c r="FF20" s="1605">
        <v>1.6871969191755023</v>
      </c>
      <c r="FG20" s="1605">
        <v>0.54321685399630448</v>
      </c>
      <c r="FH20" s="1605">
        <v>0.21463607254821174</v>
      </c>
      <c r="FI20" s="1605">
        <v>0.19883985691310133</v>
      </c>
      <c r="FJ20" s="1605" t="s">
        <v>986</v>
      </c>
      <c r="FK20" s="1605">
        <v>0.99757630802830899</v>
      </c>
      <c r="FL20" s="1605">
        <v>1.1390148314912005</v>
      </c>
      <c r="FM20" s="1605" t="s">
        <v>986</v>
      </c>
      <c r="FN20" s="1605">
        <v>1.7923107746461753</v>
      </c>
      <c r="FO20" s="1605">
        <v>1.4516944608280948</v>
      </c>
      <c r="FP20" s="1605" t="s">
        <v>986</v>
      </c>
      <c r="FQ20" s="1605" t="s">
        <v>986</v>
      </c>
      <c r="FR20" s="1605" t="s">
        <v>986</v>
      </c>
      <c r="FS20" s="1605" t="s">
        <v>986</v>
      </c>
      <c r="FT20" s="1605" t="s">
        <v>986</v>
      </c>
      <c r="FU20" s="1605" t="s">
        <v>986</v>
      </c>
      <c r="FV20" s="1605" t="s">
        <v>986</v>
      </c>
      <c r="FW20" s="1605" t="s">
        <v>986</v>
      </c>
      <c r="FX20" s="1605" t="s">
        <v>986</v>
      </c>
      <c r="FY20" s="1605" t="s">
        <v>986</v>
      </c>
      <c r="FZ20" s="1605" t="s">
        <v>986</v>
      </c>
      <c r="GA20" s="1605">
        <v>6.3153946025400781E-2</v>
      </c>
      <c r="GB20" s="1605">
        <v>0.21712700921569822</v>
      </c>
      <c r="GC20" s="1605">
        <v>1.2885841094207739E-2</v>
      </c>
      <c r="GD20" s="1605">
        <v>0.22000399695919637</v>
      </c>
      <c r="GE20" s="1605">
        <v>0.50834118100646331</v>
      </c>
      <c r="GF20" s="1605">
        <v>5.7629506141664649E-2</v>
      </c>
      <c r="GG20" s="1605" t="s">
        <v>986</v>
      </c>
      <c r="GH20" s="1605">
        <v>4.5322638354079823</v>
      </c>
      <c r="GI20" s="1605">
        <v>0.51493039616685554</v>
      </c>
      <c r="GJ20" s="1605">
        <v>1.2633254619153587</v>
      </c>
      <c r="GK20" s="1605">
        <v>4.1385865821367043</v>
      </c>
      <c r="GL20" s="1605" t="s">
        <v>986</v>
      </c>
      <c r="GM20" s="1605" t="s">
        <v>986</v>
      </c>
      <c r="GN20" s="1605" t="s">
        <v>3027</v>
      </c>
      <c r="GO20" s="1605" t="s">
        <v>3027</v>
      </c>
      <c r="GP20" s="1605" t="s">
        <v>3027</v>
      </c>
      <c r="GQ20" s="1605" t="s">
        <v>3027</v>
      </c>
      <c r="GR20" s="1605" t="s">
        <v>3026</v>
      </c>
      <c r="GS20" s="1605" t="s">
        <v>3027</v>
      </c>
      <c r="GT20" s="1605" t="s">
        <v>3027</v>
      </c>
      <c r="GU20" s="1605" t="s">
        <v>3026</v>
      </c>
      <c r="GV20" s="1605" t="s">
        <v>3027</v>
      </c>
      <c r="GW20" s="1605" t="s">
        <v>3027</v>
      </c>
      <c r="GX20" s="1605" t="s">
        <v>3027</v>
      </c>
      <c r="GY20" s="1605" t="s">
        <v>3027</v>
      </c>
      <c r="GZ20" s="1605" t="s">
        <v>3027</v>
      </c>
      <c r="HA20" s="1605" t="s">
        <v>3027</v>
      </c>
      <c r="HB20" s="1605" t="s">
        <v>3026</v>
      </c>
      <c r="HC20" s="1605" t="s">
        <v>3027</v>
      </c>
      <c r="HD20" s="1605" t="s">
        <v>3027</v>
      </c>
      <c r="HE20" s="1605" t="s">
        <v>3027</v>
      </c>
      <c r="HF20" s="1605" t="s">
        <v>3027</v>
      </c>
      <c r="HG20" s="1605" t="s">
        <v>3027</v>
      </c>
      <c r="HH20" s="1605" t="s">
        <v>3027</v>
      </c>
      <c r="HI20" s="1605" t="s">
        <v>3027</v>
      </c>
      <c r="HJ20" s="1605" t="s">
        <v>3027</v>
      </c>
      <c r="HK20" s="1605" t="s">
        <v>3027</v>
      </c>
      <c r="HL20" s="1605" t="s">
        <v>1578</v>
      </c>
      <c r="HM20" s="1605" t="s">
        <v>3027</v>
      </c>
      <c r="HN20" s="1605" t="s">
        <v>3027</v>
      </c>
      <c r="HO20" s="1605" t="s">
        <v>986</v>
      </c>
      <c r="HP20" s="1605" t="s">
        <v>3027</v>
      </c>
      <c r="HQ20" s="1605" t="s">
        <v>3027</v>
      </c>
      <c r="HR20" s="1605" t="s">
        <v>3027</v>
      </c>
      <c r="HS20" s="1605" t="s">
        <v>3027</v>
      </c>
      <c r="HT20" s="1605" t="s">
        <v>3026</v>
      </c>
      <c r="HU20" s="1605" t="s">
        <v>3026</v>
      </c>
      <c r="HV20" s="1617"/>
      <c r="HW20" s="1617" t="s">
        <v>3694</v>
      </c>
      <c r="HX20" s="1617" t="s">
        <v>3686</v>
      </c>
      <c r="HY20" s="1617" t="s">
        <v>3685</v>
      </c>
      <c r="HZ20" s="1603"/>
      <c r="IA20" s="1603"/>
      <c r="IB20" s="1603"/>
      <c r="IC20" s="1603">
        <v>54.8130081300813</v>
      </c>
      <c r="ID20" s="1603">
        <v>56.178861788617901</v>
      </c>
      <c r="IE20" s="1603">
        <v>57.317073170731703</v>
      </c>
      <c r="IF20" s="1603">
        <v>58</v>
      </c>
      <c r="IG20" s="1611" t="s">
        <v>3683</v>
      </c>
      <c r="IH20" s="1616" t="s">
        <v>3711</v>
      </c>
      <c r="II20" s="1615" t="s">
        <v>274</v>
      </c>
      <c r="IJ20" s="1613">
        <v>0.41826136363636363</v>
      </c>
      <c r="IK20" s="1613">
        <v>0.41826136363636363</v>
      </c>
      <c r="IL20" s="1614">
        <v>0.41826136363636363</v>
      </c>
      <c r="IM20" s="1614">
        <v>0.41826136363636363</v>
      </c>
      <c r="IN20" s="1612">
        <v>0.52200000000000002</v>
      </c>
      <c r="IO20" s="1613">
        <v>0.10373863636363639</v>
      </c>
      <c r="IP20" s="1607" t="s">
        <v>270</v>
      </c>
      <c r="IQ20" s="1612">
        <v>2.2000000000000002</v>
      </c>
      <c r="IR20" s="1612">
        <v>0.154</v>
      </c>
      <c r="IS20" s="1607">
        <v>0.41426136363636362</v>
      </c>
      <c r="IT20" s="1607">
        <v>0.41426136363636362</v>
      </c>
      <c r="IU20" s="1611">
        <v>1.1363636363636365E-5</v>
      </c>
      <c r="IV20" s="1611">
        <v>1.0568181818181818E-3</v>
      </c>
      <c r="IW20" s="1611">
        <v>7.8409090909090898E-4</v>
      </c>
      <c r="IX20" s="1611">
        <v>1.0909090909090907E-3</v>
      </c>
      <c r="IY20" s="1611">
        <v>7.9545454545454537E-4</v>
      </c>
      <c r="IZ20" s="1611">
        <v>8.0340909090909091E-3</v>
      </c>
      <c r="JA20" s="1611">
        <v>1.8181818181818183E-4</v>
      </c>
      <c r="JB20" s="1611" t="s">
        <v>270</v>
      </c>
      <c r="JC20" s="1611">
        <v>6.9750000000000006E-2</v>
      </c>
      <c r="JD20" s="1611">
        <v>1.9772727272727273E-3</v>
      </c>
      <c r="JE20" s="1611" t="s">
        <v>270</v>
      </c>
      <c r="JF20" s="1611">
        <v>2.5000000000000001E-4</v>
      </c>
      <c r="JG20" s="1611">
        <v>4.3789545454545458</v>
      </c>
      <c r="JH20" s="1611">
        <v>2.2727272727272727E-4</v>
      </c>
      <c r="JI20" s="1611">
        <v>4.7829545454545458E-2</v>
      </c>
      <c r="JJ20" s="1611" t="s">
        <v>270</v>
      </c>
      <c r="JK20" s="1607">
        <f t="shared" si="9"/>
        <v>4.0000000000000036E-3</v>
      </c>
      <c r="JL20" s="1608" t="s">
        <v>270</v>
      </c>
      <c r="JM20" s="1610" t="s">
        <v>2924</v>
      </c>
      <c r="JN20" s="1608">
        <v>0</v>
      </c>
      <c r="JO20" s="1609" t="s">
        <v>2923</v>
      </c>
      <c r="JP20" s="1608" t="s">
        <v>270</v>
      </c>
      <c r="JQ20" s="1607">
        <v>202103</v>
      </c>
      <c r="JR20" s="1606">
        <v>15</v>
      </c>
      <c r="JS20" s="1606">
        <v>22</v>
      </c>
      <c r="JT20" s="1606">
        <v>22</v>
      </c>
    </row>
    <row r="21" spans="1:280" ht="15" customHeight="1" x14ac:dyDescent="0.2">
      <c r="A21" s="1626">
        <v>50511</v>
      </c>
      <c r="B21" s="1625">
        <v>505</v>
      </c>
      <c r="C21" s="1624">
        <v>11</v>
      </c>
      <c r="D21" s="1623" t="s">
        <v>3716</v>
      </c>
      <c r="E21" s="1622">
        <v>44497</v>
      </c>
      <c r="F21" s="1620">
        <v>1.0204417344173442</v>
      </c>
      <c r="G21" s="1620">
        <v>1.0240293194805197</v>
      </c>
      <c r="H21" s="1621">
        <v>83.6</v>
      </c>
      <c r="I21" s="1621">
        <v>78</v>
      </c>
      <c r="J21" s="1621">
        <v>90</v>
      </c>
      <c r="K21" s="1620">
        <v>1</v>
      </c>
      <c r="L21" s="1620">
        <v>85</v>
      </c>
      <c r="M21" s="1620">
        <v>9.3000000000000007</v>
      </c>
      <c r="N21" s="1620">
        <v>2.6</v>
      </c>
      <c r="O21" s="1620">
        <v>1.8</v>
      </c>
      <c r="P21" s="1620">
        <v>4.5999999999999996</v>
      </c>
      <c r="Q21" s="1603"/>
      <c r="R21" s="1620">
        <v>75.0805935483871</v>
      </c>
      <c r="S21" s="1620">
        <v>30</v>
      </c>
      <c r="T21" s="1620">
        <v>41.382113821138198</v>
      </c>
      <c r="U21" s="1620">
        <v>45.934959349593498</v>
      </c>
      <c r="V21" s="1620">
        <v>50.032520325203301</v>
      </c>
      <c r="W21" s="1620">
        <v>52.764227642276403</v>
      </c>
      <c r="X21" s="1620"/>
      <c r="Y21" s="1620">
        <v>0.65882352941176481</v>
      </c>
      <c r="Z21" s="1620">
        <v>3.1764705882352939</v>
      </c>
      <c r="AA21" s="1620">
        <v>0.12941176470588237</v>
      </c>
      <c r="AB21" s="1620">
        <v>1.8117647058823529</v>
      </c>
      <c r="AC21" s="1620">
        <v>5.2823529411764705</v>
      </c>
      <c r="AD21" s="1620">
        <v>1.0705882352941176</v>
      </c>
      <c r="AE21" s="1620">
        <v>1.3058823529411767</v>
      </c>
      <c r="AF21" s="1620">
        <v>41.235294117647051</v>
      </c>
      <c r="AG21" s="1620">
        <v>2.8588235294117652</v>
      </c>
      <c r="AH21" s="1620">
        <v>15.576470588235294</v>
      </c>
      <c r="AI21" s="1620">
        <v>26.952941176470588</v>
      </c>
      <c r="AJ21" s="1620">
        <v>0</v>
      </c>
      <c r="AK21" s="1620">
        <v>0.04</v>
      </c>
      <c r="AL21" s="1620"/>
      <c r="AM21" s="1620">
        <v>3.8095294117647054</v>
      </c>
      <c r="AN21" s="1620">
        <v>1.7132941176470589</v>
      </c>
      <c r="AO21" s="1620">
        <v>2.3969411764705879</v>
      </c>
      <c r="AP21" s="1620">
        <v>3.46035294117647</v>
      </c>
      <c r="AQ21" s="1620">
        <v>1.3351764705882352</v>
      </c>
      <c r="AR21" s="1620">
        <v>3.6268235294117646</v>
      </c>
      <c r="AS21" s="1620">
        <v>6.8864705882352943</v>
      </c>
      <c r="AT21" s="1620">
        <v>2.2927058823529411</v>
      </c>
      <c r="AU21" s="1620">
        <v>4.7972941176470592</v>
      </c>
      <c r="AV21" s="1620">
        <v>3.2088235294117649</v>
      </c>
      <c r="AW21" s="1620">
        <v>5.1335294117647061</v>
      </c>
      <c r="AX21" s="1620"/>
      <c r="AY21" s="1620">
        <v>0.93979435610052697</v>
      </c>
      <c r="AZ21" s="1620">
        <v>1.0798403419017799</v>
      </c>
      <c r="BA21" s="1620">
        <v>1.0298127927627001</v>
      </c>
      <c r="BB21" s="1620">
        <v>0.94986810513779896</v>
      </c>
      <c r="BC21" s="1620">
        <v>0.95982702731759895</v>
      </c>
      <c r="BD21" s="1620">
        <v>0.99997504265898396</v>
      </c>
      <c r="BE21" s="1620">
        <v>1.0099762951134501</v>
      </c>
      <c r="BF21" s="1620">
        <v>0.99991805051374005</v>
      </c>
      <c r="BG21" s="1620">
        <v>1.04015875310616</v>
      </c>
      <c r="BH21" s="1620">
        <v>0.97003899612635003</v>
      </c>
      <c r="BI21" s="1620">
        <v>0.95992732173874296</v>
      </c>
      <c r="BJ21" s="1603"/>
      <c r="BK21" s="1620">
        <v>10.941176470588237</v>
      </c>
      <c r="BL21" s="1620">
        <v>3.0588235294117645</v>
      </c>
      <c r="BM21" s="1620">
        <v>2.1176470588235294</v>
      </c>
      <c r="BN21" s="1620">
        <v>5.4117647058823524</v>
      </c>
      <c r="BO21" s="1620"/>
      <c r="BP21" s="1620">
        <v>120</v>
      </c>
      <c r="BQ21" s="1620">
        <v>36.705882352941174</v>
      </c>
      <c r="BR21" s="1620">
        <v>1.2005196875498167</v>
      </c>
      <c r="BS21" s="1620">
        <v>1.2047403758594348</v>
      </c>
      <c r="BT21" s="1603"/>
      <c r="BU21" s="1620">
        <v>978.82352941176475</v>
      </c>
      <c r="BV21" s="1620">
        <v>610.75529411764705</v>
      </c>
      <c r="BW21" s="1620">
        <v>78.305882352941111</v>
      </c>
      <c r="BX21" s="1620">
        <v>604</v>
      </c>
      <c r="BY21" s="1620">
        <v>21.000000000000004</v>
      </c>
      <c r="BZ21" s="1620">
        <v>56</v>
      </c>
      <c r="CA21" s="1620">
        <v>165</v>
      </c>
      <c r="CB21" s="1603"/>
      <c r="CC21" s="1603">
        <v>0.56000000000000005</v>
      </c>
      <c r="CD21" s="1603">
        <v>2.6999999999999997</v>
      </c>
      <c r="CE21" s="1603">
        <v>0.11</v>
      </c>
      <c r="CF21" s="1603">
        <v>1.54</v>
      </c>
      <c r="CG21" s="1603">
        <v>4.49</v>
      </c>
      <c r="CH21" s="1603">
        <v>0.90999999999999992</v>
      </c>
      <c r="CI21" s="1603">
        <v>1.1100000000000001</v>
      </c>
      <c r="CJ21" s="1603"/>
      <c r="CK21" s="1603">
        <v>35.04999999999999</v>
      </c>
      <c r="CL21" s="1603">
        <v>2.4300000000000002</v>
      </c>
      <c r="CM21" s="1603">
        <v>13.24</v>
      </c>
      <c r="CN21" s="1603">
        <v>22.91</v>
      </c>
      <c r="CO21" s="1603">
        <v>0</v>
      </c>
      <c r="CP21" s="1603">
        <v>3.4000000000000002E-2</v>
      </c>
      <c r="CQ21" s="1603">
        <v>69.824951999999996</v>
      </c>
      <c r="CR21" s="1603">
        <v>68.42620175650589</v>
      </c>
      <c r="CS21" s="1603">
        <v>2.4497772490905976</v>
      </c>
      <c r="CT21" s="1603">
        <v>1.2659422828849132</v>
      </c>
      <c r="CU21" s="1603">
        <v>1.6890328342655014</v>
      </c>
      <c r="CV21" s="1603">
        <v>2.9549751171504148</v>
      </c>
      <c r="CW21" s="1603">
        <v>2.2490863816825728</v>
      </c>
      <c r="CX21" s="1603">
        <v>0.87690809408055936</v>
      </c>
      <c r="CY21" s="1603">
        <v>2.4816356490147795</v>
      </c>
      <c r="CZ21" s="1603">
        <v>4.7591600602071171</v>
      </c>
      <c r="DA21" s="1603">
        <v>1.5686829894413163</v>
      </c>
      <c r="DB21" s="1603">
        <v>3.4144315217888295</v>
      </c>
      <c r="DC21" s="1603">
        <v>2.1298914032393088</v>
      </c>
      <c r="DD21" s="1603">
        <v>5.5443229250281387</v>
      </c>
      <c r="DE21" s="1603">
        <v>3.3719167294066739</v>
      </c>
      <c r="DF21" s="1603">
        <v>0</v>
      </c>
      <c r="DG21" s="1603">
        <v>0</v>
      </c>
      <c r="DH21" s="1603">
        <v>0</v>
      </c>
      <c r="DI21" s="1603">
        <v>0</v>
      </c>
      <c r="DJ21" s="1603">
        <v>0</v>
      </c>
      <c r="DK21" s="1603">
        <v>0</v>
      </c>
      <c r="DL21" s="1603">
        <v>0</v>
      </c>
      <c r="DM21" s="1603">
        <v>0</v>
      </c>
      <c r="DN21" s="1603">
        <v>0</v>
      </c>
      <c r="DO21" s="1603">
        <v>0</v>
      </c>
      <c r="DP21" s="1603">
        <v>0</v>
      </c>
      <c r="DQ21" s="1603">
        <v>0</v>
      </c>
      <c r="DR21" s="1603">
        <v>0</v>
      </c>
      <c r="DS21" s="1603">
        <v>0</v>
      </c>
      <c r="DT21" s="1603">
        <v>0</v>
      </c>
      <c r="DU21" s="1603">
        <v>0</v>
      </c>
      <c r="DV21" s="1603">
        <v>0</v>
      </c>
      <c r="DW21" s="1618" t="s">
        <v>3688</v>
      </c>
      <c r="DX21" s="1605">
        <v>43</v>
      </c>
      <c r="DY21" s="1605">
        <v>43</v>
      </c>
      <c r="DZ21" s="1605">
        <v>22</v>
      </c>
      <c r="EA21" s="1605">
        <v>22</v>
      </c>
      <c r="EB21" s="1605" t="s">
        <v>986</v>
      </c>
      <c r="EC21" s="1605">
        <v>22</v>
      </c>
      <c r="ED21" s="1605">
        <v>22</v>
      </c>
      <c r="EE21" s="1605">
        <v>35</v>
      </c>
      <c r="EF21" s="1605">
        <v>22</v>
      </c>
      <c r="EG21" s="1605">
        <v>22</v>
      </c>
      <c r="EH21" s="1605" t="s">
        <v>986</v>
      </c>
      <c r="EI21" s="1605" t="s">
        <v>986</v>
      </c>
      <c r="EJ21" s="1605" t="s">
        <v>986</v>
      </c>
      <c r="EK21" s="1605" t="s">
        <v>986</v>
      </c>
      <c r="EL21" s="1605" t="s">
        <v>986</v>
      </c>
      <c r="EM21" s="1605" t="s">
        <v>986</v>
      </c>
      <c r="EN21" s="1605" t="s">
        <v>986</v>
      </c>
      <c r="EO21" s="1605" t="s">
        <v>986</v>
      </c>
      <c r="EP21" s="1605" t="s">
        <v>986</v>
      </c>
      <c r="EQ21" s="1605" t="s">
        <v>986</v>
      </c>
      <c r="ER21" s="1605" t="s">
        <v>986</v>
      </c>
      <c r="ES21" s="1605">
        <v>22</v>
      </c>
      <c r="ET21" s="1605">
        <v>43</v>
      </c>
      <c r="EU21" s="1605">
        <v>21</v>
      </c>
      <c r="EV21" s="1605">
        <v>7</v>
      </c>
      <c r="EW21" s="1605">
        <v>21</v>
      </c>
      <c r="EX21" s="1605">
        <v>21</v>
      </c>
      <c r="EY21" s="1605" t="s">
        <v>986</v>
      </c>
      <c r="EZ21" s="1605">
        <v>21</v>
      </c>
      <c r="FA21" s="1605">
        <v>21</v>
      </c>
      <c r="FB21" s="1605">
        <v>21</v>
      </c>
      <c r="FC21" s="1605">
        <v>20</v>
      </c>
      <c r="FD21" s="1605" t="s">
        <v>986</v>
      </c>
      <c r="FE21" s="1605" t="s">
        <v>986</v>
      </c>
      <c r="FF21" s="1605">
        <v>1.6871969191755023</v>
      </c>
      <c r="FG21" s="1605">
        <v>0.54321685399630448</v>
      </c>
      <c r="FH21" s="1605">
        <v>0.21463607254821174</v>
      </c>
      <c r="FI21" s="1605">
        <v>0.19883985691310133</v>
      </c>
      <c r="FJ21" s="1605" t="s">
        <v>986</v>
      </c>
      <c r="FK21" s="1605">
        <v>0.99757630802830899</v>
      </c>
      <c r="FL21" s="1605">
        <v>1.1390148314912005</v>
      </c>
      <c r="FM21" s="1605" t="s">
        <v>986</v>
      </c>
      <c r="FN21" s="1605">
        <v>1.7923107746461753</v>
      </c>
      <c r="FO21" s="1605">
        <v>1.4516944608280948</v>
      </c>
      <c r="FP21" s="1605" t="s">
        <v>986</v>
      </c>
      <c r="FQ21" s="1605" t="s">
        <v>986</v>
      </c>
      <c r="FR21" s="1605" t="s">
        <v>986</v>
      </c>
      <c r="FS21" s="1605" t="s">
        <v>986</v>
      </c>
      <c r="FT21" s="1605" t="s">
        <v>986</v>
      </c>
      <c r="FU21" s="1605" t="s">
        <v>986</v>
      </c>
      <c r="FV21" s="1605" t="s">
        <v>986</v>
      </c>
      <c r="FW21" s="1605" t="s">
        <v>986</v>
      </c>
      <c r="FX21" s="1605" t="s">
        <v>986</v>
      </c>
      <c r="FY21" s="1605" t="s">
        <v>986</v>
      </c>
      <c r="FZ21" s="1605" t="s">
        <v>986</v>
      </c>
      <c r="GA21" s="1605">
        <v>6.3153946025400781E-2</v>
      </c>
      <c r="GB21" s="1605">
        <v>0.21712700921569822</v>
      </c>
      <c r="GC21" s="1605">
        <v>1.2885841094207739E-2</v>
      </c>
      <c r="GD21" s="1605">
        <v>0.22000399695919637</v>
      </c>
      <c r="GE21" s="1605">
        <v>0.50834118100646331</v>
      </c>
      <c r="GF21" s="1605">
        <v>5.7629506141664649E-2</v>
      </c>
      <c r="GG21" s="1605" t="s">
        <v>986</v>
      </c>
      <c r="GH21" s="1605">
        <v>4.5322638354079823</v>
      </c>
      <c r="GI21" s="1605">
        <v>0.51493039616685554</v>
      </c>
      <c r="GJ21" s="1605">
        <v>1.2633254619153587</v>
      </c>
      <c r="GK21" s="1605">
        <v>4.1385865821367043</v>
      </c>
      <c r="GL21" s="1605" t="s">
        <v>986</v>
      </c>
      <c r="GM21" s="1605" t="s">
        <v>986</v>
      </c>
      <c r="GN21" s="1605" t="s">
        <v>3027</v>
      </c>
      <c r="GO21" s="1605" t="s">
        <v>3027</v>
      </c>
      <c r="GP21" s="1605" t="s">
        <v>3027</v>
      </c>
      <c r="GQ21" s="1605" t="s">
        <v>3027</v>
      </c>
      <c r="GR21" s="1605" t="s">
        <v>3026</v>
      </c>
      <c r="GS21" s="1605" t="s">
        <v>3027</v>
      </c>
      <c r="GT21" s="1605" t="s">
        <v>3027</v>
      </c>
      <c r="GU21" s="1605" t="s">
        <v>3026</v>
      </c>
      <c r="GV21" s="1605" t="s">
        <v>3027</v>
      </c>
      <c r="GW21" s="1605" t="s">
        <v>3027</v>
      </c>
      <c r="GX21" s="1605" t="s">
        <v>3027</v>
      </c>
      <c r="GY21" s="1605" t="s">
        <v>3027</v>
      </c>
      <c r="GZ21" s="1605" t="s">
        <v>3027</v>
      </c>
      <c r="HA21" s="1605" t="s">
        <v>3027</v>
      </c>
      <c r="HB21" s="1605" t="s">
        <v>3026</v>
      </c>
      <c r="HC21" s="1605" t="s">
        <v>3027</v>
      </c>
      <c r="HD21" s="1605" t="s">
        <v>3027</v>
      </c>
      <c r="HE21" s="1605" t="s">
        <v>3027</v>
      </c>
      <c r="HF21" s="1605" t="s">
        <v>3027</v>
      </c>
      <c r="HG21" s="1605" t="s">
        <v>3027</v>
      </c>
      <c r="HH21" s="1605" t="s">
        <v>3027</v>
      </c>
      <c r="HI21" s="1605" t="s">
        <v>3027</v>
      </c>
      <c r="HJ21" s="1605" t="s">
        <v>3027</v>
      </c>
      <c r="HK21" s="1605" t="s">
        <v>3027</v>
      </c>
      <c r="HL21" s="1605" t="s">
        <v>1578</v>
      </c>
      <c r="HM21" s="1605" t="s">
        <v>3027</v>
      </c>
      <c r="HN21" s="1605" t="s">
        <v>3027</v>
      </c>
      <c r="HO21" s="1605" t="s">
        <v>986</v>
      </c>
      <c r="HP21" s="1605" t="s">
        <v>3027</v>
      </c>
      <c r="HQ21" s="1605" t="s">
        <v>3027</v>
      </c>
      <c r="HR21" s="1605" t="s">
        <v>3027</v>
      </c>
      <c r="HS21" s="1605" t="s">
        <v>3027</v>
      </c>
      <c r="HT21" s="1605" t="s">
        <v>3026</v>
      </c>
      <c r="HU21" s="1605" t="s">
        <v>3026</v>
      </c>
      <c r="HV21" s="1617"/>
      <c r="HW21" s="1617" t="s">
        <v>3694</v>
      </c>
      <c r="HX21" s="1617" t="s">
        <v>3686</v>
      </c>
      <c r="HY21" s="1617" t="s">
        <v>3685</v>
      </c>
      <c r="HZ21" s="1603"/>
      <c r="IA21" s="1603"/>
      <c r="IB21" s="1603"/>
      <c r="IC21" s="1603">
        <v>54.8130081300813</v>
      </c>
      <c r="ID21" s="1603">
        <v>56.178861788617901</v>
      </c>
      <c r="IE21" s="1603">
        <v>57.317073170731703</v>
      </c>
      <c r="IF21" s="1603">
        <v>58</v>
      </c>
      <c r="IG21" s="1611" t="s">
        <v>3683</v>
      </c>
      <c r="IH21" s="1616" t="s">
        <v>3711</v>
      </c>
      <c r="II21" s="1615" t="s">
        <v>274</v>
      </c>
      <c r="IJ21" s="1613">
        <v>0.41826136363636363</v>
      </c>
      <c r="IK21" s="1613">
        <v>0.41826136363636363</v>
      </c>
      <c r="IL21" s="1614">
        <v>0.41826136363636363</v>
      </c>
      <c r="IM21" s="1614">
        <v>0.41826136363636363</v>
      </c>
      <c r="IN21" s="1612">
        <v>0.52200000000000002</v>
      </c>
      <c r="IO21" s="1613">
        <v>0.10373863636363639</v>
      </c>
      <c r="IP21" s="1607" t="s">
        <v>270</v>
      </c>
      <c r="IQ21" s="1612">
        <v>2.2000000000000002</v>
      </c>
      <c r="IR21" s="1612">
        <v>0.154</v>
      </c>
      <c r="IS21" s="1607">
        <v>0.41426136363636362</v>
      </c>
      <c r="IT21" s="1607">
        <v>0.41426136363636362</v>
      </c>
      <c r="IU21" s="1611">
        <v>1.1363636363636365E-5</v>
      </c>
      <c r="IV21" s="1611">
        <v>1.0568181818181818E-3</v>
      </c>
      <c r="IW21" s="1611">
        <v>7.8409090909090898E-4</v>
      </c>
      <c r="IX21" s="1611">
        <v>1.0909090909090907E-3</v>
      </c>
      <c r="IY21" s="1611">
        <v>7.9545454545454537E-4</v>
      </c>
      <c r="IZ21" s="1611">
        <v>8.0340909090909091E-3</v>
      </c>
      <c r="JA21" s="1611">
        <v>1.8181818181818183E-4</v>
      </c>
      <c r="JB21" s="1611" t="s">
        <v>270</v>
      </c>
      <c r="JC21" s="1611">
        <v>6.9750000000000006E-2</v>
      </c>
      <c r="JD21" s="1611">
        <v>1.9772727272727273E-3</v>
      </c>
      <c r="JE21" s="1611" t="s">
        <v>270</v>
      </c>
      <c r="JF21" s="1611">
        <v>2.5000000000000001E-4</v>
      </c>
      <c r="JG21" s="1611">
        <v>4.3789545454545458</v>
      </c>
      <c r="JH21" s="1611">
        <v>2.2727272727272727E-4</v>
      </c>
      <c r="JI21" s="1611">
        <v>4.7829545454545458E-2</v>
      </c>
      <c r="JJ21" s="1611" t="s">
        <v>270</v>
      </c>
      <c r="JK21" s="1607">
        <f t="shared" si="9"/>
        <v>4.0000000000000036E-3</v>
      </c>
      <c r="JL21" s="1608" t="s">
        <v>270</v>
      </c>
      <c r="JM21" s="1610" t="s">
        <v>2924</v>
      </c>
      <c r="JN21" s="1608">
        <v>0</v>
      </c>
      <c r="JO21" s="1609" t="s">
        <v>2923</v>
      </c>
      <c r="JP21" s="1608" t="s">
        <v>270</v>
      </c>
      <c r="JQ21" s="1607">
        <v>202103</v>
      </c>
      <c r="JR21" s="1606">
        <v>15</v>
      </c>
      <c r="JS21" s="1606">
        <v>22</v>
      </c>
      <c r="JT21" s="1606">
        <v>22</v>
      </c>
    </row>
    <row r="22" spans="1:280" ht="15" customHeight="1" x14ac:dyDescent="0.2">
      <c r="A22" s="1626">
        <v>50400</v>
      </c>
      <c r="B22" s="1625">
        <v>504</v>
      </c>
      <c r="C22" s="1624">
        <v>0</v>
      </c>
      <c r="D22" s="1623" t="s">
        <v>3715</v>
      </c>
      <c r="E22" s="1622">
        <v>44112</v>
      </c>
      <c r="F22" s="1620">
        <v>1.0205023519163765</v>
      </c>
      <c r="G22" s="1620">
        <v>1.027092886827458</v>
      </c>
      <c r="H22" s="1621">
        <v>84.1</v>
      </c>
      <c r="I22" s="1621">
        <v>77.3</v>
      </c>
      <c r="J22" s="1621">
        <v>90</v>
      </c>
      <c r="K22" s="1620">
        <v>1</v>
      </c>
      <c r="L22" s="1620">
        <v>85.2</v>
      </c>
      <c r="M22" s="1620">
        <v>9.1</v>
      </c>
      <c r="N22" s="1620">
        <v>2.7</v>
      </c>
      <c r="O22" s="1620">
        <v>1.7</v>
      </c>
      <c r="P22" s="1620">
        <v>4.5999999999999996</v>
      </c>
      <c r="Q22" s="1603"/>
      <c r="R22" s="1620">
        <v>73.980908948194653</v>
      </c>
      <c r="S22" s="1620">
        <v>39</v>
      </c>
      <c r="T22" s="1620">
        <v>46.723577235772403</v>
      </c>
      <c r="U22" s="1620">
        <v>49.8130081300813</v>
      </c>
      <c r="V22" s="1620">
        <v>52.5934959349593</v>
      </c>
      <c r="W22" s="1620">
        <v>54.4471544715447</v>
      </c>
      <c r="X22" s="1620"/>
      <c r="Y22" s="1620">
        <v>0.66901408450704214</v>
      </c>
      <c r="Z22" s="1620">
        <v>3.169014084507042</v>
      </c>
      <c r="AA22" s="1620">
        <v>0.11737089201877934</v>
      </c>
      <c r="AB22" s="1620">
        <v>1.8150684931506944</v>
      </c>
      <c r="AC22" s="1620">
        <v>4.7652582159624401</v>
      </c>
      <c r="AD22" s="1620">
        <v>1.1032863849765258</v>
      </c>
      <c r="AE22" s="1620">
        <v>1.3</v>
      </c>
      <c r="AF22" s="1620">
        <v>41.79577464788732</v>
      </c>
      <c r="AG22" s="1620">
        <v>3.169014084507042</v>
      </c>
      <c r="AH22" s="1620">
        <v>15.234741784037558</v>
      </c>
      <c r="AI22" s="1620">
        <v>29.330985915492956</v>
      </c>
      <c r="AJ22" s="1620">
        <v>0</v>
      </c>
      <c r="AK22" s="1620">
        <v>0.04</v>
      </c>
      <c r="AL22" s="1620"/>
      <c r="AM22" s="1620">
        <v>3.8428638497652581</v>
      </c>
      <c r="AN22" s="1620">
        <v>1.7234507042253522</v>
      </c>
      <c r="AO22" s="1620">
        <v>2.4143896713615023</v>
      </c>
      <c r="AP22" s="1620">
        <v>3.4796244131455394</v>
      </c>
      <c r="AQ22" s="1620">
        <v>1.3448122065727699</v>
      </c>
      <c r="AR22" s="1620">
        <v>3.6304694835680751</v>
      </c>
      <c r="AS22" s="1620">
        <v>6.8929812206572771</v>
      </c>
      <c r="AT22" s="1620">
        <v>2.3002582159624412</v>
      </c>
      <c r="AU22" s="1620">
        <v>4.767605633802817</v>
      </c>
      <c r="AV22" s="1620">
        <v>3.2036150234741787</v>
      </c>
      <c r="AW22" s="1620">
        <v>5.149154929577465</v>
      </c>
      <c r="AX22" s="1620"/>
      <c r="AY22" s="1620">
        <v>0.94</v>
      </c>
      <c r="AZ22" s="1620">
        <v>1.08</v>
      </c>
      <c r="BA22" s="1620">
        <v>1.03</v>
      </c>
      <c r="BB22" s="1620">
        <v>0.95</v>
      </c>
      <c r="BC22" s="1620">
        <v>0.96</v>
      </c>
      <c r="BD22" s="1620">
        <v>1</v>
      </c>
      <c r="BE22" s="1620">
        <v>1.01</v>
      </c>
      <c r="BF22" s="1620">
        <v>1</v>
      </c>
      <c r="BG22" s="1620">
        <v>1.04</v>
      </c>
      <c r="BH22" s="1620">
        <v>0.97</v>
      </c>
      <c r="BI22" s="1620">
        <v>0.96</v>
      </c>
      <c r="BJ22" s="1603"/>
      <c r="BK22" s="1620">
        <v>10.68075117370892</v>
      </c>
      <c r="BL22" s="1620">
        <v>3.169014084507042</v>
      </c>
      <c r="BM22" s="1620">
        <v>1.9953051643192488</v>
      </c>
      <c r="BN22" s="1620">
        <v>5.4117647058823524</v>
      </c>
      <c r="BO22" s="1620"/>
      <c r="BP22" s="1620">
        <v>120</v>
      </c>
      <c r="BQ22" s="1620">
        <v>38.117647058823529</v>
      </c>
      <c r="BR22" s="1620">
        <v>1.1977727135168736</v>
      </c>
      <c r="BS22" s="1620">
        <v>1.2055080831308194</v>
      </c>
      <c r="BT22" s="1603"/>
      <c r="BU22" s="1620">
        <v>980.04694835680755</v>
      </c>
      <c r="BV22" s="1620">
        <v>601.08065057008719</v>
      </c>
      <c r="BW22" s="1620">
        <v>95.204560697518403</v>
      </c>
      <c r="BX22" s="1620">
        <v>604</v>
      </c>
      <c r="BY22" s="1620">
        <v>21.000000000000004</v>
      </c>
      <c r="BZ22" s="1620">
        <v>56</v>
      </c>
      <c r="CA22" s="1620">
        <v>165</v>
      </c>
      <c r="CB22" s="1603"/>
      <c r="CC22" s="1603">
        <v>0.56999999999999984</v>
      </c>
      <c r="CD22" s="1603">
        <v>2.6999999999999997</v>
      </c>
      <c r="CE22" s="1603">
        <v>9.9999999999999992E-2</v>
      </c>
      <c r="CF22" s="1603">
        <v>1.5464383561643915</v>
      </c>
      <c r="CG22" s="1603">
        <v>4.0599999999999987</v>
      </c>
      <c r="CH22" s="1603">
        <v>0.94</v>
      </c>
      <c r="CI22" s="1603">
        <v>1.1075999999999999</v>
      </c>
      <c r="CJ22" s="1603"/>
      <c r="CK22" s="1603">
        <v>35.61</v>
      </c>
      <c r="CL22" s="1603">
        <v>2.6999999999999997</v>
      </c>
      <c r="CM22" s="1603">
        <v>12.979999999999999</v>
      </c>
      <c r="CN22" s="1603">
        <v>24.99</v>
      </c>
      <c r="CO22" s="1603">
        <v>0</v>
      </c>
      <c r="CP22" s="1603">
        <v>3.4079999999999999E-2</v>
      </c>
      <c r="CQ22" s="1603">
        <v>67.322627142857129</v>
      </c>
      <c r="CR22" s="1603">
        <v>65.970085239327091</v>
      </c>
      <c r="CS22" s="1603">
        <v>2.3830321238821419</v>
      </c>
      <c r="CT22" s="1603">
        <v>1.2279188505260679</v>
      </c>
      <c r="CU22" s="1603">
        <v>1.6405581719328932</v>
      </c>
      <c r="CV22" s="1603">
        <v>2.8684770224589613</v>
      </c>
      <c r="CW22" s="1603">
        <v>2.1807356317925208</v>
      </c>
      <c r="CX22" s="1603">
        <v>0.85168680862553447</v>
      </c>
      <c r="CY22" s="1603">
        <v>2.3950238128976173</v>
      </c>
      <c r="CZ22" s="1603">
        <v>4.5927786426663992</v>
      </c>
      <c r="DA22" s="1603">
        <v>1.5174823057950471</v>
      </c>
      <c r="DB22" s="1603">
        <v>3.2710012405144662</v>
      </c>
      <c r="DC22" s="1603">
        <v>2.0500247348740301</v>
      </c>
      <c r="DD22" s="1603">
        <v>5.3210259753884959</v>
      </c>
      <c r="DE22" s="1603">
        <v>3.2610258203013753</v>
      </c>
      <c r="DF22" s="1603">
        <v>0</v>
      </c>
      <c r="DG22" s="1603">
        <v>0</v>
      </c>
      <c r="DH22" s="1603">
        <v>0</v>
      </c>
      <c r="DI22" s="1603">
        <v>0</v>
      </c>
      <c r="DJ22" s="1603">
        <v>0</v>
      </c>
      <c r="DK22" s="1603">
        <v>0</v>
      </c>
      <c r="DL22" s="1603">
        <v>0</v>
      </c>
      <c r="DM22" s="1603">
        <v>0</v>
      </c>
      <c r="DN22" s="1603">
        <v>0</v>
      </c>
      <c r="DO22" s="1603">
        <v>0</v>
      </c>
      <c r="DP22" s="1603">
        <v>0</v>
      </c>
      <c r="DQ22" s="1603">
        <v>0</v>
      </c>
      <c r="DR22" s="1603">
        <v>0</v>
      </c>
      <c r="DS22" s="1603">
        <v>0</v>
      </c>
      <c r="DT22" s="1603">
        <v>0</v>
      </c>
      <c r="DU22" s="1603">
        <v>0</v>
      </c>
      <c r="DV22" s="1603">
        <v>0</v>
      </c>
      <c r="DW22" s="1618" t="s">
        <v>3688</v>
      </c>
      <c r="DX22" s="1605">
        <v>17</v>
      </c>
      <c r="DY22" s="1605">
        <v>17</v>
      </c>
      <c r="DZ22" s="1605">
        <v>9</v>
      </c>
      <c r="EA22" s="1605">
        <v>9</v>
      </c>
      <c r="EB22" s="1605" t="s">
        <v>986</v>
      </c>
      <c r="EC22" s="1605">
        <v>9</v>
      </c>
      <c r="ED22" s="1605">
        <v>9</v>
      </c>
      <c r="EE22" s="1605">
        <v>8</v>
      </c>
      <c r="EF22" s="1605">
        <v>9</v>
      </c>
      <c r="EG22" s="1605">
        <v>9</v>
      </c>
      <c r="EH22" s="1605" t="s">
        <v>986</v>
      </c>
      <c r="EI22" s="1605" t="s">
        <v>986</v>
      </c>
      <c r="EJ22" s="1605" t="s">
        <v>986</v>
      </c>
      <c r="EK22" s="1605" t="s">
        <v>986</v>
      </c>
      <c r="EL22" s="1605" t="s">
        <v>986</v>
      </c>
      <c r="EM22" s="1605" t="s">
        <v>986</v>
      </c>
      <c r="EN22" s="1605" t="s">
        <v>986</v>
      </c>
      <c r="EO22" s="1605" t="s">
        <v>986</v>
      </c>
      <c r="EP22" s="1605" t="s">
        <v>986</v>
      </c>
      <c r="EQ22" s="1605" t="s">
        <v>986</v>
      </c>
      <c r="ER22" s="1605" t="s">
        <v>986</v>
      </c>
      <c r="ES22" s="1605">
        <v>9</v>
      </c>
      <c r="ET22" s="1605">
        <v>17</v>
      </c>
      <c r="EU22" s="1605">
        <v>8</v>
      </c>
      <c r="EV22" s="1605">
        <v>7</v>
      </c>
      <c r="EW22" s="1605">
        <v>8</v>
      </c>
      <c r="EX22" s="1605">
        <v>8</v>
      </c>
      <c r="EY22" s="1605" t="s">
        <v>986</v>
      </c>
      <c r="EZ22" s="1605">
        <v>8</v>
      </c>
      <c r="FA22" s="1605">
        <v>8</v>
      </c>
      <c r="FB22" s="1605">
        <v>8</v>
      </c>
      <c r="FC22" s="1605">
        <v>8</v>
      </c>
      <c r="FD22" s="1605" t="s">
        <v>986</v>
      </c>
      <c r="FE22" s="1605" t="s">
        <v>986</v>
      </c>
      <c r="FF22" s="1605">
        <v>2.0414455662593607</v>
      </c>
      <c r="FG22" s="1605">
        <v>0.32945496500381322</v>
      </c>
      <c r="FH22" s="1605">
        <v>0.26040639465095983</v>
      </c>
      <c r="FI22" s="1605">
        <v>0.15349292793819003</v>
      </c>
      <c r="FJ22" s="1605" t="s">
        <v>986</v>
      </c>
      <c r="FK22" s="1605">
        <v>1.0642263382382553</v>
      </c>
      <c r="FL22" s="1605">
        <v>1.3416407864998738</v>
      </c>
      <c r="FM22" s="1605" t="s">
        <v>986</v>
      </c>
      <c r="FN22" s="1605">
        <v>2.3244736761117246</v>
      </c>
      <c r="FO22" s="1605">
        <v>1.8816226649368724</v>
      </c>
      <c r="FP22" s="1605" t="s">
        <v>986</v>
      </c>
      <c r="FQ22" s="1605" t="s">
        <v>986</v>
      </c>
      <c r="FR22" s="1605" t="s">
        <v>986</v>
      </c>
      <c r="FS22" s="1605" t="s">
        <v>986</v>
      </c>
      <c r="FT22" s="1605" t="s">
        <v>986</v>
      </c>
      <c r="FU22" s="1605" t="s">
        <v>986</v>
      </c>
      <c r="FV22" s="1605" t="s">
        <v>986</v>
      </c>
      <c r="FW22" s="1605" t="s">
        <v>986</v>
      </c>
      <c r="FX22" s="1605" t="s">
        <v>986</v>
      </c>
      <c r="FY22" s="1605" t="s">
        <v>986</v>
      </c>
      <c r="FZ22" s="1605" t="s">
        <v>986</v>
      </c>
      <c r="GA22" s="1605">
        <v>5.1923727878453715E-2</v>
      </c>
      <c r="GB22" s="1605">
        <v>0.21196059490215372</v>
      </c>
      <c r="GC22" s="1605">
        <v>5.8277124316078168E-3</v>
      </c>
      <c r="GD22" s="1605">
        <v>0.22</v>
      </c>
      <c r="GE22" s="1605">
        <v>0.23554707018792828</v>
      </c>
      <c r="GF22" s="1605">
        <v>3.0713407839364219E-2</v>
      </c>
      <c r="GG22" s="1605" t="s">
        <v>986</v>
      </c>
      <c r="GH22" s="1605">
        <v>3.0990209100407782</v>
      </c>
      <c r="GI22" s="1605">
        <v>0.54075413844893017</v>
      </c>
      <c r="GJ22" s="1605">
        <v>1.2235539085415654</v>
      </c>
      <c r="GK22" s="1605">
        <v>4.014833470053186</v>
      </c>
      <c r="GL22" s="1605" t="s">
        <v>986</v>
      </c>
      <c r="GM22" s="1605" t="s">
        <v>986</v>
      </c>
      <c r="GN22" s="1605" t="s">
        <v>1763</v>
      </c>
      <c r="GO22" s="1605" t="s">
        <v>1763</v>
      </c>
      <c r="GP22" s="1605" t="s">
        <v>1763</v>
      </c>
      <c r="GQ22" s="1605" t="s">
        <v>1763</v>
      </c>
      <c r="GR22" s="1605" t="s">
        <v>1763</v>
      </c>
      <c r="GS22" s="1605" t="s">
        <v>1763</v>
      </c>
      <c r="GT22" s="1605" t="s">
        <v>1763</v>
      </c>
      <c r="GU22" s="1605" t="s">
        <v>1763</v>
      </c>
      <c r="GV22" s="1605" t="s">
        <v>1763</v>
      </c>
      <c r="GW22" s="1605" t="s">
        <v>1763</v>
      </c>
      <c r="GX22" s="1605" t="s">
        <v>1763</v>
      </c>
      <c r="GY22" s="1605" t="s">
        <v>1763</v>
      </c>
      <c r="GZ22" s="1605" t="s">
        <v>1763</v>
      </c>
      <c r="HA22" s="1605" t="s">
        <v>1763</v>
      </c>
      <c r="HB22" s="1605" t="s">
        <v>1763</v>
      </c>
      <c r="HC22" s="1605" t="s">
        <v>1763</v>
      </c>
      <c r="HD22" s="1605" t="s">
        <v>1763</v>
      </c>
      <c r="HE22" s="1605" t="s">
        <v>1763</v>
      </c>
      <c r="HF22" s="1605" t="s">
        <v>1763</v>
      </c>
      <c r="HG22" s="1605" t="s">
        <v>1763</v>
      </c>
      <c r="HH22" s="1605" t="s">
        <v>1763</v>
      </c>
      <c r="HI22" s="1605" t="s">
        <v>1763</v>
      </c>
      <c r="HJ22" s="1605" t="s">
        <v>1763</v>
      </c>
      <c r="HK22" s="1605" t="s">
        <v>1763</v>
      </c>
      <c r="HL22" s="1605" t="s">
        <v>1578</v>
      </c>
      <c r="HM22" s="1605" t="s">
        <v>1763</v>
      </c>
      <c r="HN22" s="1605" t="s">
        <v>1763</v>
      </c>
      <c r="HO22" s="1605" t="s">
        <v>986</v>
      </c>
      <c r="HP22" s="1605" t="s">
        <v>1763</v>
      </c>
      <c r="HQ22" s="1605" t="s">
        <v>1763</v>
      </c>
      <c r="HR22" s="1605" t="s">
        <v>1763</v>
      </c>
      <c r="HS22" s="1605" t="s">
        <v>1763</v>
      </c>
      <c r="HT22" s="1605" t="s">
        <v>1763</v>
      </c>
      <c r="HU22" s="1605" t="s">
        <v>1763</v>
      </c>
      <c r="HV22" s="1617"/>
      <c r="HW22" s="1617" t="s">
        <v>3694</v>
      </c>
      <c r="HX22" s="1617" t="s">
        <v>3686</v>
      </c>
      <c r="HY22" s="1617" t="s">
        <v>3685</v>
      </c>
      <c r="HZ22" s="1603"/>
      <c r="IA22" s="1603"/>
      <c r="IB22" s="1603"/>
      <c r="IC22" s="1603">
        <v>55.837398373983703</v>
      </c>
      <c r="ID22" s="1603">
        <v>56.764227642276403</v>
      </c>
      <c r="IE22" s="1603">
        <v>57.536585365853703</v>
      </c>
      <c r="IF22" s="1603">
        <v>58</v>
      </c>
      <c r="IG22" s="1611" t="s">
        <v>3683</v>
      </c>
      <c r="IH22" s="1616" t="s">
        <v>3711</v>
      </c>
      <c r="II22" s="1615" t="s">
        <v>274</v>
      </c>
      <c r="IJ22" s="1613">
        <v>0.41826136363636363</v>
      </c>
      <c r="IK22" s="1613">
        <v>0.41826136363636363</v>
      </c>
      <c r="IL22" s="1614">
        <v>0.41826136363636363</v>
      </c>
      <c r="IM22" s="1614">
        <v>0.41826136363636363</v>
      </c>
      <c r="IN22" s="1612">
        <v>0.52200000000000002</v>
      </c>
      <c r="IO22" s="1613">
        <v>0.10373863636363639</v>
      </c>
      <c r="IP22" s="1607" t="s">
        <v>270</v>
      </c>
      <c r="IQ22" s="1612">
        <v>2.2000000000000002</v>
      </c>
      <c r="IR22" s="1612">
        <v>0.154</v>
      </c>
      <c r="IS22" s="1607">
        <v>0.41426136363636362</v>
      </c>
      <c r="IT22" s="1607">
        <v>0.41426136363636362</v>
      </c>
      <c r="IU22" s="1611">
        <v>1.1363636363636365E-5</v>
      </c>
      <c r="IV22" s="1611">
        <v>1.0568181818181818E-3</v>
      </c>
      <c r="IW22" s="1611">
        <v>7.8409090909090898E-4</v>
      </c>
      <c r="IX22" s="1611">
        <v>1.0909090909090907E-3</v>
      </c>
      <c r="IY22" s="1611">
        <v>7.9545454545454537E-4</v>
      </c>
      <c r="IZ22" s="1611">
        <v>8.0340909090909091E-3</v>
      </c>
      <c r="JA22" s="1611">
        <v>1.8181818181818183E-4</v>
      </c>
      <c r="JB22" s="1611" t="s">
        <v>270</v>
      </c>
      <c r="JC22" s="1611">
        <v>6.9750000000000006E-2</v>
      </c>
      <c r="JD22" s="1611">
        <v>1.9772727272727273E-3</v>
      </c>
      <c r="JE22" s="1611" t="s">
        <v>270</v>
      </c>
      <c r="JF22" s="1611">
        <v>2.5000000000000001E-4</v>
      </c>
      <c r="JG22" s="1611">
        <v>4.3789545454545458</v>
      </c>
      <c r="JH22" s="1611">
        <v>2.2727272727272727E-4</v>
      </c>
      <c r="JI22" s="1611">
        <v>4.7829545454545458E-2</v>
      </c>
      <c r="JJ22" s="1611" t="s">
        <v>270</v>
      </c>
      <c r="JK22" s="1607">
        <f t="shared" si="9"/>
        <v>4.0000000000000036E-3</v>
      </c>
      <c r="JL22" s="1608" t="s">
        <v>270</v>
      </c>
      <c r="JM22" s="1610" t="s">
        <v>2924</v>
      </c>
      <c r="JN22" s="1608">
        <v>0</v>
      </c>
      <c r="JO22" s="1609" t="s">
        <v>2923</v>
      </c>
      <c r="JP22" s="1608" t="s">
        <v>270</v>
      </c>
      <c r="JQ22" s="1607">
        <v>202103</v>
      </c>
      <c r="JR22" s="1606">
        <v>15</v>
      </c>
      <c r="JS22" s="1606">
        <v>22</v>
      </c>
      <c r="JT22" s="1606">
        <v>22</v>
      </c>
    </row>
    <row r="23" spans="1:280" ht="15" customHeight="1" x14ac:dyDescent="0.2">
      <c r="A23" s="1626">
        <v>50401</v>
      </c>
      <c r="B23" s="1625">
        <v>504</v>
      </c>
      <c r="C23" s="1624">
        <v>1</v>
      </c>
      <c r="D23" s="1623" t="s">
        <v>3714</v>
      </c>
      <c r="E23" s="1622">
        <v>44112</v>
      </c>
      <c r="F23" s="1620">
        <v>1.0265636178861788</v>
      </c>
      <c r="G23" s="1620">
        <v>1.0313530909090909</v>
      </c>
      <c r="H23" s="1621">
        <v>84.1</v>
      </c>
      <c r="I23" s="1621">
        <v>77.8</v>
      </c>
      <c r="J23" s="1621">
        <v>90</v>
      </c>
      <c r="K23" s="1620">
        <v>1</v>
      </c>
      <c r="L23" s="1620">
        <v>85.2</v>
      </c>
      <c r="M23" s="1620">
        <v>9.1</v>
      </c>
      <c r="N23" s="1620">
        <v>2.7</v>
      </c>
      <c r="O23" s="1620">
        <v>1.7</v>
      </c>
      <c r="P23" s="1620">
        <v>4.5999999999999996</v>
      </c>
      <c r="Q23" s="1603"/>
      <c r="R23" s="1620">
        <v>74.413483516483524</v>
      </c>
      <c r="S23" s="1620">
        <v>39</v>
      </c>
      <c r="T23" s="1620">
        <v>46.723577235772403</v>
      </c>
      <c r="U23" s="1620">
        <v>49.8130081300813</v>
      </c>
      <c r="V23" s="1620">
        <v>52.5934959349593</v>
      </c>
      <c r="W23" s="1620">
        <v>54.4471544715447</v>
      </c>
      <c r="X23" s="1620"/>
      <c r="Y23" s="1620">
        <v>0.66901408450704214</v>
      </c>
      <c r="Z23" s="1620">
        <v>3.169014084507042</v>
      </c>
      <c r="AA23" s="1620">
        <v>0.11737089201877934</v>
      </c>
      <c r="AB23" s="1620">
        <v>1.8150684931506944</v>
      </c>
      <c r="AC23" s="1620">
        <v>4.7652582159624401</v>
      </c>
      <c r="AD23" s="1620">
        <v>1.1032863849765258</v>
      </c>
      <c r="AE23" s="1620">
        <v>1.3</v>
      </c>
      <c r="AF23" s="1620">
        <v>41.79577464788732</v>
      </c>
      <c r="AG23" s="1620">
        <v>3.169014084507042</v>
      </c>
      <c r="AH23" s="1620">
        <v>15.234741784037558</v>
      </c>
      <c r="AI23" s="1620">
        <v>29.330985915492956</v>
      </c>
      <c r="AJ23" s="1620">
        <v>0</v>
      </c>
      <c r="AK23" s="1620">
        <v>0.04</v>
      </c>
      <c r="AL23" s="1620"/>
      <c r="AM23" s="1620">
        <v>3.8428638497652581</v>
      </c>
      <c r="AN23" s="1620">
        <v>1.7234507042253522</v>
      </c>
      <c r="AO23" s="1620">
        <v>2.4143896713615023</v>
      </c>
      <c r="AP23" s="1620">
        <v>3.4796244131455394</v>
      </c>
      <c r="AQ23" s="1620">
        <v>1.3448122065727699</v>
      </c>
      <c r="AR23" s="1620">
        <v>3.6304694835680751</v>
      </c>
      <c r="AS23" s="1620">
        <v>6.8929812206572771</v>
      </c>
      <c r="AT23" s="1620">
        <v>2.3002582159624412</v>
      </c>
      <c r="AU23" s="1620">
        <v>4.767605633802817</v>
      </c>
      <c r="AV23" s="1620">
        <v>3.2036150234741787</v>
      </c>
      <c r="AW23" s="1620">
        <v>5.149154929577465</v>
      </c>
      <c r="AX23" s="1620"/>
      <c r="AY23" s="1620">
        <v>0.94</v>
      </c>
      <c r="AZ23" s="1620">
        <v>1.08</v>
      </c>
      <c r="BA23" s="1620">
        <v>1.03</v>
      </c>
      <c r="BB23" s="1620">
        <v>0.95</v>
      </c>
      <c r="BC23" s="1620">
        <v>0.96</v>
      </c>
      <c r="BD23" s="1620">
        <v>1</v>
      </c>
      <c r="BE23" s="1620">
        <v>1.01</v>
      </c>
      <c r="BF23" s="1620">
        <v>1</v>
      </c>
      <c r="BG23" s="1620">
        <v>1.04</v>
      </c>
      <c r="BH23" s="1620">
        <v>0.97</v>
      </c>
      <c r="BI23" s="1620">
        <v>0.96</v>
      </c>
      <c r="BJ23" s="1603"/>
      <c r="BK23" s="1620">
        <v>10.68075117370892</v>
      </c>
      <c r="BL23" s="1620">
        <v>3.169014084507042</v>
      </c>
      <c r="BM23" s="1620">
        <v>1.9953051643192488</v>
      </c>
      <c r="BN23" s="1620">
        <v>5.4117647058823524</v>
      </c>
      <c r="BO23" s="1620"/>
      <c r="BP23" s="1620">
        <v>120</v>
      </c>
      <c r="BQ23" s="1620">
        <v>38.117647058823529</v>
      </c>
      <c r="BR23" s="1620">
        <v>1.2048868754532616</v>
      </c>
      <c r="BS23" s="1620">
        <v>1.2105083226632523</v>
      </c>
      <c r="BT23" s="1603"/>
      <c r="BU23" s="1620">
        <v>980.04694835680755</v>
      </c>
      <c r="BV23" s="1620">
        <v>608.08098591549299</v>
      </c>
      <c r="BW23" s="1620">
        <v>88.204225352112644</v>
      </c>
      <c r="BX23" s="1620">
        <v>604</v>
      </c>
      <c r="BY23" s="1620">
        <v>21.000000000000004</v>
      </c>
      <c r="BZ23" s="1620">
        <v>56</v>
      </c>
      <c r="CA23" s="1620">
        <v>165</v>
      </c>
      <c r="CB23" s="1603"/>
      <c r="CC23" s="1603">
        <v>0.56999999999999984</v>
      </c>
      <c r="CD23" s="1603">
        <v>2.6999999999999997</v>
      </c>
      <c r="CE23" s="1603">
        <v>9.9999999999999992E-2</v>
      </c>
      <c r="CF23" s="1603">
        <v>1.5464383561643915</v>
      </c>
      <c r="CG23" s="1603">
        <v>4.0599999999999987</v>
      </c>
      <c r="CH23" s="1603">
        <v>0.94</v>
      </c>
      <c r="CI23" s="1603">
        <v>1.1075999999999999</v>
      </c>
      <c r="CJ23" s="1603"/>
      <c r="CK23" s="1603">
        <v>35.61</v>
      </c>
      <c r="CL23" s="1603">
        <v>2.6999999999999997</v>
      </c>
      <c r="CM23" s="1603">
        <v>12.979999999999999</v>
      </c>
      <c r="CN23" s="1603">
        <v>24.99</v>
      </c>
      <c r="CO23" s="1603">
        <v>0</v>
      </c>
      <c r="CP23" s="1603">
        <v>3.4079999999999999E-2</v>
      </c>
      <c r="CQ23" s="1603">
        <v>67.716270000000009</v>
      </c>
      <c r="CR23" s="1603">
        <v>65.964026797906754</v>
      </c>
      <c r="CS23" s="1603">
        <v>2.3828132752862525</v>
      </c>
      <c r="CT23" s="1603">
        <v>1.2278060831346378</v>
      </c>
      <c r="CU23" s="1603">
        <v>1.6404075093174779</v>
      </c>
      <c r="CV23" s="1603">
        <v>2.8682135924521157</v>
      </c>
      <c r="CW23" s="1603">
        <v>2.1805353613361373</v>
      </c>
      <c r="CX23" s="1603">
        <v>0.85160859295217572</v>
      </c>
      <c r="CY23" s="1603">
        <v>2.3948038630306718</v>
      </c>
      <c r="CZ23" s="1603">
        <v>4.5923568593647373</v>
      </c>
      <c r="DA23" s="1603">
        <v>1.5173429459985164</v>
      </c>
      <c r="DB23" s="1603">
        <v>3.2707008442162104</v>
      </c>
      <c r="DC23" s="1603">
        <v>2.0498364684086856</v>
      </c>
      <c r="DD23" s="1603">
        <v>5.3205373126248965</v>
      </c>
      <c r="DE23" s="1603">
        <v>3.2607263401077264</v>
      </c>
      <c r="DF23" s="1603">
        <v>0</v>
      </c>
      <c r="DG23" s="1603">
        <v>0</v>
      </c>
      <c r="DH23" s="1603">
        <v>0</v>
      </c>
      <c r="DI23" s="1603">
        <v>0</v>
      </c>
      <c r="DJ23" s="1603">
        <v>0</v>
      </c>
      <c r="DK23" s="1603">
        <v>0</v>
      </c>
      <c r="DL23" s="1603">
        <v>0</v>
      </c>
      <c r="DM23" s="1603">
        <v>0</v>
      </c>
      <c r="DN23" s="1603">
        <v>0</v>
      </c>
      <c r="DO23" s="1603">
        <v>0</v>
      </c>
      <c r="DP23" s="1603">
        <v>0</v>
      </c>
      <c r="DQ23" s="1603">
        <v>0</v>
      </c>
      <c r="DR23" s="1603">
        <v>0</v>
      </c>
      <c r="DS23" s="1603">
        <v>0</v>
      </c>
      <c r="DT23" s="1603">
        <v>0</v>
      </c>
      <c r="DU23" s="1603">
        <v>0</v>
      </c>
      <c r="DV23" s="1603">
        <v>0</v>
      </c>
      <c r="DW23" s="1618" t="s">
        <v>3688</v>
      </c>
      <c r="DX23" s="1605">
        <v>17</v>
      </c>
      <c r="DY23" s="1605">
        <v>17</v>
      </c>
      <c r="DZ23" s="1605">
        <v>9</v>
      </c>
      <c r="EA23" s="1605">
        <v>9</v>
      </c>
      <c r="EB23" s="1605" t="s">
        <v>986</v>
      </c>
      <c r="EC23" s="1605">
        <v>9</v>
      </c>
      <c r="ED23" s="1605">
        <v>9</v>
      </c>
      <c r="EE23" s="1605">
        <v>8</v>
      </c>
      <c r="EF23" s="1605">
        <v>9</v>
      </c>
      <c r="EG23" s="1605">
        <v>9</v>
      </c>
      <c r="EH23" s="1605" t="s">
        <v>986</v>
      </c>
      <c r="EI23" s="1605" t="s">
        <v>986</v>
      </c>
      <c r="EJ23" s="1605" t="s">
        <v>986</v>
      </c>
      <c r="EK23" s="1605" t="s">
        <v>986</v>
      </c>
      <c r="EL23" s="1605" t="s">
        <v>986</v>
      </c>
      <c r="EM23" s="1605" t="s">
        <v>986</v>
      </c>
      <c r="EN23" s="1605" t="s">
        <v>986</v>
      </c>
      <c r="EO23" s="1605" t="s">
        <v>986</v>
      </c>
      <c r="EP23" s="1605" t="s">
        <v>986</v>
      </c>
      <c r="EQ23" s="1605" t="s">
        <v>986</v>
      </c>
      <c r="ER23" s="1605" t="s">
        <v>986</v>
      </c>
      <c r="ES23" s="1605">
        <v>9</v>
      </c>
      <c r="ET23" s="1605">
        <v>17</v>
      </c>
      <c r="EU23" s="1605">
        <v>8</v>
      </c>
      <c r="EV23" s="1605">
        <v>7</v>
      </c>
      <c r="EW23" s="1605">
        <v>8</v>
      </c>
      <c r="EX23" s="1605">
        <v>8</v>
      </c>
      <c r="EY23" s="1605" t="s">
        <v>986</v>
      </c>
      <c r="EZ23" s="1605">
        <v>8</v>
      </c>
      <c r="FA23" s="1605">
        <v>8</v>
      </c>
      <c r="FB23" s="1605">
        <v>8</v>
      </c>
      <c r="FC23" s="1605">
        <v>8</v>
      </c>
      <c r="FD23" s="1605" t="s">
        <v>986</v>
      </c>
      <c r="FE23" s="1605" t="s">
        <v>986</v>
      </c>
      <c r="FF23" s="1605">
        <v>2.0414455662593607</v>
      </c>
      <c r="FG23" s="1605">
        <v>0.32945496500381322</v>
      </c>
      <c r="FH23" s="1605">
        <v>0.26040639465095983</v>
      </c>
      <c r="FI23" s="1605">
        <v>0.15349292793819003</v>
      </c>
      <c r="FJ23" s="1605" t="s">
        <v>986</v>
      </c>
      <c r="FK23" s="1605">
        <v>1.0642263382382553</v>
      </c>
      <c r="FL23" s="1605">
        <v>1.3416407864998738</v>
      </c>
      <c r="FM23" s="1605" t="s">
        <v>986</v>
      </c>
      <c r="FN23" s="1605">
        <v>2.3244736761117246</v>
      </c>
      <c r="FO23" s="1605">
        <v>1.8816226649368724</v>
      </c>
      <c r="FP23" s="1605" t="s">
        <v>986</v>
      </c>
      <c r="FQ23" s="1605" t="s">
        <v>986</v>
      </c>
      <c r="FR23" s="1605" t="s">
        <v>986</v>
      </c>
      <c r="FS23" s="1605" t="s">
        <v>986</v>
      </c>
      <c r="FT23" s="1605" t="s">
        <v>986</v>
      </c>
      <c r="FU23" s="1605" t="s">
        <v>986</v>
      </c>
      <c r="FV23" s="1605" t="s">
        <v>986</v>
      </c>
      <c r="FW23" s="1605" t="s">
        <v>986</v>
      </c>
      <c r="FX23" s="1605" t="s">
        <v>986</v>
      </c>
      <c r="FY23" s="1605" t="s">
        <v>986</v>
      </c>
      <c r="FZ23" s="1605" t="s">
        <v>986</v>
      </c>
      <c r="GA23" s="1605">
        <v>5.1923727878453715E-2</v>
      </c>
      <c r="GB23" s="1605">
        <v>0.21196059490215372</v>
      </c>
      <c r="GC23" s="1605">
        <v>5.8277124316078168E-3</v>
      </c>
      <c r="GD23" s="1605">
        <v>0.22</v>
      </c>
      <c r="GE23" s="1605">
        <v>0.23554707018792828</v>
      </c>
      <c r="GF23" s="1605">
        <v>3.0713407839364219E-2</v>
      </c>
      <c r="GG23" s="1605" t="s">
        <v>986</v>
      </c>
      <c r="GH23" s="1605">
        <v>3.0990209100407782</v>
      </c>
      <c r="GI23" s="1605">
        <v>0.54075413844893017</v>
      </c>
      <c r="GJ23" s="1605">
        <v>1.2235539085415654</v>
      </c>
      <c r="GK23" s="1605">
        <v>4.014833470053186</v>
      </c>
      <c r="GL23" s="1605" t="s">
        <v>986</v>
      </c>
      <c r="GM23" s="1605" t="s">
        <v>986</v>
      </c>
      <c r="GN23" s="1605" t="s">
        <v>1763</v>
      </c>
      <c r="GO23" s="1605" t="s">
        <v>1763</v>
      </c>
      <c r="GP23" s="1605" t="s">
        <v>1763</v>
      </c>
      <c r="GQ23" s="1605" t="s">
        <v>1763</v>
      </c>
      <c r="GR23" s="1605" t="s">
        <v>1763</v>
      </c>
      <c r="GS23" s="1605" t="s">
        <v>1763</v>
      </c>
      <c r="GT23" s="1605" t="s">
        <v>1763</v>
      </c>
      <c r="GU23" s="1605" t="s">
        <v>1763</v>
      </c>
      <c r="GV23" s="1605" t="s">
        <v>1763</v>
      </c>
      <c r="GW23" s="1605" t="s">
        <v>1763</v>
      </c>
      <c r="GX23" s="1605" t="s">
        <v>1763</v>
      </c>
      <c r="GY23" s="1605" t="s">
        <v>1763</v>
      </c>
      <c r="GZ23" s="1605" t="s">
        <v>1763</v>
      </c>
      <c r="HA23" s="1605" t="s">
        <v>1763</v>
      </c>
      <c r="HB23" s="1605" t="s">
        <v>1763</v>
      </c>
      <c r="HC23" s="1605" t="s">
        <v>1763</v>
      </c>
      <c r="HD23" s="1605" t="s">
        <v>1763</v>
      </c>
      <c r="HE23" s="1605" t="s">
        <v>1763</v>
      </c>
      <c r="HF23" s="1605" t="s">
        <v>1763</v>
      </c>
      <c r="HG23" s="1605" t="s">
        <v>1763</v>
      </c>
      <c r="HH23" s="1605" t="s">
        <v>1763</v>
      </c>
      <c r="HI23" s="1605" t="s">
        <v>1763</v>
      </c>
      <c r="HJ23" s="1605" t="s">
        <v>1763</v>
      </c>
      <c r="HK23" s="1605" t="s">
        <v>1763</v>
      </c>
      <c r="HL23" s="1605" t="s">
        <v>1578</v>
      </c>
      <c r="HM23" s="1605" t="s">
        <v>1763</v>
      </c>
      <c r="HN23" s="1605" t="s">
        <v>1763</v>
      </c>
      <c r="HO23" s="1605" t="s">
        <v>986</v>
      </c>
      <c r="HP23" s="1605" t="s">
        <v>1763</v>
      </c>
      <c r="HQ23" s="1605" t="s">
        <v>1763</v>
      </c>
      <c r="HR23" s="1605" t="s">
        <v>1763</v>
      </c>
      <c r="HS23" s="1605" t="s">
        <v>1763</v>
      </c>
      <c r="HT23" s="1605" t="s">
        <v>1763</v>
      </c>
      <c r="HU23" s="1605" t="s">
        <v>1763</v>
      </c>
      <c r="HV23" s="1617"/>
      <c r="HW23" s="1617" t="s">
        <v>3694</v>
      </c>
      <c r="HX23" s="1617" t="s">
        <v>3686</v>
      </c>
      <c r="HY23" s="1617" t="s">
        <v>3685</v>
      </c>
      <c r="HZ23" s="1603"/>
      <c r="IA23" s="1603"/>
      <c r="IB23" s="1603"/>
      <c r="IC23" s="1603">
        <v>55.837398373983703</v>
      </c>
      <c r="ID23" s="1603">
        <v>56.764227642276403</v>
      </c>
      <c r="IE23" s="1603">
        <v>57.536585365853703</v>
      </c>
      <c r="IF23" s="1603">
        <v>58</v>
      </c>
      <c r="IG23" s="1611" t="s">
        <v>3683</v>
      </c>
      <c r="IH23" s="1616" t="s">
        <v>3711</v>
      </c>
      <c r="II23" s="1615" t="s">
        <v>274</v>
      </c>
      <c r="IJ23" s="1613">
        <v>0.41826136363636363</v>
      </c>
      <c r="IK23" s="1613">
        <v>0.41826136363636363</v>
      </c>
      <c r="IL23" s="1614">
        <v>0.41826136363636363</v>
      </c>
      <c r="IM23" s="1614">
        <v>0.41826136363636363</v>
      </c>
      <c r="IN23" s="1612">
        <v>0.52200000000000002</v>
      </c>
      <c r="IO23" s="1613">
        <v>0.10373863636363639</v>
      </c>
      <c r="IP23" s="1607" t="s">
        <v>270</v>
      </c>
      <c r="IQ23" s="1612">
        <v>2.2000000000000002</v>
      </c>
      <c r="IR23" s="1612">
        <v>0.154</v>
      </c>
      <c r="IS23" s="1607">
        <v>0.41426136363636362</v>
      </c>
      <c r="IT23" s="1607">
        <v>0.41426136363636362</v>
      </c>
      <c r="IU23" s="1611">
        <v>1.1363636363636365E-5</v>
      </c>
      <c r="IV23" s="1611">
        <v>1.0568181818181818E-3</v>
      </c>
      <c r="IW23" s="1611">
        <v>7.8409090909090898E-4</v>
      </c>
      <c r="IX23" s="1611">
        <v>1.0909090909090907E-3</v>
      </c>
      <c r="IY23" s="1611">
        <v>7.9545454545454537E-4</v>
      </c>
      <c r="IZ23" s="1611">
        <v>8.0340909090909091E-3</v>
      </c>
      <c r="JA23" s="1611">
        <v>1.8181818181818183E-4</v>
      </c>
      <c r="JB23" s="1611" t="s">
        <v>270</v>
      </c>
      <c r="JC23" s="1611">
        <v>6.9750000000000006E-2</v>
      </c>
      <c r="JD23" s="1611">
        <v>1.9772727272727273E-3</v>
      </c>
      <c r="JE23" s="1611" t="s">
        <v>270</v>
      </c>
      <c r="JF23" s="1611">
        <v>2.5000000000000001E-4</v>
      </c>
      <c r="JG23" s="1611">
        <v>4.3789545454545458</v>
      </c>
      <c r="JH23" s="1611">
        <v>2.2727272727272727E-4</v>
      </c>
      <c r="JI23" s="1611">
        <v>4.7829545454545458E-2</v>
      </c>
      <c r="JJ23" s="1611" t="s">
        <v>270</v>
      </c>
      <c r="JK23" s="1607">
        <f t="shared" si="9"/>
        <v>4.0000000000000036E-3</v>
      </c>
      <c r="JL23" s="1608" t="s">
        <v>270</v>
      </c>
      <c r="JM23" s="1610" t="s">
        <v>2924</v>
      </c>
      <c r="JN23" s="1608">
        <v>0</v>
      </c>
      <c r="JO23" s="1609" t="s">
        <v>2923</v>
      </c>
      <c r="JP23" s="1608" t="s">
        <v>270</v>
      </c>
      <c r="JQ23" s="1607">
        <v>202103</v>
      </c>
      <c r="JR23" s="1606">
        <v>15</v>
      </c>
      <c r="JS23" s="1606">
        <v>22</v>
      </c>
      <c r="JT23" s="1606">
        <v>22</v>
      </c>
    </row>
    <row r="24" spans="1:280" ht="15" customHeight="1" x14ac:dyDescent="0.2">
      <c r="A24" s="1626">
        <v>50410</v>
      </c>
      <c r="B24" s="1625">
        <v>504</v>
      </c>
      <c r="C24" s="1624">
        <v>10</v>
      </c>
      <c r="D24" s="1623" t="s">
        <v>3713</v>
      </c>
      <c r="E24" s="1622">
        <v>44112</v>
      </c>
      <c r="F24" s="1620">
        <v>1.0205023519163765</v>
      </c>
      <c r="G24" s="1620">
        <v>1.027092886827458</v>
      </c>
      <c r="H24" s="1621">
        <v>84.1</v>
      </c>
      <c r="I24" s="1621">
        <v>77.3</v>
      </c>
      <c r="J24" s="1621">
        <v>90</v>
      </c>
      <c r="K24" s="1620">
        <v>1</v>
      </c>
      <c r="L24" s="1620">
        <v>85.2</v>
      </c>
      <c r="M24" s="1620">
        <v>9.1</v>
      </c>
      <c r="N24" s="1620">
        <v>2.7</v>
      </c>
      <c r="O24" s="1620">
        <v>1.7</v>
      </c>
      <c r="P24" s="1620">
        <v>4.5999999999999996</v>
      </c>
      <c r="Q24" s="1603"/>
      <c r="R24" s="1620">
        <v>73.980908948194653</v>
      </c>
      <c r="S24" s="1620">
        <v>30</v>
      </c>
      <c r="T24" s="1620">
        <v>41.382113821138198</v>
      </c>
      <c r="U24" s="1620">
        <v>45.934959349593498</v>
      </c>
      <c r="V24" s="1620">
        <v>50.032520325203301</v>
      </c>
      <c r="W24" s="1620">
        <v>52.764227642276403</v>
      </c>
      <c r="X24" s="1620"/>
      <c r="Y24" s="1620">
        <v>0.66901408450704214</v>
      </c>
      <c r="Z24" s="1620">
        <v>3.169014084507042</v>
      </c>
      <c r="AA24" s="1620">
        <v>0.11737089201877934</v>
      </c>
      <c r="AB24" s="1620">
        <v>1.8150684931506944</v>
      </c>
      <c r="AC24" s="1620">
        <v>4.7652582159624401</v>
      </c>
      <c r="AD24" s="1620">
        <v>1.1032863849765258</v>
      </c>
      <c r="AE24" s="1620">
        <v>1.3</v>
      </c>
      <c r="AF24" s="1620">
        <v>41.79577464788732</v>
      </c>
      <c r="AG24" s="1620">
        <v>3.169014084507042</v>
      </c>
      <c r="AH24" s="1620">
        <v>15.234741784037558</v>
      </c>
      <c r="AI24" s="1620">
        <v>29.330985915492956</v>
      </c>
      <c r="AJ24" s="1620">
        <v>0</v>
      </c>
      <c r="AK24" s="1620">
        <v>0.04</v>
      </c>
      <c r="AL24" s="1620"/>
      <c r="AM24" s="1620">
        <v>3.8428638497652581</v>
      </c>
      <c r="AN24" s="1620">
        <v>1.7234507042253522</v>
      </c>
      <c r="AO24" s="1620">
        <v>2.4143896713615023</v>
      </c>
      <c r="AP24" s="1620">
        <v>3.4796244131455394</v>
      </c>
      <c r="AQ24" s="1620">
        <v>1.3448122065727699</v>
      </c>
      <c r="AR24" s="1620">
        <v>3.6304694835680751</v>
      </c>
      <c r="AS24" s="1620">
        <v>6.8929812206572771</v>
      </c>
      <c r="AT24" s="1620">
        <v>2.3002582159624412</v>
      </c>
      <c r="AU24" s="1620">
        <v>4.767605633802817</v>
      </c>
      <c r="AV24" s="1620">
        <v>3.2036150234741787</v>
      </c>
      <c r="AW24" s="1620">
        <v>5.149154929577465</v>
      </c>
      <c r="AX24" s="1620"/>
      <c r="AY24" s="1620">
        <v>0.94</v>
      </c>
      <c r="AZ24" s="1620">
        <v>1.08</v>
      </c>
      <c r="BA24" s="1620">
        <v>1.03</v>
      </c>
      <c r="BB24" s="1620">
        <v>0.95</v>
      </c>
      <c r="BC24" s="1620">
        <v>0.96</v>
      </c>
      <c r="BD24" s="1620">
        <v>1</v>
      </c>
      <c r="BE24" s="1620">
        <v>1.01</v>
      </c>
      <c r="BF24" s="1620">
        <v>1</v>
      </c>
      <c r="BG24" s="1620">
        <v>1.04</v>
      </c>
      <c r="BH24" s="1620">
        <v>0.97</v>
      </c>
      <c r="BI24" s="1620">
        <v>0.96</v>
      </c>
      <c r="BJ24" s="1603"/>
      <c r="BK24" s="1620">
        <v>10.68075117370892</v>
      </c>
      <c r="BL24" s="1620">
        <v>3.169014084507042</v>
      </c>
      <c r="BM24" s="1620">
        <v>1.9953051643192488</v>
      </c>
      <c r="BN24" s="1620">
        <v>5.4117647058823524</v>
      </c>
      <c r="BO24" s="1620"/>
      <c r="BP24" s="1620">
        <v>120</v>
      </c>
      <c r="BQ24" s="1620">
        <v>38.117647058823529</v>
      </c>
      <c r="BR24" s="1620">
        <v>1.1977727135168736</v>
      </c>
      <c r="BS24" s="1620">
        <v>1.2055080831308194</v>
      </c>
      <c r="BT24" s="1603"/>
      <c r="BU24" s="1620">
        <v>980.04694835680755</v>
      </c>
      <c r="BV24" s="1620">
        <v>601.08065057008719</v>
      </c>
      <c r="BW24" s="1620">
        <v>95.204560697518403</v>
      </c>
      <c r="BX24" s="1620">
        <v>604</v>
      </c>
      <c r="BY24" s="1620">
        <v>21.000000000000004</v>
      </c>
      <c r="BZ24" s="1620">
        <v>56</v>
      </c>
      <c r="CA24" s="1620">
        <v>165</v>
      </c>
      <c r="CB24" s="1603"/>
      <c r="CC24" s="1603">
        <v>0.56999999999999984</v>
      </c>
      <c r="CD24" s="1603">
        <v>2.6999999999999997</v>
      </c>
      <c r="CE24" s="1603">
        <v>9.9999999999999992E-2</v>
      </c>
      <c r="CF24" s="1603">
        <v>1.5464383561643915</v>
      </c>
      <c r="CG24" s="1603">
        <v>4.0599999999999987</v>
      </c>
      <c r="CH24" s="1603">
        <v>0.94</v>
      </c>
      <c r="CI24" s="1603">
        <v>1.1075999999999999</v>
      </c>
      <c r="CJ24" s="1603"/>
      <c r="CK24" s="1603">
        <v>35.61</v>
      </c>
      <c r="CL24" s="1603">
        <v>2.6999999999999997</v>
      </c>
      <c r="CM24" s="1603">
        <v>12.979999999999999</v>
      </c>
      <c r="CN24" s="1603">
        <v>24.99</v>
      </c>
      <c r="CO24" s="1603">
        <v>0</v>
      </c>
      <c r="CP24" s="1603">
        <v>3.4079999999999999E-2</v>
      </c>
      <c r="CQ24" s="1603">
        <v>67.322627142857129</v>
      </c>
      <c r="CR24" s="1603">
        <v>65.970085239327091</v>
      </c>
      <c r="CS24" s="1603">
        <v>2.3830321238821419</v>
      </c>
      <c r="CT24" s="1603">
        <v>1.2279188505260679</v>
      </c>
      <c r="CU24" s="1603">
        <v>1.6405581719328932</v>
      </c>
      <c r="CV24" s="1603">
        <v>2.8684770224589613</v>
      </c>
      <c r="CW24" s="1603">
        <v>2.1807356317925208</v>
      </c>
      <c r="CX24" s="1603">
        <v>0.85168680862553447</v>
      </c>
      <c r="CY24" s="1603">
        <v>2.3950238128976173</v>
      </c>
      <c r="CZ24" s="1603">
        <v>4.5927786426663992</v>
      </c>
      <c r="DA24" s="1603">
        <v>1.5174823057950471</v>
      </c>
      <c r="DB24" s="1603">
        <v>3.2710012405144662</v>
      </c>
      <c r="DC24" s="1603">
        <v>2.0500247348740301</v>
      </c>
      <c r="DD24" s="1603">
        <v>5.3210259753884959</v>
      </c>
      <c r="DE24" s="1603">
        <v>3.2610258203013753</v>
      </c>
      <c r="DF24" s="1603">
        <v>0</v>
      </c>
      <c r="DG24" s="1603">
        <v>0</v>
      </c>
      <c r="DH24" s="1603">
        <v>0</v>
      </c>
      <c r="DI24" s="1603">
        <v>0</v>
      </c>
      <c r="DJ24" s="1603">
        <v>0</v>
      </c>
      <c r="DK24" s="1603">
        <v>0</v>
      </c>
      <c r="DL24" s="1603">
        <v>0</v>
      </c>
      <c r="DM24" s="1603">
        <v>0</v>
      </c>
      <c r="DN24" s="1603">
        <v>0</v>
      </c>
      <c r="DO24" s="1603">
        <v>0</v>
      </c>
      <c r="DP24" s="1603">
        <v>0</v>
      </c>
      <c r="DQ24" s="1603">
        <v>0</v>
      </c>
      <c r="DR24" s="1603">
        <v>0</v>
      </c>
      <c r="DS24" s="1603">
        <v>0</v>
      </c>
      <c r="DT24" s="1603">
        <v>0</v>
      </c>
      <c r="DU24" s="1603">
        <v>0</v>
      </c>
      <c r="DV24" s="1603">
        <v>0</v>
      </c>
      <c r="DW24" s="1618" t="s">
        <v>3688</v>
      </c>
      <c r="DX24" s="1605">
        <v>17</v>
      </c>
      <c r="DY24" s="1605">
        <v>17</v>
      </c>
      <c r="DZ24" s="1605">
        <v>9</v>
      </c>
      <c r="EA24" s="1605">
        <v>9</v>
      </c>
      <c r="EB24" s="1605" t="s">
        <v>986</v>
      </c>
      <c r="EC24" s="1605">
        <v>9</v>
      </c>
      <c r="ED24" s="1605">
        <v>9</v>
      </c>
      <c r="EE24" s="1605">
        <v>8</v>
      </c>
      <c r="EF24" s="1605">
        <v>9</v>
      </c>
      <c r="EG24" s="1605">
        <v>9</v>
      </c>
      <c r="EH24" s="1605" t="s">
        <v>986</v>
      </c>
      <c r="EI24" s="1605" t="s">
        <v>986</v>
      </c>
      <c r="EJ24" s="1605" t="s">
        <v>986</v>
      </c>
      <c r="EK24" s="1605" t="s">
        <v>986</v>
      </c>
      <c r="EL24" s="1605" t="s">
        <v>986</v>
      </c>
      <c r="EM24" s="1605" t="s">
        <v>986</v>
      </c>
      <c r="EN24" s="1605" t="s">
        <v>986</v>
      </c>
      <c r="EO24" s="1605" t="s">
        <v>986</v>
      </c>
      <c r="EP24" s="1605" t="s">
        <v>986</v>
      </c>
      <c r="EQ24" s="1605" t="s">
        <v>986</v>
      </c>
      <c r="ER24" s="1605" t="s">
        <v>986</v>
      </c>
      <c r="ES24" s="1605">
        <v>9</v>
      </c>
      <c r="ET24" s="1605">
        <v>17</v>
      </c>
      <c r="EU24" s="1605">
        <v>8</v>
      </c>
      <c r="EV24" s="1605">
        <v>7</v>
      </c>
      <c r="EW24" s="1605">
        <v>8</v>
      </c>
      <c r="EX24" s="1605">
        <v>8</v>
      </c>
      <c r="EY24" s="1605" t="s">
        <v>986</v>
      </c>
      <c r="EZ24" s="1605">
        <v>8</v>
      </c>
      <c r="FA24" s="1605">
        <v>8</v>
      </c>
      <c r="FB24" s="1605">
        <v>8</v>
      </c>
      <c r="FC24" s="1605">
        <v>8</v>
      </c>
      <c r="FD24" s="1605" t="s">
        <v>986</v>
      </c>
      <c r="FE24" s="1605" t="s">
        <v>986</v>
      </c>
      <c r="FF24" s="1605">
        <v>2.0414455662593607</v>
      </c>
      <c r="FG24" s="1605">
        <v>0.32945496500381322</v>
      </c>
      <c r="FH24" s="1605">
        <v>0.26040639465095983</v>
      </c>
      <c r="FI24" s="1605">
        <v>0.15349292793819003</v>
      </c>
      <c r="FJ24" s="1605" t="s">
        <v>986</v>
      </c>
      <c r="FK24" s="1605">
        <v>1.0642263382382553</v>
      </c>
      <c r="FL24" s="1605">
        <v>1.3416407864998738</v>
      </c>
      <c r="FM24" s="1605" t="s">
        <v>986</v>
      </c>
      <c r="FN24" s="1605">
        <v>2.3244736761117246</v>
      </c>
      <c r="FO24" s="1605">
        <v>1.8816226649368724</v>
      </c>
      <c r="FP24" s="1605" t="s">
        <v>986</v>
      </c>
      <c r="FQ24" s="1605" t="s">
        <v>986</v>
      </c>
      <c r="FR24" s="1605" t="s">
        <v>986</v>
      </c>
      <c r="FS24" s="1605" t="s">
        <v>986</v>
      </c>
      <c r="FT24" s="1605" t="s">
        <v>986</v>
      </c>
      <c r="FU24" s="1605" t="s">
        <v>986</v>
      </c>
      <c r="FV24" s="1605" t="s">
        <v>986</v>
      </c>
      <c r="FW24" s="1605" t="s">
        <v>986</v>
      </c>
      <c r="FX24" s="1605" t="s">
        <v>986</v>
      </c>
      <c r="FY24" s="1605" t="s">
        <v>986</v>
      </c>
      <c r="FZ24" s="1605" t="s">
        <v>986</v>
      </c>
      <c r="GA24" s="1605">
        <v>5.1923727878453715E-2</v>
      </c>
      <c r="GB24" s="1605">
        <v>0.21196059490215372</v>
      </c>
      <c r="GC24" s="1605">
        <v>5.8277124316078168E-3</v>
      </c>
      <c r="GD24" s="1605">
        <v>0.22</v>
      </c>
      <c r="GE24" s="1605">
        <v>0.23554707018792828</v>
      </c>
      <c r="GF24" s="1605">
        <v>3.0713407839364219E-2</v>
      </c>
      <c r="GG24" s="1605" t="s">
        <v>986</v>
      </c>
      <c r="GH24" s="1605">
        <v>3.0990209100407782</v>
      </c>
      <c r="GI24" s="1605">
        <v>0.54075413844893017</v>
      </c>
      <c r="GJ24" s="1605">
        <v>1.2235539085415654</v>
      </c>
      <c r="GK24" s="1605">
        <v>4.014833470053186</v>
      </c>
      <c r="GL24" s="1605" t="s">
        <v>986</v>
      </c>
      <c r="GM24" s="1605" t="s">
        <v>986</v>
      </c>
      <c r="GN24" s="1605" t="s">
        <v>1763</v>
      </c>
      <c r="GO24" s="1605" t="s">
        <v>1763</v>
      </c>
      <c r="GP24" s="1605" t="s">
        <v>1763</v>
      </c>
      <c r="GQ24" s="1605" t="s">
        <v>1763</v>
      </c>
      <c r="GR24" s="1605" t="s">
        <v>1763</v>
      </c>
      <c r="GS24" s="1605" t="s">
        <v>1763</v>
      </c>
      <c r="GT24" s="1605" t="s">
        <v>1763</v>
      </c>
      <c r="GU24" s="1605" t="s">
        <v>1763</v>
      </c>
      <c r="GV24" s="1605" t="s">
        <v>1763</v>
      </c>
      <c r="GW24" s="1605" t="s">
        <v>1763</v>
      </c>
      <c r="GX24" s="1605" t="s">
        <v>1763</v>
      </c>
      <c r="GY24" s="1605" t="s">
        <v>1763</v>
      </c>
      <c r="GZ24" s="1605" t="s">
        <v>1763</v>
      </c>
      <c r="HA24" s="1605" t="s">
        <v>1763</v>
      </c>
      <c r="HB24" s="1605" t="s">
        <v>1763</v>
      </c>
      <c r="HC24" s="1605" t="s">
        <v>1763</v>
      </c>
      <c r="HD24" s="1605" t="s">
        <v>1763</v>
      </c>
      <c r="HE24" s="1605" t="s">
        <v>1763</v>
      </c>
      <c r="HF24" s="1605" t="s">
        <v>1763</v>
      </c>
      <c r="HG24" s="1605" t="s">
        <v>1763</v>
      </c>
      <c r="HH24" s="1605" t="s">
        <v>1763</v>
      </c>
      <c r="HI24" s="1605" t="s">
        <v>1763</v>
      </c>
      <c r="HJ24" s="1605" t="s">
        <v>1763</v>
      </c>
      <c r="HK24" s="1605" t="s">
        <v>1763</v>
      </c>
      <c r="HL24" s="1605" t="s">
        <v>1578</v>
      </c>
      <c r="HM24" s="1605" t="s">
        <v>1763</v>
      </c>
      <c r="HN24" s="1605" t="s">
        <v>1763</v>
      </c>
      <c r="HO24" s="1605" t="s">
        <v>986</v>
      </c>
      <c r="HP24" s="1605" t="s">
        <v>1763</v>
      </c>
      <c r="HQ24" s="1605" t="s">
        <v>1763</v>
      </c>
      <c r="HR24" s="1605" t="s">
        <v>1763</v>
      </c>
      <c r="HS24" s="1605" t="s">
        <v>1763</v>
      </c>
      <c r="HT24" s="1605" t="s">
        <v>1763</v>
      </c>
      <c r="HU24" s="1605" t="s">
        <v>1763</v>
      </c>
      <c r="HV24" s="1617"/>
      <c r="HW24" s="1617" t="s">
        <v>3694</v>
      </c>
      <c r="HX24" s="1617" t="s">
        <v>3686</v>
      </c>
      <c r="HY24" s="1617" t="s">
        <v>3685</v>
      </c>
      <c r="HZ24" s="1603"/>
      <c r="IA24" s="1603"/>
      <c r="IB24" s="1603"/>
      <c r="IC24" s="1603">
        <v>54.8130081300813</v>
      </c>
      <c r="ID24" s="1603">
        <v>56.178861788617901</v>
      </c>
      <c r="IE24" s="1603">
        <v>57.317073170731703</v>
      </c>
      <c r="IF24" s="1603">
        <v>58</v>
      </c>
      <c r="IG24" s="1611" t="s">
        <v>3683</v>
      </c>
      <c r="IH24" s="1616" t="s">
        <v>3711</v>
      </c>
      <c r="II24" s="1615" t="s">
        <v>274</v>
      </c>
      <c r="IJ24" s="1613">
        <v>0.41826136363636363</v>
      </c>
      <c r="IK24" s="1613">
        <v>0.41826136363636363</v>
      </c>
      <c r="IL24" s="1614">
        <v>0.41826136363636363</v>
      </c>
      <c r="IM24" s="1614">
        <v>0.41826136363636363</v>
      </c>
      <c r="IN24" s="1612">
        <v>0.52200000000000002</v>
      </c>
      <c r="IO24" s="1613">
        <v>0.10373863636363639</v>
      </c>
      <c r="IP24" s="1607" t="s">
        <v>270</v>
      </c>
      <c r="IQ24" s="1612">
        <v>2.2000000000000002</v>
      </c>
      <c r="IR24" s="1612">
        <v>0.154</v>
      </c>
      <c r="IS24" s="1607">
        <v>0.41426136363636362</v>
      </c>
      <c r="IT24" s="1607">
        <v>0.41426136363636362</v>
      </c>
      <c r="IU24" s="1611">
        <v>1.1363636363636365E-5</v>
      </c>
      <c r="IV24" s="1611">
        <v>1.0568181818181818E-3</v>
      </c>
      <c r="IW24" s="1611">
        <v>7.8409090909090898E-4</v>
      </c>
      <c r="IX24" s="1611">
        <v>1.0909090909090907E-3</v>
      </c>
      <c r="IY24" s="1611">
        <v>7.9545454545454537E-4</v>
      </c>
      <c r="IZ24" s="1611">
        <v>8.0340909090909091E-3</v>
      </c>
      <c r="JA24" s="1611">
        <v>1.8181818181818183E-4</v>
      </c>
      <c r="JB24" s="1611" t="s">
        <v>270</v>
      </c>
      <c r="JC24" s="1611">
        <v>6.9750000000000006E-2</v>
      </c>
      <c r="JD24" s="1611">
        <v>1.9772727272727273E-3</v>
      </c>
      <c r="JE24" s="1611" t="s">
        <v>270</v>
      </c>
      <c r="JF24" s="1611">
        <v>2.5000000000000001E-4</v>
      </c>
      <c r="JG24" s="1611">
        <v>4.3789545454545458</v>
      </c>
      <c r="JH24" s="1611">
        <v>2.2727272727272727E-4</v>
      </c>
      <c r="JI24" s="1611">
        <v>4.7829545454545458E-2</v>
      </c>
      <c r="JJ24" s="1611" t="s">
        <v>270</v>
      </c>
      <c r="JK24" s="1607">
        <f t="shared" si="9"/>
        <v>4.0000000000000036E-3</v>
      </c>
      <c r="JL24" s="1608" t="s">
        <v>270</v>
      </c>
      <c r="JM24" s="1610" t="s">
        <v>2924</v>
      </c>
      <c r="JN24" s="1608">
        <v>0</v>
      </c>
      <c r="JO24" s="1609" t="s">
        <v>2923</v>
      </c>
      <c r="JP24" s="1608" t="s">
        <v>270</v>
      </c>
      <c r="JQ24" s="1607">
        <v>202103</v>
      </c>
      <c r="JR24" s="1606">
        <v>15</v>
      </c>
      <c r="JS24" s="1606">
        <v>22</v>
      </c>
      <c r="JT24" s="1606">
        <v>22</v>
      </c>
    </row>
    <row r="25" spans="1:280" ht="15" customHeight="1" x14ac:dyDescent="0.2">
      <c r="A25" s="1626">
        <v>50411</v>
      </c>
      <c r="B25" s="1625">
        <v>504</v>
      </c>
      <c r="C25" s="1624">
        <v>11</v>
      </c>
      <c r="D25" s="1623" t="s">
        <v>3712</v>
      </c>
      <c r="E25" s="1622">
        <v>44112</v>
      </c>
      <c r="F25" s="1620">
        <v>1.0265636178861788</v>
      </c>
      <c r="G25" s="1620">
        <v>1.0313530909090909</v>
      </c>
      <c r="H25" s="1621">
        <v>84.1</v>
      </c>
      <c r="I25" s="1621">
        <v>77.8</v>
      </c>
      <c r="J25" s="1621">
        <v>90</v>
      </c>
      <c r="K25" s="1620">
        <v>1</v>
      </c>
      <c r="L25" s="1620">
        <v>85.2</v>
      </c>
      <c r="M25" s="1620">
        <v>9.1</v>
      </c>
      <c r="N25" s="1620">
        <v>2.7</v>
      </c>
      <c r="O25" s="1620">
        <v>1.7</v>
      </c>
      <c r="P25" s="1620">
        <v>4.5999999999999996</v>
      </c>
      <c r="Q25" s="1603"/>
      <c r="R25" s="1620">
        <v>74.413483516483524</v>
      </c>
      <c r="S25" s="1620">
        <v>30</v>
      </c>
      <c r="T25" s="1620">
        <v>41.382113821138198</v>
      </c>
      <c r="U25" s="1620">
        <v>45.934959349593498</v>
      </c>
      <c r="V25" s="1620">
        <v>50.032520325203301</v>
      </c>
      <c r="W25" s="1620">
        <v>52.764227642276403</v>
      </c>
      <c r="X25" s="1620"/>
      <c r="Y25" s="1620">
        <v>0.66901408450704214</v>
      </c>
      <c r="Z25" s="1620">
        <v>3.169014084507042</v>
      </c>
      <c r="AA25" s="1620">
        <v>0.11737089201877934</v>
      </c>
      <c r="AB25" s="1620">
        <v>1.8150684931506944</v>
      </c>
      <c r="AC25" s="1620">
        <v>4.7652582159624401</v>
      </c>
      <c r="AD25" s="1620">
        <v>1.1032863849765258</v>
      </c>
      <c r="AE25" s="1620">
        <v>1.3</v>
      </c>
      <c r="AF25" s="1620">
        <v>41.79577464788732</v>
      </c>
      <c r="AG25" s="1620">
        <v>3.169014084507042</v>
      </c>
      <c r="AH25" s="1620">
        <v>15.234741784037558</v>
      </c>
      <c r="AI25" s="1620">
        <v>29.330985915492956</v>
      </c>
      <c r="AJ25" s="1620">
        <v>0</v>
      </c>
      <c r="AK25" s="1620">
        <v>0.04</v>
      </c>
      <c r="AL25" s="1620"/>
      <c r="AM25" s="1620">
        <v>3.8428638497652581</v>
      </c>
      <c r="AN25" s="1620">
        <v>1.7234507042253522</v>
      </c>
      <c r="AO25" s="1620">
        <v>2.4143896713615023</v>
      </c>
      <c r="AP25" s="1620">
        <v>3.4796244131455394</v>
      </c>
      <c r="AQ25" s="1620">
        <v>1.3448122065727699</v>
      </c>
      <c r="AR25" s="1620">
        <v>3.6304694835680751</v>
      </c>
      <c r="AS25" s="1620">
        <v>6.8929812206572771</v>
      </c>
      <c r="AT25" s="1620">
        <v>2.3002582159624412</v>
      </c>
      <c r="AU25" s="1620">
        <v>4.767605633802817</v>
      </c>
      <c r="AV25" s="1620">
        <v>3.2036150234741787</v>
      </c>
      <c r="AW25" s="1620">
        <v>5.149154929577465</v>
      </c>
      <c r="AX25" s="1620"/>
      <c r="AY25" s="1620">
        <v>0.94</v>
      </c>
      <c r="AZ25" s="1620">
        <v>1.08</v>
      </c>
      <c r="BA25" s="1620">
        <v>1.03</v>
      </c>
      <c r="BB25" s="1620">
        <v>0.95</v>
      </c>
      <c r="BC25" s="1620">
        <v>0.96</v>
      </c>
      <c r="BD25" s="1620">
        <v>1</v>
      </c>
      <c r="BE25" s="1620">
        <v>1.01</v>
      </c>
      <c r="BF25" s="1620">
        <v>1</v>
      </c>
      <c r="BG25" s="1620">
        <v>1.04</v>
      </c>
      <c r="BH25" s="1620">
        <v>0.97</v>
      </c>
      <c r="BI25" s="1620">
        <v>0.96</v>
      </c>
      <c r="BJ25" s="1603"/>
      <c r="BK25" s="1620">
        <v>10.68075117370892</v>
      </c>
      <c r="BL25" s="1620">
        <v>3.169014084507042</v>
      </c>
      <c r="BM25" s="1620">
        <v>1.9953051643192488</v>
      </c>
      <c r="BN25" s="1620">
        <v>5.4117647058823524</v>
      </c>
      <c r="BO25" s="1620"/>
      <c r="BP25" s="1620">
        <v>120</v>
      </c>
      <c r="BQ25" s="1620">
        <v>38.117647058823529</v>
      </c>
      <c r="BR25" s="1620">
        <v>1.2048868754532616</v>
      </c>
      <c r="BS25" s="1620">
        <v>1.2105083226632523</v>
      </c>
      <c r="BT25" s="1603"/>
      <c r="BU25" s="1620">
        <v>980.04694835680755</v>
      </c>
      <c r="BV25" s="1620">
        <v>608.08098591549299</v>
      </c>
      <c r="BW25" s="1620">
        <v>88.204225352112644</v>
      </c>
      <c r="BX25" s="1620">
        <v>604</v>
      </c>
      <c r="BY25" s="1620">
        <v>21.000000000000004</v>
      </c>
      <c r="BZ25" s="1620">
        <v>56</v>
      </c>
      <c r="CA25" s="1620">
        <v>165</v>
      </c>
      <c r="CB25" s="1603"/>
      <c r="CC25" s="1603">
        <v>0.56999999999999984</v>
      </c>
      <c r="CD25" s="1603">
        <v>2.6999999999999997</v>
      </c>
      <c r="CE25" s="1603">
        <v>9.9999999999999992E-2</v>
      </c>
      <c r="CF25" s="1603">
        <v>1.5464383561643915</v>
      </c>
      <c r="CG25" s="1603">
        <v>4.0599999999999987</v>
      </c>
      <c r="CH25" s="1603">
        <v>0.94</v>
      </c>
      <c r="CI25" s="1603">
        <v>1.1075999999999999</v>
      </c>
      <c r="CJ25" s="1603"/>
      <c r="CK25" s="1603">
        <v>35.61</v>
      </c>
      <c r="CL25" s="1603">
        <v>2.6999999999999997</v>
      </c>
      <c r="CM25" s="1603">
        <v>12.979999999999999</v>
      </c>
      <c r="CN25" s="1603">
        <v>24.99</v>
      </c>
      <c r="CO25" s="1603">
        <v>0</v>
      </c>
      <c r="CP25" s="1603">
        <v>3.4079999999999999E-2</v>
      </c>
      <c r="CQ25" s="1603">
        <v>67.716270000000009</v>
      </c>
      <c r="CR25" s="1603">
        <v>65.964026797906754</v>
      </c>
      <c r="CS25" s="1603">
        <v>2.3828132752862525</v>
      </c>
      <c r="CT25" s="1603">
        <v>1.2278060831346378</v>
      </c>
      <c r="CU25" s="1603">
        <v>1.6404075093174779</v>
      </c>
      <c r="CV25" s="1603">
        <v>2.8682135924521157</v>
      </c>
      <c r="CW25" s="1603">
        <v>2.1805353613361373</v>
      </c>
      <c r="CX25" s="1603">
        <v>0.85160859295217572</v>
      </c>
      <c r="CY25" s="1603">
        <v>2.3948038630306718</v>
      </c>
      <c r="CZ25" s="1603">
        <v>4.5923568593647373</v>
      </c>
      <c r="DA25" s="1603">
        <v>1.5173429459985164</v>
      </c>
      <c r="DB25" s="1603">
        <v>3.2707008442162104</v>
      </c>
      <c r="DC25" s="1603">
        <v>2.0498364684086856</v>
      </c>
      <c r="DD25" s="1603">
        <v>5.3205373126248965</v>
      </c>
      <c r="DE25" s="1603">
        <v>3.2607263401077264</v>
      </c>
      <c r="DF25" s="1603">
        <v>0</v>
      </c>
      <c r="DG25" s="1603">
        <v>0</v>
      </c>
      <c r="DH25" s="1603">
        <v>0</v>
      </c>
      <c r="DI25" s="1603">
        <v>0</v>
      </c>
      <c r="DJ25" s="1603">
        <v>0</v>
      </c>
      <c r="DK25" s="1603">
        <v>0</v>
      </c>
      <c r="DL25" s="1603">
        <v>0</v>
      </c>
      <c r="DM25" s="1603">
        <v>0</v>
      </c>
      <c r="DN25" s="1603">
        <v>0</v>
      </c>
      <c r="DO25" s="1603">
        <v>0</v>
      </c>
      <c r="DP25" s="1603">
        <v>0</v>
      </c>
      <c r="DQ25" s="1603">
        <v>0</v>
      </c>
      <c r="DR25" s="1603">
        <v>0</v>
      </c>
      <c r="DS25" s="1603">
        <v>0</v>
      </c>
      <c r="DT25" s="1603">
        <v>0</v>
      </c>
      <c r="DU25" s="1603">
        <v>0</v>
      </c>
      <c r="DV25" s="1603">
        <v>0</v>
      </c>
      <c r="DW25" s="1618" t="s">
        <v>3688</v>
      </c>
      <c r="DX25" s="1605">
        <v>17</v>
      </c>
      <c r="DY25" s="1605">
        <v>17</v>
      </c>
      <c r="DZ25" s="1605">
        <v>9</v>
      </c>
      <c r="EA25" s="1605">
        <v>9</v>
      </c>
      <c r="EB25" s="1605" t="s">
        <v>986</v>
      </c>
      <c r="EC25" s="1605">
        <v>9</v>
      </c>
      <c r="ED25" s="1605">
        <v>9</v>
      </c>
      <c r="EE25" s="1605">
        <v>8</v>
      </c>
      <c r="EF25" s="1605">
        <v>9</v>
      </c>
      <c r="EG25" s="1605">
        <v>9</v>
      </c>
      <c r="EH25" s="1605" t="s">
        <v>986</v>
      </c>
      <c r="EI25" s="1605" t="s">
        <v>986</v>
      </c>
      <c r="EJ25" s="1605" t="s">
        <v>986</v>
      </c>
      <c r="EK25" s="1605" t="s">
        <v>986</v>
      </c>
      <c r="EL25" s="1605" t="s">
        <v>986</v>
      </c>
      <c r="EM25" s="1605" t="s">
        <v>986</v>
      </c>
      <c r="EN25" s="1605" t="s">
        <v>986</v>
      </c>
      <c r="EO25" s="1605" t="s">
        <v>986</v>
      </c>
      <c r="EP25" s="1605" t="s">
        <v>986</v>
      </c>
      <c r="EQ25" s="1605" t="s">
        <v>986</v>
      </c>
      <c r="ER25" s="1605" t="s">
        <v>986</v>
      </c>
      <c r="ES25" s="1605">
        <v>9</v>
      </c>
      <c r="ET25" s="1605">
        <v>17</v>
      </c>
      <c r="EU25" s="1605">
        <v>8</v>
      </c>
      <c r="EV25" s="1605">
        <v>7</v>
      </c>
      <c r="EW25" s="1605">
        <v>8</v>
      </c>
      <c r="EX25" s="1605">
        <v>8</v>
      </c>
      <c r="EY25" s="1605" t="s">
        <v>986</v>
      </c>
      <c r="EZ25" s="1605">
        <v>8</v>
      </c>
      <c r="FA25" s="1605">
        <v>8</v>
      </c>
      <c r="FB25" s="1605">
        <v>8</v>
      </c>
      <c r="FC25" s="1605">
        <v>8</v>
      </c>
      <c r="FD25" s="1605" t="s">
        <v>986</v>
      </c>
      <c r="FE25" s="1605" t="s">
        <v>986</v>
      </c>
      <c r="FF25" s="1605">
        <v>2.0414455662593607</v>
      </c>
      <c r="FG25" s="1605">
        <v>0.32945496500381322</v>
      </c>
      <c r="FH25" s="1605">
        <v>0.26040639465095983</v>
      </c>
      <c r="FI25" s="1605">
        <v>0.15349292793819003</v>
      </c>
      <c r="FJ25" s="1605" t="s">
        <v>986</v>
      </c>
      <c r="FK25" s="1605">
        <v>1.0642263382382553</v>
      </c>
      <c r="FL25" s="1605">
        <v>1.3416407864998738</v>
      </c>
      <c r="FM25" s="1605" t="s">
        <v>986</v>
      </c>
      <c r="FN25" s="1605">
        <v>2.3244736761117246</v>
      </c>
      <c r="FO25" s="1605">
        <v>1.8816226649368724</v>
      </c>
      <c r="FP25" s="1605" t="s">
        <v>986</v>
      </c>
      <c r="FQ25" s="1605" t="s">
        <v>986</v>
      </c>
      <c r="FR25" s="1605" t="s">
        <v>986</v>
      </c>
      <c r="FS25" s="1605" t="s">
        <v>986</v>
      </c>
      <c r="FT25" s="1605" t="s">
        <v>986</v>
      </c>
      <c r="FU25" s="1605" t="s">
        <v>986</v>
      </c>
      <c r="FV25" s="1605" t="s">
        <v>986</v>
      </c>
      <c r="FW25" s="1605" t="s">
        <v>986</v>
      </c>
      <c r="FX25" s="1605" t="s">
        <v>986</v>
      </c>
      <c r="FY25" s="1605" t="s">
        <v>986</v>
      </c>
      <c r="FZ25" s="1605" t="s">
        <v>986</v>
      </c>
      <c r="GA25" s="1605">
        <v>5.1923727878453715E-2</v>
      </c>
      <c r="GB25" s="1605">
        <v>0.21196059490215372</v>
      </c>
      <c r="GC25" s="1605">
        <v>5.8277124316078168E-3</v>
      </c>
      <c r="GD25" s="1605">
        <v>0.22</v>
      </c>
      <c r="GE25" s="1605">
        <v>0.23554707018792828</v>
      </c>
      <c r="GF25" s="1605">
        <v>3.0713407839364219E-2</v>
      </c>
      <c r="GG25" s="1605" t="s">
        <v>986</v>
      </c>
      <c r="GH25" s="1605">
        <v>3.0990209100407782</v>
      </c>
      <c r="GI25" s="1605">
        <v>0.54075413844893017</v>
      </c>
      <c r="GJ25" s="1605">
        <v>1.2235539085415654</v>
      </c>
      <c r="GK25" s="1605">
        <v>4.014833470053186</v>
      </c>
      <c r="GL25" s="1605" t="s">
        <v>986</v>
      </c>
      <c r="GM25" s="1605" t="s">
        <v>986</v>
      </c>
      <c r="GN25" s="1605" t="s">
        <v>1763</v>
      </c>
      <c r="GO25" s="1605" t="s">
        <v>1763</v>
      </c>
      <c r="GP25" s="1605" t="s">
        <v>1763</v>
      </c>
      <c r="GQ25" s="1605" t="s">
        <v>1763</v>
      </c>
      <c r="GR25" s="1605" t="s">
        <v>1763</v>
      </c>
      <c r="GS25" s="1605" t="s">
        <v>1763</v>
      </c>
      <c r="GT25" s="1605" t="s">
        <v>1763</v>
      </c>
      <c r="GU25" s="1605" t="s">
        <v>1763</v>
      </c>
      <c r="GV25" s="1605" t="s">
        <v>1763</v>
      </c>
      <c r="GW25" s="1605" t="s">
        <v>1763</v>
      </c>
      <c r="GX25" s="1605" t="s">
        <v>1763</v>
      </c>
      <c r="GY25" s="1605" t="s">
        <v>1763</v>
      </c>
      <c r="GZ25" s="1605" t="s">
        <v>1763</v>
      </c>
      <c r="HA25" s="1605" t="s">
        <v>1763</v>
      </c>
      <c r="HB25" s="1605" t="s">
        <v>1763</v>
      </c>
      <c r="HC25" s="1605" t="s">
        <v>1763</v>
      </c>
      <c r="HD25" s="1605" t="s">
        <v>1763</v>
      </c>
      <c r="HE25" s="1605" t="s">
        <v>1763</v>
      </c>
      <c r="HF25" s="1605" t="s">
        <v>1763</v>
      </c>
      <c r="HG25" s="1605" t="s">
        <v>1763</v>
      </c>
      <c r="HH25" s="1605" t="s">
        <v>1763</v>
      </c>
      <c r="HI25" s="1605" t="s">
        <v>1763</v>
      </c>
      <c r="HJ25" s="1605" t="s">
        <v>1763</v>
      </c>
      <c r="HK25" s="1605" t="s">
        <v>1763</v>
      </c>
      <c r="HL25" s="1605" t="s">
        <v>1578</v>
      </c>
      <c r="HM25" s="1605" t="s">
        <v>1763</v>
      </c>
      <c r="HN25" s="1605" t="s">
        <v>1763</v>
      </c>
      <c r="HO25" s="1605" t="s">
        <v>986</v>
      </c>
      <c r="HP25" s="1605" t="s">
        <v>1763</v>
      </c>
      <c r="HQ25" s="1605" t="s">
        <v>1763</v>
      </c>
      <c r="HR25" s="1605" t="s">
        <v>1763</v>
      </c>
      <c r="HS25" s="1605" t="s">
        <v>1763</v>
      </c>
      <c r="HT25" s="1605" t="s">
        <v>1763</v>
      </c>
      <c r="HU25" s="1605" t="s">
        <v>1763</v>
      </c>
      <c r="HV25" s="1617"/>
      <c r="HW25" s="1617" t="s">
        <v>3694</v>
      </c>
      <c r="HX25" s="1617" t="s">
        <v>3686</v>
      </c>
      <c r="HY25" s="1617" t="s">
        <v>3685</v>
      </c>
      <c r="HZ25" s="1603"/>
      <c r="IA25" s="1603"/>
      <c r="IB25" s="1603"/>
      <c r="IC25" s="1603">
        <v>54.8130081300813</v>
      </c>
      <c r="ID25" s="1603">
        <v>56.178861788617901</v>
      </c>
      <c r="IE25" s="1603">
        <v>57.317073170731703</v>
      </c>
      <c r="IF25" s="1603">
        <v>58</v>
      </c>
      <c r="IG25" s="1611" t="s">
        <v>3683</v>
      </c>
      <c r="IH25" s="1616" t="s">
        <v>3711</v>
      </c>
      <c r="II25" s="1615" t="s">
        <v>274</v>
      </c>
      <c r="IJ25" s="1613">
        <v>0.41826136363636363</v>
      </c>
      <c r="IK25" s="1613">
        <v>0.41826136363636363</v>
      </c>
      <c r="IL25" s="1614">
        <v>0.41826136363636363</v>
      </c>
      <c r="IM25" s="1614">
        <v>0.41826136363636363</v>
      </c>
      <c r="IN25" s="1612">
        <v>0.52200000000000002</v>
      </c>
      <c r="IO25" s="1613">
        <v>0.10373863636363639</v>
      </c>
      <c r="IP25" s="1607" t="s">
        <v>270</v>
      </c>
      <c r="IQ25" s="1612">
        <v>2.2000000000000002</v>
      </c>
      <c r="IR25" s="1612">
        <v>0.154</v>
      </c>
      <c r="IS25" s="1607">
        <v>0.41426136363636362</v>
      </c>
      <c r="IT25" s="1607">
        <v>0.41426136363636362</v>
      </c>
      <c r="IU25" s="1611">
        <v>1.1363636363636365E-5</v>
      </c>
      <c r="IV25" s="1611">
        <v>1.0568181818181818E-3</v>
      </c>
      <c r="IW25" s="1611">
        <v>7.8409090909090898E-4</v>
      </c>
      <c r="IX25" s="1611">
        <v>1.0909090909090907E-3</v>
      </c>
      <c r="IY25" s="1611">
        <v>7.9545454545454537E-4</v>
      </c>
      <c r="IZ25" s="1611">
        <v>8.0340909090909091E-3</v>
      </c>
      <c r="JA25" s="1611">
        <v>1.8181818181818183E-4</v>
      </c>
      <c r="JB25" s="1611" t="s">
        <v>270</v>
      </c>
      <c r="JC25" s="1611">
        <v>6.9750000000000006E-2</v>
      </c>
      <c r="JD25" s="1611">
        <v>1.9772727272727273E-3</v>
      </c>
      <c r="JE25" s="1611" t="s">
        <v>270</v>
      </c>
      <c r="JF25" s="1611">
        <v>2.5000000000000001E-4</v>
      </c>
      <c r="JG25" s="1611">
        <v>4.3789545454545458</v>
      </c>
      <c r="JH25" s="1611">
        <v>2.2727272727272727E-4</v>
      </c>
      <c r="JI25" s="1611">
        <v>4.7829545454545458E-2</v>
      </c>
      <c r="JJ25" s="1611" t="s">
        <v>270</v>
      </c>
      <c r="JK25" s="1607">
        <f t="shared" si="9"/>
        <v>4.0000000000000036E-3</v>
      </c>
      <c r="JL25" s="1608" t="s">
        <v>270</v>
      </c>
      <c r="JM25" s="1610" t="s">
        <v>2924</v>
      </c>
      <c r="JN25" s="1608">
        <v>0</v>
      </c>
      <c r="JO25" s="1609" t="s">
        <v>2923</v>
      </c>
      <c r="JP25" s="1608" t="s">
        <v>270</v>
      </c>
      <c r="JQ25" s="1607">
        <v>202103</v>
      </c>
      <c r="JR25" s="1606">
        <v>15</v>
      </c>
      <c r="JS25" s="1606">
        <v>22</v>
      </c>
      <c r="JT25" s="1606">
        <v>22</v>
      </c>
    </row>
    <row r="26" spans="1:280" ht="15" customHeight="1" x14ac:dyDescent="0.2">
      <c r="A26" s="1626">
        <v>50350</v>
      </c>
      <c r="B26" s="1625">
        <v>503</v>
      </c>
      <c r="C26" s="1624">
        <v>50</v>
      </c>
      <c r="D26" s="1623" t="s">
        <v>3710</v>
      </c>
      <c r="E26" s="1622">
        <v>44497</v>
      </c>
      <c r="F26" s="1620">
        <v>1.0399151180797523</v>
      </c>
      <c r="G26" s="1620">
        <v>1.0435126552875693</v>
      </c>
      <c r="H26" s="1621">
        <v>83.2</v>
      </c>
      <c r="I26" s="1621">
        <v>77.900000000000006</v>
      </c>
      <c r="J26" s="1621">
        <v>90</v>
      </c>
      <c r="K26" s="1620">
        <v>1</v>
      </c>
      <c r="L26" s="1620">
        <v>86.9</v>
      </c>
      <c r="M26" s="1620">
        <v>9.3000000000000007</v>
      </c>
      <c r="N26" s="1620">
        <v>2.6</v>
      </c>
      <c r="O26" s="1620">
        <v>1.8</v>
      </c>
      <c r="P26" s="1620">
        <v>4.5999999999999996</v>
      </c>
      <c r="Q26" s="1603"/>
      <c r="R26" s="1620">
        <v>74.76884239631336</v>
      </c>
      <c r="S26" s="1620">
        <v>39</v>
      </c>
      <c r="T26" s="1620">
        <v>46.723577235772403</v>
      </c>
      <c r="U26" s="1620">
        <v>49.8130081300813</v>
      </c>
      <c r="V26" s="1620">
        <v>52.5934959349593</v>
      </c>
      <c r="W26" s="1620">
        <v>54.4471544715447</v>
      </c>
      <c r="X26" s="1620"/>
      <c r="Y26" s="1620">
        <v>0.62140391254315297</v>
      </c>
      <c r="Z26" s="1620">
        <v>3.2220943613348676</v>
      </c>
      <c r="AA26" s="1620">
        <v>0.12658227848101264</v>
      </c>
      <c r="AB26" s="1620">
        <v>1.8150684931506944</v>
      </c>
      <c r="AC26" s="1620">
        <v>5.5581127733026463</v>
      </c>
      <c r="AD26" s="1620">
        <v>1.001150747986191</v>
      </c>
      <c r="AE26" s="1620">
        <v>1.3</v>
      </c>
      <c r="AF26" s="1620">
        <v>39.953970080552359</v>
      </c>
      <c r="AG26" s="1620">
        <v>2.3820483314154197</v>
      </c>
      <c r="AH26" s="1620">
        <v>15.397008055235903</v>
      </c>
      <c r="AI26" s="1620">
        <v>23.268124280782509</v>
      </c>
      <c r="AJ26" s="1620">
        <v>0</v>
      </c>
      <c r="AK26" s="1620">
        <v>0.04</v>
      </c>
      <c r="AL26" s="1620"/>
      <c r="AM26" s="1620">
        <v>3.8401495972382049</v>
      </c>
      <c r="AN26" s="1620">
        <v>1.7226237054085156</v>
      </c>
      <c r="AO26" s="1620">
        <v>2.4129689298043724</v>
      </c>
      <c r="AP26" s="1620">
        <v>3.4780552359033368</v>
      </c>
      <c r="AQ26" s="1620">
        <v>1.3440276179516686</v>
      </c>
      <c r="AR26" s="1620">
        <v>3.6301726121979283</v>
      </c>
      <c r="AS26" s="1620">
        <v>6.8924510932105871</v>
      </c>
      <c r="AT26" s="1620">
        <v>2.2996432681242807</v>
      </c>
      <c r="AU26" s="1620">
        <v>4.7700230149597243</v>
      </c>
      <c r="AV26" s="1620">
        <v>3.2040391254315308</v>
      </c>
      <c r="AW26" s="1620">
        <v>5.1478826237054083</v>
      </c>
      <c r="AX26" s="1620"/>
      <c r="AY26" s="1620">
        <v>0.94</v>
      </c>
      <c r="AZ26" s="1620">
        <v>1.08</v>
      </c>
      <c r="BA26" s="1620">
        <v>1.03</v>
      </c>
      <c r="BB26" s="1620">
        <v>0.95</v>
      </c>
      <c r="BC26" s="1620">
        <v>0.96</v>
      </c>
      <c r="BD26" s="1620">
        <v>1</v>
      </c>
      <c r="BE26" s="1620">
        <v>1.01</v>
      </c>
      <c r="BF26" s="1620">
        <v>1</v>
      </c>
      <c r="BG26" s="1620">
        <v>1.04</v>
      </c>
      <c r="BH26" s="1620">
        <v>0.97</v>
      </c>
      <c r="BI26" s="1620">
        <v>0.96</v>
      </c>
      <c r="BJ26" s="1603"/>
      <c r="BK26" s="1620">
        <v>10.701956271576526</v>
      </c>
      <c r="BL26" s="1620">
        <v>2.9919447640966625</v>
      </c>
      <c r="BM26" s="1620">
        <v>2.0713463751438432</v>
      </c>
      <c r="BN26" s="1620">
        <v>5.4117647058823524</v>
      </c>
      <c r="BO26" s="1620"/>
      <c r="BP26" s="1620">
        <v>120</v>
      </c>
      <c r="BQ26" s="1620">
        <v>38.117647058823529</v>
      </c>
      <c r="BR26" s="1620">
        <v>1.1966802279398763</v>
      </c>
      <c r="BS26" s="1620">
        <v>1.2008200866370189</v>
      </c>
      <c r="BT26" s="1603"/>
      <c r="BU26" s="1620">
        <v>979.28653624856156</v>
      </c>
      <c r="BV26" s="1620">
        <v>614.21075127404242</v>
      </c>
      <c r="BW26" s="1620">
        <v>74.145980601676769</v>
      </c>
      <c r="BX26" s="1620">
        <v>604</v>
      </c>
      <c r="BY26" s="1620">
        <v>21.000000000000004</v>
      </c>
      <c r="BZ26" s="1620">
        <v>56</v>
      </c>
      <c r="CA26" s="1620">
        <v>165</v>
      </c>
      <c r="CB26" s="1603"/>
      <c r="CC26" s="1603">
        <v>0.54</v>
      </c>
      <c r="CD26" s="1603">
        <v>2.8000000000000003</v>
      </c>
      <c r="CE26" s="1603">
        <v>0.11</v>
      </c>
      <c r="CF26" s="1603">
        <v>1.5772945205479536</v>
      </c>
      <c r="CG26" s="1603">
        <v>4.83</v>
      </c>
      <c r="CH26" s="1603">
        <v>0.87000000000000011</v>
      </c>
      <c r="CI26" s="1603">
        <v>1.1297000000000001</v>
      </c>
      <c r="CJ26" s="1603"/>
      <c r="CK26" s="1603">
        <v>34.720000000000006</v>
      </c>
      <c r="CL26" s="1603">
        <v>2.0699999999999998</v>
      </c>
      <c r="CM26" s="1603">
        <v>13.38</v>
      </c>
      <c r="CN26" s="1603">
        <v>20.220000000000002</v>
      </c>
      <c r="CO26" s="1603">
        <v>0</v>
      </c>
      <c r="CP26" s="1603">
        <v>3.4760000000000006E-2</v>
      </c>
      <c r="CQ26" s="1603">
        <v>69.535023428571421</v>
      </c>
      <c r="CR26" s="1603">
        <v>66.866056872959788</v>
      </c>
      <c r="CS26" s="1603">
        <v>2.4136912168742723</v>
      </c>
      <c r="CT26" s="1603">
        <v>1.2439985902907893</v>
      </c>
      <c r="CU26" s="1603">
        <v>1.6618608922377365</v>
      </c>
      <c r="CV26" s="1603">
        <v>2.905859482528526</v>
      </c>
      <c r="CW26" s="1603">
        <v>2.2093564725064767</v>
      </c>
      <c r="CX26" s="1603">
        <v>0.86275034055153565</v>
      </c>
      <c r="CY26" s="1603">
        <v>2.4273532834588774</v>
      </c>
      <c r="CZ26" s="1603">
        <v>4.6547973706064019</v>
      </c>
      <c r="DA26" s="1603">
        <v>1.537680775539173</v>
      </c>
      <c r="DB26" s="1603">
        <v>3.3171073541176903</v>
      </c>
      <c r="DC26" s="1603">
        <v>2.0781421851276427</v>
      </c>
      <c r="DD26" s="1603">
        <v>5.3952495392453326</v>
      </c>
      <c r="DE26" s="1603">
        <v>3.3044986780032701</v>
      </c>
      <c r="DF26" s="1603">
        <v>0</v>
      </c>
      <c r="DG26" s="1603">
        <v>0</v>
      </c>
      <c r="DH26" s="1603">
        <v>0</v>
      </c>
      <c r="DI26" s="1603">
        <v>0</v>
      </c>
      <c r="DJ26" s="1603">
        <v>0</v>
      </c>
      <c r="DK26" s="1603">
        <v>0</v>
      </c>
      <c r="DL26" s="1603">
        <v>0</v>
      </c>
      <c r="DM26" s="1603">
        <v>0</v>
      </c>
      <c r="DN26" s="1603">
        <v>0</v>
      </c>
      <c r="DO26" s="1603">
        <v>0</v>
      </c>
      <c r="DP26" s="1603">
        <v>0</v>
      </c>
      <c r="DQ26" s="1603">
        <v>0</v>
      </c>
      <c r="DR26" s="1603">
        <v>0</v>
      </c>
      <c r="DS26" s="1603">
        <v>0</v>
      </c>
      <c r="DT26" s="1603">
        <v>0</v>
      </c>
      <c r="DU26" s="1603">
        <v>0</v>
      </c>
      <c r="DV26" s="1603">
        <v>0</v>
      </c>
      <c r="DW26" s="1618" t="s">
        <v>3688</v>
      </c>
      <c r="DX26" s="1605">
        <v>2</v>
      </c>
      <c r="DY26" s="1605">
        <v>2</v>
      </c>
      <c r="DZ26" s="1605">
        <v>1</v>
      </c>
      <c r="EA26" s="1605">
        <v>1</v>
      </c>
      <c r="EB26" s="1605" t="s">
        <v>986</v>
      </c>
      <c r="EC26" s="1605">
        <v>1</v>
      </c>
      <c r="ED26" s="1605">
        <v>1</v>
      </c>
      <c r="EE26" s="1605">
        <v>1</v>
      </c>
      <c r="EF26" s="1605">
        <v>1</v>
      </c>
      <c r="EG26" s="1605">
        <v>1</v>
      </c>
      <c r="EH26" s="1605" t="s">
        <v>986</v>
      </c>
      <c r="EI26" s="1605" t="s">
        <v>986</v>
      </c>
      <c r="EJ26" s="1605" t="s">
        <v>986</v>
      </c>
      <c r="EK26" s="1605" t="s">
        <v>986</v>
      </c>
      <c r="EL26" s="1605" t="s">
        <v>986</v>
      </c>
      <c r="EM26" s="1605" t="s">
        <v>986</v>
      </c>
      <c r="EN26" s="1605" t="s">
        <v>986</v>
      </c>
      <c r="EO26" s="1605" t="s">
        <v>986</v>
      </c>
      <c r="EP26" s="1605" t="s">
        <v>986</v>
      </c>
      <c r="EQ26" s="1605" t="s">
        <v>986</v>
      </c>
      <c r="ER26" s="1605" t="s">
        <v>986</v>
      </c>
      <c r="ES26" s="1605">
        <v>1</v>
      </c>
      <c r="ET26" s="1605">
        <v>2</v>
      </c>
      <c r="EU26" s="1605">
        <v>1</v>
      </c>
      <c r="EV26" s="1605">
        <v>7</v>
      </c>
      <c r="EW26" s="1605">
        <v>1</v>
      </c>
      <c r="EX26" s="1605">
        <v>1</v>
      </c>
      <c r="EY26" s="1605" t="s">
        <v>986</v>
      </c>
      <c r="EZ26" s="1605">
        <v>1</v>
      </c>
      <c r="FA26" s="1605">
        <v>1</v>
      </c>
      <c r="FB26" s="1605">
        <v>1</v>
      </c>
      <c r="FC26" s="1605">
        <v>1</v>
      </c>
      <c r="FD26" s="1605" t="s">
        <v>986</v>
      </c>
      <c r="FE26" s="1605" t="s">
        <v>986</v>
      </c>
      <c r="FF26" s="1605">
        <v>0.141421356237309</v>
      </c>
      <c r="FG26" s="1605">
        <v>1.599960642964679E-2</v>
      </c>
      <c r="FH26" s="1605">
        <v>0.2</v>
      </c>
      <c r="FI26" s="1605">
        <v>0.2</v>
      </c>
      <c r="FJ26" s="1605" t="s">
        <v>986</v>
      </c>
      <c r="FK26" s="1605">
        <v>1.2</v>
      </c>
      <c r="FL26" s="1605">
        <v>1.2</v>
      </c>
      <c r="FM26" s="1605" t="s">
        <v>986</v>
      </c>
      <c r="FN26" s="1605">
        <v>1.9</v>
      </c>
      <c r="FO26" s="1605">
        <v>1.5</v>
      </c>
      <c r="FP26" s="1605" t="s">
        <v>986</v>
      </c>
      <c r="FQ26" s="1605" t="s">
        <v>986</v>
      </c>
      <c r="FR26" s="1605" t="s">
        <v>986</v>
      </c>
      <c r="FS26" s="1605" t="s">
        <v>986</v>
      </c>
      <c r="FT26" s="1605" t="s">
        <v>986</v>
      </c>
      <c r="FU26" s="1605" t="s">
        <v>986</v>
      </c>
      <c r="FV26" s="1605" t="s">
        <v>986</v>
      </c>
      <c r="FW26" s="1605" t="s">
        <v>986</v>
      </c>
      <c r="FX26" s="1605" t="s">
        <v>986</v>
      </c>
      <c r="FY26" s="1605" t="s">
        <v>986</v>
      </c>
      <c r="FZ26" s="1605" t="s">
        <v>986</v>
      </c>
      <c r="GA26" s="1605" t="s">
        <v>986</v>
      </c>
      <c r="GB26" s="1605">
        <v>0.4007242051395874</v>
      </c>
      <c r="GC26" s="1605" t="s">
        <v>986</v>
      </c>
      <c r="GD26" s="1605">
        <v>0.2</v>
      </c>
      <c r="GE26" s="1605">
        <v>0.4</v>
      </c>
      <c r="GF26" s="1605">
        <v>0.1</v>
      </c>
      <c r="GG26" s="1605" t="s">
        <v>986</v>
      </c>
      <c r="GH26" s="1605">
        <v>9.1</v>
      </c>
      <c r="GI26" s="1605">
        <v>0.4</v>
      </c>
      <c r="GJ26" s="1605">
        <v>2.2000000000000002</v>
      </c>
      <c r="GK26" s="1605">
        <v>3.8</v>
      </c>
      <c r="GL26" s="1605" t="s">
        <v>986</v>
      </c>
      <c r="GM26" s="1605" t="s">
        <v>986</v>
      </c>
      <c r="GN26" s="1605" t="s">
        <v>1763</v>
      </c>
      <c r="GO26" s="1605" t="s">
        <v>1763</v>
      </c>
      <c r="GP26" s="1605" t="s">
        <v>1763</v>
      </c>
      <c r="GQ26" s="1605" t="s">
        <v>1763</v>
      </c>
      <c r="GR26" s="1605" t="s">
        <v>1763</v>
      </c>
      <c r="GS26" s="1605" t="s">
        <v>1763</v>
      </c>
      <c r="GT26" s="1605" t="s">
        <v>1763</v>
      </c>
      <c r="GU26" s="1605" t="s">
        <v>1763</v>
      </c>
      <c r="GV26" s="1605" t="s">
        <v>1763</v>
      </c>
      <c r="GW26" s="1605" t="s">
        <v>1763</v>
      </c>
      <c r="GX26" s="1605" t="s">
        <v>1763</v>
      </c>
      <c r="GY26" s="1605" t="s">
        <v>1763</v>
      </c>
      <c r="GZ26" s="1605" t="s">
        <v>1763</v>
      </c>
      <c r="HA26" s="1605" t="s">
        <v>1763</v>
      </c>
      <c r="HB26" s="1605" t="s">
        <v>1763</v>
      </c>
      <c r="HC26" s="1605" t="s">
        <v>1763</v>
      </c>
      <c r="HD26" s="1605" t="s">
        <v>1763</v>
      </c>
      <c r="HE26" s="1605" t="s">
        <v>1763</v>
      </c>
      <c r="HF26" s="1605" t="s">
        <v>1763</v>
      </c>
      <c r="HG26" s="1605" t="s">
        <v>1763</v>
      </c>
      <c r="HH26" s="1605" t="s">
        <v>1763</v>
      </c>
      <c r="HI26" s="1605" t="s">
        <v>1763</v>
      </c>
      <c r="HJ26" s="1605" t="s">
        <v>1763</v>
      </c>
      <c r="HK26" s="1605" t="s">
        <v>1763</v>
      </c>
      <c r="HL26" s="1605" t="s">
        <v>1578</v>
      </c>
      <c r="HM26" s="1605" t="s">
        <v>1763</v>
      </c>
      <c r="HN26" s="1605" t="s">
        <v>1763</v>
      </c>
      <c r="HO26" s="1605" t="s">
        <v>986</v>
      </c>
      <c r="HP26" s="1605" t="s">
        <v>1763</v>
      </c>
      <c r="HQ26" s="1605" t="s">
        <v>1763</v>
      </c>
      <c r="HR26" s="1605" t="s">
        <v>1763</v>
      </c>
      <c r="HS26" s="1605" t="s">
        <v>1763</v>
      </c>
      <c r="HT26" s="1605" t="s">
        <v>1763</v>
      </c>
      <c r="HU26" s="1605" t="s">
        <v>1763</v>
      </c>
      <c r="HV26" s="1617"/>
      <c r="HW26" s="1617" t="s">
        <v>3691</v>
      </c>
      <c r="HX26" s="1617" t="s">
        <v>3686</v>
      </c>
      <c r="HY26" s="1617" t="s">
        <v>3685</v>
      </c>
      <c r="HZ26" s="1603"/>
      <c r="IA26" s="1603"/>
      <c r="IB26" s="1603"/>
      <c r="IC26" s="1603">
        <v>55.837398373983703</v>
      </c>
      <c r="ID26" s="1603">
        <v>56.764227642276403</v>
      </c>
      <c r="IE26" s="1603">
        <v>57.536585365853703</v>
      </c>
      <c r="IF26" s="1603">
        <v>58</v>
      </c>
      <c r="IG26" s="1611" t="s">
        <v>3683</v>
      </c>
      <c r="IH26" s="1616" t="s">
        <v>270</v>
      </c>
      <c r="II26" s="1615" t="s">
        <v>270</v>
      </c>
      <c r="IJ26" s="1613">
        <v>0.41826136363636363</v>
      </c>
      <c r="IK26" s="1613">
        <v>0.41826136363636363</v>
      </c>
      <c r="IL26" s="1614">
        <v>0.41826136363636363</v>
      </c>
      <c r="IM26" s="1614">
        <v>0.41826136363636363</v>
      </c>
      <c r="IN26" s="1612" t="s">
        <v>270</v>
      </c>
      <c r="IO26" s="1613" t="s">
        <v>270</v>
      </c>
      <c r="IP26" s="1607" t="s">
        <v>270</v>
      </c>
      <c r="IQ26" s="1612" t="s">
        <v>270</v>
      </c>
      <c r="IR26" s="1612" t="s">
        <v>270</v>
      </c>
      <c r="IS26" s="1607">
        <v>0.41426136363636362</v>
      </c>
      <c r="IT26" s="1607">
        <v>0.41426136363636362</v>
      </c>
      <c r="IU26" s="1611">
        <v>1.1363636363636365E-5</v>
      </c>
      <c r="IV26" s="1611">
        <v>1.0568181818181818E-3</v>
      </c>
      <c r="IW26" s="1611">
        <v>7.8409090909090898E-4</v>
      </c>
      <c r="IX26" s="1611">
        <v>1.0909090909090907E-3</v>
      </c>
      <c r="IY26" s="1611">
        <v>7.9545454545454537E-4</v>
      </c>
      <c r="IZ26" s="1611">
        <v>8.0340909090909091E-3</v>
      </c>
      <c r="JA26" s="1611">
        <v>1.8181818181818183E-4</v>
      </c>
      <c r="JB26" s="1611" t="s">
        <v>270</v>
      </c>
      <c r="JC26" s="1611">
        <v>6.9750000000000006E-2</v>
      </c>
      <c r="JD26" s="1611">
        <v>1.9772727272727273E-3</v>
      </c>
      <c r="JE26" s="1611" t="s">
        <v>270</v>
      </c>
      <c r="JF26" s="1611">
        <v>2.5000000000000001E-4</v>
      </c>
      <c r="JG26" s="1611">
        <v>4.3789545454545458</v>
      </c>
      <c r="JH26" s="1611">
        <v>2.2727272727272727E-4</v>
      </c>
      <c r="JI26" s="1611">
        <v>4.7829545454545458E-2</v>
      </c>
      <c r="JJ26" s="1611" t="s">
        <v>270</v>
      </c>
      <c r="JK26" s="1607">
        <f t="shared" si="9"/>
        <v>4.0000000000000036E-3</v>
      </c>
      <c r="JL26" s="1608" t="s">
        <v>2946</v>
      </c>
      <c r="JM26" s="1610" t="s">
        <v>3205</v>
      </c>
      <c r="JN26" s="1608">
        <v>0</v>
      </c>
      <c r="JO26" s="1609" t="s">
        <v>2923</v>
      </c>
      <c r="JP26" s="1608" t="s">
        <v>270</v>
      </c>
      <c r="JQ26" s="1607">
        <v>202103</v>
      </c>
      <c r="JR26" s="1606">
        <v>15</v>
      </c>
      <c r="JS26" s="1606">
        <v>22</v>
      </c>
      <c r="JT26" s="1606">
        <v>22</v>
      </c>
    </row>
    <row r="27" spans="1:280" ht="15" customHeight="1" x14ac:dyDescent="0.2">
      <c r="A27" s="1626">
        <v>50360</v>
      </c>
      <c r="B27" s="1625">
        <v>503</v>
      </c>
      <c r="C27" s="1624">
        <v>60</v>
      </c>
      <c r="D27" s="1623" t="s">
        <v>3709</v>
      </c>
      <c r="E27" s="1622">
        <v>44497</v>
      </c>
      <c r="F27" s="1620">
        <v>1.0399151180797523</v>
      </c>
      <c r="G27" s="1620">
        <v>1.0435126552875693</v>
      </c>
      <c r="H27" s="1621">
        <v>83.2</v>
      </c>
      <c r="I27" s="1621">
        <v>77.900000000000006</v>
      </c>
      <c r="J27" s="1621">
        <v>90</v>
      </c>
      <c r="K27" s="1620">
        <v>1</v>
      </c>
      <c r="L27" s="1620">
        <v>86.9</v>
      </c>
      <c r="M27" s="1620">
        <v>9.3000000000000007</v>
      </c>
      <c r="N27" s="1620">
        <v>2.6</v>
      </c>
      <c r="O27" s="1620">
        <v>1.8</v>
      </c>
      <c r="P27" s="1620">
        <v>4.5999999999999996</v>
      </c>
      <c r="Q27" s="1603"/>
      <c r="R27" s="1620">
        <v>74.76884239631336</v>
      </c>
      <c r="S27" s="1620">
        <v>30</v>
      </c>
      <c r="T27" s="1620">
        <v>41.382113821138198</v>
      </c>
      <c r="U27" s="1620">
        <v>45.934959349593498</v>
      </c>
      <c r="V27" s="1620">
        <v>50.032520325203301</v>
      </c>
      <c r="W27" s="1620">
        <v>52.764227642276403</v>
      </c>
      <c r="X27" s="1620"/>
      <c r="Y27" s="1620">
        <v>0.62140391254315297</v>
      </c>
      <c r="Z27" s="1620">
        <v>3.2220943613348676</v>
      </c>
      <c r="AA27" s="1620">
        <v>0.12658227848101264</v>
      </c>
      <c r="AB27" s="1620">
        <v>1.8150684931506944</v>
      </c>
      <c r="AC27" s="1620">
        <v>5.5581127733026463</v>
      </c>
      <c r="AD27" s="1620">
        <v>1.001150747986191</v>
      </c>
      <c r="AE27" s="1620">
        <v>1.3</v>
      </c>
      <c r="AF27" s="1620">
        <v>39.953970080552359</v>
      </c>
      <c r="AG27" s="1620">
        <v>2.3820483314154197</v>
      </c>
      <c r="AH27" s="1620">
        <v>15.397008055235903</v>
      </c>
      <c r="AI27" s="1620">
        <v>23.268124280782509</v>
      </c>
      <c r="AJ27" s="1620">
        <v>0</v>
      </c>
      <c r="AK27" s="1620">
        <v>0.04</v>
      </c>
      <c r="AL27" s="1620"/>
      <c r="AM27" s="1620">
        <v>3.8401495972382049</v>
      </c>
      <c r="AN27" s="1620">
        <v>1.7226237054085156</v>
      </c>
      <c r="AO27" s="1620">
        <v>2.4129689298043724</v>
      </c>
      <c r="AP27" s="1620">
        <v>3.4780552359033368</v>
      </c>
      <c r="AQ27" s="1620">
        <v>1.3440276179516686</v>
      </c>
      <c r="AR27" s="1620">
        <v>3.6301726121979283</v>
      </c>
      <c r="AS27" s="1620">
        <v>6.8924510932105871</v>
      </c>
      <c r="AT27" s="1620">
        <v>2.2996432681242807</v>
      </c>
      <c r="AU27" s="1620">
        <v>4.7700230149597243</v>
      </c>
      <c r="AV27" s="1620">
        <v>3.2040391254315308</v>
      </c>
      <c r="AW27" s="1620">
        <v>5.1478826237054083</v>
      </c>
      <c r="AX27" s="1620"/>
      <c r="AY27" s="1620">
        <v>0.94</v>
      </c>
      <c r="AZ27" s="1620">
        <v>1.08</v>
      </c>
      <c r="BA27" s="1620">
        <v>1.03</v>
      </c>
      <c r="BB27" s="1620">
        <v>0.95</v>
      </c>
      <c r="BC27" s="1620">
        <v>0.96</v>
      </c>
      <c r="BD27" s="1620">
        <v>1</v>
      </c>
      <c r="BE27" s="1620">
        <v>1.01</v>
      </c>
      <c r="BF27" s="1620">
        <v>1</v>
      </c>
      <c r="BG27" s="1620">
        <v>1.04</v>
      </c>
      <c r="BH27" s="1620">
        <v>0.97</v>
      </c>
      <c r="BI27" s="1620">
        <v>0.96</v>
      </c>
      <c r="BJ27" s="1603"/>
      <c r="BK27" s="1620">
        <v>10.701956271576526</v>
      </c>
      <c r="BL27" s="1620">
        <v>2.9919447640966625</v>
      </c>
      <c r="BM27" s="1620">
        <v>2.0713463751438432</v>
      </c>
      <c r="BN27" s="1620">
        <v>5.4117647058823524</v>
      </c>
      <c r="BO27" s="1620"/>
      <c r="BP27" s="1620">
        <v>120</v>
      </c>
      <c r="BQ27" s="1620">
        <v>38.117647058823529</v>
      </c>
      <c r="BR27" s="1620">
        <v>1.1966802279398763</v>
      </c>
      <c r="BS27" s="1620">
        <v>1.2008200866370189</v>
      </c>
      <c r="BT27" s="1603"/>
      <c r="BU27" s="1620">
        <v>979.28653624856156</v>
      </c>
      <c r="BV27" s="1620">
        <v>614.21075127404242</v>
      </c>
      <c r="BW27" s="1620">
        <v>74.145980601676769</v>
      </c>
      <c r="BX27" s="1620">
        <v>604</v>
      </c>
      <c r="BY27" s="1620">
        <v>21.000000000000004</v>
      </c>
      <c r="BZ27" s="1620">
        <v>56</v>
      </c>
      <c r="CA27" s="1620">
        <v>165</v>
      </c>
      <c r="CB27" s="1603"/>
      <c r="CC27" s="1603">
        <v>0.54</v>
      </c>
      <c r="CD27" s="1603">
        <v>2.8000000000000003</v>
      </c>
      <c r="CE27" s="1603">
        <v>0.11</v>
      </c>
      <c r="CF27" s="1603">
        <v>1.5772945205479536</v>
      </c>
      <c r="CG27" s="1603">
        <v>4.83</v>
      </c>
      <c r="CH27" s="1603">
        <v>0.87000000000000011</v>
      </c>
      <c r="CI27" s="1603">
        <v>1.1297000000000001</v>
      </c>
      <c r="CJ27" s="1603"/>
      <c r="CK27" s="1603">
        <v>34.720000000000006</v>
      </c>
      <c r="CL27" s="1603">
        <v>2.0699999999999998</v>
      </c>
      <c r="CM27" s="1603">
        <v>13.38</v>
      </c>
      <c r="CN27" s="1603">
        <v>20.220000000000002</v>
      </c>
      <c r="CO27" s="1603">
        <v>0</v>
      </c>
      <c r="CP27" s="1603">
        <v>3.4760000000000006E-2</v>
      </c>
      <c r="CQ27" s="1603">
        <v>69.535023428571421</v>
      </c>
      <c r="CR27" s="1603">
        <v>66.866056872959788</v>
      </c>
      <c r="CS27" s="1603">
        <v>2.4136912168742723</v>
      </c>
      <c r="CT27" s="1603">
        <v>1.2439985902907893</v>
      </c>
      <c r="CU27" s="1603">
        <v>1.6618608922377365</v>
      </c>
      <c r="CV27" s="1603">
        <v>2.905859482528526</v>
      </c>
      <c r="CW27" s="1603">
        <v>2.2093564725064767</v>
      </c>
      <c r="CX27" s="1603">
        <v>0.86275034055153565</v>
      </c>
      <c r="CY27" s="1603">
        <v>2.4273532834588774</v>
      </c>
      <c r="CZ27" s="1603">
        <v>4.6547973706064019</v>
      </c>
      <c r="DA27" s="1603">
        <v>1.537680775539173</v>
      </c>
      <c r="DB27" s="1603">
        <v>3.3171073541176903</v>
      </c>
      <c r="DC27" s="1603">
        <v>2.0781421851276427</v>
      </c>
      <c r="DD27" s="1603">
        <v>5.3952495392453326</v>
      </c>
      <c r="DE27" s="1603">
        <v>3.3044986780032701</v>
      </c>
      <c r="DF27" s="1603">
        <v>0</v>
      </c>
      <c r="DG27" s="1603">
        <v>0</v>
      </c>
      <c r="DH27" s="1603">
        <v>0</v>
      </c>
      <c r="DI27" s="1603">
        <v>0</v>
      </c>
      <c r="DJ27" s="1603">
        <v>0</v>
      </c>
      <c r="DK27" s="1603">
        <v>0</v>
      </c>
      <c r="DL27" s="1603">
        <v>0</v>
      </c>
      <c r="DM27" s="1603">
        <v>0</v>
      </c>
      <c r="DN27" s="1603">
        <v>0</v>
      </c>
      <c r="DO27" s="1603">
        <v>0</v>
      </c>
      <c r="DP27" s="1603">
        <v>0</v>
      </c>
      <c r="DQ27" s="1603">
        <v>0</v>
      </c>
      <c r="DR27" s="1603">
        <v>0</v>
      </c>
      <c r="DS27" s="1603">
        <v>0</v>
      </c>
      <c r="DT27" s="1603">
        <v>0</v>
      </c>
      <c r="DU27" s="1603">
        <v>0</v>
      </c>
      <c r="DV27" s="1603">
        <v>0</v>
      </c>
      <c r="DW27" s="1618" t="s">
        <v>3688</v>
      </c>
      <c r="DX27" s="1605">
        <v>2</v>
      </c>
      <c r="DY27" s="1605">
        <v>2</v>
      </c>
      <c r="DZ27" s="1605">
        <v>1</v>
      </c>
      <c r="EA27" s="1605">
        <v>1</v>
      </c>
      <c r="EB27" s="1605" t="s">
        <v>986</v>
      </c>
      <c r="EC27" s="1605">
        <v>1</v>
      </c>
      <c r="ED27" s="1605">
        <v>1</v>
      </c>
      <c r="EE27" s="1605">
        <v>1</v>
      </c>
      <c r="EF27" s="1605">
        <v>1</v>
      </c>
      <c r="EG27" s="1605">
        <v>1</v>
      </c>
      <c r="EH27" s="1605" t="s">
        <v>986</v>
      </c>
      <c r="EI27" s="1605" t="s">
        <v>986</v>
      </c>
      <c r="EJ27" s="1605" t="s">
        <v>986</v>
      </c>
      <c r="EK27" s="1605" t="s">
        <v>986</v>
      </c>
      <c r="EL27" s="1605" t="s">
        <v>986</v>
      </c>
      <c r="EM27" s="1605" t="s">
        <v>986</v>
      </c>
      <c r="EN27" s="1605" t="s">
        <v>986</v>
      </c>
      <c r="EO27" s="1605" t="s">
        <v>986</v>
      </c>
      <c r="EP27" s="1605" t="s">
        <v>986</v>
      </c>
      <c r="EQ27" s="1605" t="s">
        <v>986</v>
      </c>
      <c r="ER27" s="1605" t="s">
        <v>986</v>
      </c>
      <c r="ES27" s="1605">
        <v>1</v>
      </c>
      <c r="ET27" s="1605">
        <v>2</v>
      </c>
      <c r="EU27" s="1605">
        <v>1</v>
      </c>
      <c r="EV27" s="1605">
        <v>7</v>
      </c>
      <c r="EW27" s="1605">
        <v>1</v>
      </c>
      <c r="EX27" s="1605">
        <v>1</v>
      </c>
      <c r="EY27" s="1605" t="s">
        <v>986</v>
      </c>
      <c r="EZ27" s="1605">
        <v>1</v>
      </c>
      <c r="FA27" s="1605">
        <v>1</v>
      </c>
      <c r="FB27" s="1605">
        <v>1</v>
      </c>
      <c r="FC27" s="1605">
        <v>1</v>
      </c>
      <c r="FD27" s="1605" t="s">
        <v>986</v>
      </c>
      <c r="FE27" s="1605" t="s">
        <v>986</v>
      </c>
      <c r="FF27" s="1605">
        <v>0.141421356237309</v>
      </c>
      <c r="FG27" s="1605">
        <v>1.599960642964679E-2</v>
      </c>
      <c r="FH27" s="1605">
        <v>0.2</v>
      </c>
      <c r="FI27" s="1605">
        <v>0.2</v>
      </c>
      <c r="FJ27" s="1605" t="s">
        <v>986</v>
      </c>
      <c r="FK27" s="1605">
        <v>1.2</v>
      </c>
      <c r="FL27" s="1605">
        <v>1.2</v>
      </c>
      <c r="FM27" s="1605" t="s">
        <v>986</v>
      </c>
      <c r="FN27" s="1605">
        <v>1.9</v>
      </c>
      <c r="FO27" s="1605">
        <v>1.5</v>
      </c>
      <c r="FP27" s="1605" t="s">
        <v>986</v>
      </c>
      <c r="FQ27" s="1605" t="s">
        <v>986</v>
      </c>
      <c r="FR27" s="1605" t="s">
        <v>986</v>
      </c>
      <c r="FS27" s="1605" t="s">
        <v>986</v>
      </c>
      <c r="FT27" s="1605" t="s">
        <v>986</v>
      </c>
      <c r="FU27" s="1605" t="s">
        <v>986</v>
      </c>
      <c r="FV27" s="1605" t="s">
        <v>986</v>
      </c>
      <c r="FW27" s="1605" t="s">
        <v>986</v>
      </c>
      <c r="FX27" s="1605" t="s">
        <v>986</v>
      </c>
      <c r="FY27" s="1605" t="s">
        <v>986</v>
      </c>
      <c r="FZ27" s="1605" t="s">
        <v>986</v>
      </c>
      <c r="GA27" s="1605" t="s">
        <v>986</v>
      </c>
      <c r="GB27" s="1605">
        <v>0.4007242051395874</v>
      </c>
      <c r="GC27" s="1605" t="s">
        <v>986</v>
      </c>
      <c r="GD27" s="1605">
        <v>0.2</v>
      </c>
      <c r="GE27" s="1605">
        <v>0.4</v>
      </c>
      <c r="GF27" s="1605">
        <v>0.1</v>
      </c>
      <c r="GG27" s="1605" t="s">
        <v>986</v>
      </c>
      <c r="GH27" s="1605">
        <v>9.1</v>
      </c>
      <c r="GI27" s="1605">
        <v>0.4</v>
      </c>
      <c r="GJ27" s="1605">
        <v>2.2000000000000002</v>
      </c>
      <c r="GK27" s="1605">
        <v>3.8</v>
      </c>
      <c r="GL27" s="1605" t="s">
        <v>986</v>
      </c>
      <c r="GM27" s="1605" t="s">
        <v>986</v>
      </c>
      <c r="GN27" s="1605" t="s">
        <v>1763</v>
      </c>
      <c r="GO27" s="1605" t="s">
        <v>1763</v>
      </c>
      <c r="GP27" s="1605" t="s">
        <v>1763</v>
      </c>
      <c r="GQ27" s="1605" t="s">
        <v>1763</v>
      </c>
      <c r="GR27" s="1605" t="s">
        <v>1763</v>
      </c>
      <c r="GS27" s="1605" t="s">
        <v>1763</v>
      </c>
      <c r="GT27" s="1605" t="s">
        <v>1763</v>
      </c>
      <c r="GU27" s="1605" t="s">
        <v>1763</v>
      </c>
      <c r="GV27" s="1605" t="s">
        <v>1763</v>
      </c>
      <c r="GW27" s="1605" t="s">
        <v>1763</v>
      </c>
      <c r="GX27" s="1605" t="s">
        <v>1763</v>
      </c>
      <c r="GY27" s="1605" t="s">
        <v>1763</v>
      </c>
      <c r="GZ27" s="1605" t="s">
        <v>1763</v>
      </c>
      <c r="HA27" s="1605" t="s">
        <v>1763</v>
      </c>
      <c r="HB27" s="1605" t="s">
        <v>1763</v>
      </c>
      <c r="HC27" s="1605" t="s">
        <v>1763</v>
      </c>
      <c r="HD27" s="1605" t="s">
        <v>1763</v>
      </c>
      <c r="HE27" s="1605" t="s">
        <v>1763</v>
      </c>
      <c r="HF27" s="1605" t="s">
        <v>1763</v>
      </c>
      <c r="HG27" s="1605" t="s">
        <v>1763</v>
      </c>
      <c r="HH27" s="1605" t="s">
        <v>1763</v>
      </c>
      <c r="HI27" s="1605" t="s">
        <v>1763</v>
      </c>
      <c r="HJ27" s="1605" t="s">
        <v>1763</v>
      </c>
      <c r="HK27" s="1605" t="s">
        <v>1763</v>
      </c>
      <c r="HL27" s="1605" t="s">
        <v>1578</v>
      </c>
      <c r="HM27" s="1605" t="s">
        <v>1763</v>
      </c>
      <c r="HN27" s="1605" t="s">
        <v>1763</v>
      </c>
      <c r="HO27" s="1605" t="s">
        <v>986</v>
      </c>
      <c r="HP27" s="1605" t="s">
        <v>1763</v>
      </c>
      <c r="HQ27" s="1605" t="s">
        <v>1763</v>
      </c>
      <c r="HR27" s="1605" t="s">
        <v>1763</v>
      </c>
      <c r="HS27" s="1605" t="s">
        <v>1763</v>
      </c>
      <c r="HT27" s="1605" t="s">
        <v>1763</v>
      </c>
      <c r="HU27" s="1605" t="s">
        <v>1763</v>
      </c>
      <c r="HV27" s="1617"/>
      <c r="HW27" s="1617" t="s">
        <v>3691</v>
      </c>
      <c r="HX27" s="1617" t="s">
        <v>3686</v>
      </c>
      <c r="HY27" s="1617" t="s">
        <v>3685</v>
      </c>
      <c r="HZ27" s="1603"/>
      <c r="IA27" s="1603"/>
      <c r="IB27" s="1603"/>
      <c r="IC27" s="1603">
        <v>54.8130081300813</v>
      </c>
      <c r="ID27" s="1603">
        <v>56.178861788617901</v>
      </c>
      <c r="IE27" s="1603">
        <v>57.317073170731703</v>
      </c>
      <c r="IF27" s="1603">
        <v>58</v>
      </c>
      <c r="IG27" s="1611" t="s">
        <v>3683</v>
      </c>
      <c r="IH27" s="1616" t="s">
        <v>270</v>
      </c>
      <c r="II27" s="1615" t="s">
        <v>270</v>
      </c>
      <c r="IJ27" s="1613">
        <v>0.41826136363636363</v>
      </c>
      <c r="IK27" s="1613">
        <v>0.41826136363636363</v>
      </c>
      <c r="IL27" s="1614">
        <v>0.41826136363636363</v>
      </c>
      <c r="IM27" s="1614">
        <v>0.41826136363636363</v>
      </c>
      <c r="IN27" s="1612" t="s">
        <v>270</v>
      </c>
      <c r="IO27" s="1613" t="s">
        <v>270</v>
      </c>
      <c r="IP27" s="1607" t="s">
        <v>270</v>
      </c>
      <c r="IQ27" s="1612" t="s">
        <v>270</v>
      </c>
      <c r="IR27" s="1612" t="s">
        <v>270</v>
      </c>
      <c r="IS27" s="1607">
        <v>0.41426136363636362</v>
      </c>
      <c r="IT27" s="1607">
        <v>0.41426136363636362</v>
      </c>
      <c r="IU27" s="1611">
        <v>1.1363636363636365E-5</v>
      </c>
      <c r="IV27" s="1611">
        <v>1.0568181818181818E-3</v>
      </c>
      <c r="IW27" s="1611">
        <v>7.8409090909090898E-4</v>
      </c>
      <c r="IX27" s="1611">
        <v>1.0909090909090907E-3</v>
      </c>
      <c r="IY27" s="1611">
        <v>7.9545454545454537E-4</v>
      </c>
      <c r="IZ27" s="1611">
        <v>8.0340909090909091E-3</v>
      </c>
      <c r="JA27" s="1611">
        <v>1.8181818181818183E-4</v>
      </c>
      <c r="JB27" s="1611" t="s">
        <v>270</v>
      </c>
      <c r="JC27" s="1611">
        <v>6.9750000000000006E-2</v>
      </c>
      <c r="JD27" s="1611">
        <v>1.9772727272727273E-3</v>
      </c>
      <c r="JE27" s="1611" t="s">
        <v>270</v>
      </c>
      <c r="JF27" s="1611">
        <v>2.5000000000000001E-4</v>
      </c>
      <c r="JG27" s="1611">
        <v>4.3789545454545458</v>
      </c>
      <c r="JH27" s="1611">
        <v>2.2727272727272727E-4</v>
      </c>
      <c r="JI27" s="1611">
        <v>4.7829545454545458E-2</v>
      </c>
      <c r="JJ27" s="1611" t="s">
        <v>270</v>
      </c>
      <c r="JK27" s="1607">
        <f t="shared" si="9"/>
        <v>4.0000000000000036E-3</v>
      </c>
      <c r="JL27" s="1608" t="s">
        <v>2946</v>
      </c>
      <c r="JM27" s="1610" t="s">
        <v>3205</v>
      </c>
      <c r="JN27" s="1608">
        <v>0</v>
      </c>
      <c r="JO27" s="1609" t="s">
        <v>2923</v>
      </c>
      <c r="JP27" s="1608" t="s">
        <v>270</v>
      </c>
      <c r="JQ27" s="1607">
        <v>202103</v>
      </c>
      <c r="JR27" s="1606">
        <v>15</v>
      </c>
      <c r="JS27" s="1606">
        <v>22</v>
      </c>
      <c r="JT27" s="1606">
        <v>22</v>
      </c>
    </row>
    <row r="28" spans="1:280" ht="15" customHeight="1" x14ac:dyDescent="0.2">
      <c r="A28" s="1626">
        <v>50000</v>
      </c>
      <c r="B28" s="1625">
        <v>500</v>
      </c>
      <c r="C28" s="1624">
        <v>0</v>
      </c>
      <c r="D28" s="1623" t="s">
        <v>3708</v>
      </c>
      <c r="E28" s="1622">
        <v>44497</v>
      </c>
      <c r="F28" s="1629">
        <v>1.0624132791327916</v>
      </c>
      <c r="G28" s="1620">
        <v>1.0566866025974031</v>
      </c>
      <c r="H28" s="1621">
        <v>84.6</v>
      </c>
      <c r="I28" s="1621">
        <v>80.900000000000006</v>
      </c>
      <c r="J28" s="1621">
        <v>90</v>
      </c>
      <c r="K28" s="1620">
        <v>1</v>
      </c>
      <c r="L28" s="1620">
        <v>85</v>
      </c>
      <c r="M28" s="1620">
        <v>8.6999999999999993</v>
      </c>
      <c r="N28" s="1620">
        <v>2.6</v>
      </c>
      <c r="O28" s="1620">
        <v>1.7</v>
      </c>
      <c r="P28" s="1620">
        <v>4.8</v>
      </c>
      <c r="Q28" s="1603"/>
      <c r="R28" s="1620">
        <v>76.403089655172408</v>
      </c>
      <c r="S28" s="1620">
        <v>43</v>
      </c>
      <c r="T28" s="1620">
        <v>49.097560975609802</v>
      </c>
      <c r="U28" s="1620">
        <v>51.536585365853703</v>
      </c>
      <c r="V28" s="1620">
        <v>53.731707317073202</v>
      </c>
      <c r="W28" s="1620">
        <v>55.195121951219498</v>
      </c>
      <c r="X28" s="1620"/>
      <c r="Y28" s="1620">
        <v>0.47058823529411764</v>
      </c>
      <c r="Z28" s="1620">
        <v>3.2941176470588234</v>
      </c>
      <c r="AA28" s="1620">
        <v>0.11764705882352941</v>
      </c>
      <c r="AB28" s="1620">
        <v>1.8872266973532823</v>
      </c>
      <c r="AC28" s="1620">
        <v>5.0588235294117645</v>
      </c>
      <c r="AD28" s="1620">
        <v>1.0470588235294118</v>
      </c>
      <c r="AE28" s="1620">
        <v>1.1000000000000001</v>
      </c>
      <c r="AF28" s="1620">
        <v>41.788235294117655</v>
      </c>
      <c r="AG28" s="1620">
        <v>2.7411764705882353</v>
      </c>
      <c r="AH28" s="1620">
        <v>12.152941176470588</v>
      </c>
      <c r="AI28" s="1620">
        <v>27.529411764705884</v>
      </c>
      <c r="AJ28" s="1620">
        <v>0</v>
      </c>
      <c r="AK28" s="1620">
        <v>0.04</v>
      </c>
      <c r="AL28" s="1620"/>
      <c r="AM28" s="1620">
        <v>3.8998823529411766</v>
      </c>
      <c r="AN28" s="1620">
        <v>1.7408235294117649</v>
      </c>
      <c r="AO28" s="1620">
        <v>2.4442352941176471</v>
      </c>
      <c r="AP28" s="1620">
        <v>3.5125882352941176</v>
      </c>
      <c r="AQ28" s="1620">
        <v>1.3612941176470588</v>
      </c>
      <c r="AR28" s="1620">
        <v>3.636705882352941</v>
      </c>
      <c r="AS28" s="1620">
        <v>6.9041176470588237</v>
      </c>
      <c r="AT28" s="1620">
        <v>2.3131764705882354</v>
      </c>
      <c r="AU28" s="1620">
        <v>4.716823529411764</v>
      </c>
      <c r="AV28" s="1620">
        <v>3.1947058823529413</v>
      </c>
      <c r="AW28" s="1620">
        <v>5.1758823529411764</v>
      </c>
      <c r="AX28" s="1620"/>
      <c r="AY28" s="1620">
        <v>0.94</v>
      </c>
      <c r="AZ28" s="1620">
        <v>1.08</v>
      </c>
      <c r="BA28" s="1620">
        <v>1.03</v>
      </c>
      <c r="BB28" s="1620">
        <v>0.95</v>
      </c>
      <c r="BC28" s="1620">
        <v>0.96</v>
      </c>
      <c r="BD28" s="1620">
        <v>1</v>
      </c>
      <c r="BE28" s="1620">
        <v>1.01</v>
      </c>
      <c r="BF28" s="1620">
        <v>1</v>
      </c>
      <c r="BG28" s="1620">
        <v>1.04</v>
      </c>
      <c r="BH28" s="1620">
        <v>0.97</v>
      </c>
      <c r="BI28" s="1620">
        <v>0.96</v>
      </c>
      <c r="BJ28" s="1603"/>
      <c r="BK28" s="1620">
        <v>10.235294117647058</v>
      </c>
      <c r="BL28" s="1620">
        <v>3.0588235294117645</v>
      </c>
      <c r="BM28" s="1620">
        <v>2</v>
      </c>
      <c r="BN28" s="1620">
        <v>5.6470588235294121</v>
      </c>
      <c r="BO28" s="1620"/>
      <c r="BP28" s="1620">
        <v>120</v>
      </c>
      <c r="BQ28" s="1620">
        <v>36.705882352941174</v>
      </c>
      <c r="BR28" s="1620">
        <v>1.249897975450343</v>
      </c>
      <c r="BS28" s="1620">
        <v>1.2431607089381211</v>
      </c>
      <c r="BT28" s="1603"/>
      <c r="BU28" s="1620">
        <v>980</v>
      </c>
      <c r="BV28" s="1620">
        <v>654.4682352941179</v>
      </c>
      <c r="BW28" s="1620">
        <v>51.799999999999841</v>
      </c>
      <c r="BX28" s="1620">
        <v>604</v>
      </c>
      <c r="BY28" s="1620">
        <v>21.000000000000004</v>
      </c>
      <c r="BZ28" s="1620">
        <v>56</v>
      </c>
      <c r="CA28" s="1620">
        <v>165</v>
      </c>
      <c r="CB28" s="1603"/>
      <c r="CC28" s="1603">
        <v>0.39999999999999997</v>
      </c>
      <c r="CD28" s="1603">
        <v>2.8</v>
      </c>
      <c r="CE28" s="1603">
        <v>9.9999999999999992E-2</v>
      </c>
      <c r="CF28" s="1603">
        <v>1.60414269275029</v>
      </c>
      <c r="CG28" s="1603">
        <v>4.3</v>
      </c>
      <c r="CH28" s="1603">
        <v>0.89</v>
      </c>
      <c r="CI28" s="1603">
        <v>0.93500000000000005</v>
      </c>
      <c r="CJ28" s="1603"/>
      <c r="CK28" s="1603">
        <v>35.520000000000003</v>
      </c>
      <c r="CL28" s="1603">
        <v>2.33</v>
      </c>
      <c r="CM28" s="1603">
        <v>10.33</v>
      </c>
      <c r="CN28" s="1603">
        <v>23.400000000000002</v>
      </c>
      <c r="CO28" s="1603">
        <v>0</v>
      </c>
      <c r="CP28" s="1603">
        <v>3.4000000000000002E-2</v>
      </c>
      <c r="CQ28" s="1603">
        <v>66.470687999999996</v>
      </c>
      <c r="CR28" s="1603">
        <v>62.565754123722499</v>
      </c>
      <c r="CS28" s="1603">
        <v>2.2935913558122825</v>
      </c>
      <c r="CT28" s="1603">
        <v>1.1762921186708466</v>
      </c>
      <c r="CU28" s="1603">
        <v>1.5751318716525795</v>
      </c>
      <c r="CV28" s="1603">
        <v>2.7514239903234259</v>
      </c>
      <c r="CW28" s="1603">
        <v>2.0877934527392745</v>
      </c>
      <c r="CX28" s="1603">
        <v>0.81763577332584625</v>
      </c>
      <c r="CY28" s="1603">
        <v>2.275332460555894</v>
      </c>
      <c r="CZ28" s="1603">
        <v>4.3628094041860734</v>
      </c>
      <c r="DA28" s="1603">
        <v>1.4472563030360373</v>
      </c>
      <c r="DB28" s="1603">
        <v>3.0691608603361198</v>
      </c>
      <c r="DC28" s="1603">
        <v>1.9388280725091687</v>
      </c>
      <c r="DD28" s="1603">
        <v>5.0079889328452882</v>
      </c>
      <c r="DE28" s="1603">
        <v>3.1087966336073465</v>
      </c>
      <c r="DF28" s="1603">
        <v>0</v>
      </c>
      <c r="DG28" s="1603">
        <v>0</v>
      </c>
      <c r="DH28" s="1603">
        <v>0</v>
      </c>
      <c r="DI28" s="1603">
        <v>0</v>
      </c>
      <c r="DJ28" s="1603">
        <v>0</v>
      </c>
      <c r="DK28" s="1603">
        <v>0</v>
      </c>
      <c r="DL28" s="1603">
        <v>0</v>
      </c>
      <c r="DM28" s="1603">
        <v>0</v>
      </c>
      <c r="DN28" s="1603">
        <v>0</v>
      </c>
      <c r="DO28" s="1603">
        <v>0</v>
      </c>
      <c r="DP28" s="1603">
        <v>0</v>
      </c>
      <c r="DQ28" s="1603">
        <v>0</v>
      </c>
      <c r="DR28" s="1603">
        <v>0</v>
      </c>
      <c r="DS28" s="1603">
        <v>0</v>
      </c>
      <c r="DT28" s="1603">
        <v>0</v>
      </c>
      <c r="DU28" s="1603">
        <v>0</v>
      </c>
      <c r="DV28" s="1603">
        <v>0</v>
      </c>
      <c r="DW28" s="1618" t="s">
        <v>3688</v>
      </c>
      <c r="DX28" s="1605">
        <v>28</v>
      </c>
      <c r="DY28" s="1605">
        <v>28</v>
      </c>
      <c r="DZ28" s="1605">
        <v>14</v>
      </c>
      <c r="EA28" s="1605">
        <v>14</v>
      </c>
      <c r="EB28" s="1605" t="s">
        <v>986</v>
      </c>
      <c r="EC28" s="1605">
        <v>14</v>
      </c>
      <c r="ED28" s="1605">
        <v>14</v>
      </c>
      <c r="EE28" s="1605">
        <v>16</v>
      </c>
      <c r="EF28" s="1605">
        <v>14</v>
      </c>
      <c r="EG28" s="1605">
        <v>14</v>
      </c>
      <c r="EH28" s="1605" t="s">
        <v>986</v>
      </c>
      <c r="EI28" s="1605" t="s">
        <v>986</v>
      </c>
      <c r="EJ28" s="1605" t="s">
        <v>986</v>
      </c>
      <c r="EK28" s="1605" t="s">
        <v>986</v>
      </c>
      <c r="EL28" s="1605" t="s">
        <v>986</v>
      </c>
      <c r="EM28" s="1605" t="s">
        <v>986</v>
      </c>
      <c r="EN28" s="1605" t="s">
        <v>986</v>
      </c>
      <c r="EO28" s="1605" t="s">
        <v>986</v>
      </c>
      <c r="EP28" s="1605" t="s">
        <v>986</v>
      </c>
      <c r="EQ28" s="1605" t="s">
        <v>986</v>
      </c>
      <c r="ER28" s="1605" t="s">
        <v>986</v>
      </c>
      <c r="ES28" s="1605">
        <v>14</v>
      </c>
      <c r="ET28" s="1605">
        <v>28</v>
      </c>
      <c r="EU28" s="1605">
        <v>14</v>
      </c>
      <c r="EV28" s="1605">
        <v>14</v>
      </c>
      <c r="EW28" s="1605">
        <v>14</v>
      </c>
      <c r="EX28" s="1605">
        <v>14</v>
      </c>
      <c r="EY28" s="1605" t="s">
        <v>986</v>
      </c>
      <c r="EZ28" s="1605">
        <v>14</v>
      </c>
      <c r="FA28" s="1605">
        <v>13</v>
      </c>
      <c r="FB28" s="1605">
        <v>14</v>
      </c>
      <c r="FC28" s="1605">
        <v>14</v>
      </c>
      <c r="FD28" s="1605" t="s">
        <v>986</v>
      </c>
      <c r="FE28" s="1605" t="s">
        <v>986</v>
      </c>
      <c r="FF28" s="1605">
        <v>0.50598272551394319</v>
      </c>
      <c r="FG28" s="1605">
        <v>0.77520625942330224</v>
      </c>
      <c r="FH28" s="1605">
        <v>0.10660739799167636</v>
      </c>
      <c r="FI28" s="1605">
        <v>0.13375450682972659</v>
      </c>
      <c r="FJ28" s="1605" t="s">
        <v>986</v>
      </c>
      <c r="FK28" s="1605">
        <v>1.0559364060355183</v>
      </c>
      <c r="FL28" s="1605">
        <v>0.77896734397019562</v>
      </c>
      <c r="FM28" s="1605" t="s">
        <v>986</v>
      </c>
      <c r="FN28" s="1605">
        <v>1.3442693353193151</v>
      </c>
      <c r="FO28" s="1605">
        <v>1.14855380473344</v>
      </c>
      <c r="FP28" s="1605" t="s">
        <v>986</v>
      </c>
      <c r="FQ28" s="1605" t="s">
        <v>986</v>
      </c>
      <c r="FR28" s="1605" t="s">
        <v>986</v>
      </c>
      <c r="FS28" s="1605" t="s">
        <v>986</v>
      </c>
      <c r="FT28" s="1605" t="s">
        <v>986</v>
      </c>
      <c r="FU28" s="1605" t="s">
        <v>986</v>
      </c>
      <c r="FV28" s="1605" t="s">
        <v>986</v>
      </c>
      <c r="FW28" s="1605" t="s">
        <v>986</v>
      </c>
      <c r="FX28" s="1605" t="s">
        <v>986</v>
      </c>
      <c r="FY28" s="1605" t="s">
        <v>986</v>
      </c>
      <c r="FZ28" s="1605" t="s">
        <v>986</v>
      </c>
      <c r="GA28" s="1605">
        <v>5.2270008163138565E-2</v>
      </c>
      <c r="GB28" s="1605">
        <v>0.21618569015311387</v>
      </c>
      <c r="GC28" s="1605">
        <v>7.7822885356779899E-3</v>
      </c>
      <c r="GD28" s="1605">
        <v>0.2</v>
      </c>
      <c r="GE28" s="1605">
        <v>0.25738163748288717</v>
      </c>
      <c r="GF28" s="1605">
        <v>5.9185176300474505E-2</v>
      </c>
      <c r="GG28" s="1605" t="s">
        <v>986</v>
      </c>
      <c r="GH28" s="1605">
        <v>8.3446663795466165</v>
      </c>
      <c r="GI28" s="1605">
        <v>0.46177213752960639</v>
      </c>
      <c r="GJ28" s="1605">
        <v>0.92624670871597448</v>
      </c>
      <c r="GK28" s="1605">
        <v>2.299073251841492</v>
      </c>
      <c r="GL28" s="1605" t="s">
        <v>986</v>
      </c>
      <c r="GM28" s="1605" t="s">
        <v>986</v>
      </c>
      <c r="GN28" s="1605" t="s">
        <v>2217</v>
      </c>
      <c r="GO28" s="1605" t="s">
        <v>2217</v>
      </c>
      <c r="GP28" s="1605" t="s">
        <v>2217</v>
      </c>
      <c r="GQ28" s="1605" t="s">
        <v>2217</v>
      </c>
      <c r="GR28" s="1605" t="s">
        <v>1763</v>
      </c>
      <c r="GS28" s="1605" t="s">
        <v>2217</v>
      </c>
      <c r="GT28" s="1605" t="s">
        <v>2217</v>
      </c>
      <c r="GU28" s="1605" t="s">
        <v>1763</v>
      </c>
      <c r="GV28" s="1605" t="s">
        <v>2217</v>
      </c>
      <c r="GW28" s="1605" t="s">
        <v>2217</v>
      </c>
      <c r="GX28" s="1605" t="s">
        <v>2217</v>
      </c>
      <c r="GY28" s="1605" t="s">
        <v>2217</v>
      </c>
      <c r="GZ28" s="1605" t="s">
        <v>2217</v>
      </c>
      <c r="HA28" s="1605" t="s">
        <v>2217</v>
      </c>
      <c r="HB28" s="1605" t="s">
        <v>1763</v>
      </c>
      <c r="HC28" s="1605" t="s">
        <v>2217</v>
      </c>
      <c r="HD28" s="1605" t="s">
        <v>2217</v>
      </c>
      <c r="HE28" s="1605" t="s">
        <v>2217</v>
      </c>
      <c r="HF28" s="1605" t="s">
        <v>2217</v>
      </c>
      <c r="HG28" s="1605" t="s">
        <v>2217</v>
      </c>
      <c r="HH28" s="1605" t="s">
        <v>2217</v>
      </c>
      <c r="HI28" s="1605" t="s">
        <v>2217</v>
      </c>
      <c r="HJ28" s="1605" t="s">
        <v>2217</v>
      </c>
      <c r="HK28" s="1605" t="s">
        <v>2217</v>
      </c>
      <c r="HL28" s="1605" t="s">
        <v>1578</v>
      </c>
      <c r="HM28" s="1605" t="s">
        <v>2217</v>
      </c>
      <c r="HN28" s="1605" t="s">
        <v>2217</v>
      </c>
      <c r="HO28" s="1605" t="s">
        <v>986</v>
      </c>
      <c r="HP28" s="1605" t="s">
        <v>2217</v>
      </c>
      <c r="HQ28" s="1605" t="s">
        <v>2217</v>
      </c>
      <c r="HR28" s="1605" t="s">
        <v>2217</v>
      </c>
      <c r="HS28" s="1605" t="s">
        <v>2217</v>
      </c>
      <c r="HT28" s="1605" t="s">
        <v>1763</v>
      </c>
      <c r="HU28" s="1605" t="s">
        <v>1763</v>
      </c>
      <c r="HV28" s="1617"/>
      <c r="HW28" s="1617" t="s">
        <v>3691</v>
      </c>
      <c r="HX28" s="1617" t="s">
        <v>3686</v>
      </c>
      <c r="HY28" s="1617" t="s">
        <v>3685</v>
      </c>
      <c r="HZ28" s="1603"/>
      <c r="IA28" s="1603"/>
      <c r="IB28" s="1603"/>
      <c r="IC28" s="1603">
        <v>56.292682926829301</v>
      </c>
      <c r="ID28" s="1603">
        <v>57.024390243902403</v>
      </c>
      <c r="IE28" s="1603">
        <v>57.634146341463399</v>
      </c>
      <c r="IF28" s="1603">
        <v>58</v>
      </c>
      <c r="IG28" s="1611" t="s">
        <v>3683</v>
      </c>
      <c r="IH28" s="1616" t="s">
        <v>3704</v>
      </c>
      <c r="II28" s="1615" t="s">
        <v>3703</v>
      </c>
      <c r="IJ28" s="1613">
        <v>0.41826136363636363</v>
      </c>
      <c r="IK28" s="1613">
        <v>0.41826136363636363</v>
      </c>
      <c r="IL28" s="1614">
        <v>0.41826136363636363</v>
      </c>
      <c r="IM28" s="1614">
        <v>0.41826136363636363</v>
      </c>
      <c r="IN28" s="1612">
        <v>0.52200000000000002</v>
      </c>
      <c r="IO28" s="1613">
        <v>0.10373863636363639</v>
      </c>
      <c r="IP28" s="1607" t="s">
        <v>270</v>
      </c>
      <c r="IQ28" s="1612">
        <v>2.2000000000000002</v>
      </c>
      <c r="IR28" s="1612">
        <v>0.154</v>
      </c>
      <c r="IS28" s="1607">
        <v>0.41426136363636362</v>
      </c>
      <c r="IT28" s="1607">
        <v>0.41426136363636362</v>
      </c>
      <c r="IU28" s="1611">
        <v>1.1363636363636365E-5</v>
      </c>
      <c r="IV28" s="1611">
        <v>1.0568181818181818E-3</v>
      </c>
      <c r="IW28" s="1611">
        <v>7.8409090909090898E-4</v>
      </c>
      <c r="IX28" s="1611">
        <v>1.0909090909090907E-3</v>
      </c>
      <c r="IY28" s="1611">
        <v>7.9545454545454537E-4</v>
      </c>
      <c r="IZ28" s="1611">
        <v>8.0340909090909091E-3</v>
      </c>
      <c r="JA28" s="1611">
        <v>1.8181818181818183E-4</v>
      </c>
      <c r="JB28" s="1611" t="s">
        <v>270</v>
      </c>
      <c r="JC28" s="1611">
        <v>6.9750000000000006E-2</v>
      </c>
      <c r="JD28" s="1611">
        <v>1.9772727272727273E-3</v>
      </c>
      <c r="JE28" s="1611" t="s">
        <v>270</v>
      </c>
      <c r="JF28" s="1611">
        <v>2.5000000000000001E-4</v>
      </c>
      <c r="JG28" s="1611">
        <v>4.3789545454545458</v>
      </c>
      <c r="JH28" s="1611">
        <v>2.2727272727272727E-4</v>
      </c>
      <c r="JI28" s="1611">
        <v>4.7829545454545458E-2</v>
      </c>
      <c r="JJ28" s="1611" t="s">
        <v>270</v>
      </c>
      <c r="JK28" s="1607">
        <f t="shared" si="9"/>
        <v>4.0000000000000036E-3</v>
      </c>
      <c r="JL28" s="1608" t="s">
        <v>270</v>
      </c>
      <c r="JM28" s="1610" t="s">
        <v>2924</v>
      </c>
      <c r="JN28" s="1608">
        <v>0</v>
      </c>
      <c r="JO28" s="1609" t="s">
        <v>2923</v>
      </c>
      <c r="JP28" s="1608" t="s">
        <v>270</v>
      </c>
      <c r="JQ28" s="1607">
        <v>202103</v>
      </c>
      <c r="JR28" s="1606">
        <v>15</v>
      </c>
      <c r="JS28" s="1606">
        <v>22</v>
      </c>
      <c r="JT28" s="1606">
        <v>22</v>
      </c>
    </row>
    <row r="29" spans="1:280" ht="15" customHeight="1" x14ac:dyDescent="0.2">
      <c r="A29" s="1626">
        <v>50001</v>
      </c>
      <c r="B29" s="1625">
        <v>500</v>
      </c>
      <c r="C29" s="1624">
        <v>1</v>
      </c>
      <c r="D29" s="1623" t="s">
        <v>3707</v>
      </c>
      <c r="E29" s="1622">
        <v>44497</v>
      </c>
      <c r="F29" s="1620">
        <v>1.0684600271002713</v>
      </c>
      <c r="G29" s="1620">
        <v>1.060936602597403</v>
      </c>
      <c r="H29" s="1621">
        <v>84.6</v>
      </c>
      <c r="I29" s="1621">
        <v>81.400000000000006</v>
      </c>
      <c r="J29" s="1621">
        <v>90</v>
      </c>
      <c r="K29" s="1620">
        <v>1</v>
      </c>
      <c r="L29" s="1620">
        <v>85</v>
      </c>
      <c r="M29" s="1620">
        <v>8.6999999999999993</v>
      </c>
      <c r="N29" s="1620">
        <v>2.6</v>
      </c>
      <c r="O29" s="1620">
        <v>1.7</v>
      </c>
      <c r="P29" s="1620">
        <v>4.8</v>
      </c>
      <c r="Q29" s="1603"/>
      <c r="R29" s="1620">
        <v>76.854468965517242</v>
      </c>
      <c r="S29" s="1620">
        <v>43</v>
      </c>
      <c r="T29" s="1620">
        <v>49.097560975609802</v>
      </c>
      <c r="U29" s="1620">
        <v>51.536585365853703</v>
      </c>
      <c r="V29" s="1620">
        <v>53.731707317073202</v>
      </c>
      <c r="W29" s="1620">
        <v>55.195121951219498</v>
      </c>
      <c r="X29" s="1620"/>
      <c r="Y29" s="1620">
        <v>0.47058823529411764</v>
      </c>
      <c r="Z29" s="1620">
        <v>3.2941176470588234</v>
      </c>
      <c r="AA29" s="1620">
        <v>0.11764705882352941</v>
      </c>
      <c r="AB29" s="1620">
        <v>1.8872266973532823</v>
      </c>
      <c r="AC29" s="1620">
        <v>5.0588235294117645</v>
      </c>
      <c r="AD29" s="1620">
        <v>1.0470588235294118</v>
      </c>
      <c r="AE29" s="1620">
        <v>1.1000000000000001</v>
      </c>
      <c r="AF29" s="1620">
        <v>41.788235294117655</v>
      </c>
      <c r="AG29" s="1620">
        <v>2.7411764705882353</v>
      </c>
      <c r="AH29" s="1620">
        <v>12.152941176470588</v>
      </c>
      <c r="AI29" s="1620">
        <v>27.529411764705884</v>
      </c>
      <c r="AJ29" s="1620">
        <v>0</v>
      </c>
      <c r="AK29" s="1620">
        <v>0.04</v>
      </c>
      <c r="AL29" s="1620"/>
      <c r="AM29" s="1620">
        <v>3.8998823529411766</v>
      </c>
      <c r="AN29" s="1620">
        <v>1.7408235294117649</v>
      </c>
      <c r="AO29" s="1620">
        <v>2.4442352941176471</v>
      </c>
      <c r="AP29" s="1620">
        <v>3.5125882352941176</v>
      </c>
      <c r="AQ29" s="1620">
        <v>1.3612941176470588</v>
      </c>
      <c r="AR29" s="1620">
        <v>3.636705882352941</v>
      </c>
      <c r="AS29" s="1620">
        <v>6.9041176470588237</v>
      </c>
      <c r="AT29" s="1620">
        <v>2.3131764705882354</v>
      </c>
      <c r="AU29" s="1620">
        <v>4.716823529411764</v>
      </c>
      <c r="AV29" s="1620">
        <v>3.1947058823529413</v>
      </c>
      <c r="AW29" s="1620">
        <v>5.1758823529411764</v>
      </c>
      <c r="AX29" s="1620"/>
      <c r="AY29" s="1620">
        <v>0.94</v>
      </c>
      <c r="AZ29" s="1620">
        <v>1.08</v>
      </c>
      <c r="BA29" s="1620">
        <v>1.03</v>
      </c>
      <c r="BB29" s="1620">
        <v>0.95</v>
      </c>
      <c r="BC29" s="1620">
        <v>0.96</v>
      </c>
      <c r="BD29" s="1620">
        <v>1</v>
      </c>
      <c r="BE29" s="1620">
        <v>1.01</v>
      </c>
      <c r="BF29" s="1620">
        <v>1</v>
      </c>
      <c r="BG29" s="1620">
        <v>1.04</v>
      </c>
      <c r="BH29" s="1620">
        <v>0.97</v>
      </c>
      <c r="BI29" s="1620">
        <v>0.96</v>
      </c>
      <c r="BJ29" s="1603"/>
      <c r="BK29" s="1620">
        <v>10.235294117647058</v>
      </c>
      <c r="BL29" s="1620">
        <v>3.0588235294117645</v>
      </c>
      <c r="BM29" s="1620">
        <v>2</v>
      </c>
      <c r="BN29" s="1620">
        <v>5.6470588235294121</v>
      </c>
      <c r="BO29" s="1620"/>
      <c r="BP29" s="1620">
        <v>120</v>
      </c>
      <c r="BQ29" s="1620">
        <v>36.705882352941174</v>
      </c>
      <c r="BR29" s="1620">
        <v>1.2570117965885546</v>
      </c>
      <c r="BS29" s="1620">
        <v>1.248160708938121</v>
      </c>
      <c r="BT29" s="1603"/>
      <c r="BU29" s="1620">
        <v>980</v>
      </c>
      <c r="BV29" s="1620">
        <v>661.4682352941179</v>
      </c>
      <c r="BW29" s="1620">
        <v>44.799999999999841</v>
      </c>
      <c r="BX29" s="1620">
        <v>604</v>
      </c>
      <c r="BY29" s="1620">
        <v>21.000000000000004</v>
      </c>
      <c r="BZ29" s="1620">
        <v>56</v>
      </c>
      <c r="CA29" s="1620">
        <v>165</v>
      </c>
      <c r="CB29" s="1603"/>
      <c r="CC29" s="1603">
        <v>0.39999999999999997</v>
      </c>
      <c r="CD29" s="1603">
        <v>2.8</v>
      </c>
      <c r="CE29" s="1603">
        <v>9.9999999999999992E-2</v>
      </c>
      <c r="CF29" s="1603">
        <v>1.60414269275029</v>
      </c>
      <c r="CG29" s="1603">
        <v>4.3</v>
      </c>
      <c r="CH29" s="1603">
        <v>0.89</v>
      </c>
      <c r="CI29" s="1603">
        <v>0.93500000000000005</v>
      </c>
      <c r="CJ29" s="1603"/>
      <c r="CK29" s="1603">
        <v>35.520000000000003</v>
      </c>
      <c r="CL29" s="1603">
        <v>2.33</v>
      </c>
      <c r="CM29" s="1603">
        <v>10.33</v>
      </c>
      <c r="CN29" s="1603">
        <v>23.400000000000002</v>
      </c>
      <c r="CO29" s="1603">
        <v>0</v>
      </c>
      <c r="CP29" s="1603">
        <v>3.4000000000000002E-2</v>
      </c>
      <c r="CQ29" s="1603">
        <v>66.863388</v>
      </c>
      <c r="CR29" s="1603">
        <v>62.579213357623438</v>
      </c>
      <c r="CS29" s="1603">
        <v>2.294084756442762</v>
      </c>
      <c r="CT29" s="1603">
        <v>1.1765451643023228</v>
      </c>
      <c r="CU29" s="1603">
        <v>1.5754707162582637</v>
      </c>
      <c r="CV29" s="1603">
        <v>2.7520158805605863</v>
      </c>
      <c r="CW29" s="1603">
        <v>2.0882425818325117</v>
      </c>
      <c r="CX29" s="1603">
        <v>0.8178116642948452</v>
      </c>
      <c r="CY29" s="1603">
        <v>2.2758219333068892</v>
      </c>
      <c r="CZ29" s="1603">
        <v>4.3637479379424153</v>
      </c>
      <c r="DA29" s="1603">
        <v>1.4475676388677552</v>
      </c>
      <c r="DB29" s="1603">
        <v>3.0698211025800992</v>
      </c>
      <c r="DC29" s="1603">
        <v>1.9392451559582076</v>
      </c>
      <c r="DD29" s="1603">
        <v>5.009066258538307</v>
      </c>
      <c r="DE29" s="1603">
        <v>3.1094654023551733</v>
      </c>
      <c r="DF29" s="1603">
        <v>0</v>
      </c>
      <c r="DG29" s="1603">
        <v>0</v>
      </c>
      <c r="DH29" s="1603">
        <v>0</v>
      </c>
      <c r="DI29" s="1603">
        <v>0</v>
      </c>
      <c r="DJ29" s="1603">
        <v>0</v>
      </c>
      <c r="DK29" s="1603">
        <v>0</v>
      </c>
      <c r="DL29" s="1603">
        <v>0</v>
      </c>
      <c r="DM29" s="1603">
        <v>0</v>
      </c>
      <c r="DN29" s="1603">
        <v>0</v>
      </c>
      <c r="DO29" s="1603">
        <v>0</v>
      </c>
      <c r="DP29" s="1603">
        <v>0</v>
      </c>
      <c r="DQ29" s="1603">
        <v>0</v>
      </c>
      <c r="DR29" s="1603">
        <v>0</v>
      </c>
      <c r="DS29" s="1603">
        <v>0</v>
      </c>
      <c r="DT29" s="1603">
        <v>0</v>
      </c>
      <c r="DU29" s="1603">
        <v>0</v>
      </c>
      <c r="DV29" s="1603">
        <v>0</v>
      </c>
      <c r="DW29" s="1618" t="s">
        <v>3688</v>
      </c>
      <c r="DX29" s="1605">
        <v>28</v>
      </c>
      <c r="DY29" s="1605">
        <v>28</v>
      </c>
      <c r="DZ29" s="1605">
        <v>14</v>
      </c>
      <c r="EA29" s="1605">
        <v>14</v>
      </c>
      <c r="EB29" s="1605" t="s">
        <v>986</v>
      </c>
      <c r="EC29" s="1605">
        <v>14</v>
      </c>
      <c r="ED29" s="1605">
        <v>14</v>
      </c>
      <c r="EE29" s="1605">
        <v>16</v>
      </c>
      <c r="EF29" s="1605">
        <v>14</v>
      </c>
      <c r="EG29" s="1605">
        <v>14</v>
      </c>
      <c r="EH29" s="1605" t="s">
        <v>986</v>
      </c>
      <c r="EI29" s="1605" t="s">
        <v>986</v>
      </c>
      <c r="EJ29" s="1605" t="s">
        <v>986</v>
      </c>
      <c r="EK29" s="1605" t="s">
        <v>986</v>
      </c>
      <c r="EL29" s="1605" t="s">
        <v>986</v>
      </c>
      <c r="EM29" s="1605" t="s">
        <v>986</v>
      </c>
      <c r="EN29" s="1605" t="s">
        <v>986</v>
      </c>
      <c r="EO29" s="1605" t="s">
        <v>986</v>
      </c>
      <c r="EP29" s="1605" t="s">
        <v>986</v>
      </c>
      <c r="EQ29" s="1605" t="s">
        <v>986</v>
      </c>
      <c r="ER29" s="1605" t="s">
        <v>986</v>
      </c>
      <c r="ES29" s="1605">
        <v>14</v>
      </c>
      <c r="ET29" s="1605">
        <v>28</v>
      </c>
      <c r="EU29" s="1605">
        <v>14</v>
      </c>
      <c r="EV29" s="1605">
        <v>14</v>
      </c>
      <c r="EW29" s="1605">
        <v>14</v>
      </c>
      <c r="EX29" s="1605">
        <v>14</v>
      </c>
      <c r="EY29" s="1605" t="s">
        <v>986</v>
      </c>
      <c r="EZ29" s="1605">
        <v>14</v>
      </c>
      <c r="FA29" s="1605">
        <v>13</v>
      </c>
      <c r="FB29" s="1605">
        <v>14</v>
      </c>
      <c r="FC29" s="1605">
        <v>14</v>
      </c>
      <c r="FD29" s="1605" t="s">
        <v>986</v>
      </c>
      <c r="FE29" s="1605" t="s">
        <v>986</v>
      </c>
      <c r="FF29" s="1605">
        <v>0.50598272551394319</v>
      </c>
      <c r="FG29" s="1605">
        <v>0.77520625942330224</v>
      </c>
      <c r="FH29" s="1605">
        <v>0.10660739799167636</v>
      </c>
      <c r="FI29" s="1605">
        <v>0.13375450682972659</v>
      </c>
      <c r="FJ29" s="1605" t="s">
        <v>986</v>
      </c>
      <c r="FK29" s="1605">
        <v>1.0559364060355183</v>
      </c>
      <c r="FL29" s="1605">
        <v>0.77896734397019562</v>
      </c>
      <c r="FM29" s="1605" t="s">
        <v>986</v>
      </c>
      <c r="FN29" s="1605">
        <v>1.3442693353193151</v>
      </c>
      <c r="FO29" s="1605">
        <v>1.14855380473344</v>
      </c>
      <c r="FP29" s="1605" t="s">
        <v>986</v>
      </c>
      <c r="FQ29" s="1605" t="s">
        <v>986</v>
      </c>
      <c r="FR29" s="1605" t="s">
        <v>986</v>
      </c>
      <c r="FS29" s="1605" t="s">
        <v>986</v>
      </c>
      <c r="FT29" s="1605" t="s">
        <v>986</v>
      </c>
      <c r="FU29" s="1605" t="s">
        <v>986</v>
      </c>
      <c r="FV29" s="1605" t="s">
        <v>986</v>
      </c>
      <c r="FW29" s="1605" t="s">
        <v>986</v>
      </c>
      <c r="FX29" s="1605" t="s">
        <v>986</v>
      </c>
      <c r="FY29" s="1605" t="s">
        <v>986</v>
      </c>
      <c r="FZ29" s="1605" t="s">
        <v>986</v>
      </c>
      <c r="GA29" s="1605">
        <v>5.2270008163138565E-2</v>
      </c>
      <c r="GB29" s="1605">
        <v>0.21618569015311387</v>
      </c>
      <c r="GC29" s="1605">
        <v>7.7822885356779899E-3</v>
      </c>
      <c r="GD29" s="1605">
        <v>0.2</v>
      </c>
      <c r="GE29" s="1605">
        <v>0.25738163748288717</v>
      </c>
      <c r="GF29" s="1605">
        <v>5.9185176300474505E-2</v>
      </c>
      <c r="GG29" s="1605" t="s">
        <v>986</v>
      </c>
      <c r="GH29" s="1605">
        <v>8.3446663795466165</v>
      </c>
      <c r="GI29" s="1605">
        <v>0.46177213752960639</v>
      </c>
      <c r="GJ29" s="1605">
        <v>0.92624670871597448</v>
      </c>
      <c r="GK29" s="1605">
        <v>2.299073251841492</v>
      </c>
      <c r="GL29" s="1605" t="s">
        <v>986</v>
      </c>
      <c r="GM29" s="1605" t="s">
        <v>986</v>
      </c>
      <c r="GN29" s="1605" t="s">
        <v>2217</v>
      </c>
      <c r="GO29" s="1605" t="s">
        <v>2217</v>
      </c>
      <c r="GP29" s="1605" t="s">
        <v>2217</v>
      </c>
      <c r="GQ29" s="1605" t="s">
        <v>2217</v>
      </c>
      <c r="GR29" s="1605" t="s">
        <v>1763</v>
      </c>
      <c r="GS29" s="1605" t="s">
        <v>2217</v>
      </c>
      <c r="GT29" s="1605" t="s">
        <v>2217</v>
      </c>
      <c r="GU29" s="1605" t="s">
        <v>1763</v>
      </c>
      <c r="GV29" s="1605" t="s">
        <v>2217</v>
      </c>
      <c r="GW29" s="1605" t="s">
        <v>2217</v>
      </c>
      <c r="GX29" s="1605" t="s">
        <v>2217</v>
      </c>
      <c r="GY29" s="1605" t="s">
        <v>2217</v>
      </c>
      <c r="GZ29" s="1605" t="s">
        <v>2217</v>
      </c>
      <c r="HA29" s="1605" t="s">
        <v>2217</v>
      </c>
      <c r="HB29" s="1605" t="s">
        <v>1763</v>
      </c>
      <c r="HC29" s="1605" t="s">
        <v>2217</v>
      </c>
      <c r="HD29" s="1605" t="s">
        <v>2217</v>
      </c>
      <c r="HE29" s="1605" t="s">
        <v>2217</v>
      </c>
      <c r="HF29" s="1605" t="s">
        <v>2217</v>
      </c>
      <c r="HG29" s="1605" t="s">
        <v>2217</v>
      </c>
      <c r="HH29" s="1605" t="s">
        <v>2217</v>
      </c>
      <c r="HI29" s="1605" t="s">
        <v>2217</v>
      </c>
      <c r="HJ29" s="1605" t="s">
        <v>2217</v>
      </c>
      <c r="HK29" s="1605" t="s">
        <v>2217</v>
      </c>
      <c r="HL29" s="1605" t="s">
        <v>1578</v>
      </c>
      <c r="HM29" s="1605" t="s">
        <v>2217</v>
      </c>
      <c r="HN29" s="1605" t="s">
        <v>2217</v>
      </c>
      <c r="HO29" s="1605" t="s">
        <v>986</v>
      </c>
      <c r="HP29" s="1605" t="s">
        <v>2217</v>
      </c>
      <c r="HQ29" s="1605" t="s">
        <v>2217</v>
      </c>
      <c r="HR29" s="1605" t="s">
        <v>2217</v>
      </c>
      <c r="HS29" s="1605" t="s">
        <v>2217</v>
      </c>
      <c r="HT29" s="1605" t="s">
        <v>1763</v>
      </c>
      <c r="HU29" s="1605" t="s">
        <v>1763</v>
      </c>
      <c r="HV29" s="1617"/>
      <c r="HW29" s="1617" t="s">
        <v>3691</v>
      </c>
      <c r="HX29" s="1617" t="s">
        <v>3686</v>
      </c>
      <c r="HY29" s="1617" t="s">
        <v>3685</v>
      </c>
      <c r="HZ29" s="1603"/>
      <c r="IA29" s="1603"/>
      <c r="IB29" s="1603"/>
      <c r="IC29" s="1603">
        <v>56.292682926829301</v>
      </c>
      <c r="ID29" s="1603">
        <v>57.024390243902403</v>
      </c>
      <c r="IE29" s="1603">
        <v>57.634146341463399</v>
      </c>
      <c r="IF29" s="1603">
        <v>58</v>
      </c>
      <c r="IG29" s="1611" t="s">
        <v>3683</v>
      </c>
      <c r="IH29" s="1616" t="s">
        <v>3704</v>
      </c>
      <c r="II29" s="1615" t="s">
        <v>3703</v>
      </c>
      <c r="IJ29" s="1613">
        <v>0.41826136363636363</v>
      </c>
      <c r="IK29" s="1613">
        <v>0.41826136363636363</v>
      </c>
      <c r="IL29" s="1614">
        <v>0.41826136363636363</v>
      </c>
      <c r="IM29" s="1614">
        <v>0.41826136363636363</v>
      </c>
      <c r="IN29" s="1612">
        <v>0.52200000000000002</v>
      </c>
      <c r="IO29" s="1613">
        <v>0.10373863636363639</v>
      </c>
      <c r="IP29" s="1607" t="s">
        <v>270</v>
      </c>
      <c r="IQ29" s="1612">
        <v>2.2000000000000002</v>
      </c>
      <c r="IR29" s="1612">
        <v>0.154</v>
      </c>
      <c r="IS29" s="1607">
        <v>0.41426136363636362</v>
      </c>
      <c r="IT29" s="1607">
        <v>0.41426136363636362</v>
      </c>
      <c r="IU29" s="1611">
        <v>1.1363636363636365E-5</v>
      </c>
      <c r="IV29" s="1611">
        <v>1.0568181818181818E-3</v>
      </c>
      <c r="IW29" s="1611">
        <v>7.8409090909090898E-4</v>
      </c>
      <c r="IX29" s="1611">
        <v>1.0909090909090907E-3</v>
      </c>
      <c r="IY29" s="1611">
        <v>7.9545454545454537E-4</v>
      </c>
      <c r="IZ29" s="1611">
        <v>8.0340909090909091E-3</v>
      </c>
      <c r="JA29" s="1611">
        <v>1.8181818181818183E-4</v>
      </c>
      <c r="JB29" s="1611" t="s">
        <v>270</v>
      </c>
      <c r="JC29" s="1611">
        <v>6.9750000000000006E-2</v>
      </c>
      <c r="JD29" s="1611">
        <v>1.9772727272727273E-3</v>
      </c>
      <c r="JE29" s="1611" t="s">
        <v>270</v>
      </c>
      <c r="JF29" s="1611">
        <v>2.5000000000000001E-4</v>
      </c>
      <c r="JG29" s="1611">
        <v>4.3789545454545458</v>
      </c>
      <c r="JH29" s="1611">
        <v>2.2727272727272727E-4</v>
      </c>
      <c r="JI29" s="1611">
        <v>4.7829545454545458E-2</v>
      </c>
      <c r="JJ29" s="1611" t="s">
        <v>270</v>
      </c>
      <c r="JK29" s="1607">
        <f t="shared" si="9"/>
        <v>4.0000000000000036E-3</v>
      </c>
      <c r="JL29" s="1608" t="s">
        <v>270</v>
      </c>
      <c r="JM29" s="1610" t="s">
        <v>2924</v>
      </c>
      <c r="JN29" s="1608">
        <v>0</v>
      </c>
      <c r="JO29" s="1609" t="s">
        <v>2923</v>
      </c>
      <c r="JP29" s="1608" t="s">
        <v>270</v>
      </c>
      <c r="JQ29" s="1607">
        <v>202103</v>
      </c>
      <c r="JR29" s="1606">
        <v>15</v>
      </c>
      <c r="JS29" s="1606">
        <v>22</v>
      </c>
      <c r="JT29" s="1606">
        <v>22</v>
      </c>
    </row>
    <row r="30" spans="1:280" ht="15" customHeight="1" x14ac:dyDescent="0.2">
      <c r="A30" s="1626">
        <v>50010</v>
      </c>
      <c r="B30" s="1625">
        <v>500</v>
      </c>
      <c r="C30" s="1624">
        <v>10</v>
      </c>
      <c r="D30" s="1623" t="s">
        <v>3706</v>
      </c>
      <c r="E30" s="1622">
        <v>44497</v>
      </c>
      <c r="F30" s="1620">
        <v>1.0624132791327916</v>
      </c>
      <c r="G30" s="1620">
        <v>1.0566866025974031</v>
      </c>
      <c r="H30" s="1621">
        <v>84.6</v>
      </c>
      <c r="I30" s="1621">
        <v>80.900000000000006</v>
      </c>
      <c r="J30" s="1621">
        <v>90</v>
      </c>
      <c r="K30" s="1620">
        <v>1</v>
      </c>
      <c r="L30" s="1620">
        <v>85</v>
      </c>
      <c r="M30" s="1620">
        <v>8.6999999999999993</v>
      </c>
      <c r="N30" s="1620">
        <v>2.6</v>
      </c>
      <c r="O30" s="1620">
        <v>1.7</v>
      </c>
      <c r="P30" s="1620">
        <v>4.8</v>
      </c>
      <c r="Q30" s="1603"/>
      <c r="R30" s="1620">
        <v>76.403089655172408</v>
      </c>
      <c r="S30" s="1620">
        <v>30</v>
      </c>
      <c r="T30" s="1620">
        <v>41.382113821138198</v>
      </c>
      <c r="U30" s="1620">
        <v>45.934959349593498</v>
      </c>
      <c r="V30" s="1620">
        <v>50.032520325203301</v>
      </c>
      <c r="W30" s="1620">
        <v>52.764227642276403</v>
      </c>
      <c r="X30" s="1620"/>
      <c r="Y30" s="1620">
        <v>0.47058823529411764</v>
      </c>
      <c r="Z30" s="1620">
        <v>3.2941176470588234</v>
      </c>
      <c r="AA30" s="1620">
        <v>0.11764705882352941</v>
      </c>
      <c r="AB30" s="1620">
        <v>1.8872266973532823</v>
      </c>
      <c r="AC30" s="1620">
        <v>5.0588235294117645</v>
      </c>
      <c r="AD30" s="1620">
        <v>1.0470588235294118</v>
      </c>
      <c r="AE30" s="1620">
        <v>1.1000000000000001</v>
      </c>
      <c r="AF30" s="1620">
        <v>41.788235294117655</v>
      </c>
      <c r="AG30" s="1620">
        <v>2.7411764705882353</v>
      </c>
      <c r="AH30" s="1620">
        <v>12.152941176470588</v>
      </c>
      <c r="AI30" s="1620">
        <v>27.529411764705884</v>
      </c>
      <c r="AJ30" s="1620">
        <v>0</v>
      </c>
      <c r="AK30" s="1620">
        <v>0.04</v>
      </c>
      <c r="AL30" s="1620"/>
      <c r="AM30" s="1620">
        <v>3.8998823529411766</v>
      </c>
      <c r="AN30" s="1620">
        <v>1.7408235294117649</v>
      </c>
      <c r="AO30" s="1620">
        <v>2.4442352941176471</v>
      </c>
      <c r="AP30" s="1620">
        <v>3.5125882352941176</v>
      </c>
      <c r="AQ30" s="1620">
        <v>1.3612941176470588</v>
      </c>
      <c r="AR30" s="1620">
        <v>3.636705882352941</v>
      </c>
      <c r="AS30" s="1620">
        <v>6.9041176470588237</v>
      </c>
      <c r="AT30" s="1620">
        <v>2.3131764705882354</v>
      </c>
      <c r="AU30" s="1620">
        <v>4.716823529411764</v>
      </c>
      <c r="AV30" s="1620">
        <v>3.1947058823529413</v>
      </c>
      <c r="AW30" s="1620">
        <v>5.1758823529411764</v>
      </c>
      <c r="AX30" s="1620"/>
      <c r="AY30" s="1620">
        <v>0.94</v>
      </c>
      <c r="AZ30" s="1620">
        <v>1.08</v>
      </c>
      <c r="BA30" s="1620">
        <v>1.03</v>
      </c>
      <c r="BB30" s="1620">
        <v>0.95</v>
      </c>
      <c r="BC30" s="1620">
        <v>0.96</v>
      </c>
      <c r="BD30" s="1620">
        <v>1</v>
      </c>
      <c r="BE30" s="1620">
        <v>1.01</v>
      </c>
      <c r="BF30" s="1620">
        <v>1</v>
      </c>
      <c r="BG30" s="1620">
        <v>1.04</v>
      </c>
      <c r="BH30" s="1620">
        <v>0.97</v>
      </c>
      <c r="BI30" s="1620">
        <v>0.96</v>
      </c>
      <c r="BJ30" s="1603"/>
      <c r="BK30" s="1620">
        <v>10.235294117647058</v>
      </c>
      <c r="BL30" s="1620">
        <v>3.0588235294117645</v>
      </c>
      <c r="BM30" s="1620">
        <v>2</v>
      </c>
      <c r="BN30" s="1620">
        <v>5.6470588235294121</v>
      </c>
      <c r="BO30" s="1620"/>
      <c r="BP30" s="1620">
        <v>120</v>
      </c>
      <c r="BQ30" s="1620">
        <v>36.705882352941174</v>
      </c>
      <c r="BR30" s="1620">
        <v>1.249897975450343</v>
      </c>
      <c r="BS30" s="1620">
        <v>1.2431607089381211</v>
      </c>
      <c r="BT30" s="1603"/>
      <c r="BU30" s="1620">
        <v>980</v>
      </c>
      <c r="BV30" s="1620">
        <v>654.4682352941179</v>
      </c>
      <c r="BW30" s="1620">
        <v>51.799999999999841</v>
      </c>
      <c r="BX30" s="1620">
        <v>604</v>
      </c>
      <c r="BY30" s="1620">
        <v>21.000000000000004</v>
      </c>
      <c r="BZ30" s="1620">
        <v>56</v>
      </c>
      <c r="CA30" s="1620">
        <v>165</v>
      </c>
      <c r="CB30" s="1603"/>
      <c r="CC30" s="1603">
        <v>0.39999999999999997</v>
      </c>
      <c r="CD30" s="1603">
        <v>2.8</v>
      </c>
      <c r="CE30" s="1603">
        <v>9.9999999999999992E-2</v>
      </c>
      <c r="CF30" s="1603">
        <v>1.60414269275029</v>
      </c>
      <c r="CG30" s="1603">
        <v>4.3</v>
      </c>
      <c r="CH30" s="1603">
        <v>0.89</v>
      </c>
      <c r="CI30" s="1603">
        <v>0.93500000000000005</v>
      </c>
      <c r="CJ30" s="1603"/>
      <c r="CK30" s="1603">
        <v>35.520000000000003</v>
      </c>
      <c r="CL30" s="1603">
        <v>2.33</v>
      </c>
      <c r="CM30" s="1603">
        <v>10.33</v>
      </c>
      <c r="CN30" s="1603">
        <v>23.400000000000002</v>
      </c>
      <c r="CO30" s="1603">
        <v>0</v>
      </c>
      <c r="CP30" s="1603">
        <v>3.4000000000000002E-2</v>
      </c>
      <c r="CQ30" s="1603">
        <v>66.470687999999996</v>
      </c>
      <c r="CR30" s="1603">
        <v>62.565754123722499</v>
      </c>
      <c r="CS30" s="1603">
        <v>2.2935913558122825</v>
      </c>
      <c r="CT30" s="1603">
        <v>1.1762921186708466</v>
      </c>
      <c r="CU30" s="1603">
        <v>1.5751318716525795</v>
      </c>
      <c r="CV30" s="1603">
        <v>2.7514239903234259</v>
      </c>
      <c r="CW30" s="1603">
        <v>2.0877934527392745</v>
      </c>
      <c r="CX30" s="1603">
        <v>0.81763577332584625</v>
      </c>
      <c r="CY30" s="1603">
        <v>2.275332460555894</v>
      </c>
      <c r="CZ30" s="1603">
        <v>4.3628094041860734</v>
      </c>
      <c r="DA30" s="1603">
        <v>1.4472563030360373</v>
      </c>
      <c r="DB30" s="1603">
        <v>3.0691608603361198</v>
      </c>
      <c r="DC30" s="1603">
        <v>1.9388280725091687</v>
      </c>
      <c r="DD30" s="1603">
        <v>5.0079889328452882</v>
      </c>
      <c r="DE30" s="1603">
        <v>3.1087966336073465</v>
      </c>
      <c r="DF30" s="1603">
        <v>0</v>
      </c>
      <c r="DG30" s="1603">
        <v>0</v>
      </c>
      <c r="DH30" s="1603">
        <v>0</v>
      </c>
      <c r="DI30" s="1603">
        <v>0</v>
      </c>
      <c r="DJ30" s="1603">
        <v>0</v>
      </c>
      <c r="DK30" s="1603">
        <v>0</v>
      </c>
      <c r="DL30" s="1603">
        <v>0</v>
      </c>
      <c r="DM30" s="1603">
        <v>0</v>
      </c>
      <c r="DN30" s="1603">
        <v>0</v>
      </c>
      <c r="DO30" s="1603">
        <v>0</v>
      </c>
      <c r="DP30" s="1603">
        <v>0</v>
      </c>
      <c r="DQ30" s="1603">
        <v>0</v>
      </c>
      <c r="DR30" s="1603">
        <v>0</v>
      </c>
      <c r="DS30" s="1603">
        <v>0</v>
      </c>
      <c r="DT30" s="1603">
        <v>0</v>
      </c>
      <c r="DU30" s="1603">
        <v>0</v>
      </c>
      <c r="DV30" s="1603">
        <v>0</v>
      </c>
      <c r="DW30" s="1618" t="s">
        <v>3688</v>
      </c>
      <c r="DX30" s="1605">
        <v>28</v>
      </c>
      <c r="DY30" s="1605">
        <v>28</v>
      </c>
      <c r="DZ30" s="1605">
        <v>14</v>
      </c>
      <c r="EA30" s="1605">
        <v>14</v>
      </c>
      <c r="EB30" s="1605" t="s">
        <v>986</v>
      </c>
      <c r="EC30" s="1605">
        <v>14</v>
      </c>
      <c r="ED30" s="1605">
        <v>14</v>
      </c>
      <c r="EE30" s="1605">
        <v>16</v>
      </c>
      <c r="EF30" s="1605">
        <v>14</v>
      </c>
      <c r="EG30" s="1605">
        <v>14</v>
      </c>
      <c r="EH30" s="1605" t="s">
        <v>986</v>
      </c>
      <c r="EI30" s="1605" t="s">
        <v>986</v>
      </c>
      <c r="EJ30" s="1605" t="s">
        <v>986</v>
      </c>
      <c r="EK30" s="1605" t="s">
        <v>986</v>
      </c>
      <c r="EL30" s="1605" t="s">
        <v>986</v>
      </c>
      <c r="EM30" s="1605" t="s">
        <v>986</v>
      </c>
      <c r="EN30" s="1605" t="s">
        <v>986</v>
      </c>
      <c r="EO30" s="1605" t="s">
        <v>986</v>
      </c>
      <c r="EP30" s="1605" t="s">
        <v>986</v>
      </c>
      <c r="EQ30" s="1605" t="s">
        <v>986</v>
      </c>
      <c r="ER30" s="1605" t="s">
        <v>986</v>
      </c>
      <c r="ES30" s="1605">
        <v>14</v>
      </c>
      <c r="ET30" s="1605">
        <v>28</v>
      </c>
      <c r="EU30" s="1605">
        <v>14</v>
      </c>
      <c r="EV30" s="1605">
        <v>14</v>
      </c>
      <c r="EW30" s="1605">
        <v>14</v>
      </c>
      <c r="EX30" s="1605">
        <v>14</v>
      </c>
      <c r="EY30" s="1605" t="s">
        <v>986</v>
      </c>
      <c r="EZ30" s="1605">
        <v>14</v>
      </c>
      <c r="FA30" s="1605">
        <v>13</v>
      </c>
      <c r="FB30" s="1605">
        <v>14</v>
      </c>
      <c r="FC30" s="1605">
        <v>14</v>
      </c>
      <c r="FD30" s="1605" t="s">
        <v>986</v>
      </c>
      <c r="FE30" s="1605" t="s">
        <v>986</v>
      </c>
      <c r="FF30" s="1605">
        <v>0.50598272551394319</v>
      </c>
      <c r="FG30" s="1605">
        <v>0.77520625942330224</v>
      </c>
      <c r="FH30" s="1605">
        <v>0.10660739799167636</v>
      </c>
      <c r="FI30" s="1605">
        <v>0.13375450682972659</v>
      </c>
      <c r="FJ30" s="1605" t="s">
        <v>986</v>
      </c>
      <c r="FK30" s="1605">
        <v>1.0559364060355183</v>
      </c>
      <c r="FL30" s="1605">
        <v>0.77896734397019562</v>
      </c>
      <c r="FM30" s="1605" t="s">
        <v>986</v>
      </c>
      <c r="FN30" s="1605">
        <v>1.3442693353193151</v>
      </c>
      <c r="FO30" s="1605">
        <v>1.14855380473344</v>
      </c>
      <c r="FP30" s="1605" t="s">
        <v>986</v>
      </c>
      <c r="FQ30" s="1605" t="s">
        <v>986</v>
      </c>
      <c r="FR30" s="1605" t="s">
        <v>986</v>
      </c>
      <c r="FS30" s="1605" t="s">
        <v>986</v>
      </c>
      <c r="FT30" s="1605" t="s">
        <v>986</v>
      </c>
      <c r="FU30" s="1605" t="s">
        <v>986</v>
      </c>
      <c r="FV30" s="1605" t="s">
        <v>986</v>
      </c>
      <c r="FW30" s="1605" t="s">
        <v>986</v>
      </c>
      <c r="FX30" s="1605" t="s">
        <v>986</v>
      </c>
      <c r="FY30" s="1605" t="s">
        <v>986</v>
      </c>
      <c r="FZ30" s="1605" t="s">
        <v>986</v>
      </c>
      <c r="GA30" s="1605">
        <v>5.2270008163138565E-2</v>
      </c>
      <c r="GB30" s="1605">
        <v>0.21618569015311387</v>
      </c>
      <c r="GC30" s="1605">
        <v>7.7822885356779899E-3</v>
      </c>
      <c r="GD30" s="1605">
        <v>0.2</v>
      </c>
      <c r="GE30" s="1605">
        <v>0.25738163748288717</v>
      </c>
      <c r="GF30" s="1605">
        <v>5.9185176300474505E-2</v>
      </c>
      <c r="GG30" s="1605" t="s">
        <v>986</v>
      </c>
      <c r="GH30" s="1605">
        <v>8.3446663795466165</v>
      </c>
      <c r="GI30" s="1605">
        <v>0.46177213752960639</v>
      </c>
      <c r="GJ30" s="1605">
        <v>0.92624670871597448</v>
      </c>
      <c r="GK30" s="1605">
        <v>2.299073251841492</v>
      </c>
      <c r="GL30" s="1605" t="s">
        <v>986</v>
      </c>
      <c r="GM30" s="1605" t="s">
        <v>986</v>
      </c>
      <c r="GN30" s="1605" t="s">
        <v>2217</v>
      </c>
      <c r="GO30" s="1605" t="s">
        <v>2217</v>
      </c>
      <c r="GP30" s="1605" t="s">
        <v>2217</v>
      </c>
      <c r="GQ30" s="1605" t="s">
        <v>2217</v>
      </c>
      <c r="GR30" s="1605" t="s">
        <v>1763</v>
      </c>
      <c r="GS30" s="1605" t="s">
        <v>2217</v>
      </c>
      <c r="GT30" s="1605" t="s">
        <v>2217</v>
      </c>
      <c r="GU30" s="1605" t="s">
        <v>1763</v>
      </c>
      <c r="GV30" s="1605" t="s">
        <v>2217</v>
      </c>
      <c r="GW30" s="1605" t="s">
        <v>2217</v>
      </c>
      <c r="GX30" s="1605" t="s">
        <v>2217</v>
      </c>
      <c r="GY30" s="1605" t="s">
        <v>2217</v>
      </c>
      <c r="GZ30" s="1605" t="s">
        <v>2217</v>
      </c>
      <c r="HA30" s="1605" t="s">
        <v>2217</v>
      </c>
      <c r="HB30" s="1605" t="s">
        <v>1763</v>
      </c>
      <c r="HC30" s="1605" t="s">
        <v>2217</v>
      </c>
      <c r="HD30" s="1605" t="s">
        <v>2217</v>
      </c>
      <c r="HE30" s="1605" t="s">
        <v>2217</v>
      </c>
      <c r="HF30" s="1605" t="s">
        <v>2217</v>
      </c>
      <c r="HG30" s="1605" t="s">
        <v>2217</v>
      </c>
      <c r="HH30" s="1605" t="s">
        <v>2217</v>
      </c>
      <c r="HI30" s="1605" t="s">
        <v>2217</v>
      </c>
      <c r="HJ30" s="1605" t="s">
        <v>2217</v>
      </c>
      <c r="HK30" s="1605" t="s">
        <v>2217</v>
      </c>
      <c r="HL30" s="1605" t="s">
        <v>1578</v>
      </c>
      <c r="HM30" s="1605" t="s">
        <v>2217</v>
      </c>
      <c r="HN30" s="1605" t="s">
        <v>2217</v>
      </c>
      <c r="HO30" s="1605" t="s">
        <v>986</v>
      </c>
      <c r="HP30" s="1605" t="s">
        <v>2217</v>
      </c>
      <c r="HQ30" s="1605" t="s">
        <v>2217</v>
      </c>
      <c r="HR30" s="1605" t="s">
        <v>2217</v>
      </c>
      <c r="HS30" s="1605" t="s">
        <v>2217</v>
      </c>
      <c r="HT30" s="1605" t="s">
        <v>1763</v>
      </c>
      <c r="HU30" s="1605" t="s">
        <v>1763</v>
      </c>
      <c r="HV30" s="1617"/>
      <c r="HW30" s="1617" t="s">
        <v>3691</v>
      </c>
      <c r="HX30" s="1617" t="s">
        <v>3686</v>
      </c>
      <c r="HY30" s="1617" t="s">
        <v>3685</v>
      </c>
      <c r="HZ30" s="1603"/>
      <c r="IA30" s="1603"/>
      <c r="IB30" s="1603"/>
      <c r="IC30" s="1603">
        <v>54.8130081300813</v>
      </c>
      <c r="ID30" s="1603">
        <v>56.178861788617901</v>
      </c>
      <c r="IE30" s="1603">
        <v>57.317073170731703</v>
      </c>
      <c r="IF30" s="1603">
        <v>58</v>
      </c>
      <c r="IG30" s="1611" t="s">
        <v>3683</v>
      </c>
      <c r="IH30" s="1616" t="s">
        <v>3704</v>
      </c>
      <c r="II30" s="1615" t="s">
        <v>3703</v>
      </c>
      <c r="IJ30" s="1613">
        <v>0.41826136363636363</v>
      </c>
      <c r="IK30" s="1613">
        <v>0.41826136363636363</v>
      </c>
      <c r="IL30" s="1614">
        <v>0.41826136363636363</v>
      </c>
      <c r="IM30" s="1614">
        <v>0.41826136363636363</v>
      </c>
      <c r="IN30" s="1612">
        <v>0.52200000000000002</v>
      </c>
      <c r="IO30" s="1613">
        <v>0.10373863636363639</v>
      </c>
      <c r="IP30" s="1607" t="s">
        <v>270</v>
      </c>
      <c r="IQ30" s="1612">
        <v>2.2000000000000002</v>
      </c>
      <c r="IR30" s="1612">
        <v>0.154</v>
      </c>
      <c r="IS30" s="1607">
        <v>0.41426136363636362</v>
      </c>
      <c r="IT30" s="1607">
        <v>0.41426136363636362</v>
      </c>
      <c r="IU30" s="1611">
        <v>1.1363636363636365E-5</v>
      </c>
      <c r="IV30" s="1611">
        <v>1.0568181818181818E-3</v>
      </c>
      <c r="IW30" s="1611">
        <v>7.8409090909090898E-4</v>
      </c>
      <c r="IX30" s="1611">
        <v>1.0909090909090907E-3</v>
      </c>
      <c r="IY30" s="1611">
        <v>7.9545454545454537E-4</v>
      </c>
      <c r="IZ30" s="1611">
        <v>8.0340909090909091E-3</v>
      </c>
      <c r="JA30" s="1611">
        <v>1.8181818181818183E-4</v>
      </c>
      <c r="JB30" s="1611" t="s">
        <v>270</v>
      </c>
      <c r="JC30" s="1611">
        <v>6.9750000000000006E-2</v>
      </c>
      <c r="JD30" s="1611">
        <v>1.9772727272727273E-3</v>
      </c>
      <c r="JE30" s="1611" t="s">
        <v>270</v>
      </c>
      <c r="JF30" s="1611">
        <v>2.5000000000000001E-4</v>
      </c>
      <c r="JG30" s="1611">
        <v>4.3789545454545458</v>
      </c>
      <c r="JH30" s="1611">
        <v>2.2727272727272727E-4</v>
      </c>
      <c r="JI30" s="1611">
        <v>4.7829545454545458E-2</v>
      </c>
      <c r="JJ30" s="1611" t="s">
        <v>270</v>
      </c>
      <c r="JK30" s="1607">
        <f t="shared" si="9"/>
        <v>4.0000000000000036E-3</v>
      </c>
      <c r="JL30" s="1608" t="s">
        <v>270</v>
      </c>
      <c r="JM30" s="1610" t="s">
        <v>2924</v>
      </c>
      <c r="JN30" s="1608">
        <v>0</v>
      </c>
      <c r="JO30" s="1609" t="s">
        <v>2923</v>
      </c>
      <c r="JP30" s="1608" t="s">
        <v>270</v>
      </c>
      <c r="JQ30" s="1607">
        <v>202103</v>
      </c>
      <c r="JR30" s="1606">
        <v>15</v>
      </c>
      <c r="JS30" s="1606">
        <v>22</v>
      </c>
      <c r="JT30" s="1606">
        <v>22</v>
      </c>
    </row>
    <row r="31" spans="1:280" ht="15" customHeight="1" x14ac:dyDescent="0.2">
      <c r="A31" s="1626">
        <v>50011</v>
      </c>
      <c r="B31" s="1625">
        <v>500</v>
      </c>
      <c r="C31" s="1624">
        <v>11</v>
      </c>
      <c r="D31" s="1623" t="s">
        <v>3705</v>
      </c>
      <c r="E31" s="1622">
        <v>44497</v>
      </c>
      <c r="F31" s="1620">
        <v>1.0684600271002713</v>
      </c>
      <c r="G31" s="1620">
        <v>1.060936602597403</v>
      </c>
      <c r="H31" s="1621">
        <v>84.6</v>
      </c>
      <c r="I31" s="1621">
        <v>81.400000000000006</v>
      </c>
      <c r="J31" s="1621">
        <v>90</v>
      </c>
      <c r="K31" s="1620">
        <v>1</v>
      </c>
      <c r="L31" s="1620">
        <v>85</v>
      </c>
      <c r="M31" s="1620">
        <v>8.6999999999999993</v>
      </c>
      <c r="N31" s="1620">
        <v>2.6</v>
      </c>
      <c r="O31" s="1620">
        <v>1.7</v>
      </c>
      <c r="P31" s="1620">
        <v>4.8</v>
      </c>
      <c r="Q31" s="1603"/>
      <c r="R31" s="1620">
        <v>76.854468965517242</v>
      </c>
      <c r="S31" s="1620">
        <v>30</v>
      </c>
      <c r="T31" s="1620">
        <v>41.382113821138198</v>
      </c>
      <c r="U31" s="1620">
        <v>45.934959349593498</v>
      </c>
      <c r="V31" s="1620">
        <v>50.032520325203301</v>
      </c>
      <c r="W31" s="1620">
        <v>52.764227642276403</v>
      </c>
      <c r="X31" s="1620"/>
      <c r="Y31" s="1620">
        <v>0.47058823529411764</v>
      </c>
      <c r="Z31" s="1620">
        <v>3.2941176470588234</v>
      </c>
      <c r="AA31" s="1620">
        <v>0.11764705882352941</v>
      </c>
      <c r="AB31" s="1620">
        <v>1.8872266973532823</v>
      </c>
      <c r="AC31" s="1620">
        <v>5.0588235294117645</v>
      </c>
      <c r="AD31" s="1620">
        <v>1.0470588235294118</v>
      </c>
      <c r="AE31" s="1620">
        <v>1.1000000000000001</v>
      </c>
      <c r="AF31" s="1620">
        <v>41.788235294117655</v>
      </c>
      <c r="AG31" s="1620">
        <v>2.7411764705882353</v>
      </c>
      <c r="AH31" s="1620">
        <v>12.152941176470588</v>
      </c>
      <c r="AI31" s="1620">
        <v>27.529411764705884</v>
      </c>
      <c r="AJ31" s="1620">
        <v>0</v>
      </c>
      <c r="AK31" s="1620">
        <v>0.04</v>
      </c>
      <c r="AL31" s="1620"/>
      <c r="AM31" s="1620">
        <v>3.8998823529411766</v>
      </c>
      <c r="AN31" s="1620">
        <v>1.7408235294117649</v>
      </c>
      <c r="AO31" s="1620">
        <v>2.4442352941176471</v>
      </c>
      <c r="AP31" s="1620">
        <v>3.5125882352941176</v>
      </c>
      <c r="AQ31" s="1620">
        <v>1.3612941176470588</v>
      </c>
      <c r="AR31" s="1620">
        <v>3.636705882352941</v>
      </c>
      <c r="AS31" s="1620">
        <v>6.9041176470588237</v>
      </c>
      <c r="AT31" s="1620">
        <v>2.3131764705882354</v>
      </c>
      <c r="AU31" s="1620">
        <v>4.716823529411764</v>
      </c>
      <c r="AV31" s="1620">
        <v>3.1947058823529413</v>
      </c>
      <c r="AW31" s="1620">
        <v>5.1758823529411764</v>
      </c>
      <c r="AX31" s="1620"/>
      <c r="AY31" s="1620">
        <v>0.94</v>
      </c>
      <c r="AZ31" s="1620">
        <v>1.08</v>
      </c>
      <c r="BA31" s="1620">
        <v>1.03</v>
      </c>
      <c r="BB31" s="1620">
        <v>0.95</v>
      </c>
      <c r="BC31" s="1620">
        <v>0.96</v>
      </c>
      <c r="BD31" s="1620">
        <v>1</v>
      </c>
      <c r="BE31" s="1620">
        <v>1.01</v>
      </c>
      <c r="BF31" s="1620">
        <v>1</v>
      </c>
      <c r="BG31" s="1620">
        <v>1.04</v>
      </c>
      <c r="BH31" s="1620">
        <v>0.97</v>
      </c>
      <c r="BI31" s="1620">
        <v>0.96</v>
      </c>
      <c r="BJ31" s="1603"/>
      <c r="BK31" s="1620">
        <v>10.235294117647058</v>
      </c>
      <c r="BL31" s="1620">
        <v>3.0588235294117645</v>
      </c>
      <c r="BM31" s="1620">
        <v>2</v>
      </c>
      <c r="BN31" s="1620">
        <v>5.6470588235294121</v>
      </c>
      <c r="BO31" s="1620"/>
      <c r="BP31" s="1620">
        <v>120</v>
      </c>
      <c r="BQ31" s="1620">
        <v>36.705882352941174</v>
      </c>
      <c r="BR31" s="1620">
        <v>1.2570117965885546</v>
      </c>
      <c r="BS31" s="1620">
        <v>1.248160708938121</v>
      </c>
      <c r="BT31" s="1603"/>
      <c r="BU31" s="1620">
        <v>980</v>
      </c>
      <c r="BV31" s="1620">
        <v>661.4682352941179</v>
      </c>
      <c r="BW31" s="1620">
        <v>44.799999999999841</v>
      </c>
      <c r="BX31" s="1620">
        <v>604</v>
      </c>
      <c r="BY31" s="1620">
        <v>21.000000000000004</v>
      </c>
      <c r="BZ31" s="1620">
        <v>56</v>
      </c>
      <c r="CA31" s="1620">
        <v>165</v>
      </c>
      <c r="CB31" s="1603"/>
      <c r="CC31" s="1603">
        <v>0.39999999999999997</v>
      </c>
      <c r="CD31" s="1603">
        <v>2.8</v>
      </c>
      <c r="CE31" s="1603">
        <v>9.9999999999999992E-2</v>
      </c>
      <c r="CF31" s="1603">
        <v>1.60414269275029</v>
      </c>
      <c r="CG31" s="1603">
        <v>4.3</v>
      </c>
      <c r="CH31" s="1603">
        <v>0.89</v>
      </c>
      <c r="CI31" s="1603">
        <v>0.93500000000000005</v>
      </c>
      <c r="CJ31" s="1603"/>
      <c r="CK31" s="1603">
        <v>35.520000000000003</v>
      </c>
      <c r="CL31" s="1603">
        <v>2.33</v>
      </c>
      <c r="CM31" s="1603">
        <v>10.33</v>
      </c>
      <c r="CN31" s="1603">
        <v>23.400000000000002</v>
      </c>
      <c r="CO31" s="1603">
        <v>0</v>
      </c>
      <c r="CP31" s="1603">
        <v>3.4000000000000002E-2</v>
      </c>
      <c r="CQ31" s="1603">
        <v>66.863388</v>
      </c>
      <c r="CR31" s="1603">
        <v>62.579213357623438</v>
      </c>
      <c r="CS31" s="1603">
        <v>2.294084756442762</v>
      </c>
      <c r="CT31" s="1603">
        <v>1.1765451643023228</v>
      </c>
      <c r="CU31" s="1603">
        <v>1.5754707162582637</v>
      </c>
      <c r="CV31" s="1603">
        <v>2.7520158805605863</v>
      </c>
      <c r="CW31" s="1603">
        <v>2.0882425818325117</v>
      </c>
      <c r="CX31" s="1603">
        <v>0.8178116642948452</v>
      </c>
      <c r="CY31" s="1603">
        <v>2.2758219333068892</v>
      </c>
      <c r="CZ31" s="1603">
        <v>4.3637479379424153</v>
      </c>
      <c r="DA31" s="1603">
        <v>1.4475676388677552</v>
      </c>
      <c r="DB31" s="1603">
        <v>3.0698211025800992</v>
      </c>
      <c r="DC31" s="1603">
        <v>1.9392451559582076</v>
      </c>
      <c r="DD31" s="1603">
        <v>5.009066258538307</v>
      </c>
      <c r="DE31" s="1603">
        <v>3.1094654023551733</v>
      </c>
      <c r="DF31" s="1603">
        <v>0</v>
      </c>
      <c r="DG31" s="1603">
        <v>0</v>
      </c>
      <c r="DH31" s="1603">
        <v>0</v>
      </c>
      <c r="DI31" s="1603">
        <v>0</v>
      </c>
      <c r="DJ31" s="1603">
        <v>0</v>
      </c>
      <c r="DK31" s="1603">
        <v>0</v>
      </c>
      <c r="DL31" s="1603">
        <v>0</v>
      </c>
      <c r="DM31" s="1603">
        <v>0</v>
      </c>
      <c r="DN31" s="1603">
        <v>0</v>
      </c>
      <c r="DO31" s="1603">
        <v>0</v>
      </c>
      <c r="DP31" s="1603">
        <v>0</v>
      </c>
      <c r="DQ31" s="1603">
        <v>0</v>
      </c>
      <c r="DR31" s="1603">
        <v>0</v>
      </c>
      <c r="DS31" s="1603">
        <v>0</v>
      </c>
      <c r="DT31" s="1603">
        <v>0</v>
      </c>
      <c r="DU31" s="1603">
        <v>0</v>
      </c>
      <c r="DV31" s="1603">
        <v>0</v>
      </c>
      <c r="DW31" s="1618" t="s">
        <v>3688</v>
      </c>
      <c r="DX31" s="1605">
        <v>28</v>
      </c>
      <c r="DY31" s="1605">
        <v>28</v>
      </c>
      <c r="DZ31" s="1605">
        <v>14</v>
      </c>
      <c r="EA31" s="1605">
        <v>14</v>
      </c>
      <c r="EB31" s="1605" t="s">
        <v>986</v>
      </c>
      <c r="EC31" s="1605">
        <v>14</v>
      </c>
      <c r="ED31" s="1605">
        <v>14</v>
      </c>
      <c r="EE31" s="1605">
        <v>16</v>
      </c>
      <c r="EF31" s="1605">
        <v>14</v>
      </c>
      <c r="EG31" s="1605">
        <v>14</v>
      </c>
      <c r="EH31" s="1605" t="s">
        <v>986</v>
      </c>
      <c r="EI31" s="1605" t="s">
        <v>986</v>
      </c>
      <c r="EJ31" s="1605" t="s">
        <v>986</v>
      </c>
      <c r="EK31" s="1605" t="s">
        <v>986</v>
      </c>
      <c r="EL31" s="1605" t="s">
        <v>986</v>
      </c>
      <c r="EM31" s="1605" t="s">
        <v>986</v>
      </c>
      <c r="EN31" s="1605" t="s">
        <v>986</v>
      </c>
      <c r="EO31" s="1605" t="s">
        <v>986</v>
      </c>
      <c r="EP31" s="1605" t="s">
        <v>986</v>
      </c>
      <c r="EQ31" s="1605" t="s">
        <v>986</v>
      </c>
      <c r="ER31" s="1605" t="s">
        <v>986</v>
      </c>
      <c r="ES31" s="1605">
        <v>14</v>
      </c>
      <c r="ET31" s="1605">
        <v>28</v>
      </c>
      <c r="EU31" s="1605">
        <v>14</v>
      </c>
      <c r="EV31" s="1605">
        <v>14</v>
      </c>
      <c r="EW31" s="1605">
        <v>14</v>
      </c>
      <c r="EX31" s="1605">
        <v>14</v>
      </c>
      <c r="EY31" s="1605" t="s">
        <v>986</v>
      </c>
      <c r="EZ31" s="1605">
        <v>14</v>
      </c>
      <c r="FA31" s="1605">
        <v>13</v>
      </c>
      <c r="FB31" s="1605">
        <v>14</v>
      </c>
      <c r="FC31" s="1605">
        <v>14</v>
      </c>
      <c r="FD31" s="1605" t="s">
        <v>986</v>
      </c>
      <c r="FE31" s="1605" t="s">
        <v>986</v>
      </c>
      <c r="FF31" s="1605">
        <v>0.50598272551394319</v>
      </c>
      <c r="FG31" s="1605">
        <v>0.77520625942330224</v>
      </c>
      <c r="FH31" s="1605">
        <v>0.10660739799167636</v>
      </c>
      <c r="FI31" s="1605">
        <v>0.13375450682972659</v>
      </c>
      <c r="FJ31" s="1605" t="s">
        <v>986</v>
      </c>
      <c r="FK31" s="1605">
        <v>1.0559364060355183</v>
      </c>
      <c r="FL31" s="1605">
        <v>0.77896734397019562</v>
      </c>
      <c r="FM31" s="1605" t="s">
        <v>986</v>
      </c>
      <c r="FN31" s="1605">
        <v>1.3442693353193151</v>
      </c>
      <c r="FO31" s="1605">
        <v>1.14855380473344</v>
      </c>
      <c r="FP31" s="1605" t="s">
        <v>986</v>
      </c>
      <c r="FQ31" s="1605" t="s">
        <v>986</v>
      </c>
      <c r="FR31" s="1605" t="s">
        <v>986</v>
      </c>
      <c r="FS31" s="1605" t="s">
        <v>986</v>
      </c>
      <c r="FT31" s="1605" t="s">
        <v>986</v>
      </c>
      <c r="FU31" s="1605" t="s">
        <v>986</v>
      </c>
      <c r="FV31" s="1605" t="s">
        <v>986</v>
      </c>
      <c r="FW31" s="1605" t="s">
        <v>986</v>
      </c>
      <c r="FX31" s="1605" t="s">
        <v>986</v>
      </c>
      <c r="FY31" s="1605" t="s">
        <v>986</v>
      </c>
      <c r="FZ31" s="1605" t="s">
        <v>986</v>
      </c>
      <c r="GA31" s="1605">
        <v>5.2270008163138565E-2</v>
      </c>
      <c r="GB31" s="1605">
        <v>0.21618569015311387</v>
      </c>
      <c r="GC31" s="1605">
        <v>7.7822885356779899E-3</v>
      </c>
      <c r="GD31" s="1605">
        <v>0.2</v>
      </c>
      <c r="GE31" s="1605">
        <v>0.25738163748288717</v>
      </c>
      <c r="GF31" s="1605">
        <v>5.9185176300474505E-2</v>
      </c>
      <c r="GG31" s="1605" t="s">
        <v>986</v>
      </c>
      <c r="GH31" s="1605">
        <v>8.3446663795466165</v>
      </c>
      <c r="GI31" s="1605">
        <v>0.46177213752960639</v>
      </c>
      <c r="GJ31" s="1605">
        <v>0.92624670871597448</v>
      </c>
      <c r="GK31" s="1605">
        <v>2.299073251841492</v>
      </c>
      <c r="GL31" s="1605" t="s">
        <v>986</v>
      </c>
      <c r="GM31" s="1605" t="s">
        <v>986</v>
      </c>
      <c r="GN31" s="1605" t="s">
        <v>2217</v>
      </c>
      <c r="GO31" s="1605" t="s">
        <v>2217</v>
      </c>
      <c r="GP31" s="1605" t="s">
        <v>2217</v>
      </c>
      <c r="GQ31" s="1605" t="s">
        <v>2217</v>
      </c>
      <c r="GR31" s="1605" t="s">
        <v>1763</v>
      </c>
      <c r="GS31" s="1605" t="s">
        <v>2217</v>
      </c>
      <c r="GT31" s="1605" t="s">
        <v>2217</v>
      </c>
      <c r="GU31" s="1605" t="s">
        <v>1763</v>
      </c>
      <c r="GV31" s="1605" t="s">
        <v>2217</v>
      </c>
      <c r="GW31" s="1605" t="s">
        <v>2217</v>
      </c>
      <c r="GX31" s="1605" t="s">
        <v>2217</v>
      </c>
      <c r="GY31" s="1605" t="s">
        <v>2217</v>
      </c>
      <c r="GZ31" s="1605" t="s">
        <v>2217</v>
      </c>
      <c r="HA31" s="1605" t="s">
        <v>2217</v>
      </c>
      <c r="HB31" s="1605" t="s">
        <v>1763</v>
      </c>
      <c r="HC31" s="1605" t="s">
        <v>2217</v>
      </c>
      <c r="HD31" s="1605" t="s">
        <v>2217</v>
      </c>
      <c r="HE31" s="1605" t="s">
        <v>2217</v>
      </c>
      <c r="HF31" s="1605" t="s">
        <v>2217</v>
      </c>
      <c r="HG31" s="1605" t="s">
        <v>2217</v>
      </c>
      <c r="HH31" s="1605" t="s">
        <v>2217</v>
      </c>
      <c r="HI31" s="1605" t="s">
        <v>2217</v>
      </c>
      <c r="HJ31" s="1605" t="s">
        <v>2217</v>
      </c>
      <c r="HK31" s="1605" t="s">
        <v>2217</v>
      </c>
      <c r="HL31" s="1605" t="s">
        <v>1578</v>
      </c>
      <c r="HM31" s="1605" t="s">
        <v>2217</v>
      </c>
      <c r="HN31" s="1605" t="s">
        <v>2217</v>
      </c>
      <c r="HO31" s="1605" t="s">
        <v>986</v>
      </c>
      <c r="HP31" s="1605" t="s">
        <v>2217</v>
      </c>
      <c r="HQ31" s="1605" t="s">
        <v>2217</v>
      </c>
      <c r="HR31" s="1605" t="s">
        <v>2217</v>
      </c>
      <c r="HS31" s="1605" t="s">
        <v>2217</v>
      </c>
      <c r="HT31" s="1605" t="s">
        <v>1763</v>
      </c>
      <c r="HU31" s="1605" t="s">
        <v>1763</v>
      </c>
      <c r="HV31" s="1617"/>
      <c r="HW31" s="1617" t="s">
        <v>3691</v>
      </c>
      <c r="HX31" s="1617" t="s">
        <v>3686</v>
      </c>
      <c r="HY31" s="1617" t="s">
        <v>3685</v>
      </c>
      <c r="HZ31" s="1603"/>
      <c r="IA31" s="1603"/>
      <c r="IB31" s="1603"/>
      <c r="IC31" s="1603">
        <v>54.8130081300813</v>
      </c>
      <c r="ID31" s="1603">
        <v>56.178861788617901</v>
      </c>
      <c r="IE31" s="1603">
        <v>57.317073170731703</v>
      </c>
      <c r="IF31" s="1603">
        <v>58</v>
      </c>
      <c r="IG31" s="1611" t="s">
        <v>3683</v>
      </c>
      <c r="IH31" s="1616" t="s">
        <v>3704</v>
      </c>
      <c r="II31" s="1615" t="s">
        <v>3703</v>
      </c>
      <c r="IJ31" s="1613">
        <v>0.41826136363636363</v>
      </c>
      <c r="IK31" s="1613">
        <v>0.41826136363636363</v>
      </c>
      <c r="IL31" s="1614">
        <v>0.41826136363636363</v>
      </c>
      <c r="IM31" s="1614">
        <v>0.41826136363636363</v>
      </c>
      <c r="IN31" s="1612">
        <v>0.52200000000000002</v>
      </c>
      <c r="IO31" s="1613">
        <v>0.10373863636363639</v>
      </c>
      <c r="IP31" s="1607" t="s">
        <v>270</v>
      </c>
      <c r="IQ31" s="1612">
        <v>2.2000000000000002</v>
      </c>
      <c r="IR31" s="1612">
        <v>0.154</v>
      </c>
      <c r="IS31" s="1607">
        <v>0.41426136363636362</v>
      </c>
      <c r="IT31" s="1607">
        <v>0.41426136363636362</v>
      </c>
      <c r="IU31" s="1611">
        <v>1.1363636363636365E-5</v>
      </c>
      <c r="IV31" s="1611">
        <v>1.0568181818181818E-3</v>
      </c>
      <c r="IW31" s="1611">
        <v>7.8409090909090898E-4</v>
      </c>
      <c r="IX31" s="1611">
        <v>1.0909090909090907E-3</v>
      </c>
      <c r="IY31" s="1611">
        <v>7.9545454545454537E-4</v>
      </c>
      <c r="IZ31" s="1611">
        <v>8.0340909090909091E-3</v>
      </c>
      <c r="JA31" s="1611">
        <v>1.8181818181818183E-4</v>
      </c>
      <c r="JB31" s="1611" t="s">
        <v>270</v>
      </c>
      <c r="JC31" s="1611">
        <v>6.9750000000000006E-2</v>
      </c>
      <c r="JD31" s="1611">
        <v>1.9772727272727273E-3</v>
      </c>
      <c r="JE31" s="1611" t="s">
        <v>270</v>
      </c>
      <c r="JF31" s="1611">
        <v>2.5000000000000001E-4</v>
      </c>
      <c r="JG31" s="1611">
        <v>4.3789545454545458</v>
      </c>
      <c r="JH31" s="1611">
        <v>2.2727272727272727E-4</v>
      </c>
      <c r="JI31" s="1611">
        <v>4.7829545454545458E-2</v>
      </c>
      <c r="JJ31" s="1611" t="s">
        <v>270</v>
      </c>
      <c r="JK31" s="1607">
        <f t="shared" si="9"/>
        <v>4.0000000000000036E-3</v>
      </c>
      <c r="JL31" s="1608" t="s">
        <v>270</v>
      </c>
      <c r="JM31" s="1610" t="s">
        <v>2924</v>
      </c>
      <c r="JN31" s="1608">
        <v>0</v>
      </c>
      <c r="JO31" s="1609" t="s">
        <v>2923</v>
      </c>
      <c r="JP31" s="1608" t="s">
        <v>270</v>
      </c>
      <c r="JQ31" s="1607">
        <v>202103</v>
      </c>
      <c r="JR31" s="1606">
        <v>15</v>
      </c>
      <c r="JS31" s="1606">
        <v>22</v>
      </c>
      <c r="JT31" s="1606">
        <v>22</v>
      </c>
    </row>
    <row r="32" spans="1:280" ht="15" customHeight="1" x14ac:dyDescent="0.2">
      <c r="A32" s="1626">
        <v>50200</v>
      </c>
      <c r="B32" s="1625">
        <v>502</v>
      </c>
      <c r="C32" s="1624">
        <v>0</v>
      </c>
      <c r="D32" s="1623" t="s">
        <v>3702</v>
      </c>
      <c r="E32" s="1622">
        <v>44497</v>
      </c>
      <c r="F32" s="1620">
        <v>1.062478590785908</v>
      </c>
      <c r="G32" s="1620">
        <v>1.0586572675324677</v>
      </c>
      <c r="H32" s="1621">
        <v>85.6</v>
      </c>
      <c r="I32" s="1621">
        <v>80.7</v>
      </c>
      <c r="J32" s="1621">
        <v>90</v>
      </c>
      <c r="K32" s="1620">
        <v>1</v>
      </c>
      <c r="L32" s="1620">
        <v>85</v>
      </c>
      <c r="M32" s="1620">
        <v>8.9</v>
      </c>
      <c r="N32" s="1620">
        <v>2.6</v>
      </c>
      <c r="O32" s="1620">
        <v>1.8</v>
      </c>
      <c r="P32" s="1620">
        <v>4.8</v>
      </c>
      <c r="Q32" s="1603"/>
      <c r="R32" s="1620">
        <v>76.26102471910113</v>
      </c>
      <c r="S32" s="1620">
        <v>43</v>
      </c>
      <c r="T32" s="1620">
        <v>49.097560975609802</v>
      </c>
      <c r="U32" s="1620">
        <v>51.536585365853703</v>
      </c>
      <c r="V32" s="1620">
        <v>53.731707317073202</v>
      </c>
      <c r="W32" s="1620">
        <v>55.195121951219498</v>
      </c>
      <c r="X32" s="1620"/>
      <c r="Y32" s="1620">
        <v>0.52941176470588236</v>
      </c>
      <c r="Z32" s="1620">
        <v>3.2941176470588234</v>
      </c>
      <c r="AA32" s="1620">
        <v>0.12941176470588237</v>
      </c>
      <c r="AB32" s="1620">
        <v>1.8823529411764706</v>
      </c>
      <c r="AC32" s="1620">
        <v>4.9294117647058826</v>
      </c>
      <c r="AD32" s="1620">
        <v>1.0705882352941176</v>
      </c>
      <c r="AE32" s="1620">
        <v>1.1000000000000001</v>
      </c>
      <c r="AF32" s="1620">
        <v>43.047058823529419</v>
      </c>
      <c r="AG32" s="1620">
        <v>3.1882352941176473</v>
      </c>
      <c r="AH32" s="1620">
        <v>12.588235294117647</v>
      </c>
      <c r="AI32" s="1620">
        <v>29.458823529411763</v>
      </c>
      <c r="AJ32" s="1620">
        <v>0</v>
      </c>
      <c r="AK32" s="1620">
        <v>0.04</v>
      </c>
      <c r="AL32" s="1620"/>
      <c r="AM32" s="1620">
        <v>3.8697647058823526</v>
      </c>
      <c r="AN32" s="1620">
        <v>1.7316470588235295</v>
      </c>
      <c r="AO32" s="1620">
        <v>2.4284705882352942</v>
      </c>
      <c r="AP32" s="1620">
        <v>3.4951764705882349</v>
      </c>
      <c r="AQ32" s="1620">
        <v>1.3525882352941176</v>
      </c>
      <c r="AR32" s="1620">
        <v>3.6334117647058823</v>
      </c>
      <c r="AS32" s="1620">
        <v>6.8982352941176472</v>
      </c>
      <c r="AT32" s="1620">
        <v>2.3063529411764705</v>
      </c>
      <c r="AU32" s="1620">
        <v>4.7436470588235293</v>
      </c>
      <c r="AV32" s="1620">
        <v>3.1994117647058826</v>
      </c>
      <c r="AW32" s="1620">
        <v>5.1617647058823533</v>
      </c>
      <c r="AX32" s="1620"/>
      <c r="AY32" s="1620">
        <v>0.93979487733984202</v>
      </c>
      <c r="AZ32" s="1620">
        <v>1.07984084344248</v>
      </c>
      <c r="BA32" s="1620">
        <v>1.0298133265506999</v>
      </c>
      <c r="BB32" s="1620">
        <v>0.94986852960372503</v>
      </c>
      <c r="BC32" s="1620">
        <v>0.95982752284767003</v>
      </c>
      <c r="BD32" s="1620">
        <v>0.99997514724094605</v>
      </c>
      <c r="BE32" s="1620">
        <v>1.00997639474776</v>
      </c>
      <c r="BF32" s="1620">
        <v>0.99991835406371998</v>
      </c>
      <c r="BG32" s="1620">
        <v>1.0401578477529601</v>
      </c>
      <c r="BH32" s="1620">
        <v>0.970038811056257</v>
      </c>
      <c r="BI32" s="1620">
        <v>0.95992759482045098</v>
      </c>
      <c r="BJ32" s="1603"/>
      <c r="BK32" s="1620">
        <v>10.470588235294118</v>
      </c>
      <c r="BL32" s="1620">
        <v>3.0588235294117645</v>
      </c>
      <c r="BM32" s="1620">
        <v>2.1176470588235294</v>
      </c>
      <c r="BN32" s="1620">
        <v>5.6470588235294121</v>
      </c>
      <c r="BO32" s="1620"/>
      <c r="BP32" s="1620">
        <v>120</v>
      </c>
      <c r="BQ32" s="1620">
        <v>36.705882352941174</v>
      </c>
      <c r="BR32" s="1620">
        <v>1.2499748126893035</v>
      </c>
      <c r="BS32" s="1620">
        <v>1.2454791382734915</v>
      </c>
      <c r="BT32" s="1603"/>
      <c r="BU32" s="1620">
        <v>978.82352941176475</v>
      </c>
      <c r="BV32" s="1620">
        <v>644.40235294117667</v>
      </c>
      <c r="BW32" s="1620">
        <v>68.517647058823414</v>
      </c>
      <c r="BX32" s="1620">
        <v>604</v>
      </c>
      <c r="BY32" s="1620">
        <v>21.000000000000004</v>
      </c>
      <c r="BZ32" s="1620">
        <v>55.999999999999879</v>
      </c>
      <c r="CA32" s="1620">
        <v>165</v>
      </c>
      <c r="CB32" s="1603"/>
      <c r="CC32" s="1603">
        <v>0.45</v>
      </c>
      <c r="CD32" s="1603">
        <v>2.8</v>
      </c>
      <c r="CE32" s="1603">
        <v>0.11</v>
      </c>
      <c r="CF32" s="1603">
        <v>1.5999999999999999</v>
      </c>
      <c r="CG32" s="1603">
        <v>4.1900000000000004</v>
      </c>
      <c r="CH32" s="1603">
        <v>0.90999999999999992</v>
      </c>
      <c r="CI32" s="1603">
        <v>0.93500000000000005</v>
      </c>
      <c r="CJ32" s="1603"/>
      <c r="CK32" s="1603">
        <v>36.590000000000003</v>
      </c>
      <c r="CL32" s="1603">
        <v>2.71</v>
      </c>
      <c r="CM32" s="1603">
        <v>10.7</v>
      </c>
      <c r="CN32" s="1603">
        <v>25.04</v>
      </c>
      <c r="CO32" s="1603">
        <v>0</v>
      </c>
      <c r="CP32" s="1603">
        <v>3.4000000000000002E-2</v>
      </c>
      <c r="CQ32" s="1603">
        <v>67.872312000000008</v>
      </c>
      <c r="CR32" s="1603">
        <v>63.881110253520809</v>
      </c>
      <c r="CS32" s="1603">
        <v>2.3232186656207148</v>
      </c>
      <c r="CT32" s="1603">
        <v>1.1945149379502897</v>
      </c>
      <c r="CU32" s="1603">
        <v>1.5975844002993282</v>
      </c>
      <c r="CV32" s="1603">
        <v>2.792099338249618</v>
      </c>
      <c r="CW32" s="1603">
        <v>2.1208261164771307</v>
      </c>
      <c r="CX32" s="1603">
        <v>0.82933741798543192</v>
      </c>
      <c r="CY32" s="1603">
        <v>2.3210060905374021</v>
      </c>
      <c r="CZ32" s="1603">
        <v>4.4506319661801879</v>
      </c>
      <c r="DA32" s="1603">
        <v>1.4732035742818439</v>
      </c>
      <c r="DB32" s="1603">
        <v>3.1519845091554139</v>
      </c>
      <c r="DC32" s="1603">
        <v>1.982584486973167</v>
      </c>
      <c r="DD32" s="1603">
        <v>5.1345689961285812</v>
      </c>
      <c r="DE32" s="1603">
        <v>3.1652581503769004</v>
      </c>
      <c r="DF32" s="1603">
        <v>0</v>
      </c>
      <c r="DG32" s="1603">
        <v>0</v>
      </c>
      <c r="DH32" s="1603">
        <v>0</v>
      </c>
      <c r="DI32" s="1603">
        <v>0</v>
      </c>
      <c r="DJ32" s="1603">
        <v>0</v>
      </c>
      <c r="DK32" s="1603">
        <v>0</v>
      </c>
      <c r="DL32" s="1603">
        <v>0</v>
      </c>
      <c r="DM32" s="1603">
        <v>0</v>
      </c>
      <c r="DN32" s="1603">
        <v>0</v>
      </c>
      <c r="DO32" s="1603">
        <v>0</v>
      </c>
      <c r="DP32" s="1603">
        <v>0</v>
      </c>
      <c r="DQ32" s="1603">
        <v>0</v>
      </c>
      <c r="DR32" s="1603">
        <v>0</v>
      </c>
      <c r="DS32" s="1603">
        <v>0</v>
      </c>
      <c r="DT32" s="1603">
        <v>0</v>
      </c>
      <c r="DU32" s="1603">
        <v>0</v>
      </c>
      <c r="DV32" s="1603">
        <v>0</v>
      </c>
      <c r="DW32" s="1618" t="s">
        <v>3688</v>
      </c>
      <c r="DX32" s="1605">
        <v>86</v>
      </c>
      <c r="DY32" s="1605">
        <v>86</v>
      </c>
      <c r="DZ32" s="1605">
        <v>44</v>
      </c>
      <c r="EA32" s="1605">
        <v>44</v>
      </c>
      <c r="EB32" s="1605" t="s">
        <v>986</v>
      </c>
      <c r="EC32" s="1605">
        <v>44</v>
      </c>
      <c r="ED32" s="1605">
        <v>44</v>
      </c>
      <c r="EE32" s="1605">
        <v>45</v>
      </c>
      <c r="EF32" s="1605">
        <v>44</v>
      </c>
      <c r="EG32" s="1605">
        <v>44</v>
      </c>
      <c r="EH32" s="1605" t="s">
        <v>986</v>
      </c>
      <c r="EI32" s="1605" t="s">
        <v>986</v>
      </c>
      <c r="EJ32" s="1605" t="s">
        <v>986</v>
      </c>
      <c r="EK32" s="1605" t="s">
        <v>986</v>
      </c>
      <c r="EL32" s="1605" t="s">
        <v>986</v>
      </c>
      <c r="EM32" s="1605" t="s">
        <v>986</v>
      </c>
      <c r="EN32" s="1605" t="s">
        <v>986</v>
      </c>
      <c r="EO32" s="1605" t="s">
        <v>986</v>
      </c>
      <c r="EP32" s="1605" t="s">
        <v>986</v>
      </c>
      <c r="EQ32" s="1605" t="s">
        <v>986</v>
      </c>
      <c r="ER32" s="1605" t="s">
        <v>986</v>
      </c>
      <c r="ES32" s="1605">
        <v>44</v>
      </c>
      <c r="ET32" s="1605">
        <v>86</v>
      </c>
      <c r="EU32" s="1605">
        <v>42</v>
      </c>
      <c r="EV32" s="1605">
        <v>14</v>
      </c>
      <c r="EW32" s="1605">
        <v>42</v>
      </c>
      <c r="EX32" s="1605">
        <v>42</v>
      </c>
      <c r="EY32" s="1605" t="s">
        <v>986</v>
      </c>
      <c r="EZ32" s="1605">
        <v>42</v>
      </c>
      <c r="FA32" s="1605">
        <v>41</v>
      </c>
      <c r="FB32" s="1605">
        <v>42</v>
      </c>
      <c r="FC32" s="1605">
        <v>42</v>
      </c>
      <c r="FD32" s="1605" t="s">
        <v>986</v>
      </c>
      <c r="FE32" s="1605" t="s">
        <v>986</v>
      </c>
      <c r="FF32" s="1605">
        <v>1.3182155371798578</v>
      </c>
      <c r="FG32" s="1605">
        <v>0.62473585587647007</v>
      </c>
      <c r="FH32" s="1605">
        <v>0.1391894631450013</v>
      </c>
      <c r="FI32" s="1605">
        <v>0.16352101626911683</v>
      </c>
      <c r="FJ32" s="1605" t="s">
        <v>986</v>
      </c>
      <c r="FK32" s="1605">
        <v>1.3556605338168639</v>
      </c>
      <c r="FL32" s="1605">
        <v>1.0617321189017315</v>
      </c>
      <c r="FM32" s="1605" t="s">
        <v>986</v>
      </c>
      <c r="FN32" s="1605">
        <v>1.7735019909229002</v>
      </c>
      <c r="FO32" s="1605">
        <v>1.4654329736080107</v>
      </c>
      <c r="FP32" s="1605" t="s">
        <v>986</v>
      </c>
      <c r="FQ32" s="1605" t="s">
        <v>986</v>
      </c>
      <c r="FR32" s="1605" t="s">
        <v>986</v>
      </c>
      <c r="FS32" s="1605" t="s">
        <v>986</v>
      </c>
      <c r="FT32" s="1605" t="s">
        <v>986</v>
      </c>
      <c r="FU32" s="1605" t="s">
        <v>986</v>
      </c>
      <c r="FV32" s="1605" t="s">
        <v>986</v>
      </c>
      <c r="FW32" s="1605" t="s">
        <v>986</v>
      </c>
      <c r="FX32" s="1605" t="s">
        <v>986</v>
      </c>
      <c r="FY32" s="1605" t="s">
        <v>986</v>
      </c>
      <c r="FZ32" s="1605" t="s">
        <v>986</v>
      </c>
      <c r="GA32" s="1605">
        <v>6.3753727483782274E-2</v>
      </c>
      <c r="GB32" s="1605">
        <v>0.17957154546484197</v>
      </c>
      <c r="GC32" s="1605">
        <v>1.7989600377527028E-2</v>
      </c>
      <c r="GD32" s="1605">
        <v>0.20148101597130613</v>
      </c>
      <c r="GE32" s="1605">
        <v>0.30480122253888531</v>
      </c>
      <c r="GF32" s="1605">
        <v>5.8292442321044149E-2</v>
      </c>
      <c r="GG32" s="1605" t="s">
        <v>986</v>
      </c>
      <c r="GH32" s="1605">
        <v>7.2498063875221961</v>
      </c>
      <c r="GI32" s="1605">
        <v>0.70661720510066828</v>
      </c>
      <c r="GJ32" s="1605">
        <v>1.0176515387462854</v>
      </c>
      <c r="GK32" s="1605">
        <v>2.7041061630455592</v>
      </c>
      <c r="GL32" s="1605" t="s">
        <v>986</v>
      </c>
      <c r="GM32" s="1605" t="s">
        <v>986</v>
      </c>
      <c r="GN32" s="1605" t="s">
        <v>3027</v>
      </c>
      <c r="GO32" s="1605" t="s">
        <v>3027</v>
      </c>
      <c r="GP32" s="1605" t="s">
        <v>3027</v>
      </c>
      <c r="GQ32" s="1605" t="s">
        <v>3027</v>
      </c>
      <c r="GR32" s="1605" t="s">
        <v>3026</v>
      </c>
      <c r="GS32" s="1605" t="s">
        <v>3027</v>
      </c>
      <c r="GT32" s="1605" t="s">
        <v>3027</v>
      </c>
      <c r="GU32" s="1605" t="s">
        <v>3026</v>
      </c>
      <c r="GV32" s="1605" t="s">
        <v>3027</v>
      </c>
      <c r="GW32" s="1605" t="s">
        <v>3027</v>
      </c>
      <c r="GX32" s="1605" t="s">
        <v>3027</v>
      </c>
      <c r="GY32" s="1605" t="s">
        <v>3027</v>
      </c>
      <c r="GZ32" s="1605" t="s">
        <v>3027</v>
      </c>
      <c r="HA32" s="1605" t="s">
        <v>3027</v>
      </c>
      <c r="HB32" s="1605" t="s">
        <v>3026</v>
      </c>
      <c r="HC32" s="1605" t="s">
        <v>3027</v>
      </c>
      <c r="HD32" s="1605" t="s">
        <v>3027</v>
      </c>
      <c r="HE32" s="1605" t="s">
        <v>3027</v>
      </c>
      <c r="HF32" s="1605" t="s">
        <v>3027</v>
      </c>
      <c r="HG32" s="1605" t="s">
        <v>3027</v>
      </c>
      <c r="HH32" s="1605" t="s">
        <v>3027</v>
      </c>
      <c r="HI32" s="1605" t="s">
        <v>3027</v>
      </c>
      <c r="HJ32" s="1605" t="s">
        <v>3027</v>
      </c>
      <c r="HK32" s="1605" t="s">
        <v>3027</v>
      </c>
      <c r="HL32" s="1605" t="s">
        <v>1578</v>
      </c>
      <c r="HM32" s="1605" t="s">
        <v>3027</v>
      </c>
      <c r="HN32" s="1605" t="s">
        <v>3027</v>
      </c>
      <c r="HO32" s="1605" t="s">
        <v>986</v>
      </c>
      <c r="HP32" s="1605" t="s">
        <v>3027</v>
      </c>
      <c r="HQ32" s="1605" t="s">
        <v>3027</v>
      </c>
      <c r="HR32" s="1605" t="s">
        <v>3027</v>
      </c>
      <c r="HS32" s="1605" t="s">
        <v>3027</v>
      </c>
      <c r="HT32" s="1605" t="s">
        <v>3026</v>
      </c>
      <c r="HU32" s="1605" t="s">
        <v>3026</v>
      </c>
      <c r="HV32" s="1617"/>
      <c r="HW32" s="1617" t="s">
        <v>3694</v>
      </c>
      <c r="HX32" s="1617" t="s">
        <v>3686</v>
      </c>
      <c r="HY32" s="1617" t="s">
        <v>3685</v>
      </c>
      <c r="HZ32" s="1603"/>
      <c r="IA32" s="1603"/>
      <c r="IB32" s="1603"/>
      <c r="IC32" s="1603">
        <v>56.292682926829301</v>
      </c>
      <c r="ID32" s="1603">
        <v>57.024390243902403</v>
      </c>
      <c r="IE32" s="1603">
        <v>57.634146341463399</v>
      </c>
      <c r="IF32" s="1603">
        <v>58</v>
      </c>
      <c r="IG32" s="1611" t="s">
        <v>3683</v>
      </c>
      <c r="IH32" s="1616" t="s">
        <v>3682</v>
      </c>
      <c r="II32" s="1615" t="s">
        <v>275</v>
      </c>
      <c r="IJ32" s="1613">
        <v>0.41826136363636363</v>
      </c>
      <c r="IK32" s="1613">
        <v>0.41826136363636363</v>
      </c>
      <c r="IL32" s="1614">
        <v>0.41826136363636363</v>
      </c>
      <c r="IM32" s="1614">
        <v>0.41826136363636363</v>
      </c>
      <c r="IN32" s="1612">
        <v>0.52200000000000002</v>
      </c>
      <c r="IO32" s="1613">
        <v>0.10373863636363639</v>
      </c>
      <c r="IP32" s="1607" t="s">
        <v>270</v>
      </c>
      <c r="IQ32" s="1612">
        <v>2.2000000000000002</v>
      </c>
      <c r="IR32" s="1612">
        <v>0.154</v>
      </c>
      <c r="IS32" s="1607">
        <v>0.41426136363636362</v>
      </c>
      <c r="IT32" s="1607">
        <v>0.41426136363636362</v>
      </c>
      <c r="IU32" s="1611">
        <v>1.1363636363636365E-5</v>
      </c>
      <c r="IV32" s="1611">
        <v>1.0568181818181818E-3</v>
      </c>
      <c r="IW32" s="1611">
        <v>7.8409090909090898E-4</v>
      </c>
      <c r="IX32" s="1611">
        <v>1.0909090909090907E-3</v>
      </c>
      <c r="IY32" s="1611">
        <v>7.9545454545454537E-4</v>
      </c>
      <c r="IZ32" s="1611">
        <v>8.0340909090909091E-3</v>
      </c>
      <c r="JA32" s="1611">
        <v>1.8181818181818183E-4</v>
      </c>
      <c r="JB32" s="1611" t="s">
        <v>270</v>
      </c>
      <c r="JC32" s="1611">
        <v>6.9750000000000006E-2</v>
      </c>
      <c r="JD32" s="1611">
        <v>1.9772727272727273E-3</v>
      </c>
      <c r="JE32" s="1611" t="s">
        <v>270</v>
      </c>
      <c r="JF32" s="1611">
        <v>2.5000000000000001E-4</v>
      </c>
      <c r="JG32" s="1611">
        <v>4.3789545454545458</v>
      </c>
      <c r="JH32" s="1611">
        <v>2.2727272727272727E-4</v>
      </c>
      <c r="JI32" s="1611">
        <v>4.7829545454545458E-2</v>
      </c>
      <c r="JJ32" s="1611" t="s">
        <v>270</v>
      </c>
      <c r="JK32" s="1607">
        <f t="shared" si="9"/>
        <v>4.0000000000000036E-3</v>
      </c>
      <c r="JL32" s="1608" t="s">
        <v>270</v>
      </c>
      <c r="JM32" s="1610" t="s">
        <v>2924</v>
      </c>
      <c r="JN32" s="1608">
        <v>0</v>
      </c>
      <c r="JO32" s="1609" t="s">
        <v>2923</v>
      </c>
      <c r="JP32" s="1608" t="s">
        <v>270</v>
      </c>
      <c r="JQ32" s="1607">
        <v>202103</v>
      </c>
      <c r="JR32" s="1606">
        <v>15</v>
      </c>
      <c r="JS32" s="1606">
        <v>22</v>
      </c>
      <c r="JT32" s="1606">
        <v>22</v>
      </c>
    </row>
    <row r="33" spans="1:280" ht="15" customHeight="1" x14ac:dyDescent="0.2">
      <c r="A33" s="1626">
        <v>50201</v>
      </c>
      <c r="B33" s="1625">
        <v>502</v>
      </c>
      <c r="C33" s="1624">
        <v>1</v>
      </c>
      <c r="D33" s="1623" t="s">
        <v>3701</v>
      </c>
      <c r="E33" s="1622">
        <v>44497</v>
      </c>
      <c r="F33" s="1620">
        <v>1.0685180797522265</v>
      </c>
      <c r="G33" s="1620">
        <v>1.0629021654916513</v>
      </c>
      <c r="H33" s="1621">
        <v>85.6</v>
      </c>
      <c r="I33" s="1621">
        <v>81.2</v>
      </c>
      <c r="J33" s="1621">
        <v>90</v>
      </c>
      <c r="K33" s="1620">
        <v>1</v>
      </c>
      <c r="L33" s="1620">
        <v>85</v>
      </c>
      <c r="M33" s="1620">
        <v>8.9</v>
      </c>
      <c r="N33" s="1620">
        <v>2.6</v>
      </c>
      <c r="O33" s="1620">
        <v>1.8</v>
      </c>
      <c r="P33" s="1620">
        <v>4.8</v>
      </c>
      <c r="Q33" s="1603"/>
      <c r="R33" s="1620">
        <v>76.701730979133231</v>
      </c>
      <c r="S33" s="1620">
        <v>43</v>
      </c>
      <c r="T33" s="1620">
        <v>49.097560975609802</v>
      </c>
      <c r="U33" s="1620">
        <v>51.536585365853703</v>
      </c>
      <c r="V33" s="1620">
        <v>53.731707317073202</v>
      </c>
      <c r="W33" s="1620">
        <v>55.195121951219498</v>
      </c>
      <c r="X33" s="1620"/>
      <c r="Y33" s="1620">
        <v>0.52941176470588236</v>
      </c>
      <c r="Z33" s="1620">
        <v>3.2941176470588234</v>
      </c>
      <c r="AA33" s="1620">
        <v>0.12941176470588237</v>
      </c>
      <c r="AB33" s="1620">
        <v>1.8823529411764706</v>
      </c>
      <c r="AC33" s="1620">
        <v>4.9294117647058826</v>
      </c>
      <c r="AD33" s="1620">
        <v>1.0705882352941176</v>
      </c>
      <c r="AE33" s="1620">
        <v>1.1000000000000001</v>
      </c>
      <c r="AF33" s="1620">
        <v>43.047058823529419</v>
      </c>
      <c r="AG33" s="1620">
        <v>3.1882352941176473</v>
      </c>
      <c r="AH33" s="1620">
        <v>12.588235294117647</v>
      </c>
      <c r="AI33" s="1620">
        <v>29.458823529411763</v>
      </c>
      <c r="AJ33" s="1620">
        <v>0</v>
      </c>
      <c r="AK33" s="1620">
        <v>0.04</v>
      </c>
      <c r="AL33" s="1620"/>
      <c r="AM33" s="1620">
        <v>3.8697647058823526</v>
      </c>
      <c r="AN33" s="1620">
        <v>1.7316470588235295</v>
      </c>
      <c r="AO33" s="1620">
        <v>2.4284705882352942</v>
      </c>
      <c r="AP33" s="1620">
        <v>3.4951764705882349</v>
      </c>
      <c r="AQ33" s="1620">
        <v>1.3525882352941176</v>
      </c>
      <c r="AR33" s="1620">
        <v>3.6334117647058823</v>
      </c>
      <c r="AS33" s="1620">
        <v>6.8982352941176472</v>
      </c>
      <c r="AT33" s="1620">
        <v>2.3063529411764705</v>
      </c>
      <c r="AU33" s="1620">
        <v>4.7436470588235293</v>
      </c>
      <c r="AV33" s="1620">
        <v>3.1994117647058826</v>
      </c>
      <c r="AW33" s="1620">
        <v>5.1617647058823533</v>
      </c>
      <c r="AX33" s="1620"/>
      <c r="AY33" s="1620">
        <v>0.93979487733984202</v>
      </c>
      <c r="AZ33" s="1620">
        <v>1.07984084344248</v>
      </c>
      <c r="BA33" s="1620">
        <v>1.0298133265506999</v>
      </c>
      <c r="BB33" s="1620">
        <v>0.94986852960372503</v>
      </c>
      <c r="BC33" s="1620">
        <v>0.95982752284767003</v>
      </c>
      <c r="BD33" s="1620">
        <v>0.99997514724094605</v>
      </c>
      <c r="BE33" s="1620">
        <v>1.00997639474776</v>
      </c>
      <c r="BF33" s="1620">
        <v>0.99991835406371998</v>
      </c>
      <c r="BG33" s="1620">
        <v>1.0401578477529601</v>
      </c>
      <c r="BH33" s="1620">
        <v>0.970038811056257</v>
      </c>
      <c r="BI33" s="1620">
        <v>0.95992759482045098</v>
      </c>
      <c r="BJ33" s="1603"/>
      <c r="BK33" s="1620">
        <v>10.470588235294118</v>
      </c>
      <c r="BL33" s="1620">
        <v>3.0588235294117645</v>
      </c>
      <c r="BM33" s="1620">
        <v>2.1176470588235294</v>
      </c>
      <c r="BN33" s="1620">
        <v>5.6470588235294121</v>
      </c>
      <c r="BO33" s="1620"/>
      <c r="BP33" s="1620">
        <v>120</v>
      </c>
      <c r="BQ33" s="1620">
        <v>36.705882352941174</v>
      </c>
      <c r="BR33" s="1620">
        <v>1.2570800938261486</v>
      </c>
      <c r="BS33" s="1620">
        <v>1.2504731358725309</v>
      </c>
      <c r="BT33" s="1603"/>
      <c r="BU33" s="1620">
        <v>978.82352941176475</v>
      </c>
      <c r="BV33" s="1620">
        <v>651.39394957983211</v>
      </c>
      <c r="BW33" s="1620">
        <v>61.526050420167955</v>
      </c>
      <c r="BX33" s="1620">
        <v>604</v>
      </c>
      <c r="BY33" s="1620">
        <v>21.000000000000004</v>
      </c>
      <c r="BZ33" s="1620">
        <v>55.999999999999879</v>
      </c>
      <c r="CA33" s="1620">
        <v>165</v>
      </c>
      <c r="CB33" s="1603"/>
      <c r="CC33" s="1603">
        <v>0.45</v>
      </c>
      <c r="CD33" s="1603">
        <v>2.8</v>
      </c>
      <c r="CE33" s="1603">
        <v>0.11</v>
      </c>
      <c r="CF33" s="1603">
        <v>1.5999999999999999</v>
      </c>
      <c r="CG33" s="1603">
        <v>4.1900000000000004</v>
      </c>
      <c r="CH33" s="1603">
        <v>0.90999999999999992</v>
      </c>
      <c r="CI33" s="1603">
        <v>0.93500000000000005</v>
      </c>
      <c r="CJ33" s="1603"/>
      <c r="CK33" s="1603">
        <v>36.590000000000003</v>
      </c>
      <c r="CL33" s="1603">
        <v>2.71</v>
      </c>
      <c r="CM33" s="1603">
        <v>10.7</v>
      </c>
      <c r="CN33" s="1603">
        <v>25.04</v>
      </c>
      <c r="CO33" s="1603">
        <v>0</v>
      </c>
      <c r="CP33" s="1603">
        <v>3.4000000000000002E-2</v>
      </c>
      <c r="CQ33" s="1603">
        <v>68.264540571428583</v>
      </c>
      <c r="CR33" s="1603">
        <v>63.887117929963452</v>
      </c>
      <c r="CS33" s="1603">
        <v>2.3234371518992583</v>
      </c>
      <c r="CT33" s="1603">
        <v>1.1946272756855703</v>
      </c>
      <c r="CU33" s="1603">
        <v>1.5977346445597789</v>
      </c>
      <c r="CV33" s="1603">
        <v>2.7923619202453489</v>
      </c>
      <c r="CW33" s="1603">
        <v>2.1210255688199027</v>
      </c>
      <c r="CX33" s="1603">
        <v>0.82941541272987607</v>
      </c>
      <c r="CY33" s="1603">
        <v>2.3212243687351037</v>
      </c>
      <c r="CZ33" s="1603">
        <v>4.4510505242909026</v>
      </c>
      <c r="DA33" s="1603">
        <v>1.473342121191459</v>
      </c>
      <c r="DB33" s="1603">
        <v>3.1522809364248849</v>
      </c>
      <c r="DC33" s="1603">
        <v>1.9827709384307364</v>
      </c>
      <c r="DD33" s="1603">
        <v>5.1350518748556215</v>
      </c>
      <c r="DE33" s="1603">
        <v>3.1655558259612695</v>
      </c>
      <c r="DF33" s="1603">
        <v>0</v>
      </c>
      <c r="DG33" s="1603">
        <v>0</v>
      </c>
      <c r="DH33" s="1603">
        <v>0</v>
      </c>
      <c r="DI33" s="1603">
        <v>0</v>
      </c>
      <c r="DJ33" s="1603">
        <v>0</v>
      </c>
      <c r="DK33" s="1603">
        <v>0</v>
      </c>
      <c r="DL33" s="1603">
        <v>0</v>
      </c>
      <c r="DM33" s="1603">
        <v>0</v>
      </c>
      <c r="DN33" s="1603">
        <v>0</v>
      </c>
      <c r="DO33" s="1603">
        <v>0</v>
      </c>
      <c r="DP33" s="1603">
        <v>0</v>
      </c>
      <c r="DQ33" s="1603">
        <v>0</v>
      </c>
      <c r="DR33" s="1603">
        <v>0</v>
      </c>
      <c r="DS33" s="1603">
        <v>0</v>
      </c>
      <c r="DT33" s="1603">
        <v>0</v>
      </c>
      <c r="DU33" s="1603">
        <v>0</v>
      </c>
      <c r="DV33" s="1603">
        <v>0</v>
      </c>
      <c r="DW33" s="1618" t="s">
        <v>3688</v>
      </c>
      <c r="DX33" s="1605">
        <v>86</v>
      </c>
      <c r="DY33" s="1605">
        <v>86</v>
      </c>
      <c r="DZ33" s="1605">
        <v>44</v>
      </c>
      <c r="EA33" s="1605">
        <v>44</v>
      </c>
      <c r="EB33" s="1605" t="s">
        <v>986</v>
      </c>
      <c r="EC33" s="1605">
        <v>44</v>
      </c>
      <c r="ED33" s="1605">
        <v>44</v>
      </c>
      <c r="EE33" s="1605">
        <v>45</v>
      </c>
      <c r="EF33" s="1605">
        <v>44</v>
      </c>
      <c r="EG33" s="1605">
        <v>44</v>
      </c>
      <c r="EH33" s="1605" t="s">
        <v>986</v>
      </c>
      <c r="EI33" s="1605" t="s">
        <v>986</v>
      </c>
      <c r="EJ33" s="1605" t="s">
        <v>986</v>
      </c>
      <c r="EK33" s="1605" t="s">
        <v>986</v>
      </c>
      <c r="EL33" s="1605" t="s">
        <v>986</v>
      </c>
      <c r="EM33" s="1605" t="s">
        <v>986</v>
      </c>
      <c r="EN33" s="1605" t="s">
        <v>986</v>
      </c>
      <c r="EO33" s="1605" t="s">
        <v>986</v>
      </c>
      <c r="EP33" s="1605" t="s">
        <v>986</v>
      </c>
      <c r="EQ33" s="1605" t="s">
        <v>986</v>
      </c>
      <c r="ER33" s="1605" t="s">
        <v>986</v>
      </c>
      <c r="ES33" s="1605">
        <v>44</v>
      </c>
      <c r="ET33" s="1605">
        <v>86</v>
      </c>
      <c r="EU33" s="1605">
        <v>42</v>
      </c>
      <c r="EV33" s="1605">
        <v>14</v>
      </c>
      <c r="EW33" s="1605">
        <v>42</v>
      </c>
      <c r="EX33" s="1605">
        <v>42</v>
      </c>
      <c r="EY33" s="1605" t="s">
        <v>986</v>
      </c>
      <c r="EZ33" s="1605">
        <v>42</v>
      </c>
      <c r="FA33" s="1605">
        <v>41</v>
      </c>
      <c r="FB33" s="1605">
        <v>42</v>
      </c>
      <c r="FC33" s="1605">
        <v>42</v>
      </c>
      <c r="FD33" s="1605" t="s">
        <v>986</v>
      </c>
      <c r="FE33" s="1605" t="s">
        <v>986</v>
      </c>
      <c r="FF33" s="1605">
        <v>1.3182155371798578</v>
      </c>
      <c r="FG33" s="1605">
        <v>0.62473585587647007</v>
      </c>
      <c r="FH33" s="1605">
        <v>0.1391894631450013</v>
      </c>
      <c r="FI33" s="1605">
        <v>0.16352101626911683</v>
      </c>
      <c r="FJ33" s="1605" t="s">
        <v>986</v>
      </c>
      <c r="FK33" s="1605">
        <v>1.3556605338168639</v>
      </c>
      <c r="FL33" s="1605">
        <v>1.0617321189017315</v>
      </c>
      <c r="FM33" s="1605" t="s">
        <v>986</v>
      </c>
      <c r="FN33" s="1605">
        <v>1.7735019909229002</v>
      </c>
      <c r="FO33" s="1605">
        <v>1.4654329736080107</v>
      </c>
      <c r="FP33" s="1605" t="s">
        <v>986</v>
      </c>
      <c r="FQ33" s="1605" t="s">
        <v>986</v>
      </c>
      <c r="FR33" s="1605" t="s">
        <v>986</v>
      </c>
      <c r="FS33" s="1605" t="s">
        <v>986</v>
      </c>
      <c r="FT33" s="1605" t="s">
        <v>986</v>
      </c>
      <c r="FU33" s="1605" t="s">
        <v>986</v>
      </c>
      <c r="FV33" s="1605" t="s">
        <v>986</v>
      </c>
      <c r="FW33" s="1605" t="s">
        <v>986</v>
      </c>
      <c r="FX33" s="1605" t="s">
        <v>986</v>
      </c>
      <c r="FY33" s="1605" t="s">
        <v>986</v>
      </c>
      <c r="FZ33" s="1605" t="s">
        <v>986</v>
      </c>
      <c r="GA33" s="1605">
        <v>6.3753727483782274E-2</v>
      </c>
      <c r="GB33" s="1605">
        <v>0.17957154546484197</v>
      </c>
      <c r="GC33" s="1605">
        <v>1.7989600377527028E-2</v>
      </c>
      <c r="GD33" s="1605">
        <v>0.20148101597130613</v>
      </c>
      <c r="GE33" s="1605">
        <v>0.30480122253888531</v>
      </c>
      <c r="GF33" s="1605">
        <v>5.8292442321044149E-2</v>
      </c>
      <c r="GG33" s="1605" t="s">
        <v>986</v>
      </c>
      <c r="GH33" s="1605">
        <v>7.2498063875221961</v>
      </c>
      <c r="GI33" s="1605">
        <v>0.70661720510066828</v>
      </c>
      <c r="GJ33" s="1605">
        <v>1.0176515387462854</v>
      </c>
      <c r="GK33" s="1605">
        <v>2.7041061630455592</v>
      </c>
      <c r="GL33" s="1605" t="s">
        <v>986</v>
      </c>
      <c r="GM33" s="1605" t="s">
        <v>986</v>
      </c>
      <c r="GN33" s="1605" t="s">
        <v>3027</v>
      </c>
      <c r="GO33" s="1605" t="s">
        <v>3027</v>
      </c>
      <c r="GP33" s="1605" t="s">
        <v>3027</v>
      </c>
      <c r="GQ33" s="1605" t="s">
        <v>3027</v>
      </c>
      <c r="GR33" s="1605" t="s">
        <v>3026</v>
      </c>
      <c r="GS33" s="1605" t="s">
        <v>3027</v>
      </c>
      <c r="GT33" s="1605" t="s">
        <v>3027</v>
      </c>
      <c r="GU33" s="1605" t="s">
        <v>3026</v>
      </c>
      <c r="GV33" s="1605" t="s">
        <v>3027</v>
      </c>
      <c r="GW33" s="1605" t="s">
        <v>3027</v>
      </c>
      <c r="GX33" s="1605" t="s">
        <v>3027</v>
      </c>
      <c r="GY33" s="1605" t="s">
        <v>3027</v>
      </c>
      <c r="GZ33" s="1605" t="s">
        <v>3027</v>
      </c>
      <c r="HA33" s="1605" t="s">
        <v>3027</v>
      </c>
      <c r="HB33" s="1605" t="s">
        <v>3026</v>
      </c>
      <c r="HC33" s="1605" t="s">
        <v>3027</v>
      </c>
      <c r="HD33" s="1605" t="s">
        <v>3027</v>
      </c>
      <c r="HE33" s="1605" t="s">
        <v>3027</v>
      </c>
      <c r="HF33" s="1605" t="s">
        <v>3027</v>
      </c>
      <c r="HG33" s="1605" t="s">
        <v>3027</v>
      </c>
      <c r="HH33" s="1605" t="s">
        <v>3027</v>
      </c>
      <c r="HI33" s="1605" t="s">
        <v>3027</v>
      </c>
      <c r="HJ33" s="1605" t="s">
        <v>3027</v>
      </c>
      <c r="HK33" s="1605" t="s">
        <v>3027</v>
      </c>
      <c r="HL33" s="1605" t="s">
        <v>1578</v>
      </c>
      <c r="HM33" s="1605" t="s">
        <v>3027</v>
      </c>
      <c r="HN33" s="1605" t="s">
        <v>3027</v>
      </c>
      <c r="HO33" s="1605" t="s">
        <v>986</v>
      </c>
      <c r="HP33" s="1605" t="s">
        <v>3027</v>
      </c>
      <c r="HQ33" s="1605" t="s">
        <v>3027</v>
      </c>
      <c r="HR33" s="1605" t="s">
        <v>3027</v>
      </c>
      <c r="HS33" s="1605" t="s">
        <v>3027</v>
      </c>
      <c r="HT33" s="1605" t="s">
        <v>3026</v>
      </c>
      <c r="HU33" s="1605" t="s">
        <v>3026</v>
      </c>
      <c r="HV33" s="1617"/>
      <c r="HW33" s="1617" t="s">
        <v>3694</v>
      </c>
      <c r="HX33" s="1617" t="s">
        <v>3686</v>
      </c>
      <c r="HY33" s="1617" t="s">
        <v>3685</v>
      </c>
      <c r="HZ33" s="1603"/>
      <c r="IA33" s="1603"/>
      <c r="IB33" s="1603"/>
      <c r="IC33" s="1603">
        <v>56.292682926829301</v>
      </c>
      <c r="ID33" s="1603">
        <v>57.024390243902403</v>
      </c>
      <c r="IE33" s="1603">
        <v>57.634146341463399</v>
      </c>
      <c r="IF33" s="1603">
        <v>58</v>
      </c>
      <c r="IG33" s="1611" t="s">
        <v>3683</v>
      </c>
      <c r="IH33" s="1616" t="s">
        <v>3682</v>
      </c>
      <c r="II33" s="1615" t="s">
        <v>275</v>
      </c>
      <c r="IJ33" s="1613">
        <v>0.41826136363636363</v>
      </c>
      <c r="IK33" s="1613">
        <v>0.41826136363636363</v>
      </c>
      <c r="IL33" s="1614">
        <v>0.41826136363636363</v>
      </c>
      <c r="IM33" s="1614">
        <v>0.41826136363636363</v>
      </c>
      <c r="IN33" s="1612">
        <v>0.52200000000000002</v>
      </c>
      <c r="IO33" s="1613">
        <v>0.10373863636363639</v>
      </c>
      <c r="IP33" s="1607" t="s">
        <v>270</v>
      </c>
      <c r="IQ33" s="1612">
        <v>2.2000000000000002</v>
      </c>
      <c r="IR33" s="1612">
        <v>0.154</v>
      </c>
      <c r="IS33" s="1607">
        <v>0.41426136363636362</v>
      </c>
      <c r="IT33" s="1607">
        <v>0.41426136363636362</v>
      </c>
      <c r="IU33" s="1611">
        <v>1.1363636363636365E-5</v>
      </c>
      <c r="IV33" s="1611">
        <v>1.0568181818181818E-3</v>
      </c>
      <c r="IW33" s="1611">
        <v>7.8409090909090898E-4</v>
      </c>
      <c r="IX33" s="1611">
        <v>1.0909090909090907E-3</v>
      </c>
      <c r="IY33" s="1611">
        <v>7.9545454545454537E-4</v>
      </c>
      <c r="IZ33" s="1611">
        <v>8.0340909090909091E-3</v>
      </c>
      <c r="JA33" s="1611">
        <v>1.8181818181818183E-4</v>
      </c>
      <c r="JB33" s="1611" t="s">
        <v>270</v>
      </c>
      <c r="JC33" s="1611">
        <v>6.9750000000000006E-2</v>
      </c>
      <c r="JD33" s="1611">
        <v>1.9772727272727273E-3</v>
      </c>
      <c r="JE33" s="1611" t="s">
        <v>270</v>
      </c>
      <c r="JF33" s="1611">
        <v>2.5000000000000001E-4</v>
      </c>
      <c r="JG33" s="1611">
        <v>4.3789545454545458</v>
      </c>
      <c r="JH33" s="1611">
        <v>2.2727272727272727E-4</v>
      </c>
      <c r="JI33" s="1611">
        <v>4.7829545454545458E-2</v>
      </c>
      <c r="JJ33" s="1611" t="s">
        <v>270</v>
      </c>
      <c r="JK33" s="1607">
        <f t="shared" si="9"/>
        <v>4.0000000000000036E-3</v>
      </c>
      <c r="JL33" s="1608" t="s">
        <v>270</v>
      </c>
      <c r="JM33" s="1610" t="s">
        <v>2924</v>
      </c>
      <c r="JN33" s="1608">
        <v>0</v>
      </c>
      <c r="JO33" s="1609" t="s">
        <v>2923</v>
      </c>
      <c r="JP33" s="1608" t="s">
        <v>270</v>
      </c>
      <c r="JQ33" s="1607">
        <v>202103</v>
      </c>
      <c r="JR33" s="1606">
        <v>15</v>
      </c>
      <c r="JS33" s="1606">
        <v>22</v>
      </c>
      <c r="JT33" s="1606">
        <v>22</v>
      </c>
    </row>
    <row r="34" spans="1:280" ht="15" customHeight="1" x14ac:dyDescent="0.2">
      <c r="A34" s="1626">
        <v>50210</v>
      </c>
      <c r="B34" s="1625">
        <v>502</v>
      </c>
      <c r="C34" s="1624">
        <v>10</v>
      </c>
      <c r="D34" s="1623" t="s">
        <v>3700</v>
      </c>
      <c r="E34" s="1622">
        <v>44497</v>
      </c>
      <c r="F34" s="1620">
        <v>1.062478590785908</v>
      </c>
      <c r="G34" s="1620">
        <v>1.0586572675324677</v>
      </c>
      <c r="H34" s="1621">
        <v>85.6</v>
      </c>
      <c r="I34" s="1621">
        <v>80.7</v>
      </c>
      <c r="J34" s="1621">
        <v>90</v>
      </c>
      <c r="K34" s="1620">
        <v>1</v>
      </c>
      <c r="L34" s="1620">
        <v>85</v>
      </c>
      <c r="M34" s="1620">
        <v>8.9</v>
      </c>
      <c r="N34" s="1620">
        <v>2.6</v>
      </c>
      <c r="O34" s="1620">
        <v>1.8</v>
      </c>
      <c r="P34" s="1620">
        <v>4.8</v>
      </c>
      <c r="Q34" s="1603"/>
      <c r="R34" s="1620">
        <v>76.26102471910113</v>
      </c>
      <c r="S34" s="1620">
        <v>30</v>
      </c>
      <c r="T34" s="1620">
        <v>41.382113821138198</v>
      </c>
      <c r="U34" s="1620">
        <v>45.934959349593498</v>
      </c>
      <c r="V34" s="1620">
        <v>50.032520325203301</v>
      </c>
      <c r="W34" s="1620">
        <v>52.764227642276403</v>
      </c>
      <c r="X34" s="1620"/>
      <c r="Y34" s="1620">
        <v>0.52941176470588236</v>
      </c>
      <c r="Z34" s="1620">
        <v>3.2941176470588234</v>
      </c>
      <c r="AA34" s="1620">
        <v>0.12941176470588237</v>
      </c>
      <c r="AB34" s="1620">
        <v>1.8823529411764706</v>
      </c>
      <c r="AC34" s="1620">
        <v>4.9294117647058826</v>
      </c>
      <c r="AD34" s="1620">
        <v>1.0705882352941176</v>
      </c>
      <c r="AE34" s="1620">
        <v>1.1000000000000001</v>
      </c>
      <c r="AF34" s="1620">
        <v>43.047058823529419</v>
      </c>
      <c r="AG34" s="1620">
        <v>3.1882352941176473</v>
      </c>
      <c r="AH34" s="1620">
        <v>12.588235294117647</v>
      </c>
      <c r="AI34" s="1620">
        <v>29.458823529411763</v>
      </c>
      <c r="AJ34" s="1620">
        <v>0</v>
      </c>
      <c r="AK34" s="1620">
        <v>0.04</v>
      </c>
      <c r="AL34" s="1620"/>
      <c r="AM34" s="1620">
        <v>3.8697647058823526</v>
      </c>
      <c r="AN34" s="1620">
        <v>1.7316470588235295</v>
      </c>
      <c r="AO34" s="1620">
        <v>2.4284705882352942</v>
      </c>
      <c r="AP34" s="1620">
        <v>3.4951764705882349</v>
      </c>
      <c r="AQ34" s="1620">
        <v>1.3525882352941176</v>
      </c>
      <c r="AR34" s="1620">
        <v>3.6334117647058823</v>
      </c>
      <c r="AS34" s="1620">
        <v>6.8982352941176472</v>
      </c>
      <c r="AT34" s="1620">
        <v>2.3063529411764705</v>
      </c>
      <c r="AU34" s="1620">
        <v>4.7436470588235293</v>
      </c>
      <c r="AV34" s="1620">
        <v>3.1994117647058826</v>
      </c>
      <c r="AW34" s="1620">
        <v>5.1617647058823533</v>
      </c>
      <c r="AX34" s="1620"/>
      <c r="AY34" s="1620">
        <v>0.93979487733984202</v>
      </c>
      <c r="AZ34" s="1620">
        <v>1.07984084344248</v>
      </c>
      <c r="BA34" s="1620">
        <v>1.0298133265506999</v>
      </c>
      <c r="BB34" s="1620">
        <v>0.94986852960372503</v>
      </c>
      <c r="BC34" s="1620">
        <v>0.95982752284767003</v>
      </c>
      <c r="BD34" s="1620">
        <v>0.99997514724094605</v>
      </c>
      <c r="BE34" s="1620">
        <v>1.00997639474776</v>
      </c>
      <c r="BF34" s="1620">
        <v>0.99991835406371998</v>
      </c>
      <c r="BG34" s="1620">
        <v>1.0401578477529601</v>
      </c>
      <c r="BH34" s="1620">
        <v>0.970038811056257</v>
      </c>
      <c r="BI34" s="1620">
        <v>0.95992759482045098</v>
      </c>
      <c r="BJ34" s="1603"/>
      <c r="BK34" s="1620">
        <v>10.470588235294118</v>
      </c>
      <c r="BL34" s="1620">
        <v>3.0588235294117645</v>
      </c>
      <c r="BM34" s="1620">
        <v>2.1176470588235294</v>
      </c>
      <c r="BN34" s="1620">
        <v>5.6470588235294121</v>
      </c>
      <c r="BO34" s="1620"/>
      <c r="BP34" s="1620">
        <v>120</v>
      </c>
      <c r="BQ34" s="1620">
        <v>36.705882352941174</v>
      </c>
      <c r="BR34" s="1620">
        <v>1.2499748126893035</v>
      </c>
      <c r="BS34" s="1620">
        <v>1.2454791382734915</v>
      </c>
      <c r="BT34" s="1603"/>
      <c r="BU34" s="1620">
        <v>978.82352941176475</v>
      </c>
      <c r="BV34" s="1620">
        <v>644.40235294117667</v>
      </c>
      <c r="BW34" s="1620">
        <v>68.517647058823414</v>
      </c>
      <c r="BX34" s="1620">
        <v>604</v>
      </c>
      <c r="BY34" s="1620">
        <v>21.000000000000004</v>
      </c>
      <c r="BZ34" s="1620">
        <v>55.999999999999879</v>
      </c>
      <c r="CA34" s="1620">
        <v>165</v>
      </c>
      <c r="CB34" s="1603"/>
      <c r="CC34" s="1603">
        <v>0.45</v>
      </c>
      <c r="CD34" s="1603">
        <v>2.8</v>
      </c>
      <c r="CE34" s="1603">
        <v>0.11</v>
      </c>
      <c r="CF34" s="1603">
        <v>1.5999999999999999</v>
      </c>
      <c r="CG34" s="1603">
        <v>4.1900000000000004</v>
      </c>
      <c r="CH34" s="1603">
        <v>0.90999999999999992</v>
      </c>
      <c r="CI34" s="1603">
        <v>0.93500000000000005</v>
      </c>
      <c r="CJ34" s="1603"/>
      <c r="CK34" s="1603">
        <v>36.590000000000003</v>
      </c>
      <c r="CL34" s="1603">
        <v>2.71</v>
      </c>
      <c r="CM34" s="1603">
        <v>10.7</v>
      </c>
      <c r="CN34" s="1603">
        <v>25.04</v>
      </c>
      <c r="CO34" s="1603">
        <v>0</v>
      </c>
      <c r="CP34" s="1603">
        <v>3.4000000000000002E-2</v>
      </c>
      <c r="CQ34" s="1603">
        <v>67.872312000000008</v>
      </c>
      <c r="CR34" s="1603">
        <v>63.881110253520809</v>
      </c>
      <c r="CS34" s="1603">
        <v>2.3232186656207148</v>
      </c>
      <c r="CT34" s="1603">
        <v>1.1945149379502897</v>
      </c>
      <c r="CU34" s="1603">
        <v>1.5975844002993282</v>
      </c>
      <c r="CV34" s="1603">
        <v>2.792099338249618</v>
      </c>
      <c r="CW34" s="1603">
        <v>2.1208261164771307</v>
      </c>
      <c r="CX34" s="1603">
        <v>0.82933741798543192</v>
      </c>
      <c r="CY34" s="1603">
        <v>2.3210060905374021</v>
      </c>
      <c r="CZ34" s="1603">
        <v>4.4506319661801879</v>
      </c>
      <c r="DA34" s="1603">
        <v>1.4732035742818439</v>
      </c>
      <c r="DB34" s="1603">
        <v>3.1519845091554139</v>
      </c>
      <c r="DC34" s="1603">
        <v>1.982584486973167</v>
      </c>
      <c r="DD34" s="1603">
        <v>5.1345689961285812</v>
      </c>
      <c r="DE34" s="1603">
        <v>3.1652581503769004</v>
      </c>
      <c r="DF34" s="1603">
        <v>0</v>
      </c>
      <c r="DG34" s="1603">
        <v>0</v>
      </c>
      <c r="DH34" s="1603">
        <v>0</v>
      </c>
      <c r="DI34" s="1603">
        <v>0</v>
      </c>
      <c r="DJ34" s="1603">
        <v>0</v>
      </c>
      <c r="DK34" s="1603">
        <v>0</v>
      </c>
      <c r="DL34" s="1603">
        <v>0</v>
      </c>
      <c r="DM34" s="1603">
        <v>0</v>
      </c>
      <c r="DN34" s="1603">
        <v>0</v>
      </c>
      <c r="DO34" s="1603">
        <v>0</v>
      </c>
      <c r="DP34" s="1603">
        <v>0</v>
      </c>
      <c r="DQ34" s="1603">
        <v>0</v>
      </c>
      <c r="DR34" s="1603">
        <v>0</v>
      </c>
      <c r="DS34" s="1603">
        <v>0</v>
      </c>
      <c r="DT34" s="1603">
        <v>0</v>
      </c>
      <c r="DU34" s="1603">
        <v>0</v>
      </c>
      <c r="DV34" s="1603">
        <v>0</v>
      </c>
      <c r="DW34" s="1618" t="s">
        <v>3688</v>
      </c>
      <c r="DX34" s="1605">
        <v>86</v>
      </c>
      <c r="DY34" s="1605">
        <v>86</v>
      </c>
      <c r="DZ34" s="1605">
        <v>44</v>
      </c>
      <c r="EA34" s="1605">
        <v>44</v>
      </c>
      <c r="EB34" s="1605" t="s">
        <v>986</v>
      </c>
      <c r="EC34" s="1605">
        <v>44</v>
      </c>
      <c r="ED34" s="1605">
        <v>44</v>
      </c>
      <c r="EE34" s="1605">
        <v>45</v>
      </c>
      <c r="EF34" s="1605">
        <v>44</v>
      </c>
      <c r="EG34" s="1605">
        <v>44</v>
      </c>
      <c r="EH34" s="1605" t="s">
        <v>986</v>
      </c>
      <c r="EI34" s="1605" t="s">
        <v>986</v>
      </c>
      <c r="EJ34" s="1605" t="s">
        <v>986</v>
      </c>
      <c r="EK34" s="1605" t="s">
        <v>986</v>
      </c>
      <c r="EL34" s="1605" t="s">
        <v>986</v>
      </c>
      <c r="EM34" s="1605" t="s">
        <v>986</v>
      </c>
      <c r="EN34" s="1605" t="s">
        <v>986</v>
      </c>
      <c r="EO34" s="1605" t="s">
        <v>986</v>
      </c>
      <c r="EP34" s="1605" t="s">
        <v>986</v>
      </c>
      <c r="EQ34" s="1605" t="s">
        <v>986</v>
      </c>
      <c r="ER34" s="1605" t="s">
        <v>986</v>
      </c>
      <c r="ES34" s="1605">
        <v>44</v>
      </c>
      <c r="ET34" s="1605">
        <v>86</v>
      </c>
      <c r="EU34" s="1605">
        <v>42</v>
      </c>
      <c r="EV34" s="1605">
        <v>14</v>
      </c>
      <c r="EW34" s="1605">
        <v>42</v>
      </c>
      <c r="EX34" s="1605">
        <v>42</v>
      </c>
      <c r="EY34" s="1605" t="s">
        <v>986</v>
      </c>
      <c r="EZ34" s="1605">
        <v>42</v>
      </c>
      <c r="FA34" s="1605">
        <v>41</v>
      </c>
      <c r="FB34" s="1605">
        <v>42</v>
      </c>
      <c r="FC34" s="1605">
        <v>42</v>
      </c>
      <c r="FD34" s="1605" t="s">
        <v>986</v>
      </c>
      <c r="FE34" s="1605" t="s">
        <v>986</v>
      </c>
      <c r="FF34" s="1605">
        <v>1.3182155371798578</v>
      </c>
      <c r="FG34" s="1605">
        <v>0.62473585587647007</v>
      </c>
      <c r="FH34" s="1605">
        <v>0.1391894631450013</v>
      </c>
      <c r="FI34" s="1605">
        <v>0.16352101626911683</v>
      </c>
      <c r="FJ34" s="1605" t="s">
        <v>986</v>
      </c>
      <c r="FK34" s="1605">
        <v>1.3556605338168639</v>
      </c>
      <c r="FL34" s="1605">
        <v>1.0617321189017315</v>
      </c>
      <c r="FM34" s="1605" t="s">
        <v>986</v>
      </c>
      <c r="FN34" s="1605">
        <v>1.7735019909229002</v>
      </c>
      <c r="FO34" s="1605">
        <v>1.4654329736080107</v>
      </c>
      <c r="FP34" s="1605" t="s">
        <v>986</v>
      </c>
      <c r="FQ34" s="1605" t="s">
        <v>986</v>
      </c>
      <c r="FR34" s="1605" t="s">
        <v>986</v>
      </c>
      <c r="FS34" s="1605" t="s">
        <v>986</v>
      </c>
      <c r="FT34" s="1605" t="s">
        <v>986</v>
      </c>
      <c r="FU34" s="1605" t="s">
        <v>986</v>
      </c>
      <c r="FV34" s="1605" t="s">
        <v>986</v>
      </c>
      <c r="FW34" s="1605" t="s">
        <v>986</v>
      </c>
      <c r="FX34" s="1605" t="s">
        <v>986</v>
      </c>
      <c r="FY34" s="1605" t="s">
        <v>986</v>
      </c>
      <c r="FZ34" s="1605" t="s">
        <v>986</v>
      </c>
      <c r="GA34" s="1605">
        <v>6.3753727483782274E-2</v>
      </c>
      <c r="GB34" s="1605">
        <v>0.17957154546484197</v>
      </c>
      <c r="GC34" s="1605">
        <v>1.7989600377527028E-2</v>
      </c>
      <c r="GD34" s="1605">
        <v>0.20148101597130613</v>
      </c>
      <c r="GE34" s="1605">
        <v>0.30480122253888531</v>
      </c>
      <c r="GF34" s="1605">
        <v>5.8292442321044149E-2</v>
      </c>
      <c r="GG34" s="1605" t="s">
        <v>986</v>
      </c>
      <c r="GH34" s="1605">
        <v>7.2498063875221961</v>
      </c>
      <c r="GI34" s="1605">
        <v>0.70661720510066828</v>
      </c>
      <c r="GJ34" s="1605">
        <v>1.0176515387462854</v>
      </c>
      <c r="GK34" s="1605">
        <v>2.7041061630455592</v>
      </c>
      <c r="GL34" s="1605" t="s">
        <v>986</v>
      </c>
      <c r="GM34" s="1605" t="s">
        <v>986</v>
      </c>
      <c r="GN34" s="1605" t="s">
        <v>3027</v>
      </c>
      <c r="GO34" s="1605" t="s">
        <v>3027</v>
      </c>
      <c r="GP34" s="1605" t="s">
        <v>3027</v>
      </c>
      <c r="GQ34" s="1605" t="s">
        <v>3027</v>
      </c>
      <c r="GR34" s="1605" t="s">
        <v>3026</v>
      </c>
      <c r="GS34" s="1605" t="s">
        <v>3027</v>
      </c>
      <c r="GT34" s="1605" t="s">
        <v>3027</v>
      </c>
      <c r="GU34" s="1605" t="s">
        <v>3026</v>
      </c>
      <c r="GV34" s="1605" t="s">
        <v>3027</v>
      </c>
      <c r="GW34" s="1605" t="s">
        <v>3027</v>
      </c>
      <c r="GX34" s="1605" t="s">
        <v>3027</v>
      </c>
      <c r="GY34" s="1605" t="s">
        <v>3027</v>
      </c>
      <c r="GZ34" s="1605" t="s">
        <v>3027</v>
      </c>
      <c r="HA34" s="1605" t="s">
        <v>3027</v>
      </c>
      <c r="HB34" s="1605" t="s">
        <v>3026</v>
      </c>
      <c r="HC34" s="1605" t="s">
        <v>3027</v>
      </c>
      <c r="HD34" s="1605" t="s">
        <v>3027</v>
      </c>
      <c r="HE34" s="1605" t="s">
        <v>3027</v>
      </c>
      <c r="HF34" s="1605" t="s">
        <v>3027</v>
      </c>
      <c r="HG34" s="1605" t="s">
        <v>3027</v>
      </c>
      <c r="HH34" s="1605" t="s">
        <v>3027</v>
      </c>
      <c r="HI34" s="1605" t="s">
        <v>3027</v>
      </c>
      <c r="HJ34" s="1605" t="s">
        <v>3027</v>
      </c>
      <c r="HK34" s="1605" t="s">
        <v>3027</v>
      </c>
      <c r="HL34" s="1605" t="s">
        <v>1578</v>
      </c>
      <c r="HM34" s="1605" t="s">
        <v>3027</v>
      </c>
      <c r="HN34" s="1605" t="s">
        <v>3027</v>
      </c>
      <c r="HO34" s="1605" t="s">
        <v>986</v>
      </c>
      <c r="HP34" s="1605" t="s">
        <v>3027</v>
      </c>
      <c r="HQ34" s="1605" t="s">
        <v>3027</v>
      </c>
      <c r="HR34" s="1605" t="s">
        <v>3027</v>
      </c>
      <c r="HS34" s="1605" t="s">
        <v>3027</v>
      </c>
      <c r="HT34" s="1605" t="s">
        <v>3026</v>
      </c>
      <c r="HU34" s="1605" t="s">
        <v>3026</v>
      </c>
      <c r="HV34" s="1617"/>
      <c r="HW34" s="1617" t="s">
        <v>3694</v>
      </c>
      <c r="HX34" s="1617" t="s">
        <v>3686</v>
      </c>
      <c r="HY34" s="1617" t="s">
        <v>3685</v>
      </c>
      <c r="HZ34" s="1603"/>
      <c r="IA34" s="1603"/>
      <c r="IB34" s="1603"/>
      <c r="IC34" s="1603">
        <v>54.8130081300813</v>
      </c>
      <c r="ID34" s="1603">
        <v>56.178861788617901</v>
      </c>
      <c r="IE34" s="1603">
        <v>57.317073170731703</v>
      </c>
      <c r="IF34" s="1603">
        <v>58</v>
      </c>
      <c r="IG34" s="1611" t="s">
        <v>3683</v>
      </c>
      <c r="IH34" s="1616" t="s">
        <v>3682</v>
      </c>
      <c r="II34" s="1615" t="s">
        <v>275</v>
      </c>
      <c r="IJ34" s="1613">
        <v>0.41826136363636363</v>
      </c>
      <c r="IK34" s="1613">
        <v>0.41826136363636363</v>
      </c>
      <c r="IL34" s="1614">
        <v>0.41826136363636363</v>
      </c>
      <c r="IM34" s="1614">
        <v>0.41826136363636363</v>
      </c>
      <c r="IN34" s="1612">
        <v>0.52200000000000002</v>
      </c>
      <c r="IO34" s="1613">
        <v>0.10373863636363639</v>
      </c>
      <c r="IP34" s="1607" t="s">
        <v>270</v>
      </c>
      <c r="IQ34" s="1612">
        <v>2.2000000000000002</v>
      </c>
      <c r="IR34" s="1612">
        <v>0.154</v>
      </c>
      <c r="IS34" s="1607">
        <v>0.41426136363636362</v>
      </c>
      <c r="IT34" s="1607">
        <v>0.41426136363636362</v>
      </c>
      <c r="IU34" s="1611">
        <v>1.1363636363636365E-5</v>
      </c>
      <c r="IV34" s="1611">
        <v>1.0568181818181818E-3</v>
      </c>
      <c r="IW34" s="1611">
        <v>7.8409090909090898E-4</v>
      </c>
      <c r="IX34" s="1611">
        <v>1.0909090909090907E-3</v>
      </c>
      <c r="IY34" s="1611">
        <v>7.9545454545454537E-4</v>
      </c>
      <c r="IZ34" s="1611">
        <v>8.0340909090909091E-3</v>
      </c>
      <c r="JA34" s="1611">
        <v>1.8181818181818183E-4</v>
      </c>
      <c r="JB34" s="1611" t="s">
        <v>270</v>
      </c>
      <c r="JC34" s="1611">
        <v>6.9750000000000006E-2</v>
      </c>
      <c r="JD34" s="1611">
        <v>1.9772727272727273E-3</v>
      </c>
      <c r="JE34" s="1611" t="s">
        <v>270</v>
      </c>
      <c r="JF34" s="1611">
        <v>2.5000000000000001E-4</v>
      </c>
      <c r="JG34" s="1611">
        <v>4.3789545454545458</v>
      </c>
      <c r="JH34" s="1611">
        <v>2.2727272727272727E-4</v>
      </c>
      <c r="JI34" s="1611">
        <v>4.7829545454545458E-2</v>
      </c>
      <c r="JJ34" s="1611" t="s">
        <v>270</v>
      </c>
      <c r="JK34" s="1607">
        <f t="shared" si="9"/>
        <v>4.0000000000000036E-3</v>
      </c>
      <c r="JL34" s="1608" t="s">
        <v>270</v>
      </c>
      <c r="JM34" s="1610" t="s">
        <v>2924</v>
      </c>
      <c r="JN34" s="1608">
        <v>0</v>
      </c>
      <c r="JO34" s="1609" t="s">
        <v>2923</v>
      </c>
      <c r="JP34" s="1608" t="s">
        <v>270</v>
      </c>
      <c r="JQ34" s="1607">
        <v>202103</v>
      </c>
      <c r="JR34" s="1606">
        <v>15</v>
      </c>
      <c r="JS34" s="1606">
        <v>22</v>
      </c>
      <c r="JT34" s="1606">
        <v>22</v>
      </c>
    </row>
    <row r="35" spans="1:280" ht="15" customHeight="1" x14ac:dyDescent="0.2">
      <c r="A35" s="1626">
        <v>50211</v>
      </c>
      <c r="B35" s="1625">
        <v>502</v>
      </c>
      <c r="C35" s="1624">
        <v>11</v>
      </c>
      <c r="D35" s="1623" t="s">
        <v>3699</v>
      </c>
      <c r="E35" s="1622">
        <v>44497</v>
      </c>
      <c r="F35" s="1620">
        <v>1.0685180797522265</v>
      </c>
      <c r="G35" s="1620">
        <v>1.0629021654916513</v>
      </c>
      <c r="H35" s="1621">
        <v>85.6</v>
      </c>
      <c r="I35" s="1621">
        <v>81.2</v>
      </c>
      <c r="J35" s="1621">
        <v>90</v>
      </c>
      <c r="K35" s="1620">
        <v>1</v>
      </c>
      <c r="L35" s="1620">
        <v>85</v>
      </c>
      <c r="M35" s="1620">
        <v>8.9</v>
      </c>
      <c r="N35" s="1620">
        <v>2.6</v>
      </c>
      <c r="O35" s="1620">
        <v>1.8</v>
      </c>
      <c r="P35" s="1620">
        <v>4.8</v>
      </c>
      <c r="Q35" s="1603"/>
      <c r="R35" s="1620">
        <v>76.701730979133231</v>
      </c>
      <c r="S35" s="1620">
        <v>30</v>
      </c>
      <c r="T35" s="1620">
        <v>41.382113821138198</v>
      </c>
      <c r="U35" s="1620">
        <v>45.934959349593498</v>
      </c>
      <c r="V35" s="1620">
        <v>50.032520325203301</v>
      </c>
      <c r="W35" s="1620">
        <v>52.764227642276403</v>
      </c>
      <c r="X35" s="1620"/>
      <c r="Y35" s="1620">
        <v>0.52941176470588236</v>
      </c>
      <c r="Z35" s="1620">
        <v>3.2941176470588234</v>
      </c>
      <c r="AA35" s="1620">
        <v>0.12941176470588237</v>
      </c>
      <c r="AB35" s="1620">
        <v>1.8823529411764706</v>
      </c>
      <c r="AC35" s="1620">
        <v>4.9294117647058826</v>
      </c>
      <c r="AD35" s="1620">
        <v>1.0705882352941176</v>
      </c>
      <c r="AE35" s="1620">
        <v>1.1000000000000001</v>
      </c>
      <c r="AF35" s="1620">
        <v>43.047058823529419</v>
      </c>
      <c r="AG35" s="1620">
        <v>3.1882352941176473</v>
      </c>
      <c r="AH35" s="1620">
        <v>12.588235294117647</v>
      </c>
      <c r="AI35" s="1620">
        <v>29.458823529411763</v>
      </c>
      <c r="AJ35" s="1620">
        <v>0</v>
      </c>
      <c r="AK35" s="1620">
        <v>0.04</v>
      </c>
      <c r="AL35" s="1620"/>
      <c r="AM35" s="1620">
        <v>3.8697647058823526</v>
      </c>
      <c r="AN35" s="1620">
        <v>1.7316470588235295</v>
      </c>
      <c r="AO35" s="1620">
        <v>2.4284705882352942</v>
      </c>
      <c r="AP35" s="1620">
        <v>3.4951764705882349</v>
      </c>
      <c r="AQ35" s="1620">
        <v>1.3525882352941176</v>
      </c>
      <c r="AR35" s="1620">
        <v>3.6334117647058823</v>
      </c>
      <c r="AS35" s="1620">
        <v>6.8982352941176472</v>
      </c>
      <c r="AT35" s="1620">
        <v>2.3063529411764705</v>
      </c>
      <c r="AU35" s="1620">
        <v>4.7436470588235293</v>
      </c>
      <c r="AV35" s="1620">
        <v>3.1994117647058826</v>
      </c>
      <c r="AW35" s="1620">
        <v>5.1617647058823533</v>
      </c>
      <c r="AX35" s="1620"/>
      <c r="AY35" s="1620">
        <v>0.93979487733984202</v>
      </c>
      <c r="AZ35" s="1620">
        <v>1.07984084344248</v>
      </c>
      <c r="BA35" s="1620">
        <v>1.0298133265506999</v>
      </c>
      <c r="BB35" s="1620">
        <v>0.94986852960372503</v>
      </c>
      <c r="BC35" s="1620">
        <v>0.95982752284767003</v>
      </c>
      <c r="BD35" s="1620">
        <v>0.99997514724094605</v>
      </c>
      <c r="BE35" s="1620">
        <v>1.00997639474776</v>
      </c>
      <c r="BF35" s="1620">
        <v>0.99991835406371998</v>
      </c>
      <c r="BG35" s="1620">
        <v>1.0401578477529601</v>
      </c>
      <c r="BH35" s="1620">
        <v>0.970038811056257</v>
      </c>
      <c r="BI35" s="1620">
        <v>0.95992759482045098</v>
      </c>
      <c r="BJ35" s="1603"/>
      <c r="BK35" s="1620">
        <v>10.470588235294118</v>
      </c>
      <c r="BL35" s="1620">
        <v>3.0588235294117645</v>
      </c>
      <c r="BM35" s="1620">
        <v>2.1176470588235294</v>
      </c>
      <c r="BN35" s="1620">
        <v>5.6470588235294121</v>
      </c>
      <c r="BO35" s="1620"/>
      <c r="BP35" s="1620">
        <v>120</v>
      </c>
      <c r="BQ35" s="1620">
        <v>36.705882352941174</v>
      </c>
      <c r="BR35" s="1620">
        <v>1.2570800938261486</v>
      </c>
      <c r="BS35" s="1620">
        <v>1.2504731358725309</v>
      </c>
      <c r="BT35" s="1603"/>
      <c r="BU35" s="1620">
        <v>978.82352941176475</v>
      </c>
      <c r="BV35" s="1620">
        <v>651.39394957983211</v>
      </c>
      <c r="BW35" s="1620">
        <v>61.526050420167955</v>
      </c>
      <c r="BX35" s="1620">
        <v>604</v>
      </c>
      <c r="BY35" s="1620">
        <v>21.000000000000004</v>
      </c>
      <c r="BZ35" s="1620">
        <v>55.999999999999879</v>
      </c>
      <c r="CA35" s="1620">
        <v>165</v>
      </c>
      <c r="CB35" s="1603"/>
      <c r="CC35" s="1603">
        <v>0.45</v>
      </c>
      <c r="CD35" s="1603">
        <v>2.8</v>
      </c>
      <c r="CE35" s="1603">
        <v>0.11</v>
      </c>
      <c r="CF35" s="1603">
        <v>1.5999999999999999</v>
      </c>
      <c r="CG35" s="1603">
        <v>4.1900000000000004</v>
      </c>
      <c r="CH35" s="1603">
        <v>0.90999999999999992</v>
      </c>
      <c r="CI35" s="1603">
        <v>0.93500000000000005</v>
      </c>
      <c r="CJ35" s="1603"/>
      <c r="CK35" s="1603">
        <v>36.590000000000003</v>
      </c>
      <c r="CL35" s="1603">
        <v>2.71</v>
      </c>
      <c r="CM35" s="1603">
        <v>10.7</v>
      </c>
      <c r="CN35" s="1603">
        <v>25.04</v>
      </c>
      <c r="CO35" s="1603">
        <v>0</v>
      </c>
      <c r="CP35" s="1603">
        <v>3.4000000000000002E-2</v>
      </c>
      <c r="CQ35" s="1603">
        <v>68.264540571428583</v>
      </c>
      <c r="CR35" s="1603">
        <v>63.887117929963452</v>
      </c>
      <c r="CS35" s="1603">
        <v>2.3234371518992583</v>
      </c>
      <c r="CT35" s="1603">
        <v>1.1946272756855703</v>
      </c>
      <c r="CU35" s="1603">
        <v>1.5977346445597789</v>
      </c>
      <c r="CV35" s="1603">
        <v>2.7923619202453489</v>
      </c>
      <c r="CW35" s="1603">
        <v>2.1210255688199027</v>
      </c>
      <c r="CX35" s="1603">
        <v>0.82941541272987607</v>
      </c>
      <c r="CY35" s="1603">
        <v>2.3212243687351037</v>
      </c>
      <c r="CZ35" s="1603">
        <v>4.4510505242909026</v>
      </c>
      <c r="DA35" s="1603">
        <v>1.473342121191459</v>
      </c>
      <c r="DB35" s="1603">
        <v>3.1522809364248849</v>
      </c>
      <c r="DC35" s="1603">
        <v>1.9827709384307364</v>
      </c>
      <c r="DD35" s="1603">
        <v>5.1350518748556215</v>
      </c>
      <c r="DE35" s="1603">
        <v>3.1655558259612695</v>
      </c>
      <c r="DF35" s="1603">
        <v>0</v>
      </c>
      <c r="DG35" s="1603">
        <v>0</v>
      </c>
      <c r="DH35" s="1603">
        <v>0</v>
      </c>
      <c r="DI35" s="1603">
        <v>0</v>
      </c>
      <c r="DJ35" s="1603">
        <v>0</v>
      </c>
      <c r="DK35" s="1603">
        <v>0</v>
      </c>
      <c r="DL35" s="1603">
        <v>0</v>
      </c>
      <c r="DM35" s="1603">
        <v>0</v>
      </c>
      <c r="DN35" s="1603">
        <v>0</v>
      </c>
      <c r="DO35" s="1603">
        <v>0</v>
      </c>
      <c r="DP35" s="1603">
        <v>0</v>
      </c>
      <c r="DQ35" s="1603">
        <v>0</v>
      </c>
      <c r="DR35" s="1603">
        <v>0</v>
      </c>
      <c r="DS35" s="1603">
        <v>0</v>
      </c>
      <c r="DT35" s="1603">
        <v>0</v>
      </c>
      <c r="DU35" s="1603">
        <v>0</v>
      </c>
      <c r="DV35" s="1603">
        <v>0</v>
      </c>
      <c r="DW35" s="1618" t="s">
        <v>3688</v>
      </c>
      <c r="DX35" s="1605">
        <v>86</v>
      </c>
      <c r="DY35" s="1605">
        <v>86</v>
      </c>
      <c r="DZ35" s="1605">
        <v>44</v>
      </c>
      <c r="EA35" s="1605">
        <v>44</v>
      </c>
      <c r="EB35" s="1605" t="s">
        <v>986</v>
      </c>
      <c r="EC35" s="1605">
        <v>44</v>
      </c>
      <c r="ED35" s="1605">
        <v>44</v>
      </c>
      <c r="EE35" s="1605">
        <v>45</v>
      </c>
      <c r="EF35" s="1605">
        <v>44</v>
      </c>
      <c r="EG35" s="1605">
        <v>44</v>
      </c>
      <c r="EH35" s="1605" t="s">
        <v>986</v>
      </c>
      <c r="EI35" s="1605" t="s">
        <v>986</v>
      </c>
      <c r="EJ35" s="1605" t="s">
        <v>986</v>
      </c>
      <c r="EK35" s="1605" t="s">
        <v>986</v>
      </c>
      <c r="EL35" s="1605" t="s">
        <v>986</v>
      </c>
      <c r="EM35" s="1605" t="s">
        <v>986</v>
      </c>
      <c r="EN35" s="1605" t="s">
        <v>986</v>
      </c>
      <c r="EO35" s="1605" t="s">
        <v>986</v>
      </c>
      <c r="EP35" s="1605" t="s">
        <v>986</v>
      </c>
      <c r="EQ35" s="1605" t="s">
        <v>986</v>
      </c>
      <c r="ER35" s="1605" t="s">
        <v>986</v>
      </c>
      <c r="ES35" s="1605">
        <v>44</v>
      </c>
      <c r="ET35" s="1605">
        <v>86</v>
      </c>
      <c r="EU35" s="1605">
        <v>42</v>
      </c>
      <c r="EV35" s="1605">
        <v>14</v>
      </c>
      <c r="EW35" s="1605">
        <v>42</v>
      </c>
      <c r="EX35" s="1605">
        <v>42</v>
      </c>
      <c r="EY35" s="1605" t="s">
        <v>986</v>
      </c>
      <c r="EZ35" s="1605">
        <v>42</v>
      </c>
      <c r="FA35" s="1605">
        <v>41</v>
      </c>
      <c r="FB35" s="1605">
        <v>42</v>
      </c>
      <c r="FC35" s="1605">
        <v>42</v>
      </c>
      <c r="FD35" s="1605" t="s">
        <v>986</v>
      </c>
      <c r="FE35" s="1605" t="s">
        <v>986</v>
      </c>
      <c r="FF35" s="1605">
        <v>1.3182155371798578</v>
      </c>
      <c r="FG35" s="1605">
        <v>0.62473585587647007</v>
      </c>
      <c r="FH35" s="1605">
        <v>0.1391894631450013</v>
      </c>
      <c r="FI35" s="1605">
        <v>0.16352101626911683</v>
      </c>
      <c r="FJ35" s="1605" t="s">
        <v>986</v>
      </c>
      <c r="FK35" s="1605">
        <v>1.3556605338168639</v>
      </c>
      <c r="FL35" s="1605">
        <v>1.0617321189017315</v>
      </c>
      <c r="FM35" s="1605" t="s">
        <v>986</v>
      </c>
      <c r="FN35" s="1605">
        <v>1.7735019909229002</v>
      </c>
      <c r="FO35" s="1605">
        <v>1.4654329736080107</v>
      </c>
      <c r="FP35" s="1605" t="s">
        <v>986</v>
      </c>
      <c r="FQ35" s="1605" t="s">
        <v>986</v>
      </c>
      <c r="FR35" s="1605" t="s">
        <v>986</v>
      </c>
      <c r="FS35" s="1605" t="s">
        <v>986</v>
      </c>
      <c r="FT35" s="1605" t="s">
        <v>986</v>
      </c>
      <c r="FU35" s="1605" t="s">
        <v>986</v>
      </c>
      <c r="FV35" s="1605" t="s">
        <v>986</v>
      </c>
      <c r="FW35" s="1605" t="s">
        <v>986</v>
      </c>
      <c r="FX35" s="1605" t="s">
        <v>986</v>
      </c>
      <c r="FY35" s="1605" t="s">
        <v>986</v>
      </c>
      <c r="FZ35" s="1605" t="s">
        <v>986</v>
      </c>
      <c r="GA35" s="1605">
        <v>6.3753727483782274E-2</v>
      </c>
      <c r="GB35" s="1605">
        <v>0.17957154546484197</v>
      </c>
      <c r="GC35" s="1605">
        <v>1.7989600377527028E-2</v>
      </c>
      <c r="GD35" s="1605">
        <v>0.20148101597130613</v>
      </c>
      <c r="GE35" s="1605">
        <v>0.30480122253888531</v>
      </c>
      <c r="GF35" s="1605">
        <v>5.8292442321044149E-2</v>
      </c>
      <c r="GG35" s="1605" t="s">
        <v>986</v>
      </c>
      <c r="GH35" s="1605">
        <v>7.2498063875221961</v>
      </c>
      <c r="GI35" s="1605">
        <v>0.70661720510066828</v>
      </c>
      <c r="GJ35" s="1605">
        <v>1.0176515387462854</v>
      </c>
      <c r="GK35" s="1605">
        <v>2.7041061630455592</v>
      </c>
      <c r="GL35" s="1605" t="s">
        <v>986</v>
      </c>
      <c r="GM35" s="1605" t="s">
        <v>986</v>
      </c>
      <c r="GN35" s="1605" t="s">
        <v>3027</v>
      </c>
      <c r="GO35" s="1605" t="s">
        <v>3027</v>
      </c>
      <c r="GP35" s="1605" t="s">
        <v>3027</v>
      </c>
      <c r="GQ35" s="1605" t="s">
        <v>3027</v>
      </c>
      <c r="GR35" s="1605" t="s">
        <v>3026</v>
      </c>
      <c r="GS35" s="1605" t="s">
        <v>3027</v>
      </c>
      <c r="GT35" s="1605" t="s">
        <v>3027</v>
      </c>
      <c r="GU35" s="1605" t="s">
        <v>3026</v>
      </c>
      <c r="GV35" s="1605" t="s">
        <v>3027</v>
      </c>
      <c r="GW35" s="1605" t="s">
        <v>3027</v>
      </c>
      <c r="GX35" s="1605" t="s">
        <v>3027</v>
      </c>
      <c r="GY35" s="1605" t="s">
        <v>3027</v>
      </c>
      <c r="GZ35" s="1605" t="s">
        <v>3027</v>
      </c>
      <c r="HA35" s="1605" t="s">
        <v>3027</v>
      </c>
      <c r="HB35" s="1605" t="s">
        <v>3026</v>
      </c>
      <c r="HC35" s="1605" t="s">
        <v>3027</v>
      </c>
      <c r="HD35" s="1605" t="s">
        <v>3027</v>
      </c>
      <c r="HE35" s="1605" t="s">
        <v>3027</v>
      </c>
      <c r="HF35" s="1605" t="s">
        <v>3027</v>
      </c>
      <c r="HG35" s="1605" t="s">
        <v>3027</v>
      </c>
      <c r="HH35" s="1605" t="s">
        <v>3027</v>
      </c>
      <c r="HI35" s="1605" t="s">
        <v>3027</v>
      </c>
      <c r="HJ35" s="1605" t="s">
        <v>3027</v>
      </c>
      <c r="HK35" s="1605" t="s">
        <v>3027</v>
      </c>
      <c r="HL35" s="1605" t="s">
        <v>1578</v>
      </c>
      <c r="HM35" s="1605" t="s">
        <v>3027</v>
      </c>
      <c r="HN35" s="1605" t="s">
        <v>3027</v>
      </c>
      <c r="HO35" s="1605" t="s">
        <v>986</v>
      </c>
      <c r="HP35" s="1605" t="s">
        <v>3027</v>
      </c>
      <c r="HQ35" s="1605" t="s">
        <v>3027</v>
      </c>
      <c r="HR35" s="1605" t="s">
        <v>3027</v>
      </c>
      <c r="HS35" s="1605" t="s">
        <v>3027</v>
      </c>
      <c r="HT35" s="1605" t="s">
        <v>3026</v>
      </c>
      <c r="HU35" s="1605" t="s">
        <v>3026</v>
      </c>
      <c r="HV35" s="1617"/>
      <c r="HW35" s="1617" t="s">
        <v>3694</v>
      </c>
      <c r="HX35" s="1617" t="s">
        <v>3686</v>
      </c>
      <c r="HY35" s="1617" t="s">
        <v>3685</v>
      </c>
      <c r="HZ35" s="1603"/>
      <c r="IA35" s="1603"/>
      <c r="IB35" s="1603"/>
      <c r="IC35" s="1603">
        <v>54.8130081300813</v>
      </c>
      <c r="ID35" s="1603">
        <v>56.178861788617901</v>
      </c>
      <c r="IE35" s="1603">
        <v>57.317073170731703</v>
      </c>
      <c r="IF35" s="1603">
        <v>58</v>
      </c>
      <c r="IG35" s="1611" t="s">
        <v>3683</v>
      </c>
      <c r="IH35" s="1616" t="s">
        <v>3682</v>
      </c>
      <c r="II35" s="1615" t="s">
        <v>275</v>
      </c>
      <c r="IJ35" s="1613">
        <v>0.41826136363636363</v>
      </c>
      <c r="IK35" s="1613">
        <v>0.41826136363636363</v>
      </c>
      <c r="IL35" s="1614">
        <v>0.41826136363636363</v>
      </c>
      <c r="IM35" s="1614">
        <v>0.41826136363636363</v>
      </c>
      <c r="IN35" s="1612">
        <v>0.52200000000000002</v>
      </c>
      <c r="IO35" s="1613">
        <v>0.10373863636363639</v>
      </c>
      <c r="IP35" s="1607" t="s">
        <v>270</v>
      </c>
      <c r="IQ35" s="1612">
        <v>2.2000000000000002</v>
      </c>
      <c r="IR35" s="1612">
        <v>0.154</v>
      </c>
      <c r="IS35" s="1607">
        <v>0.41426136363636362</v>
      </c>
      <c r="IT35" s="1607">
        <v>0.41426136363636362</v>
      </c>
      <c r="IU35" s="1611">
        <v>1.1363636363636365E-5</v>
      </c>
      <c r="IV35" s="1611">
        <v>1.0568181818181818E-3</v>
      </c>
      <c r="IW35" s="1611">
        <v>7.8409090909090898E-4</v>
      </c>
      <c r="IX35" s="1611">
        <v>1.0909090909090907E-3</v>
      </c>
      <c r="IY35" s="1611">
        <v>7.9545454545454537E-4</v>
      </c>
      <c r="IZ35" s="1611">
        <v>8.0340909090909091E-3</v>
      </c>
      <c r="JA35" s="1611">
        <v>1.8181818181818183E-4</v>
      </c>
      <c r="JB35" s="1611" t="s">
        <v>270</v>
      </c>
      <c r="JC35" s="1611">
        <v>6.9750000000000006E-2</v>
      </c>
      <c r="JD35" s="1611">
        <v>1.9772727272727273E-3</v>
      </c>
      <c r="JE35" s="1611" t="s">
        <v>270</v>
      </c>
      <c r="JF35" s="1611">
        <v>2.5000000000000001E-4</v>
      </c>
      <c r="JG35" s="1611">
        <v>4.3789545454545458</v>
      </c>
      <c r="JH35" s="1611">
        <v>2.2727272727272727E-4</v>
      </c>
      <c r="JI35" s="1611">
        <v>4.7829545454545458E-2</v>
      </c>
      <c r="JJ35" s="1611" t="s">
        <v>270</v>
      </c>
      <c r="JK35" s="1607">
        <f t="shared" si="9"/>
        <v>4.0000000000000036E-3</v>
      </c>
      <c r="JL35" s="1608" t="s">
        <v>270</v>
      </c>
      <c r="JM35" s="1610" t="s">
        <v>2924</v>
      </c>
      <c r="JN35" s="1608">
        <v>0</v>
      </c>
      <c r="JO35" s="1609" t="s">
        <v>2923</v>
      </c>
      <c r="JP35" s="1608" t="s">
        <v>270</v>
      </c>
      <c r="JQ35" s="1607">
        <v>202103</v>
      </c>
      <c r="JR35" s="1606">
        <v>15</v>
      </c>
      <c r="JS35" s="1606">
        <v>22</v>
      </c>
      <c r="JT35" s="1606">
        <v>22</v>
      </c>
    </row>
    <row r="36" spans="1:280" ht="15" customHeight="1" x14ac:dyDescent="0.2">
      <c r="A36" s="1626">
        <v>50100</v>
      </c>
      <c r="B36" s="1625">
        <v>501</v>
      </c>
      <c r="C36" s="1624">
        <v>0</v>
      </c>
      <c r="D36" s="1623" t="s">
        <v>3698</v>
      </c>
      <c r="E36" s="1622">
        <v>44112</v>
      </c>
      <c r="F36" s="1620">
        <v>1.0958187475803327</v>
      </c>
      <c r="G36" s="1620">
        <v>1.0910462946196657</v>
      </c>
      <c r="H36" s="1621">
        <v>86.7</v>
      </c>
      <c r="I36" s="1621">
        <v>81.3</v>
      </c>
      <c r="J36" s="1621">
        <v>90</v>
      </c>
      <c r="K36" s="1620">
        <v>1</v>
      </c>
      <c r="L36" s="1620">
        <v>86.7</v>
      </c>
      <c r="M36" s="1620">
        <v>8.8000000000000007</v>
      </c>
      <c r="N36" s="1620">
        <v>2.6</v>
      </c>
      <c r="O36" s="1620">
        <v>1.8</v>
      </c>
      <c r="P36" s="1620">
        <v>4.8</v>
      </c>
      <c r="Q36" s="1603"/>
      <c r="R36" s="1620">
        <v>76.07765357142857</v>
      </c>
      <c r="S36" s="1620">
        <v>43</v>
      </c>
      <c r="T36" s="1620">
        <v>49.097560975609802</v>
      </c>
      <c r="U36" s="1620">
        <v>51.536585365853703</v>
      </c>
      <c r="V36" s="1620">
        <v>53.731707317073202</v>
      </c>
      <c r="W36" s="1620">
        <v>55.195121951219498</v>
      </c>
      <c r="X36" s="1620"/>
      <c r="Y36" s="1620">
        <v>0.55363321799307952</v>
      </c>
      <c r="Z36" s="1620">
        <v>3.3448673587081892</v>
      </c>
      <c r="AA36" s="1620">
        <v>0.13840830449826988</v>
      </c>
      <c r="AB36" s="1620">
        <v>1.8872266973532823</v>
      </c>
      <c r="AC36" s="1620">
        <v>5.0519031141868513</v>
      </c>
      <c r="AD36" s="1620">
        <v>1.107266435986159</v>
      </c>
      <c r="AE36" s="1620">
        <v>1.1000000000000001</v>
      </c>
      <c r="AF36" s="1620">
        <v>41.487889273356402</v>
      </c>
      <c r="AG36" s="1620">
        <v>3.6447520184544406</v>
      </c>
      <c r="AH36" s="1620">
        <v>13.056516724336793</v>
      </c>
      <c r="AI36" s="1620">
        <v>30.738177623990772</v>
      </c>
      <c r="AJ36" s="1620">
        <v>0</v>
      </c>
      <c r="AK36" s="1620">
        <v>0.04</v>
      </c>
      <c r="AL36" s="1620"/>
      <c r="AM36" s="1620">
        <v>3.9108073817762397</v>
      </c>
      <c r="AN36" s="1620">
        <v>1.7441522491349482</v>
      </c>
      <c r="AO36" s="1620">
        <v>2.4499538638985001</v>
      </c>
      <c r="AP36" s="1620">
        <v>3.518904267589388</v>
      </c>
      <c r="AQ36" s="1620">
        <v>1.3644521337946944</v>
      </c>
      <c r="AR36" s="1620">
        <v>3.6379008073817758</v>
      </c>
      <c r="AS36" s="1620">
        <v>6.906251441753172</v>
      </c>
      <c r="AT36" s="1620">
        <v>2.3156516724336793</v>
      </c>
      <c r="AU36" s="1620">
        <v>4.7070934256055361</v>
      </c>
      <c r="AV36" s="1620">
        <v>3.1929988465974626</v>
      </c>
      <c r="AW36" s="1620">
        <v>5.181003460207612</v>
      </c>
      <c r="AX36" s="1620"/>
      <c r="AY36" s="1620">
        <v>0.94</v>
      </c>
      <c r="AZ36" s="1620">
        <v>1.08</v>
      </c>
      <c r="BA36" s="1620">
        <v>1.03</v>
      </c>
      <c r="BB36" s="1620">
        <v>0.95</v>
      </c>
      <c r="BC36" s="1620">
        <v>0.96</v>
      </c>
      <c r="BD36" s="1620">
        <v>1</v>
      </c>
      <c r="BE36" s="1620">
        <v>1.01</v>
      </c>
      <c r="BF36" s="1620">
        <v>1</v>
      </c>
      <c r="BG36" s="1620">
        <v>1.04</v>
      </c>
      <c r="BH36" s="1620">
        <v>0.97</v>
      </c>
      <c r="BI36" s="1620">
        <v>0.96</v>
      </c>
      <c r="BJ36" s="1603"/>
      <c r="BK36" s="1620">
        <v>10.149942329873127</v>
      </c>
      <c r="BL36" s="1620">
        <v>2.9988465974625145</v>
      </c>
      <c r="BM36" s="1620">
        <v>2.0761245674740483</v>
      </c>
      <c r="BN36" s="1620">
        <v>5.6470588235294121</v>
      </c>
      <c r="BO36" s="1620"/>
      <c r="BP36" s="1620">
        <v>120</v>
      </c>
      <c r="BQ36" s="1620">
        <v>36.705882352941174</v>
      </c>
      <c r="BR36" s="1620">
        <v>1.2639201240834288</v>
      </c>
      <c r="BS36" s="1620">
        <v>1.2584155647285649</v>
      </c>
      <c r="BT36" s="1603"/>
      <c r="BU36" s="1620">
        <v>979.23875432525949</v>
      </c>
      <c r="BV36" s="1620">
        <v>652.00543746910512</v>
      </c>
      <c r="BW36" s="1620">
        <v>75.541275333662952</v>
      </c>
      <c r="BX36" s="1620">
        <v>604</v>
      </c>
      <c r="BY36" s="1620">
        <v>21.000000000000004</v>
      </c>
      <c r="BZ36" s="1620">
        <v>56</v>
      </c>
      <c r="CA36" s="1620">
        <v>165</v>
      </c>
      <c r="CB36" s="1603"/>
      <c r="CC36" s="1603">
        <v>0.47999999999999993</v>
      </c>
      <c r="CD36" s="1603">
        <v>2.9</v>
      </c>
      <c r="CE36" s="1603">
        <v>0.11999999999999998</v>
      </c>
      <c r="CF36" s="1603">
        <v>1.6362255466052957</v>
      </c>
      <c r="CG36" s="1603">
        <v>4.38</v>
      </c>
      <c r="CH36" s="1603">
        <v>0.95999999999999985</v>
      </c>
      <c r="CI36" s="1603">
        <v>0.9537000000000001</v>
      </c>
      <c r="CJ36" s="1603"/>
      <c r="CK36" s="1603">
        <v>35.97</v>
      </c>
      <c r="CL36" s="1603">
        <v>3.16</v>
      </c>
      <c r="CM36" s="1603">
        <v>11.32</v>
      </c>
      <c r="CN36" s="1603">
        <v>26.65</v>
      </c>
      <c r="CO36" s="1603">
        <v>0</v>
      </c>
      <c r="CP36" s="1603">
        <v>3.4680000000000002E-2</v>
      </c>
      <c r="CQ36" s="1603">
        <v>66.948335142857147</v>
      </c>
      <c r="CR36" s="1603">
        <v>61.094350950542825</v>
      </c>
      <c r="CS36" s="1603">
        <v>2.245925443612784</v>
      </c>
      <c r="CT36" s="1603">
        <v>1.1508247758941546</v>
      </c>
      <c r="CU36" s="1603">
        <v>1.5416869140886296</v>
      </c>
      <c r="CV36" s="1603">
        <v>2.6925116899827843</v>
      </c>
      <c r="CW36" s="1603">
        <v>2.0423591367119545</v>
      </c>
      <c r="CX36" s="1603">
        <v>0.80025904816579263</v>
      </c>
      <c r="CY36" s="1603">
        <v>2.2225518864944527</v>
      </c>
      <c r="CZ36" s="1603">
        <v>4.2615227882851219</v>
      </c>
      <c r="DA36" s="1603">
        <v>1.4147323595487462</v>
      </c>
      <c r="DB36" s="1603">
        <v>2.9907989040897496</v>
      </c>
      <c r="DC36" s="1603">
        <v>1.892219663551427</v>
      </c>
      <c r="DD36" s="1603">
        <v>4.8830185676411766</v>
      </c>
      <c r="DE36" s="1603">
        <v>3.0386884192694459</v>
      </c>
      <c r="DF36" s="1603">
        <v>0</v>
      </c>
      <c r="DG36" s="1603">
        <v>0</v>
      </c>
      <c r="DH36" s="1603">
        <v>0</v>
      </c>
      <c r="DI36" s="1603">
        <v>0</v>
      </c>
      <c r="DJ36" s="1603">
        <v>0</v>
      </c>
      <c r="DK36" s="1603">
        <v>0</v>
      </c>
      <c r="DL36" s="1603">
        <v>0</v>
      </c>
      <c r="DM36" s="1603">
        <v>0</v>
      </c>
      <c r="DN36" s="1603">
        <v>0</v>
      </c>
      <c r="DO36" s="1603">
        <v>0</v>
      </c>
      <c r="DP36" s="1603">
        <v>0</v>
      </c>
      <c r="DQ36" s="1603">
        <v>0</v>
      </c>
      <c r="DR36" s="1603">
        <v>0</v>
      </c>
      <c r="DS36" s="1603">
        <v>0</v>
      </c>
      <c r="DT36" s="1603">
        <v>0</v>
      </c>
      <c r="DU36" s="1603">
        <v>0</v>
      </c>
      <c r="DV36" s="1603">
        <v>0</v>
      </c>
      <c r="DW36" s="1618" t="s">
        <v>3688</v>
      </c>
      <c r="DX36" s="1605">
        <v>30</v>
      </c>
      <c r="DY36" s="1605">
        <v>30</v>
      </c>
      <c r="DZ36" s="1605">
        <v>16</v>
      </c>
      <c r="EA36" s="1605">
        <v>16</v>
      </c>
      <c r="EB36" s="1605" t="s">
        <v>986</v>
      </c>
      <c r="EC36" s="1605">
        <v>16</v>
      </c>
      <c r="ED36" s="1605">
        <v>16</v>
      </c>
      <c r="EE36" s="1605">
        <v>16</v>
      </c>
      <c r="EF36" s="1605">
        <v>16</v>
      </c>
      <c r="EG36" s="1605">
        <v>16</v>
      </c>
      <c r="EH36" s="1605" t="s">
        <v>986</v>
      </c>
      <c r="EI36" s="1605" t="s">
        <v>986</v>
      </c>
      <c r="EJ36" s="1605" t="s">
        <v>986</v>
      </c>
      <c r="EK36" s="1605" t="s">
        <v>986</v>
      </c>
      <c r="EL36" s="1605" t="s">
        <v>986</v>
      </c>
      <c r="EM36" s="1605" t="s">
        <v>986</v>
      </c>
      <c r="EN36" s="1605" t="s">
        <v>986</v>
      </c>
      <c r="EO36" s="1605" t="s">
        <v>986</v>
      </c>
      <c r="EP36" s="1605" t="s">
        <v>986</v>
      </c>
      <c r="EQ36" s="1605" t="s">
        <v>986</v>
      </c>
      <c r="ER36" s="1605" t="s">
        <v>986</v>
      </c>
      <c r="ES36" s="1605">
        <v>16</v>
      </c>
      <c r="ET36" s="1605">
        <v>30</v>
      </c>
      <c r="EU36" s="1605">
        <v>14</v>
      </c>
      <c r="EV36" s="1605">
        <v>14</v>
      </c>
      <c r="EW36" s="1605">
        <v>14</v>
      </c>
      <c r="EX36" s="1605">
        <v>14</v>
      </c>
      <c r="EY36" s="1605" t="s">
        <v>986</v>
      </c>
      <c r="EZ36" s="1605">
        <v>14</v>
      </c>
      <c r="FA36" s="1605">
        <v>14</v>
      </c>
      <c r="FB36" s="1605">
        <v>14</v>
      </c>
      <c r="FC36" s="1605">
        <v>14</v>
      </c>
      <c r="FD36" s="1605" t="s">
        <v>986</v>
      </c>
      <c r="FE36" s="1605" t="s">
        <v>986</v>
      </c>
      <c r="FF36" s="1605">
        <v>0.35149925197350151</v>
      </c>
      <c r="FG36" s="1605">
        <v>0.27411457166982267</v>
      </c>
      <c r="FH36" s="1605">
        <v>0.17421133088142229</v>
      </c>
      <c r="FI36" s="1605">
        <v>0.129370060958614</v>
      </c>
      <c r="FJ36" s="1605" t="s">
        <v>986</v>
      </c>
      <c r="FK36" s="1605">
        <v>0.95538194654546582</v>
      </c>
      <c r="FL36" s="1605">
        <v>0.95777519979029246</v>
      </c>
      <c r="FM36" s="1605" t="s">
        <v>986</v>
      </c>
      <c r="FN36" s="1605">
        <v>1.696898289495127</v>
      </c>
      <c r="FO36" s="1605">
        <v>1.4319749138707372</v>
      </c>
      <c r="FP36" s="1605" t="s">
        <v>986</v>
      </c>
      <c r="FQ36" s="1605" t="s">
        <v>986</v>
      </c>
      <c r="FR36" s="1605" t="s">
        <v>986</v>
      </c>
      <c r="FS36" s="1605" t="s">
        <v>986</v>
      </c>
      <c r="FT36" s="1605" t="s">
        <v>986</v>
      </c>
      <c r="FU36" s="1605" t="s">
        <v>986</v>
      </c>
      <c r="FV36" s="1605" t="s">
        <v>986</v>
      </c>
      <c r="FW36" s="1605" t="s">
        <v>986</v>
      </c>
      <c r="FX36" s="1605" t="s">
        <v>986</v>
      </c>
      <c r="FY36" s="1605" t="s">
        <v>986</v>
      </c>
      <c r="FZ36" s="1605" t="s">
        <v>986</v>
      </c>
      <c r="GA36" s="1605">
        <v>5.3672371993857354E-2</v>
      </c>
      <c r="GB36" s="1605">
        <v>0.17439594327076505</v>
      </c>
      <c r="GC36" s="1605">
        <v>2.7127609512308415E-2</v>
      </c>
      <c r="GD36" s="1605">
        <v>0.2</v>
      </c>
      <c r="GE36" s="1605">
        <v>0.23043384507123194</v>
      </c>
      <c r="GF36" s="1605">
        <v>4.2856057744731911E-2</v>
      </c>
      <c r="GG36" s="1605" t="s">
        <v>986</v>
      </c>
      <c r="GH36" s="1605">
        <v>5.8651002182525325</v>
      </c>
      <c r="GI36" s="1605">
        <v>0.89447276452516822</v>
      </c>
      <c r="GJ36" s="1605">
        <v>0.8631644256382206</v>
      </c>
      <c r="GK36" s="1605">
        <v>1.5131341652248276</v>
      </c>
      <c r="GL36" s="1605" t="s">
        <v>986</v>
      </c>
      <c r="GM36" s="1605" t="s">
        <v>986</v>
      </c>
      <c r="GN36" s="1605" t="s">
        <v>1763</v>
      </c>
      <c r="GO36" s="1605" t="s">
        <v>1763</v>
      </c>
      <c r="GP36" s="1605" t="s">
        <v>1763</v>
      </c>
      <c r="GQ36" s="1605" t="s">
        <v>1763</v>
      </c>
      <c r="GR36" s="1605" t="s">
        <v>1763</v>
      </c>
      <c r="GS36" s="1605" t="s">
        <v>1763</v>
      </c>
      <c r="GT36" s="1605" t="s">
        <v>1763</v>
      </c>
      <c r="GU36" s="1605" t="s">
        <v>1763</v>
      </c>
      <c r="GV36" s="1605" t="s">
        <v>1763</v>
      </c>
      <c r="GW36" s="1605" t="s">
        <v>1763</v>
      </c>
      <c r="GX36" s="1605" t="s">
        <v>1763</v>
      </c>
      <c r="GY36" s="1605" t="s">
        <v>1763</v>
      </c>
      <c r="GZ36" s="1605" t="s">
        <v>1763</v>
      </c>
      <c r="HA36" s="1605" t="s">
        <v>1763</v>
      </c>
      <c r="HB36" s="1605" t="s">
        <v>1763</v>
      </c>
      <c r="HC36" s="1605" t="s">
        <v>1763</v>
      </c>
      <c r="HD36" s="1605" t="s">
        <v>1763</v>
      </c>
      <c r="HE36" s="1605" t="s">
        <v>1763</v>
      </c>
      <c r="HF36" s="1605" t="s">
        <v>1763</v>
      </c>
      <c r="HG36" s="1605" t="s">
        <v>1763</v>
      </c>
      <c r="HH36" s="1605" t="s">
        <v>1763</v>
      </c>
      <c r="HI36" s="1605" t="s">
        <v>1763</v>
      </c>
      <c r="HJ36" s="1605" t="s">
        <v>1763</v>
      </c>
      <c r="HK36" s="1605" t="s">
        <v>1763</v>
      </c>
      <c r="HL36" s="1605" t="s">
        <v>1578</v>
      </c>
      <c r="HM36" s="1605" t="s">
        <v>1763</v>
      </c>
      <c r="HN36" s="1605" t="s">
        <v>1763</v>
      </c>
      <c r="HO36" s="1605" t="s">
        <v>986</v>
      </c>
      <c r="HP36" s="1605" t="s">
        <v>1763</v>
      </c>
      <c r="HQ36" s="1605" t="s">
        <v>1763</v>
      </c>
      <c r="HR36" s="1605" t="s">
        <v>1763</v>
      </c>
      <c r="HS36" s="1605" t="s">
        <v>1763</v>
      </c>
      <c r="HT36" s="1605" t="s">
        <v>1763</v>
      </c>
      <c r="HU36" s="1605" t="s">
        <v>1763</v>
      </c>
      <c r="HV36" s="1617"/>
      <c r="HW36" s="1617" t="s">
        <v>3694</v>
      </c>
      <c r="HX36" s="1617" t="s">
        <v>3686</v>
      </c>
      <c r="HY36" s="1617" t="s">
        <v>3685</v>
      </c>
      <c r="HZ36" s="1603"/>
      <c r="IA36" s="1603"/>
      <c r="IB36" s="1603"/>
      <c r="IC36" s="1603">
        <v>56.292682926829301</v>
      </c>
      <c r="ID36" s="1603">
        <v>57.024390243902403</v>
      </c>
      <c r="IE36" s="1603">
        <v>57.634146341463399</v>
      </c>
      <c r="IF36" s="1603">
        <v>58</v>
      </c>
      <c r="IG36" s="1611" t="s">
        <v>3683</v>
      </c>
      <c r="IH36" s="1616" t="s">
        <v>3682</v>
      </c>
      <c r="II36" s="1615" t="s">
        <v>275</v>
      </c>
      <c r="IJ36" s="1613">
        <v>0.41826136363636363</v>
      </c>
      <c r="IK36" s="1613">
        <v>0.41826136363636363</v>
      </c>
      <c r="IL36" s="1614">
        <v>0.41826136363636363</v>
      </c>
      <c r="IM36" s="1614">
        <v>0.41826136363636363</v>
      </c>
      <c r="IN36" s="1612">
        <v>0.52200000000000002</v>
      </c>
      <c r="IO36" s="1613">
        <v>0.10373863636363639</v>
      </c>
      <c r="IP36" s="1607" t="s">
        <v>270</v>
      </c>
      <c r="IQ36" s="1612">
        <v>2.2000000000000002</v>
      </c>
      <c r="IR36" s="1612">
        <v>0.154</v>
      </c>
      <c r="IS36" s="1607">
        <v>0.41426136363636362</v>
      </c>
      <c r="IT36" s="1607">
        <v>0.41426136363636362</v>
      </c>
      <c r="IU36" s="1611">
        <v>1.1363636363636365E-5</v>
      </c>
      <c r="IV36" s="1611">
        <v>1.0568181818181818E-3</v>
      </c>
      <c r="IW36" s="1611">
        <v>7.8409090909090898E-4</v>
      </c>
      <c r="IX36" s="1611">
        <v>1.0909090909090907E-3</v>
      </c>
      <c r="IY36" s="1611">
        <v>7.9545454545454537E-4</v>
      </c>
      <c r="IZ36" s="1611">
        <v>8.0340909090909091E-3</v>
      </c>
      <c r="JA36" s="1611">
        <v>1.8181818181818183E-4</v>
      </c>
      <c r="JB36" s="1611" t="s">
        <v>270</v>
      </c>
      <c r="JC36" s="1611">
        <v>6.9750000000000006E-2</v>
      </c>
      <c r="JD36" s="1611">
        <v>1.9772727272727273E-3</v>
      </c>
      <c r="JE36" s="1611" t="s">
        <v>270</v>
      </c>
      <c r="JF36" s="1611">
        <v>2.5000000000000001E-4</v>
      </c>
      <c r="JG36" s="1611">
        <v>4.3789545454545458</v>
      </c>
      <c r="JH36" s="1611">
        <v>2.2727272727272727E-4</v>
      </c>
      <c r="JI36" s="1611">
        <v>4.7829545454545458E-2</v>
      </c>
      <c r="JJ36" s="1611" t="s">
        <v>270</v>
      </c>
      <c r="JK36" s="1607">
        <f t="shared" si="9"/>
        <v>4.0000000000000036E-3</v>
      </c>
      <c r="JL36" s="1608" t="s">
        <v>270</v>
      </c>
      <c r="JM36" s="1610" t="s">
        <v>2924</v>
      </c>
      <c r="JN36" s="1608">
        <v>0</v>
      </c>
      <c r="JO36" s="1609" t="s">
        <v>2923</v>
      </c>
      <c r="JP36" s="1608" t="s">
        <v>270</v>
      </c>
      <c r="JQ36" s="1607">
        <v>202103</v>
      </c>
      <c r="JR36" s="1606">
        <v>15</v>
      </c>
      <c r="JS36" s="1606">
        <v>22</v>
      </c>
      <c r="JT36" s="1606">
        <v>22</v>
      </c>
    </row>
    <row r="37" spans="1:280" ht="15" customHeight="1" x14ac:dyDescent="0.2">
      <c r="A37" s="1626">
        <v>50101</v>
      </c>
      <c r="B37" s="1625">
        <v>501</v>
      </c>
      <c r="C37" s="1624">
        <v>1</v>
      </c>
      <c r="D37" s="1623" t="s">
        <v>3697</v>
      </c>
      <c r="E37" s="1622">
        <v>44112</v>
      </c>
      <c r="F37" s="1620">
        <v>1.1019816395663953</v>
      </c>
      <c r="G37" s="1620">
        <v>1.0953779272727269</v>
      </c>
      <c r="H37" s="1621">
        <v>86.7</v>
      </c>
      <c r="I37" s="1621">
        <v>81.8</v>
      </c>
      <c r="J37" s="1621">
        <v>90</v>
      </c>
      <c r="K37" s="1620">
        <v>1</v>
      </c>
      <c r="L37" s="1620">
        <v>86.7</v>
      </c>
      <c r="M37" s="1620">
        <v>8.8000000000000007</v>
      </c>
      <c r="N37" s="1620">
        <v>2.6</v>
      </c>
      <c r="O37" s="1620">
        <v>1.8</v>
      </c>
      <c r="P37" s="1620">
        <v>4.8</v>
      </c>
      <c r="Q37" s="1603"/>
      <c r="R37" s="1620">
        <v>76.532475000000005</v>
      </c>
      <c r="S37" s="1620">
        <v>43</v>
      </c>
      <c r="T37" s="1620">
        <v>49.097560975609802</v>
      </c>
      <c r="U37" s="1620">
        <v>51.536585365853703</v>
      </c>
      <c r="V37" s="1620">
        <v>53.731707317073202</v>
      </c>
      <c r="W37" s="1620">
        <v>55.195121951219498</v>
      </c>
      <c r="X37" s="1620"/>
      <c r="Y37" s="1620">
        <v>0.55363321799307952</v>
      </c>
      <c r="Z37" s="1620">
        <v>3.3448673587081892</v>
      </c>
      <c r="AA37" s="1620">
        <v>0.13840830449826988</v>
      </c>
      <c r="AB37" s="1620">
        <v>1.8872266973532823</v>
      </c>
      <c r="AC37" s="1620">
        <v>5.0519031141868513</v>
      </c>
      <c r="AD37" s="1620">
        <v>1.107266435986159</v>
      </c>
      <c r="AE37" s="1620">
        <v>1.1000000000000001</v>
      </c>
      <c r="AF37" s="1620">
        <v>41.487889273356402</v>
      </c>
      <c r="AG37" s="1620">
        <v>3.6447520184544406</v>
      </c>
      <c r="AH37" s="1620">
        <v>13.056516724336793</v>
      </c>
      <c r="AI37" s="1620">
        <v>30.738177623990772</v>
      </c>
      <c r="AJ37" s="1620">
        <v>0</v>
      </c>
      <c r="AK37" s="1620">
        <v>0.04</v>
      </c>
      <c r="AL37" s="1620"/>
      <c r="AM37" s="1620">
        <v>3.9108073817762397</v>
      </c>
      <c r="AN37" s="1620">
        <v>1.7441522491349482</v>
      </c>
      <c r="AO37" s="1620">
        <v>2.4499538638985001</v>
      </c>
      <c r="AP37" s="1620">
        <v>3.518904267589388</v>
      </c>
      <c r="AQ37" s="1620">
        <v>1.3644521337946944</v>
      </c>
      <c r="AR37" s="1620">
        <v>3.6379008073817758</v>
      </c>
      <c r="AS37" s="1620">
        <v>6.906251441753172</v>
      </c>
      <c r="AT37" s="1620">
        <v>2.3156516724336793</v>
      </c>
      <c r="AU37" s="1620">
        <v>4.7070934256055361</v>
      </c>
      <c r="AV37" s="1620">
        <v>3.1929988465974626</v>
      </c>
      <c r="AW37" s="1620">
        <v>5.181003460207612</v>
      </c>
      <c r="AX37" s="1620"/>
      <c r="AY37" s="1620">
        <v>0.94</v>
      </c>
      <c r="AZ37" s="1620">
        <v>1.08</v>
      </c>
      <c r="BA37" s="1620">
        <v>1.03</v>
      </c>
      <c r="BB37" s="1620">
        <v>0.95</v>
      </c>
      <c r="BC37" s="1620">
        <v>0.96</v>
      </c>
      <c r="BD37" s="1620">
        <v>1</v>
      </c>
      <c r="BE37" s="1620">
        <v>1.01</v>
      </c>
      <c r="BF37" s="1620">
        <v>1</v>
      </c>
      <c r="BG37" s="1620">
        <v>1.04</v>
      </c>
      <c r="BH37" s="1620">
        <v>0.97</v>
      </c>
      <c r="BI37" s="1620">
        <v>0.96</v>
      </c>
      <c r="BJ37" s="1603"/>
      <c r="BK37" s="1620">
        <v>10.149942329873127</v>
      </c>
      <c r="BL37" s="1620">
        <v>2.9988465974625145</v>
      </c>
      <c r="BM37" s="1620">
        <v>2.0761245674740483</v>
      </c>
      <c r="BN37" s="1620">
        <v>5.6470588235294121</v>
      </c>
      <c r="BO37" s="1620"/>
      <c r="BP37" s="1620">
        <v>120</v>
      </c>
      <c r="BQ37" s="1620">
        <v>36.705882352941174</v>
      </c>
      <c r="BR37" s="1620">
        <v>1.2710284193384027</v>
      </c>
      <c r="BS37" s="1620">
        <v>1.263411680822061</v>
      </c>
      <c r="BT37" s="1603"/>
      <c r="BU37" s="1620">
        <v>979.23875432525949</v>
      </c>
      <c r="BV37" s="1620">
        <v>658.99999999999977</v>
      </c>
      <c r="BW37" s="1620">
        <v>68.546712802768241</v>
      </c>
      <c r="BX37" s="1620">
        <v>604</v>
      </c>
      <c r="BY37" s="1620">
        <v>21.000000000000004</v>
      </c>
      <c r="BZ37" s="1620">
        <v>56</v>
      </c>
      <c r="CA37" s="1620">
        <v>165</v>
      </c>
      <c r="CB37" s="1603"/>
      <c r="CC37" s="1603">
        <v>0.47999999999999993</v>
      </c>
      <c r="CD37" s="1603">
        <v>2.9</v>
      </c>
      <c r="CE37" s="1603">
        <v>0.11999999999999998</v>
      </c>
      <c r="CF37" s="1603">
        <v>1.6362255466052957</v>
      </c>
      <c r="CG37" s="1603">
        <v>4.38</v>
      </c>
      <c r="CH37" s="1603">
        <v>0.95999999999999985</v>
      </c>
      <c r="CI37" s="1603">
        <v>0.9537000000000001</v>
      </c>
      <c r="CJ37" s="1603"/>
      <c r="CK37" s="1603">
        <v>35.97</v>
      </c>
      <c r="CL37" s="1603">
        <v>3.16</v>
      </c>
      <c r="CM37" s="1603">
        <v>11.32</v>
      </c>
      <c r="CN37" s="1603">
        <v>26.65</v>
      </c>
      <c r="CO37" s="1603">
        <v>0</v>
      </c>
      <c r="CP37" s="1603">
        <v>3.4680000000000002E-2</v>
      </c>
      <c r="CQ37" s="1603">
        <v>67.348578000000003</v>
      </c>
      <c r="CR37" s="1603">
        <v>61.115880321291144</v>
      </c>
      <c r="CS37" s="1603">
        <v>2.2467168975000309</v>
      </c>
      <c r="CT37" s="1603">
        <v>1.1512303212986164</v>
      </c>
      <c r="CU37" s="1603">
        <v>1.542230197528667</v>
      </c>
      <c r="CV37" s="1603">
        <v>2.6934605188272833</v>
      </c>
      <c r="CW37" s="1603">
        <v>2.0430788547606995</v>
      </c>
      <c r="CX37" s="1603">
        <v>0.80054105580601798</v>
      </c>
      <c r="CY37" s="1603">
        <v>2.2233351036467299</v>
      </c>
      <c r="CZ37" s="1603">
        <v>4.2630245294876055</v>
      </c>
      <c r="DA37" s="1603">
        <v>1.4152309047825442</v>
      </c>
      <c r="DB37" s="1603">
        <v>2.9918528479886208</v>
      </c>
      <c r="DC37" s="1603">
        <v>1.89288647313431</v>
      </c>
      <c r="DD37" s="1603">
        <v>4.8847393211229306</v>
      </c>
      <c r="DE37" s="1603">
        <v>3.0397592392151398</v>
      </c>
      <c r="DF37" s="1603">
        <v>0</v>
      </c>
      <c r="DG37" s="1603">
        <v>0</v>
      </c>
      <c r="DH37" s="1603">
        <v>0</v>
      </c>
      <c r="DI37" s="1603">
        <v>0</v>
      </c>
      <c r="DJ37" s="1603">
        <v>0</v>
      </c>
      <c r="DK37" s="1603">
        <v>0</v>
      </c>
      <c r="DL37" s="1603">
        <v>0</v>
      </c>
      <c r="DM37" s="1603">
        <v>0</v>
      </c>
      <c r="DN37" s="1603">
        <v>0</v>
      </c>
      <c r="DO37" s="1603">
        <v>0</v>
      </c>
      <c r="DP37" s="1603">
        <v>0</v>
      </c>
      <c r="DQ37" s="1603">
        <v>0</v>
      </c>
      <c r="DR37" s="1603">
        <v>0</v>
      </c>
      <c r="DS37" s="1603">
        <v>0</v>
      </c>
      <c r="DT37" s="1603">
        <v>0</v>
      </c>
      <c r="DU37" s="1603">
        <v>0</v>
      </c>
      <c r="DV37" s="1603">
        <v>0</v>
      </c>
      <c r="DW37" s="1618" t="s">
        <v>3688</v>
      </c>
      <c r="DX37" s="1605">
        <v>30</v>
      </c>
      <c r="DY37" s="1605">
        <v>30</v>
      </c>
      <c r="DZ37" s="1605">
        <v>16</v>
      </c>
      <c r="EA37" s="1605">
        <v>16</v>
      </c>
      <c r="EB37" s="1605" t="s">
        <v>986</v>
      </c>
      <c r="EC37" s="1605">
        <v>16</v>
      </c>
      <c r="ED37" s="1605">
        <v>16</v>
      </c>
      <c r="EE37" s="1605">
        <v>16</v>
      </c>
      <c r="EF37" s="1605">
        <v>16</v>
      </c>
      <c r="EG37" s="1605">
        <v>16</v>
      </c>
      <c r="EH37" s="1605" t="s">
        <v>986</v>
      </c>
      <c r="EI37" s="1605" t="s">
        <v>986</v>
      </c>
      <c r="EJ37" s="1605" t="s">
        <v>986</v>
      </c>
      <c r="EK37" s="1605" t="s">
        <v>986</v>
      </c>
      <c r="EL37" s="1605" t="s">
        <v>986</v>
      </c>
      <c r="EM37" s="1605" t="s">
        <v>986</v>
      </c>
      <c r="EN37" s="1605" t="s">
        <v>986</v>
      </c>
      <c r="EO37" s="1605" t="s">
        <v>986</v>
      </c>
      <c r="EP37" s="1605" t="s">
        <v>986</v>
      </c>
      <c r="EQ37" s="1605" t="s">
        <v>986</v>
      </c>
      <c r="ER37" s="1605" t="s">
        <v>986</v>
      </c>
      <c r="ES37" s="1605">
        <v>16</v>
      </c>
      <c r="ET37" s="1605">
        <v>30</v>
      </c>
      <c r="EU37" s="1605">
        <v>14</v>
      </c>
      <c r="EV37" s="1605">
        <v>14</v>
      </c>
      <c r="EW37" s="1605">
        <v>14</v>
      </c>
      <c r="EX37" s="1605">
        <v>14</v>
      </c>
      <c r="EY37" s="1605" t="s">
        <v>986</v>
      </c>
      <c r="EZ37" s="1605">
        <v>14</v>
      </c>
      <c r="FA37" s="1605">
        <v>14</v>
      </c>
      <c r="FB37" s="1605">
        <v>14</v>
      </c>
      <c r="FC37" s="1605">
        <v>14</v>
      </c>
      <c r="FD37" s="1605" t="s">
        <v>986</v>
      </c>
      <c r="FE37" s="1605" t="s">
        <v>986</v>
      </c>
      <c r="FF37" s="1605">
        <v>0.35149925197350151</v>
      </c>
      <c r="FG37" s="1605">
        <v>0.27411457166982267</v>
      </c>
      <c r="FH37" s="1605">
        <v>0.17421133088142229</v>
      </c>
      <c r="FI37" s="1605">
        <v>0.129370060958614</v>
      </c>
      <c r="FJ37" s="1605" t="s">
        <v>986</v>
      </c>
      <c r="FK37" s="1605">
        <v>0.95538194654546582</v>
      </c>
      <c r="FL37" s="1605">
        <v>0.95777519979029246</v>
      </c>
      <c r="FM37" s="1605" t="s">
        <v>986</v>
      </c>
      <c r="FN37" s="1605">
        <v>1.696898289495127</v>
      </c>
      <c r="FO37" s="1605">
        <v>1.4319749138707372</v>
      </c>
      <c r="FP37" s="1605" t="s">
        <v>986</v>
      </c>
      <c r="FQ37" s="1605" t="s">
        <v>986</v>
      </c>
      <c r="FR37" s="1605" t="s">
        <v>986</v>
      </c>
      <c r="FS37" s="1605" t="s">
        <v>986</v>
      </c>
      <c r="FT37" s="1605" t="s">
        <v>986</v>
      </c>
      <c r="FU37" s="1605" t="s">
        <v>986</v>
      </c>
      <c r="FV37" s="1605" t="s">
        <v>986</v>
      </c>
      <c r="FW37" s="1605" t="s">
        <v>986</v>
      </c>
      <c r="FX37" s="1605" t="s">
        <v>986</v>
      </c>
      <c r="FY37" s="1605" t="s">
        <v>986</v>
      </c>
      <c r="FZ37" s="1605" t="s">
        <v>986</v>
      </c>
      <c r="GA37" s="1605">
        <v>5.3672371993857354E-2</v>
      </c>
      <c r="GB37" s="1605">
        <v>0.17439594327076505</v>
      </c>
      <c r="GC37" s="1605">
        <v>2.7127609512308415E-2</v>
      </c>
      <c r="GD37" s="1605">
        <v>0.2</v>
      </c>
      <c r="GE37" s="1605">
        <v>0.23043384507123194</v>
      </c>
      <c r="GF37" s="1605">
        <v>4.2856057744731911E-2</v>
      </c>
      <c r="GG37" s="1605" t="s">
        <v>986</v>
      </c>
      <c r="GH37" s="1605">
        <v>5.8651002182525325</v>
      </c>
      <c r="GI37" s="1605">
        <v>0.89447276452516822</v>
      </c>
      <c r="GJ37" s="1605">
        <v>0.8631644256382206</v>
      </c>
      <c r="GK37" s="1605">
        <v>1.5131341652248276</v>
      </c>
      <c r="GL37" s="1605" t="s">
        <v>986</v>
      </c>
      <c r="GM37" s="1605" t="s">
        <v>986</v>
      </c>
      <c r="GN37" s="1605" t="s">
        <v>1763</v>
      </c>
      <c r="GO37" s="1605" t="s">
        <v>1763</v>
      </c>
      <c r="GP37" s="1605" t="s">
        <v>1763</v>
      </c>
      <c r="GQ37" s="1605" t="s">
        <v>1763</v>
      </c>
      <c r="GR37" s="1605" t="s">
        <v>1763</v>
      </c>
      <c r="GS37" s="1605" t="s">
        <v>1763</v>
      </c>
      <c r="GT37" s="1605" t="s">
        <v>1763</v>
      </c>
      <c r="GU37" s="1605" t="s">
        <v>1763</v>
      </c>
      <c r="GV37" s="1605" t="s">
        <v>1763</v>
      </c>
      <c r="GW37" s="1605" t="s">
        <v>1763</v>
      </c>
      <c r="GX37" s="1605" t="s">
        <v>1763</v>
      </c>
      <c r="GY37" s="1605" t="s">
        <v>1763</v>
      </c>
      <c r="GZ37" s="1605" t="s">
        <v>1763</v>
      </c>
      <c r="HA37" s="1605" t="s">
        <v>1763</v>
      </c>
      <c r="HB37" s="1605" t="s">
        <v>1763</v>
      </c>
      <c r="HC37" s="1605" t="s">
        <v>1763</v>
      </c>
      <c r="HD37" s="1605" t="s">
        <v>1763</v>
      </c>
      <c r="HE37" s="1605" t="s">
        <v>1763</v>
      </c>
      <c r="HF37" s="1605" t="s">
        <v>1763</v>
      </c>
      <c r="HG37" s="1605" t="s">
        <v>1763</v>
      </c>
      <c r="HH37" s="1605" t="s">
        <v>1763</v>
      </c>
      <c r="HI37" s="1605" t="s">
        <v>1763</v>
      </c>
      <c r="HJ37" s="1605" t="s">
        <v>1763</v>
      </c>
      <c r="HK37" s="1605" t="s">
        <v>1763</v>
      </c>
      <c r="HL37" s="1605" t="s">
        <v>1578</v>
      </c>
      <c r="HM37" s="1605" t="s">
        <v>1763</v>
      </c>
      <c r="HN37" s="1605" t="s">
        <v>1763</v>
      </c>
      <c r="HO37" s="1605" t="s">
        <v>986</v>
      </c>
      <c r="HP37" s="1605" t="s">
        <v>1763</v>
      </c>
      <c r="HQ37" s="1605" t="s">
        <v>1763</v>
      </c>
      <c r="HR37" s="1605" t="s">
        <v>1763</v>
      </c>
      <c r="HS37" s="1605" t="s">
        <v>1763</v>
      </c>
      <c r="HT37" s="1605" t="s">
        <v>1763</v>
      </c>
      <c r="HU37" s="1605" t="s">
        <v>1763</v>
      </c>
      <c r="HV37" s="1617"/>
      <c r="HW37" s="1617" t="s">
        <v>3694</v>
      </c>
      <c r="HX37" s="1617" t="s">
        <v>3686</v>
      </c>
      <c r="HY37" s="1617" t="s">
        <v>3685</v>
      </c>
      <c r="HZ37" s="1603"/>
      <c r="IA37" s="1603"/>
      <c r="IB37" s="1603"/>
      <c r="IC37" s="1603">
        <v>56.292682926829301</v>
      </c>
      <c r="ID37" s="1603">
        <v>57.024390243902403</v>
      </c>
      <c r="IE37" s="1603">
        <v>57.634146341463399</v>
      </c>
      <c r="IF37" s="1603">
        <v>58</v>
      </c>
      <c r="IG37" s="1611" t="s">
        <v>3683</v>
      </c>
      <c r="IH37" s="1616" t="s">
        <v>3682</v>
      </c>
      <c r="II37" s="1615" t="s">
        <v>275</v>
      </c>
      <c r="IJ37" s="1613">
        <v>0.41826136363636363</v>
      </c>
      <c r="IK37" s="1613">
        <v>0.41826136363636363</v>
      </c>
      <c r="IL37" s="1614">
        <v>0.41826136363636363</v>
      </c>
      <c r="IM37" s="1614">
        <v>0.41826136363636363</v>
      </c>
      <c r="IN37" s="1612">
        <v>0.52200000000000002</v>
      </c>
      <c r="IO37" s="1613">
        <v>0.10373863636363639</v>
      </c>
      <c r="IP37" s="1607" t="s">
        <v>270</v>
      </c>
      <c r="IQ37" s="1612">
        <v>2.2000000000000002</v>
      </c>
      <c r="IR37" s="1612">
        <v>0.154</v>
      </c>
      <c r="IS37" s="1607">
        <v>0.41426136363636362</v>
      </c>
      <c r="IT37" s="1607">
        <v>0.41426136363636362</v>
      </c>
      <c r="IU37" s="1611">
        <v>1.1363636363636365E-5</v>
      </c>
      <c r="IV37" s="1611">
        <v>1.0568181818181818E-3</v>
      </c>
      <c r="IW37" s="1611">
        <v>7.8409090909090898E-4</v>
      </c>
      <c r="IX37" s="1611">
        <v>1.0909090909090907E-3</v>
      </c>
      <c r="IY37" s="1611">
        <v>7.9545454545454537E-4</v>
      </c>
      <c r="IZ37" s="1611">
        <v>8.0340909090909091E-3</v>
      </c>
      <c r="JA37" s="1611">
        <v>1.8181818181818183E-4</v>
      </c>
      <c r="JB37" s="1611" t="s">
        <v>270</v>
      </c>
      <c r="JC37" s="1611">
        <v>6.9750000000000006E-2</v>
      </c>
      <c r="JD37" s="1611">
        <v>1.9772727272727273E-3</v>
      </c>
      <c r="JE37" s="1611" t="s">
        <v>270</v>
      </c>
      <c r="JF37" s="1611">
        <v>2.5000000000000001E-4</v>
      </c>
      <c r="JG37" s="1611">
        <v>4.3789545454545458</v>
      </c>
      <c r="JH37" s="1611">
        <v>2.2727272727272727E-4</v>
      </c>
      <c r="JI37" s="1611">
        <v>4.7829545454545458E-2</v>
      </c>
      <c r="JJ37" s="1611" t="s">
        <v>270</v>
      </c>
      <c r="JK37" s="1607">
        <f t="shared" si="9"/>
        <v>4.0000000000000036E-3</v>
      </c>
      <c r="JL37" s="1608" t="s">
        <v>270</v>
      </c>
      <c r="JM37" s="1610" t="s">
        <v>2924</v>
      </c>
      <c r="JN37" s="1608">
        <v>0</v>
      </c>
      <c r="JO37" s="1609" t="s">
        <v>2923</v>
      </c>
      <c r="JP37" s="1608" t="s">
        <v>270</v>
      </c>
      <c r="JQ37" s="1607">
        <v>202103</v>
      </c>
      <c r="JR37" s="1606">
        <v>15</v>
      </c>
      <c r="JS37" s="1606">
        <v>22</v>
      </c>
      <c r="JT37" s="1606">
        <v>22</v>
      </c>
    </row>
    <row r="38" spans="1:280" ht="15" customHeight="1" x14ac:dyDescent="0.2">
      <c r="A38" s="1626">
        <v>50110</v>
      </c>
      <c r="B38" s="1625">
        <v>501</v>
      </c>
      <c r="C38" s="1624">
        <v>10</v>
      </c>
      <c r="D38" s="1623" t="s">
        <v>3696</v>
      </c>
      <c r="E38" s="1622">
        <v>44112</v>
      </c>
      <c r="F38" s="1620">
        <v>1.0958187475803327</v>
      </c>
      <c r="G38" s="1620">
        <v>1.0910462946196657</v>
      </c>
      <c r="H38" s="1621">
        <v>86.7</v>
      </c>
      <c r="I38" s="1621">
        <v>81.3</v>
      </c>
      <c r="J38" s="1621">
        <v>90</v>
      </c>
      <c r="K38" s="1620">
        <v>1</v>
      </c>
      <c r="L38" s="1620">
        <v>86.7</v>
      </c>
      <c r="M38" s="1620">
        <v>8.8000000000000007</v>
      </c>
      <c r="N38" s="1620">
        <v>2.6</v>
      </c>
      <c r="O38" s="1620">
        <v>1.8</v>
      </c>
      <c r="P38" s="1620">
        <v>4.8</v>
      </c>
      <c r="Q38" s="1603"/>
      <c r="R38" s="1620">
        <v>76.07765357142857</v>
      </c>
      <c r="S38" s="1620">
        <v>30</v>
      </c>
      <c r="T38" s="1620">
        <v>41.382113821138198</v>
      </c>
      <c r="U38" s="1620">
        <v>45.934959349593498</v>
      </c>
      <c r="V38" s="1620">
        <v>50.032520325203301</v>
      </c>
      <c r="W38" s="1620">
        <v>52.764227642276403</v>
      </c>
      <c r="X38" s="1620"/>
      <c r="Y38" s="1620">
        <v>0.55363321799307952</v>
      </c>
      <c r="Z38" s="1620">
        <v>3.3448673587081892</v>
      </c>
      <c r="AA38" s="1620">
        <v>0.13840830449826988</v>
      </c>
      <c r="AB38" s="1620">
        <v>1.8872266973532823</v>
      </c>
      <c r="AC38" s="1620">
        <v>5.0519031141868513</v>
      </c>
      <c r="AD38" s="1620">
        <v>1.107266435986159</v>
      </c>
      <c r="AE38" s="1620">
        <v>1.1000000000000001</v>
      </c>
      <c r="AF38" s="1620">
        <v>41.487889273356402</v>
      </c>
      <c r="AG38" s="1620">
        <v>3.6447520184544406</v>
      </c>
      <c r="AH38" s="1620">
        <v>13.056516724336793</v>
      </c>
      <c r="AI38" s="1620">
        <v>30.738177623990772</v>
      </c>
      <c r="AJ38" s="1620">
        <v>0</v>
      </c>
      <c r="AK38" s="1620">
        <v>0.04</v>
      </c>
      <c r="AL38" s="1620"/>
      <c r="AM38" s="1620">
        <v>3.9108073817762397</v>
      </c>
      <c r="AN38" s="1620">
        <v>1.7441522491349482</v>
      </c>
      <c r="AO38" s="1620">
        <v>2.4499538638985001</v>
      </c>
      <c r="AP38" s="1620">
        <v>3.518904267589388</v>
      </c>
      <c r="AQ38" s="1620">
        <v>1.3644521337946944</v>
      </c>
      <c r="AR38" s="1620">
        <v>3.6379008073817758</v>
      </c>
      <c r="AS38" s="1620">
        <v>6.906251441753172</v>
      </c>
      <c r="AT38" s="1620">
        <v>2.3156516724336793</v>
      </c>
      <c r="AU38" s="1620">
        <v>4.7070934256055361</v>
      </c>
      <c r="AV38" s="1620">
        <v>3.1929988465974626</v>
      </c>
      <c r="AW38" s="1620">
        <v>5.181003460207612</v>
      </c>
      <c r="AX38" s="1620"/>
      <c r="AY38" s="1620">
        <v>0.94</v>
      </c>
      <c r="AZ38" s="1620">
        <v>1.08</v>
      </c>
      <c r="BA38" s="1620">
        <v>1.03</v>
      </c>
      <c r="BB38" s="1620">
        <v>0.95</v>
      </c>
      <c r="BC38" s="1620">
        <v>0.96</v>
      </c>
      <c r="BD38" s="1620">
        <v>1</v>
      </c>
      <c r="BE38" s="1620">
        <v>1.01</v>
      </c>
      <c r="BF38" s="1620">
        <v>1</v>
      </c>
      <c r="BG38" s="1620">
        <v>1.04</v>
      </c>
      <c r="BH38" s="1620">
        <v>0.97</v>
      </c>
      <c r="BI38" s="1620">
        <v>0.96</v>
      </c>
      <c r="BJ38" s="1603"/>
      <c r="BK38" s="1620">
        <v>10.149942329873127</v>
      </c>
      <c r="BL38" s="1620">
        <v>2.9988465974625145</v>
      </c>
      <c r="BM38" s="1620">
        <v>2.0761245674740483</v>
      </c>
      <c r="BN38" s="1620">
        <v>5.6470588235294121</v>
      </c>
      <c r="BO38" s="1620"/>
      <c r="BP38" s="1620">
        <v>120</v>
      </c>
      <c r="BQ38" s="1620">
        <v>36.705882352941174</v>
      </c>
      <c r="BR38" s="1620">
        <v>1.2639201240834288</v>
      </c>
      <c r="BS38" s="1620">
        <v>1.2584155647285649</v>
      </c>
      <c r="BT38" s="1603"/>
      <c r="BU38" s="1620">
        <v>979.23875432525949</v>
      </c>
      <c r="BV38" s="1620">
        <v>652.00543746910512</v>
      </c>
      <c r="BW38" s="1620">
        <v>75.541275333662952</v>
      </c>
      <c r="BX38" s="1620">
        <v>604</v>
      </c>
      <c r="BY38" s="1620">
        <v>21.000000000000004</v>
      </c>
      <c r="BZ38" s="1620">
        <v>56</v>
      </c>
      <c r="CA38" s="1620">
        <v>165</v>
      </c>
      <c r="CB38" s="1603"/>
      <c r="CC38" s="1603">
        <v>0.47999999999999993</v>
      </c>
      <c r="CD38" s="1603">
        <v>2.9</v>
      </c>
      <c r="CE38" s="1603">
        <v>0.11999999999999998</v>
      </c>
      <c r="CF38" s="1603">
        <v>1.6362255466052957</v>
      </c>
      <c r="CG38" s="1603">
        <v>4.38</v>
      </c>
      <c r="CH38" s="1603">
        <v>0.95999999999999985</v>
      </c>
      <c r="CI38" s="1603">
        <v>0.9537000000000001</v>
      </c>
      <c r="CJ38" s="1603"/>
      <c r="CK38" s="1603">
        <v>35.97</v>
      </c>
      <c r="CL38" s="1603">
        <v>3.16</v>
      </c>
      <c r="CM38" s="1603">
        <v>11.32</v>
      </c>
      <c r="CN38" s="1603">
        <v>26.65</v>
      </c>
      <c r="CO38" s="1603">
        <v>0</v>
      </c>
      <c r="CP38" s="1603">
        <v>3.4680000000000002E-2</v>
      </c>
      <c r="CQ38" s="1603">
        <v>66.948335142857147</v>
      </c>
      <c r="CR38" s="1603">
        <v>61.094350950542825</v>
      </c>
      <c r="CS38" s="1603">
        <v>2.245925443612784</v>
      </c>
      <c r="CT38" s="1603">
        <v>1.1508247758941546</v>
      </c>
      <c r="CU38" s="1603">
        <v>1.5416869140886296</v>
      </c>
      <c r="CV38" s="1603">
        <v>2.6925116899827843</v>
      </c>
      <c r="CW38" s="1603">
        <v>2.0423591367119545</v>
      </c>
      <c r="CX38" s="1603">
        <v>0.80025904816579263</v>
      </c>
      <c r="CY38" s="1603">
        <v>2.2225518864944527</v>
      </c>
      <c r="CZ38" s="1603">
        <v>4.2615227882851219</v>
      </c>
      <c r="DA38" s="1603">
        <v>1.4147323595487462</v>
      </c>
      <c r="DB38" s="1603">
        <v>2.9907989040897496</v>
      </c>
      <c r="DC38" s="1603">
        <v>1.892219663551427</v>
      </c>
      <c r="DD38" s="1603">
        <v>4.8830185676411766</v>
      </c>
      <c r="DE38" s="1603">
        <v>3.0386884192694459</v>
      </c>
      <c r="DF38" s="1603">
        <v>0</v>
      </c>
      <c r="DG38" s="1603">
        <v>0</v>
      </c>
      <c r="DH38" s="1603">
        <v>0</v>
      </c>
      <c r="DI38" s="1603">
        <v>0</v>
      </c>
      <c r="DJ38" s="1603">
        <v>0</v>
      </c>
      <c r="DK38" s="1603">
        <v>0</v>
      </c>
      <c r="DL38" s="1603">
        <v>0</v>
      </c>
      <c r="DM38" s="1603">
        <v>0</v>
      </c>
      <c r="DN38" s="1603">
        <v>0</v>
      </c>
      <c r="DO38" s="1603">
        <v>0</v>
      </c>
      <c r="DP38" s="1603">
        <v>0</v>
      </c>
      <c r="DQ38" s="1603">
        <v>0</v>
      </c>
      <c r="DR38" s="1603">
        <v>0</v>
      </c>
      <c r="DS38" s="1603">
        <v>0</v>
      </c>
      <c r="DT38" s="1603">
        <v>0</v>
      </c>
      <c r="DU38" s="1603">
        <v>0</v>
      </c>
      <c r="DV38" s="1603">
        <v>0</v>
      </c>
      <c r="DW38" s="1618" t="s">
        <v>3688</v>
      </c>
      <c r="DX38" s="1605">
        <v>30</v>
      </c>
      <c r="DY38" s="1605">
        <v>30</v>
      </c>
      <c r="DZ38" s="1605">
        <v>16</v>
      </c>
      <c r="EA38" s="1605">
        <v>16</v>
      </c>
      <c r="EB38" s="1605" t="s">
        <v>986</v>
      </c>
      <c r="EC38" s="1605">
        <v>16</v>
      </c>
      <c r="ED38" s="1605">
        <v>16</v>
      </c>
      <c r="EE38" s="1605">
        <v>16</v>
      </c>
      <c r="EF38" s="1605">
        <v>16</v>
      </c>
      <c r="EG38" s="1605">
        <v>16</v>
      </c>
      <c r="EH38" s="1605" t="s">
        <v>986</v>
      </c>
      <c r="EI38" s="1605" t="s">
        <v>986</v>
      </c>
      <c r="EJ38" s="1605" t="s">
        <v>986</v>
      </c>
      <c r="EK38" s="1605" t="s">
        <v>986</v>
      </c>
      <c r="EL38" s="1605" t="s">
        <v>986</v>
      </c>
      <c r="EM38" s="1605" t="s">
        <v>986</v>
      </c>
      <c r="EN38" s="1605" t="s">
        <v>986</v>
      </c>
      <c r="EO38" s="1605" t="s">
        <v>986</v>
      </c>
      <c r="EP38" s="1605" t="s">
        <v>986</v>
      </c>
      <c r="EQ38" s="1605" t="s">
        <v>986</v>
      </c>
      <c r="ER38" s="1605" t="s">
        <v>986</v>
      </c>
      <c r="ES38" s="1605">
        <v>16</v>
      </c>
      <c r="ET38" s="1605">
        <v>30</v>
      </c>
      <c r="EU38" s="1605">
        <v>14</v>
      </c>
      <c r="EV38" s="1605">
        <v>14</v>
      </c>
      <c r="EW38" s="1605">
        <v>14</v>
      </c>
      <c r="EX38" s="1605">
        <v>14</v>
      </c>
      <c r="EY38" s="1605" t="s">
        <v>986</v>
      </c>
      <c r="EZ38" s="1605">
        <v>14</v>
      </c>
      <c r="FA38" s="1605">
        <v>14</v>
      </c>
      <c r="FB38" s="1605">
        <v>14</v>
      </c>
      <c r="FC38" s="1605">
        <v>14</v>
      </c>
      <c r="FD38" s="1605" t="s">
        <v>986</v>
      </c>
      <c r="FE38" s="1605" t="s">
        <v>986</v>
      </c>
      <c r="FF38" s="1605">
        <v>0.35149925197350151</v>
      </c>
      <c r="FG38" s="1605">
        <v>0.27411457166982267</v>
      </c>
      <c r="FH38" s="1605">
        <v>0.17421133088142229</v>
      </c>
      <c r="FI38" s="1605">
        <v>0.129370060958614</v>
      </c>
      <c r="FJ38" s="1605" t="s">
        <v>986</v>
      </c>
      <c r="FK38" s="1605">
        <v>0.95538194654546582</v>
      </c>
      <c r="FL38" s="1605">
        <v>0.95777519979029246</v>
      </c>
      <c r="FM38" s="1605" t="s">
        <v>986</v>
      </c>
      <c r="FN38" s="1605">
        <v>1.696898289495127</v>
      </c>
      <c r="FO38" s="1605">
        <v>1.4319749138707372</v>
      </c>
      <c r="FP38" s="1605" t="s">
        <v>986</v>
      </c>
      <c r="FQ38" s="1605" t="s">
        <v>986</v>
      </c>
      <c r="FR38" s="1605" t="s">
        <v>986</v>
      </c>
      <c r="FS38" s="1605" t="s">
        <v>986</v>
      </c>
      <c r="FT38" s="1605" t="s">
        <v>986</v>
      </c>
      <c r="FU38" s="1605" t="s">
        <v>986</v>
      </c>
      <c r="FV38" s="1605" t="s">
        <v>986</v>
      </c>
      <c r="FW38" s="1605" t="s">
        <v>986</v>
      </c>
      <c r="FX38" s="1605" t="s">
        <v>986</v>
      </c>
      <c r="FY38" s="1605" t="s">
        <v>986</v>
      </c>
      <c r="FZ38" s="1605" t="s">
        <v>986</v>
      </c>
      <c r="GA38" s="1605">
        <v>5.3672371993857354E-2</v>
      </c>
      <c r="GB38" s="1605">
        <v>0.17439594327076505</v>
      </c>
      <c r="GC38" s="1605">
        <v>2.7127609512308415E-2</v>
      </c>
      <c r="GD38" s="1605">
        <v>0.2</v>
      </c>
      <c r="GE38" s="1605">
        <v>0.23043384507123194</v>
      </c>
      <c r="GF38" s="1605">
        <v>4.2856057744731911E-2</v>
      </c>
      <c r="GG38" s="1605" t="s">
        <v>986</v>
      </c>
      <c r="GH38" s="1605">
        <v>5.8651002182525325</v>
      </c>
      <c r="GI38" s="1605">
        <v>0.89447276452516822</v>
      </c>
      <c r="GJ38" s="1605">
        <v>0.8631644256382206</v>
      </c>
      <c r="GK38" s="1605">
        <v>1.5131341652248276</v>
      </c>
      <c r="GL38" s="1605" t="s">
        <v>986</v>
      </c>
      <c r="GM38" s="1605" t="s">
        <v>986</v>
      </c>
      <c r="GN38" s="1605" t="s">
        <v>1763</v>
      </c>
      <c r="GO38" s="1605" t="s">
        <v>1763</v>
      </c>
      <c r="GP38" s="1605" t="s">
        <v>1763</v>
      </c>
      <c r="GQ38" s="1605" t="s">
        <v>1763</v>
      </c>
      <c r="GR38" s="1605" t="s">
        <v>1763</v>
      </c>
      <c r="GS38" s="1605" t="s">
        <v>1763</v>
      </c>
      <c r="GT38" s="1605" t="s">
        <v>1763</v>
      </c>
      <c r="GU38" s="1605" t="s">
        <v>1763</v>
      </c>
      <c r="GV38" s="1605" t="s">
        <v>1763</v>
      </c>
      <c r="GW38" s="1605" t="s">
        <v>1763</v>
      </c>
      <c r="GX38" s="1605" t="s">
        <v>1763</v>
      </c>
      <c r="GY38" s="1605" t="s">
        <v>1763</v>
      </c>
      <c r="GZ38" s="1605" t="s">
        <v>1763</v>
      </c>
      <c r="HA38" s="1605" t="s">
        <v>1763</v>
      </c>
      <c r="HB38" s="1605" t="s">
        <v>1763</v>
      </c>
      <c r="HC38" s="1605" t="s">
        <v>1763</v>
      </c>
      <c r="HD38" s="1605" t="s">
        <v>1763</v>
      </c>
      <c r="HE38" s="1605" t="s">
        <v>1763</v>
      </c>
      <c r="HF38" s="1605" t="s">
        <v>1763</v>
      </c>
      <c r="HG38" s="1605" t="s">
        <v>1763</v>
      </c>
      <c r="HH38" s="1605" t="s">
        <v>1763</v>
      </c>
      <c r="HI38" s="1605" t="s">
        <v>1763</v>
      </c>
      <c r="HJ38" s="1605" t="s">
        <v>1763</v>
      </c>
      <c r="HK38" s="1605" t="s">
        <v>1763</v>
      </c>
      <c r="HL38" s="1605" t="s">
        <v>1578</v>
      </c>
      <c r="HM38" s="1605" t="s">
        <v>1763</v>
      </c>
      <c r="HN38" s="1605" t="s">
        <v>1763</v>
      </c>
      <c r="HO38" s="1605" t="s">
        <v>986</v>
      </c>
      <c r="HP38" s="1605" t="s">
        <v>1763</v>
      </c>
      <c r="HQ38" s="1605" t="s">
        <v>1763</v>
      </c>
      <c r="HR38" s="1605" t="s">
        <v>1763</v>
      </c>
      <c r="HS38" s="1605" t="s">
        <v>1763</v>
      </c>
      <c r="HT38" s="1605" t="s">
        <v>1763</v>
      </c>
      <c r="HU38" s="1605" t="s">
        <v>1763</v>
      </c>
      <c r="HV38" s="1617"/>
      <c r="HW38" s="1617" t="s">
        <v>3694</v>
      </c>
      <c r="HX38" s="1617" t="s">
        <v>3686</v>
      </c>
      <c r="HY38" s="1617" t="s">
        <v>3685</v>
      </c>
      <c r="HZ38" s="1603"/>
      <c r="IA38" s="1603"/>
      <c r="IB38" s="1603"/>
      <c r="IC38" s="1603">
        <v>54.8130081300813</v>
      </c>
      <c r="ID38" s="1603">
        <v>56.178861788617901</v>
      </c>
      <c r="IE38" s="1603">
        <v>57.317073170731703</v>
      </c>
      <c r="IF38" s="1603">
        <v>58</v>
      </c>
      <c r="IG38" s="1611" t="s">
        <v>3683</v>
      </c>
      <c r="IH38" s="1616" t="s">
        <v>3682</v>
      </c>
      <c r="II38" s="1615" t="s">
        <v>275</v>
      </c>
      <c r="IJ38" s="1613">
        <v>0.41826136363636363</v>
      </c>
      <c r="IK38" s="1613">
        <v>0.41826136363636363</v>
      </c>
      <c r="IL38" s="1614">
        <v>0.41826136363636363</v>
      </c>
      <c r="IM38" s="1614">
        <v>0.41826136363636363</v>
      </c>
      <c r="IN38" s="1612">
        <v>0.52200000000000002</v>
      </c>
      <c r="IO38" s="1613">
        <v>0.10373863636363639</v>
      </c>
      <c r="IP38" s="1607" t="s">
        <v>270</v>
      </c>
      <c r="IQ38" s="1612">
        <v>2.2000000000000002</v>
      </c>
      <c r="IR38" s="1612">
        <v>0.154</v>
      </c>
      <c r="IS38" s="1607">
        <v>0.41426136363636362</v>
      </c>
      <c r="IT38" s="1607">
        <v>0.41426136363636362</v>
      </c>
      <c r="IU38" s="1611">
        <v>1.1363636363636365E-5</v>
      </c>
      <c r="IV38" s="1611">
        <v>1.0568181818181818E-3</v>
      </c>
      <c r="IW38" s="1611">
        <v>7.8409090909090898E-4</v>
      </c>
      <c r="IX38" s="1611">
        <v>1.0909090909090907E-3</v>
      </c>
      <c r="IY38" s="1611">
        <v>7.9545454545454537E-4</v>
      </c>
      <c r="IZ38" s="1611">
        <v>8.0340909090909091E-3</v>
      </c>
      <c r="JA38" s="1611">
        <v>1.8181818181818183E-4</v>
      </c>
      <c r="JB38" s="1611" t="s">
        <v>270</v>
      </c>
      <c r="JC38" s="1611">
        <v>6.9750000000000006E-2</v>
      </c>
      <c r="JD38" s="1611">
        <v>1.9772727272727273E-3</v>
      </c>
      <c r="JE38" s="1611" t="s">
        <v>270</v>
      </c>
      <c r="JF38" s="1611">
        <v>2.5000000000000001E-4</v>
      </c>
      <c r="JG38" s="1611">
        <v>4.3789545454545458</v>
      </c>
      <c r="JH38" s="1611">
        <v>2.2727272727272727E-4</v>
      </c>
      <c r="JI38" s="1611">
        <v>4.7829545454545458E-2</v>
      </c>
      <c r="JJ38" s="1611" t="s">
        <v>270</v>
      </c>
      <c r="JK38" s="1607">
        <f t="shared" si="9"/>
        <v>4.0000000000000036E-3</v>
      </c>
      <c r="JL38" s="1608" t="s">
        <v>270</v>
      </c>
      <c r="JM38" s="1610" t="s">
        <v>2924</v>
      </c>
      <c r="JN38" s="1608">
        <v>0</v>
      </c>
      <c r="JO38" s="1609" t="s">
        <v>2923</v>
      </c>
      <c r="JP38" s="1608" t="s">
        <v>270</v>
      </c>
      <c r="JQ38" s="1607">
        <v>202103</v>
      </c>
      <c r="JR38" s="1606">
        <v>15</v>
      </c>
      <c r="JS38" s="1606">
        <v>22</v>
      </c>
      <c r="JT38" s="1606">
        <v>22</v>
      </c>
    </row>
    <row r="39" spans="1:280" ht="15" customHeight="1" x14ac:dyDescent="0.2">
      <c r="A39" s="1626">
        <v>50111</v>
      </c>
      <c r="B39" s="1625">
        <v>501</v>
      </c>
      <c r="C39" s="1624">
        <v>11</v>
      </c>
      <c r="D39" s="1623" t="s">
        <v>3695</v>
      </c>
      <c r="E39" s="1622">
        <v>44112</v>
      </c>
      <c r="F39" s="1620">
        <v>1.1019816395663953</v>
      </c>
      <c r="G39" s="1620">
        <v>1.0953779272727269</v>
      </c>
      <c r="H39" s="1621">
        <v>86.7</v>
      </c>
      <c r="I39" s="1621">
        <v>81.8</v>
      </c>
      <c r="J39" s="1621">
        <v>90</v>
      </c>
      <c r="K39" s="1620">
        <v>1</v>
      </c>
      <c r="L39" s="1620">
        <v>86.7</v>
      </c>
      <c r="M39" s="1620">
        <v>8.8000000000000007</v>
      </c>
      <c r="N39" s="1620">
        <v>2.6</v>
      </c>
      <c r="O39" s="1620">
        <v>1.8</v>
      </c>
      <c r="P39" s="1620">
        <v>4.8</v>
      </c>
      <c r="Q39" s="1603"/>
      <c r="R39" s="1620">
        <v>76.532475000000005</v>
      </c>
      <c r="S39" s="1620">
        <v>30</v>
      </c>
      <c r="T39" s="1620">
        <v>41.382113821138198</v>
      </c>
      <c r="U39" s="1620">
        <v>45.934959349593498</v>
      </c>
      <c r="V39" s="1620">
        <v>50.032520325203301</v>
      </c>
      <c r="W39" s="1620">
        <v>52.764227642276403</v>
      </c>
      <c r="X39" s="1620"/>
      <c r="Y39" s="1620">
        <v>0.55363321799307952</v>
      </c>
      <c r="Z39" s="1620">
        <v>3.3448673587081892</v>
      </c>
      <c r="AA39" s="1620">
        <v>0.13840830449826988</v>
      </c>
      <c r="AB39" s="1620">
        <v>1.8872266973532823</v>
      </c>
      <c r="AC39" s="1620">
        <v>5.0519031141868513</v>
      </c>
      <c r="AD39" s="1620">
        <v>1.107266435986159</v>
      </c>
      <c r="AE39" s="1620">
        <v>1.1000000000000001</v>
      </c>
      <c r="AF39" s="1620">
        <v>41.487889273356402</v>
      </c>
      <c r="AG39" s="1620">
        <v>3.6447520184544406</v>
      </c>
      <c r="AH39" s="1620">
        <v>13.056516724336793</v>
      </c>
      <c r="AI39" s="1620">
        <v>30.738177623990772</v>
      </c>
      <c r="AJ39" s="1620">
        <v>0</v>
      </c>
      <c r="AK39" s="1620">
        <v>0.04</v>
      </c>
      <c r="AL39" s="1620"/>
      <c r="AM39" s="1620">
        <v>3.9108073817762397</v>
      </c>
      <c r="AN39" s="1620">
        <v>1.7441522491349482</v>
      </c>
      <c r="AO39" s="1620">
        <v>2.4499538638985001</v>
      </c>
      <c r="AP39" s="1620">
        <v>3.518904267589388</v>
      </c>
      <c r="AQ39" s="1620">
        <v>1.3644521337946944</v>
      </c>
      <c r="AR39" s="1620">
        <v>3.6379008073817758</v>
      </c>
      <c r="AS39" s="1620">
        <v>6.906251441753172</v>
      </c>
      <c r="AT39" s="1620">
        <v>2.3156516724336793</v>
      </c>
      <c r="AU39" s="1620">
        <v>4.7070934256055361</v>
      </c>
      <c r="AV39" s="1620">
        <v>3.1929988465974626</v>
      </c>
      <c r="AW39" s="1620">
        <v>5.181003460207612</v>
      </c>
      <c r="AX39" s="1620"/>
      <c r="AY39" s="1620">
        <v>0.94</v>
      </c>
      <c r="AZ39" s="1620">
        <v>1.08</v>
      </c>
      <c r="BA39" s="1620">
        <v>1.03</v>
      </c>
      <c r="BB39" s="1620">
        <v>0.95</v>
      </c>
      <c r="BC39" s="1620">
        <v>0.96</v>
      </c>
      <c r="BD39" s="1620">
        <v>1</v>
      </c>
      <c r="BE39" s="1620">
        <v>1.01</v>
      </c>
      <c r="BF39" s="1620">
        <v>1</v>
      </c>
      <c r="BG39" s="1620">
        <v>1.04</v>
      </c>
      <c r="BH39" s="1620">
        <v>0.97</v>
      </c>
      <c r="BI39" s="1620">
        <v>0.96</v>
      </c>
      <c r="BJ39" s="1603"/>
      <c r="BK39" s="1620">
        <v>10.149942329873127</v>
      </c>
      <c r="BL39" s="1620">
        <v>2.9988465974625145</v>
      </c>
      <c r="BM39" s="1620">
        <v>2.0761245674740483</v>
      </c>
      <c r="BN39" s="1620">
        <v>5.6470588235294121</v>
      </c>
      <c r="BO39" s="1620"/>
      <c r="BP39" s="1620">
        <v>120</v>
      </c>
      <c r="BQ39" s="1620">
        <v>36.705882352941174</v>
      </c>
      <c r="BR39" s="1620">
        <v>1.2710284193384027</v>
      </c>
      <c r="BS39" s="1620">
        <v>1.263411680822061</v>
      </c>
      <c r="BT39" s="1603"/>
      <c r="BU39" s="1620">
        <v>979.23875432525949</v>
      </c>
      <c r="BV39" s="1620">
        <v>658.99999999999977</v>
      </c>
      <c r="BW39" s="1620">
        <v>68.546712802768241</v>
      </c>
      <c r="BX39" s="1620">
        <v>604</v>
      </c>
      <c r="BY39" s="1620">
        <v>21.000000000000004</v>
      </c>
      <c r="BZ39" s="1620">
        <v>56</v>
      </c>
      <c r="CA39" s="1620">
        <v>165</v>
      </c>
      <c r="CB39" s="1603"/>
      <c r="CC39" s="1603">
        <v>0.47999999999999993</v>
      </c>
      <c r="CD39" s="1603">
        <v>2.9</v>
      </c>
      <c r="CE39" s="1603">
        <v>0.11999999999999998</v>
      </c>
      <c r="CF39" s="1603">
        <v>1.6362255466052957</v>
      </c>
      <c r="CG39" s="1603">
        <v>4.38</v>
      </c>
      <c r="CH39" s="1603">
        <v>0.95999999999999985</v>
      </c>
      <c r="CI39" s="1603">
        <v>0.9537000000000001</v>
      </c>
      <c r="CJ39" s="1603"/>
      <c r="CK39" s="1603">
        <v>35.97</v>
      </c>
      <c r="CL39" s="1603">
        <v>3.16</v>
      </c>
      <c r="CM39" s="1603">
        <v>11.32</v>
      </c>
      <c r="CN39" s="1603">
        <v>26.65</v>
      </c>
      <c r="CO39" s="1603">
        <v>0</v>
      </c>
      <c r="CP39" s="1603">
        <v>3.4680000000000002E-2</v>
      </c>
      <c r="CQ39" s="1603">
        <v>67.348578000000003</v>
      </c>
      <c r="CR39" s="1603">
        <v>61.115880321291144</v>
      </c>
      <c r="CS39" s="1603">
        <v>2.2467168975000309</v>
      </c>
      <c r="CT39" s="1603">
        <v>1.1512303212986164</v>
      </c>
      <c r="CU39" s="1603">
        <v>1.542230197528667</v>
      </c>
      <c r="CV39" s="1603">
        <v>2.6934605188272833</v>
      </c>
      <c r="CW39" s="1603">
        <v>2.0430788547606995</v>
      </c>
      <c r="CX39" s="1603">
        <v>0.80054105580601798</v>
      </c>
      <c r="CY39" s="1603">
        <v>2.2233351036467299</v>
      </c>
      <c r="CZ39" s="1603">
        <v>4.2630245294876055</v>
      </c>
      <c r="DA39" s="1603">
        <v>1.4152309047825442</v>
      </c>
      <c r="DB39" s="1603">
        <v>2.9918528479886208</v>
      </c>
      <c r="DC39" s="1603">
        <v>1.89288647313431</v>
      </c>
      <c r="DD39" s="1603">
        <v>4.8847393211229306</v>
      </c>
      <c r="DE39" s="1603">
        <v>3.0397592392151398</v>
      </c>
      <c r="DF39" s="1603">
        <v>0</v>
      </c>
      <c r="DG39" s="1603">
        <v>0</v>
      </c>
      <c r="DH39" s="1603">
        <v>0</v>
      </c>
      <c r="DI39" s="1603">
        <v>0</v>
      </c>
      <c r="DJ39" s="1603">
        <v>0</v>
      </c>
      <c r="DK39" s="1603">
        <v>0</v>
      </c>
      <c r="DL39" s="1603">
        <v>0</v>
      </c>
      <c r="DM39" s="1603">
        <v>0</v>
      </c>
      <c r="DN39" s="1603">
        <v>0</v>
      </c>
      <c r="DO39" s="1603">
        <v>0</v>
      </c>
      <c r="DP39" s="1603">
        <v>0</v>
      </c>
      <c r="DQ39" s="1603">
        <v>0</v>
      </c>
      <c r="DR39" s="1603">
        <v>0</v>
      </c>
      <c r="DS39" s="1603">
        <v>0</v>
      </c>
      <c r="DT39" s="1603">
        <v>0</v>
      </c>
      <c r="DU39" s="1603">
        <v>0</v>
      </c>
      <c r="DV39" s="1603">
        <v>0</v>
      </c>
      <c r="DW39" s="1618" t="s">
        <v>3688</v>
      </c>
      <c r="DX39" s="1605">
        <v>30</v>
      </c>
      <c r="DY39" s="1605">
        <v>30</v>
      </c>
      <c r="DZ39" s="1605">
        <v>16</v>
      </c>
      <c r="EA39" s="1605">
        <v>16</v>
      </c>
      <c r="EB39" s="1605" t="s">
        <v>986</v>
      </c>
      <c r="EC39" s="1605">
        <v>16</v>
      </c>
      <c r="ED39" s="1605">
        <v>16</v>
      </c>
      <c r="EE39" s="1605">
        <v>16</v>
      </c>
      <c r="EF39" s="1605">
        <v>16</v>
      </c>
      <c r="EG39" s="1605">
        <v>16</v>
      </c>
      <c r="EH39" s="1605" t="s">
        <v>986</v>
      </c>
      <c r="EI39" s="1605" t="s">
        <v>986</v>
      </c>
      <c r="EJ39" s="1605" t="s">
        <v>986</v>
      </c>
      <c r="EK39" s="1605" t="s">
        <v>986</v>
      </c>
      <c r="EL39" s="1605" t="s">
        <v>986</v>
      </c>
      <c r="EM39" s="1605" t="s">
        <v>986</v>
      </c>
      <c r="EN39" s="1605" t="s">
        <v>986</v>
      </c>
      <c r="EO39" s="1605" t="s">
        <v>986</v>
      </c>
      <c r="EP39" s="1605" t="s">
        <v>986</v>
      </c>
      <c r="EQ39" s="1605" t="s">
        <v>986</v>
      </c>
      <c r="ER39" s="1605" t="s">
        <v>986</v>
      </c>
      <c r="ES39" s="1605">
        <v>16</v>
      </c>
      <c r="ET39" s="1605">
        <v>30</v>
      </c>
      <c r="EU39" s="1605">
        <v>14</v>
      </c>
      <c r="EV39" s="1605">
        <v>14</v>
      </c>
      <c r="EW39" s="1605">
        <v>14</v>
      </c>
      <c r="EX39" s="1605">
        <v>14</v>
      </c>
      <c r="EY39" s="1605" t="s">
        <v>986</v>
      </c>
      <c r="EZ39" s="1605">
        <v>14</v>
      </c>
      <c r="FA39" s="1605">
        <v>14</v>
      </c>
      <c r="FB39" s="1605">
        <v>14</v>
      </c>
      <c r="FC39" s="1605">
        <v>14</v>
      </c>
      <c r="FD39" s="1605" t="s">
        <v>986</v>
      </c>
      <c r="FE39" s="1605" t="s">
        <v>986</v>
      </c>
      <c r="FF39" s="1605">
        <v>0.35149925197350151</v>
      </c>
      <c r="FG39" s="1605">
        <v>0.27411457166982267</v>
      </c>
      <c r="FH39" s="1605">
        <v>0.17421133088142229</v>
      </c>
      <c r="FI39" s="1605">
        <v>0.129370060958614</v>
      </c>
      <c r="FJ39" s="1605" t="s">
        <v>986</v>
      </c>
      <c r="FK39" s="1605">
        <v>0.95538194654546582</v>
      </c>
      <c r="FL39" s="1605">
        <v>0.95777519979029246</v>
      </c>
      <c r="FM39" s="1605" t="s">
        <v>986</v>
      </c>
      <c r="FN39" s="1605">
        <v>1.696898289495127</v>
      </c>
      <c r="FO39" s="1605">
        <v>1.4319749138707372</v>
      </c>
      <c r="FP39" s="1605" t="s">
        <v>986</v>
      </c>
      <c r="FQ39" s="1605" t="s">
        <v>986</v>
      </c>
      <c r="FR39" s="1605" t="s">
        <v>986</v>
      </c>
      <c r="FS39" s="1605" t="s">
        <v>986</v>
      </c>
      <c r="FT39" s="1605" t="s">
        <v>986</v>
      </c>
      <c r="FU39" s="1605" t="s">
        <v>986</v>
      </c>
      <c r="FV39" s="1605" t="s">
        <v>986</v>
      </c>
      <c r="FW39" s="1605" t="s">
        <v>986</v>
      </c>
      <c r="FX39" s="1605" t="s">
        <v>986</v>
      </c>
      <c r="FY39" s="1605" t="s">
        <v>986</v>
      </c>
      <c r="FZ39" s="1605" t="s">
        <v>986</v>
      </c>
      <c r="GA39" s="1605">
        <v>5.3672371993857354E-2</v>
      </c>
      <c r="GB39" s="1605">
        <v>0.17439594327076505</v>
      </c>
      <c r="GC39" s="1605">
        <v>2.7127609512308415E-2</v>
      </c>
      <c r="GD39" s="1605">
        <v>0.2</v>
      </c>
      <c r="GE39" s="1605">
        <v>0.23043384507123194</v>
      </c>
      <c r="GF39" s="1605">
        <v>4.2856057744731911E-2</v>
      </c>
      <c r="GG39" s="1605" t="s">
        <v>986</v>
      </c>
      <c r="GH39" s="1605">
        <v>5.8651002182525325</v>
      </c>
      <c r="GI39" s="1605">
        <v>0.89447276452516822</v>
      </c>
      <c r="GJ39" s="1605">
        <v>0.8631644256382206</v>
      </c>
      <c r="GK39" s="1605">
        <v>1.5131341652248276</v>
      </c>
      <c r="GL39" s="1605" t="s">
        <v>986</v>
      </c>
      <c r="GM39" s="1605" t="s">
        <v>986</v>
      </c>
      <c r="GN39" s="1605" t="s">
        <v>1763</v>
      </c>
      <c r="GO39" s="1605" t="s">
        <v>1763</v>
      </c>
      <c r="GP39" s="1605" t="s">
        <v>1763</v>
      </c>
      <c r="GQ39" s="1605" t="s">
        <v>1763</v>
      </c>
      <c r="GR39" s="1605" t="s">
        <v>1763</v>
      </c>
      <c r="GS39" s="1605" t="s">
        <v>1763</v>
      </c>
      <c r="GT39" s="1605" t="s">
        <v>1763</v>
      </c>
      <c r="GU39" s="1605" t="s">
        <v>1763</v>
      </c>
      <c r="GV39" s="1605" t="s">
        <v>1763</v>
      </c>
      <c r="GW39" s="1605" t="s">
        <v>1763</v>
      </c>
      <c r="GX39" s="1605" t="s">
        <v>1763</v>
      </c>
      <c r="GY39" s="1605" t="s">
        <v>1763</v>
      </c>
      <c r="GZ39" s="1605" t="s">
        <v>1763</v>
      </c>
      <c r="HA39" s="1605" t="s">
        <v>1763</v>
      </c>
      <c r="HB39" s="1605" t="s">
        <v>1763</v>
      </c>
      <c r="HC39" s="1605" t="s">
        <v>1763</v>
      </c>
      <c r="HD39" s="1605" t="s">
        <v>1763</v>
      </c>
      <c r="HE39" s="1605" t="s">
        <v>1763</v>
      </c>
      <c r="HF39" s="1605" t="s">
        <v>1763</v>
      </c>
      <c r="HG39" s="1605" t="s">
        <v>1763</v>
      </c>
      <c r="HH39" s="1605" t="s">
        <v>1763</v>
      </c>
      <c r="HI39" s="1605" t="s">
        <v>1763</v>
      </c>
      <c r="HJ39" s="1605" t="s">
        <v>1763</v>
      </c>
      <c r="HK39" s="1605" t="s">
        <v>1763</v>
      </c>
      <c r="HL39" s="1605" t="s">
        <v>1578</v>
      </c>
      <c r="HM39" s="1605" t="s">
        <v>1763</v>
      </c>
      <c r="HN39" s="1605" t="s">
        <v>1763</v>
      </c>
      <c r="HO39" s="1605" t="s">
        <v>986</v>
      </c>
      <c r="HP39" s="1605" t="s">
        <v>1763</v>
      </c>
      <c r="HQ39" s="1605" t="s">
        <v>1763</v>
      </c>
      <c r="HR39" s="1605" t="s">
        <v>1763</v>
      </c>
      <c r="HS39" s="1605" t="s">
        <v>1763</v>
      </c>
      <c r="HT39" s="1605" t="s">
        <v>1763</v>
      </c>
      <c r="HU39" s="1605" t="s">
        <v>1763</v>
      </c>
      <c r="HV39" s="1617"/>
      <c r="HW39" s="1617" t="s">
        <v>3694</v>
      </c>
      <c r="HX39" s="1617" t="s">
        <v>3686</v>
      </c>
      <c r="HY39" s="1617" t="s">
        <v>3685</v>
      </c>
      <c r="HZ39" s="1603"/>
      <c r="IA39" s="1603"/>
      <c r="IB39" s="1603"/>
      <c r="IC39" s="1603">
        <v>54.8130081300813</v>
      </c>
      <c r="ID39" s="1603">
        <v>56.178861788617901</v>
      </c>
      <c r="IE39" s="1603">
        <v>57.317073170731703</v>
      </c>
      <c r="IF39" s="1603">
        <v>58</v>
      </c>
      <c r="IG39" s="1611" t="s">
        <v>3683</v>
      </c>
      <c r="IH39" s="1616" t="s">
        <v>3682</v>
      </c>
      <c r="II39" s="1615" t="s">
        <v>275</v>
      </c>
      <c r="IJ39" s="1613">
        <v>0.41826136363636363</v>
      </c>
      <c r="IK39" s="1613">
        <v>0.41826136363636363</v>
      </c>
      <c r="IL39" s="1614">
        <v>0.41826136363636363</v>
      </c>
      <c r="IM39" s="1614">
        <v>0.41826136363636363</v>
      </c>
      <c r="IN39" s="1612">
        <v>0.52200000000000002</v>
      </c>
      <c r="IO39" s="1613">
        <v>0.10373863636363639</v>
      </c>
      <c r="IP39" s="1607" t="s">
        <v>270</v>
      </c>
      <c r="IQ39" s="1612">
        <v>2.2000000000000002</v>
      </c>
      <c r="IR39" s="1612">
        <v>0.154</v>
      </c>
      <c r="IS39" s="1607">
        <v>0.41426136363636362</v>
      </c>
      <c r="IT39" s="1607">
        <v>0.41426136363636362</v>
      </c>
      <c r="IU39" s="1611">
        <v>1.1363636363636365E-5</v>
      </c>
      <c r="IV39" s="1611">
        <v>1.0568181818181818E-3</v>
      </c>
      <c r="IW39" s="1611">
        <v>7.8409090909090898E-4</v>
      </c>
      <c r="IX39" s="1611">
        <v>1.0909090909090907E-3</v>
      </c>
      <c r="IY39" s="1611">
        <v>7.9545454545454537E-4</v>
      </c>
      <c r="IZ39" s="1611">
        <v>8.0340909090909091E-3</v>
      </c>
      <c r="JA39" s="1611">
        <v>1.8181818181818183E-4</v>
      </c>
      <c r="JB39" s="1611" t="s">
        <v>270</v>
      </c>
      <c r="JC39" s="1611">
        <v>6.9750000000000006E-2</v>
      </c>
      <c r="JD39" s="1611">
        <v>1.9772727272727273E-3</v>
      </c>
      <c r="JE39" s="1611" t="s">
        <v>270</v>
      </c>
      <c r="JF39" s="1611">
        <v>2.5000000000000001E-4</v>
      </c>
      <c r="JG39" s="1611">
        <v>4.3789545454545458</v>
      </c>
      <c r="JH39" s="1611">
        <v>2.2727272727272727E-4</v>
      </c>
      <c r="JI39" s="1611">
        <v>4.7829545454545458E-2</v>
      </c>
      <c r="JJ39" s="1611" t="s">
        <v>270</v>
      </c>
      <c r="JK39" s="1607">
        <f t="shared" si="9"/>
        <v>4.0000000000000036E-3</v>
      </c>
      <c r="JL39" s="1608" t="s">
        <v>270</v>
      </c>
      <c r="JM39" s="1610" t="s">
        <v>2924</v>
      </c>
      <c r="JN39" s="1608">
        <v>0</v>
      </c>
      <c r="JO39" s="1609" t="s">
        <v>2923</v>
      </c>
      <c r="JP39" s="1608" t="s">
        <v>270</v>
      </c>
      <c r="JQ39" s="1607">
        <v>202103</v>
      </c>
      <c r="JR39" s="1606">
        <v>15</v>
      </c>
      <c r="JS39" s="1606">
        <v>22</v>
      </c>
      <c r="JT39" s="1606">
        <v>22</v>
      </c>
    </row>
    <row r="40" spans="1:280" ht="15" customHeight="1" x14ac:dyDescent="0.2">
      <c r="A40" s="1626">
        <v>50050</v>
      </c>
      <c r="B40" s="1625">
        <v>500</v>
      </c>
      <c r="C40" s="1624">
        <v>50</v>
      </c>
      <c r="D40" s="1623" t="s">
        <v>3693</v>
      </c>
      <c r="E40" s="1622">
        <v>44497</v>
      </c>
      <c r="F40" s="1620">
        <v>1.0624132791327916</v>
      </c>
      <c r="G40" s="1620">
        <v>1.0566866025974031</v>
      </c>
      <c r="H40" s="1621">
        <v>84.6</v>
      </c>
      <c r="I40" s="1621">
        <v>80.900000000000006</v>
      </c>
      <c r="J40" s="1621">
        <v>90</v>
      </c>
      <c r="K40" s="1620">
        <v>1</v>
      </c>
      <c r="L40" s="1620">
        <v>85</v>
      </c>
      <c r="M40" s="1620">
        <v>8.6999999999999993</v>
      </c>
      <c r="N40" s="1620">
        <v>2.6</v>
      </c>
      <c r="O40" s="1620">
        <v>1.7</v>
      </c>
      <c r="P40" s="1620">
        <v>4.8</v>
      </c>
      <c r="Q40" s="1603"/>
      <c r="R40" s="1620">
        <v>76.403089655172408</v>
      </c>
      <c r="S40" s="1620">
        <v>43</v>
      </c>
      <c r="T40" s="1620">
        <v>49.097560975609802</v>
      </c>
      <c r="U40" s="1620">
        <v>51.536585365853703</v>
      </c>
      <c r="V40" s="1620">
        <v>53.731707317073202</v>
      </c>
      <c r="W40" s="1620">
        <v>55.195121951219498</v>
      </c>
      <c r="X40" s="1620"/>
      <c r="Y40" s="1620">
        <v>0.47058823529411764</v>
      </c>
      <c r="Z40" s="1620">
        <v>3.2941176470588234</v>
      </c>
      <c r="AA40" s="1620">
        <v>0.11764705882352941</v>
      </c>
      <c r="AB40" s="1620">
        <v>1.8872266973532823</v>
      </c>
      <c r="AC40" s="1620">
        <v>5.0588235294117645</v>
      </c>
      <c r="AD40" s="1620">
        <v>1.0470588235294118</v>
      </c>
      <c r="AE40" s="1620">
        <v>1.1000000000000001</v>
      </c>
      <c r="AF40" s="1620">
        <v>41.788235294117655</v>
      </c>
      <c r="AG40" s="1620">
        <v>2.7411764705882353</v>
      </c>
      <c r="AH40" s="1620">
        <v>12.152941176470588</v>
      </c>
      <c r="AI40" s="1620">
        <v>27.529411764705884</v>
      </c>
      <c r="AJ40" s="1620">
        <v>0</v>
      </c>
      <c r="AK40" s="1620">
        <v>0.04</v>
      </c>
      <c r="AL40" s="1620"/>
      <c r="AM40" s="1620">
        <v>3.8998823529411766</v>
      </c>
      <c r="AN40" s="1620">
        <v>1.7408235294117649</v>
      </c>
      <c r="AO40" s="1620">
        <v>2.4442352941176471</v>
      </c>
      <c r="AP40" s="1620">
        <v>3.5125882352941176</v>
      </c>
      <c r="AQ40" s="1620">
        <v>1.3612941176470588</v>
      </c>
      <c r="AR40" s="1620">
        <v>3.636705882352941</v>
      </c>
      <c r="AS40" s="1620">
        <v>6.9041176470588237</v>
      </c>
      <c r="AT40" s="1620">
        <v>2.3131764705882354</v>
      </c>
      <c r="AU40" s="1620">
        <v>4.716823529411764</v>
      </c>
      <c r="AV40" s="1620">
        <v>3.1947058823529413</v>
      </c>
      <c r="AW40" s="1620">
        <v>5.1758823529411764</v>
      </c>
      <c r="AX40" s="1620"/>
      <c r="AY40" s="1620">
        <v>0.94</v>
      </c>
      <c r="AZ40" s="1620">
        <v>1.08</v>
      </c>
      <c r="BA40" s="1620">
        <v>1.03</v>
      </c>
      <c r="BB40" s="1620">
        <v>0.95</v>
      </c>
      <c r="BC40" s="1620">
        <v>0.96</v>
      </c>
      <c r="BD40" s="1620">
        <v>1</v>
      </c>
      <c r="BE40" s="1620">
        <v>1.01</v>
      </c>
      <c r="BF40" s="1620">
        <v>1</v>
      </c>
      <c r="BG40" s="1620">
        <v>1.04</v>
      </c>
      <c r="BH40" s="1620">
        <v>0.97</v>
      </c>
      <c r="BI40" s="1620">
        <v>0.96</v>
      </c>
      <c r="BJ40" s="1603"/>
      <c r="BK40" s="1620">
        <v>10.235294117647058</v>
      </c>
      <c r="BL40" s="1620">
        <v>3.0588235294117645</v>
      </c>
      <c r="BM40" s="1620">
        <v>2</v>
      </c>
      <c r="BN40" s="1620">
        <v>5.6470588235294121</v>
      </c>
      <c r="BO40" s="1620"/>
      <c r="BP40" s="1620">
        <v>120</v>
      </c>
      <c r="BQ40" s="1620">
        <v>36.705882352941174</v>
      </c>
      <c r="BR40" s="1620">
        <v>1.249897975450343</v>
      </c>
      <c r="BS40" s="1620">
        <v>1.2431607089381211</v>
      </c>
      <c r="BT40" s="1603"/>
      <c r="BU40" s="1620">
        <v>980</v>
      </c>
      <c r="BV40" s="1620">
        <v>654.4682352941179</v>
      </c>
      <c r="BW40" s="1620">
        <v>51.799999999999841</v>
      </c>
      <c r="BX40" s="1620">
        <v>604</v>
      </c>
      <c r="BY40" s="1620">
        <v>21.000000000000004</v>
      </c>
      <c r="BZ40" s="1620">
        <v>56</v>
      </c>
      <c r="CA40" s="1620">
        <v>165</v>
      </c>
      <c r="CB40" s="1603"/>
      <c r="CC40" s="1603">
        <v>0.39999999999999997</v>
      </c>
      <c r="CD40" s="1603">
        <v>2.8</v>
      </c>
      <c r="CE40" s="1603">
        <v>9.9999999999999992E-2</v>
      </c>
      <c r="CF40" s="1603">
        <v>1.60414269275029</v>
      </c>
      <c r="CG40" s="1603">
        <v>4.3</v>
      </c>
      <c r="CH40" s="1603">
        <v>0.89</v>
      </c>
      <c r="CI40" s="1603">
        <v>0.93500000000000005</v>
      </c>
      <c r="CJ40" s="1603"/>
      <c r="CK40" s="1603">
        <v>35.520000000000003</v>
      </c>
      <c r="CL40" s="1603">
        <v>2.33</v>
      </c>
      <c r="CM40" s="1603">
        <v>10.33</v>
      </c>
      <c r="CN40" s="1603">
        <v>23.400000000000002</v>
      </c>
      <c r="CO40" s="1603">
        <v>0</v>
      </c>
      <c r="CP40" s="1603">
        <v>3.4000000000000002E-2</v>
      </c>
      <c r="CQ40" s="1603">
        <v>66.470687999999996</v>
      </c>
      <c r="CR40" s="1603">
        <v>62.565754123722499</v>
      </c>
      <c r="CS40" s="1603">
        <v>2.2935913558122825</v>
      </c>
      <c r="CT40" s="1603">
        <v>1.1762921186708466</v>
      </c>
      <c r="CU40" s="1603">
        <v>1.5751318716525795</v>
      </c>
      <c r="CV40" s="1603">
        <v>2.7514239903234259</v>
      </c>
      <c r="CW40" s="1603">
        <v>2.0877934527392745</v>
      </c>
      <c r="CX40" s="1603">
        <v>0.81763577332584625</v>
      </c>
      <c r="CY40" s="1603">
        <v>2.275332460555894</v>
      </c>
      <c r="CZ40" s="1603">
        <v>4.3628094041860734</v>
      </c>
      <c r="DA40" s="1603">
        <v>1.4472563030360373</v>
      </c>
      <c r="DB40" s="1603">
        <v>3.0691608603361198</v>
      </c>
      <c r="DC40" s="1603">
        <v>1.9388280725091687</v>
      </c>
      <c r="DD40" s="1603">
        <v>5.0079889328452882</v>
      </c>
      <c r="DE40" s="1603">
        <v>3.1087966336073465</v>
      </c>
      <c r="DF40" s="1603">
        <v>0</v>
      </c>
      <c r="DG40" s="1603">
        <v>0</v>
      </c>
      <c r="DH40" s="1603">
        <v>0</v>
      </c>
      <c r="DI40" s="1603">
        <v>0</v>
      </c>
      <c r="DJ40" s="1603">
        <v>0</v>
      </c>
      <c r="DK40" s="1603">
        <v>0</v>
      </c>
      <c r="DL40" s="1603">
        <v>0</v>
      </c>
      <c r="DM40" s="1603">
        <v>0</v>
      </c>
      <c r="DN40" s="1603">
        <v>0</v>
      </c>
      <c r="DO40" s="1603">
        <v>0</v>
      </c>
      <c r="DP40" s="1603">
        <v>0</v>
      </c>
      <c r="DQ40" s="1603">
        <v>0</v>
      </c>
      <c r="DR40" s="1603">
        <v>0</v>
      </c>
      <c r="DS40" s="1603">
        <v>0</v>
      </c>
      <c r="DT40" s="1603">
        <v>0</v>
      </c>
      <c r="DU40" s="1603">
        <v>0</v>
      </c>
      <c r="DV40" s="1603">
        <v>0</v>
      </c>
      <c r="DW40" s="1618" t="s">
        <v>3688</v>
      </c>
      <c r="DX40" s="1605">
        <v>6</v>
      </c>
      <c r="DY40" s="1605">
        <v>6</v>
      </c>
      <c r="DZ40" s="1605">
        <v>3</v>
      </c>
      <c r="EA40" s="1605">
        <v>3</v>
      </c>
      <c r="EB40" s="1605" t="s">
        <v>986</v>
      </c>
      <c r="EC40" s="1605">
        <v>3</v>
      </c>
      <c r="ED40" s="1605">
        <v>3</v>
      </c>
      <c r="EE40" s="1605">
        <v>3</v>
      </c>
      <c r="EF40" s="1605">
        <v>3</v>
      </c>
      <c r="EG40" s="1605">
        <v>3</v>
      </c>
      <c r="EH40" s="1605" t="s">
        <v>986</v>
      </c>
      <c r="EI40" s="1605" t="s">
        <v>986</v>
      </c>
      <c r="EJ40" s="1605" t="s">
        <v>986</v>
      </c>
      <c r="EK40" s="1605" t="s">
        <v>986</v>
      </c>
      <c r="EL40" s="1605" t="s">
        <v>986</v>
      </c>
      <c r="EM40" s="1605" t="s">
        <v>986</v>
      </c>
      <c r="EN40" s="1605" t="s">
        <v>986</v>
      </c>
      <c r="EO40" s="1605" t="s">
        <v>986</v>
      </c>
      <c r="EP40" s="1605" t="s">
        <v>986</v>
      </c>
      <c r="EQ40" s="1605" t="s">
        <v>986</v>
      </c>
      <c r="ER40" s="1605" t="s">
        <v>986</v>
      </c>
      <c r="ES40" s="1605">
        <v>3</v>
      </c>
      <c r="ET40" s="1605">
        <v>6</v>
      </c>
      <c r="EU40" s="1605">
        <v>3</v>
      </c>
      <c r="EV40" s="1605">
        <v>14</v>
      </c>
      <c r="EW40" s="1605">
        <v>3</v>
      </c>
      <c r="EX40" s="1605">
        <v>3</v>
      </c>
      <c r="EY40" s="1605" t="s">
        <v>986</v>
      </c>
      <c r="EZ40" s="1605">
        <v>3</v>
      </c>
      <c r="FA40" s="1605">
        <v>3</v>
      </c>
      <c r="FB40" s="1605">
        <v>3</v>
      </c>
      <c r="FC40" s="1605">
        <v>3</v>
      </c>
      <c r="FD40" s="1605" t="s">
        <v>986</v>
      </c>
      <c r="FE40" s="1605" t="s">
        <v>986</v>
      </c>
      <c r="FF40" s="1605">
        <v>0.64935865795927217</v>
      </c>
      <c r="FG40" s="1605">
        <v>0.17837539088621626</v>
      </c>
      <c r="FH40" s="1605">
        <v>2.8589227211186664E-2</v>
      </c>
      <c r="FI40" s="1605">
        <v>0.2559821591526048</v>
      </c>
      <c r="FJ40" s="1605" t="s">
        <v>986</v>
      </c>
      <c r="FK40" s="1605">
        <v>1.6235199999999921</v>
      </c>
      <c r="FL40" s="1605">
        <v>0.17320508075688607</v>
      </c>
      <c r="FM40" s="1605" t="s">
        <v>986</v>
      </c>
      <c r="FN40" s="1605">
        <v>0.70065596731528146</v>
      </c>
      <c r="FO40" s="1605">
        <v>0.86001621970529429</v>
      </c>
      <c r="FP40" s="1605" t="s">
        <v>986</v>
      </c>
      <c r="FQ40" s="1605" t="s">
        <v>986</v>
      </c>
      <c r="FR40" s="1605" t="s">
        <v>986</v>
      </c>
      <c r="FS40" s="1605" t="s">
        <v>986</v>
      </c>
      <c r="FT40" s="1605" t="s">
        <v>986</v>
      </c>
      <c r="FU40" s="1605" t="s">
        <v>986</v>
      </c>
      <c r="FV40" s="1605" t="s">
        <v>986</v>
      </c>
      <c r="FW40" s="1605" t="s">
        <v>986</v>
      </c>
      <c r="FX40" s="1605" t="s">
        <v>986</v>
      </c>
      <c r="FY40" s="1605" t="s">
        <v>986</v>
      </c>
      <c r="FZ40" s="1605" t="s">
        <v>986</v>
      </c>
      <c r="GA40" s="1605">
        <v>5.6138672548227152E-2</v>
      </c>
      <c r="GB40" s="1605">
        <v>0.19826859021966597</v>
      </c>
      <c r="GC40" s="1605">
        <v>4.8794680053825361E-3</v>
      </c>
      <c r="GD40" s="1605">
        <v>0.2</v>
      </c>
      <c r="GE40" s="1605">
        <v>0.30149975910833943</v>
      </c>
      <c r="GF40" s="1605">
        <v>2.7863678136330939E-2</v>
      </c>
      <c r="GG40" s="1605" t="s">
        <v>986</v>
      </c>
      <c r="GH40" s="1605">
        <v>22.107449071034281</v>
      </c>
      <c r="GI40" s="1605">
        <v>0.43376759993528646</v>
      </c>
      <c r="GJ40" s="1605">
        <v>1.0918777188753275</v>
      </c>
      <c r="GK40" s="1605">
        <v>2.2188526603423528</v>
      </c>
      <c r="GL40" s="1605" t="s">
        <v>986</v>
      </c>
      <c r="GM40" s="1605" t="s">
        <v>986</v>
      </c>
      <c r="GN40" s="1605" t="s">
        <v>1763</v>
      </c>
      <c r="GO40" s="1605" t="s">
        <v>1763</v>
      </c>
      <c r="GP40" s="1605" t="s">
        <v>1763</v>
      </c>
      <c r="GQ40" s="1605" t="s">
        <v>1763</v>
      </c>
      <c r="GR40" s="1605" t="s">
        <v>1763</v>
      </c>
      <c r="GS40" s="1605" t="s">
        <v>1763</v>
      </c>
      <c r="GT40" s="1605" t="s">
        <v>1763</v>
      </c>
      <c r="GU40" s="1605" t="s">
        <v>1763</v>
      </c>
      <c r="GV40" s="1605" t="s">
        <v>1763</v>
      </c>
      <c r="GW40" s="1605" t="s">
        <v>1763</v>
      </c>
      <c r="GX40" s="1605" t="s">
        <v>1763</v>
      </c>
      <c r="GY40" s="1605" t="s">
        <v>1763</v>
      </c>
      <c r="GZ40" s="1605" t="s">
        <v>1763</v>
      </c>
      <c r="HA40" s="1605" t="s">
        <v>1763</v>
      </c>
      <c r="HB40" s="1605" t="s">
        <v>1763</v>
      </c>
      <c r="HC40" s="1605" t="s">
        <v>1763</v>
      </c>
      <c r="HD40" s="1605" t="s">
        <v>1763</v>
      </c>
      <c r="HE40" s="1605" t="s">
        <v>1763</v>
      </c>
      <c r="HF40" s="1605" t="s">
        <v>1763</v>
      </c>
      <c r="HG40" s="1605" t="s">
        <v>1763</v>
      </c>
      <c r="HH40" s="1605" t="s">
        <v>1763</v>
      </c>
      <c r="HI40" s="1605" t="s">
        <v>1763</v>
      </c>
      <c r="HJ40" s="1605" t="s">
        <v>1763</v>
      </c>
      <c r="HK40" s="1605" t="s">
        <v>1763</v>
      </c>
      <c r="HL40" s="1605" t="s">
        <v>1578</v>
      </c>
      <c r="HM40" s="1605" t="s">
        <v>1763</v>
      </c>
      <c r="HN40" s="1605" t="s">
        <v>1763</v>
      </c>
      <c r="HO40" s="1605" t="s">
        <v>986</v>
      </c>
      <c r="HP40" s="1605" t="s">
        <v>1763</v>
      </c>
      <c r="HQ40" s="1605" t="s">
        <v>1763</v>
      </c>
      <c r="HR40" s="1605" t="s">
        <v>1763</v>
      </c>
      <c r="HS40" s="1605" t="s">
        <v>1763</v>
      </c>
      <c r="HT40" s="1605" t="s">
        <v>1763</v>
      </c>
      <c r="HU40" s="1605" t="s">
        <v>1763</v>
      </c>
      <c r="HV40" s="1617"/>
      <c r="HW40" s="1617" t="s">
        <v>3691</v>
      </c>
      <c r="HX40" s="1617" t="s">
        <v>3686</v>
      </c>
      <c r="HY40" s="1617" t="s">
        <v>3685</v>
      </c>
      <c r="HZ40" s="1603"/>
      <c r="IA40" s="1603"/>
      <c r="IB40" s="1603"/>
      <c r="IC40" s="1603">
        <v>56.292682926829301</v>
      </c>
      <c r="ID40" s="1603">
        <v>57.024390243902403</v>
      </c>
      <c r="IE40" s="1603">
        <v>57.634146341463399</v>
      </c>
      <c r="IF40" s="1603">
        <v>58</v>
      </c>
      <c r="IG40" s="1611" t="s">
        <v>3683</v>
      </c>
      <c r="IH40" s="1616" t="s">
        <v>270</v>
      </c>
      <c r="II40" s="1615" t="s">
        <v>270</v>
      </c>
      <c r="IJ40" s="1613">
        <v>0.41826136363636363</v>
      </c>
      <c r="IK40" s="1613">
        <v>0.41826136363636363</v>
      </c>
      <c r="IL40" s="1614">
        <v>0.41826136363636363</v>
      </c>
      <c r="IM40" s="1614">
        <v>0.41826136363636363</v>
      </c>
      <c r="IN40" s="1612" t="s">
        <v>270</v>
      </c>
      <c r="IO40" s="1613" t="s">
        <v>270</v>
      </c>
      <c r="IP40" s="1607" t="s">
        <v>270</v>
      </c>
      <c r="IQ40" s="1612" t="s">
        <v>270</v>
      </c>
      <c r="IR40" s="1612" t="s">
        <v>270</v>
      </c>
      <c r="IS40" s="1607">
        <v>0.41426136363636362</v>
      </c>
      <c r="IT40" s="1607">
        <v>0.41426136363636362</v>
      </c>
      <c r="IU40" s="1611">
        <v>1.1363636363636365E-5</v>
      </c>
      <c r="IV40" s="1611">
        <v>1.0568181818181818E-3</v>
      </c>
      <c r="IW40" s="1611">
        <v>7.8409090909090898E-4</v>
      </c>
      <c r="IX40" s="1611">
        <v>1.0909090909090907E-3</v>
      </c>
      <c r="IY40" s="1611">
        <v>7.9545454545454537E-4</v>
      </c>
      <c r="IZ40" s="1611">
        <v>8.0340909090909091E-3</v>
      </c>
      <c r="JA40" s="1611">
        <v>1.8181818181818183E-4</v>
      </c>
      <c r="JB40" s="1611" t="s">
        <v>270</v>
      </c>
      <c r="JC40" s="1611">
        <v>6.9750000000000006E-2</v>
      </c>
      <c r="JD40" s="1611">
        <v>1.9772727272727273E-3</v>
      </c>
      <c r="JE40" s="1611" t="s">
        <v>270</v>
      </c>
      <c r="JF40" s="1611">
        <v>2.5000000000000001E-4</v>
      </c>
      <c r="JG40" s="1611">
        <v>4.3789545454545458</v>
      </c>
      <c r="JH40" s="1611">
        <v>2.2727272727272727E-4</v>
      </c>
      <c r="JI40" s="1611">
        <v>4.7829545454545458E-2</v>
      </c>
      <c r="JJ40" s="1611" t="s">
        <v>270</v>
      </c>
      <c r="JK40" s="1607">
        <f t="shared" si="9"/>
        <v>4.0000000000000036E-3</v>
      </c>
      <c r="JL40" s="1608" t="s">
        <v>2946</v>
      </c>
      <c r="JM40" s="1610" t="s">
        <v>3205</v>
      </c>
      <c r="JN40" s="1608">
        <v>0</v>
      </c>
      <c r="JO40" s="1609" t="s">
        <v>2923</v>
      </c>
      <c r="JP40" s="1608" t="s">
        <v>270</v>
      </c>
      <c r="JQ40" s="1607">
        <v>202103</v>
      </c>
      <c r="JR40" s="1606">
        <v>15</v>
      </c>
      <c r="JS40" s="1606">
        <v>22</v>
      </c>
      <c r="JT40" s="1606">
        <v>22</v>
      </c>
    </row>
    <row r="41" spans="1:280" ht="15" customHeight="1" x14ac:dyDescent="0.2">
      <c r="A41" s="1626">
        <v>50060</v>
      </c>
      <c r="B41" s="1625">
        <v>500</v>
      </c>
      <c r="C41" s="1624">
        <v>60</v>
      </c>
      <c r="D41" s="1623" t="s">
        <v>3692</v>
      </c>
      <c r="E41" s="1622">
        <v>44497</v>
      </c>
      <c r="F41" s="1620">
        <v>1.0624132791327916</v>
      </c>
      <c r="G41" s="1620">
        <v>1.0566866025974031</v>
      </c>
      <c r="H41" s="1621">
        <v>84.6</v>
      </c>
      <c r="I41" s="1621">
        <v>80.900000000000006</v>
      </c>
      <c r="J41" s="1621">
        <v>90</v>
      </c>
      <c r="K41" s="1620">
        <v>1</v>
      </c>
      <c r="L41" s="1620">
        <v>85</v>
      </c>
      <c r="M41" s="1620">
        <v>8.6999999999999993</v>
      </c>
      <c r="N41" s="1620">
        <v>2.6</v>
      </c>
      <c r="O41" s="1620">
        <v>1.7</v>
      </c>
      <c r="P41" s="1620">
        <v>4.8</v>
      </c>
      <c r="Q41" s="1603"/>
      <c r="R41" s="1620">
        <v>76.403089655172408</v>
      </c>
      <c r="S41" s="1620">
        <v>30</v>
      </c>
      <c r="T41" s="1620">
        <v>41.382113821138198</v>
      </c>
      <c r="U41" s="1620">
        <v>45.934959349593498</v>
      </c>
      <c r="V41" s="1620">
        <v>50.032520325203301</v>
      </c>
      <c r="W41" s="1620">
        <v>52.764227642276403</v>
      </c>
      <c r="X41" s="1620"/>
      <c r="Y41" s="1620">
        <v>0.47058823529411764</v>
      </c>
      <c r="Z41" s="1620">
        <v>3.2941176470588234</v>
      </c>
      <c r="AA41" s="1620">
        <v>0.11764705882352941</v>
      </c>
      <c r="AB41" s="1620">
        <v>1.8872266973532823</v>
      </c>
      <c r="AC41" s="1620">
        <v>5.0588235294117645</v>
      </c>
      <c r="AD41" s="1620">
        <v>1.0470588235294118</v>
      </c>
      <c r="AE41" s="1620">
        <v>1.1000000000000001</v>
      </c>
      <c r="AF41" s="1620">
        <v>41.788235294117655</v>
      </c>
      <c r="AG41" s="1620">
        <v>2.7411764705882353</v>
      </c>
      <c r="AH41" s="1620">
        <v>12.152941176470588</v>
      </c>
      <c r="AI41" s="1620">
        <v>27.529411764705884</v>
      </c>
      <c r="AJ41" s="1620">
        <v>0</v>
      </c>
      <c r="AK41" s="1620">
        <v>0.04</v>
      </c>
      <c r="AL41" s="1620"/>
      <c r="AM41" s="1620">
        <v>3.8998823529411766</v>
      </c>
      <c r="AN41" s="1620">
        <v>1.7408235294117649</v>
      </c>
      <c r="AO41" s="1620">
        <v>2.4442352941176471</v>
      </c>
      <c r="AP41" s="1620">
        <v>3.5125882352941176</v>
      </c>
      <c r="AQ41" s="1620">
        <v>1.3612941176470588</v>
      </c>
      <c r="AR41" s="1620">
        <v>3.636705882352941</v>
      </c>
      <c r="AS41" s="1620">
        <v>6.9041176470588237</v>
      </c>
      <c r="AT41" s="1620">
        <v>2.3131764705882354</v>
      </c>
      <c r="AU41" s="1620">
        <v>4.716823529411764</v>
      </c>
      <c r="AV41" s="1620">
        <v>3.1947058823529413</v>
      </c>
      <c r="AW41" s="1620">
        <v>5.1758823529411764</v>
      </c>
      <c r="AX41" s="1620"/>
      <c r="AY41" s="1620">
        <v>0.94</v>
      </c>
      <c r="AZ41" s="1620">
        <v>1.08</v>
      </c>
      <c r="BA41" s="1620">
        <v>1.03</v>
      </c>
      <c r="BB41" s="1620">
        <v>0.95</v>
      </c>
      <c r="BC41" s="1620">
        <v>0.96</v>
      </c>
      <c r="BD41" s="1620">
        <v>1</v>
      </c>
      <c r="BE41" s="1620">
        <v>1.01</v>
      </c>
      <c r="BF41" s="1620">
        <v>1</v>
      </c>
      <c r="BG41" s="1620">
        <v>1.04</v>
      </c>
      <c r="BH41" s="1620">
        <v>0.97</v>
      </c>
      <c r="BI41" s="1620">
        <v>0.96</v>
      </c>
      <c r="BJ41" s="1603"/>
      <c r="BK41" s="1620">
        <v>10.235294117647058</v>
      </c>
      <c r="BL41" s="1620">
        <v>3.0588235294117645</v>
      </c>
      <c r="BM41" s="1620">
        <v>2</v>
      </c>
      <c r="BN41" s="1620">
        <v>5.6470588235294121</v>
      </c>
      <c r="BO41" s="1620"/>
      <c r="BP41" s="1620">
        <v>120</v>
      </c>
      <c r="BQ41" s="1620">
        <v>36.705882352941174</v>
      </c>
      <c r="BR41" s="1620">
        <v>1.249897975450343</v>
      </c>
      <c r="BS41" s="1620">
        <v>1.2431607089381211</v>
      </c>
      <c r="BT41" s="1603"/>
      <c r="BU41" s="1620">
        <v>980</v>
      </c>
      <c r="BV41" s="1620">
        <v>654.4682352941179</v>
      </c>
      <c r="BW41" s="1620">
        <v>51.799999999999841</v>
      </c>
      <c r="BX41" s="1620">
        <v>604</v>
      </c>
      <c r="BY41" s="1620">
        <v>21.000000000000004</v>
      </c>
      <c r="BZ41" s="1620">
        <v>56</v>
      </c>
      <c r="CA41" s="1620">
        <v>165</v>
      </c>
      <c r="CB41" s="1603"/>
      <c r="CC41" s="1603">
        <v>0.39999999999999997</v>
      </c>
      <c r="CD41" s="1603">
        <v>2.8</v>
      </c>
      <c r="CE41" s="1603">
        <v>9.9999999999999992E-2</v>
      </c>
      <c r="CF41" s="1603">
        <v>1.60414269275029</v>
      </c>
      <c r="CG41" s="1603">
        <v>4.3</v>
      </c>
      <c r="CH41" s="1603">
        <v>0.89</v>
      </c>
      <c r="CI41" s="1603">
        <v>0.93500000000000005</v>
      </c>
      <c r="CJ41" s="1603"/>
      <c r="CK41" s="1603">
        <v>35.520000000000003</v>
      </c>
      <c r="CL41" s="1603">
        <v>2.33</v>
      </c>
      <c r="CM41" s="1603">
        <v>10.33</v>
      </c>
      <c r="CN41" s="1603">
        <v>23.400000000000002</v>
      </c>
      <c r="CO41" s="1603">
        <v>0</v>
      </c>
      <c r="CP41" s="1603">
        <v>3.4000000000000002E-2</v>
      </c>
      <c r="CQ41" s="1603">
        <v>66.470687999999996</v>
      </c>
      <c r="CR41" s="1603">
        <v>62.565754123722499</v>
      </c>
      <c r="CS41" s="1603">
        <v>2.2935913558122825</v>
      </c>
      <c r="CT41" s="1603">
        <v>1.1762921186708466</v>
      </c>
      <c r="CU41" s="1603">
        <v>1.5751318716525795</v>
      </c>
      <c r="CV41" s="1603">
        <v>2.7514239903234259</v>
      </c>
      <c r="CW41" s="1603">
        <v>2.0877934527392745</v>
      </c>
      <c r="CX41" s="1603">
        <v>0.81763577332584625</v>
      </c>
      <c r="CY41" s="1603">
        <v>2.275332460555894</v>
      </c>
      <c r="CZ41" s="1603">
        <v>4.3628094041860734</v>
      </c>
      <c r="DA41" s="1603">
        <v>1.4472563030360373</v>
      </c>
      <c r="DB41" s="1603">
        <v>3.0691608603361198</v>
      </c>
      <c r="DC41" s="1603">
        <v>1.9388280725091687</v>
      </c>
      <c r="DD41" s="1603">
        <v>5.0079889328452882</v>
      </c>
      <c r="DE41" s="1603">
        <v>3.1087966336073465</v>
      </c>
      <c r="DF41" s="1603">
        <v>0</v>
      </c>
      <c r="DG41" s="1603">
        <v>0</v>
      </c>
      <c r="DH41" s="1603">
        <v>0</v>
      </c>
      <c r="DI41" s="1603">
        <v>0</v>
      </c>
      <c r="DJ41" s="1603">
        <v>0</v>
      </c>
      <c r="DK41" s="1603">
        <v>0</v>
      </c>
      <c r="DL41" s="1603">
        <v>0</v>
      </c>
      <c r="DM41" s="1603">
        <v>0</v>
      </c>
      <c r="DN41" s="1603">
        <v>0</v>
      </c>
      <c r="DO41" s="1603">
        <v>0</v>
      </c>
      <c r="DP41" s="1603">
        <v>0</v>
      </c>
      <c r="DQ41" s="1603">
        <v>0</v>
      </c>
      <c r="DR41" s="1603">
        <v>0</v>
      </c>
      <c r="DS41" s="1603">
        <v>0</v>
      </c>
      <c r="DT41" s="1603">
        <v>0</v>
      </c>
      <c r="DU41" s="1603">
        <v>0</v>
      </c>
      <c r="DV41" s="1603">
        <v>0</v>
      </c>
      <c r="DW41" s="1618" t="s">
        <v>3688</v>
      </c>
      <c r="DX41" s="1605">
        <v>6</v>
      </c>
      <c r="DY41" s="1605">
        <v>6</v>
      </c>
      <c r="DZ41" s="1605">
        <v>3</v>
      </c>
      <c r="EA41" s="1605">
        <v>3</v>
      </c>
      <c r="EB41" s="1605" t="s">
        <v>986</v>
      </c>
      <c r="EC41" s="1605">
        <v>3</v>
      </c>
      <c r="ED41" s="1605">
        <v>3</v>
      </c>
      <c r="EE41" s="1605">
        <v>3</v>
      </c>
      <c r="EF41" s="1605">
        <v>3</v>
      </c>
      <c r="EG41" s="1605">
        <v>3</v>
      </c>
      <c r="EH41" s="1605" t="s">
        <v>986</v>
      </c>
      <c r="EI41" s="1605" t="s">
        <v>986</v>
      </c>
      <c r="EJ41" s="1605" t="s">
        <v>986</v>
      </c>
      <c r="EK41" s="1605" t="s">
        <v>986</v>
      </c>
      <c r="EL41" s="1605" t="s">
        <v>986</v>
      </c>
      <c r="EM41" s="1605" t="s">
        <v>986</v>
      </c>
      <c r="EN41" s="1605" t="s">
        <v>986</v>
      </c>
      <c r="EO41" s="1605" t="s">
        <v>986</v>
      </c>
      <c r="EP41" s="1605" t="s">
        <v>986</v>
      </c>
      <c r="EQ41" s="1605" t="s">
        <v>986</v>
      </c>
      <c r="ER41" s="1605" t="s">
        <v>986</v>
      </c>
      <c r="ES41" s="1605">
        <v>3</v>
      </c>
      <c r="ET41" s="1605">
        <v>6</v>
      </c>
      <c r="EU41" s="1605">
        <v>3</v>
      </c>
      <c r="EV41" s="1605">
        <v>14</v>
      </c>
      <c r="EW41" s="1605">
        <v>3</v>
      </c>
      <c r="EX41" s="1605">
        <v>3</v>
      </c>
      <c r="EY41" s="1605" t="s">
        <v>986</v>
      </c>
      <c r="EZ41" s="1605">
        <v>3</v>
      </c>
      <c r="FA41" s="1605">
        <v>3</v>
      </c>
      <c r="FB41" s="1605">
        <v>3</v>
      </c>
      <c r="FC41" s="1605">
        <v>3</v>
      </c>
      <c r="FD41" s="1605" t="s">
        <v>986</v>
      </c>
      <c r="FE41" s="1605" t="s">
        <v>986</v>
      </c>
      <c r="FF41" s="1605">
        <v>0.64935865795927217</v>
      </c>
      <c r="FG41" s="1605">
        <v>0.17837539088621626</v>
      </c>
      <c r="FH41" s="1605">
        <v>2.8589227211186664E-2</v>
      </c>
      <c r="FI41" s="1605">
        <v>0.2559821591526048</v>
      </c>
      <c r="FJ41" s="1605" t="s">
        <v>986</v>
      </c>
      <c r="FK41" s="1605">
        <v>1.6235199999999921</v>
      </c>
      <c r="FL41" s="1605">
        <v>0.17320508075688607</v>
      </c>
      <c r="FM41" s="1605" t="s">
        <v>986</v>
      </c>
      <c r="FN41" s="1605">
        <v>0.70065596731528146</v>
      </c>
      <c r="FO41" s="1605">
        <v>0.86001621970529429</v>
      </c>
      <c r="FP41" s="1605" t="s">
        <v>986</v>
      </c>
      <c r="FQ41" s="1605" t="s">
        <v>986</v>
      </c>
      <c r="FR41" s="1605" t="s">
        <v>986</v>
      </c>
      <c r="FS41" s="1605" t="s">
        <v>986</v>
      </c>
      <c r="FT41" s="1605" t="s">
        <v>986</v>
      </c>
      <c r="FU41" s="1605" t="s">
        <v>986</v>
      </c>
      <c r="FV41" s="1605" t="s">
        <v>986</v>
      </c>
      <c r="FW41" s="1605" t="s">
        <v>986</v>
      </c>
      <c r="FX41" s="1605" t="s">
        <v>986</v>
      </c>
      <c r="FY41" s="1605" t="s">
        <v>986</v>
      </c>
      <c r="FZ41" s="1605" t="s">
        <v>986</v>
      </c>
      <c r="GA41" s="1605">
        <v>5.6138672548227152E-2</v>
      </c>
      <c r="GB41" s="1605">
        <v>0.19826859021966597</v>
      </c>
      <c r="GC41" s="1605">
        <v>4.8794680053825361E-3</v>
      </c>
      <c r="GD41" s="1605">
        <v>0.2</v>
      </c>
      <c r="GE41" s="1605">
        <v>0.30149975910833943</v>
      </c>
      <c r="GF41" s="1605">
        <v>2.7863678136330939E-2</v>
      </c>
      <c r="GG41" s="1605" t="s">
        <v>986</v>
      </c>
      <c r="GH41" s="1605">
        <v>22.107449071034281</v>
      </c>
      <c r="GI41" s="1605">
        <v>0.43376759993528646</v>
      </c>
      <c r="GJ41" s="1605">
        <v>1.0918777188753275</v>
      </c>
      <c r="GK41" s="1605">
        <v>2.2188526603423528</v>
      </c>
      <c r="GL41" s="1605" t="s">
        <v>986</v>
      </c>
      <c r="GM41" s="1605" t="s">
        <v>986</v>
      </c>
      <c r="GN41" s="1605" t="s">
        <v>1763</v>
      </c>
      <c r="GO41" s="1605" t="s">
        <v>1763</v>
      </c>
      <c r="GP41" s="1605" t="s">
        <v>1763</v>
      </c>
      <c r="GQ41" s="1605" t="s">
        <v>1763</v>
      </c>
      <c r="GR41" s="1605" t="s">
        <v>1763</v>
      </c>
      <c r="GS41" s="1605" t="s">
        <v>1763</v>
      </c>
      <c r="GT41" s="1605" t="s">
        <v>1763</v>
      </c>
      <c r="GU41" s="1605" t="s">
        <v>1763</v>
      </c>
      <c r="GV41" s="1605" t="s">
        <v>1763</v>
      </c>
      <c r="GW41" s="1605" t="s">
        <v>1763</v>
      </c>
      <c r="GX41" s="1605" t="s">
        <v>1763</v>
      </c>
      <c r="GY41" s="1605" t="s">
        <v>1763</v>
      </c>
      <c r="GZ41" s="1605" t="s">
        <v>1763</v>
      </c>
      <c r="HA41" s="1605" t="s">
        <v>1763</v>
      </c>
      <c r="HB41" s="1605" t="s">
        <v>1763</v>
      </c>
      <c r="HC41" s="1605" t="s">
        <v>1763</v>
      </c>
      <c r="HD41" s="1605" t="s">
        <v>1763</v>
      </c>
      <c r="HE41" s="1605" t="s">
        <v>1763</v>
      </c>
      <c r="HF41" s="1605" t="s">
        <v>1763</v>
      </c>
      <c r="HG41" s="1605" t="s">
        <v>1763</v>
      </c>
      <c r="HH41" s="1605" t="s">
        <v>1763</v>
      </c>
      <c r="HI41" s="1605" t="s">
        <v>1763</v>
      </c>
      <c r="HJ41" s="1605" t="s">
        <v>1763</v>
      </c>
      <c r="HK41" s="1605" t="s">
        <v>1763</v>
      </c>
      <c r="HL41" s="1605" t="s">
        <v>1578</v>
      </c>
      <c r="HM41" s="1605" t="s">
        <v>1763</v>
      </c>
      <c r="HN41" s="1605" t="s">
        <v>1763</v>
      </c>
      <c r="HO41" s="1605" t="s">
        <v>986</v>
      </c>
      <c r="HP41" s="1605" t="s">
        <v>1763</v>
      </c>
      <c r="HQ41" s="1605" t="s">
        <v>1763</v>
      </c>
      <c r="HR41" s="1605" t="s">
        <v>1763</v>
      </c>
      <c r="HS41" s="1605" t="s">
        <v>1763</v>
      </c>
      <c r="HT41" s="1605" t="s">
        <v>1763</v>
      </c>
      <c r="HU41" s="1605" t="s">
        <v>1763</v>
      </c>
      <c r="HV41" s="1617"/>
      <c r="HW41" s="1617" t="s">
        <v>3691</v>
      </c>
      <c r="HX41" s="1617" t="s">
        <v>3686</v>
      </c>
      <c r="HY41" s="1617" t="s">
        <v>3685</v>
      </c>
      <c r="HZ41" s="1603"/>
      <c r="IA41" s="1603"/>
      <c r="IB41" s="1603"/>
      <c r="IC41" s="1603">
        <v>54.8130081300813</v>
      </c>
      <c r="ID41" s="1603">
        <v>56.178861788617901</v>
      </c>
      <c r="IE41" s="1603">
        <v>57.317073170731703</v>
      </c>
      <c r="IF41" s="1603">
        <v>58</v>
      </c>
      <c r="IG41" s="1611" t="s">
        <v>3683</v>
      </c>
      <c r="IH41" s="1616" t="s">
        <v>270</v>
      </c>
      <c r="II41" s="1615" t="s">
        <v>270</v>
      </c>
      <c r="IJ41" s="1613">
        <v>0.41826136363636363</v>
      </c>
      <c r="IK41" s="1613">
        <v>0.41826136363636363</v>
      </c>
      <c r="IL41" s="1614">
        <v>0.41826136363636363</v>
      </c>
      <c r="IM41" s="1614">
        <v>0.41826136363636363</v>
      </c>
      <c r="IN41" s="1612" t="s">
        <v>270</v>
      </c>
      <c r="IO41" s="1613" t="s">
        <v>270</v>
      </c>
      <c r="IP41" s="1607" t="s">
        <v>270</v>
      </c>
      <c r="IQ41" s="1612" t="s">
        <v>270</v>
      </c>
      <c r="IR41" s="1612" t="s">
        <v>270</v>
      </c>
      <c r="IS41" s="1607">
        <v>0.41426136363636362</v>
      </c>
      <c r="IT41" s="1607">
        <v>0.41426136363636362</v>
      </c>
      <c r="IU41" s="1611">
        <v>1.1363636363636365E-5</v>
      </c>
      <c r="IV41" s="1611">
        <v>1.0568181818181818E-3</v>
      </c>
      <c r="IW41" s="1611">
        <v>7.8409090909090898E-4</v>
      </c>
      <c r="IX41" s="1611">
        <v>1.0909090909090907E-3</v>
      </c>
      <c r="IY41" s="1611">
        <v>7.9545454545454537E-4</v>
      </c>
      <c r="IZ41" s="1611">
        <v>8.0340909090909091E-3</v>
      </c>
      <c r="JA41" s="1611">
        <v>1.8181818181818183E-4</v>
      </c>
      <c r="JB41" s="1611" t="s">
        <v>270</v>
      </c>
      <c r="JC41" s="1611">
        <v>6.9750000000000006E-2</v>
      </c>
      <c r="JD41" s="1611">
        <v>1.9772727272727273E-3</v>
      </c>
      <c r="JE41" s="1611" t="s">
        <v>270</v>
      </c>
      <c r="JF41" s="1611">
        <v>2.5000000000000001E-4</v>
      </c>
      <c r="JG41" s="1611">
        <v>4.3789545454545458</v>
      </c>
      <c r="JH41" s="1611">
        <v>2.2727272727272727E-4</v>
      </c>
      <c r="JI41" s="1611">
        <v>4.7829545454545458E-2</v>
      </c>
      <c r="JJ41" s="1611" t="s">
        <v>270</v>
      </c>
      <c r="JK41" s="1607">
        <f t="shared" si="9"/>
        <v>4.0000000000000036E-3</v>
      </c>
      <c r="JL41" s="1608" t="s">
        <v>2946</v>
      </c>
      <c r="JM41" s="1610" t="s">
        <v>3205</v>
      </c>
      <c r="JN41" s="1608">
        <v>0</v>
      </c>
      <c r="JO41" s="1609" t="s">
        <v>2923</v>
      </c>
      <c r="JP41" s="1608" t="s">
        <v>270</v>
      </c>
      <c r="JQ41" s="1607">
        <v>202103</v>
      </c>
      <c r="JR41" s="1606">
        <v>15</v>
      </c>
      <c r="JS41" s="1606">
        <v>22</v>
      </c>
      <c r="JT41" s="1606">
        <v>22</v>
      </c>
    </row>
    <row r="42" spans="1:280" ht="15" customHeight="1" x14ac:dyDescent="0.2">
      <c r="A42" s="1626">
        <v>50611</v>
      </c>
      <c r="B42" s="1625">
        <v>506</v>
      </c>
      <c r="C42" s="1624">
        <v>11</v>
      </c>
      <c r="D42" s="1623" t="s">
        <v>3690</v>
      </c>
      <c r="E42" s="1622">
        <v>43367</v>
      </c>
      <c r="F42" s="1620">
        <v>1.06701622144793</v>
      </c>
      <c r="G42" s="1620">
        <v>1.06243982040816</v>
      </c>
      <c r="H42" s="1621">
        <v>86.1</v>
      </c>
      <c r="I42" s="1621">
        <v>81.099999999999994</v>
      </c>
      <c r="J42" s="1621">
        <v>90</v>
      </c>
      <c r="K42" s="1620">
        <v>1</v>
      </c>
      <c r="L42" s="1620">
        <v>85</v>
      </c>
      <c r="M42" s="1620">
        <v>9.9999999999999591</v>
      </c>
      <c r="N42" s="1620">
        <v>2.6</v>
      </c>
      <c r="O42" s="1620">
        <v>1.8</v>
      </c>
      <c r="P42" s="1620">
        <v>4.8</v>
      </c>
      <c r="Q42" s="1603"/>
      <c r="R42" s="1620">
        <v>77.968426285714301</v>
      </c>
      <c r="S42" s="1620">
        <v>30</v>
      </c>
      <c r="T42" s="1620">
        <v>41.382113821138198</v>
      </c>
      <c r="U42" s="1620">
        <v>45.934959349593498</v>
      </c>
      <c r="V42" s="1620">
        <v>50.032520325203301</v>
      </c>
      <c r="W42" s="1620">
        <v>52.764227642276403</v>
      </c>
      <c r="X42" s="1620"/>
      <c r="Y42" s="1620">
        <v>0.55294117647058827</v>
      </c>
      <c r="Z42" s="1620">
        <v>3.3529411764705883</v>
      </c>
      <c r="AA42" s="1620">
        <v>0.12941176470588237</v>
      </c>
      <c r="AB42" s="1620">
        <v>1.8823529411764706</v>
      </c>
      <c r="AC42" s="1620">
        <v>4.8235294117647056</v>
      </c>
      <c r="AD42" s="1620">
        <v>1.1176470588235305</v>
      </c>
      <c r="AE42" s="1620">
        <v>1.1000000000000001</v>
      </c>
      <c r="AF42" s="1620">
        <v>49.411764705882355</v>
      </c>
      <c r="AG42" s="1620">
        <v>3.6470588235294117</v>
      </c>
      <c r="AH42" s="1620">
        <v>12.235294117647058</v>
      </c>
      <c r="AI42" s="1620">
        <v>30.588235294117649</v>
      </c>
      <c r="AJ42" s="1620">
        <v>0</v>
      </c>
      <c r="AK42" s="1620">
        <v>0.04</v>
      </c>
      <c r="AL42" s="1620"/>
      <c r="AM42" s="1620">
        <v>3.70411764705882</v>
      </c>
      <c r="AN42" s="1620">
        <v>1.6811764705882399</v>
      </c>
      <c r="AO42" s="1620">
        <v>2.3417647058823499</v>
      </c>
      <c r="AP42" s="1620">
        <v>3.3994117647058801</v>
      </c>
      <c r="AQ42" s="1620">
        <v>1.30470588235294</v>
      </c>
      <c r="AR42" s="1620">
        <v>3.6152941176470601</v>
      </c>
      <c r="AS42" s="1620">
        <v>6.8658823529411803</v>
      </c>
      <c r="AT42" s="1620">
        <v>2.26882352941176</v>
      </c>
      <c r="AU42" s="1620">
        <v>4.8911764705882304</v>
      </c>
      <c r="AV42" s="1620">
        <v>3.22529411764706</v>
      </c>
      <c r="AW42" s="1620">
        <v>5.0841176470588199</v>
      </c>
      <c r="AX42" s="1620"/>
      <c r="AY42" s="1620">
        <v>0.93979487733984202</v>
      </c>
      <c r="AZ42" s="1620">
        <v>1.07984084344248</v>
      </c>
      <c r="BA42" s="1620">
        <v>1.0298133265506999</v>
      </c>
      <c r="BB42" s="1620">
        <v>0.94986852960372503</v>
      </c>
      <c r="BC42" s="1620">
        <v>0.95982752284767003</v>
      </c>
      <c r="BD42" s="1620">
        <v>0.99997514724094605</v>
      </c>
      <c r="BE42" s="1620">
        <v>1.00997639474776</v>
      </c>
      <c r="BF42" s="1620">
        <v>0.99991835406371998</v>
      </c>
      <c r="BG42" s="1620">
        <v>1.0401578477529601</v>
      </c>
      <c r="BH42" s="1620">
        <v>0.970038811056257</v>
      </c>
      <c r="BI42" s="1620">
        <v>0.95992759482045098</v>
      </c>
      <c r="BJ42" s="1603"/>
      <c r="BK42" s="1620">
        <v>11.764705882352892</v>
      </c>
      <c r="BL42" s="1620">
        <v>3.0588235294117645</v>
      </c>
      <c r="BM42" s="1620">
        <v>2.1176470588235294</v>
      </c>
      <c r="BN42" s="1620">
        <v>5.6470588235294121</v>
      </c>
      <c r="BO42" s="1620"/>
      <c r="BP42" s="1620">
        <v>120</v>
      </c>
      <c r="BQ42" s="1620">
        <v>36.705882352941174</v>
      </c>
      <c r="BR42" s="1620">
        <v>1.255313201703447</v>
      </c>
      <c r="BS42" s="1620">
        <v>1.2499292004801881</v>
      </c>
      <c r="BT42" s="1603"/>
      <c r="BU42" s="1620">
        <v>978.82352941176475</v>
      </c>
      <c r="BV42" s="1620">
        <v>636.12168067226935</v>
      </c>
      <c r="BW42" s="1620">
        <v>69.915966386554587</v>
      </c>
      <c r="BX42" s="1620">
        <v>604</v>
      </c>
      <c r="BY42" s="1620">
        <v>21.000000000000004</v>
      </c>
      <c r="BZ42" s="1620">
        <v>55.999999999999879</v>
      </c>
      <c r="CA42" s="1620">
        <v>165</v>
      </c>
      <c r="CB42" s="1603"/>
      <c r="CC42" s="1603">
        <v>0.47000000000000003</v>
      </c>
      <c r="CD42" s="1603">
        <v>2.85</v>
      </c>
      <c r="CE42" s="1603">
        <v>0.11</v>
      </c>
      <c r="CF42" s="1603">
        <v>1.5999999999999999</v>
      </c>
      <c r="CG42" s="1603">
        <v>4.0999999999999996</v>
      </c>
      <c r="CH42" s="1603">
        <v>0.95000000000000095</v>
      </c>
      <c r="CI42" s="1603">
        <v>0.93500000000000005</v>
      </c>
      <c r="CJ42" s="1603"/>
      <c r="CK42" s="1603">
        <v>42</v>
      </c>
      <c r="CL42" s="1603">
        <v>3.0999999999999996</v>
      </c>
      <c r="CM42" s="1603">
        <v>10.399999999999999</v>
      </c>
      <c r="CN42" s="1603">
        <v>26</v>
      </c>
      <c r="CO42" s="1603">
        <v>0</v>
      </c>
      <c r="CP42" s="1603">
        <v>3.4000000000000002E-2</v>
      </c>
      <c r="CQ42" s="1603">
        <v>77.968426285714301</v>
      </c>
      <c r="CR42" s="1603">
        <v>73.071453571635445</v>
      </c>
      <c r="CS42" s="1603">
        <v>2.5436982545239597</v>
      </c>
      <c r="CT42" s="1603">
        <v>1.3265413734181482</v>
      </c>
      <c r="CU42" s="1603">
        <v>1.7621769266888849</v>
      </c>
      <c r="CV42" s="1603">
        <v>3.0887183001070331</v>
      </c>
      <c r="CW42" s="1603">
        <v>2.3594730374776107</v>
      </c>
      <c r="CX42" s="1603">
        <v>0.91506841682644902</v>
      </c>
      <c r="CY42" s="1603">
        <v>2.6416823079289355</v>
      </c>
      <c r="CZ42" s="1603">
        <v>5.0670516086193</v>
      </c>
      <c r="DA42" s="1603">
        <v>1.6577269741941387</v>
      </c>
      <c r="DB42" s="1603">
        <v>3.7175800499175584</v>
      </c>
      <c r="DC42" s="1603">
        <v>2.2861576836190398</v>
      </c>
      <c r="DD42" s="1603">
        <v>6.0037377335365889</v>
      </c>
      <c r="DE42" s="1603">
        <v>3.5661681313163434</v>
      </c>
      <c r="DF42" s="1603">
        <v>0</v>
      </c>
      <c r="DG42" s="1603">
        <v>0</v>
      </c>
      <c r="DH42" s="1603">
        <v>0</v>
      </c>
      <c r="DI42" s="1603">
        <v>0</v>
      </c>
      <c r="DJ42" s="1603">
        <v>0</v>
      </c>
      <c r="DK42" s="1603">
        <v>0</v>
      </c>
      <c r="DL42" s="1603">
        <v>0</v>
      </c>
      <c r="DM42" s="1603">
        <v>0</v>
      </c>
      <c r="DN42" s="1603">
        <v>0</v>
      </c>
      <c r="DO42" s="1603">
        <v>0</v>
      </c>
      <c r="DP42" s="1603">
        <v>0</v>
      </c>
      <c r="DQ42" s="1603">
        <v>0</v>
      </c>
      <c r="DR42" s="1603">
        <v>0</v>
      </c>
      <c r="DS42" s="1603">
        <v>0</v>
      </c>
      <c r="DT42" s="1603">
        <v>0</v>
      </c>
      <c r="DU42" s="1603">
        <v>0</v>
      </c>
      <c r="DV42" s="1603">
        <v>0</v>
      </c>
      <c r="DW42" s="1618" t="s">
        <v>3688</v>
      </c>
      <c r="DX42" s="1605" t="s">
        <v>986</v>
      </c>
      <c r="DY42" s="1605" t="s">
        <v>986</v>
      </c>
      <c r="DZ42" s="1605" t="s">
        <v>986</v>
      </c>
      <c r="EA42" s="1605" t="s">
        <v>986</v>
      </c>
      <c r="EB42" s="1605" t="s">
        <v>986</v>
      </c>
      <c r="EC42" s="1605" t="s">
        <v>986</v>
      </c>
      <c r="ED42" s="1605" t="s">
        <v>986</v>
      </c>
      <c r="EE42" s="1605" t="s">
        <v>986</v>
      </c>
      <c r="EF42" s="1605" t="s">
        <v>986</v>
      </c>
      <c r="EG42" s="1605" t="s">
        <v>986</v>
      </c>
      <c r="EH42" s="1605" t="s">
        <v>986</v>
      </c>
      <c r="EI42" s="1605" t="s">
        <v>986</v>
      </c>
      <c r="EJ42" s="1605" t="s">
        <v>986</v>
      </c>
      <c r="EK42" s="1605" t="s">
        <v>986</v>
      </c>
      <c r="EL42" s="1605" t="s">
        <v>986</v>
      </c>
      <c r="EM42" s="1605" t="s">
        <v>986</v>
      </c>
      <c r="EN42" s="1605" t="s">
        <v>986</v>
      </c>
      <c r="EO42" s="1605" t="s">
        <v>986</v>
      </c>
      <c r="EP42" s="1605" t="s">
        <v>986</v>
      </c>
      <c r="EQ42" s="1605" t="s">
        <v>986</v>
      </c>
      <c r="ER42" s="1605" t="s">
        <v>986</v>
      </c>
      <c r="ES42" s="1605" t="s">
        <v>986</v>
      </c>
      <c r="ET42" s="1605" t="s">
        <v>986</v>
      </c>
      <c r="EU42" s="1605" t="s">
        <v>986</v>
      </c>
      <c r="EV42" s="1605" t="s">
        <v>986</v>
      </c>
      <c r="EW42" s="1605" t="s">
        <v>986</v>
      </c>
      <c r="EX42" s="1605" t="s">
        <v>986</v>
      </c>
      <c r="EY42" s="1605" t="s">
        <v>986</v>
      </c>
      <c r="EZ42" s="1605" t="s">
        <v>986</v>
      </c>
      <c r="FA42" s="1605" t="s">
        <v>986</v>
      </c>
      <c r="FB42" s="1605" t="s">
        <v>986</v>
      </c>
      <c r="FC42" s="1605" t="s">
        <v>986</v>
      </c>
      <c r="FD42" s="1605" t="s">
        <v>986</v>
      </c>
      <c r="FE42" s="1605" t="s">
        <v>986</v>
      </c>
      <c r="FF42" s="1605" t="s">
        <v>986</v>
      </c>
      <c r="FG42" s="1605" t="s">
        <v>986</v>
      </c>
      <c r="FH42" s="1605" t="s">
        <v>986</v>
      </c>
      <c r="FI42" s="1605" t="s">
        <v>986</v>
      </c>
      <c r="FJ42" s="1605" t="s">
        <v>986</v>
      </c>
      <c r="FK42" s="1605" t="s">
        <v>986</v>
      </c>
      <c r="FL42" s="1605" t="s">
        <v>986</v>
      </c>
      <c r="FM42" s="1605" t="s">
        <v>986</v>
      </c>
      <c r="FN42" s="1605" t="s">
        <v>986</v>
      </c>
      <c r="FO42" s="1605" t="s">
        <v>986</v>
      </c>
      <c r="FP42" s="1605" t="s">
        <v>986</v>
      </c>
      <c r="FQ42" s="1605" t="s">
        <v>986</v>
      </c>
      <c r="FR42" s="1605" t="s">
        <v>986</v>
      </c>
      <c r="FS42" s="1605" t="s">
        <v>986</v>
      </c>
      <c r="FT42" s="1605" t="s">
        <v>986</v>
      </c>
      <c r="FU42" s="1605" t="s">
        <v>986</v>
      </c>
      <c r="FV42" s="1605" t="s">
        <v>986</v>
      </c>
      <c r="FW42" s="1605" t="s">
        <v>986</v>
      </c>
      <c r="FX42" s="1605" t="s">
        <v>986</v>
      </c>
      <c r="FY42" s="1605" t="s">
        <v>986</v>
      </c>
      <c r="FZ42" s="1605" t="s">
        <v>986</v>
      </c>
      <c r="GA42" s="1605" t="s">
        <v>986</v>
      </c>
      <c r="GB42" s="1605" t="s">
        <v>986</v>
      </c>
      <c r="GC42" s="1605" t="s">
        <v>986</v>
      </c>
      <c r="GD42" s="1605" t="s">
        <v>986</v>
      </c>
      <c r="GE42" s="1605" t="s">
        <v>986</v>
      </c>
      <c r="GF42" s="1605" t="s">
        <v>986</v>
      </c>
      <c r="GG42" s="1605" t="s">
        <v>986</v>
      </c>
      <c r="GH42" s="1605" t="s">
        <v>986</v>
      </c>
      <c r="GI42" s="1605" t="s">
        <v>986</v>
      </c>
      <c r="GJ42" s="1605" t="s">
        <v>986</v>
      </c>
      <c r="GK42" s="1605" t="s">
        <v>986</v>
      </c>
      <c r="GL42" s="1605" t="s">
        <v>986</v>
      </c>
      <c r="GM42" s="1605" t="s">
        <v>986</v>
      </c>
      <c r="GN42" s="1605" t="s">
        <v>986</v>
      </c>
      <c r="GO42" s="1605" t="s">
        <v>986</v>
      </c>
      <c r="GP42" s="1605" t="s">
        <v>986</v>
      </c>
      <c r="GQ42" s="1605" t="s">
        <v>986</v>
      </c>
      <c r="GR42" s="1605" t="s">
        <v>986</v>
      </c>
      <c r="GS42" s="1605" t="s">
        <v>986</v>
      </c>
      <c r="GT42" s="1605" t="s">
        <v>986</v>
      </c>
      <c r="GU42" s="1605" t="s">
        <v>986</v>
      </c>
      <c r="GV42" s="1605" t="s">
        <v>986</v>
      </c>
      <c r="GW42" s="1605" t="s">
        <v>986</v>
      </c>
      <c r="GX42" s="1605" t="s">
        <v>986</v>
      </c>
      <c r="GY42" s="1605" t="s">
        <v>986</v>
      </c>
      <c r="GZ42" s="1605" t="s">
        <v>986</v>
      </c>
      <c r="HA42" s="1605" t="s">
        <v>986</v>
      </c>
      <c r="HB42" s="1605" t="s">
        <v>986</v>
      </c>
      <c r="HC42" s="1605" t="s">
        <v>986</v>
      </c>
      <c r="HD42" s="1605" t="s">
        <v>986</v>
      </c>
      <c r="HE42" s="1605" t="s">
        <v>986</v>
      </c>
      <c r="HF42" s="1605" t="s">
        <v>986</v>
      </c>
      <c r="HG42" s="1605" t="s">
        <v>986</v>
      </c>
      <c r="HH42" s="1605" t="s">
        <v>986</v>
      </c>
      <c r="HI42" s="1605" t="s">
        <v>986</v>
      </c>
      <c r="HJ42" s="1605" t="s">
        <v>986</v>
      </c>
      <c r="HK42" s="1605" t="s">
        <v>986</v>
      </c>
      <c r="HL42" s="1605" t="s">
        <v>986</v>
      </c>
      <c r="HM42" s="1605" t="s">
        <v>986</v>
      </c>
      <c r="HN42" s="1605" t="s">
        <v>986</v>
      </c>
      <c r="HO42" s="1605" t="s">
        <v>986</v>
      </c>
      <c r="HP42" s="1605" t="s">
        <v>986</v>
      </c>
      <c r="HQ42" s="1605" t="s">
        <v>986</v>
      </c>
      <c r="HR42" s="1605" t="s">
        <v>986</v>
      </c>
      <c r="HS42" s="1605" t="s">
        <v>986</v>
      </c>
      <c r="HT42" s="1605" t="s">
        <v>986</v>
      </c>
      <c r="HU42" s="1605" t="s">
        <v>986</v>
      </c>
      <c r="HV42" s="1617"/>
      <c r="HW42" s="1617" t="s">
        <v>3687</v>
      </c>
      <c r="HX42" s="1617" t="s">
        <v>3686</v>
      </c>
      <c r="HY42" s="1617" t="s">
        <v>3685</v>
      </c>
      <c r="HZ42" s="1603"/>
      <c r="IA42" s="1603"/>
      <c r="IB42" s="1603"/>
      <c r="IC42" s="1603">
        <v>54.8130081300813</v>
      </c>
      <c r="ID42" s="1603">
        <v>56.178861788617901</v>
      </c>
      <c r="IE42" s="1603">
        <v>57.317073170731703</v>
      </c>
      <c r="IF42" s="1603">
        <v>58</v>
      </c>
      <c r="IG42" s="1611" t="s">
        <v>3683</v>
      </c>
      <c r="IH42" s="1616" t="s">
        <v>3682</v>
      </c>
      <c r="II42" s="1615" t="s">
        <v>275</v>
      </c>
      <c r="IJ42" s="1613">
        <v>0.41826136363636363</v>
      </c>
      <c r="IK42" s="1613">
        <v>0.41826136363636363</v>
      </c>
      <c r="IL42" s="1614">
        <v>0.41826136363636363</v>
      </c>
      <c r="IM42" s="1614">
        <v>0.41826136363636363</v>
      </c>
      <c r="IN42" s="1612">
        <v>0.52200000000000002</v>
      </c>
      <c r="IO42" s="1613">
        <v>0.10373863636363639</v>
      </c>
      <c r="IP42" s="1607" t="s">
        <v>270</v>
      </c>
      <c r="IQ42" s="1612">
        <v>2.2000000000000002</v>
      </c>
      <c r="IR42" s="1612">
        <v>0.154</v>
      </c>
      <c r="IS42" s="1607">
        <v>0.41426136363636362</v>
      </c>
      <c r="IT42" s="1607">
        <v>0.41426136363636362</v>
      </c>
      <c r="IU42" s="1611">
        <v>1.1363636363636365E-5</v>
      </c>
      <c r="IV42" s="1611">
        <v>1.0568181818181818E-3</v>
      </c>
      <c r="IW42" s="1611">
        <v>7.8409090909090898E-4</v>
      </c>
      <c r="IX42" s="1611">
        <v>1.0909090909090907E-3</v>
      </c>
      <c r="IY42" s="1611">
        <v>7.9545454545454537E-4</v>
      </c>
      <c r="IZ42" s="1611">
        <v>8.0340909090909091E-3</v>
      </c>
      <c r="JA42" s="1611">
        <v>1.8181818181818183E-4</v>
      </c>
      <c r="JB42" s="1611" t="s">
        <v>270</v>
      </c>
      <c r="JC42" s="1611">
        <v>6.9750000000000006E-2</v>
      </c>
      <c r="JD42" s="1611">
        <v>1.9772727272727273E-3</v>
      </c>
      <c r="JE42" s="1611" t="s">
        <v>270</v>
      </c>
      <c r="JF42" s="1611">
        <v>2.5000000000000001E-4</v>
      </c>
      <c r="JG42" s="1611">
        <v>4.3789545454545458</v>
      </c>
      <c r="JH42" s="1611">
        <v>2.2727272727272727E-4</v>
      </c>
      <c r="JI42" s="1611">
        <v>4.7829545454545458E-2</v>
      </c>
      <c r="JJ42" s="1611" t="s">
        <v>270</v>
      </c>
      <c r="JK42" s="1607">
        <f t="shared" si="9"/>
        <v>4.0000000000000036E-3</v>
      </c>
      <c r="JL42" s="1608" t="s">
        <v>270</v>
      </c>
      <c r="JM42" s="1610" t="s">
        <v>2924</v>
      </c>
      <c r="JN42" s="1608">
        <v>0</v>
      </c>
      <c r="JO42" s="1609" t="s">
        <v>2923</v>
      </c>
      <c r="JP42" s="1608" t="s">
        <v>270</v>
      </c>
      <c r="JQ42" s="1607">
        <v>202103</v>
      </c>
      <c r="JR42" s="1606">
        <v>15</v>
      </c>
      <c r="JS42" s="1606">
        <v>22</v>
      </c>
      <c r="JT42" s="1606">
        <v>22</v>
      </c>
    </row>
    <row r="43" spans="1:280" ht="15" customHeight="1" x14ac:dyDescent="0.2">
      <c r="A43" s="1626">
        <v>50661</v>
      </c>
      <c r="B43" s="1625">
        <v>506</v>
      </c>
      <c r="C43" s="1624">
        <v>61</v>
      </c>
      <c r="D43" s="1623" t="s">
        <v>3689</v>
      </c>
      <c r="E43" s="1622">
        <v>43367</v>
      </c>
      <c r="F43" s="1620">
        <v>1.06368898567557</v>
      </c>
      <c r="G43" s="1620">
        <v>1.05925085936921</v>
      </c>
      <c r="H43" s="1621">
        <v>86.1</v>
      </c>
      <c r="I43" s="1621">
        <v>81.099999999999994</v>
      </c>
      <c r="J43" s="1621">
        <v>90</v>
      </c>
      <c r="K43" s="1620">
        <v>1</v>
      </c>
      <c r="L43" s="1620">
        <v>85</v>
      </c>
      <c r="M43" s="1620">
        <v>11.5</v>
      </c>
      <c r="N43" s="1620">
        <v>2.6</v>
      </c>
      <c r="O43" s="1620">
        <v>1.8</v>
      </c>
      <c r="P43" s="1620">
        <v>4.8</v>
      </c>
      <c r="Q43" s="1603"/>
      <c r="R43" s="1620">
        <v>79.537761987577596</v>
      </c>
      <c r="S43" s="1620">
        <v>30</v>
      </c>
      <c r="T43" s="1620">
        <v>41.382113821138198</v>
      </c>
      <c r="U43" s="1620">
        <v>45.934959349593498</v>
      </c>
      <c r="V43" s="1620">
        <v>50.032520325203301</v>
      </c>
      <c r="W43" s="1620">
        <v>52.764227642276403</v>
      </c>
      <c r="X43" s="1620"/>
      <c r="Y43" s="1620">
        <v>0.55294117647058827</v>
      </c>
      <c r="Z43" s="1620">
        <v>3.3529411764705883</v>
      </c>
      <c r="AA43" s="1620">
        <v>0.12941176470588237</v>
      </c>
      <c r="AB43" s="1620">
        <v>1.8823529411764706</v>
      </c>
      <c r="AC43" s="1620">
        <v>4.8235294117647056</v>
      </c>
      <c r="AD43" s="1620">
        <v>1.1176470588235305</v>
      </c>
      <c r="AE43" s="1620">
        <v>1.1000000000000001</v>
      </c>
      <c r="AF43" s="1620">
        <v>49.411764705882355</v>
      </c>
      <c r="AG43" s="1620">
        <v>3.6470588235294117</v>
      </c>
      <c r="AH43" s="1620">
        <v>12.235294117647058</v>
      </c>
      <c r="AI43" s="1620">
        <v>30.588235294117649</v>
      </c>
      <c r="AJ43" s="1620">
        <v>0</v>
      </c>
      <c r="AK43" s="1620">
        <v>0.04</v>
      </c>
      <c r="AL43" s="1620"/>
      <c r="AM43" s="1620">
        <v>3.47823529411765</v>
      </c>
      <c r="AN43" s="1620">
        <v>1.6123529411764701</v>
      </c>
      <c r="AO43" s="1620">
        <v>2.22352941176471</v>
      </c>
      <c r="AP43" s="1620">
        <v>3.2688235294117698</v>
      </c>
      <c r="AQ43" s="1620">
        <v>1.23941176470588</v>
      </c>
      <c r="AR43" s="1620">
        <v>3.5905882352941201</v>
      </c>
      <c r="AS43" s="1620">
        <v>6.8217647058823498</v>
      </c>
      <c r="AT43" s="1620">
        <v>2.21764705882353</v>
      </c>
      <c r="AU43" s="1620">
        <v>5.0923529411764701</v>
      </c>
      <c r="AV43" s="1620">
        <v>3.26058823529412</v>
      </c>
      <c r="AW43" s="1620">
        <v>4.97823529411765</v>
      </c>
      <c r="AX43" s="1620"/>
      <c r="AY43" s="1620">
        <v>0.93979487733984202</v>
      </c>
      <c r="AZ43" s="1620">
        <v>1.07984084344248</v>
      </c>
      <c r="BA43" s="1620">
        <v>1.0298133265506999</v>
      </c>
      <c r="BB43" s="1620">
        <v>0.94986852960372503</v>
      </c>
      <c r="BC43" s="1620">
        <v>0.95982752284767003</v>
      </c>
      <c r="BD43" s="1620">
        <v>0.99997514724094605</v>
      </c>
      <c r="BE43" s="1620">
        <v>1.00997639474776</v>
      </c>
      <c r="BF43" s="1620">
        <v>0.99991835406371998</v>
      </c>
      <c r="BG43" s="1620">
        <v>1.0401578477529601</v>
      </c>
      <c r="BH43" s="1620">
        <v>0.970038811056257</v>
      </c>
      <c r="BI43" s="1620">
        <v>0.95992759482045098</v>
      </c>
      <c r="BJ43" s="1603"/>
      <c r="BK43" s="1620">
        <v>13.529411764705882</v>
      </c>
      <c r="BL43" s="1620">
        <v>3.0588235294117645</v>
      </c>
      <c r="BM43" s="1620">
        <v>2.1176470588235294</v>
      </c>
      <c r="BN43" s="1620">
        <v>5.6470588235294121</v>
      </c>
      <c r="BO43" s="1620"/>
      <c r="BP43" s="1620">
        <v>120</v>
      </c>
      <c r="BQ43" s="1620">
        <v>36.705882352941174</v>
      </c>
      <c r="BR43" s="1620">
        <v>1.2513988066771411</v>
      </c>
      <c r="BS43" s="1620">
        <v>1.2461774816108353</v>
      </c>
      <c r="BT43" s="1603"/>
      <c r="BU43" s="1620">
        <v>978.82352941176475</v>
      </c>
      <c r="BV43" s="1620">
        <v>620.06285714285639</v>
      </c>
      <c r="BW43" s="1620">
        <v>69.915966386554587</v>
      </c>
      <c r="BX43" s="1620">
        <v>604</v>
      </c>
      <c r="BY43" s="1620">
        <v>21.000000000000004</v>
      </c>
      <c r="BZ43" s="1620">
        <v>55.999999999999879</v>
      </c>
      <c r="CA43" s="1620">
        <v>165</v>
      </c>
      <c r="CB43" s="1603"/>
      <c r="CC43" s="1603">
        <v>0.47000000000000003</v>
      </c>
      <c r="CD43" s="1603">
        <v>2.85</v>
      </c>
      <c r="CE43" s="1603">
        <v>0.11</v>
      </c>
      <c r="CF43" s="1603">
        <v>1.5999999999999999</v>
      </c>
      <c r="CG43" s="1603">
        <v>4.0999999999999996</v>
      </c>
      <c r="CH43" s="1603">
        <v>0.95000000000000095</v>
      </c>
      <c r="CI43" s="1603">
        <v>0.93500000000000005</v>
      </c>
      <c r="CJ43" s="1603"/>
      <c r="CK43" s="1603">
        <v>42</v>
      </c>
      <c r="CL43" s="1603">
        <v>3.0999999999999996</v>
      </c>
      <c r="CM43" s="1603">
        <v>10.399999999999999</v>
      </c>
      <c r="CN43" s="1603">
        <v>26</v>
      </c>
      <c r="CO43" s="1603">
        <v>0</v>
      </c>
      <c r="CP43" s="1603">
        <v>3.4000000000000002E-2</v>
      </c>
      <c r="CQ43" s="1603">
        <v>91.468426285714301</v>
      </c>
      <c r="CR43" s="1603">
        <v>85.991702008290403</v>
      </c>
      <c r="CS43" s="1603">
        <v>2.8109205849186796</v>
      </c>
      <c r="CT43" s="1603">
        <v>1.497188246484751</v>
      </c>
      <c r="CU43" s="1603">
        <v>1.9690553802909179</v>
      </c>
      <c r="CV43" s="1603">
        <v>3.4662436267756593</v>
      </c>
      <c r="CW43" s="1603">
        <v>2.6700015867888269</v>
      </c>
      <c r="CX43" s="1603">
        <v>1.0229757958636547</v>
      </c>
      <c r="CY43" s="1603">
        <v>3.0875312000627857</v>
      </c>
      <c r="CZ43" s="1603">
        <v>5.9246746213773074</v>
      </c>
      <c r="DA43" s="1603">
        <v>1.9068367522350516</v>
      </c>
      <c r="DB43" s="1603">
        <v>4.5548522205051212</v>
      </c>
      <c r="DC43" s="1603">
        <v>2.719829079251455</v>
      </c>
      <c r="DD43" s="1603">
        <v>7.2746812997565673</v>
      </c>
      <c r="DE43" s="1603">
        <v>4.1093245319062728</v>
      </c>
      <c r="DF43" s="1603">
        <v>0</v>
      </c>
      <c r="DG43" s="1603">
        <v>0</v>
      </c>
      <c r="DH43" s="1603">
        <v>0</v>
      </c>
      <c r="DI43" s="1603">
        <v>0</v>
      </c>
      <c r="DJ43" s="1603">
        <v>0</v>
      </c>
      <c r="DK43" s="1603">
        <v>0</v>
      </c>
      <c r="DL43" s="1603">
        <v>0</v>
      </c>
      <c r="DM43" s="1603">
        <v>0</v>
      </c>
      <c r="DN43" s="1603">
        <v>0</v>
      </c>
      <c r="DO43" s="1603">
        <v>0</v>
      </c>
      <c r="DP43" s="1603">
        <v>0</v>
      </c>
      <c r="DQ43" s="1603">
        <v>0</v>
      </c>
      <c r="DR43" s="1603">
        <v>0</v>
      </c>
      <c r="DS43" s="1603">
        <v>0</v>
      </c>
      <c r="DT43" s="1603">
        <v>0</v>
      </c>
      <c r="DU43" s="1603">
        <v>0</v>
      </c>
      <c r="DV43" s="1603">
        <v>0</v>
      </c>
      <c r="DW43" s="1618" t="s">
        <v>3688</v>
      </c>
      <c r="DX43" s="1605" t="s">
        <v>986</v>
      </c>
      <c r="DY43" s="1605" t="s">
        <v>986</v>
      </c>
      <c r="DZ43" s="1605" t="s">
        <v>986</v>
      </c>
      <c r="EA43" s="1605" t="s">
        <v>986</v>
      </c>
      <c r="EB43" s="1605" t="s">
        <v>986</v>
      </c>
      <c r="EC43" s="1605" t="s">
        <v>986</v>
      </c>
      <c r="ED43" s="1605" t="s">
        <v>986</v>
      </c>
      <c r="EE43" s="1605" t="s">
        <v>986</v>
      </c>
      <c r="EF43" s="1605" t="s">
        <v>986</v>
      </c>
      <c r="EG43" s="1605" t="s">
        <v>986</v>
      </c>
      <c r="EH43" s="1605" t="s">
        <v>986</v>
      </c>
      <c r="EI43" s="1605" t="s">
        <v>986</v>
      </c>
      <c r="EJ43" s="1605" t="s">
        <v>986</v>
      </c>
      <c r="EK43" s="1605" t="s">
        <v>986</v>
      </c>
      <c r="EL43" s="1605" t="s">
        <v>986</v>
      </c>
      <c r="EM43" s="1605" t="s">
        <v>986</v>
      </c>
      <c r="EN43" s="1605" t="s">
        <v>986</v>
      </c>
      <c r="EO43" s="1605" t="s">
        <v>986</v>
      </c>
      <c r="EP43" s="1605" t="s">
        <v>986</v>
      </c>
      <c r="EQ43" s="1605" t="s">
        <v>986</v>
      </c>
      <c r="ER43" s="1605" t="s">
        <v>986</v>
      </c>
      <c r="ES43" s="1605" t="s">
        <v>986</v>
      </c>
      <c r="ET43" s="1605" t="s">
        <v>986</v>
      </c>
      <c r="EU43" s="1605" t="s">
        <v>986</v>
      </c>
      <c r="EV43" s="1605" t="s">
        <v>986</v>
      </c>
      <c r="EW43" s="1605" t="s">
        <v>986</v>
      </c>
      <c r="EX43" s="1605" t="s">
        <v>986</v>
      </c>
      <c r="EY43" s="1605" t="s">
        <v>986</v>
      </c>
      <c r="EZ43" s="1605" t="s">
        <v>986</v>
      </c>
      <c r="FA43" s="1605" t="s">
        <v>986</v>
      </c>
      <c r="FB43" s="1605" t="s">
        <v>986</v>
      </c>
      <c r="FC43" s="1605" t="s">
        <v>986</v>
      </c>
      <c r="FD43" s="1605" t="s">
        <v>986</v>
      </c>
      <c r="FE43" s="1605" t="s">
        <v>986</v>
      </c>
      <c r="FF43" s="1605" t="s">
        <v>986</v>
      </c>
      <c r="FG43" s="1605" t="s">
        <v>986</v>
      </c>
      <c r="FH43" s="1605" t="s">
        <v>986</v>
      </c>
      <c r="FI43" s="1605" t="s">
        <v>986</v>
      </c>
      <c r="FJ43" s="1605" t="s">
        <v>986</v>
      </c>
      <c r="FK43" s="1605" t="s">
        <v>986</v>
      </c>
      <c r="FL43" s="1605" t="s">
        <v>986</v>
      </c>
      <c r="FM43" s="1605" t="s">
        <v>986</v>
      </c>
      <c r="FN43" s="1605" t="s">
        <v>986</v>
      </c>
      <c r="FO43" s="1605" t="s">
        <v>986</v>
      </c>
      <c r="FP43" s="1605" t="s">
        <v>986</v>
      </c>
      <c r="FQ43" s="1605" t="s">
        <v>986</v>
      </c>
      <c r="FR43" s="1605" t="s">
        <v>986</v>
      </c>
      <c r="FS43" s="1605" t="s">
        <v>986</v>
      </c>
      <c r="FT43" s="1605" t="s">
        <v>986</v>
      </c>
      <c r="FU43" s="1605" t="s">
        <v>986</v>
      </c>
      <c r="FV43" s="1605" t="s">
        <v>986</v>
      </c>
      <c r="FW43" s="1605" t="s">
        <v>986</v>
      </c>
      <c r="FX43" s="1605" t="s">
        <v>986</v>
      </c>
      <c r="FY43" s="1605" t="s">
        <v>986</v>
      </c>
      <c r="FZ43" s="1605" t="s">
        <v>986</v>
      </c>
      <c r="GA43" s="1605" t="s">
        <v>986</v>
      </c>
      <c r="GB43" s="1605" t="s">
        <v>986</v>
      </c>
      <c r="GC43" s="1605" t="s">
        <v>986</v>
      </c>
      <c r="GD43" s="1605" t="s">
        <v>986</v>
      </c>
      <c r="GE43" s="1605" t="s">
        <v>986</v>
      </c>
      <c r="GF43" s="1605" t="s">
        <v>986</v>
      </c>
      <c r="GG43" s="1605" t="s">
        <v>986</v>
      </c>
      <c r="GH43" s="1605" t="s">
        <v>986</v>
      </c>
      <c r="GI43" s="1605" t="s">
        <v>986</v>
      </c>
      <c r="GJ43" s="1605" t="s">
        <v>986</v>
      </c>
      <c r="GK43" s="1605" t="s">
        <v>986</v>
      </c>
      <c r="GL43" s="1605" t="s">
        <v>986</v>
      </c>
      <c r="GM43" s="1605" t="s">
        <v>986</v>
      </c>
      <c r="GN43" s="1605" t="s">
        <v>986</v>
      </c>
      <c r="GO43" s="1605" t="s">
        <v>986</v>
      </c>
      <c r="GP43" s="1605" t="s">
        <v>986</v>
      </c>
      <c r="GQ43" s="1605" t="s">
        <v>986</v>
      </c>
      <c r="GR43" s="1605" t="s">
        <v>986</v>
      </c>
      <c r="GS43" s="1605" t="s">
        <v>986</v>
      </c>
      <c r="GT43" s="1605" t="s">
        <v>986</v>
      </c>
      <c r="GU43" s="1605" t="s">
        <v>986</v>
      </c>
      <c r="GV43" s="1605" t="s">
        <v>986</v>
      </c>
      <c r="GW43" s="1605" t="s">
        <v>986</v>
      </c>
      <c r="GX43" s="1605" t="s">
        <v>986</v>
      </c>
      <c r="GY43" s="1605" t="s">
        <v>986</v>
      </c>
      <c r="GZ43" s="1605" t="s">
        <v>986</v>
      </c>
      <c r="HA43" s="1605" t="s">
        <v>986</v>
      </c>
      <c r="HB43" s="1605" t="s">
        <v>986</v>
      </c>
      <c r="HC43" s="1605" t="s">
        <v>986</v>
      </c>
      <c r="HD43" s="1605" t="s">
        <v>986</v>
      </c>
      <c r="HE43" s="1605" t="s">
        <v>986</v>
      </c>
      <c r="HF43" s="1605" t="s">
        <v>986</v>
      </c>
      <c r="HG43" s="1605" t="s">
        <v>986</v>
      </c>
      <c r="HH43" s="1605" t="s">
        <v>986</v>
      </c>
      <c r="HI43" s="1605" t="s">
        <v>986</v>
      </c>
      <c r="HJ43" s="1605" t="s">
        <v>986</v>
      </c>
      <c r="HK43" s="1605" t="s">
        <v>986</v>
      </c>
      <c r="HL43" s="1605" t="s">
        <v>986</v>
      </c>
      <c r="HM43" s="1605" t="s">
        <v>986</v>
      </c>
      <c r="HN43" s="1605" t="s">
        <v>986</v>
      </c>
      <c r="HO43" s="1605" t="s">
        <v>986</v>
      </c>
      <c r="HP43" s="1605" t="s">
        <v>986</v>
      </c>
      <c r="HQ43" s="1605" t="s">
        <v>986</v>
      </c>
      <c r="HR43" s="1605" t="s">
        <v>986</v>
      </c>
      <c r="HS43" s="1605" t="s">
        <v>986</v>
      </c>
      <c r="HT43" s="1605" t="s">
        <v>986</v>
      </c>
      <c r="HU43" s="1605" t="s">
        <v>986</v>
      </c>
      <c r="HV43" s="1617"/>
      <c r="HW43" s="1617" t="s">
        <v>3687</v>
      </c>
      <c r="HX43" s="1617" t="s">
        <v>3686</v>
      </c>
      <c r="HY43" s="1617" t="s">
        <v>3685</v>
      </c>
      <c r="HZ43" s="1603"/>
      <c r="IA43" s="1603"/>
      <c r="IB43" s="1603"/>
      <c r="IC43" s="1603">
        <v>54.8130081300813</v>
      </c>
      <c r="ID43" s="1603">
        <v>56.178861788617901</v>
      </c>
      <c r="IE43" s="1603">
        <v>57.317073170731703</v>
      </c>
      <c r="IF43" s="1603">
        <v>58</v>
      </c>
      <c r="IG43" s="1611" t="s">
        <v>3683</v>
      </c>
      <c r="IH43" s="1616" t="s">
        <v>3682</v>
      </c>
      <c r="II43" s="1615" t="s">
        <v>275</v>
      </c>
      <c r="IJ43" s="1613">
        <v>0.41826136363636363</v>
      </c>
      <c r="IK43" s="1613">
        <v>0.41826136363636363</v>
      </c>
      <c r="IL43" s="1614">
        <v>0.41826136363636363</v>
      </c>
      <c r="IM43" s="1614">
        <v>0.41826136363636363</v>
      </c>
      <c r="IN43" s="1612">
        <v>0.52200000000000002</v>
      </c>
      <c r="IO43" s="1613">
        <v>0.10373863636363639</v>
      </c>
      <c r="IP43" s="1607" t="s">
        <v>270</v>
      </c>
      <c r="IQ43" s="1612">
        <v>2.2000000000000002</v>
      </c>
      <c r="IR43" s="1612">
        <v>0.154</v>
      </c>
      <c r="IS43" s="1607">
        <v>0.41426136363636362</v>
      </c>
      <c r="IT43" s="1607">
        <v>0.41426136363636362</v>
      </c>
      <c r="IU43" s="1611">
        <v>1.1363636363636365E-5</v>
      </c>
      <c r="IV43" s="1611">
        <v>1.0568181818181818E-3</v>
      </c>
      <c r="IW43" s="1611">
        <v>7.8409090909090898E-4</v>
      </c>
      <c r="IX43" s="1611">
        <v>1.0909090909090907E-3</v>
      </c>
      <c r="IY43" s="1611">
        <v>7.9545454545454537E-4</v>
      </c>
      <c r="IZ43" s="1611">
        <v>8.0340909090909091E-3</v>
      </c>
      <c r="JA43" s="1611">
        <v>1.8181818181818183E-4</v>
      </c>
      <c r="JB43" s="1611" t="s">
        <v>270</v>
      </c>
      <c r="JC43" s="1611">
        <v>6.9750000000000006E-2</v>
      </c>
      <c r="JD43" s="1611">
        <v>1.9772727272727273E-3</v>
      </c>
      <c r="JE43" s="1611" t="s">
        <v>270</v>
      </c>
      <c r="JF43" s="1611">
        <v>2.5000000000000001E-4</v>
      </c>
      <c r="JG43" s="1611">
        <v>4.3789545454545458</v>
      </c>
      <c r="JH43" s="1611">
        <v>2.2727272727272727E-4</v>
      </c>
      <c r="JI43" s="1611">
        <v>4.7829545454545458E-2</v>
      </c>
      <c r="JJ43" s="1611" t="s">
        <v>270</v>
      </c>
      <c r="JK43" s="1607">
        <f t="shared" si="9"/>
        <v>4.0000000000000036E-3</v>
      </c>
      <c r="JL43" s="1608" t="s">
        <v>270</v>
      </c>
      <c r="JM43" s="1610" t="s">
        <v>2924</v>
      </c>
      <c r="JN43" s="1608">
        <v>0</v>
      </c>
      <c r="JO43" s="1609" t="s">
        <v>2923</v>
      </c>
      <c r="JP43" s="1608" t="s">
        <v>270</v>
      </c>
      <c r="JQ43" s="1607">
        <v>202103</v>
      </c>
      <c r="JR43" s="1606">
        <v>15</v>
      </c>
      <c r="JS43" s="1606">
        <v>22</v>
      </c>
      <c r="JT43" s="1606">
        <v>22</v>
      </c>
    </row>
    <row r="44" spans="1:280" ht="15" customHeight="1" x14ac:dyDescent="0.2">
      <c r="A44" s="1626">
        <v>50600</v>
      </c>
      <c r="B44" s="1625">
        <v>506</v>
      </c>
      <c r="C44" s="1624">
        <v>0</v>
      </c>
      <c r="D44" s="1623" t="s">
        <v>3684</v>
      </c>
      <c r="E44" s="1622">
        <v>43367</v>
      </c>
      <c r="F44" s="1620">
        <v>1.06097695111111</v>
      </c>
      <c r="G44" s="1620">
        <v>1.05819507611429</v>
      </c>
      <c r="H44" s="1621">
        <v>86.1</v>
      </c>
      <c r="I44" s="1621">
        <v>80.6000181</v>
      </c>
      <c r="J44" s="1621">
        <v>90</v>
      </c>
      <c r="K44" s="1620">
        <v>1</v>
      </c>
      <c r="L44" s="1620">
        <v>85</v>
      </c>
      <c r="M44" s="1620">
        <v>9.9999999999999591</v>
      </c>
      <c r="N44" s="1620">
        <v>2.6</v>
      </c>
      <c r="O44" s="1620">
        <v>1.8</v>
      </c>
      <c r="P44" s="1620">
        <v>4.8</v>
      </c>
      <c r="Q44" s="1603"/>
      <c r="R44" s="1620">
        <v>77.576197714285698</v>
      </c>
      <c r="S44" s="1620">
        <v>43</v>
      </c>
      <c r="T44" s="1620">
        <v>49.097560975609802</v>
      </c>
      <c r="U44" s="1620">
        <v>51.536585365853703</v>
      </c>
      <c r="V44" s="1620">
        <v>53.731707317073202</v>
      </c>
      <c r="W44" s="1620">
        <v>55.195121951219498</v>
      </c>
      <c r="X44" s="1620"/>
      <c r="Y44" s="1620">
        <v>0.55294117647058827</v>
      </c>
      <c r="Z44" s="1620">
        <v>3.3529411764705883</v>
      </c>
      <c r="AA44" s="1620">
        <v>0.12941176470588237</v>
      </c>
      <c r="AB44" s="1620">
        <v>1.8823529411764706</v>
      </c>
      <c r="AC44" s="1620">
        <v>4.8235294117647056</v>
      </c>
      <c r="AD44" s="1620">
        <v>1.1176470588235305</v>
      </c>
      <c r="AE44" s="1620">
        <v>1.1000000000000001</v>
      </c>
      <c r="AF44" s="1620">
        <v>49.411764705882355</v>
      </c>
      <c r="AG44" s="1620">
        <v>3.6470588235294117</v>
      </c>
      <c r="AH44" s="1620">
        <v>12.235294117647058</v>
      </c>
      <c r="AI44" s="1620">
        <v>30.588235294117649</v>
      </c>
      <c r="AJ44" s="1620">
        <v>0</v>
      </c>
      <c r="AK44" s="1620">
        <v>0.04</v>
      </c>
      <c r="AL44" s="1620"/>
      <c r="AM44" s="1620">
        <v>3.70411764705882</v>
      </c>
      <c r="AN44" s="1620">
        <v>1.6811764705882399</v>
      </c>
      <c r="AO44" s="1620">
        <v>2.3417647058823499</v>
      </c>
      <c r="AP44" s="1620">
        <v>3.3994117647058801</v>
      </c>
      <c r="AQ44" s="1620">
        <v>1.30470588235294</v>
      </c>
      <c r="AR44" s="1620">
        <v>3.6152941176470601</v>
      </c>
      <c r="AS44" s="1620">
        <v>6.8658823529411803</v>
      </c>
      <c r="AT44" s="1620">
        <v>2.26882352941176</v>
      </c>
      <c r="AU44" s="1620">
        <v>4.8911764705882304</v>
      </c>
      <c r="AV44" s="1620">
        <v>3.22529411764706</v>
      </c>
      <c r="AW44" s="1620">
        <v>5.0841176470588199</v>
      </c>
      <c r="AX44" s="1620"/>
      <c r="AY44" s="1620">
        <v>0.93979487733984202</v>
      </c>
      <c r="AZ44" s="1620">
        <v>1.07984084344248</v>
      </c>
      <c r="BA44" s="1620">
        <v>1.0298133265506999</v>
      </c>
      <c r="BB44" s="1620">
        <v>0.94986852960372503</v>
      </c>
      <c r="BC44" s="1620">
        <v>0.95982752284767003</v>
      </c>
      <c r="BD44" s="1620">
        <v>0.99997514724094605</v>
      </c>
      <c r="BE44" s="1620">
        <v>1.00997639474776</v>
      </c>
      <c r="BF44" s="1620">
        <v>0.99991835406371998</v>
      </c>
      <c r="BG44" s="1620">
        <v>1.0401578477529601</v>
      </c>
      <c r="BH44" s="1620">
        <v>0.970038811056257</v>
      </c>
      <c r="BI44" s="1620">
        <v>0.95992759482045098</v>
      </c>
      <c r="BJ44" s="1603"/>
      <c r="BK44" s="1620">
        <v>11.764705882352892</v>
      </c>
      <c r="BL44" s="1620">
        <v>3.0588235294117645</v>
      </c>
      <c r="BM44" s="1620">
        <v>2.1176470588235294</v>
      </c>
      <c r="BN44" s="1620">
        <v>5.6470588235294121</v>
      </c>
      <c r="BO44" s="1620"/>
      <c r="BP44" s="1620">
        <v>120</v>
      </c>
      <c r="BQ44" s="1620">
        <v>36.705882352941174</v>
      </c>
      <c r="BR44" s="1620">
        <v>1.2482081777777765</v>
      </c>
      <c r="BS44" s="1620">
        <v>1.2449353836638706</v>
      </c>
      <c r="BT44" s="1603"/>
      <c r="BU44" s="1620">
        <v>978.82352941176475</v>
      </c>
      <c r="BV44" s="1620">
        <v>629.13033712941183</v>
      </c>
      <c r="BW44" s="1620">
        <v>76.907309929411653</v>
      </c>
      <c r="BX44" s="1620">
        <v>604</v>
      </c>
      <c r="BY44" s="1620">
        <v>21.000000000000004</v>
      </c>
      <c r="BZ44" s="1620">
        <v>55.999999999999879</v>
      </c>
      <c r="CA44" s="1620">
        <v>165</v>
      </c>
      <c r="CB44" s="1603"/>
      <c r="CC44" s="1603">
        <v>0.47000000000000003</v>
      </c>
      <c r="CD44" s="1603">
        <v>2.85</v>
      </c>
      <c r="CE44" s="1603">
        <v>0.11</v>
      </c>
      <c r="CF44" s="1603">
        <v>1.5999999999999999</v>
      </c>
      <c r="CG44" s="1603">
        <v>4.0999999999999996</v>
      </c>
      <c r="CH44" s="1603">
        <v>0.95000000000000095</v>
      </c>
      <c r="CI44" s="1603">
        <v>0.93500000000000005</v>
      </c>
      <c r="CJ44" s="1603"/>
      <c r="CK44" s="1603">
        <v>42</v>
      </c>
      <c r="CL44" s="1603">
        <v>3.0999999999999996</v>
      </c>
      <c r="CM44" s="1603">
        <v>10.399999999999999</v>
      </c>
      <c r="CN44" s="1603">
        <v>26</v>
      </c>
      <c r="CO44" s="1603">
        <v>0</v>
      </c>
      <c r="CP44" s="1603">
        <v>3.4000000000000002E-2</v>
      </c>
      <c r="CQ44" s="1603">
        <v>77.576197714285698</v>
      </c>
      <c r="CR44" s="1603">
        <v>73.117703106598015</v>
      </c>
      <c r="CS44" s="1603">
        <v>2.5453082520757615</v>
      </c>
      <c r="CT44" s="1603">
        <v>1.3273809888716468</v>
      </c>
      <c r="CU44" s="1603">
        <v>1.7632922714561974</v>
      </c>
      <c r="CV44" s="1603">
        <v>3.0906732603278626</v>
      </c>
      <c r="CW44" s="1603">
        <v>2.3609664323042705</v>
      </c>
      <c r="CX44" s="1603">
        <v>0.91564759633730564</v>
      </c>
      <c r="CY44" s="1603">
        <v>2.6433543230906502</v>
      </c>
      <c r="CZ44" s="1603">
        <v>5.0702587267081762</v>
      </c>
      <c r="DA44" s="1603">
        <v>1.6587762088528664</v>
      </c>
      <c r="DB44" s="1603">
        <v>3.7199330392190002</v>
      </c>
      <c r="DC44" s="1603">
        <v>2.2876046745375191</v>
      </c>
      <c r="DD44" s="1603">
        <v>6.0075377137565189</v>
      </c>
      <c r="DE44" s="1603">
        <v>3.5684252866021611</v>
      </c>
      <c r="DF44" s="1603">
        <v>0</v>
      </c>
      <c r="DG44" s="1603">
        <v>0</v>
      </c>
      <c r="DH44" s="1603">
        <v>0</v>
      </c>
      <c r="DI44" s="1603">
        <v>0</v>
      </c>
      <c r="DJ44" s="1603">
        <v>0</v>
      </c>
      <c r="DK44" s="1603">
        <v>0</v>
      </c>
      <c r="DL44" s="1603">
        <v>0</v>
      </c>
      <c r="DM44" s="1603">
        <v>0</v>
      </c>
      <c r="DN44" s="1603">
        <v>0</v>
      </c>
      <c r="DO44" s="1603">
        <v>0</v>
      </c>
      <c r="DP44" s="1603">
        <v>0</v>
      </c>
      <c r="DQ44" s="1603">
        <v>0</v>
      </c>
      <c r="DR44" s="1603">
        <v>0</v>
      </c>
      <c r="DS44" s="1603">
        <v>0</v>
      </c>
      <c r="DT44" s="1603">
        <v>0</v>
      </c>
      <c r="DU44" s="1603">
        <v>0</v>
      </c>
      <c r="DV44" s="1603">
        <v>0</v>
      </c>
      <c r="DW44" s="1618" t="s">
        <v>986</v>
      </c>
      <c r="DX44" s="1605" t="s">
        <v>986</v>
      </c>
      <c r="DY44" s="1605" t="s">
        <v>986</v>
      </c>
      <c r="DZ44" s="1605" t="s">
        <v>986</v>
      </c>
      <c r="EA44" s="1605" t="s">
        <v>986</v>
      </c>
      <c r="EB44" s="1605" t="s">
        <v>986</v>
      </c>
      <c r="EC44" s="1605" t="s">
        <v>986</v>
      </c>
      <c r="ED44" s="1605" t="s">
        <v>986</v>
      </c>
      <c r="EE44" s="1605" t="s">
        <v>986</v>
      </c>
      <c r="EF44" s="1605" t="s">
        <v>986</v>
      </c>
      <c r="EG44" s="1605" t="s">
        <v>986</v>
      </c>
      <c r="EH44" s="1605" t="s">
        <v>986</v>
      </c>
      <c r="EI44" s="1605" t="s">
        <v>986</v>
      </c>
      <c r="EJ44" s="1605" t="s">
        <v>986</v>
      </c>
      <c r="EK44" s="1605" t="s">
        <v>986</v>
      </c>
      <c r="EL44" s="1605" t="s">
        <v>986</v>
      </c>
      <c r="EM44" s="1605" t="s">
        <v>986</v>
      </c>
      <c r="EN44" s="1605" t="s">
        <v>986</v>
      </c>
      <c r="EO44" s="1605" t="s">
        <v>986</v>
      </c>
      <c r="EP44" s="1605" t="s">
        <v>986</v>
      </c>
      <c r="EQ44" s="1605" t="s">
        <v>986</v>
      </c>
      <c r="ER44" s="1605" t="s">
        <v>986</v>
      </c>
      <c r="ES44" s="1605" t="s">
        <v>986</v>
      </c>
      <c r="ET44" s="1605" t="s">
        <v>986</v>
      </c>
      <c r="EU44" s="1605" t="s">
        <v>986</v>
      </c>
      <c r="EV44" s="1605" t="s">
        <v>986</v>
      </c>
      <c r="EW44" s="1605" t="s">
        <v>986</v>
      </c>
      <c r="EX44" s="1605" t="s">
        <v>986</v>
      </c>
      <c r="EY44" s="1605" t="s">
        <v>986</v>
      </c>
      <c r="EZ44" s="1605" t="s">
        <v>986</v>
      </c>
      <c r="FA44" s="1605" t="s">
        <v>986</v>
      </c>
      <c r="FB44" s="1605" t="s">
        <v>986</v>
      </c>
      <c r="FC44" s="1605" t="s">
        <v>986</v>
      </c>
      <c r="FD44" s="1605" t="s">
        <v>986</v>
      </c>
      <c r="FE44" s="1605" t="s">
        <v>986</v>
      </c>
      <c r="FF44" s="1605" t="s">
        <v>986</v>
      </c>
      <c r="FG44" s="1605" t="s">
        <v>986</v>
      </c>
      <c r="FH44" s="1605" t="s">
        <v>986</v>
      </c>
      <c r="FI44" s="1605" t="s">
        <v>986</v>
      </c>
      <c r="FJ44" s="1605" t="s">
        <v>986</v>
      </c>
      <c r="FK44" s="1605" t="s">
        <v>986</v>
      </c>
      <c r="FL44" s="1605" t="s">
        <v>986</v>
      </c>
      <c r="FM44" s="1605" t="s">
        <v>986</v>
      </c>
      <c r="FN44" s="1605" t="s">
        <v>986</v>
      </c>
      <c r="FO44" s="1605" t="s">
        <v>986</v>
      </c>
      <c r="FP44" s="1605" t="s">
        <v>986</v>
      </c>
      <c r="FQ44" s="1605" t="s">
        <v>986</v>
      </c>
      <c r="FR44" s="1605" t="s">
        <v>986</v>
      </c>
      <c r="FS44" s="1605" t="s">
        <v>986</v>
      </c>
      <c r="FT44" s="1605" t="s">
        <v>986</v>
      </c>
      <c r="FU44" s="1605" t="s">
        <v>986</v>
      </c>
      <c r="FV44" s="1605" t="s">
        <v>986</v>
      </c>
      <c r="FW44" s="1605" t="s">
        <v>986</v>
      </c>
      <c r="FX44" s="1605" t="s">
        <v>986</v>
      </c>
      <c r="FY44" s="1605" t="s">
        <v>986</v>
      </c>
      <c r="FZ44" s="1605" t="s">
        <v>986</v>
      </c>
      <c r="GA44" s="1605" t="s">
        <v>986</v>
      </c>
      <c r="GB44" s="1605" t="s">
        <v>986</v>
      </c>
      <c r="GC44" s="1605" t="s">
        <v>986</v>
      </c>
      <c r="GD44" s="1605" t="s">
        <v>986</v>
      </c>
      <c r="GE44" s="1605" t="s">
        <v>986</v>
      </c>
      <c r="GF44" s="1605" t="s">
        <v>986</v>
      </c>
      <c r="GG44" s="1605" t="s">
        <v>986</v>
      </c>
      <c r="GH44" s="1605" t="s">
        <v>986</v>
      </c>
      <c r="GI44" s="1605" t="s">
        <v>986</v>
      </c>
      <c r="GJ44" s="1605" t="s">
        <v>986</v>
      </c>
      <c r="GK44" s="1605" t="s">
        <v>986</v>
      </c>
      <c r="GL44" s="1605" t="s">
        <v>986</v>
      </c>
      <c r="GM44" s="1605" t="s">
        <v>986</v>
      </c>
      <c r="GN44" s="1605" t="s">
        <v>986</v>
      </c>
      <c r="GO44" s="1605" t="s">
        <v>986</v>
      </c>
      <c r="GP44" s="1605" t="s">
        <v>986</v>
      </c>
      <c r="GQ44" s="1605" t="s">
        <v>986</v>
      </c>
      <c r="GR44" s="1605" t="s">
        <v>986</v>
      </c>
      <c r="GS44" s="1605" t="s">
        <v>986</v>
      </c>
      <c r="GT44" s="1605" t="s">
        <v>986</v>
      </c>
      <c r="GU44" s="1605" t="s">
        <v>986</v>
      </c>
      <c r="GV44" s="1605" t="s">
        <v>986</v>
      </c>
      <c r="GW44" s="1605" t="s">
        <v>986</v>
      </c>
      <c r="GX44" s="1605" t="s">
        <v>986</v>
      </c>
      <c r="GY44" s="1605" t="s">
        <v>986</v>
      </c>
      <c r="GZ44" s="1605" t="s">
        <v>986</v>
      </c>
      <c r="HA44" s="1605" t="s">
        <v>986</v>
      </c>
      <c r="HB44" s="1605" t="s">
        <v>986</v>
      </c>
      <c r="HC44" s="1605" t="s">
        <v>986</v>
      </c>
      <c r="HD44" s="1605" t="s">
        <v>986</v>
      </c>
      <c r="HE44" s="1605" t="s">
        <v>986</v>
      </c>
      <c r="HF44" s="1605" t="s">
        <v>986</v>
      </c>
      <c r="HG44" s="1605" t="s">
        <v>986</v>
      </c>
      <c r="HH44" s="1605" t="s">
        <v>986</v>
      </c>
      <c r="HI44" s="1605" t="s">
        <v>986</v>
      </c>
      <c r="HJ44" s="1605" t="s">
        <v>986</v>
      </c>
      <c r="HK44" s="1605" t="s">
        <v>986</v>
      </c>
      <c r="HL44" s="1605" t="s">
        <v>986</v>
      </c>
      <c r="HM44" s="1605" t="s">
        <v>986</v>
      </c>
      <c r="HN44" s="1605" t="s">
        <v>986</v>
      </c>
      <c r="HO44" s="1605" t="s">
        <v>986</v>
      </c>
      <c r="HP44" s="1605" t="s">
        <v>986</v>
      </c>
      <c r="HQ44" s="1605" t="s">
        <v>986</v>
      </c>
      <c r="HR44" s="1605" t="s">
        <v>986</v>
      </c>
      <c r="HS44" s="1605" t="s">
        <v>986</v>
      </c>
      <c r="HT44" s="1605" t="s">
        <v>986</v>
      </c>
      <c r="HU44" s="1605" t="s">
        <v>986</v>
      </c>
      <c r="HV44" s="1617"/>
      <c r="HW44" s="1617" t="s">
        <v>986</v>
      </c>
      <c r="HX44" s="1617" t="s">
        <v>986</v>
      </c>
      <c r="HY44" s="1617" t="s">
        <v>986</v>
      </c>
      <c r="HZ44" s="1603"/>
      <c r="IA44" s="1603"/>
      <c r="IB44" s="1603"/>
      <c r="IC44" s="1603">
        <v>56.292682926829301</v>
      </c>
      <c r="ID44" s="1603">
        <v>57.024390243902403</v>
      </c>
      <c r="IE44" s="1603">
        <v>57.634146341463399</v>
      </c>
      <c r="IF44" s="1603">
        <v>58</v>
      </c>
      <c r="IG44" s="1611" t="s">
        <v>3683</v>
      </c>
      <c r="IH44" s="1616" t="s">
        <v>3682</v>
      </c>
      <c r="II44" s="1615" t="s">
        <v>275</v>
      </c>
      <c r="IJ44" s="1613">
        <v>0.41826136363636363</v>
      </c>
      <c r="IK44" s="1613">
        <v>0.41826136363636363</v>
      </c>
      <c r="IL44" s="1614">
        <v>0.41826136363636363</v>
      </c>
      <c r="IM44" s="1614">
        <v>0.41826136363636363</v>
      </c>
      <c r="IN44" s="1612">
        <v>0.52200000000000002</v>
      </c>
      <c r="IO44" s="1613">
        <v>0.10373863636363639</v>
      </c>
      <c r="IP44" s="1607" t="s">
        <v>270</v>
      </c>
      <c r="IQ44" s="1612">
        <v>2.2000000000000002</v>
      </c>
      <c r="IR44" s="1612">
        <v>0.154</v>
      </c>
      <c r="IS44" s="1607">
        <v>0.41426136363636362</v>
      </c>
      <c r="IT44" s="1607">
        <v>0.41426136363636362</v>
      </c>
      <c r="IU44" s="1611">
        <v>1.1363636363636365E-5</v>
      </c>
      <c r="IV44" s="1611">
        <v>1.0568181818181818E-3</v>
      </c>
      <c r="IW44" s="1611">
        <v>7.8409090909090898E-4</v>
      </c>
      <c r="IX44" s="1611">
        <v>1.0909090909090907E-3</v>
      </c>
      <c r="IY44" s="1611">
        <v>7.9545454545454537E-4</v>
      </c>
      <c r="IZ44" s="1611">
        <v>8.0340909090909091E-3</v>
      </c>
      <c r="JA44" s="1611">
        <v>1.8181818181818183E-4</v>
      </c>
      <c r="JB44" s="1611" t="s">
        <v>270</v>
      </c>
      <c r="JC44" s="1611">
        <v>6.9750000000000006E-2</v>
      </c>
      <c r="JD44" s="1611">
        <v>1.9772727272727273E-3</v>
      </c>
      <c r="JE44" s="1611" t="s">
        <v>270</v>
      </c>
      <c r="JF44" s="1611">
        <v>2.5000000000000001E-4</v>
      </c>
      <c r="JG44" s="1611">
        <v>4.3789545454545458</v>
      </c>
      <c r="JH44" s="1611">
        <v>2.2727272727272727E-4</v>
      </c>
      <c r="JI44" s="1611">
        <v>4.7829545454545458E-2</v>
      </c>
      <c r="JJ44" s="1611" t="s">
        <v>270</v>
      </c>
      <c r="JK44" s="1607">
        <f t="shared" si="9"/>
        <v>4.0000000000000036E-3</v>
      </c>
      <c r="JL44" s="1608" t="s">
        <v>270</v>
      </c>
      <c r="JM44" s="1610" t="s">
        <v>2924</v>
      </c>
      <c r="JN44" s="1608">
        <v>0</v>
      </c>
      <c r="JO44" s="1609" t="s">
        <v>2923</v>
      </c>
      <c r="JP44" s="1608" t="s">
        <v>270</v>
      </c>
      <c r="JQ44" s="1607">
        <v>202103</v>
      </c>
      <c r="JR44" s="1606">
        <v>15</v>
      </c>
      <c r="JS44" s="1606">
        <v>22</v>
      </c>
      <c r="JT44" s="1606">
        <v>22</v>
      </c>
    </row>
    <row r="45" spans="1:280" ht="15" customHeight="1" x14ac:dyDescent="0.2">
      <c r="A45" s="1626">
        <v>48900</v>
      </c>
      <c r="B45" s="1625">
        <v>489</v>
      </c>
      <c r="C45" s="1624">
        <v>0</v>
      </c>
      <c r="D45" s="1623" t="s">
        <v>3681</v>
      </c>
      <c r="E45" s="1622">
        <v>43025</v>
      </c>
      <c r="F45" s="1620">
        <v>1.05139609756097</v>
      </c>
      <c r="G45" s="1620">
        <v>1.0077017142857101</v>
      </c>
      <c r="H45" s="1621">
        <v>100</v>
      </c>
      <c r="I45" s="1621">
        <v>100</v>
      </c>
      <c r="J45" s="1621">
        <v>0</v>
      </c>
      <c r="K45" s="1620">
        <v>1</v>
      </c>
      <c r="L45" s="1620">
        <v>99</v>
      </c>
      <c r="M45" s="1620">
        <v>0</v>
      </c>
      <c r="N45" s="1620">
        <v>0</v>
      </c>
      <c r="O45" s="1620">
        <v>30.492000000000001</v>
      </c>
      <c r="P45" s="1620">
        <v>0</v>
      </c>
      <c r="Q45" s="1603"/>
      <c r="R45" s="1620">
        <v>0</v>
      </c>
      <c r="S45" s="1620">
        <v>0</v>
      </c>
      <c r="T45" s="1620">
        <v>0</v>
      </c>
      <c r="U45" s="1620">
        <v>0</v>
      </c>
      <c r="V45" s="1620">
        <v>0</v>
      </c>
      <c r="W45" s="1620">
        <v>0</v>
      </c>
      <c r="X45" s="1620"/>
      <c r="Y45" s="1620">
        <v>308</v>
      </c>
      <c r="Z45" s="1620">
        <v>0</v>
      </c>
      <c r="AA45" s="1620">
        <v>0</v>
      </c>
      <c r="AB45" s="1620">
        <v>0</v>
      </c>
      <c r="AC45" s="1620">
        <v>0</v>
      </c>
      <c r="AD45" s="1620">
        <v>0</v>
      </c>
      <c r="AE45" s="1620">
        <v>0</v>
      </c>
      <c r="AF45" s="1620">
        <v>0</v>
      </c>
      <c r="AG45" s="1620">
        <v>0</v>
      </c>
      <c r="AH45" s="1620">
        <v>0</v>
      </c>
      <c r="AI45" s="1620">
        <v>0</v>
      </c>
      <c r="AJ45" s="1620">
        <v>0</v>
      </c>
      <c r="AK45" s="1620">
        <v>0</v>
      </c>
      <c r="AL45" s="1620"/>
      <c r="AM45" s="1620">
        <v>0</v>
      </c>
      <c r="AN45" s="1620">
        <v>0</v>
      </c>
      <c r="AO45" s="1620">
        <v>0</v>
      </c>
      <c r="AP45" s="1620">
        <v>0</v>
      </c>
      <c r="AQ45" s="1620">
        <v>0</v>
      </c>
      <c r="AR45" s="1620">
        <v>0</v>
      </c>
      <c r="AS45" s="1620">
        <v>0</v>
      </c>
      <c r="AT45" s="1620">
        <v>0</v>
      </c>
      <c r="AU45" s="1620">
        <v>0</v>
      </c>
      <c r="AV45" s="1620">
        <v>0</v>
      </c>
      <c r="AW45" s="1620">
        <v>0</v>
      </c>
      <c r="AX45" s="1620"/>
      <c r="AY45" s="1620">
        <v>1</v>
      </c>
      <c r="AZ45" s="1620">
        <v>1</v>
      </c>
      <c r="BA45" s="1620">
        <v>1</v>
      </c>
      <c r="BB45" s="1620">
        <v>1</v>
      </c>
      <c r="BC45" s="1620">
        <v>1</v>
      </c>
      <c r="BD45" s="1620">
        <v>1</v>
      </c>
      <c r="BE45" s="1620">
        <v>1</v>
      </c>
      <c r="BF45" s="1620">
        <v>1</v>
      </c>
      <c r="BG45" s="1620">
        <v>1</v>
      </c>
      <c r="BH45" s="1620">
        <v>1</v>
      </c>
      <c r="BI45" s="1620">
        <v>1</v>
      </c>
      <c r="BJ45" s="1603"/>
      <c r="BK45" s="1620">
        <v>0</v>
      </c>
      <c r="BL45" s="1620">
        <v>0</v>
      </c>
      <c r="BM45" s="1620">
        <v>30.800000000000004</v>
      </c>
      <c r="BN45" s="1620">
        <v>0</v>
      </c>
      <c r="BO45" s="1620"/>
      <c r="BP45" s="1620">
        <v>0</v>
      </c>
      <c r="BQ45" s="1620">
        <v>0</v>
      </c>
      <c r="BR45" s="1620">
        <v>1.062016260162596</v>
      </c>
      <c r="BS45" s="1620">
        <v>1.0178805194805152</v>
      </c>
      <c r="BT45" s="1603"/>
      <c r="BU45" s="1620">
        <v>692</v>
      </c>
      <c r="BV45" s="1620">
        <v>692</v>
      </c>
      <c r="BW45" s="1620">
        <v>0</v>
      </c>
      <c r="BX45" s="1620" t="s">
        <v>270</v>
      </c>
      <c r="BY45" s="1620" t="s">
        <v>270</v>
      </c>
      <c r="BZ45" s="1620" t="s">
        <v>270</v>
      </c>
      <c r="CA45" s="1620" t="s">
        <v>270</v>
      </c>
      <c r="CB45" s="1603"/>
      <c r="CC45" s="1603">
        <v>304.92</v>
      </c>
      <c r="CD45" s="1603">
        <v>0</v>
      </c>
      <c r="CE45" s="1603">
        <v>0</v>
      </c>
      <c r="CF45" s="1603">
        <v>0</v>
      </c>
      <c r="CG45" s="1603">
        <v>0</v>
      </c>
      <c r="CH45" s="1603">
        <v>0</v>
      </c>
      <c r="CI45" s="1603">
        <v>0</v>
      </c>
      <c r="CJ45" s="1603"/>
      <c r="CK45" s="1603">
        <v>0</v>
      </c>
      <c r="CL45" s="1603">
        <v>0</v>
      </c>
      <c r="CM45" s="1603">
        <v>0</v>
      </c>
      <c r="CN45" s="1603">
        <v>0</v>
      </c>
      <c r="CO45" s="1603">
        <v>0</v>
      </c>
      <c r="CP45" s="1603">
        <v>0</v>
      </c>
      <c r="CQ45" s="1603">
        <v>0</v>
      </c>
      <c r="CR45" s="1603">
        <v>0</v>
      </c>
      <c r="CS45" s="1603">
        <v>0</v>
      </c>
      <c r="CT45" s="1603">
        <v>0</v>
      </c>
      <c r="CU45" s="1603">
        <v>0</v>
      </c>
      <c r="CV45" s="1603">
        <v>0</v>
      </c>
      <c r="CW45" s="1603">
        <v>0</v>
      </c>
      <c r="CX45" s="1603">
        <v>0</v>
      </c>
      <c r="CY45" s="1603">
        <v>0</v>
      </c>
      <c r="CZ45" s="1603">
        <v>0</v>
      </c>
      <c r="DA45" s="1603">
        <v>0</v>
      </c>
      <c r="DB45" s="1603">
        <v>0</v>
      </c>
      <c r="DC45" s="1603">
        <v>0</v>
      </c>
      <c r="DD45" s="1603">
        <v>0</v>
      </c>
      <c r="DE45" s="1603">
        <v>0</v>
      </c>
      <c r="DF45" s="1603">
        <v>0</v>
      </c>
      <c r="DG45" s="1603">
        <v>0</v>
      </c>
      <c r="DH45" s="1603">
        <v>0</v>
      </c>
      <c r="DI45" s="1603">
        <v>0</v>
      </c>
      <c r="DJ45" s="1603">
        <v>0</v>
      </c>
      <c r="DK45" s="1603">
        <v>0</v>
      </c>
      <c r="DL45" s="1603">
        <v>0</v>
      </c>
      <c r="DM45" s="1603">
        <v>0</v>
      </c>
      <c r="DN45" s="1603">
        <v>0</v>
      </c>
      <c r="DO45" s="1603">
        <v>0</v>
      </c>
      <c r="DP45" s="1603">
        <v>0</v>
      </c>
      <c r="DQ45" s="1603">
        <v>0</v>
      </c>
      <c r="DR45" s="1603">
        <v>0</v>
      </c>
      <c r="DS45" s="1603">
        <v>0</v>
      </c>
      <c r="DT45" s="1603">
        <v>0</v>
      </c>
      <c r="DU45" s="1603">
        <v>0</v>
      </c>
      <c r="DV45" s="1603">
        <v>0</v>
      </c>
      <c r="DW45" s="1618" t="s">
        <v>986</v>
      </c>
      <c r="DX45" s="1605" t="s">
        <v>986</v>
      </c>
      <c r="DY45" s="1605" t="s">
        <v>986</v>
      </c>
      <c r="DZ45" s="1605" t="s">
        <v>986</v>
      </c>
      <c r="EA45" s="1605" t="s">
        <v>986</v>
      </c>
      <c r="EB45" s="1605" t="s">
        <v>986</v>
      </c>
      <c r="EC45" s="1605" t="s">
        <v>986</v>
      </c>
      <c r="ED45" s="1605" t="s">
        <v>986</v>
      </c>
      <c r="EE45" s="1605" t="s">
        <v>986</v>
      </c>
      <c r="EF45" s="1605" t="s">
        <v>986</v>
      </c>
      <c r="EG45" s="1605" t="s">
        <v>986</v>
      </c>
      <c r="EH45" s="1605" t="s">
        <v>986</v>
      </c>
      <c r="EI45" s="1605" t="s">
        <v>986</v>
      </c>
      <c r="EJ45" s="1605" t="s">
        <v>986</v>
      </c>
      <c r="EK45" s="1605" t="s">
        <v>986</v>
      </c>
      <c r="EL45" s="1605" t="s">
        <v>986</v>
      </c>
      <c r="EM45" s="1605" t="s">
        <v>986</v>
      </c>
      <c r="EN45" s="1605" t="s">
        <v>986</v>
      </c>
      <c r="EO45" s="1605" t="s">
        <v>986</v>
      </c>
      <c r="EP45" s="1605" t="s">
        <v>986</v>
      </c>
      <c r="EQ45" s="1605" t="s">
        <v>986</v>
      </c>
      <c r="ER45" s="1605" t="s">
        <v>986</v>
      </c>
      <c r="ES45" s="1605" t="s">
        <v>986</v>
      </c>
      <c r="ET45" s="1605" t="s">
        <v>986</v>
      </c>
      <c r="EU45" s="1605" t="s">
        <v>986</v>
      </c>
      <c r="EV45" s="1605" t="s">
        <v>986</v>
      </c>
      <c r="EW45" s="1605" t="s">
        <v>986</v>
      </c>
      <c r="EX45" s="1605" t="s">
        <v>986</v>
      </c>
      <c r="EY45" s="1605" t="s">
        <v>986</v>
      </c>
      <c r="EZ45" s="1605" t="s">
        <v>986</v>
      </c>
      <c r="FA45" s="1605" t="s">
        <v>986</v>
      </c>
      <c r="FB45" s="1605" t="s">
        <v>986</v>
      </c>
      <c r="FC45" s="1605" t="s">
        <v>986</v>
      </c>
      <c r="FD45" s="1605" t="s">
        <v>986</v>
      </c>
      <c r="FE45" s="1605" t="s">
        <v>986</v>
      </c>
      <c r="FF45" s="1605" t="s">
        <v>986</v>
      </c>
      <c r="FG45" s="1605" t="s">
        <v>986</v>
      </c>
      <c r="FH45" s="1605" t="s">
        <v>986</v>
      </c>
      <c r="FI45" s="1605" t="s">
        <v>986</v>
      </c>
      <c r="FJ45" s="1605" t="s">
        <v>986</v>
      </c>
      <c r="FK45" s="1605" t="s">
        <v>986</v>
      </c>
      <c r="FL45" s="1605" t="s">
        <v>986</v>
      </c>
      <c r="FM45" s="1605" t="s">
        <v>986</v>
      </c>
      <c r="FN45" s="1605" t="s">
        <v>986</v>
      </c>
      <c r="FO45" s="1605" t="s">
        <v>986</v>
      </c>
      <c r="FP45" s="1605" t="s">
        <v>986</v>
      </c>
      <c r="FQ45" s="1605" t="s">
        <v>986</v>
      </c>
      <c r="FR45" s="1605" t="s">
        <v>986</v>
      </c>
      <c r="FS45" s="1605" t="s">
        <v>986</v>
      </c>
      <c r="FT45" s="1605" t="s">
        <v>986</v>
      </c>
      <c r="FU45" s="1605" t="s">
        <v>986</v>
      </c>
      <c r="FV45" s="1605" t="s">
        <v>986</v>
      </c>
      <c r="FW45" s="1605" t="s">
        <v>986</v>
      </c>
      <c r="FX45" s="1605" t="s">
        <v>986</v>
      </c>
      <c r="FY45" s="1605" t="s">
        <v>986</v>
      </c>
      <c r="FZ45" s="1605" t="s">
        <v>986</v>
      </c>
      <c r="GA45" s="1605" t="s">
        <v>986</v>
      </c>
      <c r="GB45" s="1605" t="s">
        <v>986</v>
      </c>
      <c r="GC45" s="1605" t="s">
        <v>986</v>
      </c>
      <c r="GD45" s="1605" t="s">
        <v>986</v>
      </c>
      <c r="GE45" s="1605" t="s">
        <v>986</v>
      </c>
      <c r="GF45" s="1605" t="s">
        <v>986</v>
      </c>
      <c r="GG45" s="1605" t="s">
        <v>986</v>
      </c>
      <c r="GH45" s="1605" t="s">
        <v>986</v>
      </c>
      <c r="GI45" s="1605" t="s">
        <v>986</v>
      </c>
      <c r="GJ45" s="1605" t="s">
        <v>986</v>
      </c>
      <c r="GK45" s="1605" t="s">
        <v>986</v>
      </c>
      <c r="GL45" s="1605" t="s">
        <v>986</v>
      </c>
      <c r="GM45" s="1605" t="s">
        <v>986</v>
      </c>
      <c r="GN45" s="1605" t="s">
        <v>986</v>
      </c>
      <c r="GO45" s="1605" t="s">
        <v>986</v>
      </c>
      <c r="GP45" s="1605" t="s">
        <v>986</v>
      </c>
      <c r="GQ45" s="1605" t="s">
        <v>986</v>
      </c>
      <c r="GR45" s="1605" t="s">
        <v>986</v>
      </c>
      <c r="GS45" s="1605" t="s">
        <v>986</v>
      </c>
      <c r="GT45" s="1605" t="s">
        <v>986</v>
      </c>
      <c r="GU45" s="1605" t="s">
        <v>986</v>
      </c>
      <c r="GV45" s="1605" t="s">
        <v>986</v>
      </c>
      <c r="GW45" s="1605" t="s">
        <v>986</v>
      </c>
      <c r="GX45" s="1605" t="s">
        <v>986</v>
      </c>
      <c r="GY45" s="1605" t="s">
        <v>986</v>
      </c>
      <c r="GZ45" s="1605" t="s">
        <v>986</v>
      </c>
      <c r="HA45" s="1605" t="s">
        <v>986</v>
      </c>
      <c r="HB45" s="1605" t="s">
        <v>986</v>
      </c>
      <c r="HC45" s="1605" t="s">
        <v>986</v>
      </c>
      <c r="HD45" s="1605" t="s">
        <v>986</v>
      </c>
      <c r="HE45" s="1605" t="s">
        <v>986</v>
      </c>
      <c r="HF45" s="1605" t="s">
        <v>986</v>
      </c>
      <c r="HG45" s="1605" t="s">
        <v>986</v>
      </c>
      <c r="HH45" s="1605" t="s">
        <v>986</v>
      </c>
      <c r="HI45" s="1605" t="s">
        <v>986</v>
      </c>
      <c r="HJ45" s="1605" t="s">
        <v>986</v>
      </c>
      <c r="HK45" s="1605" t="s">
        <v>986</v>
      </c>
      <c r="HL45" s="1605" t="s">
        <v>986</v>
      </c>
      <c r="HM45" s="1605" t="s">
        <v>986</v>
      </c>
      <c r="HN45" s="1605" t="s">
        <v>986</v>
      </c>
      <c r="HO45" s="1605" t="s">
        <v>986</v>
      </c>
      <c r="HP45" s="1605" t="s">
        <v>986</v>
      </c>
      <c r="HQ45" s="1605" t="s">
        <v>986</v>
      </c>
      <c r="HR45" s="1605" t="s">
        <v>986</v>
      </c>
      <c r="HS45" s="1605" t="s">
        <v>986</v>
      </c>
      <c r="HT45" s="1605" t="s">
        <v>986</v>
      </c>
      <c r="HU45" s="1605" t="s">
        <v>986</v>
      </c>
      <c r="HV45" s="1617"/>
      <c r="HW45" s="1617" t="s">
        <v>3680</v>
      </c>
      <c r="HX45" s="1617">
        <v>0</v>
      </c>
      <c r="HY45" s="1617">
        <v>0</v>
      </c>
      <c r="HZ45" s="1603"/>
      <c r="IA45" s="1603"/>
      <c r="IB45" s="1603"/>
      <c r="IC45" s="1603">
        <v>0</v>
      </c>
      <c r="ID45" s="1603">
        <v>0</v>
      </c>
      <c r="IE45" s="1603">
        <v>0</v>
      </c>
      <c r="IF45" s="1603">
        <v>0</v>
      </c>
      <c r="IG45" s="1611" t="s">
        <v>2932</v>
      </c>
      <c r="IH45" s="1616" t="s">
        <v>270</v>
      </c>
      <c r="II45" s="1615" t="s">
        <v>270</v>
      </c>
      <c r="IJ45" s="1613">
        <v>1.3101818181818183</v>
      </c>
      <c r="IK45" s="1613">
        <v>1.301848484848485</v>
      </c>
      <c r="IL45" s="1614">
        <v>1.3101818181818183</v>
      </c>
      <c r="IM45" s="1614">
        <v>1.301848484848485</v>
      </c>
      <c r="IN45" s="1612" t="s">
        <v>270</v>
      </c>
      <c r="IO45" s="1613" t="s">
        <v>270</v>
      </c>
      <c r="IP45" s="1607" t="s">
        <v>270</v>
      </c>
      <c r="IQ45" s="1612" t="s">
        <v>270</v>
      </c>
      <c r="IR45" s="1612" t="s">
        <v>270</v>
      </c>
      <c r="IS45" s="1607">
        <v>1.1881818181818182</v>
      </c>
      <c r="IT45" s="1607">
        <v>1.1798484848484849</v>
      </c>
      <c r="IU45" s="1611">
        <v>0</v>
      </c>
      <c r="IV45" s="1611">
        <v>7.7767676767676763E-2</v>
      </c>
      <c r="IW45" s="1611">
        <v>9.0909090909090909E-4</v>
      </c>
      <c r="IX45" s="1611">
        <v>1.6060606060606061E-3</v>
      </c>
      <c r="IY45" s="1611">
        <v>9.6969696969696957E-4</v>
      </c>
      <c r="IZ45" s="1611">
        <v>5.9898989898989896E-3</v>
      </c>
      <c r="JA45" s="1611">
        <v>6.0606060606060598E-5</v>
      </c>
      <c r="JB45" s="1611" t="s">
        <v>270</v>
      </c>
      <c r="JC45" s="1611">
        <v>9.9026969696969704</v>
      </c>
      <c r="JD45" s="1611">
        <v>5.2121212121212122E-3</v>
      </c>
      <c r="JE45" s="1611" t="s">
        <v>270</v>
      </c>
      <c r="JF45" s="1611">
        <v>8.2828282828282835E-4</v>
      </c>
      <c r="JG45" s="1611">
        <v>0.57978787878787885</v>
      </c>
      <c r="JH45" s="1611">
        <v>7.646464646464647E-3</v>
      </c>
      <c r="JI45" s="1611">
        <v>0.3</v>
      </c>
      <c r="JJ45" s="1611" t="s">
        <v>270</v>
      </c>
      <c r="JK45" s="1607">
        <f t="shared" si="9"/>
        <v>0.12200000000000011</v>
      </c>
      <c r="JL45" s="1608" t="s">
        <v>270</v>
      </c>
      <c r="JM45" s="1610" t="s">
        <v>2924</v>
      </c>
      <c r="JN45" s="1608">
        <v>8.3333333333333037E-3</v>
      </c>
      <c r="JO45" s="1609" t="s">
        <v>2931</v>
      </c>
      <c r="JP45" s="1608" t="s">
        <v>270</v>
      </c>
      <c r="JQ45" s="1607">
        <v>202103</v>
      </c>
      <c r="JR45" s="1606">
        <v>851</v>
      </c>
      <c r="JS45" s="1606">
        <v>774</v>
      </c>
      <c r="JT45" s="1606">
        <v>774</v>
      </c>
    </row>
    <row r="46" spans="1:280" ht="15" customHeight="1" x14ac:dyDescent="0.2">
      <c r="A46" s="1626">
        <v>48400</v>
      </c>
      <c r="B46" s="1625">
        <v>484</v>
      </c>
      <c r="C46" s="1624">
        <v>0</v>
      </c>
      <c r="D46" s="1623" t="s">
        <v>3679</v>
      </c>
      <c r="E46" s="1622">
        <v>43025</v>
      </c>
      <c r="F46" s="1620">
        <v>-0.112682926829268</v>
      </c>
      <c r="G46" s="1620">
        <v>-0.108</v>
      </c>
      <c r="H46" s="1621">
        <v>70</v>
      </c>
      <c r="I46" s="1621">
        <v>70</v>
      </c>
      <c r="J46" s="1621">
        <v>0</v>
      </c>
      <c r="K46" s="1620">
        <v>1</v>
      </c>
      <c r="L46" s="1620">
        <v>99</v>
      </c>
      <c r="M46" s="1620">
        <v>0</v>
      </c>
      <c r="N46" s="1620">
        <v>0</v>
      </c>
      <c r="O46" s="1620">
        <v>99</v>
      </c>
      <c r="P46" s="1620">
        <v>0</v>
      </c>
      <c r="Q46" s="1603"/>
      <c r="R46" s="1620">
        <v>0</v>
      </c>
      <c r="S46" s="1620">
        <v>0</v>
      </c>
      <c r="T46" s="1620">
        <v>0</v>
      </c>
      <c r="U46" s="1620">
        <v>0</v>
      </c>
      <c r="V46" s="1620">
        <v>0</v>
      </c>
      <c r="W46" s="1620">
        <v>0</v>
      </c>
      <c r="X46" s="1620"/>
      <c r="Y46" s="1620">
        <v>1.0383838383838384</v>
      </c>
      <c r="Z46" s="1620">
        <v>0</v>
      </c>
      <c r="AA46" s="1620">
        <v>0</v>
      </c>
      <c r="AB46" s="1620">
        <v>0</v>
      </c>
      <c r="AC46" s="1620">
        <v>0</v>
      </c>
      <c r="AD46" s="1620">
        <v>0</v>
      </c>
      <c r="AE46" s="1620">
        <v>0</v>
      </c>
      <c r="AF46" s="1620">
        <v>0</v>
      </c>
      <c r="AG46" s="1620">
        <v>0</v>
      </c>
      <c r="AH46" s="1620">
        <v>0</v>
      </c>
      <c r="AI46" s="1620">
        <v>0</v>
      </c>
      <c r="AJ46" s="1620">
        <v>5959.5959595959594</v>
      </c>
      <c r="AK46" s="1620">
        <v>0</v>
      </c>
      <c r="AL46" s="1620"/>
      <c r="AM46" s="1620">
        <v>0</v>
      </c>
      <c r="AN46" s="1620">
        <v>0</v>
      </c>
      <c r="AO46" s="1620">
        <v>0</v>
      </c>
      <c r="AP46" s="1620">
        <v>0</v>
      </c>
      <c r="AQ46" s="1620">
        <v>0</v>
      </c>
      <c r="AR46" s="1620">
        <v>0</v>
      </c>
      <c r="AS46" s="1620">
        <v>0</v>
      </c>
      <c r="AT46" s="1620">
        <v>0</v>
      </c>
      <c r="AU46" s="1620">
        <v>0</v>
      </c>
      <c r="AV46" s="1620">
        <v>0</v>
      </c>
      <c r="AW46" s="1620">
        <v>0</v>
      </c>
      <c r="AX46" s="1620"/>
      <c r="AY46" s="1620">
        <v>1</v>
      </c>
      <c r="AZ46" s="1620">
        <v>1</v>
      </c>
      <c r="BA46" s="1620">
        <v>1</v>
      </c>
      <c r="BB46" s="1620">
        <v>1</v>
      </c>
      <c r="BC46" s="1620">
        <v>1</v>
      </c>
      <c r="BD46" s="1620">
        <v>1</v>
      </c>
      <c r="BE46" s="1620">
        <v>1</v>
      </c>
      <c r="BF46" s="1620">
        <v>1</v>
      </c>
      <c r="BG46" s="1620">
        <v>1</v>
      </c>
      <c r="BH46" s="1620">
        <v>1</v>
      </c>
      <c r="BI46" s="1620">
        <v>1</v>
      </c>
      <c r="BJ46" s="1603"/>
      <c r="BK46" s="1620">
        <v>0</v>
      </c>
      <c r="BL46" s="1620">
        <v>0</v>
      </c>
      <c r="BM46" s="1620">
        <v>100</v>
      </c>
      <c r="BN46" s="1620">
        <v>0</v>
      </c>
      <c r="BO46" s="1620"/>
      <c r="BP46" s="1620">
        <v>0</v>
      </c>
      <c r="BQ46" s="1620">
        <v>0</v>
      </c>
      <c r="BR46" s="1620">
        <v>-0.11382113821138182</v>
      </c>
      <c r="BS46" s="1620">
        <v>-0.1090909090909091</v>
      </c>
      <c r="BT46" s="1603"/>
      <c r="BU46" s="1620">
        <v>0</v>
      </c>
      <c r="BV46" s="1620">
        <v>0</v>
      </c>
      <c r="BW46" s="1620">
        <v>0</v>
      </c>
      <c r="BX46" s="1620" t="s">
        <v>270</v>
      </c>
      <c r="BY46" s="1620" t="s">
        <v>270</v>
      </c>
      <c r="BZ46" s="1620" t="s">
        <v>270</v>
      </c>
      <c r="CA46" s="1620" t="s">
        <v>270</v>
      </c>
      <c r="CB46" s="1603"/>
      <c r="CC46" s="1603">
        <v>1.028</v>
      </c>
      <c r="CD46" s="1603">
        <v>0</v>
      </c>
      <c r="CE46" s="1603">
        <v>0</v>
      </c>
      <c r="CF46" s="1603">
        <v>0</v>
      </c>
      <c r="CG46" s="1603">
        <v>0</v>
      </c>
      <c r="CH46" s="1603">
        <v>0</v>
      </c>
      <c r="CI46" s="1603">
        <v>0</v>
      </c>
      <c r="CJ46" s="1603"/>
      <c r="CK46" s="1603">
        <v>0</v>
      </c>
      <c r="CL46" s="1603">
        <v>0</v>
      </c>
      <c r="CM46" s="1603">
        <v>0</v>
      </c>
      <c r="CN46" s="1603">
        <v>0</v>
      </c>
      <c r="CO46" s="1603">
        <v>5900</v>
      </c>
      <c r="CP46" s="1603">
        <v>0</v>
      </c>
      <c r="CQ46" s="1603">
        <v>0</v>
      </c>
      <c r="CR46" s="1603">
        <v>0</v>
      </c>
      <c r="CS46" s="1603">
        <v>0</v>
      </c>
      <c r="CT46" s="1603">
        <v>0</v>
      </c>
      <c r="CU46" s="1603">
        <v>0</v>
      </c>
      <c r="CV46" s="1603">
        <v>0</v>
      </c>
      <c r="CW46" s="1603">
        <v>0</v>
      </c>
      <c r="CX46" s="1603">
        <v>0</v>
      </c>
      <c r="CY46" s="1603">
        <v>0</v>
      </c>
      <c r="CZ46" s="1603">
        <v>0</v>
      </c>
      <c r="DA46" s="1603">
        <v>0</v>
      </c>
      <c r="DB46" s="1603">
        <v>0</v>
      </c>
      <c r="DC46" s="1603">
        <v>0</v>
      </c>
      <c r="DD46" s="1603">
        <v>0</v>
      </c>
      <c r="DE46" s="1603">
        <v>0</v>
      </c>
      <c r="DF46" s="1603">
        <v>0</v>
      </c>
      <c r="DG46" s="1603">
        <v>0</v>
      </c>
      <c r="DH46" s="1603">
        <v>0</v>
      </c>
      <c r="DI46" s="1603">
        <v>0</v>
      </c>
      <c r="DJ46" s="1603">
        <v>0</v>
      </c>
      <c r="DK46" s="1603">
        <v>0</v>
      </c>
      <c r="DL46" s="1603">
        <v>0</v>
      </c>
      <c r="DM46" s="1603">
        <v>0</v>
      </c>
      <c r="DN46" s="1603">
        <v>0</v>
      </c>
      <c r="DO46" s="1603">
        <v>0</v>
      </c>
      <c r="DP46" s="1603">
        <v>0</v>
      </c>
      <c r="DQ46" s="1603">
        <v>0</v>
      </c>
      <c r="DR46" s="1603">
        <v>0</v>
      </c>
      <c r="DS46" s="1603">
        <v>0</v>
      </c>
      <c r="DT46" s="1603">
        <v>0</v>
      </c>
      <c r="DU46" s="1603">
        <v>0</v>
      </c>
      <c r="DV46" s="1603">
        <v>0</v>
      </c>
      <c r="DW46" s="1618" t="s">
        <v>986</v>
      </c>
      <c r="DX46" s="1605" t="s">
        <v>986</v>
      </c>
      <c r="DY46" s="1605" t="s">
        <v>986</v>
      </c>
      <c r="DZ46" s="1605" t="s">
        <v>986</v>
      </c>
      <c r="EA46" s="1605" t="s">
        <v>986</v>
      </c>
      <c r="EB46" s="1605" t="s">
        <v>986</v>
      </c>
      <c r="EC46" s="1605" t="s">
        <v>986</v>
      </c>
      <c r="ED46" s="1605" t="s">
        <v>986</v>
      </c>
      <c r="EE46" s="1605" t="s">
        <v>986</v>
      </c>
      <c r="EF46" s="1605" t="s">
        <v>986</v>
      </c>
      <c r="EG46" s="1605" t="s">
        <v>986</v>
      </c>
      <c r="EH46" s="1605" t="s">
        <v>986</v>
      </c>
      <c r="EI46" s="1605" t="s">
        <v>986</v>
      </c>
      <c r="EJ46" s="1605" t="s">
        <v>986</v>
      </c>
      <c r="EK46" s="1605" t="s">
        <v>986</v>
      </c>
      <c r="EL46" s="1605" t="s">
        <v>986</v>
      </c>
      <c r="EM46" s="1605" t="s">
        <v>986</v>
      </c>
      <c r="EN46" s="1605" t="s">
        <v>986</v>
      </c>
      <c r="EO46" s="1605" t="s">
        <v>986</v>
      </c>
      <c r="EP46" s="1605" t="s">
        <v>986</v>
      </c>
      <c r="EQ46" s="1605" t="s">
        <v>986</v>
      </c>
      <c r="ER46" s="1605" t="s">
        <v>986</v>
      </c>
      <c r="ES46" s="1605" t="s">
        <v>986</v>
      </c>
      <c r="ET46" s="1605" t="s">
        <v>986</v>
      </c>
      <c r="EU46" s="1605" t="s">
        <v>986</v>
      </c>
      <c r="EV46" s="1605" t="s">
        <v>986</v>
      </c>
      <c r="EW46" s="1605" t="s">
        <v>986</v>
      </c>
      <c r="EX46" s="1605" t="s">
        <v>986</v>
      </c>
      <c r="EY46" s="1605" t="s">
        <v>986</v>
      </c>
      <c r="EZ46" s="1605" t="s">
        <v>986</v>
      </c>
      <c r="FA46" s="1605" t="s">
        <v>986</v>
      </c>
      <c r="FB46" s="1605" t="s">
        <v>986</v>
      </c>
      <c r="FC46" s="1605" t="s">
        <v>986</v>
      </c>
      <c r="FD46" s="1605" t="s">
        <v>986</v>
      </c>
      <c r="FE46" s="1605" t="s">
        <v>986</v>
      </c>
      <c r="FF46" s="1605" t="s">
        <v>986</v>
      </c>
      <c r="FG46" s="1605" t="s">
        <v>986</v>
      </c>
      <c r="FH46" s="1605" t="s">
        <v>986</v>
      </c>
      <c r="FI46" s="1605" t="s">
        <v>986</v>
      </c>
      <c r="FJ46" s="1605" t="s">
        <v>986</v>
      </c>
      <c r="FK46" s="1605" t="s">
        <v>986</v>
      </c>
      <c r="FL46" s="1605" t="s">
        <v>986</v>
      </c>
      <c r="FM46" s="1605" t="s">
        <v>986</v>
      </c>
      <c r="FN46" s="1605" t="s">
        <v>986</v>
      </c>
      <c r="FO46" s="1605" t="s">
        <v>986</v>
      </c>
      <c r="FP46" s="1605" t="s">
        <v>986</v>
      </c>
      <c r="FQ46" s="1605" t="s">
        <v>986</v>
      </c>
      <c r="FR46" s="1605" t="s">
        <v>986</v>
      </c>
      <c r="FS46" s="1605" t="s">
        <v>986</v>
      </c>
      <c r="FT46" s="1605" t="s">
        <v>986</v>
      </c>
      <c r="FU46" s="1605" t="s">
        <v>986</v>
      </c>
      <c r="FV46" s="1605" t="s">
        <v>986</v>
      </c>
      <c r="FW46" s="1605" t="s">
        <v>986</v>
      </c>
      <c r="FX46" s="1605" t="s">
        <v>986</v>
      </c>
      <c r="FY46" s="1605" t="s">
        <v>986</v>
      </c>
      <c r="FZ46" s="1605" t="s">
        <v>986</v>
      </c>
      <c r="GA46" s="1605" t="s">
        <v>986</v>
      </c>
      <c r="GB46" s="1605" t="s">
        <v>986</v>
      </c>
      <c r="GC46" s="1605" t="s">
        <v>986</v>
      </c>
      <c r="GD46" s="1605" t="s">
        <v>986</v>
      </c>
      <c r="GE46" s="1605" t="s">
        <v>986</v>
      </c>
      <c r="GF46" s="1605" t="s">
        <v>986</v>
      </c>
      <c r="GG46" s="1605" t="s">
        <v>986</v>
      </c>
      <c r="GH46" s="1605" t="s">
        <v>986</v>
      </c>
      <c r="GI46" s="1605" t="s">
        <v>986</v>
      </c>
      <c r="GJ46" s="1605" t="s">
        <v>986</v>
      </c>
      <c r="GK46" s="1605" t="s">
        <v>986</v>
      </c>
      <c r="GL46" s="1605" t="s">
        <v>986</v>
      </c>
      <c r="GM46" s="1605" t="s">
        <v>986</v>
      </c>
      <c r="GN46" s="1605" t="s">
        <v>986</v>
      </c>
      <c r="GO46" s="1605" t="s">
        <v>986</v>
      </c>
      <c r="GP46" s="1605" t="s">
        <v>986</v>
      </c>
      <c r="GQ46" s="1605" t="s">
        <v>986</v>
      </c>
      <c r="GR46" s="1605" t="s">
        <v>986</v>
      </c>
      <c r="GS46" s="1605" t="s">
        <v>986</v>
      </c>
      <c r="GT46" s="1605" t="s">
        <v>986</v>
      </c>
      <c r="GU46" s="1605" t="s">
        <v>986</v>
      </c>
      <c r="GV46" s="1605" t="s">
        <v>986</v>
      </c>
      <c r="GW46" s="1605" t="s">
        <v>986</v>
      </c>
      <c r="GX46" s="1605" t="s">
        <v>986</v>
      </c>
      <c r="GY46" s="1605" t="s">
        <v>986</v>
      </c>
      <c r="GZ46" s="1605" t="s">
        <v>986</v>
      </c>
      <c r="HA46" s="1605" t="s">
        <v>986</v>
      </c>
      <c r="HB46" s="1605" t="s">
        <v>986</v>
      </c>
      <c r="HC46" s="1605" t="s">
        <v>986</v>
      </c>
      <c r="HD46" s="1605" t="s">
        <v>986</v>
      </c>
      <c r="HE46" s="1605" t="s">
        <v>986</v>
      </c>
      <c r="HF46" s="1605" t="s">
        <v>986</v>
      </c>
      <c r="HG46" s="1605" t="s">
        <v>986</v>
      </c>
      <c r="HH46" s="1605" t="s">
        <v>986</v>
      </c>
      <c r="HI46" s="1605" t="s">
        <v>986</v>
      </c>
      <c r="HJ46" s="1605" t="s">
        <v>986</v>
      </c>
      <c r="HK46" s="1605" t="s">
        <v>986</v>
      </c>
      <c r="HL46" s="1605" t="s">
        <v>986</v>
      </c>
      <c r="HM46" s="1605" t="s">
        <v>986</v>
      </c>
      <c r="HN46" s="1605" t="s">
        <v>986</v>
      </c>
      <c r="HO46" s="1605" t="s">
        <v>986</v>
      </c>
      <c r="HP46" s="1605" t="s">
        <v>986</v>
      </c>
      <c r="HQ46" s="1605" t="s">
        <v>986</v>
      </c>
      <c r="HR46" s="1605" t="s">
        <v>986</v>
      </c>
      <c r="HS46" s="1605" t="s">
        <v>986</v>
      </c>
      <c r="HT46" s="1605" t="s">
        <v>986</v>
      </c>
      <c r="HU46" s="1605" t="s">
        <v>986</v>
      </c>
      <c r="HV46" s="1617"/>
      <c r="HW46" s="1617">
        <v>0</v>
      </c>
      <c r="HX46" s="1617">
        <v>0</v>
      </c>
      <c r="HY46" s="1617">
        <v>0</v>
      </c>
      <c r="HZ46" s="1603"/>
      <c r="IA46" s="1603"/>
      <c r="IB46" s="1603"/>
      <c r="IC46" s="1603">
        <v>0</v>
      </c>
      <c r="ID46" s="1603">
        <v>0</v>
      </c>
      <c r="IE46" s="1603">
        <v>0</v>
      </c>
      <c r="IF46" s="1603">
        <v>0</v>
      </c>
      <c r="IG46" s="1611" t="s">
        <v>2932</v>
      </c>
      <c r="IH46" s="1616" t="s">
        <v>270</v>
      </c>
      <c r="II46" s="1615" t="s">
        <v>270</v>
      </c>
      <c r="IJ46" s="1613">
        <v>1.3101818181818183</v>
      </c>
      <c r="IK46" s="1613">
        <v>1.301848484848485</v>
      </c>
      <c r="IL46" s="1614">
        <v>1.3101818181818183</v>
      </c>
      <c r="IM46" s="1614">
        <v>1.301848484848485</v>
      </c>
      <c r="IN46" s="1612" t="s">
        <v>270</v>
      </c>
      <c r="IO46" s="1613" t="s">
        <v>270</v>
      </c>
      <c r="IP46" s="1607" t="s">
        <v>270</v>
      </c>
      <c r="IQ46" s="1612" t="s">
        <v>270</v>
      </c>
      <c r="IR46" s="1612" t="s">
        <v>270</v>
      </c>
      <c r="IS46" s="1607">
        <v>1.1881818181818182</v>
      </c>
      <c r="IT46" s="1607">
        <v>1.1798484848484849</v>
      </c>
      <c r="IU46" s="1611">
        <v>0</v>
      </c>
      <c r="IV46" s="1611">
        <v>7.7767676767676763E-2</v>
      </c>
      <c r="IW46" s="1611">
        <v>9.0909090909090909E-4</v>
      </c>
      <c r="IX46" s="1611">
        <v>1.6060606060606061E-3</v>
      </c>
      <c r="IY46" s="1611">
        <v>9.6969696969696957E-4</v>
      </c>
      <c r="IZ46" s="1611">
        <v>5.9898989898989896E-3</v>
      </c>
      <c r="JA46" s="1611">
        <v>6.0606060606060598E-5</v>
      </c>
      <c r="JB46" s="1611" t="s">
        <v>270</v>
      </c>
      <c r="JC46" s="1611">
        <v>9.9026969696969704</v>
      </c>
      <c r="JD46" s="1611">
        <v>5.2121212121212122E-3</v>
      </c>
      <c r="JE46" s="1611" t="s">
        <v>270</v>
      </c>
      <c r="JF46" s="1611">
        <v>8.2828282828282835E-4</v>
      </c>
      <c r="JG46" s="1611">
        <v>0.57978787878787885</v>
      </c>
      <c r="JH46" s="1611">
        <v>7.646464646464647E-3</v>
      </c>
      <c r="JI46" s="1611">
        <v>0.3</v>
      </c>
      <c r="JJ46" s="1611" t="s">
        <v>270</v>
      </c>
      <c r="JK46" s="1607">
        <f t="shared" si="9"/>
        <v>0.12200000000000011</v>
      </c>
      <c r="JL46" s="1608" t="s">
        <v>270</v>
      </c>
      <c r="JM46" s="1610" t="s">
        <v>2924</v>
      </c>
      <c r="JN46" s="1608">
        <v>8.3333333333333037E-3</v>
      </c>
      <c r="JO46" s="1609" t="s">
        <v>2931</v>
      </c>
      <c r="JP46" s="1608" t="s">
        <v>270</v>
      </c>
      <c r="JQ46" s="1607">
        <v>202103</v>
      </c>
      <c r="JR46" s="1606">
        <v>851</v>
      </c>
      <c r="JS46" s="1606">
        <v>774</v>
      </c>
      <c r="JT46" s="1606">
        <v>774</v>
      </c>
    </row>
    <row r="47" spans="1:280" ht="15" customHeight="1" x14ac:dyDescent="0.2">
      <c r="A47" s="1626">
        <v>67900</v>
      </c>
      <c r="B47" s="1625">
        <v>679</v>
      </c>
      <c r="C47" s="1624">
        <v>0</v>
      </c>
      <c r="D47" s="1623" t="s">
        <v>3678</v>
      </c>
      <c r="E47" s="1622">
        <v>43031</v>
      </c>
      <c r="F47" s="1620">
        <v>1.22</v>
      </c>
      <c r="G47" s="1620">
        <v>1.2380368068575101</v>
      </c>
      <c r="H47" s="1621">
        <v>96.3</v>
      </c>
      <c r="I47" s="1621">
        <v>88.8</v>
      </c>
      <c r="J47" s="1621">
        <v>90</v>
      </c>
      <c r="K47" s="1620">
        <v>1</v>
      </c>
      <c r="L47" s="1620">
        <v>95.4</v>
      </c>
      <c r="M47" s="1620">
        <v>6.3</v>
      </c>
      <c r="N47" s="1620">
        <v>0.40253164556962001</v>
      </c>
      <c r="O47" s="1620">
        <v>5.0316455696202604</v>
      </c>
      <c r="P47" s="1620">
        <v>4.78006329113924</v>
      </c>
      <c r="Q47" s="1603"/>
      <c r="R47" s="1620">
        <v>50</v>
      </c>
      <c r="S47" s="1620">
        <v>50</v>
      </c>
      <c r="T47" s="1620">
        <v>50</v>
      </c>
      <c r="U47" s="1620">
        <v>50</v>
      </c>
      <c r="V47" s="1620">
        <v>50</v>
      </c>
      <c r="W47" s="1620">
        <v>50</v>
      </c>
      <c r="X47" s="1620"/>
      <c r="Y47" s="1620">
        <v>2.5786163522012577</v>
      </c>
      <c r="Z47" s="1620">
        <v>2.4213836477987418</v>
      </c>
      <c r="AA47" s="1620">
        <v>1.4240506329113942</v>
      </c>
      <c r="AB47" s="1620">
        <v>0</v>
      </c>
      <c r="AC47" s="1620">
        <v>13.502109704641404</v>
      </c>
      <c r="AD47" s="1620">
        <v>1.2341772151898742</v>
      </c>
      <c r="AE47" s="1620">
        <v>0</v>
      </c>
      <c r="AF47" s="1620">
        <v>360.75949367088572</v>
      </c>
      <c r="AG47" s="1620">
        <v>19.514767932489519</v>
      </c>
      <c r="AH47" s="1620">
        <v>59.071729957805864</v>
      </c>
      <c r="AI47" s="1620">
        <v>129.74683544303775</v>
      </c>
      <c r="AJ47" s="1620">
        <v>0</v>
      </c>
      <c r="AK47" s="1620">
        <v>0</v>
      </c>
      <c r="AL47" s="1620"/>
      <c r="AM47" s="1620">
        <v>2.8730158730158699</v>
      </c>
      <c r="AN47" s="1620">
        <v>0.73015873015873001</v>
      </c>
      <c r="AO47" s="1620">
        <v>0.55559142857142896</v>
      </c>
      <c r="AP47" s="1620">
        <v>2.5238095238095202</v>
      </c>
      <c r="AQ47" s="1620">
        <v>0.92727272727272703</v>
      </c>
      <c r="AR47" s="1620">
        <v>2.4363636363636401</v>
      </c>
      <c r="AS47" s="1620">
        <v>3.2727272727272698</v>
      </c>
      <c r="AT47" s="1620">
        <v>1.25454545454545</v>
      </c>
      <c r="AU47" s="1620">
        <v>2.16363636363636</v>
      </c>
      <c r="AV47" s="1620">
        <v>1.2</v>
      </c>
      <c r="AW47" s="1620">
        <v>2.9272727272727299</v>
      </c>
      <c r="AX47" s="1620"/>
      <c r="AY47" s="1620">
        <v>1</v>
      </c>
      <c r="AZ47" s="1620">
        <v>1</v>
      </c>
      <c r="BA47" s="1620">
        <v>1</v>
      </c>
      <c r="BB47" s="1620">
        <v>1</v>
      </c>
      <c r="BC47" s="1620">
        <v>1</v>
      </c>
      <c r="BD47" s="1620">
        <v>1</v>
      </c>
      <c r="BE47" s="1620">
        <v>1</v>
      </c>
      <c r="BF47" s="1620">
        <v>1</v>
      </c>
      <c r="BG47" s="1620">
        <v>1</v>
      </c>
      <c r="BH47" s="1620">
        <v>1</v>
      </c>
      <c r="BI47" s="1620">
        <v>1</v>
      </c>
      <c r="BJ47" s="1603"/>
      <c r="BK47" s="1620">
        <v>6.6037735849056602</v>
      </c>
      <c r="BL47" s="1620">
        <v>0.42194092827004187</v>
      </c>
      <c r="BM47" s="1620">
        <v>5.2742616033755345</v>
      </c>
      <c r="BN47" s="1620">
        <v>5.0105485232067499</v>
      </c>
      <c r="BO47" s="1620"/>
      <c r="BP47" s="1620">
        <v>0</v>
      </c>
      <c r="BQ47" s="1620">
        <v>0</v>
      </c>
      <c r="BR47" s="1620">
        <v>1.2788259958071277</v>
      </c>
      <c r="BS47" s="1620">
        <v>1.2977325019470753</v>
      </c>
      <c r="BT47" s="1603"/>
      <c r="BU47" s="1620">
        <v>947.25738396624536</v>
      </c>
      <c r="BV47" s="1620">
        <v>746.5298315648206</v>
      </c>
      <c r="BW47" s="1620">
        <v>101.49186256781203</v>
      </c>
      <c r="BX47" s="1620" t="s">
        <v>270</v>
      </c>
      <c r="BY47" s="1620">
        <v>156</v>
      </c>
      <c r="BZ47" s="1620">
        <v>62.308814357364767</v>
      </c>
      <c r="CA47" s="1620">
        <v>67.501215553811946</v>
      </c>
      <c r="CB47" s="1603"/>
      <c r="CC47" s="1603">
        <v>2.46</v>
      </c>
      <c r="CD47" s="1603">
        <v>2.31</v>
      </c>
      <c r="CE47" s="1603">
        <v>1.3585443037974703</v>
      </c>
      <c r="CF47" s="1603">
        <v>0</v>
      </c>
      <c r="CG47" s="1603">
        <v>12.881012658227901</v>
      </c>
      <c r="CH47" s="1603">
        <v>1.1774050632911401</v>
      </c>
      <c r="CI47" s="1603">
        <v>0</v>
      </c>
      <c r="CJ47" s="1603"/>
      <c r="CK47" s="1603">
        <v>344.16455696202502</v>
      </c>
      <c r="CL47" s="1603">
        <v>18.617088607595004</v>
      </c>
      <c r="CM47" s="1603">
        <v>56.354430379746802</v>
      </c>
      <c r="CN47" s="1603">
        <v>123.77848101265802</v>
      </c>
      <c r="CO47" s="1603">
        <v>0</v>
      </c>
      <c r="CP47" s="1603">
        <v>0</v>
      </c>
      <c r="CQ47" s="1603">
        <v>31.5</v>
      </c>
      <c r="CR47" s="1603">
        <v>25.819672131147541</v>
      </c>
      <c r="CS47" s="1603">
        <v>0.74180327868852625</v>
      </c>
      <c r="CT47" s="1603">
        <v>0.18852459016393444</v>
      </c>
      <c r="CU47" s="1603">
        <v>0.14345188524590166</v>
      </c>
      <c r="CV47" s="1603">
        <v>0.3319764754098361</v>
      </c>
      <c r="CW47" s="1603">
        <v>0.65163934426229431</v>
      </c>
      <c r="CX47" s="1603">
        <v>0.23941877794336805</v>
      </c>
      <c r="CY47" s="1603">
        <v>0.629061102831596</v>
      </c>
      <c r="CZ47" s="1603">
        <v>0.84500745156482793</v>
      </c>
      <c r="DA47" s="1603">
        <v>0.32391952309985</v>
      </c>
      <c r="DB47" s="1603">
        <v>0.55864381520119177</v>
      </c>
      <c r="DC47" s="1603">
        <v>0.30983606557377052</v>
      </c>
      <c r="DD47" s="1603">
        <v>0.86847988077495897</v>
      </c>
      <c r="DE47" s="1603">
        <v>0.75581222056631725</v>
      </c>
      <c r="DF47" s="1603">
        <v>0</v>
      </c>
      <c r="DG47" s="1603">
        <v>0</v>
      </c>
      <c r="DH47" s="1603">
        <v>0</v>
      </c>
      <c r="DI47" s="1603">
        <v>0</v>
      </c>
      <c r="DJ47" s="1603">
        <v>0</v>
      </c>
      <c r="DK47" s="1603">
        <v>0</v>
      </c>
      <c r="DL47" s="1603">
        <v>0</v>
      </c>
      <c r="DM47" s="1603">
        <v>0</v>
      </c>
      <c r="DN47" s="1603">
        <v>0</v>
      </c>
      <c r="DO47" s="1603">
        <v>0</v>
      </c>
      <c r="DP47" s="1603">
        <v>0</v>
      </c>
      <c r="DQ47" s="1603">
        <v>0</v>
      </c>
      <c r="DR47" s="1603">
        <v>0</v>
      </c>
      <c r="DS47" s="1603">
        <v>0</v>
      </c>
      <c r="DT47" s="1603">
        <v>0</v>
      </c>
      <c r="DU47" s="1603">
        <v>0</v>
      </c>
      <c r="DV47" s="1603">
        <v>0</v>
      </c>
      <c r="DW47" s="1618" t="s">
        <v>3677</v>
      </c>
      <c r="DX47" s="1605" t="s">
        <v>986</v>
      </c>
      <c r="DY47" s="1605">
        <v>4</v>
      </c>
      <c r="DZ47" s="1605">
        <v>4</v>
      </c>
      <c r="EA47" s="1605">
        <v>4</v>
      </c>
      <c r="EB47" s="1605" t="s">
        <v>986</v>
      </c>
      <c r="EC47" s="1605" t="s">
        <v>986</v>
      </c>
      <c r="ED47" s="1605" t="s">
        <v>986</v>
      </c>
      <c r="EE47" s="1605" t="s">
        <v>986</v>
      </c>
      <c r="EF47" s="1605" t="s">
        <v>986</v>
      </c>
      <c r="EG47" s="1605" t="s">
        <v>986</v>
      </c>
      <c r="EH47" s="1605">
        <v>4</v>
      </c>
      <c r="EI47" s="1605">
        <v>4</v>
      </c>
      <c r="EJ47" s="1605">
        <v>4</v>
      </c>
      <c r="EK47" s="1605">
        <v>4</v>
      </c>
      <c r="EL47" s="1605" t="s">
        <v>986</v>
      </c>
      <c r="EM47" s="1605" t="s">
        <v>986</v>
      </c>
      <c r="EN47" s="1605" t="s">
        <v>986</v>
      </c>
      <c r="EO47" s="1605" t="s">
        <v>986</v>
      </c>
      <c r="EP47" s="1605" t="s">
        <v>986</v>
      </c>
      <c r="EQ47" s="1605" t="s">
        <v>986</v>
      </c>
      <c r="ER47" s="1605" t="s">
        <v>986</v>
      </c>
      <c r="ES47" s="1605">
        <v>4</v>
      </c>
      <c r="ET47" s="1605">
        <v>4</v>
      </c>
      <c r="EU47" s="1605" t="s">
        <v>986</v>
      </c>
      <c r="EV47" s="1605" t="s">
        <v>986</v>
      </c>
      <c r="EW47" s="1605" t="s">
        <v>986</v>
      </c>
      <c r="EX47" s="1605" t="s">
        <v>986</v>
      </c>
      <c r="EY47" s="1605" t="s">
        <v>986</v>
      </c>
      <c r="EZ47" s="1605" t="s">
        <v>986</v>
      </c>
      <c r="FA47" s="1605" t="s">
        <v>986</v>
      </c>
      <c r="FB47" s="1605" t="s">
        <v>986</v>
      </c>
      <c r="FC47" s="1605" t="s">
        <v>986</v>
      </c>
      <c r="FD47" s="1605" t="s">
        <v>986</v>
      </c>
      <c r="FE47" s="1605" t="s">
        <v>986</v>
      </c>
      <c r="FF47" s="1605" t="s">
        <v>986</v>
      </c>
      <c r="FG47" s="1605">
        <v>0.05</v>
      </c>
      <c r="FH47" s="1605" t="s">
        <v>986</v>
      </c>
      <c r="FI47" s="1605">
        <v>0.1</v>
      </c>
      <c r="FJ47" s="1605" t="s">
        <v>986</v>
      </c>
      <c r="FK47" s="1605" t="s">
        <v>986</v>
      </c>
      <c r="FL47" s="1605" t="s">
        <v>986</v>
      </c>
      <c r="FM47" s="1605" t="s">
        <v>986</v>
      </c>
      <c r="FN47" s="1605">
        <v>0.65</v>
      </c>
      <c r="FO47" s="1605">
        <v>0.7</v>
      </c>
      <c r="FP47" s="1605">
        <v>0.04</v>
      </c>
      <c r="FQ47" s="1605" t="s">
        <v>986</v>
      </c>
      <c r="FR47" s="1605">
        <v>0.01</v>
      </c>
      <c r="FS47" s="1605">
        <v>0.02</v>
      </c>
      <c r="FT47" s="1605" t="s">
        <v>986</v>
      </c>
      <c r="FU47" s="1605" t="s">
        <v>986</v>
      </c>
      <c r="FV47" s="1605" t="s">
        <v>986</v>
      </c>
      <c r="FW47" s="1605" t="s">
        <v>986</v>
      </c>
      <c r="FX47" s="1605" t="s">
        <v>986</v>
      </c>
      <c r="FY47" s="1605" t="s">
        <v>986</v>
      </c>
      <c r="FZ47" s="1605" t="s">
        <v>986</v>
      </c>
      <c r="GA47" s="1605" t="s">
        <v>986</v>
      </c>
      <c r="GB47" s="1605">
        <v>7.0000000000000007E-2</v>
      </c>
      <c r="GC47" s="1605" t="s">
        <v>986</v>
      </c>
      <c r="GD47" s="1605" t="s">
        <v>986</v>
      </c>
      <c r="GE47" s="1605" t="s">
        <v>986</v>
      </c>
      <c r="GF47" s="1605" t="s">
        <v>986</v>
      </c>
      <c r="GG47" s="1605" t="s">
        <v>986</v>
      </c>
      <c r="GH47" s="1605" t="s">
        <v>986</v>
      </c>
      <c r="GI47" s="1605" t="s">
        <v>986</v>
      </c>
      <c r="GJ47" s="1605" t="s">
        <v>986</v>
      </c>
      <c r="GK47" s="1605" t="s">
        <v>986</v>
      </c>
      <c r="GL47" s="1605" t="s">
        <v>986</v>
      </c>
      <c r="GM47" s="1605" t="s">
        <v>986</v>
      </c>
      <c r="GN47" s="1605" t="s">
        <v>1583</v>
      </c>
      <c r="GO47" s="1605" t="s">
        <v>1583</v>
      </c>
      <c r="GP47" s="1605" t="s">
        <v>1583</v>
      </c>
      <c r="GQ47" s="1605" t="s">
        <v>1583</v>
      </c>
      <c r="GR47" s="1605" t="s">
        <v>986</v>
      </c>
      <c r="GS47" s="1605" t="s">
        <v>986</v>
      </c>
      <c r="GT47" s="1605" t="s">
        <v>986</v>
      </c>
      <c r="GU47" s="1605" t="s">
        <v>986</v>
      </c>
      <c r="GV47" s="1605" t="s">
        <v>1583</v>
      </c>
      <c r="GW47" s="1605" t="s">
        <v>1583</v>
      </c>
      <c r="GX47" s="1605" t="s">
        <v>1583</v>
      </c>
      <c r="GY47" s="1605" t="s">
        <v>1583</v>
      </c>
      <c r="GZ47" s="1605" t="s">
        <v>1583</v>
      </c>
      <c r="HA47" s="1605" t="s">
        <v>1583</v>
      </c>
      <c r="HB47" s="1605" t="s">
        <v>986</v>
      </c>
      <c r="HC47" s="1605" t="s">
        <v>986</v>
      </c>
      <c r="HD47" s="1605" t="s">
        <v>986</v>
      </c>
      <c r="HE47" s="1605" t="s">
        <v>986</v>
      </c>
      <c r="HF47" s="1605" t="s">
        <v>986</v>
      </c>
      <c r="HG47" s="1605" t="s">
        <v>986</v>
      </c>
      <c r="HH47" s="1605" t="s">
        <v>986</v>
      </c>
      <c r="HI47" s="1605" t="s">
        <v>3676</v>
      </c>
      <c r="HJ47" s="1605" t="s">
        <v>1583</v>
      </c>
      <c r="HK47" s="1605" t="s">
        <v>986</v>
      </c>
      <c r="HL47" s="1605" t="s">
        <v>986</v>
      </c>
      <c r="HM47" s="1605" t="s">
        <v>986</v>
      </c>
      <c r="HN47" s="1605" t="s">
        <v>986</v>
      </c>
      <c r="HO47" s="1605" t="s">
        <v>986</v>
      </c>
      <c r="HP47" s="1605" t="s">
        <v>986</v>
      </c>
      <c r="HQ47" s="1605" t="s">
        <v>986</v>
      </c>
      <c r="HR47" s="1605" t="s">
        <v>986</v>
      </c>
      <c r="HS47" s="1605" t="s">
        <v>986</v>
      </c>
      <c r="HT47" s="1605" t="s">
        <v>986</v>
      </c>
      <c r="HU47" s="1605" t="s">
        <v>986</v>
      </c>
      <c r="HV47" s="1617"/>
      <c r="HW47" s="1617" t="s">
        <v>3675</v>
      </c>
      <c r="HX47" s="1617">
        <v>0</v>
      </c>
      <c r="HY47" s="1617">
        <v>0</v>
      </c>
      <c r="HZ47" s="1603"/>
      <c r="IA47" s="1603"/>
      <c r="IB47" s="1603"/>
      <c r="IC47" s="1603">
        <v>50</v>
      </c>
      <c r="ID47" s="1603">
        <v>50</v>
      </c>
      <c r="IE47" s="1603">
        <v>50</v>
      </c>
      <c r="IF47" s="1603">
        <v>50</v>
      </c>
      <c r="IG47" s="1611" t="s">
        <v>270</v>
      </c>
      <c r="IH47" s="1616" t="s">
        <v>270</v>
      </c>
      <c r="II47" s="1615" t="s">
        <v>270</v>
      </c>
      <c r="IJ47" s="1613">
        <v>0.63600000000000001</v>
      </c>
      <c r="IK47" s="1613">
        <v>0.63600000000000001</v>
      </c>
      <c r="IL47" s="1614">
        <v>0.63600000000000001</v>
      </c>
      <c r="IM47" s="1614">
        <v>0.63600000000000001</v>
      </c>
      <c r="IN47" s="1612">
        <v>0.63600000000000001</v>
      </c>
      <c r="IO47" s="1613">
        <v>0</v>
      </c>
      <c r="IP47" s="1607" t="s">
        <v>270</v>
      </c>
      <c r="IQ47" s="1612" t="s">
        <v>270</v>
      </c>
      <c r="IR47" s="1612" t="s">
        <v>270</v>
      </c>
      <c r="IS47" s="1607" t="s">
        <v>270</v>
      </c>
      <c r="IT47" s="1607" t="s">
        <v>270</v>
      </c>
      <c r="IU47" s="1611" t="s">
        <v>270</v>
      </c>
      <c r="IV47" s="1611" t="s">
        <v>270</v>
      </c>
      <c r="IW47" s="1611" t="s">
        <v>270</v>
      </c>
      <c r="IX47" s="1611" t="s">
        <v>270</v>
      </c>
      <c r="IY47" s="1611" t="s">
        <v>270</v>
      </c>
      <c r="IZ47" s="1611" t="s">
        <v>270</v>
      </c>
      <c r="JA47" s="1611" t="s">
        <v>270</v>
      </c>
      <c r="JB47" s="1611" t="s">
        <v>270</v>
      </c>
      <c r="JC47" s="1611" t="s">
        <v>270</v>
      </c>
      <c r="JD47" s="1611" t="s">
        <v>270</v>
      </c>
      <c r="JE47" s="1611" t="s">
        <v>270</v>
      </c>
      <c r="JF47" s="1611" t="s">
        <v>270</v>
      </c>
      <c r="JG47" s="1611" t="s">
        <v>270</v>
      </c>
      <c r="JH47" s="1611" t="s">
        <v>270</v>
      </c>
      <c r="JI47" s="1611" t="s">
        <v>270</v>
      </c>
      <c r="JJ47" s="1611" t="s">
        <v>270</v>
      </c>
      <c r="JK47" s="1607" t="str">
        <f t="shared" si="9"/>
        <v/>
      </c>
      <c r="JL47" s="1608" t="s">
        <v>2946</v>
      </c>
      <c r="JM47" s="1610" t="s">
        <v>2945</v>
      </c>
      <c r="JN47" s="1608" t="s">
        <v>270</v>
      </c>
      <c r="JO47" s="1609" t="s">
        <v>270</v>
      </c>
      <c r="JP47" s="1608">
        <v>0.63600000000000001</v>
      </c>
      <c r="JQ47" s="1607" t="s">
        <v>270</v>
      </c>
      <c r="JR47" s="1606" t="s">
        <v>270</v>
      </c>
      <c r="JS47" s="1606" t="s">
        <v>270</v>
      </c>
      <c r="JT47" s="1606" t="s">
        <v>270</v>
      </c>
    </row>
    <row r="48" spans="1:280" ht="15" customHeight="1" x14ac:dyDescent="0.2">
      <c r="A48" s="1626">
        <v>94700</v>
      </c>
      <c r="B48" s="1625">
        <v>947</v>
      </c>
      <c r="C48" s="1624">
        <v>0</v>
      </c>
      <c r="D48" s="1623" t="s">
        <v>3674</v>
      </c>
      <c r="E48" s="1622">
        <v>43031</v>
      </c>
      <c r="F48" s="1620">
        <v>1.5695119733062399</v>
      </c>
      <c r="G48" s="1620">
        <v>1.5042855016883101</v>
      </c>
      <c r="H48" s="1621">
        <v>100</v>
      </c>
      <c r="I48" s="1621">
        <v>100</v>
      </c>
      <c r="J48" s="1621">
        <v>100</v>
      </c>
      <c r="K48" s="1620">
        <v>1</v>
      </c>
      <c r="L48" s="1620">
        <v>99</v>
      </c>
      <c r="M48" s="1620">
        <v>1E-4</v>
      </c>
      <c r="N48" s="1620">
        <v>0</v>
      </c>
      <c r="O48" s="1620">
        <v>0</v>
      </c>
      <c r="P48" s="1620">
        <v>0</v>
      </c>
      <c r="Q48" s="1603"/>
      <c r="R48" s="1620">
        <v>0</v>
      </c>
      <c r="S48" s="1620">
        <v>0</v>
      </c>
      <c r="T48" s="1620">
        <v>0</v>
      </c>
      <c r="U48" s="1620">
        <v>0</v>
      </c>
      <c r="V48" s="1620">
        <v>0</v>
      </c>
      <c r="W48" s="1620">
        <v>0</v>
      </c>
      <c r="X48" s="1620"/>
      <c r="Y48" s="1620">
        <v>0</v>
      </c>
      <c r="Z48" s="1620">
        <v>0</v>
      </c>
      <c r="AA48" s="1620">
        <v>0</v>
      </c>
      <c r="AB48" s="1620">
        <v>0</v>
      </c>
      <c r="AC48" s="1620">
        <v>0</v>
      </c>
      <c r="AD48" s="1620">
        <v>0</v>
      </c>
      <c r="AE48" s="1620">
        <v>0</v>
      </c>
      <c r="AF48" s="1620">
        <v>0</v>
      </c>
      <c r="AG48" s="1620">
        <v>0</v>
      </c>
      <c r="AH48" s="1620">
        <v>0</v>
      </c>
      <c r="AI48" s="1620">
        <v>0</v>
      </c>
      <c r="AJ48" s="1620">
        <v>0</v>
      </c>
      <c r="AK48" s="1620">
        <v>0</v>
      </c>
      <c r="AL48" s="1620"/>
      <c r="AM48" s="1620">
        <v>0</v>
      </c>
      <c r="AN48" s="1620">
        <v>0</v>
      </c>
      <c r="AO48" s="1620">
        <v>0</v>
      </c>
      <c r="AP48" s="1620">
        <v>0</v>
      </c>
      <c r="AQ48" s="1620">
        <v>0</v>
      </c>
      <c r="AR48" s="1620">
        <v>0</v>
      </c>
      <c r="AS48" s="1620">
        <v>0</v>
      </c>
      <c r="AT48" s="1620">
        <v>0</v>
      </c>
      <c r="AU48" s="1620">
        <v>0</v>
      </c>
      <c r="AV48" s="1620">
        <v>0</v>
      </c>
      <c r="AW48" s="1620">
        <v>0</v>
      </c>
      <c r="AX48" s="1620"/>
      <c r="AY48" s="1620">
        <v>1</v>
      </c>
      <c r="AZ48" s="1620">
        <v>1</v>
      </c>
      <c r="BA48" s="1620">
        <v>1</v>
      </c>
      <c r="BB48" s="1620">
        <v>1</v>
      </c>
      <c r="BC48" s="1620">
        <v>1</v>
      </c>
      <c r="BD48" s="1620">
        <v>1</v>
      </c>
      <c r="BE48" s="1620">
        <v>1</v>
      </c>
      <c r="BF48" s="1620">
        <v>1</v>
      </c>
      <c r="BG48" s="1620">
        <v>1</v>
      </c>
      <c r="BH48" s="1620">
        <v>1</v>
      </c>
      <c r="BI48" s="1620">
        <v>1</v>
      </c>
      <c r="BJ48" s="1603"/>
      <c r="BK48" s="1620">
        <v>1.0101010101010101E-4</v>
      </c>
      <c r="BL48" s="1620">
        <v>0</v>
      </c>
      <c r="BM48" s="1620">
        <v>0</v>
      </c>
      <c r="BN48" s="1620">
        <v>0</v>
      </c>
      <c r="BO48" s="1620"/>
      <c r="BP48" s="1620">
        <v>0</v>
      </c>
      <c r="BQ48" s="1620">
        <v>0</v>
      </c>
      <c r="BR48" s="1620">
        <v>1.5853656296022625</v>
      </c>
      <c r="BS48" s="1620">
        <v>1.5194803047356669</v>
      </c>
      <c r="BT48" s="1603"/>
      <c r="BU48" s="1620">
        <v>1000</v>
      </c>
      <c r="BV48" s="1620">
        <v>999.99908080808075</v>
      </c>
      <c r="BW48" s="1620">
        <v>0</v>
      </c>
      <c r="BX48" s="1620" t="s">
        <v>270</v>
      </c>
      <c r="BY48" s="1620" t="s">
        <v>270</v>
      </c>
      <c r="BZ48" s="1620" t="s">
        <v>270</v>
      </c>
      <c r="CA48" s="1620" t="s">
        <v>270</v>
      </c>
      <c r="CB48" s="1603"/>
      <c r="CC48" s="1603">
        <v>0</v>
      </c>
      <c r="CD48" s="1603">
        <v>0</v>
      </c>
      <c r="CE48" s="1603">
        <v>0</v>
      </c>
      <c r="CF48" s="1603">
        <v>0</v>
      </c>
      <c r="CG48" s="1603">
        <v>0</v>
      </c>
      <c r="CH48" s="1603">
        <v>0</v>
      </c>
      <c r="CI48" s="1603">
        <v>0</v>
      </c>
      <c r="CJ48" s="1603"/>
      <c r="CK48" s="1603">
        <v>0</v>
      </c>
      <c r="CL48" s="1603">
        <v>0</v>
      </c>
      <c r="CM48" s="1603">
        <v>0</v>
      </c>
      <c r="CN48" s="1603">
        <v>0</v>
      </c>
      <c r="CO48" s="1603">
        <v>0</v>
      </c>
      <c r="CP48" s="1603">
        <v>0</v>
      </c>
      <c r="CQ48" s="1603">
        <v>0</v>
      </c>
      <c r="CR48" s="1603">
        <v>0</v>
      </c>
      <c r="CS48" s="1603">
        <v>0</v>
      </c>
      <c r="CT48" s="1603">
        <v>0</v>
      </c>
      <c r="CU48" s="1603">
        <v>0</v>
      </c>
      <c r="CV48" s="1603">
        <v>0</v>
      </c>
      <c r="CW48" s="1603">
        <v>0</v>
      </c>
      <c r="CX48" s="1603">
        <v>0</v>
      </c>
      <c r="CY48" s="1603">
        <v>0</v>
      </c>
      <c r="CZ48" s="1603">
        <v>0</v>
      </c>
      <c r="DA48" s="1603">
        <v>0</v>
      </c>
      <c r="DB48" s="1603">
        <v>0</v>
      </c>
      <c r="DC48" s="1603">
        <v>0</v>
      </c>
      <c r="DD48" s="1603">
        <v>0</v>
      </c>
      <c r="DE48" s="1603">
        <v>0</v>
      </c>
      <c r="DF48" s="1603">
        <v>0</v>
      </c>
      <c r="DG48" s="1603">
        <v>0</v>
      </c>
      <c r="DH48" s="1603">
        <v>0</v>
      </c>
      <c r="DI48" s="1603">
        <v>0</v>
      </c>
      <c r="DJ48" s="1603">
        <v>0</v>
      </c>
      <c r="DK48" s="1603">
        <v>0</v>
      </c>
      <c r="DL48" s="1603">
        <v>0</v>
      </c>
      <c r="DM48" s="1603">
        <v>0</v>
      </c>
      <c r="DN48" s="1603">
        <v>0</v>
      </c>
      <c r="DO48" s="1603">
        <v>0</v>
      </c>
      <c r="DP48" s="1603">
        <v>0</v>
      </c>
      <c r="DQ48" s="1603">
        <v>0</v>
      </c>
      <c r="DR48" s="1603">
        <v>0</v>
      </c>
      <c r="DS48" s="1603">
        <v>0</v>
      </c>
      <c r="DT48" s="1603">
        <v>0</v>
      </c>
      <c r="DU48" s="1603">
        <v>0</v>
      </c>
      <c r="DV48" s="1603">
        <v>0</v>
      </c>
      <c r="DW48" s="1618" t="s">
        <v>986</v>
      </c>
      <c r="DX48" s="1605" t="s">
        <v>986</v>
      </c>
      <c r="DY48" s="1605" t="s">
        <v>986</v>
      </c>
      <c r="DZ48" s="1605" t="s">
        <v>986</v>
      </c>
      <c r="EA48" s="1605" t="s">
        <v>986</v>
      </c>
      <c r="EB48" s="1605" t="s">
        <v>986</v>
      </c>
      <c r="EC48" s="1605" t="s">
        <v>986</v>
      </c>
      <c r="ED48" s="1605" t="s">
        <v>986</v>
      </c>
      <c r="EE48" s="1605" t="s">
        <v>986</v>
      </c>
      <c r="EF48" s="1605" t="s">
        <v>986</v>
      </c>
      <c r="EG48" s="1605" t="s">
        <v>986</v>
      </c>
      <c r="EH48" s="1605" t="s">
        <v>986</v>
      </c>
      <c r="EI48" s="1605" t="s">
        <v>986</v>
      </c>
      <c r="EJ48" s="1605" t="s">
        <v>986</v>
      </c>
      <c r="EK48" s="1605" t="s">
        <v>986</v>
      </c>
      <c r="EL48" s="1605" t="s">
        <v>986</v>
      </c>
      <c r="EM48" s="1605" t="s">
        <v>986</v>
      </c>
      <c r="EN48" s="1605" t="s">
        <v>986</v>
      </c>
      <c r="EO48" s="1605" t="s">
        <v>986</v>
      </c>
      <c r="EP48" s="1605" t="s">
        <v>986</v>
      </c>
      <c r="EQ48" s="1605" t="s">
        <v>986</v>
      </c>
      <c r="ER48" s="1605" t="s">
        <v>986</v>
      </c>
      <c r="ES48" s="1605" t="s">
        <v>986</v>
      </c>
      <c r="ET48" s="1605" t="s">
        <v>986</v>
      </c>
      <c r="EU48" s="1605" t="s">
        <v>986</v>
      </c>
      <c r="EV48" s="1605" t="s">
        <v>986</v>
      </c>
      <c r="EW48" s="1605" t="s">
        <v>986</v>
      </c>
      <c r="EX48" s="1605" t="s">
        <v>986</v>
      </c>
      <c r="EY48" s="1605" t="s">
        <v>986</v>
      </c>
      <c r="EZ48" s="1605" t="s">
        <v>986</v>
      </c>
      <c r="FA48" s="1605" t="s">
        <v>986</v>
      </c>
      <c r="FB48" s="1605" t="s">
        <v>986</v>
      </c>
      <c r="FC48" s="1605" t="s">
        <v>986</v>
      </c>
      <c r="FD48" s="1605" t="s">
        <v>986</v>
      </c>
      <c r="FE48" s="1605" t="s">
        <v>986</v>
      </c>
      <c r="FF48" s="1605" t="s">
        <v>986</v>
      </c>
      <c r="FG48" s="1605" t="s">
        <v>986</v>
      </c>
      <c r="FH48" s="1605" t="s">
        <v>986</v>
      </c>
      <c r="FI48" s="1605" t="s">
        <v>986</v>
      </c>
      <c r="FJ48" s="1605" t="s">
        <v>986</v>
      </c>
      <c r="FK48" s="1605" t="s">
        <v>986</v>
      </c>
      <c r="FL48" s="1605" t="s">
        <v>986</v>
      </c>
      <c r="FM48" s="1605" t="s">
        <v>986</v>
      </c>
      <c r="FN48" s="1605" t="s">
        <v>986</v>
      </c>
      <c r="FO48" s="1605" t="s">
        <v>986</v>
      </c>
      <c r="FP48" s="1605" t="s">
        <v>986</v>
      </c>
      <c r="FQ48" s="1605" t="s">
        <v>986</v>
      </c>
      <c r="FR48" s="1605" t="s">
        <v>986</v>
      </c>
      <c r="FS48" s="1605" t="s">
        <v>986</v>
      </c>
      <c r="FT48" s="1605" t="s">
        <v>986</v>
      </c>
      <c r="FU48" s="1605" t="s">
        <v>986</v>
      </c>
      <c r="FV48" s="1605" t="s">
        <v>986</v>
      </c>
      <c r="FW48" s="1605" t="s">
        <v>986</v>
      </c>
      <c r="FX48" s="1605" t="s">
        <v>986</v>
      </c>
      <c r="FY48" s="1605" t="s">
        <v>986</v>
      </c>
      <c r="FZ48" s="1605" t="s">
        <v>986</v>
      </c>
      <c r="GA48" s="1605" t="s">
        <v>986</v>
      </c>
      <c r="GB48" s="1605" t="s">
        <v>986</v>
      </c>
      <c r="GC48" s="1605" t="s">
        <v>986</v>
      </c>
      <c r="GD48" s="1605" t="s">
        <v>986</v>
      </c>
      <c r="GE48" s="1605" t="s">
        <v>986</v>
      </c>
      <c r="GF48" s="1605" t="s">
        <v>986</v>
      </c>
      <c r="GG48" s="1605" t="s">
        <v>986</v>
      </c>
      <c r="GH48" s="1605" t="s">
        <v>986</v>
      </c>
      <c r="GI48" s="1605" t="s">
        <v>986</v>
      </c>
      <c r="GJ48" s="1605" t="s">
        <v>986</v>
      </c>
      <c r="GK48" s="1605" t="s">
        <v>986</v>
      </c>
      <c r="GL48" s="1605" t="s">
        <v>986</v>
      </c>
      <c r="GM48" s="1605" t="s">
        <v>986</v>
      </c>
      <c r="GN48" s="1605" t="s">
        <v>986</v>
      </c>
      <c r="GO48" s="1605" t="s">
        <v>986</v>
      </c>
      <c r="GP48" s="1605" t="s">
        <v>986</v>
      </c>
      <c r="GQ48" s="1605" t="s">
        <v>986</v>
      </c>
      <c r="GR48" s="1605" t="s">
        <v>986</v>
      </c>
      <c r="GS48" s="1605" t="s">
        <v>986</v>
      </c>
      <c r="GT48" s="1605" t="s">
        <v>986</v>
      </c>
      <c r="GU48" s="1605" t="s">
        <v>986</v>
      </c>
      <c r="GV48" s="1605" t="s">
        <v>986</v>
      </c>
      <c r="GW48" s="1605" t="s">
        <v>986</v>
      </c>
      <c r="GX48" s="1605" t="s">
        <v>986</v>
      </c>
      <c r="GY48" s="1605" t="s">
        <v>986</v>
      </c>
      <c r="GZ48" s="1605" t="s">
        <v>986</v>
      </c>
      <c r="HA48" s="1605" t="s">
        <v>986</v>
      </c>
      <c r="HB48" s="1605" t="s">
        <v>986</v>
      </c>
      <c r="HC48" s="1605" t="s">
        <v>986</v>
      </c>
      <c r="HD48" s="1605" t="s">
        <v>986</v>
      </c>
      <c r="HE48" s="1605" t="s">
        <v>986</v>
      </c>
      <c r="HF48" s="1605" t="s">
        <v>986</v>
      </c>
      <c r="HG48" s="1605" t="s">
        <v>986</v>
      </c>
      <c r="HH48" s="1605" t="s">
        <v>986</v>
      </c>
      <c r="HI48" s="1605" t="s">
        <v>986</v>
      </c>
      <c r="HJ48" s="1605" t="s">
        <v>986</v>
      </c>
      <c r="HK48" s="1605" t="s">
        <v>986</v>
      </c>
      <c r="HL48" s="1605" t="s">
        <v>986</v>
      </c>
      <c r="HM48" s="1605" t="s">
        <v>986</v>
      </c>
      <c r="HN48" s="1605" t="s">
        <v>986</v>
      </c>
      <c r="HO48" s="1605" t="s">
        <v>986</v>
      </c>
      <c r="HP48" s="1605" t="s">
        <v>986</v>
      </c>
      <c r="HQ48" s="1605" t="s">
        <v>986</v>
      </c>
      <c r="HR48" s="1605" t="s">
        <v>986</v>
      </c>
      <c r="HS48" s="1605" t="s">
        <v>986</v>
      </c>
      <c r="HT48" s="1605" t="s">
        <v>986</v>
      </c>
      <c r="HU48" s="1605" t="s">
        <v>986</v>
      </c>
      <c r="HV48" s="1617"/>
      <c r="HW48" s="1617">
        <v>0</v>
      </c>
      <c r="HX48" s="1617">
        <v>0</v>
      </c>
      <c r="HY48" s="1617">
        <v>0</v>
      </c>
      <c r="HZ48" s="1603"/>
      <c r="IA48" s="1603"/>
      <c r="IB48" s="1603"/>
      <c r="IC48" s="1603">
        <v>0</v>
      </c>
      <c r="ID48" s="1603">
        <v>0</v>
      </c>
      <c r="IE48" s="1603">
        <v>0</v>
      </c>
      <c r="IF48" s="1603">
        <v>0</v>
      </c>
      <c r="IG48" s="1611" t="s">
        <v>2932</v>
      </c>
      <c r="IH48" s="1616" t="s">
        <v>270</v>
      </c>
      <c r="II48" s="1615" t="s">
        <v>270</v>
      </c>
      <c r="IJ48" s="1613">
        <v>1.3101818181818183</v>
      </c>
      <c r="IK48" s="1613">
        <v>1.301848484848485</v>
      </c>
      <c r="IL48" s="1614">
        <v>1.3101818181818183</v>
      </c>
      <c r="IM48" s="1614">
        <v>1.301848484848485</v>
      </c>
      <c r="IN48" s="1612" t="s">
        <v>270</v>
      </c>
      <c r="IO48" s="1613" t="s">
        <v>270</v>
      </c>
      <c r="IP48" s="1607" t="s">
        <v>270</v>
      </c>
      <c r="IQ48" s="1612" t="s">
        <v>270</v>
      </c>
      <c r="IR48" s="1612" t="s">
        <v>270</v>
      </c>
      <c r="IS48" s="1607">
        <v>1.1881818181818182</v>
      </c>
      <c r="IT48" s="1607">
        <v>1.1798484848484849</v>
      </c>
      <c r="IU48" s="1611">
        <v>0</v>
      </c>
      <c r="IV48" s="1611">
        <v>7.7767676767676763E-2</v>
      </c>
      <c r="IW48" s="1611">
        <v>9.0909090909090909E-4</v>
      </c>
      <c r="IX48" s="1611">
        <v>1.6060606060606061E-3</v>
      </c>
      <c r="IY48" s="1611">
        <v>9.6969696969696957E-4</v>
      </c>
      <c r="IZ48" s="1611">
        <v>5.9898989898989896E-3</v>
      </c>
      <c r="JA48" s="1611">
        <v>6.0606060606060598E-5</v>
      </c>
      <c r="JB48" s="1611" t="s">
        <v>270</v>
      </c>
      <c r="JC48" s="1611">
        <v>9.9026969696969704</v>
      </c>
      <c r="JD48" s="1611">
        <v>5.2121212121212122E-3</v>
      </c>
      <c r="JE48" s="1611" t="s">
        <v>270</v>
      </c>
      <c r="JF48" s="1611">
        <v>8.2828282828282835E-4</v>
      </c>
      <c r="JG48" s="1611">
        <v>0.57978787878787885</v>
      </c>
      <c r="JH48" s="1611">
        <v>7.646464646464647E-3</v>
      </c>
      <c r="JI48" s="1611">
        <v>0.3</v>
      </c>
      <c r="JJ48" s="1611" t="s">
        <v>270</v>
      </c>
      <c r="JK48" s="1607">
        <f t="shared" si="9"/>
        <v>0.12200000000000011</v>
      </c>
      <c r="JL48" s="1608" t="s">
        <v>270</v>
      </c>
      <c r="JM48" s="1610" t="s">
        <v>2924</v>
      </c>
      <c r="JN48" s="1608">
        <v>8.3333333333333037E-3</v>
      </c>
      <c r="JO48" s="1609" t="s">
        <v>2931</v>
      </c>
      <c r="JP48" s="1608" t="s">
        <v>270</v>
      </c>
      <c r="JQ48" s="1607">
        <v>202103</v>
      </c>
      <c r="JR48" s="1606">
        <v>851</v>
      </c>
      <c r="JS48" s="1606">
        <v>774</v>
      </c>
      <c r="JT48" s="1606">
        <v>774</v>
      </c>
    </row>
    <row r="49" spans="1:280" ht="15" customHeight="1" x14ac:dyDescent="0.2">
      <c r="A49" s="1626">
        <v>71000</v>
      </c>
      <c r="B49" s="1625">
        <v>710</v>
      </c>
      <c r="C49" s="1624">
        <v>0</v>
      </c>
      <c r="D49" s="1623" t="s">
        <v>3673</v>
      </c>
      <c r="E49" s="1622">
        <v>40310</v>
      </c>
      <c r="F49" s="1620">
        <v>0.669398910975609</v>
      </c>
      <c r="G49" s="1620">
        <v>0.79532880545454498</v>
      </c>
      <c r="H49" s="1621">
        <v>92.5</v>
      </c>
      <c r="I49" s="1621">
        <v>46.4</v>
      </c>
      <c r="J49" s="1621">
        <v>80</v>
      </c>
      <c r="K49" s="1620">
        <v>1</v>
      </c>
      <c r="L49" s="1620">
        <v>88.2</v>
      </c>
      <c r="M49" s="1620">
        <v>5.9976000000000003</v>
      </c>
      <c r="N49" s="1620">
        <v>2.4695999999999998</v>
      </c>
      <c r="O49" s="1620">
        <v>5.9093999999999998</v>
      </c>
      <c r="P49" s="1620">
        <v>11.6424</v>
      </c>
      <c r="Q49" s="1603"/>
      <c r="R49" s="1620">
        <v>11.4296743697479</v>
      </c>
      <c r="S49" s="1620" t="s">
        <v>270</v>
      </c>
      <c r="T49" s="1620" t="s">
        <v>270</v>
      </c>
      <c r="U49" s="1620" t="s">
        <v>270</v>
      </c>
      <c r="V49" s="1620" t="s">
        <v>270</v>
      </c>
      <c r="W49" s="1620" t="s">
        <v>270</v>
      </c>
      <c r="X49" s="1620"/>
      <c r="Y49" s="1620">
        <v>14.700000000000001</v>
      </c>
      <c r="Z49" s="1620">
        <v>1.3</v>
      </c>
      <c r="AA49" s="1620">
        <v>0.39999999999999997</v>
      </c>
      <c r="AB49" s="1620">
        <v>0</v>
      </c>
      <c r="AC49" s="1620">
        <v>10</v>
      </c>
      <c r="AD49" s="1620">
        <v>1.7</v>
      </c>
      <c r="AE49" s="1620">
        <v>1.1000000000000001</v>
      </c>
      <c r="AF49" s="1620">
        <v>100</v>
      </c>
      <c r="AG49" s="1620">
        <v>5.8</v>
      </c>
      <c r="AH49" s="1620">
        <v>12</v>
      </c>
      <c r="AI49" s="1620">
        <v>12</v>
      </c>
      <c r="AJ49" s="1620">
        <v>0</v>
      </c>
      <c r="AK49" s="1620">
        <v>4.9999999999999996E-2</v>
      </c>
      <c r="AL49" s="1620"/>
      <c r="AM49" s="1620">
        <v>2.62</v>
      </c>
      <c r="AN49" s="1620">
        <v>1.0900000000000001</v>
      </c>
      <c r="AO49" s="1620">
        <v>1.38</v>
      </c>
      <c r="AP49" s="1620">
        <v>2.9</v>
      </c>
      <c r="AQ49" s="1620">
        <v>0.78</v>
      </c>
      <c r="AR49" s="1620">
        <v>2.8</v>
      </c>
      <c r="AS49" s="1620">
        <v>5.0199999999999996</v>
      </c>
      <c r="AT49" s="1620">
        <v>1.78</v>
      </c>
      <c r="AU49" s="1620">
        <v>3.41</v>
      </c>
      <c r="AV49" s="1620">
        <v>2.21</v>
      </c>
      <c r="AW49" s="1620">
        <v>3.71</v>
      </c>
      <c r="AX49" s="1620"/>
      <c r="AY49" s="1620">
        <v>1</v>
      </c>
      <c r="AZ49" s="1620">
        <v>1</v>
      </c>
      <c r="BA49" s="1620">
        <v>1</v>
      </c>
      <c r="BB49" s="1620">
        <v>1</v>
      </c>
      <c r="BC49" s="1620">
        <v>1</v>
      </c>
      <c r="BD49" s="1620">
        <v>1</v>
      </c>
      <c r="BE49" s="1620">
        <v>1</v>
      </c>
      <c r="BF49" s="1620">
        <v>1</v>
      </c>
      <c r="BG49" s="1620">
        <v>1</v>
      </c>
      <c r="BH49" s="1620">
        <v>1</v>
      </c>
      <c r="BI49" s="1620">
        <v>1</v>
      </c>
      <c r="BJ49" s="1603"/>
      <c r="BK49" s="1620">
        <v>6.8</v>
      </c>
      <c r="BL49" s="1620">
        <v>2.8</v>
      </c>
      <c r="BM49" s="1620">
        <v>6.6999999999999993</v>
      </c>
      <c r="BN49" s="1620">
        <v>13.2</v>
      </c>
      <c r="BO49" s="1620"/>
      <c r="BP49" s="1620">
        <v>0</v>
      </c>
      <c r="BQ49" s="1620">
        <v>0</v>
      </c>
      <c r="BR49" s="1620">
        <v>0.75895568137824143</v>
      </c>
      <c r="BS49" s="1620">
        <v>0.90173333951762469</v>
      </c>
      <c r="BT49" s="1603"/>
      <c r="BU49" s="1620">
        <v>932.99999999999989</v>
      </c>
      <c r="BV49" s="1620">
        <v>159.53785714285715</v>
      </c>
      <c r="BW49" s="1620">
        <v>614.44714285714281</v>
      </c>
      <c r="BX49" s="1620" t="s">
        <v>270</v>
      </c>
      <c r="BY49" s="1620" t="s">
        <v>270</v>
      </c>
      <c r="BZ49" s="1620" t="s">
        <v>270</v>
      </c>
      <c r="CA49" s="1620" t="s">
        <v>270</v>
      </c>
      <c r="CB49" s="1603"/>
      <c r="CC49" s="1603">
        <v>12.965400000000001</v>
      </c>
      <c r="CD49" s="1603">
        <v>1.1466000000000001</v>
      </c>
      <c r="CE49" s="1603">
        <v>0.35279999999999995</v>
      </c>
      <c r="CF49" s="1603">
        <v>0</v>
      </c>
      <c r="CG49" s="1603">
        <v>8.82</v>
      </c>
      <c r="CH49" s="1603">
        <v>1.4994000000000001</v>
      </c>
      <c r="CI49" s="1603">
        <v>0.97020000000000006</v>
      </c>
      <c r="CJ49" s="1603"/>
      <c r="CK49" s="1603">
        <v>88.2</v>
      </c>
      <c r="CL49" s="1603">
        <v>5.1155999999999997</v>
      </c>
      <c r="CM49" s="1603">
        <v>10.584</v>
      </c>
      <c r="CN49" s="1603">
        <v>10.584</v>
      </c>
      <c r="CO49" s="1603">
        <v>0</v>
      </c>
      <c r="CP49" s="1603">
        <v>4.4099999999999993E-2</v>
      </c>
      <c r="CQ49" s="1603">
        <v>6.8550614999999899</v>
      </c>
      <c r="CR49" s="1603">
        <v>10.240622426482808</v>
      </c>
      <c r="CS49" s="1603">
        <v>0.26830430757384843</v>
      </c>
      <c r="CT49" s="1603">
        <v>0.11162278444866262</v>
      </c>
      <c r="CU49" s="1603">
        <v>0.14132058948546294</v>
      </c>
      <c r="CV49" s="1603">
        <v>0.25294337393412569</v>
      </c>
      <c r="CW49" s="1603">
        <v>0.29697805036800035</v>
      </c>
      <c r="CX49" s="1603">
        <v>7.9876854926565863E-2</v>
      </c>
      <c r="CY49" s="1603">
        <v>0.28673742794151907</v>
      </c>
      <c r="CZ49" s="1603">
        <v>0.5140792458094362</v>
      </c>
      <c r="DA49" s="1603">
        <v>0.18228307919139425</v>
      </c>
      <c r="DB49" s="1603">
        <v>0.34920522474306426</v>
      </c>
      <c r="DC49" s="1603">
        <v>0.22631775562527037</v>
      </c>
      <c r="DD49" s="1603">
        <v>0.57552298036833316</v>
      </c>
      <c r="DE49" s="1603">
        <v>0.37992709202251124</v>
      </c>
      <c r="DF49" s="1603">
        <v>0</v>
      </c>
      <c r="DG49" s="1603">
        <v>0</v>
      </c>
      <c r="DH49" s="1603">
        <v>0</v>
      </c>
      <c r="DI49" s="1603">
        <v>0</v>
      </c>
      <c r="DJ49" s="1603">
        <v>0</v>
      </c>
      <c r="DK49" s="1603">
        <v>0</v>
      </c>
      <c r="DL49" s="1603">
        <v>0</v>
      </c>
      <c r="DM49" s="1603">
        <v>0</v>
      </c>
      <c r="DN49" s="1603">
        <v>0</v>
      </c>
      <c r="DO49" s="1603">
        <v>0</v>
      </c>
      <c r="DP49" s="1603">
        <v>0</v>
      </c>
      <c r="DQ49" s="1603">
        <v>0</v>
      </c>
      <c r="DR49" s="1603">
        <v>0</v>
      </c>
      <c r="DS49" s="1603">
        <v>0</v>
      </c>
      <c r="DT49" s="1603">
        <v>0</v>
      </c>
      <c r="DU49" s="1603">
        <v>0</v>
      </c>
      <c r="DV49" s="1603">
        <v>0</v>
      </c>
      <c r="DW49" s="1618" t="s">
        <v>3672</v>
      </c>
      <c r="DX49" s="1605" t="s">
        <v>986</v>
      </c>
      <c r="DY49" s="1605" t="s">
        <v>986</v>
      </c>
      <c r="DZ49" s="1605" t="s">
        <v>986</v>
      </c>
      <c r="EA49" s="1605" t="s">
        <v>986</v>
      </c>
      <c r="EB49" s="1605" t="s">
        <v>986</v>
      </c>
      <c r="EC49" s="1605" t="s">
        <v>986</v>
      </c>
      <c r="ED49" s="1605" t="s">
        <v>986</v>
      </c>
      <c r="EE49" s="1605" t="s">
        <v>986</v>
      </c>
      <c r="EF49" s="1605" t="s">
        <v>986</v>
      </c>
      <c r="EG49" s="1605" t="s">
        <v>986</v>
      </c>
      <c r="EH49" s="1605" t="s">
        <v>986</v>
      </c>
      <c r="EI49" s="1605" t="s">
        <v>986</v>
      </c>
      <c r="EJ49" s="1605" t="s">
        <v>986</v>
      </c>
      <c r="EK49" s="1605" t="s">
        <v>986</v>
      </c>
      <c r="EL49" s="1605" t="s">
        <v>986</v>
      </c>
      <c r="EM49" s="1605" t="s">
        <v>986</v>
      </c>
      <c r="EN49" s="1605" t="s">
        <v>986</v>
      </c>
      <c r="EO49" s="1605" t="s">
        <v>986</v>
      </c>
      <c r="EP49" s="1605" t="s">
        <v>986</v>
      </c>
      <c r="EQ49" s="1605" t="s">
        <v>986</v>
      </c>
      <c r="ER49" s="1605" t="s">
        <v>986</v>
      </c>
      <c r="ES49" s="1605" t="s">
        <v>986</v>
      </c>
      <c r="ET49" s="1605" t="s">
        <v>986</v>
      </c>
      <c r="EU49" s="1605" t="s">
        <v>986</v>
      </c>
      <c r="EV49" s="1605" t="s">
        <v>986</v>
      </c>
      <c r="EW49" s="1605" t="s">
        <v>986</v>
      </c>
      <c r="EX49" s="1605" t="s">
        <v>986</v>
      </c>
      <c r="EY49" s="1605" t="s">
        <v>986</v>
      </c>
      <c r="EZ49" s="1605" t="s">
        <v>986</v>
      </c>
      <c r="FA49" s="1605" t="s">
        <v>986</v>
      </c>
      <c r="FB49" s="1605" t="s">
        <v>986</v>
      </c>
      <c r="FC49" s="1605" t="s">
        <v>986</v>
      </c>
      <c r="FD49" s="1605" t="s">
        <v>986</v>
      </c>
      <c r="FE49" s="1605" t="s">
        <v>986</v>
      </c>
      <c r="FF49" s="1605" t="s">
        <v>986</v>
      </c>
      <c r="FG49" s="1605" t="s">
        <v>986</v>
      </c>
      <c r="FH49" s="1605" t="s">
        <v>986</v>
      </c>
      <c r="FI49" s="1605" t="s">
        <v>986</v>
      </c>
      <c r="FJ49" s="1605" t="s">
        <v>986</v>
      </c>
      <c r="FK49" s="1605" t="s">
        <v>986</v>
      </c>
      <c r="FL49" s="1605" t="s">
        <v>986</v>
      </c>
      <c r="FM49" s="1605" t="s">
        <v>986</v>
      </c>
      <c r="FN49" s="1605" t="s">
        <v>986</v>
      </c>
      <c r="FO49" s="1605" t="s">
        <v>986</v>
      </c>
      <c r="FP49" s="1605" t="s">
        <v>986</v>
      </c>
      <c r="FQ49" s="1605" t="s">
        <v>986</v>
      </c>
      <c r="FR49" s="1605" t="s">
        <v>986</v>
      </c>
      <c r="FS49" s="1605" t="s">
        <v>986</v>
      </c>
      <c r="FT49" s="1605" t="s">
        <v>986</v>
      </c>
      <c r="FU49" s="1605" t="s">
        <v>986</v>
      </c>
      <c r="FV49" s="1605" t="s">
        <v>986</v>
      </c>
      <c r="FW49" s="1605" t="s">
        <v>986</v>
      </c>
      <c r="FX49" s="1605" t="s">
        <v>986</v>
      </c>
      <c r="FY49" s="1605" t="s">
        <v>986</v>
      </c>
      <c r="FZ49" s="1605" t="s">
        <v>986</v>
      </c>
      <c r="GA49" s="1605" t="s">
        <v>986</v>
      </c>
      <c r="GB49" s="1605" t="s">
        <v>986</v>
      </c>
      <c r="GC49" s="1605" t="s">
        <v>986</v>
      </c>
      <c r="GD49" s="1605" t="s">
        <v>986</v>
      </c>
      <c r="GE49" s="1605" t="s">
        <v>986</v>
      </c>
      <c r="GF49" s="1605" t="s">
        <v>986</v>
      </c>
      <c r="GG49" s="1605" t="s">
        <v>986</v>
      </c>
      <c r="GH49" s="1605" t="s">
        <v>986</v>
      </c>
      <c r="GI49" s="1605" t="s">
        <v>986</v>
      </c>
      <c r="GJ49" s="1605" t="s">
        <v>986</v>
      </c>
      <c r="GK49" s="1605" t="s">
        <v>986</v>
      </c>
      <c r="GL49" s="1605" t="s">
        <v>986</v>
      </c>
      <c r="GM49" s="1605" t="s">
        <v>986</v>
      </c>
      <c r="GN49" s="1605" t="s">
        <v>986</v>
      </c>
      <c r="GO49" s="1605" t="s">
        <v>986</v>
      </c>
      <c r="GP49" s="1605" t="s">
        <v>986</v>
      </c>
      <c r="GQ49" s="1605" t="s">
        <v>986</v>
      </c>
      <c r="GR49" s="1605" t="s">
        <v>986</v>
      </c>
      <c r="GS49" s="1605" t="s">
        <v>986</v>
      </c>
      <c r="GT49" s="1605" t="s">
        <v>986</v>
      </c>
      <c r="GU49" s="1605" t="s">
        <v>986</v>
      </c>
      <c r="GV49" s="1605" t="s">
        <v>986</v>
      </c>
      <c r="GW49" s="1605" t="s">
        <v>986</v>
      </c>
      <c r="GX49" s="1605" t="s">
        <v>986</v>
      </c>
      <c r="GY49" s="1605" t="s">
        <v>986</v>
      </c>
      <c r="GZ49" s="1605" t="s">
        <v>986</v>
      </c>
      <c r="HA49" s="1605" t="s">
        <v>986</v>
      </c>
      <c r="HB49" s="1605" t="s">
        <v>986</v>
      </c>
      <c r="HC49" s="1605" t="s">
        <v>986</v>
      </c>
      <c r="HD49" s="1605" t="s">
        <v>986</v>
      </c>
      <c r="HE49" s="1605" t="s">
        <v>986</v>
      </c>
      <c r="HF49" s="1605" t="s">
        <v>986</v>
      </c>
      <c r="HG49" s="1605" t="s">
        <v>986</v>
      </c>
      <c r="HH49" s="1605" t="s">
        <v>986</v>
      </c>
      <c r="HI49" s="1605" t="s">
        <v>986</v>
      </c>
      <c r="HJ49" s="1605" t="s">
        <v>986</v>
      </c>
      <c r="HK49" s="1605" t="s">
        <v>986</v>
      </c>
      <c r="HL49" s="1605" t="s">
        <v>986</v>
      </c>
      <c r="HM49" s="1605" t="s">
        <v>986</v>
      </c>
      <c r="HN49" s="1605" t="s">
        <v>986</v>
      </c>
      <c r="HO49" s="1605" t="s">
        <v>986</v>
      </c>
      <c r="HP49" s="1605" t="s">
        <v>986</v>
      </c>
      <c r="HQ49" s="1605" t="s">
        <v>986</v>
      </c>
      <c r="HR49" s="1605" t="s">
        <v>986</v>
      </c>
      <c r="HS49" s="1605" t="s">
        <v>986</v>
      </c>
      <c r="HT49" s="1605" t="s">
        <v>986</v>
      </c>
      <c r="HU49" s="1605" t="s">
        <v>986</v>
      </c>
      <c r="HV49" s="1617"/>
      <c r="HW49" s="1617" t="s">
        <v>3671</v>
      </c>
      <c r="HX49" s="1617">
        <v>0</v>
      </c>
      <c r="HY49" s="1617">
        <v>0</v>
      </c>
      <c r="HZ49" s="1603"/>
      <c r="IA49" s="1603"/>
      <c r="IB49" s="1603"/>
      <c r="IC49" s="1603" t="s">
        <v>270</v>
      </c>
      <c r="ID49" s="1603" t="s">
        <v>270</v>
      </c>
      <c r="IE49" s="1603" t="s">
        <v>270</v>
      </c>
      <c r="IF49" s="1603" t="s">
        <v>270</v>
      </c>
      <c r="IG49" s="1611" t="s">
        <v>3670</v>
      </c>
      <c r="IH49" s="1616" t="s">
        <v>3669</v>
      </c>
      <c r="II49" s="1615" t="s">
        <v>3668</v>
      </c>
      <c r="IJ49" s="1613">
        <v>0.97345054945054932</v>
      </c>
      <c r="IK49" s="1613">
        <v>0.97345054945054932</v>
      </c>
      <c r="IL49" s="1614">
        <v>0.97345054945054932</v>
      </c>
      <c r="IM49" s="1614">
        <v>0.97345054945054932</v>
      </c>
      <c r="IN49" s="1612">
        <v>0.89900000000000002</v>
      </c>
      <c r="IO49" s="1613">
        <v>-7.4450549450549297E-2</v>
      </c>
      <c r="IP49" s="1607" t="s">
        <v>270</v>
      </c>
      <c r="IQ49" s="1612">
        <v>0.09</v>
      </c>
      <c r="IR49" s="1612">
        <v>0</v>
      </c>
      <c r="IS49" s="1607">
        <v>0.6974505494505493</v>
      </c>
      <c r="IT49" s="1607">
        <v>0.6974505494505493</v>
      </c>
      <c r="IU49" s="1611">
        <v>0</v>
      </c>
      <c r="IV49" s="1611">
        <v>1.5758241758241757E-2</v>
      </c>
      <c r="IW49" s="1611">
        <v>1.0989010989010989E-5</v>
      </c>
      <c r="IX49" s="1611">
        <v>3.9560439560439557E-4</v>
      </c>
      <c r="IY49" s="1611">
        <v>2.1978021978021977E-5</v>
      </c>
      <c r="IZ49" s="1611">
        <v>1.2417582417582416E-3</v>
      </c>
      <c r="JA49" s="1611">
        <v>0</v>
      </c>
      <c r="JB49" s="1611" t="s">
        <v>270</v>
      </c>
      <c r="JC49" s="1611">
        <v>4.1593406593406594E-2</v>
      </c>
      <c r="JD49" s="1611">
        <v>2.1978021978021977E-5</v>
      </c>
      <c r="JE49" s="1611" t="s">
        <v>270</v>
      </c>
      <c r="JF49" s="1611">
        <v>3.0769230769230776E-4</v>
      </c>
      <c r="JG49" s="1611">
        <v>2.164835164835165E-3</v>
      </c>
      <c r="JH49" s="1611">
        <v>5.4945054945054945E-5</v>
      </c>
      <c r="JI49" s="1611">
        <v>0.22813186813186814</v>
      </c>
      <c r="JJ49" s="1611" t="s">
        <v>270</v>
      </c>
      <c r="JK49" s="1607">
        <f t="shared" si="9"/>
        <v>0.27600000000000002</v>
      </c>
      <c r="JL49" s="1608" t="s">
        <v>270</v>
      </c>
      <c r="JM49" s="1610" t="s">
        <v>2924</v>
      </c>
      <c r="JN49" s="1608">
        <v>0</v>
      </c>
      <c r="JO49" s="1609" t="s">
        <v>2958</v>
      </c>
      <c r="JP49" s="1608">
        <v>0.79291800000000001</v>
      </c>
      <c r="JQ49" s="1607">
        <v>202103</v>
      </c>
      <c r="JR49" s="1606">
        <v>43</v>
      </c>
      <c r="JS49" s="1606">
        <v>47</v>
      </c>
      <c r="JT49" s="1606">
        <v>47</v>
      </c>
    </row>
    <row r="50" spans="1:280" ht="15" customHeight="1" x14ac:dyDescent="0.2">
      <c r="A50" s="1626">
        <v>99940</v>
      </c>
      <c r="B50" s="1625">
        <v>999</v>
      </c>
      <c r="C50" s="1624">
        <v>40</v>
      </c>
      <c r="D50" s="1623" t="s">
        <v>3667</v>
      </c>
      <c r="E50" s="1622">
        <v>43031</v>
      </c>
      <c r="F50" s="1620">
        <v>1.1389897018970201</v>
      </c>
      <c r="G50" s="1620">
        <v>1.09165506493506</v>
      </c>
      <c r="H50" s="1621">
        <v>100</v>
      </c>
      <c r="I50" s="1621">
        <v>100</v>
      </c>
      <c r="J50" s="1621">
        <v>100</v>
      </c>
      <c r="K50" s="1620">
        <v>1</v>
      </c>
      <c r="L50" s="1620">
        <v>100</v>
      </c>
      <c r="M50" s="1620">
        <v>84.8</v>
      </c>
      <c r="N50" s="1620">
        <v>0</v>
      </c>
      <c r="O50" s="1620">
        <v>15.2</v>
      </c>
      <c r="P50" s="1620">
        <v>0</v>
      </c>
      <c r="Q50" s="1603"/>
      <c r="R50" s="1620">
        <v>100</v>
      </c>
      <c r="S50" s="1620">
        <v>0</v>
      </c>
      <c r="T50" s="1620">
        <v>0</v>
      </c>
      <c r="U50" s="1620">
        <v>0</v>
      </c>
      <c r="V50" s="1620">
        <v>0</v>
      </c>
      <c r="W50" s="1620">
        <v>0</v>
      </c>
      <c r="X50" s="1620"/>
      <c r="Y50" s="1620">
        <v>0</v>
      </c>
      <c r="Z50" s="1620">
        <v>0</v>
      </c>
      <c r="AA50" s="1620">
        <v>0</v>
      </c>
      <c r="AB50" s="1620">
        <v>0</v>
      </c>
      <c r="AC50" s="1620">
        <v>0</v>
      </c>
      <c r="AD50" s="1620">
        <v>0</v>
      </c>
      <c r="AE50" s="1620">
        <v>0</v>
      </c>
      <c r="AF50" s="1620">
        <v>0</v>
      </c>
      <c r="AG50" s="1620">
        <v>0</v>
      </c>
      <c r="AH50" s="1620">
        <v>0</v>
      </c>
      <c r="AI50" s="1620">
        <v>0</v>
      </c>
      <c r="AJ50" s="1620">
        <v>0</v>
      </c>
      <c r="AK50" s="1620">
        <v>0</v>
      </c>
      <c r="AL50" s="1620"/>
      <c r="AM50" s="1620">
        <v>0</v>
      </c>
      <c r="AN50" s="1620">
        <v>0</v>
      </c>
      <c r="AO50" s="1620">
        <v>116.700019</v>
      </c>
      <c r="AP50" s="1620">
        <v>0</v>
      </c>
      <c r="AQ50" s="1620">
        <v>0</v>
      </c>
      <c r="AR50" s="1620">
        <v>0</v>
      </c>
      <c r="AS50" s="1620">
        <v>0</v>
      </c>
      <c r="AT50" s="1620">
        <v>0</v>
      </c>
      <c r="AU50" s="1620">
        <v>0</v>
      </c>
      <c r="AV50" s="1620">
        <v>0</v>
      </c>
      <c r="AW50" s="1620">
        <v>0</v>
      </c>
      <c r="AX50" s="1620"/>
      <c r="AY50" s="1620">
        <v>1</v>
      </c>
      <c r="AZ50" s="1620">
        <v>1</v>
      </c>
      <c r="BA50" s="1620">
        <v>1</v>
      </c>
      <c r="BB50" s="1620">
        <v>1</v>
      </c>
      <c r="BC50" s="1620">
        <v>1</v>
      </c>
      <c r="BD50" s="1620">
        <v>1</v>
      </c>
      <c r="BE50" s="1620">
        <v>1</v>
      </c>
      <c r="BF50" s="1620">
        <v>1</v>
      </c>
      <c r="BG50" s="1620">
        <v>1</v>
      </c>
      <c r="BH50" s="1620">
        <v>1</v>
      </c>
      <c r="BI50" s="1620">
        <v>1</v>
      </c>
      <c r="BJ50" s="1603"/>
      <c r="BK50" s="1620">
        <v>84.8</v>
      </c>
      <c r="BL50" s="1620">
        <v>0</v>
      </c>
      <c r="BM50" s="1620">
        <v>15.2</v>
      </c>
      <c r="BN50" s="1620">
        <v>0</v>
      </c>
      <c r="BO50" s="1620"/>
      <c r="BP50" s="1620">
        <v>0</v>
      </c>
      <c r="BQ50" s="1620">
        <v>0</v>
      </c>
      <c r="BR50" s="1620">
        <v>1.1389897018970201</v>
      </c>
      <c r="BS50" s="1620">
        <v>1.09165506493506</v>
      </c>
      <c r="BT50" s="1603"/>
      <c r="BU50" s="1620">
        <v>848</v>
      </c>
      <c r="BV50" s="1620">
        <v>76.320000000000107</v>
      </c>
      <c r="BW50" s="1620">
        <v>0</v>
      </c>
      <c r="BX50" s="1620">
        <v>0</v>
      </c>
      <c r="BY50" s="1620">
        <v>0</v>
      </c>
      <c r="BZ50" s="1620" t="s">
        <v>270</v>
      </c>
      <c r="CA50" s="1620" t="s">
        <v>270</v>
      </c>
      <c r="CB50" s="1603"/>
      <c r="CC50" s="1603">
        <v>0</v>
      </c>
      <c r="CD50" s="1603">
        <v>0</v>
      </c>
      <c r="CE50" s="1603">
        <v>0</v>
      </c>
      <c r="CF50" s="1603">
        <v>0</v>
      </c>
      <c r="CG50" s="1603">
        <v>0</v>
      </c>
      <c r="CH50" s="1603">
        <v>0</v>
      </c>
      <c r="CI50" s="1603">
        <v>0</v>
      </c>
      <c r="CJ50" s="1603"/>
      <c r="CK50" s="1603">
        <v>0</v>
      </c>
      <c r="CL50" s="1603">
        <v>0</v>
      </c>
      <c r="CM50" s="1603">
        <v>0</v>
      </c>
      <c r="CN50" s="1603">
        <v>0</v>
      </c>
      <c r="CO50" s="1603">
        <v>0</v>
      </c>
      <c r="CP50" s="1603">
        <v>0</v>
      </c>
      <c r="CQ50" s="1603">
        <v>848</v>
      </c>
      <c r="CR50" s="1603">
        <v>744.51946192984155</v>
      </c>
      <c r="CS50" s="1603">
        <v>0</v>
      </c>
      <c r="CT50" s="1603">
        <v>0</v>
      </c>
      <c r="CU50" s="1603">
        <v>868.85435353082289</v>
      </c>
      <c r="CV50" s="1603">
        <v>868.85435353082289</v>
      </c>
      <c r="CW50" s="1603">
        <v>0</v>
      </c>
      <c r="CX50" s="1603">
        <v>0</v>
      </c>
      <c r="CY50" s="1603">
        <v>0</v>
      </c>
      <c r="CZ50" s="1603">
        <v>0</v>
      </c>
      <c r="DA50" s="1603">
        <v>0</v>
      </c>
      <c r="DB50" s="1603">
        <v>0</v>
      </c>
      <c r="DC50" s="1603">
        <v>0</v>
      </c>
      <c r="DD50" s="1603">
        <v>0</v>
      </c>
      <c r="DE50" s="1603">
        <v>0</v>
      </c>
      <c r="DF50" s="1603">
        <v>0</v>
      </c>
      <c r="DG50" s="1603">
        <v>0</v>
      </c>
      <c r="DH50" s="1603">
        <v>0</v>
      </c>
      <c r="DI50" s="1603">
        <v>0</v>
      </c>
      <c r="DJ50" s="1603">
        <v>0</v>
      </c>
      <c r="DK50" s="1603">
        <v>0</v>
      </c>
      <c r="DL50" s="1603">
        <v>0</v>
      </c>
      <c r="DM50" s="1603">
        <v>0</v>
      </c>
      <c r="DN50" s="1603">
        <v>0</v>
      </c>
      <c r="DO50" s="1603">
        <v>0</v>
      </c>
      <c r="DP50" s="1603">
        <v>0</v>
      </c>
      <c r="DQ50" s="1603">
        <v>0</v>
      </c>
      <c r="DR50" s="1603">
        <v>0</v>
      </c>
      <c r="DS50" s="1603">
        <v>0</v>
      </c>
      <c r="DT50" s="1603">
        <v>0</v>
      </c>
      <c r="DU50" s="1603">
        <v>0</v>
      </c>
      <c r="DV50" s="1603">
        <v>0</v>
      </c>
      <c r="DW50" s="1618" t="s">
        <v>986</v>
      </c>
      <c r="DX50" s="1605" t="s">
        <v>986</v>
      </c>
      <c r="DY50" s="1605" t="s">
        <v>986</v>
      </c>
      <c r="DZ50" s="1605" t="s">
        <v>986</v>
      </c>
      <c r="EA50" s="1605" t="s">
        <v>986</v>
      </c>
      <c r="EB50" s="1605" t="s">
        <v>986</v>
      </c>
      <c r="EC50" s="1605" t="s">
        <v>986</v>
      </c>
      <c r="ED50" s="1605" t="s">
        <v>986</v>
      </c>
      <c r="EE50" s="1605" t="s">
        <v>986</v>
      </c>
      <c r="EF50" s="1605" t="s">
        <v>986</v>
      </c>
      <c r="EG50" s="1605" t="s">
        <v>986</v>
      </c>
      <c r="EH50" s="1605" t="s">
        <v>986</v>
      </c>
      <c r="EI50" s="1605" t="s">
        <v>986</v>
      </c>
      <c r="EJ50" s="1605" t="s">
        <v>986</v>
      </c>
      <c r="EK50" s="1605" t="s">
        <v>986</v>
      </c>
      <c r="EL50" s="1605" t="s">
        <v>986</v>
      </c>
      <c r="EM50" s="1605" t="s">
        <v>986</v>
      </c>
      <c r="EN50" s="1605" t="s">
        <v>986</v>
      </c>
      <c r="EO50" s="1605" t="s">
        <v>986</v>
      </c>
      <c r="EP50" s="1605" t="s">
        <v>986</v>
      </c>
      <c r="EQ50" s="1605" t="s">
        <v>986</v>
      </c>
      <c r="ER50" s="1605" t="s">
        <v>986</v>
      </c>
      <c r="ES50" s="1605" t="s">
        <v>986</v>
      </c>
      <c r="ET50" s="1605" t="s">
        <v>986</v>
      </c>
      <c r="EU50" s="1605" t="s">
        <v>986</v>
      </c>
      <c r="EV50" s="1605" t="s">
        <v>986</v>
      </c>
      <c r="EW50" s="1605" t="s">
        <v>986</v>
      </c>
      <c r="EX50" s="1605" t="s">
        <v>986</v>
      </c>
      <c r="EY50" s="1605" t="s">
        <v>986</v>
      </c>
      <c r="EZ50" s="1605" t="s">
        <v>986</v>
      </c>
      <c r="FA50" s="1605" t="s">
        <v>986</v>
      </c>
      <c r="FB50" s="1605" t="s">
        <v>986</v>
      </c>
      <c r="FC50" s="1605" t="s">
        <v>986</v>
      </c>
      <c r="FD50" s="1605" t="s">
        <v>986</v>
      </c>
      <c r="FE50" s="1605" t="s">
        <v>986</v>
      </c>
      <c r="FF50" s="1605" t="s">
        <v>986</v>
      </c>
      <c r="FG50" s="1605" t="s">
        <v>986</v>
      </c>
      <c r="FH50" s="1605" t="s">
        <v>986</v>
      </c>
      <c r="FI50" s="1605" t="s">
        <v>986</v>
      </c>
      <c r="FJ50" s="1605" t="s">
        <v>986</v>
      </c>
      <c r="FK50" s="1605" t="s">
        <v>986</v>
      </c>
      <c r="FL50" s="1605" t="s">
        <v>986</v>
      </c>
      <c r="FM50" s="1605" t="s">
        <v>986</v>
      </c>
      <c r="FN50" s="1605" t="s">
        <v>986</v>
      </c>
      <c r="FO50" s="1605" t="s">
        <v>986</v>
      </c>
      <c r="FP50" s="1605" t="s">
        <v>986</v>
      </c>
      <c r="FQ50" s="1605" t="s">
        <v>986</v>
      </c>
      <c r="FR50" s="1605" t="s">
        <v>986</v>
      </c>
      <c r="FS50" s="1605" t="s">
        <v>986</v>
      </c>
      <c r="FT50" s="1605" t="s">
        <v>986</v>
      </c>
      <c r="FU50" s="1605" t="s">
        <v>986</v>
      </c>
      <c r="FV50" s="1605" t="s">
        <v>986</v>
      </c>
      <c r="FW50" s="1605" t="s">
        <v>986</v>
      </c>
      <c r="FX50" s="1605" t="s">
        <v>986</v>
      </c>
      <c r="FY50" s="1605" t="s">
        <v>986</v>
      </c>
      <c r="FZ50" s="1605" t="s">
        <v>986</v>
      </c>
      <c r="GA50" s="1605" t="s">
        <v>986</v>
      </c>
      <c r="GB50" s="1605" t="s">
        <v>986</v>
      </c>
      <c r="GC50" s="1605" t="s">
        <v>986</v>
      </c>
      <c r="GD50" s="1605" t="s">
        <v>986</v>
      </c>
      <c r="GE50" s="1605" t="s">
        <v>986</v>
      </c>
      <c r="GF50" s="1605" t="s">
        <v>986</v>
      </c>
      <c r="GG50" s="1605" t="s">
        <v>986</v>
      </c>
      <c r="GH50" s="1605" t="s">
        <v>986</v>
      </c>
      <c r="GI50" s="1605" t="s">
        <v>986</v>
      </c>
      <c r="GJ50" s="1605" t="s">
        <v>986</v>
      </c>
      <c r="GK50" s="1605" t="s">
        <v>986</v>
      </c>
      <c r="GL50" s="1605" t="s">
        <v>986</v>
      </c>
      <c r="GM50" s="1605" t="s">
        <v>986</v>
      </c>
      <c r="GN50" s="1605" t="s">
        <v>986</v>
      </c>
      <c r="GO50" s="1605" t="s">
        <v>986</v>
      </c>
      <c r="GP50" s="1605" t="s">
        <v>986</v>
      </c>
      <c r="GQ50" s="1605" t="s">
        <v>986</v>
      </c>
      <c r="GR50" s="1605" t="s">
        <v>986</v>
      </c>
      <c r="GS50" s="1605" t="s">
        <v>986</v>
      </c>
      <c r="GT50" s="1605" t="s">
        <v>986</v>
      </c>
      <c r="GU50" s="1605" t="s">
        <v>986</v>
      </c>
      <c r="GV50" s="1605" t="s">
        <v>986</v>
      </c>
      <c r="GW50" s="1605" t="s">
        <v>986</v>
      </c>
      <c r="GX50" s="1605" t="s">
        <v>986</v>
      </c>
      <c r="GY50" s="1605" t="s">
        <v>986</v>
      </c>
      <c r="GZ50" s="1605" t="s">
        <v>986</v>
      </c>
      <c r="HA50" s="1605" t="s">
        <v>986</v>
      </c>
      <c r="HB50" s="1605" t="s">
        <v>986</v>
      </c>
      <c r="HC50" s="1605" t="s">
        <v>986</v>
      </c>
      <c r="HD50" s="1605" t="s">
        <v>986</v>
      </c>
      <c r="HE50" s="1605" t="s">
        <v>986</v>
      </c>
      <c r="HF50" s="1605" t="s">
        <v>986</v>
      </c>
      <c r="HG50" s="1605" t="s">
        <v>986</v>
      </c>
      <c r="HH50" s="1605" t="s">
        <v>986</v>
      </c>
      <c r="HI50" s="1605" t="s">
        <v>986</v>
      </c>
      <c r="HJ50" s="1605" t="s">
        <v>986</v>
      </c>
      <c r="HK50" s="1605" t="s">
        <v>986</v>
      </c>
      <c r="HL50" s="1605" t="s">
        <v>986</v>
      </c>
      <c r="HM50" s="1605" t="s">
        <v>986</v>
      </c>
      <c r="HN50" s="1605" t="s">
        <v>986</v>
      </c>
      <c r="HO50" s="1605" t="s">
        <v>986</v>
      </c>
      <c r="HP50" s="1605" t="s">
        <v>986</v>
      </c>
      <c r="HQ50" s="1605" t="s">
        <v>986</v>
      </c>
      <c r="HR50" s="1605" t="s">
        <v>986</v>
      </c>
      <c r="HS50" s="1605" t="s">
        <v>986</v>
      </c>
      <c r="HT50" s="1605" t="s">
        <v>986</v>
      </c>
      <c r="HU50" s="1605" t="s">
        <v>986</v>
      </c>
      <c r="HV50" s="1617"/>
      <c r="HW50" s="1617" t="s">
        <v>986</v>
      </c>
      <c r="HX50" s="1617" t="s">
        <v>986</v>
      </c>
      <c r="HY50" s="1617" t="s">
        <v>986</v>
      </c>
      <c r="HZ50" s="1603"/>
      <c r="IA50" s="1603"/>
      <c r="IB50" s="1603"/>
      <c r="IC50" s="1603">
        <v>0</v>
      </c>
      <c r="ID50" s="1603">
        <v>0</v>
      </c>
      <c r="IE50" s="1603">
        <v>0</v>
      </c>
      <c r="IF50" s="1603">
        <v>0</v>
      </c>
      <c r="IG50" s="1611" t="s">
        <v>2932</v>
      </c>
      <c r="IH50" s="1616" t="s">
        <v>270</v>
      </c>
      <c r="II50" s="1615" t="s">
        <v>270</v>
      </c>
      <c r="IJ50" s="1613">
        <v>1.3101818181818183</v>
      </c>
      <c r="IK50" s="1613">
        <v>1.301848484848485</v>
      </c>
      <c r="IL50" s="1614">
        <v>1.3101818181818183</v>
      </c>
      <c r="IM50" s="1614">
        <v>1.301848484848485</v>
      </c>
      <c r="IN50" s="1612" t="s">
        <v>270</v>
      </c>
      <c r="IO50" s="1613" t="s">
        <v>270</v>
      </c>
      <c r="IP50" s="1607" t="s">
        <v>270</v>
      </c>
      <c r="IQ50" s="1612" t="s">
        <v>270</v>
      </c>
      <c r="IR50" s="1612" t="s">
        <v>270</v>
      </c>
      <c r="IS50" s="1607">
        <v>1.1881818181818182</v>
      </c>
      <c r="IT50" s="1607">
        <v>1.1798484848484849</v>
      </c>
      <c r="IU50" s="1611">
        <v>0</v>
      </c>
      <c r="IV50" s="1611">
        <v>7.7767676767676763E-2</v>
      </c>
      <c r="IW50" s="1611">
        <v>9.0909090909090909E-4</v>
      </c>
      <c r="IX50" s="1611">
        <v>1.6060606060606061E-3</v>
      </c>
      <c r="IY50" s="1611">
        <v>9.6969696969696957E-4</v>
      </c>
      <c r="IZ50" s="1611">
        <v>5.9898989898989896E-3</v>
      </c>
      <c r="JA50" s="1611">
        <v>6.0606060606060598E-5</v>
      </c>
      <c r="JB50" s="1611" t="s">
        <v>270</v>
      </c>
      <c r="JC50" s="1611">
        <v>9.9026969696969704</v>
      </c>
      <c r="JD50" s="1611">
        <v>5.2121212121212122E-3</v>
      </c>
      <c r="JE50" s="1611" t="s">
        <v>270</v>
      </c>
      <c r="JF50" s="1611">
        <v>8.2828282828282835E-4</v>
      </c>
      <c r="JG50" s="1611">
        <v>0.57978787878787885</v>
      </c>
      <c r="JH50" s="1611">
        <v>7.646464646464647E-3</v>
      </c>
      <c r="JI50" s="1611">
        <v>0.3</v>
      </c>
      <c r="JJ50" s="1611" t="s">
        <v>270</v>
      </c>
      <c r="JK50" s="1607">
        <f t="shared" si="9"/>
        <v>0.12200000000000011</v>
      </c>
      <c r="JL50" s="1608" t="s">
        <v>270</v>
      </c>
      <c r="JM50" s="1610" t="s">
        <v>2924</v>
      </c>
      <c r="JN50" s="1608">
        <v>8.3333333333333037E-3</v>
      </c>
      <c r="JO50" s="1609" t="s">
        <v>2931</v>
      </c>
      <c r="JP50" s="1608" t="s">
        <v>270</v>
      </c>
      <c r="JQ50" s="1607">
        <v>202103</v>
      </c>
      <c r="JR50" s="1606">
        <v>851</v>
      </c>
      <c r="JS50" s="1606">
        <v>774</v>
      </c>
      <c r="JT50" s="1606">
        <v>774</v>
      </c>
    </row>
    <row r="51" spans="1:280" ht="15" customHeight="1" x14ac:dyDescent="0.2">
      <c r="A51" s="1626">
        <v>47100</v>
      </c>
      <c r="B51" s="1625">
        <v>471</v>
      </c>
      <c r="C51" s="1624">
        <v>0</v>
      </c>
      <c r="D51" s="1623" t="s">
        <v>3666</v>
      </c>
      <c r="E51" s="1622">
        <v>43025</v>
      </c>
      <c r="F51" s="1620">
        <v>-0.112682926829268</v>
      </c>
      <c r="G51" s="1620">
        <v>-0.108</v>
      </c>
      <c r="H51" s="1621">
        <v>70</v>
      </c>
      <c r="I51" s="1621">
        <v>70</v>
      </c>
      <c r="J51" s="1621">
        <v>0</v>
      </c>
      <c r="K51" s="1620">
        <v>1</v>
      </c>
      <c r="L51" s="1620">
        <v>99</v>
      </c>
      <c r="M51" s="1620">
        <v>0</v>
      </c>
      <c r="N51" s="1620">
        <v>0</v>
      </c>
      <c r="O51" s="1620">
        <v>99</v>
      </c>
      <c r="P51" s="1620">
        <v>0</v>
      </c>
      <c r="Q51" s="1603"/>
      <c r="R51" s="1620">
        <v>0</v>
      </c>
      <c r="S51" s="1620">
        <v>50</v>
      </c>
      <c r="T51" s="1620">
        <v>50</v>
      </c>
      <c r="U51" s="1620">
        <v>50</v>
      </c>
      <c r="V51" s="1620">
        <v>50</v>
      </c>
      <c r="W51" s="1620">
        <v>50</v>
      </c>
      <c r="X51" s="1620"/>
      <c r="Y51" s="1620">
        <v>303.03030000000098</v>
      </c>
      <c r="Z51" s="1620">
        <v>181.81818000000001</v>
      </c>
      <c r="AA51" s="1620">
        <v>50.505050505050505</v>
      </c>
      <c r="AB51" s="1620">
        <v>0</v>
      </c>
      <c r="AC51" s="1620">
        <v>0</v>
      </c>
      <c r="AD51" s="1620">
        <v>0</v>
      </c>
      <c r="AE51" s="1620">
        <v>0</v>
      </c>
      <c r="AF51" s="1620">
        <v>0</v>
      </c>
      <c r="AG51" s="1620">
        <v>0</v>
      </c>
      <c r="AH51" s="1620">
        <v>0</v>
      </c>
      <c r="AI51" s="1620">
        <v>0</v>
      </c>
      <c r="AJ51" s="1620">
        <v>0</v>
      </c>
      <c r="AK51" s="1620">
        <v>0</v>
      </c>
      <c r="AL51" s="1620"/>
      <c r="AM51" s="1620">
        <v>0</v>
      </c>
      <c r="AN51" s="1620">
        <v>0</v>
      </c>
      <c r="AO51" s="1620">
        <v>0</v>
      </c>
      <c r="AP51" s="1620">
        <v>0</v>
      </c>
      <c r="AQ51" s="1620">
        <v>0</v>
      </c>
      <c r="AR51" s="1620">
        <v>0</v>
      </c>
      <c r="AS51" s="1620">
        <v>0</v>
      </c>
      <c r="AT51" s="1620">
        <v>0</v>
      </c>
      <c r="AU51" s="1620">
        <v>0</v>
      </c>
      <c r="AV51" s="1620">
        <v>0</v>
      </c>
      <c r="AW51" s="1620">
        <v>0</v>
      </c>
      <c r="AX51" s="1620"/>
      <c r="AY51" s="1620">
        <v>1</v>
      </c>
      <c r="AZ51" s="1620">
        <v>1</v>
      </c>
      <c r="BA51" s="1620">
        <v>1</v>
      </c>
      <c r="BB51" s="1620">
        <v>1</v>
      </c>
      <c r="BC51" s="1620">
        <v>1</v>
      </c>
      <c r="BD51" s="1620">
        <v>1</v>
      </c>
      <c r="BE51" s="1620">
        <v>1</v>
      </c>
      <c r="BF51" s="1620">
        <v>1</v>
      </c>
      <c r="BG51" s="1620">
        <v>1</v>
      </c>
      <c r="BH51" s="1620">
        <v>1</v>
      </c>
      <c r="BI51" s="1620">
        <v>1</v>
      </c>
      <c r="BJ51" s="1603"/>
      <c r="BK51" s="1620">
        <v>0</v>
      </c>
      <c r="BL51" s="1620">
        <v>0</v>
      </c>
      <c r="BM51" s="1620">
        <v>100</v>
      </c>
      <c r="BN51" s="1620">
        <v>0</v>
      </c>
      <c r="BO51" s="1620"/>
      <c r="BP51" s="1620">
        <v>0</v>
      </c>
      <c r="BQ51" s="1620">
        <v>0</v>
      </c>
      <c r="BR51" s="1620">
        <v>-0.11382113821138182</v>
      </c>
      <c r="BS51" s="1620">
        <v>-0.1090909090909091</v>
      </c>
      <c r="BT51" s="1603"/>
      <c r="BU51" s="1620">
        <v>0</v>
      </c>
      <c r="BV51" s="1620">
        <v>0</v>
      </c>
      <c r="BW51" s="1620">
        <v>0</v>
      </c>
      <c r="BX51" s="1620" t="s">
        <v>270</v>
      </c>
      <c r="BY51" s="1620" t="s">
        <v>270</v>
      </c>
      <c r="BZ51" s="1620" t="s">
        <v>270</v>
      </c>
      <c r="CA51" s="1620" t="s">
        <v>270</v>
      </c>
      <c r="CB51" s="1603"/>
      <c r="CC51" s="1603">
        <v>299.99999700000097</v>
      </c>
      <c r="CD51" s="1603">
        <v>179.99999820000002</v>
      </c>
      <c r="CE51" s="1603">
        <v>50</v>
      </c>
      <c r="CF51" s="1603">
        <v>0</v>
      </c>
      <c r="CG51" s="1603">
        <v>0</v>
      </c>
      <c r="CH51" s="1603">
        <v>0</v>
      </c>
      <c r="CI51" s="1603">
        <v>0</v>
      </c>
      <c r="CJ51" s="1603"/>
      <c r="CK51" s="1603">
        <v>0</v>
      </c>
      <c r="CL51" s="1603">
        <v>0</v>
      </c>
      <c r="CM51" s="1603">
        <v>0</v>
      </c>
      <c r="CN51" s="1603">
        <v>0</v>
      </c>
      <c r="CO51" s="1603">
        <v>0</v>
      </c>
      <c r="CP51" s="1603">
        <v>0</v>
      </c>
      <c r="CQ51" s="1603">
        <v>0</v>
      </c>
      <c r="CR51" s="1603">
        <v>0</v>
      </c>
      <c r="CS51" s="1603">
        <v>0</v>
      </c>
      <c r="CT51" s="1603">
        <v>0</v>
      </c>
      <c r="CU51" s="1603">
        <v>0</v>
      </c>
      <c r="CV51" s="1603">
        <v>0</v>
      </c>
      <c r="CW51" s="1603">
        <v>0</v>
      </c>
      <c r="CX51" s="1603">
        <v>0</v>
      </c>
      <c r="CY51" s="1603">
        <v>0</v>
      </c>
      <c r="CZ51" s="1603">
        <v>0</v>
      </c>
      <c r="DA51" s="1603">
        <v>0</v>
      </c>
      <c r="DB51" s="1603">
        <v>0</v>
      </c>
      <c r="DC51" s="1603">
        <v>0</v>
      </c>
      <c r="DD51" s="1603">
        <v>0</v>
      </c>
      <c r="DE51" s="1603">
        <v>0</v>
      </c>
      <c r="DF51" s="1603">
        <v>0</v>
      </c>
      <c r="DG51" s="1603">
        <v>0</v>
      </c>
      <c r="DH51" s="1603">
        <v>0</v>
      </c>
      <c r="DI51" s="1603">
        <v>0</v>
      </c>
      <c r="DJ51" s="1603">
        <v>0</v>
      </c>
      <c r="DK51" s="1603">
        <v>0</v>
      </c>
      <c r="DL51" s="1603">
        <v>0</v>
      </c>
      <c r="DM51" s="1603">
        <v>0</v>
      </c>
      <c r="DN51" s="1603">
        <v>0</v>
      </c>
      <c r="DO51" s="1603">
        <v>0</v>
      </c>
      <c r="DP51" s="1603">
        <v>0</v>
      </c>
      <c r="DQ51" s="1603">
        <v>0</v>
      </c>
      <c r="DR51" s="1603">
        <v>0</v>
      </c>
      <c r="DS51" s="1603">
        <v>0</v>
      </c>
      <c r="DT51" s="1603">
        <v>0</v>
      </c>
      <c r="DU51" s="1603">
        <v>0</v>
      </c>
      <c r="DV51" s="1603">
        <v>0</v>
      </c>
      <c r="DW51" s="1618" t="s">
        <v>3665</v>
      </c>
      <c r="DX51" s="1605" t="s">
        <v>986</v>
      </c>
      <c r="DY51" s="1605" t="s">
        <v>986</v>
      </c>
      <c r="DZ51" s="1605" t="s">
        <v>986</v>
      </c>
      <c r="EA51" s="1605" t="s">
        <v>986</v>
      </c>
      <c r="EB51" s="1605" t="s">
        <v>986</v>
      </c>
      <c r="EC51" s="1605" t="s">
        <v>986</v>
      </c>
      <c r="ED51" s="1605" t="s">
        <v>986</v>
      </c>
      <c r="EE51" s="1605" t="s">
        <v>986</v>
      </c>
      <c r="EF51" s="1605" t="s">
        <v>986</v>
      </c>
      <c r="EG51" s="1605" t="s">
        <v>986</v>
      </c>
      <c r="EH51" s="1605" t="s">
        <v>986</v>
      </c>
      <c r="EI51" s="1605" t="s">
        <v>986</v>
      </c>
      <c r="EJ51" s="1605" t="s">
        <v>986</v>
      </c>
      <c r="EK51" s="1605" t="s">
        <v>986</v>
      </c>
      <c r="EL51" s="1605" t="s">
        <v>986</v>
      </c>
      <c r="EM51" s="1605" t="s">
        <v>986</v>
      </c>
      <c r="EN51" s="1605" t="s">
        <v>986</v>
      </c>
      <c r="EO51" s="1605" t="s">
        <v>986</v>
      </c>
      <c r="EP51" s="1605" t="s">
        <v>986</v>
      </c>
      <c r="EQ51" s="1605" t="s">
        <v>986</v>
      </c>
      <c r="ER51" s="1605" t="s">
        <v>986</v>
      </c>
      <c r="ES51" s="1605" t="s">
        <v>986</v>
      </c>
      <c r="ET51" s="1605" t="s">
        <v>986</v>
      </c>
      <c r="EU51" s="1605" t="s">
        <v>986</v>
      </c>
      <c r="EV51" s="1605" t="s">
        <v>986</v>
      </c>
      <c r="EW51" s="1605" t="s">
        <v>986</v>
      </c>
      <c r="EX51" s="1605" t="s">
        <v>986</v>
      </c>
      <c r="EY51" s="1605" t="s">
        <v>986</v>
      </c>
      <c r="EZ51" s="1605" t="s">
        <v>986</v>
      </c>
      <c r="FA51" s="1605" t="s">
        <v>986</v>
      </c>
      <c r="FB51" s="1605" t="s">
        <v>986</v>
      </c>
      <c r="FC51" s="1605" t="s">
        <v>986</v>
      </c>
      <c r="FD51" s="1605" t="s">
        <v>986</v>
      </c>
      <c r="FE51" s="1605" t="s">
        <v>986</v>
      </c>
      <c r="FF51" s="1605" t="s">
        <v>986</v>
      </c>
      <c r="FG51" s="1605" t="s">
        <v>986</v>
      </c>
      <c r="FH51" s="1605" t="s">
        <v>986</v>
      </c>
      <c r="FI51" s="1605" t="s">
        <v>986</v>
      </c>
      <c r="FJ51" s="1605" t="s">
        <v>986</v>
      </c>
      <c r="FK51" s="1605" t="s">
        <v>986</v>
      </c>
      <c r="FL51" s="1605" t="s">
        <v>986</v>
      </c>
      <c r="FM51" s="1605" t="s">
        <v>986</v>
      </c>
      <c r="FN51" s="1605" t="s">
        <v>986</v>
      </c>
      <c r="FO51" s="1605" t="s">
        <v>986</v>
      </c>
      <c r="FP51" s="1605" t="s">
        <v>986</v>
      </c>
      <c r="FQ51" s="1605" t="s">
        <v>986</v>
      </c>
      <c r="FR51" s="1605" t="s">
        <v>986</v>
      </c>
      <c r="FS51" s="1605" t="s">
        <v>986</v>
      </c>
      <c r="FT51" s="1605" t="s">
        <v>986</v>
      </c>
      <c r="FU51" s="1605" t="s">
        <v>986</v>
      </c>
      <c r="FV51" s="1605" t="s">
        <v>986</v>
      </c>
      <c r="FW51" s="1605" t="s">
        <v>986</v>
      </c>
      <c r="FX51" s="1605" t="s">
        <v>986</v>
      </c>
      <c r="FY51" s="1605" t="s">
        <v>986</v>
      </c>
      <c r="FZ51" s="1605" t="s">
        <v>986</v>
      </c>
      <c r="GA51" s="1605" t="s">
        <v>986</v>
      </c>
      <c r="GB51" s="1605" t="s">
        <v>986</v>
      </c>
      <c r="GC51" s="1605" t="s">
        <v>986</v>
      </c>
      <c r="GD51" s="1605" t="s">
        <v>986</v>
      </c>
      <c r="GE51" s="1605" t="s">
        <v>986</v>
      </c>
      <c r="GF51" s="1605" t="s">
        <v>986</v>
      </c>
      <c r="GG51" s="1605" t="s">
        <v>986</v>
      </c>
      <c r="GH51" s="1605" t="s">
        <v>986</v>
      </c>
      <c r="GI51" s="1605" t="s">
        <v>986</v>
      </c>
      <c r="GJ51" s="1605" t="s">
        <v>986</v>
      </c>
      <c r="GK51" s="1605" t="s">
        <v>986</v>
      </c>
      <c r="GL51" s="1605" t="s">
        <v>986</v>
      </c>
      <c r="GM51" s="1605" t="s">
        <v>986</v>
      </c>
      <c r="GN51" s="1605" t="s">
        <v>986</v>
      </c>
      <c r="GO51" s="1605" t="s">
        <v>986</v>
      </c>
      <c r="GP51" s="1605" t="s">
        <v>986</v>
      </c>
      <c r="GQ51" s="1605" t="s">
        <v>986</v>
      </c>
      <c r="GR51" s="1605" t="s">
        <v>986</v>
      </c>
      <c r="GS51" s="1605" t="s">
        <v>986</v>
      </c>
      <c r="GT51" s="1605" t="s">
        <v>986</v>
      </c>
      <c r="GU51" s="1605" t="s">
        <v>986</v>
      </c>
      <c r="GV51" s="1605" t="s">
        <v>986</v>
      </c>
      <c r="GW51" s="1605" t="s">
        <v>986</v>
      </c>
      <c r="GX51" s="1605" t="s">
        <v>986</v>
      </c>
      <c r="GY51" s="1605" t="s">
        <v>986</v>
      </c>
      <c r="GZ51" s="1605" t="s">
        <v>986</v>
      </c>
      <c r="HA51" s="1605" t="s">
        <v>986</v>
      </c>
      <c r="HB51" s="1605" t="s">
        <v>986</v>
      </c>
      <c r="HC51" s="1605" t="s">
        <v>986</v>
      </c>
      <c r="HD51" s="1605" t="s">
        <v>986</v>
      </c>
      <c r="HE51" s="1605" t="s">
        <v>986</v>
      </c>
      <c r="HF51" s="1605" t="s">
        <v>986</v>
      </c>
      <c r="HG51" s="1605" t="s">
        <v>986</v>
      </c>
      <c r="HH51" s="1605" t="s">
        <v>986</v>
      </c>
      <c r="HI51" s="1605" t="s">
        <v>986</v>
      </c>
      <c r="HJ51" s="1605" t="s">
        <v>986</v>
      </c>
      <c r="HK51" s="1605" t="s">
        <v>986</v>
      </c>
      <c r="HL51" s="1605" t="s">
        <v>986</v>
      </c>
      <c r="HM51" s="1605" t="s">
        <v>986</v>
      </c>
      <c r="HN51" s="1605" t="s">
        <v>986</v>
      </c>
      <c r="HO51" s="1605" t="s">
        <v>986</v>
      </c>
      <c r="HP51" s="1605" t="s">
        <v>986</v>
      </c>
      <c r="HQ51" s="1605" t="s">
        <v>986</v>
      </c>
      <c r="HR51" s="1605" t="s">
        <v>986</v>
      </c>
      <c r="HS51" s="1605" t="s">
        <v>986</v>
      </c>
      <c r="HT51" s="1605" t="s">
        <v>986</v>
      </c>
      <c r="HU51" s="1605" t="s">
        <v>986</v>
      </c>
      <c r="HV51" s="1617"/>
      <c r="HW51" s="1617">
        <v>0</v>
      </c>
      <c r="HX51" s="1617">
        <v>0</v>
      </c>
      <c r="HY51" s="1617">
        <v>0</v>
      </c>
      <c r="HZ51" s="1603"/>
      <c r="IA51" s="1603"/>
      <c r="IB51" s="1603"/>
      <c r="IC51" s="1603">
        <v>50</v>
      </c>
      <c r="ID51" s="1603">
        <v>50</v>
      </c>
      <c r="IE51" s="1603">
        <v>50</v>
      </c>
      <c r="IF51" s="1603">
        <v>50</v>
      </c>
      <c r="IG51" s="1611" t="s">
        <v>2932</v>
      </c>
      <c r="IH51" s="1616" t="s">
        <v>270</v>
      </c>
      <c r="II51" s="1615" t="s">
        <v>270</v>
      </c>
      <c r="IJ51" s="1613">
        <v>1.3101818181818183</v>
      </c>
      <c r="IK51" s="1613">
        <v>1.301848484848485</v>
      </c>
      <c r="IL51" s="1614">
        <v>1.3101818181818183</v>
      </c>
      <c r="IM51" s="1614">
        <v>1.301848484848485</v>
      </c>
      <c r="IN51" s="1612" t="s">
        <v>270</v>
      </c>
      <c r="IO51" s="1613" t="s">
        <v>270</v>
      </c>
      <c r="IP51" s="1607" t="s">
        <v>270</v>
      </c>
      <c r="IQ51" s="1612" t="s">
        <v>270</v>
      </c>
      <c r="IR51" s="1612" t="s">
        <v>270</v>
      </c>
      <c r="IS51" s="1607">
        <v>1.1881818181818182</v>
      </c>
      <c r="IT51" s="1607">
        <v>1.1798484848484849</v>
      </c>
      <c r="IU51" s="1611">
        <v>0</v>
      </c>
      <c r="IV51" s="1611">
        <v>7.7767676767676763E-2</v>
      </c>
      <c r="IW51" s="1611">
        <v>9.0909090909090909E-4</v>
      </c>
      <c r="IX51" s="1611">
        <v>1.6060606060606061E-3</v>
      </c>
      <c r="IY51" s="1611">
        <v>9.6969696969696957E-4</v>
      </c>
      <c r="IZ51" s="1611">
        <v>5.9898989898989896E-3</v>
      </c>
      <c r="JA51" s="1611">
        <v>6.0606060606060598E-5</v>
      </c>
      <c r="JB51" s="1611" t="s">
        <v>270</v>
      </c>
      <c r="JC51" s="1611">
        <v>9.9026969696969704</v>
      </c>
      <c r="JD51" s="1611">
        <v>5.2121212121212122E-3</v>
      </c>
      <c r="JE51" s="1611" t="s">
        <v>270</v>
      </c>
      <c r="JF51" s="1611">
        <v>8.2828282828282835E-4</v>
      </c>
      <c r="JG51" s="1611">
        <v>0.57978787878787885</v>
      </c>
      <c r="JH51" s="1611">
        <v>7.646464646464647E-3</v>
      </c>
      <c r="JI51" s="1611">
        <v>0.3</v>
      </c>
      <c r="JJ51" s="1611" t="s">
        <v>270</v>
      </c>
      <c r="JK51" s="1607">
        <f t="shared" si="9"/>
        <v>0.12200000000000011</v>
      </c>
      <c r="JL51" s="1608" t="s">
        <v>270</v>
      </c>
      <c r="JM51" s="1610" t="s">
        <v>2924</v>
      </c>
      <c r="JN51" s="1608">
        <v>8.3333333333333037E-3</v>
      </c>
      <c r="JO51" s="1609" t="s">
        <v>2931</v>
      </c>
      <c r="JP51" s="1608" t="s">
        <v>270</v>
      </c>
      <c r="JQ51" s="1607">
        <v>202103</v>
      </c>
      <c r="JR51" s="1606">
        <v>851</v>
      </c>
      <c r="JS51" s="1606">
        <v>774</v>
      </c>
      <c r="JT51" s="1606">
        <v>774</v>
      </c>
    </row>
    <row r="52" spans="1:280" ht="15" customHeight="1" x14ac:dyDescent="0.2">
      <c r="A52" s="1626">
        <v>47101</v>
      </c>
      <c r="B52" s="1625">
        <v>471</v>
      </c>
      <c r="C52" s="1624">
        <v>1</v>
      </c>
      <c r="D52" s="1623" t="s">
        <v>3664</v>
      </c>
      <c r="E52" s="1622">
        <v>43025</v>
      </c>
      <c r="F52" s="1620">
        <v>-0.112682926829268</v>
      </c>
      <c r="G52" s="1620">
        <v>-0.108</v>
      </c>
      <c r="H52" s="1621">
        <v>70</v>
      </c>
      <c r="I52" s="1621">
        <v>70</v>
      </c>
      <c r="J52" s="1621">
        <v>0</v>
      </c>
      <c r="K52" s="1620">
        <v>1</v>
      </c>
      <c r="L52" s="1620">
        <v>99</v>
      </c>
      <c r="M52" s="1620">
        <v>0</v>
      </c>
      <c r="N52" s="1620">
        <v>0</v>
      </c>
      <c r="O52" s="1620">
        <v>99</v>
      </c>
      <c r="P52" s="1620">
        <v>0</v>
      </c>
      <c r="Q52" s="1603"/>
      <c r="R52" s="1620">
        <v>0</v>
      </c>
      <c r="S52" s="1620">
        <v>59</v>
      </c>
      <c r="T52" s="1620">
        <v>59</v>
      </c>
      <c r="U52" s="1620">
        <v>59</v>
      </c>
      <c r="V52" s="1620">
        <v>59</v>
      </c>
      <c r="W52" s="1620">
        <v>59</v>
      </c>
      <c r="X52" s="1620"/>
      <c r="Y52" s="1620">
        <v>309.09090909090907</v>
      </c>
      <c r="Z52" s="1620">
        <v>181.81818000000001</v>
      </c>
      <c r="AA52" s="1620">
        <v>51.515151515151516</v>
      </c>
      <c r="AB52" s="1620">
        <v>0</v>
      </c>
      <c r="AC52" s="1620">
        <v>0</v>
      </c>
      <c r="AD52" s="1620">
        <v>0</v>
      </c>
      <c r="AE52" s="1620">
        <v>0</v>
      </c>
      <c r="AF52" s="1620">
        <v>0</v>
      </c>
      <c r="AG52" s="1620">
        <v>0</v>
      </c>
      <c r="AH52" s="1620">
        <v>0</v>
      </c>
      <c r="AI52" s="1620">
        <v>0</v>
      </c>
      <c r="AJ52" s="1620">
        <v>0</v>
      </c>
      <c r="AK52" s="1620">
        <v>0</v>
      </c>
      <c r="AL52" s="1620"/>
      <c r="AM52" s="1620">
        <v>0</v>
      </c>
      <c r="AN52" s="1620">
        <v>0</v>
      </c>
      <c r="AO52" s="1620">
        <v>0</v>
      </c>
      <c r="AP52" s="1620">
        <v>0</v>
      </c>
      <c r="AQ52" s="1620">
        <v>0</v>
      </c>
      <c r="AR52" s="1620">
        <v>0</v>
      </c>
      <c r="AS52" s="1620">
        <v>0</v>
      </c>
      <c r="AT52" s="1620">
        <v>0</v>
      </c>
      <c r="AU52" s="1620">
        <v>0</v>
      </c>
      <c r="AV52" s="1620">
        <v>0</v>
      </c>
      <c r="AW52" s="1620">
        <v>0</v>
      </c>
      <c r="AX52" s="1620"/>
      <c r="AY52" s="1620">
        <v>1</v>
      </c>
      <c r="AZ52" s="1620">
        <v>1</v>
      </c>
      <c r="BA52" s="1620">
        <v>1</v>
      </c>
      <c r="BB52" s="1620">
        <v>1</v>
      </c>
      <c r="BC52" s="1620">
        <v>1</v>
      </c>
      <c r="BD52" s="1620">
        <v>1</v>
      </c>
      <c r="BE52" s="1620">
        <v>1</v>
      </c>
      <c r="BF52" s="1620">
        <v>1</v>
      </c>
      <c r="BG52" s="1620">
        <v>1</v>
      </c>
      <c r="BH52" s="1620">
        <v>1</v>
      </c>
      <c r="BI52" s="1620">
        <v>1</v>
      </c>
      <c r="BJ52" s="1603"/>
      <c r="BK52" s="1620">
        <v>0</v>
      </c>
      <c r="BL52" s="1620">
        <v>0</v>
      </c>
      <c r="BM52" s="1620">
        <v>100</v>
      </c>
      <c r="BN52" s="1620">
        <v>0</v>
      </c>
      <c r="BO52" s="1620"/>
      <c r="BP52" s="1620">
        <v>0</v>
      </c>
      <c r="BQ52" s="1620">
        <v>0</v>
      </c>
      <c r="BR52" s="1620">
        <v>-0.11382113821138182</v>
      </c>
      <c r="BS52" s="1620">
        <v>-0.1090909090909091</v>
      </c>
      <c r="BT52" s="1603"/>
      <c r="BU52" s="1620">
        <v>0</v>
      </c>
      <c r="BV52" s="1620">
        <v>0</v>
      </c>
      <c r="BW52" s="1620">
        <v>0</v>
      </c>
      <c r="BX52" s="1620" t="s">
        <v>270</v>
      </c>
      <c r="BY52" s="1620" t="s">
        <v>270</v>
      </c>
      <c r="BZ52" s="1620" t="s">
        <v>270</v>
      </c>
      <c r="CA52" s="1620" t="s">
        <v>270</v>
      </c>
      <c r="CB52" s="1603"/>
      <c r="CC52" s="1603">
        <v>306</v>
      </c>
      <c r="CD52" s="1603">
        <v>179.99999820000002</v>
      </c>
      <c r="CE52" s="1603">
        <v>51</v>
      </c>
      <c r="CF52" s="1603">
        <v>0</v>
      </c>
      <c r="CG52" s="1603">
        <v>0</v>
      </c>
      <c r="CH52" s="1603">
        <v>0</v>
      </c>
      <c r="CI52" s="1603">
        <v>0</v>
      </c>
      <c r="CJ52" s="1603"/>
      <c r="CK52" s="1603">
        <v>0</v>
      </c>
      <c r="CL52" s="1603">
        <v>0</v>
      </c>
      <c r="CM52" s="1603">
        <v>0</v>
      </c>
      <c r="CN52" s="1603">
        <v>0</v>
      </c>
      <c r="CO52" s="1603">
        <v>0</v>
      </c>
      <c r="CP52" s="1603">
        <v>0</v>
      </c>
      <c r="CQ52" s="1603">
        <v>0</v>
      </c>
      <c r="CR52" s="1603">
        <v>0</v>
      </c>
      <c r="CS52" s="1603">
        <v>0</v>
      </c>
      <c r="CT52" s="1603">
        <v>0</v>
      </c>
      <c r="CU52" s="1603">
        <v>0</v>
      </c>
      <c r="CV52" s="1603">
        <v>0</v>
      </c>
      <c r="CW52" s="1603">
        <v>0</v>
      </c>
      <c r="CX52" s="1603">
        <v>0</v>
      </c>
      <c r="CY52" s="1603">
        <v>0</v>
      </c>
      <c r="CZ52" s="1603">
        <v>0</v>
      </c>
      <c r="DA52" s="1603">
        <v>0</v>
      </c>
      <c r="DB52" s="1603">
        <v>0</v>
      </c>
      <c r="DC52" s="1603">
        <v>0</v>
      </c>
      <c r="DD52" s="1603">
        <v>0</v>
      </c>
      <c r="DE52" s="1603">
        <v>0</v>
      </c>
      <c r="DF52" s="1603">
        <v>0</v>
      </c>
      <c r="DG52" s="1603">
        <v>0</v>
      </c>
      <c r="DH52" s="1603">
        <v>0</v>
      </c>
      <c r="DI52" s="1603">
        <v>0</v>
      </c>
      <c r="DJ52" s="1603">
        <v>0</v>
      </c>
      <c r="DK52" s="1603">
        <v>0</v>
      </c>
      <c r="DL52" s="1603">
        <v>0</v>
      </c>
      <c r="DM52" s="1603">
        <v>0</v>
      </c>
      <c r="DN52" s="1603">
        <v>0</v>
      </c>
      <c r="DO52" s="1603">
        <v>0</v>
      </c>
      <c r="DP52" s="1603">
        <v>0</v>
      </c>
      <c r="DQ52" s="1603">
        <v>0</v>
      </c>
      <c r="DR52" s="1603">
        <v>0</v>
      </c>
      <c r="DS52" s="1603">
        <v>0</v>
      </c>
      <c r="DT52" s="1603">
        <v>0</v>
      </c>
      <c r="DU52" s="1603">
        <v>0</v>
      </c>
      <c r="DV52" s="1603">
        <v>0</v>
      </c>
      <c r="DW52" s="1618" t="s">
        <v>986</v>
      </c>
      <c r="DX52" s="1605" t="s">
        <v>986</v>
      </c>
      <c r="DY52" s="1605" t="s">
        <v>986</v>
      </c>
      <c r="DZ52" s="1605" t="s">
        <v>986</v>
      </c>
      <c r="EA52" s="1605" t="s">
        <v>986</v>
      </c>
      <c r="EB52" s="1605" t="s">
        <v>986</v>
      </c>
      <c r="EC52" s="1605" t="s">
        <v>986</v>
      </c>
      <c r="ED52" s="1605" t="s">
        <v>986</v>
      </c>
      <c r="EE52" s="1605" t="s">
        <v>986</v>
      </c>
      <c r="EF52" s="1605" t="s">
        <v>986</v>
      </c>
      <c r="EG52" s="1605" t="s">
        <v>986</v>
      </c>
      <c r="EH52" s="1605" t="s">
        <v>986</v>
      </c>
      <c r="EI52" s="1605" t="s">
        <v>986</v>
      </c>
      <c r="EJ52" s="1605" t="s">
        <v>986</v>
      </c>
      <c r="EK52" s="1605" t="s">
        <v>986</v>
      </c>
      <c r="EL52" s="1605" t="s">
        <v>986</v>
      </c>
      <c r="EM52" s="1605" t="s">
        <v>986</v>
      </c>
      <c r="EN52" s="1605" t="s">
        <v>986</v>
      </c>
      <c r="EO52" s="1605" t="s">
        <v>986</v>
      </c>
      <c r="EP52" s="1605" t="s">
        <v>986</v>
      </c>
      <c r="EQ52" s="1605" t="s">
        <v>986</v>
      </c>
      <c r="ER52" s="1605" t="s">
        <v>986</v>
      </c>
      <c r="ES52" s="1605" t="s">
        <v>986</v>
      </c>
      <c r="ET52" s="1605" t="s">
        <v>986</v>
      </c>
      <c r="EU52" s="1605" t="s">
        <v>986</v>
      </c>
      <c r="EV52" s="1605" t="s">
        <v>986</v>
      </c>
      <c r="EW52" s="1605" t="s">
        <v>986</v>
      </c>
      <c r="EX52" s="1605" t="s">
        <v>986</v>
      </c>
      <c r="EY52" s="1605" t="s">
        <v>986</v>
      </c>
      <c r="EZ52" s="1605" t="s">
        <v>986</v>
      </c>
      <c r="FA52" s="1605" t="s">
        <v>986</v>
      </c>
      <c r="FB52" s="1605" t="s">
        <v>986</v>
      </c>
      <c r="FC52" s="1605" t="s">
        <v>986</v>
      </c>
      <c r="FD52" s="1605" t="s">
        <v>986</v>
      </c>
      <c r="FE52" s="1605" t="s">
        <v>986</v>
      </c>
      <c r="FF52" s="1605" t="s">
        <v>986</v>
      </c>
      <c r="FG52" s="1605" t="s">
        <v>986</v>
      </c>
      <c r="FH52" s="1605" t="s">
        <v>986</v>
      </c>
      <c r="FI52" s="1605" t="s">
        <v>986</v>
      </c>
      <c r="FJ52" s="1605" t="s">
        <v>986</v>
      </c>
      <c r="FK52" s="1605" t="s">
        <v>986</v>
      </c>
      <c r="FL52" s="1605" t="s">
        <v>986</v>
      </c>
      <c r="FM52" s="1605" t="s">
        <v>986</v>
      </c>
      <c r="FN52" s="1605" t="s">
        <v>986</v>
      </c>
      <c r="FO52" s="1605" t="s">
        <v>986</v>
      </c>
      <c r="FP52" s="1605" t="s">
        <v>986</v>
      </c>
      <c r="FQ52" s="1605" t="s">
        <v>986</v>
      </c>
      <c r="FR52" s="1605" t="s">
        <v>986</v>
      </c>
      <c r="FS52" s="1605" t="s">
        <v>986</v>
      </c>
      <c r="FT52" s="1605" t="s">
        <v>986</v>
      </c>
      <c r="FU52" s="1605" t="s">
        <v>986</v>
      </c>
      <c r="FV52" s="1605" t="s">
        <v>986</v>
      </c>
      <c r="FW52" s="1605" t="s">
        <v>986</v>
      </c>
      <c r="FX52" s="1605" t="s">
        <v>986</v>
      </c>
      <c r="FY52" s="1605" t="s">
        <v>986</v>
      </c>
      <c r="FZ52" s="1605" t="s">
        <v>986</v>
      </c>
      <c r="GA52" s="1605" t="s">
        <v>986</v>
      </c>
      <c r="GB52" s="1605" t="s">
        <v>986</v>
      </c>
      <c r="GC52" s="1605" t="s">
        <v>986</v>
      </c>
      <c r="GD52" s="1605" t="s">
        <v>986</v>
      </c>
      <c r="GE52" s="1605" t="s">
        <v>986</v>
      </c>
      <c r="GF52" s="1605" t="s">
        <v>986</v>
      </c>
      <c r="GG52" s="1605" t="s">
        <v>986</v>
      </c>
      <c r="GH52" s="1605" t="s">
        <v>986</v>
      </c>
      <c r="GI52" s="1605" t="s">
        <v>986</v>
      </c>
      <c r="GJ52" s="1605" t="s">
        <v>986</v>
      </c>
      <c r="GK52" s="1605" t="s">
        <v>986</v>
      </c>
      <c r="GL52" s="1605" t="s">
        <v>986</v>
      </c>
      <c r="GM52" s="1605" t="s">
        <v>986</v>
      </c>
      <c r="GN52" s="1605" t="s">
        <v>986</v>
      </c>
      <c r="GO52" s="1605" t="s">
        <v>986</v>
      </c>
      <c r="GP52" s="1605" t="s">
        <v>986</v>
      </c>
      <c r="GQ52" s="1605" t="s">
        <v>986</v>
      </c>
      <c r="GR52" s="1605" t="s">
        <v>986</v>
      </c>
      <c r="GS52" s="1605" t="s">
        <v>986</v>
      </c>
      <c r="GT52" s="1605" t="s">
        <v>986</v>
      </c>
      <c r="GU52" s="1605" t="s">
        <v>986</v>
      </c>
      <c r="GV52" s="1605" t="s">
        <v>986</v>
      </c>
      <c r="GW52" s="1605" t="s">
        <v>986</v>
      </c>
      <c r="GX52" s="1605" t="s">
        <v>986</v>
      </c>
      <c r="GY52" s="1605" t="s">
        <v>986</v>
      </c>
      <c r="GZ52" s="1605" t="s">
        <v>986</v>
      </c>
      <c r="HA52" s="1605" t="s">
        <v>986</v>
      </c>
      <c r="HB52" s="1605" t="s">
        <v>986</v>
      </c>
      <c r="HC52" s="1605" t="s">
        <v>986</v>
      </c>
      <c r="HD52" s="1605" t="s">
        <v>986</v>
      </c>
      <c r="HE52" s="1605" t="s">
        <v>986</v>
      </c>
      <c r="HF52" s="1605" t="s">
        <v>986</v>
      </c>
      <c r="HG52" s="1605" t="s">
        <v>986</v>
      </c>
      <c r="HH52" s="1605" t="s">
        <v>986</v>
      </c>
      <c r="HI52" s="1605" t="s">
        <v>986</v>
      </c>
      <c r="HJ52" s="1605" t="s">
        <v>986</v>
      </c>
      <c r="HK52" s="1605" t="s">
        <v>986</v>
      </c>
      <c r="HL52" s="1605" t="s">
        <v>986</v>
      </c>
      <c r="HM52" s="1605" t="s">
        <v>986</v>
      </c>
      <c r="HN52" s="1605" t="s">
        <v>986</v>
      </c>
      <c r="HO52" s="1605" t="s">
        <v>986</v>
      </c>
      <c r="HP52" s="1605" t="s">
        <v>986</v>
      </c>
      <c r="HQ52" s="1605" t="s">
        <v>986</v>
      </c>
      <c r="HR52" s="1605" t="s">
        <v>986</v>
      </c>
      <c r="HS52" s="1605" t="s">
        <v>986</v>
      </c>
      <c r="HT52" s="1605" t="s">
        <v>986</v>
      </c>
      <c r="HU52" s="1605" t="s">
        <v>986</v>
      </c>
      <c r="HV52" s="1617"/>
      <c r="HW52" s="1617">
        <v>0</v>
      </c>
      <c r="HX52" s="1617">
        <v>0</v>
      </c>
      <c r="HY52" s="1617">
        <v>0</v>
      </c>
      <c r="HZ52" s="1603"/>
      <c r="IA52" s="1603"/>
      <c r="IB52" s="1603"/>
      <c r="IC52" s="1603">
        <v>59</v>
      </c>
      <c r="ID52" s="1603">
        <v>59</v>
      </c>
      <c r="IE52" s="1603">
        <v>59</v>
      </c>
      <c r="IF52" s="1603">
        <v>59</v>
      </c>
      <c r="IG52" s="1611" t="s">
        <v>2932</v>
      </c>
      <c r="IH52" s="1616" t="s">
        <v>270</v>
      </c>
      <c r="II52" s="1615" t="s">
        <v>270</v>
      </c>
      <c r="IJ52" s="1613">
        <v>1.3101818181818183</v>
      </c>
      <c r="IK52" s="1613">
        <v>1.301848484848485</v>
      </c>
      <c r="IL52" s="1614">
        <v>1.3101818181818183</v>
      </c>
      <c r="IM52" s="1614">
        <v>1.301848484848485</v>
      </c>
      <c r="IN52" s="1612" t="s">
        <v>270</v>
      </c>
      <c r="IO52" s="1613" t="s">
        <v>270</v>
      </c>
      <c r="IP52" s="1607" t="s">
        <v>270</v>
      </c>
      <c r="IQ52" s="1612" t="s">
        <v>270</v>
      </c>
      <c r="IR52" s="1612" t="s">
        <v>270</v>
      </c>
      <c r="IS52" s="1607">
        <v>1.1881818181818182</v>
      </c>
      <c r="IT52" s="1607">
        <v>1.1798484848484849</v>
      </c>
      <c r="IU52" s="1611">
        <v>0</v>
      </c>
      <c r="IV52" s="1611">
        <v>7.7767676767676763E-2</v>
      </c>
      <c r="IW52" s="1611">
        <v>9.0909090909090909E-4</v>
      </c>
      <c r="IX52" s="1611">
        <v>1.6060606060606061E-3</v>
      </c>
      <c r="IY52" s="1611">
        <v>9.6969696969696957E-4</v>
      </c>
      <c r="IZ52" s="1611">
        <v>5.9898989898989896E-3</v>
      </c>
      <c r="JA52" s="1611">
        <v>6.0606060606060598E-5</v>
      </c>
      <c r="JB52" s="1611" t="s">
        <v>270</v>
      </c>
      <c r="JC52" s="1611">
        <v>9.9026969696969704</v>
      </c>
      <c r="JD52" s="1611">
        <v>5.2121212121212122E-3</v>
      </c>
      <c r="JE52" s="1611" t="s">
        <v>270</v>
      </c>
      <c r="JF52" s="1611">
        <v>8.2828282828282835E-4</v>
      </c>
      <c r="JG52" s="1611">
        <v>0.57978787878787885</v>
      </c>
      <c r="JH52" s="1611">
        <v>7.646464646464647E-3</v>
      </c>
      <c r="JI52" s="1611">
        <v>0.3</v>
      </c>
      <c r="JJ52" s="1611" t="s">
        <v>270</v>
      </c>
      <c r="JK52" s="1607">
        <f t="shared" si="9"/>
        <v>0.12200000000000011</v>
      </c>
      <c r="JL52" s="1608" t="s">
        <v>270</v>
      </c>
      <c r="JM52" s="1610" t="s">
        <v>2924</v>
      </c>
      <c r="JN52" s="1608">
        <v>8.3333333333333037E-3</v>
      </c>
      <c r="JO52" s="1609" t="s">
        <v>2931</v>
      </c>
      <c r="JP52" s="1608" t="s">
        <v>270</v>
      </c>
      <c r="JQ52" s="1607">
        <v>202103</v>
      </c>
      <c r="JR52" s="1606">
        <v>851</v>
      </c>
      <c r="JS52" s="1606">
        <v>774</v>
      </c>
      <c r="JT52" s="1606">
        <v>774</v>
      </c>
    </row>
    <row r="53" spans="1:280" ht="15" customHeight="1" x14ac:dyDescent="0.2">
      <c r="A53" s="1626">
        <v>47300</v>
      </c>
      <c r="B53" s="1625">
        <v>473</v>
      </c>
      <c r="C53" s="1624">
        <v>0</v>
      </c>
      <c r="D53" s="1623" t="s">
        <v>3663</v>
      </c>
      <c r="E53" s="1622">
        <v>43025</v>
      </c>
      <c r="F53" s="1620">
        <v>-0.112682926829268</v>
      </c>
      <c r="G53" s="1620">
        <v>-0.108</v>
      </c>
      <c r="H53" s="1621">
        <v>70</v>
      </c>
      <c r="I53" s="1621">
        <v>70</v>
      </c>
      <c r="J53" s="1621">
        <v>0</v>
      </c>
      <c r="K53" s="1620">
        <v>1</v>
      </c>
      <c r="L53" s="1620">
        <v>99</v>
      </c>
      <c r="M53" s="1620">
        <v>0</v>
      </c>
      <c r="N53" s="1620">
        <v>0</v>
      </c>
      <c r="O53" s="1620">
        <v>99</v>
      </c>
      <c r="P53" s="1620">
        <v>0</v>
      </c>
      <c r="Q53" s="1603"/>
      <c r="R53" s="1620">
        <v>0</v>
      </c>
      <c r="S53" s="1620">
        <v>55</v>
      </c>
      <c r="T53" s="1620">
        <v>55</v>
      </c>
      <c r="U53" s="1620">
        <v>55</v>
      </c>
      <c r="V53" s="1620">
        <v>55</v>
      </c>
      <c r="W53" s="1620">
        <v>55</v>
      </c>
      <c r="X53" s="1620"/>
      <c r="Y53" s="1620">
        <v>202.02020202020202</v>
      </c>
      <c r="Z53" s="1620">
        <v>207.07070707070707</v>
      </c>
      <c r="AA53" s="1620">
        <v>30.303030303030305</v>
      </c>
      <c r="AB53" s="1620">
        <v>0</v>
      </c>
      <c r="AC53" s="1620">
        <v>0</v>
      </c>
      <c r="AD53" s="1620">
        <v>0</v>
      </c>
      <c r="AE53" s="1620">
        <v>0</v>
      </c>
      <c r="AF53" s="1620">
        <v>0</v>
      </c>
      <c r="AG53" s="1620">
        <v>0</v>
      </c>
      <c r="AH53" s="1620">
        <v>0</v>
      </c>
      <c r="AI53" s="1620">
        <v>0</v>
      </c>
      <c r="AJ53" s="1620">
        <v>0</v>
      </c>
      <c r="AK53" s="1620">
        <v>0</v>
      </c>
      <c r="AL53" s="1620"/>
      <c r="AM53" s="1620">
        <v>0</v>
      </c>
      <c r="AN53" s="1620">
        <v>0</v>
      </c>
      <c r="AO53" s="1620">
        <v>0</v>
      </c>
      <c r="AP53" s="1620">
        <v>0</v>
      </c>
      <c r="AQ53" s="1620">
        <v>0</v>
      </c>
      <c r="AR53" s="1620">
        <v>0</v>
      </c>
      <c r="AS53" s="1620">
        <v>0</v>
      </c>
      <c r="AT53" s="1620">
        <v>0</v>
      </c>
      <c r="AU53" s="1620">
        <v>0</v>
      </c>
      <c r="AV53" s="1620">
        <v>0</v>
      </c>
      <c r="AW53" s="1620">
        <v>0</v>
      </c>
      <c r="AX53" s="1620"/>
      <c r="AY53" s="1620">
        <v>1</v>
      </c>
      <c r="AZ53" s="1620">
        <v>1</v>
      </c>
      <c r="BA53" s="1620">
        <v>1</v>
      </c>
      <c r="BB53" s="1620">
        <v>1</v>
      </c>
      <c r="BC53" s="1620">
        <v>1</v>
      </c>
      <c r="BD53" s="1620">
        <v>1</v>
      </c>
      <c r="BE53" s="1620">
        <v>1</v>
      </c>
      <c r="BF53" s="1620">
        <v>1</v>
      </c>
      <c r="BG53" s="1620">
        <v>1</v>
      </c>
      <c r="BH53" s="1620">
        <v>1</v>
      </c>
      <c r="BI53" s="1620">
        <v>1</v>
      </c>
      <c r="BJ53" s="1603"/>
      <c r="BK53" s="1620">
        <v>0</v>
      </c>
      <c r="BL53" s="1620">
        <v>0</v>
      </c>
      <c r="BM53" s="1620">
        <v>100</v>
      </c>
      <c r="BN53" s="1620">
        <v>0</v>
      </c>
      <c r="BO53" s="1620"/>
      <c r="BP53" s="1620">
        <v>0</v>
      </c>
      <c r="BQ53" s="1620">
        <v>0</v>
      </c>
      <c r="BR53" s="1620">
        <v>-0.11382113821138182</v>
      </c>
      <c r="BS53" s="1620">
        <v>-0.1090909090909091</v>
      </c>
      <c r="BT53" s="1603"/>
      <c r="BU53" s="1620">
        <v>0</v>
      </c>
      <c r="BV53" s="1620">
        <v>0</v>
      </c>
      <c r="BW53" s="1620">
        <v>0</v>
      </c>
      <c r="BX53" s="1620" t="s">
        <v>270</v>
      </c>
      <c r="BY53" s="1620" t="s">
        <v>270</v>
      </c>
      <c r="BZ53" s="1620" t="s">
        <v>270</v>
      </c>
      <c r="CA53" s="1620" t="s">
        <v>270</v>
      </c>
      <c r="CB53" s="1603"/>
      <c r="CC53" s="1603">
        <v>200</v>
      </c>
      <c r="CD53" s="1603">
        <v>205</v>
      </c>
      <c r="CE53" s="1603">
        <v>30</v>
      </c>
      <c r="CF53" s="1603">
        <v>0</v>
      </c>
      <c r="CG53" s="1603">
        <v>0</v>
      </c>
      <c r="CH53" s="1603">
        <v>0</v>
      </c>
      <c r="CI53" s="1603">
        <v>0</v>
      </c>
      <c r="CJ53" s="1603"/>
      <c r="CK53" s="1603">
        <v>0</v>
      </c>
      <c r="CL53" s="1603">
        <v>0</v>
      </c>
      <c r="CM53" s="1603">
        <v>0</v>
      </c>
      <c r="CN53" s="1603">
        <v>0</v>
      </c>
      <c r="CO53" s="1603">
        <v>0</v>
      </c>
      <c r="CP53" s="1603">
        <v>0</v>
      </c>
      <c r="CQ53" s="1603">
        <v>0</v>
      </c>
      <c r="CR53" s="1603">
        <v>0</v>
      </c>
      <c r="CS53" s="1603">
        <v>0</v>
      </c>
      <c r="CT53" s="1603">
        <v>0</v>
      </c>
      <c r="CU53" s="1603">
        <v>0</v>
      </c>
      <c r="CV53" s="1603">
        <v>0</v>
      </c>
      <c r="CW53" s="1603">
        <v>0</v>
      </c>
      <c r="CX53" s="1603">
        <v>0</v>
      </c>
      <c r="CY53" s="1603">
        <v>0</v>
      </c>
      <c r="CZ53" s="1603">
        <v>0</v>
      </c>
      <c r="DA53" s="1603">
        <v>0</v>
      </c>
      <c r="DB53" s="1603">
        <v>0</v>
      </c>
      <c r="DC53" s="1603">
        <v>0</v>
      </c>
      <c r="DD53" s="1603">
        <v>0</v>
      </c>
      <c r="DE53" s="1603">
        <v>0</v>
      </c>
      <c r="DF53" s="1603">
        <v>0</v>
      </c>
      <c r="DG53" s="1603">
        <v>0</v>
      </c>
      <c r="DH53" s="1603">
        <v>0</v>
      </c>
      <c r="DI53" s="1603">
        <v>0</v>
      </c>
      <c r="DJ53" s="1603">
        <v>0</v>
      </c>
      <c r="DK53" s="1603">
        <v>0</v>
      </c>
      <c r="DL53" s="1603">
        <v>0</v>
      </c>
      <c r="DM53" s="1603">
        <v>0</v>
      </c>
      <c r="DN53" s="1603">
        <v>0</v>
      </c>
      <c r="DO53" s="1603">
        <v>0</v>
      </c>
      <c r="DP53" s="1603">
        <v>0</v>
      </c>
      <c r="DQ53" s="1603">
        <v>0</v>
      </c>
      <c r="DR53" s="1603">
        <v>0</v>
      </c>
      <c r="DS53" s="1603">
        <v>0</v>
      </c>
      <c r="DT53" s="1603">
        <v>0</v>
      </c>
      <c r="DU53" s="1603">
        <v>0</v>
      </c>
      <c r="DV53" s="1603">
        <v>0</v>
      </c>
      <c r="DW53" s="1618" t="s">
        <v>986</v>
      </c>
      <c r="DX53" s="1605" t="s">
        <v>986</v>
      </c>
      <c r="DY53" s="1605" t="s">
        <v>986</v>
      </c>
      <c r="DZ53" s="1605" t="s">
        <v>986</v>
      </c>
      <c r="EA53" s="1605" t="s">
        <v>986</v>
      </c>
      <c r="EB53" s="1605" t="s">
        <v>986</v>
      </c>
      <c r="EC53" s="1605" t="s">
        <v>986</v>
      </c>
      <c r="ED53" s="1605" t="s">
        <v>986</v>
      </c>
      <c r="EE53" s="1605" t="s">
        <v>986</v>
      </c>
      <c r="EF53" s="1605" t="s">
        <v>986</v>
      </c>
      <c r="EG53" s="1605" t="s">
        <v>986</v>
      </c>
      <c r="EH53" s="1605" t="s">
        <v>986</v>
      </c>
      <c r="EI53" s="1605" t="s">
        <v>986</v>
      </c>
      <c r="EJ53" s="1605" t="s">
        <v>986</v>
      </c>
      <c r="EK53" s="1605" t="s">
        <v>986</v>
      </c>
      <c r="EL53" s="1605" t="s">
        <v>986</v>
      </c>
      <c r="EM53" s="1605" t="s">
        <v>986</v>
      </c>
      <c r="EN53" s="1605" t="s">
        <v>986</v>
      </c>
      <c r="EO53" s="1605" t="s">
        <v>986</v>
      </c>
      <c r="EP53" s="1605" t="s">
        <v>986</v>
      </c>
      <c r="EQ53" s="1605" t="s">
        <v>986</v>
      </c>
      <c r="ER53" s="1605" t="s">
        <v>986</v>
      </c>
      <c r="ES53" s="1605" t="s">
        <v>986</v>
      </c>
      <c r="ET53" s="1605" t="s">
        <v>986</v>
      </c>
      <c r="EU53" s="1605" t="s">
        <v>986</v>
      </c>
      <c r="EV53" s="1605" t="s">
        <v>986</v>
      </c>
      <c r="EW53" s="1605" t="s">
        <v>986</v>
      </c>
      <c r="EX53" s="1605" t="s">
        <v>986</v>
      </c>
      <c r="EY53" s="1605" t="s">
        <v>986</v>
      </c>
      <c r="EZ53" s="1605" t="s">
        <v>986</v>
      </c>
      <c r="FA53" s="1605" t="s">
        <v>986</v>
      </c>
      <c r="FB53" s="1605" t="s">
        <v>986</v>
      </c>
      <c r="FC53" s="1605" t="s">
        <v>986</v>
      </c>
      <c r="FD53" s="1605" t="s">
        <v>986</v>
      </c>
      <c r="FE53" s="1605" t="s">
        <v>986</v>
      </c>
      <c r="FF53" s="1605" t="s">
        <v>986</v>
      </c>
      <c r="FG53" s="1605" t="s">
        <v>986</v>
      </c>
      <c r="FH53" s="1605" t="s">
        <v>986</v>
      </c>
      <c r="FI53" s="1605" t="s">
        <v>986</v>
      </c>
      <c r="FJ53" s="1605" t="s">
        <v>986</v>
      </c>
      <c r="FK53" s="1605" t="s">
        <v>986</v>
      </c>
      <c r="FL53" s="1605" t="s">
        <v>986</v>
      </c>
      <c r="FM53" s="1605" t="s">
        <v>986</v>
      </c>
      <c r="FN53" s="1605" t="s">
        <v>986</v>
      </c>
      <c r="FO53" s="1605" t="s">
        <v>986</v>
      </c>
      <c r="FP53" s="1605" t="s">
        <v>986</v>
      </c>
      <c r="FQ53" s="1605" t="s">
        <v>986</v>
      </c>
      <c r="FR53" s="1605" t="s">
        <v>986</v>
      </c>
      <c r="FS53" s="1605" t="s">
        <v>986</v>
      </c>
      <c r="FT53" s="1605" t="s">
        <v>986</v>
      </c>
      <c r="FU53" s="1605" t="s">
        <v>986</v>
      </c>
      <c r="FV53" s="1605" t="s">
        <v>986</v>
      </c>
      <c r="FW53" s="1605" t="s">
        <v>986</v>
      </c>
      <c r="FX53" s="1605" t="s">
        <v>986</v>
      </c>
      <c r="FY53" s="1605" t="s">
        <v>986</v>
      </c>
      <c r="FZ53" s="1605" t="s">
        <v>986</v>
      </c>
      <c r="GA53" s="1605" t="s">
        <v>986</v>
      </c>
      <c r="GB53" s="1605" t="s">
        <v>986</v>
      </c>
      <c r="GC53" s="1605" t="s">
        <v>986</v>
      </c>
      <c r="GD53" s="1605" t="s">
        <v>986</v>
      </c>
      <c r="GE53" s="1605" t="s">
        <v>986</v>
      </c>
      <c r="GF53" s="1605" t="s">
        <v>986</v>
      </c>
      <c r="GG53" s="1605" t="s">
        <v>986</v>
      </c>
      <c r="GH53" s="1605" t="s">
        <v>986</v>
      </c>
      <c r="GI53" s="1605" t="s">
        <v>986</v>
      </c>
      <c r="GJ53" s="1605" t="s">
        <v>986</v>
      </c>
      <c r="GK53" s="1605" t="s">
        <v>986</v>
      </c>
      <c r="GL53" s="1605" t="s">
        <v>986</v>
      </c>
      <c r="GM53" s="1605" t="s">
        <v>986</v>
      </c>
      <c r="GN53" s="1605" t="s">
        <v>986</v>
      </c>
      <c r="GO53" s="1605" t="s">
        <v>986</v>
      </c>
      <c r="GP53" s="1605" t="s">
        <v>986</v>
      </c>
      <c r="GQ53" s="1605" t="s">
        <v>986</v>
      </c>
      <c r="GR53" s="1605" t="s">
        <v>986</v>
      </c>
      <c r="GS53" s="1605" t="s">
        <v>986</v>
      </c>
      <c r="GT53" s="1605" t="s">
        <v>986</v>
      </c>
      <c r="GU53" s="1605" t="s">
        <v>986</v>
      </c>
      <c r="GV53" s="1605" t="s">
        <v>986</v>
      </c>
      <c r="GW53" s="1605" t="s">
        <v>986</v>
      </c>
      <c r="GX53" s="1605" t="s">
        <v>986</v>
      </c>
      <c r="GY53" s="1605" t="s">
        <v>986</v>
      </c>
      <c r="GZ53" s="1605" t="s">
        <v>986</v>
      </c>
      <c r="HA53" s="1605" t="s">
        <v>986</v>
      </c>
      <c r="HB53" s="1605" t="s">
        <v>986</v>
      </c>
      <c r="HC53" s="1605" t="s">
        <v>986</v>
      </c>
      <c r="HD53" s="1605" t="s">
        <v>986</v>
      </c>
      <c r="HE53" s="1605" t="s">
        <v>986</v>
      </c>
      <c r="HF53" s="1605" t="s">
        <v>986</v>
      </c>
      <c r="HG53" s="1605" t="s">
        <v>986</v>
      </c>
      <c r="HH53" s="1605" t="s">
        <v>986</v>
      </c>
      <c r="HI53" s="1605" t="s">
        <v>986</v>
      </c>
      <c r="HJ53" s="1605" t="s">
        <v>986</v>
      </c>
      <c r="HK53" s="1605" t="s">
        <v>986</v>
      </c>
      <c r="HL53" s="1605" t="s">
        <v>986</v>
      </c>
      <c r="HM53" s="1605" t="s">
        <v>986</v>
      </c>
      <c r="HN53" s="1605" t="s">
        <v>986</v>
      </c>
      <c r="HO53" s="1605" t="s">
        <v>986</v>
      </c>
      <c r="HP53" s="1605" t="s">
        <v>986</v>
      </c>
      <c r="HQ53" s="1605" t="s">
        <v>986</v>
      </c>
      <c r="HR53" s="1605" t="s">
        <v>986</v>
      </c>
      <c r="HS53" s="1605" t="s">
        <v>986</v>
      </c>
      <c r="HT53" s="1605" t="s">
        <v>986</v>
      </c>
      <c r="HU53" s="1605" t="s">
        <v>986</v>
      </c>
      <c r="HV53" s="1617"/>
      <c r="HW53" s="1617">
        <v>0</v>
      </c>
      <c r="HX53" s="1617">
        <v>0</v>
      </c>
      <c r="HY53" s="1617">
        <v>0</v>
      </c>
      <c r="HZ53" s="1603"/>
      <c r="IA53" s="1603"/>
      <c r="IB53" s="1603"/>
      <c r="IC53" s="1603">
        <v>55</v>
      </c>
      <c r="ID53" s="1603">
        <v>55</v>
      </c>
      <c r="IE53" s="1603">
        <v>55</v>
      </c>
      <c r="IF53" s="1603">
        <v>55</v>
      </c>
      <c r="IG53" s="1611" t="s">
        <v>2932</v>
      </c>
      <c r="IH53" s="1616" t="s">
        <v>270</v>
      </c>
      <c r="II53" s="1615" t="s">
        <v>270</v>
      </c>
      <c r="IJ53" s="1613">
        <v>1.3101818181818183</v>
      </c>
      <c r="IK53" s="1613">
        <v>1.301848484848485</v>
      </c>
      <c r="IL53" s="1614">
        <v>1.3101818181818183</v>
      </c>
      <c r="IM53" s="1614">
        <v>1.301848484848485</v>
      </c>
      <c r="IN53" s="1612" t="s">
        <v>270</v>
      </c>
      <c r="IO53" s="1613" t="s">
        <v>270</v>
      </c>
      <c r="IP53" s="1607" t="s">
        <v>270</v>
      </c>
      <c r="IQ53" s="1612" t="s">
        <v>270</v>
      </c>
      <c r="IR53" s="1612" t="s">
        <v>270</v>
      </c>
      <c r="IS53" s="1607">
        <v>1.1881818181818182</v>
      </c>
      <c r="IT53" s="1607">
        <v>1.1798484848484849</v>
      </c>
      <c r="IU53" s="1611">
        <v>0</v>
      </c>
      <c r="IV53" s="1611">
        <v>7.7767676767676763E-2</v>
      </c>
      <c r="IW53" s="1611">
        <v>9.0909090909090909E-4</v>
      </c>
      <c r="IX53" s="1611">
        <v>1.6060606060606061E-3</v>
      </c>
      <c r="IY53" s="1611">
        <v>9.6969696969696957E-4</v>
      </c>
      <c r="IZ53" s="1611">
        <v>5.9898989898989896E-3</v>
      </c>
      <c r="JA53" s="1611">
        <v>6.0606060606060598E-5</v>
      </c>
      <c r="JB53" s="1611" t="s">
        <v>270</v>
      </c>
      <c r="JC53" s="1611">
        <v>9.9026969696969704</v>
      </c>
      <c r="JD53" s="1611">
        <v>5.2121212121212122E-3</v>
      </c>
      <c r="JE53" s="1611" t="s">
        <v>270</v>
      </c>
      <c r="JF53" s="1611">
        <v>8.2828282828282835E-4</v>
      </c>
      <c r="JG53" s="1611">
        <v>0.57978787878787885</v>
      </c>
      <c r="JH53" s="1611">
        <v>7.646464646464647E-3</v>
      </c>
      <c r="JI53" s="1611">
        <v>0.3</v>
      </c>
      <c r="JJ53" s="1611" t="s">
        <v>270</v>
      </c>
      <c r="JK53" s="1607">
        <f t="shared" si="9"/>
        <v>0.12200000000000011</v>
      </c>
      <c r="JL53" s="1608" t="s">
        <v>270</v>
      </c>
      <c r="JM53" s="1610" t="s">
        <v>2924</v>
      </c>
      <c r="JN53" s="1608">
        <v>8.3333333333333037E-3</v>
      </c>
      <c r="JO53" s="1609" t="s">
        <v>2931</v>
      </c>
      <c r="JP53" s="1608" t="s">
        <v>270</v>
      </c>
      <c r="JQ53" s="1607">
        <v>202103</v>
      </c>
      <c r="JR53" s="1606">
        <v>851</v>
      </c>
      <c r="JS53" s="1606">
        <v>774</v>
      </c>
      <c r="JT53" s="1606">
        <v>774</v>
      </c>
    </row>
    <row r="54" spans="1:280" ht="15" customHeight="1" x14ac:dyDescent="0.2">
      <c r="A54" s="1626">
        <v>47301</v>
      </c>
      <c r="B54" s="1625">
        <v>473</v>
      </c>
      <c r="C54" s="1624">
        <v>1</v>
      </c>
      <c r="D54" s="1623" t="s">
        <v>3662</v>
      </c>
      <c r="E54" s="1622">
        <v>43025</v>
      </c>
      <c r="F54" s="1620">
        <v>-0.112682926829268</v>
      </c>
      <c r="G54" s="1620">
        <v>-0.108</v>
      </c>
      <c r="H54" s="1621">
        <v>70</v>
      </c>
      <c r="I54" s="1621">
        <v>70</v>
      </c>
      <c r="J54" s="1621">
        <v>0</v>
      </c>
      <c r="K54" s="1620">
        <v>1</v>
      </c>
      <c r="L54" s="1620">
        <v>99</v>
      </c>
      <c r="M54" s="1620">
        <v>0</v>
      </c>
      <c r="N54" s="1620">
        <v>0</v>
      </c>
      <c r="O54" s="1620">
        <v>99</v>
      </c>
      <c r="P54" s="1620">
        <v>0</v>
      </c>
      <c r="Q54" s="1603"/>
      <c r="R54" s="1620">
        <v>0</v>
      </c>
      <c r="S54" s="1620">
        <v>63</v>
      </c>
      <c r="T54" s="1620">
        <v>63</v>
      </c>
      <c r="U54" s="1620">
        <v>63</v>
      </c>
      <c r="V54" s="1620">
        <v>63</v>
      </c>
      <c r="W54" s="1620">
        <v>63</v>
      </c>
      <c r="X54" s="1620"/>
      <c r="Y54" s="1620">
        <v>203.03030303030303</v>
      </c>
      <c r="Z54" s="1620">
        <v>208.08080808080808</v>
      </c>
      <c r="AA54" s="1620">
        <v>32.323232323232325</v>
      </c>
      <c r="AB54" s="1620">
        <v>0</v>
      </c>
      <c r="AC54" s="1620">
        <v>0</v>
      </c>
      <c r="AD54" s="1620">
        <v>0</v>
      </c>
      <c r="AE54" s="1620">
        <v>0</v>
      </c>
      <c r="AF54" s="1620">
        <v>0</v>
      </c>
      <c r="AG54" s="1620">
        <v>0</v>
      </c>
      <c r="AH54" s="1620">
        <v>0</v>
      </c>
      <c r="AI54" s="1620">
        <v>0</v>
      </c>
      <c r="AJ54" s="1620">
        <v>0</v>
      </c>
      <c r="AK54" s="1620">
        <v>0</v>
      </c>
      <c r="AL54" s="1620"/>
      <c r="AM54" s="1620">
        <v>0</v>
      </c>
      <c r="AN54" s="1620">
        <v>0</v>
      </c>
      <c r="AO54" s="1620">
        <v>0</v>
      </c>
      <c r="AP54" s="1620">
        <v>0</v>
      </c>
      <c r="AQ54" s="1620">
        <v>0</v>
      </c>
      <c r="AR54" s="1620">
        <v>0</v>
      </c>
      <c r="AS54" s="1620">
        <v>0</v>
      </c>
      <c r="AT54" s="1620">
        <v>0</v>
      </c>
      <c r="AU54" s="1620">
        <v>0</v>
      </c>
      <c r="AV54" s="1620">
        <v>0</v>
      </c>
      <c r="AW54" s="1620">
        <v>0</v>
      </c>
      <c r="AX54" s="1620"/>
      <c r="AY54" s="1620">
        <v>1</v>
      </c>
      <c r="AZ54" s="1620">
        <v>1</v>
      </c>
      <c r="BA54" s="1620">
        <v>1</v>
      </c>
      <c r="BB54" s="1620">
        <v>1</v>
      </c>
      <c r="BC54" s="1620">
        <v>1</v>
      </c>
      <c r="BD54" s="1620">
        <v>1</v>
      </c>
      <c r="BE54" s="1620">
        <v>1</v>
      </c>
      <c r="BF54" s="1620">
        <v>1</v>
      </c>
      <c r="BG54" s="1620">
        <v>1</v>
      </c>
      <c r="BH54" s="1620">
        <v>1</v>
      </c>
      <c r="BI54" s="1620">
        <v>1</v>
      </c>
      <c r="BJ54" s="1603"/>
      <c r="BK54" s="1620">
        <v>0</v>
      </c>
      <c r="BL54" s="1620">
        <v>0</v>
      </c>
      <c r="BM54" s="1620">
        <v>100</v>
      </c>
      <c r="BN54" s="1620">
        <v>0</v>
      </c>
      <c r="BO54" s="1620"/>
      <c r="BP54" s="1620">
        <v>0</v>
      </c>
      <c r="BQ54" s="1620">
        <v>0</v>
      </c>
      <c r="BR54" s="1620">
        <v>-0.11382113821138182</v>
      </c>
      <c r="BS54" s="1620">
        <v>-0.1090909090909091</v>
      </c>
      <c r="BT54" s="1603"/>
      <c r="BU54" s="1620">
        <v>0</v>
      </c>
      <c r="BV54" s="1620">
        <v>0</v>
      </c>
      <c r="BW54" s="1620">
        <v>0</v>
      </c>
      <c r="BX54" s="1620" t="s">
        <v>270</v>
      </c>
      <c r="BY54" s="1620" t="s">
        <v>270</v>
      </c>
      <c r="BZ54" s="1620" t="s">
        <v>270</v>
      </c>
      <c r="CA54" s="1620" t="s">
        <v>270</v>
      </c>
      <c r="CB54" s="1603"/>
      <c r="CC54" s="1603">
        <v>201</v>
      </c>
      <c r="CD54" s="1603">
        <v>206</v>
      </c>
      <c r="CE54" s="1603">
        <v>32</v>
      </c>
      <c r="CF54" s="1603">
        <v>0</v>
      </c>
      <c r="CG54" s="1603">
        <v>0</v>
      </c>
      <c r="CH54" s="1603">
        <v>0</v>
      </c>
      <c r="CI54" s="1603">
        <v>0</v>
      </c>
      <c r="CJ54" s="1603"/>
      <c r="CK54" s="1603">
        <v>0</v>
      </c>
      <c r="CL54" s="1603">
        <v>0</v>
      </c>
      <c r="CM54" s="1603">
        <v>0</v>
      </c>
      <c r="CN54" s="1603">
        <v>0</v>
      </c>
      <c r="CO54" s="1603">
        <v>0</v>
      </c>
      <c r="CP54" s="1603">
        <v>0</v>
      </c>
      <c r="CQ54" s="1603">
        <v>0</v>
      </c>
      <c r="CR54" s="1603">
        <v>0</v>
      </c>
      <c r="CS54" s="1603">
        <v>0</v>
      </c>
      <c r="CT54" s="1603">
        <v>0</v>
      </c>
      <c r="CU54" s="1603">
        <v>0</v>
      </c>
      <c r="CV54" s="1603">
        <v>0</v>
      </c>
      <c r="CW54" s="1603">
        <v>0</v>
      </c>
      <c r="CX54" s="1603">
        <v>0</v>
      </c>
      <c r="CY54" s="1603">
        <v>0</v>
      </c>
      <c r="CZ54" s="1603">
        <v>0</v>
      </c>
      <c r="DA54" s="1603">
        <v>0</v>
      </c>
      <c r="DB54" s="1603">
        <v>0</v>
      </c>
      <c r="DC54" s="1603">
        <v>0</v>
      </c>
      <c r="DD54" s="1603">
        <v>0</v>
      </c>
      <c r="DE54" s="1603">
        <v>0</v>
      </c>
      <c r="DF54" s="1603">
        <v>0</v>
      </c>
      <c r="DG54" s="1603">
        <v>0</v>
      </c>
      <c r="DH54" s="1603">
        <v>0</v>
      </c>
      <c r="DI54" s="1603">
        <v>0</v>
      </c>
      <c r="DJ54" s="1603">
        <v>0</v>
      </c>
      <c r="DK54" s="1603">
        <v>0</v>
      </c>
      <c r="DL54" s="1603">
        <v>0</v>
      </c>
      <c r="DM54" s="1603">
        <v>0</v>
      </c>
      <c r="DN54" s="1603">
        <v>0</v>
      </c>
      <c r="DO54" s="1603">
        <v>0</v>
      </c>
      <c r="DP54" s="1603">
        <v>0</v>
      </c>
      <c r="DQ54" s="1603">
        <v>0</v>
      </c>
      <c r="DR54" s="1603">
        <v>0</v>
      </c>
      <c r="DS54" s="1603">
        <v>0</v>
      </c>
      <c r="DT54" s="1603">
        <v>0</v>
      </c>
      <c r="DU54" s="1603">
        <v>0</v>
      </c>
      <c r="DV54" s="1603">
        <v>0</v>
      </c>
      <c r="DW54" s="1618" t="s">
        <v>986</v>
      </c>
      <c r="DX54" s="1605" t="s">
        <v>986</v>
      </c>
      <c r="DY54" s="1605" t="s">
        <v>986</v>
      </c>
      <c r="DZ54" s="1605" t="s">
        <v>986</v>
      </c>
      <c r="EA54" s="1605" t="s">
        <v>986</v>
      </c>
      <c r="EB54" s="1605" t="s">
        <v>986</v>
      </c>
      <c r="EC54" s="1605" t="s">
        <v>986</v>
      </c>
      <c r="ED54" s="1605" t="s">
        <v>986</v>
      </c>
      <c r="EE54" s="1605" t="s">
        <v>986</v>
      </c>
      <c r="EF54" s="1605" t="s">
        <v>986</v>
      </c>
      <c r="EG54" s="1605" t="s">
        <v>986</v>
      </c>
      <c r="EH54" s="1605" t="s">
        <v>986</v>
      </c>
      <c r="EI54" s="1605" t="s">
        <v>986</v>
      </c>
      <c r="EJ54" s="1605" t="s">
        <v>986</v>
      </c>
      <c r="EK54" s="1605" t="s">
        <v>986</v>
      </c>
      <c r="EL54" s="1605" t="s">
        <v>986</v>
      </c>
      <c r="EM54" s="1605" t="s">
        <v>986</v>
      </c>
      <c r="EN54" s="1605" t="s">
        <v>986</v>
      </c>
      <c r="EO54" s="1605" t="s">
        <v>986</v>
      </c>
      <c r="EP54" s="1605" t="s">
        <v>986</v>
      </c>
      <c r="EQ54" s="1605" t="s">
        <v>986</v>
      </c>
      <c r="ER54" s="1605" t="s">
        <v>986</v>
      </c>
      <c r="ES54" s="1605" t="s">
        <v>986</v>
      </c>
      <c r="ET54" s="1605" t="s">
        <v>986</v>
      </c>
      <c r="EU54" s="1605" t="s">
        <v>986</v>
      </c>
      <c r="EV54" s="1605" t="s">
        <v>986</v>
      </c>
      <c r="EW54" s="1605" t="s">
        <v>986</v>
      </c>
      <c r="EX54" s="1605" t="s">
        <v>986</v>
      </c>
      <c r="EY54" s="1605" t="s">
        <v>986</v>
      </c>
      <c r="EZ54" s="1605" t="s">
        <v>986</v>
      </c>
      <c r="FA54" s="1605" t="s">
        <v>986</v>
      </c>
      <c r="FB54" s="1605" t="s">
        <v>986</v>
      </c>
      <c r="FC54" s="1605" t="s">
        <v>986</v>
      </c>
      <c r="FD54" s="1605" t="s">
        <v>986</v>
      </c>
      <c r="FE54" s="1605" t="s">
        <v>986</v>
      </c>
      <c r="FF54" s="1605" t="s">
        <v>986</v>
      </c>
      <c r="FG54" s="1605" t="s">
        <v>986</v>
      </c>
      <c r="FH54" s="1605" t="s">
        <v>986</v>
      </c>
      <c r="FI54" s="1605" t="s">
        <v>986</v>
      </c>
      <c r="FJ54" s="1605" t="s">
        <v>986</v>
      </c>
      <c r="FK54" s="1605" t="s">
        <v>986</v>
      </c>
      <c r="FL54" s="1605" t="s">
        <v>986</v>
      </c>
      <c r="FM54" s="1605" t="s">
        <v>986</v>
      </c>
      <c r="FN54" s="1605" t="s">
        <v>986</v>
      </c>
      <c r="FO54" s="1605" t="s">
        <v>986</v>
      </c>
      <c r="FP54" s="1605" t="s">
        <v>986</v>
      </c>
      <c r="FQ54" s="1605" t="s">
        <v>986</v>
      </c>
      <c r="FR54" s="1605" t="s">
        <v>986</v>
      </c>
      <c r="FS54" s="1605" t="s">
        <v>986</v>
      </c>
      <c r="FT54" s="1605" t="s">
        <v>986</v>
      </c>
      <c r="FU54" s="1605" t="s">
        <v>986</v>
      </c>
      <c r="FV54" s="1605" t="s">
        <v>986</v>
      </c>
      <c r="FW54" s="1605" t="s">
        <v>986</v>
      </c>
      <c r="FX54" s="1605" t="s">
        <v>986</v>
      </c>
      <c r="FY54" s="1605" t="s">
        <v>986</v>
      </c>
      <c r="FZ54" s="1605" t="s">
        <v>986</v>
      </c>
      <c r="GA54" s="1605" t="s">
        <v>986</v>
      </c>
      <c r="GB54" s="1605" t="s">
        <v>986</v>
      </c>
      <c r="GC54" s="1605" t="s">
        <v>986</v>
      </c>
      <c r="GD54" s="1605" t="s">
        <v>986</v>
      </c>
      <c r="GE54" s="1605" t="s">
        <v>986</v>
      </c>
      <c r="GF54" s="1605" t="s">
        <v>986</v>
      </c>
      <c r="GG54" s="1605" t="s">
        <v>986</v>
      </c>
      <c r="GH54" s="1605" t="s">
        <v>986</v>
      </c>
      <c r="GI54" s="1605" t="s">
        <v>986</v>
      </c>
      <c r="GJ54" s="1605" t="s">
        <v>986</v>
      </c>
      <c r="GK54" s="1605" t="s">
        <v>986</v>
      </c>
      <c r="GL54" s="1605" t="s">
        <v>986</v>
      </c>
      <c r="GM54" s="1605" t="s">
        <v>986</v>
      </c>
      <c r="GN54" s="1605" t="s">
        <v>986</v>
      </c>
      <c r="GO54" s="1605" t="s">
        <v>986</v>
      </c>
      <c r="GP54" s="1605" t="s">
        <v>986</v>
      </c>
      <c r="GQ54" s="1605" t="s">
        <v>986</v>
      </c>
      <c r="GR54" s="1605" t="s">
        <v>986</v>
      </c>
      <c r="GS54" s="1605" t="s">
        <v>986</v>
      </c>
      <c r="GT54" s="1605" t="s">
        <v>986</v>
      </c>
      <c r="GU54" s="1605" t="s">
        <v>986</v>
      </c>
      <c r="GV54" s="1605" t="s">
        <v>986</v>
      </c>
      <c r="GW54" s="1605" t="s">
        <v>986</v>
      </c>
      <c r="GX54" s="1605" t="s">
        <v>986</v>
      </c>
      <c r="GY54" s="1605" t="s">
        <v>986</v>
      </c>
      <c r="GZ54" s="1605" t="s">
        <v>986</v>
      </c>
      <c r="HA54" s="1605" t="s">
        <v>986</v>
      </c>
      <c r="HB54" s="1605" t="s">
        <v>986</v>
      </c>
      <c r="HC54" s="1605" t="s">
        <v>986</v>
      </c>
      <c r="HD54" s="1605" t="s">
        <v>986</v>
      </c>
      <c r="HE54" s="1605" t="s">
        <v>986</v>
      </c>
      <c r="HF54" s="1605" t="s">
        <v>986</v>
      </c>
      <c r="HG54" s="1605" t="s">
        <v>986</v>
      </c>
      <c r="HH54" s="1605" t="s">
        <v>986</v>
      </c>
      <c r="HI54" s="1605" t="s">
        <v>986</v>
      </c>
      <c r="HJ54" s="1605" t="s">
        <v>986</v>
      </c>
      <c r="HK54" s="1605" t="s">
        <v>986</v>
      </c>
      <c r="HL54" s="1605" t="s">
        <v>986</v>
      </c>
      <c r="HM54" s="1605" t="s">
        <v>986</v>
      </c>
      <c r="HN54" s="1605" t="s">
        <v>986</v>
      </c>
      <c r="HO54" s="1605" t="s">
        <v>986</v>
      </c>
      <c r="HP54" s="1605" t="s">
        <v>986</v>
      </c>
      <c r="HQ54" s="1605" t="s">
        <v>986</v>
      </c>
      <c r="HR54" s="1605" t="s">
        <v>986</v>
      </c>
      <c r="HS54" s="1605" t="s">
        <v>986</v>
      </c>
      <c r="HT54" s="1605" t="s">
        <v>986</v>
      </c>
      <c r="HU54" s="1605" t="s">
        <v>986</v>
      </c>
      <c r="HV54" s="1617"/>
      <c r="HW54" s="1617">
        <v>0</v>
      </c>
      <c r="HX54" s="1617">
        <v>0</v>
      </c>
      <c r="HY54" s="1617">
        <v>0</v>
      </c>
      <c r="HZ54" s="1603"/>
      <c r="IA54" s="1603"/>
      <c r="IB54" s="1603"/>
      <c r="IC54" s="1603">
        <v>63</v>
      </c>
      <c r="ID54" s="1603">
        <v>63</v>
      </c>
      <c r="IE54" s="1603">
        <v>63</v>
      </c>
      <c r="IF54" s="1603">
        <v>63</v>
      </c>
      <c r="IG54" s="1611" t="s">
        <v>2932</v>
      </c>
      <c r="IH54" s="1616" t="s">
        <v>270</v>
      </c>
      <c r="II54" s="1615" t="s">
        <v>270</v>
      </c>
      <c r="IJ54" s="1613">
        <v>1.3101818181818183</v>
      </c>
      <c r="IK54" s="1613">
        <v>1.301848484848485</v>
      </c>
      <c r="IL54" s="1614">
        <v>1.3101818181818183</v>
      </c>
      <c r="IM54" s="1614">
        <v>1.301848484848485</v>
      </c>
      <c r="IN54" s="1612" t="s">
        <v>270</v>
      </c>
      <c r="IO54" s="1613" t="s">
        <v>270</v>
      </c>
      <c r="IP54" s="1607" t="s">
        <v>270</v>
      </c>
      <c r="IQ54" s="1612" t="s">
        <v>270</v>
      </c>
      <c r="IR54" s="1612" t="s">
        <v>270</v>
      </c>
      <c r="IS54" s="1607">
        <v>1.1881818181818182</v>
      </c>
      <c r="IT54" s="1607">
        <v>1.1798484848484849</v>
      </c>
      <c r="IU54" s="1611">
        <v>0</v>
      </c>
      <c r="IV54" s="1611">
        <v>7.7767676767676763E-2</v>
      </c>
      <c r="IW54" s="1611">
        <v>9.0909090909090909E-4</v>
      </c>
      <c r="IX54" s="1611">
        <v>1.6060606060606061E-3</v>
      </c>
      <c r="IY54" s="1611">
        <v>9.6969696969696957E-4</v>
      </c>
      <c r="IZ54" s="1611">
        <v>5.9898989898989896E-3</v>
      </c>
      <c r="JA54" s="1611">
        <v>6.0606060606060598E-5</v>
      </c>
      <c r="JB54" s="1611" t="s">
        <v>270</v>
      </c>
      <c r="JC54" s="1611">
        <v>9.9026969696969704</v>
      </c>
      <c r="JD54" s="1611">
        <v>5.2121212121212122E-3</v>
      </c>
      <c r="JE54" s="1611" t="s">
        <v>270</v>
      </c>
      <c r="JF54" s="1611">
        <v>8.2828282828282835E-4</v>
      </c>
      <c r="JG54" s="1611">
        <v>0.57978787878787885</v>
      </c>
      <c r="JH54" s="1611">
        <v>7.646464646464647E-3</v>
      </c>
      <c r="JI54" s="1611">
        <v>0.3</v>
      </c>
      <c r="JJ54" s="1611" t="s">
        <v>270</v>
      </c>
      <c r="JK54" s="1607">
        <f t="shared" si="9"/>
        <v>0.12200000000000011</v>
      </c>
      <c r="JL54" s="1608" t="s">
        <v>270</v>
      </c>
      <c r="JM54" s="1610" t="s">
        <v>2924</v>
      </c>
      <c r="JN54" s="1608">
        <v>8.3333333333333037E-3</v>
      </c>
      <c r="JO54" s="1609" t="s">
        <v>2931</v>
      </c>
      <c r="JP54" s="1608" t="s">
        <v>270</v>
      </c>
      <c r="JQ54" s="1607">
        <v>202103</v>
      </c>
      <c r="JR54" s="1606">
        <v>851</v>
      </c>
      <c r="JS54" s="1606">
        <v>774</v>
      </c>
      <c r="JT54" s="1606">
        <v>774</v>
      </c>
    </row>
    <row r="55" spans="1:280" ht="15" customHeight="1" x14ac:dyDescent="0.2">
      <c r="A55" s="1626">
        <v>46102</v>
      </c>
      <c r="B55" s="1625">
        <v>461</v>
      </c>
      <c r="C55" s="1624">
        <v>2</v>
      </c>
      <c r="D55" s="1623" t="s">
        <v>3661</v>
      </c>
      <c r="E55" s="1622">
        <v>43025</v>
      </c>
      <c r="F55" s="1620">
        <v>-0.112682926829268</v>
      </c>
      <c r="G55" s="1620">
        <v>-0.108</v>
      </c>
      <c r="H55" s="1621">
        <v>70</v>
      </c>
      <c r="I55" s="1621">
        <v>70</v>
      </c>
      <c r="J55" s="1621">
        <v>0</v>
      </c>
      <c r="K55" s="1620">
        <v>1</v>
      </c>
      <c r="L55" s="1620">
        <v>99</v>
      </c>
      <c r="M55" s="1620">
        <v>0</v>
      </c>
      <c r="N55" s="1620">
        <v>0</v>
      </c>
      <c r="O55" s="1620">
        <v>99</v>
      </c>
      <c r="P55" s="1620">
        <v>0</v>
      </c>
      <c r="Q55" s="1603"/>
      <c r="R55" s="1620">
        <v>0</v>
      </c>
      <c r="S55" s="1620">
        <v>55</v>
      </c>
      <c r="T55" s="1620">
        <v>55</v>
      </c>
      <c r="U55" s="1620">
        <v>55</v>
      </c>
      <c r="V55" s="1620">
        <v>55</v>
      </c>
      <c r="W55" s="1620">
        <v>55</v>
      </c>
      <c r="X55" s="1620"/>
      <c r="Y55" s="1620">
        <v>252.52525000000102</v>
      </c>
      <c r="Z55" s="1620">
        <v>183.83838</v>
      </c>
      <c r="AA55" s="1620">
        <v>0</v>
      </c>
      <c r="AB55" s="1620">
        <v>0</v>
      </c>
      <c r="AC55" s="1620">
        <v>0</v>
      </c>
      <c r="AD55" s="1620">
        <v>0</v>
      </c>
      <c r="AE55" s="1620">
        <v>0</v>
      </c>
      <c r="AF55" s="1620">
        <v>0</v>
      </c>
      <c r="AG55" s="1620">
        <v>0</v>
      </c>
      <c r="AH55" s="1620">
        <v>0</v>
      </c>
      <c r="AI55" s="1620">
        <v>0</v>
      </c>
      <c r="AJ55" s="1620">
        <v>0</v>
      </c>
      <c r="AK55" s="1620">
        <v>0</v>
      </c>
      <c r="AL55" s="1620"/>
      <c r="AM55" s="1620">
        <v>0</v>
      </c>
      <c r="AN55" s="1620">
        <v>0</v>
      </c>
      <c r="AO55" s="1620">
        <v>0</v>
      </c>
      <c r="AP55" s="1620">
        <v>0</v>
      </c>
      <c r="AQ55" s="1620">
        <v>0</v>
      </c>
      <c r="AR55" s="1620">
        <v>0</v>
      </c>
      <c r="AS55" s="1620">
        <v>0</v>
      </c>
      <c r="AT55" s="1620">
        <v>0</v>
      </c>
      <c r="AU55" s="1620">
        <v>0</v>
      </c>
      <c r="AV55" s="1620">
        <v>0</v>
      </c>
      <c r="AW55" s="1620">
        <v>0</v>
      </c>
      <c r="AX55" s="1620"/>
      <c r="AY55" s="1620">
        <v>1</v>
      </c>
      <c r="AZ55" s="1620">
        <v>1</v>
      </c>
      <c r="BA55" s="1620">
        <v>1</v>
      </c>
      <c r="BB55" s="1620">
        <v>1</v>
      </c>
      <c r="BC55" s="1620">
        <v>1</v>
      </c>
      <c r="BD55" s="1620">
        <v>1</v>
      </c>
      <c r="BE55" s="1620">
        <v>1</v>
      </c>
      <c r="BF55" s="1620">
        <v>1</v>
      </c>
      <c r="BG55" s="1620">
        <v>1</v>
      </c>
      <c r="BH55" s="1620">
        <v>1</v>
      </c>
      <c r="BI55" s="1620">
        <v>1</v>
      </c>
      <c r="BJ55" s="1603"/>
      <c r="BK55" s="1620">
        <v>0</v>
      </c>
      <c r="BL55" s="1620">
        <v>0</v>
      </c>
      <c r="BM55" s="1620">
        <v>100</v>
      </c>
      <c r="BN55" s="1620">
        <v>0</v>
      </c>
      <c r="BO55" s="1620"/>
      <c r="BP55" s="1620">
        <v>0</v>
      </c>
      <c r="BQ55" s="1620">
        <v>0</v>
      </c>
      <c r="BR55" s="1620">
        <v>-0.11382113821138182</v>
      </c>
      <c r="BS55" s="1620">
        <v>-0.1090909090909091</v>
      </c>
      <c r="BT55" s="1603"/>
      <c r="BU55" s="1620">
        <v>0</v>
      </c>
      <c r="BV55" s="1620">
        <v>0</v>
      </c>
      <c r="BW55" s="1620">
        <v>0</v>
      </c>
      <c r="BX55" s="1620" t="s">
        <v>270</v>
      </c>
      <c r="BY55" s="1620" t="s">
        <v>270</v>
      </c>
      <c r="BZ55" s="1620" t="s">
        <v>270</v>
      </c>
      <c r="CA55" s="1620" t="s">
        <v>270</v>
      </c>
      <c r="CB55" s="1603"/>
      <c r="CC55" s="1603">
        <v>249.999997500001</v>
      </c>
      <c r="CD55" s="1603">
        <v>181.9999962</v>
      </c>
      <c r="CE55" s="1603">
        <v>0</v>
      </c>
      <c r="CF55" s="1603">
        <v>0</v>
      </c>
      <c r="CG55" s="1603">
        <v>0</v>
      </c>
      <c r="CH55" s="1603">
        <v>0</v>
      </c>
      <c r="CI55" s="1603">
        <v>0</v>
      </c>
      <c r="CJ55" s="1603"/>
      <c r="CK55" s="1603">
        <v>0</v>
      </c>
      <c r="CL55" s="1603">
        <v>0</v>
      </c>
      <c r="CM55" s="1603">
        <v>0</v>
      </c>
      <c r="CN55" s="1603">
        <v>0</v>
      </c>
      <c r="CO55" s="1603">
        <v>0</v>
      </c>
      <c r="CP55" s="1603">
        <v>0</v>
      </c>
      <c r="CQ55" s="1603">
        <v>0</v>
      </c>
      <c r="CR55" s="1603">
        <v>0</v>
      </c>
      <c r="CS55" s="1603">
        <v>0</v>
      </c>
      <c r="CT55" s="1603">
        <v>0</v>
      </c>
      <c r="CU55" s="1603">
        <v>0</v>
      </c>
      <c r="CV55" s="1603">
        <v>0</v>
      </c>
      <c r="CW55" s="1603">
        <v>0</v>
      </c>
      <c r="CX55" s="1603">
        <v>0</v>
      </c>
      <c r="CY55" s="1603">
        <v>0</v>
      </c>
      <c r="CZ55" s="1603">
        <v>0</v>
      </c>
      <c r="DA55" s="1603">
        <v>0</v>
      </c>
      <c r="DB55" s="1603">
        <v>0</v>
      </c>
      <c r="DC55" s="1603">
        <v>0</v>
      </c>
      <c r="DD55" s="1603">
        <v>0</v>
      </c>
      <c r="DE55" s="1603">
        <v>0</v>
      </c>
      <c r="DF55" s="1603">
        <v>0</v>
      </c>
      <c r="DG55" s="1603">
        <v>0</v>
      </c>
      <c r="DH55" s="1603">
        <v>0</v>
      </c>
      <c r="DI55" s="1603">
        <v>0</v>
      </c>
      <c r="DJ55" s="1603">
        <v>0</v>
      </c>
      <c r="DK55" s="1603">
        <v>0</v>
      </c>
      <c r="DL55" s="1603">
        <v>0</v>
      </c>
      <c r="DM55" s="1603">
        <v>0</v>
      </c>
      <c r="DN55" s="1603">
        <v>0</v>
      </c>
      <c r="DO55" s="1603">
        <v>0</v>
      </c>
      <c r="DP55" s="1603">
        <v>0</v>
      </c>
      <c r="DQ55" s="1603">
        <v>0</v>
      </c>
      <c r="DR55" s="1603">
        <v>0</v>
      </c>
      <c r="DS55" s="1603">
        <v>0</v>
      </c>
      <c r="DT55" s="1603">
        <v>0</v>
      </c>
      <c r="DU55" s="1603">
        <v>0</v>
      </c>
      <c r="DV55" s="1603">
        <v>0</v>
      </c>
      <c r="DW55" s="1618" t="s">
        <v>986</v>
      </c>
      <c r="DX55" s="1605" t="s">
        <v>986</v>
      </c>
      <c r="DY55" s="1605" t="s">
        <v>986</v>
      </c>
      <c r="DZ55" s="1605" t="s">
        <v>986</v>
      </c>
      <c r="EA55" s="1605" t="s">
        <v>986</v>
      </c>
      <c r="EB55" s="1605" t="s">
        <v>986</v>
      </c>
      <c r="EC55" s="1605" t="s">
        <v>986</v>
      </c>
      <c r="ED55" s="1605" t="s">
        <v>986</v>
      </c>
      <c r="EE55" s="1605" t="s">
        <v>986</v>
      </c>
      <c r="EF55" s="1605" t="s">
        <v>986</v>
      </c>
      <c r="EG55" s="1605" t="s">
        <v>986</v>
      </c>
      <c r="EH55" s="1605" t="s">
        <v>986</v>
      </c>
      <c r="EI55" s="1605" t="s">
        <v>986</v>
      </c>
      <c r="EJ55" s="1605" t="s">
        <v>986</v>
      </c>
      <c r="EK55" s="1605" t="s">
        <v>986</v>
      </c>
      <c r="EL55" s="1605" t="s">
        <v>986</v>
      </c>
      <c r="EM55" s="1605" t="s">
        <v>986</v>
      </c>
      <c r="EN55" s="1605" t="s">
        <v>986</v>
      </c>
      <c r="EO55" s="1605" t="s">
        <v>986</v>
      </c>
      <c r="EP55" s="1605" t="s">
        <v>986</v>
      </c>
      <c r="EQ55" s="1605" t="s">
        <v>986</v>
      </c>
      <c r="ER55" s="1605" t="s">
        <v>986</v>
      </c>
      <c r="ES55" s="1605" t="s">
        <v>986</v>
      </c>
      <c r="ET55" s="1605" t="s">
        <v>986</v>
      </c>
      <c r="EU55" s="1605" t="s">
        <v>986</v>
      </c>
      <c r="EV55" s="1605" t="s">
        <v>986</v>
      </c>
      <c r="EW55" s="1605" t="s">
        <v>986</v>
      </c>
      <c r="EX55" s="1605" t="s">
        <v>986</v>
      </c>
      <c r="EY55" s="1605" t="s">
        <v>986</v>
      </c>
      <c r="EZ55" s="1605" t="s">
        <v>986</v>
      </c>
      <c r="FA55" s="1605" t="s">
        <v>986</v>
      </c>
      <c r="FB55" s="1605" t="s">
        <v>986</v>
      </c>
      <c r="FC55" s="1605" t="s">
        <v>986</v>
      </c>
      <c r="FD55" s="1605" t="s">
        <v>986</v>
      </c>
      <c r="FE55" s="1605" t="s">
        <v>986</v>
      </c>
      <c r="FF55" s="1605" t="s">
        <v>986</v>
      </c>
      <c r="FG55" s="1605" t="s">
        <v>986</v>
      </c>
      <c r="FH55" s="1605" t="s">
        <v>986</v>
      </c>
      <c r="FI55" s="1605" t="s">
        <v>986</v>
      </c>
      <c r="FJ55" s="1605" t="s">
        <v>986</v>
      </c>
      <c r="FK55" s="1605" t="s">
        <v>986</v>
      </c>
      <c r="FL55" s="1605" t="s">
        <v>986</v>
      </c>
      <c r="FM55" s="1605" t="s">
        <v>986</v>
      </c>
      <c r="FN55" s="1605" t="s">
        <v>986</v>
      </c>
      <c r="FO55" s="1605" t="s">
        <v>986</v>
      </c>
      <c r="FP55" s="1605" t="s">
        <v>986</v>
      </c>
      <c r="FQ55" s="1605" t="s">
        <v>986</v>
      </c>
      <c r="FR55" s="1605" t="s">
        <v>986</v>
      </c>
      <c r="FS55" s="1605" t="s">
        <v>986</v>
      </c>
      <c r="FT55" s="1605" t="s">
        <v>986</v>
      </c>
      <c r="FU55" s="1605" t="s">
        <v>986</v>
      </c>
      <c r="FV55" s="1605" t="s">
        <v>986</v>
      </c>
      <c r="FW55" s="1605" t="s">
        <v>986</v>
      </c>
      <c r="FX55" s="1605" t="s">
        <v>986</v>
      </c>
      <c r="FY55" s="1605" t="s">
        <v>986</v>
      </c>
      <c r="FZ55" s="1605" t="s">
        <v>986</v>
      </c>
      <c r="GA55" s="1605" t="s">
        <v>986</v>
      </c>
      <c r="GB55" s="1605" t="s">
        <v>986</v>
      </c>
      <c r="GC55" s="1605" t="s">
        <v>986</v>
      </c>
      <c r="GD55" s="1605" t="s">
        <v>986</v>
      </c>
      <c r="GE55" s="1605" t="s">
        <v>986</v>
      </c>
      <c r="GF55" s="1605" t="s">
        <v>986</v>
      </c>
      <c r="GG55" s="1605" t="s">
        <v>986</v>
      </c>
      <c r="GH55" s="1605" t="s">
        <v>986</v>
      </c>
      <c r="GI55" s="1605" t="s">
        <v>986</v>
      </c>
      <c r="GJ55" s="1605" t="s">
        <v>986</v>
      </c>
      <c r="GK55" s="1605" t="s">
        <v>986</v>
      </c>
      <c r="GL55" s="1605" t="s">
        <v>986</v>
      </c>
      <c r="GM55" s="1605" t="s">
        <v>986</v>
      </c>
      <c r="GN55" s="1605" t="s">
        <v>986</v>
      </c>
      <c r="GO55" s="1605" t="s">
        <v>986</v>
      </c>
      <c r="GP55" s="1605" t="s">
        <v>986</v>
      </c>
      <c r="GQ55" s="1605" t="s">
        <v>986</v>
      </c>
      <c r="GR55" s="1605" t="s">
        <v>986</v>
      </c>
      <c r="GS55" s="1605" t="s">
        <v>986</v>
      </c>
      <c r="GT55" s="1605" t="s">
        <v>986</v>
      </c>
      <c r="GU55" s="1605" t="s">
        <v>986</v>
      </c>
      <c r="GV55" s="1605" t="s">
        <v>986</v>
      </c>
      <c r="GW55" s="1605" t="s">
        <v>986</v>
      </c>
      <c r="GX55" s="1605" t="s">
        <v>986</v>
      </c>
      <c r="GY55" s="1605" t="s">
        <v>986</v>
      </c>
      <c r="GZ55" s="1605" t="s">
        <v>986</v>
      </c>
      <c r="HA55" s="1605" t="s">
        <v>986</v>
      </c>
      <c r="HB55" s="1605" t="s">
        <v>986</v>
      </c>
      <c r="HC55" s="1605" t="s">
        <v>986</v>
      </c>
      <c r="HD55" s="1605" t="s">
        <v>986</v>
      </c>
      <c r="HE55" s="1605" t="s">
        <v>986</v>
      </c>
      <c r="HF55" s="1605" t="s">
        <v>986</v>
      </c>
      <c r="HG55" s="1605" t="s">
        <v>986</v>
      </c>
      <c r="HH55" s="1605" t="s">
        <v>986</v>
      </c>
      <c r="HI55" s="1605" t="s">
        <v>986</v>
      </c>
      <c r="HJ55" s="1605" t="s">
        <v>986</v>
      </c>
      <c r="HK55" s="1605" t="s">
        <v>986</v>
      </c>
      <c r="HL55" s="1605" t="s">
        <v>986</v>
      </c>
      <c r="HM55" s="1605" t="s">
        <v>986</v>
      </c>
      <c r="HN55" s="1605" t="s">
        <v>986</v>
      </c>
      <c r="HO55" s="1605" t="s">
        <v>986</v>
      </c>
      <c r="HP55" s="1605" t="s">
        <v>986</v>
      </c>
      <c r="HQ55" s="1605" t="s">
        <v>986</v>
      </c>
      <c r="HR55" s="1605" t="s">
        <v>986</v>
      </c>
      <c r="HS55" s="1605" t="s">
        <v>986</v>
      </c>
      <c r="HT55" s="1605" t="s">
        <v>986</v>
      </c>
      <c r="HU55" s="1605" t="s">
        <v>986</v>
      </c>
      <c r="HV55" s="1617"/>
      <c r="HW55" s="1617">
        <v>0</v>
      </c>
      <c r="HX55" s="1617">
        <v>0</v>
      </c>
      <c r="HY55" s="1617">
        <v>0</v>
      </c>
      <c r="HZ55" s="1603"/>
      <c r="IA55" s="1603"/>
      <c r="IB55" s="1603"/>
      <c r="IC55" s="1603">
        <v>55</v>
      </c>
      <c r="ID55" s="1603">
        <v>55</v>
      </c>
      <c r="IE55" s="1603">
        <v>55</v>
      </c>
      <c r="IF55" s="1603">
        <v>55</v>
      </c>
      <c r="IG55" s="1611" t="s">
        <v>2932</v>
      </c>
      <c r="IH55" s="1616" t="s">
        <v>270</v>
      </c>
      <c r="II55" s="1615" t="s">
        <v>270</v>
      </c>
      <c r="IJ55" s="1613">
        <v>1.3101818181818183</v>
      </c>
      <c r="IK55" s="1613">
        <v>1.301848484848485</v>
      </c>
      <c r="IL55" s="1614">
        <v>1.3101818181818183</v>
      </c>
      <c r="IM55" s="1614">
        <v>1.301848484848485</v>
      </c>
      <c r="IN55" s="1612" t="s">
        <v>270</v>
      </c>
      <c r="IO55" s="1613" t="s">
        <v>270</v>
      </c>
      <c r="IP55" s="1607" t="s">
        <v>270</v>
      </c>
      <c r="IQ55" s="1612" t="s">
        <v>270</v>
      </c>
      <c r="IR55" s="1612" t="s">
        <v>270</v>
      </c>
      <c r="IS55" s="1607">
        <v>1.1881818181818182</v>
      </c>
      <c r="IT55" s="1607">
        <v>1.1798484848484849</v>
      </c>
      <c r="IU55" s="1611">
        <v>0</v>
      </c>
      <c r="IV55" s="1611">
        <v>7.7767676767676763E-2</v>
      </c>
      <c r="IW55" s="1611">
        <v>9.0909090909090909E-4</v>
      </c>
      <c r="IX55" s="1611">
        <v>1.6060606060606061E-3</v>
      </c>
      <c r="IY55" s="1611">
        <v>9.6969696969696957E-4</v>
      </c>
      <c r="IZ55" s="1611">
        <v>5.9898989898989896E-3</v>
      </c>
      <c r="JA55" s="1611">
        <v>6.0606060606060598E-5</v>
      </c>
      <c r="JB55" s="1611" t="s">
        <v>270</v>
      </c>
      <c r="JC55" s="1611">
        <v>9.9026969696969704</v>
      </c>
      <c r="JD55" s="1611">
        <v>5.2121212121212122E-3</v>
      </c>
      <c r="JE55" s="1611" t="s">
        <v>270</v>
      </c>
      <c r="JF55" s="1611">
        <v>8.2828282828282835E-4</v>
      </c>
      <c r="JG55" s="1611">
        <v>0.57978787878787885</v>
      </c>
      <c r="JH55" s="1611">
        <v>7.646464646464647E-3</v>
      </c>
      <c r="JI55" s="1611">
        <v>0.3</v>
      </c>
      <c r="JJ55" s="1611" t="s">
        <v>270</v>
      </c>
      <c r="JK55" s="1607">
        <f t="shared" si="9"/>
        <v>0.12200000000000011</v>
      </c>
      <c r="JL55" s="1608" t="s">
        <v>270</v>
      </c>
      <c r="JM55" s="1610" t="s">
        <v>2924</v>
      </c>
      <c r="JN55" s="1608">
        <v>8.3333333333333037E-3</v>
      </c>
      <c r="JO55" s="1609" t="s">
        <v>2931</v>
      </c>
      <c r="JP55" s="1608" t="s">
        <v>270</v>
      </c>
      <c r="JQ55" s="1607">
        <v>202103</v>
      </c>
      <c r="JR55" s="1606">
        <v>851</v>
      </c>
      <c r="JS55" s="1606">
        <v>774</v>
      </c>
      <c r="JT55" s="1606">
        <v>774</v>
      </c>
    </row>
    <row r="56" spans="1:280" ht="15" customHeight="1" x14ac:dyDescent="0.2">
      <c r="A56" s="1626">
        <v>46100</v>
      </c>
      <c r="B56" s="1625">
        <v>461</v>
      </c>
      <c r="C56" s="1624">
        <v>0</v>
      </c>
      <c r="D56" s="1623" t="s">
        <v>3660</v>
      </c>
      <c r="E56" s="1622">
        <v>43025</v>
      </c>
      <c r="F56" s="1620">
        <v>-0.112682926829268</v>
      </c>
      <c r="G56" s="1620">
        <v>-0.108</v>
      </c>
      <c r="H56" s="1621">
        <v>70</v>
      </c>
      <c r="I56" s="1621">
        <v>70</v>
      </c>
      <c r="J56" s="1621">
        <v>0</v>
      </c>
      <c r="K56" s="1620">
        <v>1</v>
      </c>
      <c r="L56" s="1620">
        <v>99</v>
      </c>
      <c r="M56" s="1620">
        <v>0</v>
      </c>
      <c r="N56" s="1620">
        <v>0</v>
      </c>
      <c r="O56" s="1620">
        <v>99</v>
      </c>
      <c r="P56" s="1620">
        <v>0</v>
      </c>
      <c r="Q56" s="1603"/>
      <c r="R56" s="1620">
        <v>0</v>
      </c>
      <c r="S56" s="1620">
        <v>50</v>
      </c>
      <c r="T56" s="1620">
        <v>50</v>
      </c>
      <c r="U56" s="1620">
        <v>50</v>
      </c>
      <c r="V56" s="1620">
        <v>50</v>
      </c>
      <c r="W56" s="1620">
        <v>50</v>
      </c>
      <c r="X56" s="1620"/>
      <c r="Y56" s="1620">
        <v>252.52525000000102</v>
      </c>
      <c r="Z56" s="1620">
        <v>181.81818000000001</v>
      </c>
      <c r="AA56" s="1620">
        <v>0</v>
      </c>
      <c r="AB56" s="1620">
        <v>0</v>
      </c>
      <c r="AC56" s="1620">
        <v>0</v>
      </c>
      <c r="AD56" s="1620">
        <v>0</v>
      </c>
      <c r="AE56" s="1620">
        <v>0</v>
      </c>
      <c r="AF56" s="1620">
        <v>0</v>
      </c>
      <c r="AG56" s="1620">
        <v>0</v>
      </c>
      <c r="AH56" s="1620">
        <v>0</v>
      </c>
      <c r="AI56" s="1620">
        <v>0</v>
      </c>
      <c r="AJ56" s="1620">
        <v>0</v>
      </c>
      <c r="AK56" s="1620">
        <v>0</v>
      </c>
      <c r="AL56" s="1620"/>
      <c r="AM56" s="1620">
        <v>0</v>
      </c>
      <c r="AN56" s="1620">
        <v>0</v>
      </c>
      <c r="AO56" s="1620">
        <v>0</v>
      </c>
      <c r="AP56" s="1620">
        <v>0</v>
      </c>
      <c r="AQ56" s="1620">
        <v>0</v>
      </c>
      <c r="AR56" s="1620">
        <v>0</v>
      </c>
      <c r="AS56" s="1620">
        <v>0</v>
      </c>
      <c r="AT56" s="1620">
        <v>0</v>
      </c>
      <c r="AU56" s="1620">
        <v>0</v>
      </c>
      <c r="AV56" s="1620">
        <v>0</v>
      </c>
      <c r="AW56" s="1620">
        <v>0</v>
      </c>
      <c r="AX56" s="1620"/>
      <c r="AY56" s="1620">
        <v>1</v>
      </c>
      <c r="AZ56" s="1620">
        <v>1</v>
      </c>
      <c r="BA56" s="1620">
        <v>1</v>
      </c>
      <c r="BB56" s="1620">
        <v>1</v>
      </c>
      <c r="BC56" s="1620">
        <v>1</v>
      </c>
      <c r="BD56" s="1620">
        <v>1</v>
      </c>
      <c r="BE56" s="1620">
        <v>1</v>
      </c>
      <c r="BF56" s="1620">
        <v>1</v>
      </c>
      <c r="BG56" s="1620">
        <v>1</v>
      </c>
      <c r="BH56" s="1620">
        <v>1</v>
      </c>
      <c r="BI56" s="1620">
        <v>1</v>
      </c>
      <c r="BJ56" s="1603"/>
      <c r="BK56" s="1620">
        <v>0</v>
      </c>
      <c r="BL56" s="1620">
        <v>0</v>
      </c>
      <c r="BM56" s="1620">
        <v>100</v>
      </c>
      <c r="BN56" s="1620">
        <v>0</v>
      </c>
      <c r="BO56" s="1620"/>
      <c r="BP56" s="1620">
        <v>0</v>
      </c>
      <c r="BQ56" s="1620">
        <v>0</v>
      </c>
      <c r="BR56" s="1620">
        <v>-0.11382113821138182</v>
      </c>
      <c r="BS56" s="1620">
        <v>-0.1090909090909091</v>
      </c>
      <c r="BT56" s="1603"/>
      <c r="BU56" s="1620">
        <v>0</v>
      </c>
      <c r="BV56" s="1620">
        <v>0</v>
      </c>
      <c r="BW56" s="1620">
        <v>0</v>
      </c>
      <c r="BX56" s="1620" t="s">
        <v>270</v>
      </c>
      <c r="BY56" s="1620" t="s">
        <v>270</v>
      </c>
      <c r="BZ56" s="1620" t="s">
        <v>270</v>
      </c>
      <c r="CA56" s="1620" t="s">
        <v>270</v>
      </c>
      <c r="CB56" s="1603"/>
      <c r="CC56" s="1603">
        <v>249.999997500001</v>
      </c>
      <c r="CD56" s="1603">
        <v>179.99999820000002</v>
      </c>
      <c r="CE56" s="1603">
        <v>0</v>
      </c>
      <c r="CF56" s="1603">
        <v>0</v>
      </c>
      <c r="CG56" s="1603">
        <v>0</v>
      </c>
      <c r="CH56" s="1603">
        <v>0</v>
      </c>
      <c r="CI56" s="1603">
        <v>0</v>
      </c>
      <c r="CJ56" s="1603"/>
      <c r="CK56" s="1603">
        <v>0</v>
      </c>
      <c r="CL56" s="1603">
        <v>0</v>
      </c>
      <c r="CM56" s="1603">
        <v>0</v>
      </c>
      <c r="CN56" s="1603">
        <v>0</v>
      </c>
      <c r="CO56" s="1603">
        <v>0</v>
      </c>
      <c r="CP56" s="1603">
        <v>0</v>
      </c>
      <c r="CQ56" s="1603">
        <v>0</v>
      </c>
      <c r="CR56" s="1603">
        <v>0</v>
      </c>
      <c r="CS56" s="1603">
        <v>0</v>
      </c>
      <c r="CT56" s="1603">
        <v>0</v>
      </c>
      <c r="CU56" s="1603">
        <v>0</v>
      </c>
      <c r="CV56" s="1603">
        <v>0</v>
      </c>
      <c r="CW56" s="1603">
        <v>0</v>
      </c>
      <c r="CX56" s="1603">
        <v>0</v>
      </c>
      <c r="CY56" s="1603">
        <v>0</v>
      </c>
      <c r="CZ56" s="1603">
        <v>0</v>
      </c>
      <c r="DA56" s="1603">
        <v>0</v>
      </c>
      <c r="DB56" s="1603">
        <v>0</v>
      </c>
      <c r="DC56" s="1603">
        <v>0</v>
      </c>
      <c r="DD56" s="1603">
        <v>0</v>
      </c>
      <c r="DE56" s="1603">
        <v>0</v>
      </c>
      <c r="DF56" s="1603">
        <v>0</v>
      </c>
      <c r="DG56" s="1603">
        <v>0</v>
      </c>
      <c r="DH56" s="1603">
        <v>0</v>
      </c>
      <c r="DI56" s="1603">
        <v>0</v>
      </c>
      <c r="DJ56" s="1603">
        <v>0</v>
      </c>
      <c r="DK56" s="1603">
        <v>0</v>
      </c>
      <c r="DL56" s="1603">
        <v>0</v>
      </c>
      <c r="DM56" s="1603">
        <v>0</v>
      </c>
      <c r="DN56" s="1603">
        <v>0</v>
      </c>
      <c r="DO56" s="1603">
        <v>0</v>
      </c>
      <c r="DP56" s="1603">
        <v>0</v>
      </c>
      <c r="DQ56" s="1603">
        <v>0</v>
      </c>
      <c r="DR56" s="1603">
        <v>0</v>
      </c>
      <c r="DS56" s="1603">
        <v>0</v>
      </c>
      <c r="DT56" s="1603">
        <v>0</v>
      </c>
      <c r="DU56" s="1603">
        <v>0</v>
      </c>
      <c r="DV56" s="1603">
        <v>0</v>
      </c>
      <c r="DW56" s="1618" t="s">
        <v>3659</v>
      </c>
      <c r="DX56" s="1605" t="s">
        <v>986</v>
      </c>
      <c r="DY56" s="1605" t="s">
        <v>986</v>
      </c>
      <c r="DZ56" s="1605" t="s">
        <v>986</v>
      </c>
      <c r="EA56" s="1605" t="s">
        <v>986</v>
      </c>
      <c r="EB56" s="1605" t="s">
        <v>986</v>
      </c>
      <c r="EC56" s="1605" t="s">
        <v>986</v>
      </c>
      <c r="ED56" s="1605" t="s">
        <v>986</v>
      </c>
      <c r="EE56" s="1605" t="s">
        <v>986</v>
      </c>
      <c r="EF56" s="1605" t="s">
        <v>986</v>
      </c>
      <c r="EG56" s="1605" t="s">
        <v>986</v>
      </c>
      <c r="EH56" s="1605" t="s">
        <v>986</v>
      </c>
      <c r="EI56" s="1605" t="s">
        <v>986</v>
      </c>
      <c r="EJ56" s="1605" t="s">
        <v>986</v>
      </c>
      <c r="EK56" s="1605" t="s">
        <v>986</v>
      </c>
      <c r="EL56" s="1605" t="s">
        <v>986</v>
      </c>
      <c r="EM56" s="1605" t="s">
        <v>986</v>
      </c>
      <c r="EN56" s="1605" t="s">
        <v>986</v>
      </c>
      <c r="EO56" s="1605" t="s">
        <v>986</v>
      </c>
      <c r="EP56" s="1605" t="s">
        <v>986</v>
      </c>
      <c r="EQ56" s="1605" t="s">
        <v>986</v>
      </c>
      <c r="ER56" s="1605" t="s">
        <v>986</v>
      </c>
      <c r="ES56" s="1605" t="s">
        <v>986</v>
      </c>
      <c r="ET56" s="1605" t="s">
        <v>986</v>
      </c>
      <c r="EU56" s="1605" t="s">
        <v>986</v>
      </c>
      <c r="EV56" s="1605" t="s">
        <v>986</v>
      </c>
      <c r="EW56" s="1605" t="s">
        <v>986</v>
      </c>
      <c r="EX56" s="1605" t="s">
        <v>986</v>
      </c>
      <c r="EY56" s="1605" t="s">
        <v>986</v>
      </c>
      <c r="EZ56" s="1605" t="s">
        <v>986</v>
      </c>
      <c r="FA56" s="1605" t="s">
        <v>986</v>
      </c>
      <c r="FB56" s="1605" t="s">
        <v>986</v>
      </c>
      <c r="FC56" s="1605" t="s">
        <v>986</v>
      </c>
      <c r="FD56" s="1605" t="s">
        <v>986</v>
      </c>
      <c r="FE56" s="1605" t="s">
        <v>986</v>
      </c>
      <c r="FF56" s="1605" t="s">
        <v>986</v>
      </c>
      <c r="FG56" s="1605" t="s">
        <v>986</v>
      </c>
      <c r="FH56" s="1605" t="s">
        <v>986</v>
      </c>
      <c r="FI56" s="1605" t="s">
        <v>986</v>
      </c>
      <c r="FJ56" s="1605" t="s">
        <v>986</v>
      </c>
      <c r="FK56" s="1605" t="s">
        <v>986</v>
      </c>
      <c r="FL56" s="1605" t="s">
        <v>986</v>
      </c>
      <c r="FM56" s="1605" t="s">
        <v>986</v>
      </c>
      <c r="FN56" s="1605" t="s">
        <v>986</v>
      </c>
      <c r="FO56" s="1605" t="s">
        <v>986</v>
      </c>
      <c r="FP56" s="1605" t="s">
        <v>986</v>
      </c>
      <c r="FQ56" s="1605" t="s">
        <v>986</v>
      </c>
      <c r="FR56" s="1605" t="s">
        <v>986</v>
      </c>
      <c r="FS56" s="1605" t="s">
        <v>986</v>
      </c>
      <c r="FT56" s="1605" t="s">
        <v>986</v>
      </c>
      <c r="FU56" s="1605" t="s">
        <v>986</v>
      </c>
      <c r="FV56" s="1605" t="s">
        <v>986</v>
      </c>
      <c r="FW56" s="1605" t="s">
        <v>986</v>
      </c>
      <c r="FX56" s="1605" t="s">
        <v>986</v>
      </c>
      <c r="FY56" s="1605" t="s">
        <v>986</v>
      </c>
      <c r="FZ56" s="1605" t="s">
        <v>986</v>
      </c>
      <c r="GA56" s="1605" t="s">
        <v>986</v>
      </c>
      <c r="GB56" s="1605" t="s">
        <v>986</v>
      </c>
      <c r="GC56" s="1605" t="s">
        <v>986</v>
      </c>
      <c r="GD56" s="1605" t="s">
        <v>986</v>
      </c>
      <c r="GE56" s="1605" t="s">
        <v>986</v>
      </c>
      <c r="GF56" s="1605" t="s">
        <v>986</v>
      </c>
      <c r="GG56" s="1605" t="s">
        <v>986</v>
      </c>
      <c r="GH56" s="1605" t="s">
        <v>986</v>
      </c>
      <c r="GI56" s="1605" t="s">
        <v>986</v>
      </c>
      <c r="GJ56" s="1605" t="s">
        <v>986</v>
      </c>
      <c r="GK56" s="1605" t="s">
        <v>986</v>
      </c>
      <c r="GL56" s="1605" t="s">
        <v>986</v>
      </c>
      <c r="GM56" s="1605" t="s">
        <v>986</v>
      </c>
      <c r="GN56" s="1605" t="s">
        <v>986</v>
      </c>
      <c r="GO56" s="1605" t="s">
        <v>986</v>
      </c>
      <c r="GP56" s="1605" t="s">
        <v>986</v>
      </c>
      <c r="GQ56" s="1605" t="s">
        <v>986</v>
      </c>
      <c r="GR56" s="1605" t="s">
        <v>986</v>
      </c>
      <c r="GS56" s="1605" t="s">
        <v>986</v>
      </c>
      <c r="GT56" s="1605" t="s">
        <v>986</v>
      </c>
      <c r="GU56" s="1605" t="s">
        <v>986</v>
      </c>
      <c r="GV56" s="1605" t="s">
        <v>986</v>
      </c>
      <c r="GW56" s="1605" t="s">
        <v>986</v>
      </c>
      <c r="GX56" s="1605" t="s">
        <v>986</v>
      </c>
      <c r="GY56" s="1605" t="s">
        <v>986</v>
      </c>
      <c r="GZ56" s="1605" t="s">
        <v>986</v>
      </c>
      <c r="HA56" s="1605" t="s">
        <v>986</v>
      </c>
      <c r="HB56" s="1605" t="s">
        <v>986</v>
      </c>
      <c r="HC56" s="1605" t="s">
        <v>986</v>
      </c>
      <c r="HD56" s="1605" t="s">
        <v>986</v>
      </c>
      <c r="HE56" s="1605" t="s">
        <v>986</v>
      </c>
      <c r="HF56" s="1605" t="s">
        <v>986</v>
      </c>
      <c r="HG56" s="1605" t="s">
        <v>986</v>
      </c>
      <c r="HH56" s="1605" t="s">
        <v>986</v>
      </c>
      <c r="HI56" s="1605" t="s">
        <v>986</v>
      </c>
      <c r="HJ56" s="1605" t="s">
        <v>986</v>
      </c>
      <c r="HK56" s="1605" t="s">
        <v>986</v>
      </c>
      <c r="HL56" s="1605" t="s">
        <v>986</v>
      </c>
      <c r="HM56" s="1605" t="s">
        <v>986</v>
      </c>
      <c r="HN56" s="1605" t="s">
        <v>986</v>
      </c>
      <c r="HO56" s="1605" t="s">
        <v>986</v>
      </c>
      <c r="HP56" s="1605" t="s">
        <v>986</v>
      </c>
      <c r="HQ56" s="1605" t="s">
        <v>986</v>
      </c>
      <c r="HR56" s="1605" t="s">
        <v>986</v>
      </c>
      <c r="HS56" s="1605" t="s">
        <v>986</v>
      </c>
      <c r="HT56" s="1605" t="s">
        <v>986</v>
      </c>
      <c r="HU56" s="1605" t="s">
        <v>986</v>
      </c>
      <c r="HV56" s="1617"/>
      <c r="HW56" s="1617">
        <v>0</v>
      </c>
      <c r="HX56" s="1617">
        <v>0</v>
      </c>
      <c r="HY56" s="1617">
        <v>0</v>
      </c>
      <c r="HZ56" s="1603"/>
      <c r="IA56" s="1603"/>
      <c r="IB56" s="1603"/>
      <c r="IC56" s="1603">
        <v>50</v>
      </c>
      <c r="ID56" s="1603">
        <v>50</v>
      </c>
      <c r="IE56" s="1603">
        <v>50</v>
      </c>
      <c r="IF56" s="1603">
        <v>50</v>
      </c>
      <c r="IG56" s="1611" t="s">
        <v>2932</v>
      </c>
      <c r="IH56" s="1616" t="s">
        <v>270</v>
      </c>
      <c r="II56" s="1615" t="s">
        <v>270</v>
      </c>
      <c r="IJ56" s="1613">
        <v>1.3101818181818183</v>
      </c>
      <c r="IK56" s="1613">
        <v>1.301848484848485</v>
      </c>
      <c r="IL56" s="1614">
        <v>1.3101818181818183</v>
      </c>
      <c r="IM56" s="1614">
        <v>1.301848484848485</v>
      </c>
      <c r="IN56" s="1612" t="s">
        <v>270</v>
      </c>
      <c r="IO56" s="1613" t="s">
        <v>270</v>
      </c>
      <c r="IP56" s="1607" t="s">
        <v>270</v>
      </c>
      <c r="IQ56" s="1612" t="s">
        <v>270</v>
      </c>
      <c r="IR56" s="1612" t="s">
        <v>270</v>
      </c>
      <c r="IS56" s="1607">
        <v>1.1881818181818182</v>
      </c>
      <c r="IT56" s="1607">
        <v>1.1798484848484849</v>
      </c>
      <c r="IU56" s="1611">
        <v>0</v>
      </c>
      <c r="IV56" s="1611">
        <v>7.7767676767676763E-2</v>
      </c>
      <c r="IW56" s="1611">
        <v>9.0909090909090909E-4</v>
      </c>
      <c r="IX56" s="1611">
        <v>1.6060606060606061E-3</v>
      </c>
      <c r="IY56" s="1611">
        <v>9.6969696969696957E-4</v>
      </c>
      <c r="IZ56" s="1611">
        <v>5.9898989898989896E-3</v>
      </c>
      <c r="JA56" s="1611">
        <v>6.0606060606060598E-5</v>
      </c>
      <c r="JB56" s="1611" t="s">
        <v>270</v>
      </c>
      <c r="JC56" s="1611">
        <v>9.9026969696969704</v>
      </c>
      <c r="JD56" s="1611">
        <v>5.2121212121212122E-3</v>
      </c>
      <c r="JE56" s="1611" t="s">
        <v>270</v>
      </c>
      <c r="JF56" s="1611">
        <v>8.2828282828282835E-4</v>
      </c>
      <c r="JG56" s="1611">
        <v>0.57978787878787885</v>
      </c>
      <c r="JH56" s="1611">
        <v>7.646464646464647E-3</v>
      </c>
      <c r="JI56" s="1611">
        <v>0.3</v>
      </c>
      <c r="JJ56" s="1611" t="s">
        <v>270</v>
      </c>
      <c r="JK56" s="1607">
        <f t="shared" si="9"/>
        <v>0.12200000000000011</v>
      </c>
      <c r="JL56" s="1608" t="s">
        <v>270</v>
      </c>
      <c r="JM56" s="1610" t="s">
        <v>2924</v>
      </c>
      <c r="JN56" s="1608">
        <v>8.3333333333333037E-3</v>
      </c>
      <c r="JO56" s="1609" t="s">
        <v>2931</v>
      </c>
      <c r="JP56" s="1608" t="s">
        <v>270</v>
      </c>
      <c r="JQ56" s="1607">
        <v>202103</v>
      </c>
      <c r="JR56" s="1606">
        <v>851</v>
      </c>
      <c r="JS56" s="1606">
        <v>774</v>
      </c>
      <c r="JT56" s="1606">
        <v>774</v>
      </c>
    </row>
    <row r="57" spans="1:280" ht="15" customHeight="1" x14ac:dyDescent="0.2">
      <c r="A57" s="1626">
        <v>39012</v>
      </c>
      <c r="B57" s="1625">
        <v>390</v>
      </c>
      <c r="C57" s="1624">
        <v>12</v>
      </c>
      <c r="D57" s="1623" t="s">
        <v>3658</v>
      </c>
      <c r="E57" s="1622">
        <v>43039</v>
      </c>
      <c r="F57" s="1620">
        <v>0.400229055361982</v>
      </c>
      <c r="G57" s="1620">
        <v>0.40812811354360001</v>
      </c>
      <c r="H57" s="1621">
        <v>64.2</v>
      </c>
      <c r="I57" s="1621">
        <v>70</v>
      </c>
      <c r="J57" s="1621">
        <v>30</v>
      </c>
      <c r="K57" s="1620">
        <v>1</v>
      </c>
      <c r="L57" s="1620">
        <v>97.3</v>
      </c>
      <c r="M57" s="1620">
        <v>1</v>
      </c>
      <c r="N57" s="1620">
        <v>0.9</v>
      </c>
      <c r="O57" s="1620">
        <v>51.7</v>
      </c>
      <c r="P57" s="1620">
        <v>18.2</v>
      </c>
      <c r="Q57" s="1603"/>
      <c r="R57" s="1620">
        <v>0</v>
      </c>
      <c r="S57" s="1620">
        <v>0</v>
      </c>
      <c r="T57" s="1620">
        <v>0</v>
      </c>
      <c r="U57" s="1620">
        <v>0</v>
      </c>
      <c r="V57" s="1620">
        <v>0</v>
      </c>
      <c r="W57" s="1620">
        <v>0</v>
      </c>
      <c r="X57" s="1620"/>
      <c r="Y57" s="1620">
        <v>0</v>
      </c>
      <c r="Z57" s="1620">
        <v>0</v>
      </c>
      <c r="AA57" s="1620">
        <v>0</v>
      </c>
      <c r="AB57" s="1620">
        <v>0</v>
      </c>
      <c r="AC57" s="1620">
        <v>0</v>
      </c>
      <c r="AD57" s="1620">
        <v>0</v>
      </c>
      <c r="AE57" s="1620">
        <v>0</v>
      </c>
      <c r="AF57" s="1620">
        <v>0</v>
      </c>
      <c r="AG57" s="1620">
        <v>0</v>
      </c>
      <c r="AH57" s="1620">
        <v>0</v>
      </c>
      <c r="AI57" s="1620">
        <v>0</v>
      </c>
      <c r="AJ57" s="1620">
        <v>0</v>
      </c>
      <c r="AK57" s="1620">
        <v>0</v>
      </c>
      <c r="AL57" s="1620"/>
      <c r="AM57" s="1620">
        <v>0</v>
      </c>
      <c r="AN57" s="1620">
        <v>0</v>
      </c>
      <c r="AO57" s="1620">
        <v>0</v>
      </c>
      <c r="AP57" s="1620">
        <v>0</v>
      </c>
      <c r="AQ57" s="1620">
        <v>0</v>
      </c>
      <c r="AR57" s="1620">
        <v>0</v>
      </c>
      <c r="AS57" s="1620">
        <v>0</v>
      </c>
      <c r="AT57" s="1620">
        <v>0</v>
      </c>
      <c r="AU57" s="1620">
        <v>0</v>
      </c>
      <c r="AV57" s="1620">
        <v>0</v>
      </c>
      <c r="AW57" s="1620">
        <v>0</v>
      </c>
      <c r="AX57" s="1620"/>
      <c r="AY57" s="1620">
        <v>1</v>
      </c>
      <c r="AZ57" s="1620">
        <v>1</v>
      </c>
      <c r="BA57" s="1620">
        <v>1</v>
      </c>
      <c r="BB57" s="1620">
        <v>1</v>
      </c>
      <c r="BC57" s="1620">
        <v>1</v>
      </c>
      <c r="BD57" s="1620">
        <v>1</v>
      </c>
      <c r="BE57" s="1620">
        <v>1</v>
      </c>
      <c r="BF57" s="1620">
        <v>1</v>
      </c>
      <c r="BG57" s="1620">
        <v>1</v>
      </c>
      <c r="BH57" s="1620">
        <v>1</v>
      </c>
      <c r="BI57" s="1620">
        <v>1</v>
      </c>
      <c r="BJ57" s="1603"/>
      <c r="BK57" s="1620">
        <v>1.0277492291880781</v>
      </c>
      <c r="BL57" s="1620">
        <v>0.92497430626927035</v>
      </c>
      <c r="BM57" s="1620">
        <v>53.134635149023637</v>
      </c>
      <c r="BN57" s="1620">
        <v>18.705035971223023</v>
      </c>
      <c r="BO57" s="1620"/>
      <c r="BP57" s="1620">
        <v>0</v>
      </c>
      <c r="BQ57" s="1620">
        <v>0</v>
      </c>
      <c r="BR57" s="1620">
        <v>0.41133510314694965</v>
      </c>
      <c r="BS57" s="1620">
        <v>0.41945335410441936</v>
      </c>
      <c r="BT57" s="1603"/>
      <c r="BU57" s="1620">
        <v>468.65364850976363</v>
      </c>
      <c r="BV57" s="1620">
        <v>321.38217589194039</v>
      </c>
      <c r="BW57" s="1620">
        <v>-38.831302305094653</v>
      </c>
      <c r="BX57" s="1620">
        <v>0</v>
      </c>
      <c r="BY57" s="1620">
        <v>0</v>
      </c>
      <c r="BZ57" s="1620" t="s">
        <v>270</v>
      </c>
      <c r="CA57" s="1620" t="s">
        <v>270</v>
      </c>
      <c r="CB57" s="1603"/>
      <c r="CC57" s="1603">
        <v>0</v>
      </c>
      <c r="CD57" s="1603">
        <v>0</v>
      </c>
      <c r="CE57" s="1603">
        <v>0</v>
      </c>
      <c r="CF57" s="1603">
        <v>0</v>
      </c>
      <c r="CG57" s="1603">
        <v>0</v>
      </c>
      <c r="CH57" s="1603">
        <v>0</v>
      </c>
      <c r="CI57" s="1603">
        <v>0</v>
      </c>
      <c r="CJ57" s="1603"/>
      <c r="CK57" s="1603">
        <v>0</v>
      </c>
      <c r="CL57" s="1603">
        <v>0</v>
      </c>
      <c r="CM57" s="1603">
        <v>0</v>
      </c>
      <c r="CN57" s="1603">
        <v>0</v>
      </c>
      <c r="CO57" s="1603">
        <v>0</v>
      </c>
      <c r="CP57" s="1603">
        <v>0</v>
      </c>
      <c r="CQ57" s="1603">
        <v>0</v>
      </c>
      <c r="CR57" s="1603">
        <v>0</v>
      </c>
      <c r="CS57" s="1603">
        <v>0</v>
      </c>
      <c r="CT57" s="1603">
        <v>0</v>
      </c>
      <c r="CU57" s="1603">
        <v>0</v>
      </c>
      <c r="CV57" s="1603">
        <v>0</v>
      </c>
      <c r="CW57" s="1603">
        <v>0</v>
      </c>
      <c r="CX57" s="1603">
        <v>0</v>
      </c>
      <c r="CY57" s="1603">
        <v>0</v>
      </c>
      <c r="CZ57" s="1603">
        <v>0</v>
      </c>
      <c r="DA57" s="1603">
        <v>0</v>
      </c>
      <c r="DB57" s="1603">
        <v>0</v>
      </c>
      <c r="DC57" s="1603">
        <v>0</v>
      </c>
      <c r="DD57" s="1603">
        <v>0</v>
      </c>
      <c r="DE57" s="1603">
        <v>0</v>
      </c>
      <c r="DF57" s="1603">
        <v>0</v>
      </c>
      <c r="DG57" s="1603">
        <v>0</v>
      </c>
      <c r="DH57" s="1603">
        <v>0</v>
      </c>
      <c r="DI57" s="1603">
        <v>0</v>
      </c>
      <c r="DJ57" s="1603">
        <v>0</v>
      </c>
      <c r="DK57" s="1603">
        <v>9100</v>
      </c>
      <c r="DL57" s="1603">
        <v>0</v>
      </c>
      <c r="DM57" s="1603">
        <v>0</v>
      </c>
      <c r="DN57" s="1603">
        <v>0</v>
      </c>
      <c r="DO57" s="1603">
        <v>0</v>
      </c>
      <c r="DP57" s="1603">
        <v>0</v>
      </c>
      <c r="DQ57" s="1603">
        <v>0</v>
      </c>
      <c r="DR57" s="1603">
        <v>0</v>
      </c>
      <c r="DS57" s="1603">
        <v>0</v>
      </c>
      <c r="DT57" s="1603">
        <v>0</v>
      </c>
      <c r="DU57" s="1603">
        <v>0</v>
      </c>
      <c r="DV57" s="1603">
        <v>0</v>
      </c>
      <c r="DW57" s="1618" t="s">
        <v>986</v>
      </c>
      <c r="DX57" s="1605" t="s">
        <v>986</v>
      </c>
      <c r="DY57" s="1605" t="s">
        <v>986</v>
      </c>
      <c r="DZ57" s="1605" t="s">
        <v>986</v>
      </c>
      <c r="EA57" s="1605" t="s">
        <v>986</v>
      </c>
      <c r="EB57" s="1605" t="s">
        <v>986</v>
      </c>
      <c r="EC57" s="1605" t="s">
        <v>986</v>
      </c>
      <c r="ED57" s="1605" t="s">
        <v>986</v>
      </c>
      <c r="EE57" s="1605" t="s">
        <v>986</v>
      </c>
      <c r="EF57" s="1605" t="s">
        <v>986</v>
      </c>
      <c r="EG57" s="1605" t="s">
        <v>986</v>
      </c>
      <c r="EH57" s="1605" t="s">
        <v>986</v>
      </c>
      <c r="EI57" s="1605" t="s">
        <v>986</v>
      </c>
      <c r="EJ57" s="1605" t="s">
        <v>986</v>
      </c>
      <c r="EK57" s="1605" t="s">
        <v>986</v>
      </c>
      <c r="EL57" s="1605" t="s">
        <v>986</v>
      </c>
      <c r="EM57" s="1605" t="s">
        <v>986</v>
      </c>
      <c r="EN57" s="1605" t="s">
        <v>986</v>
      </c>
      <c r="EO57" s="1605" t="s">
        <v>986</v>
      </c>
      <c r="EP57" s="1605" t="s">
        <v>986</v>
      </c>
      <c r="EQ57" s="1605" t="s">
        <v>986</v>
      </c>
      <c r="ER57" s="1605" t="s">
        <v>986</v>
      </c>
      <c r="ES57" s="1605" t="s">
        <v>986</v>
      </c>
      <c r="ET57" s="1605" t="s">
        <v>986</v>
      </c>
      <c r="EU57" s="1605" t="s">
        <v>986</v>
      </c>
      <c r="EV57" s="1605" t="s">
        <v>986</v>
      </c>
      <c r="EW57" s="1605" t="s">
        <v>986</v>
      </c>
      <c r="EX57" s="1605" t="s">
        <v>986</v>
      </c>
      <c r="EY57" s="1605" t="s">
        <v>986</v>
      </c>
      <c r="EZ57" s="1605" t="s">
        <v>986</v>
      </c>
      <c r="FA57" s="1605" t="s">
        <v>986</v>
      </c>
      <c r="FB57" s="1605" t="s">
        <v>986</v>
      </c>
      <c r="FC57" s="1605" t="s">
        <v>986</v>
      </c>
      <c r="FD57" s="1605" t="s">
        <v>986</v>
      </c>
      <c r="FE57" s="1605" t="s">
        <v>986</v>
      </c>
      <c r="FF57" s="1605" t="s">
        <v>986</v>
      </c>
      <c r="FG57" s="1605" t="s">
        <v>986</v>
      </c>
      <c r="FH57" s="1605" t="s">
        <v>986</v>
      </c>
      <c r="FI57" s="1605" t="s">
        <v>986</v>
      </c>
      <c r="FJ57" s="1605" t="s">
        <v>986</v>
      </c>
      <c r="FK57" s="1605" t="s">
        <v>986</v>
      </c>
      <c r="FL57" s="1605" t="s">
        <v>986</v>
      </c>
      <c r="FM57" s="1605" t="s">
        <v>986</v>
      </c>
      <c r="FN57" s="1605" t="s">
        <v>986</v>
      </c>
      <c r="FO57" s="1605" t="s">
        <v>986</v>
      </c>
      <c r="FP57" s="1605" t="s">
        <v>986</v>
      </c>
      <c r="FQ57" s="1605" t="s">
        <v>986</v>
      </c>
      <c r="FR57" s="1605" t="s">
        <v>986</v>
      </c>
      <c r="FS57" s="1605" t="s">
        <v>986</v>
      </c>
      <c r="FT57" s="1605" t="s">
        <v>986</v>
      </c>
      <c r="FU57" s="1605" t="s">
        <v>986</v>
      </c>
      <c r="FV57" s="1605" t="s">
        <v>986</v>
      </c>
      <c r="FW57" s="1605" t="s">
        <v>986</v>
      </c>
      <c r="FX57" s="1605" t="s">
        <v>986</v>
      </c>
      <c r="FY57" s="1605" t="s">
        <v>986</v>
      </c>
      <c r="FZ57" s="1605" t="s">
        <v>986</v>
      </c>
      <c r="GA57" s="1605" t="s">
        <v>986</v>
      </c>
      <c r="GB57" s="1605" t="s">
        <v>986</v>
      </c>
      <c r="GC57" s="1605" t="s">
        <v>986</v>
      </c>
      <c r="GD57" s="1605" t="s">
        <v>986</v>
      </c>
      <c r="GE57" s="1605" t="s">
        <v>986</v>
      </c>
      <c r="GF57" s="1605" t="s">
        <v>986</v>
      </c>
      <c r="GG57" s="1605" t="s">
        <v>986</v>
      </c>
      <c r="GH57" s="1605" t="s">
        <v>986</v>
      </c>
      <c r="GI57" s="1605" t="s">
        <v>986</v>
      </c>
      <c r="GJ57" s="1605" t="s">
        <v>986</v>
      </c>
      <c r="GK57" s="1605" t="s">
        <v>986</v>
      </c>
      <c r="GL57" s="1605" t="s">
        <v>986</v>
      </c>
      <c r="GM57" s="1605" t="s">
        <v>986</v>
      </c>
      <c r="GN57" s="1605" t="s">
        <v>986</v>
      </c>
      <c r="GO57" s="1605" t="s">
        <v>986</v>
      </c>
      <c r="GP57" s="1605" t="s">
        <v>986</v>
      </c>
      <c r="GQ57" s="1605" t="s">
        <v>986</v>
      </c>
      <c r="GR57" s="1605" t="s">
        <v>986</v>
      </c>
      <c r="GS57" s="1605" t="s">
        <v>986</v>
      </c>
      <c r="GT57" s="1605" t="s">
        <v>986</v>
      </c>
      <c r="GU57" s="1605" t="s">
        <v>986</v>
      </c>
      <c r="GV57" s="1605" t="s">
        <v>986</v>
      </c>
      <c r="GW57" s="1605" t="s">
        <v>986</v>
      </c>
      <c r="GX57" s="1605" t="s">
        <v>986</v>
      </c>
      <c r="GY57" s="1605" t="s">
        <v>986</v>
      </c>
      <c r="GZ57" s="1605" t="s">
        <v>986</v>
      </c>
      <c r="HA57" s="1605" t="s">
        <v>986</v>
      </c>
      <c r="HB57" s="1605" t="s">
        <v>986</v>
      </c>
      <c r="HC57" s="1605" t="s">
        <v>986</v>
      </c>
      <c r="HD57" s="1605" t="s">
        <v>986</v>
      </c>
      <c r="HE57" s="1605" t="s">
        <v>986</v>
      </c>
      <c r="HF57" s="1605" t="s">
        <v>986</v>
      </c>
      <c r="HG57" s="1605" t="s">
        <v>986</v>
      </c>
      <c r="HH57" s="1605" t="s">
        <v>986</v>
      </c>
      <c r="HI57" s="1605" t="s">
        <v>986</v>
      </c>
      <c r="HJ57" s="1605" t="s">
        <v>986</v>
      </c>
      <c r="HK57" s="1605" t="s">
        <v>986</v>
      </c>
      <c r="HL57" s="1605" t="s">
        <v>986</v>
      </c>
      <c r="HM57" s="1605" t="s">
        <v>986</v>
      </c>
      <c r="HN57" s="1605" t="s">
        <v>986</v>
      </c>
      <c r="HO57" s="1605" t="s">
        <v>986</v>
      </c>
      <c r="HP57" s="1605" t="s">
        <v>986</v>
      </c>
      <c r="HQ57" s="1605" t="s">
        <v>986</v>
      </c>
      <c r="HR57" s="1605" t="s">
        <v>986</v>
      </c>
      <c r="HS57" s="1605" t="s">
        <v>986</v>
      </c>
      <c r="HT57" s="1605" t="s">
        <v>986</v>
      </c>
      <c r="HU57" s="1605" t="s">
        <v>986</v>
      </c>
      <c r="HV57" s="1617"/>
      <c r="HW57" s="1617">
        <v>0</v>
      </c>
      <c r="HX57" s="1617">
        <v>0</v>
      </c>
      <c r="HY57" s="1617">
        <v>0</v>
      </c>
      <c r="HZ57" s="1603"/>
      <c r="IA57" s="1603"/>
      <c r="IB57" s="1603"/>
      <c r="IC57" s="1603">
        <v>0</v>
      </c>
      <c r="ID57" s="1603">
        <v>0</v>
      </c>
      <c r="IE57" s="1603">
        <v>0</v>
      </c>
      <c r="IF57" s="1603">
        <v>0</v>
      </c>
      <c r="IG57" s="1611" t="s">
        <v>2932</v>
      </c>
      <c r="IH57" s="1616" t="s">
        <v>3656</v>
      </c>
      <c r="II57" s="1615" t="s">
        <v>3655</v>
      </c>
      <c r="IJ57" s="1613">
        <v>1.3101818181818183</v>
      </c>
      <c r="IK57" s="1613">
        <v>1.301848484848485</v>
      </c>
      <c r="IL57" s="1614">
        <v>1.3101818181818183</v>
      </c>
      <c r="IM57" s="1614">
        <v>1.301848484848485</v>
      </c>
      <c r="IN57" s="1612">
        <v>0.4</v>
      </c>
      <c r="IO57" s="1613">
        <v>-0.91018181818181831</v>
      </c>
      <c r="IP57" s="1607" t="s">
        <v>270</v>
      </c>
      <c r="IQ57" s="1612">
        <v>0</v>
      </c>
      <c r="IR57" s="1612">
        <v>0</v>
      </c>
      <c r="IS57" s="1607">
        <v>1.1881818181818182</v>
      </c>
      <c r="IT57" s="1607">
        <v>1.1798484848484849</v>
      </c>
      <c r="IU57" s="1611">
        <v>0</v>
      </c>
      <c r="IV57" s="1611">
        <v>7.7767676767676763E-2</v>
      </c>
      <c r="IW57" s="1611">
        <v>9.0909090909090909E-4</v>
      </c>
      <c r="IX57" s="1611">
        <v>1.6060606060606061E-3</v>
      </c>
      <c r="IY57" s="1611">
        <v>9.6969696969696957E-4</v>
      </c>
      <c r="IZ57" s="1611">
        <v>5.9898989898989896E-3</v>
      </c>
      <c r="JA57" s="1611">
        <v>6.0606060606060598E-5</v>
      </c>
      <c r="JB57" s="1611" t="s">
        <v>270</v>
      </c>
      <c r="JC57" s="1611">
        <v>9.9026969696969704</v>
      </c>
      <c r="JD57" s="1611">
        <v>5.2121212121212122E-3</v>
      </c>
      <c r="JE57" s="1611" t="s">
        <v>270</v>
      </c>
      <c r="JF57" s="1611">
        <v>8.2828282828282835E-4</v>
      </c>
      <c r="JG57" s="1611">
        <v>0.57978787878787885</v>
      </c>
      <c r="JH57" s="1611">
        <v>7.646464646464647E-3</v>
      </c>
      <c r="JI57" s="1611">
        <v>0.3</v>
      </c>
      <c r="JJ57" s="1611" t="s">
        <v>270</v>
      </c>
      <c r="JK57" s="1607">
        <f t="shared" si="9"/>
        <v>0.12200000000000011</v>
      </c>
      <c r="JL57" s="1608" t="s">
        <v>270</v>
      </c>
      <c r="JM57" s="1610" t="s">
        <v>2924</v>
      </c>
      <c r="JN57" s="1608">
        <v>8.3333333333333037E-3</v>
      </c>
      <c r="JO57" s="1609" t="s">
        <v>2931</v>
      </c>
      <c r="JP57" s="1608" t="s">
        <v>270</v>
      </c>
      <c r="JQ57" s="1607">
        <v>202103</v>
      </c>
      <c r="JR57" s="1606">
        <v>851</v>
      </c>
      <c r="JS57" s="1606">
        <v>774</v>
      </c>
      <c r="JT57" s="1606">
        <v>774</v>
      </c>
    </row>
    <row r="58" spans="1:280" ht="15" customHeight="1" x14ac:dyDescent="0.2">
      <c r="A58" s="1626">
        <v>39013</v>
      </c>
      <c r="B58" s="1625">
        <v>390</v>
      </c>
      <c r="C58" s="1624">
        <v>13</v>
      </c>
      <c r="D58" s="1623" t="s">
        <v>3657</v>
      </c>
      <c r="E58" s="1622">
        <v>43039</v>
      </c>
      <c r="F58" s="1620">
        <v>0.39516743128145598</v>
      </c>
      <c r="G58" s="1620">
        <v>0.40159457291280098</v>
      </c>
      <c r="H58" s="1621">
        <v>61.7</v>
      </c>
      <c r="I58" s="1621">
        <v>70</v>
      </c>
      <c r="J58" s="1621">
        <v>30</v>
      </c>
      <c r="K58" s="1620">
        <v>1</v>
      </c>
      <c r="L58" s="1620">
        <v>97.4</v>
      </c>
      <c r="M58" s="1620">
        <v>1</v>
      </c>
      <c r="N58" s="1620">
        <v>0.8</v>
      </c>
      <c r="O58" s="1620">
        <v>51.5</v>
      </c>
      <c r="P58" s="1620">
        <v>17.100000000000001</v>
      </c>
      <c r="Q58" s="1603"/>
      <c r="R58" s="1620">
        <v>0</v>
      </c>
      <c r="S58" s="1620">
        <v>0</v>
      </c>
      <c r="T58" s="1620">
        <v>0</v>
      </c>
      <c r="U58" s="1620">
        <v>0</v>
      </c>
      <c r="V58" s="1620">
        <v>0</v>
      </c>
      <c r="W58" s="1620">
        <v>0</v>
      </c>
      <c r="X58" s="1620"/>
      <c r="Y58" s="1620">
        <v>0</v>
      </c>
      <c r="Z58" s="1620">
        <v>0</v>
      </c>
      <c r="AA58" s="1620">
        <v>0</v>
      </c>
      <c r="AB58" s="1620">
        <v>0</v>
      </c>
      <c r="AC58" s="1620">
        <v>0</v>
      </c>
      <c r="AD58" s="1620">
        <v>0</v>
      </c>
      <c r="AE58" s="1620">
        <v>0</v>
      </c>
      <c r="AF58" s="1620">
        <v>0</v>
      </c>
      <c r="AG58" s="1620">
        <v>0</v>
      </c>
      <c r="AH58" s="1620">
        <v>0</v>
      </c>
      <c r="AI58" s="1620">
        <v>0</v>
      </c>
      <c r="AJ58" s="1620">
        <v>0</v>
      </c>
      <c r="AK58" s="1620">
        <v>0</v>
      </c>
      <c r="AL58" s="1620"/>
      <c r="AM58" s="1620">
        <v>0</v>
      </c>
      <c r="AN58" s="1620">
        <v>0</v>
      </c>
      <c r="AO58" s="1620">
        <v>0</v>
      </c>
      <c r="AP58" s="1620">
        <v>0</v>
      </c>
      <c r="AQ58" s="1620">
        <v>0</v>
      </c>
      <c r="AR58" s="1620">
        <v>0</v>
      </c>
      <c r="AS58" s="1620">
        <v>0</v>
      </c>
      <c r="AT58" s="1620">
        <v>0</v>
      </c>
      <c r="AU58" s="1620">
        <v>0</v>
      </c>
      <c r="AV58" s="1620">
        <v>0</v>
      </c>
      <c r="AW58" s="1620">
        <v>0</v>
      </c>
      <c r="AX58" s="1620"/>
      <c r="AY58" s="1620">
        <v>1</v>
      </c>
      <c r="AZ58" s="1620">
        <v>1</v>
      </c>
      <c r="BA58" s="1620">
        <v>1</v>
      </c>
      <c r="BB58" s="1620">
        <v>1</v>
      </c>
      <c r="BC58" s="1620">
        <v>1</v>
      </c>
      <c r="BD58" s="1620">
        <v>1</v>
      </c>
      <c r="BE58" s="1620">
        <v>1</v>
      </c>
      <c r="BF58" s="1620">
        <v>1</v>
      </c>
      <c r="BG58" s="1620">
        <v>1</v>
      </c>
      <c r="BH58" s="1620">
        <v>1</v>
      </c>
      <c r="BI58" s="1620">
        <v>1</v>
      </c>
      <c r="BJ58" s="1603"/>
      <c r="BK58" s="1620">
        <v>1.0266940451745379</v>
      </c>
      <c r="BL58" s="1620">
        <v>0.82135523613963035</v>
      </c>
      <c r="BM58" s="1620">
        <v>52.874743326488705</v>
      </c>
      <c r="BN58" s="1620">
        <v>17.5564681724846</v>
      </c>
      <c r="BO58" s="1620"/>
      <c r="BP58" s="1620">
        <v>59</v>
      </c>
      <c r="BQ58" s="1620">
        <v>4.8459958932238187</v>
      </c>
      <c r="BR58" s="1620">
        <v>0.40571604854358928</v>
      </c>
      <c r="BS58" s="1620">
        <v>0.41231475658398453</v>
      </c>
      <c r="BT58" s="1603"/>
      <c r="BU58" s="1620">
        <v>471.25256673511291</v>
      </c>
      <c r="BV58" s="1620">
        <v>329.3298621296571</v>
      </c>
      <c r="BW58" s="1620">
        <v>-55.877090055734811</v>
      </c>
      <c r="BX58" s="1620">
        <v>0</v>
      </c>
      <c r="BY58" s="1620">
        <v>0</v>
      </c>
      <c r="BZ58" s="1620" t="s">
        <v>270</v>
      </c>
      <c r="CA58" s="1620" t="s">
        <v>270</v>
      </c>
      <c r="CB58" s="1603"/>
      <c r="CC58" s="1603">
        <v>0</v>
      </c>
      <c r="CD58" s="1603">
        <v>0</v>
      </c>
      <c r="CE58" s="1603">
        <v>0</v>
      </c>
      <c r="CF58" s="1603">
        <v>0</v>
      </c>
      <c r="CG58" s="1603">
        <v>0</v>
      </c>
      <c r="CH58" s="1603">
        <v>0</v>
      </c>
      <c r="CI58" s="1603">
        <v>0</v>
      </c>
      <c r="CJ58" s="1603"/>
      <c r="CK58" s="1603">
        <v>0</v>
      </c>
      <c r="CL58" s="1603">
        <v>0</v>
      </c>
      <c r="CM58" s="1603">
        <v>0</v>
      </c>
      <c r="CN58" s="1603">
        <v>0</v>
      </c>
      <c r="CO58" s="1603">
        <v>0</v>
      </c>
      <c r="CP58" s="1603">
        <v>0</v>
      </c>
      <c r="CQ58" s="1603">
        <v>0</v>
      </c>
      <c r="CR58" s="1603">
        <v>0</v>
      </c>
      <c r="CS58" s="1603">
        <v>0</v>
      </c>
      <c r="CT58" s="1603">
        <v>0</v>
      </c>
      <c r="CU58" s="1603">
        <v>0</v>
      </c>
      <c r="CV58" s="1603">
        <v>0</v>
      </c>
      <c r="CW58" s="1603">
        <v>0</v>
      </c>
      <c r="CX58" s="1603">
        <v>0</v>
      </c>
      <c r="CY58" s="1603">
        <v>0</v>
      </c>
      <c r="CZ58" s="1603">
        <v>0</v>
      </c>
      <c r="DA58" s="1603">
        <v>0</v>
      </c>
      <c r="DB58" s="1603">
        <v>0</v>
      </c>
      <c r="DC58" s="1603">
        <v>0</v>
      </c>
      <c r="DD58" s="1603">
        <v>0</v>
      </c>
      <c r="DE58" s="1603">
        <v>0</v>
      </c>
      <c r="DF58" s="1603">
        <v>0</v>
      </c>
      <c r="DG58" s="1603">
        <v>0</v>
      </c>
      <c r="DH58" s="1603">
        <v>0</v>
      </c>
      <c r="DI58" s="1603">
        <v>0</v>
      </c>
      <c r="DJ58" s="1603">
        <v>0</v>
      </c>
      <c r="DK58" s="1603">
        <v>22750</v>
      </c>
      <c r="DL58" s="1603">
        <v>0</v>
      </c>
      <c r="DM58" s="1603">
        <v>0</v>
      </c>
      <c r="DN58" s="1603">
        <v>0</v>
      </c>
      <c r="DO58" s="1603">
        <v>0</v>
      </c>
      <c r="DP58" s="1603">
        <v>0</v>
      </c>
      <c r="DQ58" s="1603">
        <v>0</v>
      </c>
      <c r="DR58" s="1603">
        <v>0</v>
      </c>
      <c r="DS58" s="1603">
        <v>0</v>
      </c>
      <c r="DT58" s="1603">
        <v>0</v>
      </c>
      <c r="DU58" s="1603">
        <v>0</v>
      </c>
      <c r="DV58" s="1603">
        <v>0</v>
      </c>
      <c r="DW58" s="1618" t="s">
        <v>986</v>
      </c>
      <c r="DX58" s="1605" t="s">
        <v>986</v>
      </c>
      <c r="DY58" s="1605" t="s">
        <v>986</v>
      </c>
      <c r="DZ58" s="1605" t="s">
        <v>986</v>
      </c>
      <c r="EA58" s="1605" t="s">
        <v>986</v>
      </c>
      <c r="EB58" s="1605" t="s">
        <v>986</v>
      </c>
      <c r="EC58" s="1605" t="s">
        <v>986</v>
      </c>
      <c r="ED58" s="1605" t="s">
        <v>986</v>
      </c>
      <c r="EE58" s="1605" t="s">
        <v>986</v>
      </c>
      <c r="EF58" s="1605" t="s">
        <v>986</v>
      </c>
      <c r="EG58" s="1605" t="s">
        <v>986</v>
      </c>
      <c r="EH58" s="1605" t="s">
        <v>986</v>
      </c>
      <c r="EI58" s="1605" t="s">
        <v>986</v>
      </c>
      <c r="EJ58" s="1605" t="s">
        <v>986</v>
      </c>
      <c r="EK58" s="1605" t="s">
        <v>986</v>
      </c>
      <c r="EL58" s="1605" t="s">
        <v>986</v>
      </c>
      <c r="EM58" s="1605" t="s">
        <v>986</v>
      </c>
      <c r="EN58" s="1605" t="s">
        <v>986</v>
      </c>
      <c r="EO58" s="1605" t="s">
        <v>986</v>
      </c>
      <c r="EP58" s="1605" t="s">
        <v>986</v>
      </c>
      <c r="EQ58" s="1605" t="s">
        <v>986</v>
      </c>
      <c r="ER58" s="1605" t="s">
        <v>986</v>
      </c>
      <c r="ES58" s="1605" t="s">
        <v>986</v>
      </c>
      <c r="ET58" s="1605" t="s">
        <v>986</v>
      </c>
      <c r="EU58" s="1605" t="s">
        <v>986</v>
      </c>
      <c r="EV58" s="1605" t="s">
        <v>986</v>
      </c>
      <c r="EW58" s="1605" t="s">
        <v>986</v>
      </c>
      <c r="EX58" s="1605" t="s">
        <v>986</v>
      </c>
      <c r="EY58" s="1605" t="s">
        <v>986</v>
      </c>
      <c r="EZ58" s="1605" t="s">
        <v>986</v>
      </c>
      <c r="FA58" s="1605" t="s">
        <v>986</v>
      </c>
      <c r="FB58" s="1605" t="s">
        <v>986</v>
      </c>
      <c r="FC58" s="1605" t="s">
        <v>986</v>
      </c>
      <c r="FD58" s="1605" t="s">
        <v>986</v>
      </c>
      <c r="FE58" s="1605" t="s">
        <v>986</v>
      </c>
      <c r="FF58" s="1605" t="s">
        <v>986</v>
      </c>
      <c r="FG58" s="1605" t="s">
        <v>986</v>
      </c>
      <c r="FH58" s="1605" t="s">
        <v>986</v>
      </c>
      <c r="FI58" s="1605" t="s">
        <v>986</v>
      </c>
      <c r="FJ58" s="1605" t="s">
        <v>986</v>
      </c>
      <c r="FK58" s="1605" t="s">
        <v>986</v>
      </c>
      <c r="FL58" s="1605" t="s">
        <v>986</v>
      </c>
      <c r="FM58" s="1605" t="s">
        <v>986</v>
      </c>
      <c r="FN58" s="1605" t="s">
        <v>986</v>
      </c>
      <c r="FO58" s="1605" t="s">
        <v>986</v>
      </c>
      <c r="FP58" s="1605" t="s">
        <v>986</v>
      </c>
      <c r="FQ58" s="1605" t="s">
        <v>986</v>
      </c>
      <c r="FR58" s="1605" t="s">
        <v>986</v>
      </c>
      <c r="FS58" s="1605" t="s">
        <v>986</v>
      </c>
      <c r="FT58" s="1605" t="s">
        <v>986</v>
      </c>
      <c r="FU58" s="1605" t="s">
        <v>986</v>
      </c>
      <c r="FV58" s="1605" t="s">
        <v>986</v>
      </c>
      <c r="FW58" s="1605" t="s">
        <v>986</v>
      </c>
      <c r="FX58" s="1605" t="s">
        <v>986</v>
      </c>
      <c r="FY58" s="1605" t="s">
        <v>986</v>
      </c>
      <c r="FZ58" s="1605" t="s">
        <v>986</v>
      </c>
      <c r="GA58" s="1605" t="s">
        <v>986</v>
      </c>
      <c r="GB58" s="1605" t="s">
        <v>986</v>
      </c>
      <c r="GC58" s="1605" t="s">
        <v>986</v>
      </c>
      <c r="GD58" s="1605" t="s">
        <v>986</v>
      </c>
      <c r="GE58" s="1605" t="s">
        <v>986</v>
      </c>
      <c r="GF58" s="1605" t="s">
        <v>986</v>
      </c>
      <c r="GG58" s="1605" t="s">
        <v>986</v>
      </c>
      <c r="GH58" s="1605" t="s">
        <v>986</v>
      </c>
      <c r="GI58" s="1605" t="s">
        <v>986</v>
      </c>
      <c r="GJ58" s="1605" t="s">
        <v>986</v>
      </c>
      <c r="GK58" s="1605" t="s">
        <v>986</v>
      </c>
      <c r="GL58" s="1605" t="s">
        <v>986</v>
      </c>
      <c r="GM58" s="1605" t="s">
        <v>986</v>
      </c>
      <c r="GN58" s="1605" t="s">
        <v>986</v>
      </c>
      <c r="GO58" s="1605" t="s">
        <v>986</v>
      </c>
      <c r="GP58" s="1605" t="s">
        <v>986</v>
      </c>
      <c r="GQ58" s="1605" t="s">
        <v>986</v>
      </c>
      <c r="GR58" s="1605" t="s">
        <v>986</v>
      </c>
      <c r="GS58" s="1605" t="s">
        <v>986</v>
      </c>
      <c r="GT58" s="1605" t="s">
        <v>986</v>
      </c>
      <c r="GU58" s="1605" t="s">
        <v>986</v>
      </c>
      <c r="GV58" s="1605" t="s">
        <v>986</v>
      </c>
      <c r="GW58" s="1605" t="s">
        <v>986</v>
      </c>
      <c r="GX58" s="1605" t="s">
        <v>986</v>
      </c>
      <c r="GY58" s="1605" t="s">
        <v>986</v>
      </c>
      <c r="GZ58" s="1605" t="s">
        <v>986</v>
      </c>
      <c r="HA58" s="1605" t="s">
        <v>986</v>
      </c>
      <c r="HB58" s="1605" t="s">
        <v>986</v>
      </c>
      <c r="HC58" s="1605" t="s">
        <v>986</v>
      </c>
      <c r="HD58" s="1605" t="s">
        <v>986</v>
      </c>
      <c r="HE58" s="1605" t="s">
        <v>986</v>
      </c>
      <c r="HF58" s="1605" t="s">
        <v>986</v>
      </c>
      <c r="HG58" s="1605" t="s">
        <v>986</v>
      </c>
      <c r="HH58" s="1605" t="s">
        <v>986</v>
      </c>
      <c r="HI58" s="1605" t="s">
        <v>986</v>
      </c>
      <c r="HJ58" s="1605" t="s">
        <v>986</v>
      </c>
      <c r="HK58" s="1605" t="s">
        <v>986</v>
      </c>
      <c r="HL58" s="1605" t="s">
        <v>986</v>
      </c>
      <c r="HM58" s="1605" t="s">
        <v>986</v>
      </c>
      <c r="HN58" s="1605" t="s">
        <v>986</v>
      </c>
      <c r="HO58" s="1605" t="s">
        <v>986</v>
      </c>
      <c r="HP58" s="1605" t="s">
        <v>986</v>
      </c>
      <c r="HQ58" s="1605" t="s">
        <v>986</v>
      </c>
      <c r="HR58" s="1605" t="s">
        <v>986</v>
      </c>
      <c r="HS58" s="1605" t="s">
        <v>986</v>
      </c>
      <c r="HT58" s="1605" t="s">
        <v>986</v>
      </c>
      <c r="HU58" s="1605" t="s">
        <v>986</v>
      </c>
      <c r="HV58" s="1617"/>
      <c r="HW58" s="1617">
        <v>0</v>
      </c>
      <c r="HX58" s="1617">
        <v>0</v>
      </c>
      <c r="HY58" s="1617">
        <v>0</v>
      </c>
      <c r="HZ58" s="1603"/>
      <c r="IA58" s="1603"/>
      <c r="IB58" s="1603"/>
      <c r="IC58" s="1603">
        <v>0</v>
      </c>
      <c r="ID58" s="1603">
        <v>0</v>
      </c>
      <c r="IE58" s="1603">
        <v>0</v>
      </c>
      <c r="IF58" s="1603">
        <v>0</v>
      </c>
      <c r="IG58" s="1611" t="s">
        <v>2932</v>
      </c>
      <c r="IH58" s="1616" t="s">
        <v>3656</v>
      </c>
      <c r="II58" s="1615" t="s">
        <v>3655</v>
      </c>
      <c r="IJ58" s="1613">
        <v>1.3101818181818183</v>
      </c>
      <c r="IK58" s="1613">
        <v>1.301848484848485</v>
      </c>
      <c r="IL58" s="1614">
        <v>1.3101818181818183</v>
      </c>
      <c r="IM58" s="1614">
        <v>1.301848484848485</v>
      </c>
      <c r="IN58" s="1612">
        <v>0.4</v>
      </c>
      <c r="IO58" s="1613">
        <v>-0.91018181818181831</v>
      </c>
      <c r="IP58" s="1607" t="s">
        <v>270</v>
      </c>
      <c r="IQ58" s="1612">
        <v>0</v>
      </c>
      <c r="IR58" s="1612">
        <v>0</v>
      </c>
      <c r="IS58" s="1607">
        <v>1.1881818181818182</v>
      </c>
      <c r="IT58" s="1607">
        <v>1.1798484848484849</v>
      </c>
      <c r="IU58" s="1611">
        <v>0</v>
      </c>
      <c r="IV58" s="1611">
        <v>7.7767676767676763E-2</v>
      </c>
      <c r="IW58" s="1611">
        <v>9.0909090909090909E-4</v>
      </c>
      <c r="IX58" s="1611">
        <v>1.6060606060606061E-3</v>
      </c>
      <c r="IY58" s="1611">
        <v>9.6969696969696957E-4</v>
      </c>
      <c r="IZ58" s="1611">
        <v>5.9898989898989896E-3</v>
      </c>
      <c r="JA58" s="1611">
        <v>6.0606060606060598E-5</v>
      </c>
      <c r="JB58" s="1611" t="s">
        <v>270</v>
      </c>
      <c r="JC58" s="1611">
        <v>9.9026969696969704</v>
      </c>
      <c r="JD58" s="1611">
        <v>5.2121212121212122E-3</v>
      </c>
      <c r="JE58" s="1611" t="s">
        <v>270</v>
      </c>
      <c r="JF58" s="1611">
        <v>8.2828282828282835E-4</v>
      </c>
      <c r="JG58" s="1611">
        <v>0.57978787878787885</v>
      </c>
      <c r="JH58" s="1611">
        <v>7.646464646464647E-3</v>
      </c>
      <c r="JI58" s="1611">
        <v>0.3</v>
      </c>
      <c r="JJ58" s="1611" t="s">
        <v>270</v>
      </c>
      <c r="JK58" s="1607">
        <f t="shared" si="9"/>
        <v>0.12200000000000011</v>
      </c>
      <c r="JL58" s="1608" t="s">
        <v>270</v>
      </c>
      <c r="JM58" s="1610" t="s">
        <v>2924</v>
      </c>
      <c r="JN58" s="1608">
        <v>8.3333333333333037E-3</v>
      </c>
      <c r="JO58" s="1609" t="s">
        <v>2931</v>
      </c>
      <c r="JP58" s="1608" t="s">
        <v>270</v>
      </c>
      <c r="JQ58" s="1607">
        <v>202103</v>
      </c>
      <c r="JR58" s="1606">
        <v>851</v>
      </c>
      <c r="JS58" s="1606">
        <v>774</v>
      </c>
      <c r="JT58" s="1606">
        <v>774</v>
      </c>
    </row>
    <row r="59" spans="1:280" ht="15" customHeight="1" x14ac:dyDescent="0.2">
      <c r="A59" s="1626">
        <v>62600</v>
      </c>
      <c r="B59" s="1625">
        <v>626</v>
      </c>
      <c r="C59" s="1624">
        <v>0</v>
      </c>
      <c r="D59" s="1623" t="s">
        <v>3654</v>
      </c>
      <c r="E59" s="1622">
        <v>43605</v>
      </c>
      <c r="F59" s="1620">
        <v>1.31632186786682</v>
      </c>
      <c r="G59" s="1620">
        <v>1.3561100727673501</v>
      </c>
      <c r="H59" s="1621">
        <v>74.400000000000006</v>
      </c>
      <c r="I59" s="1621">
        <v>59.799967199999998</v>
      </c>
      <c r="J59" s="1621">
        <v>90.370924500562197</v>
      </c>
      <c r="K59" s="1620">
        <v>1</v>
      </c>
      <c r="L59" s="1620">
        <v>91.3</v>
      </c>
      <c r="M59" s="1620">
        <v>17.8035</v>
      </c>
      <c r="N59" s="1620">
        <v>26.020499999999998</v>
      </c>
      <c r="O59" s="1620">
        <v>3.8346</v>
      </c>
      <c r="P59" s="1620">
        <v>8.2170000000000005</v>
      </c>
      <c r="Q59" s="1603"/>
      <c r="R59" s="1620">
        <v>71.8</v>
      </c>
      <c r="S59" s="1620">
        <v>15.7392988814597</v>
      </c>
      <c r="T59" s="1620">
        <v>23.7195099089652</v>
      </c>
      <c r="U59" s="1620">
        <v>26.911594319967399</v>
      </c>
      <c r="V59" s="1620">
        <v>29.7844702898694</v>
      </c>
      <c r="W59" s="1620">
        <v>31.699720936470701</v>
      </c>
      <c r="X59" s="1620"/>
      <c r="Y59" s="1620">
        <v>1.7600000000000002</v>
      </c>
      <c r="Z59" s="1620">
        <v>6.83</v>
      </c>
      <c r="AA59" s="1620">
        <v>0.29000000000000004</v>
      </c>
      <c r="AB59" s="1620">
        <v>0.5</v>
      </c>
      <c r="AC59" s="1620">
        <v>9.8000000000000007</v>
      </c>
      <c r="AD59" s="1620">
        <v>3.4000000000000004</v>
      </c>
      <c r="AE59" s="1620">
        <v>2.0499999999999998</v>
      </c>
      <c r="AF59" s="1620">
        <v>138</v>
      </c>
      <c r="AG59" s="1620">
        <v>12</v>
      </c>
      <c r="AH59" s="1620">
        <v>56.999999999999993</v>
      </c>
      <c r="AI59" s="1620">
        <v>64</v>
      </c>
      <c r="AJ59" s="1620">
        <v>0</v>
      </c>
      <c r="AK59" s="1620">
        <v>0.24929590272545343</v>
      </c>
      <c r="AL59" s="1620"/>
      <c r="AM59" s="1620">
        <v>3.83589743589744</v>
      </c>
      <c r="AN59" s="1620">
        <v>1.7589743589743601</v>
      </c>
      <c r="AO59" s="1620">
        <v>1.7692307692307701</v>
      </c>
      <c r="AP59" s="1620">
        <v>3.5743589743589701</v>
      </c>
      <c r="AQ59" s="1620">
        <v>1.7333333333333301</v>
      </c>
      <c r="AR59" s="1620">
        <v>3.5897435897435899</v>
      </c>
      <c r="AS59" s="1620">
        <v>5.81025641025641</v>
      </c>
      <c r="AT59" s="1620">
        <v>2.2666666666666702</v>
      </c>
      <c r="AU59" s="1620">
        <v>4.4000000000000004</v>
      </c>
      <c r="AV59" s="1620">
        <v>2.9692307692307698</v>
      </c>
      <c r="AW59" s="1620">
        <v>4.6410256410256396</v>
      </c>
      <c r="AX59" s="1620"/>
      <c r="AY59" s="1620">
        <v>1</v>
      </c>
      <c r="AZ59" s="1620">
        <v>1</v>
      </c>
      <c r="BA59" s="1620">
        <v>1</v>
      </c>
      <c r="BB59" s="1620">
        <v>1</v>
      </c>
      <c r="BC59" s="1620">
        <v>1</v>
      </c>
      <c r="BD59" s="1620">
        <v>1</v>
      </c>
      <c r="BE59" s="1620">
        <v>1</v>
      </c>
      <c r="BF59" s="1620">
        <v>1</v>
      </c>
      <c r="BG59" s="1620">
        <v>1</v>
      </c>
      <c r="BH59" s="1620">
        <v>1</v>
      </c>
      <c r="BI59" s="1620">
        <v>1</v>
      </c>
      <c r="BJ59" s="1603"/>
      <c r="BK59" s="1620">
        <v>19.5</v>
      </c>
      <c r="BL59" s="1620">
        <v>28.499999999999996</v>
      </c>
      <c r="BM59" s="1620">
        <v>4.2</v>
      </c>
      <c r="BN59" s="1620">
        <v>9</v>
      </c>
      <c r="BO59" s="1620"/>
      <c r="BP59" s="1620" t="s">
        <v>270</v>
      </c>
      <c r="BQ59" s="1620" t="s">
        <v>270</v>
      </c>
      <c r="BR59" s="1620">
        <v>1.4417545102593867</v>
      </c>
      <c r="BS59" s="1620">
        <v>1.4853341432282037</v>
      </c>
      <c r="BT59" s="1603"/>
      <c r="BU59" s="1620">
        <v>958</v>
      </c>
      <c r="BV59" s="1620">
        <v>59.040571428571411</v>
      </c>
      <c r="BW59" s="1620">
        <v>199.81187746285761</v>
      </c>
      <c r="BX59" s="1620">
        <v>73.849671334667022</v>
      </c>
      <c r="BY59" s="1620">
        <v>12.420171997193977</v>
      </c>
      <c r="BZ59" s="1620">
        <v>9.2501550826232535</v>
      </c>
      <c r="CA59" s="1620">
        <v>144.91909629443046</v>
      </c>
      <c r="CB59" s="1603"/>
      <c r="CC59" s="1603">
        <v>1.6068800000000001</v>
      </c>
      <c r="CD59" s="1603">
        <v>6.2357899999999997</v>
      </c>
      <c r="CE59" s="1603">
        <v>0.26477000000000001</v>
      </c>
      <c r="CF59" s="1603">
        <v>0.45649999999999996</v>
      </c>
      <c r="CG59" s="1603">
        <v>8.9474</v>
      </c>
      <c r="CH59" s="1603">
        <v>3.1042000000000001</v>
      </c>
      <c r="CI59" s="1603">
        <v>1.8716499999999996</v>
      </c>
      <c r="CJ59" s="1603"/>
      <c r="CK59" s="1603">
        <v>125.99399999999999</v>
      </c>
      <c r="CL59" s="1603">
        <v>10.956</v>
      </c>
      <c r="CM59" s="1603">
        <v>52.04099999999999</v>
      </c>
      <c r="CN59" s="1603">
        <v>58.431999999999995</v>
      </c>
      <c r="CO59" s="1603">
        <v>0</v>
      </c>
      <c r="CP59" s="1603">
        <v>0.22760715918833896</v>
      </c>
      <c r="CQ59" s="1603">
        <v>127.82913000000001</v>
      </c>
      <c r="CR59" s="1603">
        <v>97.110845850456712</v>
      </c>
      <c r="CS59" s="1603">
        <v>3.7250724459559805</v>
      </c>
      <c r="CT59" s="1603">
        <v>1.7081548782926488</v>
      </c>
      <c r="CU59" s="1603">
        <v>1.7181149650465419</v>
      </c>
      <c r="CV59" s="1603">
        <v>3.4262698433391905</v>
      </c>
      <c r="CW59" s="1603">
        <v>3.4710902337317093</v>
      </c>
      <c r="CX59" s="1603">
        <v>1.683254661407916</v>
      </c>
      <c r="CY59" s="1603">
        <v>3.4860303638625485</v>
      </c>
      <c r="CZ59" s="1603">
        <v>5.6423891460803812</v>
      </c>
      <c r="DA59" s="1603">
        <v>2.201179172610352</v>
      </c>
      <c r="DB59" s="1603">
        <v>4.2728772174200955</v>
      </c>
      <c r="DC59" s="1603">
        <v>2.8834451152520222</v>
      </c>
      <c r="DD59" s="1603">
        <v>7.1563223326721177</v>
      </c>
      <c r="DE59" s="1603">
        <v>4.5069392561365804</v>
      </c>
      <c r="DF59" s="1603">
        <v>0</v>
      </c>
      <c r="DG59" s="1603">
        <v>0</v>
      </c>
      <c r="DH59" s="1603">
        <v>0</v>
      </c>
      <c r="DI59" s="1603">
        <v>0</v>
      </c>
      <c r="DJ59" s="1603">
        <v>0</v>
      </c>
      <c r="DK59" s="1603">
        <v>0</v>
      </c>
      <c r="DL59" s="1603">
        <v>0</v>
      </c>
      <c r="DM59" s="1603">
        <v>0</v>
      </c>
      <c r="DN59" s="1603">
        <v>0</v>
      </c>
      <c r="DO59" s="1603">
        <v>0</v>
      </c>
      <c r="DP59" s="1603">
        <v>0</v>
      </c>
      <c r="DQ59" s="1603">
        <v>0</v>
      </c>
      <c r="DR59" s="1603">
        <v>0</v>
      </c>
      <c r="DS59" s="1603">
        <v>0</v>
      </c>
      <c r="DT59" s="1603">
        <v>0</v>
      </c>
      <c r="DU59" s="1603">
        <v>0</v>
      </c>
      <c r="DV59" s="1603">
        <v>0</v>
      </c>
      <c r="DW59" s="1618" t="s">
        <v>986</v>
      </c>
      <c r="DX59" s="1605">
        <v>5</v>
      </c>
      <c r="DY59" s="1605">
        <v>5</v>
      </c>
      <c r="DZ59" s="1605">
        <v>5</v>
      </c>
      <c r="EA59" s="1605">
        <v>5</v>
      </c>
      <c r="EB59" s="1605">
        <v>1</v>
      </c>
      <c r="EC59" s="1605">
        <v>5</v>
      </c>
      <c r="ED59" s="1605">
        <v>5</v>
      </c>
      <c r="EE59" s="1605">
        <v>5</v>
      </c>
      <c r="EF59" s="1605">
        <v>5</v>
      </c>
      <c r="EG59" s="1605">
        <v>5</v>
      </c>
      <c r="EH59" s="1605">
        <v>5</v>
      </c>
      <c r="EI59" s="1605">
        <v>5</v>
      </c>
      <c r="EJ59" s="1605">
        <v>5</v>
      </c>
      <c r="EK59" s="1605">
        <v>5</v>
      </c>
      <c r="EL59" s="1605">
        <v>5</v>
      </c>
      <c r="EM59" s="1605">
        <v>5</v>
      </c>
      <c r="EN59" s="1605">
        <v>5</v>
      </c>
      <c r="EO59" s="1605">
        <v>5</v>
      </c>
      <c r="EP59" s="1605">
        <v>5</v>
      </c>
      <c r="EQ59" s="1605">
        <v>5</v>
      </c>
      <c r="ER59" s="1605">
        <v>5</v>
      </c>
      <c r="ES59" s="1605">
        <v>5</v>
      </c>
      <c r="ET59" s="1605">
        <v>5</v>
      </c>
      <c r="EU59" s="1605">
        <v>5</v>
      </c>
      <c r="EV59" s="1605" t="s">
        <v>986</v>
      </c>
      <c r="EW59" s="1605">
        <v>5</v>
      </c>
      <c r="EX59" s="1605">
        <v>5</v>
      </c>
      <c r="EY59" s="1605" t="s">
        <v>986</v>
      </c>
      <c r="EZ59" s="1605">
        <v>5</v>
      </c>
      <c r="FA59" s="1605">
        <v>5</v>
      </c>
      <c r="FB59" s="1605">
        <v>5</v>
      </c>
      <c r="FC59" s="1605">
        <v>5</v>
      </c>
      <c r="FD59" s="1605" t="s">
        <v>986</v>
      </c>
      <c r="FE59" s="1605" t="s">
        <v>986</v>
      </c>
      <c r="FF59" s="1605">
        <v>0.4</v>
      </c>
      <c r="FG59" s="1605">
        <v>1</v>
      </c>
      <c r="FH59" s="1605">
        <v>1.2</v>
      </c>
      <c r="FI59" s="1605">
        <v>0.2</v>
      </c>
      <c r="FJ59" s="1605" t="s">
        <v>986</v>
      </c>
      <c r="FK59" s="1605">
        <v>1.2</v>
      </c>
      <c r="FL59" s="1605">
        <v>3.3</v>
      </c>
      <c r="FM59" s="1605">
        <v>4.5</v>
      </c>
      <c r="FN59" s="1605">
        <v>6.18</v>
      </c>
      <c r="FO59" s="1605">
        <v>4.87</v>
      </c>
      <c r="FP59" s="1605">
        <v>0.39</v>
      </c>
      <c r="FQ59" s="1605">
        <v>0.05</v>
      </c>
      <c r="FR59" s="1605">
        <v>0.21</v>
      </c>
      <c r="FS59" s="1605">
        <v>0.28000000000000003</v>
      </c>
      <c r="FT59" s="1605">
        <v>0.23</v>
      </c>
      <c r="FU59" s="1605">
        <v>0.38</v>
      </c>
      <c r="FV59" s="1605">
        <v>0.48</v>
      </c>
      <c r="FW59" s="1605">
        <v>0.2</v>
      </c>
      <c r="FX59" s="1605">
        <v>0.45</v>
      </c>
      <c r="FY59" s="1605">
        <v>0.28999999999999998</v>
      </c>
      <c r="FZ59" s="1605">
        <v>0.36</v>
      </c>
      <c r="GA59" s="1605" t="s">
        <v>986</v>
      </c>
      <c r="GB59" s="1605">
        <v>1</v>
      </c>
      <c r="GC59" s="1605" t="s">
        <v>986</v>
      </c>
      <c r="GD59" s="1605">
        <v>0.1</v>
      </c>
      <c r="GE59" s="1605">
        <v>0.81</v>
      </c>
      <c r="GF59" s="1605">
        <v>0.4</v>
      </c>
      <c r="GG59" s="1605">
        <v>0.23</v>
      </c>
      <c r="GH59" s="1605">
        <v>34.9</v>
      </c>
      <c r="GI59" s="1605">
        <v>1.44</v>
      </c>
      <c r="GJ59" s="1605">
        <v>13.31</v>
      </c>
      <c r="GK59" s="1605">
        <v>8.44</v>
      </c>
      <c r="GL59" s="1605" t="s">
        <v>986</v>
      </c>
      <c r="GM59" s="1605" t="s">
        <v>986</v>
      </c>
      <c r="GN59" s="1605" t="s">
        <v>1764</v>
      </c>
      <c r="GO59" s="1605" t="s">
        <v>1764</v>
      </c>
      <c r="GP59" s="1605" t="s">
        <v>1764</v>
      </c>
      <c r="GQ59" s="1605" t="s">
        <v>1764</v>
      </c>
      <c r="GR59" s="1605" t="s">
        <v>1764</v>
      </c>
      <c r="GS59" s="1605" t="s">
        <v>1764</v>
      </c>
      <c r="GT59" s="1605" t="s">
        <v>1764</v>
      </c>
      <c r="GU59" s="1605" t="s">
        <v>1764</v>
      </c>
      <c r="GV59" s="1605" t="s">
        <v>1764</v>
      </c>
      <c r="GW59" s="1605" t="s">
        <v>1764</v>
      </c>
      <c r="GX59" s="1605" t="s">
        <v>1764</v>
      </c>
      <c r="GY59" s="1605" t="s">
        <v>1764</v>
      </c>
      <c r="GZ59" s="1605" t="s">
        <v>1764</v>
      </c>
      <c r="HA59" s="1605" t="s">
        <v>1764</v>
      </c>
      <c r="HB59" s="1605" t="s">
        <v>1764</v>
      </c>
      <c r="HC59" s="1605" t="s">
        <v>1764</v>
      </c>
      <c r="HD59" s="1605" t="s">
        <v>1764</v>
      </c>
      <c r="HE59" s="1605" t="s">
        <v>1764</v>
      </c>
      <c r="HF59" s="1605" t="s">
        <v>1764</v>
      </c>
      <c r="HG59" s="1605" t="s">
        <v>1764</v>
      </c>
      <c r="HH59" s="1605" t="s">
        <v>1764</v>
      </c>
      <c r="HI59" s="1605" t="s">
        <v>1764</v>
      </c>
      <c r="HJ59" s="1605" t="s">
        <v>1764</v>
      </c>
      <c r="HK59" s="1605" t="s">
        <v>986</v>
      </c>
      <c r="HL59" s="1605" t="s">
        <v>986</v>
      </c>
      <c r="HM59" s="1605" t="s">
        <v>1764</v>
      </c>
      <c r="HN59" s="1605" t="s">
        <v>1764</v>
      </c>
      <c r="HO59" s="1605" t="s">
        <v>1764</v>
      </c>
      <c r="HP59" s="1605" t="s">
        <v>1764</v>
      </c>
      <c r="HQ59" s="1605" t="s">
        <v>1764</v>
      </c>
      <c r="HR59" s="1605" t="s">
        <v>1764</v>
      </c>
      <c r="HS59" s="1605" t="s">
        <v>1764</v>
      </c>
      <c r="HT59" s="1605" t="s">
        <v>986</v>
      </c>
      <c r="HU59" s="1605" t="s">
        <v>986</v>
      </c>
      <c r="HV59" s="1617"/>
      <c r="HW59" s="1617" t="s">
        <v>3653</v>
      </c>
      <c r="HX59" s="1617" t="s">
        <v>3652</v>
      </c>
      <c r="HY59" s="1617">
        <v>0</v>
      </c>
      <c r="HZ59" s="1603"/>
      <c r="IA59" s="1603"/>
      <c r="IB59" s="1603"/>
      <c r="IC59" s="1603">
        <v>33.136158921421803</v>
      </c>
      <c r="ID59" s="1603">
        <v>34.0937842447224</v>
      </c>
      <c r="IE59" s="1603">
        <v>34.891805347473003</v>
      </c>
      <c r="IF59" s="1603">
        <v>35.370618009123298</v>
      </c>
      <c r="IG59" s="1611" t="s">
        <v>3651</v>
      </c>
      <c r="IH59" s="1616" t="s">
        <v>270</v>
      </c>
      <c r="II59" s="1615" t="s">
        <v>270</v>
      </c>
      <c r="IJ59" s="1613">
        <v>2.221056660837375</v>
      </c>
      <c r="IK59" s="1613">
        <v>2.221056660837375</v>
      </c>
      <c r="IL59" s="1614">
        <v>2.221056660837375</v>
      </c>
      <c r="IM59" s="1614">
        <v>2.221056660837375</v>
      </c>
      <c r="IN59" s="1612" t="s">
        <v>270</v>
      </c>
      <c r="IO59" s="1613" t="s">
        <v>270</v>
      </c>
      <c r="IP59" s="1607">
        <v>11.272350224581631</v>
      </c>
      <c r="IQ59" s="1612" t="s">
        <v>270</v>
      </c>
      <c r="IR59" s="1612" t="s">
        <v>270</v>
      </c>
      <c r="IS59" s="1607">
        <v>2.055056660837375</v>
      </c>
      <c r="IT59" s="1607">
        <v>2.055056660837375</v>
      </c>
      <c r="IU59" s="1611">
        <v>3.5689880699357039E-5</v>
      </c>
      <c r="IV59" s="1611">
        <v>1.503819391830266E-2</v>
      </c>
      <c r="IW59" s="1611">
        <v>4.7880715215546533E-3</v>
      </c>
      <c r="IX59" s="1611">
        <v>6.6218239357596345E-3</v>
      </c>
      <c r="IY59" s="1611">
        <v>4.8392139859512132E-3</v>
      </c>
      <c r="IZ59" s="1611">
        <v>4.8187851943862998E-2</v>
      </c>
      <c r="JA59" s="1611">
        <v>1.5547787258093956E-3</v>
      </c>
      <c r="JB59" s="1611">
        <v>1.2335234968066544E-2</v>
      </c>
      <c r="JC59" s="1611">
        <v>1.2950398065009376</v>
      </c>
      <c r="JD59" s="1611">
        <v>3.7712689142295856E-2</v>
      </c>
      <c r="JE59" s="1611">
        <v>4.7465386909572693E-2</v>
      </c>
      <c r="JF59" s="1611">
        <v>2.0435298910414577E-3</v>
      </c>
      <c r="JG59" s="1611">
        <v>31.133477744313879</v>
      </c>
      <c r="JH59" s="1611">
        <v>2.6521545891256349E-3</v>
      </c>
      <c r="JI59" s="1611">
        <v>0.27848042113970328</v>
      </c>
      <c r="JJ59" s="1611">
        <v>3.3544718801717138E-2</v>
      </c>
      <c r="JK59" s="1607">
        <f t="shared" si="9"/>
        <v>0.16599999999999993</v>
      </c>
      <c r="JL59" s="1608" t="s">
        <v>270</v>
      </c>
      <c r="JM59" s="1610" t="s">
        <v>2924</v>
      </c>
      <c r="JN59" s="1608">
        <v>0</v>
      </c>
      <c r="JO59" s="1609" t="s">
        <v>270</v>
      </c>
      <c r="JP59" s="1608" t="s">
        <v>270</v>
      </c>
      <c r="JQ59" s="1607">
        <v>201901</v>
      </c>
      <c r="JR59" s="1606">
        <v>188</v>
      </c>
      <c r="JS59" s="1606" t="s">
        <v>270</v>
      </c>
      <c r="JT59" s="1606" t="s">
        <v>270</v>
      </c>
    </row>
    <row r="60" spans="1:280" ht="15" customHeight="1" x14ac:dyDescent="0.2">
      <c r="A60" s="1626">
        <v>95510</v>
      </c>
      <c r="B60" s="1625">
        <v>955</v>
      </c>
      <c r="C60" s="1624">
        <v>10</v>
      </c>
      <c r="D60" s="1623" t="s">
        <v>3650</v>
      </c>
      <c r="E60" s="1622">
        <v>44439</v>
      </c>
      <c r="F60" s="1620">
        <v>0.78142504065040597</v>
      </c>
      <c r="G60" s="1620">
        <v>0.74895023376623304</v>
      </c>
      <c r="H60" s="1621">
        <v>100</v>
      </c>
      <c r="I60" s="1621">
        <v>100</v>
      </c>
      <c r="J60" s="1621">
        <v>100</v>
      </c>
      <c r="K60" s="1620">
        <v>1</v>
      </c>
      <c r="L60" s="1620">
        <v>96</v>
      </c>
      <c r="M60" s="1620">
        <v>5.76</v>
      </c>
      <c r="N60" s="1620">
        <v>2.4</v>
      </c>
      <c r="O60" s="1620">
        <v>46.08</v>
      </c>
      <c r="P60" s="1620">
        <v>0</v>
      </c>
      <c r="Q60" s="1603"/>
      <c r="R60" s="1620">
        <v>0</v>
      </c>
      <c r="S60" s="1620">
        <v>0</v>
      </c>
      <c r="T60" s="1620">
        <v>0</v>
      </c>
      <c r="U60" s="1620">
        <v>0</v>
      </c>
      <c r="V60" s="1620">
        <v>0</v>
      </c>
      <c r="W60" s="1620">
        <v>0</v>
      </c>
      <c r="X60" s="1620"/>
      <c r="Y60" s="1620">
        <v>0</v>
      </c>
      <c r="Z60" s="1620">
        <v>0</v>
      </c>
      <c r="AA60" s="1620">
        <v>0</v>
      </c>
      <c r="AB60" s="1620">
        <v>0</v>
      </c>
      <c r="AC60" s="1620">
        <v>0</v>
      </c>
      <c r="AD60" s="1620">
        <v>0</v>
      </c>
      <c r="AE60" s="1620">
        <v>0</v>
      </c>
      <c r="AF60" s="1620">
        <v>0</v>
      </c>
      <c r="AG60" s="1620">
        <v>0</v>
      </c>
      <c r="AH60" s="1620">
        <v>0</v>
      </c>
      <c r="AI60" s="1620">
        <v>0</v>
      </c>
      <c r="AJ60" s="1620">
        <v>0</v>
      </c>
      <c r="AK60" s="1620">
        <v>0</v>
      </c>
      <c r="AL60" s="1620"/>
      <c r="AM60" s="1620">
        <v>0</v>
      </c>
      <c r="AN60" s="1620">
        <v>0</v>
      </c>
      <c r="AO60" s="1620">
        <v>0</v>
      </c>
      <c r="AP60" s="1620">
        <v>0</v>
      </c>
      <c r="AQ60" s="1620">
        <v>0</v>
      </c>
      <c r="AR60" s="1620">
        <v>0</v>
      </c>
      <c r="AS60" s="1620">
        <v>0</v>
      </c>
      <c r="AT60" s="1620">
        <v>0</v>
      </c>
      <c r="AU60" s="1620">
        <v>0</v>
      </c>
      <c r="AV60" s="1620">
        <v>0</v>
      </c>
      <c r="AW60" s="1620">
        <v>0</v>
      </c>
      <c r="AX60" s="1620"/>
      <c r="AY60" s="1620">
        <v>1</v>
      </c>
      <c r="AZ60" s="1620">
        <v>1</v>
      </c>
      <c r="BA60" s="1620">
        <v>1</v>
      </c>
      <c r="BB60" s="1620">
        <v>1</v>
      </c>
      <c r="BC60" s="1620">
        <v>1</v>
      </c>
      <c r="BD60" s="1620">
        <v>1</v>
      </c>
      <c r="BE60" s="1620">
        <v>1</v>
      </c>
      <c r="BF60" s="1620">
        <v>1</v>
      </c>
      <c r="BG60" s="1620">
        <v>1</v>
      </c>
      <c r="BH60" s="1620">
        <v>1</v>
      </c>
      <c r="BI60" s="1620">
        <v>1</v>
      </c>
      <c r="BJ60" s="1603"/>
      <c r="BK60" s="1620">
        <v>6</v>
      </c>
      <c r="BL60" s="1620">
        <v>2.5</v>
      </c>
      <c r="BM60" s="1620">
        <v>48</v>
      </c>
      <c r="BN60" s="1620">
        <v>0</v>
      </c>
      <c r="BO60" s="1620"/>
      <c r="BP60" s="1620">
        <v>0</v>
      </c>
      <c r="BQ60" s="1620">
        <v>0</v>
      </c>
      <c r="BR60" s="1620">
        <v>0.81398441734417293</v>
      </c>
      <c r="BS60" s="1620">
        <v>0.78015649350649274</v>
      </c>
      <c r="BT60" s="1603"/>
      <c r="BU60" s="1620">
        <v>520</v>
      </c>
      <c r="BV60" s="1620">
        <v>441.15000000000003</v>
      </c>
      <c r="BW60" s="1620">
        <v>0</v>
      </c>
      <c r="BX60" s="1620" t="s">
        <v>270</v>
      </c>
      <c r="BY60" s="1620" t="s">
        <v>270</v>
      </c>
      <c r="BZ60" s="1620" t="s">
        <v>270</v>
      </c>
      <c r="CA60" s="1620" t="s">
        <v>270</v>
      </c>
      <c r="CB60" s="1603"/>
      <c r="CC60" s="1603">
        <v>0</v>
      </c>
      <c r="CD60" s="1603">
        <v>0</v>
      </c>
      <c r="CE60" s="1603">
        <v>0</v>
      </c>
      <c r="CF60" s="1603">
        <v>0</v>
      </c>
      <c r="CG60" s="1603">
        <v>0</v>
      </c>
      <c r="CH60" s="1603">
        <v>0</v>
      </c>
      <c r="CI60" s="1603">
        <v>0</v>
      </c>
      <c r="CJ60" s="1603"/>
      <c r="CK60" s="1603">
        <v>0</v>
      </c>
      <c r="CL60" s="1603">
        <v>0</v>
      </c>
      <c r="CM60" s="1603">
        <v>0</v>
      </c>
      <c r="CN60" s="1603">
        <v>0</v>
      </c>
      <c r="CO60" s="1603">
        <v>0</v>
      </c>
      <c r="CP60" s="1603">
        <v>0</v>
      </c>
      <c r="CQ60" s="1603">
        <v>0</v>
      </c>
      <c r="CR60" s="1603">
        <v>0</v>
      </c>
      <c r="CS60" s="1603">
        <v>0</v>
      </c>
      <c r="CT60" s="1603">
        <v>0</v>
      </c>
      <c r="CU60" s="1603">
        <v>0</v>
      </c>
      <c r="CV60" s="1603">
        <v>0</v>
      </c>
      <c r="CW60" s="1603">
        <v>0</v>
      </c>
      <c r="CX60" s="1603">
        <v>0</v>
      </c>
      <c r="CY60" s="1603">
        <v>0</v>
      </c>
      <c r="CZ60" s="1603">
        <v>0</v>
      </c>
      <c r="DA60" s="1603">
        <v>0</v>
      </c>
      <c r="DB60" s="1603">
        <v>0</v>
      </c>
      <c r="DC60" s="1603">
        <v>0</v>
      </c>
      <c r="DD60" s="1603">
        <v>0</v>
      </c>
      <c r="DE60" s="1603">
        <v>0</v>
      </c>
      <c r="DF60" s="1603">
        <v>10000000</v>
      </c>
      <c r="DG60" s="1603">
        <v>10000000</v>
      </c>
      <c r="DH60" s="1603">
        <v>0</v>
      </c>
      <c r="DI60" s="1603">
        <v>0</v>
      </c>
      <c r="DJ60" s="1603">
        <v>0</v>
      </c>
      <c r="DK60" s="1603">
        <v>0</v>
      </c>
      <c r="DL60" s="1603">
        <v>0</v>
      </c>
      <c r="DM60" s="1603">
        <v>0</v>
      </c>
      <c r="DN60" s="1603">
        <v>0</v>
      </c>
      <c r="DO60" s="1603">
        <v>0</v>
      </c>
      <c r="DP60" s="1603">
        <v>0</v>
      </c>
      <c r="DQ60" s="1603">
        <v>0</v>
      </c>
      <c r="DR60" s="1603">
        <v>0</v>
      </c>
      <c r="DS60" s="1603">
        <v>0</v>
      </c>
      <c r="DT60" s="1603">
        <v>0</v>
      </c>
      <c r="DU60" s="1603">
        <v>0</v>
      </c>
      <c r="DV60" s="1603">
        <v>0</v>
      </c>
      <c r="DW60" s="1618" t="s">
        <v>986</v>
      </c>
      <c r="DX60" s="1605" t="s">
        <v>986</v>
      </c>
      <c r="DY60" s="1605" t="s">
        <v>986</v>
      </c>
      <c r="DZ60" s="1605" t="s">
        <v>986</v>
      </c>
      <c r="EA60" s="1605" t="s">
        <v>986</v>
      </c>
      <c r="EB60" s="1605" t="s">
        <v>986</v>
      </c>
      <c r="EC60" s="1605" t="s">
        <v>986</v>
      </c>
      <c r="ED60" s="1605" t="s">
        <v>986</v>
      </c>
      <c r="EE60" s="1605" t="s">
        <v>986</v>
      </c>
      <c r="EF60" s="1605" t="s">
        <v>986</v>
      </c>
      <c r="EG60" s="1605" t="s">
        <v>986</v>
      </c>
      <c r="EH60" s="1605" t="s">
        <v>986</v>
      </c>
      <c r="EI60" s="1605" t="s">
        <v>986</v>
      </c>
      <c r="EJ60" s="1605" t="s">
        <v>986</v>
      </c>
      <c r="EK60" s="1605" t="s">
        <v>986</v>
      </c>
      <c r="EL60" s="1605" t="s">
        <v>986</v>
      </c>
      <c r="EM60" s="1605" t="s">
        <v>986</v>
      </c>
      <c r="EN60" s="1605" t="s">
        <v>986</v>
      </c>
      <c r="EO60" s="1605" t="s">
        <v>986</v>
      </c>
      <c r="EP60" s="1605" t="s">
        <v>986</v>
      </c>
      <c r="EQ60" s="1605" t="s">
        <v>986</v>
      </c>
      <c r="ER60" s="1605" t="s">
        <v>986</v>
      </c>
      <c r="ES60" s="1605" t="s">
        <v>986</v>
      </c>
      <c r="ET60" s="1605" t="s">
        <v>986</v>
      </c>
      <c r="EU60" s="1605" t="s">
        <v>986</v>
      </c>
      <c r="EV60" s="1605" t="s">
        <v>986</v>
      </c>
      <c r="EW60" s="1605" t="s">
        <v>986</v>
      </c>
      <c r="EX60" s="1605" t="s">
        <v>986</v>
      </c>
      <c r="EY60" s="1605" t="s">
        <v>986</v>
      </c>
      <c r="EZ60" s="1605" t="s">
        <v>986</v>
      </c>
      <c r="FA60" s="1605" t="s">
        <v>986</v>
      </c>
      <c r="FB60" s="1605" t="s">
        <v>986</v>
      </c>
      <c r="FC60" s="1605" t="s">
        <v>986</v>
      </c>
      <c r="FD60" s="1605" t="s">
        <v>986</v>
      </c>
      <c r="FE60" s="1605" t="s">
        <v>986</v>
      </c>
      <c r="FF60" s="1605" t="s">
        <v>986</v>
      </c>
      <c r="FG60" s="1605" t="s">
        <v>986</v>
      </c>
      <c r="FH60" s="1605" t="s">
        <v>986</v>
      </c>
      <c r="FI60" s="1605" t="s">
        <v>986</v>
      </c>
      <c r="FJ60" s="1605" t="s">
        <v>986</v>
      </c>
      <c r="FK60" s="1605" t="s">
        <v>986</v>
      </c>
      <c r="FL60" s="1605" t="s">
        <v>986</v>
      </c>
      <c r="FM60" s="1605" t="s">
        <v>986</v>
      </c>
      <c r="FN60" s="1605" t="s">
        <v>986</v>
      </c>
      <c r="FO60" s="1605" t="s">
        <v>986</v>
      </c>
      <c r="FP60" s="1605" t="s">
        <v>986</v>
      </c>
      <c r="FQ60" s="1605" t="s">
        <v>986</v>
      </c>
      <c r="FR60" s="1605" t="s">
        <v>986</v>
      </c>
      <c r="FS60" s="1605" t="s">
        <v>986</v>
      </c>
      <c r="FT60" s="1605" t="s">
        <v>986</v>
      </c>
      <c r="FU60" s="1605" t="s">
        <v>986</v>
      </c>
      <c r="FV60" s="1605" t="s">
        <v>986</v>
      </c>
      <c r="FW60" s="1605" t="s">
        <v>986</v>
      </c>
      <c r="FX60" s="1605" t="s">
        <v>986</v>
      </c>
      <c r="FY60" s="1605" t="s">
        <v>986</v>
      </c>
      <c r="FZ60" s="1605" t="s">
        <v>986</v>
      </c>
      <c r="GA60" s="1605" t="s">
        <v>986</v>
      </c>
      <c r="GB60" s="1605" t="s">
        <v>986</v>
      </c>
      <c r="GC60" s="1605" t="s">
        <v>986</v>
      </c>
      <c r="GD60" s="1605" t="s">
        <v>986</v>
      </c>
      <c r="GE60" s="1605" t="s">
        <v>986</v>
      </c>
      <c r="GF60" s="1605" t="s">
        <v>986</v>
      </c>
      <c r="GG60" s="1605" t="s">
        <v>986</v>
      </c>
      <c r="GH60" s="1605" t="s">
        <v>986</v>
      </c>
      <c r="GI60" s="1605" t="s">
        <v>986</v>
      </c>
      <c r="GJ60" s="1605" t="s">
        <v>986</v>
      </c>
      <c r="GK60" s="1605" t="s">
        <v>986</v>
      </c>
      <c r="GL60" s="1605" t="s">
        <v>986</v>
      </c>
      <c r="GM60" s="1605" t="s">
        <v>986</v>
      </c>
      <c r="GN60" s="1605" t="s">
        <v>986</v>
      </c>
      <c r="GO60" s="1605" t="s">
        <v>986</v>
      </c>
      <c r="GP60" s="1605" t="s">
        <v>986</v>
      </c>
      <c r="GQ60" s="1605" t="s">
        <v>986</v>
      </c>
      <c r="GR60" s="1605" t="s">
        <v>986</v>
      </c>
      <c r="GS60" s="1605" t="s">
        <v>986</v>
      </c>
      <c r="GT60" s="1605" t="s">
        <v>986</v>
      </c>
      <c r="GU60" s="1605" t="s">
        <v>986</v>
      </c>
      <c r="GV60" s="1605" t="s">
        <v>986</v>
      </c>
      <c r="GW60" s="1605" t="s">
        <v>986</v>
      </c>
      <c r="GX60" s="1605" t="s">
        <v>986</v>
      </c>
      <c r="GY60" s="1605" t="s">
        <v>986</v>
      </c>
      <c r="GZ60" s="1605" t="s">
        <v>986</v>
      </c>
      <c r="HA60" s="1605" t="s">
        <v>986</v>
      </c>
      <c r="HB60" s="1605" t="s">
        <v>986</v>
      </c>
      <c r="HC60" s="1605" t="s">
        <v>986</v>
      </c>
      <c r="HD60" s="1605" t="s">
        <v>986</v>
      </c>
      <c r="HE60" s="1605" t="s">
        <v>986</v>
      </c>
      <c r="HF60" s="1605" t="s">
        <v>986</v>
      </c>
      <c r="HG60" s="1605" t="s">
        <v>986</v>
      </c>
      <c r="HH60" s="1605" t="s">
        <v>986</v>
      </c>
      <c r="HI60" s="1605" t="s">
        <v>986</v>
      </c>
      <c r="HJ60" s="1605" t="s">
        <v>986</v>
      </c>
      <c r="HK60" s="1605" t="s">
        <v>986</v>
      </c>
      <c r="HL60" s="1605" t="s">
        <v>986</v>
      </c>
      <c r="HM60" s="1605" t="s">
        <v>986</v>
      </c>
      <c r="HN60" s="1605" t="s">
        <v>986</v>
      </c>
      <c r="HO60" s="1605" t="s">
        <v>986</v>
      </c>
      <c r="HP60" s="1605" t="s">
        <v>986</v>
      </c>
      <c r="HQ60" s="1605" t="s">
        <v>986</v>
      </c>
      <c r="HR60" s="1605" t="s">
        <v>986</v>
      </c>
      <c r="HS60" s="1605" t="s">
        <v>986</v>
      </c>
      <c r="HT60" s="1605" t="s">
        <v>986</v>
      </c>
      <c r="HU60" s="1605" t="s">
        <v>986</v>
      </c>
      <c r="HV60" s="1617"/>
      <c r="HW60" s="1617" t="s">
        <v>3649</v>
      </c>
      <c r="HX60" s="1617" t="s">
        <v>3646</v>
      </c>
      <c r="HY60" s="1617">
        <v>0</v>
      </c>
      <c r="HZ60" s="1603"/>
      <c r="IA60" s="1603"/>
      <c r="IB60" s="1603"/>
      <c r="IC60" s="1603">
        <v>0</v>
      </c>
      <c r="ID60" s="1603">
        <v>0</v>
      </c>
      <c r="IE60" s="1603">
        <v>0</v>
      </c>
      <c r="IF60" s="1603">
        <v>0</v>
      </c>
      <c r="IG60" s="1611" t="s">
        <v>2932</v>
      </c>
      <c r="IH60" s="1616" t="s">
        <v>270</v>
      </c>
      <c r="II60" s="1615" t="s">
        <v>270</v>
      </c>
      <c r="IJ60" s="1613">
        <v>1.3541818181818182</v>
      </c>
      <c r="IK60" s="1613">
        <v>1.3458484848484848</v>
      </c>
      <c r="IL60" s="1614">
        <v>1.3541818181818182</v>
      </c>
      <c r="IM60" s="1614">
        <v>1.3458484848484848</v>
      </c>
      <c r="IN60" s="1612" t="s">
        <v>270</v>
      </c>
      <c r="IO60" s="1613" t="s">
        <v>270</v>
      </c>
      <c r="IP60" s="1607" t="s">
        <v>270</v>
      </c>
      <c r="IQ60" s="1612" t="s">
        <v>270</v>
      </c>
      <c r="IR60" s="1612" t="s">
        <v>270</v>
      </c>
      <c r="IS60" s="1607">
        <v>1.1881818181818182</v>
      </c>
      <c r="IT60" s="1607">
        <v>1.1798484848484849</v>
      </c>
      <c r="IU60" s="1611">
        <v>0</v>
      </c>
      <c r="IV60" s="1611">
        <v>7.7767676767676763E-2</v>
      </c>
      <c r="IW60" s="1611">
        <v>9.0909090909090909E-4</v>
      </c>
      <c r="IX60" s="1611">
        <v>1.6060606060606061E-3</v>
      </c>
      <c r="IY60" s="1611">
        <v>9.6969696969696957E-4</v>
      </c>
      <c r="IZ60" s="1611">
        <v>5.9898989898989896E-3</v>
      </c>
      <c r="JA60" s="1611">
        <v>6.0606060606060598E-5</v>
      </c>
      <c r="JB60" s="1611" t="s">
        <v>270</v>
      </c>
      <c r="JC60" s="1611">
        <v>9.9026969696969704</v>
      </c>
      <c r="JD60" s="1611">
        <v>5.2121212121212122E-3</v>
      </c>
      <c r="JE60" s="1611" t="s">
        <v>270</v>
      </c>
      <c r="JF60" s="1611">
        <v>8.2828282828282835E-4</v>
      </c>
      <c r="JG60" s="1611">
        <v>0.57978787878787885</v>
      </c>
      <c r="JH60" s="1611">
        <v>7.646464646464647E-3</v>
      </c>
      <c r="JI60" s="1611">
        <v>0.3</v>
      </c>
      <c r="JJ60" s="1611" t="s">
        <v>270</v>
      </c>
      <c r="JK60" s="1607">
        <f t="shared" si="9"/>
        <v>0.16599999999999993</v>
      </c>
      <c r="JL60" s="1608" t="s">
        <v>270</v>
      </c>
      <c r="JM60" s="1610" t="s">
        <v>2924</v>
      </c>
      <c r="JN60" s="1608">
        <v>8.3333333333333037E-3</v>
      </c>
      <c r="JO60" s="1609" t="s">
        <v>270</v>
      </c>
      <c r="JP60" s="1608" t="s">
        <v>270</v>
      </c>
      <c r="JQ60" s="1607">
        <v>202103</v>
      </c>
      <c r="JR60" s="1606">
        <v>851</v>
      </c>
      <c r="JS60" s="1606">
        <v>774</v>
      </c>
      <c r="JT60" s="1606">
        <v>774</v>
      </c>
    </row>
    <row r="61" spans="1:280" ht="15" customHeight="1" x14ac:dyDescent="0.2">
      <c r="A61" s="1626">
        <v>95540</v>
      </c>
      <c r="B61" s="1625">
        <v>955</v>
      </c>
      <c r="C61" s="1624">
        <v>40</v>
      </c>
      <c r="D61" s="1623" t="s">
        <v>3648</v>
      </c>
      <c r="E61" s="1622">
        <v>44439</v>
      </c>
      <c r="F61" s="1620">
        <v>1.3137031720867201</v>
      </c>
      <c r="G61" s="1620">
        <v>1.2591077155844099</v>
      </c>
      <c r="H61" s="1621">
        <v>100</v>
      </c>
      <c r="I61" s="1621">
        <v>100</v>
      </c>
      <c r="J61" s="1621">
        <v>100</v>
      </c>
      <c r="K61" s="1620">
        <v>1</v>
      </c>
      <c r="L61" s="1620">
        <v>90.1</v>
      </c>
      <c r="M61" s="1620">
        <v>9.01</v>
      </c>
      <c r="N61" s="1620">
        <v>0.54059999999999997</v>
      </c>
      <c r="O61" s="1620">
        <v>6.3070000000000004</v>
      </c>
      <c r="P61" s="1620">
        <v>0</v>
      </c>
      <c r="Q61" s="1603"/>
      <c r="R61" s="1620">
        <v>0</v>
      </c>
      <c r="S61" s="1620">
        <v>0</v>
      </c>
      <c r="T61" s="1620">
        <v>0</v>
      </c>
      <c r="U61" s="1620">
        <v>0</v>
      </c>
      <c r="V61" s="1620">
        <v>0</v>
      </c>
      <c r="W61" s="1620">
        <v>0</v>
      </c>
      <c r="X61" s="1620"/>
      <c r="Y61" s="1620">
        <v>0</v>
      </c>
      <c r="Z61" s="1620">
        <v>0</v>
      </c>
      <c r="AA61" s="1620">
        <v>0</v>
      </c>
      <c r="AB61" s="1620">
        <v>0</v>
      </c>
      <c r="AC61" s="1620">
        <v>0</v>
      </c>
      <c r="AD61" s="1620">
        <v>0</v>
      </c>
      <c r="AE61" s="1620">
        <v>0</v>
      </c>
      <c r="AF61" s="1620">
        <v>0</v>
      </c>
      <c r="AG61" s="1620">
        <v>0</v>
      </c>
      <c r="AH61" s="1620">
        <v>0</v>
      </c>
      <c r="AI61" s="1620">
        <v>0</v>
      </c>
      <c r="AJ61" s="1620">
        <v>0</v>
      </c>
      <c r="AK61" s="1620">
        <v>0</v>
      </c>
      <c r="AL61" s="1620"/>
      <c r="AM61" s="1620">
        <v>0</v>
      </c>
      <c r="AN61" s="1620">
        <v>0</v>
      </c>
      <c r="AO61" s="1620">
        <v>0</v>
      </c>
      <c r="AP61" s="1620">
        <v>0</v>
      </c>
      <c r="AQ61" s="1620">
        <v>0</v>
      </c>
      <c r="AR61" s="1620">
        <v>0</v>
      </c>
      <c r="AS61" s="1620">
        <v>0</v>
      </c>
      <c r="AT61" s="1620">
        <v>0</v>
      </c>
      <c r="AU61" s="1620">
        <v>0</v>
      </c>
      <c r="AV61" s="1620">
        <v>0</v>
      </c>
      <c r="AW61" s="1620">
        <v>0</v>
      </c>
      <c r="AX61" s="1620"/>
      <c r="AY61" s="1620">
        <v>1</v>
      </c>
      <c r="AZ61" s="1620">
        <v>1</v>
      </c>
      <c r="BA61" s="1620">
        <v>1</v>
      </c>
      <c r="BB61" s="1620">
        <v>1</v>
      </c>
      <c r="BC61" s="1620">
        <v>1</v>
      </c>
      <c r="BD61" s="1620">
        <v>1</v>
      </c>
      <c r="BE61" s="1620">
        <v>1</v>
      </c>
      <c r="BF61" s="1620">
        <v>1</v>
      </c>
      <c r="BG61" s="1620">
        <v>1</v>
      </c>
      <c r="BH61" s="1620">
        <v>1</v>
      </c>
      <c r="BI61" s="1620">
        <v>1</v>
      </c>
      <c r="BJ61" s="1603"/>
      <c r="BK61" s="1620">
        <v>10</v>
      </c>
      <c r="BL61" s="1620">
        <v>0.6</v>
      </c>
      <c r="BM61" s="1620">
        <v>7.0000000000000009</v>
      </c>
      <c r="BN61" s="1620">
        <v>0</v>
      </c>
      <c r="BO61" s="1620"/>
      <c r="BP61" s="1620">
        <v>0</v>
      </c>
      <c r="BQ61" s="1620">
        <v>0</v>
      </c>
      <c r="BR61" s="1620">
        <v>1.458050135501354</v>
      </c>
      <c r="BS61" s="1620">
        <v>1.397455844155838</v>
      </c>
      <c r="BT61" s="1603"/>
      <c r="BU61" s="1620">
        <v>930.00000000000011</v>
      </c>
      <c r="BV61" s="1620">
        <v>833.18000000000018</v>
      </c>
      <c r="BW61" s="1620">
        <v>0</v>
      </c>
      <c r="BX61" s="1620" t="s">
        <v>270</v>
      </c>
      <c r="BY61" s="1620" t="s">
        <v>270</v>
      </c>
      <c r="BZ61" s="1620" t="s">
        <v>270</v>
      </c>
      <c r="CA61" s="1620" t="s">
        <v>270</v>
      </c>
      <c r="CB61" s="1603"/>
      <c r="CC61" s="1603">
        <v>0</v>
      </c>
      <c r="CD61" s="1603">
        <v>0</v>
      </c>
      <c r="CE61" s="1603">
        <v>0</v>
      </c>
      <c r="CF61" s="1603">
        <v>0</v>
      </c>
      <c r="CG61" s="1603">
        <v>0</v>
      </c>
      <c r="CH61" s="1603">
        <v>0</v>
      </c>
      <c r="CI61" s="1603">
        <v>0</v>
      </c>
      <c r="CJ61" s="1603"/>
      <c r="CK61" s="1603">
        <v>0</v>
      </c>
      <c r="CL61" s="1603">
        <v>0</v>
      </c>
      <c r="CM61" s="1603">
        <v>0</v>
      </c>
      <c r="CN61" s="1603">
        <v>0</v>
      </c>
      <c r="CO61" s="1603">
        <v>0</v>
      </c>
      <c r="CP61" s="1603">
        <v>0</v>
      </c>
      <c r="CQ61" s="1603">
        <v>0</v>
      </c>
      <c r="CR61" s="1603">
        <v>0</v>
      </c>
      <c r="CS61" s="1603">
        <v>0</v>
      </c>
      <c r="CT61" s="1603">
        <v>0</v>
      </c>
      <c r="CU61" s="1603">
        <v>0</v>
      </c>
      <c r="CV61" s="1603">
        <v>0</v>
      </c>
      <c r="CW61" s="1603">
        <v>0</v>
      </c>
      <c r="CX61" s="1603">
        <v>0</v>
      </c>
      <c r="CY61" s="1603">
        <v>0</v>
      </c>
      <c r="CZ61" s="1603">
        <v>0</v>
      </c>
      <c r="DA61" s="1603">
        <v>0</v>
      </c>
      <c r="DB61" s="1603">
        <v>0</v>
      </c>
      <c r="DC61" s="1603">
        <v>0</v>
      </c>
      <c r="DD61" s="1603">
        <v>0</v>
      </c>
      <c r="DE61" s="1603">
        <v>0</v>
      </c>
      <c r="DF61" s="1603">
        <v>40000000</v>
      </c>
      <c r="DG61" s="1603">
        <v>40000000</v>
      </c>
      <c r="DH61" s="1603">
        <v>0</v>
      </c>
      <c r="DI61" s="1603">
        <v>0</v>
      </c>
      <c r="DJ61" s="1603">
        <v>0</v>
      </c>
      <c r="DK61" s="1603">
        <v>0</v>
      </c>
      <c r="DL61" s="1603">
        <v>0</v>
      </c>
      <c r="DM61" s="1603">
        <v>0</v>
      </c>
      <c r="DN61" s="1603">
        <v>0</v>
      </c>
      <c r="DO61" s="1603">
        <v>0</v>
      </c>
      <c r="DP61" s="1603">
        <v>0</v>
      </c>
      <c r="DQ61" s="1603">
        <v>0</v>
      </c>
      <c r="DR61" s="1603">
        <v>0</v>
      </c>
      <c r="DS61" s="1603">
        <v>0</v>
      </c>
      <c r="DT61" s="1603">
        <v>0</v>
      </c>
      <c r="DU61" s="1603">
        <v>0</v>
      </c>
      <c r="DV61" s="1603">
        <v>0</v>
      </c>
      <c r="DW61" s="1618" t="s">
        <v>986</v>
      </c>
      <c r="DX61" s="1605" t="s">
        <v>986</v>
      </c>
      <c r="DY61" s="1605" t="s">
        <v>986</v>
      </c>
      <c r="DZ61" s="1605" t="s">
        <v>986</v>
      </c>
      <c r="EA61" s="1605" t="s">
        <v>986</v>
      </c>
      <c r="EB61" s="1605" t="s">
        <v>986</v>
      </c>
      <c r="EC61" s="1605" t="s">
        <v>986</v>
      </c>
      <c r="ED61" s="1605" t="s">
        <v>986</v>
      </c>
      <c r="EE61" s="1605" t="s">
        <v>986</v>
      </c>
      <c r="EF61" s="1605" t="s">
        <v>986</v>
      </c>
      <c r="EG61" s="1605" t="s">
        <v>986</v>
      </c>
      <c r="EH61" s="1605" t="s">
        <v>986</v>
      </c>
      <c r="EI61" s="1605" t="s">
        <v>986</v>
      </c>
      <c r="EJ61" s="1605" t="s">
        <v>986</v>
      </c>
      <c r="EK61" s="1605" t="s">
        <v>986</v>
      </c>
      <c r="EL61" s="1605" t="s">
        <v>986</v>
      </c>
      <c r="EM61" s="1605" t="s">
        <v>986</v>
      </c>
      <c r="EN61" s="1605" t="s">
        <v>986</v>
      </c>
      <c r="EO61" s="1605" t="s">
        <v>986</v>
      </c>
      <c r="EP61" s="1605" t="s">
        <v>986</v>
      </c>
      <c r="EQ61" s="1605" t="s">
        <v>986</v>
      </c>
      <c r="ER61" s="1605" t="s">
        <v>986</v>
      </c>
      <c r="ES61" s="1605" t="s">
        <v>986</v>
      </c>
      <c r="ET61" s="1605" t="s">
        <v>986</v>
      </c>
      <c r="EU61" s="1605" t="s">
        <v>986</v>
      </c>
      <c r="EV61" s="1605" t="s">
        <v>986</v>
      </c>
      <c r="EW61" s="1605" t="s">
        <v>986</v>
      </c>
      <c r="EX61" s="1605" t="s">
        <v>986</v>
      </c>
      <c r="EY61" s="1605" t="s">
        <v>986</v>
      </c>
      <c r="EZ61" s="1605" t="s">
        <v>986</v>
      </c>
      <c r="FA61" s="1605" t="s">
        <v>986</v>
      </c>
      <c r="FB61" s="1605" t="s">
        <v>986</v>
      </c>
      <c r="FC61" s="1605" t="s">
        <v>986</v>
      </c>
      <c r="FD61" s="1605" t="s">
        <v>986</v>
      </c>
      <c r="FE61" s="1605" t="s">
        <v>986</v>
      </c>
      <c r="FF61" s="1605" t="s">
        <v>986</v>
      </c>
      <c r="FG61" s="1605" t="s">
        <v>986</v>
      </c>
      <c r="FH61" s="1605" t="s">
        <v>986</v>
      </c>
      <c r="FI61" s="1605" t="s">
        <v>986</v>
      </c>
      <c r="FJ61" s="1605" t="s">
        <v>986</v>
      </c>
      <c r="FK61" s="1605" t="s">
        <v>986</v>
      </c>
      <c r="FL61" s="1605" t="s">
        <v>986</v>
      </c>
      <c r="FM61" s="1605" t="s">
        <v>986</v>
      </c>
      <c r="FN61" s="1605" t="s">
        <v>986</v>
      </c>
      <c r="FO61" s="1605" t="s">
        <v>986</v>
      </c>
      <c r="FP61" s="1605" t="s">
        <v>986</v>
      </c>
      <c r="FQ61" s="1605" t="s">
        <v>986</v>
      </c>
      <c r="FR61" s="1605" t="s">
        <v>986</v>
      </c>
      <c r="FS61" s="1605" t="s">
        <v>986</v>
      </c>
      <c r="FT61" s="1605" t="s">
        <v>986</v>
      </c>
      <c r="FU61" s="1605" t="s">
        <v>986</v>
      </c>
      <c r="FV61" s="1605" t="s">
        <v>986</v>
      </c>
      <c r="FW61" s="1605" t="s">
        <v>986</v>
      </c>
      <c r="FX61" s="1605" t="s">
        <v>986</v>
      </c>
      <c r="FY61" s="1605" t="s">
        <v>986</v>
      </c>
      <c r="FZ61" s="1605" t="s">
        <v>986</v>
      </c>
      <c r="GA61" s="1605" t="s">
        <v>986</v>
      </c>
      <c r="GB61" s="1605" t="s">
        <v>986</v>
      </c>
      <c r="GC61" s="1605" t="s">
        <v>986</v>
      </c>
      <c r="GD61" s="1605" t="s">
        <v>986</v>
      </c>
      <c r="GE61" s="1605" t="s">
        <v>986</v>
      </c>
      <c r="GF61" s="1605" t="s">
        <v>986</v>
      </c>
      <c r="GG61" s="1605" t="s">
        <v>986</v>
      </c>
      <c r="GH61" s="1605" t="s">
        <v>986</v>
      </c>
      <c r="GI61" s="1605" t="s">
        <v>986</v>
      </c>
      <c r="GJ61" s="1605" t="s">
        <v>986</v>
      </c>
      <c r="GK61" s="1605" t="s">
        <v>986</v>
      </c>
      <c r="GL61" s="1605" t="s">
        <v>986</v>
      </c>
      <c r="GM61" s="1605" t="s">
        <v>986</v>
      </c>
      <c r="GN61" s="1605" t="s">
        <v>986</v>
      </c>
      <c r="GO61" s="1605" t="s">
        <v>986</v>
      </c>
      <c r="GP61" s="1605" t="s">
        <v>986</v>
      </c>
      <c r="GQ61" s="1605" t="s">
        <v>986</v>
      </c>
      <c r="GR61" s="1605" t="s">
        <v>986</v>
      </c>
      <c r="GS61" s="1605" t="s">
        <v>986</v>
      </c>
      <c r="GT61" s="1605" t="s">
        <v>986</v>
      </c>
      <c r="GU61" s="1605" t="s">
        <v>986</v>
      </c>
      <c r="GV61" s="1605" t="s">
        <v>986</v>
      </c>
      <c r="GW61" s="1605" t="s">
        <v>986</v>
      </c>
      <c r="GX61" s="1605" t="s">
        <v>986</v>
      </c>
      <c r="GY61" s="1605" t="s">
        <v>986</v>
      </c>
      <c r="GZ61" s="1605" t="s">
        <v>986</v>
      </c>
      <c r="HA61" s="1605" t="s">
        <v>986</v>
      </c>
      <c r="HB61" s="1605" t="s">
        <v>986</v>
      </c>
      <c r="HC61" s="1605" t="s">
        <v>986</v>
      </c>
      <c r="HD61" s="1605" t="s">
        <v>986</v>
      </c>
      <c r="HE61" s="1605" t="s">
        <v>986</v>
      </c>
      <c r="HF61" s="1605" t="s">
        <v>986</v>
      </c>
      <c r="HG61" s="1605" t="s">
        <v>986</v>
      </c>
      <c r="HH61" s="1605" t="s">
        <v>986</v>
      </c>
      <c r="HI61" s="1605" t="s">
        <v>986</v>
      </c>
      <c r="HJ61" s="1605" t="s">
        <v>986</v>
      </c>
      <c r="HK61" s="1605" t="s">
        <v>986</v>
      </c>
      <c r="HL61" s="1605" t="s">
        <v>986</v>
      </c>
      <c r="HM61" s="1605" t="s">
        <v>986</v>
      </c>
      <c r="HN61" s="1605" t="s">
        <v>986</v>
      </c>
      <c r="HO61" s="1605" t="s">
        <v>986</v>
      </c>
      <c r="HP61" s="1605" t="s">
        <v>986</v>
      </c>
      <c r="HQ61" s="1605" t="s">
        <v>986</v>
      </c>
      <c r="HR61" s="1605" t="s">
        <v>986</v>
      </c>
      <c r="HS61" s="1605" t="s">
        <v>986</v>
      </c>
      <c r="HT61" s="1605" t="s">
        <v>986</v>
      </c>
      <c r="HU61" s="1605" t="s">
        <v>986</v>
      </c>
      <c r="HV61" s="1617"/>
      <c r="HW61" s="1617" t="s">
        <v>3647</v>
      </c>
      <c r="HX61" s="1617" t="s">
        <v>3646</v>
      </c>
      <c r="HY61" s="1617">
        <v>0</v>
      </c>
      <c r="HZ61" s="1603"/>
      <c r="IA61" s="1603"/>
      <c r="IB61" s="1603"/>
      <c r="IC61" s="1603">
        <v>0</v>
      </c>
      <c r="ID61" s="1603">
        <v>0</v>
      </c>
      <c r="IE61" s="1603">
        <v>0</v>
      </c>
      <c r="IF61" s="1603">
        <v>0</v>
      </c>
      <c r="IG61" s="1611" t="s">
        <v>2932</v>
      </c>
      <c r="IH61" s="1616" t="s">
        <v>270</v>
      </c>
      <c r="II61" s="1615" t="s">
        <v>270</v>
      </c>
      <c r="IJ61" s="1613">
        <v>1.3541818181818182</v>
      </c>
      <c r="IK61" s="1613">
        <v>1.3458484848484848</v>
      </c>
      <c r="IL61" s="1614">
        <v>1.3541818181818182</v>
      </c>
      <c r="IM61" s="1614">
        <v>1.3458484848484848</v>
      </c>
      <c r="IN61" s="1612" t="s">
        <v>270</v>
      </c>
      <c r="IO61" s="1613" t="s">
        <v>270</v>
      </c>
      <c r="IP61" s="1607" t="s">
        <v>270</v>
      </c>
      <c r="IQ61" s="1612" t="s">
        <v>270</v>
      </c>
      <c r="IR61" s="1612" t="s">
        <v>270</v>
      </c>
      <c r="IS61" s="1607">
        <v>1.1881818181818182</v>
      </c>
      <c r="IT61" s="1607">
        <v>1.1798484848484849</v>
      </c>
      <c r="IU61" s="1611">
        <v>0</v>
      </c>
      <c r="IV61" s="1611">
        <v>7.7767676767676763E-2</v>
      </c>
      <c r="IW61" s="1611">
        <v>9.0909090909090909E-4</v>
      </c>
      <c r="IX61" s="1611">
        <v>1.6060606060606061E-3</v>
      </c>
      <c r="IY61" s="1611">
        <v>9.6969696969696957E-4</v>
      </c>
      <c r="IZ61" s="1611">
        <v>5.9898989898989896E-3</v>
      </c>
      <c r="JA61" s="1611">
        <v>6.0606060606060598E-5</v>
      </c>
      <c r="JB61" s="1611" t="s">
        <v>270</v>
      </c>
      <c r="JC61" s="1611">
        <v>9.9026969696969704</v>
      </c>
      <c r="JD61" s="1611">
        <v>5.2121212121212122E-3</v>
      </c>
      <c r="JE61" s="1611" t="s">
        <v>270</v>
      </c>
      <c r="JF61" s="1611">
        <v>8.2828282828282835E-4</v>
      </c>
      <c r="JG61" s="1611">
        <v>0.57978787878787885</v>
      </c>
      <c r="JH61" s="1611">
        <v>7.646464646464647E-3</v>
      </c>
      <c r="JI61" s="1611">
        <v>0.3</v>
      </c>
      <c r="JJ61" s="1611" t="s">
        <v>270</v>
      </c>
      <c r="JK61" s="1607">
        <f t="shared" si="9"/>
        <v>0.16599999999999993</v>
      </c>
      <c r="JL61" s="1608" t="s">
        <v>270</v>
      </c>
      <c r="JM61" s="1610" t="s">
        <v>2924</v>
      </c>
      <c r="JN61" s="1608">
        <v>8.3333333333333037E-3</v>
      </c>
      <c r="JO61" s="1609" t="s">
        <v>270</v>
      </c>
      <c r="JP61" s="1608" t="s">
        <v>270</v>
      </c>
      <c r="JQ61" s="1607">
        <v>202103</v>
      </c>
      <c r="JR61" s="1606">
        <v>851</v>
      </c>
      <c r="JS61" s="1606">
        <v>774</v>
      </c>
      <c r="JT61" s="1606">
        <v>774</v>
      </c>
    </row>
    <row r="62" spans="1:280" ht="15" customHeight="1" x14ac:dyDescent="0.2">
      <c r="A62" s="1626">
        <v>88300</v>
      </c>
      <c r="B62" s="1625">
        <v>883</v>
      </c>
      <c r="C62" s="1624">
        <v>0</v>
      </c>
      <c r="D62" s="1623" t="s">
        <v>3645</v>
      </c>
      <c r="E62" s="1622">
        <v>44439</v>
      </c>
      <c r="F62" s="1620">
        <v>3.8111860914271398</v>
      </c>
      <c r="G62" s="1620">
        <v>3.6584512538613398</v>
      </c>
      <c r="H62" s="1621">
        <v>97.3</v>
      </c>
      <c r="I62" s="1621">
        <v>97.3</v>
      </c>
      <c r="J62" s="1621">
        <v>90</v>
      </c>
      <c r="K62" s="1620">
        <v>1</v>
      </c>
      <c r="L62" s="1620">
        <v>99.5</v>
      </c>
      <c r="M62" s="1620">
        <v>1.0050505050505E-4</v>
      </c>
      <c r="N62" s="1620">
        <v>99.35</v>
      </c>
      <c r="O62" s="1620">
        <v>0</v>
      </c>
      <c r="P62" s="1620">
        <v>0</v>
      </c>
      <c r="Q62" s="1603"/>
      <c r="R62" s="1620">
        <v>0</v>
      </c>
      <c r="S62" s="1620">
        <v>0</v>
      </c>
      <c r="T62" s="1620">
        <v>0</v>
      </c>
      <c r="U62" s="1620">
        <v>0</v>
      </c>
      <c r="V62" s="1620">
        <v>0</v>
      </c>
      <c r="W62" s="1620">
        <v>0</v>
      </c>
      <c r="X62" s="1620"/>
      <c r="Y62" s="1620">
        <v>0</v>
      </c>
      <c r="Z62" s="1620">
        <v>0</v>
      </c>
      <c r="AA62" s="1620">
        <v>0</v>
      </c>
      <c r="AB62" s="1620">
        <v>0</v>
      </c>
      <c r="AC62" s="1620">
        <v>0</v>
      </c>
      <c r="AD62" s="1620">
        <v>0</v>
      </c>
      <c r="AE62" s="1620">
        <v>0</v>
      </c>
      <c r="AF62" s="1620">
        <v>0</v>
      </c>
      <c r="AG62" s="1620">
        <v>0.43216080402009949</v>
      </c>
      <c r="AH62" s="1620">
        <v>0</v>
      </c>
      <c r="AI62" s="1620">
        <v>0</v>
      </c>
      <c r="AJ62" s="1620">
        <v>0</v>
      </c>
      <c r="AK62" s="1620">
        <v>0</v>
      </c>
      <c r="AL62" s="1620"/>
      <c r="AM62" s="1620">
        <v>0</v>
      </c>
      <c r="AN62" s="1620">
        <v>0</v>
      </c>
      <c r="AO62" s="1620">
        <v>0</v>
      </c>
      <c r="AP62" s="1620">
        <v>0</v>
      </c>
      <c r="AQ62" s="1620">
        <v>0</v>
      </c>
      <c r="AR62" s="1620">
        <v>0</v>
      </c>
      <c r="AS62" s="1620">
        <v>0</v>
      </c>
      <c r="AT62" s="1620">
        <v>0</v>
      </c>
      <c r="AU62" s="1620">
        <v>0</v>
      </c>
      <c r="AV62" s="1620">
        <v>0</v>
      </c>
      <c r="AW62" s="1620">
        <v>0</v>
      </c>
      <c r="AX62" s="1620"/>
      <c r="AY62" s="1620">
        <v>1</v>
      </c>
      <c r="AZ62" s="1620">
        <v>1</v>
      </c>
      <c r="BA62" s="1620">
        <v>1</v>
      </c>
      <c r="BB62" s="1620">
        <v>1</v>
      </c>
      <c r="BC62" s="1620">
        <v>1</v>
      </c>
      <c r="BD62" s="1620">
        <v>1</v>
      </c>
      <c r="BE62" s="1620">
        <v>1</v>
      </c>
      <c r="BF62" s="1620">
        <v>1</v>
      </c>
      <c r="BG62" s="1620">
        <v>1</v>
      </c>
      <c r="BH62" s="1620">
        <v>1</v>
      </c>
      <c r="BI62" s="1620">
        <v>1</v>
      </c>
      <c r="BJ62" s="1603"/>
      <c r="BK62" s="1620">
        <v>1.0101010101010051E-4</v>
      </c>
      <c r="BL62" s="1620">
        <v>99.849246231155774</v>
      </c>
      <c r="BM62" s="1620">
        <v>0</v>
      </c>
      <c r="BN62" s="1620">
        <v>0</v>
      </c>
      <c r="BO62" s="1620"/>
      <c r="BP62" s="1620">
        <v>60</v>
      </c>
      <c r="BQ62" s="1620">
        <v>599.0954773869347</v>
      </c>
      <c r="BR62" s="1620">
        <v>3.8303377803287839</v>
      </c>
      <c r="BS62" s="1620">
        <v>3.6768354310164222</v>
      </c>
      <c r="BT62" s="1603"/>
      <c r="BU62" s="1620">
        <v>1000</v>
      </c>
      <c r="BV62" s="1620">
        <v>4.4613923658698189</v>
      </c>
      <c r="BW62" s="1620">
        <v>0</v>
      </c>
      <c r="BX62" s="1620">
        <v>0</v>
      </c>
      <c r="BY62" s="1620">
        <v>0</v>
      </c>
      <c r="BZ62" s="1620" t="s">
        <v>270</v>
      </c>
      <c r="CA62" s="1620" t="s">
        <v>270</v>
      </c>
      <c r="CB62" s="1603"/>
      <c r="CC62" s="1603">
        <v>0</v>
      </c>
      <c r="CD62" s="1603">
        <v>0</v>
      </c>
      <c r="CE62" s="1603">
        <v>0</v>
      </c>
      <c r="CF62" s="1603">
        <v>0</v>
      </c>
      <c r="CG62" s="1603">
        <v>0</v>
      </c>
      <c r="CH62" s="1603">
        <v>0</v>
      </c>
      <c r="CI62" s="1603">
        <v>0</v>
      </c>
      <c r="CJ62" s="1603"/>
      <c r="CK62" s="1603">
        <v>0</v>
      </c>
      <c r="CL62" s="1603">
        <v>0.42999999999999899</v>
      </c>
      <c r="CM62" s="1603">
        <v>0</v>
      </c>
      <c r="CN62" s="1603">
        <v>0</v>
      </c>
      <c r="CO62" s="1603">
        <v>0</v>
      </c>
      <c r="CP62" s="1603">
        <v>0</v>
      </c>
      <c r="CQ62" s="1603">
        <v>0</v>
      </c>
      <c r="CR62" s="1603">
        <v>0</v>
      </c>
      <c r="CS62" s="1603">
        <v>0</v>
      </c>
      <c r="CT62" s="1603">
        <v>0</v>
      </c>
      <c r="CU62" s="1603">
        <v>0</v>
      </c>
      <c r="CV62" s="1603">
        <v>0</v>
      </c>
      <c r="CW62" s="1603">
        <v>0</v>
      </c>
      <c r="CX62" s="1603">
        <v>0</v>
      </c>
      <c r="CY62" s="1603">
        <v>0</v>
      </c>
      <c r="CZ62" s="1603">
        <v>0</v>
      </c>
      <c r="DA62" s="1603">
        <v>0</v>
      </c>
      <c r="DB62" s="1603">
        <v>0</v>
      </c>
      <c r="DC62" s="1603">
        <v>0</v>
      </c>
      <c r="DD62" s="1603">
        <v>0</v>
      </c>
      <c r="DE62" s="1603">
        <v>0</v>
      </c>
      <c r="DF62" s="1603">
        <v>0</v>
      </c>
      <c r="DG62" s="1603">
        <v>0</v>
      </c>
      <c r="DH62" s="1603">
        <v>0</v>
      </c>
      <c r="DI62" s="1603">
        <v>0</v>
      </c>
      <c r="DJ62" s="1603">
        <v>0</v>
      </c>
      <c r="DK62" s="1603">
        <v>0</v>
      </c>
      <c r="DL62" s="1603">
        <v>0</v>
      </c>
      <c r="DM62" s="1603">
        <v>0</v>
      </c>
      <c r="DN62" s="1603">
        <v>0</v>
      </c>
      <c r="DO62" s="1603">
        <v>0</v>
      </c>
      <c r="DP62" s="1603">
        <v>0</v>
      </c>
      <c r="DQ62" s="1603">
        <v>0</v>
      </c>
      <c r="DR62" s="1603">
        <v>0</v>
      </c>
      <c r="DS62" s="1603">
        <v>0</v>
      </c>
      <c r="DT62" s="1603">
        <v>0</v>
      </c>
      <c r="DU62" s="1603">
        <v>0</v>
      </c>
      <c r="DV62" s="1603">
        <v>0</v>
      </c>
      <c r="DW62" s="1618" t="s">
        <v>3644</v>
      </c>
      <c r="DX62" s="1605" t="s">
        <v>986</v>
      </c>
      <c r="DY62" s="1605" t="s">
        <v>986</v>
      </c>
      <c r="DZ62" s="1605" t="s">
        <v>986</v>
      </c>
      <c r="EA62" s="1605" t="s">
        <v>986</v>
      </c>
      <c r="EB62" s="1605" t="s">
        <v>986</v>
      </c>
      <c r="EC62" s="1605" t="s">
        <v>986</v>
      </c>
      <c r="ED62" s="1605" t="s">
        <v>986</v>
      </c>
      <c r="EE62" s="1605" t="s">
        <v>986</v>
      </c>
      <c r="EF62" s="1605" t="s">
        <v>986</v>
      </c>
      <c r="EG62" s="1605" t="s">
        <v>986</v>
      </c>
      <c r="EH62" s="1605" t="s">
        <v>986</v>
      </c>
      <c r="EI62" s="1605" t="s">
        <v>986</v>
      </c>
      <c r="EJ62" s="1605" t="s">
        <v>986</v>
      </c>
      <c r="EK62" s="1605" t="s">
        <v>986</v>
      </c>
      <c r="EL62" s="1605" t="s">
        <v>986</v>
      </c>
      <c r="EM62" s="1605" t="s">
        <v>986</v>
      </c>
      <c r="EN62" s="1605" t="s">
        <v>986</v>
      </c>
      <c r="EO62" s="1605" t="s">
        <v>986</v>
      </c>
      <c r="EP62" s="1605" t="s">
        <v>986</v>
      </c>
      <c r="EQ62" s="1605" t="s">
        <v>986</v>
      </c>
      <c r="ER62" s="1605" t="s">
        <v>986</v>
      </c>
      <c r="ES62" s="1605" t="s">
        <v>986</v>
      </c>
      <c r="ET62" s="1605" t="s">
        <v>986</v>
      </c>
      <c r="EU62" s="1605" t="s">
        <v>986</v>
      </c>
      <c r="EV62" s="1605" t="s">
        <v>986</v>
      </c>
      <c r="EW62" s="1605" t="s">
        <v>986</v>
      </c>
      <c r="EX62" s="1605" t="s">
        <v>986</v>
      </c>
      <c r="EY62" s="1605" t="s">
        <v>986</v>
      </c>
      <c r="EZ62" s="1605" t="s">
        <v>986</v>
      </c>
      <c r="FA62" s="1605" t="s">
        <v>986</v>
      </c>
      <c r="FB62" s="1605" t="s">
        <v>986</v>
      </c>
      <c r="FC62" s="1605" t="s">
        <v>986</v>
      </c>
      <c r="FD62" s="1605" t="s">
        <v>986</v>
      </c>
      <c r="FE62" s="1605" t="s">
        <v>986</v>
      </c>
      <c r="FF62" s="1605" t="s">
        <v>986</v>
      </c>
      <c r="FG62" s="1605" t="s">
        <v>986</v>
      </c>
      <c r="FH62" s="1605" t="s">
        <v>986</v>
      </c>
      <c r="FI62" s="1605" t="s">
        <v>986</v>
      </c>
      <c r="FJ62" s="1605" t="s">
        <v>986</v>
      </c>
      <c r="FK62" s="1605" t="s">
        <v>986</v>
      </c>
      <c r="FL62" s="1605" t="s">
        <v>986</v>
      </c>
      <c r="FM62" s="1605" t="s">
        <v>986</v>
      </c>
      <c r="FN62" s="1605" t="s">
        <v>986</v>
      </c>
      <c r="FO62" s="1605" t="s">
        <v>986</v>
      </c>
      <c r="FP62" s="1605" t="s">
        <v>986</v>
      </c>
      <c r="FQ62" s="1605" t="s">
        <v>986</v>
      </c>
      <c r="FR62" s="1605" t="s">
        <v>986</v>
      </c>
      <c r="FS62" s="1605" t="s">
        <v>986</v>
      </c>
      <c r="FT62" s="1605" t="s">
        <v>986</v>
      </c>
      <c r="FU62" s="1605" t="s">
        <v>986</v>
      </c>
      <c r="FV62" s="1605" t="s">
        <v>986</v>
      </c>
      <c r="FW62" s="1605" t="s">
        <v>986</v>
      </c>
      <c r="FX62" s="1605" t="s">
        <v>986</v>
      </c>
      <c r="FY62" s="1605" t="s">
        <v>986</v>
      </c>
      <c r="FZ62" s="1605" t="s">
        <v>986</v>
      </c>
      <c r="GA62" s="1605" t="s">
        <v>986</v>
      </c>
      <c r="GB62" s="1605" t="s">
        <v>986</v>
      </c>
      <c r="GC62" s="1605" t="s">
        <v>986</v>
      </c>
      <c r="GD62" s="1605" t="s">
        <v>986</v>
      </c>
      <c r="GE62" s="1605" t="s">
        <v>986</v>
      </c>
      <c r="GF62" s="1605" t="s">
        <v>986</v>
      </c>
      <c r="GG62" s="1605" t="s">
        <v>986</v>
      </c>
      <c r="GH62" s="1605" t="s">
        <v>986</v>
      </c>
      <c r="GI62" s="1605" t="s">
        <v>986</v>
      </c>
      <c r="GJ62" s="1605" t="s">
        <v>986</v>
      </c>
      <c r="GK62" s="1605" t="s">
        <v>986</v>
      </c>
      <c r="GL62" s="1605" t="s">
        <v>986</v>
      </c>
      <c r="GM62" s="1605" t="s">
        <v>986</v>
      </c>
      <c r="GN62" s="1605" t="s">
        <v>1764</v>
      </c>
      <c r="GO62" s="1605" t="s">
        <v>1764</v>
      </c>
      <c r="GP62" s="1605" t="s">
        <v>1764</v>
      </c>
      <c r="GQ62" s="1605" t="s">
        <v>1764</v>
      </c>
      <c r="GR62" s="1605" t="s">
        <v>986</v>
      </c>
      <c r="GS62" s="1605" t="s">
        <v>986</v>
      </c>
      <c r="GT62" s="1605" t="s">
        <v>986</v>
      </c>
      <c r="GU62" s="1605" t="s">
        <v>986</v>
      </c>
      <c r="GV62" s="1605" t="s">
        <v>1764</v>
      </c>
      <c r="GW62" s="1605" t="s">
        <v>1764</v>
      </c>
      <c r="GX62" s="1605" t="s">
        <v>986</v>
      </c>
      <c r="GY62" s="1605" t="s">
        <v>986</v>
      </c>
      <c r="GZ62" s="1605" t="s">
        <v>986</v>
      </c>
      <c r="HA62" s="1605" t="s">
        <v>986</v>
      </c>
      <c r="HB62" s="1605" t="s">
        <v>986</v>
      </c>
      <c r="HC62" s="1605" t="s">
        <v>986</v>
      </c>
      <c r="HD62" s="1605" t="s">
        <v>986</v>
      </c>
      <c r="HE62" s="1605" t="s">
        <v>986</v>
      </c>
      <c r="HF62" s="1605" t="s">
        <v>986</v>
      </c>
      <c r="HG62" s="1605" t="s">
        <v>986</v>
      </c>
      <c r="HH62" s="1605" t="s">
        <v>986</v>
      </c>
      <c r="HI62" s="1605" t="s">
        <v>986</v>
      </c>
      <c r="HJ62" s="1605" t="s">
        <v>986</v>
      </c>
      <c r="HK62" s="1605" t="s">
        <v>986</v>
      </c>
      <c r="HL62" s="1605" t="s">
        <v>986</v>
      </c>
      <c r="HM62" s="1605" t="s">
        <v>986</v>
      </c>
      <c r="HN62" s="1605" t="s">
        <v>986</v>
      </c>
      <c r="HO62" s="1605" t="s">
        <v>986</v>
      </c>
      <c r="HP62" s="1605" t="s">
        <v>986</v>
      </c>
      <c r="HQ62" s="1605" t="s">
        <v>986</v>
      </c>
      <c r="HR62" s="1605" t="s">
        <v>986</v>
      </c>
      <c r="HS62" s="1605" t="s">
        <v>986</v>
      </c>
      <c r="HT62" s="1605" t="s">
        <v>986</v>
      </c>
      <c r="HU62" s="1605" t="s">
        <v>986</v>
      </c>
      <c r="HV62" s="1617"/>
      <c r="HW62" s="1617" t="s">
        <v>2952</v>
      </c>
      <c r="HX62" s="1617" t="s">
        <v>2952</v>
      </c>
      <c r="HY62" s="1617">
        <v>0</v>
      </c>
      <c r="HZ62" s="1603"/>
      <c r="IA62" s="1603"/>
      <c r="IB62" s="1603"/>
      <c r="IC62" s="1603">
        <v>0</v>
      </c>
      <c r="ID62" s="1603">
        <v>0</v>
      </c>
      <c r="IE62" s="1603">
        <v>0</v>
      </c>
      <c r="IF62" s="1603">
        <v>0</v>
      </c>
      <c r="IG62" s="1611" t="s">
        <v>3643</v>
      </c>
      <c r="IH62" s="1616" t="s">
        <v>270</v>
      </c>
      <c r="II62" s="1615" t="s">
        <v>270</v>
      </c>
      <c r="IJ62" s="1613">
        <v>1.8706281407035177</v>
      </c>
      <c r="IK62" s="1613">
        <v>1.6258241206030148</v>
      </c>
      <c r="IL62" s="1614">
        <v>1.8706281407035177</v>
      </c>
      <c r="IM62" s="1614">
        <v>1.6258241206030148</v>
      </c>
      <c r="IN62" s="1612" t="s">
        <v>270</v>
      </c>
      <c r="IO62" s="1613" t="s">
        <v>270</v>
      </c>
      <c r="IP62" s="1607" t="s">
        <v>270</v>
      </c>
      <c r="IQ62" s="1612" t="s">
        <v>270</v>
      </c>
      <c r="IR62" s="1612" t="s">
        <v>270</v>
      </c>
      <c r="IS62" s="1607">
        <v>1.6976281407035176</v>
      </c>
      <c r="IT62" s="1607">
        <v>1.4528241206030148</v>
      </c>
      <c r="IU62" s="1611">
        <v>1.0050251256281408E-5</v>
      </c>
      <c r="IV62" s="1611">
        <v>2.7417085427135682E-2</v>
      </c>
      <c r="IW62" s="1611">
        <v>7.2361809045226122E-4</v>
      </c>
      <c r="IX62" s="1611">
        <v>1.9597989949748742E-3</v>
      </c>
      <c r="IY62" s="1611">
        <v>7.4371859296482404E-4</v>
      </c>
      <c r="IZ62" s="1611">
        <v>1.2412060301507537E-2</v>
      </c>
      <c r="JA62" s="1611">
        <v>8.0402010050251261E-5</v>
      </c>
      <c r="JB62" s="1611" t="s">
        <v>270</v>
      </c>
      <c r="JC62" s="1611">
        <v>0.3158894472361809</v>
      </c>
      <c r="JD62" s="1611">
        <v>5.4472361809045234E-3</v>
      </c>
      <c r="JE62" s="1611" t="s">
        <v>270</v>
      </c>
      <c r="JF62" s="1611">
        <v>8.0402010050251258E-4</v>
      </c>
      <c r="JG62" s="1611">
        <v>0.79326633165829152</v>
      </c>
      <c r="JH62" s="1611">
        <v>3.1155778894472364E-4</v>
      </c>
      <c r="JI62" s="1611">
        <v>0.31719597989949749</v>
      </c>
      <c r="JJ62" s="1611" t="s">
        <v>270</v>
      </c>
      <c r="JK62" s="1607">
        <f t="shared" si="9"/>
        <v>0.17300000000000004</v>
      </c>
      <c r="JL62" s="1608" t="s">
        <v>270</v>
      </c>
      <c r="JM62" s="1610" t="s">
        <v>2924</v>
      </c>
      <c r="JN62" s="1608">
        <v>0.24480402010050284</v>
      </c>
      <c r="JO62" s="1609" t="s">
        <v>2955</v>
      </c>
      <c r="JP62" s="1608" t="s">
        <v>270</v>
      </c>
      <c r="JQ62" s="1607">
        <v>202103</v>
      </c>
      <c r="JR62" s="1606">
        <v>137</v>
      </c>
      <c r="JS62" s="1606">
        <v>130</v>
      </c>
      <c r="JT62" s="1606">
        <v>130</v>
      </c>
    </row>
    <row r="63" spans="1:280" ht="15" customHeight="1" x14ac:dyDescent="0.2">
      <c r="A63" s="1626">
        <v>88400</v>
      </c>
      <c r="B63" s="1625">
        <v>884</v>
      </c>
      <c r="C63" s="1624">
        <v>0</v>
      </c>
      <c r="D63" s="1623" t="s">
        <v>3642</v>
      </c>
      <c r="E63" s="1622">
        <v>43031</v>
      </c>
      <c r="F63" s="1620">
        <v>3.5622558890542</v>
      </c>
      <c r="G63" s="1620">
        <v>3.42008774301559</v>
      </c>
      <c r="H63" s="1621">
        <v>97</v>
      </c>
      <c r="I63" s="1621">
        <v>97</v>
      </c>
      <c r="J63" s="1621">
        <v>90</v>
      </c>
      <c r="K63" s="1620">
        <v>0.94</v>
      </c>
      <c r="L63" s="1620">
        <v>99</v>
      </c>
      <c r="M63" s="1620">
        <v>1E-4</v>
      </c>
      <c r="N63" s="1620">
        <v>99</v>
      </c>
      <c r="O63" s="1620">
        <v>0</v>
      </c>
      <c r="P63" s="1620">
        <v>0</v>
      </c>
      <c r="Q63" s="1603"/>
      <c r="R63" s="1620">
        <v>0</v>
      </c>
      <c r="S63" s="1620">
        <v>0</v>
      </c>
      <c r="T63" s="1620">
        <v>0</v>
      </c>
      <c r="U63" s="1620">
        <v>0</v>
      </c>
      <c r="V63" s="1620">
        <v>0</v>
      </c>
      <c r="W63" s="1620">
        <v>0</v>
      </c>
      <c r="X63" s="1620"/>
      <c r="Y63" s="1620">
        <v>0</v>
      </c>
      <c r="Z63" s="1620">
        <v>0</v>
      </c>
      <c r="AA63" s="1620">
        <v>0</v>
      </c>
      <c r="AB63" s="1620">
        <v>0</v>
      </c>
      <c r="AC63" s="1620">
        <v>0</v>
      </c>
      <c r="AD63" s="1620">
        <v>0</v>
      </c>
      <c r="AE63" s="1620">
        <v>0</v>
      </c>
      <c r="AF63" s="1620">
        <v>0</v>
      </c>
      <c r="AG63" s="1620">
        <v>0</v>
      </c>
      <c r="AH63" s="1620">
        <v>0</v>
      </c>
      <c r="AI63" s="1620">
        <v>0</v>
      </c>
      <c r="AJ63" s="1620">
        <v>0</v>
      </c>
      <c r="AK63" s="1620">
        <v>0</v>
      </c>
      <c r="AL63" s="1620"/>
      <c r="AM63" s="1620">
        <v>0</v>
      </c>
      <c r="AN63" s="1620">
        <v>0</v>
      </c>
      <c r="AO63" s="1620">
        <v>0</v>
      </c>
      <c r="AP63" s="1620">
        <v>0</v>
      </c>
      <c r="AQ63" s="1620">
        <v>0</v>
      </c>
      <c r="AR63" s="1620">
        <v>0</v>
      </c>
      <c r="AS63" s="1620">
        <v>0</v>
      </c>
      <c r="AT63" s="1620">
        <v>0</v>
      </c>
      <c r="AU63" s="1620">
        <v>0</v>
      </c>
      <c r="AV63" s="1620">
        <v>0</v>
      </c>
      <c r="AW63" s="1620">
        <v>0</v>
      </c>
      <c r="AX63" s="1620"/>
      <c r="AY63" s="1620">
        <v>1</v>
      </c>
      <c r="AZ63" s="1620">
        <v>1</v>
      </c>
      <c r="BA63" s="1620">
        <v>1</v>
      </c>
      <c r="BB63" s="1620">
        <v>1</v>
      </c>
      <c r="BC63" s="1620">
        <v>1</v>
      </c>
      <c r="BD63" s="1620">
        <v>1</v>
      </c>
      <c r="BE63" s="1620">
        <v>1</v>
      </c>
      <c r="BF63" s="1620">
        <v>1</v>
      </c>
      <c r="BG63" s="1620">
        <v>1</v>
      </c>
      <c r="BH63" s="1620">
        <v>1</v>
      </c>
      <c r="BI63" s="1620">
        <v>1</v>
      </c>
      <c r="BJ63" s="1603"/>
      <c r="BK63" s="1620">
        <v>1.0101010101010101E-4</v>
      </c>
      <c r="BL63" s="1620">
        <v>100</v>
      </c>
      <c r="BM63" s="1620">
        <v>0</v>
      </c>
      <c r="BN63" s="1620">
        <v>0</v>
      </c>
      <c r="BO63" s="1620"/>
      <c r="BP63" s="1620">
        <v>65</v>
      </c>
      <c r="BQ63" s="1620">
        <v>650</v>
      </c>
      <c r="BR63" s="1620">
        <v>3.5982382717719195</v>
      </c>
      <c r="BS63" s="1620">
        <v>3.4546340838541316</v>
      </c>
      <c r="BT63" s="1603"/>
      <c r="BU63" s="1620">
        <v>1000</v>
      </c>
      <c r="BV63" s="1620">
        <v>-9.1919191907823233E-4</v>
      </c>
      <c r="BW63" s="1620">
        <v>0</v>
      </c>
      <c r="BX63" s="1620">
        <v>0</v>
      </c>
      <c r="BY63" s="1620">
        <v>0</v>
      </c>
      <c r="BZ63" s="1620" t="s">
        <v>270</v>
      </c>
      <c r="CA63" s="1620" t="s">
        <v>270</v>
      </c>
      <c r="CB63" s="1603"/>
      <c r="CC63" s="1603">
        <v>0</v>
      </c>
      <c r="CD63" s="1603">
        <v>0</v>
      </c>
      <c r="CE63" s="1603">
        <v>0</v>
      </c>
      <c r="CF63" s="1603">
        <v>0</v>
      </c>
      <c r="CG63" s="1603">
        <v>0</v>
      </c>
      <c r="CH63" s="1603">
        <v>0</v>
      </c>
      <c r="CI63" s="1603">
        <v>0</v>
      </c>
      <c r="CJ63" s="1603"/>
      <c r="CK63" s="1603">
        <v>0</v>
      </c>
      <c r="CL63" s="1603">
        <v>0</v>
      </c>
      <c r="CM63" s="1603">
        <v>0</v>
      </c>
      <c r="CN63" s="1603">
        <v>0</v>
      </c>
      <c r="CO63" s="1603">
        <v>0</v>
      </c>
      <c r="CP63" s="1603">
        <v>0</v>
      </c>
      <c r="CQ63" s="1603">
        <v>0</v>
      </c>
      <c r="CR63" s="1603">
        <v>0</v>
      </c>
      <c r="CS63" s="1603">
        <v>0</v>
      </c>
      <c r="CT63" s="1603">
        <v>0</v>
      </c>
      <c r="CU63" s="1603">
        <v>0</v>
      </c>
      <c r="CV63" s="1603">
        <v>0</v>
      </c>
      <c r="CW63" s="1603">
        <v>0</v>
      </c>
      <c r="CX63" s="1603">
        <v>0</v>
      </c>
      <c r="CY63" s="1603">
        <v>0</v>
      </c>
      <c r="CZ63" s="1603">
        <v>0</v>
      </c>
      <c r="DA63" s="1603">
        <v>0</v>
      </c>
      <c r="DB63" s="1603">
        <v>0</v>
      </c>
      <c r="DC63" s="1603">
        <v>0</v>
      </c>
      <c r="DD63" s="1603">
        <v>0</v>
      </c>
      <c r="DE63" s="1603">
        <v>0</v>
      </c>
      <c r="DF63" s="1603">
        <v>0</v>
      </c>
      <c r="DG63" s="1603">
        <v>0</v>
      </c>
      <c r="DH63" s="1603">
        <v>0</v>
      </c>
      <c r="DI63" s="1603">
        <v>0</v>
      </c>
      <c r="DJ63" s="1603">
        <v>0</v>
      </c>
      <c r="DK63" s="1603">
        <v>0</v>
      </c>
      <c r="DL63" s="1603">
        <v>0</v>
      </c>
      <c r="DM63" s="1603">
        <v>0</v>
      </c>
      <c r="DN63" s="1603">
        <v>0</v>
      </c>
      <c r="DO63" s="1603">
        <v>0</v>
      </c>
      <c r="DP63" s="1603">
        <v>0</v>
      </c>
      <c r="DQ63" s="1603">
        <v>0</v>
      </c>
      <c r="DR63" s="1603">
        <v>0</v>
      </c>
      <c r="DS63" s="1603">
        <v>0</v>
      </c>
      <c r="DT63" s="1603">
        <v>0</v>
      </c>
      <c r="DU63" s="1603">
        <v>0</v>
      </c>
      <c r="DV63" s="1603">
        <v>0</v>
      </c>
      <c r="DW63" s="1618" t="s">
        <v>986</v>
      </c>
      <c r="DX63" s="1605" t="s">
        <v>986</v>
      </c>
      <c r="DY63" s="1605" t="s">
        <v>986</v>
      </c>
      <c r="DZ63" s="1605" t="s">
        <v>986</v>
      </c>
      <c r="EA63" s="1605" t="s">
        <v>986</v>
      </c>
      <c r="EB63" s="1605" t="s">
        <v>986</v>
      </c>
      <c r="EC63" s="1605" t="s">
        <v>986</v>
      </c>
      <c r="ED63" s="1605" t="s">
        <v>986</v>
      </c>
      <c r="EE63" s="1605" t="s">
        <v>986</v>
      </c>
      <c r="EF63" s="1605" t="s">
        <v>986</v>
      </c>
      <c r="EG63" s="1605" t="s">
        <v>986</v>
      </c>
      <c r="EH63" s="1605" t="s">
        <v>986</v>
      </c>
      <c r="EI63" s="1605" t="s">
        <v>986</v>
      </c>
      <c r="EJ63" s="1605" t="s">
        <v>986</v>
      </c>
      <c r="EK63" s="1605" t="s">
        <v>986</v>
      </c>
      <c r="EL63" s="1605" t="s">
        <v>986</v>
      </c>
      <c r="EM63" s="1605" t="s">
        <v>986</v>
      </c>
      <c r="EN63" s="1605" t="s">
        <v>986</v>
      </c>
      <c r="EO63" s="1605" t="s">
        <v>986</v>
      </c>
      <c r="EP63" s="1605" t="s">
        <v>986</v>
      </c>
      <c r="EQ63" s="1605" t="s">
        <v>986</v>
      </c>
      <c r="ER63" s="1605" t="s">
        <v>986</v>
      </c>
      <c r="ES63" s="1605" t="s">
        <v>986</v>
      </c>
      <c r="ET63" s="1605" t="s">
        <v>986</v>
      </c>
      <c r="EU63" s="1605" t="s">
        <v>986</v>
      </c>
      <c r="EV63" s="1605" t="s">
        <v>986</v>
      </c>
      <c r="EW63" s="1605" t="s">
        <v>986</v>
      </c>
      <c r="EX63" s="1605" t="s">
        <v>986</v>
      </c>
      <c r="EY63" s="1605" t="s">
        <v>986</v>
      </c>
      <c r="EZ63" s="1605" t="s">
        <v>986</v>
      </c>
      <c r="FA63" s="1605" t="s">
        <v>986</v>
      </c>
      <c r="FB63" s="1605" t="s">
        <v>986</v>
      </c>
      <c r="FC63" s="1605" t="s">
        <v>986</v>
      </c>
      <c r="FD63" s="1605" t="s">
        <v>986</v>
      </c>
      <c r="FE63" s="1605" t="s">
        <v>986</v>
      </c>
      <c r="FF63" s="1605" t="s">
        <v>986</v>
      </c>
      <c r="FG63" s="1605" t="s">
        <v>986</v>
      </c>
      <c r="FH63" s="1605" t="s">
        <v>986</v>
      </c>
      <c r="FI63" s="1605" t="s">
        <v>986</v>
      </c>
      <c r="FJ63" s="1605" t="s">
        <v>986</v>
      </c>
      <c r="FK63" s="1605" t="s">
        <v>986</v>
      </c>
      <c r="FL63" s="1605" t="s">
        <v>986</v>
      </c>
      <c r="FM63" s="1605" t="s">
        <v>986</v>
      </c>
      <c r="FN63" s="1605" t="s">
        <v>986</v>
      </c>
      <c r="FO63" s="1605" t="s">
        <v>986</v>
      </c>
      <c r="FP63" s="1605" t="s">
        <v>986</v>
      </c>
      <c r="FQ63" s="1605" t="s">
        <v>986</v>
      </c>
      <c r="FR63" s="1605" t="s">
        <v>986</v>
      </c>
      <c r="FS63" s="1605" t="s">
        <v>986</v>
      </c>
      <c r="FT63" s="1605" t="s">
        <v>986</v>
      </c>
      <c r="FU63" s="1605" t="s">
        <v>986</v>
      </c>
      <c r="FV63" s="1605" t="s">
        <v>986</v>
      </c>
      <c r="FW63" s="1605" t="s">
        <v>986</v>
      </c>
      <c r="FX63" s="1605" t="s">
        <v>986</v>
      </c>
      <c r="FY63" s="1605" t="s">
        <v>986</v>
      </c>
      <c r="FZ63" s="1605" t="s">
        <v>986</v>
      </c>
      <c r="GA63" s="1605" t="s">
        <v>986</v>
      </c>
      <c r="GB63" s="1605" t="s">
        <v>986</v>
      </c>
      <c r="GC63" s="1605" t="s">
        <v>986</v>
      </c>
      <c r="GD63" s="1605" t="s">
        <v>986</v>
      </c>
      <c r="GE63" s="1605" t="s">
        <v>986</v>
      </c>
      <c r="GF63" s="1605" t="s">
        <v>986</v>
      </c>
      <c r="GG63" s="1605" t="s">
        <v>986</v>
      </c>
      <c r="GH63" s="1605" t="s">
        <v>986</v>
      </c>
      <c r="GI63" s="1605" t="s">
        <v>986</v>
      </c>
      <c r="GJ63" s="1605" t="s">
        <v>986</v>
      </c>
      <c r="GK63" s="1605" t="s">
        <v>986</v>
      </c>
      <c r="GL63" s="1605" t="s">
        <v>986</v>
      </c>
      <c r="GM63" s="1605" t="s">
        <v>986</v>
      </c>
      <c r="GN63" s="1605" t="s">
        <v>986</v>
      </c>
      <c r="GO63" s="1605" t="s">
        <v>986</v>
      </c>
      <c r="GP63" s="1605" t="s">
        <v>986</v>
      </c>
      <c r="GQ63" s="1605" t="s">
        <v>986</v>
      </c>
      <c r="GR63" s="1605" t="s">
        <v>986</v>
      </c>
      <c r="GS63" s="1605" t="s">
        <v>986</v>
      </c>
      <c r="GT63" s="1605" t="s">
        <v>986</v>
      </c>
      <c r="GU63" s="1605" t="s">
        <v>986</v>
      </c>
      <c r="GV63" s="1605" t="s">
        <v>986</v>
      </c>
      <c r="GW63" s="1605" t="s">
        <v>986</v>
      </c>
      <c r="GX63" s="1605" t="s">
        <v>986</v>
      </c>
      <c r="GY63" s="1605" t="s">
        <v>986</v>
      </c>
      <c r="GZ63" s="1605" t="s">
        <v>986</v>
      </c>
      <c r="HA63" s="1605" t="s">
        <v>986</v>
      </c>
      <c r="HB63" s="1605" t="s">
        <v>986</v>
      </c>
      <c r="HC63" s="1605" t="s">
        <v>986</v>
      </c>
      <c r="HD63" s="1605" t="s">
        <v>986</v>
      </c>
      <c r="HE63" s="1605" t="s">
        <v>986</v>
      </c>
      <c r="HF63" s="1605" t="s">
        <v>986</v>
      </c>
      <c r="HG63" s="1605" t="s">
        <v>986</v>
      </c>
      <c r="HH63" s="1605" t="s">
        <v>986</v>
      </c>
      <c r="HI63" s="1605" t="s">
        <v>986</v>
      </c>
      <c r="HJ63" s="1605" t="s">
        <v>986</v>
      </c>
      <c r="HK63" s="1605" t="s">
        <v>986</v>
      </c>
      <c r="HL63" s="1605" t="s">
        <v>986</v>
      </c>
      <c r="HM63" s="1605" t="s">
        <v>986</v>
      </c>
      <c r="HN63" s="1605" t="s">
        <v>986</v>
      </c>
      <c r="HO63" s="1605" t="s">
        <v>986</v>
      </c>
      <c r="HP63" s="1605" t="s">
        <v>986</v>
      </c>
      <c r="HQ63" s="1605" t="s">
        <v>986</v>
      </c>
      <c r="HR63" s="1605" t="s">
        <v>986</v>
      </c>
      <c r="HS63" s="1605" t="s">
        <v>986</v>
      </c>
      <c r="HT63" s="1605" t="s">
        <v>986</v>
      </c>
      <c r="HU63" s="1605" t="s">
        <v>986</v>
      </c>
      <c r="HV63" s="1617"/>
      <c r="HW63" s="1617" t="s">
        <v>3641</v>
      </c>
      <c r="HX63" s="1617" t="s">
        <v>3640</v>
      </c>
      <c r="HY63" s="1617">
        <v>0</v>
      </c>
      <c r="HZ63" s="1603"/>
      <c r="IA63" s="1603"/>
      <c r="IB63" s="1603"/>
      <c r="IC63" s="1603">
        <v>0</v>
      </c>
      <c r="ID63" s="1603">
        <v>0</v>
      </c>
      <c r="IE63" s="1603">
        <v>0</v>
      </c>
      <c r="IF63" s="1603">
        <v>0</v>
      </c>
      <c r="IG63" s="1611" t="s">
        <v>3639</v>
      </c>
      <c r="IH63" s="1616" t="s">
        <v>270</v>
      </c>
      <c r="II63" s="1615" t="s">
        <v>270</v>
      </c>
      <c r="IJ63" s="1613">
        <v>4.1054238861188015</v>
      </c>
      <c r="IK63" s="1613">
        <v>2.474151565323262</v>
      </c>
      <c r="IL63" s="1614">
        <v>4.1054238861188015</v>
      </c>
      <c r="IM63" s="1614">
        <v>2.474151565323262</v>
      </c>
      <c r="IN63" s="1612" t="s">
        <v>270</v>
      </c>
      <c r="IO63" s="1613" t="s">
        <v>270</v>
      </c>
      <c r="IP63" s="1607">
        <v>8.5991664366288614</v>
      </c>
      <c r="IQ63" s="1612" t="s">
        <v>270</v>
      </c>
      <c r="IR63" s="1612" t="s">
        <v>270</v>
      </c>
      <c r="IS63" s="1607">
        <v>3.9324238861188019</v>
      </c>
      <c r="IT63" s="1607">
        <v>2.3011515653232619</v>
      </c>
      <c r="IU63" s="1611">
        <v>3.1268624486719416E-5</v>
      </c>
      <c r="IV63" s="1611">
        <v>4.0216987879160219E-2</v>
      </c>
      <c r="IW63" s="1611">
        <v>4.205448261557534E-3</v>
      </c>
      <c r="IX63" s="1611">
        <v>4.5282934423261281E-3</v>
      </c>
      <c r="IY63" s="1611">
        <v>4.379642962638648E-3</v>
      </c>
      <c r="IZ63" s="1611">
        <v>2.882586035892103E-2</v>
      </c>
      <c r="JA63" s="1611">
        <v>8.0561907886992235E-4</v>
      </c>
      <c r="JB63" s="1611">
        <v>9.7030530452896606E-3</v>
      </c>
      <c r="JC63" s="1611">
        <v>1.8005210132661746</v>
      </c>
      <c r="JD63" s="1611">
        <v>0.16743422319199489</v>
      </c>
      <c r="JE63" s="1611">
        <v>5.2822641890609243E-2</v>
      </c>
      <c r="JF63" s="1611">
        <v>2.0163664169188557E-3</v>
      </c>
      <c r="JG63" s="1611">
        <v>5.2515122464406394</v>
      </c>
      <c r="JH63" s="1611">
        <v>2.6500318518218567E-3</v>
      </c>
      <c r="JI63" s="1611">
        <v>0.35048291320418667</v>
      </c>
      <c r="JJ63" s="1611">
        <v>0.1061112289531012</v>
      </c>
      <c r="JK63" s="1607">
        <f t="shared" si="9"/>
        <v>0.1729999999999996</v>
      </c>
      <c r="JL63" s="1608" t="s">
        <v>270</v>
      </c>
      <c r="JM63" s="1610" t="s">
        <v>2924</v>
      </c>
      <c r="JN63" s="1608">
        <v>1.63127232079554</v>
      </c>
      <c r="JO63" s="1609" t="s">
        <v>2955</v>
      </c>
      <c r="JP63" s="1608" t="s">
        <v>270</v>
      </c>
      <c r="JQ63" s="1607">
        <v>201901</v>
      </c>
      <c r="JR63" s="1606">
        <v>139</v>
      </c>
      <c r="JS63" s="1606" t="s">
        <v>270</v>
      </c>
      <c r="JT63" s="1606" t="s">
        <v>270</v>
      </c>
    </row>
    <row r="64" spans="1:280" ht="15" customHeight="1" x14ac:dyDescent="0.2">
      <c r="A64" s="1626">
        <v>99920</v>
      </c>
      <c r="B64" s="1625">
        <v>999</v>
      </c>
      <c r="C64" s="1624">
        <v>20</v>
      </c>
      <c r="D64" s="1623" t="s">
        <v>3638</v>
      </c>
      <c r="E64" s="1622">
        <v>43031</v>
      </c>
      <c r="F64" s="1620">
        <v>1.1974318292682899</v>
      </c>
      <c r="G64" s="1620">
        <v>1.14766842857143</v>
      </c>
      <c r="H64" s="1621">
        <v>100</v>
      </c>
      <c r="I64" s="1621">
        <v>100</v>
      </c>
      <c r="J64" s="1621">
        <v>100</v>
      </c>
      <c r="K64" s="1620">
        <v>1</v>
      </c>
      <c r="L64" s="1620">
        <v>99</v>
      </c>
      <c r="M64" s="1620">
        <v>52.47</v>
      </c>
      <c r="N64" s="1620">
        <v>0</v>
      </c>
      <c r="O64" s="1620">
        <v>15.048</v>
      </c>
      <c r="P64" s="1620">
        <v>0</v>
      </c>
      <c r="Q64" s="1603"/>
      <c r="R64" s="1620">
        <v>100</v>
      </c>
      <c r="S64" s="1620">
        <v>0</v>
      </c>
      <c r="T64" s="1620">
        <v>0</v>
      </c>
      <c r="U64" s="1620">
        <v>0</v>
      </c>
      <c r="V64" s="1620">
        <v>0</v>
      </c>
      <c r="W64" s="1620">
        <v>0</v>
      </c>
      <c r="X64" s="1620"/>
      <c r="Y64" s="1620">
        <v>0</v>
      </c>
      <c r="Z64" s="1620">
        <v>0</v>
      </c>
      <c r="AA64" s="1620">
        <v>0</v>
      </c>
      <c r="AB64" s="1620">
        <v>0</v>
      </c>
      <c r="AC64" s="1620">
        <v>0</v>
      </c>
      <c r="AD64" s="1620">
        <v>0</v>
      </c>
      <c r="AE64" s="1620">
        <v>0</v>
      </c>
      <c r="AF64" s="1620">
        <v>0</v>
      </c>
      <c r="AG64" s="1620">
        <v>0</v>
      </c>
      <c r="AH64" s="1620">
        <v>0</v>
      </c>
      <c r="AI64" s="1620">
        <v>0</v>
      </c>
      <c r="AJ64" s="1620">
        <v>0</v>
      </c>
      <c r="AK64" s="1620">
        <v>0</v>
      </c>
      <c r="AL64" s="1620"/>
      <c r="AM64" s="1620">
        <v>0</v>
      </c>
      <c r="AN64" s="1620">
        <v>0</v>
      </c>
      <c r="AO64" s="1620">
        <v>0</v>
      </c>
      <c r="AP64" s="1620">
        <v>0</v>
      </c>
      <c r="AQ64" s="1620">
        <v>0</v>
      </c>
      <c r="AR64" s="1620">
        <v>0</v>
      </c>
      <c r="AS64" s="1620">
        <v>0</v>
      </c>
      <c r="AT64" s="1620">
        <v>0</v>
      </c>
      <c r="AU64" s="1620">
        <v>188.67924500000001</v>
      </c>
      <c r="AV64" s="1620">
        <v>0</v>
      </c>
      <c r="AW64" s="1620">
        <v>0</v>
      </c>
      <c r="AX64" s="1620"/>
      <c r="AY64" s="1620">
        <v>1</v>
      </c>
      <c r="AZ64" s="1620">
        <v>1</v>
      </c>
      <c r="BA64" s="1620">
        <v>1</v>
      </c>
      <c r="BB64" s="1620">
        <v>1</v>
      </c>
      <c r="BC64" s="1620">
        <v>1</v>
      </c>
      <c r="BD64" s="1620">
        <v>1</v>
      </c>
      <c r="BE64" s="1620">
        <v>1</v>
      </c>
      <c r="BF64" s="1620">
        <v>1</v>
      </c>
      <c r="BG64" s="1620">
        <v>1</v>
      </c>
      <c r="BH64" s="1620">
        <v>1</v>
      </c>
      <c r="BI64" s="1620">
        <v>1</v>
      </c>
      <c r="BJ64" s="1603"/>
      <c r="BK64" s="1620">
        <v>53</v>
      </c>
      <c r="BL64" s="1620">
        <v>0</v>
      </c>
      <c r="BM64" s="1620">
        <v>15.2</v>
      </c>
      <c r="BN64" s="1620">
        <v>0</v>
      </c>
      <c r="BO64" s="1620"/>
      <c r="BP64" s="1620">
        <v>0</v>
      </c>
      <c r="BQ64" s="1620">
        <v>0</v>
      </c>
      <c r="BR64" s="1620">
        <v>1.209527100271</v>
      </c>
      <c r="BS64" s="1620">
        <v>1.1592610389610405</v>
      </c>
      <c r="BT64" s="1603"/>
      <c r="BU64" s="1620">
        <v>848</v>
      </c>
      <c r="BV64" s="1620">
        <v>365.70000000000005</v>
      </c>
      <c r="BW64" s="1620">
        <v>0</v>
      </c>
      <c r="BX64" s="1620">
        <v>0</v>
      </c>
      <c r="BY64" s="1620">
        <v>0</v>
      </c>
      <c r="BZ64" s="1620" t="s">
        <v>270</v>
      </c>
      <c r="CA64" s="1620" t="s">
        <v>270</v>
      </c>
      <c r="CB64" s="1603"/>
      <c r="CC64" s="1603">
        <v>0</v>
      </c>
      <c r="CD64" s="1603">
        <v>0</v>
      </c>
      <c r="CE64" s="1603">
        <v>0</v>
      </c>
      <c r="CF64" s="1603">
        <v>0</v>
      </c>
      <c r="CG64" s="1603">
        <v>0</v>
      </c>
      <c r="CH64" s="1603">
        <v>0</v>
      </c>
      <c r="CI64" s="1603">
        <v>0</v>
      </c>
      <c r="CJ64" s="1603"/>
      <c r="CK64" s="1603">
        <v>0</v>
      </c>
      <c r="CL64" s="1603">
        <v>0</v>
      </c>
      <c r="CM64" s="1603">
        <v>0</v>
      </c>
      <c r="CN64" s="1603">
        <v>0</v>
      </c>
      <c r="CO64" s="1603">
        <v>0</v>
      </c>
      <c r="CP64" s="1603">
        <v>0</v>
      </c>
      <c r="CQ64" s="1603">
        <v>524.70000000000005</v>
      </c>
      <c r="CR64" s="1603">
        <v>438.18778420198373</v>
      </c>
      <c r="CS64" s="1603">
        <v>0</v>
      </c>
      <c r="CT64" s="1603">
        <v>0</v>
      </c>
      <c r="CU64" s="1603">
        <v>0</v>
      </c>
      <c r="CV64" s="1603">
        <v>0</v>
      </c>
      <c r="CW64" s="1603">
        <v>0</v>
      </c>
      <c r="CX64" s="1603">
        <v>0</v>
      </c>
      <c r="CY64" s="1603">
        <v>0</v>
      </c>
      <c r="CZ64" s="1603">
        <v>0</v>
      </c>
      <c r="DA64" s="1603">
        <v>0</v>
      </c>
      <c r="DB64" s="1603">
        <v>826.76940291453207</v>
      </c>
      <c r="DC64" s="1603">
        <v>0</v>
      </c>
      <c r="DD64" s="1603">
        <v>826.76940291453207</v>
      </c>
      <c r="DE64" s="1603">
        <v>0</v>
      </c>
      <c r="DF64" s="1603">
        <v>0</v>
      </c>
      <c r="DG64" s="1603">
        <v>0</v>
      </c>
      <c r="DH64" s="1603">
        <v>0</v>
      </c>
      <c r="DI64" s="1603">
        <v>0</v>
      </c>
      <c r="DJ64" s="1603">
        <v>0</v>
      </c>
      <c r="DK64" s="1603">
        <v>0</v>
      </c>
      <c r="DL64" s="1603">
        <v>0</v>
      </c>
      <c r="DM64" s="1603">
        <v>0</v>
      </c>
      <c r="DN64" s="1603">
        <v>0</v>
      </c>
      <c r="DO64" s="1603">
        <v>0</v>
      </c>
      <c r="DP64" s="1603">
        <v>0</v>
      </c>
      <c r="DQ64" s="1603">
        <v>0</v>
      </c>
      <c r="DR64" s="1603">
        <v>0</v>
      </c>
      <c r="DS64" s="1603">
        <v>0</v>
      </c>
      <c r="DT64" s="1603">
        <v>0</v>
      </c>
      <c r="DU64" s="1603">
        <v>0</v>
      </c>
      <c r="DV64" s="1603">
        <v>0</v>
      </c>
      <c r="DW64" s="1618" t="s">
        <v>986</v>
      </c>
      <c r="DX64" s="1605" t="s">
        <v>986</v>
      </c>
      <c r="DY64" s="1605" t="s">
        <v>986</v>
      </c>
      <c r="DZ64" s="1605" t="s">
        <v>986</v>
      </c>
      <c r="EA64" s="1605" t="s">
        <v>986</v>
      </c>
      <c r="EB64" s="1605" t="s">
        <v>986</v>
      </c>
      <c r="EC64" s="1605" t="s">
        <v>986</v>
      </c>
      <c r="ED64" s="1605" t="s">
        <v>986</v>
      </c>
      <c r="EE64" s="1605" t="s">
        <v>986</v>
      </c>
      <c r="EF64" s="1605" t="s">
        <v>986</v>
      </c>
      <c r="EG64" s="1605" t="s">
        <v>986</v>
      </c>
      <c r="EH64" s="1605" t="s">
        <v>986</v>
      </c>
      <c r="EI64" s="1605" t="s">
        <v>986</v>
      </c>
      <c r="EJ64" s="1605" t="s">
        <v>986</v>
      </c>
      <c r="EK64" s="1605" t="s">
        <v>986</v>
      </c>
      <c r="EL64" s="1605" t="s">
        <v>986</v>
      </c>
      <c r="EM64" s="1605" t="s">
        <v>986</v>
      </c>
      <c r="EN64" s="1605" t="s">
        <v>986</v>
      </c>
      <c r="EO64" s="1605" t="s">
        <v>986</v>
      </c>
      <c r="EP64" s="1605" t="s">
        <v>986</v>
      </c>
      <c r="EQ64" s="1605" t="s">
        <v>986</v>
      </c>
      <c r="ER64" s="1605" t="s">
        <v>986</v>
      </c>
      <c r="ES64" s="1605" t="s">
        <v>986</v>
      </c>
      <c r="ET64" s="1605" t="s">
        <v>986</v>
      </c>
      <c r="EU64" s="1605" t="s">
        <v>986</v>
      </c>
      <c r="EV64" s="1605" t="s">
        <v>986</v>
      </c>
      <c r="EW64" s="1605" t="s">
        <v>986</v>
      </c>
      <c r="EX64" s="1605" t="s">
        <v>986</v>
      </c>
      <c r="EY64" s="1605" t="s">
        <v>986</v>
      </c>
      <c r="EZ64" s="1605" t="s">
        <v>986</v>
      </c>
      <c r="FA64" s="1605" t="s">
        <v>986</v>
      </c>
      <c r="FB64" s="1605" t="s">
        <v>986</v>
      </c>
      <c r="FC64" s="1605" t="s">
        <v>986</v>
      </c>
      <c r="FD64" s="1605" t="s">
        <v>986</v>
      </c>
      <c r="FE64" s="1605" t="s">
        <v>986</v>
      </c>
      <c r="FF64" s="1605" t="s">
        <v>986</v>
      </c>
      <c r="FG64" s="1605" t="s">
        <v>986</v>
      </c>
      <c r="FH64" s="1605" t="s">
        <v>986</v>
      </c>
      <c r="FI64" s="1605" t="s">
        <v>986</v>
      </c>
      <c r="FJ64" s="1605" t="s">
        <v>986</v>
      </c>
      <c r="FK64" s="1605" t="s">
        <v>986</v>
      </c>
      <c r="FL64" s="1605" t="s">
        <v>986</v>
      </c>
      <c r="FM64" s="1605" t="s">
        <v>986</v>
      </c>
      <c r="FN64" s="1605" t="s">
        <v>986</v>
      </c>
      <c r="FO64" s="1605" t="s">
        <v>986</v>
      </c>
      <c r="FP64" s="1605" t="s">
        <v>986</v>
      </c>
      <c r="FQ64" s="1605" t="s">
        <v>986</v>
      </c>
      <c r="FR64" s="1605" t="s">
        <v>986</v>
      </c>
      <c r="FS64" s="1605" t="s">
        <v>986</v>
      </c>
      <c r="FT64" s="1605" t="s">
        <v>986</v>
      </c>
      <c r="FU64" s="1605" t="s">
        <v>986</v>
      </c>
      <c r="FV64" s="1605" t="s">
        <v>986</v>
      </c>
      <c r="FW64" s="1605" t="s">
        <v>986</v>
      </c>
      <c r="FX64" s="1605" t="s">
        <v>986</v>
      </c>
      <c r="FY64" s="1605" t="s">
        <v>986</v>
      </c>
      <c r="FZ64" s="1605" t="s">
        <v>986</v>
      </c>
      <c r="GA64" s="1605" t="s">
        <v>986</v>
      </c>
      <c r="GB64" s="1605" t="s">
        <v>986</v>
      </c>
      <c r="GC64" s="1605" t="s">
        <v>986</v>
      </c>
      <c r="GD64" s="1605" t="s">
        <v>986</v>
      </c>
      <c r="GE64" s="1605" t="s">
        <v>986</v>
      </c>
      <c r="GF64" s="1605" t="s">
        <v>986</v>
      </c>
      <c r="GG64" s="1605" t="s">
        <v>986</v>
      </c>
      <c r="GH64" s="1605" t="s">
        <v>986</v>
      </c>
      <c r="GI64" s="1605" t="s">
        <v>986</v>
      </c>
      <c r="GJ64" s="1605" t="s">
        <v>986</v>
      </c>
      <c r="GK64" s="1605" t="s">
        <v>986</v>
      </c>
      <c r="GL64" s="1605" t="s">
        <v>986</v>
      </c>
      <c r="GM64" s="1605" t="s">
        <v>986</v>
      </c>
      <c r="GN64" s="1605" t="s">
        <v>986</v>
      </c>
      <c r="GO64" s="1605" t="s">
        <v>986</v>
      </c>
      <c r="GP64" s="1605" t="s">
        <v>986</v>
      </c>
      <c r="GQ64" s="1605" t="s">
        <v>986</v>
      </c>
      <c r="GR64" s="1605" t="s">
        <v>986</v>
      </c>
      <c r="GS64" s="1605" t="s">
        <v>986</v>
      </c>
      <c r="GT64" s="1605" t="s">
        <v>986</v>
      </c>
      <c r="GU64" s="1605" t="s">
        <v>986</v>
      </c>
      <c r="GV64" s="1605" t="s">
        <v>986</v>
      </c>
      <c r="GW64" s="1605" t="s">
        <v>986</v>
      </c>
      <c r="GX64" s="1605" t="s">
        <v>986</v>
      </c>
      <c r="GY64" s="1605" t="s">
        <v>986</v>
      </c>
      <c r="GZ64" s="1605" t="s">
        <v>986</v>
      </c>
      <c r="HA64" s="1605" t="s">
        <v>986</v>
      </c>
      <c r="HB64" s="1605" t="s">
        <v>986</v>
      </c>
      <c r="HC64" s="1605" t="s">
        <v>986</v>
      </c>
      <c r="HD64" s="1605" t="s">
        <v>986</v>
      </c>
      <c r="HE64" s="1605" t="s">
        <v>986</v>
      </c>
      <c r="HF64" s="1605" t="s">
        <v>986</v>
      </c>
      <c r="HG64" s="1605" t="s">
        <v>986</v>
      </c>
      <c r="HH64" s="1605" t="s">
        <v>986</v>
      </c>
      <c r="HI64" s="1605" t="s">
        <v>986</v>
      </c>
      <c r="HJ64" s="1605" t="s">
        <v>986</v>
      </c>
      <c r="HK64" s="1605" t="s">
        <v>986</v>
      </c>
      <c r="HL64" s="1605" t="s">
        <v>986</v>
      </c>
      <c r="HM64" s="1605" t="s">
        <v>986</v>
      </c>
      <c r="HN64" s="1605" t="s">
        <v>986</v>
      </c>
      <c r="HO64" s="1605" t="s">
        <v>986</v>
      </c>
      <c r="HP64" s="1605" t="s">
        <v>986</v>
      </c>
      <c r="HQ64" s="1605" t="s">
        <v>986</v>
      </c>
      <c r="HR64" s="1605" t="s">
        <v>986</v>
      </c>
      <c r="HS64" s="1605" t="s">
        <v>986</v>
      </c>
      <c r="HT64" s="1605" t="s">
        <v>986</v>
      </c>
      <c r="HU64" s="1605" t="s">
        <v>986</v>
      </c>
      <c r="HV64" s="1617"/>
      <c r="HW64" s="1617" t="s">
        <v>986</v>
      </c>
      <c r="HX64" s="1617" t="s">
        <v>986</v>
      </c>
      <c r="HY64" s="1617" t="s">
        <v>986</v>
      </c>
      <c r="HZ64" s="1603"/>
      <c r="IA64" s="1603"/>
      <c r="IB64" s="1603"/>
      <c r="IC64" s="1603">
        <v>0</v>
      </c>
      <c r="ID64" s="1603">
        <v>0</v>
      </c>
      <c r="IE64" s="1603">
        <v>0</v>
      </c>
      <c r="IF64" s="1603">
        <v>0</v>
      </c>
      <c r="IG64" s="1611" t="s">
        <v>2932</v>
      </c>
      <c r="IH64" s="1616" t="s">
        <v>270</v>
      </c>
      <c r="II64" s="1615" t="s">
        <v>270</v>
      </c>
      <c r="IJ64" s="1613">
        <v>1.3101818181818183</v>
      </c>
      <c r="IK64" s="1613">
        <v>1.301848484848485</v>
      </c>
      <c r="IL64" s="1614">
        <v>1.3101818181818183</v>
      </c>
      <c r="IM64" s="1614">
        <v>1.301848484848485</v>
      </c>
      <c r="IN64" s="1612" t="s">
        <v>270</v>
      </c>
      <c r="IO64" s="1613" t="s">
        <v>270</v>
      </c>
      <c r="IP64" s="1607" t="s">
        <v>270</v>
      </c>
      <c r="IQ64" s="1612" t="s">
        <v>270</v>
      </c>
      <c r="IR64" s="1612" t="s">
        <v>270</v>
      </c>
      <c r="IS64" s="1607">
        <v>1.1881818181818182</v>
      </c>
      <c r="IT64" s="1607">
        <v>1.1798484848484849</v>
      </c>
      <c r="IU64" s="1611">
        <v>0</v>
      </c>
      <c r="IV64" s="1611">
        <v>7.7767676767676763E-2</v>
      </c>
      <c r="IW64" s="1611">
        <v>9.0909090909090909E-4</v>
      </c>
      <c r="IX64" s="1611">
        <v>1.6060606060606061E-3</v>
      </c>
      <c r="IY64" s="1611">
        <v>9.6969696969696957E-4</v>
      </c>
      <c r="IZ64" s="1611">
        <v>5.9898989898989896E-3</v>
      </c>
      <c r="JA64" s="1611">
        <v>6.0606060606060598E-5</v>
      </c>
      <c r="JB64" s="1611" t="s">
        <v>270</v>
      </c>
      <c r="JC64" s="1611">
        <v>9.9026969696969704</v>
      </c>
      <c r="JD64" s="1611">
        <v>5.2121212121212122E-3</v>
      </c>
      <c r="JE64" s="1611" t="s">
        <v>270</v>
      </c>
      <c r="JF64" s="1611">
        <v>8.2828282828282835E-4</v>
      </c>
      <c r="JG64" s="1611">
        <v>0.57978787878787885</v>
      </c>
      <c r="JH64" s="1611">
        <v>7.646464646464647E-3</v>
      </c>
      <c r="JI64" s="1611">
        <v>0.3</v>
      </c>
      <c r="JJ64" s="1611" t="s">
        <v>270</v>
      </c>
      <c r="JK64" s="1607">
        <f t="shared" si="9"/>
        <v>0.12200000000000011</v>
      </c>
      <c r="JL64" s="1608" t="s">
        <v>270</v>
      </c>
      <c r="JM64" s="1610" t="s">
        <v>2924</v>
      </c>
      <c r="JN64" s="1608">
        <v>8.3333333333333037E-3</v>
      </c>
      <c r="JO64" s="1609" t="s">
        <v>2931</v>
      </c>
      <c r="JP64" s="1608" t="s">
        <v>270</v>
      </c>
      <c r="JQ64" s="1607">
        <v>202103</v>
      </c>
      <c r="JR64" s="1606">
        <v>851</v>
      </c>
      <c r="JS64" s="1606">
        <v>774</v>
      </c>
      <c r="JT64" s="1606">
        <v>774</v>
      </c>
    </row>
    <row r="65" spans="1:280" ht="15" customHeight="1" x14ac:dyDescent="0.2">
      <c r="A65" s="1626">
        <v>83000</v>
      </c>
      <c r="B65" s="1625">
        <v>830</v>
      </c>
      <c r="C65" s="1624">
        <v>0</v>
      </c>
      <c r="D65" s="1623" t="s">
        <v>3637</v>
      </c>
      <c r="E65" s="1622">
        <v>43776</v>
      </c>
      <c r="F65" s="1620">
        <v>1.16436931327913</v>
      </c>
      <c r="G65" s="1620">
        <v>1.1250721332571401</v>
      </c>
      <c r="H65" s="1621">
        <v>94.4</v>
      </c>
      <c r="I65" s="1621">
        <v>94.4</v>
      </c>
      <c r="J65" s="1621">
        <v>95</v>
      </c>
      <c r="K65" s="1620">
        <v>1</v>
      </c>
      <c r="L65" s="1620">
        <v>92.2</v>
      </c>
      <c r="M65" s="1620">
        <v>69.611000000000004</v>
      </c>
      <c r="N65" s="1620">
        <v>8.5746000000000002</v>
      </c>
      <c r="O65" s="1620">
        <v>15.028600000000001</v>
      </c>
      <c r="P65" s="1620">
        <v>0</v>
      </c>
      <c r="Q65" s="1603"/>
      <c r="R65" s="1620">
        <v>91.4</v>
      </c>
      <c r="S65" s="1620">
        <v>70</v>
      </c>
      <c r="T65" s="1620">
        <v>70</v>
      </c>
      <c r="U65" s="1620">
        <v>70</v>
      </c>
      <c r="V65" s="1620">
        <v>70</v>
      </c>
      <c r="W65" s="1620">
        <v>70</v>
      </c>
      <c r="X65" s="1620"/>
      <c r="Y65" s="1620">
        <v>29.099999999999998</v>
      </c>
      <c r="Z65" s="1620">
        <v>22.799999999999997</v>
      </c>
      <c r="AA65" s="1620">
        <v>10.000000000000002</v>
      </c>
      <c r="AB65" s="1620">
        <v>12</v>
      </c>
      <c r="AC65" s="1620">
        <v>12</v>
      </c>
      <c r="AD65" s="1620">
        <v>2.2999999999999998</v>
      </c>
      <c r="AE65" s="1620">
        <v>9.3000000000000007</v>
      </c>
      <c r="AF65" s="1620">
        <v>140.00000000000003</v>
      </c>
      <c r="AG65" s="1620">
        <v>4.5999999999999996</v>
      </c>
      <c r="AH65" s="1620">
        <v>5.9</v>
      </c>
      <c r="AI65" s="1620">
        <v>83.999999999999986</v>
      </c>
      <c r="AJ65" s="1620">
        <v>0</v>
      </c>
      <c r="AK65" s="1620">
        <v>2.38</v>
      </c>
      <c r="AL65" s="1620"/>
      <c r="AM65" s="1620">
        <v>7.52</v>
      </c>
      <c r="AN65" s="1620">
        <v>2.79</v>
      </c>
      <c r="AO65" s="1620">
        <v>0.94</v>
      </c>
      <c r="AP65" s="1620">
        <v>4.1900000000000004</v>
      </c>
      <c r="AQ65" s="1620">
        <v>0.97</v>
      </c>
      <c r="AR65" s="1620">
        <v>4.07</v>
      </c>
      <c r="AS65" s="1620">
        <v>7.32</v>
      </c>
      <c r="AT65" s="1620">
        <v>2.54</v>
      </c>
      <c r="AU65" s="1620">
        <v>3.82</v>
      </c>
      <c r="AV65" s="1620">
        <v>3.11</v>
      </c>
      <c r="AW65" s="1620">
        <v>4.93</v>
      </c>
      <c r="AX65" s="1620"/>
      <c r="AY65" s="1620">
        <v>1.02</v>
      </c>
      <c r="AZ65" s="1620">
        <v>1.05</v>
      </c>
      <c r="BA65" s="1620">
        <v>0.98</v>
      </c>
      <c r="BB65" s="1620">
        <v>1.03</v>
      </c>
      <c r="BC65" s="1620">
        <v>1</v>
      </c>
      <c r="BD65" s="1620">
        <v>1.02</v>
      </c>
      <c r="BE65" s="1620">
        <v>1.03</v>
      </c>
      <c r="BF65" s="1620">
        <v>1</v>
      </c>
      <c r="BG65" s="1620">
        <v>1.02</v>
      </c>
      <c r="BH65" s="1620">
        <v>0.95</v>
      </c>
      <c r="BI65" s="1620">
        <v>1.02</v>
      </c>
      <c r="BJ65" s="1603"/>
      <c r="BK65" s="1620">
        <v>75.5</v>
      </c>
      <c r="BL65" s="1620">
        <v>9.3000000000000007</v>
      </c>
      <c r="BM65" s="1620">
        <v>16.3</v>
      </c>
      <c r="BN65" s="1620">
        <v>0</v>
      </c>
      <c r="BO65" s="1620"/>
      <c r="BP65" s="1620">
        <v>159</v>
      </c>
      <c r="BQ65" s="1620">
        <v>147.87</v>
      </c>
      <c r="BR65" s="1620">
        <v>1.2628734417344143</v>
      </c>
      <c r="BS65" s="1620">
        <v>1.2202517714285683</v>
      </c>
      <c r="BT65" s="1603"/>
      <c r="BU65" s="1620">
        <v>837.00000000000011</v>
      </c>
      <c r="BV65" s="1620">
        <v>12.867999999999999</v>
      </c>
      <c r="BW65" s="1620">
        <v>0</v>
      </c>
      <c r="BX65" s="1620">
        <v>0</v>
      </c>
      <c r="BY65" s="1620">
        <v>0</v>
      </c>
      <c r="BZ65" s="1620">
        <v>0</v>
      </c>
      <c r="CA65" s="1620">
        <v>0</v>
      </c>
      <c r="CB65" s="1603"/>
      <c r="CC65" s="1603">
        <v>26.830199999999998</v>
      </c>
      <c r="CD65" s="1603">
        <v>21.021599999999999</v>
      </c>
      <c r="CE65" s="1603">
        <v>9.2200000000000024</v>
      </c>
      <c r="CF65" s="1603">
        <v>11.064</v>
      </c>
      <c r="CG65" s="1603">
        <v>11.064</v>
      </c>
      <c r="CH65" s="1603">
        <v>2.1206</v>
      </c>
      <c r="CI65" s="1603">
        <v>8.5746000000000002</v>
      </c>
      <c r="CJ65" s="1603"/>
      <c r="CK65" s="1603">
        <v>129.08000000000004</v>
      </c>
      <c r="CL65" s="1603">
        <v>4.2412000000000001</v>
      </c>
      <c r="CM65" s="1603">
        <v>5.4398000000000009</v>
      </c>
      <c r="CN65" s="1603">
        <v>77.447999999999993</v>
      </c>
      <c r="CO65" s="1603">
        <v>0</v>
      </c>
      <c r="CP65" s="1603">
        <v>2.1943600000000001</v>
      </c>
      <c r="CQ65" s="1603">
        <v>636.24454000000003</v>
      </c>
      <c r="CR65" s="1603">
        <v>546.42846796450692</v>
      </c>
      <c r="CS65" s="1603">
        <v>41.913249206749541</v>
      </c>
      <c r="CT65" s="1603">
        <v>16.007621969020231</v>
      </c>
      <c r="CU65" s="1603">
        <v>5.0336990468890379</v>
      </c>
      <c r="CV65" s="1603">
        <v>21.041321015909269</v>
      </c>
      <c r="CW65" s="1603">
        <v>23.582213391944226</v>
      </c>
      <c r="CX65" s="1603">
        <v>5.300356139255717</v>
      </c>
      <c r="CY65" s="1603">
        <v>22.684431419078543</v>
      </c>
      <c r="CZ65" s="1603">
        <v>41.19852077065196</v>
      </c>
      <c r="DA65" s="1603">
        <v>13.879283086298477</v>
      </c>
      <c r="DB65" s="1603">
        <v>21.291038825769046</v>
      </c>
      <c r="DC65" s="1603">
        <v>16.144229086011357</v>
      </c>
      <c r="DD65" s="1603">
        <v>37.4352679117804</v>
      </c>
      <c r="DE65" s="1603">
        <v>27.477701940063195</v>
      </c>
      <c r="DF65" s="1603">
        <v>0</v>
      </c>
      <c r="DG65" s="1603">
        <v>0</v>
      </c>
      <c r="DH65" s="1603">
        <v>0</v>
      </c>
      <c r="DI65" s="1603">
        <v>0</v>
      </c>
      <c r="DJ65" s="1603">
        <v>0</v>
      </c>
      <c r="DK65" s="1603">
        <v>0</v>
      </c>
      <c r="DL65" s="1603">
        <v>0</v>
      </c>
      <c r="DM65" s="1603">
        <v>0</v>
      </c>
      <c r="DN65" s="1603">
        <v>0</v>
      </c>
      <c r="DO65" s="1603">
        <v>0</v>
      </c>
      <c r="DP65" s="1603">
        <v>0</v>
      </c>
      <c r="DQ65" s="1603">
        <v>0</v>
      </c>
      <c r="DR65" s="1603">
        <v>0</v>
      </c>
      <c r="DS65" s="1603">
        <v>0</v>
      </c>
      <c r="DT65" s="1603">
        <v>0</v>
      </c>
      <c r="DU65" s="1603">
        <v>0</v>
      </c>
      <c r="DV65" s="1603">
        <v>0</v>
      </c>
      <c r="DW65" s="1618" t="s">
        <v>3632</v>
      </c>
      <c r="DX65" s="1605">
        <v>15</v>
      </c>
      <c r="DY65" s="1605">
        <v>17</v>
      </c>
      <c r="DZ65" s="1605">
        <v>16</v>
      </c>
      <c r="EA65" s="1605">
        <v>17</v>
      </c>
      <c r="EB65" s="1605" t="s">
        <v>986</v>
      </c>
      <c r="EC65" s="1605">
        <v>17</v>
      </c>
      <c r="ED65" s="1605">
        <v>17</v>
      </c>
      <c r="EE65" s="1605">
        <v>17</v>
      </c>
      <c r="EF65" s="1605">
        <v>17</v>
      </c>
      <c r="EG65" s="1605">
        <v>17</v>
      </c>
      <c r="EH65" s="1605" t="s">
        <v>986</v>
      </c>
      <c r="EI65" s="1605" t="s">
        <v>986</v>
      </c>
      <c r="EJ65" s="1605" t="s">
        <v>986</v>
      </c>
      <c r="EK65" s="1605" t="s">
        <v>986</v>
      </c>
      <c r="EL65" s="1605" t="s">
        <v>986</v>
      </c>
      <c r="EM65" s="1605" t="s">
        <v>986</v>
      </c>
      <c r="EN65" s="1605" t="s">
        <v>986</v>
      </c>
      <c r="EO65" s="1605" t="s">
        <v>986</v>
      </c>
      <c r="EP65" s="1605" t="s">
        <v>986</v>
      </c>
      <c r="EQ65" s="1605" t="s">
        <v>986</v>
      </c>
      <c r="ER65" s="1605" t="s">
        <v>986</v>
      </c>
      <c r="ES65" s="1605">
        <v>14</v>
      </c>
      <c r="ET65" s="1605">
        <v>15</v>
      </c>
      <c r="EU65" s="1605" t="s">
        <v>986</v>
      </c>
      <c r="EV65" s="1605" t="s">
        <v>986</v>
      </c>
      <c r="EW65" s="1605" t="s">
        <v>986</v>
      </c>
      <c r="EX65" s="1605" t="s">
        <v>986</v>
      </c>
      <c r="EY65" s="1605" t="s">
        <v>986</v>
      </c>
      <c r="EZ65" s="1605" t="s">
        <v>986</v>
      </c>
      <c r="FA65" s="1605" t="s">
        <v>986</v>
      </c>
      <c r="FB65" s="1605" t="s">
        <v>986</v>
      </c>
      <c r="FC65" s="1605" t="s">
        <v>986</v>
      </c>
      <c r="FD65" s="1605" t="s">
        <v>986</v>
      </c>
      <c r="FE65" s="1605" t="s">
        <v>986</v>
      </c>
      <c r="FF65" s="1605">
        <v>0.8</v>
      </c>
      <c r="FG65" s="1605">
        <v>1.7</v>
      </c>
      <c r="FH65" s="1605">
        <v>1.6</v>
      </c>
      <c r="FI65" s="1605">
        <v>1.6</v>
      </c>
      <c r="FJ65" s="1605" t="s">
        <v>986</v>
      </c>
      <c r="FK65" s="1605">
        <v>1.5</v>
      </c>
      <c r="FL65" s="1605">
        <v>1</v>
      </c>
      <c r="FM65" s="1605">
        <v>1.1000000000000001</v>
      </c>
      <c r="FN65" s="1605">
        <v>5.7</v>
      </c>
      <c r="FO65" s="1605">
        <v>5.3</v>
      </c>
      <c r="FP65" s="1605" t="s">
        <v>986</v>
      </c>
      <c r="FQ65" s="1605" t="s">
        <v>986</v>
      </c>
      <c r="FR65" s="1605" t="s">
        <v>986</v>
      </c>
      <c r="FS65" s="1605" t="s">
        <v>986</v>
      </c>
      <c r="FT65" s="1605" t="s">
        <v>986</v>
      </c>
      <c r="FU65" s="1605" t="s">
        <v>986</v>
      </c>
      <c r="FV65" s="1605" t="s">
        <v>986</v>
      </c>
      <c r="FW65" s="1605" t="s">
        <v>986</v>
      </c>
      <c r="FX65" s="1605" t="s">
        <v>986</v>
      </c>
      <c r="FY65" s="1605" t="s">
        <v>986</v>
      </c>
      <c r="FZ65" s="1605" t="s">
        <v>986</v>
      </c>
      <c r="GA65" s="1605" t="s">
        <v>986</v>
      </c>
      <c r="GB65" s="1605">
        <v>2.2000000000000002</v>
      </c>
      <c r="GC65" s="1605" t="s">
        <v>986</v>
      </c>
      <c r="GD65" s="1605" t="s">
        <v>986</v>
      </c>
      <c r="GE65" s="1605" t="s">
        <v>986</v>
      </c>
      <c r="GF65" s="1605" t="s">
        <v>986</v>
      </c>
      <c r="GG65" s="1605" t="s">
        <v>986</v>
      </c>
      <c r="GH65" s="1605" t="s">
        <v>986</v>
      </c>
      <c r="GI65" s="1605" t="s">
        <v>986</v>
      </c>
      <c r="GJ65" s="1605" t="s">
        <v>986</v>
      </c>
      <c r="GK65" s="1605" t="s">
        <v>986</v>
      </c>
      <c r="GL65" s="1605" t="s">
        <v>986</v>
      </c>
      <c r="GM65" s="1605" t="s">
        <v>986</v>
      </c>
      <c r="GN65" s="1605" t="s">
        <v>3103</v>
      </c>
      <c r="GO65" s="1605" t="s">
        <v>3103</v>
      </c>
      <c r="GP65" s="1605" t="s">
        <v>3103</v>
      </c>
      <c r="GQ65" s="1605" t="s">
        <v>3103</v>
      </c>
      <c r="GR65" s="1605" t="s">
        <v>986</v>
      </c>
      <c r="GS65" s="1605" t="s">
        <v>3103</v>
      </c>
      <c r="GT65" s="1605" t="s">
        <v>3103</v>
      </c>
      <c r="GU65" s="1605" t="s">
        <v>986</v>
      </c>
      <c r="GV65" s="1605" t="s">
        <v>3103</v>
      </c>
      <c r="GW65" s="1605" t="s">
        <v>3103</v>
      </c>
      <c r="GX65" s="1605" t="s">
        <v>1583</v>
      </c>
      <c r="GY65" s="1605" t="s">
        <v>1583</v>
      </c>
      <c r="GZ65" s="1605" t="s">
        <v>1583</v>
      </c>
      <c r="HA65" s="1605" t="s">
        <v>1583</v>
      </c>
      <c r="HB65" s="1605" t="s">
        <v>1583</v>
      </c>
      <c r="HC65" s="1605" t="s">
        <v>1583</v>
      </c>
      <c r="HD65" s="1605" t="s">
        <v>1583</v>
      </c>
      <c r="HE65" s="1605" t="s">
        <v>1583</v>
      </c>
      <c r="HF65" s="1605" t="s">
        <v>1583</v>
      </c>
      <c r="HG65" s="1605" t="s">
        <v>1583</v>
      </c>
      <c r="HH65" s="1605" t="s">
        <v>1583</v>
      </c>
      <c r="HI65" s="1605" t="s">
        <v>1579</v>
      </c>
      <c r="HJ65" s="1605" t="s">
        <v>1579</v>
      </c>
      <c r="HK65" s="1605" t="s">
        <v>986</v>
      </c>
      <c r="HL65" s="1605" t="s">
        <v>986</v>
      </c>
      <c r="HM65" s="1605" t="s">
        <v>986</v>
      </c>
      <c r="HN65" s="1605" t="s">
        <v>986</v>
      </c>
      <c r="HO65" s="1605" t="s">
        <v>986</v>
      </c>
      <c r="HP65" s="1605" t="s">
        <v>986</v>
      </c>
      <c r="HQ65" s="1605" t="s">
        <v>986</v>
      </c>
      <c r="HR65" s="1605" t="s">
        <v>986</v>
      </c>
      <c r="HS65" s="1605" t="s">
        <v>986</v>
      </c>
      <c r="HT65" s="1605" t="s">
        <v>986</v>
      </c>
      <c r="HU65" s="1605" t="s">
        <v>986</v>
      </c>
      <c r="HV65" s="1617"/>
      <c r="HW65" s="1617" t="s">
        <v>3635</v>
      </c>
      <c r="HX65" s="1617" t="s">
        <v>3630</v>
      </c>
      <c r="HY65" s="1617" t="s">
        <v>3629</v>
      </c>
      <c r="HZ65" s="1603"/>
      <c r="IA65" s="1603"/>
      <c r="IB65" s="1603"/>
      <c r="IC65" s="1603">
        <v>70</v>
      </c>
      <c r="ID65" s="1603">
        <v>70</v>
      </c>
      <c r="IE65" s="1603">
        <v>70</v>
      </c>
      <c r="IF65" s="1603">
        <v>70</v>
      </c>
      <c r="IG65" s="1611" t="s">
        <v>3628</v>
      </c>
      <c r="IH65" s="1616" t="s">
        <v>270</v>
      </c>
      <c r="II65" s="1615" t="s">
        <v>270</v>
      </c>
      <c r="IJ65" s="1613">
        <v>1.6095509761388285</v>
      </c>
      <c r="IK65" s="1613">
        <v>1.6095509761388285</v>
      </c>
      <c r="IL65" s="1614">
        <v>1.6095509761388285</v>
      </c>
      <c r="IM65" s="1614">
        <v>1.6095509761388285</v>
      </c>
      <c r="IN65" s="1612" t="s">
        <v>270</v>
      </c>
      <c r="IO65" s="1613" t="s">
        <v>270</v>
      </c>
      <c r="IP65" s="1607" t="s">
        <v>270</v>
      </c>
      <c r="IQ65" s="1612" t="s">
        <v>270</v>
      </c>
      <c r="IR65" s="1612" t="s">
        <v>270</v>
      </c>
      <c r="IS65" s="1607">
        <v>1.4365509761388284</v>
      </c>
      <c r="IT65" s="1607">
        <v>1.4365509761388284</v>
      </c>
      <c r="IU65" s="1611">
        <v>0</v>
      </c>
      <c r="IV65" s="1611">
        <v>8.0911062906724503E-3</v>
      </c>
      <c r="IW65" s="1611">
        <v>8.101952277657266E-3</v>
      </c>
      <c r="IX65" s="1611">
        <v>1.7028199566160519E-3</v>
      </c>
      <c r="IY65" s="1611">
        <v>8.1995661605206074E-3</v>
      </c>
      <c r="IZ65" s="1611">
        <v>4.3709327548806945E-3</v>
      </c>
      <c r="JA65" s="1611">
        <v>0</v>
      </c>
      <c r="JB65" s="1611" t="s">
        <v>270</v>
      </c>
      <c r="JC65" s="1611">
        <v>0.16748373101952274</v>
      </c>
      <c r="JD65" s="1611">
        <v>1.0845986984815618E-4</v>
      </c>
      <c r="JE65" s="1611" t="s">
        <v>270</v>
      </c>
      <c r="JF65" s="1611">
        <v>1.3774403470715835E-3</v>
      </c>
      <c r="JG65" s="1611">
        <v>7.5162689804772224E-3</v>
      </c>
      <c r="JH65" s="1611">
        <v>6.3991323210412139E-4</v>
      </c>
      <c r="JI65" s="1611">
        <v>0.37336225596529282</v>
      </c>
      <c r="JJ65" s="1611" t="s">
        <v>270</v>
      </c>
      <c r="JK65" s="1607">
        <f t="shared" si="9"/>
        <v>0.17300000000000004</v>
      </c>
      <c r="JL65" s="1608" t="s">
        <v>270</v>
      </c>
      <c r="JM65" s="1610" t="s">
        <v>2924</v>
      </c>
      <c r="JN65" s="1608">
        <v>0</v>
      </c>
      <c r="JO65" s="1609" t="s">
        <v>2955</v>
      </c>
      <c r="JP65" s="1608" t="s">
        <v>270</v>
      </c>
      <c r="JQ65" s="1607">
        <v>202103</v>
      </c>
      <c r="JR65" s="1606">
        <v>144</v>
      </c>
      <c r="JS65" s="1606">
        <v>147</v>
      </c>
      <c r="JT65" s="1606">
        <v>147</v>
      </c>
    </row>
    <row r="66" spans="1:280" ht="15" customHeight="1" x14ac:dyDescent="0.2">
      <c r="A66" s="1626">
        <v>83300</v>
      </c>
      <c r="B66" s="1625">
        <v>833</v>
      </c>
      <c r="C66" s="1624">
        <v>0</v>
      </c>
      <c r="D66" s="1623" t="s">
        <v>3636</v>
      </c>
      <c r="E66" s="1622">
        <v>43054</v>
      </c>
      <c r="F66" s="1620">
        <v>1.1896444192411999</v>
      </c>
      <c r="G66" s="1620">
        <v>1.1538017364675299</v>
      </c>
      <c r="H66" s="1621">
        <v>95.5</v>
      </c>
      <c r="I66" s="1621">
        <v>93.399955000000006</v>
      </c>
      <c r="J66" s="1621">
        <v>96</v>
      </c>
      <c r="K66" s="1620">
        <v>1</v>
      </c>
      <c r="L66" s="1620">
        <v>92.9</v>
      </c>
      <c r="M66" s="1620">
        <v>71.718800000000002</v>
      </c>
      <c r="N66" s="1620">
        <v>9.1042000000000005</v>
      </c>
      <c r="O66" s="1620">
        <v>14.120799999999999</v>
      </c>
      <c r="P66" s="1620">
        <v>0</v>
      </c>
      <c r="Q66" s="1603"/>
      <c r="R66" s="1620">
        <v>92</v>
      </c>
      <c r="S66" s="1620">
        <v>70</v>
      </c>
      <c r="T66" s="1620">
        <v>70</v>
      </c>
      <c r="U66" s="1620">
        <v>70</v>
      </c>
      <c r="V66" s="1620">
        <v>70</v>
      </c>
      <c r="W66" s="1620">
        <v>70</v>
      </c>
      <c r="X66" s="1620"/>
      <c r="Y66" s="1620">
        <v>32.799999999999997</v>
      </c>
      <c r="Z66" s="1620">
        <v>23.9</v>
      </c>
      <c r="AA66" s="1620">
        <v>7.2999828331707102</v>
      </c>
      <c r="AB66" s="1620">
        <v>18</v>
      </c>
      <c r="AC66" s="1620">
        <v>13</v>
      </c>
      <c r="AD66" s="1620">
        <v>2.1999999999999997</v>
      </c>
      <c r="AE66" s="1620">
        <v>9.9999999999999982</v>
      </c>
      <c r="AF66" s="1620">
        <v>332</v>
      </c>
      <c r="AG66" s="1620">
        <v>4.9999999999999991</v>
      </c>
      <c r="AH66" s="1620">
        <v>14.999999999999998</v>
      </c>
      <c r="AI66" s="1620">
        <v>105.99999999999999</v>
      </c>
      <c r="AJ66" s="1620">
        <v>0</v>
      </c>
      <c r="AK66" s="1620">
        <v>2.38</v>
      </c>
      <c r="AL66" s="1620"/>
      <c r="AM66" s="1620">
        <v>8.5706874189364495</v>
      </c>
      <c r="AN66" s="1620">
        <v>3.38132295719844</v>
      </c>
      <c r="AO66" s="1620">
        <v>1.06874189364462</v>
      </c>
      <c r="AP66" s="1620">
        <v>4.6549935149156898</v>
      </c>
      <c r="AQ66" s="1620">
        <v>1.2075226977950699</v>
      </c>
      <c r="AR66" s="1620">
        <v>5.0259403372243803</v>
      </c>
      <c r="AS66" s="1620">
        <v>8.1024643320363197</v>
      </c>
      <c r="AT66" s="1620">
        <v>2.6796368352788602</v>
      </c>
      <c r="AU66" s="1620">
        <v>4.4643320363164696</v>
      </c>
      <c r="AV66" s="1620">
        <v>3.7626459143968898</v>
      </c>
      <c r="AW66" s="1620">
        <v>6.0648508430609596</v>
      </c>
      <c r="AX66" s="1620"/>
      <c r="AY66" s="1620">
        <v>1.02</v>
      </c>
      <c r="AZ66" s="1620">
        <v>1.05</v>
      </c>
      <c r="BA66" s="1620">
        <v>0.98</v>
      </c>
      <c r="BB66" s="1620">
        <v>1.03</v>
      </c>
      <c r="BC66" s="1620">
        <v>1</v>
      </c>
      <c r="BD66" s="1620">
        <v>1.02</v>
      </c>
      <c r="BE66" s="1620">
        <v>1.03</v>
      </c>
      <c r="BF66" s="1620">
        <v>1</v>
      </c>
      <c r="BG66" s="1620">
        <v>1.02</v>
      </c>
      <c r="BH66" s="1620">
        <v>0.95</v>
      </c>
      <c r="BI66" s="1620">
        <v>1.02</v>
      </c>
      <c r="BJ66" s="1603"/>
      <c r="BK66" s="1620">
        <v>77.2</v>
      </c>
      <c r="BL66" s="1620">
        <v>9.8000000000000007</v>
      </c>
      <c r="BM66" s="1620">
        <v>15.199999999999998</v>
      </c>
      <c r="BN66" s="1620">
        <v>0</v>
      </c>
      <c r="BO66" s="1620"/>
      <c r="BP66" s="1620">
        <v>159</v>
      </c>
      <c r="BQ66" s="1620">
        <v>155.82</v>
      </c>
      <c r="BR66" s="1620">
        <v>1.2805644986449944</v>
      </c>
      <c r="BS66" s="1620">
        <v>1.2419824935064907</v>
      </c>
      <c r="BT66" s="1603"/>
      <c r="BU66" s="1620">
        <v>847.99999999999989</v>
      </c>
      <c r="BV66" s="1620">
        <v>-13.179999999999891</v>
      </c>
      <c r="BW66" s="1620">
        <v>25.440545142857051</v>
      </c>
      <c r="BX66" s="1620">
        <v>0</v>
      </c>
      <c r="BY66" s="1620">
        <v>0</v>
      </c>
      <c r="BZ66" s="1620">
        <v>0</v>
      </c>
      <c r="CA66" s="1620">
        <v>0</v>
      </c>
      <c r="CB66" s="1603"/>
      <c r="CC66" s="1603">
        <v>30.4712</v>
      </c>
      <c r="CD66" s="1603">
        <v>22.203099999999999</v>
      </c>
      <c r="CE66" s="1603">
        <v>6.7816840520155903</v>
      </c>
      <c r="CF66" s="1603">
        <v>16.722000000000001</v>
      </c>
      <c r="CG66" s="1603">
        <v>12.077</v>
      </c>
      <c r="CH66" s="1603">
        <v>2.0438000000000001</v>
      </c>
      <c r="CI66" s="1603">
        <v>9.2899999999999991</v>
      </c>
      <c r="CJ66" s="1603"/>
      <c r="CK66" s="1603">
        <v>308.428</v>
      </c>
      <c r="CL66" s="1603">
        <v>4.6449999999999996</v>
      </c>
      <c r="CM66" s="1603">
        <v>13.934999999999999</v>
      </c>
      <c r="CN66" s="1603">
        <v>98.47399999999999</v>
      </c>
      <c r="CO66" s="1603">
        <v>0</v>
      </c>
      <c r="CP66" s="1603">
        <v>2.21102</v>
      </c>
      <c r="CQ66" s="1603">
        <v>659.81295999999998</v>
      </c>
      <c r="CR66" s="1603">
        <v>554.63039991466826</v>
      </c>
      <c r="CS66" s="1603">
        <v>48.486350665225032</v>
      </c>
      <c r="CT66" s="1603">
        <v>19.691537291912017</v>
      </c>
      <c r="CU66" s="1603">
        <v>5.8090160900012222</v>
      </c>
      <c r="CV66" s="1603">
        <v>25.500553381913246</v>
      </c>
      <c r="CW66" s="1603">
        <v>26.592549422212169</v>
      </c>
      <c r="CX66" s="1603">
        <v>6.6972879678411577</v>
      </c>
      <c r="CY66" s="1603">
        <v>28.432900851656658</v>
      </c>
      <c r="CZ66" s="1603">
        <v>46.286892237547924</v>
      </c>
      <c r="DA66" s="1603">
        <v>14.862080495767925</v>
      </c>
      <c r="DB66" s="1603">
        <v>25.255753479071558</v>
      </c>
      <c r="DC66" s="1603">
        <v>19.825339178272756</v>
      </c>
      <c r="DD66" s="1603">
        <v>45.081092657344314</v>
      </c>
      <c r="DE66" s="1603">
        <v>34.310256614799087</v>
      </c>
      <c r="DF66" s="1603">
        <v>0</v>
      </c>
      <c r="DG66" s="1603">
        <v>0</v>
      </c>
      <c r="DH66" s="1603">
        <v>0</v>
      </c>
      <c r="DI66" s="1603">
        <v>0</v>
      </c>
      <c r="DJ66" s="1603">
        <v>0</v>
      </c>
      <c r="DK66" s="1603">
        <v>0</v>
      </c>
      <c r="DL66" s="1603">
        <v>0</v>
      </c>
      <c r="DM66" s="1603">
        <v>0</v>
      </c>
      <c r="DN66" s="1603">
        <v>0</v>
      </c>
      <c r="DO66" s="1603">
        <v>0</v>
      </c>
      <c r="DP66" s="1603">
        <v>0</v>
      </c>
      <c r="DQ66" s="1603">
        <v>0</v>
      </c>
      <c r="DR66" s="1603">
        <v>0</v>
      </c>
      <c r="DS66" s="1603">
        <v>0</v>
      </c>
      <c r="DT66" s="1603">
        <v>0</v>
      </c>
      <c r="DU66" s="1603">
        <v>0</v>
      </c>
      <c r="DV66" s="1603">
        <v>0</v>
      </c>
      <c r="DW66" s="1618" t="s">
        <v>3632</v>
      </c>
      <c r="DX66" s="1605">
        <v>1</v>
      </c>
      <c r="DY66" s="1605">
        <v>1</v>
      </c>
      <c r="DZ66" s="1605">
        <v>1</v>
      </c>
      <c r="EA66" s="1605">
        <v>1</v>
      </c>
      <c r="EB66" s="1605" t="s">
        <v>986</v>
      </c>
      <c r="EC66" s="1605">
        <v>1</v>
      </c>
      <c r="ED66" s="1605">
        <v>1</v>
      </c>
      <c r="EE66" s="1605">
        <v>1</v>
      </c>
      <c r="EF66" s="1605">
        <v>1</v>
      </c>
      <c r="EG66" s="1605">
        <v>1</v>
      </c>
      <c r="EH66" s="1605" t="s">
        <v>986</v>
      </c>
      <c r="EI66" s="1605" t="s">
        <v>986</v>
      </c>
      <c r="EJ66" s="1605" t="s">
        <v>986</v>
      </c>
      <c r="EK66" s="1605" t="s">
        <v>986</v>
      </c>
      <c r="EL66" s="1605" t="s">
        <v>986</v>
      </c>
      <c r="EM66" s="1605" t="s">
        <v>986</v>
      </c>
      <c r="EN66" s="1605" t="s">
        <v>986</v>
      </c>
      <c r="EO66" s="1605" t="s">
        <v>986</v>
      </c>
      <c r="EP66" s="1605" t="s">
        <v>986</v>
      </c>
      <c r="EQ66" s="1605" t="s">
        <v>986</v>
      </c>
      <c r="ER66" s="1605" t="s">
        <v>986</v>
      </c>
      <c r="ES66" s="1605">
        <v>1</v>
      </c>
      <c r="ET66" s="1605">
        <v>1</v>
      </c>
      <c r="EU66" s="1605">
        <v>8</v>
      </c>
      <c r="EV66" s="1605" t="s">
        <v>986</v>
      </c>
      <c r="EW66" s="1605">
        <v>8</v>
      </c>
      <c r="EX66" s="1605">
        <v>8</v>
      </c>
      <c r="EY66" s="1605" t="s">
        <v>986</v>
      </c>
      <c r="EZ66" s="1605">
        <v>8</v>
      </c>
      <c r="FA66" s="1605">
        <v>8</v>
      </c>
      <c r="FB66" s="1605">
        <v>8</v>
      </c>
      <c r="FC66" s="1605">
        <v>8</v>
      </c>
      <c r="FD66" s="1605" t="s">
        <v>986</v>
      </c>
      <c r="FE66" s="1605">
        <v>8</v>
      </c>
      <c r="FF66" s="1605" t="s">
        <v>986</v>
      </c>
      <c r="FG66" s="1605" t="s">
        <v>986</v>
      </c>
      <c r="FH66" s="1605" t="s">
        <v>986</v>
      </c>
      <c r="FI66" s="1605" t="s">
        <v>986</v>
      </c>
      <c r="FJ66" s="1605" t="s">
        <v>986</v>
      </c>
      <c r="FK66" s="1605" t="s">
        <v>986</v>
      </c>
      <c r="FL66" s="1605" t="s">
        <v>986</v>
      </c>
      <c r="FM66" s="1605" t="s">
        <v>986</v>
      </c>
      <c r="FN66" s="1605" t="s">
        <v>986</v>
      </c>
      <c r="FO66" s="1605" t="s">
        <v>986</v>
      </c>
      <c r="FP66" s="1605" t="s">
        <v>986</v>
      </c>
      <c r="FQ66" s="1605" t="s">
        <v>986</v>
      </c>
      <c r="FR66" s="1605" t="s">
        <v>986</v>
      </c>
      <c r="FS66" s="1605" t="s">
        <v>986</v>
      </c>
      <c r="FT66" s="1605" t="s">
        <v>986</v>
      </c>
      <c r="FU66" s="1605" t="s">
        <v>986</v>
      </c>
      <c r="FV66" s="1605" t="s">
        <v>986</v>
      </c>
      <c r="FW66" s="1605" t="s">
        <v>986</v>
      </c>
      <c r="FX66" s="1605" t="s">
        <v>986</v>
      </c>
      <c r="FY66" s="1605" t="s">
        <v>986</v>
      </c>
      <c r="FZ66" s="1605" t="s">
        <v>986</v>
      </c>
      <c r="GA66" s="1605" t="s">
        <v>986</v>
      </c>
      <c r="GB66" s="1605" t="s">
        <v>986</v>
      </c>
      <c r="GC66" s="1605" t="s">
        <v>986</v>
      </c>
      <c r="GD66" s="1605" t="s">
        <v>986</v>
      </c>
      <c r="GE66" s="1605" t="s">
        <v>986</v>
      </c>
      <c r="GF66" s="1605" t="s">
        <v>986</v>
      </c>
      <c r="GG66" s="1605" t="s">
        <v>986</v>
      </c>
      <c r="GH66" s="1605" t="s">
        <v>986</v>
      </c>
      <c r="GI66" s="1605" t="s">
        <v>986</v>
      </c>
      <c r="GJ66" s="1605" t="s">
        <v>986</v>
      </c>
      <c r="GK66" s="1605" t="s">
        <v>986</v>
      </c>
      <c r="GL66" s="1605" t="s">
        <v>986</v>
      </c>
      <c r="GM66" s="1605" t="s">
        <v>986</v>
      </c>
      <c r="GN66" s="1605" t="s">
        <v>1579</v>
      </c>
      <c r="GO66" s="1605" t="s">
        <v>1579</v>
      </c>
      <c r="GP66" s="1605" t="s">
        <v>1579</v>
      </c>
      <c r="GQ66" s="1605" t="s">
        <v>1579</v>
      </c>
      <c r="GR66" s="1605" t="s">
        <v>986</v>
      </c>
      <c r="GS66" s="1605" t="s">
        <v>1579</v>
      </c>
      <c r="GT66" s="1605" t="s">
        <v>1579</v>
      </c>
      <c r="GU66" s="1605" t="s">
        <v>1579</v>
      </c>
      <c r="GV66" s="1605" t="s">
        <v>1579</v>
      </c>
      <c r="GW66" s="1605" t="s">
        <v>1579</v>
      </c>
      <c r="GX66" s="1605" t="s">
        <v>1583</v>
      </c>
      <c r="GY66" s="1605" t="s">
        <v>1583</v>
      </c>
      <c r="GZ66" s="1605" t="s">
        <v>1583</v>
      </c>
      <c r="HA66" s="1605" t="s">
        <v>1583</v>
      </c>
      <c r="HB66" s="1605" t="s">
        <v>1583</v>
      </c>
      <c r="HC66" s="1605" t="s">
        <v>1583</v>
      </c>
      <c r="HD66" s="1605" t="s">
        <v>1583</v>
      </c>
      <c r="HE66" s="1605" t="s">
        <v>1583</v>
      </c>
      <c r="HF66" s="1605" t="s">
        <v>1583</v>
      </c>
      <c r="HG66" s="1605" t="s">
        <v>1583</v>
      </c>
      <c r="HH66" s="1605" t="s">
        <v>1583</v>
      </c>
      <c r="HI66" s="1605" t="s">
        <v>1579</v>
      </c>
      <c r="HJ66" s="1605" t="s">
        <v>1579</v>
      </c>
      <c r="HK66" s="1605" t="s">
        <v>986</v>
      </c>
      <c r="HL66" s="1605" t="s">
        <v>986</v>
      </c>
      <c r="HM66" s="1605" t="s">
        <v>1583</v>
      </c>
      <c r="HN66" s="1605" t="s">
        <v>1583</v>
      </c>
      <c r="HO66" s="1605" t="s">
        <v>986</v>
      </c>
      <c r="HP66" s="1605" t="s">
        <v>1583</v>
      </c>
      <c r="HQ66" s="1605" t="s">
        <v>1583</v>
      </c>
      <c r="HR66" s="1605" t="s">
        <v>1583</v>
      </c>
      <c r="HS66" s="1605" t="s">
        <v>1583</v>
      </c>
      <c r="HT66" s="1605" t="s">
        <v>986</v>
      </c>
      <c r="HU66" s="1605" t="s">
        <v>1583</v>
      </c>
      <c r="HV66" s="1617"/>
      <c r="HW66" s="1617" t="s">
        <v>3635</v>
      </c>
      <c r="HX66" s="1617" t="s">
        <v>3634</v>
      </c>
      <c r="HY66" s="1617" t="s">
        <v>3629</v>
      </c>
      <c r="HZ66" s="1603"/>
      <c r="IA66" s="1603"/>
      <c r="IB66" s="1603"/>
      <c r="IC66" s="1603">
        <v>70</v>
      </c>
      <c r="ID66" s="1603">
        <v>70</v>
      </c>
      <c r="IE66" s="1603">
        <v>70</v>
      </c>
      <c r="IF66" s="1603">
        <v>70</v>
      </c>
      <c r="IG66" s="1611" t="s">
        <v>3628</v>
      </c>
      <c r="IH66" s="1616" t="s">
        <v>270</v>
      </c>
      <c r="II66" s="1615" t="s">
        <v>270</v>
      </c>
      <c r="IJ66" s="1613">
        <v>1.6095509761388285</v>
      </c>
      <c r="IK66" s="1613">
        <v>1.6095509761388285</v>
      </c>
      <c r="IL66" s="1614">
        <v>1.6095509761388285</v>
      </c>
      <c r="IM66" s="1614">
        <v>1.6095509761388285</v>
      </c>
      <c r="IN66" s="1612" t="s">
        <v>270</v>
      </c>
      <c r="IO66" s="1613" t="s">
        <v>270</v>
      </c>
      <c r="IP66" s="1607" t="s">
        <v>270</v>
      </c>
      <c r="IQ66" s="1612" t="s">
        <v>270</v>
      </c>
      <c r="IR66" s="1612" t="s">
        <v>270</v>
      </c>
      <c r="IS66" s="1607">
        <v>1.4365509761388284</v>
      </c>
      <c r="IT66" s="1607">
        <v>1.4365509761388284</v>
      </c>
      <c r="IU66" s="1611">
        <v>0</v>
      </c>
      <c r="IV66" s="1611">
        <v>8.0911062906724503E-3</v>
      </c>
      <c r="IW66" s="1611">
        <v>8.101952277657266E-3</v>
      </c>
      <c r="IX66" s="1611">
        <v>1.7028199566160519E-3</v>
      </c>
      <c r="IY66" s="1611">
        <v>8.1995661605206074E-3</v>
      </c>
      <c r="IZ66" s="1611">
        <v>4.3709327548806945E-3</v>
      </c>
      <c r="JA66" s="1611">
        <v>0</v>
      </c>
      <c r="JB66" s="1611" t="s">
        <v>270</v>
      </c>
      <c r="JC66" s="1611">
        <v>0.16748373101952274</v>
      </c>
      <c r="JD66" s="1611">
        <v>1.0845986984815618E-4</v>
      </c>
      <c r="JE66" s="1611" t="s">
        <v>270</v>
      </c>
      <c r="JF66" s="1611">
        <v>1.3774403470715835E-3</v>
      </c>
      <c r="JG66" s="1611">
        <v>7.5162689804772224E-3</v>
      </c>
      <c r="JH66" s="1611">
        <v>6.3991323210412139E-4</v>
      </c>
      <c r="JI66" s="1611">
        <v>0.37336225596529282</v>
      </c>
      <c r="JJ66" s="1611" t="s">
        <v>270</v>
      </c>
      <c r="JK66" s="1607">
        <f t="shared" si="9"/>
        <v>0.17300000000000004</v>
      </c>
      <c r="JL66" s="1608" t="s">
        <v>270</v>
      </c>
      <c r="JM66" s="1610" t="s">
        <v>2924</v>
      </c>
      <c r="JN66" s="1608">
        <v>0</v>
      </c>
      <c r="JO66" s="1609" t="s">
        <v>2955</v>
      </c>
      <c r="JP66" s="1608" t="s">
        <v>270</v>
      </c>
      <c r="JQ66" s="1607">
        <v>202103</v>
      </c>
      <c r="JR66" s="1606">
        <v>144</v>
      </c>
      <c r="JS66" s="1606">
        <v>147</v>
      </c>
      <c r="JT66" s="1606">
        <v>147</v>
      </c>
    </row>
    <row r="67" spans="1:280" ht="15" customHeight="1" x14ac:dyDescent="0.2">
      <c r="A67" s="1626">
        <v>83500</v>
      </c>
      <c r="B67" s="1625">
        <v>835</v>
      </c>
      <c r="C67" s="1624">
        <v>0</v>
      </c>
      <c r="D67" s="1623" t="s">
        <v>3633</v>
      </c>
      <c r="E67" s="1622">
        <v>43031</v>
      </c>
      <c r="F67" s="1620">
        <v>1.3382661088207599</v>
      </c>
      <c r="G67" s="1620">
        <v>1.2933860367168299</v>
      </c>
      <c r="H67" s="1621">
        <v>93.7</v>
      </c>
      <c r="I67" s="1621">
        <v>93.7</v>
      </c>
      <c r="J67" s="1621">
        <v>93.7</v>
      </c>
      <c r="K67" s="1620">
        <v>1</v>
      </c>
      <c r="L67" s="1620">
        <v>91.3</v>
      </c>
      <c r="M67" s="1620">
        <v>68.3</v>
      </c>
      <c r="N67" s="1620">
        <v>13.799999565</v>
      </c>
      <c r="O67" s="1620">
        <v>10.300000369999999</v>
      </c>
      <c r="P67" s="1620">
        <v>0</v>
      </c>
      <c r="Q67" s="1603"/>
      <c r="R67" s="1620">
        <v>91</v>
      </c>
      <c r="S67" s="1620">
        <v>70</v>
      </c>
      <c r="T67" s="1620">
        <v>70</v>
      </c>
      <c r="U67" s="1620">
        <v>70</v>
      </c>
      <c r="V67" s="1620">
        <v>70</v>
      </c>
      <c r="W67" s="1620">
        <v>70</v>
      </c>
      <c r="X67" s="1620"/>
      <c r="Y67" s="1620">
        <v>16.648409999999998</v>
      </c>
      <c r="Z67" s="1620">
        <v>18.181820000000002</v>
      </c>
      <c r="AA67" s="1620">
        <v>8.3423599999999993</v>
      </c>
      <c r="AB67" s="1620">
        <v>0</v>
      </c>
      <c r="AC67" s="1620">
        <v>15.92633</v>
      </c>
      <c r="AD67" s="1620">
        <v>2.1999999999999997</v>
      </c>
      <c r="AE67" s="1620">
        <v>0</v>
      </c>
      <c r="AF67" s="1620">
        <v>332</v>
      </c>
      <c r="AG67" s="1620">
        <v>5.0000000000000009</v>
      </c>
      <c r="AH67" s="1620">
        <v>15</v>
      </c>
      <c r="AI67" s="1620">
        <v>106.00000000000001</v>
      </c>
      <c r="AJ67" s="1620">
        <v>0</v>
      </c>
      <c r="AK67" s="1620">
        <v>2.3800000000000003</v>
      </c>
      <c r="AL67" s="1620"/>
      <c r="AM67" s="1620">
        <v>7.22</v>
      </c>
      <c r="AN67" s="1620">
        <v>2.79</v>
      </c>
      <c r="AO67" s="1620">
        <v>0.91</v>
      </c>
      <c r="AP67" s="1620">
        <v>4.09</v>
      </c>
      <c r="AQ67" s="1620">
        <v>1.1599999999999999</v>
      </c>
      <c r="AR67" s="1620">
        <v>4.51</v>
      </c>
      <c r="AS67" s="1620">
        <v>7.59</v>
      </c>
      <c r="AT67" s="1620">
        <v>2.0499999999999998</v>
      </c>
      <c r="AU67" s="1620">
        <v>3.77</v>
      </c>
      <c r="AV67" s="1620">
        <v>3.3</v>
      </c>
      <c r="AW67" s="1620">
        <v>5.46</v>
      </c>
      <c r="AX67" s="1620"/>
      <c r="AY67" s="1620">
        <v>1.02</v>
      </c>
      <c r="AZ67" s="1620">
        <v>1.05</v>
      </c>
      <c r="BA67" s="1620">
        <v>0.98</v>
      </c>
      <c r="BB67" s="1620">
        <v>1.03</v>
      </c>
      <c r="BC67" s="1620">
        <v>1</v>
      </c>
      <c r="BD67" s="1620">
        <v>1.02</v>
      </c>
      <c r="BE67" s="1620">
        <v>1.03</v>
      </c>
      <c r="BF67" s="1620">
        <v>1</v>
      </c>
      <c r="BG67" s="1620">
        <v>1.02</v>
      </c>
      <c r="BH67" s="1620">
        <v>0.95</v>
      </c>
      <c r="BI67" s="1620">
        <v>1.02</v>
      </c>
      <c r="BJ67" s="1603"/>
      <c r="BK67" s="1620">
        <v>74.808324205914573</v>
      </c>
      <c r="BL67" s="1620">
        <v>15.115005000000002</v>
      </c>
      <c r="BM67" s="1620">
        <v>11.28149</v>
      </c>
      <c r="BN67" s="1620">
        <v>0</v>
      </c>
      <c r="BO67" s="1620"/>
      <c r="BP67" s="1620">
        <v>159</v>
      </c>
      <c r="BQ67" s="1620">
        <v>240.32857950000002</v>
      </c>
      <c r="BR67" s="1620">
        <v>1.4657898234619495</v>
      </c>
      <c r="BS67" s="1620">
        <v>1.4166331179811937</v>
      </c>
      <c r="BT67" s="1603"/>
      <c r="BU67" s="1620">
        <v>887.18510000000003</v>
      </c>
      <c r="BV67" s="1620">
        <v>3.9211399261770312</v>
      </c>
      <c r="BW67" s="1620">
        <v>0</v>
      </c>
      <c r="BX67" s="1620">
        <v>0</v>
      </c>
      <c r="BY67" s="1620">
        <v>0</v>
      </c>
      <c r="BZ67" s="1620">
        <v>0</v>
      </c>
      <c r="CA67" s="1620" t="s">
        <v>270</v>
      </c>
      <c r="CB67" s="1603"/>
      <c r="CC67" s="1603">
        <v>15.199998329999998</v>
      </c>
      <c r="CD67" s="1603">
        <v>16.60000166</v>
      </c>
      <c r="CE67" s="1603">
        <v>7.6165746799999985</v>
      </c>
      <c r="CF67" s="1603">
        <v>0</v>
      </c>
      <c r="CG67" s="1603">
        <v>14.540739289999999</v>
      </c>
      <c r="CH67" s="1603">
        <v>2.0085999999999995</v>
      </c>
      <c r="CI67" s="1603">
        <v>0</v>
      </c>
      <c r="CJ67" s="1603"/>
      <c r="CK67" s="1603">
        <v>303.11599999999999</v>
      </c>
      <c r="CL67" s="1603">
        <v>4.5650000000000004</v>
      </c>
      <c r="CM67" s="1603">
        <v>13.694999999999999</v>
      </c>
      <c r="CN67" s="1603">
        <v>96.778000000000006</v>
      </c>
      <c r="CO67" s="1603">
        <v>0</v>
      </c>
      <c r="CP67" s="1603">
        <v>2.1729400000000001</v>
      </c>
      <c r="CQ67" s="1603">
        <v>621.53</v>
      </c>
      <c r="CR67" s="1603">
        <v>464.42930587824094</v>
      </c>
      <c r="CS67" s="1603">
        <v>34.202431802097173</v>
      </c>
      <c r="CT67" s="1603">
        <v>13.605456515703068</v>
      </c>
      <c r="CU67" s="1603">
        <v>4.1417805498221529</v>
      </c>
      <c r="CV67" s="1603">
        <v>17.747237065525219</v>
      </c>
      <c r="CW67" s="1603">
        <v>19.565013368732657</v>
      </c>
      <c r="CX67" s="1603">
        <v>5.3873799481875952</v>
      </c>
      <c r="CY67" s="1603">
        <v>21.364676929010841</v>
      </c>
      <c r="CZ67" s="1603">
        <v>36.307689845643239</v>
      </c>
      <c r="DA67" s="1603">
        <v>9.5208007705039392</v>
      </c>
      <c r="DB67" s="1603">
        <v>17.859164528241877</v>
      </c>
      <c r="DC67" s="1603">
        <v>14.559858739282856</v>
      </c>
      <c r="DD67" s="1603">
        <v>32.419023267524729</v>
      </c>
      <c r="DE67" s="1603">
        <v>25.864996902970997</v>
      </c>
      <c r="DF67" s="1603">
        <v>0</v>
      </c>
      <c r="DG67" s="1603">
        <v>0</v>
      </c>
      <c r="DH67" s="1603">
        <v>0</v>
      </c>
      <c r="DI67" s="1603">
        <v>0</v>
      </c>
      <c r="DJ67" s="1603">
        <v>0</v>
      </c>
      <c r="DK67" s="1603">
        <v>0</v>
      </c>
      <c r="DL67" s="1603">
        <v>0</v>
      </c>
      <c r="DM67" s="1603">
        <v>0</v>
      </c>
      <c r="DN67" s="1603">
        <v>0</v>
      </c>
      <c r="DO67" s="1603">
        <v>0</v>
      </c>
      <c r="DP67" s="1603">
        <v>0</v>
      </c>
      <c r="DQ67" s="1603">
        <v>0</v>
      </c>
      <c r="DR67" s="1603">
        <v>0</v>
      </c>
      <c r="DS67" s="1603">
        <v>0</v>
      </c>
      <c r="DT67" s="1603">
        <v>0</v>
      </c>
      <c r="DU67" s="1603">
        <v>0</v>
      </c>
      <c r="DV67" s="1603">
        <v>0</v>
      </c>
      <c r="DW67" s="1618" t="s">
        <v>3632</v>
      </c>
      <c r="DX67" s="1605" t="s">
        <v>986</v>
      </c>
      <c r="DY67" s="1605" t="s">
        <v>986</v>
      </c>
      <c r="DZ67" s="1605" t="s">
        <v>986</v>
      </c>
      <c r="EA67" s="1605" t="s">
        <v>986</v>
      </c>
      <c r="EB67" s="1605" t="s">
        <v>986</v>
      </c>
      <c r="EC67" s="1605" t="s">
        <v>986</v>
      </c>
      <c r="ED67" s="1605" t="s">
        <v>986</v>
      </c>
      <c r="EE67" s="1605" t="s">
        <v>986</v>
      </c>
      <c r="EF67" s="1605" t="s">
        <v>986</v>
      </c>
      <c r="EG67" s="1605" t="s">
        <v>986</v>
      </c>
      <c r="EH67" s="1605" t="s">
        <v>986</v>
      </c>
      <c r="EI67" s="1605" t="s">
        <v>986</v>
      </c>
      <c r="EJ67" s="1605" t="s">
        <v>986</v>
      </c>
      <c r="EK67" s="1605" t="s">
        <v>986</v>
      </c>
      <c r="EL67" s="1605" t="s">
        <v>986</v>
      </c>
      <c r="EM67" s="1605" t="s">
        <v>986</v>
      </c>
      <c r="EN67" s="1605" t="s">
        <v>986</v>
      </c>
      <c r="EO67" s="1605" t="s">
        <v>986</v>
      </c>
      <c r="EP67" s="1605" t="s">
        <v>986</v>
      </c>
      <c r="EQ67" s="1605" t="s">
        <v>986</v>
      </c>
      <c r="ER67" s="1605" t="s">
        <v>986</v>
      </c>
      <c r="ES67" s="1605" t="s">
        <v>986</v>
      </c>
      <c r="ET67" s="1605" t="s">
        <v>986</v>
      </c>
      <c r="EU67" s="1605" t="s">
        <v>986</v>
      </c>
      <c r="EV67" s="1605" t="s">
        <v>986</v>
      </c>
      <c r="EW67" s="1605" t="s">
        <v>986</v>
      </c>
      <c r="EX67" s="1605" t="s">
        <v>986</v>
      </c>
      <c r="EY67" s="1605" t="s">
        <v>986</v>
      </c>
      <c r="EZ67" s="1605" t="s">
        <v>986</v>
      </c>
      <c r="FA67" s="1605" t="s">
        <v>986</v>
      </c>
      <c r="FB67" s="1605" t="s">
        <v>986</v>
      </c>
      <c r="FC67" s="1605" t="s">
        <v>986</v>
      </c>
      <c r="FD67" s="1605" t="s">
        <v>986</v>
      </c>
      <c r="FE67" s="1605" t="s">
        <v>986</v>
      </c>
      <c r="FF67" s="1605" t="s">
        <v>986</v>
      </c>
      <c r="FG67" s="1605" t="s">
        <v>986</v>
      </c>
      <c r="FH67" s="1605" t="s">
        <v>986</v>
      </c>
      <c r="FI67" s="1605" t="s">
        <v>986</v>
      </c>
      <c r="FJ67" s="1605" t="s">
        <v>986</v>
      </c>
      <c r="FK67" s="1605" t="s">
        <v>986</v>
      </c>
      <c r="FL67" s="1605" t="s">
        <v>986</v>
      </c>
      <c r="FM67" s="1605" t="s">
        <v>986</v>
      </c>
      <c r="FN67" s="1605" t="s">
        <v>986</v>
      </c>
      <c r="FO67" s="1605" t="s">
        <v>986</v>
      </c>
      <c r="FP67" s="1605" t="s">
        <v>986</v>
      </c>
      <c r="FQ67" s="1605" t="s">
        <v>986</v>
      </c>
      <c r="FR67" s="1605" t="s">
        <v>986</v>
      </c>
      <c r="FS67" s="1605" t="s">
        <v>986</v>
      </c>
      <c r="FT67" s="1605" t="s">
        <v>986</v>
      </c>
      <c r="FU67" s="1605" t="s">
        <v>986</v>
      </c>
      <c r="FV67" s="1605" t="s">
        <v>986</v>
      </c>
      <c r="FW67" s="1605" t="s">
        <v>986</v>
      </c>
      <c r="FX67" s="1605" t="s">
        <v>986</v>
      </c>
      <c r="FY67" s="1605" t="s">
        <v>986</v>
      </c>
      <c r="FZ67" s="1605" t="s">
        <v>986</v>
      </c>
      <c r="GA67" s="1605" t="s">
        <v>986</v>
      </c>
      <c r="GB67" s="1605" t="s">
        <v>986</v>
      </c>
      <c r="GC67" s="1605" t="s">
        <v>986</v>
      </c>
      <c r="GD67" s="1605" t="s">
        <v>986</v>
      </c>
      <c r="GE67" s="1605" t="s">
        <v>986</v>
      </c>
      <c r="GF67" s="1605" t="s">
        <v>986</v>
      </c>
      <c r="GG67" s="1605" t="s">
        <v>986</v>
      </c>
      <c r="GH67" s="1605" t="s">
        <v>986</v>
      </c>
      <c r="GI67" s="1605" t="s">
        <v>986</v>
      </c>
      <c r="GJ67" s="1605" t="s">
        <v>986</v>
      </c>
      <c r="GK67" s="1605" t="s">
        <v>986</v>
      </c>
      <c r="GL67" s="1605" t="s">
        <v>986</v>
      </c>
      <c r="GM67" s="1605" t="s">
        <v>986</v>
      </c>
      <c r="GN67" s="1605" t="s">
        <v>986</v>
      </c>
      <c r="GO67" s="1605" t="s">
        <v>986</v>
      </c>
      <c r="GP67" s="1605" t="s">
        <v>986</v>
      </c>
      <c r="GQ67" s="1605" t="s">
        <v>986</v>
      </c>
      <c r="GR67" s="1605" t="s">
        <v>986</v>
      </c>
      <c r="GS67" s="1605" t="s">
        <v>986</v>
      </c>
      <c r="GT67" s="1605" t="s">
        <v>986</v>
      </c>
      <c r="GU67" s="1605" t="s">
        <v>986</v>
      </c>
      <c r="GV67" s="1605" t="s">
        <v>986</v>
      </c>
      <c r="GW67" s="1605" t="s">
        <v>986</v>
      </c>
      <c r="GX67" s="1605" t="s">
        <v>986</v>
      </c>
      <c r="GY67" s="1605" t="s">
        <v>986</v>
      </c>
      <c r="GZ67" s="1605" t="s">
        <v>986</v>
      </c>
      <c r="HA67" s="1605" t="s">
        <v>986</v>
      </c>
      <c r="HB67" s="1605" t="s">
        <v>986</v>
      </c>
      <c r="HC67" s="1605" t="s">
        <v>986</v>
      </c>
      <c r="HD67" s="1605" t="s">
        <v>986</v>
      </c>
      <c r="HE67" s="1605" t="s">
        <v>986</v>
      </c>
      <c r="HF67" s="1605" t="s">
        <v>986</v>
      </c>
      <c r="HG67" s="1605" t="s">
        <v>986</v>
      </c>
      <c r="HH67" s="1605" t="s">
        <v>986</v>
      </c>
      <c r="HI67" s="1605" t="s">
        <v>986</v>
      </c>
      <c r="HJ67" s="1605" t="s">
        <v>986</v>
      </c>
      <c r="HK67" s="1605" t="s">
        <v>986</v>
      </c>
      <c r="HL67" s="1605" t="s">
        <v>986</v>
      </c>
      <c r="HM67" s="1605" t="s">
        <v>986</v>
      </c>
      <c r="HN67" s="1605" t="s">
        <v>986</v>
      </c>
      <c r="HO67" s="1605" t="s">
        <v>986</v>
      </c>
      <c r="HP67" s="1605" t="s">
        <v>986</v>
      </c>
      <c r="HQ67" s="1605" t="s">
        <v>986</v>
      </c>
      <c r="HR67" s="1605" t="s">
        <v>986</v>
      </c>
      <c r="HS67" s="1605" t="s">
        <v>986</v>
      </c>
      <c r="HT67" s="1605" t="s">
        <v>986</v>
      </c>
      <c r="HU67" s="1605" t="s">
        <v>986</v>
      </c>
      <c r="HV67" s="1617"/>
      <c r="HW67" s="1617" t="s">
        <v>3631</v>
      </c>
      <c r="HX67" s="1617" t="s">
        <v>3630</v>
      </c>
      <c r="HY67" s="1617" t="s">
        <v>3629</v>
      </c>
      <c r="HZ67" s="1603"/>
      <c r="IA67" s="1603"/>
      <c r="IB67" s="1603"/>
      <c r="IC67" s="1603">
        <v>70</v>
      </c>
      <c r="ID67" s="1603">
        <v>70</v>
      </c>
      <c r="IE67" s="1603">
        <v>70</v>
      </c>
      <c r="IF67" s="1603">
        <v>70</v>
      </c>
      <c r="IG67" s="1611" t="s">
        <v>3628</v>
      </c>
      <c r="IH67" s="1616" t="s">
        <v>270</v>
      </c>
      <c r="II67" s="1615" t="s">
        <v>270</v>
      </c>
      <c r="IJ67" s="1613">
        <v>1.6095509761388285</v>
      </c>
      <c r="IK67" s="1613">
        <v>1.6095509761388285</v>
      </c>
      <c r="IL67" s="1614">
        <v>1.6095509761388285</v>
      </c>
      <c r="IM67" s="1614">
        <v>1.6095509761388285</v>
      </c>
      <c r="IN67" s="1612" t="s">
        <v>270</v>
      </c>
      <c r="IO67" s="1613" t="s">
        <v>270</v>
      </c>
      <c r="IP67" s="1607" t="s">
        <v>270</v>
      </c>
      <c r="IQ67" s="1612" t="s">
        <v>270</v>
      </c>
      <c r="IR67" s="1612" t="s">
        <v>270</v>
      </c>
      <c r="IS67" s="1607">
        <v>1.4365509761388284</v>
      </c>
      <c r="IT67" s="1607">
        <v>1.4365509761388284</v>
      </c>
      <c r="IU67" s="1611">
        <v>0</v>
      </c>
      <c r="IV67" s="1611">
        <v>8.0911062906724503E-3</v>
      </c>
      <c r="IW67" s="1611">
        <v>8.101952277657266E-3</v>
      </c>
      <c r="IX67" s="1611">
        <v>1.7028199566160519E-3</v>
      </c>
      <c r="IY67" s="1611">
        <v>8.1995661605206074E-3</v>
      </c>
      <c r="IZ67" s="1611">
        <v>4.3709327548806945E-3</v>
      </c>
      <c r="JA67" s="1611">
        <v>0</v>
      </c>
      <c r="JB67" s="1611" t="s">
        <v>270</v>
      </c>
      <c r="JC67" s="1611">
        <v>0.16748373101952274</v>
      </c>
      <c r="JD67" s="1611">
        <v>1.0845986984815618E-4</v>
      </c>
      <c r="JE67" s="1611" t="s">
        <v>270</v>
      </c>
      <c r="JF67" s="1611">
        <v>1.3774403470715835E-3</v>
      </c>
      <c r="JG67" s="1611">
        <v>7.5162689804772224E-3</v>
      </c>
      <c r="JH67" s="1611">
        <v>6.3991323210412139E-4</v>
      </c>
      <c r="JI67" s="1611">
        <v>0.37336225596529282</v>
      </c>
      <c r="JJ67" s="1611" t="s">
        <v>270</v>
      </c>
      <c r="JK67" s="1607">
        <f t="shared" si="9"/>
        <v>0.17300000000000004</v>
      </c>
      <c r="JL67" s="1608" t="s">
        <v>270</v>
      </c>
      <c r="JM67" s="1610" t="s">
        <v>2924</v>
      </c>
      <c r="JN67" s="1608">
        <v>0</v>
      </c>
      <c r="JO67" s="1609" t="s">
        <v>2955</v>
      </c>
      <c r="JP67" s="1608" t="s">
        <v>270</v>
      </c>
      <c r="JQ67" s="1607">
        <v>202103</v>
      </c>
      <c r="JR67" s="1606">
        <v>144</v>
      </c>
      <c r="JS67" s="1606">
        <v>147</v>
      </c>
      <c r="JT67" s="1606">
        <v>147</v>
      </c>
    </row>
    <row r="68" spans="1:280" ht="15" customHeight="1" x14ac:dyDescent="0.2">
      <c r="A68" s="1626">
        <v>83600</v>
      </c>
      <c r="B68" s="1625">
        <v>836</v>
      </c>
      <c r="C68" s="1624">
        <v>0</v>
      </c>
      <c r="D68" s="1623" t="s">
        <v>3627</v>
      </c>
      <c r="E68" s="1622">
        <v>43031</v>
      </c>
      <c r="F68" s="1620">
        <v>0.73852807039743495</v>
      </c>
      <c r="G68" s="1620">
        <v>0.71244586487442496</v>
      </c>
      <c r="H68" s="1621">
        <v>97.6</v>
      </c>
      <c r="I68" s="1621">
        <v>96.2</v>
      </c>
      <c r="J68" s="1621">
        <v>97.7</v>
      </c>
      <c r="K68" s="1620">
        <v>1</v>
      </c>
      <c r="L68" s="1620">
        <v>50</v>
      </c>
      <c r="M68" s="1620">
        <v>35</v>
      </c>
      <c r="N68" s="1620">
        <v>6.0311284046692499</v>
      </c>
      <c r="O68" s="1620">
        <v>5</v>
      </c>
      <c r="P68" s="1620">
        <v>0</v>
      </c>
      <c r="Q68" s="1603"/>
      <c r="R68" s="1620">
        <v>92</v>
      </c>
      <c r="S68" s="1620">
        <v>70</v>
      </c>
      <c r="T68" s="1620">
        <v>70</v>
      </c>
      <c r="U68" s="1620">
        <v>70</v>
      </c>
      <c r="V68" s="1620">
        <v>70</v>
      </c>
      <c r="W68" s="1620">
        <v>70</v>
      </c>
      <c r="X68" s="1620"/>
      <c r="Y68" s="1620">
        <v>13.999981219296</v>
      </c>
      <c r="Z68" s="1620">
        <v>15</v>
      </c>
      <c r="AA68" s="1620">
        <v>10</v>
      </c>
      <c r="AB68" s="1620">
        <v>13</v>
      </c>
      <c r="AC68" s="1620">
        <v>10</v>
      </c>
      <c r="AD68" s="1620">
        <v>2</v>
      </c>
      <c r="AE68" s="1620">
        <v>0</v>
      </c>
      <c r="AF68" s="1620">
        <v>700</v>
      </c>
      <c r="AG68" s="1620">
        <v>100</v>
      </c>
      <c r="AH68" s="1620">
        <v>9</v>
      </c>
      <c r="AI68" s="1620">
        <v>1000</v>
      </c>
      <c r="AJ68" s="1620">
        <v>0</v>
      </c>
      <c r="AK68" s="1620">
        <v>2.38</v>
      </c>
      <c r="AL68" s="1620"/>
      <c r="AM68" s="1620">
        <v>6.4</v>
      </c>
      <c r="AN68" s="1620">
        <v>2.5</v>
      </c>
      <c r="AO68" s="1620">
        <v>0.8</v>
      </c>
      <c r="AP68" s="1620">
        <v>3.8</v>
      </c>
      <c r="AQ68" s="1620">
        <v>0.66</v>
      </c>
      <c r="AR68" s="1620">
        <v>4.0999999999999996</v>
      </c>
      <c r="AS68" s="1620">
        <v>6.5</v>
      </c>
      <c r="AT68" s="1620">
        <v>2.2999999999999998</v>
      </c>
      <c r="AU68" s="1620">
        <v>3.3</v>
      </c>
      <c r="AV68" s="1620">
        <v>2.7</v>
      </c>
      <c r="AW68" s="1620">
        <v>4.9000000000000004</v>
      </c>
      <c r="AX68" s="1620"/>
      <c r="AY68" s="1620">
        <v>1.02</v>
      </c>
      <c r="AZ68" s="1620">
        <v>1.05</v>
      </c>
      <c r="BA68" s="1620">
        <v>0.98</v>
      </c>
      <c r="BB68" s="1620">
        <v>1.03</v>
      </c>
      <c r="BC68" s="1620">
        <v>1</v>
      </c>
      <c r="BD68" s="1620">
        <v>1.02</v>
      </c>
      <c r="BE68" s="1620">
        <v>1.03</v>
      </c>
      <c r="BF68" s="1620">
        <v>1</v>
      </c>
      <c r="BG68" s="1620">
        <v>1.02</v>
      </c>
      <c r="BH68" s="1620">
        <v>0.95</v>
      </c>
      <c r="BI68" s="1620">
        <v>1.02</v>
      </c>
      <c r="BJ68" s="1603"/>
      <c r="BK68" s="1620">
        <v>70</v>
      </c>
      <c r="BL68" s="1620">
        <v>12.0622568093385</v>
      </c>
      <c r="BM68" s="1620">
        <v>10</v>
      </c>
      <c r="BN68" s="1620">
        <v>0</v>
      </c>
      <c r="BO68" s="1620"/>
      <c r="BP68" s="1620">
        <v>159</v>
      </c>
      <c r="BQ68" s="1620">
        <v>191.78988326848196</v>
      </c>
      <c r="BR68" s="1620">
        <v>1.4770561407948699</v>
      </c>
      <c r="BS68" s="1620">
        <v>1.4248917297488497</v>
      </c>
      <c r="BT68" s="1603"/>
      <c r="BU68" s="1620">
        <v>900</v>
      </c>
      <c r="BV68" s="1620">
        <v>106.396108949417</v>
      </c>
      <c r="BW68" s="1620">
        <v>17.999999999999901</v>
      </c>
      <c r="BX68" s="1620">
        <v>0</v>
      </c>
      <c r="BY68" s="1620">
        <v>0</v>
      </c>
      <c r="BZ68" s="1620">
        <v>0</v>
      </c>
      <c r="CA68" s="1620" t="s">
        <v>270</v>
      </c>
      <c r="CB68" s="1603"/>
      <c r="CC68" s="1603">
        <v>6.999990609648</v>
      </c>
      <c r="CD68" s="1603">
        <v>7.5</v>
      </c>
      <c r="CE68" s="1603">
        <v>5</v>
      </c>
      <c r="CF68" s="1603">
        <v>6.5</v>
      </c>
      <c r="CG68" s="1603">
        <v>5</v>
      </c>
      <c r="CH68" s="1603">
        <v>1</v>
      </c>
      <c r="CI68" s="1603">
        <v>0</v>
      </c>
      <c r="CJ68" s="1603"/>
      <c r="CK68" s="1603">
        <v>350</v>
      </c>
      <c r="CL68" s="1603">
        <v>50</v>
      </c>
      <c r="CM68" s="1603">
        <v>4.5</v>
      </c>
      <c r="CN68" s="1603">
        <v>500</v>
      </c>
      <c r="CO68" s="1603">
        <v>0</v>
      </c>
      <c r="CP68" s="1603">
        <v>1.19</v>
      </c>
      <c r="CQ68" s="1603">
        <v>322</v>
      </c>
      <c r="CR68" s="1603">
        <v>436.0023848879805</v>
      </c>
      <c r="CS68" s="1603">
        <v>28.462235685487368</v>
      </c>
      <c r="CT68" s="1603">
        <v>11.44506260330949</v>
      </c>
      <c r="CU68" s="1603">
        <v>3.4182586975217673</v>
      </c>
      <c r="CV68" s="1603">
        <v>14.863321300831254</v>
      </c>
      <c r="CW68" s="1603">
        <v>17.065133344515559</v>
      </c>
      <c r="CX68" s="1603">
        <v>2.8776157402606715</v>
      </c>
      <c r="CY68" s="1603">
        <v>18.233619736015346</v>
      </c>
      <c r="CZ68" s="1603">
        <v>29.190359668250295</v>
      </c>
      <c r="DA68" s="1603">
        <v>10.028054852423551</v>
      </c>
      <c r="DB68" s="1603">
        <v>14.675840275329426</v>
      </c>
      <c r="DC68" s="1603">
        <v>11.183461172376699</v>
      </c>
      <c r="DD68" s="1603">
        <v>25.859301447706123</v>
      </c>
      <c r="DE68" s="1603">
        <v>21.791399196701267</v>
      </c>
      <c r="DF68" s="1603">
        <v>0</v>
      </c>
      <c r="DG68" s="1603">
        <v>0</v>
      </c>
      <c r="DH68" s="1603">
        <v>0</v>
      </c>
      <c r="DI68" s="1603">
        <v>0</v>
      </c>
      <c r="DJ68" s="1603">
        <v>0</v>
      </c>
      <c r="DK68" s="1603">
        <v>0</v>
      </c>
      <c r="DL68" s="1603">
        <v>0</v>
      </c>
      <c r="DM68" s="1603">
        <v>0</v>
      </c>
      <c r="DN68" s="1603">
        <v>0</v>
      </c>
      <c r="DO68" s="1603">
        <v>0</v>
      </c>
      <c r="DP68" s="1603">
        <v>0</v>
      </c>
      <c r="DQ68" s="1603">
        <v>0</v>
      </c>
      <c r="DR68" s="1603">
        <v>0</v>
      </c>
      <c r="DS68" s="1603">
        <v>0</v>
      </c>
      <c r="DT68" s="1603">
        <v>0</v>
      </c>
      <c r="DU68" s="1603">
        <v>0</v>
      </c>
      <c r="DV68" s="1603">
        <v>0</v>
      </c>
      <c r="DW68" s="1618" t="s">
        <v>3625</v>
      </c>
      <c r="DX68" s="1605" t="s">
        <v>986</v>
      </c>
      <c r="DY68" s="1605" t="s">
        <v>986</v>
      </c>
      <c r="DZ68" s="1605" t="s">
        <v>986</v>
      </c>
      <c r="EA68" s="1605" t="s">
        <v>986</v>
      </c>
      <c r="EB68" s="1605" t="s">
        <v>986</v>
      </c>
      <c r="EC68" s="1605" t="s">
        <v>986</v>
      </c>
      <c r="ED68" s="1605" t="s">
        <v>986</v>
      </c>
      <c r="EE68" s="1605" t="s">
        <v>986</v>
      </c>
      <c r="EF68" s="1605" t="s">
        <v>986</v>
      </c>
      <c r="EG68" s="1605" t="s">
        <v>986</v>
      </c>
      <c r="EH68" s="1605" t="s">
        <v>986</v>
      </c>
      <c r="EI68" s="1605" t="s">
        <v>986</v>
      </c>
      <c r="EJ68" s="1605" t="s">
        <v>986</v>
      </c>
      <c r="EK68" s="1605" t="s">
        <v>986</v>
      </c>
      <c r="EL68" s="1605" t="s">
        <v>986</v>
      </c>
      <c r="EM68" s="1605" t="s">
        <v>986</v>
      </c>
      <c r="EN68" s="1605" t="s">
        <v>986</v>
      </c>
      <c r="EO68" s="1605" t="s">
        <v>986</v>
      </c>
      <c r="EP68" s="1605" t="s">
        <v>986</v>
      </c>
      <c r="EQ68" s="1605" t="s">
        <v>986</v>
      </c>
      <c r="ER68" s="1605" t="s">
        <v>986</v>
      </c>
      <c r="ES68" s="1605" t="s">
        <v>986</v>
      </c>
      <c r="ET68" s="1605" t="s">
        <v>986</v>
      </c>
      <c r="EU68" s="1605" t="s">
        <v>986</v>
      </c>
      <c r="EV68" s="1605" t="s">
        <v>986</v>
      </c>
      <c r="EW68" s="1605" t="s">
        <v>986</v>
      </c>
      <c r="EX68" s="1605" t="s">
        <v>986</v>
      </c>
      <c r="EY68" s="1605" t="s">
        <v>986</v>
      </c>
      <c r="EZ68" s="1605" t="s">
        <v>986</v>
      </c>
      <c r="FA68" s="1605" t="s">
        <v>986</v>
      </c>
      <c r="FB68" s="1605" t="s">
        <v>986</v>
      </c>
      <c r="FC68" s="1605" t="s">
        <v>986</v>
      </c>
      <c r="FD68" s="1605" t="s">
        <v>986</v>
      </c>
      <c r="FE68" s="1605" t="s">
        <v>986</v>
      </c>
      <c r="FF68" s="1605" t="s">
        <v>986</v>
      </c>
      <c r="FG68" s="1605" t="s">
        <v>986</v>
      </c>
      <c r="FH68" s="1605" t="s">
        <v>986</v>
      </c>
      <c r="FI68" s="1605" t="s">
        <v>986</v>
      </c>
      <c r="FJ68" s="1605" t="s">
        <v>986</v>
      </c>
      <c r="FK68" s="1605" t="s">
        <v>986</v>
      </c>
      <c r="FL68" s="1605" t="s">
        <v>986</v>
      </c>
      <c r="FM68" s="1605" t="s">
        <v>986</v>
      </c>
      <c r="FN68" s="1605" t="s">
        <v>986</v>
      </c>
      <c r="FO68" s="1605" t="s">
        <v>986</v>
      </c>
      <c r="FP68" s="1605" t="s">
        <v>986</v>
      </c>
      <c r="FQ68" s="1605" t="s">
        <v>986</v>
      </c>
      <c r="FR68" s="1605" t="s">
        <v>986</v>
      </c>
      <c r="FS68" s="1605" t="s">
        <v>986</v>
      </c>
      <c r="FT68" s="1605" t="s">
        <v>986</v>
      </c>
      <c r="FU68" s="1605" t="s">
        <v>986</v>
      </c>
      <c r="FV68" s="1605" t="s">
        <v>986</v>
      </c>
      <c r="FW68" s="1605" t="s">
        <v>986</v>
      </c>
      <c r="FX68" s="1605" t="s">
        <v>986</v>
      </c>
      <c r="FY68" s="1605" t="s">
        <v>986</v>
      </c>
      <c r="FZ68" s="1605" t="s">
        <v>986</v>
      </c>
      <c r="GA68" s="1605" t="s">
        <v>986</v>
      </c>
      <c r="GB68" s="1605" t="s">
        <v>986</v>
      </c>
      <c r="GC68" s="1605" t="s">
        <v>986</v>
      </c>
      <c r="GD68" s="1605" t="s">
        <v>986</v>
      </c>
      <c r="GE68" s="1605" t="s">
        <v>986</v>
      </c>
      <c r="GF68" s="1605" t="s">
        <v>986</v>
      </c>
      <c r="GG68" s="1605" t="s">
        <v>986</v>
      </c>
      <c r="GH68" s="1605" t="s">
        <v>986</v>
      </c>
      <c r="GI68" s="1605" t="s">
        <v>986</v>
      </c>
      <c r="GJ68" s="1605" t="s">
        <v>986</v>
      </c>
      <c r="GK68" s="1605" t="s">
        <v>986</v>
      </c>
      <c r="GL68" s="1605" t="s">
        <v>986</v>
      </c>
      <c r="GM68" s="1605" t="s">
        <v>986</v>
      </c>
      <c r="GN68" s="1605" t="s">
        <v>986</v>
      </c>
      <c r="GO68" s="1605" t="s">
        <v>986</v>
      </c>
      <c r="GP68" s="1605" t="s">
        <v>986</v>
      </c>
      <c r="GQ68" s="1605" t="s">
        <v>986</v>
      </c>
      <c r="GR68" s="1605" t="s">
        <v>986</v>
      </c>
      <c r="GS68" s="1605" t="s">
        <v>986</v>
      </c>
      <c r="GT68" s="1605" t="s">
        <v>986</v>
      </c>
      <c r="GU68" s="1605" t="s">
        <v>986</v>
      </c>
      <c r="GV68" s="1605" t="s">
        <v>986</v>
      </c>
      <c r="GW68" s="1605" t="s">
        <v>986</v>
      </c>
      <c r="GX68" s="1605" t="s">
        <v>986</v>
      </c>
      <c r="GY68" s="1605" t="s">
        <v>986</v>
      </c>
      <c r="GZ68" s="1605" t="s">
        <v>986</v>
      </c>
      <c r="HA68" s="1605" t="s">
        <v>986</v>
      </c>
      <c r="HB68" s="1605" t="s">
        <v>986</v>
      </c>
      <c r="HC68" s="1605" t="s">
        <v>986</v>
      </c>
      <c r="HD68" s="1605" t="s">
        <v>986</v>
      </c>
      <c r="HE68" s="1605" t="s">
        <v>986</v>
      </c>
      <c r="HF68" s="1605" t="s">
        <v>986</v>
      </c>
      <c r="HG68" s="1605" t="s">
        <v>986</v>
      </c>
      <c r="HH68" s="1605" t="s">
        <v>986</v>
      </c>
      <c r="HI68" s="1605" t="s">
        <v>986</v>
      </c>
      <c r="HJ68" s="1605" t="s">
        <v>986</v>
      </c>
      <c r="HK68" s="1605" t="s">
        <v>986</v>
      </c>
      <c r="HL68" s="1605" t="s">
        <v>986</v>
      </c>
      <c r="HM68" s="1605" t="s">
        <v>986</v>
      </c>
      <c r="HN68" s="1605" t="s">
        <v>986</v>
      </c>
      <c r="HO68" s="1605" t="s">
        <v>986</v>
      </c>
      <c r="HP68" s="1605" t="s">
        <v>986</v>
      </c>
      <c r="HQ68" s="1605" t="s">
        <v>986</v>
      </c>
      <c r="HR68" s="1605" t="s">
        <v>986</v>
      </c>
      <c r="HS68" s="1605" t="s">
        <v>986</v>
      </c>
      <c r="HT68" s="1605" t="s">
        <v>986</v>
      </c>
      <c r="HU68" s="1605" t="s">
        <v>986</v>
      </c>
      <c r="HV68" s="1617"/>
      <c r="HW68" s="1617" t="s">
        <v>3624</v>
      </c>
      <c r="HX68" s="1617" t="s">
        <v>3623</v>
      </c>
      <c r="HY68" s="1617">
        <v>0</v>
      </c>
      <c r="HZ68" s="1603"/>
      <c r="IA68" s="1603"/>
      <c r="IB68" s="1603"/>
      <c r="IC68" s="1603">
        <v>70</v>
      </c>
      <c r="ID68" s="1603">
        <v>70</v>
      </c>
      <c r="IE68" s="1603">
        <v>70</v>
      </c>
      <c r="IF68" s="1603">
        <v>70</v>
      </c>
      <c r="IG68" s="1611" t="s">
        <v>270</v>
      </c>
      <c r="IH68" s="1616" t="s">
        <v>270</v>
      </c>
      <c r="II68" s="1615" t="s">
        <v>270</v>
      </c>
      <c r="IJ68" s="1613">
        <v>1.4391304347826088</v>
      </c>
      <c r="IK68" s="1613">
        <v>1.4391304347826088</v>
      </c>
      <c r="IL68" s="1614">
        <v>1.4391304347826088</v>
      </c>
      <c r="IM68" s="1614">
        <v>1.4391304347826088</v>
      </c>
      <c r="IN68" s="1612">
        <v>1.4391304347826088</v>
      </c>
      <c r="IO68" s="1613">
        <v>0</v>
      </c>
      <c r="IP68" s="1607" t="s">
        <v>270</v>
      </c>
      <c r="IQ68" s="1612" t="s">
        <v>270</v>
      </c>
      <c r="IR68" s="1612" t="s">
        <v>270</v>
      </c>
      <c r="IS68" s="1607" t="s">
        <v>270</v>
      </c>
      <c r="IT68" s="1607" t="s">
        <v>270</v>
      </c>
      <c r="IU68" s="1611" t="s">
        <v>270</v>
      </c>
      <c r="IV68" s="1611" t="s">
        <v>270</v>
      </c>
      <c r="IW68" s="1611" t="s">
        <v>270</v>
      </c>
      <c r="IX68" s="1611" t="s">
        <v>270</v>
      </c>
      <c r="IY68" s="1611" t="s">
        <v>270</v>
      </c>
      <c r="IZ68" s="1611" t="s">
        <v>270</v>
      </c>
      <c r="JA68" s="1611" t="s">
        <v>270</v>
      </c>
      <c r="JB68" s="1611" t="s">
        <v>270</v>
      </c>
      <c r="JC68" s="1611" t="s">
        <v>270</v>
      </c>
      <c r="JD68" s="1611" t="s">
        <v>270</v>
      </c>
      <c r="JE68" s="1611" t="s">
        <v>270</v>
      </c>
      <c r="JF68" s="1611" t="s">
        <v>270</v>
      </c>
      <c r="JG68" s="1611" t="s">
        <v>270</v>
      </c>
      <c r="JH68" s="1611" t="s">
        <v>270</v>
      </c>
      <c r="JI68" s="1611" t="s">
        <v>270</v>
      </c>
      <c r="JJ68" s="1611" t="s">
        <v>270</v>
      </c>
      <c r="JK68" s="1607" t="str">
        <f t="shared" si="9"/>
        <v/>
      </c>
      <c r="JL68" s="1608" t="s">
        <v>2946</v>
      </c>
      <c r="JM68" s="1610" t="s">
        <v>2945</v>
      </c>
      <c r="JN68" s="1608" t="s">
        <v>270</v>
      </c>
      <c r="JO68" s="1609" t="s">
        <v>270</v>
      </c>
      <c r="JP68" s="1608">
        <v>1.4391304347826088</v>
      </c>
      <c r="JQ68" s="1607" t="s">
        <v>270</v>
      </c>
      <c r="JR68" s="1606" t="s">
        <v>270</v>
      </c>
      <c r="JS68" s="1606" t="s">
        <v>270</v>
      </c>
      <c r="JT68" s="1606" t="s">
        <v>270</v>
      </c>
    </row>
    <row r="69" spans="1:280" ht="15" customHeight="1" x14ac:dyDescent="0.2">
      <c r="A69" s="1626">
        <v>83900</v>
      </c>
      <c r="B69" s="1625">
        <v>839</v>
      </c>
      <c r="C69" s="1624">
        <v>0</v>
      </c>
      <c r="D69" s="1623" t="s">
        <v>3626</v>
      </c>
      <c r="E69" s="1622">
        <v>43031</v>
      </c>
      <c r="F69" s="1620">
        <v>0.63652148229347505</v>
      </c>
      <c r="G69" s="1620">
        <v>0.614063862250111</v>
      </c>
      <c r="H69" s="1621">
        <v>97.6</v>
      </c>
      <c r="I69" s="1621">
        <v>96.2</v>
      </c>
      <c r="J69" s="1621">
        <v>97.7</v>
      </c>
      <c r="K69" s="1620">
        <v>1</v>
      </c>
      <c r="L69" s="1620">
        <v>43</v>
      </c>
      <c r="M69" s="1620">
        <v>30</v>
      </c>
      <c r="N69" s="1620">
        <v>5.0247191011236101</v>
      </c>
      <c r="O69" s="1620">
        <v>4</v>
      </c>
      <c r="P69" s="1620">
        <v>0</v>
      </c>
      <c r="Q69" s="1603"/>
      <c r="R69" s="1620">
        <v>92</v>
      </c>
      <c r="S69" s="1620">
        <v>70</v>
      </c>
      <c r="T69" s="1620">
        <v>70</v>
      </c>
      <c r="U69" s="1620">
        <v>70</v>
      </c>
      <c r="V69" s="1620">
        <v>70</v>
      </c>
      <c r="W69" s="1620">
        <v>70</v>
      </c>
      <c r="X69" s="1620"/>
      <c r="Y69" s="1620">
        <v>14</v>
      </c>
      <c r="Z69" s="1620">
        <v>15</v>
      </c>
      <c r="AA69" s="1620">
        <v>10</v>
      </c>
      <c r="AB69" s="1620">
        <v>13</v>
      </c>
      <c r="AC69" s="1620">
        <v>10</v>
      </c>
      <c r="AD69" s="1620">
        <v>2</v>
      </c>
      <c r="AE69" s="1620">
        <v>0</v>
      </c>
      <c r="AF69" s="1620">
        <v>700</v>
      </c>
      <c r="AG69" s="1620">
        <v>100</v>
      </c>
      <c r="AH69" s="1620">
        <v>9</v>
      </c>
      <c r="AI69" s="1620">
        <v>1000</v>
      </c>
      <c r="AJ69" s="1620">
        <v>0</v>
      </c>
      <c r="AK69" s="1620">
        <v>2.38</v>
      </c>
      <c r="AL69" s="1620"/>
      <c r="AM69" s="1620">
        <v>7</v>
      </c>
      <c r="AN69" s="1620">
        <v>2.6</v>
      </c>
      <c r="AO69" s="1620">
        <v>0.9</v>
      </c>
      <c r="AP69" s="1620">
        <v>4.2</v>
      </c>
      <c r="AQ69" s="1620">
        <v>0.8</v>
      </c>
      <c r="AR69" s="1620">
        <v>4</v>
      </c>
      <c r="AS69" s="1620">
        <v>6.6</v>
      </c>
      <c r="AT69" s="1620">
        <v>2.2999999999999998</v>
      </c>
      <c r="AU69" s="1620">
        <v>3.5</v>
      </c>
      <c r="AV69" s="1620">
        <v>3</v>
      </c>
      <c r="AW69" s="1620">
        <v>4.9000000000000004</v>
      </c>
      <c r="AX69" s="1620"/>
      <c r="AY69" s="1620">
        <v>1.02</v>
      </c>
      <c r="AZ69" s="1620">
        <v>1.05</v>
      </c>
      <c r="BA69" s="1620">
        <v>0.98</v>
      </c>
      <c r="BB69" s="1620">
        <v>1.03</v>
      </c>
      <c r="BC69" s="1620">
        <v>1</v>
      </c>
      <c r="BD69" s="1620">
        <v>1.02</v>
      </c>
      <c r="BE69" s="1620">
        <v>1.03</v>
      </c>
      <c r="BF69" s="1620">
        <v>1</v>
      </c>
      <c r="BG69" s="1620">
        <v>1.02</v>
      </c>
      <c r="BH69" s="1620">
        <v>0.95</v>
      </c>
      <c r="BI69" s="1620">
        <v>1.02</v>
      </c>
      <c r="BJ69" s="1603"/>
      <c r="BK69" s="1620">
        <v>69.767441860465112</v>
      </c>
      <c r="BL69" s="1620">
        <v>11.685393258427</v>
      </c>
      <c r="BM69" s="1620">
        <v>9.3023255813953494</v>
      </c>
      <c r="BN69" s="1620">
        <v>0</v>
      </c>
      <c r="BO69" s="1620"/>
      <c r="BP69" s="1620">
        <v>159</v>
      </c>
      <c r="BQ69" s="1620">
        <v>185.79775280898906</v>
      </c>
      <c r="BR69" s="1620">
        <v>1.4802825169615699</v>
      </c>
      <c r="BS69" s="1620">
        <v>1.4280554936049092</v>
      </c>
      <c r="BT69" s="1603"/>
      <c r="BU69" s="1620">
        <v>906.97674418604652</v>
      </c>
      <c r="BV69" s="1620">
        <v>118.83773190488604</v>
      </c>
      <c r="BW69" s="1620">
        <v>18.139534883720792</v>
      </c>
      <c r="BX69" s="1620">
        <v>0</v>
      </c>
      <c r="BY69" s="1620">
        <v>0</v>
      </c>
      <c r="BZ69" s="1620">
        <v>0</v>
      </c>
      <c r="CA69" s="1620">
        <v>0</v>
      </c>
      <c r="CB69" s="1603"/>
      <c r="CC69" s="1603">
        <v>6.02</v>
      </c>
      <c r="CD69" s="1603">
        <v>6.45</v>
      </c>
      <c r="CE69" s="1603">
        <v>4.3</v>
      </c>
      <c r="CF69" s="1603">
        <v>5.59</v>
      </c>
      <c r="CG69" s="1603">
        <v>4.3</v>
      </c>
      <c r="CH69" s="1603">
        <v>0.86</v>
      </c>
      <c r="CI69" s="1603">
        <v>0</v>
      </c>
      <c r="CJ69" s="1603"/>
      <c r="CK69" s="1603">
        <v>301</v>
      </c>
      <c r="CL69" s="1603">
        <v>43</v>
      </c>
      <c r="CM69" s="1603">
        <v>3.87</v>
      </c>
      <c r="CN69" s="1603">
        <v>430</v>
      </c>
      <c r="CO69" s="1603">
        <v>0</v>
      </c>
      <c r="CP69" s="1603">
        <v>1.0233999999999999</v>
      </c>
      <c r="CQ69" s="1603">
        <v>276</v>
      </c>
      <c r="CR69" s="1603">
        <v>433.60673233766403</v>
      </c>
      <c r="CS69" s="1603">
        <v>30.959520688909212</v>
      </c>
      <c r="CT69" s="1603">
        <v>11.837463792818228</v>
      </c>
      <c r="CU69" s="1603">
        <v>3.8244113792181968</v>
      </c>
      <c r="CV69" s="1603">
        <v>15.661875172036426</v>
      </c>
      <c r="CW69" s="1603">
        <v>18.757827240927345</v>
      </c>
      <c r="CX69" s="1603">
        <v>3.4688538587013125</v>
      </c>
      <c r="CY69" s="1603">
        <v>17.691154679376691</v>
      </c>
      <c r="CZ69" s="1603">
        <v>29.476585664314403</v>
      </c>
      <c r="DA69" s="1603">
        <v>9.9729548437662725</v>
      </c>
      <c r="DB69" s="1603">
        <v>15.479760344454606</v>
      </c>
      <c r="DC69" s="1603">
        <v>12.357791871623425</v>
      </c>
      <c r="DD69" s="1603">
        <v>27.837552216078034</v>
      </c>
      <c r="DE69" s="1603">
        <v>21.671664482236448</v>
      </c>
      <c r="DF69" s="1603">
        <v>0</v>
      </c>
      <c r="DG69" s="1603">
        <v>0</v>
      </c>
      <c r="DH69" s="1603">
        <v>0</v>
      </c>
      <c r="DI69" s="1603">
        <v>0</v>
      </c>
      <c r="DJ69" s="1603">
        <v>0</v>
      </c>
      <c r="DK69" s="1603">
        <v>0</v>
      </c>
      <c r="DL69" s="1603">
        <v>0</v>
      </c>
      <c r="DM69" s="1603">
        <v>0</v>
      </c>
      <c r="DN69" s="1603">
        <v>0</v>
      </c>
      <c r="DO69" s="1603">
        <v>0</v>
      </c>
      <c r="DP69" s="1603">
        <v>0</v>
      </c>
      <c r="DQ69" s="1603">
        <v>0</v>
      </c>
      <c r="DR69" s="1603">
        <v>0</v>
      </c>
      <c r="DS69" s="1603">
        <v>0</v>
      </c>
      <c r="DT69" s="1603">
        <v>0</v>
      </c>
      <c r="DU69" s="1603">
        <v>0</v>
      </c>
      <c r="DV69" s="1603">
        <v>0</v>
      </c>
      <c r="DW69" s="1618" t="s">
        <v>3625</v>
      </c>
      <c r="DX69" s="1605" t="s">
        <v>986</v>
      </c>
      <c r="DY69" s="1605" t="s">
        <v>986</v>
      </c>
      <c r="DZ69" s="1605" t="s">
        <v>986</v>
      </c>
      <c r="EA69" s="1605" t="s">
        <v>986</v>
      </c>
      <c r="EB69" s="1605" t="s">
        <v>986</v>
      </c>
      <c r="EC69" s="1605" t="s">
        <v>986</v>
      </c>
      <c r="ED69" s="1605" t="s">
        <v>986</v>
      </c>
      <c r="EE69" s="1605" t="s">
        <v>986</v>
      </c>
      <c r="EF69" s="1605" t="s">
        <v>986</v>
      </c>
      <c r="EG69" s="1605" t="s">
        <v>986</v>
      </c>
      <c r="EH69" s="1605" t="s">
        <v>986</v>
      </c>
      <c r="EI69" s="1605" t="s">
        <v>986</v>
      </c>
      <c r="EJ69" s="1605" t="s">
        <v>986</v>
      </c>
      <c r="EK69" s="1605" t="s">
        <v>986</v>
      </c>
      <c r="EL69" s="1605" t="s">
        <v>986</v>
      </c>
      <c r="EM69" s="1605" t="s">
        <v>986</v>
      </c>
      <c r="EN69" s="1605" t="s">
        <v>986</v>
      </c>
      <c r="EO69" s="1605" t="s">
        <v>986</v>
      </c>
      <c r="EP69" s="1605" t="s">
        <v>986</v>
      </c>
      <c r="EQ69" s="1605" t="s">
        <v>986</v>
      </c>
      <c r="ER69" s="1605" t="s">
        <v>986</v>
      </c>
      <c r="ES69" s="1605" t="s">
        <v>986</v>
      </c>
      <c r="ET69" s="1605" t="s">
        <v>986</v>
      </c>
      <c r="EU69" s="1605" t="s">
        <v>986</v>
      </c>
      <c r="EV69" s="1605" t="s">
        <v>986</v>
      </c>
      <c r="EW69" s="1605" t="s">
        <v>986</v>
      </c>
      <c r="EX69" s="1605" t="s">
        <v>986</v>
      </c>
      <c r="EY69" s="1605" t="s">
        <v>986</v>
      </c>
      <c r="EZ69" s="1605" t="s">
        <v>986</v>
      </c>
      <c r="FA69" s="1605" t="s">
        <v>986</v>
      </c>
      <c r="FB69" s="1605" t="s">
        <v>986</v>
      </c>
      <c r="FC69" s="1605" t="s">
        <v>986</v>
      </c>
      <c r="FD69" s="1605" t="s">
        <v>986</v>
      </c>
      <c r="FE69" s="1605" t="s">
        <v>986</v>
      </c>
      <c r="FF69" s="1605" t="s">
        <v>986</v>
      </c>
      <c r="FG69" s="1605" t="s">
        <v>986</v>
      </c>
      <c r="FH69" s="1605" t="s">
        <v>986</v>
      </c>
      <c r="FI69" s="1605" t="s">
        <v>986</v>
      </c>
      <c r="FJ69" s="1605" t="s">
        <v>986</v>
      </c>
      <c r="FK69" s="1605" t="s">
        <v>986</v>
      </c>
      <c r="FL69" s="1605" t="s">
        <v>986</v>
      </c>
      <c r="FM69" s="1605" t="s">
        <v>986</v>
      </c>
      <c r="FN69" s="1605" t="s">
        <v>986</v>
      </c>
      <c r="FO69" s="1605" t="s">
        <v>986</v>
      </c>
      <c r="FP69" s="1605" t="s">
        <v>986</v>
      </c>
      <c r="FQ69" s="1605" t="s">
        <v>986</v>
      </c>
      <c r="FR69" s="1605" t="s">
        <v>986</v>
      </c>
      <c r="FS69" s="1605" t="s">
        <v>986</v>
      </c>
      <c r="FT69" s="1605" t="s">
        <v>986</v>
      </c>
      <c r="FU69" s="1605" t="s">
        <v>986</v>
      </c>
      <c r="FV69" s="1605" t="s">
        <v>986</v>
      </c>
      <c r="FW69" s="1605" t="s">
        <v>986</v>
      </c>
      <c r="FX69" s="1605" t="s">
        <v>986</v>
      </c>
      <c r="FY69" s="1605" t="s">
        <v>986</v>
      </c>
      <c r="FZ69" s="1605" t="s">
        <v>986</v>
      </c>
      <c r="GA69" s="1605" t="s">
        <v>986</v>
      </c>
      <c r="GB69" s="1605" t="s">
        <v>986</v>
      </c>
      <c r="GC69" s="1605" t="s">
        <v>986</v>
      </c>
      <c r="GD69" s="1605" t="s">
        <v>986</v>
      </c>
      <c r="GE69" s="1605" t="s">
        <v>986</v>
      </c>
      <c r="GF69" s="1605" t="s">
        <v>986</v>
      </c>
      <c r="GG69" s="1605" t="s">
        <v>986</v>
      </c>
      <c r="GH69" s="1605" t="s">
        <v>986</v>
      </c>
      <c r="GI69" s="1605" t="s">
        <v>986</v>
      </c>
      <c r="GJ69" s="1605" t="s">
        <v>986</v>
      </c>
      <c r="GK69" s="1605" t="s">
        <v>986</v>
      </c>
      <c r="GL69" s="1605" t="s">
        <v>986</v>
      </c>
      <c r="GM69" s="1605" t="s">
        <v>986</v>
      </c>
      <c r="GN69" s="1605" t="s">
        <v>986</v>
      </c>
      <c r="GO69" s="1605" t="s">
        <v>986</v>
      </c>
      <c r="GP69" s="1605" t="s">
        <v>986</v>
      </c>
      <c r="GQ69" s="1605" t="s">
        <v>986</v>
      </c>
      <c r="GR69" s="1605" t="s">
        <v>986</v>
      </c>
      <c r="GS69" s="1605" t="s">
        <v>986</v>
      </c>
      <c r="GT69" s="1605" t="s">
        <v>986</v>
      </c>
      <c r="GU69" s="1605" t="s">
        <v>986</v>
      </c>
      <c r="GV69" s="1605" t="s">
        <v>986</v>
      </c>
      <c r="GW69" s="1605" t="s">
        <v>986</v>
      </c>
      <c r="GX69" s="1605" t="s">
        <v>986</v>
      </c>
      <c r="GY69" s="1605" t="s">
        <v>986</v>
      </c>
      <c r="GZ69" s="1605" t="s">
        <v>986</v>
      </c>
      <c r="HA69" s="1605" t="s">
        <v>986</v>
      </c>
      <c r="HB69" s="1605" t="s">
        <v>986</v>
      </c>
      <c r="HC69" s="1605" t="s">
        <v>986</v>
      </c>
      <c r="HD69" s="1605" t="s">
        <v>986</v>
      </c>
      <c r="HE69" s="1605" t="s">
        <v>986</v>
      </c>
      <c r="HF69" s="1605" t="s">
        <v>986</v>
      </c>
      <c r="HG69" s="1605" t="s">
        <v>986</v>
      </c>
      <c r="HH69" s="1605" t="s">
        <v>986</v>
      </c>
      <c r="HI69" s="1605" t="s">
        <v>986</v>
      </c>
      <c r="HJ69" s="1605" t="s">
        <v>986</v>
      </c>
      <c r="HK69" s="1605" t="s">
        <v>986</v>
      </c>
      <c r="HL69" s="1605" t="s">
        <v>986</v>
      </c>
      <c r="HM69" s="1605" t="s">
        <v>986</v>
      </c>
      <c r="HN69" s="1605" t="s">
        <v>986</v>
      </c>
      <c r="HO69" s="1605" t="s">
        <v>986</v>
      </c>
      <c r="HP69" s="1605" t="s">
        <v>986</v>
      </c>
      <c r="HQ69" s="1605" t="s">
        <v>986</v>
      </c>
      <c r="HR69" s="1605" t="s">
        <v>986</v>
      </c>
      <c r="HS69" s="1605" t="s">
        <v>986</v>
      </c>
      <c r="HT69" s="1605" t="s">
        <v>986</v>
      </c>
      <c r="HU69" s="1605" t="s">
        <v>986</v>
      </c>
      <c r="HV69" s="1617"/>
      <c r="HW69" s="1617" t="s">
        <v>3624</v>
      </c>
      <c r="HX69" s="1617" t="s">
        <v>3623</v>
      </c>
      <c r="HY69" s="1617">
        <v>0</v>
      </c>
      <c r="HZ69" s="1603"/>
      <c r="IA69" s="1603"/>
      <c r="IB69" s="1603"/>
      <c r="IC69" s="1603">
        <v>70</v>
      </c>
      <c r="ID69" s="1603">
        <v>70</v>
      </c>
      <c r="IE69" s="1603">
        <v>70</v>
      </c>
      <c r="IF69" s="1603">
        <v>70</v>
      </c>
      <c r="IG69" s="1611" t="s">
        <v>270</v>
      </c>
      <c r="IH69" s="1616" t="s">
        <v>270</v>
      </c>
      <c r="II69" s="1615" t="s">
        <v>270</v>
      </c>
      <c r="IJ69" s="1613">
        <v>1.4391304347826088</v>
      </c>
      <c r="IK69" s="1613">
        <v>1.4391304347826088</v>
      </c>
      <c r="IL69" s="1614">
        <v>1.4391304347826088</v>
      </c>
      <c r="IM69" s="1614">
        <v>1.4391304347826088</v>
      </c>
      <c r="IN69" s="1612">
        <v>1.4391304347826088</v>
      </c>
      <c r="IO69" s="1613">
        <v>0</v>
      </c>
      <c r="IP69" s="1607" t="s">
        <v>270</v>
      </c>
      <c r="IQ69" s="1612" t="s">
        <v>270</v>
      </c>
      <c r="IR69" s="1612" t="s">
        <v>270</v>
      </c>
      <c r="IS69" s="1607" t="s">
        <v>270</v>
      </c>
      <c r="IT69" s="1607" t="s">
        <v>270</v>
      </c>
      <c r="IU69" s="1611" t="s">
        <v>270</v>
      </c>
      <c r="IV69" s="1611" t="s">
        <v>270</v>
      </c>
      <c r="IW69" s="1611" t="s">
        <v>270</v>
      </c>
      <c r="IX69" s="1611" t="s">
        <v>270</v>
      </c>
      <c r="IY69" s="1611" t="s">
        <v>270</v>
      </c>
      <c r="IZ69" s="1611" t="s">
        <v>270</v>
      </c>
      <c r="JA69" s="1611" t="s">
        <v>270</v>
      </c>
      <c r="JB69" s="1611" t="s">
        <v>270</v>
      </c>
      <c r="JC69" s="1611" t="s">
        <v>270</v>
      </c>
      <c r="JD69" s="1611" t="s">
        <v>270</v>
      </c>
      <c r="JE69" s="1611" t="s">
        <v>270</v>
      </c>
      <c r="JF69" s="1611" t="s">
        <v>270</v>
      </c>
      <c r="JG69" s="1611" t="s">
        <v>270</v>
      </c>
      <c r="JH69" s="1611" t="s">
        <v>270</v>
      </c>
      <c r="JI69" s="1611" t="s">
        <v>270</v>
      </c>
      <c r="JJ69" s="1611" t="s">
        <v>270</v>
      </c>
      <c r="JK69" s="1607" t="str">
        <f t="shared" si="9"/>
        <v/>
      </c>
      <c r="JL69" s="1608" t="s">
        <v>2946</v>
      </c>
      <c r="JM69" s="1610" t="s">
        <v>2945</v>
      </c>
      <c r="JN69" s="1608" t="s">
        <v>270</v>
      </c>
      <c r="JO69" s="1609" t="s">
        <v>270</v>
      </c>
      <c r="JP69" s="1608">
        <v>1.4391304347826088</v>
      </c>
      <c r="JQ69" s="1607" t="s">
        <v>270</v>
      </c>
      <c r="JR69" s="1606" t="s">
        <v>270</v>
      </c>
      <c r="JS69" s="1606" t="s">
        <v>270</v>
      </c>
      <c r="JT69" s="1606" t="s">
        <v>270</v>
      </c>
    </row>
    <row r="70" spans="1:280" ht="15" customHeight="1" x14ac:dyDescent="0.2">
      <c r="A70" s="1626">
        <v>46000</v>
      </c>
      <c r="B70" s="1625">
        <v>460</v>
      </c>
      <c r="C70" s="1624">
        <v>0</v>
      </c>
      <c r="D70" s="1623" t="s">
        <v>3622</v>
      </c>
      <c r="E70" s="1622">
        <v>43025</v>
      </c>
      <c r="F70" s="1620">
        <v>-0.112682926829268</v>
      </c>
      <c r="G70" s="1620">
        <v>-0.108</v>
      </c>
      <c r="H70" s="1621">
        <v>70</v>
      </c>
      <c r="I70" s="1621">
        <v>70</v>
      </c>
      <c r="J70" s="1621">
        <v>0</v>
      </c>
      <c r="K70" s="1620">
        <v>1</v>
      </c>
      <c r="L70" s="1620">
        <v>99</v>
      </c>
      <c r="M70" s="1620">
        <v>0</v>
      </c>
      <c r="N70" s="1620">
        <v>0</v>
      </c>
      <c r="O70" s="1620">
        <v>99</v>
      </c>
      <c r="P70" s="1620">
        <v>0</v>
      </c>
      <c r="Q70" s="1603"/>
      <c r="R70" s="1620">
        <v>0</v>
      </c>
      <c r="S70" s="1620">
        <v>0</v>
      </c>
      <c r="T70" s="1620">
        <v>0</v>
      </c>
      <c r="U70" s="1620">
        <v>0</v>
      </c>
      <c r="V70" s="1620">
        <v>0</v>
      </c>
      <c r="W70" s="1620">
        <v>0</v>
      </c>
      <c r="X70" s="1620"/>
      <c r="Y70" s="1620">
        <v>363.63636363636363</v>
      </c>
      <c r="Z70" s="1620">
        <v>0</v>
      </c>
      <c r="AA70" s="1620">
        <v>0</v>
      </c>
      <c r="AB70" s="1620">
        <v>0</v>
      </c>
      <c r="AC70" s="1620">
        <v>0</v>
      </c>
      <c r="AD70" s="1620">
        <v>0</v>
      </c>
      <c r="AE70" s="1620">
        <v>0</v>
      </c>
      <c r="AF70" s="1620">
        <v>0</v>
      </c>
      <c r="AG70" s="1620">
        <v>0</v>
      </c>
      <c r="AH70" s="1620">
        <v>0</v>
      </c>
      <c r="AI70" s="1620">
        <v>0</v>
      </c>
      <c r="AJ70" s="1620">
        <v>0</v>
      </c>
      <c r="AK70" s="1620">
        <v>0</v>
      </c>
      <c r="AL70" s="1620"/>
      <c r="AM70" s="1620">
        <v>0</v>
      </c>
      <c r="AN70" s="1620">
        <v>0</v>
      </c>
      <c r="AO70" s="1620">
        <v>0</v>
      </c>
      <c r="AP70" s="1620">
        <v>0</v>
      </c>
      <c r="AQ70" s="1620">
        <v>0</v>
      </c>
      <c r="AR70" s="1620">
        <v>0</v>
      </c>
      <c r="AS70" s="1620">
        <v>0</v>
      </c>
      <c r="AT70" s="1620">
        <v>0</v>
      </c>
      <c r="AU70" s="1620">
        <v>0</v>
      </c>
      <c r="AV70" s="1620">
        <v>0</v>
      </c>
      <c r="AW70" s="1620">
        <v>0</v>
      </c>
      <c r="AX70" s="1620"/>
      <c r="AY70" s="1620">
        <v>1</v>
      </c>
      <c r="AZ70" s="1620">
        <v>1</v>
      </c>
      <c r="BA70" s="1620">
        <v>1</v>
      </c>
      <c r="BB70" s="1620">
        <v>1</v>
      </c>
      <c r="BC70" s="1620">
        <v>1</v>
      </c>
      <c r="BD70" s="1620">
        <v>1</v>
      </c>
      <c r="BE70" s="1620">
        <v>1</v>
      </c>
      <c r="BF70" s="1620">
        <v>1</v>
      </c>
      <c r="BG70" s="1620">
        <v>1</v>
      </c>
      <c r="BH70" s="1620">
        <v>1</v>
      </c>
      <c r="BI70" s="1620">
        <v>1</v>
      </c>
      <c r="BJ70" s="1603"/>
      <c r="BK70" s="1620">
        <v>0</v>
      </c>
      <c r="BL70" s="1620">
        <v>0</v>
      </c>
      <c r="BM70" s="1620">
        <v>100</v>
      </c>
      <c r="BN70" s="1620">
        <v>0</v>
      </c>
      <c r="BO70" s="1620"/>
      <c r="BP70" s="1620">
        <v>0</v>
      </c>
      <c r="BQ70" s="1620">
        <v>0</v>
      </c>
      <c r="BR70" s="1620">
        <v>-0.11382113821138182</v>
      </c>
      <c r="BS70" s="1620">
        <v>-0.1090909090909091</v>
      </c>
      <c r="BT70" s="1603"/>
      <c r="BU70" s="1620">
        <v>0</v>
      </c>
      <c r="BV70" s="1620">
        <v>0</v>
      </c>
      <c r="BW70" s="1620">
        <v>0</v>
      </c>
      <c r="BX70" s="1620" t="s">
        <v>270</v>
      </c>
      <c r="BY70" s="1620" t="s">
        <v>270</v>
      </c>
      <c r="BZ70" s="1620" t="s">
        <v>270</v>
      </c>
      <c r="CA70" s="1620" t="s">
        <v>270</v>
      </c>
      <c r="CB70" s="1603"/>
      <c r="CC70" s="1603">
        <v>360</v>
      </c>
      <c r="CD70" s="1603">
        <v>0</v>
      </c>
      <c r="CE70" s="1603">
        <v>0</v>
      </c>
      <c r="CF70" s="1603">
        <v>0</v>
      </c>
      <c r="CG70" s="1603">
        <v>0</v>
      </c>
      <c r="CH70" s="1603">
        <v>0</v>
      </c>
      <c r="CI70" s="1603">
        <v>0</v>
      </c>
      <c r="CJ70" s="1603"/>
      <c r="CK70" s="1603">
        <v>0</v>
      </c>
      <c r="CL70" s="1603">
        <v>0</v>
      </c>
      <c r="CM70" s="1603">
        <v>0</v>
      </c>
      <c r="CN70" s="1603">
        <v>0</v>
      </c>
      <c r="CO70" s="1603">
        <v>0</v>
      </c>
      <c r="CP70" s="1603">
        <v>0</v>
      </c>
      <c r="CQ70" s="1603">
        <v>0</v>
      </c>
      <c r="CR70" s="1603">
        <v>0</v>
      </c>
      <c r="CS70" s="1603">
        <v>0</v>
      </c>
      <c r="CT70" s="1603">
        <v>0</v>
      </c>
      <c r="CU70" s="1603">
        <v>0</v>
      </c>
      <c r="CV70" s="1603">
        <v>0</v>
      </c>
      <c r="CW70" s="1603">
        <v>0</v>
      </c>
      <c r="CX70" s="1603">
        <v>0</v>
      </c>
      <c r="CY70" s="1603">
        <v>0</v>
      </c>
      <c r="CZ70" s="1603">
        <v>0</v>
      </c>
      <c r="DA70" s="1603">
        <v>0</v>
      </c>
      <c r="DB70" s="1603">
        <v>0</v>
      </c>
      <c r="DC70" s="1603">
        <v>0</v>
      </c>
      <c r="DD70" s="1603">
        <v>0</v>
      </c>
      <c r="DE70" s="1603">
        <v>0</v>
      </c>
      <c r="DF70" s="1603">
        <v>0</v>
      </c>
      <c r="DG70" s="1603">
        <v>0</v>
      </c>
      <c r="DH70" s="1603">
        <v>0</v>
      </c>
      <c r="DI70" s="1603">
        <v>0</v>
      </c>
      <c r="DJ70" s="1603">
        <v>0</v>
      </c>
      <c r="DK70" s="1603">
        <v>0</v>
      </c>
      <c r="DL70" s="1603">
        <v>0</v>
      </c>
      <c r="DM70" s="1603">
        <v>0</v>
      </c>
      <c r="DN70" s="1603">
        <v>0</v>
      </c>
      <c r="DO70" s="1603">
        <v>0</v>
      </c>
      <c r="DP70" s="1603">
        <v>0</v>
      </c>
      <c r="DQ70" s="1603">
        <v>0</v>
      </c>
      <c r="DR70" s="1603">
        <v>0</v>
      </c>
      <c r="DS70" s="1603">
        <v>0</v>
      </c>
      <c r="DT70" s="1603">
        <v>0</v>
      </c>
      <c r="DU70" s="1603">
        <v>0</v>
      </c>
      <c r="DV70" s="1603">
        <v>0</v>
      </c>
      <c r="DW70" s="1618" t="s">
        <v>3621</v>
      </c>
      <c r="DX70" s="1605" t="s">
        <v>986</v>
      </c>
      <c r="DY70" s="1605" t="s">
        <v>986</v>
      </c>
      <c r="DZ70" s="1605" t="s">
        <v>986</v>
      </c>
      <c r="EA70" s="1605" t="s">
        <v>986</v>
      </c>
      <c r="EB70" s="1605" t="s">
        <v>986</v>
      </c>
      <c r="EC70" s="1605" t="s">
        <v>986</v>
      </c>
      <c r="ED70" s="1605" t="s">
        <v>986</v>
      </c>
      <c r="EE70" s="1605" t="s">
        <v>986</v>
      </c>
      <c r="EF70" s="1605" t="s">
        <v>986</v>
      </c>
      <c r="EG70" s="1605" t="s">
        <v>986</v>
      </c>
      <c r="EH70" s="1605" t="s">
        <v>986</v>
      </c>
      <c r="EI70" s="1605" t="s">
        <v>986</v>
      </c>
      <c r="EJ70" s="1605" t="s">
        <v>986</v>
      </c>
      <c r="EK70" s="1605" t="s">
        <v>986</v>
      </c>
      <c r="EL70" s="1605" t="s">
        <v>986</v>
      </c>
      <c r="EM70" s="1605" t="s">
        <v>986</v>
      </c>
      <c r="EN70" s="1605" t="s">
        <v>986</v>
      </c>
      <c r="EO70" s="1605" t="s">
        <v>986</v>
      </c>
      <c r="EP70" s="1605" t="s">
        <v>986</v>
      </c>
      <c r="EQ70" s="1605" t="s">
        <v>986</v>
      </c>
      <c r="ER70" s="1605" t="s">
        <v>986</v>
      </c>
      <c r="ES70" s="1605" t="s">
        <v>986</v>
      </c>
      <c r="ET70" s="1605" t="s">
        <v>986</v>
      </c>
      <c r="EU70" s="1605" t="s">
        <v>986</v>
      </c>
      <c r="EV70" s="1605" t="s">
        <v>986</v>
      </c>
      <c r="EW70" s="1605" t="s">
        <v>986</v>
      </c>
      <c r="EX70" s="1605" t="s">
        <v>986</v>
      </c>
      <c r="EY70" s="1605" t="s">
        <v>986</v>
      </c>
      <c r="EZ70" s="1605" t="s">
        <v>986</v>
      </c>
      <c r="FA70" s="1605" t="s">
        <v>986</v>
      </c>
      <c r="FB70" s="1605" t="s">
        <v>986</v>
      </c>
      <c r="FC70" s="1605" t="s">
        <v>986</v>
      </c>
      <c r="FD70" s="1605" t="s">
        <v>986</v>
      </c>
      <c r="FE70" s="1605" t="s">
        <v>986</v>
      </c>
      <c r="FF70" s="1605" t="s">
        <v>986</v>
      </c>
      <c r="FG70" s="1605" t="s">
        <v>986</v>
      </c>
      <c r="FH70" s="1605" t="s">
        <v>986</v>
      </c>
      <c r="FI70" s="1605" t="s">
        <v>986</v>
      </c>
      <c r="FJ70" s="1605" t="s">
        <v>986</v>
      </c>
      <c r="FK70" s="1605" t="s">
        <v>986</v>
      </c>
      <c r="FL70" s="1605" t="s">
        <v>986</v>
      </c>
      <c r="FM70" s="1605" t="s">
        <v>986</v>
      </c>
      <c r="FN70" s="1605" t="s">
        <v>986</v>
      </c>
      <c r="FO70" s="1605" t="s">
        <v>986</v>
      </c>
      <c r="FP70" s="1605" t="s">
        <v>986</v>
      </c>
      <c r="FQ70" s="1605" t="s">
        <v>986</v>
      </c>
      <c r="FR70" s="1605" t="s">
        <v>986</v>
      </c>
      <c r="FS70" s="1605" t="s">
        <v>986</v>
      </c>
      <c r="FT70" s="1605" t="s">
        <v>986</v>
      </c>
      <c r="FU70" s="1605" t="s">
        <v>986</v>
      </c>
      <c r="FV70" s="1605" t="s">
        <v>986</v>
      </c>
      <c r="FW70" s="1605" t="s">
        <v>986</v>
      </c>
      <c r="FX70" s="1605" t="s">
        <v>986</v>
      </c>
      <c r="FY70" s="1605" t="s">
        <v>986</v>
      </c>
      <c r="FZ70" s="1605" t="s">
        <v>986</v>
      </c>
      <c r="GA70" s="1605" t="s">
        <v>986</v>
      </c>
      <c r="GB70" s="1605" t="s">
        <v>986</v>
      </c>
      <c r="GC70" s="1605" t="s">
        <v>986</v>
      </c>
      <c r="GD70" s="1605" t="s">
        <v>986</v>
      </c>
      <c r="GE70" s="1605" t="s">
        <v>986</v>
      </c>
      <c r="GF70" s="1605" t="s">
        <v>986</v>
      </c>
      <c r="GG70" s="1605" t="s">
        <v>986</v>
      </c>
      <c r="GH70" s="1605" t="s">
        <v>986</v>
      </c>
      <c r="GI70" s="1605" t="s">
        <v>986</v>
      </c>
      <c r="GJ70" s="1605" t="s">
        <v>986</v>
      </c>
      <c r="GK70" s="1605" t="s">
        <v>986</v>
      </c>
      <c r="GL70" s="1605" t="s">
        <v>986</v>
      </c>
      <c r="GM70" s="1605" t="s">
        <v>986</v>
      </c>
      <c r="GN70" s="1605" t="s">
        <v>986</v>
      </c>
      <c r="GO70" s="1605" t="s">
        <v>986</v>
      </c>
      <c r="GP70" s="1605" t="s">
        <v>986</v>
      </c>
      <c r="GQ70" s="1605" t="s">
        <v>986</v>
      </c>
      <c r="GR70" s="1605" t="s">
        <v>986</v>
      </c>
      <c r="GS70" s="1605" t="s">
        <v>986</v>
      </c>
      <c r="GT70" s="1605" t="s">
        <v>986</v>
      </c>
      <c r="GU70" s="1605" t="s">
        <v>986</v>
      </c>
      <c r="GV70" s="1605" t="s">
        <v>986</v>
      </c>
      <c r="GW70" s="1605" t="s">
        <v>986</v>
      </c>
      <c r="GX70" s="1605" t="s">
        <v>986</v>
      </c>
      <c r="GY70" s="1605" t="s">
        <v>986</v>
      </c>
      <c r="GZ70" s="1605" t="s">
        <v>986</v>
      </c>
      <c r="HA70" s="1605" t="s">
        <v>986</v>
      </c>
      <c r="HB70" s="1605" t="s">
        <v>986</v>
      </c>
      <c r="HC70" s="1605" t="s">
        <v>986</v>
      </c>
      <c r="HD70" s="1605" t="s">
        <v>986</v>
      </c>
      <c r="HE70" s="1605" t="s">
        <v>986</v>
      </c>
      <c r="HF70" s="1605" t="s">
        <v>986</v>
      </c>
      <c r="HG70" s="1605" t="s">
        <v>986</v>
      </c>
      <c r="HH70" s="1605" t="s">
        <v>986</v>
      </c>
      <c r="HI70" s="1605" t="s">
        <v>986</v>
      </c>
      <c r="HJ70" s="1605" t="s">
        <v>986</v>
      </c>
      <c r="HK70" s="1605" t="s">
        <v>986</v>
      </c>
      <c r="HL70" s="1605" t="s">
        <v>986</v>
      </c>
      <c r="HM70" s="1605" t="s">
        <v>986</v>
      </c>
      <c r="HN70" s="1605" t="s">
        <v>986</v>
      </c>
      <c r="HO70" s="1605" t="s">
        <v>986</v>
      </c>
      <c r="HP70" s="1605" t="s">
        <v>986</v>
      </c>
      <c r="HQ70" s="1605" t="s">
        <v>986</v>
      </c>
      <c r="HR70" s="1605" t="s">
        <v>986</v>
      </c>
      <c r="HS70" s="1605" t="s">
        <v>986</v>
      </c>
      <c r="HT70" s="1605" t="s">
        <v>986</v>
      </c>
      <c r="HU70" s="1605" t="s">
        <v>986</v>
      </c>
      <c r="HV70" s="1617"/>
      <c r="HW70" s="1617" t="s">
        <v>3278</v>
      </c>
      <c r="HX70" s="1617">
        <v>0</v>
      </c>
      <c r="HY70" s="1617">
        <v>0</v>
      </c>
      <c r="HZ70" s="1603"/>
      <c r="IA70" s="1603"/>
      <c r="IB70" s="1603"/>
      <c r="IC70" s="1603">
        <v>0</v>
      </c>
      <c r="ID70" s="1603">
        <v>0</v>
      </c>
      <c r="IE70" s="1603">
        <v>0</v>
      </c>
      <c r="IF70" s="1603">
        <v>0</v>
      </c>
      <c r="IG70" s="1611" t="s">
        <v>2932</v>
      </c>
      <c r="IH70" s="1616" t="s">
        <v>3620</v>
      </c>
      <c r="II70" s="1615" t="s">
        <v>3619</v>
      </c>
      <c r="IJ70" s="1613">
        <v>1.3101818181818183</v>
      </c>
      <c r="IK70" s="1613">
        <v>1.301848484848485</v>
      </c>
      <c r="IL70" s="1614">
        <v>1.3101818181818183</v>
      </c>
      <c r="IM70" s="1614">
        <v>1.301848484848485</v>
      </c>
      <c r="IN70" s="1612">
        <v>0.04</v>
      </c>
      <c r="IO70" s="1613">
        <v>-1.2701818181818183</v>
      </c>
      <c r="IP70" s="1607" t="s">
        <v>270</v>
      </c>
      <c r="IQ70" s="1612">
        <v>0</v>
      </c>
      <c r="IR70" s="1612">
        <v>0</v>
      </c>
      <c r="IS70" s="1607">
        <v>1.1881818181818182</v>
      </c>
      <c r="IT70" s="1607">
        <v>1.1798484848484849</v>
      </c>
      <c r="IU70" s="1611">
        <v>0</v>
      </c>
      <c r="IV70" s="1611">
        <v>7.7767676767676763E-2</v>
      </c>
      <c r="IW70" s="1611">
        <v>9.0909090909090909E-4</v>
      </c>
      <c r="IX70" s="1611">
        <v>1.6060606060606061E-3</v>
      </c>
      <c r="IY70" s="1611">
        <v>9.6969696969696957E-4</v>
      </c>
      <c r="IZ70" s="1611">
        <v>5.9898989898989896E-3</v>
      </c>
      <c r="JA70" s="1611">
        <v>6.0606060606060598E-5</v>
      </c>
      <c r="JB70" s="1611" t="s">
        <v>270</v>
      </c>
      <c r="JC70" s="1611">
        <v>9.9026969696969704</v>
      </c>
      <c r="JD70" s="1611">
        <v>5.2121212121212122E-3</v>
      </c>
      <c r="JE70" s="1611" t="s">
        <v>270</v>
      </c>
      <c r="JF70" s="1611">
        <v>8.2828282828282835E-4</v>
      </c>
      <c r="JG70" s="1611">
        <v>0.57978787878787885</v>
      </c>
      <c r="JH70" s="1611">
        <v>7.646464646464647E-3</v>
      </c>
      <c r="JI70" s="1611">
        <v>0.3</v>
      </c>
      <c r="JJ70" s="1611" t="s">
        <v>270</v>
      </c>
      <c r="JK70" s="1607">
        <f t="shared" si="9"/>
        <v>0.12200000000000011</v>
      </c>
      <c r="JL70" s="1608" t="s">
        <v>270</v>
      </c>
      <c r="JM70" s="1610" t="s">
        <v>2924</v>
      </c>
      <c r="JN70" s="1608">
        <v>8.3333333333333037E-3</v>
      </c>
      <c r="JO70" s="1609" t="s">
        <v>2931</v>
      </c>
      <c r="JP70" s="1608" t="s">
        <v>270</v>
      </c>
      <c r="JQ70" s="1607">
        <v>202103</v>
      </c>
      <c r="JR70" s="1606">
        <v>851</v>
      </c>
      <c r="JS70" s="1606">
        <v>774</v>
      </c>
      <c r="JT70" s="1606">
        <v>774</v>
      </c>
    </row>
    <row r="71" spans="1:280" ht="15" customHeight="1" x14ac:dyDescent="0.2">
      <c r="A71" s="1626">
        <v>55900</v>
      </c>
      <c r="B71" s="1625">
        <v>559</v>
      </c>
      <c r="C71" s="1624">
        <v>0</v>
      </c>
      <c r="D71" s="1623" t="s">
        <v>3618</v>
      </c>
      <c r="E71" s="1622">
        <v>43031</v>
      </c>
      <c r="F71" s="1620">
        <v>1.34595729318622</v>
      </c>
      <c r="G71" s="1620">
        <v>1.29708708379963</v>
      </c>
      <c r="H71" s="1621">
        <v>97.9</v>
      </c>
      <c r="I71" s="1621">
        <v>96.9</v>
      </c>
      <c r="J71" s="1621">
        <v>93</v>
      </c>
      <c r="K71" s="1620">
        <v>1</v>
      </c>
      <c r="L71" s="1620">
        <v>87.8</v>
      </c>
      <c r="M71" s="1620">
        <v>7.6386000000000003</v>
      </c>
      <c r="N71" s="1620">
        <v>1.4925999999999999</v>
      </c>
      <c r="O71" s="1620">
        <v>0.878</v>
      </c>
      <c r="P71" s="1620">
        <v>0.96579999999999999</v>
      </c>
      <c r="Q71" s="1603"/>
      <c r="R71" s="1620">
        <v>90.244305882352904</v>
      </c>
      <c r="S71" s="1620">
        <v>28</v>
      </c>
      <c r="T71" s="1620">
        <v>41.821138211382099</v>
      </c>
      <c r="U71" s="1620">
        <v>47.349593495934997</v>
      </c>
      <c r="V71" s="1620">
        <v>52.325203252032502</v>
      </c>
      <c r="W71" s="1620">
        <v>55.642276422764198</v>
      </c>
      <c r="X71" s="1620"/>
      <c r="Y71" s="1620">
        <v>0.5</v>
      </c>
      <c r="Z71" s="1620">
        <v>2.3000000000000003</v>
      </c>
      <c r="AA71" s="1620">
        <v>0.40000000000000008</v>
      </c>
      <c r="AB71" s="1620">
        <v>0.80000000000000016</v>
      </c>
      <c r="AC71" s="1620">
        <v>2.4999999999999996</v>
      </c>
      <c r="AD71" s="1620">
        <v>1.5</v>
      </c>
      <c r="AE71" s="1620">
        <v>0.70000000000000007</v>
      </c>
      <c r="AF71" s="1620">
        <v>19.999999999999996</v>
      </c>
      <c r="AG71" s="1620">
        <v>24</v>
      </c>
      <c r="AH71" s="1620">
        <v>12.999999999999998</v>
      </c>
      <c r="AI71" s="1620">
        <v>19</v>
      </c>
      <c r="AJ71" s="1620">
        <v>0</v>
      </c>
      <c r="AK71" s="1620">
        <v>0.30000000000000004</v>
      </c>
      <c r="AL71" s="1620"/>
      <c r="AM71" s="1620">
        <v>3.9</v>
      </c>
      <c r="AN71" s="1620">
        <v>2.7</v>
      </c>
      <c r="AO71" s="1620">
        <v>2.2000000000000002</v>
      </c>
      <c r="AP71" s="1620">
        <v>3.5</v>
      </c>
      <c r="AQ71" s="1620">
        <v>1.3</v>
      </c>
      <c r="AR71" s="1620">
        <v>4.5</v>
      </c>
      <c r="AS71" s="1620">
        <v>8.6999999999999993</v>
      </c>
      <c r="AT71" s="1620">
        <v>2.5</v>
      </c>
      <c r="AU71" s="1620">
        <v>5.2</v>
      </c>
      <c r="AV71" s="1620">
        <v>4.9000000000000004</v>
      </c>
      <c r="AW71" s="1620">
        <v>6.3</v>
      </c>
      <c r="AX71" s="1620"/>
      <c r="AY71" s="1620">
        <v>1</v>
      </c>
      <c r="AZ71" s="1620">
        <v>1</v>
      </c>
      <c r="BA71" s="1620">
        <v>1</v>
      </c>
      <c r="BB71" s="1620">
        <v>1</v>
      </c>
      <c r="BC71" s="1620">
        <v>1</v>
      </c>
      <c r="BD71" s="1620">
        <v>1</v>
      </c>
      <c r="BE71" s="1620">
        <v>1</v>
      </c>
      <c r="BF71" s="1620">
        <v>1</v>
      </c>
      <c r="BG71" s="1620">
        <v>1</v>
      </c>
      <c r="BH71" s="1620">
        <v>1</v>
      </c>
      <c r="BI71" s="1620">
        <v>1</v>
      </c>
      <c r="BJ71" s="1603"/>
      <c r="BK71" s="1620">
        <v>8.7000000000000011</v>
      </c>
      <c r="BL71" s="1620">
        <v>1.7</v>
      </c>
      <c r="BM71" s="1620">
        <v>1</v>
      </c>
      <c r="BN71" s="1620">
        <v>1.1000000000000001</v>
      </c>
      <c r="BO71" s="1620"/>
      <c r="BP71" s="1620">
        <v>92</v>
      </c>
      <c r="BQ71" s="1620">
        <v>15.64</v>
      </c>
      <c r="BR71" s="1620">
        <v>1.5329809717382916</v>
      </c>
      <c r="BS71" s="1620">
        <v>1.4773201410018566</v>
      </c>
      <c r="BT71" s="1603"/>
      <c r="BU71" s="1620">
        <v>990</v>
      </c>
      <c r="BV71" s="1620">
        <v>859.40714285714353</v>
      </c>
      <c r="BW71" s="1620">
        <v>14.142857142857062</v>
      </c>
      <c r="BX71" s="1620" t="s">
        <v>270</v>
      </c>
      <c r="BY71" s="1620" t="s">
        <v>270</v>
      </c>
      <c r="BZ71" s="1620" t="s">
        <v>270</v>
      </c>
      <c r="CA71" s="1620" t="s">
        <v>270</v>
      </c>
      <c r="CB71" s="1603"/>
      <c r="CC71" s="1603">
        <v>0.439</v>
      </c>
      <c r="CD71" s="1603">
        <v>2.0194000000000001</v>
      </c>
      <c r="CE71" s="1603">
        <v>0.35120000000000007</v>
      </c>
      <c r="CF71" s="1603">
        <v>0.70240000000000014</v>
      </c>
      <c r="CG71" s="1603">
        <v>2.1949999999999994</v>
      </c>
      <c r="CH71" s="1603">
        <v>1.3169999999999999</v>
      </c>
      <c r="CI71" s="1603">
        <v>0.61460000000000004</v>
      </c>
      <c r="CJ71" s="1603"/>
      <c r="CK71" s="1603">
        <v>17.559999999999995</v>
      </c>
      <c r="CL71" s="1603">
        <v>21.071999999999999</v>
      </c>
      <c r="CM71" s="1603">
        <v>11.413999999999998</v>
      </c>
      <c r="CN71" s="1603">
        <v>16.681999999999999</v>
      </c>
      <c r="CO71" s="1603">
        <v>0</v>
      </c>
      <c r="CP71" s="1603">
        <v>0.26340000000000002</v>
      </c>
      <c r="CQ71" s="1603">
        <v>68.934015491294105</v>
      </c>
      <c r="CR71" s="1603">
        <v>51.215603823587834</v>
      </c>
      <c r="CS71" s="1603">
        <v>1.9974085491199254</v>
      </c>
      <c r="CT71" s="1603">
        <v>1.382821303236871</v>
      </c>
      <c r="CU71" s="1603">
        <v>1.126743284118932</v>
      </c>
      <c r="CV71" s="1603">
        <v>2.5095645873558032</v>
      </c>
      <c r="CW71" s="1603">
        <v>1.7925461338255715</v>
      </c>
      <c r="CX71" s="1603">
        <v>0.66580284970664305</v>
      </c>
      <c r="CY71" s="1603">
        <v>2.3047021720614489</v>
      </c>
      <c r="CZ71" s="1603">
        <v>4.4557575326521368</v>
      </c>
      <c r="DA71" s="1603">
        <v>1.2803900955896939</v>
      </c>
      <c r="DB71" s="1603">
        <v>2.6632113988265651</v>
      </c>
      <c r="DC71" s="1603">
        <v>2.5095645873558032</v>
      </c>
      <c r="DD71" s="1603">
        <v>5.1727759861823683</v>
      </c>
      <c r="DE71" s="1603">
        <v>3.2265830408860348</v>
      </c>
      <c r="DF71" s="1603">
        <v>0</v>
      </c>
      <c r="DG71" s="1603">
        <v>0</v>
      </c>
      <c r="DH71" s="1603">
        <v>0</v>
      </c>
      <c r="DI71" s="1603">
        <v>0</v>
      </c>
      <c r="DJ71" s="1603">
        <v>0</v>
      </c>
      <c r="DK71" s="1603">
        <v>0</v>
      </c>
      <c r="DL71" s="1603">
        <v>0</v>
      </c>
      <c r="DM71" s="1603">
        <v>0</v>
      </c>
      <c r="DN71" s="1603">
        <v>0</v>
      </c>
      <c r="DO71" s="1603">
        <v>0</v>
      </c>
      <c r="DP71" s="1603">
        <v>0</v>
      </c>
      <c r="DQ71" s="1603">
        <v>0</v>
      </c>
      <c r="DR71" s="1603">
        <v>0</v>
      </c>
      <c r="DS71" s="1603">
        <v>0</v>
      </c>
      <c r="DT71" s="1603">
        <v>0</v>
      </c>
      <c r="DU71" s="1603">
        <v>0</v>
      </c>
      <c r="DV71" s="1603">
        <v>0</v>
      </c>
      <c r="DW71" s="1618" t="s">
        <v>3617</v>
      </c>
      <c r="DX71" s="1605" t="s">
        <v>986</v>
      </c>
      <c r="DY71" s="1605" t="s">
        <v>986</v>
      </c>
      <c r="DZ71" s="1605" t="s">
        <v>986</v>
      </c>
      <c r="EA71" s="1605" t="s">
        <v>986</v>
      </c>
      <c r="EB71" s="1605" t="s">
        <v>986</v>
      </c>
      <c r="EC71" s="1605" t="s">
        <v>986</v>
      </c>
      <c r="ED71" s="1605" t="s">
        <v>986</v>
      </c>
      <c r="EE71" s="1605" t="s">
        <v>986</v>
      </c>
      <c r="EF71" s="1605" t="s">
        <v>986</v>
      </c>
      <c r="EG71" s="1605" t="s">
        <v>986</v>
      </c>
      <c r="EH71" s="1605" t="s">
        <v>986</v>
      </c>
      <c r="EI71" s="1605" t="s">
        <v>986</v>
      </c>
      <c r="EJ71" s="1605" t="s">
        <v>986</v>
      </c>
      <c r="EK71" s="1605" t="s">
        <v>986</v>
      </c>
      <c r="EL71" s="1605" t="s">
        <v>986</v>
      </c>
      <c r="EM71" s="1605" t="s">
        <v>986</v>
      </c>
      <c r="EN71" s="1605" t="s">
        <v>986</v>
      </c>
      <c r="EO71" s="1605" t="s">
        <v>986</v>
      </c>
      <c r="EP71" s="1605" t="s">
        <v>986</v>
      </c>
      <c r="EQ71" s="1605" t="s">
        <v>986</v>
      </c>
      <c r="ER71" s="1605" t="s">
        <v>986</v>
      </c>
      <c r="ES71" s="1605" t="s">
        <v>986</v>
      </c>
      <c r="ET71" s="1605" t="s">
        <v>986</v>
      </c>
      <c r="EU71" s="1605" t="s">
        <v>986</v>
      </c>
      <c r="EV71" s="1605" t="s">
        <v>986</v>
      </c>
      <c r="EW71" s="1605" t="s">
        <v>986</v>
      </c>
      <c r="EX71" s="1605" t="s">
        <v>986</v>
      </c>
      <c r="EY71" s="1605" t="s">
        <v>986</v>
      </c>
      <c r="EZ71" s="1605" t="s">
        <v>986</v>
      </c>
      <c r="FA71" s="1605" t="s">
        <v>986</v>
      </c>
      <c r="FB71" s="1605" t="s">
        <v>986</v>
      </c>
      <c r="FC71" s="1605" t="s">
        <v>986</v>
      </c>
      <c r="FD71" s="1605" t="s">
        <v>986</v>
      </c>
      <c r="FE71" s="1605" t="s">
        <v>986</v>
      </c>
      <c r="FF71" s="1605" t="s">
        <v>986</v>
      </c>
      <c r="FG71" s="1605" t="s">
        <v>986</v>
      </c>
      <c r="FH71" s="1605" t="s">
        <v>986</v>
      </c>
      <c r="FI71" s="1605" t="s">
        <v>986</v>
      </c>
      <c r="FJ71" s="1605" t="s">
        <v>986</v>
      </c>
      <c r="FK71" s="1605" t="s">
        <v>986</v>
      </c>
      <c r="FL71" s="1605" t="s">
        <v>986</v>
      </c>
      <c r="FM71" s="1605" t="s">
        <v>986</v>
      </c>
      <c r="FN71" s="1605" t="s">
        <v>986</v>
      </c>
      <c r="FO71" s="1605" t="s">
        <v>986</v>
      </c>
      <c r="FP71" s="1605" t="s">
        <v>986</v>
      </c>
      <c r="FQ71" s="1605" t="s">
        <v>986</v>
      </c>
      <c r="FR71" s="1605" t="s">
        <v>986</v>
      </c>
      <c r="FS71" s="1605" t="s">
        <v>986</v>
      </c>
      <c r="FT71" s="1605" t="s">
        <v>986</v>
      </c>
      <c r="FU71" s="1605" t="s">
        <v>986</v>
      </c>
      <c r="FV71" s="1605" t="s">
        <v>986</v>
      </c>
      <c r="FW71" s="1605" t="s">
        <v>986</v>
      </c>
      <c r="FX71" s="1605" t="s">
        <v>986</v>
      </c>
      <c r="FY71" s="1605" t="s">
        <v>986</v>
      </c>
      <c r="FZ71" s="1605" t="s">
        <v>986</v>
      </c>
      <c r="GA71" s="1605" t="s">
        <v>986</v>
      </c>
      <c r="GB71" s="1605" t="s">
        <v>986</v>
      </c>
      <c r="GC71" s="1605" t="s">
        <v>986</v>
      </c>
      <c r="GD71" s="1605" t="s">
        <v>986</v>
      </c>
      <c r="GE71" s="1605" t="s">
        <v>986</v>
      </c>
      <c r="GF71" s="1605" t="s">
        <v>986</v>
      </c>
      <c r="GG71" s="1605" t="s">
        <v>986</v>
      </c>
      <c r="GH71" s="1605" t="s">
        <v>986</v>
      </c>
      <c r="GI71" s="1605" t="s">
        <v>986</v>
      </c>
      <c r="GJ71" s="1605" t="s">
        <v>986</v>
      </c>
      <c r="GK71" s="1605" t="s">
        <v>986</v>
      </c>
      <c r="GL71" s="1605" t="s">
        <v>986</v>
      </c>
      <c r="GM71" s="1605" t="s">
        <v>986</v>
      </c>
      <c r="GN71" s="1605" t="s">
        <v>986</v>
      </c>
      <c r="GO71" s="1605" t="s">
        <v>986</v>
      </c>
      <c r="GP71" s="1605" t="s">
        <v>986</v>
      </c>
      <c r="GQ71" s="1605" t="s">
        <v>986</v>
      </c>
      <c r="GR71" s="1605" t="s">
        <v>986</v>
      </c>
      <c r="GS71" s="1605" t="s">
        <v>986</v>
      </c>
      <c r="GT71" s="1605" t="s">
        <v>986</v>
      </c>
      <c r="GU71" s="1605" t="s">
        <v>986</v>
      </c>
      <c r="GV71" s="1605" t="s">
        <v>986</v>
      </c>
      <c r="GW71" s="1605" t="s">
        <v>986</v>
      </c>
      <c r="GX71" s="1605" t="s">
        <v>986</v>
      </c>
      <c r="GY71" s="1605" t="s">
        <v>986</v>
      </c>
      <c r="GZ71" s="1605" t="s">
        <v>986</v>
      </c>
      <c r="HA71" s="1605" t="s">
        <v>986</v>
      </c>
      <c r="HB71" s="1605" t="s">
        <v>986</v>
      </c>
      <c r="HC71" s="1605" t="s">
        <v>986</v>
      </c>
      <c r="HD71" s="1605" t="s">
        <v>986</v>
      </c>
      <c r="HE71" s="1605" t="s">
        <v>986</v>
      </c>
      <c r="HF71" s="1605" t="s">
        <v>986</v>
      </c>
      <c r="HG71" s="1605" t="s">
        <v>986</v>
      </c>
      <c r="HH71" s="1605" t="s">
        <v>986</v>
      </c>
      <c r="HI71" s="1605" t="s">
        <v>986</v>
      </c>
      <c r="HJ71" s="1605" t="s">
        <v>986</v>
      </c>
      <c r="HK71" s="1605" t="s">
        <v>986</v>
      </c>
      <c r="HL71" s="1605" t="s">
        <v>986</v>
      </c>
      <c r="HM71" s="1605" t="s">
        <v>986</v>
      </c>
      <c r="HN71" s="1605" t="s">
        <v>986</v>
      </c>
      <c r="HO71" s="1605" t="s">
        <v>986</v>
      </c>
      <c r="HP71" s="1605" t="s">
        <v>986</v>
      </c>
      <c r="HQ71" s="1605" t="s">
        <v>986</v>
      </c>
      <c r="HR71" s="1605" t="s">
        <v>986</v>
      </c>
      <c r="HS71" s="1605" t="s">
        <v>986</v>
      </c>
      <c r="HT71" s="1605" t="s">
        <v>986</v>
      </c>
      <c r="HU71" s="1605" t="s">
        <v>986</v>
      </c>
      <c r="HV71" s="1617"/>
      <c r="HW71" s="1617" t="s">
        <v>3616</v>
      </c>
      <c r="HX71" s="1617" t="s">
        <v>3615</v>
      </c>
      <c r="HY71" s="1617" t="s">
        <v>3614</v>
      </c>
      <c r="HZ71" s="1603"/>
      <c r="IA71" s="1603"/>
      <c r="IB71" s="1603"/>
      <c r="IC71" s="1603">
        <v>58.130081300813004</v>
      </c>
      <c r="ID71" s="1603">
        <v>59.788617886178898</v>
      </c>
      <c r="IE71" s="1603">
        <v>61.170731707317103</v>
      </c>
      <c r="IF71" s="1603">
        <v>62</v>
      </c>
      <c r="IG71" s="1611" t="s">
        <v>270</v>
      </c>
      <c r="IH71" s="1616" t="s">
        <v>270</v>
      </c>
      <c r="II71" s="1615" t="s">
        <v>270</v>
      </c>
      <c r="IJ71" s="1613">
        <v>0.63600000000000001</v>
      </c>
      <c r="IK71" s="1613">
        <v>0.63600000000000001</v>
      </c>
      <c r="IL71" s="1614">
        <v>0.63600000000000001</v>
      </c>
      <c r="IM71" s="1614">
        <v>0.63600000000000001</v>
      </c>
      <c r="IN71" s="1612">
        <v>0.63600000000000001</v>
      </c>
      <c r="IO71" s="1613">
        <v>0</v>
      </c>
      <c r="IP71" s="1607" t="s">
        <v>270</v>
      </c>
      <c r="IQ71" s="1612" t="s">
        <v>270</v>
      </c>
      <c r="IR71" s="1612" t="s">
        <v>270</v>
      </c>
      <c r="IS71" s="1607" t="s">
        <v>270</v>
      </c>
      <c r="IT71" s="1607" t="s">
        <v>270</v>
      </c>
      <c r="IU71" s="1611" t="s">
        <v>270</v>
      </c>
      <c r="IV71" s="1611" t="s">
        <v>270</v>
      </c>
      <c r="IW71" s="1611" t="s">
        <v>270</v>
      </c>
      <c r="IX71" s="1611" t="s">
        <v>270</v>
      </c>
      <c r="IY71" s="1611" t="s">
        <v>270</v>
      </c>
      <c r="IZ71" s="1611" t="s">
        <v>270</v>
      </c>
      <c r="JA71" s="1611" t="s">
        <v>270</v>
      </c>
      <c r="JB71" s="1611" t="s">
        <v>270</v>
      </c>
      <c r="JC71" s="1611" t="s">
        <v>270</v>
      </c>
      <c r="JD71" s="1611" t="s">
        <v>270</v>
      </c>
      <c r="JE71" s="1611" t="s">
        <v>270</v>
      </c>
      <c r="JF71" s="1611" t="s">
        <v>270</v>
      </c>
      <c r="JG71" s="1611" t="s">
        <v>270</v>
      </c>
      <c r="JH71" s="1611" t="s">
        <v>270</v>
      </c>
      <c r="JI71" s="1611" t="s">
        <v>270</v>
      </c>
      <c r="JJ71" s="1611" t="s">
        <v>270</v>
      </c>
      <c r="JK71" s="1607" t="str">
        <f t="shared" ref="JK71:JK134" si="10">IFERROR(IF( IL71-IS71&gt; 0, IL71-IS71,""),"")</f>
        <v/>
      </c>
      <c r="JL71" s="1608" t="s">
        <v>2946</v>
      </c>
      <c r="JM71" s="1610" t="s">
        <v>2945</v>
      </c>
      <c r="JN71" s="1608" t="s">
        <v>270</v>
      </c>
      <c r="JO71" s="1609" t="s">
        <v>270</v>
      </c>
      <c r="JP71" s="1608">
        <v>0.63600000000000001</v>
      </c>
      <c r="JQ71" s="1607" t="s">
        <v>270</v>
      </c>
      <c r="JR71" s="1606" t="s">
        <v>270</v>
      </c>
      <c r="JS71" s="1606" t="s">
        <v>270</v>
      </c>
      <c r="JT71" s="1606" t="s">
        <v>270</v>
      </c>
    </row>
    <row r="72" spans="1:280" ht="15" customHeight="1" x14ac:dyDescent="0.2">
      <c r="A72" s="1626">
        <v>67600</v>
      </c>
      <c r="B72" s="1625">
        <v>676</v>
      </c>
      <c r="C72" s="1624">
        <v>0</v>
      </c>
      <c r="D72" s="1623" t="s">
        <v>3613</v>
      </c>
      <c r="E72" s="1622">
        <v>43031</v>
      </c>
      <c r="F72" s="1620">
        <v>1.4423562926829301</v>
      </c>
      <c r="G72" s="1620">
        <v>1.3843612425973999</v>
      </c>
      <c r="H72" s="1621">
        <v>99</v>
      </c>
      <c r="I72" s="1621">
        <v>99</v>
      </c>
      <c r="J72" s="1621">
        <v>90</v>
      </c>
      <c r="K72" s="1620">
        <v>1</v>
      </c>
      <c r="L72" s="1620">
        <v>96</v>
      </c>
      <c r="M72" s="1620">
        <v>2.2080000000000002</v>
      </c>
      <c r="N72" s="1620">
        <v>9.6000000000000002E-2</v>
      </c>
      <c r="O72" s="1620">
        <v>3.456</v>
      </c>
      <c r="P72" s="1620">
        <v>0.38400000000000001</v>
      </c>
      <c r="Q72" s="1603"/>
      <c r="R72" s="1620" t="s">
        <v>270</v>
      </c>
      <c r="S72" s="1620">
        <v>50</v>
      </c>
      <c r="T72" s="1620">
        <v>50</v>
      </c>
      <c r="U72" s="1620">
        <v>50</v>
      </c>
      <c r="V72" s="1620">
        <v>50</v>
      </c>
      <c r="W72" s="1620">
        <v>50</v>
      </c>
      <c r="X72" s="1620"/>
      <c r="Y72" s="1620">
        <v>0</v>
      </c>
      <c r="Z72" s="1620">
        <v>0</v>
      </c>
      <c r="AA72" s="1620">
        <v>0</v>
      </c>
      <c r="AB72" s="1620">
        <v>0</v>
      </c>
      <c r="AC72" s="1620">
        <v>0</v>
      </c>
      <c r="AD72" s="1620">
        <v>0</v>
      </c>
      <c r="AE72" s="1620">
        <v>0</v>
      </c>
      <c r="AF72" s="1620">
        <v>0</v>
      </c>
      <c r="AG72" s="1620">
        <v>0</v>
      </c>
      <c r="AH72" s="1620">
        <v>0</v>
      </c>
      <c r="AI72" s="1620">
        <v>0</v>
      </c>
      <c r="AJ72" s="1620">
        <v>0</v>
      </c>
      <c r="AK72" s="1620">
        <v>0</v>
      </c>
      <c r="AL72" s="1620"/>
      <c r="AM72" s="1620">
        <v>0</v>
      </c>
      <c r="AN72" s="1620">
        <v>0</v>
      </c>
      <c r="AO72" s="1620">
        <v>0</v>
      </c>
      <c r="AP72" s="1620">
        <v>0</v>
      </c>
      <c r="AQ72" s="1620">
        <v>0</v>
      </c>
      <c r="AR72" s="1620">
        <v>0</v>
      </c>
      <c r="AS72" s="1620">
        <v>0</v>
      </c>
      <c r="AT72" s="1620">
        <v>0</v>
      </c>
      <c r="AU72" s="1620">
        <v>0</v>
      </c>
      <c r="AV72" s="1620">
        <v>0</v>
      </c>
      <c r="AW72" s="1620">
        <v>0</v>
      </c>
      <c r="AX72" s="1620"/>
      <c r="AY72" s="1620">
        <v>1</v>
      </c>
      <c r="AZ72" s="1620">
        <v>1</v>
      </c>
      <c r="BA72" s="1620">
        <v>1</v>
      </c>
      <c r="BB72" s="1620">
        <v>1</v>
      </c>
      <c r="BC72" s="1620">
        <v>1</v>
      </c>
      <c r="BD72" s="1620">
        <v>1</v>
      </c>
      <c r="BE72" s="1620">
        <v>1</v>
      </c>
      <c r="BF72" s="1620">
        <v>1</v>
      </c>
      <c r="BG72" s="1620">
        <v>1</v>
      </c>
      <c r="BH72" s="1620">
        <v>1</v>
      </c>
      <c r="BI72" s="1620">
        <v>1</v>
      </c>
      <c r="BJ72" s="1603"/>
      <c r="BK72" s="1620">
        <v>2.3000000000000003</v>
      </c>
      <c r="BL72" s="1620">
        <v>9.9999999999999992E-2</v>
      </c>
      <c r="BM72" s="1620">
        <v>3.6</v>
      </c>
      <c r="BN72" s="1620">
        <v>0.39999999999999997</v>
      </c>
      <c r="BO72" s="1620"/>
      <c r="BP72" s="1620">
        <v>0</v>
      </c>
      <c r="BQ72" s="1620">
        <v>0</v>
      </c>
      <c r="BR72" s="1620">
        <v>1.5024544715447188</v>
      </c>
      <c r="BS72" s="1620">
        <v>1.4420429610389582</v>
      </c>
      <c r="BT72" s="1603"/>
      <c r="BU72" s="1620">
        <v>964</v>
      </c>
      <c r="BV72" s="1620">
        <v>932.46</v>
      </c>
      <c r="BW72" s="1620">
        <v>0</v>
      </c>
      <c r="BX72" s="1620" t="s">
        <v>270</v>
      </c>
      <c r="BY72" s="1620" t="s">
        <v>270</v>
      </c>
      <c r="BZ72" s="1620" t="s">
        <v>270</v>
      </c>
      <c r="CA72" s="1620" t="s">
        <v>270</v>
      </c>
      <c r="CB72" s="1603"/>
      <c r="CC72" s="1603">
        <v>0</v>
      </c>
      <c r="CD72" s="1603">
        <v>0</v>
      </c>
      <c r="CE72" s="1603">
        <v>0</v>
      </c>
      <c r="CF72" s="1603">
        <v>0</v>
      </c>
      <c r="CG72" s="1603">
        <v>0</v>
      </c>
      <c r="CH72" s="1603">
        <v>0</v>
      </c>
      <c r="CI72" s="1603">
        <v>0</v>
      </c>
      <c r="CJ72" s="1603"/>
      <c r="CK72" s="1603">
        <v>0</v>
      </c>
      <c r="CL72" s="1603">
        <v>0</v>
      </c>
      <c r="CM72" s="1603">
        <v>0</v>
      </c>
      <c r="CN72" s="1603">
        <v>0</v>
      </c>
      <c r="CO72" s="1603">
        <v>0</v>
      </c>
      <c r="CP72" s="1603">
        <v>0</v>
      </c>
      <c r="CQ72" s="1603">
        <v>0</v>
      </c>
      <c r="CR72" s="1603">
        <v>0</v>
      </c>
      <c r="CS72" s="1603">
        <v>0</v>
      </c>
      <c r="CT72" s="1603">
        <v>0</v>
      </c>
      <c r="CU72" s="1603">
        <v>0</v>
      </c>
      <c r="CV72" s="1603">
        <v>0</v>
      </c>
      <c r="CW72" s="1603">
        <v>0</v>
      </c>
      <c r="CX72" s="1603">
        <v>0</v>
      </c>
      <c r="CY72" s="1603">
        <v>0</v>
      </c>
      <c r="CZ72" s="1603">
        <v>0</v>
      </c>
      <c r="DA72" s="1603">
        <v>0</v>
      </c>
      <c r="DB72" s="1603">
        <v>0</v>
      </c>
      <c r="DC72" s="1603">
        <v>0</v>
      </c>
      <c r="DD72" s="1603">
        <v>0</v>
      </c>
      <c r="DE72" s="1603">
        <v>0</v>
      </c>
      <c r="DF72" s="1603">
        <v>0</v>
      </c>
      <c r="DG72" s="1603">
        <v>0</v>
      </c>
      <c r="DH72" s="1603">
        <v>0</v>
      </c>
      <c r="DI72" s="1603">
        <v>0</v>
      </c>
      <c r="DJ72" s="1603">
        <v>0</v>
      </c>
      <c r="DK72" s="1603">
        <v>0</v>
      </c>
      <c r="DL72" s="1603">
        <v>0</v>
      </c>
      <c r="DM72" s="1603">
        <v>0</v>
      </c>
      <c r="DN72" s="1603">
        <v>0</v>
      </c>
      <c r="DO72" s="1603">
        <v>0</v>
      </c>
      <c r="DP72" s="1603">
        <v>0</v>
      </c>
      <c r="DQ72" s="1603">
        <v>0</v>
      </c>
      <c r="DR72" s="1603">
        <v>0</v>
      </c>
      <c r="DS72" s="1603">
        <v>0</v>
      </c>
      <c r="DT72" s="1603">
        <v>0</v>
      </c>
      <c r="DU72" s="1603">
        <v>0</v>
      </c>
      <c r="DV72" s="1603">
        <v>0</v>
      </c>
      <c r="DW72" s="1618" t="s">
        <v>3612</v>
      </c>
      <c r="DX72" s="1605" t="s">
        <v>986</v>
      </c>
      <c r="DY72" s="1605" t="s">
        <v>986</v>
      </c>
      <c r="DZ72" s="1605" t="s">
        <v>986</v>
      </c>
      <c r="EA72" s="1605" t="s">
        <v>986</v>
      </c>
      <c r="EB72" s="1605" t="s">
        <v>986</v>
      </c>
      <c r="EC72" s="1605" t="s">
        <v>986</v>
      </c>
      <c r="ED72" s="1605" t="s">
        <v>986</v>
      </c>
      <c r="EE72" s="1605" t="s">
        <v>986</v>
      </c>
      <c r="EF72" s="1605" t="s">
        <v>986</v>
      </c>
      <c r="EG72" s="1605" t="s">
        <v>986</v>
      </c>
      <c r="EH72" s="1605" t="s">
        <v>986</v>
      </c>
      <c r="EI72" s="1605" t="s">
        <v>986</v>
      </c>
      <c r="EJ72" s="1605" t="s">
        <v>986</v>
      </c>
      <c r="EK72" s="1605" t="s">
        <v>986</v>
      </c>
      <c r="EL72" s="1605" t="s">
        <v>986</v>
      </c>
      <c r="EM72" s="1605" t="s">
        <v>986</v>
      </c>
      <c r="EN72" s="1605" t="s">
        <v>986</v>
      </c>
      <c r="EO72" s="1605" t="s">
        <v>986</v>
      </c>
      <c r="EP72" s="1605" t="s">
        <v>986</v>
      </c>
      <c r="EQ72" s="1605" t="s">
        <v>986</v>
      </c>
      <c r="ER72" s="1605" t="s">
        <v>986</v>
      </c>
      <c r="ES72" s="1605" t="s">
        <v>986</v>
      </c>
      <c r="ET72" s="1605" t="s">
        <v>986</v>
      </c>
      <c r="EU72" s="1605" t="s">
        <v>986</v>
      </c>
      <c r="EV72" s="1605" t="s">
        <v>986</v>
      </c>
      <c r="EW72" s="1605" t="s">
        <v>986</v>
      </c>
      <c r="EX72" s="1605" t="s">
        <v>986</v>
      </c>
      <c r="EY72" s="1605" t="s">
        <v>986</v>
      </c>
      <c r="EZ72" s="1605" t="s">
        <v>986</v>
      </c>
      <c r="FA72" s="1605" t="s">
        <v>986</v>
      </c>
      <c r="FB72" s="1605" t="s">
        <v>986</v>
      </c>
      <c r="FC72" s="1605" t="s">
        <v>986</v>
      </c>
      <c r="FD72" s="1605" t="s">
        <v>986</v>
      </c>
      <c r="FE72" s="1605" t="s">
        <v>986</v>
      </c>
      <c r="FF72" s="1605" t="s">
        <v>986</v>
      </c>
      <c r="FG72" s="1605" t="s">
        <v>986</v>
      </c>
      <c r="FH72" s="1605" t="s">
        <v>986</v>
      </c>
      <c r="FI72" s="1605" t="s">
        <v>986</v>
      </c>
      <c r="FJ72" s="1605" t="s">
        <v>986</v>
      </c>
      <c r="FK72" s="1605" t="s">
        <v>986</v>
      </c>
      <c r="FL72" s="1605" t="s">
        <v>986</v>
      </c>
      <c r="FM72" s="1605" t="s">
        <v>986</v>
      </c>
      <c r="FN72" s="1605" t="s">
        <v>986</v>
      </c>
      <c r="FO72" s="1605" t="s">
        <v>986</v>
      </c>
      <c r="FP72" s="1605" t="s">
        <v>986</v>
      </c>
      <c r="FQ72" s="1605" t="s">
        <v>986</v>
      </c>
      <c r="FR72" s="1605" t="s">
        <v>986</v>
      </c>
      <c r="FS72" s="1605" t="s">
        <v>986</v>
      </c>
      <c r="FT72" s="1605" t="s">
        <v>986</v>
      </c>
      <c r="FU72" s="1605" t="s">
        <v>986</v>
      </c>
      <c r="FV72" s="1605" t="s">
        <v>986</v>
      </c>
      <c r="FW72" s="1605" t="s">
        <v>986</v>
      </c>
      <c r="FX72" s="1605" t="s">
        <v>986</v>
      </c>
      <c r="FY72" s="1605" t="s">
        <v>986</v>
      </c>
      <c r="FZ72" s="1605" t="s">
        <v>986</v>
      </c>
      <c r="GA72" s="1605" t="s">
        <v>986</v>
      </c>
      <c r="GB72" s="1605" t="s">
        <v>986</v>
      </c>
      <c r="GC72" s="1605" t="s">
        <v>986</v>
      </c>
      <c r="GD72" s="1605" t="s">
        <v>986</v>
      </c>
      <c r="GE72" s="1605" t="s">
        <v>986</v>
      </c>
      <c r="GF72" s="1605" t="s">
        <v>986</v>
      </c>
      <c r="GG72" s="1605" t="s">
        <v>986</v>
      </c>
      <c r="GH72" s="1605" t="s">
        <v>986</v>
      </c>
      <c r="GI72" s="1605" t="s">
        <v>986</v>
      </c>
      <c r="GJ72" s="1605" t="s">
        <v>986</v>
      </c>
      <c r="GK72" s="1605" t="s">
        <v>986</v>
      </c>
      <c r="GL72" s="1605" t="s">
        <v>986</v>
      </c>
      <c r="GM72" s="1605" t="s">
        <v>986</v>
      </c>
      <c r="GN72" s="1605" t="s">
        <v>986</v>
      </c>
      <c r="GO72" s="1605" t="s">
        <v>986</v>
      </c>
      <c r="GP72" s="1605" t="s">
        <v>986</v>
      </c>
      <c r="GQ72" s="1605" t="s">
        <v>986</v>
      </c>
      <c r="GR72" s="1605" t="s">
        <v>986</v>
      </c>
      <c r="GS72" s="1605" t="s">
        <v>986</v>
      </c>
      <c r="GT72" s="1605" t="s">
        <v>986</v>
      </c>
      <c r="GU72" s="1605" t="s">
        <v>986</v>
      </c>
      <c r="GV72" s="1605" t="s">
        <v>986</v>
      </c>
      <c r="GW72" s="1605" t="s">
        <v>986</v>
      </c>
      <c r="GX72" s="1605" t="s">
        <v>986</v>
      </c>
      <c r="GY72" s="1605" t="s">
        <v>986</v>
      </c>
      <c r="GZ72" s="1605" t="s">
        <v>986</v>
      </c>
      <c r="HA72" s="1605" t="s">
        <v>986</v>
      </c>
      <c r="HB72" s="1605" t="s">
        <v>986</v>
      </c>
      <c r="HC72" s="1605" t="s">
        <v>986</v>
      </c>
      <c r="HD72" s="1605" t="s">
        <v>986</v>
      </c>
      <c r="HE72" s="1605" t="s">
        <v>986</v>
      </c>
      <c r="HF72" s="1605" t="s">
        <v>986</v>
      </c>
      <c r="HG72" s="1605" t="s">
        <v>986</v>
      </c>
      <c r="HH72" s="1605" t="s">
        <v>986</v>
      </c>
      <c r="HI72" s="1605" t="s">
        <v>986</v>
      </c>
      <c r="HJ72" s="1605" t="s">
        <v>986</v>
      </c>
      <c r="HK72" s="1605" t="s">
        <v>986</v>
      </c>
      <c r="HL72" s="1605" t="s">
        <v>986</v>
      </c>
      <c r="HM72" s="1605" t="s">
        <v>986</v>
      </c>
      <c r="HN72" s="1605" t="s">
        <v>986</v>
      </c>
      <c r="HO72" s="1605" t="s">
        <v>986</v>
      </c>
      <c r="HP72" s="1605" t="s">
        <v>986</v>
      </c>
      <c r="HQ72" s="1605" t="s">
        <v>986</v>
      </c>
      <c r="HR72" s="1605" t="s">
        <v>986</v>
      </c>
      <c r="HS72" s="1605" t="s">
        <v>986</v>
      </c>
      <c r="HT72" s="1605" t="s">
        <v>986</v>
      </c>
      <c r="HU72" s="1605" t="s">
        <v>986</v>
      </c>
      <c r="HV72" s="1617"/>
      <c r="HW72" s="1617" t="s">
        <v>3611</v>
      </c>
      <c r="HX72" s="1617">
        <v>0</v>
      </c>
      <c r="HY72" s="1617">
        <v>0</v>
      </c>
      <c r="HZ72" s="1603"/>
      <c r="IA72" s="1603"/>
      <c r="IB72" s="1603"/>
      <c r="IC72" s="1603">
        <v>50</v>
      </c>
      <c r="ID72" s="1603">
        <v>50</v>
      </c>
      <c r="IE72" s="1603">
        <v>50</v>
      </c>
      <c r="IF72" s="1603">
        <v>50</v>
      </c>
      <c r="IG72" s="1611" t="s">
        <v>3610</v>
      </c>
      <c r="IH72" s="1616" t="s">
        <v>270</v>
      </c>
      <c r="II72" s="1615" t="s">
        <v>270</v>
      </c>
      <c r="IJ72" s="1613">
        <v>1.0687187499999999</v>
      </c>
      <c r="IK72" s="1613">
        <v>1.0687187499999999</v>
      </c>
      <c r="IL72" s="1614">
        <v>1.0687187499999999</v>
      </c>
      <c r="IM72" s="1614">
        <v>1.0687187499999999</v>
      </c>
      <c r="IN72" s="1612" t="s">
        <v>270</v>
      </c>
      <c r="IO72" s="1613" t="s">
        <v>270</v>
      </c>
      <c r="IP72" s="1607" t="s">
        <v>270</v>
      </c>
      <c r="IQ72" s="1612" t="s">
        <v>270</v>
      </c>
      <c r="IR72" s="1612" t="s">
        <v>270</v>
      </c>
      <c r="IS72" s="1607">
        <v>0.8957187499999999</v>
      </c>
      <c r="IT72" s="1607">
        <v>0.8957187499999999</v>
      </c>
      <c r="IU72" s="1611">
        <v>1.0416666666666666E-5</v>
      </c>
      <c r="IV72" s="1611">
        <v>9.1249999999999994E-3</v>
      </c>
      <c r="IW72" s="1611">
        <v>1.1249999999999999E-3</v>
      </c>
      <c r="IX72" s="1611">
        <v>1.0104166666666666E-3</v>
      </c>
      <c r="IY72" s="1611">
        <v>1.1458333333333333E-3</v>
      </c>
      <c r="IZ72" s="1611">
        <v>6.3020833333333331E-3</v>
      </c>
      <c r="JA72" s="1611">
        <v>1.8749999999999998E-4</v>
      </c>
      <c r="JB72" s="1611" t="s">
        <v>270</v>
      </c>
      <c r="JC72" s="1611">
        <v>0.19801041666666666</v>
      </c>
      <c r="JD72" s="1611">
        <v>1.9583333333333332E-3</v>
      </c>
      <c r="JE72" s="1611" t="s">
        <v>270</v>
      </c>
      <c r="JF72" s="1611">
        <v>4.1666666666666669E-4</v>
      </c>
      <c r="JG72" s="1611">
        <v>1.4461250000000001</v>
      </c>
      <c r="JH72" s="1611">
        <v>5.8333333333333338E-4</v>
      </c>
      <c r="JI72" s="1611">
        <v>0.21369791666666668</v>
      </c>
      <c r="JJ72" s="1611" t="s">
        <v>270</v>
      </c>
      <c r="JK72" s="1607">
        <f t="shared" si="10"/>
        <v>0.17300000000000004</v>
      </c>
      <c r="JL72" s="1608" t="s">
        <v>270</v>
      </c>
      <c r="JM72" s="1610" t="s">
        <v>2924</v>
      </c>
      <c r="JN72" s="1608">
        <v>0</v>
      </c>
      <c r="JO72" s="1609" t="s">
        <v>2955</v>
      </c>
      <c r="JP72" s="1608" t="s">
        <v>270</v>
      </c>
      <c r="JQ72" s="1607">
        <v>202103</v>
      </c>
      <c r="JR72" s="1606">
        <v>763</v>
      </c>
      <c r="JS72" s="1606">
        <v>687</v>
      </c>
      <c r="JT72" s="1606">
        <v>687</v>
      </c>
    </row>
    <row r="73" spans="1:280" ht="15" customHeight="1" x14ac:dyDescent="0.2">
      <c r="A73" s="1626">
        <v>39004</v>
      </c>
      <c r="B73" s="1625">
        <v>390</v>
      </c>
      <c r="C73" s="1624">
        <v>4</v>
      </c>
      <c r="D73" s="1623" t="s">
        <v>3609</v>
      </c>
      <c r="E73" s="1622">
        <v>43039</v>
      </c>
      <c r="F73" s="1620">
        <v>0.45799119794648102</v>
      </c>
      <c r="G73" s="1620">
        <v>0.44025273257937703</v>
      </c>
      <c r="H73" s="1621">
        <v>65</v>
      </c>
      <c r="I73" s="1621">
        <v>84</v>
      </c>
      <c r="J73" s="1621">
        <v>90</v>
      </c>
      <c r="K73" s="1620">
        <v>1</v>
      </c>
      <c r="L73" s="1620">
        <v>91.1</v>
      </c>
      <c r="M73" s="1620">
        <v>1</v>
      </c>
      <c r="N73" s="1620">
        <v>1.4000002030000001</v>
      </c>
      <c r="O73" s="1620">
        <v>49.799999933000002</v>
      </c>
      <c r="P73" s="1620">
        <v>15.999999587</v>
      </c>
      <c r="Q73" s="1603"/>
      <c r="R73" s="1620">
        <v>70</v>
      </c>
      <c r="S73" s="1620">
        <v>0</v>
      </c>
      <c r="T73" s="1620">
        <v>0</v>
      </c>
      <c r="U73" s="1620">
        <v>0</v>
      </c>
      <c r="V73" s="1620">
        <v>0</v>
      </c>
      <c r="W73" s="1620">
        <v>0</v>
      </c>
      <c r="X73" s="1620"/>
      <c r="Y73" s="1620">
        <v>0</v>
      </c>
      <c r="Z73" s="1620">
        <v>0</v>
      </c>
      <c r="AA73" s="1620">
        <v>0</v>
      </c>
      <c r="AB73" s="1620">
        <v>0</v>
      </c>
      <c r="AC73" s="1620">
        <v>0</v>
      </c>
      <c r="AD73" s="1620">
        <v>0</v>
      </c>
      <c r="AE73" s="1620">
        <v>0</v>
      </c>
      <c r="AF73" s="1620">
        <v>0</v>
      </c>
      <c r="AG73" s="1620">
        <v>0</v>
      </c>
      <c r="AH73" s="1620">
        <v>0</v>
      </c>
      <c r="AI73" s="1620">
        <v>0</v>
      </c>
      <c r="AJ73" s="1620">
        <v>0</v>
      </c>
      <c r="AK73" s="1620">
        <v>0</v>
      </c>
      <c r="AL73" s="1620"/>
      <c r="AM73" s="1620">
        <v>0</v>
      </c>
      <c r="AN73" s="1620">
        <v>0</v>
      </c>
      <c r="AO73" s="1620">
        <v>0</v>
      </c>
      <c r="AP73" s="1620">
        <v>0</v>
      </c>
      <c r="AQ73" s="1620">
        <v>0</v>
      </c>
      <c r="AR73" s="1620">
        <v>0</v>
      </c>
      <c r="AS73" s="1620">
        <v>0</v>
      </c>
      <c r="AT73" s="1620">
        <v>0</v>
      </c>
      <c r="AU73" s="1620">
        <v>0</v>
      </c>
      <c r="AV73" s="1620">
        <v>0</v>
      </c>
      <c r="AW73" s="1620">
        <v>0</v>
      </c>
      <c r="AX73" s="1620"/>
      <c r="AY73" s="1620">
        <v>1</v>
      </c>
      <c r="AZ73" s="1620">
        <v>1</v>
      </c>
      <c r="BA73" s="1620">
        <v>1</v>
      </c>
      <c r="BB73" s="1620">
        <v>1</v>
      </c>
      <c r="BC73" s="1620">
        <v>1</v>
      </c>
      <c r="BD73" s="1620">
        <v>0</v>
      </c>
      <c r="BE73" s="1620">
        <v>0</v>
      </c>
      <c r="BF73" s="1620">
        <v>0</v>
      </c>
      <c r="BG73" s="1620">
        <v>0</v>
      </c>
      <c r="BH73" s="1620">
        <v>0.8</v>
      </c>
      <c r="BI73" s="1620">
        <v>0</v>
      </c>
      <c r="BJ73" s="1603"/>
      <c r="BK73" s="1620">
        <v>1.0976948408342482</v>
      </c>
      <c r="BL73" s="1620">
        <v>1.5367730000000004</v>
      </c>
      <c r="BM73" s="1620">
        <v>54.665203000000005</v>
      </c>
      <c r="BN73" s="1620">
        <v>17.563117000000002</v>
      </c>
      <c r="BO73" s="1620"/>
      <c r="BP73" s="1620">
        <v>0</v>
      </c>
      <c r="BQ73" s="1620">
        <v>0</v>
      </c>
      <c r="BR73" s="1620">
        <v>0.50273457513334907</v>
      </c>
      <c r="BS73" s="1620">
        <v>0.48326315321556212</v>
      </c>
      <c r="BT73" s="1603"/>
      <c r="BU73" s="1620">
        <v>453.34797000000003</v>
      </c>
      <c r="BV73" s="1620">
        <v>392.83205120555107</v>
      </c>
      <c r="BW73" s="1620">
        <v>-123.0515918571427</v>
      </c>
      <c r="BX73" s="1620" t="s">
        <v>270</v>
      </c>
      <c r="BY73" s="1620" t="s">
        <v>270</v>
      </c>
      <c r="BZ73" s="1620" t="s">
        <v>270</v>
      </c>
      <c r="CA73" s="1620" t="s">
        <v>270</v>
      </c>
      <c r="CB73" s="1603"/>
      <c r="CC73" s="1603">
        <v>0</v>
      </c>
      <c r="CD73" s="1603">
        <v>0</v>
      </c>
      <c r="CE73" s="1603">
        <v>0</v>
      </c>
      <c r="CF73" s="1603">
        <v>0</v>
      </c>
      <c r="CG73" s="1603">
        <v>0</v>
      </c>
      <c r="CH73" s="1603">
        <v>0</v>
      </c>
      <c r="CI73" s="1603">
        <v>0</v>
      </c>
      <c r="CJ73" s="1603"/>
      <c r="CK73" s="1603">
        <v>0</v>
      </c>
      <c r="CL73" s="1603">
        <v>0</v>
      </c>
      <c r="CM73" s="1603">
        <v>0</v>
      </c>
      <c r="CN73" s="1603">
        <v>0</v>
      </c>
      <c r="CO73" s="1603">
        <v>0</v>
      </c>
      <c r="CP73" s="1603">
        <v>0</v>
      </c>
      <c r="CQ73" s="1603">
        <v>7.0000000000000098</v>
      </c>
      <c r="CR73" s="1603">
        <v>15.284136532287683</v>
      </c>
      <c r="CS73" s="1603">
        <v>0</v>
      </c>
      <c r="CT73" s="1603">
        <v>0</v>
      </c>
      <c r="CU73" s="1603">
        <v>0</v>
      </c>
      <c r="CV73" s="1603">
        <v>0</v>
      </c>
      <c r="CW73" s="1603">
        <v>0</v>
      </c>
      <c r="CX73" s="1603">
        <v>0</v>
      </c>
      <c r="CY73" s="1603">
        <v>0</v>
      </c>
      <c r="CZ73" s="1603">
        <v>0</v>
      </c>
      <c r="DA73" s="1603">
        <v>0</v>
      </c>
      <c r="DB73" s="1603">
        <v>0</v>
      </c>
      <c r="DC73" s="1603">
        <v>0</v>
      </c>
      <c r="DD73" s="1603">
        <v>0</v>
      </c>
      <c r="DE73" s="1603">
        <v>0</v>
      </c>
      <c r="DF73" s="1603">
        <v>0</v>
      </c>
      <c r="DG73" s="1603">
        <v>0</v>
      </c>
      <c r="DH73" s="1603">
        <v>0</v>
      </c>
      <c r="DI73" s="1603">
        <v>0</v>
      </c>
      <c r="DJ73" s="1603">
        <v>0</v>
      </c>
      <c r="DK73" s="1603">
        <v>9100.0000003719997</v>
      </c>
      <c r="DL73" s="1603">
        <v>0</v>
      </c>
      <c r="DM73" s="1603">
        <v>0</v>
      </c>
      <c r="DN73" s="1603">
        <v>0</v>
      </c>
      <c r="DO73" s="1603">
        <v>0</v>
      </c>
      <c r="DP73" s="1603">
        <v>0</v>
      </c>
      <c r="DQ73" s="1603">
        <v>0</v>
      </c>
      <c r="DR73" s="1603">
        <v>0</v>
      </c>
      <c r="DS73" s="1603">
        <v>0</v>
      </c>
      <c r="DT73" s="1603">
        <v>0</v>
      </c>
      <c r="DU73" s="1603">
        <v>0</v>
      </c>
      <c r="DV73" s="1603">
        <v>0</v>
      </c>
      <c r="DW73" s="1618" t="s">
        <v>986</v>
      </c>
      <c r="DX73" s="1605" t="s">
        <v>986</v>
      </c>
      <c r="DY73" s="1605" t="s">
        <v>986</v>
      </c>
      <c r="DZ73" s="1605" t="s">
        <v>986</v>
      </c>
      <c r="EA73" s="1605" t="s">
        <v>986</v>
      </c>
      <c r="EB73" s="1605" t="s">
        <v>986</v>
      </c>
      <c r="EC73" s="1605" t="s">
        <v>986</v>
      </c>
      <c r="ED73" s="1605" t="s">
        <v>986</v>
      </c>
      <c r="EE73" s="1605" t="s">
        <v>986</v>
      </c>
      <c r="EF73" s="1605" t="s">
        <v>986</v>
      </c>
      <c r="EG73" s="1605" t="s">
        <v>986</v>
      </c>
      <c r="EH73" s="1605" t="s">
        <v>986</v>
      </c>
      <c r="EI73" s="1605" t="s">
        <v>986</v>
      </c>
      <c r="EJ73" s="1605" t="s">
        <v>986</v>
      </c>
      <c r="EK73" s="1605" t="s">
        <v>986</v>
      </c>
      <c r="EL73" s="1605" t="s">
        <v>986</v>
      </c>
      <c r="EM73" s="1605" t="s">
        <v>986</v>
      </c>
      <c r="EN73" s="1605" t="s">
        <v>986</v>
      </c>
      <c r="EO73" s="1605" t="s">
        <v>986</v>
      </c>
      <c r="EP73" s="1605" t="s">
        <v>986</v>
      </c>
      <c r="EQ73" s="1605" t="s">
        <v>986</v>
      </c>
      <c r="ER73" s="1605" t="s">
        <v>986</v>
      </c>
      <c r="ES73" s="1605" t="s">
        <v>986</v>
      </c>
      <c r="ET73" s="1605" t="s">
        <v>986</v>
      </c>
      <c r="EU73" s="1605" t="s">
        <v>986</v>
      </c>
      <c r="EV73" s="1605" t="s">
        <v>986</v>
      </c>
      <c r="EW73" s="1605" t="s">
        <v>986</v>
      </c>
      <c r="EX73" s="1605" t="s">
        <v>986</v>
      </c>
      <c r="EY73" s="1605" t="s">
        <v>986</v>
      </c>
      <c r="EZ73" s="1605" t="s">
        <v>986</v>
      </c>
      <c r="FA73" s="1605" t="s">
        <v>986</v>
      </c>
      <c r="FB73" s="1605" t="s">
        <v>986</v>
      </c>
      <c r="FC73" s="1605" t="s">
        <v>986</v>
      </c>
      <c r="FD73" s="1605" t="s">
        <v>986</v>
      </c>
      <c r="FE73" s="1605" t="s">
        <v>986</v>
      </c>
      <c r="FF73" s="1605" t="s">
        <v>986</v>
      </c>
      <c r="FG73" s="1605" t="s">
        <v>986</v>
      </c>
      <c r="FH73" s="1605" t="s">
        <v>986</v>
      </c>
      <c r="FI73" s="1605" t="s">
        <v>986</v>
      </c>
      <c r="FJ73" s="1605" t="s">
        <v>986</v>
      </c>
      <c r="FK73" s="1605" t="s">
        <v>986</v>
      </c>
      <c r="FL73" s="1605" t="s">
        <v>986</v>
      </c>
      <c r="FM73" s="1605" t="s">
        <v>986</v>
      </c>
      <c r="FN73" s="1605" t="s">
        <v>986</v>
      </c>
      <c r="FO73" s="1605" t="s">
        <v>986</v>
      </c>
      <c r="FP73" s="1605" t="s">
        <v>986</v>
      </c>
      <c r="FQ73" s="1605" t="s">
        <v>986</v>
      </c>
      <c r="FR73" s="1605" t="s">
        <v>986</v>
      </c>
      <c r="FS73" s="1605" t="s">
        <v>986</v>
      </c>
      <c r="FT73" s="1605" t="s">
        <v>986</v>
      </c>
      <c r="FU73" s="1605" t="s">
        <v>986</v>
      </c>
      <c r="FV73" s="1605" t="s">
        <v>986</v>
      </c>
      <c r="FW73" s="1605" t="s">
        <v>986</v>
      </c>
      <c r="FX73" s="1605" t="s">
        <v>986</v>
      </c>
      <c r="FY73" s="1605" t="s">
        <v>986</v>
      </c>
      <c r="FZ73" s="1605" t="s">
        <v>986</v>
      </c>
      <c r="GA73" s="1605" t="s">
        <v>986</v>
      </c>
      <c r="GB73" s="1605" t="s">
        <v>986</v>
      </c>
      <c r="GC73" s="1605" t="s">
        <v>986</v>
      </c>
      <c r="GD73" s="1605" t="s">
        <v>986</v>
      </c>
      <c r="GE73" s="1605" t="s">
        <v>986</v>
      </c>
      <c r="GF73" s="1605" t="s">
        <v>986</v>
      </c>
      <c r="GG73" s="1605" t="s">
        <v>986</v>
      </c>
      <c r="GH73" s="1605" t="s">
        <v>986</v>
      </c>
      <c r="GI73" s="1605" t="s">
        <v>986</v>
      </c>
      <c r="GJ73" s="1605" t="s">
        <v>986</v>
      </c>
      <c r="GK73" s="1605" t="s">
        <v>986</v>
      </c>
      <c r="GL73" s="1605" t="s">
        <v>986</v>
      </c>
      <c r="GM73" s="1605" t="s">
        <v>986</v>
      </c>
      <c r="GN73" s="1605" t="s">
        <v>986</v>
      </c>
      <c r="GO73" s="1605" t="s">
        <v>986</v>
      </c>
      <c r="GP73" s="1605" t="s">
        <v>986</v>
      </c>
      <c r="GQ73" s="1605" t="s">
        <v>986</v>
      </c>
      <c r="GR73" s="1605" t="s">
        <v>986</v>
      </c>
      <c r="GS73" s="1605" t="s">
        <v>986</v>
      </c>
      <c r="GT73" s="1605" t="s">
        <v>986</v>
      </c>
      <c r="GU73" s="1605" t="s">
        <v>986</v>
      </c>
      <c r="GV73" s="1605" t="s">
        <v>986</v>
      </c>
      <c r="GW73" s="1605" t="s">
        <v>986</v>
      </c>
      <c r="GX73" s="1605" t="s">
        <v>986</v>
      </c>
      <c r="GY73" s="1605" t="s">
        <v>986</v>
      </c>
      <c r="GZ73" s="1605" t="s">
        <v>986</v>
      </c>
      <c r="HA73" s="1605" t="s">
        <v>986</v>
      </c>
      <c r="HB73" s="1605" t="s">
        <v>986</v>
      </c>
      <c r="HC73" s="1605" t="s">
        <v>986</v>
      </c>
      <c r="HD73" s="1605" t="s">
        <v>986</v>
      </c>
      <c r="HE73" s="1605" t="s">
        <v>986</v>
      </c>
      <c r="HF73" s="1605" t="s">
        <v>986</v>
      </c>
      <c r="HG73" s="1605" t="s">
        <v>986</v>
      </c>
      <c r="HH73" s="1605" t="s">
        <v>986</v>
      </c>
      <c r="HI73" s="1605" t="s">
        <v>986</v>
      </c>
      <c r="HJ73" s="1605" t="s">
        <v>986</v>
      </c>
      <c r="HK73" s="1605" t="s">
        <v>986</v>
      </c>
      <c r="HL73" s="1605" t="s">
        <v>986</v>
      </c>
      <c r="HM73" s="1605" t="s">
        <v>986</v>
      </c>
      <c r="HN73" s="1605" t="s">
        <v>986</v>
      </c>
      <c r="HO73" s="1605" t="s">
        <v>986</v>
      </c>
      <c r="HP73" s="1605" t="s">
        <v>986</v>
      </c>
      <c r="HQ73" s="1605" t="s">
        <v>986</v>
      </c>
      <c r="HR73" s="1605" t="s">
        <v>986</v>
      </c>
      <c r="HS73" s="1605" t="s">
        <v>986</v>
      </c>
      <c r="HT73" s="1605" t="s">
        <v>986</v>
      </c>
      <c r="HU73" s="1605" t="s">
        <v>986</v>
      </c>
      <c r="HV73" s="1617"/>
      <c r="HW73" s="1617">
        <v>0</v>
      </c>
      <c r="HX73" s="1617">
        <v>0</v>
      </c>
      <c r="HY73" s="1617">
        <v>0</v>
      </c>
      <c r="HZ73" s="1603"/>
      <c r="IA73" s="1603"/>
      <c r="IB73" s="1603"/>
      <c r="IC73" s="1603">
        <v>0</v>
      </c>
      <c r="ID73" s="1603">
        <v>0</v>
      </c>
      <c r="IE73" s="1603">
        <v>0</v>
      </c>
      <c r="IF73" s="1603">
        <v>0</v>
      </c>
      <c r="IG73" s="1611" t="s">
        <v>2932</v>
      </c>
      <c r="IH73" s="1616" t="s">
        <v>270</v>
      </c>
      <c r="II73" s="1615" t="s">
        <v>270</v>
      </c>
      <c r="IJ73" s="1613">
        <v>1.3101818181818183</v>
      </c>
      <c r="IK73" s="1613">
        <v>1.301848484848485</v>
      </c>
      <c r="IL73" s="1614">
        <v>1.3101818181818183</v>
      </c>
      <c r="IM73" s="1614">
        <v>1.301848484848485</v>
      </c>
      <c r="IN73" s="1612" t="s">
        <v>270</v>
      </c>
      <c r="IO73" s="1613" t="s">
        <v>270</v>
      </c>
      <c r="IP73" s="1607" t="s">
        <v>270</v>
      </c>
      <c r="IQ73" s="1612" t="s">
        <v>270</v>
      </c>
      <c r="IR73" s="1612" t="s">
        <v>270</v>
      </c>
      <c r="IS73" s="1607">
        <v>1.1881818181818182</v>
      </c>
      <c r="IT73" s="1607">
        <v>1.1798484848484849</v>
      </c>
      <c r="IU73" s="1611">
        <v>0</v>
      </c>
      <c r="IV73" s="1611">
        <v>7.7767676767676763E-2</v>
      </c>
      <c r="IW73" s="1611">
        <v>9.0909090909090909E-4</v>
      </c>
      <c r="IX73" s="1611">
        <v>1.6060606060606061E-3</v>
      </c>
      <c r="IY73" s="1611">
        <v>9.6969696969696957E-4</v>
      </c>
      <c r="IZ73" s="1611">
        <v>5.9898989898989896E-3</v>
      </c>
      <c r="JA73" s="1611">
        <v>6.0606060606060598E-5</v>
      </c>
      <c r="JB73" s="1611" t="s">
        <v>270</v>
      </c>
      <c r="JC73" s="1611">
        <v>9.9026969696969704</v>
      </c>
      <c r="JD73" s="1611">
        <v>5.2121212121212122E-3</v>
      </c>
      <c r="JE73" s="1611" t="s">
        <v>270</v>
      </c>
      <c r="JF73" s="1611">
        <v>8.2828282828282835E-4</v>
      </c>
      <c r="JG73" s="1611">
        <v>0.57978787878787885</v>
      </c>
      <c r="JH73" s="1611">
        <v>7.646464646464647E-3</v>
      </c>
      <c r="JI73" s="1611">
        <v>0.3</v>
      </c>
      <c r="JJ73" s="1611" t="s">
        <v>270</v>
      </c>
      <c r="JK73" s="1607">
        <f t="shared" si="10"/>
        <v>0.12200000000000011</v>
      </c>
      <c r="JL73" s="1608" t="s">
        <v>270</v>
      </c>
      <c r="JM73" s="1610" t="s">
        <v>2924</v>
      </c>
      <c r="JN73" s="1608">
        <v>8.3333333333333037E-3</v>
      </c>
      <c r="JO73" s="1609" t="s">
        <v>2931</v>
      </c>
      <c r="JP73" s="1608" t="s">
        <v>270</v>
      </c>
      <c r="JQ73" s="1607">
        <v>202103</v>
      </c>
      <c r="JR73" s="1606">
        <v>851</v>
      </c>
      <c r="JS73" s="1606">
        <v>774</v>
      </c>
      <c r="JT73" s="1606">
        <v>774</v>
      </c>
    </row>
    <row r="74" spans="1:280" ht="15" customHeight="1" x14ac:dyDescent="0.2">
      <c r="A74" s="1626">
        <v>39005</v>
      </c>
      <c r="B74" s="1625">
        <v>390</v>
      </c>
      <c r="C74" s="1624">
        <v>5</v>
      </c>
      <c r="D74" s="1623" t="s">
        <v>3608</v>
      </c>
      <c r="E74" s="1622">
        <v>43039</v>
      </c>
      <c r="F74" s="1620">
        <v>0.45799119794648102</v>
      </c>
      <c r="G74" s="1620">
        <v>0.44025273257937703</v>
      </c>
      <c r="H74" s="1621">
        <v>65</v>
      </c>
      <c r="I74" s="1621">
        <v>84</v>
      </c>
      <c r="J74" s="1621">
        <v>90</v>
      </c>
      <c r="K74" s="1620">
        <v>1</v>
      </c>
      <c r="L74" s="1620">
        <v>91.1</v>
      </c>
      <c r="M74" s="1620">
        <v>1</v>
      </c>
      <c r="N74" s="1620">
        <v>1.4000002030000001</v>
      </c>
      <c r="O74" s="1620">
        <v>49.799999933000002</v>
      </c>
      <c r="P74" s="1620">
        <v>15.999999587</v>
      </c>
      <c r="Q74" s="1603"/>
      <c r="R74" s="1620">
        <v>70</v>
      </c>
      <c r="S74" s="1620">
        <v>0</v>
      </c>
      <c r="T74" s="1620">
        <v>0</v>
      </c>
      <c r="U74" s="1620">
        <v>0</v>
      </c>
      <c r="V74" s="1620">
        <v>0</v>
      </c>
      <c r="W74" s="1620">
        <v>0</v>
      </c>
      <c r="X74" s="1620"/>
      <c r="Y74" s="1620">
        <v>0</v>
      </c>
      <c r="Z74" s="1620">
        <v>0</v>
      </c>
      <c r="AA74" s="1620">
        <v>0</v>
      </c>
      <c r="AB74" s="1620">
        <v>0</v>
      </c>
      <c r="AC74" s="1620">
        <v>0</v>
      </c>
      <c r="AD74" s="1620">
        <v>0</v>
      </c>
      <c r="AE74" s="1620">
        <v>0</v>
      </c>
      <c r="AF74" s="1620">
        <v>0</v>
      </c>
      <c r="AG74" s="1620">
        <v>0</v>
      </c>
      <c r="AH74" s="1620">
        <v>0</v>
      </c>
      <c r="AI74" s="1620">
        <v>0</v>
      </c>
      <c r="AJ74" s="1620">
        <v>0</v>
      </c>
      <c r="AK74" s="1620">
        <v>0</v>
      </c>
      <c r="AL74" s="1620"/>
      <c r="AM74" s="1620">
        <v>0</v>
      </c>
      <c r="AN74" s="1620">
        <v>0</v>
      </c>
      <c r="AO74" s="1620">
        <v>0</v>
      </c>
      <c r="AP74" s="1620">
        <v>0</v>
      </c>
      <c r="AQ74" s="1620">
        <v>0</v>
      </c>
      <c r="AR74" s="1620">
        <v>0</v>
      </c>
      <c r="AS74" s="1620">
        <v>0</v>
      </c>
      <c r="AT74" s="1620">
        <v>0</v>
      </c>
      <c r="AU74" s="1620">
        <v>0</v>
      </c>
      <c r="AV74" s="1620">
        <v>0</v>
      </c>
      <c r="AW74" s="1620">
        <v>0</v>
      </c>
      <c r="AX74" s="1620"/>
      <c r="AY74" s="1620">
        <v>1</v>
      </c>
      <c r="AZ74" s="1620">
        <v>1</v>
      </c>
      <c r="BA74" s="1620">
        <v>1</v>
      </c>
      <c r="BB74" s="1620">
        <v>1</v>
      </c>
      <c r="BC74" s="1620">
        <v>1</v>
      </c>
      <c r="BD74" s="1620">
        <v>0</v>
      </c>
      <c r="BE74" s="1620">
        <v>0</v>
      </c>
      <c r="BF74" s="1620">
        <v>0</v>
      </c>
      <c r="BG74" s="1620">
        <v>0</v>
      </c>
      <c r="BH74" s="1620">
        <v>0.8</v>
      </c>
      <c r="BI74" s="1620">
        <v>0</v>
      </c>
      <c r="BJ74" s="1603"/>
      <c r="BK74" s="1620">
        <v>1.0976948408342482</v>
      </c>
      <c r="BL74" s="1620">
        <v>1.5367730000000004</v>
      </c>
      <c r="BM74" s="1620">
        <v>54.665203000000005</v>
      </c>
      <c r="BN74" s="1620">
        <v>17.563117000000002</v>
      </c>
      <c r="BO74" s="1620"/>
      <c r="BP74" s="1620">
        <v>0</v>
      </c>
      <c r="BQ74" s="1620">
        <v>0</v>
      </c>
      <c r="BR74" s="1620">
        <v>0.50273457513334907</v>
      </c>
      <c r="BS74" s="1620">
        <v>0.48326315321556212</v>
      </c>
      <c r="BT74" s="1603"/>
      <c r="BU74" s="1620">
        <v>453.34797000000003</v>
      </c>
      <c r="BV74" s="1620">
        <v>392.83205120555107</v>
      </c>
      <c r="BW74" s="1620">
        <v>-123.0515918571427</v>
      </c>
      <c r="BX74" s="1620" t="s">
        <v>270</v>
      </c>
      <c r="BY74" s="1620" t="s">
        <v>270</v>
      </c>
      <c r="BZ74" s="1620" t="s">
        <v>270</v>
      </c>
      <c r="CA74" s="1620" t="s">
        <v>270</v>
      </c>
      <c r="CB74" s="1603"/>
      <c r="CC74" s="1603">
        <v>0</v>
      </c>
      <c r="CD74" s="1603">
        <v>0</v>
      </c>
      <c r="CE74" s="1603">
        <v>0</v>
      </c>
      <c r="CF74" s="1603">
        <v>0</v>
      </c>
      <c r="CG74" s="1603">
        <v>0</v>
      </c>
      <c r="CH74" s="1603">
        <v>0</v>
      </c>
      <c r="CI74" s="1603">
        <v>0</v>
      </c>
      <c r="CJ74" s="1603"/>
      <c r="CK74" s="1603">
        <v>0</v>
      </c>
      <c r="CL74" s="1603">
        <v>0</v>
      </c>
      <c r="CM74" s="1603">
        <v>0</v>
      </c>
      <c r="CN74" s="1603">
        <v>0</v>
      </c>
      <c r="CO74" s="1603">
        <v>0</v>
      </c>
      <c r="CP74" s="1603">
        <v>0</v>
      </c>
      <c r="CQ74" s="1603">
        <v>7.0000000000000098</v>
      </c>
      <c r="CR74" s="1603">
        <v>15.284136532287683</v>
      </c>
      <c r="CS74" s="1603">
        <v>0</v>
      </c>
      <c r="CT74" s="1603">
        <v>0</v>
      </c>
      <c r="CU74" s="1603">
        <v>0</v>
      </c>
      <c r="CV74" s="1603">
        <v>0</v>
      </c>
      <c r="CW74" s="1603">
        <v>0</v>
      </c>
      <c r="CX74" s="1603">
        <v>0</v>
      </c>
      <c r="CY74" s="1603">
        <v>0</v>
      </c>
      <c r="CZ74" s="1603">
        <v>0</v>
      </c>
      <c r="DA74" s="1603">
        <v>0</v>
      </c>
      <c r="DB74" s="1603">
        <v>0</v>
      </c>
      <c r="DC74" s="1603">
        <v>0</v>
      </c>
      <c r="DD74" s="1603">
        <v>0</v>
      </c>
      <c r="DE74" s="1603">
        <v>0</v>
      </c>
      <c r="DF74" s="1603">
        <v>0</v>
      </c>
      <c r="DG74" s="1603">
        <v>0</v>
      </c>
      <c r="DH74" s="1603">
        <v>0</v>
      </c>
      <c r="DI74" s="1603">
        <v>0</v>
      </c>
      <c r="DJ74" s="1603">
        <v>0</v>
      </c>
      <c r="DK74" s="1603">
        <v>22750.000000018899</v>
      </c>
      <c r="DL74" s="1603">
        <v>0</v>
      </c>
      <c r="DM74" s="1603">
        <v>0</v>
      </c>
      <c r="DN74" s="1603">
        <v>0</v>
      </c>
      <c r="DO74" s="1603">
        <v>0</v>
      </c>
      <c r="DP74" s="1603">
        <v>0</v>
      </c>
      <c r="DQ74" s="1603">
        <v>0</v>
      </c>
      <c r="DR74" s="1603">
        <v>0</v>
      </c>
      <c r="DS74" s="1603">
        <v>0</v>
      </c>
      <c r="DT74" s="1603">
        <v>0</v>
      </c>
      <c r="DU74" s="1603">
        <v>0</v>
      </c>
      <c r="DV74" s="1603">
        <v>0</v>
      </c>
      <c r="DW74" s="1618" t="s">
        <v>986</v>
      </c>
      <c r="DX74" s="1605" t="s">
        <v>986</v>
      </c>
      <c r="DY74" s="1605" t="s">
        <v>986</v>
      </c>
      <c r="DZ74" s="1605" t="s">
        <v>986</v>
      </c>
      <c r="EA74" s="1605" t="s">
        <v>986</v>
      </c>
      <c r="EB74" s="1605" t="s">
        <v>986</v>
      </c>
      <c r="EC74" s="1605" t="s">
        <v>986</v>
      </c>
      <c r="ED74" s="1605" t="s">
        <v>986</v>
      </c>
      <c r="EE74" s="1605" t="s">
        <v>986</v>
      </c>
      <c r="EF74" s="1605" t="s">
        <v>986</v>
      </c>
      <c r="EG74" s="1605" t="s">
        <v>986</v>
      </c>
      <c r="EH74" s="1605" t="s">
        <v>986</v>
      </c>
      <c r="EI74" s="1605" t="s">
        <v>986</v>
      </c>
      <c r="EJ74" s="1605" t="s">
        <v>986</v>
      </c>
      <c r="EK74" s="1605" t="s">
        <v>986</v>
      </c>
      <c r="EL74" s="1605" t="s">
        <v>986</v>
      </c>
      <c r="EM74" s="1605" t="s">
        <v>986</v>
      </c>
      <c r="EN74" s="1605" t="s">
        <v>986</v>
      </c>
      <c r="EO74" s="1605" t="s">
        <v>986</v>
      </c>
      <c r="EP74" s="1605" t="s">
        <v>986</v>
      </c>
      <c r="EQ74" s="1605" t="s">
        <v>986</v>
      </c>
      <c r="ER74" s="1605" t="s">
        <v>986</v>
      </c>
      <c r="ES74" s="1605" t="s">
        <v>986</v>
      </c>
      <c r="ET74" s="1605" t="s">
        <v>986</v>
      </c>
      <c r="EU74" s="1605" t="s">
        <v>986</v>
      </c>
      <c r="EV74" s="1605" t="s">
        <v>986</v>
      </c>
      <c r="EW74" s="1605" t="s">
        <v>986</v>
      </c>
      <c r="EX74" s="1605" t="s">
        <v>986</v>
      </c>
      <c r="EY74" s="1605" t="s">
        <v>986</v>
      </c>
      <c r="EZ74" s="1605" t="s">
        <v>986</v>
      </c>
      <c r="FA74" s="1605" t="s">
        <v>986</v>
      </c>
      <c r="FB74" s="1605" t="s">
        <v>986</v>
      </c>
      <c r="FC74" s="1605" t="s">
        <v>986</v>
      </c>
      <c r="FD74" s="1605" t="s">
        <v>986</v>
      </c>
      <c r="FE74" s="1605" t="s">
        <v>986</v>
      </c>
      <c r="FF74" s="1605" t="s">
        <v>986</v>
      </c>
      <c r="FG74" s="1605" t="s">
        <v>986</v>
      </c>
      <c r="FH74" s="1605" t="s">
        <v>986</v>
      </c>
      <c r="FI74" s="1605" t="s">
        <v>986</v>
      </c>
      <c r="FJ74" s="1605" t="s">
        <v>986</v>
      </c>
      <c r="FK74" s="1605" t="s">
        <v>986</v>
      </c>
      <c r="FL74" s="1605" t="s">
        <v>986</v>
      </c>
      <c r="FM74" s="1605" t="s">
        <v>986</v>
      </c>
      <c r="FN74" s="1605" t="s">
        <v>986</v>
      </c>
      <c r="FO74" s="1605" t="s">
        <v>986</v>
      </c>
      <c r="FP74" s="1605" t="s">
        <v>986</v>
      </c>
      <c r="FQ74" s="1605" t="s">
        <v>986</v>
      </c>
      <c r="FR74" s="1605" t="s">
        <v>986</v>
      </c>
      <c r="FS74" s="1605" t="s">
        <v>986</v>
      </c>
      <c r="FT74" s="1605" t="s">
        <v>986</v>
      </c>
      <c r="FU74" s="1605" t="s">
        <v>986</v>
      </c>
      <c r="FV74" s="1605" t="s">
        <v>986</v>
      </c>
      <c r="FW74" s="1605" t="s">
        <v>986</v>
      </c>
      <c r="FX74" s="1605" t="s">
        <v>986</v>
      </c>
      <c r="FY74" s="1605" t="s">
        <v>986</v>
      </c>
      <c r="FZ74" s="1605" t="s">
        <v>986</v>
      </c>
      <c r="GA74" s="1605" t="s">
        <v>986</v>
      </c>
      <c r="GB74" s="1605" t="s">
        <v>986</v>
      </c>
      <c r="GC74" s="1605" t="s">
        <v>986</v>
      </c>
      <c r="GD74" s="1605" t="s">
        <v>986</v>
      </c>
      <c r="GE74" s="1605" t="s">
        <v>986</v>
      </c>
      <c r="GF74" s="1605" t="s">
        <v>986</v>
      </c>
      <c r="GG74" s="1605" t="s">
        <v>986</v>
      </c>
      <c r="GH74" s="1605" t="s">
        <v>986</v>
      </c>
      <c r="GI74" s="1605" t="s">
        <v>986</v>
      </c>
      <c r="GJ74" s="1605" t="s">
        <v>986</v>
      </c>
      <c r="GK74" s="1605" t="s">
        <v>986</v>
      </c>
      <c r="GL74" s="1605" t="s">
        <v>986</v>
      </c>
      <c r="GM74" s="1605" t="s">
        <v>986</v>
      </c>
      <c r="GN74" s="1605" t="s">
        <v>986</v>
      </c>
      <c r="GO74" s="1605" t="s">
        <v>986</v>
      </c>
      <c r="GP74" s="1605" t="s">
        <v>986</v>
      </c>
      <c r="GQ74" s="1605" t="s">
        <v>986</v>
      </c>
      <c r="GR74" s="1605" t="s">
        <v>986</v>
      </c>
      <c r="GS74" s="1605" t="s">
        <v>986</v>
      </c>
      <c r="GT74" s="1605" t="s">
        <v>986</v>
      </c>
      <c r="GU74" s="1605" t="s">
        <v>986</v>
      </c>
      <c r="GV74" s="1605" t="s">
        <v>986</v>
      </c>
      <c r="GW74" s="1605" t="s">
        <v>986</v>
      </c>
      <c r="GX74" s="1605" t="s">
        <v>986</v>
      </c>
      <c r="GY74" s="1605" t="s">
        <v>986</v>
      </c>
      <c r="GZ74" s="1605" t="s">
        <v>986</v>
      </c>
      <c r="HA74" s="1605" t="s">
        <v>986</v>
      </c>
      <c r="HB74" s="1605" t="s">
        <v>986</v>
      </c>
      <c r="HC74" s="1605" t="s">
        <v>986</v>
      </c>
      <c r="HD74" s="1605" t="s">
        <v>986</v>
      </c>
      <c r="HE74" s="1605" t="s">
        <v>986</v>
      </c>
      <c r="HF74" s="1605" t="s">
        <v>986</v>
      </c>
      <c r="HG74" s="1605" t="s">
        <v>986</v>
      </c>
      <c r="HH74" s="1605" t="s">
        <v>986</v>
      </c>
      <c r="HI74" s="1605" t="s">
        <v>986</v>
      </c>
      <c r="HJ74" s="1605" t="s">
        <v>986</v>
      </c>
      <c r="HK74" s="1605" t="s">
        <v>986</v>
      </c>
      <c r="HL74" s="1605" t="s">
        <v>986</v>
      </c>
      <c r="HM74" s="1605" t="s">
        <v>986</v>
      </c>
      <c r="HN74" s="1605" t="s">
        <v>986</v>
      </c>
      <c r="HO74" s="1605" t="s">
        <v>986</v>
      </c>
      <c r="HP74" s="1605" t="s">
        <v>986</v>
      </c>
      <c r="HQ74" s="1605" t="s">
        <v>986</v>
      </c>
      <c r="HR74" s="1605" t="s">
        <v>986</v>
      </c>
      <c r="HS74" s="1605" t="s">
        <v>986</v>
      </c>
      <c r="HT74" s="1605" t="s">
        <v>986</v>
      </c>
      <c r="HU74" s="1605" t="s">
        <v>986</v>
      </c>
      <c r="HV74" s="1617"/>
      <c r="HW74" s="1617">
        <v>0</v>
      </c>
      <c r="HX74" s="1617">
        <v>0</v>
      </c>
      <c r="HY74" s="1617">
        <v>0</v>
      </c>
      <c r="HZ74" s="1603"/>
      <c r="IA74" s="1603"/>
      <c r="IB74" s="1603"/>
      <c r="IC74" s="1603">
        <v>0</v>
      </c>
      <c r="ID74" s="1603">
        <v>0</v>
      </c>
      <c r="IE74" s="1603">
        <v>0</v>
      </c>
      <c r="IF74" s="1603">
        <v>0</v>
      </c>
      <c r="IG74" s="1611" t="s">
        <v>2932</v>
      </c>
      <c r="IH74" s="1616" t="s">
        <v>270</v>
      </c>
      <c r="II74" s="1615" t="s">
        <v>270</v>
      </c>
      <c r="IJ74" s="1613">
        <v>1.3101818181818183</v>
      </c>
      <c r="IK74" s="1613">
        <v>1.301848484848485</v>
      </c>
      <c r="IL74" s="1614">
        <v>1.3101818181818183</v>
      </c>
      <c r="IM74" s="1614">
        <v>1.301848484848485</v>
      </c>
      <c r="IN74" s="1612" t="s">
        <v>270</v>
      </c>
      <c r="IO74" s="1613" t="s">
        <v>270</v>
      </c>
      <c r="IP74" s="1607" t="s">
        <v>270</v>
      </c>
      <c r="IQ74" s="1612" t="s">
        <v>270</v>
      </c>
      <c r="IR74" s="1612" t="s">
        <v>270</v>
      </c>
      <c r="IS74" s="1607">
        <v>1.1881818181818182</v>
      </c>
      <c r="IT74" s="1607">
        <v>1.1798484848484849</v>
      </c>
      <c r="IU74" s="1611">
        <v>0</v>
      </c>
      <c r="IV74" s="1611">
        <v>7.7767676767676763E-2</v>
      </c>
      <c r="IW74" s="1611">
        <v>9.0909090909090909E-4</v>
      </c>
      <c r="IX74" s="1611">
        <v>1.6060606060606061E-3</v>
      </c>
      <c r="IY74" s="1611">
        <v>9.6969696969696957E-4</v>
      </c>
      <c r="IZ74" s="1611">
        <v>5.9898989898989896E-3</v>
      </c>
      <c r="JA74" s="1611">
        <v>6.0606060606060598E-5</v>
      </c>
      <c r="JB74" s="1611" t="s">
        <v>270</v>
      </c>
      <c r="JC74" s="1611">
        <v>9.9026969696969704</v>
      </c>
      <c r="JD74" s="1611">
        <v>5.2121212121212122E-3</v>
      </c>
      <c r="JE74" s="1611" t="s">
        <v>270</v>
      </c>
      <c r="JF74" s="1611">
        <v>8.2828282828282835E-4</v>
      </c>
      <c r="JG74" s="1611">
        <v>0.57978787878787885</v>
      </c>
      <c r="JH74" s="1611">
        <v>7.646464646464647E-3</v>
      </c>
      <c r="JI74" s="1611">
        <v>0.3</v>
      </c>
      <c r="JJ74" s="1611" t="s">
        <v>270</v>
      </c>
      <c r="JK74" s="1607">
        <f t="shared" si="10"/>
        <v>0.12200000000000011</v>
      </c>
      <c r="JL74" s="1608" t="s">
        <v>270</v>
      </c>
      <c r="JM74" s="1610" t="s">
        <v>2924</v>
      </c>
      <c r="JN74" s="1608">
        <v>8.3333333333333037E-3</v>
      </c>
      <c r="JO74" s="1609" t="s">
        <v>2931</v>
      </c>
      <c r="JP74" s="1608" t="s">
        <v>270</v>
      </c>
      <c r="JQ74" s="1607">
        <v>202103</v>
      </c>
      <c r="JR74" s="1606">
        <v>851</v>
      </c>
      <c r="JS74" s="1606">
        <v>774</v>
      </c>
      <c r="JT74" s="1606">
        <v>774</v>
      </c>
    </row>
    <row r="75" spans="1:280" ht="15" customHeight="1" x14ac:dyDescent="0.2">
      <c r="A75" s="1626">
        <v>47400</v>
      </c>
      <c r="B75" s="1625">
        <v>474</v>
      </c>
      <c r="C75" s="1624">
        <v>0</v>
      </c>
      <c r="D75" s="1623" t="s">
        <v>3607</v>
      </c>
      <c r="E75" s="1622">
        <v>43025</v>
      </c>
      <c r="F75" s="1620">
        <v>-8.5365853658536495E-2</v>
      </c>
      <c r="G75" s="1620">
        <v>-8.1818181818181707E-2</v>
      </c>
      <c r="H75" s="1621">
        <v>70</v>
      </c>
      <c r="I75" s="1621">
        <v>70</v>
      </c>
      <c r="J75" s="1621">
        <v>0</v>
      </c>
      <c r="K75" s="1620">
        <v>1</v>
      </c>
      <c r="L75" s="1620">
        <v>75</v>
      </c>
      <c r="M75" s="1620">
        <v>0</v>
      </c>
      <c r="N75" s="1620">
        <v>0</v>
      </c>
      <c r="O75" s="1620">
        <v>75</v>
      </c>
      <c r="P75" s="1620">
        <v>0</v>
      </c>
      <c r="Q75" s="1603"/>
      <c r="R75" s="1620">
        <v>0</v>
      </c>
      <c r="S75" s="1620">
        <v>75</v>
      </c>
      <c r="T75" s="1620">
        <v>75</v>
      </c>
      <c r="U75" s="1620">
        <v>75</v>
      </c>
      <c r="V75" s="1620">
        <v>75</v>
      </c>
      <c r="W75" s="1620">
        <v>75</v>
      </c>
      <c r="X75" s="1620"/>
      <c r="Y75" s="1620">
        <v>0</v>
      </c>
      <c r="Z75" s="1620">
        <v>332</v>
      </c>
      <c r="AA75" s="1620">
        <v>0</v>
      </c>
      <c r="AB75" s="1620">
        <v>0</v>
      </c>
      <c r="AC75" s="1620">
        <v>0</v>
      </c>
      <c r="AD75" s="1620">
        <v>0</v>
      </c>
      <c r="AE75" s="1620">
        <v>0</v>
      </c>
      <c r="AF75" s="1620">
        <v>0</v>
      </c>
      <c r="AG75" s="1620">
        <v>0</v>
      </c>
      <c r="AH75" s="1620">
        <v>0</v>
      </c>
      <c r="AI75" s="1620">
        <v>0</v>
      </c>
      <c r="AJ75" s="1620">
        <v>0</v>
      </c>
      <c r="AK75" s="1620">
        <v>0</v>
      </c>
      <c r="AL75" s="1620"/>
      <c r="AM75" s="1620">
        <v>0</v>
      </c>
      <c r="AN75" s="1620">
        <v>0</v>
      </c>
      <c r="AO75" s="1620">
        <v>0</v>
      </c>
      <c r="AP75" s="1620">
        <v>0</v>
      </c>
      <c r="AQ75" s="1620">
        <v>0</v>
      </c>
      <c r="AR75" s="1620">
        <v>0</v>
      </c>
      <c r="AS75" s="1620">
        <v>0</v>
      </c>
      <c r="AT75" s="1620">
        <v>0</v>
      </c>
      <c r="AU75" s="1620">
        <v>0</v>
      </c>
      <c r="AV75" s="1620">
        <v>0</v>
      </c>
      <c r="AW75" s="1620">
        <v>0</v>
      </c>
      <c r="AX75" s="1620"/>
      <c r="AY75" s="1620">
        <v>1</v>
      </c>
      <c r="AZ75" s="1620">
        <v>1</v>
      </c>
      <c r="BA75" s="1620">
        <v>1</v>
      </c>
      <c r="BB75" s="1620">
        <v>1</v>
      </c>
      <c r="BC75" s="1620">
        <v>1</v>
      </c>
      <c r="BD75" s="1620">
        <v>1</v>
      </c>
      <c r="BE75" s="1620">
        <v>1</v>
      </c>
      <c r="BF75" s="1620">
        <v>1</v>
      </c>
      <c r="BG75" s="1620">
        <v>1</v>
      </c>
      <c r="BH75" s="1620">
        <v>1</v>
      </c>
      <c r="BI75" s="1620">
        <v>1</v>
      </c>
      <c r="BJ75" s="1603"/>
      <c r="BK75" s="1620">
        <v>0</v>
      </c>
      <c r="BL75" s="1620">
        <v>0</v>
      </c>
      <c r="BM75" s="1620">
        <v>100</v>
      </c>
      <c r="BN75" s="1620">
        <v>0</v>
      </c>
      <c r="BO75" s="1620"/>
      <c r="BP75" s="1620">
        <v>0</v>
      </c>
      <c r="BQ75" s="1620">
        <v>0</v>
      </c>
      <c r="BR75" s="1620">
        <v>-0.113821138211382</v>
      </c>
      <c r="BS75" s="1620">
        <v>-0.10909090909090895</v>
      </c>
      <c r="BT75" s="1603"/>
      <c r="BU75" s="1620">
        <v>0</v>
      </c>
      <c r="BV75" s="1620">
        <v>0</v>
      </c>
      <c r="BW75" s="1620">
        <v>0</v>
      </c>
      <c r="BX75" s="1620" t="s">
        <v>270</v>
      </c>
      <c r="BY75" s="1620" t="s">
        <v>270</v>
      </c>
      <c r="BZ75" s="1620" t="s">
        <v>270</v>
      </c>
      <c r="CA75" s="1620" t="s">
        <v>270</v>
      </c>
      <c r="CB75" s="1603"/>
      <c r="CC75" s="1603">
        <v>0</v>
      </c>
      <c r="CD75" s="1603">
        <v>249</v>
      </c>
      <c r="CE75" s="1603">
        <v>0</v>
      </c>
      <c r="CF75" s="1603">
        <v>0</v>
      </c>
      <c r="CG75" s="1603">
        <v>0</v>
      </c>
      <c r="CH75" s="1603">
        <v>0</v>
      </c>
      <c r="CI75" s="1603">
        <v>0</v>
      </c>
      <c r="CJ75" s="1603"/>
      <c r="CK75" s="1603">
        <v>0</v>
      </c>
      <c r="CL75" s="1603">
        <v>0</v>
      </c>
      <c r="CM75" s="1603">
        <v>0</v>
      </c>
      <c r="CN75" s="1603">
        <v>0</v>
      </c>
      <c r="CO75" s="1603">
        <v>0</v>
      </c>
      <c r="CP75" s="1603">
        <v>0</v>
      </c>
      <c r="CQ75" s="1603">
        <v>0</v>
      </c>
      <c r="CR75" s="1603">
        <v>0</v>
      </c>
      <c r="CS75" s="1603">
        <v>0</v>
      </c>
      <c r="CT75" s="1603">
        <v>0</v>
      </c>
      <c r="CU75" s="1603">
        <v>0</v>
      </c>
      <c r="CV75" s="1603">
        <v>0</v>
      </c>
      <c r="CW75" s="1603">
        <v>0</v>
      </c>
      <c r="CX75" s="1603">
        <v>0</v>
      </c>
      <c r="CY75" s="1603">
        <v>0</v>
      </c>
      <c r="CZ75" s="1603">
        <v>0</v>
      </c>
      <c r="DA75" s="1603">
        <v>0</v>
      </c>
      <c r="DB75" s="1603">
        <v>0</v>
      </c>
      <c r="DC75" s="1603">
        <v>0</v>
      </c>
      <c r="DD75" s="1603">
        <v>0</v>
      </c>
      <c r="DE75" s="1603">
        <v>0</v>
      </c>
      <c r="DF75" s="1603">
        <v>0</v>
      </c>
      <c r="DG75" s="1603">
        <v>0</v>
      </c>
      <c r="DH75" s="1603">
        <v>0</v>
      </c>
      <c r="DI75" s="1603">
        <v>0</v>
      </c>
      <c r="DJ75" s="1603">
        <v>0</v>
      </c>
      <c r="DK75" s="1603">
        <v>0</v>
      </c>
      <c r="DL75" s="1603">
        <v>0</v>
      </c>
      <c r="DM75" s="1603">
        <v>0</v>
      </c>
      <c r="DN75" s="1603">
        <v>0</v>
      </c>
      <c r="DO75" s="1603">
        <v>0</v>
      </c>
      <c r="DP75" s="1603">
        <v>0</v>
      </c>
      <c r="DQ75" s="1603">
        <v>0</v>
      </c>
      <c r="DR75" s="1603">
        <v>0</v>
      </c>
      <c r="DS75" s="1603">
        <v>0</v>
      </c>
      <c r="DT75" s="1603">
        <v>0</v>
      </c>
      <c r="DU75" s="1603">
        <v>0</v>
      </c>
      <c r="DV75" s="1603">
        <v>0</v>
      </c>
      <c r="DW75" s="1618" t="s">
        <v>986</v>
      </c>
      <c r="DX75" s="1605" t="s">
        <v>986</v>
      </c>
      <c r="DY75" s="1605" t="s">
        <v>986</v>
      </c>
      <c r="DZ75" s="1605" t="s">
        <v>986</v>
      </c>
      <c r="EA75" s="1605" t="s">
        <v>986</v>
      </c>
      <c r="EB75" s="1605" t="s">
        <v>986</v>
      </c>
      <c r="EC75" s="1605" t="s">
        <v>986</v>
      </c>
      <c r="ED75" s="1605" t="s">
        <v>986</v>
      </c>
      <c r="EE75" s="1605" t="s">
        <v>986</v>
      </c>
      <c r="EF75" s="1605" t="s">
        <v>986</v>
      </c>
      <c r="EG75" s="1605" t="s">
        <v>986</v>
      </c>
      <c r="EH75" s="1605" t="s">
        <v>986</v>
      </c>
      <c r="EI75" s="1605" t="s">
        <v>986</v>
      </c>
      <c r="EJ75" s="1605" t="s">
        <v>986</v>
      </c>
      <c r="EK75" s="1605" t="s">
        <v>986</v>
      </c>
      <c r="EL75" s="1605" t="s">
        <v>986</v>
      </c>
      <c r="EM75" s="1605" t="s">
        <v>986</v>
      </c>
      <c r="EN75" s="1605" t="s">
        <v>986</v>
      </c>
      <c r="EO75" s="1605" t="s">
        <v>986</v>
      </c>
      <c r="EP75" s="1605" t="s">
        <v>986</v>
      </c>
      <c r="EQ75" s="1605" t="s">
        <v>986</v>
      </c>
      <c r="ER75" s="1605" t="s">
        <v>986</v>
      </c>
      <c r="ES75" s="1605" t="s">
        <v>986</v>
      </c>
      <c r="ET75" s="1605" t="s">
        <v>986</v>
      </c>
      <c r="EU75" s="1605" t="s">
        <v>986</v>
      </c>
      <c r="EV75" s="1605" t="s">
        <v>986</v>
      </c>
      <c r="EW75" s="1605" t="s">
        <v>986</v>
      </c>
      <c r="EX75" s="1605" t="s">
        <v>986</v>
      </c>
      <c r="EY75" s="1605" t="s">
        <v>986</v>
      </c>
      <c r="EZ75" s="1605" t="s">
        <v>986</v>
      </c>
      <c r="FA75" s="1605" t="s">
        <v>986</v>
      </c>
      <c r="FB75" s="1605" t="s">
        <v>986</v>
      </c>
      <c r="FC75" s="1605" t="s">
        <v>986</v>
      </c>
      <c r="FD75" s="1605" t="s">
        <v>986</v>
      </c>
      <c r="FE75" s="1605" t="s">
        <v>986</v>
      </c>
      <c r="FF75" s="1605" t="s">
        <v>986</v>
      </c>
      <c r="FG75" s="1605" t="s">
        <v>986</v>
      </c>
      <c r="FH75" s="1605" t="s">
        <v>986</v>
      </c>
      <c r="FI75" s="1605" t="s">
        <v>986</v>
      </c>
      <c r="FJ75" s="1605" t="s">
        <v>986</v>
      </c>
      <c r="FK75" s="1605" t="s">
        <v>986</v>
      </c>
      <c r="FL75" s="1605" t="s">
        <v>986</v>
      </c>
      <c r="FM75" s="1605" t="s">
        <v>986</v>
      </c>
      <c r="FN75" s="1605" t="s">
        <v>986</v>
      </c>
      <c r="FO75" s="1605" t="s">
        <v>986</v>
      </c>
      <c r="FP75" s="1605" t="s">
        <v>986</v>
      </c>
      <c r="FQ75" s="1605" t="s">
        <v>986</v>
      </c>
      <c r="FR75" s="1605" t="s">
        <v>986</v>
      </c>
      <c r="FS75" s="1605" t="s">
        <v>986</v>
      </c>
      <c r="FT75" s="1605" t="s">
        <v>986</v>
      </c>
      <c r="FU75" s="1605" t="s">
        <v>986</v>
      </c>
      <c r="FV75" s="1605" t="s">
        <v>986</v>
      </c>
      <c r="FW75" s="1605" t="s">
        <v>986</v>
      </c>
      <c r="FX75" s="1605" t="s">
        <v>986</v>
      </c>
      <c r="FY75" s="1605" t="s">
        <v>986</v>
      </c>
      <c r="FZ75" s="1605" t="s">
        <v>986</v>
      </c>
      <c r="GA75" s="1605" t="s">
        <v>986</v>
      </c>
      <c r="GB75" s="1605" t="s">
        <v>986</v>
      </c>
      <c r="GC75" s="1605" t="s">
        <v>986</v>
      </c>
      <c r="GD75" s="1605" t="s">
        <v>986</v>
      </c>
      <c r="GE75" s="1605" t="s">
        <v>986</v>
      </c>
      <c r="GF75" s="1605" t="s">
        <v>986</v>
      </c>
      <c r="GG75" s="1605" t="s">
        <v>986</v>
      </c>
      <c r="GH75" s="1605" t="s">
        <v>986</v>
      </c>
      <c r="GI75" s="1605" t="s">
        <v>986</v>
      </c>
      <c r="GJ75" s="1605" t="s">
        <v>986</v>
      </c>
      <c r="GK75" s="1605" t="s">
        <v>986</v>
      </c>
      <c r="GL75" s="1605" t="s">
        <v>986</v>
      </c>
      <c r="GM75" s="1605" t="s">
        <v>986</v>
      </c>
      <c r="GN75" s="1605" t="s">
        <v>986</v>
      </c>
      <c r="GO75" s="1605" t="s">
        <v>986</v>
      </c>
      <c r="GP75" s="1605" t="s">
        <v>986</v>
      </c>
      <c r="GQ75" s="1605" t="s">
        <v>986</v>
      </c>
      <c r="GR75" s="1605" t="s">
        <v>986</v>
      </c>
      <c r="GS75" s="1605" t="s">
        <v>986</v>
      </c>
      <c r="GT75" s="1605" t="s">
        <v>986</v>
      </c>
      <c r="GU75" s="1605" t="s">
        <v>986</v>
      </c>
      <c r="GV75" s="1605" t="s">
        <v>986</v>
      </c>
      <c r="GW75" s="1605" t="s">
        <v>986</v>
      </c>
      <c r="GX75" s="1605" t="s">
        <v>986</v>
      </c>
      <c r="GY75" s="1605" t="s">
        <v>986</v>
      </c>
      <c r="GZ75" s="1605" t="s">
        <v>986</v>
      </c>
      <c r="HA75" s="1605" t="s">
        <v>986</v>
      </c>
      <c r="HB75" s="1605" t="s">
        <v>986</v>
      </c>
      <c r="HC75" s="1605" t="s">
        <v>986</v>
      </c>
      <c r="HD75" s="1605" t="s">
        <v>986</v>
      </c>
      <c r="HE75" s="1605" t="s">
        <v>986</v>
      </c>
      <c r="HF75" s="1605" t="s">
        <v>986</v>
      </c>
      <c r="HG75" s="1605" t="s">
        <v>986</v>
      </c>
      <c r="HH75" s="1605" t="s">
        <v>986</v>
      </c>
      <c r="HI75" s="1605" t="s">
        <v>986</v>
      </c>
      <c r="HJ75" s="1605" t="s">
        <v>986</v>
      </c>
      <c r="HK75" s="1605" t="s">
        <v>986</v>
      </c>
      <c r="HL75" s="1605" t="s">
        <v>986</v>
      </c>
      <c r="HM75" s="1605" t="s">
        <v>986</v>
      </c>
      <c r="HN75" s="1605" t="s">
        <v>986</v>
      </c>
      <c r="HO75" s="1605" t="s">
        <v>986</v>
      </c>
      <c r="HP75" s="1605" t="s">
        <v>986</v>
      </c>
      <c r="HQ75" s="1605" t="s">
        <v>986</v>
      </c>
      <c r="HR75" s="1605" t="s">
        <v>986</v>
      </c>
      <c r="HS75" s="1605" t="s">
        <v>986</v>
      </c>
      <c r="HT75" s="1605" t="s">
        <v>986</v>
      </c>
      <c r="HU75" s="1605" t="s">
        <v>986</v>
      </c>
      <c r="HV75" s="1617"/>
      <c r="HW75" s="1617">
        <v>0</v>
      </c>
      <c r="HX75" s="1617">
        <v>0</v>
      </c>
      <c r="HY75" s="1617">
        <v>0</v>
      </c>
      <c r="HZ75" s="1603"/>
      <c r="IA75" s="1603"/>
      <c r="IB75" s="1603"/>
      <c r="IC75" s="1603">
        <v>75</v>
      </c>
      <c r="ID75" s="1603">
        <v>75</v>
      </c>
      <c r="IE75" s="1603">
        <v>75</v>
      </c>
      <c r="IF75" s="1603">
        <v>75</v>
      </c>
      <c r="IG75" s="1611" t="s">
        <v>2932</v>
      </c>
      <c r="IH75" s="1616" t="s">
        <v>270</v>
      </c>
      <c r="II75" s="1615" t="s">
        <v>270</v>
      </c>
      <c r="IJ75" s="1613">
        <v>1.3101818181818183</v>
      </c>
      <c r="IK75" s="1613">
        <v>1.301848484848485</v>
      </c>
      <c r="IL75" s="1614">
        <v>1.3101818181818183</v>
      </c>
      <c r="IM75" s="1614">
        <v>1.301848484848485</v>
      </c>
      <c r="IN75" s="1612" t="s">
        <v>270</v>
      </c>
      <c r="IO75" s="1613" t="s">
        <v>270</v>
      </c>
      <c r="IP75" s="1607" t="s">
        <v>270</v>
      </c>
      <c r="IQ75" s="1612" t="s">
        <v>270</v>
      </c>
      <c r="IR75" s="1612" t="s">
        <v>270</v>
      </c>
      <c r="IS75" s="1607">
        <v>1.1881818181818182</v>
      </c>
      <c r="IT75" s="1607">
        <v>1.1798484848484849</v>
      </c>
      <c r="IU75" s="1611">
        <v>0</v>
      </c>
      <c r="IV75" s="1611">
        <v>7.7767676767676763E-2</v>
      </c>
      <c r="IW75" s="1611">
        <v>9.0909090909090909E-4</v>
      </c>
      <c r="IX75" s="1611">
        <v>1.6060606060606061E-3</v>
      </c>
      <c r="IY75" s="1611">
        <v>9.6969696969696957E-4</v>
      </c>
      <c r="IZ75" s="1611">
        <v>5.9898989898989896E-3</v>
      </c>
      <c r="JA75" s="1611">
        <v>6.0606060606060598E-5</v>
      </c>
      <c r="JB75" s="1611" t="s">
        <v>270</v>
      </c>
      <c r="JC75" s="1611">
        <v>9.9026969696969704</v>
      </c>
      <c r="JD75" s="1611">
        <v>5.2121212121212122E-3</v>
      </c>
      <c r="JE75" s="1611" t="s">
        <v>270</v>
      </c>
      <c r="JF75" s="1611">
        <v>8.2828282828282835E-4</v>
      </c>
      <c r="JG75" s="1611">
        <v>0.57978787878787885</v>
      </c>
      <c r="JH75" s="1611">
        <v>7.646464646464647E-3</v>
      </c>
      <c r="JI75" s="1611">
        <v>0.3</v>
      </c>
      <c r="JJ75" s="1611" t="s">
        <v>270</v>
      </c>
      <c r="JK75" s="1607">
        <f t="shared" si="10"/>
        <v>0.12200000000000011</v>
      </c>
      <c r="JL75" s="1608" t="s">
        <v>270</v>
      </c>
      <c r="JM75" s="1610" t="s">
        <v>2924</v>
      </c>
      <c r="JN75" s="1608">
        <v>8.3333333333333037E-3</v>
      </c>
      <c r="JO75" s="1609" t="s">
        <v>2931</v>
      </c>
      <c r="JP75" s="1608" t="s">
        <v>270</v>
      </c>
      <c r="JQ75" s="1607">
        <v>202103</v>
      </c>
      <c r="JR75" s="1606">
        <v>851</v>
      </c>
      <c r="JS75" s="1606">
        <v>774</v>
      </c>
      <c r="JT75" s="1606">
        <v>774</v>
      </c>
    </row>
    <row r="76" spans="1:280" ht="15" customHeight="1" x14ac:dyDescent="0.2">
      <c r="A76" s="1626">
        <v>88900</v>
      </c>
      <c r="B76" s="1625">
        <v>889</v>
      </c>
      <c r="C76" s="1624">
        <v>0</v>
      </c>
      <c r="D76" s="1623" t="s">
        <v>3606</v>
      </c>
      <c r="E76" s="1622">
        <v>43031</v>
      </c>
      <c r="F76" s="1620">
        <v>3.7704943592503599</v>
      </c>
      <c r="G76" s="1620">
        <v>3.62001550276204</v>
      </c>
      <c r="H76" s="1621">
        <v>97</v>
      </c>
      <c r="I76" s="1621">
        <v>97</v>
      </c>
      <c r="J76" s="1621">
        <v>90</v>
      </c>
      <c r="K76" s="1620">
        <v>1</v>
      </c>
      <c r="L76" s="1620">
        <v>98.5</v>
      </c>
      <c r="M76" s="1620">
        <v>9.9494949494949495E-5</v>
      </c>
      <c r="N76" s="1620">
        <v>98.5</v>
      </c>
      <c r="O76" s="1620">
        <v>0</v>
      </c>
      <c r="P76" s="1620">
        <v>0</v>
      </c>
      <c r="Q76" s="1603"/>
      <c r="R76" s="1620">
        <v>0</v>
      </c>
      <c r="S76" s="1620">
        <v>0</v>
      </c>
      <c r="T76" s="1620">
        <v>0</v>
      </c>
      <c r="U76" s="1620">
        <v>0</v>
      </c>
      <c r="V76" s="1620">
        <v>0</v>
      </c>
      <c r="W76" s="1620">
        <v>0</v>
      </c>
      <c r="X76" s="1620"/>
      <c r="Y76" s="1620">
        <v>0</v>
      </c>
      <c r="Z76" s="1620">
        <v>0</v>
      </c>
      <c r="AA76" s="1620">
        <v>0</v>
      </c>
      <c r="AB76" s="1620">
        <v>0</v>
      </c>
      <c r="AC76" s="1620">
        <v>0</v>
      </c>
      <c r="AD76" s="1620">
        <v>0</v>
      </c>
      <c r="AE76" s="1620">
        <v>0</v>
      </c>
      <c r="AF76" s="1620">
        <v>0</v>
      </c>
      <c r="AG76" s="1620">
        <v>0</v>
      </c>
      <c r="AH76" s="1620">
        <v>0</v>
      </c>
      <c r="AI76" s="1620">
        <v>0</v>
      </c>
      <c r="AJ76" s="1620">
        <v>0</v>
      </c>
      <c r="AK76" s="1620">
        <v>0</v>
      </c>
      <c r="AL76" s="1620"/>
      <c r="AM76" s="1620">
        <v>0</v>
      </c>
      <c r="AN76" s="1620">
        <v>0</v>
      </c>
      <c r="AO76" s="1620">
        <v>0</v>
      </c>
      <c r="AP76" s="1620">
        <v>0</v>
      </c>
      <c r="AQ76" s="1620">
        <v>0</v>
      </c>
      <c r="AR76" s="1620">
        <v>0</v>
      </c>
      <c r="AS76" s="1620">
        <v>0</v>
      </c>
      <c r="AT76" s="1620">
        <v>0</v>
      </c>
      <c r="AU76" s="1620">
        <v>0</v>
      </c>
      <c r="AV76" s="1620">
        <v>0</v>
      </c>
      <c r="AW76" s="1620">
        <v>0</v>
      </c>
      <c r="AX76" s="1620"/>
      <c r="AY76" s="1620">
        <v>1</v>
      </c>
      <c r="AZ76" s="1620">
        <v>1</v>
      </c>
      <c r="BA76" s="1620">
        <v>1</v>
      </c>
      <c r="BB76" s="1620">
        <v>1</v>
      </c>
      <c r="BC76" s="1620">
        <v>1</v>
      </c>
      <c r="BD76" s="1620">
        <v>1</v>
      </c>
      <c r="BE76" s="1620">
        <v>1</v>
      </c>
      <c r="BF76" s="1620">
        <v>1</v>
      </c>
      <c r="BG76" s="1620">
        <v>1</v>
      </c>
      <c r="BH76" s="1620">
        <v>1</v>
      </c>
      <c r="BI76" s="1620">
        <v>1</v>
      </c>
      <c r="BJ76" s="1603"/>
      <c r="BK76" s="1620">
        <v>1.0101010101010101E-4</v>
      </c>
      <c r="BL76" s="1620">
        <v>100</v>
      </c>
      <c r="BM76" s="1620">
        <v>0</v>
      </c>
      <c r="BN76" s="1620">
        <v>0</v>
      </c>
      <c r="BO76" s="1620"/>
      <c r="BP76" s="1620">
        <v>57</v>
      </c>
      <c r="BQ76" s="1620">
        <v>570.00000000000011</v>
      </c>
      <c r="BR76" s="1620">
        <v>3.8279130550765075</v>
      </c>
      <c r="BS76" s="1620">
        <v>3.67514264239801</v>
      </c>
      <c r="BT76" s="1603"/>
      <c r="BU76" s="1620">
        <v>1000</v>
      </c>
      <c r="BV76" s="1620">
        <v>-9.1919191907823157E-4</v>
      </c>
      <c r="BW76" s="1620">
        <v>0</v>
      </c>
      <c r="BX76" s="1620">
        <v>0</v>
      </c>
      <c r="BY76" s="1620">
        <v>0</v>
      </c>
      <c r="BZ76" s="1620">
        <v>0</v>
      </c>
      <c r="CA76" s="1620">
        <v>0</v>
      </c>
      <c r="CB76" s="1603"/>
      <c r="CC76" s="1603">
        <v>0</v>
      </c>
      <c r="CD76" s="1603">
        <v>0</v>
      </c>
      <c r="CE76" s="1603">
        <v>0</v>
      </c>
      <c r="CF76" s="1603">
        <v>0</v>
      </c>
      <c r="CG76" s="1603">
        <v>0</v>
      </c>
      <c r="CH76" s="1603">
        <v>0</v>
      </c>
      <c r="CI76" s="1603">
        <v>0</v>
      </c>
      <c r="CJ76" s="1603"/>
      <c r="CK76" s="1603">
        <v>0</v>
      </c>
      <c r="CL76" s="1603">
        <v>0</v>
      </c>
      <c r="CM76" s="1603">
        <v>0</v>
      </c>
      <c r="CN76" s="1603">
        <v>0</v>
      </c>
      <c r="CO76" s="1603">
        <v>0</v>
      </c>
      <c r="CP76" s="1603">
        <v>0</v>
      </c>
      <c r="CQ76" s="1603">
        <v>0</v>
      </c>
      <c r="CR76" s="1603">
        <v>0</v>
      </c>
      <c r="CS76" s="1603">
        <v>0</v>
      </c>
      <c r="CT76" s="1603">
        <v>0</v>
      </c>
      <c r="CU76" s="1603">
        <v>0</v>
      </c>
      <c r="CV76" s="1603">
        <v>0</v>
      </c>
      <c r="CW76" s="1603">
        <v>0</v>
      </c>
      <c r="CX76" s="1603">
        <v>0</v>
      </c>
      <c r="CY76" s="1603">
        <v>0</v>
      </c>
      <c r="CZ76" s="1603">
        <v>0</v>
      </c>
      <c r="DA76" s="1603">
        <v>0</v>
      </c>
      <c r="DB76" s="1603">
        <v>0</v>
      </c>
      <c r="DC76" s="1603">
        <v>0</v>
      </c>
      <c r="DD76" s="1603">
        <v>0</v>
      </c>
      <c r="DE76" s="1603">
        <v>0</v>
      </c>
      <c r="DF76" s="1603">
        <v>0</v>
      </c>
      <c r="DG76" s="1603">
        <v>0</v>
      </c>
      <c r="DH76" s="1603">
        <v>0</v>
      </c>
      <c r="DI76" s="1603">
        <v>0</v>
      </c>
      <c r="DJ76" s="1603">
        <v>0</v>
      </c>
      <c r="DK76" s="1603">
        <v>0</v>
      </c>
      <c r="DL76" s="1603">
        <v>0</v>
      </c>
      <c r="DM76" s="1603">
        <v>0</v>
      </c>
      <c r="DN76" s="1603">
        <v>0</v>
      </c>
      <c r="DO76" s="1603">
        <v>0</v>
      </c>
      <c r="DP76" s="1603">
        <v>0</v>
      </c>
      <c r="DQ76" s="1603">
        <v>0</v>
      </c>
      <c r="DR76" s="1603">
        <v>0</v>
      </c>
      <c r="DS76" s="1603">
        <v>0</v>
      </c>
      <c r="DT76" s="1603">
        <v>0</v>
      </c>
      <c r="DU76" s="1603">
        <v>0</v>
      </c>
      <c r="DV76" s="1603">
        <v>0</v>
      </c>
      <c r="DW76" s="1618" t="s">
        <v>3605</v>
      </c>
      <c r="DX76" s="1605" t="s">
        <v>986</v>
      </c>
      <c r="DY76" s="1605" t="s">
        <v>986</v>
      </c>
      <c r="DZ76" s="1605" t="s">
        <v>986</v>
      </c>
      <c r="EA76" s="1605" t="s">
        <v>986</v>
      </c>
      <c r="EB76" s="1605" t="s">
        <v>986</v>
      </c>
      <c r="EC76" s="1605" t="s">
        <v>986</v>
      </c>
      <c r="ED76" s="1605" t="s">
        <v>986</v>
      </c>
      <c r="EE76" s="1605" t="s">
        <v>986</v>
      </c>
      <c r="EF76" s="1605" t="s">
        <v>986</v>
      </c>
      <c r="EG76" s="1605" t="s">
        <v>986</v>
      </c>
      <c r="EH76" s="1605" t="s">
        <v>986</v>
      </c>
      <c r="EI76" s="1605" t="s">
        <v>986</v>
      </c>
      <c r="EJ76" s="1605" t="s">
        <v>986</v>
      </c>
      <c r="EK76" s="1605" t="s">
        <v>986</v>
      </c>
      <c r="EL76" s="1605" t="s">
        <v>986</v>
      </c>
      <c r="EM76" s="1605" t="s">
        <v>986</v>
      </c>
      <c r="EN76" s="1605" t="s">
        <v>986</v>
      </c>
      <c r="EO76" s="1605" t="s">
        <v>986</v>
      </c>
      <c r="EP76" s="1605" t="s">
        <v>986</v>
      </c>
      <c r="EQ76" s="1605" t="s">
        <v>986</v>
      </c>
      <c r="ER76" s="1605" t="s">
        <v>986</v>
      </c>
      <c r="ES76" s="1605" t="s">
        <v>986</v>
      </c>
      <c r="ET76" s="1605" t="s">
        <v>986</v>
      </c>
      <c r="EU76" s="1605" t="s">
        <v>986</v>
      </c>
      <c r="EV76" s="1605" t="s">
        <v>986</v>
      </c>
      <c r="EW76" s="1605" t="s">
        <v>986</v>
      </c>
      <c r="EX76" s="1605" t="s">
        <v>986</v>
      </c>
      <c r="EY76" s="1605" t="s">
        <v>986</v>
      </c>
      <c r="EZ76" s="1605" t="s">
        <v>986</v>
      </c>
      <c r="FA76" s="1605" t="s">
        <v>986</v>
      </c>
      <c r="FB76" s="1605" t="s">
        <v>986</v>
      </c>
      <c r="FC76" s="1605" t="s">
        <v>986</v>
      </c>
      <c r="FD76" s="1605" t="s">
        <v>986</v>
      </c>
      <c r="FE76" s="1605" t="s">
        <v>986</v>
      </c>
      <c r="FF76" s="1605" t="s">
        <v>986</v>
      </c>
      <c r="FG76" s="1605" t="s">
        <v>986</v>
      </c>
      <c r="FH76" s="1605" t="s">
        <v>986</v>
      </c>
      <c r="FI76" s="1605" t="s">
        <v>986</v>
      </c>
      <c r="FJ76" s="1605" t="s">
        <v>986</v>
      </c>
      <c r="FK76" s="1605" t="s">
        <v>986</v>
      </c>
      <c r="FL76" s="1605" t="s">
        <v>986</v>
      </c>
      <c r="FM76" s="1605" t="s">
        <v>986</v>
      </c>
      <c r="FN76" s="1605" t="s">
        <v>986</v>
      </c>
      <c r="FO76" s="1605" t="s">
        <v>986</v>
      </c>
      <c r="FP76" s="1605" t="s">
        <v>986</v>
      </c>
      <c r="FQ76" s="1605" t="s">
        <v>986</v>
      </c>
      <c r="FR76" s="1605" t="s">
        <v>986</v>
      </c>
      <c r="FS76" s="1605" t="s">
        <v>986</v>
      </c>
      <c r="FT76" s="1605" t="s">
        <v>986</v>
      </c>
      <c r="FU76" s="1605" t="s">
        <v>986</v>
      </c>
      <c r="FV76" s="1605" t="s">
        <v>986</v>
      </c>
      <c r="FW76" s="1605" t="s">
        <v>986</v>
      </c>
      <c r="FX76" s="1605" t="s">
        <v>986</v>
      </c>
      <c r="FY76" s="1605" t="s">
        <v>986</v>
      </c>
      <c r="FZ76" s="1605" t="s">
        <v>986</v>
      </c>
      <c r="GA76" s="1605" t="s">
        <v>986</v>
      </c>
      <c r="GB76" s="1605" t="s">
        <v>986</v>
      </c>
      <c r="GC76" s="1605" t="s">
        <v>986</v>
      </c>
      <c r="GD76" s="1605" t="s">
        <v>986</v>
      </c>
      <c r="GE76" s="1605" t="s">
        <v>986</v>
      </c>
      <c r="GF76" s="1605" t="s">
        <v>986</v>
      </c>
      <c r="GG76" s="1605" t="s">
        <v>986</v>
      </c>
      <c r="GH76" s="1605" t="s">
        <v>986</v>
      </c>
      <c r="GI76" s="1605" t="s">
        <v>986</v>
      </c>
      <c r="GJ76" s="1605" t="s">
        <v>986</v>
      </c>
      <c r="GK76" s="1605" t="s">
        <v>986</v>
      </c>
      <c r="GL76" s="1605" t="s">
        <v>986</v>
      </c>
      <c r="GM76" s="1605" t="s">
        <v>986</v>
      </c>
      <c r="GN76" s="1605" t="s">
        <v>986</v>
      </c>
      <c r="GO76" s="1605" t="s">
        <v>986</v>
      </c>
      <c r="GP76" s="1605" t="s">
        <v>986</v>
      </c>
      <c r="GQ76" s="1605" t="s">
        <v>986</v>
      </c>
      <c r="GR76" s="1605" t="s">
        <v>986</v>
      </c>
      <c r="GS76" s="1605" t="s">
        <v>986</v>
      </c>
      <c r="GT76" s="1605" t="s">
        <v>986</v>
      </c>
      <c r="GU76" s="1605" t="s">
        <v>986</v>
      </c>
      <c r="GV76" s="1605" t="s">
        <v>986</v>
      </c>
      <c r="GW76" s="1605" t="s">
        <v>986</v>
      </c>
      <c r="GX76" s="1605" t="s">
        <v>986</v>
      </c>
      <c r="GY76" s="1605" t="s">
        <v>986</v>
      </c>
      <c r="GZ76" s="1605" t="s">
        <v>986</v>
      </c>
      <c r="HA76" s="1605" t="s">
        <v>986</v>
      </c>
      <c r="HB76" s="1605" t="s">
        <v>986</v>
      </c>
      <c r="HC76" s="1605" t="s">
        <v>986</v>
      </c>
      <c r="HD76" s="1605" t="s">
        <v>986</v>
      </c>
      <c r="HE76" s="1605" t="s">
        <v>986</v>
      </c>
      <c r="HF76" s="1605" t="s">
        <v>986</v>
      </c>
      <c r="HG76" s="1605" t="s">
        <v>986</v>
      </c>
      <c r="HH76" s="1605" t="s">
        <v>986</v>
      </c>
      <c r="HI76" s="1605" t="s">
        <v>986</v>
      </c>
      <c r="HJ76" s="1605" t="s">
        <v>986</v>
      </c>
      <c r="HK76" s="1605" t="s">
        <v>986</v>
      </c>
      <c r="HL76" s="1605" t="s">
        <v>986</v>
      </c>
      <c r="HM76" s="1605" t="s">
        <v>986</v>
      </c>
      <c r="HN76" s="1605" t="s">
        <v>986</v>
      </c>
      <c r="HO76" s="1605" t="s">
        <v>986</v>
      </c>
      <c r="HP76" s="1605" t="s">
        <v>986</v>
      </c>
      <c r="HQ76" s="1605" t="s">
        <v>986</v>
      </c>
      <c r="HR76" s="1605" t="s">
        <v>986</v>
      </c>
      <c r="HS76" s="1605" t="s">
        <v>986</v>
      </c>
      <c r="HT76" s="1605" t="s">
        <v>986</v>
      </c>
      <c r="HU76" s="1605" t="s">
        <v>986</v>
      </c>
      <c r="HV76" s="1617"/>
      <c r="HW76" s="1617" t="s">
        <v>2952</v>
      </c>
      <c r="HX76" s="1617" t="s">
        <v>2952</v>
      </c>
      <c r="HY76" s="1617">
        <v>0</v>
      </c>
      <c r="HZ76" s="1603"/>
      <c r="IA76" s="1603"/>
      <c r="IB76" s="1603"/>
      <c r="IC76" s="1603">
        <v>0</v>
      </c>
      <c r="ID76" s="1603">
        <v>0</v>
      </c>
      <c r="IE76" s="1603">
        <v>0</v>
      </c>
      <c r="IF76" s="1603">
        <v>0</v>
      </c>
      <c r="IG76" s="1611" t="s">
        <v>2959</v>
      </c>
      <c r="IH76" s="1616" t="s">
        <v>3604</v>
      </c>
      <c r="II76" s="1615" t="s">
        <v>3603</v>
      </c>
      <c r="IJ76" s="1613">
        <v>7.6681007990289975</v>
      </c>
      <c r="IK76" s="1613">
        <v>6.2681201480212394</v>
      </c>
      <c r="IL76" s="1614">
        <v>7.6681007990289975</v>
      </c>
      <c r="IM76" s="1614">
        <v>6.2681201480212394</v>
      </c>
      <c r="IN76" s="1612">
        <v>1.766</v>
      </c>
      <c r="IO76" s="1613">
        <v>-5.9021007990289975</v>
      </c>
      <c r="IP76" s="1607">
        <v>1.8906403069544322</v>
      </c>
      <c r="IQ76" s="1612">
        <v>1.42</v>
      </c>
      <c r="IR76" s="1612">
        <v>1.8540000000000001</v>
      </c>
      <c r="IS76" s="1607">
        <v>7.3321007990289973</v>
      </c>
      <c r="IT76" s="1607">
        <v>5.9321201480212391</v>
      </c>
      <c r="IU76" s="1611">
        <v>1.9384662350829649E-5</v>
      </c>
      <c r="IV76" s="1611">
        <v>1.3137838900208091E-2</v>
      </c>
      <c r="IW76" s="1611">
        <v>6.6765739054131289E-3</v>
      </c>
      <c r="IX76" s="1611">
        <v>2.5948209533887411E-3</v>
      </c>
      <c r="IY76" s="1611">
        <v>6.7115525178264258E-3</v>
      </c>
      <c r="IZ76" s="1611">
        <v>1.1466446360438191E-2</v>
      </c>
      <c r="JA76" s="1611">
        <v>3.4572359475268545E-4</v>
      </c>
      <c r="JB76" s="1611">
        <v>3.5534017170367879E-3</v>
      </c>
      <c r="JC76" s="1611">
        <v>1.4902294704219972</v>
      </c>
      <c r="JD76" s="1611">
        <v>4.8364795852513194E-2</v>
      </c>
      <c r="JE76" s="1611">
        <v>4.2122831829423335E-2</v>
      </c>
      <c r="JF76" s="1611">
        <v>2.4480398462098816E-3</v>
      </c>
      <c r="JG76" s="1611">
        <v>0.36581119748087743</v>
      </c>
      <c r="JH76" s="1611">
        <v>1.8544278866987121E-3</v>
      </c>
      <c r="JI76" s="1611">
        <v>0.21779297030119302</v>
      </c>
      <c r="JJ76" s="1611">
        <v>1.3543553989974393E-3</v>
      </c>
      <c r="JK76" s="1607">
        <f t="shared" si="10"/>
        <v>0.3360000000000003</v>
      </c>
      <c r="JL76" s="1608" t="s">
        <v>270</v>
      </c>
      <c r="JM76" s="1610" t="s">
        <v>2924</v>
      </c>
      <c r="JN76" s="1608">
        <v>1.3999806510077581</v>
      </c>
      <c r="JO76" s="1609" t="s">
        <v>2958</v>
      </c>
      <c r="JP76" s="1608" t="s">
        <v>270</v>
      </c>
      <c r="JQ76" s="1607">
        <v>201901</v>
      </c>
      <c r="JR76" s="1606">
        <v>140</v>
      </c>
      <c r="JS76" s="1606" t="s">
        <v>270</v>
      </c>
      <c r="JT76" s="1606" t="s">
        <v>270</v>
      </c>
    </row>
    <row r="77" spans="1:280" ht="15" customHeight="1" x14ac:dyDescent="0.2">
      <c r="A77" s="1626">
        <v>72600</v>
      </c>
      <c r="B77" s="1625">
        <v>726</v>
      </c>
      <c r="C77" s="1624">
        <v>0</v>
      </c>
      <c r="D77" s="1623" t="s">
        <v>3602</v>
      </c>
      <c r="E77" s="1622">
        <v>43031</v>
      </c>
      <c r="F77" s="1620">
        <v>1.2529276351783201</v>
      </c>
      <c r="G77" s="1620">
        <v>1.20085791527481</v>
      </c>
      <c r="H77" s="1621">
        <v>100</v>
      </c>
      <c r="I77" s="1621">
        <v>100</v>
      </c>
      <c r="J77" s="1621">
        <v>91</v>
      </c>
      <c r="K77" s="1620">
        <v>1</v>
      </c>
      <c r="L77" s="1620">
        <v>85.2</v>
      </c>
      <c r="M77" s="1620">
        <v>0.70000320000000005</v>
      </c>
      <c r="N77" s="1620">
        <v>9.99999999999997E-2</v>
      </c>
      <c r="O77" s="1620">
        <v>5.8</v>
      </c>
      <c r="P77" s="1620">
        <v>0</v>
      </c>
      <c r="Q77" s="1603"/>
      <c r="R77" s="1620">
        <v>50</v>
      </c>
      <c r="S77" s="1620">
        <v>67</v>
      </c>
      <c r="T77" s="1620">
        <v>60.089430894308897</v>
      </c>
      <c r="U77" s="1620">
        <v>57.325203252032502</v>
      </c>
      <c r="V77" s="1620">
        <v>54.837398373983703</v>
      </c>
      <c r="W77" s="1620">
        <v>53.178861788617901</v>
      </c>
      <c r="X77" s="1620"/>
      <c r="Y77" s="1620">
        <v>4.9999999999999996E-2</v>
      </c>
      <c r="Z77" s="1620">
        <v>0.90999999999999992</v>
      </c>
      <c r="AA77" s="1620">
        <v>22.3</v>
      </c>
      <c r="AB77" s="1620">
        <v>0</v>
      </c>
      <c r="AC77" s="1620">
        <v>49</v>
      </c>
      <c r="AD77" s="1620">
        <v>4</v>
      </c>
      <c r="AE77" s="1620">
        <v>6.6999999999999984</v>
      </c>
      <c r="AF77" s="1620">
        <v>150</v>
      </c>
      <c r="AG77" s="1620">
        <v>4.5999999999999996</v>
      </c>
      <c r="AH77" s="1620">
        <v>13.000000000000002</v>
      </c>
      <c r="AI77" s="1620">
        <v>7.7999999999999989</v>
      </c>
      <c r="AJ77" s="1620">
        <v>0</v>
      </c>
      <c r="AK77" s="1620">
        <v>0.44</v>
      </c>
      <c r="AL77" s="1620"/>
      <c r="AM77" s="1620">
        <v>0</v>
      </c>
      <c r="AN77" s="1620">
        <v>0</v>
      </c>
      <c r="AO77" s="1620">
        <v>0</v>
      </c>
      <c r="AP77" s="1620">
        <v>0</v>
      </c>
      <c r="AQ77" s="1620">
        <v>0</v>
      </c>
      <c r="AR77" s="1620">
        <v>0</v>
      </c>
      <c r="AS77" s="1620">
        <v>0</v>
      </c>
      <c r="AT77" s="1620">
        <v>0</v>
      </c>
      <c r="AU77" s="1620">
        <v>0</v>
      </c>
      <c r="AV77" s="1620">
        <v>0</v>
      </c>
      <c r="AW77" s="1620">
        <v>0</v>
      </c>
      <c r="AX77" s="1620"/>
      <c r="AY77" s="1620">
        <v>1</v>
      </c>
      <c r="AZ77" s="1620">
        <v>1</v>
      </c>
      <c r="BA77" s="1620">
        <v>1</v>
      </c>
      <c r="BB77" s="1620">
        <v>1</v>
      </c>
      <c r="BC77" s="1620">
        <v>1</v>
      </c>
      <c r="BD77" s="1620">
        <v>1</v>
      </c>
      <c r="BE77" s="1620">
        <v>1</v>
      </c>
      <c r="BF77" s="1620">
        <v>1</v>
      </c>
      <c r="BG77" s="1620">
        <v>1</v>
      </c>
      <c r="BH77" s="1620">
        <v>1</v>
      </c>
      <c r="BI77" s="1620">
        <v>1</v>
      </c>
      <c r="BJ77" s="1603"/>
      <c r="BK77" s="1620">
        <v>0.8216</v>
      </c>
      <c r="BL77" s="1620">
        <v>0.11737089201877898</v>
      </c>
      <c r="BM77" s="1620">
        <v>6.807511737089202</v>
      </c>
      <c r="BN77" s="1620">
        <v>0</v>
      </c>
      <c r="BO77" s="1620"/>
      <c r="BP77" s="1620">
        <v>0</v>
      </c>
      <c r="BQ77" s="1620">
        <v>0</v>
      </c>
      <c r="BR77" s="1620">
        <v>1.4705723417585914</v>
      </c>
      <c r="BS77" s="1620">
        <v>1.4094576470361619</v>
      </c>
      <c r="BT77" s="1603"/>
      <c r="BU77" s="1620">
        <v>931.92488262910797</v>
      </c>
      <c r="BV77" s="1620">
        <v>923.30982497652565</v>
      </c>
      <c r="BW77" s="1620">
        <v>0</v>
      </c>
      <c r="BX77" s="1620">
        <v>0</v>
      </c>
      <c r="BY77" s="1620">
        <v>0</v>
      </c>
      <c r="BZ77" s="1620">
        <v>0</v>
      </c>
      <c r="CA77" s="1620">
        <v>0</v>
      </c>
      <c r="CB77" s="1603"/>
      <c r="CC77" s="1603">
        <v>4.2599999999999992E-2</v>
      </c>
      <c r="CD77" s="1603">
        <v>0.7753199999999999</v>
      </c>
      <c r="CE77" s="1603">
        <v>18.999600000000001</v>
      </c>
      <c r="CF77" s="1603">
        <v>0</v>
      </c>
      <c r="CG77" s="1603">
        <v>41.747999999999998</v>
      </c>
      <c r="CH77" s="1603">
        <v>3.4079999999999999</v>
      </c>
      <c r="CI77" s="1603">
        <v>5.7083999999999984</v>
      </c>
      <c r="CJ77" s="1603"/>
      <c r="CK77" s="1603">
        <v>127.8</v>
      </c>
      <c r="CL77" s="1603">
        <v>3.9191999999999996</v>
      </c>
      <c r="CM77" s="1603">
        <v>11.076000000000001</v>
      </c>
      <c r="CN77" s="1603">
        <v>6.6455999999999991</v>
      </c>
      <c r="CO77" s="1603">
        <v>0</v>
      </c>
      <c r="CP77" s="1603">
        <v>0.37487999999999999</v>
      </c>
      <c r="CQ77" s="1603">
        <v>3.500016</v>
      </c>
      <c r="CR77" s="1603">
        <v>2.7934701907200474</v>
      </c>
      <c r="CS77" s="1603">
        <v>0</v>
      </c>
      <c r="CT77" s="1603">
        <v>0</v>
      </c>
      <c r="CU77" s="1603">
        <v>0</v>
      </c>
      <c r="CV77" s="1603">
        <v>0</v>
      </c>
      <c r="CW77" s="1603">
        <v>0</v>
      </c>
      <c r="CX77" s="1603">
        <v>0</v>
      </c>
      <c r="CY77" s="1603">
        <v>0</v>
      </c>
      <c r="CZ77" s="1603">
        <v>0</v>
      </c>
      <c r="DA77" s="1603">
        <v>0</v>
      </c>
      <c r="DB77" s="1603">
        <v>0</v>
      </c>
      <c r="DC77" s="1603">
        <v>0</v>
      </c>
      <c r="DD77" s="1603">
        <v>0</v>
      </c>
      <c r="DE77" s="1603">
        <v>0</v>
      </c>
      <c r="DF77" s="1603">
        <v>0</v>
      </c>
      <c r="DG77" s="1603">
        <v>0</v>
      </c>
      <c r="DH77" s="1603">
        <v>0</v>
      </c>
      <c r="DI77" s="1603">
        <v>0</v>
      </c>
      <c r="DJ77" s="1603">
        <v>0</v>
      </c>
      <c r="DK77" s="1603">
        <v>0</v>
      </c>
      <c r="DL77" s="1603">
        <v>0</v>
      </c>
      <c r="DM77" s="1603">
        <v>0</v>
      </c>
      <c r="DN77" s="1603">
        <v>0</v>
      </c>
      <c r="DO77" s="1603">
        <v>0</v>
      </c>
      <c r="DP77" s="1603">
        <v>0</v>
      </c>
      <c r="DQ77" s="1603">
        <v>0</v>
      </c>
      <c r="DR77" s="1603">
        <v>0</v>
      </c>
      <c r="DS77" s="1603">
        <v>0</v>
      </c>
      <c r="DT77" s="1603">
        <v>0</v>
      </c>
      <c r="DU77" s="1603">
        <v>0</v>
      </c>
      <c r="DV77" s="1603">
        <v>0</v>
      </c>
      <c r="DW77" s="1618" t="s">
        <v>3601</v>
      </c>
      <c r="DX77" s="1605" t="s">
        <v>986</v>
      </c>
      <c r="DY77" s="1605" t="s">
        <v>986</v>
      </c>
      <c r="DZ77" s="1605" t="s">
        <v>986</v>
      </c>
      <c r="EA77" s="1605" t="s">
        <v>986</v>
      </c>
      <c r="EB77" s="1605" t="s">
        <v>986</v>
      </c>
      <c r="EC77" s="1605" t="s">
        <v>986</v>
      </c>
      <c r="ED77" s="1605" t="s">
        <v>986</v>
      </c>
      <c r="EE77" s="1605" t="s">
        <v>986</v>
      </c>
      <c r="EF77" s="1605" t="s">
        <v>986</v>
      </c>
      <c r="EG77" s="1605" t="s">
        <v>986</v>
      </c>
      <c r="EH77" s="1605" t="s">
        <v>986</v>
      </c>
      <c r="EI77" s="1605" t="s">
        <v>986</v>
      </c>
      <c r="EJ77" s="1605" t="s">
        <v>986</v>
      </c>
      <c r="EK77" s="1605" t="s">
        <v>986</v>
      </c>
      <c r="EL77" s="1605" t="s">
        <v>986</v>
      </c>
      <c r="EM77" s="1605" t="s">
        <v>986</v>
      </c>
      <c r="EN77" s="1605" t="s">
        <v>986</v>
      </c>
      <c r="EO77" s="1605" t="s">
        <v>986</v>
      </c>
      <c r="EP77" s="1605" t="s">
        <v>986</v>
      </c>
      <c r="EQ77" s="1605" t="s">
        <v>986</v>
      </c>
      <c r="ER77" s="1605" t="s">
        <v>986</v>
      </c>
      <c r="ES77" s="1605" t="s">
        <v>986</v>
      </c>
      <c r="ET77" s="1605" t="s">
        <v>986</v>
      </c>
      <c r="EU77" s="1605" t="s">
        <v>986</v>
      </c>
      <c r="EV77" s="1605" t="s">
        <v>986</v>
      </c>
      <c r="EW77" s="1605" t="s">
        <v>986</v>
      </c>
      <c r="EX77" s="1605" t="s">
        <v>986</v>
      </c>
      <c r="EY77" s="1605" t="s">
        <v>986</v>
      </c>
      <c r="EZ77" s="1605" t="s">
        <v>986</v>
      </c>
      <c r="FA77" s="1605" t="s">
        <v>986</v>
      </c>
      <c r="FB77" s="1605" t="s">
        <v>986</v>
      </c>
      <c r="FC77" s="1605" t="s">
        <v>986</v>
      </c>
      <c r="FD77" s="1605" t="s">
        <v>986</v>
      </c>
      <c r="FE77" s="1605" t="s">
        <v>986</v>
      </c>
      <c r="FF77" s="1605" t="s">
        <v>986</v>
      </c>
      <c r="FG77" s="1605" t="s">
        <v>986</v>
      </c>
      <c r="FH77" s="1605" t="s">
        <v>986</v>
      </c>
      <c r="FI77" s="1605" t="s">
        <v>986</v>
      </c>
      <c r="FJ77" s="1605" t="s">
        <v>986</v>
      </c>
      <c r="FK77" s="1605" t="s">
        <v>986</v>
      </c>
      <c r="FL77" s="1605" t="s">
        <v>986</v>
      </c>
      <c r="FM77" s="1605" t="s">
        <v>986</v>
      </c>
      <c r="FN77" s="1605" t="s">
        <v>986</v>
      </c>
      <c r="FO77" s="1605" t="s">
        <v>986</v>
      </c>
      <c r="FP77" s="1605" t="s">
        <v>986</v>
      </c>
      <c r="FQ77" s="1605" t="s">
        <v>986</v>
      </c>
      <c r="FR77" s="1605" t="s">
        <v>986</v>
      </c>
      <c r="FS77" s="1605" t="s">
        <v>986</v>
      </c>
      <c r="FT77" s="1605" t="s">
        <v>986</v>
      </c>
      <c r="FU77" s="1605" t="s">
        <v>986</v>
      </c>
      <c r="FV77" s="1605" t="s">
        <v>986</v>
      </c>
      <c r="FW77" s="1605" t="s">
        <v>986</v>
      </c>
      <c r="FX77" s="1605" t="s">
        <v>986</v>
      </c>
      <c r="FY77" s="1605" t="s">
        <v>986</v>
      </c>
      <c r="FZ77" s="1605" t="s">
        <v>986</v>
      </c>
      <c r="GA77" s="1605" t="s">
        <v>986</v>
      </c>
      <c r="GB77" s="1605" t="s">
        <v>986</v>
      </c>
      <c r="GC77" s="1605" t="s">
        <v>986</v>
      </c>
      <c r="GD77" s="1605" t="s">
        <v>986</v>
      </c>
      <c r="GE77" s="1605" t="s">
        <v>986</v>
      </c>
      <c r="GF77" s="1605" t="s">
        <v>986</v>
      </c>
      <c r="GG77" s="1605" t="s">
        <v>986</v>
      </c>
      <c r="GH77" s="1605" t="s">
        <v>986</v>
      </c>
      <c r="GI77" s="1605" t="s">
        <v>986</v>
      </c>
      <c r="GJ77" s="1605" t="s">
        <v>986</v>
      </c>
      <c r="GK77" s="1605" t="s">
        <v>986</v>
      </c>
      <c r="GL77" s="1605" t="s">
        <v>986</v>
      </c>
      <c r="GM77" s="1605" t="s">
        <v>986</v>
      </c>
      <c r="GN77" s="1605" t="s">
        <v>986</v>
      </c>
      <c r="GO77" s="1605" t="s">
        <v>986</v>
      </c>
      <c r="GP77" s="1605" t="s">
        <v>986</v>
      </c>
      <c r="GQ77" s="1605" t="s">
        <v>986</v>
      </c>
      <c r="GR77" s="1605" t="s">
        <v>986</v>
      </c>
      <c r="GS77" s="1605" t="s">
        <v>986</v>
      </c>
      <c r="GT77" s="1605" t="s">
        <v>986</v>
      </c>
      <c r="GU77" s="1605" t="s">
        <v>986</v>
      </c>
      <c r="GV77" s="1605" t="s">
        <v>986</v>
      </c>
      <c r="GW77" s="1605" t="s">
        <v>986</v>
      </c>
      <c r="GX77" s="1605" t="s">
        <v>986</v>
      </c>
      <c r="GY77" s="1605" t="s">
        <v>986</v>
      </c>
      <c r="GZ77" s="1605" t="s">
        <v>986</v>
      </c>
      <c r="HA77" s="1605" t="s">
        <v>986</v>
      </c>
      <c r="HB77" s="1605" t="s">
        <v>986</v>
      </c>
      <c r="HC77" s="1605" t="s">
        <v>986</v>
      </c>
      <c r="HD77" s="1605" t="s">
        <v>986</v>
      </c>
      <c r="HE77" s="1605" t="s">
        <v>986</v>
      </c>
      <c r="HF77" s="1605" t="s">
        <v>986</v>
      </c>
      <c r="HG77" s="1605" t="s">
        <v>986</v>
      </c>
      <c r="HH77" s="1605" t="s">
        <v>986</v>
      </c>
      <c r="HI77" s="1605" t="s">
        <v>986</v>
      </c>
      <c r="HJ77" s="1605" t="s">
        <v>986</v>
      </c>
      <c r="HK77" s="1605" t="s">
        <v>986</v>
      </c>
      <c r="HL77" s="1605" t="s">
        <v>986</v>
      </c>
      <c r="HM77" s="1605" t="s">
        <v>986</v>
      </c>
      <c r="HN77" s="1605" t="s">
        <v>986</v>
      </c>
      <c r="HO77" s="1605" t="s">
        <v>986</v>
      </c>
      <c r="HP77" s="1605" t="s">
        <v>986</v>
      </c>
      <c r="HQ77" s="1605" t="s">
        <v>986</v>
      </c>
      <c r="HR77" s="1605" t="s">
        <v>986</v>
      </c>
      <c r="HS77" s="1605" t="s">
        <v>986</v>
      </c>
      <c r="HT77" s="1605" t="s">
        <v>986</v>
      </c>
      <c r="HU77" s="1605" t="s">
        <v>986</v>
      </c>
      <c r="HV77" s="1617"/>
      <c r="HW77" s="1617">
        <v>0</v>
      </c>
      <c r="HX77" s="1617">
        <v>0</v>
      </c>
      <c r="HY77" s="1617">
        <v>0</v>
      </c>
      <c r="HZ77" s="1603"/>
      <c r="IA77" s="1603"/>
      <c r="IB77" s="1603"/>
      <c r="IC77" s="1603">
        <v>51.934959349593498</v>
      </c>
      <c r="ID77" s="1603">
        <v>51.105691056910601</v>
      </c>
      <c r="IE77" s="1603">
        <v>50.414634146341498</v>
      </c>
      <c r="IF77" s="1603">
        <v>50</v>
      </c>
      <c r="IG77" s="1611" t="s">
        <v>270</v>
      </c>
      <c r="IH77" s="1616" t="s">
        <v>270</v>
      </c>
      <c r="II77" s="1615" t="s">
        <v>270</v>
      </c>
      <c r="IJ77" s="1613">
        <v>0.63600000000000001</v>
      </c>
      <c r="IK77" s="1613">
        <v>0.63600000000000001</v>
      </c>
      <c r="IL77" s="1614">
        <v>0.63600000000000001</v>
      </c>
      <c r="IM77" s="1614">
        <v>0.63600000000000001</v>
      </c>
      <c r="IN77" s="1612">
        <v>0.63600000000000001</v>
      </c>
      <c r="IO77" s="1613">
        <v>0</v>
      </c>
      <c r="IP77" s="1607" t="s">
        <v>270</v>
      </c>
      <c r="IQ77" s="1612" t="s">
        <v>270</v>
      </c>
      <c r="IR77" s="1612" t="s">
        <v>270</v>
      </c>
      <c r="IS77" s="1607" t="s">
        <v>270</v>
      </c>
      <c r="IT77" s="1607" t="s">
        <v>270</v>
      </c>
      <c r="IU77" s="1611" t="s">
        <v>270</v>
      </c>
      <c r="IV77" s="1611" t="s">
        <v>270</v>
      </c>
      <c r="IW77" s="1611" t="s">
        <v>270</v>
      </c>
      <c r="IX77" s="1611" t="s">
        <v>270</v>
      </c>
      <c r="IY77" s="1611" t="s">
        <v>270</v>
      </c>
      <c r="IZ77" s="1611" t="s">
        <v>270</v>
      </c>
      <c r="JA77" s="1611" t="s">
        <v>270</v>
      </c>
      <c r="JB77" s="1611" t="s">
        <v>270</v>
      </c>
      <c r="JC77" s="1611" t="s">
        <v>270</v>
      </c>
      <c r="JD77" s="1611" t="s">
        <v>270</v>
      </c>
      <c r="JE77" s="1611" t="s">
        <v>270</v>
      </c>
      <c r="JF77" s="1611" t="s">
        <v>270</v>
      </c>
      <c r="JG77" s="1611" t="s">
        <v>270</v>
      </c>
      <c r="JH77" s="1611" t="s">
        <v>270</v>
      </c>
      <c r="JI77" s="1611" t="s">
        <v>270</v>
      </c>
      <c r="JJ77" s="1611" t="s">
        <v>270</v>
      </c>
      <c r="JK77" s="1607" t="str">
        <f t="shared" si="10"/>
        <v/>
      </c>
      <c r="JL77" s="1608" t="s">
        <v>2946</v>
      </c>
      <c r="JM77" s="1610" t="s">
        <v>2945</v>
      </c>
      <c r="JN77" s="1608" t="s">
        <v>270</v>
      </c>
      <c r="JO77" s="1609" t="s">
        <v>270</v>
      </c>
      <c r="JP77" s="1608">
        <v>0.63600000000000001</v>
      </c>
      <c r="JQ77" s="1607" t="s">
        <v>270</v>
      </c>
      <c r="JR77" s="1606" t="s">
        <v>270</v>
      </c>
      <c r="JS77" s="1606" t="s">
        <v>270</v>
      </c>
      <c r="JT77" s="1606" t="s">
        <v>270</v>
      </c>
    </row>
    <row r="78" spans="1:280" ht="15" customHeight="1" x14ac:dyDescent="0.2">
      <c r="A78" s="1626">
        <v>74000</v>
      </c>
      <c r="B78" s="1625">
        <v>740</v>
      </c>
      <c r="C78" s="1624">
        <v>0</v>
      </c>
      <c r="D78" s="1623" t="s">
        <v>3600</v>
      </c>
      <c r="E78" s="1622">
        <v>43031</v>
      </c>
      <c r="F78" s="1620">
        <v>0.20593777346109199</v>
      </c>
      <c r="G78" s="1620">
        <v>0.23176176203784801</v>
      </c>
      <c r="H78" s="1621">
        <v>60.15</v>
      </c>
      <c r="I78" s="1621">
        <v>50.2</v>
      </c>
      <c r="J78" s="1621">
        <v>75</v>
      </c>
      <c r="K78" s="1620">
        <v>1</v>
      </c>
      <c r="L78" s="1620">
        <v>31.6</v>
      </c>
      <c r="M78" s="1620">
        <v>5.0876000000000001</v>
      </c>
      <c r="N78" s="1620">
        <v>1.4536</v>
      </c>
      <c r="O78" s="1620">
        <v>3.1284000000000001</v>
      </c>
      <c r="P78" s="1620">
        <v>8.0896000000000008</v>
      </c>
      <c r="Q78" s="1603"/>
      <c r="R78" s="1620">
        <v>53.681622271517298</v>
      </c>
      <c r="S78" s="1620">
        <v>27</v>
      </c>
      <c r="T78" s="1620">
        <v>27</v>
      </c>
      <c r="U78" s="1620">
        <v>27</v>
      </c>
      <c r="V78" s="1620">
        <v>27</v>
      </c>
      <c r="W78" s="1620">
        <v>27</v>
      </c>
      <c r="X78" s="1620"/>
      <c r="Y78" s="1620">
        <v>5.8999999999999995</v>
      </c>
      <c r="Z78" s="1620">
        <v>3.5</v>
      </c>
      <c r="AA78" s="1620">
        <v>1.2999999999999998</v>
      </c>
      <c r="AB78" s="1620">
        <v>11.999999999999998</v>
      </c>
      <c r="AC78" s="1620">
        <v>30.499999999999996</v>
      </c>
      <c r="AD78" s="1620">
        <v>1.6</v>
      </c>
      <c r="AE78" s="1620">
        <v>0</v>
      </c>
      <c r="AF78" s="1620">
        <v>220</v>
      </c>
      <c r="AG78" s="1620">
        <v>6.4999999999999991</v>
      </c>
      <c r="AH78" s="1620">
        <v>77</v>
      </c>
      <c r="AI78" s="1620">
        <v>50.999999999999993</v>
      </c>
      <c r="AJ78" s="1620">
        <v>0</v>
      </c>
      <c r="AK78" s="1620">
        <v>0.02</v>
      </c>
      <c r="AL78" s="1620"/>
      <c r="AM78" s="1620">
        <v>3.63</v>
      </c>
      <c r="AN78" s="1620">
        <v>1.31</v>
      </c>
      <c r="AO78" s="1620">
        <v>0.74</v>
      </c>
      <c r="AP78" s="1620">
        <v>3.67</v>
      </c>
      <c r="AQ78" s="1620">
        <v>1.1200000000000001</v>
      </c>
      <c r="AR78" s="1620">
        <v>3.89</v>
      </c>
      <c r="AS78" s="1620">
        <v>6.63</v>
      </c>
      <c r="AT78" s="1620">
        <v>1.53</v>
      </c>
      <c r="AU78" s="1620">
        <v>4.29</v>
      </c>
      <c r="AV78" s="1620">
        <v>2.31</v>
      </c>
      <c r="AW78" s="1620">
        <v>5.14</v>
      </c>
      <c r="AX78" s="1620"/>
      <c r="AY78" s="1620">
        <v>1</v>
      </c>
      <c r="AZ78" s="1620">
        <v>1</v>
      </c>
      <c r="BA78" s="1620">
        <v>1</v>
      </c>
      <c r="BB78" s="1620">
        <v>1</v>
      </c>
      <c r="BC78" s="1620">
        <v>1</v>
      </c>
      <c r="BD78" s="1620">
        <v>1</v>
      </c>
      <c r="BE78" s="1620">
        <v>1</v>
      </c>
      <c r="BF78" s="1620">
        <v>1</v>
      </c>
      <c r="BG78" s="1620">
        <v>1</v>
      </c>
      <c r="BH78" s="1620">
        <v>1</v>
      </c>
      <c r="BI78" s="1620">
        <v>1</v>
      </c>
      <c r="BJ78" s="1603"/>
      <c r="BK78" s="1620">
        <v>16.099999999999998</v>
      </c>
      <c r="BL78" s="1620">
        <v>4.6000000000000005</v>
      </c>
      <c r="BM78" s="1620">
        <v>9.9</v>
      </c>
      <c r="BN78" s="1620">
        <v>25.6</v>
      </c>
      <c r="BO78" s="1620"/>
      <c r="BP78" s="1620">
        <v>120</v>
      </c>
      <c r="BQ78" s="1620">
        <v>55.2</v>
      </c>
      <c r="BR78" s="1620">
        <v>0.6517018147502911</v>
      </c>
      <c r="BS78" s="1620">
        <v>0.73342329758812663</v>
      </c>
      <c r="BT78" s="1603"/>
      <c r="BU78" s="1620">
        <v>901</v>
      </c>
      <c r="BV78" s="1620">
        <v>222.75078571428608</v>
      </c>
      <c r="BW78" s="1620">
        <v>128.0707142857139</v>
      </c>
      <c r="BX78" s="1620">
        <v>0</v>
      </c>
      <c r="BY78" s="1620">
        <v>45</v>
      </c>
      <c r="BZ78" s="1620" t="s">
        <v>270</v>
      </c>
      <c r="CA78" s="1620" t="s">
        <v>270</v>
      </c>
      <c r="CB78" s="1603"/>
      <c r="CC78" s="1603">
        <v>1.8643999999999998</v>
      </c>
      <c r="CD78" s="1603">
        <v>1.1060000000000001</v>
      </c>
      <c r="CE78" s="1603">
        <v>0.41079999999999994</v>
      </c>
      <c r="CF78" s="1603">
        <v>3.7919999999999994</v>
      </c>
      <c r="CG78" s="1603">
        <v>9.6379999999999981</v>
      </c>
      <c r="CH78" s="1603">
        <v>0.50560000000000005</v>
      </c>
      <c r="CI78" s="1603">
        <v>0</v>
      </c>
      <c r="CJ78" s="1603"/>
      <c r="CK78" s="1603">
        <v>69.52</v>
      </c>
      <c r="CL78" s="1603">
        <v>2.0539999999999998</v>
      </c>
      <c r="CM78" s="1603">
        <v>24.332000000000001</v>
      </c>
      <c r="CN78" s="1603">
        <v>16.116</v>
      </c>
      <c r="CO78" s="1603">
        <v>0</v>
      </c>
      <c r="CP78" s="1603">
        <v>6.3200000000000001E-3</v>
      </c>
      <c r="CQ78" s="1603">
        <v>27.3110621468572</v>
      </c>
      <c r="CR78" s="1603">
        <v>132.61803159203868</v>
      </c>
      <c r="CS78" s="1603">
        <v>4.8140345467909968</v>
      </c>
      <c r="CT78" s="1603">
        <v>1.7372962138557051</v>
      </c>
      <c r="CU78" s="1603">
        <v>0.98137343378108488</v>
      </c>
      <c r="CV78" s="1603">
        <v>2.7186696476367751</v>
      </c>
      <c r="CW78" s="1603">
        <v>4.8670817594278226</v>
      </c>
      <c r="CX78" s="1603">
        <v>1.48532195383083</v>
      </c>
      <c r="CY78" s="1603">
        <v>5.1588414289302786</v>
      </c>
      <c r="CZ78" s="1603">
        <v>8.7925754945521533</v>
      </c>
      <c r="DA78" s="1603">
        <v>2.0290558833581862</v>
      </c>
      <c r="DB78" s="1603">
        <v>5.6893135552984404</v>
      </c>
      <c r="DC78" s="1603">
        <v>3.0634765297760871</v>
      </c>
      <c r="DD78" s="1603">
        <v>8.7527900850745279</v>
      </c>
      <c r="DE78" s="1603">
        <v>6.8165668238307875</v>
      </c>
      <c r="DF78" s="1603">
        <v>0</v>
      </c>
      <c r="DG78" s="1603">
        <v>0</v>
      </c>
      <c r="DH78" s="1603">
        <v>0</v>
      </c>
      <c r="DI78" s="1603">
        <v>18.96</v>
      </c>
      <c r="DJ78" s="1603">
        <v>0</v>
      </c>
      <c r="DK78" s="1603">
        <v>23.7</v>
      </c>
      <c r="DL78" s="1603">
        <v>0</v>
      </c>
      <c r="DM78" s="1603">
        <v>0</v>
      </c>
      <c r="DN78" s="1603">
        <v>0</v>
      </c>
      <c r="DO78" s="1603">
        <v>0</v>
      </c>
      <c r="DP78" s="1603">
        <v>0</v>
      </c>
      <c r="DQ78" s="1603">
        <v>0</v>
      </c>
      <c r="DR78" s="1603">
        <v>0</v>
      </c>
      <c r="DS78" s="1603">
        <v>0</v>
      </c>
      <c r="DT78" s="1603">
        <v>0</v>
      </c>
      <c r="DU78" s="1603">
        <v>0</v>
      </c>
      <c r="DV78" s="1603">
        <v>0</v>
      </c>
      <c r="DW78" s="1618" t="s">
        <v>3596</v>
      </c>
      <c r="DX78" s="1605" t="s">
        <v>986</v>
      </c>
      <c r="DY78" s="1605" t="s">
        <v>986</v>
      </c>
      <c r="DZ78" s="1605" t="s">
        <v>986</v>
      </c>
      <c r="EA78" s="1605" t="s">
        <v>986</v>
      </c>
      <c r="EB78" s="1605" t="s">
        <v>986</v>
      </c>
      <c r="EC78" s="1605" t="s">
        <v>986</v>
      </c>
      <c r="ED78" s="1605" t="s">
        <v>986</v>
      </c>
      <c r="EE78" s="1605" t="s">
        <v>986</v>
      </c>
      <c r="EF78" s="1605" t="s">
        <v>986</v>
      </c>
      <c r="EG78" s="1605" t="s">
        <v>986</v>
      </c>
      <c r="EH78" s="1605" t="s">
        <v>986</v>
      </c>
      <c r="EI78" s="1605" t="s">
        <v>986</v>
      </c>
      <c r="EJ78" s="1605" t="s">
        <v>986</v>
      </c>
      <c r="EK78" s="1605" t="s">
        <v>986</v>
      </c>
      <c r="EL78" s="1605" t="s">
        <v>986</v>
      </c>
      <c r="EM78" s="1605" t="s">
        <v>986</v>
      </c>
      <c r="EN78" s="1605" t="s">
        <v>986</v>
      </c>
      <c r="EO78" s="1605" t="s">
        <v>986</v>
      </c>
      <c r="EP78" s="1605" t="s">
        <v>986</v>
      </c>
      <c r="EQ78" s="1605" t="s">
        <v>986</v>
      </c>
      <c r="ER78" s="1605" t="s">
        <v>986</v>
      </c>
      <c r="ES78" s="1605" t="s">
        <v>986</v>
      </c>
      <c r="ET78" s="1605" t="s">
        <v>986</v>
      </c>
      <c r="EU78" s="1605" t="s">
        <v>986</v>
      </c>
      <c r="EV78" s="1605" t="s">
        <v>986</v>
      </c>
      <c r="EW78" s="1605" t="s">
        <v>986</v>
      </c>
      <c r="EX78" s="1605" t="s">
        <v>986</v>
      </c>
      <c r="EY78" s="1605" t="s">
        <v>986</v>
      </c>
      <c r="EZ78" s="1605" t="s">
        <v>986</v>
      </c>
      <c r="FA78" s="1605" t="s">
        <v>986</v>
      </c>
      <c r="FB78" s="1605" t="s">
        <v>986</v>
      </c>
      <c r="FC78" s="1605" t="s">
        <v>986</v>
      </c>
      <c r="FD78" s="1605" t="s">
        <v>986</v>
      </c>
      <c r="FE78" s="1605" t="s">
        <v>986</v>
      </c>
      <c r="FF78" s="1605" t="s">
        <v>986</v>
      </c>
      <c r="FG78" s="1605" t="s">
        <v>986</v>
      </c>
      <c r="FH78" s="1605" t="s">
        <v>986</v>
      </c>
      <c r="FI78" s="1605" t="s">
        <v>986</v>
      </c>
      <c r="FJ78" s="1605" t="s">
        <v>986</v>
      </c>
      <c r="FK78" s="1605" t="s">
        <v>986</v>
      </c>
      <c r="FL78" s="1605" t="s">
        <v>986</v>
      </c>
      <c r="FM78" s="1605" t="s">
        <v>986</v>
      </c>
      <c r="FN78" s="1605" t="s">
        <v>986</v>
      </c>
      <c r="FO78" s="1605" t="s">
        <v>986</v>
      </c>
      <c r="FP78" s="1605" t="s">
        <v>986</v>
      </c>
      <c r="FQ78" s="1605" t="s">
        <v>986</v>
      </c>
      <c r="FR78" s="1605" t="s">
        <v>986</v>
      </c>
      <c r="FS78" s="1605" t="s">
        <v>986</v>
      </c>
      <c r="FT78" s="1605" t="s">
        <v>986</v>
      </c>
      <c r="FU78" s="1605" t="s">
        <v>986</v>
      </c>
      <c r="FV78" s="1605" t="s">
        <v>986</v>
      </c>
      <c r="FW78" s="1605" t="s">
        <v>986</v>
      </c>
      <c r="FX78" s="1605" t="s">
        <v>986</v>
      </c>
      <c r="FY78" s="1605" t="s">
        <v>986</v>
      </c>
      <c r="FZ78" s="1605" t="s">
        <v>986</v>
      </c>
      <c r="GA78" s="1605" t="s">
        <v>986</v>
      </c>
      <c r="GB78" s="1605" t="s">
        <v>986</v>
      </c>
      <c r="GC78" s="1605" t="s">
        <v>986</v>
      </c>
      <c r="GD78" s="1605" t="s">
        <v>986</v>
      </c>
      <c r="GE78" s="1605" t="s">
        <v>986</v>
      </c>
      <c r="GF78" s="1605" t="s">
        <v>986</v>
      </c>
      <c r="GG78" s="1605" t="s">
        <v>986</v>
      </c>
      <c r="GH78" s="1605" t="s">
        <v>986</v>
      </c>
      <c r="GI78" s="1605" t="s">
        <v>986</v>
      </c>
      <c r="GJ78" s="1605" t="s">
        <v>986</v>
      </c>
      <c r="GK78" s="1605" t="s">
        <v>986</v>
      </c>
      <c r="GL78" s="1605" t="s">
        <v>986</v>
      </c>
      <c r="GM78" s="1605" t="s">
        <v>986</v>
      </c>
      <c r="GN78" s="1605" t="s">
        <v>986</v>
      </c>
      <c r="GO78" s="1605" t="s">
        <v>986</v>
      </c>
      <c r="GP78" s="1605" t="s">
        <v>986</v>
      </c>
      <c r="GQ78" s="1605" t="s">
        <v>986</v>
      </c>
      <c r="GR78" s="1605" t="s">
        <v>986</v>
      </c>
      <c r="GS78" s="1605" t="s">
        <v>986</v>
      </c>
      <c r="GT78" s="1605" t="s">
        <v>986</v>
      </c>
      <c r="GU78" s="1605" t="s">
        <v>986</v>
      </c>
      <c r="GV78" s="1605" t="s">
        <v>986</v>
      </c>
      <c r="GW78" s="1605" t="s">
        <v>986</v>
      </c>
      <c r="GX78" s="1605" t="s">
        <v>986</v>
      </c>
      <c r="GY78" s="1605" t="s">
        <v>986</v>
      </c>
      <c r="GZ78" s="1605" t="s">
        <v>986</v>
      </c>
      <c r="HA78" s="1605" t="s">
        <v>986</v>
      </c>
      <c r="HB78" s="1605" t="s">
        <v>986</v>
      </c>
      <c r="HC78" s="1605" t="s">
        <v>986</v>
      </c>
      <c r="HD78" s="1605" t="s">
        <v>986</v>
      </c>
      <c r="HE78" s="1605" t="s">
        <v>986</v>
      </c>
      <c r="HF78" s="1605" t="s">
        <v>986</v>
      </c>
      <c r="HG78" s="1605" t="s">
        <v>986</v>
      </c>
      <c r="HH78" s="1605" t="s">
        <v>986</v>
      </c>
      <c r="HI78" s="1605" t="s">
        <v>986</v>
      </c>
      <c r="HJ78" s="1605" t="s">
        <v>986</v>
      </c>
      <c r="HK78" s="1605" t="s">
        <v>986</v>
      </c>
      <c r="HL78" s="1605" t="s">
        <v>986</v>
      </c>
      <c r="HM78" s="1605" t="s">
        <v>986</v>
      </c>
      <c r="HN78" s="1605" t="s">
        <v>986</v>
      </c>
      <c r="HO78" s="1605" t="s">
        <v>986</v>
      </c>
      <c r="HP78" s="1605" t="s">
        <v>986</v>
      </c>
      <c r="HQ78" s="1605" t="s">
        <v>986</v>
      </c>
      <c r="HR78" s="1605" t="s">
        <v>986</v>
      </c>
      <c r="HS78" s="1605" t="s">
        <v>986</v>
      </c>
      <c r="HT78" s="1605" t="s">
        <v>986</v>
      </c>
      <c r="HU78" s="1605" t="s">
        <v>986</v>
      </c>
      <c r="HV78" s="1617"/>
      <c r="HW78" s="1617" t="s">
        <v>3595</v>
      </c>
      <c r="HX78" s="1617" t="s">
        <v>3338</v>
      </c>
      <c r="HY78" s="1617" t="s">
        <v>3337</v>
      </c>
      <c r="HZ78" s="1603"/>
      <c r="IA78" s="1603"/>
      <c r="IB78" s="1603"/>
      <c r="IC78" s="1603">
        <v>27</v>
      </c>
      <c r="ID78" s="1603">
        <v>27</v>
      </c>
      <c r="IE78" s="1603">
        <v>27</v>
      </c>
      <c r="IF78" s="1603">
        <v>27</v>
      </c>
      <c r="IG78" s="1611" t="s">
        <v>270</v>
      </c>
      <c r="IH78" s="1616" t="s">
        <v>3599</v>
      </c>
      <c r="II78" s="1615" t="s">
        <v>3598</v>
      </c>
      <c r="IJ78" s="1613">
        <v>0.41799999999999998</v>
      </c>
      <c r="IK78" s="1613">
        <v>0.13208799999999998</v>
      </c>
      <c r="IL78" s="1614">
        <v>0.13208799999999998</v>
      </c>
      <c r="IM78" s="1614">
        <v>0.13208799999999998</v>
      </c>
      <c r="IN78" s="1612">
        <v>0.41799999999999998</v>
      </c>
      <c r="IO78" s="1613">
        <v>0</v>
      </c>
      <c r="IP78" s="1607" t="s">
        <v>270</v>
      </c>
      <c r="IQ78" s="1612">
        <v>1.23</v>
      </c>
      <c r="IR78" s="1612">
        <v>-0.09</v>
      </c>
      <c r="IS78" s="1607" t="s">
        <v>270</v>
      </c>
      <c r="IT78" s="1607" t="s">
        <v>270</v>
      </c>
      <c r="IU78" s="1611" t="s">
        <v>270</v>
      </c>
      <c r="IV78" s="1611" t="s">
        <v>270</v>
      </c>
      <c r="IW78" s="1611" t="s">
        <v>270</v>
      </c>
      <c r="IX78" s="1611" t="s">
        <v>270</v>
      </c>
      <c r="IY78" s="1611" t="s">
        <v>270</v>
      </c>
      <c r="IZ78" s="1611" t="s">
        <v>270</v>
      </c>
      <c r="JA78" s="1611" t="s">
        <v>270</v>
      </c>
      <c r="JB78" s="1611" t="s">
        <v>270</v>
      </c>
      <c r="JC78" s="1611" t="s">
        <v>270</v>
      </c>
      <c r="JD78" s="1611" t="s">
        <v>270</v>
      </c>
      <c r="JE78" s="1611" t="s">
        <v>270</v>
      </c>
      <c r="JF78" s="1611" t="s">
        <v>270</v>
      </c>
      <c r="JG78" s="1611" t="s">
        <v>270</v>
      </c>
      <c r="JH78" s="1611" t="s">
        <v>270</v>
      </c>
      <c r="JI78" s="1611" t="s">
        <v>270</v>
      </c>
      <c r="JJ78" s="1611" t="s">
        <v>270</v>
      </c>
      <c r="JK78" s="1607" t="str">
        <f t="shared" si="10"/>
        <v/>
      </c>
      <c r="JL78" s="1608" t="s">
        <v>270</v>
      </c>
      <c r="JM78" s="1610" t="s">
        <v>3334</v>
      </c>
      <c r="JN78" s="1608" t="s">
        <v>270</v>
      </c>
      <c r="JO78" s="1609" t="s">
        <v>270</v>
      </c>
      <c r="JP78" s="1608">
        <v>0.13208799999999998</v>
      </c>
      <c r="JQ78" s="1607" t="s">
        <v>270</v>
      </c>
      <c r="JR78" s="1606" t="s">
        <v>270</v>
      </c>
      <c r="JS78" s="1606" t="s">
        <v>270</v>
      </c>
      <c r="JT78" s="1606" t="s">
        <v>270</v>
      </c>
    </row>
    <row r="79" spans="1:280" ht="15" customHeight="1" x14ac:dyDescent="0.2">
      <c r="A79" s="1626">
        <v>74100</v>
      </c>
      <c r="B79" s="1625">
        <v>741</v>
      </c>
      <c r="C79" s="1624">
        <v>0</v>
      </c>
      <c r="D79" s="1623" t="s">
        <v>3597</v>
      </c>
      <c r="E79" s="1622">
        <v>43031</v>
      </c>
      <c r="F79" s="1620">
        <v>0.21901364552845501</v>
      </c>
      <c r="G79" s="1620">
        <v>0.246454042597402</v>
      </c>
      <c r="H79" s="1621">
        <v>60.2</v>
      </c>
      <c r="I79" s="1621">
        <v>50.2</v>
      </c>
      <c r="J79" s="1621">
        <v>75</v>
      </c>
      <c r="K79" s="1620">
        <v>1</v>
      </c>
      <c r="L79" s="1620">
        <v>33.6</v>
      </c>
      <c r="M79" s="1620">
        <v>5.3087999999999997</v>
      </c>
      <c r="N79" s="1620">
        <v>1.5456000000000001</v>
      </c>
      <c r="O79" s="1620">
        <v>3.36</v>
      </c>
      <c r="P79" s="1620">
        <v>9.0719999999999992</v>
      </c>
      <c r="Q79" s="1603"/>
      <c r="R79" s="1620">
        <v>53.278839059674503</v>
      </c>
      <c r="S79" s="1620">
        <v>27</v>
      </c>
      <c r="T79" s="1620">
        <v>27</v>
      </c>
      <c r="U79" s="1620">
        <v>27</v>
      </c>
      <c r="V79" s="1620">
        <v>27</v>
      </c>
      <c r="W79" s="1620">
        <v>27</v>
      </c>
      <c r="X79" s="1620"/>
      <c r="Y79" s="1620">
        <v>6.5</v>
      </c>
      <c r="Z79" s="1620">
        <v>3.7</v>
      </c>
      <c r="AA79" s="1620">
        <v>2</v>
      </c>
      <c r="AB79" s="1620">
        <v>12</v>
      </c>
      <c r="AC79" s="1620">
        <v>28.099999999999998</v>
      </c>
      <c r="AD79" s="1620">
        <v>2</v>
      </c>
      <c r="AE79" s="1620">
        <v>0</v>
      </c>
      <c r="AF79" s="1620">
        <v>220</v>
      </c>
      <c r="AG79" s="1620">
        <v>6.8999999999999995</v>
      </c>
      <c r="AH79" s="1620">
        <v>99</v>
      </c>
      <c r="AI79" s="1620">
        <v>55</v>
      </c>
      <c r="AJ79" s="1620">
        <v>0</v>
      </c>
      <c r="AK79" s="1620">
        <v>0.02</v>
      </c>
      <c r="AL79" s="1620"/>
      <c r="AM79" s="1620">
        <v>3.63</v>
      </c>
      <c r="AN79" s="1620">
        <v>1.31</v>
      </c>
      <c r="AO79" s="1620">
        <v>0.74</v>
      </c>
      <c r="AP79" s="1620">
        <v>3.67</v>
      </c>
      <c r="AQ79" s="1620">
        <v>1.1200000000000001</v>
      </c>
      <c r="AR79" s="1620">
        <v>3.89</v>
      </c>
      <c r="AS79" s="1620">
        <v>6.63</v>
      </c>
      <c r="AT79" s="1620">
        <v>1.53</v>
      </c>
      <c r="AU79" s="1620">
        <v>4.29</v>
      </c>
      <c r="AV79" s="1620">
        <v>2.31</v>
      </c>
      <c r="AW79" s="1620">
        <v>5.14</v>
      </c>
      <c r="AX79" s="1620"/>
      <c r="AY79" s="1620">
        <v>1</v>
      </c>
      <c r="AZ79" s="1620">
        <v>1</v>
      </c>
      <c r="BA79" s="1620">
        <v>1</v>
      </c>
      <c r="BB79" s="1620">
        <v>1</v>
      </c>
      <c r="BC79" s="1620">
        <v>1</v>
      </c>
      <c r="BD79" s="1620">
        <v>1</v>
      </c>
      <c r="BE79" s="1620">
        <v>1</v>
      </c>
      <c r="BF79" s="1620">
        <v>1</v>
      </c>
      <c r="BG79" s="1620">
        <v>1</v>
      </c>
      <c r="BH79" s="1620">
        <v>1</v>
      </c>
      <c r="BI79" s="1620">
        <v>1</v>
      </c>
      <c r="BJ79" s="1603"/>
      <c r="BK79" s="1620">
        <v>15.799999999999999</v>
      </c>
      <c r="BL79" s="1620">
        <v>4.5999999999999996</v>
      </c>
      <c r="BM79" s="1620">
        <v>10</v>
      </c>
      <c r="BN79" s="1620">
        <v>26.999999999999996</v>
      </c>
      <c r="BO79" s="1620"/>
      <c r="BP79" s="1620">
        <v>120</v>
      </c>
      <c r="BQ79" s="1620">
        <v>55.199999999999996</v>
      </c>
      <c r="BR79" s="1620">
        <v>0.65182632597754464</v>
      </c>
      <c r="BS79" s="1620">
        <v>0.73349417439702969</v>
      </c>
      <c r="BT79" s="1603"/>
      <c r="BU79" s="1620">
        <v>899.99999999999989</v>
      </c>
      <c r="BV79" s="1620">
        <v>224.82857142857111</v>
      </c>
      <c r="BW79" s="1620">
        <v>128.57142857142887</v>
      </c>
      <c r="BX79" s="1620">
        <v>0</v>
      </c>
      <c r="BY79" s="1620">
        <v>17.999999999999996</v>
      </c>
      <c r="BZ79" s="1620" t="s">
        <v>270</v>
      </c>
      <c r="CA79" s="1620" t="s">
        <v>270</v>
      </c>
      <c r="CB79" s="1603"/>
      <c r="CC79" s="1603">
        <v>2.1840000000000002</v>
      </c>
      <c r="CD79" s="1603">
        <v>1.2432000000000001</v>
      </c>
      <c r="CE79" s="1603">
        <v>0.67200000000000004</v>
      </c>
      <c r="CF79" s="1603">
        <v>4.032</v>
      </c>
      <c r="CG79" s="1603">
        <v>9.4415999999999993</v>
      </c>
      <c r="CH79" s="1603">
        <v>0.67200000000000004</v>
      </c>
      <c r="CI79" s="1603">
        <v>0</v>
      </c>
      <c r="CJ79" s="1603"/>
      <c r="CK79" s="1603">
        <v>73.92</v>
      </c>
      <c r="CL79" s="1603">
        <v>2.3184</v>
      </c>
      <c r="CM79" s="1603">
        <v>33.264000000000003</v>
      </c>
      <c r="CN79" s="1603">
        <v>18.48</v>
      </c>
      <c r="CO79" s="1603">
        <v>0</v>
      </c>
      <c r="CP79" s="1603">
        <v>6.7200000000000003E-3</v>
      </c>
      <c r="CQ79" s="1603">
        <v>28.284670080000001</v>
      </c>
      <c r="CR79" s="1603">
        <v>129.14569780230957</v>
      </c>
      <c r="CS79" s="1603">
        <v>4.6879888302238379</v>
      </c>
      <c r="CT79" s="1603">
        <v>1.6918086412102555</v>
      </c>
      <c r="CU79" s="1603">
        <v>0.95567816373709091</v>
      </c>
      <c r="CV79" s="1603">
        <v>2.6474868049473552</v>
      </c>
      <c r="CW79" s="1603">
        <v>4.7396471093447614</v>
      </c>
      <c r="CX79" s="1603">
        <v>1.4464318153858673</v>
      </c>
      <c r="CY79" s="1603">
        <v>5.0237676445098423</v>
      </c>
      <c r="CZ79" s="1603">
        <v>8.5623597642931237</v>
      </c>
      <c r="DA79" s="1603">
        <v>1.9759291763753366</v>
      </c>
      <c r="DB79" s="1603">
        <v>5.5403504357190805</v>
      </c>
      <c r="DC79" s="1603">
        <v>2.9832656192333467</v>
      </c>
      <c r="DD79" s="1603">
        <v>8.5236160549524325</v>
      </c>
      <c r="DE79" s="1603">
        <v>6.6380888670387117</v>
      </c>
      <c r="DF79" s="1603">
        <v>0</v>
      </c>
      <c r="DG79" s="1603">
        <v>0</v>
      </c>
      <c r="DH79" s="1603">
        <v>0</v>
      </c>
      <c r="DI79" s="1603">
        <v>20.16</v>
      </c>
      <c r="DJ79" s="1603">
        <v>0</v>
      </c>
      <c r="DK79" s="1603">
        <v>25.2</v>
      </c>
      <c r="DL79" s="1603">
        <v>0</v>
      </c>
      <c r="DM79" s="1603">
        <v>0</v>
      </c>
      <c r="DN79" s="1603">
        <v>0</v>
      </c>
      <c r="DO79" s="1603">
        <v>0</v>
      </c>
      <c r="DP79" s="1603">
        <v>0</v>
      </c>
      <c r="DQ79" s="1603">
        <v>0</v>
      </c>
      <c r="DR79" s="1603">
        <v>0</v>
      </c>
      <c r="DS79" s="1603">
        <v>0</v>
      </c>
      <c r="DT79" s="1603">
        <v>0</v>
      </c>
      <c r="DU79" s="1603">
        <v>0</v>
      </c>
      <c r="DV79" s="1603">
        <v>0</v>
      </c>
      <c r="DW79" s="1618" t="s">
        <v>3596</v>
      </c>
      <c r="DX79" s="1605" t="s">
        <v>986</v>
      </c>
      <c r="DY79" s="1605" t="s">
        <v>986</v>
      </c>
      <c r="DZ79" s="1605" t="s">
        <v>986</v>
      </c>
      <c r="EA79" s="1605" t="s">
        <v>986</v>
      </c>
      <c r="EB79" s="1605" t="s">
        <v>986</v>
      </c>
      <c r="EC79" s="1605" t="s">
        <v>986</v>
      </c>
      <c r="ED79" s="1605" t="s">
        <v>986</v>
      </c>
      <c r="EE79" s="1605" t="s">
        <v>986</v>
      </c>
      <c r="EF79" s="1605" t="s">
        <v>986</v>
      </c>
      <c r="EG79" s="1605" t="s">
        <v>986</v>
      </c>
      <c r="EH79" s="1605" t="s">
        <v>986</v>
      </c>
      <c r="EI79" s="1605" t="s">
        <v>986</v>
      </c>
      <c r="EJ79" s="1605" t="s">
        <v>986</v>
      </c>
      <c r="EK79" s="1605" t="s">
        <v>986</v>
      </c>
      <c r="EL79" s="1605" t="s">
        <v>986</v>
      </c>
      <c r="EM79" s="1605" t="s">
        <v>986</v>
      </c>
      <c r="EN79" s="1605" t="s">
        <v>986</v>
      </c>
      <c r="EO79" s="1605" t="s">
        <v>986</v>
      </c>
      <c r="EP79" s="1605" t="s">
        <v>986</v>
      </c>
      <c r="EQ79" s="1605" t="s">
        <v>986</v>
      </c>
      <c r="ER79" s="1605" t="s">
        <v>986</v>
      </c>
      <c r="ES79" s="1605" t="s">
        <v>986</v>
      </c>
      <c r="ET79" s="1605" t="s">
        <v>986</v>
      </c>
      <c r="EU79" s="1605" t="s">
        <v>986</v>
      </c>
      <c r="EV79" s="1605" t="s">
        <v>986</v>
      </c>
      <c r="EW79" s="1605" t="s">
        <v>986</v>
      </c>
      <c r="EX79" s="1605" t="s">
        <v>986</v>
      </c>
      <c r="EY79" s="1605" t="s">
        <v>986</v>
      </c>
      <c r="EZ79" s="1605" t="s">
        <v>986</v>
      </c>
      <c r="FA79" s="1605" t="s">
        <v>986</v>
      </c>
      <c r="FB79" s="1605" t="s">
        <v>986</v>
      </c>
      <c r="FC79" s="1605" t="s">
        <v>986</v>
      </c>
      <c r="FD79" s="1605" t="s">
        <v>986</v>
      </c>
      <c r="FE79" s="1605" t="s">
        <v>986</v>
      </c>
      <c r="FF79" s="1605" t="s">
        <v>986</v>
      </c>
      <c r="FG79" s="1605" t="s">
        <v>986</v>
      </c>
      <c r="FH79" s="1605" t="s">
        <v>986</v>
      </c>
      <c r="FI79" s="1605" t="s">
        <v>986</v>
      </c>
      <c r="FJ79" s="1605" t="s">
        <v>986</v>
      </c>
      <c r="FK79" s="1605" t="s">
        <v>986</v>
      </c>
      <c r="FL79" s="1605" t="s">
        <v>986</v>
      </c>
      <c r="FM79" s="1605" t="s">
        <v>986</v>
      </c>
      <c r="FN79" s="1605" t="s">
        <v>986</v>
      </c>
      <c r="FO79" s="1605" t="s">
        <v>986</v>
      </c>
      <c r="FP79" s="1605" t="s">
        <v>986</v>
      </c>
      <c r="FQ79" s="1605" t="s">
        <v>986</v>
      </c>
      <c r="FR79" s="1605" t="s">
        <v>986</v>
      </c>
      <c r="FS79" s="1605" t="s">
        <v>986</v>
      </c>
      <c r="FT79" s="1605" t="s">
        <v>986</v>
      </c>
      <c r="FU79" s="1605" t="s">
        <v>986</v>
      </c>
      <c r="FV79" s="1605" t="s">
        <v>986</v>
      </c>
      <c r="FW79" s="1605" t="s">
        <v>986</v>
      </c>
      <c r="FX79" s="1605" t="s">
        <v>986</v>
      </c>
      <c r="FY79" s="1605" t="s">
        <v>986</v>
      </c>
      <c r="FZ79" s="1605" t="s">
        <v>986</v>
      </c>
      <c r="GA79" s="1605" t="s">
        <v>986</v>
      </c>
      <c r="GB79" s="1605" t="s">
        <v>986</v>
      </c>
      <c r="GC79" s="1605" t="s">
        <v>986</v>
      </c>
      <c r="GD79" s="1605" t="s">
        <v>986</v>
      </c>
      <c r="GE79" s="1605" t="s">
        <v>986</v>
      </c>
      <c r="GF79" s="1605" t="s">
        <v>986</v>
      </c>
      <c r="GG79" s="1605" t="s">
        <v>986</v>
      </c>
      <c r="GH79" s="1605" t="s">
        <v>986</v>
      </c>
      <c r="GI79" s="1605" t="s">
        <v>986</v>
      </c>
      <c r="GJ79" s="1605" t="s">
        <v>986</v>
      </c>
      <c r="GK79" s="1605" t="s">
        <v>986</v>
      </c>
      <c r="GL79" s="1605" t="s">
        <v>986</v>
      </c>
      <c r="GM79" s="1605" t="s">
        <v>986</v>
      </c>
      <c r="GN79" s="1605" t="s">
        <v>986</v>
      </c>
      <c r="GO79" s="1605" t="s">
        <v>986</v>
      </c>
      <c r="GP79" s="1605" t="s">
        <v>986</v>
      </c>
      <c r="GQ79" s="1605" t="s">
        <v>986</v>
      </c>
      <c r="GR79" s="1605" t="s">
        <v>986</v>
      </c>
      <c r="GS79" s="1605" t="s">
        <v>986</v>
      </c>
      <c r="GT79" s="1605" t="s">
        <v>986</v>
      </c>
      <c r="GU79" s="1605" t="s">
        <v>986</v>
      </c>
      <c r="GV79" s="1605" t="s">
        <v>986</v>
      </c>
      <c r="GW79" s="1605" t="s">
        <v>986</v>
      </c>
      <c r="GX79" s="1605" t="s">
        <v>986</v>
      </c>
      <c r="GY79" s="1605" t="s">
        <v>986</v>
      </c>
      <c r="GZ79" s="1605" t="s">
        <v>986</v>
      </c>
      <c r="HA79" s="1605" t="s">
        <v>986</v>
      </c>
      <c r="HB79" s="1605" t="s">
        <v>986</v>
      </c>
      <c r="HC79" s="1605" t="s">
        <v>986</v>
      </c>
      <c r="HD79" s="1605" t="s">
        <v>986</v>
      </c>
      <c r="HE79" s="1605" t="s">
        <v>986</v>
      </c>
      <c r="HF79" s="1605" t="s">
        <v>986</v>
      </c>
      <c r="HG79" s="1605" t="s">
        <v>986</v>
      </c>
      <c r="HH79" s="1605" t="s">
        <v>986</v>
      </c>
      <c r="HI79" s="1605" t="s">
        <v>986</v>
      </c>
      <c r="HJ79" s="1605" t="s">
        <v>986</v>
      </c>
      <c r="HK79" s="1605" t="s">
        <v>986</v>
      </c>
      <c r="HL79" s="1605" t="s">
        <v>986</v>
      </c>
      <c r="HM79" s="1605" t="s">
        <v>986</v>
      </c>
      <c r="HN79" s="1605" t="s">
        <v>986</v>
      </c>
      <c r="HO79" s="1605" t="s">
        <v>986</v>
      </c>
      <c r="HP79" s="1605" t="s">
        <v>986</v>
      </c>
      <c r="HQ79" s="1605" t="s">
        <v>986</v>
      </c>
      <c r="HR79" s="1605" t="s">
        <v>986</v>
      </c>
      <c r="HS79" s="1605" t="s">
        <v>986</v>
      </c>
      <c r="HT79" s="1605" t="s">
        <v>986</v>
      </c>
      <c r="HU79" s="1605" t="s">
        <v>986</v>
      </c>
      <c r="HV79" s="1617"/>
      <c r="HW79" s="1617" t="s">
        <v>3595</v>
      </c>
      <c r="HX79" s="1617" t="s">
        <v>3338</v>
      </c>
      <c r="HY79" s="1617" t="s">
        <v>3337</v>
      </c>
      <c r="HZ79" s="1603"/>
      <c r="IA79" s="1603"/>
      <c r="IB79" s="1603"/>
      <c r="IC79" s="1603">
        <v>27</v>
      </c>
      <c r="ID79" s="1603">
        <v>27</v>
      </c>
      <c r="IE79" s="1603">
        <v>27</v>
      </c>
      <c r="IF79" s="1603">
        <v>27</v>
      </c>
      <c r="IG79" s="1611" t="s">
        <v>270</v>
      </c>
      <c r="IH79" s="1616" t="s">
        <v>3594</v>
      </c>
      <c r="II79" s="1615" t="s">
        <v>3593</v>
      </c>
      <c r="IJ79" s="1613">
        <v>0.41799999999999998</v>
      </c>
      <c r="IK79" s="1613">
        <v>0.14044800000000002</v>
      </c>
      <c r="IL79" s="1614">
        <v>0.14044800000000002</v>
      </c>
      <c r="IM79" s="1614">
        <v>0.14044800000000002</v>
      </c>
      <c r="IN79" s="1612">
        <v>0.41799999999999998</v>
      </c>
      <c r="IO79" s="1613">
        <v>0</v>
      </c>
      <c r="IP79" s="1607" t="s">
        <v>270</v>
      </c>
      <c r="IQ79" s="1612">
        <v>1.23</v>
      </c>
      <c r="IR79" s="1612">
        <v>-0.09</v>
      </c>
      <c r="IS79" s="1607" t="s">
        <v>270</v>
      </c>
      <c r="IT79" s="1607" t="s">
        <v>270</v>
      </c>
      <c r="IU79" s="1611" t="s">
        <v>270</v>
      </c>
      <c r="IV79" s="1611" t="s">
        <v>270</v>
      </c>
      <c r="IW79" s="1611" t="s">
        <v>270</v>
      </c>
      <c r="IX79" s="1611" t="s">
        <v>270</v>
      </c>
      <c r="IY79" s="1611" t="s">
        <v>270</v>
      </c>
      <c r="IZ79" s="1611" t="s">
        <v>270</v>
      </c>
      <c r="JA79" s="1611" t="s">
        <v>270</v>
      </c>
      <c r="JB79" s="1611" t="s">
        <v>270</v>
      </c>
      <c r="JC79" s="1611" t="s">
        <v>270</v>
      </c>
      <c r="JD79" s="1611" t="s">
        <v>270</v>
      </c>
      <c r="JE79" s="1611" t="s">
        <v>270</v>
      </c>
      <c r="JF79" s="1611" t="s">
        <v>270</v>
      </c>
      <c r="JG79" s="1611" t="s">
        <v>270</v>
      </c>
      <c r="JH79" s="1611" t="s">
        <v>270</v>
      </c>
      <c r="JI79" s="1611" t="s">
        <v>270</v>
      </c>
      <c r="JJ79" s="1611" t="s">
        <v>270</v>
      </c>
      <c r="JK79" s="1607" t="str">
        <f t="shared" si="10"/>
        <v/>
      </c>
      <c r="JL79" s="1608" t="s">
        <v>270</v>
      </c>
      <c r="JM79" s="1610" t="s">
        <v>3334</v>
      </c>
      <c r="JN79" s="1608" t="s">
        <v>270</v>
      </c>
      <c r="JO79" s="1609" t="s">
        <v>270</v>
      </c>
      <c r="JP79" s="1608">
        <v>0.14044800000000002</v>
      </c>
      <c r="JQ79" s="1607" t="s">
        <v>270</v>
      </c>
      <c r="JR79" s="1606" t="s">
        <v>270</v>
      </c>
      <c r="JS79" s="1606" t="s">
        <v>270</v>
      </c>
      <c r="JT79" s="1606" t="s">
        <v>270</v>
      </c>
    </row>
    <row r="80" spans="1:280" ht="15" customHeight="1" x14ac:dyDescent="0.2">
      <c r="A80" s="1626">
        <v>71600</v>
      </c>
      <c r="B80" s="1625">
        <v>716</v>
      </c>
      <c r="C80" s="1624">
        <v>0</v>
      </c>
      <c r="D80" s="1623" t="s">
        <v>3592</v>
      </c>
      <c r="E80" s="1622">
        <v>43053</v>
      </c>
      <c r="F80" s="1620">
        <v>0.29023652667441002</v>
      </c>
      <c r="G80" s="1620">
        <v>0.41027858966085401</v>
      </c>
      <c r="H80" s="1621">
        <v>41.2</v>
      </c>
      <c r="I80" s="1621">
        <v>32.699986799999998</v>
      </c>
      <c r="J80" s="1621">
        <v>77</v>
      </c>
      <c r="K80" s="1620">
        <v>1</v>
      </c>
      <c r="L80" s="1620">
        <v>93.2</v>
      </c>
      <c r="M80" s="1620">
        <v>11.65</v>
      </c>
      <c r="N80" s="1620">
        <v>2.7959999999999998</v>
      </c>
      <c r="O80" s="1620">
        <v>8.1083999999999996</v>
      </c>
      <c r="P80" s="1620">
        <v>26.7484</v>
      </c>
      <c r="Q80" s="1603"/>
      <c r="R80" s="1620">
        <v>41.3120425142857</v>
      </c>
      <c r="S80" s="1620">
        <v>50</v>
      </c>
      <c r="T80" s="1620">
        <v>50</v>
      </c>
      <c r="U80" s="1620">
        <v>50</v>
      </c>
      <c r="V80" s="1620">
        <v>50</v>
      </c>
      <c r="W80" s="1620">
        <v>50</v>
      </c>
      <c r="X80" s="1620"/>
      <c r="Y80" s="1620">
        <v>8.1</v>
      </c>
      <c r="Z80" s="1620">
        <v>3.1</v>
      </c>
      <c r="AA80" s="1620">
        <v>2.1999999999999997</v>
      </c>
      <c r="AB80" s="1620">
        <v>0</v>
      </c>
      <c r="AC80" s="1620">
        <v>18.999999999999996</v>
      </c>
      <c r="AD80" s="1620">
        <v>2.1999999999999997</v>
      </c>
      <c r="AE80" s="1620">
        <v>2.5</v>
      </c>
      <c r="AF80" s="1620">
        <v>420</v>
      </c>
      <c r="AG80" s="1620">
        <v>8.1</v>
      </c>
      <c r="AH80" s="1620">
        <v>88.999999999999986</v>
      </c>
      <c r="AI80" s="1620">
        <v>33.999999999999993</v>
      </c>
      <c r="AJ80" s="1620">
        <v>0</v>
      </c>
      <c r="AK80" s="1620">
        <v>6.9999999999999882E-2</v>
      </c>
      <c r="AL80" s="1620"/>
      <c r="AM80" s="1620">
        <v>4.08</v>
      </c>
      <c r="AN80" s="1620">
        <v>1.59</v>
      </c>
      <c r="AO80" s="1620">
        <v>0.83</v>
      </c>
      <c r="AP80" s="1620">
        <v>3.98</v>
      </c>
      <c r="AQ80" s="1620">
        <v>1.38</v>
      </c>
      <c r="AR80" s="1620">
        <v>4.0199999999999996</v>
      </c>
      <c r="AS80" s="1620">
        <v>7.13</v>
      </c>
      <c r="AT80" s="1620">
        <v>1.92</v>
      </c>
      <c r="AU80" s="1620">
        <v>4.6900000000000004</v>
      </c>
      <c r="AV80" s="1620">
        <v>2.98</v>
      </c>
      <c r="AW80" s="1620">
        <v>5.12</v>
      </c>
      <c r="AX80" s="1620"/>
      <c r="AY80" s="1620">
        <v>1</v>
      </c>
      <c r="AZ80" s="1620">
        <v>1</v>
      </c>
      <c r="BA80" s="1620">
        <v>1</v>
      </c>
      <c r="BB80" s="1620">
        <v>1</v>
      </c>
      <c r="BC80" s="1620">
        <v>1</v>
      </c>
      <c r="BD80" s="1620">
        <v>1</v>
      </c>
      <c r="BE80" s="1620">
        <v>1</v>
      </c>
      <c r="BF80" s="1620">
        <v>1</v>
      </c>
      <c r="BG80" s="1620">
        <v>1</v>
      </c>
      <c r="BH80" s="1620">
        <v>1</v>
      </c>
      <c r="BI80" s="1620">
        <v>1</v>
      </c>
      <c r="BJ80" s="1603"/>
      <c r="BK80" s="1620">
        <v>12.5</v>
      </c>
      <c r="BL80" s="1620">
        <v>2.9999999999999996</v>
      </c>
      <c r="BM80" s="1620">
        <v>8.6999999999999993</v>
      </c>
      <c r="BN80" s="1620">
        <v>28.7</v>
      </c>
      <c r="BO80" s="1620"/>
      <c r="BP80" s="1620">
        <v>0</v>
      </c>
      <c r="BQ80" s="1620">
        <v>0</v>
      </c>
      <c r="BR80" s="1620">
        <v>0.31141258226868029</v>
      </c>
      <c r="BS80" s="1620">
        <v>0.44021307903525109</v>
      </c>
      <c r="BT80" s="1603"/>
      <c r="BU80" s="1620">
        <v>913</v>
      </c>
      <c r="BV80" s="1620">
        <v>122.4417142857135</v>
      </c>
      <c r="BW80" s="1620">
        <v>110.86445788</v>
      </c>
      <c r="BX80" s="1620">
        <v>20.999999999999996</v>
      </c>
      <c r="BY80" s="1620">
        <v>69.999999999999986</v>
      </c>
      <c r="BZ80" s="1620">
        <v>271.94564571428651</v>
      </c>
      <c r="CA80" s="1620">
        <v>346.11264</v>
      </c>
      <c r="CB80" s="1603"/>
      <c r="CC80" s="1603">
        <v>7.5491999999999999</v>
      </c>
      <c r="CD80" s="1603">
        <v>2.8892000000000002</v>
      </c>
      <c r="CE80" s="1603">
        <v>2.0503999999999998</v>
      </c>
      <c r="CF80" s="1603">
        <v>0</v>
      </c>
      <c r="CG80" s="1603">
        <v>17.707999999999998</v>
      </c>
      <c r="CH80" s="1603">
        <v>2.0503999999999998</v>
      </c>
      <c r="CI80" s="1603">
        <v>2.33</v>
      </c>
      <c r="CJ80" s="1603"/>
      <c r="CK80" s="1603">
        <v>391.44</v>
      </c>
      <c r="CL80" s="1603">
        <v>7.5491999999999999</v>
      </c>
      <c r="CM80" s="1603">
        <v>82.947999999999993</v>
      </c>
      <c r="CN80" s="1603">
        <v>31.687999999999995</v>
      </c>
      <c r="CO80" s="1603">
        <v>0</v>
      </c>
      <c r="CP80" s="1603">
        <v>6.5239999999999895E-2</v>
      </c>
      <c r="CQ80" s="1603">
        <v>48.128529529142803</v>
      </c>
      <c r="CR80" s="1603">
        <v>165.82519809139606</v>
      </c>
      <c r="CS80" s="1603">
        <v>6.7656680821289727</v>
      </c>
      <c r="CT80" s="1603">
        <v>2.6366206496531994</v>
      </c>
      <c r="CU80" s="1603">
        <v>1.3763491441585864</v>
      </c>
      <c r="CV80" s="1603">
        <v>4.0129697938117994</v>
      </c>
      <c r="CW80" s="1603">
        <v>6.5998428840375514</v>
      </c>
      <c r="CX80" s="1603">
        <v>2.2883877336612701</v>
      </c>
      <c r="CY80" s="1603">
        <v>6.6661729632741542</v>
      </c>
      <c r="CZ80" s="1603">
        <v>11.823336623916534</v>
      </c>
      <c r="DA80" s="1603">
        <v>3.1838438033548084</v>
      </c>
      <c r="DB80" s="1603">
        <v>7.777201790486485</v>
      </c>
      <c r="DC80" s="1603">
        <v>4.9415909031235845</v>
      </c>
      <c r="DD80" s="1603">
        <v>12.718792693610068</v>
      </c>
      <c r="DE80" s="1603">
        <v>8.4902501422795087</v>
      </c>
      <c r="DF80" s="1603">
        <v>0</v>
      </c>
      <c r="DG80" s="1603">
        <v>0</v>
      </c>
      <c r="DH80" s="1603">
        <v>0</v>
      </c>
      <c r="DI80" s="1603">
        <v>0</v>
      </c>
      <c r="DJ80" s="1603">
        <v>0</v>
      </c>
      <c r="DK80" s="1603">
        <v>0</v>
      </c>
      <c r="DL80" s="1603">
        <v>0</v>
      </c>
      <c r="DM80" s="1603">
        <v>0</v>
      </c>
      <c r="DN80" s="1603">
        <v>0</v>
      </c>
      <c r="DO80" s="1603">
        <v>0</v>
      </c>
      <c r="DP80" s="1603">
        <v>0</v>
      </c>
      <c r="DQ80" s="1603">
        <v>0</v>
      </c>
      <c r="DR80" s="1603">
        <v>0</v>
      </c>
      <c r="DS80" s="1603">
        <v>0</v>
      </c>
      <c r="DT80" s="1603">
        <v>0</v>
      </c>
      <c r="DU80" s="1603">
        <v>0</v>
      </c>
      <c r="DV80" s="1603">
        <v>0</v>
      </c>
      <c r="DW80" s="1618" t="s">
        <v>3591</v>
      </c>
      <c r="DX80" s="1605">
        <v>5</v>
      </c>
      <c r="DY80" s="1605">
        <v>4</v>
      </c>
      <c r="DZ80" s="1605">
        <v>3</v>
      </c>
      <c r="EA80" s="1605">
        <v>5</v>
      </c>
      <c r="EB80" s="1605">
        <v>5</v>
      </c>
      <c r="EC80" s="1605">
        <v>3</v>
      </c>
      <c r="ED80" s="1605">
        <v>3</v>
      </c>
      <c r="EE80" s="1605">
        <v>3</v>
      </c>
      <c r="EF80" s="1605">
        <v>3</v>
      </c>
      <c r="EG80" s="1605">
        <v>3</v>
      </c>
      <c r="EH80" s="1605" t="s">
        <v>986</v>
      </c>
      <c r="EI80" s="1605" t="s">
        <v>986</v>
      </c>
      <c r="EJ80" s="1605" t="s">
        <v>986</v>
      </c>
      <c r="EK80" s="1605" t="s">
        <v>986</v>
      </c>
      <c r="EL80" s="1605" t="s">
        <v>986</v>
      </c>
      <c r="EM80" s="1605" t="s">
        <v>986</v>
      </c>
      <c r="EN80" s="1605" t="s">
        <v>986</v>
      </c>
      <c r="EO80" s="1605" t="s">
        <v>986</v>
      </c>
      <c r="EP80" s="1605" t="s">
        <v>986</v>
      </c>
      <c r="EQ80" s="1605" t="s">
        <v>986</v>
      </c>
      <c r="ER80" s="1605" t="s">
        <v>986</v>
      </c>
      <c r="ES80" s="1605">
        <v>2</v>
      </c>
      <c r="ET80" s="1605">
        <v>2</v>
      </c>
      <c r="EU80" s="1605" t="s">
        <v>986</v>
      </c>
      <c r="EV80" s="1605" t="s">
        <v>986</v>
      </c>
      <c r="EW80" s="1605" t="s">
        <v>986</v>
      </c>
      <c r="EX80" s="1605" t="s">
        <v>986</v>
      </c>
      <c r="EY80" s="1605" t="s">
        <v>986</v>
      </c>
      <c r="EZ80" s="1605" t="s">
        <v>986</v>
      </c>
      <c r="FA80" s="1605" t="s">
        <v>986</v>
      </c>
      <c r="FB80" s="1605" t="s">
        <v>986</v>
      </c>
      <c r="FC80" s="1605" t="s">
        <v>986</v>
      </c>
      <c r="FD80" s="1605" t="s">
        <v>986</v>
      </c>
      <c r="FE80" s="1605" t="s">
        <v>986</v>
      </c>
      <c r="FF80" s="1605">
        <v>0.7</v>
      </c>
      <c r="FG80" s="1605">
        <v>2.8</v>
      </c>
      <c r="FH80" s="1605">
        <v>0.4</v>
      </c>
      <c r="FI80" s="1605">
        <v>2.9</v>
      </c>
      <c r="FJ80" s="1605">
        <v>1.3</v>
      </c>
      <c r="FK80" s="1605">
        <v>3.9</v>
      </c>
      <c r="FL80" s="1605">
        <v>3.3</v>
      </c>
      <c r="FM80" s="1605">
        <v>5.4</v>
      </c>
      <c r="FN80" s="1605">
        <v>6.1</v>
      </c>
      <c r="FO80" s="1605">
        <v>5.4</v>
      </c>
      <c r="FP80" s="1605" t="s">
        <v>986</v>
      </c>
      <c r="FQ80" s="1605" t="s">
        <v>986</v>
      </c>
      <c r="FR80" s="1605" t="s">
        <v>986</v>
      </c>
      <c r="FS80" s="1605" t="s">
        <v>986</v>
      </c>
      <c r="FT80" s="1605" t="s">
        <v>986</v>
      </c>
      <c r="FU80" s="1605" t="s">
        <v>986</v>
      </c>
      <c r="FV80" s="1605" t="s">
        <v>986</v>
      </c>
      <c r="FW80" s="1605" t="s">
        <v>986</v>
      </c>
      <c r="FX80" s="1605" t="s">
        <v>986</v>
      </c>
      <c r="FY80" s="1605" t="s">
        <v>986</v>
      </c>
      <c r="FZ80" s="1605" t="s">
        <v>986</v>
      </c>
      <c r="GA80" s="1605" t="s">
        <v>986</v>
      </c>
      <c r="GB80" s="1605">
        <v>0.1</v>
      </c>
      <c r="GC80" s="1605" t="s">
        <v>986</v>
      </c>
      <c r="GD80" s="1605" t="s">
        <v>986</v>
      </c>
      <c r="GE80" s="1605" t="s">
        <v>986</v>
      </c>
      <c r="GF80" s="1605" t="s">
        <v>986</v>
      </c>
      <c r="GG80" s="1605" t="s">
        <v>986</v>
      </c>
      <c r="GH80" s="1605" t="s">
        <v>986</v>
      </c>
      <c r="GI80" s="1605" t="s">
        <v>986</v>
      </c>
      <c r="GJ80" s="1605" t="s">
        <v>986</v>
      </c>
      <c r="GK80" s="1605" t="s">
        <v>986</v>
      </c>
      <c r="GL80" s="1605" t="s">
        <v>986</v>
      </c>
      <c r="GM80" s="1605" t="s">
        <v>986</v>
      </c>
      <c r="GN80" s="1605" t="s">
        <v>1579</v>
      </c>
      <c r="GO80" s="1605" t="s">
        <v>1579</v>
      </c>
      <c r="GP80" s="1605" t="s">
        <v>1579</v>
      </c>
      <c r="GQ80" s="1605" t="s">
        <v>1579</v>
      </c>
      <c r="GR80" s="1605" t="s">
        <v>1579</v>
      </c>
      <c r="GS80" s="1605" t="s">
        <v>1579</v>
      </c>
      <c r="GT80" s="1605" t="s">
        <v>1579</v>
      </c>
      <c r="GU80" s="1605" t="s">
        <v>1579</v>
      </c>
      <c r="GV80" s="1605" t="s">
        <v>1579</v>
      </c>
      <c r="GW80" s="1605" t="s">
        <v>1579</v>
      </c>
      <c r="GX80" s="1605" t="s">
        <v>1583</v>
      </c>
      <c r="GY80" s="1605" t="s">
        <v>1583</v>
      </c>
      <c r="GZ80" s="1605" t="s">
        <v>1583</v>
      </c>
      <c r="HA80" s="1605" t="s">
        <v>1583</v>
      </c>
      <c r="HB80" s="1605" t="s">
        <v>1583</v>
      </c>
      <c r="HC80" s="1605" t="s">
        <v>1583</v>
      </c>
      <c r="HD80" s="1605" t="s">
        <v>1583</v>
      </c>
      <c r="HE80" s="1605" t="s">
        <v>1583</v>
      </c>
      <c r="HF80" s="1605" t="s">
        <v>1583</v>
      </c>
      <c r="HG80" s="1605" t="s">
        <v>1583</v>
      </c>
      <c r="HH80" s="1605" t="s">
        <v>1583</v>
      </c>
      <c r="HI80" s="1605" t="s">
        <v>1579</v>
      </c>
      <c r="HJ80" s="1605" t="s">
        <v>1579</v>
      </c>
      <c r="HK80" s="1605" t="s">
        <v>986</v>
      </c>
      <c r="HL80" s="1605" t="s">
        <v>986</v>
      </c>
      <c r="HM80" s="1605" t="s">
        <v>986</v>
      </c>
      <c r="HN80" s="1605" t="s">
        <v>986</v>
      </c>
      <c r="HO80" s="1605" t="s">
        <v>986</v>
      </c>
      <c r="HP80" s="1605" t="s">
        <v>986</v>
      </c>
      <c r="HQ80" s="1605" t="s">
        <v>986</v>
      </c>
      <c r="HR80" s="1605" t="s">
        <v>986</v>
      </c>
      <c r="HS80" s="1605" t="s">
        <v>986</v>
      </c>
      <c r="HT80" s="1605" t="s">
        <v>986</v>
      </c>
      <c r="HU80" s="1605" t="s">
        <v>986</v>
      </c>
      <c r="HV80" s="1617"/>
      <c r="HW80" s="1617" t="s">
        <v>3590</v>
      </c>
      <c r="HX80" s="1617" t="s">
        <v>3589</v>
      </c>
      <c r="HY80" s="1617" t="s">
        <v>3588</v>
      </c>
      <c r="HZ80" s="1603"/>
      <c r="IA80" s="1603"/>
      <c r="IB80" s="1603"/>
      <c r="IC80" s="1603">
        <v>50</v>
      </c>
      <c r="ID80" s="1603">
        <v>50</v>
      </c>
      <c r="IE80" s="1603">
        <v>50</v>
      </c>
      <c r="IF80" s="1603">
        <v>50</v>
      </c>
      <c r="IG80" s="1611" t="s">
        <v>3388</v>
      </c>
      <c r="IH80" s="1616" t="s">
        <v>3587</v>
      </c>
      <c r="II80" s="1615" t="s">
        <v>3586</v>
      </c>
      <c r="IJ80" s="1613">
        <v>0.64479347826086952</v>
      </c>
      <c r="IK80" s="1613">
        <v>0.63141304347826088</v>
      </c>
      <c r="IL80" s="1614">
        <v>0.64479347826086952</v>
      </c>
      <c r="IM80" s="1614">
        <v>0.63141304347826088</v>
      </c>
      <c r="IN80" s="1612">
        <v>1.3859999999999999</v>
      </c>
      <c r="IO80" s="1613">
        <v>0.74120652173913038</v>
      </c>
      <c r="IP80" s="1607" t="s">
        <v>270</v>
      </c>
      <c r="IQ80" s="1612">
        <v>1.34</v>
      </c>
      <c r="IR80" s="1612">
        <v>-9.8000000000000004E-2</v>
      </c>
      <c r="IS80" s="1607">
        <v>0.52579347826086953</v>
      </c>
      <c r="IT80" s="1607">
        <v>0.51241304347826089</v>
      </c>
      <c r="IU80" s="1611">
        <v>1.0869565217391305E-5</v>
      </c>
      <c r="IV80" s="1611">
        <v>1.844565217391304E-2</v>
      </c>
      <c r="IW80" s="1611">
        <v>8.1521739130434778E-4</v>
      </c>
      <c r="IX80" s="1611">
        <v>1.1956521739130434E-3</v>
      </c>
      <c r="IY80" s="1611">
        <v>8.2608695652173906E-4</v>
      </c>
      <c r="IZ80" s="1611">
        <v>7.2282608695652178E-3</v>
      </c>
      <c r="JA80" s="1611">
        <v>1.8478260869565218E-4</v>
      </c>
      <c r="JB80" s="1611" t="s">
        <v>270</v>
      </c>
      <c r="JC80" s="1611">
        <v>0.25372826086956524</v>
      </c>
      <c r="JD80" s="1611">
        <v>1.5119565217391304E-2</v>
      </c>
      <c r="JE80" s="1611" t="s">
        <v>270</v>
      </c>
      <c r="JF80" s="1611">
        <v>2.8260869565217394E-4</v>
      </c>
      <c r="JG80" s="1611">
        <v>1.2608913043478263</v>
      </c>
      <c r="JH80" s="1611">
        <v>5.7608695652173916E-4</v>
      </c>
      <c r="JI80" s="1611">
        <v>9.4152173913043494E-2</v>
      </c>
      <c r="JJ80" s="1611" t="s">
        <v>270</v>
      </c>
      <c r="JK80" s="1607">
        <f t="shared" si="10"/>
        <v>0.11899999999999999</v>
      </c>
      <c r="JL80" s="1608" t="s">
        <v>270</v>
      </c>
      <c r="JM80" s="1610" t="s">
        <v>2924</v>
      </c>
      <c r="JN80" s="1608">
        <v>1.3380434782608641E-2</v>
      </c>
      <c r="JO80" s="1609" t="s">
        <v>3077</v>
      </c>
      <c r="JP80" s="1608" t="s">
        <v>270</v>
      </c>
      <c r="JQ80" s="1607">
        <v>202103</v>
      </c>
      <c r="JR80" s="1606">
        <v>850</v>
      </c>
      <c r="JS80" s="1606">
        <v>773</v>
      </c>
      <c r="JT80" s="1606">
        <v>773</v>
      </c>
    </row>
    <row r="81" spans="1:280" ht="15" customHeight="1" x14ac:dyDescent="0.2">
      <c r="A81" s="1626">
        <v>71710</v>
      </c>
      <c r="B81" s="1625">
        <v>717</v>
      </c>
      <c r="C81" s="1624">
        <v>10</v>
      </c>
      <c r="D81" s="1623" t="s">
        <v>3585</v>
      </c>
      <c r="E81" s="1622">
        <v>44181</v>
      </c>
      <c r="F81" s="1620">
        <v>1.05918488116531</v>
      </c>
      <c r="G81" s="1620">
        <v>1.06364994096104</v>
      </c>
      <c r="H81" s="1621">
        <v>72.78</v>
      </c>
      <c r="I81" s="1621">
        <v>72.78</v>
      </c>
      <c r="J81" s="1621">
        <v>77</v>
      </c>
      <c r="K81" s="1620">
        <v>1</v>
      </c>
      <c r="L81" s="1620">
        <v>92.32</v>
      </c>
      <c r="M81" s="1620">
        <v>51.920099999999998</v>
      </c>
      <c r="N81" s="1620">
        <v>12.76</v>
      </c>
      <c r="O81" s="1620">
        <v>7.66</v>
      </c>
      <c r="P81" s="1620" t="s">
        <v>270</v>
      </c>
      <c r="Q81" s="1603"/>
      <c r="R81" s="1620">
        <v>89.5</v>
      </c>
      <c r="S81" s="1620">
        <v>50</v>
      </c>
      <c r="T81" s="1620">
        <v>50</v>
      </c>
      <c r="U81" s="1620">
        <v>50</v>
      </c>
      <c r="V81" s="1620">
        <v>50</v>
      </c>
      <c r="W81" s="1620">
        <v>50</v>
      </c>
      <c r="X81" s="1620"/>
      <c r="Y81" s="1620">
        <v>12.21837088388215</v>
      </c>
      <c r="Z81" s="1620">
        <v>4.5385615251299836</v>
      </c>
      <c r="AA81" s="1620">
        <v>0.74740034662045063</v>
      </c>
      <c r="AB81" s="1620">
        <v>2.5996533795493937</v>
      </c>
      <c r="AC81" s="1620">
        <v>4.9176776429809363</v>
      </c>
      <c r="AD81" s="1620">
        <v>1.906412478336222</v>
      </c>
      <c r="AE81" s="1620">
        <v>62.824956672443676</v>
      </c>
      <c r="AF81" s="1620">
        <v>1501.2998266897748</v>
      </c>
      <c r="AG81" s="1620">
        <v>19.865684575389949</v>
      </c>
      <c r="AH81" s="1620">
        <v>133.01559792027732</v>
      </c>
      <c r="AI81" s="1620">
        <v>51.668110918544201</v>
      </c>
      <c r="AJ81" s="1620">
        <v>2.4913344887348354</v>
      </c>
      <c r="AK81" s="1620">
        <v>0.21663778162911612</v>
      </c>
      <c r="AL81" s="1620"/>
      <c r="AM81" s="1620">
        <v>5.7453775038520796</v>
      </c>
      <c r="AN81" s="1620">
        <v>2.04738058551618</v>
      </c>
      <c r="AO81" s="1620">
        <v>0.68567026194144798</v>
      </c>
      <c r="AP81" s="1620">
        <v>4.6032357473035397</v>
      </c>
      <c r="AQ81" s="1620">
        <v>2.2149460708782698</v>
      </c>
      <c r="AR81" s="1620">
        <v>4.4799691833590103</v>
      </c>
      <c r="AS81" s="1620">
        <v>8.6440677966101696</v>
      </c>
      <c r="AT81" s="1620">
        <v>2.1147919876733399</v>
      </c>
      <c r="AU81" s="1620">
        <v>5.6201848998459196</v>
      </c>
      <c r="AV81" s="1620">
        <v>3.8424499229584002</v>
      </c>
      <c r="AW81" s="1620">
        <v>5.5874422187981496</v>
      </c>
      <c r="AX81" s="1620"/>
      <c r="AY81" s="1620">
        <v>1</v>
      </c>
      <c r="AZ81" s="1620">
        <v>1</v>
      </c>
      <c r="BA81" s="1620">
        <v>1</v>
      </c>
      <c r="BB81" s="1620">
        <v>1</v>
      </c>
      <c r="BC81" s="1620">
        <v>1</v>
      </c>
      <c r="BD81" s="1620">
        <v>1</v>
      </c>
      <c r="BE81" s="1620">
        <v>1</v>
      </c>
      <c r="BF81" s="1620">
        <v>1</v>
      </c>
      <c r="BG81" s="1620">
        <v>1</v>
      </c>
      <c r="BH81" s="1620">
        <v>1</v>
      </c>
      <c r="BI81" s="1620">
        <v>1</v>
      </c>
      <c r="BJ81" s="1603"/>
      <c r="BK81" s="1620">
        <v>56.239276429809365</v>
      </c>
      <c r="BL81" s="1620">
        <v>13.821490467937609</v>
      </c>
      <c r="BM81" s="1620">
        <v>8.2972270363951477</v>
      </c>
      <c r="BN81" s="1620" t="s">
        <v>270</v>
      </c>
      <c r="BO81" s="1620"/>
      <c r="BP81" s="1620">
        <v>0</v>
      </c>
      <c r="BQ81" s="1620">
        <v>0</v>
      </c>
      <c r="BR81" s="1620">
        <v>1.1472973149537586</v>
      </c>
      <c r="BS81" s="1620">
        <v>1.1521338181987002</v>
      </c>
      <c r="BT81" s="1603"/>
      <c r="BU81" s="1620">
        <v>917.02772963604855</v>
      </c>
      <c r="BV81" s="1620">
        <v>21.566908578856264</v>
      </c>
      <c r="BW81" s="1620">
        <v>0</v>
      </c>
      <c r="BX81" s="1620">
        <v>21.000000000000004</v>
      </c>
      <c r="BY81" s="1620">
        <v>70</v>
      </c>
      <c r="BZ81" s="1620">
        <v>51.091992634315424</v>
      </c>
      <c r="CA81" s="1620">
        <v>65.026172443674184</v>
      </c>
      <c r="CB81" s="1603"/>
      <c r="CC81" s="1603">
        <v>11.28</v>
      </c>
      <c r="CD81" s="1603">
        <v>4.1900000000000004</v>
      </c>
      <c r="CE81" s="1603">
        <v>0.69</v>
      </c>
      <c r="CF81" s="1603">
        <v>2.4</v>
      </c>
      <c r="CG81" s="1603">
        <v>4.54</v>
      </c>
      <c r="CH81" s="1603">
        <v>1.76</v>
      </c>
      <c r="CI81" s="1603">
        <v>57.999999999999993</v>
      </c>
      <c r="CJ81" s="1603"/>
      <c r="CK81" s="1603">
        <v>1386</v>
      </c>
      <c r="CL81" s="1603">
        <v>18.34</v>
      </c>
      <c r="CM81" s="1603">
        <v>122.80000000000001</v>
      </c>
      <c r="CN81" s="1603">
        <v>47.7</v>
      </c>
      <c r="CO81" s="1603">
        <v>2.2999999999999998</v>
      </c>
      <c r="CP81" s="1603">
        <v>0.19999999999999998</v>
      </c>
      <c r="CQ81" s="1603">
        <v>464.68489499999998</v>
      </c>
      <c r="CR81" s="1603">
        <v>438.71934282970125</v>
      </c>
      <c r="CS81" s="1603">
        <v>25.206082427985379</v>
      </c>
      <c r="CT81" s="1603">
        <v>8.9822546499994687</v>
      </c>
      <c r="CU81" s="1603">
        <v>3.0081680671682096</v>
      </c>
      <c r="CV81" s="1603">
        <v>11.990422717167696</v>
      </c>
      <c r="CW81" s="1603">
        <v>20.19528561947196</v>
      </c>
      <c r="CX81" s="1603">
        <v>9.7173968461894216</v>
      </c>
      <c r="CY81" s="1603">
        <v>19.65449136020581</v>
      </c>
      <c r="CZ81" s="1603">
        <v>37.923197431041991</v>
      </c>
      <c r="DA81" s="1603">
        <v>9.2780015105356686</v>
      </c>
      <c r="DB81" s="1603">
        <v>24.656838258418155</v>
      </c>
      <c r="DC81" s="1603">
        <v>16.857571050563436</v>
      </c>
      <c r="DD81" s="1603">
        <v>41.514409308981591</v>
      </c>
      <c r="DE81" s="1603">
        <v>24.513189783300568</v>
      </c>
      <c r="DF81" s="1603">
        <v>0</v>
      </c>
      <c r="DG81" s="1603">
        <v>0</v>
      </c>
      <c r="DH81" s="1603">
        <v>0</v>
      </c>
      <c r="DI81" s="1603">
        <v>0</v>
      </c>
      <c r="DJ81" s="1603">
        <v>0</v>
      </c>
      <c r="DK81" s="1603">
        <v>0</v>
      </c>
      <c r="DL81" s="1603">
        <v>0</v>
      </c>
      <c r="DM81" s="1603">
        <v>0</v>
      </c>
      <c r="DN81" s="1603">
        <v>0</v>
      </c>
      <c r="DO81" s="1603">
        <v>0</v>
      </c>
      <c r="DP81" s="1603">
        <v>0</v>
      </c>
      <c r="DQ81" s="1603">
        <v>0</v>
      </c>
      <c r="DR81" s="1603">
        <v>0</v>
      </c>
      <c r="DS81" s="1603">
        <v>0</v>
      </c>
      <c r="DT81" s="1603">
        <v>0</v>
      </c>
      <c r="DU81" s="1603">
        <v>0</v>
      </c>
      <c r="DV81" s="1603">
        <v>0</v>
      </c>
      <c r="DW81" s="1618" t="s">
        <v>986</v>
      </c>
      <c r="DX81" s="1605">
        <v>5</v>
      </c>
      <c r="DY81" s="1605">
        <v>5</v>
      </c>
      <c r="DZ81" s="1605">
        <v>5</v>
      </c>
      <c r="EA81" s="1605">
        <v>5</v>
      </c>
      <c r="EB81" s="1605" t="s">
        <v>986</v>
      </c>
      <c r="EC81" s="1605">
        <v>5</v>
      </c>
      <c r="ED81" s="1605">
        <v>5</v>
      </c>
      <c r="EE81" s="1605">
        <v>5</v>
      </c>
      <c r="EF81" s="1605">
        <v>5</v>
      </c>
      <c r="EG81" s="1605">
        <v>5</v>
      </c>
      <c r="EH81" s="1605">
        <v>5</v>
      </c>
      <c r="EI81" s="1605">
        <v>5</v>
      </c>
      <c r="EJ81" s="1605">
        <v>5</v>
      </c>
      <c r="EK81" s="1605">
        <v>5</v>
      </c>
      <c r="EL81" s="1605">
        <v>5</v>
      </c>
      <c r="EM81" s="1605">
        <v>5</v>
      </c>
      <c r="EN81" s="1605">
        <v>5</v>
      </c>
      <c r="EO81" s="1605">
        <v>5</v>
      </c>
      <c r="EP81" s="1605">
        <v>5</v>
      </c>
      <c r="EQ81" s="1605">
        <v>5</v>
      </c>
      <c r="ER81" s="1605">
        <v>5</v>
      </c>
      <c r="ES81" s="1605">
        <v>5</v>
      </c>
      <c r="ET81" s="1605">
        <v>5</v>
      </c>
      <c r="EU81" s="1605">
        <v>5</v>
      </c>
      <c r="EV81" s="1605" t="s">
        <v>986</v>
      </c>
      <c r="EW81" s="1605">
        <v>5</v>
      </c>
      <c r="EX81" s="1605">
        <v>5</v>
      </c>
      <c r="EY81" s="1605" t="s">
        <v>986</v>
      </c>
      <c r="EZ81" s="1605">
        <v>5</v>
      </c>
      <c r="FA81" s="1605">
        <v>5</v>
      </c>
      <c r="FB81" s="1605">
        <v>5</v>
      </c>
      <c r="FC81" s="1605">
        <v>5</v>
      </c>
      <c r="FD81" s="1605" t="s">
        <v>986</v>
      </c>
      <c r="FE81" s="1605" t="s">
        <v>986</v>
      </c>
      <c r="FF81" s="1605">
        <v>0.6</v>
      </c>
      <c r="FG81" s="1605">
        <v>0.2</v>
      </c>
      <c r="FH81" s="1605">
        <v>0.9</v>
      </c>
      <c r="FI81" s="1605">
        <v>0.1</v>
      </c>
      <c r="FJ81" s="1605" t="s">
        <v>986</v>
      </c>
      <c r="FK81" s="1605">
        <v>1.6</v>
      </c>
      <c r="FL81" s="1605">
        <v>1.6</v>
      </c>
      <c r="FM81" s="1605" t="s">
        <v>986</v>
      </c>
      <c r="FN81" s="1605">
        <v>4.0999999999999996</v>
      </c>
      <c r="FO81" s="1605">
        <v>3.5</v>
      </c>
      <c r="FP81" s="1605">
        <v>0.5</v>
      </c>
      <c r="FQ81" s="1605">
        <v>0.5</v>
      </c>
      <c r="FR81" s="1605">
        <v>0.2</v>
      </c>
      <c r="FS81" s="1605">
        <v>0.6</v>
      </c>
      <c r="FT81" s="1605" t="s">
        <v>986</v>
      </c>
      <c r="FU81" s="1605">
        <v>0.2</v>
      </c>
      <c r="FV81" s="1605">
        <v>0.9</v>
      </c>
      <c r="FW81" s="1605">
        <v>0.2</v>
      </c>
      <c r="FX81" s="1605">
        <v>0.6</v>
      </c>
      <c r="FY81" s="1605">
        <v>0.3</v>
      </c>
      <c r="FZ81" s="1605">
        <v>0.6</v>
      </c>
      <c r="GA81" s="1605">
        <v>0.6</v>
      </c>
      <c r="GB81" s="1605">
        <v>0.2</v>
      </c>
      <c r="GC81" s="1605">
        <v>0.1</v>
      </c>
      <c r="GD81" s="1605" t="s">
        <v>986</v>
      </c>
      <c r="GE81" s="1605">
        <v>0.3</v>
      </c>
      <c r="GF81" s="1605">
        <v>0.1</v>
      </c>
      <c r="GG81" s="1605" t="s">
        <v>986</v>
      </c>
      <c r="GH81" s="1605">
        <v>69</v>
      </c>
      <c r="GI81" s="1605">
        <v>1.4</v>
      </c>
      <c r="GJ81" s="1605">
        <v>5.7</v>
      </c>
      <c r="GK81" s="1605">
        <v>2.8</v>
      </c>
      <c r="GL81" s="1605" t="s">
        <v>986</v>
      </c>
      <c r="GM81" s="1605" t="s">
        <v>986</v>
      </c>
      <c r="GN81" s="1605" t="s">
        <v>1763</v>
      </c>
      <c r="GO81" s="1605" t="s">
        <v>1763</v>
      </c>
      <c r="GP81" s="1605" t="s">
        <v>1763</v>
      </c>
      <c r="GQ81" s="1605" t="s">
        <v>1763</v>
      </c>
      <c r="GR81" s="1605" t="s">
        <v>986</v>
      </c>
      <c r="GS81" s="1605" t="s">
        <v>1763</v>
      </c>
      <c r="GT81" s="1605" t="s">
        <v>1763</v>
      </c>
      <c r="GU81" s="1605" t="s">
        <v>1763</v>
      </c>
      <c r="GV81" s="1605" t="s">
        <v>1763</v>
      </c>
      <c r="GW81" s="1605" t="s">
        <v>1763</v>
      </c>
      <c r="GX81" s="1605" t="s">
        <v>1763</v>
      </c>
      <c r="GY81" s="1605" t="s">
        <v>1763</v>
      </c>
      <c r="GZ81" s="1605" t="s">
        <v>1763</v>
      </c>
      <c r="HA81" s="1605" t="s">
        <v>1763</v>
      </c>
      <c r="HB81" s="1605" t="s">
        <v>986</v>
      </c>
      <c r="HC81" s="1605" t="s">
        <v>1763</v>
      </c>
      <c r="HD81" s="1605" t="s">
        <v>1763</v>
      </c>
      <c r="HE81" s="1605" t="s">
        <v>1763</v>
      </c>
      <c r="HF81" s="1605" t="s">
        <v>1763</v>
      </c>
      <c r="HG81" s="1605" t="s">
        <v>1763</v>
      </c>
      <c r="HH81" s="1605" t="s">
        <v>1763</v>
      </c>
      <c r="HI81" s="1605" t="s">
        <v>1763</v>
      </c>
      <c r="HJ81" s="1605" t="s">
        <v>1763</v>
      </c>
      <c r="HK81" s="1605" t="s">
        <v>1763</v>
      </c>
      <c r="HL81" s="1605" t="s">
        <v>986</v>
      </c>
      <c r="HM81" s="1605" t="s">
        <v>1763</v>
      </c>
      <c r="HN81" s="1605" t="s">
        <v>1763</v>
      </c>
      <c r="HO81" s="1605" t="s">
        <v>986</v>
      </c>
      <c r="HP81" s="1605" t="s">
        <v>1763</v>
      </c>
      <c r="HQ81" s="1605" t="s">
        <v>1763</v>
      </c>
      <c r="HR81" s="1605" t="s">
        <v>1763</v>
      </c>
      <c r="HS81" s="1605" t="s">
        <v>1763</v>
      </c>
      <c r="HT81" s="1605" t="s">
        <v>986</v>
      </c>
      <c r="HU81" s="1605" t="s">
        <v>986</v>
      </c>
      <c r="HV81" s="1617"/>
      <c r="HW81" s="1617" t="s">
        <v>3584</v>
      </c>
      <c r="HX81" s="1617">
        <v>0</v>
      </c>
      <c r="HY81" s="1617">
        <v>0</v>
      </c>
      <c r="HZ81" s="1603"/>
      <c r="IA81" s="1603"/>
      <c r="IB81" s="1603"/>
      <c r="IC81" s="1603">
        <v>50</v>
      </c>
      <c r="ID81" s="1603">
        <v>50</v>
      </c>
      <c r="IE81" s="1603">
        <v>50</v>
      </c>
      <c r="IF81" s="1603">
        <v>50</v>
      </c>
      <c r="IG81" s="1611" t="s">
        <v>270</v>
      </c>
      <c r="IH81" s="1616" t="s">
        <v>270</v>
      </c>
      <c r="II81" s="1615" t="s">
        <v>270</v>
      </c>
      <c r="IJ81" s="1613">
        <v>0.76100000000000001</v>
      </c>
      <c r="IK81" s="1613">
        <v>0.76100000000000001</v>
      </c>
      <c r="IL81" s="1614">
        <v>0.76100000000000001</v>
      </c>
      <c r="IM81" s="1614">
        <v>0.76100000000000001</v>
      </c>
      <c r="IN81" s="1612">
        <v>0.76100000000000001</v>
      </c>
      <c r="IO81" s="1613">
        <v>0</v>
      </c>
      <c r="IP81" s="1607" t="s">
        <v>270</v>
      </c>
      <c r="IQ81" s="1612" t="s">
        <v>270</v>
      </c>
      <c r="IR81" s="1612" t="s">
        <v>270</v>
      </c>
      <c r="IS81" s="1607" t="s">
        <v>270</v>
      </c>
      <c r="IT81" s="1607" t="s">
        <v>270</v>
      </c>
      <c r="IU81" s="1611" t="s">
        <v>270</v>
      </c>
      <c r="IV81" s="1611" t="s">
        <v>270</v>
      </c>
      <c r="IW81" s="1611" t="s">
        <v>270</v>
      </c>
      <c r="IX81" s="1611" t="s">
        <v>270</v>
      </c>
      <c r="IY81" s="1611" t="s">
        <v>270</v>
      </c>
      <c r="IZ81" s="1611" t="s">
        <v>270</v>
      </c>
      <c r="JA81" s="1611" t="s">
        <v>270</v>
      </c>
      <c r="JB81" s="1611" t="s">
        <v>270</v>
      </c>
      <c r="JC81" s="1611" t="s">
        <v>270</v>
      </c>
      <c r="JD81" s="1611" t="s">
        <v>270</v>
      </c>
      <c r="JE81" s="1611" t="s">
        <v>270</v>
      </c>
      <c r="JF81" s="1611" t="s">
        <v>270</v>
      </c>
      <c r="JG81" s="1611" t="s">
        <v>270</v>
      </c>
      <c r="JH81" s="1611" t="s">
        <v>270</v>
      </c>
      <c r="JI81" s="1611" t="s">
        <v>270</v>
      </c>
      <c r="JJ81" s="1611" t="s">
        <v>270</v>
      </c>
      <c r="JK81" s="1607" t="str">
        <f t="shared" si="10"/>
        <v/>
      </c>
      <c r="JL81" s="1608" t="s">
        <v>2946</v>
      </c>
      <c r="JM81" s="1610" t="s">
        <v>2945</v>
      </c>
      <c r="JN81" s="1608" t="s">
        <v>270</v>
      </c>
      <c r="JO81" s="1609" t="s">
        <v>270</v>
      </c>
      <c r="JP81" s="1608">
        <v>0.76100000000000001</v>
      </c>
      <c r="JQ81" s="1607" t="s">
        <v>270</v>
      </c>
      <c r="JR81" s="1606" t="s">
        <v>270</v>
      </c>
      <c r="JS81" s="1606" t="s">
        <v>270</v>
      </c>
      <c r="JT81" s="1606" t="s">
        <v>270</v>
      </c>
    </row>
    <row r="82" spans="1:280" ht="15" customHeight="1" x14ac:dyDescent="0.2">
      <c r="A82" s="1626">
        <v>71700</v>
      </c>
      <c r="B82" s="1625">
        <v>717</v>
      </c>
      <c r="C82" s="1624">
        <v>0</v>
      </c>
      <c r="D82" s="1623" t="s">
        <v>3583</v>
      </c>
      <c r="E82" s="1622">
        <v>44181</v>
      </c>
      <c r="F82" s="1620">
        <v>0.85473659866434404</v>
      </c>
      <c r="G82" s="1620">
        <v>0.87190399895732895</v>
      </c>
      <c r="H82" s="1621">
        <v>68.400000000000006</v>
      </c>
      <c r="I82" s="1621">
        <v>67.899996000000002</v>
      </c>
      <c r="J82" s="1621">
        <v>77</v>
      </c>
      <c r="K82" s="1620">
        <v>1</v>
      </c>
      <c r="L82" s="1620">
        <v>88</v>
      </c>
      <c r="M82" s="1620">
        <v>41.4</v>
      </c>
      <c r="N82" s="1620">
        <v>9.5999999999999908</v>
      </c>
      <c r="O82" s="1620">
        <v>10.9</v>
      </c>
      <c r="P82" s="1620" t="s">
        <v>270</v>
      </c>
      <c r="Q82" s="1603"/>
      <c r="R82" s="1620">
        <v>85.8</v>
      </c>
      <c r="S82" s="1620">
        <v>50</v>
      </c>
      <c r="T82" s="1620">
        <v>50</v>
      </c>
      <c r="U82" s="1620">
        <v>50</v>
      </c>
      <c r="V82" s="1620">
        <v>50</v>
      </c>
      <c r="W82" s="1620">
        <v>50</v>
      </c>
      <c r="X82" s="1620"/>
      <c r="Y82" s="1620">
        <v>7.3863636363636367</v>
      </c>
      <c r="Z82" s="1620">
        <v>2.9545454545454546</v>
      </c>
      <c r="AA82" s="1620">
        <v>1.8181818181818181</v>
      </c>
      <c r="AB82" s="1620">
        <v>5.6818181818181817</v>
      </c>
      <c r="AC82" s="1620">
        <v>10.340909090909102</v>
      </c>
      <c r="AD82" s="1620">
        <v>3.0681818181818183</v>
      </c>
      <c r="AE82" s="1620">
        <v>65.909090909090907</v>
      </c>
      <c r="AF82" s="1620">
        <v>1575</v>
      </c>
      <c r="AG82" s="1620">
        <v>20.84090909090909</v>
      </c>
      <c r="AH82" s="1620">
        <v>139.54545454545453</v>
      </c>
      <c r="AI82" s="1620">
        <v>54.204545454545453</v>
      </c>
      <c r="AJ82" s="1620">
        <v>2.6136363636363633</v>
      </c>
      <c r="AK82" s="1620">
        <v>0.22727272727272727</v>
      </c>
      <c r="AL82" s="1620"/>
      <c r="AM82" s="1620">
        <v>6.2801932367149798</v>
      </c>
      <c r="AN82" s="1620">
        <v>2.4637681159420302</v>
      </c>
      <c r="AO82" s="1620">
        <v>0.50724637681159401</v>
      </c>
      <c r="AP82" s="1620">
        <v>5.5555555555555598</v>
      </c>
      <c r="AQ82" s="1620">
        <v>2.6570048309178702</v>
      </c>
      <c r="AR82" s="1620">
        <v>5.0724637681159397</v>
      </c>
      <c r="AS82" s="1620">
        <v>9.7101449275362306</v>
      </c>
      <c r="AT82" s="1620">
        <v>2.3188405797101401</v>
      </c>
      <c r="AU82" s="1620">
        <v>6.5217391304347796</v>
      </c>
      <c r="AV82" s="1620">
        <v>4.2270531400966203</v>
      </c>
      <c r="AW82" s="1620">
        <v>6.5217391304347796</v>
      </c>
      <c r="AX82" s="1620"/>
      <c r="AY82" s="1620">
        <v>1</v>
      </c>
      <c r="AZ82" s="1620">
        <v>1</v>
      </c>
      <c r="BA82" s="1620">
        <v>1</v>
      </c>
      <c r="BB82" s="1620">
        <v>1</v>
      </c>
      <c r="BC82" s="1620">
        <v>1</v>
      </c>
      <c r="BD82" s="1620">
        <v>1</v>
      </c>
      <c r="BE82" s="1620">
        <v>1</v>
      </c>
      <c r="BF82" s="1620">
        <v>1</v>
      </c>
      <c r="BG82" s="1620">
        <v>1</v>
      </c>
      <c r="BH82" s="1620">
        <v>1</v>
      </c>
      <c r="BI82" s="1620">
        <v>1</v>
      </c>
      <c r="BJ82" s="1603"/>
      <c r="BK82" s="1620">
        <v>47.045454545454547</v>
      </c>
      <c r="BL82" s="1620">
        <v>10.909090909090899</v>
      </c>
      <c r="BM82" s="1620">
        <v>12.386363636363637</v>
      </c>
      <c r="BN82" s="1620" t="s">
        <v>270</v>
      </c>
      <c r="BO82" s="1620"/>
      <c r="BP82" s="1620">
        <v>0</v>
      </c>
      <c r="BQ82" s="1620">
        <v>0</v>
      </c>
      <c r="BR82" s="1620">
        <v>0.9712915893913</v>
      </c>
      <c r="BS82" s="1620">
        <v>0.99079999881514658</v>
      </c>
      <c r="BT82" s="1603"/>
      <c r="BU82" s="1620">
        <v>876.13636363636363</v>
      </c>
      <c r="BV82" s="1620">
        <v>59.087287597402842</v>
      </c>
      <c r="BW82" s="1620">
        <v>6.2581669480518176</v>
      </c>
      <c r="BX82" s="1620">
        <v>21</v>
      </c>
      <c r="BY82" s="1620">
        <v>70</v>
      </c>
      <c r="BZ82" s="1620">
        <v>75.521593457142842</v>
      </c>
      <c r="CA82" s="1620">
        <v>96.118391672727157</v>
      </c>
      <c r="CB82" s="1603"/>
      <c r="CC82" s="1603">
        <v>6.5</v>
      </c>
      <c r="CD82" s="1603">
        <v>2.6</v>
      </c>
      <c r="CE82" s="1603">
        <v>1.5999999999999999</v>
      </c>
      <c r="CF82" s="1603">
        <v>5</v>
      </c>
      <c r="CG82" s="1603">
        <v>9.1000000000000103</v>
      </c>
      <c r="CH82" s="1603">
        <v>2.7</v>
      </c>
      <c r="CI82" s="1603">
        <v>58</v>
      </c>
      <c r="CJ82" s="1603"/>
      <c r="CK82" s="1603">
        <v>1386</v>
      </c>
      <c r="CL82" s="1603">
        <v>18.34</v>
      </c>
      <c r="CM82" s="1603">
        <v>122.79999999999998</v>
      </c>
      <c r="CN82" s="1603">
        <v>47.699999999999996</v>
      </c>
      <c r="CO82" s="1603">
        <v>2.2999999999999998</v>
      </c>
      <c r="CP82" s="1603">
        <v>0.19999999999999998</v>
      </c>
      <c r="CQ82" s="1603">
        <v>355.21199999999999</v>
      </c>
      <c r="CR82" s="1603">
        <v>415.58066023506279</v>
      </c>
      <c r="CS82" s="1603">
        <v>26.099268517177858</v>
      </c>
      <c r="CT82" s="1603">
        <v>10.238943802892852</v>
      </c>
      <c r="CU82" s="1603">
        <v>2.1080178417720576</v>
      </c>
      <c r="CV82" s="1603">
        <v>12.34696164466491</v>
      </c>
      <c r="CW82" s="1603">
        <v>23.087814457503491</v>
      </c>
      <c r="CX82" s="1603">
        <v>11.041998218805993</v>
      </c>
      <c r="CY82" s="1603">
        <v>21.080178417720578</v>
      </c>
      <c r="CZ82" s="1603">
        <v>40.353484399636528</v>
      </c>
      <c r="DA82" s="1603">
        <v>9.636652990957943</v>
      </c>
      <c r="DB82" s="1603">
        <v>27.103086537069313</v>
      </c>
      <c r="DC82" s="1603">
        <v>17.56681534810048</v>
      </c>
      <c r="DD82" s="1603">
        <v>44.669901885169793</v>
      </c>
      <c r="DE82" s="1603">
        <v>27.103086537069313</v>
      </c>
      <c r="DF82" s="1603">
        <v>0</v>
      </c>
      <c r="DG82" s="1603">
        <v>0</v>
      </c>
      <c r="DH82" s="1603">
        <v>0</v>
      </c>
      <c r="DI82" s="1603">
        <v>0</v>
      </c>
      <c r="DJ82" s="1603">
        <v>0</v>
      </c>
      <c r="DK82" s="1603">
        <v>0</v>
      </c>
      <c r="DL82" s="1603">
        <v>0</v>
      </c>
      <c r="DM82" s="1603">
        <v>0</v>
      </c>
      <c r="DN82" s="1603">
        <v>0</v>
      </c>
      <c r="DO82" s="1603">
        <v>0</v>
      </c>
      <c r="DP82" s="1603">
        <v>0</v>
      </c>
      <c r="DQ82" s="1603">
        <v>0</v>
      </c>
      <c r="DR82" s="1603">
        <v>0</v>
      </c>
      <c r="DS82" s="1603">
        <v>0</v>
      </c>
      <c r="DT82" s="1603">
        <v>0</v>
      </c>
      <c r="DU82" s="1603">
        <v>0</v>
      </c>
      <c r="DV82" s="1603">
        <v>0</v>
      </c>
      <c r="DW82" s="1618" t="s">
        <v>986</v>
      </c>
      <c r="DX82" s="1605">
        <v>1</v>
      </c>
      <c r="DY82" s="1605">
        <v>1</v>
      </c>
      <c r="DZ82" s="1605">
        <v>1</v>
      </c>
      <c r="EA82" s="1605">
        <v>1</v>
      </c>
      <c r="EB82" s="1605" t="s">
        <v>986</v>
      </c>
      <c r="EC82" s="1605">
        <v>1</v>
      </c>
      <c r="ED82" s="1605">
        <v>1</v>
      </c>
      <c r="EE82" s="1605">
        <v>1</v>
      </c>
      <c r="EF82" s="1605">
        <v>1</v>
      </c>
      <c r="EG82" s="1605">
        <v>1</v>
      </c>
      <c r="EH82" s="1605">
        <v>1</v>
      </c>
      <c r="EI82" s="1605">
        <v>1</v>
      </c>
      <c r="EJ82" s="1605">
        <v>1</v>
      </c>
      <c r="EK82" s="1605">
        <v>1</v>
      </c>
      <c r="EL82" s="1605">
        <v>1</v>
      </c>
      <c r="EM82" s="1605">
        <v>1</v>
      </c>
      <c r="EN82" s="1605">
        <v>1</v>
      </c>
      <c r="EO82" s="1605">
        <v>1</v>
      </c>
      <c r="EP82" s="1605">
        <v>1</v>
      </c>
      <c r="EQ82" s="1605">
        <v>1</v>
      </c>
      <c r="ER82" s="1605">
        <v>1</v>
      </c>
      <c r="ES82" s="1605">
        <v>1</v>
      </c>
      <c r="ET82" s="1605">
        <v>1</v>
      </c>
      <c r="EU82" s="1605">
        <v>1</v>
      </c>
      <c r="EV82" s="1605" t="s">
        <v>986</v>
      </c>
      <c r="EW82" s="1605">
        <v>1</v>
      </c>
      <c r="EX82" s="1605">
        <v>1</v>
      </c>
      <c r="EY82" s="1605" t="s">
        <v>986</v>
      </c>
      <c r="EZ82" s="1605">
        <v>1</v>
      </c>
      <c r="FA82" s="1605">
        <v>1</v>
      </c>
      <c r="FB82" s="1605">
        <v>1</v>
      </c>
      <c r="FC82" s="1605">
        <v>1</v>
      </c>
      <c r="FD82" s="1605" t="s">
        <v>986</v>
      </c>
      <c r="FE82" s="1605" t="s">
        <v>986</v>
      </c>
      <c r="FF82" s="1605" t="s">
        <v>986</v>
      </c>
      <c r="FG82" s="1605" t="s">
        <v>986</v>
      </c>
      <c r="FH82" s="1605" t="s">
        <v>986</v>
      </c>
      <c r="FI82" s="1605" t="s">
        <v>986</v>
      </c>
      <c r="FJ82" s="1605" t="s">
        <v>986</v>
      </c>
      <c r="FK82" s="1605" t="s">
        <v>986</v>
      </c>
      <c r="FL82" s="1605" t="s">
        <v>986</v>
      </c>
      <c r="FM82" s="1605" t="s">
        <v>986</v>
      </c>
      <c r="FN82" s="1605" t="s">
        <v>986</v>
      </c>
      <c r="FO82" s="1605" t="s">
        <v>986</v>
      </c>
      <c r="FP82" s="1605" t="s">
        <v>986</v>
      </c>
      <c r="FQ82" s="1605" t="s">
        <v>986</v>
      </c>
      <c r="FR82" s="1605" t="s">
        <v>986</v>
      </c>
      <c r="FS82" s="1605" t="s">
        <v>986</v>
      </c>
      <c r="FT82" s="1605" t="s">
        <v>986</v>
      </c>
      <c r="FU82" s="1605" t="s">
        <v>986</v>
      </c>
      <c r="FV82" s="1605" t="s">
        <v>986</v>
      </c>
      <c r="FW82" s="1605" t="s">
        <v>986</v>
      </c>
      <c r="FX82" s="1605" t="s">
        <v>986</v>
      </c>
      <c r="FY82" s="1605" t="s">
        <v>986</v>
      </c>
      <c r="FZ82" s="1605" t="s">
        <v>986</v>
      </c>
      <c r="GA82" s="1605" t="s">
        <v>986</v>
      </c>
      <c r="GB82" s="1605" t="s">
        <v>986</v>
      </c>
      <c r="GC82" s="1605" t="s">
        <v>986</v>
      </c>
      <c r="GD82" s="1605" t="s">
        <v>986</v>
      </c>
      <c r="GE82" s="1605" t="s">
        <v>986</v>
      </c>
      <c r="GF82" s="1605" t="s">
        <v>986</v>
      </c>
      <c r="GG82" s="1605" t="s">
        <v>986</v>
      </c>
      <c r="GH82" s="1605" t="s">
        <v>986</v>
      </c>
      <c r="GI82" s="1605" t="s">
        <v>986</v>
      </c>
      <c r="GJ82" s="1605" t="s">
        <v>986</v>
      </c>
      <c r="GK82" s="1605" t="s">
        <v>986</v>
      </c>
      <c r="GL82" s="1605" t="s">
        <v>986</v>
      </c>
      <c r="GM82" s="1605" t="s">
        <v>986</v>
      </c>
      <c r="GN82" s="1605" t="s">
        <v>1764</v>
      </c>
      <c r="GO82" s="1605" t="s">
        <v>1764</v>
      </c>
      <c r="GP82" s="1605" t="s">
        <v>1764</v>
      </c>
      <c r="GQ82" s="1605" t="s">
        <v>1764</v>
      </c>
      <c r="GR82" s="1605" t="s">
        <v>986</v>
      </c>
      <c r="GS82" s="1605" t="s">
        <v>1764</v>
      </c>
      <c r="GT82" s="1605" t="s">
        <v>1764</v>
      </c>
      <c r="GU82" s="1605" t="s">
        <v>1764</v>
      </c>
      <c r="GV82" s="1605" t="s">
        <v>1764</v>
      </c>
      <c r="GW82" s="1605" t="s">
        <v>1764</v>
      </c>
      <c r="GX82" s="1605" t="s">
        <v>1764</v>
      </c>
      <c r="GY82" s="1605" t="s">
        <v>1764</v>
      </c>
      <c r="GZ82" s="1605" t="s">
        <v>1764</v>
      </c>
      <c r="HA82" s="1605" t="s">
        <v>1764</v>
      </c>
      <c r="HB82" s="1605" t="s">
        <v>986</v>
      </c>
      <c r="HC82" s="1605" t="s">
        <v>1764</v>
      </c>
      <c r="HD82" s="1605" t="s">
        <v>1764</v>
      </c>
      <c r="HE82" s="1605" t="s">
        <v>1764</v>
      </c>
      <c r="HF82" s="1605" t="s">
        <v>1764</v>
      </c>
      <c r="HG82" s="1605" t="s">
        <v>1764</v>
      </c>
      <c r="HH82" s="1605" t="s">
        <v>1764</v>
      </c>
      <c r="HI82" s="1605" t="s">
        <v>1764</v>
      </c>
      <c r="HJ82" s="1605" t="s">
        <v>1764</v>
      </c>
      <c r="HK82" s="1605" t="s">
        <v>1764</v>
      </c>
      <c r="HL82" s="1605" t="s">
        <v>986</v>
      </c>
      <c r="HM82" s="1605" t="s">
        <v>1764</v>
      </c>
      <c r="HN82" s="1605" t="s">
        <v>1764</v>
      </c>
      <c r="HO82" s="1605" t="s">
        <v>986</v>
      </c>
      <c r="HP82" s="1605" t="s">
        <v>1764</v>
      </c>
      <c r="HQ82" s="1605" t="s">
        <v>1764</v>
      </c>
      <c r="HR82" s="1605" t="s">
        <v>1764</v>
      </c>
      <c r="HS82" s="1605" t="s">
        <v>1764</v>
      </c>
      <c r="HT82" s="1605" t="s">
        <v>986</v>
      </c>
      <c r="HU82" s="1605" t="s">
        <v>986</v>
      </c>
      <c r="HV82" s="1617"/>
      <c r="HW82" s="1617" t="s">
        <v>3582</v>
      </c>
      <c r="HX82" s="1617">
        <v>0</v>
      </c>
      <c r="HY82" s="1617">
        <v>0</v>
      </c>
      <c r="HZ82" s="1603"/>
      <c r="IA82" s="1603"/>
      <c r="IB82" s="1603"/>
      <c r="IC82" s="1603">
        <v>50</v>
      </c>
      <c r="ID82" s="1603">
        <v>50</v>
      </c>
      <c r="IE82" s="1603">
        <v>50</v>
      </c>
      <c r="IF82" s="1603">
        <v>50</v>
      </c>
      <c r="IG82" s="1611" t="s">
        <v>270</v>
      </c>
      <c r="IH82" s="1616" t="s">
        <v>270</v>
      </c>
      <c r="II82" s="1615" t="s">
        <v>270</v>
      </c>
      <c r="IJ82" s="1613">
        <v>0.76100000000000001</v>
      </c>
      <c r="IK82" s="1613">
        <v>0.76100000000000001</v>
      </c>
      <c r="IL82" s="1614">
        <v>0.76100000000000001</v>
      </c>
      <c r="IM82" s="1614">
        <v>0.76100000000000001</v>
      </c>
      <c r="IN82" s="1612">
        <v>0.76100000000000001</v>
      </c>
      <c r="IO82" s="1613">
        <v>0</v>
      </c>
      <c r="IP82" s="1607" t="s">
        <v>270</v>
      </c>
      <c r="IQ82" s="1612" t="s">
        <v>270</v>
      </c>
      <c r="IR82" s="1612" t="s">
        <v>270</v>
      </c>
      <c r="IS82" s="1607" t="s">
        <v>270</v>
      </c>
      <c r="IT82" s="1607" t="s">
        <v>270</v>
      </c>
      <c r="IU82" s="1611" t="s">
        <v>270</v>
      </c>
      <c r="IV82" s="1611" t="s">
        <v>270</v>
      </c>
      <c r="IW82" s="1611" t="s">
        <v>270</v>
      </c>
      <c r="IX82" s="1611" t="s">
        <v>270</v>
      </c>
      <c r="IY82" s="1611" t="s">
        <v>270</v>
      </c>
      <c r="IZ82" s="1611" t="s">
        <v>270</v>
      </c>
      <c r="JA82" s="1611" t="s">
        <v>270</v>
      </c>
      <c r="JB82" s="1611" t="s">
        <v>270</v>
      </c>
      <c r="JC82" s="1611" t="s">
        <v>270</v>
      </c>
      <c r="JD82" s="1611" t="s">
        <v>270</v>
      </c>
      <c r="JE82" s="1611" t="s">
        <v>270</v>
      </c>
      <c r="JF82" s="1611" t="s">
        <v>270</v>
      </c>
      <c r="JG82" s="1611" t="s">
        <v>270</v>
      </c>
      <c r="JH82" s="1611" t="s">
        <v>270</v>
      </c>
      <c r="JI82" s="1611" t="s">
        <v>270</v>
      </c>
      <c r="JJ82" s="1611" t="s">
        <v>270</v>
      </c>
      <c r="JK82" s="1607" t="str">
        <f t="shared" si="10"/>
        <v/>
      </c>
      <c r="JL82" s="1608" t="s">
        <v>2946</v>
      </c>
      <c r="JM82" s="1610" t="s">
        <v>2945</v>
      </c>
      <c r="JN82" s="1608" t="s">
        <v>270</v>
      </c>
      <c r="JO82" s="1609" t="s">
        <v>270</v>
      </c>
      <c r="JP82" s="1608">
        <v>0.76100000000000001</v>
      </c>
      <c r="JQ82" s="1607" t="s">
        <v>270</v>
      </c>
      <c r="JR82" s="1606" t="s">
        <v>270</v>
      </c>
      <c r="JS82" s="1606" t="s">
        <v>270</v>
      </c>
      <c r="JT82" s="1606" t="s">
        <v>270</v>
      </c>
    </row>
    <row r="83" spans="1:280" ht="15" customHeight="1" x14ac:dyDescent="0.2">
      <c r="A83" s="1626">
        <v>93600</v>
      </c>
      <c r="B83" s="1625">
        <v>936</v>
      </c>
      <c r="C83" s="1624">
        <v>0</v>
      </c>
      <c r="D83" s="1623" t="s">
        <v>3581</v>
      </c>
      <c r="E83" s="1622">
        <v>43031</v>
      </c>
      <c r="F83" s="1620">
        <v>0.22336864823848199</v>
      </c>
      <c r="G83" s="1620">
        <v>0.237100033953247</v>
      </c>
      <c r="H83" s="1621">
        <v>86.9</v>
      </c>
      <c r="I83" s="1621">
        <v>65.5</v>
      </c>
      <c r="J83" s="1621">
        <v>95</v>
      </c>
      <c r="K83" s="1620">
        <v>1</v>
      </c>
      <c r="L83" s="1620">
        <v>23.8</v>
      </c>
      <c r="M83" s="1620">
        <v>10.8766</v>
      </c>
      <c r="N83" s="1620">
        <v>1.3566</v>
      </c>
      <c r="O83" s="1620">
        <v>2.2848000000000002</v>
      </c>
      <c r="P83" s="1620">
        <v>0</v>
      </c>
      <c r="Q83" s="1603"/>
      <c r="R83" s="1620">
        <v>85</v>
      </c>
      <c r="S83" s="1620">
        <v>50</v>
      </c>
      <c r="T83" s="1620">
        <v>50</v>
      </c>
      <c r="U83" s="1620">
        <v>50</v>
      </c>
      <c r="V83" s="1620">
        <v>50</v>
      </c>
      <c r="W83" s="1620">
        <v>50</v>
      </c>
      <c r="X83" s="1620"/>
      <c r="Y83" s="1620">
        <v>10.199999999999999</v>
      </c>
      <c r="Z83" s="1620">
        <v>5.6</v>
      </c>
      <c r="AA83" s="1620">
        <v>3.4999999999999996</v>
      </c>
      <c r="AB83" s="1620">
        <v>5.6</v>
      </c>
      <c r="AC83" s="1620">
        <v>22</v>
      </c>
      <c r="AD83" s="1620">
        <v>0.3</v>
      </c>
      <c r="AE83" s="1620">
        <v>0</v>
      </c>
      <c r="AF83" s="1620">
        <v>180</v>
      </c>
      <c r="AG83" s="1620">
        <v>33</v>
      </c>
      <c r="AH83" s="1620">
        <v>50</v>
      </c>
      <c r="AI83" s="1620">
        <v>76</v>
      </c>
      <c r="AJ83" s="1620">
        <v>0</v>
      </c>
      <c r="AK83" s="1620">
        <v>0.12</v>
      </c>
      <c r="AL83" s="1620"/>
      <c r="AM83" s="1620">
        <v>6.7</v>
      </c>
      <c r="AN83" s="1620">
        <v>1.6</v>
      </c>
      <c r="AO83" s="1620">
        <v>1</v>
      </c>
      <c r="AP83" s="1620">
        <v>4.9000000000000004</v>
      </c>
      <c r="AQ83" s="1620">
        <v>1.3</v>
      </c>
      <c r="AR83" s="1620">
        <v>4.0999999999999996</v>
      </c>
      <c r="AS83" s="1620">
        <v>7</v>
      </c>
      <c r="AT83" s="1620">
        <v>2.2999999999999998</v>
      </c>
      <c r="AU83" s="1620">
        <v>4.2</v>
      </c>
      <c r="AV83" s="1620">
        <v>3.6</v>
      </c>
      <c r="AW83" s="1620">
        <v>2.6</v>
      </c>
      <c r="AX83" s="1620"/>
      <c r="AY83" s="1620">
        <v>1</v>
      </c>
      <c r="AZ83" s="1620">
        <v>1</v>
      </c>
      <c r="BA83" s="1620">
        <v>1</v>
      </c>
      <c r="BB83" s="1620">
        <v>1</v>
      </c>
      <c r="BC83" s="1620">
        <v>1</v>
      </c>
      <c r="BD83" s="1620">
        <v>1</v>
      </c>
      <c r="BE83" s="1620">
        <v>1</v>
      </c>
      <c r="BF83" s="1620">
        <v>1</v>
      </c>
      <c r="BG83" s="1620">
        <v>1</v>
      </c>
      <c r="BH83" s="1620">
        <v>1</v>
      </c>
      <c r="BI83" s="1620">
        <v>1</v>
      </c>
      <c r="BJ83" s="1603"/>
      <c r="BK83" s="1620">
        <v>45.7</v>
      </c>
      <c r="BL83" s="1620">
        <v>5.6999999999999993</v>
      </c>
      <c r="BM83" s="1620">
        <v>9.6</v>
      </c>
      <c r="BN83" s="1620">
        <v>0</v>
      </c>
      <c r="BO83" s="1620"/>
      <c r="BP83" s="1620">
        <v>0</v>
      </c>
      <c r="BQ83" s="1620">
        <v>0</v>
      </c>
      <c r="BR83" s="1620">
        <v>0.93852373209446216</v>
      </c>
      <c r="BS83" s="1620">
        <v>0.99621863005565969</v>
      </c>
      <c r="BT83" s="1603"/>
      <c r="BU83" s="1620">
        <v>903.99999999999989</v>
      </c>
      <c r="BV83" s="1620">
        <v>38.050285714285714</v>
      </c>
      <c r="BW83" s="1620">
        <v>276.36571428571386</v>
      </c>
      <c r="BX83" s="1620" t="s">
        <v>270</v>
      </c>
      <c r="BY83" s="1620" t="s">
        <v>270</v>
      </c>
      <c r="BZ83" s="1620" t="s">
        <v>270</v>
      </c>
      <c r="CA83" s="1620" t="s">
        <v>270</v>
      </c>
      <c r="CB83" s="1603"/>
      <c r="CC83" s="1603">
        <v>2.4276</v>
      </c>
      <c r="CD83" s="1603">
        <v>1.3328</v>
      </c>
      <c r="CE83" s="1603">
        <v>0.83299999999999996</v>
      </c>
      <c r="CF83" s="1603">
        <v>1.3328</v>
      </c>
      <c r="CG83" s="1603">
        <v>5.2360000000000007</v>
      </c>
      <c r="CH83" s="1603">
        <v>7.1400000000000005E-2</v>
      </c>
      <c r="CI83" s="1603">
        <v>0</v>
      </c>
      <c r="CJ83" s="1603"/>
      <c r="CK83" s="1603">
        <v>42.84</v>
      </c>
      <c r="CL83" s="1603">
        <v>7.854000000000001</v>
      </c>
      <c r="CM83" s="1603">
        <v>11.9</v>
      </c>
      <c r="CN83" s="1603">
        <v>18.088000000000001</v>
      </c>
      <c r="CO83" s="1603">
        <v>0</v>
      </c>
      <c r="CP83" s="1603">
        <v>2.8560000000000002E-2</v>
      </c>
      <c r="CQ83" s="1603">
        <v>92.451099999999997</v>
      </c>
      <c r="CR83" s="1603">
        <v>413.89470155764013</v>
      </c>
      <c r="CS83" s="1603">
        <v>27.730945004361889</v>
      </c>
      <c r="CT83" s="1603">
        <v>6.6223152249222412</v>
      </c>
      <c r="CU83" s="1603">
        <v>4.1389470155764014</v>
      </c>
      <c r="CV83" s="1603">
        <v>10.761262240498644</v>
      </c>
      <c r="CW83" s="1603">
        <v>20.280840376324367</v>
      </c>
      <c r="CX83" s="1603">
        <v>5.3806311202493218</v>
      </c>
      <c r="CY83" s="1603">
        <v>16.969682763863243</v>
      </c>
      <c r="CZ83" s="1603">
        <v>28.972629109034809</v>
      </c>
      <c r="DA83" s="1603">
        <v>9.5195781358257214</v>
      </c>
      <c r="DB83" s="1603">
        <v>17.383577465420885</v>
      </c>
      <c r="DC83" s="1603">
        <v>14.900209256075044</v>
      </c>
      <c r="DD83" s="1603">
        <v>32.283786721495929</v>
      </c>
      <c r="DE83" s="1603">
        <v>10.761262240498644</v>
      </c>
      <c r="DF83" s="1603">
        <v>0</v>
      </c>
      <c r="DG83" s="1603">
        <v>0</v>
      </c>
      <c r="DH83" s="1603">
        <v>0</v>
      </c>
      <c r="DI83" s="1603">
        <v>0</v>
      </c>
      <c r="DJ83" s="1603">
        <v>0</v>
      </c>
      <c r="DK83" s="1603">
        <v>0</v>
      </c>
      <c r="DL83" s="1603">
        <v>0</v>
      </c>
      <c r="DM83" s="1603">
        <v>0</v>
      </c>
      <c r="DN83" s="1603">
        <v>0</v>
      </c>
      <c r="DO83" s="1603">
        <v>0</v>
      </c>
      <c r="DP83" s="1603">
        <v>0</v>
      </c>
      <c r="DQ83" s="1603">
        <v>0</v>
      </c>
      <c r="DR83" s="1603">
        <v>0</v>
      </c>
      <c r="DS83" s="1603">
        <v>0</v>
      </c>
      <c r="DT83" s="1603">
        <v>0</v>
      </c>
      <c r="DU83" s="1603">
        <v>0</v>
      </c>
      <c r="DV83" s="1603">
        <v>0</v>
      </c>
      <c r="DW83" s="1618" t="s">
        <v>3006</v>
      </c>
      <c r="DX83" s="1605" t="s">
        <v>986</v>
      </c>
      <c r="DY83" s="1605" t="s">
        <v>986</v>
      </c>
      <c r="DZ83" s="1605" t="s">
        <v>986</v>
      </c>
      <c r="EA83" s="1605" t="s">
        <v>986</v>
      </c>
      <c r="EB83" s="1605" t="s">
        <v>986</v>
      </c>
      <c r="EC83" s="1605" t="s">
        <v>986</v>
      </c>
      <c r="ED83" s="1605" t="s">
        <v>986</v>
      </c>
      <c r="EE83" s="1605" t="s">
        <v>986</v>
      </c>
      <c r="EF83" s="1605" t="s">
        <v>986</v>
      </c>
      <c r="EG83" s="1605" t="s">
        <v>986</v>
      </c>
      <c r="EH83" s="1605" t="s">
        <v>986</v>
      </c>
      <c r="EI83" s="1605" t="s">
        <v>986</v>
      </c>
      <c r="EJ83" s="1605" t="s">
        <v>986</v>
      </c>
      <c r="EK83" s="1605" t="s">
        <v>986</v>
      </c>
      <c r="EL83" s="1605" t="s">
        <v>986</v>
      </c>
      <c r="EM83" s="1605" t="s">
        <v>986</v>
      </c>
      <c r="EN83" s="1605" t="s">
        <v>986</v>
      </c>
      <c r="EO83" s="1605" t="s">
        <v>986</v>
      </c>
      <c r="EP83" s="1605" t="s">
        <v>986</v>
      </c>
      <c r="EQ83" s="1605" t="s">
        <v>986</v>
      </c>
      <c r="ER83" s="1605" t="s">
        <v>986</v>
      </c>
      <c r="ES83" s="1605" t="s">
        <v>986</v>
      </c>
      <c r="ET83" s="1605" t="s">
        <v>986</v>
      </c>
      <c r="EU83" s="1605" t="s">
        <v>986</v>
      </c>
      <c r="EV83" s="1605" t="s">
        <v>986</v>
      </c>
      <c r="EW83" s="1605" t="s">
        <v>986</v>
      </c>
      <c r="EX83" s="1605" t="s">
        <v>986</v>
      </c>
      <c r="EY83" s="1605" t="s">
        <v>986</v>
      </c>
      <c r="EZ83" s="1605" t="s">
        <v>986</v>
      </c>
      <c r="FA83" s="1605" t="s">
        <v>986</v>
      </c>
      <c r="FB83" s="1605" t="s">
        <v>986</v>
      </c>
      <c r="FC83" s="1605" t="s">
        <v>986</v>
      </c>
      <c r="FD83" s="1605" t="s">
        <v>986</v>
      </c>
      <c r="FE83" s="1605" t="s">
        <v>986</v>
      </c>
      <c r="FF83" s="1605" t="s">
        <v>986</v>
      </c>
      <c r="FG83" s="1605" t="s">
        <v>986</v>
      </c>
      <c r="FH83" s="1605" t="s">
        <v>986</v>
      </c>
      <c r="FI83" s="1605" t="s">
        <v>986</v>
      </c>
      <c r="FJ83" s="1605" t="s">
        <v>986</v>
      </c>
      <c r="FK83" s="1605" t="s">
        <v>986</v>
      </c>
      <c r="FL83" s="1605" t="s">
        <v>986</v>
      </c>
      <c r="FM83" s="1605" t="s">
        <v>986</v>
      </c>
      <c r="FN83" s="1605" t="s">
        <v>986</v>
      </c>
      <c r="FO83" s="1605" t="s">
        <v>986</v>
      </c>
      <c r="FP83" s="1605" t="s">
        <v>986</v>
      </c>
      <c r="FQ83" s="1605" t="s">
        <v>986</v>
      </c>
      <c r="FR83" s="1605" t="s">
        <v>986</v>
      </c>
      <c r="FS83" s="1605" t="s">
        <v>986</v>
      </c>
      <c r="FT83" s="1605" t="s">
        <v>986</v>
      </c>
      <c r="FU83" s="1605" t="s">
        <v>986</v>
      </c>
      <c r="FV83" s="1605" t="s">
        <v>986</v>
      </c>
      <c r="FW83" s="1605" t="s">
        <v>986</v>
      </c>
      <c r="FX83" s="1605" t="s">
        <v>986</v>
      </c>
      <c r="FY83" s="1605" t="s">
        <v>986</v>
      </c>
      <c r="FZ83" s="1605" t="s">
        <v>986</v>
      </c>
      <c r="GA83" s="1605" t="s">
        <v>986</v>
      </c>
      <c r="GB83" s="1605" t="s">
        <v>986</v>
      </c>
      <c r="GC83" s="1605" t="s">
        <v>986</v>
      </c>
      <c r="GD83" s="1605" t="s">
        <v>986</v>
      </c>
      <c r="GE83" s="1605" t="s">
        <v>986</v>
      </c>
      <c r="GF83" s="1605" t="s">
        <v>986</v>
      </c>
      <c r="GG83" s="1605" t="s">
        <v>986</v>
      </c>
      <c r="GH83" s="1605" t="s">
        <v>986</v>
      </c>
      <c r="GI83" s="1605" t="s">
        <v>986</v>
      </c>
      <c r="GJ83" s="1605" t="s">
        <v>986</v>
      </c>
      <c r="GK83" s="1605" t="s">
        <v>986</v>
      </c>
      <c r="GL83" s="1605" t="s">
        <v>986</v>
      </c>
      <c r="GM83" s="1605" t="s">
        <v>986</v>
      </c>
      <c r="GN83" s="1605" t="s">
        <v>986</v>
      </c>
      <c r="GO83" s="1605" t="s">
        <v>986</v>
      </c>
      <c r="GP83" s="1605" t="s">
        <v>986</v>
      </c>
      <c r="GQ83" s="1605" t="s">
        <v>986</v>
      </c>
      <c r="GR83" s="1605" t="s">
        <v>986</v>
      </c>
      <c r="GS83" s="1605" t="s">
        <v>986</v>
      </c>
      <c r="GT83" s="1605" t="s">
        <v>986</v>
      </c>
      <c r="GU83" s="1605" t="s">
        <v>986</v>
      </c>
      <c r="GV83" s="1605" t="s">
        <v>986</v>
      </c>
      <c r="GW83" s="1605" t="s">
        <v>986</v>
      </c>
      <c r="GX83" s="1605" t="s">
        <v>986</v>
      </c>
      <c r="GY83" s="1605" t="s">
        <v>986</v>
      </c>
      <c r="GZ83" s="1605" t="s">
        <v>986</v>
      </c>
      <c r="HA83" s="1605" t="s">
        <v>986</v>
      </c>
      <c r="HB83" s="1605" t="s">
        <v>986</v>
      </c>
      <c r="HC83" s="1605" t="s">
        <v>986</v>
      </c>
      <c r="HD83" s="1605" t="s">
        <v>986</v>
      </c>
      <c r="HE83" s="1605" t="s">
        <v>986</v>
      </c>
      <c r="HF83" s="1605" t="s">
        <v>986</v>
      </c>
      <c r="HG83" s="1605" t="s">
        <v>986</v>
      </c>
      <c r="HH83" s="1605" t="s">
        <v>986</v>
      </c>
      <c r="HI83" s="1605" t="s">
        <v>986</v>
      </c>
      <c r="HJ83" s="1605" t="s">
        <v>986</v>
      </c>
      <c r="HK83" s="1605" t="s">
        <v>986</v>
      </c>
      <c r="HL83" s="1605" t="s">
        <v>986</v>
      </c>
      <c r="HM83" s="1605" t="s">
        <v>986</v>
      </c>
      <c r="HN83" s="1605" t="s">
        <v>986</v>
      </c>
      <c r="HO83" s="1605" t="s">
        <v>986</v>
      </c>
      <c r="HP83" s="1605" t="s">
        <v>986</v>
      </c>
      <c r="HQ83" s="1605" t="s">
        <v>986</v>
      </c>
      <c r="HR83" s="1605" t="s">
        <v>986</v>
      </c>
      <c r="HS83" s="1605" t="s">
        <v>986</v>
      </c>
      <c r="HT83" s="1605" t="s">
        <v>986</v>
      </c>
      <c r="HU83" s="1605" t="s">
        <v>986</v>
      </c>
      <c r="HV83" s="1617"/>
      <c r="HW83" s="1617" t="s">
        <v>3579</v>
      </c>
      <c r="HX83" s="1617" t="s">
        <v>3578</v>
      </c>
      <c r="HY83" s="1617" t="s">
        <v>3577</v>
      </c>
      <c r="HZ83" s="1603"/>
      <c r="IA83" s="1603"/>
      <c r="IB83" s="1603"/>
      <c r="IC83" s="1603">
        <v>50</v>
      </c>
      <c r="ID83" s="1603">
        <v>50</v>
      </c>
      <c r="IE83" s="1603">
        <v>50</v>
      </c>
      <c r="IF83" s="1603">
        <v>50</v>
      </c>
      <c r="IG83" s="1611" t="s">
        <v>270</v>
      </c>
      <c r="IH83" s="1616" t="s">
        <v>270</v>
      </c>
      <c r="II83" s="1615" t="s">
        <v>270</v>
      </c>
      <c r="IJ83" s="1613">
        <v>0.63600000000000001</v>
      </c>
      <c r="IK83" s="1613">
        <v>0.63600000000000001</v>
      </c>
      <c r="IL83" s="1614">
        <v>0.63600000000000001</v>
      </c>
      <c r="IM83" s="1614">
        <v>0.63600000000000001</v>
      </c>
      <c r="IN83" s="1612">
        <v>0.63600000000000001</v>
      </c>
      <c r="IO83" s="1613">
        <v>0</v>
      </c>
      <c r="IP83" s="1607" t="s">
        <v>270</v>
      </c>
      <c r="IQ83" s="1612" t="s">
        <v>270</v>
      </c>
      <c r="IR83" s="1612" t="s">
        <v>270</v>
      </c>
      <c r="IS83" s="1607" t="s">
        <v>270</v>
      </c>
      <c r="IT83" s="1607" t="s">
        <v>270</v>
      </c>
      <c r="IU83" s="1611" t="s">
        <v>270</v>
      </c>
      <c r="IV83" s="1611" t="s">
        <v>270</v>
      </c>
      <c r="IW83" s="1611" t="s">
        <v>270</v>
      </c>
      <c r="IX83" s="1611" t="s">
        <v>270</v>
      </c>
      <c r="IY83" s="1611" t="s">
        <v>270</v>
      </c>
      <c r="IZ83" s="1611" t="s">
        <v>270</v>
      </c>
      <c r="JA83" s="1611" t="s">
        <v>270</v>
      </c>
      <c r="JB83" s="1611" t="s">
        <v>270</v>
      </c>
      <c r="JC83" s="1611" t="s">
        <v>270</v>
      </c>
      <c r="JD83" s="1611" t="s">
        <v>270</v>
      </c>
      <c r="JE83" s="1611" t="s">
        <v>270</v>
      </c>
      <c r="JF83" s="1611" t="s">
        <v>270</v>
      </c>
      <c r="JG83" s="1611" t="s">
        <v>270</v>
      </c>
      <c r="JH83" s="1611" t="s">
        <v>270</v>
      </c>
      <c r="JI83" s="1611" t="s">
        <v>270</v>
      </c>
      <c r="JJ83" s="1611" t="s">
        <v>270</v>
      </c>
      <c r="JK83" s="1607" t="str">
        <f t="shared" si="10"/>
        <v/>
      </c>
      <c r="JL83" s="1608" t="s">
        <v>2946</v>
      </c>
      <c r="JM83" s="1610" t="s">
        <v>2945</v>
      </c>
      <c r="JN83" s="1608" t="s">
        <v>270</v>
      </c>
      <c r="JO83" s="1609" t="s">
        <v>270</v>
      </c>
      <c r="JP83" s="1608">
        <v>0.63600000000000001</v>
      </c>
      <c r="JQ83" s="1607" t="s">
        <v>270</v>
      </c>
      <c r="JR83" s="1606" t="s">
        <v>270</v>
      </c>
      <c r="JS83" s="1606" t="s">
        <v>270</v>
      </c>
      <c r="JT83" s="1606" t="s">
        <v>270</v>
      </c>
    </row>
    <row r="84" spans="1:280" ht="15" customHeight="1" x14ac:dyDescent="0.2">
      <c r="A84" s="1626">
        <v>93100</v>
      </c>
      <c r="B84" s="1625">
        <v>931</v>
      </c>
      <c r="C84" s="1624">
        <v>0</v>
      </c>
      <c r="D84" s="1623" t="s">
        <v>3580</v>
      </c>
      <c r="E84" s="1622">
        <v>43031</v>
      </c>
      <c r="F84" s="1620">
        <v>0.114078565311653</v>
      </c>
      <c r="G84" s="1620">
        <v>0.119653671584416</v>
      </c>
      <c r="H84" s="1621">
        <v>89.6</v>
      </c>
      <c r="I84" s="1621">
        <v>70</v>
      </c>
      <c r="J84" s="1621">
        <v>90</v>
      </c>
      <c r="K84" s="1620">
        <v>1</v>
      </c>
      <c r="L84" s="1620">
        <v>11.6</v>
      </c>
      <c r="M84" s="1620">
        <v>4.2804000000000002</v>
      </c>
      <c r="N84" s="1620">
        <v>0.20880000000000001</v>
      </c>
      <c r="O84" s="1620">
        <v>0.69599999999999995</v>
      </c>
      <c r="P84" s="1620">
        <v>0.27839999999999998</v>
      </c>
      <c r="Q84" s="1603"/>
      <c r="R84" s="1620">
        <v>85</v>
      </c>
      <c r="S84" s="1620">
        <v>50</v>
      </c>
      <c r="T84" s="1620">
        <v>50</v>
      </c>
      <c r="U84" s="1620">
        <v>50</v>
      </c>
      <c r="V84" s="1620">
        <v>50</v>
      </c>
      <c r="W84" s="1620">
        <v>50</v>
      </c>
      <c r="X84" s="1620"/>
      <c r="Y84" s="1620">
        <v>2.5862100000000003</v>
      </c>
      <c r="Z84" s="1620">
        <v>11.600000000000001</v>
      </c>
      <c r="AA84" s="1620">
        <v>0</v>
      </c>
      <c r="AB84" s="1620">
        <v>0</v>
      </c>
      <c r="AC84" s="1620">
        <v>18.103450000000002</v>
      </c>
      <c r="AD84" s="1620">
        <v>1.8000000000000003</v>
      </c>
      <c r="AE84" s="1620">
        <v>0</v>
      </c>
      <c r="AF84" s="1620">
        <v>570</v>
      </c>
      <c r="AG84" s="1620">
        <v>22.000000000000004</v>
      </c>
      <c r="AH84" s="1620">
        <v>12</v>
      </c>
      <c r="AI84" s="1620">
        <v>54</v>
      </c>
      <c r="AJ84" s="1620">
        <v>0</v>
      </c>
      <c r="AK84" s="1620">
        <v>0.12</v>
      </c>
      <c r="AL84" s="1620"/>
      <c r="AM84" s="1620">
        <v>6.2</v>
      </c>
      <c r="AN84" s="1620">
        <v>1.4</v>
      </c>
      <c r="AO84" s="1620">
        <v>1.19</v>
      </c>
      <c r="AP84" s="1620">
        <v>4.3000000000000096</v>
      </c>
      <c r="AQ84" s="1620">
        <v>0.6</v>
      </c>
      <c r="AR84" s="1620">
        <v>0</v>
      </c>
      <c r="AS84" s="1620">
        <v>0</v>
      </c>
      <c r="AT84" s="1620">
        <v>0</v>
      </c>
      <c r="AU84" s="1620">
        <v>0</v>
      </c>
      <c r="AV84" s="1620">
        <v>0</v>
      </c>
      <c r="AW84" s="1620">
        <v>0</v>
      </c>
      <c r="AX84" s="1620"/>
      <c r="AY84" s="1620">
        <v>1</v>
      </c>
      <c r="AZ84" s="1620">
        <v>1</v>
      </c>
      <c r="BA84" s="1620">
        <v>1</v>
      </c>
      <c r="BB84" s="1620">
        <v>1</v>
      </c>
      <c r="BC84" s="1620">
        <v>1</v>
      </c>
      <c r="BD84" s="1620">
        <v>1</v>
      </c>
      <c r="BE84" s="1620">
        <v>1</v>
      </c>
      <c r="BF84" s="1620">
        <v>1</v>
      </c>
      <c r="BG84" s="1620">
        <v>1</v>
      </c>
      <c r="BH84" s="1620">
        <v>1</v>
      </c>
      <c r="BI84" s="1620">
        <v>1</v>
      </c>
      <c r="BJ84" s="1603"/>
      <c r="BK84" s="1620">
        <v>36.900000000000006</v>
      </c>
      <c r="BL84" s="1620">
        <v>1.8000000000000003</v>
      </c>
      <c r="BM84" s="1620">
        <v>6</v>
      </c>
      <c r="BN84" s="1620">
        <v>2.4</v>
      </c>
      <c r="BO84" s="1620"/>
      <c r="BP84" s="1620">
        <v>0</v>
      </c>
      <c r="BQ84" s="1620">
        <v>0</v>
      </c>
      <c r="BR84" s="1620">
        <v>0.98343590785907764</v>
      </c>
      <c r="BS84" s="1620">
        <v>1.0314971688311725</v>
      </c>
      <c r="BT84" s="1603"/>
      <c r="BU84" s="1620">
        <v>940</v>
      </c>
      <c r="BV84" s="1620">
        <v>225.79</v>
      </c>
      <c r="BW84" s="1620">
        <v>263.2</v>
      </c>
      <c r="BX84" s="1620" t="s">
        <v>270</v>
      </c>
      <c r="BY84" s="1620" t="s">
        <v>270</v>
      </c>
      <c r="BZ84" s="1620" t="s">
        <v>270</v>
      </c>
      <c r="CA84" s="1620" t="s">
        <v>270</v>
      </c>
      <c r="CB84" s="1603"/>
      <c r="CC84" s="1603">
        <v>0.30000036000000002</v>
      </c>
      <c r="CD84" s="1603">
        <v>1.3456000000000001</v>
      </c>
      <c r="CE84" s="1603">
        <v>0</v>
      </c>
      <c r="CF84" s="1603">
        <v>0</v>
      </c>
      <c r="CG84" s="1603">
        <v>2.1000002000000002</v>
      </c>
      <c r="CH84" s="1603">
        <v>0.20880000000000001</v>
      </c>
      <c r="CI84" s="1603">
        <v>0</v>
      </c>
      <c r="CJ84" s="1603"/>
      <c r="CK84" s="1603">
        <v>66.11999999999999</v>
      </c>
      <c r="CL84" s="1603">
        <v>2.552</v>
      </c>
      <c r="CM84" s="1603">
        <v>1.3919999999999999</v>
      </c>
      <c r="CN84" s="1603">
        <v>6.2639999999999993</v>
      </c>
      <c r="CO84" s="1603">
        <v>0</v>
      </c>
      <c r="CP84" s="1603">
        <v>1.3919999999999998E-2</v>
      </c>
      <c r="CQ84" s="1603">
        <v>36.383400000000002</v>
      </c>
      <c r="CR84" s="1603">
        <v>318.9328328297575</v>
      </c>
      <c r="CS84" s="1603">
        <v>19.773835635444964</v>
      </c>
      <c r="CT84" s="1603">
        <v>4.465059659616605</v>
      </c>
      <c r="CU84" s="1603">
        <v>3.7953007106741143</v>
      </c>
      <c r="CV84" s="1603">
        <v>8.2603603702907193</v>
      </c>
      <c r="CW84" s="1603">
        <v>13.714111811679572</v>
      </c>
      <c r="CX84" s="1603">
        <v>1.9135969969785451</v>
      </c>
      <c r="CY84" s="1603">
        <v>0</v>
      </c>
      <c r="CZ84" s="1603">
        <v>0</v>
      </c>
      <c r="DA84" s="1603">
        <v>0</v>
      </c>
      <c r="DB84" s="1603">
        <v>0</v>
      </c>
      <c r="DC84" s="1603">
        <v>0</v>
      </c>
      <c r="DD84" s="1603">
        <v>0</v>
      </c>
      <c r="DE84" s="1603">
        <v>0</v>
      </c>
      <c r="DF84" s="1603">
        <v>0</v>
      </c>
      <c r="DG84" s="1603">
        <v>0</v>
      </c>
      <c r="DH84" s="1603">
        <v>0</v>
      </c>
      <c r="DI84" s="1603">
        <v>0</v>
      </c>
      <c r="DJ84" s="1603">
        <v>0</v>
      </c>
      <c r="DK84" s="1603">
        <v>0</v>
      </c>
      <c r="DL84" s="1603">
        <v>0</v>
      </c>
      <c r="DM84" s="1603">
        <v>0</v>
      </c>
      <c r="DN84" s="1603">
        <v>0</v>
      </c>
      <c r="DO84" s="1603">
        <v>0</v>
      </c>
      <c r="DP84" s="1603">
        <v>0</v>
      </c>
      <c r="DQ84" s="1603">
        <v>0</v>
      </c>
      <c r="DR84" s="1603">
        <v>0</v>
      </c>
      <c r="DS84" s="1603">
        <v>0</v>
      </c>
      <c r="DT84" s="1603">
        <v>0</v>
      </c>
      <c r="DU84" s="1603">
        <v>0</v>
      </c>
      <c r="DV84" s="1603">
        <v>0</v>
      </c>
      <c r="DW84" s="1618" t="s">
        <v>3006</v>
      </c>
      <c r="DX84" s="1605" t="s">
        <v>986</v>
      </c>
      <c r="DY84" s="1605" t="s">
        <v>986</v>
      </c>
      <c r="DZ84" s="1605" t="s">
        <v>986</v>
      </c>
      <c r="EA84" s="1605" t="s">
        <v>986</v>
      </c>
      <c r="EB84" s="1605" t="s">
        <v>986</v>
      </c>
      <c r="EC84" s="1605" t="s">
        <v>986</v>
      </c>
      <c r="ED84" s="1605" t="s">
        <v>986</v>
      </c>
      <c r="EE84" s="1605" t="s">
        <v>986</v>
      </c>
      <c r="EF84" s="1605" t="s">
        <v>986</v>
      </c>
      <c r="EG84" s="1605" t="s">
        <v>986</v>
      </c>
      <c r="EH84" s="1605" t="s">
        <v>986</v>
      </c>
      <c r="EI84" s="1605" t="s">
        <v>986</v>
      </c>
      <c r="EJ84" s="1605" t="s">
        <v>986</v>
      </c>
      <c r="EK84" s="1605" t="s">
        <v>986</v>
      </c>
      <c r="EL84" s="1605" t="s">
        <v>986</v>
      </c>
      <c r="EM84" s="1605" t="s">
        <v>986</v>
      </c>
      <c r="EN84" s="1605" t="s">
        <v>986</v>
      </c>
      <c r="EO84" s="1605" t="s">
        <v>986</v>
      </c>
      <c r="EP84" s="1605" t="s">
        <v>986</v>
      </c>
      <c r="EQ84" s="1605" t="s">
        <v>986</v>
      </c>
      <c r="ER84" s="1605" t="s">
        <v>986</v>
      </c>
      <c r="ES84" s="1605" t="s">
        <v>986</v>
      </c>
      <c r="ET84" s="1605" t="s">
        <v>986</v>
      </c>
      <c r="EU84" s="1605" t="s">
        <v>986</v>
      </c>
      <c r="EV84" s="1605" t="s">
        <v>986</v>
      </c>
      <c r="EW84" s="1605" t="s">
        <v>986</v>
      </c>
      <c r="EX84" s="1605" t="s">
        <v>986</v>
      </c>
      <c r="EY84" s="1605" t="s">
        <v>986</v>
      </c>
      <c r="EZ84" s="1605" t="s">
        <v>986</v>
      </c>
      <c r="FA84" s="1605" t="s">
        <v>986</v>
      </c>
      <c r="FB84" s="1605" t="s">
        <v>986</v>
      </c>
      <c r="FC84" s="1605" t="s">
        <v>986</v>
      </c>
      <c r="FD84" s="1605" t="s">
        <v>986</v>
      </c>
      <c r="FE84" s="1605" t="s">
        <v>986</v>
      </c>
      <c r="FF84" s="1605" t="s">
        <v>986</v>
      </c>
      <c r="FG84" s="1605" t="s">
        <v>986</v>
      </c>
      <c r="FH84" s="1605" t="s">
        <v>986</v>
      </c>
      <c r="FI84" s="1605" t="s">
        <v>986</v>
      </c>
      <c r="FJ84" s="1605" t="s">
        <v>986</v>
      </c>
      <c r="FK84" s="1605" t="s">
        <v>986</v>
      </c>
      <c r="FL84" s="1605" t="s">
        <v>986</v>
      </c>
      <c r="FM84" s="1605" t="s">
        <v>986</v>
      </c>
      <c r="FN84" s="1605" t="s">
        <v>986</v>
      </c>
      <c r="FO84" s="1605" t="s">
        <v>986</v>
      </c>
      <c r="FP84" s="1605" t="s">
        <v>986</v>
      </c>
      <c r="FQ84" s="1605" t="s">
        <v>986</v>
      </c>
      <c r="FR84" s="1605" t="s">
        <v>986</v>
      </c>
      <c r="FS84" s="1605" t="s">
        <v>986</v>
      </c>
      <c r="FT84" s="1605" t="s">
        <v>986</v>
      </c>
      <c r="FU84" s="1605" t="s">
        <v>986</v>
      </c>
      <c r="FV84" s="1605" t="s">
        <v>986</v>
      </c>
      <c r="FW84" s="1605" t="s">
        <v>986</v>
      </c>
      <c r="FX84" s="1605" t="s">
        <v>986</v>
      </c>
      <c r="FY84" s="1605" t="s">
        <v>986</v>
      </c>
      <c r="FZ84" s="1605" t="s">
        <v>986</v>
      </c>
      <c r="GA84" s="1605" t="s">
        <v>986</v>
      </c>
      <c r="GB84" s="1605" t="s">
        <v>986</v>
      </c>
      <c r="GC84" s="1605" t="s">
        <v>986</v>
      </c>
      <c r="GD84" s="1605" t="s">
        <v>986</v>
      </c>
      <c r="GE84" s="1605" t="s">
        <v>986</v>
      </c>
      <c r="GF84" s="1605" t="s">
        <v>986</v>
      </c>
      <c r="GG84" s="1605" t="s">
        <v>986</v>
      </c>
      <c r="GH84" s="1605" t="s">
        <v>986</v>
      </c>
      <c r="GI84" s="1605" t="s">
        <v>986</v>
      </c>
      <c r="GJ84" s="1605" t="s">
        <v>986</v>
      </c>
      <c r="GK84" s="1605" t="s">
        <v>986</v>
      </c>
      <c r="GL84" s="1605" t="s">
        <v>986</v>
      </c>
      <c r="GM84" s="1605" t="s">
        <v>986</v>
      </c>
      <c r="GN84" s="1605" t="s">
        <v>986</v>
      </c>
      <c r="GO84" s="1605" t="s">
        <v>986</v>
      </c>
      <c r="GP84" s="1605" t="s">
        <v>986</v>
      </c>
      <c r="GQ84" s="1605" t="s">
        <v>986</v>
      </c>
      <c r="GR84" s="1605" t="s">
        <v>986</v>
      </c>
      <c r="GS84" s="1605" t="s">
        <v>986</v>
      </c>
      <c r="GT84" s="1605" t="s">
        <v>986</v>
      </c>
      <c r="GU84" s="1605" t="s">
        <v>986</v>
      </c>
      <c r="GV84" s="1605" t="s">
        <v>986</v>
      </c>
      <c r="GW84" s="1605" t="s">
        <v>986</v>
      </c>
      <c r="GX84" s="1605" t="s">
        <v>986</v>
      </c>
      <c r="GY84" s="1605" t="s">
        <v>986</v>
      </c>
      <c r="GZ84" s="1605" t="s">
        <v>986</v>
      </c>
      <c r="HA84" s="1605" t="s">
        <v>986</v>
      </c>
      <c r="HB84" s="1605" t="s">
        <v>986</v>
      </c>
      <c r="HC84" s="1605" t="s">
        <v>986</v>
      </c>
      <c r="HD84" s="1605" t="s">
        <v>986</v>
      </c>
      <c r="HE84" s="1605" t="s">
        <v>986</v>
      </c>
      <c r="HF84" s="1605" t="s">
        <v>986</v>
      </c>
      <c r="HG84" s="1605" t="s">
        <v>986</v>
      </c>
      <c r="HH84" s="1605" t="s">
        <v>986</v>
      </c>
      <c r="HI84" s="1605" t="s">
        <v>986</v>
      </c>
      <c r="HJ84" s="1605" t="s">
        <v>986</v>
      </c>
      <c r="HK84" s="1605" t="s">
        <v>986</v>
      </c>
      <c r="HL84" s="1605" t="s">
        <v>986</v>
      </c>
      <c r="HM84" s="1605" t="s">
        <v>986</v>
      </c>
      <c r="HN84" s="1605" t="s">
        <v>986</v>
      </c>
      <c r="HO84" s="1605" t="s">
        <v>986</v>
      </c>
      <c r="HP84" s="1605" t="s">
        <v>986</v>
      </c>
      <c r="HQ84" s="1605" t="s">
        <v>986</v>
      </c>
      <c r="HR84" s="1605" t="s">
        <v>986</v>
      </c>
      <c r="HS84" s="1605" t="s">
        <v>986</v>
      </c>
      <c r="HT84" s="1605" t="s">
        <v>986</v>
      </c>
      <c r="HU84" s="1605" t="s">
        <v>986</v>
      </c>
      <c r="HV84" s="1617"/>
      <c r="HW84" s="1617" t="s">
        <v>3579</v>
      </c>
      <c r="HX84" s="1617" t="s">
        <v>3578</v>
      </c>
      <c r="HY84" s="1617" t="s">
        <v>3577</v>
      </c>
      <c r="HZ84" s="1603"/>
      <c r="IA84" s="1603"/>
      <c r="IB84" s="1603"/>
      <c r="IC84" s="1603">
        <v>50</v>
      </c>
      <c r="ID84" s="1603">
        <v>50</v>
      </c>
      <c r="IE84" s="1603">
        <v>50</v>
      </c>
      <c r="IF84" s="1603">
        <v>50</v>
      </c>
      <c r="IG84" s="1611" t="s">
        <v>270</v>
      </c>
      <c r="IH84" s="1616" t="s">
        <v>270</v>
      </c>
      <c r="II84" s="1615" t="s">
        <v>270</v>
      </c>
      <c r="IJ84" s="1613">
        <v>0.76100000000000001</v>
      </c>
      <c r="IK84" s="1613">
        <v>0.76100000000000001</v>
      </c>
      <c r="IL84" s="1614">
        <v>0.76100000000000001</v>
      </c>
      <c r="IM84" s="1614">
        <v>0.76100000000000001</v>
      </c>
      <c r="IN84" s="1612">
        <v>0.76100000000000001</v>
      </c>
      <c r="IO84" s="1613">
        <v>0</v>
      </c>
      <c r="IP84" s="1607" t="s">
        <v>270</v>
      </c>
      <c r="IQ84" s="1612" t="s">
        <v>270</v>
      </c>
      <c r="IR84" s="1612" t="s">
        <v>270</v>
      </c>
      <c r="IS84" s="1607" t="s">
        <v>270</v>
      </c>
      <c r="IT84" s="1607" t="s">
        <v>270</v>
      </c>
      <c r="IU84" s="1611" t="s">
        <v>270</v>
      </c>
      <c r="IV84" s="1611" t="s">
        <v>270</v>
      </c>
      <c r="IW84" s="1611" t="s">
        <v>270</v>
      </c>
      <c r="IX84" s="1611" t="s">
        <v>270</v>
      </c>
      <c r="IY84" s="1611" t="s">
        <v>270</v>
      </c>
      <c r="IZ84" s="1611" t="s">
        <v>270</v>
      </c>
      <c r="JA84" s="1611" t="s">
        <v>270</v>
      </c>
      <c r="JB84" s="1611" t="s">
        <v>270</v>
      </c>
      <c r="JC84" s="1611" t="s">
        <v>270</v>
      </c>
      <c r="JD84" s="1611" t="s">
        <v>270</v>
      </c>
      <c r="JE84" s="1611" t="s">
        <v>270</v>
      </c>
      <c r="JF84" s="1611" t="s">
        <v>270</v>
      </c>
      <c r="JG84" s="1611" t="s">
        <v>270</v>
      </c>
      <c r="JH84" s="1611" t="s">
        <v>270</v>
      </c>
      <c r="JI84" s="1611" t="s">
        <v>270</v>
      </c>
      <c r="JJ84" s="1611" t="s">
        <v>270</v>
      </c>
      <c r="JK84" s="1607" t="str">
        <f t="shared" si="10"/>
        <v/>
      </c>
      <c r="JL84" s="1608" t="s">
        <v>2946</v>
      </c>
      <c r="JM84" s="1610" t="s">
        <v>2945</v>
      </c>
      <c r="JN84" s="1608" t="s">
        <v>270</v>
      </c>
      <c r="JO84" s="1609" t="s">
        <v>270</v>
      </c>
      <c r="JP84" s="1608">
        <v>0.76100000000000001</v>
      </c>
      <c r="JQ84" s="1607" t="s">
        <v>270</v>
      </c>
      <c r="JR84" s="1606" t="s">
        <v>270</v>
      </c>
      <c r="JS84" s="1606" t="s">
        <v>270</v>
      </c>
      <c r="JT84" s="1606" t="s">
        <v>270</v>
      </c>
    </row>
    <row r="85" spans="1:280" ht="15" customHeight="1" x14ac:dyDescent="0.2">
      <c r="A85" s="1626">
        <v>53000</v>
      </c>
      <c r="B85" s="1625">
        <v>530</v>
      </c>
      <c r="C85" s="1624">
        <v>0</v>
      </c>
      <c r="D85" s="1623" t="s">
        <v>3576</v>
      </c>
      <c r="E85" s="1622">
        <v>44497</v>
      </c>
      <c r="F85" s="1620">
        <v>0.85635111304684486</v>
      </c>
      <c r="G85" s="1620">
        <v>0.88749315027829323</v>
      </c>
      <c r="H85" s="1621">
        <v>69.5</v>
      </c>
      <c r="I85" s="1621">
        <v>65.099999999999994</v>
      </c>
      <c r="J85" s="1621">
        <v>91</v>
      </c>
      <c r="K85" s="1620">
        <v>1</v>
      </c>
      <c r="L85" s="1620">
        <v>85</v>
      </c>
      <c r="M85" s="1620">
        <v>9.4</v>
      </c>
      <c r="N85" s="1620">
        <v>5</v>
      </c>
      <c r="O85" s="1620">
        <v>2.1</v>
      </c>
      <c r="P85" s="1620">
        <v>11</v>
      </c>
      <c r="Q85" s="1603"/>
      <c r="R85" s="1620">
        <v>68.900281155015193</v>
      </c>
      <c r="S85" s="1620">
        <v>27</v>
      </c>
      <c r="T85" s="1620">
        <v>38.382113821138198</v>
      </c>
      <c r="U85" s="1620">
        <v>42.934959349593498</v>
      </c>
      <c r="V85" s="1620">
        <v>47.032520325203301</v>
      </c>
      <c r="W85" s="1620">
        <v>49.764227642276403</v>
      </c>
      <c r="X85" s="1620"/>
      <c r="Y85" s="1620">
        <v>0.95294117647058818</v>
      </c>
      <c r="Z85" s="1620">
        <v>3.4117647058823528</v>
      </c>
      <c r="AA85" s="1620">
        <v>0.11764705882352941</v>
      </c>
      <c r="AB85" s="1620">
        <v>1.3176470588235296</v>
      </c>
      <c r="AC85" s="1620">
        <v>4.5764705882352938</v>
      </c>
      <c r="AD85" s="1620">
        <v>1.1176470588235294</v>
      </c>
      <c r="AE85" s="1620">
        <v>1.3599999999999999</v>
      </c>
      <c r="AF85" s="1620">
        <v>78.341176470588238</v>
      </c>
      <c r="AG85" s="1620">
        <v>3.3764705882352941</v>
      </c>
      <c r="AH85" s="1620">
        <v>38.788235294117648</v>
      </c>
      <c r="AI85" s="1620">
        <v>29.670588235294119</v>
      </c>
      <c r="AJ85" s="1620">
        <v>0</v>
      </c>
      <c r="AK85" s="1620">
        <v>0.03</v>
      </c>
      <c r="AL85" s="1620"/>
      <c r="AM85" s="1620">
        <v>4.18</v>
      </c>
      <c r="AN85" s="1620">
        <v>1.64</v>
      </c>
      <c r="AO85" s="1620">
        <v>2.73</v>
      </c>
      <c r="AP85" s="1620">
        <v>3.27</v>
      </c>
      <c r="AQ85" s="1620">
        <v>1.23</v>
      </c>
      <c r="AR85" s="1620">
        <v>3.7</v>
      </c>
      <c r="AS85" s="1620">
        <v>7.11</v>
      </c>
      <c r="AT85" s="1620">
        <v>2.1</v>
      </c>
      <c r="AU85" s="1620">
        <v>4.5199999999999996</v>
      </c>
      <c r="AV85" s="1620">
        <v>3.22</v>
      </c>
      <c r="AW85" s="1620">
        <v>5.14</v>
      </c>
      <c r="AX85" s="1620"/>
      <c r="AY85" s="1620">
        <v>1.04</v>
      </c>
      <c r="AZ85" s="1620">
        <v>1.1499999999999999</v>
      </c>
      <c r="BA85" s="1620">
        <v>0.95</v>
      </c>
      <c r="BB85" s="1620">
        <v>0.92</v>
      </c>
      <c r="BC85" s="1620">
        <v>1.07</v>
      </c>
      <c r="BD85" s="1620">
        <v>1.1000000000000001</v>
      </c>
      <c r="BE85" s="1620">
        <v>1.1200000000000001</v>
      </c>
      <c r="BF85" s="1620">
        <v>1.1599999999999999</v>
      </c>
      <c r="BG85" s="1620">
        <v>1.1599999999999999</v>
      </c>
      <c r="BH85" s="1620">
        <v>1.1100000000000001</v>
      </c>
      <c r="BI85" s="1620">
        <v>1.08</v>
      </c>
      <c r="BJ85" s="1603"/>
      <c r="BK85" s="1620">
        <v>11.058823529411764</v>
      </c>
      <c r="BL85" s="1620">
        <v>5.882352941176471</v>
      </c>
      <c r="BM85" s="1620">
        <v>2.4705882352941178</v>
      </c>
      <c r="BN85" s="1620">
        <v>12.941176470588236</v>
      </c>
      <c r="BO85" s="1620"/>
      <c r="BP85" s="1620">
        <v>110</v>
      </c>
      <c r="BQ85" s="1620">
        <v>63.411764705882355</v>
      </c>
      <c r="BR85" s="1620">
        <v>1.0074718977021704</v>
      </c>
      <c r="BS85" s="1620">
        <v>1.0441095885626979</v>
      </c>
      <c r="BT85" s="1603"/>
      <c r="BU85" s="1620">
        <v>975.29411764705878</v>
      </c>
      <c r="BV85" s="1620">
        <v>458.83109243697481</v>
      </c>
      <c r="BW85" s="1620">
        <v>61.304201680672342</v>
      </c>
      <c r="BX85" s="1620">
        <v>471</v>
      </c>
      <c r="BY85" s="1620">
        <v>18</v>
      </c>
      <c r="BZ85" s="1620">
        <v>45</v>
      </c>
      <c r="CA85" s="1620">
        <v>302</v>
      </c>
      <c r="CB85" s="1603"/>
      <c r="CC85" s="1603">
        <v>0.80999999999999994</v>
      </c>
      <c r="CD85" s="1603">
        <v>2.9</v>
      </c>
      <c r="CE85" s="1603">
        <v>9.9999999999999992E-2</v>
      </c>
      <c r="CF85" s="1603">
        <v>1.1200000000000001</v>
      </c>
      <c r="CG85" s="1603">
        <v>3.8899999999999997</v>
      </c>
      <c r="CH85" s="1603">
        <v>0.95</v>
      </c>
      <c r="CI85" s="1603">
        <v>1.1559999999999999</v>
      </c>
      <c r="CJ85" s="1603"/>
      <c r="CK85" s="1603">
        <v>66.59</v>
      </c>
      <c r="CL85" s="1603">
        <v>2.87</v>
      </c>
      <c r="CM85" s="1603">
        <v>32.97</v>
      </c>
      <c r="CN85" s="1603">
        <v>25.22</v>
      </c>
      <c r="CO85" s="1603">
        <v>0</v>
      </c>
      <c r="CP85" s="1603">
        <v>2.5499999999999998E-2</v>
      </c>
      <c r="CQ85" s="1603">
        <v>64.766264285714271</v>
      </c>
      <c r="CR85" s="1603">
        <v>75.630501670371942</v>
      </c>
      <c r="CS85" s="1603">
        <v>3.2878091686144097</v>
      </c>
      <c r="CT85" s="1603">
        <v>1.4263912615032148</v>
      </c>
      <c r="CU85" s="1603">
        <v>1.9614770608210965</v>
      </c>
      <c r="CV85" s="1603">
        <v>3.3878683223243113</v>
      </c>
      <c r="CW85" s="1603">
        <v>2.2752680122514697</v>
      </c>
      <c r="CX85" s="1603">
        <v>0.99537303248376541</v>
      </c>
      <c r="CY85" s="1603">
        <v>3.078161417984139</v>
      </c>
      <c r="CZ85" s="1603">
        <v>6.0226081090150601</v>
      </c>
      <c r="DA85" s="1603">
        <v>1.8423590206902609</v>
      </c>
      <c r="DB85" s="1603">
        <v>3.9654584635809416</v>
      </c>
      <c r="DC85" s="1603">
        <v>2.7031853907024344</v>
      </c>
      <c r="DD85" s="1603">
        <v>6.6686438542833759</v>
      </c>
      <c r="DE85" s="1603">
        <v>4.1984004087256883</v>
      </c>
      <c r="DF85" s="1603">
        <v>0</v>
      </c>
      <c r="DG85" s="1603">
        <v>0</v>
      </c>
      <c r="DH85" s="1603">
        <v>0</v>
      </c>
      <c r="DI85" s="1603">
        <v>0</v>
      </c>
      <c r="DJ85" s="1603">
        <v>0</v>
      </c>
      <c r="DK85" s="1603">
        <v>0</v>
      </c>
      <c r="DL85" s="1603">
        <v>0</v>
      </c>
      <c r="DM85" s="1603">
        <v>0</v>
      </c>
      <c r="DN85" s="1603">
        <v>0</v>
      </c>
      <c r="DO85" s="1603">
        <v>0</v>
      </c>
      <c r="DP85" s="1603">
        <v>0</v>
      </c>
      <c r="DQ85" s="1603">
        <v>0</v>
      </c>
      <c r="DR85" s="1603">
        <v>0</v>
      </c>
      <c r="DS85" s="1603">
        <v>0</v>
      </c>
      <c r="DT85" s="1603">
        <v>0</v>
      </c>
      <c r="DU85" s="1603">
        <v>0</v>
      </c>
      <c r="DV85" s="1603">
        <v>0</v>
      </c>
      <c r="DW85" s="1618" t="s">
        <v>3559</v>
      </c>
      <c r="DX85" s="1605">
        <v>21</v>
      </c>
      <c r="DY85" s="1605">
        <v>21</v>
      </c>
      <c r="DZ85" s="1605">
        <v>12</v>
      </c>
      <c r="EA85" s="1605">
        <v>12</v>
      </c>
      <c r="EB85" s="1605" t="s">
        <v>986</v>
      </c>
      <c r="EC85" s="1605">
        <v>12</v>
      </c>
      <c r="ED85" s="1605">
        <v>12</v>
      </c>
      <c r="EE85" s="1605">
        <v>16</v>
      </c>
      <c r="EF85" s="1605">
        <v>12</v>
      </c>
      <c r="EG85" s="1605">
        <v>12</v>
      </c>
      <c r="EH85" s="1605" t="s">
        <v>986</v>
      </c>
      <c r="EI85" s="1605" t="s">
        <v>986</v>
      </c>
      <c r="EJ85" s="1605" t="s">
        <v>986</v>
      </c>
      <c r="EK85" s="1605" t="s">
        <v>986</v>
      </c>
      <c r="EL85" s="1605" t="s">
        <v>986</v>
      </c>
      <c r="EM85" s="1605" t="s">
        <v>986</v>
      </c>
      <c r="EN85" s="1605" t="s">
        <v>986</v>
      </c>
      <c r="EO85" s="1605" t="s">
        <v>986</v>
      </c>
      <c r="EP85" s="1605" t="s">
        <v>986</v>
      </c>
      <c r="EQ85" s="1605" t="s">
        <v>986</v>
      </c>
      <c r="ER85" s="1605" t="s">
        <v>986</v>
      </c>
      <c r="ES85" s="1605">
        <v>12</v>
      </c>
      <c r="ET85" s="1605">
        <v>21</v>
      </c>
      <c r="EU85" s="1605">
        <v>12</v>
      </c>
      <c r="EV85" s="1605">
        <v>4</v>
      </c>
      <c r="EW85" s="1605">
        <v>12</v>
      </c>
      <c r="EX85" s="1605">
        <v>12</v>
      </c>
      <c r="EY85" s="1605" t="s">
        <v>986</v>
      </c>
      <c r="EZ85" s="1605">
        <v>12</v>
      </c>
      <c r="FA85" s="1605">
        <v>12</v>
      </c>
      <c r="FB85" s="1605">
        <v>12</v>
      </c>
      <c r="FC85" s="1605">
        <v>12</v>
      </c>
      <c r="FD85" s="1605" t="s">
        <v>986</v>
      </c>
      <c r="FE85" s="1605" t="s">
        <v>986</v>
      </c>
      <c r="FF85" s="1605">
        <v>1.0938790740166071</v>
      </c>
      <c r="FG85" s="1605">
        <v>0.416839901341784</v>
      </c>
      <c r="FH85" s="1605">
        <v>0.45331683803769179</v>
      </c>
      <c r="FI85" s="1605">
        <v>0.16846655381767581</v>
      </c>
      <c r="FJ85" s="1605" t="s">
        <v>986</v>
      </c>
      <c r="FK85" s="1605">
        <v>2.1944396751100181</v>
      </c>
      <c r="FL85" s="1605">
        <v>2.5056248979934499</v>
      </c>
      <c r="FM85" s="1605" t="s">
        <v>986</v>
      </c>
      <c r="FN85" s="1605">
        <v>5.0868580675970074</v>
      </c>
      <c r="FO85" s="1605">
        <v>4.1062345685222024</v>
      </c>
      <c r="FP85" s="1605" t="s">
        <v>986</v>
      </c>
      <c r="FQ85" s="1605" t="s">
        <v>986</v>
      </c>
      <c r="FR85" s="1605" t="s">
        <v>986</v>
      </c>
      <c r="FS85" s="1605" t="s">
        <v>986</v>
      </c>
      <c r="FT85" s="1605" t="s">
        <v>986</v>
      </c>
      <c r="FU85" s="1605" t="s">
        <v>986</v>
      </c>
      <c r="FV85" s="1605" t="s">
        <v>986</v>
      </c>
      <c r="FW85" s="1605" t="s">
        <v>986</v>
      </c>
      <c r="FX85" s="1605" t="s">
        <v>986</v>
      </c>
      <c r="FY85" s="1605" t="s">
        <v>986</v>
      </c>
      <c r="FZ85" s="1605" t="s">
        <v>986</v>
      </c>
      <c r="GA85" s="1605">
        <v>0.12759744573488202</v>
      </c>
      <c r="GB85" s="1605">
        <v>0.20002950220054194</v>
      </c>
      <c r="GC85" s="1605">
        <v>1.2160727913538985E-3</v>
      </c>
      <c r="GD85" s="1605">
        <v>6.6399748799604905E-2</v>
      </c>
      <c r="GE85" s="1605">
        <v>0.59782660353994976</v>
      </c>
      <c r="GF85" s="1605">
        <v>6.3146621990900764E-2</v>
      </c>
      <c r="GG85" s="1605" t="s">
        <v>986</v>
      </c>
      <c r="GH85" s="1605">
        <v>13.5466461509809</v>
      </c>
      <c r="GI85" s="1605">
        <v>0.19262692157925806</v>
      </c>
      <c r="GJ85" s="1605">
        <v>2.9288283102581061</v>
      </c>
      <c r="GK85" s="1605">
        <v>1.777809665498095</v>
      </c>
      <c r="GL85" s="1605" t="s">
        <v>986</v>
      </c>
      <c r="GM85" s="1605" t="s">
        <v>986</v>
      </c>
      <c r="GN85" s="1605" t="s">
        <v>3027</v>
      </c>
      <c r="GO85" s="1605" t="s">
        <v>3027</v>
      </c>
      <c r="GP85" s="1605" t="s">
        <v>3027</v>
      </c>
      <c r="GQ85" s="1605" t="s">
        <v>3027</v>
      </c>
      <c r="GR85" s="1605" t="s">
        <v>3026</v>
      </c>
      <c r="GS85" s="1605" t="s">
        <v>3027</v>
      </c>
      <c r="GT85" s="1605" t="s">
        <v>3027</v>
      </c>
      <c r="GU85" s="1605" t="s">
        <v>3026</v>
      </c>
      <c r="GV85" s="1605" t="s">
        <v>3027</v>
      </c>
      <c r="GW85" s="1605" t="s">
        <v>3027</v>
      </c>
      <c r="GX85" s="1605" t="s">
        <v>3027</v>
      </c>
      <c r="GY85" s="1605" t="s">
        <v>3027</v>
      </c>
      <c r="GZ85" s="1605" t="s">
        <v>3027</v>
      </c>
      <c r="HA85" s="1605" t="s">
        <v>3027</v>
      </c>
      <c r="HB85" s="1605" t="s">
        <v>3026</v>
      </c>
      <c r="HC85" s="1605" t="s">
        <v>3027</v>
      </c>
      <c r="HD85" s="1605" t="s">
        <v>3027</v>
      </c>
      <c r="HE85" s="1605" t="s">
        <v>3027</v>
      </c>
      <c r="HF85" s="1605" t="s">
        <v>3027</v>
      </c>
      <c r="HG85" s="1605" t="s">
        <v>3027</v>
      </c>
      <c r="HH85" s="1605" t="s">
        <v>3027</v>
      </c>
      <c r="HI85" s="1605" t="s">
        <v>3027</v>
      </c>
      <c r="HJ85" s="1605" t="s">
        <v>3027</v>
      </c>
      <c r="HK85" s="1605" t="s">
        <v>3027</v>
      </c>
      <c r="HL85" s="1605" t="s">
        <v>1578</v>
      </c>
      <c r="HM85" s="1605" t="s">
        <v>3027</v>
      </c>
      <c r="HN85" s="1605" t="s">
        <v>3027</v>
      </c>
      <c r="HO85" s="1605" t="s">
        <v>986</v>
      </c>
      <c r="HP85" s="1605" t="s">
        <v>3027</v>
      </c>
      <c r="HQ85" s="1605" t="s">
        <v>3027</v>
      </c>
      <c r="HR85" s="1605" t="s">
        <v>3027</v>
      </c>
      <c r="HS85" s="1605" t="s">
        <v>3027</v>
      </c>
      <c r="HT85" s="1605" t="s">
        <v>3026</v>
      </c>
      <c r="HU85" s="1605" t="s">
        <v>3026</v>
      </c>
      <c r="HV85" s="1617"/>
      <c r="HW85" s="1617" t="s">
        <v>3575</v>
      </c>
      <c r="HX85" s="1617" t="s">
        <v>3557</v>
      </c>
      <c r="HY85" s="1617" t="s">
        <v>3556</v>
      </c>
      <c r="HZ85" s="1603"/>
      <c r="IA85" s="1603"/>
      <c r="IB85" s="1603"/>
      <c r="IC85" s="1603">
        <v>51.8130081300813</v>
      </c>
      <c r="ID85" s="1603">
        <v>53.178861788617901</v>
      </c>
      <c r="IE85" s="1603">
        <v>54.317073170731703</v>
      </c>
      <c r="IF85" s="1603">
        <v>55</v>
      </c>
      <c r="IG85" s="1611" t="s">
        <v>3555</v>
      </c>
      <c r="IH85" s="1616" t="s">
        <v>3570</v>
      </c>
      <c r="II85" s="1615" t="s">
        <v>276</v>
      </c>
      <c r="IJ85" s="1613">
        <v>0.44523863636363636</v>
      </c>
      <c r="IK85" s="1613">
        <v>0.43135227272727272</v>
      </c>
      <c r="IL85" s="1614">
        <v>0.44523863636363636</v>
      </c>
      <c r="IM85" s="1614">
        <v>0.43135227272727272</v>
      </c>
      <c r="IN85" s="1612">
        <v>0.51100000000000001</v>
      </c>
      <c r="IO85" s="1613">
        <v>6.5761363636363646E-2</v>
      </c>
      <c r="IP85" s="1607" t="s">
        <v>270</v>
      </c>
      <c r="IQ85" s="1612">
        <v>2.4700000000000002</v>
      </c>
      <c r="IR85" s="1612">
        <v>0.126</v>
      </c>
      <c r="IS85" s="1607">
        <v>0.44123863636363636</v>
      </c>
      <c r="IT85" s="1607">
        <v>0.42735227272727272</v>
      </c>
      <c r="IU85" s="1611">
        <v>1.1363636363636365E-5</v>
      </c>
      <c r="IV85" s="1611">
        <v>1.6249999999999999E-3</v>
      </c>
      <c r="IW85" s="1611">
        <v>7.727272727272728E-4</v>
      </c>
      <c r="IX85" s="1611">
        <v>1.1818181818181819E-3</v>
      </c>
      <c r="IY85" s="1611">
        <v>7.8409090909090898E-4</v>
      </c>
      <c r="IZ85" s="1611">
        <v>8.7500000000000008E-3</v>
      </c>
      <c r="JA85" s="1611">
        <v>2.0454545454545454E-4</v>
      </c>
      <c r="JB85" s="1611" t="s">
        <v>270</v>
      </c>
      <c r="JC85" s="1611">
        <v>0.82345454545454544</v>
      </c>
      <c r="JD85" s="1611">
        <v>8.3863636363636362E-3</v>
      </c>
      <c r="JE85" s="1611" t="s">
        <v>270</v>
      </c>
      <c r="JF85" s="1611">
        <v>5.4545454545454537E-4</v>
      </c>
      <c r="JG85" s="1611">
        <v>5.0202613636363642</v>
      </c>
      <c r="JH85" s="1611">
        <v>2.3863636363636361E-4</v>
      </c>
      <c r="JI85" s="1611">
        <v>4.9568181818181817E-2</v>
      </c>
      <c r="JJ85" s="1611" t="s">
        <v>270</v>
      </c>
      <c r="JK85" s="1607">
        <f t="shared" si="10"/>
        <v>4.0000000000000036E-3</v>
      </c>
      <c r="JL85" s="1608" t="s">
        <v>270</v>
      </c>
      <c r="JM85" s="1610" t="s">
        <v>2924</v>
      </c>
      <c r="JN85" s="1608">
        <v>1.3886363636363641E-2</v>
      </c>
      <c r="JO85" s="1609" t="s">
        <v>2923</v>
      </c>
      <c r="JP85" s="1608" t="s">
        <v>270</v>
      </c>
      <c r="JQ85" s="1607">
        <v>202103</v>
      </c>
      <c r="JR85" s="1606">
        <v>347</v>
      </c>
      <c r="JS85" s="1606">
        <v>316</v>
      </c>
      <c r="JT85" s="1606">
        <v>316</v>
      </c>
    </row>
    <row r="86" spans="1:280" ht="15" customHeight="1" x14ac:dyDescent="0.2">
      <c r="A86" s="1626">
        <v>53100</v>
      </c>
      <c r="B86" s="1625">
        <v>531</v>
      </c>
      <c r="C86" s="1624">
        <v>0</v>
      </c>
      <c r="D86" s="1623" t="s">
        <v>3574</v>
      </c>
      <c r="E86" s="1622">
        <v>44497</v>
      </c>
      <c r="F86" s="1620">
        <v>0.86728629500580756</v>
      </c>
      <c r="G86" s="1620">
        <v>0.89739319851577026</v>
      </c>
      <c r="H86" s="1621">
        <v>69.400000000000006</v>
      </c>
      <c r="I86" s="1621">
        <v>65.400000000000006</v>
      </c>
      <c r="J86" s="1621">
        <v>91</v>
      </c>
      <c r="K86" s="1620">
        <v>1</v>
      </c>
      <c r="L86" s="1620">
        <v>85.5</v>
      </c>
      <c r="M86" s="1620">
        <v>9.5</v>
      </c>
      <c r="N86" s="1620">
        <v>5.0999999999999996</v>
      </c>
      <c r="O86" s="1620">
        <v>2</v>
      </c>
      <c r="P86" s="1620">
        <v>11</v>
      </c>
      <c r="Q86" s="1603"/>
      <c r="R86" s="1620">
        <v>69.269028571428564</v>
      </c>
      <c r="S86" s="1620">
        <v>27</v>
      </c>
      <c r="T86" s="1620">
        <v>38.382113821138198</v>
      </c>
      <c r="U86" s="1620">
        <v>42.934959349593498</v>
      </c>
      <c r="V86" s="1620">
        <v>47.032520325203301</v>
      </c>
      <c r="W86" s="1620">
        <v>49.764227642276403</v>
      </c>
      <c r="X86" s="1620"/>
      <c r="Y86" s="1620">
        <v>0.88888888888888884</v>
      </c>
      <c r="Z86" s="1620">
        <v>3.5087719298245612</v>
      </c>
      <c r="AA86" s="1620">
        <v>0.11695906432748537</v>
      </c>
      <c r="AB86" s="1620">
        <v>1.3142857142857061</v>
      </c>
      <c r="AC86" s="1620">
        <v>4.8304093567251458</v>
      </c>
      <c r="AD86" s="1620">
        <v>1.1228070175438596</v>
      </c>
      <c r="AE86" s="1620">
        <v>1.3599999999999999</v>
      </c>
      <c r="AF86" s="1620">
        <v>74.935672514619867</v>
      </c>
      <c r="AG86" s="1620">
        <v>3.3918128654970761</v>
      </c>
      <c r="AH86" s="1620">
        <v>39.672514619883039</v>
      </c>
      <c r="AI86" s="1620">
        <v>29.461988304093566</v>
      </c>
      <c r="AJ86" s="1620">
        <v>0</v>
      </c>
      <c r="AK86" s="1620">
        <v>0.03</v>
      </c>
      <c r="AL86" s="1620"/>
      <c r="AM86" s="1620">
        <v>4.18</v>
      </c>
      <c r="AN86" s="1620">
        <v>1.64</v>
      </c>
      <c r="AO86" s="1620">
        <v>2.73</v>
      </c>
      <c r="AP86" s="1620">
        <v>3.27</v>
      </c>
      <c r="AQ86" s="1620">
        <v>1.23</v>
      </c>
      <c r="AR86" s="1620">
        <v>3.7</v>
      </c>
      <c r="AS86" s="1620">
        <v>7.11</v>
      </c>
      <c r="AT86" s="1620">
        <v>2.1</v>
      </c>
      <c r="AU86" s="1620">
        <v>4.5199999999999996</v>
      </c>
      <c r="AV86" s="1620">
        <v>3.22</v>
      </c>
      <c r="AW86" s="1620">
        <v>5.14</v>
      </c>
      <c r="AX86" s="1620"/>
      <c r="AY86" s="1620">
        <v>1.04</v>
      </c>
      <c r="AZ86" s="1620">
        <v>1.1499999999999999</v>
      </c>
      <c r="BA86" s="1620">
        <v>0.95</v>
      </c>
      <c r="BB86" s="1620">
        <v>0.92</v>
      </c>
      <c r="BC86" s="1620">
        <v>1.07</v>
      </c>
      <c r="BD86" s="1620">
        <v>1.1000000000000001</v>
      </c>
      <c r="BE86" s="1620">
        <v>1.1200000000000001</v>
      </c>
      <c r="BF86" s="1620">
        <v>1.1599999999999999</v>
      </c>
      <c r="BG86" s="1620">
        <v>1.1599999999999999</v>
      </c>
      <c r="BH86" s="1620">
        <v>1.1100000000000001</v>
      </c>
      <c r="BI86" s="1620">
        <v>1.08</v>
      </c>
      <c r="BJ86" s="1603"/>
      <c r="BK86" s="1620">
        <v>11.111111111111111</v>
      </c>
      <c r="BL86" s="1620">
        <v>5.9649122807017534</v>
      </c>
      <c r="BM86" s="1620">
        <v>2.3391812865497075</v>
      </c>
      <c r="BN86" s="1620">
        <v>12.941176470588236</v>
      </c>
      <c r="BO86" s="1620"/>
      <c r="BP86" s="1620">
        <v>110</v>
      </c>
      <c r="BQ86" s="1620">
        <v>63.411764705882355</v>
      </c>
      <c r="BR86" s="1620">
        <v>1.014369935679307</v>
      </c>
      <c r="BS86" s="1620">
        <v>1.0495826883225383</v>
      </c>
      <c r="BT86" s="1603"/>
      <c r="BU86" s="1620">
        <v>976.60818713450294</v>
      </c>
      <c r="BV86" s="1620">
        <v>462.98913951545546</v>
      </c>
      <c r="BW86" s="1620">
        <v>55.806182121971595</v>
      </c>
      <c r="BX86" s="1620">
        <v>471</v>
      </c>
      <c r="BY86" s="1620">
        <v>18</v>
      </c>
      <c r="BZ86" s="1620">
        <v>45</v>
      </c>
      <c r="CA86" s="1620">
        <v>298</v>
      </c>
      <c r="CB86" s="1603"/>
      <c r="CC86" s="1603">
        <v>0.7599999999999999</v>
      </c>
      <c r="CD86" s="1603">
        <v>2.9999999999999996</v>
      </c>
      <c r="CE86" s="1603">
        <v>9.9999999999999992E-2</v>
      </c>
      <c r="CF86" s="1603">
        <v>1.1237142857142786</v>
      </c>
      <c r="CG86" s="1603">
        <v>4.13</v>
      </c>
      <c r="CH86" s="1603">
        <v>0.96</v>
      </c>
      <c r="CI86" s="1603">
        <v>1.1627999999999998</v>
      </c>
      <c r="CJ86" s="1603"/>
      <c r="CK86" s="1603">
        <v>64.069999999999979</v>
      </c>
      <c r="CL86" s="1603">
        <v>2.9</v>
      </c>
      <c r="CM86" s="1603">
        <v>33.919999999999995</v>
      </c>
      <c r="CN86" s="1603">
        <v>25.189999999999998</v>
      </c>
      <c r="CO86" s="1603">
        <v>0</v>
      </c>
      <c r="CP86" s="1603">
        <v>2.5649999999999999E-2</v>
      </c>
      <c r="CQ86" s="1603">
        <v>65.805577142857132</v>
      </c>
      <c r="CR86" s="1603">
        <v>75.875264629215067</v>
      </c>
      <c r="CS86" s="1603">
        <v>3.2984495039612374</v>
      </c>
      <c r="CT86" s="1603">
        <v>1.4310074909069961</v>
      </c>
      <c r="CU86" s="1603">
        <v>1.9678249881586929</v>
      </c>
      <c r="CV86" s="1603">
        <v>3.398832479065689</v>
      </c>
      <c r="CW86" s="1603">
        <v>2.2826314611053062</v>
      </c>
      <c r="CX86" s="1603">
        <v>0.99859435778509931</v>
      </c>
      <c r="CY86" s="1603">
        <v>3.0881232704090533</v>
      </c>
      <c r="CZ86" s="1603">
        <v>6.042099072953655</v>
      </c>
      <c r="DA86" s="1603">
        <v>1.8483214463676789</v>
      </c>
      <c r="DB86" s="1603">
        <v>3.9782918750390039</v>
      </c>
      <c r="DC86" s="1603">
        <v>2.7119337083774053</v>
      </c>
      <c r="DD86" s="1603">
        <v>6.6902255834164093</v>
      </c>
      <c r="DE86" s="1603">
        <v>4.2119876900969864</v>
      </c>
      <c r="DF86" s="1603">
        <v>0</v>
      </c>
      <c r="DG86" s="1603">
        <v>0</v>
      </c>
      <c r="DH86" s="1603">
        <v>0</v>
      </c>
      <c r="DI86" s="1603">
        <v>0</v>
      </c>
      <c r="DJ86" s="1603">
        <v>0</v>
      </c>
      <c r="DK86" s="1603">
        <v>0</v>
      </c>
      <c r="DL86" s="1603">
        <v>0</v>
      </c>
      <c r="DM86" s="1603">
        <v>0</v>
      </c>
      <c r="DN86" s="1603">
        <v>0</v>
      </c>
      <c r="DO86" s="1603">
        <v>0</v>
      </c>
      <c r="DP86" s="1603">
        <v>0</v>
      </c>
      <c r="DQ86" s="1603">
        <v>0</v>
      </c>
      <c r="DR86" s="1603">
        <v>0</v>
      </c>
      <c r="DS86" s="1603">
        <v>0</v>
      </c>
      <c r="DT86" s="1603">
        <v>0</v>
      </c>
      <c r="DU86" s="1603">
        <v>0</v>
      </c>
      <c r="DV86" s="1603">
        <v>0</v>
      </c>
      <c r="DW86" s="1618" t="s">
        <v>3559</v>
      </c>
      <c r="DX86" s="1605">
        <v>14</v>
      </c>
      <c r="DY86" s="1605">
        <v>7</v>
      </c>
      <c r="DZ86" s="1605">
        <v>8</v>
      </c>
      <c r="EA86" s="1605">
        <v>8</v>
      </c>
      <c r="EB86" s="1605" t="s">
        <v>986</v>
      </c>
      <c r="EC86" s="1605">
        <v>8</v>
      </c>
      <c r="ED86" s="1605">
        <v>8</v>
      </c>
      <c r="EE86" s="1605">
        <v>4</v>
      </c>
      <c r="EF86" s="1605">
        <v>8</v>
      </c>
      <c r="EG86" s="1605">
        <v>8</v>
      </c>
      <c r="EH86" s="1605" t="s">
        <v>986</v>
      </c>
      <c r="EI86" s="1605" t="s">
        <v>986</v>
      </c>
      <c r="EJ86" s="1605" t="s">
        <v>986</v>
      </c>
      <c r="EK86" s="1605" t="s">
        <v>986</v>
      </c>
      <c r="EL86" s="1605" t="s">
        <v>986</v>
      </c>
      <c r="EM86" s="1605" t="s">
        <v>986</v>
      </c>
      <c r="EN86" s="1605" t="s">
        <v>986</v>
      </c>
      <c r="EO86" s="1605" t="s">
        <v>986</v>
      </c>
      <c r="EP86" s="1605" t="s">
        <v>986</v>
      </c>
      <c r="EQ86" s="1605" t="s">
        <v>986</v>
      </c>
      <c r="ER86" s="1605" t="s">
        <v>986</v>
      </c>
      <c r="ES86" s="1605">
        <v>8</v>
      </c>
      <c r="ET86" s="1605">
        <v>7</v>
      </c>
      <c r="EU86" s="1605">
        <v>8</v>
      </c>
      <c r="EV86" s="1605">
        <v>4</v>
      </c>
      <c r="EW86" s="1605">
        <v>8</v>
      </c>
      <c r="EX86" s="1605">
        <v>8</v>
      </c>
      <c r="EY86" s="1605" t="s">
        <v>986</v>
      </c>
      <c r="EZ86" s="1605">
        <v>8</v>
      </c>
      <c r="FA86" s="1605">
        <v>8</v>
      </c>
      <c r="FB86" s="1605">
        <v>8</v>
      </c>
      <c r="FC86" s="1605">
        <v>8</v>
      </c>
      <c r="FD86" s="1605" t="s">
        <v>986</v>
      </c>
      <c r="FE86" s="1605" t="s">
        <v>986</v>
      </c>
      <c r="FF86" s="1605">
        <v>3.6313651960128007E-2</v>
      </c>
      <c r="FG86" s="1605">
        <v>0.19839091121382077</v>
      </c>
      <c r="FH86" s="1605">
        <v>0.52351578436484059</v>
      </c>
      <c r="FI86" s="1605">
        <v>0.17913380588113248</v>
      </c>
      <c r="FJ86" s="1605" t="s">
        <v>986</v>
      </c>
      <c r="FK86" s="1605">
        <v>2.6629214325087172</v>
      </c>
      <c r="FL86" s="1605">
        <v>3.0823619731879859</v>
      </c>
      <c r="FM86" s="1605" t="s">
        <v>986</v>
      </c>
      <c r="FN86" s="1605">
        <v>6.4923279543580295</v>
      </c>
      <c r="FO86" s="1605">
        <v>5.4814526364243452</v>
      </c>
      <c r="FP86" s="1605" t="s">
        <v>986</v>
      </c>
      <c r="FQ86" s="1605" t="s">
        <v>986</v>
      </c>
      <c r="FR86" s="1605" t="s">
        <v>986</v>
      </c>
      <c r="FS86" s="1605" t="s">
        <v>986</v>
      </c>
      <c r="FT86" s="1605" t="s">
        <v>986</v>
      </c>
      <c r="FU86" s="1605" t="s">
        <v>986</v>
      </c>
      <c r="FV86" s="1605" t="s">
        <v>986</v>
      </c>
      <c r="FW86" s="1605" t="s">
        <v>986</v>
      </c>
      <c r="FX86" s="1605" t="s">
        <v>986</v>
      </c>
      <c r="FY86" s="1605" t="s">
        <v>986</v>
      </c>
      <c r="FZ86" s="1605" t="s">
        <v>986</v>
      </c>
      <c r="GA86" s="1605">
        <v>9.4131388203520031E-2</v>
      </c>
      <c r="GB86" s="1605">
        <v>0.21316531584375542</v>
      </c>
      <c r="GC86" s="1605">
        <v>1.4619751926847095E-3</v>
      </c>
      <c r="GD86" s="1605">
        <v>7.0000000000000007E-2</v>
      </c>
      <c r="GE86" s="1605">
        <v>0.52044368814929287</v>
      </c>
      <c r="GF86" s="1605">
        <v>5.4900346968778234E-2</v>
      </c>
      <c r="GG86" s="1605" t="s">
        <v>986</v>
      </c>
      <c r="GH86" s="1605">
        <v>14.348303088632354</v>
      </c>
      <c r="GI86" s="1605">
        <v>0.20738627720723093</v>
      </c>
      <c r="GJ86" s="1605">
        <v>2.7332240369035956</v>
      </c>
      <c r="GK86" s="1605">
        <v>1.9772306884419188</v>
      </c>
      <c r="GL86" s="1605" t="s">
        <v>986</v>
      </c>
      <c r="GM86" s="1605" t="s">
        <v>986</v>
      </c>
      <c r="GN86" s="1605" t="s">
        <v>2217</v>
      </c>
      <c r="GO86" s="1605" t="s">
        <v>2217</v>
      </c>
      <c r="GP86" s="1605" t="s">
        <v>2217</v>
      </c>
      <c r="GQ86" s="1605" t="s">
        <v>2217</v>
      </c>
      <c r="GR86" s="1605" t="s">
        <v>1763</v>
      </c>
      <c r="GS86" s="1605" t="s">
        <v>2217</v>
      </c>
      <c r="GT86" s="1605" t="s">
        <v>2217</v>
      </c>
      <c r="GU86" s="1605" t="s">
        <v>1763</v>
      </c>
      <c r="GV86" s="1605" t="s">
        <v>2217</v>
      </c>
      <c r="GW86" s="1605" t="s">
        <v>2217</v>
      </c>
      <c r="GX86" s="1605" t="s">
        <v>2217</v>
      </c>
      <c r="GY86" s="1605" t="s">
        <v>2217</v>
      </c>
      <c r="GZ86" s="1605" t="s">
        <v>2217</v>
      </c>
      <c r="HA86" s="1605" t="s">
        <v>2217</v>
      </c>
      <c r="HB86" s="1605" t="s">
        <v>1763</v>
      </c>
      <c r="HC86" s="1605" t="s">
        <v>2217</v>
      </c>
      <c r="HD86" s="1605" t="s">
        <v>2217</v>
      </c>
      <c r="HE86" s="1605" t="s">
        <v>2217</v>
      </c>
      <c r="HF86" s="1605" t="s">
        <v>2217</v>
      </c>
      <c r="HG86" s="1605" t="s">
        <v>2217</v>
      </c>
      <c r="HH86" s="1605" t="s">
        <v>2217</v>
      </c>
      <c r="HI86" s="1605" t="s">
        <v>2217</v>
      </c>
      <c r="HJ86" s="1605" t="s">
        <v>2217</v>
      </c>
      <c r="HK86" s="1605" t="s">
        <v>2217</v>
      </c>
      <c r="HL86" s="1605" t="s">
        <v>1578</v>
      </c>
      <c r="HM86" s="1605" t="s">
        <v>2217</v>
      </c>
      <c r="HN86" s="1605" t="s">
        <v>2217</v>
      </c>
      <c r="HO86" s="1605" t="s">
        <v>986</v>
      </c>
      <c r="HP86" s="1605" t="s">
        <v>2217</v>
      </c>
      <c r="HQ86" s="1605" t="s">
        <v>2217</v>
      </c>
      <c r="HR86" s="1605" t="s">
        <v>2217</v>
      </c>
      <c r="HS86" s="1605" t="s">
        <v>2217</v>
      </c>
      <c r="HT86" s="1605" t="s">
        <v>1763</v>
      </c>
      <c r="HU86" s="1605" t="s">
        <v>1763</v>
      </c>
      <c r="HV86" s="1617"/>
      <c r="HW86" s="1617" t="s">
        <v>3566</v>
      </c>
      <c r="HX86" s="1617" t="s">
        <v>3557</v>
      </c>
      <c r="HY86" s="1617" t="s">
        <v>3556</v>
      </c>
      <c r="HZ86" s="1603"/>
      <c r="IA86" s="1603"/>
      <c r="IB86" s="1603"/>
      <c r="IC86" s="1603">
        <v>51.8130081300813</v>
      </c>
      <c r="ID86" s="1603">
        <v>53.178861788617901</v>
      </c>
      <c r="IE86" s="1603">
        <v>54.317073170731703</v>
      </c>
      <c r="IF86" s="1603">
        <v>55</v>
      </c>
      <c r="IG86" s="1611" t="s">
        <v>3555</v>
      </c>
      <c r="IH86" s="1616" t="s">
        <v>3573</v>
      </c>
      <c r="II86" s="1615" t="s">
        <v>3572</v>
      </c>
      <c r="IJ86" s="1613">
        <v>0.44523863636363636</v>
      </c>
      <c r="IK86" s="1613">
        <v>0.43135227272727272</v>
      </c>
      <c r="IL86" s="1614">
        <v>0.44523863636363636</v>
      </c>
      <c r="IM86" s="1614">
        <v>0.43135227272727272</v>
      </c>
      <c r="IN86" s="1612">
        <v>0.51100000000000001</v>
      </c>
      <c r="IO86" s="1613">
        <v>6.5761363636363646E-2</v>
      </c>
      <c r="IP86" s="1607" t="s">
        <v>270</v>
      </c>
      <c r="IQ86" s="1612">
        <v>2.4700000000000002</v>
      </c>
      <c r="IR86" s="1612">
        <v>0.126</v>
      </c>
      <c r="IS86" s="1607">
        <v>0.44123863636363636</v>
      </c>
      <c r="IT86" s="1607">
        <v>0.42735227272727272</v>
      </c>
      <c r="IU86" s="1611">
        <v>1.1363636363636365E-5</v>
      </c>
      <c r="IV86" s="1611">
        <v>1.6249999999999999E-3</v>
      </c>
      <c r="IW86" s="1611">
        <v>7.727272727272728E-4</v>
      </c>
      <c r="IX86" s="1611">
        <v>1.1818181818181819E-3</v>
      </c>
      <c r="IY86" s="1611">
        <v>7.8409090909090898E-4</v>
      </c>
      <c r="IZ86" s="1611">
        <v>8.7500000000000008E-3</v>
      </c>
      <c r="JA86" s="1611">
        <v>2.0454545454545454E-4</v>
      </c>
      <c r="JB86" s="1611" t="s">
        <v>270</v>
      </c>
      <c r="JC86" s="1611">
        <v>0.82345454545454544</v>
      </c>
      <c r="JD86" s="1611">
        <v>8.3863636363636362E-3</v>
      </c>
      <c r="JE86" s="1611" t="s">
        <v>270</v>
      </c>
      <c r="JF86" s="1611">
        <v>5.4545454545454537E-4</v>
      </c>
      <c r="JG86" s="1611">
        <v>5.0202613636363642</v>
      </c>
      <c r="JH86" s="1611">
        <v>2.3863636363636361E-4</v>
      </c>
      <c r="JI86" s="1611">
        <v>4.9568181818181817E-2</v>
      </c>
      <c r="JJ86" s="1611" t="s">
        <v>270</v>
      </c>
      <c r="JK86" s="1607">
        <f t="shared" si="10"/>
        <v>4.0000000000000036E-3</v>
      </c>
      <c r="JL86" s="1608" t="s">
        <v>270</v>
      </c>
      <c r="JM86" s="1610" t="s">
        <v>2924</v>
      </c>
      <c r="JN86" s="1608">
        <v>1.3886363636363641E-2</v>
      </c>
      <c r="JO86" s="1609" t="s">
        <v>2923</v>
      </c>
      <c r="JP86" s="1608" t="s">
        <v>270</v>
      </c>
      <c r="JQ86" s="1607">
        <v>202103</v>
      </c>
      <c r="JR86" s="1606">
        <v>347</v>
      </c>
      <c r="JS86" s="1606">
        <v>316</v>
      </c>
      <c r="JT86" s="1606">
        <v>316</v>
      </c>
    </row>
    <row r="87" spans="1:280" ht="15" customHeight="1" x14ac:dyDescent="0.2">
      <c r="A87" s="1626">
        <v>53300</v>
      </c>
      <c r="B87" s="1625">
        <v>533</v>
      </c>
      <c r="C87" s="1624">
        <v>0</v>
      </c>
      <c r="D87" s="1623" t="s">
        <v>3571</v>
      </c>
      <c r="E87" s="1622">
        <v>43363</v>
      </c>
      <c r="F87" s="1620">
        <v>0.82895961922231898</v>
      </c>
      <c r="G87" s="1620">
        <v>0.86255310466205704</v>
      </c>
      <c r="H87" s="1621">
        <v>68.3</v>
      </c>
      <c r="I87" s="1621">
        <v>64.100028100000003</v>
      </c>
      <c r="J87" s="1621">
        <v>91</v>
      </c>
      <c r="K87" s="1620">
        <v>1</v>
      </c>
      <c r="L87" s="1620">
        <v>85</v>
      </c>
      <c r="M87" s="1620">
        <v>9.9999999999999591</v>
      </c>
      <c r="N87" s="1620">
        <v>4.7</v>
      </c>
      <c r="O87" s="1620">
        <v>2.2999999999999998</v>
      </c>
      <c r="P87" s="1620">
        <v>11</v>
      </c>
      <c r="Q87" s="1603"/>
      <c r="R87" s="1620">
        <v>69.750067910774206</v>
      </c>
      <c r="S87" s="1620">
        <v>27</v>
      </c>
      <c r="T87" s="1620">
        <v>38.382113821138198</v>
      </c>
      <c r="U87" s="1620">
        <v>42.934959349593498</v>
      </c>
      <c r="V87" s="1620">
        <v>47.032520325203301</v>
      </c>
      <c r="W87" s="1620">
        <v>49.764227642276403</v>
      </c>
      <c r="X87" s="1620"/>
      <c r="Y87" s="1620">
        <v>1</v>
      </c>
      <c r="Z87" s="1620">
        <v>3.5294117647058822</v>
      </c>
      <c r="AA87" s="1620">
        <v>0.1</v>
      </c>
      <c r="AB87" s="1620">
        <v>0</v>
      </c>
      <c r="AC87" s="1620">
        <v>4.4705882352941178</v>
      </c>
      <c r="AD87" s="1620">
        <v>1.1529411764705906</v>
      </c>
      <c r="AE87" s="1620">
        <v>1.4</v>
      </c>
      <c r="AF87" s="1620">
        <v>82.352941176470594</v>
      </c>
      <c r="AG87" s="1620">
        <v>3.6470588235294117</v>
      </c>
      <c r="AH87" s="1620">
        <v>38.705882352941174</v>
      </c>
      <c r="AI87" s="1620">
        <v>29.411764705882351</v>
      </c>
      <c r="AJ87" s="1620">
        <v>0</v>
      </c>
      <c r="AK87" s="1620">
        <v>0.03</v>
      </c>
      <c r="AL87" s="1620"/>
      <c r="AM87" s="1620">
        <v>4.18</v>
      </c>
      <c r="AN87" s="1620">
        <v>1.64</v>
      </c>
      <c r="AO87" s="1620">
        <v>2.73</v>
      </c>
      <c r="AP87" s="1620">
        <v>3.27</v>
      </c>
      <c r="AQ87" s="1620">
        <v>1.23</v>
      </c>
      <c r="AR87" s="1620">
        <v>3.7</v>
      </c>
      <c r="AS87" s="1620">
        <v>7.1100000000000101</v>
      </c>
      <c r="AT87" s="1620">
        <v>2.1</v>
      </c>
      <c r="AU87" s="1620">
        <v>4.53</v>
      </c>
      <c r="AV87" s="1620">
        <v>3.22</v>
      </c>
      <c r="AW87" s="1620">
        <v>5.14</v>
      </c>
      <c r="AX87" s="1620"/>
      <c r="AY87" s="1620">
        <v>1.04</v>
      </c>
      <c r="AZ87" s="1620">
        <v>1.1499999999999999</v>
      </c>
      <c r="BA87" s="1620">
        <v>0.95</v>
      </c>
      <c r="BB87" s="1620">
        <v>0.92</v>
      </c>
      <c r="BC87" s="1620">
        <v>1.07</v>
      </c>
      <c r="BD87" s="1620">
        <v>1.1000000000000001</v>
      </c>
      <c r="BE87" s="1620">
        <v>1.1200000000000001</v>
      </c>
      <c r="BF87" s="1620">
        <v>1.1599999999999999</v>
      </c>
      <c r="BG87" s="1620">
        <v>1.1599999999999999</v>
      </c>
      <c r="BH87" s="1620">
        <v>1.1100000000000001</v>
      </c>
      <c r="BI87" s="1620">
        <v>1.08</v>
      </c>
      <c r="BJ87" s="1603"/>
      <c r="BK87" s="1620">
        <v>11.764705882352892</v>
      </c>
      <c r="BL87" s="1620">
        <v>5.5294117647058822</v>
      </c>
      <c r="BM87" s="1620">
        <v>2.7058823529411762</v>
      </c>
      <c r="BN87" s="1620">
        <v>12.941176470588236</v>
      </c>
      <c r="BO87" s="1620"/>
      <c r="BP87" s="1620">
        <v>110</v>
      </c>
      <c r="BQ87" s="1620">
        <v>60.823529411764703</v>
      </c>
      <c r="BR87" s="1620">
        <v>0.97524661084978692</v>
      </c>
      <c r="BS87" s="1620">
        <v>1.0147683584259495</v>
      </c>
      <c r="BT87" s="1603"/>
      <c r="BU87" s="1620">
        <v>972.94117647058829</v>
      </c>
      <c r="BV87" s="1620">
        <v>445.44862586050476</v>
      </c>
      <c r="BW87" s="1620">
        <v>58.376080021848708</v>
      </c>
      <c r="BX87" s="1620">
        <v>471</v>
      </c>
      <c r="BY87" s="1620">
        <v>18</v>
      </c>
      <c r="BZ87" s="1620">
        <v>46.163560991075641</v>
      </c>
      <c r="CA87" s="1620">
        <v>308.94075432489058</v>
      </c>
      <c r="CB87" s="1603"/>
      <c r="CC87" s="1603">
        <v>0.85</v>
      </c>
      <c r="CD87" s="1603">
        <v>3</v>
      </c>
      <c r="CE87" s="1603">
        <v>8.5000000000000006E-2</v>
      </c>
      <c r="CF87" s="1603">
        <v>0</v>
      </c>
      <c r="CG87" s="1603">
        <v>3.8</v>
      </c>
      <c r="CH87" s="1603">
        <v>0.98000000000000198</v>
      </c>
      <c r="CI87" s="1603">
        <v>1.19</v>
      </c>
      <c r="CJ87" s="1603"/>
      <c r="CK87" s="1603">
        <v>70</v>
      </c>
      <c r="CL87" s="1603">
        <v>3.0999999999999996</v>
      </c>
      <c r="CM87" s="1603">
        <v>32.9</v>
      </c>
      <c r="CN87" s="1603">
        <v>24.999999999999996</v>
      </c>
      <c r="CO87" s="1603">
        <v>0</v>
      </c>
      <c r="CP87" s="1603">
        <v>2.5499999999999998E-2</v>
      </c>
      <c r="CQ87" s="1603">
        <v>69.750067910773893</v>
      </c>
      <c r="CR87" s="1603">
        <v>84.14169555835457</v>
      </c>
      <c r="CS87" s="1603">
        <v>3.6578077893127987</v>
      </c>
      <c r="CT87" s="1603">
        <v>1.5869123782305725</v>
      </c>
      <c r="CU87" s="1603">
        <v>2.1822148743059246</v>
      </c>
      <c r="CV87" s="1603">
        <v>3.7691272525364972</v>
      </c>
      <c r="CW87" s="1603">
        <v>2.531318769177537</v>
      </c>
      <c r="CX87" s="1603">
        <v>1.1073888552435056</v>
      </c>
      <c r="CY87" s="1603">
        <v>3.4245670092250338</v>
      </c>
      <c r="CZ87" s="1603">
        <v>6.7003715007029072</v>
      </c>
      <c r="DA87" s="1603">
        <v>2.049691703801515</v>
      </c>
      <c r="DB87" s="1603">
        <v>4.4214778182004197</v>
      </c>
      <c r="DC87" s="1603">
        <v>3.0073924826467087</v>
      </c>
      <c r="DD87" s="1603">
        <v>7.4288703008471284</v>
      </c>
      <c r="DE87" s="1603">
        <v>4.6708738038353905</v>
      </c>
      <c r="DF87" s="1603">
        <v>0</v>
      </c>
      <c r="DG87" s="1603">
        <v>0</v>
      </c>
      <c r="DH87" s="1603">
        <v>0</v>
      </c>
      <c r="DI87" s="1603">
        <v>0</v>
      </c>
      <c r="DJ87" s="1603">
        <v>0</v>
      </c>
      <c r="DK87" s="1603">
        <v>0</v>
      </c>
      <c r="DL87" s="1603">
        <v>0</v>
      </c>
      <c r="DM87" s="1603">
        <v>0</v>
      </c>
      <c r="DN87" s="1603">
        <v>0</v>
      </c>
      <c r="DO87" s="1603">
        <v>0</v>
      </c>
      <c r="DP87" s="1603">
        <v>0</v>
      </c>
      <c r="DQ87" s="1603">
        <v>0</v>
      </c>
      <c r="DR87" s="1603">
        <v>0</v>
      </c>
      <c r="DS87" s="1603">
        <v>0</v>
      </c>
      <c r="DT87" s="1603">
        <v>0</v>
      </c>
      <c r="DU87" s="1603">
        <v>0</v>
      </c>
      <c r="DV87" s="1603">
        <v>0</v>
      </c>
      <c r="DW87" s="1618" t="s">
        <v>3559</v>
      </c>
      <c r="DX87" s="1605" t="s">
        <v>986</v>
      </c>
      <c r="DY87" s="1605" t="s">
        <v>986</v>
      </c>
      <c r="DZ87" s="1605" t="s">
        <v>986</v>
      </c>
      <c r="EA87" s="1605" t="s">
        <v>986</v>
      </c>
      <c r="EB87" s="1605" t="s">
        <v>986</v>
      </c>
      <c r="EC87" s="1605" t="s">
        <v>986</v>
      </c>
      <c r="ED87" s="1605" t="s">
        <v>986</v>
      </c>
      <c r="EE87" s="1605" t="s">
        <v>986</v>
      </c>
      <c r="EF87" s="1605" t="s">
        <v>986</v>
      </c>
      <c r="EG87" s="1605" t="s">
        <v>986</v>
      </c>
      <c r="EH87" s="1605" t="s">
        <v>986</v>
      </c>
      <c r="EI87" s="1605" t="s">
        <v>986</v>
      </c>
      <c r="EJ87" s="1605" t="s">
        <v>986</v>
      </c>
      <c r="EK87" s="1605" t="s">
        <v>986</v>
      </c>
      <c r="EL87" s="1605" t="s">
        <v>986</v>
      </c>
      <c r="EM87" s="1605" t="s">
        <v>986</v>
      </c>
      <c r="EN87" s="1605" t="s">
        <v>986</v>
      </c>
      <c r="EO87" s="1605" t="s">
        <v>986</v>
      </c>
      <c r="EP87" s="1605" t="s">
        <v>986</v>
      </c>
      <c r="EQ87" s="1605" t="s">
        <v>986</v>
      </c>
      <c r="ER87" s="1605" t="s">
        <v>986</v>
      </c>
      <c r="ES87" s="1605" t="s">
        <v>986</v>
      </c>
      <c r="ET87" s="1605" t="s">
        <v>986</v>
      </c>
      <c r="EU87" s="1605" t="s">
        <v>986</v>
      </c>
      <c r="EV87" s="1605" t="s">
        <v>986</v>
      </c>
      <c r="EW87" s="1605" t="s">
        <v>986</v>
      </c>
      <c r="EX87" s="1605" t="s">
        <v>986</v>
      </c>
      <c r="EY87" s="1605" t="s">
        <v>986</v>
      </c>
      <c r="EZ87" s="1605" t="s">
        <v>986</v>
      </c>
      <c r="FA87" s="1605" t="s">
        <v>986</v>
      </c>
      <c r="FB87" s="1605" t="s">
        <v>986</v>
      </c>
      <c r="FC87" s="1605" t="s">
        <v>986</v>
      </c>
      <c r="FD87" s="1605" t="s">
        <v>986</v>
      </c>
      <c r="FE87" s="1605" t="s">
        <v>986</v>
      </c>
      <c r="FF87" s="1605" t="s">
        <v>986</v>
      </c>
      <c r="FG87" s="1605" t="s">
        <v>986</v>
      </c>
      <c r="FH87" s="1605" t="s">
        <v>986</v>
      </c>
      <c r="FI87" s="1605" t="s">
        <v>986</v>
      </c>
      <c r="FJ87" s="1605" t="s">
        <v>986</v>
      </c>
      <c r="FK87" s="1605" t="s">
        <v>986</v>
      </c>
      <c r="FL87" s="1605" t="s">
        <v>986</v>
      </c>
      <c r="FM87" s="1605" t="s">
        <v>986</v>
      </c>
      <c r="FN87" s="1605" t="s">
        <v>986</v>
      </c>
      <c r="FO87" s="1605" t="s">
        <v>986</v>
      </c>
      <c r="FP87" s="1605" t="s">
        <v>986</v>
      </c>
      <c r="FQ87" s="1605" t="s">
        <v>986</v>
      </c>
      <c r="FR87" s="1605" t="s">
        <v>986</v>
      </c>
      <c r="FS87" s="1605" t="s">
        <v>986</v>
      </c>
      <c r="FT87" s="1605" t="s">
        <v>986</v>
      </c>
      <c r="FU87" s="1605" t="s">
        <v>986</v>
      </c>
      <c r="FV87" s="1605" t="s">
        <v>986</v>
      </c>
      <c r="FW87" s="1605" t="s">
        <v>986</v>
      </c>
      <c r="FX87" s="1605" t="s">
        <v>986</v>
      </c>
      <c r="FY87" s="1605" t="s">
        <v>986</v>
      </c>
      <c r="FZ87" s="1605" t="s">
        <v>986</v>
      </c>
      <c r="GA87" s="1605" t="s">
        <v>986</v>
      </c>
      <c r="GB87" s="1605" t="s">
        <v>986</v>
      </c>
      <c r="GC87" s="1605" t="s">
        <v>986</v>
      </c>
      <c r="GD87" s="1605" t="s">
        <v>986</v>
      </c>
      <c r="GE87" s="1605" t="s">
        <v>986</v>
      </c>
      <c r="GF87" s="1605" t="s">
        <v>986</v>
      </c>
      <c r="GG87" s="1605" t="s">
        <v>986</v>
      </c>
      <c r="GH87" s="1605" t="s">
        <v>986</v>
      </c>
      <c r="GI87" s="1605" t="s">
        <v>986</v>
      </c>
      <c r="GJ87" s="1605" t="s">
        <v>986</v>
      </c>
      <c r="GK87" s="1605" t="s">
        <v>986</v>
      </c>
      <c r="GL87" s="1605" t="s">
        <v>986</v>
      </c>
      <c r="GM87" s="1605" t="s">
        <v>986</v>
      </c>
      <c r="GN87" s="1605" t="s">
        <v>986</v>
      </c>
      <c r="GO87" s="1605" t="s">
        <v>986</v>
      </c>
      <c r="GP87" s="1605" t="s">
        <v>986</v>
      </c>
      <c r="GQ87" s="1605" t="s">
        <v>986</v>
      </c>
      <c r="GR87" s="1605" t="s">
        <v>986</v>
      </c>
      <c r="GS87" s="1605" t="s">
        <v>986</v>
      </c>
      <c r="GT87" s="1605" t="s">
        <v>986</v>
      </c>
      <c r="GU87" s="1605" t="s">
        <v>986</v>
      </c>
      <c r="GV87" s="1605" t="s">
        <v>986</v>
      </c>
      <c r="GW87" s="1605" t="s">
        <v>986</v>
      </c>
      <c r="GX87" s="1605" t="s">
        <v>986</v>
      </c>
      <c r="GY87" s="1605" t="s">
        <v>986</v>
      </c>
      <c r="GZ87" s="1605" t="s">
        <v>986</v>
      </c>
      <c r="HA87" s="1605" t="s">
        <v>986</v>
      </c>
      <c r="HB87" s="1605" t="s">
        <v>986</v>
      </c>
      <c r="HC87" s="1605" t="s">
        <v>986</v>
      </c>
      <c r="HD87" s="1605" t="s">
        <v>986</v>
      </c>
      <c r="HE87" s="1605" t="s">
        <v>986</v>
      </c>
      <c r="HF87" s="1605" t="s">
        <v>986</v>
      </c>
      <c r="HG87" s="1605" t="s">
        <v>986</v>
      </c>
      <c r="HH87" s="1605" t="s">
        <v>986</v>
      </c>
      <c r="HI87" s="1605" t="s">
        <v>986</v>
      </c>
      <c r="HJ87" s="1605" t="s">
        <v>986</v>
      </c>
      <c r="HK87" s="1605" t="s">
        <v>986</v>
      </c>
      <c r="HL87" s="1605" t="s">
        <v>986</v>
      </c>
      <c r="HM87" s="1605" t="s">
        <v>986</v>
      </c>
      <c r="HN87" s="1605" t="s">
        <v>986</v>
      </c>
      <c r="HO87" s="1605" t="s">
        <v>986</v>
      </c>
      <c r="HP87" s="1605" t="s">
        <v>986</v>
      </c>
      <c r="HQ87" s="1605" t="s">
        <v>986</v>
      </c>
      <c r="HR87" s="1605" t="s">
        <v>986</v>
      </c>
      <c r="HS87" s="1605" t="s">
        <v>986</v>
      </c>
      <c r="HT87" s="1605" t="s">
        <v>986</v>
      </c>
      <c r="HU87" s="1605" t="s">
        <v>986</v>
      </c>
      <c r="HV87" s="1617"/>
      <c r="HW87" s="1617" t="s">
        <v>3568</v>
      </c>
      <c r="HX87" s="1617" t="s">
        <v>3557</v>
      </c>
      <c r="HY87" s="1617" t="s">
        <v>3556</v>
      </c>
      <c r="HZ87" s="1603"/>
      <c r="IA87" s="1603"/>
      <c r="IB87" s="1603"/>
      <c r="IC87" s="1603">
        <v>51.8130081300813</v>
      </c>
      <c r="ID87" s="1603">
        <v>53.178861788617901</v>
      </c>
      <c r="IE87" s="1603">
        <v>54.317073170731703</v>
      </c>
      <c r="IF87" s="1603">
        <v>55</v>
      </c>
      <c r="IG87" s="1611" t="s">
        <v>3555</v>
      </c>
      <c r="IH87" s="1616" t="s">
        <v>3570</v>
      </c>
      <c r="II87" s="1615" t="s">
        <v>276</v>
      </c>
      <c r="IJ87" s="1613">
        <v>0.44523863636363636</v>
      </c>
      <c r="IK87" s="1613">
        <v>0.43135227272727272</v>
      </c>
      <c r="IL87" s="1614">
        <v>0.44523863636363636</v>
      </c>
      <c r="IM87" s="1614">
        <v>0.43135227272727272</v>
      </c>
      <c r="IN87" s="1612">
        <v>0.51100000000000001</v>
      </c>
      <c r="IO87" s="1613">
        <v>6.5761363636363646E-2</v>
      </c>
      <c r="IP87" s="1607" t="s">
        <v>270</v>
      </c>
      <c r="IQ87" s="1612">
        <v>2.4700000000000002</v>
      </c>
      <c r="IR87" s="1612">
        <v>0.126</v>
      </c>
      <c r="IS87" s="1607">
        <v>0.44123863636363636</v>
      </c>
      <c r="IT87" s="1607">
        <v>0.42735227272727272</v>
      </c>
      <c r="IU87" s="1611">
        <v>1.1363636363636365E-5</v>
      </c>
      <c r="IV87" s="1611">
        <v>1.6249999999999999E-3</v>
      </c>
      <c r="IW87" s="1611">
        <v>7.727272727272728E-4</v>
      </c>
      <c r="IX87" s="1611">
        <v>1.1818181818181819E-3</v>
      </c>
      <c r="IY87" s="1611">
        <v>7.8409090909090898E-4</v>
      </c>
      <c r="IZ87" s="1611">
        <v>8.7500000000000008E-3</v>
      </c>
      <c r="JA87" s="1611">
        <v>2.0454545454545454E-4</v>
      </c>
      <c r="JB87" s="1611" t="s">
        <v>270</v>
      </c>
      <c r="JC87" s="1611">
        <v>0.82345454545454544</v>
      </c>
      <c r="JD87" s="1611">
        <v>8.3863636363636362E-3</v>
      </c>
      <c r="JE87" s="1611" t="s">
        <v>270</v>
      </c>
      <c r="JF87" s="1611">
        <v>5.4545454545454537E-4</v>
      </c>
      <c r="JG87" s="1611">
        <v>5.0202613636363642</v>
      </c>
      <c r="JH87" s="1611">
        <v>2.3863636363636361E-4</v>
      </c>
      <c r="JI87" s="1611">
        <v>4.9568181818181817E-2</v>
      </c>
      <c r="JJ87" s="1611" t="s">
        <v>270</v>
      </c>
      <c r="JK87" s="1607">
        <f t="shared" si="10"/>
        <v>4.0000000000000036E-3</v>
      </c>
      <c r="JL87" s="1608" t="s">
        <v>270</v>
      </c>
      <c r="JM87" s="1610" t="s">
        <v>2924</v>
      </c>
      <c r="JN87" s="1608">
        <v>1.3886363636363641E-2</v>
      </c>
      <c r="JO87" s="1609" t="s">
        <v>2923</v>
      </c>
      <c r="JP87" s="1608" t="s">
        <v>270</v>
      </c>
      <c r="JQ87" s="1607">
        <v>202103</v>
      </c>
      <c r="JR87" s="1606">
        <v>347</v>
      </c>
      <c r="JS87" s="1606">
        <v>316</v>
      </c>
      <c r="JT87" s="1606">
        <v>316</v>
      </c>
    </row>
    <row r="88" spans="1:280" ht="15" customHeight="1" x14ac:dyDescent="0.2">
      <c r="A88" s="1626">
        <v>53320</v>
      </c>
      <c r="B88" s="1625">
        <v>533</v>
      </c>
      <c r="C88" s="1624">
        <v>20</v>
      </c>
      <c r="D88" s="1623" t="s">
        <v>3569</v>
      </c>
      <c r="E88" s="1622">
        <v>43367</v>
      </c>
      <c r="F88" s="1620">
        <v>0.82563238344996104</v>
      </c>
      <c r="G88" s="1620">
        <v>0.85936414362310198</v>
      </c>
      <c r="H88" s="1621">
        <v>68.3</v>
      </c>
      <c r="I88" s="1621">
        <v>64.100028100000003</v>
      </c>
      <c r="J88" s="1621">
        <v>91</v>
      </c>
      <c r="K88" s="1620">
        <v>1</v>
      </c>
      <c r="L88" s="1620">
        <v>85</v>
      </c>
      <c r="M88" s="1620">
        <v>11.5</v>
      </c>
      <c r="N88" s="1620">
        <v>4.7</v>
      </c>
      <c r="O88" s="1620">
        <v>2.2999999999999998</v>
      </c>
      <c r="P88" s="1620">
        <v>11</v>
      </c>
      <c r="Q88" s="1603"/>
      <c r="R88" s="1620">
        <v>72.521798183282002</v>
      </c>
      <c r="S88" s="1620">
        <v>27</v>
      </c>
      <c r="T88" s="1620">
        <v>38.382113821138198</v>
      </c>
      <c r="U88" s="1620">
        <v>42.934959349593498</v>
      </c>
      <c r="V88" s="1620">
        <v>47.032520325203301</v>
      </c>
      <c r="W88" s="1620">
        <v>49.764227642276403</v>
      </c>
      <c r="X88" s="1620"/>
      <c r="Y88" s="1620">
        <v>1</v>
      </c>
      <c r="Z88" s="1620">
        <v>3.5294117647058822</v>
      </c>
      <c r="AA88" s="1620">
        <v>0.1</v>
      </c>
      <c r="AB88" s="1620">
        <v>0</v>
      </c>
      <c r="AC88" s="1620">
        <v>4.4705882352941178</v>
      </c>
      <c r="AD88" s="1620">
        <v>1.1529411764705906</v>
      </c>
      <c r="AE88" s="1620">
        <v>1.4</v>
      </c>
      <c r="AF88" s="1620">
        <v>82.352941176470594</v>
      </c>
      <c r="AG88" s="1620">
        <v>3.6470588235294117</v>
      </c>
      <c r="AH88" s="1620">
        <v>38.705882352941174</v>
      </c>
      <c r="AI88" s="1620">
        <v>29.411764705882351</v>
      </c>
      <c r="AJ88" s="1620">
        <v>0</v>
      </c>
      <c r="AK88" s="1620">
        <v>0.03</v>
      </c>
      <c r="AL88" s="1620"/>
      <c r="AM88" s="1620">
        <v>4.18</v>
      </c>
      <c r="AN88" s="1620">
        <v>1.64</v>
      </c>
      <c r="AO88" s="1620">
        <v>2.73</v>
      </c>
      <c r="AP88" s="1620">
        <v>3.27</v>
      </c>
      <c r="AQ88" s="1620">
        <v>1.23</v>
      </c>
      <c r="AR88" s="1620">
        <v>3.7</v>
      </c>
      <c r="AS88" s="1620">
        <v>7.1100000000000101</v>
      </c>
      <c r="AT88" s="1620">
        <v>2.1</v>
      </c>
      <c r="AU88" s="1620">
        <v>4.53</v>
      </c>
      <c r="AV88" s="1620">
        <v>3.22</v>
      </c>
      <c r="AW88" s="1620">
        <v>5.14</v>
      </c>
      <c r="AX88" s="1620"/>
      <c r="AY88" s="1620">
        <v>1.04</v>
      </c>
      <c r="AZ88" s="1620">
        <v>1.1499999999999999</v>
      </c>
      <c r="BA88" s="1620">
        <v>0.95</v>
      </c>
      <c r="BB88" s="1620">
        <v>0.92</v>
      </c>
      <c r="BC88" s="1620">
        <v>1.07</v>
      </c>
      <c r="BD88" s="1620">
        <v>1.1000000000000001</v>
      </c>
      <c r="BE88" s="1620">
        <v>1.1200000000000001</v>
      </c>
      <c r="BF88" s="1620">
        <v>1.1599999999999999</v>
      </c>
      <c r="BG88" s="1620">
        <v>1.1599999999999999</v>
      </c>
      <c r="BH88" s="1620">
        <v>1.1100000000000001</v>
      </c>
      <c r="BI88" s="1620">
        <v>1.08</v>
      </c>
      <c r="BJ88" s="1603"/>
      <c r="BK88" s="1620">
        <v>13.529411764705882</v>
      </c>
      <c r="BL88" s="1620">
        <v>5.5294117647058822</v>
      </c>
      <c r="BM88" s="1620">
        <v>2.7058823529411762</v>
      </c>
      <c r="BN88" s="1620">
        <v>12.941176470588236</v>
      </c>
      <c r="BO88" s="1620"/>
      <c r="BP88" s="1620">
        <v>110</v>
      </c>
      <c r="BQ88" s="1620">
        <v>60.823529411764703</v>
      </c>
      <c r="BR88" s="1620">
        <v>0.97133221582348361</v>
      </c>
      <c r="BS88" s="1620">
        <v>1.0110166395565907</v>
      </c>
      <c r="BT88" s="1603"/>
      <c r="BU88" s="1620">
        <v>972.94117647058829</v>
      </c>
      <c r="BV88" s="1620">
        <v>429.3898023310918</v>
      </c>
      <c r="BW88" s="1620">
        <v>58.376080021848708</v>
      </c>
      <c r="BX88" s="1620">
        <v>471</v>
      </c>
      <c r="BY88" s="1620">
        <v>18</v>
      </c>
      <c r="BZ88" s="1620">
        <v>45.957090402840237</v>
      </c>
      <c r="CA88" s="1620">
        <v>307.55898961900823</v>
      </c>
      <c r="CB88" s="1603"/>
      <c r="CC88" s="1603">
        <v>0.85</v>
      </c>
      <c r="CD88" s="1603">
        <v>3</v>
      </c>
      <c r="CE88" s="1603">
        <v>8.5000000000000006E-2</v>
      </c>
      <c r="CF88" s="1603">
        <v>0</v>
      </c>
      <c r="CG88" s="1603">
        <v>3.8</v>
      </c>
      <c r="CH88" s="1603">
        <v>0.98000000000000198</v>
      </c>
      <c r="CI88" s="1603">
        <v>1.19</v>
      </c>
      <c r="CJ88" s="1603"/>
      <c r="CK88" s="1603">
        <v>70</v>
      </c>
      <c r="CL88" s="1603">
        <v>3.0999999999999996</v>
      </c>
      <c r="CM88" s="1603">
        <v>32.9</v>
      </c>
      <c r="CN88" s="1603">
        <v>24.999999999999996</v>
      </c>
      <c r="CO88" s="1603">
        <v>0</v>
      </c>
      <c r="CP88" s="1603">
        <v>2.5499999999999998E-2</v>
      </c>
      <c r="CQ88" s="1603">
        <v>83.400067910774496</v>
      </c>
      <c r="CR88" s="1603">
        <v>101.0135619466398</v>
      </c>
      <c r="CS88" s="1603">
        <v>4.3912615649443261</v>
      </c>
      <c r="CT88" s="1603">
        <v>1.9051157783136301</v>
      </c>
      <c r="CU88" s="1603">
        <v>2.6197867290861074</v>
      </c>
      <c r="CV88" s="1603">
        <v>4.5249025073997249</v>
      </c>
      <c r="CW88" s="1603">
        <v>3.0388919976027116</v>
      </c>
      <c r="CX88" s="1603">
        <v>1.3294394887797225</v>
      </c>
      <c r="CY88" s="1603">
        <v>4.1112519712282367</v>
      </c>
      <c r="CZ88" s="1603">
        <v>8.0439119649348267</v>
      </c>
      <c r="DA88" s="1603">
        <v>2.4606903690201491</v>
      </c>
      <c r="DB88" s="1603">
        <v>5.3080606531720171</v>
      </c>
      <c r="DC88" s="1603">
        <v>3.6104267310967972</v>
      </c>
      <c r="DD88" s="1603">
        <v>8.9184873842688148</v>
      </c>
      <c r="DE88" s="1603">
        <v>5.6074648507818639</v>
      </c>
      <c r="DF88" s="1603">
        <v>0</v>
      </c>
      <c r="DG88" s="1603">
        <v>0</v>
      </c>
      <c r="DH88" s="1603">
        <v>0</v>
      </c>
      <c r="DI88" s="1603">
        <v>0</v>
      </c>
      <c r="DJ88" s="1603">
        <v>0</v>
      </c>
      <c r="DK88" s="1603">
        <v>0</v>
      </c>
      <c r="DL88" s="1603">
        <v>0</v>
      </c>
      <c r="DM88" s="1603">
        <v>0</v>
      </c>
      <c r="DN88" s="1603">
        <v>0</v>
      </c>
      <c r="DO88" s="1603">
        <v>0</v>
      </c>
      <c r="DP88" s="1603">
        <v>0</v>
      </c>
      <c r="DQ88" s="1603">
        <v>0</v>
      </c>
      <c r="DR88" s="1603">
        <v>0</v>
      </c>
      <c r="DS88" s="1603">
        <v>0</v>
      </c>
      <c r="DT88" s="1603">
        <v>0</v>
      </c>
      <c r="DU88" s="1603">
        <v>0</v>
      </c>
      <c r="DV88" s="1603">
        <v>0</v>
      </c>
      <c r="DW88" s="1618" t="s">
        <v>3559</v>
      </c>
      <c r="DX88" s="1605" t="s">
        <v>986</v>
      </c>
      <c r="DY88" s="1605" t="s">
        <v>986</v>
      </c>
      <c r="DZ88" s="1605" t="s">
        <v>986</v>
      </c>
      <c r="EA88" s="1605" t="s">
        <v>986</v>
      </c>
      <c r="EB88" s="1605" t="s">
        <v>986</v>
      </c>
      <c r="EC88" s="1605" t="s">
        <v>986</v>
      </c>
      <c r="ED88" s="1605" t="s">
        <v>986</v>
      </c>
      <c r="EE88" s="1605" t="s">
        <v>986</v>
      </c>
      <c r="EF88" s="1605" t="s">
        <v>986</v>
      </c>
      <c r="EG88" s="1605" t="s">
        <v>986</v>
      </c>
      <c r="EH88" s="1605" t="s">
        <v>986</v>
      </c>
      <c r="EI88" s="1605" t="s">
        <v>986</v>
      </c>
      <c r="EJ88" s="1605" t="s">
        <v>986</v>
      </c>
      <c r="EK88" s="1605" t="s">
        <v>986</v>
      </c>
      <c r="EL88" s="1605" t="s">
        <v>986</v>
      </c>
      <c r="EM88" s="1605" t="s">
        <v>986</v>
      </c>
      <c r="EN88" s="1605" t="s">
        <v>986</v>
      </c>
      <c r="EO88" s="1605" t="s">
        <v>986</v>
      </c>
      <c r="EP88" s="1605" t="s">
        <v>986</v>
      </c>
      <c r="EQ88" s="1605" t="s">
        <v>986</v>
      </c>
      <c r="ER88" s="1605" t="s">
        <v>986</v>
      </c>
      <c r="ES88" s="1605" t="s">
        <v>986</v>
      </c>
      <c r="ET88" s="1605" t="s">
        <v>986</v>
      </c>
      <c r="EU88" s="1605" t="s">
        <v>986</v>
      </c>
      <c r="EV88" s="1605" t="s">
        <v>986</v>
      </c>
      <c r="EW88" s="1605" t="s">
        <v>986</v>
      </c>
      <c r="EX88" s="1605" t="s">
        <v>986</v>
      </c>
      <c r="EY88" s="1605" t="s">
        <v>986</v>
      </c>
      <c r="EZ88" s="1605" t="s">
        <v>986</v>
      </c>
      <c r="FA88" s="1605" t="s">
        <v>986</v>
      </c>
      <c r="FB88" s="1605" t="s">
        <v>986</v>
      </c>
      <c r="FC88" s="1605" t="s">
        <v>986</v>
      </c>
      <c r="FD88" s="1605" t="s">
        <v>986</v>
      </c>
      <c r="FE88" s="1605" t="s">
        <v>986</v>
      </c>
      <c r="FF88" s="1605" t="s">
        <v>986</v>
      </c>
      <c r="FG88" s="1605" t="s">
        <v>986</v>
      </c>
      <c r="FH88" s="1605" t="s">
        <v>986</v>
      </c>
      <c r="FI88" s="1605" t="s">
        <v>986</v>
      </c>
      <c r="FJ88" s="1605" t="s">
        <v>986</v>
      </c>
      <c r="FK88" s="1605" t="s">
        <v>986</v>
      </c>
      <c r="FL88" s="1605" t="s">
        <v>986</v>
      </c>
      <c r="FM88" s="1605" t="s">
        <v>986</v>
      </c>
      <c r="FN88" s="1605" t="s">
        <v>986</v>
      </c>
      <c r="FO88" s="1605" t="s">
        <v>986</v>
      </c>
      <c r="FP88" s="1605" t="s">
        <v>986</v>
      </c>
      <c r="FQ88" s="1605" t="s">
        <v>986</v>
      </c>
      <c r="FR88" s="1605" t="s">
        <v>986</v>
      </c>
      <c r="FS88" s="1605" t="s">
        <v>986</v>
      </c>
      <c r="FT88" s="1605" t="s">
        <v>986</v>
      </c>
      <c r="FU88" s="1605" t="s">
        <v>986</v>
      </c>
      <c r="FV88" s="1605" t="s">
        <v>986</v>
      </c>
      <c r="FW88" s="1605" t="s">
        <v>986</v>
      </c>
      <c r="FX88" s="1605" t="s">
        <v>986</v>
      </c>
      <c r="FY88" s="1605" t="s">
        <v>986</v>
      </c>
      <c r="FZ88" s="1605" t="s">
        <v>986</v>
      </c>
      <c r="GA88" s="1605" t="s">
        <v>986</v>
      </c>
      <c r="GB88" s="1605" t="s">
        <v>986</v>
      </c>
      <c r="GC88" s="1605" t="s">
        <v>986</v>
      </c>
      <c r="GD88" s="1605" t="s">
        <v>986</v>
      </c>
      <c r="GE88" s="1605" t="s">
        <v>986</v>
      </c>
      <c r="GF88" s="1605" t="s">
        <v>986</v>
      </c>
      <c r="GG88" s="1605" t="s">
        <v>986</v>
      </c>
      <c r="GH88" s="1605" t="s">
        <v>986</v>
      </c>
      <c r="GI88" s="1605" t="s">
        <v>986</v>
      </c>
      <c r="GJ88" s="1605" t="s">
        <v>986</v>
      </c>
      <c r="GK88" s="1605" t="s">
        <v>986</v>
      </c>
      <c r="GL88" s="1605" t="s">
        <v>986</v>
      </c>
      <c r="GM88" s="1605" t="s">
        <v>986</v>
      </c>
      <c r="GN88" s="1605" t="s">
        <v>986</v>
      </c>
      <c r="GO88" s="1605" t="s">
        <v>986</v>
      </c>
      <c r="GP88" s="1605" t="s">
        <v>986</v>
      </c>
      <c r="GQ88" s="1605" t="s">
        <v>986</v>
      </c>
      <c r="GR88" s="1605" t="s">
        <v>986</v>
      </c>
      <c r="GS88" s="1605" t="s">
        <v>986</v>
      </c>
      <c r="GT88" s="1605" t="s">
        <v>986</v>
      </c>
      <c r="GU88" s="1605" t="s">
        <v>986</v>
      </c>
      <c r="GV88" s="1605" t="s">
        <v>986</v>
      </c>
      <c r="GW88" s="1605" t="s">
        <v>986</v>
      </c>
      <c r="GX88" s="1605" t="s">
        <v>986</v>
      </c>
      <c r="GY88" s="1605" t="s">
        <v>986</v>
      </c>
      <c r="GZ88" s="1605" t="s">
        <v>986</v>
      </c>
      <c r="HA88" s="1605" t="s">
        <v>986</v>
      </c>
      <c r="HB88" s="1605" t="s">
        <v>986</v>
      </c>
      <c r="HC88" s="1605" t="s">
        <v>986</v>
      </c>
      <c r="HD88" s="1605" t="s">
        <v>986</v>
      </c>
      <c r="HE88" s="1605" t="s">
        <v>986</v>
      </c>
      <c r="HF88" s="1605" t="s">
        <v>986</v>
      </c>
      <c r="HG88" s="1605" t="s">
        <v>986</v>
      </c>
      <c r="HH88" s="1605" t="s">
        <v>986</v>
      </c>
      <c r="HI88" s="1605" t="s">
        <v>986</v>
      </c>
      <c r="HJ88" s="1605" t="s">
        <v>986</v>
      </c>
      <c r="HK88" s="1605" t="s">
        <v>986</v>
      </c>
      <c r="HL88" s="1605" t="s">
        <v>986</v>
      </c>
      <c r="HM88" s="1605" t="s">
        <v>986</v>
      </c>
      <c r="HN88" s="1605" t="s">
        <v>986</v>
      </c>
      <c r="HO88" s="1605" t="s">
        <v>986</v>
      </c>
      <c r="HP88" s="1605" t="s">
        <v>986</v>
      </c>
      <c r="HQ88" s="1605" t="s">
        <v>986</v>
      </c>
      <c r="HR88" s="1605" t="s">
        <v>986</v>
      </c>
      <c r="HS88" s="1605" t="s">
        <v>986</v>
      </c>
      <c r="HT88" s="1605" t="s">
        <v>986</v>
      </c>
      <c r="HU88" s="1605" t="s">
        <v>986</v>
      </c>
      <c r="HV88" s="1617"/>
      <c r="HW88" s="1617" t="s">
        <v>3568</v>
      </c>
      <c r="HX88" s="1617" t="s">
        <v>3557</v>
      </c>
      <c r="HY88" s="1617" t="s">
        <v>3556</v>
      </c>
      <c r="HZ88" s="1603"/>
      <c r="IA88" s="1603"/>
      <c r="IB88" s="1603"/>
      <c r="IC88" s="1603">
        <v>51.8130081300813</v>
      </c>
      <c r="ID88" s="1603">
        <v>53.178861788617901</v>
      </c>
      <c r="IE88" s="1603">
        <v>54.317073170731703</v>
      </c>
      <c r="IF88" s="1603">
        <v>55</v>
      </c>
      <c r="IG88" s="1611" t="s">
        <v>3555</v>
      </c>
      <c r="IH88" s="1616" t="s">
        <v>270</v>
      </c>
      <c r="II88" s="1615" t="s">
        <v>270</v>
      </c>
      <c r="IJ88" s="1613">
        <v>0.44523863636363636</v>
      </c>
      <c r="IK88" s="1613">
        <v>0.43135227272727272</v>
      </c>
      <c r="IL88" s="1614">
        <v>0.44523863636363636</v>
      </c>
      <c r="IM88" s="1614">
        <v>0.43135227272727272</v>
      </c>
      <c r="IN88" s="1612" t="s">
        <v>270</v>
      </c>
      <c r="IO88" s="1613" t="s">
        <v>270</v>
      </c>
      <c r="IP88" s="1607" t="s">
        <v>270</v>
      </c>
      <c r="IQ88" s="1612" t="s">
        <v>270</v>
      </c>
      <c r="IR88" s="1612" t="s">
        <v>270</v>
      </c>
      <c r="IS88" s="1607">
        <v>0.44123863636363636</v>
      </c>
      <c r="IT88" s="1607">
        <v>0.42735227272727272</v>
      </c>
      <c r="IU88" s="1611">
        <v>1.1363636363636365E-5</v>
      </c>
      <c r="IV88" s="1611">
        <v>1.6249999999999999E-3</v>
      </c>
      <c r="IW88" s="1611">
        <v>7.727272727272728E-4</v>
      </c>
      <c r="IX88" s="1611">
        <v>1.1818181818181819E-3</v>
      </c>
      <c r="IY88" s="1611">
        <v>7.8409090909090898E-4</v>
      </c>
      <c r="IZ88" s="1611">
        <v>8.7500000000000008E-3</v>
      </c>
      <c r="JA88" s="1611">
        <v>2.0454545454545454E-4</v>
      </c>
      <c r="JB88" s="1611" t="s">
        <v>270</v>
      </c>
      <c r="JC88" s="1611">
        <v>0.82345454545454544</v>
      </c>
      <c r="JD88" s="1611">
        <v>8.3863636363636362E-3</v>
      </c>
      <c r="JE88" s="1611" t="s">
        <v>270</v>
      </c>
      <c r="JF88" s="1611">
        <v>5.4545454545454537E-4</v>
      </c>
      <c r="JG88" s="1611">
        <v>5.0202613636363642</v>
      </c>
      <c r="JH88" s="1611">
        <v>2.3863636363636361E-4</v>
      </c>
      <c r="JI88" s="1611">
        <v>4.9568181818181817E-2</v>
      </c>
      <c r="JJ88" s="1611" t="s">
        <v>270</v>
      </c>
      <c r="JK88" s="1607">
        <f t="shared" si="10"/>
        <v>4.0000000000000036E-3</v>
      </c>
      <c r="JL88" s="1608" t="s">
        <v>270</v>
      </c>
      <c r="JM88" s="1610" t="s">
        <v>2924</v>
      </c>
      <c r="JN88" s="1608">
        <v>1.3886363636363641E-2</v>
      </c>
      <c r="JO88" s="1609" t="s">
        <v>2923</v>
      </c>
      <c r="JP88" s="1608" t="s">
        <v>270</v>
      </c>
      <c r="JQ88" s="1607">
        <v>202103</v>
      </c>
      <c r="JR88" s="1606">
        <v>347</v>
      </c>
      <c r="JS88" s="1606">
        <v>316</v>
      </c>
      <c r="JT88" s="1606">
        <v>316</v>
      </c>
    </row>
    <row r="89" spans="1:280" ht="15" customHeight="1" x14ac:dyDescent="0.2">
      <c r="A89" s="1626">
        <v>53150</v>
      </c>
      <c r="B89" s="1625">
        <v>531</v>
      </c>
      <c r="C89" s="1624">
        <v>50</v>
      </c>
      <c r="D89" s="1623" t="s">
        <v>3567</v>
      </c>
      <c r="E89" s="1622">
        <v>44497</v>
      </c>
      <c r="F89" s="1620">
        <v>0.86728629500580756</v>
      </c>
      <c r="G89" s="1620">
        <v>0.89739319851577026</v>
      </c>
      <c r="H89" s="1621">
        <v>69.400000000000006</v>
      </c>
      <c r="I89" s="1621">
        <v>65.400000000000006</v>
      </c>
      <c r="J89" s="1621">
        <v>91</v>
      </c>
      <c r="K89" s="1620">
        <v>1</v>
      </c>
      <c r="L89" s="1620">
        <v>85.5</v>
      </c>
      <c r="M89" s="1620">
        <v>9.5</v>
      </c>
      <c r="N89" s="1620">
        <v>5.0999999999999996</v>
      </c>
      <c r="O89" s="1620">
        <v>2</v>
      </c>
      <c r="P89" s="1620">
        <v>11</v>
      </c>
      <c r="Q89" s="1603"/>
      <c r="R89" s="1620">
        <v>69.269028571428564</v>
      </c>
      <c r="S89" s="1620">
        <v>27</v>
      </c>
      <c r="T89" s="1620">
        <v>38.382113821138198</v>
      </c>
      <c r="U89" s="1620">
        <v>42.934959349593498</v>
      </c>
      <c r="V89" s="1620">
        <v>47.032520325203301</v>
      </c>
      <c r="W89" s="1620">
        <v>49.764227642276403</v>
      </c>
      <c r="X89" s="1620"/>
      <c r="Y89" s="1620">
        <v>0.88888888888888884</v>
      </c>
      <c r="Z89" s="1620">
        <v>3.5087719298245612</v>
      </c>
      <c r="AA89" s="1620">
        <v>0.11695906432748537</v>
      </c>
      <c r="AB89" s="1620">
        <v>1.3142857142857061</v>
      </c>
      <c r="AC89" s="1620">
        <v>4.8304093567251458</v>
      </c>
      <c r="AD89" s="1620">
        <v>1.1228070175438596</v>
      </c>
      <c r="AE89" s="1620">
        <v>1.3599999999999999</v>
      </c>
      <c r="AF89" s="1620">
        <v>74.935672514619867</v>
      </c>
      <c r="AG89" s="1620">
        <v>3.3918128654970761</v>
      </c>
      <c r="AH89" s="1620">
        <v>39.672514619883039</v>
      </c>
      <c r="AI89" s="1620">
        <v>29.461988304093566</v>
      </c>
      <c r="AJ89" s="1620">
        <v>0</v>
      </c>
      <c r="AK89" s="1620">
        <v>0.03</v>
      </c>
      <c r="AL89" s="1620"/>
      <c r="AM89" s="1620">
        <v>4.18</v>
      </c>
      <c r="AN89" s="1620">
        <v>1.64</v>
      </c>
      <c r="AO89" s="1620">
        <v>2.73</v>
      </c>
      <c r="AP89" s="1620">
        <v>3.27</v>
      </c>
      <c r="AQ89" s="1620">
        <v>1.23</v>
      </c>
      <c r="AR89" s="1620">
        <v>3.7</v>
      </c>
      <c r="AS89" s="1620">
        <v>7.11</v>
      </c>
      <c r="AT89" s="1620">
        <v>2.1</v>
      </c>
      <c r="AU89" s="1620">
        <v>4.5199999999999996</v>
      </c>
      <c r="AV89" s="1620">
        <v>3.22</v>
      </c>
      <c r="AW89" s="1620">
        <v>5.14</v>
      </c>
      <c r="AX89" s="1620"/>
      <c r="AY89" s="1620">
        <v>1.04</v>
      </c>
      <c r="AZ89" s="1620">
        <v>1.1499999999999999</v>
      </c>
      <c r="BA89" s="1620">
        <v>0.95</v>
      </c>
      <c r="BB89" s="1620">
        <v>0.92</v>
      </c>
      <c r="BC89" s="1620">
        <v>1.07</v>
      </c>
      <c r="BD89" s="1620">
        <v>1.1000000000000001</v>
      </c>
      <c r="BE89" s="1620">
        <v>1.1200000000000001</v>
      </c>
      <c r="BF89" s="1620">
        <v>1.1599999999999999</v>
      </c>
      <c r="BG89" s="1620">
        <v>1.1599999999999999</v>
      </c>
      <c r="BH89" s="1620">
        <v>1.1100000000000001</v>
      </c>
      <c r="BI89" s="1620">
        <v>1.08</v>
      </c>
      <c r="BJ89" s="1603"/>
      <c r="BK89" s="1620">
        <v>11.111111111111111</v>
      </c>
      <c r="BL89" s="1620">
        <v>5.9649122807017534</v>
      </c>
      <c r="BM89" s="1620">
        <v>2.3391812865497075</v>
      </c>
      <c r="BN89" s="1620">
        <v>12.941176470588236</v>
      </c>
      <c r="BO89" s="1620"/>
      <c r="BP89" s="1620">
        <v>110</v>
      </c>
      <c r="BQ89" s="1620">
        <v>63.411764705882355</v>
      </c>
      <c r="BR89" s="1620">
        <v>1.014369935679307</v>
      </c>
      <c r="BS89" s="1620">
        <v>1.0495826883225383</v>
      </c>
      <c r="BT89" s="1603"/>
      <c r="BU89" s="1620">
        <v>976.60818713450294</v>
      </c>
      <c r="BV89" s="1620">
        <v>462.98913951545546</v>
      </c>
      <c r="BW89" s="1620">
        <v>55.806182121971595</v>
      </c>
      <c r="BX89" s="1620">
        <v>471</v>
      </c>
      <c r="BY89" s="1620">
        <v>18</v>
      </c>
      <c r="BZ89" s="1620">
        <v>45</v>
      </c>
      <c r="CA89" s="1620">
        <v>298</v>
      </c>
      <c r="CB89" s="1603"/>
      <c r="CC89" s="1603">
        <v>0.7599999999999999</v>
      </c>
      <c r="CD89" s="1603">
        <v>2.9999999999999996</v>
      </c>
      <c r="CE89" s="1603">
        <v>9.9999999999999992E-2</v>
      </c>
      <c r="CF89" s="1603">
        <v>1.1237142857142786</v>
      </c>
      <c r="CG89" s="1603">
        <v>4.13</v>
      </c>
      <c r="CH89" s="1603">
        <v>0.96</v>
      </c>
      <c r="CI89" s="1603">
        <v>1.1627999999999998</v>
      </c>
      <c r="CJ89" s="1603"/>
      <c r="CK89" s="1603">
        <v>64.069999999999979</v>
      </c>
      <c r="CL89" s="1603">
        <v>2.9</v>
      </c>
      <c r="CM89" s="1603">
        <v>33.919999999999995</v>
      </c>
      <c r="CN89" s="1603">
        <v>25.189999999999998</v>
      </c>
      <c r="CO89" s="1603">
        <v>0</v>
      </c>
      <c r="CP89" s="1603">
        <v>2.5649999999999999E-2</v>
      </c>
      <c r="CQ89" s="1603">
        <v>65.805577142857132</v>
      </c>
      <c r="CR89" s="1603">
        <v>75.875264629215067</v>
      </c>
      <c r="CS89" s="1603">
        <v>3.2984495039612374</v>
      </c>
      <c r="CT89" s="1603">
        <v>1.4310074909069961</v>
      </c>
      <c r="CU89" s="1603">
        <v>1.9678249881586929</v>
      </c>
      <c r="CV89" s="1603">
        <v>3.398832479065689</v>
      </c>
      <c r="CW89" s="1603">
        <v>2.2826314611053062</v>
      </c>
      <c r="CX89" s="1603">
        <v>0.99859435778509931</v>
      </c>
      <c r="CY89" s="1603">
        <v>3.0881232704090533</v>
      </c>
      <c r="CZ89" s="1603">
        <v>6.042099072953655</v>
      </c>
      <c r="DA89" s="1603">
        <v>1.8483214463676789</v>
      </c>
      <c r="DB89" s="1603">
        <v>3.9782918750390039</v>
      </c>
      <c r="DC89" s="1603">
        <v>2.7119337083774053</v>
      </c>
      <c r="DD89" s="1603">
        <v>6.6902255834164093</v>
      </c>
      <c r="DE89" s="1603">
        <v>4.2119876900969864</v>
      </c>
      <c r="DF89" s="1603">
        <v>0</v>
      </c>
      <c r="DG89" s="1603">
        <v>0</v>
      </c>
      <c r="DH89" s="1603">
        <v>0</v>
      </c>
      <c r="DI89" s="1603">
        <v>0</v>
      </c>
      <c r="DJ89" s="1603">
        <v>0</v>
      </c>
      <c r="DK89" s="1603">
        <v>0</v>
      </c>
      <c r="DL89" s="1603">
        <v>0</v>
      </c>
      <c r="DM89" s="1603">
        <v>0</v>
      </c>
      <c r="DN89" s="1603">
        <v>0</v>
      </c>
      <c r="DO89" s="1603">
        <v>0</v>
      </c>
      <c r="DP89" s="1603">
        <v>0</v>
      </c>
      <c r="DQ89" s="1603">
        <v>0</v>
      </c>
      <c r="DR89" s="1603">
        <v>0</v>
      </c>
      <c r="DS89" s="1603">
        <v>0</v>
      </c>
      <c r="DT89" s="1603">
        <v>0</v>
      </c>
      <c r="DU89" s="1603">
        <v>0</v>
      </c>
      <c r="DV89" s="1603">
        <v>0</v>
      </c>
      <c r="DW89" s="1618" t="s">
        <v>3559</v>
      </c>
      <c r="DX89" s="1605">
        <v>2</v>
      </c>
      <c r="DY89" s="1605">
        <v>2</v>
      </c>
      <c r="DZ89" s="1605">
        <v>1</v>
      </c>
      <c r="EA89" s="1605">
        <v>1</v>
      </c>
      <c r="EB89" s="1605" t="s">
        <v>986</v>
      </c>
      <c r="EC89" s="1605">
        <v>1</v>
      </c>
      <c r="ED89" s="1605">
        <v>1</v>
      </c>
      <c r="EE89" s="1605">
        <v>1</v>
      </c>
      <c r="EF89" s="1605">
        <v>1</v>
      </c>
      <c r="EG89" s="1605">
        <v>1</v>
      </c>
      <c r="EH89" s="1605" t="s">
        <v>986</v>
      </c>
      <c r="EI89" s="1605" t="s">
        <v>986</v>
      </c>
      <c r="EJ89" s="1605" t="s">
        <v>986</v>
      </c>
      <c r="EK89" s="1605" t="s">
        <v>986</v>
      </c>
      <c r="EL89" s="1605" t="s">
        <v>986</v>
      </c>
      <c r="EM89" s="1605" t="s">
        <v>986</v>
      </c>
      <c r="EN89" s="1605" t="s">
        <v>986</v>
      </c>
      <c r="EO89" s="1605" t="s">
        <v>986</v>
      </c>
      <c r="EP89" s="1605" t="s">
        <v>986</v>
      </c>
      <c r="EQ89" s="1605" t="s">
        <v>986</v>
      </c>
      <c r="ER89" s="1605" t="s">
        <v>986</v>
      </c>
      <c r="ES89" s="1605">
        <v>1</v>
      </c>
      <c r="ET89" s="1605">
        <v>2</v>
      </c>
      <c r="EU89" s="1605">
        <v>1</v>
      </c>
      <c r="EV89" s="1605">
        <v>4</v>
      </c>
      <c r="EW89" s="1605">
        <v>1</v>
      </c>
      <c r="EX89" s="1605">
        <v>1</v>
      </c>
      <c r="EY89" s="1605" t="s">
        <v>986</v>
      </c>
      <c r="EZ89" s="1605">
        <v>1</v>
      </c>
      <c r="FA89" s="1605">
        <v>1</v>
      </c>
      <c r="FB89" s="1605">
        <v>1</v>
      </c>
      <c r="FC89" s="1605">
        <v>1</v>
      </c>
      <c r="FD89" s="1605" t="s">
        <v>986</v>
      </c>
      <c r="FE89" s="1605" t="s">
        <v>986</v>
      </c>
      <c r="FF89" s="1605">
        <v>0.42426406871192834</v>
      </c>
      <c r="FG89" s="1605">
        <v>0.11468096598909548</v>
      </c>
      <c r="FH89" s="1605">
        <v>0.2</v>
      </c>
      <c r="FI89" s="1605">
        <v>0.2</v>
      </c>
      <c r="FJ89" s="1605" t="s">
        <v>986</v>
      </c>
      <c r="FK89" s="1605">
        <v>1.2</v>
      </c>
      <c r="FL89" s="1605">
        <v>1.2</v>
      </c>
      <c r="FM89" s="1605" t="s">
        <v>986</v>
      </c>
      <c r="FN89" s="1605">
        <v>1.9</v>
      </c>
      <c r="FO89" s="1605">
        <v>1.5</v>
      </c>
      <c r="FP89" s="1605" t="s">
        <v>986</v>
      </c>
      <c r="FQ89" s="1605" t="s">
        <v>986</v>
      </c>
      <c r="FR89" s="1605" t="s">
        <v>986</v>
      </c>
      <c r="FS89" s="1605" t="s">
        <v>986</v>
      </c>
      <c r="FT89" s="1605" t="s">
        <v>986</v>
      </c>
      <c r="FU89" s="1605" t="s">
        <v>986</v>
      </c>
      <c r="FV89" s="1605" t="s">
        <v>986</v>
      </c>
      <c r="FW89" s="1605" t="s">
        <v>986</v>
      </c>
      <c r="FX89" s="1605" t="s">
        <v>986</v>
      </c>
      <c r="FY89" s="1605" t="s">
        <v>986</v>
      </c>
      <c r="FZ89" s="1605" t="s">
        <v>986</v>
      </c>
      <c r="GA89" s="1605" t="s">
        <v>986</v>
      </c>
      <c r="GB89" s="1605">
        <v>0.12300148333319774</v>
      </c>
      <c r="GC89" s="1605" t="s">
        <v>986</v>
      </c>
      <c r="GD89" s="1605">
        <v>0.2</v>
      </c>
      <c r="GE89" s="1605">
        <v>0.4</v>
      </c>
      <c r="GF89" s="1605">
        <v>0.1</v>
      </c>
      <c r="GG89" s="1605" t="s">
        <v>986</v>
      </c>
      <c r="GH89" s="1605">
        <v>9.1</v>
      </c>
      <c r="GI89" s="1605">
        <v>0.4</v>
      </c>
      <c r="GJ89" s="1605">
        <v>2.2000000000000002</v>
      </c>
      <c r="GK89" s="1605">
        <v>3.8</v>
      </c>
      <c r="GL89" s="1605" t="s">
        <v>986</v>
      </c>
      <c r="GM89" s="1605" t="s">
        <v>986</v>
      </c>
      <c r="GN89" s="1605" t="s">
        <v>1763</v>
      </c>
      <c r="GO89" s="1605" t="s">
        <v>1763</v>
      </c>
      <c r="GP89" s="1605" t="s">
        <v>1763</v>
      </c>
      <c r="GQ89" s="1605" t="s">
        <v>1763</v>
      </c>
      <c r="GR89" s="1605" t="s">
        <v>1763</v>
      </c>
      <c r="GS89" s="1605" t="s">
        <v>1763</v>
      </c>
      <c r="GT89" s="1605" t="s">
        <v>1763</v>
      </c>
      <c r="GU89" s="1605" t="s">
        <v>1763</v>
      </c>
      <c r="GV89" s="1605" t="s">
        <v>1763</v>
      </c>
      <c r="GW89" s="1605" t="s">
        <v>1763</v>
      </c>
      <c r="GX89" s="1605" t="s">
        <v>1763</v>
      </c>
      <c r="GY89" s="1605" t="s">
        <v>1763</v>
      </c>
      <c r="GZ89" s="1605" t="s">
        <v>1763</v>
      </c>
      <c r="HA89" s="1605" t="s">
        <v>1763</v>
      </c>
      <c r="HB89" s="1605" t="s">
        <v>1763</v>
      </c>
      <c r="HC89" s="1605" t="s">
        <v>1763</v>
      </c>
      <c r="HD89" s="1605" t="s">
        <v>1763</v>
      </c>
      <c r="HE89" s="1605" t="s">
        <v>1763</v>
      </c>
      <c r="HF89" s="1605" t="s">
        <v>1763</v>
      </c>
      <c r="HG89" s="1605" t="s">
        <v>1763</v>
      </c>
      <c r="HH89" s="1605" t="s">
        <v>1763</v>
      </c>
      <c r="HI89" s="1605" t="s">
        <v>1763</v>
      </c>
      <c r="HJ89" s="1605" t="s">
        <v>1763</v>
      </c>
      <c r="HK89" s="1605" t="s">
        <v>1763</v>
      </c>
      <c r="HL89" s="1605" t="s">
        <v>1578</v>
      </c>
      <c r="HM89" s="1605" t="s">
        <v>1763</v>
      </c>
      <c r="HN89" s="1605" t="s">
        <v>1763</v>
      </c>
      <c r="HO89" s="1605" t="s">
        <v>986</v>
      </c>
      <c r="HP89" s="1605" t="s">
        <v>1763</v>
      </c>
      <c r="HQ89" s="1605" t="s">
        <v>1763</v>
      </c>
      <c r="HR89" s="1605" t="s">
        <v>1763</v>
      </c>
      <c r="HS89" s="1605" t="s">
        <v>1763</v>
      </c>
      <c r="HT89" s="1605" t="s">
        <v>1763</v>
      </c>
      <c r="HU89" s="1605" t="s">
        <v>1763</v>
      </c>
      <c r="HV89" s="1617"/>
      <c r="HW89" s="1617" t="s">
        <v>3566</v>
      </c>
      <c r="HX89" s="1617" t="s">
        <v>3557</v>
      </c>
      <c r="HY89" s="1617" t="s">
        <v>3556</v>
      </c>
      <c r="HZ89" s="1603"/>
      <c r="IA89" s="1603"/>
      <c r="IB89" s="1603"/>
      <c r="IC89" s="1603">
        <v>51.8130081300813</v>
      </c>
      <c r="ID89" s="1603">
        <v>53.178861788617901</v>
      </c>
      <c r="IE89" s="1603">
        <v>54.317073170731703</v>
      </c>
      <c r="IF89" s="1603">
        <v>55</v>
      </c>
      <c r="IG89" s="1611" t="s">
        <v>3555</v>
      </c>
      <c r="IH89" s="1616" t="s">
        <v>270</v>
      </c>
      <c r="II89" s="1615" t="s">
        <v>270</v>
      </c>
      <c r="IJ89" s="1613">
        <v>0.44523863636363636</v>
      </c>
      <c r="IK89" s="1613">
        <v>0.43135227272727272</v>
      </c>
      <c r="IL89" s="1614">
        <v>0.44523863636363636</v>
      </c>
      <c r="IM89" s="1614">
        <v>0.43135227272727272</v>
      </c>
      <c r="IN89" s="1612" t="s">
        <v>270</v>
      </c>
      <c r="IO89" s="1613" t="s">
        <v>270</v>
      </c>
      <c r="IP89" s="1607" t="s">
        <v>270</v>
      </c>
      <c r="IQ89" s="1612" t="s">
        <v>270</v>
      </c>
      <c r="IR89" s="1612" t="s">
        <v>270</v>
      </c>
      <c r="IS89" s="1607">
        <v>0.44123863636363636</v>
      </c>
      <c r="IT89" s="1607">
        <v>0.42735227272727272</v>
      </c>
      <c r="IU89" s="1611">
        <v>1.1363636363636365E-5</v>
      </c>
      <c r="IV89" s="1611">
        <v>1.6249999999999999E-3</v>
      </c>
      <c r="IW89" s="1611">
        <v>7.727272727272728E-4</v>
      </c>
      <c r="IX89" s="1611">
        <v>1.1818181818181819E-3</v>
      </c>
      <c r="IY89" s="1611">
        <v>7.8409090909090898E-4</v>
      </c>
      <c r="IZ89" s="1611">
        <v>8.7500000000000008E-3</v>
      </c>
      <c r="JA89" s="1611">
        <v>2.0454545454545454E-4</v>
      </c>
      <c r="JB89" s="1611" t="s">
        <v>270</v>
      </c>
      <c r="JC89" s="1611">
        <v>0.82345454545454544</v>
      </c>
      <c r="JD89" s="1611">
        <v>8.3863636363636362E-3</v>
      </c>
      <c r="JE89" s="1611" t="s">
        <v>270</v>
      </c>
      <c r="JF89" s="1611">
        <v>5.4545454545454537E-4</v>
      </c>
      <c r="JG89" s="1611">
        <v>5.0202613636363642</v>
      </c>
      <c r="JH89" s="1611">
        <v>2.3863636363636361E-4</v>
      </c>
      <c r="JI89" s="1611">
        <v>4.9568181818181817E-2</v>
      </c>
      <c r="JJ89" s="1611" t="s">
        <v>270</v>
      </c>
      <c r="JK89" s="1607">
        <f t="shared" si="10"/>
        <v>4.0000000000000036E-3</v>
      </c>
      <c r="JL89" s="1608" t="s">
        <v>2946</v>
      </c>
      <c r="JM89" s="1610" t="s">
        <v>3205</v>
      </c>
      <c r="JN89" s="1608">
        <v>1.3886363636363641E-2</v>
      </c>
      <c r="JO89" s="1609" t="s">
        <v>2923</v>
      </c>
      <c r="JP89" s="1608" t="s">
        <v>270</v>
      </c>
      <c r="JQ89" s="1607">
        <v>202103</v>
      </c>
      <c r="JR89" s="1606">
        <v>347</v>
      </c>
      <c r="JS89" s="1606">
        <v>316</v>
      </c>
      <c r="JT89" s="1606">
        <v>316</v>
      </c>
    </row>
    <row r="90" spans="1:280" ht="15" customHeight="1" x14ac:dyDescent="0.2">
      <c r="A90" s="1626">
        <v>53400</v>
      </c>
      <c r="B90" s="1625">
        <v>534</v>
      </c>
      <c r="C90" s="1624">
        <v>0</v>
      </c>
      <c r="D90" s="1623" t="s">
        <v>3565</v>
      </c>
      <c r="E90" s="1622">
        <v>43601</v>
      </c>
      <c r="F90" s="1620">
        <v>1.18836922276422</v>
      </c>
      <c r="G90" s="1620">
        <v>1.1768950253714301</v>
      </c>
      <c r="H90" s="1621">
        <v>87.9</v>
      </c>
      <c r="I90" s="1621">
        <v>82.700011799999999</v>
      </c>
      <c r="J90" s="1621">
        <v>91</v>
      </c>
      <c r="K90" s="1620">
        <v>1</v>
      </c>
      <c r="L90" s="1620">
        <v>86.8</v>
      </c>
      <c r="M90" s="1620">
        <v>13.888</v>
      </c>
      <c r="N90" s="1620">
        <v>6.2496</v>
      </c>
      <c r="O90" s="1620">
        <v>2.0832000000000002</v>
      </c>
      <c r="P90" s="1620">
        <v>5.1058823529411796</v>
      </c>
      <c r="Q90" s="1603"/>
      <c r="R90" s="1620">
        <v>82.632897142857203</v>
      </c>
      <c r="S90" s="1620">
        <v>27</v>
      </c>
      <c r="T90" s="1620">
        <v>38.382113821138198</v>
      </c>
      <c r="U90" s="1620">
        <v>42.934959349593498</v>
      </c>
      <c r="V90" s="1620">
        <v>47.032520325203301</v>
      </c>
      <c r="W90" s="1620">
        <v>49.764227642276403</v>
      </c>
      <c r="X90" s="1620"/>
      <c r="Y90" s="1620">
        <v>0.96000000000000008</v>
      </c>
      <c r="Z90" s="1620">
        <v>4.3</v>
      </c>
      <c r="AA90" s="1620">
        <v>0.13</v>
      </c>
      <c r="AB90" s="1620">
        <v>0.8</v>
      </c>
      <c r="AC90" s="1620">
        <v>4.37</v>
      </c>
      <c r="AD90" s="1620">
        <v>1.4100000000000001</v>
      </c>
      <c r="AE90" s="1620">
        <v>1.36</v>
      </c>
      <c r="AF90" s="1620">
        <v>115</v>
      </c>
      <c r="AG90" s="1620">
        <v>5.47</v>
      </c>
      <c r="AH90" s="1620">
        <v>42.000000000000007</v>
      </c>
      <c r="AI90" s="1620">
        <v>88</v>
      </c>
      <c r="AJ90" s="1620">
        <v>0</v>
      </c>
      <c r="AK90" s="1620">
        <v>3.0000000000000002E-2</v>
      </c>
      <c r="AL90" s="1620"/>
      <c r="AM90" s="1620">
        <v>3.8374999999999999</v>
      </c>
      <c r="AN90" s="1620">
        <v>1.6187499999999999</v>
      </c>
      <c r="AO90" s="1620">
        <v>2.6437499999999998</v>
      </c>
      <c r="AP90" s="1620">
        <v>3.3125</v>
      </c>
      <c r="AQ90" s="1620">
        <v>1.23</v>
      </c>
      <c r="AR90" s="1620">
        <v>3.4562499999999998</v>
      </c>
      <c r="AS90" s="1620">
        <v>7.0062499999999996</v>
      </c>
      <c r="AT90" s="1620">
        <v>2.1187499999999999</v>
      </c>
      <c r="AU90" s="1620">
        <v>4.9187500000000002</v>
      </c>
      <c r="AV90" s="1620">
        <v>3.59375</v>
      </c>
      <c r="AW90" s="1620">
        <v>4.7374999999999998</v>
      </c>
      <c r="AX90" s="1620"/>
      <c r="AY90" s="1620">
        <v>1.04</v>
      </c>
      <c r="AZ90" s="1620">
        <v>1.1499999999999999</v>
      </c>
      <c r="BA90" s="1620">
        <v>0.95</v>
      </c>
      <c r="BB90" s="1620">
        <v>0.92</v>
      </c>
      <c r="BC90" s="1620">
        <v>1.07</v>
      </c>
      <c r="BD90" s="1620">
        <v>1.1000000000000001</v>
      </c>
      <c r="BE90" s="1620">
        <v>1.1200000000000001</v>
      </c>
      <c r="BF90" s="1620">
        <v>1.1599999999999999</v>
      </c>
      <c r="BG90" s="1620">
        <v>1.1599999999999999</v>
      </c>
      <c r="BH90" s="1620">
        <v>1.1100000000000001</v>
      </c>
      <c r="BI90" s="1620">
        <v>1.08</v>
      </c>
      <c r="BJ90" s="1603"/>
      <c r="BK90" s="1620">
        <v>16</v>
      </c>
      <c r="BL90" s="1620">
        <v>7.2000000000000011</v>
      </c>
      <c r="BM90" s="1620">
        <v>2.4000000000000004</v>
      </c>
      <c r="BN90" s="1620">
        <v>5.8823529411764746</v>
      </c>
      <c r="BO90" s="1620"/>
      <c r="BP90" s="1620">
        <v>110</v>
      </c>
      <c r="BQ90" s="1620">
        <v>79.2</v>
      </c>
      <c r="BR90" s="1620">
        <v>1.369088966318226</v>
      </c>
      <c r="BS90" s="1620">
        <v>1.3558698448979611</v>
      </c>
      <c r="BT90" s="1603"/>
      <c r="BU90" s="1620">
        <v>976.00000000000011</v>
      </c>
      <c r="BV90" s="1620">
        <v>569.96114285714293</v>
      </c>
      <c r="BW90" s="1620">
        <v>72.502692617142969</v>
      </c>
      <c r="BX90" s="1620">
        <v>470.99999999999994</v>
      </c>
      <c r="BY90" s="1620">
        <v>18</v>
      </c>
      <c r="BZ90" s="1620">
        <v>22.71865142857143</v>
      </c>
      <c r="CA90" s="1620">
        <v>152.04020571428569</v>
      </c>
      <c r="CB90" s="1603"/>
      <c r="CC90" s="1603">
        <v>0.83328000000000002</v>
      </c>
      <c r="CD90" s="1603">
        <v>3.7323999999999997</v>
      </c>
      <c r="CE90" s="1603">
        <v>0.11284000000000001</v>
      </c>
      <c r="CF90" s="1603">
        <v>0.69440000000000002</v>
      </c>
      <c r="CG90" s="1603">
        <v>3.7931599999999999</v>
      </c>
      <c r="CH90" s="1603">
        <v>1.2238800000000001</v>
      </c>
      <c r="CI90" s="1603">
        <v>1.18048</v>
      </c>
      <c r="CJ90" s="1603"/>
      <c r="CK90" s="1603">
        <v>99.82</v>
      </c>
      <c r="CL90" s="1603">
        <v>4.74796</v>
      </c>
      <c r="CM90" s="1603">
        <v>36.456000000000003</v>
      </c>
      <c r="CN90" s="1603">
        <v>76.384</v>
      </c>
      <c r="CO90" s="1603">
        <v>0</v>
      </c>
      <c r="CP90" s="1603">
        <v>2.6040000000000001E-2</v>
      </c>
      <c r="CQ90" s="1603">
        <v>114.760567552</v>
      </c>
      <c r="CR90" s="1603">
        <v>96.569791066331931</v>
      </c>
      <c r="CS90" s="1603">
        <v>3.8541003614573075</v>
      </c>
      <c r="CT90" s="1603">
        <v>1.7977070168191855</v>
      </c>
      <c r="CU90" s="1603">
        <v>2.425410658750343</v>
      </c>
      <c r="CV90" s="1603">
        <v>4.2231176755695286</v>
      </c>
      <c r="CW90" s="1603">
        <v>2.942964382746466</v>
      </c>
      <c r="CX90" s="1603">
        <v>1.270955020223993</v>
      </c>
      <c r="CY90" s="1603">
        <v>3.6714627441031071</v>
      </c>
      <c r="CZ90" s="1603">
        <v>7.5778315049750677</v>
      </c>
      <c r="DA90" s="1603">
        <v>2.3734440399327732</v>
      </c>
      <c r="DB90" s="1603">
        <v>5.5100308537672342</v>
      </c>
      <c r="DC90" s="1603">
        <v>3.8522293217554062</v>
      </c>
      <c r="DD90" s="1603">
        <v>9.3622601755225983</v>
      </c>
      <c r="DE90" s="1603">
        <v>4.940993359908882</v>
      </c>
      <c r="DF90" s="1603">
        <v>0</v>
      </c>
      <c r="DG90" s="1603">
        <v>0</v>
      </c>
      <c r="DH90" s="1603">
        <v>0</v>
      </c>
      <c r="DI90" s="1603">
        <v>0</v>
      </c>
      <c r="DJ90" s="1603">
        <v>0</v>
      </c>
      <c r="DK90" s="1603">
        <v>0</v>
      </c>
      <c r="DL90" s="1603">
        <v>0</v>
      </c>
      <c r="DM90" s="1603">
        <v>0</v>
      </c>
      <c r="DN90" s="1603">
        <v>0</v>
      </c>
      <c r="DO90" s="1603">
        <v>0</v>
      </c>
      <c r="DP90" s="1603">
        <v>0</v>
      </c>
      <c r="DQ90" s="1603">
        <v>0</v>
      </c>
      <c r="DR90" s="1603">
        <v>0</v>
      </c>
      <c r="DS90" s="1603">
        <v>0</v>
      </c>
      <c r="DT90" s="1603">
        <v>0</v>
      </c>
      <c r="DU90" s="1603">
        <v>0</v>
      </c>
      <c r="DV90" s="1603">
        <v>0</v>
      </c>
      <c r="DW90" s="1618" t="s">
        <v>3559</v>
      </c>
      <c r="DX90" s="1605">
        <v>10</v>
      </c>
      <c r="DY90" s="1605">
        <v>10</v>
      </c>
      <c r="DZ90" s="1605">
        <v>10</v>
      </c>
      <c r="EA90" s="1605">
        <v>10</v>
      </c>
      <c r="EB90" s="1605" t="s">
        <v>986</v>
      </c>
      <c r="EC90" s="1605">
        <v>10</v>
      </c>
      <c r="ED90" s="1605">
        <v>10</v>
      </c>
      <c r="EE90" s="1605">
        <v>10</v>
      </c>
      <c r="EF90" s="1605">
        <v>10</v>
      </c>
      <c r="EG90" s="1605">
        <v>10</v>
      </c>
      <c r="EH90" s="1605">
        <v>10</v>
      </c>
      <c r="EI90" s="1605">
        <v>10</v>
      </c>
      <c r="EJ90" s="1605">
        <v>10</v>
      </c>
      <c r="EK90" s="1605">
        <v>10</v>
      </c>
      <c r="EL90" s="1605" t="s">
        <v>986</v>
      </c>
      <c r="EM90" s="1605">
        <v>10</v>
      </c>
      <c r="EN90" s="1605">
        <v>10</v>
      </c>
      <c r="EO90" s="1605">
        <v>10</v>
      </c>
      <c r="EP90" s="1605">
        <v>10</v>
      </c>
      <c r="EQ90" s="1605">
        <v>10</v>
      </c>
      <c r="ER90" s="1605">
        <v>10</v>
      </c>
      <c r="ES90" s="1605">
        <v>10</v>
      </c>
      <c r="ET90" s="1605">
        <v>10</v>
      </c>
      <c r="EU90" s="1605">
        <v>10</v>
      </c>
      <c r="EV90" s="1605" t="s">
        <v>986</v>
      </c>
      <c r="EW90" s="1605">
        <v>10</v>
      </c>
      <c r="EX90" s="1605">
        <v>10</v>
      </c>
      <c r="EY90" s="1605" t="s">
        <v>986</v>
      </c>
      <c r="EZ90" s="1605">
        <v>10</v>
      </c>
      <c r="FA90" s="1605">
        <v>10</v>
      </c>
      <c r="FB90" s="1605">
        <v>10</v>
      </c>
      <c r="FC90" s="1605">
        <v>10</v>
      </c>
      <c r="FD90" s="1605" t="s">
        <v>986</v>
      </c>
      <c r="FE90" s="1605" t="s">
        <v>986</v>
      </c>
      <c r="FF90" s="1605">
        <v>1.1000000000000001</v>
      </c>
      <c r="FG90" s="1605">
        <v>1.6</v>
      </c>
      <c r="FH90" s="1605">
        <v>1.5</v>
      </c>
      <c r="FI90" s="1605">
        <v>0.2</v>
      </c>
      <c r="FJ90" s="1605" t="s">
        <v>986</v>
      </c>
      <c r="FK90" s="1605">
        <v>2.5</v>
      </c>
      <c r="FL90" s="1605">
        <v>3.2</v>
      </c>
      <c r="FM90" s="1605">
        <v>1.8</v>
      </c>
      <c r="FN90" s="1605">
        <v>7.86</v>
      </c>
      <c r="FO90" s="1605">
        <v>6.84</v>
      </c>
      <c r="FP90" s="1605">
        <v>1.04</v>
      </c>
      <c r="FQ90" s="1605">
        <v>0.3</v>
      </c>
      <c r="FR90" s="1605">
        <v>0.5</v>
      </c>
      <c r="FS90" s="1605">
        <v>0.63</v>
      </c>
      <c r="FT90" s="1605" t="s">
        <v>986</v>
      </c>
      <c r="FU90" s="1605">
        <v>0.69</v>
      </c>
      <c r="FV90" s="1605">
        <v>1.24</v>
      </c>
      <c r="FW90" s="1605">
        <v>0.45</v>
      </c>
      <c r="FX90" s="1605">
        <v>0.94</v>
      </c>
      <c r="FY90" s="1605">
        <v>0.74</v>
      </c>
      <c r="FZ90" s="1605">
        <v>0.86</v>
      </c>
      <c r="GA90" s="1605" t="s">
        <v>986</v>
      </c>
      <c r="GB90" s="1605">
        <v>0.35</v>
      </c>
      <c r="GC90" s="1605" t="s">
        <v>986</v>
      </c>
      <c r="GD90" s="1605">
        <v>0.01</v>
      </c>
      <c r="GE90" s="1605">
        <v>0.62</v>
      </c>
      <c r="GF90" s="1605">
        <v>0.26</v>
      </c>
      <c r="GG90" s="1605" t="s">
        <v>986</v>
      </c>
      <c r="GH90" s="1605">
        <v>83.37</v>
      </c>
      <c r="GI90" s="1605">
        <v>0.67</v>
      </c>
      <c r="GJ90" s="1605">
        <v>9.5</v>
      </c>
      <c r="GK90" s="1605">
        <v>97.95</v>
      </c>
      <c r="GL90" s="1605" t="s">
        <v>986</v>
      </c>
      <c r="GM90" s="1605" t="s">
        <v>986</v>
      </c>
      <c r="GN90" s="1605" t="s">
        <v>1764</v>
      </c>
      <c r="GO90" s="1605" t="s">
        <v>1764</v>
      </c>
      <c r="GP90" s="1605" t="s">
        <v>1764</v>
      </c>
      <c r="GQ90" s="1605" t="s">
        <v>1764</v>
      </c>
      <c r="GR90" s="1605" t="s">
        <v>986</v>
      </c>
      <c r="GS90" s="1605" t="s">
        <v>1764</v>
      </c>
      <c r="GT90" s="1605" t="s">
        <v>1764</v>
      </c>
      <c r="GU90" s="1605" t="s">
        <v>1764</v>
      </c>
      <c r="GV90" s="1605" t="s">
        <v>1764</v>
      </c>
      <c r="GW90" s="1605" t="s">
        <v>1764</v>
      </c>
      <c r="GX90" s="1605" t="s">
        <v>1764</v>
      </c>
      <c r="GY90" s="1605" t="s">
        <v>1764</v>
      </c>
      <c r="GZ90" s="1605" t="s">
        <v>1764</v>
      </c>
      <c r="HA90" s="1605" t="s">
        <v>1764</v>
      </c>
      <c r="HB90" s="1605" t="s">
        <v>986</v>
      </c>
      <c r="HC90" s="1605" t="s">
        <v>1764</v>
      </c>
      <c r="HD90" s="1605" t="s">
        <v>1764</v>
      </c>
      <c r="HE90" s="1605" t="s">
        <v>1764</v>
      </c>
      <c r="HF90" s="1605" t="s">
        <v>1764</v>
      </c>
      <c r="HG90" s="1605" t="s">
        <v>1764</v>
      </c>
      <c r="HH90" s="1605" t="s">
        <v>1764</v>
      </c>
      <c r="HI90" s="1605" t="s">
        <v>1764</v>
      </c>
      <c r="HJ90" s="1605" t="s">
        <v>1764</v>
      </c>
      <c r="HK90" s="1605" t="s">
        <v>986</v>
      </c>
      <c r="HL90" s="1605" t="s">
        <v>986</v>
      </c>
      <c r="HM90" s="1605" t="s">
        <v>1764</v>
      </c>
      <c r="HN90" s="1605" t="s">
        <v>1764</v>
      </c>
      <c r="HO90" s="1605" t="s">
        <v>986</v>
      </c>
      <c r="HP90" s="1605" t="s">
        <v>1764</v>
      </c>
      <c r="HQ90" s="1605" t="s">
        <v>1764</v>
      </c>
      <c r="HR90" s="1605" t="s">
        <v>1764</v>
      </c>
      <c r="HS90" s="1605" t="s">
        <v>1764</v>
      </c>
      <c r="HT90" s="1605" t="s">
        <v>986</v>
      </c>
      <c r="HU90" s="1605" t="s">
        <v>986</v>
      </c>
      <c r="HV90" s="1617"/>
      <c r="HW90" s="1617" t="s">
        <v>3564</v>
      </c>
      <c r="HX90" s="1617" t="s">
        <v>3563</v>
      </c>
      <c r="HY90" s="1617" t="s">
        <v>3556</v>
      </c>
      <c r="HZ90" s="1603"/>
      <c r="IA90" s="1603"/>
      <c r="IB90" s="1603"/>
      <c r="IC90" s="1603">
        <v>51.8130081300813</v>
      </c>
      <c r="ID90" s="1603">
        <v>53.178861788617901</v>
      </c>
      <c r="IE90" s="1603">
        <v>54.317073170731703</v>
      </c>
      <c r="IF90" s="1603">
        <v>55</v>
      </c>
      <c r="IG90" s="1611" t="s">
        <v>3555</v>
      </c>
      <c r="IH90" s="1616" t="s">
        <v>3562</v>
      </c>
      <c r="II90" s="1615" t="s">
        <v>3561</v>
      </c>
      <c r="IJ90" s="1613">
        <v>0.44523863636363636</v>
      </c>
      <c r="IK90" s="1613">
        <v>0.43135227272727272</v>
      </c>
      <c r="IL90" s="1614">
        <v>0.44523863636363636</v>
      </c>
      <c r="IM90" s="1614">
        <v>0.43135227272727272</v>
      </c>
      <c r="IN90" s="1612" t="s">
        <v>270</v>
      </c>
      <c r="IO90" s="1613" t="s">
        <v>270</v>
      </c>
      <c r="IP90" s="1607" t="s">
        <v>270</v>
      </c>
      <c r="IQ90" s="1612" t="s">
        <v>270</v>
      </c>
      <c r="IR90" s="1612" t="s">
        <v>270</v>
      </c>
      <c r="IS90" s="1607">
        <v>0.44123863636363636</v>
      </c>
      <c r="IT90" s="1607">
        <v>0.42735227272727272</v>
      </c>
      <c r="IU90" s="1611">
        <v>1.1363636363636365E-5</v>
      </c>
      <c r="IV90" s="1611">
        <v>1.6249999999999999E-3</v>
      </c>
      <c r="IW90" s="1611">
        <v>7.727272727272728E-4</v>
      </c>
      <c r="IX90" s="1611">
        <v>1.1818181818181819E-3</v>
      </c>
      <c r="IY90" s="1611">
        <v>7.8409090909090898E-4</v>
      </c>
      <c r="IZ90" s="1611">
        <v>8.7500000000000008E-3</v>
      </c>
      <c r="JA90" s="1611">
        <v>2.0454545454545454E-4</v>
      </c>
      <c r="JB90" s="1611" t="s">
        <v>270</v>
      </c>
      <c r="JC90" s="1611">
        <v>0.82345454545454544</v>
      </c>
      <c r="JD90" s="1611">
        <v>8.3863636363636362E-3</v>
      </c>
      <c r="JE90" s="1611" t="s">
        <v>270</v>
      </c>
      <c r="JF90" s="1611">
        <v>5.4545454545454537E-4</v>
      </c>
      <c r="JG90" s="1611">
        <v>5.0202613636363642</v>
      </c>
      <c r="JH90" s="1611">
        <v>2.3863636363636361E-4</v>
      </c>
      <c r="JI90" s="1611">
        <v>4.9568181818181817E-2</v>
      </c>
      <c r="JJ90" s="1611" t="s">
        <v>270</v>
      </c>
      <c r="JK90" s="1607">
        <f t="shared" si="10"/>
        <v>4.0000000000000036E-3</v>
      </c>
      <c r="JL90" s="1608" t="s">
        <v>270</v>
      </c>
      <c r="JM90" s="1610" t="s">
        <v>2924</v>
      </c>
      <c r="JN90" s="1608">
        <v>1.3886363636363641E-2</v>
      </c>
      <c r="JO90" s="1609" t="s">
        <v>2923</v>
      </c>
      <c r="JP90" s="1608" t="s">
        <v>270</v>
      </c>
      <c r="JQ90" s="1607">
        <v>202103</v>
      </c>
      <c r="JR90" s="1606">
        <v>347</v>
      </c>
      <c r="JS90" s="1606">
        <v>316</v>
      </c>
      <c r="JT90" s="1606">
        <v>316</v>
      </c>
    </row>
    <row r="91" spans="1:280" ht="15" customHeight="1" x14ac:dyDescent="0.2">
      <c r="A91" s="1626">
        <v>53500</v>
      </c>
      <c r="B91" s="1625">
        <v>535</v>
      </c>
      <c r="C91" s="1624">
        <v>0</v>
      </c>
      <c r="D91" s="1623" t="s">
        <v>3560</v>
      </c>
      <c r="E91" s="1622">
        <v>43363</v>
      </c>
      <c r="F91" s="1620">
        <v>1.30732714043747</v>
      </c>
      <c r="G91" s="1620">
        <v>1.2765812441187401</v>
      </c>
      <c r="H91" s="1621">
        <v>95.7</v>
      </c>
      <c r="I91" s="1621">
        <v>90.5</v>
      </c>
      <c r="J91" s="1621">
        <v>98</v>
      </c>
      <c r="K91" s="1620">
        <v>1</v>
      </c>
      <c r="L91" s="1620">
        <v>85</v>
      </c>
      <c r="M91" s="1620">
        <v>11.475</v>
      </c>
      <c r="N91" s="1620">
        <v>6.46</v>
      </c>
      <c r="O91" s="1620">
        <v>1.7849999999999999</v>
      </c>
      <c r="P91" s="1620">
        <v>1.7849999999999999</v>
      </c>
      <c r="Q91" s="1603"/>
      <c r="R91" s="1620">
        <v>91.818356190476194</v>
      </c>
      <c r="S91" s="1620">
        <v>27</v>
      </c>
      <c r="T91" s="1620">
        <v>38.382113821138198</v>
      </c>
      <c r="U91" s="1620">
        <v>42.934959349593498</v>
      </c>
      <c r="V91" s="1620">
        <v>47.032520325203301</v>
      </c>
      <c r="W91" s="1620">
        <v>49.764227642276403</v>
      </c>
      <c r="X91" s="1620"/>
      <c r="Y91" s="1620">
        <v>0.9</v>
      </c>
      <c r="Z91" s="1620">
        <v>5.0999999999999996</v>
      </c>
      <c r="AA91" s="1620">
        <v>0.1</v>
      </c>
      <c r="AB91" s="1620">
        <v>0</v>
      </c>
      <c r="AC91" s="1620">
        <v>4.7</v>
      </c>
      <c r="AD91" s="1620">
        <v>1.7</v>
      </c>
      <c r="AE91" s="1620">
        <v>2</v>
      </c>
      <c r="AF91" s="1620">
        <v>56</v>
      </c>
      <c r="AG91" s="1620">
        <v>4.2</v>
      </c>
      <c r="AH91" s="1620">
        <v>53</v>
      </c>
      <c r="AI91" s="1620">
        <v>40</v>
      </c>
      <c r="AJ91" s="1620">
        <v>0</v>
      </c>
      <c r="AK91" s="1620">
        <v>0.03</v>
      </c>
      <c r="AL91" s="1620"/>
      <c r="AM91" s="1620">
        <v>4.0599999999999996</v>
      </c>
      <c r="AN91" s="1620">
        <v>1.81</v>
      </c>
      <c r="AO91" s="1620">
        <v>3.32</v>
      </c>
      <c r="AP91" s="1620">
        <v>3.76</v>
      </c>
      <c r="AQ91" s="1620">
        <v>1.38</v>
      </c>
      <c r="AR91" s="1620">
        <v>3.09</v>
      </c>
      <c r="AS91" s="1620">
        <v>7.15</v>
      </c>
      <c r="AT91" s="1620">
        <v>2.61</v>
      </c>
      <c r="AU91" s="1620">
        <v>4.57</v>
      </c>
      <c r="AV91" s="1620">
        <v>2.8</v>
      </c>
      <c r="AW91" s="1620">
        <v>3.94</v>
      </c>
      <c r="AX91" s="1620"/>
      <c r="AY91" s="1620">
        <v>1.04</v>
      </c>
      <c r="AZ91" s="1620">
        <v>1.1499999999999999</v>
      </c>
      <c r="BA91" s="1620">
        <v>0.95</v>
      </c>
      <c r="BB91" s="1620">
        <v>0.92</v>
      </c>
      <c r="BC91" s="1620">
        <v>1.07</v>
      </c>
      <c r="BD91" s="1620">
        <v>1.1000000000000001</v>
      </c>
      <c r="BE91" s="1620">
        <v>1.1200000000000001</v>
      </c>
      <c r="BF91" s="1620">
        <v>1.1599999999999999</v>
      </c>
      <c r="BG91" s="1620">
        <v>1.1599999999999999</v>
      </c>
      <c r="BH91" s="1620">
        <v>1.1100000000000001</v>
      </c>
      <c r="BI91" s="1620">
        <v>1.08</v>
      </c>
      <c r="BJ91" s="1603"/>
      <c r="BK91" s="1620">
        <v>13.5</v>
      </c>
      <c r="BL91" s="1620">
        <v>7.6</v>
      </c>
      <c r="BM91" s="1620">
        <v>2.1</v>
      </c>
      <c r="BN91" s="1620">
        <v>2.1</v>
      </c>
      <c r="BO91" s="1620"/>
      <c r="BP91" s="1620">
        <v>110</v>
      </c>
      <c r="BQ91" s="1620">
        <v>83.6</v>
      </c>
      <c r="BR91" s="1620">
        <v>1.5380319299264353</v>
      </c>
      <c r="BS91" s="1620">
        <v>1.5018602871985178</v>
      </c>
      <c r="BT91" s="1603"/>
      <c r="BU91" s="1620">
        <v>979</v>
      </c>
      <c r="BV91" s="1620">
        <v>667.60728571428592</v>
      </c>
      <c r="BW91" s="1620">
        <v>72.725714285714361</v>
      </c>
      <c r="BX91" s="1620">
        <v>471</v>
      </c>
      <c r="BY91" s="1620">
        <v>18</v>
      </c>
      <c r="BZ91" s="1620">
        <v>14.378352857142941</v>
      </c>
      <c r="CA91" s="1620">
        <v>96.224361428571527</v>
      </c>
      <c r="CB91" s="1603"/>
      <c r="CC91" s="1603">
        <v>0.76500000000000001</v>
      </c>
      <c r="CD91" s="1603">
        <v>4.335</v>
      </c>
      <c r="CE91" s="1603">
        <v>8.5000000000000006E-2</v>
      </c>
      <c r="CF91" s="1603">
        <v>0</v>
      </c>
      <c r="CG91" s="1603">
        <v>3.9950000000000001</v>
      </c>
      <c r="CH91" s="1603">
        <v>1.4449999999999998</v>
      </c>
      <c r="CI91" s="1603">
        <v>1.7</v>
      </c>
      <c r="CJ91" s="1603"/>
      <c r="CK91" s="1603">
        <v>47.6</v>
      </c>
      <c r="CL91" s="1603">
        <v>3.57</v>
      </c>
      <c r="CM91" s="1603">
        <v>45.05</v>
      </c>
      <c r="CN91" s="1603">
        <v>34</v>
      </c>
      <c r="CO91" s="1603">
        <v>0</v>
      </c>
      <c r="CP91" s="1603">
        <v>2.5499999999999998E-2</v>
      </c>
      <c r="CQ91" s="1603">
        <v>105.36156372857199</v>
      </c>
      <c r="CR91" s="1603">
        <v>80.593112825084418</v>
      </c>
      <c r="CS91" s="1603">
        <v>3.4029635959263458</v>
      </c>
      <c r="CT91" s="1603">
        <v>1.6775456434541196</v>
      </c>
      <c r="CU91" s="1603">
        <v>2.5419067785031464</v>
      </c>
      <c r="CV91" s="1603">
        <v>4.219452421957274</v>
      </c>
      <c r="CW91" s="1603">
        <v>2.787876958845303</v>
      </c>
      <c r="CX91" s="1603">
        <v>1.1900379039751856</v>
      </c>
      <c r="CY91" s="1603">
        <v>2.7393599049246098</v>
      </c>
      <c r="CZ91" s="1603">
        <v>6.4538964750327326</v>
      </c>
      <c r="DA91" s="1603">
        <v>2.4400370838922436</v>
      </c>
      <c r="DB91" s="1603">
        <v>4.2724020970833454</v>
      </c>
      <c r="DC91" s="1603">
        <v>2.5048339466036103</v>
      </c>
      <c r="DD91" s="1603">
        <v>6.7772360436869556</v>
      </c>
      <c r="DE91" s="1603">
        <v>3.4293981369329729</v>
      </c>
      <c r="DF91" s="1603">
        <v>0</v>
      </c>
      <c r="DG91" s="1603">
        <v>0</v>
      </c>
      <c r="DH91" s="1603">
        <v>0</v>
      </c>
      <c r="DI91" s="1603">
        <v>0</v>
      </c>
      <c r="DJ91" s="1603">
        <v>0</v>
      </c>
      <c r="DK91" s="1603">
        <v>0</v>
      </c>
      <c r="DL91" s="1603">
        <v>0</v>
      </c>
      <c r="DM91" s="1603">
        <v>0</v>
      </c>
      <c r="DN91" s="1603">
        <v>0</v>
      </c>
      <c r="DO91" s="1603">
        <v>0</v>
      </c>
      <c r="DP91" s="1603">
        <v>0</v>
      </c>
      <c r="DQ91" s="1603">
        <v>0</v>
      </c>
      <c r="DR91" s="1603">
        <v>0</v>
      </c>
      <c r="DS91" s="1603">
        <v>0</v>
      </c>
      <c r="DT91" s="1603">
        <v>0</v>
      </c>
      <c r="DU91" s="1603">
        <v>0</v>
      </c>
      <c r="DV91" s="1603">
        <v>0</v>
      </c>
      <c r="DW91" s="1618" t="s">
        <v>3559</v>
      </c>
      <c r="DX91" s="1605">
        <v>3</v>
      </c>
      <c r="DY91" s="1605" t="s">
        <v>986</v>
      </c>
      <c r="DZ91" s="1605">
        <v>3</v>
      </c>
      <c r="EA91" s="1605">
        <v>3</v>
      </c>
      <c r="EB91" s="1605">
        <v>3</v>
      </c>
      <c r="EC91" s="1605">
        <v>3</v>
      </c>
      <c r="ED91" s="1605">
        <v>3</v>
      </c>
      <c r="EE91" s="1605">
        <v>3</v>
      </c>
      <c r="EF91" s="1605">
        <v>3</v>
      </c>
      <c r="EG91" s="1605">
        <v>3</v>
      </c>
      <c r="EH91" s="1605">
        <v>3</v>
      </c>
      <c r="EI91" s="1605">
        <v>3</v>
      </c>
      <c r="EJ91" s="1605">
        <v>3</v>
      </c>
      <c r="EK91" s="1605">
        <v>3</v>
      </c>
      <c r="EL91" s="1605" t="s">
        <v>986</v>
      </c>
      <c r="EM91" s="1605" t="s">
        <v>986</v>
      </c>
      <c r="EN91" s="1605">
        <v>3</v>
      </c>
      <c r="EO91" s="1605">
        <v>3</v>
      </c>
      <c r="EP91" s="1605">
        <v>3</v>
      </c>
      <c r="EQ91" s="1605">
        <v>3</v>
      </c>
      <c r="ER91" s="1605">
        <v>1</v>
      </c>
      <c r="ES91" s="1605">
        <v>3</v>
      </c>
      <c r="ET91" s="1605">
        <v>3</v>
      </c>
      <c r="EU91" s="1605">
        <v>3</v>
      </c>
      <c r="EV91" s="1605" t="s">
        <v>986</v>
      </c>
      <c r="EW91" s="1605">
        <v>3</v>
      </c>
      <c r="EX91" s="1605">
        <v>3</v>
      </c>
      <c r="EY91" s="1605" t="s">
        <v>986</v>
      </c>
      <c r="EZ91" s="1605">
        <v>3</v>
      </c>
      <c r="FA91" s="1605">
        <v>3</v>
      </c>
      <c r="FB91" s="1605">
        <v>3</v>
      </c>
      <c r="FC91" s="1605">
        <v>3</v>
      </c>
      <c r="FD91" s="1605" t="s">
        <v>986</v>
      </c>
      <c r="FE91" s="1605" t="s">
        <v>986</v>
      </c>
      <c r="FF91" s="1605" t="s">
        <v>986</v>
      </c>
      <c r="FG91" s="1605" t="s">
        <v>986</v>
      </c>
      <c r="FH91" s="1605">
        <v>1.1000000000000001</v>
      </c>
      <c r="FI91" s="1605">
        <v>0.4</v>
      </c>
      <c r="FJ91" s="1605">
        <v>0.3</v>
      </c>
      <c r="FK91" s="1605">
        <v>0.8</v>
      </c>
      <c r="FL91" s="1605">
        <v>0.8</v>
      </c>
      <c r="FM91" s="1605" t="s">
        <v>986</v>
      </c>
      <c r="FN91" s="1605">
        <v>2</v>
      </c>
      <c r="FO91" s="1605" t="s">
        <v>986</v>
      </c>
      <c r="FP91" s="1605">
        <v>0.27</v>
      </c>
      <c r="FQ91" s="1605">
        <v>0.28999999999999998</v>
      </c>
      <c r="FR91" s="1605">
        <v>0.19</v>
      </c>
      <c r="FS91" s="1605">
        <v>0.43</v>
      </c>
      <c r="FT91" s="1605" t="s">
        <v>986</v>
      </c>
      <c r="FU91" s="1605" t="s">
        <v>986</v>
      </c>
      <c r="FV91" s="1605">
        <v>0.51</v>
      </c>
      <c r="FW91" s="1605">
        <v>0.52</v>
      </c>
      <c r="FX91" s="1605">
        <v>0.41</v>
      </c>
      <c r="FY91" s="1605">
        <v>0.52</v>
      </c>
      <c r="FZ91" s="1605" t="s">
        <v>986</v>
      </c>
      <c r="GA91" s="1605" t="s">
        <v>986</v>
      </c>
      <c r="GB91" s="1605">
        <v>0.19</v>
      </c>
      <c r="GC91" s="1605" t="s">
        <v>986</v>
      </c>
      <c r="GD91" s="1605" t="s">
        <v>986</v>
      </c>
      <c r="GE91" s="1605">
        <v>0.56999999999999995</v>
      </c>
      <c r="GF91" s="1605">
        <v>7.0000000000000007E-2</v>
      </c>
      <c r="GG91" s="1605">
        <v>0.09</v>
      </c>
      <c r="GH91" s="1605">
        <v>6.21</v>
      </c>
      <c r="GI91" s="1605">
        <v>0.68</v>
      </c>
      <c r="GJ91" s="1605">
        <v>12.89</v>
      </c>
      <c r="GK91" s="1605">
        <v>5.0999999999999996</v>
      </c>
      <c r="GL91" s="1605" t="s">
        <v>986</v>
      </c>
      <c r="GM91" s="1605" t="s">
        <v>986</v>
      </c>
      <c r="GN91" s="1605" t="s">
        <v>1591</v>
      </c>
      <c r="GO91" s="1605" t="s">
        <v>1591</v>
      </c>
      <c r="GP91" s="1605" t="s">
        <v>1591</v>
      </c>
      <c r="GQ91" s="1605" t="s">
        <v>1591</v>
      </c>
      <c r="GR91" s="1605" t="s">
        <v>1591</v>
      </c>
      <c r="GS91" s="1605" t="s">
        <v>1591</v>
      </c>
      <c r="GT91" s="1605" t="s">
        <v>1591</v>
      </c>
      <c r="GU91" s="1605" t="s">
        <v>1591</v>
      </c>
      <c r="GV91" s="1605" t="s">
        <v>1591</v>
      </c>
      <c r="GW91" s="1605" t="s">
        <v>1591</v>
      </c>
      <c r="GX91" s="1605" t="s">
        <v>1591</v>
      </c>
      <c r="GY91" s="1605" t="s">
        <v>1591</v>
      </c>
      <c r="GZ91" s="1605" t="s">
        <v>1591</v>
      </c>
      <c r="HA91" s="1605" t="s">
        <v>1591</v>
      </c>
      <c r="HB91" s="1605" t="s">
        <v>986</v>
      </c>
      <c r="HC91" s="1605" t="s">
        <v>986</v>
      </c>
      <c r="HD91" s="1605" t="s">
        <v>1591</v>
      </c>
      <c r="HE91" s="1605" t="s">
        <v>1591</v>
      </c>
      <c r="HF91" s="1605" t="s">
        <v>1591</v>
      </c>
      <c r="HG91" s="1605" t="s">
        <v>1591</v>
      </c>
      <c r="HH91" s="1605" t="s">
        <v>1591</v>
      </c>
      <c r="HI91" s="1605" t="s">
        <v>1591</v>
      </c>
      <c r="HJ91" s="1605" t="s">
        <v>1591</v>
      </c>
      <c r="HK91" s="1605" t="s">
        <v>986</v>
      </c>
      <c r="HL91" s="1605" t="s">
        <v>986</v>
      </c>
      <c r="HM91" s="1605" t="s">
        <v>1591</v>
      </c>
      <c r="HN91" s="1605" t="s">
        <v>1591</v>
      </c>
      <c r="HO91" s="1605" t="s">
        <v>986</v>
      </c>
      <c r="HP91" s="1605" t="s">
        <v>1591</v>
      </c>
      <c r="HQ91" s="1605" t="s">
        <v>1591</v>
      </c>
      <c r="HR91" s="1605" t="s">
        <v>1591</v>
      </c>
      <c r="HS91" s="1605" t="s">
        <v>1591</v>
      </c>
      <c r="HT91" s="1605" t="s">
        <v>986</v>
      </c>
      <c r="HU91" s="1605" t="s">
        <v>986</v>
      </c>
      <c r="HV91" s="1617"/>
      <c r="HW91" s="1617" t="s">
        <v>3558</v>
      </c>
      <c r="HX91" s="1617" t="s">
        <v>3557</v>
      </c>
      <c r="HY91" s="1617" t="s">
        <v>3556</v>
      </c>
      <c r="HZ91" s="1603"/>
      <c r="IA91" s="1603"/>
      <c r="IB91" s="1603"/>
      <c r="IC91" s="1603">
        <v>51.8130081300813</v>
      </c>
      <c r="ID91" s="1603">
        <v>53.178861788617901</v>
      </c>
      <c r="IE91" s="1603">
        <v>54.317073170731703</v>
      </c>
      <c r="IF91" s="1603">
        <v>55</v>
      </c>
      <c r="IG91" s="1611" t="s">
        <v>3555</v>
      </c>
      <c r="IH91" s="1616" t="s">
        <v>270</v>
      </c>
      <c r="II91" s="1615" t="s">
        <v>270</v>
      </c>
      <c r="IJ91" s="1613">
        <v>0.44523863636363636</v>
      </c>
      <c r="IK91" s="1613">
        <v>0.43135227272727272</v>
      </c>
      <c r="IL91" s="1614">
        <v>0.44523863636363636</v>
      </c>
      <c r="IM91" s="1614">
        <v>0.43135227272727272</v>
      </c>
      <c r="IN91" s="1612" t="s">
        <v>270</v>
      </c>
      <c r="IO91" s="1613" t="s">
        <v>270</v>
      </c>
      <c r="IP91" s="1607" t="s">
        <v>270</v>
      </c>
      <c r="IQ91" s="1612" t="s">
        <v>270</v>
      </c>
      <c r="IR91" s="1612" t="s">
        <v>270</v>
      </c>
      <c r="IS91" s="1607">
        <v>0.44123863636363636</v>
      </c>
      <c r="IT91" s="1607">
        <v>0.42735227272727272</v>
      </c>
      <c r="IU91" s="1611">
        <v>1.1363636363636365E-5</v>
      </c>
      <c r="IV91" s="1611">
        <v>1.6249999999999999E-3</v>
      </c>
      <c r="IW91" s="1611">
        <v>7.727272727272728E-4</v>
      </c>
      <c r="IX91" s="1611">
        <v>1.1818181818181819E-3</v>
      </c>
      <c r="IY91" s="1611">
        <v>7.8409090909090898E-4</v>
      </c>
      <c r="IZ91" s="1611">
        <v>8.7500000000000008E-3</v>
      </c>
      <c r="JA91" s="1611">
        <v>2.0454545454545454E-4</v>
      </c>
      <c r="JB91" s="1611" t="s">
        <v>270</v>
      </c>
      <c r="JC91" s="1611">
        <v>0.82345454545454544</v>
      </c>
      <c r="JD91" s="1611">
        <v>8.3863636363636362E-3</v>
      </c>
      <c r="JE91" s="1611" t="s">
        <v>270</v>
      </c>
      <c r="JF91" s="1611">
        <v>5.4545454545454537E-4</v>
      </c>
      <c r="JG91" s="1611">
        <v>5.0202613636363642</v>
      </c>
      <c r="JH91" s="1611">
        <v>2.3863636363636361E-4</v>
      </c>
      <c r="JI91" s="1611">
        <v>4.9568181818181817E-2</v>
      </c>
      <c r="JJ91" s="1611" t="s">
        <v>270</v>
      </c>
      <c r="JK91" s="1607">
        <f t="shared" si="10"/>
        <v>4.0000000000000036E-3</v>
      </c>
      <c r="JL91" s="1608" t="s">
        <v>270</v>
      </c>
      <c r="JM91" s="1610" t="s">
        <v>2924</v>
      </c>
      <c r="JN91" s="1608">
        <v>1.3886363636363641E-2</v>
      </c>
      <c r="JO91" s="1609" t="s">
        <v>2923</v>
      </c>
      <c r="JP91" s="1608" t="s">
        <v>270</v>
      </c>
      <c r="JQ91" s="1607">
        <v>202103</v>
      </c>
      <c r="JR91" s="1606">
        <v>347</v>
      </c>
      <c r="JS91" s="1606">
        <v>316</v>
      </c>
      <c r="JT91" s="1606">
        <v>316</v>
      </c>
    </row>
    <row r="92" spans="1:280" ht="15" customHeight="1" x14ac:dyDescent="0.2">
      <c r="A92" s="1626">
        <v>53700</v>
      </c>
      <c r="B92" s="1625">
        <v>537</v>
      </c>
      <c r="C92" s="1624">
        <v>0</v>
      </c>
      <c r="D92" s="1623" t="s">
        <v>3554</v>
      </c>
      <c r="E92" s="1622">
        <v>43052</v>
      </c>
      <c r="F92" s="1620">
        <v>7.44424032229965E-2</v>
      </c>
      <c r="G92" s="1620">
        <v>0.21588845429387701</v>
      </c>
      <c r="H92" s="1621">
        <v>25.1</v>
      </c>
      <c r="I92" s="1621">
        <v>21.5</v>
      </c>
      <c r="J92" s="1621">
        <v>82</v>
      </c>
      <c r="K92" s="1620">
        <v>1</v>
      </c>
      <c r="L92" s="1620">
        <v>89.1</v>
      </c>
      <c r="M92" s="1620">
        <v>4.1877000000000004</v>
      </c>
      <c r="N92" s="1620">
        <v>1.6037999999999999</v>
      </c>
      <c r="O92" s="1620">
        <v>4.5441000000000003</v>
      </c>
      <c r="P92" s="1620">
        <v>25.660799999999998</v>
      </c>
      <c r="Q92" s="1603"/>
      <c r="R92" s="1620">
        <v>-26.993623708206702</v>
      </c>
      <c r="S92" s="1620">
        <v>20</v>
      </c>
      <c r="T92" s="1620">
        <v>34.227642276422799</v>
      </c>
      <c r="U92" s="1620">
        <v>39.918699186991901</v>
      </c>
      <c r="V92" s="1620">
        <v>45.040650406504099</v>
      </c>
      <c r="W92" s="1620">
        <v>48.455284552845498</v>
      </c>
      <c r="X92" s="1620"/>
      <c r="Y92" s="1620">
        <v>1.4000000000000001</v>
      </c>
      <c r="Z92" s="1620">
        <v>1.7000000000000002</v>
      </c>
      <c r="AA92" s="1620">
        <v>0.2</v>
      </c>
      <c r="AB92" s="1620">
        <v>0</v>
      </c>
      <c r="AC92" s="1620">
        <v>7.0000000000000009</v>
      </c>
      <c r="AD92" s="1620">
        <v>1.3000000000000003</v>
      </c>
      <c r="AE92" s="1620">
        <v>1.2999999999999998</v>
      </c>
      <c r="AF92" s="1620">
        <v>160</v>
      </c>
      <c r="AG92" s="1620">
        <v>6.3</v>
      </c>
      <c r="AH92" s="1620">
        <v>36</v>
      </c>
      <c r="AI92" s="1620">
        <v>30.000000000000004</v>
      </c>
      <c r="AJ92" s="1620">
        <v>0</v>
      </c>
      <c r="AK92" s="1620">
        <v>0.23000000000000115</v>
      </c>
      <c r="AL92" s="1620"/>
      <c r="AM92" s="1620">
        <v>4.13</v>
      </c>
      <c r="AN92" s="1620">
        <v>1.74</v>
      </c>
      <c r="AO92" s="1620">
        <v>2.39</v>
      </c>
      <c r="AP92" s="1620">
        <v>3.48</v>
      </c>
      <c r="AQ92" s="1620">
        <v>0.64</v>
      </c>
      <c r="AR92" s="1620">
        <v>3.58</v>
      </c>
      <c r="AS92" s="1620">
        <v>6.97</v>
      </c>
      <c r="AT92" s="1620">
        <v>2.02</v>
      </c>
      <c r="AU92" s="1620">
        <v>4.59</v>
      </c>
      <c r="AV92" s="1620">
        <v>3.03</v>
      </c>
      <c r="AW92" s="1620">
        <v>5.04</v>
      </c>
      <c r="AX92" s="1620"/>
      <c r="AY92" s="1620">
        <v>1</v>
      </c>
      <c r="AZ92" s="1620">
        <v>1</v>
      </c>
      <c r="BA92" s="1620">
        <v>1</v>
      </c>
      <c r="BB92" s="1620">
        <v>1</v>
      </c>
      <c r="BC92" s="1620">
        <v>1</v>
      </c>
      <c r="BD92" s="1620">
        <v>1</v>
      </c>
      <c r="BE92" s="1620">
        <v>1</v>
      </c>
      <c r="BF92" s="1620">
        <v>1</v>
      </c>
      <c r="BG92" s="1620">
        <v>1</v>
      </c>
      <c r="BH92" s="1620">
        <v>1</v>
      </c>
      <c r="BI92" s="1620">
        <v>1</v>
      </c>
      <c r="BJ92" s="1603"/>
      <c r="BK92" s="1620">
        <v>4.7000000000000011</v>
      </c>
      <c r="BL92" s="1620">
        <v>1.8</v>
      </c>
      <c r="BM92" s="1620">
        <v>5.1000000000000005</v>
      </c>
      <c r="BN92" s="1620">
        <v>28.8</v>
      </c>
      <c r="BO92" s="1620"/>
      <c r="BP92" s="1620">
        <v>110</v>
      </c>
      <c r="BQ92" s="1620">
        <v>19.8</v>
      </c>
      <c r="BR92" s="1620">
        <v>8.3549274099883844E-2</v>
      </c>
      <c r="BS92" s="1620">
        <v>0.24229905083487879</v>
      </c>
      <c r="BT92" s="1603"/>
      <c r="BU92" s="1620">
        <v>949</v>
      </c>
      <c r="BV92" s="1620">
        <v>129.16328571428619</v>
      </c>
      <c r="BW92" s="1620">
        <v>48.805714285714259</v>
      </c>
      <c r="BX92" s="1620" t="s">
        <v>270</v>
      </c>
      <c r="BY92" s="1620" t="s">
        <v>270</v>
      </c>
      <c r="BZ92" s="1620">
        <v>15.012134285714255</v>
      </c>
      <c r="CA92" s="1620">
        <v>735.59457999999881</v>
      </c>
      <c r="CB92" s="1603"/>
      <c r="CC92" s="1603">
        <v>1.2474000000000001</v>
      </c>
      <c r="CD92" s="1603">
        <v>1.5146999999999999</v>
      </c>
      <c r="CE92" s="1603">
        <v>0.1782</v>
      </c>
      <c r="CF92" s="1603">
        <v>0</v>
      </c>
      <c r="CG92" s="1603">
        <v>6.2370000000000001</v>
      </c>
      <c r="CH92" s="1603">
        <v>1.1583000000000001</v>
      </c>
      <c r="CI92" s="1603">
        <v>1.1582999999999997</v>
      </c>
      <c r="CJ92" s="1603"/>
      <c r="CK92" s="1603">
        <v>142.55999999999997</v>
      </c>
      <c r="CL92" s="1603">
        <v>5.6132999999999988</v>
      </c>
      <c r="CM92" s="1603">
        <v>32.075999999999993</v>
      </c>
      <c r="CN92" s="1603">
        <v>26.73</v>
      </c>
      <c r="CO92" s="1603">
        <v>0</v>
      </c>
      <c r="CP92" s="1603">
        <v>0.204930000000001</v>
      </c>
      <c r="CQ92" s="1603">
        <v>-11.304119800285701</v>
      </c>
      <c r="CR92" s="1603">
        <v>-151.85054902679002</v>
      </c>
      <c r="CS92" s="1603">
        <v>-6.2714276748063948</v>
      </c>
      <c r="CT92" s="1603">
        <v>-2.6421995530661433</v>
      </c>
      <c r="CU92" s="1603">
        <v>-3.6292281217402782</v>
      </c>
      <c r="CV92" s="1603">
        <v>-6.2714276748064623</v>
      </c>
      <c r="CW92" s="1603">
        <v>-5.2843991061322999</v>
      </c>
      <c r="CX92" s="1603">
        <v>-0.97184351377145772</v>
      </c>
      <c r="CY92" s="1603">
        <v>-5.4362496551590809</v>
      </c>
      <c r="CZ92" s="1603">
        <v>-10.583983267167246</v>
      </c>
      <c r="DA92" s="1603">
        <v>-3.067381090341156</v>
      </c>
      <c r="DB92" s="1603">
        <v>-6.9699402003296926</v>
      </c>
      <c r="DC92" s="1603">
        <v>-4.6010716355117411</v>
      </c>
      <c r="DD92" s="1603">
        <v>-11.57101183584142</v>
      </c>
      <c r="DE92" s="1603">
        <v>-7.6532676709502381</v>
      </c>
      <c r="DF92" s="1603">
        <v>0</v>
      </c>
      <c r="DG92" s="1603">
        <v>0</v>
      </c>
      <c r="DH92" s="1603">
        <v>0</v>
      </c>
      <c r="DI92" s="1603">
        <v>0</v>
      </c>
      <c r="DJ92" s="1603">
        <v>0</v>
      </c>
      <c r="DK92" s="1603">
        <v>0</v>
      </c>
      <c r="DL92" s="1603">
        <v>0</v>
      </c>
      <c r="DM92" s="1603">
        <v>0</v>
      </c>
      <c r="DN92" s="1603">
        <v>0</v>
      </c>
      <c r="DO92" s="1603">
        <v>0</v>
      </c>
      <c r="DP92" s="1603">
        <v>0</v>
      </c>
      <c r="DQ92" s="1603">
        <v>0</v>
      </c>
      <c r="DR92" s="1603">
        <v>0</v>
      </c>
      <c r="DS92" s="1603">
        <v>0</v>
      </c>
      <c r="DT92" s="1603">
        <v>0</v>
      </c>
      <c r="DU92" s="1603">
        <v>0</v>
      </c>
      <c r="DV92" s="1603">
        <v>0</v>
      </c>
      <c r="DW92" s="1618" t="s">
        <v>3553</v>
      </c>
      <c r="DX92" s="1605" t="s">
        <v>986</v>
      </c>
      <c r="DY92" s="1605" t="s">
        <v>986</v>
      </c>
      <c r="DZ92" s="1605">
        <v>3</v>
      </c>
      <c r="EA92" s="1605">
        <v>3</v>
      </c>
      <c r="EB92" s="1605">
        <v>2</v>
      </c>
      <c r="EC92" s="1605">
        <v>3</v>
      </c>
      <c r="ED92" s="1605">
        <v>3</v>
      </c>
      <c r="EE92" s="1605">
        <v>3</v>
      </c>
      <c r="EF92" s="1605">
        <v>3</v>
      </c>
      <c r="EG92" s="1605">
        <v>3</v>
      </c>
      <c r="EH92" s="1605" t="s">
        <v>986</v>
      </c>
      <c r="EI92" s="1605" t="s">
        <v>986</v>
      </c>
      <c r="EJ92" s="1605" t="s">
        <v>986</v>
      </c>
      <c r="EK92" s="1605" t="s">
        <v>986</v>
      </c>
      <c r="EL92" s="1605" t="s">
        <v>986</v>
      </c>
      <c r="EM92" s="1605" t="s">
        <v>986</v>
      </c>
      <c r="EN92" s="1605" t="s">
        <v>986</v>
      </c>
      <c r="EO92" s="1605" t="s">
        <v>986</v>
      </c>
      <c r="EP92" s="1605" t="s">
        <v>986</v>
      </c>
      <c r="EQ92" s="1605" t="s">
        <v>986</v>
      </c>
      <c r="ER92" s="1605" t="s">
        <v>986</v>
      </c>
      <c r="ES92" s="1605">
        <v>3</v>
      </c>
      <c r="ET92" s="1605">
        <v>3</v>
      </c>
      <c r="EU92" s="1605">
        <v>3</v>
      </c>
      <c r="EV92" s="1605" t="s">
        <v>986</v>
      </c>
      <c r="EW92" s="1605">
        <v>3</v>
      </c>
      <c r="EX92" s="1605">
        <v>3</v>
      </c>
      <c r="EY92" s="1605" t="s">
        <v>986</v>
      </c>
      <c r="EZ92" s="1605">
        <v>3</v>
      </c>
      <c r="FA92" s="1605">
        <v>3</v>
      </c>
      <c r="FB92" s="1605">
        <v>3</v>
      </c>
      <c r="FC92" s="1605">
        <v>3</v>
      </c>
      <c r="FD92" s="1605" t="s">
        <v>986</v>
      </c>
      <c r="FE92" s="1605" t="s">
        <v>986</v>
      </c>
      <c r="FF92" s="1605" t="s">
        <v>986</v>
      </c>
      <c r="FG92" s="1605" t="s">
        <v>986</v>
      </c>
      <c r="FH92" s="1605">
        <v>0.5</v>
      </c>
      <c r="FI92" s="1605">
        <v>1.6</v>
      </c>
      <c r="FJ92" s="1605">
        <v>6.5</v>
      </c>
      <c r="FK92" s="1605">
        <v>14</v>
      </c>
      <c r="FL92" s="1605">
        <v>11.5</v>
      </c>
      <c r="FM92" s="1605" t="s">
        <v>986</v>
      </c>
      <c r="FN92" s="1605">
        <v>19.600000000000001</v>
      </c>
      <c r="FO92" s="1605" t="s">
        <v>986</v>
      </c>
      <c r="FP92" s="1605" t="s">
        <v>986</v>
      </c>
      <c r="FQ92" s="1605" t="s">
        <v>986</v>
      </c>
      <c r="FR92" s="1605" t="s">
        <v>986</v>
      </c>
      <c r="FS92" s="1605" t="s">
        <v>986</v>
      </c>
      <c r="FT92" s="1605" t="s">
        <v>986</v>
      </c>
      <c r="FU92" s="1605" t="s">
        <v>986</v>
      </c>
      <c r="FV92" s="1605" t="s">
        <v>986</v>
      </c>
      <c r="FW92" s="1605" t="s">
        <v>986</v>
      </c>
      <c r="FX92" s="1605" t="s">
        <v>986</v>
      </c>
      <c r="FY92" s="1605" t="s">
        <v>986</v>
      </c>
      <c r="FZ92" s="1605" t="s">
        <v>986</v>
      </c>
      <c r="GA92" s="1605" t="s">
        <v>986</v>
      </c>
      <c r="GB92" s="1605">
        <v>0.52</v>
      </c>
      <c r="GC92" s="1605" t="s">
        <v>986</v>
      </c>
      <c r="GD92" s="1605" t="s">
        <v>986</v>
      </c>
      <c r="GE92" s="1605">
        <v>3.56</v>
      </c>
      <c r="GF92" s="1605">
        <v>0.82</v>
      </c>
      <c r="GG92" s="1605">
        <v>0.8</v>
      </c>
      <c r="GH92" s="1605">
        <v>139.19999999999999</v>
      </c>
      <c r="GI92" s="1605">
        <v>4.18</v>
      </c>
      <c r="GJ92" s="1605">
        <v>3.94</v>
      </c>
      <c r="GK92" s="1605">
        <v>17.48</v>
      </c>
      <c r="GL92" s="1605" t="s">
        <v>986</v>
      </c>
      <c r="GM92" s="1605" t="s">
        <v>986</v>
      </c>
      <c r="GN92" s="1605" t="s">
        <v>1591</v>
      </c>
      <c r="GO92" s="1605" t="s">
        <v>1591</v>
      </c>
      <c r="GP92" s="1605" t="s">
        <v>1591</v>
      </c>
      <c r="GQ92" s="1605" t="s">
        <v>1591</v>
      </c>
      <c r="GR92" s="1605" t="s">
        <v>1591</v>
      </c>
      <c r="GS92" s="1605" t="s">
        <v>1591</v>
      </c>
      <c r="GT92" s="1605" t="s">
        <v>1591</v>
      </c>
      <c r="GU92" s="1605" t="s">
        <v>1591</v>
      </c>
      <c r="GV92" s="1605" t="s">
        <v>1591</v>
      </c>
      <c r="GW92" s="1605" t="s">
        <v>1591</v>
      </c>
      <c r="GX92" s="1605" t="s">
        <v>986</v>
      </c>
      <c r="GY92" s="1605" t="s">
        <v>986</v>
      </c>
      <c r="GZ92" s="1605" t="s">
        <v>986</v>
      </c>
      <c r="HA92" s="1605" t="s">
        <v>986</v>
      </c>
      <c r="HB92" s="1605" t="s">
        <v>986</v>
      </c>
      <c r="HC92" s="1605" t="s">
        <v>986</v>
      </c>
      <c r="HD92" s="1605" t="s">
        <v>986</v>
      </c>
      <c r="HE92" s="1605" t="s">
        <v>986</v>
      </c>
      <c r="HF92" s="1605" t="s">
        <v>986</v>
      </c>
      <c r="HG92" s="1605" t="s">
        <v>986</v>
      </c>
      <c r="HH92" s="1605" t="s">
        <v>986</v>
      </c>
      <c r="HI92" s="1605" t="s">
        <v>1591</v>
      </c>
      <c r="HJ92" s="1605" t="s">
        <v>1591</v>
      </c>
      <c r="HK92" s="1605" t="s">
        <v>986</v>
      </c>
      <c r="HL92" s="1605" t="s">
        <v>986</v>
      </c>
      <c r="HM92" s="1605" t="s">
        <v>1591</v>
      </c>
      <c r="HN92" s="1605" t="s">
        <v>1591</v>
      </c>
      <c r="HO92" s="1605" t="s">
        <v>986</v>
      </c>
      <c r="HP92" s="1605" t="s">
        <v>1591</v>
      </c>
      <c r="HQ92" s="1605" t="s">
        <v>1591</v>
      </c>
      <c r="HR92" s="1605" t="s">
        <v>1591</v>
      </c>
      <c r="HS92" s="1605" t="s">
        <v>1591</v>
      </c>
      <c r="HT92" s="1605" t="s">
        <v>986</v>
      </c>
      <c r="HU92" s="1605" t="s">
        <v>986</v>
      </c>
      <c r="HV92" s="1617"/>
      <c r="HW92" s="1617" t="s">
        <v>3552</v>
      </c>
      <c r="HX92" s="1617" t="s">
        <v>3551</v>
      </c>
      <c r="HY92" s="1617" t="s">
        <v>3550</v>
      </c>
      <c r="HZ92" s="1603"/>
      <c r="IA92" s="1603"/>
      <c r="IB92" s="1603"/>
      <c r="IC92" s="1603">
        <v>51.016260162601597</v>
      </c>
      <c r="ID92" s="1603">
        <v>52.723577235772403</v>
      </c>
      <c r="IE92" s="1603">
        <v>54.146341463414601</v>
      </c>
      <c r="IF92" s="1603">
        <v>55</v>
      </c>
      <c r="IG92" s="1611" t="s">
        <v>270</v>
      </c>
      <c r="IH92" s="1616" t="s">
        <v>3549</v>
      </c>
      <c r="II92" s="1615" t="s">
        <v>3548</v>
      </c>
      <c r="IJ92" s="1613">
        <v>0.63600000000000001</v>
      </c>
      <c r="IK92" s="1613">
        <v>0.63600000000000001</v>
      </c>
      <c r="IL92" s="1614">
        <v>0.63600000000000001</v>
      </c>
      <c r="IM92" s="1614">
        <v>0.63600000000000001</v>
      </c>
      <c r="IN92" s="1612">
        <v>0.63600000000000001</v>
      </c>
      <c r="IO92" s="1613">
        <v>0</v>
      </c>
      <c r="IP92" s="1607" t="s">
        <v>270</v>
      </c>
      <c r="IQ92" s="1612" t="s">
        <v>270</v>
      </c>
      <c r="IR92" s="1612" t="s">
        <v>270</v>
      </c>
      <c r="IS92" s="1607" t="s">
        <v>270</v>
      </c>
      <c r="IT92" s="1607" t="s">
        <v>270</v>
      </c>
      <c r="IU92" s="1611" t="s">
        <v>270</v>
      </c>
      <c r="IV92" s="1611" t="s">
        <v>270</v>
      </c>
      <c r="IW92" s="1611" t="s">
        <v>270</v>
      </c>
      <c r="IX92" s="1611" t="s">
        <v>270</v>
      </c>
      <c r="IY92" s="1611" t="s">
        <v>270</v>
      </c>
      <c r="IZ92" s="1611" t="s">
        <v>270</v>
      </c>
      <c r="JA92" s="1611" t="s">
        <v>270</v>
      </c>
      <c r="JB92" s="1611" t="s">
        <v>270</v>
      </c>
      <c r="JC92" s="1611" t="s">
        <v>270</v>
      </c>
      <c r="JD92" s="1611" t="s">
        <v>270</v>
      </c>
      <c r="JE92" s="1611" t="s">
        <v>270</v>
      </c>
      <c r="JF92" s="1611" t="s">
        <v>270</v>
      </c>
      <c r="JG92" s="1611" t="s">
        <v>270</v>
      </c>
      <c r="JH92" s="1611" t="s">
        <v>270</v>
      </c>
      <c r="JI92" s="1611" t="s">
        <v>270</v>
      </c>
      <c r="JJ92" s="1611" t="s">
        <v>270</v>
      </c>
      <c r="JK92" s="1607" t="str">
        <f t="shared" si="10"/>
        <v/>
      </c>
      <c r="JL92" s="1608" t="s">
        <v>2946</v>
      </c>
      <c r="JM92" s="1610" t="s">
        <v>2945</v>
      </c>
      <c r="JN92" s="1608" t="s">
        <v>270</v>
      </c>
      <c r="JO92" s="1609" t="s">
        <v>270</v>
      </c>
      <c r="JP92" s="1608">
        <v>0.63600000000000001</v>
      </c>
      <c r="JQ92" s="1607" t="s">
        <v>270</v>
      </c>
      <c r="JR92" s="1606" t="s">
        <v>270</v>
      </c>
      <c r="JS92" s="1606" t="s">
        <v>270</v>
      </c>
      <c r="JT92" s="1606" t="s">
        <v>270</v>
      </c>
    </row>
    <row r="93" spans="1:280" ht="15" customHeight="1" x14ac:dyDescent="0.2">
      <c r="A93" s="1626">
        <v>65200</v>
      </c>
      <c r="B93" s="1625">
        <v>652</v>
      </c>
      <c r="C93" s="1624">
        <v>0</v>
      </c>
      <c r="D93" s="1623" t="s">
        <v>3547</v>
      </c>
      <c r="E93" s="1622">
        <v>43370</v>
      </c>
      <c r="F93" s="1620">
        <v>0.84941581189144399</v>
      </c>
      <c r="G93" s="1620">
        <v>0.877586329753134</v>
      </c>
      <c r="H93" s="1621">
        <v>80.2</v>
      </c>
      <c r="I93" s="1621">
        <v>70.5999798</v>
      </c>
      <c r="J93" s="1621">
        <v>82</v>
      </c>
      <c r="K93" s="1620">
        <v>1</v>
      </c>
      <c r="L93" s="1620">
        <v>85.2</v>
      </c>
      <c r="M93" s="1620">
        <v>24.537600000000001</v>
      </c>
      <c r="N93" s="1620">
        <v>1.704</v>
      </c>
      <c r="O93" s="1620">
        <v>3.0672000000000001</v>
      </c>
      <c r="P93" s="1620">
        <v>8.1791999999999998</v>
      </c>
      <c r="Q93" s="1603"/>
      <c r="R93" s="1620">
        <v>80</v>
      </c>
      <c r="S93" s="1620">
        <v>37</v>
      </c>
      <c r="T93" s="1620">
        <v>41.065040650406502</v>
      </c>
      <c r="U93" s="1620">
        <v>42.691056910569102</v>
      </c>
      <c r="V93" s="1620">
        <v>44.154471544715399</v>
      </c>
      <c r="W93" s="1620">
        <v>45.130081300813004</v>
      </c>
      <c r="X93" s="1620"/>
      <c r="Y93" s="1620">
        <v>1.4</v>
      </c>
      <c r="Z93" s="1620">
        <v>5.3</v>
      </c>
      <c r="AA93" s="1620">
        <v>0.19999999999999998</v>
      </c>
      <c r="AB93" s="1620">
        <v>0.352112676056338</v>
      </c>
      <c r="AC93" s="1620">
        <v>12.7</v>
      </c>
      <c r="AD93" s="1620">
        <v>1.4</v>
      </c>
      <c r="AE93" s="1620">
        <v>2.1999999999999997</v>
      </c>
      <c r="AF93" s="1620">
        <v>74.5</v>
      </c>
      <c r="AG93" s="1620">
        <v>13.899999999999999</v>
      </c>
      <c r="AH93" s="1620">
        <v>18.7</v>
      </c>
      <c r="AI93" s="1620">
        <v>51.9</v>
      </c>
      <c r="AJ93" s="1620">
        <v>0</v>
      </c>
      <c r="AK93" s="1620">
        <v>1.9999999999999882E-2</v>
      </c>
      <c r="AL93" s="1620"/>
      <c r="AM93" s="1620">
        <v>6.3194444444444402</v>
      </c>
      <c r="AN93" s="1620">
        <v>0.72916666666666696</v>
      </c>
      <c r="AO93" s="1620">
        <v>1.2152777777777799</v>
      </c>
      <c r="AP93" s="1620">
        <v>3.5069444444444402</v>
      </c>
      <c r="AQ93" s="1620">
        <v>0.86805555555555602</v>
      </c>
      <c r="AR93" s="1620">
        <v>3.9236111111111098</v>
      </c>
      <c r="AS93" s="1620">
        <v>7.2569444444444402</v>
      </c>
      <c r="AT93" s="1620">
        <v>2.6041666666666701</v>
      </c>
      <c r="AU93" s="1620">
        <v>4.2708333333333304</v>
      </c>
      <c r="AV93" s="1620">
        <v>3.6805555555555598</v>
      </c>
      <c r="AW93" s="1620">
        <v>4.3402777777777803</v>
      </c>
      <c r="AX93" s="1620"/>
      <c r="AY93" s="1620">
        <v>1.04</v>
      </c>
      <c r="AZ93" s="1620">
        <v>0.94</v>
      </c>
      <c r="BA93" s="1620">
        <v>0.94</v>
      </c>
      <c r="BB93" s="1620">
        <v>0.98</v>
      </c>
      <c r="BC93" s="1620">
        <v>0.93</v>
      </c>
      <c r="BD93" s="1620">
        <v>0.99</v>
      </c>
      <c r="BE93" s="1620">
        <v>1.03</v>
      </c>
      <c r="BF93" s="1620">
        <v>1.05</v>
      </c>
      <c r="BG93" s="1620">
        <v>1</v>
      </c>
      <c r="BH93" s="1620">
        <v>0.96</v>
      </c>
      <c r="BI93" s="1620">
        <v>0.98</v>
      </c>
      <c r="BJ93" s="1603"/>
      <c r="BK93" s="1620">
        <v>28.8</v>
      </c>
      <c r="BL93" s="1620">
        <v>2</v>
      </c>
      <c r="BM93" s="1620">
        <v>3.6</v>
      </c>
      <c r="BN93" s="1620">
        <v>9.6</v>
      </c>
      <c r="BO93" s="1620"/>
      <c r="BP93" s="1620">
        <v>130</v>
      </c>
      <c r="BQ93" s="1620">
        <v>26.000000000000004</v>
      </c>
      <c r="BR93" s="1620">
        <v>0.9969669153655446</v>
      </c>
      <c r="BS93" s="1620">
        <v>1.0300309034661197</v>
      </c>
      <c r="BT93" s="1603"/>
      <c r="BU93" s="1620">
        <v>964</v>
      </c>
      <c r="BV93" s="1620">
        <v>359.44200753142837</v>
      </c>
      <c r="BW93" s="1620">
        <v>132.20599246857043</v>
      </c>
      <c r="BX93" s="1620">
        <v>375</v>
      </c>
      <c r="BY93" s="1620">
        <v>32</v>
      </c>
      <c r="BZ93" s="1620">
        <v>64.953051428571356</v>
      </c>
      <c r="CA93" s="1620">
        <v>205.68466285714317</v>
      </c>
      <c r="CB93" s="1603"/>
      <c r="CC93" s="1603">
        <v>1.1927999999999999</v>
      </c>
      <c r="CD93" s="1603">
        <v>4.5156000000000001</v>
      </c>
      <c r="CE93" s="1603">
        <v>0.17039999999999997</v>
      </c>
      <c r="CF93" s="1603">
        <v>0.3</v>
      </c>
      <c r="CG93" s="1603">
        <v>10.820399999999999</v>
      </c>
      <c r="CH93" s="1603">
        <v>1.1927999999999999</v>
      </c>
      <c r="CI93" s="1603">
        <v>1.8743999999999996</v>
      </c>
      <c r="CJ93" s="1603"/>
      <c r="CK93" s="1603">
        <v>63.473999999999997</v>
      </c>
      <c r="CL93" s="1603">
        <v>11.842799999999999</v>
      </c>
      <c r="CM93" s="1603">
        <v>15.932399999999999</v>
      </c>
      <c r="CN93" s="1603">
        <v>44.218799999999995</v>
      </c>
      <c r="CO93" s="1603">
        <v>0</v>
      </c>
      <c r="CP93" s="1603">
        <v>1.7039999999999899E-2</v>
      </c>
      <c r="CQ93" s="1603">
        <v>196.30080000000001</v>
      </c>
      <c r="CR93" s="1603">
        <v>231.10094873662112</v>
      </c>
      <c r="CS93" s="1603">
        <v>15.188467908634598</v>
      </c>
      <c r="CT93" s="1603">
        <v>1.5840044194655905</v>
      </c>
      <c r="CU93" s="1603">
        <v>2.6400073657759844</v>
      </c>
      <c r="CV93" s="1603">
        <v>4.2240117852415633</v>
      </c>
      <c r="CW93" s="1603">
        <v>7.9424902451217791</v>
      </c>
      <c r="CX93" s="1603">
        <v>1.8656587007383474</v>
      </c>
      <c r="CY93" s="1603">
        <v>8.9768274774881256</v>
      </c>
      <c r="CZ93" s="1603">
        <v>17.273993484212649</v>
      </c>
      <c r="DA93" s="1603">
        <v>6.3191665670169836</v>
      </c>
      <c r="DB93" s="1603">
        <v>9.8699363522932053</v>
      </c>
      <c r="DC93" s="1603">
        <v>8.1655668553606251</v>
      </c>
      <c r="DD93" s="1603">
        <v>18.035503207653807</v>
      </c>
      <c r="DE93" s="1603">
        <v>9.8298146598041978</v>
      </c>
      <c r="DF93" s="1603">
        <v>0</v>
      </c>
      <c r="DG93" s="1603">
        <v>0</v>
      </c>
      <c r="DH93" s="1603">
        <v>0</v>
      </c>
      <c r="DI93" s="1603">
        <v>0</v>
      </c>
      <c r="DJ93" s="1603">
        <v>0</v>
      </c>
      <c r="DK93" s="1603">
        <v>0</v>
      </c>
      <c r="DL93" s="1603">
        <v>0</v>
      </c>
      <c r="DM93" s="1603">
        <v>0</v>
      </c>
      <c r="DN93" s="1603">
        <v>0</v>
      </c>
      <c r="DO93" s="1603">
        <v>0</v>
      </c>
      <c r="DP93" s="1603">
        <v>0</v>
      </c>
      <c r="DQ93" s="1603">
        <v>0</v>
      </c>
      <c r="DR93" s="1603">
        <v>0</v>
      </c>
      <c r="DS93" s="1603">
        <v>0</v>
      </c>
      <c r="DT93" s="1603">
        <v>0</v>
      </c>
      <c r="DU93" s="1603">
        <v>0</v>
      </c>
      <c r="DV93" s="1603">
        <v>0</v>
      </c>
      <c r="DW93" s="1618" t="s">
        <v>3536</v>
      </c>
      <c r="DX93" s="1605">
        <v>30</v>
      </c>
      <c r="DY93" s="1605">
        <v>30</v>
      </c>
      <c r="DZ93" s="1605">
        <v>30</v>
      </c>
      <c r="EA93" s="1605">
        <v>30</v>
      </c>
      <c r="EB93" s="1605" t="s">
        <v>986</v>
      </c>
      <c r="EC93" s="1605">
        <v>30</v>
      </c>
      <c r="ED93" s="1605">
        <v>30</v>
      </c>
      <c r="EE93" s="1605">
        <v>30</v>
      </c>
      <c r="EF93" s="1605">
        <v>30</v>
      </c>
      <c r="EG93" s="1605">
        <v>30</v>
      </c>
      <c r="EH93" s="1605">
        <v>24</v>
      </c>
      <c r="EI93" s="1605">
        <v>24</v>
      </c>
      <c r="EJ93" s="1605">
        <v>24</v>
      </c>
      <c r="EK93" s="1605">
        <v>24</v>
      </c>
      <c r="EL93" s="1605">
        <v>14</v>
      </c>
      <c r="EM93" s="1605">
        <v>14</v>
      </c>
      <c r="EN93" s="1605">
        <v>14</v>
      </c>
      <c r="EO93" s="1605">
        <v>14</v>
      </c>
      <c r="EP93" s="1605">
        <v>14</v>
      </c>
      <c r="EQ93" s="1605">
        <v>14</v>
      </c>
      <c r="ER93" s="1605">
        <v>14</v>
      </c>
      <c r="ES93" s="1605">
        <v>28</v>
      </c>
      <c r="ET93" s="1605">
        <v>28</v>
      </c>
      <c r="EU93" s="1605">
        <v>12</v>
      </c>
      <c r="EV93" s="1605" t="s">
        <v>986</v>
      </c>
      <c r="EW93" s="1605">
        <v>12</v>
      </c>
      <c r="EX93" s="1605">
        <v>12</v>
      </c>
      <c r="EY93" s="1605" t="s">
        <v>986</v>
      </c>
      <c r="EZ93" s="1605">
        <v>12</v>
      </c>
      <c r="FA93" s="1605">
        <v>12</v>
      </c>
      <c r="FB93" s="1605">
        <v>12</v>
      </c>
      <c r="FC93" s="1605">
        <v>12</v>
      </c>
      <c r="FD93" s="1605" t="s">
        <v>986</v>
      </c>
      <c r="FE93" s="1605" t="s">
        <v>986</v>
      </c>
      <c r="FF93" s="1605">
        <v>1.4</v>
      </c>
      <c r="FG93" s="1605">
        <v>1.9</v>
      </c>
      <c r="FH93" s="1605">
        <v>0.5</v>
      </c>
      <c r="FI93" s="1605">
        <v>0.4</v>
      </c>
      <c r="FJ93" s="1605">
        <v>2</v>
      </c>
      <c r="FK93" s="1605">
        <v>4.2</v>
      </c>
      <c r="FL93" s="1605">
        <v>6</v>
      </c>
      <c r="FM93" s="1605" t="s">
        <v>986</v>
      </c>
      <c r="FN93" s="1605">
        <v>9.8000000000000007</v>
      </c>
      <c r="FO93" s="1605">
        <v>7.8</v>
      </c>
      <c r="FP93" s="1605">
        <v>1.18</v>
      </c>
      <c r="FQ93" s="1605">
        <v>0.11</v>
      </c>
      <c r="FR93" s="1605">
        <v>0.17</v>
      </c>
      <c r="FS93" s="1605">
        <v>0.6</v>
      </c>
      <c r="FT93" s="1605">
        <v>0.17</v>
      </c>
      <c r="FU93" s="1605">
        <v>0.7</v>
      </c>
      <c r="FV93" s="1605">
        <v>1.28</v>
      </c>
      <c r="FW93" s="1605">
        <v>0.5</v>
      </c>
      <c r="FX93" s="1605">
        <v>0.74</v>
      </c>
      <c r="FY93" s="1605">
        <v>0.68</v>
      </c>
      <c r="FZ93" s="1605">
        <v>0.78</v>
      </c>
      <c r="GA93" s="1605" t="s">
        <v>986</v>
      </c>
      <c r="GB93" s="1605">
        <v>0.95</v>
      </c>
      <c r="GC93" s="1605" t="s">
        <v>986</v>
      </c>
      <c r="GD93" s="1605" t="s">
        <v>986</v>
      </c>
      <c r="GE93" s="1605">
        <v>0.53</v>
      </c>
      <c r="GF93" s="1605">
        <v>0.17</v>
      </c>
      <c r="GG93" s="1605">
        <v>0.25</v>
      </c>
      <c r="GH93" s="1605">
        <v>11</v>
      </c>
      <c r="GI93" s="1605">
        <v>1.01</v>
      </c>
      <c r="GJ93" s="1605">
        <v>1.76</v>
      </c>
      <c r="GK93" s="1605">
        <v>7.07</v>
      </c>
      <c r="GL93" s="1605" t="s">
        <v>986</v>
      </c>
      <c r="GM93" s="1605" t="s">
        <v>986</v>
      </c>
      <c r="GN93" s="1605" t="s">
        <v>1581</v>
      </c>
      <c r="GO93" s="1605" t="s">
        <v>1581</v>
      </c>
      <c r="GP93" s="1605" t="s">
        <v>1581</v>
      </c>
      <c r="GQ93" s="1605" t="s">
        <v>1581</v>
      </c>
      <c r="GR93" s="1605" t="s">
        <v>1581</v>
      </c>
      <c r="GS93" s="1605" t="s">
        <v>1581</v>
      </c>
      <c r="GT93" s="1605" t="s">
        <v>1581</v>
      </c>
      <c r="GU93" s="1605" t="s">
        <v>1581</v>
      </c>
      <c r="GV93" s="1605" t="s">
        <v>1581</v>
      </c>
      <c r="GW93" s="1605" t="s">
        <v>1581</v>
      </c>
      <c r="GX93" s="1605" t="s">
        <v>3542</v>
      </c>
      <c r="GY93" s="1605" t="s">
        <v>3542</v>
      </c>
      <c r="GZ93" s="1605" t="s">
        <v>3542</v>
      </c>
      <c r="HA93" s="1605" t="s">
        <v>3542</v>
      </c>
      <c r="HB93" s="1605" t="s">
        <v>3542</v>
      </c>
      <c r="HC93" s="1605" t="s">
        <v>3542</v>
      </c>
      <c r="HD93" s="1605" t="s">
        <v>3542</v>
      </c>
      <c r="HE93" s="1605" t="s">
        <v>3542</v>
      </c>
      <c r="HF93" s="1605" t="s">
        <v>3542</v>
      </c>
      <c r="HG93" s="1605" t="s">
        <v>3542</v>
      </c>
      <c r="HH93" s="1605" t="s">
        <v>3542</v>
      </c>
      <c r="HI93" s="1605" t="s">
        <v>3546</v>
      </c>
      <c r="HJ93" s="1605" t="s">
        <v>3546</v>
      </c>
      <c r="HK93" s="1605" t="s">
        <v>986</v>
      </c>
      <c r="HL93" s="1605" t="s">
        <v>986</v>
      </c>
      <c r="HM93" s="1605" t="s">
        <v>3542</v>
      </c>
      <c r="HN93" s="1605" t="s">
        <v>3542</v>
      </c>
      <c r="HO93" s="1605" t="s">
        <v>3542</v>
      </c>
      <c r="HP93" s="1605" t="s">
        <v>3542</v>
      </c>
      <c r="HQ93" s="1605" t="s">
        <v>3542</v>
      </c>
      <c r="HR93" s="1605" t="s">
        <v>3542</v>
      </c>
      <c r="HS93" s="1605" t="s">
        <v>3542</v>
      </c>
      <c r="HT93" s="1605" t="s">
        <v>986</v>
      </c>
      <c r="HU93" s="1605" t="s">
        <v>986</v>
      </c>
      <c r="HV93" s="1617"/>
      <c r="HW93" s="1617" t="s">
        <v>3540</v>
      </c>
      <c r="HX93" s="1617" t="s">
        <v>3534</v>
      </c>
      <c r="HY93" s="1617" t="s">
        <v>3533</v>
      </c>
      <c r="HZ93" s="1603"/>
      <c r="IA93" s="1603"/>
      <c r="IB93" s="1603"/>
      <c r="IC93" s="1603">
        <v>45.861788617886198</v>
      </c>
      <c r="ID93" s="1603">
        <v>46.349593495934997</v>
      </c>
      <c r="IE93" s="1603">
        <v>46.756097560975597</v>
      </c>
      <c r="IF93" s="1603">
        <v>47</v>
      </c>
      <c r="IG93" s="1611" t="s">
        <v>3532</v>
      </c>
      <c r="IH93" s="1616" t="s">
        <v>3531</v>
      </c>
      <c r="II93" s="1615" t="s">
        <v>2182</v>
      </c>
      <c r="IJ93" s="1613">
        <v>0.6852303474518755</v>
      </c>
      <c r="IK93" s="1613">
        <v>0.38693201502559249</v>
      </c>
      <c r="IL93" s="1614">
        <v>0.6852303474518755</v>
      </c>
      <c r="IM93" s="1614">
        <v>0.38693201502559249</v>
      </c>
      <c r="IN93" s="1612">
        <v>0.3</v>
      </c>
      <c r="IO93" s="1613">
        <v>-0.38523034745187551</v>
      </c>
      <c r="IP93" s="1607">
        <v>3.5120730929904509</v>
      </c>
      <c r="IQ93" s="1612">
        <v>2</v>
      </c>
      <c r="IR93" s="1612" t="s">
        <v>270</v>
      </c>
      <c r="IS93" s="1607">
        <v>0.6812303474518755</v>
      </c>
      <c r="IT93" s="1607">
        <v>0.38293201502559249</v>
      </c>
      <c r="IU93" s="1611">
        <v>6.4212832763512389E-6</v>
      </c>
      <c r="IV93" s="1611">
        <v>7.2637878281992616E-3</v>
      </c>
      <c r="IW93" s="1611">
        <v>5.1973423616059737E-4</v>
      </c>
      <c r="IX93" s="1611">
        <v>7.795552704729507E-4</v>
      </c>
      <c r="IY93" s="1611">
        <v>5.2379482749068866E-4</v>
      </c>
      <c r="IZ93" s="1611">
        <v>5.3226741119841298E-3</v>
      </c>
      <c r="JA93" s="1611">
        <v>4.0646617571263164E-4</v>
      </c>
      <c r="JB93" s="1611">
        <v>2.4597491724995821E-3</v>
      </c>
      <c r="JC93" s="1611">
        <v>4.1485506023302605</v>
      </c>
      <c r="JD93" s="1611">
        <v>4.8360685599693011E-2</v>
      </c>
      <c r="JE93" s="1611">
        <v>4.8631776200671627E-2</v>
      </c>
      <c r="JF93" s="1611">
        <v>4.5129867489544128E-4</v>
      </c>
      <c r="JG93" s="1611">
        <v>2.8578606488805058</v>
      </c>
      <c r="JH93" s="1611">
        <v>1.1071423674775091E-3</v>
      </c>
      <c r="JI93" s="1611">
        <v>5.1236023101416006E-2</v>
      </c>
      <c r="JJ93" s="1611">
        <v>1.8296138951246235E-2</v>
      </c>
      <c r="JK93" s="1607">
        <f t="shared" si="10"/>
        <v>4.0000000000000036E-3</v>
      </c>
      <c r="JL93" s="1608" t="s">
        <v>270</v>
      </c>
      <c r="JM93" s="1610" t="s">
        <v>2924</v>
      </c>
      <c r="JN93" s="1608">
        <v>0.29829833242628301</v>
      </c>
      <c r="JO93" s="1609" t="s">
        <v>2923</v>
      </c>
      <c r="JP93" s="1608" t="s">
        <v>270</v>
      </c>
      <c r="JQ93" s="1607">
        <v>201901</v>
      </c>
      <c r="JR93" s="1606">
        <v>36</v>
      </c>
      <c r="JS93" s="1606" t="s">
        <v>270</v>
      </c>
      <c r="JT93" s="1606" t="s">
        <v>270</v>
      </c>
    </row>
    <row r="94" spans="1:280" ht="15" customHeight="1" x14ac:dyDescent="0.2">
      <c r="A94" s="1626">
        <v>65201</v>
      </c>
      <c r="B94" s="1625">
        <v>652</v>
      </c>
      <c r="C94" s="1624">
        <v>1</v>
      </c>
      <c r="D94" s="1623" t="s">
        <v>3545</v>
      </c>
      <c r="E94" s="1622">
        <v>43370</v>
      </c>
      <c r="F94" s="1620">
        <v>0.93274996634115104</v>
      </c>
      <c r="G94" s="1620">
        <v>0.95111828897959305</v>
      </c>
      <c r="H94" s="1621">
        <v>83.2</v>
      </c>
      <c r="I94" s="1621">
        <v>74.500025600000001</v>
      </c>
      <c r="J94" s="1621">
        <v>82</v>
      </c>
      <c r="K94" s="1620">
        <v>1</v>
      </c>
      <c r="L94" s="1620">
        <v>88</v>
      </c>
      <c r="M94" s="1620">
        <v>26.84</v>
      </c>
      <c r="N94" s="1620">
        <v>1.8480000000000001</v>
      </c>
      <c r="O94" s="1620">
        <v>3.52</v>
      </c>
      <c r="P94" s="1620">
        <v>8.4480000000000004</v>
      </c>
      <c r="Q94" s="1603"/>
      <c r="R94" s="1620">
        <v>80</v>
      </c>
      <c r="S94" s="1620">
        <v>37</v>
      </c>
      <c r="T94" s="1620">
        <v>41.065040650406502</v>
      </c>
      <c r="U94" s="1620">
        <v>42.691056910569102</v>
      </c>
      <c r="V94" s="1620">
        <v>44.154471544715399</v>
      </c>
      <c r="W94" s="1620">
        <v>45.130081300813004</v>
      </c>
      <c r="X94" s="1620"/>
      <c r="Y94" s="1620">
        <v>1.68</v>
      </c>
      <c r="Z94" s="1620">
        <v>6.1799999999999988</v>
      </c>
      <c r="AA94" s="1620">
        <v>0.19999999999999998</v>
      </c>
      <c r="AB94" s="1620">
        <v>0.34090909090909088</v>
      </c>
      <c r="AC94" s="1620">
        <v>12.799999999999999</v>
      </c>
      <c r="AD94" s="1620">
        <v>1.4000000000000001</v>
      </c>
      <c r="AE94" s="1620">
        <v>2.1999999999999997</v>
      </c>
      <c r="AF94" s="1620">
        <v>78</v>
      </c>
      <c r="AG94" s="1620">
        <v>13.899999999999999</v>
      </c>
      <c r="AH94" s="1620">
        <v>18.299999999999997</v>
      </c>
      <c r="AI94" s="1620">
        <v>51.800000000000004</v>
      </c>
      <c r="AJ94" s="1620">
        <v>0</v>
      </c>
      <c r="AK94" s="1620">
        <v>1.9999999999999886E-2</v>
      </c>
      <c r="AL94" s="1620"/>
      <c r="AM94" s="1620">
        <v>6.2622950819672099</v>
      </c>
      <c r="AN94" s="1620">
        <v>0.72131147540983598</v>
      </c>
      <c r="AO94" s="1620">
        <v>1.1803278688524601</v>
      </c>
      <c r="AP94" s="1620">
        <v>3.46229508196721</v>
      </c>
      <c r="AQ94" s="1620">
        <v>0.82950819672131104</v>
      </c>
      <c r="AR94" s="1620">
        <v>3.8262295081967199</v>
      </c>
      <c r="AS94" s="1620">
        <v>7.0950819672131198</v>
      </c>
      <c r="AT94" s="1620">
        <v>2.58688524590164</v>
      </c>
      <c r="AU94" s="1620">
        <v>4.1573770491803304</v>
      </c>
      <c r="AV94" s="1620">
        <v>3.58688524590164</v>
      </c>
      <c r="AW94" s="1620">
        <v>4.2819672131147497</v>
      </c>
      <c r="AX94" s="1620"/>
      <c r="AY94" s="1620">
        <v>1.04</v>
      </c>
      <c r="AZ94" s="1620">
        <v>0.94</v>
      </c>
      <c r="BA94" s="1620">
        <v>0.94</v>
      </c>
      <c r="BB94" s="1620">
        <v>0.98</v>
      </c>
      <c r="BC94" s="1620">
        <v>0.93</v>
      </c>
      <c r="BD94" s="1620">
        <v>0.99</v>
      </c>
      <c r="BE94" s="1620">
        <v>1.03</v>
      </c>
      <c r="BF94" s="1620">
        <v>1.05</v>
      </c>
      <c r="BG94" s="1620">
        <v>1</v>
      </c>
      <c r="BH94" s="1620">
        <v>0.96</v>
      </c>
      <c r="BI94" s="1620">
        <v>0.98</v>
      </c>
      <c r="BJ94" s="1603"/>
      <c r="BK94" s="1620">
        <v>30.5</v>
      </c>
      <c r="BL94" s="1620">
        <v>2.1</v>
      </c>
      <c r="BM94" s="1620">
        <v>4</v>
      </c>
      <c r="BN94" s="1620">
        <v>9.6000000000000014</v>
      </c>
      <c r="BO94" s="1620"/>
      <c r="BP94" s="1620">
        <v>130</v>
      </c>
      <c r="BQ94" s="1620">
        <v>27.3</v>
      </c>
      <c r="BR94" s="1620">
        <v>1.0599431435694897</v>
      </c>
      <c r="BS94" s="1620">
        <v>1.0808162374768102</v>
      </c>
      <c r="BT94" s="1603"/>
      <c r="BU94" s="1620">
        <v>960</v>
      </c>
      <c r="BV94" s="1620">
        <v>381.48571428571364</v>
      </c>
      <c r="BW94" s="1620">
        <v>119.31393462857045</v>
      </c>
      <c r="BX94" s="1620">
        <v>375</v>
      </c>
      <c r="BY94" s="1620">
        <v>32</v>
      </c>
      <c r="BZ94" s="1620">
        <v>54.015428571428629</v>
      </c>
      <c r="CA94" s="1620">
        <v>171.0488571428568</v>
      </c>
      <c r="CB94" s="1603"/>
      <c r="CC94" s="1603">
        <v>1.4783999999999999</v>
      </c>
      <c r="CD94" s="1603">
        <v>5.4383999999999988</v>
      </c>
      <c r="CE94" s="1603">
        <v>0.17599999999999999</v>
      </c>
      <c r="CF94" s="1603">
        <v>0.3</v>
      </c>
      <c r="CG94" s="1603">
        <v>11.263999999999999</v>
      </c>
      <c r="CH94" s="1603">
        <v>1.2320000000000002</v>
      </c>
      <c r="CI94" s="1603">
        <v>1.9359999999999997</v>
      </c>
      <c r="CJ94" s="1603"/>
      <c r="CK94" s="1603">
        <v>68.64</v>
      </c>
      <c r="CL94" s="1603">
        <v>12.231999999999999</v>
      </c>
      <c r="CM94" s="1603">
        <v>16.103999999999999</v>
      </c>
      <c r="CN94" s="1603">
        <v>45.584000000000003</v>
      </c>
      <c r="CO94" s="1603">
        <v>0</v>
      </c>
      <c r="CP94" s="1603">
        <v>1.75999999999999E-2</v>
      </c>
      <c r="CQ94" s="1603">
        <v>214.72</v>
      </c>
      <c r="CR94" s="1603">
        <v>230.20102680064497</v>
      </c>
      <c r="CS94" s="1603">
        <v>14.992502283173808</v>
      </c>
      <c r="CT94" s="1603">
        <v>1.5608384374548649</v>
      </c>
      <c r="CU94" s="1603">
        <v>2.554099261289779</v>
      </c>
      <c r="CV94" s="1603">
        <v>4.1149376987446544</v>
      </c>
      <c r="CW94" s="1603">
        <v>7.8108340529656326</v>
      </c>
      <c r="CX94" s="1603">
        <v>1.7758688392106148</v>
      </c>
      <c r="CY94" s="1603">
        <v>8.7199394194619284</v>
      </c>
      <c r="CZ94" s="1603">
        <v>16.82294008709815</v>
      </c>
      <c r="DA94" s="1603">
        <v>6.2527882181309717</v>
      </c>
      <c r="DB94" s="1603">
        <v>9.5703246551874592</v>
      </c>
      <c r="DC94" s="1603">
        <v>7.9267647995773567</v>
      </c>
      <c r="DD94" s="1603">
        <v>17.497089454764826</v>
      </c>
      <c r="DE94" s="1603">
        <v>9.6599898420199928</v>
      </c>
      <c r="DF94" s="1603">
        <v>0</v>
      </c>
      <c r="DG94" s="1603">
        <v>0</v>
      </c>
      <c r="DH94" s="1603">
        <v>0</v>
      </c>
      <c r="DI94" s="1603">
        <v>0</v>
      </c>
      <c r="DJ94" s="1603">
        <v>0</v>
      </c>
      <c r="DK94" s="1603">
        <v>0</v>
      </c>
      <c r="DL94" s="1603">
        <v>0</v>
      </c>
      <c r="DM94" s="1603">
        <v>0</v>
      </c>
      <c r="DN94" s="1603">
        <v>0</v>
      </c>
      <c r="DO94" s="1603">
        <v>0</v>
      </c>
      <c r="DP94" s="1603">
        <v>0</v>
      </c>
      <c r="DQ94" s="1603">
        <v>0</v>
      </c>
      <c r="DR94" s="1603">
        <v>0</v>
      </c>
      <c r="DS94" s="1603">
        <v>0</v>
      </c>
      <c r="DT94" s="1603">
        <v>0</v>
      </c>
      <c r="DU94" s="1603">
        <v>0</v>
      </c>
      <c r="DV94" s="1603">
        <v>0</v>
      </c>
      <c r="DW94" s="1618" t="s">
        <v>3536</v>
      </c>
      <c r="DX94" s="1605">
        <v>9</v>
      </c>
      <c r="DY94" s="1605">
        <v>9</v>
      </c>
      <c r="DZ94" s="1605">
        <v>9</v>
      </c>
      <c r="EA94" s="1605">
        <v>9</v>
      </c>
      <c r="EB94" s="1605">
        <v>4</v>
      </c>
      <c r="EC94" s="1605">
        <v>9</v>
      </c>
      <c r="ED94" s="1605">
        <v>9</v>
      </c>
      <c r="EE94" s="1605">
        <v>9</v>
      </c>
      <c r="EF94" s="1605">
        <v>9</v>
      </c>
      <c r="EG94" s="1605">
        <v>9</v>
      </c>
      <c r="EH94" s="1605">
        <v>9</v>
      </c>
      <c r="EI94" s="1605">
        <v>9</v>
      </c>
      <c r="EJ94" s="1605">
        <v>9</v>
      </c>
      <c r="EK94" s="1605">
        <v>9</v>
      </c>
      <c r="EL94" s="1605">
        <v>9</v>
      </c>
      <c r="EM94" s="1605">
        <v>9</v>
      </c>
      <c r="EN94" s="1605">
        <v>9</v>
      </c>
      <c r="EO94" s="1605">
        <v>9</v>
      </c>
      <c r="EP94" s="1605">
        <v>9</v>
      </c>
      <c r="EQ94" s="1605">
        <v>9</v>
      </c>
      <c r="ER94" s="1605">
        <v>9</v>
      </c>
      <c r="ES94" s="1605">
        <v>9</v>
      </c>
      <c r="ET94" s="1605">
        <v>9</v>
      </c>
      <c r="EU94" s="1605">
        <v>9</v>
      </c>
      <c r="EV94" s="1605" t="s">
        <v>986</v>
      </c>
      <c r="EW94" s="1605">
        <v>9</v>
      </c>
      <c r="EX94" s="1605">
        <v>9</v>
      </c>
      <c r="EY94" s="1605" t="s">
        <v>986</v>
      </c>
      <c r="EZ94" s="1605">
        <v>9</v>
      </c>
      <c r="FA94" s="1605">
        <v>9</v>
      </c>
      <c r="FB94" s="1605">
        <v>9</v>
      </c>
      <c r="FC94" s="1605">
        <v>9</v>
      </c>
      <c r="FD94" s="1605" t="s">
        <v>986</v>
      </c>
      <c r="FE94" s="1605" t="s">
        <v>986</v>
      </c>
      <c r="FF94" s="1605">
        <v>1.4</v>
      </c>
      <c r="FG94" s="1605">
        <v>1.51</v>
      </c>
      <c r="FH94" s="1605">
        <v>0.05</v>
      </c>
      <c r="FI94" s="1605">
        <v>0.51</v>
      </c>
      <c r="FJ94" s="1605">
        <v>2</v>
      </c>
      <c r="FK94" s="1605">
        <v>1.84</v>
      </c>
      <c r="FL94" s="1605">
        <v>1.99</v>
      </c>
      <c r="FM94" s="1605" t="s">
        <v>986</v>
      </c>
      <c r="FN94" s="1605">
        <v>2.98</v>
      </c>
      <c r="FO94" s="1605">
        <v>2.36</v>
      </c>
      <c r="FP94" s="1605">
        <v>1.35</v>
      </c>
      <c r="FQ94" s="1605">
        <v>0.15</v>
      </c>
      <c r="FR94" s="1605">
        <v>0.24</v>
      </c>
      <c r="FS94" s="1605">
        <v>0.7</v>
      </c>
      <c r="FT94" s="1605">
        <v>0.21</v>
      </c>
      <c r="FU94" s="1605">
        <v>0.77</v>
      </c>
      <c r="FV94" s="1605">
        <v>1.37</v>
      </c>
      <c r="FW94" s="1605">
        <v>0.46</v>
      </c>
      <c r="FX94" s="1605">
        <v>0.66</v>
      </c>
      <c r="FY94" s="1605">
        <v>0.38</v>
      </c>
      <c r="FZ94" s="1605">
        <v>0.8</v>
      </c>
      <c r="GA94" s="1605" t="s">
        <v>986</v>
      </c>
      <c r="GB94" s="1605">
        <v>0.71</v>
      </c>
      <c r="GC94" s="1605" t="s">
        <v>986</v>
      </c>
      <c r="GD94" s="1605" t="s">
        <v>986</v>
      </c>
      <c r="GE94" s="1605">
        <v>0.53</v>
      </c>
      <c r="GF94" s="1605">
        <v>0.17</v>
      </c>
      <c r="GG94" s="1605">
        <v>0.25</v>
      </c>
      <c r="GH94" s="1605">
        <v>11</v>
      </c>
      <c r="GI94" s="1605">
        <v>1.01</v>
      </c>
      <c r="GJ94" s="1605">
        <v>1.76</v>
      </c>
      <c r="GK94" s="1605">
        <v>7.07</v>
      </c>
      <c r="GL94" s="1605" t="s">
        <v>986</v>
      </c>
      <c r="GM94" s="1605" t="s">
        <v>986</v>
      </c>
      <c r="GN94" s="1605" t="s">
        <v>1584</v>
      </c>
      <c r="GO94" s="1605" t="s">
        <v>1584</v>
      </c>
      <c r="GP94" s="1605" t="s">
        <v>1584</v>
      </c>
      <c r="GQ94" s="1605" t="s">
        <v>1584</v>
      </c>
      <c r="GR94" s="1605" t="s">
        <v>1591</v>
      </c>
      <c r="GS94" s="1605" t="s">
        <v>1584</v>
      </c>
      <c r="GT94" s="1605" t="s">
        <v>1584</v>
      </c>
      <c r="GU94" s="1605" t="s">
        <v>1584</v>
      </c>
      <c r="GV94" s="1605" t="s">
        <v>1584</v>
      </c>
      <c r="GW94" s="1605" t="s">
        <v>1584</v>
      </c>
      <c r="GX94" s="1605" t="s">
        <v>1584</v>
      </c>
      <c r="GY94" s="1605" t="s">
        <v>1584</v>
      </c>
      <c r="GZ94" s="1605" t="s">
        <v>1584</v>
      </c>
      <c r="HA94" s="1605" t="s">
        <v>1584</v>
      </c>
      <c r="HB94" s="1605" t="s">
        <v>1584</v>
      </c>
      <c r="HC94" s="1605" t="s">
        <v>1584</v>
      </c>
      <c r="HD94" s="1605" t="s">
        <v>1584</v>
      </c>
      <c r="HE94" s="1605" t="s">
        <v>1584</v>
      </c>
      <c r="HF94" s="1605" t="s">
        <v>1584</v>
      </c>
      <c r="HG94" s="1605" t="s">
        <v>1584</v>
      </c>
      <c r="HH94" s="1605" t="s">
        <v>1584</v>
      </c>
      <c r="HI94" s="1605" t="s">
        <v>1584</v>
      </c>
      <c r="HJ94" s="1605" t="s">
        <v>1584</v>
      </c>
      <c r="HK94" s="1605" t="s">
        <v>986</v>
      </c>
      <c r="HL94" s="1605" t="s">
        <v>986</v>
      </c>
      <c r="HM94" s="1605" t="s">
        <v>1584</v>
      </c>
      <c r="HN94" s="1605" t="s">
        <v>1584</v>
      </c>
      <c r="HO94" s="1605" t="s">
        <v>1591</v>
      </c>
      <c r="HP94" s="1605" t="s">
        <v>1584</v>
      </c>
      <c r="HQ94" s="1605" t="s">
        <v>1584</v>
      </c>
      <c r="HR94" s="1605" t="s">
        <v>1584</v>
      </c>
      <c r="HS94" s="1605" t="s">
        <v>1584</v>
      </c>
      <c r="HT94" s="1605" t="s">
        <v>986</v>
      </c>
      <c r="HU94" s="1605" t="s">
        <v>986</v>
      </c>
      <c r="HV94" s="1617"/>
      <c r="HW94" s="1617" t="s">
        <v>3540</v>
      </c>
      <c r="HX94" s="1617" t="s">
        <v>3534</v>
      </c>
      <c r="HY94" s="1617" t="s">
        <v>3533</v>
      </c>
      <c r="HZ94" s="1603"/>
      <c r="IA94" s="1603"/>
      <c r="IB94" s="1603"/>
      <c r="IC94" s="1603">
        <v>45.861788617886198</v>
      </c>
      <c r="ID94" s="1603">
        <v>46.349593495934997</v>
      </c>
      <c r="IE94" s="1603">
        <v>46.756097560975597</v>
      </c>
      <c r="IF94" s="1603">
        <v>47</v>
      </c>
      <c r="IG94" s="1611" t="s">
        <v>3532</v>
      </c>
      <c r="IH94" s="1616" t="s">
        <v>3531</v>
      </c>
      <c r="II94" s="1615" t="s">
        <v>2182</v>
      </c>
      <c r="IJ94" s="1613">
        <v>0.6852303474518755</v>
      </c>
      <c r="IK94" s="1613">
        <v>0.38693201502559249</v>
      </c>
      <c r="IL94" s="1614">
        <v>0.6852303474518755</v>
      </c>
      <c r="IM94" s="1614">
        <v>0.38693201502559249</v>
      </c>
      <c r="IN94" s="1612">
        <v>0.3</v>
      </c>
      <c r="IO94" s="1613">
        <v>-0.38523034745187551</v>
      </c>
      <c r="IP94" s="1607">
        <v>3.5120730929904509</v>
      </c>
      <c r="IQ94" s="1612">
        <v>2</v>
      </c>
      <c r="IR94" s="1612" t="s">
        <v>270</v>
      </c>
      <c r="IS94" s="1607">
        <v>0.6812303474518755</v>
      </c>
      <c r="IT94" s="1607">
        <v>0.38293201502559249</v>
      </c>
      <c r="IU94" s="1611">
        <v>6.4212832763512389E-6</v>
      </c>
      <c r="IV94" s="1611">
        <v>7.2637878281992616E-3</v>
      </c>
      <c r="IW94" s="1611">
        <v>5.1973423616059737E-4</v>
      </c>
      <c r="IX94" s="1611">
        <v>7.795552704729507E-4</v>
      </c>
      <c r="IY94" s="1611">
        <v>5.2379482749068866E-4</v>
      </c>
      <c r="IZ94" s="1611">
        <v>5.3226741119841298E-3</v>
      </c>
      <c r="JA94" s="1611">
        <v>4.0646617571263164E-4</v>
      </c>
      <c r="JB94" s="1611">
        <v>2.4597491724995821E-3</v>
      </c>
      <c r="JC94" s="1611">
        <v>4.1485506023302605</v>
      </c>
      <c r="JD94" s="1611">
        <v>4.8360685599693011E-2</v>
      </c>
      <c r="JE94" s="1611">
        <v>4.8631776200671627E-2</v>
      </c>
      <c r="JF94" s="1611">
        <v>4.5129867489544128E-4</v>
      </c>
      <c r="JG94" s="1611">
        <v>2.8578606488805058</v>
      </c>
      <c r="JH94" s="1611">
        <v>1.1071423674775091E-3</v>
      </c>
      <c r="JI94" s="1611">
        <v>5.1236023101416006E-2</v>
      </c>
      <c r="JJ94" s="1611">
        <v>1.8296138951246235E-2</v>
      </c>
      <c r="JK94" s="1607">
        <f t="shared" si="10"/>
        <v>4.0000000000000036E-3</v>
      </c>
      <c r="JL94" s="1608" t="s">
        <v>270</v>
      </c>
      <c r="JM94" s="1610" t="s">
        <v>2924</v>
      </c>
      <c r="JN94" s="1608">
        <v>0.29829833242628301</v>
      </c>
      <c r="JO94" s="1609" t="s">
        <v>2923</v>
      </c>
      <c r="JP94" s="1608" t="s">
        <v>270</v>
      </c>
      <c r="JQ94" s="1607">
        <v>201901</v>
      </c>
      <c r="JR94" s="1606">
        <v>36</v>
      </c>
      <c r="JS94" s="1606" t="s">
        <v>270</v>
      </c>
      <c r="JT94" s="1606" t="s">
        <v>270</v>
      </c>
    </row>
    <row r="95" spans="1:280" ht="15" customHeight="1" x14ac:dyDescent="0.2">
      <c r="A95" s="1626">
        <v>65202</v>
      </c>
      <c r="B95" s="1625">
        <v>652</v>
      </c>
      <c r="C95" s="1624">
        <v>2</v>
      </c>
      <c r="D95" s="1623" t="s">
        <v>3544</v>
      </c>
      <c r="E95" s="1622">
        <v>43370</v>
      </c>
      <c r="F95" s="1620">
        <v>0.82447780877029797</v>
      </c>
      <c r="G95" s="1620">
        <v>0.86176624914285704</v>
      </c>
      <c r="H95" s="1621">
        <v>77.099999999999994</v>
      </c>
      <c r="I95" s="1621">
        <v>67.399971899999997</v>
      </c>
      <c r="J95" s="1621">
        <v>82</v>
      </c>
      <c r="K95" s="1620">
        <v>1</v>
      </c>
      <c r="L95" s="1620">
        <v>88</v>
      </c>
      <c r="M95" s="1620">
        <v>24.376000000000001</v>
      </c>
      <c r="N95" s="1620">
        <v>1.5840000000000001</v>
      </c>
      <c r="O95" s="1620">
        <v>2.992</v>
      </c>
      <c r="P95" s="1620">
        <v>8.4480000000000004</v>
      </c>
      <c r="Q95" s="1603"/>
      <c r="R95" s="1620">
        <v>80</v>
      </c>
      <c r="S95" s="1620">
        <v>37</v>
      </c>
      <c r="T95" s="1620">
        <v>41.065040650406502</v>
      </c>
      <c r="U95" s="1620">
        <v>42.691056910569102</v>
      </c>
      <c r="V95" s="1620">
        <v>44.154471544715399</v>
      </c>
      <c r="W95" s="1620">
        <v>45.130081300813004</v>
      </c>
      <c r="X95" s="1620"/>
      <c r="Y95" s="1620">
        <v>1.4500000000000002</v>
      </c>
      <c r="Z95" s="1620">
        <v>4.58</v>
      </c>
      <c r="AA95" s="1620">
        <v>0.22</v>
      </c>
      <c r="AB95" s="1620">
        <v>0.34090909090909088</v>
      </c>
      <c r="AC95" s="1620">
        <v>12.75</v>
      </c>
      <c r="AD95" s="1620">
        <v>1.38</v>
      </c>
      <c r="AE95" s="1620">
        <v>2.1999999999999997</v>
      </c>
      <c r="AF95" s="1620">
        <v>74.55</v>
      </c>
      <c r="AG95" s="1620">
        <v>13.95</v>
      </c>
      <c r="AH95" s="1620">
        <v>18.729999999999997</v>
      </c>
      <c r="AI95" s="1620">
        <v>51.93</v>
      </c>
      <c r="AJ95" s="1620">
        <v>0</v>
      </c>
      <c r="AK95" s="1620">
        <v>1.9999999999999886E-2</v>
      </c>
      <c r="AL95" s="1620"/>
      <c r="AM95" s="1620">
        <v>6.3501805054151603</v>
      </c>
      <c r="AN95" s="1620">
        <v>0.76173285198555996</v>
      </c>
      <c r="AO95" s="1620">
        <v>1.27797833935018</v>
      </c>
      <c r="AP95" s="1620">
        <v>3.55595667870036</v>
      </c>
      <c r="AQ95" s="1620">
        <v>0.89530685920577602</v>
      </c>
      <c r="AR95" s="1620">
        <v>3.9638989169675098</v>
      </c>
      <c r="AS95" s="1620">
        <v>7.3212996389891698</v>
      </c>
      <c r="AT95" s="1620">
        <v>2.6064981949458499</v>
      </c>
      <c r="AU95" s="1620">
        <v>4.1913357400721996</v>
      </c>
      <c r="AV95" s="1620">
        <v>3.5090252707581202</v>
      </c>
      <c r="AW95" s="1620">
        <v>4.3971119133574001</v>
      </c>
      <c r="AX95" s="1620"/>
      <c r="AY95" s="1620">
        <v>1.04</v>
      </c>
      <c r="AZ95" s="1620">
        <v>0.94</v>
      </c>
      <c r="BA95" s="1620">
        <v>0.94</v>
      </c>
      <c r="BB95" s="1620">
        <v>0.98</v>
      </c>
      <c r="BC95" s="1620">
        <v>0.93</v>
      </c>
      <c r="BD95" s="1620">
        <v>0.99</v>
      </c>
      <c r="BE95" s="1620">
        <v>1.03</v>
      </c>
      <c r="BF95" s="1620">
        <v>1.05</v>
      </c>
      <c r="BG95" s="1620">
        <v>1</v>
      </c>
      <c r="BH95" s="1620">
        <v>0.96</v>
      </c>
      <c r="BI95" s="1620">
        <v>0.98</v>
      </c>
      <c r="BJ95" s="1603"/>
      <c r="BK95" s="1620">
        <v>27.7</v>
      </c>
      <c r="BL95" s="1620">
        <v>1.8</v>
      </c>
      <c r="BM95" s="1620">
        <v>3.4</v>
      </c>
      <c r="BN95" s="1620">
        <v>9.6000000000000014</v>
      </c>
      <c r="BO95" s="1620"/>
      <c r="BP95" s="1620">
        <v>130</v>
      </c>
      <c r="BQ95" s="1620">
        <v>23.4</v>
      </c>
      <c r="BR95" s="1620">
        <v>0.93690660087533861</v>
      </c>
      <c r="BS95" s="1620">
        <v>0.97927982857142848</v>
      </c>
      <c r="BT95" s="1603"/>
      <c r="BU95" s="1620">
        <v>966</v>
      </c>
      <c r="BV95" s="1620">
        <v>341.39599999999996</v>
      </c>
      <c r="BW95" s="1620">
        <v>133.86038778</v>
      </c>
      <c r="BX95" s="1620">
        <v>375</v>
      </c>
      <c r="BY95" s="1620">
        <v>32</v>
      </c>
      <c r="BZ95" s="1620">
        <v>73.121759999999995</v>
      </c>
      <c r="CA95" s="1620">
        <v>231.55223999999998</v>
      </c>
      <c r="CB95" s="1603"/>
      <c r="CC95" s="1603">
        <v>1.2760000000000002</v>
      </c>
      <c r="CD95" s="1603">
        <v>4.0304000000000002</v>
      </c>
      <c r="CE95" s="1603">
        <v>0.19359999999999999</v>
      </c>
      <c r="CF95" s="1603">
        <v>0.3</v>
      </c>
      <c r="CG95" s="1603">
        <v>11.22</v>
      </c>
      <c r="CH95" s="1603">
        <v>1.2143999999999999</v>
      </c>
      <c r="CI95" s="1603">
        <v>1.9359999999999997</v>
      </c>
      <c r="CJ95" s="1603"/>
      <c r="CK95" s="1603">
        <v>65.603999999999999</v>
      </c>
      <c r="CL95" s="1603">
        <v>12.276</v>
      </c>
      <c r="CM95" s="1603">
        <v>16.482399999999998</v>
      </c>
      <c r="CN95" s="1603">
        <v>45.698399999999999</v>
      </c>
      <c r="CO95" s="1603">
        <v>0</v>
      </c>
      <c r="CP95" s="1603">
        <v>1.75999999999999E-2</v>
      </c>
      <c r="CQ95" s="1603">
        <v>195.00800000000001</v>
      </c>
      <c r="CR95" s="1603">
        <v>236.52304273762428</v>
      </c>
      <c r="CS95" s="1603">
        <v>15.620425756768967</v>
      </c>
      <c r="CT95" s="1603">
        <v>1.6935732959054295</v>
      </c>
      <c r="CU95" s="1603">
        <v>2.8413504585332801</v>
      </c>
      <c r="CV95" s="1603">
        <v>4.5349237544387213</v>
      </c>
      <c r="CW95" s="1603">
        <v>8.2424437961959711</v>
      </c>
      <c r="CX95" s="1603">
        <v>1.9693745334659085</v>
      </c>
      <c r="CY95" s="1603">
        <v>9.2817789861607469</v>
      </c>
      <c r="CZ95" s="1603">
        <v>17.83605749429816</v>
      </c>
      <c r="DA95" s="1603">
        <v>6.4732172815665203</v>
      </c>
      <c r="DB95" s="1603">
        <v>9.9134748237682953</v>
      </c>
      <c r="DC95" s="1603">
        <v>7.9676672071960999</v>
      </c>
      <c r="DD95" s="1603">
        <v>17.881142030964394</v>
      </c>
      <c r="DE95" s="1603">
        <v>10.192179232250464</v>
      </c>
      <c r="DF95" s="1603">
        <v>0</v>
      </c>
      <c r="DG95" s="1603">
        <v>0</v>
      </c>
      <c r="DH95" s="1603">
        <v>0</v>
      </c>
      <c r="DI95" s="1603">
        <v>0</v>
      </c>
      <c r="DJ95" s="1603">
        <v>0</v>
      </c>
      <c r="DK95" s="1603">
        <v>0</v>
      </c>
      <c r="DL95" s="1603">
        <v>0</v>
      </c>
      <c r="DM95" s="1603">
        <v>0</v>
      </c>
      <c r="DN95" s="1603">
        <v>0</v>
      </c>
      <c r="DO95" s="1603">
        <v>0</v>
      </c>
      <c r="DP95" s="1603">
        <v>0</v>
      </c>
      <c r="DQ95" s="1603">
        <v>0</v>
      </c>
      <c r="DR95" s="1603">
        <v>0</v>
      </c>
      <c r="DS95" s="1603">
        <v>0</v>
      </c>
      <c r="DT95" s="1603">
        <v>0</v>
      </c>
      <c r="DU95" s="1603">
        <v>0</v>
      </c>
      <c r="DV95" s="1603">
        <v>0</v>
      </c>
      <c r="DW95" s="1618" t="s">
        <v>3536</v>
      </c>
      <c r="DX95" s="1605">
        <v>15</v>
      </c>
      <c r="DY95" s="1605">
        <v>15</v>
      </c>
      <c r="DZ95" s="1605">
        <v>15</v>
      </c>
      <c r="EA95" s="1605">
        <v>15</v>
      </c>
      <c r="EB95" s="1605">
        <v>4</v>
      </c>
      <c r="EC95" s="1605">
        <v>15</v>
      </c>
      <c r="ED95" s="1605">
        <v>15</v>
      </c>
      <c r="EE95" s="1605">
        <v>15</v>
      </c>
      <c r="EF95" s="1605">
        <v>15</v>
      </c>
      <c r="EG95" s="1605">
        <v>15</v>
      </c>
      <c r="EH95" s="1605">
        <v>15</v>
      </c>
      <c r="EI95" s="1605">
        <v>15</v>
      </c>
      <c r="EJ95" s="1605">
        <v>15</v>
      </c>
      <c r="EK95" s="1605">
        <v>15</v>
      </c>
      <c r="EL95" s="1605">
        <v>5</v>
      </c>
      <c r="EM95" s="1605">
        <v>5</v>
      </c>
      <c r="EN95" s="1605">
        <v>5</v>
      </c>
      <c r="EO95" s="1605">
        <v>5</v>
      </c>
      <c r="EP95" s="1605">
        <v>5</v>
      </c>
      <c r="EQ95" s="1605">
        <v>5</v>
      </c>
      <c r="ER95" s="1605">
        <v>5</v>
      </c>
      <c r="ES95" s="1605">
        <v>13</v>
      </c>
      <c r="ET95" s="1605">
        <v>13</v>
      </c>
      <c r="EU95" s="1605">
        <v>12</v>
      </c>
      <c r="EV95" s="1605" t="s">
        <v>986</v>
      </c>
      <c r="EW95" s="1605">
        <v>12</v>
      </c>
      <c r="EX95" s="1605">
        <v>12</v>
      </c>
      <c r="EY95" s="1605" t="s">
        <v>986</v>
      </c>
      <c r="EZ95" s="1605">
        <v>12</v>
      </c>
      <c r="FA95" s="1605">
        <v>12</v>
      </c>
      <c r="FB95" s="1605">
        <v>12</v>
      </c>
      <c r="FC95" s="1605">
        <v>12</v>
      </c>
      <c r="FD95" s="1605" t="s">
        <v>986</v>
      </c>
      <c r="FE95" s="1605" t="s">
        <v>986</v>
      </c>
      <c r="FF95" s="1605">
        <v>1.4</v>
      </c>
      <c r="FG95" s="1605">
        <v>1.1000000000000001</v>
      </c>
      <c r="FH95" s="1605">
        <v>0.6</v>
      </c>
      <c r="FI95" s="1605">
        <v>0.1</v>
      </c>
      <c r="FJ95" s="1605">
        <v>2</v>
      </c>
      <c r="FK95" s="1605">
        <v>3.5</v>
      </c>
      <c r="FL95" s="1605">
        <v>6</v>
      </c>
      <c r="FM95" s="1605" t="s">
        <v>986</v>
      </c>
      <c r="FN95" s="1605">
        <v>9.5</v>
      </c>
      <c r="FO95" s="1605">
        <v>7.5</v>
      </c>
      <c r="FP95" s="1605">
        <v>0.56999999999999995</v>
      </c>
      <c r="FQ95" s="1605">
        <v>0.06</v>
      </c>
      <c r="FR95" s="1605">
        <v>0.1</v>
      </c>
      <c r="FS95" s="1605">
        <v>0.34</v>
      </c>
      <c r="FT95" s="1605">
        <v>0.03</v>
      </c>
      <c r="FU95" s="1605">
        <v>0.23</v>
      </c>
      <c r="FV95" s="1605">
        <v>0.3</v>
      </c>
      <c r="FW95" s="1605">
        <v>0.1</v>
      </c>
      <c r="FX95" s="1605">
        <v>0.12</v>
      </c>
      <c r="FY95" s="1605">
        <v>0.14000000000000001</v>
      </c>
      <c r="FZ95" s="1605">
        <v>0.28999999999999998</v>
      </c>
      <c r="GA95" s="1605" t="s">
        <v>986</v>
      </c>
      <c r="GB95" s="1605">
        <v>0.34</v>
      </c>
      <c r="GC95" s="1605" t="s">
        <v>986</v>
      </c>
      <c r="GD95" s="1605" t="s">
        <v>986</v>
      </c>
      <c r="GE95" s="1605">
        <v>0.53</v>
      </c>
      <c r="GF95" s="1605">
        <v>0.17</v>
      </c>
      <c r="GG95" s="1605">
        <v>0.25</v>
      </c>
      <c r="GH95" s="1605">
        <v>11</v>
      </c>
      <c r="GI95" s="1605">
        <v>1.01</v>
      </c>
      <c r="GJ95" s="1605">
        <v>1.76</v>
      </c>
      <c r="GK95" s="1605">
        <v>7.07</v>
      </c>
      <c r="GL95" s="1605" t="s">
        <v>986</v>
      </c>
      <c r="GM95" s="1605" t="s">
        <v>986</v>
      </c>
      <c r="GN95" s="1605" t="s">
        <v>1582</v>
      </c>
      <c r="GO95" s="1605" t="s">
        <v>1582</v>
      </c>
      <c r="GP95" s="1605" t="s">
        <v>1582</v>
      </c>
      <c r="GQ95" s="1605" t="s">
        <v>1582</v>
      </c>
      <c r="GR95" s="1605" t="s">
        <v>1591</v>
      </c>
      <c r="GS95" s="1605" t="s">
        <v>1582</v>
      </c>
      <c r="GT95" s="1605" t="s">
        <v>1582</v>
      </c>
      <c r="GU95" s="1605" t="s">
        <v>1582</v>
      </c>
      <c r="GV95" s="1605" t="s">
        <v>1582</v>
      </c>
      <c r="GW95" s="1605" t="s">
        <v>1582</v>
      </c>
      <c r="GX95" s="1605" t="s">
        <v>1582</v>
      </c>
      <c r="GY95" s="1605" t="s">
        <v>1582</v>
      </c>
      <c r="GZ95" s="1605" t="s">
        <v>1582</v>
      </c>
      <c r="HA95" s="1605" t="s">
        <v>1582</v>
      </c>
      <c r="HB95" s="1605" t="s">
        <v>1582</v>
      </c>
      <c r="HC95" s="1605" t="s">
        <v>1582</v>
      </c>
      <c r="HD95" s="1605" t="s">
        <v>1582</v>
      </c>
      <c r="HE95" s="1605" t="s">
        <v>1582</v>
      </c>
      <c r="HF95" s="1605" t="s">
        <v>1582</v>
      </c>
      <c r="HG95" s="1605" t="s">
        <v>1582</v>
      </c>
      <c r="HH95" s="1605" t="s">
        <v>1582</v>
      </c>
      <c r="HI95" s="1605" t="s">
        <v>1582</v>
      </c>
      <c r="HJ95" s="1605" t="s">
        <v>1582</v>
      </c>
      <c r="HK95" s="1605" t="s">
        <v>986</v>
      </c>
      <c r="HL95" s="1605" t="s">
        <v>986</v>
      </c>
      <c r="HM95" s="1605" t="s">
        <v>3542</v>
      </c>
      <c r="HN95" s="1605" t="s">
        <v>3542</v>
      </c>
      <c r="HO95" s="1605" t="s">
        <v>1591</v>
      </c>
      <c r="HP95" s="1605" t="s">
        <v>3542</v>
      </c>
      <c r="HQ95" s="1605" t="s">
        <v>3542</v>
      </c>
      <c r="HR95" s="1605" t="s">
        <v>3542</v>
      </c>
      <c r="HS95" s="1605" t="s">
        <v>3542</v>
      </c>
      <c r="HT95" s="1605" t="s">
        <v>986</v>
      </c>
      <c r="HU95" s="1605" t="s">
        <v>986</v>
      </c>
      <c r="HV95" s="1617"/>
      <c r="HW95" s="1617" t="s">
        <v>3540</v>
      </c>
      <c r="HX95" s="1617" t="s">
        <v>3534</v>
      </c>
      <c r="HY95" s="1617" t="s">
        <v>3533</v>
      </c>
      <c r="HZ95" s="1603"/>
      <c r="IA95" s="1603"/>
      <c r="IB95" s="1603"/>
      <c r="IC95" s="1603">
        <v>45.861788617886198</v>
      </c>
      <c r="ID95" s="1603">
        <v>46.349593495934997</v>
      </c>
      <c r="IE95" s="1603">
        <v>46.756097560975597</v>
      </c>
      <c r="IF95" s="1603">
        <v>47</v>
      </c>
      <c r="IG95" s="1611" t="s">
        <v>3532</v>
      </c>
      <c r="IH95" s="1616" t="s">
        <v>3531</v>
      </c>
      <c r="II95" s="1615" t="s">
        <v>2182</v>
      </c>
      <c r="IJ95" s="1613">
        <v>0.6852303474518755</v>
      </c>
      <c r="IK95" s="1613">
        <v>0.38693201502559249</v>
      </c>
      <c r="IL95" s="1614">
        <v>0.6852303474518755</v>
      </c>
      <c r="IM95" s="1614">
        <v>0.38693201502559249</v>
      </c>
      <c r="IN95" s="1612">
        <v>0.3</v>
      </c>
      <c r="IO95" s="1613">
        <v>-0.38523034745187551</v>
      </c>
      <c r="IP95" s="1607">
        <v>3.5120730929904509</v>
      </c>
      <c r="IQ95" s="1612">
        <v>2</v>
      </c>
      <c r="IR95" s="1612" t="s">
        <v>270</v>
      </c>
      <c r="IS95" s="1607">
        <v>0.6812303474518755</v>
      </c>
      <c r="IT95" s="1607">
        <v>0.38293201502559249</v>
      </c>
      <c r="IU95" s="1611">
        <v>6.4212832763512389E-6</v>
      </c>
      <c r="IV95" s="1611">
        <v>7.2637878281992616E-3</v>
      </c>
      <c r="IW95" s="1611">
        <v>5.1973423616059737E-4</v>
      </c>
      <c r="IX95" s="1611">
        <v>7.795552704729507E-4</v>
      </c>
      <c r="IY95" s="1611">
        <v>5.2379482749068866E-4</v>
      </c>
      <c r="IZ95" s="1611">
        <v>5.3226741119841298E-3</v>
      </c>
      <c r="JA95" s="1611">
        <v>4.0646617571263164E-4</v>
      </c>
      <c r="JB95" s="1611">
        <v>2.4597491724995821E-3</v>
      </c>
      <c r="JC95" s="1611">
        <v>4.1485506023302605</v>
      </c>
      <c r="JD95" s="1611">
        <v>4.8360685599693011E-2</v>
      </c>
      <c r="JE95" s="1611">
        <v>4.8631776200671627E-2</v>
      </c>
      <c r="JF95" s="1611">
        <v>4.5129867489544128E-4</v>
      </c>
      <c r="JG95" s="1611">
        <v>2.8578606488805058</v>
      </c>
      <c r="JH95" s="1611">
        <v>1.1071423674775091E-3</v>
      </c>
      <c r="JI95" s="1611">
        <v>5.1236023101416006E-2</v>
      </c>
      <c r="JJ95" s="1611">
        <v>1.8296138951246235E-2</v>
      </c>
      <c r="JK95" s="1607">
        <f t="shared" si="10"/>
        <v>4.0000000000000036E-3</v>
      </c>
      <c r="JL95" s="1608" t="s">
        <v>270</v>
      </c>
      <c r="JM95" s="1610" t="s">
        <v>2924</v>
      </c>
      <c r="JN95" s="1608">
        <v>0.29829833242628301</v>
      </c>
      <c r="JO95" s="1609" t="s">
        <v>2923</v>
      </c>
      <c r="JP95" s="1608" t="s">
        <v>270</v>
      </c>
      <c r="JQ95" s="1607">
        <v>201901</v>
      </c>
      <c r="JR95" s="1606">
        <v>36</v>
      </c>
      <c r="JS95" s="1606" t="s">
        <v>270</v>
      </c>
      <c r="JT95" s="1606" t="s">
        <v>270</v>
      </c>
    </row>
    <row r="96" spans="1:280" ht="15" customHeight="1" x14ac:dyDescent="0.2">
      <c r="A96" s="1626">
        <v>65203</v>
      </c>
      <c r="B96" s="1625">
        <v>652</v>
      </c>
      <c r="C96" s="1624">
        <v>3</v>
      </c>
      <c r="D96" s="1623" t="s">
        <v>3543</v>
      </c>
      <c r="E96" s="1622">
        <v>43370</v>
      </c>
      <c r="F96" s="1620">
        <v>0.85861618623337399</v>
      </c>
      <c r="G96" s="1620">
        <v>0.88288575172125705</v>
      </c>
      <c r="H96" s="1621">
        <v>81.400000000000006</v>
      </c>
      <c r="I96" s="1621">
        <v>71.899968799999996</v>
      </c>
      <c r="J96" s="1621">
        <v>82</v>
      </c>
      <c r="K96" s="1620">
        <v>1</v>
      </c>
      <c r="L96" s="1620">
        <v>83.5</v>
      </c>
      <c r="M96" s="1620">
        <v>24.3</v>
      </c>
      <c r="N96" s="1620">
        <v>1.9</v>
      </c>
      <c r="O96" s="1620">
        <v>2.9</v>
      </c>
      <c r="P96" s="1620">
        <v>8.016</v>
      </c>
      <c r="Q96" s="1603"/>
      <c r="R96" s="1620">
        <v>80</v>
      </c>
      <c r="S96" s="1620">
        <v>37</v>
      </c>
      <c r="T96" s="1620">
        <v>41.065040650406502</v>
      </c>
      <c r="U96" s="1620">
        <v>42.691056910569102</v>
      </c>
      <c r="V96" s="1620">
        <v>44.154471544715399</v>
      </c>
      <c r="W96" s="1620">
        <v>45.130081300813004</v>
      </c>
      <c r="X96" s="1620"/>
      <c r="Y96" s="1620">
        <v>1.3532934131736525</v>
      </c>
      <c r="Z96" s="1620">
        <v>4.9580838323353289</v>
      </c>
      <c r="AA96" s="1620">
        <v>0.22</v>
      </c>
      <c r="AB96" s="1620">
        <v>0.3592814371257485</v>
      </c>
      <c r="AC96" s="1620">
        <v>12.75</v>
      </c>
      <c r="AD96" s="1620">
        <v>1.3800000000000001</v>
      </c>
      <c r="AE96" s="1620">
        <v>2.1999999999999997</v>
      </c>
      <c r="AF96" s="1620">
        <v>74.55</v>
      </c>
      <c r="AG96" s="1620">
        <v>13.950000000000001</v>
      </c>
      <c r="AH96" s="1620">
        <v>18.73</v>
      </c>
      <c r="AI96" s="1620">
        <v>51.93</v>
      </c>
      <c r="AJ96" s="1620">
        <v>0</v>
      </c>
      <c r="AK96" s="1620">
        <v>1.9999999999999879E-2</v>
      </c>
      <c r="AL96" s="1620"/>
      <c r="AM96" s="1620">
        <v>6.3501805054151603</v>
      </c>
      <c r="AN96" s="1620">
        <v>0.76173285198555996</v>
      </c>
      <c r="AO96" s="1620">
        <v>1.27797833935018</v>
      </c>
      <c r="AP96" s="1620">
        <v>3.55595667870036</v>
      </c>
      <c r="AQ96" s="1620">
        <v>0.89530685920577602</v>
      </c>
      <c r="AR96" s="1620">
        <v>3.9638989169675098</v>
      </c>
      <c r="AS96" s="1620">
        <v>7.3212996389891698</v>
      </c>
      <c r="AT96" s="1620">
        <v>2.6064981949458499</v>
      </c>
      <c r="AU96" s="1620">
        <v>4.1913357400721996</v>
      </c>
      <c r="AV96" s="1620">
        <v>3.5090252707581202</v>
      </c>
      <c r="AW96" s="1620">
        <v>4.3971119133574001</v>
      </c>
      <c r="AX96" s="1620"/>
      <c r="AY96" s="1620">
        <v>1.04</v>
      </c>
      <c r="AZ96" s="1620">
        <v>0.94</v>
      </c>
      <c r="BA96" s="1620">
        <v>0.94</v>
      </c>
      <c r="BB96" s="1620">
        <v>0.98</v>
      </c>
      <c r="BC96" s="1620">
        <v>0.93</v>
      </c>
      <c r="BD96" s="1620">
        <v>0.99</v>
      </c>
      <c r="BE96" s="1620">
        <v>1.03</v>
      </c>
      <c r="BF96" s="1620">
        <v>1.05</v>
      </c>
      <c r="BG96" s="1620">
        <v>1</v>
      </c>
      <c r="BH96" s="1620">
        <v>0.96</v>
      </c>
      <c r="BI96" s="1620">
        <v>0.98</v>
      </c>
      <c r="BJ96" s="1603"/>
      <c r="BK96" s="1620">
        <v>29.101796407185628</v>
      </c>
      <c r="BL96" s="1620">
        <v>2.2754491017964074</v>
      </c>
      <c r="BM96" s="1620">
        <v>3.4730538922155687</v>
      </c>
      <c r="BN96" s="1620">
        <v>9.6</v>
      </c>
      <c r="BO96" s="1620"/>
      <c r="BP96" s="1620">
        <v>130</v>
      </c>
      <c r="BQ96" s="1620">
        <v>29.580838323353294</v>
      </c>
      <c r="BR96" s="1620">
        <v>1.0282828577645198</v>
      </c>
      <c r="BS96" s="1620">
        <v>1.0573482056542001</v>
      </c>
      <c r="BT96" s="1603"/>
      <c r="BU96" s="1620">
        <v>965.26946107784431</v>
      </c>
      <c r="BV96" s="1620">
        <v>367.82985205816885</v>
      </c>
      <c r="BW96" s="1620">
        <v>131.00128566638205</v>
      </c>
      <c r="BX96" s="1620">
        <v>375</v>
      </c>
      <c r="BY96" s="1620">
        <v>32</v>
      </c>
      <c r="BZ96" s="1620">
        <v>61.794025662959761</v>
      </c>
      <c r="CA96" s="1620">
        <v>195.68108126603954</v>
      </c>
      <c r="CB96" s="1603"/>
      <c r="CC96" s="1603">
        <v>1.1299999999999997</v>
      </c>
      <c r="CD96" s="1603">
        <v>4.1399999999999997</v>
      </c>
      <c r="CE96" s="1603">
        <v>0.1837</v>
      </c>
      <c r="CF96" s="1603">
        <v>0.3</v>
      </c>
      <c r="CG96" s="1603">
        <v>10.64625</v>
      </c>
      <c r="CH96" s="1603">
        <v>1.1523000000000001</v>
      </c>
      <c r="CI96" s="1603">
        <v>1.8369999999999997</v>
      </c>
      <c r="CJ96" s="1603"/>
      <c r="CK96" s="1603">
        <v>62.249249999999996</v>
      </c>
      <c r="CL96" s="1603">
        <v>11.648250000000001</v>
      </c>
      <c r="CM96" s="1603">
        <v>15.63955</v>
      </c>
      <c r="CN96" s="1603">
        <v>43.361550000000001</v>
      </c>
      <c r="CO96" s="1603">
        <v>0</v>
      </c>
      <c r="CP96" s="1603">
        <v>1.6699999999999899E-2</v>
      </c>
      <c r="CQ96" s="1603">
        <v>194.4</v>
      </c>
      <c r="CR96" s="1603">
        <v>226.41082606747133</v>
      </c>
      <c r="CS96" s="1603">
        <v>14.952595984649365</v>
      </c>
      <c r="CT96" s="1603">
        <v>1.6211669040513426</v>
      </c>
      <c r="CU96" s="1603">
        <v>2.7198724361809234</v>
      </c>
      <c r="CV96" s="1603">
        <v>4.3410393402322773</v>
      </c>
      <c r="CW96" s="1603">
        <v>7.8900494730299533</v>
      </c>
      <c r="CX96" s="1603">
        <v>1.8851766398628651</v>
      </c>
      <c r="CY96" s="1603">
        <v>8.8849493195618301</v>
      </c>
      <c r="CZ96" s="1603">
        <v>17.073501441255488</v>
      </c>
      <c r="DA96" s="1603">
        <v>6.1964637993411378</v>
      </c>
      <c r="DB96" s="1603">
        <v>9.4896378723586228</v>
      </c>
      <c r="DC96" s="1603">
        <v>7.6270205783421972</v>
      </c>
      <c r="DD96" s="1603">
        <v>17.116658450700832</v>
      </c>
      <c r="DE96" s="1603">
        <v>9.7564266580207981</v>
      </c>
      <c r="DF96" s="1603">
        <v>0</v>
      </c>
      <c r="DG96" s="1603">
        <v>0</v>
      </c>
      <c r="DH96" s="1603">
        <v>0</v>
      </c>
      <c r="DI96" s="1603">
        <v>0</v>
      </c>
      <c r="DJ96" s="1603">
        <v>0</v>
      </c>
      <c r="DK96" s="1603">
        <v>0</v>
      </c>
      <c r="DL96" s="1603">
        <v>0</v>
      </c>
      <c r="DM96" s="1603">
        <v>0</v>
      </c>
      <c r="DN96" s="1603">
        <v>0</v>
      </c>
      <c r="DO96" s="1603">
        <v>0</v>
      </c>
      <c r="DP96" s="1603">
        <v>0</v>
      </c>
      <c r="DQ96" s="1603">
        <v>0</v>
      </c>
      <c r="DR96" s="1603">
        <v>0</v>
      </c>
      <c r="DS96" s="1603">
        <v>0</v>
      </c>
      <c r="DT96" s="1603">
        <v>0</v>
      </c>
      <c r="DU96" s="1603">
        <v>0</v>
      </c>
      <c r="DV96" s="1603">
        <v>0</v>
      </c>
      <c r="DW96" s="1618" t="s">
        <v>3536</v>
      </c>
      <c r="DX96" s="1605">
        <v>6</v>
      </c>
      <c r="DY96" s="1605">
        <v>6</v>
      </c>
      <c r="DZ96" s="1605">
        <v>6</v>
      </c>
      <c r="EA96" s="1605">
        <v>6</v>
      </c>
      <c r="EB96" s="1605" t="s">
        <v>986</v>
      </c>
      <c r="EC96" s="1605">
        <v>6</v>
      </c>
      <c r="ED96" s="1605">
        <v>6</v>
      </c>
      <c r="EE96" s="1605">
        <v>6</v>
      </c>
      <c r="EF96" s="1605">
        <v>6</v>
      </c>
      <c r="EG96" s="1605">
        <v>6</v>
      </c>
      <c r="EH96" s="1605" t="s">
        <v>986</v>
      </c>
      <c r="EI96" s="1605" t="s">
        <v>986</v>
      </c>
      <c r="EJ96" s="1605" t="s">
        <v>986</v>
      </c>
      <c r="EK96" s="1605" t="s">
        <v>986</v>
      </c>
      <c r="EL96" s="1605" t="s">
        <v>986</v>
      </c>
      <c r="EM96" s="1605" t="s">
        <v>986</v>
      </c>
      <c r="EN96" s="1605" t="s">
        <v>986</v>
      </c>
      <c r="EO96" s="1605" t="s">
        <v>986</v>
      </c>
      <c r="EP96" s="1605" t="s">
        <v>986</v>
      </c>
      <c r="EQ96" s="1605" t="s">
        <v>986</v>
      </c>
      <c r="ER96" s="1605" t="s">
        <v>986</v>
      </c>
      <c r="ES96" s="1605">
        <v>6</v>
      </c>
      <c r="ET96" s="1605">
        <v>6</v>
      </c>
      <c r="EU96" s="1605" t="s">
        <v>986</v>
      </c>
      <c r="EV96" s="1605" t="s">
        <v>986</v>
      </c>
      <c r="EW96" s="1605" t="s">
        <v>986</v>
      </c>
      <c r="EX96" s="1605" t="s">
        <v>986</v>
      </c>
      <c r="EY96" s="1605" t="s">
        <v>986</v>
      </c>
      <c r="EZ96" s="1605" t="s">
        <v>986</v>
      </c>
      <c r="FA96" s="1605" t="s">
        <v>986</v>
      </c>
      <c r="FB96" s="1605" t="s">
        <v>986</v>
      </c>
      <c r="FC96" s="1605" t="s">
        <v>986</v>
      </c>
      <c r="FD96" s="1605" t="s">
        <v>986</v>
      </c>
      <c r="FE96" s="1605" t="s">
        <v>986</v>
      </c>
      <c r="FF96" s="1605">
        <v>1.4</v>
      </c>
      <c r="FG96" s="1605">
        <v>1.1000000000000001</v>
      </c>
      <c r="FH96" s="1605">
        <v>0.6</v>
      </c>
      <c r="FI96" s="1605">
        <v>0.1</v>
      </c>
      <c r="FJ96" s="1605">
        <v>2</v>
      </c>
      <c r="FK96" s="1605">
        <v>3.5</v>
      </c>
      <c r="FL96" s="1605">
        <v>6</v>
      </c>
      <c r="FM96" s="1605" t="s">
        <v>986</v>
      </c>
      <c r="FN96" s="1605">
        <v>9.5</v>
      </c>
      <c r="FO96" s="1605">
        <v>7.5</v>
      </c>
      <c r="FP96" s="1605" t="s">
        <v>986</v>
      </c>
      <c r="FQ96" s="1605" t="s">
        <v>986</v>
      </c>
      <c r="FR96" s="1605" t="s">
        <v>986</v>
      </c>
      <c r="FS96" s="1605" t="s">
        <v>986</v>
      </c>
      <c r="FT96" s="1605" t="s">
        <v>986</v>
      </c>
      <c r="FU96" s="1605" t="s">
        <v>986</v>
      </c>
      <c r="FV96" s="1605" t="s">
        <v>986</v>
      </c>
      <c r="FW96" s="1605" t="s">
        <v>986</v>
      </c>
      <c r="FX96" s="1605" t="s">
        <v>986</v>
      </c>
      <c r="FY96" s="1605" t="s">
        <v>986</v>
      </c>
      <c r="FZ96" s="1605" t="s">
        <v>986</v>
      </c>
      <c r="GA96" s="1605" t="s">
        <v>986</v>
      </c>
      <c r="GB96" s="1605">
        <v>0.34</v>
      </c>
      <c r="GC96" s="1605" t="s">
        <v>986</v>
      </c>
      <c r="GD96" s="1605" t="s">
        <v>986</v>
      </c>
      <c r="GE96" s="1605" t="s">
        <v>986</v>
      </c>
      <c r="GF96" s="1605" t="s">
        <v>986</v>
      </c>
      <c r="GG96" s="1605" t="s">
        <v>986</v>
      </c>
      <c r="GH96" s="1605" t="s">
        <v>986</v>
      </c>
      <c r="GI96" s="1605" t="s">
        <v>986</v>
      </c>
      <c r="GJ96" s="1605" t="s">
        <v>986</v>
      </c>
      <c r="GK96" s="1605" t="s">
        <v>986</v>
      </c>
      <c r="GL96" s="1605" t="s">
        <v>986</v>
      </c>
      <c r="GM96" s="1605" t="s">
        <v>986</v>
      </c>
      <c r="GN96" s="1605" t="s">
        <v>1581</v>
      </c>
      <c r="GO96" s="1605" t="s">
        <v>1581</v>
      </c>
      <c r="GP96" s="1605" t="s">
        <v>1581</v>
      </c>
      <c r="GQ96" s="1605" t="s">
        <v>1581</v>
      </c>
      <c r="GR96" s="1605" t="s">
        <v>986</v>
      </c>
      <c r="GS96" s="1605" t="s">
        <v>1581</v>
      </c>
      <c r="GT96" s="1605" t="s">
        <v>1581</v>
      </c>
      <c r="GU96" s="1605" t="s">
        <v>1581</v>
      </c>
      <c r="GV96" s="1605" t="s">
        <v>1581</v>
      </c>
      <c r="GW96" s="1605" t="s">
        <v>1581</v>
      </c>
      <c r="GX96" s="1605" t="s">
        <v>3542</v>
      </c>
      <c r="GY96" s="1605" t="s">
        <v>3542</v>
      </c>
      <c r="GZ96" s="1605" t="s">
        <v>3542</v>
      </c>
      <c r="HA96" s="1605" t="s">
        <v>3542</v>
      </c>
      <c r="HB96" s="1605" t="s">
        <v>3542</v>
      </c>
      <c r="HC96" s="1605" t="s">
        <v>3542</v>
      </c>
      <c r="HD96" s="1605" t="s">
        <v>3542</v>
      </c>
      <c r="HE96" s="1605" t="s">
        <v>3542</v>
      </c>
      <c r="HF96" s="1605" t="s">
        <v>3542</v>
      </c>
      <c r="HG96" s="1605" t="s">
        <v>3542</v>
      </c>
      <c r="HH96" s="1605" t="s">
        <v>3542</v>
      </c>
      <c r="HI96" s="1605" t="s">
        <v>1581</v>
      </c>
      <c r="HJ96" s="1605" t="s">
        <v>1581</v>
      </c>
      <c r="HK96" s="1605" t="s">
        <v>986</v>
      </c>
      <c r="HL96" s="1605" t="s">
        <v>986</v>
      </c>
      <c r="HM96" s="1605" t="s">
        <v>3542</v>
      </c>
      <c r="HN96" s="1605" t="s">
        <v>3542</v>
      </c>
      <c r="HO96" s="1605" t="s">
        <v>1591</v>
      </c>
      <c r="HP96" s="1605" t="s">
        <v>3542</v>
      </c>
      <c r="HQ96" s="1605" t="s">
        <v>3542</v>
      </c>
      <c r="HR96" s="1605" t="s">
        <v>3542</v>
      </c>
      <c r="HS96" s="1605" t="s">
        <v>3542</v>
      </c>
      <c r="HT96" s="1605" t="s">
        <v>986</v>
      </c>
      <c r="HU96" s="1605" t="s">
        <v>986</v>
      </c>
      <c r="HV96" s="1617"/>
      <c r="HW96" s="1617" t="s">
        <v>3540</v>
      </c>
      <c r="HX96" s="1617" t="s">
        <v>3534</v>
      </c>
      <c r="HY96" s="1617" t="s">
        <v>3533</v>
      </c>
      <c r="HZ96" s="1603"/>
      <c r="IA96" s="1603"/>
      <c r="IB96" s="1603"/>
      <c r="IC96" s="1603">
        <v>45.861788617886198</v>
      </c>
      <c r="ID96" s="1603">
        <v>46.349593495934997</v>
      </c>
      <c r="IE96" s="1603">
        <v>46.756097560975597</v>
      </c>
      <c r="IF96" s="1603">
        <v>47</v>
      </c>
      <c r="IG96" s="1611" t="s">
        <v>3532</v>
      </c>
      <c r="IH96" s="1616" t="s">
        <v>3531</v>
      </c>
      <c r="II96" s="1615" t="s">
        <v>2182</v>
      </c>
      <c r="IJ96" s="1613">
        <v>0.6852303474518755</v>
      </c>
      <c r="IK96" s="1613">
        <v>0.38693201502559249</v>
      </c>
      <c r="IL96" s="1614">
        <v>0.6852303474518755</v>
      </c>
      <c r="IM96" s="1614">
        <v>0.38693201502559249</v>
      </c>
      <c r="IN96" s="1612">
        <v>0.3</v>
      </c>
      <c r="IO96" s="1613">
        <v>-0.38523034745187551</v>
      </c>
      <c r="IP96" s="1607">
        <v>3.5120730929904509</v>
      </c>
      <c r="IQ96" s="1612">
        <v>2</v>
      </c>
      <c r="IR96" s="1612" t="s">
        <v>270</v>
      </c>
      <c r="IS96" s="1607">
        <v>0.6812303474518755</v>
      </c>
      <c r="IT96" s="1607">
        <v>0.38293201502559249</v>
      </c>
      <c r="IU96" s="1611">
        <v>6.4212832763512389E-6</v>
      </c>
      <c r="IV96" s="1611">
        <v>7.2637878281992616E-3</v>
      </c>
      <c r="IW96" s="1611">
        <v>5.1973423616059737E-4</v>
      </c>
      <c r="IX96" s="1611">
        <v>7.795552704729507E-4</v>
      </c>
      <c r="IY96" s="1611">
        <v>5.2379482749068866E-4</v>
      </c>
      <c r="IZ96" s="1611">
        <v>5.3226741119841298E-3</v>
      </c>
      <c r="JA96" s="1611">
        <v>4.0646617571263164E-4</v>
      </c>
      <c r="JB96" s="1611">
        <v>2.4597491724995821E-3</v>
      </c>
      <c r="JC96" s="1611">
        <v>4.1485506023302605</v>
      </c>
      <c r="JD96" s="1611">
        <v>4.8360685599693011E-2</v>
      </c>
      <c r="JE96" s="1611">
        <v>4.8631776200671627E-2</v>
      </c>
      <c r="JF96" s="1611">
        <v>4.5129867489544128E-4</v>
      </c>
      <c r="JG96" s="1611">
        <v>2.8578606488805058</v>
      </c>
      <c r="JH96" s="1611">
        <v>1.1071423674775091E-3</v>
      </c>
      <c r="JI96" s="1611">
        <v>5.1236023101416006E-2</v>
      </c>
      <c r="JJ96" s="1611">
        <v>1.8296138951246235E-2</v>
      </c>
      <c r="JK96" s="1607">
        <f t="shared" si="10"/>
        <v>4.0000000000000036E-3</v>
      </c>
      <c r="JL96" s="1608" t="s">
        <v>270</v>
      </c>
      <c r="JM96" s="1610" t="s">
        <v>2924</v>
      </c>
      <c r="JN96" s="1608">
        <v>0.29829833242628301</v>
      </c>
      <c r="JO96" s="1609" t="s">
        <v>2923</v>
      </c>
      <c r="JP96" s="1608" t="s">
        <v>270</v>
      </c>
      <c r="JQ96" s="1607">
        <v>201901</v>
      </c>
      <c r="JR96" s="1606">
        <v>36</v>
      </c>
      <c r="JS96" s="1606" t="s">
        <v>270</v>
      </c>
      <c r="JT96" s="1606" t="s">
        <v>270</v>
      </c>
    </row>
    <row r="97" spans="1:280" ht="15" customHeight="1" x14ac:dyDescent="0.2">
      <c r="A97" s="1626">
        <v>65204</v>
      </c>
      <c r="B97" s="1625">
        <v>652</v>
      </c>
      <c r="C97" s="1624">
        <v>4</v>
      </c>
      <c r="D97" s="1623" t="s">
        <v>3541</v>
      </c>
      <c r="E97" s="1622">
        <v>43370</v>
      </c>
      <c r="F97" s="1620">
        <v>0.87317453863287597</v>
      </c>
      <c r="G97" s="1620">
        <v>0.90181385299010097</v>
      </c>
      <c r="H97" s="1621">
        <v>81.599999999999994</v>
      </c>
      <c r="I97" s="1621">
        <v>70.999996800000005</v>
      </c>
      <c r="J97" s="1621">
        <v>82</v>
      </c>
      <c r="K97" s="1620">
        <v>1</v>
      </c>
      <c r="L97" s="1620">
        <v>86.3</v>
      </c>
      <c r="M97" s="1620">
        <v>24.854399999999998</v>
      </c>
      <c r="N97" s="1620">
        <v>1.8123</v>
      </c>
      <c r="O97" s="1620">
        <v>3.1067999999999998</v>
      </c>
      <c r="P97" s="1620">
        <v>8.2848000000000006</v>
      </c>
      <c r="Q97" s="1603"/>
      <c r="R97" s="1620">
        <v>80</v>
      </c>
      <c r="S97" s="1620">
        <v>37</v>
      </c>
      <c r="T97" s="1620">
        <v>41.065040650406502</v>
      </c>
      <c r="U97" s="1620">
        <v>42.691056910569102</v>
      </c>
      <c r="V97" s="1620">
        <v>44.154471544715399</v>
      </c>
      <c r="W97" s="1620">
        <v>45.130081300813004</v>
      </c>
      <c r="X97" s="1620"/>
      <c r="Y97" s="1620">
        <v>1.2999999999999998</v>
      </c>
      <c r="Z97" s="1620">
        <v>5.6</v>
      </c>
      <c r="AA97" s="1620">
        <v>0.2</v>
      </c>
      <c r="AB97" s="1620">
        <v>0.34762456546929316</v>
      </c>
      <c r="AC97" s="1620">
        <v>12.700000000000001</v>
      </c>
      <c r="AD97" s="1620">
        <v>1.4</v>
      </c>
      <c r="AE97" s="1620">
        <v>2.1999999999999997</v>
      </c>
      <c r="AF97" s="1620">
        <v>74.5</v>
      </c>
      <c r="AG97" s="1620">
        <v>13.9</v>
      </c>
      <c r="AH97" s="1620">
        <v>18.700000000000003</v>
      </c>
      <c r="AI97" s="1620">
        <v>51.900000000000006</v>
      </c>
      <c r="AJ97" s="1620">
        <v>0</v>
      </c>
      <c r="AK97" s="1620">
        <v>1.9999999999999886E-2</v>
      </c>
      <c r="AL97" s="1620"/>
      <c r="AM97" s="1620">
        <v>6.3194444444444402</v>
      </c>
      <c r="AN97" s="1620">
        <v>0.69444444444444497</v>
      </c>
      <c r="AO97" s="1620">
        <v>1.18055555555556</v>
      </c>
      <c r="AP97" s="1620">
        <v>3.5069444444444402</v>
      </c>
      <c r="AQ97" s="1620">
        <v>0.86805555555555602</v>
      </c>
      <c r="AR97" s="1620">
        <v>3.8888888888888902</v>
      </c>
      <c r="AS97" s="1620">
        <v>7.0833333333333304</v>
      </c>
      <c r="AT97" s="1620">
        <v>2.5347222222222201</v>
      </c>
      <c r="AU97" s="1620">
        <v>4.2361111111111098</v>
      </c>
      <c r="AV97" s="1620">
        <v>3.75</v>
      </c>
      <c r="AW97" s="1620">
        <v>4.2708333333333304</v>
      </c>
      <c r="AX97" s="1620"/>
      <c r="AY97" s="1620">
        <v>1.04</v>
      </c>
      <c r="AZ97" s="1620">
        <v>0.94</v>
      </c>
      <c r="BA97" s="1620">
        <v>0.94</v>
      </c>
      <c r="BB97" s="1620">
        <v>0.98</v>
      </c>
      <c r="BC97" s="1620">
        <v>0.93</v>
      </c>
      <c r="BD97" s="1620">
        <v>0.99</v>
      </c>
      <c r="BE97" s="1620">
        <v>1.03</v>
      </c>
      <c r="BF97" s="1620">
        <v>1.05</v>
      </c>
      <c r="BG97" s="1620">
        <v>1</v>
      </c>
      <c r="BH97" s="1620">
        <v>0.96</v>
      </c>
      <c r="BI97" s="1620">
        <v>0.98</v>
      </c>
      <c r="BJ97" s="1603"/>
      <c r="BK97" s="1620">
        <v>28.799999999999997</v>
      </c>
      <c r="BL97" s="1620">
        <v>2.1</v>
      </c>
      <c r="BM97" s="1620">
        <v>3.5999999999999996</v>
      </c>
      <c r="BN97" s="1620">
        <v>9.6</v>
      </c>
      <c r="BO97" s="1620"/>
      <c r="BP97" s="1620">
        <v>130</v>
      </c>
      <c r="BQ97" s="1620">
        <v>27.299999999999997</v>
      </c>
      <c r="BR97" s="1620">
        <v>1.0117897319036802</v>
      </c>
      <c r="BS97" s="1620">
        <v>1.0449754959329096</v>
      </c>
      <c r="BT97" s="1603"/>
      <c r="BU97" s="1620">
        <v>964</v>
      </c>
      <c r="BV97" s="1620">
        <v>358.19681307428618</v>
      </c>
      <c r="BW97" s="1620">
        <v>145.9771869257138</v>
      </c>
      <c r="BX97" s="1620">
        <v>375</v>
      </c>
      <c r="BY97" s="1620">
        <v>32</v>
      </c>
      <c r="BZ97" s="1620">
        <v>65.011954285714253</v>
      </c>
      <c r="CA97" s="1620">
        <v>205.87118857142875</v>
      </c>
      <c r="CB97" s="1603"/>
      <c r="CC97" s="1603">
        <v>1.1218999999999999</v>
      </c>
      <c r="CD97" s="1603">
        <v>4.8327999999999998</v>
      </c>
      <c r="CE97" s="1603">
        <v>0.1726</v>
      </c>
      <c r="CF97" s="1603">
        <v>0.3</v>
      </c>
      <c r="CG97" s="1603">
        <v>10.960100000000001</v>
      </c>
      <c r="CH97" s="1603">
        <v>1.2081999999999999</v>
      </c>
      <c r="CI97" s="1603">
        <v>1.8985999999999998</v>
      </c>
      <c r="CJ97" s="1603"/>
      <c r="CK97" s="1603">
        <v>64.293499999999995</v>
      </c>
      <c r="CL97" s="1603">
        <v>11.995699999999999</v>
      </c>
      <c r="CM97" s="1603">
        <v>16.138100000000001</v>
      </c>
      <c r="CN97" s="1603">
        <v>44.789700000000003</v>
      </c>
      <c r="CO97" s="1603">
        <v>0</v>
      </c>
      <c r="CP97" s="1603">
        <v>1.72599999999999E-2</v>
      </c>
      <c r="CQ97" s="1603">
        <v>198.83519999999999</v>
      </c>
      <c r="CR97" s="1603">
        <v>227.71529768986971</v>
      </c>
      <c r="CS97" s="1603">
        <v>14.965955398173104</v>
      </c>
      <c r="CT97" s="1603">
        <v>1.4864748599199828</v>
      </c>
      <c r="CU97" s="1603">
        <v>2.5270072618639712</v>
      </c>
      <c r="CV97" s="1603">
        <v>4.0134821217839542</v>
      </c>
      <c r="CW97" s="1603">
        <v>7.8261320018553029</v>
      </c>
      <c r="CX97" s="1603">
        <v>1.8383266219755108</v>
      </c>
      <c r="CY97" s="1603">
        <v>8.7670389610599848</v>
      </c>
      <c r="CZ97" s="1603">
        <v>16.613728593956747</v>
      </c>
      <c r="DA97" s="1603">
        <v>6.0605477666418572</v>
      </c>
      <c r="DB97" s="1603">
        <v>9.6462730271403139</v>
      </c>
      <c r="DC97" s="1603">
        <v>8.1977507168353103</v>
      </c>
      <c r="DD97" s="1603">
        <v>17.844023743975626</v>
      </c>
      <c r="DE97" s="1603">
        <v>9.5308340220614109</v>
      </c>
      <c r="DF97" s="1603">
        <v>0</v>
      </c>
      <c r="DG97" s="1603">
        <v>0</v>
      </c>
      <c r="DH97" s="1603">
        <v>0</v>
      </c>
      <c r="DI97" s="1603">
        <v>0</v>
      </c>
      <c r="DJ97" s="1603">
        <v>0</v>
      </c>
      <c r="DK97" s="1603">
        <v>0</v>
      </c>
      <c r="DL97" s="1603">
        <v>0</v>
      </c>
      <c r="DM97" s="1603">
        <v>0</v>
      </c>
      <c r="DN97" s="1603">
        <v>0</v>
      </c>
      <c r="DO97" s="1603">
        <v>0</v>
      </c>
      <c r="DP97" s="1603">
        <v>0</v>
      </c>
      <c r="DQ97" s="1603">
        <v>0</v>
      </c>
      <c r="DR97" s="1603">
        <v>0</v>
      </c>
      <c r="DS97" s="1603">
        <v>0</v>
      </c>
      <c r="DT97" s="1603">
        <v>0</v>
      </c>
      <c r="DU97" s="1603">
        <v>0</v>
      </c>
      <c r="DV97" s="1603">
        <v>0</v>
      </c>
      <c r="DW97" s="1618" t="s">
        <v>3536</v>
      </c>
      <c r="DX97" s="1605" t="s">
        <v>986</v>
      </c>
      <c r="DY97" s="1605" t="s">
        <v>986</v>
      </c>
      <c r="DZ97" s="1605" t="s">
        <v>986</v>
      </c>
      <c r="EA97" s="1605" t="s">
        <v>986</v>
      </c>
      <c r="EB97" s="1605" t="s">
        <v>986</v>
      </c>
      <c r="EC97" s="1605" t="s">
        <v>986</v>
      </c>
      <c r="ED97" s="1605" t="s">
        <v>986</v>
      </c>
      <c r="EE97" s="1605" t="s">
        <v>986</v>
      </c>
      <c r="EF97" s="1605" t="s">
        <v>986</v>
      </c>
      <c r="EG97" s="1605" t="s">
        <v>986</v>
      </c>
      <c r="EH97" s="1605" t="s">
        <v>986</v>
      </c>
      <c r="EI97" s="1605" t="s">
        <v>986</v>
      </c>
      <c r="EJ97" s="1605" t="s">
        <v>986</v>
      </c>
      <c r="EK97" s="1605" t="s">
        <v>986</v>
      </c>
      <c r="EL97" s="1605" t="s">
        <v>986</v>
      </c>
      <c r="EM97" s="1605" t="s">
        <v>986</v>
      </c>
      <c r="EN97" s="1605" t="s">
        <v>986</v>
      </c>
      <c r="EO97" s="1605" t="s">
        <v>986</v>
      </c>
      <c r="EP97" s="1605" t="s">
        <v>986</v>
      </c>
      <c r="EQ97" s="1605" t="s">
        <v>986</v>
      </c>
      <c r="ER97" s="1605" t="s">
        <v>986</v>
      </c>
      <c r="ES97" s="1605" t="s">
        <v>986</v>
      </c>
      <c r="ET97" s="1605" t="s">
        <v>986</v>
      </c>
      <c r="EU97" s="1605" t="s">
        <v>986</v>
      </c>
      <c r="EV97" s="1605" t="s">
        <v>986</v>
      </c>
      <c r="EW97" s="1605" t="s">
        <v>986</v>
      </c>
      <c r="EX97" s="1605" t="s">
        <v>986</v>
      </c>
      <c r="EY97" s="1605" t="s">
        <v>986</v>
      </c>
      <c r="EZ97" s="1605" t="s">
        <v>986</v>
      </c>
      <c r="FA97" s="1605" t="s">
        <v>986</v>
      </c>
      <c r="FB97" s="1605" t="s">
        <v>986</v>
      </c>
      <c r="FC97" s="1605" t="s">
        <v>986</v>
      </c>
      <c r="FD97" s="1605" t="s">
        <v>986</v>
      </c>
      <c r="FE97" s="1605" t="s">
        <v>986</v>
      </c>
      <c r="FF97" s="1605" t="s">
        <v>986</v>
      </c>
      <c r="FG97" s="1605" t="s">
        <v>986</v>
      </c>
      <c r="FH97" s="1605" t="s">
        <v>986</v>
      </c>
      <c r="FI97" s="1605" t="s">
        <v>986</v>
      </c>
      <c r="FJ97" s="1605" t="s">
        <v>986</v>
      </c>
      <c r="FK97" s="1605" t="s">
        <v>986</v>
      </c>
      <c r="FL97" s="1605" t="s">
        <v>986</v>
      </c>
      <c r="FM97" s="1605" t="s">
        <v>986</v>
      </c>
      <c r="FN97" s="1605" t="s">
        <v>986</v>
      </c>
      <c r="FO97" s="1605" t="s">
        <v>986</v>
      </c>
      <c r="FP97" s="1605" t="s">
        <v>986</v>
      </c>
      <c r="FQ97" s="1605" t="s">
        <v>986</v>
      </c>
      <c r="FR97" s="1605" t="s">
        <v>986</v>
      </c>
      <c r="FS97" s="1605" t="s">
        <v>986</v>
      </c>
      <c r="FT97" s="1605" t="s">
        <v>986</v>
      </c>
      <c r="FU97" s="1605" t="s">
        <v>986</v>
      </c>
      <c r="FV97" s="1605" t="s">
        <v>986</v>
      </c>
      <c r="FW97" s="1605" t="s">
        <v>986</v>
      </c>
      <c r="FX97" s="1605" t="s">
        <v>986</v>
      </c>
      <c r="FY97" s="1605" t="s">
        <v>986</v>
      </c>
      <c r="FZ97" s="1605" t="s">
        <v>986</v>
      </c>
      <c r="GA97" s="1605" t="s">
        <v>986</v>
      </c>
      <c r="GB97" s="1605" t="s">
        <v>986</v>
      </c>
      <c r="GC97" s="1605" t="s">
        <v>986</v>
      </c>
      <c r="GD97" s="1605" t="s">
        <v>986</v>
      </c>
      <c r="GE97" s="1605" t="s">
        <v>986</v>
      </c>
      <c r="GF97" s="1605" t="s">
        <v>986</v>
      </c>
      <c r="GG97" s="1605" t="s">
        <v>986</v>
      </c>
      <c r="GH97" s="1605" t="s">
        <v>986</v>
      </c>
      <c r="GI97" s="1605" t="s">
        <v>986</v>
      </c>
      <c r="GJ97" s="1605" t="s">
        <v>986</v>
      </c>
      <c r="GK97" s="1605" t="s">
        <v>986</v>
      </c>
      <c r="GL97" s="1605" t="s">
        <v>986</v>
      </c>
      <c r="GM97" s="1605" t="s">
        <v>986</v>
      </c>
      <c r="GN97" s="1605" t="s">
        <v>986</v>
      </c>
      <c r="GO97" s="1605" t="s">
        <v>986</v>
      </c>
      <c r="GP97" s="1605" t="s">
        <v>986</v>
      </c>
      <c r="GQ97" s="1605" t="s">
        <v>986</v>
      </c>
      <c r="GR97" s="1605" t="s">
        <v>986</v>
      </c>
      <c r="GS97" s="1605" t="s">
        <v>986</v>
      </c>
      <c r="GT97" s="1605" t="s">
        <v>986</v>
      </c>
      <c r="GU97" s="1605" t="s">
        <v>986</v>
      </c>
      <c r="GV97" s="1605" t="s">
        <v>986</v>
      </c>
      <c r="GW97" s="1605" t="s">
        <v>986</v>
      </c>
      <c r="GX97" s="1605" t="s">
        <v>986</v>
      </c>
      <c r="GY97" s="1605" t="s">
        <v>986</v>
      </c>
      <c r="GZ97" s="1605" t="s">
        <v>986</v>
      </c>
      <c r="HA97" s="1605" t="s">
        <v>986</v>
      </c>
      <c r="HB97" s="1605" t="s">
        <v>986</v>
      </c>
      <c r="HC97" s="1605" t="s">
        <v>986</v>
      </c>
      <c r="HD97" s="1605" t="s">
        <v>986</v>
      </c>
      <c r="HE97" s="1605" t="s">
        <v>986</v>
      </c>
      <c r="HF97" s="1605" t="s">
        <v>986</v>
      </c>
      <c r="HG97" s="1605" t="s">
        <v>986</v>
      </c>
      <c r="HH97" s="1605" t="s">
        <v>986</v>
      </c>
      <c r="HI97" s="1605" t="s">
        <v>986</v>
      </c>
      <c r="HJ97" s="1605" t="s">
        <v>986</v>
      </c>
      <c r="HK97" s="1605" t="s">
        <v>986</v>
      </c>
      <c r="HL97" s="1605" t="s">
        <v>986</v>
      </c>
      <c r="HM97" s="1605" t="s">
        <v>986</v>
      </c>
      <c r="HN97" s="1605" t="s">
        <v>986</v>
      </c>
      <c r="HO97" s="1605" t="s">
        <v>986</v>
      </c>
      <c r="HP97" s="1605" t="s">
        <v>986</v>
      </c>
      <c r="HQ97" s="1605" t="s">
        <v>986</v>
      </c>
      <c r="HR97" s="1605" t="s">
        <v>986</v>
      </c>
      <c r="HS97" s="1605" t="s">
        <v>986</v>
      </c>
      <c r="HT97" s="1605" t="s">
        <v>986</v>
      </c>
      <c r="HU97" s="1605" t="s">
        <v>986</v>
      </c>
      <c r="HV97" s="1617"/>
      <c r="HW97" s="1617" t="s">
        <v>3540</v>
      </c>
      <c r="HX97" s="1617" t="s">
        <v>3534</v>
      </c>
      <c r="HY97" s="1617" t="s">
        <v>3533</v>
      </c>
      <c r="HZ97" s="1603"/>
      <c r="IA97" s="1603"/>
      <c r="IB97" s="1603"/>
      <c r="IC97" s="1603">
        <v>45.861788617886198</v>
      </c>
      <c r="ID97" s="1603">
        <v>46.349593495934997</v>
      </c>
      <c r="IE97" s="1603">
        <v>46.756097560975597</v>
      </c>
      <c r="IF97" s="1603">
        <v>47</v>
      </c>
      <c r="IG97" s="1611" t="s">
        <v>3532</v>
      </c>
      <c r="IH97" s="1616" t="s">
        <v>3531</v>
      </c>
      <c r="II97" s="1615" t="s">
        <v>2182</v>
      </c>
      <c r="IJ97" s="1613">
        <v>0.6852303474518755</v>
      </c>
      <c r="IK97" s="1613">
        <v>0.38693201502559249</v>
      </c>
      <c r="IL97" s="1614">
        <v>0.6852303474518755</v>
      </c>
      <c r="IM97" s="1614">
        <v>0.38693201502559249</v>
      </c>
      <c r="IN97" s="1612">
        <v>0.3</v>
      </c>
      <c r="IO97" s="1613">
        <v>-0.38523034745187551</v>
      </c>
      <c r="IP97" s="1607">
        <v>3.5120730929904509</v>
      </c>
      <c r="IQ97" s="1612">
        <v>2</v>
      </c>
      <c r="IR97" s="1612" t="s">
        <v>270</v>
      </c>
      <c r="IS97" s="1607">
        <v>0.6812303474518755</v>
      </c>
      <c r="IT97" s="1607">
        <v>0.38293201502559249</v>
      </c>
      <c r="IU97" s="1611">
        <v>6.4212832763512389E-6</v>
      </c>
      <c r="IV97" s="1611">
        <v>7.2637878281992616E-3</v>
      </c>
      <c r="IW97" s="1611">
        <v>5.1973423616059737E-4</v>
      </c>
      <c r="IX97" s="1611">
        <v>7.795552704729507E-4</v>
      </c>
      <c r="IY97" s="1611">
        <v>5.2379482749068866E-4</v>
      </c>
      <c r="IZ97" s="1611">
        <v>5.3226741119841298E-3</v>
      </c>
      <c r="JA97" s="1611">
        <v>4.0646617571263164E-4</v>
      </c>
      <c r="JB97" s="1611">
        <v>2.4597491724995821E-3</v>
      </c>
      <c r="JC97" s="1611">
        <v>4.1485506023302605</v>
      </c>
      <c r="JD97" s="1611">
        <v>4.8360685599693011E-2</v>
      </c>
      <c r="JE97" s="1611">
        <v>4.8631776200671627E-2</v>
      </c>
      <c r="JF97" s="1611">
        <v>4.5129867489544128E-4</v>
      </c>
      <c r="JG97" s="1611">
        <v>2.8578606488805058</v>
      </c>
      <c r="JH97" s="1611">
        <v>1.1071423674775091E-3</v>
      </c>
      <c r="JI97" s="1611">
        <v>5.1236023101416006E-2</v>
      </c>
      <c r="JJ97" s="1611">
        <v>1.8296138951246235E-2</v>
      </c>
      <c r="JK97" s="1607">
        <f t="shared" si="10"/>
        <v>4.0000000000000036E-3</v>
      </c>
      <c r="JL97" s="1608" t="s">
        <v>270</v>
      </c>
      <c r="JM97" s="1610" t="s">
        <v>2924</v>
      </c>
      <c r="JN97" s="1608">
        <v>0.29829833242628301</v>
      </c>
      <c r="JO97" s="1609" t="s">
        <v>2923</v>
      </c>
      <c r="JP97" s="1608" t="s">
        <v>270</v>
      </c>
      <c r="JQ97" s="1607">
        <v>201901</v>
      </c>
      <c r="JR97" s="1606">
        <v>36</v>
      </c>
      <c r="JS97" s="1606" t="s">
        <v>270</v>
      </c>
      <c r="JT97" s="1606" t="s">
        <v>270</v>
      </c>
    </row>
    <row r="98" spans="1:280" ht="15" customHeight="1" x14ac:dyDescent="0.2">
      <c r="A98" s="1626">
        <v>65210</v>
      </c>
      <c r="B98" s="1625">
        <v>652</v>
      </c>
      <c r="C98" s="1624">
        <v>10</v>
      </c>
      <c r="D98" s="1623" t="s">
        <v>3539</v>
      </c>
      <c r="E98" s="1622">
        <v>43370</v>
      </c>
      <c r="F98" s="1620">
        <v>0.94209188115430098</v>
      </c>
      <c r="G98" s="1620">
        <v>0.95852236842760696</v>
      </c>
      <c r="H98" s="1621">
        <v>84.9</v>
      </c>
      <c r="I98" s="1621">
        <v>75.599969099999996</v>
      </c>
      <c r="J98" s="1621">
        <v>82</v>
      </c>
      <c r="K98" s="1620">
        <v>1</v>
      </c>
      <c r="L98" s="1620">
        <v>88</v>
      </c>
      <c r="M98" s="1620">
        <v>28.512</v>
      </c>
      <c r="N98" s="1620">
        <v>1.8480000000000001</v>
      </c>
      <c r="O98" s="1620">
        <v>4.1360000000000001</v>
      </c>
      <c r="P98" s="1620" t="s">
        <v>270</v>
      </c>
      <c r="Q98" s="1603"/>
      <c r="R98" s="1620">
        <v>80</v>
      </c>
      <c r="S98" s="1620">
        <v>37</v>
      </c>
      <c r="T98" s="1620">
        <v>41.065040650406502</v>
      </c>
      <c r="U98" s="1620">
        <v>42.691056910569102</v>
      </c>
      <c r="V98" s="1620">
        <v>44.154471544715399</v>
      </c>
      <c r="W98" s="1620">
        <v>45.130081300813004</v>
      </c>
      <c r="X98" s="1620"/>
      <c r="Y98" s="1620">
        <v>2.3000000000000003</v>
      </c>
      <c r="Z98" s="1620">
        <v>6.9</v>
      </c>
      <c r="AA98" s="1620">
        <v>0.30000000000000004</v>
      </c>
      <c r="AB98" s="1620">
        <v>0.34090909090909088</v>
      </c>
      <c r="AC98" s="1620">
        <v>13.4</v>
      </c>
      <c r="AD98" s="1620">
        <v>1.5999999999999999</v>
      </c>
      <c r="AE98" s="1620">
        <v>2.1999999999999997</v>
      </c>
      <c r="AF98" s="1620">
        <v>86.600000000000009</v>
      </c>
      <c r="AG98" s="1620">
        <v>14.9</v>
      </c>
      <c r="AH98" s="1620">
        <v>19.200000000000003</v>
      </c>
      <c r="AI98" s="1620">
        <v>50.2</v>
      </c>
      <c r="AJ98" s="1620">
        <v>0</v>
      </c>
      <c r="AK98" s="1620">
        <v>1.9999999999999886E-2</v>
      </c>
      <c r="AL98" s="1620"/>
      <c r="AM98" s="1620">
        <v>6.4506172839506197</v>
      </c>
      <c r="AN98" s="1620">
        <v>0.74074074074074103</v>
      </c>
      <c r="AO98" s="1620">
        <v>1.1419753086419799</v>
      </c>
      <c r="AP98" s="1620">
        <v>3.5493827160493798</v>
      </c>
      <c r="AQ98" s="1620">
        <v>0.86419753086419804</v>
      </c>
      <c r="AR98" s="1620">
        <v>3.9197530864197501</v>
      </c>
      <c r="AS98" s="1620">
        <v>7.2222222222222197</v>
      </c>
      <c r="AT98" s="1620">
        <v>2.62345679012346</v>
      </c>
      <c r="AU98" s="1620">
        <v>4.1666666666666696</v>
      </c>
      <c r="AV98" s="1620">
        <v>3.5185185185185199</v>
      </c>
      <c r="AW98" s="1620">
        <v>4.3518518518518503</v>
      </c>
      <c r="AX98" s="1620"/>
      <c r="AY98" s="1620">
        <v>1.04</v>
      </c>
      <c r="AZ98" s="1620">
        <v>0.94</v>
      </c>
      <c r="BA98" s="1620">
        <v>0.94</v>
      </c>
      <c r="BB98" s="1620">
        <v>0.98</v>
      </c>
      <c r="BC98" s="1620">
        <v>0.93</v>
      </c>
      <c r="BD98" s="1620">
        <v>0.99</v>
      </c>
      <c r="BE98" s="1620">
        <v>1.03</v>
      </c>
      <c r="BF98" s="1620">
        <v>1.05</v>
      </c>
      <c r="BG98" s="1620">
        <v>1</v>
      </c>
      <c r="BH98" s="1620">
        <v>0.96</v>
      </c>
      <c r="BI98" s="1620">
        <v>0.98</v>
      </c>
      <c r="BJ98" s="1603"/>
      <c r="BK98" s="1620">
        <v>32.4</v>
      </c>
      <c r="BL98" s="1620">
        <v>2.1</v>
      </c>
      <c r="BM98" s="1620">
        <v>4.7</v>
      </c>
      <c r="BN98" s="1620" t="s">
        <v>270</v>
      </c>
      <c r="BO98" s="1620"/>
      <c r="BP98" s="1620">
        <v>130</v>
      </c>
      <c r="BQ98" s="1620">
        <v>27.3</v>
      </c>
      <c r="BR98" s="1620">
        <v>1.0705589558571602</v>
      </c>
      <c r="BS98" s="1620">
        <v>1.0892299641222807</v>
      </c>
      <c r="BT98" s="1603"/>
      <c r="BU98" s="1620">
        <v>953</v>
      </c>
      <c r="BV98" s="1620">
        <v>367.27372217571366</v>
      </c>
      <c r="BW98" s="1620">
        <v>126.61327782428636</v>
      </c>
      <c r="BX98" s="1620">
        <v>375</v>
      </c>
      <c r="BY98" s="1620">
        <v>32</v>
      </c>
      <c r="BZ98" s="1620">
        <v>50.775805714285681</v>
      </c>
      <c r="CA98" s="1620">
        <v>160.79005142857045</v>
      </c>
      <c r="CB98" s="1603"/>
      <c r="CC98" s="1603">
        <v>2.0240000000000005</v>
      </c>
      <c r="CD98" s="1603">
        <v>6.0720000000000001</v>
      </c>
      <c r="CE98" s="1603">
        <v>0.26400000000000007</v>
      </c>
      <c r="CF98" s="1603">
        <v>0.3</v>
      </c>
      <c r="CG98" s="1603">
        <v>11.792</v>
      </c>
      <c r="CH98" s="1603">
        <v>1.4079999999999999</v>
      </c>
      <c r="CI98" s="1603">
        <v>1.9359999999999997</v>
      </c>
      <c r="CJ98" s="1603"/>
      <c r="CK98" s="1603">
        <v>76.208000000000013</v>
      </c>
      <c r="CL98" s="1603">
        <v>13.112</v>
      </c>
      <c r="CM98" s="1603">
        <v>16.896000000000004</v>
      </c>
      <c r="CN98" s="1603">
        <v>44.176000000000002</v>
      </c>
      <c r="CO98" s="1603">
        <v>0</v>
      </c>
      <c r="CP98" s="1603">
        <v>1.75999999999999E-2</v>
      </c>
      <c r="CQ98" s="1603">
        <v>228.096</v>
      </c>
      <c r="CR98" s="1603">
        <v>242.1165117361214</v>
      </c>
      <c r="CS98" s="1603">
        <v>16.242729935482515</v>
      </c>
      <c r="CT98" s="1603">
        <v>1.6858483039404009</v>
      </c>
      <c r="CU98" s="1603">
        <v>2.5990161352414511</v>
      </c>
      <c r="CV98" s="1603">
        <v>4.2848644391818409</v>
      </c>
      <c r="CW98" s="1603">
        <v>8.4217687878583067</v>
      </c>
      <c r="CX98" s="1603">
        <v>1.9458993721014202</v>
      </c>
      <c r="CY98" s="1603">
        <v>9.3954657470933665</v>
      </c>
      <c r="CZ98" s="1603">
        <v>18.010778289703698</v>
      </c>
      <c r="DA98" s="1603">
        <v>6.6694131705088893</v>
      </c>
      <c r="DB98" s="1603">
        <v>10.088187989005048</v>
      </c>
      <c r="DC98" s="1603">
        <v>8.1781577297534227</v>
      </c>
      <c r="DD98" s="1603">
        <v>18.266345718758494</v>
      </c>
      <c r="DE98" s="1603">
        <v>10.325820861634945</v>
      </c>
      <c r="DF98" s="1603">
        <v>0</v>
      </c>
      <c r="DG98" s="1603">
        <v>0</v>
      </c>
      <c r="DH98" s="1603">
        <v>0</v>
      </c>
      <c r="DI98" s="1603">
        <v>0</v>
      </c>
      <c r="DJ98" s="1603">
        <v>0</v>
      </c>
      <c r="DK98" s="1603">
        <v>0</v>
      </c>
      <c r="DL98" s="1603">
        <v>0</v>
      </c>
      <c r="DM98" s="1603">
        <v>0</v>
      </c>
      <c r="DN98" s="1603">
        <v>0</v>
      </c>
      <c r="DO98" s="1603">
        <v>0</v>
      </c>
      <c r="DP98" s="1603">
        <v>0</v>
      </c>
      <c r="DQ98" s="1603">
        <v>0</v>
      </c>
      <c r="DR98" s="1603">
        <v>0</v>
      </c>
      <c r="DS98" s="1603">
        <v>0</v>
      </c>
      <c r="DT98" s="1603">
        <v>0</v>
      </c>
      <c r="DU98" s="1603">
        <v>0</v>
      </c>
      <c r="DV98" s="1603">
        <v>0</v>
      </c>
      <c r="DW98" s="1618" t="s">
        <v>3536</v>
      </c>
      <c r="DX98" s="1605">
        <v>3</v>
      </c>
      <c r="DY98" s="1605">
        <v>3</v>
      </c>
      <c r="DZ98" s="1605">
        <v>3</v>
      </c>
      <c r="EA98" s="1605">
        <v>3</v>
      </c>
      <c r="EB98" s="1605" t="s">
        <v>986</v>
      </c>
      <c r="EC98" s="1605">
        <v>3</v>
      </c>
      <c r="ED98" s="1605">
        <v>3</v>
      </c>
      <c r="EE98" s="1605">
        <v>3</v>
      </c>
      <c r="EF98" s="1605">
        <v>3</v>
      </c>
      <c r="EG98" s="1605">
        <v>3</v>
      </c>
      <c r="EH98" s="1605">
        <v>3</v>
      </c>
      <c r="EI98" s="1605">
        <v>3</v>
      </c>
      <c r="EJ98" s="1605">
        <v>3</v>
      </c>
      <c r="EK98" s="1605">
        <v>3</v>
      </c>
      <c r="EL98" s="1605">
        <v>3</v>
      </c>
      <c r="EM98" s="1605">
        <v>3</v>
      </c>
      <c r="EN98" s="1605">
        <v>3</v>
      </c>
      <c r="EO98" s="1605">
        <v>3</v>
      </c>
      <c r="EP98" s="1605">
        <v>3</v>
      </c>
      <c r="EQ98" s="1605">
        <v>3</v>
      </c>
      <c r="ER98" s="1605">
        <v>3</v>
      </c>
      <c r="ES98" s="1605">
        <v>3</v>
      </c>
      <c r="ET98" s="1605">
        <v>3</v>
      </c>
      <c r="EU98" s="1605">
        <v>3</v>
      </c>
      <c r="EV98" s="1605" t="s">
        <v>986</v>
      </c>
      <c r="EW98" s="1605">
        <v>3</v>
      </c>
      <c r="EX98" s="1605">
        <v>3</v>
      </c>
      <c r="EY98" s="1605" t="s">
        <v>986</v>
      </c>
      <c r="EZ98" s="1605">
        <v>3</v>
      </c>
      <c r="FA98" s="1605">
        <v>3</v>
      </c>
      <c r="FB98" s="1605">
        <v>3</v>
      </c>
      <c r="FC98" s="1605">
        <v>3</v>
      </c>
      <c r="FD98" s="1605" t="s">
        <v>986</v>
      </c>
      <c r="FE98" s="1605" t="s">
        <v>986</v>
      </c>
      <c r="FF98" s="1605" t="s">
        <v>986</v>
      </c>
      <c r="FG98" s="1605" t="s">
        <v>986</v>
      </c>
      <c r="FH98" s="1605" t="s">
        <v>986</v>
      </c>
      <c r="FI98" s="1605" t="s">
        <v>986</v>
      </c>
      <c r="FJ98" s="1605" t="s">
        <v>986</v>
      </c>
      <c r="FK98" s="1605" t="s">
        <v>986</v>
      </c>
      <c r="FL98" s="1605" t="s">
        <v>986</v>
      </c>
      <c r="FM98" s="1605" t="s">
        <v>986</v>
      </c>
      <c r="FN98" s="1605" t="s">
        <v>986</v>
      </c>
      <c r="FO98" s="1605" t="s">
        <v>986</v>
      </c>
      <c r="FP98" s="1605" t="s">
        <v>986</v>
      </c>
      <c r="FQ98" s="1605" t="s">
        <v>986</v>
      </c>
      <c r="FR98" s="1605" t="s">
        <v>986</v>
      </c>
      <c r="FS98" s="1605" t="s">
        <v>986</v>
      </c>
      <c r="FT98" s="1605" t="s">
        <v>986</v>
      </c>
      <c r="FU98" s="1605" t="s">
        <v>986</v>
      </c>
      <c r="FV98" s="1605" t="s">
        <v>986</v>
      </c>
      <c r="FW98" s="1605" t="s">
        <v>986</v>
      </c>
      <c r="FX98" s="1605" t="s">
        <v>986</v>
      </c>
      <c r="FY98" s="1605" t="s">
        <v>986</v>
      </c>
      <c r="FZ98" s="1605" t="s">
        <v>986</v>
      </c>
      <c r="GA98" s="1605" t="s">
        <v>986</v>
      </c>
      <c r="GB98" s="1605" t="s">
        <v>986</v>
      </c>
      <c r="GC98" s="1605" t="s">
        <v>986</v>
      </c>
      <c r="GD98" s="1605" t="s">
        <v>986</v>
      </c>
      <c r="GE98" s="1605" t="s">
        <v>986</v>
      </c>
      <c r="GF98" s="1605" t="s">
        <v>986</v>
      </c>
      <c r="GG98" s="1605" t="s">
        <v>986</v>
      </c>
      <c r="GH98" s="1605" t="s">
        <v>986</v>
      </c>
      <c r="GI98" s="1605" t="s">
        <v>986</v>
      </c>
      <c r="GJ98" s="1605" t="s">
        <v>986</v>
      </c>
      <c r="GK98" s="1605" t="s">
        <v>986</v>
      </c>
      <c r="GL98" s="1605" t="s">
        <v>986</v>
      </c>
      <c r="GM98" s="1605" t="s">
        <v>986</v>
      </c>
      <c r="GN98" s="1605" t="s">
        <v>1584</v>
      </c>
      <c r="GO98" s="1605" t="s">
        <v>1584</v>
      </c>
      <c r="GP98" s="1605" t="s">
        <v>1584</v>
      </c>
      <c r="GQ98" s="1605" t="s">
        <v>1584</v>
      </c>
      <c r="GR98" s="1605" t="s">
        <v>986</v>
      </c>
      <c r="GS98" s="1605" t="s">
        <v>1584</v>
      </c>
      <c r="GT98" s="1605" t="s">
        <v>1584</v>
      </c>
      <c r="GU98" s="1605" t="s">
        <v>1584</v>
      </c>
      <c r="GV98" s="1605" t="s">
        <v>1584</v>
      </c>
      <c r="GW98" s="1605" t="s">
        <v>1584</v>
      </c>
      <c r="GX98" s="1605" t="s">
        <v>1584</v>
      </c>
      <c r="GY98" s="1605" t="s">
        <v>1584</v>
      </c>
      <c r="GZ98" s="1605" t="s">
        <v>1584</v>
      </c>
      <c r="HA98" s="1605" t="s">
        <v>1584</v>
      </c>
      <c r="HB98" s="1605" t="s">
        <v>1584</v>
      </c>
      <c r="HC98" s="1605" t="s">
        <v>1584</v>
      </c>
      <c r="HD98" s="1605" t="s">
        <v>1584</v>
      </c>
      <c r="HE98" s="1605" t="s">
        <v>1584</v>
      </c>
      <c r="HF98" s="1605" t="s">
        <v>1584</v>
      </c>
      <c r="HG98" s="1605" t="s">
        <v>1584</v>
      </c>
      <c r="HH98" s="1605" t="s">
        <v>1584</v>
      </c>
      <c r="HI98" s="1605" t="s">
        <v>1584</v>
      </c>
      <c r="HJ98" s="1605" t="s">
        <v>1584</v>
      </c>
      <c r="HK98" s="1605" t="s">
        <v>986</v>
      </c>
      <c r="HL98" s="1605" t="s">
        <v>986</v>
      </c>
      <c r="HM98" s="1605" t="s">
        <v>1584</v>
      </c>
      <c r="HN98" s="1605" t="s">
        <v>1584</v>
      </c>
      <c r="HO98" s="1605" t="s">
        <v>1591</v>
      </c>
      <c r="HP98" s="1605" t="s">
        <v>1584</v>
      </c>
      <c r="HQ98" s="1605" t="s">
        <v>1584</v>
      </c>
      <c r="HR98" s="1605" t="s">
        <v>1584</v>
      </c>
      <c r="HS98" s="1605" t="s">
        <v>1584</v>
      </c>
      <c r="HT98" s="1605" t="s">
        <v>986</v>
      </c>
      <c r="HU98" s="1605" t="s">
        <v>986</v>
      </c>
      <c r="HV98" s="1617"/>
      <c r="HW98" s="1617" t="s">
        <v>3535</v>
      </c>
      <c r="HX98" s="1617" t="s">
        <v>3534</v>
      </c>
      <c r="HY98" s="1617" t="s">
        <v>3533</v>
      </c>
      <c r="HZ98" s="1603"/>
      <c r="IA98" s="1603"/>
      <c r="IB98" s="1603"/>
      <c r="IC98" s="1603">
        <v>45.861788617886198</v>
      </c>
      <c r="ID98" s="1603">
        <v>46.349593495934997</v>
      </c>
      <c r="IE98" s="1603">
        <v>46.756097560975597</v>
      </c>
      <c r="IF98" s="1603">
        <v>47</v>
      </c>
      <c r="IG98" s="1611" t="s">
        <v>3532</v>
      </c>
      <c r="IH98" s="1616" t="s">
        <v>3531</v>
      </c>
      <c r="II98" s="1615" t="s">
        <v>2182</v>
      </c>
      <c r="IJ98" s="1613">
        <v>0.6852303474518755</v>
      </c>
      <c r="IK98" s="1613">
        <v>0.38693201502559249</v>
      </c>
      <c r="IL98" s="1614">
        <v>0.6852303474518755</v>
      </c>
      <c r="IM98" s="1614">
        <v>0.38693201502559249</v>
      </c>
      <c r="IN98" s="1612">
        <v>0.3</v>
      </c>
      <c r="IO98" s="1613">
        <v>-0.38523034745187551</v>
      </c>
      <c r="IP98" s="1607">
        <v>3.5120730929904509</v>
      </c>
      <c r="IQ98" s="1612">
        <v>2</v>
      </c>
      <c r="IR98" s="1612" t="s">
        <v>270</v>
      </c>
      <c r="IS98" s="1607">
        <v>0.6812303474518755</v>
      </c>
      <c r="IT98" s="1607">
        <v>0.38293201502559249</v>
      </c>
      <c r="IU98" s="1611">
        <v>6.4212832763512389E-6</v>
      </c>
      <c r="IV98" s="1611">
        <v>7.2637878281992616E-3</v>
      </c>
      <c r="IW98" s="1611">
        <v>5.1973423616059737E-4</v>
      </c>
      <c r="IX98" s="1611">
        <v>7.795552704729507E-4</v>
      </c>
      <c r="IY98" s="1611">
        <v>5.2379482749068866E-4</v>
      </c>
      <c r="IZ98" s="1611">
        <v>5.3226741119841298E-3</v>
      </c>
      <c r="JA98" s="1611">
        <v>4.0646617571263164E-4</v>
      </c>
      <c r="JB98" s="1611">
        <v>2.4597491724995821E-3</v>
      </c>
      <c r="JC98" s="1611">
        <v>4.1485506023302605</v>
      </c>
      <c r="JD98" s="1611">
        <v>4.8360685599693011E-2</v>
      </c>
      <c r="JE98" s="1611">
        <v>4.8631776200671627E-2</v>
      </c>
      <c r="JF98" s="1611">
        <v>4.5129867489544128E-4</v>
      </c>
      <c r="JG98" s="1611">
        <v>2.8578606488805058</v>
      </c>
      <c r="JH98" s="1611">
        <v>1.1071423674775091E-3</v>
      </c>
      <c r="JI98" s="1611">
        <v>5.1236023101416006E-2</v>
      </c>
      <c r="JJ98" s="1611">
        <v>1.8296138951246235E-2</v>
      </c>
      <c r="JK98" s="1607">
        <f t="shared" si="10"/>
        <v>4.0000000000000036E-3</v>
      </c>
      <c r="JL98" s="1608" t="s">
        <v>270</v>
      </c>
      <c r="JM98" s="1610" t="s">
        <v>2924</v>
      </c>
      <c r="JN98" s="1608">
        <v>0.29829833242628301</v>
      </c>
      <c r="JO98" s="1609" t="s">
        <v>2923</v>
      </c>
      <c r="JP98" s="1608" t="s">
        <v>270</v>
      </c>
      <c r="JQ98" s="1607">
        <v>201901</v>
      </c>
      <c r="JR98" s="1606">
        <v>36</v>
      </c>
      <c r="JS98" s="1606" t="s">
        <v>270</v>
      </c>
      <c r="JT98" s="1606" t="s">
        <v>270</v>
      </c>
    </row>
    <row r="99" spans="1:280" ht="15" customHeight="1" x14ac:dyDescent="0.2">
      <c r="A99" s="1626">
        <v>65230</v>
      </c>
      <c r="B99" s="1625">
        <v>652</v>
      </c>
      <c r="C99" s="1624">
        <v>30</v>
      </c>
      <c r="D99" s="1623" t="s">
        <v>3538</v>
      </c>
      <c r="E99" s="1622">
        <v>43370</v>
      </c>
      <c r="F99" s="1620">
        <v>0.90856974490506404</v>
      </c>
      <c r="G99" s="1620">
        <v>0.93095360913704195</v>
      </c>
      <c r="H99" s="1621">
        <v>81.400000000000006</v>
      </c>
      <c r="I99" s="1621">
        <v>72.800008599999998</v>
      </c>
      <c r="J99" s="1621">
        <v>82</v>
      </c>
      <c r="K99" s="1620">
        <v>1</v>
      </c>
      <c r="L99" s="1620">
        <v>88</v>
      </c>
      <c r="M99" s="1620">
        <v>25.783999999999999</v>
      </c>
      <c r="N99" s="1620">
        <v>1.8480000000000001</v>
      </c>
      <c r="O99" s="1620">
        <v>3.3439999999999999</v>
      </c>
      <c r="P99" s="1620" t="s">
        <v>270</v>
      </c>
      <c r="Q99" s="1603"/>
      <c r="R99" s="1620">
        <v>80</v>
      </c>
      <c r="S99" s="1620">
        <v>37</v>
      </c>
      <c r="T99" s="1620">
        <v>41.065040650406502</v>
      </c>
      <c r="U99" s="1620">
        <v>42.691056910569102</v>
      </c>
      <c r="V99" s="1620">
        <v>44.154471544715399</v>
      </c>
      <c r="W99" s="1620">
        <v>45.130081300813004</v>
      </c>
      <c r="X99" s="1620"/>
      <c r="Y99" s="1620">
        <v>1.4000000000000001</v>
      </c>
      <c r="Z99" s="1620">
        <v>6.3</v>
      </c>
      <c r="AA99" s="1620">
        <v>0.19999999999999998</v>
      </c>
      <c r="AB99" s="1620">
        <v>0.34090909090909088</v>
      </c>
      <c r="AC99" s="1620">
        <v>12.6</v>
      </c>
      <c r="AD99" s="1620">
        <v>1.4000000000000001</v>
      </c>
      <c r="AE99" s="1620">
        <v>2.1999999999999997</v>
      </c>
      <c r="AF99" s="1620">
        <v>69.600000000000009</v>
      </c>
      <c r="AG99" s="1620">
        <v>13.8</v>
      </c>
      <c r="AH99" s="1620">
        <v>19.399999999999999</v>
      </c>
      <c r="AI99" s="1620">
        <v>60.1</v>
      </c>
      <c r="AJ99" s="1620">
        <v>0</v>
      </c>
      <c r="AK99" s="1620">
        <v>1.9999999999999886E-2</v>
      </c>
      <c r="AL99" s="1620"/>
      <c r="AM99" s="1620">
        <v>6.21160409556314</v>
      </c>
      <c r="AN99" s="1620">
        <v>0.68259385665529004</v>
      </c>
      <c r="AO99" s="1620">
        <v>1.1262798634812301</v>
      </c>
      <c r="AP99" s="1620">
        <v>3.3788395904436901</v>
      </c>
      <c r="AQ99" s="1620">
        <v>0.78498293515358397</v>
      </c>
      <c r="AR99" s="1620">
        <v>3.7542662116040999</v>
      </c>
      <c r="AS99" s="1620">
        <v>7.0648464163822497</v>
      </c>
      <c r="AT99" s="1620">
        <v>2.55972696245734</v>
      </c>
      <c r="AU99" s="1620">
        <v>4.1296928327645004</v>
      </c>
      <c r="AV99" s="1620">
        <v>3.6177474402730398</v>
      </c>
      <c r="AW99" s="1620">
        <v>4.2662116040955604</v>
      </c>
      <c r="AX99" s="1620"/>
      <c r="AY99" s="1620">
        <v>1.04</v>
      </c>
      <c r="AZ99" s="1620">
        <v>0.94</v>
      </c>
      <c r="BA99" s="1620">
        <v>0.94</v>
      </c>
      <c r="BB99" s="1620">
        <v>0.98</v>
      </c>
      <c r="BC99" s="1620">
        <v>0.93</v>
      </c>
      <c r="BD99" s="1620">
        <v>0.99</v>
      </c>
      <c r="BE99" s="1620">
        <v>1.03</v>
      </c>
      <c r="BF99" s="1620">
        <v>1.05</v>
      </c>
      <c r="BG99" s="1620">
        <v>1</v>
      </c>
      <c r="BH99" s="1620">
        <v>0.96</v>
      </c>
      <c r="BI99" s="1620">
        <v>0.98</v>
      </c>
      <c r="BJ99" s="1603"/>
      <c r="BK99" s="1620">
        <v>29.3</v>
      </c>
      <c r="BL99" s="1620">
        <v>2.1</v>
      </c>
      <c r="BM99" s="1620">
        <v>3.8</v>
      </c>
      <c r="BN99" s="1620" t="s">
        <v>270</v>
      </c>
      <c r="BO99" s="1620"/>
      <c r="BP99" s="1620">
        <v>130</v>
      </c>
      <c r="BQ99" s="1620">
        <v>27.3</v>
      </c>
      <c r="BR99" s="1620">
        <v>1.0324656192103001</v>
      </c>
      <c r="BS99" s="1620">
        <v>1.0579018285648205</v>
      </c>
      <c r="BT99" s="1603"/>
      <c r="BU99" s="1620">
        <v>962</v>
      </c>
      <c r="BV99" s="1620">
        <v>377.87954675999993</v>
      </c>
      <c r="BW99" s="1620">
        <v>118.18845323999999</v>
      </c>
      <c r="BX99" s="1620">
        <v>375</v>
      </c>
      <c r="BY99" s="1620">
        <v>32</v>
      </c>
      <c r="BZ99" s="1620">
        <v>58.500137142857049</v>
      </c>
      <c r="CA99" s="1620">
        <v>185.25043428571362</v>
      </c>
      <c r="CB99" s="1603"/>
      <c r="CC99" s="1603">
        <v>1.2320000000000002</v>
      </c>
      <c r="CD99" s="1603">
        <v>5.5439999999999996</v>
      </c>
      <c r="CE99" s="1603">
        <v>0.17599999999999999</v>
      </c>
      <c r="CF99" s="1603">
        <v>0.3</v>
      </c>
      <c r="CG99" s="1603">
        <v>11.087999999999999</v>
      </c>
      <c r="CH99" s="1603">
        <v>1.2320000000000002</v>
      </c>
      <c r="CI99" s="1603">
        <v>1.9359999999999997</v>
      </c>
      <c r="CJ99" s="1603"/>
      <c r="CK99" s="1603">
        <v>61.248000000000005</v>
      </c>
      <c r="CL99" s="1603">
        <v>12.144</v>
      </c>
      <c r="CM99" s="1603">
        <v>17.071999999999999</v>
      </c>
      <c r="CN99" s="1603">
        <v>52.887999999999998</v>
      </c>
      <c r="CO99" s="1603">
        <v>0</v>
      </c>
      <c r="CP99" s="1603">
        <v>1.75999999999999E-2</v>
      </c>
      <c r="CQ99" s="1603">
        <v>206.27199999999999</v>
      </c>
      <c r="CR99" s="1603">
        <v>227.02935152386485</v>
      </c>
      <c r="CS99" s="1603">
        <v>14.6662510772823</v>
      </c>
      <c r="CT99" s="1603">
        <v>1.4567071019278701</v>
      </c>
      <c r="CU99" s="1603">
        <v>2.4035667181809854</v>
      </c>
      <c r="CV99" s="1603">
        <v>3.8602738201088447</v>
      </c>
      <c r="CW99" s="1603">
        <v>7.5175384589915932</v>
      </c>
      <c r="CX99" s="1603">
        <v>1.6573917505445288</v>
      </c>
      <c r="CY99" s="1603">
        <v>8.4380533723374906</v>
      </c>
      <c r="CZ99" s="1603">
        <v>16.520453255427721</v>
      </c>
      <c r="DA99" s="1603">
        <v>6.1018980998308274</v>
      </c>
      <c r="DB99" s="1603">
        <v>9.3756148581527707</v>
      </c>
      <c r="DC99" s="1603">
        <v>7.8848146112861617</v>
      </c>
      <c r="DD99" s="1603">
        <v>17.260429469438954</v>
      </c>
      <c r="DE99" s="1603">
        <v>9.4918414886257487</v>
      </c>
      <c r="DF99" s="1603">
        <v>0</v>
      </c>
      <c r="DG99" s="1603">
        <v>0</v>
      </c>
      <c r="DH99" s="1603">
        <v>0</v>
      </c>
      <c r="DI99" s="1603">
        <v>0</v>
      </c>
      <c r="DJ99" s="1603">
        <v>0</v>
      </c>
      <c r="DK99" s="1603">
        <v>0</v>
      </c>
      <c r="DL99" s="1603">
        <v>0</v>
      </c>
      <c r="DM99" s="1603">
        <v>0</v>
      </c>
      <c r="DN99" s="1603">
        <v>0</v>
      </c>
      <c r="DO99" s="1603">
        <v>0</v>
      </c>
      <c r="DP99" s="1603">
        <v>0</v>
      </c>
      <c r="DQ99" s="1603">
        <v>0</v>
      </c>
      <c r="DR99" s="1603">
        <v>0</v>
      </c>
      <c r="DS99" s="1603">
        <v>0</v>
      </c>
      <c r="DT99" s="1603">
        <v>0</v>
      </c>
      <c r="DU99" s="1603">
        <v>0</v>
      </c>
      <c r="DV99" s="1603">
        <v>0</v>
      </c>
      <c r="DW99" s="1618" t="s">
        <v>3536</v>
      </c>
      <c r="DX99" s="1605">
        <v>3</v>
      </c>
      <c r="DY99" s="1605">
        <v>3</v>
      </c>
      <c r="DZ99" s="1605">
        <v>3</v>
      </c>
      <c r="EA99" s="1605">
        <v>3</v>
      </c>
      <c r="EB99" s="1605" t="s">
        <v>986</v>
      </c>
      <c r="EC99" s="1605">
        <v>3</v>
      </c>
      <c r="ED99" s="1605">
        <v>3</v>
      </c>
      <c r="EE99" s="1605">
        <v>3</v>
      </c>
      <c r="EF99" s="1605">
        <v>3</v>
      </c>
      <c r="EG99" s="1605">
        <v>3</v>
      </c>
      <c r="EH99" s="1605">
        <v>3</v>
      </c>
      <c r="EI99" s="1605">
        <v>3</v>
      </c>
      <c r="EJ99" s="1605">
        <v>3</v>
      </c>
      <c r="EK99" s="1605">
        <v>3</v>
      </c>
      <c r="EL99" s="1605">
        <v>3</v>
      </c>
      <c r="EM99" s="1605">
        <v>3</v>
      </c>
      <c r="EN99" s="1605">
        <v>3</v>
      </c>
      <c r="EO99" s="1605">
        <v>3</v>
      </c>
      <c r="EP99" s="1605">
        <v>3</v>
      </c>
      <c r="EQ99" s="1605">
        <v>3</v>
      </c>
      <c r="ER99" s="1605">
        <v>3</v>
      </c>
      <c r="ES99" s="1605">
        <v>3</v>
      </c>
      <c r="ET99" s="1605">
        <v>3</v>
      </c>
      <c r="EU99" s="1605">
        <v>3</v>
      </c>
      <c r="EV99" s="1605" t="s">
        <v>986</v>
      </c>
      <c r="EW99" s="1605">
        <v>3</v>
      </c>
      <c r="EX99" s="1605">
        <v>3</v>
      </c>
      <c r="EY99" s="1605" t="s">
        <v>986</v>
      </c>
      <c r="EZ99" s="1605">
        <v>3</v>
      </c>
      <c r="FA99" s="1605">
        <v>3</v>
      </c>
      <c r="FB99" s="1605">
        <v>3</v>
      </c>
      <c r="FC99" s="1605">
        <v>3</v>
      </c>
      <c r="FD99" s="1605" t="s">
        <v>986</v>
      </c>
      <c r="FE99" s="1605" t="s">
        <v>986</v>
      </c>
      <c r="FF99" s="1605" t="s">
        <v>986</v>
      </c>
      <c r="FG99" s="1605" t="s">
        <v>986</v>
      </c>
      <c r="FH99" s="1605" t="s">
        <v>986</v>
      </c>
      <c r="FI99" s="1605" t="s">
        <v>986</v>
      </c>
      <c r="FJ99" s="1605" t="s">
        <v>986</v>
      </c>
      <c r="FK99" s="1605" t="s">
        <v>986</v>
      </c>
      <c r="FL99" s="1605" t="s">
        <v>986</v>
      </c>
      <c r="FM99" s="1605" t="s">
        <v>986</v>
      </c>
      <c r="FN99" s="1605" t="s">
        <v>986</v>
      </c>
      <c r="FO99" s="1605" t="s">
        <v>986</v>
      </c>
      <c r="FP99" s="1605" t="s">
        <v>986</v>
      </c>
      <c r="FQ99" s="1605" t="s">
        <v>986</v>
      </c>
      <c r="FR99" s="1605" t="s">
        <v>986</v>
      </c>
      <c r="FS99" s="1605" t="s">
        <v>986</v>
      </c>
      <c r="FT99" s="1605" t="s">
        <v>986</v>
      </c>
      <c r="FU99" s="1605" t="s">
        <v>986</v>
      </c>
      <c r="FV99" s="1605" t="s">
        <v>986</v>
      </c>
      <c r="FW99" s="1605" t="s">
        <v>986</v>
      </c>
      <c r="FX99" s="1605" t="s">
        <v>986</v>
      </c>
      <c r="FY99" s="1605" t="s">
        <v>986</v>
      </c>
      <c r="FZ99" s="1605" t="s">
        <v>986</v>
      </c>
      <c r="GA99" s="1605" t="s">
        <v>986</v>
      </c>
      <c r="GB99" s="1605" t="s">
        <v>986</v>
      </c>
      <c r="GC99" s="1605" t="s">
        <v>986</v>
      </c>
      <c r="GD99" s="1605" t="s">
        <v>986</v>
      </c>
      <c r="GE99" s="1605" t="s">
        <v>986</v>
      </c>
      <c r="GF99" s="1605" t="s">
        <v>986</v>
      </c>
      <c r="GG99" s="1605" t="s">
        <v>986</v>
      </c>
      <c r="GH99" s="1605" t="s">
        <v>986</v>
      </c>
      <c r="GI99" s="1605" t="s">
        <v>986</v>
      </c>
      <c r="GJ99" s="1605" t="s">
        <v>986</v>
      </c>
      <c r="GK99" s="1605" t="s">
        <v>986</v>
      </c>
      <c r="GL99" s="1605" t="s">
        <v>986</v>
      </c>
      <c r="GM99" s="1605" t="s">
        <v>986</v>
      </c>
      <c r="GN99" s="1605" t="s">
        <v>1584</v>
      </c>
      <c r="GO99" s="1605" t="s">
        <v>1584</v>
      </c>
      <c r="GP99" s="1605" t="s">
        <v>1584</v>
      </c>
      <c r="GQ99" s="1605" t="s">
        <v>1584</v>
      </c>
      <c r="GR99" s="1605" t="s">
        <v>986</v>
      </c>
      <c r="GS99" s="1605" t="s">
        <v>1584</v>
      </c>
      <c r="GT99" s="1605" t="s">
        <v>1584</v>
      </c>
      <c r="GU99" s="1605" t="s">
        <v>1584</v>
      </c>
      <c r="GV99" s="1605" t="s">
        <v>1584</v>
      </c>
      <c r="GW99" s="1605" t="s">
        <v>1584</v>
      </c>
      <c r="GX99" s="1605" t="s">
        <v>1584</v>
      </c>
      <c r="GY99" s="1605" t="s">
        <v>1584</v>
      </c>
      <c r="GZ99" s="1605" t="s">
        <v>1584</v>
      </c>
      <c r="HA99" s="1605" t="s">
        <v>1584</v>
      </c>
      <c r="HB99" s="1605" t="s">
        <v>1584</v>
      </c>
      <c r="HC99" s="1605" t="s">
        <v>1584</v>
      </c>
      <c r="HD99" s="1605" t="s">
        <v>1584</v>
      </c>
      <c r="HE99" s="1605" t="s">
        <v>1584</v>
      </c>
      <c r="HF99" s="1605" t="s">
        <v>1584</v>
      </c>
      <c r="HG99" s="1605" t="s">
        <v>1584</v>
      </c>
      <c r="HH99" s="1605" t="s">
        <v>1584</v>
      </c>
      <c r="HI99" s="1605" t="s">
        <v>1584</v>
      </c>
      <c r="HJ99" s="1605" t="s">
        <v>1584</v>
      </c>
      <c r="HK99" s="1605" t="s">
        <v>986</v>
      </c>
      <c r="HL99" s="1605" t="s">
        <v>986</v>
      </c>
      <c r="HM99" s="1605" t="s">
        <v>1584</v>
      </c>
      <c r="HN99" s="1605" t="s">
        <v>1584</v>
      </c>
      <c r="HO99" s="1605" t="s">
        <v>1591</v>
      </c>
      <c r="HP99" s="1605" t="s">
        <v>1584</v>
      </c>
      <c r="HQ99" s="1605" t="s">
        <v>1584</v>
      </c>
      <c r="HR99" s="1605" t="s">
        <v>1584</v>
      </c>
      <c r="HS99" s="1605" t="s">
        <v>1584</v>
      </c>
      <c r="HT99" s="1605" t="s">
        <v>986</v>
      </c>
      <c r="HU99" s="1605" t="s">
        <v>986</v>
      </c>
      <c r="HV99" s="1617"/>
      <c r="HW99" s="1617" t="s">
        <v>3535</v>
      </c>
      <c r="HX99" s="1617" t="s">
        <v>3534</v>
      </c>
      <c r="HY99" s="1617" t="s">
        <v>3533</v>
      </c>
      <c r="HZ99" s="1603"/>
      <c r="IA99" s="1603"/>
      <c r="IB99" s="1603"/>
      <c r="IC99" s="1603">
        <v>45.861788617886198</v>
      </c>
      <c r="ID99" s="1603">
        <v>46.349593495934997</v>
      </c>
      <c r="IE99" s="1603">
        <v>46.756097560975597</v>
      </c>
      <c r="IF99" s="1603">
        <v>47</v>
      </c>
      <c r="IG99" s="1611" t="s">
        <v>3532</v>
      </c>
      <c r="IH99" s="1616" t="s">
        <v>3531</v>
      </c>
      <c r="II99" s="1615" t="s">
        <v>2182</v>
      </c>
      <c r="IJ99" s="1613">
        <v>0.6852303474518755</v>
      </c>
      <c r="IK99" s="1613">
        <v>0.38693201502559249</v>
      </c>
      <c r="IL99" s="1614">
        <v>0.6852303474518755</v>
      </c>
      <c r="IM99" s="1614">
        <v>0.38693201502559249</v>
      </c>
      <c r="IN99" s="1612">
        <v>0.3</v>
      </c>
      <c r="IO99" s="1613">
        <v>-0.38523034745187551</v>
      </c>
      <c r="IP99" s="1607">
        <v>3.5120730929904509</v>
      </c>
      <c r="IQ99" s="1612">
        <v>2</v>
      </c>
      <c r="IR99" s="1612" t="s">
        <v>270</v>
      </c>
      <c r="IS99" s="1607">
        <v>0.6812303474518755</v>
      </c>
      <c r="IT99" s="1607">
        <v>0.38293201502559249</v>
      </c>
      <c r="IU99" s="1611">
        <v>6.4212832763512389E-6</v>
      </c>
      <c r="IV99" s="1611">
        <v>7.2637878281992616E-3</v>
      </c>
      <c r="IW99" s="1611">
        <v>5.1973423616059737E-4</v>
      </c>
      <c r="IX99" s="1611">
        <v>7.795552704729507E-4</v>
      </c>
      <c r="IY99" s="1611">
        <v>5.2379482749068866E-4</v>
      </c>
      <c r="IZ99" s="1611">
        <v>5.3226741119841298E-3</v>
      </c>
      <c r="JA99" s="1611">
        <v>4.0646617571263164E-4</v>
      </c>
      <c r="JB99" s="1611">
        <v>2.4597491724995821E-3</v>
      </c>
      <c r="JC99" s="1611">
        <v>4.1485506023302605</v>
      </c>
      <c r="JD99" s="1611">
        <v>4.8360685599693011E-2</v>
      </c>
      <c r="JE99" s="1611">
        <v>4.8631776200671627E-2</v>
      </c>
      <c r="JF99" s="1611">
        <v>4.5129867489544128E-4</v>
      </c>
      <c r="JG99" s="1611">
        <v>2.8578606488805058</v>
      </c>
      <c r="JH99" s="1611">
        <v>1.1071423674775091E-3</v>
      </c>
      <c r="JI99" s="1611">
        <v>5.1236023101416006E-2</v>
      </c>
      <c r="JJ99" s="1611">
        <v>1.8296138951246235E-2</v>
      </c>
      <c r="JK99" s="1607">
        <f t="shared" si="10"/>
        <v>4.0000000000000036E-3</v>
      </c>
      <c r="JL99" s="1608" t="s">
        <v>270</v>
      </c>
      <c r="JM99" s="1610" t="s">
        <v>2924</v>
      </c>
      <c r="JN99" s="1608">
        <v>0.29829833242628301</v>
      </c>
      <c r="JO99" s="1609" t="s">
        <v>2923</v>
      </c>
      <c r="JP99" s="1608" t="s">
        <v>270</v>
      </c>
      <c r="JQ99" s="1607">
        <v>201901</v>
      </c>
      <c r="JR99" s="1606">
        <v>36</v>
      </c>
      <c r="JS99" s="1606" t="s">
        <v>270</v>
      </c>
      <c r="JT99" s="1606" t="s">
        <v>270</v>
      </c>
    </row>
    <row r="100" spans="1:280" ht="15" customHeight="1" x14ac:dyDescent="0.2">
      <c r="A100" s="1626">
        <v>65220</v>
      </c>
      <c r="B100" s="1625">
        <v>652</v>
      </c>
      <c r="C100" s="1624">
        <v>20</v>
      </c>
      <c r="D100" s="1623" t="s">
        <v>3537</v>
      </c>
      <c r="E100" s="1622">
        <v>43370</v>
      </c>
      <c r="F100" s="1620">
        <v>0.95043545201728696</v>
      </c>
      <c r="G100" s="1620">
        <v>0.96616021792913898</v>
      </c>
      <c r="H100" s="1621">
        <v>83.2</v>
      </c>
      <c r="I100" s="1621">
        <v>75.199987199999995</v>
      </c>
      <c r="J100" s="1621">
        <v>82</v>
      </c>
      <c r="K100" s="1620">
        <v>1</v>
      </c>
      <c r="L100" s="1620">
        <v>88</v>
      </c>
      <c r="M100" s="1620">
        <v>26.135999999999999</v>
      </c>
      <c r="N100" s="1620">
        <v>1.9359999999999999</v>
      </c>
      <c r="O100" s="1620">
        <v>3.08</v>
      </c>
      <c r="P100" s="1620" t="s">
        <v>270</v>
      </c>
      <c r="Q100" s="1603"/>
      <c r="R100" s="1620">
        <v>80</v>
      </c>
      <c r="S100" s="1620">
        <v>37</v>
      </c>
      <c r="T100" s="1620">
        <v>41.065040650406502</v>
      </c>
      <c r="U100" s="1620">
        <v>42.691056910569102</v>
      </c>
      <c r="V100" s="1620">
        <v>44.154471544715399</v>
      </c>
      <c r="W100" s="1620">
        <v>45.130081300813004</v>
      </c>
      <c r="X100" s="1620"/>
      <c r="Y100" s="1620">
        <v>1.2999999999999998</v>
      </c>
      <c r="Z100" s="1620">
        <v>5.3999999999999995</v>
      </c>
      <c r="AA100" s="1620">
        <v>0.30000000000000004</v>
      </c>
      <c r="AB100" s="1620">
        <v>0.34090909090909088</v>
      </c>
      <c r="AC100" s="1620">
        <v>12.4</v>
      </c>
      <c r="AD100" s="1620">
        <v>1.2000000000000002</v>
      </c>
      <c r="AE100" s="1620">
        <v>2.1999999999999997</v>
      </c>
      <c r="AF100" s="1620">
        <v>77.900000000000006</v>
      </c>
      <c r="AG100" s="1620">
        <v>13</v>
      </c>
      <c r="AH100" s="1620">
        <v>16.400000000000002</v>
      </c>
      <c r="AI100" s="1620">
        <v>45</v>
      </c>
      <c r="AJ100" s="1620">
        <v>0</v>
      </c>
      <c r="AK100" s="1620">
        <v>1.9999999999999886E-2</v>
      </c>
      <c r="AL100" s="1620"/>
      <c r="AM100" s="1620">
        <v>6.1279461279461298</v>
      </c>
      <c r="AN100" s="1620">
        <v>0.74074074074074103</v>
      </c>
      <c r="AO100" s="1620">
        <v>1.2794612794612801</v>
      </c>
      <c r="AP100" s="1620">
        <v>3.5016835016835</v>
      </c>
      <c r="AQ100" s="1620">
        <v>0.84175084175084203</v>
      </c>
      <c r="AR100" s="1620">
        <v>3.8047138047138001</v>
      </c>
      <c r="AS100" s="1620">
        <v>7.0033670033669999</v>
      </c>
      <c r="AT100" s="1620">
        <v>2.5925925925925899</v>
      </c>
      <c r="AU100" s="1620">
        <v>4.1750841750841801</v>
      </c>
      <c r="AV100" s="1620">
        <v>3.6363636363636398</v>
      </c>
      <c r="AW100" s="1620">
        <v>4.2424242424242404</v>
      </c>
      <c r="AX100" s="1620"/>
      <c r="AY100" s="1620">
        <v>1.04</v>
      </c>
      <c r="AZ100" s="1620">
        <v>0.94</v>
      </c>
      <c r="BA100" s="1620">
        <v>0.94</v>
      </c>
      <c r="BB100" s="1620">
        <v>0.98</v>
      </c>
      <c r="BC100" s="1620">
        <v>0.93</v>
      </c>
      <c r="BD100" s="1620">
        <v>0.99</v>
      </c>
      <c r="BE100" s="1620">
        <v>1.03</v>
      </c>
      <c r="BF100" s="1620">
        <v>1.05</v>
      </c>
      <c r="BG100" s="1620">
        <v>1</v>
      </c>
      <c r="BH100" s="1620">
        <v>0.96</v>
      </c>
      <c r="BI100" s="1620">
        <v>0.98</v>
      </c>
      <c r="BJ100" s="1603"/>
      <c r="BK100" s="1620">
        <v>29.7</v>
      </c>
      <c r="BL100" s="1620">
        <v>2.1999999999999997</v>
      </c>
      <c r="BM100" s="1620">
        <v>3.5</v>
      </c>
      <c r="BN100" s="1620" t="s">
        <v>270</v>
      </c>
      <c r="BO100" s="1620"/>
      <c r="BP100" s="1620">
        <v>130</v>
      </c>
      <c r="BQ100" s="1620">
        <v>28.599999999999998</v>
      </c>
      <c r="BR100" s="1620">
        <v>1.0800402863832805</v>
      </c>
      <c r="BS100" s="1620">
        <v>1.0979093385558398</v>
      </c>
      <c r="BT100" s="1603"/>
      <c r="BU100" s="1620">
        <v>965</v>
      </c>
      <c r="BV100" s="1620">
        <v>400.98410925714319</v>
      </c>
      <c r="BW100" s="1620">
        <v>110.28589074285705</v>
      </c>
      <c r="BX100" s="1620">
        <v>375</v>
      </c>
      <c r="BY100" s="1620">
        <v>32</v>
      </c>
      <c r="BZ100" s="1620">
        <v>52.388571428571368</v>
      </c>
      <c r="CA100" s="1620">
        <v>165.89714285714317</v>
      </c>
      <c r="CB100" s="1603"/>
      <c r="CC100" s="1603">
        <v>1.1439999999999999</v>
      </c>
      <c r="CD100" s="1603">
        <v>4.7519999999999998</v>
      </c>
      <c r="CE100" s="1603">
        <v>0.26400000000000007</v>
      </c>
      <c r="CF100" s="1603">
        <v>0.3</v>
      </c>
      <c r="CG100" s="1603">
        <v>10.912000000000001</v>
      </c>
      <c r="CH100" s="1603">
        <v>1.0560000000000003</v>
      </c>
      <c r="CI100" s="1603">
        <v>1.9359999999999997</v>
      </c>
      <c r="CJ100" s="1603"/>
      <c r="CK100" s="1603">
        <v>68.552000000000007</v>
      </c>
      <c r="CL100" s="1603">
        <v>11.44</v>
      </c>
      <c r="CM100" s="1603">
        <v>14.432000000000002</v>
      </c>
      <c r="CN100" s="1603">
        <v>39.6</v>
      </c>
      <c r="CO100" s="1603">
        <v>0</v>
      </c>
      <c r="CP100" s="1603">
        <v>1.75999999999999E-2</v>
      </c>
      <c r="CQ100" s="1603">
        <v>209.08799999999999</v>
      </c>
      <c r="CR100" s="1603">
        <v>219.9917938206255</v>
      </c>
      <c r="CS100" s="1603">
        <v>14.020217755679461</v>
      </c>
      <c r="CT100" s="1603">
        <v>1.5317947125287998</v>
      </c>
      <c r="CU100" s="1603">
        <v>2.6458272307315633</v>
      </c>
      <c r="CV100" s="1603">
        <v>4.1776219432603634</v>
      </c>
      <c r="CW100" s="1603">
        <v>7.5493480222889504</v>
      </c>
      <c r="CX100" s="1603">
        <v>1.722157981929139</v>
      </c>
      <c r="CY100" s="1603">
        <v>8.2863575672435505</v>
      </c>
      <c r="CZ100" s="1603">
        <v>15.869037679505324</v>
      </c>
      <c r="DA100" s="1603">
        <v>5.9886654984503709</v>
      </c>
      <c r="DB100" s="1603">
        <v>9.1848425702887404</v>
      </c>
      <c r="DC100" s="1603">
        <v>7.6797135297381889</v>
      </c>
      <c r="DD100" s="1603">
        <v>16.864556100026942</v>
      </c>
      <c r="DE100" s="1603">
        <v>9.146325488542379</v>
      </c>
      <c r="DF100" s="1603">
        <v>0</v>
      </c>
      <c r="DG100" s="1603">
        <v>0</v>
      </c>
      <c r="DH100" s="1603">
        <v>0</v>
      </c>
      <c r="DI100" s="1603">
        <v>0</v>
      </c>
      <c r="DJ100" s="1603">
        <v>0</v>
      </c>
      <c r="DK100" s="1603">
        <v>0</v>
      </c>
      <c r="DL100" s="1603">
        <v>0</v>
      </c>
      <c r="DM100" s="1603">
        <v>0</v>
      </c>
      <c r="DN100" s="1603">
        <v>0</v>
      </c>
      <c r="DO100" s="1603">
        <v>0</v>
      </c>
      <c r="DP100" s="1603">
        <v>0</v>
      </c>
      <c r="DQ100" s="1603">
        <v>0</v>
      </c>
      <c r="DR100" s="1603">
        <v>0</v>
      </c>
      <c r="DS100" s="1603">
        <v>0</v>
      </c>
      <c r="DT100" s="1603">
        <v>0</v>
      </c>
      <c r="DU100" s="1603">
        <v>0</v>
      </c>
      <c r="DV100" s="1603">
        <v>0</v>
      </c>
      <c r="DW100" s="1618" t="s">
        <v>3536</v>
      </c>
      <c r="DX100" s="1605">
        <v>3</v>
      </c>
      <c r="DY100" s="1605">
        <v>3</v>
      </c>
      <c r="DZ100" s="1605">
        <v>3</v>
      </c>
      <c r="EA100" s="1605">
        <v>3</v>
      </c>
      <c r="EB100" s="1605" t="s">
        <v>986</v>
      </c>
      <c r="EC100" s="1605">
        <v>3</v>
      </c>
      <c r="ED100" s="1605">
        <v>3</v>
      </c>
      <c r="EE100" s="1605">
        <v>3</v>
      </c>
      <c r="EF100" s="1605">
        <v>3</v>
      </c>
      <c r="EG100" s="1605">
        <v>3</v>
      </c>
      <c r="EH100" s="1605">
        <v>3</v>
      </c>
      <c r="EI100" s="1605">
        <v>3</v>
      </c>
      <c r="EJ100" s="1605">
        <v>3</v>
      </c>
      <c r="EK100" s="1605">
        <v>3</v>
      </c>
      <c r="EL100" s="1605">
        <v>3</v>
      </c>
      <c r="EM100" s="1605">
        <v>3</v>
      </c>
      <c r="EN100" s="1605">
        <v>3</v>
      </c>
      <c r="EO100" s="1605">
        <v>3</v>
      </c>
      <c r="EP100" s="1605">
        <v>3</v>
      </c>
      <c r="EQ100" s="1605">
        <v>3</v>
      </c>
      <c r="ER100" s="1605">
        <v>3</v>
      </c>
      <c r="ES100" s="1605">
        <v>3</v>
      </c>
      <c r="ET100" s="1605">
        <v>3</v>
      </c>
      <c r="EU100" s="1605">
        <v>3</v>
      </c>
      <c r="EV100" s="1605" t="s">
        <v>986</v>
      </c>
      <c r="EW100" s="1605">
        <v>3</v>
      </c>
      <c r="EX100" s="1605">
        <v>3</v>
      </c>
      <c r="EY100" s="1605" t="s">
        <v>986</v>
      </c>
      <c r="EZ100" s="1605">
        <v>3</v>
      </c>
      <c r="FA100" s="1605">
        <v>3</v>
      </c>
      <c r="FB100" s="1605">
        <v>3</v>
      </c>
      <c r="FC100" s="1605">
        <v>3</v>
      </c>
      <c r="FD100" s="1605" t="s">
        <v>986</v>
      </c>
      <c r="FE100" s="1605" t="s">
        <v>986</v>
      </c>
      <c r="FF100" s="1605" t="s">
        <v>986</v>
      </c>
      <c r="FG100" s="1605" t="s">
        <v>986</v>
      </c>
      <c r="FH100" s="1605" t="s">
        <v>986</v>
      </c>
      <c r="FI100" s="1605" t="s">
        <v>986</v>
      </c>
      <c r="FJ100" s="1605" t="s">
        <v>986</v>
      </c>
      <c r="FK100" s="1605" t="s">
        <v>986</v>
      </c>
      <c r="FL100" s="1605" t="s">
        <v>986</v>
      </c>
      <c r="FM100" s="1605" t="s">
        <v>986</v>
      </c>
      <c r="FN100" s="1605" t="s">
        <v>986</v>
      </c>
      <c r="FO100" s="1605" t="s">
        <v>986</v>
      </c>
      <c r="FP100" s="1605" t="s">
        <v>986</v>
      </c>
      <c r="FQ100" s="1605" t="s">
        <v>986</v>
      </c>
      <c r="FR100" s="1605" t="s">
        <v>986</v>
      </c>
      <c r="FS100" s="1605" t="s">
        <v>986</v>
      </c>
      <c r="FT100" s="1605" t="s">
        <v>986</v>
      </c>
      <c r="FU100" s="1605" t="s">
        <v>986</v>
      </c>
      <c r="FV100" s="1605" t="s">
        <v>986</v>
      </c>
      <c r="FW100" s="1605" t="s">
        <v>986</v>
      </c>
      <c r="FX100" s="1605" t="s">
        <v>986</v>
      </c>
      <c r="FY100" s="1605" t="s">
        <v>986</v>
      </c>
      <c r="FZ100" s="1605" t="s">
        <v>986</v>
      </c>
      <c r="GA100" s="1605" t="s">
        <v>986</v>
      </c>
      <c r="GB100" s="1605" t="s">
        <v>986</v>
      </c>
      <c r="GC100" s="1605" t="s">
        <v>986</v>
      </c>
      <c r="GD100" s="1605" t="s">
        <v>986</v>
      </c>
      <c r="GE100" s="1605" t="s">
        <v>986</v>
      </c>
      <c r="GF100" s="1605" t="s">
        <v>986</v>
      </c>
      <c r="GG100" s="1605" t="s">
        <v>986</v>
      </c>
      <c r="GH100" s="1605" t="s">
        <v>986</v>
      </c>
      <c r="GI100" s="1605" t="s">
        <v>986</v>
      </c>
      <c r="GJ100" s="1605" t="s">
        <v>986</v>
      </c>
      <c r="GK100" s="1605" t="s">
        <v>986</v>
      </c>
      <c r="GL100" s="1605" t="s">
        <v>986</v>
      </c>
      <c r="GM100" s="1605" t="s">
        <v>986</v>
      </c>
      <c r="GN100" s="1605" t="s">
        <v>1584</v>
      </c>
      <c r="GO100" s="1605" t="s">
        <v>1584</v>
      </c>
      <c r="GP100" s="1605" t="s">
        <v>1584</v>
      </c>
      <c r="GQ100" s="1605" t="s">
        <v>1584</v>
      </c>
      <c r="GR100" s="1605" t="s">
        <v>986</v>
      </c>
      <c r="GS100" s="1605" t="s">
        <v>1584</v>
      </c>
      <c r="GT100" s="1605" t="s">
        <v>1584</v>
      </c>
      <c r="GU100" s="1605" t="s">
        <v>1584</v>
      </c>
      <c r="GV100" s="1605" t="s">
        <v>1584</v>
      </c>
      <c r="GW100" s="1605" t="s">
        <v>1584</v>
      </c>
      <c r="GX100" s="1605" t="s">
        <v>1584</v>
      </c>
      <c r="GY100" s="1605" t="s">
        <v>1584</v>
      </c>
      <c r="GZ100" s="1605" t="s">
        <v>1584</v>
      </c>
      <c r="HA100" s="1605" t="s">
        <v>1584</v>
      </c>
      <c r="HB100" s="1605" t="s">
        <v>1584</v>
      </c>
      <c r="HC100" s="1605" t="s">
        <v>1584</v>
      </c>
      <c r="HD100" s="1605" t="s">
        <v>1584</v>
      </c>
      <c r="HE100" s="1605" t="s">
        <v>1584</v>
      </c>
      <c r="HF100" s="1605" t="s">
        <v>1584</v>
      </c>
      <c r="HG100" s="1605" t="s">
        <v>1584</v>
      </c>
      <c r="HH100" s="1605" t="s">
        <v>1584</v>
      </c>
      <c r="HI100" s="1605" t="s">
        <v>1584</v>
      </c>
      <c r="HJ100" s="1605" t="s">
        <v>1584</v>
      </c>
      <c r="HK100" s="1605" t="s">
        <v>986</v>
      </c>
      <c r="HL100" s="1605" t="s">
        <v>986</v>
      </c>
      <c r="HM100" s="1605" t="s">
        <v>1584</v>
      </c>
      <c r="HN100" s="1605" t="s">
        <v>1584</v>
      </c>
      <c r="HO100" s="1605" t="s">
        <v>1591</v>
      </c>
      <c r="HP100" s="1605" t="s">
        <v>1584</v>
      </c>
      <c r="HQ100" s="1605" t="s">
        <v>1584</v>
      </c>
      <c r="HR100" s="1605" t="s">
        <v>1584</v>
      </c>
      <c r="HS100" s="1605" t="s">
        <v>1584</v>
      </c>
      <c r="HT100" s="1605" t="s">
        <v>986</v>
      </c>
      <c r="HU100" s="1605" t="s">
        <v>986</v>
      </c>
      <c r="HV100" s="1617"/>
      <c r="HW100" s="1617" t="s">
        <v>3535</v>
      </c>
      <c r="HX100" s="1617" t="s">
        <v>3534</v>
      </c>
      <c r="HY100" s="1617" t="s">
        <v>3533</v>
      </c>
      <c r="HZ100" s="1603"/>
      <c r="IA100" s="1603"/>
      <c r="IB100" s="1603"/>
      <c r="IC100" s="1603">
        <v>45.861788617886198</v>
      </c>
      <c r="ID100" s="1603">
        <v>46.349593495934997</v>
      </c>
      <c r="IE100" s="1603">
        <v>46.756097560975597</v>
      </c>
      <c r="IF100" s="1603">
        <v>47</v>
      </c>
      <c r="IG100" s="1611" t="s">
        <v>3532</v>
      </c>
      <c r="IH100" s="1616" t="s">
        <v>3531</v>
      </c>
      <c r="II100" s="1615" t="s">
        <v>2182</v>
      </c>
      <c r="IJ100" s="1613">
        <v>0.6852303474518755</v>
      </c>
      <c r="IK100" s="1613">
        <v>0.38693201502559249</v>
      </c>
      <c r="IL100" s="1614">
        <v>0.6852303474518755</v>
      </c>
      <c r="IM100" s="1614">
        <v>0.38693201502559249</v>
      </c>
      <c r="IN100" s="1612">
        <v>0.3</v>
      </c>
      <c r="IO100" s="1613">
        <v>-0.38523034745187551</v>
      </c>
      <c r="IP100" s="1607">
        <v>3.5120730929904509</v>
      </c>
      <c r="IQ100" s="1612">
        <v>2</v>
      </c>
      <c r="IR100" s="1612" t="s">
        <v>270</v>
      </c>
      <c r="IS100" s="1607">
        <v>0.6812303474518755</v>
      </c>
      <c r="IT100" s="1607">
        <v>0.38293201502559249</v>
      </c>
      <c r="IU100" s="1611">
        <v>6.4212832763512389E-6</v>
      </c>
      <c r="IV100" s="1611">
        <v>7.2637878281992616E-3</v>
      </c>
      <c r="IW100" s="1611">
        <v>5.1973423616059737E-4</v>
      </c>
      <c r="IX100" s="1611">
        <v>7.795552704729507E-4</v>
      </c>
      <c r="IY100" s="1611">
        <v>5.2379482749068866E-4</v>
      </c>
      <c r="IZ100" s="1611">
        <v>5.3226741119841298E-3</v>
      </c>
      <c r="JA100" s="1611">
        <v>4.0646617571263164E-4</v>
      </c>
      <c r="JB100" s="1611">
        <v>2.4597491724995821E-3</v>
      </c>
      <c r="JC100" s="1611">
        <v>4.1485506023302605</v>
      </c>
      <c r="JD100" s="1611">
        <v>4.8360685599693011E-2</v>
      </c>
      <c r="JE100" s="1611">
        <v>4.8631776200671627E-2</v>
      </c>
      <c r="JF100" s="1611">
        <v>4.5129867489544128E-4</v>
      </c>
      <c r="JG100" s="1611">
        <v>2.8578606488805058</v>
      </c>
      <c r="JH100" s="1611">
        <v>1.1071423674775091E-3</v>
      </c>
      <c r="JI100" s="1611">
        <v>5.1236023101416006E-2</v>
      </c>
      <c r="JJ100" s="1611">
        <v>1.8296138951246235E-2</v>
      </c>
      <c r="JK100" s="1607">
        <f t="shared" si="10"/>
        <v>4.0000000000000036E-3</v>
      </c>
      <c r="JL100" s="1608" t="s">
        <v>270</v>
      </c>
      <c r="JM100" s="1610" t="s">
        <v>2924</v>
      </c>
      <c r="JN100" s="1608">
        <v>0.29829833242628301</v>
      </c>
      <c r="JO100" s="1609" t="s">
        <v>2923</v>
      </c>
      <c r="JP100" s="1608" t="s">
        <v>270</v>
      </c>
      <c r="JQ100" s="1607">
        <v>201901</v>
      </c>
      <c r="JR100" s="1606">
        <v>36</v>
      </c>
      <c r="JS100" s="1606" t="s">
        <v>270</v>
      </c>
      <c r="JT100" s="1606" t="s">
        <v>270</v>
      </c>
    </row>
    <row r="101" spans="1:280" ht="15" customHeight="1" x14ac:dyDescent="0.2">
      <c r="A101" s="1626">
        <v>99910</v>
      </c>
      <c r="B101" s="1625">
        <v>999</v>
      </c>
      <c r="C101" s="1624">
        <v>10</v>
      </c>
      <c r="D101" s="1623" t="s">
        <v>3530</v>
      </c>
      <c r="E101" s="1622">
        <v>43031</v>
      </c>
      <c r="F101" s="1620">
        <v>1.3499146341463499</v>
      </c>
      <c r="G101" s="1620">
        <v>1.29381428571429</v>
      </c>
      <c r="H101" s="1621">
        <v>100</v>
      </c>
      <c r="I101" s="1621">
        <v>100</v>
      </c>
      <c r="J101" s="1621">
        <v>100</v>
      </c>
      <c r="K101" s="1620">
        <v>1</v>
      </c>
      <c r="L101" s="1620">
        <v>99</v>
      </c>
      <c r="M101" s="1620">
        <v>99</v>
      </c>
      <c r="N101" s="1620">
        <v>0</v>
      </c>
      <c r="O101" s="1620">
        <v>0</v>
      </c>
      <c r="P101" s="1620">
        <v>0</v>
      </c>
      <c r="Q101" s="1603"/>
      <c r="R101" s="1620">
        <v>100</v>
      </c>
      <c r="S101" s="1620">
        <v>0</v>
      </c>
      <c r="T101" s="1620">
        <v>0</v>
      </c>
      <c r="U101" s="1620">
        <v>0</v>
      </c>
      <c r="V101" s="1620">
        <v>0</v>
      </c>
      <c r="W101" s="1620">
        <v>0</v>
      </c>
      <c r="X101" s="1620"/>
      <c r="Y101" s="1620">
        <v>0</v>
      </c>
      <c r="Z101" s="1620">
        <v>0</v>
      </c>
      <c r="AA101" s="1620">
        <v>0</v>
      </c>
      <c r="AB101" s="1620">
        <v>0</v>
      </c>
      <c r="AC101" s="1620">
        <v>0</v>
      </c>
      <c r="AD101" s="1620">
        <v>0</v>
      </c>
      <c r="AE101" s="1620">
        <v>0</v>
      </c>
      <c r="AF101" s="1620">
        <v>0</v>
      </c>
      <c r="AG101" s="1620">
        <v>0</v>
      </c>
      <c r="AH101" s="1620">
        <v>0</v>
      </c>
      <c r="AI101" s="1620">
        <v>0</v>
      </c>
      <c r="AJ101" s="1620">
        <v>0</v>
      </c>
      <c r="AK101" s="1620">
        <v>0</v>
      </c>
      <c r="AL101" s="1620"/>
      <c r="AM101" s="1620">
        <v>0</v>
      </c>
      <c r="AN101" s="1620">
        <v>0</v>
      </c>
      <c r="AO101" s="1620">
        <v>0</v>
      </c>
      <c r="AP101" s="1620">
        <v>0</v>
      </c>
      <c r="AQ101" s="1620">
        <v>0</v>
      </c>
      <c r="AR101" s="1620">
        <v>0</v>
      </c>
      <c r="AS101" s="1620">
        <v>0</v>
      </c>
      <c r="AT101" s="1620">
        <v>100</v>
      </c>
      <c r="AU101" s="1620">
        <v>0</v>
      </c>
      <c r="AV101" s="1620">
        <v>0</v>
      </c>
      <c r="AW101" s="1620">
        <v>0</v>
      </c>
      <c r="AX101" s="1620"/>
      <c r="AY101" s="1620">
        <v>1</v>
      </c>
      <c r="AZ101" s="1620">
        <v>1</v>
      </c>
      <c r="BA101" s="1620">
        <v>1</v>
      </c>
      <c r="BB101" s="1620">
        <v>1</v>
      </c>
      <c r="BC101" s="1620">
        <v>1</v>
      </c>
      <c r="BD101" s="1620">
        <v>1</v>
      </c>
      <c r="BE101" s="1620">
        <v>1</v>
      </c>
      <c r="BF101" s="1620">
        <v>1</v>
      </c>
      <c r="BG101" s="1620">
        <v>1</v>
      </c>
      <c r="BH101" s="1620">
        <v>1</v>
      </c>
      <c r="BI101" s="1620">
        <v>1</v>
      </c>
      <c r="BJ101" s="1603"/>
      <c r="BK101" s="1620">
        <v>100</v>
      </c>
      <c r="BL101" s="1620">
        <v>0</v>
      </c>
      <c r="BM101" s="1620">
        <v>0</v>
      </c>
      <c r="BN101" s="1620">
        <v>0</v>
      </c>
      <c r="BO101" s="1620"/>
      <c r="BP101" s="1620">
        <v>0</v>
      </c>
      <c r="BQ101" s="1620">
        <v>0</v>
      </c>
      <c r="BR101" s="1620">
        <v>1.3635501355013637</v>
      </c>
      <c r="BS101" s="1620">
        <v>1.3068831168831214</v>
      </c>
      <c r="BT101" s="1603"/>
      <c r="BU101" s="1620">
        <v>1000</v>
      </c>
      <c r="BV101" s="1620">
        <v>90</v>
      </c>
      <c r="BW101" s="1620">
        <v>0</v>
      </c>
      <c r="BX101" s="1620">
        <v>0</v>
      </c>
      <c r="BY101" s="1620">
        <v>0</v>
      </c>
      <c r="BZ101" s="1620" t="s">
        <v>270</v>
      </c>
      <c r="CA101" s="1620" t="s">
        <v>270</v>
      </c>
      <c r="CB101" s="1603"/>
      <c r="CC101" s="1603">
        <v>0</v>
      </c>
      <c r="CD101" s="1603">
        <v>0</v>
      </c>
      <c r="CE101" s="1603">
        <v>0</v>
      </c>
      <c r="CF101" s="1603">
        <v>0</v>
      </c>
      <c r="CG101" s="1603">
        <v>0</v>
      </c>
      <c r="CH101" s="1603">
        <v>0</v>
      </c>
      <c r="CI101" s="1603">
        <v>0</v>
      </c>
      <c r="CJ101" s="1603"/>
      <c r="CK101" s="1603">
        <v>0</v>
      </c>
      <c r="CL101" s="1603">
        <v>0</v>
      </c>
      <c r="CM101" s="1603">
        <v>0</v>
      </c>
      <c r="CN101" s="1603">
        <v>0</v>
      </c>
      <c r="CO101" s="1603">
        <v>0</v>
      </c>
      <c r="CP101" s="1603">
        <v>0</v>
      </c>
      <c r="CQ101" s="1603">
        <v>990</v>
      </c>
      <c r="CR101" s="1603">
        <v>733.37970784059962</v>
      </c>
      <c r="CS101" s="1603">
        <v>0</v>
      </c>
      <c r="CT101" s="1603">
        <v>0</v>
      </c>
      <c r="CU101" s="1603">
        <v>0</v>
      </c>
      <c r="CV101" s="1603">
        <v>0</v>
      </c>
      <c r="CW101" s="1603">
        <v>0</v>
      </c>
      <c r="CX101" s="1603">
        <v>0</v>
      </c>
      <c r="CY101" s="1603">
        <v>0</v>
      </c>
      <c r="CZ101" s="1603">
        <v>0</v>
      </c>
      <c r="DA101" s="1603">
        <v>733.37970784059962</v>
      </c>
      <c r="DB101" s="1603">
        <v>0</v>
      </c>
      <c r="DC101" s="1603">
        <v>0</v>
      </c>
      <c r="DD101" s="1603">
        <v>0</v>
      </c>
      <c r="DE101" s="1603">
        <v>0</v>
      </c>
      <c r="DF101" s="1603">
        <v>0</v>
      </c>
      <c r="DG101" s="1603">
        <v>0</v>
      </c>
      <c r="DH101" s="1603">
        <v>0</v>
      </c>
      <c r="DI101" s="1603">
        <v>0</v>
      </c>
      <c r="DJ101" s="1603">
        <v>0</v>
      </c>
      <c r="DK101" s="1603">
        <v>0</v>
      </c>
      <c r="DL101" s="1603">
        <v>0</v>
      </c>
      <c r="DM101" s="1603">
        <v>0</v>
      </c>
      <c r="DN101" s="1603">
        <v>0</v>
      </c>
      <c r="DO101" s="1603">
        <v>0</v>
      </c>
      <c r="DP101" s="1603">
        <v>0</v>
      </c>
      <c r="DQ101" s="1603">
        <v>0</v>
      </c>
      <c r="DR101" s="1603">
        <v>0</v>
      </c>
      <c r="DS101" s="1603">
        <v>0</v>
      </c>
      <c r="DT101" s="1603">
        <v>0</v>
      </c>
      <c r="DU101" s="1603">
        <v>0</v>
      </c>
      <c r="DV101" s="1603">
        <v>0</v>
      </c>
      <c r="DW101" s="1618" t="s">
        <v>986</v>
      </c>
      <c r="DX101" s="1605" t="s">
        <v>986</v>
      </c>
      <c r="DY101" s="1605" t="s">
        <v>986</v>
      </c>
      <c r="DZ101" s="1605" t="s">
        <v>986</v>
      </c>
      <c r="EA101" s="1605" t="s">
        <v>986</v>
      </c>
      <c r="EB101" s="1605" t="s">
        <v>986</v>
      </c>
      <c r="EC101" s="1605" t="s">
        <v>986</v>
      </c>
      <c r="ED101" s="1605" t="s">
        <v>986</v>
      </c>
      <c r="EE101" s="1605" t="s">
        <v>986</v>
      </c>
      <c r="EF101" s="1605" t="s">
        <v>986</v>
      </c>
      <c r="EG101" s="1605" t="s">
        <v>986</v>
      </c>
      <c r="EH101" s="1605" t="s">
        <v>986</v>
      </c>
      <c r="EI101" s="1605" t="s">
        <v>986</v>
      </c>
      <c r="EJ101" s="1605" t="s">
        <v>986</v>
      </c>
      <c r="EK101" s="1605" t="s">
        <v>986</v>
      </c>
      <c r="EL101" s="1605" t="s">
        <v>986</v>
      </c>
      <c r="EM101" s="1605" t="s">
        <v>986</v>
      </c>
      <c r="EN101" s="1605" t="s">
        <v>986</v>
      </c>
      <c r="EO101" s="1605" t="s">
        <v>986</v>
      </c>
      <c r="EP101" s="1605" t="s">
        <v>986</v>
      </c>
      <c r="EQ101" s="1605" t="s">
        <v>986</v>
      </c>
      <c r="ER101" s="1605" t="s">
        <v>986</v>
      </c>
      <c r="ES101" s="1605" t="s">
        <v>986</v>
      </c>
      <c r="ET101" s="1605" t="s">
        <v>986</v>
      </c>
      <c r="EU101" s="1605" t="s">
        <v>986</v>
      </c>
      <c r="EV101" s="1605" t="s">
        <v>986</v>
      </c>
      <c r="EW101" s="1605" t="s">
        <v>986</v>
      </c>
      <c r="EX101" s="1605" t="s">
        <v>986</v>
      </c>
      <c r="EY101" s="1605" t="s">
        <v>986</v>
      </c>
      <c r="EZ101" s="1605" t="s">
        <v>986</v>
      </c>
      <c r="FA101" s="1605" t="s">
        <v>986</v>
      </c>
      <c r="FB101" s="1605" t="s">
        <v>986</v>
      </c>
      <c r="FC101" s="1605" t="s">
        <v>986</v>
      </c>
      <c r="FD101" s="1605" t="s">
        <v>986</v>
      </c>
      <c r="FE101" s="1605" t="s">
        <v>986</v>
      </c>
      <c r="FF101" s="1605" t="s">
        <v>986</v>
      </c>
      <c r="FG101" s="1605" t="s">
        <v>986</v>
      </c>
      <c r="FH101" s="1605" t="s">
        <v>986</v>
      </c>
      <c r="FI101" s="1605" t="s">
        <v>986</v>
      </c>
      <c r="FJ101" s="1605" t="s">
        <v>986</v>
      </c>
      <c r="FK101" s="1605" t="s">
        <v>986</v>
      </c>
      <c r="FL101" s="1605" t="s">
        <v>986</v>
      </c>
      <c r="FM101" s="1605" t="s">
        <v>986</v>
      </c>
      <c r="FN101" s="1605" t="s">
        <v>986</v>
      </c>
      <c r="FO101" s="1605" t="s">
        <v>986</v>
      </c>
      <c r="FP101" s="1605" t="s">
        <v>986</v>
      </c>
      <c r="FQ101" s="1605" t="s">
        <v>986</v>
      </c>
      <c r="FR101" s="1605" t="s">
        <v>986</v>
      </c>
      <c r="FS101" s="1605" t="s">
        <v>986</v>
      </c>
      <c r="FT101" s="1605" t="s">
        <v>986</v>
      </c>
      <c r="FU101" s="1605" t="s">
        <v>986</v>
      </c>
      <c r="FV101" s="1605" t="s">
        <v>986</v>
      </c>
      <c r="FW101" s="1605" t="s">
        <v>986</v>
      </c>
      <c r="FX101" s="1605" t="s">
        <v>986</v>
      </c>
      <c r="FY101" s="1605" t="s">
        <v>986</v>
      </c>
      <c r="FZ101" s="1605" t="s">
        <v>986</v>
      </c>
      <c r="GA101" s="1605" t="s">
        <v>986</v>
      </c>
      <c r="GB101" s="1605" t="s">
        <v>986</v>
      </c>
      <c r="GC101" s="1605" t="s">
        <v>986</v>
      </c>
      <c r="GD101" s="1605" t="s">
        <v>986</v>
      </c>
      <c r="GE101" s="1605" t="s">
        <v>986</v>
      </c>
      <c r="GF101" s="1605" t="s">
        <v>986</v>
      </c>
      <c r="GG101" s="1605" t="s">
        <v>986</v>
      </c>
      <c r="GH101" s="1605" t="s">
        <v>986</v>
      </c>
      <c r="GI101" s="1605" t="s">
        <v>986</v>
      </c>
      <c r="GJ101" s="1605" t="s">
        <v>986</v>
      </c>
      <c r="GK101" s="1605" t="s">
        <v>986</v>
      </c>
      <c r="GL101" s="1605" t="s">
        <v>986</v>
      </c>
      <c r="GM101" s="1605" t="s">
        <v>986</v>
      </c>
      <c r="GN101" s="1605" t="s">
        <v>986</v>
      </c>
      <c r="GO101" s="1605" t="s">
        <v>986</v>
      </c>
      <c r="GP101" s="1605" t="s">
        <v>986</v>
      </c>
      <c r="GQ101" s="1605" t="s">
        <v>986</v>
      </c>
      <c r="GR101" s="1605" t="s">
        <v>986</v>
      </c>
      <c r="GS101" s="1605" t="s">
        <v>986</v>
      </c>
      <c r="GT101" s="1605" t="s">
        <v>986</v>
      </c>
      <c r="GU101" s="1605" t="s">
        <v>986</v>
      </c>
      <c r="GV101" s="1605" t="s">
        <v>986</v>
      </c>
      <c r="GW101" s="1605" t="s">
        <v>986</v>
      </c>
      <c r="GX101" s="1605" t="s">
        <v>986</v>
      </c>
      <c r="GY101" s="1605" t="s">
        <v>986</v>
      </c>
      <c r="GZ101" s="1605" t="s">
        <v>986</v>
      </c>
      <c r="HA101" s="1605" t="s">
        <v>986</v>
      </c>
      <c r="HB101" s="1605" t="s">
        <v>986</v>
      </c>
      <c r="HC101" s="1605" t="s">
        <v>986</v>
      </c>
      <c r="HD101" s="1605" t="s">
        <v>986</v>
      </c>
      <c r="HE101" s="1605" t="s">
        <v>986</v>
      </c>
      <c r="HF101" s="1605" t="s">
        <v>986</v>
      </c>
      <c r="HG101" s="1605" t="s">
        <v>986</v>
      </c>
      <c r="HH101" s="1605" t="s">
        <v>986</v>
      </c>
      <c r="HI101" s="1605" t="s">
        <v>986</v>
      </c>
      <c r="HJ101" s="1605" t="s">
        <v>986</v>
      </c>
      <c r="HK101" s="1605" t="s">
        <v>986</v>
      </c>
      <c r="HL101" s="1605" t="s">
        <v>986</v>
      </c>
      <c r="HM101" s="1605" t="s">
        <v>986</v>
      </c>
      <c r="HN101" s="1605" t="s">
        <v>986</v>
      </c>
      <c r="HO101" s="1605" t="s">
        <v>986</v>
      </c>
      <c r="HP101" s="1605" t="s">
        <v>986</v>
      </c>
      <c r="HQ101" s="1605" t="s">
        <v>986</v>
      </c>
      <c r="HR101" s="1605" t="s">
        <v>986</v>
      </c>
      <c r="HS101" s="1605" t="s">
        <v>986</v>
      </c>
      <c r="HT101" s="1605" t="s">
        <v>986</v>
      </c>
      <c r="HU101" s="1605" t="s">
        <v>986</v>
      </c>
      <c r="HV101" s="1617"/>
      <c r="HW101" s="1617" t="s">
        <v>986</v>
      </c>
      <c r="HX101" s="1617" t="s">
        <v>986</v>
      </c>
      <c r="HY101" s="1617" t="s">
        <v>986</v>
      </c>
      <c r="HZ101" s="1603"/>
      <c r="IA101" s="1603"/>
      <c r="IB101" s="1603"/>
      <c r="IC101" s="1603">
        <v>0</v>
      </c>
      <c r="ID101" s="1603">
        <v>0</v>
      </c>
      <c r="IE101" s="1603">
        <v>0</v>
      </c>
      <c r="IF101" s="1603">
        <v>0</v>
      </c>
      <c r="IG101" s="1611" t="s">
        <v>2932</v>
      </c>
      <c r="IH101" s="1616" t="s">
        <v>270</v>
      </c>
      <c r="II101" s="1615" t="s">
        <v>270</v>
      </c>
      <c r="IJ101" s="1613">
        <v>1.3101818181818183</v>
      </c>
      <c r="IK101" s="1613">
        <v>1.301848484848485</v>
      </c>
      <c r="IL101" s="1614">
        <v>1.3101818181818183</v>
      </c>
      <c r="IM101" s="1614">
        <v>1.301848484848485</v>
      </c>
      <c r="IN101" s="1612" t="s">
        <v>270</v>
      </c>
      <c r="IO101" s="1613" t="s">
        <v>270</v>
      </c>
      <c r="IP101" s="1607" t="s">
        <v>270</v>
      </c>
      <c r="IQ101" s="1612" t="s">
        <v>270</v>
      </c>
      <c r="IR101" s="1612" t="s">
        <v>270</v>
      </c>
      <c r="IS101" s="1607">
        <v>1.1881818181818182</v>
      </c>
      <c r="IT101" s="1607">
        <v>1.1798484848484849</v>
      </c>
      <c r="IU101" s="1611">
        <v>0</v>
      </c>
      <c r="IV101" s="1611">
        <v>7.7767676767676763E-2</v>
      </c>
      <c r="IW101" s="1611">
        <v>9.0909090909090909E-4</v>
      </c>
      <c r="IX101" s="1611">
        <v>1.6060606060606061E-3</v>
      </c>
      <c r="IY101" s="1611">
        <v>9.6969696969696957E-4</v>
      </c>
      <c r="IZ101" s="1611">
        <v>5.9898989898989896E-3</v>
      </c>
      <c r="JA101" s="1611">
        <v>6.0606060606060598E-5</v>
      </c>
      <c r="JB101" s="1611" t="s">
        <v>270</v>
      </c>
      <c r="JC101" s="1611">
        <v>9.9026969696969704</v>
      </c>
      <c r="JD101" s="1611">
        <v>5.2121212121212122E-3</v>
      </c>
      <c r="JE101" s="1611" t="s">
        <v>270</v>
      </c>
      <c r="JF101" s="1611">
        <v>8.2828282828282835E-4</v>
      </c>
      <c r="JG101" s="1611">
        <v>0.57978787878787885</v>
      </c>
      <c r="JH101" s="1611">
        <v>7.646464646464647E-3</v>
      </c>
      <c r="JI101" s="1611">
        <v>0.3</v>
      </c>
      <c r="JJ101" s="1611" t="s">
        <v>270</v>
      </c>
      <c r="JK101" s="1607">
        <f t="shared" si="10"/>
        <v>0.12200000000000011</v>
      </c>
      <c r="JL101" s="1608" t="s">
        <v>270</v>
      </c>
      <c r="JM101" s="1610" t="s">
        <v>2924</v>
      </c>
      <c r="JN101" s="1608">
        <v>8.3333333333333037E-3</v>
      </c>
      <c r="JO101" s="1609" t="s">
        <v>2931</v>
      </c>
      <c r="JP101" s="1608" t="s">
        <v>270</v>
      </c>
      <c r="JQ101" s="1607">
        <v>202103</v>
      </c>
      <c r="JR101" s="1606">
        <v>851</v>
      </c>
      <c r="JS101" s="1606">
        <v>774</v>
      </c>
      <c r="JT101" s="1606">
        <v>774</v>
      </c>
    </row>
    <row r="102" spans="1:280" ht="15" customHeight="1" x14ac:dyDescent="0.2">
      <c r="A102" s="1626">
        <v>51000</v>
      </c>
      <c r="B102" s="1625">
        <v>510</v>
      </c>
      <c r="C102" s="1624">
        <v>0</v>
      </c>
      <c r="D102" s="1623" t="s">
        <v>3529</v>
      </c>
      <c r="E102" s="1622">
        <v>44497</v>
      </c>
      <c r="F102" s="1620">
        <v>1.1473203832752614</v>
      </c>
      <c r="G102" s="1620">
        <v>1.1258626382189239</v>
      </c>
      <c r="H102" s="1621">
        <v>89.5</v>
      </c>
      <c r="I102" s="1621">
        <v>87</v>
      </c>
      <c r="J102" s="1621">
        <v>93</v>
      </c>
      <c r="K102" s="1620">
        <v>1</v>
      </c>
      <c r="L102" s="1620">
        <v>85</v>
      </c>
      <c r="M102" s="1620">
        <v>9.9</v>
      </c>
      <c r="N102" s="1620">
        <v>2.1</v>
      </c>
      <c r="O102" s="1620">
        <v>1.4</v>
      </c>
      <c r="P102" s="1620">
        <v>2.7</v>
      </c>
      <c r="Q102" s="1603"/>
      <c r="R102" s="1620">
        <v>84.779523809523795</v>
      </c>
      <c r="S102" s="1620">
        <v>50</v>
      </c>
      <c r="T102" s="1620">
        <v>54.878048780487802</v>
      </c>
      <c r="U102" s="1620">
        <v>56.829268292682897</v>
      </c>
      <c r="V102" s="1620">
        <v>58.585365853658502</v>
      </c>
      <c r="W102" s="1620">
        <v>59.756097560975597</v>
      </c>
      <c r="X102" s="1620"/>
      <c r="Y102" s="1620">
        <v>0.4</v>
      </c>
      <c r="Z102" s="1620">
        <v>3.1764705882352939</v>
      </c>
      <c r="AA102" s="1620">
        <v>0.11764705882352941</v>
      </c>
      <c r="AB102" s="1620">
        <v>1.08170310701956</v>
      </c>
      <c r="AC102" s="1620">
        <v>4.7647058823529411</v>
      </c>
      <c r="AD102" s="1620">
        <v>0.97647058823529409</v>
      </c>
      <c r="AE102" s="1620">
        <v>1.3</v>
      </c>
      <c r="AF102" s="1620">
        <v>35.258823529411764</v>
      </c>
      <c r="AG102" s="1620">
        <v>2.729411764705882</v>
      </c>
      <c r="AH102" s="1620">
        <v>27.28235294117647</v>
      </c>
      <c r="AI102" s="1620">
        <v>25.176470588235293</v>
      </c>
      <c r="AJ102" s="1620">
        <v>0</v>
      </c>
      <c r="AK102" s="1620">
        <v>6.0000000000000123E-2</v>
      </c>
      <c r="AL102" s="1620"/>
      <c r="AM102" s="1620">
        <v>2.9030935294117652</v>
      </c>
      <c r="AN102" s="1620">
        <v>1.5375035294117647</v>
      </c>
      <c r="AO102" s="1620">
        <v>2.3079347058823529</v>
      </c>
      <c r="AP102" s="1620">
        <v>2.8916517647058826</v>
      </c>
      <c r="AQ102" s="1620">
        <v>1.3414888235294118</v>
      </c>
      <c r="AR102" s="1620">
        <v>3.3452023529411763</v>
      </c>
      <c r="AS102" s="1620">
        <v>6.6590935294117646</v>
      </c>
      <c r="AT102" s="1620">
        <v>2.2747205882352945</v>
      </c>
      <c r="AU102" s="1620">
        <v>4.4124194117647058</v>
      </c>
      <c r="AV102" s="1620">
        <v>2.7541000000000002</v>
      </c>
      <c r="AW102" s="1620">
        <v>4.2787847058823534</v>
      </c>
      <c r="AX102" s="1620"/>
      <c r="AY102" s="1620">
        <v>0.92</v>
      </c>
      <c r="AZ102" s="1620">
        <v>1</v>
      </c>
      <c r="BA102" s="1620">
        <v>0.98</v>
      </c>
      <c r="BB102" s="1620">
        <v>0.93</v>
      </c>
      <c r="BC102" s="1620">
        <v>0.99</v>
      </c>
      <c r="BD102" s="1620">
        <v>0.99</v>
      </c>
      <c r="BE102" s="1620">
        <v>1</v>
      </c>
      <c r="BF102" s="1620">
        <v>0.99</v>
      </c>
      <c r="BG102" s="1620">
        <v>1.02</v>
      </c>
      <c r="BH102" s="1620">
        <v>1</v>
      </c>
      <c r="BI102" s="1620">
        <v>0.96</v>
      </c>
      <c r="BJ102" s="1603"/>
      <c r="BK102" s="1620">
        <v>11.647058823529411</v>
      </c>
      <c r="BL102" s="1620">
        <v>2.4705882352941178</v>
      </c>
      <c r="BM102" s="1620">
        <v>1.6470588235294117</v>
      </c>
      <c r="BN102" s="1620">
        <v>3.1764705882352939</v>
      </c>
      <c r="BO102" s="1620"/>
      <c r="BP102" s="1620">
        <v>105</v>
      </c>
      <c r="BQ102" s="1620">
        <v>25.941176470588236</v>
      </c>
      <c r="BR102" s="1620">
        <v>1.3497886862061899</v>
      </c>
      <c r="BS102" s="1620">
        <v>1.3245442802575575</v>
      </c>
      <c r="BT102" s="1603"/>
      <c r="BU102" s="1620">
        <v>983.52941176470586</v>
      </c>
      <c r="BV102" s="1620">
        <v>715.17983193277303</v>
      </c>
      <c r="BW102" s="1620">
        <v>35.12605042016807</v>
      </c>
      <c r="BX102" s="1620">
        <v>670</v>
      </c>
      <c r="BY102" s="1620">
        <v>18.999999999999996</v>
      </c>
      <c r="BZ102" s="1620">
        <v>25</v>
      </c>
      <c r="CA102" s="1620">
        <v>113</v>
      </c>
      <c r="CB102" s="1603"/>
      <c r="CC102" s="1603">
        <v>0.34</v>
      </c>
      <c r="CD102" s="1603">
        <v>2.6999999999999997</v>
      </c>
      <c r="CE102" s="1603">
        <v>9.9999999999999992E-2</v>
      </c>
      <c r="CF102" s="1603">
        <v>0.9194476409666259</v>
      </c>
      <c r="CG102" s="1603">
        <v>4.05</v>
      </c>
      <c r="CH102" s="1603">
        <v>0.83</v>
      </c>
      <c r="CI102" s="1603">
        <v>1.105</v>
      </c>
      <c r="CJ102" s="1603"/>
      <c r="CK102" s="1603">
        <v>29.97</v>
      </c>
      <c r="CL102" s="1603">
        <v>2.3199999999999998</v>
      </c>
      <c r="CM102" s="1603">
        <v>23.189999999999998</v>
      </c>
      <c r="CN102" s="1603">
        <v>21.4</v>
      </c>
      <c r="CO102" s="1603">
        <v>0</v>
      </c>
      <c r="CP102" s="1603">
        <v>5.1000000000000101E-2</v>
      </c>
      <c r="CQ102" s="1603">
        <v>83.93172857142855</v>
      </c>
      <c r="CR102" s="1603">
        <v>73.15456937305359</v>
      </c>
      <c r="CS102" s="1603">
        <v>1.9538459243431074</v>
      </c>
      <c r="CT102" s="1603">
        <v>1.1247540860366767</v>
      </c>
      <c r="CU102" s="1603">
        <v>1.6545925015894967</v>
      </c>
      <c r="CV102" s="1603">
        <v>2.7793465876261734</v>
      </c>
      <c r="CW102" s="1603">
        <v>1.9672991185021715</v>
      </c>
      <c r="CX102" s="1603">
        <v>0.97154676832017839</v>
      </c>
      <c r="CY102" s="1603">
        <v>2.42269669219186</v>
      </c>
      <c r="CZ102" s="1603">
        <v>4.871431195590052</v>
      </c>
      <c r="DA102" s="1603">
        <v>1.6474214302560843</v>
      </c>
      <c r="DB102" s="1603">
        <v>3.2924441480016848</v>
      </c>
      <c r="DC102" s="1603">
        <v>2.0147499951032697</v>
      </c>
      <c r="DD102" s="1603">
        <v>5.3071941431049545</v>
      </c>
      <c r="DE102" s="1603">
        <v>3.0049214649487812</v>
      </c>
      <c r="DF102" s="1603">
        <v>0</v>
      </c>
      <c r="DG102" s="1603">
        <v>0</v>
      </c>
      <c r="DH102" s="1603">
        <v>0</v>
      </c>
      <c r="DI102" s="1603">
        <v>0</v>
      </c>
      <c r="DJ102" s="1603">
        <v>0</v>
      </c>
      <c r="DK102" s="1603">
        <v>0</v>
      </c>
      <c r="DL102" s="1603">
        <v>0</v>
      </c>
      <c r="DM102" s="1603">
        <v>0</v>
      </c>
      <c r="DN102" s="1603">
        <v>0</v>
      </c>
      <c r="DO102" s="1603">
        <v>0</v>
      </c>
      <c r="DP102" s="1603">
        <v>0</v>
      </c>
      <c r="DQ102" s="1603">
        <v>0</v>
      </c>
      <c r="DR102" s="1603">
        <v>0</v>
      </c>
      <c r="DS102" s="1603">
        <v>0</v>
      </c>
      <c r="DT102" s="1603">
        <v>0</v>
      </c>
      <c r="DU102" s="1603">
        <v>0</v>
      </c>
      <c r="DV102" s="1603">
        <v>0</v>
      </c>
      <c r="DW102" s="1618" t="s">
        <v>3506</v>
      </c>
      <c r="DX102" s="1605">
        <v>28</v>
      </c>
      <c r="DY102" s="1605">
        <v>28</v>
      </c>
      <c r="DZ102" s="1605">
        <v>14</v>
      </c>
      <c r="EA102" s="1605">
        <v>14</v>
      </c>
      <c r="EB102" s="1605" t="s">
        <v>986</v>
      </c>
      <c r="EC102" s="1605">
        <v>14</v>
      </c>
      <c r="ED102" s="1605">
        <v>14</v>
      </c>
      <c r="EE102" s="1605">
        <v>16</v>
      </c>
      <c r="EF102" s="1605">
        <v>14</v>
      </c>
      <c r="EG102" s="1605">
        <v>14</v>
      </c>
      <c r="EH102" s="1605" t="s">
        <v>986</v>
      </c>
      <c r="EI102" s="1605" t="s">
        <v>986</v>
      </c>
      <c r="EJ102" s="1605" t="s">
        <v>986</v>
      </c>
      <c r="EK102" s="1605" t="s">
        <v>986</v>
      </c>
      <c r="EL102" s="1605" t="s">
        <v>986</v>
      </c>
      <c r="EM102" s="1605" t="s">
        <v>986</v>
      </c>
      <c r="EN102" s="1605" t="s">
        <v>986</v>
      </c>
      <c r="EO102" s="1605" t="s">
        <v>986</v>
      </c>
      <c r="EP102" s="1605" t="s">
        <v>986</v>
      </c>
      <c r="EQ102" s="1605" t="s">
        <v>986</v>
      </c>
      <c r="ER102" s="1605" t="s">
        <v>986</v>
      </c>
      <c r="ES102" s="1605">
        <v>14</v>
      </c>
      <c r="ET102" s="1605">
        <v>28</v>
      </c>
      <c r="EU102" s="1605">
        <v>14</v>
      </c>
      <c r="EV102" s="1605">
        <v>14</v>
      </c>
      <c r="EW102" s="1605">
        <v>14</v>
      </c>
      <c r="EX102" s="1605">
        <v>14</v>
      </c>
      <c r="EY102" s="1605" t="s">
        <v>986</v>
      </c>
      <c r="EZ102" s="1605">
        <v>14</v>
      </c>
      <c r="FA102" s="1605">
        <v>14</v>
      </c>
      <c r="FB102" s="1605">
        <v>14</v>
      </c>
      <c r="FC102" s="1605">
        <v>12</v>
      </c>
      <c r="FD102" s="1605" t="s">
        <v>986</v>
      </c>
      <c r="FE102" s="1605" t="s">
        <v>986</v>
      </c>
      <c r="FF102" s="1605">
        <v>0.5814027008271464</v>
      </c>
      <c r="FG102" s="1605">
        <v>0.429356115117699</v>
      </c>
      <c r="FH102" s="1605">
        <v>9.3373969286427036E-2</v>
      </c>
      <c r="FI102" s="1605">
        <v>4.3647162379543671E-2</v>
      </c>
      <c r="FJ102" s="1605" t="s">
        <v>986</v>
      </c>
      <c r="FK102" s="1605">
        <v>0.67995897615910683</v>
      </c>
      <c r="FL102" s="1605">
        <v>0.88474030965601358</v>
      </c>
      <c r="FM102" s="1605" t="s">
        <v>986</v>
      </c>
      <c r="FN102" s="1605">
        <v>1.2446499722746724</v>
      </c>
      <c r="FO102" s="1605">
        <v>0.90695400504502555</v>
      </c>
      <c r="FP102" s="1605" t="s">
        <v>986</v>
      </c>
      <c r="FQ102" s="1605" t="s">
        <v>986</v>
      </c>
      <c r="FR102" s="1605" t="s">
        <v>986</v>
      </c>
      <c r="FS102" s="1605" t="s">
        <v>986</v>
      </c>
      <c r="FT102" s="1605" t="s">
        <v>986</v>
      </c>
      <c r="FU102" s="1605" t="s">
        <v>986</v>
      </c>
      <c r="FV102" s="1605" t="s">
        <v>986</v>
      </c>
      <c r="FW102" s="1605" t="s">
        <v>986</v>
      </c>
      <c r="FX102" s="1605" t="s">
        <v>986</v>
      </c>
      <c r="FY102" s="1605" t="s">
        <v>986</v>
      </c>
      <c r="FZ102" s="1605" t="s">
        <v>986</v>
      </c>
      <c r="GA102" s="1605">
        <v>3.3738294074291603E-2</v>
      </c>
      <c r="GB102" s="1605">
        <v>0.25190125204384672</v>
      </c>
      <c r="GC102" s="1605">
        <v>7.6679136011535503E-4</v>
      </c>
      <c r="GD102" s="1605">
        <v>7.0000000000000007E-2</v>
      </c>
      <c r="GE102" s="1605">
        <v>0.20727447409545754</v>
      </c>
      <c r="GF102" s="1605">
        <v>4.7338465806842069E-2</v>
      </c>
      <c r="GG102" s="1605" t="s">
        <v>986</v>
      </c>
      <c r="GH102" s="1605">
        <v>4.6369617100871805</v>
      </c>
      <c r="GI102" s="1605">
        <v>0.49745139357274043</v>
      </c>
      <c r="GJ102" s="1605">
        <v>3.3419024445625807</v>
      </c>
      <c r="GK102" s="1605">
        <v>2.144103148161582</v>
      </c>
      <c r="GL102" s="1605" t="s">
        <v>986</v>
      </c>
      <c r="GM102" s="1605" t="s">
        <v>986</v>
      </c>
      <c r="GN102" s="1605" t="s">
        <v>2217</v>
      </c>
      <c r="GO102" s="1605" t="s">
        <v>2217</v>
      </c>
      <c r="GP102" s="1605" t="s">
        <v>2217</v>
      </c>
      <c r="GQ102" s="1605" t="s">
        <v>2217</v>
      </c>
      <c r="GR102" s="1605" t="s">
        <v>1763</v>
      </c>
      <c r="GS102" s="1605" t="s">
        <v>2217</v>
      </c>
      <c r="GT102" s="1605" t="s">
        <v>2217</v>
      </c>
      <c r="GU102" s="1605" t="s">
        <v>1763</v>
      </c>
      <c r="GV102" s="1605" t="s">
        <v>2217</v>
      </c>
      <c r="GW102" s="1605" t="s">
        <v>2217</v>
      </c>
      <c r="GX102" s="1605" t="s">
        <v>2217</v>
      </c>
      <c r="GY102" s="1605" t="s">
        <v>2217</v>
      </c>
      <c r="GZ102" s="1605" t="s">
        <v>2217</v>
      </c>
      <c r="HA102" s="1605" t="s">
        <v>2217</v>
      </c>
      <c r="HB102" s="1605" t="s">
        <v>1763</v>
      </c>
      <c r="HC102" s="1605" t="s">
        <v>2217</v>
      </c>
      <c r="HD102" s="1605" t="s">
        <v>2217</v>
      </c>
      <c r="HE102" s="1605" t="s">
        <v>2217</v>
      </c>
      <c r="HF102" s="1605" t="s">
        <v>2217</v>
      </c>
      <c r="HG102" s="1605" t="s">
        <v>2217</v>
      </c>
      <c r="HH102" s="1605" t="s">
        <v>2217</v>
      </c>
      <c r="HI102" s="1605" t="s">
        <v>2217</v>
      </c>
      <c r="HJ102" s="1605" t="s">
        <v>2217</v>
      </c>
      <c r="HK102" s="1605" t="s">
        <v>2217</v>
      </c>
      <c r="HL102" s="1605" t="s">
        <v>1578</v>
      </c>
      <c r="HM102" s="1605" t="s">
        <v>2217</v>
      </c>
      <c r="HN102" s="1605" t="s">
        <v>2217</v>
      </c>
      <c r="HO102" s="1605" t="s">
        <v>986</v>
      </c>
      <c r="HP102" s="1605" t="s">
        <v>2217</v>
      </c>
      <c r="HQ102" s="1605" t="s">
        <v>2217</v>
      </c>
      <c r="HR102" s="1605" t="s">
        <v>2217</v>
      </c>
      <c r="HS102" s="1605" t="s">
        <v>2217</v>
      </c>
      <c r="HT102" s="1605" t="s">
        <v>1763</v>
      </c>
      <c r="HU102" s="1605" t="s">
        <v>1763</v>
      </c>
      <c r="HV102" s="1617"/>
      <c r="HW102" s="1617" t="s">
        <v>3505</v>
      </c>
      <c r="HX102" s="1617" t="s">
        <v>3504</v>
      </c>
      <c r="HY102" s="1617" t="s">
        <v>3503</v>
      </c>
      <c r="HZ102" s="1603"/>
      <c r="IA102" s="1603"/>
      <c r="IB102" s="1603"/>
      <c r="IC102" s="1603">
        <v>60.634146341463399</v>
      </c>
      <c r="ID102" s="1603">
        <v>61.219512195121901</v>
      </c>
      <c r="IE102" s="1603">
        <v>61.707317073170699</v>
      </c>
      <c r="IF102" s="1603">
        <v>62</v>
      </c>
      <c r="IG102" s="1611" t="s">
        <v>3463</v>
      </c>
      <c r="IH102" s="1616" t="s">
        <v>3525</v>
      </c>
      <c r="II102" s="1615" t="s">
        <v>3524</v>
      </c>
      <c r="IJ102" s="1613">
        <v>0.44950000000000001</v>
      </c>
      <c r="IK102" s="1613">
        <v>0.44756818181818181</v>
      </c>
      <c r="IL102" s="1614">
        <v>0.44950000000000001</v>
      </c>
      <c r="IM102" s="1614">
        <v>0.44756818181818181</v>
      </c>
      <c r="IN102" s="1612">
        <v>0.48</v>
      </c>
      <c r="IO102" s="1613">
        <v>3.0499999999999972E-2</v>
      </c>
      <c r="IP102" s="1607" t="s">
        <v>270</v>
      </c>
      <c r="IQ102" s="1612">
        <v>1.57</v>
      </c>
      <c r="IR102" s="1612">
        <v>-1E-3</v>
      </c>
      <c r="IS102" s="1607">
        <v>0.44550000000000001</v>
      </c>
      <c r="IT102" s="1607">
        <v>0.44356818181818181</v>
      </c>
      <c r="IU102" s="1611">
        <v>1.1363636363636365E-5</v>
      </c>
      <c r="IV102" s="1611">
        <v>2.4318181818181817E-3</v>
      </c>
      <c r="IW102" s="1611">
        <v>6.3636363636363641E-4</v>
      </c>
      <c r="IX102" s="1611">
        <v>1.1022727272727271E-3</v>
      </c>
      <c r="IY102" s="1611">
        <v>6.4772727272727269E-4</v>
      </c>
      <c r="IZ102" s="1611">
        <v>8.1363636363636378E-3</v>
      </c>
      <c r="JA102" s="1611">
        <v>1.4772727272727274E-4</v>
      </c>
      <c r="JB102" s="1611" t="s">
        <v>270</v>
      </c>
      <c r="JC102" s="1611">
        <v>0.10805681818181818</v>
      </c>
      <c r="JD102" s="1611">
        <v>2.7499999999999998E-3</v>
      </c>
      <c r="JE102" s="1611" t="s">
        <v>270</v>
      </c>
      <c r="JF102" s="1611">
        <v>5.113636363636363E-4</v>
      </c>
      <c r="JG102" s="1611">
        <v>3.3054204545454549</v>
      </c>
      <c r="JH102" s="1611">
        <v>2.0454545454545454E-4</v>
      </c>
      <c r="JI102" s="1611">
        <v>4.9477272727272731E-2</v>
      </c>
      <c r="JJ102" s="1611" t="s">
        <v>270</v>
      </c>
      <c r="JK102" s="1607">
        <f t="shared" si="10"/>
        <v>4.0000000000000036E-3</v>
      </c>
      <c r="JL102" s="1608" t="s">
        <v>270</v>
      </c>
      <c r="JM102" s="1610" t="s">
        <v>2924</v>
      </c>
      <c r="JN102" s="1608">
        <v>1.9318181818182012E-3</v>
      </c>
      <c r="JO102" s="1609" t="s">
        <v>2923</v>
      </c>
      <c r="JP102" s="1608" t="s">
        <v>270</v>
      </c>
      <c r="JQ102" s="1607">
        <v>202103</v>
      </c>
      <c r="JR102" s="1606">
        <v>946</v>
      </c>
      <c r="JS102" s="1606">
        <v>865</v>
      </c>
      <c r="JT102" s="1606">
        <v>865</v>
      </c>
    </row>
    <row r="103" spans="1:280" ht="15" customHeight="1" x14ac:dyDescent="0.2">
      <c r="A103" s="1626">
        <v>51001</v>
      </c>
      <c r="B103" s="1625">
        <v>510</v>
      </c>
      <c r="C103" s="1624">
        <v>1</v>
      </c>
      <c r="D103" s="1623" t="s">
        <v>3528</v>
      </c>
      <c r="E103" s="1622">
        <v>44497</v>
      </c>
      <c r="F103" s="1620">
        <v>1.1570300232288036</v>
      </c>
      <c r="G103" s="1620">
        <v>1.1326871280148421</v>
      </c>
      <c r="H103" s="1621">
        <v>89.5</v>
      </c>
      <c r="I103" s="1621">
        <v>87.8</v>
      </c>
      <c r="J103" s="1621">
        <v>93</v>
      </c>
      <c r="K103" s="1620">
        <v>1</v>
      </c>
      <c r="L103" s="1620">
        <v>85</v>
      </c>
      <c r="M103" s="1620">
        <v>9.9</v>
      </c>
      <c r="N103" s="1620">
        <v>2.1</v>
      </c>
      <c r="O103" s="1620">
        <v>1.4</v>
      </c>
      <c r="P103" s="1620">
        <v>2.7</v>
      </c>
      <c r="Q103" s="1603"/>
      <c r="R103" s="1620">
        <v>85.416476190476189</v>
      </c>
      <c r="S103" s="1620">
        <v>50</v>
      </c>
      <c r="T103" s="1620">
        <v>54.878048780487802</v>
      </c>
      <c r="U103" s="1620">
        <v>56.829268292682897</v>
      </c>
      <c r="V103" s="1620">
        <v>58.585365853658502</v>
      </c>
      <c r="W103" s="1620">
        <v>59.756097560975597</v>
      </c>
      <c r="X103" s="1620"/>
      <c r="Y103" s="1620">
        <v>0.4</v>
      </c>
      <c r="Z103" s="1620">
        <v>3.1764705882352939</v>
      </c>
      <c r="AA103" s="1620">
        <v>0.11764705882352941</v>
      </c>
      <c r="AB103" s="1620">
        <v>1.08170310701956</v>
      </c>
      <c r="AC103" s="1620">
        <v>4.7647058823529411</v>
      </c>
      <c r="AD103" s="1620">
        <v>0.97647058823529409</v>
      </c>
      <c r="AE103" s="1620">
        <v>1.3</v>
      </c>
      <c r="AF103" s="1620">
        <v>35.258823529411764</v>
      </c>
      <c r="AG103" s="1620">
        <v>2.729411764705882</v>
      </c>
      <c r="AH103" s="1620">
        <v>27.28235294117647</v>
      </c>
      <c r="AI103" s="1620">
        <v>25.176470588235293</v>
      </c>
      <c r="AJ103" s="1620">
        <v>0</v>
      </c>
      <c r="AK103" s="1620">
        <v>6.0000000000000123E-2</v>
      </c>
      <c r="AL103" s="1620"/>
      <c r="AM103" s="1620">
        <v>2.9030935294117652</v>
      </c>
      <c r="AN103" s="1620">
        <v>1.5375035294117647</v>
      </c>
      <c r="AO103" s="1620">
        <v>2.3079347058823529</v>
      </c>
      <c r="AP103" s="1620">
        <v>2.8916517647058826</v>
      </c>
      <c r="AQ103" s="1620">
        <v>1.3414888235294118</v>
      </c>
      <c r="AR103" s="1620">
        <v>3.3452023529411763</v>
      </c>
      <c r="AS103" s="1620">
        <v>6.6590935294117646</v>
      </c>
      <c r="AT103" s="1620">
        <v>2.2747205882352945</v>
      </c>
      <c r="AU103" s="1620">
        <v>4.4124194117647058</v>
      </c>
      <c r="AV103" s="1620">
        <v>2.7541000000000002</v>
      </c>
      <c r="AW103" s="1620">
        <v>4.2787847058823534</v>
      </c>
      <c r="AX103" s="1620"/>
      <c r="AY103" s="1620">
        <v>0.92</v>
      </c>
      <c r="AZ103" s="1620">
        <v>1</v>
      </c>
      <c r="BA103" s="1620">
        <v>0.98</v>
      </c>
      <c r="BB103" s="1620">
        <v>0.93</v>
      </c>
      <c r="BC103" s="1620">
        <v>0.99</v>
      </c>
      <c r="BD103" s="1620">
        <v>0.99</v>
      </c>
      <c r="BE103" s="1620">
        <v>1</v>
      </c>
      <c r="BF103" s="1620">
        <v>0.99</v>
      </c>
      <c r="BG103" s="1620">
        <v>1.02</v>
      </c>
      <c r="BH103" s="1620">
        <v>1</v>
      </c>
      <c r="BI103" s="1620">
        <v>0.96</v>
      </c>
      <c r="BJ103" s="1603"/>
      <c r="BK103" s="1620">
        <v>11.647058823529411</v>
      </c>
      <c r="BL103" s="1620">
        <v>2.4705882352941178</v>
      </c>
      <c r="BM103" s="1620">
        <v>1.6470588235294117</v>
      </c>
      <c r="BN103" s="1620">
        <v>3.1764705882352939</v>
      </c>
      <c r="BO103" s="1620"/>
      <c r="BP103" s="1620">
        <v>105</v>
      </c>
      <c r="BQ103" s="1620">
        <v>25.941176470588236</v>
      </c>
      <c r="BR103" s="1620">
        <v>1.3612117920338866</v>
      </c>
      <c r="BS103" s="1620">
        <v>1.3325730917821672</v>
      </c>
      <c r="BT103" s="1603"/>
      <c r="BU103" s="1620">
        <v>983.52941176470586</v>
      </c>
      <c r="BV103" s="1620">
        <v>726.42016806722677</v>
      </c>
      <c r="BW103" s="1620">
        <v>23.885714285714325</v>
      </c>
      <c r="BX103" s="1620">
        <v>670</v>
      </c>
      <c r="BY103" s="1620">
        <v>18.999999999999996</v>
      </c>
      <c r="BZ103" s="1620">
        <v>25</v>
      </c>
      <c r="CA103" s="1620">
        <v>113</v>
      </c>
      <c r="CB103" s="1603"/>
      <c r="CC103" s="1603">
        <v>0.34</v>
      </c>
      <c r="CD103" s="1603">
        <v>2.6999999999999997</v>
      </c>
      <c r="CE103" s="1603">
        <v>9.9999999999999992E-2</v>
      </c>
      <c r="CF103" s="1603">
        <v>0.9194476409666259</v>
      </c>
      <c r="CG103" s="1603">
        <v>4.05</v>
      </c>
      <c r="CH103" s="1603">
        <v>0.83</v>
      </c>
      <c r="CI103" s="1603">
        <v>1.105</v>
      </c>
      <c r="CJ103" s="1603"/>
      <c r="CK103" s="1603">
        <v>29.97</v>
      </c>
      <c r="CL103" s="1603">
        <v>2.3199999999999998</v>
      </c>
      <c r="CM103" s="1603">
        <v>23.189999999999998</v>
      </c>
      <c r="CN103" s="1603">
        <v>21.4</v>
      </c>
      <c r="CO103" s="1603">
        <v>0</v>
      </c>
      <c r="CP103" s="1603">
        <v>5.1000000000000101E-2</v>
      </c>
      <c r="CQ103" s="1603">
        <v>84.562311428571434</v>
      </c>
      <c r="CR103" s="1603">
        <v>73.085667381899199</v>
      </c>
      <c r="CS103" s="1603">
        <v>1.952005658236015</v>
      </c>
      <c r="CT103" s="1603">
        <v>1.1236947154908428</v>
      </c>
      <c r="CU103" s="1603">
        <v>1.653034092881938</v>
      </c>
      <c r="CV103" s="1603">
        <v>2.7767288083727806</v>
      </c>
      <c r="CW103" s="1603">
        <v>1.9654461812540565</v>
      </c>
      <c r="CX103" s="1603">
        <v>0.97063169893475798</v>
      </c>
      <c r="CY103" s="1603">
        <v>2.4204148302728328</v>
      </c>
      <c r="CZ103" s="1603">
        <v>4.8668429475554529</v>
      </c>
      <c r="DA103" s="1603">
        <v>1.6458697757553757</v>
      </c>
      <c r="DB103" s="1603">
        <v>3.2893430982722394</v>
      </c>
      <c r="DC103" s="1603">
        <v>2.0128523653648855</v>
      </c>
      <c r="DD103" s="1603">
        <v>5.3021954636371245</v>
      </c>
      <c r="DE103" s="1603">
        <v>3.0020912238036002</v>
      </c>
      <c r="DF103" s="1603">
        <v>0</v>
      </c>
      <c r="DG103" s="1603">
        <v>0</v>
      </c>
      <c r="DH103" s="1603">
        <v>0</v>
      </c>
      <c r="DI103" s="1603">
        <v>0</v>
      </c>
      <c r="DJ103" s="1603">
        <v>0</v>
      </c>
      <c r="DK103" s="1603">
        <v>0</v>
      </c>
      <c r="DL103" s="1603">
        <v>0</v>
      </c>
      <c r="DM103" s="1603">
        <v>0</v>
      </c>
      <c r="DN103" s="1603">
        <v>0</v>
      </c>
      <c r="DO103" s="1603">
        <v>0</v>
      </c>
      <c r="DP103" s="1603">
        <v>0</v>
      </c>
      <c r="DQ103" s="1603">
        <v>0</v>
      </c>
      <c r="DR103" s="1603">
        <v>0</v>
      </c>
      <c r="DS103" s="1603">
        <v>0</v>
      </c>
      <c r="DT103" s="1603">
        <v>0</v>
      </c>
      <c r="DU103" s="1603">
        <v>0</v>
      </c>
      <c r="DV103" s="1603">
        <v>0</v>
      </c>
      <c r="DW103" s="1618" t="s">
        <v>3506</v>
      </c>
      <c r="DX103" s="1605">
        <v>28</v>
      </c>
      <c r="DY103" s="1605">
        <v>28</v>
      </c>
      <c r="DZ103" s="1605">
        <v>14</v>
      </c>
      <c r="EA103" s="1605">
        <v>14</v>
      </c>
      <c r="EB103" s="1605" t="s">
        <v>986</v>
      </c>
      <c r="EC103" s="1605">
        <v>14</v>
      </c>
      <c r="ED103" s="1605">
        <v>14</v>
      </c>
      <c r="EE103" s="1605">
        <v>16</v>
      </c>
      <c r="EF103" s="1605">
        <v>14</v>
      </c>
      <c r="EG103" s="1605">
        <v>14</v>
      </c>
      <c r="EH103" s="1605" t="s">
        <v>986</v>
      </c>
      <c r="EI103" s="1605" t="s">
        <v>986</v>
      </c>
      <c r="EJ103" s="1605" t="s">
        <v>986</v>
      </c>
      <c r="EK103" s="1605" t="s">
        <v>986</v>
      </c>
      <c r="EL103" s="1605" t="s">
        <v>986</v>
      </c>
      <c r="EM103" s="1605" t="s">
        <v>986</v>
      </c>
      <c r="EN103" s="1605" t="s">
        <v>986</v>
      </c>
      <c r="EO103" s="1605" t="s">
        <v>986</v>
      </c>
      <c r="EP103" s="1605" t="s">
        <v>986</v>
      </c>
      <c r="EQ103" s="1605" t="s">
        <v>986</v>
      </c>
      <c r="ER103" s="1605" t="s">
        <v>986</v>
      </c>
      <c r="ES103" s="1605">
        <v>14</v>
      </c>
      <c r="ET103" s="1605">
        <v>28</v>
      </c>
      <c r="EU103" s="1605">
        <v>14</v>
      </c>
      <c r="EV103" s="1605">
        <v>14</v>
      </c>
      <c r="EW103" s="1605">
        <v>14</v>
      </c>
      <c r="EX103" s="1605">
        <v>14</v>
      </c>
      <c r="EY103" s="1605" t="s">
        <v>986</v>
      </c>
      <c r="EZ103" s="1605">
        <v>14</v>
      </c>
      <c r="FA103" s="1605">
        <v>14</v>
      </c>
      <c r="FB103" s="1605">
        <v>14</v>
      </c>
      <c r="FC103" s="1605">
        <v>12</v>
      </c>
      <c r="FD103" s="1605" t="s">
        <v>986</v>
      </c>
      <c r="FE103" s="1605" t="s">
        <v>986</v>
      </c>
      <c r="FF103" s="1605">
        <v>0.5814027008271464</v>
      </c>
      <c r="FG103" s="1605">
        <v>0.429356115117699</v>
      </c>
      <c r="FH103" s="1605">
        <v>9.3373969286427036E-2</v>
      </c>
      <c r="FI103" s="1605">
        <v>4.3647162379543671E-2</v>
      </c>
      <c r="FJ103" s="1605" t="s">
        <v>986</v>
      </c>
      <c r="FK103" s="1605">
        <v>0.67995897615910683</v>
      </c>
      <c r="FL103" s="1605">
        <v>0.88474030965601358</v>
      </c>
      <c r="FM103" s="1605" t="s">
        <v>986</v>
      </c>
      <c r="FN103" s="1605">
        <v>1.2446499722746724</v>
      </c>
      <c r="FO103" s="1605">
        <v>0.90695400504502555</v>
      </c>
      <c r="FP103" s="1605" t="s">
        <v>986</v>
      </c>
      <c r="FQ103" s="1605" t="s">
        <v>986</v>
      </c>
      <c r="FR103" s="1605" t="s">
        <v>986</v>
      </c>
      <c r="FS103" s="1605" t="s">
        <v>986</v>
      </c>
      <c r="FT103" s="1605" t="s">
        <v>986</v>
      </c>
      <c r="FU103" s="1605" t="s">
        <v>986</v>
      </c>
      <c r="FV103" s="1605" t="s">
        <v>986</v>
      </c>
      <c r="FW103" s="1605" t="s">
        <v>986</v>
      </c>
      <c r="FX103" s="1605" t="s">
        <v>986</v>
      </c>
      <c r="FY103" s="1605" t="s">
        <v>986</v>
      </c>
      <c r="FZ103" s="1605" t="s">
        <v>986</v>
      </c>
      <c r="GA103" s="1605">
        <v>3.3738294074291603E-2</v>
      </c>
      <c r="GB103" s="1605">
        <v>0.25190125204384672</v>
      </c>
      <c r="GC103" s="1605">
        <v>7.6679136011535503E-4</v>
      </c>
      <c r="GD103" s="1605">
        <v>7.0000000000000007E-2</v>
      </c>
      <c r="GE103" s="1605">
        <v>0.20727447409545754</v>
      </c>
      <c r="GF103" s="1605">
        <v>4.7338465806842069E-2</v>
      </c>
      <c r="GG103" s="1605" t="s">
        <v>986</v>
      </c>
      <c r="GH103" s="1605">
        <v>4.6369617100871805</v>
      </c>
      <c r="GI103" s="1605">
        <v>0.49745139357274043</v>
      </c>
      <c r="GJ103" s="1605">
        <v>3.3419024445625807</v>
      </c>
      <c r="GK103" s="1605">
        <v>2.144103148161582</v>
      </c>
      <c r="GL103" s="1605" t="s">
        <v>986</v>
      </c>
      <c r="GM103" s="1605" t="s">
        <v>986</v>
      </c>
      <c r="GN103" s="1605" t="s">
        <v>2217</v>
      </c>
      <c r="GO103" s="1605" t="s">
        <v>2217</v>
      </c>
      <c r="GP103" s="1605" t="s">
        <v>2217</v>
      </c>
      <c r="GQ103" s="1605" t="s">
        <v>2217</v>
      </c>
      <c r="GR103" s="1605" t="s">
        <v>1763</v>
      </c>
      <c r="GS103" s="1605" t="s">
        <v>2217</v>
      </c>
      <c r="GT103" s="1605" t="s">
        <v>2217</v>
      </c>
      <c r="GU103" s="1605" t="s">
        <v>1763</v>
      </c>
      <c r="GV103" s="1605" t="s">
        <v>2217</v>
      </c>
      <c r="GW103" s="1605" t="s">
        <v>2217</v>
      </c>
      <c r="GX103" s="1605" t="s">
        <v>2217</v>
      </c>
      <c r="GY103" s="1605" t="s">
        <v>2217</v>
      </c>
      <c r="GZ103" s="1605" t="s">
        <v>2217</v>
      </c>
      <c r="HA103" s="1605" t="s">
        <v>2217</v>
      </c>
      <c r="HB103" s="1605" t="s">
        <v>1763</v>
      </c>
      <c r="HC103" s="1605" t="s">
        <v>2217</v>
      </c>
      <c r="HD103" s="1605" t="s">
        <v>2217</v>
      </c>
      <c r="HE103" s="1605" t="s">
        <v>2217</v>
      </c>
      <c r="HF103" s="1605" t="s">
        <v>2217</v>
      </c>
      <c r="HG103" s="1605" t="s">
        <v>2217</v>
      </c>
      <c r="HH103" s="1605" t="s">
        <v>2217</v>
      </c>
      <c r="HI103" s="1605" t="s">
        <v>2217</v>
      </c>
      <c r="HJ103" s="1605" t="s">
        <v>2217</v>
      </c>
      <c r="HK103" s="1605" t="s">
        <v>2217</v>
      </c>
      <c r="HL103" s="1605" t="s">
        <v>1578</v>
      </c>
      <c r="HM103" s="1605" t="s">
        <v>2217</v>
      </c>
      <c r="HN103" s="1605" t="s">
        <v>2217</v>
      </c>
      <c r="HO103" s="1605" t="s">
        <v>986</v>
      </c>
      <c r="HP103" s="1605" t="s">
        <v>2217</v>
      </c>
      <c r="HQ103" s="1605" t="s">
        <v>2217</v>
      </c>
      <c r="HR103" s="1605" t="s">
        <v>2217</v>
      </c>
      <c r="HS103" s="1605" t="s">
        <v>2217</v>
      </c>
      <c r="HT103" s="1605" t="s">
        <v>1763</v>
      </c>
      <c r="HU103" s="1605" t="s">
        <v>1763</v>
      </c>
      <c r="HV103" s="1617"/>
      <c r="HW103" s="1617" t="s">
        <v>3505</v>
      </c>
      <c r="HX103" s="1617" t="s">
        <v>3504</v>
      </c>
      <c r="HY103" s="1617" t="s">
        <v>3503</v>
      </c>
      <c r="HZ103" s="1603"/>
      <c r="IA103" s="1603"/>
      <c r="IB103" s="1603"/>
      <c r="IC103" s="1603">
        <v>60.634146341463399</v>
      </c>
      <c r="ID103" s="1603">
        <v>61.219512195121901</v>
      </c>
      <c r="IE103" s="1603">
        <v>61.707317073170699</v>
      </c>
      <c r="IF103" s="1603">
        <v>62</v>
      </c>
      <c r="IG103" s="1611" t="s">
        <v>3463</v>
      </c>
      <c r="IH103" s="1616" t="s">
        <v>3525</v>
      </c>
      <c r="II103" s="1615" t="s">
        <v>3524</v>
      </c>
      <c r="IJ103" s="1613">
        <v>0.44950000000000001</v>
      </c>
      <c r="IK103" s="1613">
        <v>0.44756818181818181</v>
      </c>
      <c r="IL103" s="1614">
        <v>0.44950000000000001</v>
      </c>
      <c r="IM103" s="1614">
        <v>0.44756818181818181</v>
      </c>
      <c r="IN103" s="1612">
        <v>0.48</v>
      </c>
      <c r="IO103" s="1613">
        <v>3.0499999999999972E-2</v>
      </c>
      <c r="IP103" s="1607" t="s">
        <v>270</v>
      </c>
      <c r="IQ103" s="1612">
        <v>1.57</v>
      </c>
      <c r="IR103" s="1612">
        <v>-1E-3</v>
      </c>
      <c r="IS103" s="1607">
        <v>0.44550000000000001</v>
      </c>
      <c r="IT103" s="1607">
        <v>0.44356818181818181</v>
      </c>
      <c r="IU103" s="1611">
        <v>1.1363636363636365E-5</v>
      </c>
      <c r="IV103" s="1611">
        <v>2.4318181818181817E-3</v>
      </c>
      <c r="IW103" s="1611">
        <v>6.3636363636363641E-4</v>
      </c>
      <c r="IX103" s="1611">
        <v>1.1022727272727271E-3</v>
      </c>
      <c r="IY103" s="1611">
        <v>6.4772727272727269E-4</v>
      </c>
      <c r="IZ103" s="1611">
        <v>8.1363636363636378E-3</v>
      </c>
      <c r="JA103" s="1611">
        <v>1.4772727272727274E-4</v>
      </c>
      <c r="JB103" s="1611" t="s">
        <v>270</v>
      </c>
      <c r="JC103" s="1611">
        <v>0.10805681818181818</v>
      </c>
      <c r="JD103" s="1611">
        <v>2.7499999999999998E-3</v>
      </c>
      <c r="JE103" s="1611" t="s">
        <v>270</v>
      </c>
      <c r="JF103" s="1611">
        <v>5.113636363636363E-4</v>
      </c>
      <c r="JG103" s="1611">
        <v>3.3054204545454549</v>
      </c>
      <c r="JH103" s="1611">
        <v>2.0454545454545454E-4</v>
      </c>
      <c r="JI103" s="1611">
        <v>4.9477272727272731E-2</v>
      </c>
      <c r="JJ103" s="1611" t="s">
        <v>270</v>
      </c>
      <c r="JK103" s="1607">
        <f t="shared" si="10"/>
        <v>4.0000000000000036E-3</v>
      </c>
      <c r="JL103" s="1608" t="s">
        <v>270</v>
      </c>
      <c r="JM103" s="1610" t="s">
        <v>2924</v>
      </c>
      <c r="JN103" s="1608">
        <v>1.9318181818182012E-3</v>
      </c>
      <c r="JO103" s="1609" t="s">
        <v>2923</v>
      </c>
      <c r="JP103" s="1608" t="s">
        <v>270</v>
      </c>
      <c r="JQ103" s="1607">
        <v>202103</v>
      </c>
      <c r="JR103" s="1606">
        <v>946</v>
      </c>
      <c r="JS103" s="1606">
        <v>865</v>
      </c>
      <c r="JT103" s="1606">
        <v>865</v>
      </c>
    </row>
    <row r="104" spans="1:280" ht="15" customHeight="1" x14ac:dyDescent="0.2">
      <c r="A104" s="1626">
        <v>51010</v>
      </c>
      <c r="B104" s="1625">
        <v>510</v>
      </c>
      <c r="C104" s="1624">
        <v>10</v>
      </c>
      <c r="D104" s="1623" t="s">
        <v>3527</v>
      </c>
      <c r="E104" s="1622">
        <v>44497</v>
      </c>
      <c r="F104" s="1620">
        <v>1.1473203832752614</v>
      </c>
      <c r="G104" s="1620">
        <v>1.1258626382189239</v>
      </c>
      <c r="H104" s="1621">
        <v>89.5</v>
      </c>
      <c r="I104" s="1621">
        <v>87</v>
      </c>
      <c r="J104" s="1621">
        <v>93</v>
      </c>
      <c r="K104" s="1620">
        <v>1</v>
      </c>
      <c r="L104" s="1620">
        <v>85</v>
      </c>
      <c r="M104" s="1620">
        <v>9.9</v>
      </c>
      <c r="N104" s="1620">
        <v>2.1</v>
      </c>
      <c r="O104" s="1620">
        <v>1.4</v>
      </c>
      <c r="P104" s="1620">
        <v>2.7</v>
      </c>
      <c r="Q104" s="1603"/>
      <c r="R104" s="1620">
        <v>84.779523809523795</v>
      </c>
      <c r="S104" s="1620">
        <v>28</v>
      </c>
      <c r="T104" s="1620">
        <v>41.821138211382099</v>
      </c>
      <c r="U104" s="1620">
        <v>47.349593495934997</v>
      </c>
      <c r="V104" s="1620">
        <v>52.325203252032502</v>
      </c>
      <c r="W104" s="1620">
        <v>55.642276422764198</v>
      </c>
      <c r="X104" s="1620"/>
      <c r="Y104" s="1620">
        <v>0.4</v>
      </c>
      <c r="Z104" s="1620">
        <v>3.1764705882352939</v>
      </c>
      <c r="AA104" s="1620">
        <v>0.11764705882352941</v>
      </c>
      <c r="AB104" s="1620">
        <v>1.08170310701956</v>
      </c>
      <c r="AC104" s="1620">
        <v>4.7647058823529411</v>
      </c>
      <c r="AD104" s="1620">
        <v>0.97647058823529409</v>
      </c>
      <c r="AE104" s="1620">
        <v>1.3</v>
      </c>
      <c r="AF104" s="1620">
        <v>35.258823529411764</v>
      </c>
      <c r="AG104" s="1620">
        <v>2.729411764705882</v>
      </c>
      <c r="AH104" s="1620">
        <v>27.28235294117647</v>
      </c>
      <c r="AI104" s="1620">
        <v>25.176470588235293</v>
      </c>
      <c r="AJ104" s="1620">
        <v>0</v>
      </c>
      <c r="AK104" s="1620">
        <v>6.0000000000000123E-2</v>
      </c>
      <c r="AL104" s="1620"/>
      <c r="AM104" s="1620">
        <v>2.9030935294117652</v>
      </c>
      <c r="AN104" s="1620">
        <v>1.5375035294117647</v>
      </c>
      <c r="AO104" s="1620">
        <v>2.3079347058823529</v>
      </c>
      <c r="AP104" s="1620">
        <v>2.8916517647058826</v>
      </c>
      <c r="AQ104" s="1620">
        <v>1.3414888235294118</v>
      </c>
      <c r="AR104" s="1620">
        <v>3.3452023529411763</v>
      </c>
      <c r="AS104" s="1620">
        <v>6.6590935294117646</v>
      </c>
      <c r="AT104" s="1620">
        <v>2.2747205882352945</v>
      </c>
      <c r="AU104" s="1620">
        <v>4.4124194117647058</v>
      </c>
      <c r="AV104" s="1620">
        <v>2.7541000000000002</v>
      </c>
      <c r="AW104" s="1620">
        <v>4.2787847058823534</v>
      </c>
      <c r="AX104" s="1620"/>
      <c r="AY104" s="1620">
        <v>0.92</v>
      </c>
      <c r="AZ104" s="1620">
        <v>1</v>
      </c>
      <c r="BA104" s="1620">
        <v>0.98</v>
      </c>
      <c r="BB104" s="1620">
        <v>0.93</v>
      </c>
      <c r="BC104" s="1620">
        <v>0.99</v>
      </c>
      <c r="BD104" s="1620">
        <v>0.99</v>
      </c>
      <c r="BE104" s="1620">
        <v>1</v>
      </c>
      <c r="BF104" s="1620">
        <v>0.99</v>
      </c>
      <c r="BG104" s="1620">
        <v>1.02</v>
      </c>
      <c r="BH104" s="1620">
        <v>1</v>
      </c>
      <c r="BI104" s="1620">
        <v>0.96</v>
      </c>
      <c r="BJ104" s="1603"/>
      <c r="BK104" s="1620">
        <v>11.647058823529411</v>
      </c>
      <c r="BL104" s="1620">
        <v>2.4705882352941178</v>
      </c>
      <c r="BM104" s="1620">
        <v>1.6470588235294117</v>
      </c>
      <c r="BN104" s="1620">
        <v>3.1764705882352939</v>
      </c>
      <c r="BO104" s="1620"/>
      <c r="BP104" s="1620">
        <v>105</v>
      </c>
      <c r="BQ104" s="1620">
        <v>25.941176470588236</v>
      </c>
      <c r="BR104" s="1620">
        <v>1.3497886862061899</v>
      </c>
      <c r="BS104" s="1620">
        <v>1.3245442802575575</v>
      </c>
      <c r="BT104" s="1603"/>
      <c r="BU104" s="1620">
        <v>983.52941176470586</v>
      </c>
      <c r="BV104" s="1620">
        <v>715.17983193277303</v>
      </c>
      <c r="BW104" s="1620">
        <v>35.12605042016807</v>
      </c>
      <c r="BX104" s="1620">
        <v>670</v>
      </c>
      <c r="BY104" s="1620">
        <v>18.999999999999996</v>
      </c>
      <c r="BZ104" s="1620">
        <v>25</v>
      </c>
      <c r="CA104" s="1620">
        <v>113</v>
      </c>
      <c r="CB104" s="1603"/>
      <c r="CC104" s="1603">
        <v>0.34</v>
      </c>
      <c r="CD104" s="1603">
        <v>2.6999999999999997</v>
      </c>
      <c r="CE104" s="1603">
        <v>9.9999999999999992E-2</v>
      </c>
      <c r="CF104" s="1603">
        <v>0.9194476409666259</v>
      </c>
      <c r="CG104" s="1603">
        <v>4.05</v>
      </c>
      <c r="CH104" s="1603">
        <v>0.83</v>
      </c>
      <c r="CI104" s="1603">
        <v>1.105</v>
      </c>
      <c r="CJ104" s="1603"/>
      <c r="CK104" s="1603">
        <v>29.97</v>
      </c>
      <c r="CL104" s="1603">
        <v>2.3199999999999998</v>
      </c>
      <c r="CM104" s="1603">
        <v>23.189999999999998</v>
      </c>
      <c r="CN104" s="1603">
        <v>21.4</v>
      </c>
      <c r="CO104" s="1603">
        <v>0</v>
      </c>
      <c r="CP104" s="1603">
        <v>5.1000000000000101E-2</v>
      </c>
      <c r="CQ104" s="1603">
        <v>83.93172857142855</v>
      </c>
      <c r="CR104" s="1603">
        <v>73.15456937305359</v>
      </c>
      <c r="CS104" s="1603">
        <v>1.9538459243431074</v>
      </c>
      <c r="CT104" s="1603">
        <v>1.1247540860366767</v>
      </c>
      <c r="CU104" s="1603">
        <v>1.6545925015894967</v>
      </c>
      <c r="CV104" s="1603">
        <v>2.7793465876261734</v>
      </c>
      <c r="CW104" s="1603">
        <v>1.9672991185021715</v>
      </c>
      <c r="CX104" s="1603">
        <v>0.97154676832017839</v>
      </c>
      <c r="CY104" s="1603">
        <v>2.42269669219186</v>
      </c>
      <c r="CZ104" s="1603">
        <v>4.871431195590052</v>
      </c>
      <c r="DA104" s="1603">
        <v>1.6474214302560843</v>
      </c>
      <c r="DB104" s="1603">
        <v>3.2924441480016848</v>
      </c>
      <c r="DC104" s="1603">
        <v>2.0147499951032697</v>
      </c>
      <c r="DD104" s="1603">
        <v>5.3071941431049545</v>
      </c>
      <c r="DE104" s="1603">
        <v>3.0049214649487812</v>
      </c>
      <c r="DF104" s="1603">
        <v>0</v>
      </c>
      <c r="DG104" s="1603">
        <v>0</v>
      </c>
      <c r="DH104" s="1603">
        <v>0</v>
      </c>
      <c r="DI104" s="1603">
        <v>0</v>
      </c>
      <c r="DJ104" s="1603">
        <v>0</v>
      </c>
      <c r="DK104" s="1603">
        <v>0</v>
      </c>
      <c r="DL104" s="1603">
        <v>0</v>
      </c>
      <c r="DM104" s="1603">
        <v>0</v>
      </c>
      <c r="DN104" s="1603">
        <v>0</v>
      </c>
      <c r="DO104" s="1603">
        <v>0</v>
      </c>
      <c r="DP104" s="1603">
        <v>0</v>
      </c>
      <c r="DQ104" s="1603">
        <v>0</v>
      </c>
      <c r="DR104" s="1603">
        <v>0</v>
      </c>
      <c r="DS104" s="1603">
        <v>0</v>
      </c>
      <c r="DT104" s="1603">
        <v>0</v>
      </c>
      <c r="DU104" s="1603">
        <v>0</v>
      </c>
      <c r="DV104" s="1603">
        <v>0</v>
      </c>
      <c r="DW104" s="1618" t="s">
        <v>3506</v>
      </c>
      <c r="DX104" s="1605">
        <v>28</v>
      </c>
      <c r="DY104" s="1605">
        <v>28</v>
      </c>
      <c r="DZ104" s="1605">
        <v>14</v>
      </c>
      <c r="EA104" s="1605">
        <v>14</v>
      </c>
      <c r="EB104" s="1605" t="s">
        <v>986</v>
      </c>
      <c r="EC104" s="1605">
        <v>14</v>
      </c>
      <c r="ED104" s="1605">
        <v>14</v>
      </c>
      <c r="EE104" s="1605">
        <v>16</v>
      </c>
      <c r="EF104" s="1605">
        <v>14</v>
      </c>
      <c r="EG104" s="1605">
        <v>14</v>
      </c>
      <c r="EH104" s="1605" t="s">
        <v>986</v>
      </c>
      <c r="EI104" s="1605" t="s">
        <v>986</v>
      </c>
      <c r="EJ104" s="1605" t="s">
        <v>986</v>
      </c>
      <c r="EK104" s="1605" t="s">
        <v>986</v>
      </c>
      <c r="EL104" s="1605" t="s">
        <v>986</v>
      </c>
      <c r="EM104" s="1605" t="s">
        <v>986</v>
      </c>
      <c r="EN104" s="1605" t="s">
        <v>986</v>
      </c>
      <c r="EO104" s="1605" t="s">
        <v>986</v>
      </c>
      <c r="EP104" s="1605" t="s">
        <v>986</v>
      </c>
      <c r="EQ104" s="1605" t="s">
        <v>986</v>
      </c>
      <c r="ER104" s="1605" t="s">
        <v>986</v>
      </c>
      <c r="ES104" s="1605">
        <v>14</v>
      </c>
      <c r="ET104" s="1605">
        <v>28</v>
      </c>
      <c r="EU104" s="1605">
        <v>14</v>
      </c>
      <c r="EV104" s="1605">
        <v>14</v>
      </c>
      <c r="EW104" s="1605">
        <v>14</v>
      </c>
      <c r="EX104" s="1605">
        <v>14</v>
      </c>
      <c r="EY104" s="1605" t="s">
        <v>986</v>
      </c>
      <c r="EZ104" s="1605">
        <v>14</v>
      </c>
      <c r="FA104" s="1605">
        <v>14</v>
      </c>
      <c r="FB104" s="1605">
        <v>14</v>
      </c>
      <c r="FC104" s="1605">
        <v>12</v>
      </c>
      <c r="FD104" s="1605" t="s">
        <v>986</v>
      </c>
      <c r="FE104" s="1605" t="s">
        <v>986</v>
      </c>
      <c r="FF104" s="1605">
        <v>0.5814027008271464</v>
      </c>
      <c r="FG104" s="1605">
        <v>0.429356115117699</v>
      </c>
      <c r="FH104" s="1605">
        <v>9.3373969286427036E-2</v>
      </c>
      <c r="FI104" s="1605">
        <v>4.3647162379543671E-2</v>
      </c>
      <c r="FJ104" s="1605" t="s">
        <v>986</v>
      </c>
      <c r="FK104" s="1605">
        <v>0.67995897615910683</v>
      </c>
      <c r="FL104" s="1605">
        <v>0.88474030965601358</v>
      </c>
      <c r="FM104" s="1605" t="s">
        <v>986</v>
      </c>
      <c r="FN104" s="1605">
        <v>1.2446499722746724</v>
      </c>
      <c r="FO104" s="1605">
        <v>0.90695400504502555</v>
      </c>
      <c r="FP104" s="1605" t="s">
        <v>986</v>
      </c>
      <c r="FQ104" s="1605" t="s">
        <v>986</v>
      </c>
      <c r="FR104" s="1605" t="s">
        <v>986</v>
      </c>
      <c r="FS104" s="1605" t="s">
        <v>986</v>
      </c>
      <c r="FT104" s="1605" t="s">
        <v>986</v>
      </c>
      <c r="FU104" s="1605" t="s">
        <v>986</v>
      </c>
      <c r="FV104" s="1605" t="s">
        <v>986</v>
      </c>
      <c r="FW104" s="1605" t="s">
        <v>986</v>
      </c>
      <c r="FX104" s="1605" t="s">
        <v>986</v>
      </c>
      <c r="FY104" s="1605" t="s">
        <v>986</v>
      </c>
      <c r="FZ104" s="1605" t="s">
        <v>986</v>
      </c>
      <c r="GA104" s="1605">
        <v>3.3738294074291603E-2</v>
      </c>
      <c r="GB104" s="1605">
        <v>0.25190125204384672</v>
      </c>
      <c r="GC104" s="1605">
        <v>7.6679136011535503E-4</v>
      </c>
      <c r="GD104" s="1605">
        <v>7.0000000000000007E-2</v>
      </c>
      <c r="GE104" s="1605">
        <v>0.20727447409545754</v>
      </c>
      <c r="GF104" s="1605">
        <v>4.7338465806842069E-2</v>
      </c>
      <c r="GG104" s="1605" t="s">
        <v>986</v>
      </c>
      <c r="GH104" s="1605">
        <v>4.6369617100871805</v>
      </c>
      <c r="GI104" s="1605">
        <v>0.49745139357274043</v>
      </c>
      <c r="GJ104" s="1605">
        <v>3.3419024445625807</v>
      </c>
      <c r="GK104" s="1605">
        <v>2.144103148161582</v>
      </c>
      <c r="GL104" s="1605" t="s">
        <v>986</v>
      </c>
      <c r="GM104" s="1605" t="s">
        <v>986</v>
      </c>
      <c r="GN104" s="1605" t="s">
        <v>2217</v>
      </c>
      <c r="GO104" s="1605" t="s">
        <v>2217</v>
      </c>
      <c r="GP104" s="1605" t="s">
        <v>2217</v>
      </c>
      <c r="GQ104" s="1605" t="s">
        <v>2217</v>
      </c>
      <c r="GR104" s="1605" t="s">
        <v>1763</v>
      </c>
      <c r="GS104" s="1605" t="s">
        <v>2217</v>
      </c>
      <c r="GT104" s="1605" t="s">
        <v>2217</v>
      </c>
      <c r="GU104" s="1605" t="s">
        <v>1763</v>
      </c>
      <c r="GV104" s="1605" t="s">
        <v>2217</v>
      </c>
      <c r="GW104" s="1605" t="s">
        <v>2217</v>
      </c>
      <c r="GX104" s="1605" t="s">
        <v>2217</v>
      </c>
      <c r="GY104" s="1605" t="s">
        <v>2217</v>
      </c>
      <c r="GZ104" s="1605" t="s">
        <v>2217</v>
      </c>
      <c r="HA104" s="1605" t="s">
        <v>2217</v>
      </c>
      <c r="HB104" s="1605" t="s">
        <v>1763</v>
      </c>
      <c r="HC104" s="1605" t="s">
        <v>2217</v>
      </c>
      <c r="HD104" s="1605" t="s">
        <v>2217</v>
      </c>
      <c r="HE104" s="1605" t="s">
        <v>2217</v>
      </c>
      <c r="HF104" s="1605" t="s">
        <v>2217</v>
      </c>
      <c r="HG104" s="1605" t="s">
        <v>2217</v>
      </c>
      <c r="HH104" s="1605" t="s">
        <v>2217</v>
      </c>
      <c r="HI104" s="1605" t="s">
        <v>2217</v>
      </c>
      <c r="HJ104" s="1605" t="s">
        <v>2217</v>
      </c>
      <c r="HK104" s="1605" t="s">
        <v>2217</v>
      </c>
      <c r="HL104" s="1605" t="s">
        <v>1578</v>
      </c>
      <c r="HM104" s="1605" t="s">
        <v>2217</v>
      </c>
      <c r="HN104" s="1605" t="s">
        <v>2217</v>
      </c>
      <c r="HO104" s="1605" t="s">
        <v>986</v>
      </c>
      <c r="HP104" s="1605" t="s">
        <v>2217</v>
      </c>
      <c r="HQ104" s="1605" t="s">
        <v>2217</v>
      </c>
      <c r="HR104" s="1605" t="s">
        <v>2217</v>
      </c>
      <c r="HS104" s="1605" t="s">
        <v>2217</v>
      </c>
      <c r="HT104" s="1605" t="s">
        <v>1763</v>
      </c>
      <c r="HU104" s="1605" t="s">
        <v>1763</v>
      </c>
      <c r="HV104" s="1617"/>
      <c r="HW104" s="1617" t="s">
        <v>3505</v>
      </c>
      <c r="HX104" s="1617" t="s">
        <v>3504</v>
      </c>
      <c r="HY104" s="1617" t="s">
        <v>3503</v>
      </c>
      <c r="HZ104" s="1603"/>
      <c r="IA104" s="1603"/>
      <c r="IB104" s="1603"/>
      <c r="IC104" s="1603">
        <v>58.130081300813004</v>
      </c>
      <c r="ID104" s="1603">
        <v>59.788617886178898</v>
      </c>
      <c r="IE104" s="1603">
        <v>61.170731707317103</v>
      </c>
      <c r="IF104" s="1603">
        <v>62</v>
      </c>
      <c r="IG104" s="1611" t="s">
        <v>3463</v>
      </c>
      <c r="IH104" s="1616" t="s">
        <v>3525</v>
      </c>
      <c r="II104" s="1615" t="s">
        <v>3524</v>
      </c>
      <c r="IJ104" s="1613">
        <v>0.44950000000000001</v>
      </c>
      <c r="IK104" s="1613">
        <v>0.44756818181818181</v>
      </c>
      <c r="IL104" s="1614">
        <v>0.44950000000000001</v>
      </c>
      <c r="IM104" s="1614">
        <v>0.44756818181818181</v>
      </c>
      <c r="IN104" s="1612">
        <v>0.48</v>
      </c>
      <c r="IO104" s="1613">
        <v>3.0499999999999972E-2</v>
      </c>
      <c r="IP104" s="1607" t="s">
        <v>270</v>
      </c>
      <c r="IQ104" s="1612">
        <v>1.57</v>
      </c>
      <c r="IR104" s="1612">
        <v>-1E-3</v>
      </c>
      <c r="IS104" s="1607">
        <v>0.44550000000000001</v>
      </c>
      <c r="IT104" s="1607">
        <v>0.44356818181818181</v>
      </c>
      <c r="IU104" s="1611">
        <v>1.1363636363636365E-5</v>
      </c>
      <c r="IV104" s="1611">
        <v>2.4318181818181817E-3</v>
      </c>
      <c r="IW104" s="1611">
        <v>6.3636363636363641E-4</v>
      </c>
      <c r="IX104" s="1611">
        <v>1.1022727272727271E-3</v>
      </c>
      <c r="IY104" s="1611">
        <v>6.4772727272727269E-4</v>
      </c>
      <c r="IZ104" s="1611">
        <v>8.1363636363636378E-3</v>
      </c>
      <c r="JA104" s="1611">
        <v>1.4772727272727274E-4</v>
      </c>
      <c r="JB104" s="1611" t="s">
        <v>270</v>
      </c>
      <c r="JC104" s="1611">
        <v>0.10805681818181818</v>
      </c>
      <c r="JD104" s="1611">
        <v>2.7499999999999998E-3</v>
      </c>
      <c r="JE104" s="1611" t="s">
        <v>270</v>
      </c>
      <c r="JF104" s="1611">
        <v>5.113636363636363E-4</v>
      </c>
      <c r="JG104" s="1611">
        <v>3.3054204545454549</v>
      </c>
      <c r="JH104" s="1611">
        <v>2.0454545454545454E-4</v>
      </c>
      <c r="JI104" s="1611">
        <v>4.9477272727272731E-2</v>
      </c>
      <c r="JJ104" s="1611" t="s">
        <v>270</v>
      </c>
      <c r="JK104" s="1607">
        <f t="shared" si="10"/>
        <v>4.0000000000000036E-3</v>
      </c>
      <c r="JL104" s="1608" t="s">
        <v>270</v>
      </c>
      <c r="JM104" s="1610" t="s">
        <v>2924</v>
      </c>
      <c r="JN104" s="1608">
        <v>1.9318181818182012E-3</v>
      </c>
      <c r="JO104" s="1609" t="s">
        <v>2923</v>
      </c>
      <c r="JP104" s="1608" t="s">
        <v>270</v>
      </c>
      <c r="JQ104" s="1607">
        <v>202103</v>
      </c>
      <c r="JR104" s="1606">
        <v>946</v>
      </c>
      <c r="JS104" s="1606">
        <v>865</v>
      </c>
      <c r="JT104" s="1606">
        <v>865</v>
      </c>
    </row>
    <row r="105" spans="1:280" ht="15" customHeight="1" x14ac:dyDescent="0.2">
      <c r="A105" s="1626">
        <v>51011</v>
      </c>
      <c r="B105" s="1625">
        <v>510</v>
      </c>
      <c r="C105" s="1624">
        <v>11</v>
      </c>
      <c r="D105" s="1623" t="s">
        <v>3526</v>
      </c>
      <c r="E105" s="1622">
        <v>44497</v>
      </c>
      <c r="F105" s="1620">
        <v>1.1570300232288036</v>
      </c>
      <c r="G105" s="1620">
        <v>1.1326871280148421</v>
      </c>
      <c r="H105" s="1621">
        <v>89.5</v>
      </c>
      <c r="I105" s="1621">
        <v>87.8</v>
      </c>
      <c r="J105" s="1621">
        <v>93</v>
      </c>
      <c r="K105" s="1620">
        <v>1</v>
      </c>
      <c r="L105" s="1620">
        <v>85</v>
      </c>
      <c r="M105" s="1620">
        <v>9.9</v>
      </c>
      <c r="N105" s="1620">
        <v>2.1</v>
      </c>
      <c r="O105" s="1620">
        <v>1.4</v>
      </c>
      <c r="P105" s="1620">
        <v>2.7</v>
      </c>
      <c r="Q105" s="1603"/>
      <c r="R105" s="1620">
        <v>85.416476190476189</v>
      </c>
      <c r="S105" s="1620">
        <v>28</v>
      </c>
      <c r="T105" s="1620">
        <v>41.821138211382099</v>
      </c>
      <c r="U105" s="1620">
        <v>47.349593495934997</v>
      </c>
      <c r="V105" s="1620">
        <v>52.325203252032502</v>
      </c>
      <c r="W105" s="1620">
        <v>55.642276422764198</v>
      </c>
      <c r="X105" s="1620"/>
      <c r="Y105" s="1620">
        <v>0.4</v>
      </c>
      <c r="Z105" s="1620">
        <v>3.1764705882352939</v>
      </c>
      <c r="AA105" s="1620">
        <v>0.11764705882352941</v>
      </c>
      <c r="AB105" s="1620">
        <v>1.08170310701956</v>
      </c>
      <c r="AC105" s="1620">
        <v>4.7647058823529411</v>
      </c>
      <c r="AD105" s="1620">
        <v>0.97647058823529409</v>
      </c>
      <c r="AE105" s="1620">
        <v>1.3</v>
      </c>
      <c r="AF105" s="1620">
        <v>35.258823529411764</v>
      </c>
      <c r="AG105" s="1620">
        <v>2.729411764705882</v>
      </c>
      <c r="AH105" s="1620">
        <v>27.28235294117647</v>
      </c>
      <c r="AI105" s="1620">
        <v>25.176470588235293</v>
      </c>
      <c r="AJ105" s="1620">
        <v>0</v>
      </c>
      <c r="AK105" s="1620">
        <v>6.0000000000000123E-2</v>
      </c>
      <c r="AL105" s="1620"/>
      <c r="AM105" s="1620">
        <v>2.9030935294117652</v>
      </c>
      <c r="AN105" s="1620">
        <v>1.5375035294117647</v>
      </c>
      <c r="AO105" s="1620">
        <v>2.3079347058823529</v>
      </c>
      <c r="AP105" s="1620">
        <v>2.8916517647058826</v>
      </c>
      <c r="AQ105" s="1620">
        <v>1.3414888235294118</v>
      </c>
      <c r="AR105" s="1620">
        <v>3.3452023529411763</v>
      </c>
      <c r="AS105" s="1620">
        <v>6.6590935294117646</v>
      </c>
      <c r="AT105" s="1620">
        <v>2.2747205882352945</v>
      </c>
      <c r="AU105" s="1620">
        <v>4.4124194117647058</v>
      </c>
      <c r="AV105" s="1620">
        <v>2.7541000000000002</v>
      </c>
      <c r="AW105" s="1620">
        <v>4.2787847058823534</v>
      </c>
      <c r="AX105" s="1620"/>
      <c r="AY105" s="1620">
        <v>0.92</v>
      </c>
      <c r="AZ105" s="1620">
        <v>1</v>
      </c>
      <c r="BA105" s="1620">
        <v>0.98</v>
      </c>
      <c r="BB105" s="1620">
        <v>0.93</v>
      </c>
      <c r="BC105" s="1620">
        <v>0.99</v>
      </c>
      <c r="BD105" s="1620">
        <v>0.99</v>
      </c>
      <c r="BE105" s="1620">
        <v>1</v>
      </c>
      <c r="BF105" s="1620">
        <v>0.99</v>
      </c>
      <c r="BG105" s="1620">
        <v>1.02</v>
      </c>
      <c r="BH105" s="1620">
        <v>1</v>
      </c>
      <c r="BI105" s="1620">
        <v>0.96</v>
      </c>
      <c r="BJ105" s="1603"/>
      <c r="BK105" s="1620">
        <v>11.647058823529411</v>
      </c>
      <c r="BL105" s="1620">
        <v>2.4705882352941178</v>
      </c>
      <c r="BM105" s="1620">
        <v>1.6470588235294117</v>
      </c>
      <c r="BN105" s="1620">
        <v>3.1764705882352939</v>
      </c>
      <c r="BO105" s="1620"/>
      <c r="BP105" s="1620">
        <v>105</v>
      </c>
      <c r="BQ105" s="1620">
        <v>25.941176470588236</v>
      </c>
      <c r="BR105" s="1620">
        <v>1.3612117920338866</v>
      </c>
      <c r="BS105" s="1620">
        <v>1.3325730917821672</v>
      </c>
      <c r="BT105" s="1603"/>
      <c r="BU105" s="1620">
        <v>983.52941176470586</v>
      </c>
      <c r="BV105" s="1620">
        <v>726.42016806722677</v>
      </c>
      <c r="BW105" s="1620">
        <v>23.885714285714325</v>
      </c>
      <c r="BX105" s="1620">
        <v>670</v>
      </c>
      <c r="BY105" s="1620">
        <v>18.999999999999996</v>
      </c>
      <c r="BZ105" s="1620">
        <v>25</v>
      </c>
      <c r="CA105" s="1620">
        <v>113</v>
      </c>
      <c r="CB105" s="1603"/>
      <c r="CC105" s="1603">
        <v>0.34</v>
      </c>
      <c r="CD105" s="1603">
        <v>2.6999999999999997</v>
      </c>
      <c r="CE105" s="1603">
        <v>9.9999999999999992E-2</v>
      </c>
      <c r="CF105" s="1603">
        <v>0.9194476409666259</v>
      </c>
      <c r="CG105" s="1603">
        <v>4.05</v>
      </c>
      <c r="CH105" s="1603">
        <v>0.83</v>
      </c>
      <c r="CI105" s="1603">
        <v>1.105</v>
      </c>
      <c r="CJ105" s="1603"/>
      <c r="CK105" s="1603">
        <v>29.97</v>
      </c>
      <c r="CL105" s="1603">
        <v>2.3199999999999998</v>
      </c>
      <c r="CM105" s="1603">
        <v>23.189999999999998</v>
      </c>
      <c r="CN105" s="1603">
        <v>21.4</v>
      </c>
      <c r="CO105" s="1603">
        <v>0</v>
      </c>
      <c r="CP105" s="1603">
        <v>5.1000000000000101E-2</v>
      </c>
      <c r="CQ105" s="1603">
        <v>84.562311428571434</v>
      </c>
      <c r="CR105" s="1603">
        <v>73.085667381899199</v>
      </c>
      <c r="CS105" s="1603">
        <v>1.952005658236015</v>
      </c>
      <c r="CT105" s="1603">
        <v>1.1236947154908428</v>
      </c>
      <c r="CU105" s="1603">
        <v>1.653034092881938</v>
      </c>
      <c r="CV105" s="1603">
        <v>2.7767288083727806</v>
      </c>
      <c r="CW105" s="1603">
        <v>1.9654461812540565</v>
      </c>
      <c r="CX105" s="1603">
        <v>0.97063169893475798</v>
      </c>
      <c r="CY105" s="1603">
        <v>2.4204148302728328</v>
      </c>
      <c r="CZ105" s="1603">
        <v>4.8668429475554529</v>
      </c>
      <c r="DA105" s="1603">
        <v>1.6458697757553757</v>
      </c>
      <c r="DB105" s="1603">
        <v>3.2893430982722394</v>
      </c>
      <c r="DC105" s="1603">
        <v>2.0128523653648855</v>
      </c>
      <c r="DD105" s="1603">
        <v>5.3021954636371245</v>
      </c>
      <c r="DE105" s="1603">
        <v>3.0020912238036002</v>
      </c>
      <c r="DF105" s="1603">
        <v>0</v>
      </c>
      <c r="DG105" s="1603">
        <v>0</v>
      </c>
      <c r="DH105" s="1603">
        <v>0</v>
      </c>
      <c r="DI105" s="1603">
        <v>0</v>
      </c>
      <c r="DJ105" s="1603">
        <v>0</v>
      </c>
      <c r="DK105" s="1603">
        <v>0</v>
      </c>
      <c r="DL105" s="1603">
        <v>0</v>
      </c>
      <c r="DM105" s="1603">
        <v>0</v>
      </c>
      <c r="DN105" s="1603">
        <v>0</v>
      </c>
      <c r="DO105" s="1603">
        <v>0</v>
      </c>
      <c r="DP105" s="1603">
        <v>0</v>
      </c>
      <c r="DQ105" s="1603">
        <v>0</v>
      </c>
      <c r="DR105" s="1603">
        <v>0</v>
      </c>
      <c r="DS105" s="1603">
        <v>0</v>
      </c>
      <c r="DT105" s="1603">
        <v>0</v>
      </c>
      <c r="DU105" s="1603">
        <v>0</v>
      </c>
      <c r="DV105" s="1603">
        <v>0</v>
      </c>
      <c r="DW105" s="1618" t="s">
        <v>3506</v>
      </c>
      <c r="DX105" s="1605">
        <v>28</v>
      </c>
      <c r="DY105" s="1605">
        <v>28</v>
      </c>
      <c r="DZ105" s="1605">
        <v>14</v>
      </c>
      <c r="EA105" s="1605">
        <v>14</v>
      </c>
      <c r="EB105" s="1605" t="s">
        <v>986</v>
      </c>
      <c r="EC105" s="1605">
        <v>14</v>
      </c>
      <c r="ED105" s="1605">
        <v>14</v>
      </c>
      <c r="EE105" s="1605">
        <v>16</v>
      </c>
      <c r="EF105" s="1605">
        <v>14</v>
      </c>
      <c r="EG105" s="1605">
        <v>14</v>
      </c>
      <c r="EH105" s="1605" t="s">
        <v>986</v>
      </c>
      <c r="EI105" s="1605" t="s">
        <v>986</v>
      </c>
      <c r="EJ105" s="1605" t="s">
        <v>986</v>
      </c>
      <c r="EK105" s="1605" t="s">
        <v>986</v>
      </c>
      <c r="EL105" s="1605" t="s">
        <v>986</v>
      </c>
      <c r="EM105" s="1605" t="s">
        <v>986</v>
      </c>
      <c r="EN105" s="1605" t="s">
        <v>986</v>
      </c>
      <c r="EO105" s="1605" t="s">
        <v>986</v>
      </c>
      <c r="EP105" s="1605" t="s">
        <v>986</v>
      </c>
      <c r="EQ105" s="1605" t="s">
        <v>986</v>
      </c>
      <c r="ER105" s="1605" t="s">
        <v>986</v>
      </c>
      <c r="ES105" s="1605">
        <v>14</v>
      </c>
      <c r="ET105" s="1605">
        <v>28</v>
      </c>
      <c r="EU105" s="1605">
        <v>14</v>
      </c>
      <c r="EV105" s="1605">
        <v>14</v>
      </c>
      <c r="EW105" s="1605">
        <v>14</v>
      </c>
      <c r="EX105" s="1605">
        <v>14</v>
      </c>
      <c r="EY105" s="1605" t="s">
        <v>986</v>
      </c>
      <c r="EZ105" s="1605">
        <v>14</v>
      </c>
      <c r="FA105" s="1605">
        <v>14</v>
      </c>
      <c r="FB105" s="1605">
        <v>14</v>
      </c>
      <c r="FC105" s="1605">
        <v>12</v>
      </c>
      <c r="FD105" s="1605" t="s">
        <v>986</v>
      </c>
      <c r="FE105" s="1605" t="s">
        <v>986</v>
      </c>
      <c r="FF105" s="1605">
        <v>0.5814027008271464</v>
      </c>
      <c r="FG105" s="1605">
        <v>0.429356115117699</v>
      </c>
      <c r="FH105" s="1605">
        <v>9.3373969286427036E-2</v>
      </c>
      <c r="FI105" s="1605">
        <v>4.3647162379543671E-2</v>
      </c>
      <c r="FJ105" s="1605" t="s">
        <v>986</v>
      </c>
      <c r="FK105" s="1605">
        <v>0.67995897615910683</v>
      </c>
      <c r="FL105" s="1605">
        <v>0.88474030965601358</v>
      </c>
      <c r="FM105" s="1605" t="s">
        <v>986</v>
      </c>
      <c r="FN105" s="1605">
        <v>1.2446499722746724</v>
      </c>
      <c r="FO105" s="1605">
        <v>0.90695400504502555</v>
      </c>
      <c r="FP105" s="1605" t="s">
        <v>986</v>
      </c>
      <c r="FQ105" s="1605" t="s">
        <v>986</v>
      </c>
      <c r="FR105" s="1605" t="s">
        <v>986</v>
      </c>
      <c r="FS105" s="1605" t="s">
        <v>986</v>
      </c>
      <c r="FT105" s="1605" t="s">
        <v>986</v>
      </c>
      <c r="FU105" s="1605" t="s">
        <v>986</v>
      </c>
      <c r="FV105" s="1605" t="s">
        <v>986</v>
      </c>
      <c r="FW105" s="1605" t="s">
        <v>986</v>
      </c>
      <c r="FX105" s="1605" t="s">
        <v>986</v>
      </c>
      <c r="FY105" s="1605" t="s">
        <v>986</v>
      </c>
      <c r="FZ105" s="1605" t="s">
        <v>986</v>
      </c>
      <c r="GA105" s="1605">
        <v>3.3738294074291603E-2</v>
      </c>
      <c r="GB105" s="1605">
        <v>0.25190125204384672</v>
      </c>
      <c r="GC105" s="1605">
        <v>7.6679136011535503E-4</v>
      </c>
      <c r="GD105" s="1605">
        <v>7.0000000000000007E-2</v>
      </c>
      <c r="GE105" s="1605">
        <v>0.20727447409545754</v>
      </c>
      <c r="GF105" s="1605">
        <v>4.7338465806842069E-2</v>
      </c>
      <c r="GG105" s="1605" t="s">
        <v>986</v>
      </c>
      <c r="GH105" s="1605">
        <v>4.6369617100871805</v>
      </c>
      <c r="GI105" s="1605">
        <v>0.49745139357274043</v>
      </c>
      <c r="GJ105" s="1605">
        <v>3.3419024445625807</v>
      </c>
      <c r="GK105" s="1605">
        <v>2.144103148161582</v>
      </c>
      <c r="GL105" s="1605" t="s">
        <v>986</v>
      </c>
      <c r="GM105" s="1605" t="s">
        <v>986</v>
      </c>
      <c r="GN105" s="1605" t="s">
        <v>2217</v>
      </c>
      <c r="GO105" s="1605" t="s">
        <v>2217</v>
      </c>
      <c r="GP105" s="1605" t="s">
        <v>2217</v>
      </c>
      <c r="GQ105" s="1605" t="s">
        <v>2217</v>
      </c>
      <c r="GR105" s="1605" t="s">
        <v>1763</v>
      </c>
      <c r="GS105" s="1605" t="s">
        <v>2217</v>
      </c>
      <c r="GT105" s="1605" t="s">
        <v>2217</v>
      </c>
      <c r="GU105" s="1605" t="s">
        <v>1763</v>
      </c>
      <c r="GV105" s="1605" t="s">
        <v>2217</v>
      </c>
      <c r="GW105" s="1605" t="s">
        <v>2217</v>
      </c>
      <c r="GX105" s="1605" t="s">
        <v>2217</v>
      </c>
      <c r="GY105" s="1605" t="s">
        <v>2217</v>
      </c>
      <c r="GZ105" s="1605" t="s">
        <v>2217</v>
      </c>
      <c r="HA105" s="1605" t="s">
        <v>2217</v>
      </c>
      <c r="HB105" s="1605" t="s">
        <v>1763</v>
      </c>
      <c r="HC105" s="1605" t="s">
        <v>2217</v>
      </c>
      <c r="HD105" s="1605" t="s">
        <v>2217</v>
      </c>
      <c r="HE105" s="1605" t="s">
        <v>2217</v>
      </c>
      <c r="HF105" s="1605" t="s">
        <v>2217</v>
      </c>
      <c r="HG105" s="1605" t="s">
        <v>2217</v>
      </c>
      <c r="HH105" s="1605" t="s">
        <v>2217</v>
      </c>
      <c r="HI105" s="1605" t="s">
        <v>2217</v>
      </c>
      <c r="HJ105" s="1605" t="s">
        <v>2217</v>
      </c>
      <c r="HK105" s="1605" t="s">
        <v>2217</v>
      </c>
      <c r="HL105" s="1605" t="s">
        <v>1578</v>
      </c>
      <c r="HM105" s="1605" t="s">
        <v>2217</v>
      </c>
      <c r="HN105" s="1605" t="s">
        <v>2217</v>
      </c>
      <c r="HO105" s="1605" t="s">
        <v>986</v>
      </c>
      <c r="HP105" s="1605" t="s">
        <v>2217</v>
      </c>
      <c r="HQ105" s="1605" t="s">
        <v>2217</v>
      </c>
      <c r="HR105" s="1605" t="s">
        <v>2217</v>
      </c>
      <c r="HS105" s="1605" t="s">
        <v>2217</v>
      </c>
      <c r="HT105" s="1605" t="s">
        <v>1763</v>
      </c>
      <c r="HU105" s="1605" t="s">
        <v>1763</v>
      </c>
      <c r="HV105" s="1617"/>
      <c r="HW105" s="1617" t="s">
        <v>3505</v>
      </c>
      <c r="HX105" s="1617" t="s">
        <v>3504</v>
      </c>
      <c r="HY105" s="1617" t="s">
        <v>3503</v>
      </c>
      <c r="HZ105" s="1603"/>
      <c r="IA105" s="1603"/>
      <c r="IB105" s="1603"/>
      <c r="IC105" s="1603">
        <v>58.130081300813004</v>
      </c>
      <c r="ID105" s="1603">
        <v>59.788617886178898</v>
      </c>
      <c r="IE105" s="1603">
        <v>61.170731707317103</v>
      </c>
      <c r="IF105" s="1603">
        <v>62</v>
      </c>
      <c r="IG105" s="1611" t="s">
        <v>3463</v>
      </c>
      <c r="IH105" s="1616" t="s">
        <v>3525</v>
      </c>
      <c r="II105" s="1615" t="s">
        <v>3524</v>
      </c>
      <c r="IJ105" s="1613">
        <v>0.44950000000000001</v>
      </c>
      <c r="IK105" s="1613">
        <v>0.44756818181818181</v>
      </c>
      <c r="IL105" s="1614">
        <v>0.44950000000000001</v>
      </c>
      <c r="IM105" s="1614">
        <v>0.44756818181818181</v>
      </c>
      <c r="IN105" s="1612">
        <v>0.48</v>
      </c>
      <c r="IO105" s="1613">
        <v>3.0499999999999972E-2</v>
      </c>
      <c r="IP105" s="1607" t="s">
        <v>270</v>
      </c>
      <c r="IQ105" s="1612">
        <v>1.57</v>
      </c>
      <c r="IR105" s="1612">
        <v>-1E-3</v>
      </c>
      <c r="IS105" s="1607">
        <v>0.44550000000000001</v>
      </c>
      <c r="IT105" s="1607">
        <v>0.44356818181818181</v>
      </c>
      <c r="IU105" s="1611">
        <v>1.1363636363636365E-5</v>
      </c>
      <c r="IV105" s="1611">
        <v>2.4318181818181817E-3</v>
      </c>
      <c r="IW105" s="1611">
        <v>6.3636363636363641E-4</v>
      </c>
      <c r="IX105" s="1611">
        <v>1.1022727272727271E-3</v>
      </c>
      <c r="IY105" s="1611">
        <v>6.4772727272727269E-4</v>
      </c>
      <c r="IZ105" s="1611">
        <v>8.1363636363636378E-3</v>
      </c>
      <c r="JA105" s="1611">
        <v>1.4772727272727274E-4</v>
      </c>
      <c r="JB105" s="1611" t="s">
        <v>270</v>
      </c>
      <c r="JC105" s="1611">
        <v>0.10805681818181818</v>
      </c>
      <c r="JD105" s="1611">
        <v>2.7499999999999998E-3</v>
      </c>
      <c r="JE105" s="1611" t="s">
        <v>270</v>
      </c>
      <c r="JF105" s="1611">
        <v>5.113636363636363E-4</v>
      </c>
      <c r="JG105" s="1611">
        <v>3.3054204545454549</v>
      </c>
      <c r="JH105" s="1611">
        <v>2.0454545454545454E-4</v>
      </c>
      <c r="JI105" s="1611">
        <v>4.9477272727272731E-2</v>
      </c>
      <c r="JJ105" s="1611" t="s">
        <v>270</v>
      </c>
      <c r="JK105" s="1607">
        <f t="shared" si="10"/>
        <v>4.0000000000000036E-3</v>
      </c>
      <c r="JL105" s="1608" t="s">
        <v>270</v>
      </c>
      <c r="JM105" s="1610" t="s">
        <v>2924</v>
      </c>
      <c r="JN105" s="1608">
        <v>1.9318181818182012E-3</v>
      </c>
      <c r="JO105" s="1609" t="s">
        <v>2923</v>
      </c>
      <c r="JP105" s="1608" t="s">
        <v>270</v>
      </c>
      <c r="JQ105" s="1607">
        <v>202103</v>
      </c>
      <c r="JR105" s="1606">
        <v>946</v>
      </c>
      <c r="JS105" s="1606">
        <v>865</v>
      </c>
      <c r="JT105" s="1606">
        <v>865</v>
      </c>
    </row>
    <row r="106" spans="1:280" ht="15" customHeight="1" x14ac:dyDescent="0.2">
      <c r="A106" s="1626">
        <v>51200</v>
      </c>
      <c r="B106" s="1625">
        <v>512</v>
      </c>
      <c r="C106" s="1624">
        <v>0</v>
      </c>
      <c r="D106" s="1623" t="s">
        <v>3523</v>
      </c>
      <c r="E106" s="1622">
        <v>44497</v>
      </c>
      <c r="F106" s="1620">
        <v>1.1531323461091754</v>
      </c>
      <c r="G106" s="1620">
        <v>1.1330448853432282</v>
      </c>
      <c r="H106" s="1621">
        <v>90.7</v>
      </c>
      <c r="I106" s="1621">
        <v>87</v>
      </c>
      <c r="J106" s="1621">
        <v>93</v>
      </c>
      <c r="K106" s="1620">
        <v>1</v>
      </c>
      <c r="L106" s="1620">
        <v>85</v>
      </c>
      <c r="M106" s="1620">
        <v>9.6</v>
      </c>
      <c r="N106" s="1620">
        <v>2.1</v>
      </c>
      <c r="O106" s="1620">
        <v>1.4</v>
      </c>
      <c r="P106" s="1620">
        <v>2.7</v>
      </c>
      <c r="Q106" s="1603"/>
      <c r="R106" s="1620">
        <v>84.227048214285702</v>
      </c>
      <c r="S106" s="1620">
        <v>50</v>
      </c>
      <c r="T106" s="1620">
        <v>54.878048780487802</v>
      </c>
      <c r="U106" s="1620">
        <v>56.829268292682897</v>
      </c>
      <c r="V106" s="1620">
        <v>58.585365853658502</v>
      </c>
      <c r="W106" s="1620">
        <v>59.756097560975597</v>
      </c>
      <c r="X106" s="1620"/>
      <c r="Y106" s="1620">
        <v>0.42352941176470588</v>
      </c>
      <c r="Z106" s="1620">
        <v>3.0588235294117645</v>
      </c>
      <c r="AA106" s="1620">
        <v>0.11764705882352941</v>
      </c>
      <c r="AB106" s="1620">
        <v>1.0823529411764705</v>
      </c>
      <c r="AC106" s="1620">
        <v>4.7058823529411766</v>
      </c>
      <c r="AD106" s="1620">
        <v>0.96470588235294119</v>
      </c>
      <c r="AE106" s="1620">
        <v>1.3</v>
      </c>
      <c r="AF106" s="1620">
        <v>32.847058823529409</v>
      </c>
      <c r="AG106" s="1620">
        <v>2.952941176470588</v>
      </c>
      <c r="AH106" s="1620">
        <v>25.694117647058825</v>
      </c>
      <c r="AI106" s="1620">
        <v>24.941176470588236</v>
      </c>
      <c r="AJ106" s="1620">
        <v>0</v>
      </c>
      <c r="AK106" s="1620">
        <v>6.0000000000000123E-2</v>
      </c>
      <c r="AL106" s="1620"/>
      <c r="AM106" s="1620">
        <v>2.9569770588235293</v>
      </c>
      <c r="AN106" s="1620">
        <v>1.5493870588235295</v>
      </c>
      <c r="AO106" s="1620">
        <v>2.3275194117647056</v>
      </c>
      <c r="AP106" s="1620">
        <v>2.9181435294117648</v>
      </c>
      <c r="AQ106" s="1620">
        <v>1.3554476470588235</v>
      </c>
      <c r="AR106" s="1620">
        <v>3.3446447058823527</v>
      </c>
      <c r="AS106" s="1620">
        <v>6.6776970588235294</v>
      </c>
      <c r="AT106" s="1620">
        <v>2.2818111764705886</v>
      </c>
      <c r="AU106" s="1620">
        <v>4.396028823529412</v>
      </c>
      <c r="AV106" s="1620">
        <v>2.75176</v>
      </c>
      <c r="AW106" s="1620">
        <v>4.2938094117647063</v>
      </c>
      <c r="AX106" s="1620"/>
      <c r="AY106" s="1620">
        <v>0.91984139059636005</v>
      </c>
      <c r="AZ106" s="1620">
        <v>0.99983194794455499</v>
      </c>
      <c r="BA106" s="1620">
        <v>0.979886924127779</v>
      </c>
      <c r="BB106" s="1620">
        <v>0.92986562968623399</v>
      </c>
      <c r="BC106" s="1620">
        <v>0.99002632466492502</v>
      </c>
      <c r="BD106" s="1620">
        <v>0.98995993262128801</v>
      </c>
      <c r="BE106" s="1620">
        <v>0.99999453250972503</v>
      </c>
      <c r="BF106" s="1620">
        <v>0.989953559452181</v>
      </c>
      <c r="BG106" s="1620">
        <v>1.0199454358815301</v>
      </c>
      <c r="BH106" s="1620">
        <v>0.99999479025510996</v>
      </c>
      <c r="BI106" s="1620">
        <v>0.95993645905861302</v>
      </c>
      <c r="BJ106" s="1603"/>
      <c r="BK106" s="1620">
        <v>11.294117647058824</v>
      </c>
      <c r="BL106" s="1620">
        <v>2.4705882352941178</v>
      </c>
      <c r="BM106" s="1620">
        <v>1.6470588235294117</v>
      </c>
      <c r="BN106" s="1620">
        <v>3.1764705882352939</v>
      </c>
      <c r="BO106" s="1620"/>
      <c r="BP106" s="1620">
        <v>105</v>
      </c>
      <c r="BQ106" s="1620">
        <v>25.941176470588353</v>
      </c>
      <c r="BR106" s="1620">
        <v>1.3566262895402064</v>
      </c>
      <c r="BS106" s="1620">
        <v>1.3329939827567392</v>
      </c>
      <c r="BT106" s="1603"/>
      <c r="BU106" s="1620">
        <v>983.52941176470586</v>
      </c>
      <c r="BV106" s="1620">
        <v>713.33344537815128</v>
      </c>
      <c r="BW106" s="1620">
        <v>51.986554621848775</v>
      </c>
      <c r="BX106" s="1620">
        <v>670</v>
      </c>
      <c r="BY106" s="1620">
        <v>18.999999999999996</v>
      </c>
      <c r="BZ106" s="1620">
        <v>25.000000000000117</v>
      </c>
      <c r="CA106" s="1620">
        <v>113</v>
      </c>
      <c r="CB106" s="1603"/>
      <c r="CC106" s="1603">
        <v>0.36</v>
      </c>
      <c r="CD106" s="1603">
        <v>2.5999999999999996</v>
      </c>
      <c r="CE106" s="1603">
        <v>9.9999999999999992E-2</v>
      </c>
      <c r="CF106" s="1603">
        <v>0.91999999999999993</v>
      </c>
      <c r="CG106" s="1603">
        <v>4</v>
      </c>
      <c r="CH106" s="1603">
        <v>0.82</v>
      </c>
      <c r="CI106" s="1603">
        <v>1.105</v>
      </c>
      <c r="CJ106" s="1603"/>
      <c r="CK106" s="1603">
        <v>27.919999999999998</v>
      </c>
      <c r="CL106" s="1603">
        <v>2.5099999999999998</v>
      </c>
      <c r="CM106" s="1603">
        <v>21.84</v>
      </c>
      <c r="CN106" s="1603">
        <v>21.2</v>
      </c>
      <c r="CO106" s="1603">
        <v>0</v>
      </c>
      <c r="CP106" s="1603">
        <v>5.1000000000000101E-2</v>
      </c>
      <c r="CQ106" s="1603">
        <v>80.857966285714269</v>
      </c>
      <c r="CR106" s="1603">
        <v>70.120282861321158</v>
      </c>
      <c r="CS106" s="1603">
        <v>1.9072365563787321</v>
      </c>
      <c r="CT106" s="1603">
        <v>1.0862520106980991</v>
      </c>
      <c r="CU106" s="1603">
        <v>1.5992373843086238</v>
      </c>
      <c r="CV106" s="1603">
        <v>2.6854893950067229</v>
      </c>
      <c r="CW106" s="1603">
        <v>1.9027008123777394</v>
      </c>
      <c r="CX106" s="1603">
        <v>0.94096430702579015</v>
      </c>
      <c r="CY106" s="1603">
        <v>2.3217276161914975</v>
      </c>
      <c r="CZ106" s="1603">
        <v>4.6823944651830072</v>
      </c>
      <c r="DA106" s="1603">
        <v>1.583938021334637</v>
      </c>
      <c r="DB106" s="1603">
        <v>3.1439898083152347</v>
      </c>
      <c r="DC106" s="1603">
        <v>1.9295318432436601</v>
      </c>
      <c r="DD106" s="1603">
        <v>5.0735216515588952</v>
      </c>
      <c r="DE106" s="1603">
        <v>2.8902067417977446</v>
      </c>
      <c r="DF106" s="1603">
        <v>0</v>
      </c>
      <c r="DG106" s="1603">
        <v>0</v>
      </c>
      <c r="DH106" s="1603">
        <v>0</v>
      </c>
      <c r="DI106" s="1603">
        <v>0</v>
      </c>
      <c r="DJ106" s="1603">
        <v>0</v>
      </c>
      <c r="DK106" s="1603">
        <v>0</v>
      </c>
      <c r="DL106" s="1603">
        <v>0</v>
      </c>
      <c r="DM106" s="1603">
        <v>0</v>
      </c>
      <c r="DN106" s="1603">
        <v>0</v>
      </c>
      <c r="DO106" s="1603">
        <v>0</v>
      </c>
      <c r="DP106" s="1603">
        <v>0</v>
      </c>
      <c r="DQ106" s="1603">
        <v>0</v>
      </c>
      <c r="DR106" s="1603">
        <v>0</v>
      </c>
      <c r="DS106" s="1603">
        <v>0</v>
      </c>
      <c r="DT106" s="1603">
        <v>0</v>
      </c>
      <c r="DU106" s="1603">
        <v>0</v>
      </c>
      <c r="DV106" s="1603">
        <v>0</v>
      </c>
      <c r="DW106" s="1618" t="s">
        <v>3506</v>
      </c>
      <c r="DX106" s="1605">
        <v>85</v>
      </c>
      <c r="DY106" s="1605">
        <v>85</v>
      </c>
      <c r="DZ106" s="1605">
        <v>43</v>
      </c>
      <c r="EA106" s="1605">
        <v>43</v>
      </c>
      <c r="EB106" s="1605" t="s">
        <v>986</v>
      </c>
      <c r="EC106" s="1605">
        <v>43</v>
      </c>
      <c r="ED106" s="1605">
        <v>43</v>
      </c>
      <c r="EE106" s="1605">
        <v>45</v>
      </c>
      <c r="EF106" s="1605">
        <v>43</v>
      </c>
      <c r="EG106" s="1605">
        <v>43</v>
      </c>
      <c r="EH106" s="1605" t="s">
        <v>986</v>
      </c>
      <c r="EI106" s="1605" t="s">
        <v>986</v>
      </c>
      <c r="EJ106" s="1605" t="s">
        <v>986</v>
      </c>
      <c r="EK106" s="1605" t="s">
        <v>986</v>
      </c>
      <c r="EL106" s="1605" t="s">
        <v>986</v>
      </c>
      <c r="EM106" s="1605" t="s">
        <v>986</v>
      </c>
      <c r="EN106" s="1605" t="s">
        <v>986</v>
      </c>
      <c r="EO106" s="1605" t="s">
        <v>986</v>
      </c>
      <c r="EP106" s="1605" t="s">
        <v>986</v>
      </c>
      <c r="EQ106" s="1605" t="s">
        <v>986</v>
      </c>
      <c r="ER106" s="1605" t="s">
        <v>986</v>
      </c>
      <c r="ES106" s="1605">
        <v>43</v>
      </c>
      <c r="ET106" s="1605">
        <v>85</v>
      </c>
      <c r="EU106" s="1605">
        <v>42</v>
      </c>
      <c r="EV106" s="1605">
        <v>14</v>
      </c>
      <c r="EW106" s="1605">
        <v>42</v>
      </c>
      <c r="EX106" s="1605">
        <v>42</v>
      </c>
      <c r="EY106" s="1605" t="s">
        <v>986</v>
      </c>
      <c r="EZ106" s="1605">
        <v>42</v>
      </c>
      <c r="FA106" s="1605">
        <v>42</v>
      </c>
      <c r="FB106" s="1605">
        <v>42</v>
      </c>
      <c r="FC106" s="1605">
        <v>40</v>
      </c>
      <c r="FD106" s="1605" t="s">
        <v>986</v>
      </c>
      <c r="FE106" s="1605" t="s">
        <v>986</v>
      </c>
      <c r="FF106" s="1605">
        <v>1.2828157492401631</v>
      </c>
      <c r="FG106" s="1605">
        <v>0.48607649054712726</v>
      </c>
      <c r="FH106" s="1605">
        <v>0.10388758297445488</v>
      </c>
      <c r="FI106" s="1605">
        <v>6.2335967133943689E-2</v>
      </c>
      <c r="FJ106" s="1605" t="s">
        <v>986</v>
      </c>
      <c r="FK106" s="1605">
        <v>1.301852226644977</v>
      </c>
      <c r="FL106" s="1605">
        <v>0.75514169531199338</v>
      </c>
      <c r="FM106" s="1605" t="s">
        <v>986</v>
      </c>
      <c r="FN106" s="1605">
        <v>1.334484190765632</v>
      </c>
      <c r="FO106" s="1605">
        <v>1.0618617062658418</v>
      </c>
      <c r="FP106" s="1605" t="s">
        <v>986</v>
      </c>
      <c r="FQ106" s="1605" t="s">
        <v>986</v>
      </c>
      <c r="FR106" s="1605" t="s">
        <v>986</v>
      </c>
      <c r="FS106" s="1605" t="s">
        <v>986</v>
      </c>
      <c r="FT106" s="1605" t="s">
        <v>986</v>
      </c>
      <c r="FU106" s="1605" t="s">
        <v>986</v>
      </c>
      <c r="FV106" s="1605" t="s">
        <v>986</v>
      </c>
      <c r="FW106" s="1605" t="s">
        <v>986</v>
      </c>
      <c r="FX106" s="1605" t="s">
        <v>986</v>
      </c>
      <c r="FY106" s="1605" t="s">
        <v>986</v>
      </c>
      <c r="FZ106" s="1605" t="s">
        <v>986</v>
      </c>
      <c r="GA106" s="1605">
        <v>4.1060551700768763E-2</v>
      </c>
      <c r="GB106" s="1605">
        <v>0.20229723146465445</v>
      </c>
      <c r="GC106" s="1605">
        <v>1.5069874160032969E-3</v>
      </c>
      <c r="GD106" s="1605">
        <v>7.462274823038656E-2</v>
      </c>
      <c r="GE106" s="1605">
        <v>0.22579259898430298</v>
      </c>
      <c r="GF106" s="1605">
        <v>4.7334716724467117E-2</v>
      </c>
      <c r="GG106" s="1605" t="s">
        <v>986</v>
      </c>
      <c r="GH106" s="1605">
        <v>4.0288960341101232</v>
      </c>
      <c r="GI106" s="1605">
        <v>0.42629341575424901</v>
      </c>
      <c r="GJ106" s="1605">
        <v>3.1232672590383057</v>
      </c>
      <c r="GK106" s="1605">
        <v>3.1017254909923708</v>
      </c>
      <c r="GL106" s="1605" t="s">
        <v>986</v>
      </c>
      <c r="GM106" s="1605" t="s">
        <v>986</v>
      </c>
      <c r="GN106" s="1605" t="s">
        <v>3027</v>
      </c>
      <c r="GO106" s="1605" t="s">
        <v>3027</v>
      </c>
      <c r="GP106" s="1605" t="s">
        <v>3027</v>
      </c>
      <c r="GQ106" s="1605" t="s">
        <v>3027</v>
      </c>
      <c r="GR106" s="1605" t="s">
        <v>3026</v>
      </c>
      <c r="GS106" s="1605" t="s">
        <v>3027</v>
      </c>
      <c r="GT106" s="1605" t="s">
        <v>3027</v>
      </c>
      <c r="GU106" s="1605" t="s">
        <v>3026</v>
      </c>
      <c r="GV106" s="1605" t="s">
        <v>3027</v>
      </c>
      <c r="GW106" s="1605" t="s">
        <v>3027</v>
      </c>
      <c r="GX106" s="1605" t="s">
        <v>3027</v>
      </c>
      <c r="GY106" s="1605" t="s">
        <v>3027</v>
      </c>
      <c r="GZ106" s="1605" t="s">
        <v>3027</v>
      </c>
      <c r="HA106" s="1605" t="s">
        <v>3027</v>
      </c>
      <c r="HB106" s="1605" t="s">
        <v>3026</v>
      </c>
      <c r="HC106" s="1605" t="s">
        <v>3027</v>
      </c>
      <c r="HD106" s="1605" t="s">
        <v>3027</v>
      </c>
      <c r="HE106" s="1605" t="s">
        <v>3027</v>
      </c>
      <c r="HF106" s="1605" t="s">
        <v>3027</v>
      </c>
      <c r="HG106" s="1605" t="s">
        <v>3027</v>
      </c>
      <c r="HH106" s="1605" t="s">
        <v>3027</v>
      </c>
      <c r="HI106" s="1605" t="s">
        <v>3027</v>
      </c>
      <c r="HJ106" s="1605" t="s">
        <v>3027</v>
      </c>
      <c r="HK106" s="1605" t="s">
        <v>3027</v>
      </c>
      <c r="HL106" s="1605" t="s">
        <v>1578</v>
      </c>
      <c r="HM106" s="1605" t="s">
        <v>3027</v>
      </c>
      <c r="HN106" s="1605" t="s">
        <v>3027</v>
      </c>
      <c r="HO106" s="1605" t="s">
        <v>986</v>
      </c>
      <c r="HP106" s="1605" t="s">
        <v>3027</v>
      </c>
      <c r="HQ106" s="1605" t="s">
        <v>3027</v>
      </c>
      <c r="HR106" s="1605" t="s">
        <v>3027</v>
      </c>
      <c r="HS106" s="1605" t="s">
        <v>3027</v>
      </c>
      <c r="HT106" s="1605" t="s">
        <v>3026</v>
      </c>
      <c r="HU106" s="1605" t="s">
        <v>3026</v>
      </c>
      <c r="HV106" s="1617"/>
      <c r="HW106" s="1617" t="s">
        <v>3511</v>
      </c>
      <c r="HX106" s="1617" t="s">
        <v>3504</v>
      </c>
      <c r="HY106" s="1617" t="s">
        <v>3503</v>
      </c>
      <c r="HZ106" s="1603"/>
      <c r="IA106" s="1603"/>
      <c r="IB106" s="1603"/>
      <c r="IC106" s="1603">
        <v>60.634146341463399</v>
      </c>
      <c r="ID106" s="1603">
        <v>61.219512195121901</v>
      </c>
      <c r="IE106" s="1603">
        <v>61.707317073170699</v>
      </c>
      <c r="IF106" s="1603">
        <v>62</v>
      </c>
      <c r="IG106" s="1611" t="s">
        <v>3463</v>
      </c>
      <c r="IH106" s="1616" t="s">
        <v>3510</v>
      </c>
      <c r="II106" s="1615" t="s">
        <v>3509</v>
      </c>
      <c r="IJ106" s="1613">
        <v>0.44950000000000001</v>
      </c>
      <c r="IK106" s="1613">
        <v>0.44756818181818181</v>
      </c>
      <c r="IL106" s="1614">
        <v>0.44950000000000001</v>
      </c>
      <c r="IM106" s="1614">
        <v>0.44756818181818181</v>
      </c>
      <c r="IN106" s="1612">
        <v>0.48</v>
      </c>
      <c r="IO106" s="1613">
        <v>3.0499999999999972E-2</v>
      </c>
      <c r="IP106" s="1607" t="s">
        <v>270</v>
      </c>
      <c r="IQ106" s="1612">
        <v>1.57</v>
      </c>
      <c r="IR106" s="1612">
        <v>-1E-3</v>
      </c>
      <c r="IS106" s="1607">
        <v>0.44550000000000001</v>
      </c>
      <c r="IT106" s="1607">
        <v>0.44356818181818181</v>
      </c>
      <c r="IU106" s="1611">
        <v>1.1363636363636365E-5</v>
      </c>
      <c r="IV106" s="1611">
        <v>2.4318181818181817E-3</v>
      </c>
      <c r="IW106" s="1611">
        <v>6.3636363636363641E-4</v>
      </c>
      <c r="IX106" s="1611">
        <v>1.1022727272727271E-3</v>
      </c>
      <c r="IY106" s="1611">
        <v>6.4772727272727269E-4</v>
      </c>
      <c r="IZ106" s="1611">
        <v>8.1363636363636378E-3</v>
      </c>
      <c r="JA106" s="1611">
        <v>1.4772727272727274E-4</v>
      </c>
      <c r="JB106" s="1611" t="s">
        <v>270</v>
      </c>
      <c r="JC106" s="1611">
        <v>0.10805681818181818</v>
      </c>
      <c r="JD106" s="1611">
        <v>2.7499999999999998E-3</v>
      </c>
      <c r="JE106" s="1611" t="s">
        <v>270</v>
      </c>
      <c r="JF106" s="1611">
        <v>5.113636363636363E-4</v>
      </c>
      <c r="JG106" s="1611">
        <v>3.3054204545454549</v>
      </c>
      <c r="JH106" s="1611">
        <v>2.0454545454545454E-4</v>
      </c>
      <c r="JI106" s="1611">
        <v>4.9477272727272731E-2</v>
      </c>
      <c r="JJ106" s="1611" t="s">
        <v>270</v>
      </c>
      <c r="JK106" s="1607">
        <f t="shared" si="10"/>
        <v>4.0000000000000036E-3</v>
      </c>
      <c r="JL106" s="1608" t="s">
        <v>270</v>
      </c>
      <c r="JM106" s="1610" t="s">
        <v>2924</v>
      </c>
      <c r="JN106" s="1608">
        <v>1.9318181818182012E-3</v>
      </c>
      <c r="JO106" s="1609" t="s">
        <v>2923</v>
      </c>
      <c r="JP106" s="1608" t="s">
        <v>270</v>
      </c>
      <c r="JQ106" s="1607">
        <v>202103</v>
      </c>
      <c r="JR106" s="1606">
        <v>946</v>
      </c>
      <c r="JS106" s="1606">
        <v>865</v>
      </c>
      <c r="JT106" s="1606">
        <v>865</v>
      </c>
    </row>
    <row r="107" spans="1:280" ht="15" customHeight="1" x14ac:dyDescent="0.2">
      <c r="A107" s="1626">
        <v>51201</v>
      </c>
      <c r="B107" s="1625">
        <v>512</v>
      </c>
      <c r="C107" s="1624">
        <v>1</v>
      </c>
      <c r="D107" s="1623" t="s">
        <v>3522</v>
      </c>
      <c r="E107" s="1622">
        <v>44497</v>
      </c>
      <c r="F107" s="1620">
        <v>1.1628419860627179</v>
      </c>
      <c r="G107" s="1620">
        <v>1.1398693751391464</v>
      </c>
      <c r="H107" s="1621">
        <v>90.7</v>
      </c>
      <c r="I107" s="1621">
        <v>87.8</v>
      </c>
      <c r="J107" s="1621">
        <v>93</v>
      </c>
      <c r="K107" s="1620">
        <v>1</v>
      </c>
      <c r="L107" s="1620">
        <v>85</v>
      </c>
      <c r="M107" s="1620">
        <v>9.6</v>
      </c>
      <c r="N107" s="1620">
        <v>2.1</v>
      </c>
      <c r="O107" s="1620">
        <v>1.4</v>
      </c>
      <c r="P107" s="1620">
        <v>2.7</v>
      </c>
      <c r="Q107" s="1603"/>
      <c r="R107" s="1620">
        <v>84.883905357142851</v>
      </c>
      <c r="S107" s="1620">
        <v>50</v>
      </c>
      <c r="T107" s="1620">
        <v>54.878048780487802</v>
      </c>
      <c r="U107" s="1620">
        <v>56.829268292682897</v>
      </c>
      <c r="V107" s="1620">
        <v>58.585365853658502</v>
      </c>
      <c r="W107" s="1620">
        <v>59.756097560975597</v>
      </c>
      <c r="X107" s="1620"/>
      <c r="Y107" s="1620">
        <v>0.42352941176470588</v>
      </c>
      <c r="Z107" s="1620">
        <v>3.0588235294117645</v>
      </c>
      <c r="AA107" s="1620">
        <v>0.11764705882352941</v>
      </c>
      <c r="AB107" s="1620">
        <v>1.0823529411764705</v>
      </c>
      <c r="AC107" s="1620">
        <v>4.7058823529411766</v>
      </c>
      <c r="AD107" s="1620">
        <v>0.96470588235294119</v>
      </c>
      <c r="AE107" s="1620">
        <v>1.3</v>
      </c>
      <c r="AF107" s="1620">
        <v>32.847058823529409</v>
      </c>
      <c r="AG107" s="1620">
        <v>2.952941176470588</v>
      </c>
      <c r="AH107" s="1620">
        <v>25.694117647058825</v>
      </c>
      <c r="AI107" s="1620">
        <v>24.941176470588236</v>
      </c>
      <c r="AJ107" s="1620">
        <v>0</v>
      </c>
      <c r="AK107" s="1620">
        <v>6.0000000000000123E-2</v>
      </c>
      <c r="AL107" s="1620"/>
      <c r="AM107" s="1620">
        <v>2.9569770588235293</v>
      </c>
      <c r="AN107" s="1620">
        <v>1.5493870588235295</v>
      </c>
      <c r="AO107" s="1620">
        <v>2.3275194117647056</v>
      </c>
      <c r="AP107" s="1620">
        <v>2.9181435294117648</v>
      </c>
      <c r="AQ107" s="1620">
        <v>1.3554476470588235</v>
      </c>
      <c r="AR107" s="1620">
        <v>3.3446447058823527</v>
      </c>
      <c r="AS107" s="1620">
        <v>6.6776970588235294</v>
      </c>
      <c r="AT107" s="1620">
        <v>2.2818111764705886</v>
      </c>
      <c r="AU107" s="1620">
        <v>4.396028823529412</v>
      </c>
      <c r="AV107" s="1620">
        <v>2.75176</v>
      </c>
      <c r="AW107" s="1620">
        <v>4.2938094117647063</v>
      </c>
      <c r="AX107" s="1620"/>
      <c r="AY107" s="1620">
        <v>0.91984139059636005</v>
      </c>
      <c r="AZ107" s="1620">
        <v>0.99983194794455499</v>
      </c>
      <c r="BA107" s="1620">
        <v>0.979886924127779</v>
      </c>
      <c r="BB107" s="1620">
        <v>0.92986562968623399</v>
      </c>
      <c r="BC107" s="1620">
        <v>0.99002632466492502</v>
      </c>
      <c r="BD107" s="1620">
        <v>0.98995993262128801</v>
      </c>
      <c r="BE107" s="1620">
        <v>0.99999453250972503</v>
      </c>
      <c r="BF107" s="1620">
        <v>0.989953559452181</v>
      </c>
      <c r="BG107" s="1620">
        <v>1.0199454358815301</v>
      </c>
      <c r="BH107" s="1620">
        <v>0.99999479025510996</v>
      </c>
      <c r="BI107" s="1620">
        <v>0.95993645905861302</v>
      </c>
      <c r="BJ107" s="1603"/>
      <c r="BK107" s="1620">
        <v>11.294117647058824</v>
      </c>
      <c r="BL107" s="1620">
        <v>2.4705882352941178</v>
      </c>
      <c r="BM107" s="1620">
        <v>1.6470588235294117</v>
      </c>
      <c r="BN107" s="1620">
        <v>3.1764705882352939</v>
      </c>
      <c r="BO107" s="1620"/>
      <c r="BP107" s="1620">
        <v>105</v>
      </c>
      <c r="BQ107" s="1620">
        <v>25.941176470588353</v>
      </c>
      <c r="BR107" s="1620">
        <v>1.3680493953679036</v>
      </c>
      <c r="BS107" s="1620">
        <v>1.3410227942813489</v>
      </c>
      <c r="BT107" s="1603"/>
      <c r="BU107" s="1620">
        <v>983.52941176470586</v>
      </c>
      <c r="BV107" s="1620">
        <v>724.57378151260502</v>
      </c>
      <c r="BW107" s="1620">
        <v>40.746218487395041</v>
      </c>
      <c r="BX107" s="1620">
        <v>670</v>
      </c>
      <c r="BY107" s="1620">
        <v>18.999999999999996</v>
      </c>
      <c r="BZ107" s="1620">
        <v>25.000000000000117</v>
      </c>
      <c r="CA107" s="1620">
        <v>113</v>
      </c>
      <c r="CB107" s="1603"/>
      <c r="CC107" s="1603">
        <v>0.36</v>
      </c>
      <c r="CD107" s="1603">
        <v>2.5999999999999996</v>
      </c>
      <c r="CE107" s="1603">
        <v>9.9999999999999992E-2</v>
      </c>
      <c r="CF107" s="1603">
        <v>0.91999999999999993</v>
      </c>
      <c r="CG107" s="1603">
        <v>4</v>
      </c>
      <c r="CH107" s="1603">
        <v>0.82</v>
      </c>
      <c r="CI107" s="1603">
        <v>1.105</v>
      </c>
      <c r="CJ107" s="1603"/>
      <c r="CK107" s="1603">
        <v>27.919999999999998</v>
      </c>
      <c r="CL107" s="1603">
        <v>2.5099999999999998</v>
      </c>
      <c r="CM107" s="1603">
        <v>21.84</v>
      </c>
      <c r="CN107" s="1603">
        <v>21.2</v>
      </c>
      <c r="CO107" s="1603">
        <v>0</v>
      </c>
      <c r="CP107" s="1603">
        <v>5.1000000000000101E-2</v>
      </c>
      <c r="CQ107" s="1603">
        <v>81.488549142857138</v>
      </c>
      <c r="CR107" s="1603">
        <v>70.0770613028605</v>
      </c>
      <c r="CS107" s="1603">
        <v>1.9060609516470328</v>
      </c>
      <c r="CT107" s="1603">
        <v>1.0855824540039787</v>
      </c>
      <c r="CU107" s="1603">
        <v>1.5982516277018646</v>
      </c>
      <c r="CV107" s="1603">
        <v>2.683834081705843</v>
      </c>
      <c r="CW107" s="1603">
        <v>1.9015280034408732</v>
      </c>
      <c r="CX107" s="1603">
        <v>0.9403843044623954</v>
      </c>
      <c r="CY107" s="1603">
        <v>2.3202965226220176</v>
      </c>
      <c r="CZ107" s="1603">
        <v>4.6795082762251985</v>
      </c>
      <c r="DA107" s="1603">
        <v>1.5829616951278163</v>
      </c>
      <c r="DB107" s="1603">
        <v>3.1420518791775471</v>
      </c>
      <c r="DC107" s="1603">
        <v>1.9283424958827913</v>
      </c>
      <c r="DD107" s="1603">
        <v>5.0703943750603386</v>
      </c>
      <c r="DE107" s="1603">
        <v>2.888425242428994</v>
      </c>
      <c r="DF107" s="1603">
        <v>0</v>
      </c>
      <c r="DG107" s="1603">
        <v>0</v>
      </c>
      <c r="DH107" s="1603">
        <v>0</v>
      </c>
      <c r="DI107" s="1603">
        <v>0</v>
      </c>
      <c r="DJ107" s="1603">
        <v>0</v>
      </c>
      <c r="DK107" s="1603">
        <v>0</v>
      </c>
      <c r="DL107" s="1603">
        <v>0</v>
      </c>
      <c r="DM107" s="1603">
        <v>0</v>
      </c>
      <c r="DN107" s="1603">
        <v>0</v>
      </c>
      <c r="DO107" s="1603">
        <v>0</v>
      </c>
      <c r="DP107" s="1603">
        <v>0</v>
      </c>
      <c r="DQ107" s="1603">
        <v>0</v>
      </c>
      <c r="DR107" s="1603">
        <v>0</v>
      </c>
      <c r="DS107" s="1603">
        <v>0</v>
      </c>
      <c r="DT107" s="1603">
        <v>0</v>
      </c>
      <c r="DU107" s="1603">
        <v>0</v>
      </c>
      <c r="DV107" s="1603">
        <v>0</v>
      </c>
      <c r="DW107" s="1618" t="s">
        <v>3506</v>
      </c>
      <c r="DX107" s="1605">
        <v>85</v>
      </c>
      <c r="DY107" s="1605">
        <v>85</v>
      </c>
      <c r="DZ107" s="1605">
        <v>43</v>
      </c>
      <c r="EA107" s="1605">
        <v>43</v>
      </c>
      <c r="EB107" s="1605" t="s">
        <v>986</v>
      </c>
      <c r="EC107" s="1605">
        <v>43</v>
      </c>
      <c r="ED107" s="1605">
        <v>43</v>
      </c>
      <c r="EE107" s="1605">
        <v>45</v>
      </c>
      <c r="EF107" s="1605">
        <v>43</v>
      </c>
      <c r="EG107" s="1605">
        <v>43</v>
      </c>
      <c r="EH107" s="1605" t="s">
        <v>986</v>
      </c>
      <c r="EI107" s="1605" t="s">
        <v>986</v>
      </c>
      <c r="EJ107" s="1605" t="s">
        <v>986</v>
      </c>
      <c r="EK107" s="1605" t="s">
        <v>986</v>
      </c>
      <c r="EL107" s="1605" t="s">
        <v>986</v>
      </c>
      <c r="EM107" s="1605" t="s">
        <v>986</v>
      </c>
      <c r="EN107" s="1605" t="s">
        <v>986</v>
      </c>
      <c r="EO107" s="1605" t="s">
        <v>986</v>
      </c>
      <c r="EP107" s="1605" t="s">
        <v>986</v>
      </c>
      <c r="EQ107" s="1605" t="s">
        <v>986</v>
      </c>
      <c r="ER107" s="1605" t="s">
        <v>986</v>
      </c>
      <c r="ES107" s="1605">
        <v>43</v>
      </c>
      <c r="ET107" s="1605">
        <v>85</v>
      </c>
      <c r="EU107" s="1605">
        <v>42</v>
      </c>
      <c r="EV107" s="1605">
        <v>14</v>
      </c>
      <c r="EW107" s="1605">
        <v>42</v>
      </c>
      <c r="EX107" s="1605">
        <v>42</v>
      </c>
      <c r="EY107" s="1605" t="s">
        <v>986</v>
      </c>
      <c r="EZ107" s="1605">
        <v>42</v>
      </c>
      <c r="FA107" s="1605">
        <v>42</v>
      </c>
      <c r="FB107" s="1605">
        <v>42</v>
      </c>
      <c r="FC107" s="1605">
        <v>40</v>
      </c>
      <c r="FD107" s="1605" t="s">
        <v>986</v>
      </c>
      <c r="FE107" s="1605" t="s">
        <v>986</v>
      </c>
      <c r="FF107" s="1605">
        <v>1.2828157492401631</v>
      </c>
      <c r="FG107" s="1605">
        <v>0.48607649054712726</v>
      </c>
      <c r="FH107" s="1605">
        <v>0.10388758297445488</v>
      </c>
      <c r="FI107" s="1605">
        <v>6.2335967133943689E-2</v>
      </c>
      <c r="FJ107" s="1605" t="s">
        <v>986</v>
      </c>
      <c r="FK107" s="1605">
        <v>1.301852226644977</v>
      </c>
      <c r="FL107" s="1605">
        <v>0.75514169531199338</v>
      </c>
      <c r="FM107" s="1605" t="s">
        <v>986</v>
      </c>
      <c r="FN107" s="1605">
        <v>1.334484190765632</v>
      </c>
      <c r="FO107" s="1605">
        <v>1.0618617062658418</v>
      </c>
      <c r="FP107" s="1605" t="s">
        <v>986</v>
      </c>
      <c r="FQ107" s="1605" t="s">
        <v>986</v>
      </c>
      <c r="FR107" s="1605" t="s">
        <v>986</v>
      </c>
      <c r="FS107" s="1605" t="s">
        <v>986</v>
      </c>
      <c r="FT107" s="1605" t="s">
        <v>986</v>
      </c>
      <c r="FU107" s="1605" t="s">
        <v>986</v>
      </c>
      <c r="FV107" s="1605" t="s">
        <v>986</v>
      </c>
      <c r="FW107" s="1605" t="s">
        <v>986</v>
      </c>
      <c r="FX107" s="1605" t="s">
        <v>986</v>
      </c>
      <c r="FY107" s="1605" t="s">
        <v>986</v>
      </c>
      <c r="FZ107" s="1605" t="s">
        <v>986</v>
      </c>
      <c r="GA107" s="1605">
        <v>4.1060551700768763E-2</v>
      </c>
      <c r="GB107" s="1605">
        <v>0.20229723146465445</v>
      </c>
      <c r="GC107" s="1605">
        <v>1.5069874160032969E-3</v>
      </c>
      <c r="GD107" s="1605">
        <v>7.462274823038656E-2</v>
      </c>
      <c r="GE107" s="1605">
        <v>0.22579259898430298</v>
      </c>
      <c r="GF107" s="1605">
        <v>4.7334716724467117E-2</v>
      </c>
      <c r="GG107" s="1605" t="s">
        <v>986</v>
      </c>
      <c r="GH107" s="1605">
        <v>4.0288960341101232</v>
      </c>
      <c r="GI107" s="1605">
        <v>0.42629341575424901</v>
      </c>
      <c r="GJ107" s="1605">
        <v>3.1232672590383057</v>
      </c>
      <c r="GK107" s="1605">
        <v>3.1017254909923708</v>
      </c>
      <c r="GL107" s="1605" t="s">
        <v>986</v>
      </c>
      <c r="GM107" s="1605" t="s">
        <v>986</v>
      </c>
      <c r="GN107" s="1605" t="s">
        <v>3027</v>
      </c>
      <c r="GO107" s="1605" t="s">
        <v>3027</v>
      </c>
      <c r="GP107" s="1605" t="s">
        <v>3027</v>
      </c>
      <c r="GQ107" s="1605" t="s">
        <v>3027</v>
      </c>
      <c r="GR107" s="1605" t="s">
        <v>3026</v>
      </c>
      <c r="GS107" s="1605" t="s">
        <v>3027</v>
      </c>
      <c r="GT107" s="1605" t="s">
        <v>3027</v>
      </c>
      <c r="GU107" s="1605" t="s">
        <v>3026</v>
      </c>
      <c r="GV107" s="1605" t="s">
        <v>3027</v>
      </c>
      <c r="GW107" s="1605" t="s">
        <v>3027</v>
      </c>
      <c r="GX107" s="1605" t="s">
        <v>3027</v>
      </c>
      <c r="GY107" s="1605" t="s">
        <v>3027</v>
      </c>
      <c r="GZ107" s="1605" t="s">
        <v>3027</v>
      </c>
      <c r="HA107" s="1605" t="s">
        <v>3027</v>
      </c>
      <c r="HB107" s="1605" t="s">
        <v>3026</v>
      </c>
      <c r="HC107" s="1605" t="s">
        <v>3027</v>
      </c>
      <c r="HD107" s="1605" t="s">
        <v>3027</v>
      </c>
      <c r="HE107" s="1605" t="s">
        <v>3027</v>
      </c>
      <c r="HF107" s="1605" t="s">
        <v>3027</v>
      </c>
      <c r="HG107" s="1605" t="s">
        <v>3027</v>
      </c>
      <c r="HH107" s="1605" t="s">
        <v>3027</v>
      </c>
      <c r="HI107" s="1605" t="s">
        <v>3027</v>
      </c>
      <c r="HJ107" s="1605" t="s">
        <v>3027</v>
      </c>
      <c r="HK107" s="1605" t="s">
        <v>3027</v>
      </c>
      <c r="HL107" s="1605" t="s">
        <v>1578</v>
      </c>
      <c r="HM107" s="1605" t="s">
        <v>3027</v>
      </c>
      <c r="HN107" s="1605" t="s">
        <v>3027</v>
      </c>
      <c r="HO107" s="1605" t="s">
        <v>986</v>
      </c>
      <c r="HP107" s="1605" t="s">
        <v>3027</v>
      </c>
      <c r="HQ107" s="1605" t="s">
        <v>3027</v>
      </c>
      <c r="HR107" s="1605" t="s">
        <v>3027</v>
      </c>
      <c r="HS107" s="1605" t="s">
        <v>3027</v>
      </c>
      <c r="HT107" s="1605" t="s">
        <v>3026</v>
      </c>
      <c r="HU107" s="1605" t="s">
        <v>3026</v>
      </c>
      <c r="HV107" s="1617"/>
      <c r="HW107" s="1617" t="s">
        <v>3511</v>
      </c>
      <c r="HX107" s="1617" t="s">
        <v>3504</v>
      </c>
      <c r="HY107" s="1617" t="s">
        <v>3503</v>
      </c>
      <c r="HZ107" s="1603"/>
      <c r="IA107" s="1603"/>
      <c r="IB107" s="1603"/>
      <c r="IC107" s="1603">
        <v>60.634146341463399</v>
      </c>
      <c r="ID107" s="1603">
        <v>61.219512195121901</v>
      </c>
      <c r="IE107" s="1603">
        <v>61.707317073170699</v>
      </c>
      <c r="IF107" s="1603">
        <v>62</v>
      </c>
      <c r="IG107" s="1611" t="s">
        <v>3463</v>
      </c>
      <c r="IH107" s="1616" t="s">
        <v>3510</v>
      </c>
      <c r="II107" s="1615" t="s">
        <v>3509</v>
      </c>
      <c r="IJ107" s="1613">
        <v>0.44950000000000001</v>
      </c>
      <c r="IK107" s="1613">
        <v>0.44756818181818181</v>
      </c>
      <c r="IL107" s="1614">
        <v>0.44950000000000001</v>
      </c>
      <c r="IM107" s="1614">
        <v>0.44756818181818181</v>
      </c>
      <c r="IN107" s="1612">
        <v>0.48</v>
      </c>
      <c r="IO107" s="1613">
        <v>3.0499999999999972E-2</v>
      </c>
      <c r="IP107" s="1607" t="s">
        <v>270</v>
      </c>
      <c r="IQ107" s="1612">
        <v>1.57</v>
      </c>
      <c r="IR107" s="1612">
        <v>-1E-3</v>
      </c>
      <c r="IS107" s="1607">
        <v>0.44550000000000001</v>
      </c>
      <c r="IT107" s="1607">
        <v>0.44356818181818181</v>
      </c>
      <c r="IU107" s="1611">
        <v>1.1363636363636365E-5</v>
      </c>
      <c r="IV107" s="1611">
        <v>2.4318181818181817E-3</v>
      </c>
      <c r="IW107" s="1611">
        <v>6.3636363636363641E-4</v>
      </c>
      <c r="IX107" s="1611">
        <v>1.1022727272727271E-3</v>
      </c>
      <c r="IY107" s="1611">
        <v>6.4772727272727269E-4</v>
      </c>
      <c r="IZ107" s="1611">
        <v>8.1363636363636378E-3</v>
      </c>
      <c r="JA107" s="1611">
        <v>1.4772727272727274E-4</v>
      </c>
      <c r="JB107" s="1611" t="s">
        <v>270</v>
      </c>
      <c r="JC107" s="1611">
        <v>0.10805681818181818</v>
      </c>
      <c r="JD107" s="1611">
        <v>2.7499999999999998E-3</v>
      </c>
      <c r="JE107" s="1611" t="s">
        <v>270</v>
      </c>
      <c r="JF107" s="1611">
        <v>5.113636363636363E-4</v>
      </c>
      <c r="JG107" s="1611">
        <v>3.3054204545454549</v>
      </c>
      <c r="JH107" s="1611">
        <v>2.0454545454545454E-4</v>
      </c>
      <c r="JI107" s="1611">
        <v>4.9477272727272731E-2</v>
      </c>
      <c r="JJ107" s="1611" t="s">
        <v>270</v>
      </c>
      <c r="JK107" s="1607">
        <f t="shared" si="10"/>
        <v>4.0000000000000036E-3</v>
      </c>
      <c r="JL107" s="1608" t="s">
        <v>270</v>
      </c>
      <c r="JM107" s="1610" t="s">
        <v>2924</v>
      </c>
      <c r="JN107" s="1608">
        <v>1.9318181818182012E-3</v>
      </c>
      <c r="JO107" s="1609" t="s">
        <v>2923</v>
      </c>
      <c r="JP107" s="1608" t="s">
        <v>270</v>
      </c>
      <c r="JQ107" s="1607">
        <v>202103</v>
      </c>
      <c r="JR107" s="1606">
        <v>946</v>
      </c>
      <c r="JS107" s="1606">
        <v>865</v>
      </c>
      <c r="JT107" s="1606">
        <v>865</v>
      </c>
    </row>
    <row r="108" spans="1:280" ht="15" customHeight="1" x14ac:dyDescent="0.2">
      <c r="A108" s="1626">
        <v>51210</v>
      </c>
      <c r="B108" s="1625">
        <v>512</v>
      </c>
      <c r="C108" s="1624">
        <v>10</v>
      </c>
      <c r="D108" s="1623" t="s">
        <v>3521</v>
      </c>
      <c r="E108" s="1622">
        <v>44497</v>
      </c>
      <c r="F108" s="1620">
        <v>1.1531323461091754</v>
      </c>
      <c r="G108" s="1620">
        <v>1.1330448853432282</v>
      </c>
      <c r="H108" s="1621">
        <v>90.7</v>
      </c>
      <c r="I108" s="1621">
        <v>87</v>
      </c>
      <c r="J108" s="1621">
        <v>93</v>
      </c>
      <c r="K108" s="1620">
        <v>1</v>
      </c>
      <c r="L108" s="1620">
        <v>85</v>
      </c>
      <c r="M108" s="1620">
        <v>9.6</v>
      </c>
      <c r="N108" s="1620">
        <v>2.1</v>
      </c>
      <c r="O108" s="1620">
        <v>1.4</v>
      </c>
      <c r="P108" s="1620">
        <v>2.7</v>
      </c>
      <c r="Q108" s="1603"/>
      <c r="R108" s="1620">
        <v>84.227048214285702</v>
      </c>
      <c r="S108" s="1620">
        <v>28</v>
      </c>
      <c r="T108" s="1620">
        <v>41.821138211382099</v>
      </c>
      <c r="U108" s="1620">
        <v>47.349593495934997</v>
      </c>
      <c r="V108" s="1620">
        <v>52.325203252032502</v>
      </c>
      <c r="W108" s="1620">
        <v>55.642276422764198</v>
      </c>
      <c r="X108" s="1620"/>
      <c r="Y108" s="1620">
        <v>0.42352941176470588</v>
      </c>
      <c r="Z108" s="1620">
        <v>3.0588235294117645</v>
      </c>
      <c r="AA108" s="1620">
        <v>0.11764705882352941</v>
      </c>
      <c r="AB108" s="1620">
        <v>1.0823529411764705</v>
      </c>
      <c r="AC108" s="1620">
        <v>4.7058823529411766</v>
      </c>
      <c r="AD108" s="1620">
        <v>0.96470588235294119</v>
      </c>
      <c r="AE108" s="1620">
        <v>1.3</v>
      </c>
      <c r="AF108" s="1620">
        <v>32.847058823529409</v>
      </c>
      <c r="AG108" s="1620">
        <v>2.952941176470588</v>
      </c>
      <c r="AH108" s="1620">
        <v>25.694117647058825</v>
      </c>
      <c r="AI108" s="1620">
        <v>24.941176470588236</v>
      </c>
      <c r="AJ108" s="1620">
        <v>0</v>
      </c>
      <c r="AK108" s="1620">
        <v>6.0000000000000123E-2</v>
      </c>
      <c r="AL108" s="1620"/>
      <c r="AM108" s="1620">
        <v>2.9569770588235293</v>
      </c>
      <c r="AN108" s="1620">
        <v>1.5493870588235295</v>
      </c>
      <c r="AO108" s="1620">
        <v>2.3275194117647056</v>
      </c>
      <c r="AP108" s="1620">
        <v>2.9181435294117648</v>
      </c>
      <c r="AQ108" s="1620">
        <v>1.3554476470588235</v>
      </c>
      <c r="AR108" s="1620">
        <v>3.3446447058823527</v>
      </c>
      <c r="AS108" s="1620">
        <v>6.6776970588235294</v>
      </c>
      <c r="AT108" s="1620">
        <v>2.2818111764705886</v>
      </c>
      <c r="AU108" s="1620">
        <v>4.396028823529412</v>
      </c>
      <c r="AV108" s="1620">
        <v>2.75176</v>
      </c>
      <c r="AW108" s="1620">
        <v>4.2938094117647063</v>
      </c>
      <c r="AX108" s="1620"/>
      <c r="AY108" s="1620">
        <v>0.91984139059636005</v>
      </c>
      <c r="AZ108" s="1620">
        <v>0.99983194794455499</v>
      </c>
      <c r="BA108" s="1620">
        <v>0.979886924127779</v>
      </c>
      <c r="BB108" s="1620">
        <v>0.92986562968623399</v>
      </c>
      <c r="BC108" s="1620">
        <v>0.99002632466492502</v>
      </c>
      <c r="BD108" s="1620">
        <v>0.98995993262128801</v>
      </c>
      <c r="BE108" s="1620">
        <v>0.99999453250972503</v>
      </c>
      <c r="BF108" s="1620">
        <v>0.989953559452181</v>
      </c>
      <c r="BG108" s="1620">
        <v>1.0199454358815301</v>
      </c>
      <c r="BH108" s="1620">
        <v>0.99999479025510996</v>
      </c>
      <c r="BI108" s="1620">
        <v>0.95993645905861302</v>
      </c>
      <c r="BJ108" s="1603"/>
      <c r="BK108" s="1620">
        <v>11.294117647058824</v>
      </c>
      <c r="BL108" s="1620">
        <v>2.4705882352941178</v>
      </c>
      <c r="BM108" s="1620">
        <v>1.6470588235294117</v>
      </c>
      <c r="BN108" s="1620">
        <v>3.1764705882352939</v>
      </c>
      <c r="BO108" s="1620"/>
      <c r="BP108" s="1620">
        <v>105</v>
      </c>
      <c r="BQ108" s="1620">
        <v>25.941176470588353</v>
      </c>
      <c r="BR108" s="1620">
        <v>1.3566262895402064</v>
      </c>
      <c r="BS108" s="1620">
        <v>1.3329939827567392</v>
      </c>
      <c r="BT108" s="1603"/>
      <c r="BU108" s="1620">
        <v>983.52941176470586</v>
      </c>
      <c r="BV108" s="1620">
        <v>713.33344537815128</v>
      </c>
      <c r="BW108" s="1620">
        <v>51.986554621848775</v>
      </c>
      <c r="BX108" s="1620">
        <v>670</v>
      </c>
      <c r="BY108" s="1620">
        <v>18.999999999999996</v>
      </c>
      <c r="BZ108" s="1620">
        <v>25.000000000000117</v>
      </c>
      <c r="CA108" s="1620">
        <v>113</v>
      </c>
      <c r="CB108" s="1603"/>
      <c r="CC108" s="1603">
        <v>0.36</v>
      </c>
      <c r="CD108" s="1603">
        <v>2.5999999999999996</v>
      </c>
      <c r="CE108" s="1603">
        <v>9.9999999999999992E-2</v>
      </c>
      <c r="CF108" s="1603">
        <v>0.91999999999999993</v>
      </c>
      <c r="CG108" s="1603">
        <v>4</v>
      </c>
      <c r="CH108" s="1603">
        <v>0.82</v>
      </c>
      <c r="CI108" s="1603">
        <v>1.105</v>
      </c>
      <c r="CJ108" s="1603"/>
      <c r="CK108" s="1603">
        <v>27.919999999999998</v>
      </c>
      <c r="CL108" s="1603">
        <v>2.5099999999999998</v>
      </c>
      <c r="CM108" s="1603">
        <v>21.84</v>
      </c>
      <c r="CN108" s="1603">
        <v>21.2</v>
      </c>
      <c r="CO108" s="1603">
        <v>0</v>
      </c>
      <c r="CP108" s="1603">
        <v>5.1000000000000101E-2</v>
      </c>
      <c r="CQ108" s="1603">
        <v>80.857966285714269</v>
      </c>
      <c r="CR108" s="1603">
        <v>70.120282861321158</v>
      </c>
      <c r="CS108" s="1603">
        <v>1.9072365563787321</v>
      </c>
      <c r="CT108" s="1603">
        <v>1.0862520106980991</v>
      </c>
      <c r="CU108" s="1603">
        <v>1.5992373843086238</v>
      </c>
      <c r="CV108" s="1603">
        <v>2.6854893950067229</v>
      </c>
      <c r="CW108" s="1603">
        <v>1.9027008123777394</v>
      </c>
      <c r="CX108" s="1603">
        <v>0.94096430702579015</v>
      </c>
      <c r="CY108" s="1603">
        <v>2.3217276161914975</v>
      </c>
      <c r="CZ108" s="1603">
        <v>4.6823944651830072</v>
      </c>
      <c r="DA108" s="1603">
        <v>1.583938021334637</v>
      </c>
      <c r="DB108" s="1603">
        <v>3.1439898083152347</v>
      </c>
      <c r="DC108" s="1603">
        <v>1.9295318432436601</v>
      </c>
      <c r="DD108" s="1603">
        <v>5.0735216515588952</v>
      </c>
      <c r="DE108" s="1603">
        <v>2.8902067417977446</v>
      </c>
      <c r="DF108" s="1603">
        <v>0</v>
      </c>
      <c r="DG108" s="1603">
        <v>0</v>
      </c>
      <c r="DH108" s="1603">
        <v>0</v>
      </c>
      <c r="DI108" s="1603">
        <v>0</v>
      </c>
      <c r="DJ108" s="1603">
        <v>0</v>
      </c>
      <c r="DK108" s="1603">
        <v>0</v>
      </c>
      <c r="DL108" s="1603">
        <v>0</v>
      </c>
      <c r="DM108" s="1603">
        <v>0</v>
      </c>
      <c r="DN108" s="1603">
        <v>0</v>
      </c>
      <c r="DO108" s="1603">
        <v>0</v>
      </c>
      <c r="DP108" s="1603">
        <v>0</v>
      </c>
      <c r="DQ108" s="1603">
        <v>0</v>
      </c>
      <c r="DR108" s="1603">
        <v>0</v>
      </c>
      <c r="DS108" s="1603">
        <v>0</v>
      </c>
      <c r="DT108" s="1603">
        <v>0</v>
      </c>
      <c r="DU108" s="1603">
        <v>0</v>
      </c>
      <c r="DV108" s="1603">
        <v>0</v>
      </c>
      <c r="DW108" s="1618" t="s">
        <v>3506</v>
      </c>
      <c r="DX108" s="1605">
        <v>85</v>
      </c>
      <c r="DY108" s="1605">
        <v>85</v>
      </c>
      <c r="DZ108" s="1605">
        <v>43</v>
      </c>
      <c r="EA108" s="1605">
        <v>43</v>
      </c>
      <c r="EB108" s="1605" t="s">
        <v>986</v>
      </c>
      <c r="EC108" s="1605">
        <v>43</v>
      </c>
      <c r="ED108" s="1605">
        <v>43</v>
      </c>
      <c r="EE108" s="1605">
        <v>45</v>
      </c>
      <c r="EF108" s="1605">
        <v>43</v>
      </c>
      <c r="EG108" s="1605">
        <v>43</v>
      </c>
      <c r="EH108" s="1605" t="s">
        <v>986</v>
      </c>
      <c r="EI108" s="1605" t="s">
        <v>986</v>
      </c>
      <c r="EJ108" s="1605" t="s">
        <v>986</v>
      </c>
      <c r="EK108" s="1605" t="s">
        <v>986</v>
      </c>
      <c r="EL108" s="1605" t="s">
        <v>986</v>
      </c>
      <c r="EM108" s="1605" t="s">
        <v>986</v>
      </c>
      <c r="EN108" s="1605" t="s">
        <v>986</v>
      </c>
      <c r="EO108" s="1605" t="s">
        <v>986</v>
      </c>
      <c r="EP108" s="1605" t="s">
        <v>986</v>
      </c>
      <c r="EQ108" s="1605" t="s">
        <v>986</v>
      </c>
      <c r="ER108" s="1605" t="s">
        <v>986</v>
      </c>
      <c r="ES108" s="1605">
        <v>43</v>
      </c>
      <c r="ET108" s="1605">
        <v>85</v>
      </c>
      <c r="EU108" s="1605">
        <v>42</v>
      </c>
      <c r="EV108" s="1605">
        <v>14</v>
      </c>
      <c r="EW108" s="1605">
        <v>42</v>
      </c>
      <c r="EX108" s="1605">
        <v>42</v>
      </c>
      <c r="EY108" s="1605" t="s">
        <v>986</v>
      </c>
      <c r="EZ108" s="1605">
        <v>42</v>
      </c>
      <c r="FA108" s="1605">
        <v>42</v>
      </c>
      <c r="FB108" s="1605">
        <v>42</v>
      </c>
      <c r="FC108" s="1605">
        <v>40</v>
      </c>
      <c r="FD108" s="1605" t="s">
        <v>986</v>
      </c>
      <c r="FE108" s="1605" t="s">
        <v>986</v>
      </c>
      <c r="FF108" s="1605">
        <v>1.2828157492401631</v>
      </c>
      <c r="FG108" s="1605">
        <v>0.48607649054712726</v>
      </c>
      <c r="FH108" s="1605">
        <v>0.10388758297445488</v>
      </c>
      <c r="FI108" s="1605">
        <v>6.2335967133943689E-2</v>
      </c>
      <c r="FJ108" s="1605" t="s">
        <v>986</v>
      </c>
      <c r="FK108" s="1605">
        <v>1.301852226644977</v>
      </c>
      <c r="FL108" s="1605">
        <v>0.75514169531199338</v>
      </c>
      <c r="FM108" s="1605" t="s">
        <v>986</v>
      </c>
      <c r="FN108" s="1605">
        <v>1.334484190765632</v>
      </c>
      <c r="FO108" s="1605">
        <v>1.0618617062658418</v>
      </c>
      <c r="FP108" s="1605" t="s">
        <v>986</v>
      </c>
      <c r="FQ108" s="1605" t="s">
        <v>986</v>
      </c>
      <c r="FR108" s="1605" t="s">
        <v>986</v>
      </c>
      <c r="FS108" s="1605" t="s">
        <v>986</v>
      </c>
      <c r="FT108" s="1605" t="s">
        <v>986</v>
      </c>
      <c r="FU108" s="1605" t="s">
        <v>986</v>
      </c>
      <c r="FV108" s="1605" t="s">
        <v>986</v>
      </c>
      <c r="FW108" s="1605" t="s">
        <v>986</v>
      </c>
      <c r="FX108" s="1605" t="s">
        <v>986</v>
      </c>
      <c r="FY108" s="1605" t="s">
        <v>986</v>
      </c>
      <c r="FZ108" s="1605" t="s">
        <v>986</v>
      </c>
      <c r="GA108" s="1605">
        <v>4.1060551700768763E-2</v>
      </c>
      <c r="GB108" s="1605">
        <v>0.20229723146465445</v>
      </c>
      <c r="GC108" s="1605">
        <v>1.5069874160032969E-3</v>
      </c>
      <c r="GD108" s="1605">
        <v>7.462274823038656E-2</v>
      </c>
      <c r="GE108" s="1605">
        <v>0.22579259898430298</v>
      </c>
      <c r="GF108" s="1605">
        <v>4.7334716724467117E-2</v>
      </c>
      <c r="GG108" s="1605" t="s">
        <v>986</v>
      </c>
      <c r="GH108" s="1605">
        <v>4.0288960341101232</v>
      </c>
      <c r="GI108" s="1605">
        <v>0.42629341575424901</v>
      </c>
      <c r="GJ108" s="1605">
        <v>3.1232672590383057</v>
      </c>
      <c r="GK108" s="1605">
        <v>3.1017254909923708</v>
      </c>
      <c r="GL108" s="1605" t="s">
        <v>986</v>
      </c>
      <c r="GM108" s="1605" t="s">
        <v>986</v>
      </c>
      <c r="GN108" s="1605" t="s">
        <v>3027</v>
      </c>
      <c r="GO108" s="1605" t="s">
        <v>3027</v>
      </c>
      <c r="GP108" s="1605" t="s">
        <v>3027</v>
      </c>
      <c r="GQ108" s="1605" t="s">
        <v>3027</v>
      </c>
      <c r="GR108" s="1605" t="s">
        <v>3026</v>
      </c>
      <c r="GS108" s="1605" t="s">
        <v>3027</v>
      </c>
      <c r="GT108" s="1605" t="s">
        <v>3027</v>
      </c>
      <c r="GU108" s="1605" t="s">
        <v>3026</v>
      </c>
      <c r="GV108" s="1605" t="s">
        <v>3027</v>
      </c>
      <c r="GW108" s="1605" t="s">
        <v>3027</v>
      </c>
      <c r="GX108" s="1605" t="s">
        <v>3027</v>
      </c>
      <c r="GY108" s="1605" t="s">
        <v>3027</v>
      </c>
      <c r="GZ108" s="1605" t="s">
        <v>3027</v>
      </c>
      <c r="HA108" s="1605" t="s">
        <v>3027</v>
      </c>
      <c r="HB108" s="1605" t="s">
        <v>3026</v>
      </c>
      <c r="HC108" s="1605" t="s">
        <v>3027</v>
      </c>
      <c r="HD108" s="1605" t="s">
        <v>3027</v>
      </c>
      <c r="HE108" s="1605" t="s">
        <v>3027</v>
      </c>
      <c r="HF108" s="1605" t="s">
        <v>3027</v>
      </c>
      <c r="HG108" s="1605" t="s">
        <v>3027</v>
      </c>
      <c r="HH108" s="1605" t="s">
        <v>3027</v>
      </c>
      <c r="HI108" s="1605" t="s">
        <v>3027</v>
      </c>
      <c r="HJ108" s="1605" t="s">
        <v>3027</v>
      </c>
      <c r="HK108" s="1605" t="s">
        <v>3027</v>
      </c>
      <c r="HL108" s="1605" t="s">
        <v>1578</v>
      </c>
      <c r="HM108" s="1605" t="s">
        <v>3027</v>
      </c>
      <c r="HN108" s="1605" t="s">
        <v>3027</v>
      </c>
      <c r="HO108" s="1605" t="s">
        <v>986</v>
      </c>
      <c r="HP108" s="1605" t="s">
        <v>3027</v>
      </c>
      <c r="HQ108" s="1605" t="s">
        <v>3027</v>
      </c>
      <c r="HR108" s="1605" t="s">
        <v>3027</v>
      </c>
      <c r="HS108" s="1605" t="s">
        <v>3027</v>
      </c>
      <c r="HT108" s="1605" t="s">
        <v>3026</v>
      </c>
      <c r="HU108" s="1605" t="s">
        <v>3026</v>
      </c>
      <c r="HV108" s="1617"/>
      <c r="HW108" s="1617" t="s">
        <v>3511</v>
      </c>
      <c r="HX108" s="1617" t="s">
        <v>3504</v>
      </c>
      <c r="HY108" s="1617" t="s">
        <v>3503</v>
      </c>
      <c r="HZ108" s="1603"/>
      <c r="IA108" s="1603"/>
      <c r="IB108" s="1603"/>
      <c r="IC108" s="1603">
        <v>58.130081300813004</v>
      </c>
      <c r="ID108" s="1603">
        <v>59.788617886178898</v>
      </c>
      <c r="IE108" s="1603">
        <v>61.170731707317103</v>
      </c>
      <c r="IF108" s="1603">
        <v>62</v>
      </c>
      <c r="IG108" s="1611" t="s">
        <v>3463</v>
      </c>
      <c r="IH108" s="1616" t="s">
        <v>3510</v>
      </c>
      <c r="II108" s="1615" t="s">
        <v>3509</v>
      </c>
      <c r="IJ108" s="1613">
        <v>0.44950000000000001</v>
      </c>
      <c r="IK108" s="1613">
        <v>0.44756818181818181</v>
      </c>
      <c r="IL108" s="1614">
        <v>0.44950000000000001</v>
      </c>
      <c r="IM108" s="1614">
        <v>0.44756818181818181</v>
      </c>
      <c r="IN108" s="1612">
        <v>0.48</v>
      </c>
      <c r="IO108" s="1613">
        <v>3.0499999999999972E-2</v>
      </c>
      <c r="IP108" s="1607" t="s">
        <v>270</v>
      </c>
      <c r="IQ108" s="1612">
        <v>1.57</v>
      </c>
      <c r="IR108" s="1612">
        <v>-1E-3</v>
      </c>
      <c r="IS108" s="1607">
        <v>0.44550000000000001</v>
      </c>
      <c r="IT108" s="1607">
        <v>0.44356818181818181</v>
      </c>
      <c r="IU108" s="1611">
        <v>1.1363636363636365E-5</v>
      </c>
      <c r="IV108" s="1611">
        <v>2.4318181818181817E-3</v>
      </c>
      <c r="IW108" s="1611">
        <v>6.3636363636363641E-4</v>
      </c>
      <c r="IX108" s="1611">
        <v>1.1022727272727271E-3</v>
      </c>
      <c r="IY108" s="1611">
        <v>6.4772727272727269E-4</v>
      </c>
      <c r="IZ108" s="1611">
        <v>8.1363636363636378E-3</v>
      </c>
      <c r="JA108" s="1611">
        <v>1.4772727272727274E-4</v>
      </c>
      <c r="JB108" s="1611" t="s">
        <v>270</v>
      </c>
      <c r="JC108" s="1611">
        <v>0.10805681818181818</v>
      </c>
      <c r="JD108" s="1611">
        <v>2.7499999999999998E-3</v>
      </c>
      <c r="JE108" s="1611" t="s">
        <v>270</v>
      </c>
      <c r="JF108" s="1611">
        <v>5.113636363636363E-4</v>
      </c>
      <c r="JG108" s="1611">
        <v>3.3054204545454549</v>
      </c>
      <c r="JH108" s="1611">
        <v>2.0454545454545454E-4</v>
      </c>
      <c r="JI108" s="1611">
        <v>4.9477272727272731E-2</v>
      </c>
      <c r="JJ108" s="1611" t="s">
        <v>270</v>
      </c>
      <c r="JK108" s="1607">
        <f t="shared" si="10"/>
        <v>4.0000000000000036E-3</v>
      </c>
      <c r="JL108" s="1608" t="s">
        <v>270</v>
      </c>
      <c r="JM108" s="1610" t="s">
        <v>2924</v>
      </c>
      <c r="JN108" s="1608">
        <v>1.9318181818182012E-3</v>
      </c>
      <c r="JO108" s="1609" t="s">
        <v>2923</v>
      </c>
      <c r="JP108" s="1608" t="s">
        <v>270</v>
      </c>
      <c r="JQ108" s="1607">
        <v>202103</v>
      </c>
      <c r="JR108" s="1606">
        <v>946</v>
      </c>
      <c r="JS108" s="1606">
        <v>865</v>
      </c>
      <c r="JT108" s="1606">
        <v>865</v>
      </c>
    </row>
    <row r="109" spans="1:280" ht="15" customHeight="1" x14ac:dyDescent="0.2">
      <c r="A109" s="1626">
        <v>51211</v>
      </c>
      <c r="B109" s="1625">
        <v>512</v>
      </c>
      <c r="C109" s="1624">
        <v>11</v>
      </c>
      <c r="D109" s="1623" t="s">
        <v>3520</v>
      </c>
      <c r="E109" s="1622">
        <v>44497</v>
      </c>
      <c r="F109" s="1620">
        <v>1.1628419860627179</v>
      </c>
      <c r="G109" s="1620">
        <v>1.1398693751391464</v>
      </c>
      <c r="H109" s="1621">
        <v>90.7</v>
      </c>
      <c r="I109" s="1621">
        <v>87.8</v>
      </c>
      <c r="J109" s="1621">
        <v>93</v>
      </c>
      <c r="K109" s="1620">
        <v>1</v>
      </c>
      <c r="L109" s="1620">
        <v>85</v>
      </c>
      <c r="M109" s="1620">
        <v>9.6</v>
      </c>
      <c r="N109" s="1620">
        <v>2.1</v>
      </c>
      <c r="O109" s="1620">
        <v>1.4</v>
      </c>
      <c r="P109" s="1620">
        <v>2.7</v>
      </c>
      <c r="Q109" s="1603"/>
      <c r="R109" s="1620">
        <v>84.883905357142851</v>
      </c>
      <c r="S109" s="1620">
        <v>28</v>
      </c>
      <c r="T109" s="1620">
        <v>41.821138211382099</v>
      </c>
      <c r="U109" s="1620">
        <v>47.349593495934997</v>
      </c>
      <c r="V109" s="1620">
        <v>52.325203252032502</v>
      </c>
      <c r="W109" s="1620">
        <v>55.642276422764198</v>
      </c>
      <c r="X109" s="1620"/>
      <c r="Y109" s="1620">
        <v>0.42352941176470588</v>
      </c>
      <c r="Z109" s="1620">
        <v>3.0588235294117645</v>
      </c>
      <c r="AA109" s="1620">
        <v>0.11764705882352941</v>
      </c>
      <c r="AB109" s="1620">
        <v>1.0823529411764705</v>
      </c>
      <c r="AC109" s="1620">
        <v>4.7058823529411766</v>
      </c>
      <c r="AD109" s="1620">
        <v>0.96470588235294119</v>
      </c>
      <c r="AE109" s="1620">
        <v>1.3</v>
      </c>
      <c r="AF109" s="1620">
        <v>32.847058823529409</v>
      </c>
      <c r="AG109" s="1620">
        <v>2.952941176470588</v>
      </c>
      <c r="AH109" s="1620">
        <v>25.694117647058825</v>
      </c>
      <c r="AI109" s="1620">
        <v>24.941176470588236</v>
      </c>
      <c r="AJ109" s="1620">
        <v>0</v>
      </c>
      <c r="AK109" s="1620">
        <v>6.0000000000000123E-2</v>
      </c>
      <c r="AL109" s="1620"/>
      <c r="AM109" s="1620">
        <v>2.9569770588235293</v>
      </c>
      <c r="AN109" s="1620">
        <v>1.5493870588235295</v>
      </c>
      <c r="AO109" s="1620">
        <v>2.3275194117647056</v>
      </c>
      <c r="AP109" s="1620">
        <v>2.9181435294117648</v>
      </c>
      <c r="AQ109" s="1620">
        <v>1.3554476470588235</v>
      </c>
      <c r="AR109" s="1620">
        <v>3.3446447058823527</v>
      </c>
      <c r="AS109" s="1620">
        <v>6.6776970588235294</v>
      </c>
      <c r="AT109" s="1620">
        <v>2.2818111764705886</v>
      </c>
      <c r="AU109" s="1620">
        <v>4.396028823529412</v>
      </c>
      <c r="AV109" s="1620">
        <v>2.75176</v>
      </c>
      <c r="AW109" s="1620">
        <v>4.2938094117647063</v>
      </c>
      <c r="AX109" s="1620"/>
      <c r="AY109" s="1620">
        <v>0.91984139059636005</v>
      </c>
      <c r="AZ109" s="1620">
        <v>0.99983194794455499</v>
      </c>
      <c r="BA109" s="1620">
        <v>0.979886924127779</v>
      </c>
      <c r="BB109" s="1620">
        <v>0.92986562968623399</v>
      </c>
      <c r="BC109" s="1620">
        <v>0.99002632466492502</v>
      </c>
      <c r="BD109" s="1620">
        <v>0.98995993262128801</v>
      </c>
      <c r="BE109" s="1620">
        <v>0.99999453250972503</v>
      </c>
      <c r="BF109" s="1620">
        <v>0.989953559452181</v>
      </c>
      <c r="BG109" s="1620">
        <v>1.0199454358815301</v>
      </c>
      <c r="BH109" s="1620">
        <v>0.99999479025510996</v>
      </c>
      <c r="BI109" s="1620">
        <v>0.95993645905861302</v>
      </c>
      <c r="BJ109" s="1603"/>
      <c r="BK109" s="1620">
        <v>11.294117647058824</v>
      </c>
      <c r="BL109" s="1620">
        <v>2.4705882352941178</v>
      </c>
      <c r="BM109" s="1620">
        <v>1.6470588235294117</v>
      </c>
      <c r="BN109" s="1620">
        <v>3.1764705882352939</v>
      </c>
      <c r="BO109" s="1620"/>
      <c r="BP109" s="1620">
        <v>105</v>
      </c>
      <c r="BQ109" s="1620">
        <v>25.941176470588353</v>
      </c>
      <c r="BR109" s="1620">
        <v>1.3680493953679036</v>
      </c>
      <c r="BS109" s="1620">
        <v>1.3410227942813489</v>
      </c>
      <c r="BT109" s="1603"/>
      <c r="BU109" s="1620">
        <v>983.52941176470586</v>
      </c>
      <c r="BV109" s="1620">
        <v>724.57378151260502</v>
      </c>
      <c r="BW109" s="1620">
        <v>40.746218487395041</v>
      </c>
      <c r="BX109" s="1620">
        <v>670</v>
      </c>
      <c r="BY109" s="1620">
        <v>18.999999999999996</v>
      </c>
      <c r="BZ109" s="1620">
        <v>25.000000000000117</v>
      </c>
      <c r="CA109" s="1620">
        <v>113</v>
      </c>
      <c r="CB109" s="1603"/>
      <c r="CC109" s="1603">
        <v>0.36</v>
      </c>
      <c r="CD109" s="1603">
        <v>2.5999999999999996</v>
      </c>
      <c r="CE109" s="1603">
        <v>9.9999999999999992E-2</v>
      </c>
      <c r="CF109" s="1603">
        <v>0.91999999999999993</v>
      </c>
      <c r="CG109" s="1603">
        <v>4</v>
      </c>
      <c r="CH109" s="1603">
        <v>0.82</v>
      </c>
      <c r="CI109" s="1603">
        <v>1.105</v>
      </c>
      <c r="CJ109" s="1603"/>
      <c r="CK109" s="1603">
        <v>27.919999999999998</v>
      </c>
      <c r="CL109" s="1603">
        <v>2.5099999999999998</v>
      </c>
      <c r="CM109" s="1603">
        <v>21.84</v>
      </c>
      <c r="CN109" s="1603">
        <v>21.2</v>
      </c>
      <c r="CO109" s="1603">
        <v>0</v>
      </c>
      <c r="CP109" s="1603">
        <v>5.1000000000000101E-2</v>
      </c>
      <c r="CQ109" s="1603">
        <v>81.488549142857138</v>
      </c>
      <c r="CR109" s="1603">
        <v>70.0770613028605</v>
      </c>
      <c r="CS109" s="1603">
        <v>1.9060609516470328</v>
      </c>
      <c r="CT109" s="1603">
        <v>1.0855824540039787</v>
      </c>
      <c r="CU109" s="1603">
        <v>1.5982516277018646</v>
      </c>
      <c r="CV109" s="1603">
        <v>2.683834081705843</v>
      </c>
      <c r="CW109" s="1603">
        <v>1.9015280034408732</v>
      </c>
      <c r="CX109" s="1603">
        <v>0.9403843044623954</v>
      </c>
      <c r="CY109" s="1603">
        <v>2.3202965226220176</v>
      </c>
      <c r="CZ109" s="1603">
        <v>4.6795082762251985</v>
      </c>
      <c r="DA109" s="1603">
        <v>1.5829616951278163</v>
      </c>
      <c r="DB109" s="1603">
        <v>3.1420518791775471</v>
      </c>
      <c r="DC109" s="1603">
        <v>1.9283424958827913</v>
      </c>
      <c r="DD109" s="1603">
        <v>5.0703943750603386</v>
      </c>
      <c r="DE109" s="1603">
        <v>2.888425242428994</v>
      </c>
      <c r="DF109" s="1603">
        <v>0</v>
      </c>
      <c r="DG109" s="1603">
        <v>0</v>
      </c>
      <c r="DH109" s="1603">
        <v>0</v>
      </c>
      <c r="DI109" s="1603">
        <v>0</v>
      </c>
      <c r="DJ109" s="1603">
        <v>0</v>
      </c>
      <c r="DK109" s="1603">
        <v>0</v>
      </c>
      <c r="DL109" s="1603">
        <v>0</v>
      </c>
      <c r="DM109" s="1603">
        <v>0</v>
      </c>
      <c r="DN109" s="1603">
        <v>0</v>
      </c>
      <c r="DO109" s="1603">
        <v>0</v>
      </c>
      <c r="DP109" s="1603">
        <v>0</v>
      </c>
      <c r="DQ109" s="1603">
        <v>0</v>
      </c>
      <c r="DR109" s="1603">
        <v>0</v>
      </c>
      <c r="DS109" s="1603">
        <v>0</v>
      </c>
      <c r="DT109" s="1603">
        <v>0</v>
      </c>
      <c r="DU109" s="1603">
        <v>0</v>
      </c>
      <c r="DV109" s="1603">
        <v>0</v>
      </c>
      <c r="DW109" s="1618" t="s">
        <v>3506</v>
      </c>
      <c r="DX109" s="1605">
        <v>85</v>
      </c>
      <c r="DY109" s="1605">
        <v>85</v>
      </c>
      <c r="DZ109" s="1605">
        <v>43</v>
      </c>
      <c r="EA109" s="1605">
        <v>43</v>
      </c>
      <c r="EB109" s="1605" t="s">
        <v>986</v>
      </c>
      <c r="EC109" s="1605">
        <v>43</v>
      </c>
      <c r="ED109" s="1605">
        <v>43</v>
      </c>
      <c r="EE109" s="1605">
        <v>45</v>
      </c>
      <c r="EF109" s="1605">
        <v>43</v>
      </c>
      <c r="EG109" s="1605">
        <v>43</v>
      </c>
      <c r="EH109" s="1605" t="s">
        <v>986</v>
      </c>
      <c r="EI109" s="1605" t="s">
        <v>986</v>
      </c>
      <c r="EJ109" s="1605" t="s">
        <v>986</v>
      </c>
      <c r="EK109" s="1605" t="s">
        <v>986</v>
      </c>
      <c r="EL109" s="1605" t="s">
        <v>986</v>
      </c>
      <c r="EM109" s="1605" t="s">
        <v>986</v>
      </c>
      <c r="EN109" s="1605" t="s">
        <v>986</v>
      </c>
      <c r="EO109" s="1605" t="s">
        <v>986</v>
      </c>
      <c r="EP109" s="1605" t="s">
        <v>986</v>
      </c>
      <c r="EQ109" s="1605" t="s">
        <v>986</v>
      </c>
      <c r="ER109" s="1605" t="s">
        <v>986</v>
      </c>
      <c r="ES109" s="1605">
        <v>43</v>
      </c>
      <c r="ET109" s="1605">
        <v>85</v>
      </c>
      <c r="EU109" s="1605">
        <v>42</v>
      </c>
      <c r="EV109" s="1605">
        <v>14</v>
      </c>
      <c r="EW109" s="1605">
        <v>42</v>
      </c>
      <c r="EX109" s="1605">
        <v>42</v>
      </c>
      <c r="EY109" s="1605" t="s">
        <v>986</v>
      </c>
      <c r="EZ109" s="1605">
        <v>42</v>
      </c>
      <c r="FA109" s="1605">
        <v>42</v>
      </c>
      <c r="FB109" s="1605">
        <v>42</v>
      </c>
      <c r="FC109" s="1605">
        <v>40</v>
      </c>
      <c r="FD109" s="1605" t="s">
        <v>986</v>
      </c>
      <c r="FE109" s="1605" t="s">
        <v>986</v>
      </c>
      <c r="FF109" s="1605">
        <v>1.2828157492401631</v>
      </c>
      <c r="FG109" s="1605">
        <v>0.48607649054712726</v>
      </c>
      <c r="FH109" s="1605">
        <v>0.10388758297445488</v>
      </c>
      <c r="FI109" s="1605">
        <v>6.2335967133943689E-2</v>
      </c>
      <c r="FJ109" s="1605" t="s">
        <v>986</v>
      </c>
      <c r="FK109" s="1605">
        <v>1.301852226644977</v>
      </c>
      <c r="FL109" s="1605">
        <v>0.75514169531199338</v>
      </c>
      <c r="FM109" s="1605" t="s">
        <v>986</v>
      </c>
      <c r="FN109" s="1605">
        <v>1.334484190765632</v>
      </c>
      <c r="FO109" s="1605">
        <v>1.0618617062658418</v>
      </c>
      <c r="FP109" s="1605" t="s">
        <v>986</v>
      </c>
      <c r="FQ109" s="1605" t="s">
        <v>986</v>
      </c>
      <c r="FR109" s="1605" t="s">
        <v>986</v>
      </c>
      <c r="FS109" s="1605" t="s">
        <v>986</v>
      </c>
      <c r="FT109" s="1605" t="s">
        <v>986</v>
      </c>
      <c r="FU109" s="1605" t="s">
        <v>986</v>
      </c>
      <c r="FV109" s="1605" t="s">
        <v>986</v>
      </c>
      <c r="FW109" s="1605" t="s">
        <v>986</v>
      </c>
      <c r="FX109" s="1605" t="s">
        <v>986</v>
      </c>
      <c r="FY109" s="1605" t="s">
        <v>986</v>
      </c>
      <c r="FZ109" s="1605" t="s">
        <v>986</v>
      </c>
      <c r="GA109" s="1605">
        <v>4.1060551700768763E-2</v>
      </c>
      <c r="GB109" s="1605">
        <v>0.20229723146465445</v>
      </c>
      <c r="GC109" s="1605">
        <v>1.5069874160032969E-3</v>
      </c>
      <c r="GD109" s="1605">
        <v>7.462274823038656E-2</v>
      </c>
      <c r="GE109" s="1605">
        <v>0.22579259898430298</v>
      </c>
      <c r="GF109" s="1605">
        <v>4.7334716724467117E-2</v>
      </c>
      <c r="GG109" s="1605" t="s">
        <v>986</v>
      </c>
      <c r="GH109" s="1605">
        <v>4.0288960341101232</v>
      </c>
      <c r="GI109" s="1605">
        <v>0.42629341575424901</v>
      </c>
      <c r="GJ109" s="1605">
        <v>3.1232672590383057</v>
      </c>
      <c r="GK109" s="1605">
        <v>3.1017254909923708</v>
      </c>
      <c r="GL109" s="1605" t="s">
        <v>986</v>
      </c>
      <c r="GM109" s="1605" t="s">
        <v>986</v>
      </c>
      <c r="GN109" s="1605" t="s">
        <v>3027</v>
      </c>
      <c r="GO109" s="1605" t="s">
        <v>3027</v>
      </c>
      <c r="GP109" s="1605" t="s">
        <v>3027</v>
      </c>
      <c r="GQ109" s="1605" t="s">
        <v>3027</v>
      </c>
      <c r="GR109" s="1605" t="s">
        <v>3026</v>
      </c>
      <c r="GS109" s="1605" t="s">
        <v>3027</v>
      </c>
      <c r="GT109" s="1605" t="s">
        <v>3027</v>
      </c>
      <c r="GU109" s="1605" t="s">
        <v>3026</v>
      </c>
      <c r="GV109" s="1605" t="s">
        <v>3027</v>
      </c>
      <c r="GW109" s="1605" t="s">
        <v>3027</v>
      </c>
      <c r="GX109" s="1605" t="s">
        <v>3027</v>
      </c>
      <c r="GY109" s="1605" t="s">
        <v>3027</v>
      </c>
      <c r="GZ109" s="1605" t="s">
        <v>3027</v>
      </c>
      <c r="HA109" s="1605" t="s">
        <v>3027</v>
      </c>
      <c r="HB109" s="1605" t="s">
        <v>3026</v>
      </c>
      <c r="HC109" s="1605" t="s">
        <v>3027</v>
      </c>
      <c r="HD109" s="1605" t="s">
        <v>3027</v>
      </c>
      <c r="HE109" s="1605" t="s">
        <v>3027</v>
      </c>
      <c r="HF109" s="1605" t="s">
        <v>3027</v>
      </c>
      <c r="HG109" s="1605" t="s">
        <v>3027</v>
      </c>
      <c r="HH109" s="1605" t="s">
        <v>3027</v>
      </c>
      <c r="HI109" s="1605" t="s">
        <v>3027</v>
      </c>
      <c r="HJ109" s="1605" t="s">
        <v>3027</v>
      </c>
      <c r="HK109" s="1605" t="s">
        <v>3027</v>
      </c>
      <c r="HL109" s="1605" t="s">
        <v>1578</v>
      </c>
      <c r="HM109" s="1605" t="s">
        <v>3027</v>
      </c>
      <c r="HN109" s="1605" t="s">
        <v>3027</v>
      </c>
      <c r="HO109" s="1605" t="s">
        <v>986</v>
      </c>
      <c r="HP109" s="1605" t="s">
        <v>3027</v>
      </c>
      <c r="HQ109" s="1605" t="s">
        <v>3027</v>
      </c>
      <c r="HR109" s="1605" t="s">
        <v>3027</v>
      </c>
      <c r="HS109" s="1605" t="s">
        <v>3027</v>
      </c>
      <c r="HT109" s="1605" t="s">
        <v>3026</v>
      </c>
      <c r="HU109" s="1605" t="s">
        <v>3026</v>
      </c>
      <c r="HV109" s="1617"/>
      <c r="HW109" s="1617" t="s">
        <v>3511</v>
      </c>
      <c r="HX109" s="1617" t="s">
        <v>3504</v>
      </c>
      <c r="HY109" s="1617" t="s">
        <v>3503</v>
      </c>
      <c r="HZ109" s="1603"/>
      <c r="IA109" s="1603"/>
      <c r="IB109" s="1603"/>
      <c r="IC109" s="1603">
        <v>58.130081300813004</v>
      </c>
      <c r="ID109" s="1603">
        <v>59.788617886178898</v>
      </c>
      <c r="IE109" s="1603">
        <v>61.170731707317103</v>
      </c>
      <c r="IF109" s="1603">
        <v>62</v>
      </c>
      <c r="IG109" s="1611" t="s">
        <v>3463</v>
      </c>
      <c r="IH109" s="1616" t="s">
        <v>3510</v>
      </c>
      <c r="II109" s="1615" t="s">
        <v>3509</v>
      </c>
      <c r="IJ109" s="1613">
        <v>0.44950000000000001</v>
      </c>
      <c r="IK109" s="1613">
        <v>0.44756818181818181</v>
      </c>
      <c r="IL109" s="1614">
        <v>0.44950000000000001</v>
      </c>
      <c r="IM109" s="1614">
        <v>0.44756818181818181</v>
      </c>
      <c r="IN109" s="1612">
        <v>0.48</v>
      </c>
      <c r="IO109" s="1613">
        <v>3.0499999999999972E-2</v>
      </c>
      <c r="IP109" s="1607" t="s">
        <v>270</v>
      </c>
      <c r="IQ109" s="1612">
        <v>1.57</v>
      </c>
      <c r="IR109" s="1612">
        <v>-1E-3</v>
      </c>
      <c r="IS109" s="1607">
        <v>0.44550000000000001</v>
      </c>
      <c r="IT109" s="1607">
        <v>0.44356818181818181</v>
      </c>
      <c r="IU109" s="1611">
        <v>1.1363636363636365E-5</v>
      </c>
      <c r="IV109" s="1611">
        <v>2.4318181818181817E-3</v>
      </c>
      <c r="IW109" s="1611">
        <v>6.3636363636363641E-4</v>
      </c>
      <c r="IX109" s="1611">
        <v>1.1022727272727271E-3</v>
      </c>
      <c r="IY109" s="1611">
        <v>6.4772727272727269E-4</v>
      </c>
      <c r="IZ109" s="1611">
        <v>8.1363636363636378E-3</v>
      </c>
      <c r="JA109" s="1611">
        <v>1.4772727272727274E-4</v>
      </c>
      <c r="JB109" s="1611" t="s">
        <v>270</v>
      </c>
      <c r="JC109" s="1611">
        <v>0.10805681818181818</v>
      </c>
      <c r="JD109" s="1611">
        <v>2.7499999999999998E-3</v>
      </c>
      <c r="JE109" s="1611" t="s">
        <v>270</v>
      </c>
      <c r="JF109" s="1611">
        <v>5.113636363636363E-4</v>
      </c>
      <c r="JG109" s="1611">
        <v>3.3054204545454549</v>
      </c>
      <c r="JH109" s="1611">
        <v>2.0454545454545454E-4</v>
      </c>
      <c r="JI109" s="1611">
        <v>4.9477272727272731E-2</v>
      </c>
      <c r="JJ109" s="1611" t="s">
        <v>270</v>
      </c>
      <c r="JK109" s="1607">
        <f t="shared" si="10"/>
        <v>4.0000000000000036E-3</v>
      </c>
      <c r="JL109" s="1608" t="s">
        <v>270</v>
      </c>
      <c r="JM109" s="1610" t="s">
        <v>2924</v>
      </c>
      <c r="JN109" s="1608">
        <v>1.9318181818182012E-3</v>
      </c>
      <c r="JO109" s="1609" t="s">
        <v>2923</v>
      </c>
      <c r="JP109" s="1608" t="s">
        <v>270</v>
      </c>
      <c r="JQ109" s="1607">
        <v>202103</v>
      </c>
      <c r="JR109" s="1606">
        <v>946</v>
      </c>
      <c r="JS109" s="1606">
        <v>865</v>
      </c>
      <c r="JT109" s="1606">
        <v>865</v>
      </c>
    </row>
    <row r="110" spans="1:280" ht="15" customHeight="1" x14ac:dyDescent="0.2">
      <c r="A110" s="1626">
        <v>51300</v>
      </c>
      <c r="B110" s="1625">
        <v>513</v>
      </c>
      <c r="C110" s="1624">
        <v>0</v>
      </c>
      <c r="D110" s="1623" t="s">
        <v>3519</v>
      </c>
      <c r="E110" s="1622">
        <v>43367</v>
      </c>
      <c r="F110" s="1620">
        <v>1.1464473552216401</v>
      </c>
      <c r="G110" s="1620">
        <v>1.12869022334972</v>
      </c>
      <c r="H110" s="1621">
        <v>91.1</v>
      </c>
      <c r="I110" s="1621">
        <v>86.499996600000003</v>
      </c>
      <c r="J110" s="1621">
        <v>93</v>
      </c>
      <c r="K110" s="1620">
        <v>1</v>
      </c>
      <c r="L110" s="1620">
        <v>85</v>
      </c>
      <c r="M110" s="1620">
        <v>9.9999999999999591</v>
      </c>
      <c r="N110" s="1620">
        <v>2.1</v>
      </c>
      <c r="O110" s="1620">
        <v>1.5</v>
      </c>
      <c r="P110" s="1620">
        <v>2.7</v>
      </c>
      <c r="Q110" s="1603"/>
      <c r="R110" s="1620">
        <v>84.079675714285699</v>
      </c>
      <c r="S110" s="1620">
        <v>50</v>
      </c>
      <c r="T110" s="1620">
        <v>54.878048780487802</v>
      </c>
      <c r="U110" s="1620">
        <v>56.829268292682897</v>
      </c>
      <c r="V110" s="1620">
        <v>58.585365853658502</v>
      </c>
      <c r="W110" s="1620">
        <v>59.756097560975597</v>
      </c>
      <c r="X110" s="1620"/>
      <c r="Y110" s="1620">
        <v>0.45882352941176469</v>
      </c>
      <c r="Z110" s="1620">
        <v>3.0823529411764707</v>
      </c>
      <c r="AA110" s="1620">
        <v>0.1</v>
      </c>
      <c r="AB110" s="1620">
        <v>1.0823529411764705</v>
      </c>
      <c r="AC110" s="1620">
        <v>4.8235294117647056</v>
      </c>
      <c r="AD110" s="1620">
        <v>0.97647058823529409</v>
      </c>
      <c r="AE110" s="1620">
        <v>1.3</v>
      </c>
      <c r="AF110" s="1620">
        <v>34.117647058823529</v>
      </c>
      <c r="AG110" s="1620">
        <v>3.4117647058823528</v>
      </c>
      <c r="AH110" s="1620">
        <v>24.470588235294116</v>
      </c>
      <c r="AI110" s="1620">
        <v>23.529411764705884</v>
      </c>
      <c r="AJ110" s="1620">
        <v>0</v>
      </c>
      <c r="AK110" s="1620">
        <v>6.0000000000000123E-2</v>
      </c>
      <c r="AL110" s="1620"/>
      <c r="AM110" s="1620">
        <v>2.8851323529411799</v>
      </c>
      <c r="AN110" s="1620">
        <v>1.53354235294118</v>
      </c>
      <c r="AO110" s="1620">
        <v>2.30140647058824</v>
      </c>
      <c r="AP110" s="1620">
        <v>2.88282117647059</v>
      </c>
      <c r="AQ110" s="1620">
        <v>1.33683588235294</v>
      </c>
      <c r="AR110" s="1620">
        <v>3.34538823529412</v>
      </c>
      <c r="AS110" s="1620">
        <v>6.6528923529411799</v>
      </c>
      <c r="AT110" s="1620">
        <v>2.27235705882353</v>
      </c>
      <c r="AU110" s="1620">
        <v>4.4178829411764697</v>
      </c>
      <c r="AV110" s="1620">
        <v>2.75488</v>
      </c>
      <c r="AW110" s="1620">
        <v>4.2737764705882402</v>
      </c>
      <c r="AX110" s="1620"/>
      <c r="AY110" s="1620">
        <v>0.91984139059636005</v>
      </c>
      <c r="AZ110" s="1620">
        <v>0.99983194794455499</v>
      </c>
      <c r="BA110" s="1620">
        <v>0.979886924127779</v>
      </c>
      <c r="BB110" s="1620">
        <v>0.92986562968623399</v>
      </c>
      <c r="BC110" s="1620">
        <v>0.99002632466492502</v>
      </c>
      <c r="BD110" s="1620">
        <v>0.98995993262128801</v>
      </c>
      <c r="BE110" s="1620">
        <v>0.99999453250972503</v>
      </c>
      <c r="BF110" s="1620">
        <v>0.989953559452181</v>
      </c>
      <c r="BG110" s="1620">
        <v>1.0199454358815301</v>
      </c>
      <c r="BH110" s="1620">
        <v>0.99999479025510996</v>
      </c>
      <c r="BI110" s="1620">
        <v>0.95993645905861302</v>
      </c>
      <c r="BJ110" s="1603"/>
      <c r="BK110" s="1620">
        <v>11.764705882352892</v>
      </c>
      <c r="BL110" s="1620">
        <v>2.4705882352941178</v>
      </c>
      <c r="BM110" s="1620">
        <v>1.7647058823529411</v>
      </c>
      <c r="BN110" s="1620">
        <v>3.1764705882352939</v>
      </c>
      <c r="BO110" s="1620"/>
      <c r="BP110" s="1620">
        <v>105</v>
      </c>
      <c r="BQ110" s="1620">
        <v>25.941176470588353</v>
      </c>
      <c r="BR110" s="1620">
        <v>1.3487615943784002</v>
      </c>
      <c r="BS110" s="1620">
        <v>1.3278708509996706</v>
      </c>
      <c r="BT110" s="1603"/>
      <c r="BU110" s="1620">
        <v>982.35294117647061</v>
      </c>
      <c r="BV110" s="1620">
        <v>699.34533043697525</v>
      </c>
      <c r="BW110" s="1620">
        <v>64.554669563025058</v>
      </c>
      <c r="BX110" s="1620">
        <v>670</v>
      </c>
      <c r="BY110" s="1620">
        <v>18.999999999999996</v>
      </c>
      <c r="BZ110" s="1620">
        <v>25.000000000000117</v>
      </c>
      <c r="CA110" s="1620">
        <v>113</v>
      </c>
      <c r="CB110" s="1603"/>
      <c r="CC110" s="1603">
        <v>0.38999999999999996</v>
      </c>
      <c r="CD110" s="1603">
        <v>2.62</v>
      </c>
      <c r="CE110" s="1603">
        <v>8.5000000000000006E-2</v>
      </c>
      <c r="CF110" s="1603">
        <v>0.91999999999999993</v>
      </c>
      <c r="CG110" s="1603">
        <v>4.0999999999999996</v>
      </c>
      <c r="CH110" s="1603">
        <v>0.83</v>
      </c>
      <c r="CI110" s="1603">
        <v>1.105</v>
      </c>
      <c r="CJ110" s="1603"/>
      <c r="CK110" s="1603">
        <v>29</v>
      </c>
      <c r="CL110" s="1603">
        <v>2.9</v>
      </c>
      <c r="CM110" s="1603">
        <v>20.799999999999997</v>
      </c>
      <c r="CN110" s="1603">
        <v>20</v>
      </c>
      <c r="CO110" s="1603">
        <v>0</v>
      </c>
      <c r="CP110" s="1603">
        <v>5.1000000000000101E-2</v>
      </c>
      <c r="CQ110" s="1603">
        <v>84.079675714285699</v>
      </c>
      <c r="CR110" s="1603">
        <v>73.339325466044414</v>
      </c>
      <c r="CS110" s="1603">
        <v>1.9463260704904028</v>
      </c>
      <c r="CT110" s="1603">
        <v>1.1245006109812217</v>
      </c>
      <c r="CU110" s="1603">
        <v>1.6538884086002728</v>
      </c>
      <c r="CV110" s="1603">
        <v>2.7783890195815029</v>
      </c>
      <c r="CW110" s="1603">
        <v>1.9659606015428284</v>
      </c>
      <c r="CX110" s="1603">
        <v>0.97064796391559161</v>
      </c>
      <c r="CY110" s="1603">
        <v>2.4288520096059436</v>
      </c>
      <c r="CZ110" s="1603">
        <v>4.8791596987250347</v>
      </c>
      <c r="DA110" s="1603">
        <v>1.649788631101653</v>
      </c>
      <c r="DB110" s="1603">
        <v>3.3046696696878444</v>
      </c>
      <c r="DC110" s="1603">
        <v>2.020399883576153</v>
      </c>
      <c r="DD110" s="1603">
        <v>5.3250695532639973</v>
      </c>
      <c r="DE110" s="1603">
        <v>3.0087853219266334</v>
      </c>
      <c r="DF110" s="1603">
        <v>0</v>
      </c>
      <c r="DG110" s="1603">
        <v>0</v>
      </c>
      <c r="DH110" s="1603">
        <v>0</v>
      </c>
      <c r="DI110" s="1603">
        <v>0</v>
      </c>
      <c r="DJ110" s="1603">
        <v>0</v>
      </c>
      <c r="DK110" s="1603">
        <v>0</v>
      </c>
      <c r="DL110" s="1603">
        <v>0</v>
      </c>
      <c r="DM110" s="1603">
        <v>0</v>
      </c>
      <c r="DN110" s="1603">
        <v>0</v>
      </c>
      <c r="DO110" s="1603">
        <v>0</v>
      </c>
      <c r="DP110" s="1603">
        <v>0</v>
      </c>
      <c r="DQ110" s="1603">
        <v>0</v>
      </c>
      <c r="DR110" s="1603">
        <v>0</v>
      </c>
      <c r="DS110" s="1603">
        <v>0</v>
      </c>
      <c r="DT110" s="1603">
        <v>0</v>
      </c>
      <c r="DU110" s="1603">
        <v>0</v>
      </c>
      <c r="DV110" s="1603">
        <v>0</v>
      </c>
      <c r="DW110" s="1618" t="s">
        <v>986</v>
      </c>
      <c r="DX110" s="1605" t="s">
        <v>986</v>
      </c>
      <c r="DY110" s="1605" t="s">
        <v>986</v>
      </c>
      <c r="DZ110" s="1605" t="s">
        <v>986</v>
      </c>
      <c r="EA110" s="1605" t="s">
        <v>986</v>
      </c>
      <c r="EB110" s="1605" t="s">
        <v>986</v>
      </c>
      <c r="EC110" s="1605" t="s">
        <v>986</v>
      </c>
      <c r="ED110" s="1605" t="s">
        <v>986</v>
      </c>
      <c r="EE110" s="1605" t="s">
        <v>986</v>
      </c>
      <c r="EF110" s="1605" t="s">
        <v>986</v>
      </c>
      <c r="EG110" s="1605" t="s">
        <v>986</v>
      </c>
      <c r="EH110" s="1605" t="s">
        <v>986</v>
      </c>
      <c r="EI110" s="1605" t="s">
        <v>986</v>
      </c>
      <c r="EJ110" s="1605" t="s">
        <v>986</v>
      </c>
      <c r="EK110" s="1605" t="s">
        <v>986</v>
      </c>
      <c r="EL110" s="1605" t="s">
        <v>986</v>
      </c>
      <c r="EM110" s="1605" t="s">
        <v>986</v>
      </c>
      <c r="EN110" s="1605" t="s">
        <v>986</v>
      </c>
      <c r="EO110" s="1605" t="s">
        <v>986</v>
      </c>
      <c r="EP110" s="1605" t="s">
        <v>986</v>
      </c>
      <c r="EQ110" s="1605" t="s">
        <v>986</v>
      </c>
      <c r="ER110" s="1605" t="s">
        <v>986</v>
      </c>
      <c r="ES110" s="1605" t="s">
        <v>986</v>
      </c>
      <c r="ET110" s="1605" t="s">
        <v>986</v>
      </c>
      <c r="EU110" s="1605" t="s">
        <v>986</v>
      </c>
      <c r="EV110" s="1605" t="s">
        <v>986</v>
      </c>
      <c r="EW110" s="1605" t="s">
        <v>986</v>
      </c>
      <c r="EX110" s="1605" t="s">
        <v>986</v>
      </c>
      <c r="EY110" s="1605" t="s">
        <v>986</v>
      </c>
      <c r="EZ110" s="1605" t="s">
        <v>986</v>
      </c>
      <c r="FA110" s="1605" t="s">
        <v>986</v>
      </c>
      <c r="FB110" s="1605" t="s">
        <v>986</v>
      </c>
      <c r="FC110" s="1605" t="s">
        <v>986</v>
      </c>
      <c r="FD110" s="1605" t="s">
        <v>986</v>
      </c>
      <c r="FE110" s="1605" t="s">
        <v>986</v>
      </c>
      <c r="FF110" s="1605" t="s">
        <v>986</v>
      </c>
      <c r="FG110" s="1605" t="s">
        <v>986</v>
      </c>
      <c r="FH110" s="1605" t="s">
        <v>986</v>
      </c>
      <c r="FI110" s="1605" t="s">
        <v>986</v>
      </c>
      <c r="FJ110" s="1605" t="s">
        <v>986</v>
      </c>
      <c r="FK110" s="1605" t="s">
        <v>986</v>
      </c>
      <c r="FL110" s="1605" t="s">
        <v>986</v>
      </c>
      <c r="FM110" s="1605" t="s">
        <v>986</v>
      </c>
      <c r="FN110" s="1605" t="s">
        <v>986</v>
      </c>
      <c r="FO110" s="1605" t="s">
        <v>986</v>
      </c>
      <c r="FP110" s="1605" t="s">
        <v>986</v>
      </c>
      <c r="FQ110" s="1605" t="s">
        <v>986</v>
      </c>
      <c r="FR110" s="1605" t="s">
        <v>986</v>
      </c>
      <c r="FS110" s="1605" t="s">
        <v>986</v>
      </c>
      <c r="FT110" s="1605" t="s">
        <v>986</v>
      </c>
      <c r="FU110" s="1605" t="s">
        <v>986</v>
      </c>
      <c r="FV110" s="1605" t="s">
        <v>986</v>
      </c>
      <c r="FW110" s="1605" t="s">
        <v>986</v>
      </c>
      <c r="FX110" s="1605" t="s">
        <v>986</v>
      </c>
      <c r="FY110" s="1605" t="s">
        <v>986</v>
      </c>
      <c r="FZ110" s="1605" t="s">
        <v>986</v>
      </c>
      <c r="GA110" s="1605" t="s">
        <v>986</v>
      </c>
      <c r="GB110" s="1605" t="s">
        <v>986</v>
      </c>
      <c r="GC110" s="1605" t="s">
        <v>986</v>
      </c>
      <c r="GD110" s="1605" t="s">
        <v>986</v>
      </c>
      <c r="GE110" s="1605" t="s">
        <v>986</v>
      </c>
      <c r="GF110" s="1605" t="s">
        <v>986</v>
      </c>
      <c r="GG110" s="1605" t="s">
        <v>986</v>
      </c>
      <c r="GH110" s="1605" t="s">
        <v>986</v>
      </c>
      <c r="GI110" s="1605" t="s">
        <v>986</v>
      </c>
      <c r="GJ110" s="1605" t="s">
        <v>986</v>
      </c>
      <c r="GK110" s="1605" t="s">
        <v>986</v>
      </c>
      <c r="GL110" s="1605" t="s">
        <v>986</v>
      </c>
      <c r="GM110" s="1605" t="s">
        <v>986</v>
      </c>
      <c r="GN110" s="1605" t="s">
        <v>986</v>
      </c>
      <c r="GO110" s="1605" t="s">
        <v>986</v>
      </c>
      <c r="GP110" s="1605" t="s">
        <v>986</v>
      </c>
      <c r="GQ110" s="1605" t="s">
        <v>986</v>
      </c>
      <c r="GR110" s="1605" t="s">
        <v>986</v>
      </c>
      <c r="GS110" s="1605" t="s">
        <v>986</v>
      </c>
      <c r="GT110" s="1605" t="s">
        <v>986</v>
      </c>
      <c r="GU110" s="1605" t="s">
        <v>986</v>
      </c>
      <c r="GV110" s="1605" t="s">
        <v>986</v>
      </c>
      <c r="GW110" s="1605" t="s">
        <v>986</v>
      </c>
      <c r="GX110" s="1605" t="s">
        <v>986</v>
      </c>
      <c r="GY110" s="1605" t="s">
        <v>986</v>
      </c>
      <c r="GZ110" s="1605" t="s">
        <v>986</v>
      </c>
      <c r="HA110" s="1605" t="s">
        <v>986</v>
      </c>
      <c r="HB110" s="1605" t="s">
        <v>986</v>
      </c>
      <c r="HC110" s="1605" t="s">
        <v>986</v>
      </c>
      <c r="HD110" s="1605" t="s">
        <v>986</v>
      </c>
      <c r="HE110" s="1605" t="s">
        <v>986</v>
      </c>
      <c r="HF110" s="1605" t="s">
        <v>986</v>
      </c>
      <c r="HG110" s="1605" t="s">
        <v>986</v>
      </c>
      <c r="HH110" s="1605" t="s">
        <v>986</v>
      </c>
      <c r="HI110" s="1605" t="s">
        <v>986</v>
      </c>
      <c r="HJ110" s="1605" t="s">
        <v>986</v>
      </c>
      <c r="HK110" s="1605" t="s">
        <v>986</v>
      </c>
      <c r="HL110" s="1605" t="s">
        <v>986</v>
      </c>
      <c r="HM110" s="1605" t="s">
        <v>986</v>
      </c>
      <c r="HN110" s="1605" t="s">
        <v>986</v>
      </c>
      <c r="HO110" s="1605" t="s">
        <v>986</v>
      </c>
      <c r="HP110" s="1605" t="s">
        <v>986</v>
      </c>
      <c r="HQ110" s="1605" t="s">
        <v>986</v>
      </c>
      <c r="HR110" s="1605" t="s">
        <v>986</v>
      </c>
      <c r="HS110" s="1605" t="s">
        <v>986</v>
      </c>
      <c r="HT110" s="1605" t="s">
        <v>986</v>
      </c>
      <c r="HU110" s="1605" t="s">
        <v>986</v>
      </c>
      <c r="HV110" s="1617"/>
      <c r="HW110" s="1617" t="s">
        <v>986</v>
      </c>
      <c r="HX110" s="1617" t="s">
        <v>986</v>
      </c>
      <c r="HY110" s="1617" t="s">
        <v>986</v>
      </c>
      <c r="HZ110" s="1603"/>
      <c r="IA110" s="1603"/>
      <c r="IB110" s="1603"/>
      <c r="IC110" s="1603">
        <v>60.634146341463399</v>
      </c>
      <c r="ID110" s="1603">
        <v>61.219512195121901</v>
      </c>
      <c r="IE110" s="1603">
        <v>61.707317073170699</v>
      </c>
      <c r="IF110" s="1603">
        <v>62</v>
      </c>
      <c r="IG110" s="1611" t="s">
        <v>3463</v>
      </c>
      <c r="IH110" s="1616" t="s">
        <v>3510</v>
      </c>
      <c r="II110" s="1615" t="s">
        <v>3509</v>
      </c>
      <c r="IJ110" s="1613">
        <v>0.44950000000000001</v>
      </c>
      <c r="IK110" s="1613">
        <v>0.44756818181818181</v>
      </c>
      <c r="IL110" s="1614">
        <v>0.44950000000000001</v>
      </c>
      <c r="IM110" s="1614">
        <v>0.44756818181818181</v>
      </c>
      <c r="IN110" s="1612">
        <v>0.48</v>
      </c>
      <c r="IO110" s="1613">
        <v>3.0499999999999972E-2</v>
      </c>
      <c r="IP110" s="1607" t="s">
        <v>270</v>
      </c>
      <c r="IQ110" s="1612">
        <v>1.57</v>
      </c>
      <c r="IR110" s="1612">
        <v>-1E-3</v>
      </c>
      <c r="IS110" s="1607">
        <v>0.44550000000000001</v>
      </c>
      <c r="IT110" s="1607">
        <v>0.44356818181818181</v>
      </c>
      <c r="IU110" s="1611">
        <v>1.1363636363636365E-5</v>
      </c>
      <c r="IV110" s="1611">
        <v>2.4318181818181817E-3</v>
      </c>
      <c r="IW110" s="1611">
        <v>6.3636363636363641E-4</v>
      </c>
      <c r="IX110" s="1611">
        <v>1.1022727272727271E-3</v>
      </c>
      <c r="IY110" s="1611">
        <v>6.4772727272727269E-4</v>
      </c>
      <c r="IZ110" s="1611">
        <v>8.1363636363636378E-3</v>
      </c>
      <c r="JA110" s="1611">
        <v>1.4772727272727274E-4</v>
      </c>
      <c r="JB110" s="1611" t="s">
        <v>270</v>
      </c>
      <c r="JC110" s="1611">
        <v>0.10805681818181818</v>
      </c>
      <c r="JD110" s="1611">
        <v>2.7499999999999998E-3</v>
      </c>
      <c r="JE110" s="1611" t="s">
        <v>270</v>
      </c>
      <c r="JF110" s="1611">
        <v>5.113636363636363E-4</v>
      </c>
      <c r="JG110" s="1611">
        <v>3.3054204545454549</v>
      </c>
      <c r="JH110" s="1611">
        <v>2.0454545454545454E-4</v>
      </c>
      <c r="JI110" s="1611">
        <v>4.9477272727272731E-2</v>
      </c>
      <c r="JJ110" s="1611" t="s">
        <v>270</v>
      </c>
      <c r="JK110" s="1607">
        <f t="shared" si="10"/>
        <v>4.0000000000000036E-3</v>
      </c>
      <c r="JL110" s="1608" t="s">
        <v>270</v>
      </c>
      <c r="JM110" s="1610" t="s">
        <v>2924</v>
      </c>
      <c r="JN110" s="1608">
        <v>1.9318181818182012E-3</v>
      </c>
      <c r="JO110" s="1609" t="s">
        <v>2923</v>
      </c>
      <c r="JP110" s="1608" t="s">
        <v>270</v>
      </c>
      <c r="JQ110" s="1607">
        <v>202103</v>
      </c>
      <c r="JR110" s="1606">
        <v>946</v>
      </c>
      <c r="JS110" s="1606">
        <v>865</v>
      </c>
      <c r="JT110" s="1606">
        <v>865</v>
      </c>
    </row>
    <row r="111" spans="1:280" ht="15" customHeight="1" x14ac:dyDescent="0.2">
      <c r="A111" s="1626">
        <v>51311</v>
      </c>
      <c r="B111" s="1625">
        <v>513</v>
      </c>
      <c r="C111" s="1624">
        <v>11</v>
      </c>
      <c r="D111" s="1623" t="s">
        <v>3518</v>
      </c>
      <c r="E111" s="1622">
        <v>43367</v>
      </c>
      <c r="F111" s="1620">
        <v>1.1561454219899301</v>
      </c>
      <c r="G111" s="1620">
        <v>1.1355065788497201</v>
      </c>
      <c r="H111" s="1621">
        <v>91.1</v>
      </c>
      <c r="I111" s="1621">
        <v>87.3</v>
      </c>
      <c r="J111" s="1621">
        <v>93</v>
      </c>
      <c r="K111" s="1620">
        <v>1</v>
      </c>
      <c r="L111" s="1620">
        <v>85</v>
      </c>
      <c r="M111" s="1620">
        <v>9.9999999999999591</v>
      </c>
      <c r="N111" s="1620">
        <v>2.1</v>
      </c>
      <c r="O111" s="1620">
        <v>1.5</v>
      </c>
      <c r="P111" s="1620">
        <v>2.7</v>
      </c>
      <c r="Q111" s="1603"/>
      <c r="R111" s="1620">
        <v>84.709504285714303</v>
      </c>
      <c r="S111" s="1620">
        <v>28</v>
      </c>
      <c r="T111" s="1620">
        <v>41.821138211382099</v>
      </c>
      <c r="U111" s="1620">
        <v>47.349593495934997</v>
      </c>
      <c r="V111" s="1620">
        <v>52.325203252032502</v>
      </c>
      <c r="W111" s="1620">
        <v>55.642276422764198</v>
      </c>
      <c r="X111" s="1620"/>
      <c r="Y111" s="1620">
        <v>0.45882352941176469</v>
      </c>
      <c r="Z111" s="1620">
        <v>3.0823529411764707</v>
      </c>
      <c r="AA111" s="1620">
        <v>0.1</v>
      </c>
      <c r="AB111" s="1620">
        <v>1.0823529411764705</v>
      </c>
      <c r="AC111" s="1620">
        <v>4.8235294117647056</v>
      </c>
      <c r="AD111" s="1620">
        <v>0.97647058823529409</v>
      </c>
      <c r="AE111" s="1620">
        <v>1.3</v>
      </c>
      <c r="AF111" s="1620">
        <v>34.117647058823529</v>
      </c>
      <c r="AG111" s="1620">
        <v>3.4117647058823528</v>
      </c>
      <c r="AH111" s="1620">
        <v>24.470588235294116</v>
      </c>
      <c r="AI111" s="1620">
        <v>23.529411764705884</v>
      </c>
      <c r="AJ111" s="1620">
        <v>0</v>
      </c>
      <c r="AK111" s="1620">
        <v>6.0000000000000123E-2</v>
      </c>
      <c r="AL111" s="1620"/>
      <c r="AM111" s="1620">
        <v>2.8851323529411799</v>
      </c>
      <c r="AN111" s="1620">
        <v>1.53354235294118</v>
      </c>
      <c r="AO111" s="1620">
        <v>2.30140647058824</v>
      </c>
      <c r="AP111" s="1620">
        <v>2.88282117647059</v>
      </c>
      <c r="AQ111" s="1620">
        <v>1.33683588235294</v>
      </c>
      <c r="AR111" s="1620">
        <v>3.34538823529412</v>
      </c>
      <c r="AS111" s="1620">
        <v>6.6528923529411799</v>
      </c>
      <c r="AT111" s="1620">
        <v>2.27235705882353</v>
      </c>
      <c r="AU111" s="1620">
        <v>4.4178829411764697</v>
      </c>
      <c r="AV111" s="1620">
        <v>2.75488</v>
      </c>
      <c r="AW111" s="1620">
        <v>4.2737764705882402</v>
      </c>
      <c r="AX111" s="1620"/>
      <c r="AY111" s="1620">
        <v>0.91984139059636005</v>
      </c>
      <c r="AZ111" s="1620">
        <v>0.99983194794455499</v>
      </c>
      <c r="BA111" s="1620">
        <v>0.979886924127779</v>
      </c>
      <c r="BB111" s="1620">
        <v>0.92986562968623399</v>
      </c>
      <c r="BC111" s="1620">
        <v>0.99002632466492502</v>
      </c>
      <c r="BD111" s="1620">
        <v>0.98995993262128801</v>
      </c>
      <c r="BE111" s="1620">
        <v>0.99999453250972503</v>
      </c>
      <c r="BF111" s="1620">
        <v>0.989953559452181</v>
      </c>
      <c r="BG111" s="1620">
        <v>1.0199454358815301</v>
      </c>
      <c r="BH111" s="1620">
        <v>0.99999479025510996</v>
      </c>
      <c r="BI111" s="1620">
        <v>0.95993645905861302</v>
      </c>
      <c r="BJ111" s="1603"/>
      <c r="BK111" s="1620">
        <v>11.764705882352892</v>
      </c>
      <c r="BL111" s="1620">
        <v>2.4705882352941178</v>
      </c>
      <c r="BM111" s="1620">
        <v>1.7647058823529411</v>
      </c>
      <c r="BN111" s="1620">
        <v>3.1764705882352939</v>
      </c>
      <c r="BO111" s="1620"/>
      <c r="BP111" s="1620">
        <v>105</v>
      </c>
      <c r="BQ111" s="1620">
        <v>25.941176470588353</v>
      </c>
      <c r="BR111" s="1620">
        <v>1.3601710846940354</v>
      </c>
      <c r="BS111" s="1620">
        <v>1.3358900927643766</v>
      </c>
      <c r="BT111" s="1603"/>
      <c r="BU111" s="1620">
        <v>982.35294117647061</v>
      </c>
      <c r="BV111" s="1620">
        <v>710.57226890756351</v>
      </c>
      <c r="BW111" s="1620">
        <v>53.327731092436949</v>
      </c>
      <c r="BX111" s="1620">
        <v>670</v>
      </c>
      <c r="BY111" s="1620">
        <v>18.999999999999996</v>
      </c>
      <c r="BZ111" s="1620">
        <v>25.000000000000117</v>
      </c>
      <c r="CA111" s="1620">
        <v>113</v>
      </c>
      <c r="CB111" s="1603"/>
      <c r="CC111" s="1603">
        <v>0.38999999999999996</v>
      </c>
      <c r="CD111" s="1603">
        <v>2.62</v>
      </c>
      <c r="CE111" s="1603">
        <v>8.5000000000000006E-2</v>
      </c>
      <c r="CF111" s="1603">
        <v>0.91999999999999993</v>
      </c>
      <c r="CG111" s="1603">
        <v>4.0999999999999996</v>
      </c>
      <c r="CH111" s="1603">
        <v>0.83</v>
      </c>
      <c r="CI111" s="1603">
        <v>1.105</v>
      </c>
      <c r="CJ111" s="1603"/>
      <c r="CK111" s="1603">
        <v>29</v>
      </c>
      <c r="CL111" s="1603">
        <v>2.9</v>
      </c>
      <c r="CM111" s="1603">
        <v>20.799999999999997</v>
      </c>
      <c r="CN111" s="1603">
        <v>20</v>
      </c>
      <c r="CO111" s="1603">
        <v>0</v>
      </c>
      <c r="CP111" s="1603">
        <v>5.1000000000000101E-2</v>
      </c>
      <c r="CQ111" s="1603">
        <v>84.709504285714203</v>
      </c>
      <c r="CR111" s="1603">
        <v>73.268900844596359</v>
      </c>
      <c r="CS111" s="1603">
        <v>1.9444570967050896</v>
      </c>
      <c r="CT111" s="1603">
        <v>1.123420801079194</v>
      </c>
      <c r="CU111" s="1603">
        <v>1.6523002502097686</v>
      </c>
      <c r="CV111" s="1603">
        <v>2.7757210512889623</v>
      </c>
      <c r="CW111" s="1603">
        <v>1.9640727735560657</v>
      </c>
      <c r="CX111" s="1603">
        <v>0.96971589213849341</v>
      </c>
      <c r="CY111" s="1603">
        <v>2.4265196867731009</v>
      </c>
      <c r="CZ111" s="1603">
        <v>4.8744744500868205</v>
      </c>
      <c r="DA111" s="1603">
        <v>1.6482044095523543</v>
      </c>
      <c r="DB111" s="1603">
        <v>3.3014963365678631</v>
      </c>
      <c r="DC111" s="1603">
        <v>2.0184597798722983</v>
      </c>
      <c r="DD111" s="1603">
        <v>5.319956116440161</v>
      </c>
      <c r="DE111" s="1603">
        <v>3.0058961139066804</v>
      </c>
      <c r="DF111" s="1603">
        <v>0</v>
      </c>
      <c r="DG111" s="1603">
        <v>0</v>
      </c>
      <c r="DH111" s="1603">
        <v>0</v>
      </c>
      <c r="DI111" s="1603">
        <v>0</v>
      </c>
      <c r="DJ111" s="1603">
        <v>0</v>
      </c>
      <c r="DK111" s="1603">
        <v>0</v>
      </c>
      <c r="DL111" s="1603">
        <v>0</v>
      </c>
      <c r="DM111" s="1603">
        <v>0</v>
      </c>
      <c r="DN111" s="1603">
        <v>0</v>
      </c>
      <c r="DO111" s="1603">
        <v>0</v>
      </c>
      <c r="DP111" s="1603">
        <v>0</v>
      </c>
      <c r="DQ111" s="1603">
        <v>0</v>
      </c>
      <c r="DR111" s="1603">
        <v>0</v>
      </c>
      <c r="DS111" s="1603">
        <v>0</v>
      </c>
      <c r="DT111" s="1603">
        <v>0</v>
      </c>
      <c r="DU111" s="1603">
        <v>0</v>
      </c>
      <c r="DV111" s="1603">
        <v>0</v>
      </c>
      <c r="DW111" s="1618" t="s">
        <v>3506</v>
      </c>
      <c r="DX111" s="1605" t="s">
        <v>986</v>
      </c>
      <c r="DY111" s="1605" t="s">
        <v>986</v>
      </c>
      <c r="DZ111" s="1605" t="s">
        <v>986</v>
      </c>
      <c r="EA111" s="1605" t="s">
        <v>986</v>
      </c>
      <c r="EB111" s="1605" t="s">
        <v>986</v>
      </c>
      <c r="EC111" s="1605" t="s">
        <v>986</v>
      </c>
      <c r="ED111" s="1605" t="s">
        <v>986</v>
      </c>
      <c r="EE111" s="1605" t="s">
        <v>986</v>
      </c>
      <c r="EF111" s="1605" t="s">
        <v>986</v>
      </c>
      <c r="EG111" s="1605" t="s">
        <v>986</v>
      </c>
      <c r="EH111" s="1605" t="s">
        <v>986</v>
      </c>
      <c r="EI111" s="1605" t="s">
        <v>986</v>
      </c>
      <c r="EJ111" s="1605" t="s">
        <v>986</v>
      </c>
      <c r="EK111" s="1605" t="s">
        <v>986</v>
      </c>
      <c r="EL111" s="1605" t="s">
        <v>986</v>
      </c>
      <c r="EM111" s="1605" t="s">
        <v>986</v>
      </c>
      <c r="EN111" s="1605" t="s">
        <v>986</v>
      </c>
      <c r="EO111" s="1605" t="s">
        <v>986</v>
      </c>
      <c r="EP111" s="1605" t="s">
        <v>986</v>
      </c>
      <c r="EQ111" s="1605" t="s">
        <v>986</v>
      </c>
      <c r="ER111" s="1605" t="s">
        <v>986</v>
      </c>
      <c r="ES111" s="1605" t="s">
        <v>986</v>
      </c>
      <c r="ET111" s="1605" t="s">
        <v>986</v>
      </c>
      <c r="EU111" s="1605" t="s">
        <v>986</v>
      </c>
      <c r="EV111" s="1605" t="s">
        <v>986</v>
      </c>
      <c r="EW111" s="1605" t="s">
        <v>986</v>
      </c>
      <c r="EX111" s="1605" t="s">
        <v>986</v>
      </c>
      <c r="EY111" s="1605" t="s">
        <v>986</v>
      </c>
      <c r="EZ111" s="1605" t="s">
        <v>986</v>
      </c>
      <c r="FA111" s="1605" t="s">
        <v>986</v>
      </c>
      <c r="FB111" s="1605" t="s">
        <v>986</v>
      </c>
      <c r="FC111" s="1605" t="s">
        <v>986</v>
      </c>
      <c r="FD111" s="1605" t="s">
        <v>986</v>
      </c>
      <c r="FE111" s="1605" t="s">
        <v>986</v>
      </c>
      <c r="FF111" s="1605" t="s">
        <v>986</v>
      </c>
      <c r="FG111" s="1605" t="s">
        <v>986</v>
      </c>
      <c r="FH111" s="1605" t="s">
        <v>986</v>
      </c>
      <c r="FI111" s="1605" t="s">
        <v>986</v>
      </c>
      <c r="FJ111" s="1605" t="s">
        <v>986</v>
      </c>
      <c r="FK111" s="1605" t="s">
        <v>986</v>
      </c>
      <c r="FL111" s="1605" t="s">
        <v>986</v>
      </c>
      <c r="FM111" s="1605" t="s">
        <v>986</v>
      </c>
      <c r="FN111" s="1605" t="s">
        <v>986</v>
      </c>
      <c r="FO111" s="1605" t="s">
        <v>986</v>
      </c>
      <c r="FP111" s="1605" t="s">
        <v>986</v>
      </c>
      <c r="FQ111" s="1605" t="s">
        <v>986</v>
      </c>
      <c r="FR111" s="1605" t="s">
        <v>986</v>
      </c>
      <c r="FS111" s="1605" t="s">
        <v>986</v>
      </c>
      <c r="FT111" s="1605" t="s">
        <v>986</v>
      </c>
      <c r="FU111" s="1605" t="s">
        <v>986</v>
      </c>
      <c r="FV111" s="1605" t="s">
        <v>986</v>
      </c>
      <c r="FW111" s="1605" t="s">
        <v>986</v>
      </c>
      <c r="FX111" s="1605" t="s">
        <v>986</v>
      </c>
      <c r="FY111" s="1605" t="s">
        <v>986</v>
      </c>
      <c r="FZ111" s="1605" t="s">
        <v>986</v>
      </c>
      <c r="GA111" s="1605" t="s">
        <v>986</v>
      </c>
      <c r="GB111" s="1605" t="s">
        <v>986</v>
      </c>
      <c r="GC111" s="1605" t="s">
        <v>986</v>
      </c>
      <c r="GD111" s="1605" t="s">
        <v>986</v>
      </c>
      <c r="GE111" s="1605" t="s">
        <v>986</v>
      </c>
      <c r="GF111" s="1605" t="s">
        <v>986</v>
      </c>
      <c r="GG111" s="1605" t="s">
        <v>986</v>
      </c>
      <c r="GH111" s="1605" t="s">
        <v>986</v>
      </c>
      <c r="GI111" s="1605" t="s">
        <v>986</v>
      </c>
      <c r="GJ111" s="1605" t="s">
        <v>986</v>
      </c>
      <c r="GK111" s="1605" t="s">
        <v>986</v>
      </c>
      <c r="GL111" s="1605" t="s">
        <v>986</v>
      </c>
      <c r="GM111" s="1605" t="s">
        <v>986</v>
      </c>
      <c r="GN111" s="1605" t="s">
        <v>986</v>
      </c>
      <c r="GO111" s="1605" t="s">
        <v>986</v>
      </c>
      <c r="GP111" s="1605" t="s">
        <v>986</v>
      </c>
      <c r="GQ111" s="1605" t="s">
        <v>986</v>
      </c>
      <c r="GR111" s="1605" t="s">
        <v>986</v>
      </c>
      <c r="GS111" s="1605" t="s">
        <v>986</v>
      </c>
      <c r="GT111" s="1605" t="s">
        <v>986</v>
      </c>
      <c r="GU111" s="1605" t="s">
        <v>986</v>
      </c>
      <c r="GV111" s="1605" t="s">
        <v>986</v>
      </c>
      <c r="GW111" s="1605" t="s">
        <v>986</v>
      </c>
      <c r="GX111" s="1605" t="s">
        <v>986</v>
      </c>
      <c r="GY111" s="1605" t="s">
        <v>986</v>
      </c>
      <c r="GZ111" s="1605" t="s">
        <v>986</v>
      </c>
      <c r="HA111" s="1605" t="s">
        <v>986</v>
      </c>
      <c r="HB111" s="1605" t="s">
        <v>986</v>
      </c>
      <c r="HC111" s="1605" t="s">
        <v>986</v>
      </c>
      <c r="HD111" s="1605" t="s">
        <v>986</v>
      </c>
      <c r="HE111" s="1605" t="s">
        <v>986</v>
      </c>
      <c r="HF111" s="1605" t="s">
        <v>986</v>
      </c>
      <c r="HG111" s="1605" t="s">
        <v>986</v>
      </c>
      <c r="HH111" s="1605" t="s">
        <v>986</v>
      </c>
      <c r="HI111" s="1605" t="s">
        <v>986</v>
      </c>
      <c r="HJ111" s="1605" t="s">
        <v>986</v>
      </c>
      <c r="HK111" s="1605" t="s">
        <v>986</v>
      </c>
      <c r="HL111" s="1605" t="s">
        <v>986</v>
      </c>
      <c r="HM111" s="1605" t="s">
        <v>986</v>
      </c>
      <c r="HN111" s="1605" t="s">
        <v>986</v>
      </c>
      <c r="HO111" s="1605" t="s">
        <v>986</v>
      </c>
      <c r="HP111" s="1605" t="s">
        <v>986</v>
      </c>
      <c r="HQ111" s="1605" t="s">
        <v>986</v>
      </c>
      <c r="HR111" s="1605" t="s">
        <v>986</v>
      </c>
      <c r="HS111" s="1605" t="s">
        <v>986</v>
      </c>
      <c r="HT111" s="1605" t="s">
        <v>986</v>
      </c>
      <c r="HU111" s="1605" t="s">
        <v>986</v>
      </c>
      <c r="HV111" s="1617"/>
      <c r="HW111" s="1617" t="s">
        <v>3516</v>
      </c>
      <c r="HX111" s="1617" t="s">
        <v>3504</v>
      </c>
      <c r="HY111" s="1617" t="s">
        <v>3503</v>
      </c>
      <c r="HZ111" s="1603"/>
      <c r="IA111" s="1603"/>
      <c r="IB111" s="1603"/>
      <c r="IC111" s="1603">
        <v>58.130081300813004</v>
      </c>
      <c r="ID111" s="1603">
        <v>59.788617886178898</v>
      </c>
      <c r="IE111" s="1603">
        <v>61.170731707317103</v>
      </c>
      <c r="IF111" s="1603">
        <v>62</v>
      </c>
      <c r="IG111" s="1611" t="s">
        <v>3463</v>
      </c>
      <c r="IH111" s="1616" t="s">
        <v>3510</v>
      </c>
      <c r="II111" s="1615" t="s">
        <v>3509</v>
      </c>
      <c r="IJ111" s="1613">
        <v>0.44950000000000001</v>
      </c>
      <c r="IK111" s="1613">
        <v>0.44756818181818181</v>
      </c>
      <c r="IL111" s="1614">
        <v>0.44950000000000001</v>
      </c>
      <c r="IM111" s="1614">
        <v>0.44756818181818181</v>
      </c>
      <c r="IN111" s="1612">
        <v>0.48</v>
      </c>
      <c r="IO111" s="1613">
        <v>3.0499999999999972E-2</v>
      </c>
      <c r="IP111" s="1607" t="s">
        <v>270</v>
      </c>
      <c r="IQ111" s="1612">
        <v>1.57</v>
      </c>
      <c r="IR111" s="1612">
        <v>-1E-3</v>
      </c>
      <c r="IS111" s="1607">
        <v>0.44550000000000001</v>
      </c>
      <c r="IT111" s="1607">
        <v>0.44356818181818181</v>
      </c>
      <c r="IU111" s="1611">
        <v>1.1363636363636365E-5</v>
      </c>
      <c r="IV111" s="1611">
        <v>2.4318181818181817E-3</v>
      </c>
      <c r="IW111" s="1611">
        <v>6.3636363636363641E-4</v>
      </c>
      <c r="IX111" s="1611">
        <v>1.1022727272727271E-3</v>
      </c>
      <c r="IY111" s="1611">
        <v>6.4772727272727269E-4</v>
      </c>
      <c r="IZ111" s="1611">
        <v>8.1363636363636378E-3</v>
      </c>
      <c r="JA111" s="1611">
        <v>1.4772727272727274E-4</v>
      </c>
      <c r="JB111" s="1611" t="s">
        <v>270</v>
      </c>
      <c r="JC111" s="1611">
        <v>0.10805681818181818</v>
      </c>
      <c r="JD111" s="1611">
        <v>2.7499999999999998E-3</v>
      </c>
      <c r="JE111" s="1611" t="s">
        <v>270</v>
      </c>
      <c r="JF111" s="1611">
        <v>5.113636363636363E-4</v>
      </c>
      <c r="JG111" s="1611">
        <v>3.3054204545454549</v>
      </c>
      <c r="JH111" s="1611">
        <v>2.0454545454545454E-4</v>
      </c>
      <c r="JI111" s="1611">
        <v>4.9477272727272731E-2</v>
      </c>
      <c r="JJ111" s="1611" t="s">
        <v>270</v>
      </c>
      <c r="JK111" s="1607">
        <f t="shared" si="10"/>
        <v>4.0000000000000036E-3</v>
      </c>
      <c r="JL111" s="1608" t="s">
        <v>270</v>
      </c>
      <c r="JM111" s="1610" t="s">
        <v>2924</v>
      </c>
      <c r="JN111" s="1608">
        <v>1.9318181818182012E-3</v>
      </c>
      <c r="JO111" s="1609" t="s">
        <v>2923</v>
      </c>
      <c r="JP111" s="1608" t="s">
        <v>270</v>
      </c>
      <c r="JQ111" s="1607">
        <v>202103</v>
      </c>
      <c r="JR111" s="1606">
        <v>946</v>
      </c>
      <c r="JS111" s="1606">
        <v>865</v>
      </c>
      <c r="JT111" s="1606">
        <v>865</v>
      </c>
    </row>
    <row r="112" spans="1:280" ht="15" customHeight="1" x14ac:dyDescent="0.2">
      <c r="A112" s="1626">
        <v>51361</v>
      </c>
      <c r="B112" s="1625">
        <v>513</v>
      </c>
      <c r="C112" s="1624">
        <v>61</v>
      </c>
      <c r="D112" s="1623" t="s">
        <v>3517</v>
      </c>
      <c r="E112" s="1622">
        <v>43367</v>
      </c>
      <c r="F112" s="1620">
        <v>1.1528181862175799</v>
      </c>
      <c r="G112" s="1620">
        <v>1.1323176178107599</v>
      </c>
      <c r="H112" s="1621">
        <v>91.1</v>
      </c>
      <c r="I112" s="1621">
        <v>87.3</v>
      </c>
      <c r="J112" s="1621">
        <v>93</v>
      </c>
      <c r="K112" s="1620">
        <v>1</v>
      </c>
      <c r="L112" s="1620">
        <v>85</v>
      </c>
      <c r="M112" s="1620">
        <v>11.5</v>
      </c>
      <c r="N112" s="1620">
        <v>2.1</v>
      </c>
      <c r="O112" s="1620">
        <v>1.5</v>
      </c>
      <c r="P112" s="1620">
        <v>2.7</v>
      </c>
      <c r="Q112" s="1603"/>
      <c r="R112" s="1620">
        <v>85.790873291925394</v>
      </c>
      <c r="S112" s="1620">
        <v>28</v>
      </c>
      <c r="T112" s="1620">
        <v>41.821138211382099</v>
      </c>
      <c r="U112" s="1620">
        <v>47.349593495934997</v>
      </c>
      <c r="V112" s="1620">
        <v>52.325203252032502</v>
      </c>
      <c r="W112" s="1620">
        <v>55.642276422764198</v>
      </c>
      <c r="X112" s="1620"/>
      <c r="Y112" s="1620">
        <v>0.45882352941176469</v>
      </c>
      <c r="Z112" s="1620">
        <v>3.0823529411764707</v>
      </c>
      <c r="AA112" s="1620">
        <v>0.1</v>
      </c>
      <c r="AB112" s="1620">
        <v>1.0823529411764705</v>
      </c>
      <c r="AC112" s="1620">
        <v>4.8235294117647056</v>
      </c>
      <c r="AD112" s="1620">
        <v>0.97647058823529409</v>
      </c>
      <c r="AE112" s="1620">
        <v>1.3</v>
      </c>
      <c r="AF112" s="1620">
        <v>34.117647058823529</v>
      </c>
      <c r="AG112" s="1620">
        <v>3.4117647058823528</v>
      </c>
      <c r="AH112" s="1620">
        <v>24.470588235294116</v>
      </c>
      <c r="AI112" s="1620">
        <v>23.529411764705884</v>
      </c>
      <c r="AJ112" s="1620">
        <v>0</v>
      </c>
      <c r="AK112" s="1620">
        <v>6.0000000000000123E-2</v>
      </c>
      <c r="AL112" s="1620"/>
      <c r="AM112" s="1620">
        <v>2.61571470588235</v>
      </c>
      <c r="AN112" s="1620">
        <v>1.4741247058823499</v>
      </c>
      <c r="AO112" s="1620">
        <v>2.2034829411764698</v>
      </c>
      <c r="AP112" s="1620">
        <v>2.7503623529411798</v>
      </c>
      <c r="AQ112" s="1620">
        <v>1.26704176470588</v>
      </c>
      <c r="AR112" s="1620">
        <v>3.3481764705882302</v>
      </c>
      <c r="AS112" s="1620">
        <v>6.5598747058823497</v>
      </c>
      <c r="AT112" s="1620">
        <v>2.2369041176470601</v>
      </c>
      <c r="AU112" s="1620">
        <v>4.4998358823529401</v>
      </c>
      <c r="AV112" s="1620">
        <v>2.7665799999999998</v>
      </c>
      <c r="AW112" s="1620">
        <v>4.1986529411764701</v>
      </c>
      <c r="AX112" s="1620"/>
      <c r="AY112" s="1620">
        <v>0.91984139059636005</v>
      </c>
      <c r="AZ112" s="1620">
        <v>0.99983194794455499</v>
      </c>
      <c r="BA112" s="1620">
        <v>0.979886924127779</v>
      </c>
      <c r="BB112" s="1620">
        <v>0.92986562968623399</v>
      </c>
      <c r="BC112" s="1620">
        <v>0.99002632466492502</v>
      </c>
      <c r="BD112" s="1620">
        <v>0.98995993262128801</v>
      </c>
      <c r="BE112" s="1620">
        <v>0.99999453250972503</v>
      </c>
      <c r="BF112" s="1620">
        <v>0.989953559452181</v>
      </c>
      <c r="BG112" s="1620">
        <v>1.0199454358815301</v>
      </c>
      <c r="BH112" s="1620">
        <v>0.99999479025510996</v>
      </c>
      <c r="BI112" s="1620">
        <v>0.95993645905861302</v>
      </c>
      <c r="BJ112" s="1603"/>
      <c r="BK112" s="1620">
        <v>13.529411764705882</v>
      </c>
      <c r="BL112" s="1620">
        <v>2.4705882352941178</v>
      </c>
      <c r="BM112" s="1620">
        <v>1.7647058823529411</v>
      </c>
      <c r="BN112" s="1620">
        <v>3.1764705882352939</v>
      </c>
      <c r="BO112" s="1620"/>
      <c r="BP112" s="1620">
        <v>105</v>
      </c>
      <c r="BQ112" s="1620">
        <v>25.941176470588353</v>
      </c>
      <c r="BR112" s="1620">
        <v>1.356256689667741</v>
      </c>
      <c r="BS112" s="1620">
        <v>1.3321383738950117</v>
      </c>
      <c r="BT112" s="1603"/>
      <c r="BU112" s="1620">
        <v>982.35294117647061</v>
      </c>
      <c r="BV112" s="1620">
        <v>694.51344537815055</v>
      </c>
      <c r="BW112" s="1620">
        <v>53.327731092436949</v>
      </c>
      <c r="BX112" s="1620">
        <v>670</v>
      </c>
      <c r="BY112" s="1620">
        <v>18.999999999999996</v>
      </c>
      <c r="BZ112" s="1620">
        <v>25.000000000000117</v>
      </c>
      <c r="CA112" s="1620">
        <v>113</v>
      </c>
      <c r="CB112" s="1603"/>
      <c r="CC112" s="1603">
        <v>0.38999999999999996</v>
      </c>
      <c r="CD112" s="1603">
        <v>2.62</v>
      </c>
      <c r="CE112" s="1603">
        <v>8.5000000000000006E-2</v>
      </c>
      <c r="CF112" s="1603">
        <v>0.91999999999999993</v>
      </c>
      <c r="CG112" s="1603">
        <v>4.0999999999999996</v>
      </c>
      <c r="CH112" s="1603">
        <v>0.83</v>
      </c>
      <c r="CI112" s="1603">
        <v>1.105</v>
      </c>
      <c r="CJ112" s="1603"/>
      <c r="CK112" s="1603">
        <v>29</v>
      </c>
      <c r="CL112" s="1603">
        <v>2.9</v>
      </c>
      <c r="CM112" s="1603">
        <v>20.799999999999997</v>
      </c>
      <c r="CN112" s="1603">
        <v>20</v>
      </c>
      <c r="CO112" s="1603">
        <v>0</v>
      </c>
      <c r="CP112" s="1603">
        <v>5.1000000000000101E-2</v>
      </c>
      <c r="CQ112" s="1603">
        <v>98.659504285714505</v>
      </c>
      <c r="CR112" s="1603">
        <v>85.581148411111002</v>
      </c>
      <c r="CS112" s="1603">
        <v>2.0591189332382784</v>
      </c>
      <c r="CT112" s="1603">
        <v>1.2613608423951017</v>
      </c>
      <c r="CU112" s="1603">
        <v>1.8478374513437694</v>
      </c>
      <c r="CV112" s="1603">
        <v>3.1091982937388716</v>
      </c>
      <c r="CW112" s="1603">
        <v>2.188709989288407</v>
      </c>
      <c r="CX112" s="1603">
        <v>1.0735339492741405</v>
      </c>
      <c r="CY112" s="1603">
        <v>2.8366389862339441</v>
      </c>
      <c r="CZ112" s="1603">
        <v>5.6139854130456257</v>
      </c>
      <c r="DA112" s="1603">
        <v>1.8951356461009425</v>
      </c>
      <c r="DB112" s="1603">
        <v>3.9278213221948555</v>
      </c>
      <c r="DC112" s="1603">
        <v>2.3676586007505565</v>
      </c>
      <c r="DD112" s="1603">
        <v>6.295479922945403</v>
      </c>
      <c r="DE112" s="1603">
        <v>3.4492968698304192</v>
      </c>
      <c r="DF112" s="1603">
        <v>0</v>
      </c>
      <c r="DG112" s="1603">
        <v>0</v>
      </c>
      <c r="DH112" s="1603">
        <v>0</v>
      </c>
      <c r="DI112" s="1603">
        <v>0</v>
      </c>
      <c r="DJ112" s="1603">
        <v>0</v>
      </c>
      <c r="DK112" s="1603">
        <v>0</v>
      </c>
      <c r="DL112" s="1603">
        <v>0</v>
      </c>
      <c r="DM112" s="1603">
        <v>0</v>
      </c>
      <c r="DN112" s="1603">
        <v>0</v>
      </c>
      <c r="DO112" s="1603">
        <v>0</v>
      </c>
      <c r="DP112" s="1603">
        <v>0</v>
      </c>
      <c r="DQ112" s="1603">
        <v>0</v>
      </c>
      <c r="DR112" s="1603">
        <v>0</v>
      </c>
      <c r="DS112" s="1603">
        <v>0</v>
      </c>
      <c r="DT112" s="1603">
        <v>0</v>
      </c>
      <c r="DU112" s="1603">
        <v>0</v>
      </c>
      <c r="DV112" s="1603">
        <v>0</v>
      </c>
      <c r="DW112" s="1618" t="s">
        <v>3506</v>
      </c>
      <c r="DX112" s="1605" t="s">
        <v>986</v>
      </c>
      <c r="DY112" s="1605" t="s">
        <v>986</v>
      </c>
      <c r="DZ112" s="1605" t="s">
        <v>986</v>
      </c>
      <c r="EA112" s="1605" t="s">
        <v>986</v>
      </c>
      <c r="EB112" s="1605" t="s">
        <v>986</v>
      </c>
      <c r="EC112" s="1605" t="s">
        <v>986</v>
      </c>
      <c r="ED112" s="1605" t="s">
        <v>986</v>
      </c>
      <c r="EE112" s="1605" t="s">
        <v>986</v>
      </c>
      <c r="EF112" s="1605" t="s">
        <v>986</v>
      </c>
      <c r="EG112" s="1605" t="s">
        <v>986</v>
      </c>
      <c r="EH112" s="1605" t="s">
        <v>986</v>
      </c>
      <c r="EI112" s="1605" t="s">
        <v>986</v>
      </c>
      <c r="EJ112" s="1605" t="s">
        <v>986</v>
      </c>
      <c r="EK112" s="1605" t="s">
        <v>986</v>
      </c>
      <c r="EL112" s="1605" t="s">
        <v>986</v>
      </c>
      <c r="EM112" s="1605" t="s">
        <v>986</v>
      </c>
      <c r="EN112" s="1605" t="s">
        <v>986</v>
      </c>
      <c r="EO112" s="1605" t="s">
        <v>986</v>
      </c>
      <c r="EP112" s="1605" t="s">
        <v>986</v>
      </c>
      <c r="EQ112" s="1605" t="s">
        <v>986</v>
      </c>
      <c r="ER112" s="1605" t="s">
        <v>986</v>
      </c>
      <c r="ES112" s="1605" t="s">
        <v>986</v>
      </c>
      <c r="ET112" s="1605" t="s">
        <v>986</v>
      </c>
      <c r="EU112" s="1605" t="s">
        <v>986</v>
      </c>
      <c r="EV112" s="1605" t="s">
        <v>986</v>
      </c>
      <c r="EW112" s="1605" t="s">
        <v>986</v>
      </c>
      <c r="EX112" s="1605" t="s">
        <v>986</v>
      </c>
      <c r="EY112" s="1605" t="s">
        <v>986</v>
      </c>
      <c r="EZ112" s="1605" t="s">
        <v>986</v>
      </c>
      <c r="FA112" s="1605" t="s">
        <v>986</v>
      </c>
      <c r="FB112" s="1605" t="s">
        <v>986</v>
      </c>
      <c r="FC112" s="1605" t="s">
        <v>986</v>
      </c>
      <c r="FD112" s="1605" t="s">
        <v>986</v>
      </c>
      <c r="FE112" s="1605" t="s">
        <v>986</v>
      </c>
      <c r="FF112" s="1605" t="s">
        <v>986</v>
      </c>
      <c r="FG112" s="1605" t="s">
        <v>986</v>
      </c>
      <c r="FH112" s="1605" t="s">
        <v>986</v>
      </c>
      <c r="FI112" s="1605" t="s">
        <v>986</v>
      </c>
      <c r="FJ112" s="1605" t="s">
        <v>986</v>
      </c>
      <c r="FK112" s="1605" t="s">
        <v>986</v>
      </c>
      <c r="FL112" s="1605" t="s">
        <v>986</v>
      </c>
      <c r="FM112" s="1605" t="s">
        <v>986</v>
      </c>
      <c r="FN112" s="1605" t="s">
        <v>986</v>
      </c>
      <c r="FO112" s="1605" t="s">
        <v>986</v>
      </c>
      <c r="FP112" s="1605" t="s">
        <v>986</v>
      </c>
      <c r="FQ112" s="1605" t="s">
        <v>986</v>
      </c>
      <c r="FR112" s="1605" t="s">
        <v>986</v>
      </c>
      <c r="FS112" s="1605" t="s">
        <v>986</v>
      </c>
      <c r="FT112" s="1605" t="s">
        <v>986</v>
      </c>
      <c r="FU112" s="1605" t="s">
        <v>986</v>
      </c>
      <c r="FV112" s="1605" t="s">
        <v>986</v>
      </c>
      <c r="FW112" s="1605" t="s">
        <v>986</v>
      </c>
      <c r="FX112" s="1605" t="s">
        <v>986</v>
      </c>
      <c r="FY112" s="1605" t="s">
        <v>986</v>
      </c>
      <c r="FZ112" s="1605" t="s">
        <v>986</v>
      </c>
      <c r="GA112" s="1605" t="s">
        <v>986</v>
      </c>
      <c r="GB112" s="1605" t="s">
        <v>986</v>
      </c>
      <c r="GC112" s="1605" t="s">
        <v>986</v>
      </c>
      <c r="GD112" s="1605" t="s">
        <v>986</v>
      </c>
      <c r="GE112" s="1605" t="s">
        <v>986</v>
      </c>
      <c r="GF112" s="1605" t="s">
        <v>986</v>
      </c>
      <c r="GG112" s="1605" t="s">
        <v>986</v>
      </c>
      <c r="GH112" s="1605" t="s">
        <v>986</v>
      </c>
      <c r="GI112" s="1605" t="s">
        <v>986</v>
      </c>
      <c r="GJ112" s="1605" t="s">
        <v>986</v>
      </c>
      <c r="GK112" s="1605" t="s">
        <v>986</v>
      </c>
      <c r="GL112" s="1605" t="s">
        <v>986</v>
      </c>
      <c r="GM112" s="1605" t="s">
        <v>986</v>
      </c>
      <c r="GN112" s="1605" t="s">
        <v>986</v>
      </c>
      <c r="GO112" s="1605" t="s">
        <v>986</v>
      </c>
      <c r="GP112" s="1605" t="s">
        <v>986</v>
      </c>
      <c r="GQ112" s="1605" t="s">
        <v>986</v>
      </c>
      <c r="GR112" s="1605" t="s">
        <v>986</v>
      </c>
      <c r="GS112" s="1605" t="s">
        <v>986</v>
      </c>
      <c r="GT112" s="1605" t="s">
        <v>986</v>
      </c>
      <c r="GU112" s="1605" t="s">
        <v>986</v>
      </c>
      <c r="GV112" s="1605" t="s">
        <v>986</v>
      </c>
      <c r="GW112" s="1605" t="s">
        <v>986</v>
      </c>
      <c r="GX112" s="1605" t="s">
        <v>986</v>
      </c>
      <c r="GY112" s="1605" t="s">
        <v>986</v>
      </c>
      <c r="GZ112" s="1605" t="s">
        <v>986</v>
      </c>
      <c r="HA112" s="1605" t="s">
        <v>986</v>
      </c>
      <c r="HB112" s="1605" t="s">
        <v>986</v>
      </c>
      <c r="HC112" s="1605" t="s">
        <v>986</v>
      </c>
      <c r="HD112" s="1605" t="s">
        <v>986</v>
      </c>
      <c r="HE112" s="1605" t="s">
        <v>986</v>
      </c>
      <c r="HF112" s="1605" t="s">
        <v>986</v>
      </c>
      <c r="HG112" s="1605" t="s">
        <v>986</v>
      </c>
      <c r="HH112" s="1605" t="s">
        <v>986</v>
      </c>
      <c r="HI112" s="1605" t="s">
        <v>986</v>
      </c>
      <c r="HJ112" s="1605" t="s">
        <v>986</v>
      </c>
      <c r="HK112" s="1605" t="s">
        <v>986</v>
      </c>
      <c r="HL112" s="1605" t="s">
        <v>986</v>
      </c>
      <c r="HM112" s="1605" t="s">
        <v>986</v>
      </c>
      <c r="HN112" s="1605" t="s">
        <v>986</v>
      </c>
      <c r="HO112" s="1605" t="s">
        <v>986</v>
      </c>
      <c r="HP112" s="1605" t="s">
        <v>986</v>
      </c>
      <c r="HQ112" s="1605" t="s">
        <v>986</v>
      </c>
      <c r="HR112" s="1605" t="s">
        <v>986</v>
      </c>
      <c r="HS112" s="1605" t="s">
        <v>986</v>
      </c>
      <c r="HT112" s="1605" t="s">
        <v>986</v>
      </c>
      <c r="HU112" s="1605" t="s">
        <v>986</v>
      </c>
      <c r="HV112" s="1617"/>
      <c r="HW112" s="1617" t="s">
        <v>3516</v>
      </c>
      <c r="HX112" s="1617" t="s">
        <v>3504</v>
      </c>
      <c r="HY112" s="1617" t="s">
        <v>3503</v>
      </c>
      <c r="HZ112" s="1603"/>
      <c r="IA112" s="1603"/>
      <c r="IB112" s="1603"/>
      <c r="IC112" s="1603">
        <v>58.130081300813004</v>
      </c>
      <c r="ID112" s="1603">
        <v>59.788617886178898</v>
      </c>
      <c r="IE112" s="1603">
        <v>61.170731707317103</v>
      </c>
      <c r="IF112" s="1603">
        <v>62</v>
      </c>
      <c r="IG112" s="1611" t="s">
        <v>3463</v>
      </c>
      <c r="IH112" s="1616" t="s">
        <v>3510</v>
      </c>
      <c r="II112" s="1615" t="s">
        <v>3509</v>
      </c>
      <c r="IJ112" s="1613">
        <v>0.44950000000000001</v>
      </c>
      <c r="IK112" s="1613">
        <v>0.44756818181818181</v>
      </c>
      <c r="IL112" s="1614">
        <v>0.44950000000000001</v>
      </c>
      <c r="IM112" s="1614">
        <v>0.44756818181818181</v>
      </c>
      <c r="IN112" s="1612">
        <v>0.48</v>
      </c>
      <c r="IO112" s="1613">
        <v>3.0499999999999972E-2</v>
      </c>
      <c r="IP112" s="1607" t="s">
        <v>270</v>
      </c>
      <c r="IQ112" s="1612">
        <v>1.57</v>
      </c>
      <c r="IR112" s="1612">
        <v>-1E-3</v>
      </c>
      <c r="IS112" s="1607">
        <v>0.44550000000000001</v>
      </c>
      <c r="IT112" s="1607">
        <v>0.44356818181818181</v>
      </c>
      <c r="IU112" s="1611">
        <v>1.1363636363636365E-5</v>
      </c>
      <c r="IV112" s="1611">
        <v>2.4318181818181817E-3</v>
      </c>
      <c r="IW112" s="1611">
        <v>6.3636363636363641E-4</v>
      </c>
      <c r="IX112" s="1611">
        <v>1.1022727272727271E-3</v>
      </c>
      <c r="IY112" s="1611">
        <v>6.4772727272727269E-4</v>
      </c>
      <c r="IZ112" s="1611">
        <v>8.1363636363636378E-3</v>
      </c>
      <c r="JA112" s="1611">
        <v>1.4772727272727274E-4</v>
      </c>
      <c r="JB112" s="1611" t="s">
        <v>270</v>
      </c>
      <c r="JC112" s="1611">
        <v>0.10805681818181818</v>
      </c>
      <c r="JD112" s="1611">
        <v>2.7499999999999998E-3</v>
      </c>
      <c r="JE112" s="1611" t="s">
        <v>270</v>
      </c>
      <c r="JF112" s="1611">
        <v>5.113636363636363E-4</v>
      </c>
      <c r="JG112" s="1611">
        <v>3.3054204545454549</v>
      </c>
      <c r="JH112" s="1611">
        <v>2.0454545454545454E-4</v>
      </c>
      <c r="JI112" s="1611">
        <v>4.9477272727272731E-2</v>
      </c>
      <c r="JJ112" s="1611" t="s">
        <v>270</v>
      </c>
      <c r="JK112" s="1607">
        <f t="shared" si="10"/>
        <v>4.0000000000000036E-3</v>
      </c>
      <c r="JL112" s="1608" t="s">
        <v>270</v>
      </c>
      <c r="JM112" s="1610" t="s">
        <v>2924</v>
      </c>
      <c r="JN112" s="1608">
        <v>1.9318181818182012E-3</v>
      </c>
      <c r="JO112" s="1609" t="s">
        <v>2923</v>
      </c>
      <c r="JP112" s="1608" t="s">
        <v>270</v>
      </c>
      <c r="JQ112" s="1607">
        <v>202103</v>
      </c>
      <c r="JR112" s="1606">
        <v>946</v>
      </c>
      <c r="JS112" s="1606">
        <v>865</v>
      </c>
      <c r="JT112" s="1606">
        <v>865</v>
      </c>
    </row>
    <row r="113" spans="1:280" ht="15" customHeight="1" x14ac:dyDescent="0.2">
      <c r="A113" s="1626">
        <v>51100</v>
      </c>
      <c r="B113" s="1625">
        <v>511</v>
      </c>
      <c r="C113" s="1624">
        <v>0</v>
      </c>
      <c r="D113" s="1623" t="s">
        <v>3515</v>
      </c>
      <c r="E113" s="1622">
        <v>44112</v>
      </c>
      <c r="F113" s="1620">
        <v>1.1789720189701898</v>
      </c>
      <c r="G113" s="1620">
        <v>1.1588250077922078</v>
      </c>
      <c r="H113" s="1621">
        <v>92.1</v>
      </c>
      <c r="I113" s="1621">
        <v>87.4</v>
      </c>
      <c r="J113" s="1621">
        <v>93</v>
      </c>
      <c r="K113" s="1620">
        <v>1</v>
      </c>
      <c r="L113" s="1620">
        <v>86.1</v>
      </c>
      <c r="M113" s="1620">
        <v>9.6</v>
      </c>
      <c r="N113" s="1620">
        <v>2.1</v>
      </c>
      <c r="O113" s="1620">
        <v>1.4</v>
      </c>
      <c r="P113" s="1620">
        <v>2.7</v>
      </c>
      <c r="Q113" s="1603"/>
      <c r="R113" s="1620">
        <v>84.10010625000001</v>
      </c>
      <c r="S113" s="1620">
        <v>50</v>
      </c>
      <c r="T113" s="1620">
        <v>54.878048780487802</v>
      </c>
      <c r="U113" s="1620">
        <v>56.829268292682897</v>
      </c>
      <c r="V113" s="1620">
        <v>58.585365853658502</v>
      </c>
      <c r="W113" s="1620">
        <v>59.756097560975597</v>
      </c>
      <c r="X113" s="1620"/>
      <c r="Y113" s="1620">
        <v>0.41811846689895471</v>
      </c>
      <c r="Z113" s="1620">
        <v>3.0197444831591174</v>
      </c>
      <c r="AA113" s="1620">
        <v>0.11614401858304298</v>
      </c>
      <c r="AB113" s="1620">
        <v>1.08170310701956</v>
      </c>
      <c r="AC113" s="1620">
        <v>4.8083623693379787</v>
      </c>
      <c r="AD113" s="1620">
        <v>0.97560975609756106</v>
      </c>
      <c r="AE113" s="1620">
        <v>1.3</v>
      </c>
      <c r="AF113" s="1620">
        <v>32.857142857142861</v>
      </c>
      <c r="AG113" s="1620">
        <v>3.2171893147502906</v>
      </c>
      <c r="AH113" s="1620">
        <v>25.272938443670153</v>
      </c>
      <c r="AI113" s="1620">
        <v>26.167247386759584</v>
      </c>
      <c r="AJ113" s="1620">
        <v>0</v>
      </c>
      <c r="AK113" s="1620">
        <v>6.0000000000000123E-2</v>
      </c>
      <c r="AL113" s="1620"/>
      <c r="AM113" s="1620">
        <v>2.9790060975609758</v>
      </c>
      <c r="AN113" s="1620">
        <v>1.5542453658536584</v>
      </c>
      <c r="AO113" s="1620">
        <v>2.3355261672473868</v>
      </c>
      <c r="AP113" s="1620">
        <v>2.9289740766550523</v>
      </c>
      <c r="AQ113" s="1620">
        <v>1.3611543902439025</v>
      </c>
      <c r="AR113" s="1620">
        <v>3.344416724738676</v>
      </c>
      <c r="AS113" s="1620">
        <v>6.6853026829268298</v>
      </c>
      <c r="AT113" s="1620">
        <v>2.28471</v>
      </c>
      <c r="AU113" s="1620">
        <v>4.3893279094076654</v>
      </c>
      <c r="AV113" s="1620">
        <v>2.7508033449477352</v>
      </c>
      <c r="AW113" s="1620">
        <v>4.2999519163763074</v>
      </c>
      <c r="AX113" s="1620"/>
      <c r="AY113" s="1620">
        <v>0.92</v>
      </c>
      <c r="AZ113" s="1620">
        <v>1</v>
      </c>
      <c r="BA113" s="1620">
        <v>0.98</v>
      </c>
      <c r="BB113" s="1620">
        <v>0.93</v>
      </c>
      <c r="BC113" s="1620">
        <v>0.99</v>
      </c>
      <c r="BD113" s="1620">
        <v>0.99</v>
      </c>
      <c r="BE113" s="1620">
        <v>1</v>
      </c>
      <c r="BF113" s="1620">
        <v>0.99</v>
      </c>
      <c r="BG113" s="1620">
        <v>1.02</v>
      </c>
      <c r="BH113" s="1620">
        <v>1</v>
      </c>
      <c r="BI113" s="1620">
        <v>0.96</v>
      </c>
      <c r="BJ113" s="1603"/>
      <c r="BK113" s="1620">
        <v>11.149825783972126</v>
      </c>
      <c r="BL113" s="1620">
        <v>2.4390243902439024</v>
      </c>
      <c r="BM113" s="1620">
        <v>1.6260162601626018</v>
      </c>
      <c r="BN113" s="1620">
        <v>3.1764705882352939</v>
      </c>
      <c r="BO113" s="1620"/>
      <c r="BP113" s="1620">
        <v>105</v>
      </c>
      <c r="BQ113" s="1620">
        <v>25.941176470588236</v>
      </c>
      <c r="BR113" s="1620">
        <v>1.3693054808016143</v>
      </c>
      <c r="BS113" s="1620">
        <v>1.345905932395131</v>
      </c>
      <c r="BT113" s="1603"/>
      <c r="BU113" s="1620">
        <v>983.73983739837399</v>
      </c>
      <c r="BV113" s="1620">
        <v>714.85133565621391</v>
      </c>
      <c r="BW113" s="1620">
        <v>66.051103368176371</v>
      </c>
      <c r="BX113" s="1620">
        <v>670</v>
      </c>
      <c r="BY113" s="1620">
        <v>18.999999999999996</v>
      </c>
      <c r="BZ113" s="1620">
        <v>25</v>
      </c>
      <c r="CA113" s="1620">
        <v>113</v>
      </c>
      <c r="CB113" s="1603"/>
      <c r="CC113" s="1603">
        <v>0.36</v>
      </c>
      <c r="CD113" s="1603">
        <v>2.6</v>
      </c>
      <c r="CE113" s="1603">
        <v>0.1</v>
      </c>
      <c r="CF113" s="1603">
        <v>0.93134637514384111</v>
      </c>
      <c r="CG113" s="1603">
        <v>4.1399999999999997</v>
      </c>
      <c r="CH113" s="1603">
        <v>0.84000000000000008</v>
      </c>
      <c r="CI113" s="1603">
        <v>1.1193</v>
      </c>
      <c r="CJ113" s="1603"/>
      <c r="CK113" s="1603">
        <v>28.290000000000003</v>
      </c>
      <c r="CL113" s="1603">
        <v>2.77</v>
      </c>
      <c r="CM113" s="1603">
        <v>21.76</v>
      </c>
      <c r="CN113" s="1603">
        <v>22.53</v>
      </c>
      <c r="CO113" s="1603">
        <v>0</v>
      </c>
      <c r="CP113" s="1603">
        <v>5.1660000000000102E-2</v>
      </c>
      <c r="CQ113" s="1603">
        <v>80.736102000000017</v>
      </c>
      <c r="CR113" s="1603">
        <v>68.480083242791039</v>
      </c>
      <c r="CS113" s="1603">
        <v>1.8768237869841708</v>
      </c>
      <c r="CT113" s="1603">
        <v>1.0643485203338072</v>
      </c>
      <c r="CU113" s="1603">
        <v>1.5673828582184137</v>
      </c>
      <c r="CV113" s="1603">
        <v>2.6317313785522209</v>
      </c>
      <c r="CW113" s="1603">
        <v>1.8653604138434294</v>
      </c>
      <c r="CX113" s="1603">
        <v>0.92279846290691003</v>
      </c>
      <c r="CY113" s="1603">
        <v>2.2673567635160028</v>
      </c>
      <c r="CZ113" s="1603">
        <v>4.5781008423008345</v>
      </c>
      <c r="DA113" s="1603">
        <v>1.5489255967578075</v>
      </c>
      <c r="DB113" s="1603">
        <v>3.0659317142846576</v>
      </c>
      <c r="DC113" s="1603">
        <v>1.8837524204656892</v>
      </c>
      <c r="DD113" s="1603">
        <v>4.9496841347503473</v>
      </c>
      <c r="DE113" s="1603">
        <v>2.826826225665104</v>
      </c>
      <c r="DF113" s="1603">
        <v>0</v>
      </c>
      <c r="DG113" s="1603">
        <v>0</v>
      </c>
      <c r="DH113" s="1603">
        <v>0</v>
      </c>
      <c r="DI113" s="1603">
        <v>0</v>
      </c>
      <c r="DJ113" s="1603">
        <v>0</v>
      </c>
      <c r="DK113" s="1603">
        <v>0</v>
      </c>
      <c r="DL113" s="1603">
        <v>0</v>
      </c>
      <c r="DM113" s="1603">
        <v>0</v>
      </c>
      <c r="DN113" s="1603">
        <v>0</v>
      </c>
      <c r="DO113" s="1603">
        <v>0</v>
      </c>
      <c r="DP113" s="1603">
        <v>0</v>
      </c>
      <c r="DQ113" s="1603">
        <v>0</v>
      </c>
      <c r="DR113" s="1603">
        <v>0</v>
      </c>
      <c r="DS113" s="1603">
        <v>0</v>
      </c>
      <c r="DT113" s="1603">
        <v>0</v>
      </c>
      <c r="DU113" s="1603">
        <v>0</v>
      </c>
      <c r="DV113" s="1603">
        <v>0</v>
      </c>
      <c r="DW113" s="1618" t="s">
        <v>3506</v>
      </c>
      <c r="DX113" s="1605">
        <v>29</v>
      </c>
      <c r="DY113" s="1605">
        <v>29</v>
      </c>
      <c r="DZ113" s="1605">
        <v>15</v>
      </c>
      <c r="EA113" s="1605">
        <v>15</v>
      </c>
      <c r="EB113" s="1605" t="s">
        <v>986</v>
      </c>
      <c r="EC113" s="1605">
        <v>15</v>
      </c>
      <c r="ED113" s="1605">
        <v>15</v>
      </c>
      <c r="EE113" s="1605">
        <v>16</v>
      </c>
      <c r="EF113" s="1605">
        <v>15</v>
      </c>
      <c r="EG113" s="1605">
        <v>15</v>
      </c>
      <c r="EH113" s="1605" t="s">
        <v>986</v>
      </c>
      <c r="EI113" s="1605" t="s">
        <v>986</v>
      </c>
      <c r="EJ113" s="1605" t="s">
        <v>986</v>
      </c>
      <c r="EK113" s="1605" t="s">
        <v>986</v>
      </c>
      <c r="EL113" s="1605" t="s">
        <v>986</v>
      </c>
      <c r="EM113" s="1605" t="s">
        <v>986</v>
      </c>
      <c r="EN113" s="1605" t="s">
        <v>986</v>
      </c>
      <c r="EO113" s="1605" t="s">
        <v>986</v>
      </c>
      <c r="EP113" s="1605" t="s">
        <v>986</v>
      </c>
      <c r="EQ113" s="1605" t="s">
        <v>986</v>
      </c>
      <c r="ER113" s="1605" t="s">
        <v>986</v>
      </c>
      <c r="ES113" s="1605">
        <v>15</v>
      </c>
      <c r="ET113" s="1605">
        <v>29</v>
      </c>
      <c r="EU113" s="1605">
        <v>14</v>
      </c>
      <c r="EV113" s="1605">
        <v>14</v>
      </c>
      <c r="EW113" s="1605">
        <v>14</v>
      </c>
      <c r="EX113" s="1605">
        <v>14</v>
      </c>
      <c r="EY113" s="1605" t="s">
        <v>986</v>
      </c>
      <c r="EZ113" s="1605">
        <v>14</v>
      </c>
      <c r="FA113" s="1605">
        <v>14</v>
      </c>
      <c r="FB113" s="1605">
        <v>14</v>
      </c>
      <c r="FC113" s="1605">
        <v>14</v>
      </c>
      <c r="FD113" s="1605" t="s">
        <v>986</v>
      </c>
      <c r="FE113" s="1605" t="s">
        <v>986</v>
      </c>
      <c r="FF113" s="1605">
        <v>1.1183754051292571</v>
      </c>
      <c r="FG113" s="1605">
        <v>0.39597331700889077</v>
      </c>
      <c r="FH113" s="1605">
        <v>0.1069680405330809</v>
      </c>
      <c r="FI113" s="1605">
        <v>7.4037490039152151E-2</v>
      </c>
      <c r="FJ113" s="1605" t="s">
        <v>986</v>
      </c>
      <c r="FK113" s="1605">
        <v>0.79885283904454096</v>
      </c>
      <c r="FL113" s="1605">
        <v>0.43260011227790796</v>
      </c>
      <c r="FM113" s="1605" t="s">
        <v>986</v>
      </c>
      <c r="FN113" s="1605">
        <v>1.0001165364368381</v>
      </c>
      <c r="FO113" s="1605">
        <v>0.90653049863276791</v>
      </c>
      <c r="FP113" s="1605" t="s">
        <v>986</v>
      </c>
      <c r="FQ113" s="1605" t="s">
        <v>986</v>
      </c>
      <c r="FR113" s="1605" t="s">
        <v>986</v>
      </c>
      <c r="FS113" s="1605" t="s">
        <v>986</v>
      </c>
      <c r="FT113" s="1605" t="s">
        <v>986</v>
      </c>
      <c r="FU113" s="1605" t="s">
        <v>986</v>
      </c>
      <c r="FV113" s="1605" t="s">
        <v>986</v>
      </c>
      <c r="FW113" s="1605" t="s">
        <v>986</v>
      </c>
      <c r="FX113" s="1605" t="s">
        <v>986</v>
      </c>
      <c r="FY113" s="1605" t="s">
        <v>986</v>
      </c>
      <c r="FZ113" s="1605" t="s">
        <v>986</v>
      </c>
      <c r="GA113" s="1605">
        <v>2.7390573530437209E-2</v>
      </c>
      <c r="GB113" s="1605">
        <v>0.1335586258918719</v>
      </c>
      <c r="GC113" s="1605">
        <v>1.4097578188507563E-3</v>
      </c>
      <c r="GD113" s="1605">
        <v>7.0000000000000007E-2</v>
      </c>
      <c r="GE113" s="1605">
        <v>0.17693420735921803</v>
      </c>
      <c r="GF113" s="1605">
        <v>3.1736289437774005E-2</v>
      </c>
      <c r="GG113" s="1605" t="s">
        <v>986</v>
      </c>
      <c r="GH113" s="1605">
        <v>3.4189258938736291</v>
      </c>
      <c r="GI113" s="1605">
        <v>0.35702311147685317</v>
      </c>
      <c r="GJ113" s="1605">
        <v>2.585178306653741</v>
      </c>
      <c r="GK113" s="1605">
        <v>3.7119751875578042</v>
      </c>
      <c r="GL113" s="1605" t="s">
        <v>986</v>
      </c>
      <c r="GM113" s="1605" t="s">
        <v>986</v>
      </c>
      <c r="GN113" s="1605" t="s">
        <v>1763</v>
      </c>
      <c r="GO113" s="1605" t="s">
        <v>1763</v>
      </c>
      <c r="GP113" s="1605" t="s">
        <v>1763</v>
      </c>
      <c r="GQ113" s="1605" t="s">
        <v>1763</v>
      </c>
      <c r="GR113" s="1605" t="s">
        <v>1763</v>
      </c>
      <c r="GS113" s="1605" t="s">
        <v>1763</v>
      </c>
      <c r="GT113" s="1605" t="s">
        <v>1763</v>
      </c>
      <c r="GU113" s="1605" t="s">
        <v>1763</v>
      </c>
      <c r="GV113" s="1605" t="s">
        <v>1763</v>
      </c>
      <c r="GW113" s="1605" t="s">
        <v>1763</v>
      </c>
      <c r="GX113" s="1605" t="s">
        <v>1763</v>
      </c>
      <c r="GY113" s="1605" t="s">
        <v>1763</v>
      </c>
      <c r="GZ113" s="1605" t="s">
        <v>1763</v>
      </c>
      <c r="HA113" s="1605" t="s">
        <v>1763</v>
      </c>
      <c r="HB113" s="1605" t="s">
        <v>1763</v>
      </c>
      <c r="HC113" s="1605" t="s">
        <v>1763</v>
      </c>
      <c r="HD113" s="1605" t="s">
        <v>1763</v>
      </c>
      <c r="HE113" s="1605" t="s">
        <v>1763</v>
      </c>
      <c r="HF113" s="1605" t="s">
        <v>1763</v>
      </c>
      <c r="HG113" s="1605" t="s">
        <v>1763</v>
      </c>
      <c r="HH113" s="1605" t="s">
        <v>1763</v>
      </c>
      <c r="HI113" s="1605" t="s">
        <v>1763</v>
      </c>
      <c r="HJ113" s="1605" t="s">
        <v>1763</v>
      </c>
      <c r="HK113" s="1605" t="s">
        <v>1763</v>
      </c>
      <c r="HL113" s="1605" t="s">
        <v>1578</v>
      </c>
      <c r="HM113" s="1605" t="s">
        <v>1763</v>
      </c>
      <c r="HN113" s="1605" t="s">
        <v>1763</v>
      </c>
      <c r="HO113" s="1605" t="s">
        <v>986</v>
      </c>
      <c r="HP113" s="1605" t="s">
        <v>1763</v>
      </c>
      <c r="HQ113" s="1605" t="s">
        <v>1763</v>
      </c>
      <c r="HR113" s="1605" t="s">
        <v>1763</v>
      </c>
      <c r="HS113" s="1605" t="s">
        <v>1763</v>
      </c>
      <c r="HT113" s="1605" t="s">
        <v>1763</v>
      </c>
      <c r="HU113" s="1605" t="s">
        <v>1763</v>
      </c>
      <c r="HV113" s="1617"/>
      <c r="HW113" s="1617" t="s">
        <v>3511</v>
      </c>
      <c r="HX113" s="1617" t="s">
        <v>3504</v>
      </c>
      <c r="HY113" s="1617" t="s">
        <v>3503</v>
      </c>
      <c r="HZ113" s="1603"/>
      <c r="IA113" s="1603"/>
      <c r="IB113" s="1603"/>
      <c r="IC113" s="1603">
        <v>60.634146341463399</v>
      </c>
      <c r="ID113" s="1603">
        <v>61.219512195121901</v>
      </c>
      <c r="IE113" s="1603">
        <v>61.707317073170699</v>
      </c>
      <c r="IF113" s="1603">
        <v>62</v>
      </c>
      <c r="IG113" s="1611" t="s">
        <v>3463</v>
      </c>
      <c r="IH113" s="1616" t="s">
        <v>3510</v>
      </c>
      <c r="II113" s="1615" t="s">
        <v>3509</v>
      </c>
      <c r="IJ113" s="1613">
        <v>0.44950000000000001</v>
      </c>
      <c r="IK113" s="1613">
        <v>0.44756818181818181</v>
      </c>
      <c r="IL113" s="1614">
        <v>0.44950000000000001</v>
      </c>
      <c r="IM113" s="1614">
        <v>0.44756818181818181</v>
      </c>
      <c r="IN113" s="1612">
        <v>0.48</v>
      </c>
      <c r="IO113" s="1613">
        <v>3.0499999999999972E-2</v>
      </c>
      <c r="IP113" s="1607" t="s">
        <v>270</v>
      </c>
      <c r="IQ113" s="1612">
        <v>1.57</v>
      </c>
      <c r="IR113" s="1612">
        <v>-1E-3</v>
      </c>
      <c r="IS113" s="1607">
        <v>0.44550000000000001</v>
      </c>
      <c r="IT113" s="1607">
        <v>0.44356818181818181</v>
      </c>
      <c r="IU113" s="1611">
        <v>1.1363636363636365E-5</v>
      </c>
      <c r="IV113" s="1611">
        <v>2.4318181818181817E-3</v>
      </c>
      <c r="IW113" s="1611">
        <v>6.3636363636363641E-4</v>
      </c>
      <c r="IX113" s="1611">
        <v>1.1022727272727271E-3</v>
      </c>
      <c r="IY113" s="1611">
        <v>6.4772727272727269E-4</v>
      </c>
      <c r="IZ113" s="1611">
        <v>8.1363636363636378E-3</v>
      </c>
      <c r="JA113" s="1611">
        <v>1.4772727272727274E-4</v>
      </c>
      <c r="JB113" s="1611" t="s">
        <v>270</v>
      </c>
      <c r="JC113" s="1611">
        <v>0.10805681818181818</v>
      </c>
      <c r="JD113" s="1611">
        <v>2.7499999999999998E-3</v>
      </c>
      <c r="JE113" s="1611" t="s">
        <v>270</v>
      </c>
      <c r="JF113" s="1611">
        <v>5.113636363636363E-4</v>
      </c>
      <c r="JG113" s="1611">
        <v>3.3054204545454549</v>
      </c>
      <c r="JH113" s="1611">
        <v>2.0454545454545454E-4</v>
      </c>
      <c r="JI113" s="1611">
        <v>4.9477272727272731E-2</v>
      </c>
      <c r="JJ113" s="1611" t="s">
        <v>270</v>
      </c>
      <c r="JK113" s="1607">
        <f t="shared" si="10"/>
        <v>4.0000000000000036E-3</v>
      </c>
      <c r="JL113" s="1608" t="s">
        <v>270</v>
      </c>
      <c r="JM113" s="1610" t="s">
        <v>2924</v>
      </c>
      <c r="JN113" s="1608">
        <v>1.9318181818182012E-3</v>
      </c>
      <c r="JO113" s="1609" t="s">
        <v>2923</v>
      </c>
      <c r="JP113" s="1608" t="s">
        <v>270</v>
      </c>
      <c r="JQ113" s="1607">
        <v>202103</v>
      </c>
      <c r="JR113" s="1606">
        <v>946</v>
      </c>
      <c r="JS113" s="1606">
        <v>865</v>
      </c>
      <c r="JT113" s="1606">
        <v>865</v>
      </c>
    </row>
    <row r="114" spans="1:280" ht="15" customHeight="1" x14ac:dyDescent="0.2">
      <c r="A114" s="1626">
        <v>51101</v>
      </c>
      <c r="B114" s="1625">
        <v>511</v>
      </c>
      <c r="C114" s="1624">
        <v>1</v>
      </c>
      <c r="D114" s="1623" t="s">
        <v>3514</v>
      </c>
      <c r="E114" s="1622">
        <v>44112</v>
      </c>
      <c r="F114" s="1620">
        <v>1.1888094173441734</v>
      </c>
      <c r="G114" s="1620">
        <v>1.1657392935064934</v>
      </c>
      <c r="H114" s="1621">
        <v>92.1</v>
      </c>
      <c r="I114" s="1621">
        <v>88.2</v>
      </c>
      <c r="J114" s="1621">
        <v>93</v>
      </c>
      <c r="K114" s="1620">
        <v>1</v>
      </c>
      <c r="L114" s="1620">
        <v>86.1</v>
      </c>
      <c r="M114" s="1620">
        <v>9.6</v>
      </c>
      <c r="N114" s="1620">
        <v>2.1</v>
      </c>
      <c r="O114" s="1620">
        <v>1.4</v>
      </c>
      <c r="P114" s="1620">
        <v>2.7</v>
      </c>
      <c r="Q114" s="1603"/>
      <c r="R114" s="1620">
        <v>84.765606250000005</v>
      </c>
      <c r="S114" s="1620">
        <v>50</v>
      </c>
      <c r="T114" s="1620">
        <v>54.878048780487802</v>
      </c>
      <c r="U114" s="1620">
        <v>56.829268292682897</v>
      </c>
      <c r="V114" s="1620">
        <v>58.585365853658502</v>
      </c>
      <c r="W114" s="1620">
        <v>59.756097560975597</v>
      </c>
      <c r="X114" s="1620"/>
      <c r="Y114" s="1620">
        <v>0.41811846689895471</v>
      </c>
      <c r="Z114" s="1620">
        <v>3.0197444831591174</v>
      </c>
      <c r="AA114" s="1620">
        <v>0.11614401858304298</v>
      </c>
      <c r="AB114" s="1620">
        <v>1.08170310701956</v>
      </c>
      <c r="AC114" s="1620">
        <v>4.8083623693379787</v>
      </c>
      <c r="AD114" s="1620">
        <v>0.97560975609756106</v>
      </c>
      <c r="AE114" s="1620">
        <v>1.3</v>
      </c>
      <c r="AF114" s="1620">
        <v>32.857142857142861</v>
      </c>
      <c r="AG114" s="1620">
        <v>3.2171893147502906</v>
      </c>
      <c r="AH114" s="1620">
        <v>25.272938443670153</v>
      </c>
      <c r="AI114" s="1620">
        <v>26.167247386759584</v>
      </c>
      <c r="AJ114" s="1620">
        <v>0</v>
      </c>
      <c r="AK114" s="1620">
        <v>6.0000000000000123E-2</v>
      </c>
      <c r="AL114" s="1620"/>
      <c r="AM114" s="1620">
        <v>2.9790060975609758</v>
      </c>
      <c r="AN114" s="1620">
        <v>1.5542453658536584</v>
      </c>
      <c r="AO114" s="1620">
        <v>2.3355261672473868</v>
      </c>
      <c r="AP114" s="1620">
        <v>2.9289740766550523</v>
      </c>
      <c r="AQ114" s="1620">
        <v>1.3611543902439025</v>
      </c>
      <c r="AR114" s="1620">
        <v>3.344416724738676</v>
      </c>
      <c r="AS114" s="1620">
        <v>6.6853026829268298</v>
      </c>
      <c r="AT114" s="1620">
        <v>2.28471</v>
      </c>
      <c r="AU114" s="1620">
        <v>4.3893279094076654</v>
      </c>
      <c r="AV114" s="1620">
        <v>2.7508033449477352</v>
      </c>
      <c r="AW114" s="1620">
        <v>4.2999519163763074</v>
      </c>
      <c r="AX114" s="1620"/>
      <c r="AY114" s="1620">
        <v>0.92</v>
      </c>
      <c r="AZ114" s="1620">
        <v>1</v>
      </c>
      <c r="BA114" s="1620">
        <v>0.98</v>
      </c>
      <c r="BB114" s="1620">
        <v>0.93</v>
      </c>
      <c r="BC114" s="1620">
        <v>0.99</v>
      </c>
      <c r="BD114" s="1620">
        <v>0.99</v>
      </c>
      <c r="BE114" s="1620">
        <v>1</v>
      </c>
      <c r="BF114" s="1620">
        <v>0.99</v>
      </c>
      <c r="BG114" s="1620">
        <v>1.02</v>
      </c>
      <c r="BH114" s="1620">
        <v>1</v>
      </c>
      <c r="BI114" s="1620">
        <v>0.96</v>
      </c>
      <c r="BJ114" s="1603"/>
      <c r="BK114" s="1620">
        <v>11.149825783972126</v>
      </c>
      <c r="BL114" s="1620">
        <v>2.4390243902439024</v>
      </c>
      <c r="BM114" s="1620">
        <v>1.6260162601626018</v>
      </c>
      <c r="BN114" s="1620">
        <v>3.1764705882352939</v>
      </c>
      <c r="BO114" s="1620"/>
      <c r="BP114" s="1620">
        <v>105</v>
      </c>
      <c r="BQ114" s="1620">
        <v>25.941176470588236</v>
      </c>
      <c r="BR114" s="1620">
        <v>1.3807310305971816</v>
      </c>
      <c r="BS114" s="1620">
        <v>1.3539364616800156</v>
      </c>
      <c r="BT114" s="1603"/>
      <c r="BU114" s="1620">
        <v>983.73983739837399</v>
      </c>
      <c r="BV114" s="1620">
        <v>726.09407665505239</v>
      </c>
      <c r="BW114" s="1620">
        <v>54.808362369337864</v>
      </c>
      <c r="BX114" s="1620">
        <v>670</v>
      </c>
      <c r="BY114" s="1620">
        <v>18.999999999999996</v>
      </c>
      <c r="BZ114" s="1620">
        <v>25</v>
      </c>
      <c r="CA114" s="1620">
        <v>113</v>
      </c>
      <c r="CB114" s="1603"/>
      <c r="CC114" s="1603">
        <v>0.36</v>
      </c>
      <c r="CD114" s="1603">
        <v>2.6</v>
      </c>
      <c r="CE114" s="1603">
        <v>0.1</v>
      </c>
      <c r="CF114" s="1603">
        <v>0.93134637514384111</v>
      </c>
      <c r="CG114" s="1603">
        <v>4.1399999999999997</v>
      </c>
      <c r="CH114" s="1603">
        <v>0.84000000000000008</v>
      </c>
      <c r="CI114" s="1603">
        <v>1.1193</v>
      </c>
      <c r="CJ114" s="1603"/>
      <c r="CK114" s="1603">
        <v>28.290000000000003</v>
      </c>
      <c r="CL114" s="1603">
        <v>2.77</v>
      </c>
      <c r="CM114" s="1603">
        <v>21.76</v>
      </c>
      <c r="CN114" s="1603">
        <v>22.53</v>
      </c>
      <c r="CO114" s="1603">
        <v>0</v>
      </c>
      <c r="CP114" s="1603">
        <v>5.1660000000000102E-2</v>
      </c>
      <c r="CQ114" s="1603">
        <v>81.374982000000003</v>
      </c>
      <c r="CR114" s="1603">
        <v>68.450822152631929</v>
      </c>
      <c r="CS114" s="1603">
        <v>1.8760218324969224</v>
      </c>
      <c r="CT114" s="1603">
        <v>1.0638937311960113</v>
      </c>
      <c r="CU114" s="1603">
        <v>1.5667131258092757</v>
      </c>
      <c r="CV114" s="1603">
        <v>2.630606857005287</v>
      </c>
      <c r="CW114" s="1603">
        <v>1.864563357580294</v>
      </c>
      <c r="CX114" s="1603">
        <v>0.92240415717970936</v>
      </c>
      <c r="CY114" s="1603">
        <v>2.266387936850812</v>
      </c>
      <c r="CZ114" s="1603">
        <v>4.5761446498553742</v>
      </c>
      <c r="DA114" s="1603">
        <v>1.5482637510153627</v>
      </c>
      <c r="DB114" s="1603">
        <v>3.0646216617837676</v>
      </c>
      <c r="DC114" s="1603">
        <v>1.8829475054188243</v>
      </c>
      <c r="DD114" s="1603">
        <v>4.9475691672025919</v>
      </c>
      <c r="DE114" s="1603">
        <v>2.8256183413703373</v>
      </c>
      <c r="DF114" s="1603">
        <v>0</v>
      </c>
      <c r="DG114" s="1603">
        <v>0</v>
      </c>
      <c r="DH114" s="1603">
        <v>0</v>
      </c>
      <c r="DI114" s="1603">
        <v>0</v>
      </c>
      <c r="DJ114" s="1603">
        <v>0</v>
      </c>
      <c r="DK114" s="1603">
        <v>0</v>
      </c>
      <c r="DL114" s="1603">
        <v>0</v>
      </c>
      <c r="DM114" s="1603">
        <v>0</v>
      </c>
      <c r="DN114" s="1603">
        <v>0</v>
      </c>
      <c r="DO114" s="1603">
        <v>0</v>
      </c>
      <c r="DP114" s="1603">
        <v>0</v>
      </c>
      <c r="DQ114" s="1603">
        <v>0</v>
      </c>
      <c r="DR114" s="1603">
        <v>0</v>
      </c>
      <c r="DS114" s="1603">
        <v>0</v>
      </c>
      <c r="DT114" s="1603">
        <v>0</v>
      </c>
      <c r="DU114" s="1603">
        <v>0</v>
      </c>
      <c r="DV114" s="1603">
        <v>0</v>
      </c>
      <c r="DW114" s="1618" t="s">
        <v>3506</v>
      </c>
      <c r="DX114" s="1605">
        <v>29</v>
      </c>
      <c r="DY114" s="1605">
        <v>29</v>
      </c>
      <c r="DZ114" s="1605">
        <v>15</v>
      </c>
      <c r="EA114" s="1605">
        <v>15</v>
      </c>
      <c r="EB114" s="1605" t="s">
        <v>986</v>
      </c>
      <c r="EC114" s="1605">
        <v>15</v>
      </c>
      <c r="ED114" s="1605">
        <v>15</v>
      </c>
      <c r="EE114" s="1605">
        <v>16</v>
      </c>
      <c r="EF114" s="1605">
        <v>15</v>
      </c>
      <c r="EG114" s="1605">
        <v>15</v>
      </c>
      <c r="EH114" s="1605" t="s">
        <v>986</v>
      </c>
      <c r="EI114" s="1605" t="s">
        <v>986</v>
      </c>
      <c r="EJ114" s="1605" t="s">
        <v>986</v>
      </c>
      <c r="EK114" s="1605" t="s">
        <v>986</v>
      </c>
      <c r="EL114" s="1605" t="s">
        <v>986</v>
      </c>
      <c r="EM114" s="1605" t="s">
        <v>986</v>
      </c>
      <c r="EN114" s="1605" t="s">
        <v>986</v>
      </c>
      <c r="EO114" s="1605" t="s">
        <v>986</v>
      </c>
      <c r="EP114" s="1605" t="s">
        <v>986</v>
      </c>
      <c r="EQ114" s="1605" t="s">
        <v>986</v>
      </c>
      <c r="ER114" s="1605" t="s">
        <v>986</v>
      </c>
      <c r="ES114" s="1605">
        <v>15</v>
      </c>
      <c r="ET114" s="1605">
        <v>29</v>
      </c>
      <c r="EU114" s="1605">
        <v>14</v>
      </c>
      <c r="EV114" s="1605">
        <v>14</v>
      </c>
      <c r="EW114" s="1605">
        <v>14</v>
      </c>
      <c r="EX114" s="1605">
        <v>14</v>
      </c>
      <c r="EY114" s="1605" t="s">
        <v>986</v>
      </c>
      <c r="EZ114" s="1605">
        <v>14</v>
      </c>
      <c r="FA114" s="1605">
        <v>14</v>
      </c>
      <c r="FB114" s="1605">
        <v>14</v>
      </c>
      <c r="FC114" s="1605">
        <v>14</v>
      </c>
      <c r="FD114" s="1605" t="s">
        <v>986</v>
      </c>
      <c r="FE114" s="1605" t="s">
        <v>986</v>
      </c>
      <c r="FF114" s="1605">
        <v>1.1183754051292571</v>
      </c>
      <c r="FG114" s="1605">
        <v>0.39597331700889077</v>
      </c>
      <c r="FH114" s="1605">
        <v>0.1069680405330809</v>
      </c>
      <c r="FI114" s="1605">
        <v>7.4037490039152151E-2</v>
      </c>
      <c r="FJ114" s="1605" t="s">
        <v>986</v>
      </c>
      <c r="FK114" s="1605">
        <v>0.79885283904454096</v>
      </c>
      <c r="FL114" s="1605">
        <v>0.43260011227790796</v>
      </c>
      <c r="FM114" s="1605" t="s">
        <v>986</v>
      </c>
      <c r="FN114" s="1605">
        <v>1.0001165364368381</v>
      </c>
      <c r="FO114" s="1605">
        <v>0.90653049863276791</v>
      </c>
      <c r="FP114" s="1605" t="s">
        <v>986</v>
      </c>
      <c r="FQ114" s="1605" t="s">
        <v>986</v>
      </c>
      <c r="FR114" s="1605" t="s">
        <v>986</v>
      </c>
      <c r="FS114" s="1605" t="s">
        <v>986</v>
      </c>
      <c r="FT114" s="1605" t="s">
        <v>986</v>
      </c>
      <c r="FU114" s="1605" t="s">
        <v>986</v>
      </c>
      <c r="FV114" s="1605" t="s">
        <v>986</v>
      </c>
      <c r="FW114" s="1605" t="s">
        <v>986</v>
      </c>
      <c r="FX114" s="1605" t="s">
        <v>986</v>
      </c>
      <c r="FY114" s="1605" t="s">
        <v>986</v>
      </c>
      <c r="FZ114" s="1605" t="s">
        <v>986</v>
      </c>
      <c r="GA114" s="1605">
        <v>2.7390573530437209E-2</v>
      </c>
      <c r="GB114" s="1605">
        <v>0.1335586258918719</v>
      </c>
      <c r="GC114" s="1605">
        <v>1.4097578188507563E-3</v>
      </c>
      <c r="GD114" s="1605">
        <v>7.0000000000000007E-2</v>
      </c>
      <c r="GE114" s="1605">
        <v>0.17693420735921803</v>
      </c>
      <c r="GF114" s="1605">
        <v>3.1736289437774005E-2</v>
      </c>
      <c r="GG114" s="1605" t="s">
        <v>986</v>
      </c>
      <c r="GH114" s="1605">
        <v>3.4189258938736291</v>
      </c>
      <c r="GI114" s="1605">
        <v>0.35702311147685317</v>
      </c>
      <c r="GJ114" s="1605">
        <v>2.585178306653741</v>
      </c>
      <c r="GK114" s="1605">
        <v>3.7119751875578042</v>
      </c>
      <c r="GL114" s="1605" t="s">
        <v>986</v>
      </c>
      <c r="GM114" s="1605" t="s">
        <v>986</v>
      </c>
      <c r="GN114" s="1605" t="s">
        <v>1763</v>
      </c>
      <c r="GO114" s="1605" t="s">
        <v>1763</v>
      </c>
      <c r="GP114" s="1605" t="s">
        <v>1763</v>
      </c>
      <c r="GQ114" s="1605" t="s">
        <v>1763</v>
      </c>
      <c r="GR114" s="1605" t="s">
        <v>1763</v>
      </c>
      <c r="GS114" s="1605" t="s">
        <v>1763</v>
      </c>
      <c r="GT114" s="1605" t="s">
        <v>1763</v>
      </c>
      <c r="GU114" s="1605" t="s">
        <v>1763</v>
      </c>
      <c r="GV114" s="1605" t="s">
        <v>1763</v>
      </c>
      <c r="GW114" s="1605" t="s">
        <v>1763</v>
      </c>
      <c r="GX114" s="1605" t="s">
        <v>1763</v>
      </c>
      <c r="GY114" s="1605" t="s">
        <v>1763</v>
      </c>
      <c r="GZ114" s="1605" t="s">
        <v>1763</v>
      </c>
      <c r="HA114" s="1605" t="s">
        <v>1763</v>
      </c>
      <c r="HB114" s="1605" t="s">
        <v>1763</v>
      </c>
      <c r="HC114" s="1605" t="s">
        <v>1763</v>
      </c>
      <c r="HD114" s="1605" t="s">
        <v>1763</v>
      </c>
      <c r="HE114" s="1605" t="s">
        <v>1763</v>
      </c>
      <c r="HF114" s="1605" t="s">
        <v>1763</v>
      </c>
      <c r="HG114" s="1605" t="s">
        <v>1763</v>
      </c>
      <c r="HH114" s="1605" t="s">
        <v>1763</v>
      </c>
      <c r="HI114" s="1605" t="s">
        <v>1763</v>
      </c>
      <c r="HJ114" s="1605" t="s">
        <v>1763</v>
      </c>
      <c r="HK114" s="1605" t="s">
        <v>1763</v>
      </c>
      <c r="HL114" s="1605" t="s">
        <v>1578</v>
      </c>
      <c r="HM114" s="1605" t="s">
        <v>1763</v>
      </c>
      <c r="HN114" s="1605" t="s">
        <v>1763</v>
      </c>
      <c r="HO114" s="1605" t="s">
        <v>986</v>
      </c>
      <c r="HP114" s="1605" t="s">
        <v>1763</v>
      </c>
      <c r="HQ114" s="1605" t="s">
        <v>1763</v>
      </c>
      <c r="HR114" s="1605" t="s">
        <v>1763</v>
      </c>
      <c r="HS114" s="1605" t="s">
        <v>1763</v>
      </c>
      <c r="HT114" s="1605" t="s">
        <v>1763</v>
      </c>
      <c r="HU114" s="1605" t="s">
        <v>1763</v>
      </c>
      <c r="HV114" s="1617"/>
      <c r="HW114" s="1617" t="s">
        <v>3511</v>
      </c>
      <c r="HX114" s="1617" t="s">
        <v>3504</v>
      </c>
      <c r="HY114" s="1617" t="s">
        <v>3503</v>
      </c>
      <c r="HZ114" s="1603"/>
      <c r="IA114" s="1603"/>
      <c r="IB114" s="1603"/>
      <c r="IC114" s="1603">
        <v>60.634146341463399</v>
      </c>
      <c r="ID114" s="1603">
        <v>61.219512195121901</v>
      </c>
      <c r="IE114" s="1603">
        <v>61.707317073170699</v>
      </c>
      <c r="IF114" s="1603">
        <v>62</v>
      </c>
      <c r="IG114" s="1611" t="s">
        <v>3463</v>
      </c>
      <c r="IH114" s="1616" t="s">
        <v>3510</v>
      </c>
      <c r="II114" s="1615" t="s">
        <v>3509</v>
      </c>
      <c r="IJ114" s="1613">
        <v>0.44950000000000001</v>
      </c>
      <c r="IK114" s="1613">
        <v>0.44756818181818181</v>
      </c>
      <c r="IL114" s="1614">
        <v>0.44950000000000001</v>
      </c>
      <c r="IM114" s="1614">
        <v>0.44756818181818181</v>
      </c>
      <c r="IN114" s="1612">
        <v>0.48</v>
      </c>
      <c r="IO114" s="1613">
        <v>3.0499999999999972E-2</v>
      </c>
      <c r="IP114" s="1607" t="s">
        <v>270</v>
      </c>
      <c r="IQ114" s="1612">
        <v>1.57</v>
      </c>
      <c r="IR114" s="1612">
        <v>-1E-3</v>
      </c>
      <c r="IS114" s="1607">
        <v>0.44550000000000001</v>
      </c>
      <c r="IT114" s="1607">
        <v>0.44356818181818181</v>
      </c>
      <c r="IU114" s="1611">
        <v>1.1363636363636365E-5</v>
      </c>
      <c r="IV114" s="1611">
        <v>2.4318181818181817E-3</v>
      </c>
      <c r="IW114" s="1611">
        <v>6.3636363636363641E-4</v>
      </c>
      <c r="IX114" s="1611">
        <v>1.1022727272727271E-3</v>
      </c>
      <c r="IY114" s="1611">
        <v>6.4772727272727269E-4</v>
      </c>
      <c r="IZ114" s="1611">
        <v>8.1363636363636378E-3</v>
      </c>
      <c r="JA114" s="1611">
        <v>1.4772727272727274E-4</v>
      </c>
      <c r="JB114" s="1611" t="s">
        <v>270</v>
      </c>
      <c r="JC114" s="1611">
        <v>0.10805681818181818</v>
      </c>
      <c r="JD114" s="1611">
        <v>2.7499999999999998E-3</v>
      </c>
      <c r="JE114" s="1611" t="s">
        <v>270</v>
      </c>
      <c r="JF114" s="1611">
        <v>5.113636363636363E-4</v>
      </c>
      <c r="JG114" s="1611">
        <v>3.3054204545454549</v>
      </c>
      <c r="JH114" s="1611">
        <v>2.0454545454545454E-4</v>
      </c>
      <c r="JI114" s="1611">
        <v>4.9477272727272731E-2</v>
      </c>
      <c r="JJ114" s="1611" t="s">
        <v>270</v>
      </c>
      <c r="JK114" s="1607">
        <f t="shared" si="10"/>
        <v>4.0000000000000036E-3</v>
      </c>
      <c r="JL114" s="1608" t="s">
        <v>270</v>
      </c>
      <c r="JM114" s="1610" t="s">
        <v>2924</v>
      </c>
      <c r="JN114" s="1608">
        <v>1.9318181818182012E-3</v>
      </c>
      <c r="JO114" s="1609" t="s">
        <v>2923</v>
      </c>
      <c r="JP114" s="1608" t="s">
        <v>270</v>
      </c>
      <c r="JQ114" s="1607">
        <v>202103</v>
      </c>
      <c r="JR114" s="1606">
        <v>946</v>
      </c>
      <c r="JS114" s="1606">
        <v>865</v>
      </c>
      <c r="JT114" s="1606">
        <v>865</v>
      </c>
    </row>
    <row r="115" spans="1:280" ht="15" customHeight="1" x14ac:dyDescent="0.2">
      <c r="A115" s="1626">
        <v>51110</v>
      </c>
      <c r="B115" s="1625">
        <v>511</v>
      </c>
      <c r="C115" s="1624">
        <v>10</v>
      </c>
      <c r="D115" s="1623" t="s">
        <v>3513</v>
      </c>
      <c r="E115" s="1622">
        <v>44112</v>
      </c>
      <c r="F115" s="1620">
        <v>1.1789720189701898</v>
      </c>
      <c r="G115" s="1620">
        <v>1.1588250077922078</v>
      </c>
      <c r="H115" s="1621">
        <v>92.1</v>
      </c>
      <c r="I115" s="1621">
        <v>87.4</v>
      </c>
      <c r="J115" s="1621">
        <v>93</v>
      </c>
      <c r="K115" s="1620">
        <v>1</v>
      </c>
      <c r="L115" s="1620">
        <v>86.1</v>
      </c>
      <c r="M115" s="1620">
        <v>9.6</v>
      </c>
      <c r="N115" s="1620">
        <v>2.1</v>
      </c>
      <c r="O115" s="1620">
        <v>1.4</v>
      </c>
      <c r="P115" s="1620">
        <v>2.7</v>
      </c>
      <c r="Q115" s="1603"/>
      <c r="R115" s="1620">
        <v>84.10010625000001</v>
      </c>
      <c r="S115" s="1620">
        <v>28</v>
      </c>
      <c r="T115" s="1620">
        <v>41.821138211382099</v>
      </c>
      <c r="U115" s="1620">
        <v>47.349593495934997</v>
      </c>
      <c r="V115" s="1620">
        <v>52.325203252032502</v>
      </c>
      <c r="W115" s="1620">
        <v>55.642276422764198</v>
      </c>
      <c r="X115" s="1620"/>
      <c r="Y115" s="1620">
        <v>0.41811846689895471</v>
      </c>
      <c r="Z115" s="1620">
        <v>3.0197444831591174</v>
      </c>
      <c r="AA115" s="1620">
        <v>0.11614401858304298</v>
      </c>
      <c r="AB115" s="1620">
        <v>1.08170310701956</v>
      </c>
      <c r="AC115" s="1620">
        <v>4.8083623693379787</v>
      </c>
      <c r="AD115" s="1620">
        <v>0.97560975609756106</v>
      </c>
      <c r="AE115" s="1620">
        <v>1.3</v>
      </c>
      <c r="AF115" s="1620">
        <v>32.857142857142861</v>
      </c>
      <c r="AG115" s="1620">
        <v>3.2171893147502906</v>
      </c>
      <c r="AH115" s="1620">
        <v>25.272938443670153</v>
      </c>
      <c r="AI115" s="1620">
        <v>26.167247386759584</v>
      </c>
      <c r="AJ115" s="1620">
        <v>0</v>
      </c>
      <c r="AK115" s="1620">
        <v>6.0000000000000123E-2</v>
      </c>
      <c r="AL115" s="1620"/>
      <c r="AM115" s="1620">
        <v>2.9790060975609758</v>
      </c>
      <c r="AN115" s="1620">
        <v>1.5542453658536584</v>
      </c>
      <c r="AO115" s="1620">
        <v>2.3355261672473868</v>
      </c>
      <c r="AP115" s="1620">
        <v>2.9289740766550523</v>
      </c>
      <c r="AQ115" s="1620">
        <v>1.3611543902439025</v>
      </c>
      <c r="AR115" s="1620">
        <v>3.344416724738676</v>
      </c>
      <c r="AS115" s="1620">
        <v>6.6853026829268298</v>
      </c>
      <c r="AT115" s="1620">
        <v>2.28471</v>
      </c>
      <c r="AU115" s="1620">
        <v>4.3893279094076654</v>
      </c>
      <c r="AV115" s="1620">
        <v>2.7508033449477352</v>
      </c>
      <c r="AW115" s="1620">
        <v>4.2999519163763074</v>
      </c>
      <c r="AX115" s="1620"/>
      <c r="AY115" s="1620">
        <v>0.92</v>
      </c>
      <c r="AZ115" s="1620">
        <v>1</v>
      </c>
      <c r="BA115" s="1620">
        <v>0.98</v>
      </c>
      <c r="BB115" s="1620">
        <v>0.93</v>
      </c>
      <c r="BC115" s="1620">
        <v>0.99</v>
      </c>
      <c r="BD115" s="1620">
        <v>0.99</v>
      </c>
      <c r="BE115" s="1620">
        <v>1</v>
      </c>
      <c r="BF115" s="1620">
        <v>0.99</v>
      </c>
      <c r="BG115" s="1620">
        <v>1.02</v>
      </c>
      <c r="BH115" s="1620">
        <v>1</v>
      </c>
      <c r="BI115" s="1620">
        <v>0.96</v>
      </c>
      <c r="BJ115" s="1603"/>
      <c r="BK115" s="1620">
        <v>11.149825783972126</v>
      </c>
      <c r="BL115" s="1620">
        <v>2.4390243902439024</v>
      </c>
      <c r="BM115" s="1620">
        <v>1.6260162601626018</v>
      </c>
      <c r="BN115" s="1620">
        <v>3.1764705882352939</v>
      </c>
      <c r="BO115" s="1620"/>
      <c r="BP115" s="1620">
        <v>105</v>
      </c>
      <c r="BQ115" s="1620">
        <v>25.941176470588236</v>
      </c>
      <c r="BR115" s="1620">
        <v>1.3693054808016143</v>
      </c>
      <c r="BS115" s="1620">
        <v>1.345905932395131</v>
      </c>
      <c r="BT115" s="1603"/>
      <c r="BU115" s="1620">
        <v>983.73983739837399</v>
      </c>
      <c r="BV115" s="1620">
        <v>714.85133565621391</v>
      </c>
      <c r="BW115" s="1620">
        <v>66.051103368176371</v>
      </c>
      <c r="BX115" s="1620">
        <v>670</v>
      </c>
      <c r="BY115" s="1620">
        <v>18.999999999999996</v>
      </c>
      <c r="BZ115" s="1620">
        <v>25</v>
      </c>
      <c r="CA115" s="1620">
        <v>113</v>
      </c>
      <c r="CB115" s="1603"/>
      <c r="CC115" s="1603">
        <v>0.36</v>
      </c>
      <c r="CD115" s="1603">
        <v>2.6</v>
      </c>
      <c r="CE115" s="1603">
        <v>0.1</v>
      </c>
      <c r="CF115" s="1603">
        <v>0.93134637514384111</v>
      </c>
      <c r="CG115" s="1603">
        <v>4.1399999999999997</v>
      </c>
      <c r="CH115" s="1603">
        <v>0.84000000000000008</v>
      </c>
      <c r="CI115" s="1603">
        <v>1.1193</v>
      </c>
      <c r="CJ115" s="1603"/>
      <c r="CK115" s="1603">
        <v>28.290000000000003</v>
      </c>
      <c r="CL115" s="1603">
        <v>2.77</v>
      </c>
      <c r="CM115" s="1603">
        <v>21.76</v>
      </c>
      <c r="CN115" s="1603">
        <v>22.53</v>
      </c>
      <c r="CO115" s="1603">
        <v>0</v>
      </c>
      <c r="CP115" s="1603">
        <v>5.1660000000000102E-2</v>
      </c>
      <c r="CQ115" s="1603">
        <v>80.736102000000017</v>
      </c>
      <c r="CR115" s="1603">
        <v>68.480083242791039</v>
      </c>
      <c r="CS115" s="1603">
        <v>1.8768237869841708</v>
      </c>
      <c r="CT115" s="1603">
        <v>1.0643485203338072</v>
      </c>
      <c r="CU115" s="1603">
        <v>1.5673828582184137</v>
      </c>
      <c r="CV115" s="1603">
        <v>2.6317313785522209</v>
      </c>
      <c r="CW115" s="1603">
        <v>1.8653604138434294</v>
      </c>
      <c r="CX115" s="1603">
        <v>0.92279846290691003</v>
      </c>
      <c r="CY115" s="1603">
        <v>2.2673567635160028</v>
      </c>
      <c r="CZ115" s="1603">
        <v>4.5781008423008345</v>
      </c>
      <c r="DA115" s="1603">
        <v>1.5489255967578075</v>
      </c>
      <c r="DB115" s="1603">
        <v>3.0659317142846576</v>
      </c>
      <c r="DC115" s="1603">
        <v>1.8837524204656892</v>
      </c>
      <c r="DD115" s="1603">
        <v>4.9496841347503473</v>
      </c>
      <c r="DE115" s="1603">
        <v>2.826826225665104</v>
      </c>
      <c r="DF115" s="1603">
        <v>0</v>
      </c>
      <c r="DG115" s="1603">
        <v>0</v>
      </c>
      <c r="DH115" s="1603">
        <v>0</v>
      </c>
      <c r="DI115" s="1603">
        <v>0</v>
      </c>
      <c r="DJ115" s="1603">
        <v>0</v>
      </c>
      <c r="DK115" s="1603">
        <v>0</v>
      </c>
      <c r="DL115" s="1603">
        <v>0</v>
      </c>
      <c r="DM115" s="1603">
        <v>0</v>
      </c>
      <c r="DN115" s="1603">
        <v>0</v>
      </c>
      <c r="DO115" s="1603">
        <v>0</v>
      </c>
      <c r="DP115" s="1603">
        <v>0</v>
      </c>
      <c r="DQ115" s="1603">
        <v>0</v>
      </c>
      <c r="DR115" s="1603">
        <v>0</v>
      </c>
      <c r="DS115" s="1603">
        <v>0</v>
      </c>
      <c r="DT115" s="1603">
        <v>0</v>
      </c>
      <c r="DU115" s="1603">
        <v>0</v>
      </c>
      <c r="DV115" s="1603">
        <v>0</v>
      </c>
      <c r="DW115" s="1618" t="s">
        <v>3506</v>
      </c>
      <c r="DX115" s="1605">
        <v>29</v>
      </c>
      <c r="DY115" s="1605">
        <v>29</v>
      </c>
      <c r="DZ115" s="1605">
        <v>15</v>
      </c>
      <c r="EA115" s="1605">
        <v>15</v>
      </c>
      <c r="EB115" s="1605" t="s">
        <v>986</v>
      </c>
      <c r="EC115" s="1605">
        <v>15</v>
      </c>
      <c r="ED115" s="1605">
        <v>15</v>
      </c>
      <c r="EE115" s="1605">
        <v>16</v>
      </c>
      <c r="EF115" s="1605">
        <v>15</v>
      </c>
      <c r="EG115" s="1605">
        <v>15</v>
      </c>
      <c r="EH115" s="1605" t="s">
        <v>986</v>
      </c>
      <c r="EI115" s="1605" t="s">
        <v>986</v>
      </c>
      <c r="EJ115" s="1605" t="s">
        <v>986</v>
      </c>
      <c r="EK115" s="1605" t="s">
        <v>986</v>
      </c>
      <c r="EL115" s="1605" t="s">
        <v>986</v>
      </c>
      <c r="EM115" s="1605" t="s">
        <v>986</v>
      </c>
      <c r="EN115" s="1605" t="s">
        <v>986</v>
      </c>
      <c r="EO115" s="1605" t="s">
        <v>986</v>
      </c>
      <c r="EP115" s="1605" t="s">
        <v>986</v>
      </c>
      <c r="EQ115" s="1605" t="s">
        <v>986</v>
      </c>
      <c r="ER115" s="1605" t="s">
        <v>986</v>
      </c>
      <c r="ES115" s="1605">
        <v>15</v>
      </c>
      <c r="ET115" s="1605">
        <v>29</v>
      </c>
      <c r="EU115" s="1605">
        <v>14</v>
      </c>
      <c r="EV115" s="1605">
        <v>14</v>
      </c>
      <c r="EW115" s="1605">
        <v>14</v>
      </c>
      <c r="EX115" s="1605">
        <v>14</v>
      </c>
      <c r="EY115" s="1605" t="s">
        <v>986</v>
      </c>
      <c r="EZ115" s="1605">
        <v>14</v>
      </c>
      <c r="FA115" s="1605">
        <v>14</v>
      </c>
      <c r="FB115" s="1605">
        <v>14</v>
      </c>
      <c r="FC115" s="1605">
        <v>14</v>
      </c>
      <c r="FD115" s="1605" t="s">
        <v>986</v>
      </c>
      <c r="FE115" s="1605" t="s">
        <v>986</v>
      </c>
      <c r="FF115" s="1605">
        <v>1.1183754051292571</v>
      </c>
      <c r="FG115" s="1605">
        <v>0.39597331700889077</v>
      </c>
      <c r="FH115" s="1605">
        <v>0.1069680405330809</v>
      </c>
      <c r="FI115" s="1605">
        <v>7.4037490039152151E-2</v>
      </c>
      <c r="FJ115" s="1605" t="s">
        <v>986</v>
      </c>
      <c r="FK115" s="1605">
        <v>0.79885283904454096</v>
      </c>
      <c r="FL115" s="1605">
        <v>0.43260011227790796</v>
      </c>
      <c r="FM115" s="1605" t="s">
        <v>986</v>
      </c>
      <c r="FN115" s="1605">
        <v>1.0001165364368381</v>
      </c>
      <c r="FO115" s="1605">
        <v>0.90653049863276791</v>
      </c>
      <c r="FP115" s="1605" t="s">
        <v>986</v>
      </c>
      <c r="FQ115" s="1605" t="s">
        <v>986</v>
      </c>
      <c r="FR115" s="1605" t="s">
        <v>986</v>
      </c>
      <c r="FS115" s="1605" t="s">
        <v>986</v>
      </c>
      <c r="FT115" s="1605" t="s">
        <v>986</v>
      </c>
      <c r="FU115" s="1605" t="s">
        <v>986</v>
      </c>
      <c r="FV115" s="1605" t="s">
        <v>986</v>
      </c>
      <c r="FW115" s="1605" t="s">
        <v>986</v>
      </c>
      <c r="FX115" s="1605" t="s">
        <v>986</v>
      </c>
      <c r="FY115" s="1605" t="s">
        <v>986</v>
      </c>
      <c r="FZ115" s="1605" t="s">
        <v>986</v>
      </c>
      <c r="GA115" s="1605">
        <v>2.7390573530437209E-2</v>
      </c>
      <c r="GB115" s="1605">
        <v>0.1335586258918719</v>
      </c>
      <c r="GC115" s="1605">
        <v>1.4097578188507563E-3</v>
      </c>
      <c r="GD115" s="1605">
        <v>7.0000000000000007E-2</v>
      </c>
      <c r="GE115" s="1605">
        <v>0.17693420735921803</v>
      </c>
      <c r="GF115" s="1605">
        <v>3.1736289437774005E-2</v>
      </c>
      <c r="GG115" s="1605" t="s">
        <v>986</v>
      </c>
      <c r="GH115" s="1605">
        <v>3.4189258938736291</v>
      </c>
      <c r="GI115" s="1605">
        <v>0.35702311147685317</v>
      </c>
      <c r="GJ115" s="1605">
        <v>2.585178306653741</v>
      </c>
      <c r="GK115" s="1605">
        <v>3.7119751875578042</v>
      </c>
      <c r="GL115" s="1605" t="s">
        <v>986</v>
      </c>
      <c r="GM115" s="1605" t="s">
        <v>986</v>
      </c>
      <c r="GN115" s="1605" t="s">
        <v>1763</v>
      </c>
      <c r="GO115" s="1605" t="s">
        <v>1763</v>
      </c>
      <c r="GP115" s="1605" t="s">
        <v>1763</v>
      </c>
      <c r="GQ115" s="1605" t="s">
        <v>1763</v>
      </c>
      <c r="GR115" s="1605" t="s">
        <v>1763</v>
      </c>
      <c r="GS115" s="1605" t="s">
        <v>1763</v>
      </c>
      <c r="GT115" s="1605" t="s">
        <v>1763</v>
      </c>
      <c r="GU115" s="1605" t="s">
        <v>1763</v>
      </c>
      <c r="GV115" s="1605" t="s">
        <v>1763</v>
      </c>
      <c r="GW115" s="1605" t="s">
        <v>1763</v>
      </c>
      <c r="GX115" s="1605" t="s">
        <v>1763</v>
      </c>
      <c r="GY115" s="1605" t="s">
        <v>1763</v>
      </c>
      <c r="GZ115" s="1605" t="s">
        <v>1763</v>
      </c>
      <c r="HA115" s="1605" t="s">
        <v>1763</v>
      </c>
      <c r="HB115" s="1605" t="s">
        <v>1763</v>
      </c>
      <c r="HC115" s="1605" t="s">
        <v>1763</v>
      </c>
      <c r="HD115" s="1605" t="s">
        <v>1763</v>
      </c>
      <c r="HE115" s="1605" t="s">
        <v>1763</v>
      </c>
      <c r="HF115" s="1605" t="s">
        <v>1763</v>
      </c>
      <c r="HG115" s="1605" t="s">
        <v>1763</v>
      </c>
      <c r="HH115" s="1605" t="s">
        <v>1763</v>
      </c>
      <c r="HI115" s="1605" t="s">
        <v>1763</v>
      </c>
      <c r="HJ115" s="1605" t="s">
        <v>1763</v>
      </c>
      <c r="HK115" s="1605" t="s">
        <v>1763</v>
      </c>
      <c r="HL115" s="1605" t="s">
        <v>1578</v>
      </c>
      <c r="HM115" s="1605" t="s">
        <v>1763</v>
      </c>
      <c r="HN115" s="1605" t="s">
        <v>1763</v>
      </c>
      <c r="HO115" s="1605" t="s">
        <v>986</v>
      </c>
      <c r="HP115" s="1605" t="s">
        <v>1763</v>
      </c>
      <c r="HQ115" s="1605" t="s">
        <v>1763</v>
      </c>
      <c r="HR115" s="1605" t="s">
        <v>1763</v>
      </c>
      <c r="HS115" s="1605" t="s">
        <v>1763</v>
      </c>
      <c r="HT115" s="1605" t="s">
        <v>1763</v>
      </c>
      <c r="HU115" s="1605" t="s">
        <v>1763</v>
      </c>
      <c r="HV115" s="1617"/>
      <c r="HW115" s="1617" t="s">
        <v>3511</v>
      </c>
      <c r="HX115" s="1617" t="s">
        <v>3504</v>
      </c>
      <c r="HY115" s="1617" t="s">
        <v>3503</v>
      </c>
      <c r="HZ115" s="1603"/>
      <c r="IA115" s="1603"/>
      <c r="IB115" s="1603"/>
      <c r="IC115" s="1603">
        <v>58.130081300813004</v>
      </c>
      <c r="ID115" s="1603">
        <v>59.788617886178898</v>
      </c>
      <c r="IE115" s="1603">
        <v>61.170731707317103</v>
      </c>
      <c r="IF115" s="1603">
        <v>62</v>
      </c>
      <c r="IG115" s="1611" t="s">
        <v>3463</v>
      </c>
      <c r="IH115" s="1616" t="s">
        <v>3510</v>
      </c>
      <c r="II115" s="1615" t="s">
        <v>3509</v>
      </c>
      <c r="IJ115" s="1613">
        <v>0.44950000000000001</v>
      </c>
      <c r="IK115" s="1613">
        <v>0.44756818181818181</v>
      </c>
      <c r="IL115" s="1614">
        <v>0.44950000000000001</v>
      </c>
      <c r="IM115" s="1614">
        <v>0.44756818181818181</v>
      </c>
      <c r="IN115" s="1612">
        <v>0.48</v>
      </c>
      <c r="IO115" s="1613">
        <v>3.0499999999999972E-2</v>
      </c>
      <c r="IP115" s="1607" t="s">
        <v>270</v>
      </c>
      <c r="IQ115" s="1612">
        <v>1.57</v>
      </c>
      <c r="IR115" s="1612">
        <v>-1E-3</v>
      </c>
      <c r="IS115" s="1607">
        <v>0.44550000000000001</v>
      </c>
      <c r="IT115" s="1607">
        <v>0.44356818181818181</v>
      </c>
      <c r="IU115" s="1611">
        <v>1.1363636363636365E-5</v>
      </c>
      <c r="IV115" s="1611">
        <v>2.4318181818181817E-3</v>
      </c>
      <c r="IW115" s="1611">
        <v>6.3636363636363641E-4</v>
      </c>
      <c r="IX115" s="1611">
        <v>1.1022727272727271E-3</v>
      </c>
      <c r="IY115" s="1611">
        <v>6.4772727272727269E-4</v>
      </c>
      <c r="IZ115" s="1611">
        <v>8.1363636363636378E-3</v>
      </c>
      <c r="JA115" s="1611">
        <v>1.4772727272727274E-4</v>
      </c>
      <c r="JB115" s="1611" t="s">
        <v>270</v>
      </c>
      <c r="JC115" s="1611">
        <v>0.10805681818181818</v>
      </c>
      <c r="JD115" s="1611">
        <v>2.7499999999999998E-3</v>
      </c>
      <c r="JE115" s="1611" t="s">
        <v>270</v>
      </c>
      <c r="JF115" s="1611">
        <v>5.113636363636363E-4</v>
      </c>
      <c r="JG115" s="1611">
        <v>3.3054204545454549</v>
      </c>
      <c r="JH115" s="1611">
        <v>2.0454545454545454E-4</v>
      </c>
      <c r="JI115" s="1611">
        <v>4.9477272727272731E-2</v>
      </c>
      <c r="JJ115" s="1611" t="s">
        <v>270</v>
      </c>
      <c r="JK115" s="1607">
        <f t="shared" si="10"/>
        <v>4.0000000000000036E-3</v>
      </c>
      <c r="JL115" s="1608" t="s">
        <v>270</v>
      </c>
      <c r="JM115" s="1610" t="s">
        <v>2924</v>
      </c>
      <c r="JN115" s="1608">
        <v>1.9318181818182012E-3</v>
      </c>
      <c r="JO115" s="1609" t="s">
        <v>2923</v>
      </c>
      <c r="JP115" s="1608" t="s">
        <v>270</v>
      </c>
      <c r="JQ115" s="1607">
        <v>202103</v>
      </c>
      <c r="JR115" s="1606">
        <v>946</v>
      </c>
      <c r="JS115" s="1606">
        <v>865</v>
      </c>
      <c r="JT115" s="1606">
        <v>865</v>
      </c>
    </row>
    <row r="116" spans="1:280" ht="15" customHeight="1" x14ac:dyDescent="0.2">
      <c r="A116" s="1626">
        <v>51111</v>
      </c>
      <c r="B116" s="1625">
        <v>511</v>
      </c>
      <c r="C116" s="1624">
        <v>11</v>
      </c>
      <c r="D116" s="1623" t="s">
        <v>3512</v>
      </c>
      <c r="E116" s="1622">
        <v>44112</v>
      </c>
      <c r="F116" s="1620">
        <v>1.1888094173441734</v>
      </c>
      <c r="G116" s="1620">
        <v>1.1657392935064934</v>
      </c>
      <c r="H116" s="1621">
        <v>92.1</v>
      </c>
      <c r="I116" s="1621">
        <v>88.2</v>
      </c>
      <c r="J116" s="1621">
        <v>93</v>
      </c>
      <c r="K116" s="1620">
        <v>1</v>
      </c>
      <c r="L116" s="1620">
        <v>86.1</v>
      </c>
      <c r="M116" s="1620">
        <v>9.6</v>
      </c>
      <c r="N116" s="1620">
        <v>2.1</v>
      </c>
      <c r="O116" s="1620">
        <v>1.4</v>
      </c>
      <c r="P116" s="1620">
        <v>2.7</v>
      </c>
      <c r="Q116" s="1603"/>
      <c r="R116" s="1620">
        <v>84.765606250000005</v>
      </c>
      <c r="S116" s="1620">
        <v>28</v>
      </c>
      <c r="T116" s="1620">
        <v>41.821138211382099</v>
      </c>
      <c r="U116" s="1620">
        <v>47.349593495934997</v>
      </c>
      <c r="V116" s="1620">
        <v>52.325203252032502</v>
      </c>
      <c r="W116" s="1620">
        <v>55.642276422764198</v>
      </c>
      <c r="X116" s="1620"/>
      <c r="Y116" s="1620">
        <v>0.41811846689895471</v>
      </c>
      <c r="Z116" s="1620">
        <v>3.0197444831591174</v>
      </c>
      <c r="AA116" s="1620">
        <v>0.11614401858304298</v>
      </c>
      <c r="AB116" s="1620">
        <v>1.08170310701956</v>
      </c>
      <c r="AC116" s="1620">
        <v>4.8083623693379787</v>
      </c>
      <c r="AD116" s="1620">
        <v>0.97560975609756106</v>
      </c>
      <c r="AE116" s="1620">
        <v>1.3</v>
      </c>
      <c r="AF116" s="1620">
        <v>32.857142857142861</v>
      </c>
      <c r="AG116" s="1620">
        <v>3.2171893147502906</v>
      </c>
      <c r="AH116" s="1620">
        <v>25.272938443670153</v>
      </c>
      <c r="AI116" s="1620">
        <v>26.167247386759584</v>
      </c>
      <c r="AJ116" s="1620">
        <v>0</v>
      </c>
      <c r="AK116" s="1620">
        <v>6.0000000000000123E-2</v>
      </c>
      <c r="AL116" s="1620"/>
      <c r="AM116" s="1620">
        <v>2.9790060975609758</v>
      </c>
      <c r="AN116" s="1620">
        <v>1.5542453658536584</v>
      </c>
      <c r="AO116" s="1620">
        <v>2.3355261672473868</v>
      </c>
      <c r="AP116" s="1620">
        <v>2.9289740766550523</v>
      </c>
      <c r="AQ116" s="1620">
        <v>1.3611543902439025</v>
      </c>
      <c r="AR116" s="1620">
        <v>3.344416724738676</v>
      </c>
      <c r="AS116" s="1620">
        <v>6.6853026829268298</v>
      </c>
      <c r="AT116" s="1620">
        <v>2.28471</v>
      </c>
      <c r="AU116" s="1620">
        <v>4.3893279094076654</v>
      </c>
      <c r="AV116" s="1620">
        <v>2.7508033449477352</v>
      </c>
      <c r="AW116" s="1620">
        <v>4.2999519163763074</v>
      </c>
      <c r="AX116" s="1620"/>
      <c r="AY116" s="1620">
        <v>0.92</v>
      </c>
      <c r="AZ116" s="1620">
        <v>1</v>
      </c>
      <c r="BA116" s="1620">
        <v>0.98</v>
      </c>
      <c r="BB116" s="1620">
        <v>0.93</v>
      </c>
      <c r="BC116" s="1620">
        <v>0.99</v>
      </c>
      <c r="BD116" s="1620">
        <v>0.99</v>
      </c>
      <c r="BE116" s="1620">
        <v>1</v>
      </c>
      <c r="BF116" s="1620">
        <v>0.99</v>
      </c>
      <c r="BG116" s="1620">
        <v>1.02</v>
      </c>
      <c r="BH116" s="1620">
        <v>1</v>
      </c>
      <c r="BI116" s="1620">
        <v>0.96</v>
      </c>
      <c r="BJ116" s="1603"/>
      <c r="BK116" s="1620">
        <v>11.149825783972126</v>
      </c>
      <c r="BL116" s="1620">
        <v>2.4390243902439024</v>
      </c>
      <c r="BM116" s="1620">
        <v>1.6260162601626018</v>
      </c>
      <c r="BN116" s="1620">
        <v>3.1764705882352939</v>
      </c>
      <c r="BO116" s="1620"/>
      <c r="BP116" s="1620">
        <v>105</v>
      </c>
      <c r="BQ116" s="1620">
        <v>25.941176470588236</v>
      </c>
      <c r="BR116" s="1620">
        <v>1.3807310305971816</v>
      </c>
      <c r="BS116" s="1620">
        <v>1.3539364616800156</v>
      </c>
      <c r="BT116" s="1603"/>
      <c r="BU116" s="1620">
        <v>983.73983739837399</v>
      </c>
      <c r="BV116" s="1620">
        <v>726.09407665505239</v>
      </c>
      <c r="BW116" s="1620">
        <v>54.808362369337864</v>
      </c>
      <c r="BX116" s="1620">
        <v>670</v>
      </c>
      <c r="BY116" s="1620">
        <v>18.999999999999996</v>
      </c>
      <c r="BZ116" s="1620">
        <v>25</v>
      </c>
      <c r="CA116" s="1620">
        <v>113</v>
      </c>
      <c r="CB116" s="1603"/>
      <c r="CC116" s="1603">
        <v>0.36</v>
      </c>
      <c r="CD116" s="1603">
        <v>2.6</v>
      </c>
      <c r="CE116" s="1603">
        <v>0.1</v>
      </c>
      <c r="CF116" s="1603">
        <v>0.93134637514384111</v>
      </c>
      <c r="CG116" s="1603">
        <v>4.1399999999999997</v>
      </c>
      <c r="CH116" s="1603">
        <v>0.84000000000000008</v>
      </c>
      <c r="CI116" s="1603">
        <v>1.1193</v>
      </c>
      <c r="CJ116" s="1603"/>
      <c r="CK116" s="1603">
        <v>28.290000000000003</v>
      </c>
      <c r="CL116" s="1603">
        <v>2.77</v>
      </c>
      <c r="CM116" s="1603">
        <v>21.76</v>
      </c>
      <c r="CN116" s="1603">
        <v>22.53</v>
      </c>
      <c r="CO116" s="1603">
        <v>0</v>
      </c>
      <c r="CP116" s="1603">
        <v>5.1660000000000102E-2</v>
      </c>
      <c r="CQ116" s="1603">
        <v>81.374982000000003</v>
      </c>
      <c r="CR116" s="1603">
        <v>68.450822152631929</v>
      </c>
      <c r="CS116" s="1603">
        <v>1.8760218324969224</v>
      </c>
      <c r="CT116" s="1603">
        <v>1.0638937311960113</v>
      </c>
      <c r="CU116" s="1603">
        <v>1.5667131258092757</v>
      </c>
      <c r="CV116" s="1603">
        <v>2.630606857005287</v>
      </c>
      <c r="CW116" s="1603">
        <v>1.864563357580294</v>
      </c>
      <c r="CX116" s="1603">
        <v>0.92240415717970936</v>
      </c>
      <c r="CY116" s="1603">
        <v>2.266387936850812</v>
      </c>
      <c r="CZ116" s="1603">
        <v>4.5761446498553742</v>
      </c>
      <c r="DA116" s="1603">
        <v>1.5482637510153627</v>
      </c>
      <c r="DB116" s="1603">
        <v>3.0646216617837676</v>
      </c>
      <c r="DC116" s="1603">
        <v>1.8829475054188243</v>
      </c>
      <c r="DD116" s="1603">
        <v>4.9475691672025919</v>
      </c>
      <c r="DE116" s="1603">
        <v>2.8256183413703373</v>
      </c>
      <c r="DF116" s="1603">
        <v>0</v>
      </c>
      <c r="DG116" s="1603">
        <v>0</v>
      </c>
      <c r="DH116" s="1603">
        <v>0</v>
      </c>
      <c r="DI116" s="1603">
        <v>0</v>
      </c>
      <c r="DJ116" s="1603">
        <v>0</v>
      </c>
      <c r="DK116" s="1603">
        <v>0</v>
      </c>
      <c r="DL116" s="1603">
        <v>0</v>
      </c>
      <c r="DM116" s="1603">
        <v>0</v>
      </c>
      <c r="DN116" s="1603">
        <v>0</v>
      </c>
      <c r="DO116" s="1603">
        <v>0</v>
      </c>
      <c r="DP116" s="1603">
        <v>0</v>
      </c>
      <c r="DQ116" s="1603">
        <v>0</v>
      </c>
      <c r="DR116" s="1603">
        <v>0</v>
      </c>
      <c r="DS116" s="1603">
        <v>0</v>
      </c>
      <c r="DT116" s="1603">
        <v>0</v>
      </c>
      <c r="DU116" s="1603">
        <v>0</v>
      </c>
      <c r="DV116" s="1603">
        <v>0</v>
      </c>
      <c r="DW116" s="1618" t="s">
        <v>3506</v>
      </c>
      <c r="DX116" s="1605">
        <v>29</v>
      </c>
      <c r="DY116" s="1605">
        <v>29</v>
      </c>
      <c r="DZ116" s="1605">
        <v>15</v>
      </c>
      <c r="EA116" s="1605">
        <v>15</v>
      </c>
      <c r="EB116" s="1605" t="s">
        <v>986</v>
      </c>
      <c r="EC116" s="1605">
        <v>15</v>
      </c>
      <c r="ED116" s="1605">
        <v>15</v>
      </c>
      <c r="EE116" s="1605">
        <v>16</v>
      </c>
      <c r="EF116" s="1605">
        <v>15</v>
      </c>
      <c r="EG116" s="1605">
        <v>15</v>
      </c>
      <c r="EH116" s="1605" t="s">
        <v>986</v>
      </c>
      <c r="EI116" s="1605" t="s">
        <v>986</v>
      </c>
      <c r="EJ116" s="1605" t="s">
        <v>986</v>
      </c>
      <c r="EK116" s="1605" t="s">
        <v>986</v>
      </c>
      <c r="EL116" s="1605" t="s">
        <v>986</v>
      </c>
      <c r="EM116" s="1605" t="s">
        <v>986</v>
      </c>
      <c r="EN116" s="1605" t="s">
        <v>986</v>
      </c>
      <c r="EO116" s="1605" t="s">
        <v>986</v>
      </c>
      <c r="EP116" s="1605" t="s">
        <v>986</v>
      </c>
      <c r="EQ116" s="1605" t="s">
        <v>986</v>
      </c>
      <c r="ER116" s="1605" t="s">
        <v>986</v>
      </c>
      <c r="ES116" s="1605">
        <v>15</v>
      </c>
      <c r="ET116" s="1605">
        <v>29</v>
      </c>
      <c r="EU116" s="1605">
        <v>14</v>
      </c>
      <c r="EV116" s="1605">
        <v>14</v>
      </c>
      <c r="EW116" s="1605">
        <v>14</v>
      </c>
      <c r="EX116" s="1605">
        <v>14</v>
      </c>
      <c r="EY116" s="1605" t="s">
        <v>986</v>
      </c>
      <c r="EZ116" s="1605">
        <v>14</v>
      </c>
      <c r="FA116" s="1605">
        <v>14</v>
      </c>
      <c r="FB116" s="1605">
        <v>14</v>
      </c>
      <c r="FC116" s="1605">
        <v>14</v>
      </c>
      <c r="FD116" s="1605" t="s">
        <v>986</v>
      </c>
      <c r="FE116" s="1605" t="s">
        <v>986</v>
      </c>
      <c r="FF116" s="1605">
        <v>1.1183754051292571</v>
      </c>
      <c r="FG116" s="1605">
        <v>0.39597331700889077</v>
      </c>
      <c r="FH116" s="1605">
        <v>0.1069680405330809</v>
      </c>
      <c r="FI116" s="1605">
        <v>7.4037490039152151E-2</v>
      </c>
      <c r="FJ116" s="1605" t="s">
        <v>986</v>
      </c>
      <c r="FK116" s="1605">
        <v>0.79885283904454096</v>
      </c>
      <c r="FL116" s="1605">
        <v>0.43260011227790796</v>
      </c>
      <c r="FM116" s="1605" t="s">
        <v>986</v>
      </c>
      <c r="FN116" s="1605">
        <v>1.0001165364368381</v>
      </c>
      <c r="FO116" s="1605">
        <v>0.90653049863276791</v>
      </c>
      <c r="FP116" s="1605" t="s">
        <v>986</v>
      </c>
      <c r="FQ116" s="1605" t="s">
        <v>986</v>
      </c>
      <c r="FR116" s="1605" t="s">
        <v>986</v>
      </c>
      <c r="FS116" s="1605" t="s">
        <v>986</v>
      </c>
      <c r="FT116" s="1605" t="s">
        <v>986</v>
      </c>
      <c r="FU116" s="1605" t="s">
        <v>986</v>
      </c>
      <c r="FV116" s="1605" t="s">
        <v>986</v>
      </c>
      <c r="FW116" s="1605" t="s">
        <v>986</v>
      </c>
      <c r="FX116" s="1605" t="s">
        <v>986</v>
      </c>
      <c r="FY116" s="1605" t="s">
        <v>986</v>
      </c>
      <c r="FZ116" s="1605" t="s">
        <v>986</v>
      </c>
      <c r="GA116" s="1605">
        <v>2.7390573530437209E-2</v>
      </c>
      <c r="GB116" s="1605">
        <v>0.1335586258918719</v>
      </c>
      <c r="GC116" s="1605">
        <v>1.4097578188507563E-3</v>
      </c>
      <c r="GD116" s="1605">
        <v>7.0000000000000007E-2</v>
      </c>
      <c r="GE116" s="1605">
        <v>0.17693420735921803</v>
      </c>
      <c r="GF116" s="1605">
        <v>3.1736289437774005E-2</v>
      </c>
      <c r="GG116" s="1605" t="s">
        <v>986</v>
      </c>
      <c r="GH116" s="1605">
        <v>3.4189258938736291</v>
      </c>
      <c r="GI116" s="1605">
        <v>0.35702311147685317</v>
      </c>
      <c r="GJ116" s="1605">
        <v>2.585178306653741</v>
      </c>
      <c r="GK116" s="1605">
        <v>3.7119751875578042</v>
      </c>
      <c r="GL116" s="1605" t="s">
        <v>986</v>
      </c>
      <c r="GM116" s="1605" t="s">
        <v>986</v>
      </c>
      <c r="GN116" s="1605" t="s">
        <v>1763</v>
      </c>
      <c r="GO116" s="1605" t="s">
        <v>1763</v>
      </c>
      <c r="GP116" s="1605" t="s">
        <v>1763</v>
      </c>
      <c r="GQ116" s="1605" t="s">
        <v>1763</v>
      </c>
      <c r="GR116" s="1605" t="s">
        <v>1763</v>
      </c>
      <c r="GS116" s="1605" t="s">
        <v>1763</v>
      </c>
      <c r="GT116" s="1605" t="s">
        <v>1763</v>
      </c>
      <c r="GU116" s="1605" t="s">
        <v>1763</v>
      </c>
      <c r="GV116" s="1605" t="s">
        <v>1763</v>
      </c>
      <c r="GW116" s="1605" t="s">
        <v>1763</v>
      </c>
      <c r="GX116" s="1605" t="s">
        <v>1763</v>
      </c>
      <c r="GY116" s="1605" t="s">
        <v>1763</v>
      </c>
      <c r="GZ116" s="1605" t="s">
        <v>1763</v>
      </c>
      <c r="HA116" s="1605" t="s">
        <v>1763</v>
      </c>
      <c r="HB116" s="1605" t="s">
        <v>1763</v>
      </c>
      <c r="HC116" s="1605" t="s">
        <v>1763</v>
      </c>
      <c r="HD116" s="1605" t="s">
        <v>1763</v>
      </c>
      <c r="HE116" s="1605" t="s">
        <v>1763</v>
      </c>
      <c r="HF116" s="1605" t="s">
        <v>1763</v>
      </c>
      <c r="HG116" s="1605" t="s">
        <v>1763</v>
      </c>
      <c r="HH116" s="1605" t="s">
        <v>1763</v>
      </c>
      <c r="HI116" s="1605" t="s">
        <v>1763</v>
      </c>
      <c r="HJ116" s="1605" t="s">
        <v>1763</v>
      </c>
      <c r="HK116" s="1605" t="s">
        <v>1763</v>
      </c>
      <c r="HL116" s="1605" t="s">
        <v>1578</v>
      </c>
      <c r="HM116" s="1605" t="s">
        <v>1763</v>
      </c>
      <c r="HN116" s="1605" t="s">
        <v>1763</v>
      </c>
      <c r="HO116" s="1605" t="s">
        <v>986</v>
      </c>
      <c r="HP116" s="1605" t="s">
        <v>1763</v>
      </c>
      <c r="HQ116" s="1605" t="s">
        <v>1763</v>
      </c>
      <c r="HR116" s="1605" t="s">
        <v>1763</v>
      </c>
      <c r="HS116" s="1605" t="s">
        <v>1763</v>
      </c>
      <c r="HT116" s="1605" t="s">
        <v>1763</v>
      </c>
      <c r="HU116" s="1605" t="s">
        <v>1763</v>
      </c>
      <c r="HV116" s="1617"/>
      <c r="HW116" s="1617" t="s">
        <v>3511</v>
      </c>
      <c r="HX116" s="1617" t="s">
        <v>3504</v>
      </c>
      <c r="HY116" s="1617" t="s">
        <v>3503</v>
      </c>
      <c r="HZ116" s="1603"/>
      <c r="IA116" s="1603"/>
      <c r="IB116" s="1603"/>
      <c r="IC116" s="1603">
        <v>58.130081300813004</v>
      </c>
      <c r="ID116" s="1603">
        <v>59.788617886178898</v>
      </c>
      <c r="IE116" s="1603">
        <v>61.170731707317103</v>
      </c>
      <c r="IF116" s="1603">
        <v>62</v>
      </c>
      <c r="IG116" s="1611" t="s">
        <v>3463</v>
      </c>
      <c r="IH116" s="1616" t="s">
        <v>3510</v>
      </c>
      <c r="II116" s="1615" t="s">
        <v>3509</v>
      </c>
      <c r="IJ116" s="1613">
        <v>0.44950000000000001</v>
      </c>
      <c r="IK116" s="1613">
        <v>0.44756818181818181</v>
      </c>
      <c r="IL116" s="1614">
        <v>0.44950000000000001</v>
      </c>
      <c r="IM116" s="1614">
        <v>0.44756818181818181</v>
      </c>
      <c r="IN116" s="1612">
        <v>0.48</v>
      </c>
      <c r="IO116" s="1613">
        <v>3.0499999999999972E-2</v>
      </c>
      <c r="IP116" s="1607" t="s">
        <v>270</v>
      </c>
      <c r="IQ116" s="1612">
        <v>1.57</v>
      </c>
      <c r="IR116" s="1612">
        <v>-1E-3</v>
      </c>
      <c r="IS116" s="1607">
        <v>0.44550000000000001</v>
      </c>
      <c r="IT116" s="1607">
        <v>0.44356818181818181</v>
      </c>
      <c r="IU116" s="1611">
        <v>1.1363636363636365E-5</v>
      </c>
      <c r="IV116" s="1611">
        <v>2.4318181818181817E-3</v>
      </c>
      <c r="IW116" s="1611">
        <v>6.3636363636363641E-4</v>
      </c>
      <c r="IX116" s="1611">
        <v>1.1022727272727271E-3</v>
      </c>
      <c r="IY116" s="1611">
        <v>6.4772727272727269E-4</v>
      </c>
      <c r="IZ116" s="1611">
        <v>8.1363636363636378E-3</v>
      </c>
      <c r="JA116" s="1611">
        <v>1.4772727272727274E-4</v>
      </c>
      <c r="JB116" s="1611" t="s">
        <v>270</v>
      </c>
      <c r="JC116" s="1611">
        <v>0.10805681818181818</v>
      </c>
      <c r="JD116" s="1611">
        <v>2.7499999999999998E-3</v>
      </c>
      <c r="JE116" s="1611" t="s">
        <v>270</v>
      </c>
      <c r="JF116" s="1611">
        <v>5.113636363636363E-4</v>
      </c>
      <c r="JG116" s="1611">
        <v>3.3054204545454549</v>
      </c>
      <c r="JH116" s="1611">
        <v>2.0454545454545454E-4</v>
      </c>
      <c r="JI116" s="1611">
        <v>4.9477272727272731E-2</v>
      </c>
      <c r="JJ116" s="1611" t="s">
        <v>270</v>
      </c>
      <c r="JK116" s="1607">
        <f t="shared" si="10"/>
        <v>4.0000000000000036E-3</v>
      </c>
      <c r="JL116" s="1608" t="s">
        <v>270</v>
      </c>
      <c r="JM116" s="1610" t="s">
        <v>2924</v>
      </c>
      <c r="JN116" s="1608">
        <v>1.9318181818182012E-3</v>
      </c>
      <c r="JO116" s="1609" t="s">
        <v>2923</v>
      </c>
      <c r="JP116" s="1608" t="s">
        <v>270</v>
      </c>
      <c r="JQ116" s="1607">
        <v>202103</v>
      </c>
      <c r="JR116" s="1606">
        <v>946</v>
      </c>
      <c r="JS116" s="1606">
        <v>865</v>
      </c>
      <c r="JT116" s="1606">
        <v>865</v>
      </c>
    </row>
    <row r="117" spans="1:280" ht="15" customHeight="1" x14ac:dyDescent="0.2">
      <c r="A117" s="1626">
        <v>51050</v>
      </c>
      <c r="B117" s="1625">
        <v>510</v>
      </c>
      <c r="C117" s="1624">
        <v>50</v>
      </c>
      <c r="D117" s="1623" t="s">
        <v>3508</v>
      </c>
      <c r="E117" s="1622">
        <v>44497</v>
      </c>
      <c r="F117" s="1620">
        <v>1.1473203832752614</v>
      </c>
      <c r="G117" s="1620">
        <v>1.1258626382189239</v>
      </c>
      <c r="H117" s="1621">
        <v>89.5</v>
      </c>
      <c r="I117" s="1621">
        <v>87</v>
      </c>
      <c r="J117" s="1621">
        <v>93</v>
      </c>
      <c r="K117" s="1620">
        <v>1</v>
      </c>
      <c r="L117" s="1620">
        <v>85</v>
      </c>
      <c r="M117" s="1620">
        <v>9.9</v>
      </c>
      <c r="N117" s="1620">
        <v>2.1</v>
      </c>
      <c r="O117" s="1620">
        <v>1.4</v>
      </c>
      <c r="P117" s="1620">
        <v>2.7</v>
      </c>
      <c r="Q117" s="1603"/>
      <c r="R117" s="1620">
        <v>84.779523809523795</v>
      </c>
      <c r="S117" s="1620">
        <v>50</v>
      </c>
      <c r="T117" s="1620">
        <v>54.878048780487802</v>
      </c>
      <c r="U117" s="1620">
        <v>56.829268292682897</v>
      </c>
      <c r="V117" s="1620">
        <v>58.585365853658502</v>
      </c>
      <c r="W117" s="1620">
        <v>59.756097560975597</v>
      </c>
      <c r="X117" s="1620"/>
      <c r="Y117" s="1620">
        <v>0.4</v>
      </c>
      <c r="Z117" s="1620">
        <v>3.1764705882352939</v>
      </c>
      <c r="AA117" s="1620">
        <v>0.11764705882352941</v>
      </c>
      <c r="AB117" s="1620">
        <v>1.08170310701956</v>
      </c>
      <c r="AC117" s="1620">
        <v>4.7647058823529411</v>
      </c>
      <c r="AD117" s="1620">
        <v>0.97647058823529409</v>
      </c>
      <c r="AE117" s="1620">
        <v>1.3</v>
      </c>
      <c r="AF117" s="1620">
        <v>35.258823529411764</v>
      </c>
      <c r="AG117" s="1620">
        <v>2.729411764705882</v>
      </c>
      <c r="AH117" s="1620">
        <v>27.28235294117647</v>
      </c>
      <c r="AI117" s="1620">
        <v>25.176470588235293</v>
      </c>
      <c r="AJ117" s="1620">
        <v>0</v>
      </c>
      <c r="AK117" s="1620">
        <v>6.0000000000000123E-2</v>
      </c>
      <c r="AL117" s="1620"/>
      <c r="AM117" s="1620">
        <v>2.9030935294117652</v>
      </c>
      <c r="AN117" s="1620">
        <v>1.5375035294117647</v>
      </c>
      <c r="AO117" s="1620">
        <v>2.3079347058823529</v>
      </c>
      <c r="AP117" s="1620">
        <v>2.8916517647058826</v>
      </c>
      <c r="AQ117" s="1620">
        <v>1.3414888235294118</v>
      </c>
      <c r="AR117" s="1620">
        <v>3.3452023529411763</v>
      </c>
      <c r="AS117" s="1620">
        <v>6.6590935294117646</v>
      </c>
      <c r="AT117" s="1620">
        <v>2.2747205882352945</v>
      </c>
      <c r="AU117" s="1620">
        <v>4.4124194117647058</v>
      </c>
      <c r="AV117" s="1620">
        <v>2.7541000000000002</v>
      </c>
      <c r="AW117" s="1620">
        <v>4.2787847058823534</v>
      </c>
      <c r="AX117" s="1620"/>
      <c r="AY117" s="1620">
        <v>0.92</v>
      </c>
      <c r="AZ117" s="1620">
        <v>1</v>
      </c>
      <c r="BA117" s="1620">
        <v>0.98</v>
      </c>
      <c r="BB117" s="1620">
        <v>0.93</v>
      </c>
      <c r="BC117" s="1620">
        <v>0.99</v>
      </c>
      <c r="BD117" s="1620">
        <v>0.99</v>
      </c>
      <c r="BE117" s="1620">
        <v>1</v>
      </c>
      <c r="BF117" s="1620">
        <v>0.99</v>
      </c>
      <c r="BG117" s="1620">
        <v>1.02</v>
      </c>
      <c r="BH117" s="1620">
        <v>1</v>
      </c>
      <c r="BI117" s="1620">
        <v>0.96</v>
      </c>
      <c r="BJ117" s="1603"/>
      <c r="BK117" s="1620">
        <v>11.647058823529411</v>
      </c>
      <c r="BL117" s="1620">
        <v>2.4705882352941178</v>
      </c>
      <c r="BM117" s="1620">
        <v>1.6470588235294117</v>
      </c>
      <c r="BN117" s="1620">
        <v>3.1764705882352939</v>
      </c>
      <c r="BO117" s="1620"/>
      <c r="BP117" s="1620">
        <v>105</v>
      </c>
      <c r="BQ117" s="1620">
        <v>25.941176470588236</v>
      </c>
      <c r="BR117" s="1620">
        <v>1.3497886862061899</v>
      </c>
      <c r="BS117" s="1620">
        <v>1.3245442802575575</v>
      </c>
      <c r="BT117" s="1603"/>
      <c r="BU117" s="1620">
        <v>983.52941176470586</v>
      </c>
      <c r="BV117" s="1620">
        <v>715.17983193277303</v>
      </c>
      <c r="BW117" s="1620">
        <v>35.12605042016807</v>
      </c>
      <c r="BX117" s="1620">
        <v>670</v>
      </c>
      <c r="BY117" s="1620">
        <v>18.999999999999996</v>
      </c>
      <c r="BZ117" s="1620">
        <v>25</v>
      </c>
      <c r="CA117" s="1620">
        <v>113</v>
      </c>
      <c r="CB117" s="1603"/>
      <c r="CC117" s="1603">
        <v>0.34</v>
      </c>
      <c r="CD117" s="1603">
        <v>2.6999999999999997</v>
      </c>
      <c r="CE117" s="1603">
        <v>9.9999999999999992E-2</v>
      </c>
      <c r="CF117" s="1603">
        <v>0.9194476409666259</v>
      </c>
      <c r="CG117" s="1603">
        <v>4.05</v>
      </c>
      <c r="CH117" s="1603">
        <v>0.83</v>
      </c>
      <c r="CI117" s="1603">
        <v>1.105</v>
      </c>
      <c r="CJ117" s="1603"/>
      <c r="CK117" s="1603">
        <v>29.97</v>
      </c>
      <c r="CL117" s="1603">
        <v>2.3199999999999998</v>
      </c>
      <c r="CM117" s="1603">
        <v>23.189999999999998</v>
      </c>
      <c r="CN117" s="1603">
        <v>21.4</v>
      </c>
      <c r="CO117" s="1603">
        <v>0</v>
      </c>
      <c r="CP117" s="1603">
        <v>5.1000000000000101E-2</v>
      </c>
      <c r="CQ117" s="1603">
        <v>83.93172857142855</v>
      </c>
      <c r="CR117" s="1603">
        <v>73.15456937305359</v>
      </c>
      <c r="CS117" s="1603">
        <v>1.9538459243431074</v>
      </c>
      <c r="CT117" s="1603">
        <v>1.1247540860366767</v>
      </c>
      <c r="CU117" s="1603">
        <v>1.6545925015894967</v>
      </c>
      <c r="CV117" s="1603">
        <v>2.7793465876261734</v>
      </c>
      <c r="CW117" s="1603">
        <v>1.9672991185021715</v>
      </c>
      <c r="CX117" s="1603">
        <v>0.97154676832017839</v>
      </c>
      <c r="CY117" s="1603">
        <v>2.42269669219186</v>
      </c>
      <c r="CZ117" s="1603">
        <v>4.871431195590052</v>
      </c>
      <c r="DA117" s="1603">
        <v>1.6474214302560843</v>
      </c>
      <c r="DB117" s="1603">
        <v>3.2924441480016848</v>
      </c>
      <c r="DC117" s="1603">
        <v>2.0147499951032697</v>
      </c>
      <c r="DD117" s="1603">
        <v>5.3071941431049545</v>
      </c>
      <c r="DE117" s="1603">
        <v>3.0049214649487812</v>
      </c>
      <c r="DF117" s="1603">
        <v>0</v>
      </c>
      <c r="DG117" s="1603">
        <v>0</v>
      </c>
      <c r="DH117" s="1603">
        <v>0</v>
      </c>
      <c r="DI117" s="1603">
        <v>0</v>
      </c>
      <c r="DJ117" s="1603">
        <v>0</v>
      </c>
      <c r="DK117" s="1603">
        <v>0</v>
      </c>
      <c r="DL117" s="1603">
        <v>0</v>
      </c>
      <c r="DM117" s="1603">
        <v>0</v>
      </c>
      <c r="DN117" s="1603">
        <v>0</v>
      </c>
      <c r="DO117" s="1603">
        <v>0</v>
      </c>
      <c r="DP117" s="1603">
        <v>0</v>
      </c>
      <c r="DQ117" s="1603">
        <v>0</v>
      </c>
      <c r="DR117" s="1603">
        <v>0</v>
      </c>
      <c r="DS117" s="1603">
        <v>0</v>
      </c>
      <c r="DT117" s="1603">
        <v>0</v>
      </c>
      <c r="DU117" s="1603">
        <v>0</v>
      </c>
      <c r="DV117" s="1603">
        <v>0</v>
      </c>
      <c r="DW117" s="1618" t="s">
        <v>3506</v>
      </c>
      <c r="DX117" s="1605">
        <v>2</v>
      </c>
      <c r="DY117" s="1605">
        <v>2</v>
      </c>
      <c r="DZ117" s="1605">
        <v>1</v>
      </c>
      <c r="EA117" s="1605">
        <v>1</v>
      </c>
      <c r="EB117" s="1605" t="s">
        <v>986</v>
      </c>
      <c r="EC117" s="1605">
        <v>1</v>
      </c>
      <c r="ED117" s="1605">
        <v>1</v>
      </c>
      <c r="EE117" s="1605">
        <v>1</v>
      </c>
      <c r="EF117" s="1605">
        <v>1</v>
      </c>
      <c r="EG117" s="1605">
        <v>1</v>
      </c>
      <c r="EH117" s="1605" t="s">
        <v>986</v>
      </c>
      <c r="EI117" s="1605" t="s">
        <v>986</v>
      </c>
      <c r="EJ117" s="1605" t="s">
        <v>986</v>
      </c>
      <c r="EK117" s="1605" t="s">
        <v>986</v>
      </c>
      <c r="EL117" s="1605" t="s">
        <v>986</v>
      </c>
      <c r="EM117" s="1605" t="s">
        <v>986</v>
      </c>
      <c r="EN117" s="1605" t="s">
        <v>986</v>
      </c>
      <c r="EO117" s="1605" t="s">
        <v>986</v>
      </c>
      <c r="EP117" s="1605" t="s">
        <v>986</v>
      </c>
      <c r="EQ117" s="1605" t="s">
        <v>986</v>
      </c>
      <c r="ER117" s="1605" t="s">
        <v>986</v>
      </c>
      <c r="ES117" s="1605">
        <v>1</v>
      </c>
      <c r="ET117" s="1605">
        <v>2</v>
      </c>
      <c r="EU117" s="1605">
        <v>1</v>
      </c>
      <c r="EV117" s="1605">
        <v>14</v>
      </c>
      <c r="EW117" s="1605">
        <v>1</v>
      </c>
      <c r="EX117" s="1605">
        <v>1</v>
      </c>
      <c r="EY117" s="1605" t="s">
        <v>986</v>
      </c>
      <c r="EZ117" s="1605">
        <v>1</v>
      </c>
      <c r="FA117" s="1605">
        <v>1</v>
      </c>
      <c r="FB117" s="1605">
        <v>1</v>
      </c>
      <c r="FC117" s="1605">
        <v>1</v>
      </c>
      <c r="FD117" s="1605" t="s">
        <v>986</v>
      </c>
      <c r="FE117" s="1605" t="s">
        <v>986</v>
      </c>
      <c r="FF117" s="1605">
        <v>0.141421356237309</v>
      </c>
      <c r="FG117" s="1605">
        <v>0.17472310213309875</v>
      </c>
      <c r="FH117" s="1605" t="s">
        <v>986</v>
      </c>
      <c r="FI117" s="1605" t="s">
        <v>986</v>
      </c>
      <c r="FJ117" s="1605" t="s">
        <v>986</v>
      </c>
      <c r="FK117" s="1605" t="s">
        <v>986</v>
      </c>
      <c r="FL117" s="1605" t="s">
        <v>986</v>
      </c>
      <c r="FM117" s="1605" t="s">
        <v>986</v>
      </c>
      <c r="FN117" s="1605" t="s">
        <v>986</v>
      </c>
      <c r="FO117" s="1605" t="s">
        <v>986</v>
      </c>
      <c r="FP117" s="1605" t="s">
        <v>986</v>
      </c>
      <c r="FQ117" s="1605" t="s">
        <v>986</v>
      </c>
      <c r="FR117" s="1605" t="s">
        <v>986</v>
      </c>
      <c r="FS117" s="1605" t="s">
        <v>986</v>
      </c>
      <c r="FT117" s="1605" t="s">
        <v>986</v>
      </c>
      <c r="FU117" s="1605" t="s">
        <v>986</v>
      </c>
      <c r="FV117" s="1605" t="s">
        <v>986</v>
      </c>
      <c r="FW117" s="1605" t="s">
        <v>986</v>
      </c>
      <c r="FX117" s="1605" t="s">
        <v>986</v>
      </c>
      <c r="FY117" s="1605" t="s">
        <v>986</v>
      </c>
      <c r="FZ117" s="1605" t="s">
        <v>986</v>
      </c>
      <c r="GA117" s="1605" t="s">
        <v>986</v>
      </c>
      <c r="GB117" s="1605">
        <v>0.24104093395657558</v>
      </c>
      <c r="GC117" s="1605" t="s">
        <v>986</v>
      </c>
      <c r="GD117" s="1605" t="s">
        <v>986</v>
      </c>
      <c r="GE117" s="1605" t="s">
        <v>986</v>
      </c>
      <c r="GF117" s="1605" t="s">
        <v>986</v>
      </c>
      <c r="GG117" s="1605" t="s">
        <v>986</v>
      </c>
      <c r="GH117" s="1605" t="s">
        <v>986</v>
      </c>
      <c r="GI117" s="1605" t="s">
        <v>986</v>
      </c>
      <c r="GJ117" s="1605" t="s">
        <v>986</v>
      </c>
      <c r="GK117" s="1605" t="s">
        <v>986</v>
      </c>
      <c r="GL117" s="1605" t="s">
        <v>986</v>
      </c>
      <c r="GM117" s="1605" t="s">
        <v>986</v>
      </c>
      <c r="GN117" s="1605" t="s">
        <v>1763</v>
      </c>
      <c r="GO117" s="1605" t="s">
        <v>1763</v>
      </c>
      <c r="GP117" s="1605" t="s">
        <v>1763</v>
      </c>
      <c r="GQ117" s="1605" t="s">
        <v>1763</v>
      </c>
      <c r="GR117" s="1605" t="s">
        <v>1763</v>
      </c>
      <c r="GS117" s="1605" t="s">
        <v>1763</v>
      </c>
      <c r="GT117" s="1605" t="s">
        <v>1763</v>
      </c>
      <c r="GU117" s="1605" t="s">
        <v>1763</v>
      </c>
      <c r="GV117" s="1605" t="s">
        <v>1763</v>
      </c>
      <c r="GW117" s="1605" t="s">
        <v>1763</v>
      </c>
      <c r="GX117" s="1605" t="s">
        <v>1763</v>
      </c>
      <c r="GY117" s="1605" t="s">
        <v>1763</v>
      </c>
      <c r="GZ117" s="1605" t="s">
        <v>1763</v>
      </c>
      <c r="HA117" s="1605" t="s">
        <v>1763</v>
      </c>
      <c r="HB117" s="1605" t="s">
        <v>1763</v>
      </c>
      <c r="HC117" s="1605" t="s">
        <v>1763</v>
      </c>
      <c r="HD117" s="1605" t="s">
        <v>1763</v>
      </c>
      <c r="HE117" s="1605" t="s">
        <v>1763</v>
      </c>
      <c r="HF117" s="1605" t="s">
        <v>1763</v>
      </c>
      <c r="HG117" s="1605" t="s">
        <v>1763</v>
      </c>
      <c r="HH117" s="1605" t="s">
        <v>1763</v>
      </c>
      <c r="HI117" s="1605" t="s">
        <v>1763</v>
      </c>
      <c r="HJ117" s="1605" t="s">
        <v>1763</v>
      </c>
      <c r="HK117" s="1605" t="s">
        <v>1763</v>
      </c>
      <c r="HL117" s="1605" t="s">
        <v>1578</v>
      </c>
      <c r="HM117" s="1605" t="s">
        <v>1763</v>
      </c>
      <c r="HN117" s="1605" t="s">
        <v>1763</v>
      </c>
      <c r="HO117" s="1605" t="s">
        <v>986</v>
      </c>
      <c r="HP117" s="1605" t="s">
        <v>1763</v>
      </c>
      <c r="HQ117" s="1605" t="s">
        <v>1763</v>
      </c>
      <c r="HR117" s="1605" t="s">
        <v>1763</v>
      </c>
      <c r="HS117" s="1605" t="s">
        <v>1763</v>
      </c>
      <c r="HT117" s="1605" t="s">
        <v>1763</v>
      </c>
      <c r="HU117" s="1605" t="s">
        <v>1763</v>
      </c>
      <c r="HV117" s="1617"/>
      <c r="HW117" s="1617" t="s">
        <v>3505</v>
      </c>
      <c r="HX117" s="1617" t="s">
        <v>3504</v>
      </c>
      <c r="HY117" s="1617" t="s">
        <v>3503</v>
      </c>
      <c r="HZ117" s="1603"/>
      <c r="IA117" s="1603"/>
      <c r="IB117" s="1603"/>
      <c r="IC117" s="1603">
        <v>60.634146341463399</v>
      </c>
      <c r="ID117" s="1603">
        <v>61.219512195121901</v>
      </c>
      <c r="IE117" s="1603">
        <v>61.707317073170699</v>
      </c>
      <c r="IF117" s="1603">
        <v>62</v>
      </c>
      <c r="IG117" s="1611" t="s">
        <v>3463</v>
      </c>
      <c r="IH117" s="1616" t="s">
        <v>270</v>
      </c>
      <c r="II117" s="1615" t="s">
        <v>270</v>
      </c>
      <c r="IJ117" s="1613">
        <v>0.44950000000000001</v>
      </c>
      <c r="IK117" s="1613">
        <v>0.44756818181818181</v>
      </c>
      <c r="IL117" s="1614">
        <v>0.44950000000000001</v>
      </c>
      <c r="IM117" s="1614">
        <v>0.44756818181818181</v>
      </c>
      <c r="IN117" s="1612" t="s">
        <v>270</v>
      </c>
      <c r="IO117" s="1613" t="s">
        <v>270</v>
      </c>
      <c r="IP117" s="1607" t="s">
        <v>270</v>
      </c>
      <c r="IQ117" s="1612" t="s">
        <v>270</v>
      </c>
      <c r="IR117" s="1612" t="s">
        <v>270</v>
      </c>
      <c r="IS117" s="1607">
        <v>0.44550000000000001</v>
      </c>
      <c r="IT117" s="1607">
        <v>0.44356818181818181</v>
      </c>
      <c r="IU117" s="1611">
        <v>1.1363636363636365E-5</v>
      </c>
      <c r="IV117" s="1611">
        <v>2.4318181818181817E-3</v>
      </c>
      <c r="IW117" s="1611">
        <v>6.3636363636363641E-4</v>
      </c>
      <c r="IX117" s="1611">
        <v>1.1022727272727271E-3</v>
      </c>
      <c r="IY117" s="1611">
        <v>6.4772727272727269E-4</v>
      </c>
      <c r="IZ117" s="1611">
        <v>8.1363636363636378E-3</v>
      </c>
      <c r="JA117" s="1611">
        <v>1.4772727272727274E-4</v>
      </c>
      <c r="JB117" s="1611" t="s">
        <v>270</v>
      </c>
      <c r="JC117" s="1611">
        <v>0.10805681818181818</v>
      </c>
      <c r="JD117" s="1611">
        <v>2.7499999999999998E-3</v>
      </c>
      <c r="JE117" s="1611" t="s">
        <v>270</v>
      </c>
      <c r="JF117" s="1611">
        <v>5.113636363636363E-4</v>
      </c>
      <c r="JG117" s="1611">
        <v>3.3054204545454549</v>
      </c>
      <c r="JH117" s="1611">
        <v>2.0454545454545454E-4</v>
      </c>
      <c r="JI117" s="1611">
        <v>4.9477272727272731E-2</v>
      </c>
      <c r="JJ117" s="1611" t="s">
        <v>270</v>
      </c>
      <c r="JK117" s="1607">
        <f t="shared" si="10"/>
        <v>4.0000000000000036E-3</v>
      </c>
      <c r="JL117" s="1608" t="s">
        <v>2946</v>
      </c>
      <c r="JM117" s="1610" t="s">
        <v>3205</v>
      </c>
      <c r="JN117" s="1608">
        <v>1.9318181818182012E-3</v>
      </c>
      <c r="JO117" s="1609" t="s">
        <v>2923</v>
      </c>
      <c r="JP117" s="1608" t="s">
        <v>270</v>
      </c>
      <c r="JQ117" s="1607">
        <v>202103</v>
      </c>
      <c r="JR117" s="1606">
        <v>946</v>
      </c>
      <c r="JS117" s="1606">
        <v>865</v>
      </c>
      <c r="JT117" s="1606">
        <v>865</v>
      </c>
    </row>
    <row r="118" spans="1:280" ht="15" customHeight="1" x14ac:dyDescent="0.2">
      <c r="A118" s="1626">
        <v>51060</v>
      </c>
      <c r="B118" s="1625">
        <v>510</v>
      </c>
      <c r="C118" s="1624">
        <v>60</v>
      </c>
      <c r="D118" s="1623" t="s">
        <v>3507</v>
      </c>
      <c r="E118" s="1622">
        <v>44497</v>
      </c>
      <c r="F118" s="1620">
        <v>1.1473203832752614</v>
      </c>
      <c r="G118" s="1620">
        <v>1.1258626382189239</v>
      </c>
      <c r="H118" s="1621">
        <v>89.5</v>
      </c>
      <c r="I118" s="1621">
        <v>87</v>
      </c>
      <c r="J118" s="1621">
        <v>93</v>
      </c>
      <c r="K118" s="1620">
        <v>1</v>
      </c>
      <c r="L118" s="1620">
        <v>85</v>
      </c>
      <c r="M118" s="1620">
        <v>9.9</v>
      </c>
      <c r="N118" s="1620">
        <v>2.1</v>
      </c>
      <c r="O118" s="1620">
        <v>1.4</v>
      </c>
      <c r="P118" s="1620">
        <v>2.7</v>
      </c>
      <c r="Q118" s="1603"/>
      <c r="R118" s="1620">
        <v>84.779523809523795</v>
      </c>
      <c r="S118" s="1620">
        <v>28</v>
      </c>
      <c r="T118" s="1620">
        <v>41.821138211382099</v>
      </c>
      <c r="U118" s="1620">
        <v>47.349593495934997</v>
      </c>
      <c r="V118" s="1620">
        <v>52.325203252032502</v>
      </c>
      <c r="W118" s="1620">
        <v>55.642276422764198</v>
      </c>
      <c r="X118" s="1620"/>
      <c r="Y118" s="1620">
        <v>0.4</v>
      </c>
      <c r="Z118" s="1620">
        <v>3.1764705882352939</v>
      </c>
      <c r="AA118" s="1620">
        <v>0.11764705882352941</v>
      </c>
      <c r="AB118" s="1620">
        <v>1.08170310701956</v>
      </c>
      <c r="AC118" s="1620">
        <v>4.7647058823529411</v>
      </c>
      <c r="AD118" s="1620">
        <v>0.97647058823529409</v>
      </c>
      <c r="AE118" s="1620">
        <v>1.3</v>
      </c>
      <c r="AF118" s="1620">
        <v>35.258823529411764</v>
      </c>
      <c r="AG118" s="1620">
        <v>2.729411764705882</v>
      </c>
      <c r="AH118" s="1620">
        <v>27.28235294117647</v>
      </c>
      <c r="AI118" s="1620">
        <v>25.176470588235293</v>
      </c>
      <c r="AJ118" s="1620">
        <v>0</v>
      </c>
      <c r="AK118" s="1620">
        <v>6.0000000000000123E-2</v>
      </c>
      <c r="AL118" s="1620"/>
      <c r="AM118" s="1620">
        <v>2.9030935294117652</v>
      </c>
      <c r="AN118" s="1620">
        <v>1.5375035294117647</v>
      </c>
      <c r="AO118" s="1620">
        <v>2.3079347058823529</v>
      </c>
      <c r="AP118" s="1620">
        <v>2.8916517647058826</v>
      </c>
      <c r="AQ118" s="1620">
        <v>1.3414888235294118</v>
      </c>
      <c r="AR118" s="1620">
        <v>3.3452023529411763</v>
      </c>
      <c r="AS118" s="1620">
        <v>6.6590935294117646</v>
      </c>
      <c r="AT118" s="1620">
        <v>2.2747205882352945</v>
      </c>
      <c r="AU118" s="1620">
        <v>4.4124194117647058</v>
      </c>
      <c r="AV118" s="1620">
        <v>2.7541000000000002</v>
      </c>
      <c r="AW118" s="1620">
        <v>4.2787847058823534</v>
      </c>
      <c r="AX118" s="1620"/>
      <c r="AY118" s="1620">
        <v>0.92</v>
      </c>
      <c r="AZ118" s="1620">
        <v>1</v>
      </c>
      <c r="BA118" s="1620">
        <v>0.98</v>
      </c>
      <c r="BB118" s="1620">
        <v>0.93</v>
      </c>
      <c r="BC118" s="1620">
        <v>0.99</v>
      </c>
      <c r="BD118" s="1620">
        <v>0.99</v>
      </c>
      <c r="BE118" s="1620">
        <v>1</v>
      </c>
      <c r="BF118" s="1620">
        <v>0.99</v>
      </c>
      <c r="BG118" s="1620">
        <v>1.02</v>
      </c>
      <c r="BH118" s="1620">
        <v>1</v>
      </c>
      <c r="BI118" s="1620">
        <v>0.96</v>
      </c>
      <c r="BJ118" s="1603"/>
      <c r="BK118" s="1620">
        <v>11.647058823529411</v>
      </c>
      <c r="BL118" s="1620">
        <v>2.4705882352941178</v>
      </c>
      <c r="BM118" s="1620">
        <v>1.6470588235294117</v>
      </c>
      <c r="BN118" s="1620">
        <v>3.1764705882352939</v>
      </c>
      <c r="BO118" s="1620"/>
      <c r="BP118" s="1620">
        <v>105</v>
      </c>
      <c r="BQ118" s="1620">
        <v>25.941176470588236</v>
      </c>
      <c r="BR118" s="1620">
        <v>1.3497886862061899</v>
      </c>
      <c r="BS118" s="1620">
        <v>1.3245442802575575</v>
      </c>
      <c r="BT118" s="1603"/>
      <c r="BU118" s="1620">
        <v>983.52941176470586</v>
      </c>
      <c r="BV118" s="1620">
        <v>715.17983193277303</v>
      </c>
      <c r="BW118" s="1620">
        <v>35.12605042016807</v>
      </c>
      <c r="BX118" s="1620">
        <v>670</v>
      </c>
      <c r="BY118" s="1620">
        <v>18.999999999999996</v>
      </c>
      <c r="BZ118" s="1620">
        <v>25</v>
      </c>
      <c r="CA118" s="1620">
        <v>113</v>
      </c>
      <c r="CB118" s="1603"/>
      <c r="CC118" s="1603">
        <v>0.34</v>
      </c>
      <c r="CD118" s="1603">
        <v>2.6999999999999997</v>
      </c>
      <c r="CE118" s="1603">
        <v>9.9999999999999992E-2</v>
      </c>
      <c r="CF118" s="1603">
        <v>0.9194476409666259</v>
      </c>
      <c r="CG118" s="1603">
        <v>4.05</v>
      </c>
      <c r="CH118" s="1603">
        <v>0.83</v>
      </c>
      <c r="CI118" s="1603">
        <v>1.105</v>
      </c>
      <c r="CJ118" s="1603"/>
      <c r="CK118" s="1603">
        <v>29.97</v>
      </c>
      <c r="CL118" s="1603">
        <v>2.3199999999999998</v>
      </c>
      <c r="CM118" s="1603">
        <v>23.189999999999998</v>
      </c>
      <c r="CN118" s="1603">
        <v>21.4</v>
      </c>
      <c r="CO118" s="1603">
        <v>0</v>
      </c>
      <c r="CP118" s="1603">
        <v>5.1000000000000101E-2</v>
      </c>
      <c r="CQ118" s="1603">
        <v>83.93172857142855</v>
      </c>
      <c r="CR118" s="1603">
        <v>73.15456937305359</v>
      </c>
      <c r="CS118" s="1603">
        <v>1.9538459243431074</v>
      </c>
      <c r="CT118" s="1603">
        <v>1.1247540860366767</v>
      </c>
      <c r="CU118" s="1603">
        <v>1.6545925015894967</v>
      </c>
      <c r="CV118" s="1603">
        <v>2.7793465876261734</v>
      </c>
      <c r="CW118" s="1603">
        <v>1.9672991185021715</v>
      </c>
      <c r="CX118" s="1603">
        <v>0.97154676832017839</v>
      </c>
      <c r="CY118" s="1603">
        <v>2.42269669219186</v>
      </c>
      <c r="CZ118" s="1603">
        <v>4.871431195590052</v>
      </c>
      <c r="DA118" s="1603">
        <v>1.6474214302560843</v>
      </c>
      <c r="DB118" s="1603">
        <v>3.2924441480016848</v>
      </c>
      <c r="DC118" s="1603">
        <v>2.0147499951032697</v>
      </c>
      <c r="DD118" s="1603">
        <v>5.3071941431049545</v>
      </c>
      <c r="DE118" s="1603">
        <v>3.0049214649487812</v>
      </c>
      <c r="DF118" s="1603">
        <v>0</v>
      </c>
      <c r="DG118" s="1603">
        <v>0</v>
      </c>
      <c r="DH118" s="1603">
        <v>0</v>
      </c>
      <c r="DI118" s="1603">
        <v>0</v>
      </c>
      <c r="DJ118" s="1603">
        <v>0</v>
      </c>
      <c r="DK118" s="1603">
        <v>0</v>
      </c>
      <c r="DL118" s="1603">
        <v>0</v>
      </c>
      <c r="DM118" s="1603">
        <v>0</v>
      </c>
      <c r="DN118" s="1603">
        <v>0</v>
      </c>
      <c r="DO118" s="1603">
        <v>0</v>
      </c>
      <c r="DP118" s="1603">
        <v>0</v>
      </c>
      <c r="DQ118" s="1603">
        <v>0</v>
      </c>
      <c r="DR118" s="1603">
        <v>0</v>
      </c>
      <c r="DS118" s="1603">
        <v>0</v>
      </c>
      <c r="DT118" s="1603">
        <v>0</v>
      </c>
      <c r="DU118" s="1603">
        <v>0</v>
      </c>
      <c r="DV118" s="1603">
        <v>0</v>
      </c>
      <c r="DW118" s="1618" t="s">
        <v>3506</v>
      </c>
      <c r="DX118" s="1605">
        <v>2</v>
      </c>
      <c r="DY118" s="1605">
        <v>2</v>
      </c>
      <c r="DZ118" s="1605">
        <v>1</v>
      </c>
      <c r="EA118" s="1605">
        <v>1</v>
      </c>
      <c r="EB118" s="1605" t="s">
        <v>986</v>
      </c>
      <c r="EC118" s="1605">
        <v>1</v>
      </c>
      <c r="ED118" s="1605">
        <v>1</v>
      </c>
      <c r="EE118" s="1605">
        <v>1</v>
      </c>
      <c r="EF118" s="1605">
        <v>1</v>
      </c>
      <c r="EG118" s="1605">
        <v>1</v>
      </c>
      <c r="EH118" s="1605" t="s">
        <v>986</v>
      </c>
      <c r="EI118" s="1605" t="s">
        <v>986</v>
      </c>
      <c r="EJ118" s="1605" t="s">
        <v>986</v>
      </c>
      <c r="EK118" s="1605" t="s">
        <v>986</v>
      </c>
      <c r="EL118" s="1605" t="s">
        <v>986</v>
      </c>
      <c r="EM118" s="1605" t="s">
        <v>986</v>
      </c>
      <c r="EN118" s="1605" t="s">
        <v>986</v>
      </c>
      <c r="EO118" s="1605" t="s">
        <v>986</v>
      </c>
      <c r="EP118" s="1605" t="s">
        <v>986</v>
      </c>
      <c r="EQ118" s="1605" t="s">
        <v>986</v>
      </c>
      <c r="ER118" s="1605" t="s">
        <v>986</v>
      </c>
      <c r="ES118" s="1605">
        <v>1</v>
      </c>
      <c r="ET118" s="1605">
        <v>2</v>
      </c>
      <c r="EU118" s="1605">
        <v>1</v>
      </c>
      <c r="EV118" s="1605">
        <v>14</v>
      </c>
      <c r="EW118" s="1605">
        <v>1</v>
      </c>
      <c r="EX118" s="1605">
        <v>1</v>
      </c>
      <c r="EY118" s="1605" t="s">
        <v>986</v>
      </c>
      <c r="EZ118" s="1605">
        <v>1</v>
      </c>
      <c r="FA118" s="1605">
        <v>1</v>
      </c>
      <c r="FB118" s="1605">
        <v>1</v>
      </c>
      <c r="FC118" s="1605">
        <v>1</v>
      </c>
      <c r="FD118" s="1605" t="s">
        <v>986</v>
      </c>
      <c r="FE118" s="1605" t="s">
        <v>986</v>
      </c>
      <c r="FF118" s="1605">
        <v>0.141421356237309</v>
      </c>
      <c r="FG118" s="1605">
        <v>0.17472310213309875</v>
      </c>
      <c r="FH118" s="1605" t="s">
        <v>986</v>
      </c>
      <c r="FI118" s="1605" t="s">
        <v>986</v>
      </c>
      <c r="FJ118" s="1605" t="s">
        <v>986</v>
      </c>
      <c r="FK118" s="1605" t="s">
        <v>986</v>
      </c>
      <c r="FL118" s="1605" t="s">
        <v>986</v>
      </c>
      <c r="FM118" s="1605" t="s">
        <v>986</v>
      </c>
      <c r="FN118" s="1605" t="s">
        <v>986</v>
      </c>
      <c r="FO118" s="1605" t="s">
        <v>986</v>
      </c>
      <c r="FP118" s="1605" t="s">
        <v>986</v>
      </c>
      <c r="FQ118" s="1605" t="s">
        <v>986</v>
      </c>
      <c r="FR118" s="1605" t="s">
        <v>986</v>
      </c>
      <c r="FS118" s="1605" t="s">
        <v>986</v>
      </c>
      <c r="FT118" s="1605" t="s">
        <v>986</v>
      </c>
      <c r="FU118" s="1605" t="s">
        <v>986</v>
      </c>
      <c r="FV118" s="1605" t="s">
        <v>986</v>
      </c>
      <c r="FW118" s="1605" t="s">
        <v>986</v>
      </c>
      <c r="FX118" s="1605" t="s">
        <v>986</v>
      </c>
      <c r="FY118" s="1605" t="s">
        <v>986</v>
      </c>
      <c r="FZ118" s="1605" t="s">
        <v>986</v>
      </c>
      <c r="GA118" s="1605" t="s">
        <v>986</v>
      </c>
      <c r="GB118" s="1605">
        <v>0.24104093395657558</v>
      </c>
      <c r="GC118" s="1605" t="s">
        <v>986</v>
      </c>
      <c r="GD118" s="1605" t="s">
        <v>986</v>
      </c>
      <c r="GE118" s="1605" t="s">
        <v>986</v>
      </c>
      <c r="GF118" s="1605" t="s">
        <v>986</v>
      </c>
      <c r="GG118" s="1605" t="s">
        <v>986</v>
      </c>
      <c r="GH118" s="1605" t="s">
        <v>986</v>
      </c>
      <c r="GI118" s="1605" t="s">
        <v>986</v>
      </c>
      <c r="GJ118" s="1605" t="s">
        <v>986</v>
      </c>
      <c r="GK118" s="1605" t="s">
        <v>986</v>
      </c>
      <c r="GL118" s="1605" t="s">
        <v>986</v>
      </c>
      <c r="GM118" s="1605" t="s">
        <v>986</v>
      </c>
      <c r="GN118" s="1605" t="s">
        <v>1763</v>
      </c>
      <c r="GO118" s="1605" t="s">
        <v>1763</v>
      </c>
      <c r="GP118" s="1605" t="s">
        <v>1763</v>
      </c>
      <c r="GQ118" s="1605" t="s">
        <v>1763</v>
      </c>
      <c r="GR118" s="1605" t="s">
        <v>1763</v>
      </c>
      <c r="GS118" s="1605" t="s">
        <v>1763</v>
      </c>
      <c r="GT118" s="1605" t="s">
        <v>1763</v>
      </c>
      <c r="GU118" s="1605" t="s">
        <v>1763</v>
      </c>
      <c r="GV118" s="1605" t="s">
        <v>1763</v>
      </c>
      <c r="GW118" s="1605" t="s">
        <v>1763</v>
      </c>
      <c r="GX118" s="1605" t="s">
        <v>1763</v>
      </c>
      <c r="GY118" s="1605" t="s">
        <v>1763</v>
      </c>
      <c r="GZ118" s="1605" t="s">
        <v>1763</v>
      </c>
      <c r="HA118" s="1605" t="s">
        <v>1763</v>
      </c>
      <c r="HB118" s="1605" t="s">
        <v>1763</v>
      </c>
      <c r="HC118" s="1605" t="s">
        <v>1763</v>
      </c>
      <c r="HD118" s="1605" t="s">
        <v>1763</v>
      </c>
      <c r="HE118" s="1605" t="s">
        <v>1763</v>
      </c>
      <c r="HF118" s="1605" t="s">
        <v>1763</v>
      </c>
      <c r="HG118" s="1605" t="s">
        <v>1763</v>
      </c>
      <c r="HH118" s="1605" t="s">
        <v>1763</v>
      </c>
      <c r="HI118" s="1605" t="s">
        <v>1763</v>
      </c>
      <c r="HJ118" s="1605" t="s">
        <v>1763</v>
      </c>
      <c r="HK118" s="1605" t="s">
        <v>1763</v>
      </c>
      <c r="HL118" s="1605" t="s">
        <v>1578</v>
      </c>
      <c r="HM118" s="1605" t="s">
        <v>1763</v>
      </c>
      <c r="HN118" s="1605" t="s">
        <v>1763</v>
      </c>
      <c r="HO118" s="1605" t="s">
        <v>986</v>
      </c>
      <c r="HP118" s="1605" t="s">
        <v>1763</v>
      </c>
      <c r="HQ118" s="1605" t="s">
        <v>1763</v>
      </c>
      <c r="HR118" s="1605" t="s">
        <v>1763</v>
      </c>
      <c r="HS118" s="1605" t="s">
        <v>1763</v>
      </c>
      <c r="HT118" s="1605" t="s">
        <v>1763</v>
      </c>
      <c r="HU118" s="1605" t="s">
        <v>1763</v>
      </c>
      <c r="HV118" s="1617"/>
      <c r="HW118" s="1617" t="s">
        <v>3505</v>
      </c>
      <c r="HX118" s="1617" t="s">
        <v>3504</v>
      </c>
      <c r="HY118" s="1617" t="s">
        <v>3503</v>
      </c>
      <c r="HZ118" s="1603"/>
      <c r="IA118" s="1603"/>
      <c r="IB118" s="1603"/>
      <c r="IC118" s="1603">
        <v>58.130081300813004</v>
      </c>
      <c r="ID118" s="1603">
        <v>59.788617886178898</v>
      </c>
      <c r="IE118" s="1603">
        <v>61.170731707317103</v>
      </c>
      <c r="IF118" s="1603">
        <v>62</v>
      </c>
      <c r="IG118" s="1611" t="s">
        <v>3463</v>
      </c>
      <c r="IH118" s="1616" t="s">
        <v>270</v>
      </c>
      <c r="II118" s="1615" t="s">
        <v>270</v>
      </c>
      <c r="IJ118" s="1613">
        <v>0.44950000000000001</v>
      </c>
      <c r="IK118" s="1613">
        <v>0.44756818181818181</v>
      </c>
      <c r="IL118" s="1614">
        <v>0.44950000000000001</v>
      </c>
      <c r="IM118" s="1614">
        <v>0.44756818181818181</v>
      </c>
      <c r="IN118" s="1612" t="s">
        <v>270</v>
      </c>
      <c r="IO118" s="1613" t="s">
        <v>270</v>
      </c>
      <c r="IP118" s="1607" t="s">
        <v>270</v>
      </c>
      <c r="IQ118" s="1612" t="s">
        <v>270</v>
      </c>
      <c r="IR118" s="1612" t="s">
        <v>270</v>
      </c>
      <c r="IS118" s="1607">
        <v>0.44550000000000001</v>
      </c>
      <c r="IT118" s="1607">
        <v>0.44356818181818181</v>
      </c>
      <c r="IU118" s="1611">
        <v>1.1363636363636365E-5</v>
      </c>
      <c r="IV118" s="1611">
        <v>2.4318181818181817E-3</v>
      </c>
      <c r="IW118" s="1611">
        <v>6.3636363636363641E-4</v>
      </c>
      <c r="IX118" s="1611">
        <v>1.1022727272727271E-3</v>
      </c>
      <c r="IY118" s="1611">
        <v>6.4772727272727269E-4</v>
      </c>
      <c r="IZ118" s="1611">
        <v>8.1363636363636378E-3</v>
      </c>
      <c r="JA118" s="1611">
        <v>1.4772727272727274E-4</v>
      </c>
      <c r="JB118" s="1611" t="s">
        <v>270</v>
      </c>
      <c r="JC118" s="1611">
        <v>0.10805681818181818</v>
      </c>
      <c r="JD118" s="1611">
        <v>2.7499999999999998E-3</v>
      </c>
      <c r="JE118" s="1611" t="s">
        <v>270</v>
      </c>
      <c r="JF118" s="1611">
        <v>5.113636363636363E-4</v>
      </c>
      <c r="JG118" s="1611">
        <v>3.3054204545454549</v>
      </c>
      <c r="JH118" s="1611">
        <v>2.0454545454545454E-4</v>
      </c>
      <c r="JI118" s="1611">
        <v>4.9477272727272731E-2</v>
      </c>
      <c r="JJ118" s="1611" t="s">
        <v>270</v>
      </c>
      <c r="JK118" s="1607">
        <f t="shared" si="10"/>
        <v>4.0000000000000036E-3</v>
      </c>
      <c r="JL118" s="1608" t="s">
        <v>2946</v>
      </c>
      <c r="JM118" s="1610" t="s">
        <v>3205</v>
      </c>
      <c r="JN118" s="1608">
        <v>1.9318181818182012E-3</v>
      </c>
      <c r="JO118" s="1609" t="s">
        <v>2923</v>
      </c>
      <c r="JP118" s="1608" t="s">
        <v>270</v>
      </c>
      <c r="JQ118" s="1607">
        <v>202103</v>
      </c>
      <c r="JR118" s="1606">
        <v>946</v>
      </c>
      <c r="JS118" s="1606">
        <v>865</v>
      </c>
      <c r="JT118" s="1606">
        <v>865</v>
      </c>
    </row>
    <row r="119" spans="1:280" ht="15" customHeight="1" x14ac:dyDescent="0.2">
      <c r="A119" s="1626">
        <v>51400</v>
      </c>
      <c r="B119" s="1625">
        <v>514</v>
      </c>
      <c r="C119" s="1624">
        <v>0</v>
      </c>
      <c r="D119" s="1623" t="s">
        <v>3502</v>
      </c>
      <c r="E119" s="1622">
        <v>43031</v>
      </c>
      <c r="F119" s="1620">
        <v>1.29950735578784</v>
      </c>
      <c r="G119" s="1620">
        <v>1.26482970686456</v>
      </c>
      <c r="H119" s="1621">
        <v>94.6</v>
      </c>
      <c r="I119" s="1621">
        <v>92</v>
      </c>
      <c r="J119" s="1621">
        <v>93</v>
      </c>
      <c r="K119" s="1620">
        <v>1</v>
      </c>
      <c r="L119" s="1620">
        <v>93</v>
      </c>
      <c r="M119" s="1620">
        <v>80</v>
      </c>
      <c r="N119" s="1620">
        <v>6.6</v>
      </c>
      <c r="O119" s="1620">
        <v>0.999999999999999</v>
      </c>
      <c r="P119" s="1620">
        <v>0.999999999999999</v>
      </c>
      <c r="Q119" s="1603"/>
      <c r="R119" s="1620">
        <v>92.245360714285695</v>
      </c>
      <c r="S119" s="1620">
        <v>20</v>
      </c>
      <c r="T119" s="1620">
        <v>36.260162601626</v>
      </c>
      <c r="U119" s="1620">
        <v>42.764227642276403</v>
      </c>
      <c r="V119" s="1620">
        <v>48.617886178861802</v>
      </c>
      <c r="W119" s="1620">
        <v>52.520325203252</v>
      </c>
      <c r="X119" s="1620"/>
      <c r="Y119" s="1620">
        <v>0.37000000000000005</v>
      </c>
      <c r="Z119" s="1620">
        <v>2.1999999999999997</v>
      </c>
      <c r="AA119" s="1620">
        <v>1.4000000000000001</v>
      </c>
      <c r="AB119" s="1620">
        <v>3.6</v>
      </c>
      <c r="AC119" s="1620">
        <v>0.47000000000000003</v>
      </c>
      <c r="AD119" s="1620">
        <v>0.51</v>
      </c>
      <c r="AE119" s="1620">
        <v>8.4500000000000011</v>
      </c>
      <c r="AF119" s="1620">
        <v>0.05</v>
      </c>
      <c r="AG119" s="1620">
        <v>5.9999999999999993E-3</v>
      </c>
      <c r="AH119" s="1620">
        <v>9.9999999999999985E-3</v>
      </c>
      <c r="AI119" s="1620">
        <v>0.05</v>
      </c>
      <c r="AJ119" s="1620">
        <v>9.9999999999999991E-5</v>
      </c>
      <c r="AK119" s="1620">
        <v>2.9999999999999996E-3</v>
      </c>
      <c r="AL119" s="1620"/>
      <c r="AM119" s="1620" t="s">
        <v>270</v>
      </c>
      <c r="AN119" s="1620" t="s">
        <v>270</v>
      </c>
      <c r="AO119" s="1620" t="s">
        <v>270</v>
      </c>
      <c r="AP119" s="1620" t="s">
        <v>270</v>
      </c>
      <c r="AQ119" s="1620" t="s">
        <v>270</v>
      </c>
      <c r="AR119" s="1620" t="s">
        <v>270</v>
      </c>
      <c r="AS119" s="1620" t="s">
        <v>270</v>
      </c>
      <c r="AT119" s="1620" t="s">
        <v>270</v>
      </c>
      <c r="AU119" s="1620" t="s">
        <v>270</v>
      </c>
      <c r="AV119" s="1620" t="s">
        <v>270</v>
      </c>
      <c r="AW119" s="1620" t="s">
        <v>270</v>
      </c>
      <c r="AX119" s="1620"/>
      <c r="AY119" s="1620">
        <v>1</v>
      </c>
      <c r="AZ119" s="1620">
        <v>1</v>
      </c>
      <c r="BA119" s="1620">
        <v>1</v>
      </c>
      <c r="BB119" s="1620">
        <v>1</v>
      </c>
      <c r="BC119" s="1620">
        <v>1</v>
      </c>
      <c r="BD119" s="1620">
        <v>1</v>
      </c>
      <c r="BE119" s="1620">
        <v>1</v>
      </c>
      <c r="BF119" s="1620">
        <v>1</v>
      </c>
      <c r="BG119" s="1620">
        <v>1</v>
      </c>
      <c r="BH119" s="1620">
        <v>1</v>
      </c>
      <c r="BI119" s="1620">
        <v>1</v>
      </c>
      <c r="BJ119" s="1603"/>
      <c r="BK119" s="1620">
        <v>86.021505376344081</v>
      </c>
      <c r="BL119" s="1620">
        <v>7.096774193548387</v>
      </c>
      <c r="BM119" s="1620">
        <v>1.0752688172042999</v>
      </c>
      <c r="BN119" s="1620">
        <v>1.0752688172042999</v>
      </c>
      <c r="BO119" s="1620"/>
      <c r="BP119" s="1620">
        <v>0</v>
      </c>
      <c r="BQ119" s="1620">
        <v>0</v>
      </c>
      <c r="BR119" s="1620">
        <v>1.3973197374062796</v>
      </c>
      <c r="BS119" s="1620">
        <v>1.3600319428651182</v>
      </c>
      <c r="BT119" s="1603"/>
      <c r="BU119" s="1620">
        <v>989.24731182795699</v>
      </c>
      <c r="BV119" s="1620">
        <v>47.450076804915476</v>
      </c>
      <c r="BW119" s="1620">
        <v>36.743471582181186</v>
      </c>
      <c r="BX119" s="1620" t="s">
        <v>270</v>
      </c>
      <c r="BY119" s="1620" t="s">
        <v>270</v>
      </c>
      <c r="BZ119" s="1620">
        <v>1.7117050691244191</v>
      </c>
      <c r="CA119" s="1620">
        <v>26.816712749615917</v>
      </c>
      <c r="CB119" s="1603"/>
      <c r="CC119" s="1603">
        <v>0.34410000000000007</v>
      </c>
      <c r="CD119" s="1603">
        <v>2.0459999999999998</v>
      </c>
      <c r="CE119" s="1603">
        <v>1.3020000000000003</v>
      </c>
      <c r="CF119" s="1603">
        <v>3.3480000000000003</v>
      </c>
      <c r="CG119" s="1603">
        <v>0.43710000000000004</v>
      </c>
      <c r="CH119" s="1603">
        <v>0.47430000000000005</v>
      </c>
      <c r="CI119" s="1603">
        <v>7.8585000000000012</v>
      </c>
      <c r="CJ119" s="1603"/>
      <c r="CK119" s="1603">
        <v>4.6500000000000007E-2</v>
      </c>
      <c r="CL119" s="1603">
        <v>5.5799999999999999E-3</v>
      </c>
      <c r="CM119" s="1603">
        <v>9.2999999999999992E-3</v>
      </c>
      <c r="CN119" s="1603">
        <v>4.6500000000000007E-2</v>
      </c>
      <c r="CO119" s="1603">
        <v>9.2999999999999997E-5</v>
      </c>
      <c r="CP119" s="1603">
        <v>2.7899999999999999E-3</v>
      </c>
      <c r="CQ119" s="1603">
        <v>737.96288571428602</v>
      </c>
      <c r="CR119" s="1603">
        <v>567.87895999779721</v>
      </c>
      <c r="CS119" s="1603" t="s">
        <v>270</v>
      </c>
      <c r="CT119" s="1603" t="s">
        <v>270</v>
      </c>
      <c r="CU119" s="1603" t="s">
        <v>270</v>
      </c>
      <c r="CV119" s="1603" t="s">
        <v>270</v>
      </c>
      <c r="CW119" s="1603" t="s">
        <v>270</v>
      </c>
      <c r="CX119" s="1603" t="s">
        <v>270</v>
      </c>
      <c r="CY119" s="1603" t="s">
        <v>270</v>
      </c>
      <c r="CZ119" s="1603" t="s">
        <v>270</v>
      </c>
      <c r="DA119" s="1603" t="s">
        <v>270</v>
      </c>
      <c r="DB119" s="1603" t="s">
        <v>270</v>
      </c>
      <c r="DC119" s="1603" t="s">
        <v>270</v>
      </c>
      <c r="DD119" s="1603" t="s">
        <v>270</v>
      </c>
      <c r="DE119" s="1603" t="s">
        <v>270</v>
      </c>
      <c r="DF119" s="1603">
        <v>0</v>
      </c>
      <c r="DG119" s="1603">
        <v>0</v>
      </c>
      <c r="DH119" s="1603">
        <v>0</v>
      </c>
      <c r="DI119" s="1603">
        <v>0</v>
      </c>
      <c r="DJ119" s="1603">
        <v>0</v>
      </c>
      <c r="DK119" s="1603">
        <v>0</v>
      </c>
      <c r="DL119" s="1603">
        <v>0</v>
      </c>
      <c r="DM119" s="1603">
        <v>0</v>
      </c>
      <c r="DN119" s="1603">
        <v>0</v>
      </c>
      <c r="DO119" s="1603">
        <v>0</v>
      </c>
      <c r="DP119" s="1603">
        <v>0</v>
      </c>
      <c r="DQ119" s="1603">
        <v>0</v>
      </c>
      <c r="DR119" s="1603">
        <v>0</v>
      </c>
      <c r="DS119" s="1603">
        <v>0</v>
      </c>
      <c r="DT119" s="1603">
        <v>0</v>
      </c>
      <c r="DU119" s="1603">
        <v>0</v>
      </c>
      <c r="DV119" s="1603">
        <v>0</v>
      </c>
      <c r="DW119" s="1618" t="s">
        <v>3501</v>
      </c>
      <c r="DX119" s="1605" t="s">
        <v>986</v>
      </c>
      <c r="DY119" s="1605" t="s">
        <v>986</v>
      </c>
      <c r="DZ119" s="1605" t="s">
        <v>986</v>
      </c>
      <c r="EA119" s="1605" t="s">
        <v>986</v>
      </c>
      <c r="EB119" s="1605" t="s">
        <v>986</v>
      </c>
      <c r="EC119" s="1605" t="s">
        <v>986</v>
      </c>
      <c r="ED119" s="1605" t="s">
        <v>986</v>
      </c>
      <c r="EE119" s="1605" t="s">
        <v>986</v>
      </c>
      <c r="EF119" s="1605" t="s">
        <v>986</v>
      </c>
      <c r="EG119" s="1605" t="s">
        <v>986</v>
      </c>
      <c r="EH119" s="1605" t="s">
        <v>986</v>
      </c>
      <c r="EI119" s="1605" t="s">
        <v>986</v>
      </c>
      <c r="EJ119" s="1605" t="s">
        <v>986</v>
      </c>
      <c r="EK119" s="1605" t="s">
        <v>986</v>
      </c>
      <c r="EL119" s="1605" t="s">
        <v>986</v>
      </c>
      <c r="EM119" s="1605" t="s">
        <v>986</v>
      </c>
      <c r="EN119" s="1605" t="s">
        <v>986</v>
      </c>
      <c r="EO119" s="1605" t="s">
        <v>986</v>
      </c>
      <c r="EP119" s="1605" t="s">
        <v>986</v>
      </c>
      <c r="EQ119" s="1605" t="s">
        <v>986</v>
      </c>
      <c r="ER119" s="1605" t="s">
        <v>986</v>
      </c>
      <c r="ES119" s="1605" t="s">
        <v>986</v>
      </c>
      <c r="ET119" s="1605" t="s">
        <v>986</v>
      </c>
      <c r="EU119" s="1605" t="s">
        <v>986</v>
      </c>
      <c r="EV119" s="1605" t="s">
        <v>986</v>
      </c>
      <c r="EW119" s="1605" t="s">
        <v>986</v>
      </c>
      <c r="EX119" s="1605" t="s">
        <v>986</v>
      </c>
      <c r="EY119" s="1605" t="s">
        <v>986</v>
      </c>
      <c r="EZ119" s="1605" t="s">
        <v>986</v>
      </c>
      <c r="FA119" s="1605" t="s">
        <v>986</v>
      </c>
      <c r="FB119" s="1605" t="s">
        <v>986</v>
      </c>
      <c r="FC119" s="1605" t="s">
        <v>986</v>
      </c>
      <c r="FD119" s="1605" t="s">
        <v>986</v>
      </c>
      <c r="FE119" s="1605" t="s">
        <v>986</v>
      </c>
      <c r="FF119" s="1605" t="s">
        <v>986</v>
      </c>
      <c r="FG119" s="1605" t="s">
        <v>986</v>
      </c>
      <c r="FH119" s="1605" t="s">
        <v>986</v>
      </c>
      <c r="FI119" s="1605" t="s">
        <v>986</v>
      </c>
      <c r="FJ119" s="1605" t="s">
        <v>986</v>
      </c>
      <c r="FK119" s="1605" t="s">
        <v>986</v>
      </c>
      <c r="FL119" s="1605" t="s">
        <v>986</v>
      </c>
      <c r="FM119" s="1605" t="s">
        <v>986</v>
      </c>
      <c r="FN119" s="1605" t="s">
        <v>986</v>
      </c>
      <c r="FO119" s="1605" t="s">
        <v>986</v>
      </c>
      <c r="FP119" s="1605" t="s">
        <v>986</v>
      </c>
      <c r="FQ119" s="1605" t="s">
        <v>986</v>
      </c>
      <c r="FR119" s="1605" t="s">
        <v>986</v>
      </c>
      <c r="FS119" s="1605" t="s">
        <v>986</v>
      </c>
      <c r="FT119" s="1605" t="s">
        <v>986</v>
      </c>
      <c r="FU119" s="1605" t="s">
        <v>986</v>
      </c>
      <c r="FV119" s="1605" t="s">
        <v>986</v>
      </c>
      <c r="FW119" s="1605" t="s">
        <v>986</v>
      </c>
      <c r="FX119" s="1605" t="s">
        <v>986</v>
      </c>
      <c r="FY119" s="1605" t="s">
        <v>986</v>
      </c>
      <c r="FZ119" s="1605" t="s">
        <v>986</v>
      </c>
      <c r="GA119" s="1605" t="s">
        <v>986</v>
      </c>
      <c r="GB119" s="1605" t="s">
        <v>986</v>
      </c>
      <c r="GC119" s="1605" t="s">
        <v>986</v>
      </c>
      <c r="GD119" s="1605" t="s">
        <v>986</v>
      </c>
      <c r="GE119" s="1605" t="s">
        <v>986</v>
      </c>
      <c r="GF119" s="1605" t="s">
        <v>986</v>
      </c>
      <c r="GG119" s="1605" t="s">
        <v>986</v>
      </c>
      <c r="GH119" s="1605" t="s">
        <v>986</v>
      </c>
      <c r="GI119" s="1605" t="s">
        <v>986</v>
      </c>
      <c r="GJ119" s="1605" t="s">
        <v>986</v>
      </c>
      <c r="GK119" s="1605" t="s">
        <v>986</v>
      </c>
      <c r="GL119" s="1605" t="s">
        <v>986</v>
      </c>
      <c r="GM119" s="1605" t="s">
        <v>986</v>
      </c>
      <c r="GN119" s="1605" t="s">
        <v>986</v>
      </c>
      <c r="GO119" s="1605" t="s">
        <v>986</v>
      </c>
      <c r="GP119" s="1605" t="s">
        <v>986</v>
      </c>
      <c r="GQ119" s="1605" t="s">
        <v>986</v>
      </c>
      <c r="GR119" s="1605" t="s">
        <v>986</v>
      </c>
      <c r="GS119" s="1605" t="s">
        <v>986</v>
      </c>
      <c r="GT119" s="1605" t="s">
        <v>986</v>
      </c>
      <c r="GU119" s="1605" t="s">
        <v>986</v>
      </c>
      <c r="GV119" s="1605" t="s">
        <v>986</v>
      </c>
      <c r="GW119" s="1605" t="s">
        <v>986</v>
      </c>
      <c r="GX119" s="1605" t="s">
        <v>986</v>
      </c>
      <c r="GY119" s="1605" t="s">
        <v>986</v>
      </c>
      <c r="GZ119" s="1605" t="s">
        <v>986</v>
      </c>
      <c r="HA119" s="1605" t="s">
        <v>986</v>
      </c>
      <c r="HB119" s="1605" t="s">
        <v>986</v>
      </c>
      <c r="HC119" s="1605" t="s">
        <v>986</v>
      </c>
      <c r="HD119" s="1605" t="s">
        <v>986</v>
      </c>
      <c r="HE119" s="1605" t="s">
        <v>986</v>
      </c>
      <c r="HF119" s="1605" t="s">
        <v>986</v>
      </c>
      <c r="HG119" s="1605" t="s">
        <v>986</v>
      </c>
      <c r="HH119" s="1605" t="s">
        <v>986</v>
      </c>
      <c r="HI119" s="1605" t="s">
        <v>986</v>
      </c>
      <c r="HJ119" s="1605" t="s">
        <v>986</v>
      </c>
      <c r="HK119" s="1605" t="s">
        <v>986</v>
      </c>
      <c r="HL119" s="1605" t="s">
        <v>986</v>
      </c>
      <c r="HM119" s="1605" t="s">
        <v>986</v>
      </c>
      <c r="HN119" s="1605" t="s">
        <v>986</v>
      </c>
      <c r="HO119" s="1605" t="s">
        <v>986</v>
      </c>
      <c r="HP119" s="1605" t="s">
        <v>986</v>
      </c>
      <c r="HQ119" s="1605" t="s">
        <v>986</v>
      </c>
      <c r="HR119" s="1605" t="s">
        <v>986</v>
      </c>
      <c r="HS119" s="1605" t="s">
        <v>986</v>
      </c>
      <c r="HT119" s="1605" t="s">
        <v>986</v>
      </c>
      <c r="HU119" s="1605" t="s">
        <v>986</v>
      </c>
      <c r="HV119" s="1617"/>
      <c r="HW119" s="1617" t="s">
        <v>3500</v>
      </c>
      <c r="HX119" s="1617">
        <v>0</v>
      </c>
      <c r="HY119" s="1617" t="s">
        <v>3499</v>
      </c>
      <c r="HZ119" s="1603"/>
      <c r="IA119" s="1603"/>
      <c r="IB119" s="1603"/>
      <c r="IC119" s="1603">
        <v>55.4471544715447</v>
      </c>
      <c r="ID119" s="1603">
        <v>57.398373983739802</v>
      </c>
      <c r="IE119" s="1603">
        <v>59.024390243902403</v>
      </c>
      <c r="IF119" s="1603">
        <v>60</v>
      </c>
      <c r="IG119" s="1611" t="s">
        <v>3498</v>
      </c>
      <c r="IH119" s="1616" t="s">
        <v>270</v>
      </c>
      <c r="II119" s="1615" t="s">
        <v>270</v>
      </c>
      <c r="IJ119" s="1613">
        <v>4.1176022727272725</v>
      </c>
      <c r="IK119" s="1613">
        <v>4.0616022727272725</v>
      </c>
      <c r="IL119" s="1614">
        <v>4.1176022727272725</v>
      </c>
      <c r="IM119" s="1614">
        <v>4.0616022727272725</v>
      </c>
      <c r="IN119" s="1612" t="s">
        <v>270</v>
      </c>
      <c r="IO119" s="1613" t="s">
        <v>270</v>
      </c>
      <c r="IP119" s="1607" t="s">
        <v>270</v>
      </c>
      <c r="IQ119" s="1612" t="s">
        <v>270</v>
      </c>
      <c r="IR119" s="1612" t="s">
        <v>270</v>
      </c>
      <c r="IS119" s="1607">
        <v>4.0416022727272729</v>
      </c>
      <c r="IT119" s="1607">
        <v>3.9856022727272729</v>
      </c>
      <c r="IU119" s="1611">
        <v>3.4090909090909085E-5</v>
      </c>
      <c r="IV119" s="1611">
        <v>0.1271022727272727</v>
      </c>
      <c r="IW119" s="1611">
        <v>3.8295454545454548E-3</v>
      </c>
      <c r="IX119" s="1611">
        <v>5.5681818181818185E-3</v>
      </c>
      <c r="IY119" s="1611">
        <v>3.8863636363636361E-3</v>
      </c>
      <c r="IZ119" s="1611">
        <v>3.0340909090909089E-2</v>
      </c>
      <c r="JA119" s="1611">
        <v>4.2045454545454542E-4</v>
      </c>
      <c r="JB119" s="1611" t="s">
        <v>270</v>
      </c>
      <c r="JC119" s="1611">
        <v>8.6683295454545473</v>
      </c>
      <c r="JD119" s="1611">
        <v>1.6488636363636365E-2</v>
      </c>
      <c r="JE119" s="1611" t="s">
        <v>270</v>
      </c>
      <c r="JF119" s="1611">
        <v>4.1931818181818181E-3</v>
      </c>
      <c r="JG119" s="1611">
        <v>4.0342840909090905</v>
      </c>
      <c r="JH119" s="1611">
        <v>1.3863636363636363E-3</v>
      </c>
      <c r="JI119" s="1611">
        <v>0.75794318181818177</v>
      </c>
      <c r="JJ119" s="1611" t="s">
        <v>270</v>
      </c>
      <c r="JK119" s="1607">
        <f t="shared" si="10"/>
        <v>7.5999999999999623E-2</v>
      </c>
      <c r="JL119" s="1608" t="s">
        <v>270</v>
      </c>
      <c r="JM119" s="1610" t="s">
        <v>2924</v>
      </c>
      <c r="JN119" s="1608">
        <v>5.600000000000005E-2</v>
      </c>
      <c r="JO119" s="1609" t="s">
        <v>3077</v>
      </c>
      <c r="JP119" s="1608" t="s">
        <v>270</v>
      </c>
      <c r="JQ119" s="1607">
        <v>202103</v>
      </c>
      <c r="JR119" s="1606">
        <v>934</v>
      </c>
      <c r="JS119" s="1606">
        <v>853</v>
      </c>
      <c r="JT119" s="1606">
        <v>853</v>
      </c>
    </row>
    <row r="120" spans="1:280" ht="15" customHeight="1" x14ac:dyDescent="0.2">
      <c r="A120" s="1626">
        <v>51500</v>
      </c>
      <c r="B120" s="1625">
        <v>515</v>
      </c>
      <c r="C120" s="1624">
        <v>0</v>
      </c>
      <c r="D120" s="1623" t="s">
        <v>3497</v>
      </c>
      <c r="E120" s="1622">
        <v>43031</v>
      </c>
      <c r="F120" s="1620">
        <v>0.84558178353658597</v>
      </c>
      <c r="G120" s="1620">
        <v>0.88886649212987001</v>
      </c>
      <c r="H120" s="1621">
        <v>74.099999999999994</v>
      </c>
      <c r="I120" s="1621">
        <v>63.7</v>
      </c>
      <c r="J120" s="1621">
        <v>84</v>
      </c>
      <c r="K120" s="1620">
        <v>1</v>
      </c>
      <c r="L120" s="1620">
        <v>90.5</v>
      </c>
      <c r="M120" s="1620">
        <v>15.023</v>
      </c>
      <c r="N120" s="1620">
        <v>4.6154999999999999</v>
      </c>
      <c r="O120" s="1620">
        <v>6.2445000000000004</v>
      </c>
      <c r="P120" s="1620">
        <v>5.2115171650055396</v>
      </c>
      <c r="Q120" s="1603"/>
      <c r="R120" s="1620">
        <v>67.948521686747</v>
      </c>
      <c r="S120" s="1620">
        <v>26</v>
      </c>
      <c r="T120" s="1620">
        <v>40.634146341463399</v>
      </c>
      <c r="U120" s="1620">
        <v>46.487804878048799</v>
      </c>
      <c r="V120" s="1620">
        <v>51.756097560975597</v>
      </c>
      <c r="W120" s="1620">
        <v>55.268292682926798</v>
      </c>
      <c r="X120" s="1620"/>
      <c r="Y120" s="1620">
        <v>1.8</v>
      </c>
      <c r="Z120" s="1620">
        <v>9.9</v>
      </c>
      <c r="AA120" s="1620">
        <v>5.8011049723756907</v>
      </c>
      <c r="AB120" s="1620" t="s">
        <v>270</v>
      </c>
      <c r="AC120" s="1620">
        <v>15</v>
      </c>
      <c r="AD120" s="1620">
        <v>3.4</v>
      </c>
      <c r="AE120" s="1620">
        <v>4.5</v>
      </c>
      <c r="AF120" s="1620">
        <v>160.00000000000003</v>
      </c>
      <c r="AG120" s="1620">
        <v>10.000000000000002</v>
      </c>
      <c r="AH120" s="1620">
        <v>99</v>
      </c>
      <c r="AI120" s="1620">
        <v>64</v>
      </c>
      <c r="AJ120" s="1620">
        <v>0</v>
      </c>
      <c r="AK120" s="1620">
        <v>0</v>
      </c>
      <c r="AL120" s="1620"/>
      <c r="AM120" s="1620">
        <v>2.7988058428403901</v>
      </c>
      <c r="AN120" s="1620">
        <v>1.39940292142019</v>
      </c>
      <c r="AO120" s="1620">
        <v>1.9991470306002801</v>
      </c>
      <c r="AP120" s="1620">
        <v>3.1319970146071001</v>
      </c>
      <c r="AQ120" s="1620">
        <v>1.2661264527135101</v>
      </c>
      <c r="AR120" s="1620">
        <v>2.99872054590042</v>
      </c>
      <c r="AS120" s="1620">
        <v>6.1307175605075201</v>
      </c>
      <c r="AT120" s="1620">
        <v>2.3989764367203299</v>
      </c>
      <c r="AU120" s="1620">
        <v>3.9316558268472099</v>
      </c>
      <c r="AV120" s="1620">
        <v>2.4656146710736699</v>
      </c>
      <c r="AW120" s="1620">
        <v>4.4647617016739503</v>
      </c>
      <c r="AX120" s="1620"/>
      <c r="AY120" s="1620">
        <v>1</v>
      </c>
      <c r="AZ120" s="1620">
        <v>1.1100000000000001</v>
      </c>
      <c r="BA120" s="1620">
        <v>1.07</v>
      </c>
      <c r="BB120" s="1620">
        <v>1.03</v>
      </c>
      <c r="BC120" s="1620">
        <v>1.07</v>
      </c>
      <c r="BD120" s="1620">
        <v>1.08</v>
      </c>
      <c r="BE120" s="1620">
        <v>1.08</v>
      </c>
      <c r="BF120" s="1620">
        <v>1.07</v>
      </c>
      <c r="BG120" s="1620">
        <v>1.08</v>
      </c>
      <c r="BH120" s="1620">
        <v>1.1000000000000001</v>
      </c>
      <c r="BI120" s="1620">
        <v>1.05</v>
      </c>
      <c r="BJ120" s="1603"/>
      <c r="BK120" s="1620">
        <v>16.599999999999998</v>
      </c>
      <c r="BL120" s="1620">
        <v>5.1000000000000005</v>
      </c>
      <c r="BM120" s="1620">
        <v>6.9</v>
      </c>
      <c r="BN120" s="1620">
        <v>5.7585825027685527</v>
      </c>
      <c r="BO120" s="1620"/>
      <c r="BP120" s="1620">
        <v>105</v>
      </c>
      <c r="BQ120" s="1620">
        <v>53.55</v>
      </c>
      <c r="BR120" s="1620">
        <v>0.93434451219512271</v>
      </c>
      <c r="BS120" s="1620">
        <v>0.98217291948051932</v>
      </c>
      <c r="BT120" s="1603"/>
      <c r="BU120" s="1620">
        <v>931</v>
      </c>
      <c r="BV120" s="1620">
        <v>351.02100000000002</v>
      </c>
      <c r="BW120" s="1620">
        <v>138.32</v>
      </c>
      <c r="BX120" s="1620">
        <v>276.54867256637237</v>
      </c>
      <c r="BY120" s="1620">
        <v>33.185840707964644</v>
      </c>
      <c r="BZ120" s="1620">
        <v>21.08154</v>
      </c>
      <c r="CA120" s="1620">
        <v>330.27746000000002</v>
      </c>
      <c r="CB120" s="1603"/>
      <c r="CC120" s="1603">
        <v>1.629</v>
      </c>
      <c r="CD120" s="1603">
        <v>8.9595000000000002</v>
      </c>
      <c r="CE120" s="1603">
        <v>5.25</v>
      </c>
      <c r="CF120" s="1603" t="s">
        <v>270</v>
      </c>
      <c r="CG120" s="1603">
        <v>13.575000000000001</v>
      </c>
      <c r="CH120" s="1603">
        <v>3.077</v>
      </c>
      <c r="CI120" s="1603">
        <v>4.0724999999999998</v>
      </c>
      <c r="CJ120" s="1603"/>
      <c r="CK120" s="1603">
        <v>144.80000000000004</v>
      </c>
      <c r="CL120" s="1603">
        <v>9.0500000000000025</v>
      </c>
      <c r="CM120" s="1603">
        <v>89.594999999999999</v>
      </c>
      <c r="CN120" s="1603">
        <v>57.92</v>
      </c>
      <c r="CO120" s="1603">
        <v>0</v>
      </c>
      <c r="CP120" s="1603">
        <v>0</v>
      </c>
      <c r="CQ120" s="1603">
        <v>102.07906413000001</v>
      </c>
      <c r="CR120" s="1603">
        <v>120.72050997014333</v>
      </c>
      <c r="CS120" s="1603">
        <v>3.3787326865510763</v>
      </c>
      <c r="CT120" s="1603">
        <v>1.8751966410358509</v>
      </c>
      <c r="CU120" s="1603">
        <v>2.5823171247211989</v>
      </c>
      <c r="CV120" s="1603">
        <v>4.4575137657570263</v>
      </c>
      <c r="CW120" s="1603">
        <v>3.8943916513318544</v>
      </c>
      <c r="CX120" s="1603">
        <v>1.635467512323419</v>
      </c>
      <c r="CY120" s="1603">
        <v>3.9096763944376893</v>
      </c>
      <c r="CZ120" s="1603">
        <v>7.993116184183708</v>
      </c>
      <c r="DA120" s="1603">
        <v>3.0987805496654106</v>
      </c>
      <c r="DB120" s="1603">
        <v>5.1260201615960659</v>
      </c>
      <c r="DC120" s="1603">
        <v>3.2741528653006893</v>
      </c>
      <c r="DD120" s="1603">
        <v>8.4001730268967538</v>
      </c>
      <c r="DE120" s="1603">
        <v>5.6593772499730601</v>
      </c>
      <c r="DF120" s="1603">
        <v>0</v>
      </c>
      <c r="DG120" s="1603">
        <v>0</v>
      </c>
      <c r="DH120" s="1603">
        <v>0</v>
      </c>
      <c r="DI120" s="1603">
        <v>0</v>
      </c>
      <c r="DJ120" s="1603">
        <v>0</v>
      </c>
      <c r="DK120" s="1603">
        <v>0</v>
      </c>
      <c r="DL120" s="1603">
        <v>0</v>
      </c>
      <c r="DM120" s="1603">
        <v>0</v>
      </c>
      <c r="DN120" s="1603">
        <v>0</v>
      </c>
      <c r="DO120" s="1603">
        <v>0</v>
      </c>
      <c r="DP120" s="1603">
        <v>0</v>
      </c>
      <c r="DQ120" s="1603">
        <v>0</v>
      </c>
      <c r="DR120" s="1603">
        <v>0</v>
      </c>
      <c r="DS120" s="1603">
        <v>0</v>
      </c>
      <c r="DT120" s="1603">
        <v>0</v>
      </c>
      <c r="DU120" s="1603">
        <v>0</v>
      </c>
      <c r="DV120" s="1603">
        <v>0</v>
      </c>
      <c r="DW120" s="1618" t="s">
        <v>3496</v>
      </c>
      <c r="DX120" s="1605" t="s">
        <v>986</v>
      </c>
      <c r="DY120" s="1605" t="s">
        <v>986</v>
      </c>
      <c r="DZ120" s="1605">
        <v>2</v>
      </c>
      <c r="EA120" s="1605">
        <v>2</v>
      </c>
      <c r="EB120" s="1605" t="s">
        <v>986</v>
      </c>
      <c r="EC120" s="1605">
        <v>2</v>
      </c>
      <c r="ED120" s="1605">
        <v>2</v>
      </c>
      <c r="EE120" s="1605">
        <v>2</v>
      </c>
      <c r="EF120" s="1605">
        <v>2</v>
      </c>
      <c r="EG120" s="1605">
        <v>2</v>
      </c>
      <c r="EH120" s="1605" t="s">
        <v>986</v>
      </c>
      <c r="EI120" s="1605" t="s">
        <v>986</v>
      </c>
      <c r="EJ120" s="1605" t="s">
        <v>986</v>
      </c>
      <c r="EK120" s="1605" t="s">
        <v>986</v>
      </c>
      <c r="EL120" s="1605" t="s">
        <v>986</v>
      </c>
      <c r="EM120" s="1605" t="s">
        <v>986</v>
      </c>
      <c r="EN120" s="1605" t="s">
        <v>986</v>
      </c>
      <c r="EO120" s="1605" t="s">
        <v>986</v>
      </c>
      <c r="EP120" s="1605" t="s">
        <v>986</v>
      </c>
      <c r="EQ120" s="1605" t="s">
        <v>986</v>
      </c>
      <c r="ER120" s="1605" t="s">
        <v>986</v>
      </c>
      <c r="ES120" s="1605">
        <v>2</v>
      </c>
      <c r="ET120" s="1605">
        <v>2</v>
      </c>
      <c r="EU120" s="1605">
        <v>2</v>
      </c>
      <c r="EV120" s="1605" t="s">
        <v>986</v>
      </c>
      <c r="EW120" s="1605">
        <v>2</v>
      </c>
      <c r="EX120" s="1605">
        <v>2</v>
      </c>
      <c r="EY120" s="1605" t="s">
        <v>986</v>
      </c>
      <c r="EZ120" s="1605">
        <v>2</v>
      </c>
      <c r="FA120" s="1605">
        <v>2</v>
      </c>
      <c r="FB120" s="1605">
        <v>2</v>
      </c>
      <c r="FC120" s="1605">
        <v>2</v>
      </c>
      <c r="FD120" s="1605" t="s">
        <v>986</v>
      </c>
      <c r="FE120" s="1605" t="s">
        <v>986</v>
      </c>
      <c r="FF120" s="1605" t="s">
        <v>986</v>
      </c>
      <c r="FG120" s="1605" t="s">
        <v>986</v>
      </c>
      <c r="FH120" s="1605">
        <v>0.4</v>
      </c>
      <c r="FI120" s="1605">
        <v>1.2</v>
      </c>
      <c r="FJ120" s="1605" t="s">
        <v>986</v>
      </c>
      <c r="FK120" s="1605">
        <v>3.5</v>
      </c>
      <c r="FL120" s="1605">
        <v>3.5</v>
      </c>
      <c r="FM120" s="1605" t="s">
        <v>986</v>
      </c>
      <c r="FN120" s="1605">
        <v>3.2</v>
      </c>
      <c r="FO120" s="1605" t="s">
        <v>986</v>
      </c>
      <c r="FP120" s="1605" t="s">
        <v>986</v>
      </c>
      <c r="FQ120" s="1605" t="s">
        <v>986</v>
      </c>
      <c r="FR120" s="1605" t="s">
        <v>986</v>
      </c>
      <c r="FS120" s="1605" t="s">
        <v>986</v>
      </c>
      <c r="FT120" s="1605" t="s">
        <v>986</v>
      </c>
      <c r="FU120" s="1605" t="s">
        <v>986</v>
      </c>
      <c r="FV120" s="1605" t="s">
        <v>986</v>
      </c>
      <c r="FW120" s="1605" t="s">
        <v>986</v>
      </c>
      <c r="FX120" s="1605" t="s">
        <v>986</v>
      </c>
      <c r="FY120" s="1605" t="s">
        <v>986</v>
      </c>
      <c r="FZ120" s="1605" t="s">
        <v>986</v>
      </c>
      <c r="GA120" s="1605" t="s">
        <v>986</v>
      </c>
      <c r="GB120" s="1605">
        <v>1.6</v>
      </c>
      <c r="GC120" s="1605" t="s">
        <v>986</v>
      </c>
      <c r="GD120" s="1605" t="s">
        <v>986</v>
      </c>
      <c r="GE120" s="1605">
        <v>4.74</v>
      </c>
      <c r="GF120" s="1605">
        <v>0.56000000000000005</v>
      </c>
      <c r="GG120" s="1605">
        <v>3.6</v>
      </c>
      <c r="GH120" s="1605">
        <v>24.08</v>
      </c>
      <c r="GI120" s="1605">
        <v>0.83</v>
      </c>
      <c r="GJ120" s="1605">
        <v>30.8</v>
      </c>
      <c r="GK120" s="1605">
        <v>24.42</v>
      </c>
      <c r="GL120" s="1605" t="s">
        <v>986</v>
      </c>
      <c r="GM120" s="1605" t="s">
        <v>986</v>
      </c>
      <c r="GN120" s="1605" t="s">
        <v>1591</v>
      </c>
      <c r="GO120" s="1605" t="s">
        <v>1591</v>
      </c>
      <c r="GP120" s="1605" t="s">
        <v>1591</v>
      </c>
      <c r="GQ120" s="1605" t="s">
        <v>1591</v>
      </c>
      <c r="GR120" s="1605" t="s">
        <v>986</v>
      </c>
      <c r="GS120" s="1605" t="s">
        <v>1591</v>
      </c>
      <c r="GT120" s="1605" t="s">
        <v>1591</v>
      </c>
      <c r="GU120" s="1605" t="s">
        <v>1591</v>
      </c>
      <c r="GV120" s="1605" t="s">
        <v>1591</v>
      </c>
      <c r="GW120" s="1605" t="s">
        <v>986</v>
      </c>
      <c r="GX120" s="1605" t="s">
        <v>986</v>
      </c>
      <c r="GY120" s="1605" t="s">
        <v>986</v>
      </c>
      <c r="GZ120" s="1605" t="s">
        <v>986</v>
      </c>
      <c r="HA120" s="1605" t="s">
        <v>986</v>
      </c>
      <c r="HB120" s="1605" t="s">
        <v>986</v>
      </c>
      <c r="HC120" s="1605" t="s">
        <v>986</v>
      </c>
      <c r="HD120" s="1605" t="s">
        <v>986</v>
      </c>
      <c r="HE120" s="1605" t="s">
        <v>986</v>
      </c>
      <c r="HF120" s="1605" t="s">
        <v>986</v>
      </c>
      <c r="HG120" s="1605" t="s">
        <v>986</v>
      </c>
      <c r="HH120" s="1605" t="s">
        <v>986</v>
      </c>
      <c r="HI120" s="1605" t="s">
        <v>1591</v>
      </c>
      <c r="HJ120" s="1605" t="s">
        <v>1591</v>
      </c>
      <c r="HK120" s="1605" t="s">
        <v>986</v>
      </c>
      <c r="HL120" s="1605" t="s">
        <v>986</v>
      </c>
      <c r="HM120" s="1605" t="s">
        <v>1591</v>
      </c>
      <c r="HN120" s="1605" t="s">
        <v>1591</v>
      </c>
      <c r="HO120" s="1605" t="s">
        <v>986</v>
      </c>
      <c r="HP120" s="1605" t="s">
        <v>1591</v>
      </c>
      <c r="HQ120" s="1605" t="s">
        <v>1591</v>
      </c>
      <c r="HR120" s="1605" t="s">
        <v>1591</v>
      </c>
      <c r="HS120" s="1605" t="s">
        <v>1591</v>
      </c>
      <c r="HT120" s="1605" t="s">
        <v>986</v>
      </c>
      <c r="HU120" s="1605" t="s">
        <v>986</v>
      </c>
      <c r="HV120" s="1617"/>
      <c r="HW120" s="1617" t="s">
        <v>3495</v>
      </c>
      <c r="HX120" s="1617">
        <v>0</v>
      </c>
      <c r="HY120" s="1617" t="s">
        <v>3494</v>
      </c>
      <c r="HZ120" s="1603"/>
      <c r="IA120" s="1603"/>
      <c r="IB120" s="1603"/>
      <c r="IC120" s="1603">
        <v>57.902439024390198</v>
      </c>
      <c r="ID120" s="1603">
        <v>59.658536585365901</v>
      </c>
      <c r="IE120" s="1603">
        <v>61.121951219512198</v>
      </c>
      <c r="IF120" s="1603">
        <v>62</v>
      </c>
      <c r="IG120" s="1611" t="s">
        <v>3493</v>
      </c>
      <c r="IH120" s="1616" t="s">
        <v>270</v>
      </c>
      <c r="II120" s="1615" t="s">
        <v>270</v>
      </c>
      <c r="IJ120" s="1613">
        <v>0.91123863636363622</v>
      </c>
      <c r="IK120" s="1613">
        <v>0.89967045454545458</v>
      </c>
      <c r="IL120" s="1614">
        <v>0.91123863636363622</v>
      </c>
      <c r="IM120" s="1614">
        <v>0.89967045454545458</v>
      </c>
      <c r="IN120" s="1612" t="s">
        <v>270</v>
      </c>
      <c r="IO120" s="1613" t="s">
        <v>270</v>
      </c>
      <c r="IP120" s="1607" t="s">
        <v>270</v>
      </c>
      <c r="IQ120" s="1612" t="s">
        <v>270</v>
      </c>
      <c r="IR120" s="1612" t="s">
        <v>270</v>
      </c>
      <c r="IS120" s="1607">
        <v>0.83523863636363627</v>
      </c>
      <c r="IT120" s="1607">
        <v>0.82367045454545462</v>
      </c>
      <c r="IU120" s="1611">
        <v>1.1363636363636365E-5</v>
      </c>
      <c r="IV120" s="1611">
        <v>2.6261363636363635E-2</v>
      </c>
      <c r="IW120" s="1611">
        <v>7.9545454545454537E-4</v>
      </c>
      <c r="IX120" s="1611">
        <v>1.1477272727272727E-3</v>
      </c>
      <c r="IY120" s="1611">
        <v>8.0681818181818177E-4</v>
      </c>
      <c r="IZ120" s="1611">
        <v>6.2727272727272718E-3</v>
      </c>
      <c r="JA120" s="1611">
        <v>9.0909090909090917E-5</v>
      </c>
      <c r="JB120" s="1611" t="s">
        <v>270</v>
      </c>
      <c r="JC120" s="1611">
        <v>1.791409090909091</v>
      </c>
      <c r="JD120" s="1611">
        <v>3.4090909090909089E-3</v>
      </c>
      <c r="JE120" s="1611" t="s">
        <v>270</v>
      </c>
      <c r="JF120" s="1611">
        <v>8.6363636363636362E-4</v>
      </c>
      <c r="JG120" s="1611">
        <v>0.83372727272727265</v>
      </c>
      <c r="JH120" s="1611">
        <v>2.8409090909090913E-4</v>
      </c>
      <c r="JI120" s="1611">
        <v>0.15663636363636363</v>
      </c>
      <c r="JJ120" s="1611" t="s">
        <v>270</v>
      </c>
      <c r="JK120" s="1607">
        <f t="shared" si="10"/>
        <v>7.5999999999999956E-2</v>
      </c>
      <c r="JL120" s="1608" t="s">
        <v>270</v>
      </c>
      <c r="JM120" s="1610" t="s">
        <v>2924</v>
      </c>
      <c r="JN120" s="1608">
        <v>1.1568181818181644E-2</v>
      </c>
      <c r="JO120" s="1609" t="s">
        <v>3077</v>
      </c>
      <c r="JP120" s="1608" t="s">
        <v>270</v>
      </c>
      <c r="JQ120" s="1607">
        <v>202103</v>
      </c>
      <c r="JR120" s="1606">
        <v>925</v>
      </c>
      <c r="JS120" s="1606">
        <v>844</v>
      </c>
      <c r="JT120" s="1606">
        <v>844</v>
      </c>
    </row>
    <row r="121" spans="1:280" ht="15" customHeight="1" x14ac:dyDescent="0.2">
      <c r="A121" s="1626">
        <v>51800</v>
      </c>
      <c r="B121" s="1625">
        <v>518</v>
      </c>
      <c r="C121" s="1624">
        <v>0</v>
      </c>
      <c r="D121" s="1623" t="s">
        <v>3492</v>
      </c>
      <c r="E121" s="1622">
        <v>43053</v>
      </c>
      <c r="F121" s="1620">
        <v>0.61753060516763503</v>
      </c>
      <c r="G121" s="1620">
        <v>0.68681699767539905</v>
      </c>
      <c r="H121" s="1621">
        <v>60</v>
      </c>
      <c r="I121" s="1621">
        <v>51.400019999999998</v>
      </c>
      <c r="J121" s="1621">
        <v>83</v>
      </c>
      <c r="K121" s="1620">
        <v>1</v>
      </c>
      <c r="L121" s="1620">
        <v>87.4</v>
      </c>
      <c r="M121" s="1620">
        <v>14.683199999999999</v>
      </c>
      <c r="N121" s="1620">
        <v>4.5448000000000004</v>
      </c>
      <c r="O121" s="1620">
        <v>5.5936000000000003</v>
      </c>
      <c r="P121" s="1620">
        <v>9.4391999999999996</v>
      </c>
      <c r="Q121" s="1603"/>
      <c r="R121" s="1620">
        <v>62.828974489795897</v>
      </c>
      <c r="S121" s="1620">
        <v>20</v>
      </c>
      <c r="T121" s="1620">
        <v>37.0731707317073</v>
      </c>
      <c r="U121" s="1620">
        <v>43.902439024390198</v>
      </c>
      <c r="V121" s="1620">
        <v>50.048780487804898</v>
      </c>
      <c r="W121" s="1620">
        <v>54.146341463414601</v>
      </c>
      <c r="X121" s="1620"/>
      <c r="Y121" s="1620">
        <v>1.2</v>
      </c>
      <c r="Z121" s="1620">
        <v>9.8999999999999986</v>
      </c>
      <c r="AA121" s="1620">
        <v>9.9999999999999992E-2</v>
      </c>
      <c r="AB121" s="1620">
        <v>0</v>
      </c>
      <c r="AC121" s="1620">
        <v>14.999999999999998</v>
      </c>
      <c r="AD121" s="1620">
        <v>4.4999999999999991</v>
      </c>
      <c r="AE121" s="1620">
        <v>1.8999999999999995</v>
      </c>
      <c r="AF121" s="1620">
        <v>185</v>
      </c>
      <c r="AG121" s="1620">
        <v>11.999999999999998</v>
      </c>
      <c r="AH121" s="1620">
        <v>110.99999999999999</v>
      </c>
      <c r="AI121" s="1620">
        <v>89</v>
      </c>
      <c r="AJ121" s="1620">
        <v>0</v>
      </c>
      <c r="AK121" s="1620">
        <v>4.9999999999999996E-2</v>
      </c>
      <c r="AL121" s="1620"/>
      <c r="AM121" s="1620">
        <v>3.9</v>
      </c>
      <c r="AN121" s="1620">
        <v>1.6</v>
      </c>
      <c r="AO121" s="1620">
        <v>2</v>
      </c>
      <c r="AP121" s="1620">
        <v>3.29</v>
      </c>
      <c r="AQ121" s="1620">
        <v>1.4</v>
      </c>
      <c r="AR121" s="1620">
        <v>3.29</v>
      </c>
      <c r="AS121" s="1620">
        <v>6.19</v>
      </c>
      <c r="AT121" s="1620">
        <v>2.59</v>
      </c>
      <c r="AU121" s="1620">
        <v>3.89</v>
      </c>
      <c r="AV121" s="1620">
        <v>2.81</v>
      </c>
      <c r="AW121" s="1620">
        <v>4.79</v>
      </c>
      <c r="AX121" s="1620"/>
      <c r="AY121" s="1620">
        <v>1</v>
      </c>
      <c r="AZ121" s="1620">
        <v>1.1000000000000001</v>
      </c>
      <c r="BA121" s="1620">
        <v>1.04</v>
      </c>
      <c r="BB121" s="1620">
        <v>1.03</v>
      </c>
      <c r="BC121" s="1620">
        <v>1.04</v>
      </c>
      <c r="BD121" s="1620">
        <v>1.07</v>
      </c>
      <c r="BE121" s="1620">
        <v>1.08</v>
      </c>
      <c r="BF121" s="1620">
        <v>1.1499999999999999</v>
      </c>
      <c r="BG121" s="1620">
        <v>1.1299999999999999</v>
      </c>
      <c r="BH121" s="1620">
        <v>1.1399999999999999</v>
      </c>
      <c r="BI121" s="1620">
        <v>1.04</v>
      </c>
      <c r="BJ121" s="1603"/>
      <c r="BK121" s="1620">
        <v>16.799999999999997</v>
      </c>
      <c r="BL121" s="1620">
        <v>5.2</v>
      </c>
      <c r="BM121" s="1620">
        <v>6.3999999999999995</v>
      </c>
      <c r="BN121" s="1620">
        <v>10.799999999999999</v>
      </c>
      <c r="BO121" s="1620"/>
      <c r="BP121" s="1620">
        <v>105</v>
      </c>
      <c r="BQ121" s="1620">
        <v>54.599999999999994</v>
      </c>
      <c r="BR121" s="1620">
        <v>0.70655675648470828</v>
      </c>
      <c r="BS121" s="1620">
        <v>0.78583180512059392</v>
      </c>
      <c r="BT121" s="1603"/>
      <c r="BU121" s="1620">
        <v>935.99999999999989</v>
      </c>
      <c r="BV121" s="1620">
        <v>243.28598171428604</v>
      </c>
      <c r="BW121" s="1620">
        <v>114.99401828571395</v>
      </c>
      <c r="BX121" s="1620">
        <v>219.99999999999997</v>
      </c>
      <c r="BY121" s="1620">
        <v>37</v>
      </c>
      <c r="BZ121" s="1620">
        <v>27.556441097142905</v>
      </c>
      <c r="CA121" s="1620">
        <v>431.71757718857089</v>
      </c>
      <c r="CB121" s="1603"/>
      <c r="CC121" s="1603">
        <v>1.0488000000000002</v>
      </c>
      <c r="CD121" s="1603">
        <v>8.6525999999999996</v>
      </c>
      <c r="CE121" s="1603">
        <v>8.7400000000000005E-2</v>
      </c>
      <c r="CF121" s="1603">
        <v>0</v>
      </c>
      <c r="CG121" s="1603">
        <v>13.11</v>
      </c>
      <c r="CH121" s="1603">
        <v>3.9329999999999998</v>
      </c>
      <c r="CI121" s="1603">
        <v>1.6605999999999999</v>
      </c>
      <c r="CJ121" s="1603"/>
      <c r="CK121" s="1603">
        <v>161.69000000000003</v>
      </c>
      <c r="CL121" s="1603">
        <v>10.488</v>
      </c>
      <c r="CM121" s="1603">
        <v>97.013999999999996</v>
      </c>
      <c r="CN121" s="1603">
        <v>77.786000000000016</v>
      </c>
      <c r="CO121" s="1603">
        <v>0</v>
      </c>
      <c r="CP121" s="1603">
        <v>4.3700000000000003E-2</v>
      </c>
      <c r="CQ121" s="1603">
        <v>92.253039822857005</v>
      </c>
      <c r="CR121" s="1603">
        <v>149.3902311089731</v>
      </c>
      <c r="CS121" s="1603">
        <v>5.8262190132499612</v>
      </c>
      <c r="CT121" s="1603">
        <v>2.6292680675179372</v>
      </c>
      <c r="CU121" s="1603">
        <v>3.1073168070666632</v>
      </c>
      <c r="CV121" s="1603">
        <v>5.736584874584568</v>
      </c>
      <c r="CW121" s="1603">
        <v>5.062386761589762</v>
      </c>
      <c r="CX121" s="1603">
        <v>2.1751217649466512</v>
      </c>
      <c r="CY121" s="1603">
        <v>5.2589843057292036</v>
      </c>
      <c r="CZ121" s="1603">
        <v>9.9870357300970909</v>
      </c>
      <c r="DA121" s="1603">
        <v>4.4495880335807705</v>
      </c>
      <c r="DB121" s="1603">
        <v>6.5667463888571369</v>
      </c>
      <c r="DC121" s="1603">
        <v>4.7855666633448415</v>
      </c>
      <c r="DD121" s="1603">
        <v>11.352313052201996</v>
      </c>
      <c r="DE121" s="1603">
        <v>7.4420237529246123</v>
      </c>
      <c r="DF121" s="1603">
        <v>0</v>
      </c>
      <c r="DG121" s="1603">
        <v>0</v>
      </c>
      <c r="DH121" s="1603">
        <v>0</v>
      </c>
      <c r="DI121" s="1603">
        <v>0</v>
      </c>
      <c r="DJ121" s="1603">
        <v>0</v>
      </c>
      <c r="DK121" s="1603">
        <v>0</v>
      </c>
      <c r="DL121" s="1603">
        <v>0</v>
      </c>
      <c r="DM121" s="1603">
        <v>0</v>
      </c>
      <c r="DN121" s="1603">
        <v>0</v>
      </c>
      <c r="DO121" s="1603">
        <v>0</v>
      </c>
      <c r="DP121" s="1603">
        <v>0</v>
      </c>
      <c r="DQ121" s="1603">
        <v>0</v>
      </c>
      <c r="DR121" s="1603">
        <v>0</v>
      </c>
      <c r="DS121" s="1603">
        <v>0</v>
      </c>
      <c r="DT121" s="1603">
        <v>0</v>
      </c>
      <c r="DU121" s="1603">
        <v>0</v>
      </c>
      <c r="DV121" s="1603">
        <v>0</v>
      </c>
      <c r="DW121" s="1618" t="s">
        <v>3488</v>
      </c>
      <c r="DX121" s="1605">
        <v>20</v>
      </c>
      <c r="DY121" s="1605">
        <v>20</v>
      </c>
      <c r="DZ121" s="1605">
        <v>18</v>
      </c>
      <c r="EA121" s="1605">
        <v>20</v>
      </c>
      <c r="EB121" s="1605">
        <v>16</v>
      </c>
      <c r="EC121" s="1605">
        <v>20</v>
      </c>
      <c r="ED121" s="1605">
        <v>20</v>
      </c>
      <c r="EE121" s="1605">
        <v>20</v>
      </c>
      <c r="EF121" s="1605">
        <v>18</v>
      </c>
      <c r="EG121" s="1605">
        <v>18</v>
      </c>
      <c r="EH121" s="1605" t="s">
        <v>986</v>
      </c>
      <c r="EI121" s="1605" t="s">
        <v>986</v>
      </c>
      <c r="EJ121" s="1605" t="s">
        <v>986</v>
      </c>
      <c r="EK121" s="1605" t="s">
        <v>986</v>
      </c>
      <c r="EL121" s="1605" t="s">
        <v>986</v>
      </c>
      <c r="EM121" s="1605" t="s">
        <v>986</v>
      </c>
      <c r="EN121" s="1605" t="s">
        <v>986</v>
      </c>
      <c r="EO121" s="1605" t="s">
        <v>986</v>
      </c>
      <c r="EP121" s="1605" t="s">
        <v>986</v>
      </c>
      <c r="EQ121" s="1605" t="s">
        <v>986</v>
      </c>
      <c r="ER121" s="1605" t="s">
        <v>986</v>
      </c>
      <c r="ES121" s="1605">
        <v>8</v>
      </c>
      <c r="ET121" s="1605">
        <v>12</v>
      </c>
      <c r="EU121" s="1605">
        <v>5</v>
      </c>
      <c r="EV121" s="1605" t="s">
        <v>986</v>
      </c>
      <c r="EW121" s="1605">
        <v>5</v>
      </c>
      <c r="EX121" s="1605">
        <v>5</v>
      </c>
      <c r="EY121" s="1605" t="s">
        <v>986</v>
      </c>
      <c r="EZ121" s="1605">
        <v>5</v>
      </c>
      <c r="FA121" s="1605">
        <v>5</v>
      </c>
      <c r="FB121" s="1605">
        <v>5</v>
      </c>
      <c r="FC121" s="1605">
        <v>5</v>
      </c>
      <c r="FD121" s="1605" t="s">
        <v>986</v>
      </c>
      <c r="FE121" s="1605" t="s">
        <v>986</v>
      </c>
      <c r="FF121" s="1605">
        <v>1</v>
      </c>
      <c r="FG121" s="1605">
        <v>1.1000000000000001</v>
      </c>
      <c r="FH121" s="1605">
        <v>0.8</v>
      </c>
      <c r="FI121" s="1605">
        <v>2.1</v>
      </c>
      <c r="FJ121" s="1605">
        <v>1.3</v>
      </c>
      <c r="FK121" s="1605">
        <v>3.7</v>
      </c>
      <c r="FL121" s="1605">
        <v>3.4</v>
      </c>
      <c r="FM121" s="1605">
        <v>2.4</v>
      </c>
      <c r="FN121" s="1605">
        <v>5.9</v>
      </c>
      <c r="FO121" s="1605">
        <v>5.0999999999999996</v>
      </c>
      <c r="FP121" s="1605" t="s">
        <v>986</v>
      </c>
      <c r="FQ121" s="1605" t="s">
        <v>986</v>
      </c>
      <c r="FR121" s="1605" t="s">
        <v>986</v>
      </c>
      <c r="FS121" s="1605" t="s">
        <v>986</v>
      </c>
      <c r="FT121" s="1605" t="s">
        <v>986</v>
      </c>
      <c r="FU121" s="1605" t="s">
        <v>986</v>
      </c>
      <c r="FV121" s="1605" t="s">
        <v>986</v>
      </c>
      <c r="FW121" s="1605" t="s">
        <v>986</v>
      </c>
      <c r="FX121" s="1605" t="s">
        <v>986</v>
      </c>
      <c r="FY121" s="1605" t="s">
        <v>986</v>
      </c>
      <c r="FZ121" s="1605" t="s">
        <v>986</v>
      </c>
      <c r="GA121" s="1605" t="s">
        <v>986</v>
      </c>
      <c r="GB121" s="1605">
        <v>0.8</v>
      </c>
      <c r="GC121" s="1605" t="s">
        <v>986</v>
      </c>
      <c r="GD121" s="1605" t="s">
        <v>986</v>
      </c>
      <c r="GE121" s="1605">
        <v>0.79</v>
      </c>
      <c r="GF121" s="1605">
        <v>0.13</v>
      </c>
      <c r="GG121" s="1605">
        <v>0.08</v>
      </c>
      <c r="GH121" s="1605">
        <v>29.61</v>
      </c>
      <c r="GI121" s="1605">
        <v>1.51</v>
      </c>
      <c r="GJ121" s="1605">
        <v>5.81</v>
      </c>
      <c r="GK121" s="1605">
        <v>5.17</v>
      </c>
      <c r="GL121" s="1605" t="s">
        <v>986</v>
      </c>
      <c r="GM121" s="1605" t="s">
        <v>986</v>
      </c>
      <c r="GN121" s="1605" t="s">
        <v>1579</v>
      </c>
      <c r="GO121" s="1605" t="s">
        <v>1579</v>
      </c>
      <c r="GP121" s="1605" t="s">
        <v>1579</v>
      </c>
      <c r="GQ121" s="1605" t="s">
        <v>1579</v>
      </c>
      <c r="GR121" s="1605" t="s">
        <v>1579</v>
      </c>
      <c r="GS121" s="1605" t="s">
        <v>1579</v>
      </c>
      <c r="GT121" s="1605" t="s">
        <v>1579</v>
      </c>
      <c r="GU121" s="1605" t="s">
        <v>1579</v>
      </c>
      <c r="GV121" s="1605" t="s">
        <v>1579</v>
      </c>
      <c r="GW121" s="1605" t="s">
        <v>1579</v>
      </c>
      <c r="GX121" s="1605" t="s">
        <v>1583</v>
      </c>
      <c r="GY121" s="1605" t="s">
        <v>1583</v>
      </c>
      <c r="GZ121" s="1605" t="s">
        <v>1583</v>
      </c>
      <c r="HA121" s="1605" t="s">
        <v>1583</v>
      </c>
      <c r="HB121" s="1605" t="s">
        <v>1583</v>
      </c>
      <c r="HC121" s="1605" t="s">
        <v>1583</v>
      </c>
      <c r="HD121" s="1605" t="s">
        <v>1583</v>
      </c>
      <c r="HE121" s="1605" t="s">
        <v>1583</v>
      </c>
      <c r="HF121" s="1605" t="s">
        <v>1583</v>
      </c>
      <c r="HG121" s="1605" t="s">
        <v>1583</v>
      </c>
      <c r="HH121" s="1605" t="s">
        <v>1583</v>
      </c>
      <c r="HI121" s="1605" t="s">
        <v>1579</v>
      </c>
      <c r="HJ121" s="1605" t="s">
        <v>1579</v>
      </c>
      <c r="HK121" s="1605" t="s">
        <v>986</v>
      </c>
      <c r="HL121" s="1605" t="s">
        <v>986</v>
      </c>
      <c r="HM121" s="1605" t="s">
        <v>1591</v>
      </c>
      <c r="HN121" s="1605" t="s">
        <v>1591</v>
      </c>
      <c r="HO121" s="1605" t="s">
        <v>986</v>
      </c>
      <c r="HP121" s="1605" t="s">
        <v>1591</v>
      </c>
      <c r="HQ121" s="1605" t="s">
        <v>1591</v>
      </c>
      <c r="HR121" s="1605" t="s">
        <v>1591</v>
      </c>
      <c r="HS121" s="1605" t="s">
        <v>1591</v>
      </c>
      <c r="HT121" s="1605" t="s">
        <v>986</v>
      </c>
      <c r="HU121" s="1605" t="s">
        <v>986</v>
      </c>
      <c r="HV121" s="1617"/>
      <c r="HW121" s="1617" t="s">
        <v>3491</v>
      </c>
      <c r="HX121" s="1617" t="s">
        <v>3486</v>
      </c>
      <c r="HY121" s="1617" t="s">
        <v>3490</v>
      </c>
      <c r="HZ121" s="1603"/>
      <c r="IA121" s="1603"/>
      <c r="IB121" s="1603"/>
      <c r="IC121" s="1603">
        <v>57.219512195122</v>
      </c>
      <c r="ID121" s="1603">
        <v>59.268292682926798</v>
      </c>
      <c r="IE121" s="1603">
        <v>60.975609756097597</v>
      </c>
      <c r="IF121" s="1603">
        <v>62</v>
      </c>
      <c r="IG121" s="1611" t="s">
        <v>3477</v>
      </c>
      <c r="IH121" s="1616" t="s">
        <v>3484</v>
      </c>
      <c r="II121" s="1615" t="s">
        <v>3483</v>
      </c>
      <c r="IJ121" s="1613">
        <v>0.42856818181818179</v>
      </c>
      <c r="IK121" s="1613">
        <v>0.41715909090909098</v>
      </c>
      <c r="IL121" s="1614">
        <v>0.42856818181818179</v>
      </c>
      <c r="IM121" s="1614">
        <v>0.41715909090909098</v>
      </c>
      <c r="IN121" s="1612">
        <v>0.37</v>
      </c>
      <c r="IO121" s="1613">
        <v>-5.8568181818181797E-2</v>
      </c>
      <c r="IP121" s="1607" t="s">
        <v>270</v>
      </c>
      <c r="IQ121" s="1612">
        <v>0.83</v>
      </c>
      <c r="IR121" s="1612">
        <v>-2.1999999999999999E-2</v>
      </c>
      <c r="IS121" s="1607">
        <v>0.35256818181818178</v>
      </c>
      <c r="IT121" s="1607">
        <v>0.34115909090909097</v>
      </c>
      <c r="IU121" s="1611">
        <v>1.1363636363636365E-5</v>
      </c>
      <c r="IV121" s="1611">
        <v>4.0795454545454546E-3</v>
      </c>
      <c r="IW121" s="1611">
        <v>6.9318181818181816E-4</v>
      </c>
      <c r="IX121" s="1611">
        <v>7.3863636363636362E-4</v>
      </c>
      <c r="IY121" s="1611">
        <v>7.0454545454545455E-4</v>
      </c>
      <c r="IZ121" s="1611">
        <v>5.1477272727272726E-3</v>
      </c>
      <c r="JA121" s="1611">
        <v>7.9545454545454551E-5</v>
      </c>
      <c r="JB121" s="1611" t="s">
        <v>270</v>
      </c>
      <c r="JC121" s="1611">
        <v>0.72719318181818182</v>
      </c>
      <c r="JD121" s="1611">
        <v>2.2386363636363637E-3</v>
      </c>
      <c r="JE121" s="1611" t="s">
        <v>270</v>
      </c>
      <c r="JF121" s="1611">
        <v>2.5000000000000001E-4</v>
      </c>
      <c r="JG121" s="1611">
        <v>1.6538863636363639</v>
      </c>
      <c r="JH121" s="1611">
        <v>1.4772727272727274E-4</v>
      </c>
      <c r="JI121" s="1611">
        <v>5.0272727272727274E-2</v>
      </c>
      <c r="JJ121" s="1611" t="s">
        <v>270</v>
      </c>
      <c r="JK121" s="1607">
        <f t="shared" si="10"/>
        <v>7.6000000000000012E-2</v>
      </c>
      <c r="JL121" s="1608" t="s">
        <v>270</v>
      </c>
      <c r="JM121" s="1610" t="s">
        <v>2924</v>
      </c>
      <c r="JN121" s="1608">
        <v>1.1409090909090813E-2</v>
      </c>
      <c r="JO121" s="1609" t="s">
        <v>3077</v>
      </c>
      <c r="JP121" s="1608" t="s">
        <v>270</v>
      </c>
      <c r="JQ121" s="1607">
        <v>202103</v>
      </c>
      <c r="JR121" s="1606">
        <v>882</v>
      </c>
      <c r="JS121" s="1606">
        <v>802</v>
      </c>
      <c r="JT121" s="1606">
        <v>802</v>
      </c>
    </row>
    <row r="122" spans="1:280" ht="15" customHeight="1" x14ac:dyDescent="0.2">
      <c r="A122" s="1626">
        <v>51801</v>
      </c>
      <c r="B122" s="1625">
        <v>518</v>
      </c>
      <c r="C122" s="1624">
        <v>1</v>
      </c>
      <c r="D122" s="1623" t="s">
        <v>3489</v>
      </c>
      <c r="E122" s="1622">
        <v>43054</v>
      </c>
      <c r="F122" s="1620">
        <v>0.62109336415021299</v>
      </c>
      <c r="G122" s="1620">
        <v>0.68932110827458304</v>
      </c>
      <c r="H122" s="1621">
        <v>60</v>
      </c>
      <c r="I122" s="1621">
        <v>51.700020000000002</v>
      </c>
      <c r="J122" s="1621">
        <v>83</v>
      </c>
      <c r="K122" s="1620">
        <v>1</v>
      </c>
      <c r="L122" s="1620">
        <v>87.4</v>
      </c>
      <c r="M122" s="1620">
        <v>14.683199999999999</v>
      </c>
      <c r="N122" s="1620">
        <v>4.5448000000000004</v>
      </c>
      <c r="O122" s="1620">
        <v>5.5936000000000003</v>
      </c>
      <c r="P122" s="1620">
        <v>9.4391999999999996</v>
      </c>
      <c r="Q122" s="1603"/>
      <c r="R122" s="1620">
        <v>63.0341020408163</v>
      </c>
      <c r="S122" s="1620">
        <v>20</v>
      </c>
      <c r="T122" s="1620">
        <v>37.0731707317073</v>
      </c>
      <c r="U122" s="1620">
        <v>43.902439024390198</v>
      </c>
      <c r="V122" s="1620">
        <v>50.048780487804898</v>
      </c>
      <c r="W122" s="1620">
        <v>54.146341463414601</v>
      </c>
      <c r="X122" s="1620"/>
      <c r="Y122" s="1620">
        <v>1.2</v>
      </c>
      <c r="Z122" s="1620">
        <v>9.8999999999999986</v>
      </c>
      <c r="AA122" s="1620">
        <v>9.9999999999999992E-2</v>
      </c>
      <c r="AB122" s="1620">
        <v>0</v>
      </c>
      <c r="AC122" s="1620">
        <v>14.999999999999998</v>
      </c>
      <c r="AD122" s="1620">
        <v>4.4999999999999991</v>
      </c>
      <c r="AE122" s="1620">
        <v>1.8999999999999995</v>
      </c>
      <c r="AF122" s="1620">
        <v>185</v>
      </c>
      <c r="AG122" s="1620">
        <v>11.999999999999998</v>
      </c>
      <c r="AH122" s="1620">
        <v>110.99999999999999</v>
      </c>
      <c r="AI122" s="1620">
        <v>89</v>
      </c>
      <c r="AJ122" s="1620">
        <v>0</v>
      </c>
      <c r="AK122" s="1620">
        <v>4.9999999999999996E-2</v>
      </c>
      <c r="AL122" s="1620"/>
      <c r="AM122" s="1620">
        <v>3.9</v>
      </c>
      <c r="AN122" s="1620">
        <v>1.6</v>
      </c>
      <c r="AO122" s="1620">
        <v>2</v>
      </c>
      <c r="AP122" s="1620">
        <v>3.29</v>
      </c>
      <c r="AQ122" s="1620">
        <v>1.4</v>
      </c>
      <c r="AR122" s="1620">
        <v>3.29</v>
      </c>
      <c r="AS122" s="1620">
        <v>6.19</v>
      </c>
      <c r="AT122" s="1620">
        <v>2.59</v>
      </c>
      <c r="AU122" s="1620">
        <v>3.89</v>
      </c>
      <c r="AV122" s="1620">
        <v>2.81</v>
      </c>
      <c r="AW122" s="1620">
        <v>4.79</v>
      </c>
      <c r="AX122" s="1620"/>
      <c r="AY122" s="1620">
        <v>1</v>
      </c>
      <c r="AZ122" s="1620">
        <v>1.1000000000000001</v>
      </c>
      <c r="BA122" s="1620">
        <v>1.04</v>
      </c>
      <c r="BB122" s="1620">
        <v>1.03</v>
      </c>
      <c r="BC122" s="1620">
        <v>1.04</v>
      </c>
      <c r="BD122" s="1620">
        <v>1.07</v>
      </c>
      <c r="BE122" s="1620">
        <v>1.08</v>
      </c>
      <c r="BF122" s="1620">
        <v>1.1499999999999999</v>
      </c>
      <c r="BG122" s="1620">
        <v>1.1299999999999999</v>
      </c>
      <c r="BH122" s="1620">
        <v>1.1399999999999999</v>
      </c>
      <c r="BI122" s="1620">
        <v>1.04</v>
      </c>
      <c r="BJ122" s="1603"/>
      <c r="BK122" s="1620">
        <v>16.799999999999997</v>
      </c>
      <c r="BL122" s="1620">
        <v>5.2</v>
      </c>
      <c r="BM122" s="1620">
        <v>6.3999999999999995</v>
      </c>
      <c r="BN122" s="1620">
        <v>10.799999999999999</v>
      </c>
      <c r="BO122" s="1620"/>
      <c r="BP122" s="1620">
        <v>105</v>
      </c>
      <c r="BQ122" s="1620">
        <v>54.599999999999994</v>
      </c>
      <c r="BR122" s="1620">
        <v>0.710633139759969</v>
      </c>
      <c r="BS122" s="1620">
        <v>0.78869692022263493</v>
      </c>
      <c r="BT122" s="1603"/>
      <c r="BU122" s="1620">
        <v>935.99999999999989</v>
      </c>
      <c r="BV122" s="1620">
        <v>247.29714285714303</v>
      </c>
      <c r="BW122" s="1620">
        <v>110.98258971428604</v>
      </c>
      <c r="BX122" s="1620">
        <v>219.99999999999997</v>
      </c>
      <c r="BY122" s="1620">
        <v>37</v>
      </c>
      <c r="BZ122" s="1620">
        <v>27.315771428571392</v>
      </c>
      <c r="CA122" s="1620">
        <v>427.947085714286</v>
      </c>
      <c r="CB122" s="1603"/>
      <c r="CC122" s="1603">
        <v>1.0488000000000002</v>
      </c>
      <c r="CD122" s="1603">
        <v>8.6525999999999996</v>
      </c>
      <c r="CE122" s="1603">
        <v>8.7400000000000005E-2</v>
      </c>
      <c r="CF122" s="1603">
        <v>0</v>
      </c>
      <c r="CG122" s="1603">
        <v>13.11</v>
      </c>
      <c r="CH122" s="1603">
        <v>3.9329999999999998</v>
      </c>
      <c r="CI122" s="1603">
        <v>1.6605999999999999</v>
      </c>
      <c r="CJ122" s="1603"/>
      <c r="CK122" s="1603">
        <v>161.69000000000003</v>
      </c>
      <c r="CL122" s="1603">
        <v>10.488</v>
      </c>
      <c r="CM122" s="1603">
        <v>97.013999999999996</v>
      </c>
      <c r="CN122" s="1603">
        <v>77.786000000000016</v>
      </c>
      <c r="CO122" s="1603">
        <v>0</v>
      </c>
      <c r="CP122" s="1603">
        <v>4.3700000000000003E-2</v>
      </c>
      <c r="CQ122" s="1603">
        <v>92.554232708571107</v>
      </c>
      <c r="CR122" s="1603">
        <v>149.01822825816996</v>
      </c>
      <c r="CS122" s="1603">
        <v>5.811710902068655</v>
      </c>
      <c r="CT122" s="1603">
        <v>2.6227208173438048</v>
      </c>
      <c r="CU122" s="1603">
        <v>3.0995791477699526</v>
      </c>
      <c r="CV122" s="1603">
        <v>5.7222999651137574</v>
      </c>
      <c r="CW122" s="1603">
        <v>5.0497807009846225</v>
      </c>
      <c r="CX122" s="1603">
        <v>2.1697054034389622</v>
      </c>
      <c r="CY122" s="1603">
        <v>5.2458886893723751</v>
      </c>
      <c r="CZ122" s="1603">
        <v>9.9621665955152015</v>
      </c>
      <c r="DA122" s="1603">
        <v>4.4385079286695914</v>
      </c>
      <c r="DB122" s="1603">
        <v>6.550394259544392</v>
      </c>
      <c r="DC122" s="1603">
        <v>4.7736499240222372</v>
      </c>
      <c r="DD122" s="1603">
        <v>11.324044183566629</v>
      </c>
      <c r="DE122" s="1603">
        <v>7.4234920589090283</v>
      </c>
      <c r="DF122" s="1603">
        <v>0</v>
      </c>
      <c r="DG122" s="1603">
        <v>0</v>
      </c>
      <c r="DH122" s="1603">
        <v>0</v>
      </c>
      <c r="DI122" s="1603">
        <v>0</v>
      </c>
      <c r="DJ122" s="1603">
        <v>0</v>
      </c>
      <c r="DK122" s="1603">
        <v>0</v>
      </c>
      <c r="DL122" s="1603">
        <v>0</v>
      </c>
      <c r="DM122" s="1603">
        <v>0</v>
      </c>
      <c r="DN122" s="1603">
        <v>0</v>
      </c>
      <c r="DO122" s="1603">
        <v>0</v>
      </c>
      <c r="DP122" s="1603">
        <v>0</v>
      </c>
      <c r="DQ122" s="1603">
        <v>0</v>
      </c>
      <c r="DR122" s="1603">
        <v>0</v>
      </c>
      <c r="DS122" s="1603">
        <v>0</v>
      </c>
      <c r="DT122" s="1603">
        <v>0</v>
      </c>
      <c r="DU122" s="1603">
        <v>0</v>
      </c>
      <c r="DV122" s="1603">
        <v>0</v>
      </c>
      <c r="DW122" s="1618" t="s">
        <v>3488</v>
      </c>
      <c r="DX122" s="1605">
        <v>20</v>
      </c>
      <c r="DY122" s="1605">
        <v>20</v>
      </c>
      <c r="DZ122" s="1605">
        <v>18</v>
      </c>
      <c r="EA122" s="1605">
        <v>20</v>
      </c>
      <c r="EB122" s="1605">
        <v>16</v>
      </c>
      <c r="EC122" s="1605">
        <v>20</v>
      </c>
      <c r="ED122" s="1605">
        <v>20</v>
      </c>
      <c r="EE122" s="1605">
        <v>20</v>
      </c>
      <c r="EF122" s="1605">
        <v>18</v>
      </c>
      <c r="EG122" s="1605">
        <v>18</v>
      </c>
      <c r="EH122" s="1605" t="s">
        <v>986</v>
      </c>
      <c r="EI122" s="1605" t="s">
        <v>986</v>
      </c>
      <c r="EJ122" s="1605" t="s">
        <v>986</v>
      </c>
      <c r="EK122" s="1605" t="s">
        <v>986</v>
      </c>
      <c r="EL122" s="1605" t="s">
        <v>986</v>
      </c>
      <c r="EM122" s="1605" t="s">
        <v>986</v>
      </c>
      <c r="EN122" s="1605" t="s">
        <v>986</v>
      </c>
      <c r="EO122" s="1605" t="s">
        <v>986</v>
      </c>
      <c r="EP122" s="1605" t="s">
        <v>986</v>
      </c>
      <c r="EQ122" s="1605" t="s">
        <v>986</v>
      </c>
      <c r="ER122" s="1605" t="s">
        <v>986</v>
      </c>
      <c r="ES122" s="1605">
        <v>8</v>
      </c>
      <c r="ET122" s="1605">
        <v>12</v>
      </c>
      <c r="EU122" s="1605">
        <v>5</v>
      </c>
      <c r="EV122" s="1605" t="s">
        <v>986</v>
      </c>
      <c r="EW122" s="1605">
        <v>5</v>
      </c>
      <c r="EX122" s="1605">
        <v>5</v>
      </c>
      <c r="EY122" s="1605" t="s">
        <v>986</v>
      </c>
      <c r="EZ122" s="1605">
        <v>5</v>
      </c>
      <c r="FA122" s="1605">
        <v>5</v>
      </c>
      <c r="FB122" s="1605">
        <v>5</v>
      </c>
      <c r="FC122" s="1605">
        <v>5</v>
      </c>
      <c r="FD122" s="1605" t="s">
        <v>986</v>
      </c>
      <c r="FE122" s="1605" t="s">
        <v>986</v>
      </c>
      <c r="FF122" s="1605">
        <v>1</v>
      </c>
      <c r="FG122" s="1605">
        <v>1.1000000000000001</v>
      </c>
      <c r="FH122" s="1605">
        <v>0.8</v>
      </c>
      <c r="FI122" s="1605">
        <v>2.1</v>
      </c>
      <c r="FJ122" s="1605">
        <v>1.3</v>
      </c>
      <c r="FK122" s="1605">
        <v>3.7</v>
      </c>
      <c r="FL122" s="1605">
        <v>3.4</v>
      </c>
      <c r="FM122" s="1605">
        <v>2.4</v>
      </c>
      <c r="FN122" s="1605">
        <v>5.9</v>
      </c>
      <c r="FO122" s="1605">
        <v>5.0999999999999996</v>
      </c>
      <c r="FP122" s="1605" t="s">
        <v>986</v>
      </c>
      <c r="FQ122" s="1605" t="s">
        <v>986</v>
      </c>
      <c r="FR122" s="1605" t="s">
        <v>986</v>
      </c>
      <c r="FS122" s="1605" t="s">
        <v>986</v>
      </c>
      <c r="FT122" s="1605" t="s">
        <v>986</v>
      </c>
      <c r="FU122" s="1605" t="s">
        <v>986</v>
      </c>
      <c r="FV122" s="1605" t="s">
        <v>986</v>
      </c>
      <c r="FW122" s="1605" t="s">
        <v>986</v>
      </c>
      <c r="FX122" s="1605" t="s">
        <v>986</v>
      </c>
      <c r="FY122" s="1605" t="s">
        <v>986</v>
      </c>
      <c r="FZ122" s="1605" t="s">
        <v>986</v>
      </c>
      <c r="GA122" s="1605" t="s">
        <v>986</v>
      </c>
      <c r="GB122" s="1605">
        <v>0.8</v>
      </c>
      <c r="GC122" s="1605" t="s">
        <v>986</v>
      </c>
      <c r="GD122" s="1605" t="s">
        <v>986</v>
      </c>
      <c r="GE122" s="1605">
        <v>0.79</v>
      </c>
      <c r="GF122" s="1605">
        <v>0.13</v>
      </c>
      <c r="GG122" s="1605">
        <v>0.08</v>
      </c>
      <c r="GH122" s="1605">
        <v>29.61</v>
      </c>
      <c r="GI122" s="1605">
        <v>1.51</v>
      </c>
      <c r="GJ122" s="1605">
        <v>5.81</v>
      </c>
      <c r="GK122" s="1605">
        <v>5.17</v>
      </c>
      <c r="GL122" s="1605" t="s">
        <v>986</v>
      </c>
      <c r="GM122" s="1605" t="s">
        <v>986</v>
      </c>
      <c r="GN122" s="1605" t="s">
        <v>1579</v>
      </c>
      <c r="GO122" s="1605" t="s">
        <v>1579</v>
      </c>
      <c r="GP122" s="1605" t="s">
        <v>1579</v>
      </c>
      <c r="GQ122" s="1605" t="s">
        <v>1579</v>
      </c>
      <c r="GR122" s="1605" t="s">
        <v>1579</v>
      </c>
      <c r="GS122" s="1605" t="s">
        <v>1579</v>
      </c>
      <c r="GT122" s="1605" t="s">
        <v>1579</v>
      </c>
      <c r="GU122" s="1605" t="s">
        <v>1579</v>
      </c>
      <c r="GV122" s="1605" t="s">
        <v>1579</v>
      </c>
      <c r="GW122" s="1605" t="s">
        <v>1579</v>
      </c>
      <c r="GX122" s="1605" t="s">
        <v>1583</v>
      </c>
      <c r="GY122" s="1605" t="s">
        <v>1583</v>
      </c>
      <c r="GZ122" s="1605" t="s">
        <v>1583</v>
      </c>
      <c r="HA122" s="1605" t="s">
        <v>1583</v>
      </c>
      <c r="HB122" s="1605" t="s">
        <v>1583</v>
      </c>
      <c r="HC122" s="1605" t="s">
        <v>1583</v>
      </c>
      <c r="HD122" s="1605" t="s">
        <v>1583</v>
      </c>
      <c r="HE122" s="1605" t="s">
        <v>1583</v>
      </c>
      <c r="HF122" s="1605" t="s">
        <v>1583</v>
      </c>
      <c r="HG122" s="1605" t="s">
        <v>1583</v>
      </c>
      <c r="HH122" s="1605" t="s">
        <v>1583</v>
      </c>
      <c r="HI122" s="1605" t="s">
        <v>1579</v>
      </c>
      <c r="HJ122" s="1605" t="s">
        <v>1579</v>
      </c>
      <c r="HK122" s="1605" t="s">
        <v>986</v>
      </c>
      <c r="HL122" s="1605" t="s">
        <v>986</v>
      </c>
      <c r="HM122" s="1605" t="s">
        <v>1591</v>
      </c>
      <c r="HN122" s="1605" t="s">
        <v>1591</v>
      </c>
      <c r="HO122" s="1605" t="s">
        <v>986</v>
      </c>
      <c r="HP122" s="1605" t="s">
        <v>1591</v>
      </c>
      <c r="HQ122" s="1605" t="s">
        <v>1591</v>
      </c>
      <c r="HR122" s="1605" t="s">
        <v>1591</v>
      </c>
      <c r="HS122" s="1605" t="s">
        <v>1591</v>
      </c>
      <c r="HT122" s="1605" t="s">
        <v>986</v>
      </c>
      <c r="HU122" s="1605" t="s">
        <v>986</v>
      </c>
      <c r="HV122" s="1617"/>
      <c r="HW122" s="1617" t="s">
        <v>3487</v>
      </c>
      <c r="HX122" s="1617" t="s">
        <v>3486</v>
      </c>
      <c r="HY122" s="1617" t="s">
        <v>3485</v>
      </c>
      <c r="HZ122" s="1603"/>
      <c r="IA122" s="1603"/>
      <c r="IB122" s="1603"/>
      <c r="IC122" s="1603">
        <v>57.219512195122</v>
      </c>
      <c r="ID122" s="1603">
        <v>59.268292682926798</v>
      </c>
      <c r="IE122" s="1603">
        <v>60.975609756097597</v>
      </c>
      <c r="IF122" s="1603">
        <v>62</v>
      </c>
      <c r="IG122" s="1611" t="s">
        <v>3477</v>
      </c>
      <c r="IH122" s="1616" t="s">
        <v>3484</v>
      </c>
      <c r="II122" s="1615" t="s">
        <v>3483</v>
      </c>
      <c r="IJ122" s="1613">
        <v>0.42856818181818179</v>
      </c>
      <c r="IK122" s="1613">
        <v>0.41715909090909098</v>
      </c>
      <c r="IL122" s="1614">
        <v>0.42856818181818179</v>
      </c>
      <c r="IM122" s="1614">
        <v>0.41715909090909098</v>
      </c>
      <c r="IN122" s="1612">
        <v>0.37</v>
      </c>
      <c r="IO122" s="1613">
        <v>-5.8568181818181797E-2</v>
      </c>
      <c r="IP122" s="1607" t="s">
        <v>270</v>
      </c>
      <c r="IQ122" s="1612">
        <v>0.83</v>
      </c>
      <c r="IR122" s="1612">
        <v>-2.1999999999999999E-2</v>
      </c>
      <c r="IS122" s="1607">
        <v>0.35256818181818178</v>
      </c>
      <c r="IT122" s="1607">
        <v>0.34115909090909097</v>
      </c>
      <c r="IU122" s="1611">
        <v>1.1363636363636365E-5</v>
      </c>
      <c r="IV122" s="1611">
        <v>4.0795454545454546E-3</v>
      </c>
      <c r="IW122" s="1611">
        <v>6.9318181818181816E-4</v>
      </c>
      <c r="IX122" s="1611">
        <v>7.3863636363636362E-4</v>
      </c>
      <c r="IY122" s="1611">
        <v>7.0454545454545455E-4</v>
      </c>
      <c r="IZ122" s="1611">
        <v>5.1477272727272726E-3</v>
      </c>
      <c r="JA122" s="1611">
        <v>7.9545454545454551E-5</v>
      </c>
      <c r="JB122" s="1611" t="s">
        <v>270</v>
      </c>
      <c r="JC122" s="1611">
        <v>0.72719318181818182</v>
      </c>
      <c r="JD122" s="1611">
        <v>2.2386363636363637E-3</v>
      </c>
      <c r="JE122" s="1611" t="s">
        <v>270</v>
      </c>
      <c r="JF122" s="1611">
        <v>2.5000000000000001E-4</v>
      </c>
      <c r="JG122" s="1611">
        <v>1.6538863636363639</v>
      </c>
      <c r="JH122" s="1611">
        <v>1.4772727272727274E-4</v>
      </c>
      <c r="JI122" s="1611">
        <v>5.0272727272727274E-2</v>
      </c>
      <c r="JJ122" s="1611" t="s">
        <v>270</v>
      </c>
      <c r="JK122" s="1607">
        <f t="shared" si="10"/>
        <v>7.6000000000000012E-2</v>
      </c>
      <c r="JL122" s="1608" t="s">
        <v>270</v>
      </c>
      <c r="JM122" s="1610" t="s">
        <v>2924</v>
      </c>
      <c r="JN122" s="1608">
        <v>1.1409090909090813E-2</v>
      </c>
      <c r="JO122" s="1609" t="s">
        <v>3077</v>
      </c>
      <c r="JP122" s="1608" t="s">
        <v>270</v>
      </c>
      <c r="JQ122" s="1607">
        <v>202103</v>
      </c>
      <c r="JR122" s="1606">
        <v>882</v>
      </c>
      <c r="JS122" s="1606">
        <v>802</v>
      </c>
      <c r="JT122" s="1606">
        <v>802</v>
      </c>
    </row>
    <row r="123" spans="1:280" ht="15" customHeight="1" x14ac:dyDescent="0.2">
      <c r="A123" s="1626">
        <v>51700</v>
      </c>
      <c r="B123" s="1625">
        <v>517</v>
      </c>
      <c r="C123" s="1624">
        <v>0</v>
      </c>
      <c r="D123" s="1623" t="s">
        <v>3482</v>
      </c>
      <c r="E123" s="1622">
        <v>43031</v>
      </c>
      <c r="F123" s="1620">
        <v>0.72713916535036804</v>
      </c>
      <c r="G123" s="1620">
        <v>0.79028389877699401</v>
      </c>
      <c r="H123" s="1621">
        <v>68.8</v>
      </c>
      <c r="I123" s="1621">
        <v>56.3</v>
      </c>
      <c r="J123" s="1621">
        <v>88</v>
      </c>
      <c r="K123" s="1620">
        <v>1</v>
      </c>
      <c r="L123" s="1620">
        <v>88.1</v>
      </c>
      <c r="M123" s="1620">
        <v>17.179500000000001</v>
      </c>
      <c r="N123" s="1620">
        <v>4.8455000000000004</v>
      </c>
      <c r="O123" s="1620">
        <v>4.7573999999999996</v>
      </c>
      <c r="P123" s="1620">
        <v>6.4512581740000003</v>
      </c>
      <c r="Q123" s="1603"/>
      <c r="R123" s="1620">
        <v>71.614042197802206</v>
      </c>
      <c r="S123" s="1620">
        <v>20</v>
      </c>
      <c r="T123" s="1620">
        <v>37.0731707317073</v>
      </c>
      <c r="U123" s="1620">
        <v>43.902439024390198</v>
      </c>
      <c r="V123" s="1620">
        <v>50.048780487804898</v>
      </c>
      <c r="W123" s="1620">
        <v>54.146341463414601</v>
      </c>
      <c r="X123" s="1620"/>
      <c r="Y123" s="1620">
        <v>0.90000000000000013</v>
      </c>
      <c r="Z123" s="1620">
        <v>11.900000000000002</v>
      </c>
      <c r="AA123" s="1620">
        <v>0.1</v>
      </c>
      <c r="AB123" s="1620">
        <v>0</v>
      </c>
      <c r="AC123" s="1620">
        <v>13</v>
      </c>
      <c r="AD123" s="1620">
        <v>4.2000000000000011</v>
      </c>
      <c r="AE123" s="1620">
        <v>2.2000000000000002</v>
      </c>
      <c r="AF123" s="1620">
        <v>150</v>
      </c>
      <c r="AG123" s="1620">
        <v>13</v>
      </c>
      <c r="AH123" s="1620">
        <v>145</v>
      </c>
      <c r="AI123" s="1620">
        <v>106.00000000000001</v>
      </c>
      <c r="AJ123" s="1620">
        <v>0</v>
      </c>
      <c r="AK123" s="1620">
        <v>7.0000000000000007E-2</v>
      </c>
      <c r="AL123" s="1620"/>
      <c r="AM123" s="1620">
        <v>3.9000000000000101</v>
      </c>
      <c r="AN123" s="1620">
        <v>1.6</v>
      </c>
      <c r="AO123" s="1620">
        <v>2.0000000000000102</v>
      </c>
      <c r="AP123" s="1620">
        <v>3.3</v>
      </c>
      <c r="AQ123" s="1620">
        <v>1.41</v>
      </c>
      <c r="AR123" s="1620">
        <v>3.3</v>
      </c>
      <c r="AS123" s="1620">
        <v>6.2100000000000204</v>
      </c>
      <c r="AT123" s="1620">
        <v>2.59</v>
      </c>
      <c r="AU123" s="1620">
        <v>3.9100000000000099</v>
      </c>
      <c r="AV123" s="1620">
        <v>2.8</v>
      </c>
      <c r="AW123" s="1620">
        <v>4.8100000000000103</v>
      </c>
      <c r="AX123" s="1620"/>
      <c r="AY123" s="1620">
        <v>1.01</v>
      </c>
      <c r="AZ123" s="1620">
        <v>1.0900000000000001</v>
      </c>
      <c r="BA123" s="1620">
        <v>1.05</v>
      </c>
      <c r="BB123" s="1620">
        <v>0.94</v>
      </c>
      <c r="BC123" s="1620">
        <v>1.1399999999999999</v>
      </c>
      <c r="BD123" s="1620">
        <v>1.05</v>
      </c>
      <c r="BE123" s="1620">
        <v>1.03</v>
      </c>
      <c r="BF123" s="1620">
        <v>1.0900000000000001</v>
      </c>
      <c r="BG123" s="1620">
        <v>1.1000000000000001</v>
      </c>
      <c r="BH123" s="1620">
        <v>1.04</v>
      </c>
      <c r="BI123" s="1620">
        <v>1.03</v>
      </c>
      <c r="BJ123" s="1603"/>
      <c r="BK123" s="1620">
        <v>19.5</v>
      </c>
      <c r="BL123" s="1620">
        <v>5.5000000000000009</v>
      </c>
      <c r="BM123" s="1620">
        <v>5.3999999999999995</v>
      </c>
      <c r="BN123" s="1620">
        <v>7.3226540000000009</v>
      </c>
      <c r="BO123" s="1620"/>
      <c r="BP123" s="1620">
        <v>105</v>
      </c>
      <c r="BQ123" s="1620">
        <v>57.75</v>
      </c>
      <c r="BR123" s="1620">
        <v>0.82535660085172313</v>
      </c>
      <c r="BS123" s="1620">
        <v>0.89703053209647443</v>
      </c>
      <c r="BT123" s="1603"/>
      <c r="BU123" s="1620">
        <v>946.00000000000011</v>
      </c>
      <c r="BV123" s="1620">
        <v>251.11942857142907</v>
      </c>
      <c r="BW123" s="1620">
        <v>168.92857142857093</v>
      </c>
      <c r="BX123" s="1620" t="s">
        <v>270</v>
      </c>
      <c r="BY123" s="1620" t="s">
        <v>270</v>
      </c>
      <c r="BZ123" s="1620">
        <v>26.341834285714306</v>
      </c>
      <c r="CA123" s="1620">
        <v>412.68873714285701</v>
      </c>
      <c r="CB123" s="1603"/>
      <c r="CC123" s="1603">
        <v>0.79290000000000005</v>
      </c>
      <c r="CD123" s="1603">
        <v>10.4839</v>
      </c>
      <c r="CE123" s="1603">
        <v>8.8099999999999998E-2</v>
      </c>
      <c r="CF123" s="1603">
        <v>0</v>
      </c>
      <c r="CG123" s="1603">
        <v>11.452999999999999</v>
      </c>
      <c r="CH123" s="1603">
        <v>3.7002000000000006</v>
      </c>
      <c r="CI123" s="1603">
        <v>1.9381999999999999</v>
      </c>
      <c r="CJ123" s="1603"/>
      <c r="CK123" s="1603">
        <v>132.14999999999998</v>
      </c>
      <c r="CL123" s="1603">
        <v>11.452999999999999</v>
      </c>
      <c r="CM123" s="1603">
        <v>127.74499999999999</v>
      </c>
      <c r="CN123" s="1603">
        <v>93.385999999999996</v>
      </c>
      <c r="CO123" s="1603">
        <v>0</v>
      </c>
      <c r="CP123" s="1603">
        <v>6.1669999999999996E-2</v>
      </c>
      <c r="CQ123" s="1603">
        <v>123.02934379371401</v>
      </c>
      <c r="CR123" s="1603">
        <v>169.19642024017918</v>
      </c>
      <c r="CS123" s="1603">
        <v>6.6646469932607069</v>
      </c>
      <c r="CT123" s="1603">
        <v>2.9507855689887355</v>
      </c>
      <c r="CU123" s="1603">
        <v>3.5531248250437848</v>
      </c>
      <c r="CV123" s="1603">
        <v>6.5039103940325065</v>
      </c>
      <c r="CW123" s="1603">
        <v>5.2484729558503602</v>
      </c>
      <c r="CX123" s="1603">
        <v>2.7196632589406415</v>
      </c>
      <c r="CY123" s="1603">
        <v>5.8626559613222362</v>
      </c>
      <c r="CZ123" s="1603">
        <v>10.822310627822651</v>
      </c>
      <c r="DA123" s="1603">
        <v>4.776584139800498</v>
      </c>
      <c r="DB123" s="1603">
        <v>7.2771380345301342</v>
      </c>
      <c r="DC123" s="1603">
        <v>4.9269997573940287</v>
      </c>
      <c r="DD123" s="1603">
        <v>12.204137791924165</v>
      </c>
      <c r="DE123" s="1603">
        <v>8.3824982479592336</v>
      </c>
      <c r="DF123" s="1603">
        <v>0</v>
      </c>
      <c r="DG123" s="1603">
        <v>0</v>
      </c>
      <c r="DH123" s="1603">
        <v>0</v>
      </c>
      <c r="DI123" s="1603">
        <v>0</v>
      </c>
      <c r="DJ123" s="1603">
        <v>0</v>
      </c>
      <c r="DK123" s="1603">
        <v>0</v>
      </c>
      <c r="DL123" s="1603">
        <v>0</v>
      </c>
      <c r="DM123" s="1603">
        <v>0</v>
      </c>
      <c r="DN123" s="1603">
        <v>0</v>
      </c>
      <c r="DO123" s="1603">
        <v>0</v>
      </c>
      <c r="DP123" s="1603">
        <v>0</v>
      </c>
      <c r="DQ123" s="1603">
        <v>0</v>
      </c>
      <c r="DR123" s="1603">
        <v>0</v>
      </c>
      <c r="DS123" s="1603">
        <v>0</v>
      </c>
      <c r="DT123" s="1603">
        <v>0</v>
      </c>
      <c r="DU123" s="1603">
        <v>0</v>
      </c>
      <c r="DV123" s="1603">
        <v>0</v>
      </c>
      <c r="DW123" s="1618" t="s">
        <v>3481</v>
      </c>
      <c r="DX123" s="1605" t="s">
        <v>986</v>
      </c>
      <c r="DY123" s="1605" t="s">
        <v>986</v>
      </c>
      <c r="DZ123" s="1605">
        <v>3</v>
      </c>
      <c r="EA123" s="1605">
        <v>3</v>
      </c>
      <c r="EB123" s="1605" t="s">
        <v>986</v>
      </c>
      <c r="EC123" s="1605">
        <v>3</v>
      </c>
      <c r="ED123" s="1605">
        <v>3</v>
      </c>
      <c r="EE123" s="1605">
        <v>3</v>
      </c>
      <c r="EF123" s="1605">
        <v>3</v>
      </c>
      <c r="EG123" s="1605">
        <v>3</v>
      </c>
      <c r="EH123" s="1605" t="s">
        <v>986</v>
      </c>
      <c r="EI123" s="1605" t="s">
        <v>986</v>
      </c>
      <c r="EJ123" s="1605" t="s">
        <v>986</v>
      </c>
      <c r="EK123" s="1605" t="s">
        <v>986</v>
      </c>
      <c r="EL123" s="1605" t="s">
        <v>986</v>
      </c>
      <c r="EM123" s="1605" t="s">
        <v>986</v>
      </c>
      <c r="EN123" s="1605" t="s">
        <v>986</v>
      </c>
      <c r="EO123" s="1605" t="s">
        <v>986</v>
      </c>
      <c r="EP123" s="1605" t="s">
        <v>986</v>
      </c>
      <c r="EQ123" s="1605" t="s">
        <v>986</v>
      </c>
      <c r="ER123" s="1605" t="s">
        <v>986</v>
      </c>
      <c r="ES123" s="1605">
        <v>3</v>
      </c>
      <c r="ET123" s="1605">
        <v>3</v>
      </c>
      <c r="EU123" s="1605">
        <v>3</v>
      </c>
      <c r="EV123" s="1605" t="s">
        <v>986</v>
      </c>
      <c r="EW123" s="1605">
        <v>3</v>
      </c>
      <c r="EX123" s="1605">
        <v>3</v>
      </c>
      <c r="EY123" s="1605" t="s">
        <v>986</v>
      </c>
      <c r="EZ123" s="1605">
        <v>3</v>
      </c>
      <c r="FA123" s="1605">
        <v>3</v>
      </c>
      <c r="FB123" s="1605">
        <v>3</v>
      </c>
      <c r="FC123" s="1605">
        <v>3</v>
      </c>
      <c r="FD123" s="1605" t="s">
        <v>986</v>
      </c>
      <c r="FE123" s="1605" t="s">
        <v>986</v>
      </c>
      <c r="FF123" s="1605" t="s">
        <v>986</v>
      </c>
      <c r="FG123" s="1605" t="s">
        <v>986</v>
      </c>
      <c r="FH123" s="1605" t="s">
        <v>986</v>
      </c>
      <c r="FI123" s="1605">
        <v>0.5</v>
      </c>
      <c r="FJ123" s="1605" t="s">
        <v>986</v>
      </c>
      <c r="FK123" s="1605">
        <v>3</v>
      </c>
      <c r="FL123" s="1605">
        <v>2.2000000000000002</v>
      </c>
      <c r="FM123" s="1605" t="s">
        <v>986</v>
      </c>
      <c r="FN123" s="1605">
        <v>4.9000000000000004</v>
      </c>
      <c r="FO123" s="1605" t="s">
        <v>986</v>
      </c>
      <c r="FP123" s="1605" t="s">
        <v>986</v>
      </c>
      <c r="FQ123" s="1605" t="s">
        <v>986</v>
      </c>
      <c r="FR123" s="1605" t="s">
        <v>986</v>
      </c>
      <c r="FS123" s="1605" t="s">
        <v>986</v>
      </c>
      <c r="FT123" s="1605" t="s">
        <v>986</v>
      </c>
      <c r="FU123" s="1605" t="s">
        <v>986</v>
      </c>
      <c r="FV123" s="1605" t="s">
        <v>986</v>
      </c>
      <c r="FW123" s="1605" t="s">
        <v>986</v>
      </c>
      <c r="FX123" s="1605" t="s">
        <v>986</v>
      </c>
      <c r="FY123" s="1605" t="s">
        <v>986</v>
      </c>
      <c r="FZ123" s="1605" t="s">
        <v>986</v>
      </c>
      <c r="GA123" s="1605" t="s">
        <v>986</v>
      </c>
      <c r="GB123" s="1605">
        <v>2.0699999999999998</v>
      </c>
      <c r="GC123" s="1605" t="s">
        <v>986</v>
      </c>
      <c r="GD123" s="1605" t="s">
        <v>986</v>
      </c>
      <c r="GE123" s="1605">
        <v>1.75</v>
      </c>
      <c r="GF123" s="1605">
        <v>0.52</v>
      </c>
      <c r="GG123" s="1605">
        <v>0.18</v>
      </c>
      <c r="GH123" s="1605">
        <v>17.61</v>
      </c>
      <c r="GI123" s="1605">
        <v>1.27</v>
      </c>
      <c r="GJ123" s="1605">
        <v>34.74</v>
      </c>
      <c r="GK123" s="1605">
        <v>4.51</v>
      </c>
      <c r="GL123" s="1605" t="s">
        <v>986</v>
      </c>
      <c r="GM123" s="1605" t="s">
        <v>986</v>
      </c>
      <c r="GN123" s="1605" t="s">
        <v>1591</v>
      </c>
      <c r="GO123" s="1605" t="s">
        <v>1591</v>
      </c>
      <c r="GP123" s="1605" t="s">
        <v>1591</v>
      </c>
      <c r="GQ123" s="1605" t="s">
        <v>1591</v>
      </c>
      <c r="GR123" s="1605" t="s">
        <v>986</v>
      </c>
      <c r="GS123" s="1605" t="s">
        <v>1591</v>
      </c>
      <c r="GT123" s="1605" t="s">
        <v>1591</v>
      </c>
      <c r="GU123" s="1605" t="s">
        <v>1591</v>
      </c>
      <c r="GV123" s="1605" t="s">
        <v>1591</v>
      </c>
      <c r="GW123" s="1605" t="s">
        <v>986</v>
      </c>
      <c r="GX123" s="1605" t="s">
        <v>986</v>
      </c>
      <c r="GY123" s="1605" t="s">
        <v>986</v>
      </c>
      <c r="GZ123" s="1605" t="s">
        <v>986</v>
      </c>
      <c r="HA123" s="1605" t="s">
        <v>986</v>
      </c>
      <c r="HB123" s="1605" t="s">
        <v>986</v>
      </c>
      <c r="HC123" s="1605" t="s">
        <v>986</v>
      </c>
      <c r="HD123" s="1605" t="s">
        <v>986</v>
      </c>
      <c r="HE123" s="1605" t="s">
        <v>986</v>
      </c>
      <c r="HF123" s="1605" t="s">
        <v>986</v>
      </c>
      <c r="HG123" s="1605" t="s">
        <v>986</v>
      </c>
      <c r="HH123" s="1605" t="s">
        <v>986</v>
      </c>
      <c r="HI123" s="1605" t="s">
        <v>1591</v>
      </c>
      <c r="HJ123" s="1605" t="s">
        <v>1591</v>
      </c>
      <c r="HK123" s="1605" t="s">
        <v>986</v>
      </c>
      <c r="HL123" s="1605" t="s">
        <v>986</v>
      </c>
      <c r="HM123" s="1605" t="s">
        <v>1591</v>
      </c>
      <c r="HN123" s="1605" t="s">
        <v>1591</v>
      </c>
      <c r="HO123" s="1605" t="s">
        <v>986</v>
      </c>
      <c r="HP123" s="1605" t="s">
        <v>1591</v>
      </c>
      <c r="HQ123" s="1605" t="s">
        <v>1591</v>
      </c>
      <c r="HR123" s="1605" t="s">
        <v>1591</v>
      </c>
      <c r="HS123" s="1605" t="s">
        <v>1591</v>
      </c>
      <c r="HT123" s="1605" t="s">
        <v>986</v>
      </c>
      <c r="HU123" s="1605" t="s">
        <v>986</v>
      </c>
      <c r="HV123" s="1617"/>
      <c r="HW123" s="1617" t="s">
        <v>3480</v>
      </c>
      <c r="HX123" s="1617" t="s">
        <v>3479</v>
      </c>
      <c r="HY123" s="1617" t="s">
        <v>3478</v>
      </c>
      <c r="HZ123" s="1603"/>
      <c r="IA123" s="1603"/>
      <c r="IB123" s="1603"/>
      <c r="IC123" s="1603">
        <v>57.219512195122</v>
      </c>
      <c r="ID123" s="1603">
        <v>59.268292682926798</v>
      </c>
      <c r="IE123" s="1603">
        <v>60.975609756097597</v>
      </c>
      <c r="IF123" s="1603">
        <v>62</v>
      </c>
      <c r="IG123" s="1611" t="s">
        <v>3477</v>
      </c>
      <c r="IH123" s="1616" t="s">
        <v>3476</v>
      </c>
      <c r="II123" s="1615" t="s">
        <v>3475</v>
      </c>
      <c r="IJ123" s="1613">
        <v>0.42856818181818179</v>
      </c>
      <c r="IK123" s="1613">
        <v>0.41715909090909098</v>
      </c>
      <c r="IL123" s="1614">
        <v>0.42856818181818179</v>
      </c>
      <c r="IM123" s="1614">
        <v>0.41715909090909098</v>
      </c>
      <c r="IN123" s="1612" t="s">
        <v>270</v>
      </c>
      <c r="IO123" s="1613" t="s">
        <v>270</v>
      </c>
      <c r="IP123" s="1607" t="s">
        <v>270</v>
      </c>
      <c r="IQ123" s="1612" t="s">
        <v>270</v>
      </c>
      <c r="IR123" s="1612" t="s">
        <v>270</v>
      </c>
      <c r="IS123" s="1607">
        <v>0.35256818181818178</v>
      </c>
      <c r="IT123" s="1607">
        <v>0.34115909090909097</v>
      </c>
      <c r="IU123" s="1611">
        <v>1.1363636363636365E-5</v>
      </c>
      <c r="IV123" s="1611">
        <v>4.0795454545454546E-3</v>
      </c>
      <c r="IW123" s="1611">
        <v>6.9318181818181816E-4</v>
      </c>
      <c r="IX123" s="1611">
        <v>7.3863636363636362E-4</v>
      </c>
      <c r="IY123" s="1611">
        <v>7.0454545454545455E-4</v>
      </c>
      <c r="IZ123" s="1611">
        <v>5.1477272727272726E-3</v>
      </c>
      <c r="JA123" s="1611">
        <v>7.9545454545454551E-5</v>
      </c>
      <c r="JB123" s="1611" t="s">
        <v>270</v>
      </c>
      <c r="JC123" s="1611">
        <v>0.72719318181818182</v>
      </c>
      <c r="JD123" s="1611">
        <v>2.2386363636363637E-3</v>
      </c>
      <c r="JE123" s="1611" t="s">
        <v>270</v>
      </c>
      <c r="JF123" s="1611">
        <v>2.5000000000000001E-4</v>
      </c>
      <c r="JG123" s="1611">
        <v>1.6538863636363639</v>
      </c>
      <c r="JH123" s="1611">
        <v>1.4772727272727274E-4</v>
      </c>
      <c r="JI123" s="1611">
        <v>5.0272727272727274E-2</v>
      </c>
      <c r="JJ123" s="1611" t="s">
        <v>270</v>
      </c>
      <c r="JK123" s="1607">
        <f t="shared" si="10"/>
        <v>7.6000000000000012E-2</v>
      </c>
      <c r="JL123" s="1608" t="s">
        <v>270</v>
      </c>
      <c r="JM123" s="1610" t="s">
        <v>2924</v>
      </c>
      <c r="JN123" s="1608">
        <v>1.1409090909090813E-2</v>
      </c>
      <c r="JO123" s="1609" t="s">
        <v>3077</v>
      </c>
      <c r="JP123" s="1608" t="s">
        <v>270</v>
      </c>
      <c r="JQ123" s="1607">
        <v>202103</v>
      </c>
      <c r="JR123" s="1606">
        <v>882</v>
      </c>
      <c r="JS123" s="1606">
        <v>802</v>
      </c>
      <c r="JT123" s="1606">
        <v>802</v>
      </c>
    </row>
    <row r="124" spans="1:280" ht="15" customHeight="1" x14ac:dyDescent="0.2">
      <c r="A124" s="1626">
        <v>62500</v>
      </c>
      <c r="B124" s="1625">
        <v>625</v>
      </c>
      <c r="C124" s="1624">
        <v>0</v>
      </c>
      <c r="D124" s="1623" t="s">
        <v>3474</v>
      </c>
      <c r="E124" s="1622">
        <v>43031</v>
      </c>
      <c r="F124" s="1620">
        <v>1.82963163917925</v>
      </c>
      <c r="G124" s="1620">
        <v>1.8098179754508299</v>
      </c>
      <c r="H124" s="1621">
        <v>88.6</v>
      </c>
      <c r="I124" s="1621">
        <v>77.8</v>
      </c>
      <c r="J124" s="1621">
        <v>93</v>
      </c>
      <c r="K124" s="1620">
        <v>1</v>
      </c>
      <c r="L124" s="1620">
        <v>92</v>
      </c>
      <c r="M124" s="1620">
        <v>21.896000000000001</v>
      </c>
      <c r="N124" s="1620">
        <v>35.880000000000003</v>
      </c>
      <c r="O124" s="1620">
        <v>4.2320000000000002</v>
      </c>
      <c r="P124" s="1620">
        <v>6.9</v>
      </c>
      <c r="Q124" s="1603"/>
      <c r="R124" s="1620">
        <v>75</v>
      </c>
      <c r="S124" s="1620">
        <v>12</v>
      </c>
      <c r="T124" s="1620">
        <v>12</v>
      </c>
      <c r="U124" s="1620">
        <v>12</v>
      </c>
      <c r="V124" s="1620">
        <v>12</v>
      </c>
      <c r="W124" s="1620">
        <v>12</v>
      </c>
      <c r="X124" s="1620"/>
      <c r="Y124" s="1620">
        <v>2.6</v>
      </c>
      <c r="Z124" s="1620">
        <v>5.7</v>
      </c>
      <c r="AA124" s="1620">
        <v>0.39999999999999997</v>
      </c>
      <c r="AB124" s="1620">
        <v>0</v>
      </c>
      <c r="AC124" s="1620">
        <v>8.9</v>
      </c>
      <c r="AD124" s="1620">
        <v>4.0999999999999996</v>
      </c>
      <c r="AE124" s="1620">
        <v>2.4999999999999996</v>
      </c>
      <c r="AF124" s="1620">
        <v>75</v>
      </c>
      <c r="AG124" s="1620">
        <v>14</v>
      </c>
      <c r="AH124" s="1620">
        <v>30</v>
      </c>
      <c r="AI124" s="1620">
        <v>50</v>
      </c>
      <c r="AJ124" s="1620">
        <v>0</v>
      </c>
      <c r="AK124" s="1620">
        <v>0.35000000000000003</v>
      </c>
      <c r="AL124" s="1620"/>
      <c r="AM124" s="1620">
        <v>3.74</v>
      </c>
      <c r="AN124" s="1620">
        <v>1.89</v>
      </c>
      <c r="AO124" s="1620">
        <v>2.0699999999999998</v>
      </c>
      <c r="AP124" s="1620">
        <v>3.51</v>
      </c>
      <c r="AQ124" s="1620">
        <v>1.41</v>
      </c>
      <c r="AR124" s="1620">
        <v>4.1399999999999997</v>
      </c>
      <c r="AS124" s="1620">
        <v>5.77</v>
      </c>
      <c r="AT124" s="1620">
        <v>2.06</v>
      </c>
      <c r="AU124" s="1620">
        <v>4.37</v>
      </c>
      <c r="AV124" s="1620">
        <v>2.36</v>
      </c>
      <c r="AW124" s="1620">
        <v>5.08</v>
      </c>
      <c r="AX124" s="1620"/>
      <c r="AY124" s="1620">
        <v>1.0900000000000001</v>
      </c>
      <c r="AZ124" s="1620">
        <v>1.1299999999999999</v>
      </c>
      <c r="BA124" s="1620">
        <v>1.1299999999999999</v>
      </c>
      <c r="BB124" s="1620">
        <v>1.05</v>
      </c>
      <c r="BC124" s="1620">
        <v>1.1200000000000001</v>
      </c>
      <c r="BD124" s="1620">
        <v>1.08</v>
      </c>
      <c r="BE124" s="1620">
        <v>1.07</v>
      </c>
      <c r="BF124" s="1620">
        <v>1.08</v>
      </c>
      <c r="BG124" s="1620">
        <v>1.07</v>
      </c>
      <c r="BH124" s="1620">
        <v>1</v>
      </c>
      <c r="BI124" s="1620">
        <v>1.0900000000000001</v>
      </c>
      <c r="BJ124" s="1603"/>
      <c r="BK124" s="1620">
        <v>23.8</v>
      </c>
      <c r="BL124" s="1620">
        <v>39.000000000000007</v>
      </c>
      <c r="BM124" s="1620">
        <v>4.6000000000000005</v>
      </c>
      <c r="BN124" s="1620">
        <v>7.5</v>
      </c>
      <c r="BO124" s="1620"/>
      <c r="BP124" s="1620">
        <v>190</v>
      </c>
      <c r="BQ124" s="1620">
        <v>741</v>
      </c>
      <c r="BR124" s="1620">
        <v>1.9887300425861412</v>
      </c>
      <c r="BS124" s="1620">
        <v>1.9671934515769891</v>
      </c>
      <c r="BT124" s="1603"/>
      <c r="BU124" s="1620">
        <v>954</v>
      </c>
      <c r="BV124" s="1620">
        <v>103.17542857142902</v>
      </c>
      <c r="BW124" s="1620">
        <v>147.18857142857064</v>
      </c>
      <c r="BX124" s="1620" t="s">
        <v>270</v>
      </c>
      <c r="BY124" s="1620" t="s">
        <v>270</v>
      </c>
      <c r="BZ124" s="1620" t="s">
        <v>270</v>
      </c>
      <c r="CA124" s="1620" t="s">
        <v>270</v>
      </c>
      <c r="CB124" s="1603"/>
      <c r="CC124" s="1603">
        <v>2.3920000000000003</v>
      </c>
      <c r="CD124" s="1603">
        <v>5.2440000000000007</v>
      </c>
      <c r="CE124" s="1603">
        <v>0.36799999999999999</v>
      </c>
      <c r="CF124" s="1603">
        <v>0</v>
      </c>
      <c r="CG124" s="1603">
        <v>8.1880000000000006</v>
      </c>
      <c r="CH124" s="1603">
        <v>3.7719999999999998</v>
      </c>
      <c r="CI124" s="1603">
        <v>2.2999999999999998</v>
      </c>
      <c r="CJ124" s="1603"/>
      <c r="CK124" s="1603">
        <v>69</v>
      </c>
      <c r="CL124" s="1603">
        <v>12.88</v>
      </c>
      <c r="CM124" s="1603">
        <v>27.6</v>
      </c>
      <c r="CN124" s="1603">
        <v>46</v>
      </c>
      <c r="CO124" s="1603">
        <v>0</v>
      </c>
      <c r="CP124" s="1603">
        <v>0.32200000000000006</v>
      </c>
      <c r="CQ124" s="1603">
        <v>164.22</v>
      </c>
      <c r="CR124" s="1603">
        <v>89.755771863273552</v>
      </c>
      <c r="CS124" s="1603">
        <v>3.6589837957782096</v>
      </c>
      <c r="CT124" s="1603">
        <v>1.9169140196839334</v>
      </c>
      <c r="CU124" s="1603">
        <v>2.0994772596538316</v>
      </c>
      <c r="CV124" s="1603">
        <v>4.016391279337765</v>
      </c>
      <c r="CW124" s="1603">
        <v>3.307948972020947</v>
      </c>
      <c r="CX124" s="1603">
        <v>1.4174231492648159</v>
      </c>
      <c r="CY124" s="1603">
        <v>4.0131600715506872</v>
      </c>
      <c r="CZ124" s="1603">
        <v>5.5414315990666463</v>
      </c>
      <c r="DA124" s="1603">
        <v>1.9968864124141099</v>
      </c>
      <c r="DB124" s="1603">
        <v>4.1968901365548081</v>
      </c>
      <c r="DC124" s="1603">
        <v>2.1182362159732562</v>
      </c>
      <c r="DD124" s="1603">
        <v>6.3151263525280639</v>
      </c>
      <c r="DE124" s="1603">
        <v>4.9699565996131838</v>
      </c>
      <c r="DF124" s="1603">
        <v>0</v>
      </c>
      <c r="DG124" s="1603">
        <v>0</v>
      </c>
      <c r="DH124" s="1603">
        <v>0</v>
      </c>
      <c r="DI124" s="1603">
        <v>0</v>
      </c>
      <c r="DJ124" s="1603">
        <v>0</v>
      </c>
      <c r="DK124" s="1603">
        <v>0</v>
      </c>
      <c r="DL124" s="1603">
        <v>0</v>
      </c>
      <c r="DM124" s="1603">
        <v>0</v>
      </c>
      <c r="DN124" s="1603">
        <v>0</v>
      </c>
      <c r="DO124" s="1603">
        <v>0</v>
      </c>
      <c r="DP124" s="1603">
        <v>0</v>
      </c>
      <c r="DQ124" s="1603">
        <v>0</v>
      </c>
      <c r="DR124" s="1603">
        <v>0</v>
      </c>
      <c r="DS124" s="1603">
        <v>0</v>
      </c>
      <c r="DT124" s="1603">
        <v>0</v>
      </c>
      <c r="DU124" s="1603">
        <v>0</v>
      </c>
      <c r="DV124" s="1603">
        <v>0</v>
      </c>
      <c r="DW124" s="1618" t="s">
        <v>3473</v>
      </c>
      <c r="DX124" s="1605" t="s">
        <v>986</v>
      </c>
      <c r="DY124" s="1605" t="s">
        <v>986</v>
      </c>
      <c r="DZ124" s="1605">
        <v>2</v>
      </c>
      <c r="EA124" s="1605">
        <v>2</v>
      </c>
      <c r="EB124" s="1605" t="s">
        <v>986</v>
      </c>
      <c r="EC124" s="1605">
        <v>2</v>
      </c>
      <c r="ED124" s="1605">
        <v>2</v>
      </c>
      <c r="EE124" s="1605">
        <v>2</v>
      </c>
      <c r="EF124" s="1605">
        <v>2</v>
      </c>
      <c r="EG124" s="1605">
        <v>2</v>
      </c>
      <c r="EH124" s="1605">
        <v>2</v>
      </c>
      <c r="EI124" s="1605">
        <v>2</v>
      </c>
      <c r="EJ124" s="1605">
        <v>2</v>
      </c>
      <c r="EK124" s="1605">
        <v>2</v>
      </c>
      <c r="EL124" s="1605" t="s">
        <v>986</v>
      </c>
      <c r="EM124" s="1605" t="s">
        <v>986</v>
      </c>
      <c r="EN124" s="1605">
        <v>2</v>
      </c>
      <c r="EO124" s="1605">
        <v>2</v>
      </c>
      <c r="EP124" s="1605">
        <v>2</v>
      </c>
      <c r="EQ124" s="1605">
        <v>2</v>
      </c>
      <c r="ER124" s="1605" t="s">
        <v>986</v>
      </c>
      <c r="ES124" s="1605">
        <v>2</v>
      </c>
      <c r="ET124" s="1605">
        <v>2</v>
      </c>
      <c r="EU124" s="1605">
        <v>2</v>
      </c>
      <c r="EV124" s="1605" t="s">
        <v>986</v>
      </c>
      <c r="EW124" s="1605">
        <v>2</v>
      </c>
      <c r="EX124" s="1605">
        <v>2</v>
      </c>
      <c r="EY124" s="1605" t="s">
        <v>986</v>
      </c>
      <c r="EZ124" s="1605">
        <v>2</v>
      </c>
      <c r="FA124" s="1605">
        <v>2</v>
      </c>
      <c r="FB124" s="1605">
        <v>2</v>
      </c>
      <c r="FC124" s="1605">
        <v>2</v>
      </c>
      <c r="FD124" s="1605" t="s">
        <v>986</v>
      </c>
      <c r="FE124" s="1605" t="s">
        <v>986</v>
      </c>
      <c r="FF124" s="1605" t="s">
        <v>986</v>
      </c>
      <c r="FG124" s="1605" t="s">
        <v>986</v>
      </c>
      <c r="FH124" s="1605">
        <v>4.4000000000000004</v>
      </c>
      <c r="FI124" s="1605">
        <v>0.3</v>
      </c>
      <c r="FJ124" s="1605" t="s">
        <v>986</v>
      </c>
      <c r="FK124" s="1605">
        <v>0.4</v>
      </c>
      <c r="FL124" s="1605">
        <v>0.1</v>
      </c>
      <c r="FM124" s="1605" t="s">
        <v>986</v>
      </c>
      <c r="FN124" s="1605" t="s">
        <v>986</v>
      </c>
      <c r="FO124" s="1605" t="s">
        <v>986</v>
      </c>
      <c r="FP124" s="1605">
        <v>0.18</v>
      </c>
      <c r="FQ124" s="1605">
        <v>0.15</v>
      </c>
      <c r="FR124" s="1605">
        <v>0.06</v>
      </c>
      <c r="FS124" s="1605">
        <v>0.22</v>
      </c>
      <c r="FT124" s="1605" t="s">
        <v>986</v>
      </c>
      <c r="FU124" s="1605" t="s">
        <v>986</v>
      </c>
      <c r="FV124" s="1605">
        <v>0.08</v>
      </c>
      <c r="FW124" s="1605">
        <v>0.08</v>
      </c>
      <c r="FX124" s="1605">
        <v>0.03</v>
      </c>
      <c r="FY124" s="1605">
        <v>0.06</v>
      </c>
      <c r="FZ124" s="1605" t="s">
        <v>986</v>
      </c>
      <c r="GA124" s="1605" t="s">
        <v>986</v>
      </c>
      <c r="GB124" s="1605">
        <v>0.19</v>
      </c>
      <c r="GC124" s="1605" t="s">
        <v>986</v>
      </c>
      <c r="GD124" s="1605" t="s">
        <v>986</v>
      </c>
      <c r="GE124" s="1605">
        <v>0.06</v>
      </c>
      <c r="GF124" s="1605">
        <v>0.28000000000000003</v>
      </c>
      <c r="GG124" s="1605">
        <v>0.02</v>
      </c>
      <c r="GH124" s="1605">
        <v>3.58</v>
      </c>
      <c r="GI124" s="1605">
        <v>1.43</v>
      </c>
      <c r="GJ124" s="1605">
        <v>1.32</v>
      </c>
      <c r="GK124" s="1605">
        <v>3.41</v>
      </c>
      <c r="GL124" s="1605" t="s">
        <v>986</v>
      </c>
      <c r="GM124" s="1605" t="s">
        <v>986</v>
      </c>
      <c r="GN124" s="1605" t="s">
        <v>1591</v>
      </c>
      <c r="GO124" s="1605" t="s">
        <v>1591</v>
      </c>
      <c r="GP124" s="1605" t="s">
        <v>1591</v>
      </c>
      <c r="GQ124" s="1605" t="s">
        <v>1591</v>
      </c>
      <c r="GR124" s="1605" t="s">
        <v>986</v>
      </c>
      <c r="GS124" s="1605" t="s">
        <v>1591</v>
      </c>
      <c r="GT124" s="1605" t="s">
        <v>1591</v>
      </c>
      <c r="GU124" s="1605" t="s">
        <v>1591</v>
      </c>
      <c r="GV124" s="1605" t="s">
        <v>986</v>
      </c>
      <c r="GW124" s="1605" t="s">
        <v>986</v>
      </c>
      <c r="GX124" s="1605" t="s">
        <v>1591</v>
      </c>
      <c r="GY124" s="1605" t="s">
        <v>1591</v>
      </c>
      <c r="GZ124" s="1605" t="s">
        <v>1591</v>
      </c>
      <c r="HA124" s="1605" t="s">
        <v>1591</v>
      </c>
      <c r="HB124" s="1605" t="s">
        <v>986</v>
      </c>
      <c r="HC124" s="1605" t="s">
        <v>986</v>
      </c>
      <c r="HD124" s="1605" t="s">
        <v>1591</v>
      </c>
      <c r="HE124" s="1605" t="s">
        <v>1591</v>
      </c>
      <c r="HF124" s="1605" t="s">
        <v>1591</v>
      </c>
      <c r="HG124" s="1605" t="s">
        <v>1591</v>
      </c>
      <c r="HH124" s="1605" t="s">
        <v>986</v>
      </c>
      <c r="HI124" s="1605" t="s">
        <v>1591</v>
      </c>
      <c r="HJ124" s="1605" t="s">
        <v>1591</v>
      </c>
      <c r="HK124" s="1605" t="s">
        <v>986</v>
      </c>
      <c r="HL124" s="1605" t="s">
        <v>986</v>
      </c>
      <c r="HM124" s="1605" t="s">
        <v>1591</v>
      </c>
      <c r="HN124" s="1605" t="s">
        <v>1591</v>
      </c>
      <c r="HO124" s="1605" t="s">
        <v>1591</v>
      </c>
      <c r="HP124" s="1605" t="s">
        <v>1591</v>
      </c>
      <c r="HQ124" s="1605" t="s">
        <v>1591</v>
      </c>
      <c r="HR124" s="1605" t="s">
        <v>1591</v>
      </c>
      <c r="HS124" s="1605" t="s">
        <v>1591</v>
      </c>
      <c r="HT124" s="1605" t="s">
        <v>986</v>
      </c>
      <c r="HU124" s="1605" t="s">
        <v>986</v>
      </c>
      <c r="HV124" s="1617"/>
      <c r="HW124" s="1617" t="s">
        <v>3472</v>
      </c>
      <c r="HX124" s="1617" t="s">
        <v>3471</v>
      </c>
      <c r="HY124" s="1617" t="s">
        <v>3470</v>
      </c>
      <c r="HZ124" s="1603"/>
      <c r="IA124" s="1603"/>
      <c r="IB124" s="1603"/>
      <c r="IC124" s="1603">
        <v>12</v>
      </c>
      <c r="ID124" s="1603">
        <v>12</v>
      </c>
      <c r="IE124" s="1603">
        <v>12</v>
      </c>
      <c r="IF124" s="1603">
        <v>12</v>
      </c>
      <c r="IG124" s="1611" t="s">
        <v>3469</v>
      </c>
      <c r="IH124" s="1616" t="s">
        <v>270</v>
      </c>
      <c r="II124" s="1615" t="s">
        <v>270</v>
      </c>
      <c r="IJ124" s="1613">
        <v>1.6512499999999999</v>
      </c>
      <c r="IK124" s="1613">
        <v>1.6512499999999999</v>
      </c>
      <c r="IL124" s="1614">
        <v>1.6512499999999999</v>
      </c>
      <c r="IM124" s="1614">
        <v>1.6512499999999999</v>
      </c>
      <c r="IN124" s="1612" t="s">
        <v>270</v>
      </c>
      <c r="IO124" s="1613" t="s">
        <v>270</v>
      </c>
      <c r="IP124" s="1607" t="s">
        <v>270</v>
      </c>
      <c r="IQ124" s="1612" t="s">
        <v>270</v>
      </c>
      <c r="IR124" s="1612" t="s">
        <v>270</v>
      </c>
      <c r="IS124" s="1607">
        <v>1.4782499999999998</v>
      </c>
      <c r="IT124" s="1607">
        <v>1.4782499999999998</v>
      </c>
      <c r="IU124" s="1611">
        <v>2.2727272727272729E-5</v>
      </c>
      <c r="IV124" s="1611">
        <v>1.7113636363636362E-2</v>
      </c>
      <c r="IW124" s="1611">
        <v>2.8977272727272723E-3</v>
      </c>
      <c r="IX124" s="1611">
        <v>3.6931818181818181E-3</v>
      </c>
      <c r="IY124" s="1611">
        <v>2.9318181818181817E-3</v>
      </c>
      <c r="IZ124" s="1611">
        <v>2.5829545454545456E-2</v>
      </c>
      <c r="JA124" s="1611">
        <v>7.8409090909090898E-4</v>
      </c>
      <c r="JB124" s="1611" t="s">
        <v>270</v>
      </c>
      <c r="JC124" s="1611">
        <v>0.53968181818181826</v>
      </c>
      <c r="JD124" s="1611">
        <v>1.6113636363636361E-2</v>
      </c>
      <c r="JE124" s="1611" t="s">
        <v>270</v>
      </c>
      <c r="JF124" s="1611">
        <v>1.9545454545454545E-3</v>
      </c>
      <c r="JG124" s="1611">
        <v>12.15009090909091</v>
      </c>
      <c r="JH124" s="1611">
        <v>1.7613636363636364E-3</v>
      </c>
      <c r="JI124" s="1611">
        <v>0.21468181818181814</v>
      </c>
      <c r="JJ124" s="1611" t="s">
        <v>270</v>
      </c>
      <c r="JK124" s="1607">
        <f t="shared" si="10"/>
        <v>0.17300000000000004</v>
      </c>
      <c r="JL124" s="1608" t="s">
        <v>270</v>
      </c>
      <c r="JM124" s="1610" t="s">
        <v>2924</v>
      </c>
      <c r="JN124" s="1608">
        <v>0</v>
      </c>
      <c r="JO124" s="1609" t="s">
        <v>2955</v>
      </c>
      <c r="JP124" s="1608" t="s">
        <v>270</v>
      </c>
      <c r="JQ124" s="1607">
        <v>202103</v>
      </c>
      <c r="JR124" s="1606">
        <v>183</v>
      </c>
      <c r="JS124" s="1606">
        <v>204</v>
      </c>
      <c r="JT124" s="1606">
        <v>204</v>
      </c>
    </row>
    <row r="125" spans="1:280" ht="15" customHeight="1" x14ac:dyDescent="0.2">
      <c r="A125" s="1626">
        <v>99800</v>
      </c>
      <c r="B125" s="1625">
        <v>998</v>
      </c>
      <c r="C125" s="1624">
        <v>0</v>
      </c>
      <c r="D125" s="1623" t="s">
        <v>3468</v>
      </c>
      <c r="E125" s="1622">
        <v>43031</v>
      </c>
      <c r="F125" s="1620">
        <v>1.1672371646341499</v>
      </c>
      <c r="G125" s="1620">
        <v>1.1187286071428599</v>
      </c>
      <c r="H125" s="1621">
        <v>100</v>
      </c>
      <c r="I125" s="1621">
        <v>100</v>
      </c>
      <c r="J125" s="1621">
        <v>100</v>
      </c>
      <c r="K125" s="1620">
        <v>1</v>
      </c>
      <c r="L125" s="1620">
        <v>99</v>
      </c>
      <c r="M125" s="1620">
        <v>66.082499999999996</v>
      </c>
      <c r="N125" s="1620">
        <v>0</v>
      </c>
      <c r="O125" s="1620">
        <v>15.048</v>
      </c>
      <c r="P125" s="1620">
        <v>0</v>
      </c>
      <c r="Q125" s="1603"/>
      <c r="R125" s="1620">
        <v>100</v>
      </c>
      <c r="S125" s="1620">
        <v>0</v>
      </c>
      <c r="T125" s="1620">
        <v>0</v>
      </c>
      <c r="U125" s="1620">
        <v>0</v>
      </c>
      <c r="V125" s="1620">
        <v>0</v>
      </c>
      <c r="W125" s="1620">
        <v>0</v>
      </c>
      <c r="X125" s="1620"/>
      <c r="Y125" s="1620">
        <v>0</v>
      </c>
      <c r="Z125" s="1620">
        <v>0</v>
      </c>
      <c r="AA125" s="1620">
        <v>0</v>
      </c>
      <c r="AB125" s="1620">
        <v>0</v>
      </c>
      <c r="AC125" s="1620">
        <v>0</v>
      </c>
      <c r="AD125" s="1620">
        <v>0</v>
      </c>
      <c r="AE125" s="1620">
        <v>0</v>
      </c>
      <c r="AF125" s="1620">
        <v>0</v>
      </c>
      <c r="AG125" s="1620">
        <v>0</v>
      </c>
      <c r="AH125" s="1620">
        <v>0</v>
      </c>
      <c r="AI125" s="1620">
        <v>0</v>
      </c>
      <c r="AJ125" s="1620">
        <v>0</v>
      </c>
      <c r="AK125" s="1620">
        <v>0</v>
      </c>
      <c r="AL125" s="1620"/>
      <c r="AM125" s="1620">
        <v>0</v>
      </c>
      <c r="AN125" s="1620">
        <v>0</v>
      </c>
      <c r="AO125" s="1620">
        <v>0</v>
      </c>
      <c r="AP125" s="1620">
        <v>0</v>
      </c>
      <c r="AQ125" s="1620">
        <v>0</v>
      </c>
      <c r="AR125" s="1620">
        <v>149.81273400000001</v>
      </c>
      <c r="AS125" s="1620">
        <v>0</v>
      </c>
      <c r="AT125" s="1620">
        <v>0</v>
      </c>
      <c r="AU125" s="1620">
        <v>0</v>
      </c>
      <c r="AV125" s="1620">
        <v>0</v>
      </c>
      <c r="AW125" s="1620">
        <v>0</v>
      </c>
      <c r="AX125" s="1620"/>
      <c r="AY125" s="1620">
        <v>1</v>
      </c>
      <c r="AZ125" s="1620">
        <v>1</v>
      </c>
      <c r="BA125" s="1620">
        <v>1</v>
      </c>
      <c r="BB125" s="1620">
        <v>1</v>
      </c>
      <c r="BC125" s="1620">
        <v>1</v>
      </c>
      <c r="BD125" s="1620">
        <v>1</v>
      </c>
      <c r="BE125" s="1620">
        <v>1</v>
      </c>
      <c r="BF125" s="1620">
        <v>1</v>
      </c>
      <c r="BG125" s="1620">
        <v>1</v>
      </c>
      <c r="BH125" s="1620">
        <v>1</v>
      </c>
      <c r="BI125" s="1620">
        <v>1</v>
      </c>
      <c r="BJ125" s="1603"/>
      <c r="BK125" s="1620">
        <v>66.75</v>
      </c>
      <c r="BL125" s="1620">
        <v>0</v>
      </c>
      <c r="BM125" s="1620">
        <v>15.2</v>
      </c>
      <c r="BN125" s="1620">
        <v>0</v>
      </c>
      <c r="BO125" s="1620"/>
      <c r="BP125" s="1620">
        <v>0</v>
      </c>
      <c r="BQ125" s="1620">
        <v>0</v>
      </c>
      <c r="BR125" s="1620">
        <v>1.179027439024394</v>
      </c>
      <c r="BS125" s="1620">
        <v>1.1300288961038989</v>
      </c>
      <c r="BT125" s="1603"/>
      <c r="BU125" s="1620">
        <v>848</v>
      </c>
      <c r="BV125" s="1620">
        <v>240.57499999999999</v>
      </c>
      <c r="BW125" s="1620">
        <v>0</v>
      </c>
      <c r="BX125" s="1620">
        <v>0</v>
      </c>
      <c r="BY125" s="1620">
        <v>0</v>
      </c>
      <c r="BZ125" s="1620" t="s">
        <v>270</v>
      </c>
      <c r="CA125" s="1620" t="s">
        <v>270</v>
      </c>
      <c r="CB125" s="1603"/>
      <c r="CC125" s="1603">
        <v>0</v>
      </c>
      <c r="CD125" s="1603">
        <v>0</v>
      </c>
      <c r="CE125" s="1603">
        <v>0</v>
      </c>
      <c r="CF125" s="1603">
        <v>0</v>
      </c>
      <c r="CG125" s="1603">
        <v>0</v>
      </c>
      <c r="CH125" s="1603">
        <v>0</v>
      </c>
      <c r="CI125" s="1603">
        <v>0</v>
      </c>
      <c r="CJ125" s="1603"/>
      <c r="CK125" s="1603">
        <v>0</v>
      </c>
      <c r="CL125" s="1603">
        <v>0</v>
      </c>
      <c r="CM125" s="1603">
        <v>0</v>
      </c>
      <c r="CN125" s="1603">
        <v>0</v>
      </c>
      <c r="CO125" s="1603">
        <v>0</v>
      </c>
      <c r="CP125" s="1603">
        <v>0</v>
      </c>
      <c r="CQ125" s="1603">
        <v>660.82500000000005</v>
      </c>
      <c r="CR125" s="1603">
        <v>566.14458485574698</v>
      </c>
      <c r="CS125" s="1603">
        <v>0</v>
      </c>
      <c r="CT125" s="1603">
        <v>0</v>
      </c>
      <c r="CU125" s="1603">
        <v>0</v>
      </c>
      <c r="CV125" s="1603">
        <v>0</v>
      </c>
      <c r="CW125" s="1603">
        <v>0</v>
      </c>
      <c r="CX125" s="1603">
        <v>0</v>
      </c>
      <c r="CY125" s="1603">
        <v>848.15668096534444</v>
      </c>
      <c r="CZ125" s="1603">
        <v>0</v>
      </c>
      <c r="DA125" s="1603">
        <v>0</v>
      </c>
      <c r="DB125" s="1603">
        <v>0</v>
      </c>
      <c r="DC125" s="1603">
        <v>0</v>
      </c>
      <c r="DD125" s="1603">
        <v>0</v>
      </c>
      <c r="DE125" s="1603">
        <v>0</v>
      </c>
      <c r="DF125" s="1603">
        <v>0</v>
      </c>
      <c r="DG125" s="1603">
        <v>0</v>
      </c>
      <c r="DH125" s="1603">
        <v>0</v>
      </c>
      <c r="DI125" s="1603">
        <v>0</v>
      </c>
      <c r="DJ125" s="1603">
        <v>0</v>
      </c>
      <c r="DK125" s="1603">
        <v>0</v>
      </c>
      <c r="DL125" s="1603">
        <v>0</v>
      </c>
      <c r="DM125" s="1603">
        <v>0</v>
      </c>
      <c r="DN125" s="1603">
        <v>0</v>
      </c>
      <c r="DO125" s="1603">
        <v>0</v>
      </c>
      <c r="DP125" s="1603">
        <v>0</v>
      </c>
      <c r="DQ125" s="1603">
        <v>0</v>
      </c>
      <c r="DR125" s="1603">
        <v>0</v>
      </c>
      <c r="DS125" s="1603">
        <v>0</v>
      </c>
      <c r="DT125" s="1603">
        <v>0</v>
      </c>
      <c r="DU125" s="1603">
        <v>0</v>
      </c>
      <c r="DV125" s="1603">
        <v>0</v>
      </c>
      <c r="DW125" s="1618" t="s">
        <v>986</v>
      </c>
      <c r="DX125" s="1605" t="s">
        <v>986</v>
      </c>
      <c r="DY125" s="1605" t="s">
        <v>986</v>
      </c>
      <c r="DZ125" s="1605" t="s">
        <v>986</v>
      </c>
      <c r="EA125" s="1605" t="s">
        <v>986</v>
      </c>
      <c r="EB125" s="1605" t="s">
        <v>986</v>
      </c>
      <c r="EC125" s="1605" t="s">
        <v>986</v>
      </c>
      <c r="ED125" s="1605" t="s">
        <v>986</v>
      </c>
      <c r="EE125" s="1605" t="s">
        <v>986</v>
      </c>
      <c r="EF125" s="1605" t="s">
        <v>986</v>
      </c>
      <c r="EG125" s="1605" t="s">
        <v>986</v>
      </c>
      <c r="EH125" s="1605" t="s">
        <v>986</v>
      </c>
      <c r="EI125" s="1605" t="s">
        <v>986</v>
      </c>
      <c r="EJ125" s="1605" t="s">
        <v>986</v>
      </c>
      <c r="EK125" s="1605" t="s">
        <v>986</v>
      </c>
      <c r="EL125" s="1605" t="s">
        <v>986</v>
      </c>
      <c r="EM125" s="1605" t="s">
        <v>986</v>
      </c>
      <c r="EN125" s="1605" t="s">
        <v>986</v>
      </c>
      <c r="EO125" s="1605" t="s">
        <v>986</v>
      </c>
      <c r="EP125" s="1605" t="s">
        <v>986</v>
      </c>
      <c r="EQ125" s="1605" t="s">
        <v>986</v>
      </c>
      <c r="ER125" s="1605" t="s">
        <v>986</v>
      </c>
      <c r="ES125" s="1605" t="s">
        <v>986</v>
      </c>
      <c r="ET125" s="1605" t="s">
        <v>986</v>
      </c>
      <c r="EU125" s="1605" t="s">
        <v>986</v>
      </c>
      <c r="EV125" s="1605" t="s">
        <v>986</v>
      </c>
      <c r="EW125" s="1605" t="s">
        <v>986</v>
      </c>
      <c r="EX125" s="1605" t="s">
        <v>986</v>
      </c>
      <c r="EY125" s="1605" t="s">
        <v>986</v>
      </c>
      <c r="EZ125" s="1605" t="s">
        <v>986</v>
      </c>
      <c r="FA125" s="1605" t="s">
        <v>986</v>
      </c>
      <c r="FB125" s="1605" t="s">
        <v>986</v>
      </c>
      <c r="FC125" s="1605" t="s">
        <v>986</v>
      </c>
      <c r="FD125" s="1605" t="s">
        <v>986</v>
      </c>
      <c r="FE125" s="1605" t="s">
        <v>986</v>
      </c>
      <c r="FF125" s="1605" t="s">
        <v>986</v>
      </c>
      <c r="FG125" s="1605" t="s">
        <v>986</v>
      </c>
      <c r="FH125" s="1605" t="s">
        <v>986</v>
      </c>
      <c r="FI125" s="1605" t="s">
        <v>986</v>
      </c>
      <c r="FJ125" s="1605" t="s">
        <v>986</v>
      </c>
      <c r="FK125" s="1605" t="s">
        <v>986</v>
      </c>
      <c r="FL125" s="1605" t="s">
        <v>986</v>
      </c>
      <c r="FM125" s="1605" t="s">
        <v>986</v>
      </c>
      <c r="FN125" s="1605" t="s">
        <v>986</v>
      </c>
      <c r="FO125" s="1605" t="s">
        <v>986</v>
      </c>
      <c r="FP125" s="1605" t="s">
        <v>986</v>
      </c>
      <c r="FQ125" s="1605" t="s">
        <v>986</v>
      </c>
      <c r="FR125" s="1605" t="s">
        <v>986</v>
      </c>
      <c r="FS125" s="1605" t="s">
        <v>986</v>
      </c>
      <c r="FT125" s="1605" t="s">
        <v>986</v>
      </c>
      <c r="FU125" s="1605" t="s">
        <v>986</v>
      </c>
      <c r="FV125" s="1605" t="s">
        <v>986</v>
      </c>
      <c r="FW125" s="1605" t="s">
        <v>986</v>
      </c>
      <c r="FX125" s="1605" t="s">
        <v>986</v>
      </c>
      <c r="FY125" s="1605" t="s">
        <v>986</v>
      </c>
      <c r="FZ125" s="1605" t="s">
        <v>986</v>
      </c>
      <c r="GA125" s="1605" t="s">
        <v>986</v>
      </c>
      <c r="GB125" s="1605" t="s">
        <v>986</v>
      </c>
      <c r="GC125" s="1605" t="s">
        <v>986</v>
      </c>
      <c r="GD125" s="1605" t="s">
        <v>986</v>
      </c>
      <c r="GE125" s="1605" t="s">
        <v>986</v>
      </c>
      <c r="GF125" s="1605" t="s">
        <v>986</v>
      </c>
      <c r="GG125" s="1605" t="s">
        <v>986</v>
      </c>
      <c r="GH125" s="1605" t="s">
        <v>986</v>
      </c>
      <c r="GI125" s="1605" t="s">
        <v>986</v>
      </c>
      <c r="GJ125" s="1605" t="s">
        <v>986</v>
      </c>
      <c r="GK125" s="1605" t="s">
        <v>986</v>
      </c>
      <c r="GL125" s="1605" t="s">
        <v>986</v>
      </c>
      <c r="GM125" s="1605" t="s">
        <v>986</v>
      </c>
      <c r="GN125" s="1605" t="s">
        <v>986</v>
      </c>
      <c r="GO125" s="1605" t="s">
        <v>986</v>
      </c>
      <c r="GP125" s="1605" t="s">
        <v>986</v>
      </c>
      <c r="GQ125" s="1605" t="s">
        <v>986</v>
      </c>
      <c r="GR125" s="1605" t="s">
        <v>986</v>
      </c>
      <c r="GS125" s="1605" t="s">
        <v>986</v>
      </c>
      <c r="GT125" s="1605" t="s">
        <v>986</v>
      </c>
      <c r="GU125" s="1605" t="s">
        <v>986</v>
      </c>
      <c r="GV125" s="1605" t="s">
        <v>986</v>
      </c>
      <c r="GW125" s="1605" t="s">
        <v>986</v>
      </c>
      <c r="GX125" s="1605" t="s">
        <v>986</v>
      </c>
      <c r="GY125" s="1605" t="s">
        <v>986</v>
      </c>
      <c r="GZ125" s="1605" t="s">
        <v>986</v>
      </c>
      <c r="HA125" s="1605" t="s">
        <v>986</v>
      </c>
      <c r="HB125" s="1605" t="s">
        <v>986</v>
      </c>
      <c r="HC125" s="1605" t="s">
        <v>986</v>
      </c>
      <c r="HD125" s="1605" t="s">
        <v>986</v>
      </c>
      <c r="HE125" s="1605" t="s">
        <v>986</v>
      </c>
      <c r="HF125" s="1605" t="s">
        <v>986</v>
      </c>
      <c r="HG125" s="1605" t="s">
        <v>986</v>
      </c>
      <c r="HH125" s="1605" t="s">
        <v>986</v>
      </c>
      <c r="HI125" s="1605" t="s">
        <v>986</v>
      </c>
      <c r="HJ125" s="1605" t="s">
        <v>986</v>
      </c>
      <c r="HK125" s="1605" t="s">
        <v>986</v>
      </c>
      <c r="HL125" s="1605" t="s">
        <v>986</v>
      </c>
      <c r="HM125" s="1605" t="s">
        <v>986</v>
      </c>
      <c r="HN125" s="1605" t="s">
        <v>986</v>
      </c>
      <c r="HO125" s="1605" t="s">
        <v>986</v>
      </c>
      <c r="HP125" s="1605" t="s">
        <v>986</v>
      </c>
      <c r="HQ125" s="1605" t="s">
        <v>986</v>
      </c>
      <c r="HR125" s="1605" t="s">
        <v>986</v>
      </c>
      <c r="HS125" s="1605" t="s">
        <v>986</v>
      </c>
      <c r="HT125" s="1605" t="s">
        <v>986</v>
      </c>
      <c r="HU125" s="1605" t="s">
        <v>986</v>
      </c>
      <c r="HV125" s="1617"/>
      <c r="HW125" s="1617" t="s">
        <v>986</v>
      </c>
      <c r="HX125" s="1617" t="s">
        <v>986</v>
      </c>
      <c r="HY125" s="1617" t="s">
        <v>986</v>
      </c>
      <c r="HZ125" s="1603"/>
      <c r="IA125" s="1603"/>
      <c r="IB125" s="1603"/>
      <c r="IC125" s="1603">
        <v>0</v>
      </c>
      <c r="ID125" s="1603">
        <v>0</v>
      </c>
      <c r="IE125" s="1603">
        <v>0</v>
      </c>
      <c r="IF125" s="1603">
        <v>0</v>
      </c>
      <c r="IG125" s="1611" t="s">
        <v>2932</v>
      </c>
      <c r="IH125" s="1616" t="s">
        <v>270</v>
      </c>
      <c r="II125" s="1615" t="s">
        <v>270</v>
      </c>
      <c r="IJ125" s="1613">
        <v>1.3101818181818183</v>
      </c>
      <c r="IK125" s="1613">
        <v>1.301848484848485</v>
      </c>
      <c r="IL125" s="1614">
        <v>1.3101818181818183</v>
      </c>
      <c r="IM125" s="1614">
        <v>1.301848484848485</v>
      </c>
      <c r="IN125" s="1612" t="s">
        <v>270</v>
      </c>
      <c r="IO125" s="1613" t="s">
        <v>270</v>
      </c>
      <c r="IP125" s="1607" t="s">
        <v>270</v>
      </c>
      <c r="IQ125" s="1612" t="s">
        <v>270</v>
      </c>
      <c r="IR125" s="1612" t="s">
        <v>270</v>
      </c>
      <c r="IS125" s="1607">
        <v>1.1881818181818182</v>
      </c>
      <c r="IT125" s="1607">
        <v>1.1798484848484849</v>
      </c>
      <c r="IU125" s="1611">
        <v>0</v>
      </c>
      <c r="IV125" s="1611">
        <v>7.7767676767676763E-2</v>
      </c>
      <c r="IW125" s="1611">
        <v>9.0909090909090909E-4</v>
      </c>
      <c r="IX125" s="1611">
        <v>1.6060606060606061E-3</v>
      </c>
      <c r="IY125" s="1611">
        <v>9.6969696969696957E-4</v>
      </c>
      <c r="IZ125" s="1611">
        <v>5.9898989898989896E-3</v>
      </c>
      <c r="JA125" s="1611">
        <v>6.0606060606060598E-5</v>
      </c>
      <c r="JB125" s="1611" t="s">
        <v>270</v>
      </c>
      <c r="JC125" s="1611">
        <v>9.9026969696969704</v>
      </c>
      <c r="JD125" s="1611">
        <v>5.2121212121212122E-3</v>
      </c>
      <c r="JE125" s="1611" t="s">
        <v>270</v>
      </c>
      <c r="JF125" s="1611">
        <v>8.2828282828282835E-4</v>
      </c>
      <c r="JG125" s="1611">
        <v>0.57978787878787885</v>
      </c>
      <c r="JH125" s="1611">
        <v>7.646464646464647E-3</v>
      </c>
      <c r="JI125" s="1611">
        <v>0.3</v>
      </c>
      <c r="JJ125" s="1611" t="s">
        <v>270</v>
      </c>
      <c r="JK125" s="1607">
        <f t="shared" si="10"/>
        <v>0.12200000000000011</v>
      </c>
      <c r="JL125" s="1608" t="s">
        <v>270</v>
      </c>
      <c r="JM125" s="1610" t="s">
        <v>2924</v>
      </c>
      <c r="JN125" s="1608">
        <v>8.3333333333333037E-3</v>
      </c>
      <c r="JO125" s="1609" t="s">
        <v>2931</v>
      </c>
      <c r="JP125" s="1608" t="s">
        <v>270</v>
      </c>
      <c r="JQ125" s="1607">
        <v>202103</v>
      </c>
      <c r="JR125" s="1606">
        <v>851</v>
      </c>
      <c r="JS125" s="1606">
        <v>774</v>
      </c>
      <c r="JT125" s="1606">
        <v>774</v>
      </c>
    </row>
    <row r="126" spans="1:280" ht="15" customHeight="1" x14ac:dyDescent="0.2">
      <c r="A126" s="1626">
        <v>46900</v>
      </c>
      <c r="B126" s="1625">
        <v>469</v>
      </c>
      <c r="C126" s="1624">
        <v>0</v>
      </c>
      <c r="D126" s="1623" t="s">
        <v>3467</v>
      </c>
      <c r="E126" s="1622">
        <v>43025</v>
      </c>
      <c r="F126" s="1620">
        <v>-0.112682926829268</v>
      </c>
      <c r="G126" s="1620">
        <v>-0.108</v>
      </c>
      <c r="H126" s="1621">
        <v>70</v>
      </c>
      <c r="I126" s="1621">
        <v>70</v>
      </c>
      <c r="J126" s="1621">
        <v>0</v>
      </c>
      <c r="K126" s="1620">
        <v>1</v>
      </c>
      <c r="L126" s="1620">
        <v>99</v>
      </c>
      <c r="M126" s="1620">
        <v>0</v>
      </c>
      <c r="N126" s="1620">
        <v>0</v>
      </c>
      <c r="O126" s="1620">
        <v>99</v>
      </c>
      <c r="P126" s="1620">
        <v>0</v>
      </c>
      <c r="Q126" s="1603"/>
      <c r="R126" s="1620">
        <v>0</v>
      </c>
      <c r="S126" s="1620">
        <v>0</v>
      </c>
      <c r="T126" s="1620">
        <v>0</v>
      </c>
      <c r="U126" s="1620">
        <v>0</v>
      </c>
      <c r="V126" s="1620">
        <v>0</v>
      </c>
      <c r="W126" s="1620">
        <v>0</v>
      </c>
      <c r="X126" s="1620"/>
      <c r="Y126" s="1620">
        <v>0</v>
      </c>
      <c r="Z126" s="1620">
        <v>0</v>
      </c>
      <c r="AA126" s="1620">
        <v>0</v>
      </c>
      <c r="AB126" s="1620">
        <v>0</v>
      </c>
      <c r="AC126" s="1620">
        <v>0</v>
      </c>
      <c r="AD126" s="1620">
        <v>0</v>
      </c>
      <c r="AE126" s="1620">
        <v>0</v>
      </c>
      <c r="AF126" s="1620">
        <v>2020.2020202020201</v>
      </c>
      <c r="AG126" s="1620">
        <v>0</v>
      </c>
      <c r="AH126" s="1620">
        <v>0</v>
      </c>
      <c r="AI126" s="1620">
        <v>0</v>
      </c>
      <c r="AJ126" s="1620">
        <v>0</v>
      </c>
      <c r="AK126" s="1620">
        <v>0</v>
      </c>
      <c r="AL126" s="1620"/>
      <c r="AM126" s="1620">
        <v>0</v>
      </c>
      <c r="AN126" s="1620">
        <v>0</v>
      </c>
      <c r="AO126" s="1620">
        <v>0</v>
      </c>
      <c r="AP126" s="1620">
        <v>0</v>
      </c>
      <c r="AQ126" s="1620">
        <v>0</v>
      </c>
      <c r="AR126" s="1620">
        <v>0</v>
      </c>
      <c r="AS126" s="1620">
        <v>0</v>
      </c>
      <c r="AT126" s="1620">
        <v>0</v>
      </c>
      <c r="AU126" s="1620">
        <v>0</v>
      </c>
      <c r="AV126" s="1620">
        <v>0</v>
      </c>
      <c r="AW126" s="1620">
        <v>0</v>
      </c>
      <c r="AX126" s="1620"/>
      <c r="AY126" s="1620">
        <v>1</v>
      </c>
      <c r="AZ126" s="1620">
        <v>1</v>
      </c>
      <c r="BA126" s="1620">
        <v>1</v>
      </c>
      <c r="BB126" s="1620">
        <v>1</v>
      </c>
      <c r="BC126" s="1620">
        <v>1</v>
      </c>
      <c r="BD126" s="1620">
        <v>1</v>
      </c>
      <c r="BE126" s="1620">
        <v>1</v>
      </c>
      <c r="BF126" s="1620">
        <v>1</v>
      </c>
      <c r="BG126" s="1620">
        <v>1</v>
      </c>
      <c r="BH126" s="1620">
        <v>1</v>
      </c>
      <c r="BI126" s="1620">
        <v>1</v>
      </c>
      <c r="BJ126" s="1603"/>
      <c r="BK126" s="1620">
        <v>0</v>
      </c>
      <c r="BL126" s="1620">
        <v>0</v>
      </c>
      <c r="BM126" s="1620">
        <v>100</v>
      </c>
      <c r="BN126" s="1620">
        <v>0</v>
      </c>
      <c r="BO126" s="1620"/>
      <c r="BP126" s="1620">
        <v>0</v>
      </c>
      <c r="BQ126" s="1620">
        <v>0</v>
      </c>
      <c r="BR126" s="1620">
        <v>-0.11382113821138182</v>
      </c>
      <c r="BS126" s="1620">
        <v>-0.1090909090909091</v>
      </c>
      <c r="BT126" s="1603"/>
      <c r="BU126" s="1620">
        <v>0</v>
      </c>
      <c r="BV126" s="1620">
        <v>0</v>
      </c>
      <c r="BW126" s="1620">
        <v>0</v>
      </c>
      <c r="BX126" s="1620" t="s">
        <v>270</v>
      </c>
      <c r="BY126" s="1620" t="s">
        <v>270</v>
      </c>
      <c r="BZ126" s="1620" t="s">
        <v>270</v>
      </c>
      <c r="CA126" s="1620" t="s">
        <v>270</v>
      </c>
      <c r="CB126" s="1603"/>
      <c r="CC126" s="1603">
        <v>0</v>
      </c>
      <c r="CD126" s="1603">
        <v>0</v>
      </c>
      <c r="CE126" s="1603">
        <v>0</v>
      </c>
      <c r="CF126" s="1603">
        <v>0</v>
      </c>
      <c r="CG126" s="1603">
        <v>0</v>
      </c>
      <c r="CH126" s="1603">
        <v>0</v>
      </c>
      <c r="CI126" s="1603">
        <v>0</v>
      </c>
      <c r="CJ126" s="1603"/>
      <c r="CK126" s="1603">
        <v>1999.9999999999998</v>
      </c>
      <c r="CL126" s="1603">
        <v>0</v>
      </c>
      <c r="CM126" s="1603">
        <v>0</v>
      </c>
      <c r="CN126" s="1603">
        <v>0</v>
      </c>
      <c r="CO126" s="1603">
        <v>0</v>
      </c>
      <c r="CP126" s="1603">
        <v>0</v>
      </c>
      <c r="CQ126" s="1603">
        <v>0</v>
      </c>
      <c r="CR126" s="1603">
        <v>0</v>
      </c>
      <c r="CS126" s="1603">
        <v>0</v>
      </c>
      <c r="CT126" s="1603">
        <v>0</v>
      </c>
      <c r="CU126" s="1603">
        <v>0</v>
      </c>
      <c r="CV126" s="1603">
        <v>0</v>
      </c>
      <c r="CW126" s="1603">
        <v>0</v>
      </c>
      <c r="CX126" s="1603">
        <v>0</v>
      </c>
      <c r="CY126" s="1603">
        <v>0</v>
      </c>
      <c r="CZ126" s="1603">
        <v>0</v>
      </c>
      <c r="DA126" s="1603">
        <v>0</v>
      </c>
      <c r="DB126" s="1603">
        <v>0</v>
      </c>
      <c r="DC126" s="1603">
        <v>0</v>
      </c>
      <c r="DD126" s="1603">
        <v>0</v>
      </c>
      <c r="DE126" s="1603">
        <v>0</v>
      </c>
      <c r="DF126" s="1603">
        <v>0</v>
      </c>
      <c r="DG126" s="1603">
        <v>0</v>
      </c>
      <c r="DH126" s="1603">
        <v>0</v>
      </c>
      <c r="DI126" s="1603">
        <v>0</v>
      </c>
      <c r="DJ126" s="1603">
        <v>0</v>
      </c>
      <c r="DK126" s="1603">
        <v>0</v>
      </c>
      <c r="DL126" s="1603">
        <v>0</v>
      </c>
      <c r="DM126" s="1603">
        <v>0</v>
      </c>
      <c r="DN126" s="1603">
        <v>0</v>
      </c>
      <c r="DO126" s="1603">
        <v>0</v>
      </c>
      <c r="DP126" s="1603">
        <v>0</v>
      </c>
      <c r="DQ126" s="1603">
        <v>0</v>
      </c>
      <c r="DR126" s="1603">
        <v>0</v>
      </c>
      <c r="DS126" s="1603">
        <v>0</v>
      </c>
      <c r="DT126" s="1603">
        <v>0</v>
      </c>
      <c r="DU126" s="1603">
        <v>0</v>
      </c>
      <c r="DV126" s="1603">
        <v>0</v>
      </c>
      <c r="DW126" s="1618" t="s">
        <v>986</v>
      </c>
      <c r="DX126" s="1605" t="s">
        <v>986</v>
      </c>
      <c r="DY126" s="1605" t="s">
        <v>986</v>
      </c>
      <c r="DZ126" s="1605" t="s">
        <v>986</v>
      </c>
      <c r="EA126" s="1605" t="s">
        <v>986</v>
      </c>
      <c r="EB126" s="1605" t="s">
        <v>986</v>
      </c>
      <c r="EC126" s="1605" t="s">
        <v>986</v>
      </c>
      <c r="ED126" s="1605" t="s">
        <v>986</v>
      </c>
      <c r="EE126" s="1605" t="s">
        <v>986</v>
      </c>
      <c r="EF126" s="1605" t="s">
        <v>986</v>
      </c>
      <c r="EG126" s="1605" t="s">
        <v>986</v>
      </c>
      <c r="EH126" s="1605" t="s">
        <v>986</v>
      </c>
      <c r="EI126" s="1605" t="s">
        <v>986</v>
      </c>
      <c r="EJ126" s="1605" t="s">
        <v>986</v>
      </c>
      <c r="EK126" s="1605" t="s">
        <v>986</v>
      </c>
      <c r="EL126" s="1605" t="s">
        <v>986</v>
      </c>
      <c r="EM126" s="1605" t="s">
        <v>986</v>
      </c>
      <c r="EN126" s="1605" t="s">
        <v>986</v>
      </c>
      <c r="EO126" s="1605" t="s">
        <v>986</v>
      </c>
      <c r="EP126" s="1605" t="s">
        <v>986</v>
      </c>
      <c r="EQ126" s="1605" t="s">
        <v>986</v>
      </c>
      <c r="ER126" s="1605" t="s">
        <v>986</v>
      </c>
      <c r="ES126" s="1605" t="s">
        <v>986</v>
      </c>
      <c r="ET126" s="1605" t="s">
        <v>986</v>
      </c>
      <c r="EU126" s="1605" t="s">
        <v>986</v>
      </c>
      <c r="EV126" s="1605" t="s">
        <v>986</v>
      </c>
      <c r="EW126" s="1605" t="s">
        <v>986</v>
      </c>
      <c r="EX126" s="1605" t="s">
        <v>986</v>
      </c>
      <c r="EY126" s="1605" t="s">
        <v>986</v>
      </c>
      <c r="EZ126" s="1605" t="s">
        <v>986</v>
      </c>
      <c r="FA126" s="1605" t="s">
        <v>986</v>
      </c>
      <c r="FB126" s="1605" t="s">
        <v>986</v>
      </c>
      <c r="FC126" s="1605" t="s">
        <v>986</v>
      </c>
      <c r="FD126" s="1605" t="s">
        <v>986</v>
      </c>
      <c r="FE126" s="1605" t="s">
        <v>986</v>
      </c>
      <c r="FF126" s="1605" t="s">
        <v>986</v>
      </c>
      <c r="FG126" s="1605" t="s">
        <v>986</v>
      </c>
      <c r="FH126" s="1605" t="s">
        <v>986</v>
      </c>
      <c r="FI126" s="1605" t="s">
        <v>986</v>
      </c>
      <c r="FJ126" s="1605" t="s">
        <v>986</v>
      </c>
      <c r="FK126" s="1605" t="s">
        <v>986</v>
      </c>
      <c r="FL126" s="1605" t="s">
        <v>986</v>
      </c>
      <c r="FM126" s="1605" t="s">
        <v>986</v>
      </c>
      <c r="FN126" s="1605" t="s">
        <v>986</v>
      </c>
      <c r="FO126" s="1605" t="s">
        <v>986</v>
      </c>
      <c r="FP126" s="1605" t="s">
        <v>986</v>
      </c>
      <c r="FQ126" s="1605" t="s">
        <v>986</v>
      </c>
      <c r="FR126" s="1605" t="s">
        <v>986</v>
      </c>
      <c r="FS126" s="1605" t="s">
        <v>986</v>
      </c>
      <c r="FT126" s="1605" t="s">
        <v>986</v>
      </c>
      <c r="FU126" s="1605" t="s">
        <v>986</v>
      </c>
      <c r="FV126" s="1605" t="s">
        <v>986</v>
      </c>
      <c r="FW126" s="1605" t="s">
        <v>986</v>
      </c>
      <c r="FX126" s="1605" t="s">
        <v>986</v>
      </c>
      <c r="FY126" s="1605" t="s">
        <v>986</v>
      </c>
      <c r="FZ126" s="1605" t="s">
        <v>986</v>
      </c>
      <c r="GA126" s="1605" t="s">
        <v>986</v>
      </c>
      <c r="GB126" s="1605" t="s">
        <v>986</v>
      </c>
      <c r="GC126" s="1605" t="s">
        <v>986</v>
      </c>
      <c r="GD126" s="1605" t="s">
        <v>986</v>
      </c>
      <c r="GE126" s="1605" t="s">
        <v>986</v>
      </c>
      <c r="GF126" s="1605" t="s">
        <v>986</v>
      </c>
      <c r="GG126" s="1605" t="s">
        <v>986</v>
      </c>
      <c r="GH126" s="1605" t="s">
        <v>986</v>
      </c>
      <c r="GI126" s="1605" t="s">
        <v>986</v>
      </c>
      <c r="GJ126" s="1605" t="s">
        <v>986</v>
      </c>
      <c r="GK126" s="1605" t="s">
        <v>986</v>
      </c>
      <c r="GL126" s="1605" t="s">
        <v>986</v>
      </c>
      <c r="GM126" s="1605" t="s">
        <v>986</v>
      </c>
      <c r="GN126" s="1605" t="s">
        <v>986</v>
      </c>
      <c r="GO126" s="1605" t="s">
        <v>986</v>
      </c>
      <c r="GP126" s="1605" t="s">
        <v>986</v>
      </c>
      <c r="GQ126" s="1605" t="s">
        <v>986</v>
      </c>
      <c r="GR126" s="1605" t="s">
        <v>986</v>
      </c>
      <c r="GS126" s="1605" t="s">
        <v>986</v>
      </c>
      <c r="GT126" s="1605" t="s">
        <v>986</v>
      </c>
      <c r="GU126" s="1605" t="s">
        <v>986</v>
      </c>
      <c r="GV126" s="1605" t="s">
        <v>986</v>
      </c>
      <c r="GW126" s="1605" t="s">
        <v>986</v>
      </c>
      <c r="GX126" s="1605" t="s">
        <v>986</v>
      </c>
      <c r="GY126" s="1605" t="s">
        <v>986</v>
      </c>
      <c r="GZ126" s="1605" t="s">
        <v>986</v>
      </c>
      <c r="HA126" s="1605" t="s">
        <v>986</v>
      </c>
      <c r="HB126" s="1605" t="s">
        <v>986</v>
      </c>
      <c r="HC126" s="1605" t="s">
        <v>986</v>
      </c>
      <c r="HD126" s="1605" t="s">
        <v>986</v>
      </c>
      <c r="HE126" s="1605" t="s">
        <v>986</v>
      </c>
      <c r="HF126" s="1605" t="s">
        <v>986</v>
      </c>
      <c r="HG126" s="1605" t="s">
        <v>986</v>
      </c>
      <c r="HH126" s="1605" t="s">
        <v>986</v>
      </c>
      <c r="HI126" s="1605" t="s">
        <v>986</v>
      </c>
      <c r="HJ126" s="1605" t="s">
        <v>986</v>
      </c>
      <c r="HK126" s="1605" t="s">
        <v>986</v>
      </c>
      <c r="HL126" s="1605" t="s">
        <v>986</v>
      </c>
      <c r="HM126" s="1605" t="s">
        <v>986</v>
      </c>
      <c r="HN126" s="1605" t="s">
        <v>986</v>
      </c>
      <c r="HO126" s="1605" t="s">
        <v>986</v>
      </c>
      <c r="HP126" s="1605" t="s">
        <v>986</v>
      </c>
      <c r="HQ126" s="1605" t="s">
        <v>986</v>
      </c>
      <c r="HR126" s="1605" t="s">
        <v>986</v>
      </c>
      <c r="HS126" s="1605" t="s">
        <v>986</v>
      </c>
      <c r="HT126" s="1605" t="s">
        <v>986</v>
      </c>
      <c r="HU126" s="1605" t="s">
        <v>986</v>
      </c>
      <c r="HV126" s="1617"/>
      <c r="HW126" s="1617">
        <v>0</v>
      </c>
      <c r="HX126" s="1617">
        <v>0</v>
      </c>
      <c r="HY126" s="1617">
        <v>0</v>
      </c>
      <c r="HZ126" s="1603"/>
      <c r="IA126" s="1603"/>
      <c r="IB126" s="1603"/>
      <c r="IC126" s="1603">
        <v>0</v>
      </c>
      <c r="ID126" s="1603">
        <v>0</v>
      </c>
      <c r="IE126" s="1603">
        <v>0</v>
      </c>
      <c r="IF126" s="1603">
        <v>0</v>
      </c>
      <c r="IG126" s="1611" t="s">
        <v>2932</v>
      </c>
      <c r="IH126" s="1616" t="s">
        <v>270</v>
      </c>
      <c r="II126" s="1615" t="s">
        <v>270</v>
      </c>
      <c r="IJ126" s="1613">
        <v>1.3101818181818183</v>
      </c>
      <c r="IK126" s="1613">
        <v>1.301848484848485</v>
      </c>
      <c r="IL126" s="1614">
        <v>1.3101818181818183</v>
      </c>
      <c r="IM126" s="1614">
        <v>1.301848484848485</v>
      </c>
      <c r="IN126" s="1612" t="s">
        <v>270</v>
      </c>
      <c r="IO126" s="1613" t="s">
        <v>270</v>
      </c>
      <c r="IP126" s="1607" t="s">
        <v>270</v>
      </c>
      <c r="IQ126" s="1612" t="s">
        <v>270</v>
      </c>
      <c r="IR126" s="1612" t="s">
        <v>270</v>
      </c>
      <c r="IS126" s="1607">
        <v>1.1881818181818182</v>
      </c>
      <c r="IT126" s="1607">
        <v>1.1798484848484849</v>
      </c>
      <c r="IU126" s="1611">
        <v>0</v>
      </c>
      <c r="IV126" s="1611">
        <v>7.7767676767676763E-2</v>
      </c>
      <c r="IW126" s="1611">
        <v>9.0909090909090909E-4</v>
      </c>
      <c r="IX126" s="1611">
        <v>1.6060606060606061E-3</v>
      </c>
      <c r="IY126" s="1611">
        <v>9.6969696969696957E-4</v>
      </c>
      <c r="IZ126" s="1611">
        <v>5.9898989898989896E-3</v>
      </c>
      <c r="JA126" s="1611">
        <v>6.0606060606060598E-5</v>
      </c>
      <c r="JB126" s="1611" t="s">
        <v>270</v>
      </c>
      <c r="JC126" s="1611">
        <v>9.9026969696969704</v>
      </c>
      <c r="JD126" s="1611">
        <v>5.2121212121212122E-3</v>
      </c>
      <c r="JE126" s="1611" t="s">
        <v>270</v>
      </c>
      <c r="JF126" s="1611">
        <v>8.2828282828282835E-4</v>
      </c>
      <c r="JG126" s="1611">
        <v>0.57978787878787885</v>
      </c>
      <c r="JH126" s="1611">
        <v>7.646464646464647E-3</v>
      </c>
      <c r="JI126" s="1611">
        <v>0.3</v>
      </c>
      <c r="JJ126" s="1611" t="s">
        <v>270</v>
      </c>
      <c r="JK126" s="1607">
        <f t="shared" si="10"/>
        <v>0.12200000000000011</v>
      </c>
      <c r="JL126" s="1608" t="s">
        <v>270</v>
      </c>
      <c r="JM126" s="1610" t="s">
        <v>2924</v>
      </c>
      <c r="JN126" s="1608">
        <v>8.3333333333333037E-3</v>
      </c>
      <c r="JO126" s="1609" t="s">
        <v>2931</v>
      </c>
      <c r="JP126" s="1608" t="s">
        <v>270</v>
      </c>
      <c r="JQ126" s="1607">
        <v>202103</v>
      </c>
      <c r="JR126" s="1606">
        <v>851</v>
      </c>
      <c r="JS126" s="1606">
        <v>774</v>
      </c>
      <c r="JT126" s="1606">
        <v>774</v>
      </c>
    </row>
    <row r="127" spans="1:280" ht="15" customHeight="1" x14ac:dyDescent="0.2">
      <c r="A127" s="1626">
        <v>51390</v>
      </c>
      <c r="B127" s="1625">
        <v>513</v>
      </c>
      <c r="C127" s="1624">
        <v>90</v>
      </c>
      <c r="D127" s="1623" t="s">
        <v>3466</v>
      </c>
      <c r="E127" s="1622">
        <v>43031</v>
      </c>
      <c r="F127" s="1620">
        <v>1.42227021144043</v>
      </c>
      <c r="G127" s="1620">
        <v>1.40071990229207</v>
      </c>
      <c r="H127" s="1621">
        <v>86.3</v>
      </c>
      <c r="I127" s="1621">
        <v>82.999974300000005</v>
      </c>
      <c r="J127" s="1621">
        <v>93</v>
      </c>
      <c r="K127" s="1620">
        <v>1</v>
      </c>
      <c r="L127" s="1620">
        <v>94.35</v>
      </c>
      <c r="M127" s="1620">
        <v>9.8999999999999702</v>
      </c>
      <c r="N127" s="1620">
        <v>12.5</v>
      </c>
      <c r="O127" s="1620">
        <v>2.9</v>
      </c>
      <c r="P127" s="1620" t="s">
        <v>270</v>
      </c>
      <c r="Q127" s="1603"/>
      <c r="R127" s="1620">
        <v>80.610068092714201</v>
      </c>
      <c r="S127" s="1620">
        <v>28</v>
      </c>
      <c r="T127" s="1620">
        <v>41.821138211382099</v>
      </c>
      <c r="U127" s="1620">
        <v>47.349593495934997</v>
      </c>
      <c r="V127" s="1620">
        <v>52.325203252032502</v>
      </c>
      <c r="W127" s="1620">
        <v>55.642276422764198</v>
      </c>
      <c r="X127" s="1620"/>
      <c r="Y127" s="1620">
        <v>1.4202437731849498</v>
      </c>
      <c r="Z127" s="1620">
        <v>2.9676735559088501</v>
      </c>
      <c r="AA127" s="1620">
        <v>0.1</v>
      </c>
      <c r="AB127" s="1620">
        <v>1</v>
      </c>
      <c r="AC127" s="1620">
        <v>5.8000000000000007</v>
      </c>
      <c r="AD127" s="1620">
        <v>1.2000000000000002</v>
      </c>
      <c r="AE127" s="1620">
        <v>1.3</v>
      </c>
      <c r="AF127" s="1620">
        <v>32</v>
      </c>
      <c r="AG127" s="1620">
        <v>3.2</v>
      </c>
      <c r="AH127" s="1620">
        <v>29.000000000000004</v>
      </c>
      <c r="AI127" s="1620">
        <v>40</v>
      </c>
      <c r="AJ127" s="1620">
        <v>0</v>
      </c>
      <c r="AK127" s="1620">
        <v>6.0000000000000102E-2</v>
      </c>
      <c r="AL127" s="1620"/>
      <c r="AM127" s="1620">
        <v>3.0793072337042902</v>
      </c>
      <c r="AN127" s="1620">
        <v>1.5763658823529401</v>
      </c>
      <c r="AO127" s="1620">
        <v>2.3719819872814001</v>
      </c>
      <c r="AP127" s="1620">
        <v>2.97828699523052</v>
      </c>
      <c r="AQ127" s="1620">
        <v>1.3871379491256</v>
      </c>
      <c r="AR127" s="1620">
        <v>3.3433786963433998</v>
      </c>
      <c r="AS127" s="1620">
        <v>6.71993209856916</v>
      </c>
      <c r="AT127" s="1620">
        <v>2.2979087281399</v>
      </c>
      <c r="AU127" s="1620">
        <v>4.3588177583465804</v>
      </c>
      <c r="AV127" s="1620">
        <v>2.7464475675675701</v>
      </c>
      <c r="AW127" s="1620">
        <v>4.32791955484897</v>
      </c>
      <c r="AX127" s="1620"/>
      <c r="AY127" s="1620">
        <v>0.92</v>
      </c>
      <c r="AZ127" s="1620">
        <v>1</v>
      </c>
      <c r="BA127" s="1620">
        <v>0.98</v>
      </c>
      <c r="BB127" s="1620">
        <v>0.93</v>
      </c>
      <c r="BC127" s="1620">
        <v>0.99</v>
      </c>
      <c r="BD127" s="1620">
        <v>0.99</v>
      </c>
      <c r="BE127" s="1620">
        <v>1</v>
      </c>
      <c r="BF127" s="1620">
        <v>0.99</v>
      </c>
      <c r="BG127" s="1620">
        <v>1.02</v>
      </c>
      <c r="BH127" s="1620">
        <v>1</v>
      </c>
      <c r="BI127" s="1620">
        <v>0.96</v>
      </c>
      <c r="BJ127" s="1603"/>
      <c r="BK127" s="1620">
        <v>10.492845786963404</v>
      </c>
      <c r="BL127" s="1620">
        <v>13.248542660307367</v>
      </c>
      <c r="BM127" s="1620">
        <v>3.0736618971913092</v>
      </c>
      <c r="BN127" s="1620" t="s">
        <v>270</v>
      </c>
      <c r="BO127" s="1620"/>
      <c r="BP127" s="1620">
        <v>105</v>
      </c>
      <c r="BQ127" s="1620">
        <v>139.1096979332284</v>
      </c>
      <c r="BR127" s="1620">
        <v>1.5074406056602332</v>
      </c>
      <c r="BS127" s="1620">
        <v>1.4845997904526445</v>
      </c>
      <c r="BT127" s="1603"/>
      <c r="BU127" s="1620">
        <v>969.263381028087</v>
      </c>
      <c r="BV127" s="1620">
        <v>566.78433639715308</v>
      </c>
      <c r="BW127" s="1620">
        <v>45.694200963736726</v>
      </c>
      <c r="BX127" s="1620">
        <v>670</v>
      </c>
      <c r="BY127" s="1620">
        <v>19.000000000000004</v>
      </c>
      <c r="BZ127" s="1620">
        <v>25</v>
      </c>
      <c r="CA127" s="1620">
        <v>113</v>
      </c>
      <c r="CB127" s="1603"/>
      <c r="CC127" s="1603">
        <v>1.3399999999999999</v>
      </c>
      <c r="CD127" s="1603">
        <v>2.8</v>
      </c>
      <c r="CE127" s="1603">
        <v>9.4349999999999989E-2</v>
      </c>
      <c r="CF127" s="1603">
        <v>0.94349999999999989</v>
      </c>
      <c r="CG127" s="1603">
        <v>5.4722999999999997</v>
      </c>
      <c r="CH127" s="1603">
        <v>1.1322000000000001</v>
      </c>
      <c r="CI127" s="1603">
        <v>1.2265499999999998</v>
      </c>
      <c r="CJ127" s="1603"/>
      <c r="CK127" s="1603">
        <v>30.191999999999997</v>
      </c>
      <c r="CL127" s="1603">
        <v>3.0191999999999997</v>
      </c>
      <c r="CM127" s="1603">
        <v>27.361499999999999</v>
      </c>
      <c r="CN127" s="1603">
        <v>37.739999999999995</v>
      </c>
      <c r="CO127" s="1603">
        <v>0</v>
      </c>
      <c r="CP127" s="1603">
        <v>5.6610000000000091E-2</v>
      </c>
      <c r="CQ127" s="1603">
        <v>79.8039674117868</v>
      </c>
      <c r="CR127" s="1603">
        <v>56.110271290125581</v>
      </c>
      <c r="CS127" s="1603">
        <v>1.5895830312729022</v>
      </c>
      <c r="CT127" s="1603">
        <v>0.88450317311321947</v>
      </c>
      <c r="CU127" s="1603">
        <v>1.3043070174561746</v>
      </c>
      <c r="CV127" s="1603">
        <v>2.1888101905693871</v>
      </c>
      <c r="CW127" s="1603">
        <v>1.5541461689248073</v>
      </c>
      <c r="CX127" s="1603">
        <v>0.77054359775843562</v>
      </c>
      <c r="CY127" s="1603">
        <v>1.8572190682068042</v>
      </c>
      <c r="CZ127" s="1603">
        <v>3.7705721310193896</v>
      </c>
      <c r="DA127" s="1603">
        <v>1.2764691931451868</v>
      </c>
      <c r="DB127" s="1603">
        <v>2.4946593586354506</v>
      </c>
      <c r="DC127" s="1603">
        <v>1.5410391810032154</v>
      </c>
      <c r="DD127" s="1603">
        <v>4.0356985396386653</v>
      </c>
      <c r="DE127" s="1603">
        <v>2.3312711073063865</v>
      </c>
      <c r="DF127" s="1603">
        <v>0</v>
      </c>
      <c r="DG127" s="1603">
        <v>0</v>
      </c>
      <c r="DH127" s="1603">
        <v>0</v>
      </c>
      <c r="DI127" s="1603">
        <v>0</v>
      </c>
      <c r="DJ127" s="1603">
        <v>0</v>
      </c>
      <c r="DK127" s="1603">
        <v>0</v>
      </c>
      <c r="DL127" s="1603">
        <v>0</v>
      </c>
      <c r="DM127" s="1603">
        <v>0</v>
      </c>
      <c r="DN127" s="1603">
        <v>0</v>
      </c>
      <c r="DO127" s="1603">
        <v>0</v>
      </c>
      <c r="DP127" s="1603">
        <v>0</v>
      </c>
      <c r="DQ127" s="1603">
        <v>0</v>
      </c>
      <c r="DR127" s="1603">
        <v>0</v>
      </c>
      <c r="DS127" s="1603">
        <v>0</v>
      </c>
      <c r="DT127" s="1603">
        <v>0</v>
      </c>
      <c r="DU127" s="1603">
        <v>0</v>
      </c>
      <c r="DV127" s="1603">
        <v>0</v>
      </c>
      <c r="DW127" s="1618" t="s">
        <v>986</v>
      </c>
      <c r="DX127" s="1605" t="s">
        <v>986</v>
      </c>
      <c r="DY127" s="1605">
        <v>2</v>
      </c>
      <c r="DZ127" s="1605" t="s">
        <v>986</v>
      </c>
      <c r="EA127" s="1605" t="s">
        <v>986</v>
      </c>
      <c r="EB127" s="1605" t="s">
        <v>986</v>
      </c>
      <c r="EC127" s="1605">
        <v>2</v>
      </c>
      <c r="ED127" s="1605">
        <v>2</v>
      </c>
      <c r="EE127" s="1605">
        <v>2</v>
      </c>
      <c r="EF127" s="1605">
        <v>2</v>
      </c>
      <c r="EG127" s="1605">
        <v>2</v>
      </c>
      <c r="EH127" s="1605" t="s">
        <v>986</v>
      </c>
      <c r="EI127" s="1605" t="s">
        <v>986</v>
      </c>
      <c r="EJ127" s="1605" t="s">
        <v>986</v>
      </c>
      <c r="EK127" s="1605" t="s">
        <v>986</v>
      </c>
      <c r="EL127" s="1605" t="s">
        <v>986</v>
      </c>
      <c r="EM127" s="1605" t="s">
        <v>986</v>
      </c>
      <c r="EN127" s="1605" t="s">
        <v>986</v>
      </c>
      <c r="EO127" s="1605" t="s">
        <v>986</v>
      </c>
      <c r="EP127" s="1605" t="s">
        <v>986</v>
      </c>
      <c r="EQ127" s="1605" t="s">
        <v>986</v>
      </c>
      <c r="ER127" s="1605" t="s">
        <v>986</v>
      </c>
      <c r="ES127" s="1605" t="s">
        <v>986</v>
      </c>
      <c r="ET127" s="1605" t="s">
        <v>986</v>
      </c>
      <c r="EU127" s="1605" t="s">
        <v>986</v>
      </c>
      <c r="EV127" s="1605" t="s">
        <v>986</v>
      </c>
      <c r="EW127" s="1605" t="s">
        <v>986</v>
      </c>
      <c r="EX127" s="1605" t="s">
        <v>986</v>
      </c>
      <c r="EY127" s="1605" t="s">
        <v>986</v>
      </c>
      <c r="EZ127" s="1605" t="s">
        <v>986</v>
      </c>
      <c r="FA127" s="1605" t="s">
        <v>986</v>
      </c>
      <c r="FB127" s="1605" t="s">
        <v>986</v>
      </c>
      <c r="FC127" s="1605" t="s">
        <v>986</v>
      </c>
      <c r="FD127" s="1605" t="s">
        <v>986</v>
      </c>
      <c r="FE127" s="1605" t="s">
        <v>986</v>
      </c>
      <c r="FF127" s="1605" t="s">
        <v>986</v>
      </c>
      <c r="FG127" s="1605" t="s">
        <v>986</v>
      </c>
      <c r="FH127" s="1605" t="s">
        <v>986</v>
      </c>
      <c r="FI127" s="1605" t="s">
        <v>986</v>
      </c>
      <c r="FJ127" s="1605" t="s">
        <v>986</v>
      </c>
      <c r="FK127" s="1605">
        <v>0.99</v>
      </c>
      <c r="FL127" s="1605">
        <v>0.21</v>
      </c>
      <c r="FM127" s="1605" t="s">
        <v>986</v>
      </c>
      <c r="FN127" s="1605" t="s">
        <v>986</v>
      </c>
      <c r="FO127" s="1605" t="s">
        <v>986</v>
      </c>
      <c r="FP127" s="1605" t="s">
        <v>986</v>
      </c>
      <c r="FQ127" s="1605" t="s">
        <v>986</v>
      </c>
      <c r="FR127" s="1605" t="s">
        <v>986</v>
      </c>
      <c r="FS127" s="1605" t="s">
        <v>986</v>
      </c>
      <c r="FT127" s="1605" t="s">
        <v>986</v>
      </c>
      <c r="FU127" s="1605" t="s">
        <v>986</v>
      </c>
      <c r="FV127" s="1605" t="s">
        <v>986</v>
      </c>
      <c r="FW127" s="1605" t="s">
        <v>986</v>
      </c>
      <c r="FX127" s="1605" t="s">
        <v>986</v>
      </c>
      <c r="FY127" s="1605" t="s">
        <v>986</v>
      </c>
      <c r="FZ127" s="1605" t="s">
        <v>986</v>
      </c>
      <c r="GA127" s="1605" t="s">
        <v>986</v>
      </c>
      <c r="GB127" s="1605" t="s">
        <v>986</v>
      </c>
      <c r="GC127" s="1605" t="s">
        <v>986</v>
      </c>
      <c r="GD127" s="1605" t="s">
        <v>986</v>
      </c>
      <c r="GE127" s="1605" t="s">
        <v>986</v>
      </c>
      <c r="GF127" s="1605" t="s">
        <v>986</v>
      </c>
      <c r="GG127" s="1605" t="s">
        <v>986</v>
      </c>
      <c r="GH127" s="1605" t="s">
        <v>986</v>
      </c>
      <c r="GI127" s="1605" t="s">
        <v>986</v>
      </c>
      <c r="GJ127" s="1605" t="s">
        <v>986</v>
      </c>
      <c r="GK127" s="1605" t="s">
        <v>986</v>
      </c>
      <c r="GL127" s="1605" t="s">
        <v>986</v>
      </c>
      <c r="GM127" s="1605" t="s">
        <v>986</v>
      </c>
      <c r="GN127" s="1605" t="s">
        <v>986</v>
      </c>
      <c r="GO127" s="1605" t="s">
        <v>1579</v>
      </c>
      <c r="GP127" s="1605" t="s">
        <v>986</v>
      </c>
      <c r="GQ127" s="1605" t="s">
        <v>986</v>
      </c>
      <c r="GR127" s="1605" t="s">
        <v>986</v>
      </c>
      <c r="GS127" s="1605" t="s">
        <v>1579</v>
      </c>
      <c r="GT127" s="1605" t="s">
        <v>1579</v>
      </c>
      <c r="GU127" s="1605" t="s">
        <v>1579</v>
      </c>
      <c r="GV127" s="1605" t="s">
        <v>986</v>
      </c>
      <c r="GW127" s="1605" t="s">
        <v>986</v>
      </c>
      <c r="GX127" s="1605" t="s">
        <v>986</v>
      </c>
      <c r="GY127" s="1605" t="s">
        <v>986</v>
      </c>
      <c r="GZ127" s="1605" t="s">
        <v>986</v>
      </c>
      <c r="HA127" s="1605" t="s">
        <v>986</v>
      </c>
      <c r="HB127" s="1605" t="s">
        <v>986</v>
      </c>
      <c r="HC127" s="1605" t="s">
        <v>986</v>
      </c>
      <c r="HD127" s="1605" t="s">
        <v>986</v>
      </c>
      <c r="HE127" s="1605" t="s">
        <v>986</v>
      </c>
      <c r="HF127" s="1605" t="s">
        <v>986</v>
      </c>
      <c r="HG127" s="1605" t="s">
        <v>986</v>
      </c>
      <c r="HH127" s="1605" t="s">
        <v>986</v>
      </c>
      <c r="HI127" s="1605" t="s">
        <v>986</v>
      </c>
      <c r="HJ127" s="1605" t="s">
        <v>986</v>
      </c>
      <c r="HK127" s="1605" t="s">
        <v>986</v>
      </c>
      <c r="HL127" s="1605" t="s">
        <v>986</v>
      </c>
      <c r="HM127" s="1605" t="s">
        <v>986</v>
      </c>
      <c r="HN127" s="1605" t="s">
        <v>986</v>
      </c>
      <c r="HO127" s="1605" t="s">
        <v>986</v>
      </c>
      <c r="HP127" s="1605" t="s">
        <v>986</v>
      </c>
      <c r="HQ127" s="1605" t="s">
        <v>986</v>
      </c>
      <c r="HR127" s="1605" t="s">
        <v>986</v>
      </c>
      <c r="HS127" s="1605" t="s">
        <v>986</v>
      </c>
      <c r="HT127" s="1605" t="s">
        <v>986</v>
      </c>
      <c r="HU127" s="1605" t="s">
        <v>986</v>
      </c>
      <c r="HV127" s="1617"/>
      <c r="HW127" s="1617" t="s">
        <v>3465</v>
      </c>
      <c r="HX127" s="1617" t="s">
        <v>3464</v>
      </c>
      <c r="HY127" s="1617">
        <v>0</v>
      </c>
      <c r="HZ127" s="1603"/>
      <c r="IA127" s="1603"/>
      <c r="IB127" s="1603"/>
      <c r="IC127" s="1603">
        <v>58.130081300813004</v>
      </c>
      <c r="ID127" s="1603">
        <v>59.788617886178898</v>
      </c>
      <c r="IE127" s="1603">
        <v>61.170731707317103</v>
      </c>
      <c r="IF127" s="1603">
        <v>62</v>
      </c>
      <c r="IG127" s="1611" t="s">
        <v>3463</v>
      </c>
      <c r="IH127" s="1616" t="s">
        <v>270</v>
      </c>
      <c r="II127" s="1615" t="s">
        <v>270</v>
      </c>
      <c r="IJ127" s="1613">
        <v>0.44950000000000001</v>
      </c>
      <c r="IK127" s="1613">
        <v>0.44756818181818181</v>
      </c>
      <c r="IL127" s="1614">
        <v>0.44950000000000001</v>
      </c>
      <c r="IM127" s="1614">
        <v>0.44756818181818181</v>
      </c>
      <c r="IN127" s="1612" t="s">
        <v>270</v>
      </c>
      <c r="IO127" s="1613" t="s">
        <v>270</v>
      </c>
      <c r="IP127" s="1607" t="s">
        <v>270</v>
      </c>
      <c r="IQ127" s="1612" t="s">
        <v>270</v>
      </c>
      <c r="IR127" s="1612" t="s">
        <v>270</v>
      </c>
      <c r="IS127" s="1607">
        <v>0.44550000000000001</v>
      </c>
      <c r="IT127" s="1607">
        <v>0.44356818181818181</v>
      </c>
      <c r="IU127" s="1611">
        <v>1.1363636363636365E-5</v>
      </c>
      <c r="IV127" s="1611">
        <v>2.4318181818181817E-3</v>
      </c>
      <c r="IW127" s="1611">
        <v>6.3636363636363641E-4</v>
      </c>
      <c r="IX127" s="1611">
        <v>1.1022727272727271E-3</v>
      </c>
      <c r="IY127" s="1611">
        <v>6.4772727272727269E-4</v>
      </c>
      <c r="IZ127" s="1611">
        <v>8.1363636363636378E-3</v>
      </c>
      <c r="JA127" s="1611">
        <v>1.4772727272727274E-4</v>
      </c>
      <c r="JB127" s="1611" t="s">
        <v>270</v>
      </c>
      <c r="JC127" s="1611">
        <v>0.10805681818181818</v>
      </c>
      <c r="JD127" s="1611">
        <v>2.7499999999999998E-3</v>
      </c>
      <c r="JE127" s="1611" t="s">
        <v>270</v>
      </c>
      <c r="JF127" s="1611">
        <v>5.113636363636363E-4</v>
      </c>
      <c r="JG127" s="1611">
        <v>3.3054204545454549</v>
      </c>
      <c r="JH127" s="1611">
        <v>2.0454545454545454E-4</v>
      </c>
      <c r="JI127" s="1611">
        <v>4.9477272727272731E-2</v>
      </c>
      <c r="JJ127" s="1611" t="s">
        <v>270</v>
      </c>
      <c r="JK127" s="1607">
        <f t="shared" si="10"/>
        <v>4.0000000000000036E-3</v>
      </c>
      <c r="JL127" s="1608" t="s">
        <v>270</v>
      </c>
      <c r="JM127" s="1610" t="s">
        <v>2924</v>
      </c>
      <c r="JN127" s="1608">
        <v>1.9318181818182012E-3</v>
      </c>
      <c r="JO127" s="1609" t="s">
        <v>2923</v>
      </c>
      <c r="JP127" s="1608" t="s">
        <v>270</v>
      </c>
      <c r="JQ127" s="1607">
        <v>202103</v>
      </c>
      <c r="JR127" s="1606">
        <v>946</v>
      </c>
      <c r="JS127" s="1606">
        <v>865</v>
      </c>
      <c r="JT127" s="1606">
        <v>865</v>
      </c>
    </row>
    <row r="128" spans="1:280" ht="15" customHeight="1" x14ac:dyDescent="0.2">
      <c r="A128" s="1626">
        <v>48500</v>
      </c>
      <c r="B128" s="1625">
        <v>485</v>
      </c>
      <c r="C128" s="1624">
        <v>0</v>
      </c>
      <c r="D128" s="1623" t="s">
        <v>3462</v>
      </c>
      <c r="E128" s="1622">
        <v>43025</v>
      </c>
      <c r="F128" s="1620">
        <v>-0.112682926829268</v>
      </c>
      <c r="G128" s="1620">
        <v>-0.108</v>
      </c>
      <c r="H128" s="1621">
        <v>70</v>
      </c>
      <c r="I128" s="1621">
        <v>70</v>
      </c>
      <c r="J128" s="1621">
        <v>0</v>
      </c>
      <c r="K128" s="1620">
        <v>1</v>
      </c>
      <c r="L128" s="1620">
        <v>99</v>
      </c>
      <c r="M128" s="1620">
        <v>0</v>
      </c>
      <c r="N128" s="1620">
        <v>0</v>
      </c>
      <c r="O128" s="1620">
        <v>99</v>
      </c>
      <c r="P128" s="1620">
        <v>0</v>
      </c>
      <c r="Q128" s="1603"/>
      <c r="R128" s="1620">
        <v>0</v>
      </c>
      <c r="S128" s="1620">
        <v>0</v>
      </c>
      <c r="T128" s="1620">
        <v>0</v>
      </c>
      <c r="U128" s="1620">
        <v>0</v>
      </c>
      <c r="V128" s="1620">
        <v>0</v>
      </c>
      <c r="W128" s="1620">
        <v>0</v>
      </c>
      <c r="X128" s="1620"/>
      <c r="Y128" s="1620">
        <v>0</v>
      </c>
      <c r="Z128" s="1620">
        <v>0</v>
      </c>
      <c r="AA128" s="1620">
        <v>0</v>
      </c>
      <c r="AB128" s="1620">
        <v>0</v>
      </c>
      <c r="AC128" s="1620">
        <v>2.3838383838383836</v>
      </c>
      <c r="AD128" s="1620">
        <v>0</v>
      </c>
      <c r="AE128" s="1620">
        <v>0</v>
      </c>
      <c r="AF128" s="1620">
        <v>0</v>
      </c>
      <c r="AG128" s="1620">
        <v>0</v>
      </c>
      <c r="AH128" s="1620">
        <v>0</v>
      </c>
      <c r="AI128" s="1620">
        <v>0</v>
      </c>
      <c r="AJ128" s="1620">
        <v>7717.1717171717173</v>
      </c>
      <c r="AK128" s="1620">
        <v>0</v>
      </c>
      <c r="AL128" s="1620"/>
      <c r="AM128" s="1620">
        <v>0</v>
      </c>
      <c r="AN128" s="1620">
        <v>0</v>
      </c>
      <c r="AO128" s="1620">
        <v>0</v>
      </c>
      <c r="AP128" s="1620">
        <v>0</v>
      </c>
      <c r="AQ128" s="1620">
        <v>0</v>
      </c>
      <c r="AR128" s="1620">
        <v>0</v>
      </c>
      <c r="AS128" s="1620">
        <v>0</v>
      </c>
      <c r="AT128" s="1620">
        <v>0</v>
      </c>
      <c r="AU128" s="1620">
        <v>0</v>
      </c>
      <c r="AV128" s="1620">
        <v>0</v>
      </c>
      <c r="AW128" s="1620">
        <v>0</v>
      </c>
      <c r="AX128" s="1620"/>
      <c r="AY128" s="1620">
        <v>1</v>
      </c>
      <c r="AZ128" s="1620">
        <v>1</v>
      </c>
      <c r="BA128" s="1620">
        <v>1</v>
      </c>
      <c r="BB128" s="1620">
        <v>1</v>
      </c>
      <c r="BC128" s="1620">
        <v>1</v>
      </c>
      <c r="BD128" s="1620">
        <v>1</v>
      </c>
      <c r="BE128" s="1620">
        <v>1</v>
      </c>
      <c r="BF128" s="1620">
        <v>1</v>
      </c>
      <c r="BG128" s="1620">
        <v>1</v>
      </c>
      <c r="BH128" s="1620">
        <v>1</v>
      </c>
      <c r="BI128" s="1620">
        <v>1</v>
      </c>
      <c r="BJ128" s="1603"/>
      <c r="BK128" s="1620">
        <v>0</v>
      </c>
      <c r="BL128" s="1620">
        <v>0</v>
      </c>
      <c r="BM128" s="1620">
        <v>100</v>
      </c>
      <c r="BN128" s="1620">
        <v>0</v>
      </c>
      <c r="BO128" s="1620"/>
      <c r="BP128" s="1620">
        <v>0</v>
      </c>
      <c r="BQ128" s="1620">
        <v>0</v>
      </c>
      <c r="BR128" s="1620">
        <v>-0.11382113821138182</v>
      </c>
      <c r="BS128" s="1620">
        <v>-0.1090909090909091</v>
      </c>
      <c r="BT128" s="1603"/>
      <c r="BU128" s="1620">
        <v>0</v>
      </c>
      <c r="BV128" s="1620">
        <v>0</v>
      </c>
      <c r="BW128" s="1620">
        <v>0</v>
      </c>
      <c r="BX128" s="1620" t="s">
        <v>270</v>
      </c>
      <c r="BY128" s="1620" t="s">
        <v>270</v>
      </c>
      <c r="BZ128" s="1620" t="s">
        <v>270</v>
      </c>
      <c r="CA128" s="1620" t="s">
        <v>270</v>
      </c>
      <c r="CB128" s="1603"/>
      <c r="CC128" s="1603">
        <v>0</v>
      </c>
      <c r="CD128" s="1603">
        <v>0</v>
      </c>
      <c r="CE128" s="1603">
        <v>0</v>
      </c>
      <c r="CF128" s="1603">
        <v>0</v>
      </c>
      <c r="CG128" s="1603">
        <v>2.36</v>
      </c>
      <c r="CH128" s="1603">
        <v>0</v>
      </c>
      <c r="CI128" s="1603">
        <v>0</v>
      </c>
      <c r="CJ128" s="1603"/>
      <c r="CK128" s="1603">
        <v>0</v>
      </c>
      <c r="CL128" s="1603">
        <v>0</v>
      </c>
      <c r="CM128" s="1603">
        <v>0</v>
      </c>
      <c r="CN128" s="1603">
        <v>0</v>
      </c>
      <c r="CO128" s="1603">
        <v>7640</v>
      </c>
      <c r="CP128" s="1603">
        <v>0</v>
      </c>
      <c r="CQ128" s="1603">
        <v>0</v>
      </c>
      <c r="CR128" s="1603">
        <v>0</v>
      </c>
      <c r="CS128" s="1603">
        <v>0</v>
      </c>
      <c r="CT128" s="1603">
        <v>0</v>
      </c>
      <c r="CU128" s="1603">
        <v>0</v>
      </c>
      <c r="CV128" s="1603">
        <v>0</v>
      </c>
      <c r="CW128" s="1603">
        <v>0</v>
      </c>
      <c r="CX128" s="1603">
        <v>0</v>
      </c>
      <c r="CY128" s="1603">
        <v>0</v>
      </c>
      <c r="CZ128" s="1603">
        <v>0</v>
      </c>
      <c r="DA128" s="1603">
        <v>0</v>
      </c>
      <c r="DB128" s="1603">
        <v>0</v>
      </c>
      <c r="DC128" s="1603">
        <v>0</v>
      </c>
      <c r="DD128" s="1603">
        <v>0</v>
      </c>
      <c r="DE128" s="1603">
        <v>0</v>
      </c>
      <c r="DF128" s="1603">
        <v>0</v>
      </c>
      <c r="DG128" s="1603">
        <v>0</v>
      </c>
      <c r="DH128" s="1603">
        <v>0</v>
      </c>
      <c r="DI128" s="1603">
        <v>0</v>
      </c>
      <c r="DJ128" s="1603">
        <v>0</v>
      </c>
      <c r="DK128" s="1603">
        <v>0</v>
      </c>
      <c r="DL128" s="1603">
        <v>0</v>
      </c>
      <c r="DM128" s="1603">
        <v>0</v>
      </c>
      <c r="DN128" s="1603">
        <v>0</v>
      </c>
      <c r="DO128" s="1603">
        <v>0</v>
      </c>
      <c r="DP128" s="1603">
        <v>0</v>
      </c>
      <c r="DQ128" s="1603">
        <v>0</v>
      </c>
      <c r="DR128" s="1603">
        <v>0</v>
      </c>
      <c r="DS128" s="1603">
        <v>0</v>
      </c>
      <c r="DT128" s="1603">
        <v>0</v>
      </c>
      <c r="DU128" s="1603">
        <v>0</v>
      </c>
      <c r="DV128" s="1603">
        <v>0</v>
      </c>
      <c r="DW128" s="1618" t="s">
        <v>986</v>
      </c>
      <c r="DX128" s="1605" t="s">
        <v>986</v>
      </c>
      <c r="DY128" s="1605" t="s">
        <v>986</v>
      </c>
      <c r="DZ128" s="1605" t="s">
        <v>986</v>
      </c>
      <c r="EA128" s="1605" t="s">
        <v>986</v>
      </c>
      <c r="EB128" s="1605" t="s">
        <v>986</v>
      </c>
      <c r="EC128" s="1605" t="s">
        <v>986</v>
      </c>
      <c r="ED128" s="1605" t="s">
        <v>986</v>
      </c>
      <c r="EE128" s="1605" t="s">
        <v>986</v>
      </c>
      <c r="EF128" s="1605" t="s">
        <v>986</v>
      </c>
      <c r="EG128" s="1605" t="s">
        <v>986</v>
      </c>
      <c r="EH128" s="1605" t="s">
        <v>986</v>
      </c>
      <c r="EI128" s="1605" t="s">
        <v>986</v>
      </c>
      <c r="EJ128" s="1605" t="s">
        <v>986</v>
      </c>
      <c r="EK128" s="1605" t="s">
        <v>986</v>
      </c>
      <c r="EL128" s="1605" t="s">
        <v>986</v>
      </c>
      <c r="EM128" s="1605" t="s">
        <v>986</v>
      </c>
      <c r="EN128" s="1605" t="s">
        <v>986</v>
      </c>
      <c r="EO128" s="1605" t="s">
        <v>986</v>
      </c>
      <c r="EP128" s="1605" t="s">
        <v>986</v>
      </c>
      <c r="EQ128" s="1605" t="s">
        <v>986</v>
      </c>
      <c r="ER128" s="1605" t="s">
        <v>986</v>
      </c>
      <c r="ES128" s="1605" t="s">
        <v>986</v>
      </c>
      <c r="ET128" s="1605" t="s">
        <v>986</v>
      </c>
      <c r="EU128" s="1605" t="s">
        <v>986</v>
      </c>
      <c r="EV128" s="1605" t="s">
        <v>986</v>
      </c>
      <c r="EW128" s="1605" t="s">
        <v>986</v>
      </c>
      <c r="EX128" s="1605" t="s">
        <v>986</v>
      </c>
      <c r="EY128" s="1605" t="s">
        <v>986</v>
      </c>
      <c r="EZ128" s="1605" t="s">
        <v>986</v>
      </c>
      <c r="FA128" s="1605" t="s">
        <v>986</v>
      </c>
      <c r="FB128" s="1605" t="s">
        <v>986</v>
      </c>
      <c r="FC128" s="1605" t="s">
        <v>986</v>
      </c>
      <c r="FD128" s="1605" t="s">
        <v>986</v>
      </c>
      <c r="FE128" s="1605" t="s">
        <v>986</v>
      </c>
      <c r="FF128" s="1605" t="s">
        <v>986</v>
      </c>
      <c r="FG128" s="1605" t="s">
        <v>986</v>
      </c>
      <c r="FH128" s="1605" t="s">
        <v>986</v>
      </c>
      <c r="FI128" s="1605" t="s">
        <v>986</v>
      </c>
      <c r="FJ128" s="1605" t="s">
        <v>986</v>
      </c>
      <c r="FK128" s="1605" t="s">
        <v>986</v>
      </c>
      <c r="FL128" s="1605" t="s">
        <v>986</v>
      </c>
      <c r="FM128" s="1605" t="s">
        <v>986</v>
      </c>
      <c r="FN128" s="1605" t="s">
        <v>986</v>
      </c>
      <c r="FO128" s="1605" t="s">
        <v>986</v>
      </c>
      <c r="FP128" s="1605" t="s">
        <v>986</v>
      </c>
      <c r="FQ128" s="1605" t="s">
        <v>986</v>
      </c>
      <c r="FR128" s="1605" t="s">
        <v>986</v>
      </c>
      <c r="FS128" s="1605" t="s">
        <v>986</v>
      </c>
      <c r="FT128" s="1605" t="s">
        <v>986</v>
      </c>
      <c r="FU128" s="1605" t="s">
        <v>986</v>
      </c>
      <c r="FV128" s="1605" t="s">
        <v>986</v>
      </c>
      <c r="FW128" s="1605" t="s">
        <v>986</v>
      </c>
      <c r="FX128" s="1605" t="s">
        <v>986</v>
      </c>
      <c r="FY128" s="1605" t="s">
        <v>986</v>
      </c>
      <c r="FZ128" s="1605" t="s">
        <v>986</v>
      </c>
      <c r="GA128" s="1605" t="s">
        <v>986</v>
      </c>
      <c r="GB128" s="1605" t="s">
        <v>986</v>
      </c>
      <c r="GC128" s="1605" t="s">
        <v>986</v>
      </c>
      <c r="GD128" s="1605" t="s">
        <v>986</v>
      </c>
      <c r="GE128" s="1605" t="s">
        <v>986</v>
      </c>
      <c r="GF128" s="1605" t="s">
        <v>986</v>
      </c>
      <c r="GG128" s="1605" t="s">
        <v>986</v>
      </c>
      <c r="GH128" s="1605" t="s">
        <v>986</v>
      </c>
      <c r="GI128" s="1605" t="s">
        <v>986</v>
      </c>
      <c r="GJ128" s="1605" t="s">
        <v>986</v>
      </c>
      <c r="GK128" s="1605" t="s">
        <v>986</v>
      </c>
      <c r="GL128" s="1605" t="s">
        <v>986</v>
      </c>
      <c r="GM128" s="1605" t="s">
        <v>986</v>
      </c>
      <c r="GN128" s="1605" t="s">
        <v>986</v>
      </c>
      <c r="GO128" s="1605" t="s">
        <v>986</v>
      </c>
      <c r="GP128" s="1605" t="s">
        <v>986</v>
      </c>
      <c r="GQ128" s="1605" t="s">
        <v>986</v>
      </c>
      <c r="GR128" s="1605" t="s">
        <v>986</v>
      </c>
      <c r="GS128" s="1605" t="s">
        <v>986</v>
      </c>
      <c r="GT128" s="1605" t="s">
        <v>986</v>
      </c>
      <c r="GU128" s="1605" t="s">
        <v>986</v>
      </c>
      <c r="GV128" s="1605" t="s">
        <v>986</v>
      </c>
      <c r="GW128" s="1605" t="s">
        <v>986</v>
      </c>
      <c r="GX128" s="1605" t="s">
        <v>986</v>
      </c>
      <c r="GY128" s="1605" t="s">
        <v>986</v>
      </c>
      <c r="GZ128" s="1605" t="s">
        <v>986</v>
      </c>
      <c r="HA128" s="1605" t="s">
        <v>986</v>
      </c>
      <c r="HB128" s="1605" t="s">
        <v>986</v>
      </c>
      <c r="HC128" s="1605" t="s">
        <v>986</v>
      </c>
      <c r="HD128" s="1605" t="s">
        <v>986</v>
      </c>
      <c r="HE128" s="1605" t="s">
        <v>986</v>
      </c>
      <c r="HF128" s="1605" t="s">
        <v>986</v>
      </c>
      <c r="HG128" s="1605" t="s">
        <v>986</v>
      </c>
      <c r="HH128" s="1605" t="s">
        <v>986</v>
      </c>
      <c r="HI128" s="1605" t="s">
        <v>986</v>
      </c>
      <c r="HJ128" s="1605" t="s">
        <v>986</v>
      </c>
      <c r="HK128" s="1605" t="s">
        <v>986</v>
      </c>
      <c r="HL128" s="1605" t="s">
        <v>986</v>
      </c>
      <c r="HM128" s="1605" t="s">
        <v>986</v>
      </c>
      <c r="HN128" s="1605" t="s">
        <v>986</v>
      </c>
      <c r="HO128" s="1605" t="s">
        <v>986</v>
      </c>
      <c r="HP128" s="1605" t="s">
        <v>986</v>
      </c>
      <c r="HQ128" s="1605" t="s">
        <v>986</v>
      </c>
      <c r="HR128" s="1605" t="s">
        <v>986</v>
      </c>
      <c r="HS128" s="1605" t="s">
        <v>986</v>
      </c>
      <c r="HT128" s="1605" t="s">
        <v>986</v>
      </c>
      <c r="HU128" s="1605" t="s">
        <v>986</v>
      </c>
      <c r="HV128" s="1617"/>
      <c r="HW128" s="1617">
        <v>0</v>
      </c>
      <c r="HX128" s="1617">
        <v>0</v>
      </c>
      <c r="HY128" s="1617">
        <v>0</v>
      </c>
      <c r="HZ128" s="1603"/>
      <c r="IA128" s="1603"/>
      <c r="IB128" s="1603"/>
      <c r="IC128" s="1603">
        <v>0</v>
      </c>
      <c r="ID128" s="1603">
        <v>0</v>
      </c>
      <c r="IE128" s="1603">
        <v>0</v>
      </c>
      <c r="IF128" s="1603">
        <v>0</v>
      </c>
      <c r="IG128" s="1611" t="s">
        <v>2932</v>
      </c>
      <c r="IH128" s="1616" t="s">
        <v>270</v>
      </c>
      <c r="II128" s="1615" t="s">
        <v>270</v>
      </c>
      <c r="IJ128" s="1613">
        <v>1.3101818181818183</v>
      </c>
      <c r="IK128" s="1613">
        <v>1.301848484848485</v>
      </c>
      <c r="IL128" s="1614">
        <v>1.3101818181818183</v>
      </c>
      <c r="IM128" s="1614">
        <v>1.301848484848485</v>
      </c>
      <c r="IN128" s="1612" t="s">
        <v>270</v>
      </c>
      <c r="IO128" s="1613" t="s">
        <v>270</v>
      </c>
      <c r="IP128" s="1607" t="s">
        <v>270</v>
      </c>
      <c r="IQ128" s="1612" t="s">
        <v>270</v>
      </c>
      <c r="IR128" s="1612" t="s">
        <v>270</v>
      </c>
      <c r="IS128" s="1607">
        <v>1.1881818181818182</v>
      </c>
      <c r="IT128" s="1607">
        <v>1.1798484848484849</v>
      </c>
      <c r="IU128" s="1611">
        <v>0</v>
      </c>
      <c r="IV128" s="1611">
        <v>7.7767676767676763E-2</v>
      </c>
      <c r="IW128" s="1611">
        <v>9.0909090909090909E-4</v>
      </c>
      <c r="IX128" s="1611">
        <v>1.6060606060606061E-3</v>
      </c>
      <c r="IY128" s="1611">
        <v>9.6969696969696957E-4</v>
      </c>
      <c r="IZ128" s="1611">
        <v>5.9898989898989896E-3</v>
      </c>
      <c r="JA128" s="1611">
        <v>6.0606060606060598E-5</v>
      </c>
      <c r="JB128" s="1611" t="s">
        <v>270</v>
      </c>
      <c r="JC128" s="1611">
        <v>9.9026969696969704</v>
      </c>
      <c r="JD128" s="1611">
        <v>5.2121212121212122E-3</v>
      </c>
      <c r="JE128" s="1611" t="s">
        <v>270</v>
      </c>
      <c r="JF128" s="1611">
        <v>8.2828282828282835E-4</v>
      </c>
      <c r="JG128" s="1611">
        <v>0.57978787878787885</v>
      </c>
      <c r="JH128" s="1611">
        <v>7.646464646464647E-3</v>
      </c>
      <c r="JI128" s="1611">
        <v>0.3</v>
      </c>
      <c r="JJ128" s="1611" t="s">
        <v>270</v>
      </c>
      <c r="JK128" s="1607">
        <f t="shared" si="10"/>
        <v>0.12200000000000011</v>
      </c>
      <c r="JL128" s="1608" t="s">
        <v>270</v>
      </c>
      <c r="JM128" s="1610" t="s">
        <v>2924</v>
      </c>
      <c r="JN128" s="1608">
        <v>8.3333333333333037E-3</v>
      </c>
      <c r="JO128" s="1609" t="s">
        <v>2931</v>
      </c>
      <c r="JP128" s="1608" t="s">
        <v>270</v>
      </c>
      <c r="JQ128" s="1607">
        <v>202103</v>
      </c>
      <c r="JR128" s="1606">
        <v>851</v>
      </c>
      <c r="JS128" s="1606">
        <v>774</v>
      </c>
      <c r="JT128" s="1606">
        <v>774</v>
      </c>
    </row>
    <row r="129" spans="1:280" ht="15" customHeight="1" x14ac:dyDescent="0.2">
      <c r="A129" s="1626">
        <v>48600</v>
      </c>
      <c r="B129" s="1625">
        <v>486</v>
      </c>
      <c r="C129" s="1624">
        <v>0</v>
      </c>
      <c r="D129" s="1623" t="s">
        <v>3461</v>
      </c>
      <c r="E129" s="1622">
        <v>43025</v>
      </c>
      <c r="F129" s="1620">
        <v>-0.112682926829268</v>
      </c>
      <c r="G129" s="1620">
        <v>-0.108</v>
      </c>
      <c r="H129" s="1621">
        <v>70</v>
      </c>
      <c r="I129" s="1621">
        <v>70</v>
      </c>
      <c r="J129" s="1621">
        <v>0</v>
      </c>
      <c r="K129" s="1620">
        <v>1</v>
      </c>
      <c r="L129" s="1620">
        <v>99</v>
      </c>
      <c r="M129" s="1620">
        <v>0</v>
      </c>
      <c r="N129" s="1620">
        <v>0</v>
      </c>
      <c r="O129" s="1620">
        <v>99</v>
      </c>
      <c r="P129" s="1620">
        <v>0</v>
      </c>
      <c r="Q129" s="1603"/>
      <c r="R129" s="1620">
        <v>0</v>
      </c>
      <c r="S129" s="1620">
        <v>0</v>
      </c>
      <c r="T129" s="1620">
        <v>0</v>
      </c>
      <c r="U129" s="1620">
        <v>0</v>
      </c>
      <c r="V129" s="1620">
        <v>0</v>
      </c>
      <c r="W129" s="1620">
        <v>0</v>
      </c>
      <c r="X129" s="1620"/>
      <c r="Y129" s="1620">
        <v>0</v>
      </c>
      <c r="Z129" s="1620">
        <v>0</v>
      </c>
      <c r="AA129" s="1620">
        <v>0</v>
      </c>
      <c r="AB129" s="1620">
        <v>480.80808000000002</v>
      </c>
      <c r="AC129" s="1620">
        <v>529.29292999999893</v>
      </c>
      <c r="AD129" s="1620">
        <v>0</v>
      </c>
      <c r="AE129" s="1620">
        <v>0</v>
      </c>
      <c r="AF129" s="1620">
        <v>0</v>
      </c>
      <c r="AG129" s="1620">
        <v>0</v>
      </c>
      <c r="AH129" s="1620">
        <v>0</v>
      </c>
      <c r="AI129" s="1620">
        <v>0</v>
      </c>
      <c r="AJ129" s="1620">
        <v>0</v>
      </c>
      <c r="AK129" s="1620">
        <v>0</v>
      </c>
      <c r="AL129" s="1620"/>
      <c r="AM129" s="1620">
        <v>0</v>
      </c>
      <c r="AN129" s="1620">
        <v>0</v>
      </c>
      <c r="AO129" s="1620">
        <v>0</v>
      </c>
      <c r="AP129" s="1620">
        <v>0</v>
      </c>
      <c r="AQ129" s="1620">
        <v>0</v>
      </c>
      <c r="AR129" s="1620">
        <v>0</v>
      </c>
      <c r="AS129" s="1620">
        <v>0</v>
      </c>
      <c r="AT129" s="1620">
        <v>0</v>
      </c>
      <c r="AU129" s="1620">
        <v>0</v>
      </c>
      <c r="AV129" s="1620">
        <v>0</v>
      </c>
      <c r="AW129" s="1620">
        <v>0</v>
      </c>
      <c r="AX129" s="1620"/>
      <c r="AY129" s="1620">
        <v>1</v>
      </c>
      <c r="AZ129" s="1620">
        <v>1</v>
      </c>
      <c r="BA129" s="1620">
        <v>1</v>
      </c>
      <c r="BB129" s="1620">
        <v>1</v>
      </c>
      <c r="BC129" s="1620">
        <v>1</v>
      </c>
      <c r="BD129" s="1620">
        <v>1</v>
      </c>
      <c r="BE129" s="1620">
        <v>1</v>
      </c>
      <c r="BF129" s="1620">
        <v>1</v>
      </c>
      <c r="BG129" s="1620">
        <v>1</v>
      </c>
      <c r="BH129" s="1620">
        <v>1</v>
      </c>
      <c r="BI129" s="1620">
        <v>1</v>
      </c>
      <c r="BJ129" s="1603"/>
      <c r="BK129" s="1620">
        <v>0</v>
      </c>
      <c r="BL129" s="1620">
        <v>0</v>
      </c>
      <c r="BM129" s="1620">
        <v>100</v>
      </c>
      <c r="BN129" s="1620">
        <v>0</v>
      </c>
      <c r="BO129" s="1620"/>
      <c r="BP129" s="1620">
        <v>0</v>
      </c>
      <c r="BQ129" s="1620">
        <v>0</v>
      </c>
      <c r="BR129" s="1620">
        <v>-0.11382113821138182</v>
      </c>
      <c r="BS129" s="1620">
        <v>-0.1090909090909091</v>
      </c>
      <c r="BT129" s="1603"/>
      <c r="BU129" s="1620">
        <v>0</v>
      </c>
      <c r="BV129" s="1620">
        <v>0</v>
      </c>
      <c r="BW129" s="1620">
        <v>0</v>
      </c>
      <c r="BX129" s="1620" t="s">
        <v>270</v>
      </c>
      <c r="BY129" s="1620" t="s">
        <v>270</v>
      </c>
      <c r="BZ129" s="1620" t="s">
        <v>270</v>
      </c>
      <c r="CA129" s="1620" t="s">
        <v>270</v>
      </c>
      <c r="CB129" s="1603"/>
      <c r="CC129" s="1603">
        <v>0</v>
      </c>
      <c r="CD129" s="1603">
        <v>0</v>
      </c>
      <c r="CE129" s="1603">
        <v>0</v>
      </c>
      <c r="CF129" s="1603">
        <v>475.99999919999999</v>
      </c>
      <c r="CG129" s="1603">
        <v>524.00000069999896</v>
      </c>
      <c r="CH129" s="1603">
        <v>0</v>
      </c>
      <c r="CI129" s="1603">
        <v>0</v>
      </c>
      <c r="CJ129" s="1603"/>
      <c r="CK129" s="1603">
        <v>0</v>
      </c>
      <c r="CL129" s="1603">
        <v>0</v>
      </c>
      <c r="CM129" s="1603">
        <v>0</v>
      </c>
      <c r="CN129" s="1603">
        <v>0</v>
      </c>
      <c r="CO129" s="1603">
        <v>0</v>
      </c>
      <c r="CP129" s="1603">
        <v>0</v>
      </c>
      <c r="CQ129" s="1603">
        <v>0</v>
      </c>
      <c r="CR129" s="1603">
        <v>0</v>
      </c>
      <c r="CS129" s="1603">
        <v>0</v>
      </c>
      <c r="CT129" s="1603">
        <v>0</v>
      </c>
      <c r="CU129" s="1603">
        <v>0</v>
      </c>
      <c r="CV129" s="1603">
        <v>0</v>
      </c>
      <c r="CW129" s="1603">
        <v>0</v>
      </c>
      <c r="CX129" s="1603">
        <v>0</v>
      </c>
      <c r="CY129" s="1603">
        <v>0</v>
      </c>
      <c r="CZ129" s="1603">
        <v>0</v>
      </c>
      <c r="DA129" s="1603">
        <v>0</v>
      </c>
      <c r="DB129" s="1603">
        <v>0</v>
      </c>
      <c r="DC129" s="1603">
        <v>0</v>
      </c>
      <c r="DD129" s="1603">
        <v>0</v>
      </c>
      <c r="DE129" s="1603">
        <v>0</v>
      </c>
      <c r="DF129" s="1603">
        <v>0</v>
      </c>
      <c r="DG129" s="1603">
        <v>0</v>
      </c>
      <c r="DH129" s="1603">
        <v>0</v>
      </c>
      <c r="DI129" s="1603">
        <v>0</v>
      </c>
      <c r="DJ129" s="1603">
        <v>0</v>
      </c>
      <c r="DK129" s="1603">
        <v>0</v>
      </c>
      <c r="DL129" s="1603">
        <v>0</v>
      </c>
      <c r="DM129" s="1603">
        <v>0</v>
      </c>
      <c r="DN129" s="1603">
        <v>0</v>
      </c>
      <c r="DO129" s="1603">
        <v>0</v>
      </c>
      <c r="DP129" s="1603">
        <v>0</v>
      </c>
      <c r="DQ129" s="1603">
        <v>0</v>
      </c>
      <c r="DR129" s="1603">
        <v>0</v>
      </c>
      <c r="DS129" s="1603">
        <v>0</v>
      </c>
      <c r="DT129" s="1603">
        <v>0</v>
      </c>
      <c r="DU129" s="1603">
        <v>0</v>
      </c>
      <c r="DV129" s="1603">
        <v>0</v>
      </c>
      <c r="DW129" s="1618" t="s">
        <v>3460</v>
      </c>
      <c r="DX129" s="1605" t="s">
        <v>986</v>
      </c>
      <c r="DY129" s="1605" t="s">
        <v>986</v>
      </c>
      <c r="DZ129" s="1605" t="s">
        <v>986</v>
      </c>
      <c r="EA129" s="1605" t="s">
        <v>986</v>
      </c>
      <c r="EB129" s="1605" t="s">
        <v>986</v>
      </c>
      <c r="EC129" s="1605" t="s">
        <v>986</v>
      </c>
      <c r="ED129" s="1605" t="s">
        <v>986</v>
      </c>
      <c r="EE129" s="1605" t="s">
        <v>986</v>
      </c>
      <c r="EF129" s="1605" t="s">
        <v>986</v>
      </c>
      <c r="EG129" s="1605" t="s">
        <v>986</v>
      </c>
      <c r="EH129" s="1605" t="s">
        <v>986</v>
      </c>
      <c r="EI129" s="1605" t="s">
        <v>986</v>
      </c>
      <c r="EJ129" s="1605" t="s">
        <v>986</v>
      </c>
      <c r="EK129" s="1605" t="s">
        <v>986</v>
      </c>
      <c r="EL129" s="1605" t="s">
        <v>986</v>
      </c>
      <c r="EM129" s="1605" t="s">
        <v>986</v>
      </c>
      <c r="EN129" s="1605" t="s">
        <v>986</v>
      </c>
      <c r="EO129" s="1605" t="s">
        <v>986</v>
      </c>
      <c r="EP129" s="1605" t="s">
        <v>986</v>
      </c>
      <c r="EQ129" s="1605" t="s">
        <v>986</v>
      </c>
      <c r="ER129" s="1605" t="s">
        <v>986</v>
      </c>
      <c r="ES129" s="1605" t="s">
        <v>986</v>
      </c>
      <c r="ET129" s="1605" t="s">
        <v>986</v>
      </c>
      <c r="EU129" s="1605" t="s">
        <v>986</v>
      </c>
      <c r="EV129" s="1605" t="s">
        <v>986</v>
      </c>
      <c r="EW129" s="1605" t="s">
        <v>986</v>
      </c>
      <c r="EX129" s="1605" t="s">
        <v>986</v>
      </c>
      <c r="EY129" s="1605" t="s">
        <v>986</v>
      </c>
      <c r="EZ129" s="1605" t="s">
        <v>986</v>
      </c>
      <c r="FA129" s="1605" t="s">
        <v>986</v>
      </c>
      <c r="FB129" s="1605" t="s">
        <v>986</v>
      </c>
      <c r="FC129" s="1605" t="s">
        <v>986</v>
      </c>
      <c r="FD129" s="1605" t="s">
        <v>986</v>
      </c>
      <c r="FE129" s="1605" t="s">
        <v>986</v>
      </c>
      <c r="FF129" s="1605" t="s">
        <v>986</v>
      </c>
      <c r="FG129" s="1605" t="s">
        <v>986</v>
      </c>
      <c r="FH129" s="1605" t="s">
        <v>986</v>
      </c>
      <c r="FI129" s="1605" t="s">
        <v>986</v>
      </c>
      <c r="FJ129" s="1605" t="s">
        <v>986</v>
      </c>
      <c r="FK129" s="1605" t="s">
        <v>986</v>
      </c>
      <c r="FL129" s="1605" t="s">
        <v>986</v>
      </c>
      <c r="FM129" s="1605" t="s">
        <v>986</v>
      </c>
      <c r="FN129" s="1605" t="s">
        <v>986</v>
      </c>
      <c r="FO129" s="1605" t="s">
        <v>986</v>
      </c>
      <c r="FP129" s="1605" t="s">
        <v>986</v>
      </c>
      <c r="FQ129" s="1605" t="s">
        <v>986</v>
      </c>
      <c r="FR129" s="1605" t="s">
        <v>986</v>
      </c>
      <c r="FS129" s="1605" t="s">
        <v>986</v>
      </c>
      <c r="FT129" s="1605" t="s">
        <v>986</v>
      </c>
      <c r="FU129" s="1605" t="s">
        <v>986</v>
      </c>
      <c r="FV129" s="1605" t="s">
        <v>986</v>
      </c>
      <c r="FW129" s="1605" t="s">
        <v>986</v>
      </c>
      <c r="FX129" s="1605" t="s">
        <v>986</v>
      </c>
      <c r="FY129" s="1605" t="s">
        <v>986</v>
      </c>
      <c r="FZ129" s="1605" t="s">
        <v>986</v>
      </c>
      <c r="GA129" s="1605" t="s">
        <v>986</v>
      </c>
      <c r="GB129" s="1605" t="s">
        <v>986</v>
      </c>
      <c r="GC129" s="1605" t="s">
        <v>986</v>
      </c>
      <c r="GD129" s="1605" t="s">
        <v>986</v>
      </c>
      <c r="GE129" s="1605" t="s">
        <v>986</v>
      </c>
      <c r="GF129" s="1605" t="s">
        <v>986</v>
      </c>
      <c r="GG129" s="1605" t="s">
        <v>986</v>
      </c>
      <c r="GH129" s="1605" t="s">
        <v>986</v>
      </c>
      <c r="GI129" s="1605" t="s">
        <v>986</v>
      </c>
      <c r="GJ129" s="1605" t="s">
        <v>986</v>
      </c>
      <c r="GK129" s="1605" t="s">
        <v>986</v>
      </c>
      <c r="GL129" s="1605" t="s">
        <v>986</v>
      </c>
      <c r="GM129" s="1605" t="s">
        <v>986</v>
      </c>
      <c r="GN129" s="1605" t="s">
        <v>986</v>
      </c>
      <c r="GO129" s="1605" t="s">
        <v>986</v>
      </c>
      <c r="GP129" s="1605" t="s">
        <v>986</v>
      </c>
      <c r="GQ129" s="1605" t="s">
        <v>986</v>
      </c>
      <c r="GR129" s="1605" t="s">
        <v>986</v>
      </c>
      <c r="GS129" s="1605" t="s">
        <v>986</v>
      </c>
      <c r="GT129" s="1605" t="s">
        <v>986</v>
      </c>
      <c r="GU129" s="1605" t="s">
        <v>986</v>
      </c>
      <c r="GV129" s="1605" t="s">
        <v>986</v>
      </c>
      <c r="GW129" s="1605" t="s">
        <v>986</v>
      </c>
      <c r="GX129" s="1605" t="s">
        <v>986</v>
      </c>
      <c r="GY129" s="1605" t="s">
        <v>986</v>
      </c>
      <c r="GZ129" s="1605" t="s">
        <v>986</v>
      </c>
      <c r="HA129" s="1605" t="s">
        <v>986</v>
      </c>
      <c r="HB129" s="1605" t="s">
        <v>986</v>
      </c>
      <c r="HC129" s="1605" t="s">
        <v>986</v>
      </c>
      <c r="HD129" s="1605" t="s">
        <v>986</v>
      </c>
      <c r="HE129" s="1605" t="s">
        <v>986</v>
      </c>
      <c r="HF129" s="1605" t="s">
        <v>986</v>
      </c>
      <c r="HG129" s="1605" t="s">
        <v>986</v>
      </c>
      <c r="HH129" s="1605" t="s">
        <v>986</v>
      </c>
      <c r="HI129" s="1605" t="s">
        <v>986</v>
      </c>
      <c r="HJ129" s="1605" t="s">
        <v>986</v>
      </c>
      <c r="HK129" s="1605" t="s">
        <v>986</v>
      </c>
      <c r="HL129" s="1605" t="s">
        <v>986</v>
      </c>
      <c r="HM129" s="1605" t="s">
        <v>986</v>
      </c>
      <c r="HN129" s="1605" t="s">
        <v>986</v>
      </c>
      <c r="HO129" s="1605" t="s">
        <v>986</v>
      </c>
      <c r="HP129" s="1605" t="s">
        <v>986</v>
      </c>
      <c r="HQ129" s="1605" t="s">
        <v>986</v>
      </c>
      <c r="HR129" s="1605" t="s">
        <v>986</v>
      </c>
      <c r="HS129" s="1605" t="s">
        <v>986</v>
      </c>
      <c r="HT129" s="1605" t="s">
        <v>986</v>
      </c>
      <c r="HU129" s="1605" t="s">
        <v>986</v>
      </c>
      <c r="HV129" s="1617"/>
      <c r="HW129" s="1617">
        <v>0</v>
      </c>
      <c r="HX129" s="1617">
        <v>0</v>
      </c>
      <c r="HY129" s="1617">
        <v>0</v>
      </c>
      <c r="HZ129" s="1603"/>
      <c r="IA129" s="1603"/>
      <c r="IB129" s="1603"/>
      <c r="IC129" s="1603">
        <v>0</v>
      </c>
      <c r="ID129" s="1603">
        <v>0</v>
      </c>
      <c r="IE129" s="1603">
        <v>0</v>
      </c>
      <c r="IF129" s="1603">
        <v>0</v>
      </c>
      <c r="IG129" s="1611" t="s">
        <v>2932</v>
      </c>
      <c r="IH129" s="1616" t="s">
        <v>270</v>
      </c>
      <c r="II129" s="1615" t="s">
        <v>270</v>
      </c>
      <c r="IJ129" s="1613">
        <v>1.3101818181818183</v>
      </c>
      <c r="IK129" s="1613">
        <v>1.301848484848485</v>
      </c>
      <c r="IL129" s="1614">
        <v>1.3101818181818183</v>
      </c>
      <c r="IM129" s="1614">
        <v>1.301848484848485</v>
      </c>
      <c r="IN129" s="1612" t="s">
        <v>270</v>
      </c>
      <c r="IO129" s="1613" t="s">
        <v>270</v>
      </c>
      <c r="IP129" s="1607" t="s">
        <v>270</v>
      </c>
      <c r="IQ129" s="1612" t="s">
        <v>270</v>
      </c>
      <c r="IR129" s="1612" t="s">
        <v>270</v>
      </c>
      <c r="IS129" s="1607">
        <v>1.1881818181818182</v>
      </c>
      <c r="IT129" s="1607">
        <v>1.1798484848484849</v>
      </c>
      <c r="IU129" s="1611">
        <v>0</v>
      </c>
      <c r="IV129" s="1611">
        <v>7.7767676767676763E-2</v>
      </c>
      <c r="IW129" s="1611">
        <v>9.0909090909090909E-4</v>
      </c>
      <c r="IX129" s="1611">
        <v>1.6060606060606061E-3</v>
      </c>
      <c r="IY129" s="1611">
        <v>9.6969696969696957E-4</v>
      </c>
      <c r="IZ129" s="1611">
        <v>5.9898989898989896E-3</v>
      </c>
      <c r="JA129" s="1611">
        <v>6.0606060606060598E-5</v>
      </c>
      <c r="JB129" s="1611" t="s">
        <v>270</v>
      </c>
      <c r="JC129" s="1611">
        <v>9.9026969696969704</v>
      </c>
      <c r="JD129" s="1611">
        <v>5.2121212121212122E-3</v>
      </c>
      <c r="JE129" s="1611" t="s">
        <v>270</v>
      </c>
      <c r="JF129" s="1611">
        <v>8.2828282828282835E-4</v>
      </c>
      <c r="JG129" s="1611">
        <v>0.57978787878787885</v>
      </c>
      <c r="JH129" s="1611">
        <v>7.646464646464647E-3</v>
      </c>
      <c r="JI129" s="1611">
        <v>0.3</v>
      </c>
      <c r="JJ129" s="1611" t="s">
        <v>270</v>
      </c>
      <c r="JK129" s="1607">
        <f t="shared" si="10"/>
        <v>0.12200000000000011</v>
      </c>
      <c r="JL129" s="1608" t="s">
        <v>270</v>
      </c>
      <c r="JM129" s="1610" t="s">
        <v>2924</v>
      </c>
      <c r="JN129" s="1608">
        <v>8.3333333333333037E-3</v>
      </c>
      <c r="JO129" s="1609" t="s">
        <v>2931</v>
      </c>
      <c r="JP129" s="1608" t="s">
        <v>270</v>
      </c>
      <c r="JQ129" s="1607">
        <v>202103</v>
      </c>
      <c r="JR129" s="1606">
        <v>851</v>
      </c>
      <c r="JS129" s="1606">
        <v>774</v>
      </c>
      <c r="JT129" s="1606">
        <v>774</v>
      </c>
    </row>
    <row r="130" spans="1:280" ht="15" customHeight="1" x14ac:dyDescent="0.2">
      <c r="A130" s="1626">
        <v>69100</v>
      </c>
      <c r="B130" s="1625">
        <v>691</v>
      </c>
      <c r="C130" s="1624">
        <v>0</v>
      </c>
      <c r="D130" s="1623" t="s">
        <v>3459</v>
      </c>
      <c r="E130" s="1622">
        <v>43031</v>
      </c>
      <c r="F130" s="1620">
        <v>1.0929776829268301</v>
      </c>
      <c r="G130" s="1620">
        <v>1.0660547922077901</v>
      </c>
      <c r="H130" s="1621">
        <v>90</v>
      </c>
      <c r="I130" s="1621">
        <v>90</v>
      </c>
      <c r="J130" s="1621">
        <v>90</v>
      </c>
      <c r="K130" s="1620">
        <v>1</v>
      </c>
      <c r="L130" s="1620">
        <v>90</v>
      </c>
      <c r="M130" s="1620">
        <v>77.31</v>
      </c>
      <c r="N130" s="1620">
        <v>1.98</v>
      </c>
      <c r="O130" s="1620">
        <v>2.0699999999999998</v>
      </c>
      <c r="P130" s="1620">
        <v>0.63</v>
      </c>
      <c r="Q130" s="1603"/>
      <c r="R130" s="1620">
        <v>89</v>
      </c>
      <c r="S130" s="1620">
        <v>67</v>
      </c>
      <c r="T130" s="1620">
        <v>67</v>
      </c>
      <c r="U130" s="1620">
        <v>67</v>
      </c>
      <c r="V130" s="1620">
        <v>67</v>
      </c>
      <c r="W130" s="1620">
        <v>67</v>
      </c>
      <c r="X130" s="1620"/>
      <c r="Y130" s="1620">
        <v>0.5</v>
      </c>
      <c r="Z130" s="1620">
        <v>4.3</v>
      </c>
      <c r="AA130" s="1620">
        <v>0.1</v>
      </c>
      <c r="AB130" s="1620">
        <v>0</v>
      </c>
      <c r="AC130" s="1620">
        <v>7.4</v>
      </c>
      <c r="AD130" s="1620">
        <v>0.5</v>
      </c>
      <c r="AE130" s="1620">
        <v>8.8000000000000007</v>
      </c>
      <c r="AF130" s="1620">
        <v>160</v>
      </c>
      <c r="AG130" s="1620">
        <v>11</v>
      </c>
      <c r="AH130" s="1620">
        <v>4.4000000000000004</v>
      </c>
      <c r="AI130" s="1620">
        <v>20.999999999999996</v>
      </c>
      <c r="AJ130" s="1620">
        <v>0</v>
      </c>
      <c r="AK130" s="1620">
        <v>0</v>
      </c>
      <c r="AL130" s="1620"/>
      <c r="AM130" s="1620">
        <v>7.8997289972899702</v>
      </c>
      <c r="AN130" s="1620">
        <v>2.27642276422764</v>
      </c>
      <c r="AO130" s="1620">
        <v>1.6</v>
      </c>
      <c r="AP130" s="1620">
        <v>5.8265582655826504</v>
      </c>
      <c r="AQ130" s="1620">
        <v>1.3020830000000001</v>
      </c>
      <c r="AR130" s="1620">
        <v>5.8</v>
      </c>
      <c r="AS130" s="1620">
        <v>10.3</v>
      </c>
      <c r="AT130" s="1620">
        <v>2.2000000000000002</v>
      </c>
      <c r="AU130" s="1620">
        <v>6.3</v>
      </c>
      <c r="AV130" s="1620">
        <v>5.8</v>
      </c>
      <c r="AW130" s="1620">
        <v>7.0999999999999899</v>
      </c>
      <c r="AX130" s="1620"/>
      <c r="AY130" s="1620">
        <v>0.99</v>
      </c>
      <c r="AZ130" s="1620">
        <v>1.01</v>
      </c>
      <c r="BA130" s="1620">
        <v>0.8</v>
      </c>
      <c r="BB130" s="1620">
        <v>0.97</v>
      </c>
      <c r="BC130" s="1620">
        <v>0.8</v>
      </c>
      <c r="BD130" s="1620">
        <v>0.97</v>
      </c>
      <c r="BE130" s="1620">
        <v>0.99</v>
      </c>
      <c r="BF130" s="1620">
        <v>0.98</v>
      </c>
      <c r="BG130" s="1620">
        <v>1</v>
      </c>
      <c r="BH130" s="1620">
        <v>0.96</v>
      </c>
      <c r="BI130" s="1620">
        <v>0.98</v>
      </c>
      <c r="BJ130" s="1603"/>
      <c r="BK130" s="1620">
        <v>85.9</v>
      </c>
      <c r="BL130" s="1620">
        <v>2.2000000000000002</v>
      </c>
      <c r="BM130" s="1620">
        <v>2.2999999999999998</v>
      </c>
      <c r="BN130" s="1620">
        <v>0.7</v>
      </c>
      <c r="BO130" s="1620"/>
      <c r="BP130" s="1620">
        <v>0</v>
      </c>
      <c r="BQ130" s="1620">
        <v>0</v>
      </c>
      <c r="BR130" s="1620">
        <v>1.2144196476964777</v>
      </c>
      <c r="BS130" s="1620">
        <v>1.1845053246753223</v>
      </c>
      <c r="BT130" s="1603"/>
      <c r="BU130" s="1620">
        <v>977</v>
      </c>
      <c r="BV130" s="1620">
        <v>76.269999999999897</v>
      </c>
      <c r="BW130" s="1620">
        <v>0</v>
      </c>
      <c r="BX130" s="1620">
        <v>0</v>
      </c>
      <c r="BY130" s="1620">
        <v>0</v>
      </c>
      <c r="BZ130" s="1620" t="s">
        <v>270</v>
      </c>
      <c r="CA130" s="1620" t="s">
        <v>270</v>
      </c>
      <c r="CB130" s="1603"/>
      <c r="CC130" s="1603">
        <v>0.45</v>
      </c>
      <c r="CD130" s="1603">
        <v>3.87</v>
      </c>
      <c r="CE130" s="1603">
        <v>9.0000000000000011E-2</v>
      </c>
      <c r="CF130" s="1603">
        <v>0</v>
      </c>
      <c r="CG130" s="1603">
        <v>6.66</v>
      </c>
      <c r="CH130" s="1603">
        <v>0.45</v>
      </c>
      <c r="CI130" s="1603">
        <v>7.9200000000000008</v>
      </c>
      <c r="CJ130" s="1603"/>
      <c r="CK130" s="1603">
        <v>144</v>
      </c>
      <c r="CL130" s="1603">
        <v>9.9</v>
      </c>
      <c r="CM130" s="1603">
        <v>3.9600000000000004</v>
      </c>
      <c r="CN130" s="1603">
        <v>18.899999999999999</v>
      </c>
      <c r="CO130" s="1603">
        <v>0</v>
      </c>
      <c r="CP130" s="1603">
        <v>0</v>
      </c>
      <c r="CQ130" s="1603">
        <v>688.05899999999997</v>
      </c>
      <c r="CR130" s="1603">
        <v>629.52703495050446</v>
      </c>
      <c r="CS130" s="1603">
        <v>49.233620428507066</v>
      </c>
      <c r="CT130" s="1603">
        <v>14.474003697886447</v>
      </c>
      <c r="CU130" s="1603">
        <v>8.0579460473664586</v>
      </c>
      <c r="CV130" s="1603">
        <v>22.531949745252909</v>
      </c>
      <c r="CW130" s="1603">
        <v>35.579366704316456</v>
      </c>
      <c r="CX130" s="1603">
        <v>6.5575716019956625</v>
      </c>
      <c r="CY130" s="1603">
        <v>35.41719098631539</v>
      </c>
      <c r="CZ130" s="1603">
        <v>64.192871753902949</v>
      </c>
      <c r="DA130" s="1603">
        <v>13.572602873532878</v>
      </c>
      <c r="DB130" s="1603">
        <v>39.660203201881785</v>
      </c>
      <c r="DC130" s="1603">
        <v>35.052065306044092</v>
      </c>
      <c r="DD130" s="1603">
        <v>74.712268507925884</v>
      </c>
      <c r="DE130" s="1603">
        <v>43.802491091856012</v>
      </c>
      <c r="DF130" s="1603">
        <v>0</v>
      </c>
      <c r="DG130" s="1603">
        <v>0</v>
      </c>
      <c r="DH130" s="1603">
        <v>0</v>
      </c>
      <c r="DI130" s="1603">
        <v>0</v>
      </c>
      <c r="DJ130" s="1603">
        <v>0</v>
      </c>
      <c r="DK130" s="1603">
        <v>0</v>
      </c>
      <c r="DL130" s="1603">
        <v>0</v>
      </c>
      <c r="DM130" s="1603">
        <v>0</v>
      </c>
      <c r="DN130" s="1603">
        <v>0</v>
      </c>
      <c r="DO130" s="1603">
        <v>0</v>
      </c>
      <c r="DP130" s="1603">
        <v>0</v>
      </c>
      <c r="DQ130" s="1603">
        <v>0</v>
      </c>
      <c r="DR130" s="1603">
        <v>0</v>
      </c>
      <c r="DS130" s="1603">
        <v>0</v>
      </c>
      <c r="DT130" s="1603">
        <v>0</v>
      </c>
      <c r="DU130" s="1603">
        <v>0</v>
      </c>
      <c r="DV130" s="1603">
        <v>0</v>
      </c>
      <c r="DW130" s="1618" t="s">
        <v>3450</v>
      </c>
      <c r="DX130" s="1605" t="s">
        <v>986</v>
      </c>
      <c r="DY130" s="1605" t="s">
        <v>986</v>
      </c>
      <c r="DZ130" s="1605">
        <v>1</v>
      </c>
      <c r="EA130" s="1605">
        <v>2</v>
      </c>
      <c r="EB130" s="1605" t="s">
        <v>986</v>
      </c>
      <c r="EC130" s="1605">
        <v>2</v>
      </c>
      <c r="ED130" s="1605">
        <v>2</v>
      </c>
      <c r="EE130" s="1605">
        <v>2</v>
      </c>
      <c r="EF130" s="1605">
        <v>2</v>
      </c>
      <c r="EG130" s="1605">
        <v>2</v>
      </c>
      <c r="EH130" s="1605" t="s">
        <v>986</v>
      </c>
      <c r="EI130" s="1605" t="s">
        <v>986</v>
      </c>
      <c r="EJ130" s="1605" t="s">
        <v>986</v>
      </c>
      <c r="EK130" s="1605" t="s">
        <v>986</v>
      </c>
      <c r="EL130" s="1605" t="s">
        <v>986</v>
      </c>
      <c r="EM130" s="1605" t="s">
        <v>986</v>
      </c>
      <c r="EN130" s="1605" t="s">
        <v>986</v>
      </c>
      <c r="EO130" s="1605" t="s">
        <v>986</v>
      </c>
      <c r="EP130" s="1605" t="s">
        <v>986</v>
      </c>
      <c r="EQ130" s="1605" t="s">
        <v>986</v>
      </c>
      <c r="ER130" s="1605" t="s">
        <v>986</v>
      </c>
      <c r="ES130" s="1605" t="s">
        <v>986</v>
      </c>
      <c r="ET130" s="1605" t="s">
        <v>986</v>
      </c>
      <c r="EU130" s="1605" t="s">
        <v>986</v>
      </c>
      <c r="EV130" s="1605" t="s">
        <v>986</v>
      </c>
      <c r="EW130" s="1605" t="s">
        <v>986</v>
      </c>
      <c r="EX130" s="1605" t="s">
        <v>986</v>
      </c>
      <c r="EY130" s="1605" t="s">
        <v>986</v>
      </c>
      <c r="EZ130" s="1605" t="s">
        <v>986</v>
      </c>
      <c r="FA130" s="1605" t="s">
        <v>986</v>
      </c>
      <c r="FB130" s="1605" t="s">
        <v>986</v>
      </c>
      <c r="FC130" s="1605" t="s">
        <v>986</v>
      </c>
      <c r="FD130" s="1605" t="s">
        <v>986</v>
      </c>
      <c r="FE130" s="1605" t="s">
        <v>986</v>
      </c>
      <c r="FF130" s="1605" t="s">
        <v>986</v>
      </c>
      <c r="FG130" s="1605" t="s">
        <v>986</v>
      </c>
      <c r="FH130" s="1605" t="s">
        <v>986</v>
      </c>
      <c r="FI130" s="1605">
        <v>0.1</v>
      </c>
      <c r="FJ130" s="1605" t="s">
        <v>986</v>
      </c>
      <c r="FK130" s="1605">
        <v>0.1</v>
      </c>
      <c r="FL130" s="1605">
        <v>0.9</v>
      </c>
      <c r="FM130" s="1605" t="s">
        <v>986</v>
      </c>
      <c r="FN130" s="1605">
        <v>2.1</v>
      </c>
      <c r="FO130" s="1605" t="s">
        <v>986</v>
      </c>
      <c r="FP130" s="1605" t="s">
        <v>986</v>
      </c>
      <c r="FQ130" s="1605" t="s">
        <v>986</v>
      </c>
      <c r="FR130" s="1605" t="s">
        <v>986</v>
      </c>
      <c r="FS130" s="1605" t="s">
        <v>986</v>
      </c>
      <c r="FT130" s="1605" t="s">
        <v>986</v>
      </c>
      <c r="FU130" s="1605" t="s">
        <v>986</v>
      </c>
      <c r="FV130" s="1605" t="s">
        <v>986</v>
      </c>
      <c r="FW130" s="1605" t="s">
        <v>986</v>
      </c>
      <c r="FX130" s="1605" t="s">
        <v>986</v>
      </c>
      <c r="FY130" s="1605" t="s">
        <v>986</v>
      </c>
      <c r="FZ130" s="1605" t="s">
        <v>986</v>
      </c>
      <c r="GA130" s="1605" t="s">
        <v>986</v>
      </c>
      <c r="GB130" s="1605" t="s">
        <v>986</v>
      </c>
      <c r="GC130" s="1605" t="s">
        <v>986</v>
      </c>
      <c r="GD130" s="1605" t="s">
        <v>986</v>
      </c>
      <c r="GE130" s="1605" t="s">
        <v>986</v>
      </c>
      <c r="GF130" s="1605" t="s">
        <v>986</v>
      </c>
      <c r="GG130" s="1605" t="s">
        <v>986</v>
      </c>
      <c r="GH130" s="1605" t="s">
        <v>986</v>
      </c>
      <c r="GI130" s="1605" t="s">
        <v>986</v>
      </c>
      <c r="GJ130" s="1605" t="s">
        <v>986</v>
      </c>
      <c r="GK130" s="1605" t="s">
        <v>986</v>
      </c>
      <c r="GL130" s="1605" t="s">
        <v>986</v>
      </c>
      <c r="GM130" s="1605" t="s">
        <v>986</v>
      </c>
      <c r="GN130" s="1605" t="s">
        <v>1591</v>
      </c>
      <c r="GO130" s="1605" t="s">
        <v>1591</v>
      </c>
      <c r="GP130" s="1605" t="s">
        <v>1591</v>
      </c>
      <c r="GQ130" s="1605" t="s">
        <v>1591</v>
      </c>
      <c r="GR130" s="1605" t="s">
        <v>986</v>
      </c>
      <c r="GS130" s="1605" t="s">
        <v>1591</v>
      </c>
      <c r="GT130" s="1605" t="s">
        <v>1591</v>
      </c>
      <c r="GU130" s="1605" t="s">
        <v>1591</v>
      </c>
      <c r="GV130" s="1605" t="s">
        <v>1591</v>
      </c>
      <c r="GW130" s="1605" t="s">
        <v>986</v>
      </c>
      <c r="GX130" s="1605" t="s">
        <v>986</v>
      </c>
      <c r="GY130" s="1605" t="s">
        <v>986</v>
      </c>
      <c r="GZ130" s="1605" t="s">
        <v>986</v>
      </c>
      <c r="HA130" s="1605" t="s">
        <v>986</v>
      </c>
      <c r="HB130" s="1605" t="s">
        <v>986</v>
      </c>
      <c r="HC130" s="1605" t="s">
        <v>986</v>
      </c>
      <c r="HD130" s="1605" t="s">
        <v>986</v>
      </c>
      <c r="HE130" s="1605" t="s">
        <v>986</v>
      </c>
      <c r="HF130" s="1605" t="s">
        <v>986</v>
      </c>
      <c r="HG130" s="1605" t="s">
        <v>986</v>
      </c>
      <c r="HH130" s="1605" t="s">
        <v>986</v>
      </c>
      <c r="HI130" s="1605" t="s">
        <v>986</v>
      </c>
      <c r="HJ130" s="1605" t="s">
        <v>986</v>
      </c>
      <c r="HK130" s="1605" t="s">
        <v>986</v>
      </c>
      <c r="HL130" s="1605" t="s">
        <v>986</v>
      </c>
      <c r="HM130" s="1605" t="s">
        <v>986</v>
      </c>
      <c r="HN130" s="1605" t="s">
        <v>986</v>
      </c>
      <c r="HO130" s="1605" t="s">
        <v>986</v>
      </c>
      <c r="HP130" s="1605" t="s">
        <v>986</v>
      </c>
      <c r="HQ130" s="1605" t="s">
        <v>986</v>
      </c>
      <c r="HR130" s="1605" t="s">
        <v>986</v>
      </c>
      <c r="HS130" s="1605" t="s">
        <v>986</v>
      </c>
      <c r="HT130" s="1605" t="s">
        <v>986</v>
      </c>
      <c r="HU130" s="1605" t="s">
        <v>986</v>
      </c>
      <c r="HV130" s="1617"/>
      <c r="HW130" s="1617" t="s">
        <v>3455</v>
      </c>
      <c r="HX130" s="1617" t="s">
        <v>3458</v>
      </c>
      <c r="HY130" s="1617" t="s">
        <v>3447</v>
      </c>
      <c r="HZ130" s="1603"/>
      <c r="IA130" s="1603"/>
      <c r="IB130" s="1603"/>
      <c r="IC130" s="1603">
        <v>67</v>
      </c>
      <c r="ID130" s="1603">
        <v>67</v>
      </c>
      <c r="IE130" s="1603">
        <v>67</v>
      </c>
      <c r="IF130" s="1603">
        <v>67</v>
      </c>
      <c r="IG130" s="1611" t="s">
        <v>3457</v>
      </c>
      <c r="IH130" s="1616" t="s">
        <v>270</v>
      </c>
      <c r="II130" s="1615" t="s">
        <v>270</v>
      </c>
      <c r="IJ130" s="1613">
        <v>2.4097222222222228</v>
      </c>
      <c r="IK130" s="1613">
        <v>2.4097222222222228</v>
      </c>
      <c r="IL130" s="1614">
        <v>2.4097222222222228</v>
      </c>
      <c r="IM130" s="1614">
        <v>2.4097222222222228</v>
      </c>
      <c r="IN130" s="1612" t="s">
        <v>270</v>
      </c>
      <c r="IO130" s="1613" t="s">
        <v>270</v>
      </c>
      <c r="IP130" s="1607" t="s">
        <v>270</v>
      </c>
      <c r="IQ130" s="1612" t="s">
        <v>270</v>
      </c>
      <c r="IR130" s="1612" t="s">
        <v>270</v>
      </c>
      <c r="IS130" s="1607">
        <v>2.3317222222222229</v>
      </c>
      <c r="IT130" s="1607">
        <v>2.3317222222222229</v>
      </c>
      <c r="IU130" s="1611">
        <v>1.1111111111111112E-5</v>
      </c>
      <c r="IV130" s="1611">
        <v>7.3777777777777782E-3</v>
      </c>
      <c r="IW130" s="1611">
        <v>1.8888888888888887E-3</v>
      </c>
      <c r="IX130" s="1611">
        <v>2.2333333333333328E-3</v>
      </c>
      <c r="IY130" s="1611">
        <v>1.8999999999999998E-3</v>
      </c>
      <c r="IZ130" s="1611">
        <v>1.3388888888888889E-2</v>
      </c>
      <c r="JA130" s="1611">
        <v>3.7777777777777782E-4</v>
      </c>
      <c r="JB130" s="1611" t="s">
        <v>270</v>
      </c>
      <c r="JC130" s="1611">
        <v>3.9164888888888894</v>
      </c>
      <c r="JD130" s="1611">
        <v>2.7544444444444444E-2</v>
      </c>
      <c r="JE130" s="1611" t="s">
        <v>270</v>
      </c>
      <c r="JF130" s="1611">
        <v>5.7111111111111112E-3</v>
      </c>
      <c r="JG130" s="1611">
        <v>3.710866666666667</v>
      </c>
      <c r="JH130" s="1611">
        <v>1.0777777777777778E-3</v>
      </c>
      <c r="JI130" s="1611">
        <v>0.34938888888888892</v>
      </c>
      <c r="JJ130" s="1611" t="s">
        <v>270</v>
      </c>
      <c r="JK130" s="1607">
        <f t="shared" si="10"/>
        <v>7.7999999999999847E-2</v>
      </c>
      <c r="JL130" s="1608" t="s">
        <v>270</v>
      </c>
      <c r="JM130" s="1610" t="s">
        <v>2924</v>
      </c>
      <c r="JN130" s="1608">
        <v>0</v>
      </c>
      <c r="JO130" s="1609" t="s">
        <v>3452</v>
      </c>
      <c r="JP130" s="1608" t="s">
        <v>270</v>
      </c>
      <c r="JQ130" s="1607">
        <v>202103</v>
      </c>
      <c r="JR130" s="1606">
        <v>431</v>
      </c>
      <c r="JS130" s="1606">
        <v>392</v>
      </c>
      <c r="JT130" s="1606">
        <v>392</v>
      </c>
    </row>
    <row r="131" spans="1:280" ht="15" customHeight="1" x14ac:dyDescent="0.2">
      <c r="A131" s="1626">
        <v>69200</v>
      </c>
      <c r="B131" s="1625">
        <v>692</v>
      </c>
      <c r="C131" s="1624">
        <v>0</v>
      </c>
      <c r="D131" s="1623" t="s">
        <v>3456</v>
      </c>
      <c r="E131" s="1622">
        <v>43031</v>
      </c>
      <c r="F131" s="1620">
        <v>1.13912669376694</v>
      </c>
      <c r="G131" s="1620">
        <v>1.11067935064935</v>
      </c>
      <c r="H131" s="1621">
        <v>90</v>
      </c>
      <c r="I131" s="1621">
        <v>90</v>
      </c>
      <c r="J131" s="1621">
        <v>90</v>
      </c>
      <c r="K131" s="1620">
        <v>1</v>
      </c>
      <c r="L131" s="1620">
        <v>90.5</v>
      </c>
      <c r="M131" s="1620">
        <v>79.5</v>
      </c>
      <c r="N131" s="1620">
        <v>3</v>
      </c>
      <c r="O131" s="1620">
        <v>0.7</v>
      </c>
      <c r="P131" s="1620">
        <v>1.8</v>
      </c>
      <c r="Q131" s="1603"/>
      <c r="R131" s="1620">
        <v>89</v>
      </c>
      <c r="S131" s="1620">
        <v>67</v>
      </c>
      <c r="T131" s="1620">
        <v>67</v>
      </c>
      <c r="U131" s="1620">
        <v>67</v>
      </c>
      <c r="V131" s="1620">
        <v>67</v>
      </c>
      <c r="W131" s="1620">
        <v>67</v>
      </c>
      <c r="X131" s="1620"/>
      <c r="Y131" s="1620">
        <v>0.55555999999999994</v>
      </c>
      <c r="Z131" s="1620">
        <v>2.2099447513812156</v>
      </c>
      <c r="AA131" s="1620">
        <v>5.5248618784530384E-2</v>
      </c>
      <c r="AB131" s="1620">
        <v>3.3149171270718232</v>
      </c>
      <c r="AC131" s="1620">
        <v>5.5248618784530384E-2</v>
      </c>
      <c r="AD131" s="1620">
        <v>5.5248618784530384E-2</v>
      </c>
      <c r="AE131" s="1620">
        <v>8.8000000000000007</v>
      </c>
      <c r="AF131" s="1620">
        <v>146.96132596685084</v>
      </c>
      <c r="AG131" s="1620">
        <v>34.254143646408842</v>
      </c>
      <c r="AH131" s="1620">
        <v>2</v>
      </c>
      <c r="AI131" s="1620">
        <v>6.6298342541436464</v>
      </c>
      <c r="AJ131" s="1620">
        <v>0</v>
      </c>
      <c r="AK131" s="1620">
        <v>0</v>
      </c>
      <c r="AL131" s="1620"/>
      <c r="AM131" s="1620">
        <v>8</v>
      </c>
      <c r="AN131" s="1620">
        <v>2.5</v>
      </c>
      <c r="AO131" s="1620">
        <v>1.6</v>
      </c>
      <c r="AP131" s="1620">
        <v>6.2</v>
      </c>
      <c r="AQ131" s="1620">
        <v>1.5</v>
      </c>
      <c r="AR131" s="1620">
        <v>5.9</v>
      </c>
      <c r="AS131" s="1620">
        <v>10.8</v>
      </c>
      <c r="AT131" s="1620">
        <v>2.2000000000000002</v>
      </c>
      <c r="AU131" s="1620">
        <v>6.6</v>
      </c>
      <c r="AV131" s="1620">
        <v>6</v>
      </c>
      <c r="AW131" s="1620">
        <v>7</v>
      </c>
      <c r="AX131" s="1620"/>
      <c r="AY131" s="1620">
        <v>0.99</v>
      </c>
      <c r="AZ131" s="1620">
        <v>1.01</v>
      </c>
      <c r="BA131" s="1620">
        <v>0.8</v>
      </c>
      <c r="BB131" s="1620">
        <v>0.97</v>
      </c>
      <c r="BC131" s="1620">
        <v>0.8</v>
      </c>
      <c r="BD131" s="1620">
        <v>0.97</v>
      </c>
      <c r="BE131" s="1620">
        <v>0.99</v>
      </c>
      <c r="BF131" s="1620">
        <v>0.98</v>
      </c>
      <c r="BG131" s="1620">
        <v>1</v>
      </c>
      <c r="BH131" s="1620">
        <v>0.96</v>
      </c>
      <c r="BI131" s="1620">
        <v>0.98</v>
      </c>
      <c r="BJ131" s="1603"/>
      <c r="BK131" s="1620">
        <v>87.845303867403317</v>
      </c>
      <c r="BL131" s="1620">
        <v>3.3149171270718232</v>
      </c>
      <c r="BM131" s="1620">
        <v>0.77348066298342544</v>
      </c>
      <c r="BN131" s="1620">
        <v>1.988950276243094</v>
      </c>
      <c r="BO131" s="1620"/>
      <c r="BP131" s="1620">
        <v>0</v>
      </c>
      <c r="BQ131" s="1620">
        <v>0</v>
      </c>
      <c r="BR131" s="1620">
        <v>1.258703529024243</v>
      </c>
      <c r="BS131" s="1620">
        <v>1.2272700007175139</v>
      </c>
      <c r="BT131" s="1603"/>
      <c r="BU131" s="1620">
        <v>992.26519337016578</v>
      </c>
      <c r="BV131" s="1620">
        <v>61.491712707182543</v>
      </c>
      <c r="BW131" s="1620">
        <v>0</v>
      </c>
      <c r="BX131" s="1620">
        <v>0</v>
      </c>
      <c r="BY131" s="1620">
        <v>0</v>
      </c>
      <c r="BZ131" s="1620" t="s">
        <v>270</v>
      </c>
      <c r="CA131" s="1620" t="s">
        <v>270</v>
      </c>
      <c r="CB131" s="1603"/>
      <c r="CC131" s="1603">
        <v>0.50278179999999995</v>
      </c>
      <c r="CD131" s="1603">
        <v>2</v>
      </c>
      <c r="CE131" s="1603">
        <v>0.05</v>
      </c>
      <c r="CF131" s="1603">
        <v>3</v>
      </c>
      <c r="CG131" s="1603">
        <v>0.05</v>
      </c>
      <c r="CH131" s="1603">
        <v>0.05</v>
      </c>
      <c r="CI131" s="1603">
        <v>7.9640000000000013</v>
      </c>
      <c r="CJ131" s="1603"/>
      <c r="CK131" s="1603">
        <v>133</v>
      </c>
      <c r="CL131" s="1603">
        <v>31.000000000000004</v>
      </c>
      <c r="CM131" s="1603">
        <v>1.81</v>
      </c>
      <c r="CN131" s="1603">
        <v>6</v>
      </c>
      <c r="CO131" s="1603">
        <v>0</v>
      </c>
      <c r="CP131" s="1603">
        <v>0</v>
      </c>
      <c r="CQ131" s="1603">
        <v>707.55</v>
      </c>
      <c r="CR131" s="1603">
        <v>621.13371925314686</v>
      </c>
      <c r="CS131" s="1603">
        <v>49.193790564849238</v>
      </c>
      <c r="CT131" s="1603">
        <v>15.68362641114196</v>
      </c>
      <c r="CU131" s="1603">
        <v>7.9505116064402808</v>
      </c>
      <c r="CV131" s="1603">
        <v>23.634138017582242</v>
      </c>
      <c r="CW131" s="1603">
        <v>37.354981875884256</v>
      </c>
      <c r="CX131" s="1603">
        <v>7.4536046310377637</v>
      </c>
      <c r="CY131" s="1603">
        <v>35.547482752857597</v>
      </c>
      <c r="CZ131" s="1603">
        <v>66.411617262546471</v>
      </c>
      <c r="DA131" s="1603">
        <v>13.391642987097848</v>
      </c>
      <c r="DB131" s="1603">
        <v>40.994825470707703</v>
      </c>
      <c r="DC131" s="1603">
        <v>35.777302228981263</v>
      </c>
      <c r="DD131" s="1603">
        <v>76.772127699688966</v>
      </c>
      <c r="DE131" s="1603">
        <v>42.609773140765881</v>
      </c>
      <c r="DF131" s="1603">
        <v>0</v>
      </c>
      <c r="DG131" s="1603">
        <v>0</v>
      </c>
      <c r="DH131" s="1603">
        <v>0</v>
      </c>
      <c r="DI131" s="1603">
        <v>0</v>
      </c>
      <c r="DJ131" s="1603">
        <v>0</v>
      </c>
      <c r="DK131" s="1603">
        <v>0</v>
      </c>
      <c r="DL131" s="1603">
        <v>0</v>
      </c>
      <c r="DM131" s="1603">
        <v>0</v>
      </c>
      <c r="DN131" s="1603">
        <v>0</v>
      </c>
      <c r="DO131" s="1603">
        <v>0</v>
      </c>
      <c r="DP131" s="1603">
        <v>0</v>
      </c>
      <c r="DQ131" s="1603">
        <v>0</v>
      </c>
      <c r="DR131" s="1603">
        <v>0</v>
      </c>
      <c r="DS131" s="1603">
        <v>0</v>
      </c>
      <c r="DT131" s="1603">
        <v>0</v>
      </c>
      <c r="DU131" s="1603">
        <v>0</v>
      </c>
      <c r="DV131" s="1603">
        <v>0</v>
      </c>
      <c r="DW131" s="1618" t="s">
        <v>3450</v>
      </c>
      <c r="DX131" s="1605" t="s">
        <v>986</v>
      </c>
      <c r="DY131" s="1605" t="s">
        <v>986</v>
      </c>
      <c r="DZ131" s="1605">
        <v>3</v>
      </c>
      <c r="EA131" s="1605">
        <v>4</v>
      </c>
      <c r="EB131" s="1605" t="s">
        <v>986</v>
      </c>
      <c r="EC131" s="1605">
        <v>4</v>
      </c>
      <c r="ED131" s="1605">
        <v>4</v>
      </c>
      <c r="EE131" s="1605">
        <v>4</v>
      </c>
      <c r="EF131" s="1605">
        <v>4</v>
      </c>
      <c r="EG131" s="1605">
        <v>4</v>
      </c>
      <c r="EH131" s="1605" t="s">
        <v>986</v>
      </c>
      <c r="EI131" s="1605" t="s">
        <v>986</v>
      </c>
      <c r="EJ131" s="1605" t="s">
        <v>986</v>
      </c>
      <c r="EK131" s="1605" t="s">
        <v>986</v>
      </c>
      <c r="EL131" s="1605" t="s">
        <v>986</v>
      </c>
      <c r="EM131" s="1605" t="s">
        <v>986</v>
      </c>
      <c r="EN131" s="1605" t="s">
        <v>986</v>
      </c>
      <c r="EO131" s="1605" t="s">
        <v>986</v>
      </c>
      <c r="EP131" s="1605" t="s">
        <v>986</v>
      </c>
      <c r="EQ131" s="1605" t="s">
        <v>986</v>
      </c>
      <c r="ER131" s="1605" t="s">
        <v>986</v>
      </c>
      <c r="ES131" s="1605" t="s">
        <v>986</v>
      </c>
      <c r="ET131" s="1605" t="s">
        <v>986</v>
      </c>
      <c r="EU131" s="1605" t="s">
        <v>986</v>
      </c>
      <c r="EV131" s="1605" t="s">
        <v>986</v>
      </c>
      <c r="EW131" s="1605" t="s">
        <v>986</v>
      </c>
      <c r="EX131" s="1605" t="s">
        <v>986</v>
      </c>
      <c r="EY131" s="1605" t="s">
        <v>986</v>
      </c>
      <c r="EZ131" s="1605" t="s">
        <v>986</v>
      </c>
      <c r="FA131" s="1605" t="s">
        <v>986</v>
      </c>
      <c r="FB131" s="1605" t="s">
        <v>986</v>
      </c>
      <c r="FC131" s="1605" t="s">
        <v>986</v>
      </c>
      <c r="FD131" s="1605" t="s">
        <v>986</v>
      </c>
      <c r="FE131" s="1605" t="s">
        <v>986</v>
      </c>
      <c r="FF131" s="1605" t="s">
        <v>986</v>
      </c>
      <c r="FG131" s="1605" t="s">
        <v>986</v>
      </c>
      <c r="FH131" s="1605">
        <v>2.1</v>
      </c>
      <c r="FI131" s="1605">
        <v>0.1</v>
      </c>
      <c r="FJ131" s="1605" t="s">
        <v>986</v>
      </c>
      <c r="FK131" s="1605">
        <v>1.8</v>
      </c>
      <c r="FL131" s="1605">
        <v>1.7</v>
      </c>
      <c r="FM131" s="1605" t="s">
        <v>986</v>
      </c>
      <c r="FN131" s="1605" t="s">
        <v>986</v>
      </c>
      <c r="FO131" s="1605" t="s">
        <v>986</v>
      </c>
      <c r="FP131" s="1605" t="s">
        <v>986</v>
      </c>
      <c r="FQ131" s="1605" t="s">
        <v>986</v>
      </c>
      <c r="FR131" s="1605" t="s">
        <v>986</v>
      </c>
      <c r="FS131" s="1605" t="s">
        <v>986</v>
      </c>
      <c r="FT131" s="1605" t="s">
        <v>986</v>
      </c>
      <c r="FU131" s="1605" t="s">
        <v>986</v>
      </c>
      <c r="FV131" s="1605" t="s">
        <v>986</v>
      </c>
      <c r="FW131" s="1605" t="s">
        <v>986</v>
      </c>
      <c r="FX131" s="1605" t="s">
        <v>986</v>
      </c>
      <c r="FY131" s="1605" t="s">
        <v>986</v>
      </c>
      <c r="FZ131" s="1605" t="s">
        <v>986</v>
      </c>
      <c r="GA131" s="1605" t="s">
        <v>986</v>
      </c>
      <c r="GB131" s="1605" t="s">
        <v>986</v>
      </c>
      <c r="GC131" s="1605" t="s">
        <v>986</v>
      </c>
      <c r="GD131" s="1605" t="s">
        <v>986</v>
      </c>
      <c r="GE131" s="1605" t="s">
        <v>986</v>
      </c>
      <c r="GF131" s="1605" t="s">
        <v>986</v>
      </c>
      <c r="GG131" s="1605" t="s">
        <v>986</v>
      </c>
      <c r="GH131" s="1605" t="s">
        <v>986</v>
      </c>
      <c r="GI131" s="1605" t="s">
        <v>986</v>
      </c>
      <c r="GJ131" s="1605" t="s">
        <v>986</v>
      </c>
      <c r="GK131" s="1605" t="s">
        <v>986</v>
      </c>
      <c r="GL131" s="1605" t="s">
        <v>986</v>
      </c>
      <c r="GM131" s="1605" t="s">
        <v>986</v>
      </c>
      <c r="GN131" s="1605" t="s">
        <v>1591</v>
      </c>
      <c r="GO131" s="1605" t="s">
        <v>1591</v>
      </c>
      <c r="GP131" s="1605" t="s">
        <v>1591</v>
      </c>
      <c r="GQ131" s="1605" t="s">
        <v>1591</v>
      </c>
      <c r="GR131" s="1605" t="s">
        <v>986</v>
      </c>
      <c r="GS131" s="1605" t="s">
        <v>1591</v>
      </c>
      <c r="GT131" s="1605" t="s">
        <v>1591</v>
      </c>
      <c r="GU131" s="1605" t="s">
        <v>1591</v>
      </c>
      <c r="GV131" s="1605" t="s">
        <v>1591</v>
      </c>
      <c r="GW131" s="1605" t="s">
        <v>986</v>
      </c>
      <c r="GX131" s="1605" t="s">
        <v>986</v>
      </c>
      <c r="GY131" s="1605" t="s">
        <v>986</v>
      </c>
      <c r="GZ131" s="1605" t="s">
        <v>986</v>
      </c>
      <c r="HA131" s="1605" t="s">
        <v>986</v>
      </c>
      <c r="HB131" s="1605" t="s">
        <v>986</v>
      </c>
      <c r="HC131" s="1605" t="s">
        <v>986</v>
      </c>
      <c r="HD131" s="1605" t="s">
        <v>986</v>
      </c>
      <c r="HE131" s="1605" t="s">
        <v>986</v>
      </c>
      <c r="HF131" s="1605" t="s">
        <v>986</v>
      </c>
      <c r="HG131" s="1605" t="s">
        <v>986</v>
      </c>
      <c r="HH131" s="1605" t="s">
        <v>986</v>
      </c>
      <c r="HI131" s="1605" t="s">
        <v>986</v>
      </c>
      <c r="HJ131" s="1605" t="s">
        <v>986</v>
      </c>
      <c r="HK131" s="1605" t="s">
        <v>986</v>
      </c>
      <c r="HL131" s="1605" t="s">
        <v>986</v>
      </c>
      <c r="HM131" s="1605" t="s">
        <v>986</v>
      </c>
      <c r="HN131" s="1605" t="s">
        <v>986</v>
      </c>
      <c r="HO131" s="1605" t="s">
        <v>986</v>
      </c>
      <c r="HP131" s="1605" t="s">
        <v>986</v>
      </c>
      <c r="HQ131" s="1605" t="s">
        <v>986</v>
      </c>
      <c r="HR131" s="1605" t="s">
        <v>986</v>
      </c>
      <c r="HS131" s="1605" t="s">
        <v>986</v>
      </c>
      <c r="HT131" s="1605" t="s">
        <v>986</v>
      </c>
      <c r="HU131" s="1605" t="s">
        <v>986</v>
      </c>
      <c r="HV131" s="1617"/>
      <c r="HW131" s="1617" t="s">
        <v>3455</v>
      </c>
      <c r="HX131" s="1617" t="s">
        <v>3454</v>
      </c>
      <c r="HY131" s="1617" t="s">
        <v>3447</v>
      </c>
      <c r="HZ131" s="1603"/>
      <c r="IA131" s="1603"/>
      <c r="IB131" s="1603"/>
      <c r="IC131" s="1603">
        <v>67</v>
      </c>
      <c r="ID131" s="1603">
        <v>67</v>
      </c>
      <c r="IE131" s="1603">
        <v>67</v>
      </c>
      <c r="IF131" s="1603">
        <v>67</v>
      </c>
      <c r="IG131" s="1611" t="s">
        <v>3453</v>
      </c>
      <c r="IH131" s="1616" t="s">
        <v>270</v>
      </c>
      <c r="II131" s="1615" t="s">
        <v>270</v>
      </c>
      <c r="IJ131" s="1613">
        <v>2.6625745856353586</v>
      </c>
      <c r="IK131" s="1613">
        <v>2.6620220994475137</v>
      </c>
      <c r="IL131" s="1614">
        <v>2.6625745856353586</v>
      </c>
      <c r="IM131" s="1614">
        <v>2.6620220994475137</v>
      </c>
      <c r="IN131" s="1612" t="s">
        <v>270</v>
      </c>
      <c r="IO131" s="1613" t="s">
        <v>270</v>
      </c>
      <c r="IP131" s="1607" t="s">
        <v>270</v>
      </c>
      <c r="IQ131" s="1612" t="s">
        <v>270</v>
      </c>
      <c r="IR131" s="1612" t="s">
        <v>270</v>
      </c>
      <c r="IS131" s="1607">
        <v>2.5845745856353588</v>
      </c>
      <c r="IT131" s="1607">
        <v>2.5840220994475138</v>
      </c>
      <c r="IU131" s="1611">
        <v>2.2099447513812157E-5</v>
      </c>
      <c r="IV131" s="1611">
        <v>9.138121546961326E-3</v>
      </c>
      <c r="IW131" s="1611">
        <v>2.7845303867403315E-3</v>
      </c>
      <c r="IX131" s="1611">
        <v>3.8011049723756904E-3</v>
      </c>
      <c r="IY131" s="1611">
        <v>2.795580110497237E-3</v>
      </c>
      <c r="IZ131" s="1611">
        <v>2.5690607734806633E-2</v>
      </c>
      <c r="JA131" s="1611">
        <v>5.9668508287292815E-4</v>
      </c>
      <c r="JB131" s="1611" t="s">
        <v>270</v>
      </c>
      <c r="JC131" s="1611">
        <v>9.1722320441988963</v>
      </c>
      <c r="JD131" s="1611">
        <v>6.2386740331491712E-2</v>
      </c>
      <c r="JE131" s="1611" t="s">
        <v>270</v>
      </c>
      <c r="JF131" s="1611">
        <v>6.5303867403314923E-3</v>
      </c>
      <c r="JG131" s="1611">
        <v>15.491193370165748</v>
      </c>
      <c r="JH131" s="1611">
        <v>6.740331491712707E-4</v>
      </c>
      <c r="JI131" s="1611">
        <v>0.36877348066298343</v>
      </c>
      <c r="JJ131" s="1611" t="s">
        <v>270</v>
      </c>
      <c r="JK131" s="1607">
        <f t="shared" si="10"/>
        <v>7.7999999999999847E-2</v>
      </c>
      <c r="JL131" s="1608" t="s">
        <v>270</v>
      </c>
      <c r="JM131" s="1610" t="s">
        <v>2924</v>
      </c>
      <c r="JN131" s="1608">
        <v>5.5248618784498049E-4</v>
      </c>
      <c r="JO131" s="1609" t="s">
        <v>3452</v>
      </c>
      <c r="JP131" s="1608" t="s">
        <v>270</v>
      </c>
      <c r="JQ131" s="1607">
        <v>202103</v>
      </c>
      <c r="JR131" s="1606">
        <v>432</v>
      </c>
      <c r="JS131" s="1606">
        <v>393</v>
      </c>
      <c r="JT131" s="1606">
        <v>393</v>
      </c>
    </row>
    <row r="132" spans="1:280" ht="15" customHeight="1" x14ac:dyDescent="0.2">
      <c r="A132" s="1626">
        <v>69300</v>
      </c>
      <c r="B132" s="1625">
        <v>693</v>
      </c>
      <c r="C132" s="1624">
        <v>0</v>
      </c>
      <c r="D132" s="1623" t="s">
        <v>3451</v>
      </c>
      <c r="E132" s="1622">
        <v>44322</v>
      </c>
      <c r="F132" s="1620">
        <v>1.11795376693767</v>
      </c>
      <c r="G132" s="1620">
        <v>1.09011493506493</v>
      </c>
      <c r="H132" s="1621">
        <v>90</v>
      </c>
      <c r="I132" s="1621">
        <v>90</v>
      </c>
      <c r="J132" s="1621">
        <v>90</v>
      </c>
      <c r="K132" s="1620">
        <v>1</v>
      </c>
      <c r="L132" s="1620">
        <v>90.28</v>
      </c>
      <c r="M132" s="1620">
        <v>77.41</v>
      </c>
      <c r="N132" s="1620">
        <v>2.71</v>
      </c>
      <c r="O132" s="1620">
        <v>1.77</v>
      </c>
      <c r="P132" s="1620">
        <v>1.7956243093922599</v>
      </c>
      <c r="Q132" s="1603"/>
      <c r="R132" s="1620">
        <v>89</v>
      </c>
      <c r="S132" s="1620">
        <v>67</v>
      </c>
      <c r="T132" s="1620">
        <v>67</v>
      </c>
      <c r="U132" s="1620">
        <v>67</v>
      </c>
      <c r="V132" s="1620">
        <v>67</v>
      </c>
      <c r="W132" s="1620">
        <v>67</v>
      </c>
      <c r="X132" s="1620"/>
      <c r="Y132" s="1620">
        <v>0.49</v>
      </c>
      <c r="Z132" s="1620">
        <v>1.94</v>
      </c>
      <c r="AA132" s="1620">
        <v>0.27691626052281787</v>
      </c>
      <c r="AB132" s="1620">
        <v>3.3149171270718205</v>
      </c>
      <c r="AC132" s="1620">
        <v>6.3690739920248118</v>
      </c>
      <c r="AD132" s="1620">
        <v>0.36552946389011964</v>
      </c>
      <c r="AE132" s="1620">
        <v>8.8000000000000007</v>
      </c>
      <c r="AF132" s="1620">
        <v>85.456357997341613</v>
      </c>
      <c r="AG132" s="1620">
        <v>51.750000000000007</v>
      </c>
      <c r="AH132" s="1620">
        <v>5.54</v>
      </c>
      <c r="AI132" s="1620">
        <v>29.574656623836951</v>
      </c>
      <c r="AJ132" s="1620">
        <v>0</v>
      </c>
      <c r="AK132" s="1620">
        <v>0</v>
      </c>
      <c r="AL132" s="1620"/>
      <c r="AM132" s="1620">
        <v>7.8930370753132699</v>
      </c>
      <c r="AN132" s="1620">
        <v>2.3162382121173</v>
      </c>
      <c r="AO132" s="1620">
        <v>1.65999224906343</v>
      </c>
      <c r="AP132" s="1620">
        <v>6.1787882702493198</v>
      </c>
      <c r="AQ132" s="1620">
        <v>1.5721483012530699</v>
      </c>
      <c r="AR132" s="1620">
        <v>5.7305257718640998</v>
      </c>
      <c r="AS132" s="1620">
        <v>10.809972871722</v>
      </c>
      <c r="AT132" s="1620">
        <v>2.2128923911639302</v>
      </c>
      <c r="AU132" s="1620">
        <v>6.6658054514920604</v>
      </c>
      <c r="AV132" s="1620">
        <v>5.8002842010076199</v>
      </c>
      <c r="AW132" s="1620">
        <v>6.7872367911122602</v>
      </c>
      <c r="AX132" s="1620"/>
      <c r="AY132" s="1620">
        <v>0.99</v>
      </c>
      <c r="AZ132" s="1620">
        <v>1.01</v>
      </c>
      <c r="BA132" s="1620">
        <v>0.8</v>
      </c>
      <c r="BB132" s="1620">
        <v>0.97</v>
      </c>
      <c r="BC132" s="1620">
        <v>0.8</v>
      </c>
      <c r="BD132" s="1620">
        <v>0.97</v>
      </c>
      <c r="BE132" s="1620">
        <v>0.99</v>
      </c>
      <c r="BF132" s="1620">
        <v>0.98</v>
      </c>
      <c r="BG132" s="1620">
        <v>1</v>
      </c>
      <c r="BH132" s="1620">
        <v>0.96</v>
      </c>
      <c r="BI132" s="1620">
        <v>0.98</v>
      </c>
      <c r="BJ132" s="1603"/>
      <c r="BK132" s="1620">
        <v>85.744350908285327</v>
      </c>
      <c r="BL132" s="1620">
        <v>3.0017722640673461</v>
      </c>
      <c r="BM132" s="1620">
        <v>1.9605671245015508</v>
      </c>
      <c r="BN132" s="1620">
        <v>1.9889502762430882</v>
      </c>
      <c r="BO132" s="1620"/>
      <c r="BP132" s="1620">
        <v>0</v>
      </c>
      <c r="BQ132" s="1620">
        <v>0</v>
      </c>
      <c r="BR132" s="1620">
        <v>1.2383183063111098</v>
      </c>
      <c r="BS132" s="1620">
        <v>1.2074822054330194</v>
      </c>
      <c r="BT132" s="1603"/>
      <c r="BU132" s="1620">
        <v>980.39432875498449</v>
      </c>
      <c r="BV132" s="1620">
        <v>72.964111652636234</v>
      </c>
      <c r="BW132" s="1620">
        <v>0</v>
      </c>
      <c r="BX132" s="1620">
        <v>0</v>
      </c>
      <c r="BY132" s="1620">
        <v>0</v>
      </c>
      <c r="BZ132" s="1620" t="s">
        <v>270</v>
      </c>
      <c r="CA132" s="1620" t="s">
        <v>270</v>
      </c>
      <c r="CB132" s="1603"/>
      <c r="CC132" s="1603">
        <v>0.44237199999999999</v>
      </c>
      <c r="CD132" s="1603">
        <v>1.7514320000000001</v>
      </c>
      <c r="CE132" s="1603">
        <v>0.24999999999999997</v>
      </c>
      <c r="CF132" s="1603">
        <v>2.9927071823204399</v>
      </c>
      <c r="CG132" s="1603">
        <v>5.75</v>
      </c>
      <c r="CH132" s="1603">
        <v>0.33</v>
      </c>
      <c r="CI132" s="1603">
        <v>7.9446400000000015</v>
      </c>
      <c r="CJ132" s="1603"/>
      <c r="CK132" s="1603">
        <v>77.150000000000006</v>
      </c>
      <c r="CL132" s="1603">
        <v>46.71990000000001</v>
      </c>
      <c r="CM132" s="1603">
        <v>5.001512</v>
      </c>
      <c r="CN132" s="1603">
        <v>26.7</v>
      </c>
      <c r="CO132" s="1603">
        <v>0</v>
      </c>
      <c r="CP132" s="1603">
        <v>0</v>
      </c>
      <c r="CQ132" s="1603">
        <v>688.94899999999996</v>
      </c>
      <c r="CR132" s="1603">
        <v>616.25893697481627</v>
      </c>
      <c r="CS132" s="1603">
        <v>48.155130911600125</v>
      </c>
      <c r="CT132" s="1603">
        <v>14.416765233636534</v>
      </c>
      <c r="CU132" s="1603">
        <v>8.1838804703541026</v>
      </c>
      <c r="CV132" s="1603">
        <v>22.600645703990633</v>
      </c>
      <c r="CW132" s="1603">
        <v>36.935014864798219</v>
      </c>
      <c r="CX132" s="1603">
        <v>7.7508035271758304</v>
      </c>
      <c r="CY132" s="1603">
        <v>34.25543088861486</v>
      </c>
      <c r="CZ132" s="1603">
        <v>65.951249667474613</v>
      </c>
      <c r="DA132" s="1603">
        <v>13.364404183659772</v>
      </c>
      <c r="DB132" s="1603">
        <v>41.078621816174291</v>
      </c>
      <c r="DC132" s="1603">
        <v>34.314978968301872</v>
      </c>
      <c r="DD132" s="1603">
        <v>75.393600784476163</v>
      </c>
      <c r="DE132" s="1603">
        <v>40.990414232894594</v>
      </c>
      <c r="DF132" s="1603">
        <v>0</v>
      </c>
      <c r="DG132" s="1603">
        <v>0</v>
      </c>
      <c r="DH132" s="1603">
        <v>0</v>
      </c>
      <c r="DI132" s="1603">
        <v>0</v>
      </c>
      <c r="DJ132" s="1603">
        <v>0</v>
      </c>
      <c r="DK132" s="1603">
        <v>0</v>
      </c>
      <c r="DL132" s="1603">
        <v>0</v>
      </c>
      <c r="DM132" s="1603">
        <v>0</v>
      </c>
      <c r="DN132" s="1603">
        <v>0</v>
      </c>
      <c r="DO132" s="1603">
        <v>0</v>
      </c>
      <c r="DP132" s="1603">
        <v>0</v>
      </c>
      <c r="DQ132" s="1603">
        <v>0</v>
      </c>
      <c r="DR132" s="1603">
        <v>0</v>
      </c>
      <c r="DS132" s="1603">
        <v>0</v>
      </c>
      <c r="DT132" s="1603">
        <v>0</v>
      </c>
      <c r="DU132" s="1603">
        <v>0</v>
      </c>
      <c r="DV132" s="1603">
        <v>0</v>
      </c>
      <c r="DW132" s="1618" t="s">
        <v>3450</v>
      </c>
      <c r="DX132" s="1605">
        <v>15</v>
      </c>
      <c r="DY132" s="1605">
        <v>15</v>
      </c>
      <c r="DZ132" s="1605">
        <v>15</v>
      </c>
      <c r="EA132" s="1605">
        <v>15</v>
      </c>
      <c r="EB132" s="1605" t="s">
        <v>986</v>
      </c>
      <c r="EC132" s="1605">
        <v>5</v>
      </c>
      <c r="ED132" s="1605">
        <v>5</v>
      </c>
      <c r="EE132" s="1605">
        <v>5</v>
      </c>
      <c r="EF132" s="1605">
        <v>5</v>
      </c>
      <c r="EG132" s="1605">
        <v>5</v>
      </c>
      <c r="EH132" s="1605">
        <v>15</v>
      </c>
      <c r="EI132" s="1605">
        <v>15</v>
      </c>
      <c r="EJ132" s="1605">
        <v>15</v>
      </c>
      <c r="EK132" s="1605">
        <v>15</v>
      </c>
      <c r="EL132" s="1605">
        <v>15</v>
      </c>
      <c r="EM132" s="1605">
        <v>15</v>
      </c>
      <c r="EN132" s="1605">
        <v>15</v>
      </c>
      <c r="EO132" s="1605">
        <v>15</v>
      </c>
      <c r="EP132" s="1605">
        <v>15</v>
      </c>
      <c r="EQ132" s="1605">
        <v>15</v>
      </c>
      <c r="ER132" s="1605">
        <v>15</v>
      </c>
      <c r="ES132" s="1605">
        <v>15</v>
      </c>
      <c r="ET132" s="1605">
        <v>15</v>
      </c>
      <c r="EU132" s="1605">
        <v>15</v>
      </c>
      <c r="EV132" s="1605" t="s">
        <v>986</v>
      </c>
      <c r="EW132" s="1605">
        <v>15</v>
      </c>
      <c r="EX132" s="1605">
        <v>15</v>
      </c>
      <c r="EY132" s="1605" t="s">
        <v>986</v>
      </c>
      <c r="EZ132" s="1605">
        <v>15</v>
      </c>
      <c r="FA132" s="1605">
        <v>15</v>
      </c>
      <c r="FB132" s="1605">
        <v>15</v>
      </c>
      <c r="FC132" s="1605">
        <v>15</v>
      </c>
      <c r="FD132" s="1605" t="s">
        <v>986</v>
      </c>
      <c r="FE132" s="1605" t="s">
        <v>986</v>
      </c>
      <c r="FF132" s="1605">
        <v>0.6</v>
      </c>
      <c r="FG132" s="1605">
        <v>0.9</v>
      </c>
      <c r="FH132" s="1605">
        <v>0.9</v>
      </c>
      <c r="FI132" s="1605">
        <v>0.1</v>
      </c>
      <c r="FJ132" s="1605" t="s">
        <v>986</v>
      </c>
      <c r="FK132" s="1605" t="s">
        <v>986</v>
      </c>
      <c r="FL132" s="1605" t="s">
        <v>986</v>
      </c>
      <c r="FM132" s="1605" t="s">
        <v>986</v>
      </c>
      <c r="FN132" s="1605">
        <v>1.97</v>
      </c>
      <c r="FO132" s="1605">
        <v>1.89</v>
      </c>
      <c r="FP132" s="1605">
        <v>2.33</v>
      </c>
      <c r="FQ132" s="1605">
        <v>0.75</v>
      </c>
      <c r="FR132" s="1605">
        <v>0.33</v>
      </c>
      <c r="FS132" s="1605">
        <v>1.41</v>
      </c>
      <c r="FT132" s="1605">
        <v>0.5</v>
      </c>
      <c r="FU132" s="1605">
        <v>1.65</v>
      </c>
      <c r="FV132" s="1605">
        <v>2.5</v>
      </c>
      <c r="FW132" s="1605">
        <v>0.76</v>
      </c>
      <c r="FX132" s="1605">
        <v>1.34</v>
      </c>
      <c r="FY132" s="1605">
        <v>1.18</v>
      </c>
      <c r="FZ132" s="1605">
        <v>1.29</v>
      </c>
      <c r="GA132" s="1605">
        <v>0.16</v>
      </c>
      <c r="GB132" s="1605">
        <v>0.57999999999999996</v>
      </c>
      <c r="GC132" s="1605">
        <v>0.08</v>
      </c>
      <c r="GD132" s="1605" t="s">
        <v>986</v>
      </c>
      <c r="GE132" s="1605">
        <v>1.1000000000000001</v>
      </c>
      <c r="GF132" s="1605">
        <v>0.05</v>
      </c>
      <c r="GG132" s="1605" t="s">
        <v>986</v>
      </c>
      <c r="GH132" s="1605">
        <v>10.28</v>
      </c>
      <c r="GI132" s="1605">
        <v>5.03</v>
      </c>
      <c r="GJ132" s="1605">
        <v>0.04</v>
      </c>
      <c r="GK132" s="1605">
        <v>3.21</v>
      </c>
      <c r="GL132" s="1605" t="s">
        <v>986</v>
      </c>
      <c r="GM132" s="1605" t="s">
        <v>986</v>
      </c>
      <c r="GN132" s="1605" t="s">
        <v>2217</v>
      </c>
      <c r="GO132" s="1605" t="s">
        <v>2217</v>
      </c>
      <c r="GP132" s="1605" t="s">
        <v>2217</v>
      </c>
      <c r="GQ132" s="1605" t="s">
        <v>2217</v>
      </c>
      <c r="GR132" s="1605" t="s">
        <v>986</v>
      </c>
      <c r="GS132" s="1605" t="s">
        <v>2217</v>
      </c>
      <c r="GT132" s="1605" t="s">
        <v>2217</v>
      </c>
      <c r="GU132" s="1605" t="s">
        <v>2217</v>
      </c>
      <c r="GV132" s="1605" t="s">
        <v>2217</v>
      </c>
      <c r="GW132" s="1605" t="s">
        <v>2217</v>
      </c>
      <c r="GX132" s="1605" t="s">
        <v>2217</v>
      </c>
      <c r="GY132" s="1605" t="s">
        <v>2217</v>
      </c>
      <c r="GZ132" s="1605" t="s">
        <v>2217</v>
      </c>
      <c r="HA132" s="1605" t="s">
        <v>2217</v>
      </c>
      <c r="HB132" s="1605" t="s">
        <v>2217</v>
      </c>
      <c r="HC132" s="1605" t="s">
        <v>2217</v>
      </c>
      <c r="HD132" s="1605" t="s">
        <v>2217</v>
      </c>
      <c r="HE132" s="1605" t="s">
        <v>2217</v>
      </c>
      <c r="HF132" s="1605" t="s">
        <v>2217</v>
      </c>
      <c r="HG132" s="1605" t="s">
        <v>2217</v>
      </c>
      <c r="HH132" s="1605" t="s">
        <v>2217</v>
      </c>
      <c r="HI132" s="1605" t="s">
        <v>2217</v>
      </c>
      <c r="HJ132" s="1605" t="s">
        <v>2217</v>
      </c>
      <c r="HK132" s="1605" t="s">
        <v>2217</v>
      </c>
      <c r="HL132" s="1605" t="s">
        <v>986</v>
      </c>
      <c r="HM132" s="1605" t="s">
        <v>2217</v>
      </c>
      <c r="HN132" s="1605" t="s">
        <v>2217</v>
      </c>
      <c r="HO132" s="1605" t="s">
        <v>986</v>
      </c>
      <c r="HP132" s="1605" t="s">
        <v>2217</v>
      </c>
      <c r="HQ132" s="1605" t="s">
        <v>2217</v>
      </c>
      <c r="HR132" s="1605" t="s">
        <v>2217</v>
      </c>
      <c r="HS132" s="1605" t="s">
        <v>2217</v>
      </c>
      <c r="HT132" s="1605" t="s">
        <v>986</v>
      </c>
      <c r="HU132" s="1605" t="s">
        <v>986</v>
      </c>
      <c r="HV132" s="1617"/>
      <c r="HW132" s="1617" t="s">
        <v>3449</v>
      </c>
      <c r="HX132" s="1617" t="s">
        <v>3448</v>
      </c>
      <c r="HY132" s="1617" t="s">
        <v>3447</v>
      </c>
      <c r="HZ132" s="1603"/>
      <c r="IA132" s="1603"/>
      <c r="IB132" s="1603"/>
      <c r="IC132" s="1603">
        <v>67</v>
      </c>
      <c r="ID132" s="1603">
        <v>67</v>
      </c>
      <c r="IE132" s="1603">
        <v>67</v>
      </c>
      <c r="IF132" s="1603">
        <v>67</v>
      </c>
      <c r="IG132" s="1611" t="s">
        <v>3446</v>
      </c>
      <c r="IH132" s="1616" t="s">
        <v>270</v>
      </c>
      <c r="II132" s="1615" t="s">
        <v>270</v>
      </c>
      <c r="IJ132" s="1613">
        <v>2.772892580287929</v>
      </c>
      <c r="IK132" s="1613">
        <v>2.7715858250276852</v>
      </c>
      <c r="IL132" s="1614">
        <v>2.772892580287929</v>
      </c>
      <c r="IM132" s="1614">
        <v>2.7715858250276852</v>
      </c>
      <c r="IN132" s="1612" t="s">
        <v>270</v>
      </c>
      <c r="IO132" s="1613" t="s">
        <v>270</v>
      </c>
      <c r="IP132" s="1607" t="s">
        <v>270</v>
      </c>
      <c r="IQ132" s="1612" t="s">
        <v>270</v>
      </c>
      <c r="IR132" s="1612" t="s">
        <v>270</v>
      </c>
      <c r="IS132" s="1607">
        <v>2.6988925802879291</v>
      </c>
      <c r="IT132" s="1607">
        <v>2.6975858250276854</v>
      </c>
      <c r="IU132" s="1611">
        <v>1.1074197120708749E-5</v>
      </c>
      <c r="IV132" s="1611">
        <v>1.3964562569213732E-2</v>
      </c>
      <c r="IW132" s="1611">
        <v>3.5769656699889255E-3</v>
      </c>
      <c r="IX132" s="1611">
        <v>3.0011074197120713E-3</v>
      </c>
      <c r="IY132" s="1611">
        <v>3.6101882613510522E-3</v>
      </c>
      <c r="IZ132" s="1611">
        <v>1.7552602436323367E-2</v>
      </c>
      <c r="JA132" s="1611">
        <v>4.5404208194905875E-4</v>
      </c>
      <c r="JB132" s="1611" t="s">
        <v>270</v>
      </c>
      <c r="JC132" s="1611">
        <v>10.196046511627909</v>
      </c>
      <c r="JD132" s="1611">
        <v>0.13413067552602437</v>
      </c>
      <c r="JE132" s="1611" t="s">
        <v>270</v>
      </c>
      <c r="JF132" s="1611">
        <v>6.2458471760797347E-3</v>
      </c>
      <c r="JG132" s="1611">
        <v>5.636533776301218</v>
      </c>
      <c r="JH132" s="1611">
        <v>1.1517165005537099E-3</v>
      </c>
      <c r="JI132" s="1611">
        <v>0.42703211517165007</v>
      </c>
      <c r="JJ132" s="1611" t="s">
        <v>270</v>
      </c>
      <c r="JK132" s="1607">
        <f t="shared" si="10"/>
        <v>7.3999999999999844E-2</v>
      </c>
      <c r="JL132" s="1608" t="s">
        <v>270</v>
      </c>
      <c r="JM132" s="1610" t="s">
        <v>2924</v>
      </c>
      <c r="JN132" s="1608">
        <v>1.3067552602437082E-3</v>
      </c>
      <c r="JO132" s="1609" t="s">
        <v>3445</v>
      </c>
      <c r="JP132" s="1608" t="s">
        <v>270</v>
      </c>
      <c r="JQ132" s="1607">
        <v>202103</v>
      </c>
      <c r="JR132" s="1606">
        <v>433</v>
      </c>
      <c r="JS132" s="1606">
        <v>394</v>
      </c>
      <c r="JT132" s="1606">
        <v>394</v>
      </c>
    </row>
    <row r="133" spans="1:280" ht="15" customHeight="1" x14ac:dyDescent="0.2">
      <c r="A133" s="1626">
        <v>46700</v>
      </c>
      <c r="B133" s="1625">
        <v>467</v>
      </c>
      <c r="C133" s="1624">
        <v>0</v>
      </c>
      <c r="D133" s="1623" t="s">
        <v>3444</v>
      </c>
      <c r="E133" s="1622">
        <v>43025</v>
      </c>
      <c r="F133" s="1620">
        <v>-0.112682926829268</v>
      </c>
      <c r="G133" s="1620">
        <v>-0.108</v>
      </c>
      <c r="H133" s="1621">
        <v>70</v>
      </c>
      <c r="I133" s="1621">
        <v>70</v>
      </c>
      <c r="J133" s="1621">
        <v>0</v>
      </c>
      <c r="K133" s="1620">
        <v>1</v>
      </c>
      <c r="L133" s="1620">
        <v>99</v>
      </c>
      <c r="M133" s="1620">
        <v>0</v>
      </c>
      <c r="N133" s="1620">
        <v>0</v>
      </c>
      <c r="O133" s="1620">
        <v>99</v>
      </c>
      <c r="P133" s="1620">
        <v>0</v>
      </c>
      <c r="Q133" s="1603"/>
      <c r="R133" s="1620">
        <v>0</v>
      </c>
      <c r="S133" s="1620">
        <v>0</v>
      </c>
      <c r="T133" s="1620">
        <v>0</v>
      </c>
      <c r="U133" s="1620">
        <v>0</v>
      </c>
      <c r="V133" s="1620">
        <v>0</v>
      </c>
      <c r="W133" s="1620">
        <v>0</v>
      </c>
      <c r="X133" s="1620"/>
      <c r="Y133" s="1620">
        <v>0</v>
      </c>
      <c r="Z133" s="1620">
        <v>0</v>
      </c>
      <c r="AA133" s="1620">
        <v>0</v>
      </c>
      <c r="AB133" s="1620">
        <v>0</v>
      </c>
      <c r="AC133" s="1620">
        <v>0</v>
      </c>
      <c r="AD133" s="1620">
        <v>0</v>
      </c>
      <c r="AE133" s="1620">
        <v>0</v>
      </c>
      <c r="AF133" s="1620">
        <v>0</v>
      </c>
      <c r="AG133" s="1620">
        <v>808080.80808080803</v>
      </c>
      <c r="AH133" s="1620">
        <v>0</v>
      </c>
      <c r="AI133" s="1620">
        <v>0</v>
      </c>
      <c r="AJ133" s="1620">
        <v>0</v>
      </c>
      <c r="AK133" s="1620">
        <v>0</v>
      </c>
      <c r="AL133" s="1620"/>
      <c r="AM133" s="1620">
        <v>0</v>
      </c>
      <c r="AN133" s="1620">
        <v>0</v>
      </c>
      <c r="AO133" s="1620">
        <v>0</v>
      </c>
      <c r="AP133" s="1620">
        <v>0</v>
      </c>
      <c r="AQ133" s="1620">
        <v>0</v>
      </c>
      <c r="AR133" s="1620">
        <v>0</v>
      </c>
      <c r="AS133" s="1620">
        <v>0</v>
      </c>
      <c r="AT133" s="1620">
        <v>0</v>
      </c>
      <c r="AU133" s="1620">
        <v>0</v>
      </c>
      <c r="AV133" s="1620">
        <v>0</v>
      </c>
      <c r="AW133" s="1620">
        <v>0</v>
      </c>
      <c r="AX133" s="1620"/>
      <c r="AY133" s="1620">
        <v>1</v>
      </c>
      <c r="AZ133" s="1620">
        <v>1</v>
      </c>
      <c r="BA133" s="1620">
        <v>1</v>
      </c>
      <c r="BB133" s="1620">
        <v>1</v>
      </c>
      <c r="BC133" s="1620">
        <v>1</v>
      </c>
      <c r="BD133" s="1620">
        <v>1</v>
      </c>
      <c r="BE133" s="1620">
        <v>1</v>
      </c>
      <c r="BF133" s="1620">
        <v>1</v>
      </c>
      <c r="BG133" s="1620">
        <v>1</v>
      </c>
      <c r="BH133" s="1620">
        <v>1</v>
      </c>
      <c r="BI133" s="1620">
        <v>1</v>
      </c>
      <c r="BJ133" s="1603"/>
      <c r="BK133" s="1620">
        <v>0</v>
      </c>
      <c r="BL133" s="1620">
        <v>0</v>
      </c>
      <c r="BM133" s="1620">
        <v>100</v>
      </c>
      <c r="BN133" s="1620">
        <v>0</v>
      </c>
      <c r="BO133" s="1620"/>
      <c r="BP133" s="1620">
        <v>0</v>
      </c>
      <c r="BQ133" s="1620">
        <v>0</v>
      </c>
      <c r="BR133" s="1620">
        <v>-0.11382113821138182</v>
      </c>
      <c r="BS133" s="1620">
        <v>-0.1090909090909091</v>
      </c>
      <c r="BT133" s="1603"/>
      <c r="BU133" s="1620">
        <v>0</v>
      </c>
      <c r="BV133" s="1620">
        <v>0</v>
      </c>
      <c r="BW133" s="1620">
        <v>0</v>
      </c>
      <c r="BX133" s="1620" t="s">
        <v>270</v>
      </c>
      <c r="BY133" s="1620" t="s">
        <v>270</v>
      </c>
      <c r="BZ133" s="1620" t="s">
        <v>270</v>
      </c>
      <c r="CA133" s="1620" t="s">
        <v>270</v>
      </c>
      <c r="CB133" s="1603"/>
      <c r="CC133" s="1603">
        <v>0</v>
      </c>
      <c r="CD133" s="1603">
        <v>0</v>
      </c>
      <c r="CE133" s="1603">
        <v>0</v>
      </c>
      <c r="CF133" s="1603">
        <v>0</v>
      </c>
      <c r="CG133" s="1603">
        <v>0</v>
      </c>
      <c r="CH133" s="1603">
        <v>0</v>
      </c>
      <c r="CI133" s="1603">
        <v>0</v>
      </c>
      <c r="CJ133" s="1603"/>
      <c r="CK133" s="1603">
        <v>0</v>
      </c>
      <c r="CL133" s="1603">
        <v>799999.99999999988</v>
      </c>
      <c r="CM133" s="1603">
        <v>0</v>
      </c>
      <c r="CN133" s="1603">
        <v>0</v>
      </c>
      <c r="CO133" s="1603">
        <v>0</v>
      </c>
      <c r="CP133" s="1603">
        <v>0</v>
      </c>
      <c r="CQ133" s="1603">
        <v>0</v>
      </c>
      <c r="CR133" s="1603">
        <v>0</v>
      </c>
      <c r="CS133" s="1603">
        <v>0</v>
      </c>
      <c r="CT133" s="1603">
        <v>0</v>
      </c>
      <c r="CU133" s="1603">
        <v>0</v>
      </c>
      <c r="CV133" s="1603">
        <v>0</v>
      </c>
      <c r="CW133" s="1603">
        <v>0</v>
      </c>
      <c r="CX133" s="1603">
        <v>0</v>
      </c>
      <c r="CY133" s="1603">
        <v>0</v>
      </c>
      <c r="CZ133" s="1603">
        <v>0</v>
      </c>
      <c r="DA133" s="1603">
        <v>0</v>
      </c>
      <c r="DB133" s="1603">
        <v>0</v>
      </c>
      <c r="DC133" s="1603">
        <v>0</v>
      </c>
      <c r="DD133" s="1603">
        <v>0</v>
      </c>
      <c r="DE133" s="1603">
        <v>0</v>
      </c>
      <c r="DF133" s="1603">
        <v>0</v>
      </c>
      <c r="DG133" s="1603">
        <v>0</v>
      </c>
      <c r="DH133" s="1603">
        <v>0</v>
      </c>
      <c r="DI133" s="1603">
        <v>0</v>
      </c>
      <c r="DJ133" s="1603">
        <v>0</v>
      </c>
      <c r="DK133" s="1603">
        <v>0</v>
      </c>
      <c r="DL133" s="1603">
        <v>0</v>
      </c>
      <c r="DM133" s="1603">
        <v>0</v>
      </c>
      <c r="DN133" s="1603">
        <v>0</v>
      </c>
      <c r="DO133" s="1603">
        <v>0</v>
      </c>
      <c r="DP133" s="1603">
        <v>0</v>
      </c>
      <c r="DQ133" s="1603">
        <v>0</v>
      </c>
      <c r="DR133" s="1603">
        <v>0</v>
      </c>
      <c r="DS133" s="1603">
        <v>0</v>
      </c>
      <c r="DT133" s="1603">
        <v>0</v>
      </c>
      <c r="DU133" s="1603">
        <v>0</v>
      </c>
      <c r="DV133" s="1603">
        <v>0</v>
      </c>
      <c r="DW133" s="1618" t="s">
        <v>986</v>
      </c>
      <c r="DX133" s="1605" t="s">
        <v>986</v>
      </c>
      <c r="DY133" s="1605" t="s">
        <v>986</v>
      </c>
      <c r="DZ133" s="1605" t="s">
        <v>986</v>
      </c>
      <c r="EA133" s="1605" t="s">
        <v>986</v>
      </c>
      <c r="EB133" s="1605" t="s">
        <v>986</v>
      </c>
      <c r="EC133" s="1605" t="s">
        <v>986</v>
      </c>
      <c r="ED133" s="1605" t="s">
        <v>986</v>
      </c>
      <c r="EE133" s="1605" t="s">
        <v>986</v>
      </c>
      <c r="EF133" s="1605" t="s">
        <v>986</v>
      </c>
      <c r="EG133" s="1605" t="s">
        <v>986</v>
      </c>
      <c r="EH133" s="1605" t="s">
        <v>986</v>
      </c>
      <c r="EI133" s="1605" t="s">
        <v>986</v>
      </c>
      <c r="EJ133" s="1605" t="s">
        <v>986</v>
      </c>
      <c r="EK133" s="1605" t="s">
        <v>986</v>
      </c>
      <c r="EL133" s="1605" t="s">
        <v>986</v>
      </c>
      <c r="EM133" s="1605" t="s">
        <v>986</v>
      </c>
      <c r="EN133" s="1605" t="s">
        <v>986</v>
      </c>
      <c r="EO133" s="1605" t="s">
        <v>986</v>
      </c>
      <c r="EP133" s="1605" t="s">
        <v>986</v>
      </c>
      <c r="EQ133" s="1605" t="s">
        <v>986</v>
      </c>
      <c r="ER133" s="1605" t="s">
        <v>986</v>
      </c>
      <c r="ES133" s="1605" t="s">
        <v>986</v>
      </c>
      <c r="ET133" s="1605" t="s">
        <v>986</v>
      </c>
      <c r="EU133" s="1605" t="s">
        <v>986</v>
      </c>
      <c r="EV133" s="1605" t="s">
        <v>986</v>
      </c>
      <c r="EW133" s="1605" t="s">
        <v>986</v>
      </c>
      <c r="EX133" s="1605" t="s">
        <v>986</v>
      </c>
      <c r="EY133" s="1605" t="s">
        <v>986</v>
      </c>
      <c r="EZ133" s="1605" t="s">
        <v>986</v>
      </c>
      <c r="FA133" s="1605" t="s">
        <v>986</v>
      </c>
      <c r="FB133" s="1605" t="s">
        <v>986</v>
      </c>
      <c r="FC133" s="1605" t="s">
        <v>986</v>
      </c>
      <c r="FD133" s="1605" t="s">
        <v>986</v>
      </c>
      <c r="FE133" s="1605" t="s">
        <v>986</v>
      </c>
      <c r="FF133" s="1605" t="s">
        <v>986</v>
      </c>
      <c r="FG133" s="1605" t="s">
        <v>986</v>
      </c>
      <c r="FH133" s="1605" t="s">
        <v>986</v>
      </c>
      <c r="FI133" s="1605" t="s">
        <v>986</v>
      </c>
      <c r="FJ133" s="1605" t="s">
        <v>986</v>
      </c>
      <c r="FK133" s="1605" t="s">
        <v>986</v>
      </c>
      <c r="FL133" s="1605" t="s">
        <v>986</v>
      </c>
      <c r="FM133" s="1605" t="s">
        <v>986</v>
      </c>
      <c r="FN133" s="1605" t="s">
        <v>986</v>
      </c>
      <c r="FO133" s="1605" t="s">
        <v>986</v>
      </c>
      <c r="FP133" s="1605" t="s">
        <v>986</v>
      </c>
      <c r="FQ133" s="1605" t="s">
        <v>986</v>
      </c>
      <c r="FR133" s="1605" t="s">
        <v>986</v>
      </c>
      <c r="FS133" s="1605" t="s">
        <v>986</v>
      </c>
      <c r="FT133" s="1605" t="s">
        <v>986</v>
      </c>
      <c r="FU133" s="1605" t="s">
        <v>986</v>
      </c>
      <c r="FV133" s="1605" t="s">
        <v>986</v>
      </c>
      <c r="FW133" s="1605" t="s">
        <v>986</v>
      </c>
      <c r="FX133" s="1605" t="s">
        <v>986</v>
      </c>
      <c r="FY133" s="1605" t="s">
        <v>986</v>
      </c>
      <c r="FZ133" s="1605" t="s">
        <v>986</v>
      </c>
      <c r="GA133" s="1605" t="s">
        <v>986</v>
      </c>
      <c r="GB133" s="1605" t="s">
        <v>986</v>
      </c>
      <c r="GC133" s="1605" t="s">
        <v>986</v>
      </c>
      <c r="GD133" s="1605" t="s">
        <v>986</v>
      </c>
      <c r="GE133" s="1605" t="s">
        <v>986</v>
      </c>
      <c r="GF133" s="1605" t="s">
        <v>986</v>
      </c>
      <c r="GG133" s="1605" t="s">
        <v>986</v>
      </c>
      <c r="GH133" s="1605" t="s">
        <v>986</v>
      </c>
      <c r="GI133" s="1605" t="s">
        <v>986</v>
      </c>
      <c r="GJ133" s="1605" t="s">
        <v>986</v>
      </c>
      <c r="GK133" s="1605" t="s">
        <v>986</v>
      </c>
      <c r="GL133" s="1605" t="s">
        <v>986</v>
      </c>
      <c r="GM133" s="1605" t="s">
        <v>986</v>
      </c>
      <c r="GN133" s="1605" t="s">
        <v>986</v>
      </c>
      <c r="GO133" s="1605" t="s">
        <v>986</v>
      </c>
      <c r="GP133" s="1605" t="s">
        <v>986</v>
      </c>
      <c r="GQ133" s="1605" t="s">
        <v>986</v>
      </c>
      <c r="GR133" s="1605" t="s">
        <v>986</v>
      </c>
      <c r="GS133" s="1605" t="s">
        <v>986</v>
      </c>
      <c r="GT133" s="1605" t="s">
        <v>986</v>
      </c>
      <c r="GU133" s="1605" t="s">
        <v>986</v>
      </c>
      <c r="GV133" s="1605" t="s">
        <v>986</v>
      </c>
      <c r="GW133" s="1605" t="s">
        <v>986</v>
      </c>
      <c r="GX133" s="1605" t="s">
        <v>986</v>
      </c>
      <c r="GY133" s="1605" t="s">
        <v>986</v>
      </c>
      <c r="GZ133" s="1605" t="s">
        <v>986</v>
      </c>
      <c r="HA133" s="1605" t="s">
        <v>986</v>
      </c>
      <c r="HB133" s="1605" t="s">
        <v>986</v>
      </c>
      <c r="HC133" s="1605" t="s">
        <v>986</v>
      </c>
      <c r="HD133" s="1605" t="s">
        <v>986</v>
      </c>
      <c r="HE133" s="1605" t="s">
        <v>986</v>
      </c>
      <c r="HF133" s="1605" t="s">
        <v>986</v>
      </c>
      <c r="HG133" s="1605" t="s">
        <v>986</v>
      </c>
      <c r="HH133" s="1605" t="s">
        <v>986</v>
      </c>
      <c r="HI133" s="1605" t="s">
        <v>986</v>
      </c>
      <c r="HJ133" s="1605" t="s">
        <v>986</v>
      </c>
      <c r="HK133" s="1605" t="s">
        <v>986</v>
      </c>
      <c r="HL133" s="1605" t="s">
        <v>986</v>
      </c>
      <c r="HM133" s="1605" t="s">
        <v>986</v>
      </c>
      <c r="HN133" s="1605" t="s">
        <v>986</v>
      </c>
      <c r="HO133" s="1605" t="s">
        <v>986</v>
      </c>
      <c r="HP133" s="1605" t="s">
        <v>986</v>
      </c>
      <c r="HQ133" s="1605" t="s">
        <v>986</v>
      </c>
      <c r="HR133" s="1605" t="s">
        <v>986</v>
      </c>
      <c r="HS133" s="1605" t="s">
        <v>986</v>
      </c>
      <c r="HT133" s="1605" t="s">
        <v>986</v>
      </c>
      <c r="HU133" s="1605" t="s">
        <v>986</v>
      </c>
      <c r="HV133" s="1617"/>
      <c r="HW133" s="1617">
        <v>0</v>
      </c>
      <c r="HX133" s="1617">
        <v>0</v>
      </c>
      <c r="HY133" s="1617">
        <v>0</v>
      </c>
      <c r="HZ133" s="1603"/>
      <c r="IA133" s="1603"/>
      <c r="IB133" s="1603"/>
      <c r="IC133" s="1603">
        <v>0</v>
      </c>
      <c r="ID133" s="1603">
        <v>0</v>
      </c>
      <c r="IE133" s="1603">
        <v>0</v>
      </c>
      <c r="IF133" s="1603">
        <v>0</v>
      </c>
      <c r="IG133" s="1611" t="s">
        <v>2932</v>
      </c>
      <c r="IH133" s="1616" t="s">
        <v>270</v>
      </c>
      <c r="II133" s="1615" t="s">
        <v>270</v>
      </c>
      <c r="IJ133" s="1613">
        <v>1.3101818181818183</v>
      </c>
      <c r="IK133" s="1613">
        <v>1.301848484848485</v>
      </c>
      <c r="IL133" s="1614">
        <v>1.3101818181818183</v>
      </c>
      <c r="IM133" s="1614">
        <v>1.301848484848485</v>
      </c>
      <c r="IN133" s="1612" t="s">
        <v>270</v>
      </c>
      <c r="IO133" s="1613" t="s">
        <v>270</v>
      </c>
      <c r="IP133" s="1607" t="s">
        <v>270</v>
      </c>
      <c r="IQ133" s="1612" t="s">
        <v>270</v>
      </c>
      <c r="IR133" s="1612" t="s">
        <v>270</v>
      </c>
      <c r="IS133" s="1607">
        <v>1.1881818181818182</v>
      </c>
      <c r="IT133" s="1607">
        <v>1.1798484848484849</v>
      </c>
      <c r="IU133" s="1611">
        <v>0</v>
      </c>
      <c r="IV133" s="1611">
        <v>7.7767676767676763E-2</v>
      </c>
      <c r="IW133" s="1611">
        <v>9.0909090909090909E-4</v>
      </c>
      <c r="IX133" s="1611">
        <v>1.6060606060606061E-3</v>
      </c>
      <c r="IY133" s="1611">
        <v>9.6969696969696957E-4</v>
      </c>
      <c r="IZ133" s="1611">
        <v>5.9898989898989896E-3</v>
      </c>
      <c r="JA133" s="1611">
        <v>6.0606060606060598E-5</v>
      </c>
      <c r="JB133" s="1611" t="s">
        <v>270</v>
      </c>
      <c r="JC133" s="1611">
        <v>9.9026969696969704</v>
      </c>
      <c r="JD133" s="1611">
        <v>5.2121212121212122E-3</v>
      </c>
      <c r="JE133" s="1611" t="s">
        <v>270</v>
      </c>
      <c r="JF133" s="1611">
        <v>8.2828282828282835E-4</v>
      </c>
      <c r="JG133" s="1611">
        <v>0.57978787878787885</v>
      </c>
      <c r="JH133" s="1611">
        <v>7.646464646464647E-3</v>
      </c>
      <c r="JI133" s="1611">
        <v>0.3</v>
      </c>
      <c r="JJ133" s="1611" t="s">
        <v>270</v>
      </c>
      <c r="JK133" s="1607">
        <f t="shared" si="10"/>
        <v>0.12200000000000011</v>
      </c>
      <c r="JL133" s="1608" t="s">
        <v>270</v>
      </c>
      <c r="JM133" s="1610" t="s">
        <v>2924</v>
      </c>
      <c r="JN133" s="1608">
        <v>8.3333333333333037E-3</v>
      </c>
      <c r="JO133" s="1609" t="s">
        <v>2931</v>
      </c>
      <c r="JP133" s="1608" t="s">
        <v>270</v>
      </c>
      <c r="JQ133" s="1607">
        <v>202103</v>
      </c>
      <c r="JR133" s="1606">
        <v>851</v>
      </c>
      <c r="JS133" s="1606">
        <v>774</v>
      </c>
      <c r="JT133" s="1606">
        <v>774</v>
      </c>
    </row>
    <row r="134" spans="1:280" ht="15" customHeight="1" x14ac:dyDescent="0.2">
      <c r="A134" s="1626">
        <v>46800</v>
      </c>
      <c r="B134" s="1625">
        <v>468</v>
      </c>
      <c r="C134" s="1624">
        <v>0</v>
      </c>
      <c r="D134" s="1623" t="s">
        <v>3443</v>
      </c>
      <c r="E134" s="1622">
        <v>43025</v>
      </c>
      <c r="F134" s="1620">
        <v>-0.112682926829268</v>
      </c>
      <c r="G134" s="1620">
        <v>-0.108</v>
      </c>
      <c r="H134" s="1621">
        <v>70</v>
      </c>
      <c r="I134" s="1621">
        <v>70</v>
      </c>
      <c r="J134" s="1621">
        <v>0</v>
      </c>
      <c r="K134" s="1620">
        <v>1</v>
      </c>
      <c r="L134" s="1620">
        <v>99</v>
      </c>
      <c r="M134" s="1620">
        <v>0</v>
      </c>
      <c r="N134" s="1620">
        <v>0</v>
      </c>
      <c r="O134" s="1620">
        <v>99</v>
      </c>
      <c r="P134" s="1620">
        <v>0</v>
      </c>
      <c r="Q134" s="1603"/>
      <c r="R134" s="1620">
        <v>0</v>
      </c>
      <c r="S134" s="1620">
        <v>0</v>
      </c>
      <c r="T134" s="1620">
        <v>0</v>
      </c>
      <c r="U134" s="1620">
        <v>0</v>
      </c>
      <c r="V134" s="1620">
        <v>0</v>
      </c>
      <c r="W134" s="1620">
        <v>0</v>
      </c>
      <c r="X134" s="1620"/>
      <c r="Y134" s="1620">
        <v>0</v>
      </c>
      <c r="Z134" s="1620">
        <v>0</v>
      </c>
      <c r="AA134" s="1620">
        <v>0</v>
      </c>
      <c r="AB134" s="1620">
        <v>0</v>
      </c>
      <c r="AC134" s="1620">
        <v>0</v>
      </c>
      <c r="AD134" s="1620">
        <v>0</v>
      </c>
      <c r="AE134" s="1620">
        <v>0</v>
      </c>
      <c r="AF134" s="1620">
        <v>0</v>
      </c>
      <c r="AG134" s="1620">
        <v>252525.25252525252</v>
      </c>
      <c r="AH134" s="1620">
        <v>0</v>
      </c>
      <c r="AI134" s="1620">
        <v>0</v>
      </c>
      <c r="AJ134" s="1620">
        <v>0</v>
      </c>
      <c r="AK134" s="1620">
        <v>0</v>
      </c>
      <c r="AL134" s="1620"/>
      <c r="AM134" s="1620">
        <v>0</v>
      </c>
      <c r="AN134" s="1620">
        <v>0</v>
      </c>
      <c r="AO134" s="1620">
        <v>0</v>
      </c>
      <c r="AP134" s="1620">
        <v>0</v>
      </c>
      <c r="AQ134" s="1620">
        <v>0</v>
      </c>
      <c r="AR134" s="1620">
        <v>0</v>
      </c>
      <c r="AS134" s="1620">
        <v>0</v>
      </c>
      <c r="AT134" s="1620">
        <v>0</v>
      </c>
      <c r="AU134" s="1620">
        <v>0</v>
      </c>
      <c r="AV134" s="1620">
        <v>0</v>
      </c>
      <c r="AW134" s="1620">
        <v>0</v>
      </c>
      <c r="AX134" s="1620"/>
      <c r="AY134" s="1620">
        <v>1</v>
      </c>
      <c r="AZ134" s="1620">
        <v>1</v>
      </c>
      <c r="BA134" s="1620">
        <v>1</v>
      </c>
      <c r="BB134" s="1620">
        <v>1</v>
      </c>
      <c r="BC134" s="1620">
        <v>1</v>
      </c>
      <c r="BD134" s="1620">
        <v>1</v>
      </c>
      <c r="BE134" s="1620">
        <v>1</v>
      </c>
      <c r="BF134" s="1620">
        <v>1</v>
      </c>
      <c r="BG134" s="1620">
        <v>1</v>
      </c>
      <c r="BH134" s="1620">
        <v>1</v>
      </c>
      <c r="BI134" s="1620">
        <v>1</v>
      </c>
      <c r="BJ134" s="1603"/>
      <c r="BK134" s="1620">
        <v>0</v>
      </c>
      <c r="BL134" s="1620">
        <v>0</v>
      </c>
      <c r="BM134" s="1620">
        <v>100</v>
      </c>
      <c r="BN134" s="1620">
        <v>0</v>
      </c>
      <c r="BO134" s="1620"/>
      <c r="BP134" s="1620">
        <v>0</v>
      </c>
      <c r="BQ134" s="1620">
        <v>0</v>
      </c>
      <c r="BR134" s="1620">
        <v>-0.11382113821138182</v>
      </c>
      <c r="BS134" s="1620">
        <v>-0.1090909090909091</v>
      </c>
      <c r="BT134" s="1603"/>
      <c r="BU134" s="1620">
        <v>0</v>
      </c>
      <c r="BV134" s="1620">
        <v>0</v>
      </c>
      <c r="BW134" s="1620">
        <v>0</v>
      </c>
      <c r="BX134" s="1620" t="s">
        <v>270</v>
      </c>
      <c r="BY134" s="1620" t="s">
        <v>270</v>
      </c>
      <c r="BZ134" s="1620" t="s">
        <v>270</v>
      </c>
      <c r="CA134" s="1620" t="s">
        <v>270</v>
      </c>
      <c r="CB134" s="1603"/>
      <c r="CC134" s="1603">
        <v>0</v>
      </c>
      <c r="CD134" s="1603">
        <v>0</v>
      </c>
      <c r="CE134" s="1603">
        <v>0</v>
      </c>
      <c r="CF134" s="1603">
        <v>0</v>
      </c>
      <c r="CG134" s="1603">
        <v>0</v>
      </c>
      <c r="CH134" s="1603">
        <v>0</v>
      </c>
      <c r="CI134" s="1603">
        <v>0</v>
      </c>
      <c r="CJ134" s="1603"/>
      <c r="CK134" s="1603">
        <v>0</v>
      </c>
      <c r="CL134" s="1603">
        <v>250000</v>
      </c>
      <c r="CM134" s="1603">
        <v>0</v>
      </c>
      <c r="CN134" s="1603">
        <v>0</v>
      </c>
      <c r="CO134" s="1603">
        <v>0</v>
      </c>
      <c r="CP134" s="1603">
        <v>0</v>
      </c>
      <c r="CQ134" s="1603">
        <v>0</v>
      </c>
      <c r="CR134" s="1603">
        <v>0</v>
      </c>
      <c r="CS134" s="1603">
        <v>0</v>
      </c>
      <c r="CT134" s="1603">
        <v>0</v>
      </c>
      <c r="CU134" s="1603">
        <v>0</v>
      </c>
      <c r="CV134" s="1603">
        <v>0</v>
      </c>
      <c r="CW134" s="1603">
        <v>0</v>
      </c>
      <c r="CX134" s="1603">
        <v>0</v>
      </c>
      <c r="CY134" s="1603">
        <v>0</v>
      </c>
      <c r="CZ134" s="1603">
        <v>0</v>
      </c>
      <c r="DA134" s="1603">
        <v>0</v>
      </c>
      <c r="DB134" s="1603">
        <v>0</v>
      </c>
      <c r="DC134" s="1603">
        <v>0</v>
      </c>
      <c r="DD134" s="1603">
        <v>0</v>
      </c>
      <c r="DE134" s="1603">
        <v>0</v>
      </c>
      <c r="DF134" s="1603">
        <v>0</v>
      </c>
      <c r="DG134" s="1603">
        <v>0</v>
      </c>
      <c r="DH134" s="1603">
        <v>0</v>
      </c>
      <c r="DI134" s="1603">
        <v>0</v>
      </c>
      <c r="DJ134" s="1603">
        <v>0</v>
      </c>
      <c r="DK134" s="1603">
        <v>0</v>
      </c>
      <c r="DL134" s="1603">
        <v>0</v>
      </c>
      <c r="DM134" s="1603">
        <v>0</v>
      </c>
      <c r="DN134" s="1603">
        <v>0</v>
      </c>
      <c r="DO134" s="1603">
        <v>0</v>
      </c>
      <c r="DP134" s="1603">
        <v>0</v>
      </c>
      <c r="DQ134" s="1603">
        <v>0</v>
      </c>
      <c r="DR134" s="1603">
        <v>0</v>
      </c>
      <c r="DS134" s="1603">
        <v>0</v>
      </c>
      <c r="DT134" s="1603">
        <v>0</v>
      </c>
      <c r="DU134" s="1603">
        <v>0</v>
      </c>
      <c r="DV134" s="1603">
        <v>0</v>
      </c>
      <c r="DW134" s="1618" t="s">
        <v>986</v>
      </c>
      <c r="DX134" s="1605" t="s">
        <v>986</v>
      </c>
      <c r="DY134" s="1605" t="s">
        <v>986</v>
      </c>
      <c r="DZ134" s="1605" t="s">
        <v>986</v>
      </c>
      <c r="EA134" s="1605" t="s">
        <v>986</v>
      </c>
      <c r="EB134" s="1605" t="s">
        <v>986</v>
      </c>
      <c r="EC134" s="1605" t="s">
        <v>986</v>
      </c>
      <c r="ED134" s="1605" t="s">
        <v>986</v>
      </c>
      <c r="EE134" s="1605" t="s">
        <v>986</v>
      </c>
      <c r="EF134" s="1605" t="s">
        <v>986</v>
      </c>
      <c r="EG134" s="1605" t="s">
        <v>986</v>
      </c>
      <c r="EH134" s="1605" t="s">
        <v>986</v>
      </c>
      <c r="EI134" s="1605" t="s">
        <v>986</v>
      </c>
      <c r="EJ134" s="1605" t="s">
        <v>986</v>
      </c>
      <c r="EK134" s="1605" t="s">
        <v>986</v>
      </c>
      <c r="EL134" s="1605" t="s">
        <v>986</v>
      </c>
      <c r="EM134" s="1605" t="s">
        <v>986</v>
      </c>
      <c r="EN134" s="1605" t="s">
        <v>986</v>
      </c>
      <c r="EO134" s="1605" t="s">
        <v>986</v>
      </c>
      <c r="EP134" s="1605" t="s">
        <v>986</v>
      </c>
      <c r="EQ134" s="1605" t="s">
        <v>986</v>
      </c>
      <c r="ER134" s="1605" t="s">
        <v>986</v>
      </c>
      <c r="ES134" s="1605" t="s">
        <v>986</v>
      </c>
      <c r="ET134" s="1605" t="s">
        <v>986</v>
      </c>
      <c r="EU134" s="1605" t="s">
        <v>986</v>
      </c>
      <c r="EV134" s="1605" t="s">
        <v>986</v>
      </c>
      <c r="EW134" s="1605" t="s">
        <v>986</v>
      </c>
      <c r="EX134" s="1605" t="s">
        <v>986</v>
      </c>
      <c r="EY134" s="1605" t="s">
        <v>986</v>
      </c>
      <c r="EZ134" s="1605" t="s">
        <v>986</v>
      </c>
      <c r="FA134" s="1605" t="s">
        <v>986</v>
      </c>
      <c r="FB134" s="1605" t="s">
        <v>986</v>
      </c>
      <c r="FC134" s="1605" t="s">
        <v>986</v>
      </c>
      <c r="FD134" s="1605" t="s">
        <v>986</v>
      </c>
      <c r="FE134" s="1605" t="s">
        <v>986</v>
      </c>
      <c r="FF134" s="1605" t="s">
        <v>986</v>
      </c>
      <c r="FG134" s="1605" t="s">
        <v>986</v>
      </c>
      <c r="FH134" s="1605" t="s">
        <v>986</v>
      </c>
      <c r="FI134" s="1605" t="s">
        <v>986</v>
      </c>
      <c r="FJ134" s="1605" t="s">
        <v>986</v>
      </c>
      <c r="FK134" s="1605" t="s">
        <v>986</v>
      </c>
      <c r="FL134" s="1605" t="s">
        <v>986</v>
      </c>
      <c r="FM134" s="1605" t="s">
        <v>986</v>
      </c>
      <c r="FN134" s="1605" t="s">
        <v>986</v>
      </c>
      <c r="FO134" s="1605" t="s">
        <v>986</v>
      </c>
      <c r="FP134" s="1605" t="s">
        <v>986</v>
      </c>
      <c r="FQ134" s="1605" t="s">
        <v>986</v>
      </c>
      <c r="FR134" s="1605" t="s">
        <v>986</v>
      </c>
      <c r="FS134" s="1605" t="s">
        <v>986</v>
      </c>
      <c r="FT134" s="1605" t="s">
        <v>986</v>
      </c>
      <c r="FU134" s="1605" t="s">
        <v>986</v>
      </c>
      <c r="FV134" s="1605" t="s">
        <v>986</v>
      </c>
      <c r="FW134" s="1605" t="s">
        <v>986</v>
      </c>
      <c r="FX134" s="1605" t="s">
        <v>986</v>
      </c>
      <c r="FY134" s="1605" t="s">
        <v>986</v>
      </c>
      <c r="FZ134" s="1605" t="s">
        <v>986</v>
      </c>
      <c r="GA134" s="1605" t="s">
        <v>986</v>
      </c>
      <c r="GB134" s="1605" t="s">
        <v>986</v>
      </c>
      <c r="GC134" s="1605" t="s">
        <v>986</v>
      </c>
      <c r="GD134" s="1605" t="s">
        <v>986</v>
      </c>
      <c r="GE134" s="1605" t="s">
        <v>986</v>
      </c>
      <c r="GF134" s="1605" t="s">
        <v>986</v>
      </c>
      <c r="GG134" s="1605" t="s">
        <v>986</v>
      </c>
      <c r="GH134" s="1605" t="s">
        <v>986</v>
      </c>
      <c r="GI134" s="1605" t="s">
        <v>986</v>
      </c>
      <c r="GJ134" s="1605" t="s">
        <v>986</v>
      </c>
      <c r="GK134" s="1605" t="s">
        <v>986</v>
      </c>
      <c r="GL134" s="1605" t="s">
        <v>986</v>
      </c>
      <c r="GM134" s="1605" t="s">
        <v>986</v>
      </c>
      <c r="GN134" s="1605" t="s">
        <v>986</v>
      </c>
      <c r="GO134" s="1605" t="s">
        <v>986</v>
      </c>
      <c r="GP134" s="1605" t="s">
        <v>986</v>
      </c>
      <c r="GQ134" s="1605" t="s">
        <v>986</v>
      </c>
      <c r="GR134" s="1605" t="s">
        <v>986</v>
      </c>
      <c r="GS134" s="1605" t="s">
        <v>986</v>
      </c>
      <c r="GT134" s="1605" t="s">
        <v>986</v>
      </c>
      <c r="GU134" s="1605" t="s">
        <v>986</v>
      </c>
      <c r="GV134" s="1605" t="s">
        <v>986</v>
      </c>
      <c r="GW134" s="1605" t="s">
        <v>986</v>
      </c>
      <c r="GX134" s="1605" t="s">
        <v>986</v>
      </c>
      <c r="GY134" s="1605" t="s">
        <v>986</v>
      </c>
      <c r="GZ134" s="1605" t="s">
        <v>986</v>
      </c>
      <c r="HA134" s="1605" t="s">
        <v>986</v>
      </c>
      <c r="HB134" s="1605" t="s">
        <v>986</v>
      </c>
      <c r="HC134" s="1605" t="s">
        <v>986</v>
      </c>
      <c r="HD134" s="1605" t="s">
        <v>986</v>
      </c>
      <c r="HE134" s="1605" t="s">
        <v>986</v>
      </c>
      <c r="HF134" s="1605" t="s">
        <v>986</v>
      </c>
      <c r="HG134" s="1605" t="s">
        <v>986</v>
      </c>
      <c r="HH134" s="1605" t="s">
        <v>986</v>
      </c>
      <c r="HI134" s="1605" t="s">
        <v>986</v>
      </c>
      <c r="HJ134" s="1605" t="s">
        <v>986</v>
      </c>
      <c r="HK134" s="1605" t="s">
        <v>986</v>
      </c>
      <c r="HL134" s="1605" t="s">
        <v>986</v>
      </c>
      <c r="HM134" s="1605" t="s">
        <v>986</v>
      </c>
      <c r="HN134" s="1605" t="s">
        <v>986</v>
      </c>
      <c r="HO134" s="1605" t="s">
        <v>986</v>
      </c>
      <c r="HP134" s="1605" t="s">
        <v>986</v>
      </c>
      <c r="HQ134" s="1605" t="s">
        <v>986</v>
      </c>
      <c r="HR134" s="1605" t="s">
        <v>986</v>
      </c>
      <c r="HS134" s="1605" t="s">
        <v>986</v>
      </c>
      <c r="HT134" s="1605" t="s">
        <v>986</v>
      </c>
      <c r="HU134" s="1605" t="s">
        <v>986</v>
      </c>
      <c r="HV134" s="1617"/>
      <c r="HW134" s="1617">
        <v>0</v>
      </c>
      <c r="HX134" s="1617">
        <v>0</v>
      </c>
      <c r="HY134" s="1617">
        <v>0</v>
      </c>
      <c r="HZ134" s="1603"/>
      <c r="IA134" s="1603"/>
      <c r="IB134" s="1603"/>
      <c r="IC134" s="1603">
        <v>0</v>
      </c>
      <c r="ID134" s="1603">
        <v>0</v>
      </c>
      <c r="IE134" s="1603">
        <v>0</v>
      </c>
      <c r="IF134" s="1603">
        <v>0</v>
      </c>
      <c r="IG134" s="1611" t="s">
        <v>2932</v>
      </c>
      <c r="IH134" s="1616" t="s">
        <v>270</v>
      </c>
      <c r="II134" s="1615" t="s">
        <v>270</v>
      </c>
      <c r="IJ134" s="1613">
        <v>1.3101818181818183</v>
      </c>
      <c r="IK134" s="1613">
        <v>1.301848484848485</v>
      </c>
      <c r="IL134" s="1614">
        <v>1.3101818181818183</v>
      </c>
      <c r="IM134" s="1614">
        <v>1.301848484848485</v>
      </c>
      <c r="IN134" s="1612" t="s">
        <v>270</v>
      </c>
      <c r="IO134" s="1613" t="s">
        <v>270</v>
      </c>
      <c r="IP134" s="1607" t="s">
        <v>270</v>
      </c>
      <c r="IQ134" s="1612" t="s">
        <v>270</v>
      </c>
      <c r="IR134" s="1612" t="s">
        <v>270</v>
      </c>
      <c r="IS134" s="1607">
        <v>1.1881818181818182</v>
      </c>
      <c r="IT134" s="1607">
        <v>1.1798484848484849</v>
      </c>
      <c r="IU134" s="1611">
        <v>0</v>
      </c>
      <c r="IV134" s="1611">
        <v>7.7767676767676763E-2</v>
      </c>
      <c r="IW134" s="1611">
        <v>9.0909090909090909E-4</v>
      </c>
      <c r="IX134" s="1611">
        <v>1.6060606060606061E-3</v>
      </c>
      <c r="IY134" s="1611">
        <v>9.6969696969696957E-4</v>
      </c>
      <c r="IZ134" s="1611">
        <v>5.9898989898989896E-3</v>
      </c>
      <c r="JA134" s="1611">
        <v>6.0606060606060598E-5</v>
      </c>
      <c r="JB134" s="1611" t="s">
        <v>270</v>
      </c>
      <c r="JC134" s="1611">
        <v>9.9026969696969704</v>
      </c>
      <c r="JD134" s="1611">
        <v>5.2121212121212122E-3</v>
      </c>
      <c r="JE134" s="1611" t="s">
        <v>270</v>
      </c>
      <c r="JF134" s="1611">
        <v>8.2828282828282835E-4</v>
      </c>
      <c r="JG134" s="1611">
        <v>0.57978787878787885</v>
      </c>
      <c r="JH134" s="1611">
        <v>7.646464646464647E-3</v>
      </c>
      <c r="JI134" s="1611">
        <v>0.3</v>
      </c>
      <c r="JJ134" s="1611" t="s">
        <v>270</v>
      </c>
      <c r="JK134" s="1607">
        <f t="shared" si="10"/>
        <v>0.12200000000000011</v>
      </c>
      <c r="JL134" s="1608" t="s">
        <v>270</v>
      </c>
      <c r="JM134" s="1610" t="s">
        <v>2924</v>
      </c>
      <c r="JN134" s="1608">
        <v>8.3333333333333037E-3</v>
      </c>
      <c r="JO134" s="1609" t="s">
        <v>2931</v>
      </c>
      <c r="JP134" s="1608" t="s">
        <v>270</v>
      </c>
      <c r="JQ134" s="1607">
        <v>202103</v>
      </c>
      <c r="JR134" s="1606">
        <v>851</v>
      </c>
      <c r="JS134" s="1606">
        <v>774</v>
      </c>
      <c r="JT134" s="1606">
        <v>774</v>
      </c>
    </row>
    <row r="135" spans="1:280" ht="15" customHeight="1" x14ac:dyDescent="0.2">
      <c r="A135" s="1626">
        <v>59000</v>
      </c>
      <c r="B135" s="1625">
        <v>590</v>
      </c>
      <c r="C135" s="1624">
        <v>0</v>
      </c>
      <c r="D135" s="1623" t="s">
        <v>3442</v>
      </c>
      <c r="E135" s="1622">
        <v>43025</v>
      </c>
      <c r="F135" s="1620">
        <v>0.91104604223451402</v>
      </c>
      <c r="G135" s="1620">
        <v>0.98957134226747301</v>
      </c>
      <c r="H135" s="1621">
        <v>75.2</v>
      </c>
      <c r="I135" s="1621">
        <v>53</v>
      </c>
      <c r="J135" s="1621">
        <v>85</v>
      </c>
      <c r="K135" s="1620">
        <v>1</v>
      </c>
      <c r="L135" s="1620">
        <v>92.9</v>
      </c>
      <c r="M135" s="1620">
        <v>20.299999837000001</v>
      </c>
      <c r="N135" s="1620">
        <v>12.700000405999999</v>
      </c>
      <c r="O135" s="1620">
        <v>6.3999999120000002</v>
      </c>
      <c r="P135" s="1620">
        <v>11.999999835000001</v>
      </c>
      <c r="Q135" s="1603"/>
      <c r="R135" s="1620">
        <v>68</v>
      </c>
      <c r="S135" s="1620">
        <v>35</v>
      </c>
      <c r="T135" s="1620">
        <v>35</v>
      </c>
      <c r="U135" s="1620">
        <v>35</v>
      </c>
      <c r="V135" s="1620">
        <v>35</v>
      </c>
      <c r="W135" s="1620">
        <v>35</v>
      </c>
      <c r="X135" s="1620"/>
      <c r="Y135" s="1620">
        <v>1.4</v>
      </c>
      <c r="Z135" s="1620">
        <v>5.599999999999989</v>
      </c>
      <c r="AA135" s="1620">
        <v>0.75349999999999895</v>
      </c>
      <c r="AB135" s="1620">
        <v>0</v>
      </c>
      <c r="AC135" s="1620">
        <v>22.927880000000002</v>
      </c>
      <c r="AD135" s="1620">
        <v>3.4</v>
      </c>
      <c r="AE135" s="1620">
        <v>0</v>
      </c>
      <c r="AF135" s="1620">
        <v>356</v>
      </c>
      <c r="AG135" s="1620">
        <v>25</v>
      </c>
      <c r="AH135" s="1620">
        <v>109</v>
      </c>
      <c r="AI135" s="1620">
        <v>57</v>
      </c>
      <c r="AJ135" s="1620">
        <v>0</v>
      </c>
      <c r="AK135" s="1620">
        <v>0.11</v>
      </c>
      <c r="AL135" s="1620"/>
      <c r="AM135" s="1620">
        <v>2.89</v>
      </c>
      <c r="AN135" s="1620">
        <v>1.51</v>
      </c>
      <c r="AO135" s="1620">
        <v>1.59</v>
      </c>
      <c r="AP135" s="1620">
        <v>3.23</v>
      </c>
      <c r="AQ135" s="1620">
        <v>0.83</v>
      </c>
      <c r="AR135" s="1620">
        <v>3.59</v>
      </c>
      <c r="AS135" s="1620">
        <v>6.64</v>
      </c>
      <c r="AT135" s="1620">
        <v>2</v>
      </c>
      <c r="AU135" s="1620">
        <v>4.6500000000000004</v>
      </c>
      <c r="AV135" s="1620">
        <v>2.64</v>
      </c>
      <c r="AW135" s="1620">
        <v>5.26</v>
      </c>
      <c r="AX135" s="1620"/>
      <c r="AY135" s="1620">
        <v>1</v>
      </c>
      <c r="AZ135" s="1620">
        <v>1</v>
      </c>
      <c r="BA135" s="1620">
        <v>1</v>
      </c>
      <c r="BB135" s="1620">
        <v>1</v>
      </c>
      <c r="BC135" s="1620">
        <v>1</v>
      </c>
      <c r="BD135" s="1620">
        <v>1</v>
      </c>
      <c r="BE135" s="1620">
        <v>1</v>
      </c>
      <c r="BF135" s="1620">
        <v>1</v>
      </c>
      <c r="BG135" s="1620">
        <v>1</v>
      </c>
      <c r="BH135" s="1620">
        <v>1</v>
      </c>
      <c r="BI135" s="1620">
        <v>1</v>
      </c>
      <c r="BJ135" s="1603"/>
      <c r="BK135" s="1620">
        <v>21.851452999999999</v>
      </c>
      <c r="BL135" s="1620">
        <v>13.670613999999999</v>
      </c>
      <c r="BM135" s="1620">
        <v>6.8891280000000004</v>
      </c>
      <c r="BN135" s="1620">
        <v>12.917115000000001</v>
      </c>
      <c r="BO135" s="1620"/>
      <c r="BP135" s="1620">
        <v>10</v>
      </c>
      <c r="BQ135" s="1620">
        <v>13.670613999999999</v>
      </c>
      <c r="BR135" s="1620">
        <v>0.98067388830410551</v>
      </c>
      <c r="BS135" s="1620">
        <v>1.0652005837109504</v>
      </c>
      <c r="BT135" s="1603"/>
      <c r="BU135" s="1620">
        <v>931.10871999999995</v>
      </c>
      <c r="BV135" s="1620">
        <v>73.446099568571469</v>
      </c>
      <c r="BW135" s="1620">
        <v>295.29447977142951</v>
      </c>
      <c r="BX135" s="1620" t="s">
        <v>270</v>
      </c>
      <c r="BY135" s="1620" t="s">
        <v>270</v>
      </c>
      <c r="BZ135" s="1620">
        <v>88.079594153657041</v>
      </c>
      <c r="CA135" s="1620">
        <v>401.2514844777707</v>
      </c>
      <c r="CB135" s="1603"/>
      <c r="CC135" s="1603">
        <v>1.3006</v>
      </c>
      <c r="CD135" s="1603">
        <v>5.2023999999999901</v>
      </c>
      <c r="CE135" s="1603">
        <v>0.70000149999999906</v>
      </c>
      <c r="CF135" s="1603">
        <v>0</v>
      </c>
      <c r="CG135" s="1603">
        <v>21.300000520000001</v>
      </c>
      <c r="CH135" s="1603">
        <v>3.1586000000000003</v>
      </c>
      <c r="CI135" s="1603">
        <v>0</v>
      </c>
      <c r="CJ135" s="1603"/>
      <c r="CK135" s="1603">
        <v>330.72399999999999</v>
      </c>
      <c r="CL135" s="1603">
        <v>23.225000000000001</v>
      </c>
      <c r="CM135" s="1603">
        <v>101.26100000000001</v>
      </c>
      <c r="CN135" s="1603">
        <v>52.953000000000003</v>
      </c>
      <c r="CO135" s="1603">
        <v>0</v>
      </c>
      <c r="CP135" s="1603">
        <v>0.10219</v>
      </c>
      <c r="CQ135" s="1603">
        <v>138.03999889159999</v>
      </c>
      <c r="CR135" s="1603">
        <v>151.51813683645514</v>
      </c>
      <c r="CS135" s="1603">
        <v>4.3788741545735537</v>
      </c>
      <c r="CT135" s="1603">
        <v>2.2879238662304728</v>
      </c>
      <c r="CU135" s="1603">
        <v>2.4091383756996372</v>
      </c>
      <c r="CV135" s="1603">
        <v>4.6970622419301096</v>
      </c>
      <c r="CW135" s="1603">
        <v>4.8940358198175016</v>
      </c>
      <c r="CX135" s="1603">
        <v>1.2576005357425779</v>
      </c>
      <c r="CY135" s="1603">
        <v>5.43950111242874</v>
      </c>
      <c r="CZ135" s="1603">
        <v>10.060804285940623</v>
      </c>
      <c r="DA135" s="1603">
        <v>3.0303627367291028</v>
      </c>
      <c r="DB135" s="1603">
        <v>7.0455933628951648</v>
      </c>
      <c r="DC135" s="1603">
        <v>4.0000788124824158</v>
      </c>
      <c r="DD135" s="1603">
        <v>11.045672175377536</v>
      </c>
      <c r="DE135" s="1603">
        <v>7.9698539975975411</v>
      </c>
      <c r="DF135" s="1603">
        <v>0</v>
      </c>
      <c r="DG135" s="1603">
        <v>0</v>
      </c>
      <c r="DH135" s="1603">
        <v>0</v>
      </c>
      <c r="DI135" s="1603">
        <v>0</v>
      </c>
      <c r="DJ135" s="1603">
        <v>0</v>
      </c>
      <c r="DK135" s="1603">
        <v>0</v>
      </c>
      <c r="DL135" s="1603">
        <v>0</v>
      </c>
      <c r="DM135" s="1603">
        <v>0</v>
      </c>
      <c r="DN135" s="1603">
        <v>0</v>
      </c>
      <c r="DO135" s="1603">
        <v>0</v>
      </c>
      <c r="DP135" s="1603">
        <v>0</v>
      </c>
      <c r="DQ135" s="1603">
        <v>0</v>
      </c>
      <c r="DR135" s="1603">
        <v>0</v>
      </c>
      <c r="DS135" s="1603">
        <v>0</v>
      </c>
      <c r="DT135" s="1603">
        <v>0</v>
      </c>
      <c r="DU135" s="1603">
        <v>0</v>
      </c>
      <c r="DV135" s="1603">
        <v>0</v>
      </c>
      <c r="DW135" s="1618" t="s">
        <v>3441</v>
      </c>
      <c r="DX135" s="1605" t="s">
        <v>986</v>
      </c>
      <c r="DY135" s="1605" t="s">
        <v>986</v>
      </c>
      <c r="DZ135" s="1605" t="s">
        <v>986</v>
      </c>
      <c r="EA135" s="1605" t="s">
        <v>986</v>
      </c>
      <c r="EB135" s="1605" t="s">
        <v>986</v>
      </c>
      <c r="EC135" s="1605" t="s">
        <v>986</v>
      </c>
      <c r="ED135" s="1605" t="s">
        <v>986</v>
      </c>
      <c r="EE135" s="1605" t="s">
        <v>986</v>
      </c>
      <c r="EF135" s="1605" t="s">
        <v>986</v>
      </c>
      <c r="EG135" s="1605" t="s">
        <v>986</v>
      </c>
      <c r="EH135" s="1605" t="s">
        <v>986</v>
      </c>
      <c r="EI135" s="1605" t="s">
        <v>986</v>
      </c>
      <c r="EJ135" s="1605" t="s">
        <v>986</v>
      </c>
      <c r="EK135" s="1605" t="s">
        <v>986</v>
      </c>
      <c r="EL135" s="1605" t="s">
        <v>986</v>
      </c>
      <c r="EM135" s="1605" t="s">
        <v>986</v>
      </c>
      <c r="EN135" s="1605" t="s">
        <v>986</v>
      </c>
      <c r="EO135" s="1605" t="s">
        <v>986</v>
      </c>
      <c r="EP135" s="1605" t="s">
        <v>986</v>
      </c>
      <c r="EQ135" s="1605" t="s">
        <v>986</v>
      </c>
      <c r="ER135" s="1605" t="s">
        <v>986</v>
      </c>
      <c r="ES135" s="1605" t="s">
        <v>986</v>
      </c>
      <c r="ET135" s="1605" t="s">
        <v>986</v>
      </c>
      <c r="EU135" s="1605" t="s">
        <v>986</v>
      </c>
      <c r="EV135" s="1605" t="s">
        <v>986</v>
      </c>
      <c r="EW135" s="1605" t="s">
        <v>986</v>
      </c>
      <c r="EX135" s="1605" t="s">
        <v>986</v>
      </c>
      <c r="EY135" s="1605" t="s">
        <v>986</v>
      </c>
      <c r="EZ135" s="1605" t="s">
        <v>986</v>
      </c>
      <c r="FA135" s="1605" t="s">
        <v>986</v>
      </c>
      <c r="FB135" s="1605" t="s">
        <v>986</v>
      </c>
      <c r="FC135" s="1605" t="s">
        <v>986</v>
      </c>
      <c r="FD135" s="1605" t="s">
        <v>986</v>
      </c>
      <c r="FE135" s="1605" t="s">
        <v>986</v>
      </c>
      <c r="FF135" s="1605" t="s">
        <v>986</v>
      </c>
      <c r="FG135" s="1605" t="s">
        <v>986</v>
      </c>
      <c r="FH135" s="1605" t="s">
        <v>986</v>
      </c>
      <c r="FI135" s="1605" t="s">
        <v>986</v>
      </c>
      <c r="FJ135" s="1605" t="s">
        <v>986</v>
      </c>
      <c r="FK135" s="1605" t="s">
        <v>986</v>
      </c>
      <c r="FL135" s="1605" t="s">
        <v>986</v>
      </c>
      <c r="FM135" s="1605" t="s">
        <v>986</v>
      </c>
      <c r="FN135" s="1605" t="s">
        <v>986</v>
      </c>
      <c r="FO135" s="1605" t="s">
        <v>986</v>
      </c>
      <c r="FP135" s="1605" t="s">
        <v>986</v>
      </c>
      <c r="FQ135" s="1605" t="s">
        <v>986</v>
      </c>
      <c r="FR135" s="1605" t="s">
        <v>986</v>
      </c>
      <c r="FS135" s="1605" t="s">
        <v>986</v>
      </c>
      <c r="FT135" s="1605" t="s">
        <v>986</v>
      </c>
      <c r="FU135" s="1605" t="s">
        <v>986</v>
      </c>
      <c r="FV135" s="1605" t="s">
        <v>986</v>
      </c>
      <c r="FW135" s="1605" t="s">
        <v>986</v>
      </c>
      <c r="FX135" s="1605" t="s">
        <v>986</v>
      </c>
      <c r="FY135" s="1605" t="s">
        <v>986</v>
      </c>
      <c r="FZ135" s="1605" t="s">
        <v>986</v>
      </c>
      <c r="GA135" s="1605" t="s">
        <v>986</v>
      </c>
      <c r="GB135" s="1605" t="s">
        <v>986</v>
      </c>
      <c r="GC135" s="1605" t="s">
        <v>986</v>
      </c>
      <c r="GD135" s="1605" t="s">
        <v>986</v>
      </c>
      <c r="GE135" s="1605" t="s">
        <v>986</v>
      </c>
      <c r="GF135" s="1605" t="s">
        <v>986</v>
      </c>
      <c r="GG135" s="1605" t="s">
        <v>986</v>
      </c>
      <c r="GH135" s="1605" t="s">
        <v>986</v>
      </c>
      <c r="GI135" s="1605" t="s">
        <v>986</v>
      </c>
      <c r="GJ135" s="1605" t="s">
        <v>986</v>
      </c>
      <c r="GK135" s="1605" t="s">
        <v>986</v>
      </c>
      <c r="GL135" s="1605" t="s">
        <v>986</v>
      </c>
      <c r="GM135" s="1605" t="s">
        <v>986</v>
      </c>
      <c r="GN135" s="1605" t="s">
        <v>986</v>
      </c>
      <c r="GO135" s="1605" t="s">
        <v>986</v>
      </c>
      <c r="GP135" s="1605" t="s">
        <v>986</v>
      </c>
      <c r="GQ135" s="1605" t="s">
        <v>986</v>
      </c>
      <c r="GR135" s="1605" t="s">
        <v>986</v>
      </c>
      <c r="GS135" s="1605" t="s">
        <v>986</v>
      </c>
      <c r="GT135" s="1605" t="s">
        <v>986</v>
      </c>
      <c r="GU135" s="1605" t="s">
        <v>986</v>
      </c>
      <c r="GV135" s="1605" t="s">
        <v>986</v>
      </c>
      <c r="GW135" s="1605" t="s">
        <v>986</v>
      </c>
      <c r="GX135" s="1605" t="s">
        <v>986</v>
      </c>
      <c r="GY135" s="1605" t="s">
        <v>986</v>
      </c>
      <c r="GZ135" s="1605" t="s">
        <v>986</v>
      </c>
      <c r="HA135" s="1605" t="s">
        <v>986</v>
      </c>
      <c r="HB135" s="1605" t="s">
        <v>986</v>
      </c>
      <c r="HC135" s="1605" t="s">
        <v>986</v>
      </c>
      <c r="HD135" s="1605" t="s">
        <v>986</v>
      </c>
      <c r="HE135" s="1605" t="s">
        <v>986</v>
      </c>
      <c r="HF135" s="1605" t="s">
        <v>986</v>
      </c>
      <c r="HG135" s="1605" t="s">
        <v>986</v>
      </c>
      <c r="HH135" s="1605" t="s">
        <v>986</v>
      </c>
      <c r="HI135" s="1605" t="s">
        <v>986</v>
      </c>
      <c r="HJ135" s="1605" t="s">
        <v>986</v>
      </c>
      <c r="HK135" s="1605" t="s">
        <v>986</v>
      </c>
      <c r="HL135" s="1605" t="s">
        <v>986</v>
      </c>
      <c r="HM135" s="1605" t="s">
        <v>986</v>
      </c>
      <c r="HN135" s="1605" t="s">
        <v>986</v>
      </c>
      <c r="HO135" s="1605" t="s">
        <v>986</v>
      </c>
      <c r="HP135" s="1605" t="s">
        <v>986</v>
      </c>
      <c r="HQ135" s="1605" t="s">
        <v>986</v>
      </c>
      <c r="HR135" s="1605" t="s">
        <v>986</v>
      </c>
      <c r="HS135" s="1605" t="s">
        <v>986</v>
      </c>
      <c r="HT135" s="1605" t="s">
        <v>986</v>
      </c>
      <c r="HU135" s="1605" t="s">
        <v>986</v>
      </c>
      <c r="HV135" s="1617"/>
      <c r="HW135" s="1617" t="s">
        <v>3440</v>
      </c>
      <c r="HX135" s="1617" t="s">
        <v>3439</v>
      </c>
      <c r="HY135" s="1617" t="s">
        <v>3438</v>
      </c>
      <c r="HZ135" s="1603"/>
      <c r="IA135" s="1603"/>
      <c r="IB135" s="1603"/>
      <c r="IC135" s="1603">
        <v>35</v>
      </c>
      <c r="ID135" s="1603">
        <v>35</v>
      </c>
      <c r="IE135" s="1603">
        <v>35</v>
      </c>
      <c r="IF135" s="1603">
        <v>35</v>
      </c>
      <c r="IG135" s="1611" t="s">
        <v>270</v>
      </c>
      <c r="IH135" s="1616" t="s">
        <v>270</v>
      </c>
      <c r="II135" s="1615" t="s">
        <v>270</v>
      </c>
      <c r="IJ135" s="1613">
        <v>0.63600000000000001</v>
      </c>
      <c r="IK135" s="1613">
        <v>0.63600000000000001</v>
      </c>
      <c r="IL135" s="1614">
        <v>0.63600000000000001</v>
      </c>
      <c r="IM135" s="1614">
        <v>0.63600000000000001</v>
      </c>
      <c r="IN135" s="1612">
        <v>0.63600000000000001</v>
      </c>
      <c r="IO135" s="1613">
        <v>0</v>
      </c>
      <c r="IP135" s="1607" t="s">
        <v>270</v>
      </c>
      <c r="IQ135" s="1612" t="s">
        <v>270</v>
      </c>
      <c r="IR135" s="1612" t="s">
        <v>270</v>
      </c>
      <c r="IS135" s="1607" t="s">
        <v>270</v>
      </c>
      <c r="IT135" s="1607" t="s">
        <v>270</v>
      </c>
      <c r="IU135" s="1611" t="s">
        <v>270</v>
      </c>
      <c r="IV135" s="1611" t="s">
        <v>270</v>
      </c>
      <c r="IW135" s="1611" t="s">
        <v>270</v>
      </c>
      <c r="IX135" s="1611" t="s">
        <v>270</v>
      </c>
      <c r="IY135" s="1611" t="s">
        <v>270</v>
      </c>
      <c r="IZ135" s="1611" t="s">
        <v>270</v>
      </c>
      <c r="JA135" s="1611" t="s">
        <v>270</v>
      </c>
      <c r="JB135" s="1611" t="s">
        <v>270</v>
      </c>
      <c r="JC135" s="1611" t="s">
        <v>270</v>
      </c>
      <c r="JD135" s="1611" t="s">
        <v>270</v>
      </c>
      <c r="JE135" s="1611" t="s">
        <v>270</v>
      </c>
      <c r="JF135" s="1611" t="s">
        <v>270</v>
      </c>
      <c r="JG135" s="1611" t="s">
        <v>270</v>
      </c>
      <c r="JH135" s="1611" t="s">
        <v>270</v>
      </c>
      <c r="JI135" s="1611" t="s">
        <v>270</v>
      </c>
      <c r="JJ135" s="1611" t="s">
        <v>270</v>
      </c>
      <c r="JK135" s="1607" t="str">
        <f t="shared" ref="JK135:JK198" si="11">IFERROR(IF( IL135-IS135&gt; 0, IL135-IS135,""),"")</f>
        <v/>
      </c>
      <c r="JL135" s="1608" t="s">
        <v>2946</v>
      </c>
      <c r="JM135" s="1610" t="s">
        <v>2945</v>
      </c>
      <c r="JN135" s="1608" t="s">
        <v>270</v>
      </c>
      <c r="JO135" s="1609" t="s">
        <v>270</v>
      </c>
      <c r="JP135" s="1608">
        <v>0.63600000000000001</v>
      </c>
      <c r="JQ135" s="1607" t="s">
        <v>270</v>
      </c>
      <c r="JR135" s="1606" t="s">
        <v>270</v>
      </c>
      <c r="JS135" s="1606" t="s">
        <v>270</v>
      </c>
      <c r="JT135" s="1606" t="s">
        <v>270</v>
      </c>
    </row>
    <row r="136" spans="1:280" ht="15" customHeight="1" x14ac:dyDescent="0.2">
      <c r="A136" s="1626">
        <v>72000</v>
      </c>
      <c r="B136" s="1625">
        <v>720</v>
      </c>
      <c r="C136" s="1624">
        <v>0</v>
      </c>
      <c r="D136" s="1623" t="s">
        <v>3437</v>
      </c>
      <c r="E136" s="1622">
        <v>40302</v>
      </c>
      <c r="F136" s="1620" t="s">
        <v>270</v>
      </c>
      <c r="G136" s="1620" t="s">
        <v>270</v>
      </c>
      <c r="H136" s="1621" t="s">
        <v>270</v>
      </c>
      <c r="I136" s="1621" t="s">
        <v>270</v>
      </c>
      <c r="J136" s="1621" t="s">
        <v>270</v>
      </c>
      <c r="K136" s="1620" t="s">
        <v>270</v>
      </c>
      <c r="L136" s="1620">
        <v>88</v>
      </c>
      <c r="M136" s="1620" t="s">
        <v>270</v>
      </c>
      <c r="N136" s="1620" t="s">
        <v>270</v>
      </c>
      <c r="O136" s="1620" t="s">
        <v>270</v>
      </c>
      <c r="P136" s="1620" t="s">
        <v>270</v>
      </c>
      <c r="Q136" s="1603"/>
      <c r="R136" s="1620" t="s">
        <v>270</v>
      </c>
      <c r="S136" s="1620" t="s">
        <v>270</v>
      </c>
      <c r="T136" s="1620" t="s">
        <v>270</v>
      </c>
      <c r="U136" s="1620" t="s">
        <v>270</v>
      </c>
      <c r="V136" s="1620" t="s">
        <v>270</v>
      </c>
      <c r="W136" s="1620" t="s">
        <v>270</v>
      </c>
      <c r="X136" s="1620"/>
      <c r="Y136" s="1620" t="s">
        <v>270</v>
      </c>
      <c r="Z136" s="1620" t="s">
        <v>270</v>
      </c>
      <c r="AA136" s="1620">
        <v>0.3</v>
      </c>
      <c r="AB136" s="1620" t="s">
        <v>270</v>
      </c>
      <c r="AC136" s="1620" t="s">
        <v>270</v>
      </c>
      <c r="AD136" s="1620" t="s">
        <v>270</v>
      </c>
      <c r="AE136" s="1620" t="s">
        <v>270</v>
      </c>
      <c r="AF136" s="1620" t="s">
        <v>270</v>
      </c>
      <c r="AG136" s="1620" t="s">
        <v>270</v>
      </c>
      <c r="AH136" s="1620" t="s">
        <v>270</v>
      </c>
      <c r="AI136" s="1620" t="s">
        <v>270</v>
      </c>
      <c r="AJ136" s="1620" t="s">
        <v>270</v>
      </c>
      <c r="AK136" s="1620" t="s">
        <v>270</v>
      </c>
      <c r="AL136" s="1620"/>
      <c r="AM136" s="1620" t="s">
        <v>270</v>
      </c>
      <c r="AN136" s="1620" t="s">
        <v>270</v>
      </c>
      <c r="AO136" s="1620" t="s">
        <v>270</v>
      </c>
      <c r="AP136" s="1620" t="s">
        <v>270</v>
      </c>
      <c r="AQ136" s="1620" t="s">
        <v>270</v>
      </c>
      <c r="AR136" s="1620" t="s">
        <v>270</v>
      </c>
      <c r="AS136" s="1620" t="s">
        <v>270</v>
      </c>
      <c r="AT136" s="1620" t="s">
        <v>270</v>
      </c>
      <c r="AU136" s="1620" t="s">
        <v>270</v>
      </c>
      <c r="AV136" s="1620" t="s">
        <v>270</v>
      </c>
      <c r="AW136" s="1620" t="s">
        <v>270</v>
      </c>
      <c r="AX136" s="1620"/>
      <c r="AY136" s="1620">
        <v>1</v>
      </c>
      <c r="AZ136" s="1620">
        <v>1</v>
      </c>
      <c r="BA136" s="1620">
        <v>1</v>
      </c>
      <c r="BB136" s="1620">
        <v>1</v>
      </c>
      <c r="BC136" s="1620">
        <v>1</v>
      </c>
      <c r="BD136" s="1620">
        <v>1</v>
      </c>
      <c r="BE136" s="1620">
        <v>1</v>
      </c>
      <c r="BF136" s="1620">
        <v>1</v>
      </c>
      <c r="BG136" s="1620">
        <v>1</v>
      </c>
      <c r="BH136" s="1620">
        <v>1</v>
      </c>
      <c r="BI136" s="1620">
        <v>1</v>
      </c>
      <c r="BJ136" s="1603"/>
      <c r="BK136" s="1620" t="s">
        <v>270</v>
      </c>
      <c r="BL136" s="1620" t="s">
        <v>270</v>
      </c>
      <c r="BM136" s="1620" t="s">
        <v>270</v>
      </c>
      <c r="BN136" s="1620" t="s">
        <v>270</v>
      </c>
      <c r="BO136" s="1620"/>
      <c r="BP136" s="1620" t="s">
        <v>270</v>
      </c>
      <c r="BQ136" s="1620" t="s">
        <v>270</v>
      </c>
      <c r="BR136" s="1620" t="s">
        <v>270</v>
      </c>
      <c r="BS136" s="1620" t="s">
        <v>270</v>
      </c>
      <c r="BT136" s="1603"/>
      <c r="BU136" s="1620" t="s">
        <v>270</v>
      </c>
      <c r="BV136" s="1620" t="s">
        <v>270</v>
      </c>
      <c r="BW136" s="1620" t="s">
        <v>270</v>
      </c>
      <c r="BX136" s="1620" t="s">
        <v>270</v>
      </c>
      <c r="BY136" s="1620" t="s">
        <v>270</v>
      </c>
      <c r="BZ136" s="1620" t="s">
        <v>270</v>
      </c>
      <c r="CA136" s="1620" t="s">
        <v>270</v>
      </c>
      <c r="CB136" s="1603"/>
      <c r="CC136" s="1603" t="s">
        <v>270</v>
      </c>
      <c r="CD136" s="1603" t="s">
        <v>270</v>
      </c>
      <c r="CE136" s="1603">
        <v>0.26400000000000001</v>
      </c>
      <c r="CF136" s="1603" t="s">
        <v>270</v>
      </c>
      <c r="CG136" s="1603" t="s">
        <v>270</v>
      </c>
      <c r="CH136" s="1603" t="s">
        <v>270</v>
      </c>
      <c r="CI136" s="1603" t="s">
        <v>270</v>
      </c>
      <c r="CJ136" s="1603"/>
      <c r="CK136" s="1603" t="s">
        <v>270</v>
      </c>
      <c r="CL136" s="1603" t="s">
        <v>270</v>
      </c>
      <c r="CM136" s="1603" t="s">
        <v>270</v>
      </c>
      <c r="CN136" s="1603" t="s">
        <v>270</v>
      </c>
      <c r="CO136" s="1603" t="s">
        <v>270</v>
      </c>
      <c r="CP136" s="1603" t="s">
        <v>270</v>
      </c>
      <c r="CQ136" s="1603" t="s">
        <v>270</v>
      </c>
      <c r="CR136" s="1603" t="s">
        <v>270</v>
      </c>
      <c r="CS136" s="1603" t="s">
        <v>270</v>
      </c>
      <c r="CT136" s="1603" t="s">
        <v>270</v>
      </c>
      <c r="CU136" s="1603" t="s">
        <v>270</v>
      </c>
      <c r="CV136" s="1603" t="s">
        <v>270</v>
      </c>
      <c r="CW136" s="1603" t="s">
        <v>270</v>
      </c>
      <c r="CX136" s="1603" t="s">
        <v>270</v>
      </c>
      <c r="CY136" s="1603" t="s">
        <v>270</v>
      </c>
      <c r="CZ136" s="1603" t="s">
        <v>270</v>
      </c>
      <c r="DA136" s="1603" t="s">
        <v>270</v>
      </c>
      <c r="DB136" s="1603" t="s">
        <v>270</v>
      </c>
      <c r="DC136" s="1603" t="s">
        <v>270</v>
      </c>
      <c r="DD136" s="1603" t="s">
        <v>270</v>
      </c>
      <c r="DE136" s="1603" t="s">
        <v>270</v>
      </c>
      <c r="DF136" s="1603" t="s">
        <v>270</v>
      </c>
      <c r="DG136" s="1603">
        <v>0</v>
      </c>
      <c r="DH136" s="1603">
        <v>0</v>
      </c>
      <c r="DI136" s="1603" t="s">
        <v>270</v>
      </c>
      <c r="DJ136" s="1603" t="s">
        <v>270</v>
      </c>
      <c r="DK136" s="1603" t="s">
        <v>270</v>
      </c>
      <c r="DL136" s="1603" t="s">
        <v>270</v>
      </c>
      <c r="DM136" s="1603" t="s">
        <v>270</v>
      </c>
      <c r="DN136" s="1603" t="s">
        <v>270</v>
      </c>
      <c r="DO136" s="1603" t="s">
        <v>270</v>
      </c>
      <c r="DP136" s="1603" t="s">
        <v>270</v>
      </c>
      <c r="DQ136" s="1603" t="s">
        <v>270</v>
      </c>
      <c r="DR136" s="1603" t="s">
        <v>270</v>
      </c>
      <c r="DS136" s="1603" t="s">
        <v>270</v>
      </c>
      <c r="DT136" s="1603" t="s">
        <v>270</v>
      </c>
      <c r="DU136" s="1603" t="s">
        <v>270</v>
      </c>
      <c r="DV136" s="1603" t="s">
        <v>270</v>
      </c>
      <c r="DW136" s="1618" t="s">
        <v>3436</v>
      </c>
      <c r="DX136" s="1605" t="s">
        <v>986</v>
      </c>
      <c r="DY136" s="1605" t="s">
        <v>986</v>
      </c>
      <c r="DZ136" s="1605" t="s">
        <v>986</v>
      </c>
      <c r="EA136" s="1605" t="s">
        <v>986</v>
      </c>
      <c r="EB136" s="1605" t="s">
        <v>986</v>
      </c>
      <c r="EC136" s="1605" t="s">
        <v>986</v>
      </c>
      <c r="ED136" s="1605" t="s">
        <v>986</v>
      </c>
      <c r="EE136" s="1605" t="s">
        <v>986</v>
      </c>
      <c r="EF136" s="1605" t="s">
        <v>986</v>
      </c>
      <c r="EG136" s="1605" t="s">
        <v>986</v>
      </c>
      <c r="EH136" s="1605" t="s">
        <v>986</v>
      </c>
      <c r="EI136" s="1605" t="s">
        <v>986</v>
      </c>
      <c r="EJ136" s="1605" t="s">
        <v>986</v>
      </c>
      <c r="EK136" s="1605" t="s">
        <v>986</v>
      </c>
      <c r="EL136" s="1605" t="s">
        <v>986</v>
      </c>
      <c r="EM136" s="1605" t="s">
        <v>986</v>
      </c>
      <c r="EN136" s="1605" t="s">
        <v>986</v>
      </c>
      <c r="EO136" s="1605" t="s">
        <v>986</v>
      </c>
      <c r="EP136" s="1605" t="s">
        <v>986</v>
      </c>
      <c r="EQ136" s="1605" t="s">
        <v>986</v>
      </c>
      <c r="ER136" s="1605" t="s">
        <v>986</v>
      </c>
      <c r="ES136" s="1605" t="s">
        <v>986</v>
      </c>
      <c r="ET136" s="1605" t="s">
        <v>986</v>
      </c>
      <c r="EU136" s="1605" t="s">
        <v>986</v>
      </c>
      <c r="EV136" s="1605" t="s">
        <v>986</v>
      </c>
      <c r="EW136" s="1605" t="s">
        <v>986</v>
      </c>
      <c r="EX136" s="1605" t="s">
        <v>986</v>
      </c>
      <c r="EY136" s="1605" t="s">
        <v>986</v>
      </c>
      <c r="EZ136" s="1605" t="s">
        <v>986</v>
      </c>
      <c r="FA136" s="1605" t="s">
        <v>986</v>
      </c>
      <c r="FB136" s="1605" t="s">
        <v>986</v>
      </c>
      <c r="FC136" s="1605" t="s">
        <v>986</v>
      </c>
      <c r="FD136" s="1605" t="s">
        <v>986</v>
      </c>
      <c r="FE136" s="1605" t="s">
        <v>986</v>
      </c>
      <c r="FF136" s="1605" t="s">
        <v>986</v>
      </c>
      <c r="FG136" s="1605" t="s">
        <v>986</v>
      </c>
      <c r="FH136" s="1605" t="s">
        <v>986</v>
      </c>
      <c r="FI136" s="1605" t="s">
        <v>986</v>
      </c>
      <c r="FJ136" s="1605" t="s">
        <v>986</v>
      </c>
      <c r="FK136" s="1605" t="s">
        <v>986</v>
      </c>
      <c r="FL136" s="1605" t="s">
        <v>986</v>
      </c>
      <c r="FM136" s="1605" t="s">
        <v>986</v>
      </c>
      <c r="FN136" s="1605" t="s">
        <v>986</v>
      </c>
      <c r="FO136" s="1605" t="s">
        <v>986</v>
      </c>
      <c r="FP136" s="1605" t="s">
        <v>986</v>
      </c>
      <c r="FQ136" s="1605" t="s">
        <v>986</v>
      </c>
      <c r="FR136" s="1605" t="s">
        <v>986</v>
      </c>
      <c r="FS136" s="1605" t="s">
        <v>986</v>
      </c>
      <c r="FT136" s="1605" t="s">
        <v>986</v>
      </c>
      <c r="FU136" s="1605" t="s">
        <v>986</v>
      </c>
      <c r="FV136" s="1605" t="s">
        <v>986</v>
      </c>
      <c r="FW136" s="1605" t="s">
        <v>986</v>
      </c>
      <c r="FX136" s="1605" t="s">
        <v>986</v>
      </c>
      <c r="FY136" s="1605" t="s">
        <v>986</v>
      </c>
      <c r="FZ136" s="1605" t="s">
        <v>986</v>
      </c>
      <c r="GA136" s="1605" t="s">
        <v>986</v>
      </c>
      <c r="GB136" s="1605" t="s">
        <v>986</v>
      </c>
      <c r="GC136" s="1605" t="s">
        <v>986</v>
      </c>
      <c r="GD136" s="1605" t="s">
        <v>986</v>
      </c>
      <c r="GE136" s="1605" t="s">
        <v>986</v>
      </c>
      <c r="GF136" s="1605" t="s">
        <v>986</v>
      </c>
      <c r="GG136" s="1605" t="s">
        <v>986</v>
      </c>
      <c r="GH136" s="1605" t="s">
        <v>986</v>
      </c>
      <c r="GI136" s="1605" t="s">
        <v>986</v>
      </c>
      <c r="GJ136" s="1605" t="s">
        <v>986</v>
      </c>
      <c r="GK136" s="1605" t="s">
        <v>986</v>
      </c>
      <c r="GL136" s="1605" t="s">
        <v>986</v>
      </c>
      <c r="GM136" s="1605" t="s">
        <v>986</v>
      </c>
      <c r="GN136" s="1605" t="s">
        <v>986</v>
      </c>
      <c r="GO136" s="1605" t="s">
        <v>986</v>
      </c>
      <c r="GP136" s="1605" t="s">
        <v>986</v>
      </c>
      <c r="GQ136" s="1605" t="s">
        <v>986</v>
      </c>
      <c r="GR136" s="1605" t="s">
        <v>986</v>
      </c>
      <c r="GS136" s="1605" t="s">
        <v>986</v>
      </c>
      <c r="GT136" s="1605" t="s">
        <v>986</v>
      </c>
      <c r="GU136" s="1605" t="s">
        <v>986</v>
      </c>
      <c r="GV136" s="1605" t="s">
        <v>986</v>
      </c>
      <c r="GW136" s="1605" t="s">
        <v>986</v>
      </c>
      <c r="GX136" s="1605" t="s">
        <v>986</v>
      </c>
      <c r="GY136" s="1605" t="s">
        <v>986</v>
      </c>
      <c r="GZ136" s="1605" t="s">
        <v>986</v>
      </c>
      <c r="HA136" s="1605" t="s">
        <v>986</v>
      </c>
      <c r="HB136" s="1605" t="s">
        <v>986</v>
      </c>
      <c r="HC136" s="1605" t="s">
        <v>986</v>
      </c>
      <c r="HD136" s="1605" t="s">
        <v>986</v>
      </c>
      <c r="HE136" s="1605" t="s">
        <v>986</v>
      </c>
      <c r="HF136" s="1605" t="s">
        <v>986</v>
      </c>
      <c r="HG136" s="1605" t="s">
        <v>986</v>
      </c>
      <c r="HH136" s="1605" t="s">
        <v>986</v>
      </c>
      <c r="HI136" s="1605" t="s">
        <v>986</v>
      </c>
      <c r="HJ136" s="1605" t="s">
        <v>986</v>
      </c>
      <c r="HK136" s="1605" t="s">
        <v>986</v>
      </c>
      <c r="HL136" s="1605" t="s">
        <v>986</v>
      </c>
      <c r="HM136" s="1605" t="s">
        <v>986</v>
      </c>
      <c r="HN136" s="1605" t="s">
        <v>986</v>
      </c>
      <c r="HO136" s="1605" t="s">
        <v>986</v>
      </c>
      <c r="HP136" s="1605" t="s">
        <v>986</v>
      </c>
      <c r="HQ136" s="1605" t="s">
        <v>986</v>
      </c>
      <c r="HR136" s="1605" t="s">
        <v>986</v>
      </c>
      <c r="HS136" s="1605" t="s">
        <v>986</v>
      </c>
      <c r="HT136" s="1605" t="s">
        <v>986</v>
      </c>
      <c r="HU136" s="1605" t="s">
        <v>986</v>
      </c>
      <c r="HV136" s="1617"/>
      <c r="HW136" s="1617">
        <v>0</v>
      </c>
      <c r="HX136" s="1617">
        <v>0</v>
      </c>
      <c r="HY136" s="1617">
        <v>0</v>
      </c>
      <c r="HZ136" s="1603"/>
      <c r="IA136" s="1603"/>
      <c r="IB136" s="1603"/>
      <c r="IC136" s="1603" t="s">
        <v>270</v>
      </c>
      <c r="ID136" s="1603" t="s">
        <v>270</v>
      </c>
      <c r="IE136" s="1603" t="s">
        <v>270</v>
      </c>
      <c r="IF136" s="1603" t="s">
        <v>270</v>
      </c>
      <c r="IG136" s="1611" t="s">
        <v>270</v>
      </c>
      <c r="IH136" s="1616" t="s">
        <v>3435</v>
      </c>
      <c r="II136" s="1615" t="s">
        <v>3434</v>
      </c>
      <c r="IJ136" s="1613">
        <v>0.63600000000000001</v>
      </c>
      <c r="IK136" s="1613">
        <v>0.63600000000000001</v>
      </c>
      <c r="IL136" s="1614">
        <v>0.63600000000000001</v>
      </c>
      <c r="IM136" s="1614">
        <v>0.63600000000000001</v>
      </c>
      <c r="IN136" s="1612">
        <v>0.63600000000000001</v>
      </c>
      <c r="IO136" s="1613">
        <v>0</v>
      </c>
      <c r="IP136" s="1607" t="s">
        <v>270</v>
      </c>
      <c r="IQ136" s="1612" t="s">
        <v>270</v>
      </c>
      <c r="IR136" s="1612" t="s">
        <v>270</v>
      </c>
      <c r="IS136" s="1607" t="s">
        <v>270</v>
      </c>
      <c r="IT136" s="1607" t="s">
        <v>270</v>
      </c>
      <c r="IU136" s="1611" t="s">
        <v>270</v>
      </c>
      <c r="IV136" s="1611" t="s">
        <v>270</v>
      </c>
      <c r="IW136" s="1611" t="s">
        <v>270</v>
      </c>
      <c r="IX136" s="1611" t="s">
        <v>270</v>
      </c>
      <c r="IY136" s="1611" t="s">
        <v>270</v>
      </c>
      <c r="IZ136" s="1611" t="s">
        <v>270</v>
      </c>
      <c r="JA136" s="1611" t="s">
        <v>270</v>
      </c>
      <c r="JB136" s="1611" t="s">
        <v>270</v>
      </c>
      <c r="JC136" s="1611" t="s">
        <v>270</v>
      </c>
      <c r="JD136" s="1611" t="s">
        <v>270</v>
      </c>
      <c r="JE136" s="1611" t="s">
        <v>270</v>
      </c>
      <c r="JF136" s="1611" t="s">
        <v>270</v>
      </c>
      <c r="JG136" s="1611" t="s">
        <v>270</v>
      </c>
      <c r="JH136" s="1611" t="s">
        <v>270</v>
      </c>
      <c r="JI136" s="1611" t="s">
        <v>270</v>
      </c>
      <c r="JJ136" s="1611" t="s">
        <v>270</v>
      </c>
      <c r="JK136" s="1607" t="str">
        <f t="shared" si="11"/>
        <v/>
      </c>
      <c r="JL136" s="1608" t="s">
        <v>2946</v>
      </c>
      <c r="JM136" s="1610" t="s">
        <v>2945</v>
      </c>
      <c r="JN136" s="1608" t="s">
        <v>270</v>
      </c>
      <c r="JO136" s="1609" t="s">
        <v>270</v>
      </c>
      <c r="JP136" s="1608">
        <v>0.63600000000000001</v>
      </c>
      <c r="JQ136" s="1607" t="s">
        <v>270</v>
      </c>
      <c r="JR136" s="1606" t="s">
        <v>270</v>
      </c>
      <c r="JS136" s="1606" t="s">
        <v>270</v>
      </c>
      <c r="JT136" s="1606" t="s">
        <v>270</v>
      </c>
    </row>
    <row r="137" spans="1:280" ht="15" customHeight="1" x14ac:dyDescent="0.2">
      <c r="A137" s="1626">
        <v>57000</v>
      </c>
      <c r="B137" s="1625">
        <v>570</v>
      </c>
      <c r="C137" s="1624">
        <v>0</v>
      </c>
      <c r="D137" s="1623" t="s">
        <v>3433</v>
      </c>
      <c r="E137" s="1622">
        <v>43776</v>
      </c>
      <c r="F137" s="1620">
        <v>0.907908362601626</v>
      </c>
      <c r="G137" s="1620">
        <v>0.93282683797402599</v>
      </c>
      <c r="H137" s="1621">
        <v>71</v>
      </c>
      <c r="I137" s="1621">
        <v>67.499983999999998</v>
      </c>
      <c r="J137" s="1621">
        <v>83</v>
      </c>
      <c r="K137" s="1620">
        <v>1</v>
      </c>
      <c r="L137" s="1620">
        <v>89.4</v>
      </c>
      <c r="M137" s="1620">
        <v>29.770199999999999</v>
      </c>
      <c r="N137" s="1620">
        <v>7.0625999999999998</v>
      </c>
      <c r="O137" s="1620">
        <v>4.7382</v>
      </c>
      <c r="P137" s="1620">
        <v>6.7050000000000001</v>
      </c>
      <c r="Q137" s="1603"/>
      <c r="R137" s="1620">
        <v>62.583559999999999</v>
      </c>
      <c r="S137" s="1620">
        <v>43</v>
      </c>
      <c r="T137" s="1620">
        <v>49.097560975609802</v>
      </c>
      <c r="U137" s="1620">
        <v>51.536585365853703</v>
      </c>
      <c r="V137" s="1620">
        <v>53.731707317073202</v>
      </c>
      <c r="W137" s="1620">
        <v>55.195121951219498</v>
      </c>
      <c r="X137" s="1620"/>
      <c r="Y137" s="1620">
        <v>1.0999999999999999</v>
      </c>
      <c r="Z137" s="1620">
        <v>8.1999999999999993</v>
      </c>
      <c r="AA137" s="1620">
        <v>3.984504703929161</v>
      </c>
      <c r="AB137" s="1620">
        <v>0</v>
      </c>
      <c r="AC137" s="1620">
        <v>9.8505810736026618</v>
      </c>
      <c r="AD137" s="1620">
        <v>2.8998339789706709</v>
      </c>
      <c r="AE137" s="1620">
        <v>0</v>
      </c>
      <c r="AF137" s="1620">
        <v>113.38129496402907</v>
      </c>
      <c r="AG137" s="1620">
        <v>11.765356945213085</v>
      </c>
      <c r="AH137" s="1620">
        <v>64.814609850581093</v>
      </c>
      <c r="AI137" s="1620">
        <v>72.307692307692278</v>
      </c>
      <c r="AJ137" s="1620">
        <v>0</v>
      </c>
      <c r="AK137" s="1620">
        <v>4.9999999999999996E-2</v>
      </c>
      <c r="AL137" s="1620"/>
      <c r="AM137" s="1620">
        <v>1.9327456741756399</v>
      </c>
      <c r="AN137" s="1620">
        <v>1.5638263140711699</v>
      </c>
      <c r="AO137" s="1620">
        <v>1.8641854391119801</v>
      </c>
      <c r="AP137" s="1620">
        <v>3.02317988899771</v>
      </c>
      <c r="AQ137" s="1620">
        <v>1.1394058112961101</v>
      </c>
      <c r="AR137" s="1620">
        <v>3.1929480901077301</v>
      </c>
      <c r="AS137" s="1620">
        <v>5.9092393078681003</v>
      </c>
      <c r="AT137" s="1620">
        <v>2.01436500163239</v>
      </c>
      <c r="AU137" s="1620">
        <v>4.2442050277505698</v>
      </c>
      <c r="AV137" s="1620">
        <v>2.8207639569049898</v>
      </c>
      <c r="AW137" s="1620">
        <v>3.8850799869408998</v>
      </c>
      <c r="AX137" s="1620"/>
      <c r="AY137" s="1620">
        <v>1</v>
      </c>
      <c r="AZ137" s="1620">
        <v>1.1000000000000001</v>
      </c>
      <c r="BA137" s="1620">
        <v>1.04</v>
      </c>
      <c r="BB137" s="1620">
        <v>1.03</v>
      </c>
      <c r="BC137" s="1620">
        <v>1.04</v>
      </c>
      <c r="BD137" s="1620">
        <v>1.07</v>
      </c>
      <c r="BE137" s="1620">
        <v>1.08</v>
      </c>
      <c r="BF137" s="1620">
        <v>1.1499999999999999</v>
      </c>
      <c r="BG137" s="1620">
        <v>1.1299999999999999</v>
      </c>
      <c r="BH137" s="1620">
        <v>1.1399999999999999</v>
      </c>
      <c r="BI137" s="1620">
        <v>1.04</v>
      </c>
      <c r="BJ137" s="1603"/>
      <c r="BK137" s="1620">
        <v>33.299999999999997</v>
      </c>
      <c r="BL137" s="1620">
        <v>7.8999999999999995</v>
      </c>
      <c r="BM137" s="1620">
        <v>5.3</v>
      </c>
      <c r="BN137" s="1620">
        <v>7.4999999999999991</v>
      </c>
      <c r="BO137" s="1620"/>
      <c r="BP137" s="1620">
        <v>105</v>
      </c>
      <c r="BQ137" s="1620">
        <v>82.95</v>
      </c>
      <c r="BR137" s="1620">
        <v>1.0155574525745257</v>
      </c>
      <c r="BS137" s="1620">
        <v>1.0434304675324675</v>
      </c>
      <c r="BT137" s="1603"/>
      <c r="BU137" s="1620">
        <v>947</v>
      </c>
      <c r="BV137" s="1620">
        <v>245.35999999999999</v>
      </c>
      <c r="BW137" s="1620">
        <v>47.350216457142828</v>
      </c>
      <c r="BX137" s="1620">
        <v>35</v>
      </c>
      <c r="BY137" s="1620" t="s">
        <v>270</v>
      </c>
      <c r="BZ137" s="1620">
        <v>15.78</v>
      </c>
      <c r="CA137" s="1620">
        <v>247.22</v>
      </c>
      <c r="CB137" s="1603"/>
      <c r="CC137" s="1603">
        <v>0.98339999999999994</v>
      </c>
      <c r="CD137" s="1603">
        <v>7.3307999999999991</v>
      </c>
      <c r="CE137" s="1603">
        <v>3.5621472053126699</v>
      </c>
      <c r="CF137" s="1603">
        <v>0</v>
      </c>
      <c r="CG137" s="1603">
        <v>8.8064194798007804</v>
      </c>
      <c r="CH137" s="1603">
        <v>2.5924515771997796</v>
      </c>
      <c r="CI137" s="1603">
        <v>0</v>
      </c>
      <c r="CJ137" s="1603"/>
      <c r="CK137" s="1603">
        <v>101.36287769784198</v>
      </c>
      <c r="CL137" s="1603">
        <v>10.518229109020499</v>
      </c>
      <c r="CM137" s="1603">
        <v>57.944261206419498</v>
      </c>
      <c r="CN137" s="1603">
        <v>64.643076923076904</v>
      </c>
      <c r="CO137" s="1603">
        <v>0</v>
      </c>
      <c r="CP137" s="1603">
        <v>4.4699999999999997E-2</v>
      </c>
      <c r="CQ137" s="1603">
        <v>186.3125097912</v>
      </c>
      <c r="CR137" s="1603">
        <v>205.21069908125807</v>
      </c>
      <c r="CS137" s="1603">
        <v>3.9662009094386006</v>
      </c>
      <c r="CT137" s="1603">
        <v>3.5300528026743283</v>
      </c>
      <c r="CU137" s="1603">
        <v>3.9785282906436255</v>
      </c>
      <c r="CV137" s="1603">
        <v>7.5085810933179538</v>
      </c>
      <c r="CW137" s="1603">
        <v>6.3900052422370868</v>
      </c>
      <c r="CX137" s="1603">
        <v>2.4317099359625574</v>
      </c>
      <c r="CY137" s="1603">
        <v>7.0109300738025722</v>
      </c>
      <c r="CZ137" s="1603">
        <v>13.096502597585507</v>
      </c>
      <c r="DA137" s="1603">
        <v>4.7537463771827255</v>
      </c>
      <c r="DB137" s="1603">
        <v>9.8418059729143934</v>
      </c>
      <c r="DC137" s="1603">
        <v>6.598900756352446</v>
      </c>
      <c r="DD137" s="1603">
        <v>16.44070672926685</v>
      </c>
      <c r="DE137" s="1603">
        <v>8.2915037931101647</v>
      </c>
      <c r="DF137" s="1603">
        <v>0</v>
      </c>
      <c r="DG137" s="1603">
        <v>0</v>
      </c>
      <c r="DH137" s="1603">
        <v>0</v>
      </c>
      <c r="DI137" s="1603">
        <v>0</v>
      </c>
      <c r="DJ137" s="1603">
        <v>0</v>
      </c>
      <c r="DK137" s="1603">
        <v>0</v>
      </c>
      <c r="DL137" s="1603">
        <v>0</v>
      </c>
      <c r="DM137" s="1603">
        <v>0</v>
      </c>
      <c r="DN137" s="1603">
        <v>0</v>
      </c>
      <c r="DO137" s="1603">
        <v>0</v>
      </c>
      <c r="DP137" s="1603">
        <v>0</v>
      </c>
      <c r="DQ137" s="1603">
        <v>0</v>
      </c>
      <c r="DR137" s="1603">
        <v>0</v>
      </c>
      <c r="DS137" s="1603">
        <v>0</v>
      </c>
      <c r="DT137" s="1603">
        <v>0</v>
      </c>
      <c r="DU137" s="1603">
        <v>0</v>
      </c>
      <c r="DV137" s="1603">
        <v>0</v>
      </c>
      <c r="DW137" s="1618" t="s">
        <v>3432</v>
      </c>
      <c r="DX137" s="1605">
        <v>38</v>
      </c>
      <c r="DY137" s="1605">
        <v>38</v>
      </c>
      <c r="DZ137" s="1605">
        <v>38</v>
      </c>
      <c r="EA137" s="1605">
        <v>38</v>
      </c>
      <c r="EB137" s="1605">
        <v>38</v>
      </c>
      <c r="EC137" s="1605">
        <v>38</v>
      </c>
      <c r="ED137" s="1605">
        <v>38</v>
      </c>
      <c r="EE137" s="1605">
        <v>38</v>
      </c>
      <c r="EF137" s="1605">
        <v>38</v>
      </c>
      <c r="EG137" s="1605">
        <v>38</v>
      </c>
      <c r="EH137" s="1605" t="s">
        <v>986</v>
      </c>
      <c r="EI137" s="1605" t="s">
        <v>986</v>
      </c>
      <c r="EJ137" s="1605" t="s">
        <v>986</v>
      </c>
      <c r="EK137" s="1605" t="s">
        <v>986</v>
      </c>
      <c r="EL137" s="1605" t="s">
        <v>986</v>
      </c>
      <c r="EM137" s="1605" t="s">
        <v>986</v>
      </c>
      <c r="EN137" s="1605" t="s">
        <v>986</v>
      </c>
      <c r="EO137" s="1605" t="s">
        <v>986</v>
      </c>
      <c r="EP137" s="1605" t="s">
        <v>986</v>
      </c>
      <c r="EQ137" s="1605" t="s">
        <v>986</v>
      </c>
      <c r="ER137" s="1605" t="s">
        <v>986</v>
      </c>
      <c r="ES137" s="1605">
        <v>5</v>
      </c>
      <c r="ET137" s="1605">
        <v>5</v>
      </c>
      <c r="EU137" s="1605">
        <v>12</v>
      </c>
      <c r="EV137" s="1605" t="s">
        <v>986</v>
      </c>
      <c r="EW137" s="1605">
        <v>9</v>
      </c>
      <c r="EX137" s="1605">
        <v>13</v>
      </c>
      <c r="EY137" s="1605" t="s">
        <v>986</v>
      </c>
      <c r="EZ137" s="1605">
        <v>9</v>
      </c>
      <c r="FA137" s="1605">
        <v>8</v>
      </c>
      <c r="FB137" s="1605">
        <v>9</v>
      </c>
      <c r="FC137" s="1605">
        <v>9</v>
      </c>
      <c r="FD137" s="1605" t="s">
        <v>986</v>
      </c>
      <c r="FE137" s="1605" t="s">
        <v>986</v>
      </c>
      <c r="FF137" s="1605">
        <v>0.9</v>
      </c>
      <c r="FG137" s="1605">
        <v>1.1000000000000001</v>
      </c>
      <c r="FH137" s="1605">
        <v>0.6</v>
      </c>
      <c r="FI137" s="1605">
        <v>0.3</v>
      </c>
      <c r="FJ137" s="1605">
        <v>0.5</v>
      </c>
      <c r="FK137" s="1605">
        <v>1.3</v>
      </c>
      <c r="FL137" s="1605">
        <v>1.8</v>
      </c>
      <c r="FM137" s="1605">
        <v>1.3</v>
      </c>
      <c r="FN137" s="1605">
        <v>2.5</v>
      </c>
      <c r="FO137" s="1605">
        <v>2</v>
      </c>
      <c r="FP137" s="1605">
        <v>0.62</v>
      </c>
      <c r="FQ137" s="1605">
        <v>0.63</v>
      </c>
      <c r="FR137" s="1605">
        <v>0.54</v>
      </c>
      <c r="FS137" s="1605">
        <v>1.08</v>
      </c>
      <c r="FT137" s="1605">
        <v>1.18</v>
      </c>
      <c r="FU137" s="1605">
        <v>2.4300000000000002</v>
      </c>
      <c r="FV137" s="1605">
        <v>6.56</v>
      </c>
      <c r="FW137" s="1605">
        <v>0.63</v>
      </c>
      <c r="FX137" s="1605">
        <v>4.01</v>
      </c>
      <c r="FY137" s="1605">
        <v>1.88</v>
      </c>
      <c r="FZ137" s="1605">
        <v>3.48</v>
      </c>
      <c r="GA137" s="1605" t="s">
        <v>986</v>
      </c>
      <c r="GB137" s="1605">
        <v>0.8</v>
      </c>
      <c r="GC137" s="1605" t="s">
        <v>986</v>
      </c>
      <c r="GD137" s="1605" t="s">
        <v>986</v>
      </c>
      <c r="GE137" s="1605">
        <v>3.36</v>
      </c>
      <c r="GF137" s="1605">
        <v>0.22</v>
      </c>
      <c r="GG137" s="1605" t="s">
        <v>986</v>
      </c>
      <c r="GH137" s="1605">
        <v>7.86</v>
      </c>
      <c r="GI137" s="1605">
        <v>1.57</v>
      </c>
      <c r="GJ137" s="1605">
        <v>9.18</v>
      </c>
      <c r="GK137" s="1605">
        <v>8.98</v>
      </c>
      <c r="GL137" s="1605" t="s">
        <v>986</v>
      </c>
      <c r="GM137" s="1605" t="s">
        <v>986</v>
      </c>
      <c r="GN137" s="1605" t="s">
        <v>3103</v>
      </c>
      <c r="GO137" s="1605" t="s">
        <v>3103</v>
      </c>
      <c r="GP137" s="1605" t="s">
        <v>3103</v>
      </c>
      <c r="GQ137" s="1605" t="s">
        <v>3103</v>
      </c>
      <c r="GR137" s="1605" t="s">
        <v>3103</v>
      </c>
      <c r="GS137" s="1605" t="s">
        <v>3103</v>
      </c>
      <c r="GT137" s="1605" t="s">
        <v>3103</v>
      </c>
      <c r="GU137" s="1605" t="s">
        <v>986</v>
      </c>
      <c r="GV137" s="1605" t="s">
        <v>3103</v>
      </c>
      <c r="GW137" s="1605" t="s">
        <v>3103</v>
      </c>
      <c r="GX137" s="1605" t="s">
        <v>1583</v>
      </c>
      <c r="GY137" s="1605" t="s">
        <v>1583</v>
      </c>
      <c r="GZ137" s="1605" t="s">
        <v>1583</v>
      </c>
      <c r="HA137" s="1605" t="s">
        <v>1583</v>
      </c>
      <c r="HB137" s="1605" t="s">
        <v>1583</v>
      </c>
      <c r="HC137" s="1605" t="s">
        <v>1583</v>
      </c>
      <c r="HD137" s="1605" t="s">
        <v>1583</v>
      </c>
      <c r="HE137" s="1605" t="s">
        <v>1583</v>
      </c>
      <c r="HF137" s="1605" t="s">
        <v>1583</v>
      </c>
      <c r="HG137" s="1605" t="s">
        <v>1583</v>
      </c>
      <c r="HH137" s="1605" t="s">
        <v>1583</v>
      </c>
      <c r="HI137" s="1605" t="s">
        <v>1579</v>
      </c>
      <c r="HJ137" s="1605" t="s">
        <v>1579</v>
      </c>
      <c r="HK137" s="1605" t="s">
        <v>986</v>
      </c>
      <c r="HL137" s="1605" t="s">
        <v>986</v>
      </c>
      <c r="HM137" s="1605" t="s">
        <v>1583</v>
      </c>
      <c r="HN137" s="1605" t="s">
        <v>1583</v>
      </c>
      <c r="HO137" s="1605" t="s">
        <v>986</v>
      </c>
      <c r="HP137" s="1605" t="s">
        <v>1583</v>
      </c>
      <c r="HQ137" s="1605" t="s">
        <v>1583</v>
      </c>
      <c r="HR137" s="1605" t="s">
        <v>1583</v>
      </c>
      <c r="HS137" s="1605" t="s">
        <v>1583</v>
      </c>
      <c r="HT137" s="1605" t="s">
        <v>986</v>
      </c>
      <c r="HU137" s="1605" t="s">
        <v>986</v>
      </c>
      <c r="HV137" s="1617"/>
      <c r="HW137" s="1617" t="s">
        <v>3431</v>
      </c>
      <c r="HX137" s="1617" t="s">
        <v>3430</v>
      </c>
      <c r="HY137" s="1617">
        <v>0</v>
      </c>
      <c r="HZ137" s="1603"/>
      <c r="IA137" s="1603"/>
      <c r="IB137" s="1603"/>
      <c r="IC137" s="1603">
        <v>56.292682926829301</v>
      </c>
      <c r="ID137" s="1603">
        <v>57.024390243902403</v>
      </c>
      <c r="IE137" s="1603">
        <v>57.634146341463399</v>
      </c>
      <c r="IF137" s="1603">
        <v>58</v>
      </c>
      <c r="IG137" s="1611" t="s">
        <v>3429</v>
      </c>
      <c r="IH137" s="1616" t="s">
        <v>3428</v>
      </c>
      <c r="II137" s="1615" t="s">
        <v>3427</v>
      </c>
      <c r="IJ137" s="1613">
        <v>1.0855681818181819</v>
      </c>
      <c r="IK137" s="1613">
        <v>1.0739999999999998</v>
      </c>
      <c r="IL137" s="1614">
        <v>1.0855681818181819</v>
      </c>
      <c r="IM137" s="1614">
        <v>1.0739999999999998</v>
      </c>
      <c r="IN137" s="1612">
        <v>0.83899999999999997</v>
      </c>
      <c r="IO137" s="1613">
        <v>-0.24656818181818196</v>
      </c>
      <c r="IP137" s="1607" t="s">
        <v>270</v>
      </c>
      <c r="IQ137" s="1612">
        <v>1.51</v>
      </c>
      <c r="IR137" s="1612">
        <v>-3.9E-2</v>
      </c>
      <c r="IS137" s="1607">
        <v>1.014568181818182</v>
      </c>
      <c r="IT137" s="1607">
        <v>1.0029999999999999</v>
      </c>
      <c r="IU137" s="1611">
        <v>1.1363636363636365E-5</v>
      </c>
      <c r="IV137" s="1611">
        <v>1.6431818181818183E-2</v>
      </c>
      <c r="IW137" s="1611">
        <v>7.9545454545454537E-4</v>
      </c>
      <c r="IX137" s="1611">
        <v>1.0681818181818182E-3</v>
      </c>
      <c r="IY137" s="1611">
        <v>8.0681818181818177E-4</v>
      </c>
      <c r="IZ137" s="1611">
        <v>6.0113636363636367E-3</v>
      </c>
      <c r="JA137" s="1611">
        <v>9.0909090909090917E-5</v>
      </c>
      <c r="JB137" s="1611" t="s">
        <v>270</v>
      </c>
      <c r="JC137" s="1611">
        <v>1.7724886363636365</v>
      </c>
      <c r="JD137" s="1611">
        <v>3.3863636363636361E-3</v>
      </c>
      <c r="JE137" s="1611" t="s">
        <v>270</v>
      </c>
      <c r="JF137" s="1611">
        <v>5.3409090909090908E-4</v>
      </c>
      <c r="JG137" s="1611">
        <v>0.83302272727272719</v>
      </c>
      <c r="JH137" s="1611">
        <v>3.181818181818182E-4</v>
      </c>
      <c r="JI137" s="1611">
        <v>0.26648863636363634</v>
      </c>
      <c r="JJ137" s="1611" t="s">
        <v>270</v>
      </c>
      <c r="JK137" s="1607">
        <f t="shared" si="11"/>
        <v>7.0999999999999952E-2</v>
      </c>
      <c r="JL137" s="1608" t="s">
        <v>270</v>
      </c>
      <c r="JM137" s="1610" t="s">
        <v>2924</v>
      </c>
      <c r="JN137" s="1608">
        <v>1.1568181818182088E-2</v>
      </c>
      <c r="JO137" s="1609" t="s">
        <v>3077</v>
      </c>
      <c r="JP137" s="1608" t="s">
        <v>270</v>
      </c>
      <c r="JQ137" s="1607">
        <v>202103</v>
      </c>
      <c r="JR137" s="1606">
        <v>890</v>
      </c>
      <c r="JS137" s="1606">
        <v>810</v>
      </c>
      <c r="JT137" s="1606">
        <v>810</v>
      </c>
    </row>
    <row r="138" spans="1:280" ht="15" customHeight="1" x14ac:dyDescent="0.2">
      <c r="A138" s="1626">
        <v>74500</v>
      </c>
      <c r="B138" s="1625">
        <v>745</v>
      </c>
      <c r="C138" s="1624">
        <v>0</v>
      </c>
      <c r="D138" s="1623" t="s">
        <v>3426</v>
      </c>
      <c r="E138" s="1622">
        <v>43054</v>
      </c>
      <c r="F138" s="1620">
        <v>-0.14585505226480799</v>
      </c>
      <c r="G138" s="1620">
        <v>3.9425760667903598E-2</v>
      </c>
      <c r="H138" s="1621">
        <v>15</v>
      </c>
      <c r="I138" s="1621">
        <v>7</v>
      </c>
      <c r="J138" s="1621">
        <v>7</v>
      </c>
      <c r="K138" s="1620">
        <v>1</v>
      </c>
      <c r="L138" s="1620">
        <v>90</v>
      </c>
      <c r="M138" s="1620">
        <v>3.6</v>
      </c>
      <c r="N138" s="1620">
        <v>1.71</v>
      </c>
      <c r="O138" s="1620">
        <v>4.05</v>
      </c>
      <c r="P138" s="1620">
        <v>40.68</v>
      </c>
      <c r="Q138" s="1603"/>
      <c r="R138" s="1620">
        <v>-147.39427142857099</v>
      </c>
      <c r="S138" s="1620">
        <v>27</v>
      </c>
      <c r="T138" s="1620">
        <v>27</v>
      </c>
      <c r="U138" s="1620">
        <v>27</v>
      </c>
      <c r="V138" s="1620">
        <v>27</v>
      </c>
      <c r="W138" s="1620">
        <v>27</v>
      </c>
      <c r="X138" s="1620"/>
      <c r="Y138" s="1620">
        <v>4.5999999999999996</v>
      </c>
      <c r="Z138" s="1620">
        <v>0.9</v>
      </c>
      <c r="AA138" s="1620">
        <v>1.4</v>
      </c>
      <c r="AB138" s="1620">
        <v>17</v>
      </c>
      <c r="AC138" s="1620">
        <v>20</v>
      </c>
      <c r="AD138" s="1620">
        <v>0.9</v>
      </c>
      <c r="AE138" s="1620">
        <v>1.1000000000000001</v>
      </c>
      <c r="AF138" s="1620">
        <v>470</v>
      </c>
      <c r="AG138" s="1620">
        <v>3</v>
      </c>
      <c r="AH138" s="1620">
        <v>30</v>
      </c>
      <c r="AI138" s="1620">
        <v>147.00000000000003</v>
      </c>
      <c r="AJ138" s="1620">
        <v>0</v>
      </c>
      <c r="AK138" s="1620">
        <v>0.05</v>
      </c>
      <c r="AL138" s="1620"/>
      <c r="AM138" s="1620">
        <v>3.09</v>
      </c>
      <c r="AN138" s="1620">
        <v>1.34</v>
      </c>
      <c r="AO138" s="1620">
        <v>1.26</v>
      </c>
      <c r="AP138" s="1620">
        <v>3.42</v>
      </c>
      <c r="AQ138" s="1620">
        <v>0.24</v>
      </c>
      <c r="AR138" s="1620">
        <v>2.82</v>
      </c>
      <c r="AS138" s="1620">
        <v>4.82</v>
      </c>
      <c r="AT138" s="1620">
        <v>1.06</v>
      </c>
      <c r="AU138" s="1620">
        <v>3.24</v>
      </c>
      <c r="AV138" s="1620">
        <v>2.0299999999999998</v>
      </c>
      <c r="AW138" s="1620">
        <v>3.78</v>
      </c>
      <c r="AX138" s="1620"/>
      <c r="AY138" s="1620">
        <v>1</v>
      </c>
      <c r="AZ138" s="1620">
        <v>1</v>
      </c>
      <c r="BA138" s="1620">
        <v>1</v>
      </c>
      <c r="BB138" s="1620">
        <v>1</v>
      </c>
      <c r="BC138" s="1620">
        <v>1</v>
      </c>
      <c r="BD138" s="1620">
        <v>1</v>
      </c>
      <c r="BE138" s="1620">
        <v>1</v>
      </c>
      <c r="BF138" s="1620">
        <v>1</v>
      </c>
      <c r="BG138" s="1620">
        <v>1</v>
      </c>
      <c r="BH138" s="1620">
        <v>1</v>
      </c>
      <c r="BI138" s="1620">
        <v>1</v>
      </c>
      <c r="BJ138" s="1603"/>
      <c r="BK138" s="1620">
        <v>4</v>
      </c>
      <c r="BL138" s="1620">
        <v>1.9</v>
      </c>
      <c r="BM138" s="1620">
        <v>4.5</v>
      </c>
      <c r="BN138" s="1620">
        <v>45.2</v>
      </c>
      <c r="BO138" s="1620"/>
      <c r="BP138" s="1620">
        <v>0</v>
      </c>
      <c r="BQ138" s="1620">
        <v>0</v>
      </c>
      <c r="BR138" s="1620">
        <v>-0.16206116918312</v>
      </c>
      <c r="BS138" s="1620">
        <v>4.3806400742115108E-2</v>
      </c>
      <c r="BT138" s="1603"/>
      <c r="BU138" s="1620">
        <v>955</v>
      </c>
      <c r="BV138" s="1620">
        <v>-20.722857142857112</v>
      </c>
      <c r="BW138" s="1620">
        <v>109.14285714285701</v>
      </c>
      <c r="BX138" s="1620">
        <v>201</v>
      </c>
      <c r="BY138" s="1620">
        <v>22.254339999999999</v>
      </c>
      <c r="BZ138" s="1620" t="s">
        <v>270</v>
      </c>
      <c r="CA138" s="1620" t="s">
        <v>270</v>
      </c>
      <c r="CB138" s="1603"/>
      <c r="CC138" s="1603">
        <v>4.1399999999999997</v>
      </c>
      <c r="CD138" s="1603">
        <v>0.81</v>
      </c>
      <c r="CE138" s="1603">
        <v>1.26</v>
      </c>
      <c r="CF138" s="1603">
        <v>15.3</v>
      </c>
      <c r="CG138" s="1603">
        <v>18</v>
      </c>
      <c r="CH138" s="1603">
        <v>0.81</v>
      </c>
      <c r="CI138" s="1603">
        <v>0.9900000000000001</v>
      </c>
      <c r="CJ138" s="1603"/>
      <c r="CK138" s="1603">
        <v>423</v>
      </c>
      <c r="CL138" s="1603">
        <v>2.7</v>
      </c>
      <c r="CM138" s="1603">
        <v>27</v>
      </c>
      <c r="CN138" s="1603">
        <v>132.30000000000004</v>
      </c>
      <c r="CO138" s="1603">
        <v>0</v>
      </c>
      <c r="CP138" s="1603">
        <v>4.5000000000000005E-2</v>
      </c>
      <c r="CQ138" s="1603">
        <v>-53.061937714285698</v>
      </c>
      <c r="CR138" s="1603">
        <v>363.79910664972226</v>
      </c>
      <c r="CS138" s="1603">
        <v>11.241392395476431</v>
      </c>
      <c r="CT138" s="1603">
        <v>4.8749080291062903</v>
      </c>
      <c r="CU138" s="1603">
        <v>4.5838687437865016</v>
      </c>
      <c r="CV138" s="1603">
        <v>9.4587767728927918</v>
      </c>
      <c r="CW138" s="1603">
        <v>12.441929447420495</v>
      </c>
      <c r="CX138" s="1603">
        <v>0.87311785595933578</v>
      </c>
      <c r="CY138" s="1603">
        <v>10.259134807522191</v>
      </c>
      <c r="CZ138" s="1603">
        <v>17.535116940516609</v>
      </c>
      <c r="DA138" s="1603">
        <v>3.8562705304870666</v>
      </c>
      <c r="DB138" s="1603">
        <v>11.787091055451025</v>
      </c>
      <c r="DC138" s="1603">
        <v>7.3851218649893635</v>
      </c>
      <c r="DD138" s="1603">
        <v>19.172212920440387</v>
      </c>
      <c r="DE138" s="1603">
        <v>13.751606231359505</v>
      </c>
      <c r="DF138" s="1603">
        <v>0</v>
      </c>
      <c r="DG138" s="1603">
        <v>0</v>
      </c>
      <c r="DH138" s="1603">
        <v>0</v>
      </c>
      <c r="DI138" s="1603">
        <v>0</v>
      </c>
      <c r="DJ138" s="1603">
        <v>0</v>
      </c>
      <c r="DK138" s="1603">
        <v>0</v>
      </c>
      <c r="DL138" s="1603">
        <v>0</v>
      </c>
      <c r="DM138" s="1603">
        <v>0</v>
      </c>
      <c r="DN138" s="1603">
        <v>0</v>
      </c>
      <c r="DO138" s="1603">
        <v>0</v>
      </c>
      <c r="DP138" s="1603">
        <v>0</v>
      </c>
      <c r="DQ138" s="1603">
        <v>0</v>
      </c>
      <c r="DR138" s="1603">
        <v>0</v>
      </c>
      <c r="DS138" s="1603">
        <v>0</v>
      </c>
      <c r="DT138" s="1603">
        <v>0</v>
      </c>
      <c r="DU138" s="1603">
        <v>0</v>
      </c>
      <c r="DV138" s="1603">
        <v>0</v>
      </c>
      <c r="DW138" s="1618" t="s">
        <v>3422</v>
      </c>
      <c r="DX138" s="1605" t="s">
        <v>986</v>
      </c>
      <c r="DY138" s="1605" t="s">
        <v>986</v>
      </c>
      <c r="DZ138" s="1605" t="s">
        <v>986</v>
      </c>
      <c r="EA138" s="1605" t="s">
        <v>986</v>
      </c>
      <c r="EB138" s="1605" t="s">
        <v>986</v>
      </c>
      <c r="EC138" s="1605" t="s">
        <v>986</v>
      </c>
      <c r="ED138" s="1605" t="s">
        <v>986</v>
      </c>
      <c r="EE138" s="1605" t="s">
        <v>986</v>
      </c>
      <c r="EF138" s="1605" t="s">
        <v>986</v>
      </c>
      <c r="EG138" s="1605" t="s">
        <v>986</v>
      </c>
      <c r="EH138" s="1605" t="s">
        <v>986</v>
      </c>
      <c r="EI138" s="1605" t="s">
        <v>986</v>
      </c>
      <c r="EJ138" s="1605" t="s">
        <v>986</v>
      </c>
      <c r="EK138" s="1605" t="s">
        <v>986</v>
      </c>
      <c r="EL138" s="1605" t="s">
        <v>986</v>
      </c>
      <c r="EM138" s="1605" t="s">
        <v>986</v>
      </c>
      <c r="EN138" s="1605" t="s">
        <v>986</v>
      </c>
      <c r="EO138" s="1605" t="s">
        <v>986</v>
      </c>
      <c r="EP138" s="1605" t="s">
        <v>986</v>
      </c>
      <c r="EQ138" s="1605" t="s">
        <v>986</v>
      </c>
      <c r="ER138" s="1605" t="s">
        <v>986</v>
      </c>
      <c r="ES138" s="1605" t="s">
        <v>986</v>
      </c>
      <c r="ET138" s="1605" t="s">
        <v>986</v>
      </c>
      <c r="EU138" s="1605" t="s">
        <v>986</v>
      </c>
      <c r="EV138" s="1605" t="s">
        <v>986</v>
      </c>
      <c r="EW138" s="1605" t="s">
        <v>986</v>
      </c>
      <c r="EX138" s="1605" t="s">
        <v>986</v>
      </c>
      <c r="EY138" s="1605" t="s">
        <v>986</v>
      </c>
      <c r="EZ138" s="1605" t="s">
        <v>986</v>
      </c>
      <c r="FA138" s="1605" t="s">
        <v>986</v>
      </c>
      <c r="FB138" s="1605" t="s">
        <v>986</v>
      </c>
      <c r="FC138" s="1605" t="s">
        <v>986</v>
      </c>
      <c r="FD138" s="1605" t="s">
        <v>986</v>
      </c>
      <c r="FE138" s="1605" t="s">
        <v>986</v>
      </c>
      <c r="FF138" s="1605" t="s">
        <v>986</v>
      </c>
      <c r="FG138" s="1605" t="s">
        <v>986</v>
      </c>
      <c r="FH138" s="1605" t="s">
        <v>986</v>
      </c>
      <c r="FI138" s="1605" t="s">
        <v>986</v>
      </c>
      <c r="FJ138" s="1605" t="s">
        <v>986</v>
      </c>
      <c r="FK138" s="1605" t="s">
        <v>986</v>
      </c>
      <c r="FL138" s="1605" t="s">
        <v>986</v>
      </c>
      <c r="FM138" s="1605" t="s">
        <v>986</v>
      </c>
      <c r="FN138" s="1605" t="s">
        <v>986</v>
      </c>
      <c r="FO138" s="1605" t="s">
        <v>986</v>
      </c>
      <c r="FP138" s="1605" t="s">
        <v>986</v>
      </c>
      <c r="FQ138" s="1605" t="s">
        <v>986</v>
      </c>
      <c r="FR138" s="1605" t="s">
        <v>986</v>
      </c>
      <c r="FS138" s="1605" t="s">
        <v>986</v>
      </c>
      <c r="FT138" s="1605" t="s">
        <v>986</v>
      </c>
      <c r="FU138" s="1605" t="s">
        <v>986</v>
      </c>
      <c r="FV138" s="1605" t="s">
        <v>986</v>
      </c>
      <c r="FW138" s="1605" t="s">
        <v>986</v>
      </c>
      <c r="FX138" s="1605" t="s">
        <v>986</v>
      </c>
      <c r="FY138" s="1605" t="s">
        <v>986</v>
      </c>
      <c r="FZ138" s="1605" t="s">
        <v>986</v>
      </c>
      <c r="GA138" s="1605" t="s">
        <v>986</v>
      </c>
      <c r="GB138" s="1605" t="s">
        <v>986</v>
      </c>
      <c r="GC138" s="1605" t="s">
        <v>986</v>
      </c>
      <c r="GD138" s="1605" t="s">
        <v>986</v>
      </c>
      <c r="GE138" s="1605" t="s">
        <v>986</v>
      </c>
      <c r="GF138" s="1605" t="s">
        <v>986</v>
      </c>
      <c r="GG138" s="1605" t="s">
        <v>986</v>
      </c>
      <c r="GH138" s="1605" t="s">
        <v>986</v>
      </c>
      <c r="GI138" s="1605" t="s">
        <v>986</v>
      </c>
      <c r="GJ138" s="1605" t="s">
        <v>986</v>
      </c>
      <c r="GK138" s="1605" t="s">
        <v>986</v>
      </c>
      <c r="GL138" s="1605" t="s">
        <v>986</v>
      </c>
      <c r="GM138" s="1605" t="s">
        <v>986</v>
      </c>
      <c r="GN138" s="1605" t="s">
        <v>986</v>
      </c>
      <c r="GO138" s="1605" t="s">
        <v>986</v>
      </c>
      <c r="GP138" s="1605" t="s">
        <v>986</v>
      </c>
      <c r="GQ138" s="1605" t="s">
        <v>986</v>
      </c>
      <c r="GR138" s="1605" t="s">
        <v>986</v>
      </c>
      <c r="GS138" s="1605" t="s">
        <v>986</v>
      </c>
      <c r="GT138" s="1605" t="s">
        <v>986</v>
      </c>
      <c r="GU138" s="1605" t="s">
        <v>986</v>
      </c>
      <c r="GV138" s="1605" t="s">
        <v>986</v>
      </c>
      <c r="GW138" s="1605" t="s">
        <v>986</v>
      </c>
      <c r="GX138" s="1605" t="s">
        <v>986</v>
      </c>
      <c r="GY138" s="1605" t="s">
        <v>986</v>
      </c>
      <c r="GZ138" s="1605" t="s">
        <v>986</v>
      </c>
      <c r="HA138" s="1605" t="s">
        <v>986</v>
      </c>
      <c r="HB138" s="1605" t="s">
        <v>986</v>
      </c>
      <c r="HC138" s="1605" t="s">
        <v>986</v>
      </c>
      <c r="HD138" s="1605" t="s">
        <v>986</v>
      </c>
      <c r="HE138" s="1605" t="s">
        <v>986</v>
      </c>
      <c r="HF138" s="1605" t="s">
        <v>986</v>
      </c>
      <c r="HG138" s="1605" t="s">
        <v>986</v>
      </c>
      <c r="HH138" s="1605" t="s">
        <v>986</v>
      </c>
      <c r="HI138" s="1605" t="s">
        <v>986</v>
      </c>
      <c r="HJ138" s="1605" t="s">
        <v>986</v>
      </c>
      <c r="HK138" s="1605" t="s">
        <v>986</v>
      </c>
      <c r="HL138" s="1605" t="s">
        <v>986</v>
      </c>
      <c r="HM138" s="1605" t="s">
        <v>986</v>
      </c>
      <c r="HN138" s="1605" t="s">
        <v>986</v>
      </c>
      <c r="HO138" s="1605" t="s">
        <v>986</v>
      </c>
      <c r="HP138" s="1605" t="s">
        <v>986</v>
      </c>
      <c r="HQ138" s="1605" t="s">
        <v>986</v>
      </c>
      <c r="HR138" s="1605" t="s">
        <v>986</v>
      </c>
      <c r="HS138" s="1605" t="s">
        <v>986</v>
      </c>
      <c r="HT138" s="1605" t="s">
        <v>986</v>
      </c>
      <c r="HU138" s="1605" t="s">
        <v>986</v>
      </c>
      <c r="HV138" s="1617"/>
      <c r="HW138" s="1617" t="s">
        <v>3421</v>
      </c>
      <c r="HX138" s="1617" t="s">
        <v>3420</v>
      </c>
      <c r="HY138" s="1617" t="s">
        <v>3419</v>
      </c>
      <c r="HZ138" s="1603"/>
      <c r="IA138" s="1603"/>
      <c r="IB138" s="1603"/>
      <c r="IC138" s="1603">
        <v>27</v>
      </c>
      <c r="ID138" s="1603">
        <v>27</v>
      </c>
      <c r="IE138" s="1603">
        <v>27</v>
      </c>
      <c r="IF138" s="1603">
        <v>27</v>
      </c>
      <c r="IG138" s="1611" t="s">
        <v>270</v>
      </c>
      <c r="IH138" s="1616" t="s">
        <v>3425</v>
      </c>
      <c r="II138" s="1615" t="s">
        <v>3424</v>
      </c>
      <c r="IJ138" s="1613">
        <v>4.7E-2</v>
      </c>
      <c r="IK138" s="1613">
        <v>4.2299999999999997E-2</v>
      </c>
      <c r="IL138" s="1614">
        <v>4.2299999999999997E-2</v>
      </c>
      <c r="IM138" s="1614">
        <v>4.2299999999999997E-2</v>
      </c>
      <c r="IN138" s="1612">
        <v>4.7E-2</v>
      </c>
      <c r="IO138" s="1613">
        <v>0</v>
      </c>
      <c r="IP138" s="1607" t="s">
        <v>270</v>
      </c>
      <c r="IQ138" s="1612">
        <v>0.21</v>
      </c>
      <c r="IR138" s="1612">
        <v>1.0999999999999999E-2</v>
      </c>
      <c r="IS138" s="1607" t="s">
        <v>270</v>
      </c>
      <c r="IT138" s="1607" t="s">
        <v>270</v>
      </c>
      <c r="IU138" s="1611" t="s">
        <v>270</v>
      </c>
      <c r="IV138" s="1611" t="s">
        <v>270</v>
      </c>
      <c r="IW138" s="1611" t="s">
        <v>270</v>
      </c>
      <c r="IX138" s="1611" t="s">
        <v>270</v>
      </c>
      <c r="IY138" s="1611" t="s">
        <v>270</v>
      </c>
      <c r="IZ138" s="1611" t="s">
        <v>270</v>
      </c>
      <c r="JA138" s="1611" t="s">
        <v>270</v>
      </c>
      <c r="JB138" s="1611" t="s">
        <v>270</v>
      </c>
      <c r="JC138" s="1611" t="s">
        <v>270</v>
      </c>
      <c r="JD138" s="1611" t="s">
        <v>270</v>
      </c>
      <c r="JE138" s="1611" t="s">
        <v>270</v>
      </c>
      <c r="JF138" s="1611" t="s">
        <v>270</v>
      </c>
      <c r="JG138" s="1611" t="s">
        <v>270</v>
      </c>
      <c r="JH138" s="1611" t="s">
        <v>270</v>
      </c>
      <c r="JI138" s="1611" t="s">
        <v>270</v>
      </c>
      <c r="JJ138" s="1611" t="s">
        <v>270</v>
      </c>
      <c r="JK138" s="1607" t="str">
        <f t="shared" si="11"/>
        <v/>
      </c>
      <c r="JL138" s="1608" t="s">
        <v>270</v>
      </c>
      <c r="JM138" s="1610" t="s">
        <v>3334</v>
      </c>
      <c r="JN138" s="1608" t="s">
        <v>270</v>
      </c>
      <c r="JO138" s="1609" t="s">
        <v>270</v>
      </c>
      <c r="JP138" s="1608">
        <v>4.2299999999999997E-2</v>
      </c>
      <c r="JQ138" s="1607" t="s">
        <v>270</v>
      </c>
      <c r="JR138" s="1606" t="s">
        <v>270</v>
      </c>
      <c r="JS138" s="1606" t="s">
        <v>270</v>
      </c>
      <c r="JT138" s="1606" t="s">
        <v>270</v>
      </c>
    </row>
    <row r="139" spans="1:280" ht="15" customHeight="1" x14ac:dyDescent="0.2">
      <c r="A139" s="1626">
        <v>74600</v>
      </c>
      <c r="B139" s="1625">
        <v>746</v>
      </c>
      <c r="C139" s="1624">
        <v>0</v>
      </c>
      <c r="D139" s="1623" t="s">
        <v>3423</v>
      </c>
      <c r="E139" s="1622">
        <v>43054</v>
      </c>
      <c r="F139" s="1620">
        <v>-0.14555395470383301</v>
      </c>
      <c r="G139" s="1620">
        <v>4.2341643784786699E-2</v>
      </c>
      <c r="H139" s="1621">
        <v>15</v>
      </c>
      <c r="I139" s="1621">
        <v>7</v>
      </c>
      <c r="J139" s="1621">
        <v>7</v>
      </c>
      <c r="K139" s="1620">
        <v>1</v>
      </c>
      <c r="L139" s="1620">
        <v>90</v>
      </c>
      <c r="M139" s="1620">
        <v>2.97</v>
      </c>
      <c r="N139" s="1620">
        <v>1.71</v>
      </c>
      <c r="O139" s="1620">
        <v>2.79</v>
      </c>
      <c r="P139" s="1620">
        <v>40.770000000000003</v>
      </c>
      <c r="Q139" s="1603"/>
      <c r="R139" s="1620">
        <v>-182.00457142857101</v>
      </c>
      <c r="S139" s="1620">
        <v>27</v>
      </c>
      <c r="T139" s="1620">
        <v>27</v>
      </c>
      <c r="U139" s="1620">
        <v>27</v>
      </c>
      <c r="V139" s="1620">
        <v>27</v>
      </c>
      <c r="W139" s="1620">
        <v>27</v>
      </c>
      <c r="X139" s="1620"/>
      <c r="Y139" s="1620">
        <v>3.6</v>
      </c>
      <c r="Z139" s="1620">
        <v>0.9</v>
      </c>
      <c r="AA139" s="1620">
        <v>0.1</v>
      </c>
      <c r="AB139" s="1620">
        <v>9.5000000000000018</v>
      </c>
      <c r="AC139" s="1620">
        <v>15</v>
      </c>
      <c r="AD139" s="1620">
        <v>0.9</v>
      </c>
      <c r="AE139" s="1620">
        <v>0.9</v>
      </c>
      <c r="AF139" s="1620">
        <v>290.99999999999994</v>
      </c>
      <c r="AG139" s="1620">
        <v>3</v>
      </c>
      <c r="AH139" s="1620">
        <v>35</v>
      </c>
      <c r="AI139" s="1620">
        <v>46</v>
      </c>
      <c r="AJ139" s="1620">
        <v>0</v>
      </c>
      <c r="AK139" s="1620">
        <v>0.05</v>
      </c>
      <c r="AL139" s="1620"/>
      <c r="AM139" s="1620">
        <v>3.38</v>
      </c>
      <c r="AN139" s="1620">
        <v>1.26</v>
      </c>
      <c r="AO139" s="1620">
        <v>1.26</v>
      </c>
      <c r="AP139" s="1620">
        <v>2.46</v>
      </c>
      <c r="AQ139" s="1620">
        <v>0.24</v>
      </c>
      <c r="AR139" s="1620">
        <v>1.84</v>
      </c>
      <c r="AS139" s="1620">
        <v>3.38</v>
      </c>
      <c r="AT139" s="1620">
        <v>1.06</v>
      </c>
      <c r="AU139" s="1620">
        <v>3.24</v>
      </c>
      <c r="AV139" s="1620">
        <v>2.0299999999999998</v>
      </c>
      <c r="AW139" s="1620">
        <v>2.76</v>
      </c>
      <c r="AX139" s="1620"/>
      <c r="AY139" s="1620">
        <v>1</v>
      </c>
      <c r="AZ139" s="1620">
        <v>1</v>
      </c>
      <c r="BA139" s="1620">
        <v>1</v>
      </c>
      <c r="BB139" s="1620">
        <v>1</v>
      </c>
      <c r="BC139" s="1620">
        <v>1</v>
      </c>
      <c r="BD139" s="1620">
        <v>1</v>
      </c>
      <c r="BE139" s="1620">
        <v>1</v>
      </c>
      <c r="BF139" s="1620">
        <v>1</v>
      </c>
      <c r="BG139" s="1620">
        <v>1</v>
      </c>
      <c r="BH139" s="1620">
        <v>1</v>
      </c>
      <c r="BI139" s="1620">
        <v>1</v>
      </c>
      <c r="BJ139" s="1603"/>
      <c r="BK139" s="1620">
        <v>3.3</v>
      </c>
      <c r="BL139" s="1620">
        <v>1.9</v>
      </c>
      <c r="BM139" s="1620">
        <v>3.1</v>
      </c>
      <c r="BN139" s="1620">
        <v>45.300000000000004</v>
      </c>
      <c r="BO139" s="1620"/>
      <c r="BP139" s="1620">
        <v>0</v>
      </c>
      <c r="BQ139" s="1620">
        <v>0</v>
      </c>
      <c r="BR139" s="1620">
        <v>-0.16172661633759222</v>
      </c>
      <c r="BS139" s="1620">
        <v>4.7046270871985214E-2</v>
      </c>
      <c r="BT139" s="1603"/>
      <c r="BU139" s="1620">
        <v>969</v>
      </c>
      <c r="BV139" s="1620">
        <v>-13.852857142857111</v>
      </c>
      <c r="BW139" s="1620">
        <v>110.74285714285701</v>
      </c>
      <c r="BX139" s="1620">
        <v>201</v>
      </c>
      <c r="BY139" s="1620">
        <v>22.254339999999999</v>
      </c>
      <c r="BZ139" s="1620" t="s">
        <v>270</v>
      </c>
      <c r="CA139" s="1620" t="s">
        <v>270</v>
      </c>
      <c r="CB139" s="1603"/>
      <c r="CC139" s="1603">
        <v>3.24</v>
      </c>
      <c r="CD139" s="1603">
        <v>0.81</v>
      </c>
      <c r="CE139" s="1603">
        <v>9.0000000000000011E-2</v>
      </c>
      <c r="CF139" s="1603">
        <v>8.5500000000000025</v>
      </c>
      <c r="CG139" s="1603">
        <v>13.5</v>
      </c>
      <c r="CH139" s="1603">
        <v>0.81</v>
      </c>
      <c r="CI139" s="1603">
        <v>0.81</v>
      </c>
      <c r="CJ139" s="1603"/>
      <c r="CK139" s="1603">
        <v>261.89999999999998</v>
      </c>
      <c r="CL139" s="1603">
        <v>2.7</v>
      </c>
      <c r="CM139" s="1603">
        <v>31.5</v>
      </c>
      <c r="CN139" s="1603">
        <v>41.4</v>
      </c>
      <c r="CO139" s="1603">
        <v>0</v>
      </c>
      <c r="CP139" s="1603">
        <v>4.5000000000000005E-2</v>
      </c>
      <c r="CQ139" s="1603">
        <v>-54.055357714285698</v>
      </c>
      <c r="CR139" s="1603">
        <v>371.37677106936218</v>
      </c>
      <c r="CS139" s="1603">
        <v>12.552534862144464</v>
      </c>
      <c r="CT139" s="1603">
        <v>4.6793473154739642</v>
      </c>
      <c r="CU139" s="1603">
        <v>4.6793473154739642</v>
      </c>
      <c r="CV139" s="1603">
        <v>9.3586946309479284</v>
      </c>
      <c r="CW139" s="1603">
        <v>9.1358685683063214</v>
      </c>
      <c r="CX139" s="1603">
        <v>0.89130425056647145</v>
      </c>
      <c r="CY139" s="1603">
        <v>6.8333325876762787</v>
      </c>
      <c r="CZ139" s="1603">
        <v>12.552534862144464</v>
      </c>
      <c r="DA139" s="1603">
        <v>3.9365937733352427</v>
      </c>
      <c r="DB139" s="1603">
        <v>12.032607382647358</v>
      </c>
      <c r="DC139" s="1603">
        <v>7.5389484527080537</v>
      </c>
      <c r="DD139" s="1603">
        <v>19.571555835355412</v>
      </c>
      <c r="DE139" s="1603">
        <v>10.249998881514427</v>
      </c>
      <c r="DF139" s="1603">
        <v>0</v>
      </c>
      <c r="DG139" s="1603">
        <v>0</v>
      </c>
      <c r="DH139" s="1603">
        <v>0</v>
      </c>
      <c r="DI139" s="1603">
        <v>0</v>
      </c>
      <c r="DJ139" s="1603">
        <v>0</v>
      </c>
      <c r="DK139" s="1603">
        <v>0</v>
      </c>
      <c r="DL139" s="1603">
        <v>0</v>
      </c>
      <c r="DM139" s="1603">
        <v>0</v>
      </c>
      <c r="DN139" s="1603">
        <v>0</v>
      </c>
      <c r="DO139" s="1603">
        <v>0</v>
      </c>
      <c r="DP139" s="1603">
        <v>0</v>
      </c>
      <c r="DQ139" s="1603">
        <v>0</v>
      </c>
      <c r="DR139" s="1603">
        <v>0</v>
      </c>
      <c r="DS139" s="1603">
        <v>0</v>
      </c>
      <c r="DT139" s="1603">
        <v>0</v>
      </c>
      <c r="DU139" s="1603">
        <v>0</v>
      </c>
      <c r="DV139" s="1603">
        <v>0</v>
      </c>
      <c r="DW139" s="1618" t="s">
        <v>3422</v>
      </c>
      <c r="DX139" s="1605" t="s">
        <v>986</v>
      </c>
      <c r="DY139" s="1605" t="s">
        <v>986</v>
      </c>
      <c r="DZ139" s="1605" t="s">
        <v>986</v>
      </c>
      <c r="EA139" s="1605" t="s">
        <v>986</v>
      </c>
      <c r="EB139" s="1605" t="s">
        <v>986</v>
      </c>
      <c r="EC139" s="1605" t="s">
        <v>986</v>
      </c>
      <c r="ED139" s="1605" t="s">
        <v>986</v>
      </c>
      <c r="EE139" s="1605" t="s">
        <v>986</v>
      </c>
      <c r="EF139" s="1605" t="s">
        <v>986</v>
      </c>
      <c r="EG139" s="1605" t="s">
        <v>986</v>
      </c>
      <c r="EH139" s="1605" t="s">
        <v>986</v>
      </c>
      <c r="EI139" s="1605" t="s">
        <v>986</v>
      </c>
      <c r="EJ139" s="1605" t="s">
        <v>986</v>
      </c>
      <c r="EK139" s="1605" t="s">
        <v>986</v>
      </c>
      <c r="EL139" s="1605" t="s">
        <v>986</v>
      </c>
      <c r="EM139" s="1605" t="s">
        <v>986</v>
      </c>
      <c r="EN139" s="1605" t="s">
        <v>986</v>
      </c>
      <c r="EO139" s="1605" t="s">
        <v>986</v>
      </c>
      <c r="EP139" s="1605" t="s">
        <v>986</v>
      </c>
      <c r="EQ139" s="1605" t="s">
        <v>986</v>
      </c>
      <c r="ER139" s="1605" t="s">
        <v>986</v>
      </c>
      <c r="ES139" s="1605" t="s">
        <v>986</v>
      </c>
      <c r="ET139" s="1605" t="s">
        <v>986</v>
      </c>
      <c r="EU139" s="1605" t="s">
        <v>986</v>
      </c>
      <c r="EV139" s="1605" t="s">
        <v>986</v>
      </c>
      <c r="EW139" s="1605" t="s">
        <v>986</v>
      </c>
      <c r="EX139" s="1605" t="s">
        <v>986</v>
      </c>
      <c r="EY139" s="1605" t="s">
        <v>986</v>
      </c>
      <c r="EZ139" s="1605" t="s">
        <v>986</v>
      </c>
      <c r="FA139" s="1605" t="s">
        <v>986</v>
      </c>
      <c r="FB139" s="1605" t="s">
        <v>986</v>
      </c>
      <c r="FC139" s="1605" t="s">
        <v>986</v>
      </c>
      <c r="FD139" s="1605" t="s">
        <v>986</v>
      </c>
      <c r="FE139" s="1605" t="s">
        <v>986</v>
      </c>
      <c r="FF139" s="1605" t="s">
        <v>986</v>
      </c>
      <c r="FG139" s="1605" t="s">
        <v>986</v>
      </c>
      <c r="FH139" s="1605" t="s">
        <v>986</v>
      </c>
      <c r="FI139" s="1605" t="s">
        <v>986</v>
      </c>
      <c r="FJ139" s="1605" t="s">
        <v>986</v>
      </c>
      <c r="FK139" s="1605" t="s">
        <v>986</v>
      </c>
      <c r="FL139" s="1605" t="s">
        <v>986</v>
      </c>
      <c r="FM139" s="1605" t="s">
        <v>986</v>
      </c>
      <c r="FN139" s="1605" t="s">
        <v>986</v>
      </c>
      <c r="FO139" s="1605" t="s">
        <v>986</v>
      </c>
      <c r="FP139" s="1605" t="s">
        <v>986</v>
      </c>
      <c r="FQ139" s="1605" t="s">
        <v>986</v>
      </c>
      <c r="FR139" s="1605" t="s">
        <v>986</v>
      </c>
      <c r="FS139" s="1605" t="s">
        <v>986</v>
      </c>
      <c r="FT139" s="1605" t="s">
        <v>986</v>
      </c>
      <c r="FU139" s="1605" t="s">
        <v>986</v>
      </c>
      <c r="FV139" s="1605" t="s">
        <v>986</v>
      </c>
      <c r="FW139" s="1605" t="s">
        <v>986</v>
      </c>
      <c r="FX139" s="1605" t="s">
        <v>986</v>
      </c>
      <c r="FY139" s="1605" t="s">
        <v>986</v>
      </c>
      <c r="FZ139" s="1605" t="s">
        <v>986</v>
      </c>
      <c r="GA139" s="1605" t="s">
        <v>986</v>
      </c>
      <c r="GB139" s="1605" t="s">
        <v>986</v>
      </c>
      <c r="GC139" s="1605" t="s">
        <v>986</v>
      </c>
      <c r="GD139" s="1605" t="s">
        <v>986</v>
      </c>
      <c r="GE139" s="1605" t="s">
        <v>986</v>
      </c>
      <c r="GF139" s="1605" t="s">
        <v>986</v>
      </c>
      <c r="GG139" s="1605" t="s">
        <v>986</v>
      </c>
      <c r="GH139" s="1605" t="s">
        <v>986</v>
      </c>
      <c r="GI139" s="1605" t="s">
        <v>986</v>
      </c>
      <c r="GJ139" s="1605" t="s">
        <v>986</v>
      </c>
      <c r="GK139" s="1605" t="s">
        <v>986</v>
      </c>
      <c r="GL139" s="1605" t="s">
        <v>986</v>
      </c>
      <c r="GM139" s="1605" t="s">
        <v>986</v>
      </c>
      <c r="GN139" s="1605" t="s">
        <v>986</v>
      </c>
      <c r="GO139" s="1605" t="s">
        <v>986</v>
      </c>
      <c r="GP139" s="1605" t="s">
        <v>986</v>
      </c>
      <c r="GQ139" s="1605" t="s">
        <v>986</v>
      </c>
      <c r="GR139" s="1605" t="s">
        <v>986</v>
      </c>
      <c r="GS139" s="1605" t="s">
        <v>986</v>
      </c>
      <c r="GT139" s="1605" t="s">
        <v>986</v>
      </c>
      <c r="GU139" s="1605" t="s">
        <v>986</v>
      </c>
      <c r="GV139" s="1605" t="s">
        <v>986</v>
      </c>
      <c r="GW139" s="1605" t="s">
        <v>986</v>
      </c>
      <c r="GX139" s="1605" t="s">
        <v>986</v>
      </c>
      <c r="GY139" s="1605" t="s">
        <v>986</v>
      </c>
      <c r="GZ139" s="1605" t="s">
        <v>986</v>
      </c>
      <c r="HA139" s="1605" t="s">
        <v>986</v>
      </c>
      <c r="HB139" s="1605" t="s">
        <v>986</v>
      </c>
      <c r="HC139" s="1605" t="s">
        <v>986</v>
      </c>
      <c r="HD139" s="1605" t="s">
        <v>986</v>
      </c>
      <c r="HE139" s="1605" t="s">
        <v>986</v>
      </c>
      <c r="HF139" s="1605" t="s">
        <v>986</v>
      </c>
      <c r="HG139" s="1605" t="s">
        <v>986</v>
      </c>
      <c r="HH139" s="1605" t="s">
        <v>986</v>
      </c>
      <c r="HI139" s="1605" t="s">
        <v>986</v>
      </c>
      <c r="HJ139" s="1605" t="s">
        <v>986</v>
      </c>
      <c r="HK139" s="1605" t="s">
        <v>986</v>
      </c>
      <c r="HL139" s="1605" t="s">
        <v>986</v>
      </c>
      <c r="HM139" s="1605" t="s">
        <v>986</v>
      </c>
      <c r="HN139" s="1605" t="s">
        <v>986</v>
      </c>
      <c r="HO139" s="1605" t="s">
        <v>986</v>
      </c>
      <c r="HP139" s="1605" t="s">
        <v>986</v>
      </c>
      <c r="HQ139" s="1605" t="s">
        <v>986</v>
      </c>
      <c r="HR139" s="1605" t="s">
        <v>986</v>
      </c>
      <c r="HS139" s="1605" t="s">
        <v>986</v>
      </c>
      <c r="HT139" s="1605" t="s">
        <v>986</v>
      </c>
      <c r="HU139" s="1605" t="s">
        <v>986</v>
      </c>
      <c r="HV139" s="1617"/>
      <c r="HW139" s="1617" t="s">
        <v>3421</v>
      </c>
      <c r="HX139" s="1617" t="s">
        <v>3420</v>
      </c>
      <c r="HY139" s="1617" t="s">
        <v>3419</v>
      </c>
      <c r="HZ139" s="1603"/>
      <c r="IA139" s="1603"/>
      <c r="IB139" s="1603"/>
      <c r="IC139" s="1603">
        <v>27</v>
      </c>
      <c r="ID139" s="1603">
        <v>27</v>
      </c>
      <c r="IE139" s="1603">
        <v>27</v>
      </c>
      <c r="IF139" s="1603">
        <v>27</v>
      </c>
      <c r="IG139" s="1611" t="s">
        <v>270</v>
      </c>
      <c r="IH139" s="1616" t="s">
        <v>3418</v>
      </c>
      <c r="II139" s="1615" t="s">
        <v>3417</v>
      </c>
      <c r="IJ139" s="1613">
        <v>4.2999999999999997E-2</v>
      </c>
      <c r="IK139" s="1613">
        <v>3.8700000000000005E-2</v>
      </c>
      <c r="IL139" s="1614">
        <v>3.8700000000000005E-2</v>
      </c>
      <c r="IM139" s="1614">
        <v>3.8700000000000005E-2</v>
      </c>
      <c r="IN139" s="1612">
        <v>4.2999999999999997E-2</v>
      </c>
      <c r="IO139" s="1613">
        <v>0</v>
      </c>
      <c r="IP139" s="1607" t="s">
        <v>270</v>
      </c>
      <c r="IQ139" s="1612">
        <v>0.15</v>
      </c>
      <c r="IR139" s="1612">
        <v>3.0000000000000001E-3</v>
      </c>
      <c r="IS139" s="1607" t="s">
        <v>270</v>
      </c>
      <c r="IT139" s="1607" t="s">
        <v>270</v>
      </c>
      <c r="IU139" s="1611" t="s">
        <v>270</v>
      </c>
      <c r="IV139" s="1611" t="s">
        <v>270</v>
      </c>
      <c r="IW139" s="1611" t="s">
        <v>270</v>
      </c>
      <c r="IX139" s="1611" t="s">
        <v>270</v>
      </c>
      <c r="IY139" s="1611" t="s">
        <v>270</v>
      </c>
      <c r="IZ139" s="1611" t="s">
        <v>270</v>
      </c>
      <c r="JA139" s="1611" t="s">
        <v>270</v>
      </c>
      <c r="JB139" s="1611" t="s">
        <v>270</v>
      </c>
      <c r="JC139" s="1611" t="s">
        <v>270</v>
      </c>
      <c r="JD139" s="1611" t="s">
        <v>270</v>
      </c>
      <c r="JE139" s="1611" t="s">
        <v>270</v>
      </c>
      <c r="JF139" s="1611" t="s">
        <v>270</v>
      </c>
      <c r="JG139" s="1611" t="s">
        <v>270</v>
      </c>
      <c r="JH139" s="1611" t="s">
        <v>270</v>
      </c>
      <c r="JI139" s="1611" t="s">
        <v>270</v>
      </c>
      <c r="JJ139" s="1611" t="s">
        <v>270</v>
      </c>
      <c r="JK139" s="1607" t="str">
        <f t="shared" si="11"/>
        <v/>
      </c>
      <c r="JL139" s="1608" t="s">
        <v>270</v>
      </c>
      <c r="JM139" s="1610" t="s">
        <v>3334</v>
      </c>
      <c r="JN139" s="1608" t="s">
        <v>270</v>
      </c>
      <c r="JO139" s="1609" t="s">
        <v>270</v>
      </c>
      <c r="JP139" s="1608">
        <v>3.8700000000000005E-2</v>
      </c>
      <c r="JQ139" s="1607" t="s">
        <v>270</v>
      </c>
      <c r="JR139" s="1606" t="s">
        <v>270</v>
      </c>
      <c r="JS139" s="1606" t="s">
        <v>270</v>
      </c>
      <c r="JT139" s="1606" t="s">
        <v>270</v>
      </c>
    </row>
    <row r="140" spans="1:280" ht="15" customHeight="1" x14ac:dyDescent="0.2">
      <c r="A140" s="1626">
        <v>73200</v>
      </c>
      <c r="B140" s="1625">
        <v>732</v>
      </c>
      <c r="C140" s="1624">
        <v>0</v>
      </c>
      <c r="D140" s="1623" t="s">
        <v>3416</v>
      </c>
      <c r="E140" s="1622">
        <v>43054</v>
      </c>
      <c r="F140" s="1620">
        <v>0.245591569802555</v>
      </c>
      <c r="G140" s="1620">
        <v>0.26750605488979601</v>
      </c>
      <c r="H140" s="1621">
        <v>67.2</v>
      </c>
      <c r="I140" s="1621">
        <v>57.2</v>
      </c>
      <c r="J140" s="1621">
        <v>75</v>
      </c>
      <c r="K140" s="1620">
        <v>1</v>
      </c>
      <c r="L140" s="1620">
        <v>32.1</v>
      </c>
      <c r="M140" s="1620">
        <v>3.5952000000000002</v>
      </c>
      <c r="N140" s="1620">
        <v>0.64200000000000002</v>
      </c>
      <c r="O140" s="1620">
        <v>1.8297000000000001</v>
      </c>
      <c r="P140" s="1620">
        <v>6.9336000000000002</v>
      </c>
      <c r="Q140" s="1603"/>
      <c r="R140" s="1620">
        <v>47.7444581632653</v>
      </c>
      <c r="S140" s="1620">
        <v>43</v>
      </c>
      <c r="T140" s="1620">
        <v>49.097560975609802</v>
      </c>
      <c r="U140" s="1620">
        <v>51.536585365853703</v>
      </c>
      <c r="V140" s="1620">
        <v>53.731707317073202</v>
      </c>
      <c r="W140" s="1620">
        <v>55.195121951219498</v>
      </c>
      <c r="X140" s="1620"/>
      <c r="Y140" s="1620">
        <v>3.1999999999999993</v>
      </c>
      <c r="Z140" s="1620">
        <v>2.8999999999999995</v>
      </c>
      <c r="AA140" s="1620">
        <v>0.59999999999999987</v>
      </c>
      <c r="AB140" s="1620">
        <v>0</v>
      </c>
      <c r="AC140" s="1620">
        <v>16.5</v>
      </c>
      <c r="AD140" s="1620">
        <v>1.1999999999999997</v>
      </c>
      <c r="AE140" s="1620">
        <v>0</v>
      </c>
      <c r="AF140" s="1620">
        <v>57.999999999999993</v>
      </c>
      <c r="AG140" s="1620">
        <v>5.7999999999999989</v>
      </c>
      <c r="AH140" s="1620">
        <v>25</v>
      </c>
      <c r="AI140" s="1620">
        <v>53.999999999999993</v>
      </c>
      <c r="AJ140" s="1620">
        <v>0</v>
      </c>
      <c r="AK140" s="1620">
        <v>0.04</v>
      </c>
      <c r="AL140" s="1620"/>
      <c r="AM140" s="1620">
        <v>2.64</v>
      </c>
      <c r="AN140" s="1620">
        <v>1.7</v>
      </c>
      <c r="AO140" s="1620">
        <v>1.21</v>
      </c>
      <c r="AP140" s="1620">
        <v>3.24</v>
      </c>
      <c r="AQ140" s="1620">
        <v>0</v>
      </c>
      <c r="AR140" s="1620">
        <v>3.73</v>
      </c>
      <c r="AS140" s="1620">
        <v>6.3</v>
      </c>
      <c r="AT140" s="1620">
        <v>0.96</v>
      </c>
      <c r="AU140" s="1620">
        <v>5.07</v>
      </c>
      <c r="AV140" s="1620">
        <v>8.7799999999999994</v>
      </c>
      <c r="AW140" s="1620">
        <v>4.67</v>
      </c>
      <c r="AX140" s="1620"/>
      <c r="AY140" s="1620">
        <v>1</v>
      </c>
      <c r="AZ140" s="1620">
        <v>1</v>
      </c>
      <c r="BA140" s="1620">
        <v>1</v>
      </c>
      <c r="BB140" s="1620">
        <v>1</v>
      </c>
      <c r="BC140" s="1620">
        <v>1</v>
      </c>
      <c r="BD140" s="1620">
        <v>1</v>
      </c>
      <c r="BE140" s="1620">
        <v>1</v>
      </c>
      <c r="BF140" s="1620">
        <v>1</v>
      </c>
      <c r="BG140" s="1620">
        <v>1</v>
      </c>
      <c r="BH140" s="1620">
        <v>1</v>
      </c>
      <c r="BI140" s="1620">
        <v>1</v>
      </c>
      <c r="BJ140" s="1603"/>
      <c r="BK140" s="1620">
        <v>11.200000000000001</v>
      </c>
      <c r="BL140" s="1620">
        <v>2</v>
      </c>
      <c r="BM140" s="1620">
        <v>5.6999999999999993</v>
      </c>
      <c r="BN140" s="1620">
        <v>21.599999999999998</v>
      </c>
      <c r="BO140" s="1620"/>
      <c r="BP140" s="1620">
        <v>120</v>
      </c>
      <c r="BQ140" s="1620">
        <v>24</v>
      </c>
      <c r="BR140" s="1620">
        <v>0.76508277197057628</v>
      </c>
      <c r="BS140" s="1620">
        <v>0.83335219591836762</v>
      </c>
      <c r="BT140" s="1603"/>
      <c r="BU140" s="1620">
        <v>942.99999999999977</v>
      </c>
      <c r="BV140" s="1620">
        <v>377.6617142857134</v>
      </c>
      <c r="BW140" s="1620">
        <v>134.71428571428595</v>
      </c>
      <c r="BX140" s="1620">
        <v>228</v>
      </c>
      <c r="BY140" s="1620">
        <v>17.999999999999996</v>
      </c>
      <c r="BZ140" s="1620" t="s">
        <v>270</v>
      </c>
      <c r="CA140" s="1620" t="s">
        <v>270</v>
      </c>
      <c r="CB140" s="1603"/>
      <c r="CC140" s="1603">
        <v>1.0271999999999999</v>
      </c>
      <c r="CD140" s="1603">
        <v>0.93089999999999984</v>
      </c>
      <c r="CE140" s="1603">
        <v>0.19259999999999997</v>
      </c>
      <c r="CF140" s="1603">
        <v>0</v>
      </c>
      <c r="CG140" s="1603">
        <v>5.2965</v>
      </c>
      <c r="CH140" s="1603">
        <v>0.38519999999999993</v>
      </c>
      <c r="CI140" s="1603">
        <v>0</v>
      </c>
      <c r="CJ140" s="1603"/>
      <c r="CK140" s="1603">
        <v>18.617999999999999</v>
      </c>
      <c r="CL140" s="1603">
        <v>1.8617999999999997</v>
      </c>
      <c r="CM140" s="1603">
        <v>8.0250000000000004</v>
      </c>
      <c r="CN140" s="1603">
        <v>17.334</v>
      </c>
      <c r="CO140" s="1603">
        <v>0</v>
      </c>
      <c r="CP140" s="1603">
        <v>1.2840000000000001E-2</v>
      </c>
      <c r="CQ140" s="1603">
        <v>17.165087598857099</v>
      </c>
      <c r="CR140" s="1603">
        <v>69.892820884108872</v>
      </c>
      <c r="CS140" s="1603">
        <v>1.8451704713404724</v>
      </c>
      <c r="CT140" s="1603">
        <v>1.1881779550298521</v>
      </c>
      <c r="CU140" s="1603">
        <v>0.8457031326977178</v>
      </c>
      <c r="CV140" s="1603">
        <v>2.0338810877275741</v>
      </c>
      <c r="CW140" s="1603">
        <v>2.2645273966451396</v>
      </c>
      <c r="CX140" s="1603">
        <v>0</v>
      </c>
      <c r="CY140" s="1603">
        <v>2.6070022189772577</v>
      </c>
      <c r="CZ140" s="1603">
        <v>4.4032477156988703</v>
      </c>
      <c r="DA140" s="1603">
        <v>0.67097108048744869</v>
      </c>
      <c r="DB140" s="1603">
        <v>3.5435660188243285</v>
      </c>
      <c r="DC140" s="1603">
        <v>6.1365896736247869</v>
      </c>
      <c r="DD140" s="1603">
        <v>9.6801556924490875</v>
      </c>
      <c r="DE140" s="1603">
        <v>3.2639947352878944</v>
      </c>
      <c r="DF140" s="1603">
        <v>0</v>
      </c>
      <c r="DG140" s="1603">
        <v>0</v>
      </c>
      <c r="DH140" s="1603">
        <v>0</v>
      </c>
      <c r="DI140" s="1603">
        <v>0</v>
      </c>
      <c r="DJ140" s="1603">
        <v>0</v>
      </c>
      <c r="DK140" s="1603">
        <v>0</v>
      </c>
      <c r="DL140" s="1603">
        <v>0</v>
      </c>
      <c r="DM140" s="1603">
        <v>0</v>
      </c>
      <c r="DN140" s="1603">
        <v>0</v>
      </c>
      <c r="DO140" s="1603">
        <v>0</v>
      </c>
      <c r="DP140" s="1603">
        <v>0</v>
      </c>
      <c r="DQ140" s="1603">
        <v>0</v>
      </c>
      <c r="DR140" s="1603">
        <v>0</v>
      </c>
      <c r="DS140" s="1603">
        <v>0</v>
      </c>
      <c r="DT140" s="1603">
        <v>0</v>
      </c>
      <c r="DU140" s="1603">
        <v>0</v>
      </c>
      <c r="DV140" s="1603">
        <v>0</v>
      </c>
      <c r="DW140" s="1618" t="s">
        <v>3402</v>
      </c>
      <c r="DX140" s="1605" t="s">
        <v>986</v>
      </c>
      <c r="DY140" s="1605" t="s">
        <v>986</v>
      </c>
      <c r="DZ140" s="1605" t="s">
        <v>986</v>
      </c>
      <c r="EA140" s="1605" t="s">
        <v>986</v>
      </c>
      <c r="EB140" s="1605" t="s">
        <v>986</v>
      </c>
      <c r="EC140" s="1605" t="s">
        <v>986</v>
      </c>
      <c r="ED140" s="1605" t="s">
        <v>986</v>
      </c>
      <c r="EE140" s="1605" t="s">
        <v>986</v>
      </c>
      <c r="EF140" s="1605" t="s">
        <v>986</v>
      </c>
      <c r="EG140" s="1605" t="s">
        <v>986</v>
      </c>
      <c r="EH140" s="1605" t="s">
        <v>986</v>
      </c>
      <c r="EI140" s="1605" t="s">
        <v>986</v>
      </c>
      <c r="EJ140" s="1605" t="s">
        <v>986</v>
      </c>
      <c r="EK140" s="1605" t="s">
        <v>986</v>
      </c>
      <c r="EL140" s="1605" t="s">
        <v>986</v>
      </c>
      <c r="EM140" s="1605" t="s">
        <v>986</v>
      </c>
      <c r="EN140" s="1605" t="s">
        <v>986</v>
      </c>
      <c r="EO140" s="1605" t="s">
        <v>986</v>
      </c>
      <c r="EP140" s="1605" t="s">
        <v>986</v>
      </c>
      <c r="EQ140" s="1605" t="s">
        <v>986</v>
      </c>
      <c r="ER140" s="1605" t="s">
        <v>986</v>
      </c>
      <c r="ES140" s="1605" t="s">
        <v>986</v>
      </c>
      <c r="ET140" s="1605" t="s">
        <v>986</v>
      </c>
      <c r="EU140" s="1605" t="s">
        <v>986</v>
      </c>
      <c r="EV140" s="1605" t="s">
        <v>986</v>
      </c>
      <c r="EW140" s="1605" t="s">
        <v>986</v>
      </c>
      <c r="EX140" s="1605" t="s">
        <v>986</v>
      </c>
      <c r="EY140" s="1605" t="s">
        <v>986</v>
      </c>
      <c r="EZ140" s="1605" t="s">
        <v>986</v>
      </c>
      <c r="FA140" s="1605" t="s">
        <v>986</v>
      </c>
      <c r="FB140" s="1605" t="s">
        <v>986</v>
      </c>
      <c r="FC140" s="1605" t="s">
        <v>986</v>
      </c>
      <c r="FD140" s="1605" t="s">
        <v>986</v>
      </c>
      <c r="FE140" s="1605" t="s">
        <v>986</v>
      </c>
      <c r="FF140" s="1605" t="s">
        <v>986</v>
      </c>
      <c r="FG140" s="1605" t="s">
        <v>986</v>
      </c>
      <c r="FH140" s="1605" t="s">
        <v>986</v>
      </c>
      <c r="FI140" s="1605" t="s">
        <v>986</v>
      </c>
      <c r="FJ140" s="1605" t="s">
        <v>986</v>
      </c>
      <c r="FK140" s="1605" t="s">
        <v>986</v>
      </c>
      <c r="FL140" s="1605" t="s">
        <v>986</v>
      </c>
      <c r="FM140" s="1605" t="s">
        <v>986</v>
      </c>
      <c r="FN140" s="1605" t="s">
        <v>986</v>
      </c>
      <c r="FO140" s="1605" t="s">
        <v>986</v>
      </c>
      <c r="FP140" s="1605" t="s">
        <v>986</v>
      </c>
      <c r="FQ140" s="1605" t="s">
        <v>986</v>
      </c>
      <c r="FR140" s="1605" t="s">
        <v>986</v>
      </c>
      <c r="FS140" s="1605" t="s">
        <v>986</v>
      </c>
      <c r="FT140" s="1605" t="s">
        <v>986</v>
      </c>
      <c r="FU140" s="1605" t="s">
        <v>986</v>
      </c>
      <c r="FV140" s="1605" t="s">
        <v>986</v>
      </c>
      <c r="FW140" s="1605" t="s">
        <v>986</v>
      </c>
      <c r="FX140" s="1605" t="s">
        <v>986</v>
      </c>
      <c r="FY140" s="1605" t="s">
        <v>986</v>
      </c>
      <c r="FZ140" s="1605" t="s">
        <v>986</v>
      </c>
      <c r="GA140" s="1605" t="s">
        <v>986</v>
      </c>
      <c r="GB140" s="1605" t="s">
        <v>986</v>
      </c>
      <c r="GC140" s="1605" t="s">
        <v>986</v>
      </c>
      <c r="GD140" s="1605" t="s">
        <v>986</v>
      </c>
      <c r="GE140" s="1605" t="s">
        <v>986</v>
      </c>
      <c r="GF140" s="1605" t="s">
        <v>986</v>
      </c>
      <c r="GG140" s="1605" t="s">
        <v>986</v>
      </c>
      <c r="GH140" s="1605" t="s">
        <v>986</v>
      </c>
      <c r="GI140" s="1605" t="s">
        <v>986</v>
      </c>
      <c r="GJ140" s="1605" t="s">
        <v>986</v>
      </c>
      <c r="GK140" s="1605" t="s">
        <v>986</v>
      </c>
      <c r="GL140" s="1605" t="s">
        <v>986</v>
      </c>
      <c r="GM140" s="1605" t="s">
        <v>986</v>
      </c>
      <c r="GN140" s="1605" t="s">
        <v>986</v>
      </c>
      <c r="GO140" s="1605" t="s">
        <v>986</v>
      </c>
      <c r="GP140" s="1605" t="s">
        <v>986</v>
      </c>
      <c r="GQ140" s="1605" t="s">
        <v>986</v>
      </c>
      <c r="GR140" s="1605" t="s">
        <v>986</v>
      </c>
      <c r="GS140" s="1605" t="s">
        <v>986</v>
      </c>
      <c r="GT140" s="1605" t="s">
        <v>986</v>
      </c>
      <c r="GU140" s="1605" t="s">
        <v>986</v>
      </c>
      <c r="GV140" s="1605" t="s">
        <v>986</v>
      </c>
      <c r="GW140" s="1605" t="s">
        <v>986</v>
      </c>
      <c r="GX140" s="1605" t="s">
        <v>986</v>
      </c>
      <c r="GY140" s="1605" t="s">
        <v>986</v>
      </c>
      <c r="GZ140" s="1605" t="s">
        <v>986</v>
      </c>
      <c r="HA140" s="1605" t="s">
        <v>986</v>
      </c>
      <c r="HB140" s="1605" t="s">
        <v>986</v>
      </c>
      <c r="HC140" s="1605" t="s">
        <v>986</v>
      </c>
      <c r="HD140" s="1605" t="s">
        <v>986</v>
      </c>
      <c r="HE140" s="1605" t="s">
        <v>986</v>
      </c>
      <c r="HF140" s="1605" t="s">
        <v>986</v>
      </c>
      <c r="HG140" s="1605" t="s">
        <v>986</v>
      </c>
      <c r="HH140" s="1605" t="s">
        <v>986</v>
      </c>
      <c r="HI140" s="1605" t="s">
        <v>986</v>
      </c>
      <c r="HJ140" s="1605" t="s">
        <v>986</v>
      </c>
      <c r="HK140" s="1605" t="s">
        <v>986</v>
      </c>
      <c r="HL140" s="1605" t="s">
        <v>986</v>
      </c>
      <c r="HM140" s="1605" t="s">
        <v>986</v>
      </c>
      <c r="HN140" s="1605" t="s">
        <v>986</v>
      </c>
      <c r="HO140" s="1605" t="s">
        <v>986</v>
      </c>
      <c r="HP140" s="1605" t="s">
        <v>986</v>
      </c>
      <c r="HQ140" s="1605" t="s">
        <v>986</v>
      </c>
      <c r="HR140" s="1605" t="s">
        <v>986</v>
      </c>
      <c r="HS140" s="1605" t="s">
        <v>986</v>
      </c>
      <c r="HT140" s="1605" t="s">
        <v>986</v>
      </c>
      <c r="HU140" s="1605" t="s">
        <v>986</v>
      </c>
      <c r="HV140" s="1617"/>
      <c r="HW140" s="1617" t="s">
        <v>3401</v>
      </c>
      <c r="HX140" s="1617" t="s">
        <v>3338</v>
      </c>
      <c r="HY140" s="1617" t="s">
        <v>3337</v>
      </c>
      <c r="HZ140" s="1603"/>
      <c r="IA140" s="1603"/>
      <c r="IB140" s="1603"/>
      <c r="IC140" s="1603">
        <v>56.292682926829301</v>
      </c>
      <c r="ID140" s="1603">
        <v>57.024390243902403</v>
      </c>
      <c r="IE140" s="1603">
        <v>57.634146341463399</v>
      </c>
      <c r="IF140" s="1603">
        <v>58</v>
      </c>
      <c r="IG140" s="1611" t="s">
        <v>270</v>
      </c>
      <c r="IH140" s="1616" t="s">
        <v>3415</v>
      </c>
      <c r="II140" s="1615" t="s">
        <v>3414</v>
      </c>
      <c r="IJ140" s="1613">
        <v>0.30399999999999999</v>
      </c>
      <c r="IK140" s="1613">
        <v>9.7584000000000004E-2</v>
      </c>
      <c r="IL140" s="1614">
        <v>9.7584000000000004E-2</v>
      </c>
      <c r="IM140" s="1614">
        <v>9.7584000000000004E-2</v>
      </c>
      <c r="IN140" s="1612">
        <v>0.30399999999999999</v>
      </c>
      <c r="IO140" s="1613">
        <v>0</v>
      </c>
      <c r="IP140" s="1607" t="s">
        <v>270</v>
      </c>
      <c r="IQ140" s="1612">
        <v>1.52</v>
      </c>
      <c r="IR140" s="1612">
        <v>0.16500000000000001</v>
      </c>
      <c r="IS140" s="1607" t="s">
        <v>270</v>
      </c>
      <c r="IT140" s="1607" t="s">
        <v>270</v>
      </c>
      <c r="IU140" s="1611" t="s">
        <v>270</v>
      </c>
      <c r="IV140" s="1611" t="s">
        <v>270</v>
      </c>
      <c r="IW140" s="1611" t="s">
        <v>270</v>
      </c>
      <c r="IX140" s="1611" t="s">
        <v>270</v>
      </c>
      <c r="IY140" s="1611" t="s">
        <v>270</v>
      </c>
      <c r="IZ140" s="1611" t="s">
        <v>270</v>
      </c>
      <c r="JA140" s="1611" t="s">
        <v>270</v>
      </c>
      <c r="JB140" s="1611" t="s">
        <v>270</v>
      </c>
      <c r="JC140" s="1611" t="s">
        <v>270</v>
      </c>
      <c r="JD140" s="1611" t="s">
        <v>270</v>
      </c>
      <c r="JE140" s="1611" t="s">
        <v>270</v>
      </c>
      <c r="JF140" s="1611" t="s">
        <v>270</v>
      </c>
      <c r="JG140" s="1611" t="s">
        <v>270</v>
      </c>
      <c r="JH140" s="1611" t="s">
        <v>270</v>
      </c>
      <c r="JI140" s="1611" t="s">
        <v>270</v>
      </c>
      <c r="JJ140" s="1611" t="s">
        <v>270</v>
      </c>
      <c r="JK140" s="1607" t="str">
        <f t="shared" si="11"/>
        <v/>
      </c>
      <c r="JL140" s="1608" t="s">
        <v>270</v>
      </c>
      <c r="JM140" s="1610" t="s">
        <v>3334</v>
      </c>
      <c r="JN140" s="1608" t="s">
        <v>270</v>
      </c>
      <c r="JO140" s="1609" t="s">
        <v>270</v>
      </c>
      <c r="JP140" s="1608">
        <v>9.7584000000000004E-2</v>
      </c>
      <c r="JQ140" s="1607" t="s">
        <v>270</v>
      </c>
      <c r="JR140" s="1606" t="s">
        <v>270</v>
      </c>
      <c r="JS140" s="1606" t="s">
        <v>270</v>
      </c>
      <c r="JT140" s="1606" t="s">
        <v>270</v>
      </c>
    </row>
    <row r="141" spans="1:280" ht="15" customHeight="1" x14ac:dyDescent="0.2">
      <c r="A141" s="1626">
        <v>73000</v>
      </c>
      <c r="B141" s="1625">
        <v>730</v>
      </c>
      <c r="C141" s="1624">
        <v>0</v>
      </c>
      <c r="D141" s="1623" t="s">
        <v>3413</v>
      </c>
      <c r="E141" s="1622">
        <v>43054</v>
      </c>
      <c r="F141" s="1620">
        <v>0.22381864854336</v>
      </c>
      <c r="G141" s="1620">
        <v>0.243616201961039</v>
      </c>
      <c r="H141" s="1621">
        <v>67.510000000000005</v>
      </c>
      <c r="I141" s="1621">
        <v>57.5</v>
      </c>
      <c r="J141" s="1621">
        <v>75</v>
      </c>
      <c r="K141" s="1620">
        <v>1</v>
      </c>
      <c r="L141" s="1620">
        <v>29.5</v>
      </c>
      <c r="M141" s="1620">
        <v>3.9235000000000002</v>
      </c>
      <c r="N141" s="1620">
        <v>0.59</v>
      </c>
      <c r="O141" s="1620">
        <v>1.9175</v>
      </c>
      <c r="P141" s="1620">
        <v>6.5194999999999999</v>
      </c>
      <c r="Q141" s="1603"/>
      <c r="R141" s="1620">
        <v>52.253000751879704</v>
      </c>
      <c r="S141" s="1620">
        <v>44</v>
      </c>
      <c r="T141" s="1620">
        <v>50.910569105691103</v>
      </c>
      <c r="U141" s="1620">
        <v>53.674796747967498</v>
      </c>
      <c r="V141" s="1620">
        <v>56.162601626016297</v>
      </c>
      <c r="W141" s="1620">
        <v>57.821138211382099</v>
      </c>
      <c r="X141" s="1620"/>
      <c r="Y141" s="1620">
        <v>5.6</v>
      </c>
      <c r="Z141" s="1620">
        <v>2.9</v>
      </c>
      <c r="AA141" s="1620">
        <v>0.6</v>
      </c>
      <c r="AB141" s="1620">
        <v>0</v>
      </c>
      <c r="AC141" s="1620">
        <v>17.600000000000001</v>
      </c>
      <c r="AD141" s="1620">
        <v>1.4</v>
      </c>
      <c r="AE141" s="1620">
        <v>0</v>
      </c>
      <c r="AF141" s="1620">
        <v>58</v>
      </c>
      <c r="AG141" s="1620">
        <v>6.2</v>
      </c>
      <c r="AH141" s="1620">
        <v>29</v>
      </c>
      <c r="AI141" s="1620">
        <v>52</v>
      </c>
      <c r="AJ141" s="1620">
        <v>0</v>
      </c>
      <c r="AK141" s="1620">
        <v>0.04</v>
      </c>
      <c r="AL141" s="1620"/>
      <c r="AM141" s="1620">
        <v>2.93</v>
      </c>
      <c r="AN141" s="1620">
        <v>1.3</v>
      </c>
      <c r="AO141" s="1620">
        <v>0.89</v>
      </c>
      <c r="AP141" s="1620">
        <v>2.71</v>
      </c>
      <c r="AQ141" s="1620">
        <v>0</v>
      </c>
      <c r="AR141" s="1620">
        <v>3.92</v>
      </c>
      <c r="AS141" s="1620">
        <v>6.1</v>
      </c>
      <c r="AT141" s="1620">
        <v>1.29</v>
      </c>
      <c r="AU141" s="1620">
        <v>4.18</v>
      </c>
      <c r="AV141" s="1620">
        <v>5.66</v>
      </c>
      <c r="AW141" s="1620">
        <v>4.83</v>
      </c>
      <c r="AX141" s="1620"/>
      <c r="AY141" s="1620">
        <v>1</v>
      </c>
      <c r="AZ141" s="1620">
        <v>1</v>
      </c>
      <c r="BA141" s="1620">
        <v>1</v>
      </c>
      <c r="BB141" s="1620">
        <v>1</v>
      </c>
      <c r="BC141" s="1620">
        <v>1</v>
      </c>
      <c r="BD141" s="1620">
        <v>1</v>
      </c>
      <c r="BE141" s="1620">
        <v>1</v>
      </c>
      <c r="BF141" s="1620">
        <v>1</v>
      </c>
      <c r="BG141" s="1620">
        <v>1</v>
      </c>
      <c r="BH141" s="1620">
        <v>1</v>
      </c>
      <c r="BI141" s="1620">
        <v>1</v>
      </c>
      <c r="BJ141" s="1603"/>
      <c r="BK141" s="1620">
        <v>13.3</v>
      </c>
      <c r="BL141" s="1620">
        <v>2</v>
      </c>
      <c r="BM141" s="1620">
        <v>6.5</v>
      </c>
      <c r="BN141" s="1620">
        <v>22.099999999999998</v>
      </c>
      <c r="BO141" s="1620"/>
      <c r="BP141" s="1620">
        <v>0</v>
      </c>
      <c r="BQ141" s="1620">
        <v>0</v>
      </c>
      <c r="BR141" s="1620">
        <v>0.75870728319783054</v>
      </c>
      <c r="BS141" s="1620">
        <v>0.82581763376623385</v>
      </c>
      <c r="BT141" s="1603"/>
      <c r="BU141" s="1620">
        <v>935</v>
      </c>
      <c r="BV141" s="1620">
        <v>357.08349999999996</v>
      </c>
      <c r="BW141" s="1620">
        <v>133.70499999999998</v>
      </c>
      <c r="BX141" s="1620">
        <v>201</v>
      </c>
      <c r="BY141" s="1620">
        <v>22.254339999999999</v>
      </c>
      <c r="BZ141" s="1620" t="s">
        <v>270</v>
      </c>
      <c r="CA141" s="1620" t="s">
        <v>270</v>
      </c>
      <c r="CB141" s="1603"/>
      <c r="CC141" s="1603">
        <v>1.6519999999999999</v>
      </c>
      <c r="CD141" s="1603">
        <v>0.85549999999999993</v>
      </c>
      <c r="CE141" s="1603">
        <v>0.17699999999999999</v>
      </c>
      <c r="CF141" s="1603">
        <v>0</v>
      </c>
      <c r="CG141" s="1603">
        <v>5.1920000000000002</v>
      </c>
      <c r="CH141" s="1603">
        <v>0.41299999999999998</v>
      </c>
      <c r="CI141" s="1603">
        <v>0</v>
      </c>
      <c r="CJ141" s="1603"/>
      <c r="CK141" s="1603">
        <v>17.11</v>
      </c>
      <c r="CL141" s="1603">
        <v>1.829</v>
      </c>
      <c r="CM141" s="1603">
        <v>8.5549999999999997</v>
      </c>
      <c r="CN141" s="1603">
        <v>15.34</v>
      </c>
      <c r="CO141" s="1603">
        <v>0</v>
      </c>
      <c r="CP141" s="1603">
        <v>1.18E-2</v>
      </c>
      <c r="CQ141" s="1603">
        <v>20.501464845000001</v>
      </c>
      <c r="CR141" s="1603">
        <v>91.598555251879674</v>
      </c>
      <c r="CS141" s="1603">
        <v>2.6838376688800838</v>
      </c>
      <c r="CT141" s="1603">
        <v>1.1907812182744357</v>
      </c>
      <c r="CU141" s="1603">
        <v>0.81522714174172906</v>
      </c>
      <c r="CV141" s="1603">
        <v>2.0060083600161738</v>
      </c>
      <c r="CW141" s="1603">
        <v>2.4823208473259393</v>
      </c>
      <c r="CX141" s="1603">
        <v>0</v>
      </c>
      <c r="CY141" s="1603">
        <v>3.5906633658736746</v>
      </c>
      <c r="CZ141" s="1603">
        <v>5.5875118703646605</v>
      </c>
      <c r="DA141" s="1603">
        <v>1.1816213627492478</v>
      </c>
      <c r="DB141" s="1603">
        <v>3.828819609528566</v>
      </c>
      <c r="DC141" s="1603">
        <v>5.1844782272563901</v>
      </c>
      <c r="DD141" s="1603">
        <v>9.0132978367849592</v>
      </c>
      <c r="DE141" s="1603">
        <v>4.4242102186657881</v>
      </c>
      <c r="DF141" s="1603">
        <v>0</v>
      </c>
      <c r="DG141" s="1603">
        <v>0</v>
      </c>
      <c r="DH141" s="1603">
        <v>0</v>
      </c>
      <c r="DI141" s="1603">
        <v>0</v>
      </c>
      <c r="DJ141" s="1603">
        <v>0</v>
      </c>
      <c r="DK141" s="1603">
        <v>0</v>
      </c>
      <c r="DL141" s="1603">
        <v>0</v>
      </c>
      <c r="DM141" s="1603">
        <v>0</v>
      </c>
      <c r="DN141" s="1603">
        <v>0</v>
      </c>
      <c r="DO141" s="1603">
        <v>0</v>
      </c>
      <c r="DP141" s="1603">
        <v>0</v>
      </c>
      <c r="DQ141" s="1603">
        <v>0</v>
      </c>
      <c r="DR141" s="1603">
        <v>0</v>
      </c>
      <c r="DS141" s="1603">
        <v>0</v>
      </c>
      <c r="DT141" s="1603">
        <v>0</v>
      </c>
      <c r="DU141" s="1603">
        <v>0</v>
      </c>
      <c r="DV141" s="1603">
        <v>0</v>
      </c>
      <c r="DW141" s="1618" t="s">
        <v>3402</v>
      </c>
      <c r="DX141" s="1605" t="s">
        <v>986</v>
      </c>
      <c r="DY141" s="1605" t="s">
        <v>986</v>
      </c>
      <c r="DZ141" s="1605" t="s">
        <v>986</v>
      </c>
      <c r="EA141" s="1605" t="s">
        <v>986</v>
      </c>
      <c r="EB141" s="1605" t="s">
        <v>986</v>
      </c>
      <c r="EC141" s="1605" t="s">
        <v>986</v>
      </c>
      <c r="ED141" s="1605" t="s">
        <v>986</v>
      </c>
      <c r="EE141" s="1605" t="s">
        <v>986</v>
      </c>
      <c r="EF141" s="1605" t="s">
        <v>986</v>
      </c>
      <c r="EG141" s="1605" t="s">
        <v>986</v>
      </c>
      <c r="EH141" s="1605" t="s">
        <v>986</v>
      </c>
      <c r="EI141" s="1605" t="s">
        <v>986</v>
      </c>
      <c r="EJ141" s="1605" t="s">
        <v>986</v>
      </c>
      <c r="EK141" s="1605" t="s">
        <v>986</v>
      </c>
      <c r="EL141" s="1605" t="s">
        <v>986</v>
      </c>
      <c r="EM141" s="1605" t="s">
        <v>986</v>
      </c>
      <c r="EN141" s="1605" t="s">
        <v>986</v>
      </c>
      <c r="EO141" s="1605" t="s">
        <v>986</v>
      </c>
      <c r="EP141" s="1605" t="s">
        <v>986</v>
      </c>
      <c r="EQ141" s="1605" t="s">
        <v>986</v>
      </c>
      <c r="ER141" s="1605" t="s">
        <v>986</v>
      </c>
      <c r="ES141" s="1605" t="s">
        <v>986</v>
      </c>
      <c r="ET141" s="1605" t="s">
        <v>986</v>
      </c>
      <c r="EU141" s="1605" t="s">
        <v>986</v>
      </c>
      <c r="EV141" s="1605" t="s">
        <v>986</v>
      </c>
      <c r="EW141" s="1605" t="s">
        <v>986</v>
      </c>
      <c r="EX141" s="1605" t="s">
        <v>986</v>
      </c>
      <c r="EY141" s="1605" t="s">
        <v>986</v>
      </c>
      <c r="EZ141" s="1605" t="s">
        <v>986</v>
      </c>
      <c r="FA141" s="1605" t="s">
        <v>986</v>
      </c>
      <c r="FB141" s="1605" t="s">
        <v>986</v>
      </c>
      <c r="FC141" s="1605" t="s">
        <v>986</v>
      </c>
      <c r="FD141" s="1605" t="s">
        <v>986</v>
      </c>
      <c r="FE141" s="1605" t="s">
        <v>986</v>
      </c>
      <c r="FF141" s="1605" t="s">
        <v>986</v>
      </c>
      <c r="FG141" s="1605" t="s">
        <v>986</v>
      </c>
      <c r="FH141" s="1605" t="s">
        <v>986</v>
      </c>
      <c r="FI141" s="1605" t="s">
        <v>986</v>
      </c>
      <c r="FJ141" s="1605" t="s">
        <v>986</v>
      </c>
      <c r="FK141" s="1605" t="s">
        <v>986</v>
      </c>
      <c r="FL141" s="1605" t="s">
        <v>986</v>
      </c>
      <c r="FM141" s="1605" t="s">
        <v>986</v>
      </c>
      <c r="FN141" s="1605" t="s">
        <v>986</v>
      </c>
      <c r="FO141" s="1605" t="s">
        <v>986</v>
      </c>
      <c r="FP141" s="1605" t="s">
        <v>986</v>
      </c>
      <c r="FQ141" s="1605" t="s">
        <v>986</v>
      </c>
      <c r="FR141" s="1605" t="s">
        <v>986</v>
      </c>
      <c r="FS141" s="1605" t="s">
        <v>986</v>
      </c>
      <c r="FT141" s="1605" t="s">
        <v>986</v>
      </c>
      <c r="FU141" s="1605" t="s">
        <v>986</v>
      </c>
      <c r="FV141" s="1605" t="s">
        <v>986</v>
      </c>
      <c r="FW141" s="1605" t="s">
        <v>986</v>
      </c>
      <c r="FX141" s="1605" t="s">
        <v>986</v>
      </c>
      <c r="FY141" s="1605" t="s">
        <v>986</v>
      </c>
      <c r="FZ141" s="1605" t="s">
        <v>986</v>
      </c>
      <c r="GA141" s="1605" t="s">
        <v>986</v>
      </c>
      <c r="GB141" s="1605" t="s">
        <v>986</v>
      </c>
      <c r="GC141" s="1605" t="s">
        <v>986</v>
      </c>
      <c r="GD141" s="1605" t="s">
        <v>986</v>
      </c>
      <c r="GE141" s="1605" t="s">
        <v>986</v>
      </c>
      <c r="GF141" s="1605" t="s">
        <v>986</v>
      </c>
      <c r="GG141" s="1605" t="s">
        <v>986</v>
      </c>
      <c r="GH141" s="1605" t="s">
        <v>986</v>
      </c>
      <c r="GI141" s="1605" t="s">
        <v>986</v>
      </c>
      <c r="GJ141" s="1605" t="s">
        <v>986</v>
      </c>
      <c r="GK141" s="1605" t="s">
        <v>986</v>
      </c>
      <c r="GL141" s="1605" t="s">
        <v>986</v>
      </c>
      <c r="GM141" s="1605" t="s">
        <v>986</v>
      </c>
      <c r="GN141" s="1605" t="s">
        <v>986</v>
      </c>
      <c r="GO141" s="1605" t="s">
        <v>986</v>
      </c>
      <c r="GP141" s="1605" t="s">
        <v>986</v>
      </c>
      <c r="GQ141" s="1605" t="s">
        <v>986</v>
      </c>
      <c r="GR141" s="1605" t="s">
        <v>986</v>
      </c>
      <c r="GS141" s="1605" t="s">
        <v>986</v>
      </c>
      <c r="GT141" s="1605" t="s">
        <v>986</v>
      </c>
      <c r="GU141" s="1605" t="s">
        <v>986</v>
      </c>
      <c r="GV141" s="1605" t="s">
        <v>986</v>
      </c>
      <c r="GW141" s="1605" t="s">
        <v>986</v>
      </c>
      <c r="GX141" s="1605" t="s">
        <v>986</v>
      </c>
      <c r="GY141" s="1605" t="s">
        <v>986</v>
      </c>
      <c r="GZ141" s="1605" t="s">
        <v>986</v>
      </c>
      <c r="HA141" s="1605" t="s">
        <v>986</v>
      </c>
      <c r="HB141" s="1605" t="s">
        <v>986</v>
      </c>
      <c r="HC141" s="1605" t="s">
        <v>986</v>
      </c>
      <c r="HD141" s="1605" t="s">
        <v>986</v>
      </c>
      <c r="HE141" s="1605" t="s">
        <v>986</v>
      </c>
      <c r="HF141" s="1605" t="s">
        <v>986</v>
      </c>
      <c r="HG141" s="1605" t="s">
        <v>986</v>
      </c>
      <c r="HH141" s="1605" t="s">
        <v>986</v>
      </c>
      <c r="HI141" s="1605" t="s">
        <v>986</v>
      </c>
      <c r="HJ141" s="1605" t="s">
        <v>986</v>
      </c>
      <c r="HK141" s="1605" t="s">
        <v>986</v>
      </c>
      <c r="HL141" s="1605" t="s">
        <v>986</v>
      </c>
      <c r="HM141" s="1605" t="s">
        <v>986</v>
      </c>
      <c r="HN141" s="1605" t="s">
        <v>986</v>
      </c>
      <c r="HO141" s="1605" t="s">
        <v>986</v>
      </c>
      <c r="HP141" s="1605" t="s">
        <v>986</v>
      </c>
      <c r="HQ141" s="1605" t="s">
        <v>986</v>
      </c>
      <c r="HR141" s="1605" t="s">
        <v>986</v>
      </c>
      <c r="HS141" s="1605" t="s">
        <v>986</v>
      </c>
      <c r="HT141" s="1605" t="s">
        <v>986</v>
      </c>
      <c r="HU141" s="1605" t="s">
        <v>986</v>
      </c>
      <c r="HV141" s="1617"/>
      <c r="HW141" s="1617" t="s">
        <v>3412</v>
      </c>
      <c r="HX141" s="1617" t="s">
        <v>3338</v>
      </c>
      <c r="HY141" s="1617" t="s">
        <v>3337</v>
      </c>
      <c r="HZ141" s="1603"/>
      <c r="IA141" s="1603"/>
      <c r="IB141" s="1603"/>
      <c r="IC141" s="1603">
        <v>59.065040650406502</v>
      </c>
      <c r="ID141" s="1603">
        <v>59.894308943089399</v>
      </c>
      <c r="IE141" s="1603">
        <v>60.585365853658502</v>
      </c>
      <c r="IF141" s="1603">
        <v>61</v>
      </c>
      <c r="IG141" s="1611" t="s">
        <v>270</v>
      </c>
      <c r="IH141" s="1616" t="s">
        <v>3411</v>
      </c>
      <c r="II141" s="1615" t="s">
        <v>3410</v>
      </c>
      <c r="IJ141" s="1613">
        <v>0.63600000000000001</v>
      </c>
      <c r="IK141" s="1613">
        <v>0.63600000000000001</v>
      </c>
      <c r="IL141" s="1614">
        <v>0.63600000000000001</v>
      </c>
      <c r="IM141" s="1614">
        <v>0.63600000000000001</v>
      </c>
      <c r="IN141" s="1612">
        <v>0.63600000000000001</v>
      </c>
      <c r="IO141" s="1613">
        <v>0</v>
      </c>
      <c r="IP141" s="1607" t="s">
        <v>270</v>
      </c>
      <c r="IQ141" s="1612" t="s">
        <v>270</v>
      </c>
      <c r="IR141" s="1612" t="s">
        <v>270</v>
      </c>
      <c r="IS141" s="1607" t="s">
        <v>270</v>
      </c>
      <c r="IT141" s="1607" t="s">
        <v>270</v>
      </c>
      <c r="IU141" s="1611" t="s">
        <v>270</v>
      </c>
      <c r="IV141" s="1611" t="s">
        <v>270</v>
      </c>
      <c r="IW141" s="1611" t="s">
        <v>270</v>
      </c>
      <c r="IX141" s="1611" t="s">
        <v>270</v>
      </c>
      <c r="IY141" s="1611" t="s">
        <v>270</v>
      </c>
      <c r="IZ141" s="1611" t="s">
        <v>270</v>
      </c>
      <c r="JA141" s="1611" t="s">
        <v>270</v>
      </c>
      <c r="JB141" s="1611" t="s">
        <v>270</v>
      </c>
      <c r="JC141" s="1611" t="s">
        <v>270</v>
      </c>
      <c r="JD141" s="1611" t="s">
        <v>270</v>
      </c>
      <c r="JE141" s="1611" t="s">
        <v>270</v>
      </c>
      <c r="JF141" s="1611" t="s">
        <v>270</v>
      </c>
      <c r="JG141" s="1611" t="s">
        <v>270</v>
      </c>
      <c r="JH141" s="1611" t="s">
        <v>270</v>
      </c>
      <c r="JI141" s="1611" t="s">
        <v>270</v>
      </c>
      <c r="JJ141" s="1611" t="s">
        <v>270</v>
      </c>
      <c r="JK141" s="1607" t="str">
        <f t="shared" si="11"/>
        <v/>
      </c>
      <c r="JL141" s="1608" t="s">
        <v>2946</v>
      </c>
      <c r="JM141" s="1610" t="s">
        <v>2945</v>
      </c>
      <c r="JN141" s="1608" t="s">
        <v>270</v>
      </c>
      <c r="JO141" s="1609" t="s">
        <v>270</v>
      </c>
      <c r="JP141" s="1608">
        <v>0.63600000000000001</v>
      </c>
      <c r="JQ141" s="1607" t="s">
        <v>270</v>
      </c>
      <c r="JR141" s="1606" t="s">
        <v>270</v>
      </c>
      <c r="JS141" s="1606" t="s">
        <v>270</v>
      </c>
      <c r="JT141" s="1606" t="s">
        <v>270</v>
      </c>
    </row>
    <row r="142" spans="1:280" ht="15" customHeight="1" x14ac:dyDescent="0.2">
      <c r="A142" s="1626">
        <v>73300</v>
      </c>
      <c r="B142" s="1625">
        <v>733</v>
      </c>
      <c r="C142" s="1624">
        <v>0</v>
      </c>
      <c r="D142" s="1623" t="s">
        <v>3409</v>
      </c>
      <c r="E142" s="1622">
        <v>43054</v>
      </c>
      <c r="F142" s="1620">
        <v>0.29852687704219899</v>
      </c>
      <c r="G142" s="1620">
        <v>0.32546666627087201</v>
      </c>
      <c r="H142" s="1621">
        <v>66.900000000000006</v>
      </c>
      <c r="I142" s="1621">
        <v>56.9</v>
      </c>
      <c r="J142" s="1621">
        <v>75</v>
      </c>
      <c r="K142" s="1620">
        <v>1</v>
      </c>
      <c r="L142" s="1620">
        <v>38.799999999999997</v>
      </c>
      <c r="M142" s="1620">
        <v>3.7248000000000001</v>
      </c>
      <c r="N142" s="1620">
        <v>0.77600000000000002</v>
      </c>
      <c r="O142" s="1620">
        <v>1.94</v>
      </c>
      <c r="P142" s="1620">
        <v>8.4971999999999994</v>
      </c>
      <c r="Q142" s="1603"/>
      <c r="R142" s="1620">
        <v>42.923705357142801</v>
      </c>
      <c r="S142" s="1620">
        <v>50</v>
      </c>
      <c r="T142" s="1620">
        <v>54.878048780487802</v>
      </c>
      <c r="U142" s="1620">
        <v>56.829268292682897</v>
      </c>
      <c r="V142" s="1620">
        <v>58.585365853658502</v>
      </c>
      <c r="W142" s="1620">
        <v>59.756097560975597</v>
      </c>
      <c r="X142" s="1620"/>
      <c r="Y142" s="1620">
        <v>2.6</v>
      </c>
      <c r="Z142" s="1620">
        <v>2.4000000000000004</v>
      </c>
      <c r="AA142" s="1620">
        <v>0.50000000000000011</v>
      </c>
      <c r="AB142" s="1620">
        <v>0</v>
      </c>
      <c r="AC142" s="1620">
        <v>12.400000000000002</v>
      </c>
      <c r="AD142" s="1620">
        <v>1.0000000000000002</v>
      </c>
      <c r="AE142" s="1620">
        <v>0</v>
      </c>
      <c r="AF142" s="1620">
        <v>58.000000000000007</v>
      </c>
      <c r="AG142" s="1620">
        <v>5.1000000000000005</v>
      </c>
      <c r="AH142" s="1620">
        <v>30.000000000000004</v>
      </c>
      <c r="AI142" s="1620">
        <v>41</v>
      </c>
      <c r="AJ142" s="1620">
        <v>0</v>
      </c>
      <c r="AK142" s="1620">
        <v>0.04</v>
      </c>
      <c r="AL142" s="1620"/>
      <c r="AM142" s="1620">
        <v>2.54</v>
      </c>
      <c r="AN142" s="1620">
        <v>1</v>
      </c>
      <c r="AO142" s="1620">
        <v>0.91</v>
      </c>
      <c r="AP142" s="1620">
        <v>2.39</v>
      </c>
      <c r="AQ142" s="1620">
        <v>0</v>
      </c>
      <c r="AR142" s="1620">
        <v>2.74</v>
      </c>
      <c r="AS142" s="1620">
        <v>4.7</v>
      </c>
      <c r="AT142" s="1620">
        <v>1.68</v>
      </c>
      <c r="AU142" s="1620">
        <v>2.74</v>
      </c>
      <c r="AV142" s="1620">
        <v>1.1599999999999999</v>
      </c>
      <c r="AW142" s="1620">
        <v>3.55</v>
      </c>
      <c r="AX142" s="1620"/>
      <c r="AY142" s="1620">
        <v>1</v>
      </c>
      <c r="AZ142" s="1620">
        <v>1</v>
      </c>
      <c r="BA142" s="1620">
        <v>1</v>
      </c>
      <c r="BB142" s="1620">
        <v>1</v>
      </c>
      <c r="BC142" s="1620">
        <v>1</v>
      </c>
      <c r="BD142" s="1620">
        <v>1</v>
      </c>
      <c r="BE142" s="1620">
        <v>1</v>
      </c>
      <c r="BF142" s="1620">
        <v>1</v>
      </c>
      <c r="BG142" s="1620">
        <v>1</v>
      </c>
      <c r="BH142" s="1620">
        <v>1</v>
      </c>
      <c r="BI142" s="1620">
        <v>1</v>
      </c>
      <c r="BJ142" s="1603"/>
      <c r="BK142" s="1620">
        <v>9.6000000000000014</v>
      </c>
      <c r="BL142" s="1620">
        <v>2.0000000000000004</v>
      </c>
      <c r="BM142" s="1620">
        <v>5</v>
      </c>
      <c r="BN142" s="1620">
        <v>21.9</v>
      </c>
      <c r="BO142" s="1620"/>
      <c r="BP142" s="1620">
        <v>105</v>
      </c>
      <c r="BQ142" s="1620">
        <v>21</v>
      </c>
      <c r="BR142" s="1620">
        <v>0.76939916763453353</v>
      </c>
      <c r="BS142" s="1620">
        <v>0.83883161410018559</v>
      </c>
      <c r="BT142" s="1603"/>
      <c r="BU142" s="1620">
        <v>950.00000000000011</v>
      </c>
      <c r="BV142" s="1620">
        <v>393.0757142857139</v>
      </c>
      <c r="BW142" s="1620">
        <v>135.71428571428609</v>
      </c>
      <c r="BX142" s="1620">
        <v>250.00000000000003</v>
      </c>
      <c r="BY142" s="1620">
        <v>20</v>
      </c>
      <c r="BZ142" s="1620" t="s">
        <v>270</v>
      </c>
      <c r="CA142" s="1620" t="s">
        <v>270</v>
      </c>
      <c r="CB142" s="1603"/>
      <c r="CC142" s="1603">
        <v>1.0087999999999999</v>
      </c>
      <c r="CD142" s="1603">
        <v>0.93120000000000003</v>
      </c>
      <c r="CE142" s="1603">
        <v>0.19400000000000003</v>
      </c>
      <c r="CF142" s="1603">
        <v>0</v>
      </c>
      <c r="CG142" s="1603">
        <v>4.8112000000000004</v>
      </c>
      <c r="CH142" s="1603">
        <v>0.38800000000000007</v>
      </c>
      <c r="CI142" s="1603">
        <v>0</v>
      </c>
      <c r="CJ142" s="1603"/>
      <c r="CK142" s="1603">
        <v>22.504000000000001</v>
      </c>
      <c r="CL142" s="1603">
        <v>1.9787999999999999</v>
      </c>
      <c r="CM142" s="1603">
        <v>11.64</v>
      </c>
      <c r="CN142" s="1603">
        <v>15.907999999999998</v>
      </c>
      <c r="CO142" s="1603">
        <v>0</v>
      </c>
      <c r="CP142" s="1603">
        <v>1.5519999999999999E-2</v>
      </c>
      <c r="CQ142" s="1603">
        <v>15.9882217714286</v>
      </c>
      <c r="CR142" s="1603">
        <v>53.557059685344669</v>
      </c>
      <c r="CS142" s="1603">
        <v>1.3603493160077531</v>
      </c>
      <c r="CT142" s="1603">
        <v>0.53557059685344333</v>
      </c>
      <c r="CU142" s="1603">
        <v>0.4873692431366356</v>
      </c>
      <c r="CV142" s="1603">
        <v>1.0229398399900789</v>
      </c>
      <c r="CW142" s="1603">
        <v>1.2800137264797291</v>
      </c>
      <c r="CX142" s="1603">
        <v>0</v>
      </c>
      <c r="CY142" s="1603">
        <v>1.467463435378435</v>
      </c>
      <c r="CZ142" s="1603">
        <v>2.5171818052111883</v>
      </c>
      <c r="DA142" s="1603">
        <v>0.89975860271378871</v>
      </c>
      <c r="DB142" s="1603">
        <v>1.467463435378435</v>
      </c>
      <c r="DC142" s="1603">
        <v>0.62126189234999563</v>
      </c>
      <c r="DD142" s="1603">
        <v>2.0887253277284374</v>
      </c>
      <c r="DE142" s="1603">
        <v>1.9012756188297315</v>
      </c>
      <c r="DF142" s="1603">
        <v>0</v>
      </c>
      <c r="DG142" s="1603">
        <v>0</v>
      </c>
      <c r="DH142" s="1603">
        <v>0</v>
      </c>
      <c r="DI142" s="1603">
        <v>0</v>
      </c>
      <c r="DJ142" s="1603">
        <v>0</v>
      </c>
      <c r="DK142" s="1603">
        <v>0</v>
      </c>
      <c r="DL142" s="1603">
        <v>0</v>
      </c>
      <c r="DM142" s="1603">
        <v>0</v>
      </c>
      <c r="DN142" s="1603">
        <v>0</v>
      </c>
      <c r="DO142" s="1603">
        <v>0</v>
      </c>
      <c r="DP142" s="1603">
        <v>0</v>
      </c>
      <c r="DQ142" s="1603">
        <v>0</v>
      </c>
      <c r="DR142" s="1603">
        <v>0</v>
      </c>
      <c r="DS142" s="1603">
        <v>0</v>
      </c>
      <c r="DT142" s="1603">
        <v>0</v>
      </c>
      <c r="DU142" s="1603">
        <v>0</v>
      </c>
      <c r="DV142" s="1603">
        <v>0</v>
      </c>
      <c r="DW142" s="1618" t="s">
        <v>3402</v>
      </c>
      <c r="DX142" s="1605" t="s">
        <v>986</v>
      </c>
      <c r="DY142" s="1605" t="s">
        <v>986</v>
      </c>
      <c r="DZ142" s="1605" t="s">
        <v>986</v>
      </c>
      <c r="EA142" s="1605" t="s">
        <v>986</v>
      </c>
      <c r="EB142" s="1605" t="s">
        <v>986</v>
      </c>
      <c r="EC142" s="1605" t="s">
        <v>986</v>
      </c>
      <c r="ED142" s="1605" t="s">
        <v>986</v>
      </c>
      <c r="EE142" s="1605" t="s">
        <v>986</v>
      </c>
      <c r="EF142" s="1605" t="s">
        <v>986</v>
      </c>
      <c r="EG142" s="1605" t="s">
        <v>986</v>
      </c>
      <c r="EH142" s="1605" t="s">
        <v>986</v>
      </c>
      <c r="EI142" s="1605" t="s">
        <v>986</v>
      </c>
      <c r="EJ142" s="1605" t="s">
        <v>986</v>
      </c>
      <c r="EK142" s="1605" t="s">
        <v>986</v>
      </c>
      <c r="EL142" s="1605" t="s">
        <v>986</v>
      </c>
      <c r="EM142" s="1605" t="s">
        <v>986</v>
      </c>
      <c r="EN142" s="1605" t="s">
        <v>986</v>
      </c>
      <c r="EO142" s="1605" t="s">
        <v>986</v>
      </c>
      <c r="EP142" s="1605" t="s">
        <v>986</v>
      </c>
      <c r="EQ142" s="1605" t="s">
        <v>986</v>
      </c>
      <c r="ER142" s="1605" t="s">
        <v>986</v>
      </c>
      <c r="ES142" s="1605" t="s">
        <v>986</v>
      </c>
      <c r="ET142" s="1605" t="s">
        <v>986</v>
      </c>
      <c r="EU142" s="1605" t="s">
        <v>986</v>
      </c>
      <c r="EV142" s="1605" t="s">
        <v>986</v>
      </c>
      <c r="EW142" s="1605" t="s">
        <v>986</v>
      </c>
      <c r="EX142" s="1605" t="s">
        <v>986</v>
      </c>
      <c r="EY142" s="1605" t="s">
        <v>986</v>
      </c>
      <c r="EZ142" s="1605" t="s">
        <v>986</v>
      </c>
      <c r="FA142" s="1605" t="s">
        <v>986</v>
      </c>
      <c r="FB142" s="1605" t="s">
        <v>986</v>
      </c>
      <c r="FC142" s="1605" t="s">
        <v>986</v>
      </c>
      <c r="FD142" s="1605" t="s">
        <v>986</v>
      </c>
      <c r="FE142" s="1605" t="s">
        <v>986</v>
      </c>
      <c r="FF142" s="1605" t="s">
        <v>986</v>
      </c>
      <c r="FG142" s="1605" t="s">
        <v>986</v>
      </c>
      <c r="FH142" s="1605" t="s">
        <v>986</v>
      </c>
      <c r="FI142" s="1605" t="s">
        <v>986</v>
      </c>
      <c r="FJ142" s="1605" t="s">
        <v>986</v>
      </c>
      <c r="FK142" s="1605" t="s">
        <v>986</v>
      </c>
      <c r="FL142" s="1605" t="s">
        <v>986</v>
      </c>
      <c r="FM142" s="1605" t="s">
        <v>986</v>
      </c>
      <c r="FN142" s="1605" t="s">
        <v>986</v>
      </c>
      <c r="FO142" s="1605" t="s">
        <v>986</v>
      </c>
      <c r="FP142" s="1605" t="s">
        <v>986</v>
      </c>
      <c r="FQ142" s="1605" t="s">
        <v>986</v>
      </c>
      <c r="FR142" s="1605" t="s">
        <v>986</v>
      </c>
      <c r="FS142" s="1605" t="s">
        <v>986</v>
      </c>
      <c r="FT142" s="1605" t="s">
        <v>986</v>
      </c>
      <c r="FU142" s="1605" t="s">
        <v>986</v>
      </c>
      <c r="FV142" s="1605" t="s">
        <v>986</v>
      </c>
      <c r="FW142" s="1605" t="s">
        <v>986</v>
      </c>
      <c r="FX142" s="1605" t="s">
        <v>986</v>
      </c>
      <c r="FY142" s="1605" t="s">
        <v>986</v>
      </c>
      <c r="FZ142" s="1605" t="s">
        <v>986</v>
      </c>
      <c r="GA142" s="1605" t="s">
        <v>986</v>
      </c>
      <c r="GB142" s="1605" t="s">
        <v>986</v>
      </c>
      <c r="GC142" s="1605" t="s">
        <v>986</v>
      </c>
      <c r="GD142" s="1605" t="s">
        <v>986</v>
      </c>
      <c r="GE142" s="1605" t="s">
        <v>986</v>
      </c>
      <c r="GF142" s="1605" t="s">
        <v>986</v>
      </c>
      <c r="GG142" s="1605" t="s">
        <v>986</v>
      </c>
      <c r="GH142" s="1605" t="s">
        <v>986</v>
      </c>
      <c r="GI142" s="1605" t="s">
        <v>986</v>
      </c>
      <c r="GJ142" s="1605" t="s">
        <v>986</v>
      </c>
      <c r="GK142" s="1605" t="s">
        <v>986</v>
      </c>
      <c r="GL142" s="1605" t="s">
        <v>986</v>
      </c>
      <c r="GM142" s="1605" t="s">
        <v>986</v>
      </c>
      <c r="GN142" s="1605" t="s">
        <v>986</v>
      </c>
      <c r="GO142" s="1605" t="s">
        <v>986</v>
      </c>
      <c r="GP142" s="1605" t="s">
        <v>986</v>
      </c>
      <c r="GQ142" s="1605" t="s">
        <v>986</v>
      </c>
      <c r="GR142" s="1605" t="s">
        <v>986</v>
      </c>
      <c r="GS142" s="1605" t="s">
        <v>986</v>
      </c>
      <c r="GT142" s="1605" t="s">
        <v>986</v>
      </c>
      <c r="GU142" s="1605" t="s">
        <v>986</v>
      </c>
      <c r="GV142" s="1605" t="s">
        <v>986</v>
      </c>
      <c r="GW142" s="1605" t="s">
        <v>986</v>
      </c>
      <c r="GX142" s="1605" t="s">
        <v>986</v>
      </c>
      <c r="GY142" s="1605" t="s">
        <v>986</v>
      </c>
      <c r="GZ142" s="1605" t="s">
        <v>986</v>
      </c>
      <c r="HA142" s="1605" t="s">
        <v>986</v>
      </c>
      <c r="HB142" s="1605" t="s">
        <v>986</v>
      </c>
      <c r="HC142" s="1605" t="s">
        <v>986</v>
      </c>
      <c r="HD142" s="1605" t="s">
        <v>986</v>
      </c>
      <c r="HE142" s="1605" t="s">
        <v>986</v>
      </c>
      <c r="HF142" s="1605" t="s">
        <v>986</v>
      </c>
      <c r="HG142" s="1605" t="s">
        <v>986</v>
      </c>
      <c r="HH142" s="1605" t="s">
        <v>986</v>
      </c>
      <c r="HI142" s="1605" t="s">
        <v>986</v>
      </c>
      <c r="HJ142" s="1605" t="s">
        <v>986</v>
      </c>
      <c r="HK142" s="1605" t="s">
        <v>986</v>
      </c>
      <c r="HL142" s="1605" t="s">
        <v>986</v>
      </c>
      <c r="HM142" s="1605" t="s">
        <v>986</v>
      </c>
      <c r="HN142" s="1605" t="s">
        <v>986</v>
      </c>
      <c r="HO142" s="1605" t="s">
        <v>986</v>
      </c>
      <c r="HP142" s="1605" t="s">
        <v>986</v>
      </c>
      <c r="HQ142" s="1605" t="s">
        <v>986</v>
      </c>
      <c r="HR142" s="1605" t="s">
        <v>986</v>
      </c>
      <c r="HS142" s="1605" t="s">
        <v>986</v>
      </c>
      <c r="HT142" s="1605" t="s">
        <v>986</v>
      </c>
      <c r="HU142" s="1605" t="s">
        <v>986</v>
      </c>
      <c r="HV142" s="1617"/>
      <c r="HW142" s="1617" t="s">
        <v>3401</v>
      </c>
      <c r="HX142" s="1617" t="s">
        <v>3338</v>
      </c>
      <c r="HY142" s="1617" t="s">
        <v>3337</v>
      </c>
      <c r="HZ142" s="1603"/>
      <c r="IA142" s="1603"/>
      <c r="IB142" s="1603"/>
      <c r="IC142" s="1603">
        <v>60.634146341463399</v>
      </c>
      <c r="ID142" s="1603">
        <v>61.219512195121901</v>
      </c>
      <c r="IE142" s="1603">
        <v>61.707317073170699</v>
      </c>
      <c r="IF142" s="1603">
        <v>62</v>
      </c>
      <c r="IG142" s="1611" t="s">
        <v>270</v>
      </c>
      <c r="IH142" s="1616" t="s">
        <v>3408</v>
      </c>
      <c r="II142" s="1615" t="s">
        <v>3407</v>
      </c>
      <c r="IJ142" s="1613">
        <v>9.7584000000000004E-2</v>
      </c>
      <c r="IK142" s="1613">
        <v>9.7584000000000004E-2</v>
      </c>
      <c r="IL142" s="1614">
        <v>9.7584000000000004E-2</v>
      </c>
      <c r="IM142" s="1614">
        <v>9.7584000000000004E-2</v>
      </c>
      <c r="IN142" s="1612">
        <v>9.7584000000000004E-2</v>
      </c>
      <c r="IO142" s="1613">
        <v>0</v>
      </c>
      <c r="IP142" s="1607" t="s">
        <v>270</v>
      </c>
      <c r="IQ142" s="1612" t="s">
        <v>270</v>
      </c>
      <c r="IR142" s="1612" t="s">
        <v>270</v>
      </c>
      <c r="IS142" s="1607" t="s">
        <v>270</v>
      </c>
      <c r="IT142" s="1607" t="s">
        <v>270</v>
      </c>
      <c r="IU142" s="1611" t="s">
        <v>270</v>
      </c>
      <c r="IV142" s="1611" t="s">
        <v>270</v>
      </c>
      <c r="IW142" s="1611" t="s">
        <v>270</v>
      </c>
      <c r="IX142" s="1611" t="s">
        <v>270</v>
      </c>
      <c r="IY142" s="1611" t="s">
        <v>270</v>
      </c>
      <c r="IZ142" s="1611" t="s">
        <v>270</v>
      </c>
      <c r="JA142" s="1611" t="s">
        <v>270</v>
      </c>
      <c r="JB142" s="1611" t="s">
        <v>270</v>
      </c>
      <c r="JC142" s="1611" t="s">
        <v>270</v>
      </c>
      <c r="JD142" s="1611" t="s">
        <v>270</v>
      </c>
      <c r="JE142" s="1611" t="s">
        <v>270</v>
      </c>
      <c r="JF142" s="1611" t="s">
        <v>270</v>
      </c>
      <c r="JG142" s="1611" t="s">
        <v>270</v>
      </c>
      <c r="JH142" s="1611" t="s">
        <v>270</v>
      </c>
      <c r="JI142" s="1611" t="s">
        <v>270</v>
      </c>
      <c r="JJ142" s="1611" t="s">
        <v>270</v>
      </c>
      <c r="JK142" s="1607" t="str">
        <f t="shared" si="11"/>
        <v/>
      </c>
      <c r="JL142" s="1608" t="s">
        <v>2946</v>
      </c>
      <c r="JM142" s="1610" t="s">
        <v>2945</v>
      </c>
      <c r="JN142" s="1608" t="s">
        <v>270</v>
      </c>
      <c r="JO142" s="1609" t="s">
        <v>270</v>
      </c>
      <c r="JP142" s="1608">
        <v>9.7584000000000004E-2</v>
      </c>
      <c r="JQ142" s="1607" t="s">
        <v>270</v>
      </c>
      <c r="JR142" s="1606" t="s">
        <v>270</v>
      </c>
      <c r="JS142" s="1606" t="s">
        <v>270</v>
      </c>
      <c r="JT142" s="1606" t="s">
        <v>270</v>
      </c>
    </row>
    <row r="143" spans="1:280" ht="15" customHeight="1" x14ac:dyDescent="0.2">
      <c r="A143" s="1626">
        <v>73100</v>
      </c>
      <c r="B143" s="1625">
        <v>731</v>
      </c>
      <c r="C143" s="1624">
        <v>0</v>
      </c>
      <c r="D143" s="1623" t="s">
        <v>3406</v>
      </c>
      <c r="E143" s="1622">
        <v>43054</v>
      </c>
      <c r="F143" s="1620">
        <v>0.242670936875726</v>
      </c>
      <c r="G143" s="1620">
        <v>0.26427615892096501</v>
      </c>
      <c r="H143" s="1621">
        <v>67.3</v>
      </c>
      <c r="I143" s="1621">
        <v>57.3</v>
      </c>
      <c r="J143" s="1621">
        <v>75</v>
      </c>
      <c r="K143" s="1620">
        <v>1</v>
      </c>
      <c r="L143" s="1620">
        <v>31.8</v>
      </c>
      <c r="M143" s="1620">
        <v>3.8477999999999999</v>
      </c>
      <c r="N143" s="1620">
        <v>0.63600000000000001</v>
      </c>
      <c r="O143" s="1620">
        <v>1.8762000000000001</v>
      </c>
      <c r="P143" s="1620">
        <v>6.9960000000000004</v>
      </c>
      <c r="Q143" s="1603"/>
      <c r="R143" s="1620">
        <v>49.841696103896098</v>
      </c>
      <c r="S143" s="1620">
        <v>48</v>
      </c>
      <c r="T143" s="1620">
        <v>54.097560975609802</v>
      </c>
      <c r="U143" s="1620">
        <v>56.536585365853703</v>
      </c>
      <c r="V143" s="1620">
        <v>58.731707317073202</v>
      </c>
      <c r="W143" s="1620">
        <v>60.195121951219498</v>
      </c>
      <c r="X143" s="1620"/>
      <c r="Y143" s="1620">
        <v>5</v>
      </c>
      <c r="Z143" s="1620">
        <v>2.6999999999999997</v>
      </c>
      <c r="AA143" s="1620">
        <v>0.4</v>
      </c>
      <c r="AB143" s="1620">
        <v>0</v>
      </c>
      <c r="AC143" s="1620">
        <v>14.299999999999999</v>
      </c>
      <c r="AD143" s="1620">
        <v>1.2</v>
      </c>
      <c r="AE143" s="1620">
        <v>0</v>
      </c>
      <c r="AF143" s="1620">
        <v>57.999999999999993</v>
      </c>
      <c r="AG143" s="1620">
        <v>6.3</v>
      </c>
      <c r="AH143" s="1620">
        <v>23.999999999999996</v>
      </c>
      <c r="AI143" s="1620">
        <v>46.999999999999993</v>
      </c>
      <c r="AJ143" s="1620">
        <v>0</v>
      </c>
      <c r="AK143" s="1620">
        <v>0.04</v>
      </c>
      <c r="AL143" s="1620"/>
      <c r="AM143" s="1620">
        <v>2.9</v>
      </c>
      <c r="AN143" s="1620">
        <v>0.96</v>
      </c>
      <c r="AO143" s="1620">
        <v>0.74</v>
      </c>
      <c r="AP143" s="1620">
        <v>2.29</v>
      </c>
      <c r="AQ143" s="1620">
        <v>0</v>
      </c>
      <c r="AR143" s="1620">
        <v>3.48</v>
      </c>
      <c r="AS143" s="1620">
        <v>5.35</v>
      </c>
      <c r="AT143" s="1620">
        <v>1.63</v>
      </c>
      <c r="AU143" s="1620">
        <v>3.07</v>
      </c>
      <c r="AV143" s="1620">
        <v>2.02</v>
      </c>
      <c r="AW143" s="1620">
        <v>4.32</v>
      </c>
      <c r="AX143" s="1620"/>
      <c r="AY143" s="1620">
        <v>1</v>
      </c>
      <c r="AZ143" s="1620">
        <v>1</v>
      </c>
      <c r="BA143" s="1620">
        <v>1</v>
      </c>
      <c r="BB143" s="1620">
        <v>1</v>
      </c>
      <c r="BC143" s="1620">
        <v>1</v>
      </c>
      <c r="BD143" s="1620">
        <v>1</v>
      </c>
      <c r="BE143" s="1620">
        <v>1</v>
      </c>
      <c r="BF143" s="1620">
        <v>1</v>
      </c>
      <c r="BG143" s="1620">
        <v>1</v>
      </c>
      <c r="BH143" s="1620">
        <v>1</v>
      </c>
      <c r="BI143" s="1620">
        <v>1</v>
      </c>
      <c r="BJ143" s="1603"/>
      <c r="BK143" s="1620">
        <v>12.1</v>
      </c>
      <c r="BL143" s="1620">
        <v>2</v>
      </c>
      <c r="BM143" s="1620">
        <v>5.9</v>
      </c>
      <c r="BN143" s="1620">
        <v>22</v>
      </c>
      <c r="BO143" s="1620"/>
      <c r="BP143" s="1620">
        <v>0</v>
      </c>
      <c r="BQ143" s="1620">
        <v>0</v>
      </c>
      <c r="BR143" s="1620">
        <v>0.76311615369725161</v>
      </c>
      <c r="BS143" s="1620">
        <v>0.83105710352504714</v>
      </c>
      <c r="BT143" s="1603"/>
      <c r="BU143" s="1620">
        <v>941</v>
      </c>
      <c r="BV143" s="1620">
        <v>369.35442857142766</v>
      </c>
      <c r="BW143" s="1620">
        <v>134.42857142857108</v>
      </c>
      <c r="BX143" s="1620">
        <v>250</v>
      </c>
      <c r="BY143" s="1620">
        <v>20</v>
      </c>
      <c r="BZ143" s="1620" t="s">
        <v>270</v>
      </c>
      <c r="CA143" s="1620" t="s">
        <v>270</v>
      </c>
      <c r="CB143" s="1603"/>
      <c r="CC143" s="1603">
        <v>1.59</v>
      </c>
      <c r="CD143" s="1603">
        <v>0.85859999999999992</v>
      </c>
      <c r="CE143" s="1603">
        <v>0.12720000000000001</v>
      </c>
      <c r="CF143" s="1603">
        <v>0</v>
      </c>
      <c r="CG143" s="1603">
        <v>4.5473999999999997</v>
      </c>
      <c r="CH143" s="1603">
        <v>0.38159999999999999</v>
      </c>
      <c r="CI143" s="1603">
        <v>0</v>
      </c>
      <c r="CJ143" s="1603"/>
      <c r="CK143" s="1603">
        <v>18.443999999999999</v>
      </c>
      <c r="CL143" s="1603">
        <v>2.0034000000000001</v>
      </c>
      <c r="CM143" s="1603">
        <v>7.6319999999999988</v>
      </c>
      <c r="CN143" s="1603">
        <v>14.945999999999998</v>
      </c>
      <c r="CO143" s="1603">
        <v>0</v>
      </c>
      <c r="CP143" s="1603">
        <v>1.272E-2</v>
      </c>
      <c r="CQ143" s="1603">
        <v>19.178087826857102</v>
      </c>
      <c r="CR143" s="1603">
        <v>79.02919102619353</v>
      </c>
      <c r="CS143" s="1603">
        <v>2.2918465397596206</v>
      </c>
      <c r="CT143" s="1603">
        <v>0.75868023385146122</v>
      </c>
      <c r="CU143" s="1603">
        <v>0.58481601359383406</v>
      </c>
      <c r="CV143" s="1603">
        <v>1.3434962474452912</v>
      </c>
      <c r="CW143" s="1603">
        <v>1.8097684744998332</v>
      </c>
      <c r="CX143" s="1603">
        <v>0</v>
      </c>
      <c r="CY143" s="1603">
        <v>2.7502158477115342</v>
      </c>
      <c r="CZ143" s="1603">
        <v>4.2280617199013744</v>
      </c>
      <c r="DA143" s="1603">
        <v>1.2881758137269597</v>
      </c>
      <c r="DB143" s="1603">
        <v>2.4261961645041454</v>
      </c>
      <c r="DC143" s="1603">
        <v>1.5963896587291115</v>
      </c>
      <c r="DD143" s="1603">
        <v>4.022585823233257</v>
      </c>
      <c r="DE143" s="1603">
        <v>3.4140610523315655</v>
      </c>
      <c r="DF143" s="1603">
        <v>0</v>
      </c>
      <c r="DG143" s="1603">
        <v>0</v>
      </c>
      <c r="DH143" s="1603">
        <v>0</v>
      </c>
      <c r="DI143" s="1603">
        <v>0</v>
      </c>
      <c r="DJ143" s="1603">
        <v>0</v>
      </c>
      <c r="DK143" s="1603">
        <v>0</v>
      </c>
      <c r="DL143" s="1603">
        <v>0</v>
      </c>
      <c r="DM143" s="1603">
        <v>0</v>
      </c>
      <c r="DN143" s="1603">
        <v>0</v>
      </c>
      <c r="DO143" s="1603">
        <v>0</v>
      </c>
      <c r="DP143" s="1603">
        <v>0</v>
      </c>
      <c r="DQ143" s="1603">
        <v>0</v>
      </c>
      <c r="DR143" s="1603">
        <v>0</v>
      </c>
      <c r="DS143" s="1603">
        <v>0</v>
      </c>
      <c r="DT143" s="1603">
        <v>0</v>
      </c>
      <c r="DU143" s="1603">
        <v>0</v>
      </c>
      <c r="DV143" s="1603">
        <v>0</v>
      </c>
      <c r="DW143" s="1618" t="s">
        <v>3402</v>
      </c>
      <c r="DX143" s="1605" t="s">
        <v>986</v>
      </c>
      <c r="DY143" s="1605" t="s">
        <v>986</v>
      </c>
      <c r="DZ143" s="1605" t="s">
        <v>986</v>
      </c>
      <c r="EA143" s="1605" t="s">
        <v>986</v>
      </c>
      <c r="EB143" s="1605" t="s">
        <v>986</v>
      </c>
      <c r="EC143" s="1605" t="s">
        <v>986</v>
      </c>
      <c r="ED143" s="1605" t="s">
        <v>986</v>
      </c>
      <c r="EE143" s="1605" t="s">
        <v>986</v>
      </c>
      <c r="EF143" s="1605" t="s">
        <v>986</v>
      </c>
      <c r="EG143" s="1605" t="s">
        <v>986</v>
      </c>
      <c r="EH143" s="1605" t="s">
        <v>986</v>
      </c>
      <c r="EI143" s="1605" t="s">
        <v>986</v>
      </c>
      <c r="EJ143" s="1605" t="s">
        <v>986</v>
      </c>
      <c r="EK143" s="1605" t="s">
        <v>986</v>
      </c>
      <c r="EL143" s="1605" t="s">
        <v>986</v>
      </c>
      <c r="EM143" s="1605" t="s">
        <v>986</v>
      </c>
      <c r="EN143" s="1605" t="s">
        <v>986</v>
      </c>
      <c r="EO143" s="1605" t="s">
        <v>986</v>
      </c>
      <c r="EP143" s="1605" t="s">
        <v>986</v>
      </c>
      <c r="EQ143" s="1605" t="s">
        <v>986</v>
      </c>
      <c r="ER143" s="1605" t="s">
        <v>986</v>
      </c>
      <c r="ES143" s="1605" t="s">
        <v>986</v>
      </c>
      <c r="ET143" s="1605" t="s">
        <v>986</v>
      </c>
      <c r="EU143" s="1605" t="s">
        <v>986</v>
      </c>
      <c r="EV143" s="1605" t="s">
        <v>986</v>
      </c>
      <c r="EW143" s="1605" t="s">
        <v>986</v>
      </c>
      <c r="EX143" s="1605" t="s">
        <v>986</v>
      </c>
      <c r="EY143" s="1605" t="s">
        <v>986</v>
      </c>
      <c r="EZ143" s="1605" t="s">
        <v>986</v>
      </c>
      <c r="FA143" s="1605" t="s">
        <v>986</v>
      </c>
      <c r="FB143" s="1605" t="s">
        <v>986</v>
      </c>
      <c r="FC143" s="1605" t="s">
        <v>986</v>
      </c>
      <c r="FD143" s="1605" t="s">
        <v>986</v>
      </c>
      <c r="FE143" s="1605" t="s">
        <v>986</v>
      </c>
      <c r="FF143" s="1605" t="s">
        <v>986</v>
      </c>
      <c r="FG143" s="1605" t="s">
        <v>986</v>
      </c>
      <c r="FH143" s="1605" t="s">
        <v>986</v>
      </c>
      <c r="FI143" s="1605" t="s">
        <v>986</v>
      </c>
      <c r="FJ143" s="1605" t="s">
        <v>986</v>
      </c>
      <c r="FK143" s="1605" t="s">
        <v>986</v>
      </c>
      <c r="FL143" s="1605" t="s">
        <v>986</v>
      </c>
      <c r="FM143" s="1605" t="s">
        <v>986</v>
      </c>
      <c r="FN143" s="1605" t="s">
        <v>986</v>
      </c>
      <c r="FO143" s="1605" t="s">
        <v>986</v>
      </c>
      <c r="FP143" s="1605" t="s">
        <v>986</v>
      </c>
      <c r="FQ143" s="1605" t="s">
        <v>986</v>
      </c>
      <c r="FR143" s="1605" t="s">
        <v>986</v>
      </c>
      <c r="FS143" s="1605" t="s">
        <v>986</v>
      </c>
      <c r="FT143" s="1605" t="s">
        <v>986</v>
      </c>
      <c r="FU143" s="1605" t="s">
        <v>986</v>
      </c>
      <c r="FV143" s="1605" t="s">
        <v>986</v>
      </c>
      <c r="FW143" s="1605" t="s">
        <v>986</v>
      </c>
      <c r="FX143" s="1605" t="s">
        <v>986</v>
      </c>
      <c r="FY143" s="1605" t="s">
        <v>986</v>
      </c>
      <c r="FZ143" s="1605" t="s">
        <v>986</v>
      </c>
      <c r="GA143" s="1605" t="s">
        <v>986</v>
      </c>
      <c r="GB143" s="1605" t="s">
        <v>986</v>
      </c>
      <c r="GC143" s="1605" t="s">
        <v>986</v>
      </c>
      <c r="GD143" s="1605" t="s">
        <v>986</v>
      </c>
      <c r="GE143" s="1605" t="s">
        <v>986</v>
      </c>
      <c r="GF143" s="1605" t="s">
        <v>986</v>
      </c>
      <c r="GG143" s="1605" t="s">
        <v>986</v>
      </c>
      <c r="GH143" s="1605" t="s">
        <v>986</v>
      </c>
      <c r="GI143" s="1605" t="s">
        <v>986</v>
      </c>
      <c r="GJ143" s="1605" t="s">
        <v>986</v>
      </c>
      <c r="GK143" s="1605" t="s">
        <v>986</v>
      </c>
      <c r="GL143" s="1605" t="s">
        <v>986</v>
      </c>
      <c r="GM143" s="1605" t="s">
        <v>986</v>
      </c>
      <c r="GN143" s="1605" t="s">
        <v>986</v>
      </c>
      <c r="GO143" s="1605" t="s">
        <v>986</v>
      </c>
      <c r="GP143" s="1605" t="s">
        <v>986</v>
      </c>
      <c r="GQ143" s="1605" t="s">
        <v>986</v>
      </c>
      <c r="GR143" s="1605" t="s">
        <v>986</v>
      </c>
      <c r="GS143" s="1605" t="s">
        <v>986</v>
      </c>
      <c r="GT143" s="1605" t="s">
        <v>986</v>
      </c>
      <c r="GU143" s="1605" t="s">
        <v>986</v>
      </c>
      <c r="GV143" s="1605" t="s">
        <v>986</v>
      </c>
      <c r="GW143" s="1605" t="s">
        <v>986</v>
      </c>
      <c r="GX143" s="1605" t="s">
        <v>986</v>
      </c>
      <c r="GY143" s="1605" t="s">
        <v>986</v>
      </c>
      <c r="GZ143" s="1605" t="s">
        <v>986</v>
      </c>
      <c r="HA143" s="1605" t="s">
        <v>986</v>
      </c>
      <c r="HB143" s="1605" t="s">
        <v>986</v>
      </c>
      <c r="HC143" s="1605" t="s">
        <v>986</v>
      </c>
      <c r="HD143" s="1605" t="s">
        <v>986</v>
      </c>
      <c r="HE143" s="1605" t="s">
        <v>986</v>
      </c>
      <c r="HF143" s="1605" t="s">
        <v>986</v>
      </c>
      <c r="HG143" s="1605" t="s">
        <v>986</v>
      </c>
      <c r="HH143" s="1605" t="s">
        <v>986</v>
      </c>
      <c r="HI143" s="1605" t="s">
        <v>986</v>
      </c>
      <c r="HJ143" s="1605" t="s">
        <v>986</v>
      </c>
      <c r="HK143" s="1605" t="s">
        <v>986</v>
      </c>
      <c r="HL143" s="1605" t="s">
        <v>986</v>
      </c>
      <c r="HM143" s="1605" t="s">
        <v>986</v>
      </c>
      <c r="HN143" s="1605" t="s">
        <v>986</v>
      </c>
      <c r="HO143" s="1605" t="s">
        <v>986</v>
      </c>
      <c r="HP143" s="1605" t="s">
        <v>986</v>
      </c>
      <c r="HQ143" s="1605" t="s">
        <v>986</v>
      </c>
      <c r="HR143" s="1605" t="s">
        <v>986</v>
      </c>
      <c r="HS143" s="1605" t="s">
        <v>986</v>
      </c>
      <c r="HT143" s="1605" t="s">
        <v>986</v>
      </c>
      <c r="HU143" s="1605" t="s">
        <v>986</v>
      </c>
      <c r="HV143" s="1617"/>
      <c r="HW143" s="1617" t="s">
        <v>3401</v>
      </c>
      <c r="HX143" s="1617" t="s">
        <v>3338</v>
      </c>
      <c r="HY143" s="1617" t="s">
        <v>3337</v>
      </c>
      <c r="HZ143" s="1603"/>
      <c r="IA143" s="1603"/>
      <c r="IB143" s="1603"/>
      <c r="IC143" s="1603">
        <v>61.292682926829301</v>
      </c>
      <c r="ID143" s="1603">
        <v>62.024390243902502</v>
      </c>
      <c r="IE143" s="1603">
        <v>62.634146341463399</v>
      </c>
      <c r="IF143" s="1603">
        <v>63</v>
      </c>
      <c r="IG143" s="1611" t="s">
        <v>270</v>
      </c>
      <c r="IH143" s="1616" t="s">
        <v>3405</v>
      </c>
      <c r="II143" s="1615" t="s">
        <v>3404</v>
      </c>
      <c r="IJ143" s="1613">
        <v>0.63600000000000001</v>
      </c>
      <c r="IK143" s="1613">
        <v>0.63600000000000001</v>
      </c>
      <c r="IL143" s="1614">
        <v>0.63600000000000001</v>
      </c>
      <c r="IM143" s="1614">
        <v>0.63600000000000001</v>
      </c>
      <c r="IN143" s="1612">
        <v>0.63600000000000001</v>
      </c>
      <c r="IO143" s="1613">
        <v>0</v>
      </c>
      <c r="IP143" s="1607" t="s">
        <v>270</v>
      </c>
      <c r="IQ143" s="1612" t="s">
        <v>270</v>
      </c>
      <c r="IR143" s="1612" t="s">
        <v>270</v>
      </c>
      <c r="IS143" s="1607" t="s">
        <v>270</v>
      </c>
      <c r="IT143" s="1607" t="s">
        <v>270</v>
      </c>
      <c r="IU143" s="1611" t="s">
        <v>270</v>
      </c>
      <c r="IV143" s="1611" t="s">
        <v>270</v>
      </c>
      <c r="IW143" s="1611" t="s">
        <v>270</v>
      </c>
      <c r="IX143" s="1611" t="s">
        <v>270</v>
      </c>
      <c r="IY143" s="1611" t="s">
        <v>270</v>
      </c>
      <c r="IZ143" s="1611" t="s">
        <v>270</v>
      </c>
      <c r="JA143" s="1611" t="s">
        <v>270</v>
      </c>
      <c r="JB143" s="1611" t="s">
        <v>270</v>
      </c>
      <c r="JC143" s="1611" t="s">
        <v>270</v>
      </c>
      <c r="JD143" s="1611" t="s">
        <v>270</v>
      </c>
      <c r="JE143" s="1611" t="s">
        <v>270</v>
      </c>
      <c r="JF143" s="1611" t="s">
        <v>270</v>
      </c>
      <c r="JG143" s="1611" t="s">
        <v>270</v>
      </c>
      <c r="JH143" s="1611" t="s">
        <v>270</v>
      </c>
      <c r="JI143" s="1611" t="s">
        <v>270</v>
      </c>
      <c r="JJ143" s="1611" t="s">
        <v>270</v>
      </c>
      <c r="JK143" s="1607" t="str">
        <f t="shared" si="11"/>
        <v/>
      </c>
      <c r="JL143" s="1608" t="s">
        <v>2946</v>
      </c>
      <c r="JM143" s="1610" t="s">
        <v>2945</v>
      </c>
      <c r="JN143" s="1608" t="s">
        <v>270</v>
      </c>
      <c r="JO143" s="1609" t="s">
        <v>270</v>
      </c>
      <c r="JP143" s="1608">
        <v>0.63600000000000001</v>
      </c>
      <c r="JQ143" s="1607" t="s">
        <v>270</v>
      </c>
      <c r="JR143" s="1606" t="s">
        <v>270</v>
      </c>
      <c r="JS143" s="1606" t="s">
        <v>270</v>
      </c>
      <c r="JT143" s="1606" t="s">
        <v>270</v>
      </c>
    </row>
    <row r="144" spans="1:280" ht="15" customHeight="1" x14ac:dyDescent="0.2">
      <c r="A144" s="1626">
        <v>73400</v>
      </c>
      <c r="B144" s="1625">
        <v>734</v>
      </c>
      <c r="C144" s="1624">
        <v>0</v>
      </c>
      <c r="D144" s="1623" t="s">
        <v>3403</v>
      </c>
      <c r="E144" s="1622">
        <v>43054</v>
      </c>
      <c r="F144" s="1620">
        <v>0.21759558183314001</v>
      </c>
      <c r="G144" s="1620">
        <v>0.23596281126159599</v>
      </c>
      <c r="H144" s="1621">
        <v>68.45</v>
      </c>
      <c r="I144" s="1621">
        <v>58.5</v>
      </c>
      <c r="J144" s="1621">
        <v>75</v>
      </c>
      <c r="K144" s="1620">
        <v>1</v>
      </c>
      <c r="L144" s="1620">
        <v>29</v>
      </c>
      <c r="M144" s="1620">
        <v>4.8719999999999999</v>
      </c>
      <c r="N144" s="1620">
        <v>0.57999999999999996</v>
      </c>
      <c r="O144" s="1620">
        <v>2.4649999999999999</v>
      </c>
      <c r="P144" s="1620">
        <v>6.38</v>
      </c>
      <c r="Q144" s="1603"/>
      <c r="R144" s="1620">
        <v>57.492588010204102</v>
      </c>
      <c r="S144" s="1620">
        <v>45</v>
      </c>
      <c r="T144" s="1620">
        <v>52.317073170731703</v>
      </c>
      <c r="U144" s="1620">
        <v>55.243902439024403</v>
      </c>
      <c r="V144" s="1620">
        <v>57.878048780487802</v>
      </c>
      <c r="W144" s="1620">
        <v>59.634146341463399</v>
      </c>
      <c r="X144" s="1620"/>
      <c r="Y144" s="1620">
        <v>9.2000000000000011</v>
      </c>
      <c r="Z144" s="1620">
        <v>3.2</v>
      </c>
      <c r="AA144" s="1620">
        <v>0.49999999999999994</v>
      </c>
      <c r="AB144" s="1620">
        <v>0</v>
      </c>
      <c r="AC144" s="1620">
        <v>18.7</v>
      </c>
      <c r="AD144" s="1620">
        <v>1.8</v>
      </c>
      <c r="AE144" s="1620">
        <v>0</v>
      </c>
      <c r="AF144" s="1620">
        <v>58</v>
      </c>
      <c r="AG144" s="1620">
        <v>7.3999999999999995</v>
      </c>
      <c r="AH144" s="1620">
        <v>31</v>
      </c>
      <c r="AI144" s="1620">
        <v>62</v>
      </c>
      <c r="AJ144" s="1620">
        <v>0</v>
      </c>
      <c r="AK144" s="1620">
        <v>3.9999999999999994E-2</v>
      </c>
      <c r="AL144" s="1620"/>
      <c r="AM144" s="1620">
        <v>3.2</v>
      </c>
      <c r="AN144" s="1620">
        <v>0.93</v>
      </c>
      <c r="AO144" s="1620">
        <v>0.6</v>
      </c>
      <c r="AP144" s="1620">
        <v>2.21</v>
      </c>
      <c r="AQ144" s="1620">
        <v>0</v>
      </c>
      <c r="AR144" s="1620">
        <v>4.0999999999999996</v>
      </c>
      <c r="AS144" s="1620">
        <v>5.9</v>
      </c>
      <c r="AT144" s="1620">
        <v>1.59</v>
      </c>
      <c r="AU144" s="1620">
        <v>3.35</v>
      </c>
      <c r="AV144" s="1620">
        <v>2.75</v>
      </c>
      <c r="AW144" s="1620">
        <v>4.97</v>
      </c>
      <c r="AX144" s="1620"/>
      <c r="AY144" s="1620">
        <v>1</v>
      </c>
      <c r="AZ144" s="1620">
        <v>1</v>
      </c>
      <c r="BA144" s="1620">
        <v>1</v>
      </c>
      <c r="BB144" s="1620">
        <v>1</v>
      </c>
      <c r="BC144" s="1620">
        <v>1</v>
      </c>
      <c r="BD144" s="1620">
        <v>1</v>
      </c>
      <c r="BE144" s="1620">
        <v>1</v>
      </c>
      <c r="BF144" s="1620">
        <v>1</v>
      </c>
      <c r="BG144" s="1620">
        <v>1</v>
      </c>
      <c r="BH144" s="1620">
        <v>1</v>
      </c>
      <c r="BI144" s="1620">
        <v>1</v>
      </c>
      <c r="BJ144" s="1603"/>
      <c r="BK144" s="1620">
        <v>16.8</v>
      </c>
      <c r="BL144" s="1620">
        <v>1.9999999999999998</v>
      </c>
      <c r="BM144" s="1620">
        <v>8.5</v>
      </c>
      <c r="BN144" s="1620">
        <v>22</v>
      </c>
      <c r="BO144" s="1620"/>
      <c r="BP144" s="1620">
        <v>130</v>
      </c>
      <c r="BQ144" s="1620">
        <v>26</v>
      </c>
      <c r="BR144" s="1620">
        <v>0.75032959252806908</v>
      </c>
      <c r="BS144" s="1620">
        <v>0.81366486641929658</v>
      </c>
      <c r="BT144" s="1603"/>
      <c r="BU144" s="1620">
        <v>915.00000000000011</v>
      </c>
      <c r="BV144" s="1620">
        <v>323.97678571428588</v>
      </c>
      <c r="BW144" s="1620">
        <v>130.06071428571411</v>
      </c>
      <c r="BX144" s="1620">
        <v>150</v>
      </c>
      <c r="BY144" s="1620">
        <v>27</v>
      </c>
      <c r="BZ144" s="1620" t="s">
        <v>270</v>
      </c>
      <c r="CA144" s="1620" t="s">
        <v>270</v>
      </c>
      <c r="CB144" s="1603"/>
      <c r="CC144" s="1603">
        <v>2.6680000000000001</v>
      </c>
      <c r="CD144" s="1603">
        <v>0.92799999999999994</v>
      </c>
      <c r="CE144" s="1603">
        <v>0.14499999999999996</v>
      </c>
      <c r="CF144" s="1603">
        <v>0</v>
      </c>
      <c r="CG144" s="1603">
        <v>5.4229999999999992</v>
      </c>
      <c r="CH144" s="1603">
        <v>0.52200000000000002</v>
      </c>
      <c r="CI144" s="1603">
        <v>0</v>
      </c>
      <c r="CJ144" s="1603"/>
      <c r="CK144" s="1603">
        <v>16.82</v>
      </c>
      <c r="CL144" s="1603">
        <v>2.1459999999999999</v>
      </c>
      <c r="CM144" s="1603">
        <v>8.99</v>
      </c>
      <c r="CN144" s="1603">
        <v>17.98</v>
      </c>
      <c r="CO144" s="1603">
        <v>0</v>
      </c>
      <c r="CP144" s="1603">
        <v>1.1599999999999997E-2</v>
      </c>
      <c r="CQ144" s="1603">
        <v>28.010388878571401</v>
      </c>
      <c r="CR144" s="1603">
        <v>128.72682727561426</v>
      </c>
      <c r="CS144" s="1603">
        <v>4.1192584728196566</v>
      </c>
      <c r="CT144" s="1603">
        <v>1.1971594936632124</v>
      </c>
      <c r="CU144" s="1603">
        <v>0.77236096365368823</v>
      </c>
      <c r="CV144" s="1603">
        <v>1.9695204573169007</v>
      </c>
      <c r="CW144" s="1603">
        <v>2.8448628827910798</v>
      </c>
      <c r="CX144" s="1603">
        <v>0</v>
      </c>
      <c r="CY144" s="1603">
        <v>5.2777999183001958</v>
      </c>
      <c r="CZ144" s="1603">
        <v>7.5948828092612288</v>
      </c>
      <c r="DA144" s="1603">
        <v>2.0467565536822701</v>
      </c>
      <c r="DB144" s="1603">
        <v>4.3123487137330914</v>
      </c>
      <c r="DC144" s="1603">
        <v>3.5399877500793897</v>
      </c>
      <c r="DD144" s="1603">
        <v>7.85233646381249</v>
      </c>
      <c r="DE144" s="1603">
        <v>6.397723315598034</v>
      </c>
      <c r="DF144" s="1603">
        <v>0</v>
      </c>
      <c r="DG144" s="1603">
        <v>0</v>
      </c>
      <c r="DH144" s="1603">
        <v>0</v>
      </c>
      <c r="DI144" s="1603">
        <v>0</v>
      </c>
      <c r="DJ144" s="1603">
        <v>0</v>
      </c>
      <c r="DK144" s="1603">
        <v>0</v>
      </c>
      <c r="DL144" s="1603">
        <v>0</v>
      </c>
      <c r="DM144" s="1603">
        <v>0</v>
      </c>
      <c r="DN144" s="1603">
        <v>0</v>
      </c>
      <c r="DO144" s="1603">
        <v>0</v>
      </c>
      <c r="DP144" s="1603">
        <v>0</v>
      </c>
      <c r="DQ144" s="1603">
        <v>0</v>
      </c>
      <c r="DR144" s="1603">
        <v>0</v>
      </c>
      <c r="DS144" s="1603">
        <v>0</v>
      </c>
      <c r="DT144" s="1603">
        <v>0</v>
      </c>
      <c r="DU144" s="1603">
        <v>0</v>
      </c>
      <c r="DV144" s="1603">
        <v>0</v>
      </c>
      <c r="DW144" s="1618" t="s">
        <v>3402</v>
      </c>
      <c r="DX144" s="1605" t="s">
        <v>986</v>
      </c>
      <c r="DY144" s="1605" t="s">
        <v>986</v>
      </c>
      <c r="DZ144" s="1605" t="s">
        <v>986</v>
      </c>
      <c r="EA144" s="1605" t="s">
        <v>986</v>
      </c>
      <c r="EB144" s="1605" t="s">
        <v>986</v>
      </c>
      <c r="EC144" s="1605" t="s">
        <v>986</v>
      </c>
      <c r="ED144" s="1605" t="s">
        <v>986</v>
      </c>
      <c r="EE144" s="1605" t="s">
        <v>986</v>
      </c>
      <c r="EF144" s="1605" t="s">
        <v>986</v>
      </c>
      <c r="EG144" s="1605" t="s">
        <v>986</v>
      </c>
      <c r="EH144" s="1605" t="s">
        <v>986</v>
      </c>
      <c r="EI144" s="1605" t="s">
        <v>986</v>
      </c>
      <c r="EJ144" s="1605" t="s">
        <v>986</v>
      </c>
      <c r="EK144" s="1605" t="s">
        <v>986</v>
      </c>
      <c r="EL144" s="1605" t="s">
        <v>986</v>
      </c>
      <c r="EM144" s="1605" t="s">
        <v>986</v>
      </c>
      <c r="EN144" s="1605" t="s">
        <v>986</v>
      </c>
      <c r="EO144" s="1605" t="s">
        <v>986</v>
      </c>
      <c r="EP144" s="1605" t="s">
        <v>986</v>
      </c>
      <c r="EQ144" s="1605" t="s">
        <v>986</v>
      </c>
      <c r="ER144" s="1605" t="s">
        <v>986</v>
      </c>
      <c r="ES144" s="1605" t="s">
        <v>986</v>
      </c>
      <c r="ET144" s="1605" t="s">
        <v>986</v>
      </c>
      <c r="EU144" s="1605" t="s">
        <v>986</v>
      </c>
      <c r="EV144" s="1605" t="s">
        <v>986</v>
      </c>
      <c r="EW144" s="1605" t="s">
        <v>986</v>
      </c>
      <c r="EX144" s="1605" t="s">
        <v>986</v>
      </c>
      <c r="EY144" s="1605" t="s">
        <v>986</v>
      </c>
      <c r="EZ144" s="1605" t="s">
        <v>986</v>
      </c>
      <c r="FA144" s="1605" t="s">
        <v>986</v>
      </c>
      <c r="FB144" s="1605" t="s">
        <v>986</v>
      </c>
      <c r="FC144" s="1605" t="s">
        <v>986</v>
      </c>
      <c r="FD144" s="1605" t="s">
        <v>986</v>
      </c>
      <c r="FE144" s="1605" t="s">
        <v>986</v>
      </c>
      <c r="FF144" s="1605" t="s">
        <v>986</v>
      </c>
      <c r="FG144" s="1605" t="s">
        <v>986</v>
      </c>
      <c r="FH144" s="1605" t="s">
        <v>986</v>
      </c>
      <c r="FI144" s="1605" t="s">
        <v>986</v>
      </c>
      <c r="FJ144" s="1605" t="s">
        <v>986</v>
      </c>
      <c r="FK144" s="1605" t="s">
        <v>986</v>
      </c>
      <c r="FL144" s="1605" t="s">
        <v>986</v>
      </c>
      <c r="FM144" s="1605" t="s">
        <v>986</v>
      </c>
      <c r="FN144" s="1605" t="s">
        <v>986</v>
      </c>
      <c r="FO144" s="1605" t="s">
        <v>986</v>
      </c>
      <c r="FP144" s="1605" t="s">
        <v>986</v>
      </c>
      <c r="FQ144" s="1605" t="s">
        <v>986</v>
      </c>
      <c r="FR144" s="1605" t="s">
        <v>986</v>
      </c>
      <c r="FS144" s="1605" t="s">
        <v>986</v>
      </c>
      <c r="FT144" s="1605" t="s">
        <v>986</v>
      </c>
      <c r="FU144" s="1605" t="s">
        <v>986</v>
      </c>
      <c r="FV144" s="1605" t="s">
        <v>986</v>
      </c>
      <c r="FW144" s="1605" t="s">
        <v>986</v>
      </c>
      <c r="FX144" s="1605" t="s">
        <v>986</v>
      </c>
      <c r="FY144" s="1605" t="s">
        <v>986</v>
      </c>
      <c r="FZ144" s="1605" t="s">
        <v>986</v>
      </c>
      <c r="GA144" s="1605" t="s">
        <v>986</v>
      </c>
      <c r="GB144" s="1605" t="s">
        <v>986</v>
      </c>
      <c r="GC144" s="1605" t="s">
        <v>986</v>
      </c>
      <c r="GD144" s="1605" t="s">
        <v>986</v>
      </c>
      <c r="GE144" s="1605" t="s">
        <v>986</v>
      </c>
      <c r="GF144" s="1605" t="s">
        <v>986</v>
      </c>
      <c r="GG144" s="1605" t="s">
        <v>986</v>
      </c>
      <c r="GH144" s="1605" t="s">
        <v>986</v>
      </c>
      <c r="GI144" s="1605" t="s">
        <v>986</v>
      </c>
      <c r="GJ144" s="1605" t="s">
        <v>986</v>
      </c>
      <c r="GK144" s="1605" t="s">
        <v>986</v>
      </c>
      <c r="GL144" s="1605" t="s">
        <v>986</v>
      </c>
      <c r="GM144" s="1605" t="s">
        <v>986</v>
      </c>
      <c r="GN144" s="1605" t="s">
        <v>986</v>
      </c>
      <c r="GO144" s="1605" t="s">
        <v>986</v>
      </c>
      <c r="GP144" s="1605" t="s">
        <v>986</v>
      </c>
      <c r="GQ144" s="1605" t="s">
        <v>986</v>
      </c>
      <c r="GR144" s="1605" t="s">
        <v>986</v>
      </c>
      <c r="GS144" s="1605" t="s">
        <v>986</v>
      </c>
      <c r="GT144" s="1605" t="s">
        <v>986</v>
      </c>
      <c r="GU144" s="1605" t="s">
        <v>986</v>
      </c>
      <c r="GV144" s="1605" t="s">
        <v>986</v>
      </c>
      <c r="GW144" s="1605" t="s">
        <v>986</v>
      </c>
      <c r="GX144" s="1605" t="s">
        <v>986</v>
      </c>
      <c r="GY144" s="1605" t="s">
        <v>986</v>
      </c>
      <c r="GZ144" s="1605" t="s">
        <v>986</v>
      </c>
      <c r="HA144" s="1605" t="s">
        <v>986</v>
      </c>
      <c r="HB144" s="1605" t="s">
        <v>986</v>
      </c>
      <c r="HC144" s="1605" t="s">
        <v>986</v>
      </c>
      <c r="HD144" s="1605" t="s">
        <v>986</v>
      </c>
      <c r="HE144" s="1605" t="s">
        <v>986</v>
      </c>
      <c r="HF144" s="1605" t="s">
        <v>986</v>
      </c>
      <c r="HG144" s="1605" t="s">
        <v>986</v>
      </c>
      <c r="HH144" s="1605" t="s">
        <v>986</v>
      </c>
      <c r="HI144" s="1605" t="s">
        <v>986</v>
      </c>
      <c r="HJ144" s="1605" t="s">
        <v>986</v>
      </c>
      <c r="HK144" s="1605" t="s">
        <v>986</v>
      </c>
      <c r="HL144" s="1605" t="s">
        <v>986</v>
      </c>
      <c r="HM144" s="1605" t="s">
        <v>986</v>
      </c>
      <c r="HN144" s="1605" t="s">
        <v>986</v>
      </c>
      <c r="HO144" s="1605" t="s">
        <v>986</v>
      </c>
      <c r="HP144" s="1605" t="s">
        <v>986</v>
      </c>
      <c r="HQ144" s="1605" t="s">
        <v>986</v>
      </c>
      <c r="HR144" s="1605" t="s">
        <v>986</v>
      </c>
      <c r="HS144" s="1605" t="s">
        <v>986</v>
      </c>
      <c r="HT144" s="1605" t="s">
        <v>986</v>
      </c>
      <c r="HU144" s="1605" t="s">
        <v>986</v>
      </c>
      <c r="HV144" s="1617"/>
      <c r="HW144" s="1617" t="s">
        <v>3401</v>
      </c>
      <c r="HX144" s="1617" t="s">
        <v>3338</v>
      </c>
      <c r="HY144" s="1617" t="s">
        <v>3337</v>
      </c>
      <c r="HZ144" s="1603"/>
      <c r="IA144" s="1603"/>
      <c r="IB144" s="1603"/>
      <c r="IC144" s="1603">
        <v>60.951219512195102</v>
      </c>
      <c r="ID144" s="1603">
        <v>61.829268292682897</v>
      </c>
      <c r="IE144" s="1603">
        <v>62.560975609756099</v>
      </c>
      <c r="IF144" s="1603">
        <v>63</v>
      </c>
      <c r="IG144" s="1611" t="s">
        <v>270</v>
      </c>
      <c r="IH144" s="1616" t="s">
        <v>3400</v>
      </c>
      <c r="II144" s="1615" t="s">
        <v>3399</v>
      </c>
      <c r="IJ144" s="1613">
        <v>9.7584000000000004E-2</v>
      </c>
      <c r="IK144" s="1613">
        <v>9.7584000000000004E-2</v>
      </c>
      <c r="IL144" s="1614">
        <v>9.7584000000000004E-2</v>
      </c>
      <c r="IM144" s="1614">
        <v>9.7584000000000004E-2</v>
      </c>
      <c r="IN144" s="1612">
        <v>9.7584000000000004E-2</v>
      </c>
      <c r="IO144" s="1613">
        <v>0</v>
      </c>
      <c r="IP144" s="1607" t="s">
        <v>270</v>
      </c>
      <c r="IQ144" s="1612" t="s">
        <v>270</v>
      </c>
      <c r="IR144" s="1612" t="s">
        <v>270</v>
      </c>
      <c r="IS144" s="1607" t="s">
        <v>270</v>
      </c>
      <c r="IT144" s="1607" t="s">
        <v>270</v>
      </c>
      <c r="IU144" s="1611" t="s">
        <v>270</v>
      </c>
      <c r="IV144" s="1611" t="s">
        <v>270</v>
      </c>
      <c r="IW144" s="1611" t="s">
        <v>270</v>
      </c>
      <c r="IX144" s="1611" t="s">
        <v>270</v>
      </c>
      <c r="IY144" s="1611" t="s">
        <v>270</v>
      </c>
      <c r="IZ144" s="1611" t="s">
        <v>270</v>
      </c>
      <c r="JA144" s="1611" t="s">
        <v>270</v>
      </c>
      <c r="JB144" s="1611" t="s">
        <v>270</v>
      </c>
      <c r="JC144" s="1611" t="s">
        <v>270</v>
      </c>
      <c r="JD144" s="1611" t="s">
        <v>270</v>
      </c>
      <c r="JE144" s="1611" t="s">
        <v>270</v>
      </c>
      <c r="JF144" s="1611" t="s">
        <v>270</v>
      </c>
      <c r="JG144" s="1611" t="s">
        <v>270</v>
      </c>
      <c r="JH144" s="1611" t="s">
        <v>270</v>
      </c>
      <c r="JI144" s="1611" t="s">
        <v>270</v>
      </c>
      <c r="JJ144" s="1611" t="s">
        <v>270</v>
      </c>
      <c r="JK144" s="1607" t="str">
        <f t="shared" si="11"/>
        <v/>
      </c>
      <c r="JL144" s="1608" t="s">
        <v>2946</v>
      </c>
      <c r="JM144" s="1610" t="s">
        <v>2945</v>
      </c>
      <c r="JN144" s="1608" t="s">
        <v>270</v>
      </c>
      <c r="JO144" s="1609" t="s">
        <v>270</v>
      </c>
      <c r="JP144" s="1608">
        <v>9.7584000000000004E-2</v>
      </c>
      <c r="JQ144" s="1607" t="s">
        <v>270</v>
      </c>
      <c r="JR144" s="1606" t="s">
        <v>270</v>
      </c>
      <c r="JS144" s="1606" t="s">
        <v>270</v>
      </c>
      <c r="JT144" s="1606" t="s">
        <v>270</v>
      </c>
    </row>
    <row r="145" spans="1:280" ht="15" customHeight="1" x14ac:dyDescent="0.2">
      <c r="A145" s="1626">
        <v>76500</v>
      </c>
      <c r="B145" s="1625">
        <v>765</v>
      </c>
      <c r="C145" s="1624">
        <v>0</v>
      </c>
      <c r="D145" s="1623" t="s">
        <v>3398</v>
      </c>
      <c r="E145" s="1622">
        <v>43031</v>
      </c>
      <c r="F145" s="1620">
        <v>1.38668307588076</v>
      </c>
      <c r="G145" s="1620">
        <v>1.3401750231168801</v>
      </c>
      <c r="H145" s="1621">
        <v>99.4</v>
      </c>
      <c r="I145" s="1621">
        <v>96.3</v>
      </c>
      <c r="J145" s="1621">
        <v>98</v>
      </c>
      <c r="K145" s="1620">
        <v>1</v>
      </c>
      <c r="L145" s="1620">
        <v>95</v>
      </c>
      <c r="M145" s="1620">
        <v>31.254999999999999</v>
      </c>
      <c r="N145" s="1620">
        <v>5.7949999999999999</v>
      </c>
      <c r="O145" s="1620">
        <v>7.8849999999999998</v>
      </c>
      <c r="P145" s="1620">
        <v>2.3097254999999999</v>
      </c>
      <c r="Q145" s="1603"/>
      <c r="R145" s="1620">
        <v>94</v>
      </c>
      <c r="S145" s="1620">
        <v>58</v>
      </c>
      <c r="T145" s="1620">
        <v>58</v>
      </c>
      <c r="U145" s="1620">
        <v>58</v>
      </c>
      <c r="V145" s="1620">
        <v>58</v>
      </c>
      <c r="W145" s="1620">
        <v>58</v>
      </c>
      <c r="X145" s="1620"/>
      <c r="Y145" s="1620">
        <v>10.4</v>
      </c>
      <c r="Z145" s="1620">
        <v>9.0000000000000018</v>
      </c>
      <c r="AA145" s="1620">
        <v>4.2</v>
      </c>
      <c r="AB145" s="1620">
        <v>0</v>
      </c>
      <c r="AC145" s="1620">
        <v>11</v>
      </c>
      <c r="AD145" s="1620">
        <v>1.2</v>
      </c>
      <c r="AE145" s="1620">
        <v>3</v>
      </c>
      <c r="AF145" s="1620">
        <v>6</v>
      </c>
      <c r="AG145" s="1620">
        <v>3</v>
      </c>
      <c r="AH145" s="1620">
        <v>2</v>
      </c>
      <c r="AI145" s="1620">
        <v>38</v>
      </c>
      <c r="AJ145" s="1620">
        <v>0</v>
      </c>
      <c r="AK145" s="1620">
        <v>0.13</v>
      </c>
      <c r="AL145" s="1620"/>
      <c r="AM145" s="1620">
        <v>7.87</v>
      </c>
      <c r="AN145" s="1620">
        <v>2.4700000000000002</v>
      </c>
      <c r="AO145" s="1620">
        <v>0.86</v>
      </c>
      <c r="AP145" s="1620">
        <v>4.45</v>
      </c>
      <c r="AQ145" s="1620">
        <v>1.3</v>
      </c>
      <c r="AR145" s="1620">
        <v>5.71</v>
      </c>
      <c r="AS145" s="1620">
        <v>10</v>
      </c>
      <c r="AT145" s="1620">
        <v>2.87</v>
      </c>
      <c r="AU145" s="1620">
        <v>4.83</v>
      </c>
      <c r="AV145" s="1620">
        <v>4.91</v>
      </c>
      <c r="AW145" s="1620">
        <v>6.72</v>
      </c>
      <c r="AX145" s="1620"/>
      <c r="AY145" s="1620">
        <v>1.03</v>
      </c>
      <c r="AZ145" s="1620">
        <v>1.03</v>
      </c>
      <c r="BA145" s="1620">
        <v>1.04</v>
      </c>
      <c r="BB145" s="1620">
        <v>1.03</v>
      </c>
      <c r="BC145" s="1620">
        <v>1</v>
      </c>
      <c r="BD145" s="1620">
        <v>1.01</v>
      </c>
      <c r="BE145" s="1620">
        <v>1.03</v>
      </c>
      <c r="BF145" s="1620">
        <v>1.02</v>
      </c>
      <c r="BG145" s="1620">
        <v>1.04</v>
      </c>
      <c r="BH145" s="1620">
        <v>0.93</v>
      </c>
      <c r="BI145" s="1620">
        <v>0.98</v>
      </c>
      <c r="BJ145" s="1603"/>
      <c r="BK145" s="1620">
        <v>32.9</v>
      </c>
      <c r="BL145" s="1620">
        <v>6.1</v>
      </c>
      <c r="BM145" s="1620">
        <v>8.3000000000000007</v>
      </c>
      <c r="BN145" s="1620">
        <v>2.4312899999999997</v>
      </c>
      <c r="BO145" s="1620"/>
      <c r="BP145" s="1620">
        <v>0</v>
      </c>
      <c r="BQ145" s="1620">
        <v>0</v>
      </c>
      <c r="BR145" s="1620">
        <v>1.4596663956639579</v>
      </c>
      <c r="BS145" s="1620">
        <v>1.4107105506493476</v>
      </c>
      <c r="BT145" s="1603"/>
      <c r="BU145" s="1620">
        <v>917</v>
      </c>
      <c r="BV145" s="1620">
        <v>512.32799999999997</v>
      </c>
      <c r="BW145" s="1620">
        <v>40.610000000000106</v>
      </c>
      <c r="BX145" s="1620" t="s">
        <v>270</v>
      </c>
      <c r="BY145" s="1620" t="s">
        <v>270</v>
      </c>
      <c r="BZ145" s="1620" t="s">
        <v>270</v>
      </c>
      <c r="CA145" s="1620" t="s">
        <v>270</v>
      </c>
      <c r="CB145" s="1603"/>
      <c r="CC145" s="1603">
        <v>9.879999999999999</v>
      </c>
      <c r="CD145" s="1603">
        <v>8.5500000000000007</v>
      </c>
      <c r="CE145" s="1603">
        <v>3.9899999999999998</v>
      </c>
      <c r="CF145" s="1603">
        <v>0</v>
      </c>
      <c r="CG145" s="1603">
        <v>10.45</v>
      </c>
      <c r="CH145" s="1603">
        <v>1.1399999999999999</v>
      </c>
      <c r="CI145" s="1603">
        <v>2.8499999999999996</v>
      </c>
      <c r="CJ145" s="1603"/>
      <c r="CK145" s="1603">
        <v>5.6999999999999993</v>
      </c>
      <c r="CL145" s="1603">
        <v>2.8499999999999996</v>
      </c>
      <c r="CM145" s="1603">
        <v>1.9</v>
      </c>
      <c r="CN145" s="1603">
        <v>36.1</v>
      </c>
      <c r="CO145" s="1603">
        <v>0</v>
      </c>
      <c r="CP145" s="1603">
        <v>0.1235</v>
      </c>
      <c r="CQ145" s="1603">
        <v>293.79700000000003</v>
      </c>
      <c r="CR145" s="1603">
        <v>211.8703293565425</v>
      </c>
      <c r="CS145" s="1603">
        <v>17.174420767970691</v>
      </c>
      <c r="CT145" s="1603">
        <v>5.3901930491597971</v>
      </c>
      <c r="CU145" s="1603">
        <v>1.8949682257649159</v>
      </c>
      <c r="CV145" s="1603">
        <v>7.2851612749247137</v>
      </c>
      <c r="CW145" s="1603">
        <v>9.7110765460571233</v>
      </c>
      <c r="CX145" s="1603">
        <v>2.7543142816350521</v>
      </c>
      <c r="CY145" s="1603">
        <v>12.218773764321162</v>
      </c>
      <c r="CZ145" s="1603">
        <v>21.822643923723874</v>
      </c>
      <c r="DA145" s="1603">
        <v>6.2022920215834247</v>
      </c>
      <c r="DB145" s="1603">
        <v>10.642670384237842</v>
      </c>
      <c r="DC145" s="1603">
        <v>9.6746348494077985</v>
      </c>
      <c r="DD145" s="1603">
        <v>20.317305233645641</v>
      </c>
      <c r="DE145" s="1603">
        <v>13.952932410104463</v>
      </c>
      <c r="DF145" s="1603">
        <v>0</v>
      </c>
      <c r="DG145" s="1603">
        <v>0</v>
      </c>
      <c r="DH145" s="1603">
        <v>0</v>
      </c>
      <c r="DI145" s="1603">
        <v>0</v>
      </c>
      <c r="DJ145" s="1603">
        <v>0</v>
      </c>
      <c r="DK145" s="1603">
        <v>0</v>
      </c>
      <c r="DL145" s="1603">
        <v>0</v>
      </c>
      <c r="DM145" s="1603">
        <v>0</v>
      </c>
      <c r="DN145" s="1603">
        <v>0</v>
      </c>
      <c r="DO145" s="1603">
        <v>0</v>
      </c>
      <c r="DP145" s="1603">
        <v>0</v>
      </c>
      <c r="DQ145" s="1603">
        <v>0</v>
      </c>
      <c r="DR145" s="1603">
        <v>0</v>
      </c>
      <c r="DS145" s="1603">
        <v>0</v>
      </c>
      <c r="DT145" s="1603">
        <v>0</v>
      </c>
      <c r="DU145" s="1603">
        <v>0</v>
      </c>
      <c r="DV145" s="1603">
        <v>0</v>
      </c>
      <c r="DW145" s="1618" t="s">
        <v>3396</v>
      </c>
      <c r="DX145" s="1605" t="s">
        <v>986</v>
      </c>
      <c r="DY145" s="1605" t="s">
        <v>986</v>
      </c>
      <c r="DZ145" s="1605">
        <v>1</v>
      </c>
      <c r="EA145" s="1605">
        <v>1</v>
      </c>
      <c r="EB145" s="1605">
        <v>1</v>
      </c>
      <c r="EC145" s="1605">
        <v>1</v>
      </c>
      <c r="ED145" s="1605">
        <v>1</v>
      </c>
      <c r="EE145" s="1605">
        <v>1</v>
      </c>
      <c r="EF145" s="1605">
        <v>1</v>
      </c>
      <c r="EG145" s="1605">
        <v>1</v>
      </c>
      <c r="EH145" s="1605" t="s">
        <v>986</v>
      </c>
      <c r="EI145" s="1605" t="s">
        <v>986</v>
      </c>
      <c r="EJ145" s="1605" t="s">
        <v>986</v>
      </c>
      <c r="EK145" s="1605" t="s">
        <v>986</v>
      </c>
      <c r="EL145" s="1605" t="s">
        <v>986</v>
      </c>
      <c r="EM145" s="1605" t="s">
        <v>986</v>
      </c>
      <c r="EN145" s="1605" t="s">
        <v>986</v>
      </c>
      <c r="EO145" s="1605" t="s">
        <v>986</v>
      </c>
      <c r="EP145" s="1605" t="s">
        <v>986</v>
      </c>
      <c r="EQ145" s="1605" t="s">
        <v>986</v>
      </c>
      <c r="ER145" s="1605" t="s">
        <v>986</v>
      </c>
      <c r="ES145" s="1605" t="s">
        <v>986</v>
      </c>
      <c r="ET145" s="1605" t="s">
        <v>986</v>
      </c>
      <c r="EU145" s="1605" t="s">
        <v>986</v>
      </c>
      <c r="EV145" s="1605" t="s">
        <v>986</v>
      </c>
      <c r="EW145" s="1605" t="s">
        <v>986</v>
      </c>
      <c r="EX145" s="1605" t="s">
        <v>986</v>
      </c>
      <c r="EY145" s="1605" t="s">
        <v>986</v>
      </c>
      <c r="EZ145" s="1605" t="s">
        <v>986</v>
      </c>
      <c r="FA145" s="1605" t="s">
        <v>986</v>
      </c>
      <c r="FB145" s="1605" t="s">
        <v>986</v>
      </c>
      <c r="FC145" s="1605" t="s">
        <v>986</v>
      </c>
      <c r="FD145" s="1605" t="s">
        <v>986</v>
      </c>
      <c r="FE145" s="1605" t="s">
        <v>986</v>
      </c>
      <c r="FF145" s="1605" t="s">
        <v>986</v>
      </c>
      <c r="FG145" s="1605" t="s">
        <v>986</v>
      </c>
      <c r="FH145" s="1605" t="s">
        <v>986</v>
      </c>
      <c r="FI145" s="1605" t="s">
        <v>986</v>
      </c>
      <c r="FJ145" s="1605" t="s">
        <v>986</v>
      </c>
      <c r="FK145" s="1605" t="s">
        <v>986</v>
      </c>
      <c r="FL145" s="1605" t="s">
        <v>986</v>
      </c>
      <c r="FM145" s="1605" t="s">
        <v>986</v>
      </c>
      <c r="FN145" s="1605" t="s">
        <v>986</v>
      </c>
      <c r="FO145" s="1605" t="s">
        <v>986</v>
      </c>
      <c r="FP145" s="1605" t="s">
        <v>986</v>
      </c>
      <c r="FQ145" s="1605" t="s">
        <v>986</v>
      </c>
      <c r="FR145" s="1605" t="s">
        <v>986</v>
      </c>
      <c r="FS145" s="1605" t="s">
        <v>986</v>
      </c>
      <c r="FT145" s="1605" t="s">
        <v>986</v>
      </c>
      <c r="FU145" s="1605" t="s">
        <v>986</v>
      </c>
      <c r="FV145" s="1605" t="s">
        <v>986</v>
      </c>
      <c r="FW145" s="1605" t="s">
        <v>986</v>
      </c>
      <c r="FX145" s="1605" t="s">
        <v>986</v>
      </c>
      <c r="FY145" s="1605" t="s">
        <v>986</v>
      </c>
      <c r="FZ145" s="1605" t="s">
        <v>986</v>
      </c>
      <c r="GA145" s="1605" t="s">
        <v>986</v>
      </c>
      <c r="GB145" s="1605" t="s">
        <v>986</v>
      </c>
      <c r="GC145" s="1605" t="s">
        <v>986</v>
      </c>
      <c r="GD145" s="1605" t="s">
        <v>986</v>
      </c>
      <c r="GE145" s="1605" t="s">
        <v>986</v>
      </c>
      <c r="GF145" s="1605" t="s">
        <v>986</v>
      </c>
      <c r="GG145" s="1605" t="s">
        <v>986</v>
      </c>
      <c r="GH145" s="1605" t="s">
        <v>986</v>
      </c>
      <c r="GI145" s="1605" t="s">
        <v>986</v>
      </c>
      <c r="GJ145" s="1605" t="s">
        <v>986</v>
      </c>
      <c r="GK145" s="1605" t="s">
        <v>986</v>
      </c>
      <c r="GL145" s="1605" t="s">
        <v>986</v>
      </c>
      <c r="GM145" s="1605" t="s">
        <v>986</v>
      </c>
      <c r="GN145" s="1605" t="s">
        <v>1591</v>
      </c>
      <c r="GO145" s="1605" t="s">
        <v>1591</v>
      </c>
      <c r="GP145" s="1605" t="s">
        <v>1591</v>
      </c>
      <c r="GQ145" s="1605" t="s">
        <v>1591</v>
      </c>
      <c r="GR145" s="1605" t="s">
        <v>1591</v>
      </c>
      <c r="GS145" s="1605" t="s">
        <v>1591</v>
      </c>
      <c r="GT145" s="1605" t="s">
        <v>1591</v>
      </c>
      <c r="GU145" s="1605" t="s">
        <v>1591</v>
      </c>
      <c r="GV145" s="1605" t="s">
        <v>986</v>
      </c>
      <c r="GW145" s="1605" t="s">
        <v>986</v>
      </c>
      <c r="GX145" s="1605" t="s">
        <v>986</v>
      </c>
      <c r="GY145" s="1605" t="s">
        <v>986</v>
      </c>
      <c r="GZ145" s="1605" t="s">
        <v>986</v>
      </c>
      <c r="HA145" s="1605" t="s">
        <v>986</v>
      </c>
      <c r="HB145" s="1605" t="s">
        <v>986</v>
      </c>
      <c r="HC145" s="1605" t="s">
        <v>986</v>
      </c>
      <c r="HD145" s="1605" t="s">
        <v>986</v>
      </c>
      <c r="HE145" s="1605" t="s">
        <v>986</v>
      </c>
      <c r="HF145" s="1605" t="s">
        <v>986</v>
      </c>
      <c r="HG145" s="1605" t="s">
        <v>986</v>
      </c>
      <c r="HH145" s="1605" t="s">
        <v>986</v>
      </c>
      <c r="HI145" s="1605" t="s">
        <v>986</v>
      </c>
      <c r="HJ145" s="1605" t="s">
        <v>986</v>
      </c>
      <c r="HK145" s="1605" t="s">
        <v>986</v>
      </c>
      <c r="HL145" s="1605" t="s">
        <v>986</v>
      </c>
      <c r="HM145" s="1605" t="s">
        <v>986</v>
      </c>
      <c r="HN145" s="1605" t="s">
        <v>986</v>
      </c>
      <c r="HO145" s="1605" t="s">
        <v>986</v>
      </c>
      <c r="HP145" s="1605" t="s">
        <v>986</v>
      </c>
      <c r="HQ145" s="1605" t="s">
        <v>986</v>
      </c>
      <c r="HR145" s="1605" t="s">
        <v>986</v>
      </c>
      <c r="HS145" s="1605" t="s">
        <v>986</v>
      </c>
      <c r="HT145" s="1605" t="s">
        <v>986</v>
      </c>
      <c r="HU145" s="1605" t="s">
        <v>986</v>
      </c>
      <c r="HV145" s="1617"/>
      <c r="HW145" s="1617" t="s">
        <v>3395</v>
      </c>
      <c r="HX145" s="1617">
        <v>0</v>
      </c>
      <c r="HY145" s="1617">
        <v>0</v>
      </c>
      <c r="HZ145" s="1603"/>
      <c r="IA145" s="1603"/>
      <c r="IB145" s="1603"/>
      <c r="IC145" s="1603">
        <v>58</v>
      </c>
      <c r="ID145" s="1603">
        <v>58</v>
      </c>
      <c r="IE145" s="1603">
        <v>58</v>
      </c>
      <c r="IF145" s="1603">
        <v>58</v>
      </c>
      <c r="IG145" s="1611" t="s">
        <v>270</v>
      </c>
      <c r="IH145" s="1616" t="s">
        <v>270</v>
      </c>
      <c r="II145" s="1615" t="s">
        <v>270</v>
      </c>
      <c r="IJ145" s="1613">
        <v>8.1999999999999993</v>
      </c>
      <c r="IK145" s="1613">
        <v>8.1999999999999993</v>
      </c>
      <c r="IL145" s="1614">
        <v>8.1999999999999993</v>
      </c>
      <c r="IM145" s="1614">
        <v>8.1999999999999993</v>
      </c>
      <c r="IN145" s="1612">
        <v>8.1999999999999993</v>
      </c>
      <c r="IO145" s="1613">
        <v>0</v>
      </c>
      <c r="IP145" s="1607" t="s">
        <v>270</v>
      </c>
      <c r="IQ145" s="1612" t="s">
        <v>270</v>
      </c>
      <c r="IR145" s="1612" t="s">
        <v>270</v>
      </c>
      <c r="IS145" s="1607" t="s">
        <v>270</v>
      </c>
      <c r="IT145" s="1607" t="s">
        <v>270</v>
      </c>
      <c r="IU145" s="1611" t="s">
        <v>270</v>
      </c>
      <c r="IV145" s="1611" t="s">
        <v>270</v>
      </c>
      <c r="IW145" s="1611" t="s">
        <v>270</v>
      </c>
      <c r="IX145" s="1611" t="s">
        <v>270</v>
      </c>
      <c r="IY145" s="1611" t="s">
        <v>270</v>
      </c>
      <c r="IZ145" s="1611" t="s">
        <v>270</v>
      </c>
      <c r="JA145" s="1611" t="s">
        <v>270</v>
      </c>
      <c r="JB145" s="1611" t="s">
        <v>270</v>
      </c>
      <c r="JC145" s="1611" t="s">
        <v>270</v>
      </c>
      <c r="JD145" s="1611" t="s">
        <v>270</v>
      </c>
      <c r="JE145" s="1611" t="s">
        <v>270</v>
      </c>
      <c r="JF145" s="1611" t="s">
        <v>270</v>
      </c>
      <c r="JG145" s="1611" t="s">
        <v>270</v>
      </c>
      <c r="JH145" s="1611" t="s">
        <v>270</v>
      </c>
      <c r="JI145" s="1611" t="s">
        <v>270</v>
      </c>
      <c r="JJ145" s="1611" t="s">
        <v>270</v>
      </c>
      <c r="JK145" s="1607" t="str">
        <f t="shared" si="11"/>
        <v/>
      </c>
      <c r="JL145" s="1608" t="s">
        <v>2946</v>
      </c>
      <c r="JM145" s="1610" t="s">
        <v>2945</v>
      </c>
      <c r="JN145" s="1608" t="s">
        <v>270</v>
      </c>
      <c r="JO145" s="1609" t="s">
        <v>270</v>
      </c>
      <c r="JP145" s="1608">
        <v>8.1999999999999993</v>
      </c>
      <c r="JQ145" s="1607" t="s">
        <v>270</v>
      </c>
      <c r="JR145" s="1606" t="s">
        <v>270</v>
      </c>
      <c r="JS145" s="1606" t="s">
        <v>270</v>
      </c>
      <c r="JT145" s="1606" t="s">
        <v>270</v>
      </c>
    </row>
    <row r="146" spans="1:280" ht="15" customHeight="1" x14ac:dyDescent="0.2">
      <c r="A146" s="1626">
        <v>76600</v>
      </c>
      <c r="B146" s="1625">
        <v>766</v>
      </c>
      <c r="C146" s="1624">
        <v>0</v>
      </c>
      <c r="D146" s="1623" t="s">
        <v>3397</v>
      </c>
      <c r="E146" s="1622">
        <v>43031</v>
      </c>
      <c r="F146" s="1620">
        <v>1.30980819839929</v>
      </c>
      <c r="G146" s="1620">
        <v>1.2625421641655601</v>
      </c>
      <c r="H146" s="1621">
        <v>96</v>
      </c>
      <c r="I146" s="1621">
        <v>96</v>
      </c>
      <c r="J146" s="1621">
        <v>96</v>
      </c>
      <c r="K146" s="1620">
        <v>1</v>
      </c>
      <c r="L146" s="1620">
        <v>94.17</v>
      </c>
      <c r="M146" s="1620">
        <v>32.206140000000097</v>
      </c>
      <c r="N146" s="1620">
        <v>4.7000002158000003</v>
      </c>
      <c r="O146" s="1620">
        <v>9.0000001728000001</v>
      </c>
      <c r="P146" s="1620">
        <v>0</v>
      </c>
      <c r="Q146" s="1603"/>
      <c r="R146" s="1620">
        <v>94</v>
      </c>
      <c r="S146" s="1620">
        <v>58</v>
      </c>
      <c r="T146" s="1620">
        <v>58</v>
      </c>
      <c r="U146" s="1620">
        <v>58</v>
      </c>
      <c r="V146" s="1620">
        <v>58</v>
      </c>
      <c r="W146" s="1620">
        <v>58</v>
      </c>
      <c r="X146" s="1620"/>
      <c r="Y146" s="1620">
        <v>15.100000000000001</v>
      </c>
      <c r="Z146" s="1620">
        <v>11.200000000000001</v>
      </c>
      <c r="AA146" s="1620">
        <v>6.5</v>
      </c>
      <c r="AB146" s="1620">
        <v>0</v>
      </c>
      <c r="AC146" s="1620">
        <v>16</v>
      </c>
      <c r="AD146" s="1620">
        <v>1.3</v>
      </c>
      <c r="AE146" s="1620">
        <v>3.3000000000000003</v>
      </c>
      <c r="AF146" s="1620">
        <v>65</v>
      </c>
      <c r="AG146" s="1620">
        <v>4.9999999999999991</v>
      </c>
      <c r="AH146" s="1620">
        <v>8</v>
      </c>
      <c r="AI146" s="1620">
        <v>53</v>
      </c>
      <c r="AJ146" s="1620">
        <v>0</v>
      </c>
      <c r="AK146" s="1620">
        <v>0.35000000000000003</v>
      </c>
      <c r="AL146" s="1620"/>
      <c r="AM146" s="1620">
        <v>7.6414140000000002</v>
      </c>
      <c r="AN146" s="1620">
        <v>2.4520200000000001</v>
      </c>
      <c r="AO146" s="1620">
        <v>0.80555599999999805</v>
      </c>
      <c r="AP146" s="1620">
        <v>4.9646460000000001</v>
      </c>
      <c r="AQ146" s="1620">
        <v>1.8712120000000001</v>
      </c>
      <c r="AR146" s="1620">
        <v>5.1035349999999697</v>
      </c>
      <c r="AS146" s="1620">
        <v>9.4267679999999796</v>
      </c>
      <c r="AT146" s="1620">
        <v>2.6843429999999899</v>
      </c>
      <c r="AU146" s="1620">
        <v>4.4520199999999903</v>
      </c>
      <c r="AV146" s="1620">
        <v>4.5252529999999904</v>
      </c>
      <c r="AW146" s="1620">
        <v>6.2601009999999704</v>
      </c>
      <c r="AX146" s="1620"/>
      <c r="AY146" s="1620">
        <v>1.03</v>
      </c>
      <c r="AZ146" s="1620">
        <v>1.03</v>
      </c>
      <c r="BA146" s="1620">
        <v>1.04</v>
      </c>
      <c r="BB146" s="1620">
        <v>1.03</v>
      </c>
      <c r="BC146" s="1620">
        <v>1</v>
      </c>
      <c r="BD146" s="1620">
        <v>1.01</v>
      </c>
      <c r="BE146" s="1620">
        <v>1.03</v>
      </c>
      <c r="BF146" s="1620">
        <v>1.02</v>
      </c>
      <c r="BG146" s="1620">
        <v>1.04</v>
      </c>
      <c r="BH146" s="1620">
        <v>0.93</v>
      </c>
      <c r="BI146" s="1620">
        <v>0.98</v>
      </c>
      <c r="BJ146" s="1603"/>
      <c r="BK146" s="1620">
        <v>34.200000000000102</v>
      </c>
      <c r="BL146" s="1620">
        <v>4.9909739999999996</v>
      </c>
      <c r="BM146" s="1620">
        <v>9.5571840000000012</v>
      </c>
      <c r="BN146" s="1620">
        <v>0</v>
      </c>
      <c r="BO146" s="1620"/>
      <c r="BP146" s="1620">
        <v>0</v>
      </c>
      <c r="BQ146" s="1620">
        <v>0</v>
      </c>
      <c r="BR146" s="1620">
        <v>1.3908975240514918</v>
      </c>
      <c r="BS146" s="1620">
        <v>1.3407052821127323</v>
      </c>
      <c r="BT146" s="1603"/>
      <c r="BU146" s="1620">
        <v>904.42816000000005</v>
      </c>
      <c r="BV146" s="1620">
        <v>508.61858579999893</v>
      </c>
      <c r="BW146" s="1620">
        <v>0</v>
      </c>
      <c r="BX146" s="1620" t="s">
        <v>270</v>
      </c>
      <c r="BY146" s="1620" t="s">
        <v>270</v>
      </c>
      <c r="BZ146" s="1620" t="s">
        <v>270</v>
      </c>
      <c r="CA146" s="1620" t="s">
        <v>270</v>
      </c>
      <c r="CB146" s="1603"/>
      <c r="CC146" s="1603">
        <v>14.219670000000001</v>
      </c>
      <c r="CD146" s="1603">
        <v>10.547040000000001</v>
      </c>
      <c r="CE146" s="1603">
        <v>6.1210500000000003</v>
      </c>
      <c r="CF146" s="1603">
        <v>0</v>
      </c>
      <c r="CG146" s="1603">
        <v>15.0672</v>
      </c>
      <c r="CH146" s="1603">
        <v>1.22421</v>
      </c>
      <c r="CI146" s="1603">
        <v>3.1076100000000002</v>
      </c>
      <c r="CJ146" s="1603"/>
      <c r="CK146" s="1603">
        <v>61.210499999999996</v>
      </c>
      <c r="CL146" s="1603">
        <v>4.708499999999999</v>
      </c>
      <c r="CM146" s="1603">
        <v>7.5335999999999999</v>
      </c>
      <c r="CN146" s="1603">
        <v>49.9101</v>
      </c>
      <c r="CO146" s="1603">
        <v>0</v>
      </c>
      <c r="CP146" s="1603">
        <v>0.32959500000000003</v>
      </c>
      <c r="CQ146" s="1603">
        <v>302.737716000001</v>
      </c>
      <c r="CR146" s="1603">
        <v>231.13133386245042</v>
      </c>
      <c r="CS146" s="1603">
        <v>18.191553167276552</v>
      </c>
      <c r="CT146" s="1603">
        <v>5.837408128551278</v>
      </c>
      <c r="CU146" s="1603">
        <v>1.9363680209213561</v>
      </c>
      <c r="CV146" s="1603">
        <v>7.7737761494726181</v>
      </c>
      <c r="CW146" s="1603">
        <v>11.819098096989276</v>
      </c>
      <c r="CX146" s="1603">
        <v>4.3249572549942368</v>
      </c>
      <c r="CY146" s="1603">
        <v>11.913827204833336</v>
      </c>
      <c r="CZ146" s="1603">
        <v>22.441861057074167</v>
      </c>
      <c r="DA146" s="1603">
        <v>6.3284449369701568</v>
      </c>
      <c r="DB146" s="1603">
        <v>10.701613738215931</v>
      </c>
      <c r="DC146" s="1603">
        <v>9.727128186182</v>
      </c>
      <c r="DD146" s="1603">
        <v>20.428741924397933</v>
      </c>
      <c r="DE146" s="1603">
        <v>14.179673843587821</v>
      </c>
      <c r="DF146" s="1603">
        <v>0</v>
      </c>
      <c r="DG146" s="1603">
        <v>0</v>
      </c>
      <c r="DH146" s="1603">
        <v>0</v>
      </c>
      <c r="DI146" s="1603">
        <v>0</v>
      </c>
      <c r="DJ146" s="1603">
        <v>0</v>
      </c>
      <c r="DK146" s="1603">
        <v>0</v>
      </c>
      <c r="DL146" s="1603">
        <v>0</v>
      </c>
      <c r="DM146" s="1603">
        <v>0</v>
      </c>
      <c r="DN146" s="1603">
        <v>0</v>
      </c>
      <c r="DO146" s="1603">
        <v>0</v>
      </c>
      <c r="DP146" s="1603">
        <v>0</v>
      </c>
      <c r="DQ146" s="1603">
        <v>0</v>
      </c>
      <c r="DR146" s="1603">
        <v>0</v>
      </c>
      <c r="DS146" s="1603">
        <v>0</v>
      </c>
      <c r="DT146" s="1603">
        <v>0</v>
      </c>
      <c r="DU146" s="1603">
        <v>0</v>
      </c>
      <c r="DV146" s="1603">
        <v>0</v>
      </c>
      <c r="DW146" s="1618" t="s">
        <v>3396</v>
      </c>
      <c r="DX146" s="1605" t="s">
        <v>986</v>
      </c>
      <c r="DY146" s="1605" t="s">
        <v>986</v>
      </c>
      <c r="DZ146" s="1605" t="s">
        <v>986</v>
      </c>
      <c r="EA146" s="1605" t="s">
        <v>986</v>
      </c>
      <c r="EB146" s="1605" t="s">
        <v>986</v>
      </c>
      <c r="EC146" s="1605" t="s">
        <v>986</v>
      </c>
      <c r="ED146" s="1605" t="s">
        <v>986</v>
      </c>
      <c r="EE146" s="1605" t="s">
        <v>986</v>
      </c>
      <c r="EF146" s="1605" t="s">
        <v>986</v>
      </c>
      <c r="EG146" s="1605" t="s">
        <v>986</v>
      </c>
      <c r="EH146" s="1605" t="s">
        <v>986</v>
      </c>
      <c r="EI146" s="1605" t="s">
        <v>986</v>
      </c>
      <c r="EJ146" s="1605" t="s">
        <v>986</v>
      </c>
      <c r="EK146" s="1605" t="s">
        <v>986</v>
      </c>
      <c r="EL146" s="1605" t="s">
        <v>986</v>
      </c>
      <c r="EM146" s="1605" t="s">
        <v>986</v>
      </c>
      <c r="EN146" s="1605" t="s">
        <v>986</v>
      </c>
      <c r="EO146" s="1605" t="s">
        <v>986</v>
      </c>
      <c r="EP146" s="1605" t="s">
        <v>986</v>
      </c>
      <c r="EQ146" s="1605" t="s">
        <v>986</v>
      </c>
      <c r="ER146" s="1605" t="s">
        <v>986</v>
      </c>
      <c r="ES146" s="1605" t="s">
        <v>986</v>
      </c>
      <c r="ET146" s="1605" t="s">
        <v>986</v>
      </c>
      <c r="EU146" s="1605" t="s">
        <v>986</v>
      </c>
      <c r="EV146" s="1605" t="s">
        <v>986</v>
      </c>
      <c r="EW146" s="1605" t="s">
        <v>986</v>
      </c>
      <c r="EX146" s="1605" t="s">
        <v>986</v>
      </c>
      <c r="EY146" s="1605" t="s">
        <v>986</v>
      </c>
      <c r="EZ146" s="1605" t="s">
        <v>986</v>
      </c>
      <c r="FA146" s="1605" t="s">
        <v>986</v>
      </c>
      <c r="FB146" s="1605" t="s">
        <v>986</v>
      </c>
      <c r="FC146" s="1605" t="s">
        <v>986</v>
      </c>
      <c r="FD146" s="1605" t="s">
        <v>986</v>
      </c>
      <c r="FE146" s="1605" t="s">
        <v>986</v>
      </c>
      <c r="FF146" s="1605" t="s">
        <v>986</v>
      </c>
      <c r="FG146" s="1605" t="s">
        <v>986</v>
      </c>
      <c r="FH146" s="1605" t="s">
        <v>986</v>
      </c>
      <c r="FI146" s="1605" t="s">
        <v>986</v>
      </c>
      <c r="FJ146" s="1605" t="s">
        <v>986</v>
      </c>
      <c r="FK146" s="1605" t="s">
        <v>986</v>
      </c>
      <c r="FL146" s="1605" t="s">
        <v>986</v>
      </c>
      <c r="FM146" s="1605" t="s">
        <v>986</v>
      </c>
      <c r="FN146" s="1605" t="s">
        <v>986</v>
      </c>
      <c r="FO146" s="1605" t="s">
        <v>986</v>
      </c>
      <c r="FP146" s="1605" t="s">
        <v>986</v>
      </c>
      <c r="FQ146" s="1605" t="s">
        <v>986</v>
      </c>
      <c r="FR146" s="1605" t="s">
        <v>986</v>
      </c>
      <c r="FS146" s="1605" t="s">
        <v>986</v>
      </c>
      <c r="FT146" s="1605" t="s">
        <v>986</v>
      </c>
      <c r="FU146" s="1605" t="s">
        <v>986</v>
      </c>
      <c r="FV146" s="1605" t="s">
        <v>986</v>
      </c>
      <c r="FW146" s="1605" t="s">
        <v>986</v>
      </c>
      <c r="FX146" s="1605" t="s">
        <v>986</v>
      </c>
      <c r="FY146" s="1605" t="s">
        <v>986</v>
      </c>
      <c r="FZ146" s="1605" t="s">
        <v>986</v>
      </c>
      <c r="GA146" s="1605" t="s">
        <v>986</v>
      </c>
      <c r="GB146" s="1605" t="s">
        <v>986</v>
      </c>
      <c r="GC146" s="1605" t="s">
        <v>986</v>
      </c>
      <c r="GD146" s="1605" t="s">
        <v>986</v>
      </c>
      <c r="GE146" s="1605" t="s">
        <v>986</v>
      </c>
      <c r="GF146" s="1605" t="s">
        <v>986</v>
      </c>
      <c r="GG146" s="1605" t="s">
        <v>986</v>
      </c>
      <c r="GH146" s="1605" t="s">
        <v>986</v>
      </c>
      <c r="GI146" s="1605" t="s">
        <v>986</v>
      </c>
      <c r="GJ146" s="1605" t="s">
        <v>986</v>
      </c>
      <c r="GK146" s="1605" t="s">
        <v>986</v>
      </c>
      <c r="GL146" s="1605" t="s">
        <v>986</v>
      </c>
      <c r="GM146" s="1605" t="s">
        <v>986</v>
      </c>
      <c r="GN146" s="1605" t="s">
        <v>986</v>
      </c>
      <c r="GO146" s="1605" t="s">
        <v>986</v>
      </c>
      <c r="GP146" s="1605" t="s">
        <v>986</v>
      </c>
      <c r="GQ146" s="1605" t="s">
        <v>986</v>
      </c>
      <c r="GR146" s="1605" t="s">
        <v>986</v>
      </c>
      <c r="GS146" s="1605" t="s">
        <v>986</v>
      </c>
      <c r="GT146" s="1605" t="s">
        <v>986</v>
      </c>
      <c r="GU146" s="1605" t="s">
        <v>986</v>
      </c>
      <c r="GV146" s="1605" t="s">
        <v>986</v>
      </c>
      <c r="GW146" s="1605" t="s">
        <v>986</v>
      </c>
      <c r="GX146" s="1605" t="s">
        <v>986</v>
      </c>
      <c r="GY146" s="1605" t="s">
        <v>986</v>
      </c>
      <c r="GZ146" s="1605" t="s">
        <v>986</v>
      </c>
      <c r="HA146" s="1605" t="s">
        <v>986</v>
      </c>
      <c r="HB146" s="1605" t="s">
        <v>986</v>
      </c>
      <c r="HC146" s="1605" t="s">
        <v>986</v>
      </c>
      <c r="HD146" s="1605" t="s">
        <v>986</v>
      </c>
      <c r="HE146" s="1605" t="s">
        <v>986</v>
      </c>
      <c r="HF146" s="1605" t="s">
        <v>986</v>
      </c>
      <c r="HG146" s="1605" t="s">
        <v>986</v>
      </c>
      <c r="HH146" s="1605" t="s">
        <v>986</v>
      </c>
      <c r="HI146" s="1605" t="s">
        <v>986</v>
      </c>
      <c r="HJ146" s="1605" t="s">
        <v>986</v>
      </c>
      <c r="HK146" s="1605" t="s">
        <v>986</v>
      </c>
      <c r="HL146" s="1605" t="s">
        <v>986</v>
      </c>
      <c r="HM146" s="1605" t="s">
        <v>986</v>
      </c>
      <c r="HN146" s="1605" t="s">
        <v>986</v>
      </c>
      <c r="HO146" s="1605" t="s">
        <v>986</v>
      </c>
      <c r="HP146" s="1605" t="s">
        <v>986</v>
      </c>
      <c r="HQ146" s="1605" t="s">
        <v>986</v>
      </c>
      <c r="HR146" s="1605" t="s">
        <v>986</v>
      </c>
      <c r="HS146" s="1605" t="s">
        <v>986</v>
      </c>
      <c r="HT146" s="1605" t="s">
        <v>986</v>
      </c>
      <c r="HU146" s="1605" t="s">
        <v>986</v>
      </c>
      <c r="HV146" s="1617"/>
      <c r="HW146" s="1617" t="s">
        <v>3395</v>
      </c>
      <c r="HX146" s="1617">
        <v>0</v>
      </c>
      <c r="HY146" s="1617">
        <v>0</v>
      </c>
      <c r="HZ146" s="1603"/>
      <c r="IA146" s="1603"/>
      <c r="IB146" s="1603"/>
      <c r="IC146" s="1603">
        <v>58</v>
      </c>
      <c r="ID146" s="1603">
        <v>58</v>
      </c>
      <c r="IE146" s="1603">
        <v>58</v>
      </c>
      <c r="IF146" s="1603">
        <v>58</v>
      </c>
      <c r="IG146" s="1611" t="s">
        <v>270</v>
      </c>
      <c r="IH146" s="1616" t="s">
        <v>270</v>
      </c>
      <c r="II146" s="1615" t="s">
        <v>270</v>
      </c>
      <c r="IJ146" s="1613">
        <v>8.1999999999999993</v>
      </c>
      <c r="IK146" s="1613">
        <v>8.1999999999999993</v>
      </c>
      <c r="IL146" s="1614">
        <v>8.1999999999999993</v>
      </c>
      <c r="IM146" s="1614">
        <v>8.1999999999999993</v>
      </c>
      <c r="IN146" s="1612">
        <v>8.1999999999999993</v>
      </c>
      <c r="IO146" s="1613">
        <v>0</v>
      </c>
      <c r="IP146" s="1607" t="s">
        <v>270</v>
      </c>
      <c r="IQ146" s="1612" t="s">
        <v>270</v>
      </c>
      <c r="IR146" s="1612" t="s">
        <v>270</v>
      </c>
      <c r="IS146" s="1607" t="s">
        <v>270</v>
      </c>
      <c r="IT146" s="1607" t="s">
        <v>270</v>
      </c>
      <c r="IU146" s="1611" t="s">
        <v>270</v>
      </c>
      <c r="IV146" s="1611" t="s">
        <v>270</v>
      </c>
      <c r="IW146" s="1611" t="s">
        <v>270</v>
      </c>
      <c r="IX146" s="1611" t="s">
        <v>270</v>
      </c>
      <c r="IY146" s="1611" t="s">
        <v>270</v>
      </c>
      <c r="IZ146" s="1611" t="s">
        <v>270</v>
      </c>
      <c r="JA146" s="1611" t="s">
        <v>270</v>
      </c>
      <c r="JB146" s="1611" t="s">
        <v>270</v>
      </c>
      <c r="JC146" s="1611" t="s">
        <v>270</v>
      </c>
      <c r="JD146" s="1611" t="s">
        <v>270</v>
      </c>
      <c r="JE146" s="1611" t="s">
        <v>270</v>
      </c>
      <c r="JF146" s="1611" t="s">
        <v>270</v>
      </c>
      <c r="JG146" s="1611" t="s">
        <v>270</v>
      </c>
      <c r="JH146" s="1611" t="s">
        <v>270</v>
      </c>
      <c r="JI146" s="1611" t="s">
        <v>270</v>
      </c>
      <c r="JJ146" s="1611" t="s">
        <v>270</v>
      </c>
      <c r="JK146" s="1607" t="str">
        <f t="shared" si="11"/>
        <v/>
      </c>
      <c r="JL146" s="1608" t="s">
        <v>2946</v>
      </c>
      <c r="JM146" s="1610" t="s">
        <v>2945</v>
      </c>
      <c r="JN146" s="1608" t="s">
        <v>270</v>
      </c>
      <c r="JO146" s="1609" t="s">
        <v>270</v>
      </c>
      <c r="JP146" s="1608">
        <v>8.1999999999999993</v>
      </c>
      <c r="JQ146" s="1607" t="s">
        <v>270</v>
      </c>
      <c r="JR146" s="1606" t="s">
        <v>270</v>
      </c>
      <c r="JS146" s="1606" t="s">
        <v>270</v>
      </c>
      <c r="JT146" s="1606" t="s">
        <v>270</v>
      </c>
    </row>
    <row r="147" spans="1:280" ht="15" customHeight="1" x14ac:dyDescent="0.2">
      <c r="A147" s="1626">
        <v>99900</v>
      </c>
      <c r="B147" s="1625">
        <v>999</v>
      </c>
      <c r="C147" s="1624">
        <v>0</v>
      </c>
      <c r="D147" s="1623" t="s">
        <v>3394</v>
      </c>
      <c r="E147" s="1622">
        <v>43031</v>
      </c>
      <c r="F147" s="1620">
        <v>1.1672371646341499</v>
      </c>
      <c r="G147" s="1620">
        <v>1.1187286071428599</v>
      </c>
      <c r="H147" s="1621">
        <v>100</v>
      </c>
      <c r="I147" s="1621">
        <v>100</v>
      </c>
      <c r="J147" s="1621">
        <v>100</v>
      </c>
      <c r="K147" s="1620">
        <v>1</v>
      </c>
      <c r="L147" s="1620">
        <v>99</v>
      </c>
      <c r="M147" s="1620">
        <v>66.082499999999996</v>
      </c>
      <c r="N147" s="1620">
        <v>0</v>
      </c>
      <c r="O147" s="1620">
        <v>15.048</v>
      </c>
      <c r="P147" s="1620">
        <v>0</v>
      </c>
      <c r="Q147" s="1603"/>
      <c r="R147" s="1620">
        <v>100</v>
      </c>
      <c r="S147" s="1620">
        <v>0</v>
      </c>
      <c r="T147" s="1620">
        <v>0</v>
      </c>
      <c r="U147" s="1620">
        <v>0</v>
      </c>
      <c r="V147" s="1620">
        <v>0</v>
      </c>
      <c r="W147" s="1620">
        <v>0</v>
      </c>
      <c r="X147" s="1620"/>
      <c r="Y147" s="1620">
        <v>0</v>
      </c>
      <c r="Z147" s="1620">
        <v>0</v>
      </c>
      <c r="AA147" s="1620">
        <v>0</v>
      </c>
      <c r="AB147" s="1620">
        <v>0</v>
      </c>
      <c r="AC147" s="1620">
        <v>0</v>
      </c>
      <c r="AD147" s="1620">
        <v>0</v>
      </c>
      <c r="AE147" s="1620">
        <v>0</v>
      </c>
      <c r="AF147" s="1620">
        <v>0</v>
      </c>
      <c r="AG147" s="1620">
        <v>0</v>
      </c>
      <c r="AH147" s="1620">
        <v>0</v>
      </c>
      <c r="AI147" s="1620">
        <v>0</v>
      </c>
      <c r="AJ147" s="1620">
        <v>0</v>
      </c>
      <c r="AK147" s="1620">
        <v>0</v>
      </c>
      <c r="AL147" s="1620"/>
      <c r="AM147" s="1620">
        <v>0</v>
      </c>
      <c r="AN147" s="1620">
        <v>0</v>
      </c>
      <c r="AO147" s="1620">
        <v>0</v>
      </c>
      <c r="AP147" s="1620">
        <v>0</v>
      </c>
      <c r="AQ147" s="1620">
        <v>0</v>
      </c>
      <c r="AR147" s="1620">
        <v>0</v>
      </c>
      <c r="AS147" s="1620">
        <v>149.81273400000001</v>
      </c>
      <c r="AT147" s="1620">
        <v>0</v>
      </c>
      <c r="AU147" s="1620">
        <v>0</v>
      </c>
      <c r="AV147" s="1620">
        <v>0</v>
      </c>
      <c r="AW147" s="1620">
        <v>0</v>
      </c>
      <c r="AX147" s="1620"/>
      <c r="AY147" s="1620">
        <v>1</v>
      </c>
      <c r="AZ147" s="1620">
        <v>1</v>
      </c>
      <c r="BA147" s="1620">
        <v>1</v>
      </c>
      <c r="BB147" s="1620">
        <v>1</v>
      </c>
      <c r="BC147" s="1620">
        <v>1</v>
      </c>
      <c r="BD147" s="1620">
        <v>1</v>
      </c>
      <c r="BE147" s="1620">
        <v>1</v>
      </c>
      <c r="BF147" s="1620">
        <v>1</v>
      </c>
      <c r="BG147" s="1620">
        <v>1</v>
      </c>
      <c r="BH147" s="1620">
        <v>1</v>
      </c>
      <c r="BI147" s="1620">
        <v>1</v>
      </c>
      <c r="BJ147" s="1603"/>
      <c r="BK147" s="1620">
        <v>66.75</v>
      </c>
      <c r="BL147" s="1620">
        <v>0</v>
      </c>
      <c r="BM147" s="1620">
        <v>15.2</v>
      </c>
      <c r="BN147" s="1620">
        <v>0</v>
      </c>
      <c r="BO147" s="1620"/>
      <c r="BP147" s="1620">
        <v>0</v>
      </c>
      <c r="BQ147" s="1620">
        <v>0</v>
      </c>
      <c r="BR147" s="1620">
        <v>1.179027439024394</v>
      </c>
      <c r="BS147" s="1620">
        <v>1.1300288961038989</v>
      </c>
      <c r="BT147" s="1603"/>
      <c r="BU147" s="1620">
        <v>848</v>
      </c>
      <c r="BV147" s="1620">
        <v>240.57499999999999</v>
      </c>
      <c r="BW147" s="1620">
        <v>0</v>
      </c>
      <c r="BX147" s="1620">
        <v>0</v>
      </c>
      <c r="BY147" s="1620">
        <v>0</v>
      </c>
      <c r="BZ147" s="1620" t="s">
        <v>270</v>
      </c>
      <c r="CA147" s="1620" t="s">
        <v>270</v>
      </c>
      <c r="CB147" s="1603"/>
      <c r="CC147" s="1603">
        <v>0</v>
      </c>
      <c r="CD147" s="1603">
        <v>0</v>
      </c>
      <c r="CE147" s="1603">
        <v>0</v>
      </c>
      <c r="CF147" s="1603">
        <v>0</v>
      </c>
      <c r="CG147" s="1603">
        <v>0</v>
      </c>
      <c r="CH147" s="1603">
        <v>0</v>
      </c>
      <c r="CI147" s="1603">
        <v>0</v>
      </c>
      <c r="CJ147" s="1603"/>
      <c r="CK147" s="1603">
        <v>0</v>
      </c>
      <c r="CL147" s="1603">
        <v>0</v>
      </c>
      <c r="CM147" s="1603">
        <v>0</v>
      </c>
      <c r="CN147" s="1603">
        <v>0</v>
      </c>
      <c r="CO147" s="1603">
        <v>0</v>
      </c>
      <c r="CP147" s="1603">
        <v>0</v>
      </c>
      <c r="CQ147" s="1603">
        <v>660.82500000000005</v>
      </c>
      <c r="CR147" s="1603">
        <v>566.14458485574698</v>
      </c>
      <c r="CS147" s="1603">
        <v>0</v>
      </c>
      <c r="CT147" s="1603">
        <v>0</v>
      </c>
      <c r="CU147" s="1603">
        <v>0</v>
      </c>
      <c r="CV147" s="1603">
        <v>0</v>
      </c>
      <c r="CW147" s="1603">
        <v>0</v>
      </c>
      <c r="CX147" s="1603">
        <v>0</v>
      </c>
      <c r="CY147" s="1603">
        <v>0</v>
      </c>
      <c r="CZ147" s="1603">
        <v>848.15668096534444</v>
      </c>
      <c r="DA147" s="1603">
        <v>0</v>
      </c>
      <c r="DB147" s="1603">
        <v>0</v>
      </c>
      <c r="DC147" s="1603">
        <v>0</v>
      </c>
      <c r="DD147" s="1603">
        <v>0</v>
      </c>
      <c r="DE147" s="1603">
        <v>0</v>
      </c>
      <c r="DF147" s="1603">
        <v>0</v>
      </c>
      <c r="DG147" s="1603">
        <v>0</v>
      </c>
      <c r="DH147" s="1603">
        <v>0</v>
      </c>
      <c r="DI147" s="1603">
        <v>0</v>
      </c>
      <c r="DJ147" s="1603">
        <v>0</v>
      </c>
      <c r="DK147" s="1603">
        <v>0</v>
      </c>
      <c r="DL147" s="1603">
        <v>0</v>
      </c>
      <c r="DM147" s="1603">
        <v>0</v>
      </c>
      <c r="DN147" s="1603">
        <v>0</v>
      </c>
      <c r="DO147" s="1603">
        <v>0</v>
      </c>
      <c r="DP147" s="1603">
        <v>0</v>
      </c>
      <c r="DQ147" s="1603">
        <v>0</v>
      </c>
      <c r="DR147" s="1603">
        <v>0</v>
      </c>
      <c r="DS147" s="1603">
        <v>0</v>
      </c>
      <c r="DT147" s="1603">
        <v>0</v>
      </c>
      <c r="DU147" s="1603">
        <v>0</v>
      </c>
      <c r="DV147" s="1603">
        <v>0</v>
      </c>
      <c r="DW147" s="1618" t="s">
        <v>986</v>
      </c>
      <c r="DX147" s="1605" t="s">
        <v>986</v>
      </c>
      <c r="DY147" s="1605" t="s">
        <v>986</v>
      </c>
      <c r="DZ147" s="1605" t="s">
        <v>986</v>
      </c>
      <c r="EA147" s="1605" t="s">
        <v>986</v>
      </c>
      <c r="EB147" s="1605" t="s">
        <v>986</v>
      </c>
      <c r="EC147" s="1605" t="s">
        <v>986</v>
      </c>
      <c r="ED147" s="1605" t="s">
        <v>986</v>
      </c>
      <c r="EE147" s="1605" t="s">
        <v>986</v>
      </c>
      <c r="EF147" s="1605" t="s">
        <v>986</v>
      </c>
      <c r="EG147" s="1605" t="s">
        <v>986</v>
      </c>
      <c r="EH147" s="1605" t="s">
        <v>986</v>
      </c>
      <c r="EI147" s="1605" t="s">
        <v>986</v>
      </c>
      <c r="EJ147" s="1605" t="s">
        <v>986</v>
      </c>
      <c r="EK147" s="1605" t="s">
        <v>986</v>
      </c>
      <c r="EL147" s="1605" t="s">
        <v>986</v>
      </c>
      <c r="EM147" s="1605" t="s">
        <v>986</v>
      </c>
      <c r="EN147" s="1605" t="s">
        <v>986</v>
      </c>
      <c r="EO147" s="1605" t="s">
        <v>986</v>
      </c>
      <c r="EP147" s="1605" t="s">
        <v>986</v>
      </c>
      <c r="EQ147" s="1605" t="s">
        <v>986</v>
      </c>
      <c r="ER147" s="1605" t="s">
        <v>986</v>
      </c>
      <c r="ES147" s="1605" t="s">
        <v>986</v>
      </c>
      <c r="ET147" s="1605" t="s">
        <v>986</v>
      </c>
      <c r="EU147" s="1605" t="s">
        <v>986</v>
      </c>
      <c r="EV147" s="1605" t="s">
        <v>986</v>
      </c>
      <c r="EW147" s="1605" t="s">
        <v>986</v>
      </c>
      <c r="EX147" s="1605" t="s">
        <v>986</v>
      </c>
      <c r="EY147" s="1605" t="s">
        <v>986</v>
      </c>
      <c r="EZ147" s="1605" t="s">
        <v>986</v>
      </c>
      <c r="FA147" s="1605" t="s">
        <v>986</v>
      </c>
      <c r="FB147" s="1605" t="s">
        <v>986</v>
      </c>
      <c r="FC147" s="1605" t="s">
        <v>986</v>
      </c>
      <c r="FD147" s="1605" t="s">
        <v>986</v>
      </c>
      <c r="FE147" s="1605" t="s">
        <v>986</v>
      </c>
      <c r="FF147" s="1605" t="s">
        <v>986</v>
      </c>
      <c r="FG147" s="1605" t="s">
        <v>986</v>
      </c>
      <c r="FH147" s="1605" t="s">
        <v>986</v>
      </c>
      <c r="FI147" s="1605" t="s">
        <v>986</v>
      </c>
      <c r="FJ147" s="1605" t="s">
        <v>986</v>
      </c>
      <c r="FK147" s="1605" t="s">
        <v>986</v>
      </c>
      <c r="FL147" s="1605" t="s">
        <v>986</v>
      </c>
      <c r="FM147" s="1605" t="s">
        <v>986</v>
      </c>
      <c r="FN147" s="1605" t="s">
        <v>986</v>
      </c>
      <c r="FO147" s="1605" t="s">
        <v>986</v>
      </c>
      <c r="FP147" s="1605" t="s">
        <v>986</v>
      </c>
      <c r="FQ147" s="1605" t="s">
        <v>986</v>
      </c>
      <c r="FR147" s="1605" t="s">
        <v>986</v>
      </c>
      <c r="FS147" s="1605" t="s">
        <v>986</v>
      </c>
      <c r="FT147" s="1605" t="s">
        <v>986</v>
      </c>
      <c r="FU147" s="1605" t="s">
        <v>986</v>
      </c>
      <c r="FV147" s="1605" t="s">
        <v>986</v>
      </c>
      <c r="FW147" s="1605" t="s">
        <v>986</v>
      </c>
      <c r="FX147" s="1605" t="s">
        <v>986</v>
      </c>
      <c r="FY147" s="1605" t="s">
        <v>986</v>
      </c>
      <c r="FZ147" s="1605" t="s">
        <v>986</v>
      </c>
      <c r="GA147" s="1605" t="s">
        <v>986</v>
      </c>
      <c r="GB147" s="1605" t="s">
        <v>986</v>
      </c>
      <c r="GC147" s="1605" t="s">
        <v>986</v>
      </c>
      <c r="GD147" s="1605" t="s">
        <v>986</v>
      </c>
      <c r="GE147" s="1605" t="s">
        <v>986</v>
      </c>
      <c r="GF147" s="1605" t="s">
        <v>986</v>
      </c>
      <c r="GG147" s="1605" t="s">
        <v>986</v>
      </c>
      <c r="GH147" s="1605" t="s">
        <v>986</v>
      </c>
      <c r="GI147" s="1605" t="s">
        <v>986</v>
      </c>
      <c r="GJ147" s="1605" t="s">
        <v>986</v>
      </c>
      <c r="GK147" s="1605" t="s">
        <v>986</v>
      </c>
      <c r="GL147" s="1605" t="s">
        <v>986</v>
      </c>
      <c r="GM147" s="1605" t="s">
        <v>986</v>
      </c>
      <c r="GN147" s="1605" t="s">
        <v>986</v>
      </c>
      <c r="GO147" s="1605" t="s">
        <v>986</v>
      </c>
      <c r="GP147" s="1605" t="s">
        <v>986</v>
      </c>
      <c r="GQ147" s="1605" t="s">
        <v>986</v>
      </c>
      <c r="GR147" s="1605" t="s">
        <v>986</v>
      </c>
      <c r="GS147" s="1605" t="s">
        <v>986</v>
      </c>
      <c r="GT147" s="1605" t="s">
        <v>986</v>
      </c>
      <c r="GU147" s="1605" t="s">
        <v>986</v>
      </c>
      <c r="GV147" s="1605" t="s">
        <v>986</v>
      </c>
      <c r="GW147" s="1605" t="s">
        <v>986</v>
      </c>
      <c r="GX147" s="1605" t="s">
        <v>986</v>
      </c>
      <c r="GY147" s="1605" t="s">
        <v>986</v>
      </c>
      <c r="GZ147" s="1605" t="s">
        <v>986</v>
      </c>
      <c r="HA147" s="1605" t="s">
        <v>986</v>
      </c>
      <c r="HB147" s="1605" t="s">
        <v>986</v>
      </c>
      <c r="HC147" s="1605" t="s">
        <v>986</v>
      </c>
      <c r="HD147" s="1605" t="s">
        <v>986</v>
      </c>
      <c r="HE147" s="1605" t="s">
        <v>986</v>
      </c>
      <c r="HF147" s="1605" t="s">
        <v>986</v>
      </c>
      <c r="HG147" s="1605" t="s">
        <v>986</v>
      </c>
      <c r="HH147" s="1605" t="s">
        <v>986</v>
      </c>
      <c r="HI147" s="1605" t="s">
        <v>986</v>
      </c>
      <c r="HJ147" s="1605" t="s">
        <v>986</v>
      </c>
      <c r="HK147" s="1605" t="s">
        <v>986</v>
      </c>
      <c r="HL147" s="1605" t="s">
        <v>986</v>
      </c>
      <c r="HM147" s="1605" t="s">
        <v>986</v>
      </c>
      <c r="HN147" s="1605" t="s">
        <v>986</v>
      </c>
      <c r="HO147" s="1605" t="s">
        <v>986</v>
      </c>
      <c r="HP147" s="1605" t="s">
        <v>986</v>
      </c>
      <c r="HQ147" s="1605" t="s">
        <v>986</v>
      </c>
      <c r="HR147" s="1605" t="s">
        <v>986</v>
      </c>
      <c r="HS147" s="1605" t="s">
        <v>986</v>
      </c>
      <c r="HT147" s="1605" t="s">
        <v>986</v>
      </c>
      <c r="HU147" s="1605" t="s">
        <v>986</v>
      </c>
      <c r="HV147" s="1617"/>
      <c r="HW147" s="1617" t="s">
        <v>986</v>
      </c>
      <c r="HX147" s="1617" t="s">
        <v>986</v>
      </c>
      <c r="HY147" s="1617" t="s">
        <v>986</v>
      </c>
      <c r="HZ147" s="1603"/>
      <c r="IA147" s="1603"/>
      <c r="IB147" s="1603"/>
      <c r="IC147" s="1603">
        <v>0</v>
      </c>
      <c r="ID147" s="1603">
        <v>0</v>
      </c>
      <c r="IE147" s="1603">
        <v>0</v>
      </c>
      <c r="IF147" s="1603">
        <v>0</v>
      </c>
      <c r="IG147" s="1611" t="s">
        <v>2932</v>
      </c>
      <c r="IH147" s="1616" t="s">
        <v>270</v>
      </c>
      <c r="II147" s="1615" t="s">
        <v>270</v>
      </c>
      <c r="IJ147" s="1613">
        <v>1.3101818181818183</v>
      </c>
      <c r="IK147" s="1613">
        <v>1.301848484848485</v>
      </c>
      <c r="IL147" s="1614">
        <v>1.3101818181818183</v>
      </c>
      <c r="IM147" s="1614">
        <v>1.301848484848485</v>
      </c>
      <c r="IN147" s="1612" t="s">
        <v>270</v>
      </c>
      <c r="IO147" s="1613" t="s">
        <v>270</v>
      </c>
      <c r="IP147" s="1607" t="s">
        <v>270</v>
      </c>
      <c r="IQ147" s="1612" t="s">
        <v>270</v>
      </c>
      <c r="IR147" s="1612" t="s">
        <v>270</v>
      </c>
      <c r="IS147" s="1607">
        <v>1.1881818181818182</v>
      </c>
      <c r="IT147" s="1607">
        <v>1.1798484848484849</v>
      </c>
      <c r="IU147" s="1611">
        <v>0</v>
      </c>
      <c r="IV147" s="1611">
        <v>7.7767676767676763E-2</v>
      </c>
      <c r="IW147" s="1611">
        <v>9.0909090909090909E-4</v>
      </c>
      <c r="IX147" s="1611">
        <v>1.6060606060606061E-3</v>
      </c>
      <c r="IY147" s="1611">
        <v>9.6969696969696957E-4</v>
      </c>
      <c r="IZ147" s="1611">
        <v>5.9898989898989896E-3</v>
      </c>
      <c r="JA147" s="1611">
        <v>6.0606060606060598E-5</v>
      </c>
      <c r="JB147" s="1611" t="s">
        <v>270</v>
      </c>
      <c r="JC147" s="1611">
        <v>9.9026969696969704</v>
      </c>
      <c r="JD147" s="1611">
        <v>5.2121212121212122E-3</v>
      </c>
      <c r="JE147" s="1611" t="s">
        <v>270</v>
      </c>
      <c r="JF147" s="1611">
        <v>8.2828282828282835E-4</v>
      </c>
      <c r="JG147" s="1611">
        <v>0.57978787878787885</v>
      </c>
      <c r="JH147" s="1611">
        <v>7.646464646464647E-3</v>
      </c>
      <c r="JI147" s="1611">
        <v>0.3</v>
      </c>
      <c r="JJ147" s="1611" t="s">
        <v>270</v>
      </c>
      <c r="JK147" s="1607">
        <f t="shared" si="11"/>
        <v>0.12200000000000011</v>
      </c>
      <c r="JL147" s="1608" t="s">
        <v>270</v>
      </c>
      <c r="JM147" s="1610" t="s">
        <v>2924</v>
      </c>
      <c r="JN147" s="1608">
        <v>8.3333333333333037E-3</v>
      </c>
      <c r="JO147" s="1609" t="s">
        <v>2931</v>
      </c>
      <c r="JP147" s="1608" t="s">
        <v>270</v>
      </c>
      <c r="JQ147" s="1607">
        <v>202103</v>
      </c>
      <c r="JR147" s="1606">
        <v>851</v>
      </c>
      <c r="JS147" s="1606">
        <v>774</v>
      </c>
      <c r="JT147" s="1606">
        <v>774</v>
      </c>
    </row>
    <row r="148" spans="1:280" ht="15" customHeight="1" x14ac:dyDescent="0.2">
      <c r="A148" s="1626">
        <v>71300</v>
      </c>
      <c r="B148" s="1625">
        <v>713</v>
      </c>
      <c r="C148" s="1624">
        <v>0</v>
      </c>
      <c r="D148" s="1623" t="s">
        <v>3393</v>
      </c>
      <c r="E148" s="1622">
        <v>43776</v>
      </c>
      <c r="F148" s="1620">
        <v>0.36214371738288798</v>
      </c>
      <c r="G148" s="1620">
        <v>0.47157315007050099</v>
      </c>
      <c r="H148" s="1621">
        <v>51.4</v>
      </c>
      <c r="I148" s="1621">
        <v>37.800022599999998</v>
      </c>
      <c r="J148" s="1621">
        <v>77</v>
      </c>
      <c r="K148" s="1620">
        <v>1</v>
      </c>
      <c r="L148" s="1620">
        <v>92</v>
      </c>
      <c r="M148" s="1620">
        <v>14.352</v>
      </c>
      <c r="N148" s="1620">
        <v>2.2999999999999998</v>
      </c>
      <c r="O148" s="1620">
        <v>10.488</v>
      </c>
      <c r="P148" s="1620">
        <v>27.416</v>
      </c>
      <c r="Q148" s="1603"/>
      <c r="R148" s="1620">
        <v>49.978790109890099</v>
      </c>
      <c r="S148" s="1620">
        <v>50</v>
      </c>
      <c r="T148" s="1620">
        <v>50</v>
      </c>
      <c r="U148" s="1620">
        <v>50</v>
      </c>
      <c r="V148" s="1620">
        <v>50</v>
      </c>
      <c r="W148" s="1620">
        <v>50</v>
      </c>
      <c r="X148" s="1620"/>
      <c r="Y148" s="1620">
        <v>7</v>
      </c>
      <c r="Z148" s="1620">
        <v>2.8000000000000003</v>
      </c>
      <c r="AA148" s="1620">
        <v>2.2000000000000002</v>
      </c>
      <c r="AB148" s="1620">
        <v>0</v>
      </c>
      <c r="AC148" s="1620">
        <v>24</v>
      </c>
      <c r="AD148" s="1620">
        <v>2.2000000000000002</v>
      </c>
      <c r="AE148" s="1620">
        <v>2.7</v>
      </c>
      <c r="AF148" s="1620">
        <v>550</v>
      </c>
      <c r="AG148" s="1620">
        <v>8.4</v>
      </c>
      <c r="AH148" s="1620">
        <v>91</v>
      </c>
      <c r="AI148" s="1620">
        <v>37</v>
      </c>
      <c r="AJ148" s="1620">
        <v>0</v>
      </c>
      <c r="AK148" s="1620">
        <v>0</v>
      </c>
      <c r="AL148" s="1620"/>
      <c r="AM148" s="1620">
        <v>4.66</v>
      </c>
      <c r="AN148" s="1620">
        <v>1.43</v>
      </c>
      <c r="AO148" s="1620">
        <v>1.1599999999999999</v>
      </c>
      <c r="AP148" s="1620">
        <v>4.01</v>
      </c>
      <c r="AQ148" s="1620">
        <v>1.66</v>
      </c>
      <c r="AR148" s="1620">
        <v>3.93</v>
      </c>
      <c r="AS148" s="1620">
        <v>6.33</v>
      </c>
      <c r="AT148" s="1620">
        <v>1.92</v>
      </c>
      <c r="AU148" s="1620">
        <v>4.41</v>
      </c>
      <c r="AV148" s="1620">
        <v>2.81</v>
      </c>
      <c r="AW148" s="1620">
        <v>5.26</v>
      </c>
      <c r="AX148" s="1620"/>
      <c r="AY148" s="1620">
        <v>1</v>
      </c>
      <c r="AZ148" s="1620">
        <v>1</v>
      </c>
      <c r="BA148" s="1620">
        <v>1</v>
      </c>
      <c r="BB148" s="1620">
        <v>1</v>
      </c>
      <c r="BC148" s="1620">
        <v>1</v>
      </c>
      <c r="BD148" s="1620">
        <v>1</v>
      </c>
      <c r="BE148" s="1620">
        <v>1</v>
      </c>
      <c r="BF148" s="1620">
        <v>1</v>
      </c>
      <c r="BG148" s="1620">
        <v>1</v>
      </c>
      <c r="BH148" s="1620">
        <v>1</v>
      </c>
      <c r="BI148" s="1620">
        <v>1</v>
      </c>
      <c r="BJ148" s="1603"/>
      <c r="BK148" s="1620">
        <v>15.6</v>
      </c>
      <c r="BL148" s="1620">
        <v>2.4999999999999996</v>
      </c>
      <c r="BM148" s="1620">
        <v>11.4</v>
      </c>
      <c r="BN148" s="1620">
        <v>29.8</v>
      </c>
      <c r="BO148" s="1620"/>
      <c r="BP148" s="1620">
        <v>0</v>
      </c>
      <c r="BQ148" s="1620">
        <v>0</v>
      </c>
      <c r="BR148" s="1620">
        <v>0.39363447541618257</v>
      </c>
      <c r="BS148" s="1620">
        <v>0.5125795109461968</v>
      </c>
      <c r="BT148" s="1603"/>
      <c r="BU148" s="1620">
        <v>886</v>
      </c>
      <c r="BV148" s="1620">
        <v>117.05685714285761</v>
      </c>
      <c r="BW148" s="1620">
        <v>172.13685680571413</v>
      </c>
      <c r="BX148" s="1620">
        <v>68</v>
      </c>
      <c r="BY148" s="1620">
        <v>23</v>
      </c>
      <c r="BZ148" s="1620">
        <v>96.237534285714247</v>
      </c>
      <c r="CA148" s="1620">
        <v>469.86560857142825</v>
      </c>
      <c r="CB148" s="1603"/>
      <c r="CC148" s="1603">
        <v>6.44</v>
      </c>
      <c r="CD148" s="1603">
        <v>2.5760000000000005</v>
      </c>
      <c r="CE148" s="1603">
        <v>2.0240000000000005</v>
      </c>
      <c r="CF148" s="1603">
        <v>0</v>
      </c>
      <c r="CG148" s="1603">
        <v>22.080000000000002</v>
      </c>
      <c r="CH148" s="1603">
        <v>2.0240000000000005</v>
      </c>
      <c r="CI148" s="1603">
        <v>2.4840000000000004</v>
      </c>
      <c r="CJ148" s="1603"/>
      <c r="CK148" s="1603">
        <v>506</v>
      </c>
      <c r="CL148" s="1603">
        <v>7.7280000000000006</v>
      </c>
      <c r="CM148" s="1603">
        <v>83.72</v>
      </c>
      <c r="CN148" s="1603">
        <v>34.04</v>
      </c>
      <c r="CO148" s="1603">
        <v>0</v>
      </c>
      <c r="CP148" s="1603">
        <v>0</v>
      </c>
      <c r="CQ148" s="1603">
        <v>71.729559565714297</v>
      </c>
      <c r="CR148" s="1603">
        <v>198.06931923072943</v>
      </c>
      <c r="CS148" s="1603">
        <v>9.2300302761520019</v>
      </c>
      <c r="CT148" s="1603">
        <v>2.8323912649994187</v>
      </c>
      <c r="CU148" s="1603">
        <v>2.2976041030764591</v>
      </c>
      <c r="CV148" s="1603">
        <v>5.1299953680758916</v>
      </c>
      <c r="CW148" s="1603">
        <v>7.9425797011522414</v>
      </c>
      <c r="CX148" s="1603">
        <v>3.287950699230116</v>
      </c>
      <c r="CY148" s="1603">
        <v>7.7841242457676616</v>
      </c>
      <c r="CZ148" s="1603">
        <v>12.537787907305161</v>
      </c>
      <c r="DA148" s="1603">
        <v>3.8029309292299924</v>
      </c>
      <c r="DB148" s="1603">
        <v>8.7348569780751664</v>
      </c>
      <c r="DC148" s="1603">
        <v>5.5657478703834924</v>
      </c>
      <c r="DD148" s="1603">
        <v>14.300604848458658</v>
      </c>
      <c r="DE148" s="1603">
        <v>10.418446191536363</v>
      </c>
      <c r="DF148" s="1603">
        <v>0</v>
      </c>
      <c r="DG148" s="1603">
        <v>0</v>
      </c>
      <c r="DH148" s="1603">
        <v>0</v>
      </c>
      <c r="DI148" s="1603">
        <v>0</v>
      </c>
      <c r="DJ148" s="1603">
        <v>0</v>
      </c>
      <c r="DK148" s="1603">
        <v>0</v>
      </c>
      <c r="DL148" s="1603">
        <v>0</v>
      </c>
      <c r="DM148" s="1603">
        <v>0</v>
      </c>
      <c r="DN148" s="1603">
        <v>0</v>
      </c>
      <c r="DO148" s="1603">
        <v>0</v>
      </c>
      <c r="DP148" s="1603">
        <v>0</v>
      </c>
      <c r="DQ148" s="1603">
        <v>0</v>
      </c>
      <c r="DR148" s="1603">
        <v>0</v>
      </c>
      <c r="DS148" s="1603">
        <v>0</v>
      </c>
      <c r="DT148" s="1603">
        <v>0</v>
      </c>
      <c r="DU148" s="1603">
        <v>0</v>
      </c>
      <c r="DV148" s="1603">
        <v>0</v>
      </c>
      <c r="DW148" s="1618" t="s">
        <v>3392</v>
      </c>
      <c r="DX148" s="1605">
        <v>6</v>
      </c>
      <c r="DY148" s="1605">
        <v>6</v>
      </c>
      <c r="DZ148" s="1605">
        <v>6</v>
      </c>
      <c r="EA148" s="1605">
        <v>6</v>
      </c>
      <c r="EB148" s="1605">
        <v>5</v>
      </c>
      <c r="EC148" s="1605">
        <v>6</v>
      </c>
      <c r="ED148" s="1605">
        <v>6</v>
      </c>
      <c r="EE148" s="1605">
        <v>6</v>
      </c>
      <c r="EF148" s="1605">
        <v>6</v>
      </c>
      <c r="EG148" s="1605">
        <v>6</v>
      </c>
      <c r="EH148" s="1605" t="s">
        <v>986</v>
      </c>
      <c r="EI148" s="1605" t="s">
        <v>986</v>
      </c>
      <c r="EJ148" s="1605" t="s">
        <v>986</v>
      </c>
      <c r="EK148" s="1605" t="s">
        <v>986</v>
      </c>
      <c r="EL148" s="1605" t="s">
        <v>986</v>
      </c>
      <c r="EM148" s="1605" t="s">
        <v>986</v>
      </c>
      <c r="EN148" s="1605" t="s">
        <v>986</v>
      </c>
      <c r="EO148" s="1605" t="s">
        <v>986</v>
      </c>
      <c r="EP148" s="1605" t="s">
        <v>986</v>
      </c>
      <c r="EQ148" s="1605" t="s">
        <v>986</v>
      </c>
      <c r="ER148" s="1605" t="s">
        <v>986</v>
      </c>
      <c r="ES148" s="1605">
        <v>1</v>
      </c>
      <c r="ET148" s="1605">
        <v>1</v>
      </c>
      <c r="EU148" s="1605" t="s">
        <v>986</v>
      </c>
      <c r="EV148" s="1605" t="s">
        <v>986</v>
      </c>
      <c r="EW148" s="1605" t="s">
        <v>986</v>
      </c>
      <c r="EX148" s="1605" t="s">
        <v>986</v>
      </c>
      <c r="EY148" s="1605" t="s">
        <v>986</v>
      </c>
      <c r="EZ148" s="1605" t="s">
        <v>986</v>
      </c>
      <c r="FA148" s="1605" t="s">
        <v>986</v>
      </c>
      <c r="FB148" s="1605" t="s">
        <v>986</v>
      </c>
      <c r="FC148" s="1605" t="s">
        <v>986</v>
      </c>
      <c r="FD148" s="1605" t="s">
        <v>986</v>
      </c>
      <c r="FE148" s="1605" t="s">
        <v>986</v>
      </c>
      <c r="FF148" s="1605">
        <v>0.8</v>
      </c>
      <c r="FG148" s="1605">
        <v>1.5</v>
      </c>
      <c r="FH148" s="1605">
        <v>0.3</v>
      </c>
      <c r="FI148" s="1605">
        <v>1.8</v>
      </c>
      <c r="FJ148" s="1605">
        <v>4.2</v>
      </c>
      <c r="FK148" s="1605">
        <v>2.2000000000000002</v>
      </c>
      <c r="FL148" s="1605">
        <v>3.8</v>
      </c>
      <c r="FM148" s="1605">
        <v>2.2000000000000002</v>
      </c>
      <c r="FN148" s="1605">
        <v>8</v>
      </c>
      <c r="FO148" s="1605">
        <v>6.1</v>
      </c>
      <c r="FP148" s="1605" t="s">
        <v>986</v>
      </c>
      <c r="FQ148" s="1605" t="s">
        <v>986</v>
      </c>
      <c r="FR148" s="1605" t="s">
        <v>986</v>
      </c>
      <c r="FS148" s="1605" t="s">
        <v>986</v>
      </c>
      <c r="FT148" s="1605" t="s">
        <v>986</v>
      </c>
      <c r="FU148" s="1605" t="s">
        <v>986</v>
      </c>
      <c r="FV148" s="1605" t="s">
        <v>986</v>
      </c>
      <c r="FW148" s="1605" t="s">
        <v>986</v>
      </c>
      <c r="FX148" s="1605" t="s">
        <v>986</v>
      </c>
      <c r="FY148" s="1605" t="s">
        <v>986</v>
      </c>
      <c r="FZ148" s="1605" t="s">
        <v>986</v>
      </c>
      <c r="GA148" s="1605" t="s">
        <v>986</v>
      </c>
      <c r="GB148" s="1605" t="s">
        <v>986</v>
      </c>
      <c r="GC148" s="1605" t="s">
        <v>986</v>
      </c>
      <c r="GD148" s="1605" t="s">
        <v>986</v>
      </c>
      <c r="GE148" s="1605" t="s">
        <v>986</v>
      </c>
      <c r="GF148" s="1605" t="s">
        <v>986</v>
      </c>
      <c r="GG148" s="1605" t="s">
        <v>986</v>
      </c>
      <c r="GH148" s="1605" t="s">
        <v>986</v>
      </c>
      <c r="GI148" s="1605" t="s">
        <v>986</v>
      </c>
      <c r="GJ148" s="1605" t="s">
        <v>986</v>
      </c>
      <c r="GK148" s="1605" t="s">
        <v>986</v>
      </c>
      <c r="GL148" s="1605" t="s">
        <v>986</v>
      </c>
      <c r="GM148" s="1605" t="s">
        <v>986</v>
      </c>
      <c r="GN148" s="1605" t="s">
        <v>1579</v>
      </c>
      <c r="GO148" s="1605" t="s">
        <v>1579</v>
      </c>
      <c r="GP148" s="1605" t="s">
        <v>1579</v>
      </c>
      <c r="GQ148" s="1605" t="s">
        <v>1579</v>
      </c>
      <c r="GR148" s="1605" t="s">
        <v>1579</v>
      </c>
      <c r="GS148" s="1605" t="s">
        <v>1579</v>
      </c>
      <c r="GT148" s="1605" t="s">
        <v>1579</v>
      </c>
      <c r="GU148" s="1605" t="s">
        <v>1579</v>
      </c>
      <c r="GV148" s="1605" t="s">
        <v>1579</v>
      </c>
      <c r="GW148" s="1605" t="s">
        <v>1579</v>
      </c>
      <c r="GX148" s="1605" t="s">
        <v>1583</v>
      </c>
      <c r="GY148" s="1605" t="s">
        <v>1583</v>
      </c>
      <c r="GZ148" s="1605" t="s">
        <v>1583</v>
      </c>
      <c r="HA148" s="1605" t="s">
        <v>1583</v>
      </c>
      <c r="HB148" s="1605" t="s">
        <v>1583</v>
      </c>
      <c r="HC148" s="1605" t="s">
        <v>1583</v>
      </c>
      <c r="HD148" s="1605" t="s">
        <v>1583</v>
      </c>
      <c r="HE148" s="1605" t="s">
        <v>1583</v>
      </c>
      <c r="HF148" s="1605" t="s">
        <v>1583</v>
      </c>
      <c r="HG148" s="1605" t="s">
        <v>1583</v>
      </c>
      <c r="HH148" s="1605" t="s">
        <v>1583</v>
      </c>
      <c r="HI148" s="1605" t="s">
        <v>1579</v>
      </c>
      <c r="HJ148" s="1605" t="s">
        <v>1579</v>
      </c>
      <c r="HK148" s="1605" t="s">
        <v>986</v>
      </c>
      <c r="HL148" s="1605" t="s">
        <v>986</v>
      </c>
      <c r="HM148" s="1605" t="s">
        <v>986</v>
      </c>
      <c r="HN148" s="1605" t="s">
        <v>986</v>
      </c>
      <c r="HO148" s="1605" t="s">
        <v>986</v>
      </c>
      <c r="HP148" s="1605" t="s">
        <v>986</v>
      </c>
      <c r="HQ148" s="1605" t="s">
        <v>986</v>
      </c>
      <c r="HR148" s="1605" t="s">
        <v>986</v>
      </c>
      <c r="HS148" s="1605" t="s">
        <v>986</v>
      </c>
      <c r="HT148" s="1605" t="s">
        <v>986</v>
      </c>
      <c r="HU148" s="1605" t="s">
        <v>986</v>
      </c>
      <c r="HV148" s="1617"/>
      <c r="HW148" s="1617" t="s">
        <v>3391</v>
      </c>
      <c r="HX148" s="1617" t="s">
        <v>3390</v>
      </c>
      <c r="HY148" s="1617" t="s">
        <v>3389</v>
      </c>
      <c r="HZ148" s="1603"/>
      <c r="IA148" s="1603"/>
      <c r="IB148" s="1603"/>
      <c r="IC148" s="1603">
        <v>50</v>
      </c>
      <c r="ID148" s="1603">
        <v>50</v>
      </c>
      <c r="IE148" s="1603">
        <v>50</v>
      </c>
      <c r="IF148" s="1603">
        <v>50</v>
      </c>
      <c r="IG148" s="1611" t="s">
        <v>3388</v>
      </c>
      <c r="IH148" s="1616" t="s">
        <v>3387</v>
      </c>
      <c r="II148" s="1615" t="s">
        <v>3386</v>
      </c>
      <c r="IJ148" s="1613">
        <v>0.64479347826086952</v>
      </c>
      <c r="IK148" s="1613">
        <v>0.63141304347826088</v>
      </c>
      <c r="IL148" s="1614">
        <v>0.64479347826086952</v>
      </c>
      <c r="IM148" s="1614">
        <v>0.63141304347826088</v>
      </c>
      <c r="IN148" s="1612" t="s">
        <v>270</v>
      </c>
      <c r="IO148" s="1613" t="s">
        <v>270</v>
      </c>
      <c r="IP148" s="1607" t="s">
        <v>270</v>
      </c>
      <c r="IQ148" s="1612" t="s">
        <v>270</v>
      </c>
      <c r="IR148" s="1612" t="s">
        <v>270</v>
      </c>
      <c r="IS148" s="1607">
        <v>0.52579347826086953</v>
      </c>
      <c r="IT148" s="1607">
        <v>0.51241304347826089</v>
      </c>
      <c r="IU148" s="1611">
        <v>1.0869565217391305E-5</v>
      </c>
      <c r="IV148" s="1611">
        <v>1.844565217391304E-2</v>
      </c>
      <c r="IW148" s="1611">
        <v>8.1521739130434778E-4</v>
      </c>
      <c r="IX148" s="1611">
        <v>1.1956521739130434E-3</v>
      </c>
      <c r="IY148" s="1611">
        <v>8.2608695652173906E-4</v>
      </c>
      <c r="IZ148" s="1611">
        <v>7.2282608695652178E-3</v>
      </c>
      <c r="JA148" s="1611">
        <v>1.8478260869565218E-4</v>
      </c>
      <c r="JB148" s="1611" t="s">
        <v>270</v>
      </c>
      <c r="JC148" s="1611">
        <v>0.25372826086956524</v>
      </c>
      <c r="JD148" s="1611">
        <v>1.5119565217391304E-2</v>
      </c>
      <c r="JE148" s="1611" t="s">
        <v>270</v>
      </c>
      <c r="JF148" s="1611">
        <v>2.8260869565217394E-4</v>
      </c>
      <c r="JG148" s="1611">
        <v>1.2608913043478263</v>
      </c>
      <c r="JH148" s="1611">
        <v>5.7608695652173916E-4</v>
      </c>
      <c r="JI148" s="1611">
        <v>9.4152173913043494E-2</v>
      </c>
      <c r="JJ148" s="1611" t="s">
        <v>270</v>
      </c>
      <c r="JK148" s="1607">
        <f t="shared" si="11"/>
        <v>0.11899999999999999</v>
      </c>
      <c r="JL148" s="1608" t="s">
        <v>270</v>
      </c>
      <c r="JM148" s="1610" t="s">
        <v>2924</v>
      </c>
      <c r="JN148" s="1608">
        <v>1.3380434782608641E-2</v>
      </c>
      <c r="JO148" s="1609" t="s">
        <v>3077</v>
      </c>
      <c r="JP148" s="1608" t="s">
        <v>270</v>
      </c>
      <c r="JQ148" s="1607">
        <v>202103</v>
      </c>
      <c r="JR148" s="1606">
        <v>850</v>
      </c>
      <c r="JS148" s="1606">
        <v>773</v>
      </c>
      <c r="JT148" s="1606">
        <v>773</v>
      </c>
    </row>
    <row r="149" spans="1:280" ht="15" customHeight="1" x14ac:dyDescent="0.2">
      <c r="A149" s="1626">
        <v>64900</v>
      </c>
      <c r="B149" s="1625">
        <v>649</v>
      </c>
      <c r="C149" s="1624">
        <v>0</v>
      </c>
      <c r="D149" s="1623" t="s">
        <v>3385</v>
      </c>
      <c r="E149" s="1622">
        <v>43025</v>
      </c>
      <c r="F149" s="1620">
        <v>0.73282595663956596</v>
      </c>
      <c r="G149" s="1620">
        <v>0.81494891532467395</v>
      </c>
      <c r="H149" s="1621">
        <v>90</v>
      </c>
      <c r="I149" s="1621">
        <v>55.7</v>
      </c>
      <c r="J149" s="1621">
        <v>90</v>
      </c>
      <c r="K149" s="1620">
        <v>1</v>
      </c>
      <c r="L149" s="1620">
        <v>79.400000000000006</v>
      </c>
      <c r="M149" s="1620">
        <v>27.7</v>
      </c>
      <c r="N149" s="1620">
        <v>5.3</v>
      </c>
      <c r="O149" s="1620">
        <v>3.4935999999999998</v>
      </c>
      <c r="P149" s="1620">
        <v>13.6568</v>
      </c>
      <c r="Q149" s="1603"/>
      <c r="R149" s="1620">
        <v>88</v>
      </c>
      <c r="S149" s="1620">
        <v>50</v>
      </c>
      <c r="T149" s="1620">
        <v>53.658536585365802</v>
      </c>
      <c r="U149" s="1620">
        <v>55.121951219512198</v>
      </c>
      <c r="V149" s="1620">
        <v>56.439024390243901</v>
      </c>
      <c r="W149" s="1620">
        <v>57.317073170731703</v>
      </c>
      <c r="X149" s="1620"/>
      <c r="Y149" s="1620">
        <v>3.1863979848866495</v>
      </c>
      <c r="Z149" s="1620">
        <v>4.6221662468513847</v>
      </c>
      <c r="AA149" s="1620">
        <v>9.9999999999999992E-2</v>
      </c>
      <c r="AB149" s="1620">
        <v>0</v>
      </c>
      <c r="AC149" s="1620">
        <v>11.799999999999999</v>
      </c>
      <c r="AD149" s="1620">
        <v>2.2999999999999998</v>
      </c>
      <c r="AE149" s="1620">
        <v>2.1</v>
      </c>
      <c r="AF149" s="1620">
        <v>41.999999999999993</v>
      </c>
      <c r="AG149" s="1620">
        <v>5</v>
      </c>
      <c r="AH149" s="1620">
        <v>50</v>
      </c>
      <c r="AI149" s="1620">
        <v>41.999999999999993</v>
      </c>
      <c r="AJ149" s="1620">
        <v>0</v>
      </c>
      <c r="AK149" s="1620">
        <v>0.10999999999999999</v>
      </c>
      <c r="AL149" s="1620"/>
      <c r="AM149" s="1620">
        <v>4.6570397111913397</v>
      </c>
      <c r="AN149" s="1620">
        <v>0.58844765342960303</v>
      </c>
      <c r="AO149" s="1620">
        <v>0.94945848375451303</v>
      </c>
      <c r="AP149" s="1620">
        <v>3.4259927797833898</v>
      </c>
      <c r="AQ149" s="1620">
        <v>0.8</v>
      </c>
      <c r="AR149" s="1620">
        <v>3.95</v>
      </c>
      <c r="AS149" s="1620">
        <v>6.74</v>
      </c>
      <c r="AT149" s="1620">
        <v>2.6</v>
      </c>
      <c r="AU149" s="1620">
        <v>3.85</v>
      </c>
      <c r="AV149" s="1620">
        <v>3.93</v>
      </c>
      <c r="AW149" s="1620">
        <v>3.79</v>
      </c>
      <c r="AX149" s="1620"/>
      <c r="AY149" s="1620">
        <v>0.99</v>
      </c>
      <c r="AZ149" s="1620">
        <v>0.95</v>
      </c>
      <c r="BA149" s="1620">
        <v>0.97</v>
      </c>
      <c r="BB149" s="1620">
        <v>0.95</v>
      </c>
      <c r="BC149" s="1620">
        <v>0.98</v>
      </c>
      <c r="BD149" s="1620">
        <v>0.98</v>
      </c>
      <c r="BE149" s="1620">
        <v>0.98</v>
      </c>
      <c r="BF149" s="1620">
        <v>1.02</v>
      </c>
      <c r="BG149" s="1620">
        <v>0.99</v>
      </c>
      <c r="BH149" s="1620">
        <v>0.97</v>
      </c>
      <c r="BI149" s="1620">
        <v>0.94</v>
      </c>
      <c r="BJ149" s="1603"/>
      <c r="BK149" s="1620">
        <v>34.886649874055415</v>
      </c>
      <c r="BL149" s="1620">
        <v>6.6750629722921913</v>
      </c>
      <c r="BM149" s="1620">
        <v>4.3999999999999995</v>
      </c>
      <c r="BN149" s="1620">
        <v>17.2</v>
      </c>
      <c r="BO149" s="1620"/>
      <c r="BP149" s="1620">
        <v>116</v>
      </c>
      <c r="BQ149" s="1620">
        <v>77.43073047858941</v>
      </c>
      <c r="BR149" s="1620">
        <v>0.92295460533950369</v>
      </c>
      <c r="BS149" s="1620">
        <v>1.0263840243383802</v>
      </c>
      <c r="BT149" s="1603"/>
      <c r="BU149" s="1620">
        <v>955.99999999999989</v>
      </c>
      <c r="BV149" s="1620">
        <v>9.7433753148615114</v>
      </c>
      <c r="BW149" s="1620">
        <v>468.43999999999994</v>
      </c>
      <c r="BX149" s="1620" t="s">
        <v>270</v>
      </c>
      <c r="BY149" s="1620" t="s">
        <v>270</v>
      </c>
      <c r="BZ149" s="1620">
        <v>168.90186801007556</v>
      </c>
      <c r="CA149" s="1620">
        <v>358.91646952141053</v>
      </c>
      <c r="CB149" s="1603"/>
      <c r="CC149" s="1603">
        <v>2.5299999999999998</v>
      </c>
      <c r="CD149" s="1603">
        <v>3.6699999999999995</v>
      </c>
      <c r="CE149" s="1603">
        <v>7.9399999999999998E-2</v>
      </c>
      <c r="CF149" s="1603">
        <v>0</v>
      </c>
      <c r="CG149" s="1603">
        <v>9.3691999999999993</v>
      </c>
      <c r="CH149" s="1603">
        <v>1.8262</v>
      </c>
      <c r="CI149" s="1603">
        <v>1.6674000000000002</v>
      </c>
      <c r="CJ149" s="1603"/>
      <c r="CK149" s="1603">
        <v>33.347999999999999</v>
      </c>
      <c r="CL149" s="1603">
        <v>3.97</v>
      </c>
      <c r="CM149" s="1603">
        <v>39.700000000000003</v>
      </c>
      <c r="CN149" s="1603">
        <v>33.347999999999999</v>
      </c>
      <c r="CO149" s="1603">
        <v>0</v>
      </c>
      <c r="CP149" s="1603">
        <v>8.7339999999999987E-2</v>
      </c>
      <c r="CQ149" s="1603">
        <v>243.76</v>
      </c>
      <c r="CR149" s="1603">
        <v>332.63013924586085</v>
      </c>
      <c r="CS149" s="1603">
        <v>15.335810499310066</v>
      </c>
      <c r="CT149" s="1603">
        <v>1.8594865365422941</v>
      </c>
      <c r="CU149" s="1603">
        <v>3.0634395242964461</v>
      </c>
      <c r="CV149" s="1603">
        <v>4.9229260608387406</v>
      </c>
      <c r="CW149" s="1603">
        <v>10.826090326249307</v>
      </c>
      <c r="CX149" s="1603">
        <v>2.607820291687549</v>
      </c>
      <c r="CY149" s="1603">
        <v>12.876112690207274</v>
      </c>
      <c r="CZ149" s="1603">
        <v>21.970885957467601</v>
      </c>
      <c r="DA149" s="1603">
        <v>8.8213512928002302</v>
      </c>
      <c r="DB149" s="1603">
        <v>12.678197757355985</v>
      </c>
      <c r="DC149" s="1603">
        <v>12.68019353819146</v>
      </c>
      <c r="DD149" s="1603">
        <v>25.358391295547445</v>
      </c>
      <c r="DE149" s="1603">
        <v>11.850281340773037</v>
      </c>
      <c r="DF149" s="1603">
        <v>0</v>
      </c>
      <c r="DG149" s="1603">
        <v>0</v>
      </c>
      <c r="DH149" s="1603">
        <v>0</v>
      </c>
      <c r="DI149" s="1603">
        <v>0</v>
      </c>
      <c r="DJ149" s="1603">
        <v>0</v>
      </c>
      <c r="DK149" s="1603">
        <v>0</v>
      </c>
      <c r="DL149" s="1603">
        <v>0</v>
      </c>
      <c r="DM149" s="1603">
        <v>0</v>
      </c>
      <c r="DN149" s="1603">
        <v>0</v>
      </c>
      <c r="DO149" s="1603">
        <v>0</v>
      </c>
      <c r="DP149" s="1603">
        <v>0</v>
      </c>
      <c r="DQ149" s="1603">
        <v>0</v>
      </c>
      <c r="DR149" s="1603">
        <v>0</v>
      </c>
      <c r="DS149" s="1603">
        <v>0</v>
      </c>
      <c r="DT149" s="1603">
        <v>0</v>
      </c>
      <c r="DU149" s="1603">
        <v>0</v>
      </c>
      <c r="DV149" s="1603">
        <v>0</v>
      </c>
      <c r="DW149" s="1618" t="s">
        <v>3383</v>
      </c>
      <c r="DX149" s="1605" t="s">
        <v>986</v>
      </c>
      <c r="DY149" s="1605">
        <v>4</v>
      </c>
      <c r="DZ149" s="1605">
        <v>4</v>
      </c>
      <c r="EA149" s="1605">
        <v>4</v>
      </c>
      <c r="EB149" s="1605" t="s">
        <v>986</v>
      </c>
      <c r="EC149" s="1605" t="s">
        <v>986</v>
      </c>
      <c r="ED149" s="1605" t="s">
        <v>986</v>
      </c>
      <c r="EE149" s="1605" t="s">
        <v>986</v>
      </c>
      <c r="EF149" s="1605" t="s">
        <v>986</v>
      </c>
      <c r="EG149" s="1605" t="s">
        <v>986</v>
      </c>
      <c r="EH149" s="1605">
        <v>4</v>
      </c>
      <c r="EI149" s="1605">
        <v>4</v>
      </c>
      <c r="EJ149" s="1605">
        <v>4</v>
      </c>
      <c r="EK149" s="1605">
        <v>4</v>
      </c>
      <c r="EL149" s="1605" t="s">
        <v>986</v>
      </c>
      <c r="EM149" s="1605">
        <v>4</v>
      </c>
      <c r="EN149" s="1605">
        <v>4</v>
      </c>
      <c r="EO149" s="1605">
        <v>4</v>
      </c>
      <c r="EP149" s="1605">
        <v>4</v>
      </c>
      <c r="EQ149" s="1605">
        <v>4</v>
      </c>
      <c r="ER149" s="1605">
        <v>4</v>
      </c>
      <c r="ES149" s="1605">
        <v>4</v>
      </c>
      <c r="ET149" s="1605">
        <v>4</v>
      </c>
      <c r="EU149" s="1605" t="s">
        <v>986</v>
      </c>
      <c r="EV149" s="1605" t="s">
        <v>986</v>
      </c>
      <c r="EW149" s="1605" t="s">
        <v>986</v>
      </c>
      <c r="EX149" s="1605" t="s">
        <v>986</v>
      </c>
      <c r="EY149" s="1605" t="s">
        <v>986</v>
      </c>
      <c r="EZ149" s="1605" t="s">
        <v>986</v>
      </c>
      <c r="FA149" s="1605" t="s">
        <v>986</v>
      </c>
      <c r="FB149" s="1605" t="s">
        <v>986</v>
      </c>
      <c r="FC149" s="1605" t="s">
        <v>986</v>
      </c>
      <c r="FD149" s="1605" t="s">
        <v>986</v>
      </c>
      <c r="FE149" s="1605" t="s">
        <v>986</v>
      </c>
      <c r="FF149" s="1605" t="s">
        <v>986</v>
      </c>
      <c r="FG149" s="1605">
        <v>0.56999999999999995</v>
      </c>
      <c r="FH149" s="1605">
        <v>0.12</v>
      </c>
      <c r="FI149" s="1605">
        <v>0.15</v>
      </c>
      <c r="FJ149" s="1605" t="s">
        <v>986</v>
      </c>
      <c r="FK149" s="1605" t="s">
        <v>986</v>
      </c>
      <c r="FL149" s="1605" t="s">
        <v>986</v>
      </c>
      <c r="FM149" s="1605" t="s">
        <v>986</v>
      </c>
      <c r="FN149" s="1605" t="s">
        <v>986</v>
      </c>
      <c r="FO149" s="1605" t="s">
        <v>986</v>
      </c>
      <c r="FP149" s="1605">
        <v>0.17</v>
      </c>
      <c r="FQ149" s="1605">
        <v>0.02</v>
      </c>
      <c r="FR149" s="1605">
        <v>0.02</v>
      </c>
      <c r="FS149" s="1605">
        <v>0.13</v>
      </c>
      <c r="FT149" s="1605" t="s">
        <v>986</v>
      </c>
      <c r="FU149" s="1605">
        <v>0.18</v>
      </c>
      <c r="FV149" s="1605">
        <v>0.17</v>
      </c>
      <c r="FW149" s="1605">
        <v>0.1</v>
      </c>
      <c r="FX149" s="1605">
        <v>0.13</v>
      </c>
      <c r="FY149" s="1605">
        <v>0.24</v>
      </c>
      <c r="FZ149" s="1605">
        <v>0.21</v>
      </c>
      <c r="GA149" s="1605" t="s">
        <v>986</v>
      </c>
      <c r="GB149" s="1605">
        <v>0.21</v>
      </c>
      <c r="GC149" s="1605" t="s">
        <v>986</v>
      </c>
      <c r="GD149" s="1605" t="s">
        <v>986</v>
      </c>
      <c r="GE149" s="1605" t="s">
        <v>986</v>
      </c>
      <c r="GF149" s="1605" t="s">
        <v>986</v>
      </c>
      <c r="GG149" s="1605" t="s">
        <v>986</v>
      </c>
      <c r="GH149" s="1605" t="s">
        <v>986</v>
      </c>
      <c r="GI149" s="1605" t="s">
        <v>986</v>
      </c>
      <c r="GJ149" s="1605" t="s">
        <v>986</v>
      </c>
      <c r="GK149" s="1605" t="s">
        <v>986</v>
      </c>
      <c r="GL149" s="1605" t="s">
        <v>986</v>
      </c>
      <c r="GM149" s="1605" t="s">
        <v>986</v>
      </c>
      <c r="GN149" s="1605" t="s">
        <v>1583</v>
      </c>
      <c r="GO149" s="1605" t="s">
        <v>1583</v>
      </c>
      <c r="GP149" s="1605" t="s">
        <v>1583</v>
      </c>
      <c r="GQ149" s="1605" t="s">
        <v>1583</v>
      </c>
      <c r="GR149" s="1605" t="s">
        <v>986</v>
      </c>
      <c r="GS149" s="1605" t="s">
        <v>986</v>
      </c>
      <c r="GT149" s="1605" t="s">
        <v>986</v>
      </c>
      <c r="GU149" s="1605" t="s">
        <v>986</v>
      </c>
      <c r="GV149" s="1605" t="s">
        <v>986</v>
      </c>
      <c r="GW149" s="1605" t="s">
        <v>986</v>
      </c>
      <c r="GX149" s="1605" t="s">
        <v>1583</v>
      </c>
      <c r="GY149" s="1605" t="s">
        <v>1583</v>
      </c>
      <c r="GZ149" s="1605" t="s">
        <v>1583</v>
      </c>
      <c r="HA149" s="1605" t="s">
        <v>1583</v>
      </c>
      <c r="HB149" s="1605" t="s">
        <v>986</v>
      </c>
      <c r="HC149" s="1605" t="s">
        <v>1583</v>
      </c>
      <c r="HD149" s="1605" t="s">
        <v>1583</v>
      </c>
      <c r="HE149" s="1605" t="s">
        <v>1583</v>
      </c>
      <c r="HF149" s="1605" t="s">
        <v>1583</v>
      </c>
      <c r="HG149" s="1605" t="s">
        <v>1583</v>
      </c>
      <c r="HH149" s="1605" t="s">
        <v>1583</v>
      </c>
      <c r="HI149" s="1605" t="s">
        <v>1583</v>
      </c>
      <c r="HJ149" s="1605" t="s">
        <v>1583</v>
      </c>
      <c r="HK149" s="1605" t="s">
        <v>986</v>
      </c>
      <c r="HL149" s="1605" t="s">
        <v>986</v>
      </c>
      <c r="HM149" s="1605" t="s">
        <v>986</v>
      </c>
      <c r="HN149" s="1605" t="s">
        <v>986</v>
      </c>
      <c r="HO149" s="1605" t="s">
        <v>986</v>
      </c>
      <c r="HP149" s="1605" t="s">
        <v>986</v>
      </c>
      <c r="HQ149" s="1605" t="s">
        <v>986</v>
      </c>
      <c r="HR149" s="1605" t="s">
        <v>986</v>
      </c>
      <c r="HS149" s="1605" t="s">
        <v>986</v>
      </c>
      <c r="HT149" s="1605" t="s">
        <v>986</v>
      </c>
      <c r="HU149" s="1605" t="s">
        <v>986</v>
      </c>
      <c r="HV149" s="1617"/>
      <c r="HW149" s="1617" t="s">
        <v>3382</v>
      </c>
      <c r="HX149" s="1617" t="s">
        <v>3381</v>
      </c>
      <c r="HY149" s="1617" t="s">
        <v>3380</v>
      </c>
      <c r="HZ149" s="1603"/>
      <c r="IA149" s="1603"/>
      <c r="IB149" s="1603"/>
      <c r="IC149" s="1603">
        <v>57.975609756097597</v>
      </c>
      <c r="ID149" s="1603">
        <v>58.414634146341498</v>
      </c>
      <c r="IE149" s="1603">
        <v>58.780487804878099</v>
      </c>
      <c r="IF149" s="1603">
        <v>59</v>
      </c>
      <c r="IG149" s="1611" t="s">
        <v>270</v>
      </c>
      <c r="IH149" s="1616" t="s">
        <v>270</v>
      </c>
      <c r="II149" s="1615" t="s">
        <v>270</v>
      </c>
      <c r="IJ149" s="1613">
        <v>0.63600000000000001</v>
      </c>
      <c r="IK149" s="1613">
        <v>0.63600000000000001</v>
      </c>
      <c r="IL149" s="1614">
        <v>0.63600000000000001</v>
      </c>
      <c r="IM149" s="1614">
        <v>0.63600000000000001</v>
      </c>
      <c r="IN149" s="1612">
        <v>0.63600000000000001</v>
      </c>
      <c r="IO149" s="1613">
        <v>0</v>
      </c>
      <c r="IP149" s="1607" t="s">
        <v>270</v>
      </c>
      <c r="IQ149" s="1612" t="s">
        <v>270</v>
      </c>
      <c r="IR149" s="1612" t="s">
        <v>270</v>
      </c>
      <c r="IS149" s="1607" t="s">
        <v>270</v>
      </c>
      <c r="IT149" s="1607" t="s">
        <v>270</v>
      </c>
      <c r="IU149" s="1611" t="s">
        <v>270</v>
      </c>
      <c r="IV149" s="1611" t="s">
        <v>270</v>
      </c>
      <c r="IW149" s="1611" t="s">
        <v>270</v>
      </c>
      <c r="IX149" s="1611" t="s">
        <v>270</v>
      </c>
      <c r="IY149" s="1611" t="s">
        <v>270</v>
      </c>
      <c r="IZ149" s="1611" t="s">
        <v>270</v>
      </c>
      <c r="JA149" s="1611" t="s">
        <v>270</v>
      </c>
      <c r="JB149" s="1611" t="s">
        <v>270</v>
      </c>
      <c r="JC149" s="1611" t="s">
        <v>270</v>
      </c>
      <c r="JD149" s="1611" t="s">
        <v>270</v>
      </c>
      <c r="JE149" s="1611" t="s">
        <v>270</v>
      </c>
      <c r="JF149" s="1611" t="s">
        <v>270</v>
      </c>
      <c r="JG149" s="1611" t="s">
        <v>270</v>
      </c>
      <c r="JH149" s="1611" t="s">
        <v>270</v>
      </c>
      <c r="JI149" s="1611" t="s">
        <v>270</v>
      </c>
      <c r="JJ149" s="1611" t="s">
        <v>270</v>
      </c>
      <c r="JK149" s="1607" t="str">
        <f t="shared" si="11"/>
        <v/>
      </c>
      <c r="JL149" s="1608" t="s">
        <v>2946</v>
      </c>
      <c r="JM149" s="1610" t="s">
        <v>2945</v>
      </c>
      <c r="JN149" s="1608" t="s">
        <v>270</v>
      </c>
      <c r="JO149" s="1609" t="s">
        <v>270</v>
      </c>
      <c r="JP149" s="1608">
        <v>0.63600000000000001</v>
      </c>
      <c r="JQ149" s="1607" t="s">
        <v>270</v>
      </c>
      <c r="JR149" s="1606" t="s">
        <v>270</v>
      </c>
      <c r="JS149" s="1606" t="s">
        <v>270</v>
      </c>
      <c r="JT149" s="1606" t="s">
        <v>270</v>
      </c>
    </row>
    <row r="150" spans="1:280" ht="15" customHeight="1" x14ac:dyDescent="0.2">
      <c r="A150" s="1626">
        <v>65000</v>
      </c>
      <c r="B150" s="1625">
        <v>650</v>
      </c>
      <c r="C150" s="1624">
        <v>0</v>
      </c>
      <c r="D150" s="1623" t="s">
        <v>3384</v>
      </c>
      <c r="E150" s="1622">
        <v>43031</v>
      </c>
      <c r="F150" s="1620">
        <v>0.93743346047189602</v>
      </c>
      <c r="G150" s="1620">
        <v>0.97915232937085805</v>
      </c>
      <c r="H150" s="1621">
        <v>90</v>
      </c>
      <c r="I150" s="1621">
        <v>70</v>
      </c>
      <c r="J150" s="1621">
        <v>90</v>
      </c>
      <c r="K150" s="1620">
        <v>1</v>
      </c>
      <c r="L150" s="1620">
        <v>89</v>
      </c>
      <c r="M150" s="1620">
        <v>40.300000109999999</v>
      </c>
      <c r="N150" s="1620">
        <v>4.3999997999999998</v>
      </c>
      <c r="O150" s="1620">
        <v>4.3000002899999998</v>
      </c>
      <c r="P150" s="1620">
        <v>14.50000015</v>
      </c>
      <c r="Q150" s="1603"/>
      <c r="R150" s="1620">
        <v>88</v>
      </c>
      <c r="S150" s="1620">
        <v>50</v>
      </c>
      <c r="T150" s="1620">
        <v>53.658536585365802</v>
      </c>
      <c r="U150" s="1620">
        <v>55.121951219512198</v>
      </c>
      <c r="V150" s="1620">
        <v>56.439024390243901</v>
      </c>
      <c r="W150" s="1620">
        <v>57.317073170731703</v>
      </c>
      <c r="X150" s="1620"/>
      <c r="Y150" s="1620">
        <v>3.59551</v>
      </c>
      <c r="Z150" s="1620">
        <v>7.5280899999999997</v>
      </c>
      <c r="AA150" s="1620">
        <v>0.22471999999999889</v>
      </c>
      <c r="AB150" s="1620">
        <v>0</v>
      </c>
      <c r="AC150" s="1620">
        <v>14.044939999999999</v>
      </c>
      <c r="AD150" s="1620">
        <v>3.099999999999989</v>
      </c>
      <c r="AE150" s="1620">
        <v>2.1</v>
      </c>
      <c r="AF150" s="1620">
        <v>98</v>
      </c>
      <c r="AG150" s="1620">
        <v>7.9999999999999893</v>
      </c>
      <c r="AH150" s="1620">
        <v>61</v>
      </c>
      <c r="AI150" s="1620">
        <v>79</v>
      </c>
      <c r="AJ150" s="1620">
        <v>0</v>
      </c>
      <c r="AK150" s="1620">
        <v>0.11000000000000001</v>
      </c>
      <c r="AL150" s="1620"/>
      <c r="AM150" s="1620">
        <v>4.83</v>
      </c>
      <c r="AN150" s="1620">
        <v>0.72000000000000097</v>
      </c>
      <c r="AO150" s="1620">
        <v>1.59</v>
      </c>
      <c r="AP150" s="1620">
        <v>3.46</v>
      </c>
      <c r="AQ150" s="1620">
        <v>0.92</v>
      </c>
      <c r="AR150" s="1620">
        <v>4.0999999999999996</v>
      </c>
      <c r="AS150" s="1620">
        <v>7.15</v>
      </c>
      <c r="AT150" s="1620">
        <v>2.5099999999999998</v>
      </c>
      <c r="AU150" s="1620">
        <v>3.92</v>
      </c>
      <c r="AV150" s="1620">
        <v>3.93</v>
      </c>
      <c r="AW150" s="1620">
        <v>3.82</v>
      </c>
      <c r="AX150" s="1620"/>
      <c r="AY150" s="1620">
        <v>0.99</v>
      </c>
      <c r="AZ150" s="1620">
        <v>0.95</v>
      </c>
      <c r="BA150" s="1620">
        <v>0.97</v>
      </c>
      <c r="BB150" s="1620">
        <v>0.95</v>
      </c>
      <c r="BC150" s="1620">
        <v>0.98</v>
      </c>
      <c r="BD150" s="1620">
        <v>0.98</v>
      </c>
      <c r="BE150" s="1620">
        <v>0.98</v>
      </c>
      <c r="BF150" s="1620">
        <v>1.02</v>
      </c>
      <c r="BG150" s="1620">
        <v>0.99</v>
      </c>
      <c r="BH150" s="1620">
        <v>0.97</v>
      </c>
      <c r="BI150" s="1620">
        <v>0.94</v>
      </c>
      <c r="BJ150" s="1603"/>
      <c r="BK150" s="1620">
        <v>45.280898999999998</v>
      </c>
      <c r="BL150" s="1620">
        <v>4.9438199999999997</v>
      </c>
      <c r="BM150" s="1620">
        <v>4.831461</v>
      </c>
      <c r="BN150" s="1620">
        <v>16.292135000000002</v>
      </c>
      <c r="BO150" s="1620"/>
      <c r="BP150" s="1620">
        <v>130</v>
      </c>
      <c r="BQ150" s="1620">
        <v>64.269660000000002</v>
      </c>
      <c r="BR150" s="1620">
        <v>1.0532960230021304</v>
      </c>
      <c r="BS150" s="1620">
        <v>1.1001711565964698</v>
      </c>
      <c r="BT150" s="1603"/>
      <c r="BU150" s="1620">
        <v>951.6853900000001</v>
      </c>
      <c r="BV150" s="1620">
        <v>124.59550467142921</v>
      </c>
      <c r="BW150" s="1620">
        <v>271.91011142857076</v>
      </c>
      <c r="BX150" s="1620">
        <v>14</v>
      </c>
      <c r="BY150" s="1620">
        <v>104</v>
      </c>
      <c r="BZ150" s="1620">
        <v>102.50067373714303</v>
      </c>
      <c r="CA150" s="1620">
        <v>217.81393169142811</v>
      </c>
      <c r="CB150" s="1603"/>
      <c r="CC150" s="1603">
        <v>3.2000039</v>
      </c>
      <c r="CD150" s="1603">
        <v>6.7000000999999996</v>
      </c>
      <c r="CE150" s="1603">
        <v>0.20000079999999901</v>
      </c>
      <c r="CF150" s="1603">
        <v>0</v>
      </c>
      <c r="CG150" s="1603">
        <v>12.499996599999999</v>
      </c>
      <c r="CH150" s="1603">
        <v>2.7589999999999901</v>
      </c>
      <c r="CI150" s="1603">
        <v>1.8690000000000002</v>
      </c>
      <c r="CJ150" s="1603"/>
      <c r="CK150" s="1603">
        <v>87.22</v>
      </c>
      <c r="CL150" s="1603">
        <v>7.1199999999999903</v>
      </c>
      <c r="CM150" s="1603">
        <v>54.29</v>
      </c>
      <c r="CN150" s="1603">
        <v>70.31</v>
      </c>
      <c r="CO150" s="1603">
        <v>0</v>
      </c>
      <c r="CP150" s="1603">
        <v>9.7900000000000015E-2</v>
      </c>
      <c r="CQ150" s="1603">
        <v>354.64000096799998</v>
      </c>
      <c r="CR150" s="1603">
        <v>378.30951840515405</v>
      </c>
      <c r="CS150" s="1603">
        <v>18.089626241579296</v>
      </c>
      <c r="CT150" s="1603">
        <v>2.5876371058912535</v>
      </c>
      <c r="CU150" s="1603">
        <v>5.8346677023626867</v>
      </c>
      <c r="CV150" s="1603">
        <v>8.4223048082539407</v>
      </c>
      <c r="CW150" s="1603">
        <v>12.435033869977458</v>
      </c>
      <c r="CX150" s="1603">
        <v>3.410838617940871</v>
      </c>
      <c r="CY150" s="1603">
        <v>15.200476449519048</v>
      </c>
      <c r="CZ150" s="1603">
        <v>26.508147954649186</v>
      </c>
      <c r="DA150" s="1603">
        <v>9.6854802902087584</v>
      </c>
      <c r="DB150" s="1603">
        <v>14.681435790267173</v>
      </c>
      <c r="DC150" s="1603">
        <v>14.421537151122847</v>
      </c>
      <c r="DD150" s="1603">
        <v>29.102972941390128</v>
      </c>
      <c r="DE150" s="1603">
        <v>13.584338186892225</v>
      </c>
      <c r="DF150" s="1603">
        <v>0</v>
      </c>
      <c r="DG150" s="1603">
        <v>0</v>
      </c>
      <c r="DH150" s="1603">
        <v>0</v>
      </c>
      <c r="DI150" s="1603">
        <v>0</v>
      </c>
      <c r="DJ150" s="1603">
        <v>0</v>
      </c>
      <c r="DK150" s="1603">
        <v>0</v>
      </c>
      <c r="DL150" s="1603">
        <v>0</v>
      </c>
      <c r="DM150" s="1603">
        <v>0</v>
      </c>
      <c r="DN150" s="1603">
        <v>0</v>
      </c>
      <c r="DO150" s="1603">
        <v>0</v>
      </c>
      <c r="DP150" s="1603">
        <v>0</v>
      </c>
      <c r="DQ150" s="1603">
        <v>0</v>
      </c>
      <c r="DR150" s="1603">
        <v>0</v>
      </c>
      <c r="DS150" s="1603">
        <v>0</v>
      </c>
      <c r="DT150" s="1603">
        <v>0</v>
      </c>
      <c r="DU150" s="1603">
        <v>0</v>
      </c>
      <c r="DV150" s="1603">
        <v>0</v>
      </c>
      <c r="DW150" s="1618" t="s">
        <v>3383</v>
      </c>
      <c r="DX150" s="1605" t="s">
        <v>986</v>
      </c>
      <c r="DY150" s="1605" t="s">
        <v>986</v>
      </c>
      <c r="DZ150" s="1605" t="s">
        <v>986</v>
      </c>
      <c r="EA150" s="1605" t="s">
        <v>986</v>
      </c>
      <c r="EB150" s="1605" t="s">
        <v>986</v>
      </c>
      <c r="EC150" s="1605" t="s">
        <v>986</v>
      </c>
      <c r="ED150" s="1605" t="s">
        <v>986</v>
      </c>
      <c r="EE150" s="1605" t="s">
        <v>986</v>
      </c>
      <c r="EF150" s="1605" t="s">
        <v>986</v>
      </c>
      <c r="EG150" s="1605" t="s">
        <v>986</v>
      </c>
      <c r="EH150" s="1605" t="s">
        <v>986</v>
      </c>
      <c r="EI150" s="1605" t="s">
        <v>986</v>
      </c>
      <c r="EJ150" s="1605" t="s">
        <v>986</v>
      </c>
      <c r="EK150" s="1605" t="s">
        <v>986</v>
      </c>
      <c r="EL150" s="1605" t="s">
        <v>986</v>
      </c>
      <c r="EM150" s="1605" t="s">
        <v>986</v>
      </c>
      <c r="EN150" s="1605" t="s">
        <v>986</v>
      </c>
      <c r="EO150" s="1605" t="s">
        <v>986</v>
      </c>
      <c r="EP150" s="1605" t="s">
        <v>986</v>
      </c>
      <c r="EQ150" s="1605" t="s">
        <v>986</v>
      </c>
      <c r="ER150" s="1605" t="s">
        <v>986</v>
      </c>
      <c r="ES150" s="1605" t="s">
        <v>986</v>
      </c>
      <c r="ET150" s="1605" t="s">
        <v>986</v>
      </c>
      <c r="EU150" s="1605" t="s">
        <v>986</v>
      </c>
      <c r="EV150" s="1605" t="s">
        <v>986</v>
      </c>
      <c r="EW150" s="1605" t="s">
        <v>986</v>
      </c>
      <c r="EX150" s="1605" t="s">
        <v>986</v>
      </c>
      <c r="EY150" s="1605" t="s">
        <v>986</v>
      </c>
      <c r="EZ150" s="1605" t="s">
        <v>986</v>
      </c>
      <c r="FA150" s="1605" t="s">
        <v>986</v>
      </c>
      <c r="FB150" s="1605" t="s">
        <v>986</v>
      </c>
      <c r="FC150" s="1605" t="s">
        <v>986</v>
      </c>
      <c r="FD150" s="1605" t="s">
        <v>986</v>
      </c>
      <c r="FE150" s="1605" t="s">
        <v>986</v>
      </c>
      <c r="FF150" s="1605" t="s">
        <v>986</v>
      </c>
      <c r="FG150" s="1605" t="s">
        <v>986</v>
      </c>
      <c r="FH150" s="1605" t="s">
        <v>986</v>
      </c>
      <c r="FI150" s="1605" t="s">
        <v>986</v>
      </c>
      <c r="FJ150" s="1605" t="s">
        <v>986</v>
      </c>
      <c r="FK150" s="1605" t="s">
        <v>986</v>
      </c>
      <c r="FL150" s="1605" t="s">
        <v>986</v>
      </c>
      <c r="FM150" s="1605" t="s">
        <v>986</v>
      </c>
      <c r="FN150" s="1605" t="s">
        <v>986</v>
      </c>
      <c r="FO150" s="1605" t="s">
        <v>986</v>
      </c>
      <c r="FP150" s="1605" t="s">
        <v>986</v>
      </c>
      <c r="FQ150" s="1605" t="s">
        <v>986</v>
      </c>
      <c r="FR150" s="1605" t="s">
        <v>986</v>
      </c>
      <c r="FS150" s="1605" t="s">
        <v>986</v>
      </c>
      <c r="FT150" s="1605" t="s">
        <v>986</v>
      </c>
      <c r="FU150" s="1605" t="s">
        <v>986</v>
      </c>
      <c r="FV150" s="1605" t="s">
        <v>986</v>
      </c>
      <c r="FW150" s="1605" t="s">
        <v>986</v>
      </c>
      <c r="FX150" s="1605" t="s">
        <v>986</v>
      </c>
      <c r="FY150" s="1605" t="s">
        <v>986</v>
      </c>
      <c r="FZ150" s="1605" t="s">
        <v>986</v>
      </c>
      <c r="GA150" s="1605" t="s">
        <v>986</v>
      </c>
      <c r="GB150" s="1605" t="s">
        <v>986</v>
      </c>
      <c r="GC150" s="1605" t="s">
        <v>986</v>
      </c>
      <c r="GD150" s="1605" t="s">
        <v>986</v>
      </c>
      <c r="GE150" s="1605" t="s">
        <v>986</v>
      </c>
      <c r="GF150" s="1605" t="s">
        <v>986</v>
      </c>
      <c r="GG150" s="1605" t="s">
        <v>986</v>
      </c>
      <c r="GH150" s="1605" t="s">
        <v>986</v>
      </c>
      <c r="GI150" s="1605" t="s">
        <v>986</v>
      </c>
      <c r="GJ150" s="1605" t="s">
        <v>986</v>
      </c>
      <c r="GK150" s="1605" t="s">
        <v>986</v>
      </c>
      <c r="GL150" s="1605" t="s">
        <v>986</v>
      </c>
      <c r="GM150" s="1605" t="s">
        <v>986</v>
      </c>
      <c r="GN150" s="1605" t="s">
        <v>986</v>
      </c>
      <c r="GO150" s="1605" t="s">
        <v>986</v>
      </c>
      <c r="GP150" s="1605" t="s">
        <v>986</v>
      </c>
      <c r="GQ150" s="1605" t="s">
        <v>986</v>
      </c>
      <c r="GR150" s="1605" t="s">
        <v>986</v>
      </c>
      <c r="GS150" s="1605" t="s">
        <v>986</v>
      </c>
      <c r="GT150" s="1605" t="s">
        <v>986</v>
      </c>
      <c r="GU150" s="1605" t="s">
        <v>986</v>
      </c>
      <c r="GV150" s="1605" t="s">
        <v>986</v>
      </c>
      <c r="GW150" s="1605" t="s">
        <v>986</v>
      </c>
      <c r="GX150" s="1605" t="s">
        <v>986</v>
      </c>
      <c r="GY150" s="1605" t="s">
        <v>986</v>
      </c>
      <c r="GZ150" s="1605" t="s">
        <v>986</v>
      </c>
      <c r="HA150" s="1605" t="s">
        <v>986</v>
      </c>
      <c r="HB150" s="1605" t="s">
        <v>986</v>
      </c>
      <c r="HC150" s="1605" t="s">
        <v>986</v>
      </c>
      <c r="HD150" s="1605" t="s">
        <v>986</v>
      </c>
      <c r="HE150" s="1605" t="s">
        <v>986</v>
      </c>
      <c r="HF150" s="1605" t="s">
        <v>986</v>
      </c>
      <c r="HG150" s="1605" t="s">
        <v>986</v>
      </c>
      <c r="HH150" s="1605" t="s">
        <v>986</v>
      </c>
      <c r="HI150" s="1605" t="s">
        <v>986</v>
      </c>
      <c r="HJ150" s="1605" t="s">
        <v>986</v>
      </c>
      <c r="HK150" s="1605" t="s">
        <v>986</v>
      </c>
      <c r="HL150" s="1605" t="s">
        <v>986</v>
      </c>
      <c r="HM150" s="1605" t="s">
        <v>986</v>
      </c>
      <c r="HN150" s="1605" t="s">
        <v>986</v>
      </c>
      <c r="HO150" s="1605" t="s">
        <v>986</v>
      </c>
      <c r="HP150" s="1605" t="s">
        <v>986</v>
      </c>
      <c r="HQ150" s="1605" t="s">
        <v>986</v>
      </c>
      <c r="HR150" s="1605" t="s">
        <v>986</v>
      </c>
      <c r="HS150" s="1605" t="s">
        <v>986</v>
      </c>
      <c r="HT150" s="1605" t="s">
        <v>986</v>
      </c>
      <c r="HU150" s="1605" t="s">
        <v>986</v>
      </c>
      <c r="HV150" s="1617"/>
      <c r="HW150" s="1617" t="s">
        <v>3382</v>
      </c>
      <c r="HX150" s="1617" t="s">
        <v>3381</v>
      </c>
      <c r="HY150" s="1617" t="s">
        <v>3380</v>
      </c>
      <c r="HZ150" s="1603"/>
      <c r="IA150" s="1603"/>
      <c r="IB150" s="1603"/>
      <c r="IC150" s="1603">
        <v>57.975609756097597</v>
      </c>
      <c r="ID150" s="1603">
        <v>58.414634146341498</v>
      </c>
      <c r="IE150" s="1603">
        <v>58.780487804878099</v>
      </c>
      <c r="IF150" s="1603">
        <v>59</v>
      </c>
      <c r="IG150" s="1611" t="s">
        <v>270</v>
      </c>
      <c r="IH150" s="1616" t="s">
        <v>270</v>
      </c>
      <c r="II150" s="1615" t="s">
        <v>270</v>
      </c>
      <c r="IJ150" s="1613">
        <v>0.63600000000000001</v>
      </c>
      <c r="IK150" s="1613">
        <v>0.63600000000000001</v>
      </c>
      <c r="IL150" s="1614">
        <v>0.63600000000000001</v>
      </c>
      <c r="IM150" s="1614">
        <v>0.63600000000000001</v>
      </c>
      <c r="IN150" s="1612">
        <v>0.63600000000000001</v>
      </c>
      <c r="IO150" s="1613">
        <v>0</v>
      </c>
      <c r="IP150" s="1607" t="s">
        <v>270</v>
      </c>
      <c r="IQ150" s="1612" t="s">
        <v>270</v>
      </c>
      <c r="IR150" s="1612" t="s">
        <v>270</v>
      </c>
      <c r="IS150" s="1607" t="s">
        <v>270</v>
      </c>
      <c r="IT150" s="1607" t="s">
        <v>270</v>
      </c>
      <c r="IU150" s="1611" t="s">
        <v>270</v>
      </c>
      <c r="IV150" s="1611" t="s">
        <v>270</v>
      </c>
      <c r="IW150" s="1611" t="s">
        <v>270</v>
      </c>
      <c r="IX150" s="1611" t="s">
        <v>270</v>
      </c>
      <c r="IY150" s="1611" t="s">
        <v>270</v>
      </c>
      <c r="IZ150" s="1611" t="s">
        <v>270</v>
      </c>
      <c r="JA150" s="1611" t="s">
        <v>270</v>
      </c>
      <c r="JB150" s="1611" t="s">
        <v>270</v>
      </c>
      <c r="JC150" s="1611" t="s">
        <v>270</v>
      </c>
      <c r="JD150" s="1611" t="s">
        <v>270</v>
      </c>
      <c r="JE150" s="1611" t="s">
        <v>270</v>
      </c>
      <c r="JF150" s="1611" t="s">
        <v>270</v>
      </c>
      <c r="JG150" s="1611" t="s">
        <v>270</v>
      </c>
      <c r="JH150" s="1611" t="s">
        <v>270</v>
      </c>
      <c r="JI150" s="1611" t="s">
        <v>270</v>
      </c>
      <c r="JJ150" s="1611" t="s">
        <v>270</v>
      </c>
      <c r="JK150" s="1607" t="str">
        <f t="shared" si="11"/>
        <v/>
      </c>
      <c r="JL150" s="1608" t="s">
        <v>2946</v>
      </c>
      <c r="JM150" s="1610" t="s">
        <v>2945</v>
      </c>
      <c r="JN150" s="1608" t="s">
        <v>270</v>
      </c>
      <c r="JO150" s="1609" t="s">
        <v>270</v>
      </c>
      <c r="JP150" s="1608">
        <v>0.63600000000000001</v>
      </c>
      <c r="JQ150" s="1607" t="s">
        <v>270</v>
      </c>
      <c r="JR150" s="1606" t="s">
        <v>270</v>
      </c>
      <c r="JS150" s="1606" t="s">
        <v>270</v>
      </c>
      <c r="JT150" s="1606" t="s">
        <v>270</v>
      </c>
    </row>
    <row r="151" spans="1:280" ht="15" customHeight="1" x14ac:dyDescent="0.2">
      <c r="A151" s="1626">
        <v>39001</v>
      </c>
      <c r="B151" s="1625">
        <v>390</v>
      </c>
      <c r="C151" s="1624">
        <v>1</v>
      </c>
      <c r="D151" s="1623" t="s">
        <v>3379</v>
      </c>
      <c r="E151" s="1622">
        <v>43039</v>
      </c>
      <c r="F151" s="1620">
        <v>0.93049820910669401</v>
      </c>
      <c r="G151" s="1620">
        <v>0.93467269163835098</v>
      </c>
      <c r="H151" s="1621">
        <v>81.038477510691195</v>
      </c>
      <c r="I151" s="1621">
        <v>77.747823211727095</v>
      </c>
      <c r="J151" s="1621">
        <v>95.867637970566193</v>
      </c>
      <c r="K151" s="1620">
        <v>1</v>
      </c>
      <c r="L151" s="1620">
        <v>90.73</v>
      </c>
      <c r="M151" s="1620">
        <v>39.273949787200003</v>
      </c>
      <c r="N151" s="1620">
        <v>3.0099997144000001</v>
      </c>
      <c r="O151" s="1620">
        <v>8.5000002380000002</v>
      </c>
      <c r="P151" s="1620">
        <v>4.4799997172000001</v>
      </c>
      <c r="Q151" s="1603"/>
      <c r="R151" s="1620">
        <v>92.814319961452497</v>
      </c>
      <c r="S151" s="1620">
        <v>20</v>
      </c>
      <c r="T151" s="1620">
        <v>37.0731707317073</v>
      </c>
      <c r="U151" s="1620">
        <v>43.902439024390198</v>
      </c>
      <c r="V151" s="1620">
        <v>50.048780487804898</v>
      </c>
      <c r="W151" s="1620">
        <v>54.146341463414601</v>
      </c>
      <c r="X151" s="1620"/>
      <c r="Y151" s="1620">
        <v>0.69436906205224291</v>
      </c>
      <c r="Z151" s="1620">
        <v>5.0148786795988096</v>
      </c>
      <c r="AA151" s="1620">
        <v>7.7154365700429953E-2</v>
      </c>
      <c r="AB151" s="1620">
        <v>0</v>
      </c>
      <c r="AC151" s="1620">
        <v>5.632093375950622</v>
      </c>
      <c r="AD151" s="1620">
        <v>1.6857709688085529</v>
      </c>
      <c r="AE151" s="1620">
        <v>0</v>
      </c>
      <c r="AF151" s="1620">
        <v>68.105147139865537</v>
      </c>
      <c r="AG151" s="1620">
        <v>8.0917006502810533</v>
      </c>
      <c r="AH151" s="1620">
        <v>49.224512289209855</v>
      </c>
      <c r="AI151" s="1620">
        <v>53.270362614350269</v>
      </c>
      <c r="AJ151" s="1620">
        <v>0</v>
      </c>
      <c r="AK151" s="1620">
        <v>4.720158712663948E-2</v>
      </c>
      <c r="AL151" s="1620"/>
      <c r="AM151" s="1620">
        <v>61.934968022056403</v>
      </c>
      <c r="AN151" s="1620">
        <v>0.43346797945615301</v>
      </c>
      <c r="AO151" s="1620">
        <v>0.54183497432019401</v>
      </c>
      <c r="AP151" s="1620">
        <v>0.89402770762831596</v>
      </c>
      <c r="AQ151" s="1620">
        <v>0.381993656895735</v>
      </c>
      <c r="AR151" s="1620">
        <v>0.89402770762831596</v>
      </c>
      <c r="AS151" s="1620">
        <v>1.6823975952642001</v>
      </c>
      <c r="AT151" s="1620">
        <v>0.70438546661624901</v>
      </c>
      <c r="AU151" s="1620">
        <v>1.0592873747959799</v>
      </c>
      <c r="AV151" s="1620">
        <v>0.75856896404826801</v>
      </c>
      <c r="AW151" s="1620">
        <v>1.30311311324006</v>
      </c>
      <c r="AX151" s="1620"/>
      <c r="AY151" s="1620">
        <v>1.0726799236351201</v>
      </c>
      <c r="AZ151" s="1620">
        <v>0.86289900912111706</v>
      </c>
      <c r="BA151" s="1620">
        <v>0.83123299043777399</v>
      </c>
      <c r="BB151" s="1620">
        <v>0.74415143905857795</v>
      </c>
      <c r="BC151" s="1620">
        <v>0.90248153247529705</v>
      </c>
      <c r="BD151" s="1620">
        <v>0.83123299043777399</v>
      </c>
      <c r="BE151" s="1620">
        <v>0.81539998109610201</v>
      </c>
      <c r="BF151" s="1620">
        <v>0.86289900912111706</v>
      </c>
      <c r="BG151" s="1620">
        <v>0.87081551379195299</v>
      </c>
      <c r="BH151" s="1620">
        <v>0.82331648576693806</v>
      </c>
      <c r="BI151" s="1620">
        <v>0.81539998109610201</v>
      </c>
      <c r="BJ151" s="1603"/>
      <c r="BK151" s="1620">
        <v>43.286619406150116</v>
      </c>
      <c r="BL151" s="1620">
        <v>3.3175352302435801</v>
      </c>
      <c r="BM151" s="1620">
        <v>9.368456120357104</v>
      </c>
      <c r="BN151" s="1620">
        <v>4.9377270111319298</v>
      </c>
      <c r="BO151" s="1620"/>
      <c r="BP151" s="1620">
        <v>0</v>
      </c>
      <c r="BQ151" s="1620">
        <v>0</v>
      </c>
      <c r="BR151" s="1620">
        <v>1.0255683997649001</v>
      </c>
      <c r="BS151" s="1620">
        <v>1.0301693945093695</v>
      </c>
      <c r="BT151" s="1603"/>
      <c r="BU151" s="1620">
        <v>906.31543879642902</v>
      </c>
      <c r="BV151" s="1620">
        <v>265.77060764573793</v>
      </c>
      <c r="BW151" s="1620">
        <v>42.605297069900146</v>
      </c>
      <c r="BX151" s="1620" t="s">
        <v>270</v>
      </c>
      <c r="BY151" s="1620" t="s">
        <v>270</v>
      </c>
      <c r="BZ151" s="1620">
        <v>47.875895514162906</v>
      </c>
      <c r="CA151" s="1620">
        <v>87.660090378044757</v>
      </c>
      <c r="CB151" s="1603"/>
      <c r="CC151" s="1603">
        <v>0.63000104999999995</v>
      </c>
      <c r="CD151" s="1603">
        <v>4.5499994260000003</v>
      </c>
      <c r="CE151" s="1603">
        <v>7.0002156000000093E-2</v>
      </c>
      <c r="CF151" s="1603">
        <v>0</v>
      </c>
      <c r="CG151" s="1603">
        <v>5.109998319999999</v>
      </c>
      <c r="CH151" s="1603">
        <v>1.5295000000000001</v>
      </c>
      <c r="CI151" s="1603">
        <v>0</v>
      </c>
      <c r="CJ151" s="1603"/>
      <c r="CK151" s="1603">
        <v>61.791800000000002</v>
      </c>
      <c r="CL151" s="1603">
        <v>7.3415999999999997</v>
      </c>
      <c r="CM151" s="1603">
        <v>44.6614000000001</v>
      </c>
      <c r="CN151" s="1603">
        <v>48.3322</v>
      </c>
      <c r="CO151" s="1603">
        <v>0</v>
      </c>
      <c r="CP151" s="1603">
        <v>4.2826000000000003E-2</v>
      </c>
      <c r="CQ151" s="1603">
        <v>364.51849416992002</v>
      </c>
      <c r="CR151" s="1603">
        <v>391.74550859143363</v>
      </c>
      <c r="CS151" s="1603">
        <v>260.26160040957654</v>
      </c>
      <c r="CT151" s="1603">
        <v>1.4652813352884844</v>
      </c>
      <c r="CU151" s="1603">
        <v>1.7643869289597747</v>
      </c>
      <c r="CV151" s="1603">
        <v>3.229668264248259</v>
      </c>
      <c r="CW151" s="1603">
        <v>2.6062515493491385</v>
      </c>
      <c r="CX151" s="1603">
        <v>1.3505121664809121</v>
      </c>
      <c r="CY151" s="1603">
        <v>2.9112384327836129</v>
      </c>
      <c r="CZ151" s="1603">
        <v>5.3740705303358931</v>
      </c>
      <c r="DA151" s="1603">
        <v>2.3810821698437925</v>
      </c>
      <c r="DB151" s="1603">
        <v>3.613632467359996</v>
      </c>
      <c r="DC151" s="1603">
        <v>2.4466165414908723</v>
      </c>
      <c r="DD151" s="1603">
        <v>6.0602490088508469</v>
      </c>
      <c r="DE151" s="1603">
        <v>4.1625248391168297</v>
      </c>
      <c r="DF151" s="1603">
        <v>0</v>
      </c>
      <c r="DG151" s="1603">
        <v>0</v>
      </c>
      <c r="DH151" s="1603">
        <v>0</v>
      </c>
      <c r="DI151" s="1603">
        <v>0</v>
      </c>
      <c r="DJ151" s="1603">
        <v>0</v>
      </c>
      <c r="DK151" s="1603">
        <v>0</v>
      </c>
      <c r="DL151" s="1603">
        <v>0</v>
      </c>
      <c r="DM151" s="1603">
        <v>0</v>
      </c>
      <c r="DN151" s="1603">
        <v>0</v>
      </c>
      <c r="DO151" s="1603">
        <v>0</v>
      </c>
      <c r="DP151" s="1603">
        <v>0</v>
      </c>
      <c r="DQ151" s="1603">
        <v>0</v>
      </c>
      <c r="DR151" s="1603">
        <v>0</v>
      </c>
      <c r="DS151" s="1603">
        <v>0</v>
      </c>
      <c r="DT151" s="1603">
        <v>0</v>
      </c>
      <c r="DU151" s="1603">
        <v>0</v>
      </c>
      <c r="DV151" s="1603">
        <v>0</v>
      </c>
      <c r="DW151" s="1618" t="s">
        <v>986</v>
      </c>
      <c r="DX151" s="1605" t="s">
        <v>986</v>
      </c>
      <c r="DY151" s="1605" t="s">
        <v>986</v>
      </c>
      <c r="DZ151" s="1605" t="s">
        <v>986</v>
      </c>
      <c r="EA151" s="1605" t="s">
        <v>986</v>
      </c>
      <c r="EB151" s="1605" t="s">
        <v>986</v>
      </c>
      <c r="EC151" s="1605" t="s">
        <v>986</v>
      </c>
      <c r="ED151" s="1605" t="s">
        <v>986</v>
      </c>
      <c r="EE151" s="1605" t="s">
        <v>986</v>
      </c>
      <c r="EF151" s="1605" t="s">
        <v>986</v>
      </c>
      <c r="EG151" s="1605" t="s">
        <v>986</v>
      </c>
      <c r="EH151" s="1605" t="s">
        <v>986</v>
      </c>
      <c r="EI151" s="1605" t="s">
        <v>986</v>
      </c>
      <c r="EJ151" s="1605" t="s">
        <v>986</v>
      </c>
      <c r="EK151" s="1605" t="s">
        <v>986</v>
      </c>
      <c r="EL151" s="1605" t="s">
        <v>986</v>
      </c>
      <c r="EM151" s="1605" t="s">
        <v>986</v>
      </c>
      <c r="EN151" s="1605" t="s">
        <v>986</v>
      </c>
      <c r="EO151" s="1605" t="s">
        <v>986</v>
      </c>
      <c r="EP151" s="1605" t="s">
        <v>986</v>
      </c>
      <c r="EQ151" s="1605" t="s">
        <v>986</v>
      </c>
      <c r="ER151" s="1605" t="s">
        <v>986</v>
      </c>
      <c r="ES151" s="1605" t="s">
        <v>986</v>
      </c>
      <c r="ET151" s="1605" t="s">
        <v>986</v>
      </c>
      <c r="EU151" s="1605" t="s">
        <v>986</v>
      </c>
      <c r="EV151" s="1605" t="s">
        <v>986</v>
      </c>
      <c r="EW151" s="1605" t="s">
        <v>986</v>
      </c>
      <c r="EX151" s="1605" t="s">
        <v>986</v>
      </c>
      <c r="EY151" s="1605" t="s">
        <v>986</v>
      </c>
      <c r="EZ151" s="1605" t="s">
        <v>986</v>
      </c>
      <c r="FA151" s="1605" t="s">
        <v>986</v>
      </c>
      <c r="FB151" s="1605" t="s">
        <v>986</v>
      </c>
      <c r="FC151" s="1605" t="s">
        <v>986</v>
      </c>
      <c r="FD151" s="1605" t="s">
        <v>986</v>
      </c>
      <c r="FE151" s="1605" t="s">
        <v>986</v>
      </c>
      <c r="FF151" s="1605" t="s">
        <v>986</v>
      </c>
      <c r="FG151" s="1605" t="s">
        <v>986</v>
      </c>
      <c r="FH151" s="1605" t="s">
        <v>986</v>
      </c>
      <c r="FI151" s="1605" t="s">
        <v>986</v>
      </c>
      <c r="FJ151" s="1605" t="s">
        <v>986</v>
      </c>
      <c r="FK151" s="1605" t="s">
        <v>986</v>
      </c>
      <c r="FL151" s="1605" t="s">
        <v>986</v>
      </c>
      <c r="FM151" s="1605" t="s">
        <v>986</v>
      </c>
      <c r="FN151" s="1605" t="s">
        <v>986</v>
      </c>
      <c r="FO151" s="1605" t="s">
        <v>986</v>
      </c>
      <c r="FP151" s="1605" t="s">
        <v>986</v>
      </c>
      <c r="FQ151" s="1605" t="s">
        <v>986</v>
      </c>
      <c r="FR151" s="1605" t="s">
        <v>986</v>
      </c>
      <c r="FS151" s="1605" t="s">
        <v>986</v>
      </c>
      <c r="FT151" s="1605" t="s">
        <v>986</v>
      </c>
      <c r="FU151" s="1605" t="s">
        <v>986</v>
      </c>
      <c r="FV151" s="1605" t="s">
        <v>986</v>
      </c>
      <c r="FW151" s="1605" t="s">
        <v>986</v>
      </c>
      <c r="FX151" s="1605" t="s">
        <v>986</v>
      </c>
      <c r="FY151" s="1605" t="s">
        <v>986</v>
      </c>
      <c r="FZ151" s="1605" t="s">
        <v>986</v>
      </c>
      <c r="GA151" s="1605" t="s">
        <v>986</v>
      </c>
      <c r="GB151" s="1605" t="s">
        <v>986</v>
      </c>
      <c r="GC151" s="1605" t="s">
        <v>986</v>
      </c>
      <c r="GD151" s="1605" t="s">
        <v>986</v>
      </c>
      <c r="GE151" s="1605" t="s">
        <v>986</v>
      </c>
      <c r="GF151" s="1605" t="s">
        <v>986</v>
      </c>
      <c r="GG151" s="1605" t="s">
        <v>986</v>
      </c>
      <c r="GH151" s="1605" t="s">
        <v>986</v>
      </c>
      <c r="GI151" s="1605" t="s">
        <v>986</v>
      </c>
      <c r="GJ151" s="1605" t="s">
        <v>986</v>
      </c>
      <c r="GK151" s="1605" t="s">
        <v>986</v>
      </c>
      <c r="GL151" s="1605" t="s">
        <v>986</v>
      </c>
      <c r="GM151" s="1605" t="s">
        <v>986</v>
      </c>
      <c r="GN151" s="1605" t="s">
        <v>986</v>
      </c>
      <c r="GO151" s="1605" t="s">
        <v>986</v>
      </c>
      <c r="GP151" s="1605" t="s">
        <v>986</v>
      </c>
      <c r="GQ151" s="1605" t="s">
        <v>986</v>
      </c>
      <c r="GR151" s="1605" t="s">
        <v>986</v>
      </c>
      <c r="GS151" s="1605" t="s">
        <v>986</v>
      </c>
      <c r="GT151" s="1605" t="s">
        <v>986</v>
      </c>
      <c r="GU151" s="1605" t="s">
        <v>986</v>
      </c>
      <c r="GV151" s="1605" t="s">
        <v>986</v>
      </c>
      <c r="GW151" s="1605" t="s">
        <v>986</v>
      </c>
      <c r="GX151" s="1605" t="s">
        <v>986</v>
      </c>
      <c r="GY151" s="1605" t="s">
        <v>986</v>
      </c>
      <c r="GZ151" s="1605" t="s">
        <v>986</v>
      </c>
      <c r="HA151" s="1605" t="s">
        <v>986</v>
      </c>
      <c r="HB151" s="1605" t="s">
        <v>986</v>
      </c>
      <c r="HC151" s="1605" t="s">
        <v>986</v>
      </c>
      <c r="HD151" s="1605" t="s">
        <v>986</v>
      </c>
      <c r="HE151" s="1605" t="s">
        <v>986</v>
      </c>
      <c r="HF151" s="1605" t="s">
        <v>986</v>
      </c>
      <c r="HG151" s="1605" t="s">
        <v>986</v>
      </c>
      <c r="HH151" s="1605" t="s">
        <v>986</v>
      </c>
      <c r="HI151" s="1605" t="s">
        <v>986</v>
      </c>
      <c r="HJ151" s="1605" t="s">
        <v>986</v>
      </c>
      <c r="HK151" s="1605" t="s">
        <v>986</v>
      </c>
      <c r="HL151" s="1605" t="s">
        <v>986</v>
      </c>
      <c r="HM151" s="1605" t="s">
        <v>986</v>
      </c>
      <c r="HN151" s="1605" t="s">
        <v>986</v>
      </c>
      <c r="HO151" s="1605" t="s">
        <v>986</v>
      </c>
      <c r="HP151" s="1605" t="s">
        <v>986</v>
      </c>
      <c r="HQ151" s="1605" t="s">
        <v>986</v>
      </c>
      <c r="HR151" s="1605" t="s">
        <v>986</v>
      </c>
      <c r="HS151" s="1605" t="s">
        <v>986</v>
      </c>
      <c r="HT151" s="1605" t="s">
        <v>986</v>
      </c>
      <c r="HU151" s="1605" t="s">
        <v>986</v>
      </c>
      <c r="HV151" s="1617"/>
      <c r="HW151" s="1617">
        <v>0</v>
      </c>
      <c r="HX151" s="1617">
        <v>0</v>
      </c>
      <c r="HY151" s="1617">
        <v>0</v>
      </c>
      <c r="HZ151" s="1603"/>
      <c r="IA151" s="1603"/>
      <c r="IB151" s="1603"/>
      <c r="IC151" s="1603">
        <v>57.219512195122</v>
      </c>
      <c r="ID151" s="1603">
        <v>59.268292682926798</v>
      </c>
      <c r="IE151" s="1603">
        <v>60.975609756097597</v>
      </c>
      <c r="IF151" s="1603">
        <v>62</v>
      </c>
      <c r="IG151" s="1611" t="s">
        <v>2932</v>
      </c>
      <c r="IH151" s="1616" t="s">
        <v>270</v>
      </c>
      <c r="II151" s="1615" t="s">
        <v>270</v>
      </c>
      <c r="IJ151" s="1613">
        <v>1.3101818181818183</v>
      </c>
      <c r="IK151" s="1613">
        <v>1.301848484848485</v>
      </c>
      <c r="IL151" s="1614">
        <v>1.3101818181818183</v>
      </c>
      <c r="IM151" s="1614">
        <v>1.301848484848485</v>
      </c>
      <c r="IN151" s="1612" t="s">
        <v>270</v>
      </c>
      <c r="IO151" s="1613" t="s">
        <v>270</v>
      </c>
      <c r="IP151" s="1607" t="s">
        <v>270</v>
      </c>
      <c r="IQ151" s="1612" t="s">
        <v>270</v>
      </c>
      <c r="IR151" s="1612" t="s">
        <v>270</v>
      </c>
      <c r="IS151" s="1607">
        <v>1.1881818181818182</v>
      </c>
      <c r="IT151" s="1607">
        <v>1.1798484848484849</v>
      </c>
      <c r="IU151" s="1611">
        <v>0</v>
      </c>
      <c r="IV151" s="1611">
        <v>7.7767676767676763E-2</v>
      </c>
      <c r="IW151" s="1611">
        <v>9.0909090909090909E-4</v>
      </c>
      <c r="IX151" s="1611">
        <v>1.6060606060606061E-3</v>
      </c>
      <c r="IY151" s="1611">
        <v>9.6969696969696957E-4</v>
      </c>
      <c r="IZ151" s="1611">
        <v>5.9898989898989896E-3</v>
      </c>
      <c r="JA151" s="1611">
        <v>6.0606060606060598E-5</v>
      </c>
      <c r="JB151" s="1611" t="s">
        <v>270</v>
      </c>
      <c r="JC151" s="1611">
        <v>9.9026969696969704</v>
      </c>
      <c r="JD151" s="1611">
        <v>5.2121212121212122E-3</v>
      </c>
      <c r="JE151" s="1611" t="s">
        <v>270</v>
      </c>
      <c r="JF151" s="1611">
        <v>8.2828282828282835E-4</v>
      </c>
      <c r="JG151" s="1611">
        <v>0.57978787878787885</v>
      </c>
      <c r="JH151" s="1611">
        <v>7.646464646464647E-3</v>
      </c>
      <c r="JI151" s="1611">
        <v>0.3</v>
      </c>
      <c r="JJ151" s="1611" t="s">
        <v>270</v>
      </c>
      <c r="JK151" s="1607">
        <f t="shared" si="11"/>
        <v>0.12200000000000011</v>
      </c>
      <c r="JL151" s="1608" t="s">
        <v>270</v>
      </c>
      <c r="JM151" s="1610" t="s">
        <v>2924</v>
      </c>
      <c r="JN151" s="1608">
        <v>8.3333333333333037E-3</v>
      </c>
      <c r="JO151" s="1609" t="s">
        <v>2931</v>
      </c>
      <c r="JP151" s="1608" t="s">
        <v>270</v>
      </c>
      <c r="JQ151" s="1607">
        <v>202103</v>
      </c>
      <c r="JR151" s="1606">
        <v>851</v>
      </c>
      <c r="JS151" s="1606">
        <v>774</v>
      </c>
      <c r="JT151" s="1606">
        <v>774</v>
      </c>
    </row>
    <row r="152" spans="1:280" ht="15" customHeight="1" x14ac:dyDescent="0.2">
      <c r="A152" s="1626">
        <v>39102</v>
      </c>
      <c r="B152" s="1625">
        <v>391</v>
      </c>
      <c r="C152" s="1624">
        <v>2</v>
      </c>
      <c r="D152" s="1623" t="s">
        <v>3378</v>
      </c>
      <c r="E152" s="1622">
        <v>43039</v>
      </c>
      <c r="F152" s="1620">
        <v>0.82085686269629399</v>
      </c>
      <c r="G152" s="1620">
        <v>0.83534318934878105</v>
      </c>
      <c r="H152" s="1621">
        <v>76.265766723279</v>
      </c>
      <c r="I152" s="1621">
        <v>73.657266811279797</v>
      </c>
      <c r="J152" s="1621">
        <v>96.111650485436897</v>
      </c>
      <c r="K152" s="1620">
        <v>1</v>
      </c>
      <c r="L152" s="1620">
        <v>92.2</v>
      </c>
      <c r="M152" s="1620">
        <v>47.576999999999998</v>
      </c>
      <c r="N152" s="1620">
        <v>2.4815999999999998</v>
      </c>
      <c r="O152" s="1620">
        <v>10.674936848</v>
      </c>
      <c r="P152" s="1620">
        <v>5.016</v>
      </c>
      <c r="Q152" s="1603"/>
      <c r="R152" s="1620">
        <v>93.074973201336803</v>
      </c>
      <c r="S152" s="1620">
        <v>30</v>
      </c>
      <c r="T152" s="1620">
        <v>43.008130081300799</v>
      </c>
      <c r="U152" s="1620">
        <v>48.211382113821102</v>
      </c>
      <c r="V152" s="1620">
        <v>52.894308943089399</v>
      </c>
      <c r="W152" s="1620">
        <v>56.016260162601597</v>
      </c>
      <c r="X152" s="1620"/>
      <c r="Y152" s="1620">
        <v>0.6589978308026031</v>
      </c>
      <c r="Z152" s="1620">
        <v>5.6694143167028299</v>
      </c>
      <c r="AA152" s="1620">
        <v>6.5896919739696302E-2</v>
      </c>
      <c r="AB152" s="1620">
        <v>0</v>
      </c>
      <c r="AC152" s="1620">
        <v>6.5284164859002161</v>
      </c>
      <c r="AD152" s="1620">
        <v>2.1761388286334058</v>
      </c>
      <c r="AE152" s="1620">
        <v>0</v>
      </c>
      <c r="AF152" s="1620">
        <v>76.737527114967463</v>
      </c>
      <c r="AG152" s="1620">
        <v>8.5900216919739698</v>
      </c>
      <c r="AH152" s="1620">
        <v>62.993492407809107</v>
      </c>
      <c r="AI152" s="1620">
        <v>55.548806941431565</v>
      </c>
      <c r="AJ152" s="1620">
        <v>0</v>
      </c>
      <c r="AK152" s="1620">
        <v>2.8633405639913234E-2</v>
      </c>
      <c r="AL152" s="1620"/>
      <c r="AM152" s="1620">
        <v>67.775750047291794</v>
      </c>
      <c r="AN152" s="1620">
        <v>0.316065325682578</v>
      </c>
      <c r="AO152" s="1620">
        <v>0.39508165710322202</v>
      </c>
      <c r="AP152" s="1620">
        <v>0.65188473422031601</v>
      </c>
      <c r="AQ152" s="1620">
        <v>0.276557159972255</v>
      </c>
      <c r="AR152" s="1620">
        <v>0.65188473422031601</v>
      </c>
      <c r="AS152" s="1620">
        <v>1.22475313701999</v>
      </c>
      <c r="AT152" s="1620">
        <v>0.51360615423418898</v>
      </c>
      <c r="AU152" s="1620">
        <v>0.77040923135128303</v>
      </c>
      <c r="AV152" s="1620">
        <v>0.55311431994451099</v>
      </c>
      <c r="AW152" s="1620">
        <v>0.94819597704773695</v>
      </c>
      <c r="AX152" s="1620"/>
      <c r="AY152" s="1620">
        <v>1.0701213419578</v>
      </c>
      <c r="AZ152" s="1620">
        <v>0.76753395451060902</v>
      </c>
      <c r="BA152" s="1620">
        <v>0.72566846608275803</v>
      </c>
      <c r="BB152" s="1620">
        <v>0.71869088467811604</v>
      </c>
      <c r="BC152" s="1620">
        <v>0.72566846608275803</v>
      </c>
      <c r="BD152" s="1620">
        <v>0.74660121029668303</v>
      </c>
      <c r="BE152" s="1620">
        <v>0.75357879170132502</v>
      </c>
      <c r="BF152" s="1620">
        <v>0.802421861533819</v>
      </c>
      <c r="BG152" s="1620">
        <v>0.78846669872453501</v>
      </c>
      <c r="BH152" s="1620">
        <v>0.79544428012917701</v>
      </c>
      <c r="BI152" s="1620">
        <v>0.72566846608275803</v>
      </c>
      <c r="BJ152" s="1603"/>
      <c r="BK152" s="1620">
        <v>51.601952277657261</v>
      </c>
      <c r="BL152" s="1620">
        <v>2.6915401301518433</v>
      </c>
      <c r="BM152" s="1620">
        <v>11.578022611713665</v>
      </c>
      <c r="BN152" s="1620">
        <v>5.4403470715835143</v>
      </c>
      <c r="BO152" s="1620"/>
      <c r="BP152" s="1620">
        <v>0</v>
      </c>
      <c r="BQ152" s="1620">
        <v>0</v>
      </c>
      <c r="BR152" s="1620">
        <v>0.89030028492005864</v>
      </c>
      <c r="BS152" s="1620">
        <v>0.90601213595312469</v>
      </c>
      <c r="BT152" s="1603"/>
      <c r="BU152" s="1620">
        <v>884.21977388286336</v>
      </c>
      <c r="BV152" s="1620">
        <v>145.72146790486443</v>
      </c>
      <c r="BW152" s="1620">
        <v>32.949817176591537</v>
      </c>
      <c r="BX152" s="1620" t="s">
        <v>270</v>
      </c>
      <c r="BY152" s="1620" t="s">
        <v>270</v>
      </c>
      <c r="BZ152" s="1620">
        <v>16.607375271149674</v>
      </c>
      <c r="CA152" s="1620">
        <v>240.52060737527114</v>
      </c>
      <c r="CB152" s="1603"/>
      <c r="CC152" s="1603">
        <v>0.60759600000000014</v>
      </c>
      <c r="CD152" s="1603">
        <v>5.2272000000000096</v>
      </c>
      <c r="CE152" s="1603">
        <v>6.0756959999999992E-2</v>
      </c>
      <c r="CF152" s="1603">
        <v>0</v>
      </c>
      <c r="CG152" s="1603">
        <v>6.0191999999999997</v>
      </c>
      <c r="CH152" s="1603">
        <v>2.0064000000000002</v>
      </c>
      <c r="CI152" s="1603">
        <v>0</v>
      </c>
      <c r="CJ152" s="1603"/>
      <c r="CK152" s="1603">
        <v>70.75200000000001</v>
      </c>
      <c r="CL152" s="1603">
        <v>7.9200000000000008</v>
      </c>
      <c r="CM152" s="1603">
        <v>58.08</v>
      </c>
      <c r="CN152" s="1603">
        <v>51.215999999999902</v>
      </c>
      <c r="CO152" s="1603">
        <v>0</v>
      </c>
      <c r="CP152" s="1603">
        <v>2.6400000000000003E-2</v>
      </c>
      <c r="CQ152" s="1603">
        <v>442.82279999999997</v>
      </c>
      <c r="CR152" s="1603">
        <v>539.46408944605298</v>
      </c>
      <c r="CS152" s="1603">
        <v>391.26400691228577</v>
      </c>
      <c r="CT152" s="1603">
        <v>1.3086906241745795</v>
      </c>
      <c r="CU152" s="1603">
        <v>1.546634374024503</v>
      </c>
      <c r="CV152" s="1603">
        <v>2.8553249981990825</v>
      </c>
      <c r="CW152" s="1603">
        <v>2.5274087679371564</v>
      </c>
      <c r="CX152" s="1603">
        <v>1.0826440618171509</v>
      </c>
      <c r="CY152" s="1603">
        <v>2.6255605647502502</v>
      </c>
      <c r="CZ152" s="1603">
        <v>4.9789729656096506</v>
      </c>
      <c r="DA152" s="1603">
        <v>2.2232869126602228</v>
      </c>
      <c r="DB152" s="1603">
        <v>3.2769315799644159</v>
      </c>
      <c r="DC152" s="1603">
        <v>2.3734889047529872</v>
      </c>
      <c r="DD152" s="1603">
        <v>5.6504204847174035</v>
      </c>
      <c r="DE152" s="1603">
        <v>3.711922497658819</v>
      </c>
      <c r="DF152" s="1603">
        <v>0</v>
      </c>
      <c r="DG152" s="1603">
        <v>0</v>
      </c>
      <c r="DH152" s="1603">
        <v>0</v>
      </c>
      <c r="DI152" s="1603">
        <v>0</v>
      </c>
      <c r="DJ152" s="1603">
        <v>0</v>
      </c>
      <c r="DK152" s="1603">
        <v>0</v>
      </c>
      <c r="DL152" s="1603">
        <v>0</v>
      </c>
      <c r="DM152" s="1603">
        <v>0</v>
      </c>
      <c r="DN152" s="1603">
        <v>0</v>
      </c>
      <c r="DO152" s="1603">
        <v>0</v>
      </c>
      <c r="DP152" s="1603">
        <v>0</v>
      </c>
      <c r="DQ152" s="1603">
        <v>0</v>
      </c>
      <c r="DR152" s="1603">
        <v>0</v>
      </c>
      <c r="DS152" s="1603">
        <v>0</v>
      </c>
      <c r="DT152" s="1603">
        <v>0</v>
      </c>
      <c r="DU152" s="1603">
        <v>0</v>
      </c>
      <c r="DV152" s="1603">
        <v>0</v>
      </c>
      <c r="DW152" s="1618" t="s">
        <v>986</v>
      </c>
      <c r="DX152" s="1605" t="s">
        <v>986</v>
      </c>
      <c r="DY152" s="1605" t="s">
        <v>986</v>
      </c>
      <c r="DZ152" s="1605" t="s">
        <v>986</v>
      </c>
      <c r="EA152" s="1605" t="s">
        <v>986</v>
      </c>
      <c r="EB152" s="1605" t="s">
        <v>986</v>
      </c>
      <c r="EC152" s="1605" t="s">
        <v>986</v>
      </c>
      <c r="ED152" s="1605" t="s">
        <v>986</v>
      </c>
      <c r="EE152" s="1605" t="s">
        <v>986</v>
      </c>
      <c r="EF152" s="1605" t="s">
        <v>986</v>
      </c>
      <c r="EG152" s="1605" t="s">
        <v>986</v>
      </c>
      <c r="EH152" s="1605" t="s">
        <v>986</v>
      </c>
      <c r="EI152" s="1605" t="s">
        <v>986</v>
      </c>
      <c r="EJ152" s="1605" t="s">
        <v>986</v>
      </c>
      <c r="EK152" s="1605" t="s">
        <v>986</v>
      </c>
      <c r="EL152" s="1605" t="s">
        <v>986</v>
      </c>
      <c r="EM152" s="1605" t="s">
        <v>986</v>
      </c>
      <c r="EN152" s="1605" t="s">
        <v>986</v>
      </c>
      <c r="EO152" s="1605" t="s">
        <v>986</v>
      </c>
      <c r="EP152" s="1605" t="s">
        <v>986</v>
      </c>
      <c r="EQ152" s="1605" t="s">
        <v>986</v>
      </c>
      <c r="ER152" s="1605" t="s">
        <v>986</v>
      </c>
      <c r="ES152" s="1605" t="s">
        <v>986</v>
      </c>
      <c r="ET152" s="1605" t="s">
        <v>986</v>
      </c>
      <c r="EU152" s="1605" t="s">
        <v>986</v>
      </c>
      <c r="EV152" s="1605" t="s">
        <v>986</v>
      </c>
      <c r="EW152" s="1605" t="s">
        <v>986</v>
      </c>
      <c r="EX152" s="1605" t="s">
        <v>986</v>
      </c>
      <c r="EY152" s="1605" t="s">
        <v>986</v>
      </c>
      <c r="EZ152" s="1605" t="s">
        <v>986</v>
      </c>
      <c r="FA152" s="1605" t="s">
        <v>986</v>
      </c>
      <c r="FB152" s="1605" t="s">
        <v>986</v>
      </c>
      <c r="FC152" s="1605" t="s">
        <v>986</v>
      </c>
      <c r="FD152" s="1605" t="s">
        <v>986</v>
      </c>
      <c r="FE152" s="1605" t="s">
        <v>986</v>
      </c>
      <c r="FF152" s="1605" t="s">
        <v>986</v>
      </c>
      <c r="FG152" s="1605" t="s">
        <v>986</v>
      </c>
      <c r="FH152" s="1605" t="s">
        <v>986</v>
      </c>
      <c r="FI152" s="1605" t="s">
        <v>986</v>
      </c>
      <c r="FJ152" s="1605" t="s">
        <v>986</v>
      </c>
      <c r="FK152" s="1605" t="s">
        <v>986</v>
      </c>
      <c r="FL152" s="1605" t="s">
        <v>986</v>
      </c>
      <c r="FM152" s="1605" t="s">
        <v>986</v>
      </c>
      <c r="FN152" s="1605" t="s">
        <v>986</v>
      </c>
      <c r="FO152" s="1605" t="s">
        <v>986</v>
      </c>
      <c r="FP152" s="1605" t="s">
        <v>986</v>
      </c>
      <c r="FQ152" s="1605" t="s">
        <v>986</v>
      </c>
      <c r="FR152" s="1605" t="s">
        <v>986</v>
      </c>
      <c r="FS152" s="1605" t="s">
        <v>986</v>
      </c>
      <c r="FT152" s="1605" t="s">
        <v>986</v>
      </c>
      <c r="FU152" s="1605" t="s">
        <v>986</v>
      </c>
      <c r="FV152" s="1605" t="s">
        <v>986</v>
      </c>
      <c r="FW152" s="1605" t="s">
        <v>986</v>
      </c>
      <c r="FX152" s="1605" t="s">
        <v>986</v>
      </c>
      <c r="FY152" s="1605" t="s">
        <v>986</v>
      </c>
      <c r="FZ152" s="1605" t="s">
        <v>986</v>
      </c>
      <c r="GA152" s="1605" t="s">
        <v>986</v>
      </c>
      <c r="GB152" s="1605" t="s">
        <v>986</v>
      </c>
      <c r="GC152" s="1605" t="s">
        <v>986</v>
      </c>
      <c r="GD152" s="1605" t="s">
        <v>986</v>
      </c>
      <c r="GE152" s="1605" t="s">
        <v>986</v>
      </c>
      <c r="GF152" s="1605" t="s">
        <v>986</v>
      </c>
      <c r="GG152" s="1605" t="s">
        <v>986</v>
      </c>
      <c r="GH152" s="1605" t="s">
        <v>986</v>
      </c>
      <c r="GI152" s="1605" t="s">
        <v>986</v>
      </c>
      <c r="GJ152" s="1605" t="s">
        <v>986</v>
      </c>
      <c r="GK152" s="1605" t="s">
        <v>986</v>
      </c>
      <c r="GL152" s="1605" t="s">
        <v>986</v>
      </c>
      <c r="GM152" s="1605" t="s">
        <v>986</v>
      </c>
      <c r="GN152" s="1605" t="s">
        <v>986</v>
      </c>
      <c r="GO152" s="1605" t="s">
        <v>986</v>
      </c>
      <c r="GP152" s="1605" t="s">
        <v>986</v>
      </c>
      <c r="GQ152" s="1605" t="s">
        <v>986</v>
      </c>
      <c r="GR152" s="1605" t="s">
        <v>986</v>
      </c>
      <c r="GS152" s="1605" t="s">
        <v>986</v>
      </c>
      <c r="GT152" s="1605" t="s">
        <v>986</v>
      </c>
      <c r="GU152" s="1605" t="s">
        <v>986</v>
      </c>
      <c r="GV152" s="1605" t="s">
        <v>986</v>
      </c>
      <c r="GW152" s="1605" t="s">
        <v>986</v>
      </c>
      <c r="GX152" s="1605" t="s">
        <v>986</v>
      </c>
      <c r="GY152" s="1605" t="s">
        <v>986</v>
      </c>
      <c r="GZ152" s="1605" t="s">
        <v>986</v>
      </c>
      <c r="HA152" s="1605" t="s">
        <v>986</v>
      </c>
      <c r="HB152" s="1605" t="s">
        <v>986</v>
      </c>
      <c r="HC152" s="1605" t="s">
        <v>986</v>
      </c>
      <c r="HD152" s="1605" t="s">
        <v>986</v>
      </c>
      <c r="HE152" s="1605" t="s">
        <v>986</v>
      </c>
      <c r="HF152" s="1605" t="s">
        <v>986</v>
      </c>
      <c r="HG152" s="1605" t="s">
        <v>986</v>
      </c>
      <c r="HH152" s="1605" t="s">
        <v>986</v>
      </c>
      <c r="HI152" s="1605" t="s">
        <v>986</v>
      </c>
      <c r="HJ152" s="1605" t="s">
        <v>986</v>
      </c>
      <c r="HK152" s="1605" t="s">
        <v>986</v>
      </c>
      <c r="HL152" s="1605" t="s">
        <v>986</v>
      </c>
      <c r="HM152" s="1605" t="s">
        <v>986</v>
      </c>
      <c r="HN152" s="1605" t="s">
        <v>986</v>
      </c>
      <c r="HO152" s="1605" t="s">
        <v>986</v>
      </c>
      <c r="HP152" s="1605" t="s">
        <v>986</v>
      </c>
      <c r="HQ152" s="1605" t="s">
        <v>986</v>
      </c>
      <c r="HR152" s="1605" t="s">
        <v>986</v>
      </c>
      <c r="HS152" s="1605" t="s">
        <v>986</v>
      </c>
      <c r="HT152" s="1605" t="s">
        <v>986</v>
      </c>
      <c r="HU152" s="1605" t="s">
        <v>986</v>
      </c>
      <c r="HV152" s="1617"/>
      <c r="HW152" s="1617">
        <v>0</v>
      </c>
      <c r="HX152" s="1617">
        <v>0</v>
      </c>
      <c r="HY152" s="1617">
        <v>0</v>
      </c>
      <c r="HZ152" s="1603"/>
      <c r="IA152" s="1603"/>
      <c r="IB152" s="1603"/>
      <c r="IC152" s="1603">
        <v>58.357723577235802</v>
      </c>
      <c r="ID152" s="1603">
        <v>59.918699186991901</v>
      </c>
      <c r="IE152" s="1603">
        <v>61.219512195121901</v>
      </c>
      <c r="IF152" s="1603">
        <v>62</v>
      </c>
      <c r="IG152" s="1611" t="s">
        <v>2932</v>
      </c>
      <c r="IH152" s="1616" t="s">
        <v>270</v>
      </c>
      <c r="II152" s="1615" t="s">
        <v>270</v>
      </c>
      <c r="IJ152" s="1613">
        <v>1.3101818181818183</v>
      </c>
      <c r="IK152" s="1613">
        <v>1.301848484848485</v>
      </c>
      <c r="IL152" s="1614">
        <v>1.3101818181818183</v>
      </c>
      <c r="IM152" s="1614">
        <v>1.301848484848485</v>
      </c>
      <c r="IN152" s="1612" t="s">
        <v>270</v>
      </c>
      <c r="IO152" s="1613" t="s">
        <v>270</v>
      </c>
      <c r="IP152" s="1607" t="s">
        <v>270</v>
      </c>
      <c r="IQ152" s="1612" t="s">
        <v>270</v>
      </c>
      <c r="IR152" s="1612" t="s">
        <v>270</v>
      </c>
      <c r="IS152" s="1607">
        <v>1.1881818181818182</v>
      </c>
      <c r="IT152" s="1607">
        <v>1.1798484848484849</v>
      </c>
      <c r="IU152" s="1611">
        <v>0</v>
      </c>
      <c r="IV152" s="1611">
        <v>7.7767676767676763E-2</v>
      </c>
      <c r="IW152" s="1611">
        <v>9.0909090909090909E-4</v>
      </c>
      <c r="IX152" s="1611">
        <v>1.6060606060606061E-3</v>
      </c>
      <c r="IY152" s="1611">
        <v>9.6969696969696957E-4</v>
      </c>
      <c r="IZ152" s="1611">
        <v>5.9898989898989896E-3</v>
      </c>
      <c r="JA152" s="1611">
        <v>6.0606060606060598E-5</v>
      </c>
      <c r="JB152" s="1611" t="s">
        <v>270</v>
      </c>
      <c r="JC152" s="1611">
        <v>9.9026969696969704</v>
      </c>
      <c r="JD152" s="1611">
        <v>5.2121212121212122E-3</v>
      </c>
      <c r="JE152" s="1611" t="s">
        <v>270</v>
      </c>
      <c r="JF152" s="1611">
        <v>8.2828282828282835E-4</v>
      </c>
      <c r="JG152" s="1611">
        <v>0.57978787878787885</v>
      </c>
      <c r="JH152" s="1611">
        <v>7.646464646464647E-3</v>
      </c>
      <c r="JI152" s="1611">
        <v>0.3</v>
      </c>
      <c r="JJ152" s="1611" t="s">
        <v>270</v>
      </c>
      <c r="JK152" s="1607">
        <f t="shared" si="11"/>
        <v>0.12200000000000011</v>
      </c>
      <c r="JL152" s="1608" t="s">
        <v>270</v>
      </c>
      <c r="JM152" s="1610" t="s">
        <v>2924</v>
      </c>
      <c r="JN152" s="1608">
        <v>8.3333333333333037E-3</v>
      </c>
      <c r="JO152" s="1609" t="s">
        <v>2931</v>
      </c>
      <c r="JP152" s="1608" t="s">
        <v>270</v>
      </c>
      <c r="JQ152" s="1607">
        <v>202103</v>
      </c>
      <c r="JR152" s="1606">
        <v>851</v>
      </c>
      <c r="JS152" s="1606">
        <v>774</v>
      </c>
      <c r="JT152" s="1606">
        <v>774</v>
      </c>
    </row>
    <row r="153" spans="1:280" ht="15" customHeight="1" x14ac:dyDescent="0.2">
      <c r="A153" s="1626">
        <v>39103</v>
      </c>
      <c r="B153" s="1625">
        <v>391</v>
      </c>
      <c r="C153" s="1624">
        <v>3</v>
      </c>
      <c r="D153" s="1623" t="s">
        <v>3377</v>
      </c>
      <c r="E153" s="1622">
        <v>43039</v>
      </c>
      <c r="F153" s="1620">
        <v>0.25590624198253598</v>
      </c>
      <c r="G153" s="1620">
        <v>0.26636611252071302</v>
      </c>
      <c r="H153" s="1621">
        <v>100</v>
      </c>
      <c r="I153" s="1621">
        <v>81.963562753036399</v>
      </c>
      <c r="J153" s="1621">
        <v>100</v>
      </c>
      <c r="K153" s="1620">
        <v>1</v>
      </c>
      <c r="L153" s="1620">
        <v>98.8</v>
      </c>
      <c r="M153" s="1620">
        <v>38.178600000000003</v>
      </c>
      <c r="N153" s="1620">
        <v>0</v>
      </c>
      <c r="O153" s="1620">
        <v>67.28</v>
      </c>
      <c r="P153" s="1620">
        <v>0</v>
      </c>
      <c r="Q153" s="1603"/>
      <c r="R153" s="1620">
        <v>100</v>
      </c>
      <c r="S153" s="1620">
        <v>0</v>
      </c>
      <c r="T153" s="1620">
        <v>0</v>
      </c>
      <c r="U153" s="1620">
        <v>0</v>
      </c>
      <c r="V153" s="1620">
        <v>0</v>
      </c>
      <c r="W153" s="1620">
        <v>0</v>
      </c>
      <c r="X153" s="1620"/>
      <c r="Y153" s="1620">
        <v>230.76922846153948</v>
      </c>
      <c r="Z153" s="1620">
        <v>0</v>
      </c>
      <c r="AA153" s="1620">
        <v>0</v>
      </c>
      <c r="AB153" s="1620">
        <v>0</v>
      </c>
      <c r="AC153" s="1620">
        <v>0</v>
      </c>
      <c r="AD153" s="1620">
        <v>0</v>
      </c>
      <c r="AE153" s="1620">
        <v>0</v>
      </c>
      <c r="AF153" s="1620">
        <v>0</v>
      </c>
      <c r="AG153" s="1620">
        <v>0</v>
      </c>
      <c r="AH153" s="1620">
        <v>0</v>
      </c>
      <c r="AI153" s="1620">
        <v>0</v>
      </c>
      <c r="AJ153" s="1620">
        <v>0</v>
      </c>
      <c r="AK153" s="1620">
        <v>0</v>
      </c>
      <c r="AL153" s="1620"/>
      <c r="AM153" s="1620">
        <v>83.500000000000099</v>
      </c>
      <c r="AN153" s="1620">
        <v>0</v>
      </c>
      <c r="AO153" s="1620">
        <v>0</v>
      </c>
      <c r="AP153" s="1620">
        <v>0</v>
      </c>
      <c r="AQ153" s="1620">
        <v>0</v>
      </c>
      <c r="AR153" s="1620">
        <v>0</v>
      </c>
      <c r="AS153" s="1620">
        <v>0</v>
      </c>
      <c r="AT153" s="1620">
        <v>0</v>
      </c>
      <c r="AU153" s="1620">
        <v>0</v>
      </c>
      <c r="AV153" s="1620">
        <v>0</v>
      </c>
      <c r="AW153" s="1620">
        <v>0</v>
      </c>
      <c r="AX153" s="1620"/>
      <c r="AY153" s="1620">
        <v>1</v>
      </c>
      <c r="AZ153" s="1620">
        <v>0</v>
      </c>
      <c r="BA153" s="1620">
        <v>0</v>
      </c>
      <c r="BB153" s="1620">
        <v>0</v>
      </c>
      <c r="BC153" s="1620">
        <v>0</v>
      </c>
      <c r="BD153" s="1620">
        <v>0</v>
      </c>
      <c r="BE153" s="1620">
        <v>0</v>
      </c>
      <c r="BF153" s="1620">
        <v>0</v>
      </c>
      <c r="BG153" s="1620">
        <v>0</v>
      </c>
      <c r="BH153" s="1620">
        <v>0</v>
      </c>
      <c r="BI153" s="1620">
        <v>0</v>
      </c>
      <c r="BJ153" s="1603"/>
      <c r="BK153" s="1620">
        <v>38.642307692307696</v>
      </c>
      <c r="BL153" s="1620">
        <v>0</v>
      </c>
      <c r="BM153" s="1620">
        <v>68.097165991902841</v>
      </c>
      <c r="BN153" s="1620">
        <v>0</v>
      </c>
      <c r="BO153" s="1620"/>
      <c r="BP153" s="1620">
        <v>0</v>
      </c>
      <c r="BQ153" s="1620">
        <v>0</v>
      </c>
      <c r="BR153" s="1620">
        <v>0.25901441496208094</v>
      </c>
      <c r="BS153" s="1620">
        <v>0.26960132846226015</v>
      </c>
      <c r="BT153" s="1603"/>
      <c r="BU153" s="1620">
        <v>319.02834008097165</v>
      </c>
      <c r="BV153" s="1620">
        <v>-114.81858328864777</v>
      </c>
      <c r="BW153" s="1620">
        <v>82.201923369620246</v>
      </c>
      <c r="BX153" s="1620" t="s">
        <v>270</v>
      </c>
      <c r="BY153" s="1620" t="s">
        <v>270</v>
      </c>
      <c r="BZ153" s="1620" t="s">
        <v>270</v>
      </c>
      <c r="CA153" s="1620" t="s">
        <v>270</v>
      </c>
      <c r="CB153" s="1603"/>
      <c r="CC153" s="1603">
        <v>227.99999772000101</v>
      </c>
      <c r="CD153" s="1603">
        <v>0</v>
      </c>
      <c r="CE153" s="1603">
        <v>0</v>
      </c>
      <c r="CF153" s="1603">
        <v>0</v>
      </c>
      <c r="CG153" s="1603">
        <v>0</v>
      </c>
      <c r="CH153" s="1603">
        <v>0</v>
      </c>
      <c r="CI153" s="1603">
        <v>0</v>
      </c>
      <c r="CJ153" s="1603"/>
      <c r="CK153" s="1603">
        <v>0</v>
      </c>
      <c r="CL153" s="1603">
        <v>0</v>
      </c>
      <c r="CM153" s="1603">
        <v>0</v>
      </c>
      <c r="CN153" s="1603">
        <v>0</v>
      </c>
      <c r="CO153" s="1603">
        <v>0</v>
      </c>
      <c r="CP153" s="1603">
        <v>0</v>
      </c>
      <c r="CQ153" s="1603">
        <v>381.786</v>
      </c>
      <c r="CR153" s="1603">
        <v>1491.8979585736504</v>
      </c>
      <c r="CS153" s="1603">
        <v>1245.734795408998</v>
      </c>
      <c r="CT153" s="1603">
        <v>0</v>
      </c>
      <c r="CU153" s="1603">
        <v>0</v>
      </c>
      <c r="CV153" s="1603">
        <v>0</v>
      </c>
      <c r="CW153" s="1603">
        <v>0</v>
      </c>
      <c r="CX153" s="1603">
        <v>0</v>
      </c>
      <c r="CY153" s="1603">
        <v>0</v>
      </c>
      <c r="CZ153" s="1603">
        <v>0</v>
      </c>
      <c r="DA153" s="1603">
        <v>0</v>
      </c>
      <c r="DB153" s="1603">
        <v>0</v>
      </c>
      <c r="DC153" s="1603">
        <v>0</v>
      </c>
      <c r="DD153" s="1603">
        <v>0</v>
      </c>
      <c r="DE153" s="1603">
        <v>0</v>
      </c>
      <c r="DF153" s="1603">
        <v>0</v>
      </c>
      <c r="DG153" s="1603">
        <v>0</v>
      </c>
      <c r="DH153" s="1603">
        <v>0</v>
      </c>
      <c r="DI153" s="1603">
        <v>0</v>
      </c>
      <c r="DJ153" s="1603">
        <v>0</v>
      </c>
      <c r="DK153" s="1603">
        <v>0</v>
      </c>
      <c r="DL153" s="1603">
        <v>0</v>
      </c>
      <c r="DM153" s="1603">
        <v>0</v>
      </c>
      <c r="DN153" s="1603">
        <v>0</v>
      </c>
      <c r="DO153" s="1603">
        <v>0</v>
      </c>
      <c r="DP153" s="1603">
        <v>0</v>
      </c>
      <c r="DQ153" s="1603">
        <v>0</v>
      </c>
      <c r="DR153" s="1603">
        <v>0</v>
      </c>
      <c r="DS153" s="1603">
        <v>0</v>
      </c>
      <c r="DT153" s="1603">
        <v>0</v>
      </c>
      <c r="DU153" s="1603">
        <v>0</v>
      </c>
      <c r="DV153" s="1603">
        <v>0</v>
      </c>
      <c r="DW153" s="1618" t="s">
        <v>986</v>
      </c>
      <c r="DX153" s="1605" t="s">
        <v>986</v>
      </c>
      <c r="DY153" s="1605" t="s">
        <v>986</v>
      </c>
      <c r="DZ153" s="1605" t="s">
        <v>986</v>
      </c>
      <c r="EA153" s="1605" t="s">
        <v>986</v>
      </c>
      <c r="EB153" s="1605" t="s">
        <v>986</v>
      </c>
      <c r="EC153" s="1605" t="s">
        <v>986</v>
      </c>
      <c r="ED153" s="1605" t="s">
        <v>986</v>
      </c>
      <c r="EE153" s="1605" t="s">
        <v>986</v>
      </c>
      <c r="EF153" s="1605" t="s">
        <v>986</v>
      </c>
      <c r="EG153" s="1605" t="s">
        <v>986</v>
      </c>
      <c r="EH153" s="1605" t="s">
        <v>986</v>
      </c>
      <c r="EI153" s="1605" t="s">
        <v>986</v>
      </c>
      <c r="EJ153" s="1605" t="s">
        <v>986</v>
      </c>
      <c r="EK153" s="1605" t="s">
        <v>986</v>
      </c>
      <c r="EL153" s="1605" t="s">
        <v>986</v>
      </c>
      <c r="EM153" s="1605" t="s">
        <v>986</v>
      </c>
      <c r="EN153" s="1605" t="s">
        <v>986</v>
      </c>
      <c r="EO153" s="1605" t="s">
        <v>986</v>
      </c>
      <c r="EP153" s="1605" t="s">
        <v>986</v>
      </c>
      <c r="EQ153" s="1605" t="s">
        <v>986</v>
      </c>
      <c r="ER153" s="1605" t="s">
        <v>986</v>
      </c>
      <c r="ES153" s="1605" t="s">
        <v>986</v>
      </c>
      <c r="ET153" s="1605" t="s">
        <v>986</v>
      </c>
      <c r="EU153" s="1605" t="s">
        <v>986</v>
      </c>
      <c r="EV153" s="1605" t="s">
        <v>986</v>
      </c>
      <c r="EW153" s="1605" t="s">
        <v>986</v>
      </c>
      <c r="EX153" s="1605" t="s">
        <v>986</v>
      </c>
      <c r="EY153" s="1605" t="s">
        <v>986</v>
      </c>
      <c r="EZ153" s="1605" t="s">
        <v>986</v>
      </c>
      <c r="FA153" s="1605" t="s">
        <v>986</v>
      </c>
      <c r="FB153" s="1605" t="s">
        <v>986</v>
      </c>
      <c r="FC153" s="1605" t="s">
        <v>986</v>
      </c>
      <c r="FD153" s="1605" t="s">
        <v>986</v>
      </c>
      <c r="FE153" s="1605" t="s">
        <v>986</v>
      </c>
      <c r="FF153" s="1605" t="s">
        <v>986</v>
      </c>
      <c r="FG153" s="1605" t="s">
        <v>986</v>
      </c>
      <c r="FH153" s="1605" t="s">
        <v>986</v>
      </c>
      <c r="FI153" s="1605" t="s">
        <v>986</v>
      </c>
      <c r="FJ153" s="1605" t="s">
        <v>986</v>
      </c>
      <c r="FK153" s="1605" t="s">
        <v>986</v>
      </c>
      <c r="FL153" s="1605" t="s">
        <v>986</v>
      </c>
      <c r="FM153" s="1605" t="s">
        <v>986</v>
      </c>
      <c r="FN153" s="1605" t="s">
        <v>986</v>
      </c>
      <c r="FO153" s="1605" t="s">
        <v>986</v>
      </c>
      <c r="FP153" s="1605" t="s">
        <v>986</v>
      </c>
      <c r="FQ153" s="1605" t="s">
        <v>986</v>
      </c>
      <c r="FR153" s="1605" t="s">
        <v>986</v>
      </c>
      <c r="FS153" s="1605" t="s">
        <v>986</v>
      </c>
      <c r="FT153" s="1605" t="s">
        <v>986</v>
      </c>
      <c r="FU153" s="1605" t="s">
        <v>986</v>
      </c>
      <c r="FV153" s="1605" t="s">
        <v>986</v>
      </c>
      <c r="FW153" s="1605" t="s">
        <v>986</v>
      </c>
      <c r="FX153" s="1605" t="s">
        <v>986</v>
      </c>
      <c r="FY153" s="1605" t="s">
        <v>986</v>
      </c>
      <c r="FZ153" s="1605" t="s">
        <v>986</v>
      </c>
      <c r="GA153" s="1605" t="s">
        <v>986</v>
      </c>
      <c r="GB153" s="1605" t="s">
        <v>986</v>
      </c>
      <c r="GC153" s="1605" t="s">
        <v>986</v>
      </c>
      <c r="GD153" s="1605" t="s">
        <v>986</v>
      </c>
      <c r="GE153" s="1605" t="s">
        <v>986</v>
      </c>
      <c r="GF153" s="1605" t="s">
        <v>986</v>
      </c>
      <c r="GG153" s="1605" t="s">
        <v>986</v>
      </c>
      <c r="GH153" s="1605" t="s">
        <v>986</v>
      </c>
      <c r="GI153" s="1605" t="s">
        <v>986</v>
      </c>
      <c r="GJ153" s="1605" t="s">
        <v>986</v>
      </c>
      <c r="GK153" s="1605" t="s">
        <v>986</v>
      </c>
      <c r="GL153" s="1605" t="s">
        <v>986</v>
      </c>
      <c r="GM153" s="1605" t="s">
        <v>986</v>
      </c>
      <c r="GN153" s="1605" t="s">
        <v>986</v>
      </c>
      <c r="GO153" s="1605" t="s">
        <v>986</v>
      </c>
      <c r="GP153" s="1605" t="s">
        <v>986</v>
      </c>
      <c r="GQ153" s="1605" t="s">
        <v>986</v>
      </c>
      <c r="GR153" s="1605" t="s">
        <v>986</v>
      </c>
      <c r="GS153" s="1605" t="s">
        <v>986</v>
      </c>
      <c r="GT153" s="1605" t="s">
        <v>986</v>
      </c>
      <c r="GU153" s="1605" t="s">
        <v>986</v>
      </c>
      <c r="GV153" s="1605" t="s">
        <v>986</v>
      </c>
      <c r="GW153" s="1605" t="s">
        <v>986</v>
      </c>
      <c r="GX153" s="1605" t="s">
        <v>986</v>
      </c>
      <c r="GY153" s="1605" t="s">
        <v>986</v>
      </c>
      <c r="GZ153" s="1605" t="s">
        <v>986</v>
      </c>
      <c r="HA153" s="1605" t="s">
        <v>986</v>
      </c>
      <c r="HB153" s="1605" t="s">
        <v>986</v>
      </c>
      <c r="HC153" s="1605" t="s">
        <v>986</v>
      </c>
      <c r="HD153" s="1605" t="s">
        <v>986</v>
      </c>
      <c r="HE153" s="1605" t="s">
        <v>986</v>
      </c>
      <c r="HF153" s="1605" t="s">
        <v>986</v>
      </c>
      <c r="HG153" s="1605" t="s">
        <v>986</v>
      </c>
      <c r="HH153" s="1605" t="s">
        <v>986</v>
      </c>
      <c r="HI153" s="1605" t="s">
        <v>986</v>
      </c>
      <c r="HJ153" s="1605" t="s">
        <v>986</v>
      </c>
      <c r="HK153" s="1605" t="s">
        <v>986</v>
      </c>
      <c r="HL153" s="1605" t="s">
        <v>986</v>
      </c>
      <c r="HM153" s="1605" t="s">
        <v>986</v>
      </c>
      <c r="HN153" s="1605" t="s">
        <v>986</v>
      </c>
      <c r="HO153" s="1605" t="s">
        <v>986</v>
      </c>
      <c r="HP153" s="1605" t="s">
        <v>986</v>
      </c>
      <c r="HQ153" s="1605" t="s">
        <v>986</v>
      </c>
      <c r="HR153" s="1605" t="s">
        <v>986</v>
      </c>
      <c r="HS153" s="1605" t="s">
        <v>986</v>
      </c>
      <c r="HT153" s="1605" t="s">
        <v>986</v>
      </c>
      <c r="HU153" s="1605" t="s">
        <v>986</v>
      </c>
      <c r="HV153" s="1617"/>
      <c r="HW153" s="1617">
        <v>0</v>
      </c>
      <c r="HX153" s="1617">
        <v>0</v>
      </c>
      <c r="HY153" s="1617">
        <v>0</v>
      </c>
      <c r="HZ153" s="1603"/>
      <c r="IA153" s="1603"/>
      <c r="IB153" s="1603"/>
      <c r="IC153" s="1603">
        <v>0</v>
      </c>
      <c r="ID153" s="1603">
        <v>0</v>
      </c>
      <c r="IE153" s="1603">
        <v>0</v>
      </c>
      <c r="IF153" s="1603">
        <v>0</v>
      </c>
      <c r="IG153" s="1611" t="s">
        <v>2932</v>
      </c>
      <c r="IH153" s="1616" t="s">
        <v>270</v>
      </c>
      <c r="II153" s="1615" t="s">
        <v>270</v>
      </c>
      <c r="IJ153" s="1613">
        <v>1.3101818181818183</v>
      </c>
      <c r="IK153" s="1613">
        <v>1.301848484848485</v>
      </c>
      <c r="IL153" s="1614">
        <v>1.3101818181818183</v>
      </c>
      <c r="IM153" s="1614">
        <v>1.301848484848485</v>
      </c>
      <c r="IN153" s="1612" t="s">
        <v>270</v>
      </c>
      <c r="IO153" s="1613" t="s">
        <v>270</v>
      </c>
      <c r="IP153" s="1607" t="s">
        <v>270</v>
      </c>
      <c r="IQ153" s="1612" t="s">
        <v>270</v>
      </c>
      <c r="IR153" s="1612" t="s">
        <v>270</v>
      </c>
      <c r="IS153" s="1607">
        <v>1.1881818181818182</v>
      </c>
      <c r="IT153" s="1607">
        <v>1.1798484848484849</v>
      </c>
      <c r="IU153" s="1611">
        <v>0</v>
      </c>
      <c r="IV153" s="1611">
        <v>7.7767676767676763E-2</v>
      </c>
      <c r="IW153" s="1611">
        <v>9.0909090909090909E-4</v>
      </c>
      <c r="IX153" s="1611">
        <v>1.6060606060606061E-3</v>
      </c>
      <c r="IY153" s="1611">
        <v>9.6969696969696957E-4</v>
      </c>
      <c r="IZ153" s="1611">
        <v>5.9898989898989896E-3</v>
      </c>
      <c r="JA153" s="1611">
        <v>6.0606060606060598E-5</v>
      </c>
      <c r="JB153" s="1611" t="s">
        <v>270</v>
      </c>
      <c r="JC153" s="1611">
        <v>9.9026969696969704</v>
      </c>
      <c r="JD153" s="1611">
        <v>5.2121212121212122E-3</v>
      </c>
      <c r="JE153" s="1611" t="s">
        <v>270</v>
      </c>
      <c r="JF153" s="1611">
        <v>8.2828282828282835E-4</v>
      </c>
      <c r="JG153" s="1611">
        <v>0.57978787878787885</v>
      </c>
      <c r="JH153" s="1611">
        <v>7.646464646464647E-3</v>
      </c>
      <c r="JI153" s="1611">
        <v>0.3</v>
      </c>
      <c r="JJ153" s="1611" t="s">
        <v>270</v>
      </c>
      <c r="JK153" s="1607">
        <f t="shared" si="11"/>
        <v>0.12200000000000011</v>
      </c>
      <c r="JL153" s="1608" t="s">
        <v>270</v>
      </c>
      <c r="JM153" s="1610" t="s">
        <v>2924</v>
      </c>
      <c r="JN153" s="1608">
        <v>8.3333333333333037E-3</v>
      </c>
      <c r="JO153" s="1609" t="s">
        <v>2931</v>
      </c>
      <c r="JP153" s="1608" t="s">
        <v>270</v>
      </c>
      <c r="JQ153" s="1607">
        <v>202103</v>
      </c>
      <c r="JR153" s="1606">
        <v>851</v>
      </c>
      <c r="JS153" s="1606">
        <v>774</v>
      </c>
      <c r="JT153" s="1606">
        <v>774</v>
      </c>
    </row>
    <row r="154" spans="1:280" ht="15" customHeight="1" x14ac:dyDescent="0.2">
      <c r="A154" s="1626">
        <v>99502</v>
      </c>
      <c r="B154" s="1625">
        <v>995</v>
      </c>
      <c r="C154" s="1624">
        <v>2</v>
      </c>
      <c r="D154" s="1623" t="s">
        <v>3376</v>
      </c>
      <c r="E154" s="1622">
        <v>43370</v>
      </c>
      <c r="F154" s="1620">
        <v>1.0174514905149099</v>
      </c>
      <c r="G154" s="1620">
        <v>0.97516779220779204</v>
      </c>
      <c r="H154" s="1621">
        <v>100</v>
      </c>
      <c r="I154" s="1621">
        <v>100</v>
      </c>
      <c r="J154" s="1621">
        <v>100</v>
      </c>
      <c r="K154" s="1620">
        <v>1</v>
      </c>
      <c r="L154" s="1620">
        <v>98.5</v>
      </c>
      <c r="M154" s="1620">
        <v>94.399999999999906</v>
      </c>
      <c r="N154" s="1620">
        <v>0</v>
      </c>
      <c r="O154" s="1620">
        <v>19.7</v>
      </c>
      <c r="P154" s="1620">
        <v>0</v>
      </c>
      <c r="Q154" s="1603"/>
      <c r="R154" s="1620">
        <v>50</v>
      </c>
      <c r="S154" s="1620">
        <v>0</v>
      </c>
      <c r="T154" s="1620">
        <v>0</v>
      </c>
      <c r="U154" s="1620">
        <v>0</v>
      </c>
      <c r="V154" s="1620">
        <v>0</v>
      </c>
      <c r="W154" s="1620">
        <v>0</v>
      </c>
      <c r="X154" s="1620"/>
      <c r="Y154" s="1620">
        <v>0</v>
      </c>
      <c r="Z154" s="1620">
        <v>0</v>
      </c>
      <c r="AA154" s="1620">
        <v>0</v>
      </c>
      <c r="AB154" s="1620">
        <v>192</v>
      </c>
      <c r="AC154" s="1620">
        <v>0</v>
      </c>
      <c r="AD154" s="1620">
        <v>0</v>
      </c>
      <c r="AE154" s="1620">
        <v>0</v>
      </c>
      <c r="AF154" s="1620">
        <v>0</v>
      </c>
      <c r="AG154" s="1620">
        <v>0</v>
      </c>
      <c r="AH154" s="1620">
        <v>0</v>
      </c>
      <c r="AI154" s="1620">
        <v>0</v>
      </c>
      <c r="AJ154" s="1620">
        <v>0</v>
      </c>
      <c r="AK154" s="1620">
        <v>0</v>
      </c>
      <c r="AL154" s="1620"/>
      <c r="AM154" s="1620">
        <v>83.474576271186507</v>
      </c>
      <c r="AN154" s="1620">
        <v>0</v>
      </c>
      <c r="AO154" s="1620">
        <v>0</v>
      </c>
      <c r="AP154" s="1620">
        <v>0</v>
      </c>
      <c r="AQ154" s="1620">
        <v>0</v>
      </c>
      <c r="AR154" s="1620">
        <v>0</v>
      </c>
      <c r="AS154" s="1620">
        <v>0</v>
      </c>
      <c r="AT154" s="1620">
        <v>0</v>
      </c>
      <c r="AU154" s="1620">
        <v>0</v>
      </c>
      <c r="AV154" s="1620">
        <v>0</v>
      </c>
      <c r="AW154" s="1620">
        <v>0</v>
      </c>
      <c r="AX154" s="1620"/>
      <c r="AY154" s="1620">
        <v>1</v>
      </c>
      <c r="AZ154" s="1620">
        <v>1</v>
      </c>
      <c r="BA154" s="1620">
        <v>1</v>
      </c>
      <c r="BB154" s="1620">
        <v>1</v>
      </c>
      <c r="BC154" s="1620">
        <v>1</v>
      </c>
      <c r="BD154" s="1620">
        <v>1</v>
      </c>
      <c r="BE154" s="1620">
        <v>1</v>
      </c>
      <c r="BF154" s="1620">
        <v>1</v>
      </c>
      <c r="BG154" s="1620">
        <v>1</v>
      </c>
      <c r="BH154" s="1620">
        <v>1</v>
      </c>
      <c r="BI154" s="1620">
        <v>1</v>
      </c>
      <c r="BJ154" s="1603"/>
      <c r="BK154" s="1620">
        <v>95.83756345177656</v>
      </c>
      <c r="BL154" s="1620">
        <v>0</v>
      </c>
      <c r="BM154" s="1620">
        <v>20</v>
      </c>
      <c r="BN154" s="1620">
        <v>0</v>
      </c>
      <c r="BO154" s="1620"/>
      <c r="BP154" s="1620">
        <v>0</v>
      </c>
      <c r="BQ154" s="1620">
        <v>0</v>
      </c>
      <c r="BR154" s="1620">
        <v>1.0329456756496547</v>
      </c>
      <c r="BS154" s="1620">
        <v>0.99001806315511875</v>
      </c>
      <c r="BT154" s="1603"/>
      <c r="BU154" s="1620">
        <v>800</v>
      </c>
      <c r="BV154" s="1620">
        <v>-72.121827411167516</v>
      </c>
      <c r="BW154" s="1620">
        <v>0</v>
      </c>
      <c r="BX154" s="1620" t="s">
        <v>270</v>
      </c>
      <c r="BY154" s="1620" t="s">
        <v>270</v>
      </c>
      <c r="BZ154" s="1620" t="s">
        <v>270</v>
      </c>
      <c r="CA154" s="1620" t="s">
        <v>270</v>
      </c>
      <c r="CB154" s="1603"/>
      <c r="CC154" s="1603">
        <v>0</v>
      </c>
      <c r="CD154" s="1603">
        <v>0</v>
      </c>
      <c r="CE154" s="1603">
        <v>0</v>
      </c>
      <c r="CF154" s="1603">
        <v>189.12</v>
      </c>
      <c r="CG154" s="1603">
        <v>0</v>
      </c>
      <c r="CH154" s="1603">
        <v>0</v>
      </c>
      <c r="CI154" s="1603">
        <v>0</v>
      </c>
      <c r="CJ154" s="1603"/>
      <c r="CK154" s="1603">
        <v>0</v>
      </c>
      <c r="CL154" s="1603">
        <v>0</v>
      </c>
      <c r="CM154" s="1603">
        <v>0</v>
      </c>
      <c r="CN154" s="1603">
        <v>0</v>
      </c>
      <c r="CO154" s="1603">
        <v>0</v>
      </c>
      <c r="CP154" s="1603">
        <v>0</v>
      </c>
      <c r="CQ154" s="1603">
        <v>472</v>
      </c>
      <c r="CR154" s="1603">
        <v>463.90418059256183</v>
      </c>
      <c r="CS154" s="1603">
        <v>387.24204905396056</v>
      </c>
      <c r="CT154" s="1603">
        <v>0</v>
      </c>
      <c r="CU154" s="1603">
        <v>0</v>
      </c>
      <c r="CV154" s="1603">
        <v>0</v>
      </c>
      <c r="CW154" s="1603">
        <v>0</v>
      </c>
      <c r="CX154" s="1603">
        <v>0</v>
      </c>
      <c r="CY154" s="1603">
        <v>0</v>
      </c>
      <c r="CZ154" s="1603">
        <v>0</v>
      </c>
      <c r="DA154" s="1603">
        <v>0</v>
      </c>
      <c r="DB154" s="1603">
        <v>0</v>
      </c>
      <c r="DC154" s="1603">
        <v>0</v>
      </c>
      <c r="DD154" s="1603">
        <v>0</v>
      </c>
      <c r="DE154" s="1603">
        <v>0</v>
      </c>
      <c r="DF154" s="1603">
        <v>0</v>
      </c>
      <c r="DG154" s="1603">
        <v>0</v>
      </c>
      <c r="DH154" s="1603">
        <v>0</v>
      </c>
      <c r="DI154" s="1603">
        <v>0</v>
      </c>
      <c r="DJ154" s="1603">
        <v>0</v>
      </c>
      <c r="DK154" s="1603">
        <v>0</v>
      </c>
      <c r="DL154" s="1603">
        <v>0</v>
      </c>
      <c r="DM154" s="1603">
        <v>0</v>
      </c>
      <c r="DN154" s="1603">
        <v>0</v>
      </c>
      <c r="DO154" s="1603">
        <v>0</v>
      </c>
      <c r="DP154" s="1603">
        <v>0</v>
      </c>
      <c r="DQ154" s="1603">
        <v>0</v>
      </c>
      <c r="DR154" s="1603">
        <v>0</v>
      </c>
      <c r="DS154" s="1603">
        <v>0</v>
      </c>
      <c r="DT154" s="1603">
        <v>0</v>
      </c>
      <c r="DU154" s="1603">
        <v>0</v>
      </c>
      <c r="DV154" s="1603">
        <v>0</v>
      </c>
      <c r="DW154" s="1618" t="s">
        <v>986</v>
      </c>
      <c r="DX154" s="1605" t="s">
        <v>986</v>
      </c>
      <c r="DY154" s="1605" t="s">
        <v>986</v>
      </c>
      <c r="DZ154" s="1605" t="s">
        <v>986</v>
      </c>
      <c r="EA154" s="1605" t="s">
        <v>986</v>
      </c>
      <c r="EB154" s="1605" t="s">
        <v>986</v>
      </c>
      <c r="EC154" s="1605" t="s">
        <v>986</v>
      </c>
      <c r="ED154" s="1605" t="s">
        <v>986</v>
      </c>
      <c r="EE154" s="1605" t="s">
        <v>986</v>
      </c>
      <c r="EF154" s="1605" t="s">
        <v>986</v>
      </c>
      <c r="EG154" s="1605" t="s">
        <v>986</v>
      </c>
      <c r="EH154" s="1605" t="s">
        <v>986</v>
      </c>
      <c r="EI154" s="1605" t="s">
        <v>986</v>
      </c>
      <c r="EJ154" s="1605" t="s">
        <v>986</v>
      </c>
      <c r="EK154" s="1605" t="s">
        <v>986</v>
      </c>
      <c r="EL154" s="1605" t="s">
        <v>986</v>
      </c>
      <c r="EM154" s="1605" t="s">
        <v>986</v>
      </c>
      <c r="EN154" s="1605" t="s">
        <v>986</v>
      </c>
      <c r="EO154" s="1605" t="s">
        <v>986</v>
      </c>
      <c r="EP154" s="1605" t="s">
        <v>986</v>
      </c>
      <c r="EQ154" s="1605" t="s">
        <v>986</v>
      </c>
      <c r="ER154" s="1605" t="s">
        <v>986</v>
      </c>
      <c r="ES154" s="1605" t="s">
        <v>986</v>
      </c>
      <c r="ET154" s="1605" t="s">
        <v>986</v>
      </c>
      <c r="EU154" s="1605" t="s">
        <v>986</v>
      </c>
      <c r="EV154" s="1605" t="s">
        <v>986</v>
      </c>
      <c r="EW154" s="1605" t="s">
        <v>986</v>
      </c>
      <c r="EX154" s="1605" t="s">
        <v>986</v>
      </c>
      <c r="EY154" s="1605" t="s">
        <v>986</v>
      </c>
      <c r="EZ154" s="1605" t="s">
        <v>986</v>
      </c>
      <c r="FA154" s="1605" t="s">
        <v>986</v>
      </c>
      <c r="FB154" s="1605" t="s">
        <v>986</v>
      </c>
      <c r="FC154" s="1605" t="s">
        <v>986</v>
      </c>
      <c r="FD154" s="1605" t="s">
        <v>986</v>
      </c>
      <c r="FE154" s="1605" t="s">
        <v>986</v>
      </c>
      <c r="FF154" s="1605" t="s">
        <v>986</v>
      </c>
      <c r="FG154" s="1605" t="s">
        <v>986</v>
      </c>
      <c r="FH154" s="1605" t="s">
        <v>986</v>
      </c>
      <c r="FI154" s="1605" t="s">
        <v>986</v>
      </c>
      <c r="FJ154" s="1605" t="s">
        <v>986</v>
      </c>
      <c r="FK154" s="1605" t="s">
        <v>986</v>
      </c>
      <c r="FL154" s="1605" t="s">
        <v>986</v>
      </c>
      <c r="FM154" s="1605" t="s">
        <v>986</v>
      </c>
      <c r="FN154" s="1605" t="s">
        <v>986</v>
      </c>
      <c r="FO154" s="1605" t="s">
        <v>986</v>
      </c>
      <c r="FP154" s="1605" t="s">
        <v>986</v>
      </c>
      <c r="FQ154" s="1605" t="s">
        <v>986</v>
      </c>
      <c r="FR154" s="1605" t="s">
        <v>986</v>
      </c>
      <c r="FS154" s="1605" t="s">
        <v>986</v>
      </c>
      <c r="FT154" s="1605" t="s">
        <v>986</v>
      </c>
      <c r="FU154" s="1605" t="s">
        <v>986</v>
      </c>
      <c r="FV154" s="1605" t="s">
        <v>986</v>
      </c>
      <c r="FW154" s="1605" t="s">
        <v>986</v>
      </c>
      <c r="FX154" s="1605" t="s">
        <v>986</v>
      </c>
      <c r="FY154" s="1605" t="s">
        <v>986</v>
      </c>
      <c r="FZ154" s="1605" t="s">
        <v>986</v>
      </c>
      <c r="GA154" s="1605" t="s">
        <v>986</v>
      </c>
      <c r="GB154" s="1605" t="s">
        <v>986</v>
      </c>
      <c r="GC154" s="1605" t="s">
        <v>986</v>
      </c>
      <c r="GD154" s="1605" t="s">
        <v>986</v>
      </c>
      <c r="GE154" s="1605" t="s">
        <v>986</v>
      </c>
      <c r="GF154" s="1605" t="s">
        <v>986</v>
      </c>
      <c r="GG154" s="1605" t="s">
        <v>986</v>
      </c>
      <c r="GH154" s="1605" t="s">
        <v>986</v>
      </c>
      <c r="GI154" s="1605" t="s">
        <v>986</v>
      </c>
      <c r="GJ154" s="1605" t="s">
        <v>986</v>
      </c>
      <c r="GK154" s="1605" t="s">
        <v>986</v>
      </c>
      <c r="GL154" s="1605" t="s">
        <v>986</v>
      </c>
      <c r="GM154" s="1605" t="s">
        <v>986</v>
      </c>
      <c r="GN154" s="1605" t="s">
        <v>986</v>
      </c>
      <c r="GO154" s="1605" t="s">
        <v>986</v>
      </c>
      <c r="GP154" s="1605" t="s">
        <v>986</v>
      </c>
      <c r="GQ154" s="1605" t="s">
        <v>986</v>
      </c>
      <c r="GR154" s="1605" t="s">
        <v>986</v>
      </c>
      <c r="GS154" s="1605" t="s">
        <v>986</v>
      </c>
      <c r="GT154" s="1605" t="s">
        <v>986</v>
      </c>
      <c r="GU154" s="1605" t="s">
        <v>986</v>
      </c>
      <c r="GV154" s="1605" t="s">
        <v>986</v>
      </c>
      <c r="GW154" s="1605" t="s">
        <v>986</v>
      </c>
      <c r="GX154" s="1605" t="s">
        <v>986</v>
      </c>
      <c r="GY154" s="1605" t="s">
        <v>986</v>
      </c>
      <c r="GZ154" s="1605" t="s">
        <v>986</v>
      </c>
      <c r="HA154" s="1605" t="s">
        <v>986</v>
      </c>
      <c r="HB154" s="1605" t="s">
        <v>986</v>
      </c>
      <c r="HC154" s="1605" t="s">
        <v>986</v>
      </c>
      <c r="HD154" s="1605" t="s">
        <v>986</v>
      </c>
      <c r="HE154" s="1605" t="s">
        <v>986</v>
      </c>
      <c r="HF154" s="1605" t="s">
        <v>986</v>
      </c>
      <c r="HG154" s="1605" t="s">
        <v>986</v>
      </c>
      <c r="HH154" s="1605" t="s">
        <v>986</v>
      </c>
      <c r="HI154" s="1605" t="s">
        <v>986</v>
      </c>
      <c r="HJ154" s="1605" t="s">
        <v>986</v>
      </c>
      <c r="HK154" s="1605" t="s">
        <v>986</v>
      </c>
      <c r="HL154" s="1605" t="s">
        <v>986</v>
      </c>
      <c r="HM154" s="1605" t="s">
        <v>986</v>
      </c>
      <c r="HN154" s="1605" t="s">
        <v>986</v>
      </c>
      <c r="HO154" s="1605" t="s">
        <v>986</v>
      </c>
      <c r="HP154" s="1605" t="s">
        <v>986</v>
      </c>
      <c r="HQ154" s="1605" t="s">
        <v>986</v>
      </c>
      <c r="HR154" s="1605" t="s">
        <v>986</v>
      </c>
      <c r="HS154" s="1605" t="s">
        <v>986</v>
      </c>
      <c r="HT154" s="1605" t="s">
        <v>986</v>
      </c>
      <c r="HU154" s="1605" t="s">
        <v>986</v>
      </c>
      <c r="HV154" s="1617"/>
      <c r="HW154" s="1617" t="s">
        <v>986</v>
      </c>
      <c r="HX154" s="1617" t="s">
        <v>986</v>
      </c>
      <c r="HY154" s="1617" t="s">
        <v>986</v>
      </c>
      <c r="HZ154" s="1603"/>
      <c r="IA154" s="1603"/>
      <c r="IB154" s="1603"/>
      <c r="IC154" s="1603">
        <v>0</v>
      </c>
      <c r="ID154" s="1603">
        <v>0</v>
      </c>
      <c r="IE154" s="1603">
        <v>0</v>
      </c>
      <c r="IF154" s="1603">
        <v>0</v>
      </c>
      <c r="IG154" s="1611" t="s">
        <v>2932</v>
      </c>
      <c r="IH154" s="1616" t="s">
        <v>270</v>
      </c>
      <c r="II154" s="1615" t="s">
        <v>270</v>
      </c>
      <c r="IJ154" s="1613">
        <v>1.3101818181818183</v>
      </c>
      <c r="IK154" s="1613">
        <v>1.301848484848485</v>
      </c>
      <c r="IL154" s="1614">
        <v>1.3101818181818183</v>
      </c>
      <c r="IM154" s="1614">
        <v>1.301848484848485</v>
      </c>
      <c r="IN154" s="1612" t="s">
        <v>270</v>
      </c>
      <c r="IO154" s="1613" t="s">
        <v>270</v>
      </c>
      <c r="IP154" s="1607" t="s">
        <v>270</v>
      </c>
      <c r="IQ154" s="1612" t="s">
        <v>270</v>
      </c>
      <c r="IR154" s="1612" t="s">
        <v>270</v>
      </c>
      <c r="IS154" s="1607">
        <v>1.1881818181818182</v>
      </c>
      <c r="IT154" s="1607">
        <v>1.1798484848484849</v>
      </c>
      <c r="IU154" s="1611">
        <v>0</v>
      </c>
      <c r="IV154" s="1611">
        <v>7.7767676767676763E-2</v>
      </c>
      <c r="IW154" s="1611">
        <v>9.0909090909090909E-4</v>
      </c>
      <c r="IX154" s="1611">
        <v>1.6060606060606061E-3</v>
      </c>
      <c r="IY154" s="1611">
        <v>9.6969696969696957E-4</v>
      </c>
      <c r="IZ154" s="1611">
        <v>5.9898989898989896E-3</v>
      </c>
      <c r="JA154" s="1611">
        <v>6.0606060606060598E-5</v>
      </c>
      <c r="JB154" s="1611" t="s">
        <v>270</v>
      </c>
      <c r="JC154" s="1611">
        <v>9.9026969696969704</v>
      </c>
      <c r="JD154" s="1611">
        <v>5.2121212121212122E-3</v>
      </c>
      <c r="JE154" s="1611" t="s">
        <v>270</v>
      </c>
      <c r="JF154" s="1611">
        <v>8.2828282828282835E-4</v>
      </c>
      <c r="JG154" s="1611">
        <v>0.57978787878787885</v>
      </c>
      <c r="JH154" s="1611">
        <v>7.646464646464647E-3</v>
      </c>
      <c r="JI154" s="1611">
        <v>0.3</v>
      </c>
      <c r="JJ154" s="1611" t="s">
        <v>270</v>
      </c>
      <c r="JK154" s="1607">
        <f t="shared" si="11"/>
        <v>0.12200000000000011</v>
      </c>
      <c r="JL154" s="1608" t="s">
        <v>270</v>
      </c>
      <c r="JM154" s="1610" t="s">
        <v>2924</v>
      </c>
      <c r="JN154" s="1608">
        <v>8.3333333333333037E-3</v>
      </c>
      <c r="JO154" s="1609" t="s">
        <v>2931</v>
      </c>
      <c r="JP154" s="1608" t="s">
        <v>270</v>
      </c>
      <c r="JQ154" s="1607">
        <v>202103</v>
      </c>
      <c r="JR154" s="1606">
        <v>851</v>
      </c>
      <c r="JS154" s="1606">
        <v>774</v>
      </c>
      <c r="JT154" s="1606">
        <v>774</v>
      </c>
    </row>
    <row r="155" spans="1:280" ht="15" customHeight="1" x14ac:dyDescent="0.2">
      <c r="A155" s="1626">
        <v>99501</v>
      </c>
      <c r="B155" s="1625">
        <v>995</v>
      </c>
      <c r="C155" s="1624">
        <v>1</v>
      </c>
      <c r="D155" s="1623" t="s">
        <v>3375</v>
      </c>
      <c r="E155" s="1622">
        <v>43031</v>
      </c>
      <c r="F155" s="1620">
        <v>1.0174514905149099</v>
      </c>
      <c r="G155" s="1620">
        <v>0.97516779220779204</v>
      </c>
      <c r="H155" s="1621">
        <v>100</v>
      </c>
      <c r="I155" s="1621">
        <v>100</v>
      </c>
      <c r="J155" s="1621">
        <v>100</v>
      </c>
      <c r="K155" s="1620">
        <v>1</v>
      </c>
      <c r="L155" s="1620">
        <v>98.5</v>
      </c>
      <c r="M155" s="1620">
        <v>94.399999999999906</v>
      </c>
      <c r="N155" s="1620">
        <v>0</v>
      </c>
      <c r="O155" s="1620">
        <v>19.7</v>
      </c>
      <c r="P155" s="1620">
        <v>0</v>
      </c>
      <c r="Q155" s="1603"/>
      <c r="R155" s="1620">
        <v>75</v>
      </c>
      <c r="S155" s="1620">
        <v>0</v>
      </c>
      <c r="T155" s="1620">
        <v>0</v>
      </c>
      <c r="U155" s="1620">
        <v>0</v>
      </c>
      <c r="V155" s="1620">
        <v>0</v>
      </c>
      <c r="W155" s="1620">
        <v>0</v>
      </c>
      <c r="X155" s="1620"/>
      <c r="Y155" s="1620">
        <v>0</v>
      </c>
      <c r="Z155" s="1620">
        <v>0</v>
      </c>
      <c r="AA155" s="1620">
        <v>0</v>
      </c>
      <c r="AB155" s="1620">
        <v>192</v>
      </c>
      <c r="AC155" s="1620">
        <v>0</v>
      </c>
      <c r="AD155" s="1620">
        <v>0</v>
      </c>
      <c r="AE155" s="1620">
        <v>0</v>
      </c>
      <c r="AF155" s="1620">
        <v>0</v>
      </c>
      <c r="AG155" s="1620">
        <v>0</v>
      </c>
      <c r="AH155" s="1620">
        <v>0</v>
      </c>
      <c r="AI155" s="1620">
        <v>0</v>
      </c>
      <c r="AJ155" s="1620">
        <v>0</v>
      </c>
      <c r="AK155" s="1620">
        <v>0</v>
      </c>
      <c r="AL155" s="1620"/>
      <c r="AM155" s="1620">
        <v>83.474576271186507</v>
      </c>
      <c r="AN155" s="1620">
        <v>0</v>
      </c>
      <c r="AO155" s="1620">
        <v>0</v>
      </c>
      <c r="AP155" s="1620">
        <v>0</v>
      </c>
      <c r="AQ155" s="1620">
        <v>0</v>
      </c>
      <c r="AR155" s="1620">
        <v>0</v>
      </c>
      <c r="AS155" s="1620">
        <v>0</v>
      </c>
      <c r="AT155" s="1620">
        <v>0</v>
      </c>
      <c r="AU155" s="1620">
        <v>0</v>
      </c>
      <c r="AV155" s="1620">
        <v>0</v>
      </c>
      <c r="AW155" s="1620">
        <v>0</v>
      </c>
      <c r="AX155" s="1620"/>
      <c r="AY155" s="1620">
        <v>1</v>
      </c>
      <c r="AZ155" s="1620">
        <v>1</v>
      </c>
      <c r="BA155" s="1620">
        <v>1</v>
      </c>
      <c r="BB155" s="1620">
        <v>1</v>
      </c>
      <c r="BC155" s="1620">
        <v>1</v>
      </c>
      <c r="BD155" s="1620">
        <v>1</v>
      </c>
      <c r="BE155" s="1620">
        <v>1</v>
      </c>
      <c r="BF155" s="1620">
        <v>1</v>
      </c>
      <c r="BG155" s="1620">
        <v>1</v>
      </c>
      <c r="BH155" s="1620">
        <v>1</v>
      </c>
      <c r="BI155" s="1620">
        <v>1</v>
      </c>
      <c r="BJ155" s="1603"/>
      <c r="BK155" s="1620">
        <v>95.83756345177656</v>
      </c>
      <c r="BL155" s="1620">
        <v>0</v>
      </c>
      <c r="BM155" s="1620">
        <v>20</v>
      </c>
      <c r="BN155" s="1620">
        <v>0</v>
      </c>
      <c r="BO155" s="1620"/>
      <c r="BP155" s="1620">
        <v>0</v>
      </c>
      <c r="BQ155" s="1620">
        <v>0</v>
      </c>
      <c r="BR155" s="1620">
        <v>1.0329456756496547</v>
      </c>
      <c r="BS155" s="1620">
        <v>0.99001806315511875</v>
      </c>
      <c r="BT155" s="1603"/>
      <c r="BU155" s="1620">
        <v>800</v>
      </c>
      <c r="BV155" s="1620">
        <v>-72.121827411167516</v>
      </c>
      <c r="BW155" s="1620">
        <v>0</v>
      </c>
      <c r="BX155" s="1620" t="s">
        <v>270</v>
      </c>
      <c r="BY155" s="1620" t="s">
        <v>270</v>
      </c>
      <c r="BZ155" s="1620" t="s">
        <v>270</v>
      </c>
      <c r="CA155" s="1620" t="s">
        <v>270</v>
      </c>
      <c r="CB155" s="1603"/>
      <c r="CC155" s="1603">
        <v>0</v>
      </c>
      <c r="CD155" s="1603">
        <v>0</v>
      </c>
      <c r="CE155" s="1603">
        <v>0</v>
      </c>
      <c r="CF155" s="1603">
        <v>189.12</v>
      </c>
      <c r="CG155" s="1603">
        <v>0</v>
      </c>
      <c r="CH155" s="1603">
        <v>0</v>
      </c>
      <c r="CI155" s="1603">
        <v>0</v>
      </c>
      <c r="CJ155" s="1603"/>
      <c r="CK155" s="1603">
        <v>0</v>
      </c>
      <c r="CL155" s="1603">
        <v>0</v>
      </c>
      <c r="CM155" s="1603">
        <v>0</v>
      </c>
      <c r="CN155" s="1603">
        <v>0</v>
      </c>
      <c r="CO155" s="1603">
        <v>0</v>
      </c>
      <c r="CP155" s="1603">
        <v>0</v>
      </c>
      <c r="CQ155" s="1603">
        <v>708</v>
      </c>
      <c r="CR155" s="1603">
        <v>695.8562708888428</v>
      </c>
      <c r="CS155" s="1603">
        <v>580.86307358094075</v>
      </c>
      <c r="CT155" s="1603">
        <v>0</v>
      </c>
      <c r="CU155" s="1603">
        <v>0</v>
      </c>
      <c r="CV155" s="1603">
        <v>0</v>
      </c>
      <c r="CW155" s="1603">
        <v>0</v>
      </c>
      <c r="CX155" s="1603">
        <v>0</v>
      </c>
      <c r="CY155" s="1603">
        <v>0</v>
      </c>
      <c r="CZ155" s="1603">
        <v>0</v>
      </c>
      <c r="DA155" s="1603">
        <v>0</v>
      </c>
      <c r="DB155" s="1603">
        <v>0</v>
      </c>
      <c r="DC155" s="1603">
        <v>0</v>
      </c>
      <c r="DD155" s="1603">
        <v>0</v>
      </c>
      <c r="DE155" s="1603">
        <v>0</v>
      </c>
      <c r="DF155" s="1603">
        <v>0</v>
      </c>
      <c r="DG155" s="1603">
        <v>0</v>
      </c>
      <c r="DH155" s="1603">
        <v>0</v>
      </c>
      <c r="DI155" s="1603">
        <v>0</v>
      </c>
      <c r="DJ155" s="1603">
        <v>0</v>
      </c>
      <c r="DK155" s="1603">
        <v>0</v>
      </c>
      <c r="DL155" s="1603">
        <v>0</v>
      </c>
      <c r="DM155" s="1603">
        <v>0</v>
      </c>
      <c r="DN155" s="1603">
        <v>0</v>
      </c>
      <c r="DO155" s="1603">
        <v>0</v>
      </c>
      <c r="DP155" s="1603">
        <v>0</v>
      </c>
      <c r="DQ155" s="1603">
        <v>0</v>
      </c>
      <c r="DR155" s="1603">
        <v>0</v>
      </c>
      <c r="DS155" s="1603">
        <v>0</v>
      </c>
      <c r="DT155" s="1603">
        <v>0</v>
      </c>
      <c r="DU155" s="1603">
        <v>0</v>
      </c>
      <c r="DV155" s="1603">
        <v>0</v>
      </c>
      <c r="DW155" s="1618" t="s">
        <v>986</v>
      </c>
      <c r="DX155" s="1605" t="s">
        <v>986</v>
      </c>
      <c r="DY155" s="1605" t="s">
        <v>986</v>
      </c>
      <c r="DZ155" s="1605" t="s">
        <v>986</v>
      </c>
      <c r="EA155" s="1605" t="s">
        <v>986</v>
      </c>
      <c r="EB155" s="1605" t="s">
        <v>986</v>
      </c>
      <c r="EC155" s="1605" t="s">
        <v>986</v>
      </c>
      <c r="ED155" s="1605" t="s">
        <v>986</v>
      </c>
      <c r="EE155" s="1605" t="s">
        <v>986</v>
      </c>
      <c r="EF155" s="1605" t="s">
        <v>986</v>
      </c>
      <c r="EG155" s="1605" t="s">
        <v>986</v>
      </c>
      <c r="EH155" s="1605" t="s">
        <v>986</v>
      </c>
      <c r="EI155" s="1605" t="s">
        <v>986</v>
      </c>
      <c r="EJ155" s="1605" t="s">
        <v>986</v>
      </c>
      <c r="EK155" s="1605" t="s">
        <v>986</v>
      </c>
      <c r="EL155" s="1605" t="s">
        <v>986</v>
      </c>
      <c r="EM155" s="1605" t="s">
        <v>986</v>
      </c>
      <c r="EN155" s="1605" t="s">
        <v>986</v>
      </c>
      <c r="EO155" s="1605" t="s">
        <v>986</v>
      </c>
      <c r="EP155" s="1605" t="s">
        <v>986</v>
      </c>
      <c r="EQ155" s="1605" t="s">
        <v>986</v>
      </c>
      <c r="ER155" s="1605" t="s">
        <v>986</v>
      </c>
      <c r="ES155" s="1605" t="s">
        <v>986</v>
      </c>
      <c r="ET155" s="1605" t="s">
        <v>986</v>
      </c>
      <c r="EU155" s="1605" t="s">
        <v>986</v>
      </c>
      <c r="EV155" s="1605" t="s">
        <v>986</v>
      </c>
      <c r="EW155" s="1605" t="s">
        <v>986</v>
      </c>
      <c r="EX155" s="1605" t="s">
        <v>986</v>
      </c>
      <c r="EY155" s="1605" t="s">
        <v>986</v>
      </c>
      <c r="EZ155" s="1605" t="s">
        <v>986</v>
      </c>
      <c r="FA155" s="1605" t="s">
        <v>986</v>
      </c>
      <c r="FB155" s="1605" t="s">
        <v>986</v>
      </c>
      <c r="FC155" s="1605" t="s">
        <v>986</v>
      </c>
      <c r="FD155" s="1605" t="s">
        <v>986</v>
      </c>
      <c r="FE155" s="1605" t="s">
        <v>986</v>
      </c>
      <c r="FF155" s="1605" t="s">
        <v>986</v>
      </c>
      <c r="FG155" s="1605" t="s">
        <v>986</v>
      </c>
      <c r="FH155" s="1605" t="s">
        <v>986</v>
      </c>
      <c r="FI155" s="1605" t="s">
        <v>986</v>
      </c>
      <c r="FJ155" s="1605" t="s">
        <v>986</v>
      </c>
      <c r="FK155" s="1605" t="s">
        <v>986</v>
      </c>
      <c r="FL155" s="1605" t="s">
        <v>986</v>
      </c>
      <c r="FM155" s="1605" t="s">
        <v>986</v>
      </c>
      <c r="FN155" s="1605" t="s">
        <v>986</v>
      </c>
      <c r="FO155" s="1605" t="s">
        <v>986</v>
      </c>
      <c r="FP155" s="1605" t="s">
        <v>986</v>
      </c>
      <c r="FQ155" s="1605" t="s">
        <v>986</v>
      </c>
      <c r="FR155" s="1605" t="s">
        <v>986</v>
      </c>
      <c r="FS155" s="1605" t="s">
        <v>986</v>
      </c>
      <c r="FT155" s="1605" t="s">
        <v>986</v>
      </c>
      <c r="FU155" s="1605" t="s">
        <v>986</v>
      </c>
      <c r="FV155" s="1605" t="s">
        <v>986</v>
      </c>
      <c r="FW155" s="1605" t="s">
        <v>986</v>
      </c>
      <c r="FX155" s="1605" t="s">
        <v>986</v>
      </c>
      <c r="FY155" s="1605" t="s">
        <v>986</v>
      </c>
      <c r="FZ155" s="1605" t="s">
        <v>986</v>
      </c>
      <c r="GA155" s="1605" t="s">
        <v>986</v>
      </c>
      <c r="GB155" s="1605" t="s">
        <v>986</v>
      </c>
      <c r="GC155" s="1605" t="s">
        <v>986</v>
      </c>
      <c r="GD155" s="1605" t="s">
        <v>986</v>
      </c>
      <c r="GE155" s="1605" t="s">
        <v>986</v>
      </c>
      <c r="GF155" s="1605" t="s">
        <v>986</v>
      </c>
      <c r="GG155" s="1605" t="s">
        <v>986</v>
      </c>
      <c r="GH155" s="1605" t="s">
        <v>986</v>
      </c>
      <c r="GI155" s="1605" t="s">
        <v>986</v>
      </c>
      <c r="GJ155" s="1605" t="s">
        <v>986</v>
      </c>
      <c r="GK155" s="1605" t="s">
        <v>986</v>
      </c>
      <c r="GL155" s="1605" t="s">
        <v>986</v>
      </c>
      <c r="GM155" s="1605" t="s">
        <v>986</v>
      </c>
      <c r="GN155" s="1605" t="s">
        <v>986</v>
      </c>
      <c r="GO155" s="1605" t="s">
        <v>986</v>
      </c>
      <c r="GP155" s="1605" t="s">
        <v>986</v>
      </c>
      <c r="GQ155" s="1605" t="s">
        <v>986</v>
      </c>
      <c r="GR155" s="1605" t="s">
        <v>986</v>
      </c>
      <c r="GS155" s="1605" t="s">
        <v>986</v>
      </c>
      <c r="GT155" s="1605" t="s">
        <v>986</v>
      </c>
      <c r="GU155" s="1605" t="s">
        <v>986</v>
      </c>
      <c r="GV155" s="1605" t="s">
        <v>986</v>
      </c>
      <c r="GW155" s="1605" t="s">
        <v>986</v>
      </c>
      <c r="GX155" s="1605" t="s">
        <v>1583</v>
      </c>
      <c r="GY155" s="1605" t="s">
        <v>986</v>
      </c>
      <c r="GZ155" s="1605" t="s">
        <v>986</v>
      </c>
      <c r="HA155" s="1605" t="s">
        <v>986</v>
      </c>
      <c r="HB155" s="1605" t="s">
        <v>986</v>
      </c>
      <c r="HC155" s="1605" t="s">
        <v>986</v>
      </c>
      <c r="HD155" s="1605" t="s">
        <v>986</v>
      </c>
      <c r="HE155" s="1605" t="s">
        <v>986</v>
      </c>
      <c r="HF155" s="1605" t="s">
        <v>986</v>
      </c>
      <c r="HG155" s="1605" t="s">
        <v>986</v>
      </c>
      <c r="HH155" s="1605" t="s">
        <v>986</v>
      </c>
      <c r="HI155" s="1605" t="s">
        <v>986</v>
      </c>
      <c r="HJ155" s="1605" t="s">
        <v>986</v>
      </c>
      <c r="HK155" s="1605" t="s">
        <v>986</v>
      </c>
      <c r="HL155" s="1605" t="s">
        <v>986</v>
      </c>
      <c r="HM155" s="1605" t="s">
        <v>986</v>
      </c>
      <c r="HN155" s="1605" t="s">
        <v>986</v>
      </c>
      <c r="HO155" s="1605" t="s">
        <v>986</v>
      </c>
      <c r="HP155" s="1605" t="s">
        <v>986</v>
      </c>
      <c r="HQ155" s="1605" t="s">
        <v>986</v>
      </c>
      <c r="HR155" s="1605" t="s">
        <v>986</v>
      </c>
      <c r="HS155" s="1605" t="s">
        <v>986</v>
      </c>
      <c r="HT155" s="1605" t="s">
        <v>986</v>
      </c>
      <c r="HU155" s="1605" t="s">
        <v>986</v>
      </c>
      <c r="HV155" s="1617"/>
      <c r="HW155" s="1617" t="s">
        <v>986</v>
      </c>
      <c r="HX155" s="1617" t="s">
        <v>986</v>
      </c>
      <c r="HY155" s="1617" t="s">
        <v>986</v>
      </c>
      <c r="HZ155" s="1603"/>
      <c r="IA155" s="1603"/>
      <c r="IB155" s="1603"/>
      <c r="IC155" s="1603">
        <v>0</v>
      </c>
      <c r="ID155" s="1603">
        <v>0</v>
      </c>
      <c r="IE155" s="1603">
        <v>0</v>
      </c>
      <c r="IF155" s="1603">
        <v>0</v>
      </c>
      <c r="IG155" s="1611" t="s">
        <v>2932</v>
      </c>
      <c r="IH155" s="1616" t="s">
        <v>270</v>
      </c>
      <c r="II155" s="1615" t="s">
        <v>270</v>
      </c>
      <c r="IJ155" s="1613">
        <v>1.3101818181818183</v>
      </c>
      <c r="IK155" s="1613">
        <v>1.301848484848485</v>
      </c>
      <c r="IL155" s="1614">
        <v>1.3101818181818183</v>
      </c>
      <c r="IM155" s="1614">
        <v>1.301848484848485</v>
      </c>
      <c r="IN155" s="1612" t="s">
        <v>270</v>
      </c>
      <c r="IO155" s="1613" t="s">
        <v>270</v>
      </c>
      <c r="IP155" s="1607" t="s">
        <v>270</v>
      </c>
      <c r="IQ155" s="1612" t="s">
        <v>270</v>
      </c>
      <c r="IR155" s="1612" t="s">
        <v>270</v>
      </c>
      <c r="IS155" s="1607">
        <v>1.1881818181818182</v>
      </c>
      <c r="IT155" s="1607">
        <v>1.1798484848484849</v>
      </c>
      <c r="IU155" s="1611">
        <v>0</v>
      </c>
      <c r="IV155" s="1611">
        <v>7.7767676767676763E-2</v>
      </c>
      <c r="IW155" s="1611">
        <v>9.0909090909090909E-4</v>
      </c>
      <c r="IX155" s="1611">
        <v>1.6060606060606061E-3</v>
      </c>
      <c r="IY155" s="1611">
        <v>9.6969696969696957E-4</v>
      </c>
      <c r="IZ155" s="1611">
        <v>5.9898989898989896E-3</v>
      </c>
      <c r="JA155" s="1611">
        <v>6.0606060606060598E-5</v>
      </c>
      <c r="JB155" s="1611" t="s">
        <v>270</v>
      </c>
      <c r="JC155" s="1611">
        <v>9.9026969696969704</v>
      </c>
      <c r="JD155" s="1611">
        <v>5.2121212121212122E-3</v>
      </c>
      <c r="JE155" s="1611" t="s">
        <v>270</v>
      </c>
      <c r="JF155" s="1611">
        <v>8.2828282828282835E-4</v>
      </c>
      <c r="JG155" s="1611">
        <v>0.57978787878787885</v>
      </c>
      <c r="JH155" s="1611">
        <v>7.646464646464647E-3</v>
      </c>
      <c r="JI155" s="1611">
        <v>0.3</v>
      </c>
      <c r="JJ155" s="1611" t="s">
        <v>270</v>
      </c>
      <c r="JK155" s="1607">
        <f t="shared" si="11"/>
        <v>0.12200000000000011</v>
      </c>
      <c r="JL155" s="1608" t="s">
        <v>270</v>
      </c>
      <c r="JM155" s="1610" t="s">
        <v>2924</v>
      </c>
      <c r="JN155" s="1608">
        <v>8.3333333333333037E-3</v>
      </c>
      <c r="JO155" s="1609" t="s">
        <v>2931</v>
      </c>
      <c r="JP155" s="1608" t="s">
        <v>270</v>
      </c>
      <c r="JQ155" s="1607">
        <v>202103</v>
      </c>
      <c r="JR155" s="1606">
        <v>851</v>
      </c>
      <c r="JS155" s="1606">
        <v>774</v>
      </c>
      <c r="JT155" s="1606">
        <v>774</v>
      </c>
    </row>
    <row r="156" spans="1:280" ht="15" customHeight="1" x14ac:dyDescent="0.2">
      <c r="A156" s="1626">
        <v>99500</v>
      </c>
      <c r="B156" s="1625">
        <v>995</v>
      </c>
      <c r="C156" s="1624">
        <v>0</v>
      </c>
      <c r="D156" s="1623" t="s">
        <v>3374</v>
      </c>
      <c r="E156" s="1622">
        <v>43031</v>
      </c>
      <c r="F156" s="1620">
        <v>1.0174514905149099</v>
      </c>
      <c r="G156" s="1620">
        <v>0.97516779220779204</v>
      </c>
      <c r="H156" s="1621">
        <v>100</v>
      </c>
      <c r="I156" s="1621">
        <v>100</v>
      </c>
      <c r="J156" s="1621">
        <v>100</v>
      </c>
      <c r="K156" s="1620">
        <v>1</v>
      </c>
      <c r="L156" s="1620">
        <v>98.5</v>
      </c>
      <c r="M156" s="1620">
        <v>94.399999999999906</v>
      </c>
      <c r="N156" s="1620">
        <v>0</v>
      </c>
      <c r="O156" s="1620">
        <v>19.7</v>
      </c>
      <c r="P156" s="1620">
        <v>0</v>
      </c>
      <c r="Q156" s="1603"/>
      <c r="R156" s="1620">
        <v>100</v>
      </c>
      <c r="S156" s="1620">
        <v>0</v>
      </c>
      <c r="T156" s="1620">
        <v>0</v>
      </c>
      <c r="U156" s="1620">
        <v>0</v>
      </c>
      <c r="V156" s="1620">
        <v>0</v>
      </c>
      <c r="W156" s="1620">
        <v>0</v>
      </c>
      <c r="X156" s="1620"/>
      <c r="Y156" s="1620">
        <v>0</v>
      </c>
      <c r="Z156" s="1620">
        <v>0</v>
      </c>
      <c r="AA156" s="1620">
        <v>0</v>
      </c>
      <c r="AB156" s="1620">
        <v>192</v>
      </c>
      <c r="AC156" s="1620">
        <v>0</v>
      </c>
      <c r="AD156" s="1620">
        <v>0</v>
      </c>
      <c r="AE156" s="1620">
        <v>0</v>
      </c>
      <c r="AF156" s="1620">
        <v>0</v>
      </c>
      <c r="AG156" s="1620">
        <v>0</v>
      </c>
      <c r="AH156" s="1620">
        <v>0</v>
      </c>
      <c r="AI156" s="1620">
        <v>0</v>
      </c>
      <c r="AJ156" s="1620">
        <v>0</v>
      </c>
      <c r="AK156" s="1620">
        <v>0</v>
      </c>
      <c r="AL156" s="1620"/>
      <c r="AM156" s="1620">
        <v>83.474576271186507</v>
      </c>
      <c r="AN156" s="1620">
        <v>0</v>
      </c>
      <c r="AO156" s="1620">
        <v>0</v>
      </c>
      <c r="AP156" s="1620">
        <v>0</v>
      </c>
      <c r="AQ156" s="1620">
        <v>0</v>
      </c>
      <c r="AR156" s="1620">
        <v>0</v>
      </c>
      <c r="AS156" s="1620">
        <v>0</v>
      </c>
      <c r="AT156" s="1620">
        <v>0</v>
      </c>
      <c r="AU156" s="1620">
        <v>0</v>
      </c>
      <c r="AV156" s="1620">
        <v>0</v>
      </c>
      <c r="AW156" s="1620">
        <v>0</v>
      </c>
      <c r="AX156" s="1620"/>
      <c r="AY156" s="1620">
        <v>1</v>
      </c>
      <c r="AZ156" s="1620">
        <v>1</v>
      </c>
      <c r="BA156" s="1620">
        <v>1</v>
      </c>
      <c r="BB156" s="1620">
        <v>1</v>
      </c>
      <c r="BC156" s="1620">
        <v>1</v>
      </c>
      <c r="BD156" s="1620">
        <v>1</v>
      </c>
      <c r="BE156" s="1620">
        <v>1</v>
      </c>
      <c r="BF156" s="1620">
        <v>1</v>
      </c>
      <c r="BG156" s="1620">
        <v>1</v>
      </c>
      <c r="BH156" s="1620">
        <v>1</v>
      </c>
      <c r="BI156" s="1620">
        <v>1</v>
      </c>
      <c r="BJ156" s="1603"/>
      <c r="BK156" s="1620">
        <v>95.83756345177656</v>
      </c>
      <c r="BL156" s="1620">
        <v>0</v>
      </c>
      <c r="BM156" s="1620">
        <v>20</v>
      </c>
      <c r="BN156" s="1620">
        <v>0</v>
      </c>
      <c r="BO156" s="1620"/>
      <c r="BP156" s="1620">
        <v>0</v>
      </c>
      <c r="BQ156" s="1620">
        <v>0</v>
      </c>
      <c r="BR156" s="1620">
        <v>1.0329456756496547</v>
      </c>
      <c r="BS156" s="1620">
        <v>0.99001806315511875</v>
      </c>
      <c r="BT156" s="1603"/>
      <c r="BU156" s="1620">
        <v>800</v>
      </c>
      <c r="BV156" s="1620">
        <v>-72.121827411167516</v>
      </c>
      <c r="BW156" s="1620">
        <v>0</v>
      </c>
      <c r="BX156" s="1620" t="s">
        <v>270</v>
      </c>
      <c r="BY156" s="1620" t="s">
        <v>270</v>
      </c>
      <c r="BZ156" s="1620" t="s">
        <v>270</v>
      </c>
      <c r="CA156" s="1620" t="s">
        <v>270</v>
      </c>
      <c r="CB156" s="1603"/>
      <c r="CC156" s="1603">
        <v>0</v>
      </c>
      <c r="CD156" s="1603">
        <v>0</v>
      </c>
      <c r="CE156" s="1603">
        <v>0</v>
      </c>
      <c r="CF156" s="1603">
        <v>189.12</v>
      </c>
      <c r="CG156" s="1603">
        <v>0</v>
      </c>
      <c r="CH156" s="1603">
        <v>0</v>
      </c>
      <c r="CI156" s="1603">
        <v>0</v>
      </c>
      <c r="CJ156" s="1603"/>
      <c r="CK156" s="1603">
        <v>0</v>
      </c>
      <c r="CL156" s="1603">
        <v>0</v>
      </c>
      <c r="CM156" s="1603">
        <v>0</v>
      </c>
      <c r="CN156" s="1603">
        <v>0</v>
      </c>
      <c r="CO156" s="1603">
        <v>0</v>
      </c>
      <c r="CP156" s="1603">
        <v>0</v>
      </c>
      <c r="CQ156" s="1603">
        <v>943.99999999999898</v>
      </c>
      <c r="CR156" s="1603">
        <v>927.80836118512275</v>
      </c>
      <c r="CS156" s="1603">
        <v>774.48409810792111</v>
      </c>
      <c r="CT156" s="1603">
        <v>0</v>
      </c>
      <c r="CU156" s="1603">
        <v>0</v>
      </c>
      <c r="CV156" s="1603">
        <v>0</v>
      </c>
      <c r="CW156" s="1603">
        <v>0</v>
      </c>
      <c r="CX156" s="1603">
        <v>0</v>
      </c>
      <c r="CY156" s="1603">
        <v>0</v>
      </c>
      <c r="CZ156" s="1603">
        <v>0</v>
      </c>
      <c r="DA156" s="1603">
        <v>0</v>
      </c>
      <c r="DB156" s="1603">
        <v>0</v>
      </c>
      <c r="DC156" s="1603">
        <v>0</v>
      </c>
      <c r="DD156" s="1603">
        <v>0</v>
      </c>
      <c r="DE156" s="1603">
        <v>0</v>
      </c>
      <c r="DF156" s="1603">
        <v>0</v>
      </c>
      <c r="DG156" s="1603">
        <v>0</v>
      </c>
      <c r="DH156" s="1603">
        <v>0</v>
      </c>
      <c r="DI156" s="1603">
        <v>0</v>
      </c>
      <c r="DJ156" s="1603">
        <v>0</v>
      </c>
      <c r="DK156" s="1603">
        <v>0</v>
      </c>
      <c r="DL156" s="1603">
        <v>0</v>
      </c>
      <c r="DM156" s="1603">
        <v>0</v>
      </c>
      <c r="DN156" s="1603">
        <v>0</v>
      </c>
      <c r="DO156" s="1603">
        <v>0</v>
      </c>
      <c r="DP156" s="1603">
        <v>0</v>
      </c>
      <c r="DQ156" s="1603">
        <v>0</v>
      </c>
      <c r="DR156" s="1603">
        <v>0</v>
      </c>
      <c r="DS156" s="1603">
        <v>0</v>
      </c>
      <c r="DT156" s="1603">
        <v>0</v>
      </c>
      <c r="DU156" s="1603">
        <v>0</v>
      </c>
      <c r="DV156" s="1603">
        <v>0</v>
      </c>
      <c r="DW156" s="1618" t="s">
        <v>986</v>
      </c>
      <c r="DX156" s="1605" t="s">
        <v>986</v>
      </c>
      <c r="DY156" s="1605" t="s">
        <v>986</v>
      </c>
      <c r="DZ156" s="1605" t="s">
        <v>986</v>
      </c>
      <c r="EA156" s="1605" t="s">
        <v>986</v>
      </c>
      <c r="EB156" s="1605" t="s">
        <v>986</v>
      </c>
      <c r="EC156" s="1605" t="s">
        <v>986</v>
      </c>
      <c r="ED156" s="1605" t="s">
        <v>986</v>
      </c>
      <c r="EE156" s="1605" t="s">
        <v>986</v>
      </c>
      <c r="EF156" s="1605" t="s">
        <v>986</v>
      </c>
      <c r="EG156" s="1605" t="s">
        <v>986</v>
      </c>
      <c r="EH156" s="1605" t="s">
        <v>986</v>
      </c>
      <c r="EI156" s="1605" t="s">
        <v>986</v>
      </c>
      <c r="EJ156" s="1605" t="s">
        <v>986</v>
      </c>
      <c r="EK156" s="1605" t="s">
        <v>986</v>
      </c>
      <c r="EL156" s="1605" t="s">
        <v>986</v>
      </c>
      <c r="EM156" s="1605" t="s">
        <v>986</v>
      </c>
      <c r="EN156" s="1605" t="s">
        <v>986</v>
      </c>
      <c r="EO156" s="1605" t="s">
        <v>986</v>
      </c>
      <c r="EP156" s="1605" t="s">
        <v>986</v>
      </c>
      <c r="EQ156" s="1605" t="s">
        <v>986</v>
      </c>
      <c r="ER156" s="1605" t="s">
        <v>986</v>
      </c>
      <c r="ES156" s="1605" t="s">
        <v>986</v>
      </c>
      <c r="ET156" s="1605" t="s">
        <v>986</v>
      </c>
      <c r="EU156" s="1605" t="s">
        <v>986</v>
      </c>
      <c r="EV156" s="1605" t="s">
        <v>986</v>
      </c>
      <c r="EW156" s="1605" t="s">
        <v>986</v>
      </c>
      <c r="EX156" s="1605" t="s">
        <v>986</v>
      </c>
      <c r="EY156" s="1605" t="s">
        <v>986</v>
      </c>
      <c r="EZ156" s="1605" t="s">
        <v>986</v>
      </c>
      <c r="FA156" s="1605" t="s">
        <v>986</v>
      </c>
      <c r="FB156" s="1605" t="s">
        <v>986</v>
      </c>
      <c r="FC156" s="1605" t="s">
        <v>986</v>
      </c>
      <c r="FD156" s="1605" t="s">
        <v>986</v>
      </c>
      <c r="FE156" s="1605" t="s">
        <v>986</v>
      </c>
      <c r="FF156" s="1605" t="s">
        <v>986</v>
      </c>
      <c r="FG156" s="1605" t="s">
        <v>986</v>
      </c>
      <c r="FH156" s="1605" t="s">
        <v>986</v>
      </c>
      <c r="FI156" s="1605" t="s">
        <v>986</v>
      </c>
      <c r="FJ156" s="1605" t="s">
        <v>986</v>
      </c>
      <c r="FK156" s="1605" t="s">
        <v>986</v>
      </c>
      <c r="FL156" s="1605" t="s">
        <v>986</v>
      </c>
      <c r="FM156" s="1605" t="s">
        <v>986</v>
      </c>
      <c r="FN156" s="1605" t="s">
        <v>986</v>
      </c>
      <c r="FO156" s="1605" t="s">
        <v>986</v>
      </c>
      <c r="FP156" s="1605" t="s">
        <v>986</v>
      </c>
      <c r="FQ156" s="1605" t="s">
        <v>986</v>
      </c>
      <c r="FR156" s="1605" t="s">
        <v>986</v>
      </c>
      <c r="FS156" s="1605" t="s">
        <v>986</v>
      </c>
      <c r="FT156" s="1605" t="s">
        <v>986</v>
      </c>
      <c r="FU156" s="1605" t="s">
        <v>986</v>
      </c>
      <c r="FV156" s="1605" t="s">
        <v>986</v>
      </c>
      <c r="FW156" s="1605" t="s">
        <v>986</v>
      </c>
      <c r="FX156" s="1605" t="s">
        <v>986</v>
      </c>
      <c r="FY156" s="1605" t="s">
        <v>986</v>
      </c>
      <c r="FZ156" s="1605" t="s">
        <v>986</v>
      </c>
      <c r="GA156" s="1605" t="s">
        <v>986</v>
      </c>
      <c r="GB156" s="1605" t="s">
        <v>986</v>
      </c>
      <c r="GC156" s="1605" t="s">
        <v>986</v>
      </c>
      <c r="GD156" s="1605" t="s">
        <v>986</v>
      </c>
      <c r="GE156" s="1605" t="s">
        <v>986</v>
      </c>
      <c r="GF156" s="1605" t="s">
        <v>986</v>
      </c>
      <c r="GG156" s="1605" t="s">
        <v>986</v>
      </c>
      <c r="GH156" s="1605" t="s">
        <v>986</v>
      </c>
      <c r="GI156" s="1605" t="s">
        <v>986</v>
      </c>
      <c r="GJ156" s="1605" t="s">
        <v>986</v>
      </c>
      <c r="GK156" s="1605" t="s">
        <v>986</v>
      </c>
      <c r="GL156" s="1605" t="s">
        <v>986</v>
      </c>
      <c r="GM156" s="1605" t="s">
        <v>986</v>
      </c>
      <c r="GN156" s="1605" t="s">
        <v>986</v>
      </c>
      <c r="GO156" s="1605" t="s">
        <v>986</v>
      </c>
      <c r="GP156" s="1605" t="s">
        <v>986</v>
      </c>
      <c r="GQ156" s="1605" t="s">
        <v>986</v>
      </c>
      <c r="GR156" s="1605" t="s">
        <v>986</v>
      </c>
      <c r="GS156" s="1605" t="s">
        <v>986</v>
      </c>
      <c r="GT156" s="1605" t="s">
        <v>986</v>
      </c>
      <c r="GU156" s="1605" t="s">
        <v>986</v>
      </c>
      <c r="GV156" s="1605" t="s">
        <v>986</v>
      </c>
      <c r="GW156" s="1605" t="s">
        <v>986</v>
      </c>
      <c r="GX156" s="1605" t="s">
        <v>1583</v>
      </c>
      <c r="GY156" s="1605" t="s">
        <v>986</v>
      </c>
      <c r="GZ156" s="1605" t="s">
        <v>986</v>
      </c>
      <c r="HA156" s="1605" t="s">
        <v>986</v>
      </c>
      <c r="HB156" s="1605" t="s">
        <v>986</v>
      </c>
      <c r="HC156" s="1605" t="s">
        <v>986</v>
      </c>
      <c r="HD156" s="1605" t="s">
        <v>986</v>
      </c>
      <c r="HE156" s="1605" t="s">
        <v>986</v>
      </c>
      <c r="HF156" s="1605" t="s">
        <v>986</v>
      </c>
      <c r="HG156" s="1605" t="s">
        <v>986</v>
      </c>
      <c r="HH156" s="1605" t="s">
        <v>986</v>
      </c>
      <c r="HI156" s="1605" t="s">
        <v>986</v>
      </c>
      <c r="HJ156" s="1605" t="s">
        <v>986</v>
      </c>
      <c r="HK156" s="1605" t="s">
        <v>986</v>
      </c>
      <c r="HL156" s="1605" t="s">
        <v>986</v>
      </c>
      <c r="HM156" s="1605" t="s">
        <v>986</v>
      </c>
      <c r="HN156" s="1605" t="s">
        <v>986</v>
      </c>
      <c r="HO156" s="1605" t="s">
        <v>986</v>
      </c>
      <c r="HP156" s="1605" t="s">
        <v>986</v>
      </c>
      <c r="HQ156" s="1605" t="s">
        <v>986</v>
      </c>
      <c r="HR156" s="1605" t="s">
        <v>986</v>
      </c>
      <c r="HS156" s="1605" t="s">
        <v>986</v>
      </c>
      <c r="HT156" s="1605" t="s">
        <v>986</v>
      </c>
      <c r="HU156" s="1605" t="s">
        <v>986</v>
      </c>
      <c r="HV156" s="1617"/>
      <c r="HW156" s="1617" t="s">
        <v>986</v>
      </c>
      <c r="HX156" s="1617" t="s">
        <v>986</v>
      </c>
      <c r="HY156" s="1617" t="s">
        <v>986</v>
      </c>
      <c r="HZ156" s="1603"/>
      <c r="IA156" s="1603"/>
      <c r="IB156" s="1603"/>
      <c r="IC156" s="1603">
        <v>0</v>
      </c>
      <c r="ID156" s="1603">
        <v>0</v>
      </c>
      <c r="IE156" s="1603">
        <v>0</v>
      </c>
      <c r="IF156" s="1603">
        <v>0</v>
      </c>
      <c r="IG156" s="1611" t="s">
        <v>2932</v>
      </c>
      <c r="IH156" s="1616" t="s">
        <v>270</v>
      </c>
      <c r="II156" s="1615" t="s">
        <v>270</v>
      </c>
      <c r="IJ156" s="1613">
        <v>1.3101818181818183</v>
      </c>
      <c r="IK156" s="1613">
        <v>1.301848484848485</v>
      </c>
      <c r="IL156" s="1614">
        <v>1.3101818181818183</v>
      </c>
      <c r="IM156" s="1614">
        <v>1.301848484848485</v>
      </c>
      <c r="IN156" s="1612" t="s">
        <v>270</v>
      </c>
      <c r="IO156" s="1613" t="s">
        <v>270</v>
      </c>
      <c r="IP156" s="1607" t="s">
        <v>270</v>
      </c>
      <c r="IQ156" s="1612" t="s">
        <v>270</v>
      </c>
      <c r="IR156" s="1612" t="s">
        <v>270</v>
      </c>
      <c r="IS156" s="1607">
        <v>1.1881818181818182</v>
      </c>
      <c r="IT156" s="1607">
        <v>1.1798484848484849</v>
      </c>
      <c r="IU156" s="1611">
        <v>0</v>
      </c>
      <c r="IV156" s="1611">
        <v>7.7767676767676763E-2</v>
      </c>
      <c r="IW156" s="1611">
        <v>9.0909090909090909E-4</v>
      </c>
      <c r="IX156" s="1611">
        <v>1.6060606060606061E-3</v>
      </c>
      <c r="IY156" s="1611">
        <v>9.6969696969696957E-4</v>
      </c>
      <c r="IZ156" s="1611">
        <v>5.9898989898989896E-3</v>
      </c>
      <c r="JA156" s="1611">
        <v>6.0606060606060598E-5</v>
      </c>
      <c r="JB156" s="1611" t="s">
        <v>270</v>
      </c>
      <c r="JC156" s="1611">
        <v>9.9026969696969704</v>
      </c>
      <c r="JD156" s="1611">
        <v>5.2121212121212122E-3</v>
      </c>
      <c r="JE156" s="1611" t="s">
        <v>270</v>
      </c>
      <c r="JF156" s="1611">
        <v>8.2828282828282835E-4</v>
      </c>
      <c r="JG156" s="1611">
        <v>0.57978787878787885</v>
      </c>
      <c r="JH156" s="1611">
        <v>7.646464646464647E-3</v>
      </c>
      <c r="JI156" s="1611">
        <v>0.3</v>
      </c>
      <c r="JJ156" s="1611" t="s">
        <v>270</v>
      </c>
      <c r="JK156" s="1607">
        <f t="shared" si="11"/>
        <v>0.12200000000000011</v>
      </c>
      <c r="JL156" s="1608" t="s">
        <v>270</v>
      </c>
      <c r="JM156" s="1610" t="s">
        <v>2924</v>
      </c>
      <c r="JN156" s="1608">
        <v>8.3333333333333037E-3</v>
      </c>
      <c r="JO156" s="1609" t="s">
        <v>2931</v>
      </c>
      <c r="JP156" s="1608" t="s">
        <v>270</v>
      </c>
      <c r="JQ156" s="1607">
        <v>202103</v>
      </c>
      <c r="JR156" s="1606">
        <v>851</v>
      </c>
      <c r="JS156" s="1606">
        <v>774</v>
      </c>
      <c r="JT156" s="1606">
        <v>774</v>
      </c>
    </row>
    <row r="157" spans="1:280" ht="15" customHeight="1" x14ac:dyDescent="0.2">
      <c r="A157" s="1626">
        <v>99512</v>
      </c>
      <c r="B157" s="1625">
        <v>995</v>
      </c>
      <c r="C157" s="1624">
        <v>12</v>
      </c>
      <c r="D157" s="1623" t="s">
        <v>3373</v>
      </c>
      <c r="E157" s="1622">
        <v>43370</v>
      </c>
      <c r="F157" s="1620">
        <v>1.0138184281842799</v>
      </c>
      <c r="G157" s="1620">
        <v>0.97168571428571504</v>
      </c>
      <c r="H157" s="1621">
        <v>100</v>
      </c>
      <c r="I157" s="1621">
        <v>100</v>
      </c>
      <c r="J157" s="1621">
        <v>100</v>
      </c>
      <c r="K157" s="1620">
        <v>1</v>
      </c>
      <c r="L157" s="1620">
        <v>96</v>
      </c>
      <c r="M157" s="1620">
        <v>82</v>
      </c>
      <c r="N157" s="1620">
        <v>0</v>
      </c>
      <c r="O157" s="1620">
        <v>19.2</v>
      </c>
      <c r="P157" s="1620">
        <v>0</v>
      </c>
      <c r="Q157" s="1603"/>
      <c r="R157" s="1620">
        <v>50</v>
      </c>
      <c r="S157" s="1620">
        <v>50</v>
      </c>
      <c r="T157" s="1620">
        <v>50</v>
      </c>
      <c r="U157" s="1620">
        <v>50</v>
      </c>
      <c r="V157" s="1620">
        <v>50</v>
      </c>
      <c r="W157" s="1620">
        <v>50</v>
      </c>
      <c r="X157" s="1620"/>
      <c r="Y157" s="1620">
        <v>0</v>
      </c>
      <c r="Z157" s="1620">
        <v>1.875</v>
      </c>
      <c r="AA157" s="1620">
        <v>3.2291666666666665</v>
      </c>
      <c r="AB157" s="1620">
        <v>0</v>
      </c>
      <c r="AC157" s="1620">
        <v>0</v>
      </c>
      <c r="AD157" s="1620">
        <v>0</v>
      </c>
      <c r="AE157" s="1620">
        <v>0</v>
      </c>
      <c r="AF157" s="1620">
        <v>0</v>
      </c>
      <c r="AG157" s="1620">
        <v>0</v>
      </c>
      <c r="AH157" s="1620">
        <v>0</v>
      </c>
      <c r="AI157" s="1620">
        <v>0</v>
      </c>
      <c r="AJ157" s="1620">
        <v>0</v>
      </c>
      <c r="AK157" s="1620">
        <v>0</v>
      </c>
      <c r="AL157" s="1620"/>
      <c r="AM157" s="1620">
        <v>67.853658536585399</v>
      </c>
      <c r="AN157" s="1620">
        <v>0.146341463414634</v>
      </c>
      <c r="AO157" s="1620">
        <v>0.109756097560976</v>
      </c>
      <c r="AP157" s="1620">
        <v>0.39024390243902402</v>
      </c>
      <c r="AQ157" s="1620">
        <v>0.15853658536585399</v>
      </c>
      <c r="AR157" s="1620">
        <v>0.40243902439024398</v>
      </c>
      <c r="AS157" s="1620">
        <v>0.53658536585365901</v>
      </c>
      <c r="AT157" s="1620">
        <v>0</v>
      </c>
      <c r="AU157" s="1620">
        <v>0</v>
      </c>
      <c r="AV157" s="1620">
        <v>0</v>
      </c>
      <c r="AW157" s="1620">
        <v>0.51219512195121997</v>
      </c>
      <c r="AX157" s="1620"/>
      <c r="AY157" s="1620">
        <v>1</v>
      </c>
      <c r="AZ157" s="1620">
        <v>0.85</v>
      </c>
      <c r="BA157" s="1620">
        <v>0.85</v>
      </c>
      <c r="BB157" s="1620">
        <v>0.85</v>
      </c>
      <c r="BC157" s="1620">
        <v>0.85</v>
      </c>
      <c r="BD157" s="1620">
        <v>0.85</v>
      </c>
      <c r="BE157" s="1620">
        <v>0.85</v>
      </c>
      <c r="BF157" s="1620">
        <v>0.85</v>
      </c>
      <c r="BG157" s="1620">
        <v>0.85</v>
      </c>
      <c r="BH157" s="1620">
        <v>0.85</v>
      </c>
      <c r="BI157" s="1620">
        <v>0.85</v>
      </c>
      <c r="BJ157" s="1603"/>
      <c r="BK157" s="1620">
        <v>85.416666666666671</v>
      </c>
      <c r="BL157" s="1620">
        <v>0</v>
      </c>
      <c r="BM157" s="1620">
        <v>20</v>
      </c>
      <c r="BN157" s="1620">
        <v>0</v>
      </c>
      <c r="BO157" s="1620"/>
      <c r="BP157" s="1620">
        <v>0</v>
      </c>
      <c r="BQ157" s="1620">
        <v>0</v>
      </c>
      <c r="BR157" s="1620">
        <v>1.0560608626919583</v>
      </c>
      <c r="BS157" s="1620">
        <v>1.0121726190476199</v>
      </c>
      <c r="BT157" s="1603"/>
      <c r="BU157" s="1620">
        <v>800</v>
      </c>
      <c r="BV157" s="1620">
        <v>22.708333333333439</v>
      </c>
      <c r="BW157" s="1620">
        <v>0</v>
      </c>
      <c r="BX157" s="1620" t="s">
        <v>270</v>
      </c>
      <c r="BY157" s="1620" t="s">
        <v>270</v>
      </c>
      <c r="BZ157" s="1620" t="s">
        <v>270</v>
      </c>
      <c r="CA157" s="1620" t="s">
        <v>270</v>
      </c>
      <c r="CB157" s="1603"/>
      <c r="CC157" s="1603">
        <v>0</v>
      </c>
      <c r="CD157" s="1603">
        <v>1.7999999999999998</v>
      </c>
      <c r="CE157" s="1603">
        <v>3.0999999999999996</v>
      </c>
      <c r="CF157" s="1603">
        <v>0</v>
      </c>
      <c r="CG157" s="1603">
        <v>0</v>
      </c>
      <c r="CH157" s="1603">
        <v>0</v>
      </c>
      <c r="CI157" s="1603">
        <v>0</v>
      </c>
      <c r="CJ157" s="1603"/>
      <c r="CK157" s="1603">
        <v>0</v>
      </c>
      <c r="CL157" s="1603">
        <v>0</v>
      </c>
      <c r="CM157" s="1603">
        <v>0</v>
      </c>
      <c r="CN157" s="1603">
        <v>0</v>
      </c>
      <c r="CO157" s="1603">
        <v>0</v>
      </c>
      <c r="CP157" s="1603">
        <v>0</v>
      </c>
      <c r="CQ157" s="1603">
        <v>410</v>
      </c>
      <c r="CR157" s="1603">
        <v>404.41166643054453</v>
      </c>
      <c r="CS157" s="1603">
        <v>274.40811122189632</v>
      </c>
      <c r="CT157" s="1603">
        <v>0.50304865824287248</v>
      </c>
      <c r="CU157" s="1603">
        <v>0.37728649368215633</v>
      </c>
      <c r="CV157" s="1603">
        <v>0.88033515192502776</v>
      </c>
      <c r="CW157" s="1603">
        <v>1.3414630886476602</v>
      </c>
      <c r="CX157" s="1603">
        <v>0.54496937976311288</v>
      </c>
      <c r="CY157" s="1603">
        <v>1.3833838101678995</v>
      </c>
      <c r="CZ157" s="1603">
        <v>1.8445117468905325</v>
      </c>
      <c r="DA157" s="1603">
        <v>0</v>
      </c>
      <c r="DB157" s="1603">
        <v>0</v>
      </c>
      <c r="DC157" s="1603">
        <v>0</v>
      </c>
      <c r="DD157" s="1603">
        <v>0</v>
      </c>
      <c r="DE157" s="1603">
        <v>1.7606703038500537</v>
      </c>
      <c r="DF157" s="1603">
        <v>0</v>
      </c>
      <c r="DG157" s="1603">
        <v>0</v>
      </c>
      <c r="DH157" s="1603">
        <v>0</v>
      </c>
      <c r="DI157" s="1603">
        <v>0</v>
      </c>
      <c r="DJ157" s="1603">
        <v>0</v>
      </c>
      <c r="DK157" s="1603">
        <v>0</v>
      </c>
      <c r="DL157" s="1603">
        <v>0</v>
      </c>
      <c r="DM157" s="1603">
        <v>0</v>
      </c>
      <c r="DN157" s="1603">
        <v>0</v>
      </c>
      <c r="DO157" s="1603">
        <v>0</v>
      </c>
      <c r="DP157" s="1603">
        <v>0</v>
      </c>
      <c r="DQ157" s="1603">
        <v>0</v>
      </c>
      <c r="DR157" s="1603">
        <v>0</v>
      </c>
      <c r="DS157" s="1603">
        <v>0</v>
      </c>
      <c r="DT157" s="1603">
        <v>0</v>
      </c>
      <c r="DU157" s="1603">
        <v>0</v>
      </c>
      <c r="DV157" s="1603">
        <v>0</v>
      </c>
      <c r="DW157" s="1618" t="s">
        <v>986</v>
      </c>
      <c r="DX157" s="1605" t="s">
        <v>986</v>
      </c>
      <c r="DY157" s="1605" t="s">
        <v>986</v>
      </c>
      <c r="DZ157" s="1605" t="s">
        <v>986</v>
      </c>
      <c r="EA157" s="1605" t="s">
        <v>986</v>
      </c>
      <c r="EB157" s="1605" t="s">
        <v>986</v>
      </c>
      <c r="EC157" s="1605" t="s">
        <v>986</v>
      </c>
      <c r="ED157" s="1605" t="s">
        <v>986</v>
      </c>
      <c r="EE157" s="1605" t="s">
        <v>986</v>
      </c>
      <c r="EF157" s="1605" t="s">
        <v>986</v>
      </c>
      <c r="EG157" s="1605" t="s">
        <v>986</v>
      </c>
      <c r="EH157" s="1605" t="s">
        <v>986</v>
      </c>
      <c r="EI157" s="1605" t="s">
        <v>986</v>
      </c>
      <c r="EJ157" s="1605" t="s">
        <v>986</v>
      </c>
      <c r="EK157" s="1605" t="s">
        <v>986</v>
      </c>
      <c r="EL157" s="1605" t="s">
        <v>986</v>
      </c>
      <c r="EM157" s="1605" t="s">
        <v>986</v>
      </c>
      <c r="EN157" s="1605" t="s">
        <v>986</v>
      </c>
      <c r="EO157" s="1605" t="s">
        <v>986</v>
      </c>
      <c r="EP157" s="1605" t="s">
        <v>986</v>
      </c>
      <c r="EQ157" s="1605" t="s">
        <v>986</v>
      </c>
      <c r="ER157" s="1605" t="s">
        <v>986</v>
      </c>
      <c r="ES157" s="1605" t="s">
        <v>986</v>
      </c>
      <c r="ET157" s="1605" t="s">
        <v>986</v>
      </c>
      <c r="EU157" s="1605" t="s">
        <v>986</v>
      </c>
      <c r="EV157" s="1605" t="s">
        <v>986</v>
      </c>
      <c r="EW157" s="1605" t="s">
        <v>986</v>
      </c>
      <c r="EX157" s="1605" t="s">
        <v>986</v>
      </c>
      <c r="EY157" s="1605" t="s">
        <v>986</v>
      </c>
      <c r="EZ157" s="1605" t="s">
        <v>986</v>
      </c>
      <c r="FA157" s="1605" t="s">
        <v>986</v>
      </c>
      <c r="FB157" s="1605" t="s">
        <v>986</v>
      </c>
      <c r="FC157" s="1605" t="s">
        <v>986</v>
      </c>
      <c r="FD157" s="1605" t="s">
        <v>986</v>
      </c>
      <c r="FE157" s="1605" t="s">
        <v>986</v>
      </c>
      <c r="FF157" s="1605" t="s">
        <v>986</v>
      </c>
      <c r="FG157" s="1605" t="s">
        <v>986</v>
      </c>
      <c r="FH157" s="1605" t="s">
        <v>986</v>
      </c>
      <c r="FI157" s="1605" t="s">
        <v>986</v>
      </c>
      <c r="FJ157" s="1605" t="s">
        <v>986</v>
      </c>
      <c r="FK157" s="1605" t="s">
        <v>986</v>
      </c>
      <c r="FL157" s="1605" t="s">
        <v>986</v>
      </c>
      <c r="FM157" s="1605" t="s">
        <v>986</v>
      </c>
      <c r="FN157" s="1605" t="s">
        <v>986</v>
      </c>
      <c r="FO157" s="1605" t="s">
        <v>986</v>
      </c>
      <c r="FP157" s="1605" t="s">
        <v>986</v>
      </c>
      <c r="FQ157" s="1605" t="s">
        <v>986</v>
      </c>
      <c r="FR157" s="1605" t="s">
        <v>986</v>
      </c>
      <c r="FS157" s="1605" t="s">
        <v>986</v>
      </c>
      <c r="FT157" s="1605" t="s">
        <v>986</v>
      </c>
      <c r="FU157" s="1605" t="s">
        <v>986</v>
      </c>
      <c r="FV157" s="1605" t="s">
        <v>986</v>
      </c>
      <c r="FW157" s="1605" t="s">
        <v>986</v>
      </c>
      <c r="FX157" s="1605" t="s">
        <v>986</v>
      </c>
      <c r="FY157" s="1605" t="s">
        <v>986</v>
      </c>
      <c r="FZ157" s="1605" t="s">
        <v>986</v>
      </c>
      <c r="GA157" s="1605" t="s">
        <v>986</v>
      </c>
      <c r="GB157" s="1605" t="s">
        <v>986</v>
      </c>
      <c r="GC157" s="1605" t="s">
        <v>986</v>
      </c>
      <c r="GD157" s="1605" t="s">
        <v>986</v>
      </c>
      <c r="GE157" s="1605" t="s">
        <v>986</v>
      </c>
      <c r="GF157" s="1605" t="s">
        <v>986</v>
      </c>
      <c r="GG157" s="1605" t="s">
        <v>986</v>
      </c>
      <c r="GH157" s="1605" t="s">
        <v>986</v>
      </c>
      <c r="GI157" s="1605" t="s">
        <v>986</v>
      </c>
      <c r="GJ157" s="1605" t="s">
        <v>986</v>
      </c>
      <c r="GK157" s="1605" t="s">
        <v>986</v>
      </c>
      <c r="GL157" s="1605" t="s">
        <v>986</v>
      </c>
      <c r="GM157" s="1605" t="s">
        <v>986</v>
      </c>
      <c r="GN157" s="1605" t="s">
        <v>986</v>
      </c>
      <c r="GO157" s="1605" t="s">
        <v>986</v>
      </c>
      <c r="GP157" s="1605" t="s">
        <v>986</v>
      </c>
      <c r="GQ157" s="1605" t="s">
        <v>986</v>
      </c>
      <c r="GR157" s="1605" t="s">
        <v>986</v>
      </c>
      <c r="GS157" s="1605" t="s">
        <v>986</v>
      </c>
      <c r="GT157" s="1605" t="s">
        <v>986</v>
      </c>
      <c r="GU157" s="1605" t="s">
        <v>986</v>
      </c>
      <c r="GV157" s="1605" t="s">
        <v>986</v>
      </c>
      <c r="GW157" s="1605" t="s">
        <v>986</v>
      </c>
      <c r="GX157" s="1605" t="s">
        <v>986</v>
      </c>
      <c r="GY157" s="1605" t="s">
        <v>986</v>
      </c>
      <c r="GZ157" s="1605" t="s">
        <v>986</v>
      </c>
      <c r="HA157" s="1605" t="s">
        <v>986</v>
      </c>
      <c r="HB157" s="1605" t="s">
        <v>986</v>
      </c>
      <c r="HC157" s="1605" t="s">
        <v>986</v>
      </c>
      <c r="HD157" s="1605" t="s">
        <v>986</v>
      </c>
      <c r="HE157" s="1605" t="s">
        <v>986</v>
      </c>
      <c r="HF157" s="1605" t="s">
        <v>986</v>
      </c>
      <c r="HG157" s="1605" t="s">
        <v>986</v>
      </c>
      <c r="HH157" s="1605" t="s">
        <v>986</v>
      </c>
      <c r="HI157" s="1605" t="s">
        <v>986</v>
      </c>
      <c r="HJ157" s="1605" t="s">
        <v>986</v>
      </c>
      <c r="HK157" s="1605" t="s">
        <v>986</v>
      </c>
      <c r="HL157" s="1605" t="s">
        <v>986</v>
      </c>
      <c r="HM157" s="1605" t="s">
        <v>986</v>
      </c>
      <c r="HN157" s="1605" t="s">
        <v>986</v>
      </c>
      <c r="HO157" s="1605" t="s">
        <v>986</v>
      </c>
      <c r="HP157" s="1605" t="s">
        <v>986</v>
      </c>
      <c r="HQ157" s="1605" t="s">
        <v>986</v>
      </c>
      <c r="HR157" s="1605" t="s">
        <v>986</v>
      </c>
      <c r="HS157" s="1605" t="s">
        <v>986</v>
      </c>
      <c r="HT157" s="1605" t="s">
        <v>986</v>
      </c>
      <c r="HU157" s="1605" t="s">
        <v>986</v>
      </c>
      <c r="HV157" s="1617"/>
      <c r="HW157" s="1617" t="s">
        <v>986</v>
      </c>
      <c r="HX157" s="1617" t="s">
        <v>986</v>
      </c>
      <c r="HY157" s="1617" t="s">
        <v>986</v>
      </c>
      <c r="HZ157" s="1603"/>
      <c r="IA157" s="1603"/>
      <c r="IB157" s="1603"/>
      <c r="IC157" s="1603">
        <v>50</v>
      </c>
      <c r="ID157" s="1603">
        <v>50</v>
      </c>
      <c r="IE157" s="1603">
        <v>50</v>
      </c>
      <c r="IF157" s="1603">
        <v>50</v>
      </c>
      <c r="IG157" s="1611" t="s">
        <v>2932</v>
      </c>
      <c r="IH157" s="1616" t="s">
        <v>270</v>
      </c>
      <c r="II157" s="1615" t="s">
        <v>270</v>
      </c>
      <c r="IJ157" s="1613">
        <v>1.3101818181818183</v>
      </c>
      <c r="IK157" s="1613">
        <v>1.301848484848485</v>
      </c>
      <c r="IL157" s="1614">
        <v>1.3101818181818183</v>
      </c>
      <c r="IM157" s="1614">
        <v>1.301848484848485</v>
      </c>
      <c r="IN157" s="1612" t="s">
        <v>270</v>
      </c>
      <c r="IO157" s="1613" t="s">
        <v>270</v>
      </c>
      <c r="IP157" s="1607" t="s">
        <v>270</v>
      </c>
      <c r="IQ157" s="1612" t="s">
        <v>270</v>
      </c>
      <c r="IR157" s="1612" t="s">
        <v>270</v>
      </c>
      <c r="IS157" s="1607">
        <v>1.1881818181818182</v>
      </c>
      <c r="IT157" s="1607">
        <v>1.1798484848484849</v>
      </c>
      <c r="IU157" s="1611">
        <v>0</v>
      </c>
      <c r="IV157" s="1611">
        <v>7.7767676767676763E-2</v>
      </c>
      <c r="IW157" s="1611">
        <v>9.0909090909090909E-4</v>
      </c>
      <c r="IX157" s="1611">
        <v>1.6060606060606061E-3</v>
      </c>
      <c r="IY157" s="1611">
        <v>9.6969696969696957E-4</v>
      </c>
      <c r="IZ157" s="1611">
        <v>5.9898989898989896E-3</v>
      </c>
      <c r="JA157" s="1611">
        <v>6.0606060606060598E-5</v>
      </c>
      <c r="JB157" s="1611" t="s">
        <v>270</v>
      </c>
      <c r="JC157" s="1611">
        <v>9.9026969696969704</v>
      </c>
      <c r="JD157" s="1611">
        <v>5.2121212121212122E-3</v>
      </c>
      <c r="JE157" s="1611" t="s">
        <v>270</v>
      </c>
      <c r="JF157" s="1611">
        <v>8.2828282828282835E-4</v>
      </c>
      <c r="JG157" s="1611">
        <v>0.57978787878787885</v>
      </c>
      <c r="JH157" s="1611">
        <v>7.646464646464647E-3</v>
      </c>
      <c r="JI157" s="1611">
        <v>0.3</v>
      </c>
      <c r="JJ157" s="1611" t="s">
        <v>270</v>
      </c>
      <c r="JK157" s="1607">
        <f t="shared" si="11"/>
        <v>0.12200000000000011</v>
      </c>
      <c r="JL157" s="1608" t="s">
        <v>270</v>
      </c>
      <c r="JM157" s="1610" t="s">
        <v>2924</v>
      </c>
      <c r="JN157" s="1608">
        <v>8.3333333333333037E-3</v>
      </c>
      <c r="JO157" s="1609" t="s">
        <v>2931</v>
      </c>
      <c r="JP157" s="1608" t="s">
        <v>270</v>
      </c>
      <c r="JQ157" s="1607">
        <v>202103</v>
      </c>
      <c r="JR157" s="1606">
        <v>851</v>
      </c>
      <c r="JS157" s="1606">
        <v>774</v>
      </c>
      <c r="JT157" s="1606">
        <v>774</v>
      </c>
    </row>
    <row r="158" spans="1:280" ht="15" customHeight="1" x14ac:dyDescent="0.2">
      <c r="A158" s="1626">
        <v>99511</v>
      </c>
      <c r="B158" s="1625">
        <v>995</v>
      </c>
      <c r="C158" s="1624">
        <v>11</v>
      </c>
      <c r="D158" s="1623" t="s">
        <v>3372</v>
      </c>
      <c r="E158" s="1622">
        <v>43031</v>
      </c>
      <c r="F158" s="1620">
        <v>1.0138184281842799</v>
      </c>
      <c r="G158" s="1620">
        <v>0.97168571428571504</v>
      </c>
      <c r="H158" s="1621">
        <v>100</v>
      </c>
      <c r="I158" s="1621">
        <v>100</v>
      </c>
      <c r="J158" s="1621">
        <v>100</v>
      </c>
      <c r="K158" s="1620">
        <v>1</v>
      </c>
      <c r="L158" s="1620">
        <v>96</v>
      </c>
      <c r="M158" s="1620">
        <v>82</v>
      </c>
      <c r="N158" s="1620">
        <v>0</v>
      </c>
      <c r="O158" s="1620">
        <v>19.2</v>
      </c>
      <c r="P158" s="1620">
        <v>0</v>
      </c>
      <c r="Q158" s="1603"/>
      <c r="R158" s="1620">
        <v>75</v>
      </c>
      <c r="S158" s="1620">
        <v>50</v>
      </c>
      <c r="T158" s="1620">
        <v>50</v>
      </c>
      <c r="U158" s="1620">
        <v>50</v>
      </c>
      <c r="V158" s="1620">
        <v>50</v>
      </c>
      <c r="W158" s="1620">
        <v>50</v>
      </c>
      <c r="X158" s="1620"/>
      <c r="Y158" s="1620">
        <v>0</v>
      </c>
      <c r="Z158" s="1620">
        <v>1.875</v>
      </c>
      <c r="AA158" s="1620">
        <v>3.2291666666666665</v>
      </c>
      <c r="AB158" s="1620">
        <v>0</v>
      </c>
      <c r="AC158" s="1620">
        <v>0</v>
      </c>
      <c r="AD158" s="1620">
        <v>0</v>
      </c>
      <c r="AE158" s="1620">
        <v>0</v>
      </c>
      <c r="AF158" s="1620">
        <v>0</v>
      </c>
      <c r="AG158" s="1620">
        <v>0</v>
      </c>
      <c r="AH158" s="1620">
        <v>0</v>
      </c>
      <c r="AI158" s="1620">
        <v>0</v>
      </c>
      <c r="AJ158" s="1620">
        <v>0</v>
      </c>
      <c r="AK158" s="1620">
        <v>0</v>
      </c>
      <c r="AL158" s="1620"/>
      <c r="AM158" s="1620">
        <v>67.853658536585399</v>
      </c>
      <c r="AN158" s="1620">
        <v>0.146341463414634</v>
      </c>
      <c r="AO158" s="1620">
        <v>0.109756097560976</v>
      </c>
      <c r="AP158" s="1620">
        <v>0.39024390243902402</v>
      </c>
      <c r="AQ158" s="1620">
        <v>0.15853658536585399</v>
      </c>
      <c r="AR158" s="1620">
        <v>0.40243902439024398</v>
      </c>
      <c r="AS158" s="1620">
        <v>0.53658536585365901</v>
      </c>
      <c r="AT158" s="1620">
        <v>0</v>
      </c>
      <c r="AU158" s="1620">
        <v>0</v>
      </c>
      <c r="AV158" s="1620">
        <v>0</v>
      </c>
      <c r="AW158" s="1620">
        <v>0.51219512195121997</v>
      </c>
      <c r="AX158" s="1620"/>
      <c r="AY158" s="1620">
        <v>1</v>
      </c>
      <c r="AZ158" s="1620">
        <v>0.85</v>
      </c>
      <c r="BA158" s="1620">
        <v>0.85</v>
      </c>
      <c r="BB158" s="1620">
        <v>0.85</v>
      </c>
      <c r="BC158" s="1620">
        <v>0.85</v>
      </c>
      <c r="BD158" s="1620">
        <v>0.85</v>
      </c>
      <c r="BE158" s="1620">
        <v>0.85</v>
      </c>
      <c r="BF158" s="1620">
        <v>0.85</v>
      </c>
      <c r="BG158" s="1620">
        <v>0.85</v>
      </c>
      <c r="BH158" s="1620">
        <v>0.85</v>
      </c>
      <c r="BI158" s="1620">
        <v>0.85</v>
      </c>
      <c r="BJ158" s="1603"/>
      <c r="BK158" s="1620">
        <v>85.416666666666671</v>
      </c>
      <c r="BL158" s="1620">
        <v>0</v>
      </c>
      <c r="BM158" s="1620">
        <v>20</v>
      </c>
      <c r="BN158" s="1620">
        <v>0</v>
      </c>
      <c r="BO158" s="1620"/>
      <c r="BP158" s="1620">
        <v>0</v>
      </c>
      <c r="BQ158" s="1620">
        <v>0</v>
      </c>
      <c r="BR158" s="1620">
        <v>1.0560608626919583</v>
      </c>
      <c r="BS158" s="1620">
        <v>1.0121726190476199</v>
      </c>
      <c r="BT158" s="1603"/>
      <c r="BU158" s="1620">
        <v>800</v>
      </c>
      <c r="BV158" s="1620">
        <v>22.708333333333439</v>
      </c>
      <c r="BW158" s="1620">
        <v>0</v>
      </c>
      <c r="BX158" s="1620" t="s">
        <v>270</v>
      </c>
      <c r="BY158" s="1620" t="s">
        <v>270</v>
      </c>
      <c r="BZ158" s="1620" t="s">
        <v>270</v>
      </c>
      <c r="CA158" s="1620" t="s">
        <v>270</v>
      </c>
      <c r="CB158" s="1603"/>
      <c r="CC158" s="1603">
        <v>0</v>
      </c>
      <c r="CD158" s="1603">
        <v>1.7999999999999998</v>
      </c>
      <c r="CE158" s="1603">
        <v>3.0999999999999996</v>
      </c>
      <c r="CF158" s="1603">
        <v>0</v>
      </c>
      <c r="CG158" s="1603">
        <v>0</v>
      </c>
      <c r="CH158" s="1603">
        <v>0</v>
      </c>
      <c r="CI158" s="1603">
        <v>0</v>
      </c>
      <c r="CJ158" s="1603"/>
      <c r="CK158" s="1603">
        <v>0</v>
      </c>
      <c r="CL158" s="1603">
        <v>0</v>
      </c>
      <c r="CM158" s="1603">
        <v>0</v>
      </c>
      <c r="CN158" s="1603">
        <v>0</v>
      </c>
      <c r="CO158" s="1603">
        <v>0</v>
      </c>
      <c r="CP158" s="1603">
        <v>0</v>
      </c>
      <c r="CQ158" s="1603">
        <v>615</v>
      </c>
      <c r="CR158" s="1603">
        <v>606.61749964581679</v>
      </c>
      <c r="CS158" s="1603">
        <v>411.61216683284545</v>
      </c>
      <c r="CT158" s="1603">
        <v>0.75457298736430878</v>
      </c>
      <c r="CU158" s="1603">
        <v>0.56592974052323353</v>
      </c>
      <c r="CV158" s="1603">
        <v>1.3205027278875403</v>
      </c>
      <c r="CW158" s="1603">
        <v>2.0121946329714899</v>
      </c>
      <c r="CX158" s="1603">
        <v>0.81745406964467071</v>
      </c>
      <c r="CY158" s="1603">
        <v>2.0750757152518591</v>
      </c>
      <c r="CZ158" s="1603">
        <v>2.7667676203358087</v>
      </c>
      <c r="DA158" s="1603">
        <v>0</v>
      </c>
      <c r="DB158" s="1603">
        <v>0</v>
      </c>
      <c r="DC158" s="1603">
        <v>0</v>
      </c>
      <c r="DD158" s="1603">
        <v>0</v>
      </c>
      <c r="DE158" s="1603">
        <v>2.6410054557750904</v>
      </c>
      <c r="DF158" s="1603">
        <v>0</v>
      </c>
      <c r="DG158" s="1603">
        <v>0</v>
      </c>
      <c r="DH158" s="1603">
        <v>0</v>
      </c>
      <c r="DI158" s="1603">
        <v>0</v>
      </c>
      <c r="DJ158" s="1603">
        <v>0</v>
      </c>
      <c r="DK158" s="1603">
        <v>0</v>
      </c>
      <c r="DL158" s="1603">
        <v>0</v>
      </c>
      <c r="DM158" s="1603">
        <v>0</v>
      </c>
      <c r="DN158" s="1603">
        <v>0</v>
      </c>
      <c r="DO158" s="1603">
        <v>0</v>
      </c>
      <c r="DP158" s="1603">
        <v>0</v>
      </c>
      <c r="DQ158" s="1603">
        <v>0</v>
      </c>
      <c r="DR158" s="1603">
        <v>0</v>
      </c>
      <c r="DS158" s="1603">
        <v>0</v>
      </c>
      <c r="DT158" s="1603">
        <v>0</v>
      </c>
      <c r="DU158" s="1603">
        <v>0</v>
      </c>
      <c r="DV158" s="1603">
        <v>0</v>
      </c>
      <c r="DW158" s="1618" t="s">
        <v>986</v>
      </c>
      <c r="DX158" s="1605" t="s">
        <v>986</v>
      </c>
      <c r="DY158" s="1605" t="s">
        <v>986</v>
      </c>
      <c r="DZ158" s="1605" t="s">
        <v>986</v>
      </c>
      <c r="EA158" s="1605" t="s">
        <v>986</v>
      </c>
      <c r="EB158" s="1605" t="s">
        <v>986</v>
      </c>
      <c r="EC158" s="1605" t="s">
        <v>986</v>
      </c>
      <c r="ED158" s="1605" t="s">
        <v>986</v>
      </c>
      <c r="EE158" s="1605" t="s">
        <v>986</v>
      </c>
      <c r="EF158" s="1605" t="s">
        <v>986</v>
      </c>
      <c r="EG158" s="1605" t="s">
        <v>986</v>
      </c>
      <c r="EH158" s="1605" t="s">
        <v>986</v>
      </c>
      <c r="EI158" s="1605" t="s">
        <v>986</v>
      </c>
      <c r="EJ158" s="1605" t="s">
        <v>986</v>
      </c>
      <c r="EK158" s="1605" t="s">
        <v>986</v>
      </c>
      <c r="EL158" s="1605" t="s">
        <v>986</v>
      </c>
      <c r="EM158" s="1605" t="s">
        <v>986</v>
      </c>
      <c r="EN158" s="1605" t="s">
        <v>986</v>
      </c>
      <c r="EO158" s="1605" t="s">
        <v>986</v>
      </c>
      <c r="EP158" s="1605" t="s">
        <v>986</v>
      </c>
      <c r="EQ158" s="1605" t="s">
        <v>986</v>
      </c>
      <c r="ER158" s="1605" t="s">
        <v>986</v>
      </c>
      <c r="ES158" s="1605" t="s">
        <v>986</v>
      </c>
      <c r="ET158" s="1605" t="s">
        <v>986</v>
      </c>
      <c r="EU158" s="1605" t="s">
        <v>986</v>
      </c>
      <c r="EV158" s="1605" t="s">
        <v>986</v>
      </c>
      <c r="EW158" s="1605" t="s">
        <v>986</v>
      </c>
      <c r="EX158" s="1605" t="s">
        <v>986</v>
      </c>
      <c r="EY158" s="1605" t="s">
        <v>986</v>
      </c>
      <c r="EZ158" s="1605" t="s">
        <v>986</v>
      </c>
      <c r="FA158" s="1605" t="s">
        <v>986</v>
      </c>
      <c r="FB158" s="1605" t="s">
        <v>986</v>
      </c>
      <c r="FC158" s="1605" t="s">
        <v>986</v>
      </c>
      <c r="FD158" s="1605" t="s">
        <v>986</v>
      </c>
      <c r="FE158" s="1605" t="s">
        <v>986</v>
      </c>
      <c r="FF158" s="1605" t="s">
        <v>986</v>
      </c>
      <c r="FG158" s="1605" t="s">
        <v>986</v>
      </c>
      <c r="FH158" s="1605" t="s">
        <v>986</v>
      </c>
      <c r="FI158" s="1605" t="s">
        <v>986</v>
      </c>
      <c r="FJ158" s="1605" t="s">
        <v>986</v>
      </c>
      <c r="FK158" s="1605" t="s">
        <v>986</v>
      </c>
      <c r="FL158" s="1605" t="s">
        <v>986</v>
      </c>
      <c r="FM158" s="1605" t="s">
        <v>986</v>
      </c>
      <c r="FN158" s="1605" t="s">
        <v>986</v>
      </c>
      <c r="FO158" s="1605" t="s">
        <v>986</v>
      </c>
      <c r="FP158" s="1605" t="s">
        <v>986</v>
      </c>
      <c r="FQ158" s="1605" t="s">
        <v>986</v>
      </c>
      <c r="FR158" s="1605" t="s">
        <v>986</v>
      </c>
      <c r="FS158" s="1605" t="s">
        <v>986</v>
      </c>
      <c r="FT158" s="1605" t="s">
        <v>986</v>
      </c>
      <c r="FU158" s="1605" t="s">
        <v>986</v>
      </c>
      <c r="FV158" s="1605" t="s">
        <v>986</v>
      </c>
      <c r="FW158" s="1605" t="s">
        <v>986</v>
      </c>
      <c r="FX158" s="1605" t="s">
        <v>986</v>
      </c>
      <c r="FY158" s="1605" t="s">
        <v>986</v>
      </c>
      <c r="FZ158" s="1605" t="s">
        <v>986</v>
      </c>
      <c r="GA158" s="1605" t="s">
        <v>986</v>
      </c>
      <c r="GB158" s="1605" t="s">
        <v>986</v>
      </c>
      <c r="GC158" s="1605" t="s">
        <v>986</v>
      </c>
      <c r="GD158" s="1605" t="s">
        <v>986</v>
      </c>
      <c r="GE158" s="1605" t="s">
        <v>986</v>
      </c>
      <c r="GF158" s="1605" t="s">
        <v>986</v>
      </c>
      <c r="GG158" s="1605" t="s">
        <v>986</v>
      </c>
      <c r="GH158" s="1605" t="s">
        <v>986</v>
      </c>
      <c r="GI158" s="1605" t="s">
        <v>986</v>
      </c>
      <c r="GJ158" s="1605" t="s">
        <v>986</v>
      </c>
      <c r="GK158" s="1605" t="s">
        <v>986</v>
      </c>
      <c r="GL158" s="1605" t="s">
        <v>986</v>
      </c>
      <c r="GM158" s="1605" t="s">
        <v>986</v>
      </c>
      <c r="GN158" s="1605" t="s">
        <v>986</v>
      </c>
      <c r="GO158" s="1605" t="s">
        <v>986</v>
      </c>
      <c r="GP158" s="1605" t="s">
        <v>986</v>
      </c>
      <c r="GQ158" s="1605" t="s">
        <v>986</v>
      </c>
      <c r="GR158" s="1605" t="s">
        <v>986</v>
      </c>
      <c r="GS158" s="1605" t="s">
        <v>986</v>
      </c>
      <c r="GT158" s="1605" t="s">
        <v>986</v>
      </c>
      <c r="GU158" s="1605" t="s">
        <v>986</v>
      </c>
      <c r="GV158" s="1605" t="s">
        <v>986</v>
      </c>
      <c r="GW158" s="1605" t="s">
        <v>986</v>
      </c>
      <c r="GX158" s="1605" t="s">
        <v>986</v>
      </c>
      <c r="GY158" s="1605" t="s">
        <v>986</v>
      </c>
      <c r="GZ158" s="1605" t="s">
        <v>986</v>
      </c>
      <c r="HA158" s="1605" t="s">
        <v>986</v>
      </c>
      <c r="HB158" s="1605" t="s">
        <v>986</v>
      </c>
      <c r="HC158" s="1605" t="s">
        <v>986</v>
      </c>
      <c r="HD158" s="1605" t="s">
        <v>986</v>
      </c>
      <c r="HE158" s="1605" t="s">
        <v>986</v>
      </c>
      <c r="HF158" s="1605" t="s">
        <v>986</v>
      </c>
      <c r="HG158" s="1605" t="s">
        <v>986</v>
      </c>
      <c r="HH158" s="1605" t="s">
        <v>986</v>
      </c>
      <c r="HI158" s="1605" t="s">
        <v>986</v>
      </c>
      <c r="HJ158" s="1605" t="s">
        <v>986</v>
      </c>
      <c r="HK158" s="1605" t="s">
        <v>986</v>
      </c>
      <c r="HL158" s="1605" t="s">
        <v>986</v>
      </c>
      <c r="HM158" s="1605" t="s">
        <v>986</v>
      </c>
      <c r="HN158" s="1605" t="s">
        <v>986</v>
      </c>
      <c r="HO158" s="1605" t="s">
        <v>986</v>
      </c>
      <c r="HP158" s="1605" t="s">
        <v>986</v>
      </c>
      <c r="HQ158" s="1605" t="s">
        <v>986</v>
      </c>
      <c r="HR158" s="1605" t="s">
        <v>986</v>
      </c>
      <c r="HS158" s="1605" t="s">
        <v>986</v>
      </c>
      <c r="HT158" s="1605" t="s">
        <v>986</v>
      </c>
      <c r="HU158" s="1605" t="s">
        <v>986</v>
      </c>
      <c r="HV158" s="1617"/>
      <c r="HW158" s="1617" t="s">
        <v>986</v>
      </c>
      <c r="HX158" s="1617" t="s">
        <v>986</v>
      </c>
      <c r="HY158" s="1617" t="s">
        <v>986</v>
      </c>
      <c r="HZ158" s="1603"/>
      <c r="IA158" s="1603"/>
      <c r="IB158" s="1603"/>
      <c r="IC158" s="1603">
        <v>50</v>
      </c>
      <c r="ID158" s="1603">
        <v>50</v>
      </c>
      <c r="IE158" s="1603">
        <v>50</v>
      </c>
      <c r="IF158" s="1603">
        <v>50</v>
      </c>
      <c r="IG158" s="1611" t="s">
        <v>2932</v>
      </c>
      <c r="IH158" s="1616" t="s">
        <v>270</v>
      </c>
      <c r="II158" s="1615" t="s">
        <v>270</v>
      </c>
      <c r="IJ158" s="1613">
        <v>1.3101818181818183</v>
      </c>
      <c r="IK158" s="1613">
        <v>1.301848484848485</v>
      </c>
      <c r="IL158" s="1614">
        <v>1.3101818181818183</v>
      </c>
      <c r="IM158" s="1614">
        <v>1.301848484848485</v>
      </c>
      <c r="IN158" s="1612" t="s">
        <v>270</v>
      </c>
      <c r="IO158" s="1613" t="s">
        <v>270</v>
      </c>
      <c r="IP158" s="1607" t="s">
        <v>270</v>
      </c>
      <c r="IQ158" s="1612" t="s">
        <v>270</v>
      </c>
      <c r="IR158" s="1612" t="s">
        <v>270</v>
      </c>
      <c r="IS158" s="1607">
        <v>1.1881818181818182</v>
      </c>
      <c r="IT158" s="1607">
        <v>1.1798484848484849</v>
      </c>
      <c r="IU158" s="1611">
        <v>0</v>
      </c>
      <c r="IV158" s="1611">
        <v>7.7767676767676763E-2</v>
      </c>
      <c r="IW158" s="1611">
        <v>9.0909090909090909E-4</v>
      </c>
      <c r="IX158" s="1611">
        <v>1.6060606060606061E-3</v>
      </c>
      <c r="IY158" s="1611">
        <v>9.6969696969696957E-4</v>
      </c>
      <c r="IZ158" s="1611">
        <v>5.9898989898989896E-3</v>
      </c>
      <c r="JA158" s="1611">
        <v>6.0606060606060598E-5</v>
      </c>
      <c r="JB158" s="1611" t="s">
        <v>270</v>
      </c>
      <c r="JC158" s="1611">
        <v>9.9026969696969704</v>
      </c>
      <c r="JD158" s="1611">
        <v>5.2121212121212122E-3</v>
      </c>
      <c r="JE158" s="1611" t="s">
        <v>270</v>
      </c>
      <c r="JF158" s="1611">
        <v>8.2828282828282835E-4</v>
      </c>
      <c r="JG158" s="1611">
        <v>0.57978787878787885</v>
      </c>
      <c r="JH158" s="1611">
        <v>7.646464646464647E-3</v>
      </c>
      <c r="JI158" s="1611">
        <v>0.3</v>
      </c>
      <c r="JJ158" s="1611" t="s">
        <v>270</v>
      </c>
      <c r="JK158" s="1607">
        <f t="shared" si="11"/>
        <v>0.12200000000000011</v>
      </c>
      <c r="JL158" s="1608" t="s">
        <v>270</v>
      </c>
      <c r="JM158" s="1610" t="s">
        <v>2924</v>
      </c>
      <c r="JN158" s="1608">
        <v>8.3333333333333037E-3</v>
      </c>
      <c r="JO158" s="1609" t="s">
        <v>2931</v>
      </c>
      <c r="JP158" s="1608" t="s">
        <v>270</v>
      </c>
      <c r="JQ158" s="1607">
        <v>202103</v>
      </c>
      <c r="JR158" s="1606">
        <v>851</v>
      </c>
      <c r="JS158" s="1606">
        <v>774</v>
      </c>
      <c r="JT158" s="1606">
        <v>774</v>
      </c>
    </row>
    <row r="159" spans="1:280" ht="15" customHeight="1" x14ac:dyDescent="0.2">
      <c r="A159" s="1626">
        <v>99510</v>
      </c>
      <c r="B159" s="1625">
        <v>995</v>
      </c>
      <c r="C159" s="1624">
        <v>10</v>
      </c>
      <c r="D159" s="1623" t="s">
        <v>3371</v>
      </c>
      <c r="E159" s="1622">
        <v>43031</v>
      </c>
      <c r="F159" s="1620">
        <v>1.0138184281842799</v>
      </c>
      <c r="G159" s="1620">
        <v>0.97168571428571504</v>
      </c>
      <c r="H159" s="1621">
        <v>100</v>
      </c>
      <c r="I159" s="1621">
        <v>100</v>
      </c>
      <c r="J159" s="1621">
        <v>100</v>
      </c>
      <c r="K159" s="1620">
        <v>1</v>
      </c>
      <c r="L159" s="1620">
        <v>96</v>
      </c>
      <c r="M159" s="1620">
        <v>82</v>
      </c>
      <c r="N159" s="1620">
        <v>0</v>
      </c>
      <c r="O159" s="1620">
        <v>19.2</v>
      </c>
      <c r="P159" s="1620">
        <v>0</v>
      </c>
      <c r="Q159" s="1603"/>
      <c r="R159" s="1620">
        <v>100</v>
      </c>
      <c r="S159" s="1620">
        <v>50</v>
      </c>
      <c r="T159" s="1620">
        <v>50</v>
      </c>
      <c r="U159" s="1620">
        <v>50</v>
      </c>
      <c r="V159" s="1620">
        <v>50</v>
      </c>
      <c r="W159" s="1620">
        <v>50</v>
      </c>
      <c r="X159" s="1620"/>
      <c r="Y159" s="1620">
        <v>0</v>
      </c>
      <c r="Z159" s="1620">
        <v>1.875</v>
      </c>
      <c r="AA159" s="1620">
        <v>3.2291666666666665</v>
      </c>
      <c r="AB159" s="1620">
        <v>0</v>
      </c>
      <c r="AC159" s="1620">
        <v>0</v>
      </c>
      <c r="AD159" s="1620">
        <v>0</v>
      </c>
      <c r="AE159" s="1620">
        <v>0</v>
      </c>
      <c r="AF159" s="1620">
        <v>0</v>
      </c>
      <c r="AG159" s="1620">
        <v>0</v>
      </c>
      <c r="AH159" s="1620">
        <v>0</v>
      </c>
      <c r="AI159" s="1620">
        <v>0</v>
      </c>
      <c r="AJ159" s="1620">
        <v>0</v>
      </c>
      <c r="AK159" s="1620">
        <v>0</v>
      </c>
      <c r="AL159" s="1620"/>
      <c r="AM159" s="1620">
        <v>67.853658536585399</v>
      </c>
      <c r="AN159" s="1620">
        <v>0.146341463414634</v>
      </c>
      <c r="AO159" s="1620">
        <v>0.109756097560976</v>
      </c>
      <c r="AP159" s="1620">
        <v>0.39024390243902402</v>
      </c>
      <c r="AQ159" s="1620">
        <v>0.15853658536585399</v>
      </c>
      <c r="AR159" s="1620">
        <v>0.40243902439024398</v>
      </c>
      <c r="AS159" s="1620">
        <v>0.53658536585365901</v>
      </c>
      <c r="AT159" s="1620">
        <v>0</v>
      </c>
      <c r="AU159" s="1620">
        <v>0</v>
      </c>
      <c r="AV159" s="1620">
        <v>0</v>
      </c>
      <c r="AW159" s="1620">
        <v>0.51219512195121997</v>
      </c>
      <c r="AX159" s="1620"/>
      <c r="AY159" s="1620">
        <v>1</v>
      </c>
      <c r="AZ159" s="1620">
        <v>0.85</v>
      </c>
      <c r="BA159" s="1620">
        <v>0.85</v>
      </c>
      <c r="BB159" s="1620">
        <v>0.85</v>
      </c>
      <c r="BC159" s="1620">
        <v>0.85</v>
      </c>
      <c r="BD159" s="1620">
        <v>0.85</v>
      </c>
      <c r="BE159" s="1620">
        <v>0.85</v>
      </c>
      <c r="BF159" s="1620">
        <v>0.85</v>
      </c>
      <c r="BG159" s="1620">
        <v>0.85</v>
      </c>
      <c r="BH159" s="1620">
        <v>0.85</v>
      </c>
      <c r="BI159" s="1620">
        <v>0.85</v>
      </c>
      <c r="BJ159" s="1603"/>
      <c r="BK159" s="1620">
        <v>85.416666666666671</v>
      </c>
      <c r="BL159" s="1620">
        <v>0</v>
      </c>
      <c r="BM159" s="1620">
        <v>20</v>
      </c>
      <c r="BN159" s="1620">
        <v>0</v>
      </c>
      <c r="BO159" s="1620"/>
      <c r="BP159" s="1620">
        <v>0</v>
      </c>
      <c r="BQ159" s="1620">
        <v>0</v>
      </c>
      <c r="BR159" s="1620">
        <v>1.0560608626919583</v>
      </c>
      <c r="BS159" s="1620">
        <v>1.0121726190476199</v>
      </c>
      <c r="BT159" s="1603"/>
      <c r="BU159" s="1620">
        <v>800</v>
      </c>
      <c r="BV159" s="1620">
        <v>22.708333333333439</v>
      </c>
      <c r="BW159" s="1620">
        <v>0</v>
      </c>
      <c r="BX159" s="1620" t="s">
        <v>270</v>
      </c>
      <c r="BY159" s="1620" t="s">
        <v>270</v>
      </c>
      <c r="BZ159" s="1620" t="s">
        <v>270</v>
      </c>
      <c r="CA159" s="1620" t="s">
        <v>270</v>
      </c>
      <c r="CB159" s="1603"/>
      <c r="CC159" s="1603">
        <v>0</v>
      </c>
      <c r="CD159" s="1603">
        <v>1.7999999999999998</v>
      </c>
      <c r="CE159" s="1603">
        <v>3.0999999999999996</v>
      </c>
      <c r="CF159" s="1603">
        <v>0</v>
      </c>
      <c r="CG159" s="1603">
        <v>0</v>
      </c>
      <c r="CH159" s="1603">
        <v>0</v>
      </c>
      <c r="CI159" s="1603">
        <v>0</v>
      </c>
      <c r="CJ159" s="1603"/>
      <c r="CK159" s="1603">
        <v>0</v>
      </c>
      <c r="CL159" s="1603">
        <v>0</v>
      </c>
      <c r="CM159" s="1603">
        <v>0</v>
      </c>
      <c r="CN159" s="1603">
        <v>0</v>
      </c>
      <c r="CO159" s="1603">
        <v>0</v>
      </c>
      <c r="CP159" s="1603">
        <v>0</v>
      </c>
      <c r="CQ159" s="1603">
        <v>820</v>
      </c>
      <c r="CR159" s="1603">
        <v>808.82333286108906</v>
      </c>
      <c r="CS159" s="1603">
        <v>548.81622244379264</v>
      </c>
      <c r="CT159" s="1603">
        <v>1.006097316485745</v>
      </c>
      <c r="CU159" s="1603">
        <v>0.75457298736430978</v>
      </c>
      <c r="CV159" s="1603">
        <v>1.7606703038500537</v>
      </c>
      <c r="CW159" s="1603">
        <v>2.6829261772953203</v>
      </c>
      <c r="CX159" s="1603">
        <v>1.0899387595262238</v>
      </c>
      <c r="CY159" s="1603">
        <v>2.7667676203357989</v>
      </c>
      <c r="CZ159" s="1603">
        <v>3.6890234937810651</v>
      </c>
      <c r="DA159" s="1603">
        <v>0</v>
      </c>
      <c r="DB159" s="1603">
        <v>0</v>
      </c>
      <c r="DC159" s="1603">
        <v>0</v>
      </c>
      <c r="DD159" s="1603">
        <v>0</v>
      </c>
      <c r="DE159" s="1603">
        <v>3.5213406077001075</v>
      </c>
      <c r="DF159" s="1603">
        <v>0</v>
      </c>
      <c r="DG159" s="1603">
        <v>0</v>
      </c>
      <c r="DH159" s="1603">
        <v>0</v>
      </c>
      <c r="DI159" s="1603">
        <v>0</v>
      </c>
      <c r="DJ159" s="1603">
        <v>0</v>
      </c>
      <c r="DK159" s="1603">
        <v>0</v>
      </c>
      <c r="DL159" s="1603">
        <v>0</v>
      </c>
      <c r="DM159" s="1603">
        <v>0</v>
      </c>
      <c r="DN159" s="1603">
        <v>0</v>
      </c>
      <c r="DO159" s="1603">
        <v>0</v>
      </c>
      <c r="DP159" s="1603">
        <v>0</v>
      </c>
      <c r="DQ159" s="1603">
        <v>0</v>
      </c>
      <c r="DR159" s="1603">
        <v>0</v>
      </c>
      <c r="DS159" s="1603">
        <v>0</v>
      </c>
      <c r="DT159" s="1603">
        <v>0</v>
      </c>
      <c r="DU159" s="1603">
        <v>0</v>
      </c>
      <c r="DV159" s="1603">
        <v>0</v>
      </c>
      <c r="DW159" s="1618" t="s">
        <v>986</v>
      </c>
      <c r="DX159" s="1605" t="s">
        <v>986</v>
      </c>
      <c r="DY159" s="1605" t="s">
        <v>986</v>
      </c>
      <c r="DZ159" s="1605" t="s">
        <v>986</v>
      </c>
      <c r="EA159" s="1605" t="s">
        <v>986</v>
      </c>
      <c r="EB159" s="1605" t="s">
        <v>986</v>
      </c>
      <c r="EC159" s="1605" t="s">
        <v>986</v>
      </c>
      <c r="ED159" s="1605" t="s">
        <v>986</v>
      </c>
      <c r="EE159" s="1605" t="s">
        <v>986</v>
      </c>
      <c r="EF159" s="1605" t="s">
        <v>986</v>
      </c>
      <c r="EG159" s="1605" t="s">
        <v>986</v>
      </c>
      <c r="EH159" s="1605" t="s">
        <v>986</v>
      </c>
      <c r="EI159" s="1605" t="s">
        <v>986</v>
      </c>
      <c r="EJ159" s="1605" t="s">
        <v>986</v>
      </c>
      <c r="EK159" s="1605" t="s">
        <v>986</v>
      </c>
      <c r="EL159" s="1605" t="s">
        <v>986</v>
      </c>
      <c r="EM159" s="1605" t="s">
        <v>986</v>
      </c>
      <c r="EN159" s="1605" t="s">
        <v>986</v>
      </c>
      <c r="EO159" s="1605" t="s">
        <v>986</v>
      </c>
      <c r="EP159" s="1605" t="s">
        <v>986</v>
      </c>
      <c r="EQ159" s="1605" t="s">
        <v>986</v>
      </c>
      <c r="ER159" s="1605" t="s">
        <v>986</v>
      </c>
      <c r="ES159" s="1605" t="s">
        <v>986</v>
      </c>
      <c r="ET159" s="1605" t="s">
        <v>986</v>
      </c>
      <c r="EU159" s="1605" t="s">
        <v>986</v>
      </c>
      <c r="EV159" s="1605" t="s">
        <v>986</v>
      </c>
      <c r="EW159" s="1605" t="s">
        <v>986</v>
      </c>
      <c r="EX159" s="1605" t="s">
        <v>986</v>
      </c>
      <c r="EY159" s="1605" t="s">
        <v>986</v>
      </c>
      <c r="EZ159" s="1605" t="s">
        <v>986</v>
      </c>
      <c r="FA159" s="1605" t="s">
        <v>986</v>
      </c>
      <c r="FB159" s="1605" t="s">
        <v>986</v>
      </c>
      <c r="FC159" s="1605" t="s">
        <v>986</v>
      </c>
      <c r="FD159" s="1605" t="s">
        <v>986</v>
      </c>
      <c r="FE159" s="1605" t="s">
        <v>986</v>
      </c>
      <c r="FF159" s="1605" t="s">
        <v>986</v>
      </c>
      <c r="FG159" s="1605" t="s">
        <v>986</v>
      </c>
      <c r="FH159" s="1605" t="s">
        <v>986</v>
      </c>
      <c r="FI159" s="1605" t="s">
        <v>986</v>
      </c>
      <c r="FJ159" s="1605" t="s">
        <v>986</v>
      </c>
      <c r="FK159" s="1605" t="s">
        <v>986</v>
      </c>
      <c r="FL159" s="1605" t="s">
        <v>986</v>
      </c>
      <c r="FM159" s="1605" t="s">
        <v>986</v>
      </c>
      <c r="FN159" s="1605" t="s">
        <v>986</v>
      </c>
      <c r="FO159" s="1605" t="s">
        <v>986</v>
      </c>
      <c r="FP159" s="1605" t="s">
        <v>986</v>
      </c>
      <c r="FQ159" s="1605" t="s">
        <v>986</v>
      </c>
      <c r="FR159" s="1605" t="s">
        <v>986</v>
      </c>
      <c r="FS159" s="1605" t="s">
        <v>986</v>
      </c>
      <c r="FT159" s="1605" t="s">
        <v>986</v>
      </c>
      <c r="FU159" s="1605" t="s">
        <v>986</v>
      </c>
      <c r="FV159" s="1605" t="s">
        <v>986</v>
      </c>
      <c r="FW159" s="1605" t="s">
        <v>986</v>
      </c>
      <c r="FX159" s="1605" t="s">
        <v>986</v>
      </c>
      <c r="FY159" s="1605" t="s">
        <v>986</v>
      </c>
      <c r="FZ159" s="1605" t="s">
        <v>986</v>
      </c>
      <c r="GA159" s="1605" t="s">
        <v>986</v>
      </c>
      <c r="GB159" s="1605" t="s">
        <v>986</v>
      </c>
      <c r="GC159" s="1605" t="s">
        <v>986</v>
      </c>
      <c r="GD159" s="1605" t="s">
        <v>986</v>
      </c>
      <c r="GE159" s="1605" t="s">
        <v>986</v>
      </c>
      <c r="GF159" s="1605" t="s">
        <v>986</v>
      </c>
      <c r="GG159" s="1605" t="s">
        <v>986</v>
      </c>
      <c r="GH159" s="1605" t="s">
        <v>986</v>
      </c>
      <c r="GI159" s="1605" t="s">
        <v>986</v>
      </c>
      <c r="GJ159" s="1605" t="s">
        <v>986</v>
      </c>
      <c r="GK159" s="1605" t="s">
        <v>986</v>
      </c>
      <c r="GL159" s="1605" t="s">
        <v>986</v>
      </c>
      <c r="GM159" s="1605" t="s">
        <v>986</v>
      </c>
      <c r="GN159" s="1605" t="s">
        <v>986</v>
      </c>
      <c r="GO159" s="1605" t="s">
        <v>986</v>
      </c>
      <c r="GP159" s="1605" t="s">
        <v>986</v>
      </c>
      <c r="GQ159" s="1605" t="s">
        <v>986</v>
      </c>
      <c r="GR159" s="1605" t="s">
        <v>986</v>
      </c>
      <c r="GS159" s="1605" t="s">
        <v>986</v>
      </c>
      <c r="GT159" s="1605" t="s">
        <v>986</v>
      </c>
      <c r="GU159" s="1605" t="s">
        <v>986</v>
      </c>
      <c r="GV159" s="1605" t="s">
        <v>986</v>
      </c>
      <c r="GW159" s="1605" t="s">
        <v>986</v>
      </c>
      <c r="GX159" s="1605" t="s">
        <v>986</v>
      </c>
      <c r="GY159" s="1605" t="s">
        <v>986</v>
      </c>
      <c r="GZ159" s="1605" t="s">
        <v>986</v>
      </c>
      <c r="HA159" s="1605" t="s">
        <v>986</v>
      </c>
      <c r="HB159" s="1605" t="s">
        <v>986</v>
      </c>
      <c r="HC159" s="1605" t="s">
        <v>986</v>
      </c>
      <c r="HD159" s="1605" t="s">
        <v>986</v>
      </c>
      <c r="HE159" s="1605" t="s">
        <v>986</v>
      </c>
      <c r="HF159" s="1605" t="s">
        <v>986</v>
      </c>
      <c r="HG159" s="1605" t="s">
        <v>986</v>
      </c>
      <c r="HH159" s="1605" t="s">
        <v>986</v>
      </c>
      <c r="HI159" s="1605" t="s">
        <v>986</v>
      </c>
      <c r="HJ159" s="1605" t="s">
        <v>986</v>
      </c>
      <c r="HK159" s="1605" t="s">
        <v>986</v>
      </c>
      <c r="HL159" s="1605" t="s">
        <v>986</v>
      </c>
      <c r="HM159" s="1605" t="s">
        <v>986</v>
      </c>
      <c r="HN159" s="1605" t="s">
        <v>986</v>
      </c>
      <c r="HO159" s="1605" t="s">
        <v>986</v>
      </c>
      <c r="HP159" s="1605" t="s">
        <v>986</v>
      </c>
      <c r="HQ159" s="1605" t="s">
        <v>986</v>
      </c>
      <c r="HR159" s="1605" t="s">
        <v>986</v>
      </c>
      <c r="HS159" s="1605" t="s">
        <v>986</v>
      </c>
      <c r="HT159" s="1605" t="s">
        <v>986</v>
      </c>
      <c r="HU159" s="1605" t="s">
        <v>986</v>
      </c>
      <c r="HV159" s="1617"/>
      <c r="HW159" s="1617" t="s">
        <v>986</v>
      </c>
      <c r="HX159" s="1617" t="s">
        <v>986</v>
      </c>
      <c r="HY159" s="1617" t="s">
        <v>986</v>
      </c>
      <c r="HZ159" s="1603"/>
      <c r="IA159" s="1603"/>
      <c r="IB159" s="1603"/>
      <c r="IC159" s="1603">
        <v>50</v>
      </c>
      <c r="ID159" s="1603">
        <v>50</v>
      </c>
      <c r="IE159" s="1603">
        <v>50</v>
      </c>
      <c r="IF159" s="1603">
        <v>50</v>
      </c>
      <c r="IG159" s="1611" t="s">
        <v>2932</v>
      </c>
      <c r="IH159" s="1616" t="s">
        <v>270</v>
      </c>
      <c r="II159" s="1615" t="s">
        <v>270</v>
      </c>
      <c r="IJ159" s="1613">
        <v>1.3101818181818183</v>
      </c>
      <c r="IK159" s="1613">
        <v>1.301848484848485</v>
      </c>
      <c r="IL159" s="1614">
        <v>1.3101818181818183</v>
      </c>
      <c r="IM159" s="1614">
        <v>1.301848484848485</v>
      </c>
      <c r="IN159" s="1612" t="s">
        <v>270</v>
      </c>
      <c r="IO159" s="1613" t="s">
        <v>270</v>
      </c>
      <c r="IP159" s="1607" t="s">
        <v>270</v>
      </c>
      <c r="IQ159" s="1612" t="s">
        <v>270</v>
      </c>
      <c r="IR159" s="1612" t="s">
        <v>270</v>
      </c>
      <c r="IS159" s="1607">
        <v>1.1881818181818182</v>
      </c>
      <c r="IT159" s="1607">
        <v>1.1798484848484849</v>
      </c>
      <c r="IU159" s="1611">
        <v>0</v>
      </c>
      <c r="IV159" s="1611">
        <v>7.7767676767676763E-2</v>
      </c>
      <c r="IW159" s="1611">
        <v>9.0909090909090909E-4</v>
      </c>
      <c r="IX159" s="1611">
        <v>1.6060606060606061E-3</v>
      </c>
      <c r="IY159" s="1611">
        <v>9.6969696969696957E-4</v>
      </c>
      <c r="IZ159" s="1611">
        <v>5.9898989898989896E-3</v>
      </c>
      <c r="JA159" s="1611">
        <v>6.0606060606060598E-5</v>
      </c>
      <c r="JB159" s="1611" t="s">
        <v>270</v>
      </c>
      <c r="JC159" s="1611">
        <v>9.9026969696969704</v>
      </c>
      <c r="JD159" s="1611">
        <v>5.2121212121212122E-3</v>
      </c>
      <c r="JE159" s="1611" t="s">
        <v>270</v>
      </c>
      <c r="JF159" s="1611">
        <v>8.2828282828282835E-4</v>
      </c>
      <c r="JG159" s="1611">
        <v>0.57978787878787885</v>
      </c>
      <c r="JH159" s="1611">
        <v>7.646464646464647E-3</v>
      </c>
      <c r="JI159" s="1611">
        <v>0.3</v>
      </c>
      <c r="JJ159" s="1611" t="s">
        <v>270</v>
      </c>
      <c r="JK159" s="1607">
        <f t="shared" si="11"/>
        <v>0.12200000000000011</v>
      </c>
      <c r="JL159" s="1608" t="s">
        <v>270</v>
      </c>
      <c r="JM159" s="1610" t="s">
        <v>2924</v>
      </c>
      <c r="JN159" s="1608">
        <v>8.3333333333333037E-3</v>
      </c>
      <c r="JO159" s="1609" t="s">
        <v>2931</v>
      </c>
      <c r="JP159" s="1608" t="s">
        <v>270</v>
      </c>
      <c r="JQ159" s="1607">
        <v>202103</v>
      </c>
      <c r="JR159" s="1606">
        <v>851</v>
      </c>
      <c r="JS159" s="1606">
        <v>774</v>
      </c>
      <c r="JT159" s="1606">
        <v>774</v>
      </c>
    </row>
    <row r="160" spans="1:280" ht="15" customHeight="1" x14ac:dyDescent="0.2">
      <c r="A160" s="1626">
        <v>99550</v>
      </c>
      <c r="B160" s="1625">
        <v>995</v>
      </c>
      <c r="C160" s="1624">
        <v>50</v>
      </c>
      <c r="D160" s="1623" t="s">
        <v>3370</v>
      </c>
      <c r="E160" s="1622">
        <v>43031</v>
      </c>
      <c r="F160" s="1620">
        <v>0.79427375400657396</v>
      </c>
      <c r="G160" s="1620">
        <v>0.76126497461929199</v>
      </c>
      <c r="H160" s="1621">
        <v>100</v>
      </c>
      <c r="I160" s="1621">
        <v>100</v>
      </c>
      <c r="J160" s="1621">
        <v>100</v>
      </c>
      <c r="K160" s="1620">
        <v>1</v>
      </c>
      <c r="L160" s="1620">
        <v>55</v>
      </c>
      <c r="M160" s="1620">
        <v>32.720812182741099</v>
      </c>
      <c r="N160" s="1620">
        <v>0</v>
      </c>
      <c r="O160" s="1620">
        <v>0.3</v>
      </c>
      <c r="P160" s="1620">
        <v>0</v>
      </c>
      <c r="Q160" s="1603"/>
      <c r="R160" s="1620">
        <v>100</v>
      </c>
      <c r="S160" s="1620">
        <v>0</v>
      </c>
      <c r="T160" s="1620">
        <v>0</v>
      </c>
      <c r="U160" s="1620">
        <v>0</v>
      </c>
      <c r="V160" s="1620">
        <v>0</v>
      </c>
      <c r="W160" s="1620">
        <v>0</v>
      </c>
      <c r="X160" s="1620"/>
      <c r="Y160" s="1620">
        <v>0</v>
      </c>
      <c r="Z160" s="1620">
        <v>0</v>
      </c>
      <c r="AA160" s="1620">
        <v>0</v>
      </c>
      <c r="AB160" s="1620">
        <v>0</v>
      </c>
      <c r="AC160" s="1620">
        <v>0</v>
      </c>
      <c r="AD160" s="1620">
        <v>0</v>
      </c>
      <c r="AE160" s="1620">
        <v>0</v>
      </c>
      <c r="AF160" s="1620">
        <v>0</v>
      </c>
      <c r="AG160" s="1620">
        <v>0</v>
      </c>
      <c r="AH160" s="1620">
        <v>0</v>
      </c>
      <c r="AI160" s="1620">
        <v>0</v>
      </c>
      <c r="AJ160" s="1620">
        <v>0</v>
      </c>
      <c r="AK160" s="1620">
        <v>0</v>
      </c>
      <c r="AL160" s="1620"/>
      <c r="AM160" s="1620">
        <v>152.807942910332</v>
      </c>
      <c r="AN160" s="1620">
        <v>0</v>
      </c>
      <c r="AO160" s="1620">
        <v>0</v>
      </c>
      <c r="AP160" s="1620">
        <v>0</v>
      </c>
      <c r="AQ160" s="1620">
        <v>0</v>
      </c>
      <c r="AR160" s="1620">
        <v>0</v>
      </c>
      <c r="AS160" s="1620">
        <v>0</v>
      </c>
      <c r="AT160" s="1620">
        <v>0</v>
      </c>
      <c r="AU160" s="1620">
        <v>0</v>
      </c>
      <c r="AV160" s="1620">
        <v>0</v>
      </c>
      <c r="AW160" s="1620">
        <v>0</v>
      </c>
      <c r="AX160" s="1620"/>
      <c r="AY160" s="1620">
        <v>1</v>
      </c>
      <c r="AZ160" s="1620">
        <v>0.85</v>
      </c>
      <c r="BA160" s="1620">
        <v>0.85</v>
      </c>
      <c r="BB160" s="1620">
        <v>0.85</v>
      </c>
      <c r="BC160" s="1620">
        <v>0.85</v>
      </c>
      <c r="BD160" s="1620">
        <v>0.85</v>
      </c>
      <c r="BE160" s="1620">
        <v>0.85</v>
      </c>
      <c r="BF160" s="1620">
        <v>0.85</v>
      </c>
      <c r="BG160" s="1620">
        <v>0.85</v>
      </c>
      <c r="BH160" s="1620">
        <v>0.85</v>
      </c>
      <c r="BI160" s="1620">
        <v>0.85</v>
      </c>
      <c r="BJ160" s="1603"/>
      <c r="BK160" s="1620">
        <v>59.492385786802004</v>
      </c>
      <c r="BL160" s="1620">
        <v>0</v>
      </c>
      <c r="BM160" s="1620">
        <v>0.54545454545454541</v>
      </c>
      <c r="BN160" s="1620">
        <v>0</v>
      </c>
      <c r="BO160" s="1620"/>
      <c r="BP160" s="1620">
        <v>0</v>
      </c>
      <c r="BQ160" s="1620">
        <v>0</v>
      </c>
      <c r="BR160" s="1620">
        <v>1.4441340981937709</v>
      </c>
      <c r="BS160" s="1620">
        <v>1.38411813567144</v>
      </c>
      <c r="BT160" s="1603"/>
      <c r="BU160" s="1620">
        <v>994.5454545454545</v>
      </c>
      <c r="BV160" s="1620">
        <v>453.16474388555633</v>
      </c>
      <c r="BW160" s="1620">
        <v>0</v>
      </c>
      <c r="BX160" s="1620" t="s">
        <v>270</v>
      </c>
      <c r="BY160" s="1620" t="s">
        <v>270</v>
      </c>
      <c r="BZ160" s="1620" t="s">
        <v>270</v>
      </c>
      <c r="CA160" s="1620" t="s">
        <v>270</v>
      </c>
      <c r="CB160" s="1603"/>
      <c r="CC160" s="1603">
        <v>0</v>
      </c>
      <c r="CD160" s="1603">
        <v>0</v>
      </c>
      <c r="CE160" s="1603">
        <v>0</v>
      </c>
      <c r="CF160" s="1603">
        <v>0</v>
      </c>
      <c r="CG160" s="1603">
        <v>0</v>
      </c>
      <c r="CH160" s="1603">
        <v>0</v>
      </c>
      <c r="CI160" s="1603">
        <v>0</v>
      </c>
      <c r="CJ160" s="1603"/>
      <c r="CK160" s="1603">
        <v>0</v>
      </c>
      <c r="CL160" s="1603">
        <v>0</v>
      </c>
      <c r="CM160" s="1603">
        <v>0</v>
      </c>
      <c r="CN160" s="1603">
        <v>0</v>
      </c>
      <c r="CO160" s="1603">
        <v>0</v>
      </c>
      <c r="CP160" s="1603">
        <v>0</v>
      </c>
      <c r="CQ160" s="1603">
        <v>327.20812182741099</v>
      </c>
      <c r="CR160" s="1603">
        <v>411.95887460320489</v>
      </c>
      <c r="CS160" s="1603">
        <v>629.5058819177118</v>
      </c>
      <c r="CT160" s="1603">
        <v>0</v>
      </c>
      <c r="CU160" s="1603">
        <v>0</v>
      </c>
      <c r="CV160" s="1603">
        <v>0</v>
      </c>
      <c r="CW160" s="1603">
        <v>0</v>
      </c>
      <c r="CX160" s="1603">
        <v>0</v>
      </c>
      <c r="CY160" s="1603">
        <v>0</v>
      </c>
      <c r="CZ160" s="1603">
        <v>0</v>
      </c>
      <c r="DA160" s="1603">
        <v>0</v>
      </c>
      <c r="DB160" s="1603">
        <v>0</v>
      </c>
      <c r="DC160" s="1603">
        <v>0</v>
      </c>
      <c r="DD160" s="1603">
        <v>0</v>
      </c>
      <c r="DE160" s="1603">
        <v>0</v>
      </c>
      <c r="DF160" s="1603">
        <v>0</v>
      </c>
      <c r="DG160" s="1603">
        <v>0</v>
      </c>
      <c r="DH160" s="1603">
        <v>0</v>
      </c>
      <c r="DI160" s="1603">
        <v>0</v>
      </c>
      <c r="DJ160" s="1603">
        <v>0</v>
      </c>
      <c r="DK160" s="1603">
        <v>0</v>
      </c>
      <c r="DL160" s="1603">
        <v>0</v>
      </c>
      <c r="DM160" s="1603">
        <v>0</v>
      </c>
      <c r="DN160" s="1603">
        <v>0</v>
      </c>
      <c r="DO160" s="1603">
        <v>0</v>
      </c>
      <c r="DP160" s="1603">
        <v>0</v>
      </c>
      <c r="DQ160" s="1603">
        <v>0</v>
      </c>
      <c r="DR160" s="1603">
        <v>0</v>
      </c>
      <c r="DS160" s="1603">
        <v>0</v>
      </c>
      <c r="DT160" s="1603">
        <v>0</v>
      </c>
      <c r="DU160" s="1603">
        <v>0</v>
      </c>
      <c r="DV160" s="1603">
        <v>0</v>
      </c>
      <c r="DW160" s="1618" t="s">
        <v>986</v>
      </c>
      <c r="DX160" s="1605" t="s">
        <v>986</v>
      </c>
      <c r="DY160" s="1605" t="s">
        <v>986</v>
      </c>
      <c r="DZ160" s="1605" t="s">
        <v>986</v>
      </c>
      <c r="EA160" s="1605" t="s">
        <v>986</v>
      </c>
      <c r="EB160" s="1605" t="s">
        <v>986</v>
      </c>
      <c r="EC160" s="1605" t="s">
        <v>986</v>
      </c>
      <c r="ED160" s="1605" t="s">
        <v>986</v>
      </c>
      <c r="EE160" s="1605" t="s">
        <v>986</v>
      </c>
      <c r="EF160" s="1605" t="s">
        <v>986</v>
      </c>
      <c r="EG160" s="1605" t="s">
        <v>986</v>
      </c>
      <c r="EH160" s="1605" t="s">
        <v>986</v>
      </c>
      <c r="EI160" s="1605" t="s">
        <v>986</v>
      </c>
      <c r="EJ160" s="1605" t="s">
        <v>986</v>
      </c>
      <c r="EK160" s="1605" t="s">
        <v>986</v>
      </c>
      <c r="EL160" s="1605" t="s">
        <v>986</v>
      </c>
      <c r="EM160" s="1605" t="s">
        <v>986</v>
      </c>
      <c r="EN160" s="1605" t="s">
        <v>986</v>
      </c>
      <c r="EO160" s="1605" t="s">
        <v>986</v>
      </c>
      <c r="EP160" s="1605" t="s">
        <v>986</v>
      </c>
      <c r="EQ160" s="1605" t="s">
        <v>986</v>
      </c>
      <c r="ER160" s="1605" t="s">
        <v>986</v>
      </c>
      <c r="ES160" s="1605" t="s">
        <v>986</v>
      </c>
      <c r="ET160" s="1605" t="s">
        <v>986</v>
      </c>
      <c r="EU160" s="1605" t="s">
        <v>986</v>
      </c>
      <c r="EV160" s="1605" t="s">
        <v>986</v>
      </c>
      <c r="EW160" s="1605" t="s">
        <v>986</v>
      </c>
      <c r="EX160" s="1605" t="s">
        <v>986</v>
      </c>
      <c r="EY160" s="1605" t="s">
        <v>986</v>
      </c>
      <c r="EZ160" s="1605" t="s">
        <v>986</v>
      </c>
      <c r="FA160" s="1605" t="s">
        <v>986</v>
      </c>
      <c r="FB160" s="1605" t="s">
        <v>986</v>
      </c>
      <c r="FC160" s="1605" t="s">
        <v>986</v>
      </c>
      <c r="FD160" s="1605" t="s">
        <v>986</v>
      </c>
      <c r="FE160" s="1605" t="s">
        <v>986</v>
      </c>
      <c r="FF160" s="1605" t="s">
        <v>986</v>
      </c>
      <c r="FG160" s="1605" t="s">
        <v>986</v>
      </c>
      <c r="FH160" s="1605" t="s">
        <v>986</v>
      </c>
      <c r="FI160" s="1605" t="s">
        <v>986</v>
      </c>
      <c r="FJ160" s="1605" t="s">
        <v>986</v>
      </c>
      <c r="FK160" s="1605" t="s">
        <v>986</v>
      </c>
      <c r="FL160" s="1605" t="s">
        <v>986</v>
      </c>
      <c r="FM160" s="1605" t="s">
        <v>986</v>
      </c>
      <c r="FN160" s="1605" t="s">
        <v>986</v>
      </c>
      <c r="FO160" s="1605" t="s">
        <v>986</v>
      </c>
      <c r="FP160" s="1605" t="s">
        <v>986</v>
      </c>
      <c r="FQ160" s="1605" t="s">
        <v>986</v>
      </c>
      <c r="FR160" s="1605" t="s">
        <v>986</v>
      </c>
      <c r="FS160" s="1605" t="s">
        <v>986</v>
      </c>
      <c r="FT160" s="1605" t="s">
        <v>986</v>
      </c>
      <c r="FU160" s="1605" t="s">
        <v>986</v>
      </c>
      <c r="FV160" s="1605" t="s">
        <v>986</v>
      </c>
      <c r="FW160" s="1605" t="s">
        <v>986</v>
      </c>
      <c r="FX160" s="1605" t="s">
        <v>986</v>
      </c>
      <c r="FY160" s="1605" t="s">
        <v>986</v>
      </c>
      <c r="FZ160" s="1605" t="s">
        <v>986</v>
      </c>
      <c r="GA160" s="1605" t="s">
        <v>986</v>
      </c>
      <c r="GB160" s="1605" t="s">
        <v>986</v>
      </c>
      <c r="GC160" s="1605" t="s">
        <v>986</v>
      </c>
      <c r="GD160" s="1605" t="s">
        <v>986</v>
      </c>
      <c r="GE160" s="1605" t="s">
        <v>986</v>
      </c>
      <c r="GF160" s="1605" t="s">
        <v>986</v>
      </c>
      <c r="GG160" s="1605" t="s">
        <v>986</v>
      </c>
      <c r="GH160" s="1605" t="s">
        <v>986</v>
      </c>
      <c r="GI160" s="1605" t="s">
        <v>986</v>
      </c>
      <c r="GJ160" s="1605" t="s">
        <v>986</v>
      </c>
      <c r="GK160" s="1605" t="s">
        <v>986</v>
      </c>
      <c r="GL160" s="1605" t="s">
        <v>986</v>
      </c>
      <c r="GM160" s="1605" t="s">
        <v>986</v>
      </c>
      <c r="GN160" s="1605" t="s">
        <v>986</v>
      </c>
      <c r="GO160" s="1605" t="s">
        <v>986</v>
      </c>
      <c r="GP160" s="1605" t="s">
        <v>986</v>
      </c>
      <c r="GQ160" s="1605" t="s">
        <v>986</v>
      </c>
      <c r="GR160" s="1605" t="s">
        <v>986</v>
      </c>
      <c r="GS160" s="1605" t="s">
        <v>986</v>
      </c>
      <c r="GT160" s="1605" t="s">
        <v>986</v>
      </c>
      <c r="GU160" s="1605" t="s">
        <v>986</v>
      </c>
      <c r="GV160" s="1605" t="s">
        <v>986</v>
      </c>
      <c r="GW160" s="1605" t="s">
        <v>986</v>
      </c>
      <c r="GX160" s="1605" t="s">
        <v>986</v>
      </c>
      <c r="GY160" s="1605" t="s">
        <v>986</v>
      </c>
      <c r="GZ160" s="1605" t="s">
        <v>986</v>
      </c>
      <c r="HA160" s="1605" t="s">
        <v>986</v>
      </c>
      <c r="HB160" s="1605" t="s">
        <v>986</v>
      </c>
      <c r="HC160" s="1605" t="s">
        <v>986</v>
      </c>
      <c r="HD160" s="1605" t="s">
        <v>986</v>
      </c>
      <c r="HE160" s="1605" t="s">
        <v>986</v>
      </c>
      <c r="HF160" s="1605" t="s">
        <v>986</v>
      </c>
      <c r="HG160" s="1605" t="s">
        <v>986</v>
      </c>
      <c r="HH160" s="1605" t="s">
        <v>986</v>
      </c>
      <c r="HI160" s="1605" t="s">
        <v>986</v>
      </c>
      <c r="HJ160" s="1605" t="s">
        <v>986</v>
      </c>
      <c r="HK160" s="1605" t="s">
        <v>986</v>
      </c>
      <c r="HL160" s="1605" t="s">
        <v>986</v>
      </c>
      <c r="HM160" s="1605" t="s">
        <v>986</v>
      </c>
      <c r="HN160" s="1605" t="s">
        <v>986</v>
      </c>
      <c r="HO160" s="1605" t="s">
        <v>986</v>
      </c>
      <c r="HP160" s="1605" t="s">
        <v>986</v>
      </c>
      <c r="HQ160" s="1605" t="s">
        <v>986</v>
      </c>
      <c r="HR160" s="1605" t="s">
        <v>986</v>
      </c>
      <c r="HS160" s="1605" t="s">
        <v>986</v>
      </c>
      <c r="HT160" s="1605" t="s">
        <v>986</v>
      </c>
      <c r="HU160" s="1605" t="s">
        <v>986</v>
      </c>
      <c r="HV160" s="1617"/>
      <c r="HW160" s="1617" t="s">
        <v>986</v>
      </c>
      <c r="HX160" s="1617" t="s">
        <v>986</v>
      </c>
      <c r="HY160" s="1617" t="s">
        <v>986</v>
      </c>
      <c r="HZ160" s="1603"/>
      <c r="IA160" s="1603"/>
      <c r="IB160" s="1603"/>
      <c r="IC160" s="1603">
        <v>0</v>
      </c>
      <c r="ID160" s="1603">
        <v>0</v>
      </c>
      <c r="IE160" s="1603">
        <v>0</v>
      </c>
      <c r="IF160" s="1603">
        <v>0</v>
      </c>
      <c r="IG160" s="1611" t="s">
        <v>2932</v>
      </c>
      <c r="IH160" s="1616" t="s">
        <v>270</v>
      </c>
      <c r="II160" s="1615" t="s">
        <v>270</v>
      </c>
      <c r="IJ160" s="1613">
        <v>1.3101818181818183</v>
      </c>
      <c r="IK160" s="1613">
        <v>1.301848484848485</v>
      </c>
      <c r="IL160" s="1614">
        <v>1.3101818181818183</v>
      </c>
      <c r="IM160" s="1614">
        <v>1.301848484848485</v>
      </c>
      <c r="IN160" s="1612" t="s">
        <v>270</v>
      </c>
      <c r="IO160" s="1613" t="s">
        <v>270</v>
      </c>
      <c r="IP160" s="1607" t="s">
        <v>270</v>
      </c>
      <c r="IQ160" s="1612" t="s">
        <v>270</v>
      </c>
      <c r="IR160" s="1612" t="s">
        <v>270</v>
      </c>
      <c r="IS160" s="1607">
        <v>1.1881818181818182</v>
      </c>
      <c r="IT160" s="1607">
        <v>1.1798484848484849</v>
      </c>
      <c r="IU160" s="1611">
        <v>0</v>
      </c>
      <c r="IV160" s="1611">
        <v>7.7767676767676763E-2</v>
      </c>
      <c r="IW160" s="1611">
        <v>9.0909090909090909E-4</v>
      </c>
      <c r="IX160" s="1611">
        <v>1.6060606060606061E-3</v>
      </c>
      <c r="IY160" s="1611">
        <v>9.6969696969696957E-4</v>
      </c>
      <c r="IZ160" s="1611">
        <v>5.9898989898989896E-3</v>
      </c>
      <c r="JA160" s="1611">
        <v>6.0606060606060598E-5</v>
      </c>
      <c r="JB160" s="1611" t="s">
        <v>270</v>
      </c>
      <c r="JC160" s="1611">
        <v>9.9026969696969704</v>
      </c>
      <c r="JD160" s="1611">
        <v>5.2121212121212122E-3</v>
      </c>
      <c r="JE160" s="1611" t="s">
        <v>270</v>
      </c>
      <c r="JF160" s="1611">
        <v>8.2828282828282835E-4</v>
      </c>
      <c r="JG160" s="1611">
        <v>0.57978787878787885</v>
      </c>
      <c r="JH160" s="1611">
        <v>7.646464646464647E-3</v>
      </c>
      <c r="JI160" s="1611">
        <v>0.3</v>
      </c>
      <c r="JJ160" s="1611" t="s">
        <v>270</v>
      </c>
      <c r="JK160" s="1607">
        <f t="shared" si="11"/>
        <v>0.12200000000000011</v>
      </c>
      <c r="JL160" s="1608" t="s">
        <v>270</v>
      </c>
      <c r="JM160" s="1610" t="s">
        <v>2924</v>
      </c>
      <c r="JN160" s="1608">
        <v>8.3333333333333037E-3</v>
      </c>
      <c r="JO160" s="1609" t="s">
        <v>2931</v>
      </c>
      <c r="JP160" s="1608" t="s">
        <v>270</v>
      </c>
      <c r="JQ160" s="1607">
        <v>202103</v>
      </c>
      <c r="JR160" s="1606">
        <v>851</v>
      </c>
      <c r="JS160" s="1606">
        <v>774</v>
      </c>
      <c r="JT160" s="1606">
        <v>774</v>
      </c>
    </row>
    <row r="161" spans="1:280" ht="15" customHeight="1" x14ac:dyDescent="0.2">
      <c r="A161" s="1626">
        <v>99552</v>
      </c>
      <c r="B161" s="1625">
        <v>995</v>
      </c>
      <c r="C161" s="1624">
        <v>52</v>
      </c>
      <c r="D161" s="1623" t="s">
        <v>3369</v>
      </c>
      <c r="E161" s="1622">
        <v>43370</v>
      </c>
      <c r="F161" s="1620">
        <v>0.79427375400657396</v>
      </c>
      <c r="G161" s="1620">
        <v>0.76126497461929199</v>
      </c>
      <c r="H161" s="1621">
        <v>100</v>
      </c>
      <c r="I161" s="1621">
        <v>100</v>
      </c>
      <c r="J161" s="1621">
        <v>100</v>
      </c>
      <c r="K161" s="1620">
        <v>1</v>
      </c>
      <c r="L161" s="1620">
        <v>55</v>
      </c>
      <c r="M161" s="1620">
        <v>32.720812182741099</v>
      </c>
      <c r="N161" s="1620">
        <v>0</v>
      </c>
      <c r="O161" s="1620">
        <v>0.3</v>
      </c>
      <c r="P161" s="1620">
        <v>0</v>
      </c>
      <c r="Q161" s="1603"/>
      <c r="R161" s="1620">
        <v>50</v>
      </c>
      <c r="S161" s="1620">
        <v>0</v>
      </c>
      <c r="T161" s="1620">
        <v>0</v>
      </c>
      <c r="U161" s="1620">
        <v>0</v>
      </c>
      <c r="V161" s="1620">
        <v>0</v>
      </c>
      <c r="W161" s="1620">
        <v>0</v>
      </c>
      <c r="X161" s="1620"/>
      <c r="Y161" s="1620">
        <v>0</v>
      </c>
      <c r="Z161" s="1620">
        <v>0</v>
      </c>
      <c r="AA161" s="1620">
        <v>0</v>
      </c>
      <c r="AB161" s="1620">
        <v>0</v>
      </c>
      <c r="AC161" s="1620">
        <v>0</v>
      </c>
      <c r="AD161" s="1620">
        <v>0</v>
      </c>
      <c r="AE161" s="1620">
        <v>0</v>
      </c>
      <c r="AF161" s="1620">
        <v>0</v>
      </c>
      <c r="AG161" s="1620">
        <v>0</v>
      </c>
      <c r="AH161" s="1620">
        <v>0</v>
      </c>
      <c r="AI161" s="1620">
        <v>0</v>
      </c>
      <c r="AJ161" s="1620">
        <v>0</v>
      </c>
      <c r="AK161" s="1620">
        <v>0</v>
      </c>
      <c r="AL161" s="1620"/>
      <c r="AM161" s="1620">
        <v>152.807942910332</v>
      </c>
      <c r="AN161" s="1620">
        <v>0</v>
      </c>
      <c r="AO161" s="1620">
        <v>0</v>
      </c>
      <c r="AP161" s="1620">
        <v>0</v>
      </c>
      <c r="AQ161" s="1620">
        <v>0</v>
      </c>
      <c r="AR161" s="1620">
        <v>0</v>
      </c>
      <c r="AS161" s="1620">
        <v>0</v>
      </c>
      <c r="AT161" s="1620">
        <v>0</v>
      </c>
      <c r="AU161" s="1620">
        <v>0</v>
      </c>
      <c r="AV161" s="1620">
        <v>0</v>
      </c>
      <c r="AW161" s="1620">
        <v>0</v>
      </c>
      <c r="AX161" s="1620"/>
      <c r="AY161" s="1620">
        <v>1</v>
      </c>
      <c r="AZ161" s="1620">
        <v>0.85</v>
      </c>
      <c r="BA161" s="1620">
        <v>0.85</v>
      </c>
      <c r="BB161" s="1620">
        <v>0.85</v>
      </c>
      <c r="BC161" s="1620">
        <v>0.85</v>
      </c>
      <c r="BD161" s="1620">
        <v>0.85</v>
      </c>
      <c r="BE161" s="1620">
        <v>0.85</v>
      </c>
      <c r="BF161" s="1620">
        <v>0.85</v>
      </c>
      <c r="BG161" s="1620">
        <v>0.85</v>
      </c>
      <c r="BH161" s="1620">
        <v>0.85</v>
      </c>
      <c r="BI161" s="1620">
        <v>0.85</v>
      </c>
      <c r="BJ161" s="1603"/>
      <c r="BK161" s="1620">
        <v>59.492385786802004</v>
      </c>
      <c r="BL161" s="1620">
        <v>0</v>
      </c>
      <c r="BM161" s="1620">
        <v>0.54545454545454541</v>
      </c>
      <c r="BN161" s="1620">
        <v>0</v>
      </c>
      <c r="BO161" s="1620"/>
      <c r="BP161" s="1620">
        <v>0</v>
      </c>
      <c r="BQ161" s="1620">
        <v>0</v>
      </c>
      <c r="BR161" s="1620">
        <v>1.4441340981937709</v>
      </c>
      <c r="BS161" s="1620">
        <v>1.38411813567144</v>
      </c>
      <c r="BT161" s="1603"/>
      <c r="BU161" s="1620">
        <v>994.5454545454545</v>
      </c>
      <c r="BV161" s="1620">
        <v>453.16474388555633</v>
      </c>
      <c r="BW161" s="1620">
        <v>0</v>
      </c>
      <c r="BX161" s="1620" t="s">
        <v>270</v>
      </c>
      <c r="BY161" s="1620" t="s">
        <v>270</v>
      </c>
      <c r="BZ161" s="1620" t="s">
        <v>270</v>
      </c>
      <c r="CA161" s="1620" t="s">
        <v>270</v>
      </c>
      <c r="CB161" s="1603"/>
      <c r="CC161" s="1603">
        <v>0</v>
      </c>
      <c r="CD161" s="1603">
        <v>0</v>
      </c>
      <c r="CE161" s="1603">
        <v>0</v>
      </c>
      <c r="CF161" s="1603">
        <v>0</v>
      </c>
      <c r="CG161" s="1603">
        <v>0</v>
      </c>
      <c r="CH161" s="1603">
        <v>0</v>
      </c>
      <c r="CI161" s="1603">
        <v>0</v>
      </c>
      <c r="CJ161" s="1603"/>
      <c r="CK161" s="1603">
        <v>0</v>
      </c>
      <c r="CL161" s="1603">
        <v>0</v>
      </c>
      <c r="CM161" s="1603">
        <v>0</v>
      </c>
      <c r="CN161" s="1603">
        <v>0</v>
      </c>
      <c r="CO161" s="1603">
        <v>0</v>
      </c>
      <c r="CP161" s="1603">
        <v>0</v>
      </c>
      <c r="CQ161" s="1603">
        <v>163.60406091370501</v>
      </c>
      <c r="CR161" s="1603">
        <v>205.97943730160182</v>
      </c>
      <c r="CS161" s="1603">
        <v>314.7529409588559</v>
      </c>
      <c r="CT161" s="1603">
        <v>0</v>
      </c>
      <c r="CU161" s="1603">
        <v>0</v>
      </c>
      <c r="CV161" s="1603">
        <v>0</v>
      </c>
      <c r="CW161" s="1603">
        <v>0</v>
      </c>
      <c r="CX161" s="1603">
        <v>0</v>
      </c>
      <c r="CY161" s="1603">
        <v>0</v>
      </c>
      <c r="CZ161" s="1603">
        <v>0</v>
      </c>
      <c r="DA161" s="1603">
        <v>0</v>
      </c>
      <c r="DB161" s="1603">
        <v>0</v>
      </c>
      <c r="DC161" s="1603">
        <v>0</v>
      </c>
      <c r="DD161" s="1603">
        <v>0</v>
      </c>
      <c r="DE161" s="1603">
        <v>0</v>
      </c>
      <c r="DF161" s="1603">
        <v>0</v>
      </c>
      <c r="DG161" s="1603">
        <v>0</v>
      </c>
      <c r="DH161" s="1603">
        <v>0</v>
      </c>
      <c r="DI161" s="1603">
        <v>0</v>
      </c>
      <c r="DJ161" s="1603">
        <v>0</v>
      </c>
      <c r="DK161" s="1603">
        <v>0</v>
      </c>
      <c r="DL161" s="1603">
        <v>0</v>
      </c>
      <c r="DM161" s="1603">
        <v>0</v>
      </c>
      <c r="DN161" s="1603">
        <v>0</v>
      </c>
      <c r="DO161" s="1603">
        <v>0</v>
      </c>
      <c r="DP161" s="1603">
        <v>0</v>
      </c>
      <c r="DQ161" s="1603">
        <v>0</v>
      </c>
      <c r="DR161" s="1603">
        <v>0</v>
      </c>
      <c r="DS161" s="1603">
        <v>0</v>
      </c>
      <c r="DT161" s="1603">
        <v>0</v>
      </c>
      <c r="DU161" s="1603">
        <v>0</v>
      </c>
      <c r="DV161" s="1603">
        <v>0</v>
      </c>
      <c r="DW161" s="1618" t="s">
        <v>986</v>
      </c>
      <c r="DX161" s="1605" t="s">
        <v>986</v>
      </c>
      <c r="DY161" s="1605" t="s">
        <v>986</v>
      </c>
      <c r="DZ161" s="1605" t="s">
        <v>986</v>
      </c>
      <c r="EA161" s="1605" t="s">
        <v>986</v>
      </c>
      <c r="EB161" s="1605" t="s">
        <v>986</v>
      </c>
      <c r="EC161" s="1605" t="s">
        <v>986</v>
      </c>
      <c r="ED161" s="1605" t="s">
        <v>986</v>
      </c>
      <c r="EE161" s="1605" t="s">
        <v>986</v>
      </c>
      <c r="EF161" s="1605" t="s">
        <v>986</v>
      </c>
      <c r="EG161" s="1605" t="s">
        <v>986</v>
      </c>
      <c r="EH161" s="1605" t="s">
        <v>986</v>
      </c>
      <c r="EI161" s="1605" t="s">
        <v>986</v>
      </c>
      <c r="EJ161" s="1605" t="s">
        <v>986</v>
      </c>
      <c r="EK161" s="1605" t="s">
        <v>986</v>
      </c>
      <c r="EL161" s="1605" t="s">
        <v>986</v>
      </c>
      <c r="EM161" s="1605" t="s">
        <v>986</v>
      </c>
      <c r="EN161" s="1605" t="s">
        <v>986</v>
      </c>
      <c r="EO161" s="1605" t="s">
        <v>986</v>
      </c>
      <c r="EP161" s="1605" t="s">
        <v>986</v>
      </c>
      <c r="EQ161" s="1605" t="s">
        <v>986</v>
      </c>
      <c r="ER161" s="1605" t="s">
        <v>986</v>
      </c>
      <c r="ES161" s="1605" t="s">
        <v>986</v>
      </c>
      <c r="ET161" s="1605" t="s">
        <v>986</v>
      </c>
      <c r="EU161" s="1605" t="s">
        <v>986</v>
      </c>
      <c r="EV161" s="1605" t="s">
        <v>986</v>
      </c>
      <c r="EW161" s="1605" t="s">
        <v>986</v>
      </c>
      <c r="EX161" s="1605" t="s">
        <v>986</v>
      </c>
      <c r="EY161" s="1605" t="s">
        <v>986</v>
      </c>
      <c r="EZ161" s="1605" t="s">
        <v>986</v>
      </c>
      <c r="FA161" s="1605" t="s">
        <v>986</v>
      </c>
      <c r="FB161" s="1605" t="s">
        <v>986</v>
      </c>
      <c r="FC161" s="1605" t="s">
        <v>986</v>
      </c>
      <c r="FD161" s="1605" t="s">
        <v>986</v>
      </c>
      <c r="FE161" s="1605" t="s">
        <v>986</v>
      </c>
      <c r="FF161" s="1605" t="s">
        <v>986</v>
      </c>
      <c r="FG161" s="1605" t="s">
        <v>986</v>
      </c>
      <c r="FH161" s="1605" t="s">
        <v>986</v>
      </c>
      <c r="FI161" s="1605" t="s">
        <v>986</v>
      </c>
      <c r="FJ161" s="1605" t="s">
        <v>986</v>
      </c>
      <c r="FK161" s="1605" t="s">
        <v>986</v>
      </c>
      <c r="FL161" s="1605" t="s">
        <v>986</v>
      </c>
      <c r="FM161" s="1605" t="s">
        <v>986</v>
      </c>
      <c r="FN161" s="1605" t="s">
        <v>986</v>
      </c>
      <c r="FO161" s="1605" t="s">
        <v>986</v>
      </c>
      <c r="FP161" s="1605" t="s">
        <v>986</v>
      </c>
      <c r="FQ161" s="1605" t="s">
        <v>986</v>
      </c>
      <c r="FR161" s="1605" t="s">
        <v>986</v>
      </c>
      <c r="FS161" s="1605" t="s">
        <v>986</v>
      </c>
      <c r="FT161" s="1605" t="s">
        <v>986</v>
      </c>
      <c r="FU161" s="1605" t="s">
        <v>986</v>
      </c>
      <c r="FV161" s="1605" t="s">
        <v>986</v>
      </c>
      <c r="FW161" s="1605" t="s">
        <v>986</v>
      </c>
      <c r="FX161" s="1605" t="s">
        <v>986</v>
      </c>
      <c r="FY161" s="1605" t="s">
        <v>986</v>
      </c>
      <c r="FZ161" s="1605" t="s">
        <v>986</v>
      </c>
      <c r="GA161" s="1605" t="s">
        <v>986</v>
      </c>
      <c r="GB161" s="1605" t="s">
        <v>986</v>
      </c>
      <c r="GC161" s="1605" t="s">
        <v>986</v>
      </c>
      <c r="GD161" s="1605" t="s">
        <v>986</v>
      </c>
      <c r="GE161" s="1605" t="s">
        <v>986</v>
      </c>
      <c r="GF161" s="1605" t="s">
        <v>986</v>
      </c>
      <c r="GG161" s="1605" t="s">
        <v>986</v>
      </c>
      <c r="GH161" s="1605" t="s">
        <v>986</v>
      </c>
      <c r="GI161" s="1605" t="s">
        <v>986</v>
      </c>
      <c r="GJ161" s="1605" t="s">
        <v>986</v>
      </c>
      <c r="GK161" s="1605" t="s">
        <v>986</v>
      </c>
      <c r="GL161" s="1605" t="s">
        <v>986</v>
      </c>
      <c r="GM161" s="1605" t="s">
        <v>986</v>
      </c>
      <c r="GN161" s="1605" t="s">
        <v>986</v>
      </c>
      <c r="GO161" s="1605" t="s">
        <v>986</v>
      </c>
      <c r="GP161" s="1605" t="s">
        <v>986</v>
      </c>
      <c r="GQ161" s="1605" t="s">
        <v>986</v>
      </c>
      <c r="GR161" s="1605" t="s">
        <v>986</v>
      </c>
      <c r="GS161" s="1605" t="s">
        <v>986</v>
      </c>
      <c r="GT161" s="1605" t="s">
        <v>986</v>
      </c>
      <c r="GU161" s="1605" t="s">
        <v>986</v>
      </c>
      <c r="GV161" s="1605" t="s">
        <v>986</v>
      </c>
      <c r="GW161" s="1605" t="s">
        <v>986</v>
      </c>
      <c r="GX161" s="1605" t="s">
        <v>986</v>
      </c>
      <c r="GY161" s="1605" t="s">
        <v>986</v>
      </c>
      <c r="GZ161" s="1605" t="s">
        <v>986</v>
      </c>
      <c r="HA161" s="1605" t="s">
        <v>986</v>
      </c>
      <c r="HB161" s="1605" t="s">
        <v>986</v>
      </c>
      <c r="HC161" s="1605" t="s">
        <v>986</v>
      </c>
      <c r="HD161" s="1605" t="s">
        <v>986</v>
      </c>
      <c r="HE161" s="1605" t="s">
        <v>986</v>
      </c>
      <c r="HF161" s="1605" t="s">
        <v>986</v>
      </c>
      <c r="HG161" s="1605" t="s">
        <v>986</v>
      </c>
      <c r="HH161" s="1605" t="s">
        <v>986</v>
      </c>
      <c r="HI161" s="1605" t="s">
        <v>986</v>
      </c>
      <c r="HJ161" s="1605" t="s">
        <v>986</v>
      </c>
      <c r="HK161" s="1605" t="s">
        <v>986</v>
      </c>
      <c r="HL161" s="1605" t="s">
        <v>986</v>
      </c>
      <c r="HM161" s="1605" t="s">
        <v>986</v>
      </c>
      <c r="HN161" s="1605" t="s">
        <v>986</v>
      </c>
      <c r="HO161" s="1605" t="s">
        <v>986</v>
      </c>
      <c r="HP161" s="1605" t="s">
        <v>986</v>
      </c>
      <c r="HQ161" s="1605" t="s">
        <v>986</v>
      </c>
      <c r="HR161" s="1605" t="s">
        <v>986</v>
      </c>
      <c r="HS161" s="1605" t="s">
        <v>986</v>
      </c>
      <c r="HT161" s="1605" t="s">
        <v>986</v>
      </c>
      <c r="HU161" s="1605" t="s">
        <v>986</v>
      </c>
      <c r="HV161" s="1617"/>
      <c r="HW161" s="1617" t="s">
        <v>986</v>
      </c>
      <c r="HX161" s="1617" t="s">
        <v>986</v>
      </c>
      <c r="HY161" s="1617" t="s">
        <v>986</v>
      </c>
      <c r="HZ161" s="1603"/>
      <c r="IA161" s="1603"/>
      <c r="IB161" s="1603"/>
      <c r="IC161" s="1603">
        <v>0</v>
      </c>
      <c r="ID161" s="1603">
        <v>0</v>
      </c>
      <c r="IE161" s="1603">
        <v>0</v>
      </c>
      <c r="IF161" s="1603">
        <v>0</v>
      </c>
      <c r="IG161" s="1611" t="s">
        <v>2932</v>
      </c>
      <c r="IH161" s="1616" t="s">
        <v>270</v>
      </c>
      <c r="II161" s="1615" t="s">
        <v>270</v>
      </c>
      <c r="IJ161" s="1613">
        <v>1.3101818181818183</v>
      </c>
      <c r="IK161" s="1613">
        <v>1.301848484848485</v>
      </c>
      <c r="IL161" s="1614">
        <v>1.3101818181818183</v>
      </c>
      <c r="IM161" s="1614">
        <v>1.301848484848485</v>
      </c>
      <c r="IN161" s="1612" t="s">
        <v>270</v>
      </c>
      <c r="IO161" s="1613" t="s">
        <v>270</v>
      </c>
      <c r="IP161" s="1607" t="s">
        <v>270</v>
      </c>
      <c r="IQ161" s="1612" t="s">
        <v>270</v>
      </c>
      <c r="IR161" s="1612" t="s">
        <v>270</v>
      </c>
      <c r="IS161" s="1607">
        <v>1.1881818181818182</v>
      </c>
      <c r="IT161" s="1607">
        <v>1.1798484848484849</v>
      </c>
      <c r="IU161" s="1611">
        <v>0</v>
      </c>
      <c r="IV161" s="1611">
        <v>7.7767676767676763E-2</v>
      </c>
      <c r="IW161" s="1611">
        <v>9.0909090909090909E-4</v>
      </c>
      <c r="IX161" s="1611">
        <v>1.6060606060606061E-3</v>
      </c>
      <c r="IY161" s="1611">
        <v>9.6969696969696957E-4</v>
      </c>
      <c r="IZ161" s="1611">
        <v>5.9898989898989896E-3</v>
      </c>
      <c r="JA161" s="1611">
        <v>6.0606060606060598E-5</v>
      </c>
      <c r="JB161" s="1611" t="s">
        <v>270</v>
      </c>
      <c r="JC161" s="1611">
        <v>9.9026969696969704</v>
      </c>
      <c r="JD161" s="1611">
        <v>5.2121212121212122E-3</v>
      </c>
      <c r="JE161" s="1611" t="s">
        <v>270</v>
      </c>
      <c r="JF161" s="1611">
        <v>8.2828282828282835E-4</v>
      </c>
      <c r="JG161" s="1611">
        <v>0.57978787878787885</v>
      </c>
      <c r="JH161" s="1611">
        <v>7.646464646464647E-3</v>
      </c>
      <c r="JI161" s="1611">
        <v>0.3</v>
      </c>
      <c r="JJ161" s="1611" t="s">
        <v>270</v>
      </c>
      <c r="JK161" s="1607">
        <f t="shared" si="11"/>
        <v>0.12200000000000011</v>
      </c>
      <c r="JL161" s="1608" t="s">
        <v>270</v>
      </c>
      <c r="JM161" s="1610" t="s">
        <v>2924</v>
      </c>
      <c r="JN161" s="1608">
        <v>8.3333333333333037E-3</v>
      </c>
      <c r="JO161" s="1609" t="s">
        <v>2931</v>
      </c>
      <c r="JP161" s="1608" t="s">
        <v>270</v>
      </c>
      <c r="JQ161" s="1607">
        <v>202103</v>
      </c>
      <c r="JR161" s="1606">
        <v>851</v>
      </c>
      <c r="JS161" s="1606">
        <v>774</v>
      </c>
      <c r="JT161" s="1606">
        <v>774</v>
      </c>
    </row>
    <row r="162" spans="1:280" ht="15" customHeight="1" x14ac:dyDescent="0.2">
      <c r="A162" s="1626">
        <v>99551</v>
      </c>
      <c r="B162" s="1625">
        <v>995</v>
      </c>
      <c r="C162" s="1624">
        <v>51</v>
      </c>
      <c r="D162" s="1623" t="s">
        <v>3368</v>
      </c>
      <c r="E162" s="1622">
        <v>43031</v>
      </c>
      <c r="F162" s="1620">
        <v>0.79427375400657396</v>
      </c>
      <c r="G162" s="1620">
        <v>0.76126497461929199</v>
      </c>
      <c r="H162" s="1621">
        <v>100</v>
      </c>
      <c r="I162" s="1621">
        <v>100</v>
      </c>
      <c r="J162" s="1621">
        <v>100</v>
      </c>
      <c r="K162" s="1620">
        <v>1</v>
      </c>
      <c r="L162" s="1620">
        <v>55</v>
      </c>
      <c r="M162" s="1620">
        <v>32.720812182741099</v>
      </c>
      <c r="N162" s="1620">
        <v>0</v>
      </c>
      <c r="O162" s="1620">
        <v>0.3</v>
      </c>
      <c r="P162" s="1620">
        <v>0</v>
      </c>
      <c r="Q162" s="1603"/>
      <c r="R162" s="1620">
        <v>75</v>
      </c>
      <c r="S162" s="1620">
        <v>0</v>
      </c>
      <c r="T162" s="1620">
        <v>0</v>
      </c>
      <c r="U162" s="1620">
        <v>0</v>
      </c>
      <c r="V162" s="1620">
        <v>0</v>
      </c>
      <c r="W162" s="1620">
        <v>0</v>
      </c>
      <c r="X162" s="1620"/>
      <c r="Y162" s="1620">
        <v>0</v>
      </c>
      <c r="Z162" s="1620">
        <v>0</v>
      </c>
      <c r="AA162" s="1620">
        <v>0</v>
      </c>
      <c r="AB162" s="1620">
        <v>0</v>
      </c>
      <c r="AC162" s="1620">
        <v>0</v>
      </c>
      <c r="AD162" s="1620">
        <v>0</v>
      </c>
      <c r="AE162" s="1620">
        <v>0</v>
      </c>
      <c r="AF162" s="1620">
        <v>0</v>
      </c>
      <c r="AG162" s="1620">
        <v>0</v>
      </c>
      <c r="AH162" s="1620">
        <v>0</v>
      </c>
      <c r="AI162" s="1620">
        <v>0</v>
      </c>
      <c r="AJ162" s="1620">
        <v>0</v>
      </c>
      <c r="AK162" s="1620">
        <v>0</v>
      </c>
      <c r="AL162" s="1620"/>
      <c r="AM162" s="1620">
        <v>152.807942910332</v>
      </c>
      <c r="AN162" s="1620">
        <v>0</v>
      </c>
      <c r="AO162" s="1620">
        <v>0</v>
      </c>
      <c r="AP162" s="1620">
        <v>0</v>
      </c>
      <c r="AQ162" s="1620">
        <v>0</v>
      </c>
      <c r="AR162" s="1620">
        <v>0</v>
      </c>
      <c r="AS162" s="1620">
        <v>0</v>
      </c>
      <c r="AT162" s="1620">
        <v>0</v>
      </c>
      <c r="AU162" s="1620">
        <v>0</v>
      </c>
      <c r="AV162" s="1620">
        <v>0</v>
      </c>
      <c r="AW162" s="1620">
        <v>0</v>
      </c>
      <c r="AX162" s="1620"/>
      <c r="AY162" s="1620">
        <v>1</v>
      </c>
      <c r="AZ162" s="1620">
        <v>0.85</v>
      </c>
      <c r="BA162" s="1620">
        <v>0.85</v>
      </c>
      <c r="BB162" s="1620">
        <v>0.85</v>
      </c>
      <c r="BC162" s="1620">
        <v>0.85</v>
      </c>
      <c r="BD162" s="1620">
        <v>0.85</v>
      </c>
      <c r="BE162" s="1620">
        <v>0.85</v>
      </c>
      <c r="BF162" s="1620">
        <v>0.85</v>
      </c>
      <c r="BG162" s="1620">
        <v>0.85</v>
      </c>
      <c r="BH162" s="1620">
        <v>0.85</v>
      </c>
      <c r="BI162" s="1620">
        <v>0.85</v>
      </c>
      <c r="BJ162" s="1603"/>
      <c r="BK162" s="1620">
        <v>59.492385786802004</v>
      </c>
      <c r="BL162" s="1620">
        <v>0</v>
      </c>
      <c r="BM162" s="1620">
        <v>0.54545454545454541</v>
      </c>
      <c r="BN162" s="1620">
        <v>0</v>
      </c>
      <c r="BO162" s="1620"/>
      <c r="BP162" s="1620">
        <v>0</v>
      </c>
      <c r="BQ162" s="1620">
        <v>0</v>
      </c>
      <c r="BR162" s="1620">
        <v>1.4441340981937709</v>
      </c>
      <c r="BS162" s="1620">
        <v>1.38411813567144</v>
      </c>
      <c r="BT162" s="1603"/>
      <c r="BU162" s="1620">
        <v>994.5454545454545</v>
      </c>
      <c r="BV162" s="1620">
        <v>453.16474388555633</v>
      </c>
      <c r="BW162" s="1620">
        <v>0</v>
      </c>
      <c r="BX162" s="1620" t="s">
        <v>270</v>
      </c>
      <c r="BY162" s="1620" t="s">
        <v>270</v>
      </c>
      <c r="BZ162" s="1620" t="s">
        <v>270</v>
      </c>
      <c r="CA162" s="1620" t="s">
        <v>270</v>
      </c>
      <c r="CB162" s="1603"/>
      <c r="CC162" s="1603">
        <v>0</v>
      </c>
      <c r="CD162" s="1603">
        <v>0</v>
      </c>
      <c r="CE162" s="1603">
        <v>0</v>
      </c>
      <c r="CF162" s="1603">
        <v>0</v>
      </c>
      <c r="CG162" s="1603">
        <v>0</v>
      </c>
      <c r="CH162" s="1603">
        <v>0</v>
      </c>
      <c r="CI162" s="1603">
        <v>0</v>
      </c>
      <c r="CJ162" s="1603"/>
      <c r="CK162" s="1603">
        <v>0</v>
      </c>
      <c r="CL162" s="1603">
        <v>0</v>
      </c>
      <c r="CM162" s="1603">
        <v>0</v>
      </c>
      <c r="CN162" s="1603">
        <v>0</v>
      </c>
      <c r="CO162" s="1603">
        <v>0</v>
      </c>
      <c r="CP162" s="1603">
        <v>0</v>
      </c>
      <c r="CQ162" s="1603">
        <v>245.40609137055799</v>
      </c>
      <c r="CR162" s="1603">
        <v>308.96915595240336</v>
      </c>
      <c r="CS162" s="1603">
        <v>472.12941143828385</v>
      </c>
      <c r="CT162" s="1603">
        <v>0</v>
      </c>
      <c r="CU162" s="1603">
        <v>0</v>
      </c>
      <c r="CV162" s="1603">
        <v>0</v>
      </c>
      <c r="CW162" s="1603">
        <v>0</v>
      </c>
      <c r="CX162" s="1603">
        <v>0</v>
      </c>
      <c r="CY162" s="1603">
        <v>0</v>
      </c>
      <c r="CZ162" s="1603">
        <v>0</v>
      </c>
      <c r="DA162" s="1603">
        <v>0</v>
      </c>
      <c r="DB162" s="1603">
        <v>0</v>
      </c>
      <c r="DC162" s="1603">
        <v>0</v>
      </c>
      <c r="DD162" s="1603">
        <v>0</v>
      </c>
      <c r="DE162" s="1603">
        <v>0</v>
      </c>
      <c r="DF162" s="1603">
        <v>0</v>
      </c>
      <c r="DG162" s="1603">
        <v>0</v>
      </c>
      <c r="DH162" s="1603">
        <v>0</v>
      </c>
      <c r="DI162" s="1603">
        <v>0</v>
      </c>
      <c r="DJ162" s="1603">
        <v>0</v>
      </c>
      <c r="DK162" s="1603">
        <v>0</v>
      </c>
      <c r="DL162" s="1603">
        <v>0</v>
      </c>
      <c r="DM162" s="1603">
        <v>0</v>
      </c>
      <c r="DN162" s="1603">
        <v>0</v>
      </c>
      <c r="DO162" s="1603">
        <v>0</v>
      </c>
      <c r="DP162" s="1603">
        <v>0</v>
      </c>
      <c r="DQ162" s="1603">
        <v>0</v>
      </c>
      <c r="DR162" s="1603">
        <v>0</v>
      </c>
      <c r="DS162" s="1603">
        <v>0</v>
      </c>
      <c r="DT162" s="1603">
        <v>0</v>
      </c>
      <c r="DU162" s="1603">
        <v>0</v>
      </c>
      <c r="DV162" s="1603">
        <v>0</v>
      </c>
      <c r="DW162" s="1618" t="s">
        <v>986</v>
      </c>
      <c r="DX162" s="1605" t="s">
        <v>986</v>
      </c>
      <c r="DY162" s="1605" t="s">
        <v>986</v>
      </c>
      <c r="DZ162" s="1605" t="s">
        <v>986</v>
      </c>
      <c r="EA162" s="1605" t="s">
        <v>986</v>
      </c>
      <c r="EB162" s="1605" t="s">
        <v>986</v>
      </c>
      <c r="EC162" s="1605" t="s">
        <v>986</v>
      </c>
      <c r="ED162" s="1605" t="s">
        <v>986</v>
      </c>
      <c r="EE162" s="1605" t="s">
        <v>986</v>
      </c>
      <c r="EF162" s="1605" t="s">
        <v>986</v>
      </c>
      <c r="EG162" s="1605" t="s">
        <v>986</v>
      </c>
      <c r="EH162" s="1605" t="s">
        <v>986</v>
      </c>
      <c r="EI162" s="1605" t="s">
        <v>986</v>
      </c>
      <c r="EJ162" s="1605" t="s">
        <v>986</v>
      </c>
      <c r="EK162" s="1605" t="s">
        <v>986</v>
      </c>
      <c r="EL162" s="1605" t="s">
        <v>986</v>
      </c>
      <c r="EM162" s="1605" t="s">
        <v>986</v>
      </c>
      <c r="EN162" s="1605" t="s">
        <v>986</v>
      </c>
      <c r="EO162" s="1605" t="s">
        <v>986</v>
      </c>
      <c r="EP162" s="1605" t="s">
        <v>986</v>
      </c>
      <c r="EQ162" s="1605" t="s">
        <v>986</v>
      </c>
      <c r="ER162" s="1605" t="s">
        <v>986</v>
      </c>
      <c r="ES162" s="1605" t="s">
        <v>986</v>
      </c>
      <c r="ET162" s="1605" t="s">
        <v>986</v>
      </c>
      <c r="EU162" s="1605" t="s">
        <v>986</v>
      </c>
      <c r="EV162" s="1605" t="s">
        <v>986</v>
      </c>
      <c r="EW162" s="1605" t="s">
        <v>986</v>
      </c>
      <c r="EX162" s="1605" t="s">
        <v>986</v>
      </c>
      <c r="EY162" s="1605" t="s">
        <v>986</v>
      </c>
      <c r="EZ162" s="1605" t="s">
        <v>986</v>
      </c>
      <c r="FA162" s="1605" t="s">
        <v>986</v>
      </c>
      <c r="FB162" s="1605" t="s">
        <v>986</v>
      </c>
      <c r="FC162" s="1605" t="s">
        <v>986</v>
      </c>
      <c r="FD162" s="1605" t="s">
        <v>986</v>
      </c>
      <c r="FE162" s="1605" t="s">
        <v>986</v>
      </c>
      <c r="FF162" s="1605" t="s">
        <v>986</v>
      </c>
      <c r="FG162" s="1605" t="s">
        <v>986</v>
      </c>
      <c r="FH162" s="1605" t="s">
        <v>986</v>
      </c>
      <c r="FI162" s="1605" t="s">
        <v>986</v>
      </c>
      <c r="FJ162" s="1605" t="s">
        <v>986</v>
      </c>
      <c r="FK162" s="1605" t="s">
        <v>986</v>
      </c>
      <c r="FL162" s="1605" t="s">
        <v>986</v>
      </c>
      <c r="FM162" s="1605" t="s">
        <v>986</v>
      </c>
      <c r="FN162" s="1605" t="s">
        <v>986</v>
      </c>
      <c r="FO162" s="1605" t="s">
        <v>986</v>
      </c>
      <c r="FP162" s="1605" t="s">
        <v>986</v>
      </c>
      <c r="FQ162" s="1605" t="s">
        <v>986</v>
      </c>
      <c r="FR162" s="1605" t="s">
        <v>986</v>
      </c>
      <c r="FS162" s="1605" t="s">
        <v>986</v>
      </c>
      <c r="FT162" s="1605" t="s">
        <v>986</v>
      </c>
      <c r="FU162" s="1605" t="s">
        <v>986</v>
      </c>
      <c r="FV162" s="1605" t="s">
        <v>986</v>
      </c>
      <c r="FW162" s="1605" t="s">
        <v>986</v>
      </c>
      <c r="FX162" s="1605" t="s">
        <v>986</v>
      </c>
      <c r="FY162" s="1605" t="s">
        <v>986</v>
      </c>
      <c r="FZ162" s="1605" t="s">
        <v>986</v>
      </c>
      <c r="GA162" s="1605" t="s">
        <v>986</v>
      </c>
      <c r="GB162" s="1605" t="s">
        <v>986</v>
      </c>
      <c r="GC162" s="1605" t="s">
        <v>986</v>
      </c>
      <c r="GD162" s="1605" t="s">
        <v>986</v>
      </c>
      <c r="GE162" s="1605" t="s">
        <v>986</v>
      </c>
      <c r="GF162" s="1605" t="s">
        <v>986</v>
      </c>
      <c r="GG162" s="1605" t="s">
        <v>986</v>
      </c>
      <c r="GH162" s="1605" t="s">
        <v>986</v>
      </c>
      <c r="GI162" s="1605" t="s">
        <v>986</v>
      </c>
      <c r="GJ162" s="1605" t="s">
        <v>986</v>
      </c>
      <c r="GK162" s="1605" t="s">
        <v>986</v>
      </c>
      <c r="GL162" s="1605" t="s">
        <v>986</v>
      </c>
      <c r="GM162" s="1605" t="s">
        <v>986</v>
      </c>
      <c r="GN162" s="1605" t="s">
        <v>986</v>
      </c>
      <c r="GO162" s="1605" t="s">
        <v>986</v>
      </c>
      <c r="GP162" s="1605" t="s">
        <v>986</v>
      </c>
      <c r="GQ162" s="1605" t="s">
        <v>986</v>
      </c>
      <c r="GR162" s="1605" t="s">
        <v>986</v>
      </c>
      <c r="GS162" s="1605" t="s">
        <v>986</v>
      </c>
      <c r="GT162" s="1605" t="s">
        <v>986</v>
      </c>
      <c r="GU162" s="1605" t="s">
        <v>986</v>
      </c>
      <c r="GV162" s="1605" t="s">
        <v>986</v>
      </c>
      <c r="GW162" s="1605" t="s">
        <v>986</v>
      </c>
      <c r="GX162" s="1605" t="s">
        <v>986</v>
      </c>
      <c r="GY162" s="1605" t="s">
        <v>986</v>
      </c>
      <c r="GZ162" s="1605" t="s">
        <v>986</v>
      </c>
      <c r="HA162" s="1605" t="s">
        <v>986</v>
      </c>
      <c r="HB162" s="1605" t="s">
        <v>986</v>
      </c>
      <c r="HC162" s="1605" t="s">
        <v>986</v>
      </c>
      <c r="HD162" s="1605" t="s">
        <v>986</v>
      </c>
      <c r="HE162" s="1605" t="s">
        <v>986</v>
      </c>
      <c r="HF162" s="1605" t="s">
        <v>986</v>
      </c>
      <c r="HG162" s="1605" t="s">
        <v>986</v>
      </c>
      <c r="HH162" s="1605" t="s">
        <v>986</v>
      </c>
      <c r="HI162" s="1605" t="s">
        <v>986</v>
      </c>
      <c r="HJ162" s="1605" t="s">
        <v>986</v>
      </c>
      <c r="HK162" s="1605" t="s">
        <v>986</v>
      </c>
      <c r="HL162" s="1605" t="s">
        <v>986</v>
      </c>
      <c r="HM162" s="1605" t="s">
        <v>986</v>
      </c>
      <c r="HN162" s="1605" t="s">
        <v>986</v>
      </c>
      <c r="HO162" s="1605" t="s">
        <v>986</v>
      </c>
      <c r="HP162" s="1605" t="s">
        <v>986</v>
      </c>
      <c r="HQ162" s="1605" t="s">
        <v>986</v>
      </c>
      <c r="HR162" s="1605" t="s">
        <v>986</v>
      </c>
      <c r="HS162" s="1605" t="s">
        <v>986</v>
      </c>
      <c r="HT162" s="1605" t="s">
        <v>986</v>
      </c>
      <c r="HU162" s="1605" t="s">
        <v>986</v>
      </c>
      <c r="HV162" s="1617"/>
      <c r="HW162" s="1617" t="s">
        <v>986</v>
      </c>
      <c r="HX162" s="1617" t="s">
        <v>986</v>
      </c>
      <c r="HY162" s="1617" t="s">
        <v>986</v>
      </c>
      <c r="HZ162" s="1603"/>
      <c r="IA162" s="1603"/>
      <c r="IB162" s="1603"/>
      <c r="IC162" s="1603">
        <v>0</v>
      </c>
      <c r="ID162" s="1603">
        <v>0</v>
      </c>
      <c r="IE162" s="1603">
        <v>0</v>
      </c>
      <c r="IF162" s="1603">
        <v>0</v>
      </c>
      <c r="IG162" s="1611" t="s">
        <v>2932</v>
      </c>
      <c r="IH162" s="1616" t="s">
        <v>270</v>
      </c>
      <c r="II162" s="1615" t="s">
        <v>270</v>
      </c>
      <c r="IJ162" s="1613">
        <v>1.3101818181818183</v>
      </c>
      <c r="IK162" s="1613">
        <v>1.301848484848485</v>
      </c>
      <c r="IL162" s="1614">
        <v>1.3101818181818183</v>
      </c>
      <c r="IM162" s="1614">
        <v>1.301848484848485</v>
      </c>
      <c r="IN162" s="1612" t="s">
        <v>270</v>
      </c>
      <c r="IO162" s="1613" t="s">
        <v>270</v>
      </c>
      <c r="IP162" s="1607" t="s">
        <v>270</v>
      </c>
      <c r="IQ162" s="1612" t="s">
        <v>270</v>
      </c>
      <c r="IR162" s="1612" t="s">
        <v>270</v>
      </c>
      <c r="IS162" s="1607">
        <v>1.1881818181818182</v>
      </c>
      <c r="IT162" s="1607">
        <v>1.1798484848484849</v>
      </c>
      <c r="IU162" s="1611">
        <v>0</v>
      </c>
      <c r="IV162" s="1611">
        <v>7.7767676767676763E-2</v>
      </c>
      <c r="IW162" s="1611">
        <v>9.0909090909090909E-4</v>
      </c>
      <c r="IX162" s="1611">
        <v>1.6060606060606061E-3</v>
      </c>
      <c r="IY162" s="1611">
        <v>9.6969696969696957E-4</v>
      </c>
      <c r="IZ162" s="1611">
        <v>5.9898989898989896E-3</v>
      </c>
      <c r="JA162" s="1611">
        <v>6.0606060606060598E-5</v>
      </c>
      <c r="JB162" s="1611" t="s">
        <v>270</v>
      </c>
      <c r="JC162" s="1611">
        <v>9.9026969696969704</v>
      </c>
      <c r="JD162" s="1611">
        <v>5.2121212121212122E-3</v>
      </c>
      <c r="JE162" s="1611" t="s">
        <v>270</v>
      </c>
      <c r="JF162" s="1611">
        <v>8.2828282828282835E-4</v>
      </c>
      <c r="JG162" s="1611">
        <v>0.57978787878787885</v>
      </c>
      <c r="JH162" s="1611">
        <v>7.646464646464647E-3</v>
      </c>
      <c r="JI162" s="1611">
        <v>0.3</v>
      </c>
      <c r="JJ162" s="1611" t="s">
        <v>270</v>
      </c>
      <c r="JK162" s="1607">
        <f t="shared" si="11"/>
        <v>0.12200000000000011</v>
      </c>
      <c r="JL162" s="1608" t="s">
        <v>270</v>
      </c>
      <c r="JM162" s="1610" t="s">
        <v>2924</v>
      </c>
      <c r="JN162" s="1608">
        <v>8.3333333333333037E-3</v>
      </c>
      <c r="JO162" s="1609" t="s">
        <v>2931</v>
      </c>
      <c r="JP162" s="1608" t="s">
        <v>270</v>
      </c>
      <c r="JQ162" s="1607">
        <v>202103</v>
      </c>
      <c r="JR162" s="1606">
        <v>851</v>
      </c>
      <c r="JS162" s="1606">
        <v>774</v>
      </c>
      <c r="JT162" s="1606">
        <v>774</v>
      </c>
    </row>
    <row r="163" spans="1:280" ht="15" customHeight="1" x14ac:dyDescent="0.2">
      <c r="A163" s="1626">
        <v>78300</v>
      </c>
      <c r="B163" s="1625">
        <v>783</v>
      </c>
      <c r="C163" s="1624">
        <v>0</v>
      </c>
      <c r="D163" s="1623" t="s">
        <v>3367</v>
      </c>
      <c r="E163" s="1622">
        <v>43031</v>
      </c>
      <c r="F163" s="1620">
        <v>1.5182291424699901</v>
      </c>
      <c r="G163" s="1620">
        <v>1.4564522578849699</v>
      </c>
      <c r="H163" s="1621">
        <v>99.7</v>
      </c>
      <c r="I163" s="1621">
        <v>99.5</v>
      </c>
      <c r="J163" s="1621">
        <v>94.4</v>
      </c>
      <c r="K163" s="1620">
        <v>1</v>
      </c>
      <c r="L163" s="1620">
        <v>99</v>
      </c>
      <c r="M163" s="1620">
        <v>1</v>
      </c>
      <c r="N163" s="1620">
        <v>0.45</v>
      </c>
      <c r="O163" s="1620">
        <v>3</v>
      </c>
      <c r="P163" s="1620">
        <v>0</v>
      </c>
      <c r="Q163" s="1603"/>
      <c r="R163" s="1620">
        <v>85</v>
      </c>
      <c r="S163" s="1620">
        <v>58</v>
      </c>
      <c r="T163" s="1620">
        <v>58</v>
      </c>
      <c r="U163" s="1620">
        <v>58</v>
      </c>
      <c r="V163" s="1620">
        <v>58</v>
      </c>
      <c r="W163" s="1620">
        <v>58</v>
      </c>
      <c r="X163" s="1620"/>
      <c r="Y163" s="1620">
        <v>1.595959595959596</v>
      </c>
      <c r="Z163" s="1620">
        <v>1.5151515151515151</v>
      </c>
      <c r="AA163" s="1620">
        <v>1.1919191919191918</v>
      </c>
      <c r="AB163" s="1620">
        <v>15</v>
      </c>
      <c r="AC163" s="1620">
        <v>22</v>
      </c>
      <c r="AD163" s="1620">
        <v>1.5353535353535352</v>
      </c>
      <c r="AE163" s="1620">
        <v>2</v>
      </c>
      <c r="AF163" s="1620">
        <v>4</v>
      </c>
      <c r="AG163" s="1620">
        <v>3</v>
      </c>
      <c r="AH163" s="1620">
        <v>2</v>
      </c>
      <c r="AI163" s="1620">
        <v>2</v>
      </c>
      <c r="AJ163" s="1620">
        <v>0</v>
      </c>
      <c r="AK163" s="1620">
        <v>0.05</v>
      </c>
      <c r="AL163" s="1620"/>
      <c r="AM163" s="1620">
        <v>7.47</v>
      </c>
      <c r="AN163" s="1620">
        <v>1.45</v>
      </c>
      <c r="AO163" s="1620">
        <v>1.82</v>
      </c>
      <c r="AP163" s="1620">
        <v>6.07</v>
      </c>
      <c r="AQ163" s="1620">
        <v>1.29</v>
      </c>
      <c r="AR163" s="1620">
        <v>5.88</v>
      </c>
      <c r="AS163" s="1620">
        <v>8.6300000000000008</v>
      </c>
      <c r="AT163" s="1620">
        <v>2.15</v>
      </c>
      <c r="AU163" s="1620">
        <v>3</v>
      </c>
      <c r="AV163" s="1620">
        <v>2.75</v>
      </c>
      <c r="AW163" s="1620">
        <v>5.29</v>
      </c>
      <c r="AX163" s="1620"/>
      <c r="AY163" s="1620">
        <v>0.89</v>
      </c>
      <c r="AZ163" s="1620">
        <v>1.06</v>
      </c>
      <c r="BA163" s="1620">
        <v>1.04</v>
      </c>
      <c r="BB163" s="1620">
        <v>1.01</v>
      </c>
      <c r="BC163" s="1620">
        <v>1.08</v>
      </c>
      <c r="BD163" s="1620">
        <v>1.05</v>
      </c>
      <c r="BE163" s="1620">
        <v>1.0900000000000001</v>
      </c>
      <c r="BF163" s="1620">
        <v>1.05</v>
      </c>
      <c r="BG163" s="1620">
        <v>1.02</v>
      </c>
      <c r="BH163" s="1620">
        <v>1.1200000000000001</v>
      </c>
      <c r="BI163" s="1620">
        <v>1.05</v>
      </c>
      <c r="BJ163" s="1603"/>
      <c r="BK163" s="1620">
        <v>1.0101010101010102</v>
      </c>
      <c r="BL163" s="1620">
        <v>0.45454545454545453</v>
      </c>
      <c r="BM163" s="1620">
        <v>3.0303030303030303</v>
      </c>
      <c r="BN163" s="1620">
        <v>0</v>
      </c>
      <c r="BO163" s="1620"/>
      <c r="BP163" s="1620">
        <v>34</v>
      </c>
      <c r="BQ163" s="1620">
        <v>1.5454545454545454</v>
      </c>
      <c r="BR163" s="1620">
        <v>1.5335647903737273</v>
      </c>
      <c r="BS163" s="1620">
        <v>1.471163896853505</v>
      </c>
      <c r="BT163" s="1603"/>
      <c r="BU163" s="1620">
        <v>969.69696969696975</v>
      </c>
      <c r="BV163" s="1620">
        <v>950.41630591630599</v>
      </c>
      <c r="BW163" s="1620">
        <v>2.7705627705628082</v>
      </c>
      <c r="BX163" s="1620">
        <v>0</v>
      </c>
      <c r="BY163" s="1620">
        <v>775</v>
      </c>
      <c r="BZ163" s="1620">
        <v>0</v>
      </c>
      <c r="CA163" s="1620">
        <v>0</v>
      </c>
      <c r="CB163" s="1603"/>
      <c r="CC163" s="1603">
        <v>1.58</v>
      </c>
      <c r="CD163" s="1603">
        <v>1.5</v>
      </c>
      <c r="CE163" s="1603">
        <v>1.18</v>
      </c>
      <c r="CF163" s="1603">
        <v>14.85</v>
      </c>
      <c r="CG163" s="1603">
        <v>21.78</v>
      </c>
      <c r="CH163" s="1603">
        <v>1.5199999999999998</v>
      </c>
      <c r="CI163" s="1603">
        <v>1.98</v>
      </c>
      <c r="CJ163" s="1603"/>
      <c r="CK163" s="1603">
        <v>3.96</v>
      </c>
      <c r="CL163" s="1603">
        <v>2.9699999999999998</v>
      </c>
      <c r="CM163" s="1603">
        <v>1.98</v>
      </c>
      <c r="CN163" s="1603">
        <v>1.98</v>
      </c>
      <c r="CO163" s="1603">
        <v>0</v>
      </c>
      <c r="CP163" s="1603">
        <v>4.9500000000000002E-2</v>
      </c>
      <c r="CQ163" s="1603">
        <v>7.8</v>
      </c>
      <c r="CR163" s="1603">
        <v>5.1375644043495745</v>
      </c>
      <c r="CS163" s="1603">
        <v>0.36226415671695722</v>
      </c>
      <c r="CT163" s="1603">
        <v>6.5866210312174031E-2</v>
      </c>
      <c r="CU163" s="1603">
        <v>0.13173242062434806</v>
      </c>
      <c r="CV163" s="1603">
        <v>0.19759863093652208</v>
      </c>
      <c r="CW163" s="1603">
        <v>0.30298456743600055</v>
      </c>
      <c r="CX163" s="1603">
        <v>7.2452831343391436E-2</v>
      </c>
      <c r="CY163" s="1603">
        <v>0.34565928509725807</v>
      </c>
      <c r="CZ163" s="1603">
        <v>0.52664612846199843</v>
      </c>
      <c r="DA163" s="1603">
        <v>0.10538593649947846</v>
      </c>
      <c r="DB163" s="1603">
        <v>0.17131801302196467</v>
      </c>
      <c r="DC163" s="1603">
        <v>0.1724377385972716</v>
      </c>
      <c r="DD163" s="1603">
        <v>0.34375575161923633</v>
      </c>
      <c r="DE163" s="1603">
        <v>0.29639794640478317</v>
      </c>
      <c r="DF163" s="1603">
        <v>0</v>
      </c>
      <c r="DG163" s="1603">
        <v>0</v>
      </c>
      <c r="DH163" s="1603">
        <v>0</v>
      </c>
      <c r="DI163" s="1603">
        <v>0</v>
      </c>
      <c r="DJ163" s="1603">
        <v>0</v>
      </c>
      <c r="DK163" s="1603">
        <v>0</v>
      </c>
      <c r="DL163" s="1603">
        <v>0</v>
      </c>
      <c r="DM163" s="1603">
        <v>0</v>
      </c>
      <c r="DN163" s="1603">
        <v>0</v>
      </c>
      <c r="DO163" s="1603">
        <v>0</v>
      </c>
      <c r="DP163" s="1603">
        <v>0</v>
      </c>
      <c r="DQ163" s="1603">
        <v>0</v>
      </c>
      <c r="DR163" s="1603">
        <v>0</v>
      </c>
      <c r="DS163" s="1603">
        <v>0</v>
      </c>
      <c r="DT163" s="1603">
        <v>0</v>
      </c>
      <c r="DU163" s="1603">
        <v>0</v>
      </c>
      <c r="DV163" s="1603">
        <v>0</v>
      </c>
      <c r="DW163" s="1618" t="s">
        <v>3366</v>
      </c>
      <c r="DX163" s="1605" t="s">
        <v>986</v>
      </c>
      <c r="DY163" s="1605" t="s">
        <v>986</v>
      </c>
      <c r="DZ163" s="1605" t="s">
        <v>986</v>
      </c>
      <c r="EA163" s="1605" t="s">
        <v>986</v>
      </c>
      <c r="EB163" s="1605" t="s">
        <v>986</v>
      </c>
      <c r="EC163" s="1605" t="s">
        <v>986</v>
      </c>
      <c r="ED163" s="1605" t="s">
        <v>986</v>
      </c>
      <c r="EE163" s="1605" t="s">
        <v>986</v>
      </c>
      <c r="EF163" s="1605" t="s">
        <v>986</v>
      </c>
      <c r="EG163" s="1605" t="s">
        <v>986</v>
      </c>
      <c r="EH163" s="1605" t="s">
        <v>986</v>
      </c>
      <c r="EI163" s="1605" t="s">
        <v>986</v>
      </c>
      <c r="EJ163" s="1605" t="s">
        <v>986</v>
      </c>
      <c r="EK163" s="1605" t="s">
        <v>986</v>
      </c>
      <c r="EL163" s="1605" t="s">
        <v>986</v>
      </c>
      <c r="EM163" s="1605" t="s">
        <v>986</v>
      </c>
      <c r="EN163" s="1605" t="s">
        <v>986</v>
      </c>
      <c r="EO163" s="1605" t="s">
        <v>986</v>
      </c>
      <c r="EP163" s="1605" t="s">
        <v>986</v>
      </c>
      <c r="EQ163" s="1605" t="s">
        <v>986</v>
      </c>
      <c r="ER163" s="1605" t="s">
        <v>986</v>
      </c>
      <c r="ES163" s="1605" t="s">
        <v>986</v>
      </c>
      <c r="ET163" s="1605" t="s">
        <v>986</v>
      </c>
      <c r="EU163" s="1605" t="s">
        <v>986</v>
      </c>
      <c r="EV163" s="1605" t="s">
        <v>986</v>
      </c>
      <c r="EW163" s="1605" t="s">
        <v>986</v>
      </c>
      <c r="EX163" s="1605" t="s">
        <v>986</v>
      </c>
      <c r="EY163" s="1605" t="s">
        <v>986</v>
      </c>
      <c r="EZ163" s="1605" t="s">
        <v>986</v>
      </c>
      <c r="FA163" s="1605" t="s">
        <v>986</v>
      </c>
      <c r="FB163" s="1605" t="s">
        <v>986</v>
      </c>
      <c r="FC163" s="1605" t="s">
        <v>986</v>
      </c>
      <c r="FD163" s="1605" t="s">
        <v>986</v>
      </c>
      <c r="FE163" s="1605" t="s">
        <v>986</v>
      </c>
      <c r="FF163" s="1605" t="s">
        <v>986</v>
      </c>
      <c r="FG163" s="1605" t="s">
        <v>986</v>
      </c>
      <c r="FH163" s="1605" t="s">
        <v>986</v>
      </c>
      <c r="FI163" s="1605" t="s">
        <v>986</v>
      </c>
      <c r="FJ163" s="1605" t="s">
        <v>986</v>
      </c>
      <c r="FK163" s="1605" t="s">
        <v>986</v>
      </c>
      <c r="FL163" s="1605" t="s">
        <v>986</v>
      </c>
      <c r="FM163" s="1605" t="s">
        <v>986</v>
      </c>
      <c r="FN163" s="1605" t="s">
        <v>986</v>
      </c>
      <c r="FO163" s="1605" t="s">
        <v>986</v>
      </c>
      <c r="FP163" s="1605" t="s">
        <v>986</v>
      </c>
      <c r="FQ163" s="1605" t="s">
        <v>986</v>
      </c>
      <c r="FR163" s="1605" t="s">
        <v>986</v>
      </c>
      <c r="FS163" s="1605" t="s">
        <v>986</v>
      </c>
      <c r="FT163" s="1605" t="s">
        <v>986</v>
      </c>
      <c r="FU163" s="1605" t="s">
        <v>986</v>
      </c>
      <c r="FV163" s="1605" t="s">
        <v>986</v>
      </c>
      <c r="FW163" s="1605" t="s">
        <v>986</v>
      </c>
      <c r="FX163" s="1605" t="s">
        <v>986</v>
      </c>
      <c r="FY163" s="1605" t="s">
        <v>986</v>
      </c>
      <c r="FZ163" s="1605" t="s">
        <v>986</v>
      </c>
      <c r="GA163" s="1605" t="s">
        <v>986</v>
      </c>
      <c r="GB163" s="1605" t="s">
        <v>986</v>
      </c>
      <c r="GC163" s="1605" t="s">
        <v>986</v>
      </c>
      <c r="GD163" s="1605" t="s">
        <v>986</v>
      </c>
      <c r="GE163" s="1605" t="s">
        <v>986</v>
      </c>
      <c r="GF163" s="1605" t="s">
        <v>986</v>
      </c>
      <c r="GG163" s="1605" t="s">
        <v>986</v>
      </c>
      <c r="GH163" s="1605" t="s">
        <v>986</v>
      </c>
      <c r="GI163" s="1605" t="s">
        <v>986</v>
      </c>
      <c r="GJ163" s="1605" t="s">
        <v>986</v>
      </c>
      <c r="GK163" s="1605" t="s">
        <v>986</v>
      </c>
      <c r="GL163" s="1605" t="s">
        <v>986</v>
      </c>
      <c r="GM163" s="1605" t="s">
        <v>986</v>
      </c>
      <c r="GN163" s="1605" t="s">
        <v>986</v>
      </c>
      <c r="GO163" s="1605" t="s">
        <v>986</v>
      </c>
      <c r="GP163" s="1605" t="s">
        <v>986</v>
      </c>
      <c r="GQ163" s="1605" t="s">
        <v>986</v>
      </c>
      <c r="GR163" s="1605" t="s">
        <v>986</v>
      </c>
      <c r="GS163" s="1605" t="s">
        <v>986</v>
      </c>
      <c r="GT163" s="1605" t="s">
        <v>986</v>
      </c>
      <c r="GU163" s="1605" t="s">
        <v>986</v>
      </c>
      <c r="GV163" s="1605" t="s">
        <v>986</v>
      </c>
      <c r="GW163" s="1605" t="s">
        <v>986</v>
      </c>
      <c r="GX163" s="1605" t="s">
        <v>986</v>
      </c>
      <c r="GY163" s="1605" t="s">
        <v>986</v>
      </c>
      <c r="GZ163" s="1605" t="s">
        <v>986</v>
      </c>
      <c r="HA163" s="1605" t="s">
        <v>986</v>
      </c>
      <c r="HB163" s="1605" t="s">
        <v>986</v>
      </c>
      <c r="HC163" s="1605" t="s">
        <v>986</v>
      </c>
      <c r="HD163" s="1605" t="s">
        <v>986</v>
      </c>
      <c r="HE163" s="1605" t="s">
        <v>986</v>
      </c>
      <c r="HF163" s="1605" t="s">
        <v>986</v>
      </c>
      <c r="HG163" s="1605" t="s">
        <v>986</v>
      </c>
      <c r="HH163" s="1605" t="s">
        <v>986</v>
      </c>
      <c r="HI163" s="1605" t="s">
        <v>986</v>
      </c>
      <c r="HJ163" s="1605" t="s">
        <v>986</v>
      </c>
      <c r="HK163" s="1605" t="s">
        <v>986</v>
      </c>
      <c r="HL163" s="1605" t="s">
        <v>986</v>
      </c>
      <c r="HM163" s="1605" t="s">
        <v>986</v>
      </c>
      <c r="HN163" s="1605" t="s">
        <v>986</v>
      </c>
      <c r="HO163" s="1605" t="s">
        <v>986</v>
      </c>
      <c r="HP163" s="1605" t="s">
        <v>986</v>
      </c>
      <c r="HQ163" s="1605" t="s">
        <v>986</v>
      </c>
      <c r="HR163" s="1605" t="s">
        <v>986</v>
      </c>
      <c r="HS163" s="1605" t="s">
        <v>986</v>
      </c>
      <c r="HT163" s="1605" t="s">
        <v>986</v>
      </c>
      <c r="HU163" s="1605" t="s">
        <v>986</v>
      </c>
      <c r="HV163" s="1617"/>
      <c r="HW163" s="1617">
        <v>0</v>
      </c>
      <c r="HX163" s="1617">
        <v>0</v>
      </c>
      <c r="HY163" s="1617">
        <v>0</v>
      </c>
      <c r="HZ163" s="1603"/>
      <c r="IA163" s="1603"/>
      <c r="IB163" s="1603"/>
      <c r="IC163" s="1603">
        <v>58</v>
      </c>
      <c r="ID163" s="1603">
        <v>58</v>
      </c>
      <c r="IE163" s="1603">
        <v>58</v>
      </c>
      <c r="IF163" s="1603">
        <v>58</v>
      </c>
      <c r="IG163" s="1611" t="s">
        <v>270</v>
      </c>
      <c r="IH163" s="1616" t="s">
        <v>270</v>
      </c>
      <c r="II163" s="1615" t="s">
        <v>270</v>
      </c>
      <c r="IJ163" s="1613">
        <v>4.1616161616161618</v>
      </c>
      <c r="IK163" s="1613">
        <v>4.1616161616161618</v>
      </c>
      <c r="IL163" s="1614">
        <v>4.1616161616161618</v>
      </c>
      <c r="IM163" s="1614">
        <v>4.1616161616161618</v>
      </c>
      <c r="IN163" s="1612">
        <v>4.1616161616161618</v>
      </c>
      <c r="IO163" s="1613">
        <v>0</v>
      </c>
      <c r="IP163" s="1607" t="s">
        <v>270</v>
      </c>
      <c r="IQ163" s="1612" t="s">
        <v>270</v>
      </c>
      <c r="IR163" s="1612" t="s">
        <v>270</v>
      </c>
      <c r="IS163" s="1607" t="s">
        <v>270</v>
      </c>
      <c r="IT163" s="1607" t="s">
        <v>270</v>
      </c>
      <c r="IU163" s="1611" t="s">
        <v>270</v>
      </c>
      <c r="IV163" s="1611" t="s">
        <v>270</v>
      </c>
      <c r="IW163" s="1611" t="s">
        <v>270</v>
      </c>
      <c r="IX163" s="1611" t="s">
        <v>270</v>
      </c>
      <c r="IY163" s="1611" t="s">
        <v>270</v>
      </c>
      <c r="IZ163" s="1611" t="s">
        <v>270</v>
      </c>
      <c r="JA163" s="1611" t="s">
        <v>270</v>
      </c>
      <c r="JB163" s="1611" t="s">
        <v>270</v>
      </c>
      <c r="JC163" s="1611" t="s">
        <v>270</v>
      </c>
      <c r="JD163" s="1611" t="s">
        <v>270</v>
      </c>
      <c r="JE163" s="1611" t="s">
        <v>270</v>
      </c>
      <c r="JF163" s="1611" t="s">
        <v>270</v>
      </c>
      <c r="JG163" s="1611" t="s">
        <v>270</v>
      </c>
      <c r="JH163" s="1611" t="s">
        <v>270</v>
      </c>
      <c r="JI163" s="1611" t="s">
        <v>270</v>
      </c>
      <c r="JJ163" s="1611" t="s">
        <v>270</v>
      </c>
      <c r="JK163" s="1607" t="str">
        <f t="shared" si="11"/>
        <v/>
      </c>
      <c r="JL163" s="1608" t="s">
        <v>2946</v>
      </c>
      <c r="JM163" s="1610" t="s">
        <v>2945</v>
      </c>
      <c r="JN163" s="1608" t="s">
        <v>270</v>
      </c>
      <c r="JO163" s="1609" t="s">
        <v>270</v>
      </c>
      <c r="JP163" s="1608">
        <v>4.1616161616161618</v>
      </c>
      <c r="JQ163" s="1607" t="s">
        <v>270</v>
      </c>
      <c r="JR163" s="1606" t="s">
        <v>270</v>
      </c>
      <c r="JS163" s="1606" t="s">
        <v>270</v>
      </c>
      <c r="JT163" s="1606" t="s">
        <v>270</v>
      </c>
    </row>
    <row r="164" spans="1:280" ht="15" customHeight="1" x14ac:dyDescent="0.2">
      <c r="A164" s="1626">
        <v>89100</v>
      </c>
      <c r="B164" s="1625">
        <v>891</v>
      </c>
      <c r="C164" s="1624">
        <v>0</v>
      </c>
      <c r="D164" s="1623" t="s">
        <v>3365</v>
      </c>
      <c r="E164" s="1622">
        <v>43031</v>
      </c>
      <c r="F164" s="1620">
        <v>3.5421593455150502</v>
      </c>
      <c r="G164" s="1620">
        <v>3.4007932441430002</v>
      </c>
      <c r="H164" s="1621">
        <v>97</v>
      </c>
      <c r="I164" s="1621">
        <v>97</v>
      </c>
      <c r="J164" s="1621">
        <v>90</v>
      </c>
      <c r="K164" s="1620">
        <v>0.93</v>
      </c>
      <c r="L164" s="1620">
        <v>99.5</v>
      </c>
      <c r="M164" s="1620">
        <v>1.0050505050505E-4</v>
      </c>
      <c r="N164" s="1620">
        <v>99.5</v>
      </c>
      <c r="O164" s="1620">
        <v>0</v>
      </c>
      <c r="P164" s="1620">
        <v>0</v>
      </c>
      <c r="Q164" s="1603"/>
      <c r="R164" s="1620">
        <v>0</v>
      </c>
      <c r="S164" s="1620">
        <v>0</v>
      </c>
      <c r="T164" s="1620">
        <v>0</v>
      </c>
      <c r="U164" s="1620">
        <v>0</v>
      </c>
      <c r="V164" s="1620">
        <v>0</v>
      </c>
      <c r="W164" s="1620">
        <v>0</v>
      </c>
      <c r="X164" s="1620"/>
      <c r="Y164" s="1620">
        <v>0</v>
      </c>
      <c r="Z164" s="1620">
        <v>0</v>
      </c>
      <c r="AA164" s="1620">
        <v>0</v>
      </c>
      <c r="AB164" s="1620">
        <v>0</v>
      </c>
      <c r="AC164" s="1620">
        <v>0</v>
      </c>
      <c r="AD164" s="1620">
        <v>0</v>
      </c>
      <c r="AE164" s="1620">
        <v>0</v>
      </c>
      <c r="AF164" s="1620">
        <v>0</v>
      </c>
      <c r="AG164" s="1620">
        <v>0</v>
      </c>
      <c r="AH164" s="1620">
        <v>0</v>
      </c>
      <c r="AI164" s="1620">
        <v>0</v>
      </c>
      <c r="AJ164" s="1620">
        <v>0</v>
      </c>
      <c r="AK164" s="1620">
        <v>0</v>
      </c>
      <c r="AL164" s="1620"/>
      <c r="AM164" s="1620">
        <v>0</v>
      </c>
      <c r="AN164" s="1620">
        <v>0</v>
      </c>
      <c r="AO164" s="1620">
        <v>0</v>
      </c>
      <c r="AP164" s="1620">
        <v>0</v>
      </c>
      <c r="AQ164" s="1620">
        <v>0</v>
      </c>
      <c r="AR164" s="1620">
        <v>0</v>
      </c>
      <c r="AS164" s="1620">
        <v>0</v>
      </c>
      <c r="AT164" s="1620">
        <v>0</v>
      </c>
      <c r="AU164" s="1620">
        <v>0</v>
      </c>
      <c r="AV164" s="1620">
        <v>0</v>
      </c>
      <c r="AW164" s="1620">
        <v>0</v>
      </c>
      <c r="AX164" s="1620"/>
      <c r="AY164" s="1620">
        <v>1</v>
      </c>
      <c r="AZ164" s="1620">
        <v>1</v>
      </c>
      <c r="BA164" s="1620">
        <v>1</v>
      </c>
      <c r="BB164" s="1620">
        <v>1</v>
      </c>
      <c r="BC164" s="1620">
        <v>1</v>
      </c>
      <c r="BD164" s="1620">
        <v>1</v>
      </c>
      <c r="BE164" s="1620">
        <v>1</v>
      </c>
      <c r="BF164" s="1620">
        <v>1</v>
      </c>
      <c r="BG164" s="1620">
        <v>1</v>
      </c>
      <c r="BH164" s="1620">
        <v>1</v>
      </c>
      <c r="BI164" s="1620">
        <v>1</v>
      </c>
      <c r="BJ164" s="1603"/>
      <c r="BK164" s="1620">
        <v>1.0101010101010051E-4</v>
      </c>
      <c r="BL164" s="1620">
        <v>100</v>
      </c>
      <c r="BM164" s="1620">
        <v>0</v>
      </c>
      <c r="BN164" s="1620">
        <v>0</v>
      </c>
      <c r="BO164" s="1620"/>
      <c r="BP164" s="1620">
        <v>10</v>
      </c>
      <c r="BQ164" s="1620">
        <v>100</v>
      </c>
      <c r="BR164" s="1620">
        <v>3.5599591412211562</v>
      </c>
      <c r="BS164" s="1620">
        <v>3.4178826574301509</v>
      </c>
      <c r="BT164" s="1603"/>
      <c r="BU164" s="1620">
        <v>1000</v>
      </c>
      <c r="BV164" s="1620">
        <v>-9.1919191907823211E-4</v>
      </c>
      <c r="BW164" s="1620">
        <v>0</v>
      </c>
      <c r="BX164" s="1620">
        <v>0</v>
      </c>
      <c r="BY164" s="1620">
        <v>0</v>
      </c>
      <c r="BZ164" s="1620">
        <v>0</v>
      </c>
      <c r="CA164" s="1620">
        <v>0</v>
      </c>
      <c r="CB164" s="1603"/>
      <c r="CC164" s="1603">
        <v>0</v>
      </c>
      <c r="CD164" s="1603">
        <v>0</v>
      </c>
      <c r="CE164" s="1603">
        <v>0</v>
      </c>
      <c r="CF164" s="1603">
        <v>0</v>
      </c>
      <c r="CG164" s="1603">
        <v>0</v>
      </c>
      <c r="CH164" s="1603">
        <v>0</v>
      </c>
      <c r="CI164" s="1603">
        <v>0</v>
      </c>
      <c r="CJ164" s="1603"/>
      <c r="CK164" s="1603">
        <v>0</v>
      </c>
      <c r="CL164" s="1603">
        <v>0</v>
      </c>
      <c r="CM164" s="1603">
        <v>0</v>
      </c>
      <c r="CN164" s="1603">
        <v>0</v>
      </c>
      <c r="CO164" s="1603">
        <v>0</v>
      </c>
      <c r="CP164" s="1603">
        <v>0</v>
      </c>
      <c r="CQ164" s="1603">
        <v>0</v>
      </c>
      <c r="CR164" s="1603">
        <v>0</v>
      </c>
      <c r="CS164" s="1603">
        <v>0</v>
      </c>
      <c r="CT164" s="1603">
        <v>0</v>
      </c>
      <c r="CU164" s="1603">
        <v>0</v>
      </c>
      <c r="CV164" s="1603">
        <v>0</v>
      </c>
      <c r="CW164" s="1603">
        <v>0</v>
      </c>
      <c r="CX164" s="1603">
        <v>0</v>
      </c>
      <c r="CY164" s="1603">
        <v>0</v>
      </c>
      <c r="CZ164" s="1603">
        <v>0</v>
      </c>
      <c r="DA164" s="1603">
        <v>0</v>
      </c>
      <c r="DB164" s="1603">
        <v>0</v>
      </c>
      <c r="DC164" s="1603">
        <v>0</v>
      </c>
      <c r="DD164" s="1603">
        <v>0</v>
      </c>
      <c r="DE164" s="1603">
        <v>0</v>
      </c>
      <c r="DF164" s="1603">
        <v>0</v>
      </c>
      <c r="DG164" s="1603" t="s">
        <v>270</v>
      </c>
      <c r="DH164" s="1603" t="s">
        <v>270</v>
      </c>
      <c r="DI164" s="1603">
        <v>0</v>
      </c>
      <c r="DJ164" s="1603">
        <v>0</v>
      </c>
      <c r="DK164" s="1603">
        <v>9100</v>
      </c>
      <c r="DL164" s="1603">
        <v>0</v>
      </c>
      <c r="DM164" s="1603">
        <v>0</v>
      </c>
      <c r="DN164" s="1603">
        <v>0</v>
      </c>
      <c r="DO164" s="1603">
        <v>0</v>
      </c>
      <c r="DP164" s="1603">
        <v>0</v>
      </c>
      <c r="DQ164" s="1603">
        <v>0</v>
      </c>
      <c r="DR164" s="1603">
        <v>0</v>
      </c>
      <c r="DS164" s="1603">
        <v>0</v>
      </c>
      <c r="DT164" s="1603">
        <v>0</v>
      </c>
      <c r="DU164" s="1603">
        <v>0</v>
      </c>
      <c r="DV164" s="1603">
        <v>0</v>
      </c>
      <c r="DW164" s="1618" t="s">
        <v>986</v>
      </c>
      <c r="DX164" s="1605" t="s">
        <v>986</v>
      </c>
      <c r="DY164" s="1605" t="s">
        <v>986</v>
      </c>
      <c r="DZ164" s="1605" t="s">
        <v>986</v>
      </c>
      <c r="EA164" s="1605" t="s">
        <v>986</v>
      </c>
      <c r="EB164" s="1605" t="s">
        <v>986</v>
      </c>
      <c r="EC164" s="1605" t="s">
        <v>986</v>
      </c>
      <c r="ED164" s="1605" t="s">
        <v>986</v>
      </c>
      <c r="EE164" s="1605" t="s">
        <v>986</v>
      </c>
      <c r="EF164" s="1605" t="s">
        <v>986</v>
      </c>
      <c r="EG164" s="1605" t="s">
        <v>986</v>
      </c>
      <c r="EH164" s="1605" t="s">
        <v>986</v>
      </c>
      <c r="EI164" s="1605" t="s">
        <v>986</v>
      </c>
      <c r="EJ164" s="1605" t="s">
        <v>986</v>
      </c>
      <c r="EK164" s="1605" t="s">
        <v>986</v>
      </c>
      <c r="EL164" s="1605" t="s">
        <v>986</v>
      </c>
      <c r="EM164" s="1605" t="s">
        <v>986</v>
      </c>
      <c r="EN164" s="1605" t="s">
        <v>986</v>
      </c>
      <c r="EO164" s="1605" t="s">
        <v>986</v>
      </c>
      <c r="EP164" s="1605" t="s">
        <v>986</v>
      </c>
      <c r="EQ164" s="1605" t="s">
        <v>986</v>
      </c>
      <c r="ER164" s="1605" t="s">
        <v>986</v>
      </c>
      <c r="ES164" s="1605" t="s">
        <v>986</v>
      </c>
      <c r="ET164" s="1605" t="s">
        <v>986</v>
      </c>
      <c r="EU164" s="1605" t="s">
        <v>986</v>
      </c>
      <c r="EV164" s="1605" t="s">
        <v>986</v>
      </c>
      <c r="EW164" s="1605" t="s">
        <v>986</v>
      </c>
      <c r="EX164" s="1605" t="s">
        <v>986</v>
      </c>
      <c r="EY164" s="1605" t="s">
        <v>986</v>
      </c>
      <c r="EZ164" s="1605" t="s">
        <v>986</v>
      </c>
      <c r="FA164" s="1605" t="s">
        <v>986</v>
      </c>
      <c r="FB164" s="1605" t="s">
        <v>986</v>
      </c>
      <c r="FC164" s="1605" t="s">
        <v>986</v>
      </c>
      <c r="FD164" s="1605" t="s">
        <v>986</v>
      </c>
      <c r="FE164" s="1605" t="s">
        <v>986</v>
      </c>
      <c r="FF164" s="1605" t="s">
        <v>986</v>
      </c>
      <c r="FG164" s="1605" t="s">
        <v>986</v>
      </c>
      <c r="FH164" s="1605" t="s">
        <v>986</v>
      </c>
      <c r="FI164" s="1605" t="s">
        <v>986</v>
      </c>
      <c r="FJ164" s="1605" t="s">
        <v>986</v>
      </c>
      <c r="FK164" s="1605" t="s">
        <v>986</v>
      </c>
      <c r="FL164" s="1605" t="s">
        <v>986</v>
      </c>
      <c r="FM164" s="1605" t="s">
        <v>986</v>
      </c>
      <c r="FN164" s="1605" t="s">
        <v>986</v>
      </c>
      <c r="FO164" s="1605" t="s">
        <v>986</v>
      </c>
      <c r="FP164" s="1605" t="s">
        <v>986</v>
      </c>
      <c r="FQ164" s="1605" t="s">
        <v>986</v>
      </c>
      <c r="FR164" s="1605" t="s">
        <v>986</v>
      </c>
      <c r="FS164" s="1605" t="s">
        <v>986</v>
      </c>
      <c r="FT164" s="1605" t="s">
        <v>986</v>
      </c>
      <c r="FU164" s="1605" t="s">
        <v>986</v>
      </c>
      <c r="FV164" s="1605" t="s">
        <v>986</v>
      </c>
      <c r="FW164" s="1605" t="s">
        <v>986</v>
      </c>
      <c r="FX164" s="1605" t="s">
        <v>986</v>
      </c>
      <c r="FY164" s="1605" t="s">
        <v>986</v>
      </c>
      <c r="FZ164" s="1605" t="s">
        <v>986</v>
      </c>
      <c r="GA164" s="1605" t="s">
        <v>986</v>
      </c>
      <c r="GB164" s="1605" t="s">
        <v>986</v>
      </c>
      <c r="GC164" s="1605" t="s">
        <v>986</v>
      </c>
      <c r="GD164" s="1605" t="s">
        <v>986</v>
      </c>
      <c r="GE164" s="1605" t="s">
        <v>986</v>
      </c>
      <c r="GF164" s="1605" t="s">
        <v>986</v>
      </c>
      <c r="GG164" s="1605" t="s">
        <v>986</v>
      </c>
      <c r="GH164" s="1605" t="s">
        <v>986</v>
      </c>
      <c r="GI164" s="1605" t="s">
        <v>986</v>
      </c>
      <c r="GJ164" s="1605" t="s">
        <v>986</v>
      </c>
      <c r="GK164" s="1605" t="s">
        <v>986</v>
      </c>
      <c r="GL164" s="1605" t="s">
        <v>986</v>
      </c>
      <c r="GM164" s="1605" t="s">
        <v>986</v>
      </c>
      <c r="GN164" s="1605" t="s">
        <v>986</v>
      </c>
      <c r="GO164" s="1605" t="s">
        <v>986</v>
      </c>
      <c r="GP164" s="1605" t="s">
        <v>986</v>
      </c>
      <c r="GQ164" s="1605" t="s">
        <v>986</v>
      </c>
      <c r="GR164" s="1605" t="s">
        <v>986</v>
      </c>
      <c r="GS164" s="1605" t="s">
        <v>986</v>
      </c>
      <c r="GT164" s="1605" t="s">
        <v>986</v>
      </c>
      <c r="GU164" s="1605" t="s">
        <v>986</v>
      </c>
      <c r="GV164" s="1605" t="s">
        <v>986</v>
      </c>
      <c r="GW164" s="1605" t="s">
        <v>986</v>
      </c>
      <c r="GX164" s="1605" t="s">
        <v>986</v>
      </c>
      <c r="GY164" s="1605" t="s">
        <v>986</v>
      </c>
      <c r="GZ164" s="1605" t="s">
        <v>986</v>
      </c>
      <c r="HA164" s="1605" t="s">
        <v>986</v>
      </c>
      <c r="HB164" s="1605" t="s">
        <v>986</v>
      </c>
      <c r="HC164" s="1605" t="s">
        <v>986</v>
      </c>
      <c r="HD164" s="1605" t="s">
        <v>986</v>
      </c>
      <c r="HE164" s="1605" t="s">
        <v>986</v>
      </c>
      <c r="HF164" s="1605" t="s">
        <v>986</v>
      </c>
      <c r="HG164" s="1605" t="s">
        <v>986</v>
      </c>
      <c r="HH164" s="1605" t="s">
        <v>986</v>
      </c>
      <c r="HI164" s="1605" t="s">
        <v>986</v>
      </c>
      <c r="HJ164" s="1605" t="s">
        <v>986</v>
      </c>
      <c r="HK164" s="1605" t="s">
        <v>986</v>
      </c>
      <c r="HL164" s="1605" t="s">
        <v>986</v>
      </c>
      <c r="HM164" s="1605" t="s">
        <v>986</v>
      </c>
      <c r="HN164" s="1605" t="s">
        <v>986</v>
      </c>
      <c r="HO164" s="1605" t="s">
        <v>986</v>
      </c>
      <c r="HP164" s="1605" t="s">
        <v>986</v>
      </c>
      <c r="HQ164" s="1605" t="s">
        <v>986</v>
      </c>
      <c r="HR164" s="1605" t="s">
        <v>986</v>
      </c>
      <c r="HS164" s="1605" t="s">
        <v>986</v>
      </c>
      <c r="HT164" s="1605" t="s">
        <v>986</v>
      </c>
      <c r="HU164" s="1605" t="s">
        <v>986</v>
      </c>
      <c r="HV164" s="1617"/>
      <c r="HW164" s="1617">
        <v>0</v>
      </c>
      <c r="HX164" s="1617">
        <v>0</v>
      </c>
      <c r="HY164" s="1617">
        <v>0</v>
      </c>
      <c r="HZ164" s="1603"/>
      <c r="IA164" s="1603"/>
      <c r="IB164" s="1603"/>
      <c r="IC164" s="1603">
        <v>0</v>
      </c>
      <c r="ID164" s="1603">
        <v>0</v>
      </c>
      <c r="IE164" s="1603">
        <v>0</v>
      </c>
      <c r="IF164" s="1603">
        <v>0</v>
      </c>
      <c r="IG164" s="1611" t="s">
        <v>270</v>
      </c>
      <c r="IH164" s="1616" t="s">
        <v>270</v>
      </c>
      <c r="II164" s="1615" t="s">
        <v>270</v>
      </c>
      <c r="IJ164" s="1613">
        <v>0.76100000000000001</v>
      </c>
      <c r="IK164" s="1613">
        <v>0.76100000000000001</v>
      </c>
      <c r="IL164" s="1614">
        <v>0.76100000000000001</v>
      </c>
      <c r="IM164" s="1614">
        <v>0.76100000000000001</v>
      </c>
      <c r="IN164" s="1612">
        <v>0.76100000000000001</v>
      </c>
      <c r="IO164" s="1613">
        <v>0</v>
      </c>
      <c r="IP164" s="1607" t="s">
        <v>270</v>
      </c>
      <c r="IQ164" s="1612" t="s">
        <v>270</v>
      </c>
      <c r="IR164" s="1612" t="s">
        <v>270</v>
      </c>
      <c r="IS164" s="1607" t="s">
        <v>270</v>
      </c>
      <c r="IT164" s="1607" t="s">
        <v>270</v>
      </c>
      <c r="IU164" s="1611" t="s">
        <v>270</v>
      </c>
      <c r="IV164" s="1611" t="s">
        <v>270</v>
      </c>
      <c r="IW164" s="1611" t="s">
        <v>270</v>
      </c>
      <c r="IX164" s="1611" t="s">
        <v>270</v>
      </c>
      <c r="IY164" s="1611" t="s">
        <v>270</v>
      </c>
      <c r="IZ164" s="1611" t="s">
        <v>270</v>
      </c>
      <c r="JA164" s="1611" t="s">
        <v>270</v>
      </c>
      <c r="JB164" s="1611" t="s">
        <v>270</v>
      </c>
      <c r="JC164" s="1611" t="s">
        <v>270</v>
      </c>
      <c r="JD164" s="1611" t="s">
        <v>270</v>
      </c>
      <c r="JE164" s="1611" t="s">
        <v>270</v>
      </c>
      <c r="JF164" s="1611" t="s">
        <v>270</v>
      </c>
      <c r="JG164" s="1611" t="s">
        <v>270</v>
      </c>
      <c r="JH164" s="1611" t="s">
        <v>270</v>
      </c>
      <c r="JI164" s="1611" t="s">
        <v>270</v>
      </c>
      <c r="JJ164" s="1611" t="s">
        <v>270</v>
      </c>
      <c r="JK164" s="1607" t="str">
        <f t="shared" si="11"/>
        <v/>
      </c>
      <c r="JL164" s="1608" t="s">
        <v>2946</v>
      </c>
      <c r="JM164" s="1610" t="s">
        <v>2945</v>
      </c>
      <c r="JN164" s="1608" t="s">
        <v>270</v>
      </c>
      <c r="JO164" s="1609" t="s">
        <v>270</v>
      </c>
      <c r="JP164" s="1608">
        <v>0.76100000000000001</v>
      </c>
      <c r="JQ164" s="1607" t="s">
        <v>270</v>
      </c>
      <c r="JR164" s="1606" t="s">
        <v>270</v>
      </c>
      <c r="JS164" s="1606" t="s">
        <v>270</v>
      </c>
      <c r="JT164" s="1606" t="s">
        <v>270</v>
      </c>
    </row>
    <row r="165" spans="1:280" ht="15" customHeight="1" x14ac:dyDescent="0.2">
      <c r="A165" s="1626">
        <v>48000</v>
      </c>
      <c r="B165" s="1625">
        <v>480</v>
      </c>
      <c r="C165" s="1624">
        <v>0</v>
      </c>
      <c r="D165" s="1623" t="s">
        <v>3364</v>
      </c>
      <c r="E165" s="1622">
        <v>43025</v>
      </c>
      <c r="F165" s="1620">
        <v>-0.112682926829268</v>
      </c>
      <c r="G165" s="1620">
        <v>-0.108</v>
      </c>
      <c r="H165" s="1621">
        <v>70</v>
      </c>
      <c r="I165" s="1621">
        <v>70</v>
      </c>
      <c r="J165" s="1621">
        <v>0</v>
      </c>
      <c r="K165" s="1620">
        <v>1</v>
      </c>
      <c r="L165" s="1620">
        <v>99</v>
      </c>
      <c r="M165" s="1620">
        <v>0</v>
      </c>
      <c r="N165" s="1620">
        <v>0</v>
      </c>
      <c r="O165" s="1620">
        <v>99</v>
      </c>
      <c r="P165" s="1620">
        <v>0</v>
      </c>
      <c r="Q165" s="1603"/>
      <c r="R165" s="1620">
        <v>0</v>
      </c>
      <c r="S165" s="1620">
        <v>0</v>
      </c>
      <c r="T165" s="1620">
        <v>0</v>
      </c>
      <c r="U165" s="1620">
        <v>0</v>
      </c>
      <c r="V165" s="1620">
        <v>0</v>
      </c>
      <c r="W165" s="1620">
        <v>0</v>
      </c>
      <c r="X165" s="1620"/>
      <c r="Y165" s="1620">
        <v>0</v>
      </c>
      <c r="Z165" s="1620">
        <v>0</v>
      </c>
      <c r="AA165" s="1620">
        <v>0</v>
      </c>
      <c r="AB165" s="1620">
        <v>0</v>
      </c>
      <c r="AC165" s="1620">
        <v>0</v>
      </c>
      <c r="AD165" s="1620">
        <v>292.92928999999998</v>
      </c>
      <c r="AE165" s="1620">
        <v>0</v>
      </c>
      <c r="AF165" s="1620">
        <v>0</v>
      </c>
      <c r="AG165" s="1620">
        <v>0</v>
      </c>
      <c r="AH165" s="1620">
        <v>0</v>
      </c>
      <c r="AI165" s="1620">
        <v>0</v>
      </c>
      <c r="AJ165" s="1620">
        <v>0</v>
      </c>
      <c r="AK165" s="1620">
        <v>0</v>
      </c>
      <c r="AL165" s="1620"/>
      <c r="AM165" s="1620">
        <v>0</v>
      </c>
      <c r="AN165" s="1620">
        <v>0</v>
      </c>
      <c r="AO165" s="1620">
        <v>0</v>
      </c>
      <c r="AP165" s="1620">
        <v>0</v>
      </c>
      <c r="AQ165" s="1620">
        <v>0</v>
      </c>
      <c r="AR165" s="1620">
        <v>0</v>
      </c>
      <c r="AS165" s="1620">
        <v>0</v>
      </c>
      <c r="AT165" s="1620">
        <v>0</v>
      </c>
      <c r="AU165" s="1620">
        <v>0</v>
      </c>
      <c r="AV165" s="1620">
        <v>0</v>
      </c>
      <c r="AW165" s="1620">
        <v>0</v>
      </c>
      <c r="AX165" s="1620"/>
      <c r="AY165" s="1620">
        <v>1</v>
      </c>
      <c r="AZ165" s="1620">
        <v>1</v>
      </c>
      <c r="BA165" s="1620">
        <v>1</v>
      </c>
      <c r="BB165" s="1620">
        <v>1</v>
      </c>
      <c r="BC165" s="1620">
        <v>1</v>
      </c>
      <c r="BD165" s="1620">
        <v>1</v>
      </c>
      <c r="BE165" s="1620">
        <v>1</v>
      </c>
      <c r="BF165" s="1620">
        <v>1</v>
      </c>
      <c r="BG165" s="1620">
        <v>1</v>
      </c>
      <c r="BH165" s="1620">
        <v>1</v>
      </c>
      <c r="BI165" s="1620">
        <v>1</v>
      </c>
      <c r="BJ165" s="1603"/>
      <c r="BK165" s="1620">
        <v>0</v>
      </c>
      <c r="BL165" s="1620">
        <v>0</v>
      </c>
      <c r="BM165" s="1620">
        <v>100</v>
      </c>
      <c r="BN165" s="1620">
        <v>0</v>
      </c>
      <c r="BO165" s="1620"/>
      <c r="BP165" s="1620">
        <v>0</v>
      </c>
      <c r="BQ165" s="1620">
        <v>0</v>
      </c>
      <c r="BR165" s="1620">
        <v>-0.11382113821138182</v>
      </c>
      <c r="BS165" s="1620">
        <v>-0.1090909090909091</v>
      </c>
      <c r="BT165" s="1603"/>
      <c r="BU165" s="1620">
        <v>0</v>
      </c>
      <c r="BV165" s="1620">
        <v>0</v>
      </c>
      <c r="BW165" s="1620">
        <v>0</v>
      </c>
      <c r="BX165" s="1620" t="s">
        <v>270</v>
      </c>
      <c r="BY165" s="1620" t="s">
        <v>270</v>
      </c>
      <c r="BZ165" s="1620" t="s">
        <v>270</v>
      </c>
      <c r="CA165" s="1620" t="s">
        <v>270</v>
      </c>
      <c r="CB165" s="1603"/>
      <c r="CC165" s="1603">
        <v>0</v>
      </c>
      <c r="CD165" s="1603">
        <v>0</v>
      </c>
      <c r="CE165" s="1603">
        <v>0</v>
      </c>
      <c r="CF165" s="1603">
        <v>0</v>
      </c>
      <c r="CG165" s="1603">
        <v>0</v>
      </c>
      <c r="CH165" s="1603">
        <v>289.99999709999997</v>
      </c>
      <c r="CI165" s="1603">
        <v>0</v>
      </c>
      <c r="CJ165" s="1603"/>
      <c r="CK165" s="1603">
        <v>0</v>
      </c>
      <c r="CL165" s="1603">
        <v>0</v>
      </c>
      <c r="CM165" s="1603">
        <v>0</v>
      </c>
      <c r="CN165" s="1603">
        <v>0</v>
      </c>
      <c r="CO165" s="1603">
        <v>0</v>
      </c>
      <c r="CP165" s="1603">
        <v>0</v>
      </c>
      <c r="CQ165" s="1603">
        <v>0</v>
      </c>
      <c r="CR165" s="1603">
        <v>0</v>
      </c>
      <c r="CS165" s="1603">
        <v>0</v>
      </c>
      <c r="CT165" s="1603">
        <v>0</v>
      </c>
      <c r="CU165" s="1603">
        <v>0</v>
      </c>
      <c r="CV165" s="1603">
        <v>0</v>
      </c>
      <c r="CW165" s="1603">
        <v>0</v>
      </c>
      <c r="CX165" s="1603">
        <v>0</v>
      </c>
      <c r="CY165" s="1603">
        <v>0</v>
      </c>
      <c r="CZ165" s="1603">
        <v>0</v>
      </c>
      <c r="DA165" s="1603">
        <v>0</v>
      </c>
      <c r="DB165" s="1603">
        <v>0</v>
      </c>
      <c r="DC165" s="1603">
        <v>0</v>
      </c>
      <c r="DD165" s="1603">
        <v>0</v>
      </c>
      <c r="DE165" s="1603">
        <v>0</v>
      </c>
      <c r="DF165" s="1603">
        <v>0</v>
      </c>
      <c r="DG165" s="1603">
        <v>0</v>
      </c>
      <c r="DH165" s="1603">
        <v>0</v>
      </c>
      <c r="DI165" s="1603">
        <v>0</v>
      </c>
      <c r="DJ165" s="1603">
        <v>0</v>
      </c>
      <c r="DK165" s="1603">
        <v>0</v>
      </c>
      <c r="DL165" s="1603">
        <v>0</v>
      </c>
      <c r="DM165" s="1603">
        <v>0</v>
      </c>
      <c r="DN165" s="1603">
        <v>0</v>
      </c>
      <c r="DO165" s="1603">
        <v>0</v>
      </c>
      <c r="DP165" s="1603">
        <v>0</v>
      </c>
      <c r="DQ165" s="1603">
        <v>0</v>
      </c>
      <c r="DR165" s="1603">
        <v>0</v>
      </c>
      <c r="DS165" s="1603">
        <v>0</v>
      </c>
      <c r="DT165" s="1603">
        <v>0</v>
      </c>
      <c r="DU165" s="1603">
        <v>0</v>
      </c>
      <c r="DV165" s="1603">
        <v>0</v>
      </c>
      <c r="DW165" s="1618" t="s">
        <v>3363</v>
      </c>
      <c r="DX165" s="1605" t="s">
        <v>986</v>
      </c>
      <c r="DY165" s="1605" t="s">
        <v>986</v>
      </c>
      <c r="DZ165" s="1605" t="s">
        <v>986</v>
      </c>
      <c r="EA165" s="1605" t="s">
        <v>986</v>
      </c>
      <c r="EB165" s="1605" t="s">
        <v>986</v>
      </c>
      <c r="EC165" s="1605" t="s">
        <v>986</v>
      </c>
      <c r="ED165" s="1605" t="s">
        <v>986</v>
      </c>
      <c r="EE165" s="1605" t="s">
        <v>986</v>
      </c>
      <c r="EF165" s="1605" t="s">
        <v>986</v>
      </c>
      <c r="EG165" s="1605" t="s">
        <v>986</v>
      </c>
      <c r="EH165" s="1605" t="s">
        <v>986</v>
      </c>
      <c r="EI165" s="1605" t="s">
        <v>986</v>
      </c>
      <c r="EJ165" s="1605" t="s">
        <v>986</v>
      </c>
      <c r="EK165" s="1605" t="s">
        <v>986</v>
      </c>
      <c r="EL165" s="1605" t="s">
        <v>986</v>
      </c>
      <c r="EM165" s="1605" t="s">
        <v>986</v>
      </c>
      <c r="EN165" s="1605" t="s">
        <v>986</v>
      </c>
      <c r="EO165" s="1605" t="s">
        <v>986</v>
      </c>
      <c r="EP165" s="1605" t="s">
        <v>986</v>
      </c>
      <c r="EQ165" s="1605" t="s">
        <v>986</v>
      </c>
      <c r="ER165" s="1605" t="s">
        <v>986</v>
      </c>
      <c r="ES165" s="1605" t="s">
        <v>986</v>
      </c>
      <c r="ET165" s="1605" t="s">
        <v>986</v>
      </c>
      <c r="EU165" s="1605" t="s">
        <v>986</v>
      </c>
      <c r="EV165" s="1605" t="s">
        <v>986</v>
      </c>
      <c r="EW165" s="1605" t="s">
        <v>986</v>
      </c>
      <c r="EX165" s="1605" t="s">
        <v>986</v>
      </c>
      <c r="EY165" s="1605" t="s">
        <v>986</v>
      </c>
      <c r="EZ165" s="1605" t="s">
        <v>986</v>
      </c>
      <c r="FA165" s="1605" t="s">
        <v>986</v>
      </c>
      <c r="FB165" s="1605" t="s">
        <v>986</v>
      </c>
      <c r="FC165" s="1605" t="s">
        <v>986</v>
      </c>
      <c r="FD165" s="1605" t="s">
        <v>986</v>
      </c>
      <c r="FE165" s="1605" t="s">
        <v>986</v>
      </c>
      <c r="FF165" s="1605" t="s">
        <v>986</v>
      </c>
      <c r="FG165" s="1605" t="s">
        <v>986</v>
      </c>
      <c r="FH165" s="1605" t="s">
        <v>986</v>
      </c>
      <c r="FI165" s="1605" t="s">
        <v>986</v>
      </c>
      <c r="FJ165" s="1605" t="s">
        <v>986</v>
      </c>
      <c r="FK165" s="1605" t="s">
        <v>986</v>
      </c>
      <c r="FL165" s="1605" t="s">
        <v>986</v>
      </c>
      <c r="FM165" s="1605" t="s">
        <v>986</v>
      </c>
      <c r="FN165" s="1605" t="s">
        <v>986</v>
      </c>
      <c r="FO165" s="1605" t="s">
        <v>986</v>
      </c>
      <c r="FP165" s="1605" t="s">
        <v>986</v>
      </c>
      <c r="FQ165" s="1605" t="s">
        <v>986</v>
      </c>
      <c r="FR165" s="1605" t="s">
        <v>986</v>
      </c>
      <c r="FS165" s="1605" t="s">
        <v>986</v>
      </c>
      <c r="FT165" s="1605" t="s">
        <v>986</v>
      </c>
      <c r="FU165" s="1605" t="s">
        <v>986</v>
      </c>
      <c r="FV165" s="1605" t="s">
        <v>986</v>
      </c>
      <c r="FW165" s="1605" t="s">
        <v>986</v>
      </c>
      <c r="FX165" s="1605" t="s">
        <v>986</v>
      </c>
      <c r="FY165" s="1605" t="s">
        <v>986</v>
      </c>
      <c r="FZ165" s="1605" t="s">
        <v>986</v>
      </c>
      <c r="GA165" s="1605" t="s">
        <v>986</v>
      </c>
      <c r="GB165" s="1605" t="s">
        <v>986</v>
      </c>
      <c r="GC165" s="1605" t="s">
        <v>986</v>
      </c>
      <c r="GD165" s="1605" t="s">
        <v>986</v>
      </c>
      <c r="GE165" s="1605" t="s">
        <v>986</v>
      </c>
      <c r="GF165" s="1605" t="s">
        <v>986</v>
      </c>
      <c r="GG165" s="1605" t="s">
        <v>986</v>
      </c>
      <c r="GH165" s="1605" t="s">
        <v>986</v>
      </c>
      <c r="GI165" s="1605" t="s">
        <v>986</v>
      </c>
      <c r="GJ165" s="1605" t="s">
        <v>986</v>
      </c>
      <c r="GK165" s="1605" t="s">
        <v>986</v>
      </c>
      <c r="GL165" s="1605" t="s">
        <v>986</v>
      </c>
      <c r="GM165" s="1605" t="s">
        <v>986</v>
      </c>
      <c r="GN165" s="1605" t="s">
        <v>986</v>
      </c>
      <c r="GO165" s="1605" t="s">
        <v>986</v>
      </c>
      <c r="GP165" s="1605" t="s">
        <v>986</v>
      </c>
      <c r="GQ165" s="1605" t="s">
        <v>986</v>
      </c>
      <c r="GR165" s="1605" t="s">
        <v>986</v>
      </c>
      <c r="GS165" s="1605" t="s">
        <v>986</v>
      </c>
      <c r="GT165" s="1605" t="s">
        <v>986</v>
      </c>
      <c r="GU165" s="1605" t="s">
        <v>986</v>
      </c>
      <c r="GV165" s="1605" t="s">
        <v>986</v>
      </c>
      <c r="GW165" s="1605" t="s">
        <v>986</v>
      </c>
      <c r="GX165" s="1605" t="s">
        <v>986</v>
      </c>
      <c r="GY165" s="1605" t="s">
        <v>986</v>
      </c>
      <c r="GZ165" s="1605" t="s">
        <v>986</v>
      </c>
      <c r="HA165" s="1605" t="s">
        <v>986</v>
      </c>
      <c r="HB165" s="1605" t="s">
        <v>986</v>
      </c>
      <c r="HC165" s="1605" t="s">
        <v>986</v>
      </c>
      <c r="HD165" s="1605" t="s">
        <v>986</v>
      </c>
      <c r="HE165" s="1605" t="s">
        <v>986</v>
      </c>
      <c r="HF165" s="1605" t="s">
        <v>986</v>
      </c>
      <c r="HG165" s="1605" t="s">
        <v>986</v>
      </c>
      <c r="HH165" s="1605" t="s">
        <v>986</v>
      </c>
      <c r="HI165" s="1605" t="s">
        <v>986</v>
      </c>
      <c r="HJ165" s="1605" t="s">
        <v>986</v>
      </c>
      <c r="HK165" s="1605" t="s">
        <v>986</v>
      </c>
      <c r="HL165" s="1605" t="s">
        <v>986</v>
      </c>
      <c r="HM165" s="1605" t="s">
        <v>986</v>
      </c>
      <c r="HN165" s="1605" t="s">
        <v>986</v>
      </c>
      <c r="HO165" s="1605" t="s">
        <v>986</v>
      </c>
      <c r="HP165" s="1605" t="s">
        <v>986</v>
      </c>
      <c r="HQ165" s="1605" t="s">
        <v>986</v>
      </c>
      <c r="HR165" s="1605" t="s">
        <v>986</v>
      </c>
      <c r="HS165" s="1605" t="s">
        <v>986</v>
      </c>
      <c r="HT165" s="1605" t="s">
        <v>986</v>
      </c>
      <c r="HU165" s="1605" t="s">
        <v>986</v>
      </c>
      <c r="HV165" s="1617"/>
      <c r="HW165" s="1617">
        <v>0</v>
      </c>
      <c r="HX165" s="1617">
        <v>0</v>
      </c>
      <c r="HY165" s="1617">
        <v>0</v>
      </c>
      <c r="HZ165" s="1603"/>
      <c r="IA165" s="1603"/>
      <c r="IB165" s="1603"/>
      <c r="IC165" s="1603">
        <v>0</v>
      </c>
      <c r="ID165" s="1603">
        <v>0</v>
      </c>
      <c r="IE165" s="1603">
        <v>0</v>
      </c>
      <c r="IF165" s="1603">
        <v>0</v>
      </c>
      <c r="IG165" s="1611" t="s">
        <v>2932</v>
      </c>
      <c r="IH165" s="1616" t="s">
        <v>270</v>
      </c>
      <c r="II165" s="1615" t="s">
        <v>270</v>
      </c>
      <c r="IJ165" s="1613">
        <v>1.3101818181818183</v>
      </c>
      <c r="IK165" s="1613">
        <v>1.301848484848485</v>
      </c>
      <c r="IL165" s="1614">
        <v>1.3101818181818183</v>
      </c>
      <c r="IM165" s="1614">
        <v>1.301848484848485</v>
      </c>
      <c r="IN165" s="1612" t="s">
        <v>270</v>
      </c>
      <c r="IO165" s="1613" t="s">
        <v>270</v>
      </c>
      <c r="IP165" s="1607" t="s">
        <v>270</v>
      </c>
      <c r="IQ165" s="1612" t="s">
        <v>270</v>
      </c>
      <c r="IR165" s="1612" t="s">
        <v>270</v>
      </c>
      <c r="IS165" s="1607">
        <v>1.1881818181818182</v>
      </c>
      <c r="IT165" s="1607">
        <v>1.1798484848484849</v>
      </c>
      <c r="IU165" s="1611">
        <v>0</v>
      </c>
      <c r="IV165" s="1611">
        <v>7.7767676767676763E-2</v>
      </c>
      <c r="IW165" s="1611">
        <v>9.0909090909090909E-4</v>
      </c>
      <c r="IX165" s="1611">
        <v>1.6060606060606061E-3</v>
      </c>
      <c r="IY165" s="1611">
        <v>9.6969696969696957E-4</v>
      </c>
      <c r="IZ165" s="1611">
        <v>5.9898989898989896E-3</v>
      </c>
      <c r="JA165" s="1611">
        <v>6.0606060606060598E-5</v>
      </c>
      <c r="JB165" s="1611" t="s">
        <v>270</v>
      </c>
      <c r="JC165" s="1611">
        <v>9.9026969696969704</v>
      </c>
      <c r="JD165" s="1611">
        <v>5.2121212121212122E-3</v>
      </c>
      <c r="JE165" s="1611" t="s">
        <v>270</v>
      </c>
      <c r="JF165" s="1611">
        <v>8.2828282828282835E-4</v>
      </c>
      <c r="JG165" s="1611">
        <v>0.57978787878787885</v>
      </c>
      <c r="JH165" s="1611">
        <v>7.646464646464647E-3</v>
      </c>
      <c r="JI165" s="1611">
        <v>0.3</v>
      </c>
      <c r="JJ165" s="1611" t="s">
        <v>270</v>
      </c>
      <c r="JK165" s="1607">
        <f t="shared" si="11"/>
        <v>0.12200000000000011</v>
      </c>
      <c r="JL165" s="1608" t="s">
        <v>270</v>
      </c>
      <c r="JM165" s="1610" t="s">
        <v>2924</v>
      </c>
      <c r="JN165" s="1608">
        <v>8.3333333333333037E-3</v>
      </c>
      <c r="JO165" s="1609" t="s">
        <v>2931</v>
      </c>
      <c r="JP165" s="1608" t="s">
        <v>270</v>
      </c>
      <c r="JQ165" s="1607">
        <v>202103</v>
      </c>
      <c r="JR165" s="1606">
        <v>851</v>
      </c>
      <c r="JS165" s="1606">
        <v>774</v>
      </c>
      <c r="JT165" s="1606">
        <v>774</v>
      </c>
    </row>
    <row r="166" spans="1:280" ht="15" customHeight="1" x14ac:dyDescent="0.2">
      <c r="A166" s="1626">
        <v>46400</v>
      </c>
      <c r="B166" s="1625">
        <v>464</v>
      </c>
      <c r="C166" s="1624">
        <v>0</v>
      </c>
      <c r="D166" s="1623" t="s">
        <v>3362</v>
      </c>
      <c r="E166" s="1622">
        <v>43025</v>
      </c>
      <c r="F166" s="1620">
        <v>-0.112682926829268</v>
      </c>
      <c r="G166" s="1620">
        <v>-0.108</v>
      </c>
      <c r="H166" s="1621">
        <v>70</v>
      </c>
      <c r="I166" s="1621">
        <v>70</v>
      </c>
      <c r="J166" s="1621">
        <v>0</v>
      </c>
      <c r="K166" s="1620">
        <v>1</v>
      </c>
      <c r="L166" s="1620">
        <v>99</v>
      </c>
      <c r="M166" s="1620">
        <v>0</v>
      </c>
      <c r="N166" s="1620">
        <v>0</v>
      </c>
      <c r="O166" s="1620">
        <v>99</v>
      </c>
      <c r="P166" s="1620">
        <v>0</v>
      </c>
      <c r="Q166" s="1603"/>
      <c r="R166" s="1620">
        <v>0</v>
      </c>
      <c r="S166" s="1620">
        <v>0</v>
      </c>
      <c r="T166" s="1620">
        <v>0</v>
      </c>
      <c r="U166" s="1620">
        <v>0</v>
      </c>
      <c r="V166" s="1620">
        <v>0</v>
      </c>
      <c r="W166" s="1620">
        <v>0</v>
      </c>
      <c r="X166" s="1620"/>
      <c r="Y166" s="1620">
        <v>0</v>
      </c>
      <c r="Z166" s="1620">
        <v>0</v>
      </c>
      <c r="AA166" s="1620">
        <v>0</v>
      </c>
      <c r="AB166" s="1620">
        <v>0</v>
      </c>
      <c r="AC166" s="1620">
        <v>0</v>
      </c>
      <c r="AD166" s="1620">
        <v>515.15152000000103</v>
      </c>
      <c r="AE166" s="1620">
        <v>0</v>
      </c>
      <c r="AF166" s="1620">
        <v>0</v>
      </c>
      <c r="AG166" s="1620">
        <v>0</v>
      </c>
      <c r="AH166" s="1620">
        <v>0</v>
      </c>
      <c r="AI166" s="1620">
        <v>0</v>
      </c>
      <c r="AJ166" s="1620">
        <v>0</v>
      </c>
      <c r="AK166" s="1620">
        <v>0</v>
      </c>
      <c r="AL166" s="1620"/>
      <c r="AM166" s="1620">
        <v>0</v>
      </c>
      <c r="AN166" s="1620">
        <v>0</v>
      </c>
      <c r="AO166" s="1620">
        <v>0</v>
      </c>
      <c r="AP166" s="1620">
        <v>0</v>
      </c>
      <c r="AQ166" s="1620">
        <v>0</v>
      </c>
      <c r="AR166" s="1620">
        <v>0</v>
      </c>
      <c r="AS166" s="1620">
        <v>0</v>
      </c>
      <c r="AT166" s="1620">
        <v>0</v>
      </c>
      <c r="AU166" s="1620">
        <v>0</v>
      </c>
      <c r="AV166" s="1620">
        <v>0</v>
      </c>
      <c r="AW166" s="1620">
        <v>0</v>
      </c>
      <c r="AX166" s="1620"/>
      <c r="AY166" s="1620">
        <v>1</v>
      </c>
      <c r="AZ166" s="1620">
        <v>1</v>
      </c>
      <c r="BA166" s="1620">
        <v>1</v>
      </c>
      <c r="BB166" s="1620">
        <v>1</v>
      </c>
      <c r="BC166" s="1620">
        <v>1</v>
      </c>
      <c r="BD166" s="1620">
        <v>1</v>
      </c>
      <c r="BE166" s="1620">
        <v>1</v>
      </c>
      <c r="BF166" s="1620">
        <v>1</v>
      </c>
      <c r="BG166" s="1620">
        <v>1</v>
      </c>
      <c r="BH166" s="1620">
        <v>1</v>
      </c>
      <c r="BI166" s="1620">
        <v>1</v>
      </c>
      <c r="BJ166" s="1603"/>
      <c r="BK166" s="1620">
        <v>0</v>
      </c>
      <c r="BL166" s="1620">
        <v>0</v>
      </c>
      <c r="BM166" s="1620">
        <v>100</v>
      </c>
      <c r="BN166" s="1620">
        <v>0</v>
      </c>
      <c r="BO166" s="1620"/>
      <c r="BP166" s="1620">
        <v>0</v>
      </c>
      <c r="BQ166" s="1620">
        <v>0</v>
      </c>
      <c r="BR166" s="1620">
        <v>-0.11382113821138182</v>
      </c>
      <c r="BS166" s="1620">
        <v>-0.1090909090909091</v>
      </c>
      <c r="BT166" s="1603"/>
      <c r="BU166" s="1620">
        <v>0</v>
      </c>
      <c r="BV166" s="1620">
        <v>0</v>
      </c>
      <c r="BW166" s="1620">
        <v>0</v>
      </c>
      <c r="BX166" s="1620" t="s">
        <v>270</v>
      </c>
      <c r="BY166" s="1620" t="s">
        <v>270</v>
      </c>
      <c r="BZ166" s="1620" t="s">
        <v>270</v>
      </c>
      <c r="CA166" s="1620" t="s">
        <v>270</v>
      </c>
      <c r="CB166" s="1603"/>
      <c r="CC166" s="1603">
        <v>0</v>
      </c>
      <c r="CD166" s="1603">
        <v>0</v>
      </c>
      <c r="CE166" s="1603">
        <v>0</v>
      </c>
      <c r="CF166" s="1603">
        <v>0</v>
      </c>
      <c r="CG166" s="1603">
        <v>0</v>
      </c>
      <c r="CH166" s="1603">
        <v>510.00000480000102</v>
      </c>
      <c r="CI166" s="1603">
        <v>0</v>
      </c>
      <c r="CJ166" s="1603"/>
      <c r="CK166" s="1603">
        <v>0</v>
      </c>
      <c r="CL166" s="1603">
        <v>0</v>
      </c>
      <c r="CM166" s="1603">
        <v>0</v>
      </c>
      <c r="CN166" s="1603">
        <v>0</v>
      </c>
      <c r="CO166" s="1603">
        <v>0</v>
      </c>
      <c r="CP166" s="1603">
        <v>0</v>
      </c>
      <c r="CQ166" s="1603">
        <v>0</v>
      </c>
      <c r="CR166" s="1603">
        <v>0</v>
      </c>
      <c r="CS166" s="1603">
        <v>0</v>
      </c>
      <c r="CT166" s="1603">
        <v>0</v>
      </c>
      <c r="CU166" s="1603">
        <v>0</v>
      </c>
      <c r="CV166" s="1603">
        <v>0</v>
      </c>
      <c r="CW166" s="1603">
        <v>0</v>
      </c>
      <c r="CX166" s="1603">
        <v>0</v>
      </c>
      <c r="CY166" s="1603">
        <v>0</v>
      </c>
      <c r="CZ166" s="1603">
        <v>0</v>
      </c>
      <c r="DA166" s="1603">
        <v>0</v>
      </c>
      <c r="DB166" s="1603">
        <v>0</v>
      </c>
      <c r="DC166" s="1603">
        <v>0</v>
      </c>
      <c r="DD166" s="1603">
        <v>0</v>
      </c>
      <c r="DE166" s="1603">
        <v>0</v>
      </c>
      <c r="DF166" s="1603">
        <v>0</v>
      </c>
      <c r="DG166" s="1603">
        <v>0</v>
      </c>
      <c r="DH166" s="1603">
        <v>0</v>
      </c>
      <c r="DI166" s="1603">
        <v>0</v>
      </c>
      <c r="DJ166" s="1603">
        <v>0</v>
      </c>
      <c r="DK166" s="1603">
        <v>0</v>
      </c>
      <c r="DL166" s="1603">
        <v>0</v>
      </c>
      <c r="DM166" s="1603">
        <v>0</v>
      </c>
      <c r="DN166" s="1603">
        <v>0</v>
      </c>
      <c r="DO166" s="1603">
        <v>0</v>
      </c>
      <c r="DP166" s="1603">
        <v>0</v>
      </c>
      <c r="DQ166" s="1603">
        <v>0</v>
      </c>
      <c r="DR166" s="1603">
        <v>0</v>
      </c>
      <c r="DS166" s="1603">
        <v>0</v>
      </c>
      <c r="DT166" s="1603">
        <v>0</v>
      </c>
      <c r="DU166" s="1603">
        <v>0</v>
      </c>
      <c r="DV166" s="1603">
        <v>0</v>
      </c>
      <c r="DW166" s="1618" t="s">
        <v>3361</v>
      </c>
      <c r="DX166" s="1605" t="s">
        <v>986</v>
      </c>
      <c r="DY166" s="1605" t="s">
        <v>986</v>
      </c>
      <c r="DZ166" s="1605" t="s">
        <v>986</v>
      </c>
      <c r="EA166" s="1605" t="s">
        <v>986</v>
      </c>
      <c r="EB166" s="1605" t="s">
        <v>986</v>
      </c>
      <c r="EC166" s="1605" t="s">
        <v>986</v>
      </c>
      <c r="ED166" s="1605" t="s">
        <v>986</v>
      </c>
      <c r="EE166" s="1605" t="s">
        <v>986</v>
      </c>
      <c r="EF166" s="1605" t="s">
        <v>986</v>
      </c>
      <c r="EG166" s="1605" t="s">
        <v>986</v>
      </c>
      <c r="EH166" s="1605" t="s">
        <v>986</v>
      </c>
      <c r="EI166" s="1605" t="s">
        <v>986</v>
      </c>
      <c r="EJ166" s="1605" t="s">
        <v>986</v>
      </c>
      <c r="EK166" s="1605" t="s">
        <v>986</v>
      </c>
      <c r="EL166" s="1605" t="s">
        <v>986</v>
      </c>
      <c r="EM166" s="1605" t="s">
        <v>986</v>
      </c>
      <c r="EN166" s="1605" t="s">
        <v>986</v>
      </c>
      <c r="EO166" s="1605" t="s">
        <v>986</v>
      </c>
      <c r="EP166" s="1605" t="s">
        <v>986</v>
      </c>
      <c r="EQ166" s="1605" t="s">
        <v>986</v>
      </c>
      <c r="ER166" s="1605" t="s">
        <v>986</v>
      </c>
      <c r="ES166" s="1605" t="s">
        <v>986</v>
      </c>
      <c r="ET166" s="1605" t="s">
        <v>986</v>
      </c>
      <c r="EU166" s="1605" t="s">
        <v>986</v>
      </c>
      <c r="EV166" s="1605" t="s">
        <v>986</v>
      </c>
      <c r="EW166" s="1605" t="s">
        <v>986</v>
      </c>
      <c r="EX166" s="1605" t="s">
        <v>986</v>
      </c>
      <c r="EY166" s="1605" t="s">
        <v>986</v>
      </c>
      <c r="EZ166" s="1605" t="s">
        <v>986</v>
      </c>
      <c r="FA166" s="1605" t="s">
        <v>986</v>
      </c>
      <c r="FB166" s="1605" t="s">
        <v>986</v>
      </c>
      <c r="FC166" s="1605" t="s">
        <v>986</v>
      </c>
      <c r="FD166" s="1605" t="s">
        <v>986</v>
      </c>
      <c r="FE166" s="1605" t="s">
        <v>986</v>
      </c>
      <c r="FF166" s="1605" t="s">
        <v>986</v>
      </c>
      <c r="FG166" s="1605" t="s">
        <v>986</v>
      </c>
      <c r="FH166" s="1605" t="s">
        <v>986</v>
      </c>
      <c r="FI166" s="1605" t="s">
        <v>986</v>
      </c>
      <c r="FJ166" s="1605" t="s">
        <v>986</v>
      </c>
      <c r="FK166" s="1605" t="s">
        <v>986</v>
      </c>
      <c r="FL166" s="1605" t="s">
        <v>986</v>
      </c>
      <c r="FM166" s="1605" t="s">
        <v>986</v>
      </c>
      <c r="FN166" s="1605" t="s">
        <v>986</v>
      </c>
      <c r="FO166" s="1605" t="s">
        <v>986</v>
      </c>
      <c r="FP166" s="1605" t="s">
        <v>986</v>
      </c>
      <c r="FQ166" s="1605" t="s">
        <v>986</v>
      </c>
      <c r="FR166" s="1605" t="s">
        <v>986</v>
      </c>
      <c r="FS166" s="1605" t="s">
        <v>986</v>
      </c>
      <c r="FT166" s="1605" t="s">
        <v>986</v>
      </c>
      <c r="FU166" s="1605" t="s">
        <v>986</v>
      </c>
      <c r="FV166" s="1605" t="s">
        <v>986</v>
      </c>
      <c r="FW166" s="1605" t="s">
        <v>986</v>
      </c>
      <c r="FX166" s="1605" t="s">
        <v>986</v>
      </c>
      <c r="FY166" s="1605" t="s">
        <v>986</v>
      </c>
      <c r="FZ166" s="1605" t="s">
        <v>986</v>
      </c>
      <c r="GA166" s="1605" t="s">
        <v>986</v>
      </c>
      <c r="GB166" s="1605" t="s">
        <v>986</v>
      </c>
      <c r="GC166" s="1605" t="s">
        <v>986</v>
      </c>
      <c r="GD166" s="1605" t="s">
        <v>986</v>
      </c>
      <c r="GE166" s="1605" t="s">
        <v>986</v>
      </c>
      <c r="GF166" s="1605" t="s">
        <v>986</v>
      </c>
      <c r="GG166" s="1605" t="s">
        <v>986</v>
      </c>
      <c r="GH166" s="1605" t="s">
        <v>986</v>
      </c>
      <c r="GI166" s="1605" t="s">
        <v>986</v>
      </c>
      <c r="GJ166" s="1605" t="s">
        <v>986</v>
      </c>
      <c r="GK166" s="1605" t="s">
        <v>986</v>
      </c>
      <c r="GL166" s="1605" t="s">
        <v>986</v>
      </c>
      <c r="GM166" s="1605" t="s">
        <v>986</v>
      </c>
      <c r="GN166" s="1605" t="s">
        <v>986</v>
      </c>
      <c r="GO166" s="1605" t="s">
        <v>986</v>
      </c>
      <c r="GP166" s="1605" t="s">
        <v>986</v>
      </c>
      <c r="GQ166" s="1605" t="s">
        <v>986</v>
      </c>
      <c r="GR166" s="1605" t="s">
        <v>986</v>
      </c>
      <c r="GS166" s="1605" t="s">
        <v>986</v>
      </c>
      <c r="GT166" s="1605" t="s">
        <v>986</v>
      </c>
      <c r="GU166" s="1605" t="s">
        <v>986</v>
      </c>
      <c r="GV166" s="1605" t="s">
        <v>986</v>
      </c>
      <c r="GW166" s="1605" t="s">
        <v>986</v>
      </c>
      <c r="GX166" s="1605" t="s">
        <v>986</v>
      </c>
      <c r="GY166" s="1605" t="s">
        <v>986</v>
      </c>
      <c r="GZ166" s="1605" t="s">
        <v>986</v>
      </c>
      <c r="HA166" s="1605" t="s">
        <v>986</v>
      </c>
      <c r="HB166" s="1605" t="s">
        <v>986</v>
      </c>
      <c r="HC166" s="1605" t="s">
        <v>986</v>
      </c>
      <c r="HD166" s="1605" t="s">
        <v>986</v>
      </c>
      <c r="HE166" s="1605" t="s">
        <v>986</v>
      </c>
      <c r="HF166" s="1605" t="s">
        <v>986</v>
      </c>
      <c r="HG166" s="1605" t="s">
        <v>986</v>
      </c>
      <c r="HH166" s="1605" t="s">
        <v>986</v>
      </c>
      <c r="HI166" s="1605" t="s">
        <v>986</v>
      </c>
      <c r="HJ166" s="1605" t="s">
        <v>986</v>
      </c>
      <c r="HK166" s="1605" t="s">
        <v>986</v>
      </c>
      <c r="HL166" s="1605" t="s">
        <v>986</v>
      </c>
      <c r="HM166" s="1605" t="s">
        <v>986</v>
      </c>
      <c r="HN166" s="1605" t="s">
        <v>986</v>
      </c>
      <c r="HO166" s="1605" t="s">
        <v>986</v>
      </c>
      <c r="HP166" s="1605" t="s">
        <v>986</v>
      </c>
      <c r="HQ166" s="1605" t="s">
        <v>986</v>
      </c>
      <c r="HR166" s="1605" t="s">
        <v>986</v>
      </c>
      <c r="HS166" s="1605" t="s">
        <v>986</v>
      </c>
      <c r="HT166" s="1605" t="s">
        <v>986</v>
      </c>
      <c r="HU166" s="1605" t="s">
        <v>986</v>
      </c>
      <c r="HV166" s="1617"/>
      <c r="HW166" s="1617">
        <v>0</v>
      </c>
      <c r="HX166" s="1617">
        <v>0</v>
      </c>
      <c r="HY166" s="1617">
        <v>0</v>
      </c>
      <c r="HZ166" s="1603"/>
      <c r="IA166" s="1603"/>
      <c r="IB166" s="1603"/>
      <c r="IC166" s="1603">
        <v>0</v>
      </c>
      <c r="ID166" s="1603">
        <v>0</v>
      </c>
      <c r="IE166" s="1603">
        <v>0</v>
      </c>
      <c r="IF166" s="1603">
        <v>0</v>
      </c>
      <c r="IG166" s="1611" t="s">
        <v>2932</v>
      </c>
      <c r="IH166" s="1616" t="s">
        <v>3360</v>
      </c>
      <c r="II166" s="1615" t="s">
        <v>3359</v>
      </c>
      <c r="IJ166" s="1613">
        <v>1.3101818181818183</v>
      </c>
      <c r="IK166" s="1613">
        <v>1.301848484848485</v>
      </c>
      <c r="IL166" s="1614">
        <v>1.3101818181818183</v>
      </c>
      <c r="IM166" s="1614">
        <v>1.301848484848485</v>
      </c>
      <c r="IN166" s="1612">
        <v>1.2</v>
      </c>
      <c r="IO166" s="1613">
        <v>-0.11018181818181838</v>
      </c>
      <c r="IP166" s="1607" t="s">
        <v>270</v>
      </c>
      <c r="IQ166" s="1612">
        <v>0</v>
      </c>
      <c r="IR166" s="1612">
        <v>0</v>
      </c>
      <c r="IS166" s="1607">
        <v>1.1881818181818182</v>
      </c>
      <c r="IT166" s="1607">
        <v>1.1798484848484849</v>
      </c>
      <c r="IU166" s="1611">
        <v>0</v>
      </c>
      <c r="IV166" s="1611">
        <v>7.7767676767676763E-2</v>
      </c>
      <c r="IW166" s="1611">
        <v>9.0909090909090909E-4</v>
      </c>
      <c r="IX166" s="1611">
        <v>1.6060606060606061E-3</v>
      </c>
      <c r="IY166" s="1611">
        <v>9.6969696969696957E-4</v>
      </c>
      <c r="IZ166" s="1611">
        <v>5.9898989898989896E-3</v>
      </c>
      <c r="JA166" s="1611">
        <v>6.0606060606060598E-5</v>
      </c>
      <c r="JB166" s="1611" t="s">
        <v>270</v>
      </c>
      <c r="JC166" s="1611">
        <v>9.9026969696969704</v>
      </c>
      <c r="JD166" s="1611">
        <v>5.2121212121212122E-3</v>
      </c>
      <c r="JE166" s="1611" t="s">
        <v>270</v>
      </c>
      <c r="JF166" s="1611">
        <v>8.2828282828282835E-4</v>
      </c>
      <c r="JG166" s="1611">
        <v>0.57978787878787885</v>
      </c>
      <c r="JH166" s="1611">
        <v>7.646464646464647E-3</v>
      </c>
      <c r="JI166" s="1611">
        <v>0.3</v>
      </c>
      <c r="JJ166" s="1611" t="s">
        <v>270</v>
      </c>
      <c r="JK166" s="1607">
        <f t="shared" si="11"/>
        <v>0.12200000000000011</v>
      </c>
      <c r="JL166" s="1608" t="s">
        <v>270</v>
      </c>
      <c r="JM166" s="1610" t="s">
        <v>2924</v>
      </c>
      <c r="JN166" s="1608">
        <v>8.3333333333333037E-3</v>
      </c>
      <c r="JO166" s="1609" t="s">
        <v>2931</v>
      </c>
      <c r="JP166" s="1608" t="s">
        <v>270</v>
      </c>
      <c r="JQ166" s="1607">
        <v>202103</v>
      </c>
      <c r="JR166" s="1606">
        <v>851</v>
      </c>
      <c r="JS166" s="1606">
        <v>774</v>
      </c>
      <c r="JT166" s="1606">
        <v>774</v>
      </c>
    </row>
    <row r="167" spans="1:280" ht="15" customHeight="1" x14ac:dyDescent="0.2">
      <c r="A167" s="1626">
        <v>54010</v>
      </c>
      <c r="B167" s="1625">
        <v>540</v>
      </c>
      <c r="C167" s="1624">
        <v>10</v>
      </c>
      <c r="D167" s="1623" t="s">
        <v>3358</v>
      </c>
      <c r="E167" s="1622">
        <v>43605</v>
      </c>
      <c r="F167" s="1620">
        <v>1.21641972391599</v>
      </c>
      <c r="G167" s="1620">
        <v>1.1929799136363699</v>
      </c>
      <c r="H167" s="1621">
        <v>87.9</v>
      </c>
      <c r="I167" s="1621">
        <v>86.3</v>
      </c>
      <c r="J167" s="1621">
        <v>91</v>
      </c>
      <c r="K167" s="1620">
        <v>1</v>
      </c>
      <c r="L167" s="1620">
        <v>87.5</v>
      </c>
      <c r="M167" s="1620">
        <v>7.5250000000000004</v>
      </c>
      <c r="N167" s="1620">
        <v>3.9375</v>
      </c>
      <c r="O167" s="1620">
        <v>1.1375</v>
      </c>
      <c r="P167" s="1620">
        <v>2.0125000000000002</v>
      </c>
      <c r="Q167" s="1603"/>
      <c r="R167" s="1620">
        <v>86</v>
      </c>
      <c r="S167" s="1620">
        <v>20</v>
      </c>
      <c r="T167" s="1620">
        <v>36.260162601626</v>
      </c>
      <c r="U167" s="1620">
        <v>42.764227642276403</v>
      </c>
      <c r="V167" s="1620">
        <v>48.617886178861802</v>
      </c>
      <c r="W167" s="1620">
        <v>52.520325203252</v>
      </c>
      <c r="X167" s="1620"/>
      <c r="Y167" s="1620">
        <v>0.1</v>
      </c>
      <c r="Z167" s="1620">
        <v>2.6999999999999997</v>
      </c>
      <c r="AA167" s="1620">
        <v>0.1</v>
      </c>
      <c r="AB167" s="1620">
        <v>0.5</v>
      </c>
      <c r="AC167" s="1620">
        <v>3.8</v>
      </c>
      <c r="AD167" s="1620">
        <v>1.1000000000000001</v>
      </c>
      <c r="AE167" s="1620">
        <v>1.2</v>
      </c>
      <c r="AF167" s="1620">
        <v>37</v>
      </c>
      <c r="AG167" s="1620">
        <v>2.3000000000000003</v>
      </c>
      <c r="AH167" s="1620">
        <v>5.8</v>
      </c>
      <c r="AI167" s="1620">
        <v>17</v>
      </c>
      <c r="AJ167" s="1620">
        <v>0</v>
      </c>
      <c r="AK167" s="1620">
        <v>0.06</v>
      </c>
      <c r="AL167" s="1620"/>
      <c r="AM167" s="1620">
        <v>3.2621199999999999</v>
      </c>
      <c r="AN167" s="1620">
        <v>1.971484</v>
      </c>
      <c r="AO167" s="1620">
        <v>2.0622859999999998</v>
      </c>
      <c r="AP167" s="1620">
        <v>3.4630380000000001</v>
      </c>
      <c r="AQ167" s="1620">
        <v>0.71</v>
      </c>
      <c r="AR167" s="1620">
        <v>3.13</v>
      </c>
      <c r="AS167" s="1620">
        <v>11.053634000000001</v>
      </c>
      <c r="AT167" s="1620">
        <v>2.712628</v>
      </c>
      <c r="AU167" s="1620">
        <v>4.4619999999999997</v>
      </c>
      <c r="AV167" s="1620">
        <v>3.18604651162791</v>
      </c>
      <c r="AW167" s="1620">
        <v>4.490558</v>
      </c>
      <c r="AX167" s="1620"/>
      <c r="AY167" s="1620">
        <v>0.88</v>
      </c>
      <c r="AZ167" s="1620">
        <v>1.02</v>
      </c>
      <c r="BA167" s="1620">
        <v>0.99</v>
      </c>
      <c r="BB167" s="1620">
        <v>0.93</v>
      </c>
      <c r="BC167" s="1620">
        <v>0.86</v>
      </c>
      <c r="BD167" s="1620">
        <v>0.99</v>
      </c>
      <c r="BE167" s="1620">
        <v>1.03</v>
      </c>
      <c r="BF167" s="1620">
        <v>0.98</v>
      </c>
      <c r="BG167" s="1620">
        <v>1</v>
      </c>
      <c r="BH167" s="1620">
        <v>1.02</v>
      </c>
      <c r="BI167" s="1620">
        <v>0.97</v>
      </c>
      <c r="BJ167" s="1603"/>
      <c r="BK167" s="1620">
        <v>8.6</v>
      </c>
      <c r="BL167" s="1620">
        <v>4.5</v>
      </c>
      <c r="BM167" s="1620">
        <v>1.3</v>
      </c>
      <c r="BN167" s="1620">
        <v>2.3000000000000003</v>
      </c>
      <c r="BO167" s="1620"/>
      <c r="BP167" s="1620">
        <v>120</v>
      </c>
      <c r="BQ167" s="1620">
        <v>54</v>
      </c>
      <c r="BR167" s="1620">
        <v>1.3901939701897028</v>
      </c>
      <c r="BS167" s="1620">
        <v>1.3634056155844227</v>
      </c>
      <c r="BT167" s="1603"/>
      <c r="BU167" s="1620">
        <v>987</v>
      </c>
      <c r="BV167" s="1620">
        <v>723.10299999999995</v>
      </c>
      <c r="BW167" s="1620">
        <v>22.560000000000116</v>
      </c>
      <c r="BX167" s="1620">
        <v>733</v>
      </c>
      <c r="BY167" s="1620">
        <v>21</v>
      </c>
      <c r="BZ167" s="1620">
        <v>9</v>
      </c>
      <c r="CA167" s="1620">
        <v>99</v>
      </c>
      <c r="CB167" s="1603"/>
      <c r="CC167" s="1603">
        <v>8.7500000000000008E-2</v>
      </c>
      <c r="CD167" s="1603">
        <v>2.3624999999999998</v>
      </c>
      <c r="CE167" s="1603">
        <v>8.7500000000000008E-2</v>
      </c>
      <c r="CF167" s="1603">
        <v>0.4375</v>
      </c>
      <c r="CG167" s="1603">
        <v>3.3249999999999997</v>
      </c>
      <c r="CH167" s="1603">
        <v>0.96250000000000013</v>
      </c>
      <c r="CI167" s="1603">
        <v>1.05</v>
      </c>
      <c r="CJ167" s="1603"/>
      <c r="CK167" s="1603">
        <v>32.375</v>
      </c>
      <c r="CL167" s="1603">
        <v>2.0125000000000002</v>
      </c>
      <c r="CM167" s="1603">
        <v>5.0750000000000002</v>
      </c>
      <c r="CN167" s="1603">
        <v>14.875</v>
      </c>
      <c r="CO167" s="1603">
        <v>0</v>
      </c>
      <c r="CP167" s="1603">
        <v>5.2499999999999998E-2</v>
      </c>
      <c r="CQ167" s="1603">
        <v>64.715000000000003</v>
      </c>
      <c r="CR167" s="1603">
        <v>53.201209029778475</v>
      </c>
      <c r="CS167" s="1603">
        <v>1.5272288064019444</v>
      </c>
      <c r="CT167" s="1603">
        <v>1.0698303903052107</v>
      </c>
      <c r="CU167" s="1603">
        <v>1.0861894747953387</v>
      </c>
      <c r="CV167" s="1603">
        <v>2.1560198651005491</v>
      </c>
      <c r="CW167" s="1603">
        <v>1.7134116191994135</v>
      </c>
      <c r="CX167" s="1603">
        <v>0.32484658233582736</v>
      </c>
      <c r="CY167" s="1603">
        <v>1.6485458642057453</v>
      </c>
      <c r="CZ167" s="1603">
        <v>6.0570869376184637</v>
      </c>
      <c r="DA167" s="1603">
        <v>1.4142878746306933</v>
      </c>
      <c r="DB167" s="1603">
        <v>2.3738379469087154</v>
      </c>
      <c r="DC167" s="1603">
        <v>1.7289155697258705</v>
      </c>
      <c r="DD167" s="1603">
        <v>4.1027535166345857</v>
      </c>
      <c r="DE167" s="1603">
        <v>2.3173602137379361</v>
      </c>
      <c r="DF167" s="1603">
        <v>0</v>
      </c>
      <c r="DG167" s="1603">
        <v>0</v>
      </c>
      <c r="DH167" s="1603">
        <v>0</v>
      </c>
      <c r="DI167" s="1603">
        <v>0</v>
      </c>
      <c r="DJ167" s="1603">
        <v>0</v>
      </c>
      <c r="DK167" s="1603">
        <v>0</v>
      </c>
      <c r="DL167" s="1603">
        <v>0</v>
      </c>
      <c r="DM167" s="1603">
        <v>0</v>
      </c>
      <c r="DN167" s="1603">
        <v>0</v>
      </c>
      <c r="DO167" s="1603">
        <v>0</v>
      </c>
      <c r="DP167" s="1603">
        <v>0</v>
      </c>
      <c r="DQ167" s="1603">
        <v>0</v>
      </c>
      <c r="DR167" s="1603">
        <v>0</v>
      </c>
      <c r="DS167" s="1603">
        <v>0</v>
      </c>
      <c r="DT167" s="1603">
        <v>0</v>
      </c>
      <c r="DU167" s="1603">
        <v>0</v>
      </c>
      <c r="DV167" s="1603">
        <v>0</v>
      </c>
      <c r="DW167" s="1618" t="s">
        <v>3352</v>
      </c>
      <c r="DX167" s="1605">
        <v>11</v>
      </c>
      <c r="DY167" s="1605">
        <v>11</v>
      </c>
      <c r="DZ167" s="1605">
        <v>11</v>
      </c>
      <c r="EA167" s="1605">
        <v>11</v>
      </c>
      <c r="EB167" s="1605">
        <v>19</v>
      </c>
      <c r="EC167" s="1605">
        <v>11</v>
      </c>
      <c r="ED167" s="1605">
        <v>11</v>
      </c>
      <c r="EE167" s="1605">
        <v>11</v>
      </c>
      <c r="EF167" s="1605">
        <v>11</v>
      </c>
      <c r="EG167" s="1605">
        <v>11</v>
      </c>
      <c r="EH167" s="1605">
        <v>7</v>
      </c>
      <c r="EI167" s="1605">
        <v>7</v>
      </c>
      <c r="EJ167" s="1605">
        <v>7</v>
      </c>
      <c r="EK167" s="1605">
        <v>7</v>
      </c>
      <c r="EL167" s="1605" t="s">
        <v>986</v>
      </c>
      <c r="EM167" s="1605">
        <v>7</v>
      </c>
      <c r="EN167" s="1605">
        <v>7</v>
      </c>
      <c r="EO167" s="1605">
        <v>7</v>
      </c>
      <c r="EP167" s="1605">
        <v>7</v>
      </c>
      <c r="EQ167" s="1605">
        <v>7</v>
      </c>
      <c r="ER167" s="1605">
        <v>7</v>
      </c>
      <c r="ES167" s="1605">
        <v>9</v>
      </c>
      <c r="ET167" s="1605">
        <v>9</v>
      </c>
      <c r="EU167" s="1605">
        <v>7</v>
      </c>
      <c r="EV167" s="1605" t="s">
        <v>986</v>
      </c>
      <c r="EW167" s="1605">
        <v>7</v>
      </c>
      <c r="EX167" s="1605">
        <v>7</v>
      </c>
      <c r="EY167" s="1605" t="s">
        <v>986</v>
      </c>
      <c r="EZ167" s="1605">
        <v>7</v>
      </c>
      <c r="FA167" s="1605">
        <v>7</v>
      </c>
      <c r="FB167" s="1605">
        <v>7</v>
      </c>
      <c r="FC167" s="1605">
        <v>7</v>
      </c>
      <c r="FD167" s="1605" t="s">
        <v>986</v>
      </c>
      <c r="FE167" s="1605" t="s">
        <v>986</v>
      </c>
      <c r="FF167" s="1605">
        <v>0.7</v>
      </c>
      <c r="FG167" s="1605">
        <v>0.4</v>
      </c>
      <c r="FH167" s="1605">
        <v>0.3</v>
      </c>
      <c r="FI167" s="1605">
        <v>0.1</v>
      </c>
      <c r="FJ167" s="1605">
        <v>0.3</v>
      </c>
      <c r="FK167" s="1605">
        <v>1.3</v>
      </c>
      <c r="FL167" s="1605">
        <v>1.9</v>
      </c>
      <c r="FM167" s="1605">
        <v>2.7</v>
      </c>
      <c r="FN167" s="1605">
        <v>3</v>
      </c>
      <c r="FO167" s="1605">
        <v>2.2000000000000002</v>
      </c>
      <c r="FP167" s="1605">
        <v>0.11</v>
      </c>
      <c r="FQ167" s="1605">
        <v>0.11</v>
      </c>
      <c r="FR167" s="1605">
        <v>0.09</v>
      </c>
      <c r="FS167" s="1605">
        <v>0.12</v>
      </c>
      <c r="FT167" s="1605" t="s">
        <v>986</v>
      </c>
      <c r="FU167" s="1605">
        <v>0.16</v>
      </c>
      <c r="FV167" s="1605">
        <v>0.42</v>
      </c>
      <c r="FW167" s="1605">
        <v>0.1</v>
      </c>
      <c r="FX167" s="1605">
        <v>0.24</v>
      </c>
      <c r="FY167" s="1605">
        <v>0.44</v>
      </c>
      <c r="FZ167" s="1605">
        <v>0.2</v>
      </c>
      <c r="GA167" s="1605" t="s">
        <v>986</v>
      </c>
      <c r="GB167" s="1605">
        <v>0.23</v>
      </c>
      <c r="GC167" s="1605" t="s">
        <v>986</v>
      </c>
      <c r="GD167" s="1605">
        <v>0.1</v>
      </c>
      <c r="GE167" s="1605">
        <v>0.24</v>
      </c>
      <c r="GF167" s="1605">
        <v>0.1</v>
      </c>
      <c r="GG167" s="1605" t="s">
        <v>986</v>
      </c>
      <c r="GH167" s="1605">
        <v>26</v>
      </c>
      <c r="GI167" s="1605">
        <v>0.01</v>
      </c>
      <c r="GJ167" s="1605">
        <v>0.28000000000000003</v>
      </c>
      <c r="GK167" s="1605">
        <v>2.25</v>
      </c>
      <c r="GL167" s="1605" t="s">
        <v>986</v>
      </c>
      <c r="GM167" s="1605" t="s">
        <v>986</v>
      </c>
      <c r="GN167" s="1605" t="s">
        <v>1578</v>
      </c>
      <c r="GO167" s="1605" t="s">
        <v>1578</v>
      </c>
      <c r="GP167" s="1605" t="s">
        <v>1578</v>
      </c>
      <c r="GQ167" s="1605" t="s">
        <v>1578</v>
      </c>
      <c r="GR167" s="1605" t="s">
        <v>1578</v>
      </c>
      <c r="GS167" s="1605" t="s">
        <v>1578</v>
      </c>
      <c r="GT167" s="1605" t="s">
        <v>1578</v>
      </c>
      <c r="GU167" s="1605" t="s">
        <v>1578</v>
      </c>
      <c r="GV167" s="1605" t="s">
        <v>1578</v>
      </c>
      <c r="GW167" s="1605" t="s">
        <v>1578</v>
      </c>
      <c r="GX167" s="1605" t="s">
        <v>1578</v>
      </c>
      <c r="GY167" s="1605" t="s">
        <v>1578</v>
      </c>
      <c r="GZ167" s="1605" t="s">
        <v>1578</v>
      </c>
      <c r="HA167" s="1605" t="s">
        <v>1578</v>
      </c>
      <c r="HB167" s="1605" t="s">
        <v>986</v>
      </c>
      <c r="HC167" s="1605" t="s">
        <v>1578</v>
      </c>
      <c r="HD167" s="1605" t="s">
        <v>1578</v>
      </c>
      <c r="HE167" s="1605" t="s">
        <v>1578</v>
      </c>
      <c r="HF167" s="1605" t="s">
        <v>1578</v>
      </c>
      <c r="HG167" s="1605" t="s">
        <v>1578</v>
      </c>
      <c r="HH167" s="1605" t="s">
        <v>1578</v>
      </c>
      <c r="HI167" s="1605" t="s">
        <v>1578</v>
      </c>
      <c r="HJ167" s="1605" t="s">
        <v>1578</v>
      </c>
      <c r="HK167" s="1605" t="s">
        <v>986</v>
      </c>
      <c r="HL167" s="1605" t="s">
        <v>986</v>
      </c>
      <c r="HM167" s="1605" t="s">
        <v>1578</v>
      </c>
      <c r="HN167" s="1605" t="s">
        <v>1578</v>
      </c>
      <c r="HO167" s="1605" t="s">
        <v>986</v>
      </c>
      <c r="HP167" s="1605" t="s">
        <v>1578</v>
      </c>
      <c r="HQ167" s="1605" t="s">
        <v>1578</v>
      </c>
      <c r="HR167" s="1605" t="s">
        <v>1578</v>
      </c>
      <c r="HS167" s="1605" t="s">
        <v>1578</v>
      </c>
      <c r="HT167" s="1605" t="s">
        <v>986</v>
      </c>
      <c r="HU167" s="1605" t="s">
        <v>986</v>
      </c>
      <c r="HV167" s="1617"/>
      <c r="HW167" s="1617" t="s">
        <v>3356</v>
      </c>
      <c r="HX167" s="1617" t="s">
        <v>3350</v>
      </c>
      <c r="HY167" s="1617" t="s">
        <v>3349</v>
      </c>
      <c r="HZ167" s="1603"/>
      <c r="IA167" s="1603"/>
      <c r="IB167" s="1603"/>
      <c r="IC167" s="1603">
        <v>55.4471544715447</v>
      </c>
      <c r="ID167" s="1603">
        <v>57.398373983739802</v>
      </c>
      <c r="IE167" s="1603">
        <v>59.024390243902403</v>
      </c>
      <c r="IF167" s="1603">
        <v>60</v>
      </c>
      <c r="IG167" s="1611" t="s">
        <v>3348</v>
      </c>
      <c r="IH167" s="1616" t="s">
        <v>3355</v>
      </c>
      <c r="II167" s="1615" t="s">
        <v>3354</v>
      </c>
      <c r="IJ167" s="1613">
        <v>0.6571136363636364</v>
      </c>
      <c r="IK167" s="1613">
        <v>0.6533863636363636</v>
      </c>
      <c r="IL167" s="1614">
        <v>0.6571136363636364</v>
      </c>
      <c r="IM167" s="1614">
        <v>0.6533863636363636</v>
      </c>
      <c r="IN167" s="1612">
        <v>0.55700000000000005</v>
      </c>
      <c r="IO167" s="1613">
        <v>-0.10011363636363635</v>
      </c>
      <c r="IP167" s="1607" t="s">
        <v>270</v>
      </c>
      <c r="IQ167" s="1612">
        <v>1.31</v>
      </c>
      <c r="IR167" s="1612">
        <v>6.4000000000000001E-2</v>
      </c>
      <c r="IS167" s="1607">
        <v>0.54011363636363641</v>
      </c>
      <c r="IT167" s="1607">
        <v>0.53638636363636361</v>
      </c>
      <c r="IU167" s="1611">
        <v>1.1363636363636365E-5</v>
      </c>
      <c r="IV167" s="1611">
        <v>2.6136363636363636E-3</v>
      </c>
      <c r="IW167" s="1611">
        <v>1.3409090909090907E-3</v>
      </c>
      <c r="IX167" s="1611">
        <v>1.3977272727272727E-3</v>
      </c>
      <c r="IY167" s="1611">
        <v>1.3522727272727271E-3</v>
      </c>
      <c r="IZ167" s="1611">
        <v>7.7272727272727267E-3</v>
      </c>
      <c r="JA167" s="1611">
        <v>1.590909090909091E-4</v>
      </c>
      <c r="JB167" s="1611" t="s">
        <v>270</v>
      </c>
      <c r="JC167" s="1611">
        <v>0.54006818181818184</v>
      </c>
      <c r="JD167" s="1611">
        <v>1.4261363636363638E-2</v>
      </c>
      <c r="JE167" s="1611" t="s">
        <v>270</v>
      </c>
      <c r="JF167" s="1611">
        <v>2.5000000000000001E-4</v>
      </c>
      <c r="JG167" s="1611">
        <v>0.35303409090909094</v>
      </c>
      <c r="JH167" s="1611">
        <v>5.7954545454545455E-4</v>
      </c>
      <c r="JI167" s="1611">
        <v>0.10560227272727274</v>
      </c>
      <c r="JJ167" s="1611" t="s">
        <v>270</v>
      </c>
      <c r="JK167" s="1607">
        <f t="shared" si="11"/>
        <v>0.11699999999999999</v>
      </c>
      <c r="JL167" s="1608" t="s">
        <v>270</v>
      </c>
      <c r="JM167" s="1610" t="s">
        <v>2924</v>
      </c>
      <c r="JN167" s="1608">
        <v>3.7272727272728012E-3</v>
      </c>
      <c r="JO167" s="1609" t="s">
        <v>2958</v>
      </c>
      <c r="JP167" s="1608" t="s">
        <v>270</v>
      </c>
      <c r="JQ167" s="1607">
        <v>202103</v>
      </c>
      <c r="JR167" s="1606">
        <v>277</v>
      </c>
      <c r="JS167" s="1606">
        <v>271</v>
      </c>
      <c r="JT167" s="1606">
        <v>271</v>
      </c>
    </row>
    <row r="168" spans="1:280" ht="15" customHeight="1" x14ac:dyDescent="0.2">
      <c r="A168" s="1626">
        <v>54000</v>
      </c>
      <c r="B168" s="1625">
        <v>540</v>
      </c>
      <c r="C168" s="1624">
        <v>0</v>
      </c>
      <c r="D168" s="1623" t="s">
        <v>3357</v>
      </c>
      <c r="E168" s="1622">
        <v>43605</v>
      </c>
      <c r="F168" s="1620">
        <v>1.22289732392566</v>
      </c>
      <c r="G168" s="1620">
        <v>1.1974743758449</v>
      </c>
      <c r="H168" s="1621">
        <v>88.7</v>
      </c>
      <c r="I168" s="1621">
        <v>87.100029399999997</v>
      </c>
      <c r="J168" s="1621">
        <v>91</v>
      </c>
      <c r="K168" s="1620">
        <v>1</v>
      </c>
      <c r="L168" s="1620">
        <v>86.7</v>
      </c>
      <c r="M168" s="1620">
        <v>7.7163000000000004</v>
      </c>
      <c r="N168" s="1620">
        <v>4.1616</v>
      </c>
      <c r="O168" s="1620">
        <v>1.2138</v>
      </c>
      <c r="P168" s="1620">
        <v>1.9941</v>
      </c>
      <c r="Q168" s="1603"/>
      <c r="R168" s="1620">
        <v>86</v>
      </c>
      <c r="S168" s="1620">
        <v>20</v>
      </c>
      <c r="T168" s="1620">
        <v>36.260162601626</v>
      </c>
      <c r="U168" s="1620">
        <v>42.764227642276403</v>
      </c>
      <c r="V168" s="1620">
        <v>48.617886178861802</v>
      </c>
      <c r="W168" s="1620">
        <v>52.520325203252</v>
      </c>
      <c r="X168" s="1620"/>
      <c r="Y168" s="1620">
        <v>9.9999999999999992E-2</v>
      </c>
      <c r="Z168" s="1620">
        <v>2.6999999999999997</v>
      </c>
      <c r="AA168" s="1620">
        <v>9.9999999999999992E-2</v>
      </c>
      <c r="AB168" s="1620">
        <v>0.5</v>
      </c>
      <c r="AC168" s="1620">
        <v>3.8</v>
      </c>
      <c r="AD168" s="1620">
        <v>1.1000000000000001</v>
      </c>
      <c r="AE168" s="1620">
        <v>1.2</v>
      </c>
      <c r="AF168" s="1620">
        <v>37</v>
      </c>
      <c r="AG168" s="1620">
        <v>2.2999999999999998</v>
      </c>
      <c r="AH168" s="1620">
        <v>5.8</v>
      </c>
      <c r="AI168" s="1620">
        <v>17</v>
      </c>
      <c r="AJ168" s="1620">
        <v>0</v>
      </c>
      <c r="AK168" s="1620">
        <v>0.06</v>
      </c>
      <c r="AL168" s="1620"/>
      <c r="AM168" s="1620">
        <v>3.1463800000000002</v>
      </c>
      <c r="AN168" s="1620">
        <v>1.872466</v>
      </c>
      <c r="AO168" s="1620">
        <v>1.980389</v>
      </c>
      <c r="AP168" s="1620">
        <v>3.3002370000000001</v>
      </c>
      <c r="AQ168" s="1620">
        <v>0.71</v>
      </c>
      <c r="AR168" s="1620">
        <v>3.0219999999999998</v>
      </c>
      <c r="AS168" s="1620">
        <v>10.684691000000001</v>
      </c>
      <c r="AT168" s="1620">
        <v>2.6070220000000002</v>
      </c>
      <c r="AU168" s="1620">
        <v>4.3330000000000002</v>
      </c>
      <c r="AV168" s="1620">
        <v>3.7299999999999902</v>
      </c>
      <c r="AW168" s="1620">
        <v>4.3287170000000001</v>
      </c>
      <c r="AX168" s="1620"/>
      <c r="AY168" s="1620">
        <v>0.88</v>
      </c>
      <c r="AZ168" s="1620">
        <v>1.02</v>
      </c>
      <c r="BA168" s="1620">
        <v>0.99</v>
      </c>
      <c r="BB168" s="1620">
        <v>0.93</v>
      </c>
      <c r="BC168" s="1620">
        <v>0.86</v>
      </c>
      <c r="BD168" s="1620">
        <v>0.99</v>
      </c>
      <c r="BE168" s="1620">
        <v>1.03</v>
      </c>
      <c r="BF168" s="1620">
        <v>0.98</v>
      </c>
      <c r="BG168" s="1620">
        <v>1</v>
      </c>
      <c r="BH168" s="1620">
        <v>1.02</v>
      </c>
      <c r="BI168" s="1620">
        <v>0.97</v>
      </c>
      <c r="BJ168" s="1603"/>
      <c r="BK168" s="1620">
        <v>8.9</v>
      </c>
      <c r="BL168" s="1620">
        <v>4.8</v>
      </c>
      <c r="BM168" s="1620">
        <v>1.4</v>
      </c>
      <c r="BN168" s="1620">
        <v>2.2999999999999998</v>
      </c>
      <c r="BO168" s="1620"/>
      <c r="BP168" s="1620">
        <v>120</v>
      </c>
      <c r="BQ168" s="1620">
        <v>57.6</v>
      </c>
      <c r="BR168" s="1620">
        <v>1.4104928765001845</v>
      </c>
      <c r="BS168" s="1620">
        <v>1.3811699836734717</v>
      </c>
      <c r="BT168" s="1603"/>
      <c r="BU168" s="1620">
        <v>985.99999999999989</v>
      </c>
      <c r="BV168" s="1620">
        <v>724.49485714285697</v>
      </c>
      <c r="BW168" s="1620">
        <v>22.536728737142905</v>
      </c>
      <c r="BX168" s="1620">
        <v>733</v>
      </c>
      <c r="BY168" s="1620">
        <v>21</v>
      </c>
      <c r="BZ168" s="1620">
        <v>9</v>
      </c>
      <c r="CA168" s="1620">
        <v>98.999999999999986</v>
      </c>
      <c r="CB168" s="1603"/>
      <c r="CC168" s="1603">
        <v>8.6699999999999985E-2</v>
      </c>
      <c r="CD168" s="1603">
        <v>2.3408999999999995</v>
      </c>
      <c r="CE168" s="1603">
        <v>8.6699999999999985E-2</v>
      </c>
      <c r="CF168" s="1603">
        <v>0.4335</v>
      </c>
      <c r="CG168" s="1603">
        <v>3.2946</v>
      </c>
      <c r="CH168" s="1603">
        <v>0.9537000000000001</v>
      </c>
      <c r="CI168" s="1603">
        <v>1.0404</v>
      </c>
      <c r="CJ168" s="1603"/>
      <c r="CK168" s="1603">
        <v>32.079000000000001</v>
      </c>
      <c r="CL168" s="1603">
        <v>1.9940999999999998</v>
      </c>
      <c r="CM168" s="1603">
        <v>5.0286</v>
      </c>
      <c r="CN168" s="1603">
        <v>14.739000000000001</v>
      </c>
      <c r="CO168" s="1603">
        <v>0</v>
      </c>
      <c r="CP168" s="1603">
        <v>5.2019999999999997E-2</v>
      </c>
      <c r="CQ168" s="1603">
        <v>66.36018</v>
      </c>
      <c r="CR168" s="1603">
        <v>54.26471928728666</v>
      </c>
      <c r="CS168" s="1603">
        <v>1.5024893617459703</v>
      </c>
      <c r="CT168" s="1603">
        <v>1.0364101870228861</v>
      </c>
      <c r="CU168" s="1603">
        <v>1.063906006329842</v>
      </c>
      <c r="CV168" s="1603">
        <v>2.1003161933527195</v>
      </c>
      <c r="CW168" s="1603">
        <v>1.6655038397946103</v>
      </c>
      <c r="CX168" s="1603">
        <v>0.33134037596817234</v>
      </c>
      <c r="CY168" s="1603">
        <v>1.6234810186931847</v>
      </c>
      <c r="CZ168" s="1603">
        <v>5.9719581051998984</v>
      </c>
      <c r="DA168" s="1603">
        <v>1.3863993066566518</v>
      </c>
      <c r="DB168" s="1603">
        <v>2.3512902867181311</v>
      </c>
      <c r="DC168" s="1603">
        <v>2.0645555100041002</v>
      </c>
      <c r="DD168" s="1603">
        <v>4.4158457967222313</v>
      </c>
      <c r="DE168" s="1603">
        <v>2.2784971449273232</v>
      </c>
      <c r="DF168" s="1603">
        <v>0</v>
      </c>
      <c r="DG168" s="1603">
        <v>0</v>
      </c>
      <c r="DH168" s="1603">
        <v>0</v>
      </c>
      <c r="DI168" s="1603">
        <v>0</v>
      </c>
      <c r="DJ168" s="1603">
        <v>0</v>
      </c>
      <c r="DK168" s="1603">
        <v>0</v>
      </c>
      <c r="DL168" s="1603">
        <v>0</v>
      </c>
      <c r="DM168" s="1603">
        <v>0</v>
      </c>
      <c r="DN168" s="1603">
        <v>0</v>
      </c>
      <c r="DO168" s="1603">
        <v>0</v>
      </c>
      <c r="DP168" s="1603">
        <v>0</v>
      </c>
      <c r="DQ168" s="1603">
        <v>0</v>
      </c>
      <c r="DR168" s="1603">
        <v>0</v>
      </c>
      <c r="DS168" s="1603">
        <v>0</v>
      </c>
      <c r="DT168" s="1603">
        <v>0</v>
      </c>
      <c r="DU168" s="1603">
        <v>0</v>
      </c>
      <c r="DV168" s="1603">
        <v>0</v>
      </c>
      <c r="DW168" s="1618" t="s">
        <v>3352</v>
      </c>
      <c r="DX168" s="1605">
        <v>30</v>
      </c>
      <c r="DY168" s="1605">
        <v>30</v>
      </c>
      <c r="DZ168" s="1605">
        <v>30</v>
      </c>
      <c r="EA168" s="1605">
        <v>30</v>
      </c>
      <c r="EB168" s="1605">
        <v>19</v>
      </c>
      <c r="EC168" s="1605">
        <v>19</v>
      </c>
      <c r="ED168" s="1605">
        <v>19</v>
      </c>
      <c r="EE168" s="1605">
        <v>19</v>
      </c>
      <c r="EF168" s="1605">
        <v>19</v>
      </c>
      <c r="EG168" s="1605">
        <v>19</v>
      </c>
      <c r="EH168" s="1605">
        <v>7</v>
      </c>
      <c r="EI168" s="1605">
        <v>7</v>
      </c>
      <c r="EJ168" s="1605">
        <v>7</v>
      </c>
      <c r="EK168" s="1605">
        <v>7</v>
      </c>
      <c r="EL168" s="1605" t="s">
        <v>986</v>
      </c>
      <c r="EM168" s="1605">
        <v>7</v>
      </c>
      <c r="EN168" s="1605">
        <v>7</v>
      </c>
      <c r="EO168" s="1605">
        <v>7</v>
      </c>
      <c r="EP168" s="1605">
        <v>7</v>
      </c>
      <c r="EQ168" s="1605">
        <v>7</v>
      </c>
      <c r="ER168" s="1605">
        <v>7</v>
      </c>
      <c r="ES168" s="1605">
        <v>9</v>
      </c>
      <c r="ET168" s="1605">
        <v>9</v>
      </c>
      <c r="EU168" s="1605">
        <v>7</v>
      </c>
      <c r="EV168" s="1605" t="s">
        <v>986</v>
      </c>
      <c r="EW168" s="1605">
        <v>7</v>
      </c>
      <c r="EX168" s="1605">
        <v>7</v>
      </c>
      <c r="EY168" s="1605" t="s">
        <v>986</v>
      </c>
      <c r="EZ168" s="1605">
        <v>7</v>
      </c>
      <c r="FA168" s="1605">
        <v>7</v>
      </c>
      <c r="FB168" s="1605">
        <v>7</v>
      </c>
      <c r="FC168" s="1605">
        <v>7</v>
      </c>
      <c r="FD168" s="1605" t="s">
        <v>986</v>
      </c>
      <c r="FE168" s="1605" t="s">
        <v>986</v>
      </c>
      <c r="FF168" s="1605">
        <v>0.8</v>
      </c>
      <c r="FG168" s="1605">
        <v>0.7</v>
      </c>
      <c r="FH168" s="1605">
        <v>0.3</v>
      </c>
      <c r="FI168" s="1605">
        <v>0.1</v>
      </c>
      <c r="FJ168" s="1605">
        <v>0.3</v>
      </c>
      <c r="FK168" s="1605">
        <v>1.6</v>
      </c>
      <c r="FL168" s="1605">
        <v>1.8</v>
      </c>
      <c r="FM168" s="1605">
        <v>2.2000000000000002</v>
      </c>
      <c r="FN168" s="1605">
        <v>3.3</v>
      </c>
      <c r="FO168" s="1605">
        <v>2.69</v>
      </c>
      <c r="FP168" s="1605">
        <v>0.11</v>
      </c>
      <c r="FQ168" s="1605">
        <v>0.11</v>
      </c>
      <c r="FR168" s="1605">
        <v>0.09</v>
      </c>
      <c r="FS168" s="1605">
        <v>0.12</v>
      </c>
      <c r="FT168" s="1605" t="s">
        <v>986</v>
      </c>
      <c r="FU168" s="1605">
        <v>0.16</v>
      </c>
      <c r="FV168" s="1605">
        <v>0.42</v>
      </c>
      <c r="FW168" s="1605">
        <v>0.1</v>
      </c>
      <c r="FX168" s="1605">
        <v>0.24</v>
      </c>
      <c r="FY168" s="1605">
        <v>0.44</v>
      </c>
      <c r="FZ168" s="1605">
        <v>0.2</v>
      </c>
      <c r="GA168" s="1605" t="s">
        <v>986</v>
      </c>
      <c r="GB168" s="1605">
        <v>0.23</v>
      </c>
      <c r="GC168" s="1605" t="s">
        <v>986</v>
      </c>
      <c r="GD168" s="1605">
        <v>0.1</v>
      </c>
      <c r="GE168" s="1605">
        <v>0.24</v>
      </c>
      <c r="GF168" s="1605">
        <v>0.1</v>
      </c>
      <c r="GG168" s="1605" t="s">
        <v>986</v>
      </c>
      <c r="GH168" s="1605">
        <v>26</v>
      </c>
      <c r="GI168" s="1605">
        <v>0.01</v>
      </c>
      <c r="GJ168" s="1605">
        <v>0.28000000000000003</v>
      </c>
      <c r="GK168" s="1605">
        <v>2.25</v>
      </c>
      <c r="GL168" s="1605" t="s">
        <v>986</v>
      </c>
      <c r="GM168" s="1605" t="s">
        <v>986</v>
      </c>
      <c r="GN168" s="1605" t="s">
        <v>1578</v>
      </c>
      <c r="GO168" s="1605" t="s">
        <v>1578</v>
      </c>
      <c r="GP168" s="1605" t="s">
        <v>1578</v>
      </c>
      <c r="GQ168" s="1605" t="s">
        <v>1578</v>
      </c>
      <c r="GR168" s="1605" t="s">
        <v>1578</v>
      </c>
      <c r="GS168" s="1605" t="s">
        <v>1578</v>
      </c>
      <c r="GT168" s="1605" t="s">
        <v>1578</v>
      </c>
      <c r="GU168" s="1605" t="s">
        <v>1578</v>
      </c>
      <c r="GV168" s="1605" t="s">
        <v>1578</v>
      </c>
      <c r="GW168" s="1605" t="s">
        <v>1578</v>
      </c>
      <c r="GX168" s="1605" t="s">
        <v>1578</v>
      </c>
      <c r="GY168" s="1605" t="s">
        <v>1578</v>
      </c>
      <c r="GZ168" s="1605" t="s">
        <v>1578</v>
      </c>
      <c r="HA168" s="1605" t="s">
        <v>1578</v>
      </c>
      <c r="HB168" s="1605" t="s">
        <v>986</v>
      </c>
      <c r="HC168" s="1605" t="s">
        <v>1578</v>
      </c>
      <c r="HD168" s="1605" t="s">
        <v>1578</v>
      </c>
      <c r="HE168" s="1605" t="s">
        <v>1578</v>
      </c>
      <c r="HF168" s="1605" t="s">
        <v>1578</v>
      </c>
      <c r="HG168" s="1605" t="s">
        <v>1578</v>
      </c>
      <c r="HH168" s="1605" t="s">
        <v>1578</v>
      </c>
      <c r="HI168" s="1605" t="s">
        <v>1578</v>
      </c>
      <c r="HJ168" s="1605" t="s">
        <v>1578</v>
      </c>
      <c r="HK168" s="1605" t="s">
        <v>986</v>
      </c>
      <c r="HL168" s="1605" t="s">
        <v>986</v>
      </c>
      <c r="HM168" s="1605" t="s">
        <v>1578</v>
      </c>
      <c r="HN168" s="1605" t="s">
        <v>1578</v>
      </c>
      <c r="HO168" s="1605" t="s">
        <v>986</v>
      </c>
      <c r="HP168" s="1605" t="s">
        <v>1578</v>
      </c>
      <c r="HQ168" s="1605" t="s">
        <v>1578</v>
      </c>
      <c r="HR168" s="1605" t="s">
        <v>1578</v>
      </c>
      <c r="HS168" s="1605" t="s">
        <v>1578</v>
      </c>
      <c r="HT168" s="1605" t="s">
        <v>986</v>
      </c>
      <c r="HU168" s="1605" t="s">
        <v>986</v>
      </c>
      <c r="HV168" s="1617"/>
      <c r="HW168" s="1617" t="s">
        <v>3356</v>
      </c>
      <c r="HX168" s="1617" t="s">
        <v>3350</v>
      </c>
      <c r="HY168" s="1617" t="s">
        <v>3349</v>
      </c>
      <c r="HZ168" s="1603"/>
      <c r="IA168" s="1603"/>
      <c r="IB168" s="1603"/>
      <c r="IC168" s="1603">
        <v>55.4471544715447</v>
      </c>
      <c r="ID168" s="1603">
        <v>57.398373983739802</v>
      </c>
      <c r="IE168" s="1603">
        <v>59.024390243902403</v>
      </c>
      <c r="IF168" s="1603">
        <v>60</v>
      </c>
      <c r="IG168" s="1611" t="s">
        <v>3348</v>
      </c>
      <c r="IH168" s="1616" t="s">
        <v>3355</v>
      </c>
      <c r="II168" s="1615" t="s">
        <v>3354</v>
      </c>
      <c r="IJ168" s="1613">
        <v>0.6571136363636364</v>
      </c>
      <c r="IK168" s="1613">
        <v>0.6533863636363636</v>
      </c>
      <c r="IL168" s="1614">
        <v>0.6571136363636364</v>
      </c>
      <c r="IM168" s="1614">
        <v>0.6533863636363636</v>
      </c>
      <c r="IN168" s="1612">
        <v>0.55700000000000005</v>
      </c>
      <c r="IO168" s="1613">
        <v>-0.10011363636363635</v>
      </c>
      <c r="IP168" s="1607" t="s">
        <v>270</v>
      </c>
      <c r="IQ168" s="1612">
        <v>1.31</v>
      </c>
      <c r="IR168" s="1612">
        <v>6.4000000000000001E-2</v>
      </c>
      <c r="IS168" s="1607">
        <v>0.54011363636363641</v>
      </c>
      <c r="IT168" s="1607">
        <v>0.53638636363636361</v>
      </c>
      <c r="IU168" s="1611">
        <v>1.1363636363636365E-5</v>
      </c>
      <c r="IV168" s="1611">
        <v>2.6136363636363636E-3</v>
      </c>
      <c r="IW168" s="1611">
        <v>1.3409090909090907E-3</v>
      </c>
      <c r="IX168" s="1611">
        <v>1.3977272727272727E-3</v>
      </c>
      <c r="IY168" s="1611">
        <v>1.3522727272727271E-3</v>
      </c>
      <c r="IZ168" s="1611">
        <v>7.7272727272727267E-3</v>
      </c>
      <c r="JA168" s="1611">
        <v>1.590909090909091E-4</v>
      </c>
      <c r="JB168" s="1611" t="s">
        <v>270</v>
      </c>
      <c r="JC168" s="1611">
        <v>0.54006818181818184</v>
      </c>
      <c r="JD168" s="1611">
        <v>1.4261363636363638E-2</v>
      </c>
      <c r="JE168" s="1611" t="s">
        <v>270</v>
      </c>
      <c r="JF168" s="1611">
        <v>2.5000000000000001E-4</v>
      </c>
      <c r="JG168" s="1611">
        <v>0.35303409090909094</v>
      </c>
      <c r="JH168" s="1611">
        <v>5.7954545454545455E-4</v>
      </c>
      <c r="JI168" s="1611">
        <v>0.10560227272727274</v>
      </c>
      <c r="JJ168" s="1611" t="s">
        <v>270</v>
      </c>
      <c r="JK168" s="1607">
        <f t="shared" si="11"/>
        <v>0.11699999999999999</v>
      </c>
      <c r="JL168" s="1608" t="s">
        <v>270</v>
      </c>
      <c r="JM168" s="1610" t="s">
        <v>2924</v>
      </c>
      <c r="JN168" s="1608">
        <v>3.7272727272728012E-3</v>
      </c>
      <c r="JO168" s="1609" t="s">
        <v>2958</v>
      </c>
      <c r="JP168" s="1608" t="s">
        <v>270</v>
      </c>
      <c r="JQ168" s="1607">
        <v>202103</v>
      </c>
      <c r="JR168" s="1606">
        <v>277</v>
      </c>
      <c r="JS168" s="1606">
        <v>271</v>
      </c>
      <c r="JT168" s="1606">
        <v>271</v>
      </c>
    </row>
    <row r="169" spans="1:280" ht="15" customHeight="1" x14ac:dyDescent="0.2">
      <c r="A169" s="1626">
        <v>54020</v>
      </c>
      <c r="B169" s="1625">
        <v>540</v>
      </c>
      <c r="C169" s="1624">
        <v>20</v>
      </c>
      <c r="D169" s="1623" t="s">
        <v>3353</v>
      </c>
      <c r="E169" s="1622">
        <v>43605</v>
      </c>
      <c r="F169" s="1620">
        <v>0.82379456271776896</v>
      </c>
      <c r="G169" s="1620">
        <v>0.805665240860854</v>
      </c>
      <c r="H169" s="1621">
        <v>90.1</v>
      </c>
      <c r="I169" s="1621">
        <v>88.1</v>
      </c>
      <c r="J169" s="1621">
        <v>91</v>
      </c>
      <c r="K169" s="1620">
        <v>1</v>
      </c>
      <c r="L169" s="1620">
        <v>58</v>
      </c>
      <c r="M169" s="1620">
        <v>5.22</v>
      </c>
      <c r="N169" s="1620">
        <v>2.61</v>
      </c>
      <c r="O169" s="1620">
        <v>0.98599999999999999</v>
      </c>
      <c r="P169" s="1620">
        <v>1.3340000000000001</v>
      </c>
      <c r="Q169" s="1603"/>
      <c r="R169" s="1620">
        <v>86</v>
      </c>
      <c r="S169" s="1620">
        <v>20</v>
      </c>
      <c r="T169" s="1620">
        <v>36.260162601626</v>
      </c>
      <c r="U169" s="1620">
        <v>42.764227642276403</v>
      </c>
      <c r="V169" s="1620">
        <v>48.617886178861802</v>
      </c>
      <c r="W169" s="1620">
        <v>52.520325203252</v>
      </c>
      <c r="X169" s="1620"/>
      <c r="Y169" s="1620">
        <v>0.1</v>
      </c>
      <c r="Z169" s="1620">
        <v>3.2</v>
      </c>
      <c r="AA169" s="1620">
        <v>0.1</v>
      </c>
      <c r="AB169" s="1620">
        <v>0.57999999999999996</v>
      </c>
      <c r="AC169" s="1620">
        <v>3.9999999999999996</v>
      </c>
      <c r="AD169" s="1620">
        <v>1.2</v>
      </c>
      <c r="AE169" s="1620">
        <v>1.2</v>
      </c>
      <c r="AF169" s="1620">
        <v>35</v>
      </c>
      <c r="AG169" s="1620">
        <v>1.8</v>
      </c>
      <c r="AH169" s="1620">
        <v>7.7</v>
      </c>
      <c r="AI169" s="1620">
        <v>27.999999999999996</v>
      </c>
      <c r="AJ169" s="1620">
        <v>0</v>
      </c>
      <c r="AK169" s="1620">
        <v>5.9999999999999991E-2</v>
      </c>
      <c r="AL169" s="1620"/>
      <c r="AM169" s="1620">
        <v>3.1078000000000001</v>
      </c>
      <c r="AN169" s="1620">
        <v>1.8394600000000001</v>
      </c>
      <c r="AO169" s="1620">
        <v>1.95309</v>
      </c>
      <c r="AP169" s="1620">
        <v>3.2459699999999998</v>
      </c>
      <c r="AQ169" s="1620">
        <v>0.71</v>
      </c>
      <c r="AR169" s="1620">
        <v>2.9860000000000002</v>
      </c>
      <c r="AS169" s="1620">
        <v>10.56171</v>
      </c>
      <c r="AT169" s="1620">
        <v>2.5718200000000002</v>
      </c>
      <c r="AU169" s="1620">
        <v>4.29</v>
      </c>
      <c r="AV169" s="1620">
        <v>3.7299999999999902</v>
      </c>
      <c r="AW169" s="1620">
        <v>4.2747700000000002</v>
      </c>
      <c r="AX169" s="1620"/>
      <c r="AY169" s="1620">
        <v>0.88</v>
      </c>
      <c r="AZ169" s="1620">
        <v>1.02</v>
      </c>
      <c r="BA169" s="1620">
        <v>0.99</v>
      </c>
      <c r="BB169" s="1620">
        <v>0.93</v>
      </c>
      <c r="BC169" s="1620">
        <v>0.86</v>
      </c>
      <c r="BD169" s="1620">
        <v>0.99</v>
      </c>
      <c r="BE169" s="1620">
        <v>1.03</v>
      </c>
      <c r="BF169" s="1620">
        <v>0.98</v>
      </c>
      <c r="BG169" s="1620">
        <v>1</v>
      </c>
      <c r="BH169" s="1620">
        <v>1.02</v>
      </c>
      <c r="BI169" s="1620">
        <v>0.97</v>
      </c>
      <c r="BJ169" s="1603"/>
      <c r="BK169" s="1620">
        <v>9</v>
      </c>
      <c r="BL169" s="1620">
        <v>4.5</v>
      </c>
      <c r="BM169" s="1620">
        <v>1.7</v>
      </c>
      <c r="BN169" s="1620">
        <v>2.3000000000000003</v>
      </c>
      <c r="BO169" s="1620"/>
      <c r="BP169" s="1620">
        <v>120</v>
      </c>
      <c r="BQ169" s="1620">
        <v>54</v>
      </c>
      <c r="BR169" s="1620">
        <v>1.4203354529616707</v>
      </c>
      <c r="BS169" s="1620">
        <v>1.389078001484231</v>
      </c>
      <c r="BT169" s="1603"/>
      <c r="BU169" s="1620">
        <v>983</v>
      </c>
      <c r="BV169" s="1620">
        <v>732.0472857142862</v>
      </c>
      <c r="BW169" s="1620">
        <v>28.085714285714314</v>
      </c>
      <c r="BX169" s="1620">
        <v>690</v>
      </c>
      <c r="BY169" s="1620">
        <v>20</v>
      </c>
      <c r="BZ169" s="1620">
        <v>9</v>
      </c>
      <c r="CA169" s="1620">
        <v>99</v>
      </c>
      <c r="CB169" s="1603"/>
      <c r="CC169" s="1603">
        <v>5.7999999999999996E-2</v>
      </c>
      <c r="CD169" s="1603">
        <v>1.8559999999999999</v>
      </c>
      <c r="CE169" s="1603">
        <v>5.7999999999999996E-2</v>
      </c>
      <c r="CF169" s="1603">
        <v>0.33639999999999998</v>
      </c>
      <c r="CG169" s="1603">
        <v>2.3199999999999994</v>
      </c>
      <c r="CH169" s="1603">
        <v>0.69599999999999995</v>
      </c>
      <c r="CI169" s="1603">
        <v>0.69599999999999995</v>
      </c>
      <c r="CJ169" s="1603"/>
      <c r="CK169" s="1603">
        <v>20.299999999999997</v>
      </c>
      <c r="CL169" s="1603">
        <v>1.044</v>
      </c>
      <c r="CM169" s="1603">
        <v>4.4660000000000002</v>
      </c>
      <c r="CN169" s="1603">
        <v>16.239999999999998</v>
      </c>
      <c r="CO169" s="1603">
        <v>0</v>
      </c>
      <c r="CP169" s="1603">
        <v>3.4799999999999991E-2</v>
      </c>
      <c r="CQ169" s="1603">
        <v>44.892000000000003</v>
      </c>
      <c r="CR169" s="1603">
        <v>54.494168851876665</v>
      </c>
      <c r="CS169" s="1603">
        <v>1.4903414060291882</v>
      </c>
      <c r="CT169" s="1603">
        <v>1.022446407129985</v>
      </c>
      <c r="CU169" s="1603">
        <v>1.0536769608048266</v>
      </c>
      <c r="CV169" s="1603">
        <v>2.0761233679348119</v>
      </c>
      <c r="CW169" s="1603">
        <v>1.6450438665935725</v>
      </c>
      <c r="CX169" s="1603">
        <v>0.3327413950095589</v>
      </c>
      <c r="CY169" s="1603">
        <v>1.6109239230978669</v>
      </c>
      <c r="CZ169" s="1603">
        <v>5.9281815634769091</v>
      </c>
      <c r="DA169" s="1603">
        <v>1.3734620946990077</v>
      </c>
      <c r="DB169" s="1603">
        <v>2.337799843745509</v>
      </c>
      <c r="DC169" s="1603">
        <v>2.0732851481384875</v>
      </c>
      <c r="DD169" s="1603">
        <v>4.4110849918839961</v>
      </c>
      <c r="DE169" s="1603">
        <v>2.2596153703744872</v>
      </c>
      <c r="DF169" s="1603">
        <v>0</v>
      </c>
      <c r="DG169" s="1603">
        <v>0</v>
      </c>
      <c r="DH169" s="1603">
        <v>0</v>
      </c>
      <c r="DI169" s="1603">
        <v>0</v>
      </c>
      <c r="DJ169" s="1603">
        <v>0</v>
      </c>
      <c r="DK169" s="1603">
        <v>0</v>
      </c>
      <c r="DL169" s="1603">
        <v>0</v>
      </c>
      <c r="DM169" s="1603">
        <v>0</v>
      </c>
      <c r="DN169" s="1603">
        <v>0</v>
      </c>
      <c r="DO169" s="1603">
        <v>0</v>
      </c>
      <c r="DP169" s="1603">
        <v>0</v>
      </c>
      <c r="DQ169" s="1603">
        <v>0</v>
      </c>
      <c r="DR169" s="1603">
        <v>0</v>
      </c>
      <c r="DS169" s="1603">
        <v>0</v>
      </c>
      <c r="DT169" s="1603">
        <v>0</v>
      </c>
      <c r="DU169" s="1603">
        <v>0</v>
      </c>
      <c r="DV169" s="1603">
        <v>0</v>
      </c>
      <c r="DW169" s="1618" t="s">
        <v>3352</v>
      </c>
      <c r="DX169" s="1605" t="s">
        <v>986</v>
      </c>
      <c r="DY169" s="1605" t="s">
        <v>986</v>
      </c>
      <c r="DZ169" s="1605" t="s">
        <v>986</v>
      </c>
      <c r="EA169" s="1605" t="s">
        <v>986</v>
      </c>
      <c r="EB169" s="1605" t="s">
        <v>986</v>
      </c>
      <c r="EC169" s="1605" t="s">
        <v>986</v>
      </c>
      <c r="ED169" s="1605" t="s">
        <v>986</v>
      </c>
      <c r="EE169" s="1605" t="s">
        <v>986</v>
      </c>
      <c r="EF169" s="1605" t="s">
        <v>986</v>
      </c>
      <c r="EG169" s="1605" t="s">
        <v>986</v>
      </c>
      <c r="EH169" s="1605" t="s">
        <v>986</v>
      </c>
      <c r="EI169" s="1605" t="s">
        <v>986</v>
      </c>
      <c r="EJ169" s="1605" t="s">
        <v>986</v>
      </c>
      <c r="EK169" s="1605" t="s">
        <v>986</v>
      </c>
      <c r="EL169" s="1605" t="s">
        <v>986</v>
      </c>
      <c r="EM169" s="1605" t="s">
        <v>986</v>
      </c>
      <c r="EN169" s="1605" t="s">
        <v>986</v>
      </c>
      <c r="EO169" s="1605" t="s">
        <v>986</v>
      </c>
      <c r="EP169" s="1605" t="s">
        <v>986</v>
      </c>
      <c r="EQ169" s="1605" t="s">
        <v>986</v>
      </c>
      <c r="ER169" s="1605" t="s">
        <v>986</v>
      </c>
      <c r="ES169" s="1605" t="s">
        <v>986</v>
      </c>
      <c r="ET169" s="1605" t="s">
        <v>986</v>
      </c>
      <c r="EU169" s="1605" t="s">
        <v>986</v>
      </c>
      <c r="EV169" s="1605" t="s">
        <v>986</v>
      </c>
      <c r="EW169" s="1605" t="s">
        <v>986</v>
      </c>
      <c r="EX169" s="1605" t="s">
        <v>986</v>
      </c>
      <c r="EY169" s="1605" t="s">
        <v>986</v>
      </c>
      <c r="EZ169" s="1605" t="s">
        <v>986</v>
      </c>
      <c r="FA169" s="1605" t="s">
        <v>986</v>
      </c>
      <c r="FB169" s="1605" t="s">
        <v>986</v>
      </c>
      <c r="FC169" s="1605" t="s">
        <v>986</v>
      </c>
      <c r="FD169" s="1605" t="s">
        <v>986</v>
      </c>
      <c r="FE169" s="1605" t="s">
        <v>986</v>
      </c>
      <c r="FF169" s="1605" t="s">
        <v>986</v>
      </c>
      <c r="FG169" s="1605" t="s">
        <v>986</v>
      </c>
      <c r="FH169" s="1605" t="s">
        <v>986</v>
      </c>
      <c r="FI169" s="1605" t="s">
        <v>986</v>
      </c>
      <c r="FJ169" s="1605" t="s">
        <v>986</v>
      </c>
      <c r="FK169" s="1605" t="s">
        <v>986</v>
      </c>
      <c r="FL169" s="1605" t="s">
        <v>986</v>
      </c>
      <c r="FM169" s="1605" t="s">
        <v>986</v>
      </c>
      <c r="FN169" s="1605" t="s">
        <v>986</v>
      </c>
      <c r="FO169" s="1605" t="s">
        <v>986</v>
      </c>
      <c r="FP169" s="1605" t="s">
        <v>986</v>
      </c>
      <c r="FQ169" s="1605" t="s">
        <v>986</v>
      </c>
      <c r="FR169" s="1605" t="s">
        <v>986</v>
      </c>
      <c r="FS169" s="1605" t="s">
        <v>986</v>
      </c>
      <c r="FT169" s="1605" t="s">
        <v>986</v>
      </c>
      <c r="FU169" s="1605" t="s">
        <v>986</v>
      </c>
      <c r="FV169" s="1605" t="s">
        <v>986</v>
      </c>
      <c r="FW169" s="1605" t="s">
        <v>986</v>
      </c>
      <c r="FX169" s="1605" t="s">
        <v>986</v>
      </c>
      <c r="FY169" s="1605" t="s">
        <v>986</v>
      </c>
      <c r="FZ169" s="1605" t="s">
        <v>986</v>
      </c>
      <c r="GA169" s="1605" t="s">
        <v>986</v>
      </c>
      <c r="GB169" s="1605" t="s">
        <v>986</v>
      </c>
      <c r="GC169" s="1605" t="s">
        <v>986</v>
      </c>
      <c r="GD169" s="1605" t="s">
        <v>986</v>
      </c>
      <c r="GE169" s="1605" t="s">
        <v>986</v>
      </c>
      <c r="GF169" s="1605" t="s">
        <v>986</v>
      </c>
      <c r="GG169" s="1605" t="s">
        <v>986</v>
      </c>
      <c r="GH169" s="1605" t="s">
        <v>986</v>
      </c>
      <c r="GI169" s="1605" t="s">
        <v>986</v>
      </c>
      <c r="GJ169" s="1605" t="s">
        <v>986</v>
      </c>
      <c r="GK169" s="1605" t="s">
        <v>986</v>
      </c>
      <c r="GL169" s="1605" t="s">
        <v>986</v>
      </c>
      <c r="GM169" s="1605" t="s">
        <v>986</v>
      </c>
      <c r="GN169" s="1605" t="s">
        <v>986</v>
      </c>
      <c r="GO169" s="1605" t="s">
        <v>986</v>
      </c>
      <c r="GP169" s="1605" t="s">
        <v>986</v>
      </c>
      <c r="GQ169" s="1605" t="s">
        <v>986</v>
      </c>
      <c r="GR169" s="1605" t="s">
        <v>986</v>
      </c>
      <c r="GS169" s="1605" t="s">
        <v>986</v>
      </c>
      <c r="GT169" s="1605" t="s">
        <v>986</v>
      </c>
      <c r="GU169" s="1605" t="s">
        <v>986</v>
      </c>
      <c r="GV169" s="1605" t="s">
        <v>986</v>
      </c>
      <c r="GW169" s="1605" t="s">
        <v>986</v>
      </c>
      <c r="GX169" s="1605" t="s">
        <v>1764</v>
      </c>
      <c r="GY169" s="1605" t="s">
        <v>1764</v>
      </c>
      <c r="GZ169" s="1605" t="s">
        <v>1764</v>
      </c>
      <c r="HA169" s="1605" t="s">
        <v>1764</v>
      </c>
      <c r="HB169" s="1605" t="s">
        <v>986</v>
      </c>
      <c r="HC169" s="1605" t="s">
        <v>1764</v>
      </c>
      <c r="HD169" s="1605" t="s">
        <v>1764</v>
      </c>
      <c r="HE169" s="1605" t="s">
        <v>1764</v>
      </c>
      <c r="HF169" s="1605" t="s">
        <v>1764</v>
      </c>
      <c r="HG169" s="1605" t="s">
        <v>1764</v>
      </c>
      <c r="HH169" s="1605" t="s">
        <v>1764</v>
      </c>
      <c r="HI169" s="1605" t="s">
        <v>986</v>
      </c>
      <c r="HJ169" s="1605" t="s">
        <v>986</v>
      </c>
      <c r="HK169" s="1605" t="s">
        <v>986</v>
      </c>
      <c r="HL169" s="1605" t="s">
        <v>986</v>
      </c>
      <c r="HM169" s="1605" t="s">
        <v>986</v>
      </c>
      <c r="HN169" s="1605" t="s">
        <v>986</v>
      </c>
      <c r="HO169" s="1605" t="s">
        <v>986</v>
      </c>
      <c r="HP169" s="1605" t="s">
        <v>986</v>
      </c>
      <c r="HQ169" s="1605" t="s">
        <v>986</v>
      </c>
      <c r="HR169" s="1605" t="s">
        <v>986</v>
      </c>
      <c r="HS169" s="1605" t="s">
        <v>986</v>
      </c>
      <c r="HT169" s="1605" t="s">
        <v>986</v>
      </c>
      <c r="HU169" s="1605" t="s">
        <v>986</v>
      </c>
      <c r="HV169" s="1617"/>
      <c r="HW169" s="1617" t="s">
        <v>3351</v>
      </c>
      <c r="HX169" s="1617" t="s">
        <v>3350</v>
      </c>
      <c r="HY169" s="1617" t="s">
        <v>3349</v>
      </c>
      <c r="HZ169" s="1603"/>
      <c r="IA169" s="1603"/>
      <c r="IB169" s="1603"/>
      <c r="IC169" s="1603">
        <v>55.4471544715447</v>
      </c>
      <c r="ID169" s="1603">
        <v>57.398373983739802</v>
      </c>
      <c r="IE169" s="1603">
        <v>59.024390243902403</v>
      </c>
      <c r="IF169" s="1603">
        <v>60</v>
      </c>
      <c r="IG169" s="1611" t="s">
        <v>3348</v>
      </c>
      <c r="IH169" s="1616" t="s">
        <v>270</v>
      </c>
      <c r="II169" s="1615" t="s">
        <v>270</v>
      </c>
      <c r="IJ169" s="1613">
        <v>0.6571136363636364</v>
      </c>
      <c r="IK169" s="1613">
        <v>0.6533863636363636</v>
      </c>
      <c r="IL169" s="1614">
        <v>0.6571136363636364</v>
      </c>
      <c r="IM169" s="1614">
        <v>0.6533863636363636</v>
      </c>
      <c r="IN169" s="1612" t="s">
        <v>270</v>
      </c>
      <c r="IO169" s="1613" t="s">
        <v>270</v>
      </c>
      <c r="IP169" s="1607" t="s">
        <v>270</v>
      </c>
      <c r="IQ169" s="1612" t="s">
        <v>270</v>
      </c>
      <c r="IR169" s="1612" t="s">
        <v>270</v>
      </c>
      <c r="IS169" s="1607">
        <v>0.54011363636363641</v>
      </c>
      <c r="IT169" s="1607">
        <v>0.53638636363636361</v>
      </c>
      <c r="IU169" s="1611">
        <v>1.1363636363636365E-5</v>
      </c>
      <c r="IV169" s="1611">
        <v>2.6136363636363636E-3</v>
      </c>
      <c r="IW169" s="1611">
        <v>1.3409090909090907E-3</v>
      </c>
      <c r="IX169" s="1611">
        <v>1.3977272727272727E-3</v>
      </c>
      <c r="IY169" s="1611">
        <v>1.3522727272727271E-3</v>
      </c>
      <c r="IZ169" s="1611">
        <v>7.7272727272727267E-3</v>
      </c>
      <c r="JA169" s="1611">
        <v>1.590909090909091E-4</v>
      </c>
      <c r="JB169" s="1611" t="s">
        <v>270</v>
      </c>
      <c r="JC169" s="1611">
        <v>0.54006818181818184</v>
      </c>
      <c r="JD169" s="1611">
        <v>1.4261363636363638E-2</v>
      </c>
      <c r="JE169" s="1611" t="s">
        <v>270</v>
      </c>
      <c r="JF169" s="1611">
        <v>2.5000000000000001E-4</v>
      </c>
      <c r="JG169" s="1611">
        <v>0.35303409090909094</v>
      </c>
      <c r="JH169" s="1611">
        <v>5.7954545454545455E-4</v>
      </c>
      <c r="JI169" s="1611">
        <v>0.10560227272727274</v>
      </c>
      <c r="JJ169" s="1611" t="s">
        <v>270</v>
      </c>
      <c r="JK169" s="1607">
        <f t="shared" si="11"/>
        <v>0.11699999999999999</v>
      </c>
      <c r="JL169" s="1608" t="s">
        <v>270</v>
      </c>
      <c r="JM169" s="1610" t="s">
        <v>2924</v>
      </c>
      <c r="JN169" s="1608">
        <v>3.7272727272728012E-3</v>
      </c>
      <c r="JO169" s="1609" t="s">
        <v>2958</v>
      </c>
      <c r="JP169" s="1608" t="s">
        <v>270</v>
      </c>
      <c r="JQ169" s="1607">
        <v>202103</v>
      </c>
      <c r="JR169" s="1606">
        <v>277</v>
      </c>
      <c r="JS169" s="1606">
        <v>271</v>
      </c>
      <c r="JT169" s="1606">
        <v>271</v>
      </c>
    </row>
    <row r="170" spans="1:280" ht="15" customHeight="1" x14ac:dyDescent="0.2">
      <c r="A170" s="1626">
        <v>73500</v>
      </c>
      <c r="B170" s="1625">
        <v>735</v>
      </c>
      <c r="C170" s="1624">
        <v>0</v>
      </c>
      <c r="D170" s="1623" t="s">
        <v>3347</v>
      </c>
      <c r="E170" s="1622">
        <v>43054</v>
      </c>
      <c r="F170" s="1620">
        <v>0.219611571815718</v>
      </c>
      <c r="G170" s="1620">
        <v>0.24359062337662299</v>
      </c>
      <c r="H170" s="1621">
        <v>56</v>
      </c>
      <c r="I170" s="1621">
        <v>52.5</v>
      </c>
      <c r="J170" s="1621">
        <v>75</v>
      </c>
      <c r="K170" s="1620">
        <v>1</v>
      </c>
      <c r="L170" s="1620">
        <v>32.5</v>
      </c>
      <c r="M170" s="1620">
        <v>2.5674999999999999</v>
      </c>
      <c r="N170" s="1620">
        <v>0.71499999999999997</v>
      </c>
      <c r="O170" s="1620">
        <v>1.1375</v>
      </c>
      <c r="P170" s="1620">
        <v>6.37</v>
      </c>
      <c r="Q170" s="1603"/>
      <c r="R170" s="1620">
        <v>34.4902025316456</v>
      </c>
      <c r="S170" s="1620">
        <v>20</v>
      </c>
      <c r="T170" s="1620">
        <v>36.260162601626</v>
      </c>
      <c r="U170" s="1620">
        <v>42.764227642276403</v>
      </c>
      <c r="V170" s="1620">
        <v>48.617886178861802</v>
      </c>
      <c r="W170" s="1620">
        <v>52.520325203252</v>
      </c>
      <c r="X170" s="1620"/>
      <c r="Y170" s="1620">
        <v>1.9000000000000001</v>
      </c>
      <c r="Z170" s="1620">
        <v>2.4</v>
      </c>
      <c r="AA170" s="1620">
        <v>0.3</v>
      </c>
      <c r="AB170" s="1620">
        <v>2.2999999999999998</v>
      </c>
      <c r="AC170" s="1620">
        <v>11</v>
      </c>
      <c r="AD170" s="1620">
        <v>1.6</v>
      </c>
      <c r="AE170" s="1620">
        <v>0.9</v>
      </c>
      <c r="AF170" s="1620">
        <v>60</v>
      </c>
      <c r="AG170" s="1620">
        <v>5</v>
      </c>
      <c r="AH170" s="1620">
        <v>17</v>
      </c>
      <c r="AI170" s="1620">
        <v>44</v>
      </c>
      <c r="AJ170" s="1620">
        <v>0</v>
      </c>
      <c r="AK170" s="1620">
        <v>0.03</v>
      </c>
      <c r="AL170" s="1620"/>
      <c r="AM170" s="1620">
        <v>2.44</v>
      </c>
      <c r="AN170" s="1620">
        <v>1.57</v>
      </c>
      <c r="AO170" s="1620">
        <v>1.3</v>
      </c>
      <c r="AP170" s="1620">
        <v>3.35</v>
      </c>
      <c r="AQ170" s="1620">
        <v>0.57999999999999996</v>
      </c>
      <c r="AR170" s="1620">
        <v>3.26</v>
      </c>
      <c r="AS170" s="1620">
        <v>8.34</v>
      </c>
      <c r="AT170" s="1620">
        <v>1.62</v>
      </c>
      <c r="AU170" s="1620">
        <v>3.72</v>
      </c>
      <c r="AV170" s="1620">
        <v>2.15</v>
      </c>
      <c r="AW170" s="1620">
        <v>4.63</v>
      </c>
      <c r="AX170" s="1620"/>
      <c r="AY170" s="1620">
        <v>1</v>
      </c>
      <c r="AZ170" s="1620">
        <v>1</v>
      </c>
      <c r="BA170" s="1620">
        <v>1</v>
      </c>
      <c r="BB170" s="1620">
        <v>1</v>
      </c>
      <c r="BC170" s="1620">
        <v>1</v>
      </c>
      <c r="BD170" s="1620">
        <v>1</v>
      </c>
      <c r="BE170" s="1620">
        <v>1</v>
      </c>
      <c r="BF170" s="1620">
        <v>1</v>
      </c>
      <c r="BG170" s="1620">
        <v>1</v>
      </c>
      <c r="BH170" s="1620">
        <v>1</v>
      </c>
      <c r="BI170" s="1620">
        <v>1</v>
      </c>
      <c r="BJ170" s="1603"/>
      <c r="BK170" s="1620">
        <v>7.9</v>
      </c>
      <c r="BL170" s="1620">
        <v>2.2000000000000002</v>
      </c>
      <c r="BM170" s="1620">
        <v>3.5</v>
      </c>
      <c r="BN170" s="1620">
        <v>19.600000000000001</v>
      </c>
      <c r="BO170" s="1620"/>
      <c r="BP170" s="1620">
        <v>105</v>
      </c>
      <c r="BQ170" s="1620">
        <v>23.1</v>
      </c>
      <c r="BR170" s="1620">
        <v>0.67572791327913229</v>
      </c>
      <c r="BS170" s="1620">
        <v>0.74950961038960917</v>
      </c>
      <c r="BT170" s="1603"/>
      <c r="BU170" s="1620">
        <v>965</v>
      </c>
      <c r="BV170" s="1620">
        <v>398.92</v>
      </c>
      <c r="BW170" s="1620">
        <v>48.25</v>
      </c>
      <c r="BX170" s="1620">
        <v>215</v>
      </c>
      <c r="BY170" s="1620">
        <v>20</v>
      </c>
      <c r="BZ170" s="1620" t="s">
        <v>270</v>
      </c>
      <c r="CA170" s="1620" t="s">
        <v>270</v>
      </c>
      <c r="CB170" s="1603"/>
      <c r="CC170" s="1603">
        <v>0.61750000000000005</v>
      </c>
      <c r="CD170" s="1603">
        <v>0.78</v>
      </c>
      <c r="CE170" s="1603">
        <v>9.7500000000000003E-2</v>
      </c>
      <c r="CF170" s="1603">
        <v>0.74749999999999994</v>
      </c>
      <c r="CG170" s="1603">
        <v>3.5750000000000002</v>
      </c>
      <c r="CH170" s="1603">
        <v>0.52</v>
      </c>
      <c r="CI170" s="1603">
        <v>0.29250000000000004</v>
      </c>
      <c r="CJ170" s="1603"/>
      <c r="CK170" s="1603">
        <v>19.5</v>
      </c>
      <c r="CL170" s="1603">
        <v>1.625</v>
      </c>
      <c r="CM170" s="1603">
        <v>5.5250000000000004</v>
      </c>
      <c r="CN170" s="1603">
        <v>14.3</v>
      </c>
      <c r="CO170" s="1603">
        <v>0</v>
      </c>
      <c r="CP170" s="1603">
        <v>9.75E-3</v>
      </c>
      <c r="CQ170" s="1603">
        <v>8.8553595000000005</v>
      </c>
      <c r="CR170" s="1603">
        <v>40.322827375557296</v>
      </c>
      <c r="CS170" s="1603">
        <v>0.9838769879635979</v>
      </c>
      <c r="CT170" s="1603">
        <v>0.63306838979624946</v>
      </c>
      <c r="CU170" s="1603">
        <v>0.52419675588224479</v>
      </c>
      <c r="CV170" s="1603">
        <v>1.1572651456784944</v>
      </c>
      <c r="CW170" s="1603">
        <v>1.350814717081174</v>
      </c>
      <c r="CX170" s="1603">
        <v>0.23387239877823182</v>
      </c>
      <c r="CY170" s="1603">
        <v>1.3145241724431722</v>
      </c>
      <c r="CZ170" s="1603">
        <v>3.3629238031214781</v>
      </c>
      <c r="DA170" s="1603">
        <v>0.65322980348402815</v>
      </c>
      <c r="DB170" s="1603">
        <v>1.5000091783707359</v>
      </c>
      <c r="DC170" s="1603">
        <v>0.86694078857448176</v>
      </c>
      <c r="DD170" s="1603">
        <v>2.3669499669452083</v>
      </c>
      <c r="DE170" s="1603">
        <v>1.8669469074883027</v>
      </c>
      <c r="DF170" s="1603">
        <v>0</v>
      </c>
      <c r="DG170" s="1603">
        <v>0</v>
      </c>
      <c r="DH170" s="1603">
        <v>0</v>
      </c>
      <c r="DI170" s="1603">
        <v>0</v>
      </c>
      <c r="DJ170" s="1603">
        <v>0</v>
      </c>
      <c r="DK170" s="1603">
        <v>0</v>
      </c>
      <c r="DL170" s="1603">
        <v>0</v>
      </c>
      <c r="DM170" s="1603">
        <v>0</v>
      </c>
      <c r="DN170" s="1603">
        <v>0</v>
      </c>
      <c r="DO170" s="1603">
        <v>0</v>
      </c>
      <c r="DP170" s="1603">
        <v>0</v>
      </c>
      <c r="DQ170" s="1603">
        <v>0</v>
      </c>
      <c r="DR170" s="1603">
        <v>0</v>
      </c>
      <c r="DS170" s="1603">
        <v>0</v>
      </c>
      <c r="DT170" s="1603">
        <v>0</v>
      </c>
      <c r="DU170" s="1603">
        <v>0</v>
      </c>
      <c r="DV170" s="1603">
        <v>0</v>
      </c>
      <c r="DW170" s="1618" t="s">
        <v>3340</v>
      </c>
      <c r="DX170" s="1605" t="s">
        <v>986</v>
      </c>
      <c r="DY170" s="1605" t="s">
        <v>986</v>
      </c>
      <c r="DZ170" s="1605" t="s">
        <v>986</v>
      </c>
      <c r="EA170" s="1605" t="s">
        <v>986</v>
      </c>
      <c r="EB170" s="1605" t="s">
        <v>986</v>
      </c>
      <c r="EC170" s="1605" t="s">
        <v>986</v>
      </c>
      <c r="ED170" s="1605" t="s">
        <v>986</v>
      </c>
      <c r="EE170" s="1605" t="s">
        <v>986</v>
      </c>
      <c r="EF170" s="1605" t="s">
        <v>986</v>
      </c>
      <c r="EG170" s="1605" t="s">
        <v>986</v>
      </c>
      <c r="EH170" s="1605" t="s">
        <v>986</v>
      </c>
      <c r="EI170" s="1605" t="s">
        <v>986</v>
      </c>
      <c r="EJ170" s="1605" t="s">
        <v>986</v>
      </c>
      <c r="EK170" s="1605" t="s">
        <v>986</v>
      </c>
      <c r="EL170" s="1605" t="s">
        <v>986</v>
      </c>
      <c r="EM170" s="1605" t="s">
        <v>986</v>
      </c>
      <c r="EN170" s="1605" t="s">
        <v>986</v>
      </c>
      <c r="EO170" s="1605" t="s">
        <v>986</v>
      </c>
      <c r="EP170" s="1605" t="s">
        <v>986</v>
      </c>
      <c r="EQ170" s="1605" t="s">
        <v>986</v>
      </c>
      <c r="ER170" s="1605" t="s">
        <v>986</v>
      </c>
      <c r="ES170" s="1605" t="s">
        <v>986</v>
      </c>
      <c r="ET170" s="1605" t="s">
        <v>986</v>
      </c>
      <c r="EU170" s="1605" t="s">
        <v>986</v>
      </c>
      <c r="EV170" s="1605" t="s">
        <v>986</v>
      </c>
      <c r="EW170" s="1605" t="s">
        <v>986</v>
      </c>
      <c r="EX170" s="1605" t="s">
        <v>986</v>
      </c>
      <c r="EY170" s="1605" t="s">
        <v>986</v>
      </c>
      <c r="EZ170" s="1605" t="s">
        <v>986</v>
      </c>
      <c r="FA170" s="1605" t="s">
        <v>986</v>
      </c>
      <c r="FB170" s="1605" t="s">
        <v>986</v>
      </c>
      <c r="FC170" s="1605" t="s">
        <v>986</v>
      </c>
      <c r="FD170" s="1605" t="s">
        <v>986</v>
      </c>
      <c r="FE170" s="1605" t="s">
        <v>986</v>
      </c>
      <c r="FF170" s="1605" t="s">
        <v>986</v>
      </c>
      <c r="FG170" s="1605" t="s">
        <v>986</v>
      </c>
      <c r="FH170" s="1605" t="s">
        <v>986</v>
      </c>
      <c r="FI170" s="1605" t="s">
        <v>986</v>
      </c>
      <c r="FJ170" s="1605" t="s">
        <v>986</v>
      </c>
      <c r="FK170" s="1605" t="s">
        <v>986</v>
      </c>
      <c r="FL170" s="1605" t="s">
        <v>986</v>
      </c>
      <c r="FM170" s="1605" t="s">
        <v>986</v>
      </c>
      <c r="FN170" s="1605" t="s">
        <v>986</v>
      </c>
      <c r="FO170" s="1605" t="s">
        <v>986</v>
      </c>
      <c r="FP170" s="1605" t="s">
        <v>986</v>
      </c>
      <c r="FQ170" s="1605" t="s">
        <v>986</v>
      </c>
      <c r="FR170" s="1605" t="s">
        <v>986</v>
      </c>
      <c r="FS170" s="1605" t="s">
        <v>986</v>
      </c>
      <c r="FT170" s="1605" t="s">
        <v>986</v>
      </c>
      <c r="FU170" s="1605" t="s">
        <v>986</v>
      </c>
      <c r="FV170" s="1605" t="s">
        <v>986</v>
      </c>
      <c r="FW170" s="1605" t="s">
        <v>986</v>
      </c>
      <c r="FX170" s="1605" t="s">
        <v>986</v>
      </c>
      <c r="FY170" s="1605" t="s">
        <v>986</v>
      </c>
      <c r="FZ170" s="1605" t="s">
        <v>986</v>
      </c>
      <c r="GA170" s="1605" t="s">
        <v>986</v>
      </c>
      <c r="GB170" s="1605" t="s">
        <v>986</v>
      </c>
      <c r="GC170" s="1605" t="s">
        <v>986</v>
      </c>
      <c r="GD170" s="1605" t="s">
        <v>986</v>
      </c>
      <c r="GE170" s="1605" t="s">
        <v>986</v>
      </c>
      <c r="GF170" s="1605" t="s">
        <v>986</v>
      </c>
      <c r="GG170" s="1605" t="s">
        <v>986</v>
      </c>
      <c r="GH170" s="1605" t="s">
        <v>986</v>
      </c>
      <c r="GI170" s="1605" t="s">
        <v>986</v>
      </c>
      <c r="GJ170" s="1605" t="s">
        <v>986</v>
      </c>
      <c r="GK170" s="1605" t="s">
        <v>986</v>
      </c>
      <c r="GL170" s="1605" t="s">
        <v>986</v>
      </c>
      <c r="GM170" s="1605" t="s">
        <v>986</v>
      </c>
      <c r="GN170" s="1605" t="s">
        <v>986</v>
      </c>
      <c r="GO170" s="1605" t="s">
        <v>986</v>
      </c>
      <c r="GP170" s="1605" t="s">
        <v>986</v>
      </c>
      <c r="GQ170" s="1605" t="s">
        <v>986</v>
      </c>
      <c r="GR170" s="1605" t="s">
        <v>986</v>
      </c>
      <c r="GS170" s="1605" t="s">
        <v>986</v>
      </c>
      <c r="GT170" s="1605" t="s">
        <v>986</v>
      </c>
      <c r="GU170" s="1605" t="s">
        <v>986</v>
      </c>
      <c r="GV170" s="1605" t="s">
        <v>986</v>
      </c>
      <c r="GW170" s="1605" t="s">
        <v>986</v>
      </c>
      <c r="GX170" s="1605" t="s">
        <v>986</v>
      </c>
      <c r="GY170" s="1605" t="s">
        <v>986</v>
      </c>
      <c r="GZ170" s="1605" t="s">
        <v>986</v>
      </c>
      <c r="HA170" s="1605" t="s">
        <v>986</v>
      </c>
      <c r="HB170" s="1605" t="s">
        <v>986</v>
      </c>
      <c r="HC170" s="1605" t="s">
        <v>986</v>
      </c>
      <c r="HD170" s="1605" t="s">
        <v>986</v>
      </c>
      <c r="HE170" s="1605" t="s">
        <v>986</v>
      </c>
      <c r="HF170" s="1605" t="s">
        <v>986</v>
      </c>
      <c r="HG170" s="1605" t="s">
        <v>986</v>
      </c>
      <c r="HH170" s="1605" t="s">
        <v>986</v>
      </c>
      <c r="HI170" s="1605" t="s">
        <v>986</v>
      </c>
      <c r="HJ170" s="1605" t="s">
        <v>986</v>
      </c>
      <c r="HK170" s="1605" t="s">
        <v>986</v>
      </c>
      <c r="HL170" s="1605" t="s">
        <v>986</v>
      </c>
      <c r="HM170" s="1605" t="s">
        <v>986</v>
      </c>
      <c r="HN170" s="1605" t="s">
        <v>986</v>
      </c>
      <c r="HO170" s="1605" t="s">
        <v>986</v>
      </c>
      <c r="HP170" s="1605" t="s">
        <v>986</v>
      </c>
      <c r="HQ170" s="1605" t="s">
        <v>986</v>
      </c>
      <c r="HR170" s="1605" t="s">
        <v>986</v>
      </c>
      <c r="HS170" s="1605" t="s">
        <v>986</v>
      </c>
      <c r="HT170" s="1605" t="s">
        <v>986</v>
      </c>
      <c r="HU170" s="1605" t="s">
        <v>986</v>
      </c>
      <c r="HV170" s="1617"/>
      <c r="HW170" s="1617" t="s">
        <v>3339</v>
      </c>
      <c r="HX170" s="1617" t="s">
        <v>3338</v>
      </c>
      <c r="HY170" s="1617" t="s">
        <v>3337</v>
      </c>
      <c r="HZ170" s="1603"/>
      <c r="IA170" s="1603"/>
      <c r="IB170" s="1603"/>
      <c r="IC170" s="1603">
        <v>55.4471544715447</v>
      </c>
      <c r="ID170" s="1603">
        <v>57.398373983739802</v>
      </c>
      <c r="IE170" s="1603">
        <v>59.024390243902403</v>
      </c>
      <c r="IF170" s="1603">
        <v>60</v>
      </c>
      <c r="IG170" s="1611" t="s">
        <v>270</v>
      </c>
      <c r="IH170" s="1616" t="s">
        <v>3346</v>
      </c>
      <c r="II170" s="1615" t="s">
        <v>3345</v>
      </c>
      <c r="IJ170" s="1613">
        <v>0.26300000000000001</v>
      </c>
      <c r="IK170" s="1613">
        <v>8.5474999999999995E-2</v>
      </c>
      <c r="IL170" s="1614">
        <v>8.5474999999999995E-2</v>
      </c>
      <c r="IM170" s="1614">
        <v>8.5474999999999995E-2</v>
      </c>
      <c r="IN170" s="1612">
        <v>0.26300000000000001</v>
      </c>
      <c r="IO170" s="1613">
        <v>0</v>
      </c>
      <c r="IP170" s="1607" t="s">
        <v>270</v>
      </c>
      <c r="IQ170" s="1612">
        <v>1.01</v>
      </c>
      <c r="IR170" s="1612">
        <v>9.6000000000000002E-2</v>
      </c>
      <c r="IS170" s="1607" t="s">
        <v>270</v>
      </c>
      <c r="IT170" s="1607" t="s">
        <v>270</v>
      </c>
      <c r="IU170" s="1611" t="s">
        <v>270</v>
      </c>
      <c r="IV170" s="1611" t="s">
        <v>270</v>
      </c>
      <c r="IW170" s="1611" t="s">
        <v>270</v>
      </c>
      <c r="IX170" s="1611" t="s">
        <v>270</v>
      </c>
      <c r="IY170" s="1611" t="s">
        <v>270</v>
      </c>
      <c r="IZ170" s="1611" t="s">
        <v>270</v>
      </c>
      <c r="JA170" s="1611" t="s">
        <v>270</v>
      </c>
      <c r="JB170" s="1611" t="s">
        <v>270</v>
      </c>
      <c r="JC170" s="1611" t="s">
        <v>270</v>
      </c>
      <c r="JD170" s="1611" t="s">
        <v>270</v>
      </c>
      <c r="JE170" s="1611" t="s">
        <v>270</v>
      </c>
      <c r="JF170" s="1611" t="s">
        <v>270</v>
      </c>
      <c r="JG170" s="1611" t="s">
        <v>270</v>
      </c>
      <c r="JH170" s="1611" t="s">
        <v>270</v>
      </c>
      <c r="JI170" s="1611" t="s">
        <v>270</v>
      </c>
      <c r="JJ170" s="1611" t="s">
        <v>270</v>
      </c>
      <c r="JK170" s="1607" t="str">
        <f t="shared" si="11"/>
        <v/>
      </c>
      <c r="JL170" s="1608" t="s">
        <v>270</v>
      </c>
      <c r="JM170" s="1610" t="s">
        <v>3334</v>
      </c>
      <c r="JN170" s="1608" t="s">
        <v>270</v>
      </c>
      <c r="JO170" s="1609" t="s">
        <v>270</v>
      </c>
      <c r="JP170" s="1608">
        <v>8.5474999999999995E-2</v>
      </c>
      <c r="JQ170" s="1607" t="s">
        <v>270</v>
      </c>
      <c r="JR170" s="1606" t="s">
        <v>270</v>
      </c>
      <c r="JS170" s="1606" t="s">
        <v>270</v>
      </c>
      <c r="JT170" s="1606" t="s">
        <v>270</v>
      </c>
    </row>
    <row r="171" spans="1:280" ht="15" customHeight="1" x14ac:dyDescent="0.2">
      <c r="A171" s="1626">
        <v>73510</v>
      </c>
      <c r="B171" s="1625">
        <v>735</v>
      </c>
      <c r="C171" s="1624">
        <v>10</v>
      </c>
      <c r="D171" s="1623" t="s">
        <v>3344</v>
      </c>
      <c r="E171" s="1622">
        <v>43054</v>
      </c>
      <c r="F171" s="1620">
        <v>0.24108431426635701</v>
      </c>
      <c r="G171" s="1620">
        <v>0.26285927040816298</v>
      </c>
      <c r="H171" s="1621">
        <v>60</v>
      </c>
      <c r="I171" s="1621">
        <v>55.5</v>
      </c>
      <c r="J171" s="1621">
        <v>75</v>
      </c>
      <c r="K171" s="1620">
        <v>1</v>
      </c>
      <c r="L171" s="1620">
        <v>32.5</v>
      </c>
      <c r="M171" s="1620">
        <v>2.5674999999999999</v>
      </c>
      <c r="N171" s="1620">
        <v>0.71499999999999997</v>
      </c>
      <c r="O171" s="1620">
        <v>0.97499999999999998</v>
      </c>
      <c r="P171" s="1620">
        <v>5.3949999999999996</v>
      </c>
      <c r="Q171" s="1603"/>
      <c r="R171" s="1620">
        <v>36.494669077757699</v>
      </c>
      <c r="S171" s="1620">
        <v>20</v>
      </c>
      <c r="T171" s="1620">
        <v>36.260162601626</v>
      </c>
      <c r="U171" s="1620">
        <v>42.764227642276403</v>
      </c>
      <c r="V171" s="1620">
        <v>48.617886178861802</v>
      </c>
      <c r="W171" s="1620">
        <v>52.520325203252</v>
      </c>
      <c r="X171" s="1620"/>
      <c r="Y171" s="1620">
        <v>1.9000000000000001</v>
      </c>
      <c r="Z171" s="1620">
        <v>2.2999999999999998</v>
      </c>
      <c r="AA171" s="1620">
        <v>0.4</v>
      </c>
      <c r="AB171" s="1620">
        <v>2.2999999999999998</v>
      </c>
      <c r="AC171" s="1620">
        <v>10</v>
      </c>
      <c r="AD171" s="1620">
        <v>1.2</v>
      </c>
      <c r="AE171" s="1620">
        <v>0.9</v>
      </c>
      <c r="AF171" s="1620">
        <v>60</v>
      </c>
      <c r="AG171" s="1620">
        <v>5</v>
      </c>
      <c r="AH171" s="1620">
        <v>17</v>
      </c>
      <c r="AI171" s="1620">
        <v>28</v>
      </c>
      <c r="AJ171" s="1620">
        <v>0</v>
      </c>
      <c r="AK171" s="1620">
        <v>0.03</v>
      </c>
      <c r="AL171" s="1620"/>
      <c r="AM171" s="1620">
        <v>2.44</v>
      </c>
      <c r="AN171" s="1620">
        <v>1.57</v>
      </c>
      <c r="AO171" s="1620">
        <v>1.3</v>
      </c>
      <c r="AP171" s="1620">
        <v>3.35</v>
      </c>
      <c r="AQ171" s="1620">
        <v>0.57999999999999996</v>
      </c>
      <c r="AR171" s="1620">
        <v>3.26</v>
      </c>
      <c r="AS171" s="1620">
        <v>8.34</v>
      </c>
      <c r="AT171" s="1620">
        <v>1.62</v>
      </c>
      <c r="AU171" s="1620">
        <v>3.72</v>
      </c>
      <c r="AV171" s="1620">
        <v>2.15</v>
      </c>
      <c r="AW171" s="1620">
        <v>4.63</v>
      </c>
      <c r="AX171" s="1620"/>
      <c r="AY171" s="1620">
        <v>1</v>
      </c>
      <c r="AZ171" s="1620">
        <v>1</v>
      </c>
      <c r="BA171" s="1620">
        <v>1</v>
      </c>
      <c r="BB171" s="1620">
        <v>1</v>
      </c>
      <c r="BC171" s="1620">
        <v>1</v>
      </c>
      <c r="BD171" s="1620">
        <v>1</v>
      </c>
      <c r="BE171" s="1620">
        <v>1</v>
      </c>
      <c r="BF171" s="1620">
        <v>1</v>
      </c>
      <c r="BG171" s="1620">
        <v>1</v>
      </c>
      <c r="BH171" s="1620">
        <v>1</v>
      </c>
      <c r="BI171" s="1620">
        <v>1</v>
      </c>
      <c r="BJ171" s="1603"/>
      <c r="BK171" s="1620">
        <v>7.9</v>
      </c>
      <c r="BL171" s="1620">
        <v>2.2000000000000002</v>
      </c>
      <c r="BM171" s="1620">
        <v>3</v>
      </c>
      <c r="BN171" s="1620">
        <v>16.600000000000001</v>
      </c>
      <c r="BO171" s="1620"/>
      <c r="BP171" s="1620">
        <v>105</v>
      </c>
      <c r="BQ171" s="1620">
        <v>23.1</v>
      </c>
      <c r="BR171" s="1620">
        <v>0.74179789005032926</v>
      </c>
      <c r="BS171" s="1620">
        <v>0.80879775510203988</v>
      </c>
      <c r="BT171" s="1603"/>
      <c r="BU171" s="1620">
        <v>970</v>
      </c>
      <c r="BV171" s="1620">
        <v>426.41285714285846</v>
      </c>
      <c r="BW171" s="1620">
        <v>62.357142857142776</v>
      </c>
      <c r="BX171" s="1620">
        <v>215</v>
      </c>
      <c r="BY171" s="1620">
        <v>20</v>
      </c>
      <c r="BZ171" s="1620" t="s">
        <v>270</v>
      </c>
      <c r="CA171" s="1620" t="s">
        <v>270</v>
      </c>
      <c r="CB171" s="1603"/>
      <c r="CC171" s="1603">
        <v>0.61750000000000005</v>
      </c>
      <c r="CD171" s="1603">
        <v>0.74749999999999994</v>
      </c>
      <c r="CE171" s="1603">
        <v>0.13</v>
      </c>
      <c r="CF171" s="1603">
        <v>0.74749999999999994</v>
      </c>
      <c r="CG171" s="1603">
        <v>3.25</v>
      </c>
      <c r="CH171" s="1603">
        <v>0.39</v>
      </c>
      <c r="CI171" s="1603">
        <v>0.29250000000000004</v>
      </c>
      <c r="CJ171" s="1603"/>
      <c r="CK171" s="1603">
        <v>19.5</v>
      </c>
      <c r="CL171" s="1603">
        <v>1.625</v>
      </c>
      <c r="CM171" s="1603">
        <v>5.5250000000000004</v>
      </c>
      <c r="CN171" s="1603">
        <v>9.1</v>
      </c>
      <c r="CO171" s="1603">
        <v>0</v>
      </c>
      <c r="CP171" s="1603">
        <v>9.75E-3</v>
      </c>
      <c r="CQ171" s="1603">
        <v>9.3700062857142896</v>
      </c>
      <c r="CR171" s="1603">
        <v>38.866096760496958</v>
      </c>
      <c r="CS171" s="1603">
        <v>0.94833276095612307</v>
      </c>
      <c r="CT171" s="1603">
        <v>0.61019771913980092</v>
      </c>
      <c r="CU171" s="1603">
        <v>0.50525925788646153</v>
      </c>
      <c r="CV171" s="1603">
        <v>1.1154569770262666</v>
      </c>
      <c r="CW171" s="1603">
        <v>1.3020142414766454</v>
      </c>
      <c r="CX171" s="1603">
        <v>0.22542336121088163</v>
      </c>
      <c r="CY171" s="1603">
        <v>1.2670347543922016</v>
      </c>
      <c r="CZ171" s="1603">
        <v>3.2414324698254435</v>
      </c>
      <c r="DA171" s="1603">
        <v>0.62963076752004876</v>
      </c>
      <c r="DB171" s="1603">
        <v>1.4458187994904887</v>
      </c>
      <c r="DC171" s="1603">
        <v>0.83562108035068372</v>
      </c>
      <c r="DD171" s="1603">
        <v>2.2814398798411766</v>
      </c>
      <c r="DE171" s="1603">
        <v>1.7995002800110067</v>
      </c>
      <c r="DF171" s="1603">
        <v>0</v>
      </c>
      <c r="DG171" s="1603">
        <v>0</v>
      </c>
      <c r="DH171" s="1603">
        <v>0</v>
      </c>
      <c r="DI171" s="1603">
        <v>0</v>
      </c>
      <c r="DJ171" s="1603">
        <v>0</v>
      </c>
      <c r="DK171" s="1603">
        <v>0</v>
      </c>
      <c r="DL171" s="1603">
        <v>0</v>
      </c>
      <c r="DM171" s="1603">
        <v>0</v>
      </c>
      <c r="DN171" s="1603">
        <v>0</v>
      </c>
      <c r="DO171" s="1603">
        <v>0</v>
      </c>
      <c r="DP171" s="1603">
        <v>0</v>
      </c>
      <c r="DQ171" s="1603">
        <v>0</v>
      </c>
      <c r="DR171" s="1603">
        <v>0</v>
      </c>
      <c r="DS171" s="1603">
        <v>0</v>
      </c>
      <c r="DT171" s="1603">
        <v>0</v>
      </c>
      <c r="DU171" s="1603">
        <v>0</v>
      </c>
      <c r="DV171" s="1603">
        <v>0</v>
      </c>
      <c r="DW171" s="1618" t="s">
        <v>3340</v>
      </c>
      <c r="DX171" s="1605" t="s">
        <v>986</v>
      </c>
      <c r="DY171" s="1605" t="s">
        <v>986</v>
      </c>
      <c r="DZ171" s="1605" t="s">
        <v>986</v>
      </c>
      <c r="EA171" s="1605" t="s">
        <v>986</v>
      </c>
      <c r="EB171" s="1605" t="s">
        <v>986</v>
      </c>
      <c r="EC171" s="1605" t="s">
        <v>986</v>
      </c>
      <c r="ED171" s="1605" t="s">
        <v>986</v>
      </c>
      <c r="EE171" s="1605" t="s">
        <v>986</v>
      </c>
      <c r="EF171" s="1605" t="s">
        <v>986</v>
      </c>
      <c r="EG171" s="1605" t="s">
        <v>986</v>
      </c>
      <c r="EH171" s="1605" t="s">
        <v>986</v>
      </c>
      <c r="EI171" s="1605" t="s">
        <v>986</v>
      </c>
      <c r="EJ171" s="1605" t="s">
        <v>986</v>
      </c>
      <c r="EK171" s="1605" t="s">
        <v>986</v>
      </c>
      <c r="EL171" s="1605" t="s">
        <v>986</v>
      </c>
      <c r="EM171" s="1605" t="s">
        <v>986</v>
      </c>
      <c r="EN171" s="1605" t="s">
        <v>986</v>
      </c>
      <c r="EO171" s="1605" t="s">
        <v>986</v>
      </c>
      <c r="EP171" s="1605" t="s">
        <v>986</v>
      </c>
      <c r="EQ171" s="1605" t="s">
        <v>986</v>
      </c>
      <c r="ER171" s="1605" t="s">
        <v>986</v>
      </c>
      <c r="ES171" s="1605" t="s">
        <v>986</v>
      </c>
      <c r="ET171" s="1605" t="s">
        <v>986</v>
      </c>
      <c r="EU171" s="1605" t="s">
        <v>986</v>
      </c>
      <c r="EV171" s="1605" t="s">
        <v>986</v>
      </c>
      <c r="EW171" s="1605" t="s">
        <v>986</v>
      </c>
      <c r="EX171" s="1605" t="s">
        <v>986</v>
      </c>
      <c r="EY171" s="1605" t="s">
        <v>986</v>
      </c>
      <c r="EZ171" s="1605" t="s">
        <v>986</v>
      </c>
      <c r="FA171" s="1605" t="s">
        <v>986</v>
      </c>
      <c r="FB171" s="1605" t="s">
        <v>986</v>
      </c>
      <c r="FC171" s="1605" t="s">
        <v>986</v>
      </c>
      <c r="FD171" s="1605" t="s">
        <v>986</v>
      </c>
      <c r="FE171" s="1605" t="s">
        <v>986</v>
      </c>
      <c r="FF171" s="1605" t="s">
        <v>986</v>
      </c>
      <c r="FG171" s="1605" t="s">
        <v>986</v>
      </c>
      <c r="FH171" s="1605" t="s">
        <v>986</v>
      </c>
      <c r="FI171" s="1605" t="s">
        <v>986</v>
      </c>
      <c r="FJ171" s="1605" t="s">
        <v>986</v>
      </c>
      <c r="FK171" s="1605" t="s">
        <v>986</v>
      </c>
      <c r="FL171" s="1605" t="s">
        <v>986</v>
      </c>
      <c r="FM171" s="1605" t="s">
        <v>986</v>
      </c>
      <c r="FN171" s="1605" t="s">
        <v>986</v>
      </c>
      <c r="FO171" s="1605" t="s">
        <v>986</v>
      </c>
      <c r="FP171" s="1605" t="s">
        <v>986</v>
      </c>
      <c r="FQ171" s="1605" t="s">
        <v>986</v>
      </c>
      <c r="FR171" s="1605" t="s">
        <v>986</v>
      </c>
      <c r="FS171" s="1605" t="s">
        <v>986</v>
      </c>
      <c r="FT171" s="1605" t="s">
        <v>986</v>
      </c>
      <c r="FU171" s="1605" t="s">
        <v>986</v>
      </c>
      <c r="FV171" s="1605" t="s">
        <v>986</v>
      </c>
      <c r="FW171" s="1605" t="s">
        <v>986</v>
      </c>
      <c r="FX171" s="1605" t="s">
        <v>986</v>
      </c>
      <c r="FY171" s="1605" t="s">
        <v>986</v>
      </c>
      <c r="FZ171" s="1605" t="s">
        <v>986</v>
      </c>
      <c r="GA171" s="1605" t="s">
        <v>986</v>
      </c>
      <c r="GB171" s="1605" t="s">
        <v>986</v>
      </c>
      <c r="GC171" s="1605" t="s">
        <v>986</v>
      </c>
      <c r="GD171" s="1605" t="s">
        <v>986</v>
      </c>
      <c r="GE171" s="1605" t="s">
        <v>986</v>
      </c>
      <c r="GF171" s="1605" t="s">
        <v>986</v>
      </c>
      <c r="GG171" s="1605" t="s">
        <v>986</v>
      </c>
      <c r="GH171" s="1605" t="s">
        <v>986</v>
      </c>
      <c r="GI171" s="1605" t="s">
        <v>986</v>
      </c>
      <c r="GJ171" s="1605" t="s">
        <v>986</v>
      </c>
      <c r="GK171" s="1605" t="s">
        <v>986</v>
      </c>
      <c r="GL171" s="1605" t="s">
        <v>986</v>
      </c>
      <c r="GM171" s="1605" t="s">
        <v>986</v>
      </c>
      <c r="GN171" s="1605" t="s">
        <v>986</v>
      </c>
      <c r="GO171" s="1605" t="s">
        <v>986</v>
      </c>
      <c r="GP171" s="1605" t="s">
        <v>986</v>
      </c>
      <c r="GQ171" s="1605" t="s">
        <v>986</v>
      </c>
      <c r="GR171" s="1605" t="s">
        <v>986</v>
      </c>
      <c r="GS171" s="1605" t="s">
        <v>986</v>
      </c>
      <c r="GT171" s="1605" t="s">
        <v>986</v>
      </c>
      <c r="GU171" s="1605" t="s">
        <v>986</v>
      </c>
      <c r="GV171" s="1605" t="s">
        <v>986</v>
      </c>
      <c r="GW171" s="1605" t="s">
        <v>986</v>
      </c>
      <c r="GX171" s="1605" t="s">
        <v>986</v>
      </c>
      <c r="GY171" s="1605" t="s">
        <v>986</v>
      </c>
      <c r="GZ171" s="1605" t="s">
        <v>986</v>
      </c>
      <c r="HA171" s="1605" t="s">
        <v>986</v>
      </c>
      <c r="HB171" s="1605" t="s">
        <v>986</v>
      </c>
      <c r="HC171" s="1605" t="s">
        <v>986</v>
      </c>
      <c r="HD171" s="1605" t="s">
        <v>986</v>
      </c>
      <c r="HE171" s="1605" t="s">
        <v>986</v>
      </c>
      <c r="HF171" s="1605" t="s">
        <v>986</v>
      </c>
      <c r="HG171" s="1605" t="s">
        <v>986</v>
      </c>
      <c r="HH171" s="1605" t="s">
        <v>986</v>
      </c>
      <c r="HI171" s="1605" t="s">
        <v>986</v>
      </c>
      <c r="HJ171" s="1605" t="s">
        <v>986</v>
      </c>
      <c r="HK171" s="1605" t="s">
        <v>986</v>
      </c>
      <c r="HL171" s="1605" t="s">
        <v>986</v>
      </c>
      <c r="HM171" s="1605" t="s">
        <v>986</v>
      </c>
      <c r="HN171" s="1605" t="s">
        <v>986</v>
      </c>
      <c r="HO171" s="1605" t="s">
        <v>986</v>
      </c>
      <c r="HP171" s="1605" t="s">
        <v>986</v>
      </c>
      <c r="HQ171" s="1605" t="s">
        <v>986</v>
      </c>
      <c r="HR171" s="1605" t="s">
        <v>986</v>
      </c>
      <c r="HS171" s="1605" t="s">
        <v>986</v>
      </c>
      <c r="HT171" s="1605" t="s">
        <v>986</v>
      </c>
      <c r="HU171" s="1605" t="s">
        <v>986</v>
      </c>
      <c r="HV171" s="1617"/>
      <c r="HW171" s="1617" t="s">
        <v>3339</v>
      </c>
      <c r="HX171" s="1617" t="s">
        <v>3338</v>
      </c>
      <c r="HY171" s="1617" t="s">
        <v>3337</v>
      </c>
      <c r="HZ171" s="1603"/>
      <c r="IA171" s="1603"/>
      <c r="IB171" s="1603"/>
      <c r="IC171" s="1603">
        <v>55.4471544715447</v>
      </c>
      <c r="ID171" s="1603">
        <v>57.398373983739802</v>
      </c>
      <c r="IE171" s="1603">
        <v>59.024390243902403</v>
      </c>
      <c r="IF171" s="1603">
        <v>60</v>
      </c>
      <c r="IG171" s="1611" t="s">
        <v>270</v>
      </c>
      <c r="IH171" s="1616" t="s">
        <v>3343</v>
      </c>
      <c r="II171" s="1615" t="s">
        <v>3342</v>
      </c>
      <c r="IJ171" s="1613">
        <v>0.26300000000000001</v>
      </c>
      <c r="IK171" s="1613">
        <v>8.5474999999999995E-2</v>
      </c>
      <c r="IL171" s="1614">
        <v>8.5474999999999995E-2</v>
      </c>
      <c r="IM171" s="1614">
        <v>8.5474999999999995E-2</v>
      </c>
      <c r="IN171" s="1612">
        <v>0.26300000000000001</v>
      </c>
      <c r="IO171" s="1613">
        <v>0</v>
      </c>
      <c r="IP171" s="1607" t="s">
        <v>270</v>
      </c>
      <c r="IQ171" s="1612">
        <v>1.01</v>
      </c>
      <c r="IR171" s="1612">
        <v>9.6000000000000002E-2</v>
      </c>
      <c r="IS171" s="1607" t="s">
        <v>270</v>
      </c>
      <c r="IT171" s="1607" t="s">
        <v>270</v>
      </c>
      <c r="IU171" s="1611" t="s">
        <v>270</v>
      </c>
      <c r="IV171" s="1611" t="s">
        <v>270</v>
      </c>
      <c r="IW171" s="1611" t="s">
        <v>270</v>
      </c>
      <c r="IX171" s="1611" t="s">
        <v>270</v>
      </c>
      <c r="IY171" s="1611" t="s">
        <v>270</v>
      </c>
      <c r="IZ171" s="1611" t="s">
        <v>270</v>
      </c>
      <c r="JA171" s="1611" t="s">
        <v>270</v>
      </c>
      <c r="JB171" s="1611" t="s">
        <v>270</v>
      </c>
      <c r="JC171" s="1611" t="s">
        <v>270</v>
      </c>
      <c r="JD171" s="1611" t="s">
        <v>270</v>
      </c>
      <c r="JE171" s="1611" t="s">
        <v>270</v>
      </c>
      <c r="JF171" s="1611" t="s">
        <v>270</v>
      </c>
      <c r="JG171" s="1611" t="s">
        <v>270</v>
      </c>
      <c r="JH171" s="1611" t="s">
        <v>270</v>
      </c>
      <c r="JI171" s="1611" t="s">
        <v>270</v>
      </c>
      <c r="JJ171" s="1611" t="s">
        <v>270</v>
      </c>
      <c r="JK171" s="1607" t="str">
        <f t="shared" si="11"/>
        <v/>
      </c>
      <c r="JL171" s="1608" t="s">
        <v>270</v>
      </c>
      <c r="JM171" s="1610" t="s">
        <v>3334</v>
      </c>
      <c r="JN171" s="1608" t="s">
        <v>270</v>
      </c>
      <c r="JO171" s="1609" t="s">
        <v>270</v>
      </c>
      <c r="JP171" s="1608">
        <v>8.5474999999999995E-2</v>
      </c>
      <c r="JQ171" s="1607" t="s">
        <v>270</v>
      </c>
      <c r="JR171" s="1606" t="s">
        <v>270</v>
      </c>
      <c r="JS171" s="1606" t="s">
        <v>270</v>
      </c>
      <c r="JT171" s="1606" t="s">
        <v>270</v>
      </c>
    </row>
    <row r="172" spans="1:280" ht="15" customHeight="1" x14ac:dyDescent="0.2">
      <c r="A172" s="1626">
        <v>73520</v>
      </c>
      <c r="B172" s="1625">
        <v>735</v>
      </c>
      <c r="C172" s="1624">
        <v>20</v>
      </c>
      <c r="D172" s="1623" t="s">
        <v>3341</v>
      </c>
      <c r="E172" s="1622">
        <v>43054</v>
      </c>
      <c r="F172" s="1620">
        <v>0.209204840301974</v>
      </c>
      <c r="G172" s="1620">
        <v>0.234573332560297</v>
      </c>
      <c r="H172" s="1621">
        <v>55</v>
      </c>
      <c r="I172" s="1621">
        <v>51</v>
      </c>
      <c r="J172" s="1621">
        <v>75</v>
      </c>
      <c r="K172" s="1620">
        <v>1</v>
      </c>
      <c r="L172" s="1620">
        <v>32.5</v>
      </c>
      <c r="M172" s="1620">
        <v>2.5674999999999999</v>
      </c>
      <c r="N172" s="1620">
        <v>0.71499999999999997</v>
      </c>
      <c r="O172" s="1620">
        <v>1.3975</v>
      </c>
      <c r="P172" s="1620">
        <v>7.085</v>
      </c>
      <c r="Q172" s="1603"/>
      <c r="R172" s="1620">
        <v>33.5892368896926</v>
      </c>
      <c r="S172" s="1620">
        <v>20</v>
      </c>
      <c r="T172" s="1620">
        <v>36.260162601626</v>
      </c>
      <c r="U172" s="1620">
        <v>42.764227642276403</v>
      </c>
      <c r="V172" s="1620">
        <v>48.617886178861802</v>
      </c>
      <c r="W172" s="1620">
        <v>52.520325203252</v>
      </c>
      <c r="X172" s="1620"/>
      <c r="Y172" s="1620">
        <v>2</v>
      </c>
      <c r="Z172" s="1620">
        <v>2.4</v>
      </c>
      <c r="AA172" s="1620">
        <v>0.2</v>
      </c>
      <c r="AB172" s="1620">
        <v>2.2999999999999998</v>
      </c>
      <c r="AC172" s="1620">
        <v>12</v>
      </c>
      <c r="AD172" s="1620">
        <v>1.3</v>
      </c>
      <c r="AE172" s="1620">
        <v>0.9</v>
      </c>
      <c r="AF172" s="1620">
        <v>60</v>
      </c>
      <c r="AG172" s="1620">
        <v>5</v>
      </c>
      <c r="AH172" s="1620">
        <v>17</v>
      </c>
      <c r="AI172" s="1620">
        <v>54</v>
      </c>
      <c r="AJ172" s="1620">
        <v>0</v>
      </c>
      <c r="AK172" s="1620">
        <v>0.03</v>
      </c>
      <c r="AL172" s="1620"/>
      <c r="AM172" s="1620">
        <v>2.44</v>
      </c>
      <c r="AN172" s="1620">
        <v>1.57</v>
      </c>
      <c r="AO172" s="1620">
        <v>1.3</v>
      </c>
      <c r="AP172" s="1620">
        <v>3.35</v>
      </c>
      <c r="AQ172" s="1620">
        <v>0.57999999999999996</v>
      </c>
      <c r="AR172" s="1620">
        <v>3.26</v>
      </c>
      <c r="AS172" s="1620">
        <v>8.34</v>
      </c>
      <c r="AT172" s="1620">
        <v>1.62</v>
      </c>
      <c r="AU172" s="1620">
        <v>3.72</v>
      </c>
      <c r="AV172" s="1620">
        <v>2.15</v>
      </c>
      <c r="AW172" s="1620">
        <v>4.63</v>
      </c>
      <c r="AX172" s="1620"/>
      <c r="AY172" s="1620">
        <v>1</v>
      </c>
      <c r="AZ172" s="1620">
        <v>1</v>
      </c>
      <c r="BA172" s="1620">
        <v>1</v>
      </c>
      <c r="BB172" s="1620">
        <v>1</v>
      </c>
      <c r="BC172" s="1620">
        <v>1</v>
      </c>
      <c r="BD172" s="1620">
        <v>1</v>
      </c>
      <c r="BE172" s="1620">
        <v>1</v>
      </c>
      <c r="BF172" s="1620">
        <v>1</v>
      </c>
      <c r="BG172" s="1620">
        <v>1</v>
      </c>
      <c r="BH172" s="1620">
        <v>1</v>
      </c>
      <c r="BI172" s="1620">
        <v>1</v>
      </c>
      <c r="BJ172" s="1603"/>
      <c r="BK172" s="1620">
        <v>7.9</v>
      </c>
      <c r="BL172" s="1620">
        <v>2.2000000000000002</v>
      </c>
      <c r="BM172" s="1620">
        <v>4.3</v>
      </c>
      <c r="BN172" s="1620">
        <v>21.8</v>
      </c>
      <c r="BO172" s="1620"/>
      <c r="BP172" s="1620">
        <v>105</v>
      </c>
      <c r="BQ172" s="1620">
        <v>23.1</v>
      </c>
      <c r="BR172" s="1620">
        <v>0.64370720092915079</v>
      </c>
      <c r="BS172" s="1620">
        <v>0.72176410018552917</v>
      </c>
      <c r="BT172" s="1603"/>
      <c r="BU172" s="1620">
        <v>956.99999999999989</v>
      </c>
      <c r="BV172" s="1620">
        <v>378.43428571428615</v>
      </c>
      <c r="BW172" s="1620">
        <v>54.685714285714148</v>
      </c>
      <c r="BX172" s="1620">
        <v>215</v>
      </c>
      <c r="BY172" s="1620">
        <v>20</v>
      </c>
      <c r="BZ172" s="1620" t="s">
        <v>270</v>
      </c>
      <c r="CA172" s="1620" t="s">
        <v>270</v>
      </c>
      <c r="CB172" s="1603"/>
      <c r="CC172" s="1603">
        <v>0.65</v>
      </c>
      <c r="CD172" s="1603">
        <v>0.78</v>
      </c>
      <c r="CE172" s="1603">
        <v>6.5000000000000002E-2</v>
      </c>
      <c r="CF172" s="1603">
        <v>0.74749999999999994</v>
      </c>
      <c r="CG172" s="1603">
        <v>3.9000000000000004</v>
      </c>
      <c r="CH172" s="1603">
        <v>0.42250000000000004</v>
      </c>
      <c r="CI172" s="1603">
        <v>0.29250000000000004</v>
      </c>
      <c r="CJ172" s="1603"/>
      <c r="CK172" s="1603">
        <v>19.5</v>
      </c>
      <c r="CL172" s="1603">
        <v>1.625</v>
      </c>
      <c r="CM172" s="1603">
        <v>5.5250000000000004</v>
      </c>
      <c r="CN172" s="1603">
        <v>17.55</v>
      </c>
      <c r="CO172" s="1603">
        <v>0</v>
      </c>
      <c r="CP172" s="1603">
        <v>9.75E-3</v>
      </c>
      <c r="CQ172" s="1603">
        <v>8.6240365714285598</v>
      </c>
      <c r="CR172" s="1603">
        <v>41.222930401516074</v>
      </c>
      <c r="CS172" s="1603">
        <v>1.005839501796993</v>
      </c>
      <c r="CT172" s="1603">
        <v>0.64720000730380056</v>
      </c>
      <c r="CU172" s="1603">
        <v>0.53589809521970766</v>
      </c>
      <c r="CV172" s="1603">
        <v>1.183098102523513</v>
      </c>
      <c r="CW172" s="1603">
        <v>1.3809681684507897</v>
      </c>
      <c r="CX172" s="1603">
        <v>0.23909299632879349</v>
      </c>
      <c r="CY172" s="1603">
        <v>1.3438675310894286</v>
      </c>
      <c r="CZ172" s="1603">
        <v>3.4379923954864462</v>
      </c>
      <c r="DA172" s="1603">
        <v>0.66781147250456208</v>
      </c>
      <c r="DB172" s="1603">
        <v>1.533493010936396</v>
      </c>
      <c r="DC172" s="1603">
        <v>0.88629300363259556</v>
      </c>
      <c r="DD172" s="1603">
        <v>2.4197860145689911</v>
      </c>
      <c r="DE172" s="1603">
        <v>1.9086216775902025</v>
      </c>
      <c r="DF172" s="1603">
        <v>0</v>
      </c>
      <c r="DG172" s="1603">
        <v>0</v>
      </c>
      <c r="DH172" s="1603">
        <v>0</v>
      </c>
      <c r="DI172" s="1603">
        <v>0</v>
      </c>
      <c r="DJ172" s="1603">
        <v>0</v>
      </c>
      <c r="DK172" s="1603">
        <v>0</v>
      </c>
      <c r="DL172" s="1603">
        <v>0</v>
      </c>
      <c r="DM172" s="1603">
        <v>0</v>
      </c>
      <c r="DN172" s="1603">
        <v>0</v>
      </c>
      <c r="DO172" s="1603">
        <v>0</v>
      </c>
      <c r="DP172" s="1603">
        <v>0</v>
      </c>
      <c r="DQ172" s="1603">
        <v>0</v>
      </c>
      <c r="DR172" s="1603">
        <v>0</v>
      </c>
      <c r="DS172" s="1603">
        <v>0</v>
      </c>
      <c r="DT172" s="1603">
        <v>0</v>
      </c>
      <c r="DU172" s="1603">
        <v>0</v>
      </c>
      <c r="DV172" s="1603">
        <v>0</v>
      </c>
      <c r="DW172" s="1618" t="s">
        <v>3340</v>
      </c>
      <c r="DX172" s="1605" t="s">
        <v>986</v>
      </c>
      <c r="DY172" s="1605" t="s">
        <v>986</v>
      </c>
      <c r="DZ172" s="1605" t="s">
        <v>986</v>
      </c>
      <c r="EA172" s="1605" t="s">
        <v>986</v>
      </c>
      <c r="EB172" s="1605" t="s">
        <v>986</v>
      </c>
      <c r="EC172" s="1605" t="s">
        <v>986</v>
      </c>
      <c r="ED172" s="1605" t="s">
        <v>986</v>
      </c>
      <c r="EE172" s="1605" t="s">
        <v>986</v>
      </c>
      <c r="EF172" s="1605" t="s">
        <v>986</v>
      </c>
      <c r="EG172" s="1605" t="s">
        <v>986</v>
      </c>
      <c r="EH172" s="1605" t="s">
        <v>986</v>
      </c>
      <c r="EI172" s="1605" t="s">
        <v>986</v>
      </c>
      <c r="EJ172" s="1605" t="s">
        <v>986</v>
      </c>
      <c r="EK172" s="1605" t="s">
        <v>986</v>
      </c>
      <c r="EL172" s="1605" t="s">
        <v>986</v>
      </c>
      <c r="EM172" s="1605" t="s">
        <v>986</v>
      </c>
      <c r="EN172" s="1605" t="s">
        <v>986</v>
      </c>
      <c r="EO172" s="1605" t="s">
        <v>986</v>
      </c>
      <c r="EP172" s="1605" t="s">
        <v>986</v>
      </c>
      <c r="EQ172" s="1605" t="s">
        <v>986</v>
      </c>
      <c r="ER172" s="1605" t="s">
        <v>986</v>
      </c>
      <c r="ES172" s="1605" t="s">
        <v>986</v>
      </c>
      <c r="ET172" s="1605" t="s">
        <v>986</v>
      </c>
      <c r="EU172" s="1605" t="s">
        <v>986</v>
      </c>
      <c r="EV172" s="1605" t="s">
        <v>986</v>
      </c>
      <c r="EW172" s="1605" t="s">
        <v>986</v>
      </c>
      <c r="EX172" s="1605" t="s">
        <v>986</v>
      </c>
      <c r="EY172" s="1605" t="s">
        <v>986</v>
      </c>
      <c r="EZ172" s="1605" t="s">
        <v>986</v>
      </c>
      <c r="FA172" s="1605" t="s">
        <v>986</v>
      </c>
      <c r="FB172" s="1605" t="s">
        <v>986</v>
      </c>
      <c r="FC172" s="1605" t="s">
        <v>986</v>
      </c>
      <c r="FD172" s="1605" t="s">
        <v>986</v>
      </c>
      <c r="FE172" s="1605" t="s">
        <v>986</v>
      </c>
      <c r="FF172" s="1605" t="s">
        <v>986</v>
      </c>
      <c r="FG172" s="1605" t="s">
        <v>986</v>
      </c>
      <c r="FH172" s="1605" t="s">
        <v>986</v>
      </c>
      <c r="FI172" s="1605" t="s">
        <v>986</v>
      </c>
      <c r="FJ172" s="1605" t="s">
        <v>986</v>
      </c>
      <c r="FK172" s="1605" t="s">
        <v>986</v>
      </c>
      <c r="FL172" s="1605" t="s">
        <v>986</v>
      </c>
      <c r="FM172" s="1605" t="s">
        <v>986</v>
      </c>
      <c r="FN172" s="1605" t="s">
        <v>986</v>
      </c>
      <c r="FO172" s="1605" t="s">
        <v>986</v>
      </c>
      <c r="FP172" s="1605" t="s">
        <v>986</v>
      </c>
      <c r="FQ172" s="1605" t="s">
        <v>986</v>
      </c>
      <c r="FR172" s="1605" t="s">
        <v>986</v>
      </c>
      <c r="FS172" s="1605" t="s">
        <v>986</v>
      </c>
      <c r="FT172" s="1605" t="s">
        <v>986</v>
      </c>
      <c r="FU172" s="1605" t="s">
        <v>986</v>
      </c>
      <c r="FV172" s="1605" t="s">
        <v>986</v>
      </c>
      <c r="FW172" s="1605" t="s">
        <v>986</v>
      </c>
      <c r="FX172" s="1605" t="s">
        <v>986</v>
      </c>
      <c r="FY172" s="1605" t="s">
        <v>986</v>
      </c>
      <c r="FZ172" s="1605" t="s">
        <v>986</v>
      </c>
      <c r="GA172" s="1605" t="s">
        <v>986</v>
      </c>
      <c r="GB172" s="1605" t="s">
        <v>986</v>
      </c>
      <c r="GC172" s="1605" t="s">
        <v>986</v>
      </c>
      <c r="GD172" s="1605" t="s">
        <v>986</v>
      </c>
      <c r="GE172" s="1605" t="s">
        <v>986</v>
      </c>
      <c r="GF172" s="1605" t="s">
        <v>986</v>
      </c>
      <c r="GG172" s="1605" t="s">
        <v>986</v>
      </c>
      <c r="GH172" s="1605" t="s">
        <v>986</v>
      </c>
      <c r="GI172" s="1605" t="s">
        <v>986</v>
      </c>
      <c r="GJ172" s="1605" t="s">
        <v>986</v>
      </c>
      <c r="GK172" s="1605" t="s">
        <v>986</v>
      </c>
      <c r="GL172" s="1605" t="s">
        <v>986</v>
      </c>
      <c r="GM172" s="1605" t="s">
        <v>986</v>
      </c>
      <c r="GN172" s="1605" t="s">
        <v>986</v>
      </c>
      <c r="GO172" s="1605" t="s">
        <v>986</v>
      </c>
      <c r="GP172" s="1605" t="s">
        <v>986</v>
      </c>
      <c r="GQ172" s="1605" t="s">
        <v>986</v>
      </c>
      <c r="GR172" s="1605" t="s">
        <v>986</v>
      </c>
      <c r="GS172" s="1605" t="s">
        <v>986</v>
      </c>
      <c r="GT172" s="1605" t="s">
        <v>986</v>
      </c>
      <c r="GU172" s="1605" t="s">
        <v>986</v>
      </c>
      <c r="GV172" s="1605" t="s">
        <v>986</v>
      </c>
      <c r="GW172" s="1605" t="s">
        <v>986</v>
      </c>
      <c r="GX172" s="1605" t="s">
        <v>986</v>
      </c>
      <c r="GY172" s="1605" t="s">
        <v>986</v>
      </c>
      <c r="GZ172" s="1605" t="s">
        <v>986</v>
      </c>
      <c r="HA172" s="1605" t="s">
        <v>986</v>
      </c>
      <c r="HB172" s="1605" t="s">
        <v>986</v>
      </c>
      <c r="HC172" s="1605" t="s">
        <v>986</v>
      </c>
      <c r="HD172" s="1605" t="s">
        <v>986</v>
      </c>
      <c r="HE172" s="1605" t="s">
        <v>986</v>
      </c>
      <c r="HF172" s="1605" t="s">
        <v>986</v>
      </c>
      <c r="HG172" s="1605" t="s">
        <v>986</v>
      </c>
      <c r="HH172" s="1605" t="s">
        <v>986</v>
      </c>
      <c r="HI172" s="1605" t="s">
        <v>986</v>
      </c>
      <c r="HJ172" s="1605" t="s">
        <v>986</v>
      </c>
      <c r="HK172" s="1605" t="s">
        <v>986</v>
      </c>
      <c r="HL172" s="1605" t="s">
        <v>986</v>
      </c>
      <c r="HM172" s="1605" t="s">
        <v>986</v>
      </c>
      <c r="HN172" s="1605" t="s">
        <v>986</v>
      </c>
      <c r="HO172" s="1605" t="s">
        <v>986</v>
      </c>
      <c r="HP172" s="1605" t="s">
        <v>986</v>
      </c>
      <c r="HQ172" s="1605" t="s">
        <v>986</v>
      </c>
      <c r="HR172" s="1605" t="s">
        <v>986</v>
      </c>
      <c r="HS172" s="1605" t="s">
        <v>986</v>
      </c>
      <c r="HT172" s="1605" t="s">
        <v>986</v>
      </c>
      <c r="HU172" s="1605" t="s">
        <v>986</v>
      </c>
      <c r="HV172" s="1617"/>
      <c r="HW172" s="1617" t="s">
        <v>3339</v>
      </c>
      <c r="HX172" s="1617" t="s">
        <v>3338</v>
      </c>
      <c r="HY172" s="1617" t="s">
        <v>3337</v>
      </c>
      <c r="HZ172" s="1603"/>
      <c r="IA172" s="1603"/>
      <c r="IB172" s="1603"/>
      <c r="IC172" s="1603">
        <v>55.4471544715447</v>
      </c>
      <c r="ID172" s="1603">
        <v>57.398373983739802</v>
      </c>
      <c r="IE172" s="1603">
        <v>59.024390243902403</v>
      </c>
      <c r="IF172" s="1603">
        <v>60</v>
      </c>
      <c r="IG172" s="1611" t="s">
        <v>270</v>
      </c>
      <c r="IH172" s="1616" t="s">
        <v>3336</v>
      </c>
      <c r="II172" s="1615" t="s">
        <v>3335</v>
      </c>
      <c r="IJ172" s="1613">
        <v>0.26300000000000001</v>
      </c>
      <c r="IK172" s="1613">
        <v>8.5474999999999995E-2</v>
      </c>
      <c r="IL172" s="1614">
        <v>8.5474999999999995E-2</v>
      </c>
      <c r="IM172" s="1614">
        <v>8.5474999999999995E-2</v>
      </c>
      <c r="IN172" s="1612">
        <v>0.26300000000000001</v>
      </c>
      <c r="IO172" s="1613">
        <v>0</v>
      </c>
      <c r="IP172" s="1607" t="s">
        <v>270</v>
      </c>
      <c r="IQ172" s="1612">
        <v>1.01</v>
      </c>
      <c r="IR172" s="1612">
        <v>9.6000000000000002E-2</v>
      </c>
      <c r="IS172" s="1607" t="s">
        <v>270</v>
      </c>
      <c r="IT172" s="1607" t="s">
        <v>270</v>
      </c>
      <c r="IU172" s="1611" t="s">
        <v>270</v>
      </c>
      <c r="IV172" s="1611" t="s">
        <v>270</v>
      </c>
      <c r="IW172" s="1611" t="s">
        <v>270</v>
      </c>
      <c r="IX172" s="1611" t="s">
        <v>270</v>
      </c>
      <c r="IY172" s="1611" t="s">
        <v>270</v>
      </c>
      <c r="IZ172" s="1611" t="s">
        <v>270</v>
      </c>
      <c r="JA172" s="1611" t="s">
        <v>270</v>
      </c>
      <c r="JB172" s="1611" t="s">
        <v>270</v>
      </c>
      <c r="JC172" s="1611" t="s">
        <v>270</v>
      </c>
      <c r="JD172" s="1611" t="s">
        <v>270</v>
      </c>
      <c r="JE172" s="1611" t="s">
        <v>270</v>
      </c>
      <c r="JF172" s="1611" t="s">
        <v>270</v>
      </c>
      <c r="JG172" s="1611" t="s">
        <v>270</v>
      </c>
      <c r="JH172" s="1611" t="s">
        <v>270</v>
      </c>
      <c r="JI172" s="1611" t="s">
        <v>270</v>
      </c>
      <c r="JJ172" s="1611" t="s">
        <v>270</v>
      </c>
      <c r="JK172" s="1607" t="str">
        <f t="shared" si="11"/>
        <v/>
      </c>
      <c r="JL172" s="1608" t="s">
        <v>270</v>
      </c>
      <c r="JM172" s="1610" t="s">
        <v>3334</v>
      </c>
      <c r="JN172" s="1608" t="s">
        <v>270</v>
      </c>
      <c r="JO172" s="1609" t="s">
        <v>270</v>
      </c>
      <c r="JP172" s="1608">
        <v>8.5474999999999995E-2</v>
      </c>
      <c r="JQ172" s="1607" t="s">
        <v>270</v>
      </c>
      <c r="JR172" s="1606" t="s">
        <v>270</v>
      </c>
      <c r="JS172" s="1606" t="s">
        <v>270</v>
      </c>
      <c r="JT172" s="1606" t="s">
        <v>270</v>
      </c>
    </row>
    <row r="173" spans="1:280" ht="15" customHeight="1" x14ac:dyDescent="0.2">
      <c r="A173" s="1626">
        <v>54100</v>
      </c>
      <c r="B173" s="1625">
        <v>541</v>
      </c>
      <c r="C173" s="1624">
        <v>0</v>
      </c>
      <c r="D173" s="1623" t="s">
        <v>3333</v>
      </c>
      <c r="E173" s="1622">
        <v>43395</v>
      </c>
      <c r="F173" s="1620">
        <v>1.1190978707317101</v>
      </c>
      <c r="G173" s="1620">
        <v>1.1127555261818201</v>
      </c>
      <c r="H173" s="1621">
        <v>82.8</v>
      </c>
      <c r="I173" s="1621">
        <v>79.900000000000006</v>
      </c>
      <c r="J173" s="1621">
        <v>88</v>
      </c>
      <c r="K173" s="1620">
        <v>1</v>
      </c>
      <c r="L173" s="1620">
        <v>88.2</v>
      </c>
      <c r="M173" s="1620">
        <v>9.3491999999999997</v>
      </c>
      <c r="N173" s="1620">
        <v>4.851</v>
      </c>
      <c r="O173" s="1620">
        <v>2.6459999999999999</v>
      </c>
      <c r="P173" s="1620">
        <v>4.24703286</v>
      </c>
      <c r="Q173" s="1603"/>
      <c r="R173" s="1620">
        <v>71.2</v>
      </c>
      <c r="S173" s="1620">
        <v>20</v>
      </c>
      <c r="T173" s="1620">
        <v>36.260162601626</v>
      </c>
      <c r="U173" s="1620">
        <v>42.764227642276403</v>
      </c>
      <c r="V173" s="1620">
        <v>48.617886178861802</v>
      </c>
      <c r="W173" s="1620">
        <v>52.520325203252</v>
      </c>
      <c r="X173" s="1620"/>
      <c r="Y173" s="1620">
        <v>0.3</v>
      </c>
      <c r="Z173" s="1620">
        <v>5.6</v>
      </c>
      <c r="AA173" s="1620">
        <v>0.2</v>
      </c>
      <c r="AB173" s="1620">
        <v>0.57999999999999996</v>
      </c>
      <c r="AC173" s="1620">
        <v>7.1</v>
      </c>
      <c r="AD173" s="1620">
        <v>1.8999999999999997</v>
      </c>
      <c r="AE173" s="1620">
        <v>1.2</v>
      </c>
      <c r="AF173" s="1620">
        <v>68</v>
      </c>
      <c r="AG173" s="1620">
        <v>3.2</v>
      </c>
      <c r="AH173" s="1620">
        <v>14.000000000000002</v>
      </c>
      <c r="AI173" s="1620">
        <v>41.999999999999993</v>
      </c>
      <c r="AJ173" s="1620">
        <v>0</v>
      </c>
      <c r="AK173" s="1620">
        <v>0.12</v>
      </c>
      <c r="AL173" s="1620"/>
      <c r="AM173" s="1620">
        <v>3.37</v>
      </c>
      <c r="AN173" s="1620">
        <v>2.37</v>
      </c>
      <c r="AO173" s="1620">
        <v>2.19</v>
      </c>
      <c r="AP173" s="1620">
        <v>3.73</v>
      </c>
      <c r="AQ173" s="1620">
        <v>1.1100000000000001</v>
      </c>
      <c r="AR173" s="1620">
        <v>3.84</v>
      </c>
      <c r="AS173" s="1620">
        <v>12.07</v>
      </c>
      <c r="AT173" s="1620">
        <v>3.06</v>
      </c>
      <c r="AU173" s="1620">
        <v>5.05</v>
      </c>
      <c r="AV173" s="1620">
        <v>4.1100000000000003</v>
      </c>
      <c r="AW173" s="1620">
        <v>5.32</v>
      </c>
      <c r="AX173" s="1620"/>
      <c r="AY173" s="1620">
        <v>1</v>
      </c>
      <c r="AZ173" s="1620">
        <v>1</v>
      </c>
      <c r="BA173" s="1620">
        <v>1</v>
      </c>
      <c r="BB173" s="1620">
        <v>1</v>
      </c>
      <c r="BC173" s="1620">
        <v>1</v>
      </c>
      <c r="BD173" s="1620">
        <v>1</v>
      </c>
      <c r="BE173" s="1620">
        <v>1</v>
      </c>
      <c r="BF173" s="1620">
        <v>1</v>
      </c>
      <c r="BG173" s="1620">
        <v>1</v>
      </c>
      <c r="BH173" s="1620">
        <v>1</v>
      </c>
      <c r="BI173" s="1620">
        <v>1</v>
      </c>
      <c r="BJ173" s="1603"/>
      <c r="BK173" s="1620">
        <v>10.6</v>
      </c>
      <c r="BL173" s="1620">
        <v>5.5</v>
      </c>
      <c r="BM173" s="1620">
        <v>2.9999999999999996</v>
      </c>
      <c r="BN173" s="1620">
        <v>4.8152299999999997</v>
      </c>
      <c r="BO173" s="1620"/>
      <c r="BP173" s="1620">
        <v>120</v>
      </c>
      <c r="BQ173" s="1620">
        <v>66</v>
      </c>
      <c r="BR173" s="1620">
        <v>1.2688184475416213</v>
      </c>
      <c r="BS173" s="1620">
        <v>1.2616275807050112</v>
      </c>
      <c r="BT173" s="1603"/>
      <c r="BU173" s="1620">
        <v>970</v>
      </c>
      <c r="BV173" s="1620">
        <v>613.16428571428571</v>
      </c>
      <c r="BW173" s="1620">
        <v>40.18571428571417</v>
      </c>
      <c r="BX173" s="1620">
        <v>566</v>
      </c>
      <c r="BY173" s="1620">
        <v>41</v>
      </c>
      <c r="BZ173" s="1620">
        <v>12.999999999999998</v>
      </c>
      <c r="CA173" s="1620">
        <v>184</v>
      </c>
      <c r="CB173" s="1603"/>
      <c r="CC173" s="1603">
        <v>0.2646</v>
      </c>
      <c r="CD173" s="1603">
        <v>4.9391999999999996</v>
      </c>
      <c r="CE173" s="1603">
        <v>0.1764</v>
      </c>
      <c r="CF173" s="1603">
        <v>0.51156000000000001</v>
      </c>
      <c r="CG173" s="1603">
        <v>6.2622</v>
      </c>
      <c r="CH173" s="1603">
        <v>1.6757999999999997</v>
      </c>
      <c r="CI173" s="1603">
        <v>1.0584</v>
      </c>
      <c r="CJ173" s="1603"/>
      <c r="CK173" s="1603">
        <v>59.975999999999999</v>
      </c>
      <c r="CL173" s="1603">
        <v>2.8224</v>
      </c>
      <c r="CM173" s="1603">
        <v>12.348000000000003</v>
      </c>
      <c r="CN173" s="1603">
        <v>37.043999999999997</v>
      </c>
      <c r="CO173" s="1603">
        <v>0</v>
      </c>
      <c r="CP173" s="1603">
        <v>0.10584</v>
      </c>
      <c r="CQ173" s="1603">
        <v>66.566304000000002</v>
      </c>
      <c r="CR173" s="1603">
        <v>59.482111208447158</v>
      </c>
      <c r="CS173" s="1603">
        <v>2.004547147724669</v>
      </c>
      <c r="CT173" s="1603">
        <v>1.4097260356401975</v>
      </c>
      <c r="CU173" s="1603">
        <v>1.3026582354649927</v>
      </c>
      <c r="CV173" s="1603">
        <v>2.7123842711051904</v>
      </c>
      <c r="CW173" s="1603">
        <v>2.218682748075079</v>
      </c>
      <c r="CX173" s="1603">
        <v>0.66025143441376344</v>
      </c>
      <c r="CY173" s="1603">
        <v>2.2841130704043708</v>
      </c>
      <c r="CZ173" s="1603">
        <v>7.1794908228595729</v>
      </c>
      <c r="DA173" s="1603">
        <v>1.8201526029784831</v>
      </c>
      <c r="DB173" s="1603">
        <v>3.0038466160265815</v>
      </c>
      <c r="DC173" s="1603">
        <v>2.4447147706671779</v>
      </c>
      <c r="DD173" s="1603">
        <v>5.4485613866937603</v>
      </c>
      <c r="DE173" s="1603">
        <v>3.1644483162893891</v>
      </c>
      <c r="DF173" s="1603">
        <v>0</v>
      </c>
      <c r="DG173" s="1603">
        <v>0</v>
      </c>
      <c r="DH173" s="1603">
        <v>0</v>
      </c>
      <c r="DI173" s="1603">
        <v>0</v>
      </c>
      <c r="DJ173" s="1603">
        <v>0</v>
      </c>
      <c r="DK173" s="1603">
        <v>0</v>
      </c>
      <c r="DL173" s="1603">
        <v>0</v>
      </c>
      <c r="DM173" s="1603">
        <v>0</v>
      </c>
      <c r="DN173" s="1603">
        <v>0</v>
      </c>
      <c r="DO173" s="1603">
        <v>0</v>
      </c>
      <c r="DP173" s="1603">
        <v>0</v>
      </c>
      <c r="DQ173" s="1603">
        <v>0</v>
      </c>
      <c r="DR173" s="1603">
        <v>0</v>
      </c>
      <c r="DS173" s="1603">
        <v>0</v>
      </c>
      <c r="DT173" s="1603">
        <v>0</v>
      </c>
      <c r="DU173" s="1603">
        <v>0</v>
      </c>
      <c r="DV173" s="1603">
        <v>0</v>
      </c>
      <c r="DW173" s="1618" t="s">
        <v>3332</v>
      </c>
      <c r="DX173" s="1605" t="s">
        <v>986</v>
      </c>
      <c r="DY173" s="1605" t="s">
        <v>986</v>
      </c>
      <c r="DZ173" s="1605" t="s">
        <v>986</v>
      </c>
      <c r="EA173" s="1605" t="s">
        <v>986</v>
      </c>
      <c r="EB173" s="1605" t="s">
        <v>986</v>
      </c>
      <c r="EC173" s="1605" t="s">
        <v>986</v>
      </c>
      <c r="ED173" s="1605" t="s">
        <v>986</v>
      </c>
      <c r="EE173" s="1605" t="s">
        <v>986</v>
      </c>
      <c r="EF173" s="1605" t="s">
        <v>986</v>
      </c>
      <c r="EG173" s="1605" t="s">
        <v>986</v>
      </c>
      <c r="EH173" s="1605" t="s">
        <v>986</v>
      </c>
      <c r="EI173" s="1605" t="s">
        <v>986</v>
      </c>
      <c r="EJ173" s="1605" t="s">
        <v>986</v>
      </c>
      <c r="EK173" s="1605" t="s">
        <v>986</v>
      </c>
      <c r="EL173" s="1605" t="s">
        <v>986</v>
      </c>
      <c r="EM173" s="1605" t="s">
        <v>986</v>
      </c>
      <c r="EN173" s="1605" t="s">
        <v>986</v>
      </c>
      <c r="EO173" s="1605" t="s">
        <v>986</v>
      </c>
      <c r="EP173" s="1605" t="s">
        <v>986</v>
      </c>
      <c r="EQ173" s="1605" t="s">
        <v>986</v>
      </c>
      <c r="ER173" s="1605" t="s">
        <v>986</v>
      </c>
      <c r="ES173" s="1605" t="s">
        <v>986</v>
      </c>
      <c r="ET173" s="1605" t="s">
        <v>986</v>
      </c>
      <c r="EU173" s="1605" t="s">
        <v>986</v>
      </c>
      <c r="EV173" s="1605" t="s">
        <v>986</v>
      </c>
      <c r="EW173" s="1605" t="s">
        <v>986</v>
      </c>
      <c r="EX173" s="1605" t="s">
        <v>986</v>
      </c>
      <c r="EY173" s="1605" t="s">
        <v>986</v>
      </c>
      <c r="EZ173" s="1605" t="s">
        <v>986</v>
      </c>
      <c r="FA173" s="1605" t="s">
        <v>986</v>
      </c>
      <c r="FB173" s="1605" t="s">
        <v>986</v>
      </c>
      <c r="FC173" s="1605" t="s">
        <v>986</v>
      </c>
      <c r="FD173" s="1605" t="s">
        <v>986</v>
      </c>
      <c r="FE173" s="1605" t="s">
        <v>986</v>
      </c>
      <c r="FF173" s="1605" t="s">
        <v>986</v>
      </c>
      <c r="FG173" s="1605" t="s">
        <v>986</v>
      </c>
      <c r="FH173" s="1605" t="s">
        <v>986</v>
      </c>
      <c r="FI173" s="1605" t="s">
        <v>986</v>
      </c>
      <c r="FJ173" s="1605" t="s">
        <v>986</v>
      </c>
      <c r="FK173" s="1605" t="s">
        <v>986</v>
      </c>
      <c r="FL173" s="1605" t="s">
        <v>986</v>
      </c>
      <c r="FM173" s="1605" t="s">
        <v>986</v>
      </c>
      <c r="FN173" s="1605" t="s">
        <v>986</v>
      </c>
      <c r="FO173" s="1605" t="s">
        <v>986</v>
      </c>
      <c r="FP173" s="1605" t="s">
        <v>986</v>
      </c>
      <c r="FQ173" s="1605" t="s">
        <v>986</v>
      </c>
      <c r="FR173" s="1605" t="s">
        <v>986</v>
      </c>
      <c r="FS173" s="1605" t="s">
        <v>986</v>
      </c>
      <c r="FT173" s="1605" t="s">
        <v>986</v>
      </c>
      <c r="FU173" s="1605" t="s">
        <v>986</v>
      </c>
      <c r="FV173" s="1605" t="s">
        <v>986</v>
      </c>
      <c r="FW173" s="1605" t="s">
        <v>986</v>
      </c>
      <c r="FX173" s="1605" t="s">
        <v>986</v>
      </c>
      <c r="FY173" s="1605" t="s">
        <v>986</v>
      </c>
      <c r="FZ173" s="1605" t="s">
        <v>986</v>
      </c>
      <c r="GA173" s="1605" t="s">
        <v>986</v>
      </c>
      <c r="GB173" s="1605" t="s">
        <v>986</v>
      </c>
      <c r="GC173" s="1605" t="s">
        <v>986</v>
      </c>
      <c r="GD173" s="1605" t="s">
        <v>986</v>
      </c>
      <c r="GE173" s="1605" t="s">
        <v>986</v>
      </c>
      <c r="GF173" s="1605" t="s">
        <v>986</v>
      </c>
      <c r="GG173" s="1605" t="s">
        <v>986</v>
      </c>
      <c r="GH173" s="1605" t="s">
        <v>986</v>
      </c>
      <c r="GI173" s="1605" t="s">
        <v>986</v>
      </c>
      <c r="GJ173" s="1605" t="s">
        <v>986</v>
      </c>
      <c r="GK173" s="1605" t="s">
        <v>986</v>
      </c>
      <c r="GL173" s="1605" t="s">
        <v>986</v>
      </c>
      <c r="GM173" s="1605" t="s">
        <v>986</v>
      </c>
      <c r="GN173" s="1605" t="s">
        <v>986</v>
      </c>
      <c r="GO173" s="1605" t="s">
        <v>986</v>
      </c>
      <c r="GP173" s="1605" t="s">
        <v>986</v>
      </c>
      <c r="GQ173" s="1605" t="s">
        <v>986</v>
      </c>
      <c r="GR173" s="1605" t="s">
        <v>986</v>
      </c>
      <c r="GS173" s="1605" t="s">
        <v>986</v>
      </c>
      <c r="GT173" s="1605" t="s">
        <v>986</v>
      </c>
      <c r="GU173" s="1605" t="s">
        <v>986</v>
      </c>
      <c r="GV173" s="1605" t="s">
        <v>986</v>
      </c>
      <c r="GW173" s="1605" t="s">
        <v>986</v>
      </c>
      <c r="GX173" s="1605" t="s">
        <v>986</v>
      </c>
      <c r="GY173" s="1605" t="s">
        <v>986</v>
      </c>
      <c r="GZ173" s="1605" t="s">
        <v>986</v>
      </c>
      <c r="HA173" s="1605" t="s">
        <v>986</v>
      </c>
      <c r="HB173" s="1605" t="s">
        <v>986</v>
      </c>
      <c r="HC173" s="1605" t="s">
        <v>986</v>
      </c>
      <c r="HD173" s="1605" t="s">
        <v>986</v>
      </c>
      <c r="HE173" s="1605" t="s">
        <v>986</v>
      </c>
      <c r="HF173" s="1605" t="s">
        <v>986</v>
      </c>
      <c r="HG173" s="1605" t="s">
        <v>986</v>
      </c>
      <c r="HH173" s="1605" t="s">
        <v>986</v>
      </c>
      <c r="HI173" s="1605" t="s">
        <v>986</v>
      </c>
      <c r="HJ173" s="1605" t="s">
        <v>986</v>
      </c>
      <c r="HK173" s="1605" t="s">
        <v>986</v>
      </c>
      <c r="HL173" s="1605" t="s">
        <v>986</v>
      </c>
      <c r="HM173" s="1605" t="s">
        <v>986</v>
      </c>
      <c r="HN173" s="1605" t="s">
        <v>986</v>
      </c>
      <c r="HO173" s="1605" t="s">
        <v>986</v>
      </c>
      <c r="HP173" s="1605" t="s">
        <v>986</v>
      </c>
      <c r="HQ173" s="1605" t="s">
        <v>986</v>
      </c>
      <c r="HR173" s="1605" t="s">
        <v>986</v>
      </c>
      <c r="HS173" s="1605" t="s">
        <v>986</v>
      </c>
      <c r="HT173" s="1605" t="s">
        <v>986</v>
      </c>
      <c r="HU173" s="1605" t="s">
        <v>986</v>
      </c>
      <c r="HV173" s="1617"/>
      <c r="HW173" s="1617" t="s">
        <v>3331</v>
      </c>
      <c r="HX173" s="1617" t="s">
        <v>3330</v>
      </c>
      <c r="HY173" s="1617" t="s">
        <v>3329</v>
      </c>
      <c r="HZ173" s="1603"/>
      <c r="IA173" s="1603"/>
      <c r="IB173" s="1603"/>
      <c r="IC173" s="1603">
        <v>55.4471544715447</v>
      </c>
      <c r="ID173" s="1603">
        <v>57.398373983739802</v>
      </c>
      <c r="IE173" s="1603">
        <v>59.024390243902403</v>
      </c>
      <c r="IF173" s="1603">
        <v>60</v>
      </c>
      <c r="IG173" s="1611" t="s">
        <v>270</v>
      </c>
      <c r="IH173" s="1616" t="s">
        <v>270</v>
      </c>
      <c r="II173" s="1615" t="s">
        <v>270</v>
      </c>
      <c r="IJ173" s="1613">
        <v>0.63600000000000001</v>
      </c>
      <c r="IK173" s="1613">
        <v>0.63600000000000001</v>
      </c>
      <c r="IL173" s="1614">
        <v>0.63600000000000001</v>
      </c>
      <c r="IM173" s="1614">
        <v>0.63600000000000001</v>
      </c>
      <c r="IN173" s="1612">
        <v>0.63600000000000001</v>
      </c>
      <c r="IO173" s="1613">
        <v>0</v>
      </c>
      <c r="IP173" s="1607" t="s">
        <v>270</v>
      </c>
      <c r="IQ173" s="1612" t="s">
        <v>270</v>
      </c>
      <c r="IR173" s="1612" t="s">
        <v>270</v>
      </c>
      <c r="IS173" s="1607" t="s">
        <v>270</v>
      </c>
      <c r="IT173" s="1607" t="s">
        <v>270</v>
      </c>
      <c r="IU173" s="1611" t="s">
        <v>270</v>
      </c>
      <c r="IV173" s="1611" t="s">
        <v>270</v>
      </c>
      <c r="IW173" s="1611" t="s">
        <v>270</v>
      </c>
      <c r="IX173" s="1611" t="s">
        <v>270</v>
      </c>
      <c r="IY173" s="1611" t="s">
        <v>270</v>
      </c>
      <c r="IZ173" s="1611" t="s">
        <v>270</v>
      </c>
      <c r="JA173" s="1611" t="s">
        <v>270</v>
      </c>
      <c r="JB173" s="1611" t="s">
        <v>270</v>
      </c>
      <c r="JC173" s="1611" t="s">
        <v>270</v>
      </c>
      <c r="JD173" s="1611" t="s">
        <v>270</v>
      </c>
      <c r="JE173" s="1611" t="s">
        <v>270</v>
      </c>
      <c r="JF173" s="1611" t="s">
        <v>270</v>
      </c>
      <c r="JG173" s="1611" t="s">
        <v>270</v>
      </c>
      <c r="JH173" s="1611" t="s">
        <v>270</v>
      </c>
      <c r="JI173" s="1611" t="s">
        <v>270</v>
      </c>
      <c r="JJ173" s="1611" t="s">
        <v>270</v>
      </c>
      <c r="JK173" s="1607" t="str">
        <f t="shared" si="11"/>
        <v/>
      </c>
      <c r="JL173" s="1608" t="s">
        <v>2946</v>
      </c>
      <c r="JM173" s="1610" t="s">
        <v>2945</v>
      </c>
      <c r="JN173" s="1608" t="s">
        <v>270</v>
      </c>
      <c r="JO173" s="1609" t="s">
        <v>270</v>
      </c>
      <c r="JP173" s="1608">
        <v>0.63600000000000001</v>
      </c>
      <c r="JQ173" s="1607" t="s">
        <v>270</v>
      </c>
      <c r="JR173" s="1606" t="s">
        <v>270</v>
      </c>
      <c r="JS173" s="1606" t="s">
        <v>270</v>
      </c>
      <c r="JT173" s="1606" t="s">
        <v>270</v>
      </c>
    </row>
    <row r="174" spans="1:280" ht="15" customHeight="1" x14ac:dyDescent="0.2">
      <c r="A174" s="1626">
        <v>54400</v>
      </c>
      <c r="B174" s="1625">
        <v>544</v>
      </c>
      <c r="C174" s="1624">
        <v>0</v>
      </c>
      <c r="D174" s="1623" t="s">
        <v>3328</v>
      </c>
      <c r="E174" s="1622">
        <v>43031</v>
      </c>
      <c r="F174" s="1620">
        <v>1.25178887001548</v>
      </c>
      <c r="G174" s="1620">
        <v>1.2165111346567701</v>
      </c>
      <c r="H174" s="1621">
        <v>91.5</v>
      </c>
      <c r="I174" s="1621">
        <v>91.2</v>
      </c>
      <c r="J174" s="1621">
        <v>96</v>
      </c>
      <c r="K174" s="1620">
        <v>1</v>
      </c>
      <c r="L174" s="1620">
        <v>90.5</v>
      </c>
      <c r="M174" s="1620">
        <v>59.277500000000003</v>
      </c>
      <c r="N174" s="1620">
        <v>6.0635000000000003</v>
      </c>
      <c r="O174" s="1620">
        <v>2.3530000000000002</v>
      </c>
      <c r="P174" s="1620">
        <v>0.82272727272727297</v>
      </c>
      <c r="Q174" s="1603"/>
      <c r="R174" s="1620">
        <v>92</v>
      </c>
      <c r="S174" s="1620">
        <v>20</v>
      </c>
      <c r="T174" s="1620">
        <v>36.260162601626</v>
      </c>
      <c r="U174" s="1620">
        <v>42.764227642276403</v>
      </c>
      <c r="V174" s="1620">
        <v>48.617886178861802</v>
      </c>
      <c r="W174" s="1620">
        <v>52.520325203252</v>
      </c>
      <c r="X174" s="1620"/>
      <c r="Y174" s="1620">
        <v>0.30000000000000004</v>
      </c>
      <c r="Z174" s="1620">
        <v>6.3999999999999995</v>
      </c>
      <c r="AA174" s="1620">
        <v>0.79999999999999993</v>
      </c>
      <c r="AB174" s="1620">
        <v>0</v>
      </c>
      <c r="AC174" s="1620">
        <v>5.5</v>
      </c>
      <c r="AD174" s="1620">
        <v>1.5999999999999999</v>
      </c>
      <c r="AE174" s="1620">
        <v>7.2</v>
      </c>
      <c r="AF174" s="1620">
        <v>130</v>
      </c>
      <c r="AG174" s="1620">
        <v>11</v>
      </c>
      <c r="AH174" s="1620">
        <v>11</v>
      </c>
      <c r="AI174" s="1620">
        <v>39</v>
      </c>
      <c r="AJ174" s="1620">
        <v>0</v>
      </c>
      <c r="AK174" s="1620">
        <v>9.0909090909090939E-2</v>
      </c>
      <c r="AL174" s="1620"/>
      <c r="AM174" s="1620">
        <v>1.69</v>
      </c>
      <c r="AN174" s="1620">
        <v>2.4700000000000002</v>
      </c>
      <c r="AO174" s="1620">
        <v>1.78</v>
      </c>
      <c r="AP174" s="1620">
        <v>3.39</v>
      </c>
      <c r="AQ174" s="1620">
        <v>0.65</v>
      </c>
      <c r="AR174" s="1620">
        <v>4.1399999999999997</v>
      </c>
      <c r="AS174" s="1620">
        <v>16.43</v>
      </c>
      <c r="AT174" s="1620">
        <v>2.09</v>
      </c>
      <c r="AU174" s="1620">
        <v>6.15</v>
      </c>
      <c r="AV174" s="1620">
        <v>5.21</v>
      </c>
      <c r="AW174" s="1620">
        <v>4.7300000000000004</v>
      </c>
      <c r="AX174" s="1620"/>
      <c r="AY174" s="1620">
        <v>0.97</v>
      </c>
      <c r="AZ174" s="1620">
        <v>1.03</v>
      </c>
      <c r="BA174" s="1620">
        <v>1</v>
      </c>
      <c r="BB174" s="1620">
        <v>1</v>
      </c>
      <c r="BC174" s="1620">
        <v>0.96</v>
      </c>
      <c r="BD174" s="1620">
        <v>0.98</v>
      </c>
      <c r="BE174" s="1620">
        <v>1.01</v>
      </c>
      <c r="BF174" s="1620">
        <v>0.99</v>
      </c>
      <c r="BG174" s="1620">
        <v>1.02</v>
      </c>
      <c r="BH174" s="1620">
        <v>0.99</v>
      </c>
      <c r="BI174" s="1620">
        <v>0.98</v>
      </c>
      <c r="BJ174" s="1603"/>
      <c r="BK174" s="1620">
        <v>65.5</v>
      </c>
      <c r="BL174" s="1620">
        <v>6.7</v>
      </c>
      <c r="BM174" s="1620">
        <v>2.6</v>
      </c>
      <c r="BN174" s="1620">
        <v>0.90909090909090928</v>
      </c>
      <c r="BO174" s="1620"/>
      <c r="BP174" s="1620">
        <v>120</v>
      </c>
      <c r="BQ174" s="1620">
        <v>80.399999999999991</v>
      </c>
      <c r="BR174" s="1620">
        <v>1.3831921215640663</v>
      </c>
      <c r="BS174" s="1620">
        <v>1.3442111985157681</v>
      </c>
      <c r="BT174" s="1603"/>
      <c r="BU174" s="1620">
        <v>974</v>
      </c>
      <c r="BV174" s="1620">
        <v>225.9957142857138</v>
      </c>
      <c r="BW174" s="1620">
        <v>4.1742857142856691</v>
      </c>
      <c r="BX174" s="1620" t="s">
        <v>270</v>
      </c>
      <c r="BY174" s="1620" t="s">
        <v>270</v>
      </c>
      <c r="BZ174" s="1620" t="s">
        <v>270</v>
      </c>
      <c r="CA174" s="1620" t="s">
        <v>270</v>
      </c>
      <c r="CB174" s="1603"/>
      <c r="CC174" s="1603">
        <v>0.27150000000000007</v>
      </c>
      <c r="CD174" s="1603">
        <v>5.7919999999999998</v>
      </c>
      <c r="CE174" s="1603">
        <v>0.72399999999999998</v>
      </c>
      <c r="CF174" s="1603">
        <v>0</v>
      </c>
      <c r="CG174" s="1603">
        <v>4.9775</v>
      </c>
      <c r="CH174" s="1603">
        <v>1.448</v>
      </c>
      <c r="CI174" s="1603">
        <v>6.516</v>
      </c>
      <c r="CJ174" s="1603"/>
      <c r="CK174" s="1603">
        <v>117.65</v>
      </c>
      <c r="CL174" s="1603">
        <v>9.9550000000000001</v>
      </c>
      <c r="CM174" s="1603">
        <v>9.9550000000000001</v>
      </c>
      <c r="CN174" s="1603">
        <v>35.295000000000002</v>
      </c>
      <c r="CO174" s="1603">
        <v>0</v>
      </c>
      <c r="CP174" s="1603">
        <v>8.2272727272727303E-2</v>
      </c>
      <c r="CQ174" s="1603">
        <v>545.35299999999995</v>
      </c>
      <c r="CR174" s="1603">
        <v>435.65893024217092</v>
      </c>
      <c r="CS174" s="1603">
        <v>7.1417568434599081</v>
      </c>
      <c r="CT174" s="1603">
        <v>11.083598844291071</v>
      </c>
      <c r="CU174" s="1603">
        <v>7.7547289583106425</v>
      </c>
      <c r="CV174" s="1603">
        <v>18.838327802601714</v>
      </c>
      <c r="CW174" s="1603">
        <v>14.768837735209594</v>
      </c>
      <c r="CX174" s="1603">
        <v>2.7185117247111465</v>
      </c>
      <c r="CY174" s="1603">
        <v>17.67555411778536</v>
      </c>
      <c r="CZ174" s="1603">
        <v>72.294549861176577</v>
      </c>
      <c r="DA174" s="1603">
        <v>9.0142189256407601</v>
      </c>
      <c r="DB174" s="1603">
        <v>27.328884694091382</v>
      </c>
      <c r="DC174" s="1603">
        <v>22.470851962960936</v>
      </c>
      <c r="DD174" s="1603">
        <v>49.799736657052321</v>
      </c>
      <c r="DE174" s="1603">
        <v>20.19453405244559</v>
      </c>
      <c r="DF174" s="1603">
        <v>0</v>
      </c>
      <c r="DG174" s="1603">
        <v>0</v>
      </c>
      <c r="DH174" s="1603">
        <v>0</v>
      </c>
      <c r="DI174" s="1603">
        <v>0</v>
      </c>
      <c r="DJ174" s="1603">
        <v>0</v>
      </c>
      <c r="DK174" s="1603">
        <v>0</v>
      </c>
      <c r="DL174" s="1603">
        <v>0</v>
      </c>
      <c r="DM174" s="1603">
        <v>0</v>
      </c>
      <c r="DN174" s="1603">
        <v>0</v>
      </c>
      <c r="DO174" s="1603">
        <v>0</v>
      </c>
      <c r="DP174" s="1603">
        <v>0</v>
      </c>
      <c r="DQ174" s="1603">
        <v>0</v>
      </c>
      <c r="DR174" s="1603">
        <v>0</v>
      </c>
      <c r="DS174" s="1603">
        <v>0</v>
      </c>
      <c r="DT174" s="1603">
        <v>0</v>
      </c>
      <c r="DU174" s="1603">
        <v>0</v>
      </c>
      <c r="DV174" s="1603">
        <v>0</v>
      </c>
      <c r="DW174" s="1618" t="s">
        <v>3327</v>
      </c>
      <c r="DX174" s="1605" t="s">
        <v>986</v>
      </c>
      <c r="DY174" s="1605" t="s">
        <v>986</v>
      </c>
      <c r="DZ174" s="1605">
        <v>4</v>
      </c>
      <c r="EA174" s="1605">
        <v>4</v>
      </c>
      <c r="EB174" s="1605" t="s">
        <v>986</v>
      </c>
      <c r="EC174" s="1605">
        <v>4</v>
      </c>
      <c r="ED174" s="1605">
        <v>4</v>
      </c>
      <c r="EE174" s="1605">
        <v>4</v>
      </c>
      <c r="EF174" s="1605">
        <v>4</v>
      </c>
      <c r="EG174" s="1605">
        <v>4</v>
      </c>
      <c r="EH174" s="1605" t="s">
        <v>986</v>
      </c>
      <c r="EI174" s="1605" t="s">
        <v>986</v>
      </c>
      <c r="EJ174" s="1605" t="s">
        <v>986</v>
      </c>
      <c r="EK174" s="1605" t="s">
        <v>986</v>
      </c>
      <c r="EL174" s="1605" t="s">
        <v>986</v>
      </c>
      <c r="EM174" s="1605" t="s">
        <v>986</v>
      </c>
      <c r="EN174" s="1605" t="s">
        <v>986</v>
      </c>
      <c r="EO174" s="1605" t="s">
        <v>986</v>
      </c>
      <c r="EP174" s="1605" t="s">
        <v>986</v>
      </c>
      <c r="EQ174" s="1605" t="s">
        <v>986</v>
      </c>
      <c r="ER174" s="1605" t="s">
        <v>986</v>
      </c>
      <c r="ES174" s="1605">
        <v>4</v>
      </c>
      <c r="ET174" s="1605">
        <v>4</v>
      </c>
      <c r="EU174" s="1605">
        <v>4</v>
      </c>
      <c r="EV174" s="1605" t="s">
        <v>986</v>
      </c>
      <c r="EW174" s="1605">
        <v>4</v>
      </c>
      <c r="EX174" s="1605">
        <v>4</v>
      </c>
      <c r="EY174" s="1605" t="s">
        <v>986</v>
      </c>
      <c r="EZ174" s="1605">
        <v>4</v>
      </c>
      <c r="FA174" s="1605">
        <v>4</v>
      </c>
      <c r="FB174" s="1605">
        <v>4</v>
      </c>
      <c r="FC174" s="1605">
        <v>4</v>
      </c>
      <c r="FD174" s="1605" t="s">
        <v>986</v>
      </c>
      <c r="FE174" s="1605" t="s">
        <v>986</v>
      </c>
      <c r="FF174" s="1605" t="s">
        <v>986</v>
      </c>
      <c r="FG174" s="1605" t="s">
        <v>986</v>
      </c>
      <c r="FH174" s="1605">
        <v>1.5</v>
      </c>
      <c r="FI174" s="1605">
        <v>1.1000000000000001</v>
      </c>
      <c r="FJ174" s="1605" t="s">
        <v>986</v>
      </c>
      <c r="FK174" s="1605">
        <v>2.5</v>
      </c>
      <c r="FL174" s="1605">
        <v>2.4</v>
      </c>
      <c r="FM174" s="1605" t="s">
        <v>986</v>
      </c>
      <c r="FN174" s="1605">
        <v>3.4</v>
      </c>
      <c r="FO174" s="1605" t="s">
        <v>986</v>
      </c>
      <c r="FP174" s="1605" t="s">
        <v>986</v>
      </c>
      <c r="FQ174" s="1605" t="s">
        <v>986</v>
      </c>
      <c r="FR174" s="1605" t="s">
        <v>986</v>
      </c>
      <c r="FS174" s="1605" t="s">
        <v>986</v>
      </c>
      <c r="FT174" s="1605" t="s">
        <v>986</v>
      </c>
      <c r="FU174" s="1605" t="s">
        <v>986</v>
      </c>
      <c r="FV174" s="1605" t="s">
        <v>986</v>
      </c>
      <c r="FW174" s="1605" t="s">
        <v>986</v>
      </c>
      <c r="FX174" s="1605" t="s">
        <v>986</v>
      </c>
      <c r="FY174" s="1605" t="s">
        <v>986</v>
      </c>
      <c r="FZ174" s="1605" t="s">
        <v>986</v>
      </c>
      <c r="GA174" s="1605" t="s">
        <v>986</v>
      </c>
      <c r="GB174" s="1605">
        <v>1.52</v>
      </c>
      <c r="GC174" s="1605" t="s">
        <v>986</v>
      </c>
      <c r="GD174" s="1605" t="s">
        <v>986</v>
      </c>
      <c r="GE174" s="1605">
        <v>3.78</v>
      </c>
      <c r="GF174" s="1605">
        <v>1.1100000000000001</v>
      </c>
      <c r="GG174" s="1605">
        <v>4.33</v>
      </c>
      <c r="GH174" s="1605">
        <v>72.67</v>
      </c>
      <c r="GI174" s="1605">
        <v>5.75</v>
      </c>
      <c r="GJ174" s="1605">
        <v>4.32</v>
      </c>
      <c r="GK174" s="1605">
        <v>21.51</v>
      </c>
      <c r="GL174" s="1605" t="s">
        <v>986</v>
      </c>
      <c r="GM174" s="1605" t="s">
        <v>986</v>
      </c>
      <c r="GN174" s="1605" t="s">
        <v>1591</v>
      </c>
      <c r="GO174" s="1605" t="s">
        <v>1591</v>
      </c>
      <c r="GP174" s="1605" t="s">
        <v>1591</v>
      </c>
      <c r="GQ174" s="1605" t="s">
        <v>1591</v>
      </c>
      <c r="GR174" s="1605" t="s">
        <v>986</v>
      </c>
      <c r="GS174" s="1605" t="s">
        <v>1591</v>
      </c>
      <c r="GT174" s="1605" t="s">
        <v>1591</v>
      </c>
      <c r="GU174" s="1605" t="s">
        <v>1591</v>
      </c>
      <c r="GV174" s="1605" t="s">
        <v>1591</v>
      </c>
      <c r="GW174" s="1605" t="s">
        <v>986</v>
      </c>
      <c r="GX174" s="1605" t="s">
        <v>986</v>
      </c>
      <c r="GY174" s="1605" t="s">
        <v>986</v>
      </c>
      <c r="GZ174" s="1605" t="s">
        <v>986</v>
      </c>
      <c r="HA174" s="1605" t="s">
        <v>986</v>
      </c>
      <c r="HB174" s="1605" t="s">
        <v>986</v>
      </c>
      <c r="HC174" s="1605" t="s">
        <v>986</v>
      </c>
      <c r="HD174" s="1605" t="s">
        <v>986</v>
      </c>
      <c r="HE174" s="1605" t="s">
        <v>986</v>
      </c>
      <c r="HF174" s="1605" t="s">
        <v>986</v>
      </c>
      <c r="HG174" s="1605" t="s">
        <v>986</v>
      </c>
      <c r="HH174" s="1605" t="s">
        <v>986</v>
      </c>
      <c r="HI174" s="1605" t="s">
        <v>1591</v>
      </c>
      <c r="HJ174" s="1605" t="s">
        <v>1591</v>
      </c>
      <c r="HK174" s="1605" t="s">
        <v>986</v>
      </c>
      <c r="HL174" s="1605" t="s">
        <v>986</v>
      </c>
      <c r="HM174" s="1605" t="s">
        <v>1591</v>
      </c>
      <c r="HN174" s="1605" t="s">
        <v>1591</v>
      </c>
      <c r="HO174" s="1605" t="s">
        <v>986</v>
      </c>
      <c r="HP174" s="1605" t="s">
        <v>1591</v>
      </c>
      <c r="HQ174" s="1605" t="s">
        <v>1591</v>
      </c>
      <c r="HR174" s="1605" t="s">
        <v>1591</v>
      </c>
      <c r="HS174" s="1605" t="s">
        <v>1591</v>
      </c>
      <c r="HT174" s="1605" t="s">
        <v>986</v>
      </c>
      <c r="HU174" s="1605" t="s">
        <v>986</v>
      </c>
      <c r="HV174" s="1617"/>
      <c r="HW174" s="1617" t="s">
        <v>3324</v>
      </c>
      <c r="HX174" s="1617" t="s">
        <v>3323</v>
      </c>
      <c r="HY174" s="1617" t="s">
        <v>3322</v>
      </c>
      <c r="HZ174" s="1603"/>
      <c r="IA174" s="1603"/>
      <c r="IB174" s="1603"/>
      <c r="IC174" s="1603">
        <v>55.4471544715447</v>
      </c>
      <c r="ID174" s="1603">
        <v>57.398373983739802</v>
      </c>
      <c r="IE174" s="1603">
        <v>59.024390243902403</v>
      </c>
      <c r="IF174" s="1603">
        <v>60</v>
      </c>
      <c r="IG174" s="1611" t="s">
        <v>270</v>
      </c>
      <c r="IH174" s="1616" t="s">
        <v>270</v>
      </c>
      <c r="II174" s="1615" t="s">
        <v>270</v>
      </c>
      <c r="IJ174" s="1613">
        <v>0.63600000000000001</v>
      </c>
      <c r="IK174" s="1613">
        <v>0.63600000000000001</v>
      </c>
      <c r="IL174" s="1614">
        <v>0.63600000000000001</v>
      </c>
      <c r="IM174" s="1614">
        <v>0.63600000000000001</v>
      </c>
      <c r="IN174" s="1612">
        <v>0.63600000000000001</v>
      </c>
      <c r="IO174" s="1613">
        <v>0</v>
      </c>
      <c r="IP174" s="1607" t="s">
        <v>270</v>
      </c>
      <c r="IQ174" s="1612" t="s">
        <v>270</v>
      </c>
      <c r="IR174" s="1612" t="s">
        <v>270</v>
      </c>
      <c r="IS174" s="1607" t="s">
        <v>270</v>
      </c>
      <c r="IT174" s="1607" t="s">
        <v>270</v>
      </c>
      <c r="IU174" s="1611" t="s">
        <v>270</v>
      </c>
      <c r="IV174" s="1611" t="s">
        <v>270</v>
      </c>
      <c r="IW174" s="1611" t="s">
        <v>270</v>
      </c>
      <c r="IX174" s="1611" t="s">
        <v>270</v>
      </c>
      <c r="IY174" s="1611" t="s">
        <v>270</v>
      </c>
      <c r="IZ174" s="1611" t="s">
        <v>270</v>
      </c>
      <c r="JA174" s="1611" t="s">
        <v>270</v>
      </c>
      <c r="JB174" s="1611" t="s">
        <v>270</v>
      </c>
      <c r="JC174" s="1611" t="s">
        <v>270</v>
      </c>
      <c r="JD174" s="1611" t="s">
        <v>270</v>
      </c>
      <c r="JE174" s="1611" t="s">
        <v>270</v>
      </c>
      <c r="JF174" s="1611" t="s">
        <v>270</v>
      </c>
      <c r="JG174" s="1611" t="s">
        <v>270</v>
      </c>
      <c r="JH174" s="1611" t="s">
        <v>270</v>
      </c>
      <c r="JI174" s="1611" t="s">
        <v>270</v>
      </c>
      <c r="JJ174" s="1611" t="s">
        <v>270</v>
      </c>
      <c r="JK174" s="1607" t="str">
        <f t="shared" si="11"/>
        <v/>
      </c>
      <c r="JL174" s="1608" t="s">
        <v>2946</v>
      </c>
      <c r="JM174" s="1610" t="s">
        <v>2945</v>
      </c>
      <c r="JN174" s="1608" t="s">
        <v>270</v>
      </c>
      <c r="JO174" s="1609" t="s">
        <v>270</v>
      </c>
      <c r="JP174" s="1608">
        <v>0.63600000000000001</v>
      </c>
      <c r="JQ174" s="1607" t="s">
        <v>270</v>
      </c>
      <c r="JR174" s="1606" t="s">
        <v>270</v>
      </c>
      <c r="JS174" s="1606" t="s">
        <v>270</v>
      </c>
      <c r="JT174" s="1606" t="s">
        <v>270</v>
      </c>
    </row>
    <row r="175" spans="1:280" ht="15" customHeight="1" x14ac:dyDescent="0.2">
      <c r="A175" s="1626">
        <v>54300</v>
      </c>
      <c r="B175" s="1625">
        <v>543</v>
      </c>
      <c r="C175" s="1624">
        <v>0</v>
      </c>
      <c r="D175" s="1623" t="s">
        <v>3326</v>
      </c>
      <c r="E175" s="1622">
        <v>43031</v>
      </c>
      <c r="F175" s="1620">
        <v>0.71427460675571097</v>
      </c>
      <c r="G175" s="1620">
        <v>0.76696209252319103</v>
      </c>
      <c r="H175" s="1621">
        <v>67</v>
      </c>
      <c r="I175" s="1621">
        <v>58.8</v>
      </c>
      <c r="J175" s="1621">
        <v>89</v>
      </c>
      <c r="K175" s="1620">
        <v>1</v>
      </c>
      <c r="L175" s="1620">
        <v>88.7</v>
      </c>
      <c r="M175" s="1620">
        <v>20.401</v>
      </c>
      <c r="N175" s="1620">
        <v>3.9914999999999998</v>
      </c>
      <c r="O175" s="1620">
        <v>6.2089999999999996</v>
      </c>
      <c r="P175" s="1620">
        <v>8.1801109140000001</v>
      </c>
      <c r="Q175" s="1603"/>
      <c r="R175" s="1620">
        <v>69</v>
      </c>
      <c r="S175" s="1620">
        <v>20</v>
      </c>
      <c r="T175" s="1620">
        <v>36.260162601626</v>
      </c>
      <c r="U175" s="1620">
        <v>42.764227642276403</v>
      </c>
      <c r="V175" s="1620">
        <v>48.617886178861802</v>
      </c>
      <c r="W175" s="1620">
        <v>52.520325203252</v>
      </c>
      <c r="X175" s="1620"/>
      <c r="Y175" s="1620">
        <v>0.70000000000000007</v>
      </c>
      <c r="Z175" s="1620">
        <v>10.4</v>
      </c>
      <c r="AA175" s="1620">
        <v>2.4</v>
      </c>
      <c r="AB175" s="1620">
        <v>0</v>
      </c>
      <c r="AC175" s="1620">
        <v>13.999999999999998</v>
      </c>
      <c r="AD175" s="1620">
        <v>4.6999999999999993</v>
      </c>
      <c r="AE175" s="1620">
        <v>5.2</v>
      </c>
      <c r="AF175" s="1620">
        <v>170</v>
      </c>
      <c r="AG175" s="1620">
        <v>5.3999999999999995</v>
      </c>
      <c r="AH175" s="1620">
        <v>23</v>
      </c>
      <c r="AI175" s="1620">
        <v>82</v>
      </c>
      <c r="AJ175" s="1620">
        <v>0</v>
      </c>
      <c r="AK175" s="1620">
        <v>0.15</v>
      </c>
      <c r="AL175" s="1620"/>
      <c r="AM175" s="1620">
        <v>2.94</v>
      </c>
      <c r="AN175" s="1620">
        <v>1.68</v>
      </c>
      <c r="AO175" s="1620">
        <v>2.1</v>
      </c>
      <c r="AP175" s="1620">
        <v>3.48</v>
      </c>
      <c r="AQ175" s="1620">
        <v>0.58000000000000096</v>
      </c>
      <c r="AR175" s="1620">
        <v>3.1</v>
      </c>
      <c r="AS175" s="1620">
        <v>8.99</v>
      </c>
      <c r="AT175" s="1620">
        <v>2.9</v>
      </c>
      <c r="AU175" s="1620">
        <v>3.6899999999999902</v>
      </c>
      <c r="AV175" s="1620">
        <v>2.93</v>
      </c>
      <c r="AW175" s="1620">
        <v>4.6100000000000003</v>
      </c>
      <c r="AX175" s="1620"/>
      <c r="AY175" s="1620">
        <v>0.96</v>
      </c>
      <c r="AZ175" s="1620">
        <v>1.2</v>
      </c>
      <c r="BA175" s="1620">
        <v>0.97</v>
      </c>
      <c r="BB175" s="1620">
        <v>1.03</v>
      </c>
      <c r="BC175" s="1620">
        <v>0.96</v>
      </c>
      <c r="BD175" s="1620">
        <v>1.1599999999999999</v>
      </c>
      <c r="BE175" s="1620">
        <v>1.23</v>
      </c>
      <c r="BF175" s="1620">
        <v>1.0900000000000001</v>
      </c>
      <c r="BG175" s="1620">
        <v>1.22</v>
      </c>
      <c r="BH175" s="1620">
        <v>1.2</v>
      </c>
      <c r="BI175" s="1620">
        <v>1.1200000000000001</v>
      </c>
      <c r="BJ175" s="1603"/>
      <c r="BK175" s="1620">
        <v>23</v>
      </c>
      <c r="BL175" s="1620">
        <v>4.5</v>
      </c>
      <c r="BM175" s="1620">
        <v>6.9999999999999991</v>
      </c>
      <c r="BN175" s="1620">
        <v>9.2222220000000004</v>
      </c>
      <c r="BO175" s="1620"/>
      <c r="BP175" s="1620">
        <v>120</v>
      </c>
      <c r="BQ175" s="1620">
        <v>54</v>
      </c>
      <c r="BR175" s="1620">
        <v>0.80527013162988836</v>
      </c>
      <c r="BS175" s="1620">
        <v>0.86466977736549155</v>
      </c>
      <c r="BT175" s="1603"/>
      <c r="BU175" s="1620">
        <v>930</v>
      </c>
      <c r="BV175" s="1620">
        <v>261.2071428571432</v>
      </c>
      <c r="BW175" s="1620">
        <v>108.94285714285705</v>
      </c>
      <c r="BX175" s="1620" t="s">
        <v>270</v>
      </c>
      <c r="BY175" s="1620" t="s">
        <v>270</v>
      </c>
      <c r="BZ175" s="1620" t="s">
        <v>270</v>
      </c>
      <c r="CA175" s="1620" t="s">
        <v>270</v>
      </c>
      <c r="CB175" s="1603"/>
      <c r="CC175" s="1603">
        <v>0.62090000000000012</v>
      </c>
      <c r="CD175" s="1603">
        <v>9.2248000000000001</v>
      </c>
      <c r="CE175" s="1603">
        <v>2.1288</v>
      </c>
      <c r="CF175" s="1603">
        <v>0</v>
      </c>
      <c r="CG175" s="1603">
        <v>12.417999999999999</v>
      </c>
      <c r="CH175" s="1603">
        <v>4.1688999999999998</v>
      </c>
      <c r="CI175" s="1603">
        <v>4.6124000000000001</v>
      </c>
      <c r="CJ175" s="1603"/>
      <c r="CK175" s="1603">
        <v>150.79</v>
      </c>
      <c r="CL175" s="1603">
        <v>4.7897999999999996</v>
      </c>
      <c r="CM175" s="1603">
        <v>20.401</v>
      </c>
      <c r="CN175" s="1603">
        <v>72.733999999999995</v>
      </c>
      <c r="CO175" s="1603">
        <v>0</v>
      </c>
      <c r="CP175" s="1603">
        <v>0.13305</v>
      </c>
      <c r="CQ175" s="1603">
        <v>140.76689999999999</v>
      </c>
      <c r="CR175" s="1603">
        <v>197.0767246498848</v>
      </c>
      <c r="CS175" s="1603">
        <v>5.5622934765183487</v>
      </c>
      <c r="CT175" s="1603">
        <v>3.9730667689416777</v>
      </c>
      <c r="CU175" s="1603">
        <v>4.014452881118153</v>
      </c>
      <c r="CV175" s="1603">
        <v>7.9875196500598316</v>
      </c>
      <c r="CW175" s="1603">
        <v>7.0640181183504707</v>
      </c>
      <c r="CX175" s="1603">
        <v>1.0973232028505613</v>
      </c>
      <c r="CY175" s="1603">
        <v>7.0868790184098573</v>
      </c>
      <c r="CZ175" s="1603">
        <v>21.792152981610311</v>
      </c>
      <c r="DA175" s="1603">
        <v>6.2295952661828586</v>
      </c>
      <c r="DB175" s="1603">
        <v>8.8719999902884865</v>
      </c>
      <c r="DC175" s="1603">
        <v>6.9292176386899502</v>
      </c>
      <c r="DD175" s="1603">
        <v>15.801217628978463</v>
      </c>
      <c r="DE175" s="1603">
        <v>10.175465447122852</v>
      </c>
      <c r="DF175" s="1603">
        <v>0</v>
      </c>
      <c r="DG175" s="1603">
        <v>0</v>
      </c>
      <c r="DH175" s="1603">
        <v>0</v>
      </c>
      <c r="DI175" s="1603">
        <v>0</v>
      </c>
      <c r="DJ175" s="1603">
        <v>0</v>
      </c>
      <c r="DK175" s="1603">
        <v>0</v>
      </c>
      <c r="DL175" s="1603">
        <v>0</v>
      </c>
      <c r="DM175" s="1603">
        <v>0</v>
      </c>
      <c r="DN175" s="1603">
        <v>0</v>
      </c>
      <c r="DO175" s="1603">
        <v>0</v>
      </c>
      <c r="DP175" s="1603">
        <v>0</v>
      </c>
      <c r="DQ175" s="1603">
        <v>0</v>
      </c>
      <c r="DR175" s="1603">
        <v>0</v>
      </c>
      <c r="DS175" s="1603">
        <v>0</v>
      </c>
      <c r="DT175" s="1603">
        <v>0</v>
      </c>
      <c r="DU175" s="1603">
        <v>0</v>
      </c>
      <c r="DV175" s="1603">
        <v>0</v>
      </c>
      <c r="DW175" s="1618" t="s">
        <v>3325</v>
      </c>
      <c r="DX175" s="1605" t="s">
        <v>986</v>
      </c>
      <c r="DY175" s="1605" t="s">
        <v>986</v>
      </c>
      <c r="DZ175" s="1605">
        <v>3</v>
      </c>
      <c r="EA175" s="1605">
        <v>3</v>
      </c>
      <c r="EB175" s="1605" t="s">
        <v>986</v>
      </c>
      <c r="EC175" s="1605">
        <v>3</v>
      </c>
      <c r="ED175" s="1605">
        <v>3</v>
      </c>
      <c r="EE175" s="1605">
        <v>3</v>
      </c>
      <c r="EF175" s="1605">
        <v>3</v>
      </c>
      <c r="EG175" s="1605">
        <v>3</v>
      </c>
      <c r="EH175" s="1605" t="s">
        <v>986</v>
      </c>
      <c r="EI175" s="1605" t="s">
        <v>986</v>
      </c>
      <c r="EJ175" s="1605" t="s">
        <v>986</v>
      </c>
      <c r="EK175" s="1605" t="s">
        <v>986</v>
      </c>
      <c r="EL175" s="1605" t="s">
        <v>986</v>
      </c>
      <c r="EM175" s="1605" t="s">
        <v>986</v>
      </c>
      <c r="EN175" s="1605" t="s">
        <v>986</v>
      </c>
      <c r="EO175" s="1605" t="s">
        <v>986</v>
      </c>
      <c r="EP175" s="1605" t="s">
        <v>986</v>
      </c>
      <c r="EQ175" s="1605" t="s">
        <v>986</v>
      </c>
      <c r="ER175" s="1605" t="s">
        <v>986</v>
      </c>
      <c r="ES175" s="1605">
        <v>3</v>
      </c>
      <c r="ET175" s="1605">
        <v>3</v>
      </c>
      <c r="EU175" s="1605">
        <v>3</v>
      </c>
      <c r="EV175" s="1605" t="s">
        <v>986</v>
      </c>
      <c r="EW175" s="1605">
        <v>3</v>
      </c>
      <c r="EX175" s="1605">
        <v>3</v>
      </c>
      <c r="EY175" s="1605" t="s">
        <v>986</v>
      </c>
      <c r="EZ175" s="1605">
        <v>3</v>
      </c>
      <c r="FA175" s="1605">
        <v>3</v>
      </c>
      <c r="FB175" s="1605">
        <v>3</v>
      </c>
      <c r="FC175" s="1605">
        <v>3</v>
      </c>
      <c r="FD175" s="1605" t="s">
        <v>986</v>
      </c>
      <c r="FE175" s="1605" t="s">
        <v>986</v>
      </c>
      <c r="FF175" s="1605" t="s">
        <v>986</v>
      </c>
      <c r="FG175" s="1605" t="s">
        <v>986</v>
      </c>
      <c r="FH175" s="1605">
        <v>0.8</v>
      </c>
      <c r="FI175" s="1605">
        <v>0.7</v>
      </c>
      <c r="FJ175" s="1605" t="s">
        <v>986</v>
      </c>
      <c r="FK175" s="1605">
        <v>5.2</v>
      </c>
      <c r="FL175" s="1605">
        <v>3.7</v>
      </c>
      <c r="FM175" s="1605" t="s">
        <v>986</v>
      </c>
      <c r="FN175" s="1605">
        <v>7.8</v>
      </c>
      <c r="FO175" s="1605" t="s">
        <v>986</v>
      </c>
      <c r="FP175" s="1605" t="s">
        <v>986</v>
      </c>
      <c r="FQ175" s="1605" t="s">
        <v>986</v>
      </c>
      <c r="FR175" s="1605" t="s">
        <v>986</v>
      </c>
      <c r="FS175" s="1605" t="s">
        <v>986</v>
      </c>
      <c r="FT175" s="1605" t="s">
        <v>986</v>
      </c>
      <c r="FU175" s="1605" t="s">
        <v>986</v>
      </c>
      <c r="FV175" s="1605" t="s">
        <v>986</v>
      </c>
      <c r="FW175" s="1605" t="s">
        <v>986</v>
      </c>
      <c r="FX175" s="1605" t="s">
        <v>986</v>
      </c>
      <c r="FY175" s="1605" t="s">
        <v>986</v>
      </c>
      <c r="FZ175" s="1605" t="s">
        <v>986</v>
      </c>
      <c r="GA175" s="1605" t="s">
        <v>986</v>
      </c>
      <c r="GB175" s="1605">
        <v>0.44</v>
      </c>
      <c r="GC175" s="1605" t="s">
        <v>986</v>
      </c>
      <c r="GD175" s="1605" t="s">
        <v>986</v>
      </c>
      <c r="GE175" s="1605">
        <v>3.11</v>
      </c>
      <c r="GF175" s="1605">
        <v>0.33</v>
      </c>
      <c r="GG175" s="1605">
        <v>1.8</v>
      </c>
      <c r="GH175" s="1605">
        <v>82.1</v>
      </c>
      <c r="GI175" s="1605">
        <v>1.83</v>
      </c>
      <c r="GJ175" s="1605">
        <v>3.27</v>
      </c>
      <c r="GK175" s="1605">
        <v>11.84</v>
      </c>
      <c r="GL175" s="1605" t="s">
        <v>986</v>
      </c>
      <c r="GM175" s="1605" t="s">
        <v>986</v>
      </c>
      <c r="GN175" s="1605" t="s">
        <v>1591</v>
      </c>
      <c r="GO175" s="1605" t="s">
        <v>1591</v>
      </c>
      <c r="GP175" s="1605" t="s">
        <v>1591</v>
      </c>
      <c r="GQ175" s="1605" t="s">
        <v>1591</v>
      </c>
      <c r="GR175" s="1605" t="s">
        <v>986</v>
      </c>
      <c r="GS175" s="1605" t="s">
        <v>1591</v>
      </c>
      <c r="GT175" s="1605" t="s">
        <v>1591</v>
      </c>
      <c r="GU175" s="1605" t="s">
        <v>1591</v>
      </c>
      <c r="GV175" s="1605" t="s">
        <v>1591</v>
      </c>
      <c r="GW175" s="1605" t="s">
        <v>986</v>
      </c>
      <c r="GX175" s="1605" t="s">
        <v>986</v>
      </c>
      <c r="GY175" s="1605" t="s">
        <v>986</v>
      </c>
      <c r="GZ175" s="1605" t="s">
        <v>986</v>
      </c>
      <c r="HA175" s="1605" t="s">
        <v>986</v>
      </c>
      <c r="HB175" s="1605" t="s">
        <v>986</v>
      </c>
      <c r="HC175" s="1605" t="s">
        <v>986</v>
      </c>
      <c r="HD175" s="1605" t="s">
        <v>986</v>
      </c>
      <c r="HE175" s="1605" t="s">
        <v>986</v>
      </c>
      <c r="HF175" s="1605" t="s">
        <v>986</v>
      </c>
      <c r="HG175" s="1605" t="s">
        <v>986</v>
      </c>
      <c r="HH175" s="1605" t="s">
        <v>986</v>
      </c>
      <c r="HI175" s="1605" t="s">
        <v>1591</v>
      </c>
      <c r="HJ175" s="1605" t="s">
        <v>1591</v>
      </c>
      <c r="HK175" s="1605" t="s">
        <v>986</v>
      </c>
      <c r="HL175" s="1605" t="s">
        <v>986</v>
      </c>
      <c r="HM175" s="1605" t="s">
        <v>1591</v>
      </c>
      <c r="HN175" s="1605" t="s">
        <v>1591</v>
      </c>
      <c r="HO175" s="1605" t="s">
        <v>986</v>
      </c>
      <c r="HP175" s="1605" t="s">
        <v>1591</v>
      </c>
      <c r="HQ175" s="1605" t="s">
        <v>1591</v>
      </c>
      <c r="HR175" s="1605" t="s">
        <v>1591</v>
      </c>
      <c r="HS175" s="1605" t="s">
        <v>1591</v>
      </c>
      <c r="HT175" s="1605" t="s">
        <v>986</v>
      </c>
      <c r="HU175" s="1605" t="s">
        <v>986</v>
      </c>
      <c r="HV175" s="1617"/>
      <c r="HW175" s="1617" t="s">
        <v>3324</v>
      </c>
      <c r="HX175" s="1617" t="s">
        <v>3323</v>
      </c>
      <c r="HY175" s="1617" t="s">
        <v>3322</v>
      </c>
      <c r="HZ175" s="1603"/>
      <c r="IA175" s="1603"/>
      <c r="IB175" s="1603"/>
      <c r="IC175" s="1603">
        <v>55.4471544715447</v>
      </c>
      <c r="ID175" s="1603">
        <v>57.398373983739802</v>
      </c>
      <c r="IE175" s="1603">
        <v>59.024390243902403</v>
      </c>
      <c r="IF175" s="1603">
        <v>60</v>
      </c>
      <c r="IG175" s="1611" t="s">
        <v>270</v>
      </c>
      <c r="IH175" s="1616" t="s">
        <v>270</v>
      </c>
      <c r="II175" s="1615" t="s">
        <v>270</v>
      </c>
      <c r="IJ175" s="1613">
        <v>0.63600000000000001</v>
      </c>
      <c r="IK175" s="1613">
        <v>0.63600000000000001</v>
      </c>
      <c r="IL175" s="1614">
        <v>0.63600000000000001</v>
      </c>
      <c r="IM175" s="1614">
        <v>0.63600000000000001</v>
      </c>
      <c r="IN175" s="1612">
        <v>0.63600000000000001</v>
      </c>
      <c r="IO175" s="1613">
        <v>0</v>
      </c>
      <c r="IP175" s="1607" t="s">
        <v>270</v>
      </c>
      <c r="IQ175" s="1612" t="s">
        <v>270</v>
      </c>
      <c r="IR175" s="1612" t="s">
        <v>270</v>
      </c>
      <c r="IS175" s="1607" t="s">
        <v>270</v>
      </c>
      <c r="IT175" s="1607" t="s">
        <v>270</v>
      </c>
      <c r="IU175" s="1611" t="s">
        <v>270</v>
      </c>
      <c r="IV175" s="1611" t="s">
        <v>270</v>
      </c>
      <c r="IW175" s="1611" t="s">
        <v>270</v>
      </c>
      <c r="IX175" s="1611" t="s">
        <v>270</v>
      </c>
      <c r="IY175" s="1611" t="s">
        <v>270</v>
      </c>
      <c r="IZ175" s="1611" t="s">
        <v>270</v>
      </c>
      <c r="JA175" s="1611" t="s">
        <v>270</v>
      </c>
      <c r="JB175" s="1611" t="s">
        <v>270</v>
      </c>
      <c r="JC175" s="1611" t="s">
        <v>270</v>
      </c>
      <c r="JD175" s="1611" t="s">
        <v>270</v>
      </c>
      <c r="JE175" s="1611" t="s">
        <v>270</v>
      </c>
      <c r="JF175" s="1611" t="s">
        <v>270</v>
      </c>
      <c r="JG175" s="1611" t="s">
        <v>270</v>
      </c>
      <c r="JH175" s="1611" t="s">
        <v>270</v>
      </c>
      <c r="JI175" s="1611" t="s">
        <v>270</v>
      </c>
      <c r="JJ175" s="1611" t="s">
        <v>270</v>
      </c>
      <c r="JK175" s="1607" t="str">
        <f t="shared" si="11"/>
        <v/>
      </c>
      <c r="JL175" s="1608" t="s">
        <v>2946</v>
      </c>
      <c r="JM175" s="1610" t="s">
        <v>2945</v>
      </c>
      <c r="JN175" s="1608" t="s">
        <v>270</v>
      </c>
      <c r="JO175" s="1609" t="s">
        <v>270</v>
      </c>
      <c r="JP175" s="1608">
        <v>0.63600000000000001</v>
      </c>
      <c r="JQ175" s="1607" t="s">
        <v>270</v>
      </c>
      <c r="JR175" s="1606" t="s">
        <v>270</v>
      </c>
      <c r="JS175" s="1606" t="s">
        <v>270</v>
      </c>
      <c r="JT175" s="1606" t="s">
        <v>270</v>
      </c>
    </row>
    <row r="176" spans="1:280" ht="15" customHeight="1" x14ac:dyDescent="0.2">
      <c r="A176" s="1626">
        <v>54200</v>
      </c>
      <c r="B176" s="1625">
        <v>542</v>
      </c>
      <c r="C176" s="1624">
        <v>0</v>
      </c>
      <c r="D176" s="1623" t="s">
        <v>3321</v>
      </c>
      <c r="E176" s="1622">
        <v>40310</v>
      </c>
      <c r="F176" s="1620" t="s">
        <v>270</v>
      </c>
      <c r="G176" s="1620" t="s">
        <v>270</v>
      </c>
      <c r="H176" s="1621" t="s">
        <v>270</v>
      </c>
      <c r="I176" s="1621" t="s">
        <v>270</v>
      </c>
      <c r="J176" s="1621">
        <v>90</v>
      </c>
      <c r="K176" s="1620">
        <v>1</v>
      </c>
      <c r="L176" s="1620">
        <v>90</v>
      </c>
      <c r="M176" s="1620">
        <v>14.49</v>
      </c>
      <c r="N176" s="1620">
        <v>19.170000000000002</v>
      </c>
      <c r="O176" s="1620">
        <v>5.22</v>
      </c>
      <c r="P176" s="1620">
        <v>2.97</v>
      </c>
      <c r="Q176" s="1603"/>
      <c r="R176" s="1620" t="s">
        <v>270</v>
      </c>
      <c r="S176" s="1620" t="s">
        <v>270</v>
      </c>
      <c r="T176" s="1620" t="s">
        <v>270</v>
      </c>
      <c r="U176" s="1620" t="s">
        <v>270</v>
      </c>
      <c r="V176" s="1620" t="s">
        <v>270</v>
      </c>
      <c r="W176" s="1620" t="s">
        <v>270</v>
      </c>
      <c r="X176" s="1620"/>
      <c r="Y176" s="1620">
        <v>0.19999999999999887</v>
      </c>
      <c r="Z176" s="1620">
        <v>17.399999999999999</v>
      </c>
      <c r="AA176" s="1620">
        <v>0</v>
      </c>
      <c r="AB176" s="1620">
        <v>0</v>
      </c>
      <c r="AC176" s="1620">
        <v>17</v>
      </c>
      <c r="AD176" s="1620">
        <v>7.4</v>
      </c>
      <c r="AE176" s="1620">
        <v>0</v>
      </c>
      <c r="AF176" s="1620">
        <v>114</v>
      </c>
      <c r="AG176" s="1620">
        <v>7.0000000000000107</v>
      </c>
      <c r="AH176" s="1620">
        <v>44.999999999999886</v>
      </c>
      <c r="AI176" s="1620">
        <v>136</v>
      </c>
      <c r="AJ176" s="1620">
        <v>0</v>
      </c>
      <c r="AK176" s="1620">
        <v>0.09</v>
      </c>
      <c r="AL176" s="1620"/>
      <c r="AM176" s="1620">
        <v>3.63</v>
      </c>
      <c r="AN176" s="1620">
        <v>1.88</v>
      </c>
      <c r="AO176" s="1620">
        <v>2.0499999999999998</v>
      </c>
      <c r="AP176" s="1620">
        <v>3.92</v>
      </c>
      <c r="AQ176" s="1620">
        <v>0.82</v>
      </c>
      <c r="AR176" s="1620">
        <v>3.44</v>
      </c>
      <c r="AS176" s="1620">
        <v>9.68</v>
      </c>
      <c r="AT176" s="1620">
        <v>2.82</v>
      </c>
      <c r="AU176" s="1620">
        <v>4.12</v>
      </c>
      <c r="AV176" s="1620">
        <v>3.5</v>
      </c>
      <c r="AW176" s="1620">
        <v>5.2</v>
      </c>
      <c r="AX176" s="1620"/>
      <c r="AY176" s="1620">
        <v>1</v>
      </c>
      <c r="AZ176" s="1620">
        <v>1</v>
      </c>
      <c r="BA176" s="1620">
        <v>1</v>
      </c>
      <c r="BB176" s="1620">
        <v>1</v>
      </c>
      <c r="BC176" s="1620">
        <v>1</v>
      </c>
      <c r="BD176" s="1620">
        <v>1</v>
      </c>
      <c r="BE176" s="1620">
        <v>1</v>
      </c>
      <c r="BF176" s="1620">
        <v>1</v>
      </c>
      <c r="BG176" s="1620">
        <v>1</v>
      </c>
      <c r="BH176" s="1620">
        <v>1</v>
      </c>
      <c r="BI176" s="1620">
        <v>1</v>
      </c>
      <c r="BJ176" s="1603"/>
      <c r="BK176" s="1620">
        <v>16.100000000000001</v>
      </c>
      <c r="BL176" s="1620">
        <v>21.3</v>
      </c>
      <c r="BM176" s="1620">
        <v>5.8</v>
      </c>
      <c r="BN176" s="1620">
        <v>3.3000000000000003</v>
      </c>
      <c r="BO176" s="1620"/>
      <c r="BP176" s="1620">
        <v>0</v>
      </c>
      <c r="BQ176" s="1620">
        <v>0</v>
      </c>
      <c r="BR176" s="1620" t="s">
        <v>270</v>
      </c>
      <c r="BS176" s="1620" t="s">
        <v>270</v>
      </c>
      <c r="BT176" s="1603"/>
      <c r="BU176" s="1620">
        <v>942</v>
      </c>
      <c r="BV176" s="1620" t="s">
        <v>270</v>
      </c>
      <c r="BW176" s="1620" t="s">
        <v>270</v>
      </c>
      <c r="BX176" s="1620" t="s">
        <v>270</v>
      </c>
      <c r="BY176" s="1620" t="s">
        <v>270</v>
      </c>
      <c r="BZ176" s="1620" t="s">
        <v>270</v>
      </c>
      <c r="CA176" s="1620" t="s">
        <v>270</v>
      </c>
      <c r="CB176" s="1603"/>
      <c r="CC176" s="1603">
        <v>0.17999999999999899</v>
      </c>
      <c r="CD176" s="1603">
        <v>15.659999999999998</v>
      </c>
      <c r="CE176" s="1603">
        <v>0</v>
      </c>
      <c r="CF176" s="1603">
        <v>0</v>
      </c>
      <c r="CG176" s="1603">
        <v>15.3</v>
      </c>
      <c r="CH176" s="1603">
        <v>6.66</v>
      </c>
      <c r="CI176" s="1603">
        <v>0</v>
      </c>
      <c r="CJ176" s="1603"/>
      <c r="CK176" s="1603">
        <v>102.60000000000001</v>
      </c>
      <c r="CL176" s="1603">
        <v>6.3000000000000096</v>
      </c>
      <c r="CM176" s="1603">
        <v>40.499999999999901</v>
      </c>
      <c r="CN176" s="1603">
        <v>122.4</v>
      </c>
      <c r="CO176" s="1603">
        <v>0</v>
      </c>
      <c r="CP176" s="1603">
        <v>8.1000000000000003E-2</v>
      </c>
      <c r="CQ176" s="1603">
        <v>0</v>
      </c>
      <c r="CR176" s="1603" t="s">
        <v>270</v>
      </c>
      <c r="CS176" s="1603" t="s">
        <v>270</v>
      </c>
      <c r="CT176" s="1603" t="s">
        <v>270</v>
      </c>
      <c r="CU176" s="1603" t="s">
        <v>270</v>
      </c>
      <c r="CV176" s="1603" t="s">
        <v>270</v>
      </c>
      <c r="CW176" s="1603" t="s">
        <v>270</v>
      </c>
      <c r="CX176" s="1603" t="s">
        <v>270</v>
      </c>
      <c r="CY176" s="1603" t="s">
        <v>270</v>
      </c>
      <c r="CZ176" s="1603" t="s">
        <v>270</v>
      </c>
      <c r="DA176" s="1603" t="s">
        <v>270</v>
      </c>
      <c r="DB176" s="1603" t="s">
        <v>270</v>
      </c>
      <c r="DC176" s="1603" t="s">
        <v>270</v>
      </c>
      <c r="DD176" s="1603" t="s">
        <v>270</v>
      </c>
      <c r="DE176" s="1603" t="s">
        <v>270</v>
      </c>
      <c r="DF176" s="1603">
        <v>0</v>
      </c>
      <c r="DG176" s="1603">
        <v>0</v>
      </c>
      <c r="DH176" s="1603">
        <v>0</v>
      </c>
      <c r="DI176" s="1603">
        <v>0</v>
      </c>
      <c r="DJ176" s="1603">
        <v>0</v>
      </c>
      <c r="DK176" s="1603">
        <v>0</v>
      </c>
      <c r="DL176" s="1603">
        <v>0</v>
      </c>
      <c r="DM176" s="1603">
        <v>0</v>
      </c>
      <c r="DN176" s="1603">
        <v>0</v>
      </c>
      <c r="DO176" s="1603">
        <v>0</v>
      </c>
      <c r="DP176" s="1603">
        <v>0</v>
      </c>
      <c r="DQ176" s="1603">
        <v>0</v>
      </c>
      <c r="DR176" s="1603">
        <v>0</v>
      </c>
      <c r="DS176" s="1603">
        <v>0</v>
      </c>
      <c r="DT176" s="1603">
        <v>0</v>
      </c>
      <c r="DU176" s="1603">
        <v>0</v>
      </c>
      <c r="DV176" s="1603">
        <v>0</v>
      </c>
      <c r="DW176" s="1618" t="s">
        <v>3320</v>
      </c>
      <c r="DX176" s="1605" t="s">
        <v>986</v>
      </c>
      <c r="DY176" s="1605" t="s">
        <v>986</v>
      </c>
      <c r="DZ176" s="1605" t="s">
        <v>986</v>
      </c>
      <c r="EA176" s="1605" t="s">
        <v>986</v>
      </c>
      <c r="EB176" s="1605" t="s">
        <v>986</v>
      </c>
      <c r="EC176" s="1605" t="s">
        <v>986</v>
      </c>
      <c r="ED176" s="1605" t="s">
        <v>986</v>
      </c>
      <c r="EE176" s="1605" t="s">
        <v>986</v>
      </c>
      <c r="EF176" s="1605" t="s">
        <v>986</v>
      </c>
      <c r="EG176" s="1605" t="s">
        <v>986</v>
      </c>
      <c r="EH176" s="1605" t="s">
        <v>986</v>
      </c>
      <c r="EI176" s="1605" t="s">
        <v>986</v>
      </c>
      <c r="EJ176" s="1605" t="s">
        <v>986</v>
      </c>
      <c r="EK176" s="1605" t="s">
        <v>986</v>
      </c>
      <c r="EL176" s="1605" t="s">
        <v>986</v>
      </c>
      <c r="EM176" s="1605" t="s">
        <v>986</v>
      </c>
      <c r="EN176" s="1605" t="s">
        <v>986</v>
      </c>
      <c r="EO176" s="1605" t="s">
        <v>986</v>
      </c>
      <c r="EP176" s="1605" t="s">
        <v>986</v>
      </c>
      <c r="EQ176" s="1605" t="s">
        <v>986</v>
      </c>
      <c r="ER176" s="1605" t="s">
        <v>986</v>
      </c>
      <c r="ES176" s="1605" t="s">
        <v>986</v>
      </c>
      <c r="ET176" s="1605" t="s">
        <v>986</v>
      </c>
      <c r="EU176" s="1605" t="s">
        <v>986</v>
      </c>
      <c r="EV176" s="1605" t="s">
        <v>986</v>
      </c>
      <c r="EW176" s="1605" t="s">
        <v>986</v>
      </c>
      <c r="EX176" s="1605" t="s">
        <v>986</v>
      </c>
      <c r="EY176" s="1605" t="s">
        <v>986</v>
      </c>
      <c r="EZ176" s="1605" t="s">
        <v>986</v>
      </c>
      <c r="FA176" s="1605" t="s">
        <v>986</v>
      </c>
      <c r="FB176" s="1605" t="s">
        <v>986</v>
      </c>
      <c r="FC176" s="1605" t="s">
        <v>986</v>
      </c>
      <c r="FD176" s="1605" t="s">
        <v>986</v>
      </c>
      <c r="FE176" s="1605" t="s">
        <v>986</v>
      </c>
      <c r="FF176" s="1605" t="s">
        <v>986</v>
      </c>
      <c r="FG176" s="1605" t="s">
        <v>986</v>
      </c>
      <c r="FH176" s="1605" t="s">
        <v>986</v>
      </c>
      <c r="FI176" s="1605" t="s">
        <v>986</v>
      </c>
      <c r="FJ176" s="1605" t="s">
        <v>986</v>
      </c>
      <c r="FK176" s="1605" t="s">
        <v>986</v>
      </c>
      <c r="FL176" s="1605" t="s">
        <v>986</v>
      </c>
      <c r="FM176" s="1605" t="s">
        <v>986</v>
      </c>
      <c r="FN176" s="1605" t="s">
        <v>986</v>
      </c>
      <c r="FO176" s="1605" t="s">
        <v>986</v>
      </c>
      <c r="FP176" s="1605" t="s">
        <v>986</v>
      </c>
      <c r="FQ176" s="1605" t="s">
        <v>986</v>
      </c>
      <c r="FR176" s="1605" t="s">
        <v>986</v>
      </c>
      <c r="FS176" s="1605" t="s">
        <v>986</v>
      </c>
      <c r="FT176" s="1605" t="s">
        <v>986</v>
      </c>
      <c r="FU176" s="1605" t="s">
        <v>986</v>
      </c>
      <c r="FV176" s="1605" t="s">
        <v>986</v>
      </c>
      <c r="FW176" s="1605" t="s">
        <v>986</v>
      </c>
      <c r="FX176" s="1605" t="s">
        <v>986</v>
      </c>
      <c r="FY176" s="1605" t="s">
        <v>986</v>
      </c>
      <c r="FZ176" s="1605" t="s">
        <v>986</v>
      </c>
      <c r="GA176" s="1605" t="s">
        <v>986</v>
      </c>
      <c r="GB176" s="1605" t="s">
        <v>986</v>
      </c>
      <c r="GC176" s="1605" t="s">
        <v>986</v>
      </c>
      <c r="GD176" s="1605" t="s">
        <v>986</v>
      </c>
      <c r="GE176" s="1605" t="s">
        <v>986</v>
      </c>
      <c r="GF176" s="1605" t="s">
        <v>986</v>
      </c>
      <c r="GG176" s="1605" t="s">
        <v>986</v>
      </c>
      <c r="GH176" s="1605" t="s">
        <v>986</v>
      </c>
      <c r="GI176" s="1605" t="s">
        <v>986</v>
      </c>
      <c r="GJ176" s="1605" t="s">
        <v>986</v>
      </c>
      <c r="GK176" s="1605" t="s">
        <v>986</v>
      </c>
      <c r="GL176" s="1605" t="s">
        <v>986</v>
      </c>
      <c r="GM176" s="1605" t="s">
        <v>986</v>
      </c>
      <c r="GN176" s="1605" t="s">
        <v>986</v>
      </c>
      <c r="GO176" s="1605" t="s">
        <v>986</v>
      </c>
      <c r="GP176" s="1605" t="s">
        <v>986</v>
      </c>
      <c r="GQ176" s="1605" t="s">
        <v>986</v>
      </c>
      <c r="GR176" s="1605" t="s">
        <v>986</v>
      </c>
      <c r="GS176" s="1605" t="s">
        <v>986</v>
      </c>
      <c r="GT176" s="1605" t="s">
        <v>986</v>
      </c>
      <c r="GU176" s="1605" t="s">
        <v>986</v>
      </c>
      <c r="GV176" s="1605" t="s">
        <v>986</v>
      </c>
      <c r="GW176" s="1605" t="s">
        <v>986</v>
      </c>
      <c r="GX176" s="1605" t="s">
        <v>986</v>
      </c>
      <c r="GY176" s="1605" t="s">
        <v>986</v>
      </c>
      <c r="GZ176" s="1605" t="s">
        <v>986</v>
      </c>
      <c r="HA176" s="1605" t="s">
        <v>986</v>
      </c>
      <c r="HB176" s="1605" t="s">
        <v>986</v>
      </c>
      <c r="HC176" s="1605" t="s">
        <v>986</v>
      </c>
      <c r="HD176" s="1605" t="s">
        <v>986</v>
      </c>
      <c r="HE176" s="1605" t="s">
        <v>986</v>
      </c>
      <c r="HF176" s="1605" t="s">
        <v>986</v>
      </c>
      <c r="HG176" s="1605" t="s">
        <v>986</v>
      </c>
      <c r="HH176" s="1605" t="s">
        <v>986</v>
      </c>
      <c r="HI176" s="1605" t="s">
        <v>986</v>
      </c>
      <c r="HJ176" s="1605" t="s">
        <v>986</v>
      </c>
      <c r="HK176" s="1605" t="s">
        <v>986</v>
      </c>
      <c r="HL176" s="1605" t="s">
        <v>986</v>
      </c>
      <c r="HM176" s="1605" t="s">
        <v>986</v>
      </c>
      <c r="HN176" s="1605" t="s">
        <v>986</v>
      </c>
      <c r="HO176" s="1605" t="s">
        <v>986</v>
      </c>
      <c r="HP176" s="1605" t="s">
        <v>986</v>
      </c>
      <c r="HQ176" s="1605" t="s">
        <v>986</v>
      </c>
      <c r="HR176" s="1605" t="s">
        <v>986</v>
      </c>
      <c r="HS176" s="1605" t="s">
        <v>986</v>
      </c>
      <c r="HT176" s="1605" t="s">
        <v>986</v>
      </c>
      <c r="HU176" s="1605" t="s">
        <v>986</v>
      </c>
      <c r="HV176" s="1617"/>
      <c r="HW176" s="1617" t="s">
        <v>3319</v>
      </c>
      <c r="HX176" s="1617">
        <v>0</v>
      </c>
      <c r="HY176" s="1617">
        <v>0</v>
      </c>
      <c r="HZ176" s="1603"/>
      <c r="IA176" s="1603"/>
      <c r="IB176" s="1603"/>
      <c r="IC176" s="1603" t="s">
        <v>270</v>
      </c>
      <c r="ID176" s="1603" t="s">
        <v>270</v>
      </c>
      <c r="IE176" s="1603" t="s">
        <v>270</v>
      </c>
      <c r="IF176" s="1603" t="s">
        <v>270</v>
      </c>
      <c r="IG176" s="1611" t="s">
        <v>270</v>
      </c>
      <c r="IH176" s="1616" t="s">
        <v>3318</v>
      </c>
      <c r="II176" s="1615" t="s">
        <v>3317</v>
      </c>
      <c r="IJ176" s="1613">
        <v>0.63600000000000001</v>
      </c>
      <c r="IK176" s="1613">
        <v>0.63600000000000001</v>
      </c>
      <c r="IL176" s="1614">
        <v>0.63600000000000001</v>
      </c>
      <c r="IM176" s="1614">
        <v>0.63600000000000001</v>
      </c>
      <c r="IN176" s="1612">
        <v>0.63600000000000001</v>
      </c>
      <c r="IO176" s="1613">
        <v>0</v>
      </c>
      <c r="IP176" s="1607" t="s">
        <v>270</v>
      </c>
      <c r="IQ176" s="1612" t="s">
        <v>270</v>
      </c>
      <c r="IR176" s="1612" t="s">
        <v>270</v>
      </c>
      <c r="IS176" s="1607" t="s">
        <v>270</v>
      </c>
      <c r="IT176" s="1607" t="s">
        <v>270</v>
      </c>
      <c r="IU176" s="1611" t="s">
        <v>270</v>
      </c>
      <c r="IV176" s="1611" t="s">
        <v>270</v>
      </c>
      <c r="IW176" s="1611" t="s">
        <v>270</v>
      </c>
      <c r="IX176" s="1611" t="s">
        <v>270</v>
      </c>
      <c r="IY176" s="1611" t="s">
        <v>270</v>
      </c>
      <c r="IZ176" s="1611" t="s">
        <v>270</v>
      </c>
      <c r="JA176" s="1611" t="s">
        <v>270</v>
      </c>
      <c r="JB176" s="1611" t="s">
        <v>270</v>
      </c>
      <c r="JC176" s="1611" t="s">
        <v>270</v>
      </c>
      <c r="JD176" s="1611" t="s">
        <v>270</v>
      </c>
      <c r="JE176" s="1611" t="s">
        <v>270</v>
      </c>
      <c r="JF176" s="1611" t="s">
        <v>270</v>
      </c>
      <c r="JG176" s="1611" t="s">
        <v>270</v>
      </c>
      <c r="JH176" s="1611" t="s">
        <v>270</v>
      </c>
      <c r="JI176" s="1611" t="s">
        <v>270</v>
      </c>
      <c r="JJ176" s="1611" t="s">
        <v>270</v>
      </c>
      <c r="JK176" s="1607" t="str">
        <f t="shared" si="11"/>
        <v/>
      </c>
      <c r="JL176" s="1608" t="s">
        <v>2946</v>
      </c>
      <c r="JM176" s="1610" t="s">
        <v>2945</v>
      </c>
      <c r="JN176" s="1608" t="s">
        <v>270</v>
      </c>
      <c r="JO176" s="1609" t="s">
        <v>270</v>
      </c>
      <c r="JP176" s="1608">
        <v>0.63600000000000001</v>
      </c>
      <c r="JQ176" s="1607" t="s">
        <v>270</v>
      </c>
      <c r="JR176" s="1606" t="s">
        <v>270</v>
      </c>
      <c r="JS176" s="1606" t="s">
        <v>270</v>
      </c>
      <c r="JT176" s="1606" t="s">
        <v>270</v>
      </c>
    </row>
    <row r="177" spans="1:280" ht="15" customHeight="1" x14ac:dyDescent="0.2">
      <c r="A177" s="1626">
        <v>48100</v>
      </c>
      <c r="B177" s="1625">
        <v>481</v>
      </c>
      <c r="C177" s="1624">
        <v>0</v>
      </c>
      <c r="D177" s="1623" t="s">
        <v>3316</v>
      </c>
      <c r="E177" s="1622">
        <v>43025</v>
      </c>
      <c r="F177" s="1620">
        <v>-0.112682926829268</v>
      </c>
      <c r="G177" s="1620">
        <v>-0.108</v>
      </c>
      <c r="H177" s="1621">
        <v>70</v>
      </c>
      <c r="I177" s="1621">
        <v>70</v>
      </c>
      <c r="J177" s="1621">
        <v>0</v>
      </c>
      <c r="K177" s="1620">
        <v>1</v>
      </c>
      <c r="L177" s="1620">
        <v>99</v>
      </c>
      <c r="M177" s="1620">
        <v>0</v>
      </c>
      <c r="N177" s="1620">
        <v>0</v>
      </c>
      <c r="O177" s="1620">
        <v>99</v>
      </c>
      <c r="P177" s="1620">
        <v>0</v>
      </c>
      <c r="Q177" s="1603"/>
      <c r="R177" s="1620">
        <v>0</v>
      </c>
      <c r="S177" s="1620">
        <v>0</v>
      </c>
      <c r="T177" s="1620">
        <v>0</v>
      </c>
      <c r="U177" s="1620">
        <v>0</v>
      </c>
      <c r="V177" s="1620">
        <v>0</v>
      </c>
      <c r="W177" s="1620">
        <v>0</v>
      </c>
      <c r="X177" s="1620"/>
      <c r="Y177" s="1620">
        <v>0</v>
      </c>
      <c r="Z177" s="1620">
        <v>0</v>
      </c>
      <c r="AA177" s="1620">
        <v>0</v>
      </c>
      <c r="AB177" s="1620">
        <v>0</v>
      </c>
      <c r="AC177" s="1620">
        <v>0</v>
      </c>
      <c r="AD177" s="1620">
        <v>0</v>
      </c>
      <c r="AE177" s="1620">
        <v>0</v>
      </c>
      <c r="AF177" s="1620">
        <v>0</v>
      </c>
      <c r="AG177" s="1620">
        <v>0</v>
      </c>
      <c r="AH177" s="1620">
        <v>6363.636363636364</v>
      </c>
      <c r="AI177" s="1620">
        <v>0</v>
      </c>
      <c r="AJ177" s="1620">
        <v>0</v>
      </c>
      <c r="AK177" s="1620">
        <v>0</v>
      </c>
      <c r="AL177" s="1620"/>
      <c r="AM177" s="1620">
        <v>0</v>
      </c>
      <c r="AN177" s="1620">
        <v>0</v>
      </c>
      <c r="AO177" s="1620">
        <v>0</v>
      </c>
      <c r="AP177" s="1620">
        <v>0</v>
      </c>
      <c r="AQ177" s="1620">
        <v>0</v>
      </c>
      <c r="AR177" s="1620">
        <v>0</v>
      </c>
      <c r="AS177" s="1620">
        <v>0</v>
      </c>
      <c r="AT177" s="1620">
        <v>0</v>
      </c>
      <c r="AU177" s="1620">
        <v>0</v>
      </c>
      <c r="AV177" s="1620">
        <v>0</v>
      </c>
      <c r="AW177" s="1620">
        <v>0</v>
      </c>
      <c r="AX177" s="1620"/>
      <c r="AY177" s="1620">
        <v>1</v>
      </c>
      <c r="AZ177" s="1620">
        <v>1</v>
      </c>
      <c r="BA177" s="1620">
        <v>1</v>
      </c>
      <c r="BB177" s="1620">
        <v>1</v>
      </c>
      <c r="BC177" s="1620">
        <v>1</v>
      </c>
      <c r="BD177" s="1620">
        <v>1</v>
      </c>
      <c r="BE177" s="1620">
        <v>1</v>
      </c>
      <c r="BF177" s="1620">
        <v>1</v>
      </c>
      <c r="BG177" s="1620">
        <v>1</v>
      </c>
      <c r="BH177" s="1620">
        <v>1</v>
      </c>
      <c r="BI177" s="1620">
        <v>1</v>
      </c>
      <c r="BJ177" s="1603"/>
      <c r="BK177" s="1620">
        <v>0</v>
      </c>
      <c r="BL177" s="1620">
        <v>0</v>
      </c>
      <c r="BM177" s="1620">
        <v>100</v>
      </c>
      <c r="BN177" s="1620">
        <v>0</v>
      </c>
      <c r="BO177" s="1620"/>
      <c r="BP177" s="1620">
        <v>0</v>
      </c>
      <c r="BQ177" s="1620">
        <v>0</v>
      </c>
      <c r="BR177" s="1620">
        <v>-0.11382113821138182</v>
      </c>
      <c r="BS177" s="1620">
        <v>-0.1090909090909091</v>
      </c>
      <c r="BT177" s="1603"/>
      <c r="BU177" s="1620">
        <v>0</v>
      </c>
      <c r="BV177" s="1620">
        <v>0</v>
      </c>
      <c r="BW177" s="1620">
        <v>0</v>
      </c>
      <c r="BX177" s="1620" t="s">
        <v>270</v>
      </c>
      <c r="BY177" s="1620" t="s">
        <v>270</v>
      </c>
      <c r="BZ177" s="1620" t="s">
        <v>270</v>
      </c>
      <c r="CA177" s="1620" t="s">
        <v>270</v>
      </c>
      <c r="CB177" s="1603"/>
      <c r="CC177" s="1603">
        <v>0</v>
      </c>
      <c r="CD177" s="1603">
        <v>0</v>
      </c>
      <c r="CE177" s="1603">
        <v>0</v>
      </c>
      <c r="CF177" s="1603">
        <v>0</v>
      </c>
      <c r="CG177" s="1603">
        <v>0</v>
      </c>
      <c r="CH177" s="1603">
        <v>0</v>
      </c>
      <c r="CI177" s="1603">
        <v>0</v>
      </c>
      <c r="CJ177" s="1603"/>
      <c r="CK177" s="1603">
        <v>0</v>
      </c>
      <c r="CL177" s="1603">
        <v>0</v>
      </c>
      <c r="CM177" s="1603">
        <v>6300</v>
      </c>
      <c r="CN177" s="1603">
        <v>0</v>
      </c>
      <c r="CO177" s="1603">
        <v>0</v>
      </c>
      <c r="CP177" s="1603">
        <v>0</v>
      </c>
      <c r="CQ177" s="1603">
        <v>0</v>
      </c>
      <c r="CR177" s="1603">
        <v>0</v>
      </c>
      <c r="CS177" s="1603">
        <v>0</v>
      </c>
      <c r="CT177" s="1603">
        <v>0</v>
      </c>
      <c r="CU177" s="1603">
        <v>0</v>
      </c>
      <c r="CV177" s="1603">
        <v>0</v>
      </c>
      <c r="CW177" s="1603">
        <v>0</v>
      </c>
      <c r="CX177" s="1603">
        <v>0</v>
      </c>
      <c r="CY177" s="1603">
        <v>0</v>
      </c>
      <c r="CZ177" s="1603">
        <v>0</v>
      </c>
      <c r="DA177" s="1603">
        <v>0</v>
      </c>
      <c r="DB177" s="1603">
        <v>0</v>
      </c>
      <c r="DC177" s="1603">
        <v>0</v>
      </c>
      <c r="DD177" s="1603">
        <v>0</v>
      </c>
      <c r="DE177" s="1603">
        <v>0</v>
      </c>
      <c r="DF177" s="1603">
        <v>0</v>
      </c>
      <c r="DG177" s="1603">
        <v>0</v>
      </c>
      <c r="DH177" s="1603">
        <v>0</v>
      </c>
      <c r="DI177" s="1603">
        <v>0</v>
      </c>
      <c r="DJ177" s="1603">
        <v>0</v>
      </c>
      <c r="DK177" s="1603">
        <v>0</v>
      </c>
      <c r="DL177" s="1603">
        <v>0</v>
      </c>
      <c r="DM177" s="1603">
        <v>0</v>
      </c>
      <c r="DN177" s="1603">
        <v>0</v>
      </c>
      <c r="DO177" s="1603">
        <v>0</v>
      </c>
      <c r="DP177" s="1603">
        <v>0</v>
      </c>
      <c r="DQ177" s="1603">
        <v>0</v>
      </c>
      <c r="DR177" s="1603">
        <v>0</v>
      </c>
      <c r="DS177" s="1603">
        <v>0</v>
      </c>
      <c r="DT177" s="1603">
        <v>0</v>
      </c>
      <c r="DU177" s="1603">
        <v>0</v>
      </c>
      <c r="DV177" s="1603">
        <v>0</v>
      </c>
      <c r="DW177" s="1618" t="s">
        <v>986</v>
      </c>
      <c r="DX177" s="1605" t="s">
        <v>986</v>
      </c>
      <c r="DY177" s="1605" t="s">
        <v>986</v>
      </c>
      <c r="DZ177" s="1605" t="s">
        <v>986</v>
      </c>
      <c r="EA177" s="1605" t="s">
        <v>986</v>
      </c>
      <c r="EB177" s="1605" t="s">
        <v>986</v>
      </c>
      <c r="EC177" s="1605" t="s">
        <v>986</v>
      </c>
      <c r="ED177" s="1605" t="s">
        <v>986</v>
      </c>
      <c r="EE177" s="1605" t="s">
        <v>986</v>
      </c>
      <c r="EF177" s="1605" t="s">
        <v>986</v>
      </c>
      <c r="EG177" s="1605" t="s">
        <v>986</v>
      </c>
      <c r="EH177" s="1605" t="s">
        <v>986</v>
      </c>
      <c r="EI177" s="1605" t="s">
        <v>986</v>
      </c>
      <c r="EJ177" s="1605" t="s">
        <v>986</v>
      </c>
      <c r="EK177" s="1605" t="s">
        <v>986</v>
      </c>
      <c r="EL177" s="1605" t="s">
        <v>986</v>
      </c>
      <c r="EM177" s="1605" t="s">
        <v>986</v>
      </c>
      <c r="EN177" s="1605" t="s">
        <v>986</v>
      </c>
      <c r="EO177" s="1605" t="s">
        <v>986</v>
      </c>
      <c r="EP177" s="1605" t="s">
        <v>986</v>
      </c>
      <c r="EQ177" s="1605" t="s">
        <v>986</v>
      </c>
      <c r="ER177" s="1605" t="s">
        <v>986</v>
      </c>
      <c r="ES177" s="1605" t="s">
        <v>986</v>
      </c>
      <c r="ET177" s="1605" t="s">
        <v>986</v>
      </c>
      <c r="EU177" s="1605" t="s">
        <v>986</v>
      </c>
      <c r="EV177" s="1605" t="s">
        <v>986</v>
      </c>
      <c r="EW177" s="1605" t="s">
        <v>986</v>
      </c>
      <c r="EX177" s="1605" t="s">
        <v>986</v>
      </c>
      <c r="EY177" s="1605" t="s">
        <v>986</v>
      </c>
      <c r="EZ177" s="1605" t="s">
        <v>986</v>
      </c>
      <c r="FA177" s="1605" t="s">
        <v>986</v>
      </c>
      <c r="FB177" s="1605" t="s">
        <v>986</v>
      </c>
      <c r="FC177" s="1605" t="s">
        <v>986</v>
      </c>
      <c r="FD177" s="1605" t="s">
        <v>986</v>
      </c>
      <c r="FE177" s="1605" t="s">
        <v>986</v>
      </c>
      <c r="FF177" s="1605" t="s">
        <v>986</v>
      </c>
      <c r="FG177" s="1605" t="s">
        <v>986</v>
      </c>
      <c r="FH177" s="1605" t="s">
        <v>986</v>
      </c>
      <c r="FI177" s="1605" t="s">
        <v>986</v>
      </c>
      <c r="FJ177" s="1605" t="s">
        <v>986</v>
      </c>
      <c r="FK177" s="1605" t="s">
        <v>986</v>
      </c>
      <c r="FL177" s="1605" t="s">
        <v>986</v>
      </c>
      <c r="FM177" s="1605" t="s">
        <v>986</v>
      </c>
      <c r="FN177" s="1605" t="s">
        <v>986</v>
      </c>
      <c r="FO177" s="1605" t="s">
        <v>986</v>
      </c>
      <c r="FP177" s="1605" t="s">
        <v>986</v>
      </c>
      <c r="FQ177" s="1605" t="s">
        <v>986</v>
      </c>
      <c r="FR177" s="1605" t="s">
        <v>986</v>
      </c>
      <c r="FS177" s="1605" t="s">
        <v>986</v>
      </c>
      <c r="FT177" s="1605" t="s">
        <v>986</v>
      </c>
      <c r="FU177" s="1605" t="s">
        <v>986</v>
      </c>
      <c r="FV177" s="1605" t="s">
        <v>986</v>
      </c>
      <c r="FW177" s="1605" t="s">
        <v>986</v>
      </c>
      <c r="FX177" s="1605" t="s">
        <v>986</v>
      </c>
      <c r="FY177" s="1605" t="s">
        <v>986</v>
      </c>
      <c r="FZ177" s="1605" t="s">
        <v>986</v>
      </c>
      <c r="GA177" s="1605" t="s">
        <v>986</v>
      </c>
      <c r="GB177" s="1605" t="s">
        <v>986</v>
      </c>
      <c r="GC177" s="1605" t="s">
        <v>986</v>
      </c>
      <c r="GD177" s="1605" t="s">
        <v>986</v>
      </c>
      <c r="GE177" s="1605" t="s">
        <v>986</v>
      </c>
      <c r="GF177" s="1605" t="s">
        <v>986</v>
      </c>
      <c r="GG177" s="1605" t="s">
        <v>986</v>
      </c>
      <c r="GH177" s="1605" t="s">
        <v>986</v>
      </c>
      <c r="GI177" s="1605" t="s">
        <v>986</v>
      </c>
      <c r="GJ177" s="1605" t="s">
        <v>986</v>
      </c>
      <c r="GK177" s="1605" t="s">
        <v>986</v>
      </c>
      <c r="GL177" s="1605" t="s">
        <v>986</v>
      </c>
      <c r="GM177" s="1605" t="s">
        <v>986</v>
      </c>
      <c r="GN177" s="1605" t="s">
        <v>986</v>
      </c>
      <c r="GO177" s="1605" t="s">
        <v>986</v>
      </c>
      <c r="GP177" s="1605" t="s">
        <v>986</v>
      </c>
      <c r="GQ177" s="1605" t="s">
        <v>986</v>
      </c>
      <c r="GR177" s="1605" t="s">
        <v>986</v>
      </c>
      <c r="GS177" s="1605" t="s">
        <v>986</v>
      </c>
      <c r="GT177" s="1605" t="s">
        <v>986</v>
      </c>
      <c r="GU177" s="1605" t="s">
        <v>986</v>
      </c>
      <c r="GV177" s="1605" t="s">
        <v>986</v>
      </c>
      <c r="GW177" s="1605" t="s">
        <v>986</v>
      </c>
      <c r="GX177" s="1605" t="s">
        <v>986</v>
      </c>
      <c r="GY177" s="1605" t="s">
        <v>986</v>
      </c>
      <c r="GZ177" s="1605" t="s">
        <v>986</v>
      </c>
      <c r="HA177" s="1605" t="s">
        <v>986</v>
      </c>
      <c r="HB177" s="1605" t="s">
        <v>986</v>
      </c>
      <c r="HC177" s="1605" t="s">
        <v>986</v>
      </c>
      <c r="HD177" s="1605" t="s">
        <v>986</v>
      </c>
      <c r="HE177" s="1605" t="s">
        <v>986</v>
      </c>
      <c r="HF177" s="1605" t="s">
        <v>986</v>
      </c>
      <c r="HG177" s="1605" t="s">
        <v>986</v>
      </c>
      <c r="HH177" s="1605" t="s">
        <v>986</v>
      </c>
      <c r="HI177" s="1605" t="s">
        <v>986</v>
      </c>
      <c r="HJ177" s="1605" t="s">
        <v>986</v>
      </c>
      <c r="HK177" s="1605" t="s">
        <v>986</v>
      </c>
      <c r="HL177" s="1605" t="s">
        <v>986</v>
      </c>
      <c r="HM177" s="1605" t="s">
        <v>986</v>
      </c>
      <c r="HN177" s="1605" t="s">
        <v>986</v>
      </c>
      <c r="HO177" s="1605" t="s">
        <v>986</v>
      </c>
      <c r="HP177" s="1605" t="s">
        <v>986</v>
      </c>
      <c r="HQ177" s="1605" t="s">
        <v>986</v>
      </c>
      <c r="HR177" s="1605" t="s">
        <v>986</v>
      </c>
      <c r="HS177" s="1605" t="s">
        <v>986</v>
      </c>
      <c r="HT177" s="1605" t="s">
        <v>986</v>
      </c>
      <c r="HU177" s="1605" t="s">
        <v>986</v>
      </c>
      <c r="HV177" s="1617"/>
      <c r="HW177" s="1617">
        <v>0</v>
      </c>
      <c r="HX177" s="1617">
        <v>0</v>
      </c>
      <c r="HY177" s="1617">
        <v>0</v>
      </c>
      <c r="HZ177" s="1603"/>
      <c r="IA177" s="1603"/>
      <c r="IB177" s="1603"/>
      <c r="IC177" s="1603">
        <v>0</v>
      </c>
      <c r="ID177" s="1603">
        <v>0</v>
      </c>
      <c r="IE177" s="1603">
        <v>0</v>
      </c>
      <c r="IF177" s="1603">
        <v>0</v>
      </c>
      <c r="IG177" s="1611" t="s">
        <v>2932</v>
      </c>
      <c r="IH177" s="1616" t="s">
        <v>270</v>
      </c>
      <c r="II177" s="1615" t="s">
        <v>270</v>
      </c>
      <c r="IJ177" s="1613">
        <v>1.3101818181818183</v>
      </c>
      <c r="IK177" s="1613">
        <v>1.301848484848485</v>
      </c>
      <c r="IL177" s="1614">
        <v>1.3101818181818183</v>
      </c>
      <c r="IM177" s="1614">
        <v>1.301848484848485</v>
      </c>
      <c r="IN177" s="1612" t="s">
        <v>270</v>
      </c>
      <c r="IO177" s="1613" t="s">
        <v>270</v>
      </c>
      <c r="IP177" s="1607" t="s">
        <v>270</v>
      </c>
      <c r="IQ177" s="1612" t="s">
        <v>270</v>
      </c>
      <c r="IR177" s="1612" t="s">
        <v>270</v>
      </c>
      <c r="IS177" s="1607">
        <v>1.1881818181818182</v>
      </c>
      <c r="IT177" s="1607">
        <v>1.1798484848484849</v>
      </c>
      <c r="IU177" s="1611">
        <v>0</v>
      </c>
      <c r="IV177" s="1611">
        <v>7.7767676767676763E-2</v>
      </c>
      <c r="IW177" s="1611">
        <v>9.0909090909090909E-4</v>
      </c>
      <c r="IX177" s="1611">
        <v>1.6060606060606061E-3</v>
      </c>
      <c r="IY177" s="1611">
        <v>9.6969696969696957E-4</v>
      </c>
      <c r="IZ177" s="1611">
        <v>5.9898989898989896E-3</v>
      </c>
      <c r="JA177" s="1611">
        <v>6.0606060606060598E-5</v>
      </c>
      <c r="JB177" s="1611" t="s">
        <v>270</v>
      </c>
      <c r="JC177" s="1611">
        <v>9.9026969696969704</v>
      </c>
      <c r="JD177" s="1611">
        <v>5.2121212121212122E-3</v>
      </c>
      <c r="JE177" s="1611" t="s">
        <v>270</v>
      </c>
      <c r="JF177" s="1611">
        <v>8.2828282828282835E-4</v>
      </c>
      <c r="JG177" s="1611">
        <v>0.57978787878787885</v>
      </c>
      <c r="JH177" s="1611">
        <v>7.646464646464647E-3</v>
      </c>
      <c r="JI177" s="1611">
        <v>0.3</v>
      </c>
      <c r="JJ177" s="1611" t="s">
        <v>270</v>
      </c>
      <c r="JK177" s="1607">
        <f t="shared" si="11"/>
        <v>0.12200000000000011</v>
      </c>
      <c r="JL177" s="1608" t="s">
        <v>270</v>
      </c>
      <c r="JM177" s="1610" t="s">
        <v>2924</v>
      </c>
      <c r="JN177" s="1608">
        <v>8.3333333333333037E-3</v>
      </c>
      <c r="JO177" s="1609" t="s">
        <v>2931</v>
      </c>
      <c r="JP177" s="1608" t="s">
        <v>270</v>
      </c>
      <c r="JQ177" s="1607">
        <v>202103</v>
      </c>
      <c r="JR177" s="1606">
        <v>851</v>
      </c>
      <c r="JS177" s="1606">
        <v>774</v>
      </c>
      <c r="JT177" s="1606">
        <v>774</v>
      </c>
    </row>
    <row r="178" spans="1:280" ht="15" customHeight="1" x14ac:dyDescent="0.2">
      <c r="A178" s="1626">
        <v>48200</v>
      </c>
      <c r="B178" s="1625">
        <v>482</v>
      </c>
      <c r="C178" s="1624">
        <v>0</v>
      </c>
      <c r="D178" s="1623" t="s">
        <v>3315</v>
      </c>
      <c r="E178" s="1622">
        <v>43025</v>
      </c>
      <c r="F178" s="1620">
        <v>-0.112682926829268</v>
      </c>
      <c r="G178" s="1620">
        <v>-0.108</v>
      </c>
      <c r="H178" s="1621">
        <v>70</v>
      </c>
      <c r="I178" s="1621">
        <v>70</v>
      </c>
      <c r="J178" s="1621">
        <v>0</v>
      </c>
      <c r="K178" s="1620">
        <v>1</v>
      </c>
      <c r="L178" s="1620">
        <v>99</v>
      </c>
      <c r="M178" s="1620">
        <v>0</v>
      </c>
      <c r="N178" s="1620">
        <v>0</v>
      </c>
      <c r="O178" s="1620">
        <v>99</v>
      </c>
      <c r="P178" s="1620">
        <v>0</v>
      </c>
      <c r="Q178" s="1603"/>
      <c r="R178" s="1620">
        <v>0</v>
      </c>
      <c r="S178" s="1620">
        <v>0</v>
      </c>
      <c r="T178" s="1620">
        <v>0</v>
      </c>
      <c r="U178" s="1620">
        <v>0</v>
      </c>
      <c r="V178" s="1620">
        <v>0</v>
      </c>
      <c r="W178" s="1620">
        <v>0</v>
      </c>
      <c r="X178" s="1620"/>
      <c r="Y178" s="1620">
        <v>0</v>
      </c>
      <c r="Z178" s="1620">
        <v>0</v>
      </c>
      <c r="AA178" s="1620">
        <v>0</v>
      </c>
      <c r="AB178" s="1620">
        <v>0</v>
      </c>
      <c r="AC178" s="1620">
        <v>0</v>
      </c>
      <c r="AD178" s="1620">
        <v>0</v>
      </c>
      <c r="AE178" s="1620">
        <v>0</v>
      </c>
      <c r="AF178" s="1620">
        <v>0</v>
      </c>
      <c r="AG178" s="1620">
        <v>0</v>
      </c>
      <c r="AH178" s="1620">
        <v>7777.7777777777774</v>
      </c>
      <c r="AI178" s="1620">
        <v>0</v>
      </c>
      <c r="AJ178" s="1620">
        <v>0</v>
      </c>
      <c r="AK178" s="1620">
        <v>0</v>
      </c>
      <c r="AL178" s="1620"/>
      <c r="AM178" s="1620">
        <v>0</v>
      </c>
      <c r="AN178" s="1620">
        <v>0</v>
      </c>
      <c r="AO178" s="1620">
        <v>0</v>
      </c>
      <c r="AP178" s="1620">
        <v>0</v>
      </c>
      <c r="AQ178" s="1620">
        <v>0</v>
      </c>
      <c r="AR178" s="1620">
        <v>0</v>
      </c>
      <c r="AS178" s="1620">
        <v>0</v>
      </c>
      <c r="AT178" s="1620">
        <v>0</v>
      </c>
      <c r="AU178" s="1620">
        <v>0</v>
      </c>
      <c r="AV178" s="1620">
        <v>0</v>
      </c>
      <c r="AW178" s="1620">
        <v>0</v>
      </c>
      <c r="AX178" s="1620"/>
      <c r="AY178" s="1620">
        <v>1</v>
      </c>
      <c r="AZ178" s="1620">
        <v>1</v>
      </c>
      <c r="BA178" s="1620">
        <v>1</v>
      </c>
      <c r="BB178" s="1620">
        <v>1</v>
      </c>
      <c r="BC178" s="1620">
        <v>1</v>
      </c>
      <c r="BD178" s="1620">
        <v>1</v>
      </c>
      <c r="BE178" s="1620">
        <v>1</v>
      </c>
      <c r="BF178" s="1620">
        <v>1</v>
      </c>
      <c r="BG178" s="1620">
        <v>1</v>
      </c>
      <c r="BH178" s="1620">
        <v>1</v>
      </c>
      <c r="BI178" s="1620">
        <v>1</v>
      </c>
      <c r="BJ178" s="1603"/>
      <c r="BK178" s="1620">
        <v>0</v>
      </c>
      <c r="BL178" s="1620">
        <v>0</v>
      </c>
      <c r="BM178" s="1620">
        <v>100</v>
      </c>
      <c r="BN178" s="1620">
        <v>0</v>
      </c>
      <c r="BO178" s="1620"/>
      <c r="BP178" s="1620">
        <v>0</v>
      </c>
      <c r="BQ178" s="1620">
        <v>0</v>
      </c>
      <c r="BR178" s="1620">
        <v>-0.11382113821138182</v>
      </c>
      <c r="BS178" s="1620">
        <v>-0.1090909090909091</v>
      </c>
      <c r="BT178" s="1603"/>
      <c r="BU178" s="1620">
        <v>0</v>
      </c>
      <c r="BV178" s="1620">
        <v>0</v>
      </c>
      <c r="BW178" s="1620">
        <v>0</v>
      </c>
      <c r="BX178" s="1620" t="s">
        <v>270</v>
      </c>
      <c r="BY178" s="1620" t="s">
        <v>270</v>
      </c>
      <c r="BZ178" s="1620" t="s">
        <v>270</v>
      </c>
      <c r="CA178" s="1620" t="s">
        <v>270</v>
      </c>
      <c r="CB178" s="1603"/>
      <c r="CC178" s="1603">
        <v>0</v>
      </c>
      <c r="CD178" s="1603">
        <v>0</v>
      </c>
      <c r="CE178" s="1603">
        <v>0</v>
      </c>
      <c r="CF178" s="1603">
        <v>0</v>
      </c>
      <c r="CG178" s="1603">
        <v>0</v>
      </c>
      <c r="CH178" s="1603">
        <v>0</v>
      </c>
      <c r="CI178" s="1603">
        <v>0</v>
      </c>
      <c r="CJ178" s="1603"/>
      <c r="CK178" s="1603">
        <v>0</v>
      </c>
      <c r="CL178" s="1603">
        <v>0</v>
      </c>
      <c r="CM178" s="1603">
        <v>7699.9999999999991</v>
      </c>
      <c r="CN178" s="1603">
        <v>0</v>
      </c>
      <c r="CO178" s="1603">
        <v>0</v>
      </c>
      <c r="CP178" s="1603">
        <v>0</v>
      </c>
      <c r="CQ178" s="1603">
        <v>0</v>
      </c>
      <c r="CR178" s="1603">
        <v>0</v>
      </c>
      <c r="CS178" s="1603">
        <v>0</v>
      </c>
      <c r="CT178" s="1603">
        <v>0</v>
      </c>
      <c r="CU178" s="1603">
        <v>0</v>
      </c>
      <c r="CV178" s="1603">
        <v>0</v>
      </c>
      <c r="CW178" s="1603">
        <v>0</v>
      </c>
      <c r="CX178" s="1603">
        <v>0</v>
      </c>
      <c r="CY178" s="1603">
        <v>0</v>
      </c>
      <c r="CZ178" s="1603">
        <v>0</v>
      </c>
      <c r="DA178" s="1603">
        <v>0</v>
      </c>
      <c r="DB178" s="1603">
        <v>0</v>
      </c>
      <c r="DC178" s="1603">
        <v>0</v>
      </c>
      <c r="DD178" s="1603">
        <v>0</v>
      </c>
      <c r="DE178" s="1603">
        <v>0</v>
      </c>
      <c r="DF178" s="1603">
        <v>0</v>
      </c>
      <c r="DG178" s="1603">
        <v>0</v>
      </c>
      <c r="DH178" s="1603">
        <v>0</v>
      </c>
      <c r="DI178" s="1603">
        <v>0</v>
      </c>
      <c r="DJ178" s="1603">
        <v>0</v>
      </c>
      <c r="DK178" s="1603">
        <v>0</v>
      </c>
      <c r="DL178" s="1603">
        <v>0</v>
      </c>
      <c r="DM178" s="1603">
        <v>0</v>
      </c>
      <c r="DN178" s="1603">
        <v>0</v>
      </c>
      <c r="DO178" s="1603">
        <v>0</v>
      </c>
      <c r="DP178" s="1603">
        <v>0</v>
      </c>
      <c r="DQ178" s="1603">
        <v>0</v>
      </c>
      <c r="DR178" s="1603">
        <v>0</v>
      </c>
      <c r="DS178" s="1603">
        <v>0</v>
      </c>
      <c r="DT178" s="1603">
        <v>0</v>
      </c>
      <c r="DU178" s="1603">
        <v>0</v>
      </c>
      <c r="DV178" s="1603">
        <v>0</v>
      </c>
      <c r="DW178" s="1618" t="s">
        <v>986</v>
      </c>
      <c r="DX178" s="1605" t="s">
        <v>986</v>
      </c>
      <c r="DY178" s="1605" t="s">
        <v>986</v>
      </c>
      <c r="DZ178" s="1605" t="s">
        <v>986</v>
      </c>
      <c r="EA178" s="1605" t="s">
        <v>986</v>
      </c>
      <c r="EB178" s="1605" t="s">
        <v>986</v>
      </c>
      <c r="EC178" s="1605" t="s">
        <v>986</v>
      </c>
      <c r="ED178" s="1605" t="s">
        <v>986</v>
      </c>
      <c r="EE178" s="1605" t="s">
        <v>986</v>
      </c>
      <c r="EF178" s="1605" t="s">
        <v>986</v>
      </c>
      <c r="EG178" s="1605" t="s">
        <v>986</v>
      </c>
      <c r="EH178" s="1605" t="s">
        <v>986</v>
      </c>
      <c r="EI178" s="1605" t="s">
        <v>986</v>
      </c>
      <c r="EJ178" s="1605" t="s">
        <v>986</v>
      </c>
      <c r="EK178" s="1605" t="s">
        <v>986</v>
      </c>
      <c r="EL178" s="1605" t="s">
        <v>986</v>
      </c>
      <c r="EM178" s="1605" t="s">
        <v>986</v>
      </c>
      <c r="EN178" s="1605" t="s">
        <v>986</v>
      </c>
      <c r="EO178" s="1605" t="s">
        <v>986</v>
      </c>
      <c r="EP178" s="1605" t="s">
        <v>986</v>
      </c>
      <c r="EQ178" s="1605" t="s">
        <v>986</v>
      </c>
      <c r="ER178" s="1605" t="s">
        <v>986</v>
      </c>
      <c r="ES178" s="1605" t="s">
        <v>986</v>
      </c>
      <c r="ET178" s="1605" t="s">
        <v>986</v>
      </c>
      <c r="EU178" s="1605" t="s">
        <v>986</v>
      </c>
      <c r="EV178" s="1605" t="s">
        <v>986</v>
      </c>
      <c r="EW178" s="1605" t="s">
        <v>986</v>
      </c>
      <c r="EX178" s="1605" t="s">
        <v>986</v>
      </c>
      <c r="EY178" s="1605" t="s">
        <v>986</v>
      </c>
      <c r="EZ178" s="1605" t="s">
        <v>986</v>
      </c>
      <c r="FA178" s="1605" t="s">
        <v>986</v>
      </c>
      <c r="FB178" s="1605" t="s">
        <v>986</v>
      </c>
      <c r="FC178" s="1605" t="s">
        <v>986</v>
      </c>
      <c r="FD178" s="1605" t="s">
        <v>986</v>
      </c>
      <c r="FE178" s="1605" t="s">
        <v>986</v>
      </c>
      <c r="FF178" s="1605" t="s">
        <v>986</v>
      </c>
      <c r="FG178" s="1605" t="s">
        <v>986</v>
      </c>
      <c r="FH178" s="1605" t="s">
        <v>986</v>
      </c>
      <c r="FI178" s="1605" t="s">
        <v>986</v>
      </c>
      <c r="FJ178" s="1605" t="s">
        <v>986</v>
      </c>
      <c r="FK178" s="1605" t="s">
        <v>986</v>
      </c>
      <c r="FL178" s="1605" t="s">
        <v>986</v>
      </c>
      <c r="FM178" s="1605" t="s">
        <v>986</v>
      </c>
      <c r="FN178" s="1605" t="s">
        <v>986</v>
      </c>
      <c r="FO178" s="1605" t="s">
        <v>986</v>
      </c>
      <c r="FP178" s="1605" t="s">
        <v>986</v>
      </c>
      <c r="FQ178" s="1605" t="s">
        <v>986</v>
      </c>
      <c r="FR178" s="1605" t="s">
        <v>986</v>
      </c>
      <c r="FS178" s="1605" t="s">
        <v>986</v>
      </c>
      <c r="FT178" s="1605" t="s">
        <v>986</v>
      </c>
      <c r="FU178" s="1605" t="s">
        <v>986</v>
      </c>
      <c r="FV178" s="1605" t="s">
        <v>986</v>
      </c>
      <c r="FW178" s="1605" t="s">
        <v>986</v>
      </c>
      <c r="FX178" s="1605" t="s">
        <v>986</v>
      </c>
      <c r="FY178" s="1605" t="s">
        <v>986</v>
      </c>
      <c r="FZ178" s="1605" t="s">
        <v>986</v>
      </c>
      <c r="GA178" s="1605" t="s">
        <v>986</v>
      </c>
      <c r="GB178" s="1605" t="s">
        <v>986</v>
      </c>
      <c r="GC178" s="1605" t="s">
        <v>986</v>
      </c>
      <c r="GD178" s="1605" t="s">
        <v>986</v>
      </c>
      <c r="GE178" s="1605" t="s">
        <v>986</v>
      </c>
      <c r="GF178" s="1605" t="s">
        <v>986</v>
      </c>
      <c r="GG178" s="1605" t="s">
        <v>986</v>
      </c>
      <c r="GH178" s="1605" t="s">
        <v>986</v>
      </c>
      <c r="GI178" s="1605" t="s">
        <v>986</v>
      </c>
      <c r="GJ178" s="1605" t="s">
        <v>986</v>
      </c>
      <c r="GK178" s="1605" t="s">
        <v>986</v>
      </c>
      <c r="GL178" s="1605" t="s">
        <v>986</v>
      </c>
      <c r="GM178" s="1605" t="s">
        <v>986</v>
      </c>
      <c r="GN178" s="1605" t="s">
        <v>986</v>
      </c>
      <c r="GO178" s="1605" t="s">
        <v>986</v>
      </c>
      <c r="GP178" s="1605" t="s">
        <v>986</v>
      </c>
      <c r="GQ178" s="1605" t="s">
        <v>986</v>
      </c>
      <c r="GR178" s="1605" t="s">
        <v>986</v>
      </c>
      <c r="GS178" s="1605" t="s">
        <v>986</v>
      </c>
      <c r="GT178" s="1605" t="s">
        <v>986</v>
      </c>
      <c r="GU178" s="1605" t="s">
        <v>986</v>
      </c>
      <c r="GV178" s="1605" t="s">
        <v>986</v>
      </c>
      <c r="GW178" s="1605" t="s">
        <v>986</v>
      </c>
      <c r="GX178" s="1605" t="s">
        <v>986</v>
      </c>
      <c r="GY178" s="1605" t="s">
        <v>986</v>
      </c>
      <c r="GZ178" s="1605" t="s">
        <v>986</v>
      </c>
      <c r="HA178" s="1605" t="s">
        <v>986</v>
      </c>
      <c r="HB178" s="1605" t="s">
        <v>986</v>
      </c>
      <c r="HC178" s="1605" t="s">
        <v>986</v>
      </c>
      <c r="HD178" s="1605" t="s">
        <v>986</v>
      </c>
      <c r="HE178" s="1605" t="s">
        <v>986</v>
      </c>
      <c r="HF178" s="1605" t="s">
        <v>986</v>
      </c>
      <c r="HG178" s="1605" t="s">
        <v>986</v>
      </c>
      <c r="HH178" s="1605" t="s">
        <v>986</v>
      </c>
      <c r="HI178" s="1605" t="s">
        <v>986</v>
      </c>
      <c r="HJ178" s="1605" t="s">
        <v>986</v>
      </c>
      <c r="HK178" s="1605" t="s">
        <v>986</v>
      </c>
      <c r="HL178" s="1605" t="s">
        <v>986</v>
      </c>
      <c r="HM178" s="1605" t="s">
        <v>986</v>
      </c>
      <c r="HN178" s="1605" t="s">
        <v>986</v>
      </c>
      <c r="HO178" s="1605" t="s">
        <v>986</v>
      </c>
      <c r="HP178" s="1605" t="s">
        <v>986</v>
      </c>
      <c r="HQ178" s="1605" t="s">
        <v>986</v>
      </c>
      <c r="HR178" s="1605" t="s">
        <v>986</v>
      </c>
      <c r="HS178" s="1605" t="s">
        <v>986</v>
      </c>
      <c r="HT178" s="1605" t="s">
        <v>986</v>
      </c>
      <c r="HU178" s="1605" t="s">
        <v>986</v>
      </c>
      <c r="HV178" s="1617"/>
      <c r="HW178" s="1617">
        <v>0</v>
      </c>
      <c r="HX178" s="1617">
        <v>0</v>
      </c>
      <c r="HY178" s="1617">
        <v>0</v>
      </c>
      <c r="HZ178" s="1603"/>
      <c r="IA178" s="1603"/>
      <c r="IB178" s="1603"/>
      <c r="IC178" s="1603">
        <v>0</v>
      </c>
      <c r="ID178" s="1603">
        <v>0</v>
      </c>
      <c r="IE178" s="1603">
        <v>0</v>
      </c>
      <c r="IF178" s="1603">
        <v>0</v>
      </c>
      <c r="IG178" s="1611" t="s">
        <v>2932</v>
      </c>
      <c r="IH178" s="1616" t="s">
        <v>270</v>
      </c>
      <c r="II178" s="1615" t="s">
        <v>270</v>
      </c>
      <c r="IJ178" s="1613">
        <v>1.3101818181818183</v>
      </c>
      <c r="IK178" s="1613">
        <v>1.301848484848485</v>
      </c>
      <c r="IL178" s="1614">
        <v>1.3101818181818183</v>
      </c>
      <c r="IM178" s="1614">
        <v>1.301848484848485</v>
      </c>
      <c r="IN178" s="1612" t="s">
        <v>270</v>
      </c>
      <c r="IO178" s="1613" t="s">
        <v>270</v>
      </c>
      <c r="IP178" s="1607" t="s">
        <v>270</v>
      </c>
      <c r="IQ178" s="1612" t="s">
        <v>270</v>
      </c>
      <c r="IR178" s="1612" t="s">
        <v>270</v>
      </c>
      <c r="IS178" s="1607">
        <v>1.1881818181818182</v>
      </c>
      <c r="IT178" s="1607">
        <v>1.1798484848484849</v>
      </c>
      <c r="IU178" s="1611">
        <v>0</v>
      </c>
      <c r="IV178" s="1611">
        <v>7.7767676767676763E-2</v>
      </c>
      <c r="IW178" s="1611">
        <v>9.0909090909090909E-4</v>
      </c>
      <c r="IX178" s="1611">
        <v>1.6060606060606061E-3</v>
      </c>
      <c r="IY178" s="1611">
        <v>9.6969696969696957E-4</v>
      </c>
      <c r="IZ178" s="1611">
        <v>5.9898989898989896E-3</v>
      </c>
      <c r="JA178" s="1611">
        <v>6.0606060606060598E-5</v>
      </c>
      <c r="JB178" s="1611" t="s">
        <v>270</v>
      </c>
      <c r="JC178" s="1611">
        <v>9.9026969696969704</v>
      </c>
      <c r="JD178" s="1611">
        <v>5.2121212121212122E-3</v>
      </c>
      <c r="JE178" s="1611" t="s">
        <v>270</v>
      </c>
      <c r="JF178" s="1611">
        <v>8.2828282828282835E-4</v>
      </c>
      <c r="JG178" s="1611">
        <v>0.57978787878787885</v>
      </c>
      <c r="JH178" s="1611">
        <v>7.646464646464647E-3</v>
      </c>
      <c r="JI178" s="1611">
        <v>0.3</v>
      </c>
      <c r="JJ178" s="1611" t="s">
        <v>270</v>
      </c>
      <c r="JK178" s="1607">
        <f t="shared" si="11"/>
        <v>0.12200000000000011</v>
      </c>
      <c r="JL178" s="1608" t="s">
        <v>270</v>
      </c>
      <c r="JM178" s="1610" t="s">
        <v>2924</v>
      </c>
      <c r="JN178" s="1608">
        <v>8.3333333333333037E-3</v>
      </c>
      <c r="JO178" s="1609" t="s">
        <v>2931</v>
      </c>
      <c r="JP178" s="1608" t="s">
        <v>270</v>
      </c>
      <c r="JQ178" s="1607">
        <v>202103</v>
      </c>
      <c r="JR178" s="1606">
        <v>851</v>
      </c>
      <c r="JS178" s="1606">
        <v>774</v>
      </c>
      <c r="JT178" s="1606">
        <v>774</v>
      </c>
    </row>
    <row r="179" spans="1:280" ht="15" customHeight="1" x14ac:dyDescent="0.2">
      <c r="A179" s="1626">
        <v>48800</v>
      </c>
      <c r="B179" s="1625">
        <v>488</v>
      </c>
      <c r="C179" s="1624">
        <v>0</v>
      </c>
      <c r="D179" s="1623" t="s">
        <v>3314</v>
      </c>
      <c r="E179" s="1622">
        <v>43025</v>
      </c>
      <c r="F179" s="1620">
        <v>-0.112682926829268</v>
      </c>
      <c r="G179" s="1620">
        <v>-0.108</v>
      </c>
      <c r="H179" s="1621">
        <v>70</v>
      </c>
      <c r="I179" s="1621">
        <v>70</v>
      </c>
      <c r="J179" s="1621">
        <v>0</v>
      </c>
      <c r="K179" s="1620">
        <v>1</v>
      </c>
      <c r="L179" s="1620">
        <v>99</v>
      </c>
      <c r="M179" s="1620">
        <v>0</v>
      </c>
      <c r="N179" s="1620">
        <v>0</v>
      </c>
      <c r="O179" s="1620">
        <v>99</v>
      </c>
      <c r="P179" s="1620">
        <v>0</v>
      </c>
      <c r="Q179" s="1603"/>
      <c r="R179" s="1620">
        <v>0</v>
      </c>
      <c r="S179" s="1620">
        <v>0</v>
      </c>
      <c r="T179" s="1620">
        <v>0</v>
      </c>
      <c r="U179" s="1620">
        <v>0</v>
      </c>
      <c r="V179" s="1620">
        <v>0</v>
      </c>
      <c r="W179" s="1620">
        <v>0</v>
      </c>
      <c r="X179" s="1620"/>
      <c r="Y179" s="1620">
        <v>0</v>
      </c>
      <c r="Z179" s="1620">
        <v>0</v>
      </c>
      <c r="AA179" s="1620">
        <v>0</v>
      </c>
      <c r="AB179" s="1620">
        <v>0</v>
      </c>
      <c r="AC179" s="1620">
        <v>0</v>
      </c>
      <c r="AD179" s="1620">
        <v>0</v>
      </c>
      <c r="AE179" s="1620">
        <v>0</v>
      </c>
      <c r="AF179" s="1620">
        <v>0</v>
      </c>
      <c r="AG179" s="1620">
        <v>0</v>
      </c>
      <c r="AH179" s="1620">
        <v>3333.3333333333335</v>
      </c>
      <c r="AI179" s="1620">
        <v>0</v>
      </c>
      <c r="AJ179" s="1620">
        <v>0</v>
      </c>
      <c r="AK179" s="1620">
        <v>0</v>
      </c>
      <c r="AL179" s="1620"/>
      <c r="AM179" s="1620">
        <v>0</v>
      </c>
      <c r="AN179" s="1620">
        <v>0</v>
      </c>
      <c r="AO179" s="1620">
        <v>0</v>
      </c>
      <c r="AP179" s="1620">
        <v>0</v>
      </c>
      <c r="AQ179" s="1620">
        <v>0</v>
      </c>
      <c r="AR179" s="1620">
        <v>0</v>
      </c>
      <c r="AS179" s="1620">
        <v>0</v>
      </c>
      <c r="AT179" s="1620">
        <v>0</v>
      </c>
      <c r="AU179" s="1620">
        <v>0</v>
      </c>
      <c r="AV179" s="1620">
        <v>0</v>
      </c>
      <c r="AW179" s="1620">
        <v>0</v>
      </c>
      <c r="AX179" s="1620"/>
      <c r="AY179" s="1620">
        <v>1</v>
      </c>
      <c r="AZ179" s="1620">
        <v>1</v>
      </c>
      <c r="BA179" s="1620">
        <v>1</v>
      </c>
      <c r="BB179" s="1620">
        <v>1</v>
      </c>
      <c r="BC179" s="1620">
        <v>1</v>
      </c>
      <c r="BD179" s="1620">
        <v>1</v>
      </c>
      <c r="BE179" s="1620">
        <v>1</v>
      </c>
      <c r="BF179" s="1620">
        <v>1</v>
      </c>
      <c r="BG179" s="1620">
        <v>1</v>
      </c>
      <c r="BH179" s="1620">
        <v>1</v>
      </c>
      <c r="BI179" s="1620">
        <v>1</v>
      </c>
      <c r="BJ179" s="1603"/>
      <c r="BK179" s="1620">
        <v>0</v>
      </c>
      <c r="BL179" s="1620">
        <v>0</v>
      </c>
      <c r="BM179" s="1620">
        <v>100</v>
      </c>
      <c r="BN179" s="1620">
        <v>0</v>
      </c>
      <c r="BO179" s="1620"/>
      <c r="BP179" s="1620">
        <v>0</v>
      </c>
      <c r="BQ179" s="1620">
        <v>0</v>
      </c>
      <c r="BR179" s="1620">
        <v>-0.11382113821138182</v>
      </c>
      <c r="BS179" s="1620">
        <v>-0.1090909090909091</v>
      </c>
      <c r="BT179" s="1603"/>
      <c r="BU179" s="1620">
        <v>0</v>
      </c>
      <c r="BV179" s="1620">
        <v>0</v>
      </c>
      <c r="BW179" s="1620">
        <v>0</v>
      </c>
      <c r="BX179" s="1620" t="s">
        <v>270</v>
      </c>
      <c r="BY179" s="1620" t="s">
        <v>270</v>
      </c>
      <c r="BZ179" s="1620" t="s">
        <v>270</v>
      </c>
      <c r="CA179" s="1620" t="s">
        <v>270</v>
      </c>
      <c r="CB179" s="1603"/>
      <c r="CC179" s="1603">
        <v>0</v>
      </c>
      <c r="CD179" s="1603">
        <v>0</v>
      </c>
      <c r="CE179" s="1603">
        <v>0</v>
      </c>
      <c r="CF179" s="1603">
        <v>0</v>
      </c>
      <c r="CG179" s="1603">
        <v>0</v>
      </c>
      <c r="CH179" s="1603">
        <v>0</v>
      </c>
      <c r="CI179" s="1603">
        <v>0</v>
      </c>
      <c r="CJ179" s="1603"/>
      <c r="CK179" s="1603">
        <v>0</v>
      </c>
      <c r="CL179" s="1603">
        <v>0</v>
      </c>
      <c r="CM179" s="1603">
        <v>3300</v>
      </c>
      <c r="CN179" s="1603">
        <v>0</v>
      </c>
      <c r="CO179" s="1603">
        <v>0</v>
      </c>
      <c r="CP179" s="1603">
        <v>0</v>
      </c>
      <c r="CQ179" s="1603">
        <v>0</v>
      </c>
      <c r="CR179" s="1603">
        <v>0</v>
      </c>
      <c r="CS179" s="1603">
        <v>0</v>
      </c>
      <c r="CT179" s="1603">
        <v>0</v>
      </c>
      <c r="CU179" s="1603">
        <v>0</v>
      </c>
      <c r="CV179" s="1603">
        <v>0</v>
      </c>
      <c r="CW179" s="1603">
        <v>0</v>
      </c>
      <c r="CX179" s="1603">
        <v>0</v>
      </c>
      <c r="CY179" s="1603">
        <v>0</v>
      </c>
      <c r="CZ179" s="1603">
        <v>0</v>
      </c>
      <c r="DA179" s="1603">
        <v>0</v>
      </c>
      <c r="DB179" s="1603">
        <v>0</v>
      </c>
      <c r="DC179" s="1603">
        <v>0</v>
      </c>
      <c r="DD179" s="1603">
        <v>0</v>
      </c>
      <c r="DE179" s="1603">
        <v>0</v>
      </c>
      <c r="DF179" s="1603">
        <v>0</v>
      </c>
      <c r="DG179" s="1603">
        <v>0</v>
      </c>
      <c r="DH179" s="1603">
        <v>0</v>
      </c>
      <c r="DI179" s="1603">
        <v>0</v>
      </c>
      <c r="DJ179" s="1603">
        <v>0</v>
      </c>
      <c r="DK179" s="1603">
        <v>0</v>
      </c>
      <c r="DL179" s="1603">
        <v>0</v>
      </c>
      <c r="DM179" s="1603">
        <v>0</v>
      </c>
      <c r="DN179" s="1603">
        <v>0</v>
      </c>
      <c r="DO179" s="1603">
        <v>0</v>
      </c>
      <c r="DP179" s="1603">
        <v>0</v>
      </c>
      <c r="DQ179" s="1603">
        <v>0</v>
      </c>
      <c r="DR179" s="1603">
        <v>0</v>
      </c>
      <c r="DS179" s="1603">
        <v>0</v>
      </c>
      <c r="DT179" s="1603">
        <v>0</v>
      </c>
      <c r="DU179" s="1603">
        <v>0</v>
      </c>
      <c r="DV179" s="1603">
        <v>0</v>
      </c>
      <c r="DW179" s="1618" t="s">
        <v>986</v>
      </c>
      <c r="DX179" s="1605" t="s">
        <v>986</v>
      </c>
      <c r="DY179" s="1605" t="s">
        <v>986</v>
      </c>
      <c r="DZ179" s="1605" t="s">
        <v>986</v>
      </c>
      <c r="EA179" s="1605" t="s">
        <v>986</v>
      </c>
      <c r="EB179" s="1605" t="s">
        <v>986</v>
      </c>
      <c r="EC179" s="1605" t="s">
        <v>986</v>
      </c>
      <c r="ED179" s="1605" t="s">
        <v>986</v>
      </c>
      <c r="EE179" s="1605" t="s">
        <v>986</v>
      </c>
      <c r="EF179" s="1605" t="s">
        <v>986</v>
      </c>
      <c r="EG179" s="1605" t="s">
        <v>986</v>
      </c>
      <c r="EH179" s="1605" t="s">
        <v>986</v>
      </c>
      <c r="EI179" s="1605" t="s">
        <v>986</v>
      </c>
      <c r="EJ179" s="1605" t="s">
        <v>986</v>
      </c>
      <c r="EK179" s="1605" t="s">
        <v>986</v>
      </c>
      <c r="EL179" s="1605" t="s">
        <v>986</v>
      </c>
      <c r="EM179" s="1605" t="s">
        <v>986</v>
      </c>
      <c r="EN179" s="1605" t="s">
        <v>986</v>
      </c>
      <c r="EO179" s="1605" t="s">
        <v>986</v>
      </c>
      <c r="EP179" s="1605" t="s">
        <v>986</v>
      </c>
      <c r="EQ179" s="1605" t="s">
        <v>986</v>
      </c>
      <c r="ER179" s="1605" t="s">
        <v>986</v>
      </c>
      <c r="ES179" s="1605" t="s">
        <v>986</v>
      </c>
      <c r="ET179" s="1605" t="s">
        <v>986</v>
      </c>
      <c r="EU179" s="1605" t="s">
        <v>986</v>
      </c>
      <c r="EV179" s="1605" t="s">
        <v>986</v>
      </c>
      <c r="EW179" s="1605" t="s">
        <v>986</v>
      </c>
      <c r="EX179" s="1605" t="s">
        <v>986</v>
      </c>
      <c r="EY179" s="1605" t="s">
        <v>986</v>
      </c>
      <c r="EZ179" s="1605" t="s">
        <v>986</v>
      </c>
      <c r="FA179" s="1605" t="s">
        <v>986</v>
      </c>
      <c r="FB179" s="1605" t="s">
        <v>986</v>
      </c>
      <c r="FC179" s="1605" t="s">
        <v>986</v>
      </c>
      <c r="FD179" s="1605" t="s">
        <v>986</v>
      </c>
      <c r="FE179" s="1605" t="s">
        <v>986</v>
      </c>
      <c r="FF179" s="1605" t="s">
        <v>986</v>
      </c>
      <c r="FG179" s="1605" t="s">
        <v>986</v>
      </c>
      <c r="FH179" s="1605" t="s">
        <v>986</v>
      </c>
      <c r="FI179" s="1605" t="s">
        <v>986</v>
      </c>
      <c r="FJ179" s="1605" t="s">
        <v>986</v>
      </c>
      <c r="FK179" s="1605" t="s">
        <v>986</v>
      </c>
      <c r="FL179" s="1605" t="s">
        <v>986</v>
      </c>
      <c r="FM179" s="1605" t="s">
        <v>986</v>
      </c>
      <c r="FN179" s="1605" t="s">
        <v>986</v>
      </c>
      <c r="FO179" s="1605" t="s">
        <v>986</v>
      </c>
      <c r="FP179" s="1605" t="s">
        <v>986</v>
      </c>
      <c r="FQ179" s="1605" t="s">
        <v>986</v>
      </c>
      <c r="FR179" s="1605" t="s">
        <v>986</v>
      </c>
      <c r="FS179" s="1605" t="s">
        <v>986</v>
      </c>
      <c r="FT179" s="1605" t="s">
        <v>986</v>
      </c>
      <c r="FU179" s="1605" t="s">
        <v>986</v>
      </c>
      <c r="FV179" s="1605" t="s">
        <v>986</v>
      </c>
      <c r="FW179" s="1605" t="s">
        <v>986</v>
      </c>
      <c r="FX179" s="1605" t="s">
        <v>986</v>
      </c>
      <c r="FY179" s="1605" t="s">
        <v>986</v>
      </c>
      <c r="FZ179" s="1605" t="s">
        <v>986</v>
      </c>
      <c r="GA179" s="1605" t="s">
        <v>986</v>
      </c>
      <c r="GB179" s="1605" t="s">
        <v>986</v>
      </c>
      <c r="GC179" s="1605" t="s">
        <v>986</v>
      </c>
      <c r="GD179" s="1605" t="s">
        <v>986</v>
      </c>
      <c r="GE179" s="1605" t="s">
        <v>986</v>
      </c>
      <c r="GF179" s="1605" t="s">
        <v>986</v>
      </c>
      <c r="GG179" s="1605" t="s">
        <v>986</v>
      </c>
      <c r="GH179" s="1605" t="s">
        <v>986</v>
      </c>
      <c r="GI179" s="1605" t="s">
        <v>986</v>
      </c>
      <c r="GJ179" s="1605" t="s">
        <v>986</v>
      </c>
      <c r="GK179" s="1605" t="s">
        <v>986</v>
      </c>
      <c r="GL179" s="1605" t="s">
        <v>986</v>
      </c>
      <c r="GM179" s="1605" t="s">
        <v>986</v>
      </c>
      <c r="GN179" s="1605" t="s">
        <v>986</v>
      </c>
      <c r="GO179" s="1605" t="s">
        <v>986</v>
      </c>
      <c r="GP179" s="1605" t="s">
        <v>986</v>
      </c>
      <c r="GQ179" s="1605" t="s">
        <v>986</v>
      </c>
      <c r="GR179" s="1605" t="s">
        <v>986</v>
      </c>
      <c r="GS179" s="1605" t="s">
        <v>986</v>
      </c>
      <c r="GT179" s="1605" t="s">
        <v>986</v>
      </c>
      <c r="GU179" s="1605" t="s">
        <v>986</v>
      </c>
      <c r="GV179" s="1605" t="s">
        <v>986</v>
      </c>
      <c r="GW179" s="1605" t="s">
        <v>986</v>
      </c>
      <c r="GX179" s="1605" t="s">
        <v>986</v>
      </c>
      <c r="GY179" s="1605" t="s">
        <v>986</v>
      </c>
      <c r="GZ179" s="1605" t="s">
        <v>986</v>
      </c>
      <c r="HA179" s="1605" t="s">
        <v>986</v>
      </c>
      <c r="HB179" s="1605" t="s">
        <v>986</v>
      </c>
      <c r="HC179" s="1605" t="s">
        <v>986</v>
      </c>
      <c r="HD179" s="1605" t="s">
        <v>986</v>
      </c>
      <c r="HE179" s="1605" t="s">
        <v>986</v>
      </c>
      <c r="HF179" s="1605" t="s">
        <v>986</v>
      </c>
      <c r="HG179" s="1605" t="s">
        <v>986</v>
      </c>
      <c r="HH179" s="1605" t="s">
        <v>986</v>
      </c>
      <c r="HI179" s="1605" t="s">
        <v>986</v>
      </c>
      <c r="HJ179" s="1605" t="s">
        <v>986</v>
      </c>
      <c r="HK179" s="1605" t="s">
        <v>986</v>
      </c>
      <c r="HL179" s="1605" t="s">
        <v>986</v>
      </c>
      <c r="HM179" s="1605" t="s">
        <v>986</v>
      </c>
      <c r="HN179" s="1605" t="s">
        <v>986</v>
      </c>
      <c r="HO179" s="1605" t="s">
        <v>986</v>
      </c>
      <c r="HP179" s="1605" t="s">
        <v>986</v>
      </c>
      <c r="HQ179" s="1605" t="s">
        <v>986</v>
      </c>
      <c r="HR179" s="1605" t="s">
        <v>986</v>
      </c>
      <c r="HS179" s="1605" t="s">
        <v>986</v>
      </c>
      <c r="HT179" s="1605" t="s">
        <v>986</v>
      </c>
      <c r="HU179" s="1605" t="s">
        <v>986</v>
      </c>
      <c r="HV179" s="1617"/>
      <c r="HW179" s="1617">
        <v>0</v>
      </c>
      <c r="HX179" s="1617">
        <v>0</v>
      </c>
      <c r="HY179" s="1617">
        <v>0</v>
      </c>
      <c r="HZ179" s="1603"/>
      <c r="IA179" s="1603"/>
      <c r="IB179" s="1603"/>
      <c r="IC179" s="1603">
        <v>0</v>
      </c>
      <c r="ID179" s="1603">
        <v>0</v>
      </c>
      <c r="IE179" s="1603">
        <v>0</v>
      </c>
      <c r="IF179" s="1603">
        <v>0</v>
      </c>
      <c r="IG179" s="1611" t="s">
        <v>2932</v>
      </c>
      <c r="IH179" s="1616" t="s">
        <v>270</v>
      </c>
      <c r="II179" s="1615" t="s">
        <v>270</v>
      </c>
      <c r="IJ179" s="1613">
        <v>1.3101818181818183</v>
      </c>
      <c r="IK179" s="1613">
        <v>1.301848484848485</v>
      </c>
      <c r="IL179" s="1614">
        <v>1.3101818181818183</v>
      </c>
      <c r="IM179" s="1614">
        <v>1.301848484848485</v>
      </c>
      <c r="IN179" s="1612" t="s">
        <v>270</v>
      </c>
      <c r="IO179" s="1613" t="s">
        <v>270</v>
      </c>
      <c r="IP179" s="1607" t="s">
        <v>270</v>
      </c>
      <c r="IQ179" s="1612" t="s">
        <v>270</v>
      </c>
      <c r="IR179" s="1612" t="s">
        <v>270</v>
      </c>
      <c r="IS179" s="1607">
        <v>1.1881818181818182</v>
      </c>
      <c r="IT179" s="1607">
        <v>1.1798484848484849</v>
      </c>
      <c r="IU179" s="1611">
        <v>0</v>
      </c>
      <c r="IV179" s="1611">
        <v>7.7767676767676763E-2</v>
      </c>
      <c r="IW179" s="1611">
        <v>9.0909090909090909E-4</v>
      </c>
      <c r="IX179" s="1611">
        <v>1.6060606060606061E-3</v>
      </c>
      <c r="IY179" s="1611">
        <v>9.6969696969696957E-4</v>
      </c>
      <c r="IZ179" s="1611">
        <v>5.9898989898989896E-3</v>
      </c>
      <c r="JA179" s="1611">
        <v>6.0606060606060598E-5</v>
      </c>
      <c r="JB179" s="1611" t="s">
        <v>270</v>
      </c>
      <c r="JC179" s="1611">
        <v>9.9026969696969704</v>
      </c>
      <c r="JD179" s="1611">
        <v>5.2121212121212122E-3</v>
      </c>
      <c r="JE179" s="1611" t="s">
        <v>270</v>
      </c>
      <c r="JF179" s="1611">
        <v>8.2828282828282835E-4</v>
      </c>
      <c r="JG179" s="1611">
        <v>0.57978787878787885</v>
      </c>
      <c r="JH179" s="1611">
        <v>7.646464646464647E-3</v>
      </c>
      <c r="JI179" s="1611">
        <v>0.3</v>
      </c>
      <c r="JJ179" s="1611" t="s">
        <v>270</v>
      </c>
      <c r="JK179" s="1607">
        <f t="shared" si="11"/>
        <v>0.12200000000000011</v>
      </c>
      <c r="JL179" s="1608" t="s">
        <v>270</v>
      </c>
      <c r="JM179" s="1610" t="s">
        <v>2924</v>
      </c>
      <c r="JN179" s="1608">
        <v>8.3333333333333037E-3</v>
      </c>
      <c r="JO179" s="1609" t="s">
        <v>2931</v>
      </c>
      <c r="JP179" s="1608" t="s">
        <v>270</v>
      </c>
      <c r="JQ179" s="1607">
        <v>202103</v>
      </c>
      <c r="JR179" s="1606">
        <v>851</v>
      </c>
      <c r="JS179" s="1606">
        <v>774</v>
      </c>
      <c r="JT179" s="1606">
        <v>774</v>
      </c>
    </row>
    <row r="180" spans="1:280" ht="15" customHeight="1" x14ac:dyDescent="0.2">
      <c r="A180" s="1626">
        <v>48300</v>
      </c>
      <c r="B180" s="1625">
        <v>483</v>
      </c>
      <c r="C180" s="1624">
        <v>0</v>
      </c>
      <c r="D180" s="1623" t="s">
        <v>3313</v>
      </c>
      <c r="E180" s="1622">
        <v>43025</v>
      </c>
      <c r="F180" s="1620">
        <v>-0.112682926829268</v>
      </c>
      <c r="G180" s="1620">
        <v>-0.108</v>
      </c>
      <c r="H180" s="1621">
        <v>70</v>
      </c>
      <c r="I180" s="1621">
        <v>70</v>
      </c>
      <c r="J180" s="1621">
        <v>0</v>
      </c>
      <c r="K180" s="1620">
        <v>1</v>
      </c>
      <c r="L180" s="1620">
        <v>99</v>
      </c>
      <c r="M180" s="1620">
        <v>0</v>
      </c>
      <c r="N180" s="1620">
        <v>0</v>
      </c>
      <c r="O180" s="1620">
        <v>99</v>
      </c>
      <c r="P180" s="1620">
        <v>0</v>
      </c>
      <c r="Q180" s="1603"/>
      <c r="R180" s="1620">
        <v>0</v>
      </c>
      <c r="S180" s="1620">
        <v>0</v>
      </c>
      <c r="T180" s="1620">
        <v>0</v>
      </c>
      <c r="U180" s="1620">
        <v>0</v>
      </c>
      <c r="V180" s="1620">
        <v>0</v>
      </c>
      <c r="W180" s="1620">
        <v>0</v>
      </c>
      <c r="X180" s="1620"/>
      <c r="Y180" s="1620">
        <v>0</v>
      </c>
      <c r="Z180" s="1620">
        <v>0</v>
      </c>
      <c r="AA180" s="1620">
        <v>0</v>
      </c>
      <c r="AB180" s="1620">
        <v>0</v>
      </c>
      <c r="AC180" s="1620">
        <v>0</v>
      </c>
      <c r="AD180" s="1620">
        <v>0</v>
      </c>
      <c r="AE180" s="1620">
        <v>0</v>
      </c>
      <c r="AF180" s="1620">
        <v>0</v>
      </c>
      <c r="AG180" s="1620">
        <v>0</v>
      </c>
      <c r="AH180" s="1620">
        <v>2525.2525252525352</v>
      </c>
      <c r="AI180" s="1620">
        <v>0</v>
      </c>
      <c r="AJ180" s="1620">
        <v>0</v>
      </c>
      <c r="AK180" s="1620">
        <v>0</v>
      </c>
      <c r="AL180" s="1620"/>
      <c r="AM180" s="1620">
        <v>0</v>
      </c>
      <c r="AN180" s="1620">
        <v>0</v>
      </c>
      <c r="AO180" s="1620">
        <v>0</v>
      </c>
      <c r="AP180" s="1620">
        <v>0</v>
      </c>
      <c r="AQ180" s="1620">
        <v>0</v>
      </c>
      <c r="AR180" s="1620">
        <v>0</v>
      </c>
      <c r="AS180" s="1620">
        <v>0</v>
      </c>
      <c r="AT180" s="1620">
        <v>0</v>
      </c>
      <c r="AU180" s="1620">
        <v>0</v>
      </c>
      <c r="AV180" s="1620">
        <v>0</v>
      </c>
      <c r="AW180" s="1620">
        <v>0</v>
      </c>
      <c r="AX180" s="1620"/>
      <c r="AY180" s="1620">
        <v>1</v>
      </c>
      <c r="AZ180" s="1620">
        <v>1</v>
      </c>
      <c r="BA180" s="1620">
        <v>1</v>
      </c>
      <c r="BB180" s="1620">
        <v>1</v>
      </c>
      <c r="BC180" s="1620">
        <v>1</v>
      </c>
      <c r="BD180" s="1620">
        <v>1</v>
      </c>
      <c r="BE180" s="1620">
        <v>1</v>
      </c>
      <c r="BF180" s="1620">
        <v>1</v>
      </c>
      <c r="BG180" s="1620">
        <v>1</v>
      </c>
      <c r="BH180" s="1620">
        <v>1</v>
      </c>
      <c r="BI180" s="1620">
        <v>1</v>
      </c>
      <c r="BJ180" s="1603"/>
      <c r="BK180" s="1620">
        <v>0</v>
      </c>
      <c r="BL180" s="1620">
        <v>0</v>
      </c>
      <c r="BM180" s="1620">
        <v>100</v>
      </c>
      <c r="BN180" s="1620">
        <v>0</v>
      </c>
      <c r="BO180" s="1620"/>
      <c r="BP180" s="1620">
        <v>0</v>
      </c>
      <c r="BQ180" s="1620">
        <v>0</v>
      </c>
      <c r="BR180" s="1620">
        <v>-0.11382113821138182</v>
      </c>
      <c r="BS180" s="1620">
        <v>-0.1090909090909091</v>
      </c>
      <c r="BT180" s="1603"/>
      <c r="BU180" s="1620">
        <v>0</v>
      </c>
      <c r="BV180" s="1620">
        <v>0</v>
      </c>
      <c r="BW180" s="1620">
        <v>0</v>
      </c>
      <c r="BX180" s="1620" t="s">
        <v>270</v>
      </c>
      <c r="BY180" s="1620" t="s">
        <v>270</v>
      </c>
      <c r="BZ180" s="1620" t="s">
        <v>270</v>
      </c>
      <c r="CA180" s="1620" t="s">
        <v>270</v>
      </c>
      <c r="CB180" s="1603"/>
      <c r="CC180" s="1603">
        <v>0</v>
      </c>
      <c r="CD180" s="1603">
        <v>0</v>
      </c>
      <c r="CE180" s="1603">
        <v>0</v>
      </c>
      <c r="CF180" s="1603">
        <v>0</v>
      </c>
      <c r="CG180" s="1603">
        <v>0</v>
      </c>
      <c r="CH180" s="1603">
        <v>0</v>
      </c>
      <c r="CI180" s="1603">
        <v>0</v>
      </c>
      <c r="CJ180" s="1603"/>
      <c r="CK180" s="1603">
        <v>0</v>
      </c>
      <c r="CL180" s="1603">
        <v>0</v>
      </c>
      <c r="CM180" s="1603">
        <v>2500.00000000001</v>
      </c>
      <c r="CN180" s="1603">
        <v>0</v>
      </c>
      <c r="CO180" s="1603">
        <v>0</v>
      </c>
      <c r="CP180" s="1603">
        <v>0</v>
      </c>
      <c r="CQ180" s="1603">
        <v>0</v>
      </c>
      <c r="CR180" s="1603">
        <v>0</v>
      </c>
      <c r="CS180" s="1603">
        <v>0</v>
      </c>
      <c r="CT180" s="1603">
        <v>0</v>
      </c>
      <c r="CU180" s="1603">
        <v>0</v>
      </c>
      <c r="CV180" s="1603">
        <v>0</v>
      </c>
      <c r="CW180" s="1603">
        <v>0</v>
      </c>
      <c r="CX180" s="1603">
        <v>0</v>
      </c>
      <c r="CY180" s="1603">
        <v>0</v>
      </c>
      <c r="CZ180" s="1603">
        <v>0</v>
      </c>
      <c r="DA180" s="1603">
        <v>0</v>
      </c>
      <c r="DB180" s="1603">
        <v>0</v>
      </c>
      <c r="DC180" s="1603">
        <v>0</v>
      </c>
      <c r="DD180" s="1603">
        <v>0</v>
      </c>
      <c r="DE180" s="1603">
        <v>0</v>
      </c>
      <c r="DF180" s="1603">
        <v>0</v>
      </c>
      <c r="DG180" s="1603">
        <v>0</v>
      </c>
      <c r="DH180" s="1603">
        <v>0</v>
      </c>
      <c r="DI180" s="1603">
        <v>0</v>
      </c>
      <c r="DJ180" s="1603">
        <v>0</v>
      </c>
      <c r="DK180" s="1603">
        <v>0</v>
      </c>
      <c r="DL180" s="1603">
        <v>0</v>
      </c>
      <c r="DM180" s="1603">
        <v>0</v>
      </c>
      <c r="DN180" s="1603">
        <v>0</v>
      </c>
      <c r="DO180" s="1603">
        <v>0</v>
      </c>
      <c r="DP180" s="1603">
        <v>0</v>
      </c>
      <c r="DQ180" s="1603">
        <v>0</v>
      </c>
      <c r="DR180" s="1603">
        <v>0</v>
      </c>
      <c r="DS180" s="1603">
        <v>0</v>
      </c>
      <c r="DT180" s="1603">
        <v>0</v>
      </c>
      <c r="DU180" s="1603">
        <v>0</v>
      </c>
      <c r="DV180" s="1603">
        <v>0</v>
      </c>
      <c r="DW180" s="1618" t="s">
        <v>3312</v>
      </c>
      <c r="DX180" s="1605" t="s">
        <v>986</v>
      </c>
      <c r="DY180" s="1605" t="s">
        <v>986</v>
      </c>
      <c r="DZ180" s="1605" t="s">
        <v>986</v>
      </c>
      <c r="EA180" s="1605" t="s">
        <v>986</v>
      </c>
      <c r="EB180" s="1605" t="s">
        <v>986</v>
      </c>
      <c r="EC180" s="1605" t="s">
        <v>986</v>
      </c>
      <c r="ED180" s="1605" t="s">
        <v>986</v>
      </c>
      <c r="EE180" s="1605" t="s">
        <v>986</v>
      </c>
      <c r="EF180" s="1605" t="s">
        <v>986</v>
      </c>
      <c r="EG180" s="1605" t="s">
        <v>986</v>
      </c>
      <c r="EH180" s="1605" t="s">
        <v>986</v>
      </c>
      <c r="EI180" s="1605" t="s">
        <v>986</v>
      </c>
      <c r="EJ180" s="1605" t="s">
        <v>986</v>
      </c>
      <c r="EK180" s="1605" t="s">
        <v>986</v>
      </c>
      <c r="EL180" s="1605" t="s">
        <v>986</v>
      </c>
      <c r="EM180" s="1605" t="s">
        <v>986</v>
      </c>
      <c r="EN180" s="1605" t="s">
        <v>986</v>
      </c>
      <c r="EO180" s="1605" t="s">
        <v>986</v>
      </c>
      <c r="EP180" s="1605" t="s">
        <v>986</v>
      </c>
      <c r="EQ180" s="1605" t="s">
        <v>986</v>
      </c>
      <c r="ER180" s="1605" t="s">
        <v>986</v>
      </c>
      <c r="ES180" s="1605" t="s">
        <v>986</v>
      </c>
      <c r="ET180" s="1605" t="s">
        <v>986</v>
      </c>
      <c r="EU180" s="1605" t="s">
        <v>986</v>
      </c>
      <c r="EV180" s="1605" t="s">
        <v>986</v>
      </c>
      <c r="EW180" s="1605" t="s">
        <v>986</v>
      </c>
      <c r="EX180" s="1605" t="s">
        <v>986</v>
      </c>
      <c r="EY180" s="1605" t="s">
        <v>986</v>
      </c>
      <c r="EZ180" s="1605" t="s">
        <v>986</v>
      </c>
      <c r="FA180" s="1605" t="s">
        <v>986</v>
      </c>
      <c r="FB180" s="1605" t="s">
        <v>986</v>
      </c>
      <c r="FC180" s="1605" t="s">
        <v>986</v>
      </c>
      <c r="FD180" s="1605" t="s">
        <v>986</v>
      </c>
      <c r="FE180" s="1605" t="s">
        <v>986</v>
      </c>
      <c r="FF180" s="1605" t="s">
        <v>986</v>
      </c>
      <c r="FG180" s="1605" t="s">
        <v>986</v>
      </c>
      <c r="FH180" s="1605" t="s">
        <v>986</v>
      </c>
      <c r="FI180" s="1605" t="s">
        <v>986</v>
      </c>
      <c r="FJ180" s="1605" t="s">
        <v>986</v>
      </c>
      <c r="FK180" s="1605" t="s">
        <v>986</v>
      </c>
      <c r="FL180" s="1605" t="s">
        <v>986</v>
      </c>
      <c r="FM180" s="1605" t="s">
        <v>986</v>
      </c>
      <c r="FN180" s="1605" t="s">
        <v>986</v>
      </c>
      <c r="FO180" s="1605" t="s">
        <v>986</v>
      </c>
      <c r="FP180" s="1605" t="s">
        <v>986</v>
      </c>
      <c r="FQ180" s="1605" t="s">
        <v>986</v>
      </c>
      <c r="FR180" s="1605" t="s">
        <v>986</v>
      </c>
      <c r="FS180" s="1605" t="s">
        <v>986</v>
      </c>
      <c r="FT180" s="1605" t="s">
        <v>986</v>
      </c>
      <c r="FU180" s="1605" t="s">
        <v>986</v>
      </c>
      <c r="FV180" s="1605" t="s">
        <v>986</v>
      </c>
      <c r="FW180" s="1605" t="s">
        <v>986</v>
      </c>
      <c r="FX180" s="1605" t="s">
        <v>986</v>
      </c>
      <c r="FY180" s="1605" t="s">
        <v>986</v>
      </c>
      <c r="FZ180" s="1605" t="s">
        <v>986</v>
      </c>
      <c r="GA180" s="1605" t="s">
        <v>986</v>
      </c>
      <c r="GB180" s="1605" t="s">
        <v>986</v>
      </c>
      <c r="GC180" s="1605" t="s">
        <v>986</v>
      </c>
      <c r="GD180" s="1605" t="s">
        <v>986</v>
      </c>
      <c r="GE180" s="1605" t="s">
        <v>986</v>
      </c>
      <c r="GF180" s="1605" t="s">
        <v>986</v>
      </c>
      <c r="GG180" s="1605" t="s">
        <v>986</v>
      </c>
      <c r="GH180" s="1605" t="s">
        <v>986</v>
      </c>
      <c r="GI180" s="1605" t="s">
        <v>986</v>
      </c>
      <c r="GJ180" s="1605" t="s">
        <v>986</v>
      </c>
      <c r="GK180" s="1605" t="s">
        <v>986</v>
      </c>
      <c r="GL180" s="1605" t="s">
        <v>986</v>
      </c>
      <c r="GM180" s="1605" t="s">
        <v>986</v>
      </c>
      <c r="GN180" s="1605" t="s">
        <v>986</v>
      </c>
      <c r="GO180" s="1605" t="s">
        <v>986</v>
      </c>
      <c r="GP180" s="1605" t="s">
        <v>986</v>
      </c>
      <c r="GQ180" s="1605" t="s">
        <v>986</v>
      </c>
      <c r="GR180" s="1605" t="s">
        <v>986</v>
      </c>
      <c r="GS180" s="1605" t="s">
        <v>986</v>
      </c>
      <c r="GT180" s="1605" t="s">
        <v>986</v>
      </c>
      <c r="GU180" s="1605" t="s">
        <v>986</v>
      </c>
      <c r="GV180" s="1605" t="s">
        <v>986</v>
      </c>
      <c r="GW180" s="1605" t="s">
        <v>986</v>
      </c>
      <c r="GX180" s="1605" t="s">
        <v>986</v>
      </c>
      <c r="GY180" s="1605" t="s">
        <v>986</v>
      </c>
      <c r="GZ180" s="1605" t="s">
        <v>986</v>
      </c>
      <c r="HA180" s="1605" t="s">
        <v>986</v>
      </c>
      <c r="HB180" s="1605" t="s">
        <v>986</v>
      </c>
      <c r="HC180" s="1605" t="s">
        <v>986</v>
      </c>
      <c r="HD180" s="1605" t="s">
        <v>986</v>
      </c>
      <c r="HE180" s="1605" t="s">
        <v>986</v>
      </c>
      <c r="HF180" s="1605" t="s">
        <v>986</v>
      </c>
      <c r="HG180" s="1605" t="s">
        <v>986</v>
      </c>
      <c r="HH180" s="1605" t="s">
        <v>986</v>
      </c>
      <c r="HI180" s="1605" t="s">
        <v>986</v>
      </c>
      <c r="HJ180" s="1605" t="s">
        <v>986</v>
      </c>
      <c r="HK180" s="1605" t="s">
        <v>986</v>
      </c>
      <c r="HL180" s="1605" t="s">
        <v>986</v>
      </c>
      <c r="HM180" s="1605" t="s">
        <v>986</v>
      </c>
      <c r="HN180" s="1605" t="s">
        <v>986</v>
      </c>
      <c r="HO180" s="1605" t="s">
        <v>986</v>
      </c>
      <c r="HP180" s="1605" t="s">
        <v>986</v>
      </c>
      <c r="HQ180" s="1605" t="s">
        <v>986</v>
      </c>
      <c r="HR180" s="1605" t="s">
        <v>986</v>
      </c>
      <c r="HS180" s="1605" t="s">
        <v>986</v>
      </c>
      <c r="HT180" s="1605" t="s">
        <v>986</v>
      </c>
      <c r="HU180" s="1605" t="s">
        <v>986</v>
      </c>
      <c r="HV180" s="1617"/>
      <c r="HW180" s="1617">
        <v>0</v>
      </c>
      <c r="HX180" s="1617">
        <v>0</v>
      </c>
      <c r="HY180" s="1617">
        <v>0</v>
      </c>
      <c r="HZ180" s="1603"/>
      <c r="IA180" s="1603"/>
      <c r="IB180" s="1603"/>
      <c r="IC180" s="1603">
        <v>0</v>
      </c>
      <c r="ID180" s="1603">
        <v>0</v>
      </c>
      <c r="IE180" s="1603">
        <v>0</v>
      </c>
      <c r="IF180" s="1603">
        <v>0</v>
      </c>
      <c r="IG180" s="1611" t="s">
        <v>2932</v>
      </c>
      <c r="IH180" s="1616" t="s">
        <v>270</v>
      </c>
      <c r="II180" s="1615" t="s">
        <v>270</v>
      </c>
      <c r="IJ180" s="1613">
        <v>1.3101818181818183</v>
      </c>
      <c r="IK180" s="1613">
        <v>1.301848484848485</v>
      </c>
      <c r="IL180" s="1614">
        <v>1.3101818181818183</v>
      </c>
      <c r="IM180" s="1614">
        <v>1.301848484848485</v>
      </c>
      <c r="IN180" s="1612" t="s">
        <v>270</v>
      </c>
      <c r="IO180" s="1613" t="s">
        <v>270</v>
      </c>
      <c r="IP180" s="1607" t="s">
        <v>270</v>
      </c>
      <c r="IQ180" s="1612" t="s">
        <v>270</v>
      </c>
      <c r="IR180" s="1612" t="s">
        <v>270</v>
      </c>
      <c r="IS180" s="1607">
        <v>1.1881818181818182</v>
      </c>
      <c r="IT180" s="1607">
        <v>1.1798484848484849</v>
      </c>
      <c r="IU180" s="1611">
        <v>0</v>
      </c>
      <c r="IV180" s="1611">
        <v>7.7767676767676763E-2</v>
      </c>
      <c r="IW180" s="1611">
        <v>9.0909090909090909E-4</v>
      </c>
      <c r="IX180" s="1611">
        <v>1.6060606060606061E-3</v>
      </c>
      <c r="IY180" s="1611">
        <v>9.6969696969696957E-4</v>
      </c>
      <c r="IZ180" s="1611">
        <v>5.9898989898989896E-3</v>
      </c>
      <c r="JA180" s="1611">
        <v>6.0606060606060598E-5</v>
      </c>
      <c r="JB180" s="1611" t="s">
        <v>270</v>
      </c>
      <c r="JC180" s="1611">
        <v>9.9026969696969704</v>
      </c>
      <c r="JD180" s="1611">
        <v>5.2121212121212122E-3</v>
      </c>
      <c r="JE180" s="1611" t="s">
        <v>270</v>
      </c>
      <c r="JF180" s="1611">
        <v>8.2828282828282835E-4</v>
      </c>
      <c r="JG180" s="1611">
        <v>0.57978787878787885</v>
      </c>
      <c r="JH180" s="1611">
        <v>7.646464646464647E-3</v>
      </c>
      <c r="JI180" s="1611">
        <v>0.3</v>
      </c>
      <c r="JJ180" s="1611" t="s">
        <v>270</v>
      </c>
      <c r="JK180" s="1607">
        <f t="shared" si="11"/>
        <v>0.12200000000000011</v>
      </c>
      <c r="JL180" s="1608" t="s">
        <v>270</v>
      </c>
      <c r="JM180" s="1610" t="s">
        <v>2924</v>
      </c>
      <c r="JN180" s="1608">
        <v>8.3333333333333037E-3</v>
      </c>
      <c r="JO180" s="1609" t="s">
        <v>2931</v>
      </c>
      <c r="JP180" s="1608" t="s">
        <v>270</v>
      </c>
      <c r="JQ180" s="1607">
        <v>202103</v>
      </c>
      <c r="JR180" s="1606">
        <v>851</v>
      </c>
      <c r="JS180" s="1606">
        <v>774</v>
      </c>
      <c r="JT180" s="1606">
        <v>774</v>
      </c>
    </row>
    <row r="181" spans="1:280" ht="15" customHeight="1" x14ac:dyDescent="0.2">
      <c r="A181" s="1626">
        <v>72900</v>
      </c>
      <c r="B181" s="1625">
        <v>729</v>
      </c>
      <c r="C181" s="1624">
        <v>0</v>
      </c>
      <c r="D181" s="1623" t="s">
        <v>3311</v>
      </c>
      <c r="E181" s="1622">
        <v>43031</v>
      </c>
      <c r="F181" s="1620">
        <v>0.15808302981029801</v>
      </c>
      <c r="G181" s="1620">
        <v>0.18512736103896099</v>
      </c>
      <c r="H181" s="1621">
        <v>48</v>
      </c>
      <c r="I181" s="1621">
        <v>41</v>
      </c>
      <c r="J181" s="1621">
        <v>71</v>
      </c>
      <c r="K181" s="1620">
        <v>1</v>
      </c>
      <c r="L181" s="1620">
        <v>26</v>
      </c>
      <c r="M181" s="1620">
        <v>6.2919999999999998</v>
      </c>
      <c r="N181" s="1620">
        <v>2.548</v>
      </c>
      <c r="O181" s="1620">
        <v>1.17</v>
      </c>
      <c r="P181" s="1620">
        <v>4.16</v>
      </c>
      <c r="Q181" s="1603"/>
      <c r="R181" s="1620">
        <v>64</v>
      </c>
      <c r="S181" s="1620">
        <v>30</v>
      </c>
      <c r="T181" s="1620">
        <v>41.382113821138198</v>
      </c>
      <c r="U181" s="1620">
        <v>45.934959349593498</v>
      </c>
      <c r="V181" s="1620">
        <v>50.032520325203301</v>
      </c>
      <c r="W181" s="1620">
        <v>52.764227642276403</v>
      </c>
      <c r="X181" s="1620"/>
      <c r="Y181" s="1620">
        <v>3.3</v>
      </c>
      <c r="Z181" s="1620">
        <v>5.9</v>
      </c>
      <c r="AA181" s="1620">
        <v>0.2</v>
      </c>
      <c r="AB181" s="1620">
        <v>1.0999999999999999</v>
      </c>
      <c r="AC181" s="1620">
        <v>0.6</v>
      </c>
      <c r="AD181" s="1620">
        <v>1.8000000000000003</v>
      </c>
      <c r="AE181" s="1620">
        <v>3</v>
      </c>
      <c r="AF181" s="1620">
        <v>240</v>
      </c>
      <c r="AG181" s="1620">
        <v>14.5</v>
      </c>
      <c r="AH181" s="1620">
        <v>38.699999999999996</v>
      </c>
      <c r="AI181" s="1620">
        <v>96.699999999999989</v>
      </c>
      <c r="AJ181" s="1620">
        <v>0</v>
      </c>
      <c r="AK181" s="1620">
        <v>0</v>
      </c>
      <c r="AL181" s="1620"/>
      <c r="AM181" s="1620">
        <v>3.7</v>
      </c>
      <c r="AN181" s="1620">
        <v>2</v>
      </c>
      <c r="AO181" s="1620">
        <v>2.1</v>
      </c>
      <c r="AP181" s="1620">
        <v>3.6</v>
      </c>
      <c r="AQ181" s="1620">
        <v>0.9</v>
      </c>
      <c r="AR181" s="1620">
        <v>4.2</v>
      </c>
      <c r="AS181" s="1620">
        <v>8.1</v>
      </c>
      <c r="AT181" s="1620">
        <v>2.2000000000000002</v>
      </c>
      <c r="AU181" s="1620">
        <v>5.2</v>
      </c>
      <c r="AV181" s="1620">
        <v>3.9</v>
      </c>
      <c r="AW181" s="1620">
        <v>5.2</v>
      </c>
      <c r="AX181" s="1620"/>
      <c r="AY181" s="1620">
        <v>0.94</v>
      </c>
      <c r="AZ181" s="1620">
        <v>1.08</v>
      </c>
      <c r="BA181" s="1620">
        <v>1.03</v>
      </c>
      <c r="BB181" s="1620">
        <v>0.95</v>
      </c>
      <c r="BC181" s="1620">
        <v>0.96</v>
      </c>
      <c r="BD181" s="1620">
        <v>1</v>
      </c>
      <c r="BE181" s="1620">
        <v>1.01</v>
      </c>
      <c r="BF181" s="1620">
        <v>1</v>
      </c>
      <c r="BG181" s="1620">
        <v>1.04</v>
      </c>
      <c r="BH181" s="1620">
        <v>0.97</v>
      </c>
      <c r="BI181" s="1620">
        <v>0.96</v>
      </c>
      <c r="BJ181" s="1603"/>
      <c r="BK181" s="1620">
        <v>24.199999999999996</v>
      </c>
      <c r="BL181" s="1620">
        <v>9.8000000000000007</v>
      </c>
      <c r="BM181" s="1620">
        <v>4.5</v>
      </c>
      <c r="BN181" s="1620">
        <v>16</v>
      </c>
      <c r="BO181" s="1620"/>
      <c r="BP181" s="1620">
        <v>120</v>
      </c>
      <c r="BQ181" s="1620">
        <v>117.6</v>
      </c>
      <c r="BR181" s="1620">
        <v>0.60801165311653083</v>
      </c>
      <c r="BS181" s="1620">
        <v>0.71202831168831149</v>
      </c>
      <c r="BT181" s="1603"/>
      <c r="BU181" s="1620">
        <v>955</v>
      </c>
      <c r="BV181" s="1620">
        <v>47.62</v>
      </c>
      <c r="BW181" s="1620">
        <v>95.5</v>
      </c>
      <c r="BX181" s="1620" t="s">
        <v>270</v>
      </c>
      <c r="BY181" s="1620" t="s">
        <v>270</v>
      </c>
      <c r="BZ181" s="1620">
        <v>36</v>
      </c>
      <c r="CA181" s="1620">
        <v>553</v>
      </c>
      <c r="CB181" s="1603"/>
      <c r="CC181" s="1603">
        <v>0.85799999999999998</v>
      </c>
      <c r="CD181" s="1603">
        <v>1.5340000000000003</v>
      </c>
      <c r="CE181" s="1603">
        <v>5.2000000000000005E-2</v>
      </c>
      <c r="CF181" s="1603">
        <v>0.28599999999999998</v>
      </c>
      <c r="CG181" s="1603">
        <v>0.156</v>
      </c>
      <c r="CH181" s="1603">
        <v>0.46800000000000008</v>
      </c>
      <c r="CI181" s="1603">
        <v>0.78</v>
      </c>
      <c r="CJ181" s="1603"/>
      <c r="CK181" s="1603">
        <v>62.400000000000006</v>
      </c>
      <c r="CL181" s="1603">
        <v>3.77</v>
      </c>
      <c r="CM181" s="1603">
        <v>10.061999999999999</v>
      </c>
      <c r="CN181" s="1603">
        <v>25.141999999999999</v>
      </c>
      <c r="CO181" s="1603">
        <v>0</v>
      </c>
      <c r="CP181" s="1603">
        <v>0</v>
      </c>
      <c r="CQ181" s="1603">
        <v>40.268799999999999</v>
      </c>
      <c r="CR181" s="1603">
        <v>254.73195983353278</v>
      </c>
      <c r="CS181" s="1603">
        <v>8.8595775630102693</v>
      </c>
      <c r="CT181" s="1603">
        <v>5.5022103324043083</v>
      </c>
      <c r="CU181" s="1603">
        <v>5.509852291199314</v>
      </c>
      <c r="CV181" s="1603">
        <v>11.012062623603622</v>
      </c>
      <c r="CW181" s="1603">
        <v>8.7118330263068202</v>
      </c>
      <c r="CX181" s="1603">
        <v>2.2008841329617232</v>
      </c>
      <c r="CY181" s="1603">
        <v>10.698742313008378</v>
      </c>
      <c r="CZ181" s="1603">
        <v>20.83962163398132</v>
      </c>
      <c r="DA181" s="1603">
        <v>5.6041031163377211</v>
      </c>
      <c r="DB181" s="1603">
        <v>13.775904387797453</v>
      </c>
      <c r="DC181" s="1603">
        <v>9.6365100405025448</v>
      </c>
      <c r="DD181" s="1603">
        <v>23.4124144283</v>
      </c>
      <c r="DE181" s="1603">
        <v>12.716219434889956</v>
      </c>
      <c r="DF181" s="1603">
        <v>0</v>
      </c>
      <c r="DG181" s="1603">
        <v>0</v>
      </c>
      <c r="DH181" s="1603">
        <v>0</v>
      </c>
      <c r="DI181" s="1603">
        <v>0</v>
      </c>
      <c r="DJ181" s="1603">
        <v>0</v>
      </c>
      <c r="DK181" s="1603">
        <v>0</v>
      </c>
      <c r="DL181" s="1603">
        <v>0</v>
      </c>
      <c r="DM181" s="1603">
        <v>0</v>
      </c>
      <c r="DN181" s="1603">
        <v>0</v>
      </c>
      <c r="DO181" s="1603">
        <v>0</v>
      </c>
      <c r="DP181" s="1603">
        <v>0</v>
      </c>
      <c r="DQ181" s="1603">
        <v>0</v>
      </c>
      <c r="DR181" s="1603">
        <v>0</v>
      </c>
      <c r="DS181" s="1603">
        <v>0</v>
      </c>
      <c r="DT181" s="1603">
        <v>0</v>
      </c>
      <c r="DU181" s="1603">
        <v>0</v>
      </c>
      <c r="DV181" s="1603">
        <v>0</v>
      </c>
      <c r="DW181" s="1618" t="s">
        <v>3309</v>
      </c>
      <c r="DX181" s="1605" t="s">
        <v>986</v>
      </c>
      <c r="DY181" s="1605" t="s">
        <v>986</v>
      </c>
      <c r="DZ181" s="1605" t="s">
        <v>986</v>
      </c>
      <c r="EA181" s="1605" t="s">
        <v>986</v>
      </c>
      <c r="EB181" s="1605" t="s">
        <v>986</v>
      </c>
      <c r="EC181" s="1605" t="s">
        <v>986</v>
      </c>
      <c r="ED181" s="1605" t="s">
        <v>986</v>
      </c>
      <c r="EE181" s="1605" t="s">
        <v>986</v>
      </c>
      <c r="EF181" s="1605" t="s">
        <v>986</v>
      </c>
      <c r="EG181" s="1605" t="s">
        <v>986</v>
      </c>
      <c r="EH181" s="1605" t="s">
        <v>986</v>
      </c>
      <c r="EI181" s="1605" t="s">
        <v>986</v>
      </c>
      <c r="EJ181" s="1605" t="s">
        <v>986</v>
      </c>
      <c r="EK181" s="1605" t="s">
        <v>986</v>
      </c>
      <c r="EL181" s="1605" t="s">
        <v>986</v>
      </c>
      <c r="EM181" s="1605" t="s">
        <v>986</v>
      </c>
      <c r="EN181" s="1605" t="s">
        <v>986</v>
      </c>
      <c r="EO181" s="1605" t="s">
        <v>986</v>
      </c>
      <c r="EP181" s="1605" t="s">
        <v>986</v>
      </c>
      <c r="EQ181" s="1605" t="s">
        <v>986</v>
      </c>
      <c r="ER181" s="1605" t="s">
        <v>986</v>
      </c>
      <c r="ES181" s="1605" t="s">
        <v>986</v>
      </c>
      <c r="ET181" s="1605" t="s">
        <v>986</v>
      </c>
      <c r="EU181" s="1605" t="s">
        <v>986</v>
      </c>
      <c r="EV181" s="1605" t="s">
        <v>986</v>
      </c>
      <c r="EW181" s="1605" t="s">
        <v>986</v>
      </c>
      <c r="EX181" s="1605" t="s">
        <v>986</v>
      </c>
      <c r="EY181" s="1605" t="s">
        <v>986</v>
      </c>
      <c r="EZ181" s="1605" t="s">
        <v>986</v>
      </c>
      <c r="FA181" s="1605" t="s">
        <v>986</v>
      </c>
      <c r="FB181" s="1605" t="s">
        <v>986</v>
      </c>
      <c r="FC181" s="1605" t="s">
        <v>986</v>
      </c>
      <c r="FD181" s="1605" t="s">
        <v>986</v>
      </c>
      <c r="FE181" s="1605" t="s">
        <v>986</v>
      </c>
      <c r="FF181" s="1605" t="s">
        <v>986</v>
      </c>
      <c r="FG181" s="1605" t="s">
        <v>986</v>
      </c>
      <c r="FH181" s="1605" t="s">
        <v>986</v>
      </c>
      <c r="FI181" s="1605" t="s">
        <v>986</v>
      </c>
      <c r="FJ181" s="1605" t="s">
        <v>986</v>
      </c>
      <c r="FK181" s="1605" t="s">
        <v>986</v>
      </c>
      <c r="FL181" s="1605" t="s">
        <v>986</v>
      </c>
      <c r="FM181" s="1605" t="s">
        <v>986</v>
      </c>
      <c r="FN181" s="1605" t="s">
        <v>986</v>
      </c>
      <c r="FO181" s="1605" t="s">
        <v>986</v>
      </c>
      <c r="FP181" s="1605" t="s">
        <v>986</v>
      </c>
      <c r="FQ181" s="1605" t="s">
        <v>986</v>
      </c>
      <c r="FR181" s="1605" t="s">
        <v>986</v>
      </c>
      <c r="FS181" s="1605" t="s">
        <v>986</v>
      </c>
      <c r="FT181" s="1605" t="s">
        <v>986</v>
      </c>
      <c r="FU181" s="1605" t="s">
        <v>986</v>
      </c>
      <c r="FV181" s="1605" t="s">
        <v>986</v>
      </c>
      <c r="FW181" s="1605" t="s">
        <v>986</v>
      </c>
      <c r="FX181" s="1605" t="s">
        <v>986</v>
      </c>
      <c r="FY181" s="1605" t="s">
        <v>986</v>
      </c>
      <c r="FZ181" s="1605" t="s">
        <v>986</v>
      </c>
      <c r="GA181" s="1605" t="s">
        <v>986</v>
      </c>
      <c r="GB181" s="1605" t="s">
        <v>986</v>
      </c>
      <c r="GC181" s="1605" t="s">
        <v>986</v>
      </c>
      <c r="GD181" s="1605" t="s">
        <v>986</v>
      </c>
      <c r="GE181" s="1605" t="s">
        <v>986</v>
      </c>
      <c r="GF181" s="1605" t="s">
        <v>986</v>
      </c>
      <c r="GG181" s="1605" t="s">
        <v>986</v>
      </c>
      <c r="GH181" s="1605" t="s">
        <v>986</v>
      </c>
      <c r="GI181" s="1605" t="s">
        <v>986</v>
      </c>
      <c r="GJ181" s="1605" t="s">
        <v>986</v>
      </c>
      <c r="GK181" s="1605" t="s">
        <v>986</v>
      </c>
      <c r="GL181" s="1605" t="s">
        <v>986</v>
      </c>
      <c r="GM181" s="1605" t="s">
        <v>986</v>
      </c>
      <c r="GN181" s="1605" t="s">
        <v>986</v>
      </c>
      <c r="GO181" s="1605" t="s">
        <v>986</v>
      </c>
      <c r="GP181" s="1605" t="s">
        <v>986</v>
      </c>
      <c r="GQ181" s="1605" t="s">
        <v>986</v>
      </c>
      <c r="GR181" s="1605" t="s">
        <v>986</v>
      </c>
      <c r="GS181" s="1605" t="s">
        <v>986</v>
      </c>
      <c r="GT181" s="1605" t="s">
        <v>986</v>
      </c>
      <c r="GU181" s="1605" t="s">
        <v>986</v>
      </c>
      <c r="GV181" s="1605" t="s">
        <v>986</v>
      </c>
      <c r="GW181" s="1605" t="s">
        <v>986</v>
      </c>
      <c r="GX181" s="1605" t="s">
        <v>986</v>
      </c>
      <c r="GY181" s="1605" t="s">
        <v>986</v>
      </c>
      <c r="GZ181" s="1605" t="s">
        <v>986</v>
      </c>
      <c r="HA181" s="1605" t="s">
        <v>986</v>
      </c>
      <c r="HB181" s="1605" t="s">
        <v>986</v>
      </c>
      <c r="HC181" s="1605" t="s">
        <v>986</v>
      </c>
      <c r="HD181" s="1605" t="s">
        <v>986</v>
      </c>
      <c r="HE181" s="1605" t="s">
        <v>986</v>
      </c>
      <c r="HF181" s="1605" t="s">
        <v>986</v>
      </c>
      <c r="HG181" s="1605" t="s">
        <v>986</v>
      </c>
      <c r="HH181" s="1605" t="s">
        <v>986</v>
      </c>
      <c r="HI181" s="1605" t="s">
        <v>986</v>
      </c>
      <c r="HJ181" s="1605" t="s">
        <v>986</v>
      </c>
      <c r="HK181" s="1605" t="s">
        <v>986</v>
      </c>
      <c r="HL181" s="1605" t="s">
        <v>986</v>
      </c>
      <c r="HM181" s="1605" t="s">
        <v>986</v>
      </c>
      <c r="HN181" s="1605" t="s">
        <v>986</v>
      </c>
      <c r="HO181" s="1605" t="s">
        <v>986</v>
      </c>
      <c r="HP181" s="1605" t="s">
        <v>986</v>
      </c>
      <c r="HQ181" s="1605" t="s">
        <v>986</v>
      </c>
      <c r="HR181" s="1605" t="s">
        <v>986</v>
      </c>
      <c r="HS181" s="1605" t="s">
        <v>986</v>
      </c>
      <c r="HT181" s="1605" t="s">
        <v>986</v>
      </c>
      <c r="HU181" s="1605" t="s">
        <v>986</v>
      </c>
      <c r="HV181" s="1617"/>
      <c r="HW181" s="1617">
        <v>0</v>
      </c>
      <c r="HX181" s="1617">
        <v>0</v>
      </c>
      <c r="HY181" s="1617">
        <v>0</v>
      </c>
      <c r="HZ181" s="1603"/>
      <c r="IA181" s="1603"/>
      <c r="IB181" s="1603"/>
      <c r="IC181" s="1603">
        <v>54.8130081300813</v>
      </c>
      <c r="ID181" s="1603">
        <v>56.178861788617901</v>
      </c>
      <c r="IE181" s="1603">
        <v>57.317073170731703</v>
      </c>
      <c r="IF181" s="1603">
        <v>58</v>
      </c>
      <c r="IG181" s="1611" t="s">
        <v>3308</v>
      </c>
      <c r="IH181" s="1616" t="s">
        <v>270</v>
      </c>
      <c r="II181" s="1615" t="s">
        <v>270</v>
      </c>
      <c r="IJ181" s="1613">
        <v>0.7087159090909092</v>
      </c>
      <c r="IK181" s="1613">
        <v>0.69368181818181818</v>
      </c>
      <c r="IL181" s="1614">
        <v>0.7087159090909092</v>
      </c>
      <c r="IM181" s="1614">
        <v>0.69368181818181818</v>
      </c>
      <c r="IN181" s="1612" t="s">
        <v>270</v>
      </c>
      <c r="IO181" s="1613" t="s">
        <v>270</v>
      </c>
      <c r="IP181" s="1607" t="s">
        <v>270</v>
      </c>
      <c r="IQ181" s="1612" t="s">
        <v>270</v>
      </c>
      <c r="IR181" s="1612" t="s">
        <v>270</v>
      </c>
      <c r="IS181" s="1607">
        <v>0.69271590909090919</v>
      </c>
      <c r="IT181" s="1607">
        <v>0.67768181818181816</v>
      </c>
      <c r="IU181" s="1611">
        <v>0</v>
      </c>
      <c r="IV181" s="1611">
        <v>1.1034090909090912E-2</v>
      </c>
      <c r="IW181" s="1611">
        <v>1.1363636363636365E-3</v>
      </c>
      <c r="IX181" s="1611">
        <v>9.6590909090909084E-4</v>
      </c>
      <c r="IY181" s="1611">
        <v>1.1477272727272727E-3</v>
      </c>
      <c r="IZ181" s="1611">
        <v>5.1477272727272726E-3</v>
      </c>
      <c r="JA181" s="1611">
        <v>7.9545454545454551E-5</v>
      </c>
      <c r="JB181" s="1611" t="s">
        <v>270</v>
      </c>
      <c r="JC181" s="1611">
        <v>2.2942272727272726</v>
      </c>
      <c r="JD181" s="1611">
        <v>8.2727272727272719E-3</v>
      </c>
      <c r="JE181" s="1611" t="s">
        <v>270</v>
      </c>
      <c r="JF181" s="1611">
        <v>8.2954545454545444E-4</v>
      </c>
      <c r="JG181" s="1611">
        <v>0.75535227272727279</v>
      </c>
      <c r="JH181" s="1611">
        <v>2.9545454545454547E-4</v>
      </c>
      <c r="JI181" s="1611">
        <v>0.15743181818181817</v>
      </c>
      <c r="JJ181" s="1611" t="s">
        <v>270</v>
      </c>
      <c r="JK181" s="1607">
        <f t="shared" si="11"/>
        <v>1.6000000000000014E-2</v>
      </c>
      <c r="JL181" s="1608" t="s">
        <v>270</v>
      </c>
      <c r="JM181" s="1610" t="s">
        <v>2924</v>
      </c>
      <c r="JN181" s="1608">
        <v>1.5034090909091025E-2</v>
      </c>
      <c r="JO181" s="1609" t="s">
        <v>3114</v>
      </c>
      <c r="JP181" s="1608" t="s">
        <v>270</v>
      </c>
      <c r="JQ181" s="1607">
        <v>202103</v>
      </c>
      <c r="JR181" s="1606">
        <v>849</v>
      </c>
      <c r="JS181" s="1606">
        <v>772</v>
      </c>
      <c r="JT181" s="1606">
        <v>772</v>
      </c>
    </row>
    <row r="182" spans="1:280" ht="15" customHeight="1" x14ac:dyDescent="0.2">
      <c r="A182" s="1626">
        <v>72800</v>
      </c>
      <c r="B182" s="1625">
        <v>728</v>
      </c>
      <c r="C182" s="1624">
        <v>0</v>
      </c>
      <c r="D182" s="1623" t="s">
        <v>3310</v>
      </c>
      <c r="E182" s="1622">
        <v>43031</v>
      </c>
      <c r="F182" s="1620">
        <v>0.53505025474254697</v>
      </c>
      <c r="G182" s="1620">
        <v>0.62658491428571494</v>
      </c>
      <c r="H182" s="1621">
        <v>48</v>
      </c>
      <c r="I182" s="1621">
        <v>41</v>
      </c>
      <c r="J182" s="1621">
        <v>91</v>
      </c>
      <c r="K182" s="1620">
        <v>1</v>
      </c>
      <c r="L182" s="1620">
        <v>88</v>
      </c>
      <c r="M182" s="1620">
        <v>21.295999999999999</v>
      </c>
      <c r="N182" s="1620">
        <v>8.6240000000000006</v>
      </c>
      <c r="O182" s="1620">
        <v>3.96</v>
      </c>
      <c r="P182" s="1620">
        <v>14.08</v>
      </c>
      <c r="Q182" s="1603"/>
      <c r="R182" s="1620">
        <v>64</v>
      </c>
      <c r="S182" s="1620">
        <v>30</v>
      </c>
      <c r="T182" s="1620">
        <v>41.382113821138198</v>
      </c>
      <c r="U182" s="1620">
        <v>45.934959349593498</v>
      </c>
      <c r="V182" s="1620">
        <v>50.032520325203301</v>
      </c>
      <c r="W182" s="1620">
        <v>52.764227642276403</v>
      </c>
      <c r="X182" s="1620"/>
      <c r="Y182" s="1620">
        <v>3.3</v>
      </c>
      <c r="Z182" s="1620">
        <v>5.9</v>
      </c>
      <c r="AA182" s="1620">
        <v>0.19999999999999998</v>
      </c>
      <c r="AB182" s="1620">
        <v>1.0999999999999999</v>
      </c>
      <c r="AC182" s="1620">
        <v>0.60000000000000009</v>
      </c>
      <c r="AD182" s="1620">
        <v>1.8</v>
      </c>
      <c r="AE182" s="1620">
        <v>3</v>
      </c>
      <c r="AF182" s="1620">
        <v>240</v>
      </c>
      <c r="AG182" s="1620">
        <v>14.5</v>
      </c>
      <c r="AH182" s="1620">
        <v>38.699999999999996</v>
      </c>
      <c r="AI182" s="1620">
        <v>96.7</v>
      </c>
      <c r="AJ182" s="1620">
        <v>0</v>
      </c>
      <c r="AK182" s="1620">
        <v>0</v>
      </c>
      <c r="AL182" s="1620"/>
      <c r="AM182" s="1620">
        <v>3.5</v>
      </c>
      <c r="AN182" s="1620">
        <v>2</v>
      </c>
      <c r="AO182" s="1620">
        <v>2</v>
      </c>
      <c r="AP182" s="1620">
        <v>3.6</v>
      </c>
      <c r="AQ182" s="1620">
        <v>1.2</v>
      </c>
      <c r="AR182" s="1620">
        <v>4</v>
      </c>
      <c r="AS182" s="1620">
        <v>8.4</v>
      </c>
      <c r="AT182" s="1620">
        <v>2.2000000000000002</v>
      </c>
      <c r="AU182" s="1620">
        <v>5.3</v>
      </c>
      <c r="AV182" s="1620">
        <v>3.4</v>
      </c>
      <c r="AW182" s="1620">
        <v>5.4</v>
      </c>
      <c r="AX182" s="1620"/>
      <c r="AY182" s="1620">
        <v>0.94</v>
      </c>
      <c r="AZ182" s="1620">
        <v>1.08</v>
      </c>
      <c r="BA182" s="1620">
        <v>1.03</v>
      </c>
      <c r="BB182" s="1620">
        <v>0.95</v>
      </c>
      <c r="BC182" s="1620">
        <v>0.96</v>
      </c>
      <c r="BD182" s="1620">
        <v>1</v>
      </c>
      <c r="BE182" s="1620">
        <v>1.01</v>
      </c>
      <c r="BF182" s="1620">
        <v>1</v>
      </c>
      <c r="BG182" s="1620">
        <v>1.04</v>
      </c>
      <c r="BH182" s="1620">
        <v>0.97</v>
      </c>
      <c r="BI182" s="1620">
        <v>0.96</v>
      </c>
      <c r="BJ182" s="1603"/>
      <c r="BK182" s="1620">
        <v>24.2</v>
      </c>
      <c r="BL182" s="1620">
        <v>9.8000000000000007</v>
      </c>
      <c r="BM182" s="1620">
        <v>4.5</v>
      </c>
      <c r="BN182" s="1620">
        <v>16</v>
      </c>
      <c r="BO182" s="1620"/>
      <c r="BP182" s="1620">
        <v>120</v>
      </c>
      <c r="BQ182" s="1620">
        <v>117.6</v>
      </c>
      <c r="BR182" s="1620">
        <v>0.6080116531165306</v>
      </c>
      <c r="BS182" s="1620">
        <v>0.71202831168831249</v>
      </c>
      <c r="BT182" s="1603"/>
      <c r="BU182" s="1620">
        <v>955</v>
      </c>
      <c r="BV182" s="1620">
        <v>47.620000000000005</v>
      </c>
      <c r="BW182" s="1620">
        <v>95.5</v>
      </c>
      <c r="BX182" s="1620" t="s">
        <v>270</v>
      </c>
      <c r="BY182" s="1620" t="s">
        <v>270</v>
      </c>
      <c r="BZ182" s="1620">
        <v>36</v>
      </c>
      <c r="CA182" s="1620">
        <v>553</v>
      </c>
      <c r="CB182" s="1603"/>
      <c r="CC182" s="1603">
        <v>2.9039999999999999</v>
      </c>
      <c r="CD182" s="1603">
        <v>5.1920000000000002</v>
      </c>
      <c r="CE182" s="1603">
        <v>0.17599999999999999</v>
      </c>
      <c r="CF182" s="1603">
        <v>0.96799999999999986</v>
      </c>
      <c r="CG182" s="1603">
        <v>0.52800000000000014</v>
      </c>
      <c r="CH182" s="1603">
        <v>1.5840000000000001</v>
      </c>
      <c r="CI182" s="1603">
        <v>2.64</v>
      </c>
      <c r="CJ182" s="1603"/>
      <c r="CK182" s="1603">
        <v>211.2</v>
      </c>
      <c r="CL182" s="1603">
        <v>12.76</v>
      </c>
      <c r="CM182" s="1603">
        <v>34.055999999999997</v>
      </c>
      <c r="CN182" s="1603">
        <v>85.096000000000004</v>
      </c>
      <c r="CO182" s="1603">
        <v>0</v>
      </c>
      <c r="CP182" s="1603">
        <v>0</v>
      </c>
      <c r="CQ182" s="1603">
        <v>136.2944</v>
      </c>
      <c r="CR182" s="1603">
        <v>254.73195983353284</v>
      </c>
      <c r="CS182" s="1603">
        <v>8.3806814785232309</v>
      </c>
      <c r="CT182" s="1603">
        <v>5.5022103324043101</v>
      </c>
      <c r="CU182" s="1603">
        <v>5.247478372570777</v>
      </c>
      <c r="CV182" s="1603">
        <v>10.749688704975087</v>
      </c>
      <c r="CW182" s="1603">
        <v>8.7118330263068238</v>
      </c>
      <c r="CX182" s="1603">
        <v>2.9345121772822984</v>
      </c>
      <c r="CY182" s="1603">
        <v>10.189278393341313</v>
      </c>
      <c r="CZ182" s="1603">
        <v>21.611459472276927</v>
      </c>
      <c r="DA182" s="1603">
        <v>5.6041031163377228</v>
      </c>
      <c r="DB182" s="1603">
        <v>14.040825626024331</v>
      </c>
      <c r="DC182" s="1603">
        <v>8.4010600353099143</v>
      </c>
      <c r="DD182" s="1603">
        <v>22.441885661334243</v>
      </c>
      <c r="DE182" s="1603">
        <v>13.205304797770344</v>
      </c>
      <c r="DF182" s="1603">
        <v>0</v>
      </c>
      <c r="DG182" s="1603">
        <v>0</v>
      </c>
      <c r="DH182" s="1603">
        <v>0</v>
      </c>
      <c r="DI182" s="1603">
        <v>0</v>
      </c>
      <c r="DJ182" s="1603">
        <v>0</v>
      </c>
      <c r="DK182" s="1603">
        <v>0</v>
      </c>
      <c r="DL182" s="1603">
        <v>0</v>
      </c>
      <c r="DM182" s="1603">
        <v>0</v>
      </c>
      <c r="DN182" s="1603">
        <v>0</v>
      </c>
      <c r="DO182" s="1603">
        <v>0</v>
      </c>
      <c r="DP182" s="1603">
        <v>0</v>
      </c>
      <c r="DQ182" s="1603">
        <v>0</v>
      </c>
      <c r="DR182" s="1603">
        <v>0</v>
      </c>
      <c r="DS182" s="1603">
        <v>0</v>
      </c>
      <c r="DT182" s="1603">
        <v>0</v>
      </c>
      <c r="DU182" s="1603">
        <v>0</v>
      </c>
      <c r="DV182" s="1603">
        <v>0</v>
      </c>
      <c r="DW182" s="1618" t="s">
        <v>3309</v>
      </c>
      <c r="DX182" s="1605" t="s">
        <v>986</v>
      </c>
      <c r="DY182" s="1605" t="s">
        <v>986</v>
      </c>
      <c r="DZ182" s="1605" t="s">
        <v>986</v>
      </c>
      <c r="EA182" s="1605" t="s">
        <v>986</v>
      </c>
      <c r="EB182" s="1605" t="s">
        <v>986</v>
      </c>
      <c r="EC182" s="1605" t="s">
        <v>986</v>
      </c>
      <c r="ED182" s="1605" t="s">
        <v>986</v>
      </c>
      <c r="EE182" s="1605" t="s">
        <v>986</v>
      </c>
      <c r="EF182" s="1605" t="s">
        <v>986</v>
      </c>
      <c r="EG182" s="1605" t="s">
        <v>986</v>
      </c>
      <c r="EH182" s="1605" t="s">
        <v>986</v>
      </c>
      <c r="EI182" s="1605" t="s">
        <v>986</v>
      </c>
      <c r="EJ182" s="1605" t="s">
        <v>986</v>
      </c>
      <c r="EK182" s="1605" t="s">
        <v>986</v>
      </c>
      <c r="EL182" s="1605" t="s">
        <v>986</v>
      </c>
      <c r="EM182" s="1605" t="s">
        <v>986</v>
      </c>
      <c r="EN182" s="1605" t="s">
        <v>986</v>
      </c>
      <c r="EO182" s="1605" t="s">
        <v>986</v>
      </c>
      <c r="EP182" s="1605" t="s">
        <v>986</v>
      </c>
      <c r="EQ182" s="1605" t="s">
        <v>986</v>
      </c>
      <c r="ER182" s="1605" t="s">
        <v>986</v>
      </c>
      <c r="ES182" s="1605" t="s">
        <v>986</v>
      </c>
      <c r="ET182" s="1605" t="s">
        <v>986</v>
      </c>
      <c r="EU182" s="1605" t="s">
        <v>986</v>
      </c>
      <c r="EV182" s="1605" t="s">
        <v>986</v>
      </c>
      <c r="EW182" s="1605" t="s">
        <v>986</v>
      </c>
      <c r="EX182" s="1605" t="s">
        <v>986</v>
      </c>
      <c r="EY182" s="1605" t="s">
        <v>986</v>
      </c>
      <c r="EZ182" s="1605" t="s">
        <v>986</v>
      </c>
      <c r="FA182" s="1605" t="s">
        <v>986</v>
      </c>
      <c r="FB182" s="1605" t="s">
        <v>986</v>
      </c>
      <c r="FC182" s="1605" t="s">
        <v>986</v>
      </c>
      <c r="FD182" s="1605" t="s">
        <v>986</v>
      </c>
      <c r="FE182" s="1605" t="s">
        <v>986</v>
      </c>
      <c r="FF182" s="1605" t="s">
        <v>986</v>
      </c>
      <c r="FG182" s="1605" t="s">
        <v>986</v>
      </c>
      <c r="FH182" s="1605" t="s">
        <v>986</v>
      </c>
      <c r="FI182" s="1605" t="s">
        <v>986</v>
      </c>
      <c r="FJ182" s="1605" t="s">
        <v>986</v>
      </c>
      <c r="FK182" s="1605" t="s">
        <v>986</v>
      </c>
      <c r="FL182" s="1605" t="s">
        <v>986</v>
      </c>
      <c r="FM182" s="1605" t="s">
        <v>986</v>
      </c>
      <c r="FN182" s="1605" t="s">
        <v>986</v>
      </c>
      <c r="FO182" s="1605" t="s">
        <v>986</v>
      </c>
      <c r="FP182" s="1605" t="s">
        <v>986</v>
      </c>
      <c r="FQ182" s="1605" t="s">
        <v>986</v>
      </c>
      <c r="FR182" s="1605" t="s">
        <v>986</v>
      </c>
      <c r="FS182" s="1605" t="s">
        <v>986</v>
      </c>
      <c r="FT182" s="1605" t="s">
        <v>986</v>
      </c>
      <c r="FU182" s="1605" t="s">
        <v>986</v>
      </c>
      <c r="FV182" s="1605" t="s">
        <v>986</v>
      </c>
      <c r="FW182" s="1605" t="s">
        <v>986</v>
      </c>
      <c r="FX182" s="1605" t="s">
        <v>986</v>
      </c>
      <c r="FY182" s="1605" t="s">
        <v>986</v>
      </c>
      <c r="FZ182" s="1605" t="s">
        <v>986</v>
      </c>
      <c r="GA182" s="1605" t="s">
        <v>986</v>
      </c>
      <c r="GB182" s="1605" t="s">
        <v>986</v>
      </c>
      <c r="GC182" s="1605" t="s">
        <v>986</v>
      </c>
      <c r="GD182" s="1605" t="s">
        <v>986</v>
      </c>
      <c r="GE182" s="1605" t="s">
        <v>986</v>
      </c>
      <c r="GF182" s="1605" t="s">
        <v>986</v>
      </c>
      <c r="GG182" s="1605" t="s">
        <v>986</v>
      </c>
      <c r="GH182" s="1605" t="s">
        <v>986</v>
      </c>
      <c r="GI182" s="1605" t="s">
        <v>986</v>
      </c>
      <c r="GJ182" s="1605" t="s">
        <v>986</v>
      </c>
      <c r="GK182" s="1605" t="s">
        <v>986</v>
      </c>
      <c r="GL182" s="1605" t="s">
        <v>986</v>
      </c>
      <c r="GM182" s="1605" t="s">
        <v>986</v>
      </c>
      <c r="GN182" s="1605" t="s">
        <v>986</v>
      </c>
      <c r="GO182" s="1605" t="s">
        <v>986</v>
      </c>
      <c r="GP182" s="1605" t="s">
        <v>986</v>
      </c>
      <c r="GQ182" s="1605" t="s">
        <v>986</v>
      </c>
      <c r="GR182" s="1605" t="s">
        <v>986</v>
      </c>
      <c r="GS182" s="1605" t="s">
        <v>986</v>
      </c>
      <c r="GT182" s="1605" t="s">
        <v>986</v>
      </c>
      <c r="GU182" s="1605" t="s">
        <v>986</v>
      </c>
      <c r="GV182" s="1605" t="s">
        <v>986</v>
      </c>
      <c r="GW182" s="1605" t="s">
        <v>986</v>
      </c>
      <c r="GX182" s="1605" t="s">
        <v>986</v>
      </c>
      <c r="GY182" s="1605" t="s">
        <v>986</v>
      </c>
      <c r="GZ182" s="1605" t="s">
        <v>986</v>
      </c>
      <c r="HA182" s="1605" t="s">
        <v>986</v>
      </c>
      <c r="HB182" s="1605" t="s">
        <v>986</v>
      </c>
      <c r="HC182" s="1605" t="s">
        <v>986</v>
      </c>
      <c r="HD182" s="1605" t="s">
        <v>986</v>
      </c>
      <c r="HE182" s="1605" t="s">
        <v>986</v>
      </c>
      <c r="HF182" s="1605" t="s">
        <v>986</v>
      </c>
      <c r="HG182" s="1605" t="s">
        <v>986</v>
      </c>
      <c r="HH182" s="1605" t="s">
        <v>986</v>
      </c>
      <c r="HI182" s="1605" t="s">
        <v>986</v>
      </c>
      <c r="HJ182" s="1605" t="s">
        <v>986</v>
      </c>
      <c r="HK182" s="1605" t="s">
        <v>986</v>
      </c>
      <c r="HL182" s="1605" t="s">
        <v>986</v>
      </c>
      <c r="HM182" s="1605" t="s">
        <v>986</v>
      </c>
      <c r="HN182" s="1605" t="s">
        <v>986</v>
      </c>
      <c r="HO182" s="1605" t="s">
        <v>986</v>
      </c>
      <c r="HP182" s="1605" t="s">
        <v>986</v>
      </c>
      <c r="HQ182" s="1605" t="s">
        <v>986</v>
      </c>
      <c r="HR182" s="1605" t="s">
        <v>986</v>
      </c>
      <c r="HS182" s="1605" t="s">
        <v>986</v>
      </c>
      <c r="HT182" s="1605" t="s">
        <v>986</v>
      </c>
      <c r="HU182" s="1605" t="s">
        <v>986</v>
      </c>
      <c r="HV182" s="1617"/>
      <c r="HW182" s="1617">
        <v>0</v>
      </c>
      <c r="HX182" s="1617">
        <v>0</v>
      </c>
      <c r="HY182" s="1617">
        <v>0</v>
      </c>
      <c r="HZ182" s="1603"/>
      <c r="IA182" s="1603"/>
      <c r="IB182" s="1603"/>
      <c r="IC182" s="1603">
        <v>54.8130081300813</v>
      </c>
      <c r="ID182" s="1603">
        <v>56.178861788617901</v>
      </c>
      <c r="IE182" s="1603">
        <v>57.317073170731703</v>
      </c>
      <c r="IF182" s="1603">
        <v>58</v>
      </c>
      <c r="IG182" s="1611" t="s">
        <v>3308</v>
      </c>
      <c r="IH182" s="1616" t="s">
        <v>270</v>
      </c>
      <c r="II182" s="1615" t="s">
        <v>270</v>
      </c>
      <c r="IJ182" s="1613">
        <v>0.69671590909090919</v>
      </c>
      <c r="IK182" s="1613">
        <v>0.68168181818181817</v>
      </c>
      <c r="IL182" s="1614">
        <v>0.69671590909090919</v>
      </c>
      <c r="IM182" s="1614">
        <v>0.68168181818181817</v>
      </c>
      <c r="IN182" s="1612" t="s">
        <v>270</v>
      </c>
      <c r="IO182" s="1613" t="s">
        <v>270</v>
      </c>
      <c r="IP182" s="1607" t="s">
        <v>270</v>
      </c>
      <c r="IQ182" s="1612" t="s">
        <v>270</v>
      </c>
      <c r="IR182" s="1612" t="s">
        <v>270</v>
      </c>
      <c r="IS182" s="1607">
        <v>0.69271590909090919</v>
      </c>
      <c r="IT182" s="1607">
        <v>0.67768181818181816</v>
      </c>
      <c r="IU182" s="1611">
        <v>0</v>
      </c>
      <c r="IV182" s="1611">
        <v>1.1034090909090912E-2</v>
      </c>
      <c r="IW182" s="1611">
        <v>1.1363636363636365E-3</v>
      </c>
      <c r="IX182" s="1611">
        <v>9.6590909090909084E-4</v>
      </c>
      <c r="IY182" s="1611">
        <v>1.1477272727272727E-3</v>
      </c>
      <c r="IZ182" s="1611">
        <v>5.1477272727272726E-3</v>
      </c>
      <c r="JA182" s="1611">
        <v>7.9545454545454551E-5</v>
      </c>
      <c r="JB182" s="1611" t="s">
        <v>270</v>
      </c>
      <c r="JC182" s="1611">
        <v>2.2942272727272726</v>
      </c>
      <c r="JD182" s="1611">
        <v>8.2727272727272719E-3</v>
      </c>
      <c r="JE182" s="1611" t="s">
        <v>270</v>
      </c>
      <c r="JF182" s="1611">
        <v>8.2954545454545444E-4</v>
      </c>
      <c r="JG182" s="1611">
        <v>0.75535227272727279</v>
      </c>
      <c r="JH182" s="1611">
        <v>2.9545454545454547E-4</v>
      </c>
      <c r="JI182" s="1611">
        <v>0.15743181818181817</v>
      </c>
      <c r="JJ182" s="1611" t="s">
        <v>270</v>
      </c>
      <c r="JK182" s="1607">
        <f t="shared" si="11"/>
        <v>4.0000000000000036E-3</v>
      </c>
      <c r="JL182" s="1608" t="s">
        <v>270</v>
      </c>
      <c r="JM182" s="1610" t="s">
        <v>2924</v>
      </c>
      <c r="JN182" s="1608">
        <v>1.5034090909091025E-2</v>
      </c>
      <c r="JO182" s="1609" t="s">
        <v>3114</v>
      </c>
      <c r="JP182" s="1608" t="s">
        <v>270</v>
      </c>
      <c r="JQ182" s="1607">
        <v>202103</v>
      </c>
      <c r="JR182" s="1606">
        <v>849</v>
      </c>
      <c r="JS182" s="1606">
        <v>772</v>
      </c>
      <c r="JT182" s="1606">
        <v>772</v>
      </c>
    </row>
    <row r="183" spans="1:280" ht="15" customHeight="1" x14ac:dyDescent="0.2">
      <c r="A183" s="1626">
        <v>39002</v>
      </c>
      <c r="B183" s="1625">
        <v>390</v>
      </c>
      <c r="C183" s="1624">
        <v>2</v>
      </c>
      <c r="D183" s="1623" t="s">
        <v>3307</v>
      </c>
      <c r="E183" s="1622">
        <v>43039</v>
      </c>
      <c r="F183" s="1620">
        <v>1.04116304803339</v>
      </c>
      <c r="G183" s="1620">
        <v>1.04538365274809</v>
      </c>
      <c r="H183" s="1621">
        <v>82.210912650568304</v>
      </c>
      <c r="I183" s="1621">
        <v>77.835766824020197</v>
      </c>
      <c r="J183" s="1621">
        <v>94.2891275570273</v>
      </c>
      <c r="K183" s="1620">
        <v>1</v>
      </c>
      <c r="L183" s="1620">
        <v>91.09</v>
      </c>
      <c r="M183" s="1620">
        <v>28.256989787199998</v>
      </c>
      <c r="N183" s="1620">
        <v>3.0099997144000001</v>
      </c>
      <c r="O183" s="1620">
        <v>2.590000238</v>
      </c>
      <c r="P183" s="1620">
        <v>4.4799997172000001</v>
      </c>
      <c r="Q183" s="1603"/>
      <c r="R183" s="1620">
        <v>90.012735286168507</v>
      </c>
      <c r="S183" s="1620">
        <v>20</v>
      </c>
      <c r="T183" s="1620">
        <v>37.0731707317073</v>
      </c>
      <c r="U183" s="1620">
        <v>43.902439024390198</v>
      </c>
      <c r="V183" s="1620">
        <v>50.048780487804898</v>
      </c>
      <c r="W183" s="1620">
        <v>54.146341463414601</v>
      </c>
      <c r="X183" s="1620"/>
      <c r="Y183" s="1620">
        <v>0.69162482160500593</v>
      </c>
      <c r="Z183" s="1620">
        <v>4.9950592007904273</v>
      </c>
      <c r="AA183" s="1620">
        <v>7.6849441211988251E-2</v>
      </c>
      <c r="AB183" s="1620">
        <v>0</v>
      </c>
      <c r="AC183" s="1620">
        <v>5.6098345811834553</v>
      </c>
      <c r="AD183" s="1620">
        <v>1.6791085739378637</v>
      </c>
      <c r="AE183" s="1620">
        <v>0</v>
      </c>
      <c r="AF183" s="1620">
        <v>67.83598638708969</v>
      </c>
      <c r="AG183" s="1620">
        <v>8.0597211549017338</v>
      </c>
      <c r="AH183" s="1620">
        <v>49.029970358985622</v>
      </c>
      <c r="AI183" s="1620">
        <v>53.059830936436491</v>
      </c>
      <c r="AJ183" s="1620">
        <v>0</v>
      </c>
      <c r="AK183" s="1620">
        <v>4.7015040070260188E-2</v>
      </c>
      <c r="AL183" s="1620"/>
      <c r="AM183" s="1620">
        <v>1.4685215758147501</v>
      </c>
      <c r="AN183" s="1620">
        <v>105.717153035625</v>
      </c>
      <c r="AO183" s="1620">
        <v>0.753087987597307</v>
      </c>
      <c r="AP183" s="1620">
        <v>1.2425951795355501</v>
      </c>
      <c r="AQ183" s="1620">
        <v>0.53092703125609897</v>
      </c>
      <c r="AR183" s="1620">
        <v>1.2425951795355501</v>
      </c>
      <c r="AS183" s="1620">
        <v>2.3383382014896301</v>
      </c>
      <c r="AT183" s="1620">
        <v>0.97901438387649398</v>
      </c>
      <c r="AU183" s="1620">
        <v>1.4722870157527299</v>
      </c>
      <c r="AV183" s="1620">
        <v>1.05432318263622</v>
      </c>
      <c r="AW183" s="1620">
        <v>1.8111766101715201</v>
      </c>
      <c r="AX183" s="1620"/>
      <c r="AY183" s="1620">
        <v>0.82445294558700899</v>
      </c>
      <c r="AZ183" s="1620">
        <v>1.1096933259830699</v>
      </c>
      <c r="BA183" s="1620">
        <v>0.85710454739243502</v>
      </c>
      <c r="BB183" s="1620">
        <v>0.76731264242751296</v>
      </c>
      <c r="BC183" s="1620">
        <v>0.93057065145464302</v>
      </c>
      <c r="BD183" s="1620">
        <v>0.85710454739243502</v>
      </c>
      <c r="BE183" s="1620">
        <v>0.84077874648972195</v>
      </c>
      <c r="BF183" s="1620">
        <v>0.88975614919786095</v>
      </c>
      <c r="BG183" s="1620">
        <v>0.89791904964921698</v>
      </c>
      <c r="BH183" s="1620">
        <v>0.84894164694107799</v>
      </c>
      <c r="BI183" s="1620">
        <v>0.84077874648972195</v>
      </c>
      <c r="BJ183" s="1603"/>
      <c r="BK183" s="1620">
        <v>31.020957061367877</v>
      </c>
      <c r="BL183" s="1620">
        <v>3.3044238823141949</v>
      </c>
      <c r="BM183" s="1620">
        <v>2.8433420111977163</v>
      </c>
      <c r="BN183" s="1620">
        <v>4.9182124461521575</v>
      </c>
      <c r="BO183" s="1620"/>
      <c r="BP183" s="1620">
        <v>46</v>
      </c>
      <c r="BQ183" s="1620">
        <v>15.200349858645295</v>
      </c>
      <c r="BR183" s="1620">
        <v>1.1430047733377868</v>
      </c>
      <c r="BS183" s="1620">
        <v>1.1476382179691402</v>
      </c>
      <c r="BT183" s="1603"/>
      <c r="BU183" s="1620">
        <v>971.56657988802283</v>
      </c>
      <c r="BV183" s="1620">
        <v>423.66519617109452</v>
      </c>
      <c r="BW183" s="1620">
        <v>60.724935245867059</v>
      </c>
      <c r="BX183" s="1620">
        <v>386.86661543528379</v>
      </c>
      <c r="BY183" s="1620">
        <v>24.179163464705237</v>
      </c>
      <c r="BZ183" s="1620">
        <v>47.686683499835333</v>
      </c>
      <c r="CA183" s="1620">
        <v>87.313645844768914</v>
      </c>
      <c r="CB183" s="1603"/>
      <c r="CC183" s="1603">
        <v>0.63000104999999995</v>
      </c>
      <c r="CD183" s="1603">
        <v>4.5499994260000003</v>
      </c>
      <c r="CE183" s="1603">
        <v>7.0002156000000107E-2</v>
      </c>
      <c r="CF183" s="1603">
        <v>0</v>
      </c>
      <c r="CG183" s="1603">
        <v>5.1099983200000096</v>
      </c>
      <c r="CH183" s="1603">
        <v>1.5295000000000001</v>
      </c>
      <c r="CI183" s="1603">
        <v>0</v>
      </c>
      <c r="CJ183" s="1603"/>
      <c r="CK183" s="1603">
        <v>61.791800000000002</v>
      </c>
      <c r="CL183" s="1603">
        <v>7.3415999999999899</v>
      </c>
      <c r="CM183" s="1603">
        <v>44.661400000000008</v>
      </c>
      <c r="CN183" s="1603">
        <v>48.3322</v>
      </c>
      <c r="CO183" s="1603">
        <v>0</v>
      </c>
      <c r="CP183" s="1603">
        <v>4.282600000000001E-2</v>
      </c>
      <c r="CQ183" s="1603">
        <v>254.34889416991999</v>
      </c>
      <c r="CR183" s="1603">
        <v>244.29304771269892</v>
      </c>
      <c r="CS183" s="1603">
        <v>2.9577217383673431</v>
      </c>
      <c r="CT183" s="1603">
        <v>286.58901564162579</v>
      </c>
      <c r="CU183" s="1603">
        <v>1.5768508886954649</v>
      </c>
      <c r="CV183" s="1603">
        <v>288.16586653032192</v>
      </c>
      <c r="CW183" s="1603">
        <v>2.3292340270158594</v>
      </c>
      <c r="CX183" s="1603">
        <v>1.2069667230900414</v>
      </c>
      <c r="CY183" s="1603">
        <v>2.6018039663475032</v>
      </c>
      <c r="CZ183" s="1603">
        <v>4.8028625425536928</v>
      </c>
      <c r="DA183" s="1603">
        <v>2.1279978183632928</v>
      </c>
      <c r="DB183" s="1603">
        <v>3.2295407963234166</v>
      </c>
      <c r="DC183" s="1603">
        <v>2.1865665656576878</v>
      </c>
      <c r="DD183" s="1603">
        <v>5.4161073619811146</v>
      </c>
      <c r="DE183" s="1603">
        <v>3.7200915989828194</v>
      </c>
      <c r="DF183" s="1603">
        <v>0</v>
      </c>
      <c r="DG183" s="1603">
        <v>0</v>
      </c>
      <c r="DH183" s="1603">
        <v>0</v>
      </c>
      <c r="DI183" s="1603">
        <v>0</v>
      </c>
      <c r="DJ183" s="1603">
        <v>0</v>
      </c>
      <c r="DK183" s="1603">
        <v>0</v>
      </c>
      <c r="DL183" s="1603">
        <v>0</v>
      </c>
      <c r="DM183" s="1603">
        <v>0</v>
      </c>
      <c r="DN183" s="1603">
        <v>0</v>
      </c>
      <c r="DO183" s="1603">
        <v>0</v>
      </c>
      <c r="DP183" s="1603">
        <v>0</v>
      </c>
      <c r="DQ183" s="1603">
        <v>0</v>
      </c>
      <c r="DR183" s="1603">
        <v>0</v>
      </c>
      <c r="DS183" s="1603">
        <v>0</v>
      </c>
      <c r="DT183" s="1603">
        <v>0</v>
      </c>
      <c r="DU183" s="1603">
        <v>0</v>
      </c>
      <c r="DV183" s="1603">
        <v>0</v>
      </c>
      <c r="DW183" s="1618" t="s">
        <v>986</v>
      </c>
      <c r="DX183" s="1605" t="s">
        <v>986</v>
      </c>
      <c r="DY183" s="1605" t="s">
        <v>986</v>
      </c>
      <c r="DZ183" s="1605" t="s">
        <v>986</v>
      </c>
      <c r="EA183" s="1605" t="s">
        <v>986</v>
      </c>
      <c r="EB183" s="1605" t="s">
        <v>986</v>
      </c>
      <c r="EC183" s="1605" t="s">
        <v>986</v>
      </c>
      <c r="ED183" s="1605" t="s">
        <v>986</v>
      </c>
      <c r="EE183" s="1605" t="s">
        <v>986</v>
      </c>
      <c r="EF183" s="1605" t="s">
        <v>986</v>
      </c>
      <c r="EG183" s="1605" t="s">
        <v>986</v>
      </c>
      <c r="EH183" s="1605" t="s">
        <v>986</v>
      </c>
      <c r="EI183" s="1605" t="s">
        <v>986</v>
      </c>
      <c r="EJ183" s="1605" t="s">
        <v>986</v>
      </c>
      <c r="EK183" s="1605" t="s">
        <v>986</v>
      </c>
      <c r="EL183" s="1605" t="s">
        <v>986</v>
      </c>
      <c r="EM183" s="1605" t="s">
        <v>986</v>
      </c>
      <c r="EN183" s="1605" t="s">
        <v>986</v>
      </c>
      <c r="EO183" s="1605" t="s">
        <v>986</v>
      </c>
      <c r="EP183" s="1605" t="s">
        <v>986</v>
      </c>
      <c r="EQ183" s="1605" t="s">
        <v>986</v>
      </c>
      <c r="ER183" s="1605" t="s">
        <v>986</v>
      </c>
      <c r="ES183" s="1605" t="s">
        <v>986</v>
      </c>
      <c r="ET183" s="1605" t="s">
        <v>986</v>
      </c>
      <c r="EU183" s="1605" t="s">
        <v>986</v>
      </c>
      <c r="EV183" s="1605" t="s">
        <v>986</v>
      </c>
      <c r="EW183" s="1605" t="s">
        <v>986</v>
      </c>
      <c r="EX183" s="1605" t="s">
        <v>986</v>
      </c>
      <c r="EY183" s="1605" t="s">
        <v>986</v>
      </c>
      <c r="EZ183" s="1605" t="s">
        <v>986</v>
      </c>
      <c r="FA183" s="1605" t="s">
        <v>986</v>
      </c>
      <c r="FB183" s="1605" t="s">
        <v>986</v>
      </c>
      <c r="FC183" s="1605" t="s">
        <v>986</v>
      </c>
      <c r="FD183" s="1605" t="s">
        <v>986</v>
      </c>
      <c r="FE183" s="1605" t="s">
        <v>986</v>
      </c>
      <c r="FF183" s="1605" t="s">
        <v>986</v>
      </c>
      <c r="FG183" s="1605" t="s">
        <v>986</v>
      </c>
      <c r="FH183" s="1605" t="s">
        <v>986</v>
      </c>
      <c r="FI183" s="1605" t="s">
        <v>986</v>
      </c>
      <c r="FJ183" s="1605" t="s">
        <v>986</v>
      </c>
      <c r="FK183" s="1605" t="s">
        <v>986</v>
      </c>
      <c r="FL183" s="1605" t="s">
        <v>986</v>
      </c>
      <c r="FM183" s="1605" t="s">
        <v>986</v>
      </c>
      <c r="FN183" s="1605" t="s">
        <v>986</v>
      </c>
      <c r="FO183" s="1605" t="s">
        <v>986</v>
      </c>
      <c r="FP183" s="1605" t="s">
        <v>986</v>
      </c>
      <c r="FQ183" s="1605" t="s">
        <v>986</v>
      </c>
      <c r="FR183" s="1605" t="s">
        <v>986</v>
      </c>
      <c r="FS183" s="1605" t="s">
        <v>986</v>
      </c>
      <c r="FT183" s="1605" t="s">
        <v>986</v>
      </c>
      <c r="FU183" s="1605" t="s">
        <v>986</v>
      </c>
      <c r="FV183" s="1605" t="s">
        <v>986</v>
      </c>
      <c r="FW183" s="1605" t="s">
        <v>986</v>
      </c>
      <c r="FX183" s="1605" t="s">
        <v>986</v>
      </c>
      <c r="FY183" s="1605" t="s">
        <v>986</v>
      </c>
      <c r="FZ183" s="1605" t="s">
        <v>986</v>
      </c>
      <c r="GA183" s="1605" t="s">
        <v>986</v>
      </c>
      <c r="GB183" s="1605" t="s">
        <v>986</v>
      </c>
      <c r="GC183" s="1605" t="s">
        <v>986</v>
      </c>
      <c r="GD183" s="1605" t="s">
        <v>986</v>
      </c>
      <c r="GE183" s="1605" t="s">
        <v>986</v>
      </c>
      <c r="GF183" s="1605" t="s">
        <v>986</v>
      </c>
      <c r="GG183" s="1605" t="s">
        <v>986</v>
      </c>
      <c r="GH183" s="1605" t="s">
        <v>986</v>
      </c>
      <c r="GI183" s="1605" t="s">
        <v>986</v>
      </c>
      <c r="GJ183" s="1605" t="s">
        <v>986</v>
      </c>
      <c r="GK183" s="1605" t="s">
        <v>986</v>
      </c>
      <c r="GL183" s="1605" t="s">
        <v>986</v>
      </c>
      <c r="GM183" s="1605" t="s">
        <v>986</v>
      </c>
      <c r="GN183" s="1605" t="s">
        <v>986</v>
      </c>
      <c r="GO183" s="1605" t="s">
        <v>986</v>
      </c>
      <c r="GP183" s="1605" t="s">
        <v>986</v>
      </c>
      <c r="GQ183" s="1605" t="s">
        <v>986</v>
      </c>
      <c r="GR183" s="1605" t="s">
        <v>986</v>
      </c>
      <c r="GS183" s="1605" t="s">
        <v>986</v>
      </c>
      <c r="GT183" s="1605" t="s">
        <v>986</v>
      </c>
      <c r="GU183" s="1605" t="s">
        <v>986</v>
      </c>
      <c r="GV183" s="1605" t="s">
        <v>986</v>
      </c>
      <c r="GW183" s="1605" t="s">
        <v>986</v>
      </c>
      <c r="GX183" s="1605" t="s">
        <v>986</v>
      </c>
      <c r="GY183" s="1605" t="s">
        <v>986</v>
      </c>
      <c r="GZ183" s="1605" t="s">
        <v>986</v>
      </c>
      <c r="HA183" s="1605" t="s">
        <v>986</v>
      </c>
      <c r="HB183" s="1605" t="s">
        <v>986</v>
      </c>
      <c r="HC183" s="1605" t="s">
        <v>986</v>
      </c>
      <c r="HD183" s="1605" t="s">
        <v>986</v>
      </c>
      <c r="HE183" s="1605" t="s">
        <v>986</v>
      </c>
      <c r="HF183" s="1605" t="s">
        <v>986</v>
      </c>
      <c r="HG183" s="1605" t="s">
        <v>986</v>
      </c>
      <c r="HH183" s="1605" t="s">
        <v>986</v>
      </c>
      <c r="HI183" s="1605" t="s">
        <v>986</v>
      </c>
      <c r="HJ183" s="1605" t="s">
        <v>986</v>
      </c>
      <c r="HK183" s="1605" t="s">
        <v>986</v>
      </c>
      <c r="HL183" s="1605" t="s">
        <v>986</v>
      </c>
      <c r="HM183" s="1605" t="s">
        <v>986</v>
      </c>
      <c r="HN183" s="1605" t="s">
        <v>986</v>
      </c>
      <c r="HO183" s="1605" t="s">
        <v>986</v>
      </c>
      <c r="HP183" s="1605" t="s">
        <v>986</v>
      </c>
      <c r="HQ183" s="1605" t="s">
        <v>986</v>
      </c>
      <c r="HR183" s="1605" t="s">
        <v>986</v>
      </c>
      <c r="HS183" s="1605" t="s">
        <v>986</v>
      </c>
      <c r="HT183" s="1605" t="s">
        <v>986</v>
      </c>
      <c r="HU183" s="1605" t="s">
        <v>986</v>
      </c>
      <c r="HV183" s="1617"/>
      <c r="HW183" s="1617">
        <v>0</v>
      </c>
      <c r="HX183" s="1617">
        <v>0</v>
      </c>
      <c r="HY183" s="1617">
        <v>0</v>
      </c>
      <c r="HZ183" s="1603"/>
      <c r="IA183" s="1603"/>
      <c r="IB183" s="1603"/>
      <c r="IC183" s="1603">
        <v>57.219512195122</v>
      </c>
      <c r="ID183" s="1603">
        <v>59.268292682926798</v>
      </c>
      <c r="IE183" s="1603">
        <v>60.975609756097597</v>
      </c>
      <c r="IF183" s="1603">
        <v>62</v>
      </c>
      <c r="IG183" s="1611" t="s">
        <v>2932</v>
      </c>
      <c r="IH183" s="1616" t="s">
        <v>270</v>
      </c>
      <c r="II183" s="1615" t="s">
        <v>270</v>
      </c>
      <c r="IJ183" s="1613">
        <v>1.3101818181818183</v>
      </c>
      <c r="IK183" s="1613">
        <v>1.301848484848485</v>
      </c>
      <c r="IL183" s="1614">
        <v>1.3101818181818183</v>
      </c>
      <c r="IM183" s="1614">
        <v>1.301848484848485</v>
      </c>
      <c r="IN183" s="1612" t="s">
        <v>270</v>
      </c>
      <c r="IO183" s="1613" t="s">
        <v>270</v>
      </c>
      <c r="IP183" s="1607" t="s">
        <v>270</v>
      </c>
      <c r="IQ183" s="1612" t="s">
        <v>270</v>
      </c>
      <c r="IR183" s="1612" t="s">
        <v>270</v>
      </c>
      <c r="IS183" s="1607">
        <v>1.1881818181818182</v>
      </c>
      <c r="IT183" s="1607">
        <v>1.1798484848484849</v>
      </c>
      <c r="IU183" s="1611">
        <v>0</v>
      </c>
      <c r="IV183" s="1611">
        <v>7.7767676767676763E-2</v>
      </c>
      <c r="IW183" s="1611">
        <v>9.0909090909090909E-4</v>
      </c>
      <c r="IX183" s="1611">
        <v>1.6060606060606061E-3</v>
      </c>
      <c r="IY183" s="1611">
        <v>9.6969696969696957E-4</v>
      </c>
      <c r="IZ183" s="1611">
        <v>5.9898989898989896E-3</v>
      </c>
      <c r="JA183" s="1611">
        <v>6.0606060606060598E-5</v>
      </c>
      <c r="JB183" s="1611" t="s">
        <v>270</v>
      </c>
      <c r="JC183" s="1611">
        <v>9.9026969696969704</v>
      </c>
      <c r="JD183" s="1611">
        <v>5.2121212121212122E-3</v>
      </c>
      <c r="JE183" s="1611" t="s">
        <v>270</v>
      </c>
      <c r="JF183" s="1611">
        <v>8.2828282828282835E-4</v>
      </c>
      <c r="JG183" s="1611">
        <v>0.57978787878787885</v>
      </c>
      <c r="JH183" s="1611">
        <v>7.646464646464647E-3</v>
      </c>
      <c r="JI183" s="1611">
        <v>0.3</v>
      </c>
      <c r="JJ183" s="1611" t="s">
        <v>270</v>
      </c>
      <c r="JK183" s="1607">
        <f t="shared" si="11"/>
        <v>0.12200000000000011</v>
      </c>
      <c r="JL183" s="1608" t="s">
        <v>270</v>
      </c>
      <c r="JM183" s="1610" t="s">
        <v>2924</v>
      </c>
      <c r="JN183" s="1608">
        <v>8.3333333333333037E-3</v>
      </c>
      <c r="JO183" s="1609" t="s">
        <v>2931</v>
      </c>
      <c r="JP183" s="1608" t="s">
        <v>270</v>
      </c>
      <c r="JQ183" s="1607">
        <v>202103</v>
      </c>
      <c r="JR183" s="1606">
        <v>851</v>
      </c>
      <c r="JS183" s="1606">
        <v>774</v>
      </c>
      <c r="JT183" s="1606">
        <v>774</v>
      </c>
    </row>
    <row r="184" spans="1:280" ht="15" customHeight="1" x14ac:dyDescent="0.2">
      <c r="A184" s="1626">
        <v>39101</v>
      </c>
      <c r="B184" s="1625">
        <v>391</v>
      </c>
      <c r="C184" s="1624">
        <v>1</v>
      </c>
      <c r="D184" s="1623" t="s">
        <v>3306</v>
      </c>
      <c r="E184" s="1622">
        <v>43039</v>
      </c>
      <c r="F184" s="1620">
        <v>1.09757121874076</v>
      </c>
      <c r="G184" s="1620">
        <v>1.09264892374399</v>
      </c>
      <c r="H184" s="1621">
        <v>84.818443321859206</v>
      </c>
      <c r="I184" s="1621">
        <v>81.255199306759096</v>
      </c>
      <c r="J184" s="1621">
        <v>95.702665430210203</v>
      </c>
      <c r="K184" s="1620">
        <v>1</v>
      </c>
      <c r="L184" s="1620">
        <v>92.32</v>
      </c>
      <c r="M184" s="1620">
        <v>32.609319817600003</v>
      </c>
      <c r="N184" s="1620">
        <v>2.5799997551999998</v>
      </c>
      <c r="O184" s="1620">
        <v>2.2200002040000002</v>
      </c>
      <c r="P184" s="1620">
        <v>3.8399997575999998</v>
      </c>
      <c r="Q184" s="1603"/>
      <c r="R184" s="1620">
        <v>92.582049585841304</v>
      </c>
      <c r="S184" s="1620">
        <v>20</v>
      </c>
      <c r="T184" s="1620">
        <v>37.0731707317073</v>
      </c>
      <c r="U184" s="1620">
        <v>43.902439024390198</v>
      </c>
      <c r="V184" s="1620">
        <v>50.048780487804898</v>
      </c>
      <c r="W184" s="1620">
        <v>54.146341463414601</v>
      </c>
      <c r="X184" s="1620"/>
      <c r="Y184" s="1620">
        <v>0.58492298526863085</v>
      </c>
      <c r="Z184" s="1620">
        <v>4.2244362088388216</v>
      </c>
      <c r="AA184" s="1620">
        <v>6.4993336221837103E-2</v>
      </c>
      <c r="AB184" s="1620">
        <v>0</v>
      </c>
      <c r="AC184" s="1620">
        <v>4.7443658578856152</v>
      </c>
      <c r="AD184" s="1620">
        <v>1.4200606585788562</v>
      </c>
      <c r="AE184" s="1620">
        <v>0</v>
      </c>
      <c r="AF184" s="1620">
        <v>57.370450606585791</v>
      </c>
      <c r="AG184" s="1620">
        <v>6.8162911611785093</v>
      </c>
      <c r="AH184" s="1620">
        <v>41.465771230502604</v>
      </c>
      <c r="AI184" s="1620">
        <v>44.87391681109186</v>
      </c>
      <c r="AJ184" s="1620">
        <v>0</v>
      </c>
      <c r="AK184" s="1620">
        <v>3.9761698440207972E-2</v>
      </c>
      <c r="AL184" s="1620"/>
      <c r="AM184" s="1620">
        <v>1.0907311004212701</v>
      </c>
      <c r="AN184" s="1620">
        <v>121.89433493067899</v>
      </c>
      <c r="AO184" s="1620">
        <v>0.55934928226732095</v>
      </c>
      <c r="AP184" s="1620">
        <v>0.92292631574107498</v>
      </c>
      <c r="AQ184" s="1620">
        <v>0.39434124399845899</v>
      </c>
      <c r="AR184" s="1620">
        <v>0.92292631574107498</v>
      </c>
      <c r="AS184" s="1620">
        <v>1.7367795214400299</v>
      </c>
      <c r="AT184" s="1620">
        <v>0.72715406694751406</v>
      </c>
      <c r="AU184" s="1620">
        <v>1.09352784683261</v>
      </c>
      <c r="AV184" s="1620">
        <v>0.78308899517424602</v>
      </c>
      <c r="AW184" s="1620">
        <v>1.3452350238529001</v>
      </c>
      <c r="AX184" s="1620"/>
      <c r="AY184" s="1620">
        <v>0.80157292994704399</v>
      </c>
      <c r="AZ184" s="1620">
        <v>1.07933349616896</v>
      </c>
      <c r="BA184" s="1620">
        <v>0.83331839251920403</v>
      </c>
      <c r="BB184" s="1620">
        <v>0.74601837044576302</v>
      </c>
      <c r="BC184" s="1620">
        <v>0.90474568330656402</v>
      </c>
      <c r="BD184" s="1620">
        <v>0.83331839251920403</v>
      </c>
      <c r="BE184" s="1620">
        <v>0.81744566123312401</v>
      </c>
      <c r="BF184" s="1620">
        <v>0.86506385509136396</v>
      </c>
      <c r="BG184" s="1620">
        <v>0.87300022073440398</v>
      </c>
      <c r="BH184" s="1620">
        <v>0.82538202687616402</v>
      </c>
      <c r="BI184" s="1620">
        <v>0.81744566123312401</v>
      </c>
      <c r="BJ184" s="1603"/>
      <c r="BK184" s="1620">
        <v>35.322053528596193</v>
      </c>
      <c r="BL184" s="1620">
        <v>2.7946271178509532</v>
      </c>
      <c r="BM184" s="1620">
        <v>2.4046795970537262</v>
      </c>
      <c r="BN184" s="1620">
        <v>4.1594451447140379</v>
      </c>
      <c r="BO184" s="1620"/>
      <c r="BP184" s="1620">
        <v>0</v>
      </c>
      <c r="BQ184" s="1620">
        <v>0</v>
      </c>
      <c r="BR184" s="1620">
        <v>1.1888769700398181</v>
      </c>
      <c r="BS184" s="1620">
        <v>1.1835451946966964</v>
      </c>
      <c r="BT184" s="1603"/>
      <c r="BU184" s="1620">
        <v>975.95320402946288</v>
      </c>
      <c r="BV184" s="1620">
        <v>429.57032486456461</v>
      </c>
      <c r="BW184" s="1620">
        <v>49.679420189653705</v>
      </c>
      <c r="BX184" s="1620">
        <v>327.18197573656846</v>
      </c>
      <c r="BY184" s="1620">
        <v>20.448873483535529</v>
      </c>
      <c r="BZ184" s="1620">
        <v>40.329722703639518</v>
      </c>
      <c r="CA184" s="1620">
        <v>73.843154246100525</v>
      </c>
      <c r="CB184" s="1603"/>
      <c r="CC184" s="1603">
        <v>0.54000089999999989</v>
      </c>
      <c r="CD184" s="1603">
        <v>3.8999995079999996</v>
      </c>
      <c r="CE184" s="1603">
        <v>6.000184800000001E-2</v>
      </c>
      <c r="CF184" s="1603">
        <v>0</v>
      </c>
      <c r="CG184" s="1603">
        <v>4.3799985599999998</v>
      </c>
      <c r="CH184" s="1603">
        <v>1.3109999999999999</v>
      </c>
      <c r="CI184" s="1603">
        <v>0</v>
      </c>
      <c r="CJ184" s="1603"/>
      <c r="CK184" s="1603">
        <v>52.964399999999998</v>
      </c>
      <c r="CL184" s="1603">
        <v>6.2927999999999988</v>
      </c>
      <c r="CM184" s="1603">
        <v>38.281199999999998</v>
      </c>
      <c r="CN184" s="1603">
        <v>41.427599999999998</v>
      </c>
      <c r="CO184" s="1603">
        <v>0</v>
      </c>
      <c r="CP184" s="1603">
        <v>3.6707999999999998E-2</v>
      </c>
      <c r="CQ184" s="1603">
        <v>301.90376643136</v>
      </c>
      <c r="CR184" s="1603">
        <v>275.06530899902168</v>
      </c>
      <c r="CS184" s="1603">
        <v>2.4048974377804959</v>
      </c>
      <c r="CT184" s="1603">
        <v>361.88867992936866</v>
      </c>
      <c r="CU184" s="1603">
        <v>1.2821235388014922</v>
      </c>
      <c r="CV184" s="1603">
        <v>363.17080346817238</v>
      </c>
      <c r="CW184" s="1603">
        <v>1.8938796273153364</v>
      </c>
      <c r="CX184" s="1603">
        <v>0.98137398869976322</v>
      </c>
      <c r="CY184" s="1603">
        <v>2.1155038390224439</v>
      </c>
      <c r="CZ184" s="1603">
        <v>3.905165138683802</v>
      </c>
      <c r="DA184" s="1603">
        <v>1.7302562423635233</v>
      </c>
      <c r="DB184" s="1603">
        <v>2.6259111144691389</v>
      </c>
      <c r="DC184" s="1603">
        <v>1.7778779738047203</v>
      </c>
      <c r="DD184" s="1603">
        <v>4.4037890882738688</v>
      </c>
      <c r="DE184" s="1603">
        <v>3.0247736420400821</v>
      </c>
      <c r="DF184" s="1603">
        <v>0</v>
      </c>
      <c r="DG184" s="1603">
        <v>0</v>
      </c>
      <c r="DH184" s="1603">
        <v>0</v>
      </c>
      <c r="DI184" s="1603">
        <v>0</v>
      </c>
      <c r="DJ184" s="1603">
        <v>0</v>
      </c>
      <c r="DK184" s="1603">
        <v>0</v>
      </c>
      <c r="DL184" s="1603">
        <v>0</v>
      </c>
      <c r="DM184" s="1603">
        <v>0</v>
      </c>
      <c r="DN184" s="1603">
        <v>0</v>
      </c>
      <c r="DO184" s="1603">
        <v>0</v>
      </c>
      <c r="DP184" s="1603">
        <v>0</v>
      </c>
      <c r="DQ184" s="1603">
        <v>0</v>
      </c>
      <c r="DR184" s="1603">
        <v>0</v>
      </c>
      <c r="DS184" s="1603">
        <v>0</v>
      </c>
      <c r="DT184" s="1603">
        <v>0</v>
      </c>
      <c r="DU184" s="1603">
        <v>0</v>
      </c>
      <c r="DV184" s="1603">
        <v>0</v>
      </c>
      <c r="DW184" s="1618" t="s">
        <v>986</v>
      </c>
      <c r="DX184" s="1605" t="s">
        <v>986</v>
      </c>
      <c r="DY184" s="1605" t="s">
        <v>986</v>
      </c>
      <c r="DZ184" s="1605" t="s">
        <v>986</v>
      </c>
      <c r="EA184" s="1605" t="s">
        <v>986</v>
      </c>
      <c r="EB184" s="1605" t="s">
        <v>986</v>
      </c>
      <c r="EC184" s="1605" t="s">
        <v>986</v>
      </c>
      <c r="ED184" s="1605" t="s">
        <v>986</v>
      </c>
      <c r="EE184" s="1605" t="s">
        <v>986</v>
      </c>
      <c r="EF184" s="1605" t="s">
        <v>986</v>
      </c>
      <c r="EG184" s="1605" t="s">
        <v>986</v>
      </c>
      <c r="EH184" s="1605" t="s">
        <v>986</v>
      </c>
      <c r="EI184" s="1605" t="s">
        <v>986</v>
      </c>
      <c r="EJ184" s="1605" t="s">
        <v>986</v>
      </c>
      <c r="EK184" s="1605" t="s">
        <v>986</v>
      </c>
      <c r="EL184" s="1605" t="s">
        <v>986</v>
      </c>
      <c r="EM184" s="1605" t="s">
        <v>986</v>
      </c>
      <c r="EN184" s="1605" t="s">
        <v>986</v>
      </c>
      <c r="EO184" s="1605" t="s">
        <v>986</v>
      </c>
      <c r="EP184" s="1605" t="s">
        <v>986</v>
      </c>
      <c r="EQ184" s="1605" t="s">
        <v>986</v>
      </c>
      <c r="ER184" s="1605" t="s">
        <v>986</v>
      </c>
      <c r="ES184" s="1605" t="s">
        <v>986</v>
      </c>
      <c r="ET184" s="1605" t="s">
        <v>986</v>
      </c>
      <c r="EU184" s="1605" t="s">
        <v>986</v>
      </c>
      <c r="EV184" s="1605" t="s">
        <v>986</v>
      </c>
      <c r="EW184" s="1605" t="s">
        <v>986</v>
      </c>
      <c r="EX184" s="1605" t="s">
        <v>986</v>
      </c>
      <c r="EY184" s="1605" t="s">
        <v>986</v>
      </c>
      <c r="EZ184" s="1605" t="s">
        <v>986</v>
      </c>
      <c r="FA184" s="1605" t="s">
        <v>986</v>
      </c>
      <c r="FB184" s="1605" t="s">
        <v>986</v>
      </c>
      <c r="FC184" s="1605" t="s">
        <v>986</v>
      </c>
      <c r="FD184" s="1605" t="s">
        <v>986</v>
      </c>
      <c r="FE184" s="1605" t="s">
        <v>986</v>
      </c>
      <c r="FF184" s="1605" t="s">
        <v>986</v>
      </c>
      <c r="FG184" s="1605" t="s">
        <v>986</v>
      </c>
      <c r="FH184" s="1605" t="s">
        <v>986</v>
      </c>
      <c r="FI184" s="1605" t="s">
        <v>986</v>
      </c>
      <c r="FJ184" s="1605" t="s">
        <v>986</v>
      </c>
      <c r="FK184" s="1605" t="s">
        <v>986</v>
      </c>
      <c r="FL184" s="1605" t="s">
        <v>986</v>
      </c>
      <c r="FM184" s="1605" t="s">
        <v>986</v>
      </c>
      <c r="FN184" s="1605" t="s">
        <v>986</v>
      </c>
      <c r="FO184" s="1605" t="s">
        <v>986</v>
      </c>
      <c r="FP184" s="1605" t="s">
        <v>986</v>
      </c>
      <c r="FQ184" s="1605" t="s">
        <v>986</v>
      </c>
      <c r="FR184" s="1605" t="s">
        <v>986</v>
      </c>
      <c r="FS184" s="1605" t="s">
        <v>986</v>
      </c>
      <c r="FT184" s="1605" t="s">
        <v>986</v>
      </c>
      <c r="FU184" s="1605" t="s">
        <v>986</v>
      </c>
      <c r="FV184" s="1605" t="s">
        <v>986</v>
      </c>
      <c r="FW184" s="1605" t="s">
        <v>986</v>
      </c>
      <c r="FX184" s="1605" t="s">
        <v>986</v>
      </c>
      <c r="FY184" s="1605" t="s">
        <v>986</v>
      </c>
      <c r="FZ184" s="1605" t="s">
        <v>986</v>
      </c>
      <c r="GA184" s="1605" t="s">
        <v>986</v>
      </c>
      <c r="GB184" s="1605" t="s">
        <v>986</v>
      </c>
      <c r="GC184" s="1605" t="s">
        <v>986</v>
      </c>
      <c r="GD184" s="1605" t="s">
        <v>986</v>
      </c>
      <c r="GE184" s="1605" t="s">
        <v>986</v>
      </c>
      <c r="GF184" s="1605" t="s">
        <v>986</v>
      </c>
      <c r="GG184" s="1605" t="s">
        <v>986</v>
      </c>
      <c r="GH184" s="1605" t="s">
        <v>986</v>
      </c>
      <c r="GI184" s="1605" t="s">
        <v>986</v>
      </c>
      <c r="GJ184" s="1605" t="s">
        <v>986</v>
      </c>
      <c r="GK184" s="1605" t="s">
        <v>986</v>
      </c>
      <c r="GL184" s="1605" t="s">
        <v>986</v>
      </c>
      <c r="GM184" s="1605" t="s">
        <v>986</v>
      </c>
      <c r="GN184" s="1605" t="s">
        <v>986</v>
      </c>
      <c r="GO184" s="1605" t="s">
        <v>986</v>
      </c>
      <c r="GP184" s="1605" t="s">
        <v>986</v>
      </c>
      <c r="GQ184" s="1605" t="s">
        <v>986</v>
      </c>
      <c r="GR184" s="1605" t="s">
        <v>986</v>
      </c>
      <c r="GS184" s="1605" t="s">
        <v>986</v>
      </c>
      <c r="GT184" s="1605" t="s">
        <v>986</v>
      </c>
      <c r="GU184" s="1605" t="s">
        <v>986</v>
      </c>
      <c r="GV184" s="1605" t="s">
        <v>986</v>
      </c>
      <c r="GW184" s="1605" t="s">
        <v>986</v>
      </c>
      <c r="GX184" s="1605" t="s">
        <v>986</v>
      </c>
      <c r="GY184" s="1605" t="s">
        <v>986</v>
      </c>
      <c r="GZ184" s="1605" t="s">
        <v>986</v>
      </c>
      <c r="HA184" s="1605" t="s">
        <v>986</v>
      </c>
      <c r="HB184" s="1605" t="s">
        <v>986</v>
      </c>
      <c r="HC184" s="1605" t="s">
        <v>986</v>
      </c>
      <c r="HD184" s="1605" t="s">
        <v>986</v>
      </c>
      <c r="HE184" s="1605" t="s">
        <v>986</v>
      </c>
      <c r="HF184" s="1605" t="s">
        <v>986</v>
      </c>
      <c r="HG184" s="1605" t="s">
        <v>986</v>
      </c>
      <c r="HH184" s="1605" t="s">
        <v>986</v>
      </c>
      <c r="HI184" s="1605" t="s">
        <v>986</v>
      </c>
      <c r="HJ184" s="1605" t="s">
        <v>986</v>
      </c>
      <c r="HK184" s="1605" t="s">
        <v>986</v>
      </c>
      <c r="HL184" s="1605" t="s">
        <v>986</v>
      </c>
      <c r="HM184" s="1605" t="s">
        <v>986</v>
      </c>
      <c r="HN184" s="1605" t="s">
        <v>986</v>
      </c>
      <c r="HO184" s="1605" t="s">
        <v>986</v>
      </c>
      <c r="HP184" s="1605" t="s">
        <v>986</v>
      </c>
      <c r="HQ184" s="1605" t="s">
        <v>986</v>
      </c>
      <c r="HR184" s="1605" t="s">
        <v>986</v>
      </c>
      <c r="HS184" s="1605" t="s">
        <v>986</v>
      </c>
      <c r="HT184" s="1605" t="s">
        <v>986</v>
      </c>
      <c r="HU184" s="1605" t="s">
        <v>986</v>
      </c>
      <c r="HV184" s="1617"/>
      <c r="HW184" s="1617">
        <v>0</v>
      </c>
      <c r="HX184" s="1617">
        <v>0</v>
      </c>
      <c r="HY184" s="1617">
        <v>0</v>
      </c>
      <c r="HZ184" s="1603"/>
      <c r="IA184" s="1603"/>
      <c r="IB184" s="1603"/>
      <c r="IC184" s="1603">
        <v>57.219512195122</v>
      </c>
      <c r="ID184" s="1603">
        <v>59.268292682926798</v>
      </c>
      <c r="IE184" s="1603">
        <v>60.975609756097597</v>
      </c>
      <c r="IF184" s="1603">
        <v>62</v>
      </c>
      <c r="IG184" s="1611" t="s">
        <v>2932</v>
      </c>
      <c r="IH184" s="1616" t="s">
        <v>270</v>
      </c>
      <c r="II184" s="1615" t="s">
        <v>270</v>
      </c>
      <c r="IJ184" s="1613">
        <v>1.3101818181818183</v>
      </c>
      <c r="IK184" s="1613">
        <v>1.301848484848485</v>
      </c>
      <c r="IL184" s="1614">
        <v>1.3101818181818183</v>
      </c>
      <c r="IM184" s="1614">
        <v>1.301848484848485</v>
      </c>
      <c r="IN184" s="1612" t="s">
        <v>270</v>
      </c>
      <c r="IO184" s="1613" t="s">
        <v>270</v>
      </c>
      <c r="IP184" s="1607" t="s">
        <v>270</v>
      </c>
      <c r="IQ184" s="1612" t="s">
        <v>270</v>
      </c>
      <c r="IR184" s="1612" t="s">
        <v>270</v>
      </c>
      <c r="IS184" s="1607">
        <v>1.1881818181818182</v>
      </c>
      <c r="IT184" s="1607">
        <v>1.1798484848484849</v>
      </c>
      <c r="IU184" s="1611">
        <v>0</v>
      </c>
      <c r="IV184" s="1611">
        <v>7.7767676767676763E-2</v>
      </c>
      <c r="IW184" s="1611">
        <v>9.0909090909090909E-4</v>
      </c>
      <c r="IX184" s="1611">
        <v>1.6060606060606061E-3</v>
      </c>
      <c r="IY184" s="1611">
        <v>9.6969696969696957E-4</v>
      </c>
      <c r="IZ184" s="1611">
        <v>5.9898989898989896E-3</v>
      </c>
      <c r="JA184" s="1611">
        <v>6.0606060606060598E-5</v>
      </c>
      <c r="JB184" s="1611" t="s">
        <v>270</v>
      </c>
      <c r="JC184" s="1611">
        <v>9.9026969696969704</v>
      </c>
      <c r="JD184" s="1611">
        <v>5.2121212121212122E-3</v>
      </c>
      <c r="JE184" s="1611" t="s">
        <v>270</v>
      </c>
      <c r="JF184" s="1611">
        <v>8.2828282828282835E-4</v>
      </c>
      <c r="JG184" s="1611">
        <v>0.57978787878787885</v>
      </c>
      <c r="JH184" s="1611">
        <v>7.646464646464647E-3</v>
      </c>
      <c r="JI184" s="1611">
        <v>0.3</v>
      </c>
      <c r="JJ184" s="1611" t="s">
        <v>270</v>
      </c>
      <c r="JK184" s="1607">
        <f t="shared" si="11"/>
        <v>0.12200000000000011</v>
      </c>
      <c r="JL184" s="1608" t="s">
        <v>270</v>
      </c>
      <c r="JM184" s="1610" t="s">
        <v>2924</v>
      </c>
      <c r="JN184" s="1608">
        <v>8.3333333333333037E-3</v>
      </c>
      <c r="JO184" s="1609" t="s">
        <v>2931</v>
      </c>
      <c r="JP184" s="1608" t="s">
        <v>270</v>
      </c>
      <c r="JQ184" s="1607">
        <v>202103</v>
      </c>
      <c r="JR184" s="1606">
        <v>851</v>
      </c>
      <c r="JS184" s="1606">
        <v>774</v>
      </c>
      <c r="JT184" s="1606">
        <v>774</v>
      </c>
    </row>
    <row r="185" spans="1:280" ht="15" customHeight="1" x14ac:dyDescent="0.2">
      <c r="A185" s="1626">
        <v>99400</v>
      </c>
      <c r="B185" s="1625">
        <v>994</v>
      </c>
      <c r="C185" s="1624">
        <v>0</v>
      </c>
      <c r="D185" s="1623" t="s">
        <v>3305</v>
      </c>
      <c r="E185" s="1622">
        <v>43031</v>
      </c>
      <c r="F185" s="1620">
        <v>1.45035224647697</v>
      </c>
      <c r="G185" s="1620">
        <v>1.3900778674026</v>
      </c>
      <c r="H185" s="1621">
        <v>100</v>
      </c>
      <c r="I185" s="1621">
        <v>100</v>
      </c>
      <c r="J185" s="1621">
        <v>100</v>
      </c>
      <c r="K185" s="1620">
        <v>1</v>
      </c>
      <c r="L185" s="1620">
        <v>99.7</v>
      </c>
      <c r="M185" s="1620">
        <v>58.723300000000002</v>
      </c>
      <c r="N185" s="1620">
        <v>0</v>
      </c>
      <c r="O185" s="1620">
        <v>0</v>
      </c>
      <c r="P185" s="1620">
        <v>0</v>
      </c>
      <c r="Q185" s="1603"/>
      <c r="R185" s="1620">
        <v>100</v>
      </c>
      <c r="S185" s="1620">
        <v>0</v>
      </c>
      <c r="T185" s="1620">
        <v>0</v>
      </c>
      <c r="U185" s="1620">
        <v>0</v>
      </c>
      <c r="V185" s="1620">
        <v>0</v>
      </c>
      <c r="W185" s="1620">
        <v>0</v>
      </c>
      <c r="X185" s="1620"/>
      <c r="Y185" s="1620">
        <v>0</v>
      </c>
      <c r="Z185" s="1620">
        <v>0</v>
      </c>
      <c r="AA185" s="1620">
        <v>0</v>
      </c>
      <c r="AB185" s="1620">
        <v>0</v>
      </c>
      <c r="AC185" s="1620">
        <v>0</v>
      </c>
      <c r="AD185" s="1620">
        <v>0</v>
      </c>
      <c r="AE185" s="1620">
        <v>0</v>
      </c>
      <c r="AF185" s="1620">
        <v>0</v>
      </c>
      <c r="AG185" s="1620">
        <v>0</v>
      </c>
      <c r="AH185" s="1620">
        <v>0</v>
      </c>
      <c r="AI185" s="1620">
        <v>0</v>
      </c>
      <c r="AJ185" s="1620">
        <v>0</v>
      </c>
      <c r="AK185" s="1620">
        <v>0</v>
      </c>
      <c r="AL185" s="1620"/>
      <c r="AM185" s="1620">
        <v>0</v>
      </c>
      <c r="AN185" s="1620">
        <v>168.6</v>
      </c>
      <c r="AO185" s="1620">
        <v>0</v>
      </c>
      <c r="AP185" s="1620">
        <v>0</v>
      </c>
      <c r="AQ185" s="1620">
        <v>0</v>
      </c>
      <c r="AR185" s="1620">
        <v>0</v>
      </c>
      <c r="AS185" s="1620">
        <v>0</v>
      </c>
      <c r="AT185" s="1620">
        <v>0</v>
      </c>
      <c r="AU185" s="1620">
        <v>0</v>
      </c>
      <c r="AV185" s="1620">
        <v>0</v>
      </c>
      <c r="AW185" s="1620">
        <v>0</v>
      </c>
      <c r="AX185" s="1620"/>
      <c r="AY185" s="1620">
        <v>1</v>
      </c>
      <c r="AZ185" s="1620">
        <v>1</v>
      </c>
      <c r="BA185" s="1620">
        <v>1</v>
      </c>
      <c r="BB185" s="1620">
        <v>1</v>
      </c>
      <c r="BC185" s="1620">
        <v>1</v>
      </c>
      <c r="BD185" s="1620">
        <v>1</v>
      </c>
      <c r="BE185" s="1620">
        <v>1</v>
      </c>
      <c r="BF185" s="1620">
        <v>1</v>
      </c>
      <c r="BG185" s="1620">
        <v>1</v>
      </c>
      <c r="BH185" s="1620">
        <v>1</v>
      </c>
      <c r="BI185" s="1620">
        <v>1</v>
      </c>
      <c r="BJ185" s="1603"/>
      <c r="BK185" s="1620">
        <v>58.9</v>
      </c>
      <c r="BL185" s="1620">
        <v>0</v>
      </c>
      <c r="BM185" s="1620">
        <v>0</v>
      </c>
      <c r="BN185" s="1620">
        <v>0</v>
      </c>
      <c r="BO185" s="1620"/>
      <c r="BP185" s="1620">
        <v>0</v>
      </c>
      <c r="BQ185" s="1620">
        <v>0</v>
      </c>
      <c r="BR185" s="1620">
        <v>1.4547163956639617</v>
      </c>
      <c r="BS185" s="1620">
        <v>1.394260649350652</v>
      </c>
      <c r="BT185" s="1603"/>
      <c r="BU185" s="1620">
        <v>1000</v>
      </c>
      <c r="BV185" s="1620">
        <v>464.01</v>
      </c>
      <c r="BW185" s="1620">
        <v>0</v>
      </c>
      <c r="BX185" s="1620" t="s">
        <v>270</v>
      </c>
      <c r="BY185" s="1620" t="s">
        <v>270</v>
      </c>
      <c r="BZ185" s="1620" t="s">
        <v>270</v>
      </c>
      <c r="CA185" s="1620" t="s">
        <v>270</v>
      </c>
      <c r="CB185" s="1603"/>
      <c r="CC185" s="1603">
        <v>0</v>
      </c>
      <c r="CD185" s="1603">
        <v>0</v>
      </c>
      <c r="CE185" s="1603">
        <v>0</v>
      </c>
      <c r="CF185" s="1603">
        <v>0</v>
      </c>
      <c r="CG185" s="1603">
        <v>0</v>
      </c>
      <c r="CH185" s="1603">
        <v>0</v>
      </c>
      <c r="CI185" s="1603">
        <v>0</v>
      </c>
      <c r="CJ185" s="1603"/>
      <c r="CK185" s="1603">
        <v>0</v>
      </c>
      <c r="CL185" s="1603">
        <v>0</v>
      </c>
      <c r="CM185" s="1603">
        <v>0</v>
      </c>
      <c r="CN185" s="1603">
        <v>0</v>
      </c>
      <c r="CO185" s="1603">
        <v>0</v>
      </c>
      <c r="CP185" s="1603">
        <v>0</v>
      </c>
      <c r="CQ185" s="1603">
        <v>587.23299999999995</v>
      </c>
      <c r="CR185" s="1603">
        <v>404.88991651954842</v>
      </c>
      <c r="CS185" s="1603">
        <v>0</v>
      </c>
      <c r="CT185" s="1603">
        <v>682.6443992519587</v>
      </c>
      <c r="CU185" s="1603">
        <v>0</v>
      </c>
      <c r="CV185" s="1603">
        <v>682.6443992519587</v>
      </c>
      <c r="CW185" s="1603">
        <v>0</v>
      </c>
      <c r="CX185" s="1603">
        <v>0</v>
      </c>
      <c r="CY185" s="1603">
        <v>0</v>
      </c>
      <c r="CZ185" s="1603">
        <v>0</v>
      </c>
      <c r="DA185" s="1603">
        <v>0</v>
      </c>
      <c r="DB185" s="1603">
        <v>0</v>
      </c>
      <c r="DC185" s="1603">
        <v>0</v>
      </c>
      <c r="DD185" s="1603">
        <v>0</v>
      </c>
      <c r="DE185" s="1603">
        <v>0</v>
      </c>
      <c r="DF185" s="1603">
        <v>0</v>
      </c>
      <c r="DG185" s="1603">
        <v>0</v>
      </c>
      <c r="DH185" s="1603">
        <v>0</v>
      </c>
      <c r="DI185" s="1603">
        <v>0</v>
      </c>
      <c r="DJ185" s="1603">
        <v>0</v>
      </c>
      <c r="DK185" s="1603">
        <v>0</v>
      </c>
      <c r="DL185" s="1603">
        <v>0</v>
      </c>
      <c r="DM185" s="1603">
        <v>0</v>
      </c>
      <c r="DN185" s="1603">
        <v>0</v>
      </c>
      <c r="DO185" s="1603">
        <v>0</v>
      </c>
      <c r="DP185" s="1603">
        <v>0</v>
      </c>
      <c r="DQ185" s="1603">
        <v>0</v>
      </c>
      <c r="DR185" s="1603">
        <v>0</v>
      </c>
      <c r="DS185" s="1603">
        <v>0</v>
      </c>
      <c r="DT185" s="1603">
        <v>0</v>
      </c>
      <c r="DU185" s="1603">
        <v>0</v>
      </c>
      <c r="DV185" s="1603">
        <v>0</v>
      </c>
      <c r="DW185" s="1618" t="s">
        <v>986</v>
      </c>
      <c r="DX185" s="1605" t="s">
        <v>986</v>
      </c>
      <c r="DY185" s="1605" t="s">
        <v>986</v>
      </c>
      <c r="DZ185" s="1605" t="s">
        <v>986</v>
      </c>
      <c r="EA185" s="1605" t="s">
        <v>986</v>
      </c>
      <c r="EB185" s="1605" t="s">
        <v>986</v>
      </c>
      <c r="EC185" s="1605" t="s">
        <v>986</v>
      </c>
      <c r="ED185" s="1605" t="s">
        <v>986</v>
      </c>
      <c r="EE185" s="1605" t="s">
        <v>986</v>
      </c>
      <c r="EF185" s="1605" t="s">
        <v>986</v>
      </c>
      <c r="EG185" s="1605" t="s">
        <v>986</v>
      </c>
      <c r="EH185" s="1605" t="s">
        <v>986</v>
      </c>
      <c r="EI185" s="1605" t="s">
        <v>986</v>
      </c>
      <c r="EJ185" s="1605" t="s">
        <v>986</v>
      </c>
      <c r="EK185" s="1605" t="s">
        <v>986</v>
      </c>
      <c r="EL185" s="1605" t="s">
        <v>986</v>
      </c>
      <c r="EM185" s="1605" t="s">
        <v>986</v>
      </c>
      <c r="EN185" s="1605" t="s">
        <v>986</v>
      </c>
      <c r="EO185" s="1605" t="s">
        <v>986</v>
      </c>
      <c r="EP185" s="1605" t="s">
        <v>986</v>
      </c>
      <c r="EQ185" s="1605" t="s">
        <v>986</v>
      </c>
      <c r="ER185" s="1605" t="s">
        <v>986</v>
      </c>
      <c r="ES185" s="1605" t="s">
        <v>986</v>
      </c>
      <c r="ET185" s="1605" t="s">
        <v>986</v>
      </c>
      <c r="EU185" s="1605" t="s">
        <v>986</v>
      </c>
      <c r="EV185" s="1605" t="s">
        <v>986</v>
      </c>
      <c r="EW185" s="1605" t="s">
        <v>986</v>
      </c>
      <c r="EX185" s="1605" t="s">
        <v>986</v>
      </c>
      <c r="EY185" s="1605" t="s">
        <v>986</v>
      </c>
      <c r="EZ185" s="1605" t="s">
        <v>986</v>
      </c>
      <c r="FA185" s="1605" t="s">
        <v>986</v>
      </c>
      <c r="FB185" s="1605" t="s">
        <v>986</v>
      </c>
      <c r="FC185" s="1605" t="s">
        <v>986</v>
      </c>
      <c r="FD185" s="1605" t="s">
        <v>986</v>
      </c>
      <c r="FE185" s="1605" t="s">
        <v>986</v>
      </c>
      <c r="FF185" s="1605" t="s">
        <v>986</v>
      </c>
      <c r="FG185" s="1605" t="s">
        <v>986</v>
      </c>
      <c r="FH185" s="1605" t="s">
        <v>986</v>
      </c>
      <c r="FI185" s="1605" t="s">
        <v>986</v>
      </c>
      <c r="FJ185" s="1605" t="s">
        <v>986</v>
      </c>
      <c r="FK185" s="1605" t="s">
        <v>986</v>
      </c>
      <c r="FL185" s="1605" t="s">
        <v>986</v>
      </c>
      <c r="FM185" s="1605" t="s">
        <v>986</v>
      </c>
      <c r="FN185" s="1605" t="s">
        <v>986</v>
      </c>
      <c r="FO185" s="1605" t="s">
        <v>986</v>
      </c>
      <c r="FP185" s="1605" t="s">
        <v>986</v>
      </c>
      <c r="FQ185" s="1605" t="s">
        <v>986</v>
      </c>
      <c r="FR185" s="1605" t="s">
        <v>986</v>
      </c>
      <c r="FS185" s="1605" t="s">
        <v>986</v>
      </c>
      <c r="FT185" s="1605" t="s">
        <v>986</v>
      </c>
      <c r="FU185" s="1605" t="s">
        <v>986</v>
      </c>
      <c r="FV185" s="1605" t="s">
        <v>986</v>
      </c>
      <c r="FW185" s="1605" t="s">
        <v>986</v>
      </c>
      <c r="FX185" s="1605" t="s">
        <v>986</v>
      </c>
      <c r="FY185" s="1605" t="s">
        <v>986</v>
      </c>
      <c r="FZ185" s="1605" t="s">
        <v>986</v>
      </c>
      <c r="GA185" s="1605" t="s">
        <v>986</v>
      </c>
      <c r="GB185" s="1605" t="s">
        <v>986</v>
      </c>
      <c r="GC185" s="1605" t="s">
        <v>986</v>
      </c>
      <c r="GD185" s="1605" t="s">
        <v>986</v>
      </c>
      <c r="GE185" s="1605" t="s">
        <v>986</v>
      </c>
      <c r="GF185" s="1605" t="s">
        <v>986</v>
      </c>
      <c r="GG185" s="1605" t="s">
        <v>986</v>
      </c>
      <c r="GH185" s="1605" t="s">
        <v>986</v>
      </c>
      <c r="GI185" s="1605" t="s">
        <v>986</v>
      </c>
      <c r="GJ185" s="1605" t="s">
        <v>986</v>
      </c>
      <c r="GK185" s="1605" t="s">
        <v>986</v>
      </c>
      <c r="GL185" s="1605" t="s">
        <v>986</v>
      </c>
      <c r="GM185" s="1605" t="s">
        <v>986</v>
      </c>
      <c r="GN185" s="1605" t="s">
        <v>986</v>
      </c>
      <c r="GO185" s="1605" t="s">
        <v>986</v>
      </c>
      <c r="GP185" s="1605" t="s">
        <v>986</v>
      </c>
      <c r="GQ185" s="1605" t="s">
        <v>986</v>
      </c>
      <c r="GR185" s="1605" t="s">
        <v>986</v>
      </c>
      <c r="GS185" s="1605" t="s">
        <v>986</v>
      </c>
      <c r="GT185" s="1605" t="s">
        <v>986</v>
      </c>
      <c r="GU185" s="1605" t="s">
        <v>986</v>
      </c>
      <c r="GV185" s="1605" t="s">
        <v>986</v>
      </c>
      <c r="GW185" s="1605" t="s">
        <v>986</v>
      </c>
      <c r="GX185" s="1605" t="s">
        <v>986</v>
      </c>
      <c r="GY185" s="1605" t="s">
        <v>986</v>
      </c>
      <c r="GZ185" s="1605" t="s">
        <v>986</v>
      </c>
      <c r="HA185" s="1605" t="s">
        <v>986</v>
      </c>
      <c r="HB185" s="1605" t="s">
        <v>986</v>
      </c>
      <c r="HC185" s="1605" t="s">
        <v>986</v>
      </c>
      <c r="HD185" s="1605" t="s">
        <v>986</v>
      </c>
      <c r="HE185" s="1605" t="s">
        <v>986</v>
      </c>
      <c r="HF185" s="1605" t="s">
        <v>986</v>
      </c>
      <c r="HG185" s="1605" t="s">
        <v>986</v>
      </c>
      <c r="HH185" s="1605" t="s">
        <v>986</v>
      </c>
      <c r="HI185" s="1605" t="s">
        <v>986</v>
      </c>
      <c r="HJ185" s="1605" t="s">
        <v>986</v>
      </c>
      <c r="HK185" s="1605" t="s">
        <v>986</v>
      </c>
      <c r="HL185" s="1605" t="s">
        <v>986</v>
      </c>
      <c r="HM185" s="1605" t="s">
        <v>986</v>
      </c>
      <c r="HN185" s="1605" t="s">
        <v>986</v>
      </c>
      <c r="HO185" s="1605" t="s">
        <v>986</v>
      </c>
      <c r="HP185" s="1605" t="s">
        <v>986</v>
      </c>
      <c r="HQ185" s="1605" t="s">
        <v>986</v>
      </c>
      <c r="HR185" s="1605" t="s">
        <v>986</v>
      </c>
      <c r="HS185" s="1605" t="s">
        <v>986</v>
      </c>
      <c r="HT185" s="1605" t="s">
        <v>986</v>
      </c>
      <c r="HU185" s="1605" t="s">
        <v>986</v>
      </c>
      <c r="HV185" s="1617"/>
      <c r="HW185" s="1617" t="s">
        <v>986</v>
      </c>
      <c r="HX185" s="1617" t="s">
        <v>986</v>
      </c>
      <c r="HY185" s="1617" t="s">
        <v>986</v>
      </c>
      <c r="HZ185" s="1603"/>
      <c r="IA185" s="1603"/>
      <c r="IB185" s="1603"/>
      <c r="IC185" s="1603">
        <v>0</v>
      </c>
      <c r="ID185" s="1603">
        <v>0</v>
      </c>
      <c r="IE185" s="1603">
        <v>0</v>
      </c>
      <c r="IF185" s="1603">
        <v>0</v>
      </c>
      <c r="IG185" s="1611" t="s">
        <v>2932</v>
      </c>
      <c r="IH185" s="1616" t="s">
        <v>270</v>
      </c>
      <c r="II185" s="1615" t="s">
        <v>270</v>
      </c>
      <c r="IJ185" s="1613">
        <v>1.3101818181818183</v>
      </c>
      <c r="IK185" s="1613">
        <v>1.301848484848485</v>
      </c>
      <c r="IL185" s="1614">
        <v>1.3101818181818183</v>
      </c>
      <c r="IM185" s="1614">
        <v>1.301848484848485</v>
      </c>
      <c r="IN185" s="1612" t="s">
        <v>270</v>
      </c>
      <c r="IO185" s="1613" t="s">
        <v>270</v>
      </c>
      <c r="IP185" s="1607" t="s">
        <v>270</v>
      </c>
      <c r="IQ185" s="1612" t="s">
        <v>270</v>
      </c>
      <c r="IR185" s="1612" t="s">
        <v>270</v>
      </c>
      <c r="IS185" s="1607">
        <v>1.1881818181818182</v>
      </c>
      <c r="IT185" s="1607">
        <v>1.1798484848484849</v>
      </c>
      <c r="IU185" s="1611">
        <v>0</v>
      </c>
      <c r="IV185" s="1611">
        <v>7.7767676767676763E-2</v>
      </c>
      <c r="IW185" s="1611">
        <v>9.0909090909090909E-4</v>
      </c>
      <c r="IX185" s="1611">
        <v>1.6060606060606061E-3</v>
      </c>
      <c r="IY185" s="1611">
        <v>9.6969696969696957E-4</v>
      </c>
      <c r="IZ185" s="1611">
        <v>5.9898989898989896E-3</v>
      </c>
      <c r="JA185" s="1611">
        <v>6.0606060606060598E-5</v>
      </c>
      <c r="JB185" s="1611" t="s">
        <v>270</v>
      </c>
      <c r="JC185" s="1611">
        <v>9.9026969696969704</v>
      </c>
      <c r="JD185" s="1611">
        <v>5.2121212121212122E-3</v>
      </c>
      <c r="JE185" s="1611" t="s">
        <v>270</v>
      </c>
      <c r="JF185" s="1611">
        <v>8.2828282828282835E-4</v>
      </c>
      <c r="JG185" s="1611">
        <v>0.57978787878787885</v>
      </c>
      <c r="JH185" s="1611">
        <v>7.646464646464647E-3</v>
      </c>
      <c r="JI185" s="1611">
        <v>0.3</v>
      </c>
      <c r="JJ185" s="1611" t="s">
        <v>270</v>
      </c>
      <c r="JK185" s="1607">
        <f t="shared" si="11"/>
        <v>0.12200000000000011</v>
      </c>
      <c r="JL185" s="1608" t="s">
        <v>270</v>
      </c>
      <c r="JM185" s="1610" t="s">
        <v>2924</v>
      </c>
      <c r="JN185" s="1608">
        <v>8.3333333333333037E-3</v>
      </c>
      <c r="JO185" s="1609" t="s">
        <v>2931</v>
      </c>
      <c r="JP185" s="1608" t="s">
        <v>270</v>
      </c>
      <c r="JQ185" s="1607">
        <v>202103</v>
      </c>
      <c r="JR185" s="1606">
        <v>851</v>
      </c>
      <c r="JS185" s="1606">
        <v>774</v>
      </c>
      <c r="JT185" s="1606">
        <v>774</v>
      </c>
    </row>
    <row r="186" spans="1:280" ht="15" customHeight="1" x14ac:dyDescent="0.2">
      <c r="A186" s="1626">
        <v>55000</v>
      </c>
      <c r="B186" s="1625">
        <v>550</v>
      </c>
      <c r="C186" s="1624">
        <v>0</v>
      </c>
      <c r="D186" s="1623" t="s">
        <v>3304</v>
      </c>
      <c r="E186" s="1622">
        <v>43031</v>
      </c>
      <c r="F186" s="1620">
        <v>1.16173463753387</v>
      </c>
      <c r="G186" s="1620">
        <v>1.14662175324675</v>
      </c>
      <c r="H186" s="1621">
        <v>87</v>
      </c>
      <c r="I186" s="1621">
        <v>84</v>
      </c>
      <c r="J186" s="1621">
        <v>91</v>
      </c>
      <c r="K186" s="1620">
        <v>1</v>
      </c>
      <c r="L186" s="1620">
        <v>87.5</v>
      </c>
      <c r="M186" s="1620">
        <v>9.0124999999999993</v>
      </c>
      <c r="N186" s="1620">
        <v>3.2374999999999998</v>
      </c>
      <c r="O186" s="1620">
        <v>1.3125</v>
      </c>
      <c r="P186" s="1620">
        <v>2.3975</v>
      </c>
      <c r="Q186" s="1603"/>
      <c r="R186" s="1620">
        <v>79.599999999999994</v>
      </c>
      <c r="S186" s="1620">
        <v>16</v>
      </c>
      <c r="T186" s="1620">
        <v>30.634146341463399</v>
      </c>
      <c r="U186" s="1620">
        <v>36.487804878048799</v>
      </c>
      <c r="V186" s="1620">
        <v>41.756097560975597</v>
      </c>
      <c r="W186" s="1620">
        <v>45.268292682926798</v>
      </c>
      <c r="X186" s="1620"/>
      <c r="Y186" s="1620">
        <v>0.3</v>
      </c>
      <c r="Z186" s="1620">
        <v>2.9</v>
      </c>
      <c r="AA186" s="1620">
        <v>0.1</v>
      </c>
      <c r="AB186" s="1620">
        <v>0</v>
      </c>
      <c r="AC186" s="1620">
        <v>3.5</v>
      </c>
      <c r="AD186" s="1620">
        <v>1.3999999999999886</v>
      </c>
      <c r="AE186" s="1620">
        <v>0.8</v>
      </c>
      <c r="AF186" s="1620">
        <v>67</v>
      </c>
      <c r="AG186" s="1620">
        <v>6.9999999999999885</v>
      </c>
      <c r="AH186" s="1620">
        <v>16</v>
      </c>
      <c r="AI186" s="1620">
        <v>20</v>
      </c>
      <c r="AJ186" s="1620">
        <v>0</v>
      </c>
      <c r="AK186" s="1620">
        <v>0.12</v>
      </c>
      <c r="AL186" s="1620"/>
      <c r="AM186" s="1620">
        <v>2.27</v>
      </c>
      <c r="AN186" s="1620">
        <v>1.76</v>
      </c>
      <c r="AO186" s="1620">
        <v>1.91</v>
      </c>
      <c r="AP186" s="1620">
        <v>3.29</v>
      </c>
      <c r="AQ186" s="1620">
        <v>1.08</v>
      </c>
      <c r="AR186" s="1620">
        <v>3.79</v>
      </c>
      <c r="AS186" s="1620">
        <v>12.93</v>
      </c>
      <c r="AT186" s="1620">
        <v>2.48</v>
      </c>
      <c r="AU186" s="1620">
        <v>5.25</v>
      </c>
      <c r="AV186" s="1620">
        <v>3.95</v>
      </c>
      <c r="AW186" s="1620">
        <v>4.76</v>
      </c>
      <c r="AX186" s="1620"/>
      <c r="AY186" s="1620">
        <v>0.98</v>
      </c>
      <c r="AZ186" s="1620">
        <v>1.02</v>
      </c>
      <c r="BA186" s="1620">
        <v>1</v>
      </c>
      <c r="BB186" s="1620">
        <v>0.98</v>
      </c>
      <c r="BC186" s="1620">
        <v>0.98</v>
      </c>
      <c r="BD186" s="1620">
        <v>0.98</v>
      </c>
      <c r="BE186" s="1620">
        <v>0.97</v>
      </c>
      <c r="BF186" s="1620">
        <v>0.97</v>
      </c>
      <c r="BG186" s="1620">
        <v>1.02</v>
      </c>
      <c r="BH186" s="1620">
        <v>0.98</v>
      </c>
      <c r="BI186" s="1620">
        <v>0.97</v>
      </c>
      <c r="BJ186" s="1603"/>
      <c r="BK186" s="1620">
        <v>10.299999999999999</v>
      </c>
      <c r="BL186" s="1620">
        <v>3.7</v>
      </c>
      <c r="BM186" s="1620">
        <v>1.5</v>
      </c>
      <c r="BN186" s="1620">
        <v>2.74</v>
      </c>
      <c r="BO186" s="1620"/>
      <c r="BP186" s="1620">
        <v>115</v>
      </c>
      <c r="BQ186" s="1620">
        <v>42.550000000000004</v>
      </c>
      <c r="BR186" s="1620">
        <v>1.3276967286101371</v>
      </c>
      <c r="BS186" s="1620">
        <v>1.3104248608534284</v>
      </c>
      <c r="BT186" s="1603"/>
      <c r="BU186" s="1620">
        <v>985</v>
      </c>
      <c r="BV186" s="1620">
        <v>685.11571428571438</v>
      </c>
      <c r="BW186" s="1620">
        <v>42.214285714285715</v>
      </c>
      <c r="BX186" s="1620" t="s">
        <v>270</v>
      </c>
      <c r="BY186" s="1620" t="s">
        <v>270</v>
      </c>
      <c r="BZ186" s="1620" t="s">
        <v>270</v>
      </c>
      <c r="CA186" s="1620" t="s">
        <v>270</v>
      </c>
      <c r="CB186" s="1603"/>
      <c r="CC186" s="1603">
        <v>0.26250000000000001</v>
      </c>
      <c r="CD186" s="1603">
        <v>2.5375000000000001</v>
      </c>
      <c r="CE186" s="1603">
        <v>8.7500000000000008E-2</v>
      </c>
      <c r="CF186" s="1603">
        <v>0</v>
      </c>
      <c r="CG186" s="1603">
        <v>3.0625</v>
      </c>
      <c r="CH186" s="1603">
        <v>1.2249999999999901</v>
      </c>
      <c r="CI186" s="1603">
        <v>0.70000000000000007</v>
      </c>
      <c r="CJ186" s="1603"/>
      <c r="CK186" s="1603">
        <v>58.625</v>
      </c>
      <c r="CL186" s="1603">
        <v>6.1249999999999902</v>
      </c>
      <c r="CM186" s="1603">
        <v>14</v>
      </c>
      <c r="CN186" s="1603">
        <v>17.5</v>
      </c>
      <c r="CO186" s="1603">
        <v>0</v>
      </c>
      <c r="CP186" s="1603">
        <v>0.105</v>
      </c>
      <c r="CQ186" s="1603">
        <v>71.739500000000007</v>
      </c>
      <c r="CR186" s="1603">
        <v>61.752053939175475</v>
      </c>
      <c r="CS186" s="1603">
        <v>1.3737361919308975</v>
      </c>
      <c r="CT186" s="1603">
        <v>1.1085728723160782</v>
      </c>
      <c r="CU186" s="1603">
        <v>1.1794642302382514</v>
      </c>
      <c r="CV186" s="1603">
        <v>2.2880371025543296</v>
      </c>
      <c r="CW186" s="1603">
        <v>1.9910097231068953</v>
      </c>
      <c r="CX186" s="1603">
        <v>0.6535837388922332</v>
      </c>
      <c r="CY186" s="1603">
        <v>2.2935947874088551</v>
      </c>
      <c r="CZ186" s="1603">
        <v>7.7450043571053273</v>
      </c>
      <c r="DA186" s="1603">
        <v>1.4855074095608052</v>
      </c>
      <c r="DB186" s="1603">
        <v>3.3068224884428465</v>
      </c>
      <c r="DC186" s="1603">
        <v>2.3904220079854825</v>
      </c>
      <c r="DD186" s="1603">
        <v>5.6972444964283291</v>
      </c>
      <c r="DE186" s="1603">
        <v>2.8512158344796097</v>
      </c>
      <c r="DF186" s="1603">
        <v>0</v>
      </c>
      <c r="DG186" s="1603" t="s">
        <v>270</v>
      </c>
      <c r="DH186" s="1603" t="s">
        <v>270</v>
      </c>
      <c r="DI186" s="1603">
        <v>0</v>
      </c>
      <c r="DJ186" s="1603">
        <v>0</v>
      </c>
      <c r="DK186" s="1603">
        <v>0</v>
      </c>
      <c r="DL186" s="1603">
        <v>0</v>
      </c>
      <c r="DM186" s="1603">
        <v>0</v>
      </c>
      <c r="DN186" s="1603">
        <v>0</v>
      </c>
      <c r="DO186" s="1603">
        <v>0</v>
      </c>
      <c r="DP186" s="1603">
        <v>0</v>
      </c>
      <c r="DQ186" s="1603">
        <v>0</v>
      </c>
      <c r="DR186" s="1603">
        <v>0</v>
      </c>
      <c r="DS186" s="1603">
        <v>0</v>
      </c>
      <c r="DT186" s="1603">
        <v>0</v>
      </c>
      <c r="DU186" s="1603">
        <v>0</v>
      </c>
      <c r="DV186" s="1603">
        <v>0</v>
      </c>
      <c r="DW186" s="1618" t="s">
        <v>3303</v>
      </c>
      <c r="DX186" s="1605" t="s">
        <v>986</v>
      </c>
      <c r="DY186" s="1605" t="s">
        <v>986</v>
      </c>
      <c r="DZ186" s="1605" t="s">
        <v>986</v>
      </c>
      <c r="EA186" s="1605" t="s">
        <v>986</v>
      </c>
      <c r="EB186" s="1605" t="s">
        <v>986</v>
      </c>
      <c r="EC186" s="1605" t="s">
        <v>986</v>
      </c>
      <c r="ED186" s="1605" t="s">
        <v>986</v>
      </c>
      <c r="EE186" s="1605" t="s">
        <v>986</v>
      </c>
      <c r="EF186" s="1605" t="s">
        <v>986</v>
      </c>
      <c r="EG186" s="1605" t="s">
        <v>986</v>
      </c>
      <c r="EH186" s="1605" t="s">
        <v>986</v>
      </c>
      <c r="EI186" s="1605" t="s">
        <v>986</v>
      </c>
      <c r="EJ186" s="1605" t="s">
        <v>986</v>
      </c>
      <c r="EK186" s="1605" t="s">
        <v>986</v>
      </c>
      <c r="EL186" s="1605" t="s">
        <v>986</v>
      </c>
      <c r="EM186" s="1605" t="s">
        <v>986</v>
      </c>
      <c r="EN186" s="1605" t="s">
        <v>986</v>
      </c>
      <c r="EO186" s="1605" t="s">
        <v>986</v>
      </c>
      <c r="EP186" s="1605" t="s">
        <v>986</v>
      </c>
      <c r="EQ186" s="1605" t="s">
        <v>986</v>
      </c>
      <c r="ER186" s="1605" t="s">
        <v>986</v>
      </c>
      <c r="ES186" s="1605" t="s">
        <v>986</v>
      </c>
      <c r="ET186" s="1605" t="s">
        <v>986</v>
      </c>
      <c r="EU186" s="1605" t="s">
        <v>986</v>
      </c>
      <c r="EV186" s="1605" t="s">
        <v>986</v>
      </c>
      <c r="EW186" s="1605" t="s">
        <v>986</v>
      </c>
      <c r="EX186" s="1605" t="s">
        <v>986</v>
      </c>
      <c r="EY186" s="1605" t="s">
        <v>986</v>
      </c>
      <c r="EZ186" s="1605" t="s">
        <v>986</v>
      </c>
      <c r="FA186" s="1605" t="s">
        <v>986</v>
      </c>
      <c r="FB186" s="1605" t="s">
        <v>986</v>
      </c>
      <c r="FC186" s="1605" t="s">
        <v>986</v>
      </c>
      <c r="FD186" s="1605" t="s">
        <v>986</v>
      </c>
      <c r="FE186" s="1605" t="s">
        <v>986</v>
      </c>
      <c r="FF186" s="1605" t="s">
        <v>986</v>
      </c>
      <c r="FG186" s="1605" t="s">
        <v>986</v>
      </c>
      <c r="FH186" s="1605" t="s">
        <v>986</v>
      </c>
      <c r="FI186" s="1605" t="s">
        <v>986</v>
      </c>
      <c r="FJ186" s="1605" t="s">
        <v>986</v>
      </c>
      <c r="FK186" s="1605" t="s">
        <v>986</v>
      </c>
      <c r="FL186" s="1605" t="s">
        <v>986</v>
      </c>
      <c r="FM186" s="1605" t="s">
        <v>986</v>
      </c>
      <c r="FN186" s="1605" t="s">
        <v>986</v>
      </c>
      <c r="FO186" s="1605" t="s">
        <v>986</v>
      </c>
      <c r="FP186" s="1605" t="s">
        <v>986</v>
      </c>
      <c r="FQ186" s="1605" t="s">
        <v>986</v>
      </c>
      <c r="FR186" s="1605" t="s">
        <v>986</v>
      </c>
      <c r="FS186" s="1605" t="s">
        <v>986</v>
      </c>
      <c r="FT186" s="1605" t="s">
        <v>986</v>
      </c>
      <c r="FU186" s="1605" t="s">
        <v>986</v>
      </c>
      <c r="FV186" s="1605" t="s">
        <v>986</v>
      </c>
      <c r="FW186" s="1605" t="s">
        <v>986</v>
      </c>
      <c r="FX186" s="1605" t="s">
        <v>986</v>
      </c>
      <c r="FY186" s="1605" t="s">
        <v>986</v>
      </c>
      <c r="FZ186" s="1605" t="s">
        <v>986</v>
      </c>
      <c r="GA186" s="1605" t="s">
        <v>986</v>
      </c>
      <c r="GB186" s="1605" t="s">
        <v>986</v>
      </c>
      <c r="GC186" s="1605" t="s">
        <v>986</v>
      </c>
      <c r="GD186" s="1605" t="s">
        <v>986</v>
      </c>
      <c r="GE186" s="1605" t="s">
        <v>986</v>
      </c>
      <c r="GF186" s="1605" t="s">
        <v>986</v>
      </c>
      <c r="GG186" s="1605" t="s">
        <v>986</v>
      </c>
      <c r="GH186" s="1605" t="s">
        <v>986</v>
      </c>
      <c r="GI186" s="1605" t="s">
        <v>986</v>
      </c>
      <c r="GJ186" s="1605" t="s">
        <v>986</v>
      </c>
      <c r="GK186" s="1605" t="s">
        <v>986</v>
      </c>
      <c r="GL186" s="1605" t="s">
        <v>986</v>
      </c>
      <c r="GM186" s="1605" t="s">
        <v>986</v>
      </c>
      <c r="GN186" s="1605" t="s">
        <v>986</v>
      </c>
      <c r="GO186" s="1605" t="s">
        <v>986</v>
      </c>
      <c r="GP186" s="1605" t="s">
        <v>986</v>
      </c>
      <c r="GQ186" s="1605" t="s">
        <v>986</v>
      </c>
      <c r="GR186" s="1605" t="s">
        <v>986</v>
      </c>
      <c r="GS186" s="1605" t="s">
        <v>986</v>
      </c>
      <c r="GT186" s="1605" t="s">
        <v>986</v>
      </c>
      <c r="GU186" s="1605" t="s">
        <v>986</v>
      </c>
      <c r="GV186" s="1605" t="s">
        <v>986</v>
      </c>
      <c r="GW186" s="1605" t="s">
        <v>986</v>
      </c>
      <c r="GX186" s="1605" t="s">
        <v>986</v>
      </c>
      <c r="GY186" s="1605" t="s">
        <v>986</v>
      </c>
      <c r="GZ186" s="1605" t="s">
        <v>986</v>
      </c>
      <c r="HA186" s="1605" t="s">
        <v>986</v>
      </c>
      <c r="HB186" s="1605" t="s">
        <v>986</v>
      </c>
      <c r="HC186" s="1605" t="s">
        <v>986</v>
      </c>
      <c r="HD186" s="1605" t="s">
        <v>986</v>
      </c>
      <c r="HE186" s="1605" t="s">
        <v>986</v>
      </c>
      <c r="HF186" s="1605" t="s">
        <v>986</v>
      </c>
      <c r="HG186" s="1605" t="s">
        <v>986</v>
      </c>
      <c r="HH186" s="1605" t="s">
        <v>986</v>
      </c>
      <c r="HI186" s="1605" t="s">
        <v>986</v>
      </c>
      <c r="HJ186" s="1605" t="s">
        <v>986</v>
      </c>
      <c r="HK186" s="1605" t="s">
        <v>986</v>
      </c>
      <c r="HL186" s="1605" t="s">
        <v>986</v>
      </c>
      <c r="HM186" s="1605" t="s">
        <v>986</v>
      </c>
      <c r="HN186" s="1605" t="s">
        <v>986</v>
      </c>
      <c r="HO186" s="1605" t="s">
        <v>986</v>
      </c>
      <c r="HP186" s="1605" t="s">
        <v>986</v>
      </c>
      <c r="HQ186" s="1605" t="s">
        <v>986</v>
      </c>
      <c r="HR186" s="1605" t="s">
        <v>986</v>
      </c>
      <c r="HS186" s="1605" t="s">
        <v>986</v>
      </c>
      <c r="HT186" s="1605" t="s">
        <v>986</v>
      </c>
      <c r="HU186" s="1605" t="s">
        <v>986</v>
      </c>
      <c r="HV186" s="1617"/>
      <c r="HW186" s="1617" t="s">
        <v>3302</v>
      </c>
      <c r="HX186" s="1617" t="s">
        <v>3301</v>
      </c>
      <c r="HY186" s="1617" t="s">
        <v>3300</v>
      </c>
      <c r="HZ186" s="1603"/>
      <c r="IA186" s="1603"/>
      <c r="IB186" s="1603"/>
      <c r="IC186" s="1603">
        <v>47.902439024390198</v>
      </c>
      <c r="ID186" s="1603">
        <v>49.658536585365901</v>
      </c>
      <c r="IE186" s="1603">
        <v>51.121951219512198</v>
      </c>
      <c r="IF186" s="1603">
        <v>52</v>
      </c>
      <c r="IG186" s="1611" t="s">
        <v>3299</v>
      </c>
      <c r="IH186" s="1616" t="s">
        <v>270</v>
      </c>
      <c r="II186" s="1615" t="s">
        <v>270</v>
      </c>
      <c r="IJ186" s="1613">
        <v>1.9369545454545454</v>
      </c>
      <c r="IK186" s="1613">
        <v>1.789659090909091</v>
      </c>
      <c r="IL186" s="1614">
        <v>1.9369545454545454</v>
      </c>
      <c r="IM186" s="1614">
        <v>1.789659090909091</v>
      </c>
      <c r="IN186" s="1612" t="s">
        <v>270</v>
      </c>
      <c r="IO186" s="1613" t="s">
        <v>270</v>
      </c>
      <c r="IP186" s="1607" t="s">
        <v>270</v>
      </c>
      <c r="IQ186" s="1612" t="s">
        <v>270</v>
      </c>
      <c r="IR186" s="1612" t="s">
        <v>270</v>
      </c>
      <c r="IS186" s="1607">
        <v>1.6509545454545453</v>
      </c>
      <c r="IT186" s="1607">
        <v>1.503659090909091</v>
      </c>
      <c r="IU186" s="1611">
        <v>1.1363636363636365E-5</v>
      </c>
      <c r="IV186" s="1611">
        <v>3.8136363636363635E-2</v>
      </c>
      <c r="IW186" s="1611">
        <v>3.0909090909090912E-3</v>
      </c>
      <c r="IX186" s="1611">
        <v>3.1363636363636359E-3</v>
      </c>
      <c r="IY186" s="1611">
        <v>3.1363636363636359E-3</v>
      </c>
      <c r="IZ186" s="1611">
        <v>1.6250000000000001E-2</v>
      </c>
      <c r="JA186" s="1611">
        <v>3.863636363636364E-4</v>
      </c>
      <c r="JB186" s="1611" t="s">
        <v>270</v>
      </c>
      <c r="JC186" s="1611">
        <v>22.61990909090909</v>
      </c>
      <c r="JD186" s="1611">
        <v>0.65993181818181823</v>
      </c>
      <c r="JE186" s="1611" t="s">
        <v>270</v>
      </c>
      <c r="JF186" s="1611">
        <v>1.5454545454545456E-3</v>
      </c>
      <c r="JG186" s="1611">
        <v>2.0523295454545454</v>
      </c>
      <c r="JH186" s="1611">
        <v>1.5340909090909092E-3</v>
      </c>
      <c r="JI186" s="1611">
        <v>0.30751136363636361</v>
      </c>
      <c r="JJ186" s="1611" t="s">
        <v>270</v>
      </c>
      <c r="JK186" s="1607">
        <f t="shared" si="11"/>
        <v>0.28600000000000003</v>
      </c>
      <c r="JL186" s="1608" t="s">
        <v>270</v>
      </c>
      <c r="JM186" s="1610" t="s">
        <v>2924</v>
      </c>
      <c r="JN186" s="1608">
        <v>0.14729545454545434</v>
      </c>
      <c r="JO186" s="1609" t="s">
        <v>3190</v>
      </c>
      <c r="JP186" s="1608" t="s">
        <v>270</v>
      </c>
      <c r="JQ186" s="1607">
        <v>202103</v>
      </c>
      <c r="JR186" s="1606">
        <v>583</v>
      </c>
      <c r="JS186" s="1606">
        <v>528</v>
      </c>
      <c r="JT186" s="1606">
        <v>528</v>
      </c>
    </row>
    <row r="187" spans="1:280" ht="15" customHeight="1" x14ac:dyDescent="0.2">
      <c r="A187" s="1626">
        <v>46200</v>
      </c>
      <c r="B187" s="1625">
        <v>462</v>
      </c>
      <c r="C187" s="1624">
        <v>0</v>
      </c>
      <c r="D187" s="1623" t="s">
        <v>3298</v>
      </c>
      <c r="E187" s="1622">
        <v>43025</v>
      </c>
      <c r="F187" s="1620">
        <v>-0.112682926829268</v>
      </c>
      <c r="G187" s="1620">
        <v>-0.108</v>
      </c>
      <c r="H187" s="1621">
        <v>70</v>
      </c>
      <c r="I187" s="1621">
        <v>70</v>
      </c>
      <c r="J187" s="1621">
        <v>0</v>
      </c>
      <c r="K187" s="1620">
        <v>1</v>
      </c>
      <c r="L187" s="1620">
        <v>99</v>
      </c>
      <c r="M187" s="1620">
        <v>0</v>
      </c>
      <c r="N187" s="1620">
        <v>0</v>
      </c>
      <c r="O187" s="1620">
        <v>99</v>
      </c>
      <c r="P187" s="1620">
        <v>0</v>
      </c>
      <c r="Q187" s="1603"/>
      <c r="R187" s="1620">
        <v>0</v>
      </c>
      <c r="S187" s="1620">
        <v>67</v>
      </c>
      <c r="T187" s="1620">
        <v>67</v>
      </c>
      <c r="U187" s="1620">
        <v>67</v>
      </c>
      <c r="V187" s="1620">
        <v>67</v>
      </c>
      <c r="W187" s="1620">
        <v>67</v>
      </c>
      <c r="X187" s="1620"/>
      <c r="Y187" s="1620">
        <v>161.61616161616161</v>
      </c>
      <c r="Z187" s="1620">
        <v>229.2929292929293</v>
      </c>
      <c r="AA187" s="1620">
        <v>0</v>
      </c>
      <c r="AB187" s="1620">
        <v>0</v>
      </c>
      <c r="AC187" s="1620">
        <v>0</v>
      </c>
      <c r="AD187" s="1620">
        <v>0</v>
      </c>
      <c r="AE187" s="1620">
        <v>0</v>
      </c>
      <c r="AF187" s="1620">
        <v>0</v>
      </c>
      <c r="AG187" s="1620">
        <v>0</v>
      </c>
      <c r="AH187" s="1620">
        <v>0</v>
      </c>
      <c r="AI187" s="1620">
        <v>0</v>
      </c>
      <c r="AJ187" s="1620">
        <v>0</v>
      </c>
      <c r="AK187" s="1620">
        <v>0</v>
      </c>
      <c r="AL187" s="1620"/>
      <c r="AM187" s="1620">
        <v>0</v>
      </c>
      <c r="AN187" s="1620">
        <v>0</v>
      </c>
      <c r="AO187" s="1620">
        <v>0</v>
      </c>
      <c r="AP187" s="1620">
        <v>0</v>
      </c>
      <c r="AQ187" s="1620">
        <v>0</v>
      </c>
      <c r="AR187" s="1620">
        <v>0</v>
      </c>
      <c r="AS187" s="1620">
        <v>0</v>
      </c>
      <c r="AT187" s="1620">
        <v>0</v>
      </c>
      <c r="AU187" s="1620">
        <v>0</v>
      </c>
      <c r="AV187" s="1620">
        <v>0</v>
      </c>
      <c r="AW187" s="1620">
        <v>0</v>
      </c>
      <c r="AX187" s="1620"/>
      <c r="AY187" s="1620">
        <v>1</v>
      </c>
      <c r="AZ187" s="1620">
        <v>1</v>
      </c>
      <c r="BA187" s="1620">
        <v>1</v>
      </c>
      <c r="BB187" s="1620">
        <v>1</v>
      </c>
      <c r="BC187" s="1620">
        <v>1</v>
      </c>
      <c r="BD187" s="1620">
        <v>1</v>
      </c>
      <c r="BE187" s="1620">
        <v>1</v>
      </c>
      <c r="BF187" s="1620">
        <v>1</v>
      </c>
      <c r="BG187" s="1620">
        <v>1</v>
      </c>
      <c r="BH187" s="1620">
        <v>1</v>
      </c>
      <c r="BI187" s="1620">
        <v>1</v>
      </c>
      <c r="BJ187" s="1603"/>
      <c r="BK187" s="1620">
        <v>0</v>
      </c>
      <c r="BL187" s="1620">
        <v>0</v>
      </c>
      <c r="BM187" s="1620">
        <v>100</v>
      </c>
      <c r="BN187" s="1620">
        <v>0</v>
      </c>
      <c r="BO187" s="1620"/>
      <c r="BP187" s="1620">
        <v>0</v>
      </c>
      <c r="BQ187" s="1620">
        <v>0</v>
      </c>
      <c r="BR187" s="1620">
        <v>-0.11382113821138182</v>
      </c>
      <c r="BS187" s="1620">
        <v>-0.1090909090909091</v>
      </c>
      <c r="BT187" s="1603"/>
      <c r="BU187" s="1620">
        <v>0</v>
      </c>
      <c r="BV187" s="1620">
        <v>0</v>
      </c>
      <c r="BW187" s="1620">
        <v>0</v>
      </c>
      <c r="BX187" s="1620" t="s">
        <v>270</v>
      </c>
      <c r="BY187" s="1620" t="s">
        <v>270</v>
      </c>
      <c r="BZ187" s="1620" t="s">
        <v>270</v>
      </c>
      <c r="CA187" s="1620" t="s">
        <v>270</v>
      </c>
      <c r="CB187" s="1603"/>
      <c r="CC187" s="1603">
        <v>160</v>
      </c>
      <c r="CD187" s="1603">
        <v>227</v>
      </c>
      <c r="CE187" s="1603">
        <v>0</v>
      </c>
      <c r="CF187" s="1603">
        <v>0</v>
      </c>
      <c r="CG187" s="1603">
        <v>0</v>
      </c>
      <c r="CH187" s="1603">
        <v>0</v>
      </c>
      <c r="CI187" s="1603">
        <v>0</v>
      </c>
      <c r="CJ187" s="1603"/>
      <c r="CK187" s="1603">
        <v>0</v>
      </c>
      <c r="CL187" s="1603">
        <v>0</v>
      </c>
      <c r="CM187" s="1603">
        <v>0</v>
      </c>
      <c r="CN187" s="1603">
        <v>0</v>
      </c>
      <c r="CO187" s="1603">
        <v>0</v>
      </c>
      <c r="CP187" s="1603">
        <v>0</v>
      </c>
      <c r="CQ187" s="1603">
        <v>0</v>
      </c>
      <c r="CR187" s="1603">
        <v>0</v>
      </c>
      <c r="CS187" s="1603">
        <v>0</v>
      </c>
      <c r="CT187" s="1603">
        <v>0</v>
      </c>
      <c r="CU187" s="1603">
        <v>0</v>
      </c>
      <c r="CV187" s="1603">
        <v>0</v>
      </c>
      <c r="CW187" s="1603">
        <v>0</v>
      </c>
      <c r="CX187" s="1603">
        <v>0</v>
      </c>
      <c r="CY187" s="1603">
        <v>0</v>
      </c>
      <c r="CZ187" s="1603">
        <v>0</v>
      </c>
      <c r="DA187" s="1603">
        <v>0</v>
      </c>
      <c r="DB187" s="1603">
        <v>0</v>
      </c>
      <c r="DC187" s="1603">
        <v>0</v>
      </c>
      <c r="DD187" s="1603">
        <v>0</v>
      </c>
      <c r="DE187" s="1603">
        <v>0</v>
      </c>
      <c r="DF187" s="1603">
        <v>0</v>
      </c>
      <c r="DG187" s="1603">
        <v>0</v>
      </c>
      <c r="DH187" s="1603">
        <v>0</v>
      </c>
      <c r="DI187" s="1603">
        <v>0</v>
      </c>
      <c r="DJ187" s="1603">
        <v>0</v>
      </c>
      <c r="DK187" s="1603">
        <v>0</v>
      </c>
      <c r="DL187" s="1603">
        <v>0</v>
      </c>
      <c r="DM187" s="1603">
        <v>0</v>
      </c>
      <c r="DN187" s="1603">
        <v>0</v>
      </c>
      <c r="DO187" s="1603">
        <v>0</v>
      </c>
      <c r="DP187" s="1603">
        <v>0</v>
      </c>
      <c r="DQ187" s="1603">
        <v>0</v>
      </c>
      <c r="DR187" s="1603">
        <v>0</v>
      </c>
      <c r="DS187" s="1603">
        <v>0</v>
      </c>
      <c r="DT187" s="1603">
        <v>0</v>
      </c>
      <c r="DU187" s="1603">
        <v>0</v>
      </c>
      <c r="DV187" s="1603">
        <v>0</v>
      </c>
      <c r="DW187" s="1618" t="s">
        <v>3297</v>
      </c>
      <c r="DX187" s="1605" t="s">
        <v>986</v>
      </c>
      <c r="DY187" s="1605" t="s">
        <v>986</v>
      </c>
      <c r="DZ187" s="1605" t="s">
        <v>986</v>
      </c>
      <c r="EA187" s="1605" t="s">
        <v>986</v>
      </c>
      <c r="EB187" s="1605" t="s">
        <v>986</v>
      </c>
      <c r="EC187" s="1605" t="s">
        <v>986</v>
      </c>
      <c r="ED187" s="1605" t="s">
        <v>986</v>
      </c>
      <c r="EE187" s="1605" t="s">
        <v>986</v>
      </c>
      <c r="EF187" s="1605" t="s">
        <v>986</v>
      </c>
      <c r="EG187" s="1605" t="s">
        <v>986</v>
      </c>
      <c r="EH187" s="1605" t="s">
        <v>986</v>
      </c>
      <c r="EI187" s="1605" t="s">
        <v>986</v>
      </c>
      <c r="EJ187" s="1605" t="s">
        <v>986</v>
      </c>
      <c r="EK187" s="1605" t="s">
        <v>986</v>
      </c>
      <c r="EL187" s="1605" t="s">
        <v>986</v>
      </c>
      <c r="EM187" s="1605" t="s">
        <v>986</v>
      </c>
      <c r="EN187" s="1605" t="s">
        <v>986</v>
      </c>
      <c r="EO187" s="1605" t="s">
        <v>986</v>
      </c>
      <c r="EP187" s="1605" t="s">
        <v>986</v>
      </c>
      <c r="EQ187" s="1605" t="s">
        <v>986</v>
      </c>
      <c r="ER187" s="1605" t="s">
        <v>986</v>
      </c>
      <c r="ES187" s="1605" t="s">
        <v>986</v>
      </c>
      <c r="ET187" s="1605" t="s">
        <v>986</v>
      </c>
      <c r="EU187" s="1605" t="s">
        <v>986</v>
      </c>
      <c r="EV187" s="1605" t="s">
        <v>986</v>
      </c>
      <c r="EW187" s="1605" t="s">
        <v>986</v>
      </c>
      <c r="EX187" s="1605" t="s">
        <v>986</v>
      </c>
      <c r="EY187" s="1605" t="s">
        <v>986</v>
      </c>
      <c r="EZ187" s="1605" t="s">
        <v>986</v>
      </c>
      <c r="FA187" s="1605" t="s">
        <v>986</v>
      </c>
      <c r="FB187" s="1605" t="s">
        <v>986</v>
      </c>
      <c r="FC187" s="1605" t="s">
        <v>986</v>
      </c>
      <c r="FD187" s="1605" t="s">
        <v>986</v>
      </c>
      <c r="FE187" s="1605" t="s">
        <v>986</v>
      </c>
      <c r="FF187" s="1605" t="s">
        <v>986</v>
      </c>
      <c r="FG187" s="1605" t="s">
        <v>986</v>
      </c>
      <c r="FH187" s="1605" t="s">
        <v>986</v>
      </c>
      <c r="FI187" s="1605" t="s">
        <v>986</v>
      </c>
      <c r="FJ187" s="1605" t="s">
        <v>986</v>
      </c>
      <c r="FK187" s="1605" t="s">
        <v>986</v>
      </c>
      <c r="FL187" s="1605" t="s">
        <v>986</v>
      </c>
      <c r="FM187" s="1605" t="s">
        <v>986</v>
      </c>
      <c r="FN187" s="1605" t="s">
        <v>986</v>
      </c>
      <c r="FO187" s="1605" t="s">
        <v>986</v>
      </c>
      <c r="FP187" s="1605" t="s">
        <v>986</v>
      </c>
      <c r="FQ187" s="1605" t="s">
        <v>986</v>
      </c>
      <c r="FR187" s="1605" t="s">
        <v>986</v>
      </c>
      <c r="FS187" s="1605" t="s">
        <v>986</v>
      </c>
      <c r="FT187" s="1605" t="s">
        <v>986</v>
      </c>
      <c r="FU187" s="1605" t="s">
        <v>986</v>
      </c>
      <c r="FV187" s="1605" t="s">
        <v>986</v>
      </c>
      <c r="FW187" s="1605" t="s">
        <v>986</v>
      </c>
      <c r="FX187" s="1605" t="s">
        <v>986</v>
      </c>
      <c r="FY187" s="1605" t="s">
        <v>986</v>
      </c>
      <c r="FZ187" s="1605" t="s">
        <v>986</v>
      </c>
      <c r="GA187" s="1605" t="s">
        <v>986</v>
      </c>
      <c r="GB187" s="1605" t="s">
        <v>986</v>
      </c>
      <c r="GC187" s="1605" t="s">
        <v>986</v>
      </c>
      <c r="GD187" s="1605" t="s">
        <v>986</v>
      </c>
      <c r="GE187" s="1605" t="s">
        <v>986</v>
      </c>
      <c r="GF187" s="1605" t="s">
        <v>986</v>
      </c>
      <c r="GG187" s="1605" t="s">
        <v>986</v>
      </c>
      <c r="GH187" s="1605" t="s">
        <v>986</v>
      </c>
      <c r="GI187" s="1605" t="s">
        <v>986</v>
      </c>
      <c r="GJ187" s="1605" t="s">
        <v>986</v>
      </c>
      <c r="GK187" s="1605" t="s">
        <v>986</v>
      </c>
      <c r="GL187" s="1605" t="s">
        <v>986</v>
      </c>
      <c r="GM187" s="1605" t="s">
        <v>986</v>
      </c>
      <c r="GN187" s="1605" t="s">
        <v>986</v>
      </c>
      <c r="GO187" s="1605" t="s">
        <v>986</v>
      </c>
      <c r="GP187" s="1605" t="s">
        <v>986</v>
      </c>
      <c r="GQ187" s="1605" t="s">
        <v>986</v>
      </c>
      <c r="GR187" s="1605" t="s">
        <v>986</v>
      </c>
      <c r="GS187" s="1605" t="s">
        <v>986</v>
      </c>
      <c r="GT187" s="1605" t="s">
        <v>986</v>
      </c>
      <c r="GU187" s="1605" t="s">
        <v>986</v>
      </c>
      <c r="GV187" s="1605" t="s">
        <v>986</v>
      </c>
      <c r="GW187" s="1605" t="s">
        <v>986</v>
      </c>
      <c r="GX187" s="1605" t="s">
        <v>986</v>
      </c>
      <c r="GY187" s="1605" t="s">
        <v>986</v>
      </c>
      <c r="GZ187" s="1605" t="s">
        <v>986</v>
      </c>
      <c r="HA187" s="1605" t="s">
        <v>986</v>
      </c>
      <c r="HB187" s="1605" t="s">
        <v>986</v>
      </c>
      <c r="HC187" s="1605" t="s">
        <v>986</v>
      </c>
      <c r="HD187" s="1605" t="s">
        <v>986</v>
      </c>
      <c r="HE187" s="1605" t="s">
        <v>986</v>
      </c>
      <c r="HF187" s="1605" t="s">
        <v>986</v>
      </c>
      <c r="HG187" s="1605" t="s">
        <v>986</v>
      </c>
      <c r="HH187" s="1605" t="s">
        <v>986</v>
      </c>
      <c r="HI187" s="1605" t="s">
        <v>986</v>
      </c>
      <c r="HJ187" s="1605" t="s">
        <v>986</v>
      </c>
      <c r="HK187" s="1605" t="s">
        <v>986</v>
      </c>
      <c r="HL187" s="1605" t="s">
        <v>986</v>
      </c>
      <c r="HM187" s="1605" t="s">
        <v>986</v>
      </c>
      <c r="HN187" s="1605" t="s">
        <v>986</v>
      </c>
      <c r="HO187" s="1605" t="s">
        <v>986</v>
      </c>
      <c r="HP187" s="1605" t="s">
        <v>986</v>
      </c>
      <c r="HQ187" s="1605" t="s">
        <v>986</v>
      </c>
      <c r="HR187" s="1605" t="s">
        <v>986</v>
      </c>
      <c r="HS187" s="1605" t="s">
        <v>986</v>
      </c>
      <c r="HT187" s="1605" t="s">
        <v>986</v>
      </c>
      <c r="HU187" s="1605" t="s">
        <v>986</v>
      </c>
      <c r="HV187" s="1617"/>
      <c r="HW187" s="1617" t="s">
        <v>3278</v>
      </c>
      <c r="HX187" s="1617">
        <v>0</v>
      </c>
      <c r="HY187" s="1617">
        <v>0</v>
      </c>
      <c r="HZ187" s="1603"/>
      <c r="IA187" s="1603"/>
      <c r="IB187" s="1603"/>
      <c r="IC187" s="1603">
        <v>67</v>
      </c>
      <c r="ID187" s="1603">
        <v>67</v>
      </c>
      <c r="IE187" s="1603">
        <v>67</v>
      </c>
      <c r="IF187" s="1603">
        <v>67</v>
      </c>
      <c r="IG187" s="1611" t="s">
        <v>2932</v>
      </c>
      <c r="IH187" s="1616" t="s">
        <v>3296</v>
      </c>
      <c r="II187" s="1615" t="s">
        <v>3295</v>
      </c>
      <c r="IJ187" s="1613">
        <v>1.3101818181818183</v>
      </c>
      <c r="IK187" s="1613">
        <v>1.301848484848485</v>
      </c>
      <c r="IL187" s="1614">
        <v>1.3101818181818183</v>
      </c>
      <c r="IM187" s="1614">
        <v>1.301848484848485</v>
      </c>
      <c r="IN187" s="1612">
        <v>1.2</v>
      </c>
      <c r="IO187" s="1613">
        <v>-0.11018181818181838</v>
      </c>
      <c r="IP187" s="1607" t="s">
        <v>270</v>
      </c>
      <c r="IQ187" s="1612">
        <v>0</v>
      </c>
      <c r="IR187" s="1612">
        <v>0</v>
      </c>
      <c r="IS187" s="1607">
        <v>1.1881818181818182</v>
      </c>
      <c r="IT187" s="1607">
        <v>1.1798484848484849</v>
      </c>
      <c r="IU187" s="1611">
        <v>0</v>
      </c>
      <c r="IV187" s="1611">
        <v>7.7767676767676763E-2</v>
      </c>
      <c r="IW187" s="1611">
        <v>9.0909090909090909E-4</v>
      </c>
      <c r="IX187" s="1611">
        <v>1.6060606060606061E-3</v>
      </c>
      <c r="IY187" s="1611">
        <v>9.6969696969696957E-4</v>
      </c>
      <c r="IZ187" s="1611">
        <v>5.9898989898989896E-3</v>
      </c>
      <c r="JA187" s="1611">
        <v>6.0606060606060598E-5</v>
      </c>
      <c r="JB187" s="1611" t="s">
        <v>270</v>
      </c>
      <c r="JC187" s="1611">
        <v>9.9026969696969704</v>
      </c>
      <c r="JD187" s="1611">
        <v>5.2121212121212122E-3</v>
      </c>
      <c r="JE187" s="1611" t="s">
        <v>270</v>
      </c>
      <c r="JF187" s="1611">
        <v>8.2828282828282835E-4</v>
      </c>
      <c r="JG187" s="1611">
        <v>0.57978787878787885</v>
      </c>
      <c r="JH187" s="1611">
        <v>7.646464646464647E-3</v>
      </c>
      <c r="JI187" s="1611">
        <v>0.3</v>
      </c>
      <c r="JJ187" s="1611" t="s">
        <v>270</v>
      </c>
      <c r="JK187" s="1607">
        <f t="shared" si="11"/>
        <v>0.12200000000000011</v>
      </c>
      <c r="JL187" s="1608" t="s">
        <v>270</v>
      </c>
      <c r="JM187" s="1610" t="s">
        <v>2924</v>
      </c>
      <c r="JN187" s="1608">
        <v>8.3333333333333037E-3</v>
      </c>
      <c r="JO187" s="1609" t="s">
        <v>2931</v>
      </c>
      <c r="JP187" s="1608" t="s">
        <v>270</v>
      </c>
      <c r="JQ187" s="1607">
        <v>202103</v>
      </c>
      <c r="JR187" s="1606">
        <v>851</v>
      </c>
      <c r="JS187" s="1606">
        <v>774</v>
      </c>
      <c r="JT187" s="1606">
        <v>774</v>
      </c>
    </row>
    <row r="188" spans="1:280" ht="15" customHeight="1" x14ac:dyDescent="0.2">
      <c r="A188" s="1626">
        <v>47200</v>
      </c>
      <c r="B188" s="1625">
        <v>472</v>
      </c>
      <c r="C188" s="1624">
        <v>0</v>
      </c>
      <c r="D188" s="1623" t="s">
        <v>3294</v>
      </c>
      <c r="E188" s="1622">
        <v>43025</v>
      </c>
      <c r="F188" s="1620">
        <v>-0.112682926829268</v>
      </c>
      <c r="G188" s="1620">
        <v>-0.108</v>
      </c>
      <c r="H188" s="1621">
        <v>70</v>
      </c>
      <c r="I188" s="1621">
        <v>70</v>
      </c>
      <c r="J188" s="1621">
        <v>0</v>
      </c>
      <c r="K188" s="1620">
        <v>1</v>
      </c>
      <c r="L188" s="1620">
        <v>99</v>
      </c>
      <c r="M188" s="1620">
        <v>0</v>
      </c>
      <c r="N188" s="1620">
        <v>0</v>
      </c>
      <c r="O188" s="1620">
        <v>99</v>
      </c>
      <c r="P188" s="1620">
        <v>0</v>
      </c>
      <c r="Q188" s="1603"/>
      <c r="R188" s="1620">
        <v>0</v>
      </c>
      <c r="S188" s="1620">
        <v>67</v>
      </c>
      <c r="T188" s="1620">
        <v>67</v>
      </c>
      <c r="U188" s="1620">
        <v>67</v>
      </c>
      <c r="V188" s="1620">
        <v>67</v>
      </c>
      <c r="W188" s="1620">
        <v>67</v>
      </c>
      <c r="X188" s="1620"/>
      <c r="Y188" s="1620">
        <v>222.22221999999999</v>
      </c>
      <c r="Z188" s="1620">
        <v>222.22221999999999</v>
      </c>
      <c r="AA188" s="1620">
        <v>0</v>
      </c>
      <c r="AB188" s="1620">
        <v>0</v>
      </c>
      <c r="AC188" s="1620">
        <v>0</v>
      </c>
      <c r="AD188" s="1620">
        <v>0</v>
      </c>
      <c r="AE188" s="1620">
        <v>0</v>
      </c>
      <c r="AF188" s="1620">
        <v>0</v>
      </c>
      <c r="AG188" s="1620">
        <v>0</v>
      </c>
      <c r="AH188" s="1620">
        <v>0</v>
      </c>
      <c r="AI188" s="1620">
        <v>0</v>
      </c>
      <c r="AJ188" s="1620">
        <v>0</v>
      </c>
      <c r="AK188" s="1620">
        <v>0</v>
      </c>
      <c r="AL188" s="1620"/>
      <c r="AM188" s="1620">
        <v>0</v>
      </c>
      <c r="AN188" s="1620">
        <v>0</v>
      </c>
      <c r="AO188" s="1620">
        <v>0</v>
      </c>
      <c r="AP188" s="1620">
        <v>0</v>
      </c>
      <c r="AQ188" s="1620">
        <v>0</v>
      </c>
      <c r="AR188" s="1620">
        <v>0</v>
      </c>
      <c r="AS188" s="1620">
        <v>0</v>
      </c>
      <c r="AT188" s="1620">
        <v>0</v>
      </c>
      <c r="AU188" s="1620">
        <v>0</v>
      </c>
      <c r="AV188" s="1620">
        <v>0</v>
      </c>
      <c r="AW188" s="1620">
        <v>0</v>
      </c>
      <c r="AX188" s="1620"/>
      <c r="AY188" s="1620">
        <v>1</v>
      </c>
      <c r="AZ188" s="1620">
        <v>1</v>
      </c>
      <c r="BA188" s="1620">
        <v>1</v>
      </c>
      <c r="BB188" s="1620">
        <v>1</v>
      </c>
      <c r="BC188" s="1620">
        <v>1</v>
      </c>
      <c r="BD188" s="1620">
        <v>1</v>
      </c>
      <c r="BE188" s="1620">
        <v>1</v>
      </c>
      <c r="BF188" s="1620">
        <v>1</v>
      </c>
      <c r="BG188" s="1620">
        <v>1</v>
      </c>
      <c r="BH188" s="1620">
        <v>1</v>
      </c>
      <c r="BI188" s="1620">
        <v>1</v>
      </c>
      <c r="BJ188" s="1603"/>
      <c r="BK188" s="1620">
        <v>0</v>
      </c>
      <c r="BL188" s="1620">
        <v>0</v>
      </c>
      <c r="BM188" s="1620">
        <v>100</v>
      </c>
      <c r="BN188" s="1620">
        <v>0</v>
      </c>
      <c r="BO188" s="1620"/>
      <c r="BP188" s="1620">
        <v>0</v>
      </c>
      <c r="BQ188" s="1620">
        <v>0</v>
      </c>
      <c r="BR188" s="1620">
        <v>-0.11382113821138182</v>
      </c>
      <c r="BS188" s="1620">
        <v>-0.1090909090909091</v>
      </c>
      <c r="BT188" s="1603"/>
      <c r="BU188" s="1620">
        <v>0</v>
      </c>
      <c r="BV188" s="1620">
        <v>0</v>
      </c>
      <c r="BW188" s="1620">
        <v>0</v>
      </c>
      <c r="BX188" s="1620" t="s">
        <v>270</v>
      </c>
      <c r="BY188" s="1620" t="s">
        <v>270</v>
      </c>
      <c r="BZ188" s="1620" t="s">
        <v>270</v>
      </c>
      <c r="CA188" s="1620" t="s">
        <v>270</v>
      </c>
      <c r="CB188" s="1603"/>
      <c r="CC188" s="1603">
        <v>219.99999779999999</v>
      </c>
      <c r="CD188" s="1603">
        <v>219.99999779999999</v>
      </c>
      <c r="CE188" s="1603">
        <v>0</v>
      </c>
      <c r="CF188" s="1603">
        <v>0</v>
      </c>
      <c r="CG188" s="1603">
        <v>0</v>
      </c>
      <c r="CH188" s="1603">
        <v>0</v>
      </c>
      <c r="CI188" s="1603">
        <v>0</v>
      </c>
      <c r="CJ188" s="1603"/>
      <c r="CK188" s="1603">
        <v>0</v>
      </c>
      <c r="CL188" s="1603">
        <v>0</v>
      </c>
      <c r="CM188" s="1603">
        <v>0</v>
      </c>
      <c r="CN188" s="1603">
        <v>0</v>
      </c>
      <c r="CO188" s="1603">
        <v>0</v>
      </c>
      <c r="CP188" s="1603">
        <v>0</v>
      </c>
      <c r="CQ188" s="1603">
        <v>0</v>
      </c>
      <c r="CR188" s="1603">
        <v>0</v>
      </c>
      <c r="CS188" s="1603">
        <v>0</v>
      </c>
      <c r="CT188" s="1603">
        <v>0</v>
      </c>
      <c r="CU188" s="1603">
        <v>0</v>
      </c>
      <c r="CV188" s="1603">
        <v>0</v>
      </c>
      <c r="CW188" s="1603">
        <v>0</v>
      </c>
      <c r="CX188" s="1603">
        <v>0</v>
      </c>
      <c r="CY188" s="1603">
        <v>0</v>
      </c>
      <c r="CZ188" s="1603">
        <v>0</v>
      </c>
      <c r="DA188" s="1603">
        <v>0</v>
      </c>
      <c r="DB188" s="1603">
        <v>0</v>
      </c>
      <c r="DC188" s="1603">
        <v>0</v>
      </c>
      <c r="DD188" s="1603">
        <v>0</v>
      </c>
      <c r="DE188" s="1603">
        <v>0</v>
      </c>
      <c r="DF188" s="1603">
        <v>0</v>
      </c>
      <c r="DG188" s="1603">
        <v>0</v>
      </c>
      <c r="DH188" s="1603">
        <v>0</v>
      </c>
      <c r="DI188" s="1603">
        <v>0</v>
      </c>
      <c r="DJ188" s="1603">
        <v>0</v>
      </c>
      <c r="DK188" s="1603">
        <v>0</v>
      </c>
      <c r="DL188" s="1603">
        <v>0</v>
      </c>
      <c r="DM188" s="1603">
        <v>0</v>
      </c>
      <c r="DN188" s="1603">
        <v>0</v>
      </c>
      <c r="DO188" s="1603">
        <v>0</v>
      </c>
      <c r="DP188" s="1603">
        <v>0</v>
      </c>
      <c r="DQ188" s="1603">
        <v>0</v>
      </c>
      <c r="DR188" s="1603">
        <v>0</v>
      </c>
      <c r="DS188" s="1603">
        <v>0</v>
      </c>
      <c r="DT188" s="1603">
        <v>0</v>
      </c>
      <c r="DU188" s="1603">
        <v>0</v>
      </c>
      <c r="DV188" s="1603">
        <v>0</v>
      </c>
      <c r="DW188" s="1618" t="s">
        <v>3293</v>
      </c>
      <c r="DX188" s="1605" t="s">
        <v>986</v>
      </c>
      <c r="DY188" s="1605" t="s">
        <v>986</v>
      </c>
      <c r="DZ188" s="1605" t="s">
        <v>986</v>
      </c>
      <c r="EA188" s="1605" t="s">
        <v>986</v>
      </c>
      <c r="EB188" s="1605" t="s">
        <v>986</v>
      </c>
      <c r="EC188" s="1605" t="s">
        <v>986</v>
      </c>
      <c r="ED188" s="1605" t="s">
        <v>986</v>
      </c>
      <c r="EE188" s="1605" t="s">
        <v>986</v>
      </c>
      <c r="EF188" s="1605" t="s">
        <v>986</v>
      </c>
      <c r="EG188" s="1605" t="s">
        <v>986</v>
      </c>
      <c r="EH188" s="1605" t="s">
        <v>986</v>
      </c>
      <c r="EI188" s="1605" t="s">
        <v>986</v>
      </c>
      <c r="EJ188" s="1605" t="s">
        <v>986</v>
      </c>
      <c r="EK188" s="1605" t="s">
        <v>986</v>
      </c>
      <c r="EL188" s="1605" t="s">
        <v>986</v>
      </c>
      <c r="EM188" s="1605" t="s">
        <v>986</v>
      </c>
      <c r="EN188" s="1605" t="s">
        <v>986</v>
      </c>
      <c r="EO188" s="1605" t="s">
        <v>986</v>
      </c>
      <c r="EP188" s="1605" t="s">
        <v>986</v>
      </c>
      <c r="EQ188" s="1605" t="s">
        <v>986</v>
      </c>
      <c r="ER188" s="1605" t="s">
        <v>986</v>
      </c>
      <c r="ES188" s="1605" t="s">
        <v>986</v>
      </c>
      <c r="ET188" s="1605" t="s">
        <v>986</v>
      </c>
      <c r="EU188" s="1605" t="s">
        <v>986</v>
      </c>
      <c r="EV188" s="1605" t="s">
        <v>986</v>
      </c>
      <c r="EW188" s="1605" t="s">
        <v>986</v>
      </c>
      <c r="EX188" s="1605" t="s">
        <v>986</v>
      </c>
      <c r="EY188" s="1605" t="s">
        <v>986</v>
      </c>
      <c r="EZ188" s="1605" t="s">
        <v>986</v>
      </c>
      <c r="FA188" s="1605" t="s">
        <v>986</v>
      </c>
      <c r="FB188" s="1605" t="s">
        <v>986</v>
      </c>
      <c r="FC188" s="1605" t="s">
        <v>986</v>
      </c>
      <c r="FD188" s="1605" t="s">
        <v>986</v>
      </c>
      <c r="FE188" s="1605" t="s">
        <v>986</v>
      </c>
      <c r="FF188" s="1605" t="s">
        <v>986</v>
      </c>
      <c r="FG188" s="1605" t="s">
        <v>986</v>
      </c>
      <c r="FH188" s="1605" t="s">
        <v>986</v>
      </c>
      <c r="FI188" s="1605" t="s">
        <v>986</v>
      </c>
      <c r="FJ188" s="1605" t="s">
        <v>986</v>
      </c>
      <c r="FK188" s="1605" t="s">
        <v>986</v>
      </c>
      <c r="FL188" s="1605" t="s">
        <v>986</v>
      </c>
      <c r="FM188" s="1605" t="s">
        <v>986</v>
      </c>
      <c r="FN188" s="1605" t="s">
        <v>986</v>
      </c>
      <c r="FO188" s="1605" t="s">
        <v>986</v>
      </c>
      <c r="FP188" s="1605" t="s">
        <v>986</v>
      </c>
      <c r="FQ188" s="1605" t="s">
        <v>986</v>
      </c>
      <c r="FR188" s="1605" t="s">
        <v>986</v>
      </c>
      <c r="FS188" s="1605" t="s">
        <v>986</v>
      </c>
      <c r="FT188" s="1605" t="s">
        <v>986</v>
      </c>
      <c r="FU188" s="1605" t="s">
        <v>986</v>
      </c>
      <c r="FV188" s="1605" t="s">
        <v>986</v>
      </c>
      <c r="FW188" s="1605" t="s">
        <v>986</v>
      </c>
      <c r="FX188" s="1605" t="s">
        <v>986</v>
      </c>
      <c r="FY188" s="1605" t="s">
        <v>986</v>
      </c>
      <c r="FZ188" s="1605" t="s">
        <v>986</v>
      </c>
      <c r="GA188" s="1605" t="s">
        <v>986</v>
      </c>
      <c r="GB188" s="1605" t="s">
        <v>986</v>
      </c>
      <c r="GC188" s="1605" t="s">
        <v>986</v>
      </c>
      <c r="GD188" s="1605" t="s">
        <v>986</v>
      </c>
      <c r="GE188" s="1605" t="s">
        <v>986</v>
      </c>
      <c r="GF188" s="1605" t="s">
        <v>986</v>
      </c>
      <c r="GG188" s="1605" t="s">
        <v>986</v>
      </c>
      <c r="GH188" s="1605" t="s">
        <v>986</v>
      </c>
      <c r="GI188" s="1605" t="s">
        <v>986</v>
      </c>
      <c r="GJ188" s="1605" t="s">
        <v>986</v>
      </c>
      <c r="GK188" s="1605" t="s">
        <v>986</v>
      </c>
      <c r="GL188" s="1605" t="s">
        <v>986</v>
      </c>
      <c r="GM188" s="1605" t="s">
        <v>986</v>
      </c>
      <c r="GN188" s="1605" t="s">
        <v>986</v>
      </c>
      <c r="GO188" s="1605" t="s">
        <v>986</v>
      </c>
      <c r="GP188" s="1605" t="s">
        <v>986</v>
      </c>
      <c r="GQ188" s="1605" t="s">
        <v>986</v>
      </c>
      <c r="GR188" s="1605" t="s">
        <v>986</v>
      </c>
      <c r="GS188" s="1605" t="s">
        <v>986</v>
      </c>
      <c r="GT188" s="1605" t="s">
        <v>986</v>
      </c>
      <c r="GU188" s="1605" t="s">
        <v>986</v>
      </c>
      <c r="GV188" s="1605" t="s">
        <v>986</v>
      </c>
      <c r="GW188" s="1605" t="s">
        <v>986</v>
      </c>
      <c r="GX188" s="1605" t="s">
        <v>986</v>
      </c>
      <c r="GY188" s="1605" t="s">
        <v>986</v>
      </c>
      <c r="GZ188" s="1605" t="s">
        <v>986</v>
      </c>
      <c r="HA188" s="1605" t="s">
        <v>986</v>
      </c>
      <c r="HB188" s="1605" t="s">
        <v>986</v>
      </c>
      <c r="HC188" s="1605" t="s">
        <v>986</v>
      </c>
      <c r="HD188" s="1605" t="s">
        <v>986</v>
      </c>
      <c r="HE188" s="1605" t="s">
        <v>986</v>
      </c>
      <c r="HF188" s="1605" t="s">
        <v>986</v>
      </c>
      <c r="HG188" s="1605" t="s">
        <v>986</v>
      </c>
      <c r="HH188" s="1605" t="s">
        <v>986</v>
      </c>
      <c r="HI188" s="1605" t="s">
        <v>986</v>
      </c>
      <c r="HJ188" s="1605" t="s">
        <v>986</v>
      </c>
      <c r="HK188" s="1605" t="s">
        <v>986</v>
      </c>
      <c r="HL188" s="1605" t="s">
        <v>986</v>
      </c>
      <c r="HM188" s="1605" t="s">
        <v>986</v>
      </c>
      <c r="HN188" s="1605" t="s">
        <v>986</v>
      </c>
      <c r="HO188" s="1605" t="s">
        <v>986</v>
      </c>
      <c r="HP188" s="1605" t="s">
        <v>986</v>
      </c>
      <c r="HQ188" s="1605" t="s">
        <v>986</v>
      </c>
      <c r="HR188" s="1605" t="s">
        <v>986</v>
      </c>
      <c r="HS188" s="1605" t="s">
        <v>986</v>
      </c>
      <c r="HT188" s="1605" t="s">
        <v>986</v>
      </c>
      <c r="HU188" s="1605" t="s">
        <v>986</v>
      </c>
      <c r="HV188" s="1617"/>
      <c r="HW188" s="1617">
        <v>0</v>
      </c>
      <c r="HX188" s="1617">
        <v>0</v>
      </c>
      <c r="HY188" s="1617">
        <v>0</v>
      </c>
      <c r="HZ188" s="1603"/>
      <c r="IA188" s="1603"/>
      <c r="IB188" s="1603"/>
      <c r="IC188" s="1603">
        <v>67</v>
      </c>
      <c r="ID188" s="1603">
        <v>67</v>
      </c>
      <c r="IE188" s="1603">
        <v>67</v>
      </c>
      <c r="IF188" s="1603">
        <v>67</v>
      </c>
      <c r="IG188" s="1611" t="s">
        <v>2932</v>
      </c>
      <c r="IH188" s="1616" t="s">
        <v>270</v>
      </c>
      <c r="II188" s="1615" t="s">
        <v>270</v>
      </c>
      <c r="IJ188" s="1613">
        <v>1.3101818181818183</v>
      </c>
      <c r="IK188" s="1613">
        <v>1.301848484848485</v>
      </c>
      <c r="IL188" s="1614">
        <v>1.3101818181818183</v>
      </c>
      <c r="IM188" s="1614">
        <v>1.301848484848485</v>
      </c>
      <c r="IN188" s="1612" t="s">
        <v>270</v>
      </c>
      <c r="IO188" s="1613" t="s">
        <v>270</v>
      </c>
      <c r="IP188" s="1607" t="s">
        <v>270</v>
      </c>
      <c r="IQ188" s="1612" t="s">
        <v>270</v>
      </c>
      <c r="IR188" s="1612" t="s">
        <v>270</v>
      </c>
      <c r="IS188" s="1607">
        <v>1.1881818181818182</v>
      </c>
      <c r="IT188" s="1607">
        <v>1.1798484848484849</v>
      </c>
      <c r="IU188" s="1611">
        <v>0</v>
      </c>
      <c r="IV188" s="1611">
        <v>7.7767676767676763E-2</v>
      </c>
      <c r="IW188" s="1611">
        <v>9.0909090909090909E-4</v>
      </c>
      <c r="IX188" s="1611">
        <v>1.6060606060606061E-3</v>
      </c>
      <c r="IY188" s="1611">
        <v>9.6969696969696957E-4</v>
      </c>
      <c r="IZ188" s="1611">
        <v>5.9898989898989896E-3</v>
      </c>
      <c r="JA188" s="1611">
        <v>6.0606060606060598E-5</v>
      </c>
      <c r="JB188" s="1611" t="s">
        <v>270</v>
      </c>
      <c r="JC188" s="1611">
        <v>9.9026969696969704</v>
      </c>
      <c r="JD188" s="1611">
        <v>5.2121212121212122E-3</v>
      </c>
      <c r="JE188" s="1611" t="s">
        <v>270</v>
      </c>
      <c r="JF188" s="1611">
        <v>8.2828282828282835E-4</v>
      </c>
      <c r="JG188" s="1611">
        <v>0.57978787878787885</v>
      </c>
      <c r="JH188" s="1611">
        <v>7.646464646464647E-3</v>
      </c>
      <c r="JI188" s="1611">
        <v>0.3</v>
      </c>
      <c r="JJ188" s="1611" t="s">
        <v>270</v>
      </c>
      <c r="JK188" s="1607">
        <f t="shared" si="11"/>
        <v>0.12200000000000011</v>
      </c>
      <c r="JL188" s="1608" t="s">
        <v>270</v>
      </c>
      <c r="JM188" s="1610" t="s">
        <v>2924</v>
      </c>
      <c r="JN188" s="1608">
        <v>8.3333333333333037E-3</v>
      </c>
      <c r="JO188" s="1609" t="s">
        <v>2931</v>
      </c>
      <c r="JP188" s="1608" t="s">
        <v>270</v>
      </c>
      <c r="JQ188" s="1607">
        <v>202103</v>
      </c>
      <c r="JR188" s="1606">
        <v>851</v>
      </c>
      <c r="JS188" s="1606">
        <v>774</v>
      </c>
      <c r="JT188" s="1606">
        <v>774</v>
      </c>
    </row>
    <row r="189" spans="1:280" ht="15" customHeight="1" x14ac:dyDescent="0.2">
      <c r="A189" s="1626">
        <v>46300</v>
      </c>
      <c r="B189" s="1625">
        <v>463</v>
      </c>
      <c r="C189" s="1624">
        <v>0</v>
      </c>
      <c r="D189" s="1623" t="s">
        <v>3292</v>
      </c>
      <c r="E189" s="1622">
        <v>43025</v>
      </c>
      <c r="F189" s="1620">
        <v>-0.112682926829268</v>
      </c>
      <c r="G189" s="1620">
        <v>-0.108</v>
      </c>
      <c r="H189" s="1621">
        <v>70</v>
      </c>
      <c r="I189" s="1621">
        <v>70</v>
      </c>
      <c r="J189" s="1621">
        <v>0</v>
      </c>
      <c r="K189" s="1620">
        <v>1</v>
      </c>
      <c r="L189" s="1620">
        <v>99</v>
      </c>
      <c r="M189" s="1620">
        <v>0</v>
      </c>
      <c r="N189" s="1620">
        <v>0</v>
      </c>
      <c r="O189" s="1620">
        <v>99</v>
      </c>
      <c r="P189" s="1620">
        <v>0</v>
      </c>
      <c r="Q189" s="1603"/>
      <c r="R189" s="1620">
        <v>0</v>
      </c>
      <c r="S189" s="1620">
        <v>80</v>
      </c>
      <c r="T189" s="1620">
        <v>80</v>
      </c>
      <c r="U189" s="1620">
        <v>80</v>
      </c>
      <c r="V189" s="1620">
        <v>80</v>
      </c>
      <c r="W189" s="1620">
        <v>80</v>
      </c>
      <c r="X189" s="1620"/>
      <c r="Y189" s="1620">
        <v>0</v>
      </c>
      <c r="Z189" s="1620">
        <v>242.42424</v>
      </c>
      <c r="AA189" s="1620">
        <v>202.02020000000002</v>
      </c>
      <c r="AB189" s="1620">
        <v>0</v>
      </c>
      <c r="AC189" s="1620">
        <v>0</v>
      </c>
      <c r="AD189" s="1620">
        <v>0</v>
      </c>
      <c r="AE189" s="1620">
        <v>0</v>
      </c>
      <c r="AF189" s="1620">
        <v>0</v>
      </c>
      <c r="AG189" s="1620">
        <v>0</v>
      </c>
      <c r="AH189" s="1620">
        <v>0</v>
      </c>
      <c r="AI189" s="1620">
        <v>0</v>
      </c>
      <c r="AJ189" s="1620">
        <v>0</v>
      </c>
      <c r="AK189" s="1620">
        <v>0</v>
      </c>
      <c r="AL189" s="1620"/>
      <c r="AM189" s="1620">
        <v>0</v>
      </c>
      <c r="AN189" s="1620">
        <v>0</v>
      </c>
      <c r="AO189" s="1620">
        <v>0</v>
      </c>
      <c r="AP189" s="1620">
        <v>0</v>
      </c>
      <c r="AQ189" s="1620">
        <v>0</v>
      </c>
      <c r="AR189" s="1620">
        <v>0</v>
      </c>
      <c r="AS189" s="1620">
        <v>0</v>
      </c>
      <c r="AT189" s="1620">
        <v>0</v>
      </c>
      <c r="AU189" s="1620">
        <v>0</v>
      </c>
      <c r="AV189" s="1620">
        <v>0</v>
      </c>
      <c r="AW189" s="1620">
        <v>0</v>
      </c>
      <c r="AX189" s="1620"/>
      <c r="AY189" s="1620">
        <v>1</v>
      </c>
      <c r="AZ189" s="1620">
        <v>1</v>
      </c>
      <c r="BA189" s="1620">
        <v>1</v>
      </c>
      <c r="BB189" s="1620">
        <v>1</v>
      </c>
      <c r="BC189" s="1620">
        <v>1</v>
      </c>
      <c r="BD189" s="1620">
        <v>1</v>
      </c>
      <c r="BE189" s="1620">
        <v>1</v>
      </c>
      <c r="BF189" s="1620">
        <v>1</v>
      </c>
      <c r="BG189" s="1620">
        <v>1</v>
      </c>
      <c r="BH189" s="1620">
        <v>1</v>
      </c>
      <c r="BI189" s="1620">
        <v>1</v>
      </c>
      <c r="BJ189" s="1603"/>
      <c r="BK189" s="1620">
        <v>0</v>
      </c>
      <c r="BL189" s="1620">
        <v>0</v>
      </c>
      <c r="BM189" s="1620">
        <v>100</v>
      </c>
      <c r="BN189" s="1620">
        <v>0</v>
      </c>
      <c r="BO189" s="1620"/>
      <c r="BP189" s="1620">
        <v>0</v>
      </c>
      <c r="BQ189" s="1620">
        <v>0</v>
      </c>
      <c r="BR189" s="1620">
        <v>-0.11382113821138182</v>
      </c>
      <c r="BS189" s="1620">
        <v>-0.1090909090909091</v>
      </c>
      <c r="BT189" s="1603"/>
      <c r="BU189" s="1620">
        <v>0</v>
      </c>
      <c r="BV189" s="1620">
        <v>0</v>
      </c>
      <c r="BW189" s="1620">
        <v>0</v>
      </c>
      <c r="BX189" s="1620" t="s">
        <v>270</v>
      </c>
      <c r="BY189" s="1620" t="s">
        <v>270</v>
      </c>
      <c r="BZ189" s="1620" t="s">
        <v>270</v>
      </c>
      <c r="CA189" s="1620" t="s">
        <v>270</v>
      </c>
      <c r="CB189" s="1603"/>
      <c r="CC189" s="1603">
        <v>0</v>
      </c>
      <c r="CD189" s="1603">
        <v>239.9999976</v>
      </c>
      <c r="CE189" s="1603">
        <v>199.99999800000001</v>
      </c>
      <c r="CF189" s="1603">
        <v>0</v>
      </c>
      <c r="CG189" s="1603">
        <v>0</v>
      </c>
      <c r="CH189" s="1603">
        <v>0</v>
      </c>
      <c r="CI189" s="1603">
        <v>0</v>
      </c>
      <c r="CJ189" s="1603"/>
      <c r="CK189" s="1603">
        <v>0</v>
      </c>
      <c r="CL189" s="1603">
        <v>0</v>
      </c>
      <c r="CM189" s="1603">
        <v>0</v>
      </c>
      <c r="CN189" s="1603">
        <v>0</v>
      </c>
      <c r="CO189" s="1603">
        <v>0</v>
      </c>
      <c r="CP189" s="1603">
        <v>0</v>
      </c>
      <c r="CQ189" s="1603">
        <v>0</v>
      </c>
      <c r="CR189" s="1603">
        <v>0</v>
      </c>
      <c r="CS189" s="1603">
        <v>0</v>
      </c>
      <c r="CT189" s="1603">
        <v>0</v>
      </c>
      <c r="CU189" s="1603">
        <v>0</v>
      </c>
      <c r="CV189" s="1603">
        <v>0</v>
      </c>
      <c r="CW189" s="1603">
        <v>0</v>
      </c>
      <c r="CX189" s="1603">
        <v>0</v>
      </c>
      <c r="CY189" s="1603">
        <v>0</v>
      </c>
      <c r="CZ189" s="1603">
        <v>0</v>
      </c>
      <c r="DA189" s="1603">
        <v>0</v>
      </c>
      <c r="DB189" s="1603">
        <v>0</v>
      </c>
      <c r="DC189" s="1603">
        <v>0</v>
      </c>
      <c r="DD189" s="1603">
        <v>0</v>
      </c>
      <c r="DE189" s="1603">
        <v>0</v>
      </c>
      <c r="DF189" s="1603">
        <v>0</v>
      </c>
      <c r="DG189" s="1603">
        <v>0</v>
      </c>
      <c r="DH189" s="1603">
        <v>0</v>
      </c>
      <c r="DI189" s="1603">
        <v>0</v>
      </c>
      <c r="DJ189" s="1603">
        <v>0</v>
      </c>
      <c r="DK189" s="1603">
        <v>0</v>
      </c>
      <c r="DL189" s="1603">
        <v>0</v>
      </c>
      <c r="DM189" s="1603">
        <v>0</v>
      </c>
      <c r="DN189" s="1603">
        <v>0</v>
      </c>
      <c r="DO189" s="1603">
        <v>0</v>
      </c>
      <c r="DP189" s="1603">
        <v>0</v>
      </c>
      <c r="DQ189" s="1603">
        <v>0</v>
      </c>
      <c r="DR189" s="1603">
        <v>0</v>
      </c>
      <c r="DS189" s="1603">
        <v>0</v>
      </c>
      <c r="DT189" s="1603">
        <v>0</v>
      </c>
      <c r="DU189" s="1603">
        <v>0</v>
      </c>
      <c r="DV189" s="1603">
        <v>0</v>
      </c>
      <c r="DW189" s="1618" t="s">
        <v>3291</v>
      </c>
      <c r="DX189" s="1605" t="s">
        <v>986</v>
      </c>
      <c r="DY189" s="1605" t="s">
        <v>986</v>
      </c>
      <c r="DZ189" s="1605" t="s">
        <v>986</v>
      </c>
      <c r="EA189" s="1605" t="s">
        <v>986</v>
      </c>
      <c r="EB189" s="1605" t="s">
        <v>986</v>
      </c>
      <c r="EC189" s="1605" t="s">
        <v>986</v>
      </c>
      <c r="ED189" s="1605" t="s">
        <v>986</v>
      </c>
      <c r="EE189" s="1605" t="s">
        <v>986</v>
      </c>
      <c r="EF189" s="1605" t="s">
        <v>986</v>
      </c>
      <c r="EG189" s="1605" t="s">
        <v>986</v>
      </c>
      <c r="EH189" s="1605" t="s">
        <v>986</v>
      </c>
      <c r="EI189" s="1605" t="s">
        <v>986</v>
      </c>
      <c r="EJ189" s="1605" t="s">
        <v>986</v>
      </c>
      <c r="EK189" s="1605" t="s">
        <v>986</v>
      </c>
      <c r="EL189" s="1605" t="s">
        <v>986</v>
      </c>
      <c r="EM189" s="1605" t="s">
        <v>986</v>
      </c>
      <c r="EN189" s="1605" t="s">
        <v>986</v>
      </c>
      <c r="EO189" s="1605" t="s">
        <v>986</v>
      </c>
      <c r="EP189" s="1605" t="s">
        <v>986</v>
      </c>
      <c r="EQ189" s="1605" t="s">
        <v>986</v>
      </c>
      <c r="ER189" s="1605" t="s">
        <v>986</v>
      </c>
      <c r="ES189" s="1605" t="s">
        <v>986</v>
      </c>
      <c r="ET189" s="1605" t="s">
        <v>986</v>
      </c>
      <c r="EU189" s="1605" t="s">
        <v>986</v>
      </c>
      <c r="EV189" s="1605" t="s">
        <v>986</v>
      </c>
      <c r="EW189" s="1605" t="s">
        <v>986</v>
      </c>
      <c r="EX189" s="1605" t="s">
        <v>986</v>
      </c>
      <c r="EY189" s="1605" t="s">
        <v>986</v>
      </c>
      <c r="EZ189" s="1605" t="s">
        <v>986</v>
      </c>
      <c r="FA189" s="1605" t="s">
        <v>986</v>
      </c>
      <c r="FB189" s="1605" t="s">
        <v>986</v>
      </c>
      <c r="FC189" s="1605" t="s">
        <v>986</v>
      </c>
      <c r="FD189" s="1605" t="s">
        <v>986</v>
      </c>
      <c r="FE189" s="1605" t="s">
        <v>986</v>
      </c>
      <c r="FF189" s="1605" t="s">
        <v>986</v>
      </c>
      <c r="FG189" s="1605" t="s">
        <v>986</v>
      </c>
      <c r="FH189" s="1605" t="s">
        <v>986</v>
      </c>
      <c r="FI189" s="1605" t="s">
        <v>986</v>
      </c>
      <c r="FJ189" s="1605" t="s">
        <v>986</v>
      </c>
      <c r="FK189" s="1605" t="s">
        <v>986</v>
      </c>
      <c r="FL189" s="1605" t="s">
        <v>986</v>
      </c>
      <c r="FM189" s="1605" t="s">
        <v>986</v>
      </c>
      <c r="FN189" s="1605" t="s">
        <v>986</v>
      </c>
      <c r="FO189" s="1605" t="s">
        <v>986</v>
      </c>
      <c r="FP189" s="1605" t="s">
        <v>986</v>
      </c>
      <c r="FQ189" s="1605" t="s">
        <v>986</v>
      </c>
      <c r="FR189" s="1605" t="s">
        <v>986</v>
      </c>
      <c r="FS189" s="1605" t="s">
        <v>986</v>
      </c>
      <c r="FT189" s="1605" t="s">
        <v>986</v>
      </c>
      <c r="FU189" s="1605" t="s">
        <v>986</v>
      </c>
      <c r="FV189" s="1605" t="s">
        <v>986</v>
      </c>
      <c r="FW189" s="1605" t="s">
        <v>986</v>
      </c>
      <c r="FX189" s="1605" t="s">
        <v>986</v>
      </c>
      <c r="FY189" s="1605" t="s">
        <v>986</v>
      </c>
      <c r="FZ189" s="1605" t="s">
        <v>986</v>
      </c>
      <c r="GA189" s="1605" t="s">
        <v>986</v>
      </c>
      <c r="GB189" s="1605" t="s">
        <v>986</v>
      </c>
      <c r="GC189" s="1605" t="s">
        <v>986</v>
      </c>
      <c r="GD189" s="1605" t="s">
        <v>986</v>
      </c>
      <c r="GE189" s="1605" t="s">
        <v>986</v>
      </c>
      <c r="GF189" s="1605" t="s">
        <v>986</v>
      </c>
      <c r="GG189" s="1605" t="s">
        <v>986</v>
      </c>
      <c r="GH189" s="1605" t="s">
        <v>986</v>
      </c>
      <c r="GI189" s="1605" t="s">
        <v>986</v>
      </c>
      <c r="GJ189" s="1605" t="s">
        <v>986</v>
      </c>
      <c r="GK189" s="1605" t="s">
        <v>986</v>
      </c>
      <c r="GL189" s="1605" t="s">
        <v>986</v>
      </c>
      <c r="GM189" s="1605" t="s">
        <v>986</v>
      </c>
      <c r="GN189" s="1605" t="s">
        <v>986</v>
      </c>
      <c r="GO189" s="1605" t="s">
        <v>986</v>
      </c>
      <c r="GP189" s="1605" t="s">
        <v>986</v>
      </c>
      <c r="GQ189" s="1605" t="s">
        <v>986</v>
      </c>
      <c r="GR189" s="1605" t="s">
        <v>986</v>
      </c>
      <c r="GS189" s="1605" t="s">
        <v>986</v>
      </c>
      <c r="GT189" s="1605" t="s">
        <v>986</v>
      </c>
      <c r="GU189" s="1605" t="s">
        <v>986</v>
      </c>
      <c r="GV189" s="1605" t="s">
        <v>986</v>
      </c>
      <c r="GW189" s="1605" t="s">
        <v>986</v>
      </c>
      <c r="GX189" s="1605" t="s">
        <v>986</v>
      </c>
      <c r="GY189" s="1605" t="s">
        <v>986</v>
      </c>
      <c r="GZ189" s="1605" t="s">
        <v>986</v>
      </c>
      <c r="HA189" s="1605" t="s">
        <v>986</v>
      </c>
      <c r="HB189" s="1605" t="s">
        <v>986</v>
      </c>
      <c r="HC189" s="1605" t="s">
        <v>986</v>
      </c>
      <c r="HD189" s="1605" t="s">
        <v>986</v>
      </c>
      <c r="HE189" s="1605" t="s">
        <v>986</v>
      </c>
      <c r="HF189" s="1605" t="s">
        <v>986</v>
      </c>
      <c r="HG189" s="1605" t="s">
        <v>986</v>
      </c>
      <c r="HH189" s="1605" t="s">
        <v>986</v>
      </c>
      <c r="HI189" s="1605" t="s">
        <v>986</v>
      </c>
      <c r="HJ189" s="1605" t="s">
        <v>986</v>
      </c>
      <c r="HK189" s="1605" t="s">
        <v>986</v>
      </c>
      <c r="HL189" s="1605" t="s">
        <v>986</v>
      </c>
      <c r="HM189" s="1605" t="s">
        <v>986</v>
      </c>
      <c r="HN189" s="1605" t="s">
        <v>986</v>
      </c>
      <c r="HO189" s="1605" t="s">
        <v>986</v>
      </c>
      <c r="HP189" s="1605" t="s">
        <v>986</v>
      </c>
      <c r="HQ189" s="1605" t="s">
        <v>986</v>
      </c>
      <c r="HR189" s="1605" t="s">
        <v>986</v>
      </c>
      <c r="HS189" s="1605" t="s">
        <v>986</v>
      </c>
      <c r="HT189" s="1605" t="s">
        <v>986</v>
      </c>
      <c r="HU189" s="1605" t="s">
        <v>986</v>
      </c>
      <c r="HV189" s="1617"/>
      <c r="HW189" s="1617" t="s">
        <v>3278</v>
      </c>
      <c r="HX189" s="1617">
        <v>0</v>
      </c>
      <c r="HY189" s="1617">
        <v>0</v>
      </c>
      <c r="HZ189" s="1603"/>
      <c r="IA189" s="1603"/>
      <c r="IB189" s="1603"/>
      <c r="IC189" s="1603">
        <v>80</v>
      </c>
      <c r="ID189" s="1603">
        <v>80</v>
      </c>
      <c r="IE189" s="1603">
        <v>80</v>
      </c>
      <c r="IF189" s="1603">
        <v>80</v>
      </c>
      <c r="IG189" s="1611" t="s">
        <v>2932</v>
      </c>
      <c r="IH189" s="1616" t="s">
        <v>270</v>
      </c>
      <c r="II189" s="1615" t="s">
        <v>270</v>
      </c>
      <c r="IJ189" s="1613">
        <v>1.3101818181818183</v>
      </c>
      <c r="IK189" s="1613">
        <v>1.301848484848485</v>
      </c>
      <c r="IL189" s="1614">
        <v>1.3101818181818183</v>
      </c>
      <c r="IM189" s="1614">
        <v>1.301848484848485</v>
      </c>
      <c r="IN189" s="1612" t="s">
        <v>270</v>
      </c>
      <c r="IO189" s="1613" t="s">
        <v>270</v>
      </c>
      <c r="IP189" s="1607" t="s">
        <v>270</v>
      </c>
      <c r="IQ189" s="1612" t="s">
        <v>270</v>
      </c>
      <c r="IR189" s="1612" t="s">
        <v>270</v>
      </c>
      <c r="IS189" s="1607">
        <v>1.1881818181818182</v>
      </c>
      <c r="IT189" s="1607">
        <v>1.1798484848484849</v>
      </c>
      <c r="IU189" s="1611">
        <v>0</v>
      </c>
      <c r="IV189" s="1611">
        <v>7.7767676767676763E-2</v>
      </c>
      <c r="IW189" s="1611">
        <v>9.0909090909090909E-4</v>
      </c>
      <c r="IX189" s="1611">
        <v>1.6060606060606061E-3</v>
      </c>
      <c r="IY189" s="1611">
        <v>9.6969696969696957E-4</v>
      </c>
      <c r="IZ189" s="1611">
        <v>5.9898989898989896E-3</v>
      </c>
      <c r="JA189" s="1611">
        <v>6.0606060606060598E-5</v>
      </c>
      <c r="JB189" s="1611" t="s">
        <v>270</v>
      </c>
      <c r="JC189" s="1611">
        <v>9.9026969696969704</v>
      </c>
      <c r="JD189" s="1611">
        <v>5.2121212121212122E-3</v>
      </c>
      <c r="JE189" s="1611" t="s">
        <v>270</v>
      </c>
      <c r="JF189" s="1611">
        <v>8.2828282828282835E-4</v>
      </c>
      <c r="JG189" s="1611">
        <v>0.57978787878787885</v>
      </c>
      <c r="JH189" s="1611">
        <v>7.646464646464647E-3</v>
      </c>
      <c r="JI189" s="1611">
        <v>0.3</v>
      </c>
      <c r="JJ189" s="1611" t="s">
        <v>270</v>
      </c>
      <c r="JK189" s="1607">
        <f t="shared" si="11"/>
        <v>0.12200000000000011</v>
      </c>
      <c r="JL189" s="1608" t="s">
        <v>270</v>
      </c>
      <c r="JM189" s="1610" t="s">
        <v>2924</v>
      </c>
      <c r="JN189" s="1608">
        <v>8.3333333333333037E-3</v>
      </c>
      <c r="JO189" s="1609" t="s">
        <v>2931</v>
      </c>
      <c r="JP189" s="1608" t="s">
        <v>270</v>
      </c>
      <c r="JQ189" s="1607">
        <v>202103</v>
      </c>
      <c r="JR189" s="1606">
        <v>851</v>
      </c>
      <c r="JS189" s="1606">
        <v>774</v>
      </c>
      <c r="JT189" s="1606">
        <v>774</v>
      </c>
    </row>
    <row r="190" spans="1:280" ht="15" customHeight="1" x14ac:dyDescent="0.2">
      <c r="A190" s="1626">
        <v>94600</v>
      </c>
      <c r="B190" s="1625">
        <v>946</v>
      </c>
      <c r="C190" s="1624">
        <v>0</v>
      </c>
      <c r="D190" s="1623" t="s">
        <v>3290</v>
      </c>
      <c r="E190" s="1622">
        <v>43031</v>
      </c>
      <c r="F190" s="1620">
        <v>1.18902422220169</v>
      </c>
      <c r="G190" s="1620">
        <v>1.13961022855175</v>
      </c>
      <c r="H190" s="1621">
        <v>100</v>
      </c>
      <c r="I190" s="1621">
        <v>100</v>
      </c>
      <c r="J190" s="1621">
        <v>100</v>
      </c>
      <c r="K190" s="1620">
        <v>1</v>
      </c>
      <c r="L190" s="1620">
        <v>75</v>
      </c>
      <c r="M190" s="1620">
        <v>7.5757575757575798E-5</v>
      </c>
      <c r="N190" s="1620">
        <v>0</v>
      </c>
      <c r="O190" s="1620">
        <v>0</v>
      </c>
      <c r="P190" s="1620">
        <v>0</v>
      </c>
      <c r="Q190" s="1603"/>
      <c r="R190" s="1620">
        <v>0</v>
      </c>
      <c r="S190" s="1620">
        <v>0</v>
      </c>
      <c r="T190" s="1620">
        <v>0</v>
      </c>
      <c r="U190" s="1620">
        <v>0</v>
      </c>
      <c r="V190" s="1620">
        <v>0</v>
      </c>
      <c r="W190" s="1620">
        <v>0</v>
      </c>
      <c r="X190" s="1620"/>
      <c r="Y190" s="1620">
        <v>0</v>
      </c>
      <c r="Z190" s="1620">
        <v>0</v>
      </c>
      <c r="AA190" s="1620">
        <v>0</v>
      </c>
      <c r="AB190" s="1620">
        <v>0</v>
      </c>
      <c r="AC190" s="1620">
        <v>0</v>
      </c>
      <c r="AD190" s="1620">
        <v>0</v>
      </c>
      <c r="AE190" s="1620">
        <v>0</v>
      </c>
      <c r="AF190" s="1620">
        <v>0</v>
      </c>
      <c r="AG190" s="1620">
        <v>0</v>
      </c>
      <c r="AH190" s="1620">
        <v>0</v>
      </c>
      <c r="AI190" s="1620">
        <v>0</v>
      </c>
      <c r="AJ190" s="1620">
        <v>0</v>
      </c>
      <c r="AK190" s="1620">
        <v>0</v>
      </c>
      <c r="AL190" s="1620"/>
      <c r="AM190" s="1620">
        <v>0</v>
      </c>
      <c r="AN190" s="1620">
        <v>0</v>
      </c>
      <c r="AO190" s="1620">
        <v>0</v>
      </c>
      <c r="AP190" s="1620">
        <v>0</v>
      </c>
      <c r="AQ190" s="1620">
        <v>0</v>
      </c>
      <c r="AR190" s="1620">
        <v>0</v>
      </c>
      <c r="AS190" s="1620">
        <v>0</v>
      </c>
      <c r="AT190" s="1620">
        <v>0</v>
      </c>
      <c r="AU190" s="1620">
        <v>0</v>
      </c>
      <c r="AV190" s="1620">
        <v>0</v>
      </c>
      <c r="AW190" s="1620">
        <v>0</v>
      </c>
      <c r="AX190" s="1620"/>
      <c r="AY190" s="1620">
        <v>1</v>
      </c>
      <c r="AZ190" s="1620">
        <v>1</v>
      </c>
      <c r="BA190" s="1620">
        <v>1</v>
      </c>
      <c r="BB190" s="1620">
        <v>1</v>
      </c>
      <c r="BC190" s="1620">
        <v>1</v>
      </c>
      <c r="BD190" s="1620">
        <v>1</v>
      </c>
      <c r="BE190" s="1620">
        <v>1</v>
      </c>
      <c r="BF190" s="1620">
        <v>1</v>
      </c>
      <c r="BG190" s="1620">
        <v>1</v>
      </c>
      <c r="BH190" s="1620">
        <v>1</v>
      </c>
      <c r="BI190" s="1620">
        <v>1</v>
      </c>
      <c r="BJ190" s="1603"/>
      <c r="BK190" s="1620">
        <v>1.0101010101010106E-4</v>
      </c>
      <c r="BL190" s="1620">
        <v>0</v>
      </c>
      <c r="BM190" s="1620">
        <v>0</v>
      </c>
      <c r="BN190" s="1620">
        <v>0</v>
      </c>
      <c r="BO190" s="1620"/>
      <c r="BP190" s="1620">
        <v>0</v>
      </c>
      <c r="BQ190" s="1620">
        <v>0</v>
      </c>
      <c r="BR190" s="1620">
        <v>1.5853656296022534</v>
      </c>
      <c r="BS190" s="1620">
        <v>1.5194803047356666</v>
      </c>
      <c r="BT190" s="1603"/>
      <c r="BU190" s="1620">
        <v>1000</v>
      </c>
      <c r="BV190" s="1620">
        <v>999.99908080808143</v>
      </c>
      <c r="BW190" s="1620">
        <v>0</v>
      </c>
      <c r="BX190" s="1620" t="s">
        <v>270</v>
      </c>
      <c r="BY190" s="1620" t="s">
        <v>270</v>
      </c>
      <c r="BZ190" s="1620" t="s">
        <v>270</v>
      </c>
      <c r="CA190" s="1620" t="s">
        <v>270</v>
      </c>
      <c r="CB190" s="1603"/>
      <c r="CC190" s="1603">
        <v>0</v>
      </c>
      <c r="CD190" s="1603">
        <v>0</v>
      </c>
      <c r="CE190" s="1603">
        <v>0</v>
      </c>
      <c r="CF190" s="1603">
        <v>0</v>
      </c>
      <c r="CG190" s="1603">
        <v>0</v>
      </c>
      <c r="CH190" s="1603">
        <v>0</v>
      </c>
      <c r="CI190" s="1603">
        <v>0</v>
      </c>
      <c r="CJ190" s="1603"/>
      <c r="CK190" s="1603">
        <v>0</v>
      </c>
      <c r="CL190" s="1603">
        <v>0</v>
      </c>
      <c r="CM190" s="1603">
        <v>0</v>
      </c>
      <c r="CN190" s="1603">
        <v>0</v>
      </c>
      <c r="CO190" s="1603">
        <v>0</v>
      </c>
      <c r="CP190" s="1603">
        <v>0</v>
      </c>
      <c r="CQ190" s="1603">
        <v>0</v>
      </c>
      <c r="CR190" s="1603">
        <v>0</v>
      </c>
      <c r="CS190" s="1603">
        <v>0</v>
      </c>
      <c r="CT190" s="1603">
        <v>0</v>
      </c>
      <c r="CU190" s="1603">
        <v>0</v>
      </c>
      <c r="CV190" s="1603">
        <v>0</v>
      </c>
      <c r="CW190" s="1603">
        <v>0</v>
      </c>
      <c r="CX190" s="1603">
        <v>0</v>
      </c>
      <c r="CY190" s="1603">
        <v>0</v>
      </c>
      <c r="CZ190" s="1603">
        <v>0</v>
      </c>
      <c r="DA190" s="1603">
        <v>0</v>
      </c>
      <c r="DB190" s="1603">
        <v>0</v>
      </c>
      <c r="DC190" s="1603">
        <v>0</v>
      </c>
      <c r="DD190" s="1603">
        <v>0</v>
      </c>
      <c r="DE190" s="1603">
        <v>0</v>
      </c>
      <c r="DF190" s="1603">
        <v>0</v>
      </c>
      <c r="DG190" s="1603">
        <v>0</v>
      </c>
      <c r="DH190" s="1603">
        <v>0</v>
      </c>
      <c r="DI190" s="1603">
        <v>0</v>
      </c>
      <c r="DJ190" s="1603">
        <v>0</v>
      </c>
      <c r="DK190" s="1603">
        <v>0</v>
      </c>
      <c r="DL190" s="1603">
        <v>0</v>
      </c>
      <c r="DM190" s="1603">
        <v>0</v>
      </c>
      <c r="DN190" s="1603">
        <v>0</v>
      </c>
      <c r="DO190" s="1603">
        <v>0</v>
      </c>
      <c r="DP190" s="1603">
        <v>0</v>
      </c>
      <c r="DQ190" s="1603">
        <v>0</v>
      </c>
      <c r="DR190" s="1603">
        <v>0</v>
      </c>
      <c r="DS190" s="1603">
        <v>0</v>
      </c>
      <c r="DT190" s="1603">
        <v>0</v>
      </c>
      <c r="DU190" s="1603">
        <v>0</v>
      </c>
      <c r="DV190" s="1603">
        <v>0</v>
      </c>
      <c r="DW190" s="1618" t="s">
        <v>986</v>
      </c>
      <c r="DX190" s="1605" t="s">
        <v>986</v>
      </c>
      <c r="DY190" s="1605" t="s">
        <v>986</v>
      </c>
      <c r="DZ190" s="1605" t="s">
        <v>986</v>
      </c>
      <c r="EA190" s="1605" t="s">
        <v>986</v>
      </c>
      <c r="EB190" s="1605" t="s">
        <v>986</v>
      </c>
      <c r="EC190" s="1605" t="s">
        <v>986</v>
      </c>
      <c r="ED190" s="1605" t="s">
        <v>986</v>
      </c>
      <c r="EE190" s="1605" t="s">
        <v>986</v>
      </c>
      <c r="EF190" s="1605" t="s">
        <v>986</v>
      </c>
      <c r="EG190" s="1605" t="s">
        <v>986</v>
      </c>
      <c r="EH190" s="1605" t="s">
        <v>986</v>
      </c>
      <c r="EI190" s="1605" t="s">
        <v>986</v>
      </c>
      <c r="EJ190" s="1605" t="s">
        <v>986</v>
      </c>
      <c r="EK190" s="1605" t="s">
        <v>986</v>
      </c>
      <c r="EL190" s="1605" t="s">
        <v>986</v>
      </c>
      <c r="EM190" s="1605" t="s">
        <v>986</v>
      </c>
      <c r="EN190" s="1605" t="s">
        <v>986</v>
      </c>
      <c r="EO190" s="1605" t="s">
        <v>986</v>
      </c>
      <c r="EP190" s="1605" t="s">
        <v>986</v>
      </c>
      <c r="EQ190" s="1605" t="s">
        <v>986</v>
      </c>
      <c r="ER190" s="1605" t="s">
        <v>986</v>
      </c>
      <c r="ES190" s="1605" t="s">
        <v>986</v>
      </c>
      <c r="ET190" s="1605" t="s">
        <v>986</v>
      </c>
      <c r="EU190" s="1605" t="s">
        <v>986</v>
      </c>
      <c r="EV190" s="1605" t="s">
        <v>986</v>
      </c>
      <c r="EW190" s="1605" t="s">
        <v>986</v>
      </c>
      <c r="EX190" s="1605" t="s">
        <v>986</v>
      </c>
      <c r="EY190" s="1605" t="s">
        <v>986</v>
      </c>
      <c r="EZ190" s="1605" t="s">
        <v>986</v>
      </c>
      <c r="FA190" s="1605" t="s">
        <v>986</v>
      </c>
      <c r="FB190" s="1605" t="s">
        <v>986</v>
      </c>
      <c r="FC190" s="1605" t="s">
        <v>986</v>
      </c>
      <c r="FD190" s="1605" t="s">
        <v>986</v>
      </c>
      <c r="FE190" s="1605" t="s">
        <v>986</v>
      </c>
      <c r="FF190" s="1605" t="s">
        <v>986</v>
      </c>
      <c r="FG190" s="1605" t="s">
        <v>986</v>
      </c>
      <c r="FH190" s="1605" t="s">
        <v>986</v>
      </c>
      <c r="FI190" s="1605" t="s">
        <v>986</v>
      </c>
      <c r="FJ190" s="1605" t="s">
        <v>986</v>
      </c>
      <c r="FK190" s="1605" t="s">
        <v>986</v>
      </c>
      <c r="FL190" s="1605" t="s">
        <v>986</v>
      </c>
      <c r="FM190" s="1605" t="s">
        <v>986</v>
      </c>
      <c r="FN190" s="1605" t="s">
        <v>986</v>
      </c>
      <c r="FO190" s="1605" t="s">
        <v>986</v>
      </c>
      <c r="FP190" s="1605" t="s">
        <v>986</v>
      </c>
      <c r="FQ190" s="1605" t="s">
        <v>986</v>
      </c>
      <c r="FR190" s="1605" t="s">
        <v>986</v>
      </c>
      <c r="FS190" s="1605" t="s">
        <v>986</v>
      </c>
      <c r="FT190" s="1605" t="s">
        <v>986</v>
      </c>
      <c r="FU190" s="1605" t="s">
        <v>986</v>
      </c>
      <c r="FV190" s="1605" t="s">
        <v>986</v>
      </c>
      <c r="FW190" s="1605" t="s">
        <v>986</v>
      </c>
      <c r="FX190" s="1605" t="s">
        <v>986</v>
      </c>
      <c r="FY190" s="1605" t="s">
        <v>986</v>
      </c>
      <c r="FZ190" s="1605" t="s">
        <v>986</v>
      </c>
      <c r="GA190" s="1605" t="s">
        <v>986</v>
      </c>
      <c r="GB190" s="1605" t="s">
        <v>986</v>
      </c>
      <c r="GC190" s="1605" t="s">
        <v>986</v>
      </c>
      <c r="GD190" s="1605" t="s">
        <v>986</v>
      </c>
      <c r="GE190" s="1605" t="s">
        <v>986</v>
      </c>
      <c r="GF190" s="1605" t="s">
        <v>986</v>
      </c>
      <c r="GG190" s="1605" t="s">
        <v>986</v>
      </c>
      <c r="GH190" s="1605" t="s">
        <v>986</v>
      </c>
      <c r="GI190" s="1605" t="s">
        <v>986</v>
      </c>
      <c r="GJ190" s="1605" t="s">
        <v>986</v>
      </c>
      <c r="GK190" s="1605" t="s">
        <v>986</v>
      </c>
      <c r="GL190" s="1605" t="s">
        <v>986</v>
      </c>
      <c r="GM190" s="1605" t="s">
        <v>986</v>
      </c>
      <c r="GN190" s="1605" t="s">
        <v>986</v>
      </c>
      <c r="GO190" s="1605" t="s">
        <v>986</v>
      </c>
      <c r="GP190" s="1605" t="s">
        <v>986</v>
      </c>
      <c r="GQ190" s="1605" t="s">
        <v>986</v>
      </c>
      <c r="GR190" s="1605" t="s">
        <v>986</v>
      </c>
      <c r="GS190" s="1605" t="s">
        <v>986</v>
      </c>
      <c r="GT190" s="1605" t="s">
        <v>986</v>
      </c>
      <c r="GU190" s="1605" t="s">
        <v>986</v>
      </c>
      <c r="GV190" s="1605" t="s">
        <v>986</v>
      </c>
      <c r="GW190" s="1605" t="s">
        <v>986</v>
      </c>
      <c r="GX190" s="1605" t="s">
        <v>986</v>
      </c>
      <c r="GY190" s="1605" t="s">
        <v>986</v>
      </c>
      <c r="GZ190" s="1605" t="s">
        <v>986</v>
      </c>
      <c r="HA190" s="1605" t="s">
        <v>986</v>
      </c>
      <c r="HB190" s="1605" t="s">
        <v>986</v>
      </c>
      <c r="HC190" s="1605" t="s">
        <v>986</v>
      </c>
      <c r="HD190" s="1605" t="s">
        <v>986</v>
      </c>
      <c r="HE190" s="1605" t="s">
        <v>986</v>
      </c>
      <c r="HF190" s="1605" t="s">
        <v>986</v>
      </c>
      <c r="HG190" s="1605" t="s">
        <v>986</v>
      </c>
      <c r="HH190" s="1605" t="s">
        <v>986</v>
      </c>
      <c r="HI190" s="1605" t="s">
        <v>986</v>
      </c>
      <c r="HJ190" s="1605" t="s">
        <v>986</v>
      </c>
      <c r="HK190" s="1605" t="s">
        <v>986</v>
      </c>
      <c r="HL190" s="1605" t="s">
        <v>986</v>
      </c>
      <c r="HM190" s="1605" t="s">
        <v>986</v>
      </c>
      <c r="HN190" s="1605" t="s">
        <v>986</v>
      </c>
      <c r="HO190" s="1605" t="s">
        <v>986</v>
      </c>
      <c r="HP190" s="1605" t="s">
        <v>986</v>
      </c>
      <c r="HQ190" s="1605" t="s">
        <v>986</v>
      </c>
      <c r="HR190" s="1605" t="s">
        <v>986</v>
      </c>
      <c r="HS190" s="1605" t="s">
        <v>986</v>
      </c>
      <c r="HT190" s="1605" t="s">
        <v>986</v>
      </c>
      <c r="HU190" s="1605" t="s">
        <v>986</v>
      </c>
      <c r="HV190" s="1617"/>
      <c r="HW190" s="1617">
        <v>0</v>
      </c>
      <c r="HX190" s="1617">
        <v>0</v>
      </c>
      <c r="HY190" s="1617">
        <v>0</v>
      </c>
      <c r="HZ190" s="1603"/>
      <c r="IA190" s="1603"/>
      <c r="IB190" s="1603"/>
      <c r="IC190" s="1603">
        <v>0</v>
      </c>
      <c r="ID190" s="1603">
        <v>0</v>
      </c>
      <c r="IE190" s="1603">
        <v>0</v>
      </c>
      <c r="IF190" s="1603">
        <v>0</v>
      </c>
      <c r="IG190" s="1611" t="s">
        <v>2932</v>
      </c>
      <c r="IH190" s="1616" t="s">
        <v>270</v>
      </c>
      <c r="II190" s="1615" t="s">
        <v>270</v>
      </c>
      <c r="IJ190" s="1613">
        <v>1.3101818181818183</v>
      </c>
      <c r="IK190" s="1613">
        <v>1.301848484848485</v>
      </c>
      <c r="IL190" s="1614">
        <v>1.3101818181818183</v>
      </c>
      <c r="IM190" s="1614">
        <v>1.301848484848485</v>
      </c>
      <c r="IN190" s="1612" t="s">
        <v>270</v>
      </c>
      <c r="IO190" s="1613" t="s">
        <v>270</v>
      </c>
      <c r="IP190" s="1607" t="s">
        <v>270</v>
      </c>
      <c r="IQ190" s="1612" t="s">
        <v>270</v>
      </c>
      <c r="IR190" s="1612" t="s">
        <v>270</v>
      </c>
      <c r="IS190" s="1607">
        <v>1.1881818181818182</v>
      </c>
      <c r="IT190" s="1607">
        <v>1.1798484848484849</v>
      </c>
      <c r="IU190" s="1611">
        <v>0</v>
      </c>
      <c r="IV190" s="1611">
        <v>7.7767676767676763E-2</v>
      </c>
      <c r="IW190" s="1611">
        <v>9.0909090909090909E-4</v>
      </c>
      <c r="IX190" s="1611">
        <v>1.6060606060606061E-3</v>
      </c>
      <c r="IY190" s="1611">
        <v>9.6969696969696957E-4</v>
      </c>
      <c r="IZ190" s="1611">
        <v>5.9898989898989896E-3</v>
      </c>
      <c r="JA190" s="1611">
        <v>6.0606060606060598E-5</v>
      </c>
      <c r="JB190" s="1611" t="s">
        <v>270</v>
      </c>
      <c r="JC190" s="1611">
        <v>9.9026969696969704</v>
      </c>
      <c r="JD190" s="1611">
        <v>5.2121212121212122E-3</v>
      </c>
      <c r="JE190" s="1611" t="s">
        <v>270</v>
      </c>
      <c r="JF190" s="1611">
        <v>8.2828282828282835E-4</v>
      </c>
      <c r="JG190" s="1611">
        <v>0.57978787878787885</v>
      </c>
      <c r="JH190" s="1611">
        <v>7.646464646464647E-3</v>
      </c>
      <c r="JI190" s="1611">
        <v>0.3</v>
      </c>
      <c r="JJ190" s="1611" t="s">
        <v>270</v>
      </c>
      <c r="JK190" s="1607">
        <f t="shared" si="11"/>
        <v>0.12200000000000011</v>
      </c>
      <c r="JL190" s="1608" t="s">
        <v>270</v>
      </c>
      <c r="JM190" s="1610" t="s">
        <v>2924</v>
      </c>
      <c r="JN190" s="1608">
        <v>8.3333333333333037E-3</v>
      </c>
      <c r="JO190" s="1609" t="s">
        <v>2931</v>
      </c>
      <c r="JP190" s="1608" t="s">
        <v>270</v>
      </c>
      <c r="JQ190" s="1607">
        <v>202103</v>
      </c>
      <c r="JR190" s="1606">
        <v>851</v>
      </c>
      <c r="JS190" s="1606">
        <v>774</v>
      </c>
      <c r="JT190" s="1606">
        <v>774</v>
      </c>
    </row>
    <row r="191" spans="1:280" ht="15" customHeight="1" x14ac:dyDescent="0.2">
      <c r="A191" s="1626">
        <v>99472</v>
      </c>
      <c r="B191" s="1625">
        <v>994</v>
      </c>
      <c r="C191" s="1624">
        <v>72</v>
      </c>
      <c r="D191" s="1623" t="s">
        <v>3289</v>
      </c>
      <c r="E191" s="1622">
        <v>43031</v>
      </c>
      <c r="F191" s="1620">
        <v>1.2345155826558301</v>
      </c>
      <c r="G191" s="1620">
        <v>1.18321103896104</v>
      </c>
      <c r="H191" s="1621">
        <v>100</v>
      </c>
      <c r="I191" s="1621">
        <v>100</v>
      </c>
      <c r="J191" s="1621">
        <v>100</v>
      </c>
      <c r="K191" s="1620">
        <v>1</v>
      </c>
      <c r="L191" s="1620">
        <v>88</v>
      </c>
      <c r="M191" s="1620">
        <v>72</v>
      </c>
      <c r="N191" s="1620">
        <v>0.02</v>
      </c>
      <c r="O191" s="1620">
        <v>0.08</v>
      </c>
      <c r="P191" s="1620">
        <v>0.02</v>
      </c>
      <c r="Q191" s="1603"/>
      <c r="R191" s="1620">
        <v>100</v>
      </c>
      <c r="S191" s="1620">
        <v>0</v>
      </c>
      <c r="T191" s="1620">
        <v>0</v>
      </c>
      <c r="U191" s="1620">
        <v>0</v>
      </c>
      <c r="V191" s="1620">
        <v>0</v>
      </c>
      <c r="W191" s="1620">
        <v>0</v>
      </c>
      <c r="X191" s="1620"/>
      <c r="Y191" s="1620">
        <v>0</v>
      </c>
      <c r="Z191" s="1620">
        <v>0</v>
      </c>
      <c r="AA191" s="1620">
        <v>0</v>
      </c>
      <c r="AB191" s="1620">
        <v>0</v>
      </c>
      <c r="AC191" s="1620">
        <v>0</v>
      </c>
      <c r="AD191" s="1620">
        <v>0</v>
      </c>
      <c r="AE191" s="1620">
        <v>0</v>
      </c>
      <c r="AF191" s="1620">
        <v>0</v>
      </c>
      <c r="AG191" s="1620">
        <v>0</v>
      </c>
      <c r="AH191" s="1620">
        <v>0</v>
      </c>
      <c r="AI191" s="1620">
        <v>0</v>
      </c>
      <c r="AJ191" s="1620">
        <v>0</v>
      </c>
      <c r="AK191" s="1620">
        <v>0</v>
      </c>
      <c r="AL191" s="1620"/>
      <c r="AM191" s="1620">
        <v>0</v>
      </c>
      <c r="AN191" s="1620">
        <v>100</v>
      </c>
      <c r="AO191" s="1620">
        <v>0</v>
      </c>
      <c r="AP191" s="1620">
        <v>0</v>
      </c>
      <c r="AQ191" s="1620">
        <v>0</v>
      </c>
      <c r="AR191" s="1620">
        <v>0</v>
      </c>
      <c r="AS191" s="1620">
        <v>0</v>
      </c>
      <c r="AT191" s="1620">
        <v>0</v>
      </c>
      <c r="AU191" s="1620">
        <v>0</v>
      </c>
      <c r="AV191" s="1620">
        <v>0</v>
      </c>
      <c r="AW191" s="1620">
        <v>0</v>
      </c>
      <c r="AX191" s="1620"/>
      <c r="AY191" s="1620">
        <v>1</v>
      </c>
      <c r="AZ191" s="1620">
        <v>1</v>
      </c>
      <c r="BA191" s="1620">
        <v>1</v>
      </c>
      <c r="BB191" s="1620">
        <v>1</v>
      </c>
      <c r="BC191" s="1620">
        <v>1</v>
      </c>
      <c r="BD191" s="1620">
        <v>1</v>
      </c>
      <c r="BE191" s="1620">
        <v>1</v>
      </c>
      <c r="BF191" s="1620">
        <v>1</v>
      </c>
      <c r="BG191" s="1620">
        <v>1</v>
      </c>
      <c r="BH191" s="1620">
        <v>1</v>
      </c>
      <c r="BI191" s="1620">
        <v>1</v>
      </c>
      <c r="BJ191" s="1603"/>
      <c r="BK191" s="1620">
        <v>81.818181818181813</v>
      </c>
      <c r="BL191" s="1620">
        <v>2.2727272727272728E-2</v>
      </c>
      <c r="BM191" s="1620">
        <v>9.0909090909090912E-2</v>
      </c>
      <c r="BN191" s="1620">
        <v>2.2727272727272728E-2</v>
      </c>
      <c r="BO191" s="1620"/>
      <c r="BP191" s="1620">
        <v>0</v>
      </c>
      <c r="BQ191" s="1620">
        <v>0</v>
      </c>
      <c r="BR191" s="1620">
        <v>1.4028586166543524</v>
      </c>
      <c r="BS191" s="1620">
        <v>1.3445579988193634</v>
      </c>
      <c r="BT191" s="1603"/>
      <c r="BU191" s="1620">
        <v>999.09090909090912</v>
      </c>
      <c r="BV191" s="1620">
        <v>254.32500000000002</v>
      </c>
      <c r="BW191" s="1620">
        <v>0</v>
      </c>
      <c r="BX191" s="1620" t="s">
        <v>270</v>
      </c>
      <c r="BY191" s="1620" t="s">
        <v>270</v>
      </c>
      <c r="BZ191" s="1620" t="s">
        <v>270</v>
      </c>
      <c r="CA191" s="1620" t="s">
        <v>270</v>
      </c>
      <c r="CB191" s="1603"/>
      <c r="CC191" s="1603">
        <v>0</v>
      </c>
      <c r="CD191" s="1603">
        <v>0</v>
      </c>
      <c r="CE191" s="1603">
        <v>0</v>
      </c>
      <c r="CF191" s="1603">
        <v>0</v>
      </c>
      <c r="CG191" s="1603">
        <v>0</v>
      </c>
      <c r="CH191" s="1603">
        <v>0</v>
      </c>
      <c r="CI191" s="1603">
        <v>0</v>
      </c>
      <c r="CJ191" s="1603"/>
      <c r="CK191" s="1603">
        <v>0</v>
      </c>
      <c r="CL191" s="1603">
        <v>0</v>
      </c>
      <c r="CM191" s="1603">
        <v>0</v>
      </c>
      <c r="CN191" s="1603">
        <v>0</v>
      </c>
      <c r="CO191" s="1603">
        <v>0</v>
      </c>
      <c r="CP191" s="1603">
        <v>0</v>
      </c>
      <c r="CQ191" s="1603">
        <v>720</v>
      </c>
      <c r="CR191" s="1603">
        <v>583.2247159254598</v>
      </c>
      <c r="CS191" s="1603">
        <v>0</v>
      </c>
      <c r="CT191" s="1603">
        <v>583.2247159254598</v>
      </c>
      <c r="CU191" s="1603">
        <v>0</v>
      </c>
      <c r="CV191" s="1603">
        <v>583.2247159254598</v>
      </c>
      <c r="CW191" s="1603">
        <v>0</v>
      </c>
      <c r="CX191" s="1603">
        <v>0</v>
      </c>
      <c r="CY191" s="1603">
        <v>0</v>
      </c>
      <c r="CZ191" s="1603">
        <v>0</v>
      </c>
      <c r="DA191" s="1603">
        <v>0</v>
      </c>
      <c r="DB191" s="1603">
        <v>0</v>
      </c>
      <c r="DC191" s="1603">
        <v>0</v>
      </c>
      <c r="DD191" s="1603">
        <v>0</v>
      </c>
      <c r="DE191" s="1603">
        <v>0</v>
      </c>
      <c r="DF191" s="1603">
        <v>0</v>
      </c>
      <c r="DG191" s="1603">
        <v>0</v>
      </c>
      <c r="DH191" s="1603">
        <v>0</v>
      </c>
      <c r="DI191" s="1603">
        <v>0</v>
      </c>
      <c r="DJ191" s="1603">
        <v>0</v>
      </c>
      <c r="DK191" s="1603">
        <v>0</v>
      </c>
      <c r="DL191" s="1603">
        <v>0</v>
      </c>
      <c r="DM191" s="1603">
        <v>0</v>
      </c>
      <c r="DN191" s="1603">
        <v>0</v>
      </c>
      <c r="DO191" s="1603">
        <v>0</v>
      </c>
      <c r="DP191" s="1603">
        <v>0</v>
      </c>
      <c r="DQ191" s="1603">
        <v>0</v>
      </c>
      <c r="DR191" s="1603">
        <v>0</v>
      </c>
      <c r="DS191" s="1603">
        <v>0</v>
      </c>
      <c r="DT191" s="1603">
        <v>0</v>
      </c>
      <c r="DU191" s="1603">
        <v>0</v>
      </c>
      <c r="DV191" s="1603">
        <v>0</v>
      </c>
      <c r="DW191" s="1618" t="s">
        <v>986</v>
      </c>
      <c r="DX191" s="1605" t="s">
        <v>986</v>
      </c>
      <c r="DY191" s="1605" t="s">
        <v>986</v>
      </c>
      <c r="DZ191" s="1605" t="s">
        <v>986</v>
      </c>
      <c r="EA191" s="1605" t="s">
        <v>986</v>
      </c>
      <c r="EB191" s="1605" t="s">
        <v>986</v>
      </c>
      <c r="EC191" s="1605" t="s">
        <v>986</v>
      </c>
      <c r="ED191" s="1605" t="s">
        <v>986</v>
      </c>
      <c r="EE191" s="1605" t="s">
        <v>986</v>
      </c>
      <c r="EF191" s="1605" t="s">
        <v>986</v>
      </c>
      <c r="EG191" s="1605" t="s">
        <v>986</v>
      </c>
      <c r="EH191" s="1605" t="s">
        <v>986</v>
      </c>
      <c r="EI191" s="1605" t="s">
        <v>986</v>
      </c>
      <c r="EJ191" s="1605" t="s">
        <v>986</v>
      </c>
      <c r="EK191" s="1605" t="s">
        <v>986</v>
      </c>
      <c r="EL191" s="1605" t="s">
        <v>986</v>
      </c>
      <c r="EM191" s="1605" t="s">
        <v>986</v>
      </c>
      <c r="EN191" s="1605" t="s">
        <v>986</v>
      </c>
      <c r="EO191" s="1605" t="s">
        <v>986</v>
      </c>
      <c r="EP191" s="1605" t="s">
        <v>986</v>
      </c>
      <c r="EQ191" s="1605" t="s">
        <v>986</v>
      </c>
      <c r="ER191" s="1605" t="s">
        <v>986</v>
      </c>
      <c r="ES191" s="1605" t="s">
        <v>986</v>
      </c>
      <c r="ET191" s="1605" t="s">
        <v>986</v>
      </c>
      <c r="EU191" s="1605" t="s">
        <v>986</v>
      </c>
      <c r="EV191" s="1605" t="s">
        <v>986</v>
      </c>
      <c r="EW191" s="1605" t="s">
        <v>986</v>
      </c>
      <c r="EX191" s="1605" t="s">
        <v>986</v>
      </c>
      <c r="EY191" s="1605" t="s">
        <v>986</v>
      </c>
      <c r="EZ191" s="1605" t="s">
        <v>986</v>
      </c>
      <c r="FA191" s="1605" t="s">
        <v>986</v>
      </c>
      <c r="FB191" s="1605" t="s">
        <v>986</v>
      </c>
      <c r="FC191" s="1605" t="s">
        <v>986</v>
      </c>
      <c r="FD191" s="1605" t="s">
        <v>986</v>
      </c>
      <c r="FE191" s="1605" t="s">
        <v>986</v>
      </c>
      <c r="FF191" s="1605" t="s">
        <v>986</v>
      </c>
      <c r="FG191" s="1605" t="s">
        <v>986</v>
      </c>
      <c r="FH191" s="1605" t="s">
        <v>986</v>
      </c>
      <c r="FI191" s="1605" t="s">
        <v>986</v>
      </c>
      <c r="FJ191" s="1605" t="s">
        <v>986</v>
      </c>
      <c r="FK191" s="1605" t="s">
        <v>986</v>
      </c>
      <c r="FL191" s="1605" t="s">
        <v>986</v>
      </c>
      <c r="FM191" s="1605" t="s">
        <v>986</v>
      </c>
      <c r="FN191" s="1605" t="s">
        <v>986</v>
      </c>
      <c r="FO191" s="1605" t="s">
        <v>986</v>
      </c>
      <c r="FP191" s="1605" t="s">
        <v>986</v>
      </c>
      <c r="FQ191" s="1605" t="s">
        <v>986</v>
      </c>
      <c r="FR191" s="1605" t="s">
        <v>986</v>
      </c>
      <c r="FS191" s="1605" t="s">
        <v>986</v>
      </c>
      <c r="FT191" s="1605" t="s">
        <v>986</v>
      </c>
      <c r="FU191" s="1605" t="s">
        <v>986</v>
      </c>
      <c r="FV191" s="1605" t="s">
        <v>986</v>
      </c>
      <c r="FW191" s="1605" t="s">
        <v>986</v>
      </c>
      <c r="FX191" s="1605" t="s">
        <v>986</v>
      </c>
      <c r="FY191" s="1605" t="s">
        <v>986</v>
      </c>
      <c r="FZ191" s="1605" t="s">
        <v>986</v>
      </c>
      <c r="GA191" s="1605" t="s">
        <v>986</v>
      </c>
      <c r="GB191" s="1605" t="s">
        <v>986</v>
      </c>
      <c r="GC191" s="1605" t="s">
        <v>986</v>
      </c>
      <c r="GD191" s="1605" t="s">
        <v>986</v>
      </c>
      <c r="GE191" s="1605" t="s">
        <v>986</v>
      </c>
      <c r="GF191" s="1605" t="s">
        <v>986</v>
      </c>
      <c r="GG191" s="1605" t="s">
        <v>986</v>
      </c>
      <c r="GH191" s="1605" t="s">
        <v>986</v>
      </c>
      <c r="GI191" s="1605" t="s">
        <v>986</v>
      </c>
      <c r="GJ191" s="1605" t="s">
        <v>986</v>
      </c>
      <c r="GK191" s="1605" t="s">
        <v>986</v>
      </c>
      <c r="GL191" s="1605" t="s">
        <v>986</v>
      </c>
      <c r="GM191" s="1605" t="s">
        <v>986</v>
      </c>
      <c r="GN191" s="1605" t="s">
        <v>986</v>
      </c>
      <c r="GO191" s="1605" t="s">
        <v>986</v>
      </c>
      <c r="GP191" s="1605" t="s">
        <v>986</v>
      </c>
      <c r="GQ191" s="1605" t="s">
        <v>986</v>
      </c>
      <c r="GR191" s="1605" t="s">
        <v>986</v>
      </c>
      <c r="GS191" s="1605" t="s">
        <v>986</v>
      </c>
      <c r="GT191" s="1605" t="s">
        <v>986</v>
      </c>
      <c r="GU191" s="1605" t="s">
        <v>986</v>
      </c>
      <c r="GV191" s="1605" t="s">
        <v>986</v>
      </c>
      <c r="GW191" s="1605" t="s">
        <v>986</v>
      </c>
      <c r="GX191" s="1605" t="s">
        <v>986</v>
      </c>
      <c r="GY191" s="1605" t="s">
        <v>986</v>
      </c>
      <c r="GZ191" s="1605" t="s">
        <v>986</v>
      </c>
      <c r="HA191" s="1605" t="s">
        <v>986</v>
      </c>
      <c r="HB191" s="1605" t="s">
        <v>986</v>
      </c>
      <c r="HC191" s="1605" t="s">
        <v>986</v>
      </c>
      <c r="HD191" s="1605" t="s">
        <v>986</v>
      </c>
      <c r="HE191" s="1605" t="s">
        <v>986</v>
      </c>
      <c r="HF191" s="1605" t="s">
        <v>986</v>
      </c>
      <c r="HG191" s="1605" t="s">
        <v>986</v>
      </c>
      <c r="HH191" s="1605" t="s">
        <v>986</v>
      </c>
      <c r="HI191" s="1605" t="s">
        <v>986</v>
      </c>
      <c r="HJ191" s="1605" t="s">
        <v>986</v>
      </c>
      <c r="HK191" s="1605" t="s">
        <v>986</v>
      </c>
      <c r="HL191" s="1605" t="s">
        <v>986</v>
      </c>
      <c r="HM191" s="1605" t="s">
        <v>986</v>
      </c>
      <c r="HN191" s="1605" t="s">
        <v>986</v>
      </c>
      <c r="HO191" s="1605" t="s">
        <v>986</v>
      </c>
      <c r="HP191" s="1605" t="s">
        <v>986</v>
      </c>
      <c r="HQ191" s="1605" t="s">
        <v>986</v>
      </c>
      <c r="HR191" s="1605" t="s">
        <v>986</v>
      </c>
      <c r="HS191" s="1605" t="s">
        <v>986</v>
      </c>
      <c r="HT191" s="1605" t="s">
        <v>986</v>
      </c>
      <c r="HU191" s="1605" t="s">
        <v>986</v>
      </c>
      <c r="HV191" s="1617"/>
      <c r="HW191" s="1617" t="s">
        <v>986</v>
      </c>
      <c r="HX191" s="1617" t="s">
        <v>986</v>
      </c>
      <c r="HY191" s="1617" t="s">
        <v>986</v>
      </c>
      <c r="HZ191" s="1603"/>
      <c r="IA191" s="1603"/>
      <c r="IB191" s="1603"/>
      <c r="IC191" s="1603">
        <v>0</v>
      </c>
      <c r="ID191" s="1603">
        <v>0</v>
      </c>
      <c r="IE191" s="1603">
        <v>0</v>
      </c>
      <c r="IF191" s="1603">
        <v>0</v>
      </c>
      <c r="IG191" s="1611" t="s">
        <v>2932</v>
      </c>
      <c r="IH191" s="1616" t="s">
        <v>270</v>
      </c>
      <c r="II191" s="1615" t="s">
        <v>270</v>
      </c>
      <c r="IJ191" s="1613">
        <v>1.3101818181818183</v>
      </c>
      <c r="IK191" s="1613">
        <v>1.301848484848485</v>
      </c>
      <c r="IL191" s="1614">
        <v>1.3101818181818183</v>
      </c>
      <c r="IM191" s="1614">
        <v>1.301848484848485</v>
      </c>
      <c r="IN191" s="1612" t="s">
        <v>270</v>
      </c>
      <c r="IO191" s="1613" t="s">
        <v>270</v>
      </c>
      <c r="IP191" s="1607" t="s">
        <v>270</v>
      </c>
      <c r="IQ191" s="1612" t="s">
        <v>270</v>
      </c>
      <c r="IR191" s="1612" t="s">
        <v>270</v>
      </c>
      <c r="IS191" s="1607">
        <v>1.1881818181818182</v>
      </c>
      <c r="IT191" s="1607">
        <v>1.1798484848484849</v>
      </c>
      <c r="IU191" s="1611">
        <v>0</v>
      </c>
      <c r="IV191" s="1611">
        <v>7.7767676767676763E-2</v>
      </c>
      <c r="IW191" s="1611">
        <v>9.0909090909090909E-4</v>
      </c>
      <c r="IX191" s="1611">
        <v>1.6060606060606061E-3</v>
      </c>
      <c r="IY191" s="1611">
        <v>9.6969696969696957E-4</v>
      </c>
      <c r="IZ191" s="1611">
        <v>5.9898989898989896E-3</v>
      </c>
      <c r="JA191" s="1611">
        <v>6.0606060606060598E-5</v>
      </c>
      <c r="JB191" s="1611" t="s">
        <v>270</v>
      </c>
      <c r="JC191" s="1611">
        <v>9.9026969696969704</v>
      </c>
      <c r="JD191" s="1611">
        <v>5.2121212121212122E-3</v>
      </c>
      <c r="JE191" s="1611" t="s">
        <v>270</v>
      </c>
      <c r="JF191" s="1611">
        <v>8.2828282828282835E-4</v>
      </c>
      <c r="JG191" s="1611">
        <v>0.57978787878787885</v>
      </c>
      <c r="JH191" s="1611">
        <v>7.646464646464647E-3</v>
      </c>
      <c r="JI191" s="1611">
        <v>0.3</v>
      </c>
      <c r="JJ191" s="1611" t="s">
        <v>270</v>
      </c>
      <c r="JK191" s="1607">
        <f t="shared" si="11"/>
        <v>0.12200000000000011</v>
      </c>
      <c r="JL191" s="1608" t="s">
        <v>270</v>
      </c>
      <c r="JM191" s="1610" t="s">
        <v>2924</v>
      </c>
      <c r="JN191" s="1608">
        <v>8.3333333333333037E-3</v>
      </c>
      <c r="JO191" s="1609" t="s">
        <v>2931</v>
      </c>
      <c r="JP191" s="1608" t="s">
        <v>270</v>
      </c>
      <c r="JQ191" s="1607">
        <v>202103</v>
      </c>
      <c r="JR191" s="1606">
        <v>851</v>
      </c>
      <c r="JS191" s="1606">
        <v>774</v>
      </c>
      <c r="JT191" s="1606">
        <v>774</v>
      </c>
    </row>
    <row r="192" spans="1:280" ht="15" customHeight="1" x14ac:dyDescent="0.2">
      <c r="A192" s="1626">
        <v>76000</v>
      </c>
      <c r="B192" s="1625">
        <v>760</v>
      </c>
      <c r="C192" s="1624">
        <v>0</v>
      </c>
      <c r="D192" s="1623" t="s">
        <v>3288</v>
      </c>
      <c r="E192" s="1622">
        <v>41556</v>
      </c>
      <c r="F192" s="1620" t="s">
        <v>270</v>
      </c>
      <c r="G192" s="1620" t="s">
        <v>270</v>
      </c>
      <c r="H192" s="1621" t="s">
        <v>270</v>
      </c>
      <c r="I192" s="1621" t="s">
        <v>270</v>
      </c>
      <c r="J192" s="1621">
        <v>91</v>
      </c>
      <c r="K192" s="1620">
        <v>1</v>
      </c>
      <c r="L192" s="1620">
        <v>95</v>
      </c>
      <c r="M192" s="1620" t="s">
        <v>270</v>
      </c>
      <c r="N192" s="1620" t="s">
        <v>270</v>
      </c>
      <c r="O192" s="1620" t="s">
        <v>270</v>
      </c>
      <c r="P192" s="1620" t="s">
        <v>270</v>
      </c>
      <c r="Q192" s="1603"/>
      <c r="R192" s="1620" t="s">
        <v>270</v>
      </c>
      <c r="S192" s="1620" t="s">
        <v>270</v>
      </c>
      <c r="T192" s="1620" t="s">
        <v>270</v>
      </c>
      <c r="U192" s="1620" t="s">
        <v>270</v>
      </c>
      <c r="V192" s="1620" t="s">
        <v>270</v>
      </c>
      <c r="W192" s="1620" t="s">
        <v>270</v>
      </c>
      <c r="X192" s="1620"/>
      <c r="Y192" s="1620" t="s">
        <v>270</v>
      </c>
      <c r="Z192" s="1620" t="s">
        <v>270</v>
      </c>
      <c r="AA192" s="1620" t="s">
        <v>270</v>
      </c>
      <c r="AB192" s="1620" t="s">
        <v>270</v>
      </c>
      <c r="AC192" s="1620" t="s">
        <v>270</v>
      </c>
      <c r="AD192" s="1620" t="s">
        <v>270</v>
      </c>
      <c r="AE192" s="1620" t="s">
        <v>270</v>
      </c>
      <c r="AF192" s="1620" t="s">
        <v>270</v>
      </c>
      <c r="AG192" s="1620" t="s">
        <v>270</v>
      </c>
      <c r="AH192" s="1620" t="s">
        <v>270</v>
      </c>
      <c r="AI192" s="1620" t="s">
        <v>270</v>
      </c>
      <c r="AJ192" s="1620" t="s">
        <v>270</v>
      </c>
      <c r="AK192" s="1620" t="s">
        <v>270</v>
      </c>
      <c r="AL192" s="1620"/>
      <c r="AM192" s="1620" t="s">
        <v>270</v>
      </c>
      <c r="AN192" s="1620" t="s">
        <v>270</v>
      </c>
      <c r="AO192" s="1620" t="s">
        <v>270</v>
      </c>
      <c r="AP192" s="1620" t="s">
        <v>270</v>
      </c>
      <c r="AQ192" s="1620" t="s">
        <v>270</v>
      </c>
      <c r="AR192" s="1620" t="s">
        <v>270</v>
      </c>
      <c r="AS192" s="1620" t="s">
        <v>270</v>
      </c>
      <c r="AT192" s="1620" t="s">
        <v>270</v>
      </c>
      <c r="AU192" s="1620" t="s">
        <v>270</v>
      </c>
      <c r="AV192" s="1620" t="s">
        <v>270</v>
      </c>
      <c r="AW192" s="1620" t="s">
        <v>270</v>
      </c>
      <c r="AX192" s="1620"/>
      <c r="AY192" s="1620">
        <v>1</v>
      </c>
      <c r="AZ192" s="1620">
        <v>1</v>
      </c>
      <c r="BA192" s="1620">
        <v>1</v>
      </c>
      <c r="BB192" s="1620">
        <v>1</v>
      </c>
      <c r="BC192" s="1620">
        <v>1</v>
      </c>
      <c r="BD192" s="1620">
        <v>1</v>
      </c>
      <c r="BE192" s="1620">
        <v>1</v>
      </c>
      <c r="BF192" s="1620">
        <v>1</v>
      </c>
      <c r="BG192" s="1620">
        <v>1</v>
      </c>
      <c r="BH192" s="1620">
        <v>1</v>
      </c>
      <c r="BI192" s="1620">
        <v>1</v>
      </c>
      <c r="BJ192" s="1603"/>
      <c r="BK192" s="1620" t="s">
        <v>270</v>
      </c>
      <c r="BL192" s="1620" t="s">
        <v>270</v>
      </c>
      <c r="BM192" s="1620" t="s">
        <v>270</v>
      </c>
      <c r="BN192" s="1620" t="s">
        <v>270</v>
      </c>
      <c r="BO192" s="1620"/>
      <c r="BP192" s="1620" t="s">
        <v>270</v>
      </c>
      <c r="BQ192" s="1620" t="s">
        <v>270</v>
      </c>
      <c r="BR192" s="1620" t="s">
        <v>270</v>
      </c>
      <c r="BS192" s="1620" t="s">
        <v>270</v>
      </c>
      <c r="BT192" s="1603"/>
      <c r="BU192" s="1620" t="s">
        <v>270</v>
      </c>
      <c r="BV192" s="1620" t="s">
        <v>270</v>
      </c>
      <c r="BW192" s="1620" t="s">
        <v>270</v>
      </c>
      <c r="BX192" s="1620" t="s">
        <v>270</v>
      </c>
      <c r="BY192" s="1620" t="s">
        <v>270</v>
      </c>
      <c r="BZ192" s="1620" t="s">
        <v>270</v>
      </c>
      <c r="CA192" s="1620" t="s">
        <v>270</v>
      </c>
      <c r="CB192" s="1603"/>
      <c r="CC192" s="1603" t="s">
        <v>270</v>
      </c>
      <c r="CD192" s="1603" t="s">
        <v>270</v>
      </c>
      <c r="CE192" s="1603" t="s">
        <v>270</v>
      </c>
      <c r="CF192" s="1603" t="s">
        <v>270</v>
      </c>
      <c r="CG192" s="1603" t="s">
        <v>270</v>
      </c>
      <c r="CH192" s="1603" t="s">
        <v>270</v>
      </c>
      <c r="CI192" s="1603" t="s">
        <v>270</v>
      </c>
      <c r="CJ192" s="1603"/>
      <c r="CK192" s="1603" t="s">
        <v>270</v>
      </c>
      <c r="CL192" s="1603" t="s">
        <v>270</v>
      </c>
      <c r="CM192" s="1603" t="s">
        <v>270</v>
      </c>
      <c r="CN192" s="1603" t="s">
        <v>270</v>
      </c>
      <c r="CO192" s="1603" t="s">
        <v>270</v>
      </c>
      <c r="CP192" s="1603" t="s">
        <v>270</v>
      </c>
      <c r="CQ192" s="1603" t="s">
        <v>270</v>
      </c>
      <c r="CR192" s="1603" t="s">
        <v>270</v>
      </c>
      <c r="CS192" s="1603" t="s">
        <v>270</v>
      </c>
      <c r="CT192" s="1603" t="s">
        <v>270</v>
      </c>
      <c r="CU192" s="1603" t="s">
        <v>270</v>
      </c>
      <c r="CV192" s="1603" t="s">
        <v>270</v>
      </c>
      <c r="CW192" s="1603" t="s">
        <v>270</v>
      </c>
      <c r="CX192" s="1603" t="s">
        <v>270</v>
      </c>
      <c r="CY192" s="1603" t="s">
        <v>270</v>
      </c>
      <c r="CZ192" s="1603" t="s">
        <v>270</v>
      </c>
      <c r="DA192" s="1603" t="s">
        <v>270</v>
      </c>
      <c r="DB192" s="1603" t="s">
        <v>270</v>
      </c>
      <c r="DC192" s="1603" t="s">
        <v>270</v>
      </c>
      <c r="DD192" s="1603" t="s">
        <v>270</v>
      </c>
      <c r="DE192" s="1603" t="s">
        <v>270</v>
      </c>
      <c r="DF192" s="1603" t="s">
        <v>270</v>
      </c>
      <c r="DG192" s="1603">
        <v>0</v>
      </c>
      <c r="DH192" s="1603">
        <v>0</v>
      </c>
      <c r="DI192" s="1603" t="s">
        <v>270</v>
      </c>
      <c r="DJ192" s="1603" t="s">
        <v>270</v>
      </c>
      <c r="DK192" s="1603" t="s">
        <v>270</v>
      </c>
      <c r="DL192" s="1603" t="s">
        <v>270</v>
      </c>
      <c r="DM192" s="1603" t="s">
        <v>270</v>
      </c>
      <c r="DN192" s="1603" t="s">
        <v>270</v>
      </c>
      <c r="DO192" s="1603" t="s">
        <v>270</v>
      </c>
      <c r="DP192" s="1603" t="s">
        <v>270</v>
      </c>
      <c r="DQ192" s="1603" t="s">
        <v>270</v>
      </c>
      <c r="DR192" s="1603" t="s">
        <v>270</v>
      </c>
      <c r="DS192" s="1603" t="s">
        <v>270</v>
      </c>
      <c r="DT192" s="1603" t="s">
        <v>270</v>
      </c>
      <c r="DU192" s="1603" t="s">
        <v>270</v>
      </c>
      <c r="DV192" s="1603" t="s">
        <v>270</v>
      </c>
      <c r="DW192" s="1618" t="s">
        <v>3287</v>
      </c>
      <c r="DX192" s="1605" t="s">
        <v>986</v>
      </c>
      <c r="DY192" s="1605" t="s">
        <v>986</v>
      </c>
      <c r="DZ192" s="1605" t="s">
        <v>986</v>
      </c>
      <c r="EA192" s="1605" t="s">
        <v>986</v>
      </c>
      <c r="EB192" s="1605" t="s">
        <v>986</v>
      </c>
      <c r="EC192" s="1605" t="s">
        <v>986</v>
      </c>
      <c r="ED192" s="1605" t="s">
        <v>986</v>
      </c>
      <c r="EE192" s="1605" t="s">
        <v>986</v>
      </c>
      <c r="EF192" s="1605" t="s">
        <v>986</v>
      </c>
      <c r="EG192" s="1605" t="s">
        <v>986</v>
      </c>
      <c r="EH192" s="1605" t="s">
        <v>986</v>
      </c>
      <c r="EI192" s="1605" t="s">
        <v>986</v>
      </c>
      <c r="EJ192" s="1605" t="s">
        <v>986</v>
      </c>
      <c r="EK192" s="1605" t="s">
        <v>986</v>
      </c>
      <c r="EL192" s="1605" t="s">
        <v>986</v>
      </c>
      <c r="EM192" s="1605" t="s">
        <v>986</v>
      </c>
      <c r="EN192" s="1605" t="s">
        <v>986</v>
      </c>
      <c r="EO192" s="1605" t="s">
        <v>986</v>
      </c>
      <c r="EP192" s="1605" t="s">
        <v>986</v>
      </c>
      <c r="EQ192" s="1605" t="s">
        <v>986</v>
      </c>
      <c r="ER192" s="1605" t="s">
        <v>986</v>
      </c>
      <c r="ES192" s="1605" t="s">
        <v>986</v>
      </c>
      <c r="ET192" s="1605" t="s">
        <v>986</v>
      </c>
      <c r="EU192" s="1605" t="s">
        <v>986</v>
      </c>
      <c r="EV192" s="1605" t="s">
        <v>986</v>
      </c>
      <c r="EW192" s="1605" t="s">
        <v>986</v>
      </c>
      <c r="EX192" s="1605" t="s">
        <v>986</v>
      </c>
      <c r="EY192" s="1605" t="s">
        <v>986</v>
      </c>
      <c r="EZ192" s="1605" t="s">
        <v>986</v>
      </c>
      <c r="FA192" s="1605" t="s">
        <v>986</v>
      </c>
      <c r="FB192" s="1605" t="s">
        <v>986</v>
      </c>
      <c r="FC192" s="1605" t="s">
        <v>986</v>
      </c>
      <c r="FD192" s="1605" t="s">
        <v>986</v>
      </c>
      <c r="FE192" s="1605" t="s">
        <v>986</v>
      </c>
      <c r="FF192" s="1605" t="s">
        <v>986</v>
      </c>
      <c r="FG192" s="1605" t="s">
        <v>986</v>
      </c>
      <c r="FH192" s="1605" t="s">
        <v>986</v>
      </c>
      <c r="FI192" s="1605" t="s">
        <v>986</v>
      </c>
      <c r="FJ192" s="1605" t="s">
        <v>986</v>
      </c>
      <c r="FK192" s="1605" t="s">
        <v>986</v>
      </c>
      <c r="FL192" s="1605" t="s">
        <v>986</v>
      </c>
      <c r="FM192" s="1605" t="s">
        <v>986</v>
      </c>
      <c r="FN192" s="1605" t="s">
        <v>986</v>
      </c>
      <c r="FO192" s="1605" t="s">
        <v>986</v>
      </c>
      <c r="FP192" s="1605" t="s">
        <v>986</v>
      </c>
      <c r="FQ192" s="1605" t="s">
        <v>986</v>
      </c>
      <c r="FR192" s="1605" t="s">
        <v>986</v>
      </c>
      <c r="FS192" s="1605" t="s">
        <v>986</v>
      </c>
      <c r="FT192" s="1605" t="s">
        <v>986</v>
      </c>
      <c r="FU192" s="1605" t="s">
        <v>986</v>
      </c>
      <c r="FV192" s="1605" t="s">
        <v>986</v>
      </c>
      <c r="FW192" s="1605" t="s">
        <v>986</v>
      </c>
      <c r="FX192" s="1605" t="s">
        <v>986</v>
      </c>
      <c r="FY192" s="1605" t="s">
        <v>986</v>
      </c>
      <c r="FZ192" s="1605" t="s">
        <v>986</v>
      </c>
      <c r="GA192" s="1605" t="s">
        <v>986</v>
      </c>
      <c r="GB192" s="1605" t="s">
        <v>986</v>
      </c>
      <c r="GC192" s="1605" t="s">
        <v>986</v>
      </c>
      <c r="GD192" s="1605" t="s">
        <v>986</v>
      </c>
      <c r="GE192" s="1605" t="s">
        <v>986</v>
      </c>
      <c r="GF192" s="1605" t="s">
        <v>986</v>
      </c>
      <c r="GG192" s="1605" t="s">
        <v>986</v>
      </c>
      <c r="GH192" s="1605" t="s">
        <v>986</v>
      </c>
      <c r="GI192" s="1605" t="s">
        <v>986</v>
      </c>
      <c r="GJ192" s="1605" t="s">
        <v>986</v>
      </c>
      <c r="GK192" s="1605" t="s">
        <v>986</v>
      </c>
      <c r="GL192" s="1605" t="s">
        <v>986</v>
      </c>
      <c r="GM192" s="1605" t="s">
        <v>986</v>
      </c>
      <c r="GN192" s="1605" t="s">
        <v>986</v>
      </c>
      <c r="GO192" s="1605" t="s">
        <v>986</v>
      </c>
      <c r="GP192" s="1605" t="s">
        <v>986</v>
      </c>
      <c r="GQ192" s="1605" t="s">
        <v>986</v>
      </c>
      <c r="GR192" s="1605" t="s">
        <v>986</v>
      </c>
      <c r="GS192" s="1605" t="s">
        <v>986</v>
      </c>
      <c r="GT192" s="1605" t="s">
        <v>986</v>
      </c>
      <c r="GU192" s="1605" t="s">
        <v>986</v>
      </c>
      <c r="GV192" s="1605" t="s">
        <v>986</v>
      </c>
      <c r="GW192" s="1605" t="s">
        <v>986</v>
      </c>
      <c r="GX192" s="1605" t="s">
        <v>986</v>
      </c>
      <c r="GY192" s="1605" t="s">
        <v>986</v>
      </c>
      <c r="GZ192" s="1605" t="s">
        <v>986</v>
      </c>
      <c r="HA192" s="1605" t="s">
        <v>986</v>
      </c>
      <c r="HB192" s="1605" t="s">
        <v>986</v>
      </c>
      <c r="HC192" s="1605" t="s">
        <v>986</v>
      </c>
      <c r="HD192" s="1605" t="s">
        <v>986</v>
      </c>
      <c r="HE192" s="1605" t="s">
        <v>986</v>
      </c>
      <c r="HF192" s="1605" t="s">
        <v>986</v>
      </c>
      <c r="HG192" s="1605" t="s">
        <v>986</v>
      </c>
      <c r="HH192" s="1605" t="s">
        <v>986</v>
      </c>
      <c r="HI192" s="1605" t="s">
        <v>986</v>
      </c>
      <c r="HJ192" s="1605" t="s">
        <v>986</v>
      </c>
      <c r="HK192" s="1605" t="s">
        <v>986</v>
      </c>
      <c r="HL192" s="1605" t="s">
        <v>986</v>
      </c>
      <c r="HM192" s="1605" t="s">
        <v>986</v>
      </c>
      <c r="HN192" s="1605" t="s">
        <v>986</v>
      </c>
      <c r="HO192" s="1605" t="s">
        <v>986</v>
      </c>
      <c r="HP192" s="1605" t="s">
        <v>986</v>
      </c>
      <c r="HQ192" s="1605" t="s">
        <v>986</v>
      </c>
      <c r="HR192" s="1605" t="s">
        <v>986</v>
      </c>
      <c r="HS192" s="1605" t="s">
        <v>986</v>
      </c>
      <c r="HT192" s="1605" t="s">
        <v>986</v>
      </c>
      <c r="HU192" s="1605" t="s">
        <v>986</v>
      </c>
      <c r="HV192" s="1617"/>
      <c r="HW192" s="1617" t="s">
        <v>3286</v>
      </c>
      <c r="HX192" s="1617">
        <v>0</v>
      </c>
      <c r="HY192" s="1617">
        <v>0</v>
      </c>
      <c r="HZ192" s="1603"/>
      <c r="IA192" s="1603"/>
      <c r="IB192" s="1603"/>
      <c r="IC192" s="1603" t="s">
        <v>270</v>
      </c>
      <c r="ID192" s="1603" t="s">
        <v>270</v>
      </c>
      <c r="IE192" s="1603" t="s">
        <v>270</v>
      </c>
      <c r="IF192" s="1603" t="s">
        <v>270</v>
      </c>
      <c r="IG192" s="1611" t="s">
        <v>270</v>
      </c>
      <c r="IH192" s="1616" t="s">
        <v>270</v>
      </c>
      <c r="II192" s="1615" t="s">
        <v>270</v>
      </c>
      <c r="IJ192" s="1613">
        <v>8.1999999999999993</v>
      </c>
      <c r="IK192" s="1613">
        <v>8.1999999999999993</v>
      </c>
      <c r="IL192" s="1614">
        <v>8.1999999999999993</v>
      </c>
      <c r="IM192" s="1614">
        <v>8.1999999999999993</v>
      </c>
      <c r="IN192" s="1612">
        <v>8.1999999999999993</v>
      </c>
      <c r="IO192" s="1613">
        <v>0</v>
      </c>
      <c r="IP192" s="1607" t="s">
        <v>270</v>
      </c>
      <c r="IQ192" s="1612" t="s">
        <v>270</v>
      </c>
      <c r="IR192" s="1612" t="s">
        <v>270</v>
      </c>
      <c r="IS192" s="1607" t="s">
        <v>270</v>
      </c>
      <c r="IT192" s="1607" t="s">
        <v>270</v>
      </c>
      <c r="IU192" s="1611" t="s">
        <v>270</v>
      </c>
      <c r="IV192" s="1611" t="s">
        <v>270</v>
      </c>
      <c r="IW192" s="1611" t="s">
        <v>270</v>
      </c>
      <c r="IX192" s="1611" t="s">
        <v>270</v>
      </c>
      <c r="IY192" s="1611" t="s">
        <v>270</v>
      </c>
      <c r="IZ192" s="1611" t="s">
        <v>270</v>
      </c>
      <c r="JA192" s="1611" t="s">
        <v>270</v>
      </c>
      <c r="JB192" s="1611" t="s">
        <v>270</v>
      </c>
      <c r="JC192" s="1611" t="s">
        <v>270</v>
      </c>
      <c r="JD192" s="1611" t="s">
        <v>270</v>
      </c>
      <c r="JE192" s="1611" t="s">
        <v>270</v>
      </c>
      <c r="JF192" s="1611" t="s">
        <v>270</v>
      </c>
      <c r="JG192" s="1611" t="s">
        <v>270</v>
      </c>
      <c r="JH192" s="1611" t="s">
        <v>270</v>
      </c>
      <c r="JI192" s="1611" t="s">
        <v>270</v>
      </c>
      <c r="JJ192" s="1611" t="s">
        <v>270</v>
      </c>
      <c r="JK192" s="1607" t="str">
        <f t="shared" si="11"/>
        <v/>
      </c>
      <c r="JL192" s="1608" t="s">
        <v>2946</v>
      </c>
      <c r="JM192" s="1610" t="s">
        <v>2945</v>
      </c>
      <c r="JN192" s="1608" t="s">
        <v>270</v>
      </c>
      <c r="JO192" s="1609" t="s">
        <v>270</v>
      </c>
      <c r="JP192" s="1608">
        <v>8.1999999999999993</v>
      </c>
      <c r="JQ192" s="1607" t="s">
        <v>270</v>
      </c>
      <c r="JR192" s="1606" t="s">
        <v>270</v>
      </c>
      <c r="JS192" s="1606" t="s">
        <v>270</v>
      </c>
      <c r="JT192" s="1606" t="s">
        <v>270</v>
      </c>
    </row>
    <row r="193" spans="1:280" ht="15" customHeight="1" x14ac:dyDescent="0.2">
      <c r="A193" s="1626">
        <v>94500</v>
      </c>
      <c r="B193" s="1625">
        <v>945</v>
      </c>
      <c r="C193" s="1624">
        <v>0</v>
      </c>
      <c r="D193" s="1623" t="s">
        <v>3285</v>
      </c>
      <c r="E193" s="1622">
        <v>43031</v>
      </c>
      <c r="F193" s="1620">
        <v>1.26829250368181</v>
      </c>
      <c r="G193" s="1620">
        <v>1.21558424378854</v>
      </c>
      <c r="H193" s="1621">
        <v>100</v>
      </c>
      <c r="I193" s="1621">
        <v>100</v>
      </c>
      <c r="J193" s="1621">
        <v>100</v>
      </c>
      <c r="K193" s="1620">
        <v>1</v>
      </c>
      <c r="L193" s="1620">
        <v>80</v>
      </c>
      <c r="M193" s="1620">
        <v>8.0808080808080797E-5</v>
      </c>
      <c r="N193" s="1620">
        <v>0</v>
      </c>
      <c r="O193" s="1620">
        <v>0</v>
      </c>
      <c r="P193" s="1620">
        <v>0</v>
      </c>
      <c r="Q193" s="1603"/>
      <c r="R193" s="1620">
        <v>0</v>
      </c>
      <c r="S193" s="1620">
        <v>0</v>
      </c>
      <c r="T193" s="1620">
        <v>0</v>
      </c>
      <c r="U193" s="1620">
        <v>0</v>
      </c>
      <c r="V193" s="1620">
        <v>0</v>
      </c>
      <c r="W193" s="1620">
        <v>0</v>
      </c>
      <c r="X193" s="1620"/>
      <c r="Y193" s="1620">
        <v>0</v>
      </c>
      <c r="Z193" s="1620">
        <v>0</v>
      </c>
      <c r="AA193" s="1620">
        <v>0</v>
      </c>
      <c r="AB193" s="1620">
        <v>0</v>
      </c>
      <c r="AC193" s="1620">
        <v>0</v>
      </c>
      <c r="AD193" s="1620">
        <v>0</v>
      </c>
      <c r="AE193" s="1620">
        <v>0</v>
      </c>
      <c r="AF193" s="1620">
        <v>0</v>
      </c>
      <c r="AG193" s="1620">
        <v>0</v>
      </c>
      <c r="AH193" s="1620">
        <v>0</v>
      </c>
      <c r="AI193" s="1620">
        <v>0</v>
      </c>
      <c r="AJ193" s="1620">
        <v>0</v>
      </c>
      <c r="AK193" s="1620">
        <v>0</v>
      </c>
      <c r="AL193" s="1620"/>
      <c r="AM193" s="1620">
        <v>0</v>
      </c>
      <c r="AN193" s="1620">
        <v>0</v>
      </c>
      <c r="AO193" s="1620">
        <v>0</v>
      </c>
      <c r="AP193" s="1620">
        <v>0</v>
      </c>
      <c r="AQ193" s="1620">
        <v>0</v>
      </c>
      <c r="AR193" s="1620">
        <v>0</v>
      </c>
      <c r="AS193" s="1620">
        <v>0</v>
      </c>
      <c r="AT193" s="1620">
        <v>0</v>
      </c>
      <c r="AU193" s="1620">
        <v>0</v>
      </c>
      <c r="AV193" s="1620">
        <v>0</v>
      </c>
      <c r="AW193" s="1620">
        <v>0</v>
      </c>
      <c r="AX193" s="1620"/>
      <c r="AY193" s="1620">
        <v>1</v>
      </c>
      <c r="AZ193" s="1620">
        <v>1</v>
      </c>
      <c r="BA193" s="1620">
        <v>1</v>
      </c>
      <c r="BB193" s="1620">
        <v>1</v>
      </c>
      <c r="BC193" s="1620">
        <v>1</v>
      </c>
      <c r="BD193" s="1620">
        <v>1</v>
      </c>
      <c r="BE193" s="1620">
        <v>1</v>
      </c>
      <c r="BF193" s="1620">
        <v>1</v>
      </c>
      <c r="BG193" s="1620">
        <v>1</v>
      </c>
      <c r="BH193" s="1620">
        <v>1</v>
      </c>
      <c r="BI193" s="1620">
        <v>1</v>
      </c>
      <c r="BJ193" s="1603"/>
      <c r="BK193" s="1620">
        <v>1.0101010101010098E-4</v>
      </c>
      <c r="BL193" s="1620">
        <v>0</v>
      </c>
      <c r="BM193" s="1620">
        <v>0</v>
      </c>
      <c r="BN193" s="1620">
        <v>0</v>
      </c>
      <c r="BO193" s="1620"/>
      <c r="BP193" s="1620">
        <v>0</v>
      </c>
      <c r="BQ193" s="1620">
        <v>0</v>
      </c>
      <c r="BR193" s="1620">
        <v>1.5853656296022627</v>
      </c>
      <c r="BS193" s="1620">
        <v>1.5194803047356751</v>
      </c>
      <c r="BT193" s="1603"/>
      <c r="BU193" s="1620">
        <v>1000</v>
      </c>
      <c r="BV193" s="1620">
        <v>999.99908080808132</v>
      </c>
      <c r="BW193" s="1620">
        <v>0</v>
      </c>
      <c r="BX193" s="1620" t="s">
        <v>270</v>
      </c>
      <c r="BY193" s="1620" t="s">
        <v>270</v>
      </c>
      <c r="BZ193" s="1620" t="s">
        <v>270</v>
      </c>
      <c r="CA193" s="1620" t="s">
        <v>270</v>
      </c>
      <c r="CB193" s="1603"/>
      <c r="CC193" s="1603">
        <v>0</v>
      </c>
      <c r="CD193" s="1603">
        <v>0</v>
      </c>
      <c r="CE193" s="1603">
        <v>0</v>
      </c>
      <c r="CF193" s="1603">
        <v>0</v>
      </c>
      <c r="CG193" s="1603">
        <v>0</v>
      </c>
      <c r="CH193" s="1603">
        <v>0</v>
      </c>
      <c r="CI193" s="1603">
        <v>0</v>
      </c>
      <c r="CJ193" s="1603"/>
      <c r="CK193" s="1603">
        <v>0</v>
      </c>
      <c r="CL193" s="1603">
        <v>0</v>
      </c>
      <c r="CM193" s="1603">
        <v>0</v>
      </c>
      <c r="CN193" s="1603">
        <v>0</v>
      </c>
      <c r="CO193" s="1603">
        <v>0</v>
      </c>
      <c r="CP193" s="1603">
        <v>0</v>
      </c>
      <c r="CQ193" s="1603">
        <v>0</v>
      </c>
      <c r="CR193" s="1603">
        <v>0</v>
      </c>
      <c r="CS193" s="1603">
        <v>0</v>
      </c>
      <c r="CT193" s="1603">
        <v>0</v>
      </c>
      <c r="CU193" s="1603">
        <v>0</v>
      </c>
      <c r="CV193" s="1603">
        <v>0</v>
      </c>
      <c r="CW193" s="1603">
        <v>0</v>
      </c>
      <c r="CX193" s="1603">
        <v>0</v>
      </c>
      <c r="CY193" s="1603">
        <v>0</v>
      </c>
      <c r="CZ193" s="1603">
        <v>0</v>
      </c>
      <c r="DA193" s="1603">
        <v>0</v>
      </c>
      <c r="DB193" s="1603">
        <v>0</v>
      </c>
      <c r="DC193" s="1603">
        <v>0</v>
      </c>
      <c r="DD193" s="1603">
        <v>0</v>
      </c>
      <c r="DE193" s="1603">
        <v>0</v>
      </c>
      <c r="DF193" s="1603">
        <v>0</v>
      </c>
      <c r="DG193" s="1603">
        <v>0</v>
      </c>
      <c r="DH193" s="1603">
        <v>0</v>
      </c>
      <c r="DI193" s="1603">
        <v>0</v>
      </c>
      <c r="DJ193" s="1603">
        <v>0</v>
      </c>
      <c r="DK193" s="1603">
        <v>0</v>
      </c>
      <c r="DL193" s="1603">
        <v>0</v>
      </c>
      <c r="DM193" s="1603">
        <v>0</v>
      </c>
      <c r="DN193" s="1603">
        <v>0</v>
      </c>
      <c r="DO193" s="1603">
        <v>0</v>
      </c>
      <c r="DP193" s="1603">
        <v>0</v>
      </c>
      <c r="DQ193" s="1603">
        <v>0</v>
      </c>
      <c r="DR193" s="1603">
        <v>0</v>
      </c>
      <c r="DS193" s="1603">
        <v>0</v>
      </c>
      <c r="DT193" s="1603">
        <v>0</v>
      </c>
      <c r="DU193" s="1603">
        <v>0</v>
      </c>
      <c r="DV193" s="1603">
        <v>0</v>
      </c>
      <c r="DW193" s="1618" t="s">
        <v>986</v>
      </c>
      <c r="DX193" s="1605" t="s">
        <v>986</v>
      </c>
      <c r="DY193" s="1605" t="s">
        <v>986</v>
      </c>
      <c r="DZ193" s="1605" t="s">
        <v>986</v>
      </c>
      <c r="EA193" s="1605" t="s">
        <v>986</v>
      </c>
      <c r="EB193" s="1605" t="s">
        <v>986</v>
      </c>
      <c r="EC193" s="1605" t="s">
        <v>986</v>
      </c>
      <c r="ED193" s="1605" t="s">
        <v>986</v>
      </c>
      <c r="EE193" s="1605" t="s">
        <v>986</v>
      </c>
      <c r="EF193" s="1605" t="s">
        <v>986</v>
      </c>
      <c r="EG193" s="1605" t="s">
        <v>986</v>
      </c>
      <c r="EH193" s="1605" t="s">
        <v>986</v>
      </c>
      <c r="EI193" s="1605" t="s">
        <v>986</v>
      </c>
      <c r="EJ193" s="1605" t="s">
        <v>986</v>
      </c>
      <c r="EK193" s="1605" t="s">
        <v>986</v>
      </c>
      <c r="EL193" s="1605" t="s">
        <v>986</v>
      </c>
      <c r="EM193" s="1605" t="s">
        <v>986</v>
      </c>
      <c r="EN193" s="1605" t="s">
        <v>986</v>
      </c>
      <c r="EO193" s="1605" t="s">
        <v>986</v>
      </c>
      <c r="EP193" s="1605" t="s">
        <v>986</v>
      </c>
      <c r="EQ193" s="1605" t="s">
        <v>986</v>
      </c>
      <c r="ER193" s="1605" t="s">
        <v>986</v>
      </c>
      <c r="ES193" s="1605" t="s">
        <v>986</v>
      </c>
      <c r="ET193" s="1605" t="s">
        <v>986</v>
      </c>
      <c r="EU193" s="1605" t="s">
        <v>986</v>
      </c>
      <c r="EV193" s="1605" t="s">
        <v>986</v>
      </c>
      <c r="EW193" s="1605" t="s">
        <v>986</v>
      </c>
      <c r="EX193" s="1605" t="s">
        <v>986</v>
      </c>
      <c r="EY193" s="1605" t="s">
        <v>986</v>
      </c>
      <c r="EZ193" s="1605" t="s">
        <v>986</v>
      </c>
      <c r="FA193" s="1605" t="s">
        <v>986</v>
      </c>
      <c r="FB193" s="1605" t="s">
        <v>986</v>
      </c>
      <c r="FC193" s="1605" t="s">
        <v>986</v>
      </c>
      <c r="FD193" s="1605" t="s">
        <v>986</v>
      </c>
      <c r="FE193" s="1605" t="s">
        <v>986</v>
      </c>
      <c r="FF193" s="1605" t="s">
        <v>986</v>
      </c>
      <c r="FG193" s="1605" t="s">
        <v>986</v>
      </c>
      <c r="FH193" s="1605" t="s">
        <v>986</v>
      </c>
      <c r="FI193" s="1605" t="s">
        <v>986</v>
      </c>
      <c r="FJ193" s="1605" t="s">
        <v>986</v>
      </c>
      <c r="FK193" s="1605" t="s">
        <v>986</v>
      </c>
      <c r="FL193" s="1605" t="s">
        <v>986</v>
      </c>
      <c r="FM193" s="1605" t="s">
        <v>986</v>
      </c>
      <c r="FN193" s="1605" t="s">
        <v>986</v>
      </c>
      <c r="FO193" s="1605" t="s">
        <v>986</v>
      </c>
      <c r="FP193" s="1605" t="s">
        <v>986</v>
      </c>
      <c r="FQ193" s="1605" t="s">
        <v>986</v>
      </c>
      <c r="FR193" s="1605" t="s">
        <v>986</v>
      </c>
      <c r="FS193" s="1605" t="s">
        <v>986</v>
      </c>
      <c r="FT193" s="1605" t="s">
        <v>986</v>
      </c>
      <c r="FU193" s="1605" t="s">
        <v>986</v>
      </c>
      <c r="FV193" s="1605" t="s">
        <v>986</v>
      </c>
      <c r="FW193" s="1605" t="s">
        <v>986</v>
      </c>
      <c r="FX193" s="1605" t="s">
        <v>986</v>
      </c>
      <c r="FY193" s="1605" t="s">
        <v>986</v>
      </c>
      <c r="FZ193" s="1605" t="s">
        <v>986</v>
      </c>
      <c r="GA193" s="1605" t="s">
        <v>986</v>
      </c>
      <c r="GB193" s="1605" t="s">
        <v>986</v>
      </c>
      <c r="GC193" s="1605" t="s">
        <v>986</v>
      </c>
      <c r="GD193" s="1605" t="s">
        <v>986</v>
      </c>
      <c r="GE193" s="1605" t="s">
        <v>986</v>
      </c>
      <c r="GF193" s="1605" t="s">
        <v>986</v>
      </c>
      <c r="GG193" s="1605" t="s">
        <v>986</v>
      </c>
      <c r="GH193" s="1605" t="s">
        <v>986</v>
      </c>
      <c r="GI193" s="1605" t="s">
        <v>986</v>
      </c>
      <c r="GJ193" s="1605" t="s">
        <v>986</v>
      </c>
      <c r="GK193" s="1605" t="s">
        <v>986</v>
      </c>
      <c r="GL193" s="1605" t="s">
        <v>986</v>
      </c>
      <c r="GM193" s="1605" t="s">
        <v>986</v>
      </c>
      <c r="GN193" s="1605" t="s">
        <v>986</v>
      </c>
      <c r="GO193" s="1605" t="s">
        <v>986</v>
      </c>
      <c r="GP193" s="1605" t="s">
        <v>986</v>
      </c>
      <c r="GQ193" s="1605" t="s">
        <v>986</v>
      </c>
      <c r="GR193" s="1605" t="s">
        <v>986</v>
      </c>
      <c r="GS193" s="1605" t="s">
        <v>986</v>
      </c>
      <c r="GT193" s="1605" t="s">
        <v>986</v>
      </c>
      <c r="GU193" s="1605" t="s">
        <v>986</v>
      </c>
      <c r="GV193" s="1605" t="s">
        <v>986</v>
      </c>
      <c r="GW193" s="1605" t="s">
        <v>986</v>
      </c>
      <c r="GX193" s="1605" t="s">
        <v>986</v>
      </c>
      <c r="GY193" s="1605" t="s">
        <v>986</v>
      </c>
      <c r="GZ193" s="1605" t="s">
        <v>986</v>
      </c>
      <c r="HA193" s="1605" t="s">
        <v>986</v>
      </c>
      <c r="HB193" s="1605" t="s">
        <v>986</v>
      </c>
      <c r="HC193" s="1605" t="s">
        <v>986</v>
      </c>
      <c r="HD193" s="1605" t="s">
        <v>986</v>
      </c>
      <c r="HE193" s="1605" t="s">
        <v>986</v>
      </c>
      <c r="HF193" s="1605" t="s">
        <v>986</v>
      </c>
      <c r="HG193" s="1605" t="s">
        <v>986</v>
      </c>
      <c r="HH193" s="1605" t="s">
        <v>986</v>
      </c>
      <c r="HI193" s="1605" t="s">
        <v>986</v>
      </c>
      <c r="HJ193" s="1605" t="s">
        <v>986</v>
      </c>
      <c r="HK193" s="1605" t="s">
        <v>986</v>
      </c>
      <c r="HL193" s="1605" t="s">
        <v>986</v>
      </c>
      <c r="HM193" s="1605" t="s">
        <v>986</v>
      </c>
      <c r="HN193" s="1605" t="s">
        <v>986</v>
      </c>
      <c r="HO193" s="1605" t="s">
        <v>986</v>
      </c>
      <c r="HP193" s="1605" t="s">
        <v>986</v>
      </c>
      <c r="HQ193" s="1605" t="s">
        <v>986</v>
      </c>
      <c r="HR193" s="1605" t="s">
        <v>986</v>
      </c>
      <c r="HS193" s="1605" t="s">
        <v>986</v>
      </c>
      <c r="HT193" s="1605" t="s">
        <v>986</v>
      </c>
      <c r="HU193" s="1605" t="s">
        <v>986</v>
      </c>
      <c r="HV193" s="1617"/>
      <c r="HW193" s="1617">
        <v>0</v>
      </c>
      <c r="HX193" s="1617">
        <v>0</v>
      </c>
      <c r="HY193" s="1617">
        <v>0</v>
      </c>
      <c r="HZ193" s="1603"/>
      <c r="IA193" s="1603"/>
      <c r="IB193" s="1603"/>
      <c r="IC193" s="1603">
        <v>0</v>
      </c>
      <c r="ID193" s="1603">
        <v>0</v>
      </c>
      <c r="IE193" s="1603">
        <v>0</v>
      </c>
      <c r="IF193" s="1603">
        <v>0</v>
      </c>
      <c r="IG193" s="1611" t="s">
        <v>2932</v>
      </c>
      <c r="IH193" s="1616" t="s">
        <v>270</v>
      </c>
      <c r="II193" s="1615" t="s">
        <v>270</v>
      </c>
      <c r="IJ193" s="1613">
        <v>1.3101818181818183</v>
      </c>
      <c r="IK193" s="1613">
        <v>1.301848484848485</v>
      </c>
      <c r="IL193" s="1614">
        <v>1.3101818181818183</v>
      </c>
      <c r="IM193" s="1614">
        <v>1.301848484848485</v>
      </c>
      <c r="IN193" s="1612" t="s">
        <v>270</v>
      </c>
      <c r="IO193" s="1613" t="s">
        <v>270</v>
      </c>
      <c r="IP193" s="1607" t="s">
        <v>270</v>
      </c>
      <c r="IQ193" s="1612" t="s">
        <v>270</v>
      </c>
      <c r="IR193" s="1612" t="s">
        <v>270</v>
      </c>
      <c r="IS193" s="1607">
        <v>1.1881818181818182</v>
      </c>
      <c r="IT193" s="1607">
        <v>1.1798484848484849</v>
      </c>
      <c r="IU193" s="1611">
        <v>0</v>
      </c>
      <c r="IV193" s="1611">
        <v>7.7767676767676763E-2</v>
      </c>
      <c r="IW193" s="1611">
        <v>9.0909090909090909E-4</v>
      </c>
      <c r="IX193" s="1611">
        <v>1.6060606060606061E-3</v>
      </c>
      <c r="IY193" s="1611">
        <v>9.6969696969696957E-4</v>
      </c>
      <c r="IZ193" s="1611">
        <v>5.9898989898989896E-3</v>
      </c>
      <c r="JA193" s="1611">
        <v>6.0606060606060598E-5</v>
      </c>
      <c r="JB193" s="1611" t="s">
        <v>270</v>
      </c>
      <c r="JC193" s="1611">
        <v>9.9026969696969704</v>
      </c>
      <c r="JD193" s="1611">
        <v>5.2121212121212122E-3</v>
      </c>
      <c r="JE193" s="1611" t="s">
        <v>270</v>
      </c>
      <c r="JF193" s="1611">
        <v>8.2828282828282835E-4</v>
      </c>
      <c r="JG193" s="1611">
        <v>0.57978787878787885</v>
      </c>
      <c r="JH193" s="1611">
        <v>7.646464646464647E-3</v>
      </c>
      <c r="JI193" s="1611">
        <v>0.3</v>
      </c>
      <c r="JJ193" s="1611" t="s">
        <v>270</v>
      </c>
      <c r="JK193" s="1607">
        <f t="shared" si="11"/>
        <v>0.12200000000000011</v>
      </c>
      <c r="JL193" s="1608" t="s">
        <v>270</v>
      </c>
      <c r="JM193" s="1610" t="s">
        <v>2924</v>
      </c>
      <c r="JN193" s="1608">
        <v>8.3333333333333037E-3</v>
      </c>
      <c r="JO193" s="1609" t="s">
        <v>2931</v>
      </c>
      <c r="JP193" s="1608" t="s">
        <v>270</v>
      </c>
      <c r="JQ193" s="1607">
        <v>202103</v>
      </c>
      <c r="JR193" s="1606">
        <v>851</v>
      </c>
      <c r="JS193" s="1606">
        <v>774</v>
      </c>
      <c r="JT193" s="1606">
        <v>774</v>
      </c>
    </row>
    <row r="194" spans="1:280" ht="15" customHeight="1" x14ac:dyDescent="0.2">
      <c r="A194" s="1626">
        <v>46600</v>
      </c>
      <c r="B194" s="1625">
        <v>466</v>
      </c>
      <c r="C194" s="1624">
        <v>0</v>
      </c>
      <c r="D194" s="1623" t="s">
        <v>3284</v>
      </c>
      <c r="E194" s="1622">
        <v>43025</v>
      </c>
      <c r="F194" s="1620">
        <v>-0.108130081300813</v>
      </c>
      <c r="G194" s="1620">
        <v>-0.103636363636364</v>
      </c>
      <c r="H194" s="1621">
        <v>70</v>
      </c>
      <c r="I194" s="1621">
        <v>70</v>
      </c>
      <c r="J194" s="1621">
        <v>0</v>
      </c>
      <c r="K194" s="1620">
        <v>1</v>
      </c>
      <c r="L194" s="1620">
        <v>95</v>
      </c>
      <c r="M194" s="1620">
        <v>0</v>
      </c>
      <c r="N194" s="1620">
        <v>0</v>
      </c>
      <c r="O194" s="1620">
        <v>95</v>
      </c>
      <c r="P194" s="1620">
        <v>0</v>
      </c>
      <c r="Q194" s="1603"/>
      <c r="R194" s="1620">
        <v>0</v>
      </c>
      <c r="S194" s="1620">
        <v>0</v>
      </c>
      <c r="T194" s="1620">
        <v>0</v>
      </c>
      <c r="U194" s="1620">
        <v>0</v>
      </c>
      <c r="V194" s="1620">
        <v>0</v>
      </c>
      <c r="W194" s="1620">
        <v>0</v>
      </c>
      <c r="X194" s="1620"/>
      <c r="Y194" s="1620">
        <v>0</v>
      </c>
      <c r="Z194" s="1620">
        <v>0</v>
      </c>
      <c r="AA194" s="1620">
        <v>284.21053000000001</v>
      </c>
      <c r="AB194" s="1620">
        <v>0</v>
      </c>
      <c r="AC194" s="1620">
        <v>0</v>
      </c>
      <c r="AD194" s="1620">
        <v>0</v>
      </c>
      <c r="AE194" s="1620">
        <v>0</v>
      </c>
      <c r="AF194" s="1620">
        <v>0</v>
      </c>
      <c r="AG194" s="1620">
        <v>0</v>
      </c>
      <c r="AH194" s="1620">
        <v>0</v>
      </c>
      <c r="AI194" s="1620">
        <v>0</v>
      </c>
      <c r="AJ194" s="1620">
        <v>0</v>
      </c>
      <c r="AK194" s="1620">
        <v>0</v>
      </c>
      <c r="AL194" s="1620"/>
      <c r="AM194" s="1620">
        <v>0</v>
      </c>
      <c r="AN194" s="1620">
        <v>0</v>
      </c>
      <c r="AO194" s="1620">
        <v>0</v>
      </c>
      <c r="AP194" s="1620">
        <v>0</v>
      </c>
      <c r="AQ194" s="1620">
        <v>0</v>
      </c>
      <c r="AR194" s="1620">
        <v>0</v>
      </c>
      <c r="AS194" s="1620">
        <v>0</v>
      </c>
      <c r="AT194" s="1620">
        <v>0</v>
      </c>
      <c r="AU194" s="1620">
        <v>0</v>
      </c>
      <c r="AV194" s="1620">
        <v>0</v>
      </c>
      <c r="AW194" s="1620">
        <v>0</v>
      </c>
      <c r="AX194" s="1620"/>
      <c r="AY194" s="1620">
        <v>1</v>
      </c>
      <c r="AZ194" s="1620">
        <v>1</v>
      </c>
      <c r="BA194" s="1620">
        <v>1</v>
      </c>
      <c r="BB194" s="1620">
        <v>1</v>
      </c>
      <c r="BC194" s="1620">
        <v>1</v>
      </c>
      <c r="BD194" s="1620">
        <v>1</v>
      </c>
      <c r="BE194" s="1620">
        <v>1</v>
      </c>
      <c r="BF194" s="1620">
        <v>1</v>
      </c>
      <c r="BG194" s="1620">
        <v>1</v>
      </c>
      <c r="BH194" s="1620">
        <v>1</v>
      </c>
      <c r="BI194" s="1620">
        <v>1</v>
      </c>
      <c r="BJ194" s="1603"/>
      <c r="BK194" s="1620">
        <v>0</v>
      </c>
      <c r="BL194" s="1620">
        <v>0</v>
      </c>
      <c r="BM194" s="1620">
        <v>100</v>
      </c>
      <c r="BN194" s="1620">
        <v>0</v>
      </c>
      <c r="BO194" s="1620"/>
      <c r="BP194" s="1620">
        <v>0</v>
      </c>
      <c r="BQ194" s="1620">
        <v>0</v>
      </c>
      <c r="BR194" s="1620">
        <v>-0.11382113821138211</v>
      </c>
      <c r="BS194" s="1620">
        <v>-0.10909090909090947</v>
      </c>
      <c r="BT194" s="1603"/>
      <c r="BU194" s="1620">
        <v>0</v>
      </c>
      <c r="BV194" s="1620">
        <v>0</v>
      </c>
      <c r="BW194" s="1620">
        <v>0</v>
      </c>
      <c r="BX194" s="1620" t="s">
        <v>270</v>
      </c>
      <c r="BY194" s="1620" t="s">
        <v>270</v>
      </c>
      <c r="BZ194" s="1620" t="s">
        <v>270</v>
      </c>
      <c r="CA194" s="1620" t="s">
        <v>270</v>
      </c>
      <c r="CB194" s="1603"/>
      <c r="CC194" s="1603">
        <v>0</v>
      </c>
      <c r="CD194" s="1603">
        <v>0</v>
      </c>
      <c r="CE194" s="1603">
        <v>270.00000349999999</v>
      </c>
      <c r="CF194" s="1603">
        <v>0</v>
      </c>
      <c r="CG194" s="1603">
        <v>0</v>
      </c>
      <c r="CH194" s="1603">
        <v>0</v>
      </c>
      <c r="CI194" s="1603">
        <v>0</v>
      </c>
      <c r="CJ194" s="1603"/>
      <c r="CK194" s="1603">
        <v>0</v>
      </c>
      <c r="CL194" s="1603">
        <v>0</v>
      </c>
      <c r="CM194" s="1603">
        <v>0</v>
      </c>
      <c r="CN194" s="1603">
        <v>0</v>
      </c>
      <c r="CO194" s="1603">
        <v>0</v>
      </c>
      <c r="CP194" s="1603">
        <v>0</v>
      </c>
      <c r="CQ194" s="1603">
        <v>0</v>
      </c>
      <c r="CR194" s="1603">
        <v>0</v>
      </c>
      <c r="CS194" s="1603">
        <v>0</v>
      </c>
      <c r="CT194" s="1603">
        <v>0</v>
      </c>
      <c r="CU194" s="1603">
        <v>0</v>
      </c>
      <c r="CV194" s="1603">
        <v>0</v>
      </c>
      <c r="CW194" s="1603">
        <v>0</v>
      </c>
      <c r="CX194" s="1603">
        <v>0</v>
      </c>
      <c r="CY194" s="1603">
        <v>0</v>
      </c>
      <c r="CZ194" s="1603">
        <v>0</v>
      </c>
      <c r="DA194" s="1603">
        <v>0</v>
      </c>
      <c r="DB194" s="1603">
        <v>0</v>
      </c>
      <c r="DC194" s="1603">
        <v>0</v>
      </c>
      <c r="DD194" s="1603">
        <v>0</v>
      </c>
      <c r="DE194" s="1603">
        <v>0</v>
      </c>
      <c r="DF194" s="1603">
        <v>0</v>
      </c>
      <c r="DG194" s="1603">
        <v>0</v>
      </c>
      <c r="DH194" s="1603">
        <v>0</v>
      </c>
      <c r="DI194" s="1603">
        <v>0</v>
      </c>
      <c r="DJ194" s="1603">
        <v>0</v>
      </c>
      <c r="DK194" s="1603">
        <v>0</v>
      </c>
      <c r="DL194" s="1603">
        <v>0</v>
      </c>
      <c r="DM194" s="1603">
        <v>0</v>
      </c>
      <c r="DN194" s="1603">
        <v>0</v>
      </c>
      <c r="DO194" s="1603">
        <v>0</v>
      </c>
      <c r="DP194" s="1603">
        <v>0</v>
      </c>
      <c r="DQ194" s="1603">
        <v>0</v>
      </c>
      <c r="DR194" s="1603">
        <v>0</v>
      </c>
      <c r="DS194" s="1603">
        <v>0</v>
      </c>
      <c r="DT194" s="1603">
        <v>0</v>
      </c>
      <c r="DU194" s="1603">
        <v>0</v>
      </c>
      <c r="DV194" s="1603">
        <v>0</v>
      </c>
      <c r="DW194" s="1618" t="s">
        <v>3283</v>
      </c>
      <c r="DX194" s="1605" t="s">
        <v>986</v>
      </c>
      <c r="DY194" s="1605" t="s">
        <v>986</v>
      </c>
      <c r="DZ194" s="1605" t="s">
        <v>986</v>
      </c>
      <c r="EA194" s="1605" t="s">
        <v>986</v>
      </c>
      <c r="EB194" s="1605" t="s">
        <v>986</v>
      </c>
      <c r="EC194" s="1605" t="s">
        <v>986</v>
      </c>
      <c r="ED194" s="1605" t="s">
        <v>986</v>
      </c>
      <c r="EE194" s="1605" t="s">
        <v>986</v>
      </c>
      <c r="EF194" s="1605" t="s">
        <v>986</v>
      </c>
      <c r="EG194" s="1605" t="s">
        <v>986</v>
      </c>
      <c r="EH194" s="1605" t="s">
        <v>986</v>
      </c>
      <c r="EI194" s="1605" t="s">
        <v>986</v>
      </c>
      <c r="EJ194" s="1605" t="s">
        <v>986</v>
      </c>
      <c r="EK194" s="1605" t="s">
        <v>986</v>
      </c>
      <c r="EL194" s="1605" t="s">
        <v>986</v>
      </c>
      <c r="EM194" s="1605" t="s">
        <v>986</v>
      </c>
      <c r="EN194" s="1605" t="s">
        <v>986</v>
      </c>
      <c r="EO194" s="1605" t="s">
        <v>986</v>
      </c>
      <c r="EP194" s="1605" t="s">
        <v>986</v>
      </c>
      <c r="EQ194" s="1605" t="s">
        <v>986</v>
      </c>
      <c r="ER194" s="1605" t="s">
        <v>986</v>
      </c>
      <c r="ES194" s="1605" t="s">
        <v>986</v>
      </c>
      <c r="ET194" s="1605" t="s">
        <v>986</v>
      </c>
      <c r="EU194" s="1605" t="s">
        <v>986</v>
      </c>
      <c r="EV194" s="1605" t="s">
        <v>986</v>
      </c>
      <c r="EW194" s="1605" t="s">
        <v>986</v>
      </c>
      <c r="EX194" s="1605" t="s">
        <v>986</v>
      </c>
      <c r="EY194" s="1605" t="s">
        <v>986</v>
      </c>
      <c r="EZ194" s="1605" t="s">
        <v>986</v>
      </c>
      <c r="FA194" s="1605" t="s">
        <v>986</v>
      </c>
      <c r="FB194" s="1605" t="s">
        <v>986</v>
      </c>
      <c r="FC194" s="1605" t="s">
        <v>986</v>
      </c>
      <c r="FD194" s="1605" t="s">
        <v>986</v>
      </c>
      <c r="FE194" s="1605" t="s">
        <v>986</v>
      </c>
      <c r="FF194" s="1605" t="s">
        <v>986</v>
      </c>
      <c r="FG194" s="1605" t="s">
        <v>986</v>
      </c>
      <c r="FH194" s="1605" t="s">
        <v>986</v>
      </c>
      <c r="FI194" s="1605" t="s">
        <v>986</v>
      </c>
      <c r="FJ194" s="1605" t="s">
        <v>986</v>
      </c>
      <c r="FK194" s="1605" t="s">
        <v>986</v>
      </c>
      <c r="FL194" s="1605" t="s">
        <v>986</v>
      </c>
      <c r="FM194" s="1605" t="s">
        <v>986</v>
      </c>
      <c r="FN194" s="1605" t="s">
        <v>986</v>
      </c>
      <c r="FO194" s="1605" t="s">
        <v>986</v>
      </c>
      <c r="FP194" s="1605" t="s">
        <v>986</v>
      </c>
      <c r="FQ194" s="1605" t="s">
        <v>986</v>
      </c>
      <c r="FR194" s="1605" t="s">
        <v>986</v>
      </c>
      <c r="FS194" s="1605" t="s">
        <v>986</v>
      </c>
      <c r="FT194" s="1605" t="s">
        <v>986</v>
      </c>
      <c r="FU194" s="1605" t="s">
        <v>986</v>
      </c>
      <c r="FV194" s="1605" t="s">
        <v>986</v>
      </c>
      <c r="FW194" s="1605" t="s">
        <v>986</v>
      </c>
      <c r="FX194" s="1605" t="s">
        <v>986</v>
      </c>
      <c r="FY194" s="1605" t="s">
        <v>986</v>
      </c>
      <c r="FZ194" s="1605" t="s">
        <v>986</v>
      </c>
      <c r="GA194" s="1605" t="s">
        <v>986</v>
      </c>
      <c r="GB194" s="1605" t="s">
        <v>986</v>
      </c>
      <c r="GC194" s="1605" t="s">
        <v>986</v>
      </c>
      <c r="GD194" s="1605" t="s">
        <v>986</v>
      </c>
      <c r="GE194" s="1605" t="s">
        <v>986</v>
      </c>
      <c r="GF194" s="1605" t="s">
        <v>986</v>
      </c>
      <c r="GG194" s="1605" t="s">
        <v>986</v>
      </c>
      <c r="GH194" s="1605" t="s">
        <v>986</v>
      </c>
      <c r="GI194" s="1605" t="s">
        <v>986</v>
      </c>
      <c r="GJ194" s="1605" t="s">
        <v>986</v>
      </c>
      <c r="GK194" s="1605" t="s">
        <v>986</v>
      </c>
      <c r="GL194" s="1605" t="s">
        <v>986</v>
      </c>
      <c r="GM194" s="1605" t="s">
        <v>986</v>
      </c>
      <c r="GN194" s="1605" t="s">
        <v>986</v>
      </c>
      <c r="GO194" s="1605" t="s">
        <v>986</v>
      </c>
      <c r="GP194" s="1605" t="s">
        <v>986</v>
      </c>
      <c r="GQ194" s="1605" t="s">
        <v>986</v>
      </c>
      <c r="GR194" s="1605" t="s">
        <v>986</v>
      </c>
      <c r="GS194" s="1605" t="s">
        <v>986</v>
      </c>
      <c r="GT194" s="1605" t="s">
        <v>986</v>
      </c>
      <c r="GU194" s="1605" t="s">
        <v>986</v>
      </c>
      <c r="GV194" s="1605" t="s">
        <v>986</v>
      </c>
      <c r="GW194" s="1605" t="s">
        <v>986</v>
      </c>
      <c r="GX194" s="1605" t="s">
        <v>986</v>
      </c>
      <c r="GY194" s="1605" t="s">
        <v>986</v>
      </c>
      <c r="GZ194" s="1605" t="s">
        <v>986</v>
      </c>
      <c r="HA194" s="1605" t="s">
        <v>986</v>
      </c>
      <c r="HB194" s="1605" t="s">
        <v>986</v>
      </c>
      <c r="HC194" s="1605" t="s">
        <v>986</v>
      </c>
      <c r="HD194" s="1605" t="s">
        <v>986</v>
      </c>
      <c r="HE194" s="1605" t="s">
        <v>986</v>
      </c>
      <c r="HF194" s="1605" t="s">
        <v>986</v>
      </c>
      <c r="HG194" s="1605" t="s">
        <v>986</v>
      </c>
      <c r="HH194" s="1605" t="s">
        <v>986</v>
      </c>
      <c r="HI194" s="1605" t="s">
        <v>986</v>
      </c>
      <c r="HJ194" s="1605" t="s">
        <v>986</v>
      </c>
      <c r="HK194" s="1605" t="s">
        <v>986</v>
      </c>
      <c r="HL194" s="1605" t="s">
        <v>986</v>
      </c>
      <c r="HM194" s="1605" t="s">
        <v>986</v>
      </c>
      <c r="HN194" s="1605" t="s">
        <v>986</v>
      </c>
      <c r="HO194" s="1605" t="s">
        <v>986</v>
      </c>
      <c r="HP194" s="1605" t="s">
        <v>986</v>
      </c>
      <c r="HQ194" s="1605" t="s">
        <v>986</v>
      </c>
      <c r="HR194" s="1605" t="s">
        <v>986</v>
      </c>
      <c r="HS194" s="1605" t="s">
        <v>986</v>
      </c>
      <c r="HT194" s="1605" t="s">
        <v>986</v>
      </c>
      <c r="HU194" s="1605" t="s">
        <v>986</v>
      </c>
      <c r="HV194" s="1617"/>
      <c r="HW194" s="1617">
        <v>0</v>
      </c>
      <c r="HX194" s="1617">
        <v>0</v>
      </c>
      <c r="HY194" s="1617">
        <v>0</v>
      </c>
      <c r="HZ194" s="1603"/>
      <c r="IA194" s="1603"/>
      <c r="IB194" s="1603"/>
      <c r="IC194" s="1603">
        <v>0</v>
      </c>
      <c r="ID194" s="1603">
        <v>0</v>
      </c>
      <c r="IE194" s="1603">
        <v>0</v>
      </c>
      <c r="IF194" s="1603">
        <v>0</v>
      </c>
      <c r="IG194" s="1611" t="s">
        <v>2932</v>
      </c>
      <c r="IH194" s="1616" t="s">
        <v>3282</v>
      </c>
      <c r="II194" s="1615" t="s">
        <v>3281</v>
      </c>
      <c r="IJ194" s="1613">
        <v>1.3101818181818183</v>
      </c>
      <c r="IK194" s="1613">
        <v>1.301848484848485</v>
      </c>
      <c r="IL194" s="1614">
        <v>1.3101818181818183</v>
      </c>
      <c r="IM194" s="1614">
        <v>1.301848484848485</v>
      </c>
      <c r="IN194" s="1612">
        <v>0.2</v>
      </c>
      <c r="IO194" s="1613">
        <v>-1.1101818181818184</v>
      </c>
      <c r="IP194" s="1607" t="s">
        <v>270</v>
      </c>
      <c r="IQ194" s="1612">
        <v>0</v>
      </c>
      <c r="IR194" s="1612">
        <v>0</v>
      </c>
      <c r="IS194" s="1607">
        <v>1.1881818181818182</v>
      </c>
      <c r="IT194" s="1607">
        <v>1.1798484848484849</v>
      </c>
      <c r="IU194" s="1611">
        <v>0</v>
      </c>
      <c r="IV194" s="1611">
        <v>7.7767676767676763E-2</v>
      </c>
      <c r="IW194" s="1611">
        <v>9.0909090909090909E-4</v>
      </c>
      <c r="IX194" s="1611">
        <v>1.6060606060606061E-3</v>
      </c>
      <c r="IY194" s="1611">
        <v>9.6969696969696957E-4</v>
      </c>
      <c r="IZ194" s="1611">
        <v>5.9898989898989896E-3</v>
      </c>
      <c r="JA194" s="1611">
        <v>6.0606060606060598E-5</v>
      </c>
      <c r="JB194" s="1611" t="s">
        <v>270</v>
      </c>
      <c r="JC194" s="1611">
        <v>9.9026969696969704</v>
      </c>
      <c r="JD194" s="1611">
        <v>5.2121212121212122E-3</v>
      </c>
      <c r="JE194" s="1611" t="s">
        <v>270</v>
      </c>
      <c r="JF194" s="1611">
        <v>8.2828282828282835E-4</v>
      </c>
      <c r="JG194" s="1611">
        <v>0.57978787878787885</v>
      </c>
      <c r="JH194" s="1611">
        <v>7.646464646464647E-3</v>
      </c>
      <c r="JI194" s="1611">
        <v>0.3</v>
      </c>
      <c r="JJ194" s="1611" t="s">
        <v>270</v>
      </c>
      <c r="JK194" s="1607">
        <f t="shared" si="11"/>
        <v>0.12200000000000011</v>
      </c>
      <c r="JL194" s="1608" t="s">
        <v>270</v>
      </c>
      <c r="JM194" s="1610" t="s">
        <v>2924</v>
      </c>
      <c r="JN194" s="1608">
        <v>8.3333333333333037E-3</v>
      </c>
      <c r="JO194" s="1609" t="s">
        <v>2931</v>
      </c>
      <c r="JP194" s="1608" t="s">
        <v>270</v>
      </c>
      <c r="JQ194" s="1607">
        <v>202103</v>
      </c>
      <c r="JR194" s="1606">
        <v>851</v>
      </c>
      <c r="JS194" s="1606">
        <v>774</v>
      </c>
      <c r="JT194" s="1606">
        <v>774</v>
      </c>
    </row>
    <row r="195" spans="1:280" ht="15" customHeight="1" x14ac:dyDescent="0.2">
      <c r="A195" s="1626">
        <v>46500</v>
      </c>
      <c r="B195" s="1625">
        <v>465</v>
      </c>
      <c r="C195" s="1624">
        <v>0</v>
      </c>
      <c r="D195" s="1623" t="s">
        <v>3280</v>
      </c>
      <c r="E195" s="1622">
        <v>43025</v>
      </c>
      <c r="F195" s="1620">
        <v>-0.112682926829268</v>
      </c>
      <c r="G195" s="1620">
        <v>-0.108</v>
      </c>
      <c r="H195" s="1621">
        <v>70</v>
      </c>
      <c r="I195" s="1621">
        <v>70</v>
      </c>
      <c r="J195" s="1621">
        <v>0</v>
      </c>
      <c r="K195" s="1620">
        <v>1</v>
      </c>
      <c r="L195" s="1620">
        <v>99</v>
      </c>
      <c r="M195" s="1620">
        <v>0</v>
      </c>
      <c r="N195" s="1620">
        <v>0</v>
      </c>
      <c r="O195" s="1620">
        <v>99</v>
      </c>
      <c r="P195" s="1620">
        <v>0</v>
      </c>
      <c r="Q195" s="1603"/>
      <c r="R195" s="1620">
        <v>0</v>
      </c>
      <c r="S195" s="1620">
        <v>0</v>
      </c>
      <c r="T195" s="1620">
        <v>0</v>
      </c>
      <c r="U195" s="1620">
        <v>0</v>
      </c>
      <c r="V195" s="1620">
        <v>0</v>
      </c>
      <c r="W195" s="1620">
        <v>0</v>
      </c>
      <c r="X195" s="1620"/>
      <c r="Y195" s="1620">
        <v>0</v>
      </c>
      <c r="Z195" s="1620">
        <v>0</v>
      </c>
      <c r="AA195" s="1620">
        <v>383.83838000000105</v>
      </c>
      <c r="AB195" s="1620">
        <v>626.26262999999994</v>
      </c>
      <c r="AC195" s="1620">
        <v>0</v>
      </c>
      <c r="AD195" s="1620">
        <v>0</v>
      </c>
      <c r="AE195" s="1620">
        <v>0</v>
      </c>
      <c r="AF195" s="1620">
        <v>0</v>
      </c>
      <c r="AG195" s="1620">
        <v>0</v>
      </c>
      <c r="AH195" s="1620">
        <v>0</v>
      </c>
      <c r="AI195" s="1620">
        <v>0</v>
      </c>
      <c r="AJ195" s="1620">
        <v>0</v>
      </c>
      <c r="AK195" s="1620">
        <v>0</v>
      </c>
      <c r="AL195" s="1620"/>
      <c r="AM195" s="1620">
        <v>0</v>
      </c>
      <c r="AN195" s="1620">
        <v>0</v>
      </c>
      <c r="AO195" s="1620">
        <v>0</v>
      </c>
      <c r="AP195" s="1620">
        <v>0</v>
      </c>
      <c r="AQ195" s="1620">
        <v>0</v>
      </c>
      <c r="AR195" s="1620">
        <v>0</v>
      </c>
      <c r="AS195" s="1620">
        <v>0</v>
      </c>
      <c r="AT195" s="1620">
        <v>0</v>
      </c>
      <c r="AU195" s="1620">
        <v>0</v>
      </c>
      <c r="AV195" s="1620">
        <v>0</v>
      </c>
      <c r="AW195" s="1620">
        <v>0</v>
      </c>
      <c r="AX195" s="1620"/>
      <c r="AY195" s="1620">
        <v>1</v>
      </c>
      <c r="AZ195" s="1620">
        <v>1</v>
      </c>
      <c r="BA195" s="1620">
        <v>1</v>
      </c>
      <c r="BB195" s="1620">
        <v>1</v>
      </c>
      <c r="BC195" s="1620">
        <v>1</v>
      </c>
      <c r="BD195" s="1620">
        <v>1</v>
      </c>
      <c r="BE195" s="1620">
        <v>1</v>
      </c>
      <c r="BF195" s="1620">
        <v>1</v>
      </c>
      <c r="BG195" s="1620">
        <v>1</v>
      </c>
      <c r="BH195" s="1620">
        <v>1</v>
      </c>
      <c r="BI195" s="1620">
        <v>1</v>
      </c>
      <c r="BJ195" s="1603"/>
      <c r="BK195" s="1620">
        <v>0</v>
      </c>
      <c r="BL195" s="1620">
        <v>0</v>
      </c>
      <c r="BM195" s="1620">
        <v>100</v>
      </c>
      <c r="BN195" s="1620">
        <v>0</v>
      </c>
      <c r="BO195" s="1620"/>
      <c r="BP195" s="1620">
        <v>0</v>
      </c>
      <c r="BQ195" s="1620">
        <v>0</v>
      </c>
      <c r="BR195" s="1620">
        <v>-0.11382113821138182</v>
      </c>
      <c r="BS195" s="1620">
        <v>-0.1090909090909091</v>
      </c>
      <c r="BT195" s="1603"/>
      <c r="BU195" s="1620">
        <v>0</v>
      </c>
      <c r="BV195" s="1620">
        <v>0</v>
      </c>
      <c r="BW195" s="1620">
        <v>0</v>
      </c>
      <c r="BX195" s="1620" t="s">
        <v>270</v>
      </c>
      <c r="BY195" s="1620" t="s">
        <v>270</v>
      </c>
      <c r="BZ195" s="1620" t="s">
        <v>270</v>
      </c>
      <c r="CA195" s="1620" t="s">
        <v>270</v>
      </c>
      <c r="CB195" s="1603"/>
      <c r="CC195" s="1603">
        <v>0</v>
      </c>
      <c r="CD195" s="1603">
        <v>0</v>
      </c>
      <c r="CE195" s="1603">
        <v>379.99999620000102</v>
      </c>
      <c r="CF195" s="1603">
        <v>620.00000369999998</v>
      </c>
      <c r="CG195" s="1603">
        <v>0</v>
      </c>
      <c r="CH195" s="1603">
        <v>0</v>
      </c>
      <c r="CI195" s="1603">
        <v>0</v>
      </c>
      <c r="CJ195" s="1603"/>
      <c r="CK195" s="1603">
        <v>0</v>
      </c>
      <c r="CL195" s="1603">
        <v>0</v>
      </c>
      <c r="CM195" s="1603">
        <v>0</v>
      </c>
      <c r="CN195" s="1603">
        <v>0</v>
      </c>
      <c r="CO195" s="1603">
        <v>0</v>
      </c>
      <c r="CP195" s="1603">
        <v>0</v>
      </c>
      <c r="CQ195" s="1603">
        <v>0</v>
      </c>
      <c r="CR195" s="1603">
        <v>0</v>
      </c>
      <c r="CS195" s="1603">
        <v>0</v>
      </c>
      <c r="CT195" s="1603">
        <v>0</v>
      </c>
      <c r="CU195" s="1603">
        <v>0</v>
      </c>
      <c r="CV195" s="1603">
        <v>0</v>
      </c>
      <c r="CW195" s="1603">
        <v>0</v>
      </c>
      <c r="CX195" s="1603">
        <v>0</v>
      </c>
      <c r="CY195" s="1603">
        <v>0</v>
      </c>
      <c r="CZ195" s="1603">
        <v>0</v>
      </c>
      <c r="DA195" s="1603">
        <v>0</v>
      </c>
      <c r="DB195" s="1603">
        <v>0</v>
      </c>
      <c r="DC195" s="1603">
        <v>0</v>
      </c>
      <c r="DD195" s="1603">
        <v>0</v>
      </c>
      <c r="DE195" s="1603">
        <v>0</v>
      </c>
      <c r="DF195" s="1603">
        <v>0</v>
      </c>
      <c r="DG195" s="1603">
        <v>0</v>
      </c>
      <c r="DH195" s="1603">
        <v>0</v>
      </c>
      <c r="DI195" s="1603">
        <v>0</v>
      </c>
      <c r="DJ195" s="1603">
        <v>0</v>
      </c>
      <c r="DK195" s="1603">
        <v>0</v>
      </c>
      <c r="DL195" s="1603">
        <v>0</v>
      </c>
      <c r="DM195" s="1603">
        <v>0</v>
      </c>
      <c r="DN195" s="1603">
        <v>0</v>
      </c>
      <c r="DO195" s="1603">
        <v>0</v>
      </c>
      <c r="DP195" s="1603">
        <v>0</v>
      </c>
      <c r="DQ195" s="1603">
        <v>0</v>
      </c>
      <c r="DR195" s="1603">
        <v>0</v>
      </c>
      <c r="DS195" s="1603">
        <v>0</v>
      </c>
      <c r="DT195" s="1603">
        <v>0</v>
      </c>
      <c r="DU195" s="1603">
        <v>0</v>
      </c>
      <c r="DV195" s="1603">
        <v>0</v>
      </c>
      <c r="DW195" s="1618" t="s">
        <v>3279</v>
      </c>
      <c r="DX195" s="1605" t="s">
        <v>986</v>
      </c>
      <c r="DY195" s="1605" t="s">
        <v>986</v>
      </c>
      <c r="DZ195" s="1605" t="s">
        <v>986</v>
      </c>
      <c r="EA195" s="1605" t="s">
        <v>986</v>
      </c>
      <c r="EB195" s="1605" t="s">
        <v>986</v>
      </c>
      <c r="EC195" s="1605" t="s">
        <v>986</v>
      </c>
      <c r="ED195" s="1605" t="s">
        <v>986</v>
      </c>
      <c r="EE195" s="1605" t="s">
        <v>986</v>
      </c>
      <c r="EF195" s="1605" t="s">
        <v>986</v>
      </c>
      <c r="EG195" s="1605" t="s">
        <v>986</v>
      </c>
      <c r="EH195" s="1605" t="s">
        <v>986</v>
      </c>
      <c r="EI195" s="1605" t="s">
        <v>986</v>
      </c>
      <c r="EJ195" s="1605" t="s">
        <v>986</v>
      </c>
      <c r="EK195" s="1605" t="s">
        <v>986</v>
      </c>
      <c r="EL195" s="1605" t="s">
        <v>986</v>
      </c>
      <c r="EM195" s="1605" t="s">
        <v>986</v>
      </c>
      <c r="EN195" s="1605" t="s">
        <v>986</v>
      </c>
      <c r="EO195" s="1605" t="s">
        <v>986</v>
      </c>
      <c r="EP195" s="1605" t="s">
        <v>986</v>
      </c>
      <c r="EQ195" s="1605" t="s">
        <v>986</v>
      </c>
      <c r="ER195" s="1605" t="s">
        <v>986</v>
      </c>
      <c r="ES195" s="1605" t="s">
        <v>986</v>
      </c>
      <c r="ET195" s="1605" t="s">
        <v>986</v>
      </c>
      <c r="EU195" s="1605" t="s">
        <v>986</v>
      </c>
      <c r="EV195" s="1605" t="s">
        <v>986</v>
      </c>
      <c r="EW195" s="1605" t="s">
        <v>986</v>
      </c>
      <c r="EX195" s="1605" t="s">
        <v>986</v>
      </c>
      <c r="EY195" s="1605" t="s">
        <v>986</v>
      </c>
      <c r="EZ195" s="1605" t="s">
        <v>986</v>
      </c>
      <c r="FA195" s="1605" t="s">
        <v>986</v>
      </c>
      <c r="FB195" s="1605" t="s">
        <v>986</v>
      </c>
      <c r="FC195" s="1605" t="s">
        <v>986</v>
      </c>
      <c r="FD195" s="1605" t="s">
        <v>986</v>
      </c>
      <c r="FE195" s="1605" t="s">
        <v>986</v>
      </c>
      <c r="FF195" s="1605" t="s">
        <v>986</v>
      </c>
      <c r="FG195" s="1605" t="s">
        <v>986</v>
      </c>
      <c r="FH195" s="1605" t="s">
        <v>986</v>
      </c>
      <c r="FI195" s="1605" t="s">
        <v>986</v>
      </c>
      <c r="FJ195" s="1605" t="s">
        <v>986</v>
      </c>
      <c r="FK195" s="1605" t="s">
        <v>986</v>
      </c>
      <c r="FL195" s="1605" t="s">
        <v>986</v>
      </c>
      <c r="FM195" s="1605" t="s">
        <v>986</v>
      </c>
      <c r="FN195" s="1605" t="s">
        <v>986</v>
      </c>
      <c r="FO195" s="1605" t="s">
        <v>986</v>
      </c>
      <c r="FP195" s="1605" t="s">
        <v>986</v>
      </c>
      <c r="FQ195" s="1605" t="s">
        <v>986</v>
      </c>
      <c r="FR195" s="1605" t="s">
        <v>986</v>
      </c>
      <c r="FS195" s="1605" t="s">
        <v>986</v>
      </c>
      <c r="FT195" s="1605" t="s">
        <v>986</v>
      </c>
      <c r="FU195" s="1605" t="s">
        <v>986</v>
      </c>
      <c r="FV195" s="1605" t="s">
        <v>986</v>
      </c>
      <c r="FW195" s="1605" t="s">
        <v>986</v>
      </c>
      <c r="FX195" s="1605" t="s">
        <v>986</v>
      </c>
      <c r="FY195" s="1605" t="s">
        <v>986</v>
      </c>
      <c r="FZ195" s="1605" t="s">
        <v>986</v>
      </c>
      <c r="GA195" s="1605" t="s">
        <v>986</v>
      </c>
      <c r="GB195" s="1605" t="s">
        <v>986</v>
      </c>
      <c r="GC195" s="1605" t="s">
        <v>986</v>
      </c>
      <c r="GD195" s="1605" t="s">
        <v>986</v>
      </c>
      <c r="GE195" s="1605" t="s">
        <v>986</v>
      </c>
      <c r="GF195" s="1605" t="s">
        <v>986</v>
      </c>
      <c r="GG195" s="1605" t="s">
        <v>986</v>
      </c>
      <c r="GH195" s="1605" t="s">
        <v>986</v>
      </c>
      <c r="GI195" s="1605" t="s">
        <v>986</v>
      </c>
      <c r="GJ195" s="1605" t="s">
        <v>986</v>
      </c>
      <c r="GK195" s="1605" t="s">
        <v>986</v>
      </c>
      <c r="GL195" s="1605" t="s">
        <v>986</v>
      </c>
      <c r="GM195" s="1605" t="s">
        <v>986</v>
      </c>
      <c r="GN195" s="1605" t="s">
        <v>986</v>
      </c>
      <c r="GO195" s="1605" t="s">
        <v>986</v>
      </c>
      <c r="GP195" s="1605" t="s">
        <v>986</v>
      </c>
      <c r="GQ195" s="1605" t="s">
        <v>986</v>
      </c>
      <c r="GR195" s="1605" t="s">
        <v>986</v>
      </c>
      <c r="GS195" s="1605" t="s">
        <v>986</v>
      </c>
      <c r="GT195" s="1605" t="s">
        <v>986</v>
      </c>
      <c r="GU195" s="1605" t="s">
        <v>986</v>
      </c>
      <c r="GV195" s="1605" t="s">
        <v>986</v>
      </c>
      <c r="GW195" s="1605" t="s">
        <v>986</v>
      </c>
      <c r="GX195" s="1605" t="s">
        <v>986</v>
      </c>
      <c r="GY195" s="1605" t="s">
        <v>986</v>
      </c>
      <c r="GZ195" s="1605" t="s">
        <v>986</v>
      </c>
      <c r="HA195" s="1605" t="s">
        <v>986</v>
      </c>
      <c r="HB195" s="1605" t="s">
        <v>986</v>
      </c>
      <c r="HC195" s="1605" t="s">
        <v>986</v>
      </c>
      <c r="HD195" s="1605" t="s">
        <v>986</v>
      </c>
      <c r="HE195" s="1605" t="s">
        <v>986</v>
      </c>
      <c r="HF195" s="1605" t="s">
        <v>986</v>
      </c>
      <c r="HG195" s="1605" t="s">
        <v>986</v>
      </c>
      <c r="HH195" s="1605" t="s">
        <v>986</v>
      </c>
      <c r="HI195" s="1605" t="s">
        <v>986</v>
      </c>
      <c r="HJ195" s="1605" t="s">
        <v>986</v>
      </c>
      <c r="HK195" s="1605" t="s">
        <v>986</v>
      </c>
      <c r="HL195" s="1605" t="s">
        <v>986</v>
      </c>
      <c r="HM195" s="1605" t="s">
        <v>986</v>
      </c>
      <c r="HN195" s="1605" t="s">
        <v>986</v>
      </c>
      <c r="HO195" s="1605" t="s">
        <v>986</v>
      </c>
      <c r="HP195" s="1605" t="s">
        <v>986</v>
      </c>
      <c r="HQ195" s="1605" t="s">
        <v>986</v>
      </c>
      <c r="HR195" s="1605" t="s">
        <v>986</v>
      </c>
      <c r="HS195" s="1605" t="s">
        <v>986</v>
      </c>
      <c r="HT195" s="1605" t="s">
        <v>986</v>
      </c>
      <c r="HU195" s="1605" t="s">
        <v>986</v>
      </c>
      <c r="HV195" s="1617"/>
      <c r="HW195" s="1617" t="s">
        <v>3278</v>
      </c>
      <c r="HX195" s="1617">
        <v>0</v>
      </c>
      <c r="HY195" s="1617">
        <v>0</v>
      </c>
      <c r="HZ195" s="1603"/>
      <c r="IA195" s="1603"/>
      <c r="IB195" s="1603"/>
      <c r="IC195" s="1603">
        <v>0</v>
      </c>
      <c r="ID195" s="1603">
        <v>0</v>
      </c>
      <c r="IE195" s="1603">
        <v>0</v>
      </c>
      <c r="IF195" s="1603">
        <v>0</v>
      </c>
      <c r="IG195" s="1611" t="s">
        <v>2932</v>
      </c>
      <c r="IH195" s="1616" t="s">
        <v>3277</v>
      </c>
      <c r="II195" s="1615" t="s">
        <v>3276</v>
      </c>
      <c r="IJ195" s="1613">
        <v>1.3101818181818183</v>
      </c>
      <c r="IK195" s="1613">
        <v>1.301848484848485</v>
      </c>
      <c r="IL195" s="1614">
        <v>1.3101818181818183</v>
      </c>
      <c r="IM195" s="1614">
        <v>1.301848484848485</v>
      </c>
      <c r="IN195" s="1612">
        <v>0.16</v>
      </c>
      <c r="IO195" s="1613">
        <v>-1.1501818181818184</v>
      </c>
      <c r="IP195" s="1607" t="s">
        <v>270</v>
      </c>
      <c r="IQ195" s="1612">
        <v>0</v>
      </c>
      <c r="IR195" s="1612">
        <v>0</v>
      </c>
      <c r="IS195" s="1607">
        <v>1.1881818181818182</v>
      </c>
      <c r="IT195" s="1607">
        <v>1.1798484848484849</v>
      </c>
      <c r="IU195" s="1611">
        <v>0</v>
      </c>
      <c r="IV195" s="1611">
        <v>7.7767676767676763E-2</v>
      </c>
      <c r="IW195" s="1611">
        <v>9.0909090909090909E-4</v>
      </c>
      <c r="IX195" s="1611">
        <v>1.6060606060606061E-3</v>
      </c>
      <c r="IY195" s="1611">
        <v>9.6969696969696957E-4</v>
      </c>
      <c r="IZ195" s="1611">
        <v>5.9898989898989896E-3</v>
      </c>
      <c r="JA195" s="1611">
        <v>6.0606060606060598E-5</v>
      </c>
      <c r="JB195" s="1611" t="s">
        <v>270</v>
      </c>
      <c r="JC195" s="1611">
        <v>9.9026969696969704</v>
      </c>
      <c r="JD195" s="1611">
        <v>5.2121212121212122E-3</v>
      </c>
      <c r="JE195" s="1611" t="s">
        <v>270</v>
      </c>
      <c r="JF195" s="1611">
        <v>8.2828282828282835E-4</v>
      </c>
      <c r="JG195" s="1611">
        <v>0.57978787878787885</v>
      </c>
      <c r="JH195" s="1611">
        <v>7.646464646464647E-3</v>
      </c>
      <c r="JI195" s="1611">
        <v>0.3</v>
      </c>
      <c r="JJ195" s="1611" t="s">
        <v>270</v>
      </c>
      <c r="JK195" s="1607">
        <f t="shared" si="11"/>
        <v>0.12200000000000011</v>
      </c>
      <c r="JL195" s="1608" t="s">
        <v>270</v>
      </c>
      <c r="JM195" s="1610" t="s">
        <v>2924</v>
      </c>
      <c r="JN195" s="1608">
        <v>8.3333333333333037E-3</v>
      </c>
      <c r="JO195" s="1609" t="s">
        <v>2931</v>
      </c>
      <c r="JP195" s="1608" t="s">
        <v>270</v>
      </c>
      <c r="JQ195" s="1607">
        <v>202103</v>
      </c>
      <c r="JR195" s="1606">
        <v>851</v>
      </c>
      <c r="JS195" s="1606">
        <v>774</v>
      </c>
      <c r="JT195" s="1606">
        <v>774</v>
      </c>
    </row>
    <row r="196" spans="1:280" ht="15" customHeight="1" x14ac:dyDescent="0.2">
      <c r="A196" s="1626">
        <v>48700</v>
      </c>
      <c r="B196" s="1625">
        <v>487</v>
      </c>
      <c r="C196" s="1624">
        <v>0</v>
      </c>
      <c r="D196" s="1623" t="s">
        <v>3275</v>
      </c>
      <c r="E196" s="1622">
        <v>43025</v>
      </c>
      <c r="F196" s="1620">
        <v>-0.112682926829268</v>
      </c>
      <c r="G196" s="1620">
        <v>-0.108</v>
      </c>
      <c r="H196" s="1621">
        <v>70</v>
      </c>
      <c r="I196" s="1621">
        <v>70</v>
      </c>
      <c r="J196" s="1621">
        <v>0</v>
      </c>
      <c r="K196" s="1620">
        <v>1</v>
      </c>
      <c r="L196" s="1620">
        <v>99</v>
      </c>
      <c r="M196" s="1620">
        <v>0</v>
      </c>
      <c r="N196" s="1620">
        <v>0</v>
      </c>
      <c r="O196" s="1620">
        <v>99</v>
      </c>
      <c r="P196" s="1620">
        <v>0</v>
      </c>
      <c r="Q196" s="1603"/>
      <c r="R196" s="1620">
        <v>0</v>
      </c>
      <c r="S196" s="1620">
        <v>0</v>
      </c>
      <c r="T196" s="1620">
        <v>0</v>
      </c>
      <c r="U196" s="1620">
        <v>0</v>
      </c>
      <c r="V196" s="1620">
        <v>0</v>
      </c>
      <c r="W196" s="1620">
        <v>0</v>
      </c>
      <c r="X196" s="1620"/>
      <c r="Y196" s="1620">
        <v>0</v>
      </c>
      <c r="Z196" s="1620">
        <v>0</v>
      </c>
      <c r="AA196" s="1620">
        <v>2.6868686868686869</v>
      </c>
      <c r="AB196" s="1620">
        <v>0</v>
      </c>
      <c r="AC196" s="1620">
        <v>0</v>
      </c>
      <c r="AD196" s="1620">
        <v>0</v>
      </c>
      <c r="AE196" s="1620">
        <v>0</v>
      </c>
      <c r="AF196" s="1620">
        <v>0</v>
      </c>
      <c r="AG196" s="1620">
        <v>0</v>
      </c>
      <c r="AH196" s="1620">
        <v>0</v>
      </c>
      <c r="AI196" s="1620">
        <v>0</v>
      </c>
      <c r="AJ196" s="1620">
        <v>0</v>
      </c>
      <c r="AK196" s="1620">
        <v>4646.4646464646466</v>
      </c>
      <c r="AL196" s="1620"/>
      <c r="AM196" s="1620">
        <v>0</v>
      </c>
      <c r="AN196" s="1620">
        <v>0</v>
      </c>
      <c r="AO196" s="1620">
        <v>0</v>
      </c>
      <c r="AP196" s="1620">
        <v>0</v>
      </c>
      <c r="AQ196" s="1620">
        <v>0</v>
      </c>
      <c r="AR196" s="1620">
        <v>0</v>
      </c>
      <c r="AS196" s="1620">
        <v>0</v>
      </c>
      <c r="AT196" s="1620">
        <v>0</v>
      </c>
      <c r="AU196" s="1620">
        <v>0</v>
      </c>
      <c r="AV196" s="1620">
        <v>0</v>
      </c>
      <c r="AW196" s="1620">
        <v>0</v>
      </c>
      <c r="AX196" s="1620"/>
      <c r="AY196" s="1620">
        <v>1</v>
      </c>
      <c r="AZ196" s="1620">
        <v>1</v>
      </c>
      <c r="BA196" s="1620">
        <v>1</v>
      </c>
      <c r="BB196" s="1620">
        <v>1</v>
      </c>
      <c r="BC196" s="1620">
        <v>1</v>
      </c>
      <c r="BD196" s="1620">
        <v>1</v>
      </c>
      <c r="BE196" s="1620">
        <v>1</v>
      </c>
      <c r="BF196" s="1620">
        <v>1</v>
      </c>
      <c r="BG196" s="1620">
        <v>1</v>
      </c>
      <c r="BH196" s="1620">
        <v>1</v>
      </c>
      <c r="BI196" s="1620">
        <v>1</v>
      </c>
      <c r="BJ196" s="1603"/>
      <c r="BK196" s="1620">
        <v>0</v>
      </c>
      <c r="BL196" s="1620">
        <v>0</v>
      </c>
      <c r="BM196" s="1620">
        <v>100</v>
      </c>
      <c r="BN196" s="1620">
        <v>0</v>
      </c>
      <c r="BO196" s="1620"/>
      <c r="BP196" s="1620">
        <v>0</v>
      </c>
      <c r="BQ196" s="1620">
        <v>0</v>
      </c>
      <c r="BR196" s="1620">
        <v>-0.11382113821138182</v>
      </c>
      <c r="BS196" s="1620">
        <v>-0.1090909090909091</v>
      </c>
      <c r="BT196" s="1603"/>
      <c r="BU196" s="1620">
        <v>0</v>
      </c>
      <c r="BV196" s="1620">
        <v>0</v>
      </c>
      <c r="BW196" s="1620">
        <v>0</v>
      </c>
      <c r="BX196" s="1620" t="s">
        <v>270</v>
      </c>
      <c r="BY196" s="1620" t="s">
        <v>270</v>
      </c>
      <c r="BZ196" s="1620" t="s">
        <v>270</v>
      </c>
      <c r="CA196" s="1620" t="s">
        <v>270</v>
      </c>
      <c r="CB196" s="1603"/>
      <c r="CC196" s="1603">
        <v>0</v>
      </c>
      <c r="CD196" s="1603">
        <v>0</v>
      </c>
      <c r="CE196" s="1603">
        <v>2.66</v>
      </c>
      <c r="CF196" s="1603">
        <v>0</v>
      </c>
      <c r="CG196" s="1603">
        <v>0</v>
      </c>
      <c r="CH196" s="1603">
        <v>0</v>
      </c>
      <c r="CI196" s="1603">
        <v>0</v>
      </c>
      <c r="CJ196" s="1603"/>
      <c r="CK196" s="1603">
        <v>0</v>
      </c>
      <c r="CL196" s="1603">
        <v>0</v>
      </c>
      <c r="CM196" s="1603">
        <v>0</v>
      </c>
      <c r="CN196" s="1603">
        <v>0</v>
      </c>
      <c r="CO196" s="1603">
        <v>0</v>
      </c>
      <c r="CP196" s="1603">
        <v>4600</v>
      </c>
      <c r="CQ196" s="1603">
        <v>0</v>
      </c>
      <c r="CR196" s="1603">
        <v>0</v>
      </c>
      <c r="CS196" s="1603">
        <v>0</v>
      </c>
      <c r="CT196" s="1603">
        <v>0</v>
      </c>
      <c r="CU196" s="1603">
        <v>0</v>
      </c>
      <c r="CV196" s="1603">
        <v>0</v>
      </c>
      <c r="CW196" s="1603">
        <v>0</v>
      </c>
      <c r="CX196" s="1603">
        <v>0</v>
      </c>
      <c r="CY196" s="1603">
        <v>0</v>
      </c>
      <c r="CZ196" s="1603">
        <v>0</v>
      </c>
      <c r="DA196" s="1603">
        <v>0</v>
      </c>
      <c r="DB196" s="1603">
        <v>0</v>
      </c>
      <c r="DC196" s="1603">
        <v>0</v>
      </c>
      <c r="DD196" s="1603">
        <v>0</v>
      </c>
      <c r="DE196" s="1603">
        <v>0</v>
      </c>
      <c r="DF196" s="1603">
        <v>0</v>
      </c>
      <c r="DG196" s="1603">
        <v>0</v>
      </c>
      <c r="DH196" s="1603">
        <v>0</v>
      </c>
      <c r="DI196" s="1603">
        <v>0</v>
      </c>
      <c r="DJ196" s="1603">
        <v>0</v>
      </c>
      <c r="DK196" s="1603">
        <v>0</v>
      </c>
      <c r="DL196" s="1603">
        <v>0</v>
      </c>
      <c r="DM196" s="1603">
        <v>0</v>
      </c>
      <c r="DN196" s="1603">
        <v>0</v>
      </c>
      <c r="DO196" s="1603">
        <v>0</v>
      </c>
      <c r="DP196" s="1603">
        <v>0</v>
      </c>
      <c r="DQ196" s="1603">
        <v>0</v>
      </c>
      <c r="DR196" s="1603">
        <v>0</v>
      </c>
      <c r="DS196" s="1603">
        <v>0</v>
      </c>
      <c r="DT196" s="1603">
        <v>0</v>
      </c>
      <c r="DU196" s="1603">
        <v>0</v>
      </c>
      <c r="DV196" s="1603">
        <v>0</v>
      </c>
      <c r="DW196" s="1618" t="s">
        <v>986</v>
      </c>
      <c r="DX196" s="1605" t="s">
        <v>986</v>
      </c>
      <c r="DY196" s="1605" t="s">
        <v>986</v>
      </c>
      <c r="DZ196" s="1605" t="s">
        <v>986</v>
      </c>
      <c r="EA196" s="1605" t="s">
        <v>986</v>
      </c>
      <c r="EB196" s="1605" t="s">
        <v>986</v>
      </c>
      <c r="EC196" s="1605" t="s">
        <v>986</v>
      </c>
      <c r="ED196" s="1605" t="s">
        <v>986</v>
      </c>
      <c r="EE196" s="1605" t="s">
        <v>986</v>
      </c>
      <c r="EF196" s="1605" t="s">
        <v>986</v>
      </c>
      <c r="EG196" s="1605" t="s">
        <v>986</v>
      </c>
      <c r="EH196" s="1605" t="s">
        <v>986</v>
      </c>
      <c r="EI196" s="1605" t="s">
        <v>986</v>
      </c>
      <c r="EJ196" s="1605" t="s">
        <v>986</v>
      </c>
      <c r="EK196" s="1605" t="s">
        <v>986</v>
      </c>
      <c r="EL196" s="1605" t="s">
        <v>986</v>
      </c>
      <c r="EM196" s="1605" t="s">
        <v>986</v>
      </c>
      <c r="EN196" s="1605" t="s">
        <v>986</v>
      </c>
      <c r="EO196" s="1605" t="s">
        <v>986</v>
      </c>
      <c r="EP196" s="1605" t="s">
        <v>986</v>
      </c>
      <c r="EQ196" s="1605" t="s">
        <v>986</v>
      </c>
      <c r="ER196" s="1605" t="s">
        <v>986</v>
      </c>
      <c r="ES196" s="1605" t="s">
        <v>986</v>
      </c>
      <c r="ET196" s="1605" t="s">
        <v>986</v>
      </c>
      <c r="EU196" s="1605" t="s">
        <v>986</v>
      </c>
      <c r="EV196" s="1605" t="s">
        <v>986</v>
      </c>
      <c r="EW196" s="1605" t="s">
        <v>986</v>
      </c>
      <c r="EX196" s="1605" t="s">
        <v>986</v>
      </c>
      <c r="EY196" s="1605" t="s">
        <v>986</v>
      </c>
      <c r="EZ196" s="1605" t="s">
        <v>986</v>
      </c>
      <c r="FA196" s="1605" t="s">
        <v>986</v>
      </c>
      <c r="FB196" s="1605" t="s">
        <v>986</v>
      </c>
      <c r="FC196" s="1605" t="s">
        <v>986</v>
      </c>
      <c r="FD196" s="1605" t="s">
        <v>986</v>
      </c>
      <c r="FE196" s="1605" t="s">
        <v>986</v>
      </c>
      <c r="FF196" s="1605" t="s">
        <v>986</v>
      </c>
      <c r="FG196" s="1605" t="s">
        <v>986</v>
      </c>
      <c r="FH196" s="1605" t="s">
        <v>986</v>
      </c>
      <c r="FI196" s="1605" t="s">
        <v>986</v>
      </c>
      <c r="FJ196" s="1605" t="s">
        <v>986</v>
      </c>
      <c r="FK196" s="1605" t="s">
        <v>986</v>
      </c>
      <c r="FL196" s="1605" t="s">
        <v>986</v>
      </c>
      <c r="FM196" s="1605" t="s">
        <v>986</v>
      </c>
      <c r="FN196" s="1605" t="s">
        <v>986</v>
      </c>
      <c r="FO196" s="1605" t="s">
        <v>986</v>
      </c>
      <c r="FP196" s="1605" t="s">
        <v>986</v>
      </c>
      <c r="FQ196" s="1605" t="s">
        <v>986</v>
      </c>
      <c r="FR196" s="1605" t="s">
        <v>986</v>
      </c>
      <c r="FS196" s="1605" t="s">
        <v>986</v>
      </c>
      <c r="FT196" s="1605" t="s">
        <v>986</v>
      </c>
      <c r="FU196" s="1605" t="s">
        <v>986</v>
      </c>
      <c r="FV196" s="1605" t="s">
        <v>986</v>
      </c>
      <c r="FW196" s="1605" t="s">
        <v>986</v>
      </c>
      <c r="FX196" s="1605" t="s">
        <v>986</v>
      </c>
      <c r="FY196" s="1605" t="s">
        <v>986</v>
      </c>
      <c r="FZ196" s="1605" t="s">
        <v>986</v>
      </c>
      <c r="GA196" s="1605" t="s">
        <v>986</v>
      </c>
      <c r="GB196" s="1605" t="s">
        <v>986</v>
      </c>
      <c r="GC196" s="1605" t="s">
        <v>986</v>
      </c>
      <c r="GD196" s="1605" t="s">
        <v>986</v>
      </c>
      <c r="GE196" s="1605" t="s">
        <v>986</v>
      </c>
      <c r="GF196" s="1605" t="s">
        <v>986</v>
      </c>
      <c r="GG196" s="1605" t="s">
        <v>986</v>
      </c>
      <c r="GH196" s="1605" t="s">
        <v>986</v>
      </c>
      <c r="GI196" s="1605" t="s">
        <v>986</v>
      </c>
      <c r="GJ196" s="1605" t="s">
        <v>986</v>
      </c>
      <c r="GK196" s="1605" t="s">
        <v>986</v>
      </c>
      <c r="GL196" s="1605" t="s">
        <v>986</v>
      </c>
      <c r="GM196" s="1605" t="s">
        <v>986</v>
      </c>
      <c r="GN196" s="1605" t="s">
        <v>986</v>
      </c>
      <c r="GO196" s="1605" t="s">
        <v>986</v>
      </c>
      <c r="GP196" s="1605" t="s">
        <v>986</v>
      </c>
      <c r="GQ196" s="1605" t="s">
        <v>986</v>
      </c>
      <c r="GR196" s="1605" t="s">
        <v>986</v>
      </c>
      <c r="GS196" s="1605" t="s">
        <v>986</v>
      </c>
      <c r="GT196" s="1605" t="s">
        <v>986</v>
      </c>
      <c r="GU196" s="1605" t="s">
        <v>986</v>
      </c>
      <c r="GV196" s="1605" t="s">
        <v>986</v>
      </c>
      <c r="GW196" s="1605" t="s">
        <v>986</v>
      </c>
      <c r="GX196" s="1605" t="s">
        <v>986</v>
      </c>
      <c r="GY196" s="1605" t="s">
        <v>986</v>
      </c>
      <c r="GZ196" s="1605" t="s">
        <v>986</v>
      </c>
      <c r="HA196" s="1605" t="s">
        <v>986</v>
      </c>
      <c r="HB196" s="1605" t="s">
        <v>986</v>
      </c>
      <c r="HC196" s="1605" t="s">
        <v>986</v>
      </c>
      <c r="HD196" s="1605" t="s">
        <v>986</v>
      </c>
      <c r="HE196" s="1605" t="s">
        <v>986</v>
      </c>
      <c r="HF196" s="1605" t="s">
        <v>986</v>
      </c>
      <c r="HG196" s="1605" t="s">
        <v>986</v>
      </c>
      <c r="HH196" s="1605" t="s">
        <v>986</v>
      </c>
      <c r="HI196" s="1605" t="s">
        <v>986</v>
      </c>
      <c r="HJ196" s="1605" t="s">
        <v>986</v>
      </c>
      <c r="HK196" s="1605" t="s">
        <v>986</v>
      </c>
      <c r="HL196" s="1605" t="s">
        <v>986</v>
      </c>
      <c r="HM196" s="1605" t="s">
        <v>986</v>
      </c>
      <c r="HN196" s="1605" t="s">
        <v>986</v>
      </c>
      <c r="HO196" s="1605" t="s">
        <v>986</v>
      </c>
      <c r="HP196" s="1605" t="s">
        <v>986</v>
      </c>
      <c r="HQ196" s="1605" t="s">
        <v>986</v>
      </c>
      <c r="HR196" s="1605" t="s">
        <v>986</v>
      </c>
      <c r="HS196" s="1605" t="s">
        <v>986</v>
      </c>
      <c r="HT196" s="1605" t="s">
        <v>986</v>
      </c>
      <c r="HU196" s="1605" t="s">
        <v>986</v>
      </c>
      <c r="HV196" s="1617"/>
      <c r="HW196" s="1617">
        <v>0</v>
      </c>
      <c r="HX196" s="1617">
        <v>0</v>
      </c>
      <c r="HY196" s="1617">
        <v>0</v>
      </c>
      <c r="HZ196" s="1603"/>
      <c r="IA196" s="1603"/>
      <c r="IB196" s="1603"/>
      <c r="IC196" s="1603">
        <v>0</v>
      </c>
      <c r="ID196" s="1603">
        <v>0</v>
      </c>
      <c r="IE196" s="1603">
        <v>0</v>
      </c>
      <c r="IF196" s="1603">
        <v>0</v>
      </c>
      <c r="IG196" s="1611" t="s">
        <v>2932</v>
      </c>
      <c r="IH196" s="1616" t="s">
        <v>270</v>
      </c>
      <c r="II196" s="1615" t="s">
        <v>270</v>
      </c>
      <c r="IJ196" s="1613">
        <v>1.3101818181818183</v>
      </c>
      <c r="IK196" s="1613">
        <v>1.301848484848485</v>
      </c>
      <c r="IL196" s="1614">
        <v>1.3101818181818183</v>
      </c>
      <c r="IM196" s="1614">
        <v>1.301848484848485</v>
      </c>
      <c r="IN196" s="1612" t="s">
        <v>270</v>
      </c>
      <c r="IO196" s="1613" t="s">
        <v>270</v>
      </c>
      <c r="IP196" s="1607" t="s">
        <v>270</v>
      </c>
      <c r="IQ196" s="1612" t="s">
        <v>270</v>
      </c>
      <c r="IR196" s="1612" t="s">
        <v>270</v>
      </c>
      <c r="IS196" s="1607">
        <v>1.1881818181818182</v>
      </c>
      <c r="IT196" s="1607">
        <v>1.1798484848484849</v>
      </c>
      <c r="IU196" s="1611">
        <v>0</v>
      </c>
      <c r="IV196" s="1611">
        <v>7.7767676767676763E-2</v>
      </c>
      <c r="IW196" s="1611">
        <v>9.0909090909090909E-4</v>
      </c>
      <c r="IX196" s="1611">
        <v>1.6060606060606061E-3</v>
      </c>
      <c r="IY196" s="1611">
        <v>9.6969696969696957E-4</v>
      </c>
      <c r="IZ196" s="1611">
        <v>5.9898989898989896E-3</v>
      </c>
      <c r="JA196" s="1611">
        <v>6.0606060606060598E-5</v>
      </c>
      <c r="JB196" s="1611" t="s">
        <v>270</v>
      </c>
      <c r="JC196" s="1611">
        <v>9.9026969696969704</v>
      </c>
      <c r="JD196" s="1611">
        <v>5.2121212121212122E-3</v>
      </c>
      <c r="JE196" s="1611" t="s">
        <v>270</v>
      </c>
      <c r="JF196" s="1611">
        <v>8.2828282828282835E-4</v>
      </c>
      <c r="JG196" s="1611">
        <v>0.57978787878787885</v>
      </c>
      <c r="JH196" s="1611">
        <v>7.646464646464647E-3</v>
      </c>
      <c r="JI196" s="1611">
        <v>0.3</v>
      </c>
      <c r="JJ196" s="1611" t="s">
        <v>270</v>
      </c>
      <c r="JK196" s="1607">
        <f t="shared" si="11"/>
        <v>0.12200000000000011</v>
      </c>
      <c r="JL196" s="1608" t="s">
        <v>270</v>
      </c>
      <c r="JM196" s="1610" t="s">
        <v>2924</v>
      </c>
      <c r="JN196" s="1608">
        <v>8.3333333333333037E-3</v>
      </c>
      <c r="JO196" s="1609" t="s">
        <v>2931</v>
      </c>
      <c r="JP196" s="1608" t="s">
        <v>270</v>
      </c>
      <c r="JQ196" s="1607">
        <v>202103</v>
      </c>
      <c r="JR196" s="1606">
        <v>851</v>
      </c>
      <c r="JS196" s="1606">
        <v>774</v>
      </c>
      <c r="JT196" s="1606">
        <v>774</v>
      </c>
    </row>
    <row r="197" spans="1:280" ht="15" customHeight="1" x14ac:dyDescent="0.2">
      <c r="A197" s="1626">
        <v>95010</v>
      </c>
      <c r="B197" s="1625">
        <v>950</v>
      </c>
      <c r="C197" s="1624">
        <v>10</v>
      </c>
      <c r="D197" s="1623" t="s">
        <v>3274</v>
      </c>
      <c r="E197" s="1622">
        <v>43031</v>
      </c>
      <c r="F197" s="1620">
        <v>1.45860433604336</v>
      </c>
      <c r="G197" s="1620">
        <v>1.39798701298702</v>
      </c>
      <c r="H197" s="1621">
        <v>100</v>
      </c>
      <c r="I197" s="1621">
        <v>100</v>
      </c>
      <c r="J197" s="1621">
        <v>100</v>
      </c>
      <c r="K197" s="1620">
        <v>1</v>
      </c>
      <c r="L197" s="1620">
        <v>99</v>
      </c>
      <c r="M197" s="1620">
        <v>50</v>
      </c>
      <c r="N197" s="1620">
        <v>0</v>
      </c>
      <c r="O197" s="1620">
        <v>0</v>
      </c>
      <c r="P197" s="1620">
        <v>0</v>
      </c>
      <c r="Q197" s="1603"/>
      <c r="R197" s="1620">
        <v>0</v>
      </c>
      <c r="S197" s="1620">
        <v>0</v>
      </c>
      <c r="T197" s="1620">
        <v>0</v>
      </c>
      <c r="U197" s="1620">
        <v>0</v>
      </c>
      <c r="V197" s="1620">
        <v>0</v>
      </c>
      <c r="W197" s="1620">
        <v>0</v>
      </c>
      <c r="X197" s="1620"/>
      <c r="Y197" s="1620">
        <v>0</v>
      </c>
      <c r="Z197" s="1620">
        <v>0</v>
      </c>
      <c r="AA197" s="1620">
        <v>0</v>
      </c>
      <c r="AB197" s="1620">
        <v>0</v>
      </c>
      <c r="AC197" s="1620">
        <v>0</v>
      </c>
      <c r="AD197" s="1620">
        <v>0</v>
      </c>
      <c r="AE197" s="1620">
        <v>0</v>
      </c>
      <c r="AF197" s="1620">
        <v>0</v>
      </c>
      <c r="AG197" s="1620">
        <v>0</v>
      </c>
      <c r="AH197" s="1620">
        <v>0</v>
      </c>
      <c r="AI197" s="1620">
        <v>0</v>
      </c>
      <c r="AJ197" s="1620">
        <v>0</v>
      </c>
      <c r="AK197" s="1620">
        <v>0</v>
      </c>
      <c r="AL197" s="1620"/>
      <c r="AM197" s="1620">
        <v>0</v>
      </c>
      <c r="AN197" s="1620">
        <v>0</v>
      </c>
      <c r="AO197" s="1620">
        <v>0</v>
      </c>
      <c r="AP197" s="1620">
        <v>0</v>
      </c>
      <c r="AQ197" s="1620">
        <v>0</v>
      </c>
      <c r="AR197" s="1620">
        <v>0</v>
      </c>
      <c r="AS197" s="1620">
        <v>0</v>
      </c>
      <c r="AT197" s="1620">
        <v>0</v>
      </c>
      <c r="AU197" s="1620">
        <v>0</v>
      </c>
      <c r="AV197" s="1620">
        <v>0</v>
      </c>
      <c r="AW197" s="1620">
        <v>0</v>
      </c>
      <c r="AX197" s="1620"/>
      <c r="AY197" s="1620">
        <v>1</v>
      </c>
      <c r="AZ197" s="1620">
        <v>1</v>
      </c>
      <c r="BA197" s="1620">
        <v>1</v>
      </c>
      <c r="BB197" s="1620">
        <v>1</v>
      </c>
      <c r="BC197" s="1620">
        <v>1</v>
      </c>
      <c r="BD197" s="1620">
        <v>1</v>
      </c>
      <c r="BE197" s="1620">
        <v>1</v>
      </c>
      <c r="BF197" s="1620">
        <v>1</v>
      </c>
      <c r="BG197" s="1620">
        <v>1</v>
      </c>
      <c r="BH197" s="1620">
        <v>1</v>
      </c>
      <c r="BI197" s="1620">
        <v>1</v>
      </c>
      <c r="BJ197" s="1603"/>
      <c r="BK197" s="1620">
        <v>50.505050505050505</v>
      </c>
      <c r="BL197" s="1620">
        <v>0</v>
      </c>
      <c r="BM197" s="1620">
        <v>0</v>
      </c>
      <c r="BN197" s="1620">
        <v>0</v>
      </c>
      <c r="BO197" s="1620"/>
      <c r="BP197" s="1620">
        <v>0</v>
      </c>
      <c r="BQ197" s="1620">
        <v>0</v>
      </c>
      <c r="BR197" s="1620">
        <v>1.4733377131751113</v>
      </c>
      <c r="BS197" s="1620">
        <v>1.4121080939262827</v>
      </c>
      <c r="BT197" s="1603"/>
      <c r="BU197" s="1620">
        <v>1000</v>
      </c>
      <c r="BV197" s="1620">
        <v>540.40404040404042</v>
      </c>
      <c r="BW197" s="1620">
        <v>0</v>
      </c>
      <c r="BX197" s="1620" t="s">
        <v>270</v>
      </c>
      <c r="BY197" s="1620" t="s">
        <v>270</v>
      </c>
      <c r="BZ197" s="1620" t="s">
        <v>270</v>
      </c>
      <c r="CA197" s="1620" t="s">
        <v>270</v>
      </c>
      <c r="CB197" s="1603"/>
      <c r="CC197" s="1603">
        <v>0</v>
      </c>
      <c r="CD197" s="1603">
        <v>0</v>
      </c>
      <c r="CE197" s="1603">
        <v>0</v>
      </c>
      <c r="CF197" s="1603">
        <v>0</v>
      </c>
      <c r="CG197" s="1603">
        <v>0</v>
      </c>
      <c r="CH197" s="1603">
        <v>0</v>
      </c>
      <c r="CI197" s="1603">
        <v>0</v>
      </c>
      <c r="CJ197" s="1603"/>
      <c r="CK197" s="1603">
        <v>0</v>
      </c>
      <c r="CL197" s="1603">
        <v>0</v>
      </c>
      <c r="CM197" s="1603">
        <v>0</v>
      </c>
      <c r="CN197" s="1603">
        <v>0</v>
      </c>
      <c r="CO197" s="1603">
        <v>0</v>
      </c>
      <c r="CP197" s="1603">
        <v>0</v>
      </c>
      <c r="CQ197" s="1603">
        <v>0</v>
      </c>
      <c r="CR197" s="1603">
        <v>0</v>
      </c>
      <c r="CS197" s="1603">
        <v>0</v>
      </c>
      <c r="CT197" s="1603">
        <v>0</v>
      </c>
      <c r="CU197" s="1603">
        <v>0</v>
      </c>
      <c r="CV197" s="1603">
        <v>0</v>
      </c>
      <c r="CW197" s="1603">
        <v>0</v>
      </c>
      <c r="CX197" s="1603">
        <v>0</v>
      </c>
      <c r="CY197" s="1603">
        <v>0</v>
      </c>
      <c r="CZ197" s="1603">
        <v>0</v>
      </c>
      <c r="DA197" s="1603">
        <v>0</v>
      </c>
      <c r="DB197" s="1603">
        <v>0</v>
      </c>
      <c r="DC197" s="1603">
        <v>0</v>
      </c>
      <c r="DD197" s="1603">
        <v>0</v>
      </c>
      <c r="DE197" s="1603">
        <v>0</v>
      </c>
      <c r="DF197" s="1603">
        <v>0</v>
      </c>
      <c r="DG197" s="1603">
        <v>5000000</v>
      </c>
      <c r="DH197" s="1603">
        <v>0</v>
      </c>
      <c r="DI197" s="1603">
        <v>0</v>
      </c>
      <c r="DJ197" s="1603">
        <v>0</v>
      </c>
      <c r="DK197" s="1603">
        <v>0</v>
      </c>
      <c r="DL197" s="1603">
        <v>0</v>
      </c>
      <c r="DM197" s="1603">
        <v>0</v>
      </c>
      <c r="DN197" s="1603">
        <v>0</v>
      </c>
      <c r="DO197" s="1603">
        <v>0</v>
      </c>
      <c r="DP197" s="1603">
        <v>0</v>
      </c>
      <c r="DQ197" s="1603">
        <v>0</v>
      </c>
      <c r="DR197" s="1603">
        <v>0</v>
      </c>
      <c r="DS197" s="1603">
        <v>0</v>
      </c>
      <c r="DT197" s="1603">
        <v>0</v>
      </c>
      <c r="DU197" s="1603">
        <v>0</v>
      </c>
      <c r="DV197" s="1603">
        <v>0</v>
      </c>
      <c r="DW197" s="1618" t="s">
        <v>986</v>
      </c>
      <c r="DX197" s="1605" t="s">
        <v>986</v>
      </c>
      <c r="DY197" s="1605" t="s">
        <v>986</v>
      </c>
      <c r="DZ197" s="1605" t="s">
        <v>986</v>
      </c>
      <c r="EA197" s="1605" t="s">
        <v>986</v>
      </c>
      <c r="EB197" s="1605" t="s">
        <v>986</v>
      </c>
      <c r="EC197" s="1605" t="s">
        <v>986</v>
      </c>
      <c r="ED197" s="1605" t="s">
        <v>986</v>
      </c>
      <c r="EE197" s="1605" t="s">
        <v>986</v>
      </c>
      <c r="EF197" s="1605" t="s">
        <v>986</v>
      </c>
      <c r="EG197" s="1605" t="s">
        <v>986</v>
      </c>
      <c r="EH197" s="1605" t="s">
        <v>986</v>
      </c>
      <c r="EI197" s="1605" t="s">
        <v>986</v>
      </c>
      <c r="EJ197" s="1605" t="s">
        <v>986</v>
      </c>
      <c r="EK197" s="1605" t="s">
        <v>986</v>
      </c>
      <c r="EL197" s="1605" t="s">
        <v>986</v>
      </c>
      <c r="EM197" s="1605" t="s">
        <v>986</v>
      </c>
      <c r="EN197" s="1605" t="s">
        <v>986</v>
      </c>
      <c r="EO197" s="1605" t="s">
        <v>986</v>
      </c>
      <c r="EP197" s="1605" t="s">
        <v>986</v>
      </c>
      <c r="EQ197" s="1605" t="s">
        <v>986</v>
      </c>
      <c r="ER197" s="1605" t="s">
        <v>986</v>
      </c>
      <c r="ES197" s="1605" t="s">
        <v>986</v>
      </c>
      <c r="ET197" s="1605" t="s">
        <v>986</v>
      </c>
      <c r="EU197" s="1605" t="s">
        <v>986</v>
      </c>
      <c r="EV197" s="1605" t="s">
        <v>986</v>
      </c>
      <c r="EW197" s="1605" t="s">
        <v>986</v>
      </c>
      <c r="EX197" s="1605" t="s">
        <v>986</v>
      </c>
      <c r="EY197" s="1605" t="s">
        <v>986</v>
      </c>
      <c r="EZ197" s="1605" t="s">
        <v>986</v>
      </c>
      <c r="FA197" s="1605" t="s">
        <v>986</v>
      </c>
      <c r="FB197" s="1605" t="s">
        <v>986</v>
      </c>
      <c r="FC197" s="1605" t="s">
        <v>986</v>
      </c>
      <c r="FD197" s="1605" t="s">
        <v>986</v>
      </c>
      <c r="FE197" s="1605" t="s">
        <v>986</v>
      </c>
      <c r="FF197" s="1605" t="s">
        <v>986</v>
      </c>
      <c r="FG197" s="1605" t="s">
        <v>986</v>
      </c>
      <c r="FH197" s="1605" t="s">
        <v>986</v>
      </c>
      <c r="FI197" s="1605" t="s">
        <v>986</v>
      </c>
      <c r="FJ197" s="1605" t="s">
        <v>986</v>
      </c>
      <c r="FK197" s="1605" t="s">
        <v>986</v>
      </c>
      <c r="FL197" s="1605" t="s">
        <v>986</v>
      </c>
      <c r="FM197" s="1605" t="s">
        <v>986</v>
      </c>
      <c r="FN197" s="1605" t="s">
        <v>986</v>
      </c>
      <c r="FO197" s="1605" t="s">
        <v>986</v>
      </c>
      <c r="FP197" s="1605" t="s">
        <v>986</v>
      </c>
      <c r="FQ197" s="1605" t="s">
        <v>986</v>
      </c>
      <c r="FR197" s="1605" t="s">
        <v>986</v>
      </c>
      <c r="FS197" s="1605" t="s">
        <v>986</v>
      </c>
      <c r="FT197" s="1605" t="s">
        <v>986</v>
      </c>
      <c r="FU197" s="1605" t="s">
        <v>986</v>
      </c>
      <c r="FV197" s="1605" t="s">
        <v>986</v>
      </c>
      <c r="FW197" s="1605" t="s">
        <v>986</v>
      </c>
      <c r="FX197" s="1605" t="s">
        <v>986</v>
      </c>
      <c r="FY197" s="1605" t="s">
        <v>986</v>
      </c>
      <c r="FZ197" s="1605" t="s">
        <v>986</v>
      </c>
      <c r="GA197" s="1605" t="s">
        <v>986</v>
      </c>
      <c r="GB197" s="1605" t="s">
        <v>986</v>
      </c>
      <c r="GC197" s="1605" t="s">
        <v>986</v>
      </c>
      <c r="GD197" s="1605" t="s">
        <v>986</v>
      </c>
      <c r="GE197" s="1605" t="s">
        <v>986</v>
      </c>
      <c r="GF197" s="1605" t="s">
        <v>986</v>
      </c>
      <c r="GG197" s="1605" t="s">
        <v>986</v>
      </c>
      <c r="GH197" s="1605" t="s">
        <v>986</v>
      </c>
      <c r="GI197" s="1605" t="s">
        <v>986</v>
      </c>
      <c r="GJ197" s="1605" t="s">
        <v>986</v>
      </c>
      <c r="GK197" s="1605" t="s">
        <v>986</v>
      </c>
      <c r="GL197" s="1605" t="s">
        <v>986</v>
      </c>
      <c r="GM197" s="1605" t="s">
        <v>986</v>
      </c>
      <c r="GN197" s="1605" t="s">
        <v>986</v>
      </c>
      <c r="GO197" s="1605" t="s">
        <v>986</v>
      </c>
      <c r="GP197" s="1605" t="s">
        <v>986</v>
      </c>
      <c r="GQ197" s="1605" t="s">
        <v>986</v>
      </c>
      <c r="GR197" s="1605" t="s">
        <v>986</v>
      </c>
      <c r="GS197" s="1605" t="s">
        <v>986</v>
      </c>
      <c r="GT197" s="1605" t="s">
        <v>986</v>
      </c>
      <c r="GU197" s="1605" t="s">
        <v>986</v>
      </c>
      <c r="GV197" s="1605" t="s">
        <v>986</v>
      </c>
      <c r="GW197" s="1605" t="s">
        <v>986</v>
      </c>
      <c r="GX197" s="1605" t="s">
        <v>986</v>
      </c>
      <c r="GY197" s="1605" t="s">
        <v>986</v>
      </c>
      <c r="GZ197" s="1605" t="s">
        <v>986</v>
      </c>
      <c r="HA197" s="1605" t="s">
        <v>986</v>
      </c>
      <c r="HB197" s="1605" t="s">
        <v>986</v>
      </c>
      <c r="HC197" s="1605" t="s">
        <v>986</v>
      </c>
      <c r="HD197" s="1605" t="s">
        <v>986</v>
      </c>
      <c r="HE197" s="1605" t="s">
        <v>986</v>
      </c>
      <c r="HF197" s="1605" t="s">
        <v>986</v>
      </c>
      <c r="HG197" s="1605" t="s">
        <v>986</v>
      </c>
      <c r="HH197" s="1605" t="s">
        <v>986</v>
      </c>
      <c r="HI197" s="1605" t="s">
        <v>986</v>
      </c>
      <c r="HJ197" s="1605" t="s">
        <v>986</v>
      </c>
      <c r="HK197" s="1605" t="s">
        <v>986</v>
      </c>
      <c r="HL197" s="1605" t="s">
        <v>986</v>
      </c>
      <c r="HM197" s="1605" t="s">
        <v>986</v>
      </c>
      <c r="HN197" s="1605" t="s">
        <v>986</v>
      </c>
      <c r="HO197" s="1605" t="s">
        <v>986</v>
      </c>
      <c r="HP197" s="1605" t="s">
        <v>986</v>
      </c>
      <c r="HQ197" s="1605" t="s">
        <v>986</v>
      </c>
      <c r="HR197" s="1605" t="s">
        <v>986</v>
      </c>
      <c r="HS197" s="1605" t="s">
        <v>986</v>
      </c>
      <c r="HT197" s="1605" t="s">
        <v>986</v>
      </c>
      <c r="HU197" s="1605" t="s">
        <v>986</v>
      </c>
      <c r="HV197" s="1617"/>
      <c r="HW197" s="1617">
        <v>0</v>
      </c>
      <c r="HX197" s="1617">
        <v>0</v>
      </c>
      <c r="HY197" s="1617">
        <v>0</v>
      </c>
      <c r="HZ197" s="1603"/>
      <c r="IA197" s="1603"/>
      <c r="IB197" s="1603"/>
      <c r="IC197" s="1603">
        <v>0</v>
      </c>
      <c r="ID197" s="1603">
        <v>0</v>
      </c>
      <c r="IE197" s="1603">
        <v>0</v>
      </c>
      <c r="IF197" s="1603">
        <v>0</v>
      </c>
      <c r="IG197" s="1611" t="s">
        <v>2932</v>
      </c>
      <c r="IH197" s="1616" t="s">
        <v>270</v>
      </c>
      <c r="II197" s="1615" t="s">
        <v>270</v>
      </c>
      <c r="IJ197" s="1613">
        <v>1.3101818181818183</v>
      </c>
      <c r="IK197" s="1613">
        <v>1.301848484848485</v>
      </c>
      <c r="IL197" s="1614">
        <v>1.3101818181818183</v>
      </c>
      <c r="IM197" s="1614">
        <v>1.301848484848485</v>
      </c>
      <c r="IN197" s="1612" t="s">
        <v>270</v>
      </c>
      <c r="IO197" s="1613" t="s">
        <v>270</v>
      </c>
      <c r="IP197" s="1607" t="s">
        <v>270</v>
      </c>
      <c r="IQ197" s="1612" t="s">
        <v>270</v>
      </c>
      <c r="IR197" s="1612" t="s">
        <v>270</v>
      </c>
      <c r="IS197" s="1607">
        <v>1.1881818181818182</v>
      </c>
      <c r="IT197" s="1607">
        <v>1.1798484848484849</v>
      </c>
      <c r="IU197" s="1611">
        <v>0</v>
      </c>
      <c r="IV197" s="1611">
        <v>7.7767676767676763E-2</v>
      </c>
      <c r="IW197" s="1611">
        <v>9.0909090909090909E-4</v>
      </c>
      <c r="IX197" s="1611">
        <v>1.6060606060606061E-3</v>
      </c>
      <c r="IY197" s="1611">
        <v>9.6969696969696957E-4</v>
      </c>
      <c r="IZ197" s="1611">
        <v>5.9898989898989896E-3</v>
      </c>
      <c r="JA197" s="1611">
        <v>6.0606060606060598E-5</v>
      </c>
      <c r="JB197" s="1611" t="s">
        <v>270</v>
      </c>
      <c r="JC197" s="1611">
        <v>9.9026969696969704</v>
      </c>
      <c r="JD197" s="1611">
        <v>5.2121212121212122E-3</v>
      </c>
      <c r="JE197" s="1611" t="s">
        <v>270</v>
      </c>
      <c r="JF197" s="1611">
        <v>8.2828282828282835E-4</v>
      </c>
      <c r="JG197" s="1611">
        <v>0.57978787878787885</v>
      </c>
      <c r="JH197" s="1611">
        <v>7.646464646464647E-3</v>
      </c>
      <c r="JI197" s="1611">
        <v>0.3</v>
      </c>
      <c r="JJ197" s="1611" t="s">
        <v>270</v>
      </c>
      <c r="JK197" s="1607">
        <f t="shared" si="11"/>
        <v>0.12200000000000011</v>
      </c>
      <c r="JL197" s="1608" t="s">
        <v>270</v>
      </c>
      <c r="JM197" s="1610" t="s">
        <v>2924</v>
      </c>
      <c r="JN197" s="1608">
        <v>8.3333333333333037E-3</v>
      </c>
      <c r="JO197" s="1609" t="s">
        <v>2931</v>
      </c>
      <c r="JP197" s="1608" t="s">
        <v>270</v>
      </c>
      <c r="JQ197" s="1607">
        <v>202103</v>
      </c>
      <c r="JR197" s="1606">
        <v>851</v>
      </c>
      <c r="JS197" s="1606">
        <v>774</v>
      </c>
      <c r="JT197" s="1606">
        <v>774</v>
      </c>
    </row>
    <row r="198" spans="1:280" ht="15" customHeight="1" x14ac:dyDescent="0.2">
      <c r="A198" s="1626">
        <v>95000</v>
      </c>
      <c r="B198" s="1625">
        <v>950</v>
      </c>
      <c r="C198" s="1624">
        <v>0</v>
      </c>
      <c r="D198" s="1623" t="s">
        <v>3273</v>
      </c>
      <c r="E198" s="1622">
        <v>43031</v>
      </c>
      <c r="F198" s="1620">
        <v>1.45860433604336</v>
      </c>
      <c r="G198" s="1620">
        <v>1.39798701298702</v>
      </c>
      <c r="H198" s="1621">
        <v>100</v>
      </c>
      <c r="I198" s="1621">
        <v>100</v>
      </c>
      <c r="J198" s="1621">
        <v>100</v>
      </c>
      <c r="K198" s="1620">
        <v>1</v>
      </c>
      <c r="L198" s="1620">
        <v>99</v>
      </c>
      <c r="M198" s="1620">
        <v>50</v>
      </c>
      <c r="N198" s="1620">
        <v>0</v>
      </c>
      <c r="O198" s="1620">
        <v>0</v>
      </c>
      <c r="P198" s="1620">
        <v>0</v>
      </c>
      <c r="Q198" s="1603"/>
      <c r="R198" s="1620">
        <v>0</v>
      </c>
      <c r="S198" s="1620">
        <v>0</v>
      </c>
      <c r="T198" s="1620">
        <v>0</v>
      </c>
      <c r="U198" s="1620">
        <v>0</v>
      </c>
      <c r="V198" s="1620">
        <v>0</v>
      </c>
      <c r="W198" s="1620">
        <v>0</v>
      </c>
      <c r="X198" s="1620"/>
      <c r="Y198" s="1620">
        <v>0</v>
      </c>
      <c r="Z198" s="1620">
        <v>0</v>
      </c>
      <c r="AA198" s="1620">
        <v>0</v>
      </c>
      <c r="AB198" s="1620">
        <v>0</v>
      </c>
      <c r="AC198" s="1620">
        <v>0</v>
      </c>
      <c r="AD198" s="1620">
        <v>0</v>
      </c>
      <c r="AE198" s="1620">
        <v>0</v>
      </c>
      <c r="AF198" s="1620">
        <v>0</v>
      </c>
      <c r="AG198" s="1620">
        <v>0</v>
      </c>
      <c r="AH198" s="1620">
        <v>0</v>
      </c>
      <c r="AI198" s="1620">
        <v>0</v>
      </c>
      <c r="AJ198" s="1620">
        <v>0</v>
      </c>
      <c r="AK198" s="1620">
        <v>0</v>
      </c>
      <c r="AL198" s="1620"/>
      <c r="AM198" s="1620">
        <v>0</v>
      </c>
      <c r="AN198" s="1620">
        <v>0</v>
      </c>
      <c r="AO198" s="1620">
        <v>0</v>
      </c>
      <c r="AP198" s="1620">
        <v>0</v>
      </c>
      <c r="AQ198" s="1620">
        <v>0</v>
      </c>
      <c r="AR198" s="1620">
        <v>0</v>
      </c>
      <c r="AS198" s="1620">
        <v>0</v>
      </c>
      <c r="AT198" s="1620">
        <v>0</v>
      </c>
      <c r="AU198" s="1620">
        <v>0</v>
      </c>
      <c r="AV198" s="1620">
        <v>0</v>
      </c>
      <c r="AW198" s="1620">
        <v>0</v>
      </c>
      <c r="AX198" s="1620"/>
      <c r="AY198" s="1620">
        <v>1</v>
      </c>
      <c r="AZ198" s="1620">
        <v>1</v>
      </c>
      <c r="BA198" s="1620">
        <v>1</v>
      </c>
      <c r="BB198" s="1620">
        <v>1</v>
      </c>
      <c r="BC198" s="1620">
        <v>1</v>
      </c>
      <c r="BD198" s="1620">
        <v>1</v>
      </c>
      <c r="BE198" s="1620">
        <v>1</v>
      </c>
      <c r="BF198" s="1620">
        <v>1</v>
      </c>
      <c r="BG198" s="1620">
        <v>1</v>
      </c>
      <c r="BH198" s="1620">
        <v>1</v>
      </c>
      <c r="BI198" s="1620">
        <v>1</v>
      </c>
      <c r="BJ198" s="1603"/>
      <c r="BK198" s="1620">
        <v>50.505050505050505</v>
      </c>
      <c r="BL198" s="1620">
        <v>0</v>
      </c>
      <c r="BM198" s="1620">
        <v>0</v>
      </c>
      <c r="BN198" s="1620">
        <v>0</v>
      </c>
      <c r="BO198" s="1620"/>
      <c r="BP198" s="1620">
        <v>0</v>
      </c>
      <c r="BQ198" s="1620">
        <v>0</v>
      </c>
      <c r="BR198" s="1620">
        <v>1.4733377131751113</v>
      </c>
      <c r="BS198" s="1620">
        <v>1.4121080939262827</v>
      </c>
      <c r="BT198" s="1603"/>
      <c r="BU198" s="1620">
        <v>1000</v>
      </c>
      <c r="BV198" s="1620">
        <v>540.40404040404042</v>
      </c>
      <c r="BW198" s="1620">
        <v>0</v>
      </c>
      <c r="BX198" s="1620" t="s">
        <v>270</v>
      </c>
      <c r="BY198" s="1620" t="s">
        <v>270</v>
      </c>
      <c r="BZ198" s="1620" t="s">
        <v>270</v>
      </c>
      <c r="CA198" s="1620" t="s">
        <v>270</v>
      </c>
      <c r="CB198" s="1603"/>
      <c r="CC198" s="1603">
        <v>0</v>
      </c>
      <c r="CD198" s="1603">
        <v>0</v>
      </c>
      <c r="CE198" s="1603">
        <v>0</v>
      </c>
      <c r="CF198" s="1603">
        <v>0</v>
      </c>
      <c r="CG198" s="1603">
        <v>0</v>
      </c>
      <c r="CH198" s="1603">
        <v>0</v>
      </c>
      <c r="CI198" s="1603">
        <v>0</v>
      </c>
      <c r="CJ198" s="1603"/>
      <c r="CK198" s="1603">
        <v>0</v>
      </c>
      <c r="CL198" s="1603">
        <v>0</v>
      </c>
      <c r="CM198" s="1603">
        <v>0</v>
      </c>
      <c r="CN198" s="1603">
        <v>0</v>
      </c>
      <c r="CO198" s="1603">
        <v>0</v>
      </c>
      <c r="CP198" s="1603">
        <v>0</v>
      </c>
      <c r="CQ198" s="1603">
        <v>0</v>
      </c>
      <c r="CR198" s="1603">
        <v>0</v>
      </c>
      <c r="CS198" s="1603">
        <v>0</v>
      </c>
      <c r="CT198" s="1603">
        <v>0</v>
      </c>
      <c r="CU198" s="1603">
        <v>0</v>
      </c>
      <c r="CV198" s="1603">
        <v>0</v>
      </c>
      <c r="CW198" s="1603">
        <v>0</v>
      </c>
      <c r="CX198" s="1603">
        <v>0</v>
      </c>
      <c r="CY198" s="1603">
        <v>0</v>
      </c>
      <c r="CZ198" s="1603">
        <v>0</v>
      </c>
      <c r="DA198" s="1603">
        <v>0</v>
      </c>
      <c r="DB198" s="1603">
        <v>0</v>
      </c>
      <c r="DC198" s="1603">
        <v>0</v>
      </c>
      <c r="DD198" s="1603">
        <v>0</v>
      </c>
      <c r="DE198" s="1603">
        <v>0</v>
      </c>
      <c r="DF198" s="1603">
        <v>0</v>
      </c>
      <c r="DG198" s="1603">
        <v>5000000</v>
      </c>
      <c r="DH198" s="1603">
        <v>0</v>
      </c>
      <c r="DI198" s="1603">
        <v>0</v>
      </c>
      <c r="DJ198" s="1603">
        <v>0</v>
      </c>
      <c r="DK198" s="1603">
        <v>0</v>
      </c>
      <c r="DL198" s="1603">
        <v>0</v>
      </c>
      <c r="DM198" s="1603">
        <v>0</v>
      </c>
      <c r="DN198" s="1603">
        <v>0</v>
      </c>
      <c r="DO198" s="1603">
        <v>0</v>
      </c>
      <c r="DP198" s="1603">
        <v>0</v>
      </c>
      <c r="DQ198" s="1603">
        <v>0</v>
      </c>
      <c r="DR198" s="1603">
        <v>0</v>
      </c>
      <c r="DS198" s="1603">
        <v>0</v>
      </c>
      <c r="DT198" s="1603">
        <v>0</v>
      </c>
      <c r="DU198" s="1603">
        <v>0</v>
      </c>
      <c r="DV198" s="1603">
        <v>0</v>
      </c>
      <c r="DW198" s="1618" t="s">
        <v>986</v>
      </c>
      <c r="DX198" s="1605" t="s">
        <v>986</v>
      </c>
      <c r="DY198" s="1605" t="s">
        <v>986</v>
      </c>
      <c r="DZ198" s="1605" t="s">
        <v>986</v>
      </c>
      <c r="EA198" s="1605" t="s">
        <v>986</v>
      </c>
      <c r="EB198" s="1605" t="s">
        <v>986</v>
      </c>
      <c r="EC198" s="1605" t="s">
        <v>986</v>
      </c>
      <c r="ED198" s="1605" t="s">
        <v>986</v>
      </c>
      <c r="EE198" s="1605" t="s">
        <v>986</v>
      </c>
      <c r="EF198" s="1605" t="s">
        <v>986</v>
      </c>
      <c r="EG198" s="1605" t="s">
        <v>986</v>
      </c>
      <c r="EH198" s="1605" t="s">
        <v>986</v>
      </c>
      <c r="EI198" s="1605" t="s">
        <v>986</v>
      </c>
      <c r="EJ198" s="1605" t="s">
        <v>986</v>
      </c>
      <c r="EK198" s="1605" t="s">
        <v>986</v>
      </c>
      <c r="EL198" s="1605" t="s">
        <v>986</v>
      </c>
      <c r="EM198" s="1605" t="s">
        <v>986</v>
      </c>
      <c r="EN198" s="1605" t="s">
        <v>986</v>
      </c>
      <c r="EO198" s="1605" t="s">
        <v>986</v>
      </c>
      <c r="EP198" s="1605" t="s">
        <v>986</v>
      </c>
      <c r="EQ198" s="1605" t="s">
        <v>986</v>
      </c>
      <c r="ER198" s="1605" t="s">
        <v>986</v>
      </c>
      <c r="ES198" s="1605" t="s">
        <v>986</v>
      </c>
      <c r="ET198" s="1605" t="s">
        <v>986</v>
      </c>
      <c r="EU198" s="1605" t="s">
        <v>986</v>
      </c>
      <c r="EV198" s="1605" t="s">
        <v>986</v>
      </c>
      <c r="EW198" s="1605" t="s">
        <v>986</v>
      </c>
      <c r="EX198" s="1605" t="s">
        <v>986</v>
      </c>
      <c r="EY198" s="1605" t="s">
        <v>986</v>
      </c>
      <c r="EZ198" s="1605" t="s">
        <v>986</v>
      </c>
      <c r="FA198" s="1605" t="s">
        <v>986</v>
      </c>
      <c r="FB198" s="1605" t="s">
        <v>986</v>
      </c>
      <c r="FC198" s="1605" t="s">
        <v>986</v>
      </c>
      <c r="FD198" s="1605" t="s">
        <v>986</v>
      </c>
      <c r="FE198" s="1605" t="s">
        <v>986</v>
      </c>
      <c r="FF198" s="1605" t="s">
        <v>986</v>
      </c>
      <c r="FG198" s="1605" t="s">
        <v>986</v>
      </c>
      <c r="FH198" s="1605" t="s">
        <v>986</v>
      </c>
      <c r="FI198" s="1605" t="s">
        <v>986</v>
      </c>
      <c r="FJ198" s="1605" t="s">
        <v>986</v>
      </c>
      <c r="FK198" s="1605" t="s">
        <v>986</v>
      </c>
      <c r="FL198" s="1605" t="s">
        <v>986</v>
      </c>
      <c r="FM198" s="1605" t="s">
        <v>986</v>
      </c>
      <c r="FN198" s="1605" t="s">
        <v>986</v>
      </c>
      <c r="FO198" s="1605" t="s">
        <v>986</v>
      </c>
      <c r="FP198" s="1605" t="s">
        <v>986</v>
      </c>
      <c r="FQ198" s="1605" t="s">
        <v>986</v>
      </c>
      <c r="FR198" s="1605" t="s">
        <v>986</v>
      </c>
      <c r="FS198" s="1605" t="s">
        <v>986</v>
      </c>
      <c r="FT198" s="1605" t="s">
        <v>986</v>
      </c>
      <c r="FU198" s="1605" t="s">
        <v>986</v>
      </c>
      <c r="FV198" s="1605" t="s">
        <v>986</v>
      </c>
      <c r="FW198" s="1605" t="s">
        <v>986</v>
      </c>
      <c r="FX198" s="1605" t="s">
        <v>986</v>
      </c>
      <c r="FY198" s="1605" t="s">
        <v>986</v>
      </c>
      <c r="FZ198" s="1605" t="s">
        <v>986</v>
      </c>
      <c r="GA198" s="1605" t="s">
        <v>986</v>
      </c>
      <c r="GB198" s="1605" t="s">
        <v>986</v>
      </c>
      <c r="GC198" s="1605" t="s">
        <v>986</v>
      </c>
      <c r="GD198" s="1605" t="s">
        <v>986</v>
      </c>
      <c r="GE198" s="1605" t="s">
        <v>986</v>
      </c>
      <c r="GF198" s="1605" t="s">
        <v>986</v>
      </c>
      <c r="GG198" s="1605" t="s">
        <v>986</v>
      </c>
      <c r="GH198" s="1605" t="s">
        <v>986</v>
      </c>
      <c r="GI198" s="1605" t="s">
        <v>986</v>
      </c>
      <c r="GJ198" s="1605" t="s">
        <v>986</v>
      </c>
      <c r="GK198" s="1605" t="s">
        <v>986</v>
      </c>
      <c r="GL198" s="1605" t="s">
        <v>986</v>
      </c>
      <c r="GM198" s="1605" t="s">
        <v>986</v>
      </c>
      <c r="GN198" s="1605" t="s">
        <v>986</v>
      </c>
      <c r="GO198" s="1605" t="s">
        <v>986</v>
      </c>
      <c r="GP198" s="1605" t="s">
        <v>986</v>
      </c>
      <c r="GQ198" s="1605" t="s">
        <v>986</v>
      </c>
      <c r="GR198" s="1605" t="s">
        <v>986</v>
      </c>
      <c r="GS198" s="1605" t="s">
        <v>986</v>
      </c>
      <c r="GT198" s="1605" t="s">
        <v>986</v>
      </c>
      <c r="GU198" s="1605" t="s">
        <v>986</v>
      </c>
      <c r="GV198" s="1605" t="s">
        <v>986</v>
      </c>
      <c r="GW198" s="1605" t="s">
        <v>986</v>
      </c>
      <c r="GX198" s="1605" t="s">
        <v>986</v>
      </c>
      <c r="GY198" s="1605" t="s">
        <v>986</v>
      </c>
      <c r="GZ198" s="1605" t="s">
        <v>986</v>
      </c>
      <c r="HA198" s="1605" t="s">
        <v>986</v>
      </c>
      <c r="HB198" s="1605" t="s">
        <v>986</v>
      </c>
      <c r="HC198" s="1605" t="s">
        <v>986</v>
      </c>
      <c r="HD198" s="1605" t="s">
        <v>986</v>
      </c>
      <c r="HE198" s="1605" t="s">
        <v>986</v>
      </c>
      <c r="HF198" s="1605" t="s">
        <v>986</v>
      </c>
      <c r="HG198" s="1605" t="s">
        <v>986</v>
      </c>
      <c r="HH198" s="1605" t="s">
        <v>986</v>
      </c>
      <c r="HI198" s="1605" t="s">
        <v>986</v>
      </c>
      <c r="HJ198" s="1605" t="s">
        <v>986</v>
      </c>
      <c r="HK198" s="1605" t="s">
        <v>986</v>
      </c>
      <c r="HL198" s="1605" t="s">
        <v>986</v>
      </c>
      <c r="HM198" s="1605" t="s">
        <v>986</v>
      </c>
      <c r="HN198" s="1605" t="s">
        <v>986</v>
      </c>
      <c r="HO198" s="1605" t="s">
        <v>986</v>
      </c>
      <c r="HP198" s="1605" t="s">
        <v>986</v>
      </c>
      <c r="HQ198" s="1605" t="s">
        <v>986</v>
      </c>
      <c r="HR198" s="1605" t="s">
        <v>986</v>
      </c>
      <c r="HS198" s="1605" t="s">
        <v>986</v>
      </c>
      <c r="HT198" s="1605" t="s">
        <v>986</v>
      </c>
      <c r="HU198" s="1605" t="s">
        <v>986</v>
      </c>
      <c r="HV198" s="1617"/>
      <c r="HW198" s="1617">
        <v>0</v>
      </c>
      <c r="HX198" s="1617">
        <v>0</v>
      </c>
      <c r="HY198" s="1617">
        <v>0</v>
      </c>
      <c r="HZ198" s="1603"/>
      <c r="IA198" s="1603"/>
      <c r="IB198" s="1603"/>
      <c r="IC198" s="1603">
        <v>0</v>
      </c>
      <c r="ID198" s="1603">
        <v>0</v>
      </c>
      <c r="IE198" s="1603">
        <v>0</v>
      </c>
      <c r="IF198" s="1603">
        <v>0</v>
      </c>
      <c r="IG198" s="1611" t="s">
        <v>2932</v>
      </c>
      <c r="IH198" s="1616" t="s">
        <v>270</v>
      </c>
      <c r="II198" s="1615" t="s">
        <v>270</v>
      </c>
      <c r="IJ198" s="1613">
        <v>1.3101818181818183</v>
      </c>
      <c r="IK198" s="1613">
        <v>1.301848484848485</v>
      </c>
      <c r="IL198" s="1614">
        <v>1.3101818181818183</v>
      </c>
      <c r="IM198" s="1614">
        <v>1.301848484848485</v>
      </c>
      <c r="IN198" s="1612" t="s">
        <v>270</v>
      </c>
      <c r="IO198" s="1613" t="s">
        <v>270</v>
      </c>
      <c r="IP198" s="1607" t="s">
        <v>270</v>
      </c>
      <c r="IQ198" s="1612" t="s">
        <v>270</v>
      </c>
      <c r="IR198" s="1612" t="s">
        <v>270</v>
      </c>
      <c r="IS198" s="1607">
        <v>1.1881818181818182</v>
      </c>
      <c r="IT198" s="1607">
        <v>1.1798484848484849</v>
      </c>
      <c r="IU198" s="1611">
        <v>0</v>
      </c>
      <c r="IV198" s="1611">
        <v>7.7767676767676763E-2</v>
      </c>
      <c r="IW198" s="1611">
        <v>9.0909090909090909E-4</v>
      </c>
      <c r="IX198" s="1611">
        <v>1.6060606060606061E-3</v>
      </c>
      <c r="IY198" s="1611">
        <v>9.6969696969696957E-4</v>
      </c>
      <c r="IZ198" s="1611">
        <v>5.9898989898989896E-3</v>
      </c>
      <c r="JA198" s="1611">
        <v>6.0606060606060598E-5</v>
      </c>
      <c r="JB198" s="1611" t="s">
        <v>270</v>
      </c>
      <c r="JC198" s="1611">
        <v>9.9026969696969704</v>
      </c>
      <c r="JD198" s="1611">
        <v>5.2121212121212122E-3</v>
      </c>
      <c r="JE198" s="1611" t="s">
        <v>270</v>
      </c>
      <c r="JF198" s="1611">
        <v>8.2828282828282835E-4</v>
      </c>
      <c r="JG198" s="1611">
        <v>0.57978787878787885</v>
      </c>
      <c r="JH198" s="1611">
        <v>7.646464646464647E-3</v>
      </c>
      <c r="JI198" s="1611">
        <v>0.3</v>
      </c>
      <c r="JJ198" s="1611" t="s">
        <v>270</v>
      </c>
      <c r="JK198" s="1607">
        <f t="shared" si="11"/>
        <v>0.12200000000000011</v>
      </c>
      <c r="JL198" s="1608" t="s">
        <v>270</v>
      </c>
      <c r="JM198" s="1610" t="s">
        <v>2924</v>
      </c>
      <c r="JN198" s="1608">
        <v>8.3333333333333037E-3</v>
      </c>
      <c r="JO198" s="1609" t="s">
        <v>2931</v>
      </c>
      <c r="JP198" s="1608" t="s">
        <v>270</v>
      </c>
      <c r="JQ198" s="1607">
        <v>202103</v>
      </c>
      <c r="JR198" s="1606">
        <v>851</v>
      </c>
      <c r="JS198" s="1606">
        <v>774</v>
      </c>
      <c r="JT198" s="1606">
        <v>774</v>
      </c>
    </row>
    <row r="199" spans="1:280" ht="15" customHeight="1" x14ac:dyDescent="0.2">
      <c r="A199" s="1626">
        <v>60000</v>
      </c>
      <c r="B199" s="1625">
        <v>600</v>
      </c>
      <c r="C199" s="1624">
        <v>0</v>
      </c>
      <c r="D199" s="1623" t="s">
        <v>3272</v>
      </c>
      <c r="E199" s="1622">
        <v>43031</v>
      </c>
      <c r="F199" s="1620">
        <v>0.35074562357723599</v>
      </c>
      <c r="G199" s="1620">
        <v>0.48391047029610401</v>
      </c>
      <c r="H199" s="1621">
        <v>41.4</v>
      </c>
      <c r="I199" s="1621">
        <v>28.8</v>
      </c>
      <c r="J199" s="1621">
        <v>74</v>
      </c>
      <c r="K199" s="1620">
        <v>1</v>
      </c>
      <c r="L199" s="1620">
        <v>90.6</v>
      </c>
      <c r="M199" s="1620">
        <v>15.401999999999999</v>
      </c>
      <c r="N199" s="1620">
        <v>7.4291999999999998</v>
      </c>
      <c r="O199" s="1620">
        <v>3.7145999999999999</v>
      </c>
      <c r="P199" s="1620">
        <v>17.5764</v>
      </c>
      <c r="Q199" s="1603"/>
      <c r="R199" s="1620">
        <v>56.9</v>
      </c>
      <c r="S199" s="1620">
        <v>30</v>
      </c>
      <c r="T199" s="1620">
        <v>30</v>
      </c>
      <c r="U199" s="1620">
        <v>30</v>
      </c>
      <c r="V199" s="1620">
        <v>30</v>
      </c>
      <c r="W199" s="1620">
        <v>30</v>
      </c>
      <c r="X199" s="1620"/>
      <c r="Y199" s="1620">
        <v>4.2000000000000011</v>
      </c>
      <c r="Z199" s="1620">
        <v>6.4</v>
      </c>
      <c r="AA199" s="1620">
        <v>0.1</v>
      </c>
      <c r="AB199" s="1620">
        <v>0</v>
      </c>
      <c r="AC199" s="1620">
        <v>7.5000000000000009</v>
      </c>
      <c r="AD199" s="1620">
        <v>3.3</v>
      </c>
      <c r="AE199" s="1620">
        <v>2.1</v>
      </c>
      <c r="AF199" s="1620">
        <v>480.00000000000006</v>
      </c>
      <c r="AG199" s="1620">
        <v>25</v>
      </c>
      <c r="AH199" s="1620">
        <v>260</v>
      </c>
      <c r="AI199" s="1620">
        <v>47</v>
      </c>
      <c r="AJ199" s="1620">
        <v>0</v>
      </c>
      <c r="AK199" s="1620">
        <v>0.18000000000000002</v>
      </c>
      <c r="AL199" s="1620"/>
      <c r="AM199" s="1620">
        <v>2.5099999999999998</v>
      </c>
      <c r="AN199" s="1620">
        <v>1.74</v>
      </c>
      <c r="AO199" s="1620">
        <v>1.1399999999999999</v>
      </c>
      <c r="AP199" s="1620">
        <v>2.82</v>
      </c>
      <c r="AQ199" s="1620">
        <v>0.76</v>
      </c>
      <c r="AR199" s="1620">
        <v>3.36</v>
      </c>
      <c r="AS199" s="1620">
        <v>6.03</v>
      </c>
      <c r="AT199" s="1620">
        <v>1.59</v>
      </c>
      <c r="AU199" s="1620">
        <v>3.83</v>
      </c>
      <c r="AV199" s="1620">
        <v>2.44</v>
      </c>
      <c r="AW199" s="1620">
        <v>4.8</v>
      </c>
      <c r="AX199" s="1620"/>
      <c r="AY199" s="1620">
        <v>1</v>
      </c>
      <c r="AZ199" s="1620">
        <v>1</v>
      </c>
      <c r="BA199" s="1620">
        <v>1</v>
      </c>
      <c r="BB199" s="1620">
        <v>1</v>
      </c>
      <c r="BC199" s="1620">
        <v>1</v>
      </c>
      <c r="BD199" s="1620">
        <v>1</v>
      </c>
      <c r="BE199" s="1620">
        <v>1</v>
      </c>
      <c r="BF199" s="1620">
        <v>1</v>
      </c>
      <c r="BG199" s="1620">
        <v>1</v>
      </c>
      <c r="BH199" s="1620">
        <v>1</v>
      </c>
      <c r="BI199" s="1620">
        <v>1</v>
      </c>
      <c r="BJ199" s="1603"/>
      <c r="BK199" s="1620">
        <v>17</v>
      </c>
      <c r="BL199" s="1620">
        <v>8.1999999999999993</v>
      </c>
      <c r="BM199" s="1620">
        <v>4.0999999999999996</v>
      </c>
      <c r="BN199" s="1620">
        <v>19.399999999999999</v>
      </c>
      <c r="BO199" s="1620"/>
      <c r="BP199" s="1620">
        <v>54</v>
      </c>
      <c r="BQ199" s="1620">
        <v>44.28</v>
      </c>
      <c r="BR199" s="1620">
        <v>0.38713644986449891</v>
      </c>
      <c r="BS199" s="1620">
        <v>0.53411751688311704</v>
      </c>
      <c r="BT199" s="1603"/>
      <c r="BU199" s="1620">
        <v>959.00000000000011</v>
      </c>
      <c r="BV199" s="1620">
        <v>-9.8339999999999677</v>
      </c>
      <c r="BW199" s="1620">
        <v>172.62</v>
      </c>
      <c r="BX199" s="1620">
        <v>11</v>
      </c>
      <c r="BY199" s="1620">
        <v>24.000000000000004</v>
      </c>
      <c r="BZ199" s="1620" t="s">
        <v>270</v>
      </c>
      <c r="CA199" s="1620" t="s">
        <v>270</v>
      </c>
      <c r="CB199" s="1603"/>
      <c r="CC199" s="1603">
        <v>3.8052000000000006</v>
      </c>
      <c r="CD199" s="1603">
        <v>5.7984</v>
      </c>
      <c r="CE199" s="1603">
        <v>9.06E-2</v>
      </c>
      <c r="CF199" s="1603">
        <v>0</v>
      </c>
      <c r="CG199" s="1603">
        <v>6.7949999999999999</v>
      </c>
      <c r="CH199" s="1603">
        <v>2.9897999999999993</v>
      </c>
      <c r="CI199" s="1603">
        <v>1.9025999999999998</v>
      </c>
      <c r="CJ199" s="1603"/>
      <c r="CK199" s="1603">
        <v>434.88</v>
      </c>
      <c r="CL199" s="1603">
        <v>22.65</v>
      </c>
      <c r="CM199" s="1603">
        <v>235.55999999999997</v>
      </c>
      <c r="CN199" s="1603">
        <v>42.581999999999994</v>
      </c>
      <c r="CO199" s="1603">
        <v>0</v>
      </c>
      <c r="CP199" s="1603">
        <v>0.16308</v>
      </c>
      <c r="CQ199" s="1603">
        <v>87.637379999999993</v>
      </c>
      <c r="CR199" s="1603">
        <v>249.86022378894143</v>
      </c>
      <c r="CS199" s="1603">
        <v>6.2714916171024297</v>
      </c>
      <c r="CT199" s="1603">
        <v>4.3475678939275815</v>
      </c>
      <c r="CU199" s="1603">
        <v>2.8484065511939325</v>
      </c>
      <c r="CV199" s="1603">
        <v>7.1959744451215126</v>
      </c>
      <c r="CW199" s="1603">
        <v>7.0460583108481485</v>
      </c>
      <c r="CX199" s="1603">
        <v>1.8989377007959551</v>
      </c>
      <c r="CY199" s="1603">
        <v>8.3953035193084329</v>
      </c>
      <c r="CZ199" s="1603">
        <v>15.06657149447317</v>
      </c>
      <c r="DA199" s="1603">
        <v>3.9727775582441689</v>
      </c>
      <c r="DB199" s="1603">
        <v>9.5696465711164578</v>
      </c>
      <c r="DC199" s="1603">
        <v>6.0965894604501711</v>
      </c>
      <c r="DD199" s="1603">
        <v>15.66623603156663</v>
      </c>
      <c r="DE199" s="1603">
        <v>11.99329074186919</v>
      </c>
      <c r="DF199" s="1603">
        <v>0</v>
      </c>
      <c r="DG199" s="1603">
        <v>0</v>
      </c>
      <c r="DH199" s="1603">
        <v>0</v>
      </c>
      <c r="DI199" s="1603">
        <v>0</v>
      </c>
      <c r="DJ199" s="1603">
        <v>0</v>
      </c>
      <c r="DK199" s="1603">
        <v>0</v>
      </c>
      <c r="DL199" s="1603">
        <v>0</v>
      </c>
      <c r="DM199" s="1603">
        <v>0</v>
      </c>
      <c r="DN199" s="1603">
        <v>0</v>
      </c>
      <c r="DO199" s="1603">
        <v>0</v>
      </c>
      <c r="DP199" s="1603">
        <v>0</v>
      </c>
      <c r="DQ199" s="1603">
        <v>0</v>
      </c>
      <c r="DR199" s="1603">
        <v>0</v>
      </c>
      <c r="DS199" s="1603">
        <v>0</v>
      </c>
      <c r="DT199" s="1603">
        <v>0</v>
      </c>
      <c r="DU199" s="1603">
        <v>0</v>
      </c>
      <c r="DV199" s="1603">
        <v>0</v>
      </c>
      <c r="DW199" s="1618" t="s">
        <v>3271</v>
      </c>
      <c r="DX199" s="1605" t="s">
        <v>986</v>
      </c>
      <c r="DY199" s="1605" t="s">
        <v>986</v>
      </c>
      <c r="DZ199" s="1605">
        <v>2</v>
      </c>
      <c r="EA199" s="1605">
        <v>2</v>
      </c>
      <c r="EB199" s="1605">
        <v>2</v>
      </c>
      <c r="EC199" s="1605">
        <v>2</v>
      </c>
      <c r="ED199" s="1605">
        <v>2</v>
      </c>
      <c r="EE199" s="1605">
        <v>2</v>
      </c>
      <c r="EF199" s="1605">
        <v>2</v>
      </c>
      <c r="EG199" s="1605">
        <v>2</v>
      </c>
      <c r="EH199" s="1605" t="s">
        <v>986</v>
      </c>
      <c r="EI199" s="1605" t="s">
        <v>986</v>
      </c>
      <c r="EJ199" s="1605" t="s">
        <v>986</v>
      </c>
      <c r="EK199" s="1605" t="s">
        <v>986</v>
      </c>
      <c r="EL199" s="1605" t="s">
        <v>986</v>
      </c>
      <c r="EM199" s="1605" t="s">
        <v>986</v>
      </c>
      <c r="EN199" s="1605" t="s">
        <v>986</v>
      </c>
      <c r="EO199" s="1605" t="s">
        <v>986</v>
      </c>
      <c r="EP199" s="1605" t="s">
        <v>986</v>
      </c>
      <c r="EQ199" s="1605" t="s">
        <v>986</v>
      </c>
      <c r="ER199" s="1605" t="s">
        <v>986</v>
      </c>
      <c r="ES199" s="1605">
        <v>2</v>
      </c>
      <c r="ET199" s="1605">
        <v>2</v>
      </c>
      <c r="EU199" s="1605">
        <v>2</v>
      </c>
      <c r="EV199" s="1605" t="s">
        <v>986</v>
      </c>
      <c r="EW199" s="1605">
        <v>2</v>
      </c>
      <c r="EX199" s="1605">
        <v>2</v>
      </c>
      <c r="EY199" s="1605" t="s">
        <v>986</v>
      </c>
      <c r="EZ199" s="1605">
        <v>2</v>
      </c>
      <c r="FA199" s="1605">
        <v>2</v>
      </c>
      <c r="FB199" s="1605">
        <v>2</v>
      </c>
      <c r="FC199" s="1605">
        <v>2</v>
      </c>
      <c r="FD199" s="1605" t="s">
        <v>986</v>
      </c>
      <c r="FE199" s="1605" t="s">
        <v>986</v>
      </c>
      <c r="FF199" s="1605" t="s">
        <v>986</v>
      </c>
      <c r="FG199" s="1605" t="s">
        <v>986</v>
      </c>
      <c r="FH199" s="1605" t="s">
        <v>986</v>
      </c>
      <c r="FI199" s="1605">
        <v>0.2</v>
      </c>
      <c r="FJ199" s="1605">
        <v>1.8</v>
      </c>
      <c r="FK199" s="1605">
        <v>0.1</v>
      </c>
      <c r="FL199" s="1605">
        <v>0.4</v>
      </c>
      <c r="FM199" s="1605" t="s">
        <v>986</v>
      </c>
      <c r="FN199" s="1605">
        <v>0.6</v>
      </c>
      <c r="FO199" s="1605" t="s">
        <v>986</v>
      </c>
      <c r="FP199" s="1605" t="s">
        <v>986</v>
      </c>
      <c r="FQ199" s="1605" t="s">
        <v>986</v>
      </c>
      <c r="FR199" s="1605" t="s">
        <v>986</v>
      </c>
      <c r="FS199" s="1605" t="s">
        <v>986</v>
      </c>
      <c r="FT199" s="1605" t="s">
        <v>986</v>
      </c>
      <c r="FU199" s="1605" t="s">
        <v>986</v>
      </c>
      <c r="FV199" s="1605" t="s">
        <v>986</v>
      </c>
      <c r="FW199" s="1605" t="s">
        <v>986</v>
      </c>
      <c r="FX199" s="1605" t="s">
        <v>986</v>
      </c>
      <c r="FY199" s="1605" t="s">
        <v>986</v>
      </c>
      <c r="FZ199" s="1605" t="s">
        <v>986</v>
      </c>
      <c r="GA199" s="1605" t="s">
        <v>986</v>
      </c>
      <c r="GB199" s="1605">
        <v>0.17</v>
      </c>
      <c r="GC199" s="1605" t="s">
        <v>986</v>
      </c>
      <c r="GD199" s="1605" t="s">
        <v>986</v>
      </c>
      <c r="GE199" s="1605">
        <v>0.32</v>
      </c>
      <c r="GF199" s="1605">
        <v>0.12</v>
      </c>
      <c r="GG199" s="1605">
        <v>0.06</v>
      </c>
      <c r="GH199" s="1605">
        <v>244.4</v>
      </c>
      <c r="GI199" s="1605">
        <v>0.24</v>
      </c>
      <c r="GJ199" s="1605">
        <v>52.04</v>
      </c>
      <c r="GK199" s="1605">
        <v>2.77</v>
      </c>
      <c r="GL199" s="1605" t="s">
        <v>986</v>
      </c>
      <c r="GM199" s="1605" t="s">
        <v>986</v>
      </c>
      <c r="GN199" s="1605" t="s">
        <v>986</v>
      </c>
      <c r="GO199" s="1605" t="s">
        <v>986</v>
      </c>
      <c r="GP199" s="1605" t="s">
        <v>1591</v>
      </c>
      <c r="GQ199" s="1605" t="s">
        <v>1591</v>
      </c>
      <c r="GR199" s="1605" t="s">
        <v>1591</v>
      </c>
      <c r="GS199" s="1605" t="s">
        <v>1591</v>
      </c>
      <c r="GT199" s="1605" t="s">
        <v>1591</v>
      </c>
      <c r="GU199" s="1605" t="s">
        <v>1591</v>
      </c>
      <c r="GV199" s="1605" t="s">
        <v>1591</v>
      </c>
      <c r="GW199" s="1605" t="s">
        <v>986</v>
      </c>
      <c r="GX199" s="1605" t="s">
        <v>986</v>
      </c>
      <c r="GY199" s="1605" t="s">
        <v>986</v>
      </c>
      <c r="GZ199" s="1605" t="s">
        <v>986</v>
      </c>
      <c r="HA199" s="1605" t="s">
        <v>986</v>
      </c>
      <c r="HB199" s="1605" t="s">
        <v>986</v>
      </c>
      <c r="HC199" s="1605" t="s">
        <v>986</v>
      </c>
      <c r="HD199" s="1605" t="s">
        <v>986</v>
      </c>
      <c r="HE199" s="1605" t="s">
        <v>986</v>
      </c>
      <c r="HF199" s="1605" t="s">
        <v>986</v>
      </c>
      <c r="HG199" s="1605" t="s">
        <v>986</v>
      </c>
      <c r="HH199" s="1605" t="s">
        <v>986</v>
      </c>
      <c r="HI199" s="1605" t="s">
        <v>1591</v>
      </c>
      <c r="HJ199" s="1605" t="s">
        <v>1591</v>
      </c>
      <c r="HK199" s="1605" t="s">
        <v>986</v>
      </c>
      <c r="HL199" s="1605" t="s">
        <v>986</v>
      </c>
      <c r="HM199" s="1605" t="s">
        <v>1591</v>
      </c>
      <c r="HN199" s="1605" t="s">
        <v>1591</v>
      </c>
      <c r="HO199" s="1605" t="s">
        <v>1591</v>
      </c>
      <c r="HP199" s="1605" t="s">
        <v>1591</v>
      </c>
      <c r="HQ199" s="1605" t="s">
        <v>1591</v>
      </c>
      <c r="HR199" s="1605" t="s">
        <v>1591</v>
      </c>
      <c r="HS199" s="1605" t="s">
        <v>1591</v>
      </c>
      <c r="HT199" s="1605" t="s">
        <v>986</v>
      </c>
      <c r="HU199" s="1605" t="s">
        <v>986</v>
      </c>
      <c r="HV199" s="1617"/>
      <c r="HW199" s="1617" t="s">
        <v>3270</v>
      </c>
      <c r="HX199" s="1617" t="s">
        <v>3269</v>
      </c>
      <c r="HY199" s="1617" t="s">
        <v>3268</v>
      </c>
      <c r="HZ199" s="1603"/>
      <c r="IA199" s="1603"/>
      <c r="IB199" s="1603"/>
      <c r="IC199" s="1603">
        <v>30</v>
      </c>
      <c r="ID199" s="1603">
        <v>30</v>
      </c>
      <c r="IE199" s="1603">
        <v>30</v>
      </c>
      <c r="IF199" s="1603">
        <v>30</v>
      </c>
      <c r="IG199" s="1611" t="s">
        <v>3267</v>
      </c>
      <c r="IH199" s="1616" t="s">
        <v>270</v>
      </c>
      <c r="II199" s="1615" t="s">
        <v>270</v>
      </c>
      <c r="IJ199" s="1613">
        <v>1.9718977272727269</v>
      </c>
      <c r="IK199" s="1613">
        <v>1.5794659090909089</v>
      </c>
      <c r="IL199" s="1614">
        <v>1.9718977272727269</v>
      </c>
      <c r="IM199" s="1614">
        <v>1.5794659090909089</v>
      </c>
      <c r="IN199" s="1612" t="s">
        <v>270</v>
      </c>
      <c r="IO199" s="1613" t="s">
        <v>270</v>
      </c>
      <c r="IP199" s="1607" t="s">
        <v>270</v>
      </c>
      <c r="IQ199" s="1612" t="s">
        <v>270</v>
      </c>
      <c r="IR199" s="1612" t="s">
        <v>270</v>
      </c>
      <c r="IS199" s="1607">
        <v>1.616897727272727</v>
      </c>
      <c r="IT199" s="1607">
        <v>1.2244659090909089</v>
      </c>
      <c r="IU199" s="1611">
        <v>0</v>
      </c>
      <c r="IV199" s="1611">
        <v>1.5340909090909092E-3</v>
      </c>
      <c r="IW199" s="1611">
        <v>2.3863636363636361E-4</v>
      </c>
      <c r="IX199" s="1611">
        <v>2.8409090909090913E-4</v>
      </c>
      <c r="IY199" s="1611">
        <v>2.3863636363636361E-4</v>
      </c>
      <c r="IZ199" s="1611">
        <v>1.3863636363636363E-3</v>
      </c>
      <c r="JA199" s="1611">
        <v>5.6818181818181818E-5</v>
      </c>
      <c r="JB199" s="1611" t="s">
        <v>270</v>
      </c>
      <c r="JC199" s="1611">
        <v>0.26313636363636367</v>
      </c>
      <c r="JD199" s="1611">
        <v>8.5340909090909096E-3</v>
      </c>
      <c r="JE199" s="1611" t="s">
        <v>270</v>
      </c>
      <c r="JF199" s="1611">
        <v>2.8409090909090913E-4</v>
      </c>
      <c r="JG199" s="1611">
        <v>5.9261363636363633E-2</v>
      </c>
      <c r="JH199" s="1611">
        <v>2.9545454545454547E-4</v>
      </c>
      <c r="JI199" s="1611">
        <v>2.8784090909090908E-2</v>
      </c>
      <c r="JJ199" s="1611" t="s">
        <v>270</v>
      </c>
      <c r="JK199" s="1607">
        <f t="shared" ref="JK199:JK262" si="12">IFERROR(IF( IL199-IS199&gt; 0, IL199-IS199,""),"")</f>
        <v>0.35499999999999998</v>
      </c>
      <c r="JL199" s="1608" t="s">
        <v>270</v>
      </c>
      <c r="JM199" s="1610" t="s">
        <v>2924</v>
      </c>
      <c r="JN199" s="1608">
        <v>0.39243181818181805</v>
      </c>
      <c r="JO199" s="1609" t="s">
        <v>2958</v>
      </c>
      <c r="JP199" s="1608" t="s">
        <v>270</v>
      </c>
      <c r="JQ199" s="1607">
        <v>202103</v>
      </c>
      <c r="JR199" s="1606">
        <v>401</v>
      </c>
      <c r="JS199" s="1606">
        <v>360</v>
      </c>
      <c r="JT199" s="1606">
        <v>360</v>
      </c>
    </row>
    <row r="200" spans="1:280" ht="15" customHeight="1" x14ac:dyDescent="0.2">
      <c r="A200" s="1626">
        <v>71100</v>
      </c>
      <c r="B200" s="1625">
        <v>711</v>
      </c>
      <c r="C200" s="1624">
        <v>0</v>
      </c>
      <c r="D200" s="1623" t="s">
        <v>3266</v>
      </c>
      <c r="E200" s="1622">
        <v>40310</v>
      </c>
      <c r="F200" s="1620">
        <v>0.19117298550391101</v>
      </c>
      <c r="G200" s="1620">
        <v>0.19653668662582699</v>
      </c>
      <c r="H200" s="1621">
        <v>66.2</v>
      </c>
      <c r="I200" s="1621" t="s">
        <v>270</v>
      </c>
      <c r="J200" s="1621">
        <v>90</v>
      </c>
      <c r="K200" s="1620">
        <v>1</v>
      </c>
      <c r="L200" s="1620">
        <v>19</v>
      </c>
      <c r="M200" s="1620">
        <v>1.25471698113208</v>
      </c>
      <c r="N200" s="1620">
        <v>0.95</v>
      </c>
      <c r="O200" s="1620">
        <v>0.28499999999999998</v>
      </c>
      <c r="P200" s="1620">
        <v>9.2910000000000004</v>
      </c>
      <c r="Q200" s="1603"/>
      <c r="R200" s="1620">
        <v>55.9264817142857</v>
      </c>
      <c r="S200" s="1620" t="s">
        <v>270</v>
      </c>
      <c r="T200" s="1620" t="s">
        <v>270</v>
      </c>
      <c r="U200" s="1620" t="s">
        <v>270</v>
      </c>
      <c r="V200" s="1620" t="s">
        <v>270</v>
      </c>
      <c r="W200" s="1620" t="s">
        <v>270</v>
      </c>
      <c r="X200" s="1620"/>
      <c r="Y200" s="1620">
        <v>4</v>
      </c>
      <c r="Z200" s="1620">
        <v>1</v>
      </c>
      <c r="AA200" s="1620">
        <v>1.2</v>
      </c>
      <c r="AB200" s="1620" t="s">
        <v>270</v>
      </c>
      <c r="AC200" s="1620" t="s">
        <v>270</v>
      </c>
      <c r="AD200" s="1620" t="s">
        <v>270</v>
      </c>
      <c r="AE200" s="1620">
        <v>0</v>
      </c>
      <c r="AF200" s="1620">
        <v>0</v>
      </c>
      <c r="AG200" s="1620">
        <v>0</v>
      </c>
      <c r="AH200" s="1620">
        <v>0</v>
      </c>
      <c r="AI200" s="1620">
        <v>0</v>
      </c>
      <c r="AJ200" s="1620">
        <v>0</v>
      </c>
      <c r="AK200" s="1620">
        <v>0</v>
      </c>
      <c r="AL200" s="1620"/>
      <c r="AM200" s="1620">
        <v>4.1176469999999998</v>
      </c>
      <c r="AN200" s="1620">
        <v>1.470588</v>
      </c>
      <c r="AO200" s="1620">
        <v>1.176471</v>
      </c>
      <c r="AP200" s="1620">
        <v>3.5294120000000002</v>
      </c>
      <c r="AQ200" s="1620" t="s">
        <v>270</v>
      </c>
      <c r="AR200" s="1620" t="s">
        <v>270</v>
      </c>
      <c r="AS200" s="1620" t="s">
        <v>270</v>
      </c>
      <c r="AT200" s="1620" t="s">
        <v>270</v>
      </c>
      <c r="AU200" s="1620" t="s">
        <v>270</v>
      </c>
      <c r="AV200" s="1620" t="s">
        <v>270</v>
      </c>
      <c r="AW200" s="1620" t="s">
        <v>270</v>
      </c>
      <c r="AX200" s="1620"/>
      <c r="AY200" s="1620">
        <v>1</v>
      </c>
      <c r="AZ200" s="1620">
        <v>1</v>
      </c>
      <c r="BA200" s="1620">
        <v>1</v>
      </c>
      <c r="BB200" s="1620">
        <v>1</v>
      </c>
      <c r="BC200" s="1620">
        <v>1</v>
      </c>
      <c r="BD200" s="1620">
        <v>1</v>
      </c>
      <c r="BE200" s="1620">
        <v>1</v>
      </c>
      <c r="BF200" s="1620">
        <v>1</v>
      </c>
      <c r="BG200" s="1620">
        <v>1</v>
      </c>
      <c r="BH200" s="1620">
        <v>1</v>
      </c>
      <c r="BI200" s="1620">
        <v>1</v>
      </c>
      <c r="BJ200" s="1603"/>
      <c r="BK200" s="1620">
        <v>6.6037735849056842</v>
      </c>
      <c r="BL200" s="1620">
        <v>5</v>
      </c>
      <c r="BM200" s="1620">
        <v>1.4999999999999998</v>
      </c>
      <c r="BN200" s="1620">
        <v>48.9</v>
      </c>
      <c r="BO200" s="1620"/>
      <c r="BP200" s="1620">
        <v>0</v>
      </c>
      <c r="BQ200" s="1620">
        <v>0</v>
      </c>
      <c r="BR200" s="1620">
        <v>1.0061736079153212</v>
      </c>
      <c r="BS200" s="1620">
        <v>1.034403613820142</v>
      </c>
      <c r="BT200" s="1603"/>
      <c r="BU200" s="1620">
        <v>985</v>
      </c>
      <c r="BV200" s="1620">
        <v>543.47566037735783</v>
      </c>
      <c r="BW200" s="1620" t="s">
        <v>270</v>
      </c>
      <c r="BX200" s="1620" t="s">
        <v>270</v>
      </c>
      <c r="BY200" s="1620" t="s">
        <v>270</v>
      </c>
      <c r="BZ200" s="1620" t="s">
        <v>270</v>
      </c>
      <c r="CA200" s="1620" t="s">
        <v>270</v>
      </c>
      <c r="CB200" s="1603"/>
      <c r="CC200" s="1603">
        <v>0.76</v>
      </c>
      <c r="CD200" s="1603">
        <v>0.19</v>
      </c>
      <c r="CE200" s="1603">
        <v>0.22799999999999998</v>
      </c>
      <c r="CF200" s="1603" t="s">
        <v>270</v>
      </c>
      <c r="CG200" s="1603" t="s">
        <v>270</v>
      </c>
      <c r="CH200" s="1603" t="s">
        <v>270</v>
      </c>
      <c r="CI200" s="1603">
        <v>0</v>
      </c>
      <c r="CJ200" s="1603"/>
      <c r="CK200" s="1603">
        <v>0</v>
      </c>
      <c r="CL200" s="1603">
        <v>0</v>
      </c>
      <c r="CM200" s="1603">
        <v>0</v>
      </c>
      <c r="CN200" s="1603">
        <v>0</v>
      </c>
      <c r="CO200" s="1603">
        <v>0</v>
      </c>
      <c r="CP200" s="1603">
        <v>0</v>
      </c>
      <c r="CQ200" s="1603">
        <v>7.0171906301886704</v>
      </c>
      <c r="CR200" s="1603">
        <v>36.705973972693506</v>
      </c>
      <c r="CS200" s="1603">
        <v>1.5114224361073956</v>
      </c>
      <c r="CT200" s="1603">
        <v>0.53979364852555412</v>
      </c>
      <c r="CU200" s="1603">
        <v>0.43183513905628723</v>
      </c>
      <c r="CV200" s="1603">
        <v>0.97162878758184146</v>
      </c>
      <c r="CW200" s="1603">
        <v>1.2955050501091236</v>
      </c>
      <c r="CX200" s="1603" t="s">
        <v>270</v>
      </c>
      <c r="CY200" s="1603" t="s">
        <v>270</v>
      </c>
      <c r="CZ200" s="1603" t="s">
        <v>270</v>
      </c>
      <c r="DA200" s="1603" t="s">
        <v>270</v>
      </c>
      <c r="DB200" s="1603" t="s">
        <v>270</v>
      </c>
      <c r="DC200" s="1603" t="s">
        <v>270</v>
      </c>
      <c r="DD200" s="1603" t="s">
        <v>270</v>
      </c>
      <c r="DE200" s="1603" t="s">
        <v>270</v>
      </c>
      <c r="DF200" s="1603">
        <v>0</v>
      </c>
      <c r="DG200" s="1603">
        <v>0</v>
      </c>
      <c r="DH200" s="1603">
        <v>0</v>
      </c>
      <c r="DI200" s="1603">
        <v>0</v>
      </c>
      <c r="DJ200" s="1603">
        <v>0</v>
      </c>
      <c r="DK200" s="1603">
        <v>0</v>
      </c>
      <c r="DL200" s="1603">
        <v>0</v>
      </c>
      <c r="DM200" s="1603">
        <v>0</v>
      </c>
      <c r="DN200" s="1603">
        <v>0</v>
      </c>
      <c r="DO200" s="1603">
        <v>0</v>
      </c>
      <c r="DP200" s="1603">
        <v>0</v>
      </c>
      <c r="DQ200" s="1603">
        <v>0</v>
      </c>
      <c r="DR200" s="1603">
        <v>0</v>
      </c>
      <c r="DS200" s="1603">
        <v>0</v>
      </c>
      <c r="DT200" s="1603">
        <v>0</v>
      </c>
      <c r="DU200" s="1603">
        <v>0</v>
      </c>
      <c r="DV200" s="1603">
        <v>0</v>
      </c>
      <c r="DW200" s="1618" t="s">
        <v>3265</v>
      </c>
      <c r="DX200" s="1605" t="s">
        <v>986</v>
      </c>
      <c r="DY200" s="1605" t="s">
        <v>986</v>
      </c>
      <c r="DZ200" s="1605" t="s">
        <v>986</v>
      </c>
      <c r="EA200" s="1605" t="s">
        <v>986</v>
      </c>
      <c r="EB200" s="1605" t="s">
        <v>986</v>
      </c>
      <c r="EC200" s="1605" t="s">
        <v>986</v>
      </c>
      <c r="ED200" s="1605" t="s">
        <v>986</v>
      </c>
      <c r="EE200" s="1605" t="s">
        <v>986</v>
      </c>
      <c r="EF200" s="1605" t="s">
        <v>986</v>
      </c>
      <c r="EG200" s="1605" t="s">
        <v>986</v>
      </c>
      <c r="EH200" s="1605" t="s">
        <v>986</v>
      </c>
      <c r="EI200" s="1605" t="s">
        <v>986</v>
      </c>
      <c r="EJ200" s="1605" t="s">
        <v>986</v>
      </c>
      <c r="EK200" s="1605" t="s">
        <v>986</v>
      </c>
      <c r="EL200" s="1605" t="s">
        <v>986</v>
      </c>
      <c r="EM200" s="1605" t="s">
        <v>986</v>
      </c>
      <c r="EN200" s="1605" t="s">
        <v>986</v>
      </c>
      <c r="EO200" s="1605" t="s">
        <v>986</v>
      </c>
      <c r="EP200" s="1605" t="s">
        <v>986</v>
      </c>
      <c r="EQ200" s="1605" t="s">
        <v>986</v>
      </c>
      <c r="ER200" s="1605" t="s">
        <v>986</v>
      </c>
      <c r="ES200" s="1605" t="s">
        <v>986</v>
      </c>
      <c r="ET200" s="1605" t="s">
        <v>986</v>
      </c>
      <c r="EU200" s="1605" t="s">
        <v>986</v>
      </c>
      <c r="EV200" s="1605" t="s">
        <v>986</v>
      </c>
      <c r="EW200" s="1605" t="s">
        <v>986</v>
      </c>
      <c r="EX200" s="1605" t="s">
        <v>986</v>
      </c>
      <c r="EY200" s="1605" t="s">
        <v>986</v>
      </c>
      <c r="EZ200" s="1605" t="s">
        <v>986</v>
      </c>
      <c r="FA200" s="1605" t="s">
        <v>986</v>
      </c>
      <c r="FB200" s="1605" t="s">
        <v>986</v>
      </c>
      <c r="FC200" s="1605" t="s">
        <v>986</v>
      </c>
      <c r="FD200" s="1605" t="s">
        <v>986</v>
      </c>
      <c r="FE200" s="1605" t="s">
        <v>986</v>
      </c>
      <c r="FF200" s="1605" t="s">
        <v>986</v>
      </c>
      <c r="FG200" s="1605" t="s">
        <v>986</v>
      </c>
      <c r="FH200" s="1605" t="s">
        <v>986</v>
      </c>
      <c r="FI200" s="1605" t="s">
        <v>986</v>
      </c>
      <c r="FJ200" s="1605" t="s">
        <v>986</v>
      </c>
      <c r="FK200" s="1605" t="s">
        <v>986</v>
      </c>
      <c r="FL200" s="1605" t="s">
        <v>986</v>
      </c>
      <c r="FM200" s="1605" t="s">
        <v>986</v>
      </c>
      <c r="FN200" s="1605" t="s">
        <v>986</v>
      </c>
      <c r="FO200" s="1605" t="s">
        <v>986</v>
      </c>
      <c r="FP200" s="1605" t="s">
        <v>986</v>
      </c>
      <c r="FQ200" s="1605" t="s">
        <v>986</v>
      </c>
      <c r="FR200" s="1605" t="s">
        <v>986</v>
      </c>
      <c r="FS200" s="1605" t="s">
        <v>986</v>
      </c>
      <c r="FT200" s="1605" t="s">
        <v>986</v>
      </c>
      <c r="FU200" s="1605" t="s">
        <v>986</v>
      </c>
      <c r="FV200" s="1605" t="s">
        <v>986</v>
      </c>
      <c r="FW200" s="1605" t="s">
        <v>986</v>
      </c>
      <c r="FX200" s="1605" t="s">
        <v>986</v>
      </c>
      <c r="FY200" s="1605" t="s">
        <v>986</v>
      </c>
      <c r="FZ200" s="1605" t="s">
        <v>986</v>
      </c>
      <c r="GA200" s="1605" t="s">
        <v>986</v>
      </c>
      <c r="GB200" s="1605" t="s">
        <v>986</v>
      </c>
      <c r="GC200" s="1605" t="s">
        <v>986</v>
      </c>
      <c r="GD200" s="1605" t="s">
        <v>986</v>
      </c>
      <c r="GE200" s="1605" t="s">
        <v>986</v>
      </c>
      <c r="GF200" s="1605" t="s">
        <v>986</v>
      </c>
      <c r="GG200" s="1605" t="s">
        <v>986</v>
      </c>
      <c r="GH200" s="1605" t="s">
        <v>986</v>
      </c>
      <c r="GI200" s="1605" t="s">
        <v>986</v>
      </c>
      <c r="GJ200" s="1605" t="s">
        <v>986</v>
      </c>
      <c r="GK200" s="1605" t="s">
        <v>986</v>
      </c>
      <c r="GL200" s="1605" t="s">
        <v>986</v>
      </c>
      <c r="GM200" s="1605" t="s">
        <v>986</v>
      </c>
      <c r="GN200" s="1605" t="s">
        <v>986</v>
      </c>
      <c r="GO200" s="1605" t="s">
        <v>986</v>
      </c>
      <c r="GP200" s="1605" t="s">
        <v>986</v>
      </c>
      <c r="GQ200" s="1605" t="s">
        <v>986</v>
      </c>
      <c r="GR200" s="1605" t="s">
        <v>986</v>
      </c>
      <c r="GS200" s="1605" t="s">
        <v>986</v>
      </c>
      <c r="GT200" s="1605" t="s">
        <v>986</v>
      </c>
      <c r="GU200" s="1605" t="s">
        <v>986</v>
      </c>
      <c r="GV200" s="1605" t="s">
        <v>986</v>
      </c>
      <c r="GW200" s="1605" t="s">
        <v>986</v>
      </c>
      <c r="GX200" s="1605" t="s">
        <v>986</v>
      </c>
      <c r="GY200" s="1605" t="s">
        <v>986</v>
      </c>
      <c r="GZ200" s="1605" t="s">
        <v>986</v>
      </c>
      <c r="HA200" s="1605" t="s">
        <v>986</v>
      </c>
      <c r="HB200" s="1605" t="s">
        <v>986</v>
      </c>
      <c r="HC200" s="1605" t="s">
        <v>986</v>
      </c>
      <c r="HD200" s="1605" t="s">
        <v>986</v>
      </c>
      <c r="HE200" s="1605" t="s">
        <v>986</v>
      </c>
      <c r="HF200" s="1605" t="s">
        <v>986</v>
      </c>
      <c r="HG200" s="1605" t="s">
        <v>986</v>
      </c>
      <c r="HH200" s="1605" t="s">
        <v>986</v>
      </c>
      <c r="HI200" s="1605" t="s">
        <v>986</v>
      </c>
      <c r="HJ200" s="1605" t="s">
        <v>986</v>
      </c>
      <c r="HK200" s="1605" t="s">
        <v>986</v>
      </c>
      <c r="HL200" s="1605" t="s">
        <v>986</v>
      </c>
      <c r="HM200" s="1605" t="s">
        <v>986</v>
      </c>
      <c r="HN200" s="1605" t="s">
        <v>986</v>
      </c>
      <c r="HO200" s="1605" t="s">
        <v>986</v>
      </c>
      <c r="HP200" s="1605" t="s">
        <v>986</v>
      </c>
      <c r="HQ200" s="1605" t="s">
        <v>986</v>
      </c>
      <c r="HR200" s="1605" t="s">
        <v>986</v>
      </c>
      <c r="HS200" s="1605" t="s">
        <v>986</v>
      </c>
      <c r="HT200" s="1605" t="s">
        <v>986</v>
      </c>
      <c r="HU200" s="1605" t="s">
        <v>986</v>
      </c>
      <c r="HV200" s="1617"/>
      <c r="HW200" s="1617">
        <v>0</v>
      </c>
      <c r="HX200" s="1617">
        <v>0</v>
      </c>
      <c r="HY200" s="1617">
        <v>0</v>
      </c>
      <c r="HZ200" s="1603"/>
      <c r="IA200" s="1603"/>
      <c r="IB200" s="1603"/>
      <c r="IC200" s="1603" t="s">
        <v>270</v>
      </c>
      <c r="ID200" s="1603" t="s">
        <v>270</v>
      </c>
      <c r="IE200" s="1603" t="s">
        <v>270</v>
      </c>
      <c r="IF200" s="1603" t="s">
        <v>270</v>
      </c>
      <c r="IG200" s="1611" t="s">
        <v>270</v>
      </c>
      <c r="IH200" s="1616" t="s">
        <v>270</v>
      </c>
      <c r="II200" s="1615" t="s">
        <v>270</v>
      </c>
      <c r="IJ200" s="1613">
        <v>0.63600000000000001</v>
      </c>
      <c r="IK200" s="1613">
        <v>0.63600000000000001</v>
      </c>
      <c r="IL200" s="1614">
        <v>0.63600000000000001</v>
      </c>
      <c r="IM200" s="1614">
        <v>0.63600000000000001</v>
      </c>
      <c r="IN200" s="1612">
        <v>0.63600000000000001</v>
      </c>
      <c r="IO200" s="1613">
        <v>0</v>
      </c>
      <c r="IP200" s="1607" t="s">
        <v>270</v>
      </c>
      <c r="IQ200" s="1612" t="s">
        <v>270</v>
      </c>
      <c r="IR200" s="1612" t="s">
        <v>270</v>
      </c>
      <c r="IS200" s="1607" t="s">
        <v>270</v>
      </c>
      <c r="IT200" s="1607" t="s">
        <v>270</v>
      </c>
      <c r="IU200" s="1611" t="s">
        <v>270</v>
      </c>
      <c r="IV200" s="1611" t="s">
        <v>270</v>
      </c>
      <c r="IW200" s="1611" t="s">
        <v>270</v>
      </c>
      <c r="IX200" s="1611" t="s">
        <v>270</v>
      </c>
      <c r="IY200" s="1611" t="s">
        <v>270</v>
      </c>
      <c r="IZ200" s="1611" t="s">
        <v>270</v>
      </c>
      <c r="JA200" s="1611" t="s">
        <v>270</v>
      </c>
      <c r="JB200" s="1611" t="s">
        <v>270</v>
      </c>
      <c r="JC200" s="1611" t="s">
        <v>270</v>
      </c>
      <c r="JD200" s="1611" t="s">
        <v>270</v>
      </c>
      <c r="JE200" s="1611" t="s">
        <v>270</v>
      </c>
      <c r="JF200" s="1611" t="s">
        <v>270</v>
      </c>
      <c r="JG200" s="1611" t="s">
        <v>270</v>
      </c>
      <c r="JH200" s="1611" t="s">
        <v>270</v>
      </c>
      <c r="JI200" s="1611" t="s">
        <v>270</v>
      </c>
      <c r="JJ200" s="1611" t="s">
        <v>270</v>
      </c>
      <c r="JK200" s="1607" t="str">
        <f t="shared" si="12"/>
        <v/>
      </c>
      <c r="JL200" s="1608" t="s">
        <v>2946</v>
      </c>
      <c r="JM200" s="1610" t="s">
        <v>2945</v>
      </c>
      <c r="JN200" s="1608" t="s">
        <v>270</v>
      </c>
      <c r="JO200" s="1609" t="s">
        <v>270</v>
      </c>
      <c r="JP200" s="1608">
        <v>0.63600000000000001</v>
      </c>
      <c r="JQ200" s="1607" t="s">
        <v>270</v>
      </c>
      <c r="JR200" s="1606" t="s">
        <v>270</v>
      </c>
      <c r="JS200" s="1606" t="s">
        <v>270</v>
      </c>
      <c r="JT200" s="1606" t="s">
        <v>270</v>
      </c>
    </row>
    <row r="201" spans="1:280" ht="15" customHeight="1" x14ac:dyDescent="0.2">
      <c r="A201" s="1626">
        <v>95210</v>
      </c>
      <c r="B201" s="1625">
        <v>952</v>
      </c>
      <c r="C201" s="1624">
        <v>10</v>
      </c>
      <c r="D201" s="1623" t="s">
        <v>3264</v>
      </c>
      <c r="E201" s="1622">
        <v>43031</v>
      </c>
      <c r="F201" s="1620">
        <v>1.45860433604336</v>
      </c>
      <c r="G201" s="1620">
        <v>1.39798701298702</v>
      </c>
      <c r="H201" s="1621">
        <v>100</v>
      </c>
      <c r="I201" s="1621">
        <v>100</v>
      </c>
      <c r="J201" s="1621">
        <v>100</v>
      </c>
      <c r="K201" s="1620">
        <v>1</v>
      </c>
      <c r="L201" s="1620">
        <v>99</v>
      </c>
      <c r="M201" s="1620">
        <v>50</v>
      </c>
      <c r="N201" s="1620">
        <v>0</v>
      </c>
      <c r="O201" s="1620">
        <v>0</v>
      </c>
      <c r="P201" s="1620">
        <v>0</v>
      </c>
      <c r="Q201" s="1603"/>
      <c r="R201" s="1620">
        <v>0</v>
      </c>
      <c r="S201" s="1620">
        <v>0</v>
      </c>
      <c r="T201" s="1620">
        <v>0</v>
      </c>
      <c r="U201" s="1620">
        <v>0</v>
      </c>
      <c r="V201" s="1620">
        <v>0</v>
      </c>
      <c r="W201" s="1620">
        <v>0</v>
      </c>
      <c r="X201" s="1620"/>
      <c r="Y201" s="1620">
        <v>0</v>
      </c>
      <c r="Z201" s="1620">
        <v>0</v>
      </c>
      <c r="AA201" s="1620">
        <v>0</v>
      </c>
      <c r="AB201" s="1620">
        <v>0</v>
      </c>
      <c r="AC201" s="1620">
        <v>0</v>
      </c>
      <c r="AD201" s="1620">
        <v>0</v>
      </c>
      <c r="AE201" s="1620">
        <v>0</v>
      </c>
      <c r="AF201" s="1620">
        <v>0</v>
      </c>
      <c r="AG201" s="1620">
        <v>0</v>
      </c>
      <c r="AH201" s="1620">
        <v>0</v>
      </c>
      <c r="AI201" s="1620">
        <v>0</v>
      </c>
      <c r="AJ201" s="1620">
        <v>0</v>
      </c>
      <c r="AK201" s="1620">
        <v>0</v>
      </c>
      <c r="AL201" s="1620"/>
      <c r="AM201" s="1620">
        <v>0</v>
      </c>
      <c r="AN201" s="1620">
        <v>0</v>
      </c>
      <c r="AO201" s="1620">
        <v>0</v>
      </c>
      <c r="AP201" s="1620">
        <v>0</v>
      </c>
      <c r="AQ201" s="1620">
        <v>0</v>
      </c>
      <c r="AR201" s="1620">
        <v>0</v>
      </c>
      <c r="AS201" s="1620">
        <v>0</v>
      </c>
      <c r="AT201" s="1620">
        <v>0</v>
      </c>
      <c r="AU201" s="1620">
        <v>0</v>
      </c>
      <c r="AV201" s="1620">
        <v>0</v>
      </c>
      <c r="AW201" s="1620">
        <v>0</v>
      </c>
      <c r="AX201" s="1620"/>
      <c r="AY201" s="1620">
        <v>1</v>
      </c>
      <c r="AZ201" s="1620">
        <v>1</v>
      </c>
      <c r="BA201" s="1620">
        <v>1</v>
      </c>
      <c r="BB201" s="1620">
        <v>1</v>
      </c>
      <c r="BC201" s="1620">
        <v>1</v>
      </c>
      <c r="BD201" s="1620">
        <v>1</v>
      </c>
      <c r="BE201" s="1620">
        <v>1</v>
      </c>
      <c r="BF201" s="1620">
        <v>1</v>
      </c>
      <c r="BG201" s="1620">
        <v>1</v>
      </c>
      <c r="BH201" s="1620">
        <v>1</v>
      </c>
      <c r="BI201" s="1620">
        <v>1</v>
      </c>
      <c r="BJ201" s="1603"/>
      <c r="BK201" s="1620">
        <v>50.505050505050505</v>
      </c>
      <c r="BL201" s="1620">
        <v>0</v>
      </c>
      <c r="BM201" s="1620">
        <v>0</v>
      </c>
      <c r="BN201" s="1620">
        <v>0</v>
      </c>
      <c r="BO201" s="1620"/>
      <c r="BP201" s="1620">
        <v>0</v>
      </c>
      <c r="BQ201" s="1620">
        <v>0</v>
      </c>
      <c r="BR201" s="1620">
        <v>1.4733377131751113</v>
      </c>
      <c r="BS201" s="1620">
        <v>1.4121080939262827</v>
      </c>
      <c r="BT201" s="1603"/>
      <c r="BU201" s="1620">
        <v>1000</v>
      </c>
      <c r="BV201" s="1620">
        <v>540.40404040404042</v>
      </c>
      <c r="BW201" s="1620">
        <v>0</v>
      </c>
      <c r="BX201" s="1620" t="s">
        <v>270</v>
      </c>
      <c r="BY201" s="1620" t="s">
        <v>270</v>
      </c>
      <c r="BZ201" s="1620" t="s">
        <v>270</v>
      </c>
      <c r="CA201" s="1620" t="s">
        <v>270</v>
      </c>
      <c r="CB201" s="1603"/>
      <c r="CC201" s="1603">
        <v>0</v>
      </c>
      <c r="CD201" s="1603">
        <v>0</v>
      </c>
      <c r="CE201" s="1603">
        <v>0</v>
      </c>
      <c r="CF201" s="1603">
        <v>0</v>
      </c>
      <c r="CG201" s="1603">
        <v>0</v>
      </c>
      <c r="CH201" s="1603">
        <v>0</v>
      </c>
      <c r="CI201" s="1603">
        <v>0</v>
      </c>
      <c r="CJ201" s="1603"/>
      <c r="CK201" s="1603">
        <v>0</v>
      </c>
      <c r="CL201" s="1603">
        <v>0</v>
      </c>
      <c r="CM201" s="1603">
        <v>0</v>
      </c>
      <c r="CN201" s="1603">
        <v>0</v>
      </c>
      <c r="CO201" s="1603">
        <v>0</v>
      </c>
      <c r="CP201" s="1603">
        <v>0</v>
      </c>
      <c r="CQ201" s="1603">
        <v>0</v>
      </c>
      <c r="CR201" s="1603">
        <v>0</v>
      </c>
      <c r="CS201" s="1603">
        <v>0</v>
      </c>
      <c r="CT201" s="1603">
        <v>0</v>
      </c>
      <c r="CU201" s="1603">
        <v>0</v>
      </c>
      <c r="CV201" s="1603">
        <v>0</v>
      </c>
      <c r="CW201" s="1603">
        <v>0</v>
      </c>
      <c r="CX201" s="1603">
        <v>0</v>
      </c>
      <c r="CY201" s="1603">
        <v>0</v>
      </c>
      <c r="CZ201" s="1603">
        <v>0</v>
      </c>
      <c r="DA201" s="1603">
        <v>0</v>
      </c>
      <c r="DB201" s="1603">
        <v>0</v>
      </c>
      <c r="DC201" s="1603">
        <v>0</v>
      </c>
      <c r="DD201" s="1603">
        <v>0</v>
      </c>
      <c r="DE201" s="1603">
        <v>0</v>
      </c>
      <c r="DF201" s="1603">
        <v>0</v>
      </c>
      <c r="DG201" s="1603">
        <v>5000000</v>
      </c>
      <c r="DH201" s="1603">
        <v>0</v>
      </c>
      <c r="DI201" s="1603">
        <v>0</v>
      </c>
      <c r="DJ201" s="1603">
        <v>0</v>
      </c>
      <c r="DK201" s="1603">
        <v>0</v>
      </c>
      <c r="DL201" s="1603">
        <v>0</v>
      </c>
      <c r="DM201" s="1603">
        <v>0</v>
      </c>
      <c r="DN201" s="1603">
        <v>0</v>
      </c>
      <c r="DO201" s="1603">
        <v>0</v>
      </c>
      <c r="DP201" s="1603">
        <v>0</v>
      </c>
      <c r="DQ201" s="1603">
        <v>0</v>
      </c>
      <c r="DR201" s="1603">
        <v>0</v>
      </c>
      <c r="DS201" s="1603">
        <v>0</v>
      </c>
      <c r="DT201" s="1603">
        <v>0</v>
      </c>
      <c r="DU201" s="1603">
        <v>0</v>
      </c>
      <c r="DV201" s="1603">
        <v>0</v>
      </c>
      <c r="DW201" s="1618" t="s">
        <v>986</v>
      </c>
      <c r="DX201" s="1605" t="s">
        <v>986</v>
      </c>
      <c r="DY201" s="1605" t="s">
        <v>986</v>
      </c>
      <c r="DZ201" s="1605" t="s">
        <v>986</v>
      </c>
      <c r="EA201" s="1605" t="s">
        <v>986</v>
      </c>
      <c r="EB201" s="1605" t="s">
        <v>986</v>
      </c>
      <c r="EC201" s="1605" t="s">
        <v>986</v>
      </c>
      <c r="ED201" s="1605" t="s">
        <v>986</v>
      </c>
      <c r="EE201" s="1605" t="s">
        <v>986</v>
      </c>
      <c r="EF201" s="1605" t="s">
        <v>986</v>
      </c>
      <c r="EG201" s="1605" t="s">
        <v>986</v>
      </c>
      <c r="EH201" s="1605" t="s">
        <v>986</v>
      </c>
      <c r="EI201" s="1605" t="s">
        <v>986</v>
      </c>
      <c r="EJ201" s="1605" t="s">
        <v>986</v>
      </c>
      <c r="EK201" s="1605" t="s">
        <v>986</v>
      </c>
      <c r="EL201" s="1605" t="s">
        <v>986</v>
      </c>
      <c r="EM201" s="1605" t="s">
        <v>986</v>
      </c>
      <c r="EN201" s="1605" t="s">
        <v>986</v>
      </c>
      <c r="EO201" s="1605" t="s">
        <v>986</v>
      </c>
      <c r="EP201" s="1605" t="s">
        <v>986</v>
      </c>
      <c r="EQ201" s="1605" t="s">
        <v>986</v>
      </c>
      <c r="ER201" s="1605" t="s">
        <v>986</v>
      </c>
      <c r="ES201" s="1605" t="s">
        <v>986</v>
      </c>
      <c r="ET201" s="1605" t="s">
        <v>986</v>
      </c>
      <c r="EU201" s="1605" t="s">
        <v>986</v>
      </c>
      <c r="EV201" s="1605" t="s">
        <v>986</v>
      </c>
      <c r="EW201" s="1605" t="s">
        <v>986</v>
      </c>
      <c r="EX201" s="1605" t="s">
        <v>986</v>
      </c>
      <c r="EY201" s="1605" t="s">
        <v>986</v>
      </c>
      <c r="EZ201" s="1605" t="s">
        <v>986</v>
      </c>
      <c r="FA201" s="1605" t="s">
        <v>986</v>
      </c>
      <c r="FB201" s="1605" t="s">
        <v>986</v>
      </c>
      <c r="FC201" s="1605" t="s">
        <v>986</v>
      </c>
      <c r="FD201" s="1605" t="s">
        <v>986</v>
      </c>
      <c r="FE201" s="1605" t="s">
        <v>986</v>
      </c>
      <c r="FF201" s="1605" t="s">
        <v>986</v>
      </c>
      <c r="FG201" s="1605" t="s">
        <v>986</v>
      </c>
      <c r="FH201" s="1605" t="s">
        <v>986</v>
      </c>
      <c r="FI201" s="1605" t="s">
        <v>986</v>
      </c>
      <c r="FJ201" s="1605" t="s">
        <v>986</v>
      </c>
      <c r="FK201" s="1605" t="s">
        <v>986</v>
      </c>
      <c r="FL201" s="1605" t="s">
        <v>986</v>
      </c>
      <c r="FM201" s="1605" t="s">
        <v>986</v>
      </c>
      <c r="FN201" s="1605" t="s">
        <v>986</v>
      </c>
      <c r="FO201" s="1605" t="s">
        <v>986</v>
      </c>
      <c r="FP201" s="1605" t="s">
        <v>986</v>
      </c>
      <c r="FQ201" s="1605" t="s">
        <v>986</v>
      </c>
      <c r="FR201" s="1605" t="s">
        <v>986</v>
      </c>
      <c r="FS201" s="1605" t="s">
        <v>986</v>
      </c>
      <c r="FT201" s="1605" t="s">
        <v>986</v>
      </c>
      <c r="FU201" s="1605" t="s">
        <v>986</v>
      </c>
      <c r="FV201" s="1605" t="s">
        <v>986</v>
      </c>
      <c r="FW201" s="1605" t="s">
        <v>986</v>
      </c>
      <c r="FX201" s="1605" t="s">
        <v>986</v>
      </c>
      <c r="FY201" s="1605" t="s">
        <v>986</v>
      </c>
      <c r="FZ201" s="1605" t="s">
        <v>986</v>
      </c>
      <c r="GA201" s="1605" t="s">
        <v>986</v>
      </c>
      <c r="GB201" s="1605" t="s">
        <v>986</v>
      </c>
      <c r="GC201" s="1605" t="s">
        <v>986</v>
      </c>
      <c r="GD201" s="1605" t="s">
        <v>986</v>
      </c>
      <c r="GE201" s="1605" t="s">
        <v>986</v>
      </c>
      <c r="GF201" s="1605" t="s">
        <v>986</v>
      </c>
      <c r="GG201" s="1605" t="s">
        <v>986</v>
      </c>
      <c r="GH201" s="1605" t="s">
        <v>986</v>
      </c>
      <c r="GI201" s="1605" t="s">
        <v>986</v>
      </c>
      <c r="GJ201" s="1605" t="s">
        <v>986</v>
      </c>
      <c r="GK201" s="1605" t="s">
        <v>986</v>
      </c>
      <c r="GL201" s="1605" t="s">
        <v>986</v>
      </c>
      <c r="GM201" s="1605" t="s">
        <v>986</v>
      </c>
      <c r="GN201" s="1605" t="s">
        <v>986</v>
      </c>
      <c r="GO201" s="1605" t="s">
        <v>986</v>
      </c>
      <c r="GP201" s="1605" t="s">
        <v>986</v>
      </c>
      <c r="GQ201" s="1605" t="s">
        <v>986</v>
      </c>
      <c r="GR201" s="1605" t="s">
        <v>986</v>
      </c>
      <c r="GS201" s="1605" t="s">
        <v>986</v>
      </c>
      <c r="GT201" s="1605" t="s">
        <v>986</v>
      </c>
      <c r="GU201" s="1605" t="s">
        <v>986</v>
      </c>
      <c r="GV201" s="1605" t="s">
        <v>986</v>
      </c>
      <c r="GW201" s="1605" t="s">
        <v>986</v>
      </c>
      <c r="GX201" s="1605" t="s">
        <v>986</v>
      </c>
      <c r="GY201" s="1605" t="s">
        <v>986</v>
      </c>
      <c r="GZ201" s="1605" t="s">
        <v>986</v>
      </c>
      <c r="HA201" s="1605" t="s">
        <v>986</v>
      </c>
      <c r="HB201" s="1605" t="s">
        <v>986</v>
      </c>
      <c r="HC201" s="1605" t="s">
        <v>986</v>
      </c>
      <c r="HD201" s="1605" t="s">
        <v>986</v>
      </c>
      <c r="HE201" s="1605" t="s">
        <v>986</v>
      </c>
      <c r="HF201" s="1605" t="s">
        <v>986</v>
      </c>
      <c r="HG201" s="1605" t="s">
        <v>986</v>
      </c>
      <c r="HH201" s="1605" t="s">
        <v>986</v>
      </c>
      <c r="HI201" s="1605" t="s">
        <v>986</v>
      </c>
      <c r="HJ201" s="1605" t="s">
        <v>986</v>
      </c>
      <c r="HK201" s="1605" t="s">
        <v>986</v>
      </c>
      <c r="HL201" s="1605" t="s">
        <v>986</v>
      </c>
      <c r="HM201" s="1605" t="s">
        <v>986</v>
      </c>
      <c r="HN201" s="1605" t="s">
        <v>986</v>
      </c>
      <c r="HO201" s="1605" t="s">
        <v>986</v>
      </c>
      <c r="HP201" s="1605" t="s">
        <v>986</v>
      </c>
      <c r="HQ201" s="1605" t="s">
        <v>986</v>
      </c>
      <c r="HR201" s="1605" t="s">
        <v>986</v>
      </c>
      <c r="HS201" s="1605" t="s">
        <v>986</v>
      </c>
      <c r="HT201" s="1605" t="s">
        <v>986</v>
      </c>
      <c r="HU201" s="1605" t="s">
        <v>986</v>
      </c>
      <c r="HV201" s="1617"/>
      <c r="HW201" s="1617">
        <v>0</v>
      </c>
      <c r="HX201" s="1617">
        <v>0</v>
      </c>
      <c r="HY201" s="1617">
        <v>0</v>
      </c>
      <c r="HZ201" s="1603"/>
      <c r="IA201" s="1603"/>
      <c r="IB201" s="1603"/>
      <c r="IC201" s="1603">
        <v>0</v>
      </c>
      <c r="ID201" s="1603">
        <v>0</v>
      </c>
      <c r="IE201" s="1603">
        <v>0</v>
      </c>
      <c r="IF201" s="1603">
        <v>0</v>
      </c>
      <c r="IG201" s="1611" t="s">
        <v>2932</v>
      </c>
      <c r="IH201" s="1616" t="s">
        <v>270</v>
      </c>
      <c r="II201" s="1615" t="s">
        <v>270</v>
      </c>
      <c r="IJ201" s="1613">
        <v>1.3101818181818183</v>
      </c>
      <c r="IK201" s="1613">
        <v>1.301848484848485</v>
      </c>
      <c r="IL201" s="1614">
        <v>1.3101818181818183</v>
      </c>
      <c r="IM201" s="1614">
        <v>1.301848484848485</v>
      </c>
      <c r="IN201" s="1612" t="s">
        <v>270</v>
      </c>
      <c r="IO201" s="1613" t="s">
        <v>270</v>
      </c>
      <c r="IP201" s="1607" t="s">
        <v>270</v>
      </c>
      <c r="IQ201" s="1612" t="s">
        <v>270</v>
      </c>
      <c r="IR201" s="1612" t="s">
        <v>270</v>
      </c>
      <c r="IS201" s="1607">
        <v>1.1881818181818182</v>
      </c>
      <c r="IT201" s="1607">
        <v>1.1798484848484849</v>
      </c>
      <c r="IU201" s="1611">
        <v>0</v>
      </c>
      <c r="IV201" s="1611">
        <v>7.7767676767676763E-2</v>
      </c>
      <c r="IW201" s="1611">
        <v>9.0909090909090909E-4</v>
      </c>
      <c r="IX201" s="1611">
        <v>1.6060606060606061E-3</v>
      </c>
      <c r="IY201" s="1611">
        <v>9.6969696969696957E-4</v>
      </c>
      <c r="IZ201" s="1611">
        <v>5.9898989898989896E-3</v>
      </c>
      <c r="JA201" s="1611">
        <v>6.0606060606060598E-5</v>
      </c>
      <c r="JB201" s="1611" t="s">
        <v>270</v>
      </c>
      <c r="JC201" s="1611">
        <v>9.9026969696969704</v>
      </c>
      <c r="JD201" s="1611">
        <v>5.2121212121212122E-3</v>
      </c>
      <c r="JE201" s="1611" t="s">
        <v>270</v>
      </c>
      <c r="JF201" s="1611">
        <v>8.2828282828282835E-4</v>
      </c>
      <c r="JG201" s="1611">
        <v>0.57978787878787885</v>
      </c>
      <c r="JH201" s="1611">
        <v>7.646464646464647E-3</v>
      </c>
      <c r="JI201" s="1611">
        <v>0.3</v>
      </c>
      <c r="JJ201" s="1611" t="s">
        <v>270</v>
      </c>
      <c r="JK201" s="1607">
        <f t="shared" si="12"/>
        <v>0.12200000000000011</v>
      </c>
      <c r="JL201" s="1608" t="s">
        <v>270</v>
      </c>
      <c r="JM201" s="1610" t="s">
        <v>2924</v>
      </c>
      <c r="JN201" s="1608">
        <v>8.3333333333333037E-3</v>
      </c>
      <c r="JO201" s="1609" t="s">
        <v>2931</v>
      </c>
      <c r="JP201" s="1608" t="s">
        <v>270</v>
      </c>
      <c r="JQ201" s="1607">
        <v>202103</v>
      </c>
      <c r="JR201" s="1606">
        <v>851</v>
      </c>
      <c r="JS201" s="1606">
        <v>774</v>
      </c>
      <c r="JT201" s="1606">
        <v>774</v>
      </c>
    </row>
    <row r="202" spans="1:280" ht="15" customHeight="1" x14ac:dyDescent="0.2">
      <c r="A202" s="1626">
        <v>95200</v>
      </c>
      <c r="B202" s="1625">
        <v>952</v>
      </c>
      <c r="C202" s="1624">
        <v>0</v>
      </c>
      <c r="D202" s="1623" t="s">
        <v>3263</v>
      </c>
      <c r="E202" s="1622">
        <v>43031</v>
      </c>
      <c r="F202" s="1620">
        <v>1.45860433604336</v>
      </c>
      <c r="G202" s="1620">
        <v>1.39798701298702</v>
      </c>
      <c r="H202" s="1621">
        <v>100</v>
      </c>
      <c r="I202" s="1621">
        <v>100</v>
      </c>
      <c r="J202" s="1621">
        <v>100</v>
      </c>
      <c r="K202" s="1620">
        <v>1</v>
      </c>
      <c r="L202" s="1620">
        <v>99</v>
      </c>
      <c r="M202" s="1620">
        <v>50</v>
      </c>
      <c r="N202" s="1620">
        <v>0</v>
      </c>
      <c r="O202" s="1620">
        <v>0</v>
      </c>
      <c r="P202" s="1620">
        <v>0</v>
      </c>
      <c r="Q202" s="1603"/>
      <c r="R202" s="1620">
        <v>0</v>
      </c>
      <c r="S202" s="1620">
        <v>0</v>
      </c>
      <c r="T202" s="1620">
        <v>0</v>
      </c>
      <c r="U202" s="1620">
        <v>0</v>
      </c>
      <c r="V202" s="1620">
        <v>0</v>
      </c>
      <c r="W202" s="1620">
        <v>0</v>
      </c>
      <c r="X202" s="1620"/>
      <c r="Y202" s="1620">
        <v>0</v>
      </c>
      <c r="Z202" s="1620">
        <v>0</v>
      </c>
      <c r="AA202" s="1620">
        <v>0</v>
      </c>
      <c r="AB202" s="1620">
        <v>0</v>
      </c>
      <c r="AC202" s="1620">
        <v>0</v>
      </c>
      <c r="AD202" s="1620">
        <v>0</v>
      </c>
      <c r="AE202" s="1620">
        <v>0</v>
      </c>
      <c r="AF202" s="1620">
        <v>0</v>
      </c>
      <c r="AG202" s="1620">
        <v>0</v>
      </c>
      <c r="AH202" s="1620">
        <v>0</v>
      </c>
      <c r="AI202" s="1620">
        <v>0</v>
      </c>
      <c r="AJ202" s="1620">
        <v>0</v>
      </c>
      <c r="AK202" s="1620">
        <v>0</v>
      </c>
      <c r="AL202" s="1620"/>
      <c r="AM202" s="1620">
        <v>0</v>
      </c>
      <c r="AN202" s="1620">
        <v>0</v>
      </c>
      <c r="AO202" s="1620">
        <v>0</v>
      </c>
      <c r="AP202" s="1620">
        <v>0</v>
      </c>
      <c r="AQ202" s="1620">
        <v>0</v>
      </c>
      <c r="AR202" s="1620">
        <v>0</v>
      </c>
      <c r="AS202" s="1620">
        <v>0</v>
      </c>
      <c r="AT202" s="1620">
        <v>0</v>
      </c>
      <c r="AU202" s="1620">
        <v>0</v>
      </c>
      <c r="AV202" s="1620">
        <v>0</v>
      </c>
      <c r="AW202" s="1620">
        <v>0</v>
      </c>
      <c r="AX202" s="1620"/>
      <c r="AY202" s="1620">
        <v>1</v>
      </c>
      <c r="AZ202" s="1620">
        <v>1</v>
      </c>
      <c r="BA202" s="1620">
        <v>1</v>
      </c>
      <c r="BB202" s="1620">
        <v>1</v>
      </c>
      <c r="BC202" s="1620">
        <v>1</v>
      </c>
      <c r="BD202" s="1620">
        <v>1</v>
      </c>
      <c r="BE202" s="1620">
        <v>1</v>
      </c>
      <c r="BF202" s="1620">
        <v>1</v>
      </c>
      <c r="BG202" s="1620">
        <v>1</v>
      </c>
      <c r="BH202" s="1620">
        <v>1</v>
      </c>
      <c r="BI202" s="1620">
        <v>1</v>
      </c>
      <c r="BJ202" s="1603"/>
      <c r="BK202" s="1620">
        <v>50.505050505050505</v>
      </c>
      <c r="BL202" s="1620">
        <v>0</v>
      </c>
      <c r="BM202" s="1620">
        <v>0</v>
      </c>
      <c r="BN202" s="1620">
        <v>0</v>
      </c>
      <c r="BO202" s="1620"/>
      <c r="BP202" s="1620">
        <v>0</v>
      </c>
      <c r="BQ202" s="1620">
        <v>0</v>
      </c>
      <c r="BR202" s="1620">
        <v>1.4733377131751113</v>
      </c>
      <c r="BS202" s="1620">
        <v>1.4121080939262827</v>
      </c>
      <c r="BT202" s="1603"/>
      <c r="BU202" s="1620">
        <v>1000</v>
      </c>
      <c r="BV202" s="1620">
        <v>540.40404040404042</v>
      </c>
      <c r="BW202" s="1620">
        <v>0</v>
      </c>
      <c r="BX202" s="1620" t="s">
        <v>270</v>
      </c>
      <c r="BY202" s="1620" t="s">
        <v>270</v>
      </c>
      <c r="BZ202" s="1620" t="s">
        <v>270</v>
      </c>
      <c r="CA202" s="1620" t="s">
        <v>270</v>
      </c>
      <c r="CB202" s="1603"/>
      <c r="CC202" s="1603">
        <v>0</v>
      </c>
      <c r="CD202" s="1603">
        <v>0</v>
      </c>
      <c r="CE202" s="1603">
        <v>0</v>
      </c>
      <c r="CF202" s="1603">
        <v>0</v>
      </c>
      <c r="CG202" s="1603">
        <v>0</v>
      </c>
      <c r="CH202" s="1603">
        <v>0</v>
      </c>
      <c r="CI202" s="1603">
        <v>0</v>
      </c>
      <c r="CJ202" s="1603"/>
      <c r="CK202" s="1603">
        <v>0</v>
      </c>
      <c r="CL202" s="1603">
        <v>0</v>
      </c>
      <c r="CM202" s="1603">
        <v>0</v>
      </c>
      <c r="CN202" s="1603">
        <v>0</v>
      </c>
      <c r="CO202" s="1603">
        <v>0</v>
      </c>
      <c r="CP202" s="1603">
        <v>0</v>
      </c>
      <c r="CQ202" s="1603">
        <v>0</v>
      </c>
      <c r="CR202" s="1603">
        <v>0</v>
      </c>
      <c r="CS202" s="1603">
        <v>0</v>
      </c>
      <c r="CT202" s="1603">
        <v>0</v>
      </c>
      <c r="CU202" s="1603">
        <v>0</v>
      </c>
      <c r="CV202" s="1603">
        <v>0</v>
      </c>
      <c r="CW202" s="1603">
        <v>0</v>
      </c>
      <c r="CX202" s="1603">
        <v>0</v>
      </c>
      <c r="CY202" s="1603">
        <v>0</v>
      </c>
      <c r="CZ202" s="1603">
        <v>0</v>
      </c>
      <c r="DA202" s="1603">
        <v>0</v>
      </c>
      <c r="DB202" s="1603">
        <v>0</v>
      </c>
      <c r="DC202" s="1603">
        <v>0</v>
      </c>
      <c r="DD202" s="1603">
        <v>0</v>
      </c>
      <c r="DE202" s="1603">
        <v>0</v>
      </c>
      <c r="DF202" s="1603">
        <v>0</v>
      </c>
      <c r="DG202" s="1603">
        <v>4000000</v>
      </c>
      <c r="DH202" s="1603">
        <v>0</v>
      </c>
      <c r="DI202" s="1603">
        <v>0</v>
      </c>
      <c r="DJ202" s="1603">
        <v>0</v>
      </c>
      <c r="DK202" s="1603">
        <v>0</v>
      </c>
      <c r="DL202" s="1603">
        <v>0</v>
      </c>
      <c r="DM202" s="1603">
        <v>0</v>
      </c>
      <c r="DN202" s="1603">
        <v>0</v>
      </c>
      <c r="DO202" s="1603">
        <v>0</v>
      </c>
      <c r="DP202" s="1603">
        <v>0</v>
      </c>
      <c r="DQ202" s="1603">
        <v>0</v>
      </c>
      <c r="DR202" s="1603">
        <v>0</v>
      </c>
      <c r="DS202" s="1603">
        <v>0</v>
      </c>
      <c r="DT202" s="1603">
        <v>0</v>
      </c>
      <c r="DU202" s="1603">
        <v>0</v>
      </c>
      <c r="DV202" s="1603">
        <v>0</v>
      </c>
      <c r="DW202" s="1618" t="s">
        <v>986</v>
      </c>
      <c r="DX202" s="1605" t="s">
        <v>986</v>
      </c>
      <c r="DY202" s="1605" t="s">
        <v>986</v>
      </c>
      <c r="DZ202" s="1605" t="s">
        <v>986</v>
      </c>
      <c r="EA202" s="1605" t="s">
        <v>986</v>
      </c>
      <c r="EB202" s="1605" t="s">
        <v>986</v>
      </c>
      <c r="EC202" s="1605" t="s">
        <v>986</v>
      </c>
      <c r="ED202" s="1605" t="s">
        <v>986</v>
      </c>
      <c r="EE202" s="1605" t="s">
        <v>986</v>
      </c>
      <c r="EF202" s="1605" t="s">
        <v>986</v>
      </c>
      <c r="EG202" s="1605" t="s">
        <v>986</v>
      </c>
      <c r="EH202" s="1605" t="s">
        <v>986</v>
      </c>
      <c r="EI202" s="1605" t="s">
        <v>986</v>
      </c>
      <c r="EJ202" s="1605" t="s">
        <v>986</v>
      </c>
      <c r="EK202" s="1605" t="s">
        <v>986</v>
      </c>
      <c r="EL202" s="1605" t="s">
        <v>986</v>
      </c>
      <c r="EM202" s="1605" t="s">
        <v>986</v>
      </c>
      <c r="EN202" s="1605" t="s">
        <v>986</v>
      </c>
      <c r="EO202" s="1605" t="s">
        <v>986</v>
      </c>
      <c r="EP202" s="1605" t="s">
        <v>986</v>
      </c>
      <c r="EQ202" s="1605" t="s">
        <v>986</v>
      </c>
      <c r="ER202" s="1605" t="s">
        <v>986</v>
      </c>
      <c r="ES202" s="1605" t="s">
        <v>986</v>
      </c>
      <c r="ET202" s="1605" t="s">
        <v>986</v>
      </c>
      <c r="EU202" s="1605" t="s">
        <v>986</v>
      </c>
      <c r="EV202" s="1605" t="s">
        <v>986</v>
      </c>
      <c r="EW202" s="1605" t="s">
        <v>986</v>
      </c>
      <c r="EX202" s="1605" t="s">
        <v>986</v>
      </c>
      <c r="EY202" s="1605" t="s">
        <v>986</v>
      </c>
      <c r="EZ202" s="1605" t="s">
        <v>986</v>
      </c>
      <c r="FA202" s="1605" t="s">
        <v>986</v>
      </c>
      <c r="FB202" s="1605" t="s">
        <v>986</v>
      </c>
      <c r="FC202" s="1605" t="s">
        <v>986</v>
      </c>
      <c r="FD202" s="1605" t="s">
        <v>986</v>
      </c>
      <c r="FE202" s="1605" t="s">
        <v>986</v>
      </c>
      <c r="FF202" s="1605" t="s">
        <v>986</v>
      </c>
      <c r="FG202" s="1605" t="s">
        <v>986</v>
      </c>
      <c r="FH202" s="1605" t="s">
        <v>986</v>
      </c>
      <c r="FI202" s="1605" t="s">
        <v>986</v>
      </c>
      <c r="FJ202" s="1605" t="s">
        <v>986</v>
      </c>
      <c r="FK202" s="1605" t="s">
        <v>986</v>
      </c>
      <c r="FL202" s="1605" t="s">
        <v>986</v>
      </c>
      <c r="FM202" s="1605" t="s">
        <v>986</v>
      </c>
      <c r="FN202" s="1605" t="s">
        <v>986</v>
      </c>
      <c r="FO202" s="1605" t="s">
        <v>986</v>
      </c>
      <c r="FP202" s="1605" t="s">
        <v>986</v>
      </c>
      <c r="FQ202" s="1605" t="s">
        <v>986</v>
      </c>
      <c r="FR202" s="1605" t="s">
        <v>986</v>
      </c>
      <c r="FS202" s="1605" t="s">
        <v>986</v>
      </c>
      <c r="FT202" s="1605" t="s">
        <v>986</v>
      </c>
      <c r="FU202" s="1605" t="s">
        <v>986</v>
      </c>
      <c r="FV202" s="1605" t="s">
        <v>986</v>
      </c>
      <c r="FW202" s="1605" t="s">
        <v>986</v>
      </c>
      <c r="FX202" s="1605" t="s">
        <v>986</v>
      </c>
      <c r="FY202" s="1605" t="s">
        <v>986</v>
      </c>
      <c r="FZ202" s="1605" t="s">
        <v>986</v>
      </c>
      <c r="GA202" s="1605" t="s">
        <v>986</v>
      </c>
      <c r="GB202" s="1605" t="s">
        <v>986</v>
      </c>
      <c r="GC202" s="1605" t="s">
        <v>986</v>
      </c>
      <c r="GD202" s="1605" t="s">
        <v>986</v>
      </c>
      <c r="GE202" s="1605" t="s">
        <v>986</v>
      </c>
      <c r="GF202" s="1605" t="s">
        <v>986</v>
      </c>
      <c r="GG202" s="1605" t="s">
        <v>986</v>
      </c>
      <c r="GH202" s="1605" t="s">
        <v>986</v>
      </c>
      <c r="GI202" s="1605" t="s">
        <v>986</v>
      </c>
      <c r="GJ202" s="1605" t="s">
        <v>986</v>
      </c>
      <c r="GK202" s="1605" t="s">
        <v>986</v>
      </c>
      <c r="GL202" s="1605" t="s">
        <v>986</v>
      </c>
      <c r="GM202" s="1605" t="s">
        <v>986</v>
      </c>
      <c r="GN202" s="1605" t="s">
        <v>986</v>
      </c>
      <c r="GO202" s="1605" t="s">
        <v>986</v>
      </c>
      <c r="GP202" s="1605" t="s">
        <v>986</v>
      </c>
      <c r="GQ202" s="1605" t="s">
        <v>986</v>
      </c>
      <c r="GR202" s="1605" t="s">
        <v>986</v>
      </c>
      <c r="GS202" s="1605" t="s">
        <v>986</v>
      </c>
      <c r="GT202" s="1605" t="s">
        <v>986</v>
      </c>
      <c r="GU202" s="1605" t="s">
        <v>986</v>
      </c>
      <c r="GV202" s="1605" t="s">
        <v>986</v>
      </c>
      <c r="GW202" s="1605" t="s">
        <v>986</v>
      </c>
      <c r="GX202" s="1605" t="s">
        <v>986</v>
      </c>
      <c r="GY202" s="1605" t="s">
        <v>986</v>
      </c>
      <c r="GZ202" s="1605" t="s">
        <v>986</v>
      </c>
      <c r="HA202" s="1605" t="s">
        <v>986</v>
      </c>
      <c r="HB202" s="1605" t="s">
        <v>986</v>
      </c>
      <c r="HC202" s="1605" t="s">
        <v>986</v>
      </c>
      <c r="HD202" s="1605" t="s">
        <v>986</v>
      </c>
      <c r="HE202" s="1605" t="s">
        <v>986</v>
      </c>
      <c r="HF202" s="1605" t="s">
        <v>986</v>
      </c>
      <c r="HG202" s="1605" t="s">
        <v>986</v>
      </c>
      <c r="HH202" s="1605" t="s">
        <v>986</v>
      </c>
      <c r="HI202" s="1605" t="s">
        <v>986</v>
      </c>
      <c r="HJ202" s="1605" t="s">
        <v>986</v>
      </c>
      <c r="HK202" s="1605" t="s">
        <v>986</v>
      </c>
      <c r="HL202" s="1605" t="s">
        <v>986</v>
      </c>
      <c r="HM202" s="1605" t="s">
        <v>986</v>
      </c>
      <c r="HN202" s="1605" t="s">
        <v>986</v>
      </c>
      <c r="HO202" s="1605" t="s">
        <v>986</v>
      </c>
      <c r="HP202" s="1605" t="s">
        <v>986</v>
      </c>
      <c r="HQ202" s="1605" t="s">
        <v>986</v>
      </c>
      <c r="HR202" s="1605" t="s">
        <v>986</v>
      </c>
      <c r="HS202" s="1605" t="s">
        <v>986</v>
      </c>
      <c r="HT202" s="1605" t="s">
        <v>986</v>
      </c>
      <c r="HU202" s="1605" t="s">
        <v>986</v>
      </c>
      <c r="HV202" s="1617"/>
      <c r="HW202" s="1617">
        <v>0</v>
      </c>
      <c r="HX202" s="1617">
        <v>0</v>
      </c>
      <c r="HY202" s="1617">
        <v>0</v>
      </c>
      <c r="HZ202" s="1603"/>
      <c r="IA202" s="1603"/>
      <c r="IB202" s="1603"/>
      <c r="IC202" s="1603">
        <v>0</v>
      </c>
      <c r="ID202" s="1603">
        <v>0</v>
      </c>
      <c r="IE202" s="1603">
        <v>0</v>
      </c>
      <c r="IF202" s="1603">
        <v>0</v>
      </c>
      <c r="IG202" s="1611" t="s">
        <v>2932</v>
      </c>
      <c r="IH202" s="1616" t="s">
        <v>270</v>
      </c>
      <c r="II202" s="1615" t="s">
        <v>270</v>
      </c>
      <c r="IJ202" s="1613">
        <v>1.3101818181818183</v>
      </c>
      <c r="IK202" s="1613">
        <v>1.301848484848485</v>
      </c>
      <c r="IL202" s="1614">
        <v>1.3101818181818183</v>
      </c>
      <c r="IM202" s="1614">
        <v>1.301848484848485</v>
      </c>
      <c r="IN202" s="1612" t="s">
        <v>270</v>
      </c>
      <c r="IO202" s="1613" t="s">
        <v>270</v>
      </c>
      <c r="IP202" s="1607" t="s">
        <v>270</v>
      </c>
      <c r="IQ202" s="1612" t="s">
        <v>270</v>
      </c>
      <c r="IR202" s="1612" t="s">
        <v>270</v>
      </c>
      <c r="IS202" s="1607">
        <v>1.1881818181818182</v>
      </c>
      <c r="IT202" s="1607">
        <v>1.1798484848484849</v>
      </c>
      <c r="IU202" s="1611">
        <v>0</v>
      </c>
      <c r="IV202" s="1611">
        <v>7.7767676767676763E-2</v>
      </c>
      <c r="IW202" s="1611">
        <v>9.0909090909090909E-4</v>
      </c>
      <c r="IX202" s="1611">
        <v>1.6060606060606061E-3</v>
      </c>
      <c r="IY202" s="1611">
        <v>9.6969696969696957E-4</v>
      </c>
      <c r="IZ202" s="1611">
        <v>5.9898989898989896E-3</v>
      </c>
      <c r="JA202" s="1611">
        <v>6.0606060606060598E-5</v>
      </c>
      <c r="JB202" s="1611" t="s">
        <v>270</v>
      </c>
      <c r="JC202" s="1611">
        <v>9.9026969696969704</v>
      </c>
      <c r="JD202" s="1611">
        <v>5.2121212121212122E-3</v>
      </c>
      <c r="JE202" s="1611" t="s">
        <v>270</v>
      </c>
      <c r="JF202" s="1611">
        <v>8.2828282828282835E-4</v>
      </c>
      <c r="JG202" s="1611">
        <v>0.57978787878787885</v>
      </c>
      <c r="JH202" s="1611">
        <v>7.646464646464647E-3</v>
      </c>
      <c r="JI202" s="1611">
        <v>0.3</v>
      </c>
      <c r="JJ202" s="1611" t="s">
        <v>270</v>
      </c>
      <c r="JK202" s="1607">
        <f t="shared" si="12"/>
        <v>0.12200000000000011</v>
      </c>
      <c r="JL202" s="1608" t="s">
        <v>270</v>
      </c>
      <c r="JM202" s="1610" t="s">
        <v>2924</v>
      </c>
      <c r="JN202" s="1608">
        <v>8.3333333333333037E-3</v>
      </c>
      <c r="JO202" s="1609" t="s">
        <v>2931</v>
      </c>
      <c r="JP202" s="1608" t="s">
        <v>270</v>
      </c>
      <c r="JQ202" s="1607">
        <v>202103</v>
      </c>
      <c r="JR202" s="1606">
        <v>851</v>
      </c>
      <c r="JS202" s="1606">
        <v>774</v>
      </c>
      <c r="JT202" s="1606">
        <v>774</v>
      </c>
    </row>
    <row r="203" spans="1:280" ht="15" customHeight="1" x14ac:dyDescent="0.2">
      <c r="A203" s="1626">
        <v>58000</v>
      </c>
      <c r="B203" s="1625">
        <v>580</v>
      </c>
      <c r="C203" s="1624">
        <v>0</v>
      </c>
      <c r="D203" s="1623" t="s">
        <v>3262</v>
      </c>
      <c r="E203" s="1622">
        <v>43025</v>
      </c>
      <c r="F203" s="1620">
        <v>2.0692902477739001</v>
      </c>
      <c r="G203" s="1620">
        <v>2.0468762654916501</v>
      </c>
      <c r="H203" s="1621">
        <v>89</v>
      </c>
      <c r="I203" s="1621">
        <v>75.900000000000006</v>
      </c>
      <c r="J203" s="1621">
        <v>84</v>
      </c>
      <c r="K203" s="1620">
        <v>1</v>
      </c>
      <c r="L203" s="1620">
        <v>92.5</v>
      </c>
      <c r="M203" s="1620">
        <v>17.945</v>
      </c>
      <c r="N203" s="1620">
        <v>46.435000000000002</v>
      </c>
      <c r="O203" s="1620">
        <v>3.8849999999999998</v>
      </c>
      <c r="P203" s="1620">
        <v>8.3724099499999998</v>
      </c>
      <c r="Q203" s="1603"/>
      <c r="R203" s="1620">
        <v>63</v>
      </c>
      <c r="S203" s="1620">
        <v>27</v>
      </c>
      <c r="T203" s="1620">
        <v>40.008130081300799</v>
      </c>
      <c r="U203" s="1620">
        <v>45.211382113821102</v>
      </c>
      <c r="V203" s="1620">
        <v>49.894308943089399</v>
      </c>
      <c r="W203" s="1620">
        <v>53.016260162601597</v>
      </c>
      <c r="X203" s="1620"/>
      <c r="Y203" s="1620">
        <v>5.8</v>
      </c>
      <c r="Z203" s="1620">
        <v>7.6</v>
      </c>
      <c r="AA203" s="1620">
        <v>0.1</v>
      </c>
      <c r="AB203" s="1620">
        <v>0</v>
      </c>
      <c r="AC203" s="1620">
        <v>10</v>
      </c>
      <c r="AD203" s="1620">
        <v>3.5</v>
      </c>
      <c r="AE203" s="1620">
        <v>4.2</v>
      </c>
      <c r="AF203" s="1620">
        <v>90</v>
      </c>
      <c r="AG203" s="1620">
        <v>4.0999999999999996</v>
      </c>
      <c r="AH203" s="1620">
        <v>42</v>
      </c>
      <c r="AI203" s="1620">
        <v>42</v>
      </c>
      <c r="AJ203" s="1620">
        <v>0</v>
      </c>
      <c r="AK203" s="1620">
        <v>0</v>
      </c>
      <c r="AL203" s="1620"/>
      <c r="AM203" s="1620">
        <v>6</v>
      </c>
      <c r="AN203" s="1620">
        <v>2</v>
      </c>
      <c r="AO203" s="1620">
        <v>2.4</v>
      </c>
      <c r="AP203" s="1620">
        <v>4.4000000000000004</v>
      </c>
      <c r="AQ203" s="1620">
        <v>1.24</v>
      </c>
      <c r="AR203" s="1620">
        <v>4.1900000000000004</v>
      </c>
      <c r="AS203" s="1620">
        <v>6.86</v>
      </c>
      <c r="AT203" s="1620">
        <v>2.74</v>
      </c>
      <c r="AU203" s="1620">
        <v>4.01</v>
      </c>
      <c r="AV203" s="1620">
        <v>3.12</v>
      </c>
      <c r="AW203" s="1620">
        <v>5.39</v>
      </c>
      <c r="AX203" s="1620"/>
      <c r="AY203" s="1620">
        <v>1.1000000000000001</v>
      </c>
      <c r="AZ203" s="1620">
        <v>1.1399999999999999</v>
      </c>
      <c r="BA203" s="1620">
        <v>1.1000000000000001</v>
      </c>
      <c r="BB203" s="1620">
        <v>1.05</v>
      </c>
      <c r="BC203" s="1620">
        <v>1.1399999999999999</v>
      </c>
      <c r="BD203" s="1620">
        <v>1.1000000000000001</v>
      </c>
      <c r="BE203" s="1620">
        <v>1.08</v>
      </c>
      <c r="BF203" s="1620">
        <v>1.08</v>
      </c>
      <c r="BG203" s="1620">
        <v>1.17</v>
      </c>
      <c r="BH203" s="1620">
        <v>0.97</v>
      </c>
      <c r="BI203" s="1620">
        <v>1.1000000000000001</v>
      </c>
      <c r="BJ203" s="1603"/>
      <c r="BK203" s="1620">
        <v>19.399999999999999</v>
      </c>
      <c r="BL203" s="1620">
        <v>50.2</v>
      </c>
      <c r="BM203" s="1620">
        <v>4.2</v>
      </c>
      <c r="BN203" s="1620">
        <v>9.0512540000000001</v>
      </c>
      <c r="BO203" s="1620"/>
      <c r="BP203" s="1620">
        <v>116</v>
      </c>
      <c r="BQ203" s="1620">
        <v>582.31999999999994</v>
      </c>
      <c r="BR203" s="1620">
        <v>2.2370705381339464</v>
      </c>
      <c r="BS203" s="1620">
        <v>2.2128392059369189</v>
      </c>
      <c r="BT203" s="1603"/>
      <c r="BU203" s="1620">
        <v>958</v>
      </c>
      <c r="BV203" s="1620">
        <v>9.8571428571429518</v>
      </c>
      <c r="BW203" s="1620">
        <v>179.28285714285732</v>
      </c>
      <c r="BX203" s="1620" t="s">
        <v>270</v>
      </c>
      <c r="BY203" s="1620" t="s">
        <v>270</v>
      </c>
      <c r="BZ203" s="1620">
        <v>38.043428571428535</v>
      </c>
      <c r="CA203" s="1620">
        <v>215.57942857142811</v>
      </c>
      <c r="CB203" s="1603"/>
      <c r="CC203" s="1603">
        <v>5.3650000000000002</v>
      </c>
      <c r="CD203" s="1603">
        <v>7.03</v>
      </c>
      <c r="CE203" s="1603">
        <v>9.2500000000000013E-2</v>
      </c>
      <c r="CF203" s="1603">
        <v>0</v>
      </c>
      <c r="CG203" s="1603">
        <v>9.25</v>
      </c>
      <c r="CH203" s="1603">
        <v>3.2375000000000003</v>
      </c>
      <c r="CI203" s="1603">
        <v>3.8850000000000002</v>
      </c>
      <c r="CJ203" s="1603"/>
      <c r="CK203" s="1603">
        <v>83.25</v>
      </c>
      <c r="CL203" s="1603">
        <v>3.7925</v>
      </c>
      <c r="CM203" s="1603">
        <v>38.85</v>
      </c>
      <c r="CN203" s="1603">
        <v>38.85</v>
      </c>
      <c r="CO203" s="1603">
        <v>0</v>
      </c>
      <c r="CP203" s="1603">
        <v>0</v>
      </c>
      <c r="CQ203" s="1603">
        <v>113.0535</v>
      </c>
      <c r="CR203" s="1603">
        <v>54.633950032684218</v>
      </c>
      <c r="CS203" s="1603">
        <v>3.6058407021571584</v>
      </c>
      <c r="CT203" s="1603">
        <v>1.2456540607452</v>
      </c>
      <c r="CU203" s="1603">
        <v>1.4423362808628633</v>
      </c>
      <c r="CV203" s="1603">
        <v>2.6879903416080637</v>
      </c>
      <c r="CW203" s="1603">
        <v>2.5240884915100108</v>
      </c>
      <c r="CX203" s="1603">
        <v>0.77230551766202415</v>
      </c>
      <c r="CY203" s="1603">
        <v>2.5180787570064154</v>
      </c>
      <c r="CZ203" s="1603">
        <v>4.0477200900215085</v>
      </c>
      <c r="DA203" s="1603">
        <v>1.6167278493671913</v>
      </c>
      <c r="DB203" s="1603">
        <v>2.5632610336834456</v>
      </c>
      <c r="DC203" s="1603">
        <v>1.653441863789155</v>
      </c>
      <c r="DD203" s="1603">
        <v>4.2167028974726009</v>
      </c>
      <c r="DE203" s="1603">
        <v>3.2392468974378468</v>
      </c>
      <c r="DF203" s="1603">
        <v>0</v>
      </c>
      <c r="DG203" s="1603">
        <v>0</v>
      </c>
      <c r="DH203" s="1603">
        <v>0</v>
      </c>
      <c r="DI203" s="1603">
        <v>0</v>
      </c>
      <c r="DJ203" s="1603">
        <v>0</v>
      </c>
      <c r="DK203" s="1603">
        <v>0</v>
      </c>
      <c r="DL203" s="1603">
        <v>0</v>
      </c>
      <c r="DM203" s="1603">
        <v>0</v>
      </c>
      <c r="DN203" s="1603">
        <v>0</v>
      </c>
      <c r="DO203" s="1603">
        <v>0</v>
      </c>
      <c r="DP203" s="1603">
        <v>0</v>
      </c>
      <c r="DQ203" s="1603">
        <v>0</v>
      </c>
      <c r="DR203" s="1603">
        <v>0</v>
      </c>
      <c r="DS203" s="1603">
        <v>0</v>
      </c>
      <c r="DT203" s="1603">
        <v>0</v>
      </c>
      <c r="DU203" s="1603">
        <v>0</v>
      </c>
      <c r="DV203" s="1603">
        <v>0</v>
      </c>
      <c r="DW203" s="1618" t="s">
        <v>3261</v>
      </c>
      <c r="DX203" s="1605" t="s">
        <v>986</v>
      </c>
      <c r="DY203" s="1605" t="s">
        <v>986</v>
      </c>
      <c r="DZ203" s="1605">
        <v>5</v>
      </c>
      <c r="EA203" s="1605">
        <v>5</v>
      </c>
      <c r="EB203" s="1605" t="s">
        <v>986</v>
      </c>
      <c r="EC203" s="1605" t="s">
        <v>986</v>
      </c>
      <c r="ED203" s="1605">
        <v>2</v>
      </c>
      <c r="EE203" s="1605">
        <v>2</v>
      </c>
      <c r="EF203" s="1605">
        <v>2</v>
      </c>
      <c r="EG203" s="1605">
        <v>2</v>
      </c>
      <c r="EH203" s="1605" t="s">
        <v>986</v>
      </c>
      <c r="EI203" s="1605" t="s">
        <v>986</v>
      </c>
      <c r="EJ203" s="1605" t="s">
        <v>986</v>
      </c>
      <c r="EK203" s="1605" t="s">
        <v>986</v>
      </c>
      <c r="EL203" s="1605" t="s">
        <v>986</v>
      </c>
      <c r="EM203" s="1605" t="s">
        <v>986</v>
      </c>
      <c r="EN203" s="1605" t="s">
        <v>986</v>
      </c>
      <c r="EO203" s="1605" t="s">
        <v>986</v>
      </c>
      <c r="EP203" s="1605" t="s">
        <v>986</v>
      </c>
      <c r="EQ203" s="1605" t="s">
        <v>986</v>
      </c>
      <c r="ER203" s="1605" t="s">
        <v>986</v>
      </c>
      <c r="ES203" s="1605">
        <v>5</v>
      </c>
      <c r="ET203" s="1605">
        <v>6</v>
      </c>
      <c r="EU203" s="1605">
        <v>5</v>
      </c>
      <c r="EV203" s="1605" t="s">
        <v>986</v>
      </c>
      <c r="EW203" s="1605">
        <v>5</v>
      </c>
      <c r="EX203" s="1605">
        <v>5</v>
      </c>
      <c r="EY203" s="1605" t="s">
        <v>986</v>
      </c>
      <c r="EZ203" s="1605">
        <v>5</v>
      </c>
      <c r="FA203" s="1605">
        <v>5</v>
      </c>
      <c r="FB203" s="1605">
        <v>5</v>
      </c>
      <c r="FC203" s="1605">
        <v>5</v>
      </c>
      <c r="FD203" s="1605" t="s">
        <v>986</v>
      </c>
      <c r="FE203" s="1605" t="s">
        <v>986</v>
      </c>
      <c r="FF203" s="1605" t="s">
        <v>986</v>
      </c>
      <c r="FG203" s="1605" t="s">
        <v>986</v>
      </c>
      <c r="FH203" s="1605">
        <v>4</v>
      </c>
      <c r="FI203" s="1605">
        <v>0.1</v>
      </c>
      <c r="FJ203" s="1605" t="s">
        <v>986</v>
      </c>
      <c r="FK203" s="1605" t="s">
        <v>986</v>
      </c>
      <c r="FL203" s="1605">
        <v>0.2</v>
      </c>
      <c r="FM203" s="1605" t="s">
        <v>986</v>
      </c>
      <c r="FN203" s="1605" t="s">
        <v>986</v>
      </c>
      <c r="FO203" s="1605" t="s">
        <v>986</v>
      </c>
      <c r="FP203" s="1605" t="s">
        <v>986</v>
      </c>
      <c r="FQ203" s="1605" t="s">
        <v>986</v>
      </c>
      <c r="FR203" s="1605" t="s">
        <v>986</v>
      </c>
      <c r="FS203" s="1605" t="s">
        <v>986</v>
      </c>
      <c r="FT203" s="1605" t="s">
        <v>986</v>
      </c>
      <c r="FU203" s="1605" t="s">
        <v>986</v>
      </c>
      <c r="FV203" s="1605" t="s">
        <v>986</v>
      </c>
      <c r="FW203" s="1605" t="s">
        <v>986</v>
      </c>
      <c r="FX203" s="1605" t="s">
        <v>986</v>
      </c>
      <c r="FY203" s="1605" t="s">
        <v>986</v>
      </c>
      <c r="FZ203" s="1605" t="s">
        <v>986</v>
      </c>
      <c r="GA203" s="1605" t="s">
        <v>986</v>
      </c>
      <c r="GB203" s="1605">
        <v>1.0900000000000001</v>
      </c>
      <c r="GC203" s="1605" t="s">
        <v>986</v>
      </c>
      <c r="GD203" s="1605" t="s">
        <v>986</v>
      </c>
      <c r="GE203" s="1605">
        <v>1.64</v>
      </c>
      <c r="GF203" s="1605">
        <v>0.47</v>
      </c>
      <c r="GG203" s="1605">
        <v>0.44</v>
      </c>
      <c r="GH203" s="1605">
        <v>7.43</v>
      </c>
      <c r="GI203" s="1605">
        <v>0.48</v>
      </c>
      <c r="GJ203" s="1605">
        <v>6.2</v>
      </c>
      <c r="GK203" s="1605">
        <v>4.37</v>
      </c>
      <c r="GL203" s="1605" t="s">
        <v>986</v>
      </c>
      <c r="GM203" s="1605" t="s">
        <v>986</v>
      </c>
      <c r="GN203" s="1605" t="s">
        <v>1591</v>
      </c>
      <c r="GO203" s="1605" t="s">
        <v>1591</v>
      </c>
      <c r="GP203" s="1605" t="s">
        <v>1591</v>
      </c>
      <c r="GQ203" s="1605" t="s">
        <v>1591</v>
      </c>
      <c r="GR203" s="1605" t="s">
        <v>986</v>
      </c>
      <c r="GS203" s="1605" t="s">
        <v>986</v>
      </c>
      <c r="GT203" s="1605" t="s">
        <v>1591</v>
      </c>
      <c r="GU203" s="1605" t="s">
        <v>986</v>
      </c>
      <c r="GV203" s="1605" t="s">
        <v>986</v>
      </c>
      <c r="GW203" s="1605" t="s">
        <v>986</v>
      </c>
      <c r="GX203" s="1605" t="s">
        <v>986</v>
      </c>
      <c r="GY203" s="1605" t="s">
        <v>986</v>
      </c>
      <c r="GZ203" s="1605" t="s">
        <v>986</v>
      </c>
      <c r="HA203" s="1605" t="s">
        <v>986</v>
      </c>
      <c r="HB203" s="1605" t="s">
        <v>986</v>
      </c>
      <c r="HC203" s="1605" t="s">
        <v>986</v>
      </c>
      <c r="HD203" s="1605" t="s">
        <v>986</v>
      </c>
      <c r="HE203" s="1605" t="s">
        <v>986</v>
      </c>
      <c r="HF203" s="1605" t="s">
        <v>986</v>
      </c>
      <c r="HG203" s="1605" t="s">
        <v>986</v>
      </c>
      <c r="HH203" s="1605" t="s">
        <v>986</v>
      </c>
      <c r="HI203" s="1605" t="s">
        <v>1591</v>
      </c>
      <c r="HJ203" s="1605" t="s">
        <v>1591</v>
      </c>
      <c r="HK203" s="1605" t="s">
        <v>986</v>
      </c>
      <c r="HL203" s="1605" t="s">
        <v>986</v>
      </c>
      <c r="HM203" s="1605" t="s">
        <v>1591</v>
      </c>
      <c r="HN203" s="1605" t="s">
        <v>1591</v>
      </c>
      <c r="HO203" s="1605" t="s">
        <v>1591</v>
      </c>
      <c r="HP203" s="1605" t="s">
        <v>1591</v>
      </c>
      <c r="HQ203" s="1605" t="s">
        <v>1591</v>
      </c>
      <c r="HR203" s="1605" t="s">
        <v>1591</v>
      </c>
      <c r="HS203" s="1605" t="s">
        <v>1591</v>
      </c>
      <c r="HT203" s="1605" t="s">
        <v>986</v>
      </c>
      <c r="HU203" s="1605" t="s">
        <v>986</v>
      </c>
      <c r="HV203" s="1617"/>
      <c r="HW203" s="1617" t="s">
        <v>3260</v>
      </c>
      <c r="HX203" s="1617" t="s">
        <v>3259</v>
      </c>
      <c r="HY203" s="1617" t="s">
        <v>3258</v>
      </c>
      <c r="HZ203" s="1603"/>
      <c r="IA203" s="1603"/>
      <c r="IB203" s="1603"/>
      <c r="IC203" s="1603">
        <v>55.357723577235802</v>
      </c>
      <c r="ID203" s="1603">
        <v>56.918699186991901</v>
      </c>
      <c r="IE203" s="1603">
        <v>58.219512195121901</v>
      </c>
      <c r="IF203" s="1603">
        <v>59</v>
      </c>
      <c r="IG203" s="1611" t="s">
        <v>3257</v>
      </c>
      <c r="IH203" s="1616" t="s">
        <v>3256</v>
      </c>
      <c r="II203" s="1615" t="s">
        <v>3255</v>
      </c>
      <c r="IJ203" s="1613">
        <v>0.77472589382448542</v>
      </c>
      <c r="IK203" s="1613">
        <v>0.77472589382448542</v>
      </c>
      <c r="IL203" s="1614">
        <v>0.77472589382448542</v>
      </c>
      <c r="IM203" s="1614">
        <v>0.77472589382448542</v>
      </c>
      <c r="IN203" s="1612">
        <v>0.92</v>
      </c>
      <c r="IO203" s="1613">
        <v>0.14527410617551462</v>
      </c>
      <c r="IP203" s="1607" t="s">
        <v>270</v>
      </c>
      <c r="IQ203" s="1612">
        <v>2.94</v>
      </c>
      <c r="IR203" s="1612">
        <v>0.112</v>
      </c>
      <c r="IS203" s="1607">
        <v>0.77072589382448542</v>
      </c>
      <c r="IT203" s="1607">
        <v>0.77072589382448542</v>
      </c>
      <c r="IU203" s="1611">
        <v>2.1668472372697727E-5</v>
      </c>
      <c r="IV203" s="1611">
        <v>4.247020585048754E-3</v>
      </c>
      <c r="IW203" s="1611">
        <v>9.8591549295774642E-4</v>
      </c>
      <c r="IX203" s="1611">
        <v>2.2643553629469121E-3</v>
      </c>
      <c r="IY203" s="1611">
        <v>1.0075839653304443E-3</v>
      </c>
      <c r="IZ203" s="1611">
        <v>1.7183098591549293E-2</v>
      </c>
      <c r="JA203" s="1611">
        <v>3.1419284940411706E-4</v>
      </c>
      <c r="JB203" s="1611" t="s">
        <v>270</v>
      </c>
      <c r="JC203" s="1611">
        <v>0.29293607800650057</v>
      </c>
      <c r="JD203" s="1611">
        <v>5.8829902491874331E-3</v>
      </c>
      <c r="JE203" s="1611" t="s">
        <v>270</v>
      </c>
      <c r="JF203" s="1611">
        <v>8.3423618634886258E-4</v>
      </c>
      <c r="JG203" s="1611">
        <v>7.642567713976165</v>
      </c>
      <c r="JH203" s="1611">
        <v>3.2502708559046584E-4</v>
      </c>
      <c r="JI203" s="1611">
        <v>7.9772481040086676E-2</v>
      </c>
      <c r="JJ203" s="1611" t="s">
        <v>270</v>
      </c>
      <c r="JK203" s="1607">
        <f t="shared" si="12"/>
        <v>4.0000000000000036E-3</v>
      </c>
      <c r="JL203" s="1608" t="s">
        <v>270</v>
      </c>
      <c r="JM203" s="1610" t="s">
        <v>2924</v>
      </c>
      <c r="JN203" s="1608">
        <v>0</v>
      </c>
      <c r="JO203" s="1609" t="s">
        <v>2923</v>
      </c>
      <c r="JP203" s="1608" t="s">
        <v>270</v>
      </c>
      <c r="JQ203" s="1607">
        <v>202103</v>
      </c>
      <c r="JR203" s="1606">
        <v>468</v>
      </c>
      <c r="JS203" s="1606">
        <v>426</v>
      </c>
      <c r="JT203" s="1606">
        <v>426</v>
      </c>
    </row>
    <row r="204" spans="1:280" ht="15" customHeight="1" x14ac:dyDescent="0.2">
      <c r="A204" s="1626">
        <v>58400</v>
      </c>
      <c r="B204" s="1625">
        <v>584</v>
      </c>
      <c r="C204" s="1624">
        <v>0</v>
      </c>
      <c r="D204" s="1623" t="s">
        <v>3254</v>
      </c>
      <c r="E204" s="1622">
        <v>43776</v>
      </c>
      <c r="F204" s="1620">
        <v>0.92436771157568698</v>
      </c>
      <c r="G204" s="1620">
        <v>0.98193014648237398</v>
      </c>
      <c r="H204" s="1621">
        <v>79.7</v>
      </c>
      <c r="I204" s="1621">
        <v>59.999993099999998</v>
      </c>
      <c r="J204" s="1621">
        <v>86</v>
      </c>
      <c r="K204" s="1620">
        <v>1</v>
      </c>
      <c r="L204" s="1620">
        <v>89.5</v>
      </c>
      <c r="M204" s="1620">
        <v>29.624500000000001</v>
      </c>
      <c r="N204" s="1620">
        <v>10.919</v>
      </c>
      <c r="O204" s="1620">
        <v>6.6230000000000002</v>
      </c>
      <c r="P204" s="1620">
        <v>12.4405</v>
      </c>
      <c r="Q204" s="1603"/>
      <c r="R204" s="1620">
        <v>77</v>
      </c>
      <c r="S204" s="1620">
        <v>27</v>
      </c>
      <c r="T204" s="1620">
        <v>40.008130081300799</v>
      </c>
      <c r="U204" s="1620">
        <v>45.211382113821102</v>
      </c>
      <c r="V204" s="1620">
        <v>49.894308943089399</v>
      </c>
      <c r="W204" s="1620">
        <v>53.016260162601597</v>
      </c>
      <c r="X204" s="1620"/>
      <c r="Y204" s="1620">
        <v>8.4</v>
      </c>
      <c r="Z204" s="1620">
        <v>11.700000000000001</v>
      </c>
      <c r="AA204" s="1620">
        <v>9.9999999999999992E-2</v>
      </c>
      <c r="AB204" s="1620">
        <v>0.5</v>
      </c>
      <c r="AC204" s="1620">
        <v>13.5</v>
      </c>
      <c r="AD204" s="1620">
        <v>4.7</v>
      </c>
      <c r="AE204" s="1620">
        <v>6.7</v>
      </c>
      <c r="AF204" s="1620">
        <v>200</v>
      </c>
      <c r="AG204" s="1620">
        <v>7.3</v>
      </c>
      <c r="AH204" s="1620">
        <v>61</v>
      </c>
      <c r="AI204" s="1620">
        <v>55</v>
      </c>
      <c r="AJ204" s="1620">
        <v>0</v>
      </c>
      <c r="AK204" s="1620">
        <v>0.10999999999999999</v>
      </c>
      <c r="AL204" s="1620"/>
      <c r="AM204" s="1620">
        <v>5.5000000000000098</v>
      </c>
      <c r="AN204" s="1620">
        <v>2</v>
      </c>
      <c r="AO204" s="1620">
        <v>2.4900000000000002</v>
      </c>
      <c r="AP204" s="1620">
        <v>4.4000000000000004</v>
      </c>
      <c r="AQ204" s="1620">
        <v>1.27</v>
      </c>
      <c r="AR204" s="1620">
        <v>3.9000000000000101</v>
      </c>
      <c r="AS204" s="1620">
        <v>7.1</v>
      </c>
      <c r="AT204" s="1620">
        <v>2.79</v>
      </c>
      <c r="AU204" s="1620">
        <v>4</v>
      </c>
      <c r="AV204" s="1620">
        <v>3.02</v>
      </c>
      <c r="AW204" s="1620">
        <v>5.19</v>
      </c>
      <c r="AX204" s="1620"/>
      <c r="AY204" s="1620">
        <v>1.01</v>
      </c>
      <c r="AZ204" s="1620">
        <v>1.1299999999999999</v>
      </c>
      <c r="BA204" s="1620">
        <v>1.05</v>
      </c>
      <c r="BB204" s="1620">
        <v>0.99</v>
      </c>
      <c r="BC204" s="1620">
        <v>1.03</v>
      </c>
      <c r="BD204" s="1620">
        <v>1.03</v>
      </c>
      <c r="BE204" s="1620">
        <v>1.07</v>
      </c>
      <c r="BF204" s="1620">
        <v>1.1000000000000001</v>
      </c>
      <c r="BG204" s="1620">
        <v>1.07</v>
      </c>
      <c r="BH204" s="1620">
        <v>1.03</v>
      </c>
      <c r="BI204" s="1620">
        <v>1</v>
      </c>
      <c r="BJ204" s="1603"/>
      <c r="BK204" s="1620">
        <v>33.1</v>
      </c>
      <c r="BL204" s="1620">
        <v>12.200000000000001</v>
      </c>
      <c r="BM204" s="1620">
        <v>7.4</v>
      </c>
      <c r="BN204" s="1620">
        <v>13.9</v>
      </c>
      <c r="BO204" s="1620"/>
      <c r="BP204" s="1620">
        <v>115</v>
      </c>
      <c r="BQ204" s="1620">
        <v>140.30000000000001</v>
      </c>
      <c r="BR204" s="1620">
        <v>1.0328130855594269</v>
      </c>
      <c r="BS204" s="1620">
        <v>1.0971286552875688</v>
      </c>
      <c r="BT204" s="1603"/>
      <c r="BU204" s="1620">
        <v>926</v>
      </c>
      <c r="BV204" s="1620">
        <v>57.869142857142684</v>
      </c>
      <c r="BW204" s="1620">
        <v>260.60294842000002</v>
      </c>
      <c r="BX204" s="1620" t="s">
        <v>270</v>
      </c>
      <c r="BY204" s="1620" t="s">
        <v>270</v>
      </c>
      <c r="BZ204" s="1620">
        <v>60.153128571428603</v>
      </c>
      <c r="CA204" s="1620">
        <v>340.86772857142904</v>
      </c>
      <c r="CB204" s="1603"/>
      <c r="CC204" s="1603">
        <v>7.5180000000000007</v>
      </c>
      <c r="CD204" s="1603">
        <v>10.471500000000001</v>
      </c>
      <c r="CE204" s="1603">
        <v>8.9499999999999996E-2</v>
      </c>
      <c r="CF204" s="1603">
        <v>0.44750000000000001</v>
      </c>
      <c r="CG204" s="1603">
        <v>12.0825</v>
      </c>
      <c r="CH204" s="1603">
        <v>4.2065000000000001</v>
      </c>
      <c r="CI204" s="1603">
        <v>5.9965000000000002</v>
      </c>
      <c r="CJ204" s="1603"/>
      <c r="CK204" s="1603">
        <v>179</v>
      </c>
      <c r="CL204" s="1603">
        <v>6.5335000000000001</v>
      </c>
      <c r="CM204" s="1603">
        <v>54.594999999999999</v>
      </c>
      <c r="CN204" s="1603">
        <v>49.225000000000001</v>
      </c>
      <c r="CO204" s="1603">
        <v>0</v>
      </c>
      <c r="CP204" s="1603">
        <v>9.8449999999999996E-2</v>
      </c>
      <c r="CQ204" s="1603">
        <v>228.10865000000001</v>
      </c>
      <c r="CR204" s="1603">
        <v>246.77262862326032</v>
      </c>
      <c r="CS204" s="1603">
        <v>13.70821952002211</v>
      </c>
      <c r="CT204" s="1603">
        <v>5.577061406885683</v>
      </c>
      <c r="CU204" s="1603">
        <v>6.4518703753551403</v>
      </c>
      <c r="CV204" s="1603">
        <v>12.028931782240825</v>
      </c>
      <c r="CW204" s="1603">
        <v>10.74941570282922</v>
      </c>
      <c r="CX204" s="1603">
        <v>3.2280327550208678</v>
      </c>
      <c r="CY204" s="1603">
        <v>9.9128564917963882</v>
      </c>
      <c r="CZ204" s="1603">
        <v>18.747316596509084</v>
      </c>
      <c r="DA204" s="1603">
        <v>7.5734519724478586</v>
      </c>
      <c r="DB204" s="1603">
        <v>10.561868505075541</v>
      </c>
      <c r="DC204" s="1603">
        <v>7.6761093859551348</v>
      </c>
      <c r="DD204" s="1603">
        <v>18.237977891030678</v>
      </c>
      <c r="DE204" s="1603">
        <v>12.80749942554721</v>
      </c>
      <c r="DF204" s="1603">
        <v>0</v>
      </c>
      <c r="DG204" s="1603">
        <v>0</v>
      </c>
      <c r="DH204" s="1603">
        <v>0</v>
      </c>
      <c r="DI204" s="1603">
        <v>0</v>
      </c>
      <c r="DJ204" s="1603">
        <v>0</v>
      </c>
      <c r="DK204" s="1603">
        <v>0</v>
      </c>
      <c r="DL204" s="1603">
        <v>0</v>
      </c>
      <c r="DM204" s="1603">
        <v>0</v>
      </c>
      <c r="DN204" s="1603">
        <v>0</v>
      </c>
      <c r="DO204" s="1603">
        <v>0</v>
      </c>
      <c r="DP204" s="1603">
        <v>0</v>
      </c>
      <c r="DQ204" s="1603">
        <v>0</v>
      </c>
      <c r="DR204" s="1603">
        <v>0</v>
      </c>
      <c r="DS204" s="1603">
        <v>0</v>
      </c>
      <c r="DT204" s="1603">
        <v>0</v>
      </c>
      <c r="DU204" s="1603">
        <v>0</v>
      </c>
      <c r="DV204" s="1603">
        <v>0</v>
      </c>
      <c r="DW204" s="1618" t="s">
        <v>3247</v>
      </c>
      <c r="DX204" s="1605">
        <v>46</v>
      </c>
      <c r="DY204" s="1605">
        <v>46</v>
      </c>
      <c r="DZ204" s="1605">
        <v>46</v>
      </c>
      <c r="EA204" s="1605">
        <v>46</v>
      </c>
      <c r="EB204" s="1605">
        <v>32</v>
      </c>
      <c r="EC204" s="1605">
        <v>46</v>
      </c>
      <c r="ED204" s="1605">
        <v>46</v>
      </c>
      <c r="EE204" s="1605">
        <v>46</v>
      </c>
      <c r="EF204" s="1605">
        <v>46</v>
      </c>
      <c r="EG204" s="1605">
        <v>46</v>
      </c>
      <c r="EH204" s="1605" t="s">
        <v>986</v>
      </c>
      <c r="EI204" s="1605" t="s">
        <v>986</v>
      </c>
      <c r="EJ204" s="1605" t="s">
        <v>986</v>
      </c>
      <c r="EK204" s="1605" t="s">
        <v>986</v>
      </c>
      <c r="EL204" s="1605" t="s">
        <v>986</v>
      </c>
      <c r="EM204" s="1605" t="s">
        <v>986</v>
      </c>
      <c r="EN204" s="1605" t="s">
        <v>986</v>
      </c>
      <c r="EO204" s="1605" t="s">
        <v>986</v>
      </c>
      <c r="EP204" s="1605" t="s">
        <v>986</v>
      </c>
      <c r="EQ204" s="1605" t="s">
        <v>986</v>
      </c>
      <c r="ER204" s="1605" t="s">
        <v>986</v>
      </c>
      <c r="ES204" s="1605">
        <v>13</v>
      </c>
      <c r="ET204" s="1605">
        <v>13</v>
      </c>
      <c r="EU204" s="1605" t="s">
        <v>986</v>
      </c>
      <c r="EV204" s="1605" t="s">
        <v>986</v>
      </c>
      <c r="EW204" s="1605" t="s">
        <v>986</v>
      </c>
      <c r="EX204" s="1605" t="s">
        <v>986</v>
      </c>
      <c r="EY204" s="1605" t="s">
        <v>986</v>
      </c>
      <c r="EZ204" s="1605" t="s">
        <v>986</v>
      </c>
      <c r="FA204" s="1605" t="s">
        <v>986</v>
      </c>
      <c r="FB204" s="1605" t="s">
        <v>986</v>
      </c>
      <c r="FC204" s="1605" t="s">
        <v>986</v>
      </c>
      <c r="FD204" s="1605" t="s">
        <v>986</v>
      </c>
      <c r="FE204" s="1605" t="s">
        <v>986</v>
      </c>
      <c r="FF204" s="1605">
        <v>1</v>
      </c>
      <c r="FG204" s="1605">
        <v>1.6</v>
      </c>
      <c r="FH204" s="1605">
        <v>0.8</v>
      </c>
      <c r="FI204" s="1605">
        <v>0.4</v>
      </c>
      <c r="FJ204" s="1605">
        <v>1.2</v>
      </c>
      <c r="FK204" s="1605">
        <v>1.4</v>
      </c>
      <c r="FL204" s="1605">
        <v>2.1</v>
      </c>
      <c r="FM204" s="1605">
        <v>1.9</v>
      </c>
      <c r="FN204" s="1605">
        <v>3.5</v>
      </c>
      <c r="FO204" s="1605">
        <v>3.1</v>
      </c>
      <c r="FP204" s="1605" t="s">
        <v>986</v>
      </c>
      <c r="FQ204" s="1605" t="s">
        <v>986</v>
      </c>
      <c r="FR204" s="1605" t="s">
        <v>986</v>
      </c>
      <c r="FS204" s="1605" t="s">
        <v>986</v>
      </c>
      <c r="FT204" s="1605" t="s">
        <v>986</v>
      </c>
      <c r="FU204" s="1605" t="s">
        <v>986</v>
      </c>
      <c r="FV204" s="1605" t="s">
        <v>986</v>
      </c>
      <c r="FW204" s="1605" t="s">
        <v>986</v>
      </c>
      <c r="FX204" s="1605" t="s">
        <v>986</v>
      </c>
      <c r="FY204" s="1605" t="s">
        <v>986</v>
      </c>
      <c r="FZ204" s="1605" t="s">
        <v>986</v>
      </c>
      <c r="GA204" s="1605" t="s">
        <v>986</v>
      </c>
      <c r="GB204" s="1605">
        <v>0.8</v>
      </c>
      <c r="GC204" s="1605" t="s">
        <v>986</v>
      </c>
      <c r="GD204" s="1605" t="s">
        <v>986</v>
      </c>
      <c r="GE204" s="1605" t="s">
        <v>986</v>
      </c>
      <c r="GF204" s="1605" t="s">
        <v>986</v>
      </c>
      <c r="GG204" s="1605" t="s">
        <v>986</v>
      </c>
      <c r="GH204" s="1605" t="s">
        <v>986</v>
      </c>
      <c r="GI204" s="1605" t="s">
        <v>986</v>
      </c>
      <c r="GJ204" s="1605" t="s">
        <v>986</v>
      </c>
      <c r="GK204" s="1605" t="s">
        <v>986</v>
      </c>
      <c r="GL204" s="1605" t="s">
        <v>986</v>
      </c>
      <c r="GM204" s="1605" t="s">
        <v>986</v>
      </c>
      <c r="GN204" s="1605" t="s">
        <v>3103</v>
      </c>
      <c r="GO204" s="1605" t="s">
        <v>3103</v>
      </c>
      <c r="GP204" s="1605" t="s">
        <v>3103</v>
      </c>
      <c r="GQ204" s="1605" t="s">
        <v>3103</v>
      </c>
      <c r="GR204" s="1605" t="s">
        <v>3103</v>
      </c>
      <c r="GS204" s="1605" t="s">
        <v>3103</v>
      </c>
      <c r="GT204" s="1605" t="s">
        <v>3103</v>
      </c>
      <c r="GU204" s="1605" t="s">
        <v>986</v>
      </c>
      <c r="GV204" s="1605" t="s">
        <v>3103</v>
      </c>
      <c r="GW204" s="1605" t="s">
        <v>3103</v>
      </c>
      <c r="GX204" s="1605" t="s">
        <v>1583</v>
      </c>
      <c r="GY204" s="1605" t="s">
        <v>1583</v>
      </c>
      <c r="GZ204" s="1605" t="s">
        <v>1583</v>
      </c>
      <c r="HA204" s="1605" t="s">
        <v>1583</v>
      </c>
      <c r="HB204" s="1605" t="s">
        <v>1583</v>
      </c>
      <c r="HC204" s="1605" t="s">
        <v>1583</v>
      </c>
      <c r="HD204" s="1605" t="s">
        <v>1583</v>
      </c>
      <c r="HE204" s="1605" t="s">
        <v>1583</v>
      </c>
      <c r="HF204" s="1605" t="s">
        <v>1583</v>
      </c>
      <c r="HG204" s="1605" t="s">
        <v>1583</v>
      </c>
      <c r="HH204" s="1605" t="s">
        <v>1583</v>
      </c>
      <c r="HI204" s="1605" t="s">
        <v>1579</v>
      </c>
      <c r="HJ204" s="1605" t="s">
        <v>1579</v>
      </c>
      <c r="HK204" s="1605" t="s">
        <v>986</v>
      </c>
      <c r="HL204" s="1605" t="s">
        <v>986</v>
      </c>
      <c r="HM204" s="1605" t="s">
        <v>986</v>
      </c>
      <c r="HN204" s="1605" t="s">
        <v>986</v>
      </c>
      <c r="HO204" s="1605" t="s">
        <v>986</v>
      </c>
      <c r="HP204" s="1605" t="s">
        <v>986</v>
      </c>
      <c r="HQ204" s="1605" t="s">
        <v>986</v>
      </c>
      <c r="HR204" s="1605" t="s">
        <v>986</v>
      </c>
      <c r="HS204" s="1605" t="s">
        <v>986</v>
      </c>
      <c r="HT204" s="1605" t="s">
        <v>986</v>
      </c>
      <c r="HU204" s="1605" t="s">
        <v>986</v>
      </c>
      <c r="HV204" s="1617"/>
      <c r="HW204" s="1617" t="s">
        <v>3246</v>
      </c>
      <c r="HX204" s="1617" t="s">
        <v>3245</v>
      </c>
      <c r="HY204" s="1617" t="s">
        <v>3244</v>
      </c>
      <c r="HZ204" s="1603"/>
      <c r="IA204" s="1603"/>
      <c r="IB204" s="1603"/>
      <c r="IC204" s="1603">
        <v>55.357723577235802</v>
      </c>
      <c r="ID204" s="1603">
        <v>56.918699186991901</v>
      </c>
      <c r="IE204" s="1603">
        <v>58.219512195121901</v>
      </c>
      <c r="IF204" s="1603">
        <v>59</v>
      </c>
      <c r="IG204" s="1611" t="s">
        <v>3243</v>
      </c>
      <c r="IH204" s="1616" t="s">
        <v>3253</v>
      </c>
      <c r="II204" s="1615" t="s">
        <v>3252</v>
      </c>
      <c r="IJ204" s="1613">
        <v>0.72074000000000005</v>
      </c>
      <c r="IK204" s="1613">
        <v>0.55119000000000007</v>
      </c>
      <c r="IL204" s="1614">
        <v>0.72074000000000005</v>
      </c>
      <c r="IM204" s="1614">
        <v>0.55119000000000007</v>
      </c>
      <c r="IN204" s="1612" t="s">
        <v>270</v>
      </c>
      <c r="IO204" s="1613" t="s">
        <v>270</v>
      </c>
      <c r="IP204" s="1607" t="s">
        <v>270</v>
      </c>
      <c r="IQ204" s="1612" t="s">
        <v>270</v>
      </c>
      <c r="IR204" s="1612" t="s">
        <v>270</v>
      </c>
      <c r="IS204" s="1607">
        <v>0.66274</v>
      </c>
      <c r="IT204" s="1607">
        <v>0.49319000000000002</v>
      </c>
      <c r="IU204" s="1611">
        <v>1.0000000000000001E-5</v>
      </c>
      <c r="IV204" s="1611">
        <v>6.0799999999999995E-3</v>
      </c>
      <c r="IW204" s="1611">
        <v>7.5000000000000002E-4</v>
      </c>
      <c r="IX204" s="1611">
        <v>1.15E-3</v>
      </c>
      <c r="IY204" s="1611">
        <v>7.5999999999999993E-4</v>
      </c>
      <c r="IZ204" s="1611">
        <v>8.1899999999999994E-3</v>
      </c>
      <c r="JA204" s="1611">
        <v>1.7999999999999998E-4</v>
      </c>
      <c r="JB204" s="1611" t="s">
        <v>270</v>
      </c>
      <c r="JC204" s="1611">
        <v>0.19813</v>
      </c>
      <c r="JD204" s="1611">
        <v>1.01E-2</v>
      </c>
      <c r="JE204" s="1611" t="s">
        <v>270</v>
      </c>
      <c r="JF204" s="1611">
        <v>3.7999999999999997E-4</v>
      </c>
      <c r="JG204" s="1611">
        <v>1.3402100000000001</v>
      </c>
      <c r="JH204" s="1611">
        <v>5.2000000000000006E-4</v>
      </c>
      <c r="JI204" s="1611">
        <v>6.6780000000000006E-2</v>
      </c>
      <c r="JJ204" s="1611" t="s">
        <v>270</v>
      </c>
      <c r="JK204" s="1607">
        <f t="shared" si="12"/>
        <v>5.8000000000000052E-2</v>
      </c>
      <c r="JL204" s="1608" t="s">
        <v>270</v>
      </c>
      <c r="JM204" s="1610" t="s">
        <v>2924</v>
      </c>
      <c r="JN204" s="1608">
        <v>0.16954999999999998</v>
      </c>
      <c r="JO204" s="1609" t="s">
        <v>3077</v>
      </c>
      <c r="JP204" s="1608" t="s">
        <v>270</v>
      </c>
      <c r="JQ204" s="1607">
        <v>202103</v>
      </c>
      <c r="JR204" s="1606">
        <v>448</v>
      </c>
      <c r="JS204" s="1606">
        <v>406</v>
      </c>
      <c r="JT204" s="1606">
        <v>406</v>
      </c>
    </row>
    <row r="205" spans="1:280" ht="19.5" customHeight="1" x14ac:dyDescent="0.2">
      <c r="A205" s="1626">
        <v>58200</v>
      </c>
      <c r="B205" s="1625">
        <v>582</v>
      </c>
      <c r="C205" s="1624">
        <v>0</v>
      </c>
      <c r="D205" s="1623" t="s">
        <v>3251</v>
      </c>
      <c r="E205" s="1622">
        <v>43025</v>
      </c>
      <c r="F205" s="1620">
        <v>0.80949159616724697</v>
      </c>
      <c r="G205" s="1620">
        <v>0.86478308582560304</v>
      </c>
      <c r="H205" s="1621">
        <v>80.099999999999994</v>
      </c>
      <c r="I205" s="1621">
        <v>62.5</v>
      </c>
      <c r="J205" s="1621">
        <v>85</v>
      </c>
      <c r="K205" s="1620">
        <v>1</v>
      </c>
      <c r="L205" s="1620">
        <v>90</v>
      </c>
      <c r="M205" s="1620">
        <v>34.56</v>
      </c>
      <c r="N205" s="1620">
        <v>5.0000400000000003</v>
      </c>
      <c r="O205" s="1620">
        <v>7.02</v>
      </c>
      <c r="P205" s="1620">
        <v>13.05</v>
      </c>
      <c r="Q205" s="1603"/>
      <c r="R205" s="1620">
        <v>76</v>
      </c>
      <c r="S205" s="1620">
        <v>27</v>
      </c>
      <c r="T205" s="1620">
        <v>40.008130081300799</v>
      </c>
      <c r="U205" s="1620">
        <v>45.211382113821102</v>
      </c>
      <c r="V205" s="1620">
        <v>49.894308943089399</v>
      </c>
      <c r="W205" s="1620">
        <v>53.016260162601597</v>
      </c>
      <c r="X205" s="1620"/>
      <c r="Y205" s="1620">
        <v>9.6</v>
      </c>
      <c r="Z205" s="1620">
        <v>12.9</v>
      </c>
      <c r="AA205" s="1620">
        <v>0.4</v>
      </c>
      <c r="AB205" s="1620">
        <v>0.5</v>
      </c>
      <c r="AC205" s="1620">
        <v>15</v>
      </c>
      <c r="AD205" s="1620">
        <v>5.2999999999999989</v>
      </c>
      <c r="AE205" s="1620">
        <v>7.3</v>
      </c>
      <c r="AF205" s="1620">
        <v>260</v>
      </c>
      <c r="AG205" s="1620">
        <v>6.4</v>
      </c>
      <c r="AH205" s="1620">
        <v>76.000000000000014</v>
      </c>
      <c r="AI205" s="1620">
        <v>73</v>
      </c>
      <c r="AJ205" s="1620">
        <v>0</v>
      </c>
      <c r="AK205" s="1620">
        <v>0.11</v>
      </c>
      <c r="AL205" s="1620"/>
      <c r="AM205" s="1620">
        <v>5.5</v>
      </c>
      <c r="AN205" s="1620">
        <v>2</v>
      </c>
      <c r="AO205" s="1620">
        <v>2.4900000000000002</v>
      </c>
      <c r="AP205" s="1620">
        <v>4.4000000000000004</v>
      </c>
      <c r="AQ205" s="1620">
        <v>1.27</v>
      </c>
      <c r="AR205" s="1620">
        <v>3.9000000000000101</v>
      </c>
      <c r="AS205" s="1620">
        <v>7.1</v>
      </c>
      <c r="AT205" s="1620">
        <v>2.79</v>
      </c>
      <c r="AU205" s="1620">
        <v>4</v>
      </c>
      <c r="AV205" s="1620">
        <v>3.02</v>
      </c>
      <c r="AW205" s="1620">
        <v>5.19</v>
      </c>
      <c r="AX205" s="1620"/>
      <c r="AY205" s="1620">
        <v>1.01</v>
      </c>
      <c r="AZ205" s="1620">
        <v>1.1399999999999999</v>
      </c>
      <c r="BA205" s="1620">
        <v>1.07</v>
      </c>
      <c r="BB205" s="1620">
        <v>1</v>
      </c>
      <c r="BC205" s="1620">
        <v>0.99</v>
      </c>
      <c r="BD205" s="1620">
        <v>1.03</v>
      </c>
      <c r="BE205" s="1620">
        <v>1.07</v>
      </c>
      <c r="BF205" s="1620">
        <v>1.0900000000000001</v>
      </c>
      <c r="BG205" s="1620">
        <v>1.07</v>
      </c>
      <c r="BH205" s="1620">
        <v>1.04</v>
      </c>
      <c r="BI205" s="1620">
        <v>1.01</v>
      </c>
      <c r="BJ205" s="1603"/>
      <c r="BK205" s="1620">
        <v>38.4</v>
      </c>
      <c r="BL205" s="1620">
        <v>5.5556000000000001</v>
      </c>
      <c r="BM205" s="1620">
        <v>7.8</v>
      </c>
      <c r="BN205" s="1620">
        <v>14.5</v>
      </c>
      <c r="BO205" s="1620"/>
      <c r="BP205" s="1620">
        <v>115</v>
      </c>
      <c r="BQ205" s="1620">
        <v>63.889399999999995</v>
      </c>
      <c r="BR205" s="1620">
        <v>0.89943510685249661</v>
      </c>
      <c r="BS205" s="1620">
        <v>0.96087009536178114</v>
      </c>
      <c r="BT205" s="1603"/>
      <c r="BU205" s="1620">
        <v>922</v>
      </c>
      <c r="BV205" s="1620">
        <v>103.375537142857</v>
      </c>
      <c r="BW205" s="1620">
        <v>231.81714285714332</v>
      </c>
      <c r="BX205" s="1620">
        <v>19.000000000000004</v>
      </c>
      <c r="BY205" s="1620">
        <v>82</v>
      </c>
      <c r="BZ205" s="1620">
        <v>53.487603428571553</v>
      </c>
      <c r="CA205" s="1620">
        <v>303.09641942857223</v>
      </c>
      <c r="CB205" s="1603"/>
      <c r="CC205" s="1603">
        <v>8.64</v>
      </c>
      <c r="CD205" s="1603">
        <v>11.610000000000001</v>
      </c>
      <c r="CE205" s="1603">
        <v>0.36000000000000004</v>
      </c>
      <c r="CF205" s="1603">
        <v>0.45</v>
      </c>
      <c r="CG205" s="1603">
        <v>13.5</v>
      </c>
      <c r="CH205" s="1603">
        <v>4.7699999999999996</v>
      </c>
      <c r="CI205" s="1603">
        <v>6.57</v>
      </c>
      <c r="CJ205" s="1603"/>
      <c r="CK205" s="1603">
        <v>234</v>
      </c>
      <c r="CL205" s="1603">
        <v>5.7600000000000007</v>
      </c>
      <c r="CM205" s="1603">
        <v>68.40000000000002</v>
      </c>
      <c r="CN205" s="1603">
        <v>65.7</v>
      </c>
      <c r="CO205" s="1603">
        <v>0</v>
      </c>
      <c r="CP205" s="1603">
        <v>9.9000000000000005E-2</v>
      </c>
      <c r="CQ205" s="1603">
        <v>262.65600000000001</v>
      </c>
      <c r="CR205" s="1603">
        <v>324.47032340250922</v>
      </c>
      <c r="CS205" s="1603">
        <v>18.024326465009384</v>
      </c>
      <c r="CT205" s="1603">
        <v>7.3979233735772087</v>
      </c>
      <c r="CU205" s="1603">
        <v>8.6448628264130516</v>
      </c>
      <c r="CV205" s="1603">
        <v>16.042786199990264</v>
      </c>
      <c r="CW205" s="1603">
        <v>14.276694229710404</v>
      </c>
      <c r="CX205" s="1603">
        <v>4.0795653761397483</v>
      </c>
      <c r="CY205" s="1603">
        <v>13.033972891078795</v>
      </c>
      <c r="CZ205" s="1603">
        <v>24.650010468888624</v>
      </c>
      <c r="DA205" s="1603">
        <v>9.8674670049937063</v>
      </c>
      <c r="DB205" s="1603">
        <v>13.887329841627395</v>
      </c>
      <c r="DC205" s="1603">
        <v>10.190963917426009</v>
      </c>
      <c r="DD205" s="1603">
        <v>24.078293759053405</v>
      </c>
      <c r="DE205" s="1603">
        <v>17.00840988243613</v>
      </c>
      <c r="DF205" s="1603">
        <v>0</v>
      </c>
      <c r="DG205" s="1603">
        <v>0</v>
      </c>
      <c r="DH205" s="1603">
        <v>0</v>
      </c>
      <c r="DI205" s="1603">
        <v>0</v>
      </c>
      <c r="DJ205" s="1603">
        <v>0</v>
      </c>
      <c r="DK205" s="1603">
        <v>0</v>
      </c>
      <c r="DL205" s="1603">
        <v>0</v>
      </c>
      <c r="DM205" s="1603">
        <v>0</v>
      </c>
      <c r="DN205" s="1603">
        <v>0</v>
      </c>
      <c r="DO205" s="1603">
        <v>0</v>
      </c>
      <c r="DP205" s="1603">
        <v>0</v>
      </c>
      <c r="DQ205" s="1603">
        <v>0</v>
      </c>
      <c r="DR205" s="1603">
        <v>0</v>
      </c>
      <c r="DS205" s="1603">
        <v>0</v>
      </c>
      <c r="DT205" s="1603">
        <v>0</v>
      </c>
      <c r="DU205" s="1603">
        <v>0</v>
      </c>
      <c r="DV205" s="1603">
        <v>0</v>
      </c>
      <c r="DW205" s="1618" t="s">
        <v>3247</v>
      </c>
      <c r="DX205" s="1605" t="s">
        <v>986</v>
      </c>
      <c r="DY205" s="1605" t="s">
        <v>986</v>
      </c>
      <c r="DZ205" s="1605" t="s">
        <v>986</v>
      </c>
      <c r="EA205" s="1605" t="s">
        <v>986</v>
      </c>
      <c r="EB205" s="1605" t="s">
        <v>986</v>
      </c>
      <c r="EC205" s="1605" t="s">
        <v>986</v>
      </c>
      <c r="ED205" s="1605" t="s">
        <v>986</v>
      </c>
      <c r="EE205" s="1605" t="s">
        <v>986</v>
      </c>
      <c r="EF205" s="1605" t="s">
        <v>986</v>
      </c>
      <c r="EG205" s="1605" t="s">
        <v>986</v>
      </c>
      <c r="EH205" s="1605" t="s">
        <v>986</v>
      </c>
      <c r="EI205" s="1605" t="s">
        <v>986</v>
      </c>
      <c r="EJ205" s="1605" t="s">
        <v>986</v>
      </c>
      <c r="EK205" s="1605" t="s">
        <v>986</v>
      </c>
      <c r="EL205" s="1605" t="s">
        <v>986</v>
      </c>
      <c r="EM205" s="1605" t="s">
        <v>986</v>
      </c>
      <c r="EN205" s="1605" t="s">
        <v>986</v>
      </c>
      <c r="EO205" s="1605" t="s">
        <v>986</v>
      </c>
      <c r="EP205" s="1605" t="s">
        <v>986</v>
      </c>
      <c r="EQ205" s="1605" t="s">
        <v>986</v>
      </c>
      <c r="ER205" s="1605" t="s">
        <v>986</v>
      </c>
      <c r="ES205" s="1605" t="s">
        <v>986</v>
      </c>
      <c r="ET205" s="1605" t="s">
        <v>986</v>
      </c>
      <c r="EU205" s="1605" t="s">
        <v>986</v>
      </c>
      <c r="EV205" s="1605" t="s">
        <v>986</v>
      </c>
      <c r="EW205" s="1605" t="s">
        <v>986</v>
      </c>
      <c r="EX205" s="1605" t="s">
        <v>986</v>
      </c>
      <c r="EY205" s="1605" t="s">
        <v>986</v>
      </c>
      <c r="EZ205" s="1605" t="s">
        <v>986</v>
      </c>
      <c r="FA205" s="1605" t="s">
        <v>986</v>
      </c>
      <c r="FB205" s="1605" t="s">
        <v>986</v>
      </c>
      <c r="FC205" s="1605" t="s">
        <v>986</v>
      </c>
      <c r="FD205" s="1605" t="s">
        <v>986</v>
      </c>
      <c r="FE205" s="1605" t="s">
        <v>986</v>
      </c>
      <c r="FF205" s="1605" t="s">
        <v>986</v>
      </c>
      <c r="FG205" s="1605" t="s">
        <v>986</v>
      </c>
      <c r="FH205" s="1605" t="s">
        <v>986</v>
      </c>
      <c r="FI205" s="1605" t="s">
        <v>986</v>
      </c>
      <c r="FJ205" s="1605" t="s">
        <v>986</v>
      </c>
      <c r="FK205" s="1605" t="s">
        <v>986</v>
      </c>
      <c r="FL205" s="1605" t="s">
        <v>986</v>
      </c>
      <c r="FM205" s="1605" t="s">
        <v>986</v>
      </c>
      <c r="FN205" s="1605" t="s">
        <v>986</v>
      </c>
      <c r="FO205" s="1605" t="s">
        <v>986</v>
      </c>
      <c r="FP205" s="1605" t="s">
        <v>986</v>
      </c>
      <c r="FQ205" s="1605" t="s">
        <v>986</v>
      </c>
      <c r="FR205" s="1605" t="s">
        <v>986</v>
      </c>
      <c r="FS205" s="1605" t="s">
        <v>986</v>
      </c>
      <c r="FT205" s="1605" t="s">
        <v>986</v>
      </c>
      <c r="FU205" s="1605" t="s">
        <v>986</v>
      </c>
      <c r="FV205" s="1605" t="s">
        <v>986</v>
      </c>
      <c r="FW205" s="1605" t="s">
        <v>986</v>
      </c>
      <c r="FX205" s="1605" t="s">
        <v>986</v>
      </c>
      <c r="FY205" s="1605" t="s">
        <v>986</v>
      </c>
      <c r="FZ205" s="1605" t="s">
        <v>986</v>
      </c>
      <c r="GA205" s="1605" t="s">
        <v>986</v>
      </c>
      <c r="GB205" s="1605" t="s">
        <v>986</v>
      </c>
      <c r="GC205" s="1605" t="s">
        <v>986</v>
      </c>
      <c r="GD205" s="1605" t="s">
        <v>986</v>
      </c>
      <c r="GE205" s="1605" t="s">
        <v>986</v>
      </c>
      <c r="GF205" s="1605" t="s">
        <v>986</v>
      </c>
      <c r="GG205" s="1605" t="s">
        <v>986</v>
      </c>
      <c r="GH205" s="1605" t="s">
        <v>986</v>
      </c>
      <c r="GI205" s="1605" t="s">
        <v>986</v>
      </c>
      <c r="GJ205" s="1605" t="s">
        <v>986</v>
      </c>
      <c r="GK205" s="1605" t="s">
        <v>986</v>
      </c>
      <c r="GL205" s="1605" t="s">
        <v>986</v>
      </c>
      <c r="GM205" s="1605" t="s">
        <v>986</v>
      </c>
      <c r="GN205" s="1605" t="s">
        <v>986</v>
      </c>
      <c r="GO205" s="1605" t="s">
        <v>986</v>
      </c>
      <c r="GP205" s="1605" t="s">
        <v>986</v>
      </c>
      <c r="GQ205" s="1605" t="s">
        <v>986</v>
      </c>
      <c r="GR205" s="1605" t="s">
        <v>986</v>
      </c>
      <c r="GS205" s="1605" t="s">
        <v>986</v>
      </c>
      <c r="GT205" s="1605" t="s">
        <v>986</v>
      </c>
      <c r="GU205" s="1605" t="s">
        <v>986</v>
      </c>
      <c r="GV205" s="1605" t="s">
        <v>986</v>
      </c>
      <c r="GW205" s="1605" t="s">
        <v>986</v>
      </c>
      <c r="GX205" s="1605" t="s">
        <v>986</v>
      </c>
      <c r="GY205" s="1605" t="s">
        <v>986</v>
      </c>
      <c r="GZ205" s="1605" t="s">
        <v>986</v>
      </c>
      <c r="HA205" s="1605" t="s">
        <v>986</v>
      </c>
      <c r="HB205" s="1605" t="s">
        <v>986</v>
      </c>
      <c r="HC205" s="1605" t="s">
        <v>986</v>
      </c>
      <c r="HD205" s="1605" t="s">
        <v>986</v>
      </c>
      <c r="HE205" s="1605" t="s">
        <v>986</v>
      </c>
      <c r="HF205" s="1605" t="s">
        <v>986</v>
      </c>
      <c r="HG205" s="1605" t="s">
        <v>986</v>
      </c>
      <c r="HH205" s="1605" t="s">
        <v>986</v>
      </c>
      <c r="HI205" s="1605" t="s">
        <v>986</v>
      </c>
      <c r="HJ205" s="1605" t="s">
        <v>986</v>
      </c>
      <c r="HK205" s="1605" t="s">
        <v>986</v>
      </c>
      <c r="HL205" s="1605" t="s">
        <v>986</v>
      </c>
      <c r="HM205" s="1605" t="s">
        <v>986</v>
      </c>
      <c r="HN205" s="1605" t="s">
        <v>986</v>
      </c>
      <c r="HO205" s="1605" t="s">
        <v>986</v>
      </c>
      <c r="HP205" s="1605" t="s">
        <v>986</v>
      </c>
      <c r="HQ205" s="1605" t="s">
        <v>986</v>
      </c>
      <c r="HR205" s="1605" t="s">
        <v>986</v>
      </c>
      <c r="HS205" s="1605" t="s">
        <v>986</v>
      </c>
      <c r="HT205" s="1605" t="s">
        <v>986</v>
      </c>
      <c r="HU205" s="1605" t="s">
        <v>986</v>
      </c>
      <c r="HV205" s="1617"/>
      <c r="HW205" s="1617" t="s">
        <v>3246</v>
      </c>
      <c r="HX205" s="1617" t="s">
        <v>3245</v>
      </c>
      <c r="HY205" s="1617" t="s">
        <v>3244</v>
      </c>
      <c r="HZ205" s="1603"/>
      <c r="IA205" s="1603"/>
      <c r="IB205" s="1603"/>
      <c r="IC205" s="1603">
        <v>55.357723577235802</v>
      </c>
      <c r="ID205" s="1603">
        <v>56.918699186991901</v>
      </c>
      <c r="IE205" s="1603">
        <v>58.219512195121901</v>
      </c>
      <c r="IF205" s="1603">
        <v>59</v>
      </c>
      <c r="IG205" s="1611" t="s">
        <v>3243</v>
      </c>
      <c r="IH205" s="1616" t="s">
        <v>3250</v>
      </c>
      <c r="II205" s="1615" t="s">
        <v>3249</v>
      </c>
      <c r="IJ205" s="1613">
        <v>0.72074000000000005</v>
      </c>
      <c r="IK205" s="1613">
        <v>0.55119000000000007</v>
      </c>
      <c r="IL205" s="1614">
        <v>0.72074000000000005</v>
      </c>
      <c r="IM205" s="1614">
        <v>0.55119000000000007</v>
      </c>
      <c r="IN205" s="1612">
        <v>0.51</v>
      </c>
      <c r="IO205" s="1613">
        <v>-0.21074000000000004</v>
      </c>
      <c r="IP205" s="1607" t="s">
        <v>270</v>
      </c>
      <c r="IQ205" s="1612">
        <v>1.46</v>
      </c>
      <c r="IR205" s="1612">
        <v>4.3999999999999997E-2</v>
      </c>
      <c r="IS205" s="1607">
        <v>0.66274</v>
      </c>
      <c r="IT205" s="1607">
        <v>0.49319000000000002</v>
      </c>
      <c r="IU205" s="1611">
        <v>1.0000000000000001E-5</v>
      </c>
      <c r="IV205" s="1611">
        <v>6.0799999999999995E-3</v>
      </c>
      <c r="IW205" s="1611">
        <v>7.5000000000000002E-4</v>
      </c>
      <c r="IX205" s="1611">
        <v>1.15E-3</v>
      </c>
      <c r="IY205" s="1611">
        <v>7.5999999999999993E-4</v>
      </c>
      <c r="IZ205" s="1611">
        <v>8.1899999999999994E-3</v>
      </c>
      <c r="JA205" s="1611">
        <v>1.7999999999999998E-4</v>
      </c>
      <c r="JB205" s="1611" t="s">
        <v>270</v>
      </c>
      <c r="JC205" s="1611">
        <v>0.19813</v>
      </c>
      <c r="JD205" s="1611">
        <v>1.01E-2</v>
      </c>
      <c r="JE205" s="1611" t="s">
        <v>270</v>
      </c>
      <c r="JF205" s="1611">
        <v>3.7999999999999997E-4</v>
      </c>
      <c r="JG205" s="1611">
        <v>1.3402100000000001</v>
      </c>
      <c r="JH205" s="1611">
        <v>5.2000000000000006E-4</v>
      </c>
      <c r="JI205" s="1611">
        <v>6.6780000000000006E-2</v>
      </c>
      <c r="JJ205" s="1611" t="s">
        <v>270</v>
      </c>
      <c r="JK205" s="1607">
        <f t="shared" si="12"/>
        <v>5.8000000000000052E-2</v>
      </c>
      <c r="JL205" s="1608" t="s">
        <v>270</v>
      </c>
      <c r="JM205" s="1610" t="s">
        <v>2924</v>
      </c>
      <c r="JN205" s="1608">
        <v>0.16954999999999998</v>
      </c>
      <c r="JO205" s="1609" t="s">
        <v>3077</v>
      </c>
      <c r="JP205" s="1608" t="s">
        <v>270</v>
      </c>
      <c r="JQ205" s="1607">
        <v>202103</v>
      </c>
      <c r="JR205" s="1606">
        <v>448</v>
      </c>
      <c r="JS205" s="1606">
        <v>406</v>
      </c>
      <c r="JT205" s="1606">
        <v>406</v>
      </c>
    </row>
    <row r="206" spans="1:280" ht="15" customHeight="1" x14ac:dyDescent="0.2">
      <c r="A206" s="1626">
        <v>58300</v>
      </c>
      <c r="B206" s="1625">
        <v>583</v>
      </c>
      <c r="C206" s="1624">
        <v>0</v>
      </c>
      <c r="D206" s="1623" t="s">
        <v>3248</v>
      </c>
      <c r="E206" s="1622">
        <v>43025</v>
      </c>
      <c r="F206" s="1620">
        <v>0.89144277100270997</v>
      </c>
      <c r="G206" s="1620">
        <v>0.94997746662337601</v>
      </c>
      <c r="H206" s="1621">
        <v>80.5</v>
      </c>
      <c r="I206" s="1621">
        <v>60.4</v>
      </c>
      <c r="J206" s="1621">
        <v>86</v>
      </c>
      <c r="K206" s="1620">
        <v>1</v>
      </c>
      <c r="L206" s="1620">
        <v>88.9</v>
      </c>
      <c r="M206" s="1620">
        <v>31.114999999999998</v>
      </c>
      <c r="N206" s="1620">
        <v>9.3345000000000002</v>
      </c>
      <c r="O206" s="1620">
        <v>6.2229999999999999</v>
      </c>
      <c r="P206" s="1620">
        <v>12.0015</v>
      </c>
      <c r="Q206" s="1603"/>
      <c r="R206" s="1620">
        <v>76</v>
      </c>
      <c r="S206" s="1620">
        <v>27</v>
      </c>
      <c r="T206" s="1620">
        <v>40.008130081300799</v>
      </c>
      <c r="U206" s="1620">
        <v>45.211382113821102</v>
      </c>
      <c r="V206" s="1620">
        <v>49.894308943089399</v>
      </c>
      <c r="W206" s="1620">
        <v>53.016260162601597</v>
      </c>
      <c r="X206" s="1620"/>
      <c r="Y206" s="1620">
        <v>8.6</v>
      </c>
      <c r="Z206" s="1620">
        <v>12.200000000000001</v>
      </c>
      <c r="AA206" s="1620">
        <v>0.1</v>
      </c>
      <c r="AB206" s="1620">
        <v>0.5</v>
      </c>
      <c r="AC206" s="1620">
        <v>13.5</v>
      </c>
      <c r="AD206" s="1620">
        <v>4.8999999999999995</v>
      </c>
      <c r="AE206" s="1620">
        <v>6.7000000000000011</v>
      </c>
      <c r="AF206" s="1620">
        <v>220</v>
      </c>
      <c r="AG206" s="1620">
        <v>6.5</v>
      </c>
      <c r="AH206" s="1620">
        <v>67</v>
      </c>
      <c r="AI206" s="1620">
        <v>57.999999999999993</v>
      </c>
      <c r="AJ206" s="1620">
        <v>0</v>
      </c>
      <c r="AK206" s="1620">
        <v>0.10999999999999999</v>
      </c>
      <c r="AL206" s="1620"/>
      <c r="AM206" s="1620">
        <v>5.5000000000000098</v>
      </c>
      <c r="AN206" s="1620">
        <v>2</v>
      </c>
      <c r="AO206" s="1620">
        <v>2.4900000000000002</v>
      </c>
      <c r="AP206" s="1620">
        <v>4.4000000000000004</v>
      </c>
      <c r="AQ206" s="1620">
        <v>1.27</v>
      </c>
      <c r="AR206" s="1620">
        <v>3.9000000000000101</v>
      </c>
      <c r="AS206" s="1620">
        <v>7.1</v>
      </c>
      <c r="AT206" s="1620">
        <v>2.79</v>
      </c>
      <c r="AU206" s="1620">
        <v>4</v>
      </c>
      <c r="AV206" s="1620">
        <v>3.02</v>
      </c>
      <c r="AW206" s="1620">
        <v>5.19</v>
      </c>
      <c r="AX206" s="1620"/>
      <c r="AY206" s="1620">
        <v>1.01</v>
      </c>
      <c r="AZ206" s="1620">
        <v>1.1399999999999999</v>
      </c>
      <c r="BA206" s="1620">
        <v>1.07</v>
      </c>
      <c r="BB206" s="1620">
        <v>1</v>
      </c>
      <c r="BC206" s="1620">
        <v>0.99</v>
      </c>
      <c r="BD206" s="1620">
        <v>1.03</v>
      </c>
      <c r="BE206" s="1620">
        <v>1.07</v>
      </c>
      <c r="BF206" s="1620">
        <v>1.0900000000000001</v>
      </c>
      <c r="BG206" s="1620">
        <v>1.07</v>
      </c>
      <c r="BH206" s="1620">
        <v>1.04</v>
      </c>
      <c r="BI206" s="1620">
        <v>1.01</v>
      </c>
      <c r="BJ206" s="1603"/>
      <c r="BK206" s="1620">
        <v>35</v>
      </c>
      <c r="BL206" s="1620">
        <v>10.5</v>
      </c>
      <c r="BM206" s="1620">
        <v>6.9999999999999991</v>
      </c>
      <c r="BN206" s="1620">
        <v>13.5</v>
      </c>
      <c r="BO206" s="1620"/>
      <c r="BP206" s="1620">
        <v>115</v>
      </c>
      <c r="BQ206" s="1620">
        <v>120.74999999999999</v>
      </c>
      <c r="BR206" s="1620">
        <v>1.0027477739063104</v>
      </c>
      <c r="BS206" s="1620">
        <v>1.0685910760667896</v>
      </c>
      <c r="BT206" s="1603"/>
      <c r="BU206" s="1620">
        <v>929.99999999999989</v>
      </c>
      <c r="BV206" s="1620">
        <v>61.257142857142853</v>
      </c>
      <c r="BW206" s="1620">
        <v>267.04285714285714</v>
      </c>
      <c r="BX206" s="1620" t="s">
        <v>270</v>
      </c>
      <c r="BY206" s="1620" t="s">
        <v>270</v>
      </c>
      <c r="BZ206" s="1620">
        <v>59.751428571428569</v>
      </c>
      <c r="CA206" s="1620">
        <v>338.59142857142859</v>
      </c>
      <c r="CB206" s="1603"/>
      <c r="CC206" s="1603">
        <v>7.6453999999999995</v>
      </c>
      <c r="CD206" s="1603">
        <v>10.845800000000001</v>
      </c>
      <c r="CE206" s="1603">
        <v>8.8900000000000007E-2</v>
      </c>
      <c r="CF206" s="1603">
        <v>0.44450000000000001</v>
      </c>
      <c r="CG206" s="1603">
        <v>12.0015</v>
      </c>
      <c r="CH206" s="1603">
        <v>4.3560999999999996</v>
      </c>
      <c r="CI206" s="1603">
        <v>5.9563000000000006</v>
      </c>
      <c r="CJ206" s="1603"/>
      <c r="CK206" s="1603">
        <v>195.58</v>
      </c>
      <c r="CL206" s="1603">
        <v>5.7785000000000002</v>
      </c>
      <c r="CM206" s="1603">
        <v>59.563000000000002</v>
      </c>
      <c r="CN206" s="1603">
        <v>51.561999999999998</v>
      </c>
      <c r="CO206" s="1603">
        <v>0</v>
      </c>
      <c r="CP206" s="1603">
        <v>9.7789999999999988E-2</v>
      </c>
      <c r="CQ206" s="1603">
        <v>236.47399999999999</v>
      </c>
      <c r="CR206" s="1603">
        <v>265.27109500704125</v>
      </c>
      <c r="CS206" s="1603">
        <v>14.735809327641142</v>
      </c>
      <c r="CT206" s="1603">
        <v>6.0481809661605412</v>
      </c>
      <c r="CU206" s="1603">
        <v>7.0676177842726</v>
      </c>
      <c r="CV206" s="1603">
        <v>13.115798750433141</v>
      </c>
      <c r="CW206" s="1603">
        <v>11.671928180309816</v>
      </c>
      <c r="CX206" s="1603">
        <v>3.3352534775235294</v>
      </c>
      <c r="CY206" s="1603">
        <v>10.655939886432881</v>
      </c>
      <c r="CZ206" s="1603">
        <v>20.152645087684924</v>
      </c>
      <c r="DA206" s="1603">
        <v>8.0671592702591326</v>
      </c>
      <c r="DB206" s="1603">
        <v>11.353602866301365</v>
      </c>
      <c r="DC206" s="1603">
        <v>8.3316345519811517</v>
      </c>
      <c r="DD206" s="1603">
        <v>19.685237418282519</v>
      </c>
      <c r="DE206" s="1603">
        <v>13.905245529174097</v>
      </c>
      <c r="DF206" s="1603">
        <v>0</v>
      </c>
      <c r="DG206" s="1603">
        <v>0</v>
      </c>
      <c r="DH206" s="1603">
        <v>0</v>
      </c>
      <c r="DI206" s="1603">
        <v>0</v>
      </c>
      <c r="DJ206" s="1603">
        <v>0</v>
      </c>
      <c r="DK206" s="1603">
        <v>0</v>
      </c>
      <c r="DL206" s="1603">
        <v>0</v>
      </c>
      <c r="DM206" s="1603">
        <v>0</v>
      </c>
      <c r="DN206" s="1603">
        <v>0</v>
      </c>
      <c r="DO206" s="1603">
        <v>0</v>
      </c>
      <c r="DP206" s="1603">
        <v>0</v>
      </c>
      <c r="DQ206" s="1603">
        <v>0</v>
      </c>
      <c r="DR206" s="1603">
        <v>0</v>
      </c>
      <c r="DS206" s="1603">
        <v>0</v>
      </c>
      <c r="DT206" s="1603">
        <v>0</v>
      </c>
      <c r="DU206" s="1603">
        <v>0</v>
      </c>
      <c r="DV206" s="1603">
        <v>0</v>
      </c>
      <c r="DW206" s="1618" t="s">
        <v>3247</v>
      </c>
      <c r="DX206" s="1605" t="s">
        <v>986</v>
      </c>
      <c r="DY206" s="1605" t="s">
        <v>986</v>
      </c>
      <c r="DZ206" s="1605">
        <v>5</v>
      </c>
      <c r="EA206" s="1605">
        <v>5</v>
      </c>
      <c r="EB206" s="1605" t="s">
        <v>986</v>
      </c>
      <c r="EC206" s="1605">
        <v>5</v>
      </c>
      <c r="ED206" s="1605">
        <v>5</v>
      </c>
      <c r="EE206" s="1605">
        <v>5</v>
      </c>
      <c r="EF206" s="1605">
        <v>5</v>
      </c>
      <c r="EG206" s="1605">
        <v>5</v>
      </c>
      <c r="EH206" s="1605" t="s">
        <v>986</v>
      </c>
      <c r="EI206" s="1605" t="s">
        <v>986</v>
      </c>
      <c r="EJ206" s="1605" t="s">
        <v>986</v>
      </c>
      <c r="EK206" s="1605" t="s">
        <v>986</v>
      </c>
      <c r="EL206" s="1605" t="s">
        <v>986</v>
      </c>
      <c r="EM206" s="1605" t="s">
        <v>986</v>
      </c>
      <c r="EN206" s="1605" t="s">
        <v>986</v>
      </c>
      <c r="EO206" s="1605" t="s">
        <v>986</v>
      </c>
      <c r="EP206" s="1605" t="s">
        <v>986</v>
      </c>
      <c r="EQ206" s="1605" t="s">
        <v>986</v>
      </c>
      <c r="ER206" s="1605" t="s">
        <v>986</v>
      </c>
      <c r="ES206" s="1605">
        <v>5</v>
      </c>
      <c r="ET206" s="1605">
        <v>6</v>
      </c>
      <c r="EU206" s="1605">
        <v>4</v>
      </c>
      <c r="EV206" s="1605" t="s">
        <v>986</v>
      </c>
      <c r="EW206" s="1605">
        <v>5</v>
      </c>
      <c r="EX206" s="1605">
        <v>5</v>
      </c>
      <c r="EY206" s="1605" t="s">
        <v>986</v>
      </c>
      <c r="EZ206" s="1605">
        <v>5</v>
      </c>
      <c r="FA206" s="1605">
        <v>5</v>
      </c>
      <c r="FB206" s="1605">
        <v>5</v>
      </c>
      <c r="FC206" s="1605">
        <v>5</v>
      </c>
      <c r="FD206" s="1605" t="s">
        <v>986</v>
      </c>
      <c r="FE206" s="1605" t="s">
        <v>986</v>
      </c>
      <c r="FF206" s="1605" t="s">
        <v>986</v>
      </c>
      <c r="FG206" s="1605" t="s">
        <v>986</v>
      </c>
      <c r="FH206" s="1605">
        <v>0.8</v>
      </c>
      <c r="FI206" s="1605">
        <v>0.1</v>
      </c>
      <c r="FJ206" s="1605" t="s">
        <v>986</v>
      </c>
      <c r="FK206" s="1605">
        <v>1.1000000000000001</v>
      </c>
      <c r="FL206" s="1605">
        <v>3.4</v>
      </c>
      <c r="FM206" s="1605" t="s">
        <v>986</v>
      </c>
      <c r="FN206" s="1605">
        <v>4.5999999999999996</v>
      </c>
      <c r="FO206" s="1605" t="s">
        <v>986</v>
      </c>
      <c r="FP206" s="1605" t="s">
        <v>986</v>
      </c>
      <c r="FQ206" s="1605" t="s">
        <v>986</v>
      </c>
      <c r="FR206" s="1605" t="s">
        <v>986</v>
      </c>
      <c r="FS206" s="1605" t="s">
        <v>986</v>
      </c>
      <c r="FT206" s="1605" t="s">
        <v>986</v>
      </c>
      <c r="FU206" s="1605" t="s">
        <v>986</v>
      </c>
      <c r="FV206" s="1605" t="s">
        <v>986</v>
      </c>
      <c r="FW206" s="1605" t="s">
        <v>986</v>
      </c>
      <c r="FX206" s="1605" t="s">
        <v>986</v>
      </c>
      <c r="FY206" s="1605" t="s">
        <v>986</v>
      </c>
      <c r="FZ206" s="1605" t="s">
        <v>986</v>
      </c>
      <c r="GA206" s="1605" t="s">
        <v>986</v>
      </c>
      <c r="GB206" s="1605">
        <v>1.2</v>
      </c>
      <c r="GC206" s="1605" t="s">
        <v>986</v>
      </c>
      <c r="GD206" s="1605">
        <v>7.0000000000000007E-2</v>
      </c>
      <c r="GE206" s="1605">
        <v>2.2599999999999998</v>
      </c>
      <c r="GF206" s="1605">
        <v>0.85</v>
      </c>
      <c r="GG206" s="1605">
        <v>0.53</v>
      </c>
      <c r="GH206" s="1605">
        <v>94.73</v>
      </c>
      <c r="GI206" s="1605">
        <v>1.49</v>
      </c>
      <c r="GJ206" s="1605">
        <v>5.1100000000000003</v>
      </c>
      <c r="GK206" s="1605">
        <v>7.45</v>
      </c>
      <c r="GL206" s="1605" t="s">
        <v>986</v>
      </c>
      <c r="GM206" s="1605" t="s">
        <v>986</v>
      </c>
      <c r="GN206" s="1605" t="s">
        <v>1591</v>
      </c>
      <c r="GO206" s="1605" t="s">
        <v>1591</v>
      </c>
      <c r="GP206" s="1605" t="s">
        <v>1591</v>
      </c>
      <c r="GQ206" s="1605" t="s">
        <v>1591</v>
      </c>
      <c r="GR206" s="1605" t="s">
        <v>986</v>
      </c>
      <c r="GS206" s="1605" t="s">
        <v>1591</v>
      </c>
      <c r="GT206" s="1605" t="s">
        <v>1591</v>
      </c>
      <c r="GU206" s="1605" t="s">
        <v>1591</v>
      </c>
      <c r="GV206" s="1605" t="s">
        <v>1591</v>
      </c>
      <c r="GW206" s="1605" t="s">
        <v>986</v>
      </c>
      <c r="GX206" s="1605" t="s">
        <v>986</v>
      </c>
      <c r="GY206" s="1605" t="s">
        <v>986</v>
      </c>
      <c r="GZ206" s="1605" t="s">
        <v>986</v>
      </c>
      <c r="HA206" s="1605" t="s">
        <v>986</v>
      </c>
      <c r="HB206" s="1605" t="s">
        <v>986</v>
      </c>
      <c r="HC206" s="1605" t="s">
        <v>986</v>
      </c>
      <c r="HD206" s="1605" t="s">
        <v>986</v>
      </c>
      <c r="HE206" s="1605" t="s">
        <v>986</v>
      </c>
      <c r="HF206" s="1605" t="s">
        <v>986</v>
      </c>
      <c r="HG206" s="1605" t="s">
        <v>986</v>
      </c>
      <c r="HH206" s="1605" t="s">
        <v>986</v>
      </c>
      <c r="HI206" s="1605" t="s">
        <v>1591</v>
      </c>
      <c r="HJ206" s="1605" t="s">
        <v>1591</v>
      </c>
      <c r="HK206" s="1605" t="s">
        <v>986</v>
      </c>
      <c r="HL206" s="1605" t="s">
        <v>986</v>
      </c>
      <c r="HM206" s="1605" t="s">
        <v>1591</v>
      </c>
      <c r="HN206" s="1605" t="s">
        <v>1591</v>
      </c>
      <c r="HO206" s="1605" t="s">
        <v>1591</v>
      </c>
      <c r="HP206" s="1605" t="s">
        <v>1591</v>
      </c>
      <c r="HQ206" s="1605" t="s">
        <v>1591</v>
      </c>
      <c r="HR206" s="1605" t="s">
        <v>1591</v>
      </c>
      <c r="HS206" s="1605" t="s">
        <v>1591</v>
      </c>
      <c r="HT206" s="1605" t="s">
        <v>986</v>
      </c>
      <c r="HU206" s="1605" t="s">
        <v>986</v>
      </c>
      <c r="HV206" s="1617"/>
      <c r="HW206" s="1617" t="s">
        <v>3246</v>
      </c>
      <c r="HX206" s="1617" t="s">
        <v>3245</v>
      </c>
      <c r="HY206" s="1617" t="s">
        <v>3244</v>
      </c>
      <c r="HZ206" s="1603"/>
      <c r="IA206" s="1603"/>
      <c r="IB206" s="1603"/>
      <c r="IC206" s="1603">
        <v>55.357723577235802</v>
      </c>
      <c r="ID206" s="1603">
        <v>56.918699186991901</v>
      </c>
      <c r="IE206" s="1603">
        <v>58.219512195121901</v>
      </c>
      <c r="IF206" s="1603">
        <v>59</v>
      </c>
      <c r="IG206" s="1611" t="s">
        <v>3243</v>
      </c>
      <c r="IH206" s="1616" t="s">
        <v>3242</v>
      </c>
      <c r="II206" s="1615" t="s">
        <v>3241</v>
      </c>
      <c r="IJ206" s="1613">
        <v>0.72074000000000005</v>
      </c>
      <c r="IK206" s="1613">
        <v>0.55119000000000007</v>
      </c>
      <c r="IL206" s="1614">
        <v>0.72074000000000005</v>
      </c>
      <c r="IM206" s="1614">
        <v>0.55119000000000007</v>
      </c>
      <c r="IN206" s="1612">
        <v>0.51</v>
      </c>
      <c r="IO206" s="1613">
        <v>-0.21074000000000004</v>
      </c>
      <c r="IP206" s="1607" t="s">
        <v>270</v>
      </c>
      <c r="IQ206" s="1612">
        <v>1.46</v>
      </c>
      <c r="IR206" s="1612">
        <v>4.3999999999999997E-2</v>
      </c>
      <c r="IS206" s="1607">
        <v>0.66274</v>
      </c>
      <c r="IT206" s="1607">
        <v>0.49319000000000002</v>
      </c>
      <c r="IU206" s="1611">
        <v>1.0000000000000001E-5</v>
      </c>
      <c r="IV206" s="1611">
        <v>6.0799999999999995E-3</v>
      </c>
      <c r="IW206" s="1611">
        <v>7.5000000000000002E-4</v>
      </c>
      <c r="IX206" s="1611">
        <v>1.15E-3</v>
      </c>
      <c r="IY206" s="1611">
        <v>7.5999999999999993E-4</v>
      </c>
      <c r="IZ206" s="1611">
        <v>8.1899999999999994E-3</v>
      </c>
      <c r="JA206" s="1611">
        <v>1.7999999999999998E-4</v>
      </c>
      <c r="JB206" s="1611" t="s">
        <v>270</v>
      </c>
      <c r="JC206" s="1611">
        <v>0.19813</v>
      </c>
      <c r="JD206" s="1611">
        <v>1.01E-2</v>
      </c>
      <c r="JE206" s="1611" t="s">
        <v>270</v>
      </c>
      <c r="JF206" s="1611">
        <v>3.7999999999999997E-4</v>
      </c>
      <c r="JG206" s="1611">
        <v>1.3402100000000001</v>
      </c>
      <c r="JH206" s="1611">
        <v>5.2000000000000006E-4</v>
      </c>
      <c r="JI206" s="1611">
        <v>6.6780000000000006E-2</v>
      </c>
      <c r="JJ206" s="1611" t="s">
        <v>270</v>
      </c>
      <c r="JK206" s="1607">
        <f t="shared" si="12"/>
        <v>5.8000000000000052E-2</v>
      </c>
      <c r="JL206" s="1608" t="s">
        <v>270</v>
      </c>
      <c r="JM206" s="1610" t="s">
        <v>2924</v>
      </c>
      <c r="JN206" s="1608">
        <v>0.16954999999999998</v>
      </c>
      <c r="JO206" s="1609" t="s">
        <v>3077</v>
      </c>
      <c r="JP206" s="1608" t="s">
        <v>270</v>
      </c>
      <c r="JQ206" s="1607">
        <v>202103</v>
      </c>
      <c r="JR206" s="1606">
        <v>448</v>
      </c>
      <c r="JS206" s="1606">
        <v>406</v>
      </c>
      <c r="JT206" s="1606">
        <v>406</v>
      </c>
    </row>
    <row r="207" spans="1:280" ht="15" customHeight="1" x14ac:dyDescent="0.2">
      <c r="A207" s="1626">
        <v>58100</v>
      </c>
      <c r="B207" s="1625">
        <v>581</v>
      </c>
      <c r="C207" s="1624">
        <v>0</v>
      </c>
      <c r="D207" s="1623" t="s">
        <v>3240</v>
      </c>
      <c r="E207" s="1622">
        <v>43776</v>
      </c>
      <c r="F207" s="1620">
        <v>0.74124799581881595</v>
      </c>
      <c r="G207" s="1620">
        <v>0.80463221067161395</v>
      </c>
      <c r="H207" s="1621">
        <v>79</v>
      </c>
      <c r="I207" s="1621">
        <v>59.699984000000001</v>
      </c>
      <c r="J207" s="1621">
        <v>86</v>
      </c>
      <c r="K207" s="1620">
        <v>1</v>
      </c>
      <c r="L207" s="1620">
        <v>88.8</v>
      </c>
      <c r="M207" s="1620">
        <v>34.4544</v>
      </c>
      <c r="N207" s="1620">
        <v>4.3512000000000004</v>
      </c>
      <c r="O207" s="1620">
        <v>7.4592000000000001</v>
      </c>
      <c r="P207" s="1620">
        <v>11.544</v>
      </c>
      <c r="Q207" s="1603"/>
      <c r="R207" s="1620">
        <v>76</v>
      </c>
      <c r="S207" s="1620">
        <v>27</v>
      </c>
      <c r="T207" s="1620">
        <v>40.008130081300799</v>
      </c>
      <c r="U207" s="1620">
        <v>45.211382113821102</v>
      </c>
      <c r="V207" s="1620">
        <v>49.894308943089399</v>
      </c>
      <c r="W207" s="1620">
        <v>53.016260162601597</v>
      </c>
      <c r="X207" s="1620"/>
      <c r="Y207" s="1620">
        <v>8.3000000000000007</v>
      </c>
      <c r="Z207" s="1620">
        <v>11.9</v>
      </c>
      <c r="AA207" s="1620">
        <v>0.4</v>
      </c>
      <c r="AB207" s="1620">
        <v>0</v>
      </c>
      <c r="AC207" s="1620">
        <v>15</v>
      </c>
      <c r="AD207" s="1620">
        <v>5.3000000000000007</v>
      </c>
      <c r="AE207" s="1620">
        <v>7.2999999999999989</v>
      </c>
      <c r="AF207" s="1620">
        <v>260</v>
      </c>
      <c r="AG207" s="1620">
        <v>6.4</v>
      </c>
      <c r="AH207" s="1620">
        <v>76</v>
      </c>
      <c r="AI207" s="1620">
        <v>73</v>
      </c>
      <c r="AJ207" s="1620">
        <v>0</v>
      </c>
      <c r="AK207" s="1620">
        <v>9.0000000000000011E-2</v>
      </c>
      <c r="AL207" s="1620"/>
      <c r="AM207" s="1620">
        <v>5.5</v>
      </c>
      <c r="AN207" s="1620">
        <v>2</v>
      </c>
      <c r="AO207" s="1620">
        <v>2.4900000000000002</v>
      </c>
      <c r="AP207" s="1620">
        <v>4.3999999999999897</v>
      </c>
      <c r="AQ207" s="1620">
        <v>1.27</v>
      </c>
      <c r="AR207" s="1620">
        <v>3.9</v>
      </c>
      <c r="AS207" s="1620">
        <v>7.1</v>
      </c>
      <c r="AT207" s="1620">
        <v>2.79</v>
      </c>
      <c r="AU207" s="1620">
        <v>4</v>
      </c>
      <c r="AV207" s="1620">
        <v>3.02</v>
      </c>
      <c r="AW207" s="1620">
        <v>5.1899999999999897</v>
      </c>
      <c r="AX207" s="1620"/>
      <c r="AY207" s="1620">
        <v>1.01</v>
      </c>
      <c r="AZ207" s="1620">
        <v>1.1399999999999999</v>
      </c>
      <c r="BA207" s="1620">
        <v>1.07</v>
      </c>
      <c r="BB207" s="1620">
        <v>1</v>
      </c>
      <c r="BC207" s="1620">
        <v>0.99</v>
      </c>
      <c r="BD207" s="1620">
        <v>1.03</v>
      </c>
      <c r="BE207" s="1620">
        <v>1.07</v>
      </c>
      <c r="BF207" s="1620">
        <v>1.0900000000000001</v>
      </c>
      <c r="BG207" s="1620">
        <v>1.07</v>
      </c>
      <c r="BH207" s="1620">
        <v>1.04</v>
      </c>
      <c r="BI207" s="1620">
        <v>1.01</v>
      </c>
      <c r="BJ207" s="1603"/>
      <c r="BK207" s="1620">
        <v>38.800000000000004</v>
      </c>
      <c r="BL207" s="1620">
        <v>4.9000000000000012</v>
      </c>
      <c r="BM207" s="1620">
        <v>8.4</v>
      </c>
      <c r="BN207" s="1620">
        <v>13.000000000000002</v>
      </c>
      <c r="BO207" s="1620"/>
      <c r="BP207" s="1620">
        <v>116</v>
      </c>
      <c r="BQ207" s="1620">
        <v>56.839999999999996</v>
      </c>
      <c r="BR207" s="1620">
        <v>0.83473873403019816</v>
      </c>
      <c r="BS207" s="1620">
        <v>0.90611735435992569</v>
      </c>
      <c r="BT207" s="1603"/>
      <c r="BU207" s="1620">
        <v>916.00000000000011</v>
      </c>
      <c r="BV207" s="1620">
        <v>70.475714285714417</v>
      </c>
      <c r="BW207" s="1620">
        <v>252.55449508571397</v>
      </c>
      <c r="BX207" s="1620" t="s">
        <v>270</v>
      </c>
      <c r="BY207" s="1620" t="s">
        <v>270</v>
      </c>
      <c r="BZ207" s="1620">
        <v>58.368642857142788</v>
      </c>
      <c r="CA207" s="1620">
        <v>330.75564285714302</v>
      </c>
      <c r="CB207" s="1603"/>
      <c r="CC207" s="1603">
        <v>7.370400000000001</v>
      </c>
      <c r="CD207" s="1603">
        <v>10.5672</v>
      </c>
      <c r="CE207" s="1603">
        <v>0.35520000000000002</v>
      </c>
      <c r="CF207" s="1603">
        <v>0</v>
      </c>
      <c r="CG207" s="1603">
        <v>13.32</v>
      </c>
      <c r="CH207" s="1603">
        <v>4.7064000000000004</v>
      </c>
      <c r="CI207" s="1603">
        <v>6.4823999999999993</v>
      </c>
      <c r="CJ207" s="1603"/>
      <c r="CK207" s="1603">
        <v>230.88</v>
      </c>
      <c r="CL207" s="1603">
        <v>5.6832000000000003</v>
      </c>
      <c r="CM207" s="1603">
        <v>67.488</v>
      </c>
      <c r="CN207" s="1603">
        <v>64.823999999999998</v>
      </c>
      <c r="CO207" s="1603">
        <v>0</v>
      </c>
      <c r="CP207" s="1603">
        <v>7.9920000000000005E-2</v>
      </c>
      <c r="CQ207" s="1603">
        <v>261.85343999999998</v>
      </c>
      <c r="CR207" s="1603">
        <v>353.26023338618927</v>
      </c>
      <c r="CS207" s="1603">
        <v>19.623605964602817</v>
      </c>
      <c r="CT207" s="1603">
        <v>8.0543333212051156</v>
      </c>
      <c r="CU207" s="1603">
        <v>9.4119123981082424</v>
      </c>
      <c r="CV207" s="1603">
        <v>17.46624571931336</v>
      </c>
      <c r="CW207" s="1603">
        <v>15.543450268992331</v>
      </c>
      <c r="CX207" s="1603">
        <v>4.4415409143645581</v>
      </c>
      <c r="CY207" s="1603">
        <v>14.190463575123223</v>
      </c>
      <c r="CZ207" s="1603">
        <v>26.837179930348803</v>
      </c>
      <c r="DA207" s="1603">
        <v>10.742996957507403</v>
      </c>
      <c r="DB207" s="1603">
        <v>15.119537988928904</v>
      </c>
      <c r="DC207" s="1603">
        <v>11.095197410193435</v>
      </c>
      <c r="DD207" s="1603">
        <v>26.21473539912234</v>
      </c>
      <c r="DE207" s="1603">
        <v>18.517548173870658</v>
      </c>
      <c r="DF207" s="1603">
        <v>0</v>
      </c>
      <c r="DG207" s="1603">
        <v>0</v>
      </c>
      <c r="DH207" s="1603">
        <v>0</v>
      </c>
      <c r="DI207" s="1603">
        <v>0</v>
      </c>
      <c r="DJ207" s="1603">
        <v>0</v>
      </c>
      <c r="DK207" s="1603">
        <v>0</v>
      </c>
      <c r="DL207" s="1603">
        <v>0</v>
      </c>
      <c r="DM207" s="1603">
        <v>0</v>
      </c>
      <c r="DN207" s="1603">
        <v>0</v>
      </c>
      <c r="DO207" s="1603">
        <v>0</v>
      </c>
      <c r="DP207" s="1603">
        <v>0</v>
      </c>
      <c r="DQ207" s="1603">
        <v>0</v>
      </c>
      <c r="DR207" s="1603">
        <v>0</v>
      </c>
      <c r="DS207" s="1603">
        <v>0</v>
      </c>
      <c r="DT207" s="1603">
        <v>0</v>
      </c>
      <c r="DU207" s="1603">
        <v>0</v>
      </c>
      <c r="DV207" s="1603">
        <v>0</v>
      </c>
      <c r="DW207" s="1618" t="s">
        <v>3239</v>
      </c>
      <c r="DX207" s="1605">
        <v>44</v>
      </c>
      <c r="DY207" s="1605">
        <v>44</v>
      </c>
      <c r="DZ207" s="1605">
        <v>41</v>
      </c>
      <c r="EA207" s="1605">
        <v>42</v>
      </c>
      <c r="EB207" s="1605">
        <v>42</v>
      </c>
      <c r="EC207" s="1605">
        <v>42</v>
      </c>
      <c r="ED207" s="1605">
        <v>42</v>
      </c>
      <c r="EE207" s="1605">
        <v>42</v>
      </c>
      <c r="EF207" s="1605">
        <v>41</v>
      </c>
      <c r="EG207" s="1605">
        <v>41</v>
      </c>
      <c r="EH207" s="1605" t="s">
        <v>986</v>
      </c>
      <c r="EI207" s="1605" t="s">
        <v>986</v>
      </c>
      <c r="EJ207" s="1605" t="s">
        <v>986</v>
      </c>
      <c r="EK207" s="1605" t="s">
        <v>986</v>
      </c>
      <c r="EL207" s="1605" t="s">
        <v>986</v>
      </c>
      <c r="EM207" s="1605" t="s">
        <v>986</v>
      </c>
      <c r="EN207" s="1605" t="s">
        <v>986</v>
      </c>
      <c r="EO207" s="1605" t="s">
        <v>986</v>
      </c>
      <c r="EP207" s="1605" t="s">
        <v>986</v>
      </c>
      <c r="EQ207" s="1605" t="s">
        <v>986</v>
      </c>
      <c r="ER207" s="1605" t="s">
        <v>986</v>
      </c>
      <c r="ES207" s="1605">
        <v>18</v>
      </c>
      <c r="ET207" s="1605">
        <v>18</v>
      </c>
      <c r="EU207" s="1605">
        <v>6</v>
      </c>
      <c r="EV207" s="1605" t="s">
        <v>986</v>
      </c>
      <c r="EW207" s="1605">
        <v>7</v>
      </c>
      <c r="EX207" s="1605">
        <v>4</v>
      </c>
      <c r="EY207" s="1605" t="s">
        <v>986</v>
      </c>
      <c r="EZ207" s="1605">
        <v>7</v>
      </c>
      <c r="FA207" s="1605">
        <v>7</v>
      </c>
      <c r="FB207" s="1605">
        <v>7</v>
      </c>
      <c r="FC207" s="1605">
        <v>7</v>
      </c>
      <c r="FD207" s="1605" t="s">
        <v>986</v>
      </c>
      <c r="FE207" s="1605" t="s">
        <v>986</v>
      </c>
      <c r="FF207" s="1605">
        <v>0.3</v>
      </c>
      <c r="FG207" s="1605">
        <v>1</v>
      </c>
      <c r="FH207" s="1605">
        <v>0.8</v>
      </c>
      <c r="FI207" s="1605">
        <v>0.6</v>
      </c>
      <c r="FJ207" s="1605">
        <v>0.7</v>
      </c>
      <c r="FK207" s="1605">
        <v>1.9</v>
      </c>
      <c r="FL207" s="1605">
        <v>2.2999999999999998</v>
      </c>
      <c r="FM207" s="1605">
        <v>2.5</v>
      </c>
      <c r="FN207" s="1605">
        <v>4.0999999999999996</v>
      </c>
      <c r="FO207" s="1605">
        <v>3.7</v>
      </c>
      <c r="FP207" s="1605" t="s">
        <v>986</v>
      </c>
      <c r="FQ207" s="1605" t="s">
        <v>986</v>
      </c>
      <c r="FR207" s="1605" t="s">
        <v>986</v>
      </c>
      <c r="FS207" s="1605" t="s">
        <v>986</v>
      </c>
      <c r="FT207" s="1605" t="s">
        <v>986</v>
      </c>
      <c r="FU207" s="1605" t="s">
        <v>986</v>
      </c>
      <c r="FV207" s="1605" t="s">
        <v>986</v>
      </c>
      <c r="FW207" s="1605" t="s">
        <v>986</v>
      </c>
      <c r="FX207" s="1605" t="s">
        <v>986</v>
      </c>
      <c r="FY207" s="1605" t="s">
        <v>986</v>
      </c>
      <c r="FZ207" s="1605" t="s">
        <v>986</v>
      </c>
      <c r="GA207" s="1605" t="s">
        <v>986</v>
      </c>
      <c r="GB207" s="1605">
        <v>0.6</v>
      </c>
      <c r="GC207" s="1605" t="s">
        <v>986</v>
      </c>
      <c r="GD207" s="1605" t="s">
        <v>986</v>
      </c>
      <c r="GE207" s="1605">
        <v>1.21</v>
      </c>
      <c r="GF207" s="1605">
        <v>0.61</v>
      </c>
      <c r="GG207" s="1605">
        <v>0.52</v>
      </c>
      <c r="GH207" s="1605">
        <v>81.92</v>
      </c>
      <c r="GI207" s="1605">
        <v>1.03</v>
      </c>
      <c r="GJ207" s="1605">
        <v>9.02</v>
      </c>
      <c r="GK207" s="1605">
        <v>6.24</v>
      </c>
      <c r="GL207" s="1605" t="s">
        <v>986</v>
      </c>
      <c r="GM207" s="1605" t="s">
        <v>986</v>
      </c>
      <c r="GN207" s="1605" t="s">
        <v>3103</v>
      </c>
      <c r="GO207" s="1605" t="s">
        <v>3103</v>
      </c>
      <c r="GP207" s="1605" t="s">
        <v>3103</v>
      </c>
      <c r="GQ207" s="1605" t="s">
        <v>3103</v>
      </c>
      <c r="GR207" s="1605" t="s">
        <v>3103</v>
      </c>
      <c r="GS207" s="1605" t="s">
        <v>3103</v>
      </c>
      <c r="GT207" s="1605" t="s">
        <v>3103</v>
      </c>
      <c r="GU207" s="1605" t="s">
        <v>986</v>
      </c>
      <c r="GV207" s="1605" t="s">
        <v>3103</v>
      </c>
      <c r="GW207" s="1605" t="s">
        <v>3103</v>
      </c>
      <c r="GX207" s="1605" t="s">
        <v>1583</v>
      </c>
      <c r="GY207" s="1605" t="s">
        <v>1583</v>
      </c>
      <c r="GZ207" s="1605" t="s">
        <v>1583</v>
      </c>
      <c r="HA207" s="1605" t="s">
        <v>1583</v>
      </c>
      <c r="HB207" s="1605" t="s">
        <v>1583</v>
      </c>
      <c r="HC207" s="1605" t="s">
        <v>1583</v>
      </c>
      <c r="HD207" s="1605" t="s">
        <v>1583</v>
      </c>
      <c r="HE207" s="1605" t="s">
        <v>1583</v>
      </c>
      <c r="HF207" s="1605" t="s">
        <v>1583</v>
      </c>
      <c r="HG207" s="1605" t="s">
        <v>1583</v>
      </c>
      <c r="HH207" s="1605" t="s">
        <v>1583</v>
      </c>
      <c r="HI207" s="1605" t="s">
        <v>1579</v>
      </c>
      <c r="HJ207" s="1605" t="s">
        <v>1579</v>
      </c>
      <c r="HK207" s="1605" t="s">
        <v>986</v>
      </c>
      <c r="HL207" s="1605" t="s">
        <v>986</v>
      </c>
      <c r="HM207" s="1605" t="s">
        <v>1591</v>
      </c>
      <c r="HN207" s="1605" t="s">
        <v>1591</v>
      </c>
      <c r="HO207" s="1605" t="s">
        <v>1591</v>
      </c>
      <c r="HP207" s="1605" t="s">
        <v>1591</v>
      </c>
      <c r="HQ207" s="1605" t="s">
        <v>1591</v>
      </c>
      <c r="HR207" s="1605" t="s">
        <v>1591</v>
      </c>
      <c r="HS207" s="1605" t="s">
        <v>1591</v>
      </c>
      <c r="HT207" s="1605" t="s">
        <v>986</v>
      </c>
      <c r="HU207" s="1605" t="s">
        <v>986</v>
      </c>
      <c r="HV207" s="1617"/>
      <c r="HW207" s="1617" t="s">
        <v>3238</v>
      </c>
      <c r="HX207" s="1617" t="s">
        <v>3237</v>
      </c>
      <c r="HY207" s="1617" t="s">
        <v>3236</v>
      </c>
      <c r="HZ207" s="1603"/>
      <c r="IA207" s="1603"/>
      <c r="IB207" s="1603"/>
      <c r="IC207" s="1603">
        <v>55.357723577235802</v>
      </c>
      <c r="ID207" s="1603">
        <v>56.918699186991901</v>
      </c>
      <c r="IE207" s="1603">
        <v>58.219512195121901</v>
      </c>
      <c r="IF207" s="1603">
        <v>59</v>
      </c>
      <c r="IG207" s="1611" t="s">
        <v>3235</v>
      </c>
      <c r="IH207" s="1616" t="s">
        <v>3234</v>
      </c>
      <c r="II207" s="1615" t="s">
        <v>3233</v>
      </c>
      <c r="IJ207" s="1613">
        <v>0.57457000000000003</v>
      </c>
      <c r="IK207" s="1613">
        <v>0.52733999999999992</v>
      </c>
      <c r="IL207" s="1614">
        <v>0.57457000000000003</v>
      </c>
      <c r="IM207" s="1614">
        <v>0.52733999999999992</v>
      </c>
      <c r="IN207" s="1612">
        <v>0.54400000000000004</v>
      </c>
      <c r="IO207" s="1613">
        <v>-3.0569999999999986E-2</v>
      </c>
      <c r="IP207" s="1607" t="s">
        <v>270</v>
      </c>
      <c r="IQ207" s="1612">
        <v>1.28</v>
      </c>
      <c r="IR207" s="1612">
        <v>3.7999999999999999E-2</v>
      </c>
      <c r="IS207" s="1607">
        <v>0.45356999999999997</v>
      </c>
      <c r="IT207" s="1607">
        <v>0.40633999999999998</v>
      </c>
      <c r="IU207" s="1611">
        <v>1.0000000000000001E-5</v>
      </c>
      <c r="IV207" s="1611">
        <v>2.3599999999999997E-3</v>
      </c>
      <c r="IW207" s="1611">
        <v>6.0999999999999997E-4</v>
      </c>
      <c r="IX207" s="1611">
        <v>9.5999999999999992E-4</v>
      </c>
      <c r="IY207" s="1611">
        <v>6.3000000000000003E-4</v>
      </c>
      <c r="IZ207" s="1611">
        <v>6.9799999999999992E-3</v>
      </c>
      <c r="JA207" s="1611">
        <v>1.3000000000000002E-4</v>
      </c>
      <c r="JB207" s="1611" t="s">
        <v>270</v>
      </c>
      <c r="JC207" s="1611">
        <v>0.15584999999999999</v>
      </c>
      <c r="JD207" s="1611">
        <v>3.1700000000000001E-3</v>
      </c>
      <c r="JE207" s="1611" t="s">
        <v>270</v>
      </c>
      <c r="JF207" s="1611">
        <v>4.1999999999999996E-4</v>
      </c>
      <c r="JG207" s="1611">
        <v>2.5650500000000007</v>
      </c>
      <c r="JH207" s="1611">
        <v>2.3000000000000001E-4</v>
      </c>
      <c r="JI207" s="1611">
        <v>5.6340000000000001E-2</v>
      </c>
      <c r="JJ207" s="1611" t="s">
        <v>270</v>
      </c>
      <c r="JK207" s="1607">
        <f t="shared" si="12"/>
        <v>0.12100000000000005</v>
      </c>
      <c r="JL207" s="1608" t="s">
        <v>270</v>
      </c>
      <c r="JM207" s="1610" t="s">
        <v>2924</v>
      </c>
      <c r="JN207" s="1608">
        <v>4.7229999999999994E-2</v>
      </c>
      <c r="JO207" s="1609" t="s">
        <v>3077</v>
      </c>
      <c r="JP207" s="1608" t="s">
        <v>270</v>
      </c>
      <c r="JQ207" s="1607">
        <v>202103</v>
      </c>
      <c r="JR207" s="1606">
        <v>453</v>
      </c>
      <c r="JS207" s="1606">
        <v>411</v>
      </c>
      <c r="JT207" s="1606">
        <v>411</v>
      </c>
    </row>
    <row r="208" spans="1:280" ht="15" customHeight="1" x14ac:dyDescent="0.2">
      <c r="A208" s="1626">
        <v>76700</v>
      </c>
      <c r="B208" s="1625">
        <v>767</v>
      </c>
      <c r="C208" s="1624">
        <v>0</v>
      </c>
      <c r="D208" s="1623" t="s">
        <v>3232</v>
      </c>
      <c r="E208" s="1622">
        <v>43067</v>
      </c>
      <c r="F208" s="1620">
        <v>9.9219689526766505E-2</v>
      </c>
      <c r="G208" s="1620">
        <v>9.5381108002263099E-2</v>
      </c>
      <c r="H208" s="1621">
        <v>99</v>
      </c>
      <c r="I208" s="1621">
        <v>98</v>
      </c>
      <c r="J208" s="1621">
        <v>98.981374793096293</v>
      </c>
      <c r="K208" s="1620">
        <v>0.99046698256273802</v>
      </c>
      <c r="L208" s="1620">
        <v>5.4000000000000101</v>
      </c>
      <c r="M208" s="1620">
        <v>1.4634</v>
      </c>
      <c r="N208" s="1620">
        <v>1.1826000000000001</v>
      </c>
      <c r="O208" s="1620">
        <v>0.45414000000000099</v>
      </c>
      <c r="P208" s="1620">
        <v>0</v>
      </c>
      <c r="Q208" s="1603"/>
      <c r="R208" s="1620">
        <v>89.5</v>
      </c>
      <c r="S208" s="1620">
        <v>58</v>
      </c>
      <c r="T208" s="1620">
        <v>58</v>
      </c>
      <c r="U208" s="1620">
        <v>58</v>
      </c>
      <c r="V208" s="1620">
        <v>58</v>
      </c>
      <c r="W208" s="1620">
        <v>58</v>
      </c>
      <c r="X208" s="1620"/>
      <c r="Y208" s="1620">
        <v>8.4000000000000021</v>
      </c>
      <c r="Z208" s="1620">
        <v>6.9000000000000048</v>
      </c>
      <c r="AA208" s="1620">
        <v>2.8999999999999941</v>
      </c>
      <c r="AB208" s="1620">
        <v>0.85007331539028919</v>
      </c>
      <c r="AC208" s="1620">
        <v>9.5000000000000018</v>
      </c>
      <c r="AD208" s="1620">
        <v>0.90000000000000013</v>
      </c>
      <c r="AE208" s="1620">
        <v>3.2262606865684385</v>
      </c>
      <c r="AF208" s="1620">
        <v>8.4967822299933538</v>
      </c>
      <c r="AG208" s="1620">
        <v>3.9708961632940114</v>
      </c>
      <c r="AH208" s="1620">
        <v>2.0510997980681074</v>
      </c>
      <c r="AI208" s="1620">
        <v>42.620305452161027</v>
      </c>
      <c r="AJ208" s="1620">
        <v>0</v>
      </c>
      <c r="AK208" s="1620">
        <v>0.125912016154552</v>
      </c>
      <c r="AL208" s="1620"/>
      <c r="AM208" s="1620">
        <v>7.8424772440414801</v>
      </c>
      <c r="AN208" s="1620">
        <v>2.4507238025786902</v>
      </c>
      <c r="AO208" s="1620">
        <v>0.872159635435106</v>
      </c>
      <c r="AP208" s="1620">
        <v>4.4670890731962096</v>
      </c>
      <c r="AQ208" s="1620">
        <v>1.2980895787062801</v>
      </c>
      <c r="AR208" s="1620">
        <v>5.7098137479309603</v>
      </c>
      <c r="AS208" s="1620">
        <v>9.9646121068829103</v>
      </c>
      <c r="AT208" s="1620">
        <v>2.83889590447076</v>
      </c>
      <c r="AU208" s="1620">
        <v>4.78846578860467</v>
      </c>
      <c r="AV208" s="1620">
        <v>4.8558006479101303</v>
      </c>
      <c r="AW208" s="1620">
        <v>6.6879646441255796</v>
      </c>
      <c r="AX208" s="1620"/>
      <c r="AY208" s="1620">
        <v>0.96</v>
      </c>
      <c r="AZ208" s="1620">
        <v>1.04</v>
      </c>
      <c r="BA208" s="1620">
        <v>1.04</v>
      </c>
      <c r="BB208" s="1620">
        <v>1.02</v>
      </c>
      <c r="BC208" s="1620">
        <v>1.04</v>
      </c>
      <c r="BD208" s="1620">
        <v>1.03</v>
      </c>
      <c r="BE208" s="1620">
        <v>1.06</v>
      </c>
      <c r="BF208" s="1620">
        <v>1.03</v>
      </c>
      <c r="BG208" s="1620">
        <v>1.03</v>
      </c>
      <c r="BH208" s="1620">
        <v>1.03</v>
      </c>
      <c r="BI208" s="1620">
        <v>1.02</v>
      </c>
      <c r="BJ208" s="1603"/>
      <c r="BK208" s="1620">
        <v>27.099999999999948</v>
      </c>
      <c r="BL208" s="1620">
        <v>21.899999999999959</v>
      </c>
      <c r="BM208" s="1620">
        <v>8.4100000000000037</v>
      </c>
      <c r="BN208" s="1620">
        <v>0</v>
      </c>
      <c r="BO208" s="1620"/>
      <c r="BP208" s="1620">
        <v>34</v>
      </c>
      <c r="BQ208" s="1620">
        <v>74.460000000000051</v>
      </c>
      <c r="BR208" s="1620">
        <v>1.8374016579030799</v>
      </c>
      <c r="BS208" s="1620">
        <v>1.7663168148567208</v>
      </c>
      <c r="BT208" s="1603"/>
      <c r="BU208" s="1620">
        <v>915.90000000000009</v>
      </c>
      <c r="BV208" s="1620">
        <v>434.61671428571395</v>
      </c>
      <c r="BW208" s="1620">
        <v>13.084285714285699</v>
      </c>
      <c r="BX208" s="1620">
        <v>0</v>
      </c>
      <c r="BY208" s="1620">
        <v>478.24570177367315</v>
      </c>
      <c r="BZ208" s="1620">
        <v>0</v>
      </c>
      <c r="CA208" s="1620">
        <v>0</v>
      </c>
      <c r="CB208" s="1603"/>
      <c r="CC208" s="1603">
        <v>0.453600000000001</v>
      </c>
      <c r="CD208" s="1603">
        <v>0.37260000000000099</v>
      </c>
      <c r="CE208" s="1603">
        <v>0.15659999999999999</v>
      </c>
      <c r="CF208" s="1603">
        <v>4.5903959031075706E-2</v>
      </c>
      <c r="CG208" s="1603">
        <v>0.51300000000000112</v>
      </c>
      <c r="CH208" s="1603">
        <v>4.8600000000000101E-2</v>
      </c>
      <c r="CI208" s="1603">
        <v>0.174218077074696</v>
      </c>
      <c r="CJ208" s="1603"/>
      <c r="CK208" s="1603">
        <v>0.45882624041964198</v>
      </c>
      <c r="CL208" s="1603">
        <v>0.21442839281787704</v>
      </c>
      <c r="CM208" s="1603">
        <v>0.11075938909567801</v>
      </c>
      <c r="CN208" s="1603">
        <v>2.3014964944166998</v>
      </c>
      <c r="CO208" s="1603">
        <v>0</v>
      </c>
      <c r="CP208" s="1603">
        <v>6.7992488723458205E-3</v>
      </c>
      <c r="CQ208" s="1603">
        <v>13.097429999999999</v>
      </c>
      <c r="CR208" s="1603">
        <v>132.00434371916376</v>
      </c>
      <c r="CS208" s="1603">
        <v>9.9383141926288641</v>
      </c>
      <c r="CT208" s="1603">
        <v>3.364464346841864</v>
      </c>
      <c r="CU208" s="1603">
        <v>1.1973401470571461</v>
      </c>
      <c r="CV208" s="1603">
        <v>4.5618044938990199</v>
      </c>
      <c r="CW208" s="1603">
        <v>6.0146866467116071</v>
      </c>
      <c r="CX208" s="1603">
        <v>1.7820760144284171</v>
      </c>
      <c r="CY208" s="1603">
        <v>7.7633182305091584</v>
      </c>
      <c r="CZ208" s="1603">
        <v>13.942944064802239</v>
      </c>
      <c r="DA208" s="1603">
        <v>3.8598898847938568</v>
      </c>
      <c r="DB208" s="1603">
        <v>6.5106123236182238</v>
      </c>
      <c r="DC208" s="1603">
        <v>6.6021638109122192</v>
      </c>
      <c r="DD208" s="1603">
        <v>13.112776134530405</v>
      </c>
      <c r="DE208" s="1603">
        <v>9.0049719133806434</v>
      </c>
      <c r="DF208" s="1603">
        <v>0</v>
      </c>
      <c r="DG208" s="1603">
        <v>0</v>
      </c>
      <c r="DH208" s="1603">
        <v>0</v>
      </c>
      <c r="DI208" s="1603">
        <v>0</v>
      </c>
      <c r="DJ208" s="1603">
        <v>0</v>
      </c>
      <c r="DK208" s="1603">
        <v>0</v>
      </c>
      <c r="DL208" s="1603">
        <v>0</v>
      </c>
      <c r="DM208" s="1603">
        <v>0</v>
      </c>
      <c r="DN208" s="1603">
        <v>0</v>
      </c>
      <c r="DO208" s="1603">
        <v>0</v>
      </c>
      <c r="DP208" s="1603">
        <v>0</v>
      </c>
      <c r="DQ208" s="1603">
        <v>0</v>
      </c>
      <c r="DR208" s="1603">
        <v>0</v>
      </c>
      <c r="DS208" s="1603">
        <v>0</v>
      </c>
      <c r="DT208" s="1603">
        <v>0</v>
      </c>
      <c r="DU208" s="1603">
        <v>0</v>
      </c>
      <c r="DV208" s="1603">
        <v>0</v>
      </c>
      <c r="DW208" s="1618" t="s">
        <v>986</v>
      </c>
      <c r="DX208" s="1605">
        <v>3</v>
      </c>
      <c r="DY208" s="1605">
        <v>3</v>
      </c>
      <c r="DZ208" s="1605">
        <v>3</v>
      </c>
      <c r="EA208" s="1605">
        <v>3</v>
      </c>
      <c r="EB208" s="1605" t="s">
        <v>986</v>
      </c>
      <c r="EC208" s="1605" t="s">
        <v>986</v>
      </c>
      <c r="ED208" s="1605" t="s">
        <v>986</v>
      </c>
      <c r="EE208" s="1605" t="s">
        <v>986</v>
      </c>
      <c r="EF208" s="1605" t="s">
        <v>986</v>
      </c>
      <c r="EG208" s="1605" t="s">
        <v>986</v>
      </c>
      <c r="EH208" s="1605" t="s">
        <v>986</v>
      </c>
      <c r="EI208" s="1605" t="s">
        <v>986</v>
      </c>
      <c r="EJ208" s="1605" t="s">
        <v>986</v>
      </c>
      <c r="EK208" s="1605" t="s">
        <v>986</v>
      </c>
      <c r="EL208" s="1605" t="s">
        <v>986</v>
      </c>
      <c r="EM208" s="1605" t="s">
        <v>986</v>
      </c>
      <c r="EN208" s="1605" t="s">
        <v>986</v>
      </c>
      <c r="EO208" s="1605" t="s">
        <v>986</v>
      </c>
      <c r="EP208" s="1605" t="s">
        <v>986</v>
      </c>
      <c r="EQ208" s="1605" t="s">
        <v>986</v>
      </c>
      <c r="ER208" s="1605" t="s">
        <v>986</v>
      </c>
      <c r="ES208" s="1605">
        <v>3</v>
      </c>
      <c r="ET208" s="1605">
        <v>3</v>
      </c>
      <c r="EU208" s="1605">
        <v>3</v>
      </c>
      <c r="EV208" s="1605" t="s">
        <v>986</v>
      </c>
      <c r="EW208" s="1605">
        <v>3</v>
      </c>
      <c r="EX208" s="1605">
        <v>3</v>
      </c>
      <c r="EY208" s="1605" t="s">
        <v>986</v>
      </c>
      <c r="EZ208" s="1605" t="s">
        <v>986</v>
      </c>
      <c r="FA208" s="1605" t="s">
        <v>986</v>
      </c>
      <c r="FB208" s="1605" t="s">
        <v>986</v>
      </c>
      <c r="FC208" s="1605" t="s">
        <v>986</v>
      </c>
      <c r="FD208" s="1605" t="s">
        <v>986</v>
      </c>
      <c r="FE208" s="1605" t="s">
        <v>986</v>
      </c>
      <c r="FF208" s="1605">
        <v>0.2</v>
      </c>
      <c r="FG208" s="1605">
        <v>2.8</v>
      </c>
      <c r="FH208" s="1605">
        <v>2.8</v>
      </c>
      <c r="FI208" s="1605" t="s">
        <v>986</v>
      </c>
      <c r="FJ208" s="1605" t="s">
        <v>986</v>
      </c>
      <c r="FK208" s="1605" t="s">
        <v>986</v>
      </c>
      <c r="FL208" s="1605" t="s">
        <v>986</v>
      </c>
      <c r="FM208" s="1605" t="s">
        <v>986</v>
      </c>
      <c r="FN208" s="1605" t="s">
        <v>986</v>
      </c>
      <c r="FO208" s="1605" t="s">
        <v>986</v>
      </c>
      <c r="FP208" s="1605" t="s">
        <v>986</v>
      </c>
      <c r="FQ208" s="1605" t="s">
        <v>986</v>
      </c>
      <c r="FR208" s="1605" t="s">
        <v>986</v>
      </c>
      <c r="FS208" s="1605" t="s">
        <v>986</v>
      </c>
      <c r="FT208" s="1605" t="s">
        <v>986</v>
      </c>
      <c r="FU208" s="1605" t="s">
        <v>986</v>
      </c>
      <c r="FV208" s="1605" t="s">
        <v>986</v>
      </c>
      <c r="FW208" s="1605" t="s">
        <v>986</v>
      </c>
      <c r="FX208" s="1605" t="s">
        <v>986</v>
      </c>
      <c r="FY208" s="1605" t="s">
        <v>986</v>
      </c>
      <c r="FZ208" s="1605" t="s">
        <v>986</v>
      </c>
      <c r="GA208" s="1605" t="s">
        <v>986</v>
      </c>
      <c r="GB208" s="1605">
        <v>0.1</v>
      </c>
      <c r="GC208" s="1605" t="s">
        <v>986</v>
      </c>
      <c r="GD208" s="1605" t="s">
        <v>986</v>
      </c>
      <c r="GE208" s="1605">
        <v>0.8</v>
      </c>
      <c r="GF208" s="1605">
        <v>0.05</v>
      </c>
      <c r="GG208" s="1605" t="s">
        <v>986</v>
      </c>
      <c r="GH208" s="1605" t="s">
        <v>986</v>
      </c>
      <c r="GI208" s="1605" t="s">
        <v>986</v>
      </c>
      <c r="GJ208" s="1605" t="s">
        <v>986</v>
      </c>
      <c r="GK208" s="1605" t="s">
        <v>986</v>
      </c>
      <c r="GL208" s="1605" t="s">
        <v>986</v>
      </c>
      <c r="GM208" s="1605" t="s">
        <v>986</v>
      </c>
      <c r="GN208" s="1605" t="s">
        <v>1583</v>
      </c>
      <c r="GO208" s="1605" t="s">
        <v>1583</v>
      </c>
      <c r="GP208" s="1605" t="s">
        <v>1583</v>
      </c>
      <c r="GQ208" s="1605" t="s">
        <v>986</v>
      </c>
      <c r="GR208" s="1605" t="s">
        <v>986</v>
      </c>
      <c r="GS208" s="1605" t="s">
        <v>986</v>
      </c>
      <c r="GT208" s="1605" t="s">
        <v>986</v>
      </c>
      <c r="GU208" s="1605" t="s">
        <v>986</v>
      </c>
      <c r="GV208" s="1605" t="s">
        <v>986</v>
      </c>
      <c r="GW208" s="1605" t="s">
        <v>986</v>
      </c>
      <c r="GX208" s="1605" t="s">
        <v>986</v>
      </c>
      <c r="GY208" s="1605" t="s">
        <v>986</v>
      </c>
      <c r="GZ208" s="1605" t="s">
        <v>986</v>
      </c>
      <c r="HA208" s="1605" t="s">
        <v>986</v>
      </c>
      <c r="HB208" s="1605" t="s">
        <v>986</v>
      </c>
      <c r="HC208" s="1605" t="s">
        <v>986</v>
      </c>
      <c r="HD208" s="1605" t="s">
        <v>986</v>
      </c>
      <c r="HE208" s="1605" t="s">
        <v>986</v>
      </c>
      <c r="HF208" s="1605" t="s">
        <v>986</v>
      </c>
      <c r="HG208" s="1605" t="s">
        <v>986</v>
      </c>
      <c r="HH208" s="1605" t="s">
        <v>986</v>
      </c>
      <c r="HI208" s="1605" t="s">
        <v>1583</v>
      </c>
      <c r="HJ208" s="1605" t="s">
        <v>1583</v>
      </c>
      <c r="HK208" s="1605" t="s">
        <v>986</v>
      </c>
      <c r="HL208" s="1605" t="s">
        <v>986</v>
      </c>
      <c r="HM208" s="1605" t="s">
        <v>1583</v>
      </c>
      <c r="HN208" s="1605" t="s">
        <v>1583</v>
      </c>
      <c r="HO208" s="1605" t="s">
        <v>986</v>
      </c>
      <c r="HP208" s="1605" t="s">
        <v>986</v>
      </c>
      <c r="HQ208" s="1605" t="s">
        <v>986</v>
      </c>
      <c r="HR208" s="1605" t="s">
        <v>986</v>
      </c>
      <c r="HS208" s="1605" t="s">
        <v>986</v>
      </c>
      <c r="HT208" s="1605" t="s">
        <v>986</v>
      </c>
      <c r="HU208" s="1605" t="s">
        <v>986</v>
      </c>
      <c r="HV208" s="1617"/>
      <c r="HW208" s="1617" t="s">
        <v>3231</v>
      </c>
      <c r="HX208" s="1617">
        <v>0</v>
      </c>
      <c r="HY208" s="1617">
        <v>0</v>
      </c>
      <c r="HZ208" s="1603"/>
      <c r="IA208" s="1603"/>
      <c r="IB208" s="1603"/>
      <c r="IC208" s="1603">
        <v>58</v>
      </c>
      <c r="ID208" s="1603">
        <v>58</v>
      </c>
      <c r="IE208" s="1603">
        <v>58</v>
      </c>
      <c r="IF208" s="1603">
        <v>58</v>
      </c>
      <c r="IG208" s="1611" t="s">
        <v>270</v>
      </c>
      <c r="IH208" s="1616" t="s">
        <v>270</v>
      </c>
      <c r="II208" s="1615" t="s">
        <v>270</v>
      </c>
      <c r="IJ208" s="1613">
        <v>8.1999999999999993</v>
      </c>
      <c r="IK208" s="1613">
        <v>8.1999999999999993</v>
      </c>
      <c r="IL208" s="1614">
        <v>8.1999999999999993</v>
      </c>
      <c r="IM208" s="1614">
        <v>8.1999999999999993</v>
      </c>
      <c r="IN208" s="1612">
        <v>8.1999999999999993</v>
      </c>
      <c r="IO208" s="1613">
        <v>0</v>
      </c>
      <c r="IP208" s="1607" t="s">
        <v>270</v>
      </c>
      <c r="IQ208" s="1612" t="s">
        <v>270</v>
      </c>
      <c r="IR208" s="1612" t="s">
        <v>270</v>
      </c>
      <c r="IS208" s="1607" t="s">
        <v>270</v>
      </c>
      <c r="IT208" s="1607" t="s">
        <v>270</v>
      </c>
      <c r="IU208" s="1611" t="s">
        <v>270</v>
      </c>
      <c r="IV208" s="1611" t="s">
        <v>270</v>
      </c>
      <c r="IW208" s="1611" t="s">
        <v>270</v>
      </c>
      <c r="IX208" s="1611" t="s">
        <v>270</v>
      </c>
      <c r="IY208" s="1611" t="s">
        <v>270</v>
      </c>
      <c r="IZ208" s="1611" t="s">
        <v>270</v>
      </c>
      <c r="JA208" s="1611" t="s">
        <v>270</v>
      </c>
      <c r="JB208" s="1611" t="s">
        <v>270</v>
      </c>
      <c r="JC208" s="1611" t="s">
        <v>270</v>
      </c>
      <c r="JD208" s="1611" t="s">
        <v>270</v>
      </c>
      <c r="JE208" s="1611" t="s">
        <v>270</v>
      </c>
      <c r="JF208" s="1611" t="s">
        <v>270</v>
      </c>
      <c r="JG208" s="1611" t="s">
        <v>270</v>
      </c>
      <c r="JH208" s="1611" t="s">
        <v>270</v>
      </c>
      <c r="JI208" s="1611" t="s">
        <v>270</v>
      </c>
      <c r="JJ208" s="1611" t="s">
        <v>270</v>
      </c>
      <c r="JK208" s="1607" t="str">
        <f t="shared" si="12"/>
        <v/>
      </c>
      <c r="JL208" s="1608" t="s">
        <v>2946</v>
      </c>
      <c r="JM208" s="1610" t="s">
        <v>2945</v>
      </c>
      <c r="JN208" s="1608" t="s">
        <v>270</v>
      </c>
      <c r="JO208" s="1609" t="s">
        <v>270</v>
      </c>
      <c r="JP208" s="1608">
        <v>8.1999999999999993</v>
      </c>
      <c r="JQ208" s="1607" t="s">
        <v>270</v>
      </c>
      <c r="JR208" s="1606" t="s">
        <v>270</v>
      </c>
      <c r="JS208" s="1606" t="s">
        <v>270</v>
      </c>
      <c r="JT208" s="1606" t="s">
        <v>270</v>
      </c>
    </row>
    <row r="209" spans="1:280" ht="15" customHeight="1" x14ac:dyDescent="0.2">
      <c r="A209" s="1626">
        <v>55800</v>
      </c>
      <c r="B209" s="1625">
        <v>558</v>
      </c>
      <c r="C209" s="1624">
        <v>0</v>
      </c>
      <c r="D209" s="1623" t="s">
        <v>3230</v>
      </c>
      <c r="E209" s="1622">
        <v>40310</v>
      </c>
      <c r="F209" s="1620" t="s">
        <v>270</v>
      </c>
      <c r="G209" s="1620" t="s">
        <v>270</v>
      </c>
      <c r="H209" s="1621" t="s">
        <v>270</v>
      </c>
      <c r="I209" s="1621" t="s">
        <v>270</v>
      </c>
      <c r="J209" s="1621">
        <v>90</v>
      </c>
      <c r="K209" s="1620">
        <v>1</v>
      </c>
      <c r="L209" s="1620">
        <v>88</v>
      </c>
      <c r="M209" s="1620">
        <v>11.89999976</v>
      </c>
      <c r="N209" s="1620">
        <v>12.90000008</v>
      </c>
      <c r="O209" s="1620">
        <v>7.1000001599999996</v>
      </c>
      <c r="P209" s="1620">
        <v>4.1000000800000098</v>
      </c>
      <c r="Q209" s="1603"/>
      <c r="R209" s="1620" t="s">
        <v>270</v>
      </c>
      <c r="S209" s="1620" t="s">
        <v>270</v>
      </c>
      <c r="T209" s="1620" t="s">
        <v>270</v>
      </c>
      <c r="U209" s="1620" t="s">
        <v>270</v>
      </c>
      <c r="V209" s="1620" t="s">
        <v>270</v>
      </c>
      <c r="W209" s="1620" t="s">
        <v>270</v>
      </c>
      <c r="X209" s="1620"/>
      <c r="Y209" s="1620">
        <v>0.34090999999999888</v>
      </c>
      <c r="Z209" s="1620">
        <v>1.25</v>
      </c>
      <c r="AA209" s="1620">
        <v>0</v>
      </c>
      <c r="AB209" s="1620">
        <v>0</v>
      </c>
      <c r="AC209" s="1620">
        <v>1.0227299999999999</v>
      </c>
      <c r="AD209" s="1620">
        <v>0</v>
      </c>
      <c r="AE209" s="1620">
        <v>0</v>
      </c>
      <c r="AF209" s="1620">
        <v>0</v>
      </c>
      <c r="AG209" s="1620">
        <v>0</v>
      </c>
      <c r="AH209" s="1620">
        <v>0</v>
      </c>
      <c r="AI209" s="1620">
        <v>0</v>
      </c>
      <c r="AJ209" s="1620">
        <v>0</v>
      </c>
      <c r="AK209" s="1620">
        <v>0</v>
      </c>
      <c r="AL209" s="1620"/>
      <c r="AM209" s="1620">
        <v>3.63</v>
      </c>
      <c r="AN209" s="1620">
        <v>2.67</v>
      </c>
      <c r="AO209" s="1620">
        <v>2</v>
      </c>
      <c r="AP209" s="1620">
        <v>3.19</v>
      </c>
      <c r="AQ209" s="1620">
        <v>1.33</v>
      </c>
      <c r="AR209" s="1620">
        <v>4</v>
      </c>
      <c r="AS209" s="1620">
        <v>7.93</v>
      </c>
      <c r="AT209" s="1620">
        <v>2.37</v>
      </c>
      <c r="AU209" s="1620">
        <v>5.1100000000000003</v>
      </c>
      <c r="AV209" s="1620">
        <v>4.8099999999999996</v>
      </c>
      <c r="AW209" s="1620">
        <v>5.9300000000000104</v>
      </c>
      <c r="AX209" s="1620"/>
      <c r="AY209" s="1620">
        <v>1</v>
      </c>
      <c r="AZ209" s="1620">
        <v>1</v>
      </c>
      <c r="BA209" s="1620">
        <v>1</v>
      </c>
      <c r="BB209" s="1620">
        <v>1</v>
      </c>
      <c r="BC209" s="1620">
        <v>1</v>
      </c>
      <c r="BD209" s="1620">
        <v>1</v>
      </c>
      <c r="BE209" s="1620">
        <v>1</v>
      </c>
      <c r="BF209" s="1620">
        <v>1</v>
      </c>
      <c r="BG209" s="1620">
        <v>1</v>
      </c>
      <c r="BH209" s="1620">
        <v>1</v>
      </c>
      <c r="BI209" s="1620">
        <v>1</v>
      </c>
      <c r="BJ209" s="1603"/>
      <c r="BK209" s="1620">
        <v>13.522727</v>
      </c>
      <c r="BL209" s="1620">
        <v>14.659091</v>
      </c>
      <c r="BM209" s="1620">
        <v>8.0681820000000002</v>
      </c>
      <c r="BN209" s="1620">
        <v>4.6590910000000108</v>
      </c>
      <c r="BO209" s="1620"/>
      <c r="BP209" s="1620">
        <v>92</v>
      </c>
      <c r="BQ209" s="1620">
        <v>134.8636372</v>
      </c>
      <c r="BR209" s="1620" t="s">
        <v>270</v>
      </c>
      <c r="BS209" s="1620" t="s">
        <v>270</v>
      </c>
      <c r="BT209" s="1603"/>
      <c r="BU209" s="1620">
        <v>919.31817999999998</v>
      </c>
      <c r="BV209" s="1620" t="s">
        <v>270</v>
      </c>
      <c r="BW209" s="1620" t="s">
        <v>270</v>
      </c>
      <c r="BX209" s="1620" t="s">
        <v>270</v>
      </c>
      <c r="BY209" s="1620" t="s">
        <v>270</v>
      </c>
      <c r="BZ209" s="1620" t="s">
        <v>270</v>
      </c>
      <c r="CA209" s="1620" t="s">
        <v>270</v>
      </c>
      <c r="CB209" s="1603"/>
      <c r="CC209" s="1603">
        <v>0.30000079999999901</v>
      </c>
      <c r="CD209" s="1603">
        <v>1.1000000000000001</v>
      </c>
      <c r="CE209" s="1603">
        <v>0</v>
      </c>
      <c r="CF209" s="1603">
        <v>0</v>
      </c>
      <c r="CG209" s="1603">
        <v>0.90000239999999998</v>
      </c>
      <c r="CH209" s="1603">
        <v>0</v>
      </c>
      <c r="CI209" s="1603">
        <v>0</v>
      </c>
      <c r="CJ209" s="1603"/>
      <c r="CK209" s="1603">
        <v>0</v>
      </c>
      <c r="CL209" s="1603">
        <v>0</v>
      </c>
      <c r="CM209" s="1603">
        <v>0</v>
      </c>
      <c r="CN209" s="1603">
        <v>0</v>
      </c>
      <c r="CO209" s="1603">
        <v>0</v>
      </c>
      <c r="CP209" s="1603">
        <v>0</v>
      </c>
      <c r="CQ209" s="1603">
        <v>0</v>
      </c>
      <c r="CR209" s="1603" t="s">
        <v>270</v>
      </c>
      <c r="CS209" s="1603" t="s">
        <v>270</v>
      </c>
      <c r="CT209" s="1603" t="s">
        <v>270</v>
      </c>
      <c r="CU209" s="1603" t="s">
        <v>270</v>
      </c>
      <c r="CV209" s="1603" t="s">
        <v>270</v>
      </c>
      <c r="CW209" s="1603" t="s">
        <v>270</v>
      </c>
      <c r="CX209" s="1603" t="s">
        <v>270</v>
      </c>
      <c r="CY209" s="1603" t="s">
        <v>270</v>
      </c>
      <c r="CZ209" s="1603" t="s">
        <v>270</v>
      </c>
      <c r="DA209" s="1603" t="s">
        <v>270</v>
      </c>
      <c r="DB209" s="1603" t="s">
        <v>270</v>
      </c>
      <c r="DC209" s="1603" t="s">
        <v>270</v>
      </c>
      <c r="DD209" s="1603" t="s">
        <v>270</v>
      </c>
      <c r="DE209" s="1603" t="s">
        <v>270</v>
      </c>
      <c r="DF209" s="1603">
        <v>0</v>
      </c>
      <c r="DG209" s="1603">
        <v>0</v>
      </c>
      <c r="DH209" s="1603">
        <v>0</v>
      </c>
      <c r="DI209" s="1603">
        <v>0</v>
      </c>
      <c r="DJ209" s="1603">
        <v>0</v>
      </c>
      <c r="DK209" s="1603">
        <v>0</v>
      </c>
      <c r="DL209" s="1603">
        <v>0</v>
      </c>
      <c r="DM209" s="1603">
        <v>0</v>
      </c>
      <c r="DN209" s="1603">
        <v>0</v>
      </c>
      <c r="DO209" s="1603">
        <v>0</v>
      </c>
      <c r="DP209" s="1603">
        <v>0</v>
      </c>
      <c r="DQ209" s="1603">
        <v>0</v>
      </c>
      <c r="DR209" s="1603">
        <v>0</v>
      </c>
      <c r="DS209" s="1603">
        <v>0</v>
      </c>
      <c r="DT209" s="1603">
        <v>0</v>
      </c>
      <c r="DU209" s="1603">
        <v>0</v>
      </c>
      <c r="DV209" s="1603">
        <v>0</v>
      </c>
      <c r="DW209" s="1618" t="s">
        <v>3229</v>
      </c>
      <c r="DX209" s="1605" t="s">
        <v>986</v>
      </c>
      <c r="DY209" s="1605" t="s">
        <v>986</v>
      </c>
      <c r="DZ209" s="1605" t="s">
        <v>986</v>
      </c>
      <c r="EA209" s="1605" t="s">
        <v>986</v>
      </c>
      <c r="EB209" s="1605" t="s">
        <v>986</v>
      </c>
      <c r="EC209" s="1605" t="s">
        <v>986</v>
      </c>
      <c r="ED209" s="1605" t="s">
        <v>986</v>
      </c>
      <c r="EE209" s="1605" t="s">
        <v>986</v>
      </c>
      <c r="EF209" s="1605" t="s">
        <v>986</v>
      </c>
      <c r="EG209" s="1605" t="s">
        <v>986</v>
      </c>
      <c r="EH209" s="1605" t="s">
        <v>986</v>
      </c>
      <c r="EI209" s="1605" t="s">
        <v>986</v>
      </c>
      <c r="EJ209" s="1605" t="s">
        <v>986</v>
      </c>
      <c r="EK209" s="1605" t="s">
        <v>986</v>
      </c>
      <c r="EL209" s="1605" t="s">
        <v>986</v>
      </c>
      <c r="EM209" s="1605" t="s">
        <v>986</v>
      </c>
      <c r="EN209" s="1605" t="s">
        <v>986</v>
      </c>
      <c r="EO209" s="1605" t="s">
        <v>986</v>
      </c>
      <c r="EP209" s="1605" t="s">
        <v>986</v>
      </c>
      <c r="EQ209" s="1605" t="s">
        <v>986</v>
      </c>
      <c r="ER209" s="1605" t="s">
        <v>986</v>
      </c>
      <c r="ES209" s="1605" t="s">
        <v>986</v>
      </c>
      <c r="ET209" s="1605" t="s">
        <v>986</v>
      </c>
      <c r="EU209" s="1605" t="s">
        <v>986</v>
      </c>
      <c r="EV209" s="1605" t="s">
        <v>986</v>
      </c>
      <c r="EW209" s="1605" t="s">
        <v>986</v>
      </c>
      <c r="EX209" s="1605" t="s">
        <v>986</v>
      </c>
      <c r="EY209" s="1605" t="s">
        <v>986</v>
      </c>
      <c r="EZ209" s="1605" t="s">
        <v>986</v>
      </c>
      <c r="FA209" s="1605" t="s">
        <v>986</v>
      </c>
      <c r="FB209" s="1605" t="s">
        <v>986</v>
      </c>
      <c r="FC209" s="1605" t="s">
        <v>986</v>
      </c>
      <c r="FD209" s="1605" t="s">
        <v>986</v>
      </c>
      <c r="FE209" s="1605" t="s">
        <v>986</v>
      </c>
      <c r="FF209" s="1605" t="s">
        <v>986</v>
      </c>
      <c r="FG209" s="1605" t="s">
        <v>986</v>
      </c>
      <c r="FH209" s="1605" t="s">
        <v>986</v>
      </c>
      <c r="FI209" s="1605" t="s">
        <v>986</v>
      </c>
      <c r="FJ209" s="1605" t="s">
        <v>986</v>
      </c>
      <c r="FK209" s="1605" t="s">
        <v>986</v>
      </c>
      <c r="FL209" s="1605" t="s">
        <v>986</v>
      </c>
      <c r="FM209" s="1605" t="s">
        <v>986</v>
      </c>
      <c r="FN209" s="1605" t="s">
        <v>986</v>
      </c>
      <c r="FO209" s="1605" t="s">
        <v>986</v>
      </c>
      <c r="FP209" s="1605" t="s">
        <v>986</v>
      </c>
      <c r="FQ209" s="1605" t="s">
        <v>986</v>
      </c>
      <c r="FR209" s="1605" t="s">
        <v>986</v>
      </c>
      <c r="FS209" s="1605" t="s">
        <v>986</v>
      </c>
      <c r="FT209" s="1605" t="s">
        <v>986</v>
      </c>
      <c r="FU209" s="1605" t="s">
        <v>986</v>
      </c>
      <c r="FV209" s="1605" t="s">
        <v>986</v>
      </c>
      <c r="FW209" s="1605" t="s">
        <v>986</v>
      </c>
      <c r="FX209" s="1605" t="s">
        <v>986</v>
      </c>
      <c r="FY209" s="1605" t="s">
        <v>986</v>
      </c>
      <c r="FZ209" s="1605" t="s">
        <v>986</v>
      </c>
      <c r="GA209" s="1605" t="s">
        <v>986</v>
      </c>
      <c r="GB209" s="1605" t="s">
        <v>986</v>
      </c>
      <c r="GC209" s="1605" t="s">
        <v>986</v>
      </c>
      <c r="GD209" s="1605" t="s">
        <v>986</v>
      </c>
      <c r="GE209" s="1605" t="s">
        <v>986</v>
      </c>
      <c r="GF209" s="1605" t="s">
        <v>986</v>
      </c>
      <c r="GG209" s="1605" t="s">
        <v>986</v>
      </c>
      <c r="GH209" s="1605" t="s">
        <v>986</v>
      </c>
      <c r="GI209" s="1605" t="s">
        <v>986</v>
      </c>
      <c r="GJ209" s="1605" t="s">
        <v>986</v>
      </c>
      <c r="GK209" s="1605" t="s">
        <v>986</v>
      </c>
      <c r="GL209" s="1605" t="s">
        <v>986</v>
      </c>
      <c r="GM209" s="1605" t="s">
        <v>986</v>
      </c>
      <c r="GN209" s="1605" t="s">
        <v>986</v>
      </c>
      <c r="GO209" s="1605" t="s">
        <v>986</v>
      </c>
      <c r="GP209" s="1605" t="s">
        <v>986</v>
      </c>
      <c r="GQ209" s="1605" t="s">
        <v>986</v>
      </c>
      <c r="GR209" s="1605" t="s">
        <v>986</v>
      </c>
      <c r="GS209" s="1605" t="s">
        <v>986</v>
      </c>
      <c r="GT209" s="1605" t="s">
        <v>986</v>
      </c>
      <c r="GU209" s="1605" t="s">
        <v>986</v>
      </c>
      <c r="GV209" s="1605" t="s">
        <v>986</v>
      </c>
      <c r="GW209" s="1605" t="s">
        <v>986</v>
      </c>
      <c r="GX209" s="1605" t="s">
        <v>986</v>
      </c>
      <c r="GY209" s="1605" t="s">
        <v>986</v>
      </c>
      <c r="GZ209" s="1605" t="s">
        <v>986</v>
      </c>
      <c r="HA209" s="1605" t="s">
        <v>986</v>
      </c>
      <c r="HB209" s="1605" t="s">
        <v>986</v>
      </c>
      <c r="HC209" s="1605" t="s">
        <v>986</v>
      </c>
      <c r="HD209" s="1605" t="s">
        <v>986</v>
      </c>
      <c r="HE209" s="1605" t="s">
        <v>986</v>
      </c>
      <c r="HF209" s="1605" t="s">
        <v>986</v>
      </c>
      <c r="HG209" s="1605" t="s">
        <v>986</v>
      </c>
      <c r="HH209" s="1605" t="s">
        <v>986</v>
      </c>
      <c r="HI209" s="1605" t="s">
        <v>986</v>
      </c>
      <c r="HJ209" s="1605" t="s">
        <v>986</v>
      </c>
      <c r="HK209" s="1605" t="s">
        <v>986</v>
      </c>
      <c r="HL209" s="1605" t="s">
        <v>986</v>
      </c>
      <c r="HM209" s="1605" t="s">
        <v>986</v>
      </c>
      <c r="HN209" s="1605" t="s">
        <v>986</v>
      </c>
      <c r="HO209" s="1605" t="s">
        <v>986</v>
      </c>
      <c r="HP209" s="1605" t="s">
        <v>986</v>
      </c>
      <c r="HQ209" s="1605" t="s">
        <v>986</v>
      </c>
      <c r="HR209" s="1605" t="s">
        <v>986</v>
      </c>
      <c r="HS209" s="1605" t="s">
        <v>986</v>
      </c>
      <c r="HT209" s="1605" t="s">
        <v>986</v>
      </c>
      <c r="HU209" s="1605" t="s">
        <v>986</v>
      </c>
      <c r="HV209" s="1617"/>
      <c r="HW209" s="1617" t="s">
        <v>3228</v>
      </c>
      <c r="HX209" s="1617" t="s">
        <v>3227</v>
      </c>
      <c r="HY209" s="1617" t="s">
        <v>3226</v>
      </c>
      <c r="HZ209" s="1603"/>
      <c r="IA209" s="1603"/>
      <c r="IB209" s="1603"/>
      <c r="IC209" s="1603" t="s">
        <v>270</v>
      </c>
      <c r="ID209" s="1603" t="s">
        <v>270</v>
      </c>
      <c r="IE209" s="1603" t="s">
        <v>270</v>
      </c>
      <c r="IF209" s="1603" t="s">
        <v>270</v>
      </c>
      <c r="IG209" s="1611" t="s">
        <v>270</v>
      </c>
      <c r="IH209" s="1616" t="s">
        <v>270</v>
      </c>
      <c r="II209" s="1615" t="s">
        <v>270</v>
      </c>
      <c r="IJ209" s="1613">
        <v>0.63600000000000001</v>
      </c>
      <c r="IK209" s="1613">
        <v>0.63600000000000001</v>
      </c>
      <c r="IL209" s="1614">
        <v>0.63600000000000001</v>
      </c>
      <c r="IM209" s="1614">
        <v>0.63600000000000001</v>
      </c>
      <c r="IN209" s="1612">
        <v>0.63600000000000001</v>
      </c>
      <c r="IO209" s="1613">
        <v>0</v>
      </c>
      <c r="IP209" s="1607" t="s">
        <v>270</v>
      </c>
      <c r="IQ209" s="1612" t="s">
        <v>270</v>
      </c>
      <c r="IR209" s="1612" t="s">
        <v>270</v>
      </c>
      <c r="IS209" s="1607" t="s">
        <v>270</v>
      </c>
      <c r="IT209" s="1607" t="s">
        <v>270</v>
      </c>
      <c r="IU209" s="1611" t="s">
        <v>270</v>
      </c>
      <c r="IV209" s="1611" t="s">
        <v>270</v>
      </c>
      <c r="IW209" s="1611" t="s">
        <v>270</v>
      </c>
      <c r="IX209" s="1611" t="s">
        <v>270</v>
      </c>
      <c r="IY209" s="1611" t="s">
        <v>270</v>
      </c>
      <c r="IZ209" s="1611" t="s">
        <v>270</v>
      </c>
      <c r="JA209" s="1611" t="s">
        <v>270</v>
      </c>
      <c r="JB209" s="1611" t="s">
        <v>270</v>
      </c>
      <c r="JC209" s="1611" t="s">
        <v>270</v>
      </c>
      <c r="JD209" s="1611" t="s">
        <v>270</v>
      </c>
      <c r="JE209" s="1611" t="s">
        <v>270</v>
      </c>
      <c r="JF209" s="1611" t="s">
        <v>270</v>
      </c>
      <c r="JG209" s="1611" t="s">
        <v>270</v>
      </c>
      <c r="JH209" s="1611" t="s">
        <v>270</v>
      </c>
      <c r="JI209" s="1611" t="s">
        <v>270</v>
      </c>
      <c r="JJ209" s="1611" t="s">
        <v>270</v>
      </c>
      <c r="JK209" s="1607" t="str">
        <f t="shared" si="12"/>
        <v/>
      </c>
      <c r="JL209" s="1608" t="s">
        <v>2946</v>
      </c>
      <c r="JM209" s="1610" t="s">
        <v>2945</v>
      </c>
      <c r="JN209" s="1608" t="s">
        <v>270</v>
      </c>
      <c r="JO209" s="1609" t="s">
        <v>270</v>
      </c>
      <c r="JP209" s="1608">
        <v>0.63600000000000001</v>
      </c>
      <c r="JQ209" s="1607" t="s">
        <v>270</v>
      </c>
      <c r="JR209" s="1606" t="s">
        <v>270</v>
      </c>
      <c r="JS209" s="1606" t="s">
        <v>270</v>
      </c>
      <c r="JT209" s="1606" t="s">
        <v>270</v>
      </c>
    </row>
    <row r="210" spans="1:280" ht="15" customHeight="1" x14ac:dyDescent="0.2">
      <c r="A210" s="1626">
        <v>52000</v>
      </c>
      <c r="B210" s="1625">
        <v>520</v>
      </c>
      <c r="C210" s="1624">
        <v>0</v>
      </c>
      <c r="D210" s="1623" t="s">
        <v>3225</v>
      </c>
      <c r="E210" s="1622">
        <v>44497</v>
      </c>
      <c r="F210" s="1620">
        <v>1.1027959543166859</v>
      </c>
      <c r="G210" s="1620">
        <v>1.0941384690166973</v>
      </c>
      <c r="H210" s="1621">
        <v>89.8</v>
      </c>
      <c r="I210" s="1621">
        <v>83.6</v>
      </c>
      <c r="J210" s="1621">
        <v>90</v>
      </c>
      <c r="K210" s="1620">
        <v>1</v>
      </c>
      <c r="L210" s="1620">
        <v>85</v>
      </c>
      <c r="M210" s="1620">
        <v>7.8</v>
      </c>
      <c r="N210" s="1620">
        <v>1.7</v>
      </c>
      <c r="O210" s="1620">
        <v>1.4</v>
      </c>
      <c r="P210" s="1620">
        <v>2.2999999999999998</v>
      </c>
      <c r="Q210" s="1603"/>
      <c r="R210" s="1620">
        <v>77</v>
      </c>
      <c r="S210" s="1620">
        <v>50</v>
      </c>
      <c r="T210" s="1620">
        <v>54.065040650406502</v>
      </c>
      <c r="U210" s="1620">
        <v>55.691056910569102</v>
      </c>
      <c r="V210" s="1620">
        <v>57.154471544715399</v>
      </c>
      <c r="W210" s="1620">
        <v>58.130081300813004</v>
      </c>
      <c r="X210" s="1620"/>
      <c r="Y210" s="1620">
        <v>0.45882352941176469</v>
      </c>
      <c r="Z210" s="1620">
        <v>2.9411764705882355</v>
      </c>
      <c r="AA210" s="1620">
        <v>0.11764705882352941</v>
      </c>
      <c r="AB210" s="1620">
        <v>0.84705882352941175</v>
      </c>
      <c r="AC210" s="1620">
        <v>4.9764705882352951</v>
      </c>
      <c r="AD210" s="1620">
        <v>0.92941176470588238</v>
      </c>
      <c r="AE210" s="1620">
        <v>1.2715000000000001</v>
      </c>
      <c r="AF210" s="1620">
        <v>34.047058823529412</v>
      </c>
      <c r="AG210" s="1620">
        <v>3.0823529411764707</v>
      </c>
      <c r="AH210" s="1620">
        <v>23.294117647058822</v>
      </c>
      <c r="AI210" s="1620">
        <v>31.08235294117647</v>
      </c>
      <c r="AJ210" s="1620">
        <v>0</v>
      </c>
      <c r="AK210" s="1620">
        <v>0.03</v>
      </c>
      <c r="AL210" s="1620"/>
      <c r="AM210" s="1620">
        <v>3.7</v>
      </c>
      <c r="AN210" s="1620">
        <v>1.7</v>
      </c>
      <c r="AO210" s="1620">
        <v>2.35</v>
      </c>
      <c r="AP210" s="1620">
        <v>3.29</v>
      </c>
      <c r="AQ210" s="1620">
        <v>1.07</v>
      </c>
      <c r="AR210" s="1620">
        <v>3.48</v>
      </c>
      <c r="AS210" s="1620">
        <v>6.28</v>
      </c>
      <c r="AT210" s="1620">
        <v>2.2799999999999998</v>
      </c>
      <c r="AU210" s="1620">
        <v>4.49</v>
      </c>
      <c r="AV210" s="1620">
        <v>2.7</v>
      </c>
      <c r="AW210" s="1620">
        <v>4.67</v>
      </c>
      <c r="AX210" s="1620"/>
      <c r="AY210" s="1620">
        <v>0.97</v>
      </c>
      <c r="AZ210" s="1620">
        <v>1.04</v>
      </c>
      <c r="BA210" s="1620">
        <v>1.01</v>
      </c>
      <c r="BB210" s="1620">
        <v>0.88</v>
      </c>
      <c r="BC210" s="1620">
        <v>0.99</v>
      </c>
      <c r="BD210" s="1620">
        <v>1</v>
      </c>
      <c r="BE210" s="1620">
        <v>1.03</v>
      </c>
      <c r="BF210" s="1620">
        <v>1.03</v>
      </c>
      <c r="BG210" s="1620">
        <v>1.06</v>
      </c>
      <c r="BH210" s="1620">
        <v>1</v>
      </c>
      <c r="BI210" s="1620">
        <v>0.99</v>
      </c>
      <c r="BJ210" s="1603"/>
      <c r="BK210" s="1620">
        <v>9.1764705882352935</v>
      </c>
      <c r="BL210" s="1620">
        <v>2</v>
      </c>
      <c r="BM210" s="1620">
        <v>1.6470588235294117</v>
      </c>
      <c r="BN210" s="1620">
        <v>2.7058823529411762</v>
      </c>
      <c r="BO210" s="1620"/>
      <c r="BP210" s="1620">
        <v>105</v>
      </c>
      <c r="BQ210" s="1620">
        <v>21.000000000000004</v>
      </c>
      <c r="BR210" s="1620">
        <v>1.2974070050784539</v>
      </c>
      <c r="BS210" s="1620">
        <v>1.2872217282549381</v>
      </c>
      <c r="BT210" s="1603"/>
      <c r="BU210" s="1620">
        <v>983.52941176470586</v>
      </c>
      <c r="BV210" s="1620">
        <v>693.1909243697479</v>
      </c>
      <c r="BW210" s="1620">
        <v>87.112605042016853</v>
      </c>
      <c r="BX210" s="1620">
        <v>612.99999999999989</v>
      </c>
      <c r="BY210" s="1620">
        <v>32</v>
      </c>
      <c r="BZ210" s="1620">
        <v>39</v>
      </c>
      <c r="CA210" s="1620">
        <v>129</v>
      </c>
      <c r="CB210" s="1603"/>
      <c r="CC210" s="1603">
        <v>0.38999999999999996</v>
      </c>
      <c r="CD210" s="1603">
        <v>2.5</v>
      </c>
      <c r="CE210" s="1603">
        <v>9.9999999999999992E-2</v>
      </c>
      <c r="CF210" s="1603">
        <v>0.72</v>
      </c>
      <c r="CG210" s="1603">
        <v>4.2300000000000004</v>
      </c>
      <c r="CH210" s="1603">
        <v>0.79</v>
      </c>
      <c r="CI210" s="1603">
        <v>1.080775</v>
      </c>
      <c r="CJ210" s="1603"/>
      <c r="CK210" s="1603">
        <v>28.939999999999998</v>
      </c>
      <c r="CL210" s="1603">
        <v>2.62</v>
      </c>
      <c r="CM210" s="1603">
        <v>19.799999999999997</v>
      </c>
      <c r="CN210" s="1603">
        <v>26.419999999999998</v>
      </c>
      <c r="CO210" s="1603">
        <v>0</v>
      </c>
      <c r="CP210" s="1603">
        <v>2.5499999999999998E-2</v>
      </c>
      <c r="CQ210" s="1603">
        <v>60.06</v>
      </c>
      <c r="CR210" s="1603">
        <v>54.461570850805636</v>
      </c>
      <c r="CS210" s="1603">
        <v>1.9546257778354141</v>
      </c>
      <c r="CT210" s="1603">
        <v>0.96288057264224347</v>
      </c>
      <c r="CU210" s="1603">
        <v>1.2926453841438719</v>
      </c>
      <c r="CV210" s="1603">
        <v>2.2555259567861152</v>
      </c>
      <c r="CW210" s="1603">
        <v>1.5767713992725252</v>
      </c>
      <c r="CX210" s="1603">
        <v>0.57691142002258422</v>
      </c>
      <c r="CY210" s="1603">
        <v>1.8952626656080362</v>
      </c>
      <c r="CZ210" s="1603">
        <v>3.5227922489135119</v>
      </c>
      <c r="DA210" s="1603">
        <v>1.2789755298603194</v>
      </c>
      <c r="DB210" s="1603">
        <v>2.5920440030732435</v>
      </c>
      <c r="DC210" s="1603">
        <v>1.4704624129717523</v>
      </c>
      <c r="DD210" s="1603">
        <v>4.0625064160449957</v>
      </c>
      <c r="DE210" s="1603">
        <v>2.517921805145297</v>
      </c>
      <c r="DF210" s="1603">
        <v>0</v>
      </c>
      <c r="DG210" s="1603">
        <v>0</v>
      </c>
      <c r="DH210" s="1603">
        <v>0</v>
      </c>
      <c r="DI210" s="1603">
        <v>0</v>
      </c>
      <c r="DJ210" s="1603">
        <v>0</v>
      </c>
      <c r="DK210" s="1603">
        <v>0</v>
      </c>
      <c r="DL210" s="1603">
        <v>0</v>
      </c>
      <c r="DM210" s="1603">
        <v>0</v>
      </c>
      <c r="DN210" s="1603">
        <v>0</v>
      </c>
      <c r="DO210" s="1603">
        <v>0</v>
      </c>
      <c r="DP210" s="1603">
        <v>0</v>
      </c>
      <c r="DQ210" s="1603">
        <v>0</v>
      </c>
      <c r="DR210" s="1603">
        <v>0</v>
      </c>
      <c r="DS210" s="1603">
        <v>0</v>
      </c>
      <c r="DT210" s="1603">
        <v>0</v>
      </c>
      <c r="DU210" s="1603">
        <v>0</v>
      </c>
      <c r="DV210" s="1603">
        <v>0</v>
      </c>
      <c r="DW210" s="1618" t="s">
        <v>3209</v>
      </c>
      <c r="DX210" s="1605">
        <v>43</v>
      </c>
      <c r="DY210" s="1605">
        <v>43</v>
      </c>
      <c r="DZ210" s="1605">
        <v>22</v>
      </c>
      <c r="EA210" s="1605">
        <v>22</v>
      </c>
      <c r="EB210" s="1605" t="s">
        <v>986</v>
      </c>
      <c r="EC210" s="1605">
        <v>22</v>
      </c>
      <c r="ED210" s="1605">
        <v>22</v>
      </c>
      <c r="EE210" s="1605">
        <v>24</v>
      </c>
      <c r="EF210" s="1605">
        <v>22</v>
      </c>
      <c r="EG210" s="1605">
        <v>22</v>
      </c>
      <c r="EH210" s="1605" t="s">
        <v>986</v>
      </c>
      <c r="EI210" s="1605" t="s">
        <v>986</v>
      </c>
      <c r="EJ210" s="1605" t="s">
        <v>986</v>
      </c>
      <c r="EK210" s="1605" t="s">
        <v>986</v>
      </c>
      <c r="EL210" s="1605" t="s">
        <v>986</v>
      </c>
      <c r="EM210" s="1605" t="s">
        <v>986</v>
      </c>
      <c r="EN210" s="1605" t="s">
        <v>986</v>
      </c>
      <c r="EO210" s="1605" t="s">
        <v>986</v>
      </c>
      <c r="EP210" s="1605" t="s">
        <v>986</v>
      </c>
      <c r="EQ210" s="1605" t="s">
        <v>986</v>
      </c>
      <c r="ER210" s="1605" t="s">
        <v>986</v>
      </c>
      <c r="ES210" s="1605">
        <v>22</v>
      </c>
      <c r="ET210" s="1605">
        <v>43</v>
      </c>
      <c r="EU210" s="1605">
        <v>20</v>
      </c>
      <c r="EV210" s="1605">
        <v>8</v>
      </c>
      <c r="EW210" s="1605">
        <v>21</v>
      </c>
      <c r="EX210" s="1605">
        <v>21</v>
      </c>
      <c r="EY210" s="1605" t="s">
        <v>986</v>
      </c>
      <c r="EZ210" s="1605">
        <v>21</v>
      </c>
      <c r="FA210" s="1605">
        <v>21</v>
      </c>
      <c r="FB210" s="1605">
        <v>21</v>
      </c>
      <c r="FC210" s="1605">
        <v>21</v>
      </c>
      <c r="FD210" s="1605" t="s">
        <v>986</v>
      </c>
      <c r="FE210" s="1605" t="s">
        <v>986</v>
      </c>
      <c r="FF210" s="1605">
        <v>1.2970449419335282</v>
      </c>
      <c r="FG210" s="1605">
        <v>0.41915726426890559</v>
      </c>
      <c r="FH210" s="1605">
        <v>0.12148751510528104</v>
      </c>
      <c r="FI210" s="1605">
        <v>0.14082116378196541</v>
      </c>
      <c r="FJ210" s="1605" t="s">
        <v>986</v>
      </c>
      <c r="FK210" s="1605">
        <v>1.2778947902953779</v>
      </c>
      <c r="FL210" s="1605">
        <v>0.99691254574254218</v>
      </c>
      <c r="FM210" s="1605" t="s">
        <v>986</v>
      </c>
      <c r="FN210" s="1605">
        <v>1.7700858134045705</v>
      </c>
      <c r="FO210" s="1605">
        <v>1.4274878000090552</v>
      </c>
      <c r="FP210" s="1605" t="s">
        <v>986</v>
      </c>
      <c r="FQ210" s="1605" t="s">
        <v>986</v>
      </c>
      <c r="FR210" s="1605" t="s">
        <v>986</v>
      </c>
      <c r="FS210" s="1605" t="s">
        <v>986</v>
      </c>
      <c r="FT210" s="1605" t="s">
        <v>986</v>
      </c>
      <c r="FU210" s="1605" t="s">
        <v>986</v>
      </c>
      <c r="FV210" s="1605" t="s">
        <v>986</v>
      </c>
      <c r="FW210" s="1605" t="s">
        <v>986</v>
      </c>
      <c r="FX210" s="1605" t="s">
        <v>986</v>
      </c>
      <c r="FY210" s="1605" t="s">
        <v>986</v>
      </c>
      <c r="FZ210" s="1605" t="s">
        <v>986</v>
      </c>
      <c r="GA210" s="1605">
        <v>4.245589428249183E-2</v>
      </c>
      <c r="GB210" s="1605">
        <v>0.2077827346489797</v>
      </c>
      <c r="GC210" s="1605">
        <v>1.5308762962129448E-3</v>
      </c>
      <c r="GD210" s="1605">
        <v>8.917764424582425E-2</v>
      </c>
      <c r="GE210" s="1605">
        <v>0.53202663230394764</v>
      </c>
      <c r="GF210" s="1605">
        <v>7.9648407471404614E-2</v>
      </c>
      <c r="GG210" s="1605" t="s">
        <v>986</v>
      </c>
      <c r="GH210" s="1605">
        <v>6.9899467864082165</v>
      </c>
      <c r="GI210" s="1605">
        <v>0.42589798538224355</v>
      </c>
      <c r="GJ210" s="1605">
        <v>2.4529947098491327</v>
      </c>
      <c r="GK210" s="1605">
        <v>4.1782949044023319</v>
      </c>
      <c r="GL210" s="1605" t="s">
        <v>986</v>
      </c>
      <c r="GM210" s="1605" t="s">
        <v>986</v>
      </c>
      <c r="GN210" s="1605" t="s">
        <v>3027</v>
      </c>
      <c r="GO210" s="1605" t="s">
        <v>3027</v>
      </c>
      <c r="GP210" s="1605" t="s">
        <v>3027</v>
      </c>
      <c r="GQ210" s="1605" t="s">
        <v>3027</v>
      </c>
      <c r="GR210" s="1605" t="s">
        <v>3026</v>
      </c>
      <c r="GS210" s="1605" t="s">
        <v>3027</v>
      </c>
      <c r="GT210" s="1605" t="s">
        <v>3027</v>
      </c>
      <c r="GU210" s="1605" t="s">
        <v>3026</v>
      </c>
      <c r="GV210" s="1605" t="s">
        <v>3027</v>
      </c>
      <c r="GW210" s="1605" t="s">
        <v>3027</v>
      </c>
      <c r="GX210" s="1605" t="s">
        <v>3027</v>
      </c>
      <c r="GY210" s="1605" t="s">
        <v>3027</v>
      </c>
      <c r="GZ210" s="1605" t="s">
        <v>3027</v>
      </c>
      <c r="HA210" s="1605" t="s">
        <v>3027</v>
      </c>
      <c r="HB210" s="1605" t="s">
        <v>3026</v>
      </c>
      <c r="HC210" s="1605" t="s">
        <v>3027</v>
      </c>
      <c r="HD210" s="1605" t="s">
        <v>3027</v>
      </c>
      <c r="HE210" s="1605" t="s">
        <v>3027</v>
      </c>
      <c r="HF210" s="1605" t="s">
        <v>3027</v>
      </c>
      <c r="HG210" s="1605" t="s">
        <v>3027</v>
      </c>
      <c r="HH210" s="1605" t="s">
        <v>3027</v>
      </c>
      <c r="HI210" s="1605" t="s">
        <v>3027</v>
      </c>
      <c r="HJ210" s="1605" t="s">
        <v>3027</v>
      </c>
      <c r="HK210" s="1605" t="s">
        <v>3027</v>
      </c>
      <c r="HL210" s="1605" t="s">
        <v>1578</v>
      </c>
      <c r="HM210" s="1605" t="s">
        <v>3027</v>
      </c>
      <c r="HN210" s="1605" t="s">
        <v>3027</v>
      </c>
      <c r="HO210" s="1605" t="s">
        <v>986</v>
      </c>
      <c r="HP210" s="1605" t="s">
        <v>3027</v>
      </c>
      <c r="HQ210" s="1605" t="s">
        <v>3027</v>
      </c>
      <c r="HR210" s="1605" t="s">
        <v>3027</v>
      </c>
      <c r="HS210" s="1605" t="s">
        <v>3027</v>
      </c>
      <c r="HT210" s="1605" t="s">
        <v>3026</v>
      </c>
      <c r="HU210" s="1605" t="s">
        <v>3026</v>
      </c>
      <c r="HV210" s="1617"/>
      <c r="HW210" s="1617" t="s">
        <v>3221</v>
      </c>
      <c r="HX210" s="1617">
        <v>0</v>
      </c>
      <c r="HY210" s="1617" t="s">
        <v>3207</v>
      </c>
      <c r="HZ210" s="1603"/>
      <c r="IA210" s="1603"/>
      <c r="IB210" s="1603"/>
      <c r="IC210" s="1603">
        <v>58.861788617886198</v>
      </c>
      <c r="ID210" s="1603">
        <v>59.349593495934997</v>
      </c>
      <c r="IE210" s="1603">
        <v>59.756097560975597</v>
      </c>
      <c r="IF210" s="1603">
        <v>60</v>
      </c>
      <c r="IG210" s="1611" t="s">
        <v>3206</v>
      </c>
      <c r="IH210" s="1616" t="s">
        <v>3213</v>
      </c>
      <c r="II210" s="1615" t="s">
        <v>3212</v>
      </c>
      <c r="IJ210" s="1613">
        <v>0.41228409090909096</v>
      </c>
      <c r="IK210" s="1613">
        <v>0.41228409090909096</v>
      </c>
      <c r="IL210" s="1614">
        <v>0.41228409090909096</v>
      </c>
      <c r="IM210" s="1614">
        <v>0.41228409090909096</v>
      </c>
      <c r="IN210" s="1612">
        <v>0.57299999999999995</v>
      </c>
      <c r="IO210" s="1613">
        <v>0.16071590909090899</v>
      </c>
      <c r="IP210" s="1607" t="s">
        <v>270</v>
      </c>
      <c r="IQ210" s="1612">
        <v>2.1800000000000002</v>
      </c>
      <c r="IR210" s="1612">
        <v>5.2999999999999999E-2</v>
      </c>
      <c r="IS210" s="1607">
        <v>0.40828409090909096</v>
      </c>
      <c r="IT210" s="1607">
        <v>0.40828409090909096</v>
      </c>
      <c r="IU210" s="1611">
        <v>1.1363636363636365E-5</v>
      </c>
      <c r="IV210" s="1611">
        <v>2.7727272727272726E-3</v>
      </c>
      <c r="IW210" s="1611">
        <v>8.0681818181818177E-4</v>
      </c>
      <c r="IX210" s="1611">
        <v>1.0681818181818182E-3</v>
      </c>
      <c r="IY210" s="1611">
        <v>8.1818181818181816E-4</v>
      </c>
      <c r="IZ210" s="1611">
        <v>7.624999999999999E-3</v>
      </c>
      <c r="JA210" s="1611">
        <v>1.7045454545454544E-4</v>
      </c>
      <c r="JB210" s="1611" t="s">
        <v>270</v>
      </c>
      <c r="JC210" s="1611">
        <v>0.15605681818181819</v>
      </c>
      <c r="JD210" s="1611">
        <v>6.6249999999999998E-3</v>
      </c>
      <c r="JE210" s="1611" t="s">
        <v>270</v>
      </c>
      <c r="JF210" s="1611">
        <v>2.7272727272727268E-4</v>
      </c>
      <c r="JG210" s="1611">
        <v>4.1114204545454545</v>
      </c>
      <c r="JH210" s="1611">
        <v>2.2727272727272727E-4</v>
      </c>
      <c r="JI210" s="1611">
        <v>5.213636363636364E-2</v>
      </c>
      <c r="JJ210" s="1611" t="s">
        <v>270</v>
      </c>
      <c r="JK210" s="1607">
        <f t="shared" si="12"/>
        <v>4.0000000000000036E-3</v>
      </c>
      <c r="JL210" s="1608" t="s">
        <v>270</v>
      </c>
      <c r="JM210" s="1610" t="s">
        <v>2924</v>
      </c>
      <c r="JN210" s="1608">
        <v>0</v>
      </c>
      <c r="JO210" s="1609" t="s">
        <v>2923</v>
      </c>
      <c r="JP210" s="1608" t="s">
        <v>270</v>
      </c>
      <c r="JQ210" s="1607">
        <v>202103</v>
      </c>
      <c r="JR210" s="1606">
        <v>544</v>
      </c>
      <c r="JS210" s="1606">
        <v>492</v>
      </c>
      <c r="JT210" s="1606">
        <v>492</v>
      </c>
    </row>
    <row r="211" spans="1:280" ht="15" customHeight="1" x14ac:dyDescent="0.2">
      <c r="A211" s="1626">
        <v>52001</v>
      </c>
      <c r="B211" s="1625">
        <v>520</v>
      </c>
      <c r="C211" s="1624">
        <v>1</v>
      </c>
      <c r="D211" s="1623" t="s">
        <v>3224</v>
      </c>
      <c r="E211" s="1622">
        <v>44497</v>
      </c>
      <c r="F211" s="1620">
        <v>1.1112918892760357</v>
      </c>
      <c r="G211" s="1620">
        <v>1.1001098975881263</v>
      </c>
      <c r="H211" s="1621">
        <v>89.8</v>
      </c>
      <c r="I211" s="1621">
        <v>84.3</v>
      </c>
      <c r="J211" s="1621">
        <v>90</v>
      </c>
      <c r="K211" s="1620">
        <v>1</v>
      </c>
      <c r="L211" s="1620">
        <v>85</v>
      </c>
      <c r="M211" s="1620">
        <v>7.8</v>
      </c>
      <c r="N211" s="1620">
        <v>1.7</v>
      </c>
      <c r="O211" s="1620">
        <v>1.4</v>
      </c>
      <c r="P211" s="1620">
        <v>2.2999999999999998</v>
      </c>
      <c r="Q211" s="1603"/>
      <c r="R211" s="1620">
        <v>77</v>
      </c>
      <c r="S211" s="1620">
        <v>50</v>
      </c>
      <c r="T211" s="1620">
        <v>54.065040650406502</v>
      </c>
      <c r="U211" s="1620">
        <v>55.691056910569102</v>
      </c>
      <c r="V211" s="1620">
        <v>57.154471544715399</v>
      </c>
      <c r="W211" s="1620">
        <v>58.130081300813004</v>
      </c>
      <c r="X211" s="1620"/>
      <c r="Y211" s="1620">
        <v>0.45882352941176469</v>
      </c>
      <c r="Z211" s="1620">
        <v>2.9411764705882355</v>
      </c>
      <c r="AA211" s="1620">
        <v>0.11764705882352941</v>
      </c>
      <c r="AB211" s="1620">
        <v>0.84705882352941175</v>
      </c>
      <c r="AC211" s="1620">
        <v>4.9764705882352951</v>
      </c>
      <c r="AD211" s="1620">
        <v>0.92941176470588238</v>
      </c>
      <c r="AE211" s="1620">
        <v>1.2715000000000001</v>
      </c>
      <c r="AF211" s="1620">
        <v>34.047058823529412</v>
      </c>
      <c r="AG211" s="1620">
        <v>3.0823529411764707</v>
      </c>
      <c r="AH211" s="1620">
        <v>23.294117647058822</v>
      </c>
      <c r="AI211" s="1620">
        <v>31.08235294117647</v>
      </c>
      <c r="AJ211" s="1620">
        <v>0</v>
      </c>
      <c r="AK211" s="1620">
        <v>0.03</v>
      </c>
      <c r="AL211" s="1620"/>
      <c r="AM211" s="1620">
        <v>3.7</v>
      </c>
      <c r="AN211" s="1620">
        <v>1.7</v>
      </c>
      <c r="AO211" s="1620">
        <v>2.35</v>
      </c>
      <c r="AP211" s="1620">
        <v>3.29</v>
      </c>
      <c r="AQ211" s="1620">
        <v>1.07</v>
      </c>
      <c r="AR211" s="1620">
        <v>3.48</v>
      </c>
      <c r="AS211" s="1620">
        <v>6.28</v>
      </c>
      <c r="AT211" s="1620">
        <v>2.2799999999999998</v>
      </c>
      <c r="AU211" s="1620">
        <v>4.49</v>
      </c>
      <c r="AV211" s="1620">
        <v>2.7</v>
      </c>
      <c r="AW211" s="1620">
        <v>4.67</v>
      </c>
      <c r="AX211" s="1620"/>
      <c r="AY211" s="1620">
        <v>0.97</v>
      </c>
      <c r="AZ211" s="1620">
        <v>1.04</v>
      </c>
      <c r="BA211" s="1620">
        <v>1.01</v>
      </c>
      <c r="BB211" s="1620">
        <v>0.88</v>
      </c>
      <c r="BC211" s="1620">
        <v>0.99</v>
      </c>
      <c r="BD211" s="1620">
        <v>1</v>
      </c>
      <c r="BE211" s="1620">
        <v>1.03</v>
      </c>
      <c r="BF211" s="1620">
        <v>1.03</v>
      </c>
      <c r="BG211" s="1620">
        <v>1.06</v>
      </c>
      <c r="BH211" s="1620">
        <v>1</v>
      </c>
      <c r="BI211" s="1620">
        <v>0.99</v>
      </c>
      <c r="BJ211" s="1603"/>
      <c r="BK211" s="1620">
        <v>9.1764705882352935</v>
      </c>
      <c r="BL211" s="1620">
        <v>2</v>
      </c>
      <c r="BM211" s="1620">
        <v>1.6470588235294117</v>
      </c>
      <c r="BN211" s="1620">
        <v>2.7058823529411762</v>
      </c>
      <c r="BO211" s="1620"/>
      <c r="BP211" s="1620">
        <v>105</v>
      </c>
      <c r="BQ211" s="1620">
        <v>21.000000000000004</v>
      </c>
      <c r="BR211" s="1620">
        <v>1.3074022226776889</v>
      </c>
      <c r="BS211" s="1620">
        <v>1.2942469383389721</v>
      </c>
      <c r="BT211" s="1603"/>
      <c r="BU211" s="1620">
        <v>983.52941176470586</v>
      </c>
      <c r="BV211" s="1620">
        <v>703.026218487395</v>
      </c>
      <c r="BW211" s="1620">
        <v>77.277310924369743</v>
      </c>
      <c r="BX211" s="1620">
        <v>612.99999999999989</v>
      </c>
      <c r="BY211" s="1620">
        <v>32</v>
      </c>
      <c r="BZ211" s="1620">
        <v>39</v>
      </c>
      <c r="CA211" s="1620">
        <v>129</v>
      </c>
      <c r="CB211" s="1603"/>
      <c r="CC211" s="1603">
        <v>0.38999999999999996</v>
      </c>
      <c r="CD211" s="1603">
        <v>2.5</v>
      </c>
      <c r="CE211" s="1603">
        <v>9.9999999999999992E-2</v>
      </c>
      <c r="CF211" s="1603">
        <v>0.72</v>
      </c>
      <c r="CG211" s="1603">
        <v>4.2300000000000004</v>
      </c>
      <c r="CH211" s="1603">
        <v>0.79</v>
      </c>
      <c r="CI211" s="1603">
        <v>1.080775</v>
      </c>
      <c r="CJ211" s="1603"/>
      <c r="CK211" s="1603">
        <v>28.939999999999998</v>
      </c>
      <c r="CL211" s="1603">
        <v>2.62</v>
      </c>
      <c r="CM211" s="1603">
        <v>19.799999999999997</v>
      </c>
      <c r="CN211" s="1603">
        <v>26.419999999999998</v>
      </c>
      <c r="CO211" s="1603">
        <v>0</v>
      </c>
      <c r="CP211" s="1603">
        <v>2.5499999999999998E-2</v>
      </c>
      <c r="CQ211" s="1603">
        <v>60.06</v>
      </c>
      <c r="CR211" s="1603">
        <v>54.045206826018322</v>
      </c>
      <c r="CS211" s="1603">
        <v>1.9396824729857975</v>
      </c>
      <c r="CT211" s="1603">
        <v>0.95551925668400373</v>
      </c>
      <c r="CU211" s="1603">
        <v>1.2827629840155448</v>
      </c>
      <c r="CV211" s="1603">
        <v>2.2382822406995486</v>
      </c>
      <c r="CW211" s="1603">
        <v>1.5647168280268828</v>
      </c>
      <c r="CX211" s="1603">
        <v>0.57250087590801213</v>
      </c>
      <c r="CY211" s="1603">
        <v>1.8807731975454376</v>
      </c>
      <c r="CZ211" s="1603">
        <v>3.4958601583341693</v>
      </c>
      <c r="DA211" s="1603">
        <v>1.269197637102214</v>
      </c>
      <c r="DB211" s="1603">
        <v>2.572227573677516</v>
      </c>
      <c r="DC211" s="1603">
        <v>1.4592205843024948</v>
      </c>
      <c r="DD211" s="1603">
        <v>4.0314481579800105</v>
      </c>
      <c r="DE211" s="1603">
        <v>2.4986720471873052</v>
      </c>
      <c r="DF211" s="1603">
        <v>0</v>
      </c>
      <c r="DG211" s="1603">
        <v>0</v>
      </c>
      <c r="DH211" s="1603">
        <v>0</v>
      </c>
      <c r="DI211" s="1603">
        <v>0</v>
      </c>
      <c r="DJ211" s="1603">
        <v>0</v>
      </c>
      <c r="DK211" s="1603">
        <v>0</v>
      </c>
      <c r="DL211" s="1603">
        <v>0</v>
      </c>
      <c r="DM211" s="1603">
        <v>0</v>
      </c>
      <c r="DN211" s="1603">
        <v>0</v>
      </c>
      <c r="DO211" s="1603">
        <v>0</v>
      </c>
      <c r="DP211" s="1603">
        <v>0</v>
      </c>
      <c r="DQ211" s="1603">
        <v>0</v>
      </c>
      <c r="DR211" s="1603">
        <v>0</v>
      </c>
      <c r="DS211" s="1603">
        <v>0</v>
      </c>
      <c r="DT211" s="1603">
        <v>0</v>
      </c>
      <c r="DU211" s="1603">
        <v>0</v>
      </c>
      <c r="DV211" s="1603">
        <v>0</v>
      </c>
      <c r="DW211" s="1618" t="s">
        <v>3209</v>
      </c>
      <c r="DX211" s="1605">
        <v>43</v>
      </c>
      <c r="DY211" s="1605">
        <v>43</v>
      </c>
      <c r="DZ211" s="1605">
        <v>22</v>
      </c>
      <c r="EA211" s="1605">
        <v>22</v>
      </c>
      <c r="EB211" s="1605" t="s">
        <v>986</v>
      </c>
      <c r="EC211" s="1605">
        <v>22</v>
      </c>
      <c r="ED211" s="1605">
        <v>22</v>
      </c>
      <c r="EE211" s="1605">
        <v>24</v>
      </c>
      <c r="EF211" s="1605">
        <v>22</v>
      </c>
      <c r="EG211" s="1605">
        <v>22</v>
      </c>
      <c r="EH211" s="1605" t="s">
        <v>986</v>
      </c>
      <c r="EI211" s="1605" t="s">
        <v>986</v>
      </c>
      <c r="EJ211" s="1605" t="s">
        <v>986</v>
      </c>
      <c r="EK211" s="1605" t="s">
        <v>986</v>
      </c>
      <c r="EL211" s="1605" t="s">
        <v>986</v>
      </c>
      <c r="EM211" s="1605" t="s">
        <v>986</v>
      </c>
      <c r="EN211" s="1605" t="s">
        <v>986</v>
      </c>
      <c r="EO211" s="1605" t="s">
        <v>986</v>
      </c>
      <c r="EP211" s="1605" t="s">
        <v>986</v>
      </c>
      <c r="EQ211" s="1605" t="s">
        <v>986</v>
      </c>
      <c r="ER211" s="1605" t="s">
        <v>986</v>
      </c>
      <c r="ES211" s="1605">
        <v>22</v>
      </c>
      <c r="ET211" s="1605">
        <v>43</v>
      </c>
      <c r="EU211" s="1605">
        <v>20</v>
      </c>
      <c r="EV211" s="1605">
        <v>8</v>
      </c>
      <c r="EW211" s="1605">
        <v>21</v>
      </c>
      <c r="EX211" s="1605">
        <v>21</v>
      </c>
      <c r="EY211" s="1605" t="s">
        <v>986</v>
      </c>
      <c r="EZ211" s="1605">
        <v>21</v>
      </c>
      <c r="FA211" s="1605">
        <v>21</v>
      </c>
      <c r="FB211" s="1605">
        <v>21</v>
      </c>
      <c r="FC211" s="1605">
        <v>21</v>
      </c>
      <c r="FD211" s="1605" t="s">
        <v>986</v>
      </c>
      <c r="FE211" s="1605" t="s">
        <v>986</v>
      </c>
      <c r="FF211" s="1605">
        <v>1.2970449419335282</v>
      </c>
      <c r="FG211" s="1605">
        <v>0.41915726426890559</v>
      </c>
      <c r="FH211" s="1605">
        <v>0.12148751510528104</v>
      </c>
      <c r="FI211" s="1605">
        <v>0.14082116378196541</v>
      </c>
      <c r="FJ211" s="1605" t="s">
        <v>986</v>
      </c>
      <c r="FK211" s="1605">
        <v>1.2778947902953779</v>
      </c>
      <c r="FL211" s="1605">
        <v>0.99691254574254218</v>
      </c>
      <c r="FM211" s="1605" t="s">
        <v>986</v>
      </c>
      <c r="FN211" s="1605">
        <v>1.7700858134045705</v>
      </c>
      <c r="FO211" s="1605">
        <v>1.4274878000090552</v>
      </c>
      <c r="FP211" s="1605" t="s">
        <v>986</v>
      </c>
      <c r="FQ211" s="1605" t="s">
        <v>986</v>
      </c>
      <c r="FR211" s="1605" t="s">
        <v>986</v>
      </c>
      <c r="FS211" s="1605" t="s">
        <v>986</v>
      </c>
      <c r="FT211" s="1605" t="s">
        <v>986</v>
      </c>
      <c r="FU211" s="1605" t="s">
        <v>986</v>
      </c>
      <c r="FV211" s="1605" t="s">
        <v>986</v>
      </c>
      <c r="FW211" s="1605" t="s">
        <v>986</v>
      </c>
      <c r="FX211" s="1605" t="s">
        <v>986</v>
      </c>
      <c r="FY211" s="1605" t="s">
        <v>986</v>
      </c>
      <c r="FZ211" s="1605" t="s">
        <v>986</v>
      </c>
      <c r="GA211" s="1605">
        <v>4.245589428249183E-2</v>
      </c>
      <c r="GB211" s="1605">
        <v>0.2077827346489797</v>
      </c>
      <c r="GC211" s="1605">
        <v>1.5308762962129448E-3</v>
      </c>
      <c r="GD211" s="1605">
        <v>8.917764424582425E-2</v>
      </c>
      <c r="GE211" s="1605">
        <v>0.53202663230394764</v>
      </c>
      <c r="GF211" s="1605">
        <v>7.9648407471404614E-2</v>
      </c>
      <c r="GG211" s="1605" t="s">
        <v>986</v>
      </c>
      <c r="GH211" s="1605">
        <v>6.9899467864082165</v>
      </c>
      <c r="GI211" s="1605">
        <v>0.42589798538224355</v>
      </c>
      <c r="GJ211" s="1605">
        <v>2.4529947098491327</v>
      </c>
      <c r="GK211" s="1605">
        <v>4.1782949044023319</v>
      </c>
      <c r="GL211" s="1605" t="s">
        <v>986</v>
      </c>
      <c r="GM211" s="1605" t="s">
        <v>986</v>
      </c>
      <c r="GN211" s="1605" t="s">
        <v>3027</v>
      </c>
      <c r="GO211" s="1605" t="s">
        <v>3027</v>
      </c>
      <c r="GP211" s="1605" t="s">
        <v>3027</v>
      </c>
      <c r="GQ211" s="1605" t="s">
        <v>3027</v>
      </c>
      <c r="GR211" s="1605" t="s">
        <v>3026</v>
      </c>
      <c r="GS211" s="1605" t="s">
        <v>3027</v>
      </c>
      <c r="GT211" s="1605" t="s">
        <v>3027</v>
      </c>
      <c r="GU211" s="1605" t="s">
        <v>3026</v>
      </c>
      <c r="GV211" s="1605" t="s">
        <v>3027</v>
      </c>
      <c r="GW211" s="1605" t="s">
        <v>3027</v>
      </c>
      <c r="GX211" s="1605" t="s">
        <v>3027</v>
      </c>
      <c r="GY211" s="1605" t="s">
        <v>3027</v>
      </c>
      <c r="GZ211" s="1605" t="s">
        <v>3027</v>
      </c>
      <c r="HA211" s="1605" t="s">
        <v>3027</v>
      </c>
      <c r="HB211" s="1605" t="s">
        <v>3026</v>
      </c>
      <c r="HC211" s="1605" t="s">
        <v>3027</v>
      </c>
      <c r="HD211" s="1605" t="s">
        <v>3027</v>
      </c>
      <c r="HE211" s="1605" t="s">
        <v>3027</v>
      </c>
      <c r="HF211" s="1605" t="s">
        <v>3027</v>
      </c>
      <c r="HG211" s="1605" t="s">
        <v>3027</v>
      </c>
      <c r="HH211" s="1605" t="s">
        <v>3027</v>
      </c>
      <c r="HI211" s="1605" t="s">
        <v>3027</v>
      </c>
      <c r="HJ211" s="1605" t="s">
        <v>3027</v>
      </c>
      <c r="HK211" s="1605" t="s">
        <v>3027</v>
      </c>
      <c r="HL211" s="1605" t="s">
        <v>1578</v>
      </c>
      <c r="HM211" s="1605" t="s">
        <v>3027</v>
      </c>
      <c r="HN211" s="1605" t="s">
        <v>3027</v>
      </c>
      <c r="HO211" s="1605" t="s">
        <v>986</v>
      </c>
      <c r="HP211" s="1605" t="s">
        <v>3027</v>
      </c>
      <c r="HQ211" s="1605" t="s">
        <v>3027</v>
      </c>
      <c r="HR211" s="1605" t="s">
        <v>3027</v>
      </c>
      <c r="HS211" s="1605" t="s">
        <v>3027</v>
      </c>
      <c r="HT211" s="1605" t="s">
        <v>3026</v>
      </c>
      <c r="HU211" s="1605" t="s">
        <v>3026</v>
      </c>
      <c r="HV211" s="1617"/>
      <c r="HW211" s="1617" t="s">
        <v>3221</v>
      </c>
      <c r="HX211" s="1617">
        <v>0</v>
      </c>
      <c r="HY211" s="1617" t="s">
        <v>3207</v>
      </c>
      <c r="HZ211" s="1603"/>
      <c r="IA211" s="1603"/>
      <c r="IB211" s="1603"/>
      <c r="IC211" s="1603">
        <v>58.861788617886198</v>
      </c>
      <c r="ID211" s="1603">
        <v>59.349593495934997</v>
      </c>
      <c r="IE211" s="1603">
        <v>59.756097560975597</v>
      </c>
      <c r="IF211" s="1603">
        <v>60</v>
      </c>
      <c r="IG211" s="1611" t="s">
        <v>3206</v>
      </c>
      <c r="IH211" s="1616" t="s">
        <v>3213</v>
      </c>
      <c r="II211" s="1615" t="s">
        <v>3212</v>
      </c>
      <c r="IJ211" s="1613">
        <v>0.41228409090909096</v>
      </c>
      <c r="IK211" s="1613">
        <v>0.41228409090909096</v>
      </c>
      <c r="IL211" s="1614">
        <v>0.41228409090909096</v>
      </c>
      <c r="IM211" s="1614">
        <v>0.41228409090909096</v>
      </c>
      <c r="IN211" s="1612">
        <v>0.57299999999999995</v>
      </c>
      <c r="IO211" s="1613">
        <v>0.16071590909090899</v>
      </c>
      <c r="IP211" s="1607" t="s">
        <v>270</v>
      </c>
      <c r="IQ211" s="1612">
        <v>2.1800000000000002</v>
      </c>
      <c r="IR211" s="1612">
        <v>5.2999999999999999E-2</v>
      </c>
      <c r="IS211" s="1607">
        <v>0.40828409090909096</v>
      </c>
      <c r="IT211" s="1607">
        <v>0.40828409090909096</v>
      </c>
      <c r="IU211" s="1611">
        <v>1.1363636363636365E-5</v>
      </c>
      <c r="IV211" s="1611">
        <v>2.7727272727272726E-3</v>
      </c>
      <c r="IW211" s="1611">
        <v>8.0681818181818177E-4</v>
      </c>
      <c r="IX211" s="1611">
        <v>1.0681818181818182E-3</v>
      </c>
      <c r="IY211" s="1611">
        <v>8.1818181818181816E-4</v>
      </c>
      <c r="IZ211" s="1611">
        <v>7.624999999999999E-3</v>
      </c>
      <c r="JA211" s="1611">
        <v>1.7045454545454544E-4</v>
      </c>
      <c r="JB211" s="1611" t="s">
        <v>270</v>
      </c>
      <c r="JC211" s="1611">
        <v>0.15605681818181819</v>
      </c>
      <c r="JD211" s="1611">
        <v>6.6249999999999998E-3</v>
      </c>
      <c r="JE211" s="1611" t="s">
        <v>270</v>
      </c>
      <c r="JF211" s="1611">
        <v>2.7272727272727268E-4</v>
      </c>
      <c r="JG211" s="1611">
        <v>4.1114204545454545</v>
      </c>
      <c r="JH211" s="1611">
        <v>2.2727272727272727E-4</v>
      </c>
      <c r="JI211" s="1611">
        <v>5.213636363636364E-2</v>
      </c>
      <c r="JJ211" s="1611" t="s">
        <v>270</v>
      </c>
      <c r="JK211" s="1607">
        <f t="shared" si="12"/>
        <v>4.0000000000000036E-3</v>
      </c>
      <c r="JL211" s="1608" t="s">
        <v>270</v>
      </c>
      <c r="JM211" s="1610" t="s">
        <v>2924</v>
      </c>
      <c r="JN211" s="1608">
        <v>0</v>
      </c>
      <c r="JO211" s="1609" t="s">
        <v>2923</v>
      </c>
      <c r="JP211" s="1608" t="s">
        <v>270</v>
      </c>
      <c r="JQ211" s="1607">
        <v>202103</v>
      </c>
      <c r="JR211" s="1606">
        <v>544</v>
      </c>
      <c r="JS211" s="1606">
        <v>492</v>
      </c>
      <c r="JT211" s="1606">
        <v>492</v>
      </c>
    </row>
    <row r="212" spans="1:280" ht="15" customHeight="1" x14ac:dyDescent="0.2">
      <c r="A212" s="1626">
        <v>52010</v>
      </c>
      <c r="B212" s="1625">
        <v>520</v>
      </c>
      <c r="C212" s="1624">
        <v>10</v>
      </c>
      <c r="D212" s="1623" t="s">
        <v>3223</v>
      </c>
      <c r="E212" s="1622">
        <v>44497</v>
      </c>
      <c r="F212" s="1620">
        <v>1.1027959543166859</v>
      </c>
      <c r="G212" s="1620">
        <v>1.0941384690166973</v>
      </c>
      <c r="H212" s="1621">
        <v>89.8</v>
      </c>
      <c r="I212" s="1621">
        <v>83.6</v>
      </c>
      <c r="J212" s="1621">
        <v>90</v>
      </c>
      <c r="K212" s="1620">
        <v>1</v>
      </c>
      <c r="L212" s="1620">
        <v>85</v>
      </c>
      <c r="M212" s="1620">
        <v>7.8</v>
      </c>
      <c r="N212" s="1620">
        <v>1.7</v>
      </c>
      <c r="O212" s="1620">
        <v>1.4</v>
      </c>
      <c r="P212" s="1620">
        <v>2.2999999999999998</v>
      </c>
      <c r="Q212" s="1603"/>
      <c r="R212" s="1620">
        <v>77</v>
      </c>
      <c r="S212" s="1620">
        <v>28</v>
      </c>
      <c r="T212" s="1620">
        <v>41.008130081300799</v>
      </c>
      <c r="U212" s="1620">
        <v>46.211382113821102</v>
      </c>
      <c r="V212" s="1620">
        <v>50.894308943089399</v>
      </c>
      <c r="W212" s="1620">
        <v>54.016260162601597</v>
      </c>
      <c r="X212" s="1620"/>
      <c r="Y212" s="1620">
        <v>0.45882352941176469</v>
      </c>
      <c r="Z212" s="1620">
        <v>2.9411764705882355</v>
      </c>
      <c r="AA212" s="1620">
        <v>0.11764705882352941</v>
      </c>
      <c r="AB212" s="1620">
        <v>0.84705882352941175</v>
      </c>
      <c r="AC212" s="1620">
        <v>4.9764705882352951</v>
      </c>
      <c r="AD212" s="1620">
        <v>0.92941176470588238</v>
      </c>
      <c r="AE212" s="1620">
        <v>1.2715000000000001</v>
      </c>
      <c r="AF212" s="1620">
        <v>34.047058823529412</v>
      </c>
      <c r="AG212" s="1620">
        <v>3.0823529411764707</v>
      </c>
      <c r="AH212" s="1620">
        <v>23.294117647058822</v>
      </c>
      <c r="AI212" s="1620">
        <v>31.08235294117647</v>
      </c>
      <c r="AJ212" s="1620">
        <v>0</v>
      </c>
      <c r="AK212" s="1620">
        <v>0.03</v>
      </c>
      <c r="AL212" s="1620"/>
      <c r="AM212" s="1620">
        <v>3.7</v>
      </c>
      <c r="AN212" s="1620">
        <v>1.7</v>
      </c>
      <c r="AO212" s="1620">
        <v>2.35</v>
      </c>
      <c r="AP212" s="1620">
        <v>3.29</v>
      </c>
      <c r="AQ212" s="1620">
        <v>1.07</v>
      </c>
      <c r="AR212" s="1620">
        <v>3.48</v>
      </c>
      <c r="AS212" s="1620">
        <v>6.28</v>
      </c>
      <c r="AT212" s="1620">
        <v>2.2799999999999998</v>
      </c>
      <c r="AU212" s="1620">
        <v>4.49</v>
      </c>
      <c r="AV212" s="1620">
        <v>2.7</v>
      </c>
      <c r="AW212" s="1620">
        <v>4.67</v>
      </c>
      <c r="AX212" s="1620"/>
      <c r="AY212" s="1620">
        <v>0.97</v>
      </c>
      <c r="AZ212" s="1620">
        <v>1.04</v>
      </c>
      <c r="BA212" s="1620">
        <v>1.01</v>
      </c>
      <c r="BB212" s="1620">
        <v>0.88</v>
      </c>
      <c r="BC212" s="1620">
        <v>0.99</v>
      </c>
      <c r="BD212" s="1620">
        <v>1</v>
      </c>
      <c r="BE212" s="1620">
        <v>1.03</v>
      </c>
      <c r="BF212" s="1620">
        <v>1.03</v>
      </c>
      <c r="BG212" s="1620">
        <v>1.06</v>
      </c>
      <c r="BH212" s="1620">
        <v>1</v>
      </c>
      <c r="BI212" s="1620">
        <v>0.99</v>
      </c>
      <c r="BJ212" s="1603"/>
      <c r="BK212" s="1620">
        <v>9.1764705882352935</v>
      </c>
      <c r="BL212" s="1620">
        <v>2</v>
      </c>
      <c r="BM212" s="1620">
        <v>1.6470588235294117</v>
      </c>
      <c r="BN212" s="1620">
        <v>2.7058823529411762</v>
      </c>
      <c r="BO212" s="1620"/>
      <c r="BP212" s="1620">
        <v>105</v>
      </c>
      <c r="BQ212" s="1620">
        <v>21.000000000000004</v>
      </c>
      <c r="BR212" s="1620">
        <v>1.2974070050784539</v>
      </c>
      <c r="BS212" s="1620">
        <v>1.2872217282549381</v>
      </c>
      <c r="BT212" s="1603"/>
      <c r="BU212" s="1620">
        <v>983.52941176470586</v>
      </c>
      <c r="BV212" s="1620">
        <v>693.1909243697479</v>
      </c>
      <c r="BW212" s="1620">
        <v>87.112605042016853</v>
      </c>
      <c r="BX212" s="1620">
        <v>612.99999999999989</v>
      </c>
      <c r="BY212" s="1620">
        <v>32</v>
      </c>
      <c r="BZ212" s="1620">
        <v>39</v>
      </c>
      <c r="CA212" s="1620">
        <v>129</v>
      </c>
      <c r="CB212" s="1603"/>
      <c r="CC212" s="1603">
        <v>0.38999999999999996</v>
      </c>
      <c r="CD212" s="1603">
        <v>2.5</v>
      </c>
      <c r="CE212" s="1603">
        <v>9.9999999999999992E-2</v>
      </c>
      <c r="CF212" s="1603">
        <v>0.72</v>
      </c>
      <c r="CG212" s="1603">
        <v>4.2300000000000004</v>
      </c>
      <c r="CH212" s="1603">
        <v>0.79</v>
      </c>
      <c r="CI212" s="1603">
        <v>1.080775</v>
      </c>
      <c r="CJ212" s="1603"/>
      <c r="CK212" s="1603">
        <v>28.939999999999998</v>
      </c>
      <c r="CL212" s="1603">
        <v>2.62</v>
      </c>
      <c r="CM212" s="1603">
        <v>19.799999999999997</v>
      </c>
      <c r="CN212" s="1603">
        <v>26.419999999999998</v>
      </c>
      <c r="CO212" s="1603">
        <v>0</v>
      </c>
      <c r="CP212" s="1603">
        <v>2.5499999999999998E-2</v>
      </c>
      <c r="CQ212" s="1603">
        <v>60.06</v>
      </c>
      <c r="CR212" s="1603">
        <v>54.461570850805636</v>
      </c>
      <c r="CS212" s="1603">
        <v>1.9546257778354141</v>
      </c>
      <c r="CT212" s="1603">
        <v>0.96288057264224347</v>
      </c>
      <c r="CU212" s="1603">
        <v>1.2926453841438719</v>
      </c>
      <c r="CV212" s="1603">
        <v>2.2555259567861152</v>
      </c>
      <c r="CW212" s="1603">
        <v>1.5767713992725252</v>
      </c>
      <c r="CX212" s="1603">
        <v>0.57691142002258422</v>
      </c>
      <c r="CY212" s="1603">
        <v>1.8952626656080362</v>
      </c>
      <c r="CZ212" s="1603">
        <v>3.5227922489135119</v>
      </c>
      <c r="DA212" s="1603">
        <v>1.2789755298603194</v>
      </c>
      <c r="DB212" s="1603">
        <v>2.5920440030732435</v>
      </c>
      <c r="DC212" s="1603">
        <v>1.4704624129717523</v>
      </c>
      <c r="DD212" s="1603">
        <v>4.0625064160449957</v>
      </c>
      <c r="DE212" s="1603">
        <v>2.517921805145297</v>
      </c>
      <c r="DF212" s="1603">
        <v>0</v>
      </c>
      <c r="DG212" s="1603">
        <v>0</v>
      </c>
      <c r="DH212" s="1603">
        <v>0</v>
      </c>
      <c r="DI212" s="1603">
        <v>0</v>
      </c>
      <c r="DJ212" s="1603">
        <v>0</v>
      </c>
      <c r="DK212" s="1603">
        <v>0</v>
      </c>
      <c r="DL212" s="1603">
        <v>0</v>
      </c>
      <c r="DM212" s="1603">
        <v>0</v>
      </c>
      <c r="DN212" s="1603">
        <v>0</v>
      </c>
      <c r="DO212" s="1603">
        <v>0</v>
      </c>
      <c r="DP212" s="1603">
        <v>0</v>
      </c>
      <c r="DQ212" s="1603">
        <v>0</v>
      </c>
      <c r="DR212" s="1603">
        <v>0</v>
      </c>
      <c r="DS212" s="1603">
        <v>0</v>
      </c>
      <c r="DT212" s="1603">
        <v>0</v>
      </c>
      <c r="DU212" s="1603">
        <v>0</v>
      </c>
      <c r="DV212" s="1603">
        <v>0</v>
      </c>
      <c r="DW212" s="1618" t="s">
        <v>3209</v>
      </c>
      <c r="DX212" s="1605">
        <v>43</v>
      </c>
      <c r="DY212" s="1605">
        <v>43</v>
      </c>
      <c r="DZ212" s="1605">
        <v>22</v>
      </c>
      <c r="EA212" s="1605">
        <v>22</v>
      </c>
      <c r="EB212" s="1605" t="s">
        <v>986</v>
      </c>
      <c r="EC212" s="1605">
        <v>22</v>
      </c>
      <c r="ED212" s="1605">
        <v>22</v>
      </c>
      <c r="EE212" s="1605">
        <v>24</v>
      </c>
      <c r="EF212" s="1605">
        <v>22</v>
      </c>
      <c r="EG212" s="1605">
        <v>22</v>
      </c>
      <c r="EH212" s="1605" t="s">
        <v>986</v>
      </c>
      <c r="EI212" s="1605" t="s">
        <v>986</v>
      </c>
      <c r="EJ212" s="1605" t="s">
        <v>986</v>
      </c>
      <c r="EK212" s="1605" t="s">
        <v>986</v>
      </c>
      <c r="EL212" s="1605" t="s">
        <v>986</v>
      </c>
      <c r="EM212" s="1605" t="s">
        <v>986</v>
      </c>
      <c r="EN212" s="1605" t="s">
        <v>986</v>
      </c>
      <c r="EO212" s="1605" t="s">
        <v>986</v>
      </c>
      <c r="EP212" s="1605" t="s">
        <v>986</v>
      </c>
      <c r="EQ212" s="1605" t="s">
        <v>986</v>
      </c>
      <c r="ER212" s="1605" t="s">
        <v>986</v>
      </c>
      <c r="ES212" s="1605">
        <v>22</v>
      </c>
      <c r="ET212" s="1605">
        <v>43</v>
      </c>
      <c r="EU212" s="1605">
        <v>20</v>
      </c>
      <c r="EV212" s="1605">
        <v>8</v>
      </c>
      <c r="EW212" s="1605">
        <v>21</v>
      </c>
      <c r="EX212" s="1605">
        <v>21</v>
      </c>
      <c r="EY212" s="1605" t="s">
        <v>986</v>
      </c>
      <c r="EZ212" s="1605">
        <v>21</v>
      </c>
      <c r="FA212" s="1605">
        <v>21</v>
      </c>
      <c r="FB212" s="1605">
        <v>21</v>
      </c>
      <c r="FC212" s="1605">
        <v>21</v>
      </c>
      <c r="FD212" s="1605" t="s">
        <v>986</v>
      </c>
      <c r="FE212" s="1605" t="s">
        <v>986</v>
      </c>
      <c r="FF212" s="1605">
        <v>1.2970449419335282</v>
      </c>
      <c r="FG212" s="1605">
        <v>0.41915726426890559</v>
      </c>
      <c r="FH212" s="1605">
        <v>0.12148751510528104</v>
      </c>
      <c r="FI212" s="1605">
        <v>0.14082116378196541</v>
      </c>
      <c r="FJ212" s="1605" t="s">
        <v>986</v>
      </c>
      <c r="FK212" s="1605">
        <v>1.2778947902953779</v>
      </c>
      <c r="FL212" s="1605">
        <v>0.99691254574254218</v>
      </c>
      <c r="FM212" s="1605" t="s">
        <v>986</v>
      </c>
      <c r="FN212" s="1605">
        <v>1.7700858134045705</v>
      </c>
      <c r="FO212" s="1605">
        <v>1.4274878000090552</v>
      </c>
      <c r="FP212" s="1605" t="s">
        <v>986</v>
      </c>
      <c r="FQ212" s="1605" t="s">
        <v>986</v>
      </c>
      <c r="FR212" s="1605" t="s">
        <v>986</v>
      </c>
      <c r="FS212" s="1605" t="s">
        <v>986</v>
      </c>
      <c r="FT212" s="1605" t="s">
        <v>986</v>
      </c>
      <c r="FU212" s="1605" t="s">
        <v>986</v>
      </c>
      <c r="FV212" s="1605" t="s">
        <v>986</v>
      </c>
      <c r="FW212" s="1605" t="s">
        <v>986</v>
      </c>
      <c r="FX212" s="1605" t="s">
        <v>986</v>
      </c>
      <c r="FY212" s="1605" t="s">
        <v>986</v>
      </c>
      <c r="FZ212" s="1605" t="s">
        <v>986</v>
      </c>
      <c r="GA212" s="1605">
        <v>4.245589428249183E-2</v>
      </c>
      <c r="GB212" s="1605">
        <v>0.2077827346489797</v>
      </c>
      <c r="GC212" s="1605">
        <v>1.5308762962129448E-3</v>
      </c>
      <c r="GD212" s="1605">
        <v>8.917764424582425E-2</v>
      </c>
      <c r="GE212" s="1605">
        <v>0.53202663230394764</v>
      </c>
      <c r="GF212" s="1605">
        <v>7.9648407471404614E-2</v>
      </c>
      <c r="GG212" s="1605" t="s">
        <v>986</v>
      </c>
      <c r="GH212" s="1605">
        <v>6.9899467864082165</v>
      </c>
      <c r="GI212" s="1605">
        <v>0.42589798538224355</v>
      </c>
      <c r="GJ212" s="1605">
        <v>2.4529947098491327</v>
      </c>
      <c r="GK212" s="1605">
        <v>4.1782949044023319</v>
      </c>
      <c r="GL212" s="1605" t="s">
        <v>986</v>
      </c>
      <c r="GM212" s="1605" t="s">
        <v>986</v>
      </c>
      <c r="GN212" s="1605" t="s">
        <v>3027</v>
      </c>
      <c r="GO212" s="1605" t="s">
        <v>3027</v>
      </c>
      <c r="GP212" s="1605" t="s">
        <v>3027</v>
      </c>
      <c r="GQ212" s="1605" t="s">
        <v>3027</v>
      </c>
      <c r="GR212" s="1605" t="s">
        <v>3026</v>
      </c>
      <c r="GS212" s="1605" t="s">
        <v>3027</v>
      </c>
      <c r="GT212" s="1605" t="s">
        <v>3027</v>
      </c>
      <c r="GU212" s="1605" t="s">
        <v>3026</v>
      </c>
      <c r="GV212" s="1605" t="s">
        <v>3027</v>
      </c>
      <c r="GW212" s="1605" t="s">
        <v>3027</v>
      </c>
      <c r="GX212" s="1605" t="s">
        <v>3027</v>
      </c>
      <c r="GY212" s="1605" t="s">
        <v>3027</v>
      </c>
      <c r="GZ212" s="1605" t="s">
        <v>3027</v>
      </c>
      <c r="HA212" s="1605" t="s">
        <v>3027</v>
      </c>
      <c r="HB212" s="1605" t="s">
        <v>3026</v>
      </c>
      <c r="HC212" s="1605" t="s">
        <v>3027</v>
      </c>
      <c r="HD212" s="1605" t="s">
        <v>3027</v>
      </c>
      <c r="HE212" s="1605" t="s">
        <v>3027</v>
      </c>
      <c r="HF212" s="1605" t="s">
        <v>3027</v>
      </c>
      <c r="HG212" s="1605" t="s">
        <v>3027</v>
      </c>
      <c r="HH212" s="1605" t="s">
        <v>3027</v>
      </c>
      <c r="HI212" s="1605" t="s">
        <v>3027</v>
      </c>
      <c r="HJ212" s="1605" t="s">
        <v>3027</v>
      </c>
      <c r="HK212" s="1605" t="s">
        <v>3027</v>
      </c>
      <c r="HL212" s="1605" t="s">
        <v>1578</v>
      </c>
      <c r="HM212" s="1605" t="s">
        <v>3027</v>
      </c>
      <c r="HN212" s="1605" t="s">
        <v>3027</v>
      </c>
      <c r="HO212" s="1605" t="s">
        <v>986</v>
      </c>
      <c r="HP212" s="1605" t="s">
        <v>3027</v>
      </c>
      <c r="HQ212" s="1605" t="s">
        <v>3027</v>
      </c>
      <c r="HR212" s="1605" t="s">
        <v>3027</v>
      </c>
      <c r="HS212" s="1605" t="s">
        <v>3027</v>
      </c>
      <c r="HT212" s="1605" t="s">
        <v>3026</v>
      </c>
      <c r="HU212" s="1605" t="s">
        <v>3026</v>
      </c>
      <c r="HV212" s="1617"/>
      <c r="HW212" s="1617" t="s">
        <v>3221</v>
      </c>
      <c r="HX212" s="1617">
        <v>0</v>
      </c>
      <c r="HY212" s="1617" t="s">
        <v>3207</v>
      </c>
      <c r="HZ212" s="1603"/>
      <c r="IA212" s="1603"/>
      <c r="IB212" s="1603"/>
      <c r="IC212" s="1603">
        <v>56.357723577235802</v>
      </c>
      <c r="ID212" s="1603">
        <v>57.918699186991901</v>
      </c>
      <c r="IE212" s="1603">
        <v>59.219512195121901</v>
      </c>
      <c r="IF212" s="1603">
        <v>60</v>
      </c>
      <c r="IG212" s="1611" t="s">
        <v>3206</v>
      </c>
      <c r="IH212" s="1616" t="s">
        <v>3213</v>
      </c>
      <c r="II212" s="1615" t="s">
        <v>3212</v>
      </c>
      <c r="IJ212" s="1613">
        <v>0.41228409090909096</v>
      </c>
      <c r="IK212" s="1613">
        <v>0.41228409090909096</v>
      </c>
      <c r="IL212" s="1614">
        <v>0.41228409090909096</v>
      </c>
      <c r="IM212" s="1614">
        <v>0.41228409090909096</v>
      </c>
      <c r="IN212" s="1612">
        <v>0.57299999999999995</v>
      </c>
      <c r="IO212" s="1613">
        <v>0.16071590909090899</v>
      </c>
      <c r="IP212" s="1607" t="s">
        <v>270</v>
      </c>
      <c r="IQ212" s="1612">
        <v>2.1800000000000002</v>
      </c>
      <c r="IR212" s="1612">
        <v>5.2999999999999999E-2</v>
      </c>
      <c r="IS212" s="1607">
        <v>0.40828409090909096</v>
      </c>
      <c r="IT212" s="1607">
        <v>0.40828409090909096</v>
      </c>
      <c r="IU212" s="1611">
        <v>1.1363636363636365E-5</v>
      </c>
      <c r="IV212" s="1611">
        <v>2.7727272727272726E-3</v>
      </c>
      <c r="IW212" s="1611">
        <v>8.0681818181818177E-4</v>
      </c>
      <c r="IX212" s="1611">
        <v>1.0681818181818182E-3</v>
      </c>
      <c r="IY212" s="1611">
        <v>8.1818181818181816E-4</v>
      </c>
      <c r="IZ212" s="1611">
        <v>7.624999999999999E-3</v>
      </c>
      <c r="JA212" s="1611">
        <v>1.7045454545454544E-4</v>
      </c>
      <c r="JB212" s="1611" t="s">
        <v>270</v>
      </c>
      <c r="JC212" s="1611">
        <v>0.15605681818181819</v>
      </c>
      <c r="JD212" s="1611">
        <v>6.6249999999999998E-3</v>
      </c>
      <c r="JE212" s="1611" t="s">
        <v>270</v>
      </c>
      <c r="JF212" s="1611">
        <v>2.7272727272727268E-4</v>
      </c>
      <c r="JG212" s="1611">
        <v>4.1114204545454545</v>
      </c>
      <c r="JH212" s="1611">
        <v>2.2727272727272727E-4</v>
      </c>
      <c r="JI212" s="1611">
        <v>5.213636363636364E-2</v>
      </c>
      <c r="JJ212" s="1611" t="s">
        <v>270</v>
      </c>
      <c r="JK212" s="1607">
        <f t="shared" si="12"/>
        <v>4.0000000000000036E-3</v>
      </c>
      <c r="JL212" s="1608" t="s">
        <v>270</v>
      </c>
      <c r="JM212" s="1610" t="s">
        <v>2924</v>
      </c>
      <c r="JN212" s="1608">
        <v>0</v>
      </c>
      <c r="JO212" s="1609" t="s">
        <v>2923</v>
      </c>
      <c r="JP212" s="1608" t="s">
        <v>270</v>
      </c>
      <c r="JQ212" s="1607">
        <v>202103</v>
      </c>
      <c r="JR212" s="1606">
        <v>544</v>
      </c>
      <c r="JS212" s="1606">
        <v>492</v>
      </c>
      <c r="JT212" s="1606">
        <v>492</v>
      </c>
    </row>
    <row r="213" spans="1:280" ht="15" customHeight="1" x14ac:dyDescent="0.2">
      <c r="A213" s="1626">
        <v>52011</v>
      </c>
      <c r="B213" s="1625">
        <v>520</v>
      </c>
      <c r="C213" s="1624">
        <v>11</v>
      </c>
      <c r="D213" s="1623" t="s">
        <v>3222</v>
      </c>
      <c r="E213" s="1622">
        <v>44497</v>
      </c>
      <c r="F213" s="1620">
        <v>1.1112918892760357</v>
      </c>
      <c r="G213" s="1620">
        <v>1.1001098975881263</v>
      </c>
      <c r="H213" s="1621">
        <v>89.8</v>
      </c>
      <c r="I213" s="1621">
        <v>84.3</v>
      </c>
      <c r="J213" s="1621">
        <v>90</v>
      </c>
      <c r="K213" s="1620">
        <v>1</v>
      </c>
      <c r="L213" s="1620">
        <v>85</v>
      </c>
      <c r="M213" s="1620">
        <v>7.8</v>
      </c>
      <c r="N213" s="1620">
        <v>1.7</v>
      </c>
      <c r="O213" s="1620">
        <v>1.4</v>
      </c>
      <c r="P213" s="1620">
        <v>2.2999999999999998</v>
      </c>
      <c r="Q213" s="1603"/>
      <c r="R213" s="1620">
        <v>77</v>
      </c>
      <c r="S213" s="1620">
        <v>28</v>
      </c>
      <c r="T213" s="1620">
        <v>41.008130081300799</v>
      </c>
      <c r="U213" s="1620">
        <v>46.211382113821102</v>
      </c>
      <c r="V213" s="1620">
        <v>50.894308943089399</v>
      </c>
      <c r="W213" s="1620">
        <v>54.016260162601597</v>
      </c>
      <c r="X213" s="1620"/>
      <c r="Y213" s="1620">
        <v>0.45882352941176469</v>
      </c>
      <c r="Z213" s="1620">
        <v>2.9411764705882355</v>
      </c>
      <c r="AA213" s="1620">
        <v>0.11764705882352941</v>
      </c>
      <c r="AB213" s="1620">
        <v>0.84705882352941175</v>
      </c>
      <c r="AC213" s="1620">
        <v>4.9764705882352951</v>
      </c>
      <c r="AD213" s="1620">
        <v>0.92941176470588238</v>
      </c>
      <c r="AE213" s="1620">
        <v>1.2715000000000001</v>
      </c>
      <c r="AF213" s="1620">
        <v>34.047058823529412</v>
      </c>
      <c r="AG213" s="1620">
        <v>3.0823529411764707</v>
      </c>
      <c r="AH213" s="1620">
        <v>23.294117647058822</v>
      </c>
      <c r="AI213" s="1620">
        <v>31.08235294117647</v>
      </c>
      <c r="AJ213" s="1620">
        <v>0</v>
      </c>
      <c r="AK213" s="1620">
        <v>0.03</v>
      </c>
      <c r="AL213" s="1620"/>
      <c r="AM213" s="1620">
        <v>3.7</v>
      </c>
      <c r="AN213" s="1620">
        <v>1.7</v>
      </c>
      <c r="AO213" s="1620">
        <v>2.35</v>
      </c>
      <c r="AP213" s="1620">
        <v>3.29</v>
      </c>
      <c r="AQ213" s="1620">
        <v>1.07</v>
      </c>
      <c r="AR213" s="1620">
        <v>3.48</v>
      </c>
      <c r="AS213" s="1620">
        <v>6.28</v>
      </c>
      <c r="AT213" s="1620">
        <v>2.2799999999999998</v>
      </c>
      <c r="AU213" s="1620">
        <v>4.49</v>
      </c>
      <c r="AV213" s="1620">
        <v>2.7</v>
      </c>
      <c r="AW213" s="1620">
        <v>4.67</v>
      </c>
      <c r="AX213" s="1620"/>
      <c r="AY213" s="1620">
        <v>0.97</v>
      </c>
      <c r="AZ213" s="1620">
        <v>1.04</v>
      </c>
      <c r="BA213" s="1620">
        <v>1.01</v>
      </c>
      <c r="BB213" s="1620">
        <v>0.88</v>
      </c>
      <c r="BC213" s="1620">
        <v>0.99</v>
      </c>
      <c r="BD213" s="1620">
        <v>1</v>
      </c>
      <c r="BE213" s="1620">
        <v>1.03</v>
      </c>
      <c r="BF213" s="1620">
        <v>1.03</v>
      </c>
      <c r="BG213" s="1620">
        <v>1.06</v>
      </c>
      <c r="BH213" s="1620">
        <v>1</v>
      </c>
      <c r="BI213" s="1620">
        <v>0.99</v>
      </c>
      <c r="BJ213" s="1603"/>
      <c r="BK213" s="1620">
        <v>9.1764705882352935</v>
      </c>
      <c r="BL213" s="1620">
        <v>2</v>
      </c>
      <c r="BM213" s="1620">
        <v>1.6470588235294117</v>
      </c>
      <c r="BN213" s="1620">
        <v>2.7058823529411762</v>
      </c>
      <c r="BO213" s="1620"/>
      <c r="BP213" s="1620">
        <v>105</v>
      </c>
      <c r="BQ213" s="1620">
        <v>21.000000000000004</v>
      </c>
      <c r="BR213" s="1620">
        <v>1.3074022226776889</v>
      </c>
      <c r="BS213" s="1620">
        <v>1.2942469383389721</v>
      </c>
      <c r="BT213" s="1603"/>
      <c r="BU213" s="1620">
        <v>983.52941176470586</v>
      </c>
      <c r="BV213" s="1620">
        <v>703.026218487395</v>
      </c>
      <c r="BW213" s="1620">
        <v>77.277310924369743</v>
      </c>
      <c r="BX213" s="1620">
        <v>612.99999999999989</v>
      </c>
      <c r="BY213" s="1620">
        <v>32</v>
      </c>
      <c r="BZ213" s="1620">
        <v>39</v>
      </c>
      <c r="CA213" s="1620">
        <v>129</v>
      </c>
      <c r="CB213" s="1603"/>
      <c r="CC213" s="1603">
        <v>0.38999999999999996</v>
      </c>
      <c r="CD213" s="1603">
        <v>2.5</v>
      </c>
      <c r="CE213" s="1603">
        <v>9.9999999999999992E-2</v>
      </c>
      <c r="CF213" s="1603">
        <v>0.72</v>
      </c>
      <c r="CG213" s="1603">
        <v>4.2300000000000004</v>
      </c>
      <c r="CH213" s="1603">
        <v>0.79</v>
      </c>
      <c r="CI213" s="1603">
        <v>1.080775</v>
      </c>
      <c r="CJ213" s="1603"/>
      <c r="CK213" s="1603">
        <v>28.939999999999998</v>
      </c>
      <c r="CL213" s="1603">
        <v>2.62</v>
      </c>
      <c r="CM213" s="1603">
        <v>19.799999999999997</v>
      </c>
      <c r="CN213" s="1603">
        <v>26.419999999999998</v>
      </c>
      <c r="CO213" s="1603">
        <v>0</v>
      </c>
      <c r="CP213" s="1603">
        <v>2.5499999999999998E-2</v>
      </c>
      <c r="CQ213" s="1603">
        <v>60.06</v>
      </c>
      <c r="CR213" s="1603">
        <v>54.045206826018322</v>
      </c>
      <c r="CS213" s="1603">
        <v>1.9396824729857975</v>
      </c>
      <c r="CT213" s="1603">
        <v>0.95551925668400373</v>
      </c>
      <c r="CU213" s="1603">
        <v>1.2827629840155448</v>
      </c>
      <c r="CV213" s="1603">
        <v>2.2382822406995486</v>
      </c>
      <c r="CW213" s="1603">
        <v>1.5647168280268828</v>
      </c>
      <c r="CX213" s="1603">
        <v>0.57250087590801213</v>
      </c>
      <c r="CY213" s="1603">
        <v>1.8807731975454376</v>
      </c>
      <c r="CZ213" s="1603">
        <v>3.4958601583341693</v>
      </c>
      <c r="DA213" s="1603">
        <v>1.269197637102214</v>
      </c>
      <c r="DB213" s="1603">
        <v>2.572227573677516</v>
      </c>
      <c r="DC213" s="1603">
        <v>1.4592205843024948</v>
      </c>
      <c r="DD213" s="1603">
        <v>4.0314481579800105</v>
      </c>
      <c r="DE213" s="1603">
        <v>2.4986720471873052</v>
      </c>
      <c r="DF213" s="1603">
        <v>0</v>
      </c>
      <c r="DG213" s="1603">
        <v>0</v>
      </c>
      <c r="DH213" s="1603">
        <v>0</v>
      </c>
      <c r="DI213" s="1603">
        <v>0</v>
      </c>
      <c r="DJ213" s="1603">
        <v>0</v>
      </c>
      <c r="DK213" s="1603">
        <v>0</v>
      </c>
      <c r="DL213" s="1603">
        <v>0</v>
      </c>
      <c r="DM213" s="1603">
        <v>0</v>
      </c>
      <c r="DN213" s="1603">
        <v>0</v>
      </c>
      <c r="DO213" s="1603">
        <v>0</v>
      </c>
      <c r="DP213" s="1603">
        <v>0</v>
      </c>
      <c r="DQ213" s="1603">
        <v>0</v>
      </c>
      <c r="DR213" s="1603">
        <v>0</v>
      </c>
      <c r="DS213" s="1603">
        <v>0</v>
      </c>
      <c r="DT213" s="1603">
        <v>0</v>
      </c>
      <c r="DU213" s="1603">
        <v>0</v>
      </c>
      <c r="DV213" s="1603">
        <v>0</v>
      </c>
      <c r="DW213" s="1618" t="s">
        <v>3209</v>
      </c>
      <c r="DX213" s="1605">
        <v>43</v>
      </c>
      <c r="DY213" s="1605">
        <v>43</v>
      </c>
      <c r="DZ213" s="1605">
        <v>22</v>
      </c>
      <c r="EA213" s="1605">
        <v>22</v>
      </c>
      <c r="EB213" s="1605" t="s">
        <v>986</v>
      </c>
      <c r="EC213" s="1605">
        <v>22</v>
      </c>
      <c r="ED213" s="1605">
        <v>22</v>
      </c>
      <c r="EE213" s="1605">
        <v>24</v>
      </c>
      <c r="EF213" s="1605">
        <v>22</v>
      </c>
      <c r="EG213" s="1605">
        <v>22</v>
      </c>
      <c r="EH213" s="1605" t="s">
        <v>986</v>
      </c>
      <c r="EI213" s="1605" t="s">
        <v>986</v>
      </c>
      <c r="EJ213" s="1605" t="s">
        <v>986</v>
      </c>
      <c r="EK213" s="1605" t="s">
        <v>986</v>
      </c>
      <c r="EL213" s="1605" t="s">
        <v>986</v>
      </c>
      <c r="EM213" s="1605" t="s">
        <v>986</v>
      </c>
      <c r="EN213" s="1605" t="s">
        <v>986</v>
      </c>
      <c r="EO213" s="1605" t="s">
        <v>986</v>
      </c>
      <c r="EP213" s="1605" t="s">
        <v>986</v>
      </c>
      <c r="EQ213" s="1605" t="s">
        <v>986</v>
      </c>
      <c r="ER213" s="1605" t="s">
        <v>986</v>
      </c>
      <c r="ES213" s="1605">
        <v>22</v>
      </c>
      <c r="ET213" s="1605">
        <v>43</v>
      </c>
      <c r="EU213" s="1605">
        <v>20</v>
      </c>
      <c r="EV213" s="1605">
        <v>8</v>
      </c>
      <c r="EW213" s="1605">
        <v>21</v>
      </c>
      <c r="EX213" s="1605">
        <v>21</v>
      </c>
      <c r="EY213" s="1605" t="s">
        <v>986</v>
      </c>
      <c r="EZ213" s="1605">
        <v>21</v>
      </c>
      <c r="FA213" s="1605">
        <v>21</v>
      </c>
      <c r="FB213" s="1605">
        <v>21</v>
      </c>
      <c r="FC213" s="1605">
        <v>21</v>
      </c>
      <c r="FD213" s="1605" t="s">
        <v>986</v>
      </c>
      <c r="FE213" s="1605" t="s">
        <v>986</v>
      </c>
      <c r="FF213" s="1605">
        <v>1.2970449419335282</v>
      </c>
      <c r="FG213" s="1605">
        <v>0.41915726426890559</v>
      </c>
      <c r="FH213" s="1605">
        <v>0.12148751510528104</v>
      </c>
      <c r="FI213" s="1605">
        <v>0.14082116378196541</v>
      </c>
      <c r="FJ213" s="1605" t="s">
        <v>986</v>
      </c>
      <c r="FK213" s="1605">
        <v>1.2778947902953779</v>
      </c>
      <c r="FL213" s="1605">
        <v>0.99691254574254218</v>
      </c>
      <c r="FM213" s="1605" t="s">
        <v>986</v>
      </c>
      <c r="FN213" s="1605">
        <v>1.7700858134045705</v>
      </c>
      <c r="FO213" s="1605">
        <v>1.4274878000090552</v>
      </c>
      <c r="FP213" s="1605" t="s">
        <v>986</v>
      </c>
      <c r="FQ213" s="1605" t="s">
        <v>986</v>
      </c>
      <c r="FR213" s="1605" t="s">
        <v>986</v>
      </c>
      <c r="FS213" s="1605" t="s">
        <v>986</v>
      </c>
      <c r="FT213" s="1605" t="s">
        <v>986</v>
      </c>
      <c r="FU213" s="1605" t="s">
        <v>986</v>
      </c>
      <c r="FV213" s="1605" t="s">
        <v>986</v>
      </c>
      <c r="FW213" s="1605" t="s">
        <v>986</v>
      </c>
      <c r="FX213" s="1605" t="s">
        <v>986</v>
      </c>
      <c r="FY213" s="1605" t="s">
        <v>986</v>
      </c>
      <c r="FZ213" s="1605" t="s">
        <v>986</v>
      </c>
      <c r="GA213" s="1605">
        <v>4.245589428249183E-2</v>
      </c>
      <c r="GB213" s="1605">
        <v>0.2077827346489797</v>
      </c>
      <c r="GC213" s="1605">
        <v>1.5308762962129448E-3</v>
      </c>
      <c r="GD213" s="1605">
        <v>8.917764424582425E-2</v>
      </c>
      <c r="GE213" s="1605">
        <v>0.53202663230394764</v>
      </c>
      <c r="GF213" s="1605">
        <v>7.9648407471404614E-2</v>
      </c>
      <c r="GG213" s="1605" t="s">
        <v>986</v>
      </c>
      <c r="GH213" s="1605">
        <v>6.9899467864082165</v>
      </c>
      <c r="GI213" s="1605">
        <v>0.42589798538224355</v>
      </c>
      <c r="GJ213" s="1605">
        <v>2.4529947098491327</v>
      </c>
      <c r="GK213" s="1605">
        <v>4.1782949044023319</v>
      </c>
      <c r="GL213" s="1605" t="s">
        <v>986</v>
      </c>
      <c r="GM213" s="1605" t="s">
        <v>986</v>
      </c>
      <c r="GN213" s="1605" t="s">
        <v>3027</v>
      </c>
      <c r="GO213" s="1605" t="s">
        <v>3027</v>
      </c>
      <c r="GP213" s="1605" t="s">
        <v>3027</v>
      </c>
      <c r="GQ213" s="1605" t="s">
        <v>3027</v>
      </c>
      <c r="GR213" s="1605" t="s">
        <v>3026</v>
      </c>
      <c r="GS213" s="1605" t="s">
        <v>3027</v>
      </c>
      <c r="GT213" s="1605" t="s">
        <v>3027</v>
      </c>
      <c r="GU213" s="1605" t="s">
        <v>3026</v>
      </c>
      <c r="GV213" s="1605" t="s">
        <v>3027</v>
      </c>
      <c r="GW213" s="1605" t="s">
        <v>3027</v>
      </c>
      <c r="GX213" s="1605" t="s">
        <v>3027</v>
      </c>
      <c r="GY213" s="1605" t="s">
        <v>3027</v>
      </c>
      <c r="GZ213" s="1605" t="s">
        <v>3027</v>
      </c>
      <c r="HA213" s="1605" t="s">
        <v>3027</v>
      </c>
      <c r="HB213" s="1605" t="s">
        <v>3026</v>
      </c>
      <c r="HC213" s="1605" t="s">
        <v>3027</v>
      </c>
      <c r="HD213" s="1605" t="s">
        <v>3027</v>
      </c>
      <c r="HE213" s="1605" t="s">
        <v>3027</v>
      </c>
      <c r="HF213" s="1605" t="s">
        <v>3027</v>
      </c>
      <c r="HG213" s="1605" t="s">
        <v>3027</v>
      </c>
      <c r="HH213" s="1605" t="s">
        <v>3027</v>
      </c>
      <c r="HI213" s="1605" t="s">
        <v>3027</v>
      </c>
      <c r="HJ213" s="1605" t="s">
        <v>3027</v>
      </c>
      <c r="HK213" s="1605" t="s">
        <v>3027</v>
      </c>
      <c r="HL213" s="1605" t="s">
        <v>1578</v>
      </c>
      <c r="HM213" s="1605" t="s">
        <v>3027</v>
      </c>
      <c r="HN213" s="1605" t="s">
        <v>3027</v>
      </c>
      <c r="HO213" s="1605" t="s">
        <v>986</v>
      </c>
      <c r="HP213" s="1605" t="s">
        <v>3027</v>
      </c>
      <c r="HQ213" s="1605" t="s">
        <v>3027</v>
      </c>
      <c r="HR213" s="1605" t="s">
        <v>3027</v>
      </c>
      <c r="HS213" s="1605" t="s">
        <v>3027</v>
      </c>
      <c r="HT213" s="1605" t="s">
        <v>3026</v>
      </c>
      <c r="HU213" s="1605" t="s">
        <v>3026</v>
      </c>
      <c r="HV213" s="1617"/>
      <c r="HW213" s="1617" t="s">
        <v>3221</v>
      </c>
      <c r="HX213" s="1617">
        <v>0</v>
      </c>
      <c r="HY213" s="1617" t="s">
        <v>3207</v>
      </c>
      <c r="HZ213" s="1603"/>
      <c r="IA213" s="1603"/>
      <c r="IB213" s="1603"/>
      <c r="IC213" s="1603">
        <v>56.357723577235802</v>
      </c>
      <c r="ID213" s="1603">
        <v>57.918699186991901</v>
      </c>
      <c r="IE213" s="1603">
        <v>59.219512195121901</v>
      </c>
      <c r="IF213" s="1603">
        <v>60</v>
      </c>
      <c r="IG213" s="1611" t="s">
        <v>3206</v>
      </c>
      <c r="IH213" s="1616" t="s">
        <v>3213</v>
      </c>
      <c r="II213" s="1615" t="s">
        <v>3212</v>
      </c>
      <c r="IJ213" s="1613">
        <v>0.41228409090909096</v>
      </c>
      <c r="IK213" s="1613">
        <v>0.41228409090909096</v>
      </c>
      <c r="IL213" s="1614">
        <v>0.41228409090909096</v>
      </c>
      <c r="IM213" s="1614">
        <v>0.41228409090909096</v>
      </c>
      <c r="IN213" s="1612">
        <v>0.57299999999999995</v>
      </c>
      <c r="IO213" s="1613">
        <v>0.16071590909090899</v>
      </c>
      <c r="IP213" s="1607" t="s">
        <v>270</v>
      </c>
      <c r="IQ213" s="1612">
        <v>2.1800000000000002</v>
      </c>
      <c r="IR213" s="1612">
        <v>5.2999999999999999E-2</v>
      </c>
      <c r="IS213" s="1607">
        <v>0.40828409090909096</v>
      </c>
      <c r="IT213" s="1607">
        <v>0.40828409090909096</v>
      </c>
      <c r="IU213" s="1611">
        <v>1.1363636363636365E-5</v>
      </c>
      <c r="IV213" s="1611">
        <v>2.7727272727272726E-3</v>
      </c>
      <c r="IW213" s="1611">
        <v>8.0681818181818177E-4</v>
      </c>
      <c r="IX213" s="1611">
        <v>1.0681818181818182E-3</v>
      </c>
      <c r="IY213" s="1611">
        <v>8.1818181818181816E-4</v>
      </c>
      <c r="IZ213" s="1611">
        <v>7.624999999999999E-3</v>
      </c>
      <c r="JA213" s="1611">
        <v>1.7045454545454544E-4</v>
      </c>
      <c r="JB213" s="1611" t="s">
        <v>270</v>
      </c>
      <c r="JC213" s="1611">
        <v>0.15605681818181819</v>
      </c>
      <c r="JD213" s="1611">
        <v>6.6249999999999998E-3</v>
      </c>
      <c r="JE213" s="1611" t="s">
        <v>270</v>
      </c>
      <c r="JF213" s="1611">
        <v>2.7272727272727268E-4</v>
      </c>
      <c r="JG213" s="1611">
        <v>4.1114204545454545</v>
      </c>
      <c r="JH213" s="1611">
        <v>2.2727272727272727E-4</v>
      </c>
      <c r="JI213" s="1611">
        <v>5.213636363636364E-2</v>
      </c>
      <c r="JJ213" s="1611" t="s">
        <v>270</v>
      </c>
      <c r="JK213" s="1607">
        <f t="shared" si="12"/>
        <v>4.0000000000000036E-3</v>
      </c>
      <c r="JL213" s="1608" t="s">
        <v>270</v>
      </c>
      <c r="JM213" s="1610" t="s">
        <v>2924</v>
      </c>
      <c r="JN213" s="1608">
        <v>0</v>
      </c>
      <c r="JO213" s="1609" t="s">
        <v>2923</v>
      </c>
      <c r="JP213" s="1608" t="s">
        <v>270</v>
      </c>
      <c r="JQ213" s="1607">
        <v>202103</v>
      </c>
      <c r="JR213" s="1606">
        <v>544</v>
      </c>
      <c r="JS213" s="1606">
        <v>492</v>
      </c>
      <c r="JT213" s="1606">
        <v>492</v>
      </c>
    </row>
    <row r="214" spans="1:280" ht="15" customHeight="1" x14ac:dyDescent="0.2">
      <c r="A214" s="1626">
        <v>52100</v>
      </c>
      <c r="B214" s="1625">
        <v>521</v>
      </c>
      <c r="C214" s="1624">
        <v>0</v>
      </c>
      <c r="D214" s="1623" t="s">
        <v>3220</v>
      </c>
      <c r="E214" s="1622">
        <v>44497</v>
      </c>
      <c r="F214" s="1620">
        <v>1.0998684185056142</v>
      </c>
      <c r="G214" s="1620">
        <v>1.088882897959184</v>
      </c>
      <c r="H214" s="1621">
        <v>88.7</v>
      </c>
      <c r="I214" s="1621">
        <v>83.9</v>
      </c>
      <c r="J214" s="1621">
        <v>90</v>
      </c>
      <c r="K214" s="1620">
        <v>1</v>
      </c>
      <c r="L214" s="1620">
        <v>85</v>
      </c>
      <c r="M214" s="1620">
        <v>8</v>
      </c>
      <c r="N214" s="1620">
        <v>1.7</v>
      </c>
      <c r="O214" s="1620">
        <v>1.5</v>
      </c>
      <c r="P214" s="1620">
        <v>2.2999999999999998</v>
      </c>
      <c r="Q214" s="1603"/>
      <c r="R214" s="1620">
        <v>77</v>
      </c>
      <c r="S214" s="1620">
        <v>50</v>
      </c>
      <c r="T214" s="1620">
        <v>54.065040650406502</v>
      </c>
      <c r="U214" s="1620">
        <v>55.691056910569102</v>
      </c>
      <c r="V214" s="1620">
        <v>57.154471544715399</v>
      </c>
      <c r="W214" s="1620">
        <v>58.130081300813004</v>
      </c>
      <c r="X214" s="1620"/>
      <c r="Y214" s="1620">
        <v>0.47058823529411764</v>
      </c>
      <c r="Z214" s="1620">
        <v>3.0588235294117645</v>
      </c>
      <c r="AA214" s="1620">
        <v>0.11764705882352941</v>
      </c>
      <c r="AB214" s="1620">
        <v>0.84765177548682702</v>
      </c>
      <c r="AC214" s="1620">
        <v>5.2588235294117647</v>
      </c>
      <c r="AD214" s="1620">
        <v>0.96470588235294119</v>
      </c>
      <c r="AE214" s="1620">
        <v>1.2714776632302354</v>
      </c>
      <c r="AF214" s="1620">
        <v>33.317647058823532</v>
      </c>
      <c r="AG214" s="1620">
        <v>2.952941176470588</v>
      </c>
      <c r="AH214" s="1620">
        <v>24.776470588235295</v>
      </c>
      <c r="AI214" s="1620">
        <v>31.870588235294118</v>
      </c>
      <c r="AJ214" s="1620">
        <v>0</v>
      </c>
      <c r="AK214" s="1620">
        <v>0.03</v>
      </c>
      <c r="AL214" s="1620"/>
      <c r="AM214" s="1620">
        <v>3.7</v>
      </c>
      <c r="AN214" s="1620">
        <v>1.7</v>
      </c>
      <c r="AO214" s="1620">
        <v>2.35</v>
      </c>
      <c r="AP214" s="1620">
        <v>3.29</v>
      </c>
      <c r="AQ214" s="1620">
        <v>1.07</v>
      </c>
      <c r="AR214" s="1620">
        <v>3.48</v>
      </c>
      <c r="AS214" s="1620">
        <v>6.28</v>
      </c>
      <c r="AT214" s="1620">
        <v>2.2799999999999998</v>
      </c>
      <c r="AU214" s="1620">
        <v>4.49</v>
      </c>
      <c r="AV214" s="1620">
        <v>2.7</v>
      </c>
      <c r="AW214" s="1620">
        <v>4.67</v>
      </c>
      <c r="AX214" s="1620"/>
      <c r="AY214" s="1620">
        <v>0.97</v>
      </c>
      <c r="AZ214" s="1620">
        <v>1.04</v>
      </c>
      <c r="BA214" s="1620">
        <v>1.01</v>
      </c>
      <c r="BB214" s="1620">
        <v>0.88</v>
      </c>
      <c r="BC214" s="1620">
        <v>0.99</v>
      </c>
      <c r="BD214" s="1620">
        <v>1</v>
      </c>
      <c r="BE214" s="1620">
        <v>1.03</v>
      </c>
      <c r="BF214" s="1620">
        <v>1.03</v>
      </c>
      <c r="BG214" s="1620">
        <v>1.06</v>
      </c>
      <c r="BH214" s="1620">
        <v>1</v>
      </c>
      <c r="BI214" s="1620">
        <v>0.99</v>
      </c>
      <c r="BJ214" s="1603"/>
      <c r="BK214" s="1620">
        <v>9.4117647058823533</v>
      </c>
      <c r="BL214" s="1620">
        <v>2</v>
      </c>
      <c r="BM214" s="1620">
        <v>1.7647058823529411</v>
      </c>
      <c r="BN214" s="1620">
        <v>2.7058823529411762</v>
      </c>
      <c r="BO214" s="1620"/>
      <c r="BP214" s="1620">
        <v>105</v>
      </c>
      <c r="BQ214" s="1620">
        <v>21.000000000000004</v>
      </c>
      <c r="BR214" s="1620">
        <v>1.2939628453007226</v>
      </c>
      <c r="BS214" s="1620">
        <v>1.2810387034813928</v>
      </c>
      <c r="BT214" s="1603"/>
      <c r="BU214" s="1620">
        <v>982.35294117647061</v>
      </c>
      <c r="BV214" s="1620">
        <v>698.93865546218512</v>
      </c>
      <c r="BW214" s="1620">
        <v>67.361344537815086</v>
      </c>
      <c r="BX214" s="1620">
        <v>612.99999999999989</v>
      </c>
      <c r="BY214" s="1620">
        <v>32</v>
      </c>
      <c r="BZ214" s="1620">
        <v>39</v>
      </c>
      <c r="CA214" s="1620">
        <v>129</v>
      </c>
      <c r="CB214" s="1603"/>
      <c r="CC214" s="1603">
        <v>0.39999999999999997</v>
      </c>
      <c r="CD214" s="1603">
        <v>2.5999999999999996</v>
      </c>
      <c r="CE214" s="1603">
        <v>9.9999999999999992E-2</v>
      </c>
      <c r="CF214" s="1603">
        <v>0.72050400916380297</v>
      </c>
      <c r="CG214" s="1603">
        <v>4.47</v>
      </c>
      <c r="CH214" s="1603">
        <v>0.82</v>
      </c>
      <c r="CI214" s="1603">
        <v>1.0807560137457</v>
      </c>
      <c r="CJ214" s="1603"/>
      <c r="CK214" s="1603">
        <v>28.32</v>
      </c>
      <c r="CL214" s="1603">
        <v>2.5099999999999998</v>
      </c>
      <c r="CM214" s="1603">
        <v>21.06</v>
      </c>
      <c r="CN214" s="1603">
        <v>27.09</v>
      </c>
      <c r="CO214" s="1603">
        <v>0</v>
      </c>
      <c r="CP214" s="1603">
        <v>2.5499999999999998E-2</v>
      </c>
      <c r="CQ214" s="1603">
        <v>61.6</v>
      </c>
      <c r="CR214" s="1603">
        <v>56.006699495650231</v>
      </c>
      <c r="CS214" s="1603">
        <v>2.0100804448988869</v>
      </c>
      <c r="CT214" s="1603">
        <v>0.99019844708309612</v>
      </c>
      <c r="CU214" s="1603">
        <v>1.329319012529258</v>
      </c>
      <c r="CV214" s="1603">
        <v>2.3195174596123542</v>
      </c>
      <c r="CW214" s="1603">
        <v>1.6215059637980656</v>
      </c>
      <c r="CX214" s="1603">
        <v>0.59327896775742295</v>
      </c>
      <c r="CY214" s="1603">
        <v>1.9490331424486278</v>
      </c>
      <c r="CZ214" s="1603">
        <v>3.6227373501766396</v>
      </c>
      <c r="DA214" s="1603">
        <v>1.3152613309558498</v>
      </c>
      <c r="DB214" s="1603">
        <v>2.6655828557959778</v>
      </c>
      <c r="DC214" s="1603">
        <v>1.5121808863825563</v>
      </c>
      <c r="DD214" s="1603">
        <v>4.1777637421785343</v>
      </c>
      <c r="DE214" s="1603">
        <v>2.5893577377823975</v>
      </c>
      <c r="DF214" s="1603">
        <v>0</v>
      </c>
      <c r="DG214" s="1603">
        <v>0</v>
      </c>
      <c r="DH214" s="1603">
        <v>0</v>
      </c>
      <c r="DI214" s="1603">
        <v>0</v>
      </c>
      <c r="DJ214" s="1603">
        <v>0</v>
      </c>
      <c r="DK214" s="1603">
        <v>0</v>
      </c>
      <c r="DL214" s="1603">
        <v>0</v>
      </c>
      <c r="DM214" s="1603">
        <v>0</v>
      </c>
      <c r="DN214" s="1603">
        <v>0</v>
      </c>
      <c r="DO214" s="1603">
        <v>0</v>
      </c>
      <c r="DP214" s="1603">
        <v>0</v>
      </c>
      <c r="DQ214" s="1603">
        <v>0</v>
      </c>
      <c r="DR214" s="1603">
        <v>0</v>
      </c>
      <c r="DS214" s="1603">
        <v>0</v>
      </c>
      <c r="DT214" s="1603">
        <v>0</v>
      </c>
      <c r="DU214" s="1603">
        <v>0</v>
      </c>
      <c r="DV214" s="1603">
        <v>0</v>
      </c>
      <c r="DW214" s="1618" t="s">
        <v>3209</v>
      </c>
      <c r="DX214" s="1605">
        <v>14</v>
      </c>
      <c r="DY214" s="1605">
        <v>14</v>
      </c>
      <c r="DZ214" s="1605">
        <v>7</v>
      </c>
      <c r="EA214" s="1605">
        <v>7</v>
      </c>
      <c r="EB214" s="1605" t="s">
        <v>986</v>
      </c>
      <c r="EC214" s="1605">
        <v>7</v>
      </c>
      <c r="ED214" s="1605">
        <v>7</v>
      </c>
      <c r="EE214" s="1605">
        <v>8</v>
      </c>
      <c r="EF214" s="1605">
        <v>7</v>
      </c>
      <c r="EG214" s="1605">
        <v>7</v>
      </c>
      <c r="EH214" s="1605" t="s">
        <v>986</v>
      </c>
      <c r="EI214" s="1605" t="s">
        <v>986</v>
      </c>
      <c r="EJ214" s="1605" t="s">
        <v>986</v>
      </c>
      <c r="EK214" s="1605" t="s">
        <v>986</v>
      </c>
      <c r="EL214" s="1605" t="s">
        <v>986</v>
      </c>
      <c r="EM214" s="1605" t="s">
        <v>986</v>
      </c>
      <c r="EN214" s="1605" t="s">
        <v>986</v>
      </c>
      <c r="EO214" s="1605" t="s">
        <v>986</v>
      </c>
      <c r="EP214" s="1605" t="s">
        <v>986</v>
      </c>
      <c r="EQ214" s="1605" t="s">
        <v>986</v>
      </c>
      <c r="ER214" s="1605" t="s">
        <v>986</v>
      </c>
      <c r="ES214" s="1605">
        <v>7</v>
      </c>
      <c r="ET214" s="1605">
        <v>14</v>
      </c>
      <c r="EU214" s="1605">
        <v>6</v>
      </c>
      <c r="EV214" s="1605">
        <v>8</v>
      </c>
      <c r="EW214" s="1605">
        <v>7</v>
      </c>
      <c r="EX214" s="1605">
        <v>7</v>
      </c>
      <c r="EY214" s="1605" t="s">
        <v>986</v>
      </c>
      <c r="EZ214" s="1605">
        <v>7</v>
      </c>
      <c r="FA214" s="1605">
        <v>7</v>
      </c>
      <c r="FB214" s="1605">
        <v>7</v>
      </c>
      <c r="FC214" s="1605">
        <v>7</v>
      </c>
      <c r="FD214" s="1605" t="s">
        <v>986</v>
      </c>
      <c r="FE214" s="1605" t="s">
        <v>986</v>
      </c>
      <c r="FF214" s="1605">
        <v>1.0432672684439945</v>
      </c>
      <c r="FG214" s="1605">
        <v>0.40266008644303414</v>
      </c>
      <c r="FH214" s="1605">
        <v>0.15568609246578383</v>
      </c>
      <c r="FI214" s="1605">
        <v>0.10300687301489456</v>
      </c>
      <c r="FJ214" s="1605" t="s">
        <v>986</v>
      </c>
      <c r="FK214" s="1605">
        <v>0.54004398666087761</v>
      </c>
      <c r="FL214" s="1605">
        <v>0.3659023231878763</v>
      </c>
      <c r="FM214" s="1605" t="s">
        <v>986</v>
      </c>
      <c r="FN214" s="1605">
        <v>0.85942773833944341</v>
      </c>
      <c r="FO214" s="1605">
        <v>0.71680820404792822</v>
      </c>
      <c r="FP214" s="1605" t="s">
        <v>986</v>
      </c>
      <c r="FQ214" s="1605" t="s">
        <v>986</v>
      </c>
      <c r="FR214" s="1605" t="s">
        <v>986</v>
      </c>
      <c r="FS214" s="1605" t="s">
        <v>986</v>
      </c>
      <c r="FT214" s="1605" t="s">
        <v>986</v>
      </c>
      <c r="FU214" s="1605" t="s">
        <v>986</v>
      </c>
      <c r="FV214" s="1605" t="s">
        <v>986</v>
      </c>
      <c r="FW214" s="1605" t="s">
        <v>986</v>
      </c>
      <c r="FX214" s="1605" t="s">
        <v>986</v>
      </c>
      <c r="FY214" s="1605" t="s">
        <v>986</v>
      </c>
      <c r="FZ214" s="1605" t="s">
        <v>986</v>
      </c>
      <c r="GA214" s="1605">
        <v>3.7324845712636112E-2</v>
      </c>
      <c r="GB214" s="1605">
        <v>0.21646602055180694</v>
      </c>
      <c r="GC214" s="1605">
        <v>1.4526041865496123E-3</v>
      </c>
      <c r="GD214" s="1605">
        <v>0.09</v>
      </c>
      <c r="GE214" s="1605">
        <v>0.45829591210848475</v>
      </c>
      <c r="GF214" s="1605">
        <v>5.5249687672177902E-2</v>
      </c>
      <c r="GG214" s="1605" t="s">
        <v>986</v>
      </c>
      <c r="GH214" s="1605">
        <v>6.7282922499356621</v>
      </c>
      <c r="GI214" s="1605">
        <v>0.66924180818944823</v>
      </c>
      <c r="GJ214" s="1605">
        <v>2.2846378744167786</v>
      </c>
      <c r="GK214" s="1605">
        <v>3.5739039254751659</v>
      </c>
      <c r="GL214" s="1605" t="s">
        <v>986</v>
      </c>
      <c r="GM214" s="1605" t="s">
        <v>986</v>
      </c>
      <c r="GN214" s="1605" t="s">
        <v>2217</v>
      </c>
      <c r="GO214" s="1605" t="s">
        <v>2217</v>
      </c>
      <c r="GP214" s="1605" t="s">
        <v>2217</v>
      </c>
      <c r="GQ214" s="1605" t="s">
        <v>2217</v>
      </c>
      <c r="GR214" s="1605" t="s">
        <v>1763</v>
      </c>
      <c r="GS214" s="1605" t="s">
        <v>2217</v>
      </c>
      <c r="GT214" s="1605" t="s">
        <v>2217</v>
      </c>
      <c r="GU214" s="1605" t="s">
        <v>1763</v>
      </c>
      <c r="GV214" s="1605" t="s">
        <v>2217</v>
      </c>
      <c r="GW214" s="1605" t="s">
        <v>2217</v>
      </c>
      <c r="GX214" s="1605" t="s">
        <v>2217</v>
      </c>
      <c r="GY214" s="1605" t="s">
        <v>2217</v>
      </c>
      <c r="GZ214" s="1605" t="s">
        <v>2217</v>
      </c>
      <c r="HA214" s="1605" t="s">
        <v>2217</v>
      </c>
      <c r="HB214" s="1605" t="s">
        <v>1763</v>
      </c>
      <c r="HC214" s="1605" t="s">
        <v>2217</v>
      </c>
      <c r="HD214" s="1605" t="s">
        <v>2217</v>
      </c>
      <c r="HE214" s="1605" t="s">
        <v>2217</v>
      </c>
      <c r="HF214" s="1605" t="s">
        <v>2217</v>
      </c>
      <c r="HG214" s="1605" t="s">
        <v>2217</v>
      </c>
      <c r="HH214" s="1605" t="s">
        <v>2217</v>
      </c>
      <c r="HI214" s="1605" t="s">
        <v>2217</v>
      </c>
      <c r="HJ214" s="1605" t="s">
        <v>2217</v>
      </c>
      <c r="HK214" s="1605" t="s">
        <v>2217</v>
      </c>
      <c r="HL214" s="1605" t="s">
        <v>1578</v>
      </c>
      <c r="HM214" s="1605" t="s">
        <v>2217</v>
      </c>
      <c r="HN214" s="1605" t="s">
        <v>2217</v>
      </c>
      <c r="HO214" s="1605" t="s">
        <v>986</v>
      </c>
      <c r="HP214" s="1605" t="s">
        <v>2217</v>
      </c>
      <c r="HQ214" s="1605" t="s">
        <v>2217</v>
      </c>
      <c r="HR214" s="1605" t="s">
        <v>2217</v>
      </c>
      <c r="HS214" s="1605" t="s">
        <v>2217</v>
      </c>
      <c r="HT214" s="1605" t="s">
        <v>1763</v>
      </c>
      <c r="HU214" s="1605" t="s">
        <v>1763</v>
      </c>
      <c r="HV214" s="1617"/>
      <c r="HW214" s="1617" t="s">
        <v>3208</v>
      </c>
      <c r="HX214" s="1617">
        <v>0</v>
      </c>
      <c r="HY214" s="1617" t="s">
        <v>3207</v>
      </c>
      <c r="HZ214" s="1603"/>
      <c r="IA214" s="1603"/>
      <c r="IB214" s="1603"/>
      <c r="IC214" s="1603">
        <v>58.861788617886198</v>
      </c>
      <c r="ID214" s="1603">
        <v>59.349593495934997</v>
      </c>
      <c r="IE214" s="1603">
        <v>59.756097560975597</v>
      </c>
      <c r="IF214" s="1603">
        <v>60</v>
      </c>
      <c r="IG214" s="1611" t="s">
        <v>3206</v>
      </c>
      <c r="IH214" s="1616" t="s">
        <v>3213</v>
      </c>
      <c r="II214" s="1615" t="s">
        <v>3212</v>
      </c>
      <c r="IJ214" s="1613">
        <v>0.41228409090909096</v>
      </c>
      <c r="IK214" s="1613">
        <v>0.41228409090909096</v>
      </c>
      <c r="IL214" s="1614">
        <v>0.41228409090909096</v>
      </c>
      <c r="IM214" s="1614">
        <v>0.41228409090909096</v>
      </c>
      <c r="IN214" s="1612">
        <v>0.57299999999999995</v>
      </c>
      <c r="IO214" s="1613">
        <v>0.16071590909090899</v>
      </c>
      <c r="IP214" s="1607" t="s">
        <v>270</v>
      </c>
      <c r="IQ214" s="1612">
        <v>2.1800000000000002</v>
      </c>
      <c r="IR214" s="1612">
        <v>5.2999999999999999E-2</v>
      </c>
      <c r="IS214" s="1607">
        <v>0.40828409090909096</v>
      </c>
      <c r="IT214" s="1607">
        <v>0.40828409090909096</v>
      </c>
      <c r="IU214" s="1611">
        <v>1.1363636363636365E-5</v>
      </c>
      <c r="IV214" s="1611">
        <v>2.7727272727272726E-3</v>
      </c>
      <c r="IW214" s="1611">
        <v>8.0681818181818177E-4</v>
      </c>
      <c r="IX214" s="1611">
        <v>1.0681818181818182E-3</v>
      </c>
      <c r="IY214" s="1611">
        <v>8.1818181818181816E-4</v>
      </c>
      <c r="IZ214" s="1611">
        <v>7.624999999999999E-3</v>
      </c>
      <c r="JA214" s="1611">
        <v>1.7045454545454544E-4</v>
      </c>
      <c r="JB214" s="1611" t="s">
        <v>270</v>
      </c>
      <c r="JC214" s="1611">
        <v>0.15605681818181819</v>
      </c>
      <c r="JD214" s="1611">
        <v>6.6249999999999998E-3</v>
      </c>
      <c r="JE214" s="1611" t="s">
        <v>270</v>
      </c>
      <c r="JF214" s="1611">
        <v>2.7272727272727268E-4</v>
      </c>
      <c r="JG214" s="1611">
        <v>4.1114204545454545</v>
      </c>
      <c r="JH214" s="1611">
        <v>2.2727272727272727E-4</v>
      </c>
      <c r="JI214" s="1611">
        <v>5.213636363636364E-2</v>
      </c>
      <c r="JJ214" s="1611" t="s">
        <v>270</v>
      </c>
      <c r="JK214" s="1607">
        <f t="shared" si="12"/>
        <v>4.0000000000000036E-3</v>
      </c>
      <c r="JL214" s="1608" t="s">
        <v>270</v>
      </c>
      <c r="JM214" s="1610" t="s">
        <v>2924</v>
      </c>
      <c r="JN214" s="1608">
        <v>0</v>
      </c>
      <c r="JO214" s="1609" t="s">
        <v>2923</v>
      </c>
      <c r="JP214" s="1608" t="s">
        <v>270</v>
      </c>
      <c r="JQ214" s="1607">
        <v>202103</v>
      </c>
      <c r="JR214" s="1606">
        <v>544</v>
      </c>
      <c r="JS214" s="1606">
        <v>492</v>
      </c>
      <c r="JT214" s="1606">
        <v>492</v>
      </c>
    </row>
    <row r="215" spans="1:280" ht="15" customHeight="1" x14ac:dyDescent="0.2">
      <c r="A215" s="1626">
        <v>52101</v>
      </c>
      <c r="B215" s="1625">
        <v>521</v>
      </c>
      <c r="C215" s="1624">
        <v>1</v>
      </c>
      <c r="D215" s="1623" t="s">
        <v>3219</v>
      </c>
      <c r="E215" s="1622">
        <v>44497</v>
      </c>
      <c r="F215" s="1620">
        <v>1.1083541908633374</v>
      </c>
      <c r="G215" s="1620">
        <v>1.0948471836734697</v>
      </c>
      <c r="H215" s="1621">
        <v>88.7</v>
      </c>
      <c r="I215" s="1621">
        <v>84.600000000000009</v>
      </c>
      <c r="J215" s="1621">
        <v>90</v>
      </c>
      <c r="K215" s="1620">
        <v>1</v>
      </c>
      <c r="L215" s="1620">
        <v>85</v>
      </c>
      <c r="M215" s="1620">
        <v>8</v>
      </c>
      <c r="N215" s="1620">
        <v>1.7</v>
      </c>
      <c r="O215" s="1620">
        <v>1.5</v>
      </c>
      <c r="P215" s="1620">
        <v>2.2999999999999998</v>
      </c>
      <c r="Q215" s="1603"/>
      <c r="R215" s="1620">
        <v>77</v>
      </c>
      <c r="S215" s="1620">
        <v>50</v>
      </c>
      <c r="T215" s="1620">
        <v>54.065040650406502</v>
      </c>
      <c r="U215" s="1620">
        <v>55.691056910569102</v>
      </c>
      <c r="V215" s="1620">
        <v>57.154471544715399</v>
      </c>
      <c r="W215" s="1620">
        <v>58.130081300813004</v>
      </c>
      <c r="X215" s="1620"/>
      <c r="Y215" s="1620">
        <v>0.47058823529411764</v>
      </c>
      <c r="Z215" s="1620">
        <v>3.0588235294117645</v>
      </c>
      <c r="AA215" s="1620">
        <v>0.11764705882352941</v>
      </c>
      <c r="AB215" s="1620">
        <v>0.84765177548682702</v>
      </c>
      <c r="AC215" s="1620">
        <v>5.2588235294117647</v>
      </c>
      <c r="AD215" s="1620">
        <v>0.96470588235294119</v>
      </c>
      <c r="AE215" s="1620">
        <v>1.2714776632302354</v>
      </c>
      <c r="AF215" s="1620">
        <v>33.317647058823532</v>
      </c>
      <c r="AG215" s="1620">
        <v>2.952941176470588</v>
      </c>
      <c r="AH215" s="1620">
        <v>24.776470588235295</v>
      </c>
      <c r="AI215" s="1620">
        <v>31.870588235294118</v>
      </c>
      <c r="AJ215" s="1620">
        <v>0</v>
      </c>
      <c r="AK215" s="1620">
        <v>0.03</v>
      </c>
      <c r="AL215" s="1620"/>
      <c r="AM215" s="1620">
        <v>3.7</v>
      </c>
      <c r="AN215" s="1620">
        <v>1.7</v>
      </c>
      <c r="AO215" s="1620">
        <v>2.35</v>
      </c>
      <c r="AP215" s="1620">
        <v>3.29</v>
      </c>
      <c r="AQ215" s="1620">
        <v>1.07</v>
      </c>
      <c r="AR215" s="1620">
        <v>3.48</v>
      </c>
      <c r="AS215" s="1620">
        <v>6.28</v>
      </c>
      <c r="AT215" s="1620">
        <v>2.2799999999999998</v>
      </c>
      <c r="AU215" s="1620">
        <v>4.49</v>
      </c>
      <c r="AV215" s="1620">
        <v>2.7</v>
      </c>
      <c r="AW215" s="1620">
        <v>4.67</v>
      </c>
      <c r="AX215" s="1620"/>
      <c r="AY215" s="1620">
        <v>0.97</v>
      </c>
      <c r="AZ215" s="1620">
        <v>1.04</v>
      </c>
      <c r="BA215" s="1620">
        <v>1.01</v>
      </c>
      <c r="BB215" s="1620">
        <v>0.88</v>
      </c>
      <c r="BC215" s="1620">
        <v>0.99</v>
      </c>
      <c r="BD215" s="1620">
        <v>1</v>
      </c>
      <c r="BE215" s="1620">
        <v>1.03</v>
      </c>
      <c r="BF215" s="1620">
        <v>1.03</v>
      </c>
      <c r="BG215" s="1620">
        <v>1.06</v>
      </c>
      <c r="BH215" s="1620">
        <v>1</v>
      </c>
      <c r="BI215" s="1620">
        <v>0.99</v>
      </c>
      <c r="BJ215" s="1603"/>
      <c r="BK215" s="1620">
        <v>9.4117647058823533</v>
      </c>
      <c r="BL215" s="1620">
        <v>2</v>
      </c>
      <c r="BM215" s="1620">
        <v>1.7647058823529411</v>
      </c>
      <c r="BN215" s="1620">
        <v>2.7058823529411762</v>
      </c>
      <c r="BO215" s="1620"/>
      <c r="BP215" s="1620">
        <v>105</v>
      </c>
      <c r="BQ215" s="1620">
        <v>21.000000000000004</v>
      </c>
      <c r="BR215" s="1620">
        <v>1.303946106898044</v>
      </c>
      <c r="BS215" s="1620">
        <v>1.2880555102040818</v>
      </c>
      <c r="BT215" s="1603"/>
      <c r="BU215" s="1620">
        <v>982.35294117647061</v>
      </c>
      <c r="BV215" s="1620">
        <v>708.76218487394988</v>
      </c>
      <c r="BW215" s="1620">
        <v>57.53781512605034</v>
      </c>
      <c r="BX215" s="1620">
        <v>612.99999999999989</v>
      </c>
      <c r="BY215" s="1620">
        <v>32</v>
      </c>
      <c r="BZ215" s="1620">
        <v>39</v>
      </c>
      <c r="CA215" s="1620">
        <v>129</v>
      </c>
      <c r="CB215" s="1603"/>
      <c r="CC215" s="1603">
        <v>0.39999999999999997</v>
      </c>
      <c r="CD215" s="1603">
        <v>2.5999999999999996</v>
      </c>
      <c r="CE215" s="1603">
        <v>9.9999999999999992E-2</v>
      </c>
      <c r="CF215" s="1603">
        <v>0.72050400916380297</v>
      </c>
      <c r="CG215" s="1603">
        <v>4.47</v>
      </c>
      <c r="CH215" s="1603">
        <v>0.82</v>
      </c>
      <c r="CI215" s="1603">
        <v>1.0807560137457</v>
      </c>
      <c r="CJ215" s="1603"/>
      <c r="CK215" s="1603">
        <v>28.32</v>
      </c>
      <c r="CL215" s="1603">
        <v>2.5099999999999998</v>
      </c>
      <c r="CM215" s="1603">
        <v>21.06</v>
      </c>
      <c r="CN215" s="1603">
        <v>27.09</v>
      </c>
      <c r="CO215" s="1603">
        <v>0</v>
      </c>
      <c r="CP215" s="1603">
        <v>2.5499999999999998E-2</v>
      </c>
      <c r="CQ215" s="1603">
        <v>61.6</v>
      </c>
      <c r="CR215" s="1603">
        <v>55.577901457671686</v>
      </c>
      <c r="CS215" s="1603">
        <v>1.9946908833158368</v>
      </c>
      <c r="CT215" s="1603">
        <v>0.98261729777163542</v>
      </c>
      <c r="CU215" s="1603">
        <v>1.3191414910978372</v>
      </c>
      <c r="CV215" s="1603">
        <v>2.3017587888694724</v>
      </c>
      <c r="CW215" s="1603">
        <v>1.6090914030025105</v>
      </c>
      <c r="CX215" s="1603">
        <v>0.58873671014111628</v>
      </c>
      <c r="CY215" s="1603">
        <v>1.9341109707269744</v>
      </c>
      <c r="CZ215" s="1603">
        <v>3.5950009778880352</v>
      </c>
      <c r="DA215" s="1603">
        <v>1.3051914378319618</v>
      </c>
      <c r="DB215" s="1603">
        <v>2.6451746419764266</v>
      </c>
      <c r="DC215" s="1603">
        <v>1.5006033393571356</v>
      </c>
      <c r="DD215" s="1603">
        <v>4.1457779813335627</v>
      </c>
      <c r="DE215" s="1603">
        <v>2.5695331180925352</v>
      </c>
      <c r="DF215" s="1603">
        <v>0</v>
      </c>
      <c r="DG215" s="1603">
        <v>0</v>
      </c>
      <c r="DH215" s="1603">
        <v>0</v>
      </c>
      <c r="DI215" s="1603">
        <v>0</v>
      </c>
      <c r="DJ215" s="1603">
        <v>0</v>
      </c>
      <c r="DK215" s="1603">
        <v>0</v>
      </c>
      <c r="DL215" s="1603">
        <v>0</v>
      </c>
      <c r="DM215" s="1603">
        <v>0</v>
      </c>
      <c r="DN215" s="1603">
        <v>0</v>
      </c>
      <c r="DO215" s="1603">
        <v>0</v>
      </c>
      <c r="DP215" s="1603">
        <v>0</v>
      </c>
      <c r="DQ215" s="1603">
        <v>0</v>
      </c>
      <c r="DR215" s="1603">
        <v>0</v>
      </c>
      <c r="DS215" s="1603">
        <v>0</v>
      </c>
      <c r="DT215" s="1603">
        <v>0</v>
      </c>
      <c r="DU215" s="1603">
        <v>0</v>
      </c>
      <c r="DV215" s="1603">
        <v>0</v>
      </c>
      <c r="DW215" s="1618" t="s">
        <v>3209</v>
      </c>
      <c r="DX215" s="1605">
        <v>14</v>
      </c>
      <c r="DY215" s="1605">
        <v>14</v>
      </c>
      <c r="DZ215" s="1605">
        <v>7</v>
      </c>
      <c r="EA215" s="1605">
        <v>7</v>
      </c>
      <c r="EB215" s="1605" t="s">
        <v>986</v>
      </c>
      <c r="EC215" s="1605">
        <v>7</v>
      </c>
      <c r="ED215" s="1605">
        <v>7</v>
      </c>
      <c r="EE215" s="1605">
        <v>8</v>
      </c>
      <c r="EF215" s="1605">
        <v>7</v>
      </c>
      <c r="EG215" s="1605">
        <v>7</v>
      </c>
      <c r="EH215" s="1605" t="s">
        <v>986</v>
      </c>
      <c r="EI215" s="1605" t="s">
        <v>986</v>
      </c>
      <c r="EJ215" s="1605" t="s">
        <v>986</v>
      </c>
      <c r="EK215" s="1605" t="s">
        <v>986</v>
      </c>
      <c r="EL215" s="1605" t="s">
        <v>986</v>
      </c>
      <c r="EM215" s="1605" t="s">
        <v>986</v>
      </c>
      <c r="EN215" s="1605" t="s">
        <v>986</v>
      </c>
      <c r="EO215" s="1605" t="s">
        <v>986</v>
      </c>
      <c r="EP215" s="1605" t="s">
        <v>986</v>
      </c>
      <c r="EQ215" s="1605" t="s">
        <v>986</v>
      </c>
      <c r="ER215" s="1605" t="s">
        <v>986</v>
      </c>
      <c r="ES215" s="1605">
        <v>7</v>
      </c>
      <c r="ET215" s="1605">
        <v>14</v>
      </c>
      <c r="EU215" s="1605">
        <v>6</v>
      </c>
      <c r="EV215" s="1605">
        <v>8</v>
      </c>
      <c r="EW215" s="1605">
        <v>7</v>
      </c>
      <c r="EX215" s="1605">
        <v>7</v>
      </c>
      <c r="EY215" s="1605" t="s">
        <v>986</v>
      </c>
      <c r="EZ215" s="1605">
        <v>7</v>
      </c>
      <c r="FA215" s="1605">
        <v>7</v>
      </c>
      <c r="FB215" s="1605">
        <v>7</v>
      </c>
      <c r="FC215" s="1605">
        <v>7</v>
      </c>
      <c r="FD215" s="1605" t="s">
        <v>986</v>
      </c>
      <c r="FE215" s="1605" t="s">
        <v>986</v>
      </c>
      <c r="FF215" s="1605">
        <v>1.0432672684439945</v>
      </c>
      <c r="FG215" s="1605">
        <v>0.40266008644303414</v>
      </c>
      <c r="FH215" s="1605">
        <v>0.15568609246578383</v>
      </c>
      <c r="FI215" s="1605">
        <v>0.10300687301489456</v>
      </c>
      <c r="FJ215" s="1605" t="s">
        <v>986</v>
      </c>
      <c r="FK215" s="1605">
        <v>0.54004398666087761</v>
      </c>
      <c r="FL215" s="1605">
        <v>0.3659023231878763</v>
      </c>
      <c r="FM215" s="1605" t="s">
        <v>986</v>
      </c>
      <c r="FN215" s="1605">
        <v>0.85942773833944341</v>
      </c>
      <c r="FO215" s="1605">
        <v>0.71680820404792822</v>
      </c>
      <c r="FP215" s="1605" t="s">
        <v>986</v>
      </c>
      <c r="FQ215" s="1605" t="s">
        <v>986</v>
      </c>
      <c r="FR215" s="1605" t="s">
        <v>986</v>
      </c>
      <c r="FS215" s="1605" t="s">
        <v>986</v>
      </c>
      <c r="FT215" s="1605" t="s">
        <v>986</v>
      </c>
      <c r="FU215" s="1605" t="s">
        <v>986</v>
      </c>
      <c r="FV215" s="1605" t="s">
        <v>986</v>
      </c>
      <c r="FW215" s="1605" t="s">
        <v>986</v>
      </c>
      <c r="FX215" s="1605" t="s">
        <v>986</v>
      </c>
      <c r="FY215" s="1605" t="s">
        <v>986</v>
      </c>
      <c r="FZ215" s="1605" t="s">
        <v>986</v>
      </c>
      <c r="GA215" s="1605">
        <v>3.7324845712636112E-2</v>
      </c>
      <c r="GB215" s="1605">
        <v>0.21646602055180694</v>
      </c>
      <c r="GC215" s="1605">
        <v>1.4526041865496123E-3</v>
      </c>
      <c r="GD215" s="1605">
        <v>0.09</v>
      </c>
      <c r="GE215" s="1605">
        <v>0.45829591210848475</v>
      </c>
      <c r="GF215" s="1605">
        <v>5.5249687672177902E-2</v>
      </c>
      <c r="GG215" s="1605" t="s">
        <v>986</v>
      </c>
      <c r="GH215" s="1605">
        <v>6.7282922499356621</v>
      </c>
      <c r="GI215" s="1605">
        <v>0.66924180818944823</v>
      </c>
      <c r="GJ215" s="1605">
        <v>2.2846378744167786</v>
      </c>
      <c r="GK215" s="1605">
        <v>3.5739039254751659</v>
      </c>
      <c r="GL215" s="1605" t="s">
        <v>986</v>
      </c>
      <c r="GM215" s="1605" t="s">
        <v>986</v>
      </c>
      <c r="GN215" s="1605" t="s">
        <v>2217</v>
      </c>
      <c r="GO215" s="1605" t="s">
        <v>2217</v>
      </c>
      <c r="GP215" s="1605" t="s">
        <v>2217</v>
      </c>
      <c r="GQ215" s="1605" t="s">
        <v>2217</v>
      </c>
      <c r="GR215" s="1605" t="s">
        <v>1763</v>
      </c>
      <c r="GS215" s="1605" t="s">
        <v>2217</v>
      </c>
      <c r="GT215" s="1605" t="s">
        <v>2217</v>
      </c>
      <c r="GU215" s="1605" t="s">
        <v>1763</v>
      </c>
      <c r="GV215" s="1605" t="s">
        <v>2217</v>
      </c>
      <c r="GW215" s="1605" t="s">
        <v>2217</v>
      </c>
      <c r="GX215" s="1605" t="s">
        <v>2217</v>
      </c>
      <c r="GY215" s="1605" t="s">
        <v>2217</v>
      </c>
      <c r="GZ215" s="1605" t="s">
        <v>2217</v>
      </c>
      <c r="HA215" s="1605" t="s">
        <v>2217</v>
      </c>
      <c r="HB215" s="1605" t="s">
        <v>1763</v>
      </c>
      <c r="HC215" s="1605" t="s">
        <v>2217</v>
      </c>
      <c r="HD215" s="1605" t="s">
        <v>2217</v>
      </c>
      <c r="HE215" s="1605" t="s">
        <v>2217</v>
      </c>
      <c r="HF215" s="1605" t="s">
        <v>2217</v>
      </c>
      <c r="HG215" s="1605" t="s">
        <v>2217</v>
      </c>
      <c r="HH215" s="1605" t="s">
        <v>2217</v>
      </c>
      <c r="HI215" s="1605" t="s">
        <v>2217</v>
      </c>
      <c r="HJ215" s="1605" t="s">
        <v>2217</v>
      </c>
      <c r="HK215" s="1605" t="s">
        <v>2217</v>
      </c>
      <c r="HL215" s="1605" t="s">
        <v>1578</v>
      </c>
      <c r="HM215" s="1605" t="s">
        <v>2217</v>
      </c>
      <c r="HN215" s="1605" t="s">
        <v>2217</v>
      </c>
      <c r="HO215" s="1605" t="s">
        <v>986</v>
      </c>
      <c r="HP215" s="1605" t="s">
        <v>2217</v>
      </c>
      <c r="HQ215" s="1605" t="s">
        <v>2217</v>
      </c>
      <c r="HR215" s="1605" t="s">
        <v>2217</v>
      </c>
      <c r="HS215" s="1605" t="s">
        <v>2217</v>
      </c>
      <c r="HT215" s="1605" t="s">
        <v>1763</v>
      </c>
      <c r="HU215" s="1605" t="s">
        <v>1763</v>
      </c>
      <c r="HV215" s="1617"/>
      <c r="HW215" s="1617" t="s">
        <v>3208</v>
      </c>
      <c r="HX215" s="1617">
        <v>0</v>
      </c>
      <c r="HY215" s="1617" t="s">
        <v>3207</v>
      </c>
      <c r="HZ215" s="1603"/>
      <c r="IA215" s="1603"/>
      <c r="IB215" s="1603"/>
      <c r="IC215" s="1603">
        <v>58.861788617886198</v>
      </c>
      <c r="ID215" s="1603">
        <v>59.349593495934997</v>
      </c>
      <c r="IE215" s="1603">
        <v>59.756097560975597</v>
      </c>
      <c r="IF215" s="1603">
        <v>60</v>
      </c>
      <c r="IG215" s="1611" t="s">
        <v>3206</v>
      </c>
      <c r="IH215" s="1616" t="s">
        <v>3213</v>
      </c>
      <c r="II215" s="1615" t="s">
        <v>3212</v>
      </c>
      <c r="IJ215" s="1613">
        <v>0.41228409090909096</v>
      </c>
      <c r="IK215" s="1613">
        <v>0.41228409090909096</v>
      </c>
      <c r="IL215" s="1614">
        <v>0.41228409090909096</v>
      </c>
      <c r="IM215" s="1614">
        <v>0.41228409090909096</v>
      </c>
      <c r="IN215" s="1612">
        <v>0.57299999999999995</v>
      </c>
      <c r="IO215" s="1613">
        <v>0.16071590909090899</v>
      </c>
      <c r="IP215" s="1607" t="s">
        <v>270</v>
      </c>
      <c r="IQ215" s="1612">
        <v>2.1800000000000002</v>
      </c>
      <c r="IR215" s="1612">
        <v>5.2999999999999999E-2</v>
      </c>
      <c r="IS215" s="1607">
        <v>0.40828409090909096</v>
      </c>
      <c r="IT215" s="1607">
        <v>0.40828409090909096</v>
      </c>
      <c r="IU215" s="1611">
        <v>1.1363636363636365E-5</v>
      </c>
      <c r="IV215" s="1611">
        <v>2.7727272727272726E-3</v>
      </c>
      <c r="IW215" s="1611">
        <v>8.0681818181818177E-4</v>
      </c>
      <c r="IX215" s="1611">
        <v>1.0681818181818182E-3</v>
      </c>
      <c r="IY215" s="1611">
        <v>8.1818181818181816E-4</v>
      </c>
      <c r="IZ215" s="1611">
        <v>7.624999999999999E-3</v>
      </c>
      <c r="JA215" s="1611">
        <v>1.7045454545454544E-4</v>
      </c>
      <c r="JB215" s="1611" t="s">
        <v>270</v>
      </c>
      <c r="JC215" s="1611">
        <v>0.15605681818181819</v>
      </c>
      <c r="JD215" s="1611">
        <v>6.6249999999999998E-3</v>
      </c>
      <c r="JE215" s="1611" t="s">
        <v>270</v>
      </c>
      <c r="JF215" s="1611">
        <v>2.7272727272727268E-4</v>
      </c>
      <c r="JG215" s="1611">
        <v>4.1114204545454545</v>
      </c>
      <c r="JH215" s="1611">
        <v>2.2727272727272727E-4</v>
      </c>
      <c r="JI215" s="1611">
        <v>5.213636363636364E-2</v>
      </c>
      <c r="JJ215" s="1611" t="s">
        <v>270</v>
      </c>
      <c r="JK215" s="1607">
        <f t="shared" si="12"/>
        <v>4.0000000000000036E-3</v>
      </c>
      <c r="JL215" s="1608" t="s">
        <v>270</v>
      </c>
      <c r="JM215" s="1610" t="s">
        <v>2924</v>
      </c>
      <c r="JN215" s="1608">
        <v>0</v>
      </c>
      <c r="JO215" s="1609" t="s">
        <v>2923</v>
      </c>
      <c r="JP215" s="1608" t="s">
        <v>270</v>
      </c>
      <c r="JQ215" s="1607">
        <v>202103</v>
      </c>
      <c r="JR215" s="1606">
        <v>544</v>
      </c>
      <c r="JS215" s="1606">
        <v>492</v>
      </c>
      <c r="JT215" s="1606">
        <v>492</v>
      </c>
    </row>
    <row r="216" spans="1:280" ht="15" customHeight="1" x14ac:dyDescent="0.2">
      <c r="A216" s="1626">
        <v>52110</v>
      </c>
      <c r="B216" s="1625">
        <v>521</v>
      </c>
      <c r="C216" s="1624">
        <v>10</v>
      </c>
      <c r="D216" s="1623" t="s">
        <v>3218</v>
      </c>
      <c r="E216" s="1622">
        <v>44497</v>
      </c>
      <c r="F216" s="1620">
        <v>1.0998684185056142</v>
      </c>
      <c r="G216" s="1620">
        <v>1.088882897959184</v>
      </c>
      <c r="H216" s="1621">
        <v>88.7</v>
      </c>
      <c r="I216" s="1621">
        <v>83.9</v>
      </c>
      <c r="J216" s="1621">
        <v>90</v>
      </c>
      <c r="K216" s="1620">
        <v>1</v>
      </c>
      <c r="L216" s="1620">
        <v>85</v>
      </c>
      <c r="M216" s="1620">
        <v>8</v>
      </c>
      <c r="N216" s="1620">
        <v>1.7</v>
      </c>
      <c r="O216" s="1620">
        <v>1.5</v>
      </c>
      <c r="P216" s="1620">
        <v>2.2999999999999998</v>
      </c>
      <c r="Q216" s="1603"/>
      <c r="R216" s="1620">
        <v>77</v>
      </c>
      <c r="S216" s="1620">
        <v>28</v>
      </c>
      <c r="T216" s="1620">
        <v>41.008130081300799</v>
      </c>
      <c r="U216" s="1620">
        <v>46.211382113821102</v>
      </c>
      <c r="V216" s="1620">
        <v>50.894308943089399</v>
      </c>
      <c r="W216" s="1620">
        <v>54.016260162601597</v>
      </c>
      <c r="X216" s="1620"/>
      <c r="Y216" s="1620">
        <v>0.47058823529411764</v>
      </c>
      <c r="Z216" s="1620">
        <v>3.0588235294117645</v>
      </c>
      <c r="AA216" s="1620">
        <v>0.11764705882352941</v>
      </c>
      <c r="AB216" s="1620">
        <v>0.84765177548682702</v>
      </c>
      <c r="AC216" s="1620">
        <v>5.2588235294117647</v>
      </c>
      <c r="AD216" s="1620">
        <v>0.96470588235294119</v>
      </c>
      <c r="AE216" s="1620">
        <v>1.2714776632302354</v>
      </c>
      <c r="AF216" s="1620">
        <v>33.317647058823532</v>
      </c>
      <c r="AG216" s="1620">
        <v>2.952941176470588</v>
      </c>
      <c r="AH216" s="1620">
        <v>24.776470588235295</v>
      </c>
      <c r="AI216" s="1620">
        <v>31.870588235294118</v>
      </c>
      <c r="AJ216" s="1620">
        <v>0</v>
      </c>
      <c r="AK216" s="1620">
        <v>0.03</v>
      </c>
      <c r="AL216" s="1620"/>
      <c r="AM216" s="1620">
        <v>3.7</v>
      </c>
      <c r="AN216" s="1620">
        <v>1.7</v>
      </c>
      <c r="AO216" s="1620">
        <v>2.35</v>
      </c>
      <c r="AP216" s="1620">
        <v>3.29</v>
      </c>
      <c r="AQ216" s="1620">
        <v>1.07</v>
      </c>
      <c r="AR216" s="1620">
        <v>3.48</v>
      </c>
      <c r="AS216" s="1620">
        <v>6.28</v>
      </c>
      <c r="AT216" s="1620">
        <v>2.2799999999999998</v>
      </c>
      <c r="AU216" s="1620">
        <v>4.49</v>
      </c>
      <c r="AV216" s="1620">
        <v>2.7</v>
      </c>
      <c r="AW216" s="1620">
        <v>4.67</v>
      </c>
      <c r="AX216" s="1620"/>
      <c r="AY216" s="1620">
        <v>0.97</v>
      </c>
      <c r="AZ216" s="1620">
        <v>1.04</v>
      </c>
      <c r="BA216" s="1620">
        <v>1.01</v>
      </c>
      <c r="BB216" s="1620">
        <v>0.88</v>
      </c>
      <c r="BC216" s="1620">
        <v>0.99</v>
      </c>
      <c r="BD216" s="1620">
        <v>1</v>
      </c>
      <c r="BE216" s="1620">
        <v>1.03</v>
      </c>
      <c r="BF216" s="1620">
        <v>1.03</v>
      </c>
      <c r="BG216" s="1620">
        <v>1.06</v>
      </c>
      <c r="BH216" s="1620">
        <v>1</v>
      </c>
      <c r="BI216" s="1620">
        <v>0.99</v>
      </c>
      <c r="BJ216" s="1603"/>
      <c r="BK216" s="1620">
        <v>9.4117647058823533</v>
      </c>
      <c r="BL216" s="1620">
        <v>2</v>
      </c>
      <c r="BM216" s="1620">
        <v>1.7647058823529411</v>
      </c>
      <c r="BN216" s="1620">
        <v>2.7058823529411762</v>
      </c>
      <c r="BO216" s="1620"/>
      <c r="BP216" s="1620">
        <v>105</v>
      </c>
      <c r="BQ216" s="1620">
        <v>21.000000000000004</v>
      </c>
      <c r="BR216" s="1620">
        <v>1.2939628453007226</v>
      </c>
      <c r="BS216" s="1620">
        <v>1.2810387034813928</v>
      </c>
      <c r="BT216" s="1603"/>
      <c r="BU216" s="1620">
        <v>982.35294117647061</v>
      </c>
      <c r="BV216" s="1620">
        <v>698.93865546218512</v>
      </c>
      <c r="BW216" s="1620">
        <v>67.361344537815086</v>
      </c>
      <c r="BX216" s="1620">
        <v>612.99999999999989</v>
      </c>
      <c r="BY216" s="1620">
        <v>32</v>
      </c>
      <c r="BZ216" s="1620">
        <v>39</v>
      </c>
      <c r="CA216" s="1620">
        <v>129</v>
      </c>
      <c r="CB216" s="1603"/>
      <c r="CC216" s="1603">
        <v>0.39999999999999997</v>
      </c>
      <c r="CD216" s="1603">
        <v>2.5999999999999996</v>
      </c>
      <c r="CE216" s="1603">
        <v>9.9999999999999992E-2</v>
      </c>
      <c r="CF216" s="1603">
        <v>0.72050400916380297</v>
      </c>
      <c r="CG216" s="1603">
        <v>4.47</v>
      </c>
      <c r="CH216" s="1603">
        <v>0.82</v>
      </c>
      <c r="CI216" s="1603">
        <v>1.0807560137457</v>
      </c>
      <c r="CJ216" s="1603"/>
      <c r="CK216" s="1603">
        <v>28.32</v>
      </c>
      <c r="CL216" s="1603">
        <v>2.5099999999999998</v>
      </c>
      <c r="CM216" s="1603">
        <v>21.06</v>
      </c>
      <c r="CN216" s="1603">
        <v>27.09</v>
      </c>
      <c r="CO216" s="1603">
        <v>0</v>
      </c>
      <c r="CP216" s="1603">
        <v>2.5499999999999998E-2</v>
      </c>
      <c r="CQ216" s="1603">
        <v>61.6</v>
      </c>
      <c r="CR216" s="1603">
        <v>56.006699495650231</v>
      </c>
      <c r="CS216" s="1603">
        <v>2.0100804448988869</v>
      </c>
      <c r="CT216" s="1603">
        <v>0.99019844708309612</v>
      </c>
      <c r="CU216" s="1603">
        <v>1.329319012529258</v>
      </c>
      <c r="CV216" s="1603">
        <v>2.3195174596123542</v>
      </c>
      <c r="CW216" s="1603">
        <v>1.6215059637980656</v>
      </c>
      <c r="CX216" s="1603">
        <v>0.59327896775742295</v>
      </c>
      <c r="CY216" s="1603">
        <v>1.9490331424486278</v>
      </c>
      <c r="CZ216" s="1603">
        <v>3.6227373501766396</v>
      </c>
      <c r="DA216" s="1603">
        <v>1.3152613309558498</v>
      </c>
      <c r="DB216" s="1603">
        <v>2.6655828557959778</v>
      </c>
      <c r="DC216" s="1603">
        <v>1.5121808863825563</v>
      </c>
      <c r="DD216" s="1603">
        <v>4.1777637421785343</v>
      </c>
      <c r="DE216" s="1603">
        <v>2.5893577377823975</v>
      </c>
      <c r="DF216" s="1603">
        <v>0</v>
      </c>
      <c r="DG216" s="1603">
        <v>0</v>
      </c>
      <c r="DH216" s="1603">
        <v>0</v>
      </c>
      <c r="DI216" s="1603">
        <v>0</v>
      </c>
      <c r="DJ216" s="1603">
        <v>0</v>
      </c>
      <c r="DK216" s="1603">
        <v>0</v>
      </c>
      <c r="DL216" s="1603">
        <v>0</v>
      </c>
      <c r="DM216" s="1603">
        <v>0</v>
      </c>
      <c r="DN216" s="1603">
        <v>0</v>
      </c>
      <c r="DO216" s="1603">
        <v>0</v>
      </c>
      <c r="DP216" s="1603">
        <v>0</v>
      </c>
      <c r="DQ216" s="1603">
        <v>0</v>
      </c>
      <c r="DR216" s="1603">
        <v>0</v>
      </c>
      <c r="DS216" s="1603">
        <v>0</v>
      </c>
      <c r="DT216" s="1603">
        <v>0</v>
      </c>
      <c r="DU216" s="1603">
        <v>0</v>
      </c>
      <c r="DV216" s="1603">
        <v>0</v>
      </c>
      <c r="DW216" s="1618" t="s">
        <v>3209</v>
      </c>
      <c r="DX216" s="1605">
        <v>14</v>
      </c>
      <c r="DY216" s="1605">
        <v>14</v>
      </c>
      <c r="DZ216" s="1605">
        <v>7</v>
      </c>
      <c r="EA216" s="1605">
        <v>7</v>
      </c>
      <c r="EB216" s="1605" t="s">
        <v>986</v>
      </c>
      <c r="EC216" s="1605">
        <v>7</v>
      </c>
      <c r="ED216" s="1605">
        <v>7</v>
      </c>
      <c r="EE216" s="1605">
        <v>8</v>
      </c>
      <c r="EF216" s="1605">
        <v>7</v>
      </c>
      <c r="EG216" s="1605">
        <v>7</v>
      </c>
      <c r="EH216" s="1605" t="s">
        <v>986</v>
      </c>
      <c r="EI216" s="1605" t="s">
        <v>986</v>
      </c>
      <c r="EJ216" s="1605" t="s">
        <v>986</v>
      </c>
      <c r="EK216" s="1605" t="s">
        <v>986</v>
      </c>
      <c r="EL216" s="1605" t="s">
        <v>986</v>
      </c>
      <c r="EM216" s="1605" t="s">
        <v>986</v>
      </c>
      <c r="EN216" s="1605" t="s">
        <v>986</v>
      </c>
      <c r="EO216" s="1605" t="s">
        <v>986</v>
      </c>
      <c r="EP216" s="1605" t="s">
        <v>986</v>
      </c>
      <c r="EQ216" s="1605" t="s">
        <v>986</v>
      </c>
      <c r="ER216" s="1605" t="s">
        <v>986</v>
      </c>
      <c r="ES216" s="1605">
        <v>7</v>
      </c>
      <c r="ET216" s="1605">
        <v>14</v>
      </c>
      <c r="EU216" s="1605">
        <v>6</v>
      </c>
      <c r="EV216" s="1605">
        <v>8</v>
      </c>
      <c r="EW216" s="1605">
        <v>7</v>
      </c>
      <c r="EX216" s="1605">
        <v>7</v>
      </c>
      <c r="EY216" s="1605" t="s">
        <v>986</v>
      </c>
      <c r="EZ216" s="1605">
        <v>7</v>
      </c>
      <c r="FA216" s="1605">
        <v>7</v>
      </c>
      <c r="FB216" s="1605">
        <v>7</v>
      </c>
      <c r="FC216" s="1605">
        <v>7</v>
      </c>
      <c r="FD216" s="1605" t="s">
        <v>986</v>
      </c>
      <c r="FE216" s="1605" t="s">
        <v>986</v>
      </c>
      <c r="FF216" s="1605">
        <v>1.0432672684439945</v>
      </c>
      <c r="FG216" s="1605">
        <v>0.40266008644303414</v>
      </c>
      <c r="FH216" s="1605">
        <v>0.15568609246578383</v>
      </c>
      <c r="FI216" s="1605">
        <v>0.10300687301489456</v>
      </c>
      <c r="FJ216" s="1605" t="s">
        <v>986</v>
      </c>
      <c r="FK216" s="1605">
        <v>0.54004398666087761</v>
      </c>
      <c r="FL216" s="1605">
        <v>0.3659023231878763</v>
      </c>
      <c r="FM216" s="1605" t="s">
        <v>986</v>
      </c>
      <c r="FN216" s="1605">
        <v>0.85942773833944341</v>
      </c>
      <c r="FO216" s="1605">
        <v>0.71680820404792822</v>
      </c>
      <c r="FP216" s="1605" t="s">
        <v>986</v>
      </c>
      <c r="FQ216" s="1605" t="s">
        <v>986</v>
      </c>
      <c r="FR216" s="1605" t="s">
        <v>986</v>
      </c>
      <c r="FS216" s="1605" t="s">
        <v>986</v>
      </c>
      <c r="FT216" s="1605" t="s">
        <v>986</v>
      </c>
      <c r="FU216" s="1605" t="s">
        <v>986</v>
      </c>
      <c r="FV216" s="1605" t="s">
        <v>986</v>
      </c>
      <c r="FW216" s="1605" t="s">
        <v>986</v>
      </c>
      <c r="FX216" s="1605" t="s">
        <v>986</v>
      </c>
      <c r="FY216" s="1605" t="s">
        <v>986</v>
      </c>
      <c r="FZ216" s="1605" t="s">
        <v>986</v>
      </c>
      <c r="GA216" s="1605">
        <v>3.7324845712636112E-2</v>
      </c>
      <c r="GB216" s="1605">
        <v>0.21646602055180694</v>
      </c>
      <c r="GC216" s="1605">
        <v>1.4526041865496123E-3</v>
      </c>
      <c r="GD216" s="1605">
        <v>0.09</v>
      </c>
      <c r="GE216" s="1605">
        <v>0.45829591210848475</v>
      </c>
      <c r="GF216" s="1605">
        <v>5.5249687672177902E-2</v>
      </c>
      <c r="GG216" s="1605" t="s">
        <v>986</v>
      </c>
      <c r="GH216" s="1605">
        <v>6.7282922499356621</v>
      </c>
      <c r="GI216" s="1605">
        <v>0.66924180818944823</v>
      </c>
      <c r="GJ216" s="1605">
        <v>2.2846378744167786</v>
      </c>
      <c r="GK216" s="1605">
        <v>3.5739039254751659</v>
      </c>
      <c r="GL216" s="1605" t="s">
        <v>986</v>
      </c>
      <c r="GM216" s="1605" t="s">
        <v>986</v>
      </c>
      <c r="GN216" s="1605" t="s">
        <v>2217</v>
      </c>
      <c r="GO216" s="1605" t="s">
        <v>2217</v>
      </c>
      <c r="GP216" s="1605" t="s">
        <v>2217</v>
      </c>
      <c r="GQ216" s="1605" t="s">
        <v>2217</v>
      </c>
      <c r="GR216" s="1605" t="s">
        <v>1763</v>
      </c>
      <c r="GS216" s="1605" t="s">
        <v>2217</v>
      </c>
      <c r="GT216" s="1605" t="s">
        <v>2217</v>
      </c>
      <c r="GU216" s="1605" t="s">
        <v>1763</v>
      </c>
      <c r="GV216" s="1605" t="s">
        <v>2217</v>
      </c>
      <c r="GW216" s="1605" t="s">
        <v>2217</v>
      </c>
      <c r="GX216" s="1605" t="s">
        <v>2217</v>
      </c>
      <c r="GY216" s="1605" t="s">
        <v>2217</v>
      </c>
      <c r="GZ216" s="1605" t="s">
        <v>2217</v>
      </c>
      <c r="HA216" s="1605" t="s">
        <v>2217</v>
      </c>
      <c r="HB216" s="1605" t="s">
        <v>1763</v>
      </c>
      <c r="HC216" s="1605" t="s">
        <v>2217</v>
      </c>
      <c r="HD216" s="1605" t="s">
        <v>2217</v>
      </c>
      <c r="HE216" s="1605" t="s">
        <v>2217</v>
      </c>
      <c r="HF216" s="1605" t="s">
        <v>2217</v>
      </c>
      <c r="HG216" s="1605" t="s">
        <v>2217</v>
      </c>
      <c r="HH216" s="1605" t="s">
        <v>2217</v>
      </c>
      <c r="HI216" s="1605" t="s">
        <v>2217</v>
      </c>
      <c r="HJ216" s="1605" t="s">
        <v>2217</v>
      </c>
      <c r="HK216" s="1605" t="s">
        <v>2217</v>
      </c>
      <c r="HL216" s="1605" t="s">
        <v>1578</v>
      </c>
      <c r="HM216" s="1605" t="s">
        <v>2217</v>
      </c>
      <c r="HN216" s="1605" t="s">
        <v>2217</v>
      </c>
      <c r="HO216" s="1605" t="s">
        <v>986</v>
      </c>
      <c r="HP216" s="1605" t="s">
        <v>2217</v>
      </c>
      <c r="HQ216" s="1605" t="s">
        <v>2217</v>
      </c>
      <c r="HR216" s="1605" t="s">
        <v>2217</v>
      </c>
      <c r="HS216" s="1605" t="s">
        <v>2217</v>
      </c>
      <c r="HT216" s="1605" t="s">
        <v>1763</v>
      </c>
      <c r="HU216" s="1605" t="s">
        <v>1763</v>
      </c>
      <c r="HV216" s="1617"/>
      <c r="HW216" s="1617" t="s">
        <v>3208</v>
      </c>
      <c r="HX216" s="1617">
        <v>0</v>
      </c>
      <c r="HY216" s="1617" t="s">
        <v>3207</v>
      </c>
      <c r="HZ216" s="1603"/>
      <c r="IA216" s="1603"/>
      <c r="IB216" s="1603"/>
      <c r="IC216" s="1603">
        <v>56.357723577235802</v>
      </c>
      <c r="ID216" s="1603">
        <v>57.918699186991901</v>
      </c>
      <c r="IE216" s="1603">
        <v>59.219512195121901</v>
      </c>
      <c r="IF216" s="1603">
        <v>60</v>
      </c>
      <c r="IG216" s="1611" t="s">
        <v>3206</v>
      </c>
      <c r="IH216" s="1616" t="s">
        <v>3213</v>
      </c>
      <c r="II216" s="1615" t="s">
        <v>3212</v>
      </c>
      <c r="IJ216" s="1613">
        <v>0.41228409090909096</v>
      </c>
      <c r="IK216" s="1613">
        <v>0.41228409090909096</v>
      </c>
      <c r="IL216" s="1614">
        <v>0.41228409090909096</v>
      </c>
      <c r="IM216" s="1614">
        <v>0.41228409090909096</v>
      </c>
      <c r="IN216" s="1612">
        <v>0.57299999999999995</v>
      </c>
      <c r="IO216" s="1613">
        <v>0.16071590909090899</v>
      </c>
      <c r="IP216" s="1607" t="s">
        <v>270</v>
      </c>
      <c r="IQ216" s="1612">
        <v>2.1800000000000002</v>
      </c>
      <c r="IR216" s="1612">
        <v>5.2999999999999999E-2</v>
      </c>
      <c r="IS216" s="1607">
        <v>0.40828409090909096</v>
      </c>
      <c r="IT216" s="1607">
        <v>0.40828409090909096</v>
      </c>
      <c r="IU216" s="1611">
        <v>1.1363636363636365E-5</v>
      </c>
      <c r="IV216" s="1611">
        <v>2.7727272727272726E-3</v>
      </c>
      <c r="IW216" s="1611">
        <v>8.0681818181818177E-4</v>
      </c>
      <c r="IX216" s="1611">
        <v>1.0681818181818182E-3</v>
      </c>
      <c r="IY216" s="1611">
        <v>8.1818181818181816E-4</v>
      </c>
      <c r="IZ216" s="1611">
        <v>7.624999999999999E-3</v>
      </c>
      <c r="JA216" s="1611">
        <v>1.7045454545454544E-4</v>
      </c>
      <c r="JB216" s="1611" t="s">
        <v>270</v>
      </c>
      <c r="JC216" s="1611">
        <v>0.15605681818181819</v>
      </c>
      <c r="JD216" s="1611">
        <v>6.6249999999999998E-3</v>
      </c>
      <c r="JE216" s="1611" t="s">
        <v>270</v>
      </c>
      <c r="JF216" s="1611">
        <v>2.7272727272727268E-4</v>
      </c>
      <c r="JG216" s="1611">
        <v>4.1114204545454545</v>
      </c>
      <c r="JH216" s="1611">
        <v>2.2727272727272727E-4</v>
      </c>
      <c r="JI216" s="1611">
        <v>5.213636363636364E-2</v>
      </c>
      <c r="JJ216" s="1611" t="s">
        <v>270</v>
      </c>
      <c r="JK216" s="1607">
        <f t="shared" si="12"/>
        <v>4.0000000000000036E-3</v>
      </c>
      <c r="JL216" s="1608" t="s">
        <v>270</v>
      </c>
      <c r="JM216" s="1610" t="s">
        <v>2924</v>
      </c>
      <c r="JN216" s="1608">
        <v>0</v>
      </c>
      <c r="JO216" s="1609" t="s">
        <v>2923</v>
      </c>
      <c r="JP216" s="1608" t="s">
        <v>270</v>
      </c>
      <c r="JQ216" s="1607">
        <v>202103</v>
      </c>
      <c r="JR216" s="1606">
        <v>544</v>
      </c>
      <c r="JS216" s="1606">
        <v>492</v>
      </c>
      <c r="JT216" s="1606">
        <v>492</v>
      </c>
    </row>
    <row r="217" spans="1:280" ht="15" customHeight="1" x14ac:dyDescent="0.2">
      <c r="A217" s="1626">
        <v>52111</v>
      </c>
      <c r="B217" s="1625">
        <v>521</v>
      </c>
      <c r="C217" s="1624">
        <v>11</v>
      </c>
      <c r="D217" s="1623" t="s">
        <v>3217</v>
      </c>
      <c r="E217" s="1622">
        <v>44497</v>
      </c>
      <c r="F217" s="1620">
        <v>1.1083541908633374</v>
      </c>
      <c r="G217" s="1620">
        <v>1.0948471836734697</v>
      </c>
      <c r="H217" s="1621">
        <v>88.7</v>
      </c>
      <c r="I217" s="1621">
        <v>84.600000000000009</v>
      </c>
      <c r="J217" s="1621">
        <v>90</v>
      </c>
      <c r="K217" s="1620">
        <v>1</v>
      </c>
      <c r="L217" s="1620">
        <v>85</v>
      </c>
      <c r="M217" s="1620">
        <v>8</v>
      </c>
      <c r="N217" s="1620">
        <v>1.7</v>
      </c>
      <c r="O217" s="1620">
        <v>1.5</v>
      </c>
      <c r="P217" s="1620">
        <v>2.2999999999999998</v>
      </c>
      <c r="Q217" s="1603"/>
      <c r="R217" s="1620">
        <v>77</v>
      </c>
      <c r="S217" s="1620">
        <v>28</v>
      </c>
      <c r="T217" s="1620">
        <v>41.008130081300799</v>
      </c>
      <c r="U217" s="1620">
        <v>46.211382113821102</v>
      </c>
      <c r="V217" s="1620">
        <v>50.894308943089399</v>
      </c>
      <c r="W217" s="1620">
        <v>54.016260162601597</v>
      </c>
      <c r="X217" s="1620"/>
      <c r="Y217" s="1620">
        <v>0.47058823529411764</v>
      </c>
      <c r="Z217" s="1620">
        <v>3.0588235294117645</v>
      </c>
      <c r="AA217" s="1620">
        <v>0.11764705882352941</v>
      </c>
      <c r="AB217" s="1620">
        <v>0.84765177548682702</v>
      </c>
      <c r="AC217" s="1620">
        <v>5.2588235294117647</v>
      </c>
      <c r="AD217" s="1620">
        <v>0.96470588235294119</v>
      </c>
      <c r="AE217" s="1620">
        <v>1.2714776632302354</v>
      </c>
      <c r="AF217" s="1620">
        <v>33.317647058823532</v>
      </c>
      <c r="AG217" s="1620">
        <v>2.952941176470588</v>
      </c>
      <c r="AH217" s="1620">
        <v>24.776470588235295</v>
      </c>
      <c r="AI217" s="1620">
        <v>31.870588235294118</v>
      </c>
      <c r="AJ217" s="1620">
        <v>0</v>
      </c>
      <c r="AK217" s="1620">
        <v>0.03</v>
      </c>
      <c r="AL217" s="1620"/>
      <c r="AM217" s="1620">
        <v>3.7</v>
      </c>
      <c r="AN217" s="1620">
        <v>1.7</v>
      </c>
      <c r="AO217" s="1620">
        <v>2.35</v>
      </c>
      <c r="AP217" s="1620">
        <v>3.29</v>
      </c>
      <c r="AQ217" s="1620">
        <v>1.07</v>
      </c>
      <c r="AR217" s="1620">
        <v>3.48</v>
      </c>
      <c r="AS217" s="1620">
        <v>6.28</v>
      </c>
      <c r="AT217" s="1620">
        <v>2.2799999999999998</v>
      </c>
      <c r="AU217" s="1620">
        <v>4.49</v>
      </c>
      <c r="AV217" s="1620">
        <v>2.7</v>
      </c>
      <c r="AW217" s="1620">
        <v>4.67</v>
      </c>
      <c r="AX217" s="1620"/>
      <c r="AY217" s="1620">
        <v>0.97</v>
      </c>
      <c r="AZ217" s="1620">
        <v>1.04</v>
      </c>
      <c r="BA217" s="1620">
        <v>1.01</v>
      </c>
      <c r="BB217" s="1620">
        <v>0.88</v>
      </c>
      <c r="BC217" s="1620">
        <v>0.99</v>
      </c>
      <c r="BD217" s="1620">
        <v>1</v>
      </c>
      <c r="BE217" s="1620">
        <v>1.03</v>
      </c>
      <c r="BF217" s="1620">
        <v>1.03</v>
      </c>
      <c r="BG217" s="1620">
        <v>1.06</v>
      </c>
      <c r="BH217" s="1620">
        <v>1</v>
      </c>
      <c r="BI217" s="1620">
        <v>0.99</v>
      </c>
      <c r="BJ217" s="1603"/>
      <c r="BK217" s="1620">
        <v>9.4117647058823533</v>
      </c>
      <c r="BL217" s="1620">
        <v>2</v>
      </c>
      <c r="BM217" s="1620">
        <v>1.7647058823529411</v>
      </c>
      <c r="BN217" s="1620">
        <v>2.7058823529411762</v>
      </c>
      <c r="BO217" s="1620"/>
      <c r="BP217" s="1620">
        <v>105</v>
      </c>
      <c r="BQ217" s="1620">
        <v>21.000000000000004</v>
      </c>
      <c r="BR217" s="1620">
        <v>1.303946106898044</v>
      </c>
      <c r="BS217" s="1620">
        <v>1.2880555102040818</v>
      </c>
      <c r="BT217" s="1603"/>
      <c r="BU217" s="1620">
        <v>982.35294117647061</v>
      </c>
      <c r="BV217" s="1620">
        <v>708.76218487394988</v>
      </c>
      <c r="BW217" s="1620">
        <v>57.53781512605034</v>
      </c>
      <c r="BX217" s="1620">
        <v>612.99999999999989</v>
      </c>
      <c r="BY217" s="1620">
        <v>32</v>
      </c>
      <c r="BZ217" s="1620">
        <v>39</v>
      </c>
      <c r="CA217" s="1620">
        <v>129</v>
      </c>
      <c r="CB217" s="1603"/>
      <c r="CC217" s="1603">
        <v>0.39999999999999997</v>
      </c>
      <c r="CD217" s="1603">
        <v>2.5999999999999996</v>
      </c>
      <c r="CE217" s="1603">
        <v>9.9999999999999992E-2</v>
      </c>
      <c r="CF217" s="1603">
        <v>0.72050400916380297</v>
      </c>
      <c r="CG217" s="1603">
        <v>4.47</v>
      </c>
      <c r="CH217" s="1603">
        <v>0.82</v>
      </c>
      <c r="CI217" s="1603">
        <v>1.0807560137457</v>
      </c>
      <c r="CJ217" s="1603"/>
      <c r="CK217" s="1603">
        <v>28.32</v>
      </c>
      <c r="CL217" s="1603">
        <v>2.5099999999999998</v>
      </c>
      <c r="CM217" s="1603">
        <v>21.06</v>
      </c>
      <c r="CN217" s="1603">
        <v>27.09</v>
      </c>
      <c r="CO217" s="1603">
        <v>0</v>
      </c>
      <c r="CP217" s="1603">
        <v>2.5499999999999998E-2</v>
      </c>
      <c r="CQ217" s="1603">
        <v>61.6</v>
      </c>
      <c r="CR217" s="1603">
        <v>55.577901457671686</v>
      </c>
      <c r="CS217" s="1603">
        <v>1.9946908833158368</v>
      </c>
      <c r="CT217" s="1603">
        <v>0.98261729777163542</v>
      </c>
      <c r="CU217" s="1603">
        <v>1.3191414910978372</v>
      </c>
      <c r="CV217" s="1603">
        <v>2.3017587888694724</v>
      </c>
      <c r="CW217" s="1603">
        <v>1.6090914030025105</v>
      </c>
      <c r="CX217" s="1603">
        <v>0.58873671014111628</v>
      </c>
      <c r="CY217" s="1603">
        <v>1.9341109707269744</v>
      </c>
      <c r="CZ217" s="1603">
        <v>3.5950009778880352</v>
      </c>
      <c r="DA217" s="1603">
        <v>1.3051914378319618</v>
      </c>
      <c r="DB217" s="1603">
        <v>2.6451746419764266</v>
      </c>
      <c r="DC217" s="1603">
        <v>1.5006033393571356</v>
      </c>
      <c r="DD217" s="1603">
        <v>4.1457779813335627</v>
      </c>
      <c r="DE217" s="1603">
        <v>2.5695331180925352</v>
      </c>
      <c r="DF217" s="1603">
        <v>0</v>
      </c>
      <c r="DG217" s="1603">
        <v>0</v>
      </c>
      <c r="DH217" s="1603">
        <v>0</v>
      </c>
      <c r="DI217" s="1603">
        <v>0</v>
      </c>
      <c r="DJ217" s="1603">
        <v>0</v>
      </c>
      <c r="DK217" s="1603">
        <v>0</v>
      </c>
      <c r="DL217" s="1603">
        <v>0</v>
      </c>
      <c r="DM217" s="1603">
        <v>0</v>
      </c>
      <c r="DN217" s="1603">
        <v>0</v>
      </c>
      <c r="DO217" s="1603">
        <v>0</v>
      </c>
      <c r="DP217" s="1603">
        <v>0</v>
      </c>
      <c r="DQ217" s="1603">
        <v>0</v>
      </c>
      <c r="DR217" s="1603">
        <v>0</v>
      </c>
      <c r="DS217" s="1603">
        <v>0</v>
      </c>
      <c r="DT217" s="1603">
        <v>0</v>
      </c>
      <c r="DU217" s="1603">
        <v>0</v>
      </c>
      <c r="DV217" s="1603">
        <v>0</v>
      </c>
      <c r="DW217" s="1618" t="s">
        <v>3209</v>
      </c>
      <c r="DX217" s="1605">
        <v>14</v>
      </c>
      <c r="DY217" s="1605">
        <v>14</v>
      </c>
      <c r="DZ217" s="1605">
        <v>7</v>
      </c>
      <c r="EA217" s="1605">
        <v>7</v>
      </c>
      <c r="EB217" s="1605" t="s">
        <v>986</v>
      </c>
      <c r="EC217" s="1605">
        <v>7</v>
      </c>
      <c r="ED217" s="1605">
        <v>7</v>
      </c>
      <c r="EE217" s="1605">
        <v>8</v>
      </c>
      <c r="EF217" s="1605">
        <v>7</v>
      </c>
      <c r="EG217" s="1605">
        <v>7</v>
      </c>
      <c r="EH217" s="1605" t="s">
        <v>986</v>
      </c>
      <c r="EI217" s="1605" t="s">
        <v>986</v>
      </c>
      <c r="EJ217" s="1605" t="s">
        <v>986</v>
      </c>
      <c r="EK217" s="1605" t="s">
        <v>986</v>
      </c>
      <c r="EL217" s="1605" t="s">
        <v>986</v>
      </c>
      <c r="EM217" s="1605" t="s">
        <v>986</v>
      </c>
      <c r="EN217" s="1605" t="s">
        <v>986</v>
      </c>
      <c r="EO217" s="1605" t="s">
        <v>986</v>
      </c>
      <c r="EP217" s="1605" t="s">
        <v>986</v>
      </c>
      <c r="EQ217" s="1605" t="s">
        <v>986</v>
      </c>
      <c r="ER217" s="1605" t="s">
        <v>986</v>
      </c>
      <c r="ES217" s="1605">
        <v>7</v>
      </c>
      <c r="ET217" s="1605">
        <v>14</v>
      </c>
      <c r="EU217" s="1605">
        <v>6</v>
      </c>
      <c r="EV217" s="1605">
        <v>8</v>
      </c>
      <c r="EW217" s="1605">
        <v>7</v>
      </c>
      <c r="EX217" s="1605">
        <v>7</v>
      </c>
      <c r="EY217" s="1605" t="s">
        <v>986</v>
      </c>
      <c r="EZ217" s="1605">
        <v>7</v>
      </c>
      <c r="FA217" s="1605">
        <v>7</v>
      </c>
      <c r="FB217" s="1605">
        <v>7</v>
      </c>
      <c r="FC217" s="1605">
        <v>7</v>
      </c>
      <c r="FD217" s="1605" t="s">
        <v>986</v>
      </c>
      <c r="FE217" s="1605" t="s">
        <v>986</v>
      </c>
      <c r="FF217" s="1605">
        <v>1.0432672684439945</v>
      </c>
      <c r="FG217" s="1605">
        <v>0.40266008644303414</v>
      </c>
      <c r="FH217" s="1605">
        <v>0.15568609246578383</v>
      </c>
      <c r="FI217" s="1605">
        <v>0.10300687301489456</v>
      </c>
      <c r="FJ217" s="1605" t="s">
        <v>986</v>
      </c>
      <c r="FK217" s="1605">
        <v>0.54004398666087761</v>
      </c>
      <c r="FL217" s="1605">
        <v>0.3659023231878763</v>
      </c>
      <c r="FM217" s="1605" t="s">
        <v>986</v>
      </c>
      <c r="FN217" s="1605">
        <v>0.85942773833944341</v>
      </c>
      <c r="FO217" s="1605">
        <v>0.71680820404792822</v>
      </c>
      <c r="FP217" s="1605" t="s">
        <v>986</v>
      </c>
      <c r="FQ217" s="1605" t="s">
        <v>986</v>
      </c>
      <c r="FR217" s="1605" t="s">
        <v>986</v>
      </c>
      <c r="FS217" s="1605" t="s">
        <v>986</v>
      </c>
      <c r="FT217" s="1605" t="s">
        <v>986</v>
      </c>
      <c r="FU217" s="1605" t="s">
        <v>986</v>
      </c>
      <c r="FV217" s="1605" t="s">
        <v>986</v>
      </c>
      <c r="FW217" s="1605" t="s">
        <v>986</v>
      </c>
      <c r="FX217" s="1605" t="s">
        <v>986</v>
      </c>
      <c r="FY217" s="1605" t="s">
        <v>986</v>
      </c>
      <c r="FZ217" s="1605" t="s">
        <v>986</v>
      </c>
      <c r="GA217" s="1605">
        <v>3.7324845712636112E-2</v>
      </c>
      <c r="GB217" s="1605">
        <v>0.21646602055180694</v>
      </c>
      <c r="GC217" s="1605">
        <v>1.4526041865496123E-3</v>
      </c>
      <c r="GD217" s="1605">
        <v>0.09</v>
      </c>
      <c r="GE217" s="1605">
        <v>0.45829591210848475</v>
      </c>
      <c r="GF217" s="1605">
        <v>5.5249687672177902E-2</v>
      </c>
      <c r="GG217" s="1605" t="s">
        <v>986</v>
      </c>
      <c r="GH217" s="1605">
        <v>6.7282922499356621</v>
      </c>
      <c r="GI217" s="1605">
        <v>0.66924180818944823</v>
      </c>
      <c r="GJ217" s="1605">
        <v>2.2846378744167786</v>
      </c>
      <c r="GK217" s="1605">
        <v>3.5739039254751659</v>
      </c>
      <c r="GL217" s="1605" t="s">
        <v>986</v>
      </c>
      <c r="GM217" s="1605" t="s">
        <v>986</v>
      </c>
      <c r="GN217" s="1605" t="s">
        <v>2217</v>
      </c>
      <c r="GO217" s="1605" t="s">
        <v>2217</v>
      </c>
      <c r="GP217" s="1605" t="s">
        <v>2217</v>
      </c>
      <c r="GQ217" s="1605" t="s">
        <v>2217</v>
      </c>
      <c r="GR217" s="1605" t="s">
        <v>1763</v>
      </c>
      <c r="GS217" s="1605" t="s">
        <v>2217</v>
      </c>
      <c r="GT217" s="1605" t="s">
        <v>2217</v>
      </c>
      <c r="GU217" s="1605" t="s">
        <v>1763</v>
      </c>
      <c r="GV217" s="1605" t="s">
        <v>2217</v>
      </c>
      <c r="GW217" s="1605" t="s">
        <v>2217</v>
      </c>
      <c r="GX217" s="1605" t="s">
        <v>2217</v>
      </c>
      <c r="GY217" s="1605" t="s">
        <v>2217</v>
      </c>
      <c r="GZ217" s="1605" t="s">
        <v>2217</v>
      </c>
      <c r="HA217" s="1605" t="s">
        <v>2217</v>
      </c>
      <c r="HB217" s="1605" t="s">
        <v>1763</v>
      </c>
      <c r="HC217" s="1605" t="s">
        <v>2217</v>
      </c>
      <c r="HD217" s="1605" t="s">
        <v>2217</v>
      </c>
      <c r="HE217" s="1605" t="s">
        <v>2217</v>
      </c>
      <c r="HF217" s="1605" t="s">
        <v>2217</v>
      </c>
      <c r="HG217" s="1605" t="s">
        <v>2217</v>
      </c>
      <c r="HH217" s="1605" t="s">
        <v>2217</v>
      </c>
      <c r="HI217" s="1605" t="s">
        <v>2217</v>
      </c>
      <c r="HJ217" s="1605" t="s">
        <v>2217</v>
      </c>
      <c r="HK217" s="1605" t="s">
        <v>2217</v>
      </c>
      <c r="HL217" s="1605" t="s">
        <v>1578</v>
      </c>
      <c r="HM217" s="1605" t="s">
        <v>2217</v>
      </c>
      <c r="HN217" s="1605" t="s">
        <v>2217</v>
      </c>
      <c r="HO217" s="1605" t="s">
        <v>986</v>
      </c>
      <c r="HP217" s="1605" t="s">
        <v>2217</v>
      </c>
      <c r="HQ217" s="1605" t="s">
        <v>2217</v>
      </c>
      <c r="HR217" s="1605" t="s">
        <v>2217</v>
      </c>
      <c r="HS217" s="1605" t="s">
        <v>2217</v>
      </c>
      <c r="HT217" s="1605" t="s">
        <v>1763</v>
      </c>
      <c r="HU217" s="1605" t="s">
        <v>1763</v>
      </c>
      <c r="HV217" s="1617"/>
      <c r="HW217" s="1617" t="s">
        <v>3208</v>
      </c>
      <c r="HX217" s="1617">
        <v>0</v>
      </c>
      <c r="HY217" s="1617" t="s">
        <v>3207</v>
      </c>
      <c r="HZ217" s="1603"/>
      <c r="IA217" s="1603"/>
      <c r="IB217" s="1603"/>
      <c r="IC217" s="1603">
        <v>56.357723577235802</v>
      </c>
      <c r="ID217" s="1603">
        <v>57.918699186991901</v>
      </c>
      <c r="IE217" s="1603">
        <v>59.219512195121901</v>
      </c>
      <c r="IF217" s="1603">
        <v>60</v>
      </c>
      <c r="IG217" s="1611" t="s">
        <v>3206</v>
      </c>
      <c r="IH217" s="1616" t="s">
        <v>3213</v>
      </c>
      <c r="II217" s="1615" t="s">
        <v>3212</v>
      </c>
      <c r="IJ217" s="1613">
        <v>0.41228409090909096</v>
      </c>
      <c r="IK217" s="1613">
        <v>0.41228409090909096</v>
      </c>
      <c r="IL217" s="1614">
        <v>0.41228409090909096</v>
      </c>
      <c r="IM217" s="1614">
        <v>0.41228409090909096</v>
      </c>
      <c r="IN217" s="1612">
        <v>0.57299999999999995</v>
      </c>
      <c r="IO217" s="1613">
        <v>0.16071590909090899</v>
      </c>
      <c r="IP217" s="1607" t="s">
        <v>270</v>
      </c>
      <c r="IQ217" s="1612">
        <v>2.1800000000000002</v>
      </c>
      <c r="IR217" s="1612">
        <v>5.2999999999999999E-2</v>
      </c>
      <c r="IS217" s="1607">
        <v>0.40828409090909096</v>
      </c>
      <c r="IT217" s="1607">
        <v>0.40828409090909096</v>
      </c>
      <c r="IU217" s="1611">
        <v>1.1363636363636365E-5</v>
      </c>
      <c r="IV217" s="1611">
        <v>2.7727272727272726E-3</v>
      </c>
      <c r="IW217" s="1611">
        <v>8.0681818181818177E-4</v>
      </c>
      <c r="IX217" s="1611">
        <v>1.0681818181818182E-3</v>
      </c>
      <c r="IY217" s="1611">
        <v>8.1818181818181816E-4</v>
      </c>
      <c r="IZ217" s="1611">
        <v>7.624999999999999E-3</v>
      </c>
      <c r="JA217" s="1611">
        <v>1.7045454545454544E-4</v>
      </c>
      <c r="JB217" s="1611" t="s">
        <v>270</v>
      </c>
      <c r="JC217" s="1611">
        <v>0.15605681818181819</v>
      </c>
      <c r="JD217" s="1611">
        <v>6.6249999999999998E-3</v>
      </c>
      <c r="JE217" s="1611" t="s">
        <v>270</v>
      </c>
      <c r="JF217" s="1611">
        <v>2.7272727272727268E-4</v>
      </c>
      <c r="JG217" s="1611">
        <v>4.1114204545454545</v>
      </c>
      <c r="JH217" s="1611">
        <v>2.2727272727272727E-4</v>
      </c>
      <c r="JI217" s="1611">
        <v>5.213636363636364E-2</v>
      </c>
      <c r="JJ217" s="1611" t="s">
        <v>270</v>
      </c>
      <c r="JK217" s="1607">
        <f t="shared" si="12"/>
        <v>4.0000000000000036E-3</v>
      </c>
      <c r="JL217" s="1608" t="s">
        <v>270</v>
      </c>
      <c r="JM217" s="1610" t="s">
        <v>2924</v>
      </c>
      <c r="JN217" s="1608">
        <v>0</v>
      </c>
      <c r="JO217" s="1609" t="s">
        <v>2923</v>
      </c>
      <c r="JP217" s="1608" t="s">
        <v>270</v>
      </c>
      <c r="JQ217" s="1607">
        <v>202103</v>
      </c>
      <c r="JR217" s="1606">
        <v>544</v>
      </c>
      <c r="JS217" s="1606">
        <v>492</v>
      </c>
      <c r="JT217" s="1606">
        <v>492</v>
      </c>
    </row>
    <row r="218" spans="1:280" ht="15" customHeight="1" x14ac:dyDescent="0.2">
      <c r="A218" s="1626">
        <v>52311</v>
      </c>
      <c r="B218" s="1625">
        <v>523</v>
      </c>
      <c r="C218" s="1624">
        <v>11</v>
      </c>
      <c r="D218" s="1623" t="s">
        <v>3216</v>
      </c>
      <c r="E218" s="1622">
        <v>43367</v>
      </c>
      <c r="F218" s="1620">
        <v>1.1043511227255101</v>
      </c>
      <c r="G218" s="1620">
        <v>1.0934991458256</v>
      </c>
      <c r="H218" s="1621">
        <v>89.6</v>
      </c>
      <c r="I218" s="1621">
        <v>84.2</v>
      </c>
      <c r="J218" s="1621">
        <v>90</v>
      </c>
      <c r="K218" s="1620">
        <v>1</v>
      </c>
      <c r="L218" s="1620">
        <v>85</v>
      </c>
      <c r="M218" s="1620">
        <v>9.9999999999999591</v>
      </c>
      <c r="N218" s="1620">
        <v>1.7</v>
      </c>
      <c r="O218" s="1620">
        <v>1.4</v>
      </c>
      <c r="P218" s="1620">
        <v>2.2999999999999998</v>
      </c>
      <c r="Q218" s="1603"/>
      <c r="R218" s="1620">
        <v>77</v>
      </c>
      <c r="S218" s="1620">
        <v>28</v>
      </c>
      <c r="T218" s="1620">
        <v>41.008130081300799</v>
      </c>
      <c r="U218" s="1620">
        <v>46.211382113821102</v>
      </c>
      <c r="V218" s="1620">
        <v>50.894308943089399</v>
      </c>
      <c r="W218" s="1620">
        <v>54.016260162601597</v>
      </c>
      <c r="X218" s="1620"/>
      <c r="Y218" s="1620">
        <v>0.49411764705882355</v>
      </c>
      <c r="Z218" s="1620">
        <v>2.9176470588235293</v>
      </c>
      <c r="AA218" s="1620">
        <v>0.1</v>
      </c>
      <c r="AB218" s="1620">
        <v>0.84705882352941175</v>
      </c>
      <c r="AC218" s="1620">
        <v>4.4705882352941178</v>
      </c>
      <c r="AD218" s="1620">
        <v>0.94117647058823528</v>
      </c>
      <c r="AE218" s="1620">
        <v>1.2715000000000001</v>
      </c>
      <c r="AF218" s="1620">
        <v>36.470588235294116</v>
      </c>
      <c r="AG218" s="1620">
        <v>3.1764705882352939</v>
      </c>
      <c r="AH218" s="1620">
        <v>22.117647058823529</v>
      </c>
      <c r="AI218" s="1620">
        <v>28.235294117647058</v>
      </c>
      <c r="AJ218" s="1620">
        <v>0</v>
      </c>
      <c r="AK218" s="1620">
        <v>0.03</v>
      </c>
      <c r="AL218" s="1620"/>
      <c r="AM218" s="1620">
        <v>3.7</v>
      </c>
      <c r="AN218" s="1620">
        <v>1.7</v>
      </c>
      <c r="AO218" s="1620">
        <v>2.35</v>
      </c>
      <c r="AP218" s="1620">
        <v>3.29</v>
      </c>
      <c r="AQ218" s="1620">
        <v>1.07</v>
      </c>
      <c r="AR218" s="1620">
        <v>3.48</v>
      </c>
      <c r="AS218" s="1620">
        <v>6.28</v>
      </c>
      <c r="AT218" s="1620">
        <v>2.2799999999999998</v>
      </c>
      <c r="AU218" s="1620">
        <v>4.49</v>
      </c>
      <c r="AV218" s="1620">
        <v>2.7</v>
      </c>
      <c r="AW218" s="1620">
        <v>4.67</v>
      </c>
      <c r="AX218" s="1620"/>
      <c r="AY218" s="1620">
        <v>0.97</v>
      </c>
      <c r="AZ218" s="1620">
        <v>1.04</v>
      </c>
      <c r="BA218" s="1620">
        <v>1.01</v>
      </c>
      <c r="BB218" s="1620">
        <v>0.88</v>
      </c>
      <c r="BC218" s="1620">
        <v>0.99</v>
      </c>
      <c r="BD218" s="1620">
        <v>1</v>
      </c>
      <c r="BE218" s="1620">
        <v>1.03</v>
      </c>
      <c r="BF218" s="1620">
        <v>1.03</v>
      </c>
      <c r="BG218" s="1620">
        <v>1.06</v>
      </c>
      <c r="BH218" s="1620">
        <v>1</v>
      </c>
      <c r="BI218" s="1620">
        <v>0.99</v>
      </c>
      <c r="BJ218" s="1603"/>
      <c r="BK218" s="1620">
        <v>11.764705882352892</v>
      </c>
      <c r="BL218" s="1620">
        <v>2</v>
      </c>
      <c r="BM218" s="1620">
        <v>1.6470588235294117</v>
      </c>
      <c r="BN218" s="1620">
        <v>2.7058823529411762</v>
      </c>
      <c r="BO218" s="1620"/>
      <c r="BP218" s="1620">
        <v>105</v>
      </c>
      <c r="BQ218" s="1620">
        <v>21.000000000000004</v>
      </c>
      <c r="BR218" s="1620">
        <v>1.2992366149711883</v>
      </c>
      <c r="BS218" s="1620">
        <v>1.2864695833242354</v>
      </c>
      <c r="BT218" s="1603"/>
      <c r="BU218" s="1620">
        <v>983.52941176470586</v>
      </c>
      <c r="BV218" s="1620">
        <v>678.91126050420223</v>
      </c>
      <c r="BW218" s="1620">
        <v>75.87226890756294</v>
      </c>
      <c r="BX218" s="1620">
        <v>612.99999999999989</v>
      </c>
      <c r="BY218" s="1620">
        <v>32</v>
      </c>
      <c r="BZ218" s="1620">
        <v>39</v>
      </c>
      <c r="CA218" s="1620">
        <v>129</v>
      </c>
      <c r="CB218" s="1603"/>
      <c r="CC218" s="1603">
        <v>0.42</v>
      </c>
      <c r="CD218" s="1603">
        <v>2.48</v>
      </c>
      <c r="CE218" s="1603">
        <v>8.5000000000000006E-2</v>
      </c>
      <c r="CF218" s="1603">
        <v>0.72</v>
      </c>
      <c r="CG218" s="1603">
        <v>3.8</v>
      </c>
      <c r="CH218" s="1603">
        <v>0.79999999999999993</v>
      </c>
      <c r="CI218" s="1603">
        <v>1.080775</v>
      </c>
      <c r="CJ218" s="1603"/>
      <c r="CK218" s="1603">
        <v>30.999999999999996</v>
      </c>
      <c r="CL218" s="1603">
        <v>2.6999999999999997</v>
      </c>
      <c r="CM218" s="1603">
        <v>18.8</v>
      </c>
      <c r="CN218" s="1603">
        <v>24</v>
      </c>
      <c r="CO218" s="1603">
        <v>0</v>
      </c>
      <c r="CP218" s="1603">
        <v>2.5499999999999998E-2</v>
      </c>
      <c r="CQ218" s="1603">
        <v>77</v>
      </c>
      <c r="CR218" s="1603">
        <v>69.724201311957728</v>
      </c>
      <c r="CS218" s="1603">
        <v>2.5024015850861541</v>
      </c>
      <c r="CT218" s="1603">
        <v>1.2327238791954125</v>
      </c>
      <c r="CU218" s="1603">
        <v>1.6549039181393077</v>
      </c>
      <c r="CV218" s="1603">
        <v>2.8876277973347206</v>
      </c>
      <c r="CW218" s="1603">
        <v>2.0186550763837912</v>
      </c>
      <c r="CX218" s="1603">
        <v>0.73858846449756543</v>
      </c>
      <c r="CY218" s="1603">
        <v>2.4264022056561201</v>
      </c>
      <c r="CZ218" s="1603">
        <v>4.5100402376626558</v>
      </c>
      <c r="DA218" s="1603">
        <v>1.6374031436100063</v>
      </c>
      <c r="DB218" s="1603">
        <v>3.3184536372413072</v>
      </c>
      <c r="DC218" s="1603">
        <v>1.8825534354228497</v>
      </c>
      <c r="DD218" s="1603">
        <v>5.2010070726641571</v>
      </c>
      <c r="DE218" s="1603">
        <v>3.2235589992557325</v>
      </c>
      <c r="DF218" s="1603">
        <v>0</v>
      </c>
      <c r="DG218" s="1603">
        <v>0</v>
      </c>
      <c r="DH218" s="1603">
        <v>0</v>
      </c>
      <c r="DI218" s="1603">
        <v>0</v>
      </c>
      <c r="DJ218" s="1603">
        <v>0</v>
      </c>
      <c r="DK218" s="1603">
        <v>0</v>
      </c>
      <c r="DL218" s="1603">
        <v>0</v>
      </c>
      <c r="DM218" s="1603">
        <v>0</v>
      </c>
      <c r="DN218" s="1603">
        <v>0</v>
      </c>
      <c r="DO218" s="1603">
        <v>0</v>
      </c>
      <c r="DP218" s="1603">
        <v>0</v>
      </c>
      <c r="DQ218" s="1603">
        <v>0</v>
      </c>
      <c r="DR218" s="1603">
        <v>0</v>
      </c>
      <c r="DS218" s="1603">
        <v>0</v>
      </c>
      <c r="DT218" s="1603">
        <v>0</v>
      </c>
      <c r="DU218" s="1603">
        <v>0</v>
      </c>
      <c r="DV218" s="1603">
        <v>0</v>
      </c>
      <c r="DW218" s="1618" t="s">
        <v>3209</v>
      </c>
      <c r="DX218" s="1605" t="s">
        <v>986</v>
      </c>
      <c r="DY218" s="1605" t="s">
        <v>986</v>
      </c>
      <c r="DZ218" s="1605" t="s">
        <v>986</v>
      </c>
      <c r="EA218" s="1605" t="s">
        <v>986</v>
      </c>
      <c r="EB218" s="1605" t="s">
        <v>986</v>
      </c>
      <c r="EC218" s="1605" t="s">
        <v>986</v>
      </c>
      <c r="ED218" s="1605" t="s">
        <v>986</v>
      </c>
      <c r="EE218" s="1605" t="s">
        <v>986</v>
      </c>
      <c r="EF218" s="1605" t="s">
        <v>986</v>
      </c>
      <c r="EG218" s="1605" t="s">
        <v>986</v>
      </c>
      <c r="EH218" s="1605" t="s">
        <v>986</v>
      </c>
      <c r="EI218" s="1605" t="s">
        <v>986</v>
      </c>
      <c r="EJ218" s="1605" t="s">
        <v>986</v>
      </c>
      <c r="EK218" s="1605" t="s">
        <v>986</v>
      </c>
      <c r="EL218" s="1605" t="s">
        <v>986</v>
      </c>
      <c r="EM218" s="1605" t="s">
        <v>986</v>
      </c>
      <c r="EN218" s="1605" t="s">
        <v>986</v>
      </c>
      <c r="EO218" s="1605" t="s">
        <v>986</v>
      </c>
      <c r="EP218" s="1605" t="s">
        <v>986</v>
      </c>
      <c r="EQ218" s="1605" t="s">
        <v>986</v>
      </c>
      <c r="ER218" s="1605" t="s">
        <v>986</v>
      </c>
      <c r="ES218" s="1605" t="s">
        <v>986</v>
      </c>
      <c r="ET218" s="1605" t="s">
        <v>986</v>
      </c>
      <c r="EU218" s="1605" t="s">
        <v>986</v>
      </c>
      <c r="EV218" s="1605" t="s">
        <v>986</v>
      </c>
      <c r="EW218" s="1605" t="s">
        <v>986</v>
      </c>
      <c r="EX218" s="1605" t="s">
        <v>986</v>
      </c>
      <c r="EY218" s="1605" t="s">
        <v>986</v>
      </c>
      <c r="EZ218" s="1605" t="s">
        <v>986</v>
      </c>
      <c r="FA218" s="1605" t="s">
        <v>986</v>
      </c>
      <c r="FB218" s="1605" t="s">
        <v>986</v>
      </c>
      <c r="FC218" s="1605" t="s">
        <v>986</v>
      </c>
      <c r="FD218" s="1605" t="s">
        <v>986</v>
      </c>
      <c r="FE218" s="1605" t="s">
        <v>986</v>
      </c>
      <c r="FF218" s="1605" t="s">
        <v>986</v>
      </c>
      <c r="FG218" s="1605" t="s">
        <v>986</v>
      </c>
      <c r="FH218" s="1605" t="s">
        <v>986</v>
      </c>
      <c r="FI218" s="1605" t="s">
        <v>986</v>
      </c>
      <c r="FJ218" s="1605" t="s">
        <v>986</v>
      </c>
      <c r="FK218" s="1605" t="s">
        <v>986</v>
      </c>
      <c r="FL218" s="1605" t="s">
        <v>986</v>
      </c>
      <c r="FM218" s="1605" t="s">
        <v>986</v>
      </c>
      <c r="FN218" s="1605" t="s">
        <v>986</v>
      </c>
      <c r="FO218" s="1605" t="s">
        <v>986</v>
      </c>
      <c r="FP218" s="1605" t="s">
        <v>986</v>
      </c>
      <c r="FQ218" s="1605" t="s">
        <v>986</v>
      </c>
      <c r="FR218" s="1605" t="s">
        <v>986</v>
      </c>
      <c r="FS218" s="1605" t="s">
        <v>986</v>
      </c>
      <c r="FT218" s="1605" t="s">
        <v>986</v>
      </c>
      <c r="FU218" s="1605" t="s">
        <v>986</v>
      </c>
      <c r="FV218" s="1605" t="s">
        <v>986</v>
      </c>
      <c r="FW218" s="1605" t="s">
        <v>986</v>
      </c>
      <c r="FX218" s="1605" t="s">
        <v>986</v>
      </c>
      <c r="FY218" s="1605" t="s">
        <v>986</v>
      </c>
      <c r="FZ218" s="1605" t="s">
        <v>986</v>
      </c>
      <c r="GA218" s="1605" t="s">
        <v>986</v>
      </c>
      <c r="GB218" s="1605" t="s">
        <v>986</v>
      </c>
      <c r="GC218" s="1605" t="s">
        <v>986</v>
      </c>
      <c r="GD218" s="1605" t="s">
        <v>986</v>
      </c>
      <c r="GE218" s="1605" t="s">
        <v>986</v>
      </c>
      <c r="GF218" s="1605" t="s">
        <v>986</v>
      </c>
      <c r="GG218" s="1605" t="s">
        <v>986</v>
      </c>
      <c r="GH218" s="1605" t="s">
        <v>986</v>
      </c>
      <c r="GI218" s="1605" t="s">
        <v>986</v>
      </c>
      <c r="GJ218" s="1605" t="s">
        <v>986</v>
      </c>
      <c r="GK218" s="1605" t="s">
        <v>986</v>
      </c>
      <c r="GL218" s="1605" t="s">
        <v>986</v>
      </c>
      <c r="GM218" s="1605" t="s">
        <v>986</v>
      </c>
      <c r="GN218" s="1605" t="s">
        <v>986</v>
      </c>
      <c r="GO218" s="1605" t="s">
        <v>986</v>
      </c>
      <c r="GP218" s="1605" t="s">
        <v>986</v>
      </c>
      <c r="GQ218" s="1605" t="s">
        <v>986</v>
      </c>
      <c r="GR218" s="1605" t="s">
        <v>986</v>
      </c>
      <c r="GS218" s="1605" t="s">
        <v>986</v>
      </c>
      <c r="GT218" s="1605" t="s">
        <v>986</v>
      </c>
      <c r="GU218" s="1605" t="s">
        <v>986</v>
      </c>
      <c r="GV218" s="1605" t="s">
        <v>986</v>
      </c>
      <c r="GW218" s="1605" t="s">
        <v>986</v>
      </c>
      <c r="GX218" s="1605" t="s">
        <v>986</v>
      </c>
      <c r="GY218" s="1605" t="s">
        <v>986</v>
      </c>
      <c r="GZ218" s="1605" t="s">
        <v>986</v>
      </c>
      <c r="HA218" s="1605" t="s">
        <v>986</v>
      </c>
      <c r="HB218" s="1605" t="s">
        <v>986</v>
      </c>
      <c r="HC218" s="1605" t="s">
        <v>986</v>
      </c>
      <c r="HD218" s="1605" t="s">
        <v>986</v>
      </c>
      <c r="HE218" s="1605" t="s">
        <v>986</v>
      </c>
      <c r="HF218" s="1605" t="s">
        <v>986</v>
      </c>
      <c r="HG218" s="1605" t="s">
        <v>986</v>
      </c>
      <c r="HH218" s="1605" t="s">
        <v>986</v>
      </c>
      <c r="HI218" s="1605" t="s">
        <v>986</v>
      </c>
      <c r="HJ218" s="1605" t="s">
        <v>986</v>
      </c>
      <c r="HK218" s="1605" t="s">
        <v>986</v>
      </c>
      <c r="HL218" s="1605" t="s">
        <v>986</v>
      </c>
      <c r="HM218" s="1605" t="s">
        <v>986</v>
      </c>
      <c r="HN218" s="1605" t="s">
        <v>986</v>
      </c>
      <c r="HO218" s="1605" t="s">
        <v>986</v>
      </c>
      <c r="HP218" s="1605" t="s">
        <v>986</v>
      </c>
      <c r="HQ218" s="1605" t="s">
        <v>986</v>
      </c>
      <c r="HR218" s="1605" t="s">
        <v>986</v>
      </c>
      <c r="HS218" s="1605" t="s">
        <v>986</v>
      </c>
      <c r="HT218" s="1605" t="s">
        <v>986</v>
      </c>
      <c r="HU218" s="1605" t="s">
        <v>986</v>
      </c>
      <c r="HV218" s="1617"/>
      <c r="HW218" s="1617" t="s">
        <v>3214</v>
      </c>
      <c r="HX218" s="1617">
        <v>0</v>
      </c>
      <c r="HY218" s="1617" t="s">
        <v>3207</v>
      </c>
      <c r="HZ218" s="1603"/>
      <c r="IA218" s="1603"/>
      <c r="IB218" s="1603"/>
      <c r="IC218" s="1603">
        <v>56.357723577235802</v>
      </c>
      <c r="ID218" s="1603">
        <v>57.918699186991901</v>
      </c>
      <c r="IE218" s="1603">
        <v>59.219512195121901</v>
      </c>
      <c r="IF218" s="1603">
        <v>60</v>
      </c>
      <c r="IG218" s="1611" t="s">
        <v>3206</v>
      </c>
      <c r="IH218" s="1616" t="s">
        <v>3213</v>
      </c>
      <c r="II218" s="1615" t="s">
        <v>3212</v>
      </c>
      <c r="IJ218" s="1613">
        <v>0.41228409090909096</v>
      </c>
      <c r="IK218" s="1613">
        <v>0.41228409090909096</v>
      </c>
      <c r="IL218" s="1614">
        <v>0.41228409090909096</v>
      </c>
      <c r="IM218" s="1614">
        <v>0.41228409090909096</v>
      </c>
      <c r="IN218" s="1612">
        <v>0.57299999999999995</v>
      </c>
      <c r="IO218" s="1613">
        <v>0.16071590909090899</v>
      </c>
      <c r="IP218" s="1607" t="s">
        <v>270</v>
      </c>
      <c r="IQ218" s="1612">
        <v>2.1800000000000002</v>
      </c>
      <c r="IR218" s="1612">
        <v>5.2999999999999999E-2</v>
      </c>
      <c r="IS218" s="1607">
        <v>0.40828409090909096</v>
      </c>
      <c r="IT218" s="1607">
        <v>0.40828409090909096</v>
      </c>
      <c r="IU218" s="1611">
        <v>1.1363636363636365E-5</v>
      </c>
      <c r="IV218" s="1611">
        <v>2.7727272727272726E-3</v>
      </c>
      <c r="IW218" s="1611">
        <v>8.0681818181818177E-4</v>
      </c>
      <c r="IX218" s="1611">
        <v>1.0681818181818182E-3</v>
      </c>
      <c r="IY218" s="1611">
        <v>8.1818181818181816E-4</v>
      </c>
      <c r="IZ218" s="1611">
        <v>7.624999999999999E-3</v>
      </c>
      <c r="JA218" s="1611">
        <v>1.7045454545454544E-4</v>
      </c>
      <c r="JB218" s="1611" t="s">
        <v>270</v>
      </c>
      <c r="JC218" s="1611">
        <v>0.15605681818181819</v>
      </c>
      <c r="JD218" s="1611">
        <v>6.6249999999999998E-3</v>
      </c>
      <c r="JE218" s="1611" t="s">
        <v>270</v>
      </c>
      <c r="JF218" s="1611">
        <v>2.7272727272727268E-4</v>
      </c>
      <c r="JG218" s="1611">
        <v>4.1114204545454545</v>
      </c>
      <c r="JH218" s="1611">
        <v>2.2727272727272727E-4</v>
      </c>
      <c r="JI218" s="1611">
        <v>5.213636363636364E-2</v>
      </c>
      <c r="JJ218" s="1611" t="s">
        <v>270</v>
      </c>
      <c r="JK218" s="1607">
        <f t="shared" si="12"/>
        <v>4.0000000000000036E-3</v>
      </c>
      <c r="JL218" s="1608" t="s">
        <v>270</v>
      </c>
      <c r="JM218" s="1610" t="s">
        <v>2924</v>
      </c>
      <c r="JN218" s="1608">
        <v>0</v>
      </c>
      <c r="JO218" s="1609" t="s">
        <v>2923</v>
      </c>
      <c r="JP218" s="1608" t="s">
        <v>270</v>
      </c>
      <c r="JQ218" s="1607">
        <v>202103</v>
      </c>
      <c r="JR218" s="1606">
        <v>544</v>
      </c>
      <c r="JS218" s="1606">
        <v>492</v>
      </c>
      <c r="JT218" s="1606">
        <v>492</v>
      </c>
    </row>
    <row r="219" spans="1:280" ht="15" customHeight="1" x14ac:dyDescent="0.2">
      <c r="A219" s="1626">
        <v>52361</v>
      </c>
      <c r="B219" s="1625">
        <v>523</v>
      </c>
      <c r="C219" s="1624">
        <v>61</v>
      </c>
      <c r="D219" s="1623" t="s">
        <v>3215</v>
      </c>
      <c r="E219" s="1622">
        <v>43367</v>
      </c>
      <c r="F219" s="1620">
        <v>1.1010238869531599</v>
      </c>
      <c r="G219" s="1620">
        <v>1.0903101847866401</v>
      </c>
      <c r="H219" s="1621">
        <v>89.6</v>
      </c>
      <c r="I219" s="1621">
        <v>84.2</v>
      </c>
      <c r="J219" s="1621">
        <v>90</v>
      </c>
      <c r="K219" s="1620">
        <v>1</v>
      </c>
      <c r="L219" s="1620">
        <v>85</v>
      </c>
      <c r="M219" s="1620">
        <v>11.5</v>
      </c>
      <c r="N219" s="1620">
        <v>1.7</v>
      </c>
      <c r="O219" s="1620">
        <v>1.4</v>
      </c>
      <c r="P219" s="1620">
        <v>2.2999999999999998</v>
      </c>
      <c r="Q219" s="1603"/>
      <c r="R219" s="1620">
        <v>77</v>
      </c>
      <c r="S219" s="1620">
        <v>28</v>
      </c>
      <c r="T219" s="1620">
        <v>41.008130081300799</v>
      </c>
      <c r="U219" s="1620">
        <v>46.211382113821102</v>
      </c>
      <c r="V219" s="1620">
        <v>50.894308943089399</v>
      </c>
      <c r="W219" s="1620">
        <v>54.016260162601597</v>
      </c>
      <c r="X219" s="1620"/>
      <c r="Y219" s="1620">
        <v>0.49411764705882355</v>
      </c>
      <c r="Z219" s="1620">
        <v>2.9176470588235293</v>
      </c>
      <c r="AA219" s="1620">
        <v>0.1</v>
      </c>
      <c r="AB219" s="1620">
        <v>0.84705882352941175</v>
      </c>
      <c r="AC219" s="1620">
        <v>4.4705882352941178</v>
      </c>
      <c r="AD219" s="1620">
        <v>0.94117647058823528</v>
      </c>
      <c r="AE219" s="1620">
        <v>1.2715000000000001</v>
      </c>
      <c r="AF219" s="1620">
        <v>36.470588235294116</v>
      </c>
      <c r="AG219" s="1620">
        <v>3.1764705882352939</v>
      </c>
      <c r="AH219" s="1620">
        <v>22.117647058823529</v>
      </c>
      <c r="AI219" s="1620">
        <v>28.235294117647058</v>
      </c>
      <c r="AJ219" s="1620">
        <v>0</v>
      </c>
      <c r="AK219" s="1620">
        <v>0.03</v>
      </c>
      <c r="AL219" s="1620"/>
      <c r="AM219" s="1620">
        <v>3.7</v>
      </c>
      <c r="AN219" s="1620">
        <v>1.7</v>
      </c>
      <c r="AO219" s="1620">
        <v>2.35</v>
      </c>
      <c r="AP219" s="1620">
        <v>3.29</v>
      </c>
      <c r="AQ219" s="1620">
        <v>1.07</v>
      </c>
      <c r="AR219" s="1620">
        <v>3.48</v>
      </c>
      <c r="AS219" s="1620">
        <v>6.28</v>
      </c>
      <c r="AT219" s="1620">
        <v>2.2799999999999998</v>
      </c>
      <c r="AU219" s="1620">
        <v>4.49</v>
      </c>
      <c r="AV219" s="1620">
        <v>2.7</v>
      </c>
      <c r="AW219" s="1620">
        <v>4.67</v>
      </c>
      <c r="AX219" s="1620"/>
      <c r="AY219" s="1620">
        <v>0.97</v>
      </c>
      <c r="AZ219" s="1620">
        <v>1.04</v>
      </c>
      <c r="BA219" s="1620">
        <v>1.01</v>
      </c>
      <c r="BB219" s="1620">
        <v>0.88</v>
      </c>
      <c r="BC219" s="1620">
        <v>0.99</v>
      </c>
      <c r="BD219" s="1620">
        <v>1</v>
      </c>
      <c r="BE219" s="1620">
        <v>1.03</v>
      </c>
      <c r="BF219" s="1620">
        <v>1.03</v>
      </c>
      <c r="BG219" s="1620">
        <v>1.06</v>
      </c>
      <c r="BH219" s="1620">
        <v>1</v>
      </c>
      <c r="BI219" s="1620">
        <v>0.99</v>
      </c>
      <c r="BJ219" s="1603"/>
      <c r="BK219" s="1620">
        <v>13.529411764705882</v>
      </c>
      <c r="BL219" s="1620">
        <v>2</v>
      </c>
      <c r="BM219" s="1620">
        <v>1.6470588235294117</v>
      </c>
      <c r="BN219" s="1620">
        <v>2.7058823529411762</v>
      </c>
      <c r="BO219" s="1620"/>
      <c r="BP219" s="1620">
        <v>105</v>
      </c>
      <c r="BQ219" s="1620">
        <v>21.000000000000004</v>
      </c>
      <c r="BR219" s="1620">
        <v>1.2953222199448942</v>
      </c>
      <c r="BS219" s="1620">
        <v>1.2827178644548707</v>
      </c>
      <c r="BT219" s="1603"/>
      <c r="BU219" s="1620">
        <v>983.52941176470586</v>
      </c>
      <c r="BV219" s="1620">
        <v>662.85243697478938</v>
      </c>
      <c r="BW219" s="1620">
        <v>75.87226890756294</v>
      </c>
      <c r="BX219" s="1620">
        <v>612.99999999999989</v>
      </c>
      <c r="BY219" s="1620">
        <v>32</v>
      </c>
      <c r="BZ219" s="1620">
        <v>39</v>
      </c>
      <c r="CA219" s="1620">
        <v>129</v>
      </c>
      <c r="CB219" s="1603"/>
      <c r="CC219" s="1603">
        <v>0.42</v>
      </c>
      <c r="CD219" s="1603">
        <v>2.48</v>
      </c>
      <c r="CE219" s="1603">
        <v>8.5000000000000006E-2</v>
      </c>
      <c r="CF219" s="1603">
        <v>0.72</v>
      </c>
      <c r="CG219" s="1603">
        <v>3.8</v>
      </c>
      <c r="CH219" s="1603">
        <v>0.79999999999999993</v>
      </c>
      <c r="CI219" s="1603">
        <v>1.080775</v>
      </c>
      <c r="CJ219" s="1603"/>
      <c r="CK219" s="1603">
        <v>30.999999999999996</v>
      </c>
      <c r="CL219" s="1603">
        <v>2.6999999999999997</v>
      </c>
      <c r="CM219" s="1603">
        <v>18.8</v>
      </c>
      <c r="CN219" s="1603">
        <v>24</v>
      </c>
      <c r="CO219" s="1603">
        <v>0</v>
      </c>
      <c r="CP219" s="1603">
        <v>2.5499999999999998E-2</v>
      </c>
      <c r="CQ219" s="1603">
        <v>88.549999999999798</v>
      </c>
      <c r="CR219" s="1603">
        <v>80.425139771528791</v>
      </c>
      <c r="CS219" s="1603">
        <v>2.8864582664001746</v>
      </c>
      <c r="CT219" s="1603">
        <v>1.4219164711606322</v>
      </c>
      <c r="CU219" s="1603">
        <v>1.90889069247724</v>
      </c>
      <c r="CV219" s="1603">
        <v>3.3308071636378722</v>
      </c>
      <c r="CW219" s="1603">
        <v>2.3284686466653071</v>
      </c>
      <c r="CX219" s="1603">
        <v>0.85194350559980736</v>
      </c>
      <c r="CY219" s="1603">
        <v>2.7987948640492082</v>
      </c>
      <c r="CZ219" s="1603">
        <v>5.2022197409815885</v>
      </c>
      <c r="DA219" s="1603">
        <v>1.8887039823945861</v>
      </c>
      <c r="DB219" s="1603">
        <v>3.8277541022861592</v>
      </c>
      <c r="DC219" s="1603">
        <v>2.1714787738312822</v>
      </c>
      <c r="DD219" s="1603">
        <v>5.9992328761174418</v>
      </c>
      <c r="DE219" s="1603">
        <v>3.7182954870570986</v>
      </c>
      <c r="DF219" s="1603">
        <v>0</v>
      </c>
      <c r="DG219" s="1603">
        <v>0</v>
      </c>
      <c r="DH219" s="1603">
        <v>0</v>
      </c>
      <c r="DI219" s="1603">
        <v>0</v>
      </c>
      <c r="DJ219" s="1603">
        <v>0</v>
      </c>
      <c r="DK219" s="1603">
        <v>0</v>
      </c>
      <c r="DL219" s="1603">
        <v>0</v>
      </c>
      <c r="DM219" s="1603">
        <v>0</v>
      </c>
      <c r="DN219" s="1603">
        <v>0</v>
      </c>
      <c r="DO219" s="1603">
        <v>0</v>
      </c>
      <c r="DP219" s="1603">
        <v>0</v>
      </c>
      <c r="DQ219" s="1603">
        <v>0</v>
      </c>
      <c r="DR219" s="1603">
        <v>0</v>
      </c>
      <c r="DS219" s="1603">
        <v>0</v>
      </c>
      <c r="DT219" s="1603">
        <v>0</v>
      </c>
      <c r="DU219" s="1603">
        <v>0</v>
      </c>
      <c r="DV219" s="1603">
        <v>0</v>
      </c>
      <c r="DW219" s="1618" t="s">
        <v>3209</v>
      </c>
      <c r="DX219" s="1605" t="s">
        <v>986</v>
      </c>
      <c r="DY219" s="1605" t="s">
        <v>986</v>
      </c>
      <c r="DZ219" s="1605" t="s">
        <v>986</v>
      </c>
      <c r="EA219" s="1605" t="s">
        <v>986</v>
      </c>
      <c r="EB219" s="1605" t="s">
        <v>986</v>
      </c>
      <c r="EC219" s="1605" t="s">
        <v>986</v>
      </c>
      <c r="ED219" s="1605" t="s">
        <v>986</v>
      </c>
      <c r="EE219" s="1605" t="s">
        <v>986</v>
      </c>
      <c r="EF219" s="1605" t="s">
        <v>986</v>
      </c>
      <c r="EG219" s="1605" t="s">
        <v>986</v>
      </c>
      <c r="EH219" s="1605" t="s">
        <v>986</v>
      </c>
      <c r="EI219" s="1605" t="s">
        <v>986</v>
      </c>
      <c r="EJ219" s="1605" t="s">
        <v>986</v>
      </c>
      <c r="EK219" s="1605" t="s">
        <v>986</v>
      </c>
      <c r="EL219" s="1605" t="s">
        <v>986</v>
      </c>
      <c r="EM219" s="1605" t="s">
        <v>986</v>
      </c>
      <c r="EN219" s="1605" t="s">
        <v>986</v>
      </c>
      <c r="EO219" s="1605" t="s">
        <v>986</v>
      </c>
      <c r="EP219" s="1605" t="s">
        <v>986</v>
      </c>
      <c r="EQ219" s="1605" t="s">
        <v>986</v>
      </c>
      <c r="ER219" s="1605" t="s">
        <v>986</v>
      </c>
      <c r="ES219" s="1605" t="s">
        <v>986</v>
      </c>
      <c r="ET219" s="1605" t="s">
        <v>986</v>
      </c>
      <c r="EU219" s="1605" t="s">
        <v>986</v>
      </c>
      <c r="EV219" s="1605" t="s">
        <v>986</v>
      </c>
      <c r="EW219" s="1605" t="s">
        <v>986</v>
      </c>
      <c r="EX219" s="1605" t="s">
        <v>986</v>
      </c>
      <c r="EY219" s="1605" t="s">
        <v>986</v>
      </c>
      <c r="EZ219" s="1605" t="s">
        <v>986</v>
      </c>
      <c r="FA219" s="1605" t="s">
        <v>986</v>
      </c>
      <c r="FB219" s="1605" t="s">
        <v>986</v>
      </c>
      <c r="FC219" s="1605" t="s">
        <v>986</v>
      </c>
      <c r="FD219" s="1605" t="s">
        <v>986</v>
      </c>
      <c r="FE219" s="1605" t="s">
        <v>986</v>
      </c>
      <c r="FF219" s="1605" t="s">
        <v>986</v>
      </c>
      <c r="FG219" s="1605" t="s">
        <v>986</v>
      </c>
      <c r="FH219" s="1605" t="s">
        <v>986</v>
      </c>
      <c r="FI219" s="1605" t="s">
        <v>986</v>
      </c>
      <c r="FJ219" s="1605" t="s">
        <v>986</v>
      </c>
      <c r="FK219" s="1605" t="s">
        <v>986</v>
      </c>
      <c r="FL219" s="1605" t="s">
        <v>986</v>
      </c>
      <c r="FM219" s="1605" t="s">
        <v>986</v>
      </c>
      <c r="FN219" s="1605" t="s">
        <v>986</v>
      </c>
      <c r="FO219" s="1605" t="s">
        <v>986</v>
      </c>
      <c r="FP219" s="1605" t="s">
        <v>986</v>
      </c>
      <c r="FQ219" s="1605" t="s">
        <v>986</v>
      </c>
      <c r="FR219" s="1605" t="s">
        <v>986</v>
      </c>
      <c r="FS219" s="1605" t="s">
        <v>986</v>
      </c>
      <c r="FT219" s="1605" t="s">
        <v>986</v>
      </c>
      <c r="FU219" s="1605" t="s">
        <v>986</v>
      </c>
      <c r="FV219" s="1605" t="s">
        <v>986</v>
      </c>
      <c r="FW219" s="1605" t="s">
        <v>986</v>
      </c>
      <c r="FX219" s="1605" t="s">
        <v>986</v>
      </c>
      <c r="FY219" s="1605" t="s">
        <v>986</v>
      </c>
      <c r="FZ219" s="1605" t="s">
        <v>986</v>
      </c>
      <c r="GA219" s="1605" t="s">
        <v>986</v>
      </c>
      <c r="GB219" s="1605" t="s">
        <v>986</v>
      </c>
      <c r="GC219" s="1605" t="s">
        <v>986</v>
      </c>
      <c r="GD219" s="1605" t="s">
        <v>986</v>
      </c>
      <c r="GE219" s="1605" t="s">
        <v>986</v>
      </c>
      <c r="GF219" s="1605" t="s">
        <v>986</v>
      </c>
      <c r="GG219" s="1605" t="s">
        <v>986</v>
      </c>
      <c r="GH219" s="1605" t="s">
        <v>986</v>
      </c>
      <c r="GI219" s="1605" t="s">
        <v>986</v>
      </c>
      <c r="GJ219" s="1605" t="s">
        <v>986</v>
      </c>
      <c r="GK219" s="1605" t="s">
        <v>986</v>
      </c>
      <c r="GL219" s="1605" t="s">
        <v>986</v>
      </c>
      <c r="GM219" s="1605" t="s">
        <v>986</v>
      </c>
      <c r="GN219" s="1605" t="s">
        <v>986</v>
      </c>
      <c r="GO219" s="1605" t="s">
        <v>986</v>
      </c>
      <c r="GP219" s="1605" t="s">
        <v>986</v>
      </c>
      <c r="GQ219" s="1605" t="s">
        <v>986</v>
      </c>
      <c r="GR219" s="1605" t="s">
        <v>986</v>
      </c>
      <c r="GS219" s="1605" t="s">
        <v>986</v>
      </c>
      <c r="GT219" s="1605" t="s">
        <v>986</v>
      </c>
      <c r="GU219" s="1605" t="s">
        <v>986</v>
      </c>
      <c r="GV219" s="1605" t="s">
        <v>986</v>
      </c>
      <c r="GW219" s="1605" t="s">
        <v>986</v>
      </c>
      <c r="GX219" s="1605" t="s">
        <v>986</v>
      </c>
      <c r="GY219" s="1605" t="s">
        <v>986</v>
      </c>
      <c r="GZ219" s="1605" t="s">
        <v>986</v>
      </c>
      <c r="HA219" s="1605" t="s">
        <v>986</v>
      </c>
      <c r="HB219" s="1605" t="s">
        <v>986</v>
      </c>
      <c r="HC219" s="1605" t="s">
        <v>986</v>
      </c>
      <c r="HD219" s="1605" t="s">
        <v>986</v>
      </c>
      <c r="HE219" s="1605" t="s">
        <v>986</v>
      </c>
      <c r="HF219" s="1605" t="s">
        <v>986</v>
      </c>
      <c r="HG219" s="1605" t="s">
        <v>986</v>
      </c>
      <c r="HH219" s="1605" t="s">
        <v>986</v>
      </c>
      <c r="HI219" s="1605" t="s">
        <v>986</v>
      </c>
      <c r="HJ219" s="1605" t="s">
        <v>986</v>
      </c>
      <c r="HK219" s="1605" t="s">
        <v>986</v>
      </c>
      <c r="HL219" s="1605" t="s">
        <v>986</v>
      </c>
      <c r="HM219" s="1605" t="s">
        <v>986</v>
      </c>
      <c r="HN219" s="1605" t="s">
        <v>986</v>
      </c>
      <c r="HO219" s="1605" t="s">
        <v>986</v>
      </c>
      <c r="HP219" s="1605" t="s">
        <v>986</v>
      </c>
      <c r="HQ219" s="1605" t="s">
        <v>986</v>
      </c>
      <c r="HR219" s="1605" t="s">
        <v>986</v>
      </c>
      <c r="HS219" s="1605" t="s">
        <v>986</v>
      </c>
      <c r="HT219" s="1605" t="s">
        <v>986</v>
      </c>
      <c r="HU219" s="1605" t="s">
        <v>986</v>
      </c>
      <c r="HV219" s="1617"/>
      <c r="HW219" s="1617" t="s">
        <v>3214</v>
      </c>
      <c r="HX219" s="1617">
        <v>0</v>
      </c>
      <c r="HY219" s="1617" t="s">
        <v>3207</v>
      </c>
      <c r="HZ219" s="1603"/>
      <c r="IA219" s="1603"/>
      <c r="IB219" s="1603"/>
      <c r="IC219" s="1603">
        <v>56.357723577235802</v>
      </c>
      <c r="ID219" s="1603">
        <v>57.918699186991901</v>
      </c>
      <c r="IE219" s="1603">
        <v>59.219512195121901</v>
      </c>
      <c r="IF219" s="1603">
        <v>60</v>
      </c>
      <c r="IG219" s="1611" t="s">
        <v>3206</v>
      </c>
      <c r="IH219" s="1616" t="s">
        <v>3213</v>
      </c>
      <c r="II219" s="1615" t="s">
        <v>3212</v>
      </c>
      <c r="IJ219" s="1613">
        <v>0.41228409090909096</v>
      </c>
      <c r="IK219" s="1613">
        <v>0.41228409090909096</v>
      </c>
      <c r="IL219" s="1614">
        <v>0.41228409090909096</v>
      </c>
      <c r="IM219" s="1614">
        <v>0.41228409090909096</v>
      </c>
      <c r="IN219" s="1612">
        <v>0.57299999999999995</v>
      </c>
      <c r="IO219" s="1613">
        <v>0.16071590909090899</v>
      </c>
      <c r="IP219" s="1607" t="s">
        <v>270</v>
      </c>
      <c r="IQ219" s="1612">
        <v>2.1800000000000002</v>
      </c>
      <c r="IR219" s="1612">
        <v>5.2999999999999999E-2</v>
      </c>
      <c r="IS219" s="1607">
        <v>0.40828409090909096</v>
      </c>
      <c r="IT219" s="1607">
        <v>0.40828409090909096</v>
      </c>
      <c r="IU219" s="1611">
        <v>1.1363636363636365E-5</v>
      </c>
      <c r="IV219" s="1611">
        <v>2.7727272727272726E-3</v>
      </c>
      <c r="IW219" s="1611">
        <v>8.0681818181818177E-4</v>
      </c>
      <c r="IX219" s="1611">
        <v>1.0681818181818182E-3</v>
      </c>
      <c r="IY219" s="1611">
        <v>8.1818181818181816E-4</v>
      </c>
      <c r="IZ219" s="1611">
        <v>7.624999999999999E-3</v>
      </c>
      <c r="JA219" s="1611">
        <v>1.7045454545454544E-4</v>
      </c>
      <c r="JB219" s="1611" t="s">
        <v>270</v>
      </c>
      <c r="JC219" s="1611">
        <v>0.15605681818181819</v>
      </c>
      <c r="JD219" s="1611">
        <v>6.6249999999999998E-3</v>
      </c>
      <c r="JE219" s="1611" t="s">
        <v>270</v>
      </c>
      <c r="JF219" s="1611">
        <v>2.7272727272727268E-4</v>
      </c>
      <c r="JG219" s="1611">
        <v>4.1114204545454545</v>
      </c>
      <c r="JH219" s="1611">
        <v>2.2727272727272727E-4</v>
      </c>
      <c r="JI219" s="1611">
        <v>5.213636363636364E-2</v>
      </c>
      <c r="JJ219" s="1611" t="s">
        <v>270</v>
      </c>
      <c r="JK219" s="1607">
        <f t="shared" si="12"/>
        <v>4.0000000000000036E-3</v>
      </c>
      <c r="JL219" s="1608" t="s">
        <v>270</v>
      </c>
      <c r="JM219" s="1610" t="s">
        <v>2924</v>
      </c>
      <c r="JN219" s="1608">
        <v>0</v>
      </c>
      <c r="JO219" s="1609" t="s">
        <v>2923</v>
      </c>
      <c r="JP219" s="1608" t="s">
        <v>270</v>
      </c>
      <c r="JQ219" s="1607">
        <v>202103</v>
      </c>
      <c r="JR219" s="1606">
        <v>544</v>
      </c>
      <c r="JS219" s="1606">
        <v>492</v>
      </c>
      <c r="JT219" s="1606">
        <v>492</v>
      </c>
    </row>
    <row r="220" spans="1:280" ht="15" customHeight="1" x14ac:dyDescent="0.2">
      <c r="A220" s="1626">
        <v>52150</v>
      </c>
      <c r="B220" s="1625">
        <v>521</v>
      </c>
      <c r="C220" s="1624">
        <v>50</v>
      </c>
      <c r="D220" s="1623" t="s">
        <v>3211</v>
      </c>
      <c r="E220" s="1622">
        <v>44497</v>
      </c>
      <c r="F220" s="1620">
        <v>1.0998684185056142</v>
      </c>
      <c r="G220" s="1620">
        <v>1.088882897959184</v>
      </c>
      <c r="H220" s="1621">
        <v>88.7</v>
      </c>
      <c r="I220" s="1621">
        <v>83.9</v>
      </c>
      <c r="J220" s="1621">
        <v>90</v>
      </c>
      <c r="K220" s="1620">
        <v>1</v>
      </c>
      <c r="L220" s="1620">
        <v>85</v>
      </c>
      <c r="M220" s="1620">
        <v>8</v>
      </c>
      <c r="N220" s="1620">
        <v>1.7</v>
      </c>
      <c r="O220" s="1620">
        <v>1.5</v>
      </c>
      <c r="P220" s="1620">
        <v>2.2999999999999998</v>
      </c>
      <c r="Q220" s="1603"/>
      <c r="R220" s="1620">
        <v>77</v>
      </c>
      <c r="S220" s="1620">
        <v>50</v>
      </c>
      <c r="T220" s="1620">
        <v>54.065040650406502</v>
      </c>
      <c r="U220" s="1620">
        <v>55.691056910569102</v>
      </c>
      <c r="V220" s="1620">
        <v>57.154471544715399</v>
      </c>
      <c r="W220" s="1620">
        <v>58.130081300813004</v>
      </c>
      <c r="X220" s="1620"/>
      <c r="Y220" s="1620">
        <v>0.47058823529411764</v>
      </c>
      <c r="Z220" s="1620">
        <v>3.0588235294117645</v>
      </c>
      <c r="AA220" s="1620">
        <v>0.11764705882352941</v>
      </c>
      <c r="AB220" s="1620">
        <v>0.84765177548682702</v>
      </c>
      <c r="AC220" s="1620">
        <v>5.2588235294117647</v>
      </c>
      <c r="AD220" s="1620">
        <v>0.96470588235294119</v>
      </c>
      <c r="AE220" s="1620">
        <v>1.2714776632302354</v>
      </c>
      <c r="AF220" s="1620">
        <v>33.317647058823532</v>
      </c>
      <c r="AG220" s="1620">
        <v>2.952941176470588</v>
      </c>
      <c r="AH220" s="1620">
        <v>24.776470588235295</v>
      </c>
      <c r="AI220" s="1620">
        <v>31.870588235294118</v>
      </c>
      <c r="AJ220" s="1620">
        <v>0</v>
      </c>
      <c r="AK220" s="1620">
        <v>0.03</v>
      </c>
      <c r="AL220" s="1620"/>
      <c r="AM220" s="1620">
        <v>3.7</v>
      </c>
      <c r="AN220" s="1620">
        <v>1.7</v>
      </c>
      <c r="AO220" s="1620">
        <v>2.35</v>
      </c>
      <c r="AP220" s="1620">
        <v>3.29</v>
      </c>
      <c r="AQ220" s="1620">
        <v>1.07</v>
      </c>
      <c r="AR220" s="1620">
        <v>3.48</v>
      </c>
      <c r="AS220" s="1620">
        <v>6.28</v>
      </c>
      <c r="AT220" s="1620">
        <v>2.2799999999999998</v>
      </c>
      <c r="AU220" s="1620">
        <v>4.49</v>
      </c>
      <c r="AV220" s="1620">
        <v>2.7</v>
      </c>
      <c r="AW220" s="1620">
        <v>4.67</v>
      </c>
      <c r="AX220" s="1620"/>
      <c r="AY220" s="1620">
        <v>0.97</v>
      </c>
      <c r="AZ220" s="1620">
        <v>1.04</v>
      </c>
      <c r="BA220" s="1620">
        <v>1.01</v>
      </c>
      <c r="BB220" s="1620">
        <v>0.88</v>
      </c>
      <c r="BC220" s="1620">
        <v>0.99</v>
      </c>
      <c r="BD220" s="1620">
        <v>1</v>
      </c>
      <c r="BE220" s="1620">
        <v>1.03</v>
      </c>
      <c r="BF220" s="1620">
        <v>1.03</v>
      </c>
      <c r="BG220" s="1620">
        <v>1.06</v>
      </c>
      <c r="BH220" s="1620">
        <v>1</v>
      </c>
      <c r="BI220" s="1620">
        <v>0.99</v>
      </c>
      <c r="BJ220" s="1603"/>
      <c r="BK220" s="1620">
        <v>9.4117647058823533</v>
      </c>
      <c r="BL220" s="1620">
        <v>2</v>
      </c>
      <c r="BM220" s="1620">
        <v>1.7647058823529411</v>
      </c>
      <c r="BN220" s="1620">
        <v>2.7058823529411762</v>
      </c>
      <c r="BO220" s="1620"/>
      <c r="BP220" s="1620">
        <v>105</v>
      </c>
      <c r="BQ220" s="1620">
        <v>21.000000000000004</v>
      </c>
      <c r="BR220" s="1620">
        <v>1.2939628453007226</v>
      </c>
      <c r="BS220" s="1620">
        <v>1.2810387034813928</v>
      </c>
      <c r="BT220" s="1603"/>
      <c r="BU220" s="1620">
        <v>982.35294117647061</v>
      </c>
      <c r="BV220" s="1620">
        <v>698.93865546218512</v>
      </c>
      <c r="BW220" s="1620">
        <v>67.361344537815086</v>
      </c>
      <c r="BX220" s="1620">
        <v>612.99999999999989</v>
      </c>
      <c r="BY220" s="1620">
        <v>32</v>
      </c>
      <c r="BZ220" s="1620">
        <v>39</v>
      </c>
      <c r="CA220" s="1620">
        <v>129</v>
      </c>
      <c r="CB220" s="1603"/>
      <c r="CC220" s="1603">
        <v>0.39999999999999997</v>
      </c>
      <c r="CD220" s="1603">
        <v>2.5999999999999996</v>
      </c>
      <c r="CE220" s="1603">
        <v>9.9999999999999992E-2</v>
      </c>
      <c r="CF220" s="1603">
        <v>0.72050400916380297</v>
      </c>
      <c r="CG220" s="1603">
        <v>4.47</v>
      </c>
      <c r="CH220" s="1603">
        <v>0.82</v>
      </c>
      <c r="CI220" s="1603">
        <v>1.0807560137457</v>
      </c>
      <c r="CJ220" s="1603"/>
      <c r="CK220" s="1603">
        <v>28.32</v>
      </c>
      <c r="CL220" s="1603">
        <v>2.5099999999999998</v>
      </c>
      <c r="CM220" s="1603">
        <v>21.06</v>
      </c>
      <c r="CN220" s="1603">
        <v>27.09</v>
      </c>
      <c r="CO220" s="1603">
        <v>0</v>
      </c>
      <c r="CP220" s="1603">
        <v>2.5499999999999998E-2</v>
      </c>
      <c r="CQ220" s="1603">
        <v>61.6</v>
      </c>
      <c r="CR220" s="1603">
        <v>56.006699495650231</v>
      </c>
      <c r="CS220" s="1603">
        <v>2.0100804448988869</v>
      </c>
      <c r="CT220" s="1603">
        <v>0.99019844708309612</v>
      </c>
      <c r="CU220" s="1603">
        <v>1.329319012529258</v>
      </c>
      <c r="CV220" s="1603">
        <v>2.3195174596123542</v>
      </c>
      <c r="CW220" s="1603">
        <v>1.6215059637980656</v>
      </c>
      <c r="CX220" s="1603">
        <v>0.59327896775742295</v>
      </c>
      <c r="CY220" s="1603">
        <v>1.9490331424486278</v>
      </c>
      <c r="CZ220" s="1603">
        <v>3.6227373501766396</v>
      </c>
      <c r="DA220" s="1603">
        <v>1.3152613309558498</v>
      </c>
      <c r="DB220" s="1603">
        <v>2.6655828557959778</v>
      </c>
      <c r="DC220" s="1603">
        <v>1.5121808863825563</v>
      </c>
      <c r="DD220" s="1603">
        <v>4.1777637421785343</v>
      </c>
      <c r="DE220" s="1603">
        <v>2.5893577377823975</v>
      </c>
      <c r="DF220" s="1603">
        <v>0</v>
      </c>
      <c r="DG220" s="1603">
        <v>0</v>
      </c>
      <c r="DH220" s="1603">
        <v>0</v>
      </c>
      <c r="DI220" s="1603">
        <v>0</v>
      </c>
      <c r="DJ220" s="1603">
        <v>0</v>
      </c>
      <c r="DK220" s="1603">
        <v>0</v>
      </c>
      <c r="DL220" s="1603">
        <v>0</v>
      </c>
      <c r="DM220" s="1603">
        <v>0</v>
      </c>
      <c r="DN220" s="1603">
        <v>0</v>
      </c>
      <c r="DO220" s="1603">
        <v>0</v>
      </c>
      <c r="DP220" s="1603">
        <v>0</v>
      </c>
      <c r="DQ220" s="1603">
        <v>0</v>
      </c>
      <c r="DR220" s="1603">
        <v>0</v>
      </c>
      <c r="DS220" s="1603">
        <v>0</v>
      </c>
      <c r="DT220" s="1603">
        <v>0</v>
      </c>
      <c r="DU220" s="1603">
        <v>0</v>
      </c>
      <c r="DV220" s="1603">
        <v>0</v>
      </c>
      <c r="DW220" s="1618" t="s">
        <v>3209</v>
      </c>
      <c r="DX220" s="1605">
        <v>6</v>
      </c>
      <c r="DY220" s="1605">
        <v>6</v>
      </c>
      <c r="DZ220" s="1605">
        <v>3</v>
      </c>
      <c r="EA220" s="1605">
        <v>3</v>
      </c>
      <c r="EB220" s="1605" t="s">
        <v>986</v>
      </c>
      <c r="EC220" s="1605">
        <v>3</v>
      </c>
      <c r="ED220" s="1605">
        <v>3</v>
      </c>
      <c r="EE220" s="1605">
        <v>3</v>
      </c>
      <c r="EF220" s="1605">
        <v>3</v>
      </c>
      <c r="EG220" s="1605">
        <v>3</v>
      </c>
      <c r="EH220" s="1605" t="s">
        <v>986</v>
      </c>
      <c r="EI220" s="1605" t="s">
        <v>986</v>
      </c>
      <c r="EJ220" s="1605" t="s">
        <v>986</v>
      </c>
      <c r="EK220" s="1605" t="s">
        <v>986</v>
      </c>
      <c r="EL220" s="1605" t="s">
        <v>986</v>
      </c>
      <c r="EM220" s="1605" t="s">
        <v>986</v>
      </c>
      <c r="EN220" s="1605" t="s">
        <v>986</v>
      </c>
      <c r="EO220" s="1605" t="s">
        <v>986</v>
      </c>
      <c r="EP220" s="1605" t="s">
        <v>986</v>
      </c>
      <c r="EQ220" s="1605" t="s">
        <v>986</v>
      </c>
      <c r="ER220" s="1605" t="s">
        <v>986</v>
      </c>
      <c r="ES220" s="1605">
        <v>3</v>
      </c>
      <c r="ET220" s="1605">
        <v>6</v>
      </c>
      <c r="EU220" s="1605">
        <v>3</v>
      </c>
      <c r="EV220" s="1605">
        <v>8</v>
      </c>
      <c r="EW220" s="1605">
        <v>3</v>
      </c>
      <c r="EX220" s="1605">
        <v>3</v>
      </c>
      <c r="EY220" s="1605" t="s">
        <v>986</v>
      </c>
      <c r="EZ220" s="1605">
        <v>3</v>
      </c>
      <c r="FA220" s="1605">
        <v>3</v>
      </c>
      <c r="FB220" s="1605">
        <v>3</v>
      </c>
      <c r="FC220" s="1605">
        <v>3</v>
      </c>
      <c r="FD220" s="1605" t="s">
        <v>986</v>
      </c>
      <c r="FE220" s="1605" t="s">
        <v>986</v>
      </c>
      <c r="FF220" s="1605">
        <v>0.45350486950711633</v>
      </c>
      <c r="FG220" s="1605">
        <v>0.31381676746695064</v>
      </c>
      <c r="FH220" s="1605">
        <v>5.872939537940141E-2</v>
      </c>
      <c r="FI220" s="1605">
        <v>7.9267778017191232E-2</v>
      </c>
      <c r="FJ220" s="1605" t="s">
        <v>986</v>
      </c>
      <c r="FK220" s="1605">
        <v>0.46499395576716951</v>
      </c>
      <c r="FL220" s="1605">
        <v>0.29999999999999716</v>
      </c>
      <c r="FM220" s="1605" t="s">
        <v>986</v>
      </c>
      <c r="FN220" s="1605">
        <v>0.45139639475553944</v>
      </c>
      <c r="FO220" s="1605">
        <v>0.46149620415335008</v>
      </c>
      <c r="FP220" s="1605" t="s">
        <v>986</v>
      </c>
      <c r="FQ220" s="1605" t="s">
        <v>986</v>
      </c>
      <c r="FR220" s="1605" t="s">
        <v>986</v>
      </c>
      <c r="FS220" s="1605" t="s">
        <v>986</v>
      </c>
      <c r="FT220" s="1605" t="s">
        <v>986</v>
      </c>
      <c r="FU220" s="1605" t="s">
        <v>986</v>
      </c>
      <c r="FV220" s="1605" t="s">
        <v>986</v>
      </c>
      <c r="FW220" s="1605" t="s">
        <v>986</v>
      </c>
      <c r="FX220" s="1605" t="s">
        <v>986</v>
      </c>
      <c r="FY220" s="1605" t="s">
        <v>986</v>
      </c>
      <c r="FZ220" s="1605" t="s">
        <v>986</v>
      </c>
      <c r="GA220" s="1605">
        <v>5.3551305106925573E-2</v>
      </c>
      <c r="GB220" s="1605">
        <v>0.20728682412753707</v>
      </c>
      <c r="GC220" s="1605">
        <v>6.078089044105259E-4</v>
      </c>
      <c r="GD220" s="1605">
        <v>0.2</v>
      </c>
      <c r="GE220" s="1605">
        <v>0.1645575058579076</v>
      </c>
      <c r="GF220" s="1605">
        <v>1.0594789803006623E-2</v>
      </c>
      <c r="GG220" s="1605" t="s">
        <v>986</v>
      </c>
      <c r="GH220" s="1605">
        <v>1.4194567089541059</v>
      </c>
      <c r="GI220" s="1605">
        <v>0.6737858886582403</v>
      </c>
      <c r="GJ220" s="1605">
        <v>1.9621947759796832</v>
      </c>
      <c r="GK220" s="1605">
        <v>3.5345907500815072</v>
      </c>
      <c r="GL220" s="1605" t="s">
        <v>986</v>
      </c>
      <c r="GM220" s="1605" t="s">
        <v>986</v>
      </c>
      <c r="GN220" s="1605" t="s">
        <v>1763</v>
      </c>
      <c r="GO220" s="1605" t="s">
        <v>1763</v>
      </c>
      <c r="GP220" s="1605" t="s">
        <v>1763</v>
      </c>
      <c r="GQ220" s="1605" t="s">
        <v>1763</v>
      </c>
      <c r="GR220" s="1605" t="s">
        <v>1763</v>
      </c>
      <c r="GS220" s="1605" t="s">
        <v>1763</v>
      </c>
      <c r="GT220" s="1605" t="s">
        <v>1763</v>
      </c>
      <c r="GU220" s="1605" t="s">
        <v>1763</v>
      </c>
      <c r="GV220" s="1605" t="s">
        <v>1763</v>
      </c>
      <c r="GW220" s="1605" t="s">
        <v>1763</v>
      </c>
      <c r="GX220" s="1605" t="s">
        <v>1763</v>
      </c>
      <c r="GY220" s="1605" t="s">
        <v>1763</v>
      </c>
      <c r="GZ220" s="1605" t="s">
        <v>1763</v>
      </c>
      <c r="HA220" s="1605" t="s">
        <v>1763</v>
      </c>
      <c r="HB220" s="1605" t="s">
        <v>1763</v>
      </c>
      <c r="HC220" s="1605" t="s">
        <v>1763</v>
      </c>
      <c r="HD220" s="1605" t="s">
        <v>1763</v>
      </c>
      <c r="HE220" s="1605" t="s">
        <v>1763</v>
      </c>
      <c r="HF220" s="1605" t="s">
        <v>1763</v>
      </c>
      <c r="HG220" s="1605" t="s">
        <v>1763</v>
      </c>
      <c r="HH220" s="1605" t="s">
        <v>1763</v>
      </c>
      <c r="HI220" s="1605" t="s">
        <v>1763</v>
      </c>
      <c r="HJ220" s="1605" t="s">
        <v>1763</v>
      </c>
      <c r="HK220" s="1605" t="s">
        <v>1763</v>
      </c>
      <c r="HL220" s="1605" t="s">
        <v>1578</v>
      </c>
      <c r="HM220" s="1605" t="s">
        <v>1763</v>
      </c>
      <c r="HN220" s="1605" t="s">
        <v>1763</v>
      </c>
      <c r="HO220" s="1605" t="s">
        <v>986</v>
      </c>
      <c r="HP220" s="1605" t="s">
        <v>1763</v>
      </c>
      <c r="HQ220" s="1605" t="s">
        <v>1763</v>
      </c>
      <c r="HR220" s="1605" t="s">
        <v>1763</v>
      </c>
      <c r="HS220" s="1605" t="s">
        <v>1763</v>
      </c>
      <c r="HT220" s="1605" t="s">
        <v>1763</v>
      </c>
      <c r="HU220" s="1605" t="s">
        <v>1763</v>
      </c>
      <c r="HV220" s="1617"/>
      <c r="HW220" s="1617" t="s">
        <v>3208</v>
      </c>
      <c r="HX220" s="1617">
        <v>0</v>
      </c>
      <c r="HY220" s="1617" t="s">
        <v>3207</v>
      </c>
      <c r="HZ220" s="1603"/>
      <c r="IA220" s="1603"/>
      <c r="IB220" s="1603"/>
      <c r="IC220" s="1603">
        <v>58.861788617886198</v>
      </c>
      <c r="ID220" s="1603">
        <v>59.349593495934997</v>
      </c>
      <c r="IE220" s="1603">
        <v>59.756097560975597</v>
      </c>
      <c r="IF220" s="1603">
        <v>60</v>
      </c>
      <c r="IG220" s="1611" t="s">
        <v>3206</v>
      </c>
      <c r="IH220" s="1616" t="s">
        <v>270</v>
      </c>
      <c r="II220" s="1615" t="s">
        <v>270</v>
      </c>
      <c r="IJ220" s="1613">
        <v>0.41228409090909096</v>
      </c>
      <c r="IK220" s="1613">
        <v>0.41228409090909096</v>
      </c>
      <c r="IL220" s="1614">
        <v>0.41228409090909096</v>
      </c>
      <c r="IM220" s="1614">
        <v>0.41228409090909096</v>
      </c>
      <c r="IN220" s="1612" t="s">
        <v>270</v>
      </c>
      <c r="IO220" s="1613" t="s">
        <v>270</v>
      </c>
      <c r="IP220" s="1607" t="s">
        <v>270</v>
      </c>
      <c r="IQ220" s="1612" t="s">
        <v>270</v>
      </c>
      <c r="IR220" s="1612" t="s">
        <v>270</v>
      </c>
      <c r="IS220" s="1607">
        <v>0.40828409090909096</v>
      </c>
      <c r="IT220" s="1607">
        <v>0.40828409090909096</v>
      </c>
      <c r="IU220" s="1611">
        <v>1.1363636363636365E-5</v>
      </c>
      <c r="IV220" s="1611">
        <v>2.7727272727272726E-3</v>
      </c>
      <c r="IW220" s="1611">
        <v>8.0681818181818177E-4</v>
      </c>
      <c r="IX220" s="1611">
        <v>1.0681818181818182E-3</v>
      </c>
      <c r="IY220" s="1611">
        <v>8.1818181818181816E-4</v>
      </c>
      <c r="IZ220" s="1611">
        <v>7.624999999999999E-3</v>
      </c>
      <c r="JA220" s="1611">
        <v>1.7045454545454544E-4</v>
      </c>
      <c r="JB220" s="1611" t="s">
        <v>270</v>
      </c>
      <c r="JC220" s="1611">
        <v>0.15605681818181819</v>
      </c>
      <c r="JD220" s="1611">
        <v>6.6249999999999998E-3</v>
      </c>
      <c r="JE220" s="1611" t="s">
        <v>270</v>
      </c>
      <c r="JF220" s="1611">
        <v>2.7272727272727268E-4</v>
      </c>
      <c r="JG220" s="1611">
        <v>4.1114204545454545</v>
      </c>
      <c r="JH220" s="1611">
        <v>2.2727272727272727E-4</v>
      </c>
      <c r="JI220" s="1611">
        <v>5.213636363636364E-2</v>
      </c>
      <c r="JJ220" s="1611" t="s">
        <v>270</v>
      </c>
      <c r="JK220" s="1607">
        <f t="shared" si="12"/>
        <v>4.0000000000000036E-3</v>
      </c>
      <c r="JL220" s="1608" t="s">
        <v>2946</v>
      </c>
      <c r="JM220" s="1610" t="s">
        <v>3205</v>
      </c>
      <c r="JN220" s="1608">
        <v>0</v>
      </c>
      <c r="JO220" s="1609" t="s">
        <v>2923</v>
      </c>
      <c r="JP220" s="1608" t="s">
        <v>270</v>
      </c>
      <c r="JQ220" s="1607">
        <v>202103</v>
      </c>
      <c r="JR220" s="1606">
        <v>544</v>
      </c>
      <c r="JS220" s="1606">
        <v>492</v>
      </c>
      <c r="JT220" s="1606">
        <v>492</v>
      </c>
    </row>
    <row r="221" spans="1:280" ht="15" customHeight="1" x14ac:dyDescent="0.2">
      <c r="A221" s="1626">
        <v>52160</v>
      </c>
      <c r="B221" s="1625">
        <v>521</v>
      </c>
      <c r="C221" s="1624">
        <v>60</v>
      </c>
      <c r="D221" s="1623" t="s">
        <v>3210</v>
      </c>
      <c r="E221" s="1622">
        <v>44497</v>
      </c>
      <c r="F221" s="1620">
        <v>1.0998684185056142</v>
      </c>
      <c r="G221" s="1620">
        <v>1.088882897959184</v>
      </c>
      <c r="H221" s="1621">
        <v>88.7</v>
      </c>
      <c r="I221" s="1621">
        <v>83.9</v>
      </c>
      <c r="J221" s="1621">
        <v>90</v>
      </c>
      <c r="K221" s="1620">
        <v>1</v>
      </c>
      <c r="L221" s="1620">
        <v>85</v>
      </c>
      <c r="M221" s="1620">
        <v>8</v>
      </c>
      <c r="N221" s="1620">
        <v>1.7</v>
      </c>
      <c r="O221" s="1620">
        <v>1.5</v>
      </c>
      <c r="P221" s="1620">
        <v>2.2999999999999998</v>
      </c>
      <c r="Q221" s="1603"/>
      <c r="R221" s="1620">
        <v>77</v>
      </c>
      <c r="S221" s="1620">
        <v>28</v>
      </c>
      <c r="T221" s="1620">
        <v>41.008130081300799</v>
      </c>
      <c r="U221" s="1620">
        <v>46.211382113821102</v>
      </c>
      <c r="V221" s="1620">
        <v>50.894308943089399</v>
      </c>
      <c r="W221" s="1620">
        <v>54.016260162601597</v>
      </c>
      <c r="X221" s="1620"/>
      <c r="Y221" s="1620">
        <v>0.47058823529411764</v>
      </c>
      <c r="Z221" s="1620">
        <v>3.0588235294117645</v>
      </c>
      <c r="AA221" s="1620">
        <v>0.11764705882352941</v>
      </c>
      <c r="AB221" s="1620">
        <v>0.84765177548682702</v>
      </c>
      <c r="AC221" s="1620">
        <v>5.2588235294117647</v>
      </c>
      <c r="AD221" s="1620">
        <v>0.96470588235294119</v>
      </c>
      <c r="AE221" s="1620">
        <v>1.2714776632302354</v>
      </c>
      <c r="AF221" s="1620">
        <v>33.317647058823532</v>
      </c>
      <c r="AG221" s="1620">
        <v>2.952941176470588</v>
      </c>
      <c r="AH221" s="1620">
        <v>24.776470588235295</v>
      </c>
      <c r="AI221" s="1620">
        <v>31.870588235294118</v>
      </c>
      <c r="AJ221" s="1620">
        <v>0</v>
      </c>
      <c r="AK221" s="1620">
        <v>0.03</v>
      </c>
      <c r="AL221" s="1620"/>
      <c r="AM221" s="1620">
        <v>3.7</v>
      </c>
      <c r="AN221" s="1620">
        <v>1.7</v>
      </c>
      <c r="AO221" s="1620">
        <v>2.35</v>
      </c>
      <c r="AP221" s="1620">
        <v>3.29</v>
      </c>
      <c r="AQ221" s="1620">
        <v>1.07</v>
      </c>
      <c r="AR221" s="1620">
        <v>3.48</v>
      </c>
      <c r="AS221" s="1620">
        <v>6.28</v>
      </c>
      <c r="AT221" s="1620">
        <v>2.2799999999999998</v>
      </c>
      <c r="AU221" s="1620">
        <v>4.49</v>
      </c>
      <c r="AV221" s="1620">
        <v>2.7</v>
      </c>
      <c r="AW221" s="1620">
        <v>4.67</v>
      </c>
      <c r="AX221" s="1620"/>
      <c r="AY221" s="1620">
        <v>0.97</v>
      </c>
      <c r="AZ221" s="1620">
        <v>1.04</v>
      </c>
      <c r="BA221" s="1620">
        <v>1.01</v>
      </c>
      <c r="BB221" s="1620">
        <v>0.88</v>
      </c>
      <c r="BC221" s="1620">
        <v>0.99</v>
      </c>
      <c r="BD221" s="1620">
        <v>1</v>
      </c>
      <c r="BE221" s="1620">
        <v>1.03</v>
      </c>
      <c r="BF221" s="1620">
        <v>1.03</v>
      </c>
      <c r="BG221" s="1620">
        <v>1.06</v>
      </c>
      <c r="BH221" s="1620">
        <v>1</v>
      </c>
      <c r="BI221" s="1620">
        <v>0.99</v>
      </c>
      <c r="BJ221" s="1603"/>
      <c r="BK221" s="1620">
        <v>9.4117647058823533</v>
      </c>
      <c r="BL221" s="1620">
        <v>2</v>
      </c>
      <c r="BM221" s="1620">
        <v>1.7647058823529411</v>
      </c>
      <c r="BN221" s="1620">
        <v>2.7058823529411762</v>
      </c>
      <c r="BO221" s="1620"/>
      <c r="BP221" s="1620">
        <v>105</v>
      </c>
      <c r="BQ221" s="1620">
        <v>21.000000000000004</v>
      </c>
      <c r="BR221" s="1620">
        <v>1.2939628453007226</v>
      </c>
      <c r="BS221" s="1620">
        <v>1.2810387034813928</v>
      </c>
      <c r="BT221" s="1603"/>
      <c r="BU221" s="1620">
        <v>982.35294117647061</v>
      </c>
      <c r="BV221" s="1620">
        <v>698.93865546218512</v>
      </c>
      <c r="BW221" s="1620">
        <v>67.361344537815086</v>
      </c>
      <c r="BX221" s="1620">
        <v>612.99999999999989</v>
      </c>
      <c r="BY221" s="1620">
        <v>32</v>
      </c>
      <c r="BZ221" s="1620">
        <v>39</v>
      </c>
      <c r="CA221" s="1620">
        <v>129</v>
      </c>
      <c r="CB221" s="1603"/>
      <c r="CC221" s="1603">
        <v>0.39999999999999997</v>
      </c>
      <c r="CD221" s="1603">
        <v>2.5999999999999996</v>
      </c>
      <c r="CE221" s="1603">
        <v>9.9999999999999992E-2</v>
      </c>
      <c r="CF221" s="1603">
        <v>0.72050400916380297</v>
      </c>
      <c r="CG221" s="1603">
        <v>4.47</v>
      </c>
      <c r="CH221" s="1603">
        <v>0.82</v>
      </c>
      <c r="CI221" s="1603">
        <v>1.0807560137457</v>
      </c>
      <c r="CJ221" s="1603"/>
      <c r="CK221" s="1603">
        <v>28.32</v>
      </c>
      <c r="CL221" s="1603">
        <v>2.5099999999999998</v>
      </c>
      <c r="CM221" s="1603">
        <v>21.06</v>
      </c>
      <c r="CN221" s="1603">
        <v>27.09</v>
      </c>
      <c r="CO221" s="1603">
        <v>0</v>
      </c>
      <c r="CP221" s="1603">
        <v>2.5499999999999998E-2</v>
      </c>
      <c r="CQ221" s="1603">
        <v>61.6</v>
      </c>
      <c r="CR221" s="1603">
        <v>56.006699495650231</v>
      </c>
      <c r="CS221" s="1603">
        <v>2.0100804448988869</v>
      </c>
      <c r="CT221" s="1603">
        <v>0.99019844708309612</v>
      </c>
      <c r="CU221" s="1603">
        <v>1.329319012529258</v>
      </c>
      <c r="CV221" s="1603">
        <v>2.3195174596123542</v>
      </c>
      <c r="CW221" s="1603">
        <v>1.6215059637980656</v>
      </c>
      <c r="CX221" s="1603">
        <v>0.59327896775742295</v>
      </c>
      <c r="CY221" s="1603">
        <v>1.9490331424486278</v>
      </c>
      <c r="CZ221" s="1603">
        <v>3.6227373501766396</v>
      </c>
      <c r="DA221" s="1603">
        <v>1.3152613309558498</v>
      </c>
      <c r="DB221" s="1603">
        <v>2.6655828557959778</v>
      </c>
      <c r="DC221" s="1603">
        <v>1.5121808863825563</v>
      </c>
      <c r="DD221" s="1603">
        <v>4.1777637421785343</v>
      </c>
      <c r="DE221" s="1603">
        <v>2.5893577377823975</v>
      </c>
      <c r="DF221" s="1603">
        <v>0</v>
      </c>
      <c r="DG221" s="1603">
        <v>0</v>
      </c>
      <c r="DH221" s="1603">
        <v>0</v>
      </c>
      <c r="DI221" s="1603">
        <v>0</v>
      </c>
      <c r="DJ221" s="1603">
        <v>0</v>
      </c>
      <c r="DK221" s="1603">
        <v>0</v>
      </c>
      <c r="DL221" s="1603">
        <v>0</v>
      </c>
      <c r="DM221" s="1603">
        <v>0</v>
      </c>
      <c r="DN221" s="1603">
        <v>0</v>
      </c>
      <c r="DO221" s="1603">
        <v>0</v>
      </c>
      <c r="DP221" s="1603">
        <v>0</v>
      </c>
      <c r="DQ221" s="1603">
        <v>0</v>
      </c>
      <c r="DR221" s="1603">
        <v>0</v>
      </c>
      <c r="DS221" s="1603">
        <v>0</v>
      </c>
      <c r="DT221" s="1603">
        <v>0</v>
      </c>
      <c r="DU221" s="1603">
        <v>0</v>
      </c>
      <c r="DV221" s="1603">
        <v>0</v>
      </c>
      <c r="DW221" s="1618" t="s">
        <v>3209</v>
      </c>
      <c r="DX221" s="1605">
        <v>6</v>
      </c>
      <c r="DY221" s="1605">
        <v>6</v>
      </c>
      <c r="DZ221" s="1605">
        <v>3</v>
      </c>
      <c r="EA221" s="1605">
        <v>3</v>
      </c>
      <c r="EB221" s="1605" t="s">
        <v>986</v>
      </c>
      <c r="EC221" s="1605">
        <v>3</v>
      </c>
      <c r="ED221" s="1605">
        <v>3</v>
      </c>
      <c r="EE221" s="1605">
        <v>3</v>
      </c>
      <c r="EF221" s="1605">
        <v>3</v>
      </c>
      <c r="EG221" s="1605">
        <v>3</v>
      </c>
      <c r="EH221" s="1605" t="s">
        <v>986</v>
      </c>
      <c r="EI221" s="1605" t="s">
        <v>986</v>
      </c>
      <c r="EJ221" s="1605" t="s">
        <v>986</v>
      </c>
      <c r="EK221" s="1605" t="s">
        <v>986</v>
      </c>
      <c r="EL221" s="1605" t="s">
        <v>986</v>
      </c>
      <c r="EM221" s="1605" t="s">
        <v>986</v>
      </c>
      <c r="EN221" s="1605" t="s">
        <v>986</v>
      </c>
      <c r="EO221" s="1605" t="s">
        <v>986</v>
      </c>
      <c r="EP221" s="1605" t="s">
        <v>986</v>
      </c>
      <c r="EQ221" s="1605" t="s">
        <v>986</v>
      </c>
      <c r="ER221" s="1605" t="s">
        <v>986</v>
      </c>
      <c r="ES221" s="1605">
        <v>3</v>
      </c>
      <c r="ET221" s="1605">
        <v>6</v>
      </c>
      <c r="EU221" s="1605">
        <v>3</v>
      </c>
      <c r="EV221" s="1605">
        <v>8</v>
      </c>
      <c r="EW221" s="1605">
        <v>3</v>
      </c>
      <c r="EX221" s="1605">
        <v>3</v>
      </c>
      <c r="EY221" s="1605" t="s">
        <v>986</v>
      </c>
      <c r="EZ221" s="1605">
        <v>3</v>
      </c>
      <c r="FA221" s="1605">
        <v>3</v>
      </c>
      <c r="FB221" s="1605">
        <v>3</v>
      </c>
      <c r="FC221" s="1605">
        <v>3</v>
      </c>
      <c r="FD221" s="1605" t="s">
        <v>986</v>
      </c>
      <c r="FE221" s="1605" t="s">
        <v>986</v>
      </c>
      <c r="FF221" s="1605">
        <v>0.45350486950711633</v>
      </c>
      <c r="FG221" s="1605">
        <v>0.31381676746695064</v>
      </c>
      <c r="FH221" s="1605">
        <v>5.872939537940141E-2</v>
      </c>
      <c r="FI221" s="1605">
        <v>7.9267778017191232E-2</v>
      </c>
      <c r="FJ221" s="1605" t="s">
        <v>986</v>
      </c>
      <c r="FK221" s="1605">
        <v>0.46499395576716951</v>
      </c>
      <c r="FL221" s="1605">
        <v>0.29999999999999716</v>
      </c>
      <c r="FM221" s="1605" t="s">
        <v>986</v>
      </c>
      <c r="FN221" s="1605">
        <v>0.45139639475553944</v>
      </c>
      <c r="FO221" s="1605">
        <v>0.46149620415335008</v>
      </c>
      <c r="FP221" s="1605" t="s">
        <v>986</v>
      </c>
      <c r="FQ221" s="1605" t="s">
        <v>986</v>
      </c>
      <c r="FR221" s="1605" t="s">
        <v>986</v>
      </c>
      <c r="FS221" s="1605" t="s">
        <v>986</v>
      </c>
      <c r="FT221" s="1605" t="s">
        <v>986</v>
      </c>
      <c r="FU221" s="1605" t="s">
        <v>986</v>
      </c>
      <c r="FV221" s="1605" t="s">
        <v>986</v>
      </c>
      <c r="FW221" s="1605" t="s">
        <v>986</v>
      </c>
      <c r="FX221" s="1605" t="s">
        <v>986</v>
      </c>
      <c r="FY221" s="1605" t="s">
        <v>986</v>
      </c>
      <c r="FZ221" s="1605" t="s">
        <v>986</v>
      </c>
      <c r="GA221" s="1605">
        <v>5.3551305106925573E-2</v>
      </c>
      <c r="GB221" s="1605">
        <v>0.20728682412753707</v>
      </c>
      <c r="GC221" s="1605">
        <v>6.078089044105259E-4</v>
      </c>
      <c r="GD221" s="1605">
        <v>0.2</v>
      </c>
      <c r="GE221" s="1605">
        <v>0.1645575058579076</v>
      </c>
      <c r="GF221" s="1605">
        <v>1.0594789803006623E-2</v>
      </c>
      <c r="GG221" s="1605" t="s">
        <v>986</v>
      </c>
      <c r="GH221" s="1605">
        <v>1.4194567089541059</v>
      </c>
      <c r="GI221" s="1605">
        <v>0.6737858886582403</v>
      </c>
      <c r="GJ221" s="1605">
        <v>1.9621947759796832</v>
      </c>
      <c r="GK221" s="1605">
        <v>3.5345907500815072</v>
      </c>
      <c r="GL221" s="1605" t="s">
        <v>986</v>
      </c>
      <c r="GM221" s="1605" t="s">
        <v>986</v>
      </c>
      <c r="GN221" s="1605" t="s">
        <v>1763</v>
      </c>
      <c r="GO221" s="1605" t="s">
        <v>1763</v>
      </c>
      <c r="GP221" s="1605" t="s">
        <v>1763</v>
      </c>
      <c r="GQ221" s="1605" t="s">
        <v>1763</v>
      </c>
      <c r="GR221" s="1605" t="s">
        <v>1763</v>
      </c>
      <c r="GS221" s="1605" t="s">
        <v>1763</v>
      </c>
      <c r="GT221" s="1605" t="s">
        <v>1763</v>
      </c>
      <c r="GU221" s="1605" t="s">
        <v>1763</v>
      </c>
      <c r="GV221" s="1605" t="s">
        <v>1763</v>
      </c>
      <c r="GW221" s="1605" t="s">
        <v>1763</v>
      </c>
      <c r="GX221" s="1605" t="s">
        <v>1763</v>
      </c>
      <c r="GY221" s="1605" t="s">
        <v>1763</v>
      </c>
      <c r="GZ221" s="1605" t="s">
        <v>1763</v>
      </c>
      <c r="HA221" s="1605" t="s">
        <v>1763</v>
      </c>
      <c r="HB221" s="1605" t="s">
        <v>1763</v>
      </c>
      <c r="HC221" s="1605" t="s">
        <v>1763</v>
      </c>
      <c r="HD221" s="1605" t="s">
        <v>1763</v>
      </c>
      <c r="HE221" s="1605" t="s">
        <v>1763</v>
      </c>
      <c r="HF221" s="1605" t="s">
        <v>1763</v>
      </c>
      <c r="HG221" s="1605" t="s">
        <v>1763</v>
      </c>
      <c r="HH221" s="1605" t="s">
        <v>1763</v>
      </c>
      <c r="HI221" s="1605" t="s">
        <v>1763</v>
      </c>
      <c r="HJ221" s="1605" t="s">
        <v>1763</v>
      </c>
      <c r="HK221" s="1605" t="s">
        <v>1763</v>
      </c>
      <c r="HL221" s="1605" t="s">
        <v>1578</v>
      </c>
      <c r="HM221" s="1605" t="s">
        <v>1763</v>
      </c>
      <c r="HN221" s="1605" t="s">
        <v>1763</v>
      </c>
      <c r="HO221" s="1605" t="s">
        <v>986</v>
      </c>
      <c r="HP221" s="1605" t="s">
        <v>1763</v>
      </c>
      <c r="HQ221" s="1605" t="s">
        <v>1763</v>
      </c>
      <c r="HR221" s="1605" t="s">
        <v>1763</v>
      </c>
      <c r="HS221" s="1605" t="s">
        <v>1763</v>
      </c>
      <c r="HT221" s="1605" t="s">
        <v>1763</v>
      </c>
      <c r="HU221" s="1605" t="s">
        <v>1763</v>
      </c>
      <c r="HV221" s="1617"/>
      <c r="HW221" s="1617" t="s">
        <v>3208</v>
      </c>
      <c r="HX221" s="1617">
        <v>0</v>
      </c>
      <c r="HY221" s="1617" t="s">
        <v>3207</v>
      </c>
      <c r="HZ221" s="1603"/>
      <c r="IA221" s="1603"/>
      <c r="IB221" s="1603"/>
      <c r="IC221" s="1603">
        <v>56.357723577235802</v>
      </c>
      <c r="ID221" s="1603">
        <v>57.918699186991901</v>
      </c>
      <c r="IE221" s="1603">
        <v>59.219512195121901</v>
      </c>
      <c r="IF221" s="1603">
        <v>60</v>
      </c>
      <c r="IG221" s="1611" t="s">
        <v>3206</v>
      </c>
      <c r="IH221" s="1616" t="s">
        <v>270</v>
      </c>
      <c r="II221" s="1615" t="s">
        <v>270</v>
      </c>
      <c r="IJ221" s="1613">
        <v>0.41228409090909096</v>
      </c>
      <c r="IK221" s="1613">
        <v>0.41228409090909096</v>
      </c>
      <c r="IL221" s="1614">
        <v>0.41228409090909096</v>
      </c>
      <c r="IM221" s="1614">
        <v>0.41228409090909096</v>
      </c>
      <c r="IN221" s="1612" t="s">
        <v>270</v>
      </c>
      <c r="IO221" s="1613" t="s">
        <v>270</v>
      </c>
      <c r="IP221" s="1607" t="s">
        <v>270</v>
      </c>
      <c r="IQ221" s="1612" t="s">
        <v>270</v>
      </c>
      <c r="IR221" s="1612" t="s">
        <v>270</v>
      </c>
      <c r="IS221" s="1607">
        <v>0.40828409090909096</v>
      </c>
      <c r="IT221" s="1607">
        <v>0.40828409090909096</v>
      </c>
      <c r="IU221" s="1611">
        <v>1.1363636363636365E-5</v>
      </c>
      <c r="IV221" s="1611">
        <v>2.7727272727272726E-3</v>
      </c>
      <c r="IW221" s="1611">
        <v>8.0681818181818177E-4</v>
      </c>
      <c r="IX221" s="1611">
        <v>1.0681818181818182E-3</v>
      </c>
      <c r="IY221" s="1611">
        <v>8.1818181818181816E-4</v>
      </c>
      <c r="IZ221" s="1611">
        <v>7.624999999999999E-3</v>
      </c>
      <c r="JA221" s="1611">
        <v>1.7045454545454544E-4</v>
      </c>
      <c r="JB221" s="1611" t="s">
        <v>270</v>
      </c>
      <c r="JC221" s="1611">
        <v>0.15605681818181819</v>
      </c>
      <c r="JD221" s="1611">
        <v>6.6249999999999998E-3</v>
      </c>
      <c r="JE221" s="1611" t="s">
        <v>270</v>
      </c>
      <c r="JF221" s="1611">
        <v>2.7272727272727268E-4</v>
      </c>
      <c r="JG221" s="1611">
        <v>4.1114204545454545</v>
      </c>
      <c r="JH221" s="1611">
        <v>2.2727272727272727E-4</v>
      </c>
      <c r="JI221" s="1611">
        <v>5.213636363636364E-2</v>
      </c>
      <c r="JJ221" s="1611" t="s">
        <v>270</v>
      </c>
      <c r="JK221" s="1607">
        <f t="shared" si="12"/>
        <v>4.0000000000000036E-3</v>
      </c>
      <c r="JL221" s="1608" t="s">
        <v>2946</v>
      </c>
      <c r="JM221" s="1610" t="s">
        <v>3205</v>
      </c>
      <c r="JN221" s="1608">
        <v>0</v>
      </c>
      <c r="JO221" s="1609" t="s">
        <v>2923</v>
      </c>
      <c r="JP221" s="1608" t="s">
        <v>270</v>
      </c>
      <c r="JQ221" s="1607">
        <v>202103</v>
      </c>
      <c r="JR221" s="1606">
        <v>544</v>
      </c>
      <c r="JS221" s="1606">
        <v>492</v>
      </c>
      <c r="JT221" s="1606">
        <v>492</v>
      </c>
    </row>
    <row r="222" spans="1:280" ht="15" customHeight="1" x14ac:dyDescent="0.2">
      <c r="A222" s="1626">
        <v>95400</v>
      </c>
      <c r="B222" s="1625">
        <v>954</v>
      </c>
      <c r="C222" s="1624">
        <v>0</v>
      </c>
      <c r="D222" s="1623" t="s">
        <v>3204</v>
      </c>
      <c r="E222" s="1622">
        <v>43031</v>
      </c>
      <c r="F222" s="1620">
        <v>0.43457073170731803</v>
      </c>
      <c r="G222" s="1620">
        <v>0.41651064935065002</v>
      </c>
      <c r="H222" s="1621">
        <v>100</v>
      </c>
      <c r="I222" s="1621">
        <v>100</v>
      </c>
      <c r="J222" s="1621">
        <v>100</v>
      </c>
      <c r="K222" s="1620">
        <v>1</v>
      </c>
      <c r="L222" s="1620">
        <v>99.5</v>
      </c>
      <c r="M222" s="1620">
        <v>1.4</v>
      </c>
      <c r="N222" s="1620">
        <v>7.4</v>
      </c>
      <c r="O222" s="1620">
        <v>77.099999999999994</v>
      </c>
      <c r="P222" s="1620">
        <v>0</v>
      </c>
      <c r="Q222" s="1603"/>
      <c r="R222" s="1620">
        <v>0</v>
      </c>
      <c r="S222" s="1620">
        <v>0</v>
      </c>
      <c r="T222" s="1620">
        <v>0</v>
      </c>
      <c r="U222" s="1620">
        <v>0</v>
      </c>
      <c r="V222" s="1620">
        <v>0</v>
      </c>
      <c r="W222" s="1620">
        <v>0</v>
      </c>
      <c r="X222" s="1620"/>
      <c r="Y222" s="1620">
        <v>0</v>
      </c>
      <c r="Z222" s="1620">
        <v>0</v>
      </c>
      <c r="AA222" s="1620">
        <v>0</v>
      </c>
      <c r="AB222" s="1620">
        <v>0</v>
      </c>
      <c r="AC222" s="1620">
        <v>0</v>
      </c>
      <c r="AD222" s="1620">
        <v>0</v>
      </c>
      <c r="AE222" s="1620">
        <v>0</v>
      </c>
      <c r="AF222" s="1620">
        <v>0</v>
      </c>
      <c r="AG222" s="1620">
        <v>0</v>
      </c>
      <c r="AH222" s="1620">
        <v>0</v>
      </c>
      <c r="AI222" s="1620">
        <v>0</v>
      </c>
      <c r="AJ222" s="1620">
        <v>0</v>
      </c>
      <c r="AK222" s="1620">
        <v>0</v>
      </c>
      <c r="AL222" s="1620"/>
      <c r="AM222" s="1620">
        <v>0</v>
      </c>
      <c r="AN222" s="1620">
        <v>0</v>
      </c>
      <c r="AO222" s="1620">
        <v>0</v>
      </c>
      <c r="AP222" s="1620">
        <v>0</v>
      </c>
      <c r="AQ222" s="1620">
        <v>0</v>
      </c>
      <c r="AR222" s="1620">
        <v>0</v>
      </c>
      <c r="AS222" s="1620">
        <v>0</v>
      </c>
      <c r="AT222" s="1620">
        <v>0</v>
      </c>
      <c r="AU222" s="1620">
        <v>0</v>
      </c>
      <c r="AV222" s="1620">
        <v>0</v>
      </c>
      <c r="AW222" s="1620">
        <v>0</v>
      </c>
      <c r="AX222" s="1620"/>
      <c r="AY222" s="1620">
        <v>1</v>
      </c>
      <c r="AZ222" s="1620">
        <v>1</v>
      </c>
      <c r="BA222" s="1620">
        <v>1</v>
      </c>
      <c r="BB222" s="1620">
        <v>1</v>
      </c>
      <c r="BC222" s="1620">
        <v>1</v>
      </c>
      <c r="BD222" s="1620">
        <v>1</v>
      </c>
      <c r="BE222" s="1620">
        <v>1</v>
      </c>
      <c r="BF222" s="1620">
        <v>1</v>
      </c>
      <c r="BG222" s="1620">
        <v>1</v>
      </c>
      <c r="BH222" s="1620">
        <v>1</v>
      </c>
      <c r="BI222" s="1620">
        <v>1</v>
      </c>
      <c r="BJ222" s="1603"/>
      <c r="BK222" s="1620">
        <v>1.4070351758793971</v>
      </c>
      <c r="BL222" s="1620">
        <v>7.4371859296482414</v>
      </c>
      <c r="BM222" s="1620">
        <v>77.487437185929636</v>
      </c>
      <c r="BN222" s="1620">
        <v>0</v>
      </c>
      <c r="BO222" s="1620"/>
      <c r="BP222" s="1620">
        <v>0</v>
      </c>
      <c r="BQ222" s="1620">
        <v>0</v>
      </c>
      <c r="BR222" s="1620">
        <v>0.43675450422846035</v>
      </c>
      <c r="BS222" s="1620">
        <v>0.41860366768909552</v>
      </c>
      <c r="BT222" s="1603"/>
      <c r="BU222" s="1620">
        <v>225.12562814070353</v>
      </c>
      <c r="BV222" s="1620">
        <v>140.18090452261305</v>
      </c>
      <c r="BW222" s="1620">
        <v>0</v>
      </c>
      <c r="BX222" s="1620" t="s">
        <v>270</v>
      </c>
      <c r="BY222" s="1620" t="s">
        <v>270</v>
      </c>
      <c r="BZ222" s="1620" t="s">
        <v>270</v>
      </c>
      <c r="CA222" s="1620" t="s">
        <v>270</v>
      </c>
      <c r="CB222" s="1603"/>
      <c r="CC222" s="1603">
        <v>0</v>
      </c>
      <c r="CD222" s="1603">
        <v>0</v>
      </c>
      <c r="CE222" s="1603">
        <v>0</v>
      </c>
      <c r="CF222" s="1603">
        <v>0</v>
      </c>
      <c r="CG222" s="1603">
        <v>0</v>
      </c>
      <c r="CH222" s="1603">
        <v>0</v>
      </c>
      <c r="CI222" s="1603">
        <v>0</v>
      </c>
      <c r="CJ222" s="1603"/>
      <c r="CK222" s="1603">
        <v>0</v>
      </c>
      <c r="CL222" s="1603">
        <v>0</v>
      </c>
      <c r="CM222" s="1603">
        <v>0</v>
      </c>
      <c r="CN222" s="1603">
        <v>0</v>
      </c>
      <c r="CO222" s="1603">
        <v>0</v>
      </c>
      <c r="CP222" s="1603">
        <v>0</v>
      </c>
      <c r="CQ222" s="1603">
        <v>0</v>
      </c>
      <c r="CR222" s="1603">
        <v>0</v>
      </c>
      <c r="CS222" s="1603">
        <v>0</v>
      </c>
      <c r="CT222" s="1603">
        <v>0</v>
      </c>
      <c r="CU222" s="1603">
        <v>0</v>
      </c>
      <c r="CV222" s="1603">
        <v>0</v>
      </c>
      <c r="CW222" s="1603">
        <v>0</v>
      </c>
      <c r="CX222" s="1603">
        <v>0</v>
      </c>
      <c r="CY222" s="1603">
        <v>0</v>
      </c>
      <c r="CZ222" s="1603">
        <v>0</v>
      </c>
      <c r="DA222" s="1603">
        <v>0</v>
      </c>
      <c r="DB222" s="1603">
        <v>0</v>
      </c>
      <c r="DC222" s="1603">
        <v>0</v>
      </c>
      <c r="DD222" s="1603">
        <v>0</v>
      </c>
      <c r="DE222" s="1603">
        <v>0</v>
      </c>
      <c r="DF222" s="1603">
        <v>9999999.9999999907</v>
      </c>
      <c r="DG222" s="1603">
        <v>0</v>
      </c>
      <c r="DH222" s="1603">
        <v>0</v>
      </c>
      <c r="DI222" s="1603">
        <v>0</v>
      </c>
      <c r="DJ222" s="1603">
        <v>0</v>
      </c>
      <c r="DK222" s="1603">
        <v>0</v>
      </c>
      <c r="DL222" s="1603">
        <v>0</v>
      </c>
      <c r="DM222" s="1603">
        <v>0</v>
      </c>
      <c r="DN222" s="1603">
        <v>0</v>
      </c>
      <c r="DO222" s="1603">
        <v>0</v>
      </c>
      <c r="DP222" s="1603">
        <v>0</v>
      </c>
      <c r="DQ222" s="1603">
        <v>0</v>
      </c>
      <c r="DR222" s="1603">
        <v>0</v>
      </c>
      <c r="DS222" s="1603">
        <v>0</v>
      </c>
      <c r="DT222" s="1603">
        <v>0</v>
      </c>
      <c r="DU222" s="1603">
        <v>0</v>
      </c>
      <c r="DV222" s="1603">
        <v>0</v>
      </c>
      <c r="DW222" s="1618" t="s">
        <v>986</v>
      </c>
      <c r="DX222" s="1605" t="s">
        <v>986</v>
      </c>
      <c r="DY222" s="1605" t="s">
        <v>986</v>
      </c>
      <c r="DZ222" s="1605" t="s">
        <v>986</v>
      </c>
      <c r="EA222" s="1605" t="s">
        <v>986</v>
      </c>
      <c r="EB222" s="1605" t="s">
        <v>986</v>
      </c>
      <c r="EC222" s="1605" t="s">
        <v>986</v>
      </c>
      <c r="ED222" s="1605" t="s">
        <v>986</v>
      </c>
      <c r="EE222" s="1605" t="s">
        <v>986</v>
      </c>
      <c r="EF222" s="1605" t="s">
        <v>986</v>
      </c>
      <c r="EG222" s="1605" t="s">
        <v>986</v>
      </c>
      <c r="EH222" s="1605" t="s">
        <v>986</v>
      </c>
      <c r="EI222" s="1605" t="s">
        <v>986</v>
      </c>
      <c r="EJ222" s="1605" t="s">
        <v>986</v>
      </c>
      <c r="EK222" s="1605" t="s">
        <v>986</v>
      </c>
      <c r="EL222" s="1605" t="s">
        <v>986</v>
      </c>
      <c r="EM222" s="1605" t="s">
        <v>986</v>
      </c>
      <c r="EN222" s="1605" t="s">
        <v>986</v>
      </c>
      <c r="EO222" s="1605" t="s">
        <v>986</v>
      </c>
      <c r="EP222" s="1605" t="s">
        <v>986</v>
      </c>
      <c r="EQ222" s="1605" t="s">
        <v>986</v>
      </c>
      <c r="ER222" s="1605" t="s">
        <v>986</v>
      </c>
      <c r="ES222" s="1605" t="s">
        <v>986</v>
      </c>
      <c r="ET222" s="1605" t="s">
        <v>986</v>
      </c>
      <c r="EU222" s="1605" t="s">
        <v>986</v>
      </c>
      <c r="EV222" s="1605" t="s">
        <v>986</v>
      </c>
      <c r="EW222" s="1605" t="s">
        <v>986</v>
      </c>
      <c r="EX222" s="1605" t="s">
        <v>986</v>
      </c>
      <c r="EY222" s="1605" t="s">
        <v>986</v>
      </c>
      <c r="EZ222" s="1605" t="s">
        <v>986</v>
      </c>
      <c r="FA222" s="1605" t="s">
        <v>986</v>
      </c>
      <c r="FB222" s="1605" t="s">
        <v>986</v>
      </c>
      <c r="FC222" s="1605" t="s">
        <v>986</v>
      </c>
      <c r="FD222" s="1605" t="s">
        <v>986</v>
      </c>
      <c r="FE222" s="1605" t="s">
        <v>986</v>
      </c>
      <c r="FF222" s="1605" t="s">
        <v>986</v>
      </c>
      <c r="FG222" s="1605" t="s">
        <v>986</v>
      </c>
      <c r="FH222" s="1605" t="s">
        <v>986</v>
      </c>
      <c r="FI222" s="1605" t="s">
        <v>986</v>
      </c>
      <c r="FJ222" s="1605" t="s">
        <v>986</v>
      </c>
      <c r="FK222" s="1605" t="s">
        <v>986</v>
      </c>
      <c r="FL222" s="1605" t="s">
        <v>986</v>
      </c>
      <c r="FM222" s="1605" t="s">
        <v>986</v>
      </c>
      <c r="FN222" s="1605" t="s">
        <v>986</v>
      </c>
      <c r="FO222" s="1605" t="s">
        <v>986</v>
      </c>
      <c r="FP222" s="1605" t="s">
        <v>986</v>
      </c>
      <c r="FQ222" s="1605" t="s">
        <v>986</v>
      </c>
      <c r="FR222" s="1605" t="s">
        <v>986</v>
      </c>
      <c r="FS222" s="1605" t="s">
        <v>986</v>
      </c>
      <c r="FT222" s="1605" t="s">
        <v>986</v>
      </c>
      <c r="FU222" s="1605" t="s">
        <v>986</v>
      </c>
      <c r="FV222" s="1605" t="s">
        <v>986</v>
      </c>
      <c r="FW222" s="1605" t="s">
        <v>986</v>
      </c>
      <c r="FX222" s="1605" t="s">
        <v>986</v>
      </c>
      <c r="FY222" s="1605" t="s">
        <v>986</v>
      </c>
      <c r="FZ222" s="1605" t="s">
        <v>986</v>
      </c>
      <c r="GA222" s="1605" t="s">
        <v>986</v>
      </c>
      <c r="GB222" s="1605" t="s">
        <v>986</v>
      </c>
      <c r="GC222" s="1605" t="s">
        <v>986</v>
      </c>
      <c r="GD222" s="1605" t="s">
        <v>986</v>
      </c>
      <c r="GE222" s="1605" t="s">
        <v>986</v>
      </c>
      <c r="GF222" s="1605" t="s">
        <v>986</v>
      </c>
      <c r="GG222" s="1605" t="s">
        <v>986</v>
      </c>
      <c r="GH222" s="1605" t="s">
        <v>986</v>
      </c>
      <c r="GI222" s="1605" t="s">
        <v>986</v>
      </c>
      <c r="GJ222" s="1605" t="s">
        <v>986</v>
      </c>
      <c r="GK222" s="1605" t="s">
        <v>986</v>
      </c>
      <c r="GL222" s="1605" t="s">
        <v>986</v>
      </c>
      <c r="GM222" s="1605" t="s">
        <v>986</v>
      </c>
      <c r="GN222" s="1605" t="s">
        <v>986</v>
      </c>
      <c r="GO222" s="1605" t="s">
        <v>986</v>
      </c>
      <c r="GP222" s="1605" t="s">
        <v>986</v>
      </c>
      <c r="GQ222" s="1605" t="s">
        <v>986</v>
      </c>
      <c r="GR222" s="1605" t="s">
        <v>986</v>
      </c>
      <c r="GS222" s="1605" t="s">
        <v>986</v>
      </c>
      <c r="GT222" s="1605" t="s">
        <v>986</v>
      </c>
      <c r="GU222" s="1605" t="s">
        <v>986</v>
      </c>
      <c r="GV222" s="1605" t="s">
        <v>986</v>
      </c>
      <c r="GW222" s="1605" t="s">
        <v>986</v>
      </c>
      <c r="GX222" s="1605" t="s">
        <v>986</v>
      </c>
      <c r="GY222" s="1605" t="s">
        <v>986</v>
      </c>
      <c r="GZ222" s="1605" t="s">
        <v>986</v>
      </c>
      <c r="HA222" s="1605" t="s">
        <v>986</v>
      </c>
      <c r="HB222" s="1605" t="s">
        <v>986</v>
      </c>
      <c r="HC222" s="1605" t="s">
        <v>986</v>
      </c>
      <c r="HD222" s="1605" t="s">
        <v>986</v>
      </c>
      <c r="HE222" s="1605" t="s">
        <v>986</v>
      </c>
      <c r="HF222" s="1605" t="s">
        <v>986</v>
      </c>
      <c r="HG222" s="1605" t="s">
        <v>986</v>
      </c>
      <c r="HH222" s="1605" t="s">
        <v>986</v>
      </c>
      <c r="HI222" s="1605" t="s">
        <v>986</v>
      </c>
      <c r="HJ222" s="1605" t="s">
        <v>986</v>
      </c>
      <c r="HK222" s="1605" t="s">
        <v>986</v>
      </c>
      <c r="HL222" s="1605" t="s">
        <v>986</v>
      </c>
      <c r="HM222" s="1605" t="s">
        <v>986</v>
      </c>
      <c r="HN222" s="1605" t="s">
        <v>986</v>
      </c>
      <c r="HO222" s="1605" t="s">
        <v>986</v>
      </c>
      <c r="HP222" s="1605" t="s">
        <v>986</v>
      </c>
      <c r="HQ222" s="1605" t="s">
        <v>986</v>
      </c>
      <c r="HR222" s="1605" t="s">
        <v>986</v>
      </c>
      <c r="HS222" s="1605" t="s">
        <v>986</v>
      </c>
      <c r="HT222" s="1605" t="s">
        <v>986</v>
      </c>
      <c r="HU222" s="1605" t="s">
        <v>986</v>
      </c>
      <c r="HV222" s="1617"/>
      <c r="HW222" s="1617" t="s">
        <v>3203</v>
      </c>
      <c r="HX222" s="1617">
        <v>0</v>
      </c>
      <c r="HY222" s="1617">
        <v>0</v>
      </c>
      <c r="HZ222" s="1603"/>
      <c r="IA222" s="1603"/>
      <c r="IB222" s="1603"/>
      <c r="IC222" s="1603">
        <v>0</v>
      </c>
      <c r="ID222" s="1603">
        <v>0</v>
      </c>
      <c r="IE222" s="1603">
        <v>0</v>
      </c>
      <c r="IF222" s="1603">
        <v>0</v>
      </c>
      <c r="IG222" s="1611" t="s">
        <v>2932</v>
      </c>
      <c r="IH222" s="1616" t="s">
        <v>270</v>
      </c>
      <c r="II222" s="1615" t="s">
        <v>270</v>
      </c>
      <c r="IJ222" s="1613">
        <v>1.3101818181818183</v>
      </c>
      <c r="IK222" s="1613">
        <v>1.301848484848485</v>
      </c>
      <c r="IL222" s="1614">
        <v>1.3101818181818183</v>
      </c>
      <c r="IM222" s="1614">
        <v>1.301848484848485</v>
      </c>
      <c r="IN222" s="1612" t="s">
        <v>270</v>
      </c>
      <c r="IO222" s="1613" t="s">
        <v>270</v>
      </c>
      <c r="IP222" s="1607" t="s">
        <v>270</v>
      </c>
      <c r="IQ222" s="1612" t="s">
        <v>270</v>
      </c>
      <c r="IR222" s="1612" t="s">
        <v>270</v>
      </c>
      <c r="IS222" s="1607">
        <v>1.1881818181818182</v>
      </c>
      <c r="IT222" s="1607">
        <v>1.1798484848484849</v>
      </c>
      <c r="IU222" s="1611">
        <v>0</v>
      </c>
      <c r="IV222" s="1611">
        <v>7.7767676767676763E-2</v>
      </c>
      <c r="IW222" s="1611">
        <v>9.0909090909090909E-4</v>
      </c>
      <c r="IX222" s="1611">
        <v>1.6060606060606061E-3</v>
      </c>
      <c r="IY222" s="1611">
        <v>9.6969696969696957E-4</v>
      </c>
      <c r="IZ222" s="1611">
        <v>5.9898989898989896E-3</v>
      </c>
      <c r="JA222" s="1611">
        <v>6.0606060606060598E-5</v>
      </c>
      <c r="JB222" s="1611" t="s">
        <v>270</v>
      </c>
      <c r="JC222" s="1611">
        <v>9.9026969696969704</v>
      </c>
      <c r="JD222" s="1611">
        <v>5.2121212121212122E-3</v>
      </c>
      <c r="JE222" s="1611" t="s">
        <v>270</v>
      </c>
      <c r="JF222" s="1611">
        <v>8.2828282828282835E-4</v>
      </c>
      <c r="JG222" s="1611">
        <v>0.57978787878787885</v>
      </c>
      <c r="JH222" s="1611">
        <v>7.646464646464647E-3</v>
      </c>
      <c r="JI222" s="1611">
        <v>0.3</v>
      </c>
      <c r="JJ222" s="1611" t="s">
        <v>270</v>
      </c>
      <c r="JK222" s="1607">
        <f t="shared" si="12"/>
        <v>0.12200000000000011</v>
      </c>
      <c r="JL222" s="1608" t="s">
        <v>270</v>
      </c>
      <c r="JM222" s="1610" t="s">
        <v>2924</v>
      </c>
      <c r="JN222" s="1608">
        <v>8.3333333333333037E-3</v>
      </c>
      <c r="JO222" s="1609" t="s">
        <v>2931</v>
      </c>
      <c r="JP222" s="1608" t="s">
        <v>270</v>
      </c>
      <c r="JQ222" s="1607">
        <v>202103</v>
      </c>
      <c r="JR222" s="1606">
        <v>851</v>
      </c>
      <c r="JS222" s="1606">
        <v>774</v>
      </c>
      <c r="JT222" s="1606">
        <v>774</v>
      </c>
    </row>
    <row r="223" spans="1:280" ht="15" customHeight="1" x14ac:dyDescent="0.2">
      <c r="A223" s="1626">
        <v>95410</v>
      </c>
      <c r="B223" s="1625">
        <v>954</v>
      </c>
      <c r="C223" s="1624">
        <v>10</v>
      </c>
      <c r="D223" s="1623" t="s">
        <v>3202</v>
      </c>
      <c r="E223" s="1622">
        <v>43031</v>
      </c>
      <c r="F223" s="1620">
        <v>0.88144756097560995</v>
      </c>
      <c r="G223" s="1620">
        <v>0.84481597402597397</v>
      </c>
      <c r="H223" s="1621">
        <v>100</v>
      </c>
      <c r="I223" s="1621">
        <v>100</v>
      </c>
      <c r="J223" s="1621">
        <v>100</v>
      </c>
      <c r="K223" s="1620">
        <v>1</v>
      </c>
      <c r="L223" s="1620">
        <v>56</v>
      </c>
      <c r="M223" s="1620">
        <v>2.1</v>
      </c>
      <c r="N223" s="1620">
        <v>0</v>
      </c>
      <c r="O223" s="1620">
        <v>0.1</v>
      </c>
      <c r="P223" s="1620">
        <v>0</v>
      </c>
      <c r="Q223" s="1603"/>
      <c r="R223" s="1620">
        <v>0</v>
      </c>
      <c r="S223" s="1620">
        <v>0</v>
      </c>
      <c r="T223" s="1620">
        <v>0</v>
      </c>
      <c r="U223" s="1620">
        <v>0</v>
      </c>
      <c r="V223" s="1620">
        <v>0</v>
      </c>
      <c r="W223" s="1620">
        <v>0</v>
      </c>
      <c r="X223" s="1620"/>
      <c r="Y223" s="1620">
        <v>0</v>
      </c>
      <c r="Z223" s="1620">
        <v>0</v>
      </c>
      <c r="AA223" s="1620">
        <v>0</v>
      </c>
      <c r="AB223" s="1620">
        <v>0</v>
      </c>
      <c r="AC223" s="1620">
        <v>0</v>
      </c>
      <c r="AD223" s="1620">
        <v>0</v>
      </c>
      <c r="AE223" s="1620">
        <v>0</v>
      </c>
      <c r="AF223" s="1620">
        <v>0</v>
      </c>
      <c r="AG223" s="1620">
        <v>0</v>
      </c>
      <c r="AH223" s="1620">
        <v>0</v>
      </c>
      <c r="AI223" s="1620">
        <v>0</v>
      </c>
      <c r="AJ223" s="1620">
        <v>0</v>
      </c>
      <c r="AK223" s="1620">
        <v>0</v>
      </c>
      <c r="AL223" s="1620"/>
      <c r="AM223" s="1620">
        <v>0</v>
      </c>
      <c r="AN223" s="1620">
        <v>0</v>
      </c>
      <c r="AO223" s="1620">
        <v>0</v>
      </c>
      <c r="AP223" s="1620">
        <v>0</v>
      </c>
      <c r="AQ223" s="1620">
        <v>0</v>
      </c>
      <c r="AR223" s="1620">
        <v>0</v>
      </c>
      <c r="AS223" s="1620">
        <v>0</v>
      </c>
      <c r="AT223" s="1620">
        <v>0</v>
      </c>
      <c r="AU223" s="1620">
        <v>0</v>
      </c>
      <c r="AV223" s="1620">
        <v>0</v>
      </c>
      <c r="AW223" s="1620">
        <v>0</v>
      </c>
      <c r="AX223" s="1620"/>
      <c r="AY223" s="1620">
        <v>1</v>
      </c>
      <c r="AZ223" s="1620">
        <v>1</v>
      </c>
      <c r="BA223" s="1620">
        <v>1</v>
      </c>
      <c r="BB223" s="1620">
        <v>1</v>
      </c>
      <c r="BC223" s="1620">
        <v>1</v>
      </c>
      <c r="BD223" s="1620">
        <v>1</v>
      </c>
      <c r="BE223" s="1620">
        <v>1</v>
      </c>
      <c r="BF223" s="1620">
        <v>1</v>
      </c>
      <c r="BG223" s="1620">
        <v>1</v>
      </c>
      <c r="BH223" s="1620">
        <v>1</v>
      </c>
      <c r="BI223" s="1620">
        <v>1</v>
      </c>
      <c r="BJ223" s="1603"/>
      <c r="BK223" s="1620">
        <v>3.75</v>
      </c>
      <c r="BL223" s="1620">
        <v>0</v>
      </c>
      <c r="BM223" s="1620">
        <v>0.17857142857142858</v>
      </c>
      <c r="BN223" s="1620">
        <v>0</v>
      </c>
      <c r="BO223" s="1620"/>
      <c r="BP223" s="1620">
        <v>0</v>
      </c>
      <c r="BQ223" s="1620">
        <v>0</v>
      </c>
      <c r="BR223" s="1620">
        <v>1.5740135017421608</v>
      </c>
      <c r="BS223" s="1620">
        <v>1.5085999536178107</v>
      </c>
      <c r="BT223" s="1603"/>
      <c r="BU223" s="1620">
        <v>998.21428571428567</v>
      </c>
      <c r="BV223" s="1620">
        <v>964.08928571428567</v>
      </c>
      <c r="BW223" s="1620">
        <v>0</v>
      </c>
      <c r="BX223" s="1620" t="s">
        <v>270</v>
      </c>
      <c r="BY223" s="1620" t="s">
        <v>270</v>
      </c>
      <c r="BZ223" s="1620" t="s">
        <v>270</v>
      </c>
      <c r="CA223" s="1620" t="s">
        <v>270</v>
      </c>
      <c r="CB223" s="1603"/>
      <c r="CC223" s="1603">
        <v>0</v>
      </c>
      <c r="CD223" s="1603">
        <v>0</v>
      </c>
      <c r="CE223" s="1603">
        <v>0</v>
      </c>
      <c r="CF223" s="1603">
        <v>0</v>
      </c>
      <c r="CG223" s="1603">
        <v>0</v>
      </c>
      <c r="CH223" s="1603">
        <v>0</v>
      </c>
      <c r="CI223" s="1603">
        <v>0</v>
      </c>
      <c r="CJ223" s="1603"/>
      <c r="CK223" s="1603">
        <v>0</v>
      </c>
      <c r="CL223" s="1603">
        <v>0</v>
      </c>
      <c r="CM223" s="1603">
        <v>0</v>
      </c>
      <c r="CN223" s="1603">
        <v>0</v>
      </c>
      <c r="CO223" s="1603">
        <v>0</v>
      </c>
      <c r="CP223" s="1603">
        <v>0</v>
      </c>
      <c r="CQ223" s="1603">
        <v>0</v>
      </c>
      <c r="CR223" s="1603">
        <v>0</v>
      </c>
      <c r="CS223" s="1603">
        <v>0</v>
      </c>
      <c r="CT223" s="1603">
        <v>0</v>
      </c>
      <c r="CU223" s="1603">
        <v>0</v>
      </c>
      <c r="CV223" s="1603">
        <v>0</v>
      </c>
      <c r="CW223" s="1603">
        <v>0</v>
      </c>
      <c r="CX223" s="1603">
        <v>0</v>
      </c>
      <c r="CY223" s="1603">
        <v>0</v>
      </c>
      <c r="CZ223" s="1603">
        <v>0</v>
      </c>
      <c r="DA223" s="1603">
        <v>0</v>
      </c>
      <c r="DB223" s="1603">
        <v>0</v>
      </c>
      <c r="DC223" s="1603">
        <v>0</v>
      </c>
      <c r="DD223" s="1603">
        <v>0</v>
      </c>
      <c r="DE223" s="1603">
        <v>0</v>
      </c>
      <c r="DF223" s="1603">
        <v>20000000</v>
      </c>
      <c r="DG223" s="1603">
        <v>0</v>
      </c>
      <c r="DH223" s="1603">
        <v>0</v>
      </c>
      <c r="DI223" s="1603">
        <v>0</v>
      </c>
      <c r="DJ223" s="1603">
        <v>0</v>
      </c>
      <c r="DK223" s="1603">
        <v>0</v>
      </c>
      <c r="DL223" s="1603">
        <v>0</v>
      </c>
      <c r="DM223" s="1603">
        <v>0</v>
      </c>
      <c r="DN223" s="1603">
        <v>0</v>
      </c>
      <c r="DO223" s="1603">
        <v>0</v>
      </c>
      <c r="DP223" s="1603">
        <v>0</v>
      </c>
      <c r="DQ223" s="1603">
        <v>0</v>
      </c>
      <c r="DR223" s="1603">
        <v>0</v>
      </c>
      <c r="DS223" s="1603">
        <v>0</v>
      </c>
      <c r="DT223" s="1603">
        <v>0</v>
      </c>
      <c r="DU223" s="1603">
        <v>0</v>
      </c>
      <c r="DV223" s="1603">
        <v>0</v>
      </c>
      <c r="DW223" s="1618" t="s">
        <v>986</v>
      </c>
      <c r="DX223" s="1605" t="s">
        <v>986</v>
      </c>
      <c r="DY223" s="1605" t="s">
        <v>986</v>
      </c>
      <c r="DZ223" s="1605" t="s">
        <v>986</v>
      </c>
      <c r="EA223" s="1605" t="s">
        <v>986</v>
      </c>
      <c r="EB223" s="1605" t="s">
        <v>986</v>
      </c>
      <c r="EC223" s="1605" t="s">
        <v>986</v>
      </c>
      <c r="ED223" s="1605" t="s">
        <v>986</v>
      </c>
      <c r="EE223" s="1605" t="s">
        <v>986</v>
      </c>
      <c r="EF223" s="1605" t="s">
        <v>986</v>
      </c>
      <c r="EG223" s="1605" t="s">
        <v>986</v>
      </c>
      <c r="EH223" s="1605" t="s">
        <v>986</v>
      </c>
      <c r="EI223" s="1605" t="s">
        <v>986</v>
      </c>
      <c r="EJ223" s="1605" t="s">
        <v>986</v>
      </c>
      <c r="EK223" s="1605" t="s">
        <v>986</v>
      </c>
      <c r="EL223" s="1605" t="s">
        <v>986</v>
      </c>
      <c r="EM223" s="1605" t="s">
        <v>986</v>
      </c>
      <c r="EN223" s="1605" t="s">
        <v>986</v>
      </c>
      <c r="EO223" s="1605" t="s">
        <v>986</v>
      </c>
      <c r="EP223" s="1605" t="s">
        <v>986</v>
      </c>
      <c r="EQ223" s="1605" t="s">
        <v>986</v>
      </c>
      <c r="ER223" s="1605" t="s">
        <v>986</v>
      </c>
      <c r="ES223" s="1605" t="s">
        <v>986</v>
      </c>
      <c r="ET223" s="1605" t="s">
        <v>986</v>
      </c>
      <c r="EU223" s="1605" t="s">
        <v>986</v>
      </c>
      <c r="EV223" s="1605" t="s">
        <v>986</v>
      </c>
      <c r="EW223" s="1605" t="s">
        <v>986</v>
      </c>
      <c r="EX223" s="1605" t="s">
        <v>986</v>
      </c>
      <c r="EY223" s="1605" t="s">
        <v>986</v>
      </c>
      <c r="EZ223" s="1605" t="s">
        <v>986</v>
      </c>
      <c r="FA223" s="1605" t="s">
        <v>986</v>
      </c>
      <c r="FB223" s="1605" t="s">
        <v>986</v>
      </c>
      <c r="FC223" s="1605" t="s">
        <v>986</v>
      </c>
      <c r="FD223" s="1605" t="s">
        <v>986</v>
      </c>
      <c r="FE223" s="1605" t="s">
        <v>986</v>
      </c>
      <c r="FF223" s="1605" t="s">
        <v>986</v>
      </c>
      <c r="FG223" s="1605" t="s">
        <v>986</v>
      </c>
      <c r="FH223" s="1605" t="s">
        <v>986</v>
      </c>
      <c r="FI223" s="1605" t="s">
        <v>986</v>
      </c>
      <c r="FJ223" s="1605" t="s">
        <v>986</v>
      </c>
      <c r="FK223" s="1605" t="s">
        <v>986</v>
      </c>
      <c r="FL223" s="1605" t="s">
        <v>986</v>
      </c>
      <c r="FM223" s="1605" t="s">
        <v>986</v>
      </c>
      <c r="FN223" s="1605" t="s">
        <v>986</v>
      </c>
      <c r="FO223" s="1605" t="s">
        <v>986</v>
      </c>
      <c r="FP223" s="1605" t="s">
        <v>986</v>
      </c>
      <c r="FQ223" s="1605" t="s">
        <v>986</v>
      </c>
      <c r="FR223" s="1605" t="s">
        <v>986</v>
      </c>
      <c r="FS223" s="1605" t="s">
        <v>986</v>
      </c>
      <c r="FT223" s="1605" t="s">
        <v>986</v>
      </c>
      <c r="FU223" s="1605" t="s">
        <v>986</v>
      </c>
      <c r="FV223" s="1605" t="s">
        <v>986</v>
      </c>
      <c r="FW223" s="1605" t="s">
        <v>986</v>
      </c>
      <c r="FX223" s="1605" t="s">
        <v>986</v>
      </c>
      <c r="FY223" s="1605" t="s">
        <v>986</v>
      </c>
      <c r="FZ223" s="1605" t="s">
        <v>986</v>
      </c>
      <c r="GA223" s="1605" t="s">
        <v>986</v>
      </c>
      <c r="GB223" s="1605" t="s">
        <v>986</v>
      </c>
      <c r="GC223" s="1605" t="s">
        <v>986</v>
      </c>
      <c r="GD223" s="1605" t="s">
        <v>986</v>
      </c>
      <c r="GE223" s="1605" t="s">
        <v>986</v>
      </c>
      <c r="GF223" s="1605" t="s">
        <v>986</v>
      </c>
      <c r="GG223" s="1605" t="s">
        <v>986</v>
      </c>
      <c r="GH223" s="1605" t="s">
        <v>986</v>
      </c>
      <c r="GI223" s="1605" t="s">
        <v>986</v>
      </c>
      <c r="GJ223" s="1605" t="s">
        <v>986</v>
      </c>
      <c r="GK223" s="1605" t="s">
        <v>986</v>
      </c>
      <c r="GL223" s="1605" t="s">
        <v>986</v>
      </c>
      <c r="GM223" s="1605" t="s">
        <v>986</v>
      </c>
      <c r="GN223" s="1605" t="s">
        <v>986</v>
      </c>
      <c r="GO223" s="1605" t="s">
        <v>986</v>
      </c>
      <c r="GP223" s="1605" t="s">
        <v>986</v>
      </c>
      <c r="GQ223" s="1605" t="s">
        <v>986</v>
      </c>
      <c r="GR223" s="1605" t="s">
        <v>986</v>
      </c>
      <c r="GS223" s="1605" t="s">
        <v>986</v>
      </c>
      <c r="GT223" s="1605" t="s">
        <v>986</v>
      </c>
      <c r="GU223" s="1605" t="s">
        <v>986</v>
      </c>
      <c r="GV223" s="1605" t="s">
        <v>986</v>
      </c>
      <c r="GW223" s="1605" t="s">
        <v>986</v>
      </c>
      <c r="GX223" s="1605" t="s">
        <v>986</v>
      </c>
      <c r="GY223" s="1605" t="s">
        <v>986</v>
      </c>
      <c r="GZ223" s="1605" t="s">
        <v>986</v>
      </c>
      <c r="HA223" s="1605" t="s">
        <v>986</v>
      </c>
      <c r="HB223" s="1605" t="s">
        <v>986</v>
      </c>
      <c r="HC223" s="1605" t="s">
        <v>986</v>
      </c>
      <c r="HD223" s="1605" t="s">
        <v>986</v>
      </c>
      <c r="HE223" s="1605" t="s">
        <v>986</v>
      </c>
      <c r="HF223" s="1605" t="s">
        <v>986</v>
      </c>
      <c r="HG223" s="1605" t="s">
        <v>986</v>
      </c>
      <c r="HH223" s="1605" t="s">
        <v>986</v>
      </c>
      <c r="HI223" s="1605" t="s">
        <v>986</v>
      </c>
      <c r="HJ223" s="1605" t="s">
        <v>986</v>
      </c>
      <c r="HK223" s="1605" t="s">
        <v>986</v>
      </c>
      <c r="HL223" s="1605" t="s">
        <v>986</v>
      </c>
      <c r="HM223" s="1605" t="s">
        <v>986</v>
      </c>
      <c r="HN223" s="1605" t="s">
        <v>986</v>
      </c>
      <c r="HO223" s="1605" t="s">
        <v>986</v>
      </c>
      <c r="HP223" s="1605" t="s">
        <v>986</v>
      </c>
      <c r="HQ223" s="1605" t="s">
        <v>986</v>
      </c>
      <c r="HR223" s="1605" t="s">
        <v>986</v>
      </c>
      <c r="HS223" s="1605" t="s">
        <v>986</v>
      </c>
      <c r="HT223" s="1605" t="s">
        <v>986</v>
      </c>
      <c r="HU223" s="1605" t="s">
        <v>986</v>
      </c>
      <c r="HV223" s="1617"/>
      <c r="HW223" s="1617" t="s">
        <v>3201</v>
      </c>
      <c r="HX223" s="1617">
        <v>0</v>
      </c>
      <c r="HY223" s="1617">
        <v>0</v>
      </c>
      <c r="HZ223" s="1603"/>
      <c r="IA223" s="1603"/>
      <c r="IB223" s="1603"/>
      <c r="IC223" s="1603">
        <v>0</v>
      </c>
      <c r="ID223" s="1603">
        <v>0</v>
      </c>
      <c r="IE223" s="1603">
        <v>0</v>
      </c>
      <c r="IF223" s="1603">
        <v>0</v>
      </c>
      <c r="IG223" s="1611" t="s">
        <v>2932</v>
      </c>
      <c r="IH223" s="1616" t="s">
        <v>270</v>
      </c>
      <c r="II223" s="1615" t="s">
        <v>270</v>
      </c>
      <c r="IJ223" s="1613">
        <v>1.3101818181818183</v>
      </c>
      <c r="IK223" s="1613">
        <v>1.301848484848485</v>
      </c>
      <c r="IL223" s="1614">
        <v>1.3101818181818183</v>
      </c>
      <c r="IM223" s="1614">
        <v>1.301848484848485</v>
      </c>
      <c r="IN223" s="1612" t="s">
        <v>270</v>
      </c>
      <c r="IO223" s="1613" t="s">
        <v>270</v>
      </c>
      <c r="IP223" s="1607" t="s">
        <v>270</v>
      </c>
      <c r="IQ223" s="1612" t="s">
        <v>270</v>
      </c>
      <c r="IR223" s="1612" t="s">
        <v>270</v>
      </c>
      <c r="IS223" s="1607">
        <v>1.1881818181818182</v>
      </c>
      <c r="IT223" s="1607">
        <v>1.1798484848484849</v>
      </c>
      <c r="IU223" s="1611">
        <v>0</v>
      </c>
      <c r="IV223" s="1611">
        <v>7.7767676767676763E-2</v>
      </c>
      <c r="IW223" s="1611">
        <v>9.0909090909090909E-4</v>
      </c>
      <c r="IX223" s="1611">
        <v>1.6060606060606061E-3</v>
      </c>
      <c r="IY223" s="1611">
        <v>9.6969696969696957E-4</v>
      </c>
      <c r="IZ223" s="1611">
        <v>5.9898989898989896E-3</v>
      </c>
      <c r="JA223" s="1611">
        <v>6.0606060606060598E-5</v>
      </c>
      <c r="JB223" s="1611" t="s">
        <v>270</v>
      </c>
      <c r="JC223" s="1611">
        <v>9.9026969696969704</v>
      </c>
      <c r="JD223" s="1611">
        <v>5.2121212121212122E-3</v>
      </c>
      <c r="JE223" s="1611" t="s">
        <v>270</v>
      </c>
      <c r="JF223" s="1611">
        <v>8.2828282828282835E-4</v>
      </c>
      <c r="JG223" s="1611">
        <v>0.57978787878787885</v>
      </c>
      <c r="JH223" s="1611">
        <v>7.646464646464647E-3</v>
      </c>
      <c r="JI223" s="1611">
        <v>0.3</v>
      </c>
      <c r="JJ223" s="1611" t="s">
        <v>270</v>
      </c>
      <c r="JK223" s="1607">
        <f t="shared" si="12"/>
        <v>0.12200000000000011</v>
      </c>
      <c r="JL223" s="1608" t="s">
        <v>270</v>
      </c>
      <c r="JM223" s="1610" t="s">
        <v>2924</v>
      </c>
      <c r="JN223" s="1608">
        <v>8.3333333333333037E-3</v>
      </c>
      <c r="JO223" s="1609" t="s">
        <v>2931</v>
      </c>
      <c r="JP223" s="1608" t="s">
        <v>270</v>
      </c>
      <c r="JQ223" s="1607">
        <v>202103</v>
      </c>
      <c r="JR223" s="1606">
        <v>851</v>
      </c>
      <c r="JS223" s="1606">
        <v>774</v>
      </c>
      <c r="JT223" s="1606">
        <v>774</v>
      </c>
    </row>
    <row r="224" spans="1:280" ht="15" customHeight="1" x14ac:dyDescent="0.2">
      <c r="A224" s="1626">
        <v>95405</v>
      </c>
      <c r="B224" s="1625">
        <v>954</v>
      </c>
      <c r="C224" s="1624">
        <v>5</v>
      </c>
      <c r="D224" s="1623" t="s">
        <v>3200</v>
      </c>
      <c r="E224" s="1622">
        <v>43031</v>
      </c>
      <c r="F224" s="1620">
        <v>0.43457073170731803</v>
      </c>
      <c r="G224" s="1620">
        <v>0.41651064935065002</v>
      </c>
      <c r="H224" s="1621">
        <v>100</v>
      </c>
      <c r="I224" s="1621">
        <v>100</v>
      </c>
      <c r="J224" s="1621">
        <v>100</v>
      </c>
      <c r="K224" s="1620">
        <v>1</v>
      </c>
      <c r="L224" s="1620">
        <v>99.5</v>
      </c>
      <c r="M224" s="1620">
        <v>1.4</v>
      </c>
      <c r="N224" s="1620">
        <v>7.4</v>
      </c>
      <c r="O224" s="1620">
        <v>77.099999999999994</v>
      </c>
      <c r="P224" s="1620">
        <v>0</v>
      </c>
      <c r="Q224" s="1603"/>
      <c r="R224" s="1620">
        <v>0</v>
      </c>
      <c r="S224" s="1620">
        <v>0</v>
      </c>
      <c r="T224" s="1620">
        <v>0</v>
      </c>
      <c r="U224" s="1620">
        <v>0</v>
      </c>
      <c r="V224" s="1620">
        <v>0</v>
      </c>
      <c r="W224" s="1620">
        <v>0</v>
      </c>
      <c r="X224" s="1620"/>
      <c r="Y224" s="1620">
        <v>0</v>
      </c>
      <c r="Z224" s="1620">
        <v>0</v>
      </c>
      <c r="AA224" s="1620">
        <v>0</v>
      </c>
      <c r="AB224" s="1620">
        <v>0</v>
      </c>
      <c r="AC224" s="1620">
        <v>0</v>
      </c>
      <c r="AD224" s="1620">
        <v>0</v>
      </c>
      <c r="AE224" s="1620">
        <v>0</v>
      </c>
      <c r="AF224" s="1620">
        <v>0</v>
      </c>
      <c r="AG224" s="1620">
        <v>0</v>
      </c>
      <c r="AH224" s="1620">
        <v>0</v>
      </c>
      <c r="AI224" s="1620">
        <v>0</v>
      </c>
      <c r="AJ224" s="1620">
        <v>0</v>
      </c>
      <c r="AK224" s="1620">
        <v>0</v>
      </c>
      <c r="AL224" s="1620"/>
      <c r="AM224" s="1620">
        <v>0</v>
      </c>
      <c r="AN224" s="1620">
        <v>0</v>
      </c>
      <c r="AO224" s="1620">
        <v>0</v>
      </c>
      <c r="AP224" s="1620">
        <v>0</v>
      </c>
      <c r="AQ224" s="1620">
        <v>0</v>
      </c>
      <c r="AR224" s="1620">
        <v>0</v>
      </c>
      <c r="AS224" s="1620">
        <v>0</v>
      </c>
      <c r="AT224" s="1620">
        <v>0</v>
      </c>
      <c r="AU224" s="1620">
        <v>0</v>
      </c>
      <c r="AV224" s="1620">
        <v>0</v>
      </c>
      <c r="AW224" s="1620">
        <v>0</v>
      </c>
      <c r="AX224" s="1620"/>
      <c r="AY224" s="1620">
        <v>1</v>
      </c>
      <c r="AZ224" s="1620">
        <v>1</v>
      </c>
      <c r="BA224" s="1620">
        <v>1</v>
      </c>
      <c r="BB224" s="1620">
        <v>1</v>
      </c>
      <c r="BC224" s="1620">
        <v>1</v>
      </c>
      <c r="BD224" s="1620">
        <v>1</v>
      </c>
      <c r="BE224" s="1620">
        <v>1</v>
      </c>
      <c r="BF224" s="1620">
        <v>1</v>
      </c>
      <c r="BG224" s="1620">
        <v>1</v>
      </c>
      <c r="BH224" s="1620">
        <v>1</v>
      </c>
      <c r="BI224" s="1620">
        <v>1</v>
      </c>
      <c r="BJ224" s="1603"/>
      <c r="BK224" s="1620">
        <v>1.4070351758793971</v>
      </c>
      <c r="BL224" s="1620">
        <v>7.4371859296482414</v>
      </c>
      <c r="BM224" s="1620">
        <v>77.487437185929636</v>
      </c>
      <c r="BN224" s="1620">
        <v>0</v>
      </c>
      <c r="BO224" s="1620"/>
      <c r="BP224" s="1620">
        <v>0</v>
      </c>
      <c r="BQ224" s="1620">
        <v>0</v>
      </c>
      <c r="BR224" s="1620">
        <v>0.43675450422846035</v>
      </c>
      <c r="BS224" s="1620">
        <v>0.41860366768909552</v>
      </c>
      <c r="BT224" s="1603"/>
      <c r="BU224" s="1620">
        <v>225.12562814070353</v>
      </c>
      <c r="BV224" s="1620">
        <v>140.18090452261305</v>
      </c>
      <c r="BW224" s="1620">
        <v>0</v>
      </c>
      <c r="BX224" s="1620" t="s">
        <v>270</v>
      </c>
      <c r="BY224" s="1620" t="s">
        <v>270</v>
      </c>
      <c r="BZ224" s="1620" t="s">
        <v>270</v>
      </c>
      <c r="CA224" s="1620" t="s">
        <v>270</v>
      </c>
      <c r="CB224" s="1603"/>
      <c r="CC224" s="1603">
        <v>0</v>
      </c>
      <c r="CD224" s="1603">
        <v>0</v>
      </c>
      <c r="CE224" s="1603">
        <v>0</v>
      </c>
      <c r="CF224" s="1603">
        <v>0</v>
      </c>
      <c r="CG224" s="1603">
        <v>0</v>
      </c>
      <c r="CH224" s="1603">
        <v>0</v>
      </c>
      <c r="CI224" s="1603">
        <v>0</v>
      </c>
      <c r="CJ224" s="1603"/>
      <c r="CK224" s="1603">
        <v>0</v>
      </c>
      <c r="CL224" s="1603">
        <v>0</v>
      </c>
      <c r="CM224" s="1603">
        <v>0</v>
      </c>
      <c r="CN224" s="1603">
        <v>0</v>
      </c>
      <c r="CO224" s="1603">
        <v>0</v>
      </c>
      <c r="CP224" s="1603">
        <v>0</v>
      </c>
      <c r="CQ224" s="1603">
        <v>0</v>
      </c>
      <c r="CR224" s="1603">
        <v>0</v>
      </c>
      <c r="CS224" s="1603">
        <v>0</v>
      </c>
      <c r="CT224" s="1603">
        <v>0</v>
      </c>
      <c r="CU224" s="1603">
        <v>0</v>
      </c>
      <c r="CV224" s="1603">
        <v>0</v>
      </c>
      <c r="CW224" s="1603">
        <v>0</v>
      </c>
      <c r="CX224" s="1603">
        <v>0</v>
      </c>
      <c r="CY224" s="1603">
        <v>0</v>
      </c>
      <c r="CZ224" s="1603">
        <v>0</v>
      </c>
      <c r="DA224" s="1603">
        <v>0</v>
      </c>
      <c r="DB224" s="1603">
        <v>0</v>
      </c>
      <c r="DC224" s="1603">
        <v>0</v>
      </c>
      <c r="DD224" s="1603">
        <v>0</v>
      </c>
      <c r="DE224" s="1603">
        <v>0</v>
      </c>
      <c r="DF224" s="1603">
        <v>50000000</v>
      </c>
      <c r="DG224" s="1603">
        <v>0</v>
      </c>
      <c r="DH224" s="1603">
        <v>0</v>
      </c>
      <c r="DI224" s="1603">
        <v>0</v>
      </c>
      <c r="DJ224" s="1603">
        <v>0</v>
      </c>
      <c r="DK224" s="1603">
        <v>0</v>
      </c>
      <c r="DL224" s="1603">
        <v>0</v>
      </c>
      <c r="DM224" s="1603">
        <v>0</v>
      </c>
      <c r="DN224" s="1603">
        <v>0</v>
      </c>
      <c r="DO224" s="1603">
        <v>0</v>
      </c>
      <c r="DP224" s="1603">
        <v>0</v>
      </c>
      <c r="DQ224" s="1603">
        <v>0</v>
      </c>
      <c r="DR224" s="1603">
        <v>0</v>
      </c>
      <c r="DS224" s="1603">
        <v>0</v>
      </c>
      <c r="DT224" s="1603">
        <v>0</v>
      </c>
      <c r="DU224" s="1603">
        <v>0</v>
      </c>
      <c r="DV224" s="1603">
        <v>0</v>
      </c>
      <c r="DW224" s="1618" t="s">
        <v>986</v>
      </c>
      <c r="DX224" s="1605" t="s">
        <v>986</v>
      </c>
      <c r="DY224" s="1605" t="s">
        <v>986</v>
      </c>
      <c r="DZ224" s="1605" t="s">
        <v>986</v>
      </c>
      <c r="EA224" s="1605" t="s">
        <v>986</v>
      </c>
      <c r="EB224" s="1605" t="s">
        <v>986</v>
      </c>
      <c r="EC224" s="1605" t="s">
        <v>986</v>
      </c>
      <c r="ED224" s="1605" t="s">
        <v>986</v>
      </c>
      <c r="EE224" s="1605" t="s">
        <v>986</v>
      </c>
      <c r="EF224" s="1605" t="s">
        <v>986</v>
      </c>
      <c r="EG224" s="1605" t="s">
        <v>986</v>
      </c>
      <c r="EH224" s="1605" t="s">
        <v>986</v>
      </c>
      <c r="EI224" s="1605" t="s">
        <v>986</v>
      </c>
      <c r="EJ224" s="1605" t="s">
        <v>986</v>
      </c>
      <c r="EK224" s="1605" t="s">
        <v>986</v>
      </c>
      <c r="EL224" s="1605" t="s">
        <v>986</v>
      </c>
      <c r="EM224" s="1605" t="s">
        <v>986</v>
      </c>
      <c r="EN224" s="1605" t="s">
        <v>986</v>
      </c>
      <c r="EO224" s="1605" t="s">
        <v>986</v>
      </c>
      <c r="EP224" s="1605" t="s">
        <v>986</v>
      </c>
      <c r="EQ224" s="1605" t="s">
        <v>986</v>
      </c>
      <c r="ER224" s="1605" t="s">
        <v>986</v>
      </c>
      <c r="ES224" s="1605" t="s">
        <v>986</v>
      </c>
      <c r="ET224" s="1605" t="s">
        <v>986</v>
      </c>
      <c r="EU224" s="1605" t="s">
        <v>986</v>
      </c>
      <c r="EV224" s="1605" t="s">
        <v>986</v>
      </c>
      <c r="EW224" s="1605" t="s">
        <v>986</v>
      </c>
      <c r="EX224" s="1605" t="s">
        <v>986</v>
      </c>
      <c r="EY224" s="1605" t="s">
        <v>986</v>
      </c>
      <c r="EZ224" s="1605" t="s">
        <v>986</v>
      </c>
      <c r="FA224" s="1605" t="s">
        <v>986</v>
      </c>
      <c r="FB224" s="1605" t="s">
        <v>986</v>
      </c>
      <c r="FC224" s="1605" t="s">
        <v>986</v>
      </c>
      <c r="FD224" s="1605" t="s">
        <v>986</v>
      </c>
      <c r="FE224" s="1605" t="s">
        <v>986</v>
      </c>
      <c r="FF224" s="1605" t="s">
        <v>986</v>
      </c>
      <c r="FG224" s="1605" t="s">
        <v>986</v>
      </c>
      <c r="FH224" s="1605" t="s">
        <v>986</v>
      </c>
      <c r="FI224" s="1605" t="s">
        <v>986</v>
      </c>
      <c r="FJ224" s="1605" t="s">
        <v>986</v>
      </c>
      <c r="FK224" s="1605" t="s">
        <v>986</v>
      </c>
      <c r="FL224" s="1605" t="s">
        <v>986</v>
      </c>
      <c r="FM224" s="1605" t="s">
        <v>986</v>
      </c>
      <c r="FN224" s="1605" t="s">
        <v>986</v>
      </c>
      <c r="FO224" s="1605" t="s">
        <v>986</v>
      </c>
      <c r="FP224" s="1605" t="s">
        <v>986</v>
      </c>
      <c r="FQ224" s="1605" t="s">
        <v>986</v>
      </c>
      <c r="FR224" s="1605" t="s">
        <v>986</v>
      </c>
      <c r="FS224" s="1605" t="s">
        <v>986</v>
      </c>
      <c r="FT224" s="1605" t="s">
        <v>986</v>
      </c>
      <c r="FU224" s="1605" t="s">
        <v>986</v>
      </c>
      <c r="FV224" s="1605" t="s">
        <v>986</v>
      </c>
      <c r="FW224" s="1605" t="s">
        <v>986</v>
      </c>
      <c r="FX224" s="1605" t="s">
        <v>986</v>
      </c>
      <c r="FY224" s="1605" t="s">
        <v>986</v>
      </c>
      <c r="FZ224" s="1605" t="s">
        <v>986</v>
      </c>
      <c r="GA224" s="1605" t="s">
        <v>986</v>
      </c>
      <c r="GB224" s="1605" t="s">
        <v>986</v>
      </c>
      <c r="GC224" s="1605" t="s">
        <v>986</v>
      </c>
      <c r="GD224" s="1605" t="s">
        <v>986</v>
      </c>
      <c r="GE224" s="1605" t="s">
        <v>986</v>
      </c>
      <c r="GF224" s="1605" t="s">
        <v>986</v>
      </c>
      <c r="GG224" s="1605" t="s">
        <v>986</v>
      </c>
      <c r="GH224" s="1605" t="s">
        <v>986</v>
      </c>
      <c r="GI224" s="1605" t="s">
        <v>986</v>
      </c>
      <c r="GJ224" s="1605" t="s">
        <v>986</v>
      </c>
      <c r="GK224" s="1605" t="s">
        <v>986</v>
      </c>
      <c r="GL224" s="1605" t="s">
        <v>986</v>
      </c>
      <c r="GM224" s="1605" t="s">
        <v>986</v>
      </c>
      <c r="GN224" s="1605" t="s">
        <v>986</v>
      </c>
      <c r="GO224" s="1605" t="s">
        <v>986</v>
      </c>
      <c r="GP224" s="1605" t="s">
        <v>986</v>
      </c>
      <c r="GQ224" s="1605" t="s">
        <v>986</v>
      </c>
      <c r="GR224" s="1605" t="s">
        <v>986</v>
      </c>
      <c r="GS224" s="1605" t="s">
        <v>986</v>
      </c>
      <c r="GT224" s="1605" t="s">
        <v>986</v>
      </c>
      <c r="GU224" s="1605" t="s">
        <v>986</v>
      </c>
      <c r="GV224" s="1605" t="s">
        <v>986</v>
      </c>
      <c r="GW224" s="1605" t="s">
        <v>986</v>
      </c>
      <c r="GX224" s="1605" t="s">
        <v>986</v>
      </c>
      <c r="GY224" s="1605" t="s">
        <v>986</v>
      </c>
      <c r="GZ224" s="1605" t="s">
        <v>986</v>
      </c>
      <c r="HA224" s="1605" t="s">
        <v>986</v>
      </c>
      <c r="HB224" s="1605" t="s">
        <v>986</v>
      </c>
      <c r="HC224" s="1605" t="s">
        <v>986</v>
      </c>
      <c r="HD224" s="1605" t="s">
        <v>986</v>
      </c>
      <c r="HE224" s="1605" t="s">
        <v>986</v>
      </c>
      <c r="HF224" s="1605" t="s">
        <v>986</v>
      </c>
      <c r="HG224" s="1605" t="s">
        <v>986</v>
      </c>
      <c r="HH224" s="1605" t="s">
        <v>986</v>
      </c>
      <c r="HI224" s="1605" t="s">
        <v>986</v>
      </c>
      <c r="HJ224" s="1605" t="s">
        <v>986</v>
      </c>
      <c r="HK224" s="1605" t="s">
        <v>986</v>
      </c>
      <c r="HL224" s="1605" t="s">
        <v>986</v>
      </c>
      <c r="HM224" s="1605" t="s">
        <v>986</v>
      </c>
      <c r="HN224" s="1605" t="s">
        <v>986</v>
      </c>
      <c r="HO224" s="1605" t="s">
        <v>986</v>
      </c>
      <c r="HP224" s="1605" t="s">
        <v>986</v>
      </c>
      <c r="HQ224" s="1605" t="s">
        <v>986</v>
      </c>
      <c r="HR224" s="1605" t="s">
        <v>986</v>
      </c>
      <c r="HS224" s="1605" t="s">
        <v>986</v>
      </c>
      <c r="HT224" s="1605" t="s">
        <v>986</v>
      </c>
      <c r="HU224" s="1605" t="s">
        <v>986</v>
      </c>
      <c r="HV224" s="1617"/>
      <c r="HW224" s="1617" t="s">
        <v>3199</v>
      </c>
      <c r="HX224" s="1617">
        <v>0</v>
      </c>
      <c r="HY224" s="1617">
        <v>0</v>
      </c>
      <c r="HZ224" s="1603"/>
      <c r="IA224" s="1603"/>
      <c r="IB224" s="1603"/>
      <c r="IC224" s="1603">
        <v>0</v>
      </c>
      <c r="ID224" s="1603">
        <v>0</v>
      </c>
      <c r="IE224" s="1603">
        <v>0</v>
      </c>
      <c r="IF224" s="1603">
        <v>0</v>
      </c>
      <c r="IG224" s="1611" t="s">
        <v>2932</v>
      </c>
      <c r="IH224" s="1616" t="s">
        <v>270</v>
      </c>
      <c r="II224" s="1615" t="s">
        <v>270</v>
      </c>
      <c r="IJ224" s="1613">
        <v>1.3101818181818183</v>
      </c>
      <c r="IK224" s="1613">
        <v>1.301848484848485</v>
      </c>
      <c r="IL224" s="1614">
        <v>1.3101818181818183</v>
      </c>
      <c r="IM224" s="1614">
        <v>1.301848484848485</v>
      </c>
      <c r="IN224" s="1612" t="s">
        <v>270</v>
      </c>
      <c r="IO224" s="1613" t="s">
        <v>270</v>
      </c>
      <c r="IP224" s="1607" t="s">
        <v>270</v>
      </c>
      <c r="IQ224" s="1612" t="s">
        <v>270</v>
      </c>
      <c r="IR224" s="1612" t="s">
        <v>270</v>
      </c>
      <c r="IS224" s="1607">
        <v>1.1881818181818182</v>
      </c>
      <c r="IT224" s="1607">
        <v>1.1798484848484849</v>
      </c>
      <c r="IU224" s="1611">
        <v>0</v>
      </c>
      <c r="IV224" s="1611">
        <v>7.7767676767676763E-2</v>
      </c>
      <c r="IW224" s="1611">
        <v>9.0909090909090909E-4</v>
      </c>
      <c r="IX224" s="1611">
        <v>1.6060606060606061E-3</v>
      </c>
      <c r="IY224" s="1611">
        <v>9.6969696969696957E-4</v>
      </c>
      <c r="IZ224" s="1611">
        <v>5.9898989898989896E-3</v>
      </c>
      <c r="JA224" s="1611">
        <v>6.0606060606060598E-5</v>
      </c>
      <c r="JB224" s="1611" t="s">
        <v>270</v>
      </c>
      <c r="JC224" s="1611">
        <v>9.9026969696969704</v>
      </c>
      <c r="JD224" s="1611">
        <v>5.2121212121212122E-3</v>
      </c>
      <c r="JE224" s="1611" t="s">
        <v>270</v>
      </c>
      <c r="JF224" s="1611">
        <v>8.2828282828282835E-4</v>
      </c>
      <c r="JG224" s="1611">
        <v>0.57978787878787885</v>
      </c>
      <c r="JH224" s="1611">
        <v>7.646464646464647E-3</v>
      </c>
      <c r="JI224" s="1611">
        <v>0.3</v>
      </c>
      <c r="JJ224" s="1611" t="s">
        <v>270</v>
      </c>
      <c r="JK224" s="1607">
        <f t="shared" si="12"/>
        <v>0.12200000000000011</v>
      </c>
      <c r="JL224" s="1608" t="s">
        <v>270</v>
      </c>
      <c r="JM224" s="1610" t="s">
        <v>2924</v>
      </c>
      <c r="JN224" s="1608">
        <v>8.3333333333333037E-3</v>
      </c>
      <c r="JO224" s="1609" t="s">
        <v>2931</v>
      </c>
      <c r="JP224" s="1608" t="s">
        <v>270</v>
      </c>
      <c r="JQ224" s="1607">
        <v>202103</v>
      </c>
      <c r="JR224" s="1606">
        <v>851</v>
      </c>
      <c r="JS224" s="1606">
        <v>774</v>
      </c>
      <c r="JT224" s="1606">
        <v>774</v>
      </c>
    </row>
    <row r="225" spans="1:280" ht="15" customHeight="1" x14ac:dyDescent="0.2">
      <c r="A225" s="1626">
        <v>95310</v>
      </c>
      <c r="B225" s="1625">
        <v>953</v>
      </c>
      <c r="C225" s="1624">
        <v>10</v>
      </c>
      <c r="D225" s="1623" t="s">
        <v>3198</v>
      </c>
      <c r="E225" s="1622">
        <v>43031</v>
      </c>
      <c r="F225" s="1620">
        <v>0.88144756097560995</v>
      </c>
      <c r="G225" s="1620">
        <v>0.84481597402597397</v>
      </c>
      <c r="H225" s="1621">
        <v>100</v>
      </c>
      <c r="I225" s="1621">
        <v>100</v>
      </c>
      <c r="J225" s="1621">
        <v>100</v>
      </c>
      <c r="K225" s="1620">
        <v>1</v>
      </c>
      <c r="L225" s="1620">
        <v>56</v>
      </c>
      <c r="M225" s="1620">
        <v>2.1</v>
      </c>
      <c r="N225" s="1620">
        <v>0</v>
      </c>
      <c r="O225" s="1620">
        <v>0.1</v>
      </c>
      <c r="P225" s="1620">
        <v>0</v>
      </c>
      <c r="Q225" s="1603"/>
      <c r="R225" s="1620">
        <v>0</v>
      </c>
      <c r="S225" s="1620">
        <v>0</v>
      </c>
      <c r="T225" s="1620">
        <v>0</v>
      </c>
      <c r="U225" s="1620">
        <v>0</v>
      </c>
      <c r="V225" s="1620">
        <v>0</v>
      </c>
      <c r="W225" s="1620">
        <v>0</v>
      </c>
      <c r="X225" s="1620"/>
      <c r="Y225" s="1620">
        <v>0</v>
      </c>
      <c r="Z225" s="1620">
        <v>0</v>
      </c>
      <c r="AA225" s="1620">
        <v>0</v>
      </c>
      <c r="AB225" s="1620">
        <v>0</v>
      </c>
      <c r="AC225" s="1620">
        <v>0</v>
      </c>
      <c r="AD225" s="1620">
        <v>0</v>
      </c>
      <c r="AE225" s="1620">
        <v>0</v>
      </c>
      <c r="AF225" s="1620">
        <v>0</v>
      </c>
      <c r="AG225" s="1620">
        <v>0</v>
      </c>
      <c r="AH225" s="1620">
        <v>0</v>
      </c>
      <c r="AI225" s="1620">
        <v>0</v>
      </c>
      <c r="AJ225" s="1620">
        <v>0</v>
      </c>
      <c r="AK225" s="1620">
        <v>0</v>
      </c>
      <c r="AL225" s="1620"/>
      <c r="AM225" s="1620">
        <v>0</v>
      </c>
      <c r="AN225" s="1620">
        <v>0</v>
      </c>
      <c r="AO225" s="1620">
        <v>0</v>
      </c>
      <c r="AP225" s="1620">
        <v>0</v>
      </c>
      <c r="AQ225" s="1620">
        <v>0</v>
      </c>
      <c r="AR225" s="1620">
        <v>0</v>
      </c>
      <c r="AS225" s="1620">
        <v>0</v>
      </c>
      <c r="AT225" s="1620">
        <v>0</v>
      </c>
      <c r="AU225" s="1620">
        <v>0</v>
      </c>
      <c r="AV225" s="1620">
        <v>0</v>
      </c>
      <c r="AW225" s="1620">
        <v>0</v>
      </c>
      <c r="AX225" s="1620"/>
      <c r="AY225" s="1620">
        <v>1</v>
      </c>
      <c r="AZ225" s="1620">
        <v>1</v>
      </c>
      <c r="BA225" s="1620">
        <v>1</v>
      </c>
      <c r="BB225" s="1620">
        <v>1</v>
      </c>
      <c r="BC225" s="1620">
        <v>1</v>
      </c>
      <c r="BD225" s="1620">
        <v>1</v>
      </c>
      <c r="BE225" s="1620">
        <v>1</v>
      </c>
      <c r="BF225" s="1620">
        <v>1</v>
      </c>
      <c r="BG225" s="1620">
        <v>1</v>
      </c>
      <c r="BH225" s="1620">
        <v>1</v>
      </c>
      <c r="BI225" s="1620">
        <v>1</v>
      </c>
      <c r="BJ225" s="1603"/>
      <c r="BK225" s="1620">
        <v>3.75</v>
      </c>
      <c r="BL225" s="1620">
        <v>0</v>
      </c>
      <c r="BM225" s="1620">
        <v>0.17857142857142858</v>
      </c>
      <c r="BN225" s="1620">
        <v>0</v>
      </c>
      <c r="BO225" s="1620"/>
      <c r="BP225" s="1620">
        <v>0</v>
      </c>
      <c r="BQ225" s="1620">
        <v>0</v>
      </c>
      <c r="BR225" s="1620">
        <v>1.5740135017421608</v>
      </c>
      <c r="BS225" s="1620">
        <v>1.5085999536178107</v>
      </c>
      <c r="BT225" s="1603"/>
      <c r="BU225" s="1620">
        <v>998.21428571428567</v>
      </c>
      <c r="BV225" s="1620">
        <v>964.08928571428567</v>
      </c>
      <c r="BW225" s="1620">
        <v>0</v>
      </c>
      <c r="BX225" s="1620" t="s">
        <v>270</v>
      </c>
      <c r="BY225" s="1620" t="s">
        <v>270</v>
      </c>
      <c r="BZ225" s="1620" t="s">
        <v>270</v>
      </c>
      <c r="CA225" s="1620" t="s">
        <v>270</v>
      </c>
      <c r="CB225" s="1603"/>
      <c r="CC225" s="1603">
        <v>0</v>
      </c>
      <c r="CD225" s="1603">
        <v>0</v>
      </c>
      <c r="CE225" s="1603">
        <v>0</v>
      </c>
      <c r="CF225" s="1603">
        <v>0</v>
      </c>
      <c r="CG225" s="1603">
        <v>0</v>
      </c>
      <c r="CH225" s="1603">
        <v>0</v>
      </c>
      <c r="CI225" s="1603">
        <v>0</v>
      </c>
      <c r="CJ225" s="1603"/>
      <c r="CK225" s="1603">
        <v>0</v>
      </c>
      <c r="CL225" s="1603">
        <v>0</v>
      </c>
      <c r="CM225" s="1603">
        <v>0</v>
      </c>
      <c r="CN225" s="1603">
        <v>0</v>
      </c>
      <c r="CO225" s="1603">
        <v>0</v>
      </c>
      <c r="CP225" s="1603">
        <v>0</v>
      </c>
      <c r="CQ225" s="1603">
        <v>0</v>
      </c>
      <c r="CR225" s="1603">
        <v>0</v>
      </c>
      <c r="CS225" s="1603">
        <v>0</v>
      </c>
      <c r="CT225" s="1603">
        <v>0</v>
      </c>
      <c r="CU225" s="1603">
        <v>0</v>
      </c>
      <c r="CV225" s="1603">
        <v>0</v>
      </c>
      <c r="CW225" s="1603">
        <v>0</v>
      </c>
      <c r="CX225" s="1603">
        <v>0</v>
      </c>
      <c r="CY225" s="1603">
        <v>0</v>
      </c>
      <c r="CZ225" s="1603">
        <v>0</v>
      </c>
      <c r="DA225" s="1603">
        <v>0</v>
      </c>
      <c r="DB225" s="1603">
        <v>0</v>
      </c>
      <c r="DC225" s="1603">
        <v>0</v>
      </c>
      <c r="DD225" s="1603">
        <v>0</v>
      </c>
      <c r="DE225" s="1603">
        <v>0</v>
      </c>
      <c r="DF225" s="1603">
        <v>11313131.313131301</v>
      </c>
      <c r="DG225" s="1603">
        <v>0</v>
      </c>
      <c r="DH225" s="1603">
        <v>0</v>
      </c>
      <c r="DI225" s="1603">
        <v>0</v>
      </c>
      <c r="DJ225" s="1603">
        <v>0</v>
      </c>
      <c r="DK225" s="1603">
        <v>0</v>
      </c>
      <c r="DL225" s="1603">
        <v>0</v>
      </c>
      <c r="DM225" s="1603">
        <v>0</v>
      </c>
      <c r="DN225" s="1603">
        <v>0</v>
      </c>
      <c r="DO225" s="1603">
        <v>0</v>
      </c>
      <c r="DP225" s="1603">
        <v>0</v>
      </c>
      <c r="DQ225" s="1603">
        <v>0</v>
      </c>
      <c r="DR225" s="1603">
        <v>0</v>
      </c>
      <c r="DS225" s="1603">
        <v>0</v>
      </c>
      <c r="DT225" s="1603">
        <v>0</v>
      </c>
      <c r="DU225" s="1603">
        <v>0</v>
      </c>
      <c r="DV225" s="1603">
        <v>0</v>
      </c>
      <c r="DW225" s="1618" t="s">
        <v>986</v>
      </c>
      <c r="DX225" s="1605" t="s">
        <v>986</v>
      </c>
      <c r="DY225" s="1605" t="s">
        <v>986</v>
      </c>
      <c r="DZ225" s="1605" t="s">
        <v>986</v>
      </c>
      <c r="EA225" s="1605" t="s">
        <v>986</v>
      </c>
      <c r="EB225" s="1605" t="s">
        <v>986</v>
      </c>
      <c r="EC225" s="1605" t="s">
        <v>986</v>
      </c>
      <c r="ED225" s="1605" t="s">
        <v>986</v>
      </c>
      <c r="EE225" s="1605" t="s">
        <v>986</v>
      </c>
      <c r="EF225" s="1605" t="s">
        <v>986</v>
      </c>
      <c r="EG225" s="1605" t="s">
        <v>986</v>
      </c>
      <c r="EH225" s="1605" t="s">
        <v>986</v>
      </c>
      <c r="EI225" s="1605" t="s">
        <v>986</v>
      </c>
      <c r="EJ225" s="1605" t="s">
        <v>986</v>
      </c>
      <c r="EK225" s="1605" t="s">
        <v>986</v>
      </c>
      <c r="EL225" s="1605" t="s">
        <v>986</v>
      </c>
      <c r="EM225" s="1605" t="s">
        <v>986</v>
      </c>
      <c r="EN225" s="1605" t="s">
        <v>986</v>
      </c>
      <c r="EO225" s="1605" t="s">
        <v>986</v>
      </c>
      <c r="EP225" s="1605" t="s">
        <v>986</v>
      </c>
      <c r="EQ225" s="1605" t="s">
        <v>986</v>
      </c>
      <c r="ER225" s="1605" t="s">
        <v>986</v>
      </c>
      <c r="ES225" s="1605" t="s">
        <v>986</v>
      </c>
      <c r="ET225" s="1605" t="s">
        <v>986</v>
      </c>
      <c r="EU225" s="1605" t="s">
        <v>986</v>
      </c>
      <c r="EV225" s="1605" t="s">
        <v>986</v>
      </c>
      <c r="EW225" s="1605" t="s">
        <v>986</v>
      </c>
      <c r="EX225" s="1605" t="s">
        <v>986</v>
      </c>
      <c r="EY225" s="1605" t="s">
        <v>986</v>
      </c>
      <c r="EZ225" s="1605" t="s">
        <v>986</v>
      </c>
      <c r="FA225" s="1605" t="s">
        <v>986</v>
      </c>
      <c r="FB225" s="1605" t="s">
        <v>986</v>
      </c>
      <c r="FC225" s="1605" t="s">
        <v>986</v>
      </c>
      <c r="FD225" s="1605" t="s">
        <v>986</v>
      </c>
      <c r="FE225" s="1605" t="s">
        <v>986</v>
      </c>
      <c r="FF225" s="1605" t="s">
        <v>986</v>
      </c>
      <c r="FG225" s="1605" t="s">
        <v>986</v>
      </c>
      <c r="FH225" s="1605" t="s">
        <v>986</v>
      </c>
      <c r="FI225" s="1605" t="s">
        <v>986</v>
      </c>
      <c r="FJ225" s="1605" t="s">
        <v>986</v>
      </c>
      <c r="FK225" s="1605" t="s">
        <v>986</v>
      </c>
      <c r="FL225" s="1605" t="s">
        <v>986</v>
      </c>
      <c r="FM225" s="1605" t="s">
        <v>986</v>
      </c>
      <c r="FN225" s="1605" t="s">
        <v>986</v>
      </c>
      <c r="FO225" s="1605" t="s">
        <v>986</v>
      </c>
      <c r="FP225" s="1605" t="s">
        <v>986</v>
      </c>
      <c r="FQ225" s="1605" t="s">
        <v>986</v>
      </c>
      <c r="FR225" s="1605" t="s">
        <v>986</v>
      </c>
      <c r="FS225" s="1605" t="s">
        <v>986</v>
      </c>
      <c r="FT225" s="1605" t="s">
        <v>986</v>
      </c>
      <c r="FU225" s="1605" t="s">
        <v>986</v>
      </c>
      <c r="FV225" s="1605" t="s">
        <v>986</v>
      </c>
      <c r="FW225" s="1605" t="s">
        <v>986</v>
      </c>
      <c r="FX225" s="1605" t="s">
        <v>986</v>
      </c>
      <c r="FY225" s="1605" t="s">
        <v>986</v>
      </c>
      <c r="FZ225" s="1605" t="s">
        <v>986</v>
      </c>
      <c r="GA225" s="1605" t="s">
        <v>986</v>
      </c>
      <c r="GB225" s="1605" t="s">
        <v>986</v>
      </c>
      <c r="GC225" s="1605" t="s">
        <v>986</v>
      </c>
      <c r="GD225" s="1605" t="s">
        <v>986</v>
      </c>
      <c r="GE225" s="1605" t="s">
        <v>986</v>
      </c>
      <c r="GF225" s="1605" t="s">
        <v>986</v>
      </c>
      <c r="GG225" s="1605" t="s">
        <v>986</v>
      </c>
      <c r="GH225" s="1605" t="s">
        <v>986</v>
      </c>
      <c r="GI225" s="1605" t="s">
        <v>986</v>
      </c>
      <c r="GJ225" s="1605" t="s">
        <v>986</v>
      </c>
      <c r="GK225" s="1605" t="s">
        <v>986</v>
      </c>
      <c r="GL225" s="1605" t="s">
        <v>986</v>
      </c>
      <c r="GM225" s="1605" t="s">
        <v>986</v>
      </c>
      <c r="GN225" s="1605" t="s">
        <v>986</v>
      </c>
      <c r="GO225" s="1605" t="s">
        <v>986</v>
      </c>
      <c r="GP225" s="1605" t="s">
        <v>986</v>
      </c>
      <c r="GQ225" s="1605" t="s">
        <v>986</v>
      </c>
      <c r="GR225" s="1605" t="s">
        <v>986</v>
      </c>
      <c r="GS225" s="1605" t="s">
        <v>986</v>
      </c>
      <c r="GT225" s="1605" t="s">
        <v>986</v>
      </c>
      <c r="GU225" s="1605" t="s">
        <v>986</v>
      </c>
      <c r="GV225" s="1605" t="s">
        <v>986</v>
      </c>
      <c r="GW225" s="1605" t="s">
        <v>986</v>
      </c>
      <c r="GX225" s="1605" t="s">
        <v>986</v>
      </c>
      <c r="GY225" s="1605" t="s">
        <v>986</v>
      </c>
      <c r="GZ225" s="1605" t="s">
        <v>986</v>
      </c>
      <c r="HA225" s="1605" t="s">
        <v>986</v>
      </c>
      <c r="HB225" s="1605" t="s">
        <v>986</v>
      </c>
      <c r="HC225" s="1605" t="s">
        <v>986</v>
      </c>
      <c r="HD225" s="1605" t="s">
        <v>986</v>
      </c>
      <c r="HE225" s="1605" t="s">
        <v>986</v>
      </c>
      <c r="HF225" s="1605" t="s">
        <v>986</v>
      </c>
      <c r="HG225" s="1605" t="s">
        <v>986</v>
      </c>
      <c r="HH225" s="1605" t="s">
        <v>986</v>
      </c>
      <c r="HI225" s="1605" t="s">
        <v>986</v>
      </c>
      <c r="HJ225" s="1605" t="s">
        <v>986</v>
      </c>
      <c r="HK225" s="1605" t="s">
        <v>986</v>
      </c>
      <c r="HL225" s="1605" t="s">
        <v>986</v>
      </c>
      <c r="HM225" s="1605" t="s">
        <v>986</v>
      </c>
      <c r="HN225" s="1605" t="s">
        <v>986</v>
      </c>
      <c r="HO225" s="1605" t="s">
        <v>986</v>
      </c>
      <c r="HP225" s="1605" t="s">
        <v>986</v>
      </c>
      <c r="HQ225" s="1605" t="s">
        <v>986</v>
      </c>
      <c r="HR225" s="1605" t="s">
        <v>986</v>
      </c>
      <c r="HS225" s="1605" t="s">
        <v>986</v>
      </c>
      <c r="HT225" s="1605" t="s">
        <v>986</v>
      </c>
      <c r="HU225" s="1605" t="s">
        <v>986</v>
      </c>
      <c r="HV225" s="1617"/>
      <c r="HW225" s="1617">
        <v>0</v>
      </c>
      <c r="HX225" s="1617">
        <v>0</v>
      </c>
      <c r="HY225" s="1617">
        <v>0</v>
      </c>
      <c r="HZ225" s="1603"/>
      <c r="IA225" s="1603"/>
      <c r="IB225" s="1603"/>
      <c r="IC225" s="1603">
        <v>0</v>
      </c>
      <c r="ID225" s="1603">
        <v>0</v>
      </c>
      <c r="IE225" s="1603">
        <v>0</v>
      </c>
      <c r="IF225" s="1603">
        <v>0</v>
      </c>
      <c r="IG225" s="1611" t="s">
        <v>2932</v>
      </c>
      <c r="IH225" s="1616" t="s">
        <v>270</v>
      </c>
      <c r="II225" s="1615" t="s">
        <v>270</v>
      </c>
      <c r="IJ225" s="1613">
        <v>1.3101818181818183</v>
      </c>
      <c r="IK225" s="1613">
        <v>1.301848484848485</v>
      </c>
      <c r="IL225" s="1614">
        <v>1.3101818181818183</v>
      </c>
      <c r="IM225" s="1614">
        <v>1.301848484848485</v>
      </c>
      <c r="IN225" s="1612" t="s">
        <v>270</v>
      </c>
      <c r="IO225" s="1613" t="s">
        <v>270</v>
      </c>
      <c r="IP225" s="1607" t="s">
        <v>270</v>
      </c>
      <c r="IQ225" s="1612" t="s">
        <v>270</v>
      </c>
      <c r="IR225" s="1612" t="s">
        <v>270</v>
      </c>
      <c r="IS225" s="1607">
        <v>1.1881818181818182</v>
      </c>
      <c r="IT225" s="1607">
        <v>1.1798484848484849</v>
      </c>
      <c r="IU225" s="1611">
        <v>0</v>
      </c>
      <c r="IV225" s="1611">
        <v>7.7767676767676763E-2</v>
      </c>
      <c r="IW225" s="1611">
        <v>9.0909090909090909E-4</v>
      </c>
      <c r="IX225" s="1611">
        <v>1.6060606060606061E-3</v>
      </c>
      <c r="IY225" s="1611">
        <v>9.6969696969696957E-4</v>
      </c>
      <c r="IZ225" s="1611">
        <v>5.9898989898989896E-3</v>
      </c>
      <c r="JA225" s="1611">
        <v>6.0606060606060598E-5</v>
      </c>
      <c r="JB225" s="1611" t="s">
        <v>270</v>
      </c>
      <c r="JC225" s="1611">
        <v>9.9026969696969704</v>
      </c>
      <c r="JD225" s="1611">
        <v>5.2121212121212122E-3</v>
      </c>
      <c r="JE225" s="1611" t="s">
        <v>270</v>
      </c>
      <c r="JF225" s="1611">
        <v>8.2828282828282835E-4</v>
      </c>
      <c r="JG225" s="1611">
        <v>0.57978787878787885</v>
      </c>
      <c r="JH225" s="1611">
        <v>7.646464646464647E-3</v>
      </c>
      <c r="JI225" s="1611">
        <v>0.3</v>
      </c>
      <c r="JJ225" s="1611" t="s">
        <v>270</v>
      </c>
      <c r="JK225" s="1607">
        <f t="shared" si="12"/>
        <v>0.12200000000000011</v>
      </c>
      <c r="JL225" s="1608" t="s">
        <v>270</v>
      </c>
      <c r="JM225" s="1610" t="s">
        <v>2924</v>
      </c>
      <c r="JN225" s="1608">
        <v>8.3333333333333037E-3</v>
      </c>
      <c r="JO225" s="1609" t="s">
        <v>2931</v>
      </c>
      <c r="JP225" s="1608" t="s">
        <v>270</v>
      </c>
      <c r="JQ225" s="1607">
        <v>202103</v>
      </c>
      <c r="JR225" s="1606">
        <v>851</v>
      </c>
      <c r="JS225" s="1606">
        <v>774</v>
      </c>
      <c r="JT225" s="1606">
        <v>774</v>
      </c>
    </row>
    <row r="226" spans="1:280" ht="15" customHeight="1" x14ac:dyDescent="0.2">
      <c r="A226" s="1626">
        <v>95300</v>
      </c>
      <c r="B226" s="1625">
        <v>953</v>
      </c>
      <c r="C226" s="1624">
        <v>0</v>
      </c>
      <c r="D226" s="1623" t="s">
        <v>3197</v>
      </c>
      <c r="E226" s="1622">
        <v>43031</v>
      </c>
      <c r="F226" s="1620">
        <v>0.43457073170731803</v>
      </c>
      <c r="G226" s="1620">
        <v>0.41651064935065002</v>
      </c>
      <c r="H226" s="1621">
        <v>100</v>
      </c>
      <c r="I226" s="1621">
        <v>100</v>
      </c>
      <c r="J226" s="1621">
        <v>100</v>
      </c>
      <c r="K226" s="1620">
        <v>1</v>
      </c>
      <c r="L226" s="1620">
        <v>99.5</v>
      </c>
      <c r="M226" s="1620">
        <v>1.4</v>
      </c>
      <c r="N226" s="1620">
        <v>7.4</v>
      </c>
      <c r="O226" s="1620">
        <v>77.099999999999994</v>
      </c>
      <c r="P226" s="1620">
        <v>0</v>
      </c>
      <c r="Q226" s="1603"/>
      <c r="R226" s="1620">
        <v>0</v>
      </c>
      <c r="S226" s="1620">
        <v>0</v>
      </c>
      <c r="T226" s="1620">
        <v>0</v>
      </c>
      <c r="U226" s="1620">
        <v>0</v>
      </c>
      <c r="V226" s="1620">
        <v>0</v>
      </c>
      <c r="W226" s="1620">
        <v>0</v>
      </c>
      <c r="X226" s="1620"/>
      <c r="Y226" s="1620">
        <v>0</v>
      </c>
      <c r="Z226" s="1620">
        <v>0</v>
      </c>
      <c r="AA226" s="1620">
        <v>0</v>
      </c>
      <c r="AB226" s="1620">
        <v>0</v>
      </c>
      <c r="AC226" s="1620">
        <v>0</v>
      </c>
      <c r="AD226" s="1620">
        <v>0</v>
      </c>
      <c r="AE226" s="1620">
        <v>0</v>
      </c>
      <c r="AF226" s="1620">
        <v>0</v>
      </c>
      <c r="AG226" s="1620">
        <v>0</v>
      </c>
      <c r="AH226" s="1620">
        <v>0</v>
      </c>
      <c r="AI226" s="1620">
        <v>0</v>
      </c>
      <c r="AJ226" s="1620">
        <v>0</v>
      </c>
      <c r="AK226" s="1620">
        <v>0</v>
      </c>
      <c r="AL226" s="1620"/>
      <c r="AM226" s="1620">
        <v>0</v>
      </c>
      <c r="AN226" s="1620">
        <v>0</v>
      </c>
      <c r="AO226" s="1620">
        <v>0</v>
      </c>
      <c r="AP226" s="1620">
        <v>0</v>
      </c>
      <c r="AQ226" s="1620">
        <v>0</v>
      </c>
      <c r="AR226" s="1620">
        <v>0</v>
      </c>
      <c r="AS226" s="1620">
        <v>0</v>
      </c>
      <c r="AT226" s="1620">
        <v>0</v>
      </c>
      <c r="AU226" s="1620">
        <v>0</v>
      </c>
      <c r="AV226" s="1620">
        <v>0</v>
      </c>
      <c r="AW226" s="1620">
        <v>0</v>
      </c>
      <c r="AX226" s="1620"/>
      <c r="AY226" s="1620">
        <v>1</v>
      </c>
      <c r="AZ226" s="1620">
        <v>1</v>
      </c>
      <c r="BA226" s="1620">
        <v>1</v>
      </c>
      <c r="BB226" s="1620">
        <v>1</v>
      </c>
      <c r="BC226" s="1620">
        <v>1</v>
      </c>
      <c r="BD226" s="1620">
        <v>1</v>
      </c>
      <c r="BE226" s="1620">
        <v>1</v>
      </c>
      <c r="BF226" s="1620">
        <v>1</v>
      </c>
      <c r="BG226" s="1620">
        <v>1</v>
      </c>
      <c r="BH226" s="1620">
        <v>1</v>
      </c>
      <c r="BI226" s="1620">
        <v>1</v>
      </c>
      <c r="BJ226" s="1603"/>
      <c r="BK226" s="1620">
        <v>1.4070351758793971</v>
      </c>
      <c r="BL226" s="1620">
        <v>7.4371859296482414</v>
      </c>
      <c r="BM226" s="1620">
        <v>77.487437185929636</v>
      </c>
      <c r="BN226" s="1620">
        <v>0</v>
      </c>
      <c r="BO226" s="1620"/>
      <c r="BP226" s="1620">
        <v>0</v>
      </c>
      <c r="BQ226" s="1620">
        <v>0</v>
      </c>
      <c r="BR226" s="1620">
        <v>0.43675450422846035</v>
      </c>
      <c r="BS226" s="1620">
        <v>0.41860366768909552</v>
      </c>
      <c r="BT226" s="1603"/>
      <c r="BU226" s="1620">
        <v>225.12562814070353</v>
      </c>
      <c r="BV226" s="1620">
        <v>140.18090452261305</v>
      </c>
      <c r="BW226" s="1620">
        <v>0</v>
      </c>
      <c r="BX226" s="1620" t="s">
        <v>270</v>
      </c>
      <c r="BY226" s="1620" t="s">
        <v>270</v>
      </c>
      <c r="BZ226" s="1620" t="s">
        <v>270</v>
      </c>
      <c r="CA226" s="1620" t="s">
        <v>270</v>
      </c>
      <c r="CB226" s="1603"/>
      <c r="CC226" s="1603">
        <v>0</v>
      </c>
      <c r="CD226" s="1603">
        <v>0</v>
      </c>
      <c r="CE226" s="1603">
        <v>0</v>
      </c>
      <c r="CF226" s="1603">
        <v>0</v>
      </c>
      <c r="CG226" s="1603">
        <v>0</v>
      </c>
      <c r="CH226" s="1603">
        <v>0</v>
      </c>
      <c r="CI226" s="1603">
        <v>0</v>
      </c>
      <c r="CJ226" s="1603"/>
      <c r="CK226" s="1603">
        <v>0</v>
      </c>
      <c r="CL226" s="1603">
        <v>0</v>
      </c>
      <c r="CM226" s="1603">
        <v>0</v>
      </c>
      <c r="CN226" s="1603">
        <v>0</v>
      </c>
      <c r="CO226" s="1603">
        <v>0</v>
      </c>
      <c r="CP226" s="1603">
        <v>0</v>
      </c>
      <c r="CQ226" s="1603">
        <v>0</v>
      </c>
      <c r="CR226" s="1603">
        <v>0</v>
      </c>
      <c r="CS226" s="1603">
        <v>0</v>
      </c>
      <c r="CT226" s="1603">
        <v>0</v>
      </c>
      <c r="CU226" s="1603">
        <v>0</v>
      </c>
      <c r="CV226" s="1603">
        <v>0</v>
      </c>
      <c r="CW226" s="1603">
        <v>0</v>
      </c>
      <c r="CX226" s="1603">
        <v>0</v>
      </c>
      <c r="CY226" s="1603">
        <v>0</v>
      </c>
      <c r="CZ226" s="1603">
        <v>0</v>
      </c>
      <c r="DA226" s="1603">
        <v>0</v>
      </c>
      <c r="DB226" s="1603">
        <v>0</v>
      </c>
      <c r="DC226" s="1603">
        <v>0</v>
      </c>
      <c r="DD226" s="1603">
        <v>0</v>
      </c>
      <c r="DE226" s="1603">
        <v>0</v>
      </c>
      <c r="DF226" s="1603">
        <v>10050505.0505051</v>
      </c>
      <c r="DG226" s="1603">
        <v>0</v>
      </c>
      <c r="DH226" s="1603">
        <v>0</v>
      </c>
      <c r="DI226" s="1603">
        <v>0</v>
      </c>
      <c r="DJ226" s="1603">
        <v>0</v>
      </c>
      <c r="DK226" s="1603">
        <v>0</v>
      </c>
      <c r="DL226" s="1603">
        <v>0</v>
      </c>
      <c r="DM226" s="1603">
        <v>0</v>
      </c>
      <c r="DN226" s="1603">
        <v>0</v>
      </c>
      <c r="DO226" s="1603">
        <v>0</v>
      </c>
      <c r="DP226" s="1603">
        <v>0</v>
      </c>
      <c r="DQ226" s="1603">
        <v>0</v>
      </c>
      <c r="DR226" s="1603">
        <v>0</v>
      </c>
      <c r="DS226" s="1603">
        <v>0</v>
      </c>
      <c r="DT226" s="1603">
        <v>0</v>
      </c>
      <c r="DU226" s="1603">
        <v>0</v>
      </c>
      <c r="DV226" s="1603">
        <v>0</v>
      </c>
      <c r="DW226" s="1618" t="s">
        <v>986</v>
      </c>
      <c r="DX226" s="1605" t="s">
        <v>986</v>
      </c>
      <c r="DY226" s="1605" t="s">
        <v>986</v>
      </c>
      <c r="DZ226" s="1605" t="s">
        <v>986</v>
      </c>
      <c r="EA226" s="1605" t="s">
        <v>986</v>
      </c>
      <c r="EB226" s="1605" t="s">
        <v>986</v>
      </c>
      <c r="EC226" s="1605" t="s">
        <v>986</v>
      </c>
      <c r="ED226" s="1605" t="s">
        <v>986</v>
      </c>
      <c r="EE226" s="1605" t="s">
        <v>986</v>
      </c>
      <c r="EF226" s="1605" t="s">
        <v>986</v>
      </c>
      <c r="EG226" s="1605" t="s">
        <v>986</v>
      </c>
      <c r="EH226" s="1605" t="s">
        <v>986</v>
      </c>
      <c r="EI226" s="1605" t="s">
        <v>986</v>
      </c>
      <c r="EJ226" s="1605" t="s">
        <v>986</v>
      </c>
      <c r="EK226" s="1605" t="s">
        <v>986</v>
      </c>
      <c r="EL226" s="1605" t="s">
        <v>986</v>
      </c>
      <c r="EM226" s="1605" t="s">
        <v>986</v>
      </c>
      <c r="EN226" s="1605" t="s">
        <v>986</v>
      </c>
      <c r="EO226" s="1605" t="s">
        <v>986</v>
      </c>
      <c r="EP226" s="1605" t="s">
        <v>986</v>
      </c>
      <c r="EQ226" s="1605" t="s">
        <v>986</v>
      </c>
      <c r="ER226" s="1605" t="s">
        <v>986</v>
      </c>
      <c r="ES226" s="1605" t="s">
        <v>986</v>
      </c>
      <c r="ET226" s="1605" t="s">
        <v>986</v>
      </c>
      <c r="EU226" s="1605" t="s">
        <v>986</v>
      </c>
      <c r="EV226" s="1605" t="s">
        <v>986</v>
      </c>
      <c r="EW226" s="1605" t="s">
        <v>986</v>
      </c>
      <c r="EX226" s="1605" t="s">
        <v>986</v>
      </c>
      <c r="EY226" s="1605" t="s">
        <v>986</v>
      </c>
      <c r="EZ226" s="1605" t="s">
        <v>986</v>
      </c>
      <c r="FA226" s="1605" t="s">
        <v>986</v>
      </c>
      <c r="FB226" s="1605" t="s">
        <v>986</v>
      </c>
      <c r="FC226" s="1605" t="s">
        <v>986</v>
      </c>
      <c r="FD226" s="1605" t="s">
        <v>986</v>
      </c>
      <c r="FE226" s="1605" t="s">
        <v>986</v>
      </c>
      <c r="FF226" s="1605" t="s">
        <v>986</v>
      </c>
      <c r="FG226" s="1605" t="s">
        <v>986</v>
      </c>
      <c r="FH226" s="1605" t="s">
        <v>986</v>
      </c>
      <c r="FI226" s="1605" t="s">
        <v>986</v>
      </c>
      <c r="FJ226" s="1605" t="s">
        <v>986</v>
      </c>
      <c r="FK226" s="1605" t="s">
        <v>986</v>
      </c>
      <c r="FL226" s="1605" t="s">
        <v>986</v>
      </c>
      <c r="FM226" s="1605" t="s">
        <v>986</v>
      </c>
      <c r="FN226" s="1605" t="s">
        <v>986</v>
      </c>
      <c r="FO226" s="1605" t="s">
        <v>986</v>
      </c>
      <c r="FP226" s="1605" t="s">
        <v>986</v>
      </c>
      <c r="FQ226" s="1605" t="s">
        <v>986</v>
      </c>
      <c r="FR226" s="1605" t="s">
        <v>986</v>
      </c>
      <c r="FS226" s="1605" t="s">
        <v>986</v>
      </c>
      <c r="FT226" s="1605" t="s">
        <v>986</v>
      </c>
      <c r="FU226" s="1605" t="s">
        <v>986</v>
      </c>
      <c r="FV226" s="1605" t="s">
        <v>986</v>
      </c>
      <c r="FW226" s="1605" t="s">
        <v>986</v>
      </c>
      <c r="FX226" s="1605" t="s">
        <v>986</v>
      </c>
      <c r="FY226" s="1605" t="s">
        <v>986</v>
      </c>
      <c r="FZ226" s="1605" t="s">
        <v>986</v>
      </c>
      <c r="GA226" s="1605" t="s">
        <v>986</v>
      </c>
      <c r="GB226" s="1605" t="s">
        <v>986</v>
      </c>
      <c r="GC226" s="1605" t="s">
        <v>986</v>
      </c>
      <c r="GD226" s="1605" t="s">
        <v>986</v>
      </c>
      <c r="GE226" s="1605" t="s">
        <v>986</v>
      </c>
      <c r="GF226" s="1605" t="s">
        <v>986</v>
      </c>
      <c r="GG226" s="1605" t="s">
        <v>986</v>
      </c>
      <c r="GH226" s="1605" t="s">
        <v>986</v>
      </c>
      <c r="GI226" s="1605" t="s">
        <v>986</v>
      </c>
      <c r="GJ226" s="1605" t="s">
        <v>986</v>
      </c>
      <c r="GK226" s="1605" t="s">
        <v>986</v>
      </c>
      <c r="GL226" s="1605" t="s">
        <v>986</v>
      </c>
      <c r="GM226" s="1605" t="s">
        <v>986</v>
      </c>
      <c r="GN226" s="1605" t="s">
        <v>986</v>
      </c>
      <c r="GO226" s="1605" t="s">
        <v>986</v>
      </c>
      <c r="GP226" s="1605" t="s">
        <v>986</v>
      </c>
      <c r="GQ226" s="1605" t="s">
        <v>986</v>
      </c>
      <c r="GR226" s="1605" t="s">
        <v>986</v>
      </c>
      <c r="GS226" s="1605" t="s">
        <v>986</v>
      </c>
      <c r="GT226" s="1605" t="s">
        <v>986</v>
      </c>
      <c r="GU226" s="1605" t="s">
        <v>986</v>
      </c>
      <c r="GV226" s="1605" t="s">
        <v>986</v>
      </c>
      <c r="GW226" s="1605" t="s">
        <v>986</v>
      </c>
      <c r="GX226" s="1605" t="s">
        <v>986</v>
      </c>
      <c r="GY226" s="1605" t="s">
        <v>986</v>
      </c>
      <c r="GZ226" s="1605" t="s">
        <v>986</v>
      </c>
      <c r="HA226" s="1605" t="s">
        <v>986</v>
      </c>
      <c r="HB226" s="1605" t="s">
        <v>986</v>
      </c>
      <c r="HC226" s="1605" t="s">
        <v>986</v>
      </c>
      <c r="HD226" s="1605" t="s">
        <v>986</v>
      </c>
      <c r="HE226" s="1605" t="s">
        <v>986</v>
      </c>
      <c r="HF226" s="1605" t="s">
        <v>986</v>
      </c>
      <c r="HG226" s="1605" t="s">
        <v>986</v>
      </c>
      <c r="HH226" s="1605" t="s">
        <v>986</v>
      </c>
      <c r="HI226" s="1605" t="s">
        <v>986</v>
      </c>
      <c r="HJ226" s="1605" t="s">
        <v>986</v>
      </c>
      <c r="HK226" s="1605" t="s">
        <v>986</v>
      </c>
      <c r="HL226" s="1605" t="s">
        <v>986</v>
      </c>
      <c r="HM226" s="1605" t="s">
        <v>986</v>
      </c>
      <c r="HN226" s="1605" t="s">
        <v>986</v>
      </c>
      <c r="HO226" s="1605" t="s">
        <v>986</v>
      </c>
      <c r="HP226" s="1605" t="s">
        <v>986</v>
      </c>
      <c r="HQ226" s="1605" t="s">
        <v>986</v>
      </c>
      <c r="HR226" s="1605" t="s">
        <v>986</v>
      </c>
      <c r="HS226" s="1605" t="s">
        <v>986</v>
      </c>
      <c r="HT226" s="1605" t="s">
        <v>986</v>
      </c>
      <c r="HU226" s="1605" t="s">
        <v>986</v>
      </c>
      <c r="HV226" s="1617"/>
      <c r="HW226" s="1617">
        <v>0</v>
      </c>
      <c r="HX226" s="1617">
        <v>0</v>
      </c>
      <c r="HY226" s="1617">
        <v>0</v>
      </c>
      <c r="HZ226" s="1603"/>
      <c r="IA226" s="1603"/>
      <c r="IB226" s="1603"/>
      <c r="IC226" s="1603">
        <v>0</v>
      </c>
      <c r="ID226" s="1603">
        <v>0</v>
      </c>
      <c r="IE226" s="1603">
        <v>0</v>
      </c>
      <c r="IF226" s="1603">
        <v>0</v>
      </c>
      <c r="IG226" s="1611" t="s">
        <v>2932</v>
      </c>
      <c r="IH226" s="1616" t="s">
        <v>270</v>
      </c>
      <c r="II226" s="1615" t="s">
        <v>270</v>
      </c>
      <c r="IJ226" s="1613">
        <v>1.3101818181818183</v>
      </c>
      <c r="IK226" s="1613">
        <v>1.301848484848485</v>
      </c>
      <c r="IL226" s="1614">
        <v>1.3101818181818183</v>
      </c>
      <c r="IM226" s="1614">
        <v>1.301848484848485</v>
      </c>
      <c r="IN226" s="1612" t="s">
        <v>270</v>
      </c>
      <c r="IO226" s="1613" t="s">
        <v>270</v>
      </c>
      <c r="IP226" s="1607" t="s">
        <v>270</v>
      </c>
      <c r="IQ226" s="1612" t="s">
        <v>270</v>
      </c>
      <c r="IR226" s="1612" t="s">
        <v>270</v>
      </c>
      <c r="IS226" s="1607">
        <v>1.1881818181818182</v>
      </c>
      <c r="IT226" s="1607">
        <v>1.1798484848484849</v>
      </c>
      <c r="IU226" s="1611">
        <v>0</v>
      </c>
      <c r="IV226" s="1611">
        <v>7.7767676767676763E-2</v>
      </c>
      <c r="IW226" s="1611">
        <v>9.0909090909090909E-4</v>
      </c>
      <c r="IX226" s="1611">
        <v>1.6060606060606061E-3</v>
      </c>
      <c r="IY226" s="1611">
        <v>9.6969696969696957E-4</v>
      </c>
      <c r="IZ226" s="1611">
        <v>5.9898989898989896E-3</v>
      </c>
      <c r="JA226" s="1611">
        <v>6.0606060606060598E-5</v>
      </c>
      <c r="JB226" s="1611" t="s">
        <v>270</v>
      </c>
      <c r="JC226" s="1611">
        <v>9.9026969696969704</v>
      </c>
      <c r="JD226" s="1611">
        <v>5.2121212121212122E-3</v>
      </c>
      <c r="JE226" s="1611" t="s">
        <v>270</v>
      </c>
      <c r="JF226" s="1611">
        <v>8.2828282828282835E-4</v>
      </c>
      <c r="JG226" s="1611">
        <v>0.57978787878787885</v>
      </c>
      <c r="JH226" s="1611">
        <v>7.646464646464647E-3</v>
      </c>
      <c r="JI226" s="1611">
        <v>0.3</v>
      </c>
      <c r="JJ226" s="1611" t="s">
        <v>270</v>
      </c>
      <c r="JK226" s="1607">
        <f t="shared" si="12"/>
        <v>0.12200000000000011</v>
      </c>
      <c r="JL226" s="1608" t="s">
        <v>270</v>
      </c>
      <c r="JM226" s="1610" t="s">
        <v>2924</v>
      </c>
      <c r="JN226" s="1608">
        <v>8.3333333333333037E-3</v>
      </c>
      <c r="JO226" s="1609" t="s">
        <v>2931</v>
      </c>
      <c r="JP226" s="1608" t="s">
        <v>270</v>
      </c>
      <c r="JQ226" s="1607">
        <v>202103</v>
      </c>
      <c r="JR226" s="1606">
        <v>851</v>
      </c>
      <c r="JS226" s="1606">
        <v>774</v>
      </c>
      <c r="JT226" s="1606">
        <v>774</v>
      </c>
    </row>
    <row r="227" spans="1:280" ht="15" customHeight="1" x14ac:dyDescent="0.2">
      <c r="A227" s="1626">
        <v>95110</v>
      </c>
      <c r="B227" s="1625">
        <v>951</v>
      </c>
      <c r="C227" s="1624">
        <v>10</v>
      </c>
      <c r="D227" s="1623" t="s">
        <v>3196</v>
      </c>
      <c r="E227" s="1622">
        <v>43031</v>
      </c>
      <c r="F227" s="1620">
        <v>1.45860433604336</v>
      </c>
      <c r="G227" s="1620">
        <v>1.39798701298702</v>
      </c>
      <c r="H227" s="1621">
        <v>100</v>
      </c>
      <c r="I227" s="1621">
        <v>100</v>
      </c>
      <c r="J227" s="1621">
        <v>100</v>
      </c>
      <c r="K227" s="1620">
        <v>1</v>
      </c>
      <c r="L227" s="1620">
        <v>99</v>
      </c>
      <c r="M227" s="1620">
        <v>50</v>
      </c>
      <c r="N227" s="1620">
        <v>0</v>
      </c>
      <c r="O227" s="1620">
        <v>0</v>
      </c>
      <c r="P227" s="1620">
        <v>0</v>
      </c>
      <c r="Q227" s="1603"/>
      <c r="R227" s="1620">
        <v>0</v>
      </c>
      <c r="S227" s="1620">
        <v>0</v>
      </c>
      <c r="T227" s="1620">
        <v>0</v>
      </c>
      <c r="U227" s="1620">
        <v>0</v>
      </c>
      <c r="V227" s="1620">
        <v>0</v>
      </c>
      <c r="W227" s="1620">
        <v>0</v>
      </c>
      <c r="X227" s="1620"/>
      <c r="Y227" s="1620">
        <v>0</v>
      </c>
      <c r="Z227" s="1620">
        <v>0</v>
      </c>
      <c r="AA227" s="1620">
        <v>0</v>
      </c>
      <c r="AB227" s="1620">
        <v>0</v>
      </c>
      <c r="AC227" s="1620">
        <v>0</v>
      </c>
      <c r="AD227" s="1620">
        <v>0</v>
      </c>
      <c r="AE227" s="1620">
        <v>0</v>
      </c>
      <c r="AF227" s="1620">
        <v>0</v>
      </c>
      <c r="AG227" s="1620">
        <v>0</v>
      </c>
      <c r="AH227" s="1620">
        <v>0</v>
      </c>
      <c r="AI227" s="1620">
        <v>0</v>
      </c>
      <c r="AJ227" s="1620">
        <v>0</v>
      </c>
      <c r="AK227" s="1620">
        <v>0</v>
      </c>
      <c r="AL227" s="1620"/>
      <c r="AM227" s="1620">
        <v>0</v>
      </c>
      <c r="AN227" s="1620">
        <v>0</v>
      </c>
      <c r="AO227" s="1620">
        <v>0</v>
      </c>
      <c r="AP227" s="1620">
        <v>0</v>
      </c>
      <c r="AQ227" s="1620">
        <v>0</v>
      </c>
      <c r="AR227" s="1620">
        <v>0</v>
      </c>
      <c r="AS227" s="1620">
        <v>0</v>
      </c>
      <c r="AT227" s="1620">
        <v>0</v>
      </c>
      <c r="AU227" s="1620">
        <v>0</v>
      </c>
      <c r="AV227" s="1620">
        <v>0</v>
      </c>
      <c r="AW227" s="1620">
        <v>0</v>
      </c>
      <c r="AX227" s="1620"/>
      <c r="AY227" s="1620">
        <v>1</v>
      </c>
      <c r="AZ227" s="1620">
        <v>1</v>
      </c>
      <c r="BA227" s="1620">
        <v>1</v>
      </c>
      <c r="BB227" s="1620">
        <v>1</v>
      </c>
      <c r="BC227" s="1620">
        <v>1</v>
      </c>
      <c r="BD227" s="1620">
        <v>1</v>
      </c>
      <c r="BE227" s="1620">
        <v>1</v>
      </c>
      <c r="BF227" s="1620">
        <v>1</v>
      </c>
      <c r="BG227" s="1620">
        <v>1</v>
      </c>
      <c r="BH227" s="1620">
        <v>1</v>
      </c>
      <c r="BI227" s="1620">
        <v>1</v>
      </c>
      <c r="BJ227" s="1603"/>
      <c r="BK227" s="1620">
        <v>50.505050505050505</v>
      </c>
      <c r="BL227" s="1620">
        <v>0</v>
      </c>
      <c r="BM227" s="1620">
        <v>0</v>
      </c>
      <c r="BN227" s="1620">
        <v>0</v>
      </c>
      <c r="BO227" s="1620"/>
      <c r="BP227" s="1620">
        <v>0</v>
      </c>
      <c r="BQ227" s="1620">
        <v>0</v>
      </c>
      <c r="BR227" s="1620">
        <v>1.4733377131751113</v>
      </c>
      <c r="BS227" s="1620">
        <v>1.4121080939262827</v>
      </c>
      <c r="BT227" s="1603"/>
      <c r="BU227" s="1620">
        <v>1000</v>
      </c>
      <c r="BV227" s="1620">
        <v>540.40404040404042</v>
      </c>
      <c r="BW227" s="1620">
        <v>0</v>
      </c>
      <c r="BX227" s="1620" t="s">
        <v>270</v>
      </c>
      <c r="BY227" s="1620" t="s">
        <v>270</v>
      </c>
      <c r="BZ227" s="1620" t="s">
        <v>270</v>
      </c>
      <c r="CA227" s="1620" t="s">
        <v>270</v>
      </c>
      <c r="CB227" s="1603"/>
      <c r="CC227" s="1603">
        <v>0</v>
      </c>
      <c r="CD227" s="1603">
        <v>0</v>
      </c>
      <c r="CE227" s="1603">
        <v>0</v>
      </c>
      <c r="CF227" s="1603">
        <v>0</v>
      </c>
      <c r="CG227" s="1603">
        <v>0</v>
      </c>
      <c r="CH227" s="1603">
        <v>0</v>
      </c>
      <c r="CI227" s="1603">
        <v>0</v>
      </c>
      <c r="CJ227" s="1603"/>
      <c r="CK227" s="1603">
        <v>0</v>
      </c>
      <c r="CL227" s="1603">
        <v>0</v>
      </c>
      <c r="CM227" s="1603">
        <v>0</v>
      </c>
      <c r="CN227" s="1603">
        <v>0</v>
      </c>
      <c r="CO227" s="1603">
        <v>0</v>
      </c>
      <c r="CP227" s="1603">
        <v>0</v>
      </c>
      <c r="CQ227" s="1603">
        <v>0</v>
      </c>
      <c r="CR227" s="1603">
        <v>0</v>
      </c>
      <c r="CS227" s="1603">
        <v>0</v>
      </c>
      <c r="CT227" s="1603">
        <v>0</v>
      </c>
      <c r="CU227" s="1603">
        <v>0</v>
      </c>
      <c r="CV227" s="1603">
        <v>0</v>
      </c>
      <c r="CW227" s="1603">
        <v>0</v>
      </c>
      <c r="CX227" s="1603">
        <v>0</v>
      </c>
      <c r="CY227" s="1603">
        <v>0</v>
      </c>
      <c r="CZ227" s="1603">
        <v>0</v>
      </c>
      <c r="DA227" s="1603">
        <v>0</v>
      </c>
      <c r="DB227" s="1603">
        <v>0</v>
      </c>
      <c r="DC227" s="1603">
        <v>0</v>
      </c>
      <c r="DD227" s="1603">
        <v>0</v>
      </c>
      <c r="DE227" s="1603">
        <v>0</v>
      </c>
      <c r="DF227" s="1603">
        <v>5000000</v>
      </c>
      <c r="DG227" s="1603">
        <v>0</v>
      </c>
      <c r="DH227" s="1603">
        <v>0</v>
      </c>
      <c r="DI227" s="1603">
        <v>0</v>
      </c>
      <c r="DJ227" s="1603">
        <v>0</v>
      </c>
      <c r="DK227" s="1603">
        <v>0</v>
      </c>
      <c r="DL227" s="1603">
        <v>0</v>
      </c>
      <c r="DM227" s="1603">
        <v>0</v>
      </c>
      <c r="DN227" s="1603">
        <v>0</v>
      </c>
      <c r="DO227" s="1603">
        <v>0</v>
      </c>
      <c r="DP227" s="1603">
        <v>0</v>
      </c>
      <c r="DQ227" s="1603">
        <v>0</v>
      </c>
      <c r="DR227" s="1603">
        <v>0</v>
      </c>
      <c r="DS227" s="1603">
        <v>0</v>
      </c>
      <c r="DT227" s="1603">
        <v>0</v>
      </c>
      <c r="DU227" s="1603">
        <v>0</v>
      </c>
      <c r="DV227" s="1603">
        <v>0</v>
      </c>
      <c r="DW227" s="1618" t="s">
        <v>986</v>
      </c>
      <c r="DX227" s="1605" t="s">
        <v>986</v>
      </c>
      <c r="DY227" s="1605" t="s">
        <v>986</v>
      </c>
      <c r="DZ227" s="1605" t="s">
        <v>986</v>
      </c>
      <c r="EA227" s="1605" t="s">
        <v>986</v>
      </c>
      <c r="EB227" s="1605" t="s">
        <v>986</v>
      </c>
      <c r="EC227" s="1605" t="s">
        <v>986</v>
      </c>
      <c r="ED227" s="1605" t="s">
        <v>986</v>
      </c>
      <c r="EE227" s="1605" t="s">
        <v>986</v>
      </c>
      <c r="EF227" s="1605" t="s">
        <v>986</v>
      </c>
      <c r="EG227" s="1605" t="s">
        <v>986</v>
      </c>
      <c r="EH227" s="1605" t="s">
        <v>986</v>
      </c>
      <c r="EI227" s="1605" t="s">
        <v>986</v>
      </c>
      <c r="EJ227" s="1605" t="s">
        <v>986</v>
      </c>
      <c r="EK227" s="1605" t="s">
        <v>986</v>
      </c>
      <c r="EL227" s="1605" t="s">
        <v>986</v>
      </c>
      <c r="EM227" s="1605" t="s">
        <v>986</v>
      </c>
      <c r="EN227" s="1605" t="s">
        <v>986</v>
      </c>
      <c r="EO227" s="1605" t="s">
        <v>986</v>
      </c>
      <c r="EP227" s="1605" t="s">
        <v>986</v>
      </c>
      <c r="EQ227" s="1605" t="s">
        <v>986</v>
      </c>
      <c r="ER227" s="1605" t="s">
        <v>986</v>
      </c>
      <c r="ES227" s="1605" t="s">
        <v>986</v>
      </c>
      <c r="ET227" s="1605" t="s">
        <v>986</v>
      </c>
      <c r="EU227" s="1605" t="s">
        <v>986</v>
      </c>
      <c r="EV227" s="1605" t="s">
        <v>986</v>
      </c>
      <c r="EW227" s="1605" t="s">
        <v>986</v>
      </c>
      <c r="EX227" s="1605" t="s">
        <v>986</v>
      </c>
      <c r="EY227" s="1605" t="s">
        <v>986</v>
      </c>
      <c r="EZ227" s="1605" t="s">
        <v>986</v>
      </c>
      <c r="FA227" s="1605" t="s">
        <v>986</v>
      </c>
      <c r="FB227" s="1605" t="s">
        <v>986</v>
      </c>
      <c r="FC227" s="1605" t="s">
        <v>986</v>
      </c>
      <c r="FD227" s="1605" t="s">
        <v>986</v>
      </c>
      <c r="FE227" s="1605" t="s">
        <v>986</v>
      </c>
      <c r="FF227" s="1605" t="s">
        <v>986</v>
      </c>
      <c r="FG227" s="1605" t="s">
        <v>986</v>
      </c>
      <c r="FH227" s="1605" t="s">
        <v>986</v>
      </c>
      <c r="FI227" s="1605" t="s">
        <v>986</v>
      </c>
      <c r="FJ227" s="1605" t="s">
        <v>986</v>
      </c>
      <c r="FK227" s="1605" t="s">
        <v>986</v>
      </c>
      <c r="FL227" s="1605" t="s">
        <v>986</v>
      </c>
      <c r="FM227" s="1605" t="s">
        <v>986</v>
      </c>
      <c r="FN227" s="1605" t="s">
        <v>986</v>
      </c>
      <c r="FO227" s="1605" t="s">
        <v>986</v>
      </c>
      <c r="FP227" s="1605" t="s">
        <v>986</v>
      </c>
      <c r="FQ227" s="1605" t="s">
        <v>986</v>
      </c>
      <c r="FR227" s="1605" t="s">
        <v>986</v>
      </c>
      <c r="FS227" s="1605" t="s">
        <v>986</v>
      </c>
      <c r="FT227" s="1605" t="s">
        <v>986</v>
      </c>
      <c r="FU227" s="1605" t="s">
        <v>986</v>
      </c>
      <c r="FV227" s="1605" t="s">
        <v>986</v>
      </c>
      <c r="FW227" s="1605" t="s">
        <v>986</v>
      </c>
      <c r="FX227" s="1605" t="s">
        <v>986</v>
      </c>
      <c r="FY227" s="1605" t="s">
        <v>986</v>
      </c>
      <c r="FZ227" s="1605" t="s">
        <v>986</v>
      </c>
      <c r="GA227" s="1605" t="s">
        <v>986</v>
      </c>
      <c r="GB227" s="1605" t="s">
        <v>986</v>
      </c>
      <c r="GC227" s="1605" t="s">
        <v>986</v>
      </c>
      <c r="GD227" s="1605" t="s">
        <v>986</v>
      </c>
      <c r="GE227" s="1605" t="s">
        <v>986</v>
      </c>
      <c r="GF227" s="1605" t="s">
        <v>986</v>
      </c>
      <c r="GG227" s="1605" t="s">
        <v>986</v>
      </c>
      <c r="GH227" s="1605" t="s">
        <v>986</v>
      </c>
      <c r="GI227" s="1605" t="s">
        <v>986</v>
      </c>
      <c r="GJ227" s="1605" t="s">
        <v>986</v>
      </c>
      <c r="GK227" s="1605" t="s">
        <v>986</v>
      </c>
      <c r="GL227" s="1605" t="s">
        <v>986</v>
      </c>
      <c r="GM227" s="1605" t="s">
        <v>986</v>
      </c>
      <c r="GN227" s="1605" t="s">
        <v>986</v>
      </c>
      <c r="GO227" s="1605" t="s">
        <v>986</v>
      </c>
      <c r="GP227" s="1605" t="s">
        <v>986</v>
      </c>
      <c r="GQ227" s="1605" t="s">
        <v>986</v>
      </c>
      <c r="GR227" s="1605" t="s">
        <v>986</v>
      </c>
      <c r="GS227" s="1605" t="s">
        <v>986</v>
      </c>
      <c r="GT227" s="1605" t="s">
        <v>986</v>
      </c>
      <c r="GU227" s="1605" t="s">
        <v>986</v>
      </c>
      <c r="GV227" s="1605" t="s">
        <v>986</v>
      </c>
      <c r="GW227" s="1605" t="s">
        <v>986</v>
      </c>
      <c r="GX227" s="1605" t="s">
        <v>986</v>
      </c>
      <c r="GY227" s="1605" t="s">
        <v>986</v>
      </c>
      <c r="GZ227" s="1605" t="s">
        <v>986</v>
      </c>
      <c r="HA227" s="1605" t="s">
        <v>986</v>
      </c>
      <c r="HB227" s="1605" t="s">
        <v>986</v>
      </c>
      <c r="HC227" s="1605" t="s">
        <v>986</v>
      </c>
      <c r="HD227" s="1605" t="s">
        <v>986</v>
      </c>
      <c r="HE227" s="1605" t="s">
        <v>986</v>
      </c>
      <c r="HF227" s="1605" t="s">
        <v>986</v>
      </c>
      <c r="HG227" s="1605" t="s">
        <v>986</v>
      </c>
      <c r="HH227" s="1605" t="s">
        <v>986</v>
      </c>
      <c r="HI227" s="1605" t="s">
        <v>986</v>
      </c>
      <c r="HJ227" s="1605" t="s">
        <v>986</v>
      </c>
      <c r="HK227" s="1605" t="s">
        <v>986</v>
      </c>
      <c r="HL227" s="1605" t="s">
        <v>986</v>
      </c>
      <c r="HM227" s="1605" t="s">
        <v>986</v>
      </c>
      <c r="HN227" s="1605" t="s">
        <v>986</v>
      </c>
      <c r="HO227" s="1605" t="s">
        <v>986</v>
      </c>
      <c r="HP227" s="1605" t="s">
        <v>986</v>
      </c>
      <c r="HQ227" s="1605" t="s">
        <v>986</v>
      </c>
      <c r="HR227" s="1605" t="s">
        <v>986</v>
      </c>
      <c r="HS227" s="1605" t="s">
        <v>986</v>
      </c>
      <c r="HT227" s="1605" t="s">
        <v>986</v>
      </c>
      <c r="HU227" s="1605" t="s">
        <v>986</v>
      </c>
      <c r="HV227" s="1617"/>
      <c r="HW227" s="1617">
        <v>0</v>
      </c>
      <c r="HX227" s="1617">
        <v>0</v>
      </c>
      <c r="HY227" s="1617">
        <v>0</v>
      </c>
      <c r="HZ227" s="1603"/>
      <c r="IA227" s="1603"/>
      <c r="IB227" s="1603"/>
      <c r="IC227" s="1603">
        <v>0</v>
      </c>
      <c r="ID227" s="1603">
        <v>0</v>
      </c>
      <c r="IE227" s="1603">
        <v>0</v>
      </c>
      <c r="IF227" s="1603">
        <v>0</v>
      </c>
      <c r="IG227" s="1611" t="s">
        <v>2932</v>
      </c>
      <c r="IH227" s="1616" t="s">
        <v>270</v>
      </c>
      <c r="II227" s="1615" t="s">
        <v>270</v>
      </c>
      <c r="IJ227" s="1613">
        <v>1.3101818181818183</v>
      </c>
      <c r="IK227" s="1613">
        <v>1.301848484848485</v>
      </c>
      <c r="IL227" s="1614">
        <v>1.3101818181818183</v>
      </c>
      <c r="IM227" s="1614">
        <v>1.301848484848485</v>
      </c>
      <c r="IN227" s="1612" t="s">
        <v>270</v>
      </c>
      <c r="IO227" s="1613" t="s">
        <v>270</v>
      </c>
      <c r="IP227" s="1607" t="s">
        <v>270</v>
      </c>
      <c r="IQ227" s="1612" t="s">
        <v>270</v>
      </c>
      <c r="IR227" s="1612" t="s">
        <v>270</v>
      </c>
      <c r="IS227" s="1607">
        <v>1.1881818181818182</v>
      </c>
      <c r="IT227" s="1607">
        <v>1.1798484848484849</v>
      </c>
      <c r="IU227" s="1611">
        <v>0</v>
      </c>
      <c r="IV227" s="1611">
        <v>7.7767676767676763E-2</v>
      </c>
      <c r="IW227" s="1611">
        <v>9.0909090909090909E-4</v>
      </c>
      <c r="IX227" s="1611">
        <v>1.6060606060606061E-3</v>
      </c>
      <c r="IY227" s="1611">
        <v>9.6969696969696957E-4</v>
      </c>
      <c r="IZ227" s="1611">
        <v>5.9898989898989896E-3</v>
      </c>
      <c r="JA227" s="1611">
        <v>6.0606060606060598E-5</v>
      </c>
      <c r="JB227" s="1611" t="s">
        <v>270</v>
      </c>
      <c r="JC227" s="1611">
        <v>9.9026969696969704</v>
      </c>
      <c r="JD227" s="1611">
        <v>5.2121212121212122E-3</v>
      </c>
      <c r="JE227" s="1611" t="s">
        <v>270</v>
      </c>
      <c r="JF227" s="1611">
        <v>8.2828282828282835E-4</v>
      </c>
      <c r="JG227" s="1611">
        <v>0.57978787878787885</v>
      </c>
      <c r="JH227" s="1611">
        <v>7.646464646464647E-3</v>
      </c>
      <c r="JI227" s="1611">
        <v>0.3</v>
      </c>
      <c r="JJ227" s="1611" t="s">
        <v>270</v>
      </c>
      <c r="JK227" s="1607">
        <f t="shared" si="12"/>
        <v>0.12200000000000011</v>
      </c>
      <c r="JL227" s="1608" t="s">
        <v>270</v>
      </c>
      <c r="JM227" s="1610" t="s">
        <v>2924</v>
      </c>
      <c r="JN227" s="1608">
        <v>8.3333333333333037E-3</v>
      </c>
      <c r="JO227" s="1609" t="s">
        <v>2931</v>
      </c>
      <c r="JP227" s="1608" t="s">
        <v>270</v>
      </c>
      <c r="JQ227" s="1607">
        <v>202103</v>
      </c>
      <c r="JR227" s="1606">
        <v>851</v>
      </c>
      <c r="JS227" s="1606">
        <v>774</v>
      </c>
      <c r="JT227" s="1606">
        <v>774</v>
      </c>
    </row>
    <row r="228" spans="1:280" ht="15" customHeight="1" x14ac:dyDescent="0.2">
      <c r="A228" s="1626">
        <v>95100</v>
      </c>
      <c r="B228" s="1625">
        <v>951</v>
      </c>
      <c r="C228" s="1624">
        <v>0</v>
      </c>
      <c r="D228" s="1623" t="s">
        <v>3195</v>
      </c>
      <c r="E228" s="1622">
        <v>43031</v>
      </c>
      <c r="F228" s="1620">
        <v>1.45860433604336</v>
      </c>
      <c r="G228" s="1620">
        <v>1.39798701298702</v>
      </c>
      <c r="H228" s="1621">
        <v>100</v>
      </c>
      <c r="I228" s="1621">
        <v>100</v>
      </c>
      <c r="J228" s="1621">
        <v>100</v>
      </c>
      <c r="K228" s="1620">
        <v>1</v>
      </c>
      <c r="L228" s="1620">
        <v>99</v>
      </c>
      <c r="M228" s="1620">
        <v>50</v>
      </c>
      <c r="N228" s="1620">
        <v>0</v>
      </c>
      <c r="O228" s="1620">
        <v>0</v>
      </c>
      <c r="P228" s="1620">
        <v>0</v>
      </c>
      <c r="Q228" s="1603"/>
      <c r="R228" s="1620">
        <v>0</v>
      </c>
      <c r="S228" s="1620">
        <v>0</v>
      </c>
      <c r="T228" s="1620">
        <v>0</v>
      </c>
      <c r="U228" s="1620">
        <v>0</v>
      </c>
      <c r="V228" s="1620">
        <v>0</v>
      </c>
      <c r="W228" s="1620">
        <v>0</v>
      </c>
      <c r="X228" s="1620"/>
      <c r="Y228" s="1620">
        <v>0</v>
      </c>
      <c r="Z228" s="1620">
        <v>0</v>
      </c>
      <c r="AA228" s="1620">
        <v>0</v>
      </c>
      <c r="AB228" s="1620">
        <v>0</v>
      </c>
      <c r="AC228" s="1620">
        <v>0</v>
      </c>
      <c r="AD228" s="1620">
        <v>0</v>
      </c>
      <c r="AE228" s="1620">
        <v>0</v>
      </c>
      <c r="AF228" s="1620">
        <v>0</v>
      </c>
      <c r="AG228" s="1620">
        <v>0</v>
      </c>
      <c r="AH228" s="1620">
        <v>0</v>
      </c>
      <c r="AI228" s="1620">
        <v>0</v>
      </c>
      <c r="AJ228" s="1620">
        <v>0</v>
      </c>
      <c r="AK228" s="1620">
        <v>0</v>
      </c>
      <c r="AL228" s="1620"/>
      <c r="AM228" s="1620">
        <v>0</v>
      </c>
      <c r="AN228" s="1620">
        <v>0</v>
      </c>
      <c r="AO228" s="1620">
        <v>0</v>
      </c>
      <c r="AP228" s="1620">
        <v>0</v>
      </c>
      <c r="AQ228" s="1620">
        <v>0</v>
      </c>
      <c r="AR228" s="1620">
        <v>0</v>
      </c>
      <c r="AS228" s="1620">
        <v>0</v>
      </c>
      <c r="AT228" s="1620">
        <v>0</v>
      </c>
      <c r="AU228" s="1620">
        <v>0</v>
      </c>
      <c r="AV228" s="1620">
        <v>0</v>
      </c>
      <c r="AW228" s="1620">
        <v>0</v>
      </c>
      <c r="AX228" s="1620"/>
      <c r="AY228" s="1620">
        <v>1</v>
      </c>
      <c r="AZ228" s="1620">
        <v>1</v>
      </c>
      <c r="BA228" s="1620">
        <v>1</v>
      </c>
      <c r="BB228" s="1620">
        <v>1</v>
      </c>
      <c r="BC228" s="1620">
        <v>1</v>
      </c>
      <c r="BD228" s="1620">
        <v>1</v>
      </c>
      <c r="BE228" s="1620">
        <v>1</v>
      </c>
      <c r="BF228" s="1620">
        <v>1</v>
      </c>
      <c r="BG228" s="1620">
        <v>1</v>
      </c>
      <c r="BH228" s="1620">
        <v>1</v>
      </c>
      <c r="BI228" s="1620">
        <v>1</v>
      </c>
      <c r="BJ228" s="1603"/>
      <c r="BK228" s="1620">
        <v>50.505050505050505</v>
      </c>
      <c r="BL228" s="1620">
        <v>0</v>
      </c>
      <c r="BM228" s="1620">
        <v>0</v>
      </c>
      <c r="BN228" s="1620">
        <v>0</v>
      </c>
      <c r="BO228" s="1620"/>
      <c r="BP228" s="1620">
        <v>0</v>
      </c>
      <c r="BQ228" s="1620">
        <v>0</v>
      </c>
      <c r="BR228" s="1620">
        <v>1.4733377131751113</v>
      </c>
      <c r="BS228" s="1620">
        <v>1.4121080939262827</v>
      </c>
      <c r="BT228" s="1603"/>
      <c r="BU228" s="1620">
        <v>1000</v>
      </c>
      <c r="BV228" s="1620">
        <v>540.40404040404042</v>
      </c>
      <c r="BW228" s="1620">
        <v>0</v>
      </c>
      <c r="BX228" s="1620" t="s">
        <v>270</v>
      </c>
      <c r="BY228" s="1620" t="s">
        <v>270</v>
      </c>
      <c r="BZ228" s="1620" t="s">
        <v>270</v>
      </c>
      <c r="CA228" s="1620" t="s">
        <v>270</v>
      </c>
      <c r="CB228" s="1603"/>
      <c r="CC228" s="1603">
        <v>0</v>
      </c>
      <c r="CD228" s="1603">
        <v>0</v>
      </c>
      <c r="CE228" s="1603">
        <v>0</v>
      </c>
      <c r="CF228" s="1603">
        <v>0</v>
      </c>
      <c r="CG228" s="1603">
        <v>0</v>
      </c>
      <c r="CH228" s="1603">
        <v>0</v>
      </c>
      <c r="CI228" s="1603">
        <v>0</v>
      </c>
      <c r="CJ228" s="1603"/>
      <c r="CK228" s="1603">
        <v>0</v>
      </c>
      <c r="CL228" s="1603">
        <v>0</v>
      </c>
      <c r="CM228" s="1603">
        <v>0</v>
      </c>
      <c r="CN228" s="1603">
        <v>0</v>
      </c>
      <c r="CO228" s="1603">
        <v>0</v>
      </c>
      <c r="CP228" s="1603">
        <v>0</v>
      </c>
      <c r="CQ228" s="1603">
        <v>0</v>
      </c>
      <c r="CR228" s="1603">
        <v>0</v>
      </c>
      <c r="CS228" s="1603">
        <v>0</v>
      </c>
      <c r="CT228" s="1603">
        <v>0</v>
      </c>
      <c r="CU228" s="1603">
        <v>0</v>
      </c>
      <c r="CV228" s="1603">
        <v>0</v>
      </c>
      <c r="CW228" s="1603">
        <v>0</v>
      </c>
      <c r="CX228" s="1603">
        <v>0</v>
      </c>
      <c r="CY228" s="1603">
        <v>0</v>
      </c>
      <c r="CZ228" s="1603">
        <v>0</v>
      </c>
      <c r="DA228" s="1603">
        <v>0</v>
      </c>
      <c r="DB228" s="1603">
        <v>0</v>
      </c>
      <c r="DC228" s="1603">
        <v>0</v>
      </c>
      <c r="DD228" s="1603">
        <v>0</v>
      </c>
      <c r="DE228" s="1603">
        <v>0</v>
      </c>
      <c r="DF228" s="1603">
        <v>2500000</v>
      </c>
      <c r="DG228" s="1603">
        <v>0</v>
      </c>
      <c r="DH228" s="1603">
        <v>0</v>
      </c>
      <c r="DI228" s="1603">
        <v>0</v>
      </c>
      <c r="DJ228" s="1603">
        <v>0</v>
      </c>
      <c r="DK228" s="1603">
        <v>0</v>
      </c>
      <c r="DL228" s="1603">
        <v>0</v>
      </c>
      <c r="DM228" s="1603">
        <v>0</v>
      </c>
      <c r="DN228" s="1603">
        <v>0</v>
      </c>
      <c r="DO228" s="1603">
        <v>0</v>
      </c>
      <c r="DP228" s="1603">
        <v>0</v>
      </c>
      <c r="DQ228" s="1603">
        <v>0</v>
      </c>
      <c r="DR228" s="1603">
        <v>0</v>
      </c>
      <c r="DS228" s="1603">
        <v>0</v>
      </c>
      <c r="DT228" s="1603">
        <v>0</v>
      </c>
      <c r="DU228" s="1603">
        <v>0</v>
      </c>
      <c r="DV228" s="1603">
        <v>0</v>
      </c>
      <c r="DW228" s="1618" t="s">
        <v>986</v>
      </c>
      <c r="DX228" s="1605" t="s">
        <v>986</v>
      </c>
      <c r="DY228" s="1605" t="s">
        <v>986</v>
      </c>
      <c r="DZ228" s="1605" t="s">
        <v>986</v>
      </c>
      <c r="EA228" s="1605" t="s">
        <v>986</v>
      </c>
      <c r="EB228" s="1605" t="s">
        <v>986</v>
      </c>
      <c r="EC228" s="1605" t="s">
        <v>986</v>
      </c>
      <c r="ED228" s="1605" t="s">
        <v>986</v>
      </c>
      <c r="EE228" s="1605" t="s">
        <v>986</v>
      </c>
      <c r="EF228" s="1605" t="s">
        <v>986</v>
      </c>
      <c r="EG228" s="1605" t="s">
        <v>986</v>
      </c>
      <c r="EH228" s="1605" t="s">
        <v>986</v>
      </c>
      <c r="EI228" s="1605" t="s">
        <v>986</v>
      </c>
      <c r="EJ228" s="1605" t="s">
        <v>986</v>
      </c>
      <c r="EK228" s="1605" t="s">
        <v>986</v>
      </c>
      <c r="EL228" s="1605" t="s">
        <v>986</v>
      </c>
      <c r="EM228" s="1605" t="s">
        <v>986</v>
      </c>
      <c r="EN228" s="1605" t="s">
        <v>986</v>
      </c>
      <c r="EO228" s="1605" t="s">
        <v>986</v>
      </c>
      <c r="EP228" s="1605" t="s">
        <v>986</v>
      </c>
      <c r="EQ228" s="1605" t="s">
        <v>986</v>
      </c>
      <c r="ER228" s="1605" t="s">
        <v>986</v>
      </c>
      <c r="ES228" s="1605" t="s">
        <v>986</v>
      </c>
      <c r="ET228" s="1605" t="s">
        <v>986</v>
      </c>
      <c r="EU228" s="1605" t="s">
        <v>986</v>
      </c>
      <c r="EV228" s="1605" t="s">
        <v>986</v>
      </c>
      <c r="EW228" s="1605" t="s">
        <v>986</v>
      </c>
      <c r="EX228" s="1605" t="s">
        <v>986</v>
      </c>
      <c r="EY228" s="1605" t="s">
        <v>986</v>
      </c>
      <c r="EZ228" s="1605" t="s">
        <v>986</v>
      </c>
      <c r="FA228" s="1605" t="s">
        <v>986</v>
      </c>
      <c r="FB228" s="1605" t="s">
        <v>986</v>
      </c>
      <c r="FC228" s="1605" t="s">
        <v>986</v>
      </c>
      <c r="FD228" s="1605" t="s">
        <v>986</v>
      </c>
      <c r="FE228" s="1605" t="s">
        <v>986</v>
      </c>
      <c r="FF228" s="1605" t="s">
        <v>986</v>
      </c>
      <c r="FG228" s="1605" t="s">
        <v>986</v>
      </c>
      <c r="FH228" s="1605" t="s">
        <v>986</v>
      </c>
      <c r="FI228" s="1605" t="s">
        <v>986</v>
      </c>
      <c r="FJ228" s="1605" t="s">
        <v>986</v>
      </c>
      <c r="FK228" s="1605" t="s">
        <v>986</v>
      </c>
      <c r="FL228" s="1605" t="s">
        <v>986</v>
      </c>
      <c r="FM228" s="1605" t="s">
        <v>986</v>
      </c>
      <c r="FN228" s="1605" t="s">
        <v>986</v>
      </c>
      <c r="FO228" s="1605" t="s">
        <v>986</v>
      </c>
      <c r="FP228" s="1605" t="s">
        <v>986</v>
      </c>
      <c r="FQ228" s="1605" t="s">
        <v>986</v>
      </c>
      <c r="FR228" s="1605" t="s">
        <v>986</v>
      </c>
      <c r="FS228" s="1605" t="s">
        <v>986</v>
      </c>
      <c r="FT228" s="1605" t="s">
        <v>986</v>
      </c>
      <c r="FU228" s="1605" t="s">
        <v>986</v>
      </c>
      <c r="FV228" s="1605" t="s">
        <v>986</v>
      </c>
      <c r="FW228" s="1605" t="s">
        <v>986</v>
      </c>
      <c r="FX228" s="1605" t="s">
        <v>986</v>
      </c>
      <c r="FY228" s="1605" t="s">
        <v>986</v>
      </c>
      <c r="FZ228" s="1605" t="s">
        <v>986</v>
      </c>
      <c r="GA228" s="1605" t="s">
        <v>986</v>
      </c>
      <c r="GB228" s="1605" t="s">
        <v>986</v>
      </c>
      <c r="GC228" s="1605" t="s">
        <v>986</v>
      </c>
      <c r="GD228" s="1605" t="s">
        <v>986</v>
      </c>
      <c r="GE228" s="1605" t="s">
        <v>986</v>
      </c>
      <c r="GF228" s="1605" t="s">
        <v>986</v>
      </c>
      <c r="GG228" s="1605" t="s">
        <v>986</v>
      </c>
      <c r="GH228" s="1605" t="s">
        <v>986</v>
      </c>
      <c r="GI228" s="1605" t="s">
        <v>986</v>
      </c>
      <c r="GJ228" s="1605" t="s">
        <v>986</v>
      </c>
      <c r="GK228" s="1605" t="s">
        <v>986</v>
      </c>
      <c r="GL228" s="1605" t="s">
        <v>986</v>
      </c>
      <c r="GM228" s="1605" t="s">
        <v>986</v>
      </c>
      <c r="GN228" s="1605" t="s">
        <v>986</v>
      </c>
      <c r="GO228" s="1605" t="s">
        <v>986</v>
      </c>
      <c r="GP228" s="1605" t="s">
        <v>986</v>
      </c>
      <c r="GQ228" s="1605" t="s">
        <v>986</v>
      </c>
      <c r="GR228" s="1605" t="s">
        <v>986</v>
      </c>
      <c r="GS228" s="1605" t="s">
        <v>986</v>
      </c>
      <c r="GT228" s="1605" t="s">
        <v>986</v>
      </c>
      <c r="GU228" s="1605" t="s">
        <v>986</v>
      </c>
      <c r="GV228" s="1605" t="s">
        <v>986</v>
      </c>
      <c r="GW228" s="1605" t="s">
        <v>986</v>
      </c>
      <c r="GX228" s="1605" t="s">
        <v>986</v>
      </c>
      <c r="GY228" s="1605" t="s">
        <v>986</v>
      </c>
      <c r="GZ228" s="1605" t="s">
        <v>986</v>
      </c>
      <c r="HA228" s="1605" t="s">
        <v>986</v>
      </c>
      <c r="HB228" s="1605" t="s">
        <v>986</v>
      </c>
      <c r="HC228" s="1605" t="s">
        <v>986</v>
      </c>
      <c r="HD228" s="1605" t="s">
        <v>986</v>
      </c>
      <c r="HE228" s="1605" t="s">
        <v>986</v>
      </c>
      <c r="HF228" s="1605" t="s">
        <v>986</v>
      </c>
      <c r="HG228" s="1605" t="s">
        <v>986</v>
      </c>
      <c r="HH228" s="1605" t="s">
        <v>986</v>
      </c>
      <c r="HI228" s="1605" t="s">
        <v>986</v>
      </c>
      <c r="HJ228" s="1605" t="s">
        <v>986</v>
      </c>
      <c r="HK228" s="1605" t="s">
        <v>986</v>
      </c>
      <c r="HL228" s="1605" t="s">
        <v>986</v>
      </c>
      <c r="HM228" s="1605" t="s">
        <v>986</v>
      </c>
      <c r="HN228" s="1605" t="s">
        <v>986</v>
      </c>
      <c r="HO228" s="1605" t="s">
        <v>986</v>
      </c>
      <c r="HP228" s="1605" t="s">
        <v>986</v>
      </c>
      <c r="HQ228" s="1605" t="s">
        <v>986</v>
      </c>
      <c r="HR228" s="1605" t="s">
        <v>986</v>
      </c>
      <c r="HS228" s="1605" t="s">
        <v>986</v>
      </c>
      <c r="HT228" s="1605" t="s">
        <v>986</v>
      </c>
      <c r="HU228" s="1605" t="s">
        <v>986</v>
      </c>
      <c r="HV228" s="1617"/>
      <c r="HW228" s="1617">
        <v>0</v>
      </c>
      <c r="HX228" s="1617">
        <v>0</v>
      </c>
      <c r="HY228" s="1617">
        <v>0</v>
      </c>
      <c r="HZ228" s="1603"/>
      <c r="IA228" s="1603"/>
      <c r="IB228" s="1603"/>
      <c r="IC228" s="1603">
        <v>0</v>
      </c>
      <c r="ID228" s="1603">
        <v>0</v>
      </c>
      <c r="IE228" s="1603">
        <v>0</v>
      </c>
      <c r="IF228" s="1603">
        <v>0</v>
      </c>
      <c r="IG228" s="1611" t="s">
        <v>2932</v>
      </c>
      <c r="IH228" s="1616" t="s">
        <v>270</v>
      </c>
      <c r="II228" s="1615" t="s">
        <v>270</v>
      </c>
      <c r="IJ228" s="1613">
        <v>1.3101818181818183</v>
      </c>
      <c r="IK228" s="1613">
        <v>1.301848484848485</v>
      </c>
      <c r="IL228" s="1614">
        <v>1.3101818181818183</v>
      </c>
      <c r="IM228" s="1614">
        <v>1.301848484848485</v>
      </c>
      <c r="IN228" s="1612" t="s">
        <v>270</v>
      </c>
      <c r="IO228" s="1613" t="s">
        <v>270</v>
      </c>
      <c r="IP228" s="1607" t="s">
        <v>270</v>
      </c>
      <c r="IQ228" s="1612" t="s">
        <v>270</v>
      </c>
      <c r="IR228" s="1612" t="s">
        <v>270</v>
      </c>
      <c r="IS228" s="1607">
        <v>1.1881818181818182</v>
      </c>
      <c r="IT228" s="1607">
        <v>1.1798484848484849</v>
      </c>
      <c r="IU228" s="1611">
        <v>0</v>
      </c>
      <c r="IV228" s="1611">
        <v>7.7767676767676763E-2</v>
      </c>
      <c r="IW228" s="1611">
        <v>9.0909090909090909E-4</v>
      </c>
      <c r="IX228" s="1611">
        <v>1.6060606060606061E-3</v>
      </c>
      <c r="IY228" s="1611">
        <v>9.6969696969696957E-4</v>
      </c>
      <c r="IZ228" s="1611">
        <v>5.9898989898989896E-3</v>
      </c>
      <c r="JA228" s="1611">
        <v>6.0606060606060598E-5</v>
      </c>
      <c r="JB228" s="1611" t="s">
        <v>270</v>
      </c>
      <c r="JC228" s="1611">
        <v>9.9026969696969704</v>
      </c>
      <c r="JD228" s="1611">
        <v>5.2121212121212122E-3</v>
      </c>
      <c r="JE228" s="1611" t="s">
        <v>270</v>
      </c>
      <c r="JF228" s="1611">
        <v>8.2828282828282835E-4</v>
      </c>
      <c r="JG228" s="1611">
        <v>0.57978787878787885</v>
      </c>
      <c r="JH228" s="1611">
        <v>7.646464646464647E-3</v>
      </c>
      <c r="JI228" s="1611">
        <v>0.3</v>
      </c>
      <c r="JJ228" s="1611" t="s">
        <v>270</v>
      </c>
      <c r="JK228" s="1607">
        <f t="shared" si="12"/>
        <v>0.12200000000000011</v>
      </c>
      <c r="JL228" s="1608" t="s">
        <v>270</v>
      </c>
      <c r="JM228" s="1610" t="s">
        <v>2924</v>
      </c>
      <c r="JN228" s="1608">
        <v>8.3333333333333037E-3</v>
      </c>
      <c r="JO228" s="1609" t="s">
        <v>2931</v>
      </c>
      <c r="JP228" s="1608" t="s">
        <v>270</v>
      </c>
      <c r="JQ228" s="1607">
        <v>202103</v>
      </c>
      <c r="JR228" s="1606">
        <v>851</v>
      </c>
      <c r="JS228" s="1606">
        <v>774</v>
      </c>
      <c r="JT228" s="1606">
        <v>774</v>
      </c>
    </row>
    <row r="229" spans="1:280" ht="15" customHeight="1" x14ac:dyDescent="0.2">
      <c r="A229" s="1626">
        <v>72400</v>
      </c>
      <c r="B229" s="1625">
        <v>724</v>
      </c>
      <c r="C229" s="1624">
        <v>0</v>
      </c>
      <c r="D229" s="1623" t="s">
        <v>3194</v>
      </c>
      <c r="E229" s="1622">
        <v>43031</v>
      </c>
      <c r="F229" s="1620">
        <v>0.93084348780487902</v>
      </c>
      <c r="G229" s="1620">
        <v>0.89281526133866296</v>
      </c>
      <c r="H229" s="1621">
        <v>100</v>
      </c>
      <c r="I229" s="1621">
        <v>99.7</v>
      </c>
      <c r="J229" s="1621">
        <v>90</v>
      </c>
      <c r="K229" s="1620">
        <v>0.9</v>
      </c>
      <c r="L229" s="1620">
        <v>65.8</v>
      </c>
      <c r="M229" s="1620">
        <v>0.4</v>
      </c>
      <c r="N229" s="1620">
        <v>0</v>
      </c>
      <c r="O229" s="1620">
        <v>0.30369230769230798</v>
      </c>
      <c r="P229" s="1620">
        <v>0</v>
      </c>
      <c r="Q229" s="1603"/>
      <c r="R229" s="1620">
        <v>50</v>
      </c>
      <c r="S229" s="1620">
        <v>50</v>
      </c>
      <c r="T229" s="1620">
        <v>50</v>
      </c>
      <c r="U229" s="1620">
        <v>50</v>
      </c>
      <c r="V229" s="1620">
        <v>50</v>
      </c>
      <c r="W229" s="1620">
        <v>50</v>
      </c>
      <c r="X229" s="1620"/>
      <c r="Y229" s="1620">
        <v>0.15384615384615349</v>
      </c>
      <c r="Z229" s="1620">
        <v>0.15384615384615349</v>
      </c>
      <c r="AA229" s="1620">
        <v>0.15384615384615349</v>
      </c>
      <c r="AB229" s="1620">
        <v>3.0769230769230854E-2</v>
      </c>
      <c r="AC229" s="1620">
        <v>3.0769230769230854E-2</v>
      </c>
      <c r="AD229" s="1620">
        <v>1.5384615384615349E-2</v>
      </c>
      <c r="AE229" s="1620">
        <v>0</v>
      </c>
      <c r="AF229" s="1620">
        <v>0</v>
      </c>
      <c r="AG229" s="1620">
        <v>0</v>
      </c>
      <c r="AH229" s="1620">
        <v>0</v>
      </c>
      <c r="AI229" s="1620">
        <v>0</v>
      </c>
      <c r="AJ229" s="1620">
        <v>0</v>
      </c>
      <c r="AK229" s="1620">
        <v>0</v>
      </c>
      <c r="AL229" s="1620"/>
      <c r="AM229" s="1620">
        <v>0</v>
      </c>
      <c r="AN229" s="1620">
        <v>0</v>
      </c>
      <c r="AO229" s="1620">
        <v>0</v>
      </c>
      <c r="AP229" s="1620">
        <v>0</v>
      </c>
      <c r="AQ229" s="1620">
        <v>0</v>
      </c>
      <c r="AR229" s="1620">
        <v>0</v>
      </c>
      <c r="AS229" s="1620">
        <v>0</v>
      </c>
      <c r="AT229" s="1620">
        <v>0</v>
      </c>
      <c r="AU229" s="1620">
        <v>0</v>
      </c>
      <c r="AV229" s="1620">
        <v>0</v>
      </c>
      <c r="AW229" s="1620">
        <v>0</v>
      </c>
      <c r="AX229" s="1620"/>
      <c r="AY229" s="1620">
        <v>1</v>
      </c>
      <c r="AZ229" s="1620">
        <v>1</v>
      </c>
      <c r="BA229" s="1620">
        <v>1</v>
      </c>
      <c r="BB229" s="1620">
        <v>1</v>
      </c>
      <c r="BC229" s="1620">
        <v>1</v>
      </c>
      <c r="BD229" s="1620">
        <v>1</v>
      </c>
      <c r="BE229" s="1620">
        <v>1</v>
      </c>
      <c r="BF229" s="1620">
        <v>1</v>
      </c>
      <c r="BG229" s="1620">
        <v>1</v>
      </c>
      <c r="BH229" s="1620">
        <v>1</v>
      </c>
      <c r="BI229" s="1620">
        <v>1</v>
      </c>
      <c r="BJ229" s="1603"/>
      <c r="BK229" s="1620">
        <v>0.60790273556231</v>
      </c>
      <c r="BL229" s="1620">
        <v>0</v>
      </c>
      <c r="BM229" s="1620">
        <v>0.46153846153846201</v>
      </c>
      <c r="BN229" s="1620">
        <v>0</v>
      </c>
      <c r="BO229" s="1620"/>
      <c r="BP229" s="1620">
        <v>0</v>
      </c>
      <c r="BQ229" s="1620">
        <v>0</v>
      </c>
      <c r="BR229" s="1620">
        <v>1.4146557565423694</v>
      </c>
      <c r="BS229" s="1620">
        <v>1.3568620992988798</v>
      </c>
      <c r="BT229" s="1603"/>
      <c r="BU229" s="1620">
        <v>995.38461538461547</v>
      </c>
      <c r="BV229" s="1620">
        <v>985.58676642506384</v>
      </c>
      <c r="BW229" s="1620">
        <v>4.2659340659340277</v>
      </c>
      <c r="BX229" s="1620">
        <v>0</v>
      </c>
      <c r="BY229" s="1620">
        <v>995.38461538461547</v>
      </c>
      <c r="BZ229" s="1620">
        <v>0</v>
      </c>
      <c r="CA229" s="1620">
        <v>0</v>
      </c>
      <c r="CB229" s="1603"/>
      <c r="CC229" s="1603">
        <v>0.10123076923076899</v>
      </c>
      <c r="CD229" s="1603">
        <v>0.10123076923076899</v>
      </c>
      <c r="CE229" s="1603">
        <v>0.10123076923076899</v>
      </c>
      <c r="CF229" s="1603">
        <v>2.02461538461539E-2</v>
      </c>
      <c r="CG229" s="1603">
        <v>2.02461538461539E-2</v>
      </c>
      <c r="CH229" s="1603">
        <v>1.0123076923076898E-2</v>
      </c>
      <c r="CI229" s="1603">
        <v>0</v>
      </c>
      <c r="CJ229" s="1603"/>
      <c r="CK229" s="1603">
        <v>0</v>
      </c>
      <c r="CL229" s="1603">
        <v>0</v>
      </c>
      <c r="CM229" s="1603">
        <v>0</v>
      </c>
      <c r="CN229" s="1603">
        <v>0</v>
      </c>
      <c r="CO229" s="1603">
        <v>0</v>
      </c>
      <c r="CP229" s="1603">
        <v>0</v>
      </c>
      <c r="CQ229" s="1603">
        <v>2</v>
      </c>
      <c r="CR229" s="1603">
        <v>2.1485889155398321</v>
      </c>
      <c r="CS229" s="1603">
        <v>0</v>
      </c>
      <c r="CT229" s="1603">
        <v>0</v>
      </c>
      <c r="CU229" s="1603">
        <v>0</v>
      </c>
      <c r="CV229" s="1603">
        <v>0</v>
      </c>
      <c r="CW229" s="1603">
        <v>0</v>
      </c>
      <c r="CX229" s="1603">
        <v>0</v>
      </c>
      <c r="CY229" s="1603">
        <v>0</v>
      </c>
      <c r="CZ229" s="1603">
        <v>0</v>
      </c>
      <c r="DA229" s="1603">
        <v>0</v>
      </c>
      <c r="DB229" s="1603">
        <v>0</v>
      </c>
      <c r="DC229" s="1603">
        <v>0</v>
      </c>
      <c r="DD229" s="1603">
        <v>0</v>
      </c>
      <c r="DE229" s="1603">
        <v>0</v>
      </c>
      <c r="DF229" s="1603">
        <v>0</v>
      </c>
      <c r="DG229" s="1603">
        <v>0</v>
      </c>
      <c r="DH229" s="1603">
        <v>0</v>
      </c>
      <c r="DI229" s="1603">
        <v>0</v>
      </c>
      <c r="DJ229" s="1603">
        <v>0</v>
      </c>
      <c r="DK229" s="1603">
        <v>0</v>
      </c>
      <c r="DL229" s="1603">
        <v>0</v>
      </c>
      <c r="DM229" s="1603">
        <v>0</v>
      </c>
      <c r="DN229" s="1603">
        <v>0</v>
      </c>
      <c r="DO229" s="1603">
        <v>0</v>
      </c>
      <c r="DP229" s="1603">
        <v>0</v>
      </c>
      <c r="DQ229" s="1603">
        <v>0</v>
      </c>
      <c r="DR229" s="1603">
        <v>0</v>
      </c>
      <c r="DS229" s="1603">
        <v>0</v>
      </c>
      <c r="DT229" s="1603">
        <v>0</v>
      </c>
      <c r="DU229" s="1603">
        <v>0</v>
      </c>
      <c r="DV229" s="1603">
        <v>0</v>
      </c>
      <c r="DW229" s="1618" t="s">
        <v>986</v>
      </c>
      <c r="DX229" s="1605">
        <v>4</v>
      </c>
      <c r="DY229" s="1605">
        <v>4</v>
      </c>
      <c r="DZ229" s="1605">
        <v>4</v>
      </c>
      <c r="EA229" s="1605">
        <v>4</v>
      </c>
      <c r="EB229" s="1605" t="s">
        <v>986</v>
      </c>
      <c r="EC229" s="1605">
        <v>4</v>
      </c>
      <c r="ED229" s="1605">
        <v>4</v>
      </c>
      <c r="EE229" s="1605">
        <v>4</v>
      </c>
      <c r="EF229" s="1605">
        <v>4</v>
      </c>
      <c r="EG229" s="1605">
        <v>4</v>
      </c>
      <c r="EH229" s="1605" t="s">
        <v>986</v>
      </c>
      <c r="EI229" s="1605" t="s">
        <v>986</v>
      </c>
      <c r="EJ229" s="1605" t="s">
        <v>986</v>
      </c>
      <c r="EK229" s="1605" t="s">
        <v>986</v>
      </c>
      <c r="EL229" s="1605" t="s">
        <v>986</v>
      </c>
      <c r="EM229" s="1605" t="s">
        <v>986</v>
      </c>
      <c r="EN229" s="1605" t="s">
        <v>986</v>
      </c>
      <c r="EO229" s="1605" t="s">
        <v>986</v>
      </c>
      <c r="EP229" s="1605" t="s">
        <v>986</v>
      </c>
      <c r="EQ229" s="1605" t="s">
        <v>986</v>
      </c>
      <c r="ER229" s="1605" t="s">
        <v>986</v>
      </c>
      <c r="ES229" s="1605">
        <v>2</v>
      </c>
      <c r="ET229" s="1605">
        <v>2</v>
      </c>
      <c r="EU229" s="1605">
        <v>2</v>
      </c>
      <c r="EV229" s="1605" t="s">
        <v>986</v>
      </c>
      <c r="EW229" s="1605">
        <v>2</v>
      </c>
      <c r="EX229" s="1605">
        <v>2</v>
      </c>
      <c r="EY229" s="1605" t="s">
        <v>986</v>
      </c>
      <c r="EZ229" s="1605">
        <v>2</v>
      </c>
      <c r="FA229" s="1605">
        <v>2</v>
      </c>
      <c r="FB229" s="1605">
        <v>2</v>
      </c>
      <c r="FC229" s="1605">
        <v>2</v>
      </c>
      <c r="FD229" s="1605" t="s">
        <v>986</v>
      </c>
      <c r="FE229" s="1605" t="s">
        <v>986</v>
      </c>
      <c r="FF229" s="1605">
        <v>0.2</v>
      </c>
      <c r="FG229" s="1605">
        <v>0.2</v>
      </c>
      <c r="FH229" s="1605" t="s">
        <v>986</v>
      </c>
      <c r="FI229" s="1605" t="s">
        <v>986</v>
      </c>
      <c r="FJ229" s="1605" t="s">
        <v>986</v>
      </c>
      <c r="FK229" s="1605">
        <v>0.1</v>
      </c>
      <c r="FL229" s="1605">
        <v>0.3</v>
      </c>
      <c r="FM229" s="1605" t="s">
        <v>986</v>
      </c>
      <c r="FN229" s="1605">
        <v>0.4</v>
      </c>
      <c r="FO229" s="1605">
        <v>0.2</v>
      </c>
      <c r="FP229" s="1605" t="s">
        <v>986</v>
      </c>
      <c r="FQ229" s="1605" t="s">
        <v>986</v>
      </c>
      <c r="FR229" s="1605" t="s">
        <v>986</v>
      </c>
      <c r="FS229" s="1605" t="s">
        <v>986</v>
      </c>
      <c r="FT229" s="1605" t="s">
        <v>986</v>
      </c>
      <c r="FU229" s="1605" t="s">
        <v>986</v>
      </c>
      <c r="FV229" s="1605" t="s">
        <v>986</v>
      </c>
      <c r="FW229" s="1605" t="s">
        <v>986</v>
      </c>
      <c r="FX229" s="1605" t="s">
        <v>986</v>
      </c>
      <c r="FY229" s="1605" t="s">
        <v>986</v>
      </c>
      <c r="FZ229" s="1605" t="s">
        <v>986</v>
      </c>
      <c r="GA229" s="1605" t="s">
        <v>986</v>
      </c>
      <c r="GB229" s="1605" t="s">
        <v>986</v>
      </c>
      <c r="GC229" s="1605" t="s">
        <v>986</v>
      </c>
      <c r="GD229" s="1605" t="s">
        <v>986</v>
      </c>
      <c r="GE229" s="1605" t="s">
        <v>986</v>
      </c>
      <c r="GF229" s="1605" t="s">
        <v>986</v>
      </c>
      <c r="GG229" s="1605" t="s">
        <v>986</v>
      </c>
      <c r="GH229" s="1605" t="s">
        <v>986</v>
      </c>
      <c r="GI229" s="1605" t="s">
        <v>986</v>
      </c>
      <c r="GJ229" s="1605" t="s">
        <v>986</v>
      </c>
      <c r="GK229" s="1605" t="s">
        <v>986</v>
      </c>
      <c r="GL229" s="1605" t="s">
        <v>986</v>
      </c>
      <c r="GM229" s="1605" t="s">
        <v>986</v>
      </c>
      <c r="GN229" s="1605" t="s">
        <v>1579</v>
      </c>
      <c r="GO229" s="1605" t="s">
        <v>1579</v>
      </c>
      <c r="GP229" s="1605" t="s">
        <v>1579</v>
      </c>
      <c r="GQ229" s="1605" t="s">
        <v>1579</v>
      </c>
      <c r="GR229" s="1605" t="s">
        <v>986</v>
      </c>
      <c r="GS229" s="1605" t="s">
        <v>1579</v>
      </c>
      <c r="GT229" s="1605" t="s">
        <v>1579</v>
      </c>
      <c r="GU229" s="1605" t="s">
        <v>1579</v>
      </c>
      <c r="GV229" s="1605" t="s">
        <v>1579</v>
      </c>
      <c r="GW229" s="1605" t="s">
        <v>1579</v>
      </c>
      <c r="GX229" s="1605" t="s">
        <v>986</v>
      </c>
      <c r="GY229" s="1605" t="s">
        <v>986</v>
      </c>
      <c r="GZ229" s="1605" t="s">
        <v>986</v>
      </c>
      <c r="HA229" s="1605" t="s">
        <v>986</v>
      </c>
      <c r="HB229" s="1605" t="s">
        <v>986</v>
      </c>
      <c r="HC229" s="1605" t="s">
        <v>986</v>
      </c>
      <c r="HD229" s="1605" t="s">
        <v>986</v>
      </c>
      <c r="HE229" s="1605" t="s">
        <v>986</v>
      </c>
      <c r="HF229" s="1605" t="s">
        <v>986</v>
      </c>
      <c r="HG229" s="1605" t="s">
        <v>986</v>
      </c>
      <c r="HH229" s="1605" t="s">
        <v>986</v>
      </c>
      <c r="HI229" s="1605" t="s">
        <v>1579</v>
      </c>
      <c r="HJ229" s="1605" t="s">
        <v>1579</v>
      </c>
      <c r="HK229" s="1605" t="s">
        <v>986</v>
      </c>
      <c r="HL229" s="1605" t="s">
        <v>986</v>
      </c>
      <c r="HM229" s="1605" t="s">
        <v>1579</v>
      </c>
      <c r="HN229" s="1605" t="s">
        <v>1579</v>
      </c>
      <c r="HO229" s="1605" t="s">
        <v>986</v>
      </c>
      <c r="HP229" s="1605" t="s">
        <v>1579</v>
      </c>
      <c r="HQ229" s="1605" t="s">
        <v>1579</v>
      </c>
      <c r="HR229" s="1605" t="s">
        <v>1579</v>
      </c>
      <c r="HS229" s="1605" t="s">
        <v>1579</v>
      </c>
      <c r="HT229" s="1605" t="s">
        <v>986</v>
      </c>
      <c r="HU229" s="1605" t="s">
        <v>986</v>
      </c>
      <c r="HV229" s="1617"/>
      <c r="HW229" s="1617" t="s">
        <v>3193</v>
      </c>
      <c r="HX229" s="1617" t="s">
        <v>3192</v>
      </c>
      <c r="HY229" s="1617" t="s">
        <v>3191</v>
      </c>
      <c r="HZ229" s="1603"/>
      <c r="IA229" s="1603"/>
      <c r="IB229" s="1603"/>
      <c r="IC229" s="1603">
        <v>50</v>
      </c>
      <c r="ID229" s="1603">
        <v>50</v>
      </c>
      <c r="IE229" s="1603">
        <v>50</v>
      </c>
      <c r="IF229" s="1603">
        <v>50</v>
      </c>
      <c r="IG229" s="1611" t="s">
        <v>3080</v>
      </c>
      <c r="IH229" s="1616" t="s">
        <v>270</v>
      </c>
      <c r="II229" s="1615" t="s">
        <v>270</v>
      </c>
      <c r="IJ229" s="1613">
        <v>0.56842999999999999</v>
      </c>
      <c r="IK229" s="1613">
        <v>0.44994999999999996</v>
      </c>
      <c r="IL229" s="1614">
        <v>0.56842999999999999</v>
      </c>
      <c r="IM229" s="1614">
        <v>0.44994999999999996</v>
      </c>
      <c r="IN229" s="1612" t="s">
        <v>270</v>
      </c>
      <c r="IO229" s="1613" t="s">
        <v>270</v>
      </c>
      <c r="IP229" s="1607" t="s">
        <v>270</v>
      </c>
      <c r="IQ229" s="1612" t="s">
        <v>270</v>
      </c>
      <c r="IR229" s="1612" t="s">
        <v>270</v>
      </c>
      <c r="IS229" s="1607">
        <v>0.28243000000000001</v>
      </c>
      <c r="IT229" s="1607">
        <v>0.16394999999999998</v>
      </c>
      <c r="IU229" s="1611">
        <v>0</v>
      </c>
      <c r="IV229" s="1611">
        <v>1.4199999999999998E-3</v>
      </c>
      <c r="IW229" s="1611">
        <v>8.0000000000000007E-5</v>
      </c>
      <c r="IX229" s="1611">
        <v>1.8999999999999998E-4</v>
      </c>
      <c r="IY229" s="1611">
        <v>8.0000000000000007E-5</v>
      </c>
      <c r="IZ229" s="1611">
        <v>1.06E-3</v>
      </c>
      <c r="JA229" s="1611">
        <v>2.9999999999999997E-5</v>
      </c>
      <c r="JB229" s="1611" t="s">
        <v>270</v>
      </c>
      <c r="JC229" s="1611">
        <v>0.15511000000000003</v>
      </c>
      <c r="JD229" s="1611">
        <v>6.3699999999999998E-3</v>
      </c>
      <c r="JE229" s="1611" t="s">
        <v>270</v>
      </c>
      <c r="JF229" s="1611">
        <v>1.1999999999999999E-4</v>
      </c>
      <c r="JG229" s="1611">
        <v>-0.12999000000000002</v>
      </c>
      <c r="JH229" s="1611">
        <v>1.4000000000000001E-4</v>
      </c>
      <c r="JI229" s="1611">
        <v>3.279E-2</v>
      </c>
      <c r="JJ229" s="1611" t="s">
        <v>270</v>
      </c>
      <c r="JK229" s="1607">
        <f t="shared" si="12"/>
        <v>0.28599999999999998</v>
      </c>
      <c r="JL229" s="1608" t="s">
        <v>270</v>
      </c>
      <c r="JM229" s="1610" t="s">
        <v>2924</v>
      </c>
      <c r="JN229" s="1608">
        <v>0.11848000000000003</v>
      </c>
      <c r="JO229" s="1609" t="s">
        <v>3190</v>
      </c>
      <c r="JP229" s="1608" t="s">
        <v>270</v>
      </c>
      <c r="JQ229" s="1607">
        <v>202103</v>
      </c>
      <c r="JR229" s="1606">
        <v>744</v>
      </c>
      <c r="JS229" s="1606">
        <v>668</v>
      </c>
      <c r="JT229" s="1606">
        <v>668</v>
      </c>
    </row>
    <row r="230" spans="1:280" ht="15" customHeight="1" x14ac:dyDescent="0.2">
      <c r="A230" s="1626">
        <v>75500</v>
      </c>
      <c r="B230" s="1625">
        <v>755</v>
      </c>
      <c r="C230" s="1624">
        <v>0</v>
      </c>
      <c r="D230" s="1623" t="s">
        <v>3189</v>
      </c>
      <c r="E230" s="1622">
        <v>43031</v>
      </c>
      <c r="F230" s="1620">
        <v>0.11841517460317399</v>
      </c>
      <c r="G230" s="1620">
        <v>0.113962717387755</v>
      </c>
      <c r="H230" s="1621">
        <v>99</v>
      </c>
      <c r="I230" s="1621">
        <v>98</v>
      </c>
      <c r="J230" s="1621">
        <v>98</v>
      </c>
      <c r="K230" s="1620">
        <v>1</v>
      </c>
      <c r="L230" s="1620">
        <v>8.8000000000000007</v>
      </c>
      <c r="M230" s="1620">
        <v>3.52</v>
      </c>
      <c r="N230" s="1620">
        <v>8.7999999999999995E-2</v>
      </c>
      <c r="O230" s="1620">
        <v>0.73919999999999997</v>
      </c>
      <c r="P230" s="1620">
        <v>0</v>
      </c>
      <c r="Q230" s="1603"/>
      <c r="R230" s="1620">
        <v>94</v>
      </c>
      <c r="S230" s="1620">
        <v>58</v>
      </c>
      <c r="T230" s="1620">
        <v>58</v>
      </c>
      <c r="U230" s="1620">
        <v>58</v>
      </c>
      <c r="V230" s="1620">
        <v>58</v>
      </c>
      <c r="W230" s="1620">
        <v>58</v>
      </c>
      <c r="X230" s="1620"/>
      <c r="Y230" s="1620">
        <v>13.9</v>
      </c>
      <c r="Z230" s="1620">
        <v>10.5</v>
      </c>
      <c r="AA230" s="1620">
        <v>6.6999999999999993</v>
      </c>
      <c r="AB230" s="1620">
        <v>0</v>
      </c>
      <c r="AC230" s="1620">
        <v>15.999999999999996</v>
      </c>
      <c r="AD230" s="1620">
        <v>1.2</v>
      </c>
      <c r="AE230" s="1620">
        <v>0</v>
      </c>
      <c r="AF230" s="1620">
        <v>23</v>
      </c>
      <c r="AG230" s="1620">
        <v>5</v>
      </c>
      <c r="AH230" s="1620">
        <v>3.9999999999999991</v>
      </c>
      <c r="AI230" s="1620">
        <v>47.999999999999893</v>
      </c>
      <c r="AJ230" s="1620">
        <v>0</v>
      </c>
      <c r="AK230" s="1620">
        <v>0.13</v>
      </c>
      <c r="AL230" s="1620"/>
      <c r="AM230" s="1620">
        <v>7.87</v>
      </c>
      <c r="AN230" s="1620">
        <v>2.4700000000000002</v>
      </c>
      <c r="AO230" s="1620">
        <v>0.86</v>
      </c>
      <c r="AP230" s="1620">
        <v>4.45</v>
      </c>
      <c r="AQ230" s="1620">
        <v>1.3</v>
      </c>
      <c r="AR230" s="1620">
        <v>5.71</v>
      </c>
      <c r="AS230" s="1620">
        <v>10</v>
      </c>
      <c r="AT230" s="1620">
        <v>2.87</v>
      </c>
      <c r="AU230" s="1620">
        <v>4.83</v>
      </c>
      <c r="AV230" s="1620">
        <v>4.91</v>
      </c>
      <c r="AW230" s="1620">
        <v>6.72</v>
      </c>
      <c r="AX230" s="1620"/>
      <c r="AY230" s="1620">
        <v>1.03</v>
      </c>
      <c r="AZ230" s="1620">
        <v>1.03</v>
      </c>
      <c r="BA230" s="1620">
        <v>1.04</v>
      </c>
      <c r="BB230" s="1620">
        <v>1.03</v>
      </c>
      <c r="BC230" s="1620">
        <v>1</v>
      </c>
      <c r="BD230" s="1620">
        <v>1.01</v>
      </c>
      <c r="BE230" s="1620">
        <v>1.03</v>
      </c>
      <c r="BF230" s="1620">
        <v>1.02</v>
      </c>
      <c r="BG230" s="1620">
        <v>1.04</v>
      </c>
      <c r="BH230" s="1620">
        <v>0.93</v>
      </c>
      <c r="BI230" s="1620">
        <v>0.98</v>
      </c>
      <c r="BJ230" s="1603"/>
      <c r="BK230" s="1620">
        <v>40</v>
      </c>
      <c r="BL230" s="1620">
        <v>0.99999999999999978</v>
      </c>
      <c r="BM230" s="1620">
        <v>8.4</v>
      </c>
      <c r="BN230" s="1620">
        <v>0</v>
      </c>
      <c r="BO230" s="1620"/>
      <c r="BP230" s="1620">
        <v>0</v>
      </c>
      <c r="BQ230" s="1620">
        <v>0</v>
      </c>
      <c r="BR230" s="1620">
        <v>1.3456269841269772</v>
      </c>
      <c r="BS230" s="1620">
        <v>1.2950308794063068</v>
      </c>
      <c r="BT230" s="1603"/>
      <c r="BU230" s="1620">
        <v>916</v>
      </c>
      <c r="BV230" s="1620">
        <v>520.05428571428638</v>
      </c>
      <c r="BW230" s="1620">
        <v>13.085714285714317</v>
      </c>
      <c r="BX230" s="1620">
        <v>0</v>
      </c>
      <c r="BY230" s="1620">
        <v>503.99999999999994</v>
      </c>
      <c r="BZ230" s="1620">
        <v>0</v>
      </c>
      <c r="CA230" s="1620">
        <v>0</v>
      </c>
      <c r="CB230" s="1603"/>
      <c r="CC230" s="1603">
        <v>1.2232000000000001</v>
      </c>
      <c r="CD230" s="1603">
        <v>0.92400000000000004</v>
      </c>
      <c r="CE230" s="1603">
        <v>0.58960000000000001</v>
      </c>
      <c r="CF230" s="1603">
        <v>0</v>
      </c>
      <c r="CG230" s="1603">
        <v>1.4079999999999999</v>
      </c>
      <c r="CH230" s="1603">
        <v>0.10560000000000001</v>
      </c>
      <c r="CI230" s="1603">
        <v>0</v>
      </c>
      <c r="CJ230" s="1603"/>
      <c r="CK230" s="1603">
        <v>2.024</v>
      </c>
      <c r="CL230" s="1603">
        <v>0.44000000000000006</v>
      </c>
      <c r="CM230" s="1603">
        <v>0.35199999999999998</v>
      </c>
      <c r="CN230" s="1603">
        <v>4.2239999999999913</v>
      </c>
      <c r="CO230" s="1603">
        <v>0</v>
      </c>
      <c r="CP230" s="1603">
        <v>1.1440000000000002E-2</v>
      </c>
      <c r="CQ230" s="1603">
        <v>33.088000000000001</v>
      </c>
      <c r="CR230" s="1603">
        <v>279.42364744115417</v>
      </c>
      <c r="CS230" s="1603">
        <v>22.650360285227396</v>
      </c>
      <c r="CT230" s="1603">
        <v>7.1088170145504019</v>
      </c>
      <c r="CU230" s="1603">
        <v>2.499165102713683</v>
      </c>
      <c r="CV230" s="1603">
        <v>9.6079821172640862</v>
      </c>
      <c r="CW230" s="1603">
        <v>12.807382880465299</v>
      </c>
      <c r="CX230" s="1603">
        <v>3.6325074167350042</v>
      </c>
      <c r="CY230" s="1603">
        <v>16.1146411715788</v>
      </c>
      <c r="CZ230" s="1603">
        <v>28.780635686438877</v>
      </c>
      <c r="DA230" s="1603">
        <v>8.1798478551923459</v>
      </c>
      <c r="DB230" s="1603">
        <v>14.036008658264054</v>
      </c>
      <c r="DC230" s="1603">
        <v>12.759322013105422</v>
      </c>
      <c r="DD230" s="1603">
        <v>26.795330671369477</v>
      </c>
      <c r="DE230" s="1603">
        <v>18.401723725884647</v>
      </c>
      <c r="DF230" s="1603">
        <v>0</v>
      </c>
      <c r="DG230" s="1603">
        <v>0</v>
      </c>
      <c r="DH230" s="1603">
        <v>0</v>
      </c>
      <c r="DI230" s="1603">
        <v>0</v>
      </c>
      <c r="DJ230" s="1603">
        <v>0</v>
      </c>
      <c r="DK230" s="1603">
        <v>0</v>
      </c>
      <c r="DL230" s="1603">
        <v>0</v>
      </c>
      <c r="DM230" s="1603">
        <v>0</v>
      </c>
      <c r="DN230" s="1603">
        <v>0</v>
      </c>
      <c r="DO230" s="1603">
        <v>0</v>
      </c>
      <c r="DP230" s="1603">
        <v>0</v>
      </c>
      <c r="DQ230" s="1603">
        <v>0</v>
      </c>
      <c r="DR230" s="1603">
        <v>0</v>
      </c>
      <c r="DS230" s="1603">
        <v>0</v>
      </c>
      <c r="DT230" s="1603">
        <v>0</v>
      </c>
      <c r="DU230" s="1603">
        <v>0</v>
      </c>
      <c r="DV230" s="1603">
        <v>0</v>
      </c>
      <c r="DW230" s="1618" t="s">
        <v>3183</v>
      </c>
      <c r="DX230" s="1605" t="s">
        <v>986</v>
      </c>
      <c r="DY230" s="1605" t="s">
        <v>986</v>
      </c>
      <c r="DZ230" s="1605" t="s">
        <v>986</v>
      </c>
      <c r="EA230" s="1605" t="s">
        <v>986</v>
      </c>
      <c r="EB230" s="1605" t="s">
        <v>986</v>
      </c>
      <c r="EC230" s="1605" t="s">
        <v>986</v>
      </c>
      <c r="ED230" s="1605" t="s">
        <v>986</v>
      </c>
      <c r="EE230" s="1605" t="s">
        <v>986</v>
      </c>
      <c r="EF230" s="1605" t="s">
        <v>986</v>
      </c>
      <c r="EG230" s="1605" t="s">
        <v>986</v>
      </c>
      <c r="EH230" s="1605" t="s">
        <v>986</v>
      </c>
      <c r="EI230" s="1605" t="s">
        <v>986</v>
      </c>
      <c r="EJ230" s="1605" t="s">
        <v>986</v>
      </c>
      <c r="EK230" s="1605" t="s">
        <v>986</v>
      </c>
      <c r="EL230" s="1605" t="s">
        <v>986</v>
      </c>
      <c r="EM230" s="1605" t="s">
        <v>986</v>
      </c>
      <c r="EN230" s="1605" t="s">
        <v>986</v>
      </c>
      <c r="EO230" s="1605" t="s">
        <v>986</v>
      </c>
      <c r="EP230" s="1605" t="s">
        <v>986</v>
      </c>
      <c r="EQ230" s="1605" t="s">
        <v>986</v>
      </c>
      <c r="ER230" s="1605" t="s">
        <v>986</v>
      </c>
      <c r="ES230" s="1605" t="s">
        <v>986</v>
      </c>
      <c r="ET230" s="1605" t="s">
        <v>986</v>
      </c>
      <c r="EU230" s="1605" t="s">
        <v>986</v>
      </c>
      <c r="EV230" s="1605" t="s">
        <v>986</v>
      </c>
      <c r="EW230" s="1605" t="s">
        <v>986</v>
      </c>
      <c r="EX230" s="1605" t="s">
        <v>986</v>
      </c>
      <c r="EY230" s="1605" t="s">
        <v>986</v>
      </c>
      <c r="EZ230" s="1605" t="s">
        <v>986</v>
      </c>
      <c r="FA230" s="1605" t="s">
        <v>986</v>
      </c>
      <c r="FB230" s="1605" t="s">
        <v>986</v>
      </c>
      <c r="FC230" s="1605" t="s">
        <v>986</v>
      </c>
      <c r="FD230" s="1605" t="s">
        <v>986</v>
      </c>
      <c r="FE230" s="1605" t="s">
        <v>986</v>
      </c>
      <c r="FF230" s="1605" t="s">
        <v>986</v>
      </c>
      <c r="FG230" s="1605" t="s">
        <v>986</v>
      </c>
      <c r="FH230" s="1605" t="s">
        <v>986</v>
      </c>
      <c r="FI230" s="1605" t="s">
        <v>986</v>
      </c>
      <c r="FJ230" s="1605" t="s">
        <v>986</v>
      </c>
      <c r="FK230" s="1605" t="s">
        <v>986</v>
      </c>
      <c r="FL230" s="1605" t="s">
        <v>986</v>
      </c>
      <c r="FM230" s="1605" t="s">
        <v>986</v>
      </c>
      <c r="FN230" s="1605" t="s">
        <v>986</v>
      </c>
      <c r="FO230" s="1605" t="s">
        <v>986</v>
      </c>
      <c r="FP230" s="1605" t="s">
        <v>986</v>
      </c>
      <c r="FQ230" s="1605" t="s">
        <v>986</v>
      </c>
      <c r="FR230" s="1605" t="s">
        <v>986</v>
      </c>
      <c r="FS230" s="1605" t="s">
        <v>986</v>
      </c>
      <c r="FT230" s="1605" t="s">
        <v>986</v>
      </c>
      <c r="FU230" s="1605" t="s">
        <v>986</v>
      </c>
      <c r="FV230" s="1605" t="s">
        <v>986</v>
      </c>
      <c r="FW230" s="1605" t="s">
        <v>986</v>
      </c>
      <c r="FX230" s="1605" t="s">
        <v>986</v>
      </c>
      <c r="FY230" s="1605" t="s">
        <v>986</v>
      </c>
      <c r="FZ230" s="1605" t="s">
        <v>986</v>
      </c>
      <c r="GA230" s="1605" t="s">
        <v>986</v>
      </c>
      <c r="GB230" s="1605" t="s">
        <v>986</v>
      </c>
      <c r="GC230" s="1605" t="s">
        <v>986</v>
      </c>
      <c r="GD230" s="1605" t="s">
        <v>986</v>
      </c>
      <c r="GE230" s="1605" t="s">
        <v>986</v>
      </c>
      <c r="GF230" s="1605" t="s">
        <v>986</v>
      </c>
      <c r="GG230" s="1605" t="s">
        <v>986</v>
      </c>
      <c r="GH230" s="1605" t="s">
        <v>986</v>
      </c>
      <c r="GI230" s="1605" t="s">
        <v>986</v>
      </c>
      <c r="GJ230" s="1605" t="s">
        <v>986</v>
      </c>
      <c r="GK230" s="1605" t="s">
        <v>986</v>
      </c>
      <c r="GL230" s="1605" t="s">
        <v>986</v>
      </c>
      <c r="GM230" s="1605" t="s">
        <v>986</v>
      </c>
      <c r="GN230" s="1605" t="s">
        <v>986</v>
      </c>
      <c r="GO230" s="1605" t="s">
        <v>986</v>
      </c>
      <c r="GP230" s="1605" t="s">
        <v>986</v>
      </c>
      <c r="GQ230" s="1605" t="s">
        <v>986</v>
      </c>
      <c r="GR230" s="1605" t="s">
        <v>986</v>
      </c>
      <c r="GS230" s="1605" t="s">
        <v>986</v>
      </c>
      <c r="GT230" s="1605" t="s">
        <v>986</v>
      </c>
      <c r="GU230" s="1605" t="s">
        <v>986</v>
      </c>
      <c r="GV230" s="1605" t="s">
        <v>986</v>
      </c>
      <c r="GW230" s="1605" t="s">
        <v>986</v>
      </c>
      <c r="GX230" s="1605" t="s">
        <v>986</v>
      </c>
      <c r="GY230" s="1605" t="s">
        <v>986</v>
      </c>
      <c r="GZ230" s="1605" t="s">
        <v>986</v>
      </c>
      <c r="HA230" s="1605" t="s">
        <v>986</v>
      </c>
      <c r="HB230" s="1605" t="s">
        <v>986</v>
      </c>
      <c r="HC230" s="1605" t="s">
        <v>986</v>
      </c>
      <c r="HD230" s="1605" t="s">
        <v>986</v>
      </c>
      <c r="HE230" s="1605" t="s">
        <v>986</v>
      </c>
      <c r="HF230" s="1605" t="s">
        <v>986</v>
      </c>
      <c r="HG230" s="1605" t="s">
        <v>986</v>
      </c>
      <c r="HH230" s="1605" t="s">
        <v>986</v>
      </c>
      <c r="HI230" s="1605" t="s">
        <v>986</v>
      </c>
      <c r="HJ230" s="1605" t="s">
        <v>986</v>
      </c>
      <c r="HK230" s="1605" t="s">
        <v>986</v>
      </c>
      <c r="HL230" s="1605" t="s">
        <v>986</v>
      </c>
      <c r="HM230" s="1605" t="s">
        <v>986</v>
      </c>
      <c r="HN230" s="1605" t="s">
        <v>986</v>
      </c>
      <c r="HO230" s="1605" t="s">
        <v>986</v>
      </c>
      <c r="HP230" s="1605" t="s">
        <v>986</v>
      </c>
      <c r="HQ230" s="1605" t="s">
        <v>986</v>
      </c>
      <c r="HR230" s="1605" t="s">
        <v>986</v>
      </c>
      <c r="HS230" s="1605" t="s">
        <v>986</v>
      </c>
      <c r="HT230" s="1605" t="s">
        <v>986</v>
      </c>
      <c r="HU230" s="1605" t="s">
        <v>986</v>
      </c>
      <c r="HV230" s="1617"/>
      <c r="HW230" s="1617" t="s">
        <v>3188</v>
      </c>
      <c r="HX230" s="1617">
        <v>0</v>
      </c>
      <c r="HY230" s="1617">
        <v>0</v>
      </c>
      <c r="HZ230" s="1603"/>
      <c r="IA230" s="1603"/>
      <c r="IB230" s="1603"/>
      <c r="IC230" s="1603">
        <v>58</v>
      </c>
      <c r="ID230" s="1603">
        <v>58</v>
      </c>
      <c r="IE230" s="1603">
        <v>58</v>
      </c>
      <c r="IF230" s="1603">
        <v>58</v>
      </c>
      <c r="IG230" s="1611" t="s">
        <v>270</v>
      </c>
      <c r="IH230" s="1616" t="s">
        <v>270</v>
      </c>
      <c r="II230" s="1615" t="s">
        <v>270</v>
      </c>
      <c r="IJ230" s="1613">
        <v>8.1999999999999993</v>
      </c>
      <c r="IK230" s="1613">
        <v>8.1999999999999993</v>
      </c>
      <c r="IL230" s="1614">
        <v>8.1999999999999993</v>
      </c>
      <c r="IM230" s="1614">
        <v>8.1999999999999993</v>
      </c>
      <c r="IN230" s="1612">
        <v>8.1999999999999993</v>
      </c>
      <c r="IO230" s="1613">
        <v>0</v>
      </c>
      <c r="IP230" s="1607" t="s">
        <v>270</v>
      </c>
      <c r="IQ230" s="1612" t="s">
        <v>270</v>
      </c>
      <c r="IR230" s="1612" t="s">
        <v>270</v>
      </c>
      <c r="IS230" s="1607" t="s">
        <v>270</v>
      </c>
      <c r="IT230" s="1607" t="s">
        <v>270</v>
      </c>
      <c r="IU230" s="1611" t="s">
        <v>270</v>
      </c>
      <c r="IV230" s="1611" t="s">
        <v>270</v>
      </c>
      <c r="IW230" s="1611" t="s">
        <v>270</v>
      </c>
      <c r="IX230" s="1611" t="s">
        <v>270</v>
      </c>
      <c r="IY230" s="1611" t="s">
        <v>270</v>
      </c>
      <c r="IZ230" s="1611" t="s">
        <v>270</v>
      </c>
      <c r="JA230" s="1611" t="s">
        <v>270</v>
      </c>
      <c r="JB230" s="1611" t="s">
        <v>270</v>
      </c>
      <c r="JC230" s="1611" t="s">
        <v>270</v>
      </c>
      <c r="JD230" s="1611" t="s">
        <v>270</v>
      </c>
      <c r="JE230" s="1611" t="s">
        <v>270</v>
      </c>
      <c r="JF230" s="1611" t="s">
        <v>270</v>
      </c>
      <c r="JG230" s="1611" t="s">
        <v>270</v>
      </c>
      <c r="JH230" s="1611" t="s">
        <v>270</v>
      </c>
      <c r="JI230" s="1611" t="s">
        <v>270</v>
      </c>
      <c r="JJ230" s="1611" t="s">
        <v>270</v>
      </c>
      <c r="JK230" s="1607" t="str">
        <f t="shared" si="12"/>
        <v/>
      </c>
      <c r="JL230" s="1608" t="s">
        <v>2946</v>
      </c>
      <c r="JM230" s="1610" t="s">
        <v>2945</v>
      </c>
      <c r="JN230" s="1608" t="s">
        <v>270</v>
      </c>
      <c r="JO230" s="1609" t="s">
        <v>270</v>
      </c>
      <c r="JP230" s="1608">
        <v>8.1999999999999993</v>
      </c>
      <c r="JQ230" s="1607" t="s">
        <v>270</v>
      </c>
      <c r="JR230" s="1606" t="s">
        <v>270</v>
      </c>
      <c r="JS230" s="1606" t="s">
        <v>270</v>
      </c>
      <c r="JT230" s="1606" t="s">
        <v>270</v>
      </c>
    </row>
    <row r="231" spans="1:280" ht="15" customHeight="1" x14ac:dyDescent="0.2">
      <c r="A231" s="1626">
        <v>75600</v>
      </c>
      <c r="B231" s="1625">
        <v>756</v>
      </c>
      <c r="C231" s="1624">
        <v>0</v>
      </c>
      <c r="D231" s="1623" t="s">
        <v>3187</v>
      </c>
      <c r="E231" s="1622">
        <v>43031</v>
      </c>
      <c r="F231" s="1620">
        <v>1.2873559860627199</v>
      </c>
      <c r="G231" s="1620">
        <v>1.2389684909833101</v>
      </c>
      <c r="H231" s="1621">
        <v>99</v>
      </c>
      <c r="I231" s="1621">
        <v>98</v>
      </c>
      <c r="J231" s="1621">
        <v>99</v>
      </c>
      <c r="K231" s="1620">
        <v>1</v>
      </c>
      <c r="L231" s="1620">
        <v>96</v>
      </c>
      <c r="M231" s="1620">
        <v>35.423999999999999</v>
      </c>
      <c r="N231" s="1620">
        <v>0.48</v>
      </c>
      <c r="O231" s="1620">
        <v>8.0640000000000001</v>
      </c>
      <c r="P231" s="1620">
        <v>0</v>
      </c>
      <c r="Q231" s="1603"/>
      <c r="R231" s="1620">
        <v>94</v>
      </c>
      <c r="S231" s="1620">
        <v>58</v>
      </c>
      <c r="T231" s="1620">
        <v>58</v>
      </c>
      <c r="U231" s="1620">
        <v>58</v>
      </c>
      <c r="V231" s="1620">
        <v>58</v>
      </c>
      <c r="W231" s="1620">
        <v>58</v>
      </c>
      <c r="X231" s="1620"/>
      <c r="Y231" s="1620">
        <v>13.699999999999998</v>
      </c>
      <c r="Z231" s="1620">
        <v>10.199999999999999</v>
      </c>
      <c r="AA231" s="1620">
        <v>5.6000000000000005</v>
      </c>
      <c r="AB231" s="1620">
        <v>0</v>
      </c>
      <c r="AC231" s="1620">
        <v>14</v>
      </c>
      <c r="AD231" s="1620">
        <v>1.2</v>
      </c>
      <c r="AE231" s="1620">
        <v>3.4</v>
      </c>
      <c r="AF231" s="1620">
        <v>4</v>
      </c>
      <c r="AG231" s="1620">
        <v>3</v>
      </c>
      <c r="AH231" s="1620">
        <v>2</v>
      </c>
      <c r="AI231" s="1620">
        <v>44</v>
      </c>
      <c r="AJ231" s="1620">
        <v>0</v>
      </c>
      <c r="AK231" s="1620">
        <v>0.12999999999999998</v>
      </c>
      <c r="AL231" s="1620"/>
      <c r="AM231" s="1620">
        <v>7.87</v>
      </c>
      <c r="AN231" s="1620">
        <v>2.4700000000000002</v>
      </c>
      <c r="AO231" s="1620">
        <v>0.86</v>
      </c>
      <c r="AP231" s="1620">
        <v>4.45</v>
      </c>
      <c r="AQ231" s="1620">
        <v>1.3</v>
      </c>
      <c r="AR231" s="1620">
        <v>5.71</v>
      </c>
      <c r="AS231" s="1620">
        <v>10</v>
      </c>
      <c r="AT231" s="1620">
        <v>2.87</v>
      </c>
      <c r="AU231" s="1620">
        <v>4.83</v>
      </c>
      <c r="AV231" s="1620">
        <v>4.91</v>
      </c>
      <c r="AW231" s="1620">
        <v>6.72</v>
      </c>
      <c r="AX231" s="1620"/>
      <c r="AY231" s="1620">
        <v>1.03</v>
      </c>
      <c r="AZ231" s="1620">
        <v>1.03</v>
      </c>
      <c r="BA231" s="1620">
        <v>1.04</v>
      </c>
      <c r="BB231" s="1620">
        <v>1.03</v>
      </c>
      <c r="BC231" s="1620">
        <v>1</v>
      </c>
      <c r="BD231" s="1620">
        <v>1.01</v>
      </c>
      <c r="BE231" s="1620">
        <v>1.03</v>
      </c>
      <c r="BF231" s="1620">
        <v>1.02</v>
      </c>
      <c r="BG231" s="1620">
        <v>1.04</v>
      </c>
      <c r="BH231" s="1620">
        <v>0.93</v>
      </c>
      <c r="BI231" s="1620">
        <v>0.98</v>
      </c>
      <c r="BJ231" s="1603"/>
      <c r="BK231" s="1620">
        <v>36.9</v>
      </c>
      <c r="BL231" s="1620">
        <v>0.5</v>
      </c>
      <c r="BM231" s="1620">
        <v>8.4</v>
      </c>
      <c r="BN231" s="1620">
        <v>0</v>
      </c>
      <c r="BO231" s="1620"/>
      <c r="BP231" s="1620">
        <v>34</v>
      </c>
      <c r="BQ231" s="1620">
        <v>1.7</v>
      </c>
      <c r="BR231" s="1620">
        <v>1.3409958188153333</v>
      </c>
      <c r="BS231" s="1620">
        <v>1.2905921781076146</v>
      </c>
      <c r="BT231" s="1603"/>
      <c r="BU231" s="1620">
        <v>916</v>
      </c>
      <c r="BV231" s="1620">
        <v>553.11428571428644</v>
      </c>
      <c r="BW231" s="1620">
        <v>13.085714285714269</v>
      </c>
      <c r="BX231" s="1620">
        <v>0</v>
      </c>
      <c r="BY231" s="1620">
        <v>504</v>
      </c>
      <c r="BZ231" s="1620">
        <v>0</v>
      </c>
      <c r="CA231" s="1620">
        <v>0</v>
      </c>
      <c r="CB231" s="1603"/>
      <c r="CC231" s="1603">
        <v>13.151999999999997</v>
      </c>
      <c r="CD231" s="1603">
        <v>9.7919999999999998</v>
      </c>
      <c r="CE231" s="1603">
        <v>5.3760000000000003</v>
      </c>
      <c r="CF231" s="1603">
        <v>0</v>
      </c>
      <c r="CG231" s="1603">
        <v>13.44</v>
      </c>
      <c r="CH231" s="1603">
        <v>1.1519999999999999</v>
      </c>
      <c r="CI231" s="1603">
        <v>3.2639999999999998</v>
      </c>
      <c r="CJ231" s="1603"/>
      <c r="CK231" s="1603">
        <v>3.84</v>
      </c>
      <c r="CL231" s="1603">
        <v>2.88</v>
      </c>
      <c r="CM231" s="1603">
        <v>1.92</v>
      </c>
      <c r="CN231" s="1603">
        <v>42.239999999999995</v>
      </c>
      <c r="CO231" s="1603">
        <v>0</v>
      </c>
      <c r="CP231" s="1603">
        <v>0.12479999999999997</v>
      </c>
      <c r="CQ231" s="1603">
        <v>332.98559999999998</v>
      </c>
      <c r="CR231" s="1603">
        <v>258.65852460779791</v>
      </c>
      <c r="CS231" s="1603">
        <v>20.967118663232707</v>
      </c>
      <c r="CT231" s="1603">
        <v>6.580531524546986</v>
      </c>
      <c r="CU231" s="1603">
        <v>2.3134418440921447</v>
      </c>
      <c r="CV231" s="1603">
        <v>8.8939733686391307</v>
      </c>
      <c r="CW231" s="1603">
        <v>11.855613475398417</v>
      </c>
      <c r="CX231" s="1603">
        <v>3.3625608199013728</v>
      </c>
      <c r="CY231" s="1603">
        <v>14.917095772656316</v>
      </c>
      <c r="CZ231" s="1603">
        <v>26.641828034603183</v>
      </c>
      <c r="DA231" s="1603">
        <v>7.5719696493686754</v>
      </c>
      <c r="DB231" s="1603">
        <v>12.992935008098906</v>
      </c>
      <c r="DC231" s="1603">
        <v>11.811124209165877</v>
      </c>
      <c r="DD231" s="1603">
        <v>24.804059217264783</v>
      </c>
      <c r="DE231" s="1603">
        <v>17.034215796571139</v>
      </c>
      <c r="DF231" s="1603">
        <v>0</v>
      </c>
      <c r="DG231" s="1603">
        <v>0</v>
      </c>
      <c r="DH231" s="1603">
        <v>0</v>
      </c>
      <c r="DI231" s="1603">
        <v>0</v>
      </c>
      <c r="DJ231" s="1603">
        <v>0</v>
      </c>
      <c r="DK231" s="1603">
        <v>0</v>
      </c>
      <c r="DL231" s="1603">
        <v>0</v>
      </c>
      <c r="DM231" s="1603">
        <v>0</v>
      </c>
      <c r="DN231" s="1603">
        <v>0</v>
      </c>
      <c r="DO231" s="1603">
        <v>0</v>
      </c>
      <c r="DP231" s="1603">
        <v>0</v>
      </c>
      <c r="DQ231" s="1603">
        <v>0</v>
      </c>
      <c r="DR231" s="1603">
        <v>0</v>
      </c>
      <c r="DS231" s="1603">
        <v>0</v>
      </c>
      <c r="DT231" s="1603">
        <v>0</v>
      </c>
      <c r="DU231" s="1603">
        <v>0</v>
      </c>
      <c r="DV231" s="1603">
        <v>0</v>
      </c>
      <c r="DW231" s="1618" t="s">
        <v>3183</v>
      </c>
      <c r="DX231" s="1605" t="s">
        <v>986</v>
      </c>
      <c r="DY231" s="1605" t="s">
        <v>986</v>
      </c>
      <c r="DZ231" s="1605">
        <v>1</v>
      </c>
      <c r="EA231" s="1605">
        <v>1</v>
      </c>
      <c r="EB231" s="1605" t="s">
        <v>986</v>
      </c>
      <c r="EC231" s="1605">
        <v>1</v>
      </c>
      <c r="ED231" s="1605">
        <v>1</v>
      </c>
      <c r="EE231" s="1605">
        <v>1</v>
      </c>
      <c r="EF231" s="1605">
        <v>1</v>
      </c>
      <c r="EG231" s="1605">
        <v>1</v>
      </c>
      <c r="EH231" s="1605" t="s">
        <v>986</v>
      </c>
      <c r="EI231" s="1605" t="s">
        <v>986</v>
      </c>
      <c r="EJ231" s="1605" t="s">
        <v>986</v>
      </c>
      <c r="EK231" s="1605" t="s">
        <v>986</v>
      </c>
      <c r="EL231" s="1605" t="s">
        <v>986</v>
      </c>
      <c r="EM231" s="1605" t="s">
        <v>986</v>
      </c>
      <c r="EN231" s="1605" t="s">
        <v>986</v>
      </c>
      <c r="EO231" s="1605" t="s">
        <v>986</v>
      </c>
      <c r="EP231" s="1605" t="s">
        <v>986</v>
      </c>
      <c r="EQ231" s="1605" t="s">
        <v>986</v>
      </c>
      <c r="ER231" s="1605" t="s">
        <v>986</v>
      </c>
      <c r="ES231" s="1605" t="s">
        <v>986</v>
      </c>
      <c r="ET231" s="1605" t="s">
        <v>986</v>
      </c>
      <c r="EU231" s="1605" t="s">
        <v>986</v>
      </c>
      <c r="EV231" s="1605" t="s">
        <v>986</v>
      </c>
      <c r="EW231" s="1605" t="s">
        <v>986</v>
      </c>
      <c r="EX231" s="1605" t="s">
        <v>986</v>
      </c>
      <c r="EY231" s="1605" t="s">
        <v>986</v>
      </c>
      <c r="EZ231" s="1605" t="s">
        <v>986</v>
      </c>
      <c r="FA231" s="1605" t="s">
        <v>986</v>
      </c>
      <c r="FB231" s="1605" t="s">
        <v>986</v>
      </c>
      <c r="FC231" s="1605" t="s">
        <v>986</v>
      </c>
      <c r="FD231" s="1605" t="s">
        <v>986</v>
      </c>
      <c r="FE231" s="1605" t="s">
        <v>986</v>
      </c>
      <c r="FF231" s="1605" t="s">
        <v>986</v>
      </c>
      <c r="FG231" s="1605" t="s">
        <v>986</v>
      </c>
      <c r="FH231" s="1605" t="s">
        <v>986</v>
      </c>
      <c r="FI231" s="1605" t="s">
        <v>986</v>
      </c>
      <c r="FJ231" s="1605" t="s">
        <v>986</v>
      </c>
      <c r="FK231" s="1605" t="s">
        <v>986</v>
      </c>
      <c r="FL231" s="1605" t="s">
        <v>986</v>
      </c>
      <c r="FM231" s="1605" t="s">
        <v>986</v>
      </c>
      <c r="FN231" s="1605" t="s">
        <v>986</v>
      </c>
      <c r="FO231" s="1605" t="s">
        <v>986</v>
      </c>
      <c r="FP231" s="1605" t="s">
        <v>986</v>
      </c>
      <c r="FQ231" s="1605" t="s">
        <v>986</v>
      </c>
      <c r="FR231" s="1605" t="s">
        <v>986</v>
      </c>
      <c r="FS231" s="1605" t="s">
        <v>986</v>
      </c>
      <c r="FT231" s="1605" t="s">
        <v>986</v>
      </c>
      <c r="FU231" s="1605" t="s">
        <v>986</v>
      </c>
      <c r="FV231" s="1605" t="s">
        <v>986</v>
      </c>
      <c r="FW231" s="1605" t="s">
        <v>986</v>
      </c>
      <c r="FX231" s="1605" t="s">
        <v>986</v>
      </c>
      <c r="FY231" s="1605" t="s">
        <v>986</v>
      </c>
      <c r="FZ231" s="1605" t="s">
        <v>986</v>
      </c>
      <c r="GA231" s="1605" t="s">
        <v>986</v>
      </c>
      <c r="GB231" s="1605" t="s">
        <v>986</v>
      </c>
      <c r="GC231" s="1605" t="s">
        <v>986</v>
      </c>
      <c r="GD231" s="1605" t="s">
        <v>986</v>
      </c>
      <c r="GE231" s="1605" t="s">
        <v>986</v>
      </c>
      <c r="GF231" s="1605" t="s">
        <v>986</v>
      </c>
      <c r="GG231" s="1605" t="s">
        <v>986</v>
      </c>
      <c r="GH231" s="1605" t="s">
        <v>986</v>
      </c>
      <c r="GI231" s="1605" t="s">
        <v>986</v>
      </c>
      <c r="GJ231" s="1605" t="s">
        <v>986</v>
      </c>
      <c r="GK231" s="1605" t="s">
        <v>986</v>
      </c>
      <c r="GL231" s="1605" t="s">
        <v>986</v>
      </c>
      <c r="GM231" s="1605" t="s">
        <v>986</v>
      </c>
      <c r="GN231" s="1605" t="s">
        <v>1591</v>
      </c>
      <c r="GO231" s="1605" t="s">
        <v>1591</v>
      </c>
      <c r="GP231" s="1605" t="s">
        <v>1591</v>
      </c>
      <c r="GQ231" s="1605" t="s">
        <v>1591</v>
      </c>
      <c r="GR231" s="1605" t="s">
        <v>986</v>
      </c>
      <c r="GS231" s="1605" t="s">
        <v>1591</v>
      </c>
      <c r="GT231" s="1605" t="s">
        <v>1591</v>
      </c>
      <c r="GU231" s="1605" t="s">
        <v>1591</v>
      </c>
      <c r="GV231" s="1605" t="s">
        <v>1591</v>
      </c>
      <c r="GW231" s="1605" t="s">
        <v>986</v>
      </c>
      <c r="GX231" s="1605" t="s">
        <v>986</v>
      </c>
      <c r="GY231" s="1605" t="s">
        <v>986</v>
      </c>
      <c r="GZ231" s="1605" t="s">
        <v>986</v>
      </c>
      <c r="HA231" s="1605" t="s">
        <v>986</v>
      </c>
      <c r="HB231" s="1605" t="s">
        <v>986</v>
      </c>
      <c r="HC231" s="1605" t="s">
        <v>986</v>
      </c>
      <c r="HD231" s="1605" t="s">
        <v>986</v>
      </c>
      <c r="HE231" s="1605" t="s">
        <v>986</v>
      </c>
      <c r="HF231" s="1605" t="s">
        <v>986</v>
      </c>
      <c r="HG231" s="1605" t="s">
        <v>986</v>
      </c>
      <c r="HH231" s="1605" t="s">
        <v>986</v>
      </c>
      <c r="HI231" s="1605" t="s">
        <v>986</v>
      </c>
      <c r="HJ231" s="1605" t="s">
        <v>986</v>
      </c>
      <c r="HK231" s="1605" t="s">
        <v>986</v>
      </c>
      <c r="HL231" s="1605" t="s">
        <v>986</v>
      </c>
      <c r="HM231" s="1605" t="s">
        <v>986</v>
      </c>
      <c r="HN231" s="1605" t="s">
        <v>986</v>
      </c>
      <c r="HO231" s="1605" t="s">
        <v>986</v>
      </c>
      <c r="HP231" s="1605" t="s">
        <v>986</v>
      </c>
      <c r="HQ231" s="1605" t="s">
        <v>986</v>
      </c>
      <c r="HR231" s="1605" t="s">
        <v>986</v>
      </c>
      <c r="HS231" s="1605" t="s">
        <v>986</v>
      </c>
      <c r="HT231" s="1605" t="s">
        <v>986</v>
      </c>
      <c r="HU231" s="1605" t="s">
        <v>986</v>
      </c>
      <c r="HV231" s="1617"/>
      <c r="HW231" s="1617" t="s">
        <v>3182</v>
      </c>
      <c r="HX231" s="1617" t="s">
        <v>3181</v>
      </c>
      <c r="HY231" s="1617" t="s">
        <v>3180</v>
      </c>
      <c r="HZ231" s="1603"/>
      <c r="IA231" s="1603"/>
      <c r="IB231" s="1603"/>
      <c r="IC231" s="1603">
        <v>58</v>
      </c>
      <c r="ID231" s="1603">
        <v>58</v>
      </c>
      <c r="IE231" s="1603">
        <v>58</v>
      </c>
      <c r="IF231" s="1603">
        <v>58</v>
      </c>
      <c r="IG231" s="1611" t="s">
        <v>270</v>
      </c>
      <c r="IH231" s="1616" t="s">
        <v>3186</v>
      </c>
      <c r="II231" s="1615" t="s">
        <v>3185</v>
      </c>
      <c r="IJ231" s="1613">
        <v>8.1999999999999993</v>
      </c>
      <c r="IK231" s="1613">
        <v>8.1999999999999993</v>
      </c>
      <c r="IL231" s="1614">
        <v>8.1999999999999993</v>
      </c>
      <c r="IM231" s="1614">
        <v>8.1999999999999993</v>
      </c>
      <c r="IN231" s="1612">
        <v>8.1999999999999993</v>
      </c>
      <c r="IO231" s="1613">
        <v>0</v>
      </c>
      <c r="IP231" s="1607" t="s">
        <v>270</v>
      </c>
      <c r="IQ231" s="1612">
        <v>0</v>
      </c>
      <c r="IR231" s="1612">
        <v>0</v>
      </c>
      <c r="IS231" s="1607" t="s">
        <v>270</v>
      </c>
      <c r="IT231" s="1607" t="s">
        <v>270</v>
      </c>
      <c r="IU231" s="1611" t="s">
        <v>270</v>
      </c>
      <c r="IV231" s="1611" t="s">
        <v>270</v>
      </c>
      <c r="IW231" s="1611" t="s">
        <v>270</v>
      </c>
      <c r="IX231" s="1611" t="s">
        <v>270</v>
      </c>
      <c r="IY231" s="1611" t="s">
        <v>270</v>
      </c>
      <c r="IZ231" s="1611" t="s">
        <v>270</v>
      </c>
      <c r="JA231" s="1611" t="s">
        <v>270</v>
      </c>
      <c r="JB231" s="1611" t="s">
        <v>270</v>
      </c>
      <c r="JC231" s="1611" t="s">
        <v>270</v>
      </c>
      <c r="JD231" s="1611" t="s">
        <v>270</v>
      </c>
      <c r="JE231" s="1611" t="s">
        <v>270</v>
      </c>
      <c r="JF231" s="1611" t="s">
        <v>270</v>
      </c>
      <c r="JG231" s="1611" t="s">
        <v>270</v>
      </c>
      <c r="JH231" s="1611" t="s">
        <v>270</v>
      </c>
      <c r="JI231" s="1611" t="s">
        <v>270</v>
      </c>
      <c r="JJ231" s="1611" t="s">
        <v>270</v>
      </c>
      <c r="JK231" s="1607" t="str">
        <f t="shared" si="12"/>
        <v/>
      </c>
      <c r="JL231" s="1608" t="s">
        <v>2946</v>
      </c>
      <c r="JM231" s="1610" t="s">
        <v>2945</v>
      </c>
      <c r="JN231" s="1608" t="s">
        <v>270</v>
      </c>
      <c r="JO231" s="1609" t="s">
        <v>270</v>
      </c>
      <c r="JP231" s="1608">
        <v>8.1999999999999993</v>
      </c>
      <c r="JQ231" s="1607" t="s">
        <v>270</v>
      </c>
      <c r="JR231" s="1606" t="s">
        <v>270</v>
      </c>
      <c r="JS231" s="1606" t="s">
        <v>270</v>
      </c>
      <c r="JT231" s="1606" t="s">
        <v>270</v>
      </c>
    </row>
    <row r="232" spans="1:280" ht="15" customHeight="1" x14ac:dyDescent="0.2">
      <c r="A232" s="1626">
        <v>75700</v>
      </c>
      <c r="B232" s="1625">
        <v>757</v>
      </c>
      <c r="C232" s="1624">
        <v>0</v>
      </c>
      <c r="D232" s="1623" t="s">
        <v>3184</v>
      </c>
      <c r="E232" s="1622">
        <v>43031</v>
      </c>
      <c r="F232" s="1620">
        <v>1.3027731029810301</v>
      </c>
      <c r="G232" s="1620">
        <v>1.25589916103896</v>
      </c>
      <c r="H232" s="1621">
        <v>96</v>
      </c>
      <c r="I232" s="1621">
        <v>96</v>
      </c>
      <c r="J232" s="1621">
        <v>96</v>
      </c>
      <c r="K232" s="1620">
        <v>1</v>
      </c>
      <c r="L232" s="1620">
        <v>95</v>
      </c>
      <c r="M232" s="1620">
        <v>32.299999999999997</v>
      </c>
      <c r="N232" s="1620">
        <v>3.61</v>
      </c>
      <c r="O232" s="1620">
        <v>8.6449999999999996</v>
      </c>
      <c r="P232" s="1620">
        <v>1.1399999999999999</v>
      </c>
      <c r="Q232" s="1603"/>
      <c r="R232" s="1620">
        <v>94</v>
      </c>
      <c r="S232" s="1620">
        <v>58</v>
      </c>
      <c r="T232" s="1620">
        <v>58</v>
      </c>
      <c r="U232" s="1620">
        <v>58</v>
      </c>
      <c r="V232" s="1620">
        <v>58</v>
      </c>
      <c r="W232" s="1620">
        <v>58</v>
      </c>
      <c r="X232" s="1620"/>
      <c r="Y232" s="1620">
        <v>13.36055</v>
      </c>
      <c r="Z232" s="1620">
        <v>9.72682</v>
      </c>
      <c r="AA232" s="1620">
        <v>6.3012300000000003</v>
      </c>
      <c r="AB232" s="1620">
        <v>0</v>
      </c>
      <c r="AC232" s="1620">
        <v>16.497540000000001</v>
      </c>
      <c r="AD232" s="1620">
        <v>1.22451</v>
      </c>
      <c r="AE232" s="1620">
        <v>3.4</v>
      </c>
      <c r="AF232" s="1620">
        <v>43.965326999999995</v>
      </c>
      <c r="AG232" s="1620">
        <v>5.0631050000000002</v>
      </c>
      <c r="AH232" s="1620">
        <v>8.8444710000000004</v>
      </c>
      <c r="AI232" s="1620">
        <v>46.013622000000005</v>
      </c>
      <c r="AJ232" s="1620">
        <v>0</v>
      </c>
      <c r="AK232" s="1620">
        <v>0.12289599999999999</v>
      </c>
      <c r="AL232" s="1620"/>
      <c r="AM232" s="1620">
        <v>7.9</v>
      </c>
      <c r="AN232" s="1620">
        <v>2.4</v>
      </c>
      <c r="AO232" s="1620">
        <v>0.8</v>
      </c>
      <c r="AP232" s="1620">
        <v>4.9000000000000004</v>
      </c>
      <c r="AQ232" s="1620">
        <v>1.8</v>
      </c>
      <c r="AR232" s="1620">
        <v>5.285666</v>
      </c>
      <c r="AS232" s="1620">
        <v>9.9152470000000008</v>
      </c>
      <c r="AT232" s="1620">
        <v>2.8562940000000001</v>
      </c>
      <c r="AU232" s="1620">
        <v>4.6387919999999996</v>
      </c>
      <c r="AV232" s="1620">
        <v>4.62</v>
      </c>
      <c r="AW232" s="1620">
        <v>6.5545530000000003</v>
      </c>
      <c r="AX232" s="1620"/>
      <c r="AY232" s="1620">
        <v>1.03</v>
      </c>
      <c r="AZ232" s="1620">
        <v>1.03</v>
      </c>
      <c r="BA232" s="1620">
        <v>1.04</v>
      </c>
      <c r="BB232" s="1620">
        <v>1.03</v>
      </c>
      <c r="BC232" s="1620">
        <v>1</v>
      </c>
      <c r="BD232" s="1620">
        <v>1.01</v>
      </c>
      <c r="BE232" s="1620">
        <v>1.03</v>
      </c>
      <c r="BF232" s="1620">
        <v>1.02</v>
      </c>
      <c r="BG232" s="1620">
        <v>1.04</v>
      </c>
      <c r="BH232" s="1620">
        <v>0.93</v>
      </c>
      <c r="BI232" s="1620">
        <v>0.98</v>
      </c>
      <c r="BJ232" s="1603"/>
      <c r="BK232" s="1620">
        <v>33.999999999999993</v>
      </c>
      <c r="BL232" s="1620">
        <v>3.8</v>
      </c>
      <c r="BM232" s="1620">
        <v>9.1</v>
      </c>
      <c r="BN232" s="1620">
        <v>1.2</v>
      </c>
      <c r="BO232" s="1620"/>
      <c r="BP232" s="1620">
        <v>34</v>
      </c>
      <c r="BQ232" s="1620">
        <v>12.919999999999998</v>
      </c>
      <c r="BR232" s="1620">
        <v>1.3713401084010843</v>
      </c>
      <c r="BS232" s="1620">
        <v>1.3219991168831158</v>
      </c>
      <c r="BT232" s="1603"/>
      <c r="BU232" s="1620">
        <v>909</v>
      </c>
      <c r="BV232" s="1620">
        <v>526.38</v>
      </c>
      <c r="BW232" s="1620">
        <v>0</v>
      </c>
      <c r="BX232" s="1620">
        <v>20.217370000000003</v>
      </c>
      <c r="BY232" s="1620">
        <v>454.73683999999997</v>
      </c>
      <c r="BZ232" s="1620" t="s">
        <v>270</v>
      </c>
      <c r="CA232" s="1620" t="s">
        <v>270</v>
      </c>
      <c r="CB232" s="1603"/>
      <c r="CC232" s="1603">
        <v>12.692522499999999</v>
      </c>
      <c r="CD232" s="1603">
        <v>9.2404789999999988</v>
      </c>
      <c r="CE232" s="1603">
        <v>5.9861684999999998</v>
      </c>
      <c r="CF232" s="1603">
        <v>0</v>
      </c>
      <c r="CG232" s="1603">
        <v>15.672663</v>
      </c>
      <c r="CH232" s="1603">
        <v>1.1632844999999998</v>
      </c>
      <c r="CI232" s="1603">
        <v>3.23</v>
      </c>
      <c r="CJ232" s="1603"/>
      <c r="CK232" s="1603">
        <v>41.767060649999991</v>
      </c>
      <c r="CL232" s="1603">
        <v>4.8099497500000004</v>
      </c>
      <c r="CM232" s="1603">
        <v>8.4022474500000008</v>
      </c>
      <c r="CN232" s="1603">
        <v>43.7129409</v>
      </c>
      <c r="CO232" s="1603">
        <v>0</v>
      </c>
      <c r="CP232" s="1603">
        <v>0.11675119999999999</v>
      </c>
      <c r="CQ232" s="1603">
        <v>303.62</v>
      </c>
      <c r="CR232" s="1603">
        <v>233.0566998238227</v>
      </c>
      <c r="CS232" s="1603">
        <v>18.963823664664453</v>
      </c>
      <c r="CT232" s="1603">
        <v>5.7611616196448967</v>
      </c>
      <c r="CU232" s="1603">
        <v>1.939031742534205</v>
      </c>
      <c r="CV232" s="1603">
        <v>7.7001933621791023</v>
      </c>
      <c r="CW232" s="1603">
        <v>11.762371640108331</v>
      </c>
      <c r="CX232" s="1603">
        <v>4.195020596828809</v>
      </c>
      <c r="CY232" s="1603">
        <v>12.441784730742956</v>
      </c>
      <c r="CZ232" s="1603">
        <v>23.801391860708002</v>
      </c>
      <c r="DA232" s="1603">
        <v>6.7899202243391761</v>
      </c>
      <c r="DB232" s="1603">
        <v>11.243456168767162</v>
      </c>
      <c r="DC232" s="1603">
        <v>10.013514164630367</v>
      </c>
      <c r="DD232" s="1603">
        <v>21.256970333397529</v>
      </c>
      <c r="DE232" s="1603">
        <v>14.9703084118033</v>
      </c>
      <c r="DF232" s="1603">
        <v>0</v>
      </c>
      <c r="DG232" s="1603">
        <v>0</v>
      </c>
      <c r="DH232" s="1603">
        <v>0</v>
      </c>
      <c r="DI232" s="1603">
        <v>0</v>
      </c>
      <c r="DJ232" s="1603">
        <v>0</v>
      </c>
      <c r="DK232" s="1603">
        <v>0</v>
      </c>
      <c r="DL232" s="1603">
        <v>0</v>
      </c>
      <c r="DM232" s="1603">
        <v>0</v>
      </c>
      <c r="DN232" s="1603">
        <v>0</v>
      </c>
      <c r="DO232" s="1603">
        <v>0</v>
      </c>
      <c r="DP232" s="1603">
        <v>0</v>
      </c>
      <c r="DQ232" s="1603">
        <v>0</v>
      </c>
      <c r="DR232" s="1603">
        <v>0</v>
      </c>
      <c r="DS232" s="1603">
        <v>0</v>
      </c>
      <c r="DT232" s="1603">
        <v>0</v>
      </c>
      <c r="DU232" s="1603">
        <v>0</v>
      </c>
      <c r="DV232" s="1603">
        <v>0</v>
      </c>
      <c r="DW232" s="1618" t="s">
        <v>3183</v>
      </c>
      <c r="DX232" s="1605" t="s">
        <v>986</v>
      </c>
      <c r="DY232" s="1605" t="s">
        <v>986</v>
      </c>
      <c r="DZ232" s="1605">
        <v>1</v>
      </c>
      <c r="EA232" s="1605">
        <v>1</v>
      </c>
      <c r="EB232" s="1605" t="s">
        <v>986</v>
      </c>
      <c r="EC232" s="1605">
        <v>1</v>
      </c>
      <c r="ED232" s="1605">
        <v>1</v>
      </c>
      <c r="EE232" s="1605">
        <v>1</v>
      </c>
      <c r="EF232" s="1605">
        <v>1</v>
      </c>
      <c r="EG232" s="1605">
        <v>1</v>
      </c>
      <c r="EH232" s="1605" t="s">
        <v>986</v>
      </c>
      <c r="EI232" s="1605" t="s">
        <v>986</v>
      </c>
      <c r="EJ232" s="1605" t="s">
        <v>986</v>
      </c>
      <c r="EK232" s="1605" t="s">
        <v>986</v>
      </c>
      <c r="EL232" s="1605" t="s">
        <v>986</v>
      </c>
      <c r="EM232" s="1605" t="s">
        <v>986</v>
      </c>
      <c r="EN232" s="1605" t="s">
        <v>986</v>
      </c>
      <c r="EO232" s="1605" t="s">
        <v>986</v>
      </c>
      <c r="EP232" s="1605" t="s">
        <v>986</v>
      </c>
      <c r="EQ232" s="1605" t="s">
        <v>986</v>
      </c>
      <c r="ER232" s="1605" t="s">
        <v>986</v>
      </c>
      <c r="ES232" s="1605" t="s">
        <v>986</v>
      </c>
      <c r="ET232" s="1605" t="s">
        <v>986</v>
      </c>
      <c r="EU232" s="1605" t="s">
        <v>986</v>
      </c>
      <c r="EV232" s="1605" t="s">
        <v>986</v>
      </c>
      <c r="EW232" s="1605" t="s">
        <v>986</v>
      </c>
      <c r="EX232" s="1605" t="s">
        <v>986</v>
      </c>
      <c r="EY232" s="1605" t="s">
        <v>986</v>
      </c>
      <c r="EZ232" s="1605" t="s">
        <v>986</v>
      </c>
      <c r="FA232" s="1605" t="s">
        <v>986</v>
      </c>
      <c r="FB232" s="1605" t="s">
        <v>986</v>
      </c>
      <c r="FC232" s="1605" t="s">
        <v>986</v>
      </c>
      <c r="FD232" s="1605" t="s">
        <v>986</v>
      </c>
      <c r="FE232" s="1605" t="s">
        <v>986</v>
      </c>
      <c r="FF232" s="1605" t="s">
        <v>986</v>
      </c>
      <c r="FG232" s="1605" t="s">
        <v>986</v>
      </c>
      <c r="FH232" s="1605" t="s">
        <v>986</v>
      </c>
      <c r="FI232" s="1605" t="s">
        <v>986</v>
      </c>
      <c r="FJ232" s="1605" t="s">
        <v>986</v>
      </c>
      <c r="FK232" s="1605" t="s">
        <v>986</v>
      </c>
      <c r="FL232" s="1605" t="s">
        <v>986</v>
      </c>
      <c r="FM232" s="1605" t="s">
        <v>986</v>
      </c>
      <c r="FN232" s="1605" t="s">
        <v>986</v>
      </c>
      <c r="FO232" s="1605" t="s">
        <v>986</v>
      </c>
      <c r="FP232" s="1605" t="s">
        <v>986</v>
      </c>
      <c r="FQ232" s="1605" t="s">
        <v>986</v>
      </c>
      <c r="FR232" s="1605" t="s">
        <v>986</v>
      </c>
      <c r="FS232" s="1605" t="s">
        <v>986</v>
      </c>
      <c r="FT232" s="1605" t="s">
        <v>986</v>
      </c>
      <c r="FU232" s="1605" t="s">
        <v>986</v>
      </c>
      <c r="FV232" s="1605" t="s">
        <v>986</v>
      </c>
      <c r="FW232" s="1605" t="s">
        <v>986</v>
      </c>
      <c r="FX232" s="1605" t="s">
        <v>986</v>
      </c>
      <c r="FY232" s="1605" t="s">
        <v>986</v>
      </c>
      <c r="FZ232" s="1605" t="s">
        <v>986</v>
      </c>
      <c r="GA232" s="1605" t="s">
        <v>986</v>
      </c>
      <c r="GB232" s="1605" t="s">
        <v>986</v>
      </c>
      <c r="GC232" s="1605" t="s">
        <v>986</v>
      </c>
      <c r="GD232" s="1605" t="s">
        <v>986</v>
      </c>
      <c r="GE232" s="1605" t="s">
        <v>986</v>
      </c>
      <c r="GF232" s="1605" t="s">
        <v>986</v>
      </c>
      <c r="GG232" s="1605" t="s">
        <v>986</v>
      </c>
      <c r="GH232" s="1605" t="s">
        <v>986</v>
      </c>
      <c r="GI232" s="1605" t="s">
        <v>986</v>
      </c>
      <c r="GJ232" s="1605" t="s">
        <v>986</v>
      </c>
      <c r="GK232" s="1605" t="s">
        <v>986</v>
      </c>
      <c r="GL232" s="1605" t="s">
        <v>986</v>
      </c>
      <c r="GM232" s="1605" t="s">
        <v>986</v>
      </c>
      <c r="GN232" s="1605" t="s">
        <v>1591</v>
      </c>
      <c r="GO232" s="1605" t="s">
        <v>1591</v>
      </c>
      <c r="GP232" s="1605" t="s">
        <v>1591</v>
      </c>
      <c r="GQ232" s="1605" t="s">
        <v>1591</v>
      </c>
      <c r="GR232" s="1605" t="s">
        <v>986</v>
      </c>
      <c r="GS232" s="1605" t="s">
        <v>1591</v>
      </c>
      <c r="GT232" s="1605" t="s">
        <v>1591</v>
      </c>
      <c r="GU232" s="1605" t="s">
        <v>1591</v>
      </c>
      <c r="GV232" s="1605" t="s">
        <v>1591</v>
      </c>
      <c r="GW232" s="1605" t="s">
        <v>986</v>
      </c>
      <c r="GX232" s="1605" t="s">
        <v>986</v>
      </c>
      <c r="GY232" s="1605" t="s">
        <v>986</v>
      </c>
      <c r="GZ232" s="1605" t="s">
        <v>986</v>
      </c>
      <c r="HA232" s="1605" t="s">
        <v>986</v>
      </c>
      <c r="HB232" s="1605" t="s">
        <v>986</v>
      </c>
      <c r="HC232" s="1605" t="s">
        <v>986</v>
      </c>
      <c r="HD232" s="1605" t="s">
        <v>986</v>
      </c>
      <c r="HE232" s="1605" t="s">
        <v>986</v>
      </c>
      <c r="HF232" s="1605" t="s">
        <v>986</v>
      </c>
      <c r="HG232" s="1605" t="s">
        <v>986</v>
      </c>
      <c r="HH232" s="1605" t="s">
        <v>986</v>
      </c>
      <c r="HI232" s="1605" t="s">
        <v>986</v>
      </c>
      <c r="HJ232" s="1605" t="s">
        <v>986</v>
      </c>
      <c r="HK232" s="1605" t="s">
        <v>986</v>
      </c>
      <c r="HL232" s="1605" t="s">
        <v>986</v>
      </c>
      <c r="HM232" s="1605" t="s">
        <v>986</v>
      </c>
      <c r="HN232" s="1605" t="s">
        <v>986</v>
      </c>
      <c r="HO232" s="1605" t="s">
        <v>986</v>
      </c>
      <c r="HP232" s="1605" t="s">
        <v>986</v>
      </c>
      <c r="HQ232" s="1605" t="s">
        <v>986</v>
      </c>
      <c r="HR232" s="1605" t="s">
        <v>986</v>
      </c>
      <c r="HS232" s="1605" t="s">
        <v>986</v>
      </c>
      <c r="HT232" s="1605" t="s">
        <v>986</v>
      </c>
      <c r="HU232" s="1605" t="s">
        <v>986</v>
      </c>
      <c r="HV232" s="1617"/>
      <c r="HW232" s="1617" t="s">
        <v>3182</v>
      </c>
      <c r="HX232" s="1617" t="s">
        <v>3181</v>
      </c>
      <c r="HY232" s="1617" t="s">
        <v>3180</v>
      </c>
      <c r="HZ232" s="1603"/>
      <c r="IA232" s="1603"/>
      <c r="IB232" s="1603"/>
      <c r="IC232" s="1603">
        <v>58</v>
      </c>
      <c r="ID232" s="1603">
        <v>58</v>
      </c>
      <c r="IE232" s="1603">
        <v>58</v>
      </c>
      <c r="IF232" s="1603">
        <v>58</v>
      </c>
      <c r="IG232" s="1611" t="s">
        <v>270</v>
      </c>
      <c r="IH232" s="1616" t="s">
        <v>270</v>
      </c>
      <c r="II232" s="1615" t="s">
        <v>270</v>
      </c>
      <c r="IJ232" s="1613">
        <v>8.1999999999999993</v>
      </c>
      <c r="IK232" s="1613">
        <v>8.1999999999999993</v>
      </c>
      <c r="IL232" s="1614">
        <v>8.1999999999999993</v>
      </c>
      <c r="IM232" s="1614">
        <v>8.1999999999999993</v>
      </c>
      <c r="IN232" s="1612">
        <v>8.1999999999999993</v>
      </c>
      <c r="IO232" s="1613">
        <v>0</v>
      </c>
      <c r="IP232" s="1607" t="s">
        <v>270</v>
      </c>
      <c r="IQ232" s="1612" t="s">
        <v>270</v>
      </c>
      <c r="IR232" s="1612" t="s">
        <v>270</v>
      </c>
      <c r="IS232" s="1607" t="s">
        <v>270</v>
      </c>
      <c r="IT232" s="1607" t="s">
        <v>270</v>
      </c>
      <c r="IU232" s="1611" t="s">
        <v>270</v>
      </c>
      <c r="IV232" s="1611" t="s">
        <v>270</v>
      </c>
      <c r="IW232" s="1611" t="s">
        <v>270</v>
      </c>
      <c r="IX232" s="1611" t="s">
        <v>270</v>
      </c>
      <c r="IY232" s="1611" t="s">
        <v>270</v>
      </c>
      <c r="IZ232" s="1611" t="s">
        <v>270</v>
      </c>
      <c r="JA232" s="1611" t="s">
        <v>270</v>
      </c>
      <c r="JB232" s="1611" t="s">
        <v>270</v>
      </c>
      <c r="JC232" s="1611" t="s">
        <v>270</v>
      </c>
      <c r="JD232" s="1611" t="s">
        <v>270</v>
      </c>
      <c r="JE232" s="1611" t="s">
        <v>270</v>
      </c>
      <c r="JF232" s="1611" t="s">
        <v>270</v>
      </c>
      <c r="JG232" s="1611" t="s">
        <v>270</v>
      </c>
      <c r="JH232" s="1611" t="s">
        <v>270</v>
      </c>
      <c r="JI232" s="1611" t="s">
        <v>270</v>
      </c>
      <c r="JJ232" s="1611" t="s">
        <v>270</v>
      </c>
      <c r="JK232" s="1607" t="str">
        <f t="shared" si="12"/>
        <v/>
      </c>
      <c r="JL232" s="1608" t="s">
        <v>2946</v>
      </c>
      <c r="JM232" s="1610" t="s">
        <v>2945</v>
      </c>
      <c r="JN232" s="1608" t="s">
        <v>270</v>
      </c>
      <c r="JO232" s="1609" t="s">
        <v>270</v>
      </c>
      <c r="JP232" s="1608">
        <v>8.1999999999999993</v>
      </c>
      <c r="JQ232" s="1607" t="s">
        <v>270</v>
      </c>
      <c r="JR232" s="1606" t="s">
        <v>270</v>
      </c>
      <c r="JS232" s="1606" t="s">
        <v>270</v>
      </c>
      <c r="JT232" s="1606" t="s">
        <v>270</v>
      </c>
    </row>
    <row r="233" spans="1:280" ht="15" customHeight="1" x14ac:dyDescent="0.2">
      <c r="A233" s="1626">
        <v>61000</v>
      </c>
      <c r="B233" s="1625">
        <v>610</v>
      </c>
      <c r="C233" s="1624">
        <v>0</v>
      </c>
      <c r="D233" s="1623" t="s">
        <v>3179</v>
      </c>
      <c r="E233" s="1622">
        <v>43369</v>
      </c>
      <c r="F233" s="1620">
        <v>1.39625568346883</v>
      </c>
      <c r="G233" s="1620">
        <v>1.4051341516467599</v>
      </c>
      <c r="H233" s="1621">
        <v>93.6</v>
      </c>
      <c r="I233" s="1621">
        <v>76.099999999999994</v>
      </c>
      <c r="J233" s="1621">
        <v>91</v>
      </c>
      <c r="K233" s="1620">
        <v>1</v>
      </c>
      <c r="L233" s="1620">
        <v>90.4</v>
      </c>
      <c r="M233" s="1620">
        <v>37.154400000000003</v>
      </c>
      <c r="N233" s="1620">
        <v>19.797599999999999</v>
      </c>
      <c r="O233" s="1620">
        <v>5.0624000000000002</v>
      </c>
      <c r="P233" s="1620">
        <v>5.1954019039999997</v>
      </c>
      <c r="Q233" s="1603"/>
      <c r="R233" s="1620">
        <v>75</v>
      </c>
      <c r="S233" s="1620">
        <v>39</v>
      </c>
      <c r="T233" s="1620">
        <v>51.195121951219498</v>
      </c>
      <c r="U233" s="1620">
        <v>56.0731707317073</v>
      </c>
      <c r="V233" s="1620">
        <v>60.463414634146297</v>
      </c>
      <c r="W233" s="1620">
        <v>63.390243902439003</v>
      </c>
      <c r="X233" s="1620"/>
      <c r="Y233" s="1620">
        <v>2.8</v>
      </c>
      <c r="Z233" s="1620">
        <v>5.5</v>
      </c>
      <c r="AA233" s="1620">
        <v>9.9999999999999978E-2</v>
      </c>
      <c r="AB233" s="1620">
        <v>0.33185840707964598</v>
      </c>
      <c r="AC233" s="1620">
        <v>19.599999999999998</v>
      </c>
      <c r="AD233" s="1620">
        <v>2.5999999999999996</v>
      </c>
      <c r="AE233" s="1620">
        <v>3.2999999999999989</v>
      </c>
      <c r="AF233" s="1620">
        <v>110</v>
      </c>
      <c r="AG233" s="1620">
        <v>14.999999999999998</v>
      </c>
      <c r="AH233" s="1620">
        <v>29.999999999999996</v>
      </c>
      <c r="AI233" s="1620">
        <v>44</v>
      </c>
      <c r="AJ233" s="1620">
        <v>0</v>
      </c>
      <c r="AK233" s="1620">
        <v>0.15999999999999998</v>
      </c>
      <c r="AL233" s="1620"/>
      <c r="AM233" s="1620">
        <v>6.09</v>
      </c>
      <c r="AN233" s="1620">
        <v>1.31</v>
      </c>
      <c r="AO233" s="1620">
        <v>1.39</v>
      </c>
      <c r="AP233" s="1620">
        <v>3.85</v>
      </c>
      <c r="AQ233" s="1620">
        <v>1.34</v>
      </c>
      <c r="AR233" s="1620">
        <v>4.3899999999999997</v>
      </c>
      <c r="AS233" s="1620">
        <v>7.68</v>
      </c>
      <c r="AT233" s="1620">
        <v>2.62</v>
      </c>
      <c r="AU233" s="1620">
        <v>4.96</v>
      </c>
      <c r="AV233" s="1620">
        <v>3.68</v>
      </c>
      <c r="AW233" s="1620">
        <v>4.6900000000000004</v>
      </c>
      <c r="AX233" s="1620"/>
      <c r="AY233" s="1620">
        <v>1</v>
      </c>
      <c r="AZ233" s="1620">
        <v>1.03</v>
      </c>
      <c r="BA233" s="1620">
        <v>1.07</v>
      </c>
      <c r="BB233" s="1620">
        <v>0.99</v>
      </c>
      <c r="BC233" s="1620">
        <v>1.02</v>
      </c>
      <c r="BD233" s="1620">
        <v>0.96</v>
      </c>
      <c r="BE233" s="1620">
        <v>0.93</v>
      </c>
      <c r="BF233" s="1620">
        <v>1.03</v>
      </c>
      <c r="BG233" s="1620">
        <v>0.95</v>
      </c>
      <c r="BH233" s="1620">
        <v>0.93</v>
      </c>
      <c r="BI233" s="1620">
        <v>0.93</v>
      </c>
      <c r="BJ233" s="1603"/>
      <c r="BK233" s="1620">
        <v>41.1</v>
      </c>
      <c r="BL233" s="1620">
        <v>21.9</v>
      </c>
      <c r="BM233" s="1620">
        <v>5.6</v>
      </c>
      <c r="BN233" s="1620">
        <v>5.7471259999999988</v>
      </c>
      <c r="BO233" s="1620"/>
      <c r="BP233" s="1620">
        <v>130</v>
      </c>
      <c r="BQ233" s="1620">
        <v>284.7</v>
      </c>
      <c r="BR233" s="1620">
        <v>1.5445306233062277</v>
      </c>
      <c r="BS233" s="1620">
        <v>1.5543519376623449</v>
      </c>
      <c r="BT233" s="1603"/>
      <c r="BU233" s="1620">
        <v>943.99999999999989</v>
      </c>
      <c r="BV233" s="1620">
        <v>61.143999999999991</v>
      </c>
      <c r="BW233" s="1620">
        <v>235.99999999999997</v>
      </c>
      <c r="BX233" s="1620" t="s">
        <v>270</v>
      </c>
      <c r="BY233" s="1620" t="s">
        <v>270</v>
      </c>
      <c r="BZ233" s="1620">
        <v>70.045019999999994</v>
      </c>
      <c r="CA233" s="1620">
        <v>189.38097999999999</v>
      </c>
      <c r="CB233" s="1603"/>
      <c r="CC233" s="1603">
        <v>2.5312000000000001</v>
      </c>
      <c r="CD233" s="1603">
        <v>4.9720000000000004</v>
      </c>
      <c r="CE233" s="1603">
        <v>9.039999999999998E-2</v>
      </c>
      <c r="CF233" s="1603">
        <v>0.3</v>
      </c>
      <c r="CG233" s="1603">
        <v>17.718399999999999</v>
      </c>
      <c r="CH233" s="1603">
        <v>2.3503999999999996</v>
      </c>
      <c r="CI233" s="1603">
        <v>2.9831999999999992</v>
      </c>
      <c r="CJ233" s="1603"/>
      <c r="CK233" s="1603">
        <v>99.44</v>
      </c>
      <c r="CL233" s="1603">
        <v>13.559999999999999</v>
      </c>
      <c r="CM233" s="1603">
        <v>27.119999999999997</v>
      </c>
      <c r="CN233" s="1603">
        <v>39.776000000000003</v>
      </c>
      <c r="CO233" s="1603">
        <v>0</v>
      </c>
      <c r="CP233" s="1603">
        <v>0.14463999999999999</v>
      </c>
      <c r="CQ233" s="1603">
        <v>278.65800000000002</v>
      </c>
      <c r="CR233" s="1603">
        <v>199.57519478646461</v>
      </c>
      <c r="CS233" s="1603">
        <v>12.154129362495693</v>
      </c>
      <c r="CT233" s="1603">
        <v>2.6928681032537667</v>
      </c>
      <c r="CU233" s="1603">
        <v>2.9682818720590878</v>
      </c>
      <c r="CV233" s="1603">
        <v>5.6611499753128545</v>
      </c>
      <c r="CW233" s="1603">
        <v>7.6068085492860975</v>
      </c>
      <c r="CX233" s="1603">
        <v>2.7277937623413981</v>
      </c>
      <c r="CY233" s="1603">
        <v>8.4108970090807649</v>
      </c>
      <c r="CZ233" s="1603">
        <v>14.254458712428447</v>
      </c>
      <c r="DA233" s="1603">
        <v>5.3857362065075334</v>
      </c>
      <c r="DB233" s="1603">
        <v>9.403983178338212</v>
      </c>
      <c r="DC233" s="1603">
        <v>6.8302614663719643</v>
      </c>
      <c r="DD233" s="1603">
        <v>16.234244644710177</v>
      </c>
      <c r="DE233" s="1603">
        <v>8.7048712710012257</v>
      </c>
      <c r="DF233" s="1603">
        <v>0</v>
      </c>
      <c r="DG233" s="1603">
        <v>0</v>
      </c>
      <c r="DH233" s="1603">
        <v>0</v>
      </c>
      <c r="DI233" s="1603">
        <v>0</v>
      </c>
      <c r="DJ233" s="1603">
        <v>0</v>
      </c>
      <c r="DK233" s="1603">
        <v>0</v>
      </c>
      <c r="DL233" s="1603">
        <v>0</v>
      </c>
      <c r="DM233" s="1603">
        <v>0</v>
      </c>
      <c r="DN233" s="1603">
        <v>0</v>
      </c>
      <c r="DO233" s="1603">
        <v>0</v>
      </c>
      <c r="DP233" s="1603">
        <v>0</v>
      </c>
      <c r="DQ233" s="1603">
        <v>0</v>
      </c>
      <c r="DR233" s="1603">
        <v>0</v>
      </c>
      <c r="DS233" s="1603">
        <v>0</v>
      </c>
      <c r="DT233" s="1603">
        <v>0</v>
      </c>
      <c r="DU233" s="1603">
        <v>0</v>
      </c>
      <c r="DV233" s="1603">
        <v>0</v>
      </c>
      <c r="DW233" s="1618" t="s">
        <v>3178</v>
      </c>
      <c r="DX233" s="1605" t="s">
        <v>986</v>
      </c>
      <c r="DY233" s="1605" t="s">
        <v>986</v>
      </c>
      <c r="DZ233" s="1605">
        <v>4</v>
      </c>
      <c r="EA233" s="1605">
        <v>4</v>
      </c>
      <c r="EB233" s="1605" t="s">
        <v>986</v>
      </c>
      <c r="EC233" s="1605">
        <v>4</v>
      </c>
      <c r="ED233" s="1605">
        <v>4</v>
      </c>
      <c r="EE233" s="1605">
        <v>4</v>
      </c>
      <c r="EF233" s="1605">
        <v>4</v>
      </c>
      <c r="EG233" s="1605">
        <v>4</v>
      </c>
      <c r="EH233" s="1605" t="s">
        <v>986</v>
      </c>
      <c r="EI233" s="1605" t="s">
        <v>986</v>
      </c>
      <c r="EJ233" s="1605" t="s">
        <v>986</v>
      </c>
      <c r="EK233" s="1605" t="s">
        <v>986</v>
      </c>
      <c r="EL233" s="1605" t="s">
        <v>986</v>
      </c>
      <c r="EM233" s="1605" t="s">
        <v>986</v>
      </c>
      <c r="EN233" s="1605" t="s">
        <v>986</v>
      </c>
      <c r="EO233" s="1605" t="s">
        <v>986</v>
      </c>
      <c r="EP233" s="1605" t="s">
        <v>986</v>
      </c>
      <c r="EQ233" s="1605" t="s">
        <v>986</v>
      </c>
      <c r="ER233" s="1605" t="s">
        <v>986</v>
      </c>
      <c r="ES233" s="1605">
        <v>4</v>
      </c>
      <c r="ET233" s="1605">
        <v>4</v>
      </c>
      <c r="EU233" s="1605" t="s">
        <v>986</v>
      </c>
      <c r="EV233" s="1605" t="s">
        <v>986</v>
      </c>
      <c r="EW233" s="1605">
        <v>4</v>
      </c>
      <c r="EX233" s="1605">
        <v>4</v>
      </c>
      <c r="EY233" s="1605" t="s">
        <v>986</v>
      </c>
      <c r="EZ233" s="1605">
        <v>4</v>
      </c>
      <c r="FA233" s="1605">
        <v>4</v>
      </c>
      <c r="FB233" s="1605">
        <v>4</v>
      </c>
      <c r="FC233" s="1605">
        <v>4</v>
      </c>
      <c r="FD233" s="1605" t="s">
        <v>986</v>
      </c>
      <c r="FE233" s="1605" t="s">
        <v>986</v>
      </c>
      <c r="FF233" s="1605" t="s">
        <v>986</v>
      </c>
      <c r="FG233" s="1605" t="s">
        <v>986</v>
      </c>
      <c r="FH233" s="1605">
        <v>2.2000000000000002</v>
      </c>
      <c r="FI233" s="1605">
        <v>0.2</v>
      </c>
      <c r="FJ233" s="1605" t="s">
        <v>986</v>
      </c>
      <c r="FK233" s="1605">
        <v>1</v>
      </c>
      <c r="FL233" s="1605">
        <v>6.8</v>
      </c>
      <c r="FM233" s="1605" t="s">
        <v>986</v>
      </c>
      <c r="FN233" s="1605">
        <v>14.2</v>
      </c>
      <c r="FO233" s="1605" t="s">
        <v>986</v>
      </c>
      <c r="FP233" s="1605" t="s">
        <v>986</v>
      </c>
      <c r="FQ233" s="1605" t="s">
        <v>986</v>
      </c>
      <c r="FR233" s="1605" t="s">
        <v>986</v>
      </c>
      <c r="FS233" s="1605" t="s">
        <v>986</v>
      </c>
      <c r="FT233" s="1605" t="s">
        <v>986</v>
      </c>
      <c r="FU233" s="1605" t="s">
        <v>986</v>
      </c>
      <c r="FV233" s="1605" t="s">
        <v>986</v>
      </c>
      <c r="FW233" s="1605" t="s">
        <v>986</v>
      </c>
      <c r="FX233" s="1605" t="s">
        <v>986</v>
      </c>
      <c r="FY233" s="1605" t="s">
        <v>986</v>
      </c>
      <c r="FZ233" s="1605" t="s">
        <v>986</v>
      </c>
      <c r="GA233" s="1605" t="s">
        <v>986</v>
      </c>
      <c r="GB233" s="1605">
        <v>0.15</v>
      </c>
      <c r="GC233" s="1605" t="s">
        <v>986</v>
      </c>
      <c r="GD233" s="1605" t="s">
        <v>986</v>
      </c>
      <c r="GE233" s="1605">
        <v>2.56</v>
      </c>
      <c r="GF233" s="1605">
        <v>0.26</v>
      </c>
      <c r="GG233" s="1605">
        <v>0.3</v>
      </c>
      <c r="GH233" s="1605">
        <v>19.29</v>
      </c>
      <c r="GI233" s="1605">
        <v>1.23</v>
      </c>
      <c r="GJ233" s="1605">
        <v>5.38</v>
      </c>
      <c r="GK233" s="1605">
        <v>7.94</v>
      </c>
      <c r="GL233" s="1605" t="s">
        <v>986</v>
      </c>
      <c r="GM233" s="1605" t="s">
        <v>986</v>
      </c>
      <c r="GN233" s="1605" t="s">
        <v>986</v>
      </c>
      <c r="GO233" s="1605" t="s">
        <v>986</v>
      </c>
      <c r="GP233" s="1605" t="s">
        <v>1591</v>
      </c>
      <c r="GQ233" s="1605" t="s">
        <v>1591</v>
      </c>
      <c r="GR233" s="1605" t="s">
        <v>986</v>
      </c>
      <c r="GS233" s="1605" t="s">
        <v>1591</v>
      </c>
      <c r="GT233" s="1605" t="s">
        <v>1591</v>
      </c>
      <c r="GU233" s="1605" t="s">
        <v>1591</v>
      </c>
      <c r="GV233" s="1605" t="s">
        <v>1591</v>
      </c>
      <c r="GW233" s="1605" t="s">
        <v>986</v>
      </c>
      <c r="GX233" s="1605" t="s">
        <v>986</v>
      </c>
      <c r="GY233" s="1605" t="s">
        <v>986</v>
      </c>
      <c r="GZ233" s="1605" t="s">
        <v>986</v>
      </c>
      <c r="HA233" s="1605" t="s">
        <v>986</v>
      </c>
      <c r="HB233" s="1605" t="s">
        <v>986</v>
      </c>
      <c r="HC233" s="1605" t="s">
        <v>986</v>
      </c>
      <c r="HD233" s="1605" t="s">
        <v>986</v>
      </c>
      <c r="HE233" s="1605" t="s">
        <v>986</v>
      </c>
      <c r="HF233" s="1605" t="s">
        <v>986</v>
      </c>
      <c r="HG233" s="1605" t="s">
        <v>986</v>
      </c>
      <c r="HH233" s="1605" t="s">
        <v>986</v>
      </c>
      <c r="HI233" s="1605" t="s">
        <v>1591</v>
      </c>
      <c r="HJ233" s="1605" t="s">
        <v>1591</v>
      </c>
      <c r="HK233" s="1605" t="s">
        <v>986</v>
      </c>
      <c r="HL233" s="1605" t="s">
        <v>986</v>
      </c>
      <c r="HM233" s="1605" t="s">
        <v>1591</v>
      </c>
      <c r="HN233" s="1605" t="s">
        <v>1591</v>
      </c>
      <c r="HO233" s="1605" t="s">
        <v>1591</v>
      </c>
      <c r="HP233" s="1605" t="s">
        <v>1591</v>
      </c>
      <c r="HQ233" s="1605" t="s">
        <v>1591</v>
      </c>
      <c r="HR233" s="1605" t="s">
        <v>1591</v>
      </c>
      <c r="HS233" s="1605" t="s">
        <v>1591</v>
      </c>
      <c r="HT233" s="1605" t="s">
        <v>986</v>
      </c>
      <c r="HU233" s="1605" t="s">
        <v>986</v>
      </c>
      <c r="HV233" s="1617"/>
      <c r="HW233" s="1617" t="s">
        <v>3177</v>
      </c>
      <c r="HX233" s="1617" t="s">
        <v>3176</v>
      </c>
      <c r="HY233" s="1617" t="s">
        <v>3175</v>
      </c>
      <c r="HZ233" s="1603"/>
      <c r="IA233" s="1603"/>
      <c r="IB233" s="1603"/>
      <c r="IC233" s="1603">
        <v>65.585365853658502</v>
      </c>
      <c r="ID233" s="1603">
        <v>67.048780487804905</v>
      </c>
      <c r="IE233" s="1603">
        <v>68.268292682926798</v>
      </c>
      <c r="IF233" s="1603">
        <v>69</v>
      </c>
      <c r="IG233" s="1611" t="s">
        <v>3174</v>
      </c>
      <c r="IH233" s="1616" t="s">
        <v>270</v>
      </c>
      <c r="II233" s="1615" t="s">
        <v>270</v>
      </c>
      <c r="IJ233" s="1613">
        <v>7.4162528409090918</v>
      </c>
      <c r="IK233" s="1613">
        <v>0.94968465909090916</v>
      </c>
      <c r="IL233" s="1614">
        <v>7.4162528409090918</v>
      </c>
      <c r="IM233" s="1614">
        <v>0.94968465909090916</v>
      </c>
      <c r="IN233" s="1612" t="s">
        <v>270</v>
      </c>
      <c r="IO233" s="1613" t="s">
        <v>270</v>
      </c>
      <c r="IP233" s="1607" t="s">
        <v>270</v>
      </c>
      <c r="IQ233" s="1612" t="s">
        <v>270</v>
      </c>
      <c r="IR233" s="1612" t="s">
        <v>270</v>
      </c>
      <c r="IS233" s="1607">
        <v>7.0812528409090918</v>
      </c>
      <c r="IT233" s="1607">
        <v>0.61468465909090908</v>
      </c>
      <c r="IU233" s="1611">
        <v>0</v>
      </c>
      <c r="IV233" s="1611">
        <v>1.7019886363636366E-2</v>
      </c>
      <c r="IW233" s="1611">
        <v>1.2897727272727273E-3</v>
      </c>
      <c r="IX233" s="1611">
        <v>7.8125000000000004E-4</v>
      </c>
      <c r="IY233" s="1611">
        <v>1.3096590909090909E-3</v>
      </c>
      <c r="IZ233" s="1611">
        <v>3.2698863636363637E-3</v>
      </c>
      <c r="JA233" s="1611">
        <v>3.0397727272727271E-4</v>
      </c>
      <c r="JB233" s="1611" t="s">
        <v>270</v>
      </c>
      <c r="JC233" s="1611">
        <v>0.86464772727272732</v>
      </c>
      <c r="JD233" s="1611">
        <v>6.7610795454545458E-2</v>
      </c>
      <c r="JE233" s="1611" t="s">
        <v>270</v>
      </c>
      <c r="JF233" s="1611">
        <v>4.7443181818181818E-4</v>
      </c>
      <c r="JG233" s="1611">
        <v>1.0427613636363635</v>
      </c>
      <c r="JH233" s="1611">
        <v>1.0767045454545454E-3</v>
      </c>
      <c r="JI233" s="1611">
        <v>0.11840909090909091</v>
      </c>
      <c r="JJ233" s="1611" t="s">
        <v>270</v>
      </c>
      <c r="JK233" s="1607">
        <f t="shared" si="12"/>
        <v>0.33499999999999996</v>
      </c>
      <c r="JL233" s="1608" t="s">
        <v>270</v>
      </c>
      <c r="JM233" s="1610" t="s">
        <v>2924</v>
      </c>
      <c r="JN233" s="1608">
        <v>6.4665681818181824</v>
      </c>
      <c r="JO233" s="1609" t="s">
        <v>3114</v>
      </c>
      <c r="JP233" s="1608" t="s">
        <v>270</v>
      </c>
      <c r="JQ233" s="1607">
        <v>202103</v>
      </c>
      <c r="JR233" s="1606">
        <v>642</v>
      </c>
      <c r="JS233" s="1606">
        <v>584</v>
      </c>
      <c r="JT233" s="1606">
        <v>584</v>
      </c>
    </row>
    <row r="234" spans="1:280" ht="15" customHeight="1" x14ac:dyDescent="0.2">
      <c r="A234" s="1626">
        <v>61003</v>
      </c>
      <c r="B234" s="1625">
        <v>610</v>
      </c>
      <c r="C234" s="1624">
        <v>3</v>
      </c>
      <c r="D234" s="1623" t="s">
        <v>3173</v>
      </c>
      <c r="E234" s="1622">
        <v>43369</v>
      </c>
      <c r="F234" s="1620">
        <v>1.39625568346883</v>
      </c>
      <c r="G234" s="1620">
        <v>1.4051341516467599</v>
      </c>
      <c r="H234" s="1621">
        <v>93.6</v>
      </c>
      <c r="I234" s="1621">
        <v>76.099999999999994</v>
      </c>
      <c r="J234" s="1621">
        <v>91</v>
      </c>
      <c r="K234" s="1620">
        <v>1</v>
      </c>
      <c r="L234" s="1620">
        <v>90.4</v>
      </c>
      <c r="M234" s="1620">
        <v>37.154400000000003</v>
      </c>
      <c r="N234" s="1620">
        <v>19.797599999999999</v>
      </c>
      <c r="O234" s="1620">
        <v>5.0624000000000002</v>
      </c>
      <c r="P234" s="1620">
        <v>5.1954019039999997</v>
      </c>
      <c r="Q234" s="1603"/>
      <c r="R234" s="1620">
        <v>75</v>
      </c>
      <c r="S234" s="1620">
        <v>39</v>
      </c>
      <c r="T234" s="1620">
        <v>51.195121951219498</v>
      </c>
      <c r="U234" s="1620">
        <v>56.0731707317073</v>
      </c>
      <c r="V234" s="1620">
        <v>60.463414634146297</v>
      </c>
      <c r="W234" s="1620">
        <v>63.390243902439003</v>
      </c>
      <c r="X234" s="1620"/>
      <c r="Y234" s="1620">
        <v>2.8</v>
      </c>
      <c r="Z234" s="1620">
        <v>5.5</v>
      </c>
      <c r="AA234" s="1620">
        <v>9.9999999999999978E-2</v>
      </c>
      <c r="AB234" s="1620">
        <v>0.33185840707964598</v>
      </c>
      <c r="AC234" s="1620">
        <v>19.599999999999998</v>
      </c>
      <c r="AD234" s="1620">
        <v>2.5999999999999996</v>
      </c>
      <c r="AE234" s="1620">
        <v>3.2999999999999989</v>
      </c>
      <c r="AF234" s="1620">
        <v>110</v>
      </c>
      <c r="AG234" s="1620">
        <v>14.999999999999998</v>
      </c>
      <c r="AH234" s="1620">
        <v>29.999999999999996</v>
      </c>
      <c r="AI234" s="1620">
        <v>44</v>
      </c>
      <c r="AJ234" s="1620">
        <v>0</v>
      </c>
      <c r="AK234" s="1620">
        <v>0.15999999999999998</v>
      </c>
      <c r="AL234" s="1620"/>
      <c r="AM234" s="1620">
        <v>6.09</v>
      </c>
      <c r="AN234" s="1620">
        <v>1.31</v>
      </c>
      <c r="AO234" s="1620">
        <v>1.39</v>
      </c>
      <c r="AP234" s="1620">
        <v>3.85</v>
      </c>
      <c r="AQ234" s="1620">
        <v>1.34</v>
      </c>
      <c r="AR234" s="1620">
        <v>4.3899999999999997</v>
      </c>
      <c r="AS234" s="1620">
        <v>7.68</v>
      </c>
      <c r="AT234" s="1620">
        <v>2.62</v>
      </c>
      <c r="AU234" s="1620">
        <v>4.96</v>
      </c>
      <c r="AV234" s="1620">
        <v>3.68</v>
      </c>
      <c r="AW234" s="1620">
        <v>4.6900000000000004</v>
      </c>
      <c r="AX234" s="1620"/>
      <c r="AY234" s="1620">
        <v>1</v>
      </c>
      <c r="AZ234" s="1620">
        <v>1.03</v>
      </c>
      <c r="BA234" s="1620">
        <v>1.07</v>
      </c>
      <c r="BB234" s="1620">
        <v>0.99</v>
      </c>
      <c r="BC234" s="1620">
        <v>1.02</v>
      </c>
      <c r="BD234" s="1620">
        <v>0.96</v>
      </c>
      <c r="BE234" s="1620">
        <v>0.93</v>
      </c>
      <c r="BF234" s="1620">
        <v>1.03</v>
      </c>
      <c r="BG234" s="1620">
        <v>0.95</v>
      </c>
      <c r="BH234" s="1620">
        <v>0.93</v>
      </c>
      <c r="BI234" s="1620">
        <v>0.93</v>
      </c>
      <c r="BJ234" s="1603"/>
      <c r="BK234" s="1620">
        <v>41.1</v>
      </c>
      <c r="BL234" s="1620">
        <v>21.9</v>
      </c>
      <c r="BM234" s="1620">
        <v>5.6</v>
      </c>
      <c r="BN234" s="1620">
        <v>5.7471259999999988</v>
      </c>
      <c r="BO234" s="1620"/>
      <c r="BP234" s="1620">
        <v>130</v>
      </c>
      <c r="BQ234" s="1620">
        <v>284.7</v>
      </c>
      <c r="BR234" s="1620">
        <v>1.5445306233062277</v>
      </c>
      <c r="BS234" s="1620">
        <v>1.5543519376623449</v>
      </c>
      <c r="BT234" s="1603"/>
      <c r="BU234" s="1620">
        <v>943.99999999999989</v>
      </c>
      <c r="BV234" s="1620">
        <v>61.143999999999991</v>
      </c>
      <c r="BW234" s="1620">
        <v>235.99999999999997</v>
      </c>
      <c r="BX234" s="1620" t="s">
        <v>270</v>
      </c>
      <c r="BY234" s="1620" t="s">
        <v>270</v>
      </c>
      <c r="BZ234" s="1620">
        <v>70.045019999999994</v>
      </c>
      <c r="CA234" s="1620">
        <v>189.38097999999999</v>
      </c>
      <c r="CB234" s="1603"/>
      <c r="CC234" s="1603">
        <v>2.5312000000000001</v>
      </c>
      <c r="CD234" s="1603">
        <v>4.9720000000000004</v>
      </c>
      <c r="CE234" s="1603">
        <v>9.039999999999998E-2</v>
      </c>
      <c r="CF234" s="1603">
        <v>0.3</v>
      </c>
      <c r="CG234" s="1603">
        <v>17.718399999999999</v>
      </c>
      <c r="CH234" s="1603">
        <v>2.3503999999999996</v>
      </c>
      <c r="CI234" s="1603">
        <v>2.9831999999999992</v>
      </c>
      <c r="CJ234" s="1603"/>
      <c r="CK234" s="1603">
        <v>99.44</v>
      </c>
      <c r="CL234" s="1603">
        <v>13.559999999999999</v>
      </c>
      <c r="CM234" s="1603">
        <v>27.119999999999997</v>
      </c>
      <c r="CN234" s="1603">
        <v>39.776000000000003</v>
      </c>
      <c r="CO234" s="1603">
        <v>0</v>
      </c>
      <c r="CP234" s="1603">
        <v>0.14463999999999999</v>
      </c>
      <c r="CQ234" s="1603">
        <v>278.65800000000002</v>
      </c>
      <c r="CR234" s="1603">
        <v>199.57519478646461</v>
      </c>
      <c r="CS234" s="1603">
        <v>12.154129362495693</v>
      </c>
      <c r="CT234" s="1603">
        <v>2.6928681032537667</v>
      </c>
      <c r="CU234" s="1603">
        <v>2.9682818720590878</v>
      </c>
      <c r="CV234" s="1603">
        <v>5.6611499753128545</v>
      </c>
      <c r="CW234" s="1603">
        <v>7.6068085492860975</v>
      </c>
      <c r="CX234" s="1603">
        <v>2.7277937623413981</v>
      </c>
      <c r="CY234" s="1603">
        <v>8.4108970090807649</v>
      </c>
      <c r="CZ234" s="1603">
        <v>14.254458712428447</v>
      </c>
      <c r="DA234" s="1603">
        <v>5.3857362065075334</v>
      </c>
      <c r="DB234" s="1603">
        <v>9.403983178338212</v>
      </c>
      <c r="DC234" s="1603">
        <v>6.8302614663719643</v>
      </c>
      <c r="DD234" s="1603">
        <v>16.234244644710177</v>
      </c>
      <c r="DE234" s="1603">
        <v>8.7048712710012257</v>
      </c>
      <c r="DF234" s="1603">
        <v>0</v>
      </c>
      <c r="DG234" s="1603">
        <v>0</v>
      </c>
      <c r="DH234" s="1603">
        <v>0</v>
      </c>
      <c r="DI234" s="1603">
        <v>0</v>
      </c>
      <c r="DJ234" s="1603">
        <v>0</v>
      </c>
      <c r="DK234" s="1603">
        <v>0</v>
      </c>
      <c r="DL234" s="1603">
        <v>0</v>
      </c>
      <c r="DM234" s="1603">
        <v>0</v>
      </c>
      <c r="DN234" s="1603">
        <v>0</v>
      </c>
      <c r="DO234" s="1603">
        <v>0</v>
      </c>
      <c r="DP234" s="1603">
        <v>0</v>
      </c>
      <c r="DQ234" s="1603">
        <v>0</v>
      </c>
      <c r="DR234" s="1603">
        <v>0</v>
      </c>
      <c r="DS234" s="1603">
        <v>0</v>
      </c>
      <c r="DT234" s="1603">
        <v>0</v>
      </c>
      <c r="DU234" s="1603">
        <v>0</v>
      </c>
      <c r="DV234" s="1603">
        <v>0</v>
      </c>
      <c r="DW234" s="1618" t="s">
        <v>986</v>
      </c>
      <c r="DX234" s="1605" t="s">
        <v>986</v>
      </c>
      <c r="DY234" s="1605" t="s">
        <v>986</v>
      </c>
      <c r="DZ234" s="1605" t="s">
        <v>986</v>
      </c>
      <c r="EA234" s="1605" t="s">
        <v>986</v>
      </c>
      <c r="EB234" s="1605" t="s">
        <v>986</v>
      </c>
      <c r="EC234" s="1605" t="s">
        <v>986</v>
      </c>
      <c r="ED234" s="1605" t="s">
        <v>986</v>
      </c>
      <c r="EE234" s="1605" t="s">
        <v>986</v>
      </c>
      <c r="EF234" s="1605" t="s">
        <v>986</v>
      </c>
      <c r="EG234" s="1605" t="s">
        <v>986</v>
      </c>
      <c r="EH234" s="1605" t="s">
        <v>986</v>
      </c>
      <c r="EI234" s="1605" t="s">
        <v>986</v>
      </c>
      <c r="EJ234" s="1605" t="s">
        <v>986</v>
      </c>
      <c r="EK234" s="1605" t="s">
        <v>986</v>
      </c>
      <c r="EL234" s="1605" t="s">
        <v>986</v>
      </c>
      <c r="EM234" s="1605" t="s">
        <v>986</v>
      </c>
      <c r="EN234" s="1605" t="s">
        <v>986</v>
      </c>
      <c r="EO234" s="1605" t="s">
        <v>986</v>
      </c>
      <c r="EP234" s="1605" t="s">
        <v>986</v>
      </c>
      <c r="EQ234" s="1605" t="s">
        <v>986</v>
      </c>
      <c r="ER234" s="1605" t="s">
        <v>986</v>
      </c>
      <c r="ES234" s="1605" t="s">
        <v>986</v>
      </c>
      <c r="ET234" s="1605" t="s">
        <v>986</v>
      </c>
      <c r="EU234" s="1605" t="s">
        <v>986</v>
      </c>
      <c r="EV234" s="1605" t="s">
        <v>986</v>
      </c>
      <c r="EW234" s="1605" t="s">
        <v>986</v>
      </c>
      <c r="EX234" s="1605" t="s">
        <v>986</v>
      </c>
      <c r="EY234" s="1605" t="s">
        <v>986</v>
      </c>
      <c r="EZ234" s="1605" t="s">
        <v>986</v>
      </c>
      <c r="FA234" s="1605" t="s">
        <v>986</v>
      </c>
      <c r="FB234" s="1605" t="s">
        <v>986</v>
      </c>
      <c r="FC234" s="1605" t="s">
        <v>986</v>
      </c>
      <c r="FD234" s="1605" t="s">
        <v>986</v>
      </c>
      <c r="FE234" s="1605" t="s">
        <v>986</v>
      </c>
      <c r="FF234" s="1605" t="s">
        <v>986</v>
      </c>
      <c r="FG234" s="1605" t="s">
        <v>986</v>
      </c>
      <c r="FH234" s="1605" t="s">
        <v>986</v>
      </c>
      <c r="FI234" s="1605" t="s">
        <v>986</v>
      </c>
      <c r="FJ234" s="1605" t="s">
        <v>986</v>
      </c>
      <c r="FK234" s="1605" t="s">
        <v>986</v>
      </c>
      <c r="FL234" s="1605" t="s">
        <v>986</v>
      </c>
      <c r="FM234" s="1605" t="s">
        <v>986</v>
      </c>
      <c r="FN234" s="1605" t="s">
        <v>986</v>
      </c>
      <c r="FO234" s="1605" t="s">
        <v>986</v>
      </c>
      <c r="FP234" s="1605" t="s">
        <v>986</v>
      </c>
      <c r="FQ234" s="1605" t="s">
        <v>986</v>
      </c>
      <c r="FR234" s="1605" t="s">
        <v>986</v>
      </c>
      <c r="FS234" s="1605" t="s">
        <v>986</v>
      </c>
      <c r="FT234" s="1605" t="s">
        <v>986</v>
      </c>
      <c r="FU234" s="1605" t="s">
        <v>986</v>
      </c>
      <c r="FV234" s="1605" t="s">
        <v>986</v>
      </c>
      <c r="FW234" s="1605" t="s">
        <v>986</v>
      </c>
      <c r="FX234" s="1605" t="s">
        <v>986</v>
      </c>
      <c r="FY234" s="1605" t="s">
        <v>986</v>
      </c>
      <c r="FZ234" s="1605" t="s">
        <v>986</v>
      </c>
      <c r="GA234" s="1605" t="s">
        <v>986</v>
      </c>
      <c r="GB234" s="1605" t="s">
        <v>986</v>
      </c>
      <c r="GC234" s="1605" t="s">
        <v>986</v>
      </c>
      <c r="GD234" s="1605" t="s">
        <v>986</v>
      </c>
      <c r="GE234" s="1605" t="s">
        <v>986</v>
      </c>
      <c r="GF234" s="1605" t="s">
        <v>986</v>
      </c>
      <c r="GG234" s="1605" t="s">
        <v>986</v>
      </c>
      <c r="GH234" s="1605" t="s">
        <v>986</v>
      </c>
      <c r="GI234" s="1605" t="s">
        <v>986</v>
      </c>
      <c r="GJ234" s="1605" t="s">
        <v>986</v>
      </c>
      <c r="GK234" s="1605" t="s">
        <v>986</v>
      </c>
      <c r="GL234" s="1605" t="s">
        <v>986</v>
      </c>
      <c r="GM234" s="1605" t="s">
        <v>986</v>
      </c>
      <c r="GN234" s="1605" t="s">
        <v>986</v>
      </c>
      <c r="GO234" s="1605" t="s">
        <v>986</v>
      </c>
      <c r="GP234" s="1605" t="s">
        <v>986</v>
      </c>
      <c r="GQ234" s="1605" t="s">
        <v>986</v>
      </c>
      <c r="GR234" s="1605" t="s">
        <v>986</v>
      </c>
      <c r="GS234" s="1605" t="s">
        <v>986</v>
      </c>
      <c r="GT234" s="1605" t="s">
        <v>986</v>
      </c>
      <c r="GU234" s="1605" t="s">
        <v>986</v>
      </c>
      <c r="GV234" s="1605" t="s">
        <v>986</v>
      </c>
      <c r="GW234" s="1605" t="s">
        <v>986</v>
      </c>
      <c r="GX234" s="1605" t="s">
        <v>986</v>
      </c>
      <c r="GY234" s="1605" t="s">
        <v>986</v>
      </c>
      <c r="GZ234" s="1605" t="s">
        <v>986</v>
      </c>
      <c r="HA234" s="1605" t="s">
        <v>986</v>
      </c>
      <c r="HB234" s="1605" t="s">
        <v>986</v>
      </c>
      <c r="HC234" s="1605" t="s">
        <v>986</v>
      </c>
      <c r="HD234" s="1605" t="s">
        <v>986</v>
      </c>
      <c r="HE234" s="1605" t="s">
        <v>986</v>
      </c>
      <c r="HF234" s="1605" t="s">
        <v>986</v>
      </c>
      <c r="HG234" s="1605" t="s">
        <v>986</v>
      </c>
      <c r="HH234" s="1605" t="s">
        <v>986</v>
      </c>
      <c r="HI234" s="1605" t="s">
        <v>986</v>
      </c>
      <c r="HJ234" s="1605" t="s">
        <v>986</v>
      </c>
      <c r="HK234" s="1605" t="s">
        <v>986</v>
      </c>
      <c r="HL234" s="1605" t="s">
        <v>986</v>
      </c>
      <c r="HM234" s="1605" t="s">
        <v>986</v>
      </c>
      <c r="HN234" s="1605" t="s">
        <v>986</v>
      </c>
      <c r="HO234" s="1605" t="s">
        <v>986</v>
      </c>
      <c r="HP234" s="1605" t="s">
        <v>986</v>
      </c>
      <c r="HQ234" s="1605" t="s">
        <v>986</v>
      </c>
      <c r="HR234" s="1605" t="s">
        <v>986</v>
      </c>
      <c r="HS234" s="1605" t="s">
        <v>986</v>
      </c>
      <c r="HT234" s="1605" t="s">
        <v>986</v>
      </c>
      <c r="HU234" s="1605" t="s">
        <v>986</v>
      </c>
      <c r="HV234" s="1617"/>
      <c r="HW234" s="1617" t="s">
        <v>986</v>
      </c>
      <c r="HX234" s="1617" t="s">
        <v>986</v>
      </c>
      <c r="HY234" s="1617" t="s">
        <v>986</v>
      </c>
      <c r="HZ234" s="1603"/>
      <c r="IA234" s="1603"/>
      <c r="IB234" s="1603"/>
      <c r="IC234" s="1603">
        <v>65.585365853658502</v>
      </c>
      <c r="ID234" s="1603">
        <v>67.048780487804905</v>
      </c>
      <c r="IE234" s="1603">
        <v>68.268292682926798</v>
      </c>
      <c r="IF234" s="1603">
        <v>69</v>
      </c>
      <c r="IG234" s="1611" t="s">
        <v>3172</v>
      </c>
      <c r="IH234" s="1616" t="s">
        <v>270</v>
      </c>
      <c r="II234" s="1615" t="s">
        <v>270</v>
      </c>
      <c r="IJ234" s="1613">
        <v>1.4375568181818181</v>
      </c>
      <c r="IK234" s="1613">
        <v>0.81461363636363626</v>
      </c>
      <c r="IL234" s="1614">
        <v>1.4375568181818181</v>
      </c>
      <c r="IM234" s="1614">
        <v>0.81461363636363626</v>
      </c>
      <c r="IN234" s="1612" t="s">
        <v>270</v>
      </c>
      <c r="IO234" s="1613" t="s">
        <v>270</v>
      </c>
      <c r="IP234" s="1607" t="s">
        <v>270</v>
      </c>
      <c r="IQ234" s="1612" t="s">
        <v>270</v>
      </c>
      <c r="IR234" s="1612" t="s">
        <v>270</v>
      </c>
      <c r="IS234" s="1607">
        <v>1.1025568181818182</v>
      </c>
      <c r="IT234" s="1607">
        <v>0.4796136363636363</v>
      </c>
      <c r="IU234" s="1611">
        <v>0</v>
      </c>
      <c r="IV234" s="1611">
        <v>7.5454545454545462E-3</v>
      </c>
      <c r="IW234" s="1611">
        <v>1.2045454545454545E-3</v>
      </c>
      <c r="IX234" s="1611">
        <v>6.5909090909090908E-4</v>
      </c>
      <c r="IY234" s="1611">
        <v>1.2159090909090908E-3</v>
      </c>
      <c r="IZ234" s="1611">
        <v>3.0227272727272728E-3</v>
      </c>
      <c r="JA234" s="1611">
        <v>2.3863636363636361E-4</v>
      </c>
      <c r="JB234" s="1611" t="s">
        <v>270</v>
      </c>
      <c r="JC234" s="1611">
        <v>2.9850227272727277</v>
      </c>
      <c r="JD234" s="1611">
        <v>0.13421590909090908</v>
      </c>
      <c r="JE234" s="1611" t="s">
        <v>270</v>
      </c>
      <c r="JF234" s="1611">
        <v>3.4090909090909088E-4</v>
      </c>
      <c r="JG234" s="1611">
        <v>0.76975000000000005</v>
      </c>
      <c r="JH234" s="1611">
        <v>8.8636363636363641E-4</v>
      </c>
      <c r="JI234" s="1611">
        <v>8.1818181818181804E-2</v>
      </c>
      <c r="JJ234" s="1611" t="s">
        <v>270</v>
      </c>
      <c r="JK234" s="1607">
        <f t="shared" si="12"/>
        <v>0.33499999999999996</v>
      </c>
      <c r="JL234" s="1608" t="s">
        <v>270</v>
      </c>
      <c r="JM234" s="1610" t="s">
        <v>2924</v>
      </c>
      <c r="JN234" s="1608">
        <v>0.62294318181818187</v>
      </c>
      <c r="JO234" s="1609" t="s">
        <v>270</v>
      </c>
      <c r="JP234" s="1608" t="s">
        <v>270</v>
      </c>
      <c r="JQ234" s="1607">
        <v>202103</v>
      </c>
      <c r="JR234" s="1606">
        <v>643</v>
      </c>
      <c r="JS234" s="1606">
        <v>585</v>
      </c>
      <c r="JT234" s="1606">
        <v>585</v>
      </c>
    </row>
    <row r="235" spans="1:280" ht="15" customHeight="1" x14ac:dyDescent="0.2">
      <c r="A235" s="1626">
        <v>61500</v>
      </c>
      <c r="B235" s="1625">
        <v>615</v>
      </c>
      <c r="C235" s="1624">
        <v>0</v>
      </c>
      <c r="D235" s="1623" t="s">
        <v>3171</v>
      </c>
      <c r="E235" s="1622">
        <v>43369</v>
      </c>
      <c r="F235" s="1620">
        <v>1.0911707123499801</v>
      </c>
      <c r="G235" s="1620">
        <v>1.1183663257884999</v>
      </c>
      <c r="H235" s="1621">
        <v>91.8</v>
      </c>
      <c r="I235" s="1621">
        <v>73.900000000000006</v>
      </c>
      <c r="J235" s="1621">
        <v>94</v>
      </c>
      <c r="K235" s="1620">
        <v>1</v>
      </c>
      <c r="L235" s="1620">
        <v>93</v>
      </c>
      <c r="M235" s="1620">
        <v>44</v>
      </c>
      <c r="N235" s="1620">
        <v>8.1</v>
      </c>
      <c r="O235" s="1620">
        <v>6.3</v>
      </c>
      <c r="P235" s="1620">
        <v>5.5</v>
      </c>
      <c r="Q235" s="1603"/>
      <c r="R235" s="1620">
        <v>83.849977888239493</v>
      </c>
      <c r="S235" s="1620">
        <v>39</v>
      </c>
      <c r="T235" s="1620">
        <v>51.195121951219498</v>
      </c>
      <c r="U235" s="1620">
        <v>56.0731707317073</v>
      </c>
      <c r="V235" s="1620">
        <v>60.463414634146297</v>
      </c>
      <c r="W235" s="1620">
        <v>63.390243902439003</v>
      </c>
      <c r="X235" s="1620"/>
      <c r="Y235" s="1620">
        <v>3.6999999999999997</v>
      </c>
      <c r="Z235" s="1620">
        <v>7.2</v>
      </c>
      <c r="AA235" s="1620">
        <v>0.1</v>
      </c>
      <c r="AB235" s="1620">
        <v>0.32258064516129031</v>
      </c>
      <c r="AC235" s="1620">
        <v>26</v>
      </c>
      <c r="AD235" s="1620">
        <v>3.5</v>
      </c>
      <c r="AE235" s="1620">
        <v>3.8</v>
      </c>
      <c r="AF235" s="1620">
        <v>275</v>
      </c>
      <c r="AG235" s="1620">
        <v>16</v>
      </c>
      <c r="AH235" s="1620">
        <v>52</v>
      </c>
      <c r="AI235" s="1620">
        <v>52</v>
      </c>
      <c r="AJ235" s="1620">
        <v>0</v>
      </c>
      <c r="AK235" s="1620">
        <v>0.17918024190345055</v>
      </c>
      <c r="AL235" s="1620"/>
      <c r="AM235" s="1620">
        <v>6.09</v>
      </c>
      <c r="AN235" s="1620">
        <v>1.31</v>
      </c>
      <c r="AO235" s="1620">
        <v>1.39</v>
      </c>
      <c r="AP235" s="1620">
        <v>3.85</v>
      </c>
      <c r="AQ235" s="1620">
        <v>1.34</v>
      </c>
      <c r="AR235" s="1620">
        <v>4.3899999999999997</v>
      </c>
      <c r="AS235" s="1620">
        <v>7.68</v>
      </c>
      <c r="AT235" s="1620">
        <v>2.62</v>
      </c>
      <c r="AU235" s="1620">
        <v>4.96</v>
      </c>
      <c r="AV235" s="1620">
        <v>3.68</v>
      </c>
      <c r="AW235" s="1620">
        <v>4.6900000000000004</v>
      </c>
      <c r="AX235" s="1620"/>
      <c r="AY235" s="1620">
        <v>1</v>
      </c>
      <c r="AZ235" s="1620">
        <v>1.02285538957352</v>
      </c>
      <c r="BA235" s="1620">
        <v>0.99855389573515296</v>
      </c>
      <c r="BB235" s="1620">
        <v>0.97571077914702997</v>
      </c>
      <c r="BC235" s="1620">
        <v>1.02</v>
      </c>
      <c r="BD235" s="1620">
        <v>0.98143383127945405</v>
      </c>
      <c r="BE235" s="1620">
        <v>0.96572305213242404</v>
      </c>
      <c r="BF235" s="1620">
        <v>1.0157107791470299</v>
      </c>
      <c r="BG235" s="1620">
        <v>0.98572305213242395</v>
      </c>
      <c r="BH235" s="1620">
        <v>0.972867662558908</v>
      </c>
      <c r="BI235" s="1620">
        <v>0.95857844170593798</v>
      </c>
      <c r="BJ235" s="1603"/>
      <c r="BK235" s="1620">
        <v>47.311827956989248</v>
      </c>
      <c r="BL235" s="1620">
        <v>8.7096774193548381</v>
      </c>
      <c r="BM235" s="1620">
        <v>6.774193548387097</v>
      </c>
      <c r="BN235" s="1620">
        <v>5.913978494623656</v>
      </c>
      <c r="BO235" s="1620"/>
      <c r="BP235" s="1620">
        <v>0</v>
      </c>
      <c r="BQ235" s="1620">
        <v>0</v>
      </c>
      <c r="BR235" s="1620">
        <v>1.1733018412365377</v>
      </c>
      <c r="BS235" s="1620">
        <v>1.2025444363317204</v>
      </c>
      <c r="BT235" s="1603"/>
      <c r="BU235" s="1620">
        <v>932.25806451612902</v>
      </c>
      <c r="BV235" s="1620">
        <v>102.39969278033796</v>
      </c>
      <c r="BW235" s="1620">
        <v>238.39170506912365</v>
      </c>
      <c r="BX235" s="1620" t="s">
        <v>270</v>
      </c>
      <c r="BY235" s="1620" t="s">
        <v>270</v>
      </c>
      <c r="BZ235" s="1620">
        <v>76.871115207373435</v>
      </c>
      <c r="CA235" s="1620">
        <v>207.83671889400858</v>
      </c>
      <c r="CB235" s="1603"/>
      <c r="CC235" s="1603">
        <v>3.4409999999999998</v>
      </c>
      <c r="CD235" s="1603">
        <v>6.6960000000000006</v>
      </c>
      <c r="CE235" s="1603">
        <v>9.3000000000000013E-2</v>
      </c>
      <c r="CF235" s="1603">
        <v>0.3</v>
      </c>
      <c r="CG235" s="1603">
        <v>24.18</v>
      </c>
      <c r="CH235" s="1603">
        <v>3.2550000000000003</v>
      </c>
      <c r="CI235" s="1603">
        <v>3.5339999999999998</v>
      </c>
      <c r="CJ235" s="1603"/>
      <c r="CK235" s="1603">
        <v>255.75</v>
      </c>
      <c r="CL235" s="1603">
        <v>14.88</v>
      </c>
      <c r="CM235" s="1603">
        <v>48.36</v>
      </c>
      <c r="CN235" s="1603">
        <v>48.36</v>
      </c>
      <c r="CO235" s="1603">
        <v>0</v>
      </c>
      <c r="CP235" s="1603">
        <v>0.16663762497020904</v>
      </c>
      <c r="CQ235" s="1603">
        <v>368.93990270825401</v>
      </c>
      <c r="CR235" s="1603">
        <v>338.113824475451</v>
      </c>
      <c r="CS235" s="1603">
        <v>20.591131910554903</v>
      </c>
      <c r="CT235" s="1603">
        <v>4.5305242742677798</v>
      </c>
      <c r="CU235" s="1603">
        <v>4.6929857851830237</v>
      </c>
      <c r="CV235" s="1603">
        <v>9.2235100594507671</v>
      </c>
      <c r="CW235" s="1603">
        <v>12.701200170093946</v>
      </c>
      <c r="CX235" s="1603">
        <v>4.6213397529304681</v>
      </c>
      <c r="CY235" s="1603">
        <v>14.567615596577179</v>
      </c>
      <c r="CZ235" s="1603">
        <v>25.07706735671799</v>
      </c>
      <c r="DA235" s="1603">
        <v>8.9977574297765379</v>
      </c>
      <c r="DB235" s="1603">
        <v>16.531014915093298</v>
      </c>
      <c r="DC235" s="1603">
        <v>12.104992224343254</v>
      </c>
      <c r="DD235" s="1603">
        <v>28.636007139436646</v>
      </c>
      <c r="DE235" s="1603">
        <v>15.20069441799237</v>
      </c>
      <c r="DF235" s="1603">
        <v>0</v>
      </c>
      <c r="DG235" s="1603">
        <v>0</v>
      </c>
      <c r="DH235" s="1603">
        <v>0</v>
      </c>
      <c r="DI235" s="1603">
        <v>0</v>
      </c>
      <c r="DJ235" s="1603">
        <v>0</v>
      </c>
      <c r="DK235" s="1603">
        <v>0</v>
      </c>
      <c r="DL235" s="1603">
        <v>0</v>
      </c>
      <c r="DM235" s="1603">
        <v>0</v>
      </c>
      <c r="DN235" s="1603">
        <v>0</v>
      </c>
      <c r="DO235" s="1603">
        <v>0</v>
      </c>
      <c r="DP235" s="1603">
        <v>0</v>
      </c>
      <c r="DQ235" s="1603">
        <v>0</v>
      </c>
      <c r="DR235" s="1603">
        <v>0</v>
      </c>
      <c r="DS235" s="1603">
        <v>0</v>
      </c>
      <c r="DT235" s="1603">
        <v>0</v>
      </c>
      <c r="DU235" s="1603">
        <v>0</v>
      </c>
      <c r="DV235" s="1603">
        <v>0</v>
      </c>
      <c r="DW235" s="1618" t="s">
        <v>3170</v>
      </c>
      <c r="DX235" s="1605" t="s">
        <v>986</v>
      </c>
      <c r="DY235" s="1605" t="s">
        <v>986</v>
      </c>
      <c r="DZ235" s="1605" t="s">
        <v>986</v>
      </c>
      <c r="EA235" s="1605" t="s">
        <v>986</v>
      </c>
      <c r="EB235" s="1605" t="s">
        <v>986</v>
      </c>
      <c r="EC235" s="1605" t="s">
        <v>986</v>
      </c>
      <c r="ED235" s="1605" t="s">
        <v>986</v>
      </c>
      <c r="EE235" s="1605" t="s">
        <v>986</v>
      </c>
      <c r="EF235" s="1605" t="s">
        <v>986</v>
      </c>
      <c r="EG235" s="1605" t="s">
        <v>986</v>
      </c>
      <c r="EH235" s="1605" t="s">
        <v>986</v>
      </c>
      <c r="EI235" s="1605" t="s">
        <v>986</v>
      </c>
      <c r="EJ235" s="1605" t="s">
        <v>986</v>
      </c>
      <c r="EK235" s="1605" t="s">
        <v>986</v>
      </c>
      <c r="EL235" s="1605" t="s">
        <v>986</v>
      </c>
      <c r="EM235" s="1605" t="s">
        <v>986</v>
      </c>
      <c r="EN235" s="1605" t="s">
        <v>986</v>
      </c>
      <c r="EO235" s="1605" t="s">
        <v>986</v>
      </c>
      <c r="EP235" s="1605" t="s">
        <v>986</v>
      </c>
      <c r="EQ235" s="1605" t="s">
        <v>986</v>
      </c>
      <c r="ER235" s="1605" t="s">
        <v>986</v>
      </c>
      <c r="ES235" s="1605" t="s">
        <v>986</v>
      </c>
      <c r="ET235" s="1605" t="s">
        <v>986</v>
      </c>
      <c r="EU235" s="1605" t="s">
        <v>986</v>
      </c>
      <c r="EV235" s="1605" t="s">
        <v>986</v>
      </c>
      <c r="EW235" s="1605" t="s">
        <v>986</v>
      </c>
      <c r="EX235" s="1605" t="s">
        <v>986</v>
      </c>
      <c r="EY235" s="1605" t="s">
        <v>986</v>
      </c>
      <c r="EZ235" s="1605" t="s">
        <v>986</v>
      </c>
      <c r="FA235" s="1605" t="s">
        <v>986</v>
      </c>
      <c r="FB235" s="1605" t="s">
        <v>986</v>
      </c>
      <c r="FC235" s="1605" t="s">
        <v>986</v>
      </c>
      <c r="FD235" s="1605" t="s">
        <v>986</v>
      </c>
      <c r="FE235" s="1605" t="s">
        <v>986</v>
      </c>
      <c r="FF235" s="1605" t="s">
        <v>986</v>
      </c>
      <c r="FG235" s="1605" t="s">
        <v>986</v>
      </c>
      <c r="FH235" s="1605" t="s">
        <v>986</v>
      </c>
      <c r="FI235" s="1605" t="s">
        <v>986</v>
      </c>
      <c r="FJ235" s="1605" t="s">
        <v>986</v>
      </c>
      <c r="FK235" s="1605" t="s">
        <v>986</v>
      </c>
      <c r="FL235" s="1605" t="s">
        <v>986</v>
      </c>
      <c r="FM235" s="1605" t="s">
        <v>986</v>
      </c>
      <c r="FN235" s="1605" t="s">
        <v>986</v>
      </c>
      <c r="FO235" s="1605" t="s">
        <v>986</v>
      </c>
      <c r="FP235" s="1605" t="s">
        <v>986</v>
      </c>
      <c r="FQ235" s="1605" t="s">
        <v>986</v>
      </c>
      <c r="FR235" s="1605" t="s">
        <v>986</v>
      </c>
      <c r="FS235" s="1605" t="s">
        <v>986</v>
      </c>
      <c r="FT235" s="1605" t="s">
        <v>986</v>
      </c>
      <c r="FU235" s="1605" t="s">
        <v>986</v>
      </c>
      <c r="FV235" s="1605" t="s">
        <v>986</v>
      </c>
      <c r="FW235" s="1605" t="s">
        <v>986</v>
      </c>
      <c r="FX235" s="1605" t="s">
        <v>986</v>
      </c>
      <c r="FY235" s="1605" t="s">
        <v>986</v>
      </c>
      <c r="FZ235" s="1605" t="s">
        <v>986</v>
      </c>
      <c r="GA235" s="1605" t="s">
        <v>986</v>
      </c>
      <c r="GB235" s="1605" t="s">
        <v>986</v>
      </c>
      <c r="GC235" s="1605" t="s">
        <v>986</v>
      </c>
      <c r="GD235" s="1605" t="s">
        <v>986</v>
      </c>
      <c r="GE235" s="1605" t="s">
        <v>986</v>
      </c>
      <c r="GF235" s="1605" t="s">
        <v>986</v>
      </c>
      <c r="GG235" s="1605" t="s">
        <v>986</v>
      </c>
      <c r="GH235" s="1605" t="s">
        <v>986</v>
      </c>
      <c r="GI235" s="1605" t="s">
        <v>986</v>
      </c>
      <c r="GJ235" s="1605" t="s">
        <v>986</v>
      </c>
      <c r="GK235" s="1605" t="s">
        <v>986</v>
      </c>
      <c r="GL235" s="1605" t="s">
        <v>986</v>
      </c>
      <c r="GM235" s="1605" t="s">
        <v>986</v>
      </c>
      <c r="GN235" s="1605" t="s">
        <v>986</v>
      </c>
      <c r="GO235" s="1605" t="s">
        <v>986</v>
      </c>
      <c r="GP235" s="1605" t="s">
        <v>986</v>
      </c>
      <c r="GQ235" s="1605" t="s">
        <v>986</v>
      </c>
      <c r="GR235" s="1605" t="s">
        <v>986</v>
      </c>
      <c r="GS235" s="1605" t="s">
        <v>986</v>
      </c>
      <c r="GT235" s="1605" t="s">
        <v>986</v>
      </c>
      <c r="GU235" s="1605" t="s">
        <v>986</v>
      </c>
      <c r="GV235" s="1605" t="s">
        <v>986</v>
      </c>
      <c r="GW235" s="1605" t="s">
        <v>986</v>
      </c>
      <c r="GX235" s="1605" t="s">
        <v>986</v>
      </c>
      <c r="GY235" s="1605" t="s">
        <v>986</v>
      </c>
      <c r="GZ235" s="1605" t="s">
        <v>986</v>
      </c>
      <c r="HA235" s="1605" t="s">
        <v>986</v>
      </c>
      <c r="HB235" s="1605" t="s">
        <v>986</v>
      </c>
      <c r="HC235" s="1605" t="s">
        <v>986</v>
      </c>
      <c r="HD235" s="1605" t="s">
        <v>986</v>
      </c>
      <c r="HE235" s="1605" t="s">
        <v>986</v>
      </c>
      <c r="HF235" s="1605" t="s">
        <v>986</v>
      </c>
      <c r="HG235" s="1605" t="s">
        <v>986</v>
      </c>
      <c r="HH235" s="1605" t="s">
        <v>986</v>
      </c>
      <c r="HI235" s="1605" t="s">
        <v>986</v>
      </c>
      <c r="HJ235" s="1605" t="s">
        <v>986</v>
      </c>
      <c r="HK235" s="1605" t="s">
        <v>986</v>
      </c>
      <c r="HL235" s="1605" t="s">
        <v>986</v>
      </c>
      <c r="HM235" s="1605" t="s">
        <v>986</v>
      </c>
      <c r="HN235" s="1605" t="s">
        <v>986</v>
      </c>
      <c r="HO235" s="1605" t="s">
        <v>986</v>
      </c>
      <c r="HP235" s="1605" t="s">
        <v>986</v>
      </c>
      <c r="HQ235" s="1605" t="s">
        <v>986</v>
      </c>
      <c r="HR235" s="1605" t="s">
        <v>986</v>
      </c>
      <c r="HS235" s="1605" t="s">
        <v>986</v>
      </c>
      <c r="HT235" s="1605" t="s">
        <v>986</v>
      </c>
      <c r="HU235" s="1605" t="s">
        <v>986</v>
      </c>
      <c r="HV235" s="1617"/>
      <c r="HW235" s="1617" t="s">
        <v>3155</v>
      </c>
      <c r="HX235" s="1617">
        <v>0</v>
      </c>
      <c r="HY235" s="1617">
        <v>0</v>
      </c>
      <c r="HZ235" s="1603"/>
      <c r="IA235" s="1603"/>
      <c r="IB235" s="1603"/>
      <c r="IC235" s="1603">
        <v>65.585365853658502</v>
      </c>
      <c r="ID235" s="1603">
        <v>67.048780487804905</v>
      </c>
      <c r="IE235" s="1603">
        <v>68.268292682926798</v>
      </c>
      <c r="IF235" s="1603">
        <v>69</v>
      </c>
      <c r="IG235" s="1611" t="s">
        <v>3169</v>
      </c>
      <c r="IH235" s="1616" t="s">
        <v>270</v>
      </c>
      <c r="II235" s="1615" t="s">
        <v>270</v>
      </c>
      <c r="IJ235" s="1613">
        <v>6.0245767045454555</v>
      </c>
      <c r="IK235" s="1613">
        <v>0.8894971590909091</v>
      </c>
      <c r="IL235" s="1614">
        <v>6.0245767045454555</v>
      </c>
      <c r="IM235" s="1614">
        <v>0.8894971590909091</v>
      </c>
      <c r="IN235" s="1612" t="s">
        <v>270</v>
      </c>
      <c r="IO235" s="1613" t="s">
        <v>270</v>
      </c>
      <c r="IP235" s="1607" t="s">
        <v>270</v>
      </c>
      <c r="IQ235" s="1612" t="s">
        <v>270</v>
      </c>
      <c r="IR235" s="1612" t="s">
        <v>270</v>
      </c>
      <c r="IS235" s="1607">
        <v>5.6895767045454555</v>
      </c>
      <c r="IT235" s="1607">
        <v>0.55449715909090902</v>
      </c>
      <c r="IU235" s="1611">
        <v>0</v>
      </c>
      <c r="IV235" s="1611">
        <v>1.3605113636363637E-2</v>
      </c>
      <c r="IW235" s="1611">
        <v>1.3693181818181818E-3</v>
      </c>
      <c r="IX235" s="1611">
        <v>6.9318181818181827E-4</v>
      </c>
      <c r="IY235" s="1611">
        <v>1.3806818181818182E-3</v>
      </c>
      <c r="IZ235" s="1611">
        <v>2.8267045454545454E-3</v>
      </c>
      <c r="JA235" s="1611">
        <v>2.4431818181818181E-4</v>
      </c>
      <c r="JB235" s="1611" t="s">
        <v>270</v>
      </c>
      <c r="JC235" s="1611">
        <v>0.74000852272727258</v>
      </c>
      <c r="JD235" s="1611">
        <v>5.3750000000000006E-2</v>
      </c>
      <c r="JE235" s="1611" t="s">
        <v>270</v>
      </c>
      <c r="JF235" s="1611">
        <v>4.0056818181818184E-4</v>
      </c>
      <c r="JG235" s="1611">
        <v>0.83098295454545457</v>
      </c>
      <c r="JH235" s="1611">
        <v>8.8068181818181821E-4</v>
      </c>
      <c r="JI235" s="1611">
        <v>0.11025568181818181</v>
      </c>
      <c r="JJ235" s="1611" t="s">
        <v>270</v>
      </c>
      <c r="JK235" s="1607">
        <f t="shared" si="12"/>
        <v>0.33499999999999996</v>
      </c>
      <c r="JL235" s="1608" t="s">
        <v>270</v>
      </c>
      <c r="JM235" s="1610" t="s">
        <v>2924</v>
      </c>
      <c r="JN235" s="1608">
        <v>5.1350795454545466</v>
      </c>
      <c r="JO235" s="1609" t="s">
        <v>3114</v>
      </c>
      <c r="JP235" s="1608" t="s">
        <v>270</v>
      </c>
      <c r="JQ235" s="1607">
        <v>202103</v>
      </c>
      <c r="JR235" s="1606">
        <v>585</v>
      </c>
      <c r="JS235" s="1606">
        <v>530</v>
      </c>
      <c r="JT235" s="1606">
        <v>530</v>
      </c>
    </row>
    <row r="236" spans="1:280" ht="15" customHeight="1" x14ac:dyDescent="0.2">
      <c r="A236" s="1626">
        <v>61330</v>
      </c>
      <c r="B236" s="1625">
        <v>613</v>
      </c>
      <c r="C236" s="1624">
        <v>30</v>
      </c>
      <c r="D236" s="1623" t="s">
        <v>3168</v>
      </c>
      <c r="E236" s="1622">
        <v>43369</v>
      </c>
      <c r="F236" s="1620">
        <v>0.92046866445993003</v>
      </c>
      <c r="G236" s="1620">
        <v>0.95126558074507905</v>
      </c>
      <c r="H236" s="1621">
        <v>92.9</v>
      </c>
      <c r="I236" s="1621">
        <v>75.2</v>
      </c>
      <c r="J236" s="1621">
        <v>96</v>
      </c>
      <c r="K236" s="1620">
        <v>1</v>
      </c>
      <c r="L236" s="1620">
        <v>92.3</v>
      </c>
      <c r="M236" s="1620">
        <v>60.825699999999998</v>
      </c>
      <c r="N236" s="1620">
        <v>1.9382999999999999</v>
      </c>
      <c r="O236" s="1620">
        <v>6.6456</v>
      </c>
      <c r="P236" s="1620">
        <v>3.1381999999999999</v>
      </c>
      <c r="Q236" s="1603"/>
      <c r="R236" s="1620">
        <v>83.5</v>
      </c>
      <c r="S236" s="1620">
        <v>39</v>
      </c>
      <c r="T236" s="1620">
        <v>51.195121951219498</v>
      </c>
      <c r="U236" s="1620">
        <v>56.0731707317073</v>
      </c>
      <c r="V236" s="1620">
        <v>60.463414634146297</v>
      </c>
      <c r="W236" s="1620">
        <v>63.390243902439003</v>
      </c>
      <c r="X236" s="1620"/>
      <c r="Y236" s="1620">
        <v>3.7</v>
      </c>
      <c r="Z236" s="1620">
        <v>7.4</v>
      </c>
      <c r="AA236" s="1620">
        <v>9.9999999999999992E-2</v>
      </c>
      <c r="AB236" s="1620">
        <v>0.32502708559046589</v>
      </c>
      <c r="AC236" s="1620">
        <v>22.900000000000002</v>
      </c>
      <c r="AD236" s="1620">
        <v>3.9</v>
      </c>
      <c r="AE236" s="1620">
        <v>4.8</v>
      </c>
      <c r="AF236" s="1620">
        <v>390.09999999999997</v>
      </c>
      <c r="AG236" s="1620">
        <v>8.5000000000000018</v>
      </c>
      <c r="AH236" s="1620">
        <v>44.6</v>
      </c>
      <c r="AI236" s="1620">
        <v>61.600000000000009</v>
      </c>
      <c r="AJ236" s="1620">
        <v>0</v>
      </c>
      <c r="AK236" s="1620">
        <v>3.0000000000000002E-2</v>
      </c>
      <c r="AL236" s="1620"/>
      <c r="AM236" s="1620">
        <v>6.2822458270106196</v>
      </c>
      <c r="AN236" s="1620">
        <v>1.3657056145675299</v>
      </c>
      <c r="AO236" s="1620">
        <v>1.38088012139605</v>
      </c>
      <c r="AP236" s="1620">
        <v>4.03641881638847</v>
      </c>
      <c r="AQ236" s="1620">
        <v>1.32018209408194</v>
      </c>
      <c r="AR236" s="1620">
        <v>4.6433990895295896</v>
      </c>
      <c r="AS236" s="1620">
        <v>7.8907435508345998</v>
      </c>
      <c r="AT236" s="1620">
        <v>2.6100151745068301</v>
      </c>
      <c r="AU236" s="1620">
        <v>5.1896813353565996</v>
      </c>
      <c r="AV236" s="1620">
        <v>3.7632776934749601</v>
      </c>
      <c r="AW236" s="1620">
        <v>4.7647951441578096</v>
      </c>
      <c r="AX236" s="1620"/>
      <c r="AY236" s="1620">
        <v>1.06</v>
      </c>
      <c r="AZ236" s="1620">
        <v>1.08</v>
      </c>
      <c r="BA236" s="1620">
        <v>0.96</v>
      </c>
      <c r="BB236" s="1620">
        <v>1.05</v>
      </c>
      <c r="BC236" s="1620">
        <v>1.1000000000000001</v>
      </c>
      <c r="BD236" s="1620">
        <v>1.07</v>
      </c>
      <c r="BE236" s="1620">
        <v>1.07</v>
      </c>
      <c r="BF236" s="1620">
        <v>1.08</v>
      </c>
      <c r="BG236" s="1620">
        <v>1.08</v>
      </c>
      <c r="BH236" s="1620">
        <v>1.1000000000000001</v>
      </c>
      <c r="BI236" s="1620">
        <v>1.05</v>
      </c>
      <c r="BJ236" s="1603"/>
      <c r="BK236" s="1620">
        <v>65.900000000000006</v>
      </c>
      <c r="BL236" s="1620">
        <v>2.1</v>
      </c>
      <c r="BM236" s="1620">
        <v>7.1999999999999993</v>
      </c>
      <c r="BN236" s="1620">
        <v>3.4</v>
      </c>
      <c r="BO236" s="1620"/>
      <c r="BP236" s="1620">
        <v>130</v>
      </c>
      <c r="BQ236" s="1620">
        <v>27.3</v>
      </c>
      <c r="BR236" s="1620">
        <v>0.99725749128919838</v>
      </c>
      <c r="BS236" s="1620">
        <v>1.0306235977736502</v>
      </c>
      <c r="BT236" s="1603"/>
      <c r="BU236" s="1620">
        <v>928</v>
      </c>
      <c r="BV236" s="1620">
        <v>7.4005714285714301</v>
      </c>
      <c r="BW236" s="1620">
        <v>234.65142857142905</v>
      </c>
      <c r="BX236" s="1620" t="s">
        <v>270</v>
      </c>
      <c r="BY236" s="1620" t="s">
        <v>270</v>
      </c>
      <c r="BZ236" s="1620">
        <v>73.858345714285818</v>
      </c>
      <c r="CA236" s="1620">
        <v>199.69108285714302</v>
      </c>
      <c r="CB236" s="1603"/>
      <c r="CC236" s="1603">
        <v>3.4150999999999998</v>
      </c>
      <c r="CD236" s="1603">
        <v>6.8301999999999996</v>
      </c>
      <c r="CE236" s="1603">
        <v>9.2299999999999979E-2</v>
      </c>
      <c r="CF236" s="1603">
        <v>0.3</v>
      </c>
      <c r="CG236" s="1603">
        <v>21.136700000000001</v>
      </c>
      <c r="CH236" s="1603">
        <v>3.5996999999999995</v>
      </c>
      <c r="CI236" s="1603">
        <v>4.4303999999999997</v>
      </c>
      <c r="CJ236" s="1603"/>
      <c r="CK236" s="1603">
        <v>360.06229999999994</v>
      </c>
      <c r="CL236" s="1603">
        <v>7.8455000000000013</v>
      </c>
      <c r="CM236" s="1603">
        <v>41.165799999999997</v>
      </c>
      <c r="CN236" s="1603">
        <v>56.856800000000007</v>
      </c>
      <c r="CO236" s="1603">
        <v>0</v>
      </c>
      <c r="CP236" s="1603">
        <v>2.7689999999999999E-2</v>
      </c>
      <c r="CQ236" s="1603">
        <v>507.89459499999998</v>
      </c>
      <c r="CR236" s="1603">
        <v>551.7782566753632</v>
      </c>
      <c r="CS236" s="1603">
        <v>36.743910494600357</v>
      </c>
      <c r="CT236" s="1603">
        <v>8.1385199618885462</v>
      </c>
      <c r="CU236" s="1603">
        <v>7.3146204101911021</v>
      </c>
      <c r="CV236" s="1603">
        <v>15.45314037207967</v>
      </c>
      <c r="CW236" s="1603">
        <v>23.385685446043844</v>
      </c>
      <c r="CX236" s="1603">
        <v>8.012925518032187</v>
      </c>
      <c r="CY236" s="1603">
        <v>27.414755204954083</v>
      </c>
      <c r="CZ236" s="1603">
        <v>46.587165707765109</v>
      </c>
      <c r="DA236" s="1603">
        <v>15.553615927164712</v>
      </c>
      <c r="DB236" s="1603">
        <v>30.926375855176349</v>
      </c>
      <c r="DC236" s="1603">
        <v>22.841442855999858</v>
      </c>
      <c r="DD236" s="1603">
        <v>53.767818711176204</v>
      </c>
      <c r="DE236" s="1603">
        <v>27.605658759615665</v>
      </c>
      <c r="DF236" s="1603">
        <v>0</v>
      </c>
      <c r="DG236" s="1603">
        <v>0</v>
      </c>
      <c r="DH236" s="1603">
        <v>0</v>
      </c>
      <c r="DI236" s="1603">
        <v>0</v>
      </c>
      <c r="DJ236" s="1603">
        <v>0</v>
      </c>
      <c r="DK236" s="1603">
        <v>0</v>
      </c>
      <c r="DL236" s="1603">
        <v>0</v>
      </c>
      <c r="DM236" s="1603">
        <v>0</v>
      </c>
      <c r="DN236" s="1603">
        <v>0</v>
      </c>
      <c r="DO236" s="1603">
        <v>0</v>
      </c>
      <c r="DP236" s="1603">
        <v>0</v>
      </c>
      <c r="DQ236" s="1603">
        <v>0</v>
      </c>
      <c r="DR236" s="1603">
        <v>0</v>
      </c>
      <c r="DS236" s="1603">
        <v>0</v>
      </c>
      <c r="DT236" s="1603">
        <v>0</v>
      </c>
      <c r="DU236" s="1603">
        <v>0</v>
      </c>
      <c r="DV236" s="1603">
        <v>0</v>
      </c>
      <c r="DW236" s="1618" t="s">
        <v>3161</v>
      </c>
      <c r="DX236" s="1605" t="s">
        <v>986</v>
      </c>
      <c r="DY236" s="1605">
        <v>8</v>
      </c>
      <c r="DZ236" s="1605">
        <v>8</v>
      </c>
      <c r="EA236" s="1605">
        <v>8</v>
      </c>
      <c r="EB236" s="1605" t="s">
        <v>986</v>
      </c>
      <c r="EC236" s="1605">
        <v>8</v>
      </c>
      <c r="ED236" s="1605">
        <v>8</v>
      </c>
      <c r="EE236" s="1605">
        <v>8</v>
      </c>
      <c r="EF236" s="1605">
        <v>8</v>
      </c>
      <c r="EG236" s="1605">
        <v>8</v>
      </c>
      <c r="EH236" s="1605">
        <v>8</v>
      </c>
      <c r="EI236" s="1605">
        <v>8</v>
      </c>
      <c r="EJ236" s="1605">
        <v>8</v>
      </c>
      <c r="EK236" s="1605">
        <v>8</v>
      </c>
      <c r="EL236" s="1605">
        <v>8</v>
      </c>
      <c r="EM236" s="1605">
        <v>8</v>
      </c>
      <c r="EN236" s="1605">
        <v>8</v>
      </c>
      <c r="EO236" s="1605">
        <v>8</v>
      </c>
      <c r="EP236" s="1605">
        <v>8</v>
      </c>
      <c r="EQ236" s="1605">
        <v>8</v>
      </c>
      <c r="ER236" s="1605">
        <v>8</v>
      </c>
      <c r="ES236" s="1605">
        <v>8</v>
      </c>
      <c r="ET236" s="1605">
        <v>8</v>
      </c>
      <c r="EU236" s="1605">
        <v>8</v>
      </c>
      <c r="EV236" s="1605" t="s">
        <v>986</v>
      </c>
      <c r="EW236" s="1605">
        <v>8</v>
      </c>
      <c r="EX236" s="1605">
        <v>8</v>
      </c>
      <c r="EY236" s="1605" t="s">
        <v>986</v>
      </c>
      <c r="EZ236" s="1605">
        <v>8</v>
      </c>
      <c r="FA236" s="1605">
        <v>8</v>
      </c>
      <c r="FB236" s="1605">
        <v>8</v>
      </c>
      <c r="FC236" s="1605">
        <v>8</v>
      </c>
      <c r="FD236" s="1605" t="s">
        <v>986</v>
      </c>
      <c r="FE236" s="1605">
        <v>4</v>
      </c>
      <c r="FF236" s="1605" t="s">
        <v>986</v>
      </c>
      <c r="FG236" s="1605">
        <v>0.56999999999999995</v>
      </c>
      <c r="FH236" s="1605">
        <v>0.26</v>
      </c>
      <c r="FI236" s="1605">
        <v>0.33</v>
      </c>
      <c r="FJ236" s="1605" t="s">
        <v>986</v>
      </c>
      <c r="FK236" s="1605">
        <v>1.31</v>
      </c>
      <c r="FL236" s="1605">
        <v>0.92</v>
      </c>
      <c r="FM236" s="1605" t="s">
        <v>986</v>
      </c>
      <c r="FN236" s="1605">
        <v>1.51</v>
      </c>
      <c r="FO236" s="1605">
        <v>1.34</v>
      </c>
      <c r="FP236" s="1605">
        <v>0.59</v>
      </c>
      <c r="FQ236" s="1605">
        <v>0.17</v>
      </c>
      <c r="FR236" s="1605">
        <v>0.28000000000000003</v>
      </c>
      <c r="FS236" s="1605">
        <v>0.5</v>
      </c>
      <c r="FT236" s="1605">
        <v>0.15</v>
      </c>
      <c r="FU236" s="1605">
        <v>0.5</v>
      </c>
      <c r="FV236" s="1605">
        <v>0.62</v>
      </c>
      <c r="FW236" s="1605">
        <v>0.16</v>
      </c>
      <c r="FX236" s="1605">
        <v>1.17</v>
      </c>
      <c r="FY236" s="1605">
        <v>1.03</v>
      </c>
      <c r="FZ236" s="1605">
        <v>0.56000000000000005</v>
      </c>
      <c r="GA236" s="1605" t="s">
        <v>986</v>
      </c>
      <c r="GB236" s="1605">
        <v>0.38</v>
      </c>
      <c r="GC236" s="1605" t="s">
        <v>986</v>
      </c>
      <c r="GD236" s="1605" t="s">
        <v>986</v>
      </c>
      <c r="GE236" s="1605">
        <v>0.98</v>
      </c>
      <c r="GF236" s="1605">
        <v>0.23</v>
      </c>
      <c r="GG236" s="1605">
        <v>0.14000000000000001</v>
      </c>
      <c r="GH236" s="1605">
        <v>312</v>
      </c>
      <c r="GI236" s="1605">
        <v>1.64</v>
      </c>
      <c r="GJ236" s="1605">
        <v>3.27</v>
      </c>
      <c r="GK236" s="1605">
        <v>7.86</v>
      </c>
      <c r="GL236" s="1605" t="s">
        <v>986</v>
      </c>
      <c r="GM236" s="1605">
        <v>0.05</v>
      </c>
      <c r="GN236" s="1605" t="s">
        <v>1585</v>
      </c>
      <c r="GO236" s="1605" t="s">
        <v>1585</v>
      </c>
      <c r="GP236" s="1605" t="s">
        <v>1585</v>
      </c>
      <c r="GQ236" s="1605" t="s">
        <v>1585</v>
      </c>
      <c r="GR236" s="1605" t="s">
        <v>986</v>
      </c>
      <c r="GS236" s="1605" t="s">
        <v>1585</v>
      </c>
      <c r="GT236" s="1605" t="s">
        <v>1585</v>
      </c>
      <c r="GU236" s="1605" t="s">
        <v>1585</v>
      </c>
      <c r="GV236" s="1605" t="s">
        <v>1585</v>
      </c>
      <c r="GW236" s="1605" t="s">
        <v>1585</v>
      </c>
      <c r="GX236" s="1605" t="s">
        <v>1585</v>
      </c>
      <c r="GY236" s="1605" t="s">
        <v>1585</v>
      </c>
      <c r="GZ236" s="1605" t="s">
        <v>1585</v>
      </c>
      <c r="HA236" s="1605" t="s">
        <v>1585</v>
      </c>
      <c r="HB236" s="1605" t="s">
        <v>1585</v>
      </c>
      <c r="HC236" s="1605" t="s">
        <v>1585</v>
      </c>
      <c r="HD236" s="1605" t="s">
        <v>1585</v>
      </c>
      <c r="HE236" s="1605" t="s">
        <v>1585</v>
      </c>
      <c r="HF236" s="1605" t="s">
        <v>1585</v>
      </c>
      <c r="HG236" s="1605" t="s">
        <v>1585</v>
      </c>
      <c r="HH236" s="1605" t="s">
        <v>1585</v>
      </c>
      <c r="HI236" s="1605" t="s">
        <v>1585</v>
      </c>
      <c r="HJ236" s="1605" t="s">
        <v>1585</v>
      </c>
      <c r="HK236" s="1605" t="s">
        <v>986</v>
      </c>
      <c r="HL236" s="1605" t="s">
        <v>986</v>
      </c>
      <c r="HM236" s="1605" t="s">
        <v>1585</v>
      </c>
      <c r="HN236" s="1605" t="s">
        <v>1585</v>
      </c>
      <c r="HO236" s="1605" t="s">
        <v>1585</v>
      </c>
      <c r="HP236" s="1605" t="s">
        <v>1585</v>
      </c>
      <c r="HQ236" s="1605" t="s">
        <v>1585</v>
      </c>
      <c r="HR236" s="1605" t="s">
        <v>1585</v>
      </c>
      <c r="HS236" s="1605" t="s">
        <v>1585</v>
      </c>
      <c r="HT236" s="1605" t="s">
        <v>986</v>
      </c>
      <c r="HU236" s="1605" t="s">
        <v>1585</v>
      </c>
      <c r="HV236" s="1617"/>
      <c r="HW236" s="1617" t="s">
        <v>3167</v>
      </c>
      <c r="HX236" s="1617" t="s">
        <v>3159</v>
      </c>
      <c r="HY236" s="1617" t="s">
        <v>3158</v>
      </c>
      <c r="HZ236" s="1603"/>
      <c r="IA236" s="1603"/>
      <c r="IB236" s="1603"/>
      <c r="IC236" s="1603">
        <v>65.585365853658502</v>
      </c>
      <c r="ID236" s="1603">
        <v>67.048780487804905</v>
      </c>
      <c r="IE236" s="1603">
        <v>68.268292682926798</v>
      </c>
      <c r="IF236" s="1603">
        <v>69</v>
      </c>
      <c r="IG236" s="1611" t="s">
        <v>3139</v>
      </c>
      <c r="IH236" s="1616" t="s">
        <v>270</v>
      </c>
      <c r="II236" s="1615" t="s">
        <v>270</v>
      </c>
      <c r="IJ236" s="1613">
        <v>9.4360625000000002</v>
      </c>
      <c r="IK236" s="1613">
        <v>1.8102982954545457</v>
      </c>
      <c r="IL236" s="1614">
        <v>9.4360625000000002</v>
      </c>
      <c r="IM236" s="1614">
        <v>1.8102982954545457</v>
      </c>
      <c r="IN236" s="1612" t="s">
        <v>270</v>
      </c>
      <c r="IO236" s="1613" t="s">
        <v>270</v>
      </c>
      <c r="IP236" s="1607" t="s">
        <v>270</v>
      </c>
      <c r="IQ236" s="1612" t="s">
        <v>270</v>
      </c>
      <c r="IR236" s="1612" t="s">
        <v>270</v>
      </c>
      <c r="IS236" s="1607">
        <v>9.1010624999999994</v>
      </c>
      <c r="IT236" s="1607">
        <v>1.4752982954545457</v>
      </c>
      <c r="IU236" s="1611">
        <v>2.8409090909090912E-6</v>
      </c>
      <c r="IV236" s="1611">
        <v>2.2573863636363635E-2</v>
      </c>
      <c r="IW236" s="1611">
        <v>4.8181818181818178E-3</v>
      </c>
      <c r="IX236" s="1611">
        <v>1.71875E-3</v>
      </c>
      <c r="IY236" s="1611">
        <v>6.1818181818181816E-3</v>
      </c>
      <c r="IZ236" s="1611">
        <v>6.4659090909090916E-3</v>
      </c>
      <c r="JA236" s="1611">
        <v>6.249999999999999E-4</v>
      </c>
      <c r="JB236" s="1611" t="s">
        <v>270</v>
      </c>
      <c r="JC236" s="1611">
        <v>1.1867954545454544</v>
      </c>
      <c r="JD236" s="1611">
        <v>8.050284090909092E-2</v>
      </c>
      <c r="JE236" s="1611" t="s">
        <v>270</v>
      </c>
      <c r="JF236" s="1611">
        <v>1.0056818181818181E-3</v>
      </c>
      <c r="JG236" s="1611">
        <v>1.2636732954545453</v>
      </c>
      <c r="JH236" s="1611">
        <v>1.3977272727272727E-3</v>
      </c>
      <c r="JI236" s="1611">
        <v>0.49736931818181818</v>
      </c>
      <c r="JJ236" s="1611" t="s">
        <v>270</v>
      </c>
      <c r="JK236" s="1607">
        <f t="shared" si="12"/>
        <v>0.33500000000000085</v>
      </c>
      <c r="JL236" s="1608" t="s">
        <v>270</v>
      </c>
      <c r="JM236" s="1610" t="s">
        <v>2924</v>
      </c>
      <c r="JN236" s="1608">
        <v>7.6257642045454537</v>
      </c>
      <c r="JO236" s="1609" t="s">
        <v>3114</v>
      </c>
      <c r="JP236" s="1608" t="s">
        <v>270</v>
      </c>
      <c r="JQ236" s="1607">
        <v>202103</v>
      </c>
      <c r="JR236" s="1606">
        <v>632</v>
      </c>
      <c r="JS236" s="1606">
        <v>574</v>
      </c>
      <c r="JT236" s="1606">
        <v>574</v>
      </c>
    </row>
    <row r="237" spans="1:280" ht="15" customHeight="1" x14ac:dyDescent="0.2">
      <c r="A237" s="1626">
        <v>61360</v>
      </c>
      <c r="B237" s="1625">
        <v>613</v>
      </c>
      <c r="C237" s="1624">
        <v>60</v>
      </c>
      <c r="D237" s="1623" t="s">
        <v>3166</v>
      </c>
      <c r="E237" s="1622">
        <v>43369</v>
      </c>
      <c r="F237" s="1620">
        <v>0.93309995212988595</v>
      </c>
      <c r="G237" s="1620">
        <v>0.96022808954029604</v>
      </c>
      <c r="H237" s="1621">
        <v>91.9</v>
      </c>
      <c r="I237" s="1621">
        <v>75.800038999999998</v>
      </c>
      <c r="J237" s="1621">
        <v>96</v>
      </c>
      <c r="K237" s="1620">
        <v>1</v>
      </c>
      <c r="L237" s="1620">
        <v>92</v>
      </c>
      <c r="M237" s="1620">
        <v>60.536000000000001</v>
      </c>
      <c r="N237" s="1620">
        <v>2.2080000000000002</v>
      </c>
      <c r="O237" s="1620">
        <v>6.1639999999999997</v>
      </c>
      <c r="P237" s="1620" t="s">
        <v>270</v>
      </c>
      <c r="Q237" s="1603"/>
      <c r="R237" s="1620">
        <v>83.5</v>
      </c>
      <c r="S237" s="1620">
        <v>39</v>
      </c>
      <c r="T237" s="1620">
        <v>51.195121951219498</v>
      </c>
      <c r="U237" s="1620">
        <v>56.0731707317073</v>
      </c>
      <c r="V237" s="1620">
        <v>60.463414634146297</v>
      </c>
      <c r="W237" s="1620">
        <v>63.390243902439003</v>
      </c>
      <c r="X237" s="1620"/>
      <c r="Y237" s="1620">
        <v>3.5</v>
      </c>
      <c r="Z237" s="1620">
        <v>7.1000000000000005</v>
      </c>
      <c r="AA237" s="1620">
        <v>9.9999999999999985E-3</v>
      </c>
      <c r="AB237" s="1620">
        <v>0.32608695652173914</v>
      </c>
      <c r="AC237" s="1620">
        <v>20.8</v>
      </c>
      <c r="AD237" s="1620">
        <v>3.5</v>
      </c>
      <c r="AE237" s="1620">
        <v>4.7</v>
      </c>
      <c r="AF237" s="1620">
        <v>209</v>
      </c>
      <c r="AG237" s="1620">
        <v>7.8999999999999995</v>
      </c>
      <c r="AH237" s="1620">
        <v>42.199999999999996</v>
      </c>
      <c r="AI237" s="1620">
        <v>55.4</v>
      </c>
      <c r="AJ237" s="1620">
        <v>0</v>
      </c>
      <c r="AK237" s="1620">
        <v>4.9999999999999996E-2</v>
      </c>
      <c r="AL237" s="1620"/>
      <c r="AM237" s="1620">
        <v>6.0486322188449897</v>
      </c>
      <c r="AN237" s="1620">
        <v>1.35258358662614</v>
      </c>
      <c r="AO237" s="1620">
        <v>1.3221884498480201</v>
      </c>
      <c r="AP237" s="1620">
        <v>4.0273556231003003</v>
      </c>
      <c r="AQ237" s="1620">
        <v>1.3221884498480201</v>
      </c>
      <c r="AR237" s="1620">
        <v>4.4680851063829801</v>
      </c>
      <c r="AS237" s="1620">
        <v>7.4620060790273604</v>
      </c>
      <c r="AT237" s="1620">
        <v>2.6139817629179301</v>
      </c>
      <c r="AU237" s="1620">
        <v>5.19756838905775</v>
      </c>
      <c r="AV237" s="1620">
        <v>3.9209726443769002</v>
      </c>
      <c r="AW237" s="1620">
        <v>4.4528875379939201</v>
      </c>
      <c r="AX237" s="1620"/>
      <c r="AY237" s="1620">
        <v>1.06</v>
      </c>
      <c r="AZ237" s="1620">
        <v>1.08</v>
      </c>
      <c r="BA237" s="1620">
        <v>0.96</v>
      </c>
      <c r="BB237" s="1620">
        <v>1.05</v>
      </c>
      <c r="BC237" s="1620">
        <v>1.1000000000000001</v>
      </c>
      <c r="BD237" s="1620">
        <v>1.07</v>
      </c>
      <c r="BE237" s="1620">
        <v>1.07</v>
      </c>
      <c r="BF237" s="1620">
        <v>1.08</v>
      </c>
      <c r="BG237" s="1620">
        <v>1.08</v>
      </c>
      <c r="BH237" s="1620">
        <v>1.1000000000000001</v>
      </c>
      <c r="BI237" s="1620">
        <v>1.05</v>
      </c>
      <c r="BJ237" s="1603"/>
      <c r="BK237" s="1620">
        <v>65.8</v>
      </c>
      <c r="BL237" s="1620">
        <v>2.4</v>
      </c>
      <c r="BM237" s="1620">
        <v>6.7</v>
      </c>
      <c r="BN237" s="1620" t="s">
        <v>270</v>
      </c>
      <c r="BO237" s="1620"/>
      <c r="BP237" s="1620">
        <v>130</v>
      </c>
      <c r="BQ237" s="1620">
        <v>31.2</v>
      </c>
      <c r="BR237" s="1620">
        <v>1.0142390784020499</v>
      </c>
      <c r="BS237" s="1620">
        <v>1.0437261842829304</v>
      </c>
      <c r="BT237" s="1603"/>
      <c r="BU237" s="1620">
        <v>933</v>
      </c>
      <c r="BV237" s="1620">
        <v>20.77751981428576</v>
      </c>
      <c r="BW237" s="1620">
        <v>214.58948018571411</v>
      </c>
      <c r="BX237" s="1620" t="s">
        <v>270</v>
      </c>
      <c r="BY237" s="1620" t="s">
        <v>270</v>
      </c>
      <c r="BZ237" s="1620">
        <v>71.043069650142826</v>
      </c>
      <c r="CA237" s="1620">
        <v>192.07941053557062</v>
      </c>
      <c r="CB237" s="1603"/>
      <c r="CC237" s="1603">
        <v>3.22</v>
      </c>
      <c r="CD237" s="1603">
        <v>6.5320000000000009</v>
      </c>
      <c r="CE237" s="1603">
        <v>9.1999999999999998E-3</v>
      </c>
      <c r="CF237" s="1603">
        <v>0.30000000000000004</v>
      </c>
      <c r="CG237" s="1603">
        <v>19.136000000000003</v>
      </c>
      <c r="CH237" s="1603">
        <v>3.22</v>
      </c>
      <c r="CI237" s="1603">
        <v>4.3240000000000007</v>
      </c>
      <c r="CJ237" s="1603"/>
      <c r="CK237" s="1603">
        <v>192.28</v>
      </c>
      <c r="CL237" s="1603">
        <v>7.2679999999999998</v>
      </c>
      <c r="CM237" s="1603">
        <v>38.823999999999998</v>
      </c>
      <c r="CN237" s="1603">
        <v>50.968000000000004</v>
      </c>
      <c r="CO237" s="1603">
        <v>0</v>
      </c>
      <c r="CP237" s="1603">
        <v>4.5999999999999999E-2</v>
      </c>
      <c r="CQ237" s="1603">
        <v>505.47559999999999</v>
      </c>
      <c r="CR237" s="1603">
        <v>541.71645689854097</v>
      </c>
      <c r="CS237" s="1603">
        <v>34.732422315555695</v>
      </c>
      <c r="CT237" s="1603">
        <v>7.9133413126272973</v>
      </c>
      <c r="CU237" s="1603">
        <v>6.8760119270768776</v>
      </c>
      <c r="CV237" s="1603">
        <v>14.789353239704241</v>
      </c>
      <c r="CW237" s="1603">
        <v>22.907690597571278</v>
      </c>
      <c r="CX237" s="1603">
        <v>7.878763666442306</v>
      </c>
      <c r="CY237" s="1603">
        <v>25.898656992574928</v>
      </c>
      <c r="CZ237" s="1603">
        <v>43.252518991001089</v>
      </c>
      <c r="DA237" s="1603">
        <v>15.293198941257291</v>
      </c>
      <c r="DB237" s="1603">
        <v>30.4085699878488</v>
      </c>
      <c r="DC237" s="1603">
        <v>23.364609493587526</v>
      </c>
      <c r="DD237" s="1603">
        <v>53.773179481436323</v>
      </c>
      <c r="DE237" s="1603">
        <v>25.328125830522211</v>
      </c>
      <c r="DF237" s="1603">
        <v>0</v>
      </c>
      <c r="DG237" s="1603">
        <v>0</v>
      </c>
      <c r="DH237" s="1603">
        <v>0</v>
      </c>
      <c r="DI237" s="1603">
        <v>0</v>
      </c>
      <c r="DJ237" s="1603">
        <v>0</v>
      </c>
      <c r="DK237" s="1603">
        <v>0</v>
      </c>
      <c r="DL237" s="1603">
        <v>0</v>
      </c>
      <c r="DM237" s="1603">
        <v>0</v>
      </c>
      <c r="DN237" s="1603">
        <v>0</v>
      </c>
      <c r="DO237" s="1603">
        <v>0</v>
      </c>
      <c r="DP237" s="1603">
        <v>0</v>
      </c>
      <c r="DQ237" s="1603">
        <v>0</v>
      </c>
      <c r="DR237" s="1603">
        <v>0</v>
      </c>
      <c r="DS237" s="1603">
        <v>0</v>
      </c>
      <c r="DT237" s="1603">
        <v>0</v>
      </c>
      <c r="DU237" s="1603">
        <v>0</v>
      </c>
      <c r="DV237" s="1603">
        <v>0</v>
      </c>
      <c r="DW237" s="1618" t="s">
        <v>3161</v>
      </c>
      <c r="DX237" s="1605">
        <v>8</v>
      </c>
      <c r="DY237" s="1605">
        <v>8</v>
      </c>
      <c r="DZ237" s="1605">
        <v>8</v>
      </c>
      <c r="EA237" s="1605">
        <v>8</v>
      </c>
      <c r="EB237" s="1605" t="s">
        <v>986</v>
      </c>
      <c r="EC237" s="1605">
        <v>8</v>
      </c>
      <c r="ED237" s="1605">
        <v>8</v>
      </c>
      <c r="EE237" s="1605">
        <v>8</v>
      </c>
      <c r="EF237" s="1605">
        <v>8</v>
      </c>
      <c r="EG237" s="1605">
        <v>8</v>
      </c>
      <c r="EH237" s="1605">
        <v>4</v>
      </c>
      <c r="EI237" s="1605">
        <v>4</v>
      </c>
      <c r="EJ237" s="1605">
        <v>4</v>
      </c>
      <c r="EK237" s="1605">
        <v>4</v>
      </c>
      <c r="EL237" s="1605">
        <v>4</v>
      </c>
      <c r="EM237" s="1605">
        <v>4</v>
      </c>
      <c r="EN237" s="1605">
        <v>4</v>
      </c>
      <c r="EO237" s="1605">
        <v>4</v>
      </c>
      <c r="EP237" s="1605">
        <v>4</v>
      </c>
      <c r="EQ237" s="1605">
        <v>4</v>
      </c>
      <c r="ER237" s="1605">
        <v>4</v>
      </c>
      <c r="ES237" s="1605">
        <v>4</v>
      </c>
      <c r="ET237" s="1605">
        <v>4</v>
      </c>
      <c r="EU237" s="1605">
        <v>4</v>
      </c>
      <c r="EV237" s="1605" t="s">
        <v>986</v>
      </c>
      <c r="EW237" s="1605">
        <v>4</v>
      </c>
      <c r="EX237" s="1605">
        <v>4</v>
      </c>
      <c r="EY237" s="1605" t="s">
        <v>986</v>
      </c>
      <c r="EZ237" s="1605">
        <v>4</v>
      </c>
      <c r="FA237" s="1605">
        <v>4</v>
      </c>
      <c r="FB237" s="1605">
        <v>4</v>
      </c>
      <c r="FC237" s="1605">
        <v>4</v>
      </c>
      <c r="FD237" s="1605" t="s">
        <v>986</v>
      </c>
      <c r="FE237" s="1605">
        <v>4</v>
      </c>
      <c r="FF237" s="1605">
        <v>0.09</v>
      </c>
      <c r="FG237" s="1605">
        <v>0.3</v>
      </c>
      <c r="FH237" s="1605">
        <v>0.1</v>
      </c>
      <c r="FI237" s="1605">
        <v>0.1</v>
      </c>
      <c r="FJ237" s="1605" t="s">
        <v>986</v>
      </c>
      <c r="FK237" s="1605">
        <v>0.3</v>
      </c>
      <c r="FL237" s="1605">
        <v>0.5</v>
      </c>
      <c r="FM237" s="1605" t="s">
        <v>986</v>
      </c>
      <c r="FN237" s="1605">
        <v>0.6</v>
      </c>
      <c r="FO237" s="1605">
        <v>0.4</v>
      </c>
      <c r="FP237" s="1605">
        <v>1.5</v>
      </c>
      <c r="FQ237" s="1605">
        <v>0.2</v>
      </c>
      <c r="FR237" s="1605">
        <v>0.5</v>
      </c>
      <c r="FS237" s="1605">
        <v>0.5</v>
      </c>
      <c r="FT237" s="1605">
        <v>0.2</v>
      </c>
      <c r="FU237" s="1605">
        <v>0.9</v>
      </c>
      <c r="FV237" s="1605">
        <v>2.8</v>
      </c>
      <c r="FW237" s="1605">
        <v>0.5</v>
      </c>
      <c r="FX237" s="1605">
        <v>1</v>
      </c>
      <c r="FY237" s="1605">
        <v>1.2</v>
      </c>
      <c r="FZ237" s="1605">
        <v>0.6</v>
      </c>
      <c r="GA237" s="1605" t="s">
        <v>986</v>
      </c>
      <c r="GB237" s="1605">
        <v>0.5</v>
      </c>
      <c r="GC237" s="1605" t="s">
        <v>986</v>
      </c>
      <c r="GD237" s="1605" t="s">
        <v>986</v>
      </c>
      <c r="GE237" s="1605">
        <v>1.3</v>
      </c>
      <c r="GF237" s="1605">
        <v>0.2</v>
      </c>
      <c r="GG237" s="1605">
        <v>0.1</v>
      </c>
      <c r="GH237" s="1605">
        <v>22.7</v>
      </c>
      <c r="GI237" s="1605">
        <v>1</v>
      </c>
      <c r="GJ237" s="1605">
        <v>3.6</v>
      </c>
      <c r="GK237" s="1605">
        <v>10.3</v>
      </c>
      <c r="GL237" s="1605" t="s">
        <v>986</v>
      </c>
      <c r="GM237" s="1605" t="s">
        <v>986</v>
      </c>
      <c r="GN237" s="1605" t="s">
        <v>1583</v>
      </c>
      <c r="GO237" s="1605" t="s">
        <v>1583</v>
      </c>
      <c r="GP237" s="1605" t="s">
        <v>1583</v>
      </c>
      <c r="GQ237" s="1605" t="s">
        <v>1583</v>
      </c>
      <c r="GR237" s="1605" t="s">
        <v>986</v>
      </c>
      <c r="GS237" s="1605" t="s">
        <v>1583</v>
      </c>
      <c r="GT237" s="1605" t="s">
        <v>1583</v>
      </c>
      <c r="GU237" s="1605" t="s">
        <v>1583</v>
      </c>
      <c r="GV237" s="1605" t="s">
        <v>1583</v>
      </c>
      <c r="GW237" s="1605" t="s">
        <v>1583</v>
      </c>
      <c r="GX237" s="1605" t="s">
        <v>1583</v>
      </c>
      <c r="GY237" s="1605" t="s">
        <v>1583</v>
      </c>
      <c r="GZ237" s="1605" t="s">
        <v>1583</v>
      </c>
      <c r="HA237" s="1605" t="s">
        <v>1583</v>
      </c>
      <c r="HB237" s="1605" t="s">
        <v>1583</v>
      </c>
      <c r="HC237" s="1605" t="s">
        <v>1583</v>
      </c>
      <c r="HD237" s="1605" t="s">
        <v>1583</v>
      </c>
      <c r="HE237" s="1605" t="s">
        <v>1583</v>
      </c>
      <c r="HF237" s="1605" t="s">
        <v>1583</v>
      </c>
      <c r="HG237" s="1605" t="s">
        <v>1583</v>
      </c>
      <c r="HH237" s="1605" t="s">
        <v>1583</v>
      </c>
      <c r="HI237" s="1605" t="s">
        <v>1583</v>
      </c>
      <c r="HJ237" s="1605" t="s">
        <v>1583</v>
      </c>
      <c r="HK237" s="1605" t="s">
        <v>986</v>
      </c>
      <c r="HL237" s="1605" t="s">
        <v>986</v>
      </c>
      <c r="HM237" s="1605" t="s">
        <v>1583</v>
      </c>
      <c r="HN237" s="1605" t="s">
        <v>1583</v>
      </c>
      <c r="HO237" s="1605" t="s">
        <v>1583</v>
      </c>
      <c r="HP237" s="1605" t="s">
        <v>1583</v>
      </c>
      <c r="HQ237" s="1605" t="s">
        <v>1583</v>
      </c>
      <c r="HR237" s="1605" t="s">
        <v>1583</v>
      </c>
      <c r="HS237" s="1605" t="s">
        <v>1583</v>
      </c>
      <c r="HT237" s="1605" t="s">
        <v>986</v>
      </c>
      <c r="HU237" s="1605" t="s">
        <v>1583</v>
      </c>
      <c r="HV237" s="1617"/>
      <c r="HW237" s="1617" t="s">
        <v>3160</v>
      </c>
      <c r="HX237" s="1617" t="s">
        <v>3159</v>
      </c>
      <c r="HY237" s="1617" t="s">
        <v>3158</v>
      </c>
      <c r="HZ237" s="1603"/>
      <c r="IA237" s="1603"/>
      <c r="IB237" s="1603"/>
      <c r="IC237" s="1603">
        <v>65.585365853658502</v>
      </c>
      <c r="ID237" s="1603">
        <v>67.048780487804905</v>
      </c>
      <c r="IE237" s="1603">
        <v>68.268292682926798</v>
      </c>
      <c r="IF237" s="1603">
        <v>69</v>
      </c>
      <c r="IG237" s="1611" t="s">
        <v>3139</v>
      </c>
      <c r="IH237" s="1616" t="s">
        <v>270</v>
      </c>
      <c r="II237" s="1615" t="s">
        <v>270</v>
      </c>
      <c r="IJ237" s="1613">
        <v>9.4360625000000002</v>
      </c>
      <c r="IK237" s="1613">
        <v>1.8102982954545457</v>
      </c>
      <c r="IL237" s="1614">
        <v>9.4360625000000002</v>
      </c>
      <c r="IM237" s="1614">
        <v>1.8102982954545457</v>
      </c>
      <c r="IN237" s="1612" t="s">
        <v>270</v>
      </c>
      <c r="IO237" s="1613" t="s">
        <v>270</v>
      </c>
      <c r="IP237" s="1607" t="s">
        <v>270</v>
      </c>
      <c r="IQ237" s="1612" t="s">
        <v>270</v>
      </c>
      <c r="IR237" s="1612" t="s">
        <v>270</v>
      </c>
      <c r="IS237" s="1607">
        <v>9.1010624999999994</v>
      </c>
      <c r="IT237" s="1607">
        <v>1.4752982954545457</v>
      </c>
      <c r="IU237" s="1611">
        <v>2.8409090909090912E-6</v>
      </c>
      <c r="IV237" s="1611">
        <v>2.2573863636363635E-2</v>
      </c>
      <c r="IW237" s="1611">
        <v>4.8181818181818178E-3</v>
      </c>
      <c r="IX237" s="1611">
        <v>1.71875E-3</v>
      </c>
      <c r="IY237" s="1611">
        <v>6.1818181818181816E-3</v>
      </c>
      <c r="IZ237" s="1611">
        <v>6.4659090909090916E-3</v>
      </c>
      <c r="JA237" s="1611">
        <v>6.249999999999999E-4</v>
      </c>
      <c r="JB237" s="1611" t="s">
        <v>270</v>
      </c>
      <c r="JC237" s="1611">
        <v>1.1867954545454544</v>
      </c>
      <c r="JD237" s="1611">
        <v>8.050284090909092E-2</v>
      </c>
      <c r="JE237" s="1611" t="s">
        <v>270</v>
      </c>
      <c r="JF237" s="1611">
        <v>1.0056818181818181E-3</v>
      </c>
      <c r="JG237" s="1611">
        <v>1.2636732954545453</v>
      </c>
      <c r="JH237" s="1611">
        <v>1.3977272727272727E-3</v>
      </c>
      <c r="JI237" s="1611">
        <v>0.49736931818181818</v>
      </c>
      <c r="JJ237" s="1611" t="s">
        <v>270</v>
      </c>
      <c r="JK237" s="1607">
        <f t="shared" si="12"/>
        <v>0.33500000000000085</v>
      </c>
      <c r="JL237" s="1608" t="s">
        <v>270</v>
      </c>
      <c r="JM237" s="1610" t="s">
        <v>2924</v>
      </c>
      <c r="JN237" s="1608">
        <v>7.6257642045454537</v>
      </c>
      <c r="JO237" s="1609" t="s">
        <v>3114</v>
      </c>
      <c r="JP237" s="1608" t="s">
        <v>270</v>
      </c>
      <c r="JQ237" s="1607">
        <v>202103</v>
      </c>
      <c r="JR237" s="1606">
        <v>632</v>
      </c>
      <c r="JS237" s="1606">
        <v>574</v>
      </c>
      <c r="JT237" s="1606">
        <v>574</v>
      </c>
    </row>
    <row r="238" spans="1:280" ht="15" customHeight="1" x14ac:dyDescent="0.2">
      <c r="A238" s="1626">
        <v>61310</v>
      </c>
      <c r="B238" s="1625">
        <v>613</v>
      </c>
      <c r="C238" s="1624">
        <v>10</v>
      </c>
      <c r="D238" s="1623" t="s">
        <v>3165</v>
      </c>
      <c r="E238" s="1622">
        <v>43369</v>
      </c>
      <c r="F238" s="1620">
        <v>0.96341341537940195</v>
      </c>
      <c r="G238" s="1620">
        <v>0.98798371580259403</v>
      </c>
      <c r="H238" s="1621">
        <v>92.7</v>
      </c>
      <c r="I238" s="1621">
        <v>76.400000000000006</v>
      </c>
      <c r="J238" s="1621">
        <v>96</v>
      </c>
      <c r="K238" s="1620">
        <v>1</v>
      </c>
      <c r="L238" s="1620">
        <v>91.7</v>
      </c>
      <c r="M238" s="1620">
        <v>52.819200000000002</v>
      </c>
      <c r="N238" s="1620">
        <v>2.6593</v>
      </c>
      <c r="O238" s="1620">
        <v>6.5106999999999999</v>
      </c>
      <c r="P238" s="1620">
        <v>3.1177999999999999</v>
      </c>
      <c r="Q238" s="1603"/>
      <c r="R238" s="1620">
        <v>86.5</v>
      </c>
      <c r="S238" s="1620">
        <v>39</v>
      </c>
      <c r="T238" s="1620">
        <v>51.195121951219498</v>
      </c>
      <c r="U238" s="1620">
        <v>56.0731707317073</v>
      </c>
      <c r="V238" s="1620">
        <v>60.463414634146297</v>
      </c>
      <c r="W238" s="1620">
        <v>63.390243902439003</v>
      </c>
      <c r="X238" s="1620"/>
      <c r="Y238" s="1620">
        <v>3.8</v>
      </c>
      <c r="Z238" s="1620">
        <v>7.7</v>
      </c>
      <c r="AA238" s="1620">
        <v>9.9999999999999992E-2</v>
      </c>
      <c r="AB238" s="1620">
        <v>0.32715376226826609</v>
      </c>
      <c r="AC238" s="1620">
        <v>25.599999999999998</v>
      </c>
      <c r="AD238" s="1620">
        <v>3.9</v>
      </c>
      <c r="AE238" s="1620">
        <v>4.1999999999999993</v>
      </c>
      <c r="AF238" s="1620">
        <v>275</v>
      </c>
      <c r="AG238" s="1620">
        <v>15.4</v>
      </c>
      <c r="AH238" s="1620">
        <v>41.300000000000004</v>
      </c>
      <c r="AI238" s="1620">
        <v>71.8</v>
      </c>
      <c r="AJ238" s="1620">
        <v>0</v>
      </c>
      <c r="AK238" s="1620">
        <v>0.03</v>
      </c>
      <c r="AL238" s="1620"/>
      <c r="AM238" s="1620">
        <v>6.0416666666666696</v>
      </c>
      <c r="AN238" s="1620">
        <v>1.3020833333333299</v>
      </c>
      <c r="AO238" s="1620">
        <v>1.3715277777777799</v>
      </c>
      <c r="AP238" s="1620">
        <v>3.90625</v>
      </c>
      <c r="AQ238" s="1620">
        <v>1.31944444444444</v>
      </c>
      <c r="AR238" s="1620">
        <v>4.5138888888888902</v>
      </c>
      <c r="AS238" s="1620">
        <v>7.5868055555555598</v>
      </c>
      <c r="AT238" s="1620">
        <v>2.5347222222222201</v>
      </c>
      <c r="AU238" s="1620">
        <v>5.0347222222222197</v>
      </c>
      <c r="AV238" s="1620">
        <v>3.7673611111111098</v>
      </c>
      <c r="AW238" s="1620">
        <v>4.6701388888888902</v>
      </c>
      <c r="AX238" s="1620"/>
      <c r="AY238" s="1620">
        <v>0.97</v>
      </c>
      <c r="AZ238" s="1620">
        <v>1.06</v>
      </c>
      <c r="BA238" s="1620">
        <v>0.91</v>
      </c>
      <c r="BB238" s="1620">
        <v>0.99</v>
      </c>
      <c r="BC238" s="1620">
        <v>1.06</v>
      </c>
      <c r="BD238" s="1620">
        <v>1.05</v>
      </c>
      <c r="BE238" s="1620">
        <v>1.05</v>
      </c>
      <c r="BF238" s="1620">
        <v>1.07</v>
      </c>
      <c r="BG238" s="1620">
        <v>1.06</v>
      </c>
      <c r="BH238" s="1620">
        <v>1.05</v>
      </c>
      <c r="BI238" s="1620">
        <v>1.01</v>
      </c>
      <c r="BJ238" s="1603"/>
      <c r="BK238" s="1620">
        <v>57.6</v>
      </c>
      <c r="BL238" s="1620">
        <v>2.9</v>
      </c>
      <c r="BM238" s="1620">
        <v>7.0999999999999988</v>
      </c>
      <c r="BN238" s="1620">
        <v>3.3999999999999995</v>
      </c>
      <c r="BO238" s="1620"/>
      <c r="BP238" s="1620">
        <v>130</v>
      </c>
      <c r="BQ238" s="1620">
        <v>37.700000000000003</v>
      </c>
      <c r="BR238" s="1620">
        <v>1.0506144115369704</v>
      </c>
      <c r="BS238" s="1620">
        <v>1.077408632282</v>
      </c>
      <c r="BT238" s="1603"/>
      <c r="BU238" s="1620">
        <v>929</v>
      </c>
      <c r="BV238" s="1620">
        <v>92.568714285714393</v>
      </c>
      <c r="BW238" s="1620">
        <v>216.32428571428574</v>
      </c>
      <c r="BX238" s="1620" t="s">
        <v>270</v>
      </c>
      <c r="BY238" s="1620" t="s">
        <v>270</v>
      </c>
      <c r="BZ238" s="1620">
        <v>70.262447142857155</v>
      </c>
      <c r="CA238" s="1620">
        <v>189.96883857142856</v>
      </c>
      <c r="CB238" s="1603"/>
      <c r="CC238" s="1603">
        <v>3.4845999999999999</v>
      </c>
      <c r="CD238" s="1603">
        <v>7.0609000000000002</v>
      </c>
      <c r="CE238" s="1603">
        <v>9.169999999999999E-2</v>
      </c>
      <c r="CF238" s="1603">
        <v>0.30000000000000004</v>
      </c>
      <c r="CG238" s="1603">
        <v>23.475199999999997</v>
      </c>
      <c r="CH238" s="1603">
        <v>3.5763000000000003</v>
      </c>
      <c r="CI238" s="1603">
        <v>3.8513999999999995</v>
      </c>
      <c r="CJ238" s="1603"/>
      <c r="CK238" s="1603">
        <v>252.17500000000001</v>
      </c>
      <c r="CL238" s="1603">
        <v>14.1218</v>
      </c>
      <c r="CM238" s="1603">
        <v>37.872100000000003</v>
      </c>
      <c r="CN238" s="1603">
        <v>65.840599999999995</v>
      </c>
      <c r="CO238" s="1603">
        <v>0</v>
      </c>
      <c r="CP238" s="1603">
        <v>2.751E-2</v>
      </c>
      <c r="CQ238" s="1603">
        <v>456.88607999999999</v>
      </c>
      <c r="CR238" s="1603">
        <v>474.23678423667542</v>
      </c>
      <c r="CS238" s="1603">
        <v>27.792251542870165</v>
      </c>
      <c r="CT238" s="1603">
        <v>6.5454556157665937</v>
      </c>
      <c r="CU238" s="1603">
        <v>5.9189031977039335</v>
      </c>
      <c r="CV238" s="1603">
        <v>12.464358813470536</v>
      </c>
      <c r="CW238" s="1603">
        <v>18.339625640402684</v>
      </c>
      <c r="CX238" s="1603">
        <v>6.6327283573101585</v>
      </c>
      <c r="CY238" s="1603">
        <v>22.476847586217428</v>
      </c>
      <c r="CZ238" s="1603">
        <v>37.778393827603907</v>
      </c>
      <c r="DA238" s="1603">
        <v>12.862026116918999</v>
      </c>
      <c r="DB238" s="1603">
        <v>25.309095047630908</v>
      </c>
      <c r="DC238" s="1603">
        <v>18.759522793112239</v>
      </c>
      <c r="DD238" s="1603">
        <v>44.068617840743144</v>
      </c>
      <c r="DE238" s="1603">
        <v>22.3689916509136</v>
      </c>
      <c r="DF238" s="1603">
        <v>0</v>
      </c>
      <c r="DG238" s="1603">
        <v>0</v>
      </c>
      <c r="DH238" s="1603">
        <v>0</v>
      </c>
      <c r="DI238" s="1603">
        <v>0</v>
      </c>
      <c r="DJ238" s="1603">
        <v>0</v>
      </c>
      <c r="DK238" s="1603">
        <v>0</v>
      </c>
      <c r="DL238" s="1603">
        <v>0</v>
      </c>
      <c r="DM238" s="1603">
        <v>0</v>
      </c>
      <c r="DN238" s="1603">
        <v>0</v>
      </c>
      <c r="DO238" s="1603">
        <v>0</v>
      </c>
      <c r="DP238" s="1603">
        <v>0</v>
      </c>
      <c r="DQ238" s="1603">
        <v>0</v>
      </c>
      <c r="DR238" s="1603">
        <v>0</v>
      </c>
      <c r="DS238" s="1603">
        <v>0</v>
      </c>
      <c r="DT238" s="1603">
        <v>0</v>
      </c>
      <c r="DU238" s="1603">
        <v>0</v>
      </c>
      <c r="DV238" s="1603">
        <v>0</v>
      </c>
      <c r="DW238" s="1618" t="s">
        <v>3161</v>
      </c>
      <c r="DX238" s="1605" t="s">
        <v>986</v>
      </c>
      <c r="DY238" s="1605">
        <v>8</v>
      </c>
      <c r="DZ238" s="1605">
        <v>8</v>
      </c>
      <c r="EA238" s="1605">
        <v>8</v>
      </c>
      <c r="EB238" s="1605" t="s">
        <v>986</v>
      </c>
      <c r="EC238" s="1605">
        <v>8</v>
      </c>
      <c r="ED238" s="1605">
        <v>8</v>
      </c>
      <c r="EE238" s="1605">
        <v>8</v>
      </c>
      <c r="EF238" s="1605">
        <v>8</v>
      </c>
      <c r="EG238" s="1605">
        <v>8</v>
      </c>
      <c r="EH238" s="1605">
        <v>8</v>
      </c>
      <c r="EI238" s="1605">
        <v>8</v>
      </c>
      <c r="EJ238" s="1605">
        <v>8</v>
      </c>
      <c r="EK238" s="1605">
        <v>8</v>
      </c>
      <c r="EL238" s="1605">
        <v>8</v>
      </c>
      <c r="EM238" s="1605">
        <v>8</v>
      </c>
      <c r="EN238" s="1605">
        <v>8</v>
      </c>
      <c r="EO238" s="1605">
        <v>8</v>
      </c>
      <c r="EP238" s="1605">
        <v>8</v>
      </c>
      <c r="EQ238" s="1605">
        <v>8</v>
      </c>
      <c r="ER238" s="1605">
        <v>8</v>
      </c>
      <c r="ES238" s="1605">
        <v>8</v>
      </c>
      <c r="ET238" s="1605">
        <v>8</v>
      </c>
      <c r="EU238" s="1605">
        <v>8</v>
      </c>
      <c r="EV238" s="1605" t="s">
        <v>986</v>
      </c>
      <c r="EW238" s="1605">
        <v>8</v>
      </c>
      <c r="EX238" s="1605">
        <v>8</v>
      </c>
      <c r="EY238" s="1605" t="s">
        <v>986</v>
      </c>
      <c r="EZ238" s="1605">
        <v>8</v>
      </c>
      <c r="FA238" s="1605">
        <v>8</v>
      </c>
      <c r="FB238" s="1605">
        <v>8</v>
      </c>
      <c r="FC238" s="1605">
        <v>8</v>
      </c>
      <c r="FD238" s="1605" t="s">
        <v>986</v>
      </c>
      <c r="FE238" s="1605">
        <v>4</v>
      </c>
      <c r="FF238" s="1605" t="s">
        <v>986</v>
      </c>
      <c r="FG238" s="1605">
        <v>1.1599999999999999</v>
      </c>
      <c r="FH238" s="1605">
        <v>0.25</v>
      </c>
      <c r="FI238" s="1605">
        <v>0.36</v>
      </c>
      <c r="FJ238" s="1605" t="s">
        <v>986</v>
      </c>
      <c r="FK238" s="1605">
        <v>1.21</v>
      </c>
      <c r="FL238" s="1605">
        <v>2.1</v>
      </c>
      <c r="FM238" s="1605" t="s">
        <v>986</v>
      </c>
      <c r="FN238" s="1605">
        <v>2.9</v>
      </c>
      <c r="FO238" s="1605">
        <v>2.2999999999999998</v>
      </c>
      <c r="FP238" s="1605">
        <v>0.51</v>
      </c>
      <c r="FQ238" s="1605">
        <v>0.24</v>
      </c>
      <c r="FR238" s="1605">
        <v>0.33</v>
      </c>
      <c r="FS238" s="1605">
        <v>0.5</v>
      </c>
      <c r="FT238" s="1605">
        <v>0.17</v>
      </c>
      <c r="FU238" s="1605">
        <v>0.73</v>
      </c>
      <c r="FV238" s="1605">
        <v>1.19</v>
      </c>
      <c r="FW238" s="1605">
        <v>0.4</v>
      </c>
      <c r="FX238" s="1605">
        <v>0.98</v>
      </c>
      <c r="FY238" s="1605">
        <v>1.18</v>
      </c>
      <c r="FZ238" s="1605">
        <v>0.89</v>
      </c>
      <c r="GA238" s="1605" t="s">
        <v>986</v>
      </c>
      <c r="GB238" s="1605">
        <v>0.25</v>
      </c>
      <c r="GC238" s="1605" t="s">
        <v>986</v>
      </c>
      <c r="GD238" s="1605" t="s">
        <v>986</v>
      </c>
      <c r="GE238" s="1605">
        <v>0.95</v>
      </c>
      <c r="GF238" s="1605">
        <v>0.42</v>
      </c>
      <c r="GG238" s="1605">
        <v>0.15</v>
      </c>
      <c r="GH238" s="1605">
        <v>148</v>
      </c>
      <c r="GI238" s="1605">
        <v>1.36</v>
      </c>
      <c r="GJ238" s="1605">
        <v>9.42</v>
      </c>
      <c r="GK238" s="1605">
        <v>10.71</v>
      </c>
      <c r="GL238" s="1605" t="s">
        <v>986</v>
      </c>
      <c r="GM238" s="1605">
        <v>0.05</v>
      </c>
      <c r="GN238" s="1605" t="s">
        <v>1585</v>
      </c>
      <c r="GO238" s="1605" t="s">
        <v>1585</v>
      </c>
      <c r="GP238" s="1605" t="s">
        <v>1585</v>
      </c>
      <c r="GQ238" s="1605" t="s">
        <v>1585</v>
      </c>
      <c r="GR238" s="1605" t="s">
        <v>986</v>
      </c>
      <c r="GS238" s="1605" t="s">
        <v>1585</v>
      </c>
      <c r="GT238" s="1605" t="s">
        <v>1585</v>
      </c>
      <c r="GU238" s="1605" t="s">
        <v>1585</v>
      </c>
      <c r="GV238" s="1605" t="s">
        <v>1585</v>
      </c>
      <c r="GW238" s="1605" t="s">
        <v>1585</v>
      </c>
      <c r="GX238" s="1605" t="s">
        <v>1585</v>
      </c>
      <c r="GY238" s="1605" t="s">
        <v>1585</v>
      </c>
      <c r="GZ238" s="1605" t="s">
        <v>1585</v>
      </c>
      <c r="HA238" s="1605" t="s">
        <v>1585</v>
      </c>
      <c r="HB238" s="1605" t="s">
        <v>1585</v>
      </c>
      <c r="HC238" s="1605" t="s">
        <v>1585</v>
      </c>
      <c r="HD238" s="1605" t="s">
        <v>1585</v>
      </c>
      <c r="HE238" s="1605" t="s">
        <v>1585</v>
      </c>
      <c r="HF238" s="1605" t="s">
        <v>1585</v>
      </c>
      <c r="HG238" s="1605" t="s">
        <v>1585</v>
      </c>
      <c r="HH238" s="1605" t="s">
        <v>1585</v>
      </c>
      <c r="HI238" s="1605" t="s">
        <v>1585</v>
      </c>
      <c r="HJ238" s="1605" t="s">
        <v>1585</v>
      </c>
      <c r="HK238" s="1605" t="s">
        <v>986</v>
      </c>
      <c r="HL238" s="1605" t="s">
        <v>986</v>
      </c>
      <c r="HM238" s="1605" t="s">
        <v>1585</v>
      </c>
      <c r="HN238" s="1605" t="s">
        <v>1585</v>
      </c>
      <c r="HO238" s="1605" t="s">
        <v>1585</v>
      </c>
      <c r="HP238" s="1605" t="s">
        <v>1585</v>
      </c>
      <c r="HQ238" s="1605" t="s">
        <v>1585</v>
      </c>
      <c r="HR238" s="1605" t="s">
        <v>1585</v>
      </c>
      <c r="HS238" s="1605" t="s">
        <v>1585</v>
      </c>
      <c r="HT238" s="1605" t="s">
        <v>986</v>
      </c>
      <c r="HU238" s="1605" t="s">
        <v>1585</v>
      </c>
      <c r="HV238" s="1617"/>
      <c r="HW238" s="1617" t="s">
        <v>3160</v>
      </c>
      <c r="HX238" s="1617" t="s">
        <v>3159</v>
      </c>
      <c r="HY238" s="1617" t="s">
        <v>3158</v>
      </c>
      <c r="HZ238" s="1603"/>
      <c r="IA238" s="1603"/>
      <c r="IB238" s="1603"/>
      <c r="IC238" s="1603">
        <v>65.585365853658502</v>
      </c>
      <c r="ID238" s="1603">
        <v>67.048780487804905</v>
      </c>
      <c r="IE238" s="1603">
        <v>68.268292682926798</v>
      </c>
      <c r="IF238" s="1603">
        <v>69</v>
      </c>
      <c r="IG238" s="1611" t="s">
        <v>3139</v>
      </c>
      <c r="IH238" s="1616" t="s">
        <v>270</v>
      </c>
      <c r="II238" s="1615" t="s">
        <v>270</v>
      </c>
      <c r="IJ238" s="1613">
        <v>9.4360625000000002</v>
      </c>
      <c r="IK238" s="1613">
        <v>1.8102982954545457</v>
      </c>
      <c r="IL238" s="1614">
        <v>9.4360625000000002</v>
      </c>
      <c r="IM238" s="1614">
        <v>1.8102982954545457</v>
      </c>
      <c r="IN238" s="1612" t="s">
        <v>270</v>
      </c>
      <c r="IO238" s="1613" t="s">
        <v>270</v>
      </c>
      <c r="IP238" s="1607" t="s">
        <v>270</v>
      </c>
      <c r="IQ238" s="1612" t="s">
        <v>270</v>
      </c>
      <c r="IR238" s="1612" t="s">
        <v>270</v>
      </c>
      <c r="IS238" s="1607">
        <v>9.1010624999999994</v>
      </c>
      <c r="IT238" s="1607">
        <v>1.4752982954545457</v>
      </c>
      <c r="IU238" s="1611">
        <v>2.8409090909090912E-6</v>
      </c>
      <c r="IV238" s="1611">
        <v>2.2573863636363635E-2</v>
      </c>
      <c r="IW238" s="1611">
        <v>4.8181818181818178E-3</v>
      </c>
      <c r="IX238" s="1611">
        <v>1.71875E-3</v>
      </c>
      <c r="IY238" s="1611">
        <v>6.1818181818181816E-3</v>
      </c>
      <c r="IZ238" s="1611">
        <v>6.4659090909090916E-3</v>
      </c>
      <c r="JA238" s="1611">
        <v>6.249999999999999E-4</v>
      </c>
      <c r="JB238" s="1611" t="s">
        <v>270</v>
      </c>
      <c r="JC238" s="1611">
        <v>1.1867954545454544</v>
      </c>
      <c r="JD238" s="1611">
        <v>8.050284090909092E-2</v>
      </c>
      <c r="JE238" s="1611" t="s">
        <v>270</v>
      </c>
      <c r="JF238" s="1611">
        <v>1.0056818181818181E-3</v>
      </c>
      <c r="JG238" s="1611">
        <v>1.2636732954545453</v>
      </c>
      <c r="JH238" s="1611">
        <v>1.3977272727272727E-3</v>
      </c>
      <c r="JI238" s="1611">
        <v>0.49736931818181818</v>
      </c>
      <c r="JJ238" s="1611" t="s">
        <v>270</v>
      </c>
      <c r="JK238" s="1607">
        <f t="shared" si="12"/>
        <v>0.33500000000000085</v>
      </c>
      <c r="JL238" s="1608" t="s">
        <v>270</v>
      </c>
      <c r="JM238" s="1610" t="s">
        <v>2924</v>
      </c>
      <c r="JN238" s="1608">
        <v>7.6257642045454537</v>
      </c>
      <c r="JO238" s="1609" t="s">
        <v>3114</v>
      </c>
      <c r="JP238" s="1608" t="s">
        <v>270</v>
      </c>
      <c r="JQ238" s="1607">
        <v>202103</v>
      </c>
      <c r="JR238" s="1606">
        <v>632</v>
      </c>
      <c r="JS238" s="1606">
        <v>574</v>
      </c>
      <c r="JT238" s="1606">
        <v>574</v>
      </c>
    </row>
    <row r="239" spans="1:280" ht="15" customHeight="1" x14ac:dyDescent="0.2">
      <c r="A239" s="1626">
        <v>61300</v>
      </c>
      <c r="B239" s="1625">
        <v>613</v>
      </c>
      <c r="C239" s="1624">
        <v>0</v>
      </c>
      <c r="D239" s="1623" t="s">
        <v>3164</v>
      </c>
      <c r="E239" s="1622">
        <v>43369</v>
      </c>
      <c r="F239" s="1620">
        <v>0.98376038096663698</v>
      </c>
      <c r="G239" s="1620">
        <v>1.0014211869156899</v>
      </c>
      <c r="H239" s="1621">
        <v>92.7</v>
      </c>
      <c r="I239" s="1621">
        <v>78.400000000000006</v>
      </c>
      <c r="J239" s="1621">
        <v>96</v>
      </c>
      <c r="K239" s="1620">
        <v>1</v>
      </c>
      <c r="L239" s="1620">
        <v>92.4</v>
      </c>
      <c r="M239" s="1620">
        <v>55.855899999999998</v>
      </c>
      <c r="N239" s="1620">
        <v>2.5749196141479098</v>
      </c>
      <c r="O239" s="1620">
        <v>6.8334405144694603</v>
      </c>
      <c r="P239" s="1620">
        <v>3.1415999999999999</v>
      </c>
      <c r="Q239" s="1603"/>
      <c r="R239" s="1620">
        <v>91.5</v>
      </c>
      <c r="S239" s="1620">
        <v>39</v>
      </c>
      <c r="T239" s="1620">
        <v>51.195121951219498</v>
      </c>
      <c r="U239" s="1620">
        <v>56.0731707317073</v>
      </c>
      <c r="V239" s="1620">
        <v>60.463414634146297</v>
      </c>
      <c r="W239" s="1620">
        <v>63.390243902439003</v>
      </c>
      <c r="X239" s="1620"/>
      <c r="Y239" s="1620">
        <v>4.0728831725616335</v>
      </c>
      <c r="Z239" s="1620">
        <v>8.2999999999999989</v>
      </c>
      <c r="AA239" s="1620">
        <v>0.19999999999999998</v>
      </c>
      <c r="AB239" s="1620">
        <v>0.32467532467532467</v>
      </c>
      <c r="AC239" s="1620">
        <v>26.2</v>
      </c>
      <c r="AD239" s="1620">
        <v>4</v>
      </c>
      <c r="AE239" s="1620">
        <v>4.5</v>
      </c>
      <c r="AF239" s="1620">
        <v>251</v>
      </c>
      <c r="AG239" s="1620">
        <v>17.2</v>
      </c>
      <c r="AH239" s="1620">
        <v>44.9</v>
      </c>
      <c r="AI239" s="1620">
        <v>81.38</v>
      </c>
      <c r="AJ239" s="1620">
        <v>0</v>
      </c>
      <c r="AK239" s="1620">
        <v>4.9999999999999996E-2</v>
      </c>
      <c r="AL239" s="1620"/>
      <c r="AM239" s="1620">
        <v>6.0678137851149101</v>
      </c>
      <c r="AN239" s="1620">
        <v>1.3366394597526901</v>
      </c>
      <c r="AO239" s="1620">
        <v>1.38295864895204</v>
      </c>
      <c r="AP239" s="1620">
        <v>3.97848750087278</v>
      </c>
      <c r="AQ239" s="1620">
        <v>1.3366394597526901</v>
      </c>
      <c r="AR239" s="1620">
        <v>4.5839454739785799</v>
      </c>
      <c r="AS239" s="1620">
        <v>7.71876202872033</v>
      </c>
      <c r="AT239" s="1620">
        <v>2.5591352032641099</v>
      </c>
      <c r="AU239" s="1620">
        <v>5.1199246632853503</v>
      </c>
      <c r="AV239" s="1620">
        <v>3.76177986569011</v>
      </c>
      <c r="AW239" s="1620">
        <v>4.7195945280623901</v>
      </c>
      <c r="AX239" s="1620"/>
      <c r="AY239" s="1620">
        <v>0.97</v>
      </c>
      <c r="AZ239" s="1620">
        <v>1.03</v>
      </c>
      <c r="BA239" s="1620">
        <v>0.91</v>
      </c>
      <c r="BB239" s="1620">
        <v>0.97</v>
      </c>
      <c r="BC239" s="1620">
        <v>1.04</v>
      </c>
      <c r="BD239" s="1620">
        <v>1.02</v>
      </c>
      <c r="BE239" s="1620">
        <v>1.02</v>
      </c>
      <c r="BF239" s="1620">
        <v>1.04</v>
      </c>
      <c r="BG239" s="1620">
        <v>1.03</v>
      </c>
      <c r="BH239" s="1620">
        <v>1.03</v>
      </c>
      <c r="BI239" s="1620">
        <v>1</v>
      </c>
      <c r="BJ239" s="1603"/>
      <c r="BK239" s="1620">
        <v>60.450108225108224</v>
      </c>
      <c r="BL239" s="1620">
        <v>2.7867095391211145</v>
      </c>
      <c r="BM239" s="1620">
        <v>7.395498392282966</v>
      </c>
      <c r="BN239" s="1620">
        <v>3.3999999999999995</v>
      </c>
      <c r="BO239" s="1620"/>
      <c r="BP239" s="1620">
        <v>130</v>
      </c>
      <c r="BQ239" s="1620">
        <v>36.22722400857446</v>
      </c>
      <c r="BR239" s="1620">
        <v>1.0646757369768798</v>
      </c>
      <c r="BS239" s="1620">
        <v>1.0837891633286687</v>
      </c>
      <c r="BT239" s="1603"/>
      <c r="BU239" s="1620">
        <v>926.04501607716986</v>
      </c>
      <c r="BV239" s="1620">
        <v>92.138894955526851</v>
      </c>
      <c r="BW239" s="1620">
        <v>189.17776757004975</v>
      </c>
      <c r="BX239" s="1620" t="s">
        <v>270</v>
      </c>
      <c r="BY239" s="1620" t="s">
        <v>270</v>
      </c>
      <c r="BZ239" s="1620">
        <v>62.576009349814278</v>
      </c>
      <c r="CA239" s="1620">
        <v>169.18698824208983</v>
      </c>
      <c r="CB239" s="1603"/>
      <c r="CC239" s="1603">
        <v>3.7633440514469494</v>
      </c>
      <c r="CD239" s="1603">
        <v>7.6691999999999991</v>
      </c>
      <c r="CE239" s="1603">
        <v>0.18479999999999999</v>
      </c>
      <c r="CF239" s="1603">
        <v>0.3</v>
      </c>
      <c r="CG239" s="1603">
        <v>24.2088</v>
      </c>
      <c r="CH239" s="1603">
        <v>3.6960000000000002</v>
      </c>
      <c r="CI239" s="1603">
        <v>4.1580000000000004</v>
      </c>
      <c r="CJ239" s="1603"/>
      <c r="CK239" s="1603">
        <v>231.92400000000001</v>
      </c>
      <c r="CL239" s="1603">
        <v>15.892799999999999</v>
      </c>
      <c r="CM239" s="1603">
        <v>41.4876</v>
      </c>
      <c r="CN239" s="1603">
        <v>75.195120000000003</v>
      </c>
      <c r="CO239" s="1603">
        <v>0</v>
      </c>
      <c r="CP239" s="1603">
        <v>4.6199999999999998E-2</v>
      </c>
      <c r="CQ239" s="1603">
        <v>511.08148499999999</v>
      </c>
      <c r="CR239" s="1603">
        <v>519.51826368308753</v>
      </c>
      <c r="CS239" s="1603">
        <v>30.577698795353463</v>
      </c>
      <c r="CT239" s="1603">
        <v>7.1524086964004665</v>
      </c>
      <c r="CU239" s="1603">
        <v>6.5380977120465786</v>
      </c>
      <c r="CV239" s="1603">
        <v>13.690506408447096</v>
      </c>
      <c r="CW239" s="1603">
        <v>20.048900109821453</v>
      </c>
      <c r="CX239" s="1603">
        <v>7.2218495575305779</v>
      </c>
      <c r="CY239" s="1603">
        <v>24.290722613284842</v>
      </c>
      <c r="CZ239" s="1603">
        <v>40.90238603882608</v>
      </c>
      <c r="DA239" s="1603">
        <v>13.826981764232391</v>
      </c>
      <c r="DB239" s="1603">
        <v>27.396912023959665</v>
      </c>
      <c r="DC239" s="1603">
        <v>20.12942744506762</v>
      </c>
      <c r="DD239" s="1603">
        <v>47.526339469027292</v>
      </c>
      <c r="DE239" s="1603">
        <v>24.519155545071737</v>
      </c>
      <c r="DF239" s="1603">
        <v>0</v>
      </c>
      <c r="DG239" s="1603">
        <v>0</v>
      </c>
      <c r="DH239" s="1603">
        <v>0</v>
      </c>
      <c r="DI239" s="1603">
        <v>0</v>
      </c>
      <c r="DJ239" s="1603">
        <v>0</v>
      </c>
      <c r="DK239" s="1603">
        <v>0</v>
      </c>
      <c r="DL239" s="1603">
        <v>0</v>
      </c>
      <c r="DM239" s="1603">
        <v>0</v>
      </c>
      <c r="DN239" s="1603">
        <v>0</v>
      </c>
      <c r="DO239" s="1603">
        <v>0</v>
      </c>
      <c r="DP239" s="1603">
        <v>0</v>
      </c>
      <c r="DQ239" s="1603">
        <v>0</v>
      </c>
      <c r="DR239" s="1603">
        <v>0</v>
      </c>
      <c r="DS239" s="1603">
        <v>0</v>
      </c>
      <c r="DT239" s="1603">
        <v>0</v>
      </c>
      <c r="DU239" s="1603">
        <v>0</v>
      </c>
      <c r="DV239" s="1603">
        <v>0</v>
      </c>
      <c r="DW239" s="1618" t="s">
        <v>3161</v>
      </c>
      <c r="DX239" s="1605">
        <v>12</v>
      </c>
      <c r="DY239" s="1605">
        <v>12</v>
      </c>
      <c r="DZ239" s="1605">
        <v>12</v>
      </c>
      <c r="EA239" s="1605">
        <v>12</v>
      </c>
      <c r="EB239" s="1605" t="s">
        <v>986</v>
      </c>
      <c r="EC239" s="1605">
        <v>12</v>
      </c>
      <c r="ED239" s="1605">
        <v>12</v>
      </c>
      <c r="EE239" s="1605">
        <v>12</v>
      </c>
      <c r="EF239" s="1605">
        <v>12</v>
      </c>
      <c r="EG239" s="1605">
        <v>12</v>
      </c>
      <c r="EH239" s="1605">
        <v>8</v>
      </c>
      <c r="EI239" s="1605">
        <v>8</v>
      </c>
      <c r="EJ239" s="1605">
        <v>8</v>
      </c>
      <c r="EK239" s="1605">
        <v>8</v>
      </c>
      <c r="EL239" s="1605">
        <v>8</v>
      </c>
      <c r="EM239" s="1605">
        <v>8</v>
      </c>
      <c r="EN239" s="1605">
        <v>8</v>
      </c>
      <c r="EO239" s="1605">
        <v>8</v>
      </c>
      <c r="EP239" s="1605">
        <v>8</v>
      </c>
      <c r="EQ239" s="1605">
        <v>8</v>
      </c>
      <c r="ER239" s="1605">
        <v>8</v>
      </c>
      <c r="ES239" s="1605">
        <v>8</v>
      </c>
      <c r="ET239" s="1605">
        <v>8</v>
      </c>
      <c r="EU239" s="1605">
        <v>8</v>
      </c>
      <c r="EV239" s="1605" t="s">
        <v>986</v>
      </c>
      <c r="EW239" s="1605">
        <v>8</v>
      </c>
      <c r="EX239" s="1605">
        <v>8</v>
      </c>
      <c r="EY239" s="1605" t="s">
        <v>986</v>
      </c>
      <c r="EZ239" s="1605">
        <v>8</v>
      </c>
      <c r="FA239" s="1605">
        <v>8</v>
      </c>
      <c r="FB239" s="1605">
        <v>8</v>
      </c>
      <c r="FC239" s="1605">
        <v>8</v>
      </c>
      <c r="FD239" s="1605" t="s">
        <v>986</v>
      </c>
      <c r="FE239" s="1605">
        <v>4</v>
      </c>
      <c r="FF239" s="1605" t="s">
        <v>986</v>
      </c>
      <c r="FG239" s="1605">
        <v>0.9</v>
      </c>
      <c r="FH239" s="1605">
        <v>0.37</v>
      </c>
      <c r="FI239" s="1605">
        <v>0.27</v>
      </c>
      <c r="FJ239" s="1605" t="s">
        <v>986</v>
      </c>
      <c r="FK239" s="1605">
        <v>1.1100000000000001</v>
      </c>
      <c r="FL239" s="1605">
        <v>0.57999999999999996</v>
      </c>
      <c r="FM239" s="1605" t="s">
        <v>986</v>
      </c>
      <c r="FN239" s="1605">
        <v>1.22</v>
      </c>
      <c r="FO239" s="1605">
        <v>1.07</v>
      </c>
      <c r="FP239" s="1605">
        <v>1.17</v>
      </c>
      <c r="FQ239" s="1605">
        <v>0.24</v>
      </c>
      <c r="FR239" s="1605">
        <v>0.38</v>
      </c>
      <c r="FS239" s="1605">
        <v>0.36</v>
      </c>
      <c r="FT239" s="1605">
        <v>0.17</v>
      </c>
      <c r="FU239" s="1605">
        <v>0.59</v>
      </c>
      <c r="FV239" s="1605">
        <v>0.83</v>
      </c>
      <c r="FW239" s="1605">
        <v>0.3</v>
      </c>
      <c r="FX239" s="1605">
        <v>0.84</v>
      </c>
      <c r="FY239" s="1605">
        <v>0.83</v>
      </c>
      <c r="FZ239" s="1605">
        <v>0.71</v>
      </c>
      <c r="GA239" s="1605" t="s">
        <v>986</v>
      </c>
      <c r="GB239" s="1605">
        <v>0.48</v>
      </c>
      <c r="GC239" s="1605" t="s">
        <v>986</v>
      </c>
      <c r="GD239" s="1605" t="s">
        <v>986</v>
      </c>
      <c r="GE239" s="1605">
        <v>1.69</v>
      </c>
      <c r="GF239" s="1605">
        <v>0.19</v>
      </c>
      <c r="GG239" s="1605">
        <v>0.12</v>
      </c>
      <c r="GH239" s="1605">
        <v>102.87</v>
      </c>
      <c r="GI239" s="1605">
        <v>3.18</v>
      </c>
      <c r="GJ239" s="1605">
        <v>11.7</v>
      </c>
      <c r="GK239" s="1605">
        <v>13.48</v>
      </c>
      <c r="GL239" s="1605" t="s">
        <v>986</v>
      </c>
      <c r="GM239" s="1605">
        <v>0.09</v>
      </c>
      <c r="GN239" s="1605" t="s">
        <v>3145</v>
      </c>
      <c r="GO239" s="1605" t="s">
        <v>3145</v>
      </c>
      <c r="GP239" s="1605" t="s">
        <v>3145</v>
      </c>
      <c r="GQ239" s="1605" t="s">
        <v>3145</v>
      </c>
      <c r="GR239" s="1605" t="s">
        <v>986</v>
      </c>
      <c r="GS239" s="1605" t="s">
        <v>3145</v>
      </c>
      <c r="GT239" s="1605" t="s">
        <v>3145</v>
      </c>
      <c r="GU239" s="1605" t="s">
        <v>3145</v>
      </c>
      <c r="GV239" s="1605" t="s">
        <v>3145</v>
      </c>
      <c r="GW239" s="1605" t="s">
        <v>3145</v>
      </c>
      <c r="GX239" s="1605" t="s">
        <v>1585</v>
      </c>
      <c r="GY239" s="1605" t="s">
        <v>1585</v>
      </c>
      <c r="GZ239" s="1605" t="s">
        <v>1585</v>
      </c>
      <c r="HA239" s="1605" t="s">
        <v>1585</v>
      </c>
      <c r="HB239" s="1605" t="s">
        <v>1585</v>
      </c>
      <c r="HC239" s="1605" t="s">
        <v>1585</v>
      </c>
      <c r="HD239" s="1605" t="s">
        <v>1585</v>
      </c>
      <c r="HE239" s="1605" t="s">
        <v>1585</v>
      </c>
      <c r="HF239" s="1605" t="s">
        <v>1585</v>
      </c>
      <c r="HG239" s="1605" t="s">
        <v>1585</v>
      </c>
      <c r="HH239" s="1605" t="s">
        <v>1585</v>
      </c>
      <c r="HI239" s="1605" t="s">
        <v>1585</v>
      </c>
      <c r="HJ239" s="1605" t="s">
        <v>1585</v>
      </c>
      <c r="HK239" s="1605" t="s">
        <v>986</v>
      </c>
      <c r="HL239" s="1605" t="s">
        <v>986</v>
      </c>
      <c r="HM239" s="1605" t="s">
        <v>1585</v>
      </c>
      <c r="HN239" s="1605" t="s">
        <v>1585</v>
      </c>
      <c r="HO239" s="1605" t="s">
        <v>1585</v>
      </c>
      <c r="HP239" s="1605" t="s">
        <v>1585</v>
      </c>
      <c r="HQ239" s="1605" t="s">
        <v>1585</v>
      </c>
      <c r="HR239" s="1605" t="s">
        <v>1585</v>
      </c>
      <c r="HS239" s="1605" t="s">
        <v>1585</v>
      </c>
      <c r="HT239" s="1605" t="s">
        <v>986</v>
      </c>
      <c r="HU239" s="1605" t="s">
        <v>1585</v>
      </c>
      <c r="HV239" s="1617"/>
      <c r="HW239" s="1617" t="s">
        <v>3163</v>
      </c>
      <c r="HX239" s="1617" t="s">
        <v>3159</v>
      </c>
      <c r="HY239" s="1617" t="s">
        <v>3158</v>
      </c>
      <c r="HZ239" s="1603"/>
      <c r="IA239" s="1603"/>
      <c r="IB239" s="1603"/>
      <c r="IC239" s="1603">
        <v>65.585365853658502</v>
      </c>
      <c r="ID239" s="1603">
        <v>67.048780487804905</v>
      </c>
      <c r="IE239" s="1603">
        <v>68.268292682926798</v>
      </c>
      <c r="IF239" s="1603">
        <v>69</v>
      </c>
      <c r="IG239" s="1611" t="s">
        <v>3139</v>
      </c>
      <c r="IH239" s="1616" t="s">
        <v>270</v>
      </c>
      <c r="II239" s="1615" t="s">
        <v>270</v>
      </c>
      <c r="IJ239" s="1613">
        <v>9.4360625000000002</v>
      </c>
      <c r="IK239" s="1613">
        <v>1.8102982954545457</v>
      </c>
      <c r="IL239" s="1614">
        <v>9.4360625000000002</v>
      </c>
      <c r="IM239" s="1614">
        <v>1.8102982954545457</v>
      </c>
      <c r="IN239" s="1612" t="s">
        <v>270</v>
      </c>
      <c r="IO239" s="1613" t="s">
        <v>270</v>
      </c>
      <c r="IP239" s="1607" t="s">
        <v>270</v>
      </c>
      <c r="IQ239" s="1612" t="s">
        <v>270</v>
      </c>
      <c r="IR239" s="1612" t="s">
        <v>270</v>
      </c>
      <c r="IS239" s="1607">
        <v>9.1010624999999994</v>
      </c>
      <c r="IT239" s="1607">
        <v>1.4752982954545457</v>
      </c>
      <c r="IU239" s="1611">
        <v>2.8409090909090912E-6</v>
      </c>
      <c r="IV239" s="1611">
        <v>2.2573863636363635E-2</v>
      </c>
      <c r="IW239" s="1611">
        <v>4.8181818181818178E-3</v>
      </c>
      <c r="IX239" s="1611">
        <v>1.71875E-3</v>
      </c>
      <c r="IY239" s="1611">
        <v>6.1818181818181816E-3</v>
      </c>
      <c r="IZ239" s="1611">
        <v>6.4659090909090916E-3</v>
      </c>
      <c r="JA239" s="1611">
        <v>6.249999999999999E-4</v>
      </c>
      <c r="JB239" s="1611" t="s">
        <v>270</v>
      </c>
      <c r="JC239" s="1611">
        <v>1.1867954545454544</v>
      </c>
      <c r="JD239" s="1611">
        <v>8.050284090909092E-2</v>
      </c>
      <c r="JE239" s="1611" t="s">
        <v>270</v>
      </c>
      <c r="JF239" s="1611">
        <v>1.0056818181818181E-3</v>
      </c>
      <c r="JG239" s="1611">
        <v>1.2636732954545453</v>
      </c>
      <c r="JH239" s="1611">
        <v>1.3977272727272727E-3</v>
      </c>
      <c r="JI239" s="1611">
        <v>0.49736931818181818</v>
      </c>
      <c r="JJ239" s="1611" t="s">
        <v>270</v>
      </c>
      <c r="JK239" s="1607">
        <f t="shared" si="12"/>
        <v>0.33500000000000085</v>
      </c>
      <c r="JL239" s="1608" t="s">
        <v>270</v>
      </c>
      <c r="JM239" s="1610" t="s">
        <v>2924</v>
      </c>
      <c r="JN239" s="1608">
        <v>7.6257642045454537</v>
      </c>
      <c r="JO239" s="1609" t="s">
        <v>3114</v>
      </c>
      <c r="JP239" s="1608" t="s">
        <v>270</v>
      </c>
      <c r="JQ239" s="1607">
        <v>202103</v>
      </c>
      <c r="JR239" s="1606">
        <v>632</v>
      </c>
      <c r="JS239" s="1606">
        <v>574</v>
      </c>
      <c r="JT239" s="1606">
        <v>574</v>
      </c>
    </row>
    <row r="240" spans="1:280" ht="15" customHeight="1" x14ac:dyDescent="0.2">
      <c r="A240" s="1626">
        <v>61350</v>
      </c>
      <c r="B240" s="1625">
        <v>613</v>
      </c>
      <c r="C240" s="1624">
        <v>50</v>
      </c>
      <c r="D240" s="1623" t="s">
        <v>3162</v>
      </c>
      <c r="E240" s="1622">
        <v>43369</v>
      </c>
      <c r="F240" s="1620">
        <v>0.98234040650406096</v>
      </c>
      <c r="G240" s="1620">
        <v>1.00183147636363</v>
      </c>
      <c r="H240" s="1621">
        <v>93.64</v>
      </c>
      <c r="I240" s="1621">
        <v>78.099973800000001</v>
      </c>
      <c r="J240" s="1621">
        <v>96</v>
      </c>
      <c r="K240" s="1620">
        <v>1</v>
      </c>
      <c r="L240" s="1620">
        <v>92.1</v>
      </c>
      <c r="M240" s="1620">
        <v>52</v>
      </c>
      <c r="N240" s="1620">
        <v>2.5</v>
      </c>
      <c r="O240" s="1620">
        <v>7.2</v>
      </c>
      <c r="P240" s="1620">
        <v>3.1314000000000002</v>
      </c>
      <c r="Q240" s="1603"/>
      <c r="R240" s="1620">
        <v>86.5</v>
      </c>
      <c r="S240" s="1620">
        <v>39</v>
      </c>
      <c r="T240" s="1620">
        <v>51.195121951219498</v>
      </c>
      <c r="U240" s="1620">
        <v>56.0731707317073</v>
      </c>
      <c r="V240" s="1620">
        <v>60.463414634146297</v>
      </c>
      <c r="W240" s="1620">
        <v>63.390243902439003</v>
      </c>
      <c r="X240" s="1620"/>
      <c r="Y240" s="1620">
        <v>4.3000000000000007</v>
      </c>
      <c r="Z240" s="1620">
        <v>7.7000000000000011</v>
      </c>
      <c r="AA240" s="1620">
        <v>0.20000000000000004</v>
      </c>
      <c r="AB240" s="1620">
        <v>0.32573289902280134</v>
      </c>
      <c r="AC240" s="1620">
        <v>26.000000000000007</v>
      </c>
      <c r="AD240" s="1620">
        <v>4.9000000000000004</v>
      </c>
      <c r="AE240" s="1620">
        <v>4.4000000000000012</v>
      </c>
      <c r="AF240" s="1620">
        <v>618.00000000000011</v>
      </c>
      <c r="AG240" s="1620">
        <v>18</v>
      </c>
      <c r="AH240" s="1620">
        <v>59.20000000000001</v>
      </c>
      <c r="AI240" s="1620">
        <v>67.600000000000009</v>
      </c>
      <c r="AJ240" s="1620">
        <v>0</v>
      </c>
      <c r="AK240" s="1620">
        <v>0.13</v>
      </c>
      <c r="AL240" s="1620"/>
      <c r="AM240" s="1620">
        <v>5.9965034965035002</v>
      </c>
      <c r="AN240" s="1620">
        <v>1.36363636363636</v>
      </c>
      <c r="AO240" s="1620">
        <v>1.4510489510489499</v>
      </c>
      <c r="AP240" s="1620">
        <v>3.9685314685314701</v>
      </c>
      <c r="AQ240" s="1620">
        <v>1.34615384615385</v>
      </c>
      <c r="AR240" s="1620">
        <v>4.4930069930069898</v>
      </c>
      <c r="AS240" s="1620">
        <v>7.63986013986014</v>
      </c>
      <c r="AT240" s="1620">
        <v>2.6048951048951001</v>
      </c>
      <c r="AU240" s="1620">
        <v>5.0524475524475498</v>
      </c>
      <c r="AV240" s="1620">
        <v>3.8111888111888099</v>
      </c>
      <c r="AW240" s="1620">
        <v>4.7027972027971998</v>
      </c>
      <c r="AX240" s="1620"/>
      <c r="AY240" s="1620">
        <v>0.97</v>
      </c>
      <c r="AZ240" s="1620">
        <v>1.06</v>
      </c>
      <c r="BA240" s="1620">
        <v>0.91</v>
      </c>
      <c r="BB240" s="1620">
        <v>0.99</v>
      </c>
      <c r="BC240" s="1620">
        <v>1.06</v>
      </c>
      <c r="BD240" s="1620">
        <v>1.05</v>
      </c>
      <c r="BE240" s="1620">
        <v>1.05</v>
      </c>
      <c r="BF240" s="1620">
        <v>1.07</v>
      </c>
      <c r="BG240" s="1620">
        <v>1.06</v>
      </c>
      <c r="BH240" s="1620">
        <v>1.05</v>
      </c>
      <c r="BI240" s="1620">
        <v>1.01</v>
      </c>
      <c r="BJ240" s="1603"/>
      <c r="BK240" s="1620">
        <v>56.46036916395223</v>
      </c>
      <c r="BL240" s="1620">
        <v>2.7144408251900112</v>
      </c>
      <c r="BM240" s="1620">
        <v>7.8175895765472321</v>
      </c>
      <c r="BN240" s="1620">
        <v>3.4000000000000008</v>
      </c>
      <c r="BO240" s="1620"/>
      <c r="BP240" s="1620">
        <v>130</v>
      </c>
      <c r="BQ240" s="1620">
        <v>35.287730727470141</v>
      </c>
      <c r="BR240" s="1620">
        <v>1.0666019614593496</v>
      </c>
      <c r="BS240" s="1620">
        <v>1.0877649037607275</v>
      </c>
      <c r="BT240" s="1603"/>
      <c r="BU240" s="1620">
        <v>921.82410423452779</v>
      </c>
      <c r="BV240" s="1620">
        <v>118.43170466883822</v>
      </c>
      <c r="BW240" s="1620">
        <v>204.64529616565798</v>
      </c>
      <c r="BX240" s="1620" t="s">
        <v>270</v>
      </c>
      <c r="BY240" s="1620" t="s">
        <v>270</v>
      </c>
      <c r="BZ240" s="1620">
        <v>64.766110749185671</v>
      </c>
      <c r="CA240" s="1620">
        <v>175.10837350705756</v>
      </c>
      <c r="CB240" s="1603"/>
      <c r="CC240" s="1603">
        <v>3.9603000000000002</v>
      </c>
      <c r="CD240" s="1603">
        <v>7.0917000000000003</v>
      </c>
      <c r="CE240" s="1603">
        <v>0.18420000000000003</v>
      </c>
      <c r="CF240" s="1603">
        <v>0.3</v>
      </c>
      <c r="CG240" s="1603">
        <v>23.946000000000005</v>
      </c>
      <c r="CH240" s="1603">
        <v>4.5129000000000001</v>
      </c>
      <c r="CI240" s="1603">
        <v>4.0524000000000004</v>
      </c>
      <c r="CJ240" s="1603"/>
      <c r="CK240" s="1603">
        <v>569.17800000000011</v>
      </c>
      <c r="CL240" s="1603">
        <v>16.577999999999999</v>
      </c>
      <c r="CM240" s="1603">
        <v>54.523200000000003</v>
      </c>
      <c r="CN240" s="1603">
        <v>62.259600000000006</v>
      </c>
      <c r="CO240" s="1603">
        <v>0</v>
      </c>
      <c r="CP240" s="1603">
        <v>0.11972999999999999</v>
      </c>
      <c r="CQ240" s="1603">
        <v>449.79999999999899</v>
      </c>
      <c r="CR240" s="1603">
        <v>457.88608207692567</v>
      </c>
      <c r="CS240" s="1603">
        <v>26.633440274093363</v>
      </c>
      <c r="CT240" s="1603">
        <v>6.6185351863846522</v>
      </c>
      <c r="CU240" s="1603">
        <v>6.0461775837884941</v>
      </c>
      <c r="CV240" s="1603">
        <v>12.664712770173187</v>
      </c>
      <c r="CW240" s="1603">
        <v>17.989639724676177</v>
      </c>
      <c r="CX240" s="1603">
        <v>6.5336821711746493</v>
      </c>
      <c r="CY240" s="1603">
        <v>21.60149637210813</v>
      </c>
      <c r="CZ240" s="1603">
        <v>36.730949084090476</v>
      </c>
      <c r="DA240" s="1603">
        <v>12.762373787679039</v>
      </c>
      <c r="DB240" s="1603">
        <v>24.522521395707258</v>
      </c>
      <c r="DC240" s="1603">
        <v>18.323448284511944</v>
      </c>
      <c r="DD240" s="1603">
        <v>42.845969680219305</v>
      </c>
      <c r="DE240" s="1603">
        <v>21.748788398510492</v>
      </c>
      <c r="DF240" s="1603">
        <v>0</v>
      </c>
      <c r="DG240" s="1603">
        <v>0</v>
      </c>
      <c r="DH240" s="1603">
        <v>0</v>
      </c>
      <c r="DI240" s="1603">
        <v>0</v>
      </c>
      <c r="DJ240" s="1603">
        <v>0</v>
      </c>
      <c r="DK240" s="1603">
        <v>0</v>
      </c>
      <c r="DL240" s="1603">
        <v>0</v>
      </c>
      <c r="DM240" s="1603">
        <v>0</v>
      </c>
      <c r="DN240" s="1603">
        <v>0</v>
      </c>
      <c r="DO240" s="1603">
        <v>0</v>
      </c>
      <c r="DP240" s="1603">
        <v>0</v>
      </c>
      <c r="DQ240" s="1603">
        <v>0</v>
      </c>
      <c r="DR240" s="1603">
        <v>0</v>
      </c>
      <c r="DS240" s="1603">
        <v>0</v>
      </c>
      <c r="DT240" s="1603">
        <v>0</v>
      </c>
      <c r="DU240" s="1603">
        <v>0</v>
      </c>
      <c r="DV240" s="1603">
        <v>0</v>
      </c>
      <c r="DW240" s="1618" t="s">
        <v>3161</v>
      </c>
      <c r="DX240" s="1605">
        <v>12</v>
      </c>
      <c r="DY240" s="1605">
        <v>12</v>
      </c>
      <c r="DZ240" s="1605">
        <v>12</v>
      </c>
      <c r="EA240" s="1605">
        <v>12</v>
      </c>
      <c r="EB240" s="1605" t="s">
        <v>986</v>
      </c>
      <c r="EC240" s="1605">
        <v>12</v>
      </c>
      <c r="ED240" s="1605">
        <v>12</v>
      </c>
      <c r="EE240" s="1605">
        <v>12</v>
      </c>
      <c r="EF240" s="1605">
        <v>12</v>
      </c>
      <c r="EG240" s="1605">
        <v>12</v>
      </c>
      <c r="EH240" s="1605">
        <v>8</v>
      </c>
      <c r="EI240" s="1605">
        <v>8</v>
      </c>
      <c r="EJ240" s="1605">
        <v>8</v>
      </c>
      <c r="EK240" s="1605">
        <v>8</v>
      </c>
      <c r="EL240" s="1605">
        <v>8</v>
      </c>
      <c r="EM240" s="1605">
        <v>8</v>
      </c>
      <c r="EN240" s="1605">
        <v>8</v>
      </c>
      <c r="EO240" s="1605">
        <v>8</v>
      </c>
      <c r="EP240" s="1605">
        <v>8</v>
      </c>
      <c r="EQ240" s="1605">
        <v>8</v>
      </c>
      <c r="ER240" s="1605">
        <v>8</v>
      </c>
      <c r="ES240" s="1605">
        <v>8</v>
      </c>
      <c r="ET240" s="1605">
        <v>8</v>
      </c>
      <c r="EU240" s="1605">
        <v>8</v>
      </c>
      <c r="EV240" s="1605" t="s">
        <v>986</v>
      </c>
      <c r="EW240" s="1605">
        <v>8</v>
      </c>
      <c r="EX240" s="1605">
        <v>8</v>
      </c>
      <c r="EY240" s="1605" t="s">
        <v>986</v>
      </c>
      <c r="EZ240" s="1605">
        <v>8</v>
      </c>
      <c r="FA240" s="1605">
        <v>8</v>
      </c>
      <c r="FB240" s="1605">
        <v>8</v>
      </c>
      <c r="FC240" s="1605">
        <v>8</v>
      </c>
      <c r="FD240" s="1605" t="s">
        <v>986</v>
      </c>
      <c r="FE240" s="1605">
        <v>4</v>
      </c>
      <c r="FF240" s="1605" t="s">
        <v>986</v>
      </c>
      <c r="FG240" s="1605">
        <v>1.01</v>
      </c>
      <c r="FH240" s="1605">
        <v>0.2</v>
      </c>
      <c r="FI240" s="1605">
        <v>0.14000000000000001</v>
      </c>
      <c r="FJ240" s="1605" t="s">
        <v>986</v>
      </c>
      <c r="FK240" s="1605">
        <v>0.82</v>
      </c>
      <c r="FL240" s="1605">
        <v>1.03</v>
      </c>
      <c r="FM240" s="1605" t="s">
        <v>986</v>
      </c>
      <c r="FN240" s="1605">
        <v>1.5</v>
      </c>
      <c r="FO240" s="1605">
        <v>1.19</v>
      </c>
      <c r="FP240" s="1605">
        <v>0.56999999999999995</v>
      </c>
      <c r="FQ240" s="1605">
        <v>0.17</v>
      </c>
      <c r="FR240" s="1605">
        <v>0.26</v>
      </c>
      <c r="FS240" s="1605">
        <v>0.26</v>
      </c>
      <c r="FT240" s="1605">
        <v>0.1</v>
      </c>
      <c r="FU240" s="1605">
        <v>0.42</v>
      </c>
      <c r="FV240" s="1605">
        <v>0.39</v>
      </c>
      <c r="FW240" s="1605">
        <v>0.18</v>
      </c>
      <c r="FX240" s="1605">
        <v>1.0900000000000001</v>
      </c>
      <c r="FY240" s="1605">
        <v>1.36</v>
      </c>
      <c r="FZ240" s="1605">
        <v>0.65</v>
      </c>
      <c r="GA240" s="1605" t="s">
        <v>986</v>
      </c>
      <c r="GB240" s="1605">
        <v>0.32</v>
      </c>
      <c r="GC240" s="1605" t="s">
        <v>986</v>
      </c>
      <c r="GD240" s="1605" t="s">
        <v>986</v>
      </c>
      <c r="GE240" s="1605">
        <v>1.34</v>
      </c>
      <c r="GF240" s="1605">
        <v>0.21</v>
      </c>
      <c r="GG240" s="1605">
        <v>0.08</v>
      </c>
      <c r="GH240" s="1605">
        <v>47.14</v>
      </c>
      <c r="GI240" s="1605">
        <v>0.81</v>
      </c>
      <c r="GJ240" s="1605">
        <v>2.71</v>
      </c>
      <c r="GK240" s="1605">
        <v>5.48</v>
      </c>
      <c r="GL240" s="1605" t="s">
        <v>986</v>
      </c>
      <c r="GM240" s="1605">
        <v>0.01</v>
      </c>
      <c r="GN240" s="1605" t="s">
        <v>3145</v>
      </c>
      <c r="GO240" s="1605" t="s">
        <v>3145</v>
      </c>
      <c r="GP240" s="1605" t="s">
        <v>3145</v>
      </c>
      <c r="GQ240" s="1605" t="s">
        <v>3145</v>
      </c>
      <c r="GR240" s="1605" t="s">
        <v>986</v>
      </c>
      <c r="GS240" s="1605" t="s">
        <v>3145</v>
      </c>
      <c r="GT240" s="1605" t="s">
        <v>3145</v>
      </c>
      <c r="GU240" s="1605" t="s">
        <v>3145</v>
      </c>
      <c r="GV240" s="1605" t="s">
        <v>3145</v>
      </c>
      <c r="GW240" s="1605" t="s">
        <v>3145</v>
      </c>
      <c r="GX240" s="1605" t="s">
        <v>1585</v>
      </c>
      <c r="GY240" s="1605" t="s">
        <v>1585</v>
      </c>
      <c r="GZ240" s="1605" t="s">
        <v>1585</v>
      </c>
      <c r="HA240" s="1605" t="s">
        <v>1585</v>
      </c>
      <c r="HB240" s="1605" t="s">
        <v>1585</v>
      </c>
      <c r="HC240" s="1605" t="s">
        <v>1585</v>
      </c>
      <c r="HD240" s="1605" t="s">
        <v>1585</v>
      </c>
      <c r="HE240" s="1605" t="s">
        <v>1585</v>
      </c>
      <c r="HF240" s="1605" t="s">
        <v>1585</v>
      </c>
      <c r="HG240" s="1605" t="s">
        <v>1585</v>
      </c>
      <c r="HH240" s="1605" t="s">
        <v>1585</v>
      </c>
      <c r="HI240" s="1605" t="s">
        <v>1585</v>
      </c>
      <c r="HJ240" s="1605" t="s">
        <v>1585</v>
      </c>
      <c r="HK240" s="1605" t="s">
        <v>986</v>
      </c>
      <c r="HL240" s="1605" t="s">
        <v>986</v>
      </c>
      <c r="HM240" s="1605" t="s">
        <v>1585</v>
      </c>
      <c r="HN240" s="1605" t="s">
        <v>1585</v>
      </c>
      <c r="HO240" s="1605" t="s">
        <v>1585</v>
      </c>
      <c r="HP240" s="1605" t="s">
        <v>1585</v>
      </c>
      <c r="HQ240" s="1605" t="s">
        <v>1585</v>
      </c>
      <c r="HR240" s="1605" t="s">
        <v>1585</v>
      </c>
      <c r="HS240" s="1605" t="s">
        <v>1585</v>
      </c>
      <c r="HT240" s="1605" t="s">
        <v>986</v>
      </c>
      <c r="HU240" s="1605" t="s">
        <v>1585</v>
      </c>
      <c r="HV240" s="1617"/>
      <c r="HW240" s="1617" t="s">
        <v>3160</v>
      </c>
      <c r="HX240" s="1617" t="s">
        <v>3159</v>
      </c>
      <c r="HY240" s="1617" t="s">
        <v>3158</v>
      </c>
      <c r="HZ240" s="1603"/>
      <c r="IA240" s="1603"/>
      <c r="IB240" s="1603"/>
      <c r="IC240" s="1603">
        <v>65.585365853658502</v>
      </c>
      <c r="ID240" s="1603">
        <v>67.048780487804905</v>
      </c>
      <c r="IE240" s="1603">
        <v>68.268292682926798</v>
      </c>
      <c r="IF240" s="1603">
        <v>69</v>
      </c>
      <c r="IG240" s="1611" t="s">
        <v>3139</v>
      </c>
      <c r="IH240" s="1616" t="s">
        <v>270</v>
      </c>
      <c r="II240" s="1615" t="s">
        <v>270</v>
      </c>
      <c r="IJ240" s="1613">
        <v>9.4360625000000002</v>
      </c>
      <c r="IK240" s="1613">
        <v>1.8102982954545457</v>
      </c>
      <c r="IL240" s="1614">
        <v>9.4360625000000002</v>
      </c>
      <c r="IM240" s="1614">
        <v>1.8102982954545457</v>
      </c>
      <c r="IN240" s="1612" t="s">
        <v>270</v>
      </c>
      <c r="IO240" s="1613" t="s">
        <v>270</v>
      </c>
      <c r="IP240" s="1607" t="s">
        <v>270</v>
      </c>
      <c r="IQ240" s="1612" t="s">
        <v>270</v>
      </c>
      <c r="IR240" s="1612" t="s">
        <v>270</v>
      </c>
      <c r="IS240" s="1607">
        <v>9.1010624999999994</v>
      </c>
      <c r="IT240" s="1607">
        <v>1.4752982954545457</v>
      </c>
      <c r="IU240" s="1611">
        <v>2.8409090909090912E-6</v>
      </c>
      <c r="IV240" s="1611">
        <v>2.2573863636363635E-2</v>
      </c>
      <c r="IW240" s="1611">
        <v>4.8181818181818178E-3</v>
      </c>
      <c r="IX240" s="1611">
        <v>1.71875E-3</v>
      </c>
      <c r="IY240" s="1611">
        <v>6.1818181818181816E-3</v>
      </c>
      <c r="IZ240" s="1611">
        <v>6.4659090909090916E-3</v>
      </c>
      <c r="JA240" s="1611">
        <v>6.249999999999999E-4</v>
      </c>
      <c r="JB240" s="1611" t="s">
        <v>270</v>
      </c>
      <c r="JC240" s="1611">
        <v>1.1867954545454544</v>
      </c>
      <c r="JD240" s="1611">
        <v>8.050284090909092E-2</v>
      </c>
      <c r="JE240" s="1611" t="s">
        <v>270</v>
      </c>
      <c r="JF240" s="1611">
        <v>1.0056818181818181E-3</v>
      </c>
      <c r="JG240" s="1611">
        <v>1.2636732954545453</v>
      </c>
      <c r="JH240" s="1611">
        <v>1.3977272727272727E-3</v>
      </c>
      <c r="JI240" s="1611">
        <v>0.49736931818181818</v>
      </c>
      <c r="JJ240" s="1611" t="s">
        <v>270</v>
      </c>
      <c r="JK240" s="1607">
        <f t="shared" si="12"/>
        <v>0.33500000000000085</v>
      </c>
      <c r="JL240" s="1608" t="s">
        <v>270</v>
      </c>
      <c r="JM240" s="1610" t="s">
        <v>2924</v>
      </c>
      <c r="JN240" s="1608">
        <v>7.6257642045454537</v>
      </c>
      <c r="JO240" s="1609" t="s">
        <v>3114</v>
      </c>
      <c r="JP240" s="1608" t="s">
        <v>270</v>
      </c>
      <c r="JQ240" s="1607">
        <v>202103</v>
      </c>
      <c r="JR240" s="1606">
        <v>632</v>
      </c>
      <c r="JS240" s="1606">
        <v>574</v>
      </c>
      <c r="JT240" s="1606">
        <v>574</v>
      </c>
    </row>
    <row r="241" spans="1:280" ht="15" customHeight="1" x14ac:dyDescent="0.2">
      <c r="A241" s="1626">
        <v>61400</v>
      </c>
      <c r="B241" s="1625">
        <v>614</v>
      </c>
      <c r="C241" s="1624">
        <v>0</v>
      </c>
      <c r="D241" s="1623" t="s">
        <v>3157</v>
      </c>
      <c r="E241" s="1622">
        <v>43776</v>
      </c>
      <c r="F241" s="1620">
        <v>0.113319071815718</v>
      </c>
      <c r="G241" s="1620">
        <v>0.309165194805195</v>
      </c>
      <c r="H241" s="1621">
        <v>53.4</v>
      </c>
      <c r="I241" s="1621">
        <v>14.800023599999999</v>
      </c>
      <c r="J241" s="1621">
        <v>67</v>
      </c>
      <c r="K241" s="1620">
        <v>1</v>
      </c>
      <c r="L241" s="1620">
        <v>87.5</v>
      </c>
      <c r="M241" s="1620">
        <v>9.4499999999999993</v>
      </c>
      <c r="N241" s="1620">
        <v>2.1</v>
      </c>
      <c r="O241" s="1620">
        <v>4.375</v>
      </c>
      <c r="P241" s="1620">
        <v>34.475000000000001</v>
      </c>
      <c r="Q241" s="1603"/>
      <c r="R241" s="1620">
        <v>33.4</v>
      </c>
      <c r="S241" s="1620">
        <v>38</v>
      </c>
      <c r="T241" s="1620">
        <v>50.601626016260198</v>
      </c>
      <c r="U241" s="1620">
        <v>55.642276422764198</v>
      </c>
      <c r="V241" s="1620">
        <v>60.178861788617901</v>
      </c>
      <c r="W241" s="1620">
        <v>63.203252032520297</v>
      </c>
      <c r="X241" s="1620"/>
      <c r="Y241" s="1620">
        <v>6.1</v>
      </c>
      <c r="Z241" s="1620">
        <v>1.3</v>
      </c>
      <c r="AA241" s="1620">
        <v>0.1</v>
      </c>
      <c r="AB241" s="1620">
        <v>0.34285714285714286</v>
      </c>
      <c r="AC241" s="1620">
        <v>14.5</v>
      </c>
      <c r="AD241" s="1620">
        <v>2.6999999999999997</v>
      </c>
      <c r="AE241" s="1620">
        <v>1.1000000000000001</v>
      </c>
      <c r="AF241" s="1620">
        <v>640</v>
      </c>
      <c r="AG241" s="1620">
        <v>7</v>
      </c>
      <c r="AH241" s="1620">
        <v>21</v>
      </c>
      <c r="AI241" s="1620">
        <v>49</v>
      </c>
      <c r="AJ241" s="1620">
        <v>0</v>
      </c>
      <c r="AK241" s="1620">
        <v>0.19</v>
      </c>
      <c r="AL241" s="1620"/>
      <c r="AM241" s="1620">
        <v>6.28</v>
      </c>
      <c r="AN241" s="1620">
        <v>1.43</v>
      </c>
      <c r="AO241" s="1620">
        <v>1.58</v>
      </c>
      <c r="AP241" s="1620">
        <v>3.85</v>
      </c>
      <c r="AQ241" s="1620">
        <v>1.1599999999999999</v>
      </c>
      <c r="AR241" s="1620">
        <v>4.1399999999999997</v>
      </c>
      <c r="AS241" s="1620">
        <v>6.47</v>
      </c>
      <c r="AT241" s="1620">
        <v>2.56</v>
      </c>
      <c r="AU241" s="1620">
        <v>4.13</v>
      </c>
      <c r="AV241" s="1620">
        <v>3.91</v>
      </c>
      <c r="AW241" s="1620">
        <v>4.66</v>
      </c>
      <c r="AX241" s="1620"/>
      <c r="AY241" s="1620">
        <v>1</v>
      </c>
      <c r="AZ241" s="1620">
        <v>1</v>
      </c>
      <c r="BA241" s="1620">
        <v>1</v>
      </c>
      <c r="BB241" s="1620">
        <v>1</v>
      </c>
      <c r="BC241" s="1620">
        <v>1</v>
      </c>
      <c r="BD241" s="1620">
        <v>1</v>
      </c>
      <c r="BE241" s="1620">
        <v>1</v>
      </c>
      <c r="BF241" s="1620">
        <v>1</v>
      </c>
      <c r="BG241" s="1620">
        <v>1</v>
      </c>
      <c r="BH241" s="1620">
        <v>1</v>
      </c>
      <c r="BI241" s="1620">
        <v>1</v>
      </c>
      <c r="BJ241" s="1603"/>
      <c r="BK241" s="1620">
        <v>10.799999999999999</v>
      </c>
      <c r="BL241" s="1620">
        <v>2.4</v>
      </c>
      <c r="BM241" s="1620">
        <v>5</v>
      </c>
      <c r="BN241" s="1620">
        <v>39.4</v>
      </c>
      <c r="BO241" s="1620"/>
      <c r="BP241" s="1620">
        <v>130</v>
      </c>
      <c r="BQ241" s="1620">
        <v>31.2</v>
      </c>
      <c r="BR241" s="1620">
        <v>0.12950751064653487</v>
      </c>
      <c r="BS241" s="1620">
        <v>0.35333165120593713</v>
      </c>
      <c r="BT241" s="1603"/>
      <c r="BU241" s="1620">
        <v>950</v>
      </c>
      <c r="BV241" s="1620">
        <v>-138.11714285714285</v>
      </c>
      <c r="BW241" s="1620">
        <v>523.85682257142855</v>
      </c>
      <c r="BX241" s="1620">
        <v>7</v>
      </c>
      <c r="BY241" s="1620">
        <v>19</v>
      </c>
      <c r="BZ241" s="1620">
        <v>251.15322857142857</v>
      </c>
      <c r="CA241" s="1620">
        <v>679.04391428571432</v>
      </c>
      <c r="CB241" s="1603"/>
      <c r="CC241" s="1603">
        <v>5.3374999999999995</v>
      </c>
      <c r="CD241" s="1603">
        <v>1.1375</v>
      </c>
      <c r="CE241" s="1603">
        <v>8.7500000000000008E-2</v>
      </c>
      <c r="CF241" s="1603">
        <v>0.3</v>
      </c>
      <c r="CG241" s="1603">
        <v>12.6875</v>
      </c>
      <c r="CH241" s="1603">
        <v>2.3624999999999998</v>
      </c>
      <c r="CI241" s="1603">
        <v>0.96250000000000013</v>
      </c>
      <c r="CJ241" s="1603"/>
      <c r="CK241" s="1603">
        <v>560</v>
      </c>
      <c r="CL241" s="1603">
        <v>6.125</v>
      </c>
      <c r="CM241" s="1603">
        <v>18.375</v>
      </c>
      <c r="CN241" s="1603">
        <v>42.875</v>
      </c>
      <c r="CO241" s="1603">
        <v>0</v>
      </c>
      <c r="CP241" s="1603">
        <v>0.16625000000000001</v>
      </c>
      <c r="CQ241" s="1603">
        <v>31.562999999999999</v>
      </c>
      <c r="CR241" s="1603">
        <v>278.53210844621503</v>
      </c>
      <c r="CS241" s="1603">
        <v>17.491816410422306</v>
      </c>
      <c r="CT241" s="1603">
        <v>3.9830091507808754</v>
      </c>
      <c r="CU241" s="1603">
        <v>4.4008073134501986</v>
      </c>
      <c r="CV241" s="1603">
        <v>8.3838164642310744</v>
      </c>
      <c r="CW241" s="1603">
        <v>10.72348617517928</v>
      </c>
      <c r="CX241" s="1603">
        <v>3.2309724579760948</v>
      </c>
      <c r="CY241" s="1603">
        <v>11.531229289673306</v>
      </c>
      <c r="CZ241" s="1603">
        <v>18.021027416470115</v>
      </c>
      <c r="DA241" s="1603">
        <v>7.130421976223106</v>
      </c>
      <c r="DB241" s="1603">
        <v>11.503376078828682</v>
      </c>
      <c r="DC241" s="1603">
        <v>10.890605440247009</v>
      </c>
      <c r="DD241" s="1603">
        <v>22.393981519075695</v>
      </c>
      <c r="DE241" s="1603">
        <v>12.979596253593622</v>
      </c>
      <c r="DF241" s="1603">
        <v>0</v>
      </c>
      <c r="DG241" s="1603">
        <v>0</v>
      </c>
      <c r="DH241" s="1603">
        <v>0</v>
      </c>
      <c r="DI241" s="1603">
        <v>0</v>
      </c>
      <c r="DJ241" s="1603">
        <v>0</v>
      </c>
      <c r="DK241" s="1603">
        <v>0</v>
      </c>
      <c r="DL241" s="1603">
        <v>0</v>
      </c>
      <c r="DM241" s="1603">
        <v>0</v>
      </c>
      <c r="DN241" s="1603">
        <v>0</v>
      </c>
      <c r="DO241" s="1603">
        <v>0</v>
      </c>
      <c r="DP241" s="1603">
        <v>0</v>
      </c>
      <c r="DQ241" s="1603">
        <v>0</v>
      </c>
      <c r="DR241" s="1603">
        <v>0</v>
      </c>
      <c r="DS241" s="1603">
        <v>0</v>
      </c>
      <c r="DT241" s="1603">
        <v>0</v>
      </c>
      <c r="DU241" s="1603">
        <v>0</v>
      </c>
      <c r="DV241" s="1603">
        <v>0</v>
      </c>
      <c r="DW241" s="1618" t="s">
        <v>3156</v>
      </c>
      <c r="DX241" s="1605">
        <v>10</v>
      </c>
      <c r="DY241" s="1605">
        <v>9</v>
      </c>
      <c r="DZ241" s="1605">
        <v>9</v>
      </c>
      <c r="EA241" s="1605">
        <v>10</v>
      </c>
      <c r="EB241" s="1605">
        <v>10</v>
      </c>
      <c r="EC241" s="1605">
        <v>3</v>
      </c>
      <c r="ED241" s="1605">
        <v>2</v>
      </c>
      <c r="EE241" s="1605">
        <v>2</v>
      </c>
      <c r="EF241" s="1605">
        <v>2</v>
      </c>
      <c r="EG241" s="1605">
        <v>2</v>
      </c>
      <c r="EH241" s="1605" t="s">
        <v>986</v>
      </c>
      <c r="EI241" s="1605" t="s">
        <v>986</v>
      </c>
      <c r="EJ241" s="1605" t="s">
        <v>986</v>
      </c>
      <c r="EK241" s="1605" t="s">
        <v>986</v>
      </c>
      <c r="EL241" s="1605" t="s">
        <v>986</v>
      </c>
      <c r="EM241" s="1605" t="s">
        <v>986</v>
      </c>
      <c r="EN241" s="1605" t="s">
        <v>986</v>
      </c>
      <c r="EO241" s="1605" t="s">
        <v>986</v>
      </c>
      <c r="EP241" s="1605" t="s">
        <v>986</v>
      </c>
      <c r="EQ241" s="1605" t="s">
        <v>986</v>
      </c>
      <c r="ER241" s="1605" t="s">
        <v>986</v>
      </c>
      <c r="ES241" s="1605">
        <v>4</v>
      </c>
      <c r="ET241" s="1605">
        <v>3</v>
      </c>
      <c r="EU241" s="1605">
        <v>4</v>
      </c>
      <c r="EV241" s="1605" t="s">
        <v>986</v>
      </c>
      <c r="EW241" s="1605">
        <v>4</v>
      </c>
      <c r="EX241" s="1605">
        <v>4</v>
      </c>
      <c r="EY241" s="1605" t="s">
        <v>986</v>
      </c>
      <c r="EZ241" s="1605">
        <v>4</v>
      </c>
      <c r="FA241" s="1605">
        <v>4</v>
      </c>
      <c r="FB241" s="1605">
        <v>4</v>
      </c>
      <c r="FC241" s="1605" t="s">
        <v>986</v>
      </c>
      <c r="FD241" s="1605" t="s">
        <v>986</v>
      </c>
      <c r="FE241" s="1605" t="s">
        <v>986</v>
      </c>
      <c r="FF241" s="1605">
        <v>0.4</v>
      </c>
      <c r="FG241" s="1605">
        <v>0.2</v>
      </c>
      <c r="FH241" s="1605">
        <v>0.4</v>
      </c>
      <c r="FI241" s="1605">
        <v>0.2</v>
      </c>
      <c r="FJ241" s="1605">
        <v>0.9</v>
      </c>
      <c r="FK241" s="1605">
        <v>1.6</v>
      </c>
      <c r="FL241" s="1605">
        <v>0.3</v>
      </c>
      <c r="FM241" s="1605">
        <v>1.3</v>
      </c>
      <c r="FN241" s="1605">
        <v>1.6</v>
      </c>
      <c r="FO241" s="1605">
        <v>1.6</v>
      </c>
      <c r="FP241" s="1605" t="s">
        <v>986</v>
      </c>
      <c r="FQ241" s="1605" t="s">
        <v>986</v>
      </c>
      <c r="FR241" s="1605" t="s">
        <v>986</v>
      </c>
      <c r="FS241" s="1605" t="s">
        <v>986</v>
      </c>
      <c r="FT241" s="1605" t="s">
        <v>986</v>
      </c>
      <c r="FU241" s="1605" t="s">
        <v>986</v>
      </c>
      <c r="FV241" s="1605" t="s">
        <v>986</v>
      </c>
      <c r="FW241" s="1605" t="s">
        <v>986</v>
      </c>
      <c r="FX241" s="1605" t="s">
        <v>986</v>
      </c>
      <c r="FY241" s="1605" t="s">
        <v>986</v>
      </c>
      <c r="FZ241" s="1605" t="s">
        <v>986</v>
      </c>
      <c r="GA241" s="1605" t="s">
        <v>986</v>
      </c>
      <c r="GB241" s="1605">
        <v>0.2</v>
      </c>
      <c r="GC241" s="1605" t="s">
        <v>986</v>
      </c>
      <c r="GD241" s="1605" t="s">
        <v>986</v>
      </c>
      <c r="GE241" s="1605">
        <v>1.61</v>
      </c>
      <c r="GF241" s="1605">
        <v>0.18</v>
      </c>
      <c r="GG241" s="1605">
        <v>0.56000000000000005</v>
      </c>
      <c r="GH241" s="1605">
        <v>237.5</v>
      </c>
      <c r="GI241" s="1605">
        <v>2.13</v>
      </c>
      <c r="GJ241" s="1605">
        <v>1.86</v>
      </c>
      <c r="GK241" s="1605" t="s">
        <v>986</v>
      </c>
      <c r="GL241" s="1605" t="s">
        <v>986</v>
      </c>
      <c r="GM241" s="1605" t="s">
        <v>986</v>
      </c>
      <c r="GN241" s="1605" t="s">
        <v>3103</v>
      </c>
      <c r="GO241" s="1605" t="s">
        <v>3103</v>
      </c>
      <c r="GP241" s="1605" t="s">
        <v>3103</v>
      </c>
      <c r="GQ241" s="1605" t="s">
        <v>3103</v>
      </c>
      <c r="GR241" s="1605" t="s">
        <v>3103</v>
      </c>
      <c r="GS241" s="1605" t="s">
        <v>3103</v>
      </c>
      <c r="GT241" s="1605" t="s">
        <v>3103</v>
      </c>
      <c r="GU241" s="1605" t="s">
        <v>986</v>
      </c>
      <c r="GV241" s="1605" t="s">
        <v>3103</v>
      </c>
      <c r="GW241" s="1605" t="s">
        <v>3103</v>
      </c>
      <c r="GX241" s="1605" t="s">
        <v>986</v>
      </c>
      <c r="GY241" s="1605" t="s">
        <v>986</v>
      </c>
      <c r="GZ241" s="1605" t="s">
        <v>986</v>
      </c>
      <c r="HA241" s="1605" t="s">
        <v>986</v>
      </c>
      <c r="HB241" s="1605" t="s">
        <v>986</v>
      </c>
      <c r="HC241" s="1605" t="s">
        <v>986</v>
      </c>
      <c r="HD241" s="1605" t="s">
        <v>986</v>
      </c>
      <c r="HE241" s="1605" t="s">
        <v>986</v>
      </c>
      <c r="HF241" s="1605" t="s">
        <v>986</v>
      </c>
      <c r="HG241" s="1605" t="s">
        <v>986</v>
      </c>
      <c r="HH241" s="1605" t="s">
        <v>986</v>
      </c>
      <c r="HI241" s="1605" t="s">
        <v>1591</v>
      </c>
      <c r="HJ241" s="1605" t="s">
        <v>1591</v>
      </c>
      <c r="HK241" s="1605" t="s">
        <v>986</v>
      </c>
      <c r="HL241" s="1605" t="s">
        <v>986</v>
      </c>
      <c r="HM241" s="1605" t="s">
        <v>1591</v>
      </c>
      <c r="HN241" s="1605" t="s">
        <v>1591</v>
      </c>
      <c r="HO241" s="1605" t="s">
        <v>1591</v>
      </c>
      <c r="HP241" s="1605" t="s">
        <v>1591</v>
      </c>
      <c r="HQ241" s="1605" t="s">
        <v>1591</v>
      </c>
      <c r="HR241" s="1605" t="s">
        <v>1591</v>
      </c>
      <c r="HS241" s="1605" t="s">
        <v>986</v>
      </c>
      <c r="HT241" s="1605" t="s">
        <v>986</v>
      </c>
      <c r="HU241" s="1605" t="s">
        <v>986</v>
      </c>
      <c r="HV241" s="1617"/>
      <c r="HW241" s="1617" t="s">
        <v>3155</v>
      </c>
      <c r="HX241" s="1617">
        <v>0</v>
      </c>
      <c r="HY241" s="1617">
        <v>0</v>
      </c>
      <c r="HZ241" s="1603"/>
      <c r="IA241" s="1603"/>
      <c r="IB241" s="1603"/>
      <c r="IC241" s="1603">
        <v>65.471544715447195</v>
      </c>
      <c r="ID241" s="1603">
        <v>66.983739837398403</v>
      </c>
      <c r="IE241" s="1603">
        <v>68.243902439024396</v>
      </c>
      <c r="IF241" s="1603">
        <v>69</v>
      </c>
      <c r="IG241" s="1611" t="s">
        <v>3154</v>
      </c>
      <c r="IH241" s="1616" t="s">
        <v>3153</v>
      </c>
      <c r="II241" s="1615" t="s">
        <v>3152</v>
      </c>
      <c r="IJ241" s="1613">
        <v>3.2294289772727272</v>
      </c>
      <c r="IK241" s="1613">
        <v>0.66901704545454554</v>
      </c>
      <c r="IL241" s="1614">
        <v>3.2294289772727272</v>
      </c>
      <c r="IM241" s="1614">
        <v>0.66901704545454554</v>
      </c>
      <c r="IN241" s="1612">
        <v>0.46800000000000003</v>
      </c>
      <c r="IO241" s="1613">
        <v>-2.7614289772727272</v>
      </c>
      <c r="IP241" s="1607" t="s">
        <v>270</v>
      </c>
      <c r="IQ241" s="1612">
        <v>1.52</v>
      </c>
      <c r="IR241" s="1612">
        <v>6.5000000000000002E-2</v>
      </c>
      <c r="IS241" s="1607">
        <v>2.8944289772727272</v>
      </c>
      <c r="IT241" s="1607">
        <v>0.33401704545454552</v>
      </c>
      <c r="IU241" s="1611">
        <v>0</v>
      </c>
      <c r="IV241" s="1611">
        <v>6.8579545454545456E-3</v>
      </c>
      <c r="IW241" s="1611">
        <v>7.4431818181818171E-4</v>
      </c>
      <c r="IX241" s="1611">
        <v>3.7784090909090905E-4</v>
      </c>
      <c r="IY241" s="1611">
        <v>7.8125000000000004E-4</v>
      </c>
      <c r="IZ241" s="1611">
        <v>1.5255681818181818E-3</v>
      </c>
      <c r="JA241" s="1611">
        <v>1.221590909090909E-4</v>
      </c>
      <c r="JB241" s="1611" t="s">
        <v>270</v>
      </c>
      <c r="JC241" s="1611">
        <v>0.37180397727272724</v>
      </c>
      <c r="JD241" s="1611">
        <v>2.6832386363636364E-2</v>
      </c>
      <c r="JE241" s="1611" t="s">
        <v>270</v>
      </c>
      <c r="JF241" s="1611">
        <v>2.6988636363636364E-4</v>
      </c>
      <c r="JG241" s="1611">
        <v>0.41617329545454551</v>
      </c>
      <c r="JH241" s="1611">
        <v>4.4034090909090911E-4</v>
      </c>
      <c r="JI241" s="1611">
        <v>7.2755681818181817E-2</v>
      </c>
      <c r="JJ241" s="1611" t="s">
        <v>270</v>
      </c>
      <c r="JK241" s="1607">
        <f t="shared" si="12"/>
        <v>0.33499999999999996</v>
      </c>
      <c r="JL241" s="1608" t="s">
        <v>270</v>
      </c>
      <c r="JM241" s="1610" t="s">
        <v>2924</v>
      </c>
      <c r="JN241" s="1608">
        <v>2.5604119318181815</v>
      </c>
      <c r="JO241" s="1609" t="s">
        <v>3114</v>
      </c>
      <c r="JP241" s="1608" t="s">
        <v>270</v>
      </c>
      <c r="JQ241" s="1607">
        <v>202103</v>
      </c>
      <c r="JR241" s="1606">
        <v>596</v>
      </c>
      <c r="JS241" s="1606">
        <v>541</v>
      </c>
      <c r="JT241" s="1606">
        <v>541</v>
      </c>
    </row>
    <row r="242" spans="1:280" ht="15" customHeight="1" x14ac:dyDescent="0.2">
      <c r="A242" s="1626">
        <v>61200</v>
      </c>
      <c r="B242" s="1625">
        <v>612</v>
      </c>
      <c r="C242" s="1624">
        <v>0</v>
      </c>
      <c r="D242" s="1623" t="s">
        <v>3151</v>
      </c>
      <c r="E242" s="1622">
        <v>43776</v>
      </c>
      <c r="F242" s="1620">
        <v>0.936734142082849</v>
      </c>
      <c r="G242" s="1620">
        <v>0.95622094126307999</v>
      </c>
      <c r="H242" s="1621">
        <v>94.1</v>
      </c>
      <c r="I242" s="1621">
        <v>77.799998000000002</v>
      </c>
      <c r="J242" s="1621">
        <v>96</v>
      </c>
      <c r="K242" s="1620">
        <v>1</v>
      </c>
      <c r="L242" s="1620">
        <v>87.2</v>
      </c>
      <c r="M242" s="1620">
        <v>45.692799999999998</v>
      </c>
      <c r="N242" s="1620">
        <v>2.5287999999999999</v>
      </c>
      <c r="O242" s="1620">
        <v>7.0632000000000001</v>
      </c>
      <c r="P242" s="1620">
        <v>3.8368000000000002</v>
      </c>
      <c r="Q242" s="1603"/>
      <c r="R242" s="1620">
        <v>89.5</v>
      </c>
      <c r="S242" s="1620">
        <v>39</v>
      </c>
      <c r="T242" s="1620">
        <v>51.195121951219498</v>
      </c>
      <c r="U242" s="1620">
        <v>56.0731707317073</v>
      </c>
      <c r="V242" s="1620">
        <v>60.463414634146297</v>
      </c>
      <c r="W242" s="1620">
        <v>63.390243902439003</v>
      </c>
      <c r="X242" s="1620"/>
      <c r="Y242" s="1620">
        <v>3.8</v>
      </c>
      <c r="Z242" s="1620">
        <v>7.2</v>
      </c>
      <c r="AA242" s="1620">
        <v>0.1</v>
      </c>
      <c r="AB242" s="1620">
        <v>0.34403669724770641</v>
      </c>
      <c r="AC242" s="1620">
        <v>24</v>
      </c>
      <c r="AD242" s="1620">
        <v>3.3</v>
      </c>
      <c r="AE242" s="1620">
        <v>3.8</v>
      </c>
      <c r="AF242" s="1620">
        <v>212</v>
      </c>
      <c r="AG242" s="1620">
        <v>13.999999999999998</v>
      </c>
      <c r="AH242" s="1620">
        <v>49</v>
      </c>
      <c r="AI242" s="1620">
        <v>50.999999999999993</v>
      </c>
      <c r="AJ242" s="1620">
        <v>0</v>
      </c>
      <c r="AK242" s="1620">
        <v>0.2</v>
      </c>
      <c r="AL242" s="1620"/>
      <c r="AM242" s="1620">
        <v>6.29</v>
      </c>
      <c r="AN242" s="1620">
        <v>1.36</v>
      </c>
      <c r="AO242" s="1620">
        <v>1.43</v>
      </c>
      <c r="AP242" s="1620">
        <v>4.0599999999999996</v>
      </c>
      <c r="AQ242" s="1620">
        <v>1.38</v>
      </c>
      <c r="AR242" s="1620">
        <v>4.3499999999999996</v>
      </c>
      <c r="AS242" s="1620">
        <v>7.81</v>
      </c>
      <c r="AT242" s="1620">
        <v>2.68</v>
      </c>
      <c r="AU242" s="1620">
        <v>5.1100000000000003</v>
      </c>
      <c r="AV242" s="1620">
        <v>3.65</v>
      </c>
      <c r="AW242" s="1620">
        <v>4.79</v>
      </c>
      <c r="AX242" s="1620"/>
      <c r="AY242" s="1620">
        <v>1.01</v>
      </c>
      <c r="AZ242" s="1620">
        <v>1.04</v>
      </c>
      <c r="BA242" s="1620">
        <v>0.94</v>
      </c>
      <c r="BB242" s="1620">
        <v>0.98</v>
      </c>
      <c r="BC242" s="1620">
        <v>1.03</v>
      </c>
      <c r="BD242" s="1620">
        <v>1.01</v>
      </c>
      <c r="BE242" s="1620">
        <v>1.01</v>
      </c>
      <c r="BF242" s="1620">
        <v>1.02</v>
      </c>
      <c r="BG242" s="1620">
        <v>1.01</v>
      </c>
      <c r="BH242" s="1620">
        <v>1.01</v>
      </c>
      <c r="BI242" s="1620">
        <v>0.99</v>
      </c>
      <c r="BJ242" s="1603"/>
      <c r="BK242" s="1620">
        <v>52.4</v>
      </c>
      <c r="BL242" s="1620">
        <v>2.9</v>
      </c>
      <c r="BM242" s="1620">
        <v>8.1</v>
      </c>
      <c r="BN242" s="1620">
        <v>4.4000000000000004</v>
      </c>
      <c r="BO242" s="1620"/>
      <c r="BP242" s="1620">
        <v>130</v>
      </c>
      <c r="BQ242" s="1620">
        <v>37.700000000000003</v>
      </c>
      <c r="BR242" s="1620">
        <v>1.074236401471157</v>
      </c>
      <c r="BS242" s="1620">
        <v>1.0965836482374771</v>
      </c>
      <c r="BT242" s="1603"/>
      <c r="BU242" s="1620">
        <v>919</v>
      </c>
      <c r="BV242" s="1620">
        <v>145.81328571428554</v>
      </c>
      <c r="BW242" s="1620">
        <v>213.99574054285665</v>
      </c>
      <c r="BX242" s="1620">
        <v>64.772727272727295</v>
      </c>
      <c r="BY242" s="1620">
        <v>109.09090909090894</v>
      </c>
      <c r="BZ242" s="1620">
        <v>66.524412857142892</v>
      </c>
      <c r="CA242" s="1620">
        <v>179.8623014285711</v>
      </c>
      <c r="CB242" s="1603"/>
      <c r="CC242" s="1603">
        <v>3.3135999999999997</v>
      </c>
      <c r="CD242" s="1603">
        <v>6.2784000000000004</v>
      </c>
      <c r="CE242" s="1603">
        <v>8.72E-2</v>
      </c>
      <c r="CF242" s="1603">
        <v>0.3</v>
      </c>
      <c r="CG242" s="1603">
        <v>20.928000000000001</v>
      </c>
      <c r="CH242" s="1603">
        <v>2.8775999999999997</v>
      </c>
      <c r="CI242" s="1603">
        <v>3.3135999999999997</v>
      </c>
      <c r="CJ242" s="1603"/>
      <c r="CK242" s="1603">
        <v>184.864</v>
      </c>
      <c r="CL242" s="1603">
        <v>12.207999999999998</v>
      </c>
      <c r="CM242" s="1603">
        <v>42.728000000000002</v>
      </c>
      <c r="CN242" s="1603">
        <v>44.471999999999994</v>
      </c>
      <c r="CO242" s="1603">
        <v>0</v>
      </c>
      <c r="CP242" s="1603">
        <v>0.1744</v>
      </c>
      <c r="CQ242" s="1603">
        <v>408.95056</v>
      </c>
      <c r="CR242" s="1603">
        <v>436.57057176403265</v>
      </c>
      <c r="CS242" s="1603">
        <v>27.73489185359723</v>
      </c>
      <c r="CT242" s="1603">
        <v>6.1748541670304782</v>
      </c>
      <c r="CU242" s="1603">
        <v>5.8683816256521277</v>
      </c>
      <c r="CV242" s="1603">
        <v>12.043235792682605</v>
      </c>
      <c r="CW242" s="1603">
        <v>17.370269909347332</v>
      </c>
      <c r="CX242" s="1603">
        <v>6.2054141070539606</v>
      </c>
      <c r="CY242" s="1603">
        <v>19.180728070452773</v>
      </c>
      <c r="CZ242" s="1603">
        <v>34.437123271318661</v>
      </c>
      <c r="DA242" s="1603">
        <v>11.934093149741598</v>
      </c>
      <c r="DB242" s="1603">
        <v>22.53184377931349</v>
      </c>
      <c r="DC242" s="1603">
        <v>16.094174128081065</v>
      </c>
      <c r="DD242" s="1603">
        <v>38.626017907394555</v>
      </c>
      <c r="DE242" s="1603">
        <v>20.702613083622193</v>
      </c>
      <c r="DF242" s="1603">
        <v>0</v>
      </c>
      <c r="DG242" s="1603">
        <v>0</v>
      </c>
      <c r="DH242" s="1603">
        <v>0</v>
      </c>
      <c r="DI242" s="1603">
        <v>0</v>
      </c>
      <c r="DJ242" s="1603">
        <v>0</v>
      </c>
      <c r="DK242" s="1603">
        <v>0</v>
      </c>
      <c r="DL242" s="1603">
        <v>0</v>
      </c>
      <c r="DM242" s="1603">
        <v>0</v>
      </c>
      <c r="DN242" s="1603">
        <v>0</v>
      </c>
      <c r="DO242" s="1603">
        <v>0</v>
      </c>
      <c r="DP242" s="1603">
        <v>0</v>
      </c>
      <c r="DQ242" s="1603">
        <v>0</v>
      </c>
      <c r="DR242" s="1603">
        <v>0</v>
      </c>
      <c r="DS242" s="1603">
        <v>0</v>
      </c>
      <c r="DT242" s="1603">
        <v>0</v>
      </c>
      <c r="DU242" s="1603">
        <v>0</v>
      </c>
      <c r="DV242" s="1603">
        <v>0</v>
      </c>
      <c r="DW242" s="1618" t="s">
        <v>3143</v>
      </c>
      <c r="DX242" s="1605">
        <v>37</v>
      </c>
      <c r="DY242" s="1605">
        <v>37</v>
      </c>
      <c r="DZ242" s="1605">
        <v>36</v>
      </c>
      <c r="EA242" s="1605">
        <v>35</v>
      </c>
      <c r="EB242" s="1605">
        <v>37</v>
      </c>
      <c r="EC242" s="1605">
        <v>35</v>
      </c>
      <c r="ED242" s="1605">
        <v>35</v>
      </c>
      <c r="EE242" s="1605">
        <v>35</v>
      </c>
      <c r="EF242" s="1605">
        <v>35</v>
      </c>
      <c r="EG242" s="1605">
        <v>35</v>
      </c>
      <c r="EH242" s="1605" t="s">
        <v>986</v>
      </c>
      <c r="EI242" s="1605" t="s">
        <v>986</v>
      </c>
      <c r="EJ242" s="1605" t="s">
        <v>986</v>
      </c>
      <c r="EK242" s="1605" t="s">
        <v>986</v>
      </c>
      <c r="EL242" s="1605" t="s">
        <v>986</v>
      </c>
      <c r="EM242" s="1605" t="s">
        <v>986</v>
      </c>
      <c r="EN242" s="1605" t="s">
        <v>986</v>
      </c>
      <c r="EO242" s="1605" t="s">
        <v>986</v>
      </c>
      <c r="EP242" s="1605" t="s">
        <v>986</v>
      </c>
      <c r="EQ242" s="1605" t="s">
        <v>986</v>
      </c>
      <c r="ER242" s="1605" t="s">
        <v>986</v>
      </c>
      <c r="ES242" s="1605">
        <v>8</v>
      </c>
      <c r="ET242" s="1605">
        <v>8</v>
      </c>
      <c r="EU242" s="1605">
        <v>12</v>
      </c>
      <c r="EV242" s="1605" t="s">
        <v>986</v>
      </c>
      <c r="EW242" s="1605">
        <v>12</v>
      </c>
      <c r="EX242" s="1605">
        <v>12</v>
      </c>
      <c r="EY242" s="1605" t="s">
        <v>986</v>
      </c>
      <c r="EZ242" s="1605">
        <v>12</v>
      </c>
      <c r="FA242" s="1605">
        <v>12</v>
      </c>
      <c r="FB242" s="1605">
        <v>12</v>
      </c>
      <c r="FC242" s="1605">
        <v>12</v>
      </c>
      <c r="FD242" s="1605" t="s">
        <v>986</v>
      </c>
      <c r="FE242" s="1605">
        <v>6</v>
      </c>
      <c r="FF242" s="1605">
        <v>0.7</v>
      </c>
      <c r="FG242" s="1605">
        <v>0.8</v>
      </c>
      <c r="FH242" s="1605">
        <v>0.4</v>
      </c>
      <c r="FI242" s="1605">
        <v>0.4</v>
      </c>
      <c r="FJ242" s="1605">
        <v>0.6</v>
      </c>
      <c r="FK242" s="1605">
        <v>1</v>
      </c>
      <c r="FL242" s="1605">
        <v>1</v>
      </c>
      <c r="FM242" s="1605">
        <v>1</v>
      </c>
      <c r="FN242" s="1605">
        <v>2.2999999999999998</v>
      </c>
      <c r="FO242" s="1605">
        <v>2.1</v>
      </c>
      <c r="FP242" s="1605">
        <v>0.82</v>
      </c>
      <c r="FQ242" s="1605">
        <v>0.17</v>
      </c>
      <c r="FR242" s="1605">
        <v>0.32</v>
      </c>
      <c r="FS242" s="1605">
        <v>0.5</v>
      </c>
      <c r="FT242" s="1605">
        <v>0.16</v>
      </c>
      <c r="FU242" s="1605">
        <v>0.67</v>
      </c>
      <c r="FV242" s="1605">
        <v>1</v>
      </c>
      <c r="FW242" s="1605">
        <v>0.32</v>
      </c>
      <c r="FX242" s="1605">
        <v>0.87</v>
      </c>
      <c r="FY242" s="1605">
        <v>1.1399999999999999</v>
      </c>
      <c r="FZ242" s="1605">
        <v>0.71</v>
      </c>
      <c r="GA242" s="1605" t="s">
        <v>986</v>
      </c>
      <c r="GB242" s="1605">
        <v>0.3</v>
      </c>
      <c r="GC242" s="1605" t="s">
        <v>986</v>
      </c>
      <c r="GD242" s="1605" t="s">
        <v>986</v>
      </c>
      <c r="GE242" s="1605">
        <v>1.65</v>
      </c>
      <c r="GF242" s="1605">
        <v>0.38</v>
      </c>
      <c r="GG242" s="1605">
        <v>0.08</v>
      </c>
      <c r="GH242" s="1605">
        <v>20</v>
      </c>
      <c r="GI242" s="1605">
        <v>0.67</v>
      </c>
      <c r="GJ242" s="1605">
        <v>2.78</v>
      </c>
      <c r="GK242" s="1605">
        <v>4.17</v>
      </c>
      <c r="GL242" s="1605" t="s">
        <v>986</v>
      </c>
      <c r="GM242" s="1605">
        <v>0.06</v>
      </c>
      <c r="GN242" s="1605" t="s">
        <v>3103</v>
      </c>
      <c r="GO242" s="1605" t="s">
        <v>3103</v>
      </c>
      <c r="GP242" s="1605" t="s">
        <v>3103</v>
      </c>
      <c r="GQ242" s="1605" t="s">
        <v>3103</v>
      </c>
      <c r="GR242" s="1605" t="s">
        <v>3103</v>
      </c>
      <c r="GS242" s="1605" t="s">
        <v>3103</v>
      </c>
      <c r="GT242" s="1605" t="s">
        <v>3103</v>
      </c>
      <c r="GU242" s="1605" t="s">
        <v>3103</v>
      </c>
      <c r="GV242" s="1605" t="s">
        <v>3103</v>
      </c>
      <c r="GW242" s="1605" t="s">
        <v>3103</v>
      </c>
      <c r="GX242" s="1605" t="s">
        <v>1580</v>
      </c>
      <c r="GY242" s="1605" t="s">
        <v>1580</v>
      </c>
      <c r="GZ242" s="1605" t="s">
        <v>1580</v>
      </c>
      <c r="HA242" s="1605" t="s">
        <v>1580</v>
      </c>
      <c r="HB242" s="1605" t="s">
        <v>1580</v>
      </c>
      <c r="HC242" s="1605" t="s">
        <v>1580</v>
      </c>
      <c r="HD242" s="1605" t="s">
        <v>1580</v>
      </c>
      <c r="HE242" s="1605" t="s">
        <v>1580</v>
      </c>
      <c r="HF242" s="1605" t="s">
        <v>1580</v>
      </c>
      <c r="HG242" s="1605" t="s">
        <v>1580</v>
      </c>
      <c r="HH242" s="1605" t="s">
        <v>1580</v>
      </c>
      <c r="HI242" s="1605" t="s">
        <v>3150</v>
      </c>
      <c r="HJ242" s="1605" t="s">
        <v>3150</v>
      </c>
      <c r="HK242" s="1605" t="s">
        <v>986</v>
      </c>
      <c r="HL242" s="1605" t="s">
        <v>986</v>
      </c>
      <c r="HM242" s="1605" t="s">
        <v>1585</v>
      </c>
      <c r="HN242" s="1605" t="s">
        <v>1585</v>
      </c>
      <c r="HO242" s="1605" t="s">
        <v>1585</v>
      </c>
      <c r="HP242" s="1605" t="s">
        <v>1585</v>
      </c>
      <c r="HQ242" s="1605" t="s">
        <v>1585</v>
      </c>
      <c r="HR242" s="1605" t="s">
        <v>1585</v>
      </c>
      <c r="HS242" s="1605" t="s">
        <v>1585</v>
      </c>
      <c r="HT242" s="1605" t="s">
        <v>986</v>
      </c>
      <c r="HU242" s="1605" t="s">
        <v>1585</v>
      </c>
      <c r="HV242" s="1617"/>
      <c r="HW242" s="1617" t="s">
        <v>3149</v>
      </c>
      <c r="HX242" s="1617" t="s">
        <v>3135</v>
      </c>
      <c r="HY242" s="1617" t="s">
        <v>3148</v>
      </c>
      <c r="HZ242" s="1603"/>
      <c r="IA242" s="1603"/>
      <c r="IB242" s="1603"/>
      <c r="IC242" s="1603">
        <v>65.585365853658502</v>
      </c>
      <c r="ID242" s="1603">
        <v>67.048780487804905</v>
      </c>
      <c r="IE242" s="1603">
        <v>68.268292682926798</v>
      </c>
      <c r="IF242" s="1603">
        <v>69</v>
      </c>
      <c r="IG242" s="1611" t="s">
        <v>3133</v>
      </c>
      <c r="IH242" s="1616" t="s">
        <v>270</v>
      </c>
      <c r="II242" s="1615" t="s">
        <v>270</v>
      </c>
      <c r="IJ242" s="1613">
        <v>6.0920170454545461</v>
      </c>
      <c r="IK242" s="1613">
        <v>0.99936931818181818</v>
      </c>
      <c r="IL242" s="1614">
        <v>6.0920170454545461</v>
      </c>
      <c r="IM242" s="1614">
        <v>0.99936931818181818</v>
      </c>
      <c r="IN242" s="1612" t="s">
        <v>270</v>
      </c>
      <c r="IO242" s="1613" t="s">
        <v>270</v>
      </c>
      <c r="IP242" s="1607" t="s">
        <v>270</v>
      </c>
      <c r="IQ242" s="1612" t="s">
        <v>270</v>
      </c>
      <c r="IR242" s="1612" t="s">
        <v>270</v>
      </c>
      <c r="IS242" s="1607">
        <v>5.7570170454545462</v>
      </c>
      <c r="IT242" s="1607">
        <v>0.66436931818181821</v>
      </c>
      <c r="IU242" s="1611">
        <v>0</v>
      </c>
      <c r="IV242" s="1611">
        <v>1.3639204545454548E-2</v>
      </c>
      <c r="IW242" s="1611">
        <v>1.4772727272727272E-3</v>
      </c>
      <c r="IX242" s="1611">
        <v>7.5284090909090906E-4</v>
      </c>
      <c r="IY242" s="1611">
        <v>1.5568181818181818E-3</v>
      </c>
      <c r="IZ242" s="1611">
        <v>3.0255681818181818E-3</v>
      </c>
      <c r="JA242" s="1611">
        <v>2.4147727272727271E-4</v>
      </c>
      <c r="JB242" s="1611" t="s">
        <v>270</v>
      </c>
      <c r="JC242" s="1611">
        <v>0.7395198863636363</v>
      </c>
      <c r="JD242" s="1611">
        <v>5.3357954545454549E-2</v>
      </c>
      <c r="JE242" s="1611" t="s">
        <v>270</v>
      </c>
      <c r="JF242" s="1611">
        <v>5.3125000000000004E-4</v>
      </c>
      <c r="JG242" s="1611">
        <v>0.82776988636363646</v>
      </c>
      <c r="JH242" s="1611">
        <v>8.8068181818181821E-4</v>
      </c>
      <c r="JI242" s="1611">
        <v>0.14470738636363636</v>
      </c>
      <c r="JJ242" s="1611" t="s">
        <v>270</v>
      </c>
      <c r="JK242" s="1607">
        <f t="shared" si="12"/>
        <v>0.33499999999999996</v>
      </c>
      <c r="JL242" s="1608" t="s">
        <v>270</v>
      </c>
      <c r="JM242" s="1610" t="s">
        <v>2924</v>
      </c>
      <c r="JN242" s="1608">
        <v>5.0926477272727277</v>
      </c>
      <c r="JO242" s="1609" t="s">
        <v>3114</v>
      </c>
      <c r="JP242" s="1608" t="s">
        <v>270</v>
      </c>
      <c r="JQ242" s="1607">
        <v>202103</v>
      </c>
      <c r="JR242" s="1606">
        <v>610</v>
      </c>
      <c r="JS242" s="1606">
        <v>552</v>
      </c>
      <c r="JT242" s="1606">
        <v>552</v>
      </c>
    </row>
    <row r="243" spans="1:280" ht="15" customHeight="1" x14ac:dyDescent="0.2">
      <c r="A243" s="1626">
        <v>61340</v>
      </c>
      <c r="B243" s="1625">
        <v>613</v>
      </c>
      <c r="C243" s="1624">
        <v>40</v>
      </c>
      <c r="D243" s="1623" t="s">
        <v>3147</v>
      </c>
      <c r="E243" s="1622">
        <v>43369</v>
      </c>
      <c r="F243" s="1620">
        <v>1.0647422014518</v>
      </c>
      <c r="G243" s="1620">
        <v>1.0793465981788499</v>
      </c>
      <c r="H243" s="1621">
        <v>94.1</v>
      </c>
      <c r="I243" s="1621">
        <v>79.7</v>
      </c>
      <c r="J243" s="1621">
        <v>96</v>
      </c>
      <c r="K243" s="1620">
        <v>1</v>
      </c>
      <c r="L243" s="1620">
        <v>95.8</v>
      </c>
      <c r="M243" s="1620">
        <v>52.4026</v>
      </c>
      <c r="N243" s="1620">
        <v>2.6823999999999999</v>
      </c>
      <c r="O243" s="1620">
        <v>6.4185999999999996</v>
      </c>
      <c r="P243" s="1620">
        <v>3.2572000000000001</v>
      </c>
      <c r="Q243" s="1603"/>
      <c r="R243" s="1620">
        <v>87.5</v>
      </c>
      <c r="S243" s="1620">
        <v>39</v>
      </c>
      <c r="T243" s="1620">
        <v>51.195121951219498</v>
      </c>
      <c r="U243" s="1620">
        <v>56.0731707317073</v>
      </c>
      <c r="V243" s="1620">
        <v>60.463414634146297</v>
      </c>
      <c r="W243" s="1620">
        <v>63.390243902439003</v>
      </c>
      <c r="X243" s="1620"/>
      <c r="Y243" s="1620">
        <v>3.1</v>
      </c>
      <c r="Z243" s="1620">
        <v>7.0000000000000009</v>
      </c>
      <c r="AA243" s="1620">
        <v>0.1</v>
      </c>
      <c r="AB243" s="1620">
        <v>0.31315240083507306</v>
      </c>
      <c r="AC243" s="1620">
        <v>24.5</v>
      </c>
      <c r="AD243" s="1620">
        <v>3.6</v>
      </c>
      <c r="AE243" s="1620">
        <v>3.8999999999999995</v>
      </c>
      <c r="AF243" s="1620">
        <v>169.5</v>
      </c>
      <c r="AG243" s="1620">
        <v>12.4</v>
      </c>
      <c r="AH243" s="1620">
        <v>31.900000000000002</v>
      </c>
      <c r="AI243" s="1620">
        <v>64.2</v>
      </c>
      <c r="AJ243" s="1620">
        <v>0</v>
      </c>
      <c r="AK243" s="1620">
        <v>0</v>
      </c>
      <c r="AL243" s="1620"/>
      <c r="AM243" s="1620">
        <v>6.0329067641681897</v>
      </c>
      <c r="AN243" s="1620">
        <v>1.31627056672761</v>
      </c>
      <c r="AO243" s="1620">
        <v>1.3711151736745899</v>
      </c>
      <c r="AP243" s="1620">
        <v>3.93053016453382</v>
      </c>
      <c r="AQ243" s="1620">
        <v>1.3345521023766</v>
      </c>
      <c r="AR243" s="1620">
        <v>4.5703839122486301</v>
      </c>
      <c r="AS243" s="1620">
        <v>7.7513711151736704</v>
      </c>
      <c r="AT243" s="1620">
        <v>2.5594149908592301</v>
      </c>
      <c r="AU243" s="1620">
        <v>5.15539305301645</v>
      </c>
      <c r="AV243" s="1620">
        <v>3.7842778793418601</v>
      </c>
      <c r="AW243" s="1620">
        <v>4.6983546617915897</v>
      </c>
      <c r="AX243" s="1620"/>
      <c r="AY243" s="1620">
        <v>1</v>
      </c>
      <c r="AZ243" s="1620">
        <v>1.05</v>
      </c>
      <c r="BA243" s="1620">
        <v>0.92</v>
      </c>
      <c r="BB243" s="1620">
        <v>0.99</v>
      </c>
      <c r="BC243" s="1620">
        <v>1.06</v>
      </c>
      <c r="BD243" s="1620">
        <v>1.05</v>
      </c>
      <c r="BE243" s="1620">
        <v>1.04</v>
      </c>
      <c r="BF243" s="1620">
        <v>1.05</v>
      </c>
      <c r="BG243" s="1620">
        <v>1.06</v>
      </c>
      <c r="BH243" s="1620">
        <v>1.06</v>
      </c>
      <c r="BI243" s="1620">
        <v>1</v>
      </c>
      <c r="BJ243" s="1603"/>
      <c r="BK243" s="1620">
        <v>54.7</v>
      </c>
      <c r="BL243" s="1620">
        <v>2.8000000000000003</v>
      </c>
      <c r="BM243" s="1620">
        <v>6.7</v>
      </c>
      <c r="BN243" s="1620">
        <v>3.4000000000000004</v>
      </c>
      <c r="BO243" s="1620"/>
      <c r="BP243" s="1620">
        <v>130</v>
      </c>
      <c r="BQ243" s="1620">
        <v>36.400000000000006</v>
      </c>
      <c r="BR243" s="1620">
        <v>1.1114219221835073</v>
      </c>
      <c r="BS243" s="1620">
        <v>1.1266665951762525</v>
      </c>
      <c r="BT243" s="1603"/>
      <c r="BU243" s="1620">
        <v>933</v>
      </c>
      <c r="BV243" s="1620">
        <v>161.09157142857097</v>
      </c>
      <c r="BW243" s="1620">
        <v>191.93142857142797</v>
      </c>
      <c r="BX243" s="1620" t="s">
        <v>270</v>
      </c>
      <c r="BY243" s="1620" t="s">
        <v>270</v>
      </c>
      <c r="BZ243" s="1620">
        <v>60.549775714285808</v>
      </c>
      <c r="CA243" s="1620">
        <v>163.70865285714302</v>
      </c>
      <c r="CB243" s="1603"/>
      <c r="CC243" s="1603">
        <v>2.9697999999999998</v>
      </c>
      <c r="CD243" s="1603">
        <v>6.7060000000000004</v>
      </c>
      <c r="CE243" s="1603">
        <v>9.5799999999999996E-2</v>
      </c>
      <c r="CF243" s="1603">
        <v>0.3</v>
      </c>
      <c r="CG243" s="1603">
        <v>23.471</v>
      </c>
      <c r="CH243" s="1603">
        <v>3.4487999999999999</v>
      </c>
      <c r="CI243" s="1603">
        <v>3.7361999999999993</v>
      </c>
      <c r="CJ243" s="1603"/>
      <c r="CK243" s="1603">
        <v>162.381</v>
      </c>
      <c r="CL243" s="1603">
        <v>11.879199999999999</v>
      </c>
      <c r="CM243" s="1603">
        <v>30.560200000000002</v>
      </c>
      <c r="CN243" s="1603">
        <v>61.503599999999999</v>
      </c>
      <c r="CO243" s="1603">
        <v>0</v>
      </c>
      <c r="CP243" s="1603">
        <v>0</v>
      </c>
      <c r="CQ243" s="1603">
        <v>458.52274999999997</v>
      </c>
      <c r="CR243" s="1603">
        <v>430.64203651812983</v>
      </c>
      <c r="CS243" s="1603">
        <v>25.980232550453902</v>
      </c>
      <c r="CT243" s="1603">
        <v>5.9518350933767215</v>
      </c>
      <c r="CU243" s="1603">
        <v>5.432230442367616</v>
      </c>
      <c r="CV243" s="1603">
        <v>11.384065535744346</v>
      </c>
      <c r="CW243" s="1603">
        <v>16.757249995042766</v>
      </c>
      <c r="CX243" s="1603">
        <v>6.0919708931943308</v>
      </c>
      <c r="CY243" s="1603">
        <v>20.666094074224695</v>
      </c>
      <c r="CZ243" s="1603">
        <v>34.715888925600467</v>
      </c>
      <c r="DA243" s="1603">
        <v>11.573012681565828</v>
      </c>
      <c r="DB243" s="1603">
        <v>23.533367012065696</v>
      </c>
      <c r="DC243" s="1603">
        <v>17.274492806729079</v>
      </c>
      <c r="DD243" s="1603">
        <v>40.807859818794675</v>
      </c>
      <c r="DE243" s="1603">
        <v>20.233090198383795</v>
      </c>
      <c r="DF243" s="1603">
        <v>0</v>
      </c>
      <c r="DG243" s="1603">
        <v>0</v>
      </c>
      <c r="DH243" s="1603">
        <v>0</v>
      </c>
      <c r="DI243" s="1603">
        <v>0</v>
      </c>
      <c r="DJ243" s="1603">
        <v>0</v>
      </c>
      <c r="DK243" s="1603">
        <v>0</v>
      </c>
      <c r="DL243" s="1603">
        <v>0</v>
      </c>
      <c r="DM243" s="1603">
        <v>0</v>
      </c>
      <c r="DN243" s="1603">
        <v>0</v>
      </c>
      <c r="DO243" s="1603">
        <v>0</v>
      </c>
      <c r="DP243" s="1603">
        <v>0</v>
      </c>
      <c r="DQ243" s="1603">
        <v>0</v>
      </c>
      <c r="DR243" s="1603">
        <v>0</v>
      </c>
      <c r="DS243" s="1603">
        <v>0</v>
      </c>
      <c r="DT243" s="1603">
        <v>0</v>
      </c>
      <c r="DU243" s="1603">
        <v>0</v>
      </c>
      <c r="DV243" s="1603">
        <v>0</v>
      </c>
      <c r="DW243" s="1618" t="s">
        <v>3143</v>
      </c>
      <c r="DX243" s="1605" t="s">
        <v>986</v>
      </c>
      <c r="DY243" s="1605">
        <v>8</v>
      </c>
      <c r="DZ243" s="1605">
        <v>8</v>
      </c>
      <c r="EA243" s="1605">
        <v>8</v>
      </c>
      <c r="EB243" s="1605" t="s">
        <v>986</v>
      </c>
      <c r="EC243" s="1605">
        <v>8</v>
      </c>
      <c r="ED243" s="1605">
        <v>8</v>
      </c>
      <c r="EE243" s="1605">
        <v>8</v>
      </c>
      <c r="EF243" s="1605">
        <v>8</v>
      </c>
      <c r="EG243" s="1605">
        <v>8</v>
      </c>
      <c r="EH243" s="1605">
        <v>8</v>
      </c>
      <c r="EI243" s="1605">
        <v>8</v>
      </c>
      <c r="EJ243" s="1605">
        <v>8</v>
      </c>
      <c r="EK243" s="1605">
        <v>8</v>
      </c>
      <c r="EL243" s="1605">
        <v>8</v>
      </c>
      <c r="EM243" s="1605">
        <v>8</v>
      </c>
      <c r="EN243" s="1605">
        <v>8</v>
      </c>
      <c r="EO243" s="1605">
        <v>8</v>
      </c>
      <c r="EP243" s="1605">
        <v>8</v>
      </c>
      <c r="EQ243" s="1605">
        <v>8</v>
      </c>
      <c r="ER243" s="1605">
        <v>8</v>
      </c>
      <c r="ES243" s="1605">
        <v>8</v>
      </c>
      <c r="ET243" s="1605">
        <v>8</v>
      </c>
      <c r="EU243" s="1605">
        <v>8</v>
      </c>
      <c r="EV243" s="1605" t="s">
        <v>986</v>
      </c>
      <c r="EW243" s="1605">
        <v>8</v>
      </c>
      <c r="EX243" s="1605">
        <v>8</v>
      </c>
      <c r="EY243" s="1605" t="s">
        <v>986</v>
      </c>
      <c r="EZ243" s="1605">
        <v>8</v>
      </c>
      <c r="FA243" s="1605">
        <v>8</v>
      </c>
      <c r="FB243" s="1605">
        <v>8</v>
      </c>
      <c r="FC243" s="1605">
        <v>8</v>
      </c>
      <c r="FD243" s="1605" t="s">
        <v>986</v>
      </c>
      <c r="FE243" s="1605">
        <v>4</v>
      </c>
      <c r="FF243" s="1605" t="s">
        <v>986</v>
      </c>
      <c r="FG243" s="1605">
        <v>1.8</v>
      </c>
      <c r="FH243" s="1605">
        <v>0.46</v>
      </c>
      <c r="FI243" s="1605">
        <v>0.19</v>
      </c>
      <c r="FJ243" s="1605" t="s">
        <v>986</v>
      </c>
      <c r="FK243" s="1605">
        <v>0.48</v>
      </c>
      <c r="FL243" s="1605">
        <v>1.0900000000000001</v>
      </c>
      <c r="FM243" s="1605" t="s">
        <v>986</v>
      </c>
      <c r="FN243" s="1605">
        <v>1.64</v>
      </c>
      <c r="FO243" s="1605">
        <v>1.39</v>
      </c>
      <c r="FP243" s="1605">
        <v>1.1100000000000001</v>
      </c>
      <c r="FQ243" s="1605">
        <v>0.31</v>
      </c>
      <c r="FR243" s="1605">
        <v>0.34</v>
      </c>
      <c r="FS243" s="1605">
        <v>0.74</v>
      </c>
      <c r="FT243" s="1605">
        <v>0.21</v>
      </c>
      <c r="FU243" s="1605">
        <v>0.94</v>
      </c>
      <c r="FV243" s="1605">
        <v>1.6</v>
      </c>
      <c r="FW243" s="1605">
        <v>0.44</v>
      </c>
      <c r="FX243" s="1605">
        <v>1.07</v>
      </c>
      <c r="FY243" s="1605">
        <v>0.83</v>
      </c>
      <c r="FZ243" s="1605">
        <v>1.04</v>
      </c>
      <c r="GA243" s="1605" t="s">
        <v>986</v>
      </c>
      <c r="GB243" s="1605">
        <v>0.22</v>
      </c>
      <c r="GC243" s="1605" t="s">
        <v>986</v>
      </c>
      <c r="GD243" s="1605" t="s">
        <v>986</v>
      </c>
      <c r="GE243" s="1605">
        <v>0.82</v>
      </c>
      <c r="GF243" s="1605">
        <v>0.18</v>
      </c>
      <c r="GG243" s="1605">
        <v>0.11</v>
      </c>
      <c r="GH243" s="1605">
        <v>24</v>
      </c>
      <c r="GI243" s="1605">
        <v>0.83</v>
      </c>
      <c r="GJ243" s="1605">
        <v>2.0699999999999998</v>
      </c>
      <c r="GK243" s="1605">
        <v>4.5</v>
      </c>
      <c r="GL243" s="1605" t="s">
        <v>986</v>
      </c>
      <c r="GM243" s="1605" t="s">
        <v>986</v>
      </c>
      <c r="GN243" s="1605" t="s">
        <v>1585</v>
      </c>
      <c r="GO243" s="1605" t="s">
        <v>1585</v>
      </c>
      <c r="GP243" s="1605" t="s">
        <v>1585</v>
      </c>
      <c r="GQ243" s="1605" t="s">
        <v>1585</v>
      </c>
      <c r="GR243" s="1605" t="s">
        <v>986</v>
      </c>
      <c r="GS243" s="1605" t="s">
        <v>1585</v>
      </c>
      <c r="GT243" s="1605" t="s">
        <v>1585</v>
      </c>
      <c r="GU243" s="1605" t="s">
        <v>1585</v>
      </c>
      <c r="GV243" s="1605" t="s">
        <v>1585</v>
      </c>
      <c r="GW243" s="1605" t="s">
        <v>1585</v>
      </c>
      <c r="GX243" s="1605" t="s">
        <v>1585</v>
      </c>
      <c r="GY243" s="1605" t="s">
        <v>1585</v>
      </c>
      <c r="GZ243" s="1605" t="s">
        <v>1585</v>
      </c>
      <c r="HA243" s="1605" t="s">
        <v>1585</v>
      </c>
      <c r="HB243" s="1605" t="s">
        <v>1585</v>
      </c>
      <c r="HC243" s="1605" t="s">
        <v>1585</v>
      </c>
      <c r="HD243" s="1605" t="s">
        <v>1585</v>
      </c>
      <c r="HE243" s="1605" t="s">
        <v>1585</v>
      </c>
      <c r="HF243" s="1605" t="s">
        <v>1585</v>
      </c>
      <c r="HG243" s="1605" t="s">
        <v>1585</v>
      </c>
      <c r="HH243" s="1605" t="s">
        <v>1585</v>
      </c>
      <c r="HI243" s="1605" t="s">
        <v>1585</v>
      </c>
      <c r="HJ243" s="1605" t="s">
        <v>1585</v>
      </c>
      <c r="HK243" s="1605" t="s">
        <v>986</v>
      </c>
      <c r="HL243" s="1605" t="s">
        <v>986</v>
      </c>
      <c r="HM243" s="1605" t="s">
        <v>1585</v>
      </c>
      <c r="HN243" s="1605" t="s">
        <v>1585</v>
      </c>
      <c r="HO243" s="1605" t="s">
        <v>1585</v>
      </c>
      <c r="HP243" s="1605" t="s">
        <v>1585</v>
      </c>
      <c r="HQ243" s="1605" t="s">
        <v>1585</v>
      </c>
      <c r="HR243" s="1605" t="s">
        <v>1585</v>
      </c>
      <c r="HS243" s="1605" t="s">
        <v>1585</v>
      </c>
      <c r="HT243" s="1605" t="s">
        <v>986</v>
      </c>
      <c r="HU243" s="1605" t="s">
        <v>1585</v>
      </c>
      <c r="HV243" s="1617"/>
      <c r="HW243" s="1617" t="s">
        <v>3142</v>
      </c>
      <c r="HX243" s="1617" t="s">
        <v>3141</v>
      </c>
      <c r="HY243" s="1617" t="s">
        <v>3140</v>
      </c>
      <c r="HZ243" s="1603"/>
      <c r="IA243" s="1603"/>
      <c r="IB243" s="1603"/>
      <c r="IC243" s="1603">
        <v>65.585365853658502</v>
      </c>
      <c r="ID243" s="1603">
        <v>67.048780487804905</v>
      </c>
      <c r="IE243" s="1603">
        <v>68.268292682926798</v>
      </c>
      <c r="IF243" s="1603">
        <v>69</v>
      </c>
      <c r="IG243" s="1611" t="s">
        <v>3139</v>
      </c>
      <c r="IH243" s="1616" t="s">
        <v>270</v>
      </c>
      <c r="II243" s="1615" t="s">
        <v>270</v>
      </c>
      <c r="IJ243" s="1613">
        <v>9.4360625000000002</v>
      </c>
      <c r="IK243" s="1613">
        <v>1.8102982954545457</v>
      </c>
      <c r="IL243" s="1614">
        <v>9.4360625000000002</v>
      </c>
      <c r="IM243" s="1614">
        <v>1.8102982954545457</v>
      </c>
      <c r="IN243" s="1612" t="s">
        <v>270</v>
      </c>
      <c r="IO243" s="1613" t="s">
        <v>270</v>
      </c>
      <c r="IP243" s="1607" t="s">
        <v>270</v>
      </c>
      <c r="IQ243" s="1612" t="s">
        <v>270</v>
      </c>
      <c r="IR243" s="1612" t="s">
        <v>270</v>
      </c>
      <c r="IS243" s="1607">
        <v>9.1010624999999994</v>
      </c>
      <c r="IT243" s="1607">
        <v>1.4752982954545457</v>
      </c>
      <c r="IU243" s="1611">
        <v>2.8409090909090912E-6</v>
      </c>
      <c r="IV243" s="1611">
        <v>2.2573863636363635E-2</v>
      </c>
      <c r="IW243" s="1611">
        <v>4.8181818181818178E-3</v>
      </c>
      <c r="IX243" s="1611">
        <v>1.71875E-3</v>
      </c>
      <c r="IY243" s="1611">
        <v>6.1818181818181816E-3</v>
      </c>
      <c r="IZ243" s="1611">
        <v>6.4659090909090916E-3</v>
      </c>
      <c r="JA243" s="1611">
        <v>6.249999999999999E-4</v>
      </c>
      <c r="JB243" s="1611" t="s">
        <v>270</v>
      </c>
      <c r="JC243" s="1611">
        <v>1.1867954545454544</v>
      </c>
      <c r="JD243" s="1611">
        <v>8.050284090909092E-2</v>
      </c>
      <c r="JE243" s="1611" t="s">
        <v>270</v>
      </c>
      <c r="JF243" s="1611">
        <v>1.0056818181818181E-3</v>
      </c>
      <c r="JG243" s="1611">
        <v>1.2636732954545453</v>
      </c>
      <c r="JH243" s="1611">
        <v>1.3977272727272727E-3</v>
      </c>
      <c r="JI243" s="1611">
        <v>0.49736931818181818</v>
      </c>
      <c r="JJ243" s="1611" t="s">
        <v>270</v>
      </c>
      <c r="JK243" s="1607">
        <f t="shared" si="12"/>
        <v>0.33500000000000085</v>
      </c>
      <c r="JL243" s="1608" t="s">
        <v>270</v>
      </c>
      <c r="JM243" s="1610" t="s">
        <v>2924</v>
      </c>
      <c r="JN243" s="1608">
        <v>7.6257642045454537</v>
      </c>
      <c r="JO243" s="1609" t="s">
        <v>3114</v>
      </c>
      <c r="JP243" s="1608" t="s">
        <v>270</v>
      </c>
      <c r="JQ243" s="1607">
        <v>202103</v>
      </c>
      <c r="JR243" s="1606">
        <v>632</v>
      </c>
      <c r="JS243" s="1606">
        <v>574</v>
      </c>
      <c r="JT243" s="1606">
        <v>574</v>
      </c>
    </row>
    <row r="244" spans="1:280" ht="15" customHeight="1" x14ac:dyDescent="0.2">
      <c r="A244" s="1626">
        <v>61320</v>
      </c>
      <c r="B244" s="1625">
        <v>613</v>
      </c>
      <c r="C244" s="1624">
        <v>20</v>
      </c>
      <c r="D244" s="1623" t="s">
        <v>3146</v>
      </c>
      <c r="E244" s="1622">
        <v>43369</v>
      </c>
      <c r="F244" s="1620">
        <v>1.07777924317018</v>
      </c>
      <c r="G244" s="1620">
        <v>1.08830528867494</v>
      </c>
      <c r="H244" s="1621">
        <v>94.1</v>
      </c>
      <c r="I244" s="1621">
        <v>80.800000100000005</v>
      </c>
      <c r="J244" s="1621">
        <v>96</v>
      </c>
      <c r="K244" s="1620">
        <v>1</v>
      </c>
      <c r="L244" s="1620">
        <v>96.2</v>
      </c>
      <c r="M244" s="1620">
        <v>53.0062</v>
      </c>
      <c r="N244" s="1620">
        <v>2.5973999999999999</v>
      </c>
      <c r="O244" s="1620">
        <v>6.6378000000000004</v>
      </c>
      <c r="P244" s="1620">
        <v>3.2707999999999999</v>
      </c>
      <c r="Q244" s="1603"/>
      <c r="R244" s="1620">
        <v>87.5</v>
      </c>
      <c r="S244" s="1620">
        <v>39</v>
      </c>
      <c r="T244" s="1620">
        <v>51.195121951219498</v>
      </c>
      <c r="U244" s="1620">
        <v>56.0731707317073</v>
      </c>
      <c r="V244" s="1620">
        <v>60.463414634146297</v>
      </c>
      <c r="W244" s="1620">
        <v>63.390243902439003</v>
      </c>
      <c r="X244" s="1620"/>
      <c r="Y244" s="1620">
        <v>3.19</v>
      </c>
      <c r="Z244" s="1620">
        <v>7.1899999999999995</v>
      </c>
      <c r="AA244" s="1620">
        <v>0.06</v>
      </c>
      <c r="AB244" s="1620">
        <v>0.31185031185031187</v>
      </c>
      <c r="AC244" s="1620">
        <v>25</v>
      </c>
      <c r="AD244" s="1620">
        <v>3.6999999999999997</v>
      </c>
      <c r="AE244" s="1620">
        <v>4.0999999999999996</v>
      </c>
      <c r="AF244" s="1620">
        <v>177</v>
      </c>
      <c r="AG244" s="1620">
        <v>13.3</v>
      </c>
      <c r="AH244" s="1620">
        <v>32.9</v>
      </c>
      <c r="AI244" s="1620">
        <v>65.399999999999991</v>
      </c>
      <c r="AJ244" s="1620">
        <v>0</v>
      </c>
      <c r="AK244" s="1620">
        <v>0</v>
      </c>
      <c r="AL244" s="1620"/>
      <c r="AM244" s="1620">
        <v>6.0035842293906798</v>
      </c>
      <c r="AN244" s="1620">
        <v>1.3261648745519701</v>
      </c>
      <c r="AO244" s="1620">
        <v>1.3261648745519701</v>
      </c>
      <c r="AP244" s="1620">
        <v>3.9426523297490998</v>
      </c>
      <c r="AQ244" s="1620">
        <v>1.3261648745519701</v>
      </c>
      <c r="AR244" s="1620">
        <v>4.5878136200716897</v>
      </c>
      <c r="AS244" s="1620">
        <v>7.8136200716845901</v>
      </c>
      <c r="AT244" s="1620">
        <v>2.5627240143369199</v>
      </c>
      <c r="AU244" s="1620">
        <v>5.1971326164874601</v>
      </c>
      <c r="AV244" s="1620">
        <v>3.7992831541218601</v>
      </c>
      <c r="AW244" s="1620">
        <v>4.6953405017921197</v>
      </c>
      <c r="AX244" s="1620"/>
      <c r="AY244" s="1620">
        <v>1</v>
      </c>
      <c r="AZ244" s="1620">
        <v>1.05</v>
      </c>
      <c r="BA244" s="1620">
        <v>0.92</v>
      </c>
      <c r="BB244" s="1620">
        <v>0.99</v>
      </c>
      <c r="BC244" s="1620">
        <v>1.06</v>
      </c>
      <c r="BD244" s="1620">
        <v>1.05</v>
      </c>
      <c r="BE244" s="1620">
        <v>1.04</v>
      </c>
      <c r="BF244" s="1620">
        <v>1.05</v>
      </c>
      <c r="BG244" s="1620">
        <v>1.06</v>
      </c>
      <c r="BH244" s="1620">
        <v>1.06</v>
      </c>
      <c r="BI244" s="1620">
        <v>1</v>
      </c>
      <c r="BJ244" s="1603"/>
      <c r="BK244" s="1620">
        <v>55.099999999999994</v>
      </c>
      <c r="BL244" s="1620">
        <v>2.7</v>
      </c>
      <c r="BM244" s="1620">
        <v>6.9</v>
      </c>
      <c r="BN244" s="1620">
        <v>3.4</v>
      </c>
      <c r="BO244" s="1620"/>
      <c r="BP244" s="1620">
        <v>130</v>
      </c>
      <c r="BQ244" s="1620">
        <v>35.099999999999994</v>
      </c>
      <c r="BR244" s="1620">
        <v>1.1203526436280458</v>
      </c>
      <c r="BS244" s="1620">
        <v>1.1312944788720789</v>
      </c>
      <c r="BT244" s="1603"/>
      <c r="BU244" s="1620">
        <v>930.99999999999989</v>
      </c>
      <c r="BV244" s="1620">
        <v>171.58100132999999</v>
      </c>
      <c r="BW244" s="1620">
        <v>176.88999866999998</v>
      </c>
      <c r="BX244" s="1620" t="s">
        <v>270</v>
      </c>
      <c r="BY244" s="1620" t="s">
        <v>270</v>
      </c>
      <c r="BZ244" s="1620">
        <v>56.421629640900001</v>
      </c>
      <c r="CA244" s="1620">
        <v>152.5473690290998</v>
      </c>
      <c r="CB244" s="1603"/>
      <c r="CC244" s="1603">
        <v>3.0687800000000003</v>
      </c>
      <c r="CD244" s="1603">
        <v>6.9167800000000002</v>
      </c>
      <c r="CE244" s="1603">
        <v>5.772E-2</v>
      </c>
      <c r="CF244" s="1603">
        <v>0.30000000000000004</v>
      </c>
      <c r="CG244" s="1603">
        <v>24.05</v>
      </c>
      <c r="CH244" s="1603">
        <v>3.5594000000000001</v>
      </c>
      <c r="CI244" s="1603">
        <v>3.9441999999999999</v>
      </c>
      <c r="CJ244" s="1603"/>
      <c r="CK244" s="1603">
        <v>170.274</v>
      </c>
      <c r="CL244" s="1603">
        <v>12.794600000000001</v>
      </c>
      <c r="CM244" s="1603">
        <v>31.649800000000003</v>
      </c>
      <c r="CN244" s="1603">
        <v>62.9148</v>
      </c>
      <c r="CO244" s="1603">
        <v>0</v>
      </c>
      <c r="CP244" s="1603">
        <v>0</v>
      </c>
      <c r="CQ244" s="1603">
        <v>463.80425000000002</v>
      </c>
      <c r="CR244" s="1603">
        <v>430.33325510683073</v>
      </c>
      <c r="CS244" s="1603">
        <v>25.835419437417229</v>
      </c>
      <c r="CT244" s="1603">
        <v>5.9922748963800414</v>
      </c>
      <c r="CU244" s="1603">
        <v>5.2503741949234977</v>
      </c>
      <c r="CV244" s="1603">
        <v>11.2426490913035</v>
      </c>
      <c r="CW244" s="1603">
        <v>16.796878667073017</v>
      </c>
      <c r="CX244" s="1603">
        <v>6.0493441811074771</v>
      </c>
      <c r="CY244" s="1603">
        <v>20.730032073963464</v>
      </c>
      <c r="CZ244" s="1603">
        <v>34.969589820007393</v>
      </c>
      <c r="DA244" s="1603">
        <v>11.579666353815529</v>
      </c>
      <c r="DB244" s="1603">
        <v>23.706889358394204</v>
      </c>
      <c r="DC244" s="1603">
        <v>17.330553599929541</v>
      </c>
      <c r="DD244" s="1603">
        <v>41.037442958323744</v>
      </c>
      <c r="DE244" s="1603">
        <v>20.205611619711448</v>
      </c>
      <c r="DF244" s="1603">
        <v>0</v>
      </c>
      <c r="DG244" s="1603">
        <v>0</v>
      </c>
      <c r="DH244" s="1603">
        <v>0</v>
      </c>
      <c r="DI244" s="1603">
        <v>0</v>
      </c>
      <c r="DJ244" s="1603">
        <v>0</v>
      </c>
      <c r="DK244" s="1603">
        <v>0</v>
      </c>
      <c r="DL244" s="1603">
        <v>0</v>
      </c>
      <c r="DM244" s="1603">
        <v>0</v>
      </c>
      <c r="DN244" s="1603">
        <v>0</v>
      </c>
      <c r="DO244" s="1603">
        <v>0</v>
      </c>
      <c r="DP244" s="1603">
        <v>0</v>
      </c>
      <c r="DQ244" s="1603">
        <v>0</v>
      </c>
      <c r="DR244" s="1603">
        <v>0</v>
      </c>
      <c r="DS244" s="1603">
        <v>0</v>
      </c>
      <c r="DT244" s="1603">
        <v>0</v>
      </c>
      <c r="DU244" s="1603">
        <v>0</v>
      </c>
      <c r="DV244" s="1603">
        <v>0</v>
      </c>
      <c r="DW244" s="1618" t="s">
        <v>3143</v>
      </c>
      <c r="DX244" s="1605">
        <v>5</v>
      </c>
      <c r="DY244" s="1605">
        <v>5</v>
      </c>
      <c r="DZ244" s="1605">
        <v>12</v>
      </c>
      <c r="EA244" s="1605">
        <v>12</v>
      </c>
      <c r="EB244" s="1605" t="s">
        <v>986</v>
      </c>
      <c r="EC244" s="1605">
        <v>12</v>
      </c>
      <c r="ED244" s="1605">
        <v>12</v>
      </c>
      <c r="EE244" s="1605">
        <v>12</v>
      </c>
      <c r="EF244" s="1605">
        <v>12</v>
      </c>
      <c r="EG244" s="1605">
        <v>12</v>
      </c>
      <c r="EH244" s="1605">
        <v>8</v>
      </c>
      <c r="EI244" s="1605">
        <v>8</v>
      </c>
      <c r="EJ244" s="1605">
        <v>8</v>
      </c>
      <c r="EK244" s="1605">
        <v>8</v>
      </c>
      <c r="EL244" s="1605">
        <v>8</v>
      </c>
      <c r="EM244" s="1605">
        <v>8</v>
      </c>
      <c r="EN244" s="1605">
        <v>8</v>
      </c>
      <c r="EO244" s="1605">
        <v>8</v>
      </c>
      <c r="EP244" s="1605">
        <v>8</v>
      </c>
      <c r="EQ244" s="1605">
        <v>8</v>
      </c>
      <c r="ER244" s="1605">
        <v>8</v>
      </c>
      <c r="ES244" s="1605">
        <v>8</v>
      </c>
      <c r="ET244" s="1605">
        <v>8</v>
      </c>
      <c r="EU244" s="1605">
        <v>8</v>
      </c>
      <c r="EV244" s="1605" t="s">
        <v>986</v>
      </c>
      <c r="EW244" s="1605">
        <v>8</v>
      </c>
      <c r="EX244" s="1605">
        <v>8</v>
      </c>
      <c r="EY244" s="1605" t="s">
        <v>986</v>
      </c>
      <c r="EZ244" s="1605">
        <v>8</v>
      </c>
      <c r="FA244" s="1605">
        <v>8</v>
      </c>
      <c r="FB244" s="1605">
        <v>8</v>
      </c>
      <c r="FC244" s="1605">
        <v>8</v>
      </c>
      <c r="FD244" s="1605" t="s">
        <v>986</v>
      </c>
      <c r="FE244" s="1605">
        <v>4</v>
      </c>
      <c r="FF244" s="1605">
        <v>0.1</v>
      </c>
      <c r="FG244" s="1605">
        <v>0.4</v>
      </c>
      <c r="FH244" s="1605">
        <v>0.18</v>
      </c>
      <c r="FI244" s="1605">
        <v>0.19</v>
      </c>
      <c r="FJ244" s="1605" t="s">
        <v>986</v>
      </c>
      <c r="FK244" s="1605">
        <v>0.57999999999999996</v>
      </c>
      <c r="FL244" s="1605">
        <v>0.72</v>
      </c>
      <c r="FM244" s="1605" t="s">
        <v>986</v>
      </c>
      <c r="FN244" s="1605">
        <v>1.1599999999999999</v>
      </c>
      <c r="FO244" s="1605">
        <v>0.88</v>
      </c>
      <c r="FP244" s="1605">
        <v>0.43</v>
      </c>
      <c r="FQ244" s="1605">
        <v>0.18</v>
      </c>
      <c r="FR244" s="1605">
        <v>0.36</v>
      </c>
      <c r="FS244" s="1605">
        <v>0.3</v>
      </c>
      <c r="FT244" s="1605">
        <v>0.11</v>
      </c>
      <c r="FU244" s="1605">
        <v>0.42</v>
      </c>
      <c r="FV244" s="1605">
        <v>0.47</v>
      </c>
      <c r="FW244" s="1605">
        <v>0.17</v>
      </c>
      <c r="FX244" s="1605">
        <v>1.04</v>
      </c>
      <c r="FY244" s="1605">
        <v>0.95</v>
      </c>
      <c r="FZ244" s="1605">
        <v>0.56000000000000005</v>
      </c>
      <c r="GA244" s="1605" t="s">
        <v>986</v>
      </c>
      <c r="GB244" s="1605">
        <v>0.28000000000000003</v>
      </c>
      <c r="GC244" s="1605" t="s">
        <v>986</v>
      </c>
      <c r="GD244" s="1605" t="s">
        <v>986</v>
      </c>
      <c r="GE244" s="1605">
        <v>1.67</v>
      </c>
      <c r="GF244" s="1605">
        <v>0.1</v>
      </c>
      <c r="GG244" s="1605">
        <v>0.18</v>
      </c>
      <c r="GH244" s="1605">
        <v>17.670000000000002</v>
      </c>
      <c r="GI244" s="1605">
        <v>0.95</v>
      </c>
      <c r="GJ244" s="1605">
        <v>2.91</v>
      </c>
      <c r="GK244" s="1605">
        <v>6.19</v>
      </c>
      <c r="GL244" s="1605" t="s">
        <v>986</v>
      </c>
      <c r="GM244" s="1605" t="s">
        <v>986</v>
      </c>
      <c r="GN244" s="1605" t="s">
        <v>1579</v>
      </c>
      <c r="GO244" s="1605" t="s">
        <v>1579</v>
      </c>
      <c r="GP244" s="1605" t="s">
        <v>3145</v>
      </c>
      <c r="GQ244" s="1605" t="s">
        <v>3145</v>
      </c>
      <c r="GR244" s="1605" t="s">
        <v>986</v>
      </c>
      <c r="GS244" s="1605" t="s">
        <v>3145</v>
      </c>
      <c r="GT244" s="1605" t="s">
        <v>3145</v>
      </c>
      <c r="GU244" s="1605" t="s">
        <v>3145</v>
      </c>
      <c r="GV244" s="1605" t="s">
        <v>3145</v>
      </c>
      <c r="GW244" s="1605" t="s">
        <v>3145</v>
      </c>
      <c r="GX244" s="1605" t="s">
        <v>1585</v>
      </c>
      <c r="GY244" s="1605" t="s">
        <v>1585</v>
      </c>
      <c r="GZ244" s="1605" t="s">
        <v>1585</v>
      </c>
      <c r="HA244" s="1605" t="s">
        <v>1585</v>
      </c>
      <c r="HB244" s="1605" t="s">
        <v>1585</v>
      </c>
      <c r="HC244" s="1605" t="s">
        <v>1585</v>
      </c>
      <c r="HD244" s="1605" t="s">
        <v>1585</v>
      </c>
      <c r="HE244" s="1605" t="s">
        <v>1585</v>
      </c>
      <c r="HF244" s="1605" t="s">
        <v>1585</v>
      </c>
      <c r="HG244" s="1605" t="s">
        <v>1585</v>
      </c>
      <c r="HH244" s="1605" t="s">
        <v>1585</v>
      </c>
      <c r="HI244" s="1605" t="s">
        <v>1585</v>
      </c>
      <c r="HJ244" s="1605" t="s">
        <v>1585</v>
      </c>
      <c r="HK244" s="1605" t="s">
        <v>986</v>
      </c>
      <c r="HL244" s="1605" t="s">
        <v>986</v>
      </c>
      <c r="HM244" s="1605" t="s">
        <v>1585</v>
      </c>
      <c r="HN244" s="1605" t="s">
        <v>1585</v>
      </c>
      <c r="HO244" s="1605" t="s">
        <v>1585</v>
      </c>
      <c r="HP244" s="1605" t="s">
        <v>1585</v>
      </c>
      <c r="HQ244" s="1605" t="s">
        <v>1585</v>
      </c>
      <c r="HR244" s="1605" t="s">
        <v>1585</v>
      </c>
      <c r="HS244" s="1605" t="s">
        <v>1585</v>
      </c>
      <c r="HT244" s="1605" t="s">
        <v>986</v>
      </c>
      <c r="HU244" s="1605" t="s">
        <v>1585</v>
      </c>
      <c r="HV244" s="1617"/>
      <c r="HW244" s="1617" t="s">
        <v>3142</v>
      </c>
      <c r="HX244" s="1617" t="s">
        <v>3141</v>
      </c>
      <c r="HY244" s="1617" t="s">
        <v>3140</v>
      </c>
      <c r="HZ244" s="1603"/>
      <c r="IA244" s="1603"/>
      <c r="IB244" s="1603"/>
      <c r="IC244" s="1603">
        <v>65.585365853658502</v>
      </c>
      <c r="ID244" s="1603">
        <v>67.048780487804905</v>
      </c>
      <c r="IE244" s="1603">
        <v>68.268292682926798</v>
      </c>
      <c r="IF244" s="1603">
        <v>69</v>
      </c>
      <c r="IG244" s="1611" t="s">
        <v>3139</v>
      </c>
      <c r="IH244" s="1616" t="s">
        <v>270</v>
      </c>
      <c r="II244" s="1615" t="s">
        <v>270</v>
      </c>
      <c r="IJ244" s="1613">
        <v>9.4360625000000002</v>
      </c>
      <c r="IK244" s="1613">
        <v>1.8102982954545457</v>
      </c>
      <c r="IL244" s="1614">
        <v>9.4360625000000002</v>
      </c>
      <c r="IM244" s="1614">
        <v>1.8102982954545457</v>
      </c>
      <c r="IN244" s="1612" t="s">
        <v>270</v>
      </c>
      <c r="IO244" s="1613" t="s">
        <v>270</v>
      </c>
      <c r="IP244" s="1607" t="s">
        <v>270</v>
      </c>
      <c r="IQ244" s="1612" t="s">
        <v>270</v>
      </c>
      <c r="IR244" s="1612" t="s">
        <v>270</v>
      </c>
      <c r="IS244" s="1607">
        <v>9.1010624999999994</v>
      </c>
      <c r="IT244" s="1607">
        <v>1.4752982954545457</v>
      </c>
      <c r="IU244" s="1611">
        <v>2.8409090909090912E-6</v>
      </c>
      <c r="IV244" s="1611">
        <v>2.2573863636363635E-2</v>
      </c>
      <c r="IW244" s="1611">
        <v>4.8181818181818178E-3</v>
      </c>
      <c r="IX244" s="1611">
        <v>1.71875E-3</v>
      </c>
      <c r="IY244" s="1611">
        <v>6.1818181818181816E-3</v>
      </c>
      <c r="IZ244" s="1611">
        <v>6.4659090909090916E-3</v>
      </c>
      <c r="JA244" s="1611">
        <v>6.249999999999999E-4</v>
      </c>
      <c r="JB244" s="1611" t="s">
        <v>270</v>
      </c>
      <c r="JC244" s="1611">
        <v>1.1867954545454544</v>
      </c>
      <c r="JD244" s="1611">
        <v>8.050284090909092E-2</v>
      </c>
      <c r="JE244" s="1611" t="s">
        <v>270</v>
      </c>
      <c r="JF244" s="1611">
        <v>1.0056818181818181E-3</v>
      </c>
      <c r="JG244" s="1611">
        <v>1.2636732954545453</v>
      </c>
      <c r="JH244" s="1611">
        <v>1.3977272727272727E-3</v>
      </c>
      <c r="JI244" s="1611">
        <v>0.49736931818181818</v>
      </c>
      <c r="JJ244" s="1611" t="s">
        <v>270</v>
      </c>
      <c r="JK244" s="1607">
        <f t="shared" si="12"/>
        <v>0.33500000000000085</v>
      </c>
      <c r="JL244" s="1608" t="s">
        <v>270</v>
      </c>
      <c r="JM244" s="1610" t="s">
        <v>2924</v>
      </c>
      <c r="JN244" s="1608">
        <v>7.6257642045454537</v>
      </c>
      <c r="JO244" s="1609" t="s">
        <v>3114</v>
      </c>
      <c r="JP244" s="1608" t="s">
        <v>270</v>
      </c>
      <c r="JQ244" s="1607">
        <v>202103</v>
      </c>
      <c r="JR244" s="1606">
        <v>632</v>
      </c>
      <c r="JS244" s="1606">
        <v>574</v>
      </c>
      <c r="JT244" s="1606">
        <v>574</v>
      </c>
    </row>
    <row r="245" spans="1:280" ht="15" customHeight="1" x14ac:dyDescent="0.2">
      <c r="A245" s="1626">
        <v>61370</v>
      </c>
      <c r="B245" s="1625">
        <v>613</v>
      </c>
      <c r="C245" s="1624">
        <v>70</v>
      </c>
      <c r="D245" s="1623" t="s">
        <v>3144</v>
      </c>
      <c r="E245" s="1622">
        <v>43369</v>
      </c>
      <c r="F245" s="1620">
        <v>1.05036452782617</v>
      </c>
      <c r="G245" s="1620">
        <v>1.0602054290426699</v>
      </c>
      <c r="H245" s="1621">
        <v>95.9</v>
      </c>
      <c r="I245" s="1621">
        <v>81.299992200000005</v>
      </c>
      <c r="J245" s="1621">
        <v>96</v>
      </c>
      <c r="K245" s="1620">
        <v>1</v>
      </c>
      <c r="L245" s="1620">
        <v>91.1</v>
      </c>
      <c r="M245" s="1620">
        <v>49.194000000000003</v>
      </c>
      <c r="N245" s="1620">
        <v>2.8241000000000001</v>
      </c>
      <c r="O245" s="1620">
        <v>5.9215</v>
      </c>
      <c r="P245" s="1620" t="s">
        <v>270</v>
      </c>
      <c r="Q245" s="1603"/>
      <c r="R245" s="1620">
        <v>87.5</v>
      </c>
      <c r="S245" s="1620">
        <v>39</v>
      </c>
      <c r="T245" s="1620">
        <v>51.195121951219498</v>
      </c>
      <c r="U245" s="1620">
        <v>56.0731707317073</v>
      </c>
      <c r="V245" s="1620">
        <v>60.463414634146297</v>
      </c>
      <c r="W245" s="1620">
        <v>63.390243902439003</v>
      </c>
      <c r="X245" s="1620"/>
      <c r="Y245" s="1620">
        <v>3.250019243728222</v>
      </c>
      <c r="Z245" s="1620">
        <v>6.86</v>
      </c>
      <c r="AA245" s="1620">
        <v>0.13</v>
      </c>
      <c r="AB245" s="1620">
        <v>0.32930845225027444</v>
      </c>
      <c r="AC245" s="1620">
        <v>23.03</v>
      </c>
      <c r="AD245" s="1620">
        <v>3.55</v>
      </c>
      <c r="AE245" s="1620">
        <v>4.0000000000000009</v>
      </c>
      <c r="AF245" s="1620">
        <v>155.1</v>
      </c>
      <c r="AG245" s="1620">
        <v>16.46</v>
      </c>
      <c r="AH245" s="1620">
        <v>37.74</v>
      </c>
      <c r="AI245" s="1620">
        <v>56.610000000000007</v>
      </c>
      <c r="AJ245" s="1620">
        <v>0</v>
      </c>
      <c r="AK245" s="1620">
        <v>0</v>
      </c>
      <c r="AL245" s="1620"/>
      <c r="AM245" s="1620">
        <v>6.0425925925925901</v>
      </c>
      <c r="AN245" s="1620">
        <v>1.31851851851852</v>
      </c>
      <c r="AO245" s="1620">
        <v>1.44814814814815</v>
      </c>
      <c r="AP245" s="1620">
        <v>4.0277777777777803</v>
      </c>
      <c r="AQ245" s="1620">
        <v>1.3296296296296299</v>
      </c>
      <c r="AR245" s="1620">
        <v>4.3481481481481499</v>
      </c>
      <c r="AS245" s="1620">
        <v>7.6074074074074103</v>
      </c>
      <c r="AT245" s="1620">
        <v>2.5722222222222202</v>
      </c>
      <c r="AU245" s="1620">
        <v>5.1537037037036999</v>
      </c>
      <c r="AV245" s="1620">
        <v>3.9129629629629599</v>
      </c>
      <c r="AW245" s="1620">
        <v>4.5518518518518496</v>
      </c>
      <c r="AX245" s="1620"/>
      <c r="AY245" s="1620">
        <v>1</v>
      </c>
      <c r="AZ245" s="1620">
        <v>1.05</v>
      </c>
      <c r="BA245" s="1620">
        <v>0.92</v>
      </c>
      <c r="BB245" s="1620">
        <v>0.99</v>
      </c>
      <c r="BC245" s="1620">
        <v>1.06</v>
      </c>
      <c r="BD245" s="1620">
        <v>1.05</v>
      </c>
      <c r="BE245" s="1620">
        <v>1.04</v>
      </c>
      <c r="BF245" s="1620">
        <v>1.05</v>
      </c>
      <c r="BG245" s="1620">
        <v>1.06</v>
      </c>
      <c r="BH245" s="1620">
        <v>1.06</v>
      </c>
      <c r="BI245" s="1620">
        <v>1</v>
      </c>
      <c r="BJ245" s="1603"/>
      <c r="BK245" s="1620">
        <v>54.000000000000007</v>
      </c>
      <c r="BL245" s="1620">
        <v>3.1000000000000005</v>
      </c>
      <c r="BM245" s="1620">
        <v>6.5</v>
      </c>
      <c r="BN245" s="1620" t="s">
        <v>270</v>
      </c>
      <c r="BO245" s="1620"/>
      <c r="BP245" s="1620">
        <v>130</v>
      </c>
      <c r="BQ245" s="1620">
        <v>40.299999999999997</v>
      </c>
      <c r="BR245" s="1620">
        <v>1.1529797231900878</v>
      </c>
      <c r="BS245" s="1620">
        <v>1.1637820296845993</v>
      </c>
      <c r="BT245" s="1603"/>
      <c r="BU245" s="1620">
        <v>935.00000000000011</v>
      </c>
      <c r="BV245" s="1620">
        <v>180.18071428571352</v>
      </c>
      <c r="BW245" s="1620">
        <v>195.01438990000003</v>
      </c>
      <c r="BX245" s="1620" t="s">
        <v>270</v>
      </c>
      <c r="BY245" s="1620" t="s">
        <v>270</v>
      </c>
      <c r="BZ245" s="1620">
        <v>56.921207142857192</v>
      </c>
      <c r="CA245" s="1620">
        <v>153.89807857142921</v>
      </c>
      <c r="CB245" s="1603"/>
      <c r="CC245" s="1603">
        <v>2.9607675310364101</v>
      </c>
      <c r="CD245" s="1603">
        <v>6.24946</v>
      </c>
      <c r="CE245" s="1603">
        <v>0.11842999999999999</v>
      </c>
      <c r="CF245" s="1603">
        <v>0.3</v>
      </c>
      <c r="CG245" s="1603">
        <v>20.980329999999999</v>
      </c>
      <c r="CH245" s="1603">
        <v>3.2340499999999994</v>
      </c>
      <c r="CI245" s="1603">
        <v>3.6440000000000006</v>
      </c>
      <c r="CJ245" s="1603"/>
      <c r="CK245" s="1603">
        <v>141.2961</v>
      </c>
      <c r="CL245" s="1603">
        <v>14.995059999999999</v>
      </c>
      <c r="CM245" s="1603">
        <v>34.381140000000002</v>
      </c>
      <c r="CN245" s="1603">
        <v>51.571710000000003</v>
      </c>
      <c r="CO245" s="1603">
        <v>0</v>
      </c>
      <c r="CP245" s="1603">
        <v>0</v>
      </c>
      <c r="CQ245" s="1603">
        <v>430.44749999999999</v>
      </c>
      <c r="CR245" s="1603">
        <v>409.80772731429948</v>
      </c>
      <c r="CS245" s="1603">
        <v>24.763011374565913</v>
      </c>
      <c r="CT245" s="1603">
        <v>5.673560313706858</v>
      </c>
      <c r="CU245" s="1603">
        <v>5.4598531729444373</v>
      </c>
      <c r="CV245" s="1603">
        <v>11.133413486651294</v>
      </c>
      <c r="CW245" s="1603">
        <v>16.34108312665769</v>
      </c>
      <c r="CX245" s="1603">
        <v>5.7758604648956764</v>
      </c>
      <c r="CY245" s="1603">
        <v>18.709999461493961</v>
      </c>
      <c r="CZ245" s="1603">
        <v>32.42277313998941</v>
      </c>
      <c r="DA245" s="1603">
        <v>11.068223701880372</v>
      </c>
      <c r="DB245" s="1603">
        <v>22.387492581900688</v>
      </c>
      <c r="DC245" s="1603">
        <v>16.99776206451892</v>
      </c>
      <c r="DD245" s="1603">
        <v>39.385254646419611</v>
      </c>
      <c r="DE245" s="1603">
        <v>18.653840624787929</v>
      </c>
      <c r="DF245" s="1603">
        <v>0</v>
      </c>
      <c r="DG245" s="1603">
        <v>0</v>
      </c>
      <c r="DH245" s="1603">
        <v>0</v>
      </c>
      <c r="DI245" s="1603">
        <v>0</v>
      </c>
      <c r="DJ245" s="1603">
        <v>0</v>
      </c>
      <c r="DK245" s="1603">
        <v>0</v>
      </c>
      <c r="DL245" s="1603">
        <v>0</v>
      </c>
      <c r="DM245" s="1603">
        <v>0</v>
      </c>
      <c r="DN245" s="1603">
        <v>0</v>
      </c>
      <c r="DO245" s="1603">
        <v>0</v>
      </c>
      <c r="DP245" s="1603">
        <v>0</v>
      </c>
      <c r="DQ245" s="1603">
        <v>0</v>
      </c>
      <c r="DR245" s="1603">
        <v>0</v>
      </c>
      <c r="DS245" s="1603">
        <v>0</v>
      </c>
      <c r="DT245" s="1603">
        <v>0</v>
      </c>
      <c r="DU245" s="1603">
        <v>0</v>
      </c>
      <c r="DV245" s="1603">
        <v>0</v>
      </c>
      <c r="DW245" s="1618" t="s">
        <v>3143</v>
      </c>
      <c r="DX245" s="1605" t="s">
        <v>986</v>
      </c>
      <c r="DY245" s="1605">
        <v>5</v>
      </c>
      <c r="DZ245" s="1605">
        <v>5</v>
      </c>
      <c r="EA245" s="1605">
        <v>5</v>
      </c>
      <c r="EB245" s="1605" t="s">
        <v>986</v>
      </c>
      <c r="EC245" s="1605">
        <v>5</v>
      </c>
      <c r="ED245" s="1605">
        <v>5</v>
      </c>
      <c r="EE245" s="1605">
        <v>5</v>
      </c>
      <c r="EF245" s="1605">
        <v>5</v>
      </c>
      <c r="EG245" s="1605">
        <v>5</v>
      </c>
      <c r="EH245" s="1605">
        <v>5</v>
      </c>
      <c r="EI245" s="1605">
        <v>5</v>
      </c>
      <c r="EJ245" s="1605">
        <v>5</v>
      </c>
      <c r="EK245" s="1605">
        <v>5</v>
      </c>
      <c r="EL245" s="1605">
        <v>5</v>
      </c>
      <c r="EM245" s="1605">
        <v>5</v>
      </c>
      <c r="EN245" s="1605">
        <v>5</v>
      </c>
      <c r="EO245" s="1605">
        <v>5</v>
      </c>
      <c r="EP245" s="1605">
        <v>5</v>
      </c>
      <c r="EQ245" s="1605">
        <v>5</v>
      </c>
      <c r="ER245" s="1605">
        <v>5</v>
      </c>
      <c r="ES245" s="1605">
        <v>5</v>
      </c>
      <c r="ET245" s="1605">
        <v>5</v>
      </c>
      <c r="EU245" s="1605">
        <v>5</v>
      </c>
      <c r="EV245" s="1605" t="s">
        <v>986</v>
      </c>
      <c r="EW245" s="1605">
        <v>5</v>
      </c>
      <c r="EX245" s="1605">
        <v>5</v>
      </c>
      <c r="EY245" s="1605" t="s">
        <v>986</v>
      </c>
      <c r="EZ245" s="1605">
        <v>5</v>
      </c>
      <c r="FA245" s="1605">
        <v>5</v>
      </c>
      <c r="FB245" s="1605">
        <v>5</v>
      </c>
      <c r="FC245" s="1605">
        <v>5</v>
      </c>
      <c r="FD245" s="1605" t="s">
        <v>986</v>
      </c>
      <c r="FE245" s="1605" t="s">
        <v>986</v>
      </c>
      <c r="FF245" s="1605" t="s">
        <v>986</v>
      </c>
      <c r="FG245" s="1605">
        <v>0.23</v>
      </c>
      <c r="FH245" s="1605">
        <v>0.1</v>
      </c>
      <c r="FI245" s="1605">
        <v>0.14000000000000001</v>
      </c>
      <c r="FJ245" s="1605" t="s">
        <v>986</v>
      </c>
      <c r="FK245" s="1605">
        <v>0.27</v>
      </c>
      <c r="FL245" s="1605">
        <v>0.55000000000000004</v>
      </c>
      <c r="FM245" s="1605" t="s">
        <v>986</v>
      </c>
      <c r="FN245" s="1605">
        <v>1.18</v>
      </c>
      <c r="FO245" s="1605">
        <v>0.99</v>
      </c>
      <c r="FP245" s="1605">
        <v>0.66</v>
      </c>
      <c r="FQ245" s="1605">
        <v>0.12</v>
      </c>
      <c r="FR245" s="1605">
        <v>0.15</v>
      </c>
      <c r="FS245" s="1605">
        <v>0.42</v>
      </c>
      <c r="FT245" s="1605">
        <v>0.05</v>
      </c>
      <c r="FU245" s="1605">
        <v>0.08</v>
      </c>
      <c r="FV245" s="1605">
        <v>0.75</v>
      </c>
      <c r="FW245" s="1605">
        <v>0.17</v>
      </c>
      <c r="FX245" s="1605">
        <v>1.21</v>
      </c>
      <c r="FY245" s="1605">
        <v>0.32</v>
      </c>
      <c r="FZ245" s="1605">
        <v>0.15</v>
      </c>
      <c r="GA245" s="1605" t="s">
        <v>986</v>
      </c>
      <c r="GB245" s="1605">
        <v>0.12</v>
      </c>
      <c r="GC245" s="1605" t="s">
        <v>986</v>
      </c>
      <c r="GD245" s="1605" t="s">
        <v>986</v>
      </c>
      <c r="GE245" s="1605">
        <v>1.31</v>
      </c>
      <c r="GF245" s="1605">
        <v>0.05</v>
      </c>
      <c r="GG245" s="1605" t="s">
        <v>986</v>
      </c>
      <c r="GH245" s="1605">
        <v>16.88</v>
      </c>
      <c r="GI245" s="1605">
        <v>2.0499999999999998</v>
      </c>
      <c r="GJ245" s="1605">
        <v>2.2599999999999998</v>
      </c>
      <c r="GK245" s="1605">
        <v>13.13</v>
      </c>
      <c r="GL245" s="1605" t="s">
        <v>986</v>
      </c>
      <c r="GM245" s="1605" t="s">
        <v>986</v>
      </c>
      <c r="GN245" s="1605" t="s">
        <v>1582</v>
      </c>
      <c r="GO245" s="1605" t="s">
        <v>1582</v>
      </c>
      <c r="GP245" s="1605" t="s">
        <v>1582</v>
      </c>
      <c r="GQ245" s="1605" t="s">
        <v>1582</v>
      </c>
      <c r="GR245" s="1605" t="s">
        <v>986</v>
      </c>
      <c r="GS245" s="1605" t="s">
        <v>1582</v>
      </c>
      <c r="GT245" s="1605" t="s">
        <v>1582</v>
      </c>
      <c r="GU245" s="1605" t="s">
        <v>1582</v>
      </c>
      <c r="GV245" s="1605" t="s">
        <v>1582</v>
      </c>
      <c r="GW245" s="1605" t="s">
        <v>1582</v>
      </c>
      <c r="GX245" s="1605" t="s">
        <v>1582</v>
      </c>
      <c r="GY245" s="1605" t="s">
        <v>1582</v>
      </c>
      <c r="GZ245" s="1605" t="s">
        <v>1582</v>
      </c>
      <c r="HA245" s="1605" t="s">
        <v>1582</v>
      </c>
      <c r="HB245" s="1605" t="s">
        <v>1582</v>
      </c>
      <c r="HC245" s="1605" t="s">
        <v>1582</v>
      </c>
      <c r="HD245" s="1605" t="s">
        <v>1582</v>
      </c>
      <c r="HE245" s="1605" t="s">
        <v>1582</v>
      </c>
      <c r="HF245" s="1605" t="s">
        <v>1582</v>
      </c>
      <c r="HG245" s="1605" t="s">
        <v>1582</v>
      </c>
      <c r="HH245" s="1605" t="s">
        <v>1582</v>
      </c>
      <c r="HI245" s="1605" t="s">
        <v>1582</v>
      </c>
      <c r="HJ245" s="1605" t="s">
        <v>1582</v>
      </c>
      <c r="HK245" s="1605" t="s">
        <v>986</v>
      </c>
      <c r="HL245" s="1605" t="s">
        <v>986</v>
      </c>
      <c r="HM245" s="1605" t="s">
        <v>1582</v>
      </c>
      <c r="HN245" s="1605" t="s">
        <v>1582</v>
      </c>
      <c r="HO245" s="1605" t="s">
        <v>986</v>
      </c>
      <c r="HP245" s="1605" t="s">
        <v>1582</v>
      </c>
      <c r="HQ245" s="1605" t="s">
        <v>1582</v>
      </c>
      <c r="HR245" s="1605" t="s">
        <v>1582</v>
      </c>
      <c r="HS245" s="1605" t="s">
        <v>1582</v>
      </c>
      <c r="HT245" s="1605" t="s">
        <v>986</v>
      </c>
      <c r="HU245" s="1605" t="s">
        <v>986</v>
      </c>
      <c r="HV245" s="1617"/>
      <c r="HW245" s="1617" t="s">
        <v>3142</v>
      </c>
      <c r="HX245" s="1617" t="s">
        <v>3141</v>
      </c>
      <c r="HY245" s="1617" t="s">
        <v>3140</v>
      </c>
      <c r="HZ245" s="1603"/>
      <c r="IA245" s="1603"/>
      <c r="IB245" s="1603"/>
      <c r="IC245" s="1603">
        <v>65.585365853658502</v>
      </c>
      <c r="ID245" s="1603">
        <v>67.048780487804905</v>
      </c>
      <c r="IE245" s="1603">
        <v>68.268292682926798</v>
      </c>
      <c r="IF245" s="1603">
        <v>69</v>
      </c>
      <c r="IG245" s="1611" t="s">
        <v>3139</v>
      </c>
      <c r="IH245" s="1616" t="s">
        <v>270</v>
      </c>
      <c r="II245" s="1615" t="s">
        <v>270</v>
      </c>
      <c r="IJ245" s="1613">
        <v>9.4360625000000002</v>
      </c>
      <c r="IK245" s="1613">
        <v>1.8102982954545457</v>
      </c>
      <c r="IL245" s="1614">
        <v>9.4360625000000002</v>
      </c>
      <c r="IM245" s="1614">
        <v>1.8102982954545457</v>
      </c>
      <c r="IN245" s="1612" t="s">
        <v>270</v>
      </c>
      <c r="IO245" s="1613" t="s">
        <v>270</v>
      </c>
      <c r="IP245" s="1607" t="s">
        <v>270</v>
      </c>
      <c r="IQ245" s="1612" t="s">
        <v>270</v>
      </c>
      <c r="IR245" s="1612" t="s">
        <v>270</v>
      </c>
      <c r="IS245" s="1607">
        <v>9.1010624999999994</v>
      </c>
      <c r="IT245" s="1607">
        <v>1.4752982954545457</v>
      </c>
      <c r="IU245" s="1611">
        <v>2.8409090909090912E-6</v>
      </c>
      <c r="IV245" s="1611">
        <v>2.2573863636363635E-2</v>
      </c>
      <c r="IW245" s="1611">
        <v>4.8181818181818178E-3</v>
      </c>
      <c r="IX245" s="1611">
        <v>1.71875E-3</v>
      </c>
      <c r="IY245" s="1611">
        <v>6.1818181818181816E-3</v>
      </c>
      <c r="IZ245" s="1611">
        <v>6.4659090909090916E-3</v>
      </c>
      <c r="JA245" s="1611">
        <v>6.249999999999999E-4</v>
      </c>
      <c r="JB245" s="1611" t="s">
        <v>270</v>
      </c>
      <c r="JC245" s="1611">
        <v>1.1867954545454544</v>
      </c>
      <c r="JD245" s="1611">
        <v>8.050284090909092E-2</v>
      </c>
      <c r="JE245" s="1611" t="s">
        <v>270</v>
      </c>
      <c r="JF245" s="1611">
        <v>1.0056818181818181E-3</v>
      </c>
      <c r="JG245" s="1611">
        <v>1.2636732954545453</v>
      </c>
      <c r="JH245" s="1611">
        <v>1.3977272727272727E-3</v>
      </c>
      <c r="JI245" s="1611">
        <v>0.49736931818181818</v>
      </c>
      <c r="JJ245" s="1611" t="s">
        <v>270</v>
      </c>
      <c r="JK245" s="1607">
        <f t="shared" si="12"/>
        <v>0.33500000000000085</v>
      </c>
      <c r="JL245" s="1608" t="s">
        <v>270</v>
      </c>
      <c r="JM245" s="1610" t="s">
        <v>2924</v>
      </c>
      <c r="JN245" s="1608">
        <v>7.6257642045454537</v>
      </c>
      <c r="JO245" s="1609" t="s">
        <v>3114</v>
      </c>
      <c r="JP245" s="1608" t="s">
        <v>270</v>
      </c>
      <c r="JQ245" s="1607">
        <v>202103</v>
      </c>
      <c r="JR245" s="1606">
        <v>632</v>
      </c>
      <c r="JS245" s="1606">
        <v>574</v>
      </c>
      <c r="JT245" s="1606">
        <v>574</v>
      </c>
    </row>
    <row r="246" spans="1:280" ht="15" customHeight="1" x14ac:dyDescent="0.2">
      <c r="A246" s="1626">
        <v>61100</v>
      </c>
      <c r="B246" s="1625">
        <v>611</v>
      </c>
      <c r="C246" s="1624">
        <v>0</v>
      </c>
      <c r="D246" s="1623" t="s">
        <v>3138</v>
      </c>
      <c r="E246" s="1622">
        <v>43369</v>
      </c>
      <c r="F246" s="1620">
        <v>0.87887776004646201</v>
      </c>
      <c r="G246" s="1620">
        <v>0.91469030467680601</v>
      </c>
      <c r="H246" s="1621">
        <v>91.3</v>
      </c>
      <c r="I246" s="1621">
        <v>72.2</v>
      </c>
      <c r="J246" s="1621">
        <v>95</v>
      </c>
      <c r="K246" s="1620">
        <v>1</v>
      </c>
      <c r="L246" s="1620">
        <v>87.6</v>
      </c>
      <c r="M246" s="1620">
        <v>42.661200000000001</v>
      </c>
      <c r="N246" s="1620">
        <v>2.5404</v>
      </c>
      <c r="O246" s="1620">
        <v>6.4824000000000002</v>
      </c>
      <c r="P246" s="1620">
        <v>6.4824000000000002</v>
      </c>
      <c r="Q246" s="1603"/>
      <c r="R246" s="1620">
        <v>88</v>
      </c>
      <c r="S246" s="1620">
        <v>39</v>
      </c>
      <c r="T246" s="1620">
        <v>51.195121951219498</v>
      </c>
      <c r="U246" s="1620">
        <v>56.0731707317073</v>
      </c>
      <c r="V246" s="1620">
        <v>60.463414634146297</v>
      </c>
      <c r="W246" s="1620">
        <v>63.390243902439003</v>
      </c>
      <c r="X246" s="1620"/>
      <c r="Y246" s="1620">
        <v>3.9</v>
      </c>
      <c r="Z246" s="1620">
        <v>7.6000000000000005</v>
      </c>
      <c r="AA246" s="1620">
        <v>0.1</v>
      </c>
      <c r="AB246" s="1620">
        <v>0.34246575342465757</v>
      </c>
      <c r="AC246" s="1620">
        <v>27.000000000000004</v>
      </c>
      <c r="AD246" s="1620">
        <v>3.7</v>
      </c>
      <c r="AE246" s="1620">
        <v>4</v>
      </c>
      <c r="AF246" s="1620">
        <v>290</v>
      </c>
      <c r="AG246" s="1620">
        <v>17</v>
      </c>
      <c r="AH246" s="1620">
        <v>55.000000000000007</v>
      </c>
      <c r="AI246" s="1620">
        <v>55.000000000000007</v>
      </c>
      <c r="AJ246" s="1620">
        <v>0</v>
      </c>
      <c r="AK246" s="1620">
        <v>0.19000000000000003</v>
      </c>
      <c r="AL246" s="1620"/>
      <c r="AM246" s="1620">
        <v>6.09</v>
      </c>
      <c r="AN246" s="1620">
        <v>1.31</v>
      </c>
      <c r="AO246" s="1620">
        <v>1.39</v>
      </c>
      <c r="AP246" s="1620">
        <v>3.85</v>
      </c>
      <c r="AQ246" s="1620">
        <v>1.34</v>
      </c>
      <c r="AR246" s="1620">
        <v>4.3899999999999997</v>
      </c>
      <c r="AS246" s="1620">
        <v>7.68</v>
      </c>
      <c r="AT246" s="1620">
        <v>2.62</v>
      </c>
      <c r="AU246" s="1620">
        <v>4.96</v>
      </c>
      <c r="AV246" s="1620">
        <v>3.68</v>
      </c>
      <c r="AW246" s="1620">
        <v>4.6900000000000004</v>
      </c>
      <c r="AX246" s="1620"/>
      <c r="AY246" s="1620">
        <v>1</v>
      </c>
      <c r="AZ246" s="1620">
        <v>1.02</v>
      </c>
      <c r="BA246" s="1620">
        <v>0.97</v>
      </c>
      <c r="BB246" s="1620">
        <v>0.97</v>
      </c>
      <c r="BC246" s="1620">
        <v>1.02</v>
      </c>
      <c r="BD246" s="1620">
        <v>0.99</v>
      </c>
      <c r="BE246" s="1620">
        <v>0.98</v>
      </c>
      <c r="BF246" s="1620">
        <v>1.01</v>
      </c>
      <c r="BG246" s="1620">
        <v>1</v>
      </c>
      <c r="BH246" s="1620">
        <v>0.99</v>
      </c>
      <c r="BI246" s="1620">
        <v>0.97</v>
      </c>
      <c r="BJ246" s="1603"/>
      <c r="BK246" s="1620">
        <v>48.7</v>
      </c>
      <c r="BL246" s="1620">
        <v>2.9</v>
      </c>
      <c r="BM246" s="1620">
        <v>7.4</v>
      </c>
      <c r="BN246" s="1620">
        <v>7.4</v>
      </c>
      <c r="BO246" s="1620"/>
      <c r="BP246" s="1620">
        <v>130</v>
      </c>
      <c r="BQ246" s="1620">
        <v>37.700000000000003</v>
      </c>
      <c r="BR246" s="1620">
        <v>1.0032851142082899</v>
      </c>
      <c r="BS246" s="1620">
        <v>1.0441670144712398</v>
      </c>
      <c r="BT246" s="1603"/>
      <c r="BU246" s="1620">
        <v>926.00000000000011</v>
      </c>
      <c r="BV246" s="1620">
        <v>121.47228571428653</v>
      </c>
      <c r="BW246" s="1620">
        <v>252.66571428571348</v>
      </c>
      <c r="BX246" s="1620" t="s">
        <v>270</v>
      </c>
      <c r="BY246" s="1620" t="s">
        <v>270</v>
      </c>
      <c r="BZ246" s="1620">
        <v>83.162082857142821</v>
      </c>
      <c r="CA246" s="1620">
        <v>224.84563142857075</v>
      </c>
      <c r="CB246" s="1603"/>
      <c r="CC246" s="1603">
        <v>3.4163999999999994</v>
      </c>
      <c r="CD246" s="1603">
        <v>6.6575999999999995</v>
      </c>
      <c r="CE246" s="1603">
        <v>8.7599999999999997E-2</v>
      </c>
      <c r="CF246" s="1603">
        <v>0.3</v>
      </c>
      <c r="CG246" s="1603">
        <v>23.652000000000001</v>
      </c>
      <c r="CH246" s="1603">
        <v>3.2411999999999996</v>
      </c>
      <c r="CI246" s="1603">
        <v>3.5039999999999996</v>
      </c>
      <c r="CJ246" s="1603"/>
      <c r="CK246" s="1603">
        <v>254.03999999999996</v>
      </c>
      <c r="CL246" s="1603">
        <v>14.891999999999998</v>
      </c>
      <c r="CM246" s="1603">
        <v>48.18</v>
      </c>
      <c r="CN246" s="1603">
        <v>48.18</v>
      </c>
      <c r="CO246" s="1603">
        <v>0</v>
      </c>
      <c r="CP246" s="1603">
        <v>0.16644</v>
      </c>
      <c r="CQ246" s="1603">
        <v>375.41856000000001</v>
      </c>
      <c r="CR246" s="1603">
        <v>427.15674131992307</v>
      </c>
      <c r="CS246" s="1603">
        <v>26.013845546383315</v>
      </c>
      <c r="CT246" s="1603">
        <v>5.7076683775168124</v>
      </c>
      <c r="CU246" s="1603">
        <v>5.7593543432165228</v>
      </c>
      <c r="CV246" s="1603">
        <v>11.467022720733336</v>
      </c>
      <c r="CW246" s="1603">
        <v>15.952168504592528</v>
      </c>
      <c r="CX246" s="1603">
        <v>5.8383783403607081</v>
      </c>
      <c r="CY246" s="1603">
        <v>18.564659134505174</v>
      </c>
      <c r="CZ246" s="1603">
        <v>32.149524978702686</v>
      </c>
      <c r="DA246" s="1603">
        <v>11.303421688807806</v>
      </c>
      <c r="DB246" s="1603">
        <v>21.186974369468182</v>
      </c>
      <c r="DC246" s="1603">
        <v>15.562174399767438</v>
      </c>
      <c r="DD246" s="1603">
        <v>36.749148769235617</v>
      </c>
      <c r="DE246" s="1603">
        <v>19.432641632867259</v>
      </c>
      <c r="DF246" s="1603">
        <v>0</v>
      </c>
      <c r="DG246" s="1603">
        <v>0</v>
      </c>
      <c r="DH246" s="1603">
        <v>0</v>
      </c>
      <c r="DI246" s="1603">
        <v>0</v>
      </c>
      <c r="DJ246" s="1603">
        <v>0</v>
      </c>
      <c r="DK246" s="1603">
        <v>0</v>
      </c>
      <c r="DL246" s="1603">
        <v>0</v>
      </c>
      <c r="DM246" s="1603">
        <v>0</v>
      </c>
      <c r="DN246" s="1603">
        <v>0</v>
      </c>
      <c r="DO246" s="1603">
        <v>0</v>
      </c>
      <c r="DP246" s="1603">
        <v>0</v>
      </c>
      <c r="DQ246" s="1603">
        <v>0</v>
      </c>
      <c r="DR246" s="1603">
        <v>0</v>
      </c>
      <c r="DS246" s="1603">
        <v>0</v>
      </c>
      <c r="DT246" s="1603">
        <v>0</v>
      </c>
      <c r="DU246" s="1603">
        <v>0</v>
      </c>
      <c r="DV246" s="1603">
        <v>0</v>
      </c>
      <c r="DW246" s="1618" t="s">
        <v>3137</v>
      </c>
      <c r="DX246" s="1605" t="s">
        <v>986</v>
      </c>
      <c r="DY246" s="1605" t="s">
        <v>986</v>
      </c>
      <c r="DZ246" s="1605" t="s">
        <v>986</v>
      </c>
      <c r="EA246" s="1605" t="s">
        <v>986</v>
      </c>
      <c r="EB246" s="1605" t="s">
        <v>986</v>
      </c>
      <c r="EC246" s="1605" t="s">
        <v>986</v>
      </c>
      <c r="ED246" s="1605" t="s">
        <v>986</v>
      </c>
      <c r="EE246" s="1605" t="s">
        <v>986</v>
      </c>
      <c r="EF246" s="1605" t="s">
        <v>986</v>
      </c>
      <c r="EG246" s="1605" t="s">
        <v>986</v>
      </c>
      <c r="EH246" s="1605">
        <v>6</v>
      </c>
      <c r="EI246" s="1605">
        <v>6</v>
      </c>
      <c r="EJ246" s="1605">
        <v>6</v>
      </c>
      <c r="EK246" s="1605">
        <v>6</v>
      </c>
      <c r="EL246" s="1605" t="s">
        <v>986</v>
      </c>
      <c r="EM246" s="1605" t="s">
        <v>986</v>
      </c>
      <c r="EN246" s="1605">
        <v>6</v>
      </c>
      <c r="EO246" s="1605">
        <v>6</v>
      </c>
      <c r="EP246" s="1605">
        <v>6</v>
      </c>
      <c r="EQ246" s="1605">
        <v>6</v>
      </c>
      <c r="ER246" s="1605">
        <v>6</v>
      </c>
      <c r="ES246" s="1605">
        <v>7</v>
      </c>
      <c r="ET246" s="1605">
        <v>8</v>
      </c>
      <c r="EU246" s="1605" t="s">
        <v>986</v>
      </c>
      <c r="EV246" s="1605" t="s">
        <v>986</v>
      </c>
      <c r="EW246" s="1605">
        <v>7</v>
      </c>
      <c r="EX246" s="1605">
        <v>4</v>
      </c>
      <c r="EY246" s="1605" t="s">
        <v>986</v>
      </c>
      <c r="EZ246" s="1605">
        <v>7</v>
      </c>
      <c r="FA246" s="1605">
        <v>7</v>
      </c>
      <c r="FB246" s="1605">
        <v>7</v>
      </c>
      <c r="FC246" s="1605">
        <v>7</v>
      </c>
      <c r="FD246" s="1605" t="s">
        <v>986</v>
      </c>
      <c r="FE246" s="1605" t="s">
        <v>986</v>
      </c>
      <c r="FF246" s="1605" t="s">
        <v>986</v>
      </c>
      <c r="FG246" s="1605" t="s">
        <v>986</v>
      </c>
      <c r="FH246" s="1605" t="s">
        <v>986</v>
      </c>
      <c r="FI246" s="1605" t="s">
        <v>986</v>
      </c>
      <c r="FJ246" s="1605" t="s">
        <v>986</v>
      </c>
      <c r="FK246" s="1605" t="s">
        <v>986</v>
      </c>
      <c r="FL246" s="1605" t="s">
        <v>986</v>
      </c>
      <c r="FM246" s="1605" t="s">
        <v>986</v>
      </c>
      <c r="FN246" s="1605" t="s">
        <v>986</v>
      </c>
      <c r="FO246" s="1605" t="s">
        <v>986</v>
      </c>
      <c r="FP246" s="1605">
        <v>0.3</v>
      </c>
      <c r="FQ246" s="1605">
        <v>0.03</v>
      </c>
      <c r="FR246" s="1605">
        <v>0.09</v>
      </c>
      <c r="FS246" s="1605">
        <v>0.12</v>
      </c>
      <c r="FT246" s="1605" t="s">
        <v>986</v>
      </c>
      <c r="FU246" s="1605" t="s">
        <v>986</v>
      </c>
      <c r="FV246" s="1605">
        <v>0.18</v>
      </c>
      <c r="FW246" s="1605">
        <v>0.12</v>
      </c>
      <c r="FX246" s="1605">
        <v>0.12</v>
      </c>
      <c r="FY246" s="1605">
        <v>0.12</v>
      </c>
      <c r="FZ246" s="1605">
        <v>0.1</v>
      </c>
      <c r="GA246" s="1605" t="s">
        <v>986</v>
      </c>
      <c r="GB246" s="1605">
        <v>0.6</v>
      </c>
      <c r="GC246" s="1605" t="s">
        <v>986</v>
      </c>
      <c r="GD246" s="1605" t="s">
        <v>986</v>
      </c>
      <c r="GE246" s="1605">
        <v>1.36</v>
      </c>
      <c r="GF246" s="1605">
        <v>0.17</v>
      </c>
      <c r="GG246" s="1605">
        <v>0.28000000000000003</v>
      </c>
      <c r="GH246" s="1605">
        <v>217.2</v>
      </c>
      <c r="GI246" s="1605">
        <v>1.76</v>
      </c>
      <c r="GJ246" s="1605">
        <v>9.7100000000000009</v>
      </c>
      <c r="GK246" s="1605">
        <v>4.3600000000000003</v>
      </c>
      <c r="GL246" s="1605" t="s">
        <v>986</v>
      </c>
      <c r="GM246" s="1605" t="s">
        <v>986</v>
      </c>
      <c r="GN246" s="1605" t="s">
        <v>986</v>
      </c>
      <c r="GO246" s="1605" t="s">
        <v>986</v>
      </c>
      <c r="GP246" s="1605" t="s">
        <v>986</v>
      </c>
      <c r="GQ246" s="1605" t="s">
        <v>986</v>
      </c>
      <c r="GR246" s="1605" t="s">
        <v>986</v>
      </c>
      <c r="GS246" s="1605" t="s">
        <v>986</v>
      </c>
      <c r="GT246" s="1605" t="s">
        <v>986</v>
      </c>
      <c r="GU246" s="1605" t="s">
        <v>986</v>
      </c>
      <c r="GV246" s="1605" t="s">
        <v>986</v>
      </c>
      <c r="GW246" s="1605" t="s">
        <v>986</v>
      </c>
      <c r="GX246" s="1605" t="s">
        <v>1591</v>
      </c>
      <c r="GY246" s="1605" t="s">
        <v>1591</v>
      </c>
      <c r="GZ246" s="1605" t="s">
        <v>1591</v>
      </c>
      <c r="HA246" s="1605" t="s">
        <v>1591</v>
      </c>
      <c r="HB246" s="1605" t="s">
        <v>986</v>
      </c>
      <c r="HC246" s="1605" t="s">
        <v>986</v>
      </c>
      <c r="HD246" s="1605" t="s">
        <v>1591</v>
      </c>
      <c r="HE246" s="1605" t="s">
        <v>1591</v>
      </c>
      <c r="HF246" s="1605" t="s">
        <v>1591</v>
      </c>
      <c r="HG246" s="1605" t="s">
        <v>1591</v>
      </c>
      <c r="HH246" s="1605" t="s">
        <v>1591</v>
      </c>
      <c r="HI246" s="1605" t="s">
        <v>1591</v>
      </c>
      <c r="HJ246" s="1605" t="s">
        <v>1591</v>
      </c>
      <c r="HK246" s="1605" t="s">
        <v>986</v>
      </c>
      <c r="HL246" s="1605" t="s">
        <v>986</v>
      </c>
      <c r="HM246" s="1605" t="s">
        <v>1591</v>
      </c>
      <c r="HN246" s="1605" t="s">
        <v>1591</v>
      </c>
      <c r="HO246" s="1605" t="s">
        <v>1591</v>
      </c>
      <c r="HP246" s="1605" t="s">
        <v>1591</v>
      </c>
      <c r="HQ246" s="1605" t="s">
        <v>1591</v>
      </c>
      <c r="HR246" s="1605" t="s">
        <v>1591</v>
      </c>
      <c r="HS246" s="1605" t="s">
        <v>1591</v>
      </c>
      <c r="HT246" s="1605" t="s">
        <v>986</v>
      </c>
      <c r="HU246" s="1605" t="s">
        <v>986</v>
      </c>
      <c r="HV246" s="1617"/>
      <c r="HW246" s="1617" t="s">
        <v>3136</v>
      </c>
      <c r="HX246" s="1617" t="s">
        <v>3135</v>
      </c>
      <c r="HY246" s="1617" t="s">
        <v>3134</v>
      </c>
      <c r="HZ246" s="1603"/>
      <c r="IA246" s="1603"/>
      <c r="IB246" s="1603"/>
      <c r="IC246" s="1603">
        <v>65.585365853658502</v>
      </c>
      <c r="ID246" s="1603">
        <v>67.048780487804905</v>
      </c>
      <c r="IE246" s="1603">
        <v>68.268292682926798</v>
      </c>
      <c r="IF246" s="1603">
        <v>69</v>
      </c>
      <c r="IG246" s="1611" t="s">
        <v>3133</v>
      </c>
      <c r="IH246" s="1616" t="s">
        <v>270</v>
      </c>
      <c r="II246" s="1615" t="s">
        <v>270</v>
      </c>
      <c r="IJ246" s="1613">
        <v>6.0920170454545461</v>
      </c>
      <c r="IK246" s="1613">
        <v>0.99936931818181818</v>
      </c>
      <c r="IL246" s="1614">
        <v>6.0920170454545461</v>
      </c>
      <c r="IM246" s="1614">
        <v>0.99936931818181818</v>
      </c>
      <c r="IN246" s="1612" t="s">
        <v>270</v>
      </c>
      <c r="IO246" s="1613" t="s">
        <v>270</v>
      </c>
      <c r="IP246" s="1607" t="s">
        <v>270</v>
      </c>
      <c r="IQ246" s="1612" t="s">
        <v>270</v>
      </c>
      <c r="IR246" s="1612" t="s">
        <v>270</v>
      </c>
      <c r="IS246" s="1607">
        <v>5.7570170454545462</v>
      </c>
      <c r="IT246" s="1607">
        <v>0.66436931818181821</v>
      </c>
      <c r="IU246" s="1611">
        <v>0</v>
      </c>
      <c r="IV246" s="1611">
        <v>1.3639204545454548E-2</v>
      </c>
      <c r="IW246" s="1611">
        <v>1.4772727272727272E-3</v>
      </c>
      <c r="IX246" s="1611">
        <v>7.5284090909090906E-4</v>
      </c>
      <c r="IY246" s="1611">
        <v>1.5568181818181818E-3</v>
      </c>
      <c r="IZ246" s="1611">
        <v>3.0255681818181818E-3</v>
      </c>
      <c r="JA246" s="1611">
        <v>2.4147727272727271E-4</v>
      </c>
      <c r="JB246" s="1611" t="s">
        <v>270</v>
      </c>
      <c r="JC246" s="1611">
        <v>0.7395198863636363</v>
      </c>
      <c r="JD246" s="1611">
        <v>5.3357954545454549E-2</v>
      </c>
      <c r="JE246" s="1611" t="s">
        <v>270</v>
      </c>
      <c r="JF246" s="1611">
        <v>5.3125000000000004E-4</v>
      </c>
      <c r="JG246" s="1611">
        <v>0.82776988636363646</v>
      </c>
      <c r="JH246" s="1611">
        <v>8.8068181818181821E-4</v>
      </c>
      <c r="JI246" s="1611">
        <v>0.14470738636363636</v>
      </c>
      <c r="JJ246" s="1611" t="s">
        <v>270</v>
      </c>
      <c r="JK246" s="1607">
        <f t="shared" si="12"/>
        <v>0.33499999999999996</v>
      </c>
      <c r="JL246" s="1608" t="s">
        <v>270</v>
      </c>
      <c r="JM246" s="1610" t="s">
        <v>2924</v>
      </c>
      <c r="JN246" s="1608">
        <v>5.0926477272727277</v>
      </c>
      <c r="JO246" s="1609" t="s">
        <v>3114</v>
      </c>
      <c r="JP246" s="1608" t="s">
        <v>270</v>
      </c>
      <c r="JQ246" s="1607">
        <v>202103</v>
      </c>
      <c r="JR246" s="1606">
        <v>610</v>
      </c>
      <c r="JS246" s="1606">
        <v>552</v>
      </c>
      <c r="JT246" s="1606">
        <v>552</v>
      </c>
    </row>
    <row r="247" spans="1:280" ht="15" customHeight="1" x14ac:dyDescent="0.2">
      <c r="A247" s="1626">
        <v>62300</v>
      </c>
      <c r="B247" s="1625">
        <v>623</v>
      </c>
      <c r="C247" s="1624">
        <v>0</v>
      </c>
      <c r="D247" s="1623" t="s">
        <v>3132</v>
      </c>
      <c r="E247" s="1622">
        <v>43054</v>
      </c>
      <c r="F247" s="1620">
        <v>0.94002144808362698</v>
      </c>
      <c r="G247" s="1620">
        <v>0.99120869639332299</v>
      </c>
      <c r="H247" s="1621">
        <v>74</v>
      </c>
      <c r="I247" s="1621">
        <v>60.800027999999998</v>
      </c>
      <c r="J247" s="1621">
        <v>91</v>
      </c>
      <c r="K247" s="1620">
        <v>1</v>
      </c>
      <c r="L247" s="1620">
        <v>93.3</v>
      </c>
      <c r="M247" s="1620">
        <v>32.7483</v>
      </c>
      <c r="N247" s="1620">
        <v>10.9161</v>
      </c>
      <c r="O247" s="1620">
        <v>6.2511000000000001</v>
      </c>
      <c r="P247" s="1620">
        <v>18.286799999999999</v>
      </c>
      <c r="Q247" s="1603"/>
      <c r="R247" s="1620">
        <v>84</v>
      </c>
      <c r="S247" s="1620">
        <v>15</v>
      </c>
      <c r="T247" s="1620">
        <v>27.601626016260202</v>
      </c>
      <c r="U247" s="1620">
        <v>32.642276422764198</v>
      </c>
      <c r="V247" s="1620">
        <v>37.178861788617901</v>
      </c>
      <c r="W247" s="1620">
        <v>40.203252032520297</v>
      </c>
      <c r="X247" s="1620"/>
      <c r="Y247" s="1620">
        <v>3.8</v>
      </c>
      <c r="Z247" s="1620">
        <v>9.1</v>
      </c>
      <c r="AA247" s="1620">
        <v>0.2</v>
      </c>
      <c r="AB247" s="1620">
        <v>0</v>
      </c>
      <c r="AC247" s="1620">
        <v>15</v>
      </c>
      <c r="AD247" s="1620">
        <v>5.5</v>
      </c>
      <c r="AE247" s="1620">
        <v>3.8999999999999995</v>
      </c>
      <c r="AF247" s="1620">
        <v>170.00000000000003</v>
      </c>
      <c r="AG247" s="1620">
        <v>30</v>
      </c>
      <c r="AH247" s="1620">
        <v>36</v>
      </c>
      <c r="AI247" s="1620">
        <v>82</v>
      </c>
      <c r="AJ247" s="1620">
        <v>0</v>
      </c>
      <c r="AK247" s="1620">
        <v>0.15</v>
      </c>
      <c r="AL247" s="1620"/>
      <c r="AM247" s="1620">
        <v>3.5</v>
      </c>
      <c r="AN247" s="1620">
        <v>2.2000000000000002</v>
      </c>
      <c r="AO247" s="1620">
        <v>1.8</v>
      </c>
      <c r="AP247" s="1620">
        <v>3.7</v>
      </c>
      <c r="AQ247" s="1620">
        <v>1.1599999999999999</v>
      </c>
      <c r="AR247" s="1620">
        <v>4.0999999999999996</v>
      </c>
      <c r="AS247" s="1620">
        <v>6.3</v>
      </c>
      <c r="AT247" s="1620">
        <v>2.4</v>
      </c>
      <c r="AU247" s="1620">
        <v>4.5</v>
      </c>
      <c r="AV247" s="1620">
        <v>2.5</v>
      </c>
      <c r="AW247" s="1620">
        <v>5</v>
      </c>
      <c r="AX247" s="1620"/>
      <c r="AY247" s="1620">
        <v>0.96</v>
      </c>
      <c r="AZ247" s="1620">
        <v>1.06</v>
      </c>
      <c r="BA247" s="1620">
        <v>1.01</v>
      </c>
      <c r="BB247" s="1620">
        <v>0.98</v>
      </c>
      <c r="BC247" s="1620">
        <v>1.01</v>
      </c>
      <c r="BD247" s="1620">
        <v>0.99</v>
      </c>
      <c r="BE247" s="1620">
        <v>0.99</v>
      </c>
      <c r="BF247" s="1620">
        <v>1.01</v>
      </c>
      <c r="BG247" s="1620">
        <v>1.01</v>
      </c>
      <c r="BH247" s="1620">
        <v>0.99</v>
      </c>
      <c r="BI247" s="1620">
        <v>0.98</v>
      </c>
      <c r="BJ247" s="1603"/>
      <c r="BK247" s="1620">
        <v>35.1</v>
      </c>
      <c r="BL247" s="1620">
        <v>11.700000000000001</v>
      </c>
      <c r="BM247" s="1620">
        <v>6.7</v>
      </c>
      <c r="BN247" s="1620">
        <v>19.599999999999998</v>
      </c>
      <c r="BO247" s="1620"/>
      <c r="BP247" s="1620">
        <v>130</v>
      </c>
      <c r="BQ247" s="1620">
        <v>152.1</v>
      </c>
      <c r="BR247" s="1620">
        <v>1.0075256678281104</v>
      </c>
      <c r="BS247" s="1620">
        <v>1.06238874211503</v>
      </c>
      <c r="BT247" s="1603"/>
      <c r="BU247" s="1620">
        <v>933.00000000000011</v>
      </c>
      <c r="BV247" s="1620">
        <v>81.582857142857023</v>
      </c>
      <c r="BW247" s="1620">
        <v>175.93676965714258</v>
      </c>
      <c r="BX247" s="1620">
        <v>16.759776536312756</v>
      </c>
      <c r="BY247" s="1620">
        <v>55.865921787709546</v>
      </c>
      <c r="BZ247" s="1620">
        <v>54.006</v>
      </c>
      <c r="CA247" s="1620">
        <v>331.75114285714255</v>
      </c>
      <c r="CB247" s="1603"/>
      <c r="CC247" s="1603">
        <v>3.5453999999999994</v>
      </c>
      <c r="CD247" s="1603">
        <v>8.4902999999999995</v>
      </c>
      <c r="CE247" s="1603">
        <v>0.18659999999999999</v>
      </c>
      <c r="CF247" s="1603">
        <v>0</v>
      </c>
      <c r="CG247" s="1603">
        <v>13.994999999999999</v>
      </c>
      <c r="CH247" s="1603">
        <v>5.1315</v>
      </c>
      <c r="CI247" s="1603">
        <v>3.6386999999999992</v>
      </c>
      <c r="CJ247" s="1603"/>
      <c r="CK247" s="1603">
        <v>158.61000000000001</v>
      </c>
      <c r="CL247" s="1603">
        <v>27.99</v>
      </c>
      <c r="CM247" s="1603">
        <v>33.588000000000001</v>
      </c>
      <c r="CN247" s="1603">
        <v>76.506</v>
      </c>
      <c r="CO247" s="1603">
        <v>0</v>
      </c>
      <c r="CP247" s="1603">
        <v>0.13994999999999999</v>
      </c>
      <c r="CQ247" s="1603">
        <v>275.08571999999998</v>
      </c>
      <c r="CR247" s="1603">
        <v>292.6377058319286</v>
      </c>
      <c r="CS247" s="1603">
        <v>9.832626915952801</v>
      </c>
      <c r="CT247" s="1603">
        <v>6.8243113000005753</v>
      </c>
      <c r="CU247" s="1603">
        <v>5.3201534920244624</v>
      </c>
      <c r="CV247" s="1603">
        <v>12.144464792025039</v>
      </c>
      <c r="CW247" s="1603">
        <v>10.611043213465731</v>
      </c>
      <c r="CX247" s="1603">
        <v>3.4285433615268754</v>
      </c>
      <c r="CY247" s="1603">
        <v>11.878164479717983</v>
      </c>
      <c r="CZ247" s="1603">
        <v>18.251813712737388</v>
      </c>
      <c r="DA247" s="1603">
        <v>7.0935379893659496</v>
      </c>
      <c r="DB247" s="1603">
        <v>13.300383730061156</v>
      </c>
      <c r="DC247" s="1603">
        <v>7.2427832193402342</v>
      </c>
      <c r="DD247" s="1603">
        <v>20.543166949401389</v>
      </c>
      <c r="DE247" s="1603">
        <v>14.339247585764504</v>
      </c>
      <c r="DF247" s="1603">
        <v>0</v>
      </c>
      <c r="DG247" s="1603">
        <v>0</v>
      </c>
      <c r="DH247" s="1603">
        <v>0</v>
      </c>
      <c r="DI247" s="1603">
        <v>0</v>
      </c>
      <c r="DJ247" s="1603">
        <v>0</v>
      </c>
      <c r="DK247" s="1603">
        <v>0</v>
      </c>
      <c r="DL247" s="1603">
        <v>0</v>
      </c>
      <c r="DM247" s="1603">
        <v>0</v>
      </c>
      <c r="DN247" s="1603">
        <v>0</v>
      </c>
      <c r="DO247" s="1603">
        <v>0</v>
      </c>
      <c r="DP247" s="1603">
        <v>0</v>
      </c>
      <c r="DQ247" s="1603">
        <v>0</v>
      </c>
      <c r="DR247" s="1603">
        <v>0</v>
      </c>
      <c r="DS247" s="1603">
        <v>0</v>
      </c>
      <c r="DT247" s="1603">
        <v>0</v>
      </c>
      <c r="DU247" s="1603">
        <v>0</v>
      </c>
      <c r="DV247" s="1603">
        <v>0</v>
      </c>
      <c r="DW247" s="1618" t="s">
        <v>3130</v>
      </c>
      <c r="DX247" s="1605">
        <v>12</v>
      </c>
      <c r="DY247" s="1605">
        <v>12</v>
      </c>
      <c r="DZ247" s="1605">
        <v>12</v>
      </c>
      <c r="EA247" s="1605">
        <v>12</v>
      </c>
      <c r="EB247" s="1605">
        <v>12</v>
      </c>
      <c r="EC247" s="1605">
        <v>11</v>
      </c>
      <c r="ED247" s="1605">
        <v>12</v>
      </c>
      <c r="EE247" s="1605">
        <v>12</v>
      </c>
      <c r="EF247" s="1605">
        <v>11</v>
      </c>
      <c r="EG247" s="1605">
        <v>11</v>
      </c>
      <c r="EH247" s="1605" t="s">
        <v>986</v>
      </c>
      <c r="EI247" s="1605" t="s">
        <v>986</v>
      </c>
      <c r="EJ247" s="1605" t="s">
        <v>986</v>
      </c>
      <c r="EK247" s="1605" t="s">
        <v>986</v>
      </c>
      <c r="EL247" s="1605" t="s">
        <v>986</v>
      </c>
      <c r="EM247" s="1605" t="s">
        <v>986</v>
      </c>
      <c r="EN247" s="1605" t="s">
        <v>986</v>
      </c>
      <c r="EO247" s="1605" t="s">
        <v>986</v>
      </c>
      <c r="EP247" s="1605" t="s">
        <v>986</v>
      </c>
      <c r="EQ247" s="1605" t="s">
        <v>986</v>
      </c>
      <c r="ER247" s="1605" t="s">
        <v>986</v>
      </c>
      <c r="ES247" s="1605">
        <v>2</v>
      </c>
      <c r="ET247" s="1605">
        <v>2</v>
      </c>
      <c r="EU247" s="1605" t="s">
        <v>986</v>
      </c>
      <c r="EV247" s="1605" t="s">
        <v>986</v>
      </c>
      <c r="EW247" s="1605" t="s">
        <v>986</v>
      </c>
      <c r="EX247" s="1605" t="s">
        <v>986</v>
      </c>
      <c r="EY247" s="1605" t="s">
        <v>986</v>
      </c>
      <c r="EZ247" s="1605" t="s">
        <v>986</v>
      </c>
      <c r="FA247" s="1605" t="s">
        <v>986</v>
      </c>
      <c r="FB247" s="1605" t="s">
        <v>986</v>
      </c>
      <c r="FC247" s="1605" t="s">
        <v>986</v>
      </c>
      <c r="FD247" s="1605" t="s">
        <v>986</v>
      </c>
      <c r="FE247" s="1605" t="s">
        <v>986</v>
      </c>
      <c r="FF247" s="1605">
        <v>0.6</v>
      </c>
      <c r="FG247" s="1605">
        <v>2.4</v>
      </c>
      <c r="FH247" s="1605">
        <v>0.8</v>
      </c>
      <c r="FI247" s="1605">
        <v>0.3</v>
      </c>
      <c r="FJ247" s="1605">
        <v>2</v>
      </c>
      <c r="FK247" s="1605">
        <v>3</v>
      </c>
      <c r="FL247" s="1605">
        <v>3.5</v>
      </c>
      <c r="FM247" s="1605">
        <v>3.8</v>
      </c>
      <c r="FN247" s="1605">
        <v>7.3</v>
      </c>
      <c r="FO247" s="1605">
        <v>6.9</v>
      </c>
      <c r="FP247" s="1605" t="s">
        <v>986</v>
      </c>
      <c r="FQ247" s="1605" t="s">
        <v>986</v>
      </c>
      <c r="FR247" s="1605" t="s">
        <v>986</v>
      </c>
      <c r="FS247" s="1605" t="s">
        <v>986</v>
      </c>
      <c r="FT247" s="1605" t="s">
        <v>986</v>
      </c>
      <c r="FU247" s="1605" t="s">
        <v>986</v>
      </c>
      <c r="FV247" s="1605" t="s">
        <v>986</v>
      </c>
      <c r="FW247" s="1605" t="s">
        <v>986</v>
      </c>
      <c r="FX247" s="1605" t="s">
        <v>986</v>
      </c>
      <c r="FY247" s="1605" t="s">
        <v>986</v>
      </c>
      <c r="FZ247" s="1605" t="s">
        <v>986</v>
      </c>
      <c r="GA247" s="1605" t="s">
        <v>986</v>
      </c>
      <c r="GB247" s="1605">
        <v>0.9</v>
      </c>
      <c r="GC247" s="1605" t="s">
        <v>986</v>
      </c>
      <c r="GD247" s="1605" t="s">
        <v>986</v>
      </c>
      <c r="GE247" s="1605" t="s">
        <v>986</v>
      </c>
      <c r="GF247" s="1605" t="s">
        <v>986</v>
      </c>
      <c r="GG247" s="1605" t="s">
        <v>986</v>
      </c>
      <c r="GH247" s="1605" t="s">
        <v>986</v>
      </c>
      <c r="GI247" s="1605" t="s">
        <v>986</v>
      </c>
      <c r="GJ247" s="1605" t="s">
        <v>986</v>
      </c>
      <c r="GK247" s="1605" t="s">
        <v>986</v>
      </c>
      <c r="GL247" s="1605" t="s">
        <v>986</v>
      </c>
      <c r="GM247" s="1605" t="s">
        <v>986</v>
      </c>
      <c r="GN247" s="1605" t="s">
        <v>1579</v>
      </c>
      <c r="GO247" s="1605" t="s">
        <v>1579</v>
      </c>
      <c r="GP247" s="1605" t="s">
        <v>1579</v>
      </c>
      <c r="GQ247" s="1605" t="s">
        <v>1579</v>
      </c>
      <c r="GR247" s="1605" t="s">
        <v>1579</v>
      </c>
      <c r="GS247" s="1605" t="s">
        <v>1579</v>
      </c>
      <c r="GT247" s="1605" t="s">
        <v>1579</v>
      </c>
      <c r="GU247" s="1605" t="s">
        <v>1579</v>
      </c>
      <c r="GV247" s="1605" t="s">
        <v>1579</v>
      </c>
      <c r="GW247" s="1605" t="s">
        <v>1579</v>
      </c>
      <c r="GX247" s="1605" t="s">
        <v>1583</v>
      </c>
      <c r="GY247" s="1605" t="s">
        <v>1583</v>
      </c>
      <c r="GZ247" s="1605" t="s">
        <v>1583</v>
      </c>
      <c r="HA247" s="1605" t="s">
        <v>1583</v>
      </c>
      <c r="HB247" s="1605" t="s">
        <v>1583</v>
      </c>
      <c r="HC247" s="1605" t="s">
        <v>1583</v>
      </c>
      <c r="HD247" s="1605" t="s">
        <v>1583</v>
      </c>
      <c r="HE247" s="1605" t="s">
        <v>1583</v>
      </c>
      <c r="HF247" s="1605" t="s">
        <v>1583</v>
      </c>
      <c r="HG247" s="1605" t="s">
        <v>1583</v>
      </c>
      <c r="HH247" s="1605" t="s">
        <v>1583</v>
      </c>
      <c r="HI247" s="1605" t="s">
        <v>1579</v>
      </c>
      <c r="HJ247" s="1605" t="s">
        <v>1579</v>
      </c>
      <c r="HK247" s="1605" t="s">
        <v>986</v>
      </c>
      <c r="HL247" s="1605" t="s">
        <v>986</v>
      </c>
      <c r="HM247" s="1605" t="s">
        <v>986</v>
      </c>
      <c r="HN247" s="1605" t="s">
        <v>986</v>
      </c>
      <c r="HO247" s="1605" t="s">
        <v>986</v>
      </c>
      <c r="HP247" s="1605" t="s">
        <v>986</v>
      </c>
      <c r="HQ247" s="1605" t="s">
        <v>986</v>
      </c>
      <c r="HR247" s="1605" t="s">
        <v>986</v>
      </c>
      <c r="HS247" s="1605" t="s">
        <v>986</v>
      </c>
      <c r="HT247" s="1605" t="s">
        <v>986</v>
      </c>
      <c r="HU247" s="1605" t="s">
        <v>986</v>
      </c>
      <c r="HV247" s="1617"/>
      <c r="HW247" s="1617" t="s">
        <v>3129</v>
      </c>
      <c r="HX247" s="1617" t="s">
        <v>3119</v>
      </c>
      <c r="HY247" s="1617">
        <v>0</v>
      </c>
      <c r="HZ247" s="1603"/>
      <c r="IA247" s="1603"/>
      <c r="IB247" s="1603"/>
      <c r="IC247" s="1603">
        <v>42.471544715447102</v>
      </c>
      <c r="ID247" s="1603">
        <v>43.983739837398403</v>
      </c>
      <c r="IE247" s="1603">
        <v>45.243902439024403</v>
      </c>
      <c r="IF247" s="1603">
        <v>46</v>
      </c>
      <c r="IG247" s="1611" t="s">
        <v>3128</v>
      </c>
      <c r="IH247" s="1616" t="s">
        <v>270</v>
      </c>
      <c r="II247" s="1615" t="s">
        <v>270</v>
      </c>
      <c r="IJ247" s="1613">
        <v>1.3599659090909091</v>
      </c>
      <c r="IK247" s="1613">
        <v>1.1268409090909093</v>
      </c>
      <c r="IL247" s="1614">
        <v>1.3599659090909091</v>
      </c>
      <c r="IM247" s="1614">
        <v>1.1268409090909093</v>
      </c>
      <c r="IN247" s="1612" t="s">
        <v>270</v>
      </c>
      <c r="IO247" s="1613" t="s">
        <v>270</v>
      </c>
      <c r="IP247" s="1607" t="s">
        <v>270</v>
      </c>
      <c r="IQ247" s="1612" t="s">
        <v>270</v>
      </c>
      <c r="IR247" s="1612" t="s">
        <v>270</v>
      </c>
      <c r="IS247" s="1607">
        <v>1.2109659090909091</v>
      </c>
      <c r="IT247" s="1607">
        <v>0.97784090909090926</v>
      </c>
      <c r="IU247" s="1611">
        <v>1.1363636363636365E-5</v>
      </c>
      <c r="IV247" s="1611">
        <v>1.35E-2</v>
      </c>
      <c r="IW247" s="1611">
        <v>1.9772727272727273E-3</v>
      </c>
      <c r="IX247" s="1611">
        <v>1.7386363636363639E-3</v>
      </c>
      <c r="IY247" s="1611">
        <v>2E-3</v>
      </c>
      <c r="IZ247" s="1611">
        <v>8.4431818181818184E-3</v>
      </c>
      <c r="JA247" s="1611">
        <v>4.2045454545454542E-4</v>
      </c>
      <c r="JB247" s="1611" t="s">
        <v>270</v>
      </c>
      <c r="JC247" s="1611">
        <v>2.3824772727272725</v>
      </c>
      <c r="JD247" s="1611">
        <v>0.47252272727272721</v>
      </c>
      <c r="JE247" s="1611" t="s">
        <v>270</v>
      </c>
      <c r="JF247" s="1611">
        <v>1.034090909090909E-3</v>
      </c>
      <c r="JG247" s="1611">
        <v>1.5065113636363636</v>
      </c>
      <c r="JH247" s="1611">
        <v>1.5909090909090907E-3</v>
      </c>
      <c r="JI247" s="1611">
        <v>0.1705909090909091</v>
      </c>
      <c r="JJ247" s="1611" t="s">
        <v>270</v>
      </c>
      <c r="JK247" s="1607">
        <f t="shared" si="12"/>
        <v>0.14900000000000002</v>
      </c>
      <c r="JL247" s="1608" t="s">
        <v>270</v>
      </c>
      <c r="JM247" s="1610" t="s">
        <v>2924</v>
      </c>
      <c r="JN247" s="1608">
        <v>0.2331249999999998</v>
      </c>
      <c r="JO247" s="1609" t="s">
        <v>3114</v>
      </c>
      <c r="JP247" s="1608" t="s">
        <v>270</v>
      </c>
      <c r="JQ247" s="1607">
        <v>202103</v>
      </c>
      <c r="JR247" s="1606">
        <v>804</v>
      </c>
      <c r="JS247" s="1606">
        <v>728</v>
      </c>
      <c r="JT247" s="1606">
        <v>728</v>
      </c>
    </row>
    <row r="248" spans="1:280" ht="15" customHeight="1" x14ac:dyDescent="0.2">
      <c r="A248" s="1626">
        <v>62400</v>
      </c>
      <c r="B248" s="1625">
        <v>624</v>
      </c>
      <c r="C248" s="1624">
        <v>0</v>
      </c>
      <c r="D248" s="1623" t="s">
        <v>3131</v>
      </c>
      <c r="E248" s="1622">
        <v>43025</v>
      </c>
      <c r="F248" s="1620">
        <v>0.94825127371273499</v>
      </c>
      <c r="G248" s="1620">
        <v>1.0129993718026</v>
      </c>
      <c r="H248" s="1621">
        <v>78.400000000000006</v>
      </c>
      <c r="I248" s="1621">
        <v>58.4</v>
      </c>
      <c r="J248" s="1621">
        <v>92</v>
      </c>
      <c r="K248" s="1620">
        <v>1</v>
      </c>
      <c r="L248" s="1620">
        <v>92.8</v>
      </c>
      <c r="M248" s="1620">
        <v>36.377600000000001</v>
      </c>
      <c r="N248" s="1620">
        <v>12.064</v>
      </c>
      <c r="O248" s="1620">
        <v>5.7535999999999996</v>
      </c>
      <c r="P248" s="1620">
        <v>14.848000000000001</v>
      </c>
      <c r="Q248" s="1603"/>
      <c r="R248" s="1620">
        <v>84</v>
      </c>
      <c r="S248" s="1620">
        <v>15</v>
      </c>
      <c r="T248" s="1620">
        <v>27.601626016260202</v>
      </c>
      <c r="U248" s="1620">
        <v>32.642276422764198</v>
      </c>
      <c r="V248" s="1620">
        <v>37.178861788617901</v>
      </c>
      <c r="W248" s="1620">
        <v>40.203252032520297</v>
      </c>
      <c r="X248" s="1620"/>
      <c r="Y248" s="1620">
        <v>3.9000000000000004</v>
      </c>
      <c r="Z248" s="1620">
        <v>9.6</v>
      </c>
      <c r="AA248" s="1620">
        <v>0.19999999999999998</v>
      </c>
      <c r="AB248" s="1620">
        <v>0</v>
      </c>
      <c r="AC248" s="1620">
        <v>15</v>
      </c>
      <c r="AD248" s="1620">
        <v>5.5000000000000009</v>
      </c>
      <c r="AE248" s="1620">
        <v>3.8999999999999995</v>
      </c>
      <c r="AF248" s="1620">
        <v>170</v>
      </c>
      <c r="AG248" s="1620">
        <v>30</v>
      </c>
      <c r="AH248" s="1620">
        <v>36</v>
      </c>
      <c r="AI248" s="1620">
        <v>82</v>
      </c>
      <c r="AJ248" s="1620">
        <v>0</v>
      </c>
      <c r="AK248" s="1620">
        <v>0.15</v>
      </c>
      <c r="AL248" s="1620"/>
      <c r="AM248" s="1620">
        <v>3.5</v>
      </c>
      <c r="AN248" s="1620">
        <v>2.2000000000000002</v>
      </c>
      <c r="AO248" s="1620">
        <v>1.8</v>
      </c>
      <c r="AP248" s="1620">
        <v>3.7</v>
      </c>
      <c r="AQ248" s="1620">
        <v>1.1599999999999999</v>
      </c>
      <c r="AR248" s="1620">
        <v>4.0999999999999996</v>
      </c>
      <c r="AS248" s="1620">
        <v>6.3</v>
      </c>
      <c r="AT248" s="1620">
        <v>2.4</v>
      </c>
      <c r="AU248" s="1620">
        <v>4.5</v>
      </c>
      <c r="AV248" s="1620">
        <v>2.5</v>
      </c>
      <c r="AW248" s="1620">
        <v>5</v>
      </c>
      <c r="AX248" s="1620"/>
      <c r="AY248" s="1620">
        <v>0.96</v>
      </c>
      <c r="AZ248" s="1620">
        <v>1.06</v>
      </c>
      <c r="BA248" s="1620">
        <v>1.01</v>
      </c>
      <c r="BB248" s="1620">
        <v>0.98</v>
      </c>
      <c r="BC248" s="1620">
        <v>1.01</v>
      </c>
      <c r="BD248" s="1620">
        <v>0.99</v>
      </c>
      <c r="BE248" s="1620">
        <v>0.99</v>
      </c>
      <c r="BF248" s="1620">
        <v>1.01</v>
      </c>
      <c r="BG248" s="1620">
        <v>1.01</v>
      </c>
      <c r="BH248" s="1620">
        <v>0.99</v>
      </c>
      <c r="BI248" s="1620">
        <v>0.98</v>
      </c>
      <c r="BJ248" s="1603"/>
      <c r="BK248" s="1620">
        <v>39.200000000000003</v>
      </c>
      <c r="BL248" s="1620">
        <v>13.000000000000002</v>
      </c>
      <c r="BM248" s="1620">
        <v>6.2</v>
      </c>
      <c r="BN248" s="1620">
        <v>16.000000000000004</v>
      </c>
      <c r="BO248" s="1620"/>
      <c r="BP248" s="1620">
        <v>130</v>
      </c>
      <c r="BQ248" s="1620">
        <v>169</v>
      </c>
      <c r="BR248" s="1620">
        <v>1.02182249322493</v>
      </c>
      <c r="BS248" s="1620">
        <v>1.0915941506493536</v>
      </c>
      <c r="BT248" s="1603"/>
      <c r="BU248" s="1620">
        <v>938.00000000000011</v>
      </c>
      <c r="BV248" s="1620">
        <v>-15.428000000000001</v>
      </c>
      <c r="BW248" s="1620">
        <v>268</v>
      </c>
      <c r="BX248" s="1620">
        <v>16.759776536312824</v>
      </c>
      <c r="BY248" s="1620">
        <v>55.865921787709482</v>
      </c>
      <c r="BZ248" s="1620">
        <v>61.312719999999999</v>
      </c>
      <c r="CA248" s="1620">
        <v>376.63527999999997</v>
      </c>
      <c r="CB248" s="1603"/>
      <c r="CC248" s="1603">
        <v>3.6192000000000002</v>
      </c>
      <c r="CD248" s="1603">
        <v>8.9087999999999994</v>
      </c>
      <c r="CE248" s="1603">
        <v>0.18559999999999996</v>
      </c>
      <c r="CF248" s="1603">
        <v>0</v>
      </c>
      <c r="CG248" s="1603">
        <v>13.919999999999998</v>
      </c>
      <c r="CH248" s="1603">
        <v>5.1040000000000001</v>
      </c>
      <c r="CI248" s="1603">
        <v>3.6191999999999993</v>
      </c>
      <c r="CJ248" s="1603"/>
      <c r="CK248" s="1603">
        <v>157.76</v>
      </c>
      <c r="CL248" s="1603">
        <v>27.839999999999996</v>
      </c>
      <c r="CM248" s="1603">
        <v>33.408000000000001</v>
      </c>
      <c r="CN248" s="1603">
        <v>76.095999999999989</v>
      </c>
      <c r="CO248" s="1603">
        <v>0</v>
      </c>
      <c r="CP248" s="1603">
        <v>0.13919999999999999</v>
      </c>
      <c r="CQ248" s="1603">
        <v>305.57184000000001</v>
      </c>
      <c r="CR248" s="1603">
        <v>322.24775064480485</v>
      </c>
      <c r="CS248" s="1603">
        <v>10.827524421665442</v>
      </c>
      <c r="CT248" s="1603">
        <v>7.5148175450368484</v>
      </c>
      <c r="CU248" s="1603">
        <v>5.8584641067225522</v>
      </c>
      <c r="CV248" s="1603">
        <v>13.373281651759401</v>
      </c>
      <c r="CW248" s="1603">
        <v>11.684703438380625</v>
      </c>
      <c r="CX248" s="1603">
        <v>3.7754546465545333</v>
      </c>
      <c r="CY248" s="1603">
        <v>13.080036198672628</v>
      </c>
      <c r="CZ248" s="1603">
        <v>20.098592207716479</v>
      </c>
      <c r="DA248" s="1603">
        <v>7.8112854756300694</v>
      </c>
      <c r="DB248" s="1603">
        <v>14.64616026680638</v>
      </c>
      <c r="DC248" s="1603">
        <v>7.97563182845892</v>
      </c>
      <c r="DD248" s="1603">
        <v>22.621792095265302</v>
      </c>
      <c r="DE248" s="1603">
        <v>15.790139781595437</v>
      </c>
      <c r="DF248" s="1603">
        <v>0</v>
      </c>
      <c r="DG248" s="1603">
        <v>0</v>
      </c>
      <c r="DH248" s="1603">
        <v>0</v>
      </c>
      <c r="DI248" s="1603">
        <v>0</v>
      </c>
      <c r="DJ248" s="1603">
        <v>0</v>
      </c>
      <c r="DK248" s="1603">
        <v>0</v>
      </c>
      <c r="DL248" s="1603">
        <v>0</v>
      </c>
      <c r="DM248" s="1603">
        <v>0</v>
      </c>
      <c r="DN248" s="1603">
        <v>0</v>
      </c>
      <c r="DO248" s="1603">
        <v>0</v>
      </c>
      <c r="DP248" s="1603">
        <v>0</v>
      </c>
      <c r="DQ248" s="1603">
        <v>0</v>
      </c>
      <c r="DR248" s="1603">
        <v>0</v>
      </c>
      <c r="DS248" s="1603">
        <v>0</v>
      </c>
      <c r="DT248" s="1603">
        <v>0</v>
      </c>
      <c r="DU248" s="1603">
        <v>0</v>
      </c>
      <c r="DV248" s="1603">
        <v>0</v>
      </c>
      <c r="DW248" s="1618" t="s">
        <v>3130</v>
      </c>
      <c r="DX248" s="1605" t="s">
        <v>986</v>
      </c>
      <c r="DY248" s="1605" t="s">
        <v>986</v>
      </c>
      <c r="DZ248" s="1605">
        <v>1</v>
      </c>
      <c r="EA248" s="1605">
        <v>1</v>
      </c>
      <c r="EB248" s="1605">
        <v>1</v>
      </c>
      <c r="EC248" s="1605">
        <v>1</v>
      </c>
      <c r="ED248" s="1605">
        <v>1</v>
      </c>
      <c r="EE248" s="1605">
        <v>1</v>
      </c>
      <c r="EF248" s="1605">
        <v>1</v>
      </c>
      <c r="EG248" s="1605">
        <v>1</v>
      </c>
      <c r="EH248" s="1605" t="s">
        <v>986</v>
      </c>
      <c r="EI248" s="1605" t="s">
        <v>986</v>
      </c>
      <c r="EJ248" s="1605" t="s">
        <v>986</v>
      </c>
      <c r="EK248" s="1605" t="s">
        <v>986</v>
      </c>
      <c r="EL248" s="1605" t="s">
        <v>986</v>
      </c>
      <c r="EM248" s="1605" t="s">
        <v>986</v>
      </c>
      <c r="EN248" s="1605" t="s">
        <v>986</v>
      </c>
      <c r="EO248" s="1605" t="s">
        <v>986</v>
      </c>
      <c r="EP248" s="1605" t="s">
        <v>986</v>
      </c>
      <c r="EQ248" s="1605" t="s">
        <v>986</v>
      </c>
      <c r="ER248" s="1605" t="s">
        <v>986</v>
      </c>
      <c r="ES248" s="1605" t="s">
        <v>986</v>
      </c>
      <c r="ET248" s="1605" t="s">
        <v>986</v>
      </c>
      <c r="EU248" s="1605" t="s">
        <v>986</v>
      </c>
      <c r="EV248" s="1605" t="s">
        <v>986</v>
      </c>
      <c r="EW248" s="1605" t="s">
        <v>986</v>
      </c>
      <c r="EX248" s="1605" t="s">
        <v>986</v>
      </c>
      <c r="EY248" s="1605" t="s">
        <v>986</v>
      </c>
      <c r="EZ248" s="1605" t="s">
        <v>986</v>
      </c>
      <c r="FA248" s="1605" t="s">
        <v>986</v>
      </c>
      <c r="FB248" s="1605" t="s">
        <v>986</v>
      </c>
      <c r="FC248" s="1605" t="s">
        <v>986</v>
      </c>
      <c r="FD248" s="1605" t="s">
        <v>986</v>
      </c>
      <c r="FE248" s="1605" t="s">
        <v>986</v>
      </c>
      <c r="FF248" s="1605" t="s">
        <v>986</v>
      </c>
      <c r="FG248" s="1605" t="s">
        <v>986</v>
      </c>
      <c r="FH248" s="1605" t="s">
        <v>986</v>
      </c>
      <c r="FI248" s="1605" t="s">
        <v>986</v>
      </c>
      <c r="FJ248" s="1605" t="s">
        <v>986</v>
      </c>
      <c r="FK248" s="1605" t="s">
        <v>986</v>
      </c>
      <c r="FL248" s="1605" t="s">
        <v>986</v>
      </c>
      <c r="FM248" s="1605" t="s">
        <v>986</v>
      </c>
      <c r="FN248" s="1605" t="s">
        <v>986</v>
      </c>
      <c r="FO248" s="1605" t="s">
        <v>986</v>
      </c>
      <c r="FP248" s="1605" t="s">
        <v>986</v>
      </c>
      <c r="FQ248" s="1605" t="s">
        <v>986</v>
      </c>
      <c r="FR248" s="1605" t="s">
        <v>986</v>
      </c>
      <c r="FS248" s="1605" t="s">
        <v>986</v>
      </c>
      <c r="FT248" s="1605" t="s">
        <v>986</v>
      </c>
      <c r="FU248" s="1605" t="s">
        <v>986</v>
      </c>
      <c r="FV248" s="1605" t="s">
        <v>986</v>
      </c>
      <c r="FW248" s="1605" t="s">
        <v>986</v>
      </c>
      <c r="FX248" s="1605" t="s">
        <v>986</v>
      </c>
      <c r="FY248" s="1605" t="s">
        <v>986</v>
      </c>
      <c r="FZ248" s="1605" t="s">
        <v>986</v>
      </c>
      <c r="GA248" s="1605" t="s">
        <v>986</v>
      </c>
      <c r="GB248" s="1605" t="s">
        <v>986</v>
      </c>
      <c r="GC248" s="1605" t="s">
        <v>986</v>
      </c>
      <c r="GD248" s="1605" t="s">
        <v>986</v>
      </c>
      <c r="GE248" s="1605" t="s">
        <v>986</v>
      </c>
      <c r="GF248" s="1605" t="s">
        <v>986</v>
      </c>
      <c r="GG248" s="1605" t="s">
        <v>986</v>
      </c>
      <c r="GH248" s="1605" t="s">
        <v>986</v>
      </c>
      <c r="GI248" s="1605" t="s">
        <v>986</v>
      </c>
      <c r="GJ248" s="1605" t="s">
        <v>986</v>
      </c>
      <c r="GK248" s="1605" t="s">
        <v>986</v>
      </c>
      <c r="GL248" s="1605" t="s">
        <v>986</v>
      </c>
      <c r="GM248" s="1605" t="s">
        <v>986</v>
      </c>
      <c r="GN248" s="1605" t="s">
        <v>986</v>
      </c>
      <c r="GO248" s="1605" t="s">
        <v>986</v>
      </c>
      <c r="GP248" s="1605" t="s">
        <v>1591</v>
      </c>
      <c r="GQ248" s="1605" t="s">
        <v>1591</v>
      </c>
      <c r="GR248" s="1605" t="s">
        <v>1591</v>
      </c>
      <c r="GS248" s="1605" t="s">
        <v>1591</v>
      </c>
      <c r="GT248" s="1605" t="s">
        <v>1591</v>
      </c>
      <c r="GU248" s="1605" t="s">
        <v>1591</v>
      </c>
      <c r="GV248" s="1605" t="s">
        <v>1591</v>
      </c>
      <c r="GW248" s="1605" t="s">
        <v>986</v>
      </c>
      <c r="GX248" s="1605" t="s">
        <v>986</v>
      </c>
      <c r="GY248" s="1605" t="s">
        <v>986</v>
      </c>
      <c r="GZ248" s="1605" t="s">
        <v>986</v>
      </c>
      <c r="HA248" s="1605" t="s">
        <v>986</v>
      </c>
      <c r="HB248" s="1605" t="s">
        <v>986</v>
      </c>
      <c r="HC248" s="1605" t="s">
        <v>986</v>
      </c>
      <c r="HD248" s="1605" t="s">
        <v>986</v>
      </c>
      <c r="HE248" s="1605" t="s">
        <v>986</v>
      </c>
      <c r="HF248" s="1605" t="s">
        <v>986</v>
      </c>
      <c r="HG248" s="1605" t="s">
        <v>986</v>
      </c>
      <c r="HH248" s="1605" t="s">
        <v>986</v>
      </c>
      <c r="HI248" s="1605" t="s">
        <v>986</v>
      </c>
      <c r="HJ248" s="1605" t="s">
        <v>986</v>
      </c>
      <c r="HK248" s="1605" t="s">
        <v>986</v>
      </c>
      <c r="HL248" s="1605" t="s">
        <v>986</v>
      </c>
      <c r="HM248" s="1605" t="s">
        <v>986</v>
      </c>
      <c r="HN248" s="1605" t="s">
        <v>986</v>
      </c>
      <c r="HO248" s="1605" t="s">
        <v>986</v>
      </c>
      <c r="HP248" s="1605" t="s">
        <v>986</v>
      </c>
      <c r="HQ248" s="1605" t="s">
        <v>986</v>
      </c>
      <c r="HR248" s="1605" t="s">
        <v>986</v>
      </c>
      <c r="HS248" s="1605" t="s">
        <v>986</v>
      </c>
      <c r="HT248" s="1605" t="s">
        <v>986</v>
      </c>
      <c r="HU248" s="1605" t="s">
        <v>986</v>
      </c>
      <c r="HV248" s="1617"/>
      <c r="HW248" s="1617" t="s">
        <v>3129</v>
      </c>
      <c r="HX248" s="1617" t="s">
        <v>3119</v>
      </c>
      <c r="HY248" s="1617">
        <v>0</v>
      </c>
      <c r="HZ248" s="1603"/>
      <c r="IA248" s="1603"/>
      <c r="IB248" s="1603"/>
      <c r="IC248" s="1603">
        <v>42.471544715447102</v>
      </c>
      <c r="ID248" s="1603">
        <v>43.983739837398403</v>
      </c>
      <c r="IE248" s="1603">
        <v>45.243902439024403</v>
      </c>
      <c r="IF248" s="1603">
        <v>46</v>
      </c>
      <c r="IG248" s="1611" t="s">
        <v>3128</v>
      </c>
      <c r="IH248" s="1616" t="s">
        <v>270</v>
      </c>
      <c r="II248" s="1615" t="s">
        <v>270</v>
      </c>
      <c r="IJ248" s="1613">
        <v>1.3599659090909091</v>
      </c>
      <c r="IK248" s="1613">
        <v>1.1268409090909093</v>
      </c>
      <c r="IL248" s="1614">
        <v>1.3599659090909091</v>
      </c>
      <c r="IM248" s="1614">
        <v>1.1268409090909093</v>
      </c>
      <c r="IN248" s="1612" t="s">
        <v>270</v>
      </c>
      <c r="IO248" s="1613" t="s">
        <v>270</v>
      </c>
      <c r="IP248" s="1607" t="s">
        <v>270</v>
      </c>
      <c r="IQ248" s="1612" t="s">
        <v>270</v>
      </c>
      <c r="IR248" s="1612" t="s">
        <v>270</v>
      </c>
      <c r="IS248" s="1607">
        <v>1.2109659090909091</v>
      </c>
      <c r="IT248" s="1607">
        <v>0.97784090909090926</v>
      </c>
      <c r="IU248" s="1611">
        <v>1.1363636363636365E-5</v>
      </c>
      <c r="IV248" s="1611">
        <v>1.35E-2</v>
      </c>
      <c r="IW248" s="1611">
        <v>1.9772727272727273E-3</v>
      </c>
      <c r="IX248" s="1611">
        <v>1.7386363636363639E-3</v>
      </c>
      <c r="IY248" s="1611">
        <v>2E-3</v>
      </c>
      <c r="IZ248" s="1611">
        <v>8.4431818181818184E-3</v>
      </c>
      <c r="JA248" s="1611">
        <v>4.2045454545454542E-4</v>
      </c>
      <c r="JB248" s="1611" t="s">
        <v>270</v>
      </c>
      <c r="JC248" s="1611">
        <v>2.3824772727272725</v>
      </c>
      <c r="JD248" s="1611">
        <v>0.47252272727272721</v>
      </c>
      <c r="JE248" s="1611" t="s">
        <v>270</v>
      </c>
      <c r="JF248" s="1611">
        <v>1.034090909090909E-3</v>
      </c>
      <c r="JG248" s="1611">
        <v>1.5065113636363636</v>
      </c>
      <c r="JH248" s="1611">
        <v>1.5909090909090907E-3</v>
      </c>
      <c r="JI248" s="1611">
        <v>0.1705909090909091</v>
      </c>
      <c r="JJ248" s="1611" t="s">
        <v>270</v>
      </c>
      <c r="JK248" s="1607">
        <f t="shared" si="12"/>
        <v>0.14900000000000002</v>
      </c>
      <c r="JL248" s="1608" t="s">
        <v>270</v>
      </c>
      <c r="JM248" s="1610" t="s">
        <v>2924</v>
      </c>
      <c r="JN248" s="1608">
        <v>0.2331249999999998</v>
      </c>
      <c r="JO248" s="1609" t="s">
        <v>3114</v>
      </c>
      <c r="JP248" s="1608" t="s">
        <v>270</v>
      </c>
      <c r="JQ248" s="1607">
        <v>202103</v>
      </c>
      <c r="JR248" s="1606">
        <v>804</v>
      </c>
      <c r="JS248" s="1606">
        <v>728</v>
      </c>
      <c r="JT248" s="1606">
        <v>728</v>
      </c>
    </row>
    <row r="249" spans="1:280" ht="15" customHeight="1" x14ac:dyDescent="0.2">
      <c r="A249" s="1626">
        <v>62200</v>
      </c>
      <c r="B249" s="1625">
        <v>622</v>
      </c>
      <c r="C249" s="1624">
        <v>0</v>
      </c>
      <c r="D249" s="1623" t="s">
        <v>3127</v>
      </c>
      <c r="E249" s="1622">
        <v>43776</v>
      </c>
      <c r="F249" s="1620">
        <v>0.65345619337979099</v>
      </c>
      <c r="G249" s="1620">
        <v>0.72234597773654896</v>
      </c>
      <c r="H249" s="1621">
        <v>72.5</v>
      </c>
      <c r="I249" s="1621">
        <v>57.000007500000002</v>
      </c>
      <c r="J249" s="1621">
        <v>93</v>
      </c>
      <c r="K249" s="1620">
        <v>1</v>
      </c>
      <c r="L249" s="1620">
        <v>90</v>
      </c>
      <c r="M249" s="1620">
        <v>34.92</v>
      </c>
      <c r="N249" s="1620">
        <v>2.4300000000000002</v>
      </c>
      <c r="O249" s="1620">
        <v>6.75</v>
      </c>
      <c r="P249" s="1620">
        <v>17.64</v>
      </c>
      <c r="Q249" s="1603"/>
      <c r="R249" s="1620">
        <v>84</v>
      </c>
      <c r="S249" s="1620">
        <v>15</v>
      </c>
      <c r="T249" s="1620">
        <v>27.601626016260202</v>
      </c>
      <c r="U249" s="1620">
        <v>32.642276422764198</v>
      </c>
      <c r="V249" s="1620">
        <v>37.178861788617901</v>
      </c>
      <c r="W249" s="1620">
        <v>40.203252032520297</v>
      </c>
      <c r="X249" s="1620"/>
      <c r="Y249" s="1620">
        <v>4.0999999999999996</v>
      </c>
      <c r="Z249" s="1620">
        <v>12.4</v>
      </c>
      <c r="AA249" s="1620">
        <v>0.2</v>
      </c>
      <c r="AB249" s="1620">
        <v>0</v>
      </c>
      <c r="AC249" s="1620">
        <v>17</v>
      </c>
      <c r="AD249" s="1620">
        <v>6.7</v>
      </c>
      <c r="AE249" s="1620">
        <v>4.8</v>
      </c>
      <c r="AF249" s="1620">
        <v>170</v>
      </c>
      <c r="AG249" s="1620">
        <v>36</v>
      </c>
      <c r="AH249" s="1620">
        <v>47</v>
      </c>
      <c r="AI249" s="1620">
        <v>110</v>
      </c>
      <c r="AJ249" s="1620">
        <v>0</v>
      </c>
      <c r="AK249" s="1620">
        <v>0.15</v>
      </c>
      <c r="AL249" s="1620"/>
      <c r="AM249" s="1620">
        <v>3.5</v>
      </c>
      <c r="AN249" s="1620">
        <v>2.2000000000000002</v>
      </c>
      <c r="AO249" s="1620">
        <v>1.8</v>
      </c>
      <c r="AP249" s="1620">
        <v>3.7</v>
      </c>
      <c r="AQ249" s="1620">
        <v>1.1599999999999999</v>
      </c>
      <c r="AR249" s="1620">
        <v>4.0999999999999996</v>
      </c>
      <c r="AS249" s="1620">
        <v>6.3</v>
      </c>
      <c r="AT249" s="1620">
        <v>2.4</v>
      </c>
      <c r="AU249" s="1620">
        <v>4.5</v>
      </c>
      <c r="AV249" s="1620">
        <v>2.5</v>
      </c>
      <c r="AW249" s="1620">
        <v>5</v>
      </c>
      <c r="AX249" s="1620"/>
      <c r="AY249" s="1620">
        <v>0.96</v>
      </c>
      <c r="AZ249" s="1620">
        <v>1.06</v>
      </c>
      <c r="BA249" s="1620">
        <v>1.01</v>
      </c>
      <c r="BB249" s="1620">
        <v>0.98</v>
      </c>
      <c r="BC249" s="1620">
        <v>1.01</v>
      </c>
      <c r="BD249" s="1620">
        <v>0.99</v>
      </c>
      <c r="BE249" s="1620">
        <v>0.99</v>
      </c>
      <c r="BF249" s="1620">
        <v>1.01</v>
      </c>
      <c r="BG249" s="1620">
        <v>1.01</v>
      </c>
      <c r="BH249" s="1620">
        <v>0.99</v>
      </c>
      <c r="BI249" s="1620">
        <v>0.98</v>
      </c>
      <c r="BJ249" s="1603"/>
      <c r="BK249" s="1620">
        <v>38.799999999999997</v>
      </c>
      <c r="BL249" s="1620">
        <v>2.7</v>
      </c>
      <c r="BM249" s="1620">
        <v>7.5</v>
      </c>
      <c r="BN249" s="1620">
        <v>19.600000000000001</v>
      </c>
      <c r="BO249" s="1620"/>
      <c r="BP249" s="1620">
        <v>130</v>
      </c>
      <c r="BQ249" s="1620">
        <v>35.1</v>
      </c>
      <c r="BR249" s="1620">
        <v>0.7260624370886567</v>
      </c>
      <c r="BS249" s="1620">
        <v>0.80260664192949882</v>
      </c>
      <c r="BT249" s="1603"/>
      <c r="BU249" s="1620">
        <v>925</v>
      </c>
      <c r="BV249" s="1620">
        <v>86.533571428571335</v>
      </c>
      <c r="BW249" s="1620">
        <v>204.82132946428558</v>
      </c>
      <c r="BX249" s="1620">
        <v>16.759776536312778</v>
      </c>
      <c r="BY249" s="1620">
        <v>55.865921787709439</v>
      </c>
      <c r="BZ249" s="1620">
        <v>60.371700000000004</v>
      </c>
      <c r="CA249" s="1620">
        <v>370.85472857142884</v>
      </c>
      <c r="CB249" s="1603"/>
      <c r="CC249" s="1603">
        <v>3.69</v>
      </c>
      <c r="CD249" s="1603">
        <v>11.16</v>
      </c>
      <c r="CE249" s="1603">
        <v>0.18000000000000002</v>
      </c>
      <c r="CF249" s="1603">
        <v>0</v>
      </c>
      <c r="CG249" s="1603">
        <v>15.3</v>
      </c>
      <c r="CH249" s="1603">
        <v>6.03</v>
      </c>
      <c r="CI249" s="1603">
        <v>4.32</v>
      </c>
      <c r="CJ249" s="1603"/>
      <c r="CK249" s="1603">
        <v>153</v>
      </c>
      <c r="CL249" s="1603">
        <v>32.4</v>
      </c>
      <c r="CM249" s="1603">
        <v>42.300000000000004</v>
      </c>
      <c r="CN249" s="1603">
        <v>99</v>
      </c>
      <c r="CO249" s="1603">
        <v>0</v>
      </c>
      <c r="CP249" s="1603">
        <v>0.13500000000000001</v>
      </c>
      <c r="CQ249" s="1603">
        <v>293.32799999999997</v>
      </c>
      <c r="CR249" s="1603">
        <v>448.88701487831293</v>
      </c>
      <c r="CS249" s="1603">
        <v>15.082603699911315</v>
      </c>
      <c r="CT249" s="1603">
        <v>10.468045186962259</v>
      </c>
      <c r="CU249" s="1603">
        <v>8.1607659304877309</v>
      </c>
      <c r="CV249" s="1603">
        <v>18.628811117449988</v>
      </c>
      <c r="CW249" s="1603">
        <v>16.276643159487627</v>
      </c>
      <c r="CX249" s="1603">
        <v>5.2591602663143151</v>
      </c>
      <c r="CY249" s="1603">
        <v>18.220323933910723</v>
      </c>
      <c r="CZ249" s="1603">
        <v>27.997083117960383</v>
      </c>
      <c r="DA249" s="1603">
        <v>10.881021240650306</v>
      </c>
      <c r="DB249" s="1603">
        <v>20.401914826219326</v>
      </c>
      <c r="DC249" s="1603">
        <v>11.109953618238245</v>
      </c>
      <c r="DD249" s="1603">
        <v>31.511868444457573</v>
      </c>
      <c r="DE249" s="1603">
        <v>21.995463729037336</v>
      </c>
      <c r="DF249" s="1603">
        <v>0</v>
      </c>
      <c r="DG249" s="1603">
        <v>0</v>
      </c>
      <c r="DH249" s="1603">
        <v>0</v>
      </c>
      <c r="DI249" s="1603">
        <v>0</v>
      </c>
      <c r="DJ249" s="1603">
        <v>0</v>
      </c>
      <c r="DK249" s="1603">
        <v>0</v>
      </c>
      <c r="DL249" s="1603">
        <v>0</v>
      </c>
      <c r="DM249" s="1603">
        <v>0</v>
      </c>
      <c r="DN249" s="1603">
        <v>0</v>
      </c>
      <c r="DO249" s="1603">
        <v>0</v>
      </c>
      <c r="DP249" s="1603">
        <v>0</v>
      </c>
      <c r="DQ249" s="1603">
        <v>0</v>
      </c>
      <c r="DR249" s="1603">
        <v>0</v>
      </c>
      <c r="DS249" s="1603">
        <v>0</v>
      </c>
      <c r="DT249" s="1603">
        <v>0</v>
      </c>
      <c r="DU249" s="1603">
        <v>0</v>
      </c>
      <c r="DV249" s="1603">
        <v>0</v>
      </c>
      <c r="DW249" s="1618" t="s">
        <v>3121</v>
      </c>
      <c r="DX249" s="1605">
        <v>45</v>
      </c>
      <c r="DY249" s="1605">
        <v>45</v>
      </c>
      <c r="DZ249" s="1605">
        <v>41</v>
      </c>
      <c r="EA249" s="1605">
        <v>45</v>
      </c>
      <c r="EB249" s="1605">
        <v>45</v>
      </c>
      <c r="EC249" s="1605">
        <v>43</v>
      </c>
      <c r="ED249" s="1605">
        <v>45</v>
      </c>
      <c r="EE249" s="1605">
        <v>45</v>
      </c>
      <c r="EF249" s="1605">
        <v>43</v>
      </c>
      <c r="EG249" s="1605">
        <v>43</v>
      </c>
      <c r="EH249" s="1605" t="s">
        <v>986</v>
      </c>
      <c r="EI249" s="1605" t="s">
        <v>986</v>
      </c>
      <c r="EJ249" s="1605" t="s">
        <v>986</v>
      </c>
      <c r="EK249" s="1605" t="s">
        <v>986</v>
      </c>
      <c r="EL249" s="1605" t="s">
        <v>986</v>
      </c>
      <c r="EM249" s="1605" t="s">
        <v>986</v>
      </c>
      <c r="EN249" s="1605" t="s">
        <v>986</v>
      </c>
      <c r="EO249" s="1605" t="s">
        <v>986</v>
      </c>
      <c r="EP249" s="1605" t="s">
        <v>986</v>
      </c>
      <c r="EQ249" s="1605" t="s">
        <v>986</v>
      </c>
      <c r="ER249" s="1605" t="s">
        <v>986</v>
      </c>
      <c r="ES249" s="1605">
        <v>5</v>
      </c>
      <c r="ET249" s="1605">
        <v>5</v>
      </c>
      <c r="EU249" s="1605">
        <v>8</v>
      </c>
      <c r="EV249" s="1605" t="s">
        <v>986</v>
      </c>
      <c r="EW249" s="1605">
        <v>8</v>
      </c>
      <c r="EX249" s="1605">
        <v>8</v>
      </c>
      <c r="EY249" s="1605" t="s">
        <v>986</v>
      </c>
      <c r="EZ249" s="1605">
        <v>8</v>
      </c>
      <c r="FA249" s="1605">
        <v>8</v>
      </c>
      <c r="FB249" s="1605">
        <v>8</v>
      </c>
      <c r="FC249" s="1605">
        <v>8</v>
      </c>
      <c r="FD249" s="1605" t="s">
        <v>986</v>
      </c>
      <c r="FE249" s="1605" t="s">
        <v>986</v>
      </c>
      <c r="FF249" s="1605">
        <v>0.6</v>
      </c>
      <c r="FG249" s="1605">
        <v>1.6</v>
      </c>
      <c r="FH249" s="1605">
        <v>0.4</v>
      </c>
      <c r="FI249" s="1605">
        <v>0.5</v>
      </c>
      <c r="FJ249" s="1605">
        <v>1.4</v>
      </c>
      <c r="FK249" s="1605">
        <v>2.6</v>
      </c>
      <c r="FL249" s="1605">
        <v>2.9</v>
      </c>
      <c r="FM249" s="1605">
        <v>4.5999999999999996</v>
      </c>
      <c r="FN249" s="1605">
        <v>4.9000000000000004</v>
      </c>
      <c r="FO249" s="1605">
        <v>4.3</v>
      </c>
      <c r="FP249" s="1605" t="s">
        <v>986</v>
      </c>
      <c r="FQ249" s="1605" t="s">
        <v>986</v>
      </c>
      <c r="FR249" s="1605" t="s">
        <v>986</v>
      </c>
      <c r="FS249" s="1605" t="s">
        <v>986</v>
      </c>
      <c r="FT249" s="1605" t="s">
        <v>986</v>
      </c>
      <c r="FU249" s="1605" t="s">
        <v>986</v>
      </c>
      <c r="FV249" s="1605" t="s">
        <v>986</v>
      </c>
      <c r="FW249" s="1605" t="s">
        <v>986</v>
      </c>
      <c r="FX249" s="1605" t="s">
        <v>986</v>
      </c>
      <c r="FY249" s="1605" t="s">
        <v>986</v>
      </c>
      <c r="FZ249" s="1605" t="s">
        <v>986</v>
      </c>
      <c r="GA249" s="1605" t="s">
        <v>986</v>
      </c>
      <c r="GB249" s="1605">
        <v>1.4</v>
      </c>
      <c r="GC249" s="1605" t="s">
        <v>986</v>
      </c>
      <c r="GD249" s="1605" t="s">
        <v>986</v>
      </c>
      <c r="GE249" s="1605">
        <v>0.71</v>
      </c>
      <c r="GF249" s="1605">
        <v>0.28999999999999998</v>
      </c>
      <c r="GG249" s="1605">
        <v>0.25</v>
      </c>
      <c r="GH249" s="1605">
        <v>23.32</v>
      </c>
      <c r="GI249" s="1605">
        <v>4.25</v>
      </c>
      <c r="GJ249" s="1605">
        <v>1.52</v>
      </c>
      <c r="GK249" s="1605">
        <v>6.97</v>
      </c>
      <c r="GL249" s="1605" t="s">
        <v>986</v>
      </c>
      <c r="GM249" s="1605" t="s">
        <v>986</v>
      </c>
      <c r="GN249" s="1605" t="s">
        <v>3103</v>
      </c>
      <c r="GO249" s="1605" t="s">
        <v>3103</v>
      </c>
      <c r="GP249" s="1605" t="s">
        <v>3103</v>
      </c>
      <c r="GQ249" s="1605" t="s">
        <v>3103</v>
      </c>
      <c r="GR249" s="1605" t="s">
        <v>3103</v>
      </c>
      <c r="GS249" s="1605" t="s">
        <v>3103</v>
      </c>
      <c r="GT249" s="1605" t="s">
        <v>3103</v>
      </c>
      <c r="GU249" s="1605" t="s">
        <v>986</v>
      </c>
      <c r="GV249" s="1605" t="s">
        <v>3103</v>
      </c>
      <c r="GW249" s="1605" t="s">
        <v>3103</v>
      </c>
      <c r="GX249" s="1605" t="s">
        <v>1583</v>
      </c>
      <c r="GY249" s="1605" t="s">
        <v>1583</v>
      </c>
      <c r="GZ249" s="1605" t="s">
        <v>1583</v>
      </c>
      <c r="HA249" s="1605" t="s">
        <v>1583</v>
      </c>
      <c r="HB249" s="1605" t="s">
        <v>1583</v>
      </c>
      <c r="HC249" s="1605" t="s">
        <v>1583</v>
      </c>
      <c r="HD249" s="1605" t="s">
        <v>1583</v>
      </c>
      <c r="HE249" s="1605" t="s">
        <v>1583</v>
      </c>
      <c r="HF249" s="1605" t="s">
        <v>1583</v>
      </c>
      <c r="HG249" s="1605" t="s">
        <v>1583</v>
      </c>
      <c r="HH249" s="1605" t="s">
        <v>1583</v>
      </c>
      <c r="HI249" s="1605" t="s">
        <v>1579</v>
      </c>
      <c r="HJ249" s="1605" t="s">
        <v>1579</v>
      </c>
      <c r="HK249" s="1605" t="s">
        <v>986</v>
      </c>
      <c r="HL249" s="1605" t="s">
        <v>986</v>
      </c>
      <c r="HM249" s="1605" t="s">
        <v>1591</v>
      </c>
      <c r="HN249" s="1605" t="s">
        <v>1591</v>
      </c>
      <c r="HO249" s="1605" t="s">
        <v>1591</v>
      </c>
      <c r="HP249" s="1605" t="s">
        <v>1591</v>
      </c>
      <c r="HQ249" s="1605" t="s">
        <v>1591</v>
      </c>
      <c r="HR249" s="1605" t="s">
        <v>1591</v>
      </c>
      <c r="HS249" s="1605" t="s">
        <v>1591</v>
      </c>
      <c r="HT249" s="1605" t="s">
        <v>986</v>
      </c>
      <c r="HU249" s="1605" t="s">
        <v>986</v>
      </c>
      <c r="HV249" s="1617"/>
      <c r="HW249" s="1617" t="s">
        <v>3120</v>
      </c>
      <c r="HX249" s="1617" t="s">
        <v>3119</v>
      </c>
      <c r="HY249" s="1617" t="s">
        <v>3118</v>
      </c>
      <c r="HZ249" s="1603"/>
      <c r="IA249" s="1603"/>
      <c r="IB249" s="1603"/>
      <c r="IC249" s="1603">
        <v>42.471544715447102</v>
      </c>
      <c r="ID249" s="1603">
        <v>43.983739837398403</v>
      </c>
      <c r="IE249" s="1603">
        <v>45.243902439024403</v>
      </c>
      <c r="IF249" s="1603">
        <v>46</v>
      </c>
      <c r="IG249" s="1611" t="s">
        <v>3117</v>
      </c>
      <c r="IH249" s="1616" t="s">
        <v>3124</v>
      </c>
      <c r="II249" s="1615" t="s">
        <v>3123</v>
      </c>
      <c r="IJ249" s="1613">
        <v>1.2260227272727273</v>
      </c>
      <c r="IK249" s="1613">
        <v>1.0265909090909091</v>
      </c>
      <c r="IL249" s="1614">
        <v>1.2260227272727273</v>
      </c>
      <c r="IM249" s="1614">
        <v>1.0265909090909091</v>
      </c>
      <c r="IN249" s="1612">
        <v>1.3</v>
      </c>
      <c r="IO249" s="1613">
        <v>7.3977272727272725E-2</v>
      </c>
      <c r="IP249" s="1607" t="s">
        <v>270</v>
      </c>
      <c r="IQ249" s="1612">
        <v>5.0999999999999996</v>
      </c>
      <c r="IR249" s="1612">
        <v>9.4E-2</v>
      </c>
      <c r="IS249" s="1607">
        <v>1.0730227272727273</v>
      </c>
      <c r="IT249" s="1607">
        <v>0.8735909090909092</v>
      </c>
      <c r="IU249" s="1611">
        <v>1.1363636363636365E-5</v>
      </c>
      <c r="IV249" s="1611">
        <v>1.1613636363636364E-2</v>
      </c>
      <c r="IW249" s="1611">
        <v>1.784090909090909E-3</v>
      </c>
      <c r="IX249" s="1611">
        <v>1.4886363636363636E-3</v>
      </c>
      <c r="IY249" s="1611">
        <v>1.8636363636363638E-3</v>
      </c>
      <c r="IZ249" s="1611">
        <v>7.2500000000000004E-3</v>
      </c>
      <c r="JA249" s="1611">
        <v>3.5227272727272728E-4</v>
      </c>
      <c r="JB249" s="1611" t="s">
        <v>270</v>
      </c>
      <c r="JC249" s="1611">
        <v>2.0391363636363637</v>
      </c>
      <c r="JD249" s="1611">
        <v>0.40423863636363638</v>
      </c>
      <c r="JE249" s="1611" t="s">
        <v>270</v>
      </c>
      <c r="JF249" s="1611">
        <v>9.5454545454545445E-4</v>
      </c>
      <c r="JG249" s="1611">
        <v>1.290227272727273</v>
      </c>
      <c r="JH249" s="1611">
        <v>1.3636363636363635E-3</v>
      </c>
      <c r="JI249" s="1611">
        <v>0.15559090909090909</v>
      </c>
      <c r="JJ249" s="1611" t="s">
        <v>270</v>
      </c>
      <c r="JK249" s="1607">
        <f t="shared" si="12"/>
        <v>0.15300000000000002</v>
      </c>
      <c r="JL249" s="1608" t="s">
        <v>270</v>
      </c>
      <c r="JM249" s="1610" t="s">
        <v>2924</v>
      </c>
      <c r="JN249" s="1608">
        <v>0.1994318181818181</v>
      </c>
      <c r="JO249" s="1609" t="s">
        <v>3114</v>
      </c>
      <c r="JP249" s="1608" t="s">
        <v>270</v>
      </c>
      <c r="JQ249" s="1607">
        <v>202103</v>
      </c>
      <c r="JR249" s="1606">
        <v>817</v>
      </c>
      <c r="JS249" s="1606">
        <v>741</v>
      </c>
      <c r="JT249" s="1606">
        <v>741</v>
      </c>
    </row>
    <row r="250" spans="1:280" ht="15" customHeight="1" x14ac:dyDescent="0.2">
      <c r="A250" s="1626">
        <v>62000</v>
      </c>
      <c r="B250" s="1625">
        <v>620</v>
      </c>
      <c r="C250" s="1624">
        <v>0</v>
      </c>
      <c r="D250" s="1623" t="s">
        <v>3126</v>
      </c>
      <c r="E250" s="1622">
        <v>43025</v>
      </c>
      <c r="F250" s="1620">
        <v>0.71467782152535797</v>
      </c>
      <c r="G250" s="1620">
        <v>0.77143640402968505</v>
      </c>
      <c r="H250" s="1621">
        <v>77.7</v>
      </c>
      <c r="I250" s="1621">
        <v>61.7</v>
      </c>
      <c r="J250" s="1621">
        <v>93</v>
      </c>
      <c r="K250" s="1620">
        <v>1</v>
      </c>
      <c r="L250" s="1620">
        <v>89</v>
      </c>
      <c r="M250" s="1620">
        <v>37.113</v>
      </c>
      <c r="N250" s="1620">
        <v>2.67</v>
      </c>
      <c r="O250" s="1620">
        <v>7.6539999999999999</v>
      </c>
      <c r="P250" s="1620">
        <v>14.24</v>
      </c>
      <c r="Q250" s="1603"/>
      <c r="R250" s="1620">
        <v>84</v>
      </c>
      <c r="S250" s="1620">
        <v>15</v>
      </c>
      <c r="T250" s="1620">
        <v>27.601626016260202</v>
      </c>
      <c r="U250" s="1620">
        <v>32.642276422764198</v>
      </c>
      <c r="V250" s="1620">
        <v>37.178861788617901</v>
      </c>
      <c r="W250" s="1620">
        <v>40.203252032520297</v>
      </c>
      <c r="X250" s="1620"/>
      <c r="Y250" s="1620">
        <v>4.0999999999999996</v>
      </c>
      <c r="Z250" s="1620">
        <v>12.600000000000001</v>
      </c>
      <c r="AA250" s="1620">
        <v>0.2</v>
      </c>
      <c r="AB250" s="1620">
        <v>0</v>
      </c>
      <c r="AC250" s="1620">
        <v>17</v>
      </c>
      <c r="AD250" s="1620">
        <v>6.6999999999999993</v>
      </c>
      <c r="AE250" s="1620">
        <v>4.8000000000000007</v>
      </c>
      <c r="AF250" s="1620">
        <v>170.00000000000003</v>
      </c>
      <c r="AG250" s="1620">
        <v>36</v>
      </c>
      <c r="AH250" s="1620">
        <v>47</v>
      </c>
      <c r="AI250" s="1620">
        <v>110</v>
      </c>
      <c r="AJ250" s="1620">
        <v>0</v>
      </c>
      <c r="AK250" s="1620">
        <v>0.15000000000000002</v>
      </c>
      <c r="AL250" s="1620"/>
      <c r="AM250" s="1620">
        <v>3.5</v>
      </c>
      <c r="AN250" s="1620">
        <v>2.2000000000000002</v>
      </c>
      <c r="AO250" s="1620">
        <v>1.8</v>
      </c>
      <c r="AP250" s="1620">
        <v>3.7</v>
      </c>
      <c r="AQ250" s="1620">
        <v>1.1599999999999999</v>
      </c>
      <c r="AR250" s="1620">
        <v>4.0999999999999996</v>
      </c>
      <c r="AS250" s="1620">
        <v>6.3</v>
      </c>
      <c r="AT250" s="1620">
        <v>2.4</v>
      </c>
      <c r="AU250" s="1620">
        <v>4.5</v>
      </c>
      <c r="AV250" s="1620">
        <v>2.5</v>
      </c>
      <c r="AW250" s="1620">
        <v>5</v>
      </c>
      <c r="AX250" s="1620"/>
      <c r="AY250" s="1620">
        <v>0.96</v>
      </c>
      <c r="AZ250" s="1620">
        <v>1.06</v>
      </c>
      <c r="BA250" s="1620">
        <v>1.01</v>
      </c>
      <c r="BB250" s="1620">
        <v>0.98</v>
      </c>
      <c r="BC250" s="1620">
        <v>1.01</v>
      </c>
      <c r="BD250" s="1620">
        <v>0.99</v>
      </c>
      <c r="BE250" s="1620">
        <v>0.99</v>
      </c>
      <c r="BF250" s="1620">
        <v>1.01</v>
      </c>
      <c r="BG250" s="1620">
        <v>1.01</v>
      </c>
      <c r="BH250" s="1620">
        <v>0.99</v>
      </c>
      <c r="BI250" s="1620">
        <v>0.98</v>
      </c>
      <c r="BJ250" s="1603"/>
      <c r="BK250" s="1620">
        <v>41.7</v>
      </c>
      <c r="BL250" s="1620">
        <v>3</v>
      </c>
      <c r="BM250" s="1620">
        <v>8.6</v>
      </c>
      <c r="BN250" s="1620">
        <v>16</v>
      </c>
      <c r="BO250" s="1620"/>
      <c r="BP250" s="1620">
        <v>130</v>
      </c>
      <c r="BQ250" s="1620">
        <v>39</v>
      </c>
      <c r="BR250" s="1620">
        <v>0.80300878823073918</v>
      </c>
      <c r="BS250" s="1620">
        <v>0.86678247643784834</v>
      </c>
      <c r="BT250" s="1603"/>
      <c r="BU250" s="1620">
        <v>914</v>
      </c>
      <c r="BV250" s="1620">
        <v>92.693714285714151</v>
      </c>
      <c r="BW250" s="1620">
        <v>208.91428571428651</v>
      </c>
      <c r="BX250" s="1620" t="s">
        <v>270</v>
      </c>
      <c r="BY250" s="1620" t="s">
        <v>270</v>
      </c>
      <c r="BZ250" s="1620">
        <v>53.570479999999996</v>
      </c>
      <c r="CA250" s="1620">
        <v>329.0758057142865</v>
      </c>
      <c r="CB250" s="1603"/>
      <c r="CC250" s="1603">
        <v>3.6489999999999996</v>
      </c>
      <c r="CD250" s="1603">
        <v>11.214000000000002</v>
      </c>
      <c r="CE250" s="1603">
        <v>0.17800000000000002</v>
      </c>
      <c r="CF250" s="1603">
        <v>0</v>
      </c>
      <c r="CG250" s="1603">
        <v>15.13</v>
      </c>
      <c r="CH250" s="1603">
        <v>5.9629999999999992</v>
      </c>
      <c r="CI250" s="1603">
        <v>4.2720000000000011</v>
      </c>
      <c r="CJ250" s="1603"/>
      <c r="CK250" s="1603">
        <v>151.30000000000004</v>
      </c>
      <c r="CL250" s="1603">
        <v>32.04</v>
      </c>
      <c r="CM250" s="1603">
        <v>41.83</v>
      </c>
      <c r="CN250" s="1603">
        <v>97.9</v>
      </c>
      <c r="CO250" s="1603">
        <v>0</v>
      </c>
      <c r="CP250" s="1603">
        <v>0.13350000000000004</v>
      </c>
      <c r="CQ250" s="1603">
        <v>311.74919999999997</v>
      </c>
      <c r="CR250" s="1603">
        <v>436.20942277825895</v>
      </c>
      <c r="CS250" s="1603">
        <v>14.656636605349503</v>
      </c>
      <c r="CT250" s="1603">
        <v>10.172403739189001</v>
      </c>
      <c r="CU250" s="1603">
        <v>7.930287306108748</v>
      </c>
      <c r="CV250" s="1603">
        <v>18.10269104529775</v>
      </c>
      <c r="CW250" s="1603">
        <v>15.81695366993967</v>
      </c>
      <c r="CX250" s="1603">
        <v>5.1106295972700826</v>
      </c>
      <c r="CY250" s="1603">
        <v>17.705740470569534</v>
      </c>
      <c r="CZ250" s="1603">
        <v>27.206381698680012</v>
      </c>
      <c r="DA250" s="1603">
        <v>10.573716408144998</v>
      </c>
      <c r="DB250" s="1603">
        <v>19.82571826527187</v>
      </c>
      <c r="DC250" s="1603">
        <v>10.79618321376191</v>
      </c>
      <c r="DD250" s="1603">
        <v>30.621901479033781</v>
      </c>
      <c r="DE250" s="1603">
        <v>21.37426171613469</v>
      </c>
      <c r="DF250" s="1603">
        <v>0</v>
      </c>
      <c r="DG250" s="1603">
        <v>0</v>
      </c>
      <c r="DH250" s="1603">
        <v>0</v>
      </c>
      <c r="DI250" s="1603">
        <v>0</v>
      </c>
      <c r="DJ250" s="1603">
        <v>0</v>
      </c>
      <c r="DK250" s="1603">
        <v>0</v>
      </c>
      <c r="DL250" s="1603">
        <v>0</v>
      </c>
      <c r="DM250" s="1603">
        <v>0</v>
      </c>
      <c r="DN250" s="1603">
        <v>0</v>
      </c>
      <c r="DO250" s="1603">
        <v>0</v>
      </c>
      <c r="DP250" s="1603">
        <v>0</v>
      </c>
      <c r="DQ250" s="1603">
        <v>0</v>
      </c>
      <c r="DR250" s="1603">
        <v>0</v>
      </c>
      <c r="DS250" s="1603">
        <v>0</v>
      </c>
      <c r="DT250" s="1603">
        <v>0</v>
      </c>
      <c r="DU250" s="1603">
        <v>0</v>
      </c>
      <c r="DV250" s="1603">
        <v>0</v>
      </c>
      <c r="DW250" s="1618" t="s">
        <v>3121</v>
      </c>
      <c r="DX250" s="1605" t="s">
        <v>986</v>
      </c>
      <c r="DY250" s="1605" t="s">
        <v>986</v>
      </c>
      <c r="DZ250" s="1605" t="s">
        <v>986</v>
      </c>
      <c r="EA250" s="1605" t="s">
        <v>986</v>
      </c>
      <c r="EB250" s="1605" t="s">
        <v>986</v>
      </c>
      <c r="EC250" s="1605" t="s">
        <v>986</v>
      </c>
      <c r="ED250" s="1605" t="s">
        <v>986</v>
      </c>
      <c r="EE250" s="1605" t="s">
        <v>986</v>
      </c>
      <c r="EF250" s="1605" t="s">
        <v>986</v>
      </c>
      <c r="EG250" s="1605" t="s">
        <v>986</v>
      </c>
      <c r="EH250" s="1605" t="s">
        <v>986</v>
      </c>
      <c r="EI250" s="1605" t="s">
        <v>986</v>
      </c>
      <c r="EJ250" s="1605" t="s">
        <v>986</v>
      </c>
      <c r="EK250" s="1605" t="s">
        <v>986</v>
      </c>
      <c r="EL250" s="1605" t="s">
        <v>986</v>
      </c>
      <c r="EM250" s="1605" t="s">
        <v>986</v>
      </c>
      <c r="EN250" s="1605" t="s">
        <v>986</v>
      </c>
      <c r="EO250" s="1605" t="s">
        <v>986</v>
      </c>
      <c r="EP250" s="1605" t="s">
        <v>986</v>
      </c>
      <c r="EQ250" s="1605" t="s">
        <v>986</v>
      </c>
      <c r="ER250" s="1605" t="s">
        <v>986</v>
      </c>
      <c r="ES250" s="1605" t="s">
        <v>986</v>
      </c>
      <c r="ET250" s="1605" t="s">
        <v>986</v>
      </c>
      <c r="EU250" s="1605" t="s">
        <v>986</v>
      </c>
      <c r="EV250" s="1605" t="s">
        <v>986</v>
      </c>
      <c r="EW250" s="1605" t="s">
        <v>986</v>
      </c>
      <c r="EX250" s="1605" t="s">
        <v>986</v>
      </c>
      <c r="EY250" s="1605" t="s">
        <v>986</v>
      </c>
      <c r="EZ250" s="1605" t="s">
        <v>986</v>
      </c>
      <c r="FA250" s="1605" t="s">
        <v>986</v>
      </c>
      <c r="FB250" s="1605" t="s">
        <v>986</v>
      </c>
      <c r="FC250" s="1605" t="s">
        <v>986</v>
      </c>
      <c r="FD250" s="1605" t="s">
        <v>986</v>
      </c>
      <c r="FE250" s="1605" t="s">
        <v>986</v>
      </c>
      <c r="FF250" s="1605" t="s">
        <v>986</v>
      </c>
      <c r="FG250" s="1605" t="s">
        <v>986</v>
      </c>
      <c r="FH250" s="1605" t="s">
        <v>986</v>
      </c>
      <c r="FI250" s="1605" t="s">
        <v>986</v>
      </c>
      <c r="FJ250" s="1605" t="s">
        <v>986</v>
      </c>
      <c r="FK250" s="1605" t="s">
        <v>986</v>
      </c>
      <c r="FL250" s="1605" t="s">
        <v>986</v>
      </c>
      <c r="FM250" s="1605" t="s">
        <v>986</v>
      </c>
      <c r="FN250" s="1605" t="s">
        <v>986</v>
      </c>
      <c r="FO250" s="1605" t="s">
        <v>986</v>
      </c>
      <c r="FP250" s="1605" t="s">
        <v>986</v>
      </c>
      <c r="FQ250" s="1605" t="s">
        <v>986</v>
      </c>
      <c r="FR250" s="1605" t="s">
        <v>986</v>
      </c>
      <c r="FS250" s="1605" t="s">
        <v>986</v>
      </c>
      <c r="FT250" s="1605" t="s">
        <v>986</v>
      </c>
      <c r="FU250" s="1605" t="s">
        <v>986</v>
      </c>
      <c r="FV250" s="1605" t="s">
        <v>986</v>
      </c>
      <c r="FW250" s="1605" t="s">
        <v>986</v>
      </c>
      <c r="FX250" s="1605" t="s">
        <v>986</v>
      </c>
      <c r="FY250" s="1605" t="s">
        <v>986</v>
      </c>
      <c r="FZ250" s="1605" t="s">
        <v>986</v>
      </c>
      <c r="GA250" s="1605" t="s">
        <v>986</v>
      </c>
      <c r="GB250" s="1605" t="s">
        <v>986</v>
      </c>
      <c r="GC250" s="1605" t="s">
        <v>986</v>
      </c>
      <c r="GD250" s="1605" t="s">
        <v>986</v>
      </c>
      <c r="GE250" s="1605" t="s">
        <v>986</v>
      </c>
      <c r="GF250" s="1605" t="s">
        <v>986</v>
      </c>
      <c r="GG250" s="1605" t="s">
        <v>986</v>
      </c>
      <c r="GH250" s="1605" t="s">
        <v>986</v>
      </c>
      <c r="GI250" s="1605" t="s">
        <v>986</v>
      </c>
      <c r="GJ250" s="1605" t="s">
        <v>986</v>
      </c>
      <c r="GK250" s="1605" t="s">
        <v>986</v>
      </c>
      <c r="GL250" s="1605" t="s">
        <v>986</v>
      </c>
      <c r="GM250" s="1605" t="s">
        <v>986</v>
      </c>
      <c r="GN250" s="1605" t="s">
        <v>986</v>
      </c>
      <c r="GO250" s="1605" t="s">
        <v>986</v>
      </c>
      <c r="GP250" s="1605" t="s">
        <v>986</v>
      </c>
      <c r="GQ250" s="1605" t="s">
        <v>986</v>
      </c>
      <c r="GR250" s="1605" t="s">
        <v>986</v>
      </c>
      <c r="GS250" s="1605" t="s">
        <v>986</v>
      </c>
      <c r="GT250" s="1605" t="s">
        <v>986</v>
      </c>
      <c r="GU250" s="1605" t="s">
        <v>986</v>
      </c>
      <c r="GV250" s="1605" t="s">
        <v>986</v>
      </c>
      <c r="GW250" s="1605" t="s">
        <v>986</v>
      </c>
      <c r="GX250" s="1605" t="s">
        <v>986</v>
      </c>
      <c r="GY250" s="1605" t="s">
        <v>986</v>
      </c>
      <c r="GZ250" s="1605" t="s">
        <v>986</v>
      </c>
      <c r="HA250" s="1605" t="s">
        <v>986</v>
      </c>
      <c r="HB250" s="1605" t="s">
        <v>986</v>
      </c>
      <c r="HC250" s="1605" t="s">
        <v>986</v>
      </c>
      <c r="HD250" s="1605" t="s">
        <v>986</v>
      </c>
      <c r="HE250" s="1605" t="s">
        <v>986</v>
      </c>
      <c r="HF250" s="1605" t="s">
        <v>986</v>
      </c>
      <c r="HG250" s="1605" t="s">
        <v>986</v>
      </c>
      <c r="HH250" s="1605" t="s">
        <v>986</v>
      </c>
      <c r="HI250" s="1605" t="s">
        <v>986</v>
      </c>
      <c r="HJ250" s="1605" t="s">
        <v>986</v>
      </c>
      <c r="HK250" s="1605" t="s">
        <v>986</v>
      </c>
      <c r="HL250" s="1605" t="s">
        <v>986</v>
      </c>
      <c r="HM250" s="1605" t="s">
        <v>986</v>
      </c>
      <c r="HN250" s="1605" t="s">
        <v>986</v>
      </c>
      <c r="HO250" s="1605" t="s">
        <v>986</v>
      </c>
      <c r="HP250" s="1605" t="s">
        <v>986</v>
      </c>
      <c r="HQ250" s="1605" t="s">
        <v>986</v>
      </c>
      <c r="HR250" s="1605" t="s">
        <v>986</v>
      </c>
      <c r="HS250" s="1605" t="s">
        <v>986</v>
      </c>
      <c r="HT250" s="1605" t="s">
        <v>986</v>
      </c>
      <c r="HU250" s="1605" t="s">
        <v>986</v>
      </c>
      <c r="HV250" s="1617"/>
      <c r="HW250" s="1617" t="s">
        <v>3125</v>
      </c>
      <c r="HX250" s="1617" t="s">
        <v>3119</v>
      </c>
      <c r="HY250" s="1617" t="s">
        <v>3118</v>
      </c>
      <c r="HZ250" s="1603"/>
      <c r="IA250" s="1603"/>
      <c r="IB250" s="1603"/>
      <c r="IC250" s="1603">
        <v>42.471544715447102</v>
      </c>
      <c r="ID250" s="1603">
        <v>43.983739837398403</v>
      </c>
      <c r="IE250" s="1603">
        <v>45.243902439024403</v>
      </c>
      <c r="IF250" s="1603">
        <v>46</v>
      </c>
      <c r="IG250" s="1611" t="s">
        <v>3117</v>
      </c>
      <c r="IH250" s="1616" t="s">
        <v>3124</v>
      </c>
      <c r="II250" s="1615" t="s">
        <v>3123</v>
      </c>
      <c r="IJ250" s="1613">
        <v>1.2260227272727273</v>
      </c>
      <c r="IK250" s="1613">
        <v>1.0265909090909091</v>
      </c>
      <c r="IL250" s="1614">
        <v>1.2260227272727273</v>
      </c>
      <c r="IM250" s="1614">
        <v>1.0265909090909091</v>
      </c>
      <c r="IN250" s="1612">
        <v>1.3</v>
      </c>
      <c r="IO250" s="1613">
        <v>7.3977272727272725E-2</v>
      </c>
      <c r="IP250" s="1607" t="s">
        <v>270</v>
      </c>
      <c r="IQ250" s="1612">
        <v>5.0999999999999996</v>
      </c>
      <c r="IR250" s="1612">
        <v>9.4E-2</v>
      </c>
      <c r="IS250" s="1607">
        <v>1.0730227272727273</v>
      </c>
      <c r="IT250" s="1607">
        <v>0.8735909090909092</v>
      </c>
      <c r="IU250" s="1611">
        <v>1.1363636363636365E-5</v>
      </c>
      <c r="IV250" s="1611">
        <v>1.1613636363636364E-2</v>
      </c>
      <c r="IW250" s="1611">
        <v>1.784090909090909E-3</v>
      </c>
      <c r="IX250" s="1611">
        <v>1.4886363636363636E-3</v>
      </c>
      <c r="IY250" s="1611">
        <v>1.8636363636363638E-3</v>
      </c>
      <c r="IZ250" s="1611">
        <v>7.2500000000000004E-3</v>
      </c>
      <c r="JA250" s="1611">
        <v>3.5227272727272728E-4</v>
      </c>
      <c r="JB250" s="1611" t="s">
        <v>270</v>
      </c>
      <c r="JC250" s="1611">
        <v>2.0391363636363637</v>
      </c>
      <c r="JD250" s="1611">
        <v>0.40423863636363638</v>
      </c>
      <c r="JE250" s="1611" t="s">
        <v>270</v>
      </c>
      <c r="JF250" s="1611">
        <v>9.5454545454545445E-4</v>
      </c>
      <c r="JG250" s="1611">
        <v>1.290227272727273</v>
      </c>
      <c r="JH250" s="1611">
        <v>1.3636363636363635E-3</v>
      </c>
      <c r="JI250" s="1611">
        <v>0.15559090909090909</v>
      </c>
      <c r="JJ250" s="1611" t="s">
        <v>270</v>
      </c>
      <c r="JK250" s="1607">
        <f t="shared" si="12"/>
        <v>0.15300000000000002</v>
      </c>
      <c r="JL250" s="1608" t="s">
        <v>270</v>
      </c>
      <c r="JM250" s="1610" t="s">
        <v>2924</v>
      </c>
      <c r="JN250" s="1608">
        <v>0.1994318181818181</v>
      </c>
      <c r="JO250" s="1609" t="s">
        <v>3114</v>
      </c>
      <c r="JP250" s="1608" t="s">
        <v>270</v>
      </c>
      <c r="JQ250" s="1607">
        <v>202103</v>
      </c>
      <c r="JR250" s="1606">
        <v>817</v>
      </c>
      <c r="JS250" s="1606">
        <v>741</v>
      </c>
      <c r="JT250" s="1606">
        <v>741</v>
      </c>
    </row>
    <row r="251" spans="1:280" ht="15" customHeight="1" x14ac:dyDescent="0.2">
      <c r="A251" s="1626">
        <v>62100</v>
      </c>
      <c r="B251" s="1625">
        <v>621</v>
      </c>
      <c r="C251" s="1624">
        <v>0</v>
      </c>
      <c r="D251" s="1623" t="s">
        <v>3122</v>
      </c>
      <c r="E251" s="1622">
        <v>43025</v>
      </c>
      <c r="F251" s="1620">
        <v>0.54299351045296196</v>
      </c>
      <c r="G251" s="1620">
        <v>0.63143809046382204</v>
      </c>
      <c r="H251" s="1621">
        <v>65.5</v>
      </c>
      <c r="I251" s="1621">
        <v>49</v>
      </c>
      <c r="J251" s="1621">
        <v>91</v>
      </c>
      <c r="K251" s="1620">
        <v>1</v>
      </c>
      <c r="L251" s="1620">
        <v>90</v>
      </c>
      <c r="M251" s="1620">
        <v>31.68</v>
      </c>
      <c r="N251" s="1620">
        <v>2.9159999999999999</v>
      </c>
      <c r="O251" s="1620">
        <v>7.0380000000000003</v>
      </c>
      <c r="P251" s="1620">
        <v>21.96</v>
      </c>
      <c r="Q251" s="1603"/>
      <c r="R251" s="1620">
        <v>84</v>
      </c>
      <c r="S251" s="1620">
        <v>15</v>
      </c>
      <c r="T251" s="1620">
        <v>27.601626016260202</v>
      </c>
      <c r="U251" s="1620">
        <v>32.642276422764198</v>
      </c>
      <c r="V251" s="1620">
        <v>37.178861788617901</v>
      </c>
      <c r="W251" s="1620">
        <v>40.203252032520297</v>
      </c>
      <c r="X251" s="1620"/>
      <c r="Y251" s="1620">
        <v>4.0999999999999996</v>
      </c>
      <c r="Z251" s="1620">
        <v>12.6</v>
      </c>
      <c r="AA251" s="1620">
        <v>0.2</v>
      </c>
      <c r="AB251" s="1620">
        <v>0</v>
      </c>
      <c r="AC251" s="1620">
        <v>17</v>
      </c>
      <c r="AD251" s="1620">
        <v>6.7</v>
      </c>
      <c r="AE251" s="1620">
        <v>4.8</v>
      </c>
      <c r="AF251" s="1620">
        <v>170</v>
      </c>
      <c r="AG251" s="1620">
        <v>36</v>
      </c>
      <c r="AH251" s="1620">
        <v>47</v>
      </c>
      <c r="AI251" s="1620">
        <v>110</v>
      </c>
      <c r="AJ251" s="1620">
        <v>0</v>
      </c>
      <c r="AK251" s="1620">
        <v>0.15</v>
      </c>
      <c r="AL251" s="1620"/>
      <c r="AM251" s="1620">
        <v>3.5</v>
      </c>
      <c r="AN251" s="1620">
        <v>2.2000000000000002</v>
      </c>
      <c r="AO251" s="1620">
        <v>1.8</v>
      </c>
      <c r="AP251" s="1620">
        <v>3.7</v>
      </c>
      <c r="AQ251" s="1620">
        <v>1.1599999999999999</v>
      </c>
      <c r="AR251" s="1620">
        <v>4.0999999999999996</v>
      </c>
      <c r="AS251" s="1620">
        <v>6.3</v>
      </c>
      <c r="AT251" s="1620">
        <v>2.4</v>
      </c>
      <c r="AU251" s="1620">
        <v>4.5</v>
      </c>
      <c r="AV251" s="1620">
        <v>2.5</v>
      </c>
      <c r="AW251" s="1620">
        <v>5</v>
      </c>
      <c r="AX251" s="1620"/>
      <c r="AY251" s="1620">
        <v>0.96</v>
      </c>
      <c r="AZ251" s="1620">
        <v>1.06</v>
      </c>
      <c r="BA251" s="1620">
        <v>1.01</v>
      </c>
      <c r="BB251" s="1620">
        <v>0.98</v>
      </c>
      <c r="BC251" s="1620">
        <v>1.01</v>
      </c>
      <c r="BD251" s="1620">
        <v>0.99</v>
      </c>
      <c r="BE251" s="1620">
        <v>0.99</v>
      </c>
      <c r="BF251" s="1620">
        <v>1.01</v>
      </c>
      <c r="BG251" s="1620">
        <v>1.01</v>
      </c>
      <c r="BH251" s="1620">
        <v>0.99</v>
      </c>
      <c r="BI251" s="1620">
        <v>0.98</v>
      </c>
      <c r="BJ251" s="1603"/>
      <c r="BK251" s="1620">
        <v>35.200000000000003</v>
      </c>
      <c r="BL251" s="1620">
        <v>3.2399999999999998</v>
      </c>
      <c r="BM251" s="1620">
        <v>7.8200000000000012</v>
      </c>
      <c r="BN251" s="1620">
        <v>24.4</v>
      </c>
      <c r="BO251" s="1620"/>
      <c r="BP251" s="1620">
        <v>130</v>
      </c>
      <c r="BQ251" s="1620">
        <v>42.120000000000005</v>
      </c>
      <c r="BR251" s="1620">
        <v>0.60332612272551334</v>
      </c>
      <c r="BS251" s="1620">
        <v>0.70159787829313558</v>
      </c>
      <c r="BT251" s="1603"/>
      <c r="BU251" s="1620">
        <v>921.8</v>
      </c>
      <c r="BV251" s="1620">
        <v>34.749571428571443</v>
      </c>
      <c r="BW251" s="1620">
        <v>217.28142857142888</v>
      </c>
      <c r="BX251" s="1620" t="s">
        <v>270</v>
      </c>
      <c r="BY251" s="1620" t="s">
        <v>270</v>
      </c>
      <c r="BZ251" s="1620">
        <v>70.371060000000099</v>
      </c>
      <c r="CA251" s="1620">
        <v>432.2793685714289</v>
      </c>
      <c r="CB251" s="1603"/>
      <c r="CC251" s="1603">
        <v>3.69</v>
      </c>
      <c r="CD251" s="1603">
        <v>11.34</v>
      </c>
      <c r="CE251" s="1603">
        <v>0.18000000000000002</v>
      </c>
      <c r="CF251" s="1603">
        <v>0</v>
      </c>
      <c r="CG251" s="1603">
        <v>15.3</v>
      </c>
      <c r="CH251" s="1603">
        <v>6.03</v>
      </c>
      <c r="CI251" s="1603">
        <v>4.32</v>
      </c>
      <c r="CJ251" s="1603"/>
      <c r="CK251" s="1603">
        <v>153</v>
      </c>
      <c r="CL251" s="1603">
        <v>32.4</v>
      </c>
      <c r="CM251" s="1603">
        <v>42.300000000000004</v>
      </c>
      <c r="CN251" s="1603">
        <v>99</v>
      </c>
      <c r="CO251" s="1603">
        <v>0</v>
      </c>
      <c r="CP251" s="1603">
        <v>0.13500000000000001</v>
      </c>
      <c r="CQ251" s="1603">
        <v>266.11200000000002</v>
      </c>
      <c r="CR251" s="1603">
        <v>490.08320518971021</v>
      </c>
      <c r="CS251" s="1603">
        <v>16.466795694374262</v>
      </c>
      <c r="CT251" s="1603">
        <v>11.428740345024043</v>
      </c>
      <c r="CU251" s="1603">
        <v>8.9097126703489309</v>
      </c>
      <c r="CV251" s="1603">
        <v>20.33845301537297</v>
      </c>
      <c r="CW251" s="1603">
        <v>17.77041702017889</v>
      </c>
      <c r="CX251" s="1603">
        <v>5.7418148320026452</v>
      </c>
      <c r="CY251" s="1603">
        <v>19.892477298650338</v>
      </c>
      <c r="CZ251" s="1603">
        <v>30.566489507682224</v>
      </c>
      <c r="DA251" s="1603">
        <v>11.879616893798575</v>
      </c>
      <c r="DB251" s="1603">
        <v>22.274281675872331</v>
      </c>
      <c r="DC251" s="1603">
        <v>12.129559328445328</v>
      </c>
      <c r="DD251" s="1603">
        <v>34.403841004317655</v>
      </c>
      <c r="DE251" s="1603">
        <v>24.0140770542958</v>
      </c>
      <c r="DF251" s="1603">
        <v>0</v>
      </c>
      <c r="DG251" s="1603">
        <v>0</v>
      </c>
      <c r="DH251" s="1603">
        <v>0</v>
      </c>
      <c r="DI251" s="1603">
        <v>0</v>
      </c>
      <c r="DJ251" s="1603">
        <v>0</v>
      </c>
      <c r="DK251" s="1603">
        <v>0</v>
      </c>
      <c r="DL251" s="1603">
        <v>0</v>
      </c>
      <c r="DM251" s="1603">
        <v>0</v>
      </c>
      <c r="DN251" s="1603">
        <v>0</v>
      </c>
      <c r="DO251" s="1603">
        <v>0</v>
      </c>
      <c r="DP251" s="1603">
        <v>0</v>
      </c>
      <c r="DQ251" s="1603">
        <v>0</v>
      </c>
      <c r="DR251" s="1603">
        <v>0</v>
      </c>
      <c r="DS251" s="1603">
        <v>0</v>
      </c>
      <c r="DT251" s="1603">
        <v>0</v>
      </c>
      <c r="DU251" s="1603">
        <v>0</v>
      </c>
      <c r="DV251" s="1603">
        <v>0</v>
      </c>
      <c r="DW251" s="1618" t="s">
        <v>3121</v>
      </c>
      <c r="DX251" s="1605" t="s">
        <v>986</v>
      </c>
      <c r="DY251" s="1605" t="s">
        <v>986</v>
      </c>
      <c r="DZ251" s="1605" t="s">
        <v>986</v>
      </c>
      <c r="EA251" s="1605" t="s">
        <v>986</v>
      </c>
      <c r="EB251" s="1605" t="s">
        <v>986</v>
      </c>
      <c r="EC251" s="1605" t="s">
        <v>986</v>
      </c>
      <c r="ED251" s="1605" t="s">
        <v>986</v>
      </c>
      <c r="EE251" s="1605" t="s">
        <v>986</v>
      </c>
      <c r="EF251" s="1605" t="s">
        <v>986</v>
      </c>
      <c r="EG251" s="1605" t="s">
        <v>986</v>
      </c>
      <c r="EH251" s="1605" t="s">
        <v>986</v>
      </c>
      <c r="EI251" s="1605" t="s">
        <v>986</v>
      </c>
      <c r="EJ251" s="1605" t="s">
        <v>986</v>
      </c>
      <c r="EK251" s="1605" t="s">
        <v>986</v>
      </c>
      <c r="EL251" s="1605" t="s">
        <v>986</v>
      </c>
      <c r="EM251" s="1605" t="s">
        <v>986</v>
      </c>
      <c r="EN251" s="1605" t="s">
        <v>986</v>
      </c>
      <c r="EO251" s="1605" t="s">
        <v>986</v>
      </c>
      <c r="EP251" s="1605" t="s">
        <v>986</v>
      </c>
      <c r="EQ251" s="1605" t="s">
        <v>986</v>
      </c>
      <c r="ER251" s="1605" t="s">
        <v>986</v>
      </c>
      <c r="ES251" s="1605" t="s">
        <v>986</v>
      </c>
      <c r="ET251" s="1605" t="s">
        <v>986</v>
      </c>
      <c r="EU251" s="1605" t="s">
        <v>986</v>
      </c>
      <c r="EV251" s="1605" t="s">
        <v>986</v>
      </c>
      <c r="EW251" s="1605" t="s">
        <v>986</v>
      </c>
      <c r="EX251" s="1605" t="s">
        <v>986</v>
      </c>
      <c r="EY251" s="1605" t="s">
        <v>986</v>
      </c>
      <c r="EZ251" s="1605" t="s">
        <v>986</v>
      </c>
      <c r="FA251" s="1605" t="s">
        <v>986</v>
      </c>
      <c r="FB251" s="1605" t="s">
        <v>986</v>
      </c>
      <c r="FC251" s="1605" t="s">
        <v>986</v>
      </c>
      <c r="FD251" s="1605" t="s">
        <v>986</v>
      </c>
      <c r="FE251" s="1605" t="s">
        <v>986</v>
      </c>
      <c r="FF251" s="1605" t="s">
        <v>986</v>
      </c>
      <c r="FG251" s="1605" t="s">
        <v>986</v>
      </c>
      <c r="FH251" s="1605" t="s">
        <v>986</v>
      </c>
      <c r="FI251" s="1605" t="s">
        <v>986</v>
      </c>
      <c r="FJ251" s="1605" t="s">
        <v>986</v>
      </c>
      <c r="FK251" s="1605" t="s">
        <v>986</v>
      </c>
      <c r="FL251" s="1605" t="s">
        <v>986</v>
      </c>
      <c r="FM251" s="1605" t="s">
        <v>986</v>
      </c>
      <c r="FN251" s="1605" t="s">
        <v>986</v>
      </c>
      <c r="FO251" s="1605" t="s">
        <v>986</v>
      </c>
      <c r="FP251" s="1605" t="s">
        <v>986</v>
      </c>
      <c r="FQ251" s="1605" t="s">
        <v>986</v>
      </c>
      <c r="FR251" s="1605" t="s">
        <v>986</v>
      </c>
      <c r="FS251" s="1605" t="s">
        <v>986</v>
      </c>
      <c r="FT251" s="1605" t="s">
        <v>986</v>
      </c>
      <c r="FU251" s="1605" t="s">
        <v>986</v>
      </c>
      <c r="FV251" s="1605" t="s">
        <v>986</v>
      </c>
      <c r="FW251" s="1605" t="s">
        <v>986</v>
      </c>
      <c r="FX251" s="1605" t="s">
        <v>986</v>
      </c>
      <c r="FY251" s="1605" t="s">
        <v>986</v>
      </c>
      <c r="FZ251" s="1605" t="s">
        <v>986</v>
      </c>
      <c r="GA251" s="1605" t="s">
        <v>986</v>
      </c>
      <c r="GB251" s="1605" t="s">
        <v>986</v>
      </c>
      <c r="GC251" s="1605" t="s">
        <v>986</v>
      </c>
      <c r="GD251" s="1605" t="s">
        <v>986</v>
      </c>
      <c r="GE251" s="1605" t="s">
        <v>986</v>
      </c>
      <c r="GF251" s="1605" t="s">
        <v>986</v>
      </c>
      <c r="GG251" s="1605" t="s">
        <v>986</v>
      </c>
      <c r="GH251" s="1605" t="s">
        <v>986</v>
      </c>
      <c r="GI251" s="1605" t="s">
        <v>986</v>
      </c>
      <c r="GJ251" s="1605" t="s">
        <v>986</v>
      </c>
      <c r="GK251" s="1605" t="s">
        <v>986</v>
      </c>
      <c r="GL251" s="1605" t="s">
        <v>986</v>
      </c>
      <c r="GM251" s="1605" t="s">
        <v>986</v>
      </c>
      <c r="GN251" s="1605" t="s">
        <v>986</v>
      </c>
      <c r="GO251" s="1605" t="s">
        <v>986</v>
      </c>
      <c r="GP251" s="1605" t="s">
        <v>986</v>
      </c>
      <c r="GQ251" s="1605" t="s">
        <v>986</v>
      </c>
      <c r="GR251" s="1605" t="s">
        <v>986</v>
      </c>
      <c r="GS251" s="1605" t="s">
        <v>986</v>
      </c>
      <c r="GT251" s="1605" t="s">
        <v>986</v>
      </c>
      <c r="GU251" s="1605" t="s">
        <v>986</v>
      </c>
      <c r="GV251" s="1605" t="s">
        <v>986</v>
      </c>
      <c r="GW251" s="1605" t="s">
        <v>986</v>
      </c>
      <c r="GX251" s="1605" t="s">
        <v>986</v>
      </c>
      <c r="GY251" s="1605" t="s">
        <v>986</v>
      </c>
      <c r="GZ251" s="1605" t="s">
        <v>986</v>
      </c>
      <c r="HA251" s="1605" t="s">
        <v>986</v>
      </c>
      <c r="HB251" s="1605" t="s">
        <v>986</v>
      </c>
      <c r="HC251" s="1605" t="s">
        <v>986</v>
      </c>
      <c r="HD251" s="1605" t="s">
        <v>986</v>
      </c>
      <c r="HE251" s="1605" t="s">
        <v>986</v>
      </c>
      <c r="HF251" s="1605" t="s">
        <v>986</v>
      </c>
      <c r="HG251" s="1605" t="s">
        <v>986</v>
      </c>
      <c r="HH251" s="1605" t="s">
        <v>986</v>
      </c>
      <c r="HI251" s="1605" t="s">
        <v>986</v>
      </c>
      <c r="HJ251" s="1605" t="s">
        <v>986</v>
      </c>
      <c r="HK251" s="1605" t="s">
        <v>986</v>
      </c>
      <c r="HL251" s="1605" t="s">
        <v>986</v>
      </c>
      <c r="HM251" s="1605" t="s">
        <v>986</v>
      </c>
      <c r="HN251" s="1605" t="s">
        <v>986</v>
      </c>
      <c r="HO251" s="1605" t="s">
        <v>986</v>
      </c>
      <c r="HP251" s="1605" t="s">
        <v>986</v>
      </c>
      <c r="HQ251" s="1605" t="s">
        <v>986</v>
      </c>
      <c r="HR251" s="1605" t="s">
        <v>986</v>
      </c>
      <c r="HS251" s="1605" t="s">
        <v>986</v>
      </c>
      <c r="HT251" s="1605" t="s">
        <v>986</v>
      </c>
      <c r="HU251" s="1605" t="s">
        <v>986</v>
      </c>
      <c r="HV251" s="1617"/>
      <c r="HW251" s="1617" t="s">
        <v>3120</v>
      </c>
      <c r="HX251" s="1617" t="s">
        <v>3119</v>
      </c>
      <c r="HY251" s="1617" t="s">
        <v>3118</v>
      </c>
      <c r="HZ251" s="1603"/>
      <c r="IA251" s="1603"/>
      <c r="IB251" s="1603"/>
      <c r="IC251" s="1603">
        <v>42.471544715447102</v>
      </c>
      <c r="ID251" s="1603">
        <v>43.983739837398403</v>
      </c>
      <c r="IE251" s="1603">
        <v>45.243902439024403</v>
      </c>
      <c r="IF251" s="1603">
        <v>46</v>
      </c>
      <c r="IG251" s="1611" t="s">
        <v>3117</v>
      </c>
      <c r="IH251" s="1616" t="s">
        <v>3116</v>
      </c>
      <c r="II251" s="1615" t="s">
        <v>3115</v>
      </c>
      <c r="IJ251" s="1613">
        <v>1.2260227272727273</v>
      </c>
      <c r="IK251" s="1613">
        <v>1.0265909090909091</v>
      </c>
      <c r="IL251" s="1614">
        <v>1.2260227272727273</v>
      </c>
      <c r="IM251" s="1614">
        <v>1.0265909090909091</v>
      </c>
      <c r="IN251" s="1612">
        <v>1.3</v>
      </c>
      <c r="IO251" s="1613">
        <v>7.3977272727272725E-2</v>
      </c>
      <c r="IP251" s="1607" t="s">
        <v>270</v>
      </c>
      <c r="IQ251" s="1612">
        <v>5.0999999999999996</v>
      </c>
      <c r="IR251" s="1612">
        <v>9.4E-2</v>
      </c>
      <c r="IS251" s="1607">
        <v>1.0730227272727273</v>
      </c>
      <c r="IT251" s="1607">
        <v>0.8735909090909092</v>
      </c>
      <c r="IU251" s="1611">
        <v>1.1363636363636365E-5</v>
      </c>
      <c r="IV251" s="1611">
        <v>1.1613636363636364E-2</v>
      </c>
      <c r="IW251" s="1611">
        <v>1.784090909090909E-3</v>
      </c>
      <c r="IX251" s="1611">
        <v>1.4886363636363636E-3</v>
      </c>
      <c r="IY251" s="1611">
        <v>1.8636363636363638E-3</v>
      </c>
      <c r="IZ251" s="1611">
        <v>7.2500000000000004E-3</v>
      </c>
      <c r="JA251" s="1611">
        <v>3.5227272727272728E-4</v>
      </c>
      <c r="JB251" s="1611" t="s">
        <v>270</v>
      </c>
      <c r="JC251" s="1611">
        <v>2.0391363636363637</v>
      </c>
      <c r="JD251" s="1611">
        <v>0.40423863636363638</v>
      </c>
      <c r="JE251" s="1611" t="s">
        <v>270</v>
      </c>
      <c r="JF251" s="1611">
        <v>9.5454545454545445E-4</v>
      </c>
      <c r="JG251" s="1611">
        <v>1.290227272727273</v>
      </c>
      <c r="JH251" s="1611">
        <v>1.3636363636363635E-3</v>
      </c>
      <c r="JI251" s="1611">
        <v>0.15559090909090909</v>
      </c>
      <c r="JJ251" s="1611" t="s">
        <v>270</v>
      </c>
      <c r="JK251" s="1607">
        <f t="shared" si="12"/>
        <v>0.15300000000000002</v>
      </c>
      <c r="JL251" s="1608" t="s">
        <v>270</v>
      </c>
      <c r="JM251" s="1610" t="s">
        <v>2924</v>
      </c>
      <c r="JN251" s="1608">
        <v>0.1994318181818181</v>
      </c>
      <c r="JO251" s="1609" t="s">
        <v>3114</v>
      </c>
      <c r="JP251" s="1608" t="s">
        <v>270</v>
      </c>
      <c r="JQ251" s="1607">
        <v>202103</v>
      </c>
      <c r="JR251" s="1606">
        <v>817</v>
      </c>
      <c r="JS251" s="1606">
        <v>741</v>
      </c>
      <c r="JT251" s="1606">
        <v>741</v>
      </c>
    </row>
    <row r="252" spans="1:280" ht="15" customHeight="1" x14ac:dyDescent="0.2">
      <c r="A252" s="1626">
        <v>67400</v>
      </c>
      <c r="B252" s="1625">
        <v>674</v>
      </c>
      <c r="C252" s="1624">
        <v>0</v>
      </c>
      <c r="D252" s="1623" t="s">
        <v>3113</v>
      </c>
      <c r="E252" s="1622">
        <v>43031</v>
      </c>
      <c r="F252" s="1620">
        <v>0.77578839396051003</v>
      </c>
      <c r="G252" s="1620">
        <v>0.74817597734471597</v>
      </c>
      <c r="H252" s="1621">
        <v>99.8</v>
      </c>
      <c r="I252" s="1621">
        <v>97.5</v>
      </c>
      <c r="J252" s="1621">
        <v>90</v>
      </c>
      <c r="K252" s="1620">
        <v>0.8</v>
      </c>
      <c r="L252" s="1620">
        <v>74</v>
      </c>
      <c r="M252" s="1620">
        <v>9.6199999999999992</v>
      </c>
      <c r="N252" s="1620">
        <v>7.3999999999999996E-2</v>
      </c>
      <c r="O252" s="1620">
        <v>9.3979999999999997</v>
      </c>
      <c r="P252" s="1620">
        <v>0</v>
      </c>
      <c r="Q252" s="1603"/>
      <c r="R252" s="1620">
        <v>50</v>
      </c>
      <c r="S252" s="1620">
        <v>50</v>
      </c>
      <c r="T252" s="1620">
        <v>50</v>
      </c>
      <c r="U252" s="1620">
        <v>50</v>
      </c>
      <c r="V252" s="1620">
        <v>50</v>
      </c>
      <c r="W252" s="1620">
        <v>50</v>
      </c>
      <c r="X252" s="1620"/>
      <c r="Y252" s="1620">
        <v>5.4</v>
      </c>
      <c r="Z252" s="1620">
        <v>0.39999999999999997</v>
      </c>
      <c r="AA252" s="1620">
        <v>4.0999999999999996</v>
      </c>
      <c r="AB252" s="1620">
        <v>4.3</v>
      </c>
      <c r="AC252" s="1620">
        <v>28</v>
      </c>
      <c r="AD252" s="1620">
        <v>0.3</v>
      </c>
      <c r="AE252" s="1620">
        <v>0</v>
      </c>
      <c r="AF252" s="1620">
        <v>74</v>
      </c>
      <c r="AG252" s="1620">
        <v>4.0999999999999996</v>
      </c>
      <c r="AH252" s="1620">
        <v>17</v>
      </c>
      <c r="AI252" s="1620">
        <v>16</v>
      </c>
      <c r="AJ252" s="1620">
        <v>0</v>
      </c>
      <c r="AK252" s="1620">
        <v>9.9999999999999992E-2</v>
      </c>
      <c r="AL252" s="1620"/>
      <c r="AM252" s="1620">
        <v>0.28999999999999998</v>
      </c>
      <c r="AN252" s="1620">
        <v>0.16</v>
      </c>
      <c r="AO252" s="1620">
        <v>0.12</v>
      </c>
      <c r="AP252" s="1620">
        <v>0.65</v>
      </c>
      <c r="AQ252" s="1620">
        <v>0.28999999999999998</v>
      </c>
      <c r="AR252" s="1620">
        <v>1.66</v>
      </c>
      <c r="AS252" s="1620">
        <v>1.58</v>
      </c>
      <c r="AT252" s="1620">
        <v>0.25</v>
      </c>
      <c r="AU252" s="1620">
        <v>0.39</v>
      </c>
      <c r="AV252" s="1620">
        <v>1.7</v>
      </c>
      <c r="AW252" s="1620">
        <v>1.06</v>
      </c>
      <c r="AX252" s="1620"/>
      <c r="AY252" s="1620">
        <v>1</v>
      </c>
      <c r="AZ252" s="1620">
        <v>1</v>
      </c>
      <c r="BA252" s="1620">
        <v>1</v>
      </c>
      <c r="BB252" s="1620">
        <v>1</v>
      </c>
      <c r="BC252" s="1620">
        <v>1</v>
      </c>
      <c r="BD252" s="1620">
        <v>1</v>
      </c>
      <c r="BE252" s="1620">
        <v>1</v>
      </c>
      <c r="BF252" s="1620">
        <v>1</v>
      </c>
      <c r="BG252" s="1620">
        <v>1</v>
      </c>
      <c r="BH252" s="1620">
        <v>1</v>
      </c>
      <c r="BI252" s="1620">
        <v>1</v>
      </c>
      <c r="BJ252" s="1603"/>
      <c r="BK252" s="1620">
        <v>12.999999999999998</v>
      </c>
      <c r="BL252" s="1620">
        <v>9.9999999999999992E-2</v>
      </c>
      <c r="BM252" s="1620">
        <v>12.7</v>
      </c>
      <c r="BN252" s="1620">
        <v>0</v>
      </c>
      <c r="BO252" s="1620"/>
      <c r="BP252" s="1620">
        <v>0</v>
      </c>
      <c r="BQ252" s="1620">
        <v>0</v>
      </c>
      <c r="BR252" s="1620">
        <v>1.0483626945412299</v>
      </c>
      <c r="BS252" s="1620">
        <v>1.0110486180334</v>
      </c>
      <c r="BT252" s="1603"/>
      <c r="BU252" s="1620">
        <v>873</v>
      </c>
      <c r="BV252" s="1620">
        <v>723.29971428571343</v>
      </c>
      <c r="BW252" s="1620">
        <v>28.684285714285679</v>
      </c>
      <c r="BX252" s="1620" t="s">
        <v>270</v>
      </c>
      <c r="BY252" s="1620">
        <v>601</v>
      </c>
      <c r="BZ252" s="1620">
        <v>9.0481485714285537</v>
      </c>
      <c r="CA252" s="1620">
        <v>8.3521371428571349</v>
      </c>
      <c r="CB252" s="1603"/>
      <c r="CC252" s="1603">
        <v>3.996</v>
      </c>
      <c r="CD252" s="1603">
        <v>0.29599999999999999</v>
      </c>
      <c r="CE252" s="1603">
        <v>3.0339999999999998</v>
      </c>
      <c r="CF252" s="1603">
        <v>3.1819999999999999</v>
      </c>
      <c r="CG252" s="1603">
        <v>20.72</v>
      </c>
      <c r="CH252" s="1603">
        <v>0.222</v>
      </c>
      <c r="CI252" s="1603">
        <v>0</v>
      </c>
      <c r="CJ252" s="1603"/>
      <c r="CK252" s="1603">
        <v>54.76</v>
      </c>
      <c r="CL252" s="1603">
        <v>3.0339999999999998</v>
      </c>
      <c r="CM252" s="1603">
        <v>12.58</v>
      </c>
      <c r="CN252" s="1603">
        <v>11.84</v>
      </c>
      <c r="CO252" s="1603">
        <v>0</v>
      </c>
      <c r="CP252" s="1603">
        <v>7.3999999999999996E-2</v>
      </c>
      <c r="CQ252" s="1603">
        <v>48.1</v>
      </c>
      <c r="CR252" s="1603">
        <v>62.001443144106169</v>
      </c>
      <c r="CS252" s="1603">
        <v>0.17980418511790788</v>
      </c>
      <c r="CT252" s="1603">
        <v>9.9202309030569868E-2</v>
      </c>
      <c r="CU252" s="1603">
        <v>7.4401731772927401E-2</v>
      </c>
      <c r="CV252" s="1603">
        <v>0.17360404080349726</v>
      </c>
      <c r="CW252" s="1603">
        <v>0.4030093804366901</v>
      </c>
      <c r="CX252" s="1603">
        <v>0.17980418511790788</v>
      </c>
      <c r="CY252" s="1603">
        <v>1.0292239561921623</v>
      </c>
      <c r="CZ252" s="1603">
        <v>0.97962280167687743</v>
      </c>
      <c r="DA252" s="1603">
        <v>0.15500360786026543</v>
      </c>
      <c r="DB252" s="1603">
        <v>0.24180562826201407</v>
      </c>
      <c r="DC252" s="1603">
        <v>1.0540245334498048</v>
      </c>
      <c r="DD252" s="1603">
        <v>1.2958301617118189</v>
      </c>
      <c r="DE252" s="1603">
        <v>0.65721529732752537</v>
      </c>
      <c r="DF252" s="1603">
        <v>0</v>
      </c>
      <c r="DG252" s="1603">
        <v>0</v>
      </c>
      <c r="DH252" s="1603">
        <v>0</v>
      </c>
      <c r="DI252" s="1603">
        <v>0</v>
      </c>
      <c r="DJ252" s="1603">
        <v>0</v>
      </c>
      <c r="DK252" s="1603">
        <v>0</v>
      </c>
      <c r="DL252" s="1603">
        <v>0</v>
      </c>
      <c r="DM252" s="1603">
        <v>0</v>
      </c>
      <c r="DN252" s="1603">
        <v>0</v>
      </c>
      <c r="DO252" s="1603">
        <v>0</v>
      </c>
      <c r="DP252" s="1603">
        <v>0</v>
      </c>
      <c r="DQ252" s="1603">
        <v>0</v>
      </c>
      <c r="DR252" s="1603">
        <v>0</v>
      </c>
      <c r="DS252" s="1603">
        <v>0</v>
      </c>
      <c r="DT252" s="1603">
        <v>0</v>
      </c>
      <c r="DU252" s="1603">
        <v>0</v>
      </c>
      <c r="DV252" s="1603">
        <v>0</v>
      </c>
      <c r="DW252" s="1618" t="s">
        <v>3112</v>
      </c>
      <c r="DX252" s="1605" t="s">
        <v>986</v>
      </c>
      <c r="DY252" s="1605" t="s">
        <v>986</v>
      </c>
      <c r="DZ252" s="1605">
        <v>2</v>
      </c>
      <c r="EA252" s="1605">
        <v>2</v>
      </c>
      <c r="EB252" s="1605" t="s">
        <v>986</v>
      </c>
      <c r="EC252" s="1605">
        <v>2</v>
      </c>
      <c r="ED252" s="1605">
        <v>2</v>
      </c>
      <c r="EE252" s="1605">
        <v>2</v>
      </c>
      <c r="EF252" s="1605">
        <v>2</v>
      </c>
      <c r="EG252" s="1605">
        <v>2</v>
      </c>
      <c r="EH252" s="1605" t="s">
        <v>986</v>
      </c>
      <c r="EI252" s="1605" t="s">
        <v>986</v>
      </c>
      <c r="EJ252" s="1605" t="s">
        <v>986</v>
      </c>
      <c r="EK252" s="1605" t="s">
        <v>986</v>
      </c>
      <c r="EL252" s="1605" t="s">
        <v>986</v>
      </c>
      <c r="EM252" s="1605" t="s">
        <v>986</v>
      </c>
      <c r="EN252" s="1605" t="s">
        <v>986</v>
      </c>
      <c r="EO252" s="1605" t="s">
        <v>986</v>
      </c>
      <c r="EP252" s="1605" t="s">
        <v>986</v>
      </c>
      <c r="EQ252" s="1605" t="s">
        <v>986</v>
      </c>
      <c r="ER252" s="1605" t="s">
        <v>986</v>
      </c>
      <c r="ES252" s="1605">
        <v>2</v>
      </c>
      <c r="ET252" s="1605">
        <v>2</v>
      </c>
      <c r="EU252" s="1605">
        <v>2</v>
      </c>
      <c r="EV252" s="1605" t="s">
        <v>986</v>
      </c>
      <c r="EW252" s="1605">
        <v>2</v>
      </c>
      <c r="EX252" s="1605">
        <v>2</v>
      </c>
      <c r="EY252" s="1605" t="s">
        <v>986</v>
      </c>
      <c r="EZ252" s="1605">
        <v>2</v>
      </c>
      <c r="FA252" s="1605">
        <v>2</v>
      </c>
      <c r="FB252" s="1605">
        <v>2</v>
      </c>
      <c r="FC252" s="1605">
        <v>2</v>
      </c>
      <c r="FD252" s="1605" t="s">
        <v>986</v>
      </c>
      <c r="FE252" s="1605" t="s">
        <v>986</v>
      </c>
      <c r="FF252" s="1605" t="s">
        <v>986</v>
      </c>
      <c r="FG252" s="1605" t="s">
        <v>986</v>
      </c>
      <c r="FH252" s="1605">
        <v>0.1</v>
      </c>
      <c r="FI252" s="1605">
        <v>0.3</v>
      </c>
      <c r="FJ252" s="1605" t="s">
        <v>986</v>
      </c>
      <c r="FK252" s="1605">
        <v>0.1</v>
      </c>
      <c r="FL252" s="1605">
        <v>1</v>
      </c>
      <c r="FM252" s="1605" t="s">
        <v>986</v>
      </c>
      <c r="FN252" s="1605">
        <v>1.6</v>
      </c>
      <c r="FO252" s="1605">
        <v>1.6</v>
      </c>
      <c r="FP252" s="1605" t="s">
        <v>986</v>
      </c>
      <c r="FQ252" s="1605" t="s">
        <v>986</v>
      </c>
      <c r="FR252" s="1605" t="s">
        <v>986</v>
      </c>
      <c r="FS252" s="1605" t="s">
        <v>986</v>
      </c>
      <c r="FT252" s="1605" t="s">
        <v>986</v>
      </c>
      <c r="FU252" s="1605" t="s">
        <v>986</v>
      </c>
      <c r="FV252" s="1605" t="s">
        <v>986</v>
      </c>
      <c r="FW252" s="1605" t="s">
        <v>986</v>
      </c>
      <c r="FX252" s="1605" t="s">
        <v>986</v>
      </c>
      <c r="FY252" s="1605" t="s">
        <v>986</v>
      </c>
      <c r="FZ252" s="1605" t="s">
        <v>986</v>
      </c>
      <c r="GA252" s="1605" t="s">
        <v>986</v>
      </c>
      <c r="GB252" s="1605" t="s">
        <v>986</v>
      </c>
      <c r="GC252" s="1605" t="s">
        <v>986</v>
      </c>
      <c r="GD252" s="1605">
        <v>1.39</v>
      </c>
      <c r="GE252" s="1605">
        <v>2.08</v>
      </c>
      <c r="GF252" s="1605">
        <v>0.1</v>
      </c>
      <c r="GG252" s="1605" t="s">
        <v>986</v>
      </c>
      <c r="GH252" s="1605">
        <v>28.62</v>
      </c>
      <c r="GI252" s="1605">
        <v>0.02</v>
      </c>
      <c r="GJ252" s="1605">
        <v>2.0299999999999998</v>
      </c>
      <c r="GK252" s="1605">
        <v>3</v>
      </c>
      <c r="GL252" s="1605" t="s">
        <v>986</v>
      </c>
      <c r="GM252" s="1605" t="s">
        <v>986</v>
      </c>
      <c r="GN252" s="1605" t="s">
        <v>1591</v>
      </c>
      <c r="GO252" s="1605" t="s">
        <v>1591</v>
      </c>
      <c r="GP252" s="1605" t="s">
        <v>1591</v>
      </c>
      <c r="GQ252" s="1605" t="s">
        <v>1591</v>
      </c>
      <c r="GR252" s="1605" t="s">
        <v>986</v>
      </c>
      <c r="GS252" s="1605" t="s">
        <v>1591</v>
      </c>
      <c r="GT252" s="1605" t="s">
        <v>1591</v>
      </c>
      <c r="GU252" s="1605" t="s">
        <v>1591</v>
      </c>
      <c r="GV252" s="1605" t="s">
        <v>1591</v>
      </c>
      <c r="GW252" s="1605" t="s">
        <v>1591</v>
      </c>
      <c r="GX252" s="1605" t="s">
        <v>986</v>
      </c>
      <c r="GY252" s="1605" t="s">
        <v>986</v>
      </c>
      <c r="GZ252" s="1605" t="s">
        <v>986</v>
      </c>
      <c r="HA252" s="1605" t="s">
        <v>986</v>
      </c>
      <c r="HB252" s="1605" t="s">
        <v>986</v>
      </c>
      <c r="HC252" s="1605" t="s">
        <v>986</v>
      </c>
      <c r="HD252" s="1605" t="s">
        <v>986</v>
      </c>
      <c r="HE252" s="1605" t="s">
        <v>986</v>
      </c>
      <c r="HF252" s="1605" t="s">
        <v>986</v>
      </c>
      <c r="HG252" s="1605" t="s">
        <v>986</v>
      </c>
      <c r="HH252" s="1605" t="s">
        <v>986</v>
      </c>
      <c r="HI252" s="1605" t="s">
        <v>1591</v>
      </c>
      <c r="HJ252" s="1605" t="s">
        <v>1591</v>
      </c>
      <c r="HK252" s="1605" t="s">
        <v>986</v>
      </c>
      <c r="HL252" s="1605" t="s">
        <v>986</v>
      </c>
      <c r="HM252" s="1605" t="s">
        <v>1591</v>
      </c>
      <c r="HN252" s="1605" t="s">
        <v>1591</v>
      </c>
      <c r="HO252" s="1605" t="s">
        <v>986</v>
      </c>
      <c r="HP252" s="1605" t="s">
        <v>1591</v>
      </c>
      <c r="HQ252" s="1605" t="s">
        <v>1591</v>
      </c>
      <c r="HR252" s="1605" t="s">
        <v>1591</v>
      </c>
      <c r="HS252" s="1605" t="s">
        <v>1591</v>
      </c>
      <c r="HT252" s="1605" t="s">
        <v>986</v>
      </c>
      <c r="HU252" s="1605" t="s">
        <v>986</v>
      </c>
      <c r="HV252" s="1617"/>
      <c r="HW252" s="1617" t="s">
        <v>3111</v>
      </c>
      <c r="HX252" s="1617" t="s">
        <v>3110</v>
      </c>
      <c r="HY252" s="1617" t="s">
        <v>3109</v>
      </c>
      <c r="HZ252" s="1603"/>
      <c r="IA252" s="1603"/>
      <c r="IB252" s="1603"/>
      <c r="IC252" s="1603">
        <v>50</v>
      </c>
      <c r="ID252" s="1603">
        <v>50</v>
      </c>
      <c r="IE252" s="1603">
        <v>50</v>
      </c>
      <c r="IF252" s="1603">
        <v>50</v>
      </c>
      <c r="IG252" s="1611" t="s">
        <v>3108</v>
      </c>
      <c r="IH252" s="1616" t="s">
        <v>3107</v>
      </c>
      <c r="II252" s="1615" t="s">
        <v>3106</v>
      </c>
      <c r="IJ252" s="1613">
        <v>0.37744999999999995</v>
      </c>
      <c r="IK252" s="1613">
        <v>0.37744999999999995</v>
      </c>
      <c r="IL252" s="1614">
        <v>0.37744999999999995</v>
      </c>
      <c r="IM252" s="1614">
        <v>0.37744999999999995</v>
      </c>
      <c r="IN252" s="1612">
        <v>0.379</v>
      </c>
      <c r="IO252" s="1613">
        <v>1.5500000000000513E-3</v>
      </c>
      <c r="IP252" s="1607" t="s">
        <v>270</v>
      </c>
      <c r="IQ252" s="1612">
        <v>0.34</v>
      </c>
      <c r="IR252" s="1612">
        <v>1.2999999999999999E-2</v>
      </c>
      <c r="IS252" s="1607">
        <v>0.18644999999999995</v>
      </c>
      <c r="IT252" s="1607">
        <v>0.18644999999999995</v>
      </c>
      <c r="IU252" s="1611">
        <v>0</v>
      </c>
      <c r="IV252" s="1611">
        <v>1.9E-3</v>
      </c>
      <c r="IW252" s="1611">
        <v>2.3000000000000001E-4</v>
      </c>
      <c r="IX252" s="1611">
        <v>2.0999999999999998E-4</v>
      </c>
      <c r="IY252" s="1611">
        <v>2.3999999999999998E-4</v>
      </c>
      <c r="IZ252" s="1611">
        <v>1.31E-3</v>
      </c>
      <c r="JA252" s="1611">
        <v>4.0000000000000003E-5</v>
      </c>
      <c r="JB252" s="1611" t="s">
        <v>270</v>
      </c>
      <c r="JC252" s="1611">
        <v>4.122E-2</v>
      </c>
      <c r="JD252" s="1611">
        <v>4.0999999999999999E-4</v>
      </c>
      <c r="JE252" s="1611" t="s">
        <v>270</v>
      </c>
      <c r="JF252" s="1611">
        <v>8.9999999999999992E-5</v>
      </c>
      <c r="JG252" s="1611">
        <v>0.30101999999999995</v>
      </c>
      <c r="JH252" s="1611">
        <v>1.1999999999999999E-4</v>
      </c>
      <c r="JI252" s="1611">
        <v>4.4479999999999992E-2</v>
      </c>
      <c r="JJ252" s="1611" t="s">
        <v>270</v>
      </c>
      <c r="JK252" s="1607">
        <f t="shared" si="12"/>
        <v>0.191</v>
      </c>
      <c r="JL252" s="1608" t="s">
        <v>270</v>
      </c>
      <c r="JM252" s="1610" t="s">
        <v>2924</v>
      </c>
      <c r="JN252" s="1608">
        <v>0</v>
      </c>
      <c r="JO252" s="1609" t="s">
        <v>3077</v>
      </c>
      <c r="JP252" s="1608" t="s">
        <v>270</v>
      </c>
      <c r="JQ252" s="1607">
        <v>202103</v>
      </c>
      <c r="JR252" s="1606">
        <v>700</v>
      </c>
      <c r="JS252" s="1606">
        <v>626</v>
      </c>
      <c r="JT252" s="1606">
        <v>626</v>
      </c>
    </row>
    <row r="253" spans="1:280" ht="15" customHeight="1" x14ac:dyDescent="0.2">
      <c r="A253" s="1626">
        <v>67100</v>
      </c>
      <c r="B253" s="1625">
        <v>671</v>
      </c>
      <c r="C253" s="1624">
        <v>0</v>
      </c>
      <c r="D253" s="1623" t="s">
        <v>3105</v>
      </c>
      <c r="E253" s="1622">
        <v>43776</v>
      </c>
      <c r="F253" s="1620">
        <v>0.45612644525745299</v>
      </c>
      <c r="G253" s="1620">
        <v>0.63489849269610399</v>
      </c>
      <c r="H253" s="1621">
        <v>86.9</v>
      </c>
      <c r="I253" s="1621">
        <v>31.599968400000002</v>
      </c>
      <c r="J253" s="1621">
        <v>83</v>
      </c>
      <c r="K253" s="1620">
        <v>1</v>
      </c>
      <c r="L253" s="1620">
        <v>89.8</v>
      </c>
      <c r="M253" s="1620">
        <v>7.9024000000000001</v>
      </c>
      <c r="N253" s="1620">
        <v>1.4368000000000001</v>
      </c>
      <c r="O253" s="1620">
        <v>4.8491999999999997</v>
      </c>
      <c r="P253" s="1620">
        <v>17.331399999999999</v>
      </c>
      <c r="Q253" s="1603"/>
      <c r="R253" s="1620">
        <v>50</v>
      </c>
      <c r="S253" s="1620">
        <v>50</v>
      </c>
      <c r="T253" s="1620">
        <v>50</v>
      </c>
      <c r="U253" s="1620">
        <v>50</v>
      </c>
      <c r="V253" s="1620">
        <v>50</v>
      </c>
      <c r="W253" s="1620">
        <v>50</v>
      </c>
      <c r="X253" s="1620"/>
      <c r="Y253" s="1620">
        <v>5.5</v>
      </c>
      <c r="Z253" s="1620">
        <v>0.70000000000000007</v>
      </c>
      <c r="AA253" s="1620">
        <v>0.6</v>
      </c>
      <c r="AB253" s="1620">
        <v>0</v>
      </c>
      <c r="AC253" s="1620">
        <v>3.7</v>
      </c>
      <c r="AD253" s="1620">
        <v>2.2999999999999998</v>
      </c>
      <c r="AE253" s="1620">
        <v>2.6999999999999997</v>
      </c>
      <c r="AF253" s="1620">
        <v>659.99999999999989</v>
      </c>
      <c r="AG253" s="1620">
        <v>6.9</v>
      </c>
      <c r="AH253" s="1620">
        <v>54</v>
      </c>
      <c r="AI253" s="1620">
        <v>16</v>
      </c>
      <c r="AJ253" s="1620">
        <v>0</v>
      </c>
      <c r="AK253" s="1620">
        <v>0.11</v>
      </c>
      <c r="AL253" s="1620"/>
      <c r="AM253" s="1620">
        <v>4.8600000000000003</v>
      </c>
      <c r="AN253" s="1620">
        <v>1.51</v>
      </c>
      <c r="AO253" s="1620">
        <v>1.1499999999999999</v>
      </c>
      <c r="AP253" s="1620">
        <v>3.74</v>
      </c>
      <c r="AQ253" s="1620">
        <v>0.76</v>
      </c>
      <c r="AR253" s="1620">
        <v>3.5</v>
      </c>
      <c r="AS253" s="1620">
        <v>5.49</v>
      </c>
      <c r="AT253" s="1620">
        <v>3.25</v>
      </c>
      <c r="AU253" s="1620">
        <v>3.12</v>
      </c>
      <c r="AV253" s="1620">
        <v>4.0599999999999996</v>
      </c>
      <c r="AW253" s="1620">
        <v>5.3</v>
      </c>
      <c r="AX253" s="1620"/>
      <c r="AY253" s="1620">
        <v>1.04</v>
      </c>
      <c r="AZ253" s="1620">
        <v>1.22</v>
      </c>
      <c r="BA253" s="1620">
        <v>0.44</v>
      </c>
      <c r="BB253" s="1620">
        <v>0.6</v>
      </c>
      <c r="BC253" s="1620">
        <v>0.82</v>
      </c>
      <c r="BD253" s="1620">
        <v>1.2</v>
      </c>
      <c r="BE253" s="1620">
        <v>1.18</v>
      </c>
      <c r="BF253" s="1620">
        <v>1.18</v>
      </c>
      <c r="BG253" s="1620">
        <v>1.02</v>
      </c>
      <c r="BH253" s="1620">
        <v>1.04</v>
      </c>
      <c r="BI253" s="1620">
        <v>0.84</v>
      </c>
      <c r="BJ253" s="1603"/>
      <c r="BK253" s="1620">
        <v>8.8000000000000007</v>
      </c>
      <c r="BL253" s="1620">
        <v>1.6</v>
      </c>
      <c r="BM253" s="1620">
        <v>5.3999999999999995</v>
      </c>
      <c r="BN253" s="1620">
        <v>19.3</v>
      </c>
      <c r="BO253" s="1620"/>
      <c r="BP253" s="1620">
        <v>0</v>
      </c>
      <c r="BQ253" s="1620">
        <v>0</v>
      </c>
      <c r="BR253" s="1620">
        <v>0.50793590785907916</v>
      </c>
      <c r="BS253" s="1620">
        <v>0.70701391168831174</v>
      </c>
      <c r="BT253" s="1603"/>
      <c r="BU253" s="1620">
        <v>946.00000000000011</v>
      </c>
      <c r="BV253" s="1620">
        <v>-20.866</v>
      </c>
      <c r="BW253" s="1620">
        <v>747.34042705142872</v>
      </c>
      <c r="BX253" s="1620">
        <v>0</v>
      </c>
      <c r="BY253" s="1620" t="s">
        <v>270</v>
      </c>
      <c r="BZ253" s="1620">
        <v>445.02951999999999</v>
      </c>
      <c r="CA253" s="1620">
        <v>410.79648000000003</v>
      </c>
      <c r="CB253" s="1603"/>
      <c r="CC253" s="1603">
        <v>4.9390000000000001</v>
      </c>
      <c r="CD253" s="1603">
        <v>0.62860000000000005</v>
      </c>
      <c r="CE253" s="1603">
        <v>0.53879999999999995</v>
      </c>
      <c r="CF253" s="1603">
        <v>0</v>
      </c>
      <c r="CG253" s="1603">
        <v>3.3226000000000004</v>
      </c>
      <c r="CH253" s="1603">
        <v>2.0653999999999999</v>
      </c>
      <c r="CI253" s="1603">
        <v>2.4245999999999999</v>
      </c>
      <c r="CJ253" s="1603"/>
      <c r="CK253" s="1603">
        <v>592.67999999999995</v>
      </c>
      <c r="CL253" s="1603">
        <v>6.1962000000000002</v>
      </c>
      <c r="CM253" s="1603">
        <v>48.492000000000004</v>
      </c>
      <c r="CN253" s="1603">
        <v>14.368</v>
      </c>
      <c r="CO253" s="1603">
        <v>0</v>
      </c>
      <c r="CP253" s="1603">
        <v>9.8780000000000007E-2</v>
      </c>
      <c r="CQ253" s="1603">
        <v>39.512</v>
      </c>
      <c r="CR253" s="1603">
        <v>86.625102339107102</v>
      </c>
      <c r="CS253" s="1603">
        <v>4.3783791726278301</v>
      </c>
      <c r="CT253" s="1603">
        <v>1.5958076352910311</v>
      </c>
      <c r="CU253" s="1603">
        <v>0.43832301783588196</v>
      </c>
      <c r="CV253" s="1603">
        <v>2.0341306531269132</v>
      </c>
      <c r="CW253" s="1603">
        <v>1.9438672964895634</v>
      </c>
      <c r="CX253" s="1603">
        <v>0.53984763777731548</v>
      </c>
      <c r="CY253" s="1603">
        <v>3.6382542982424986</v>
      </c>
      <c r="CZ253" s="1603">
        <v>5.6117473797320363</v>
      </c>
      <c r="DA253" s="1603">
        <v>3.3220726747047578</v>
      </c>
      <c r="DB253" s="1603">
        <v>2.7567572568397449</v>
      </c>
      <c r="DC253" s="1603">
        <v>3.6576583211664584</v>
      </c>
      <c r="DD253" s="1603">
        <v>6.4144155780062029</v>
      </c>
      <c r="DE253" s="1603">
        <v>3.8565495561370482</v>
      </c>
      <c r="DF253" s="1603">
        <v>0</v>
      </c>
      <c r="DG253" s="1603">
        <v>0</v>
      </c>
      <c r="DH253" s="1603">
        <v>0</v>
      </c>
      <c r="DI253" s="1603">
        <v>0</v>
      </c>
      <c r="DJ253" s="1603">
        <v>0</v>
      </c>
      <c r="DK253" s="1603">
        <v>0</v>
      </c>
      <c r="DL253" s="1603">
        <v>0</v>
      </c>
      <c r="DM253" s="1603">
        <v>0</v>
      </c>
      <c r="DN253" s="1603">
        <v>0</v>
      </c>
      <c r="DO253" s="1603">
        <v>0</v>
      </c>
      <c r="DP253" s="1603">
        <v>0</v>
      </c>
      <c r="DQ253" s="1603">
        <v>0</v>
      </c>
      <c r="DR253" s="1603">
        <v>0</v>
      </c>
      <c r="DS253" s="1603">
        <v>0</v>
      </c>
      <c r="DT253" s="1603">
        <v>0</v>
      </c>
      <c r="DU253" s="1603">
        <v>0</v>
      </c>
      <c r="DV253" s="1603">
        <v>0</v>
      </c>
      <c r="DW253" s="1618" t="s">
        <v>3104</v>
      </c>
      <c r="DX253" s="1605">
        <v>47</v>
      </c>
      <c r="DY253" s="1605">
        <v>47</v>
      </c>
      <c r="DZ253" s="1605">
        <v>47</v>
      </c>
      <c r="EA253" s="1605">
        <v>45</v>
      </c>
      <c r="EB253" s="1605">
        <v>47</v>
      </c>
      <c r="EC253" s="1605">
        <v>46</v>
      </c>
      <c r="ED253" s="1605">
        <v>35</v>
      </c>
      <c r="EE253" s="1605">
        <v>35</v>
      </c>
      <c r="EF253" s="1605">
        <v>35</v>
      </c>
      <c r="EG253" s="1605">
        <v>35</v>
      </c>
      <c r="EH253" s="1605" t="s">
        <v>986</v>
      </c>
      <c r="EI253" s="1605" t="s">
        <v>986</v>
      </c>
      <c r="EJ253" s="1605" t="s">
        <v>986</v>
      </c>
      <c r="EK253" s="1605" t="s">
        <v>986</v>
      </c>
      <c r="EL253" s="1605" t="s">
        <v>986</v>
      </c>
      <c r="EM253" s="1605" t="s">
        <v>986</v>
      </c>
      <c r="EN253" s="1605" t="s">
        <v>986</v>
      </c>
      <c r="EO253" s="1605" t="s">
        <v>986</v>
      </c>
      <c r="EP253" s="1605" t="s">
        <v>986</v>
      </c>
      <c r="EQ253" s="1605" t="s">
        <v>986</v>
      </c>
      <c r="ER253" s="1605" t="s">
        <v>986</v>
      </c>
      <c r="ES253" s="1605">
        <v>5</v>
      </c>
      <c r="ET253" s="1605">
        <v>9</v>
      </c>
      <c r="EU253" s="1605">
        <v>7</v>
      </c>
      <c r="EV253" s="1605" t="s">
        <v>986</v>
      </c>
      <c r="EW253" s="1605">
        <v>7</v>
      </c>
      <c r="EX253" s="1605">
        <v>7</v>
      </c>
      <c r="EY253" s="1605" t="s">
        <v>986</v>
      </c>
      <c r="EZ253" s="1605">
        <v>6</v>
      </c>
      <c r="FA253" s="1605">
        <v>7</v>
      </c>
      <c r="FB253" s="1605">
        <v>7</v>
      </c>
      <c r="FC253" s="1605">
        <v>7</v>
      </c>
      <c r="FD253" s="1605" t="s">
        <v>986</v>
      </c>
      <c r="FE253" s="1605" t="s">
        <v>986</v>
      </c>
      <c r="FF253" s="1605">
        <v>1</v>
      </c>
      <c r="FG253" s="1605">
        <v>1</v>
      </c>
      <c r="FH253" s="1605">
        <v>0.2</v>
      </c>
      <c r="FI253" s="1605">
        <v>2.5</v>
      </c>
      <c r="FJ253" s="1605">
        <v>1</v>
      </c>
      <c r="FK253" s="1605">
        <v>5.2</v>
      </c>
      <c r="FL253" s="1605">
        <v>9</v>
      </c>
      <c r="FM253" s="1605">
        <v>2.6</v>
      </c>
      <c r="FN253" s="1605">
        <v>6.3</v>
      </c>
      <c r="FO253" s="1605">
        <v>6.1</v>
      </c>
      <c r="FP253" s="1605" t="s">
        <v>986</v>
      </c>
      <c r="FQ253" s="1605" t="s">
        <v>986</v>
      </c>
      <c r="FR253" s="1605" t="s">
        <v>986</v>
      </c>
      <c r="FS253" s="1605" t="s">
        <v>986</v>
      </c>
      <c r="FT253" s="1605" t="s">
        <v>986</v>
      </c>
      <c r="FU253" s="1605" t="s">
        <v>986</v>
      </c>
      <c r="FV253" s="1605" t="s">
        <v>986</v>
      </c>
      <c r="FW253" s="1605" t="s">
        <v>986</v>
      </c>
      <c r="FX253" s="1605" t="s">
        <v>986</v>
      </c>
      <c r="FY253" s="1605" t="s">
        <v>986</v>
      </c>
      <c r="FZ253" s="1605" t="s">
        <v>986</v>
      </c>
      <c r="GA253" s="1605" t="s">
        <v>986</v>
      </c>
      <c r="GB253" s="1605">
        <v>0.1</v>
      </c>
      <c r="GC253" s="1605" t="s">
        <v>986</v>
      </c>
      <c r="GD253" s="1605" t="s">
        <v>986</v>
      </c>
      <c r="GE253" s="1605">
        <v>0.62</v>
      </c>
      <c r="GF253" s="1605">
        <v>0.18</v>
      </c>
      <c r="GG253" s="1605">
        <v>0.77</v>
      </c>
      <c r="GH253" s="1605">
        <v>107.6</v>
      </c>
      <c r="GI253" s="1605">
        <v>1.4</v>
      </c>
      <c r="GJ253" s="1605">
        <v>31.16</v>
      </c>
      <c r="GK253" s="1605">
        <v>4.29</v>
      </c>
      <c r="GL253" s="1605" t="s">
        <v>986</v>
      </c>
      <c r="GM253" s="1605" t="s">
        <v>986</v>
      </c>
      <c r="GN253" s="1605" t="s">
        <v>3103</v>
      </c>
      <c r="GO253" s="1605" t="s">
        <v>3103</v>
      </c>
      <c r="GP253" s="1605" t="s">
        <v>3103</v>
      </c>
      <c r="GQ253" s="1605" t="s">
        <v>3103</v>
      </c>
      <c r="GR253" s="1605" t="s">
        <v>3103</v>
      </c>
      <c r="GS253" s="1605" t="s">
        <v>3103</v>
      </c>
      <c r="GT253" s="1605" t="s">
        <v>3103</v>
      </c>
      <c r="GU253" s="1605" t="s">
        <v>986</v>
      </c>
      <c r="GV253" s="1605" t="s">
        <v>3103</v>
      </c>
      <c r="GW253" s="1605" t="s">
        <v>3103</v>
      </c>
      <c r="GX253" s="1605" t="s">
        <v>1583</v>
      </c>
      <c r="GY253" s="1605" t="s">
        <v>1583</v>
      </c>
      <c r="GZ253" s="1605" t="s">
        <v>1583</v>
      </c>
      <c r="HA253" s="1605" t="s">
        <v>1583</v>
      </c>
      <c r="HB253" s="1605" t="s">
        <v>1583</v>
      </c>
      <c r="HC253" s="1605" t="s">
        <v>1583</v>
      </c>
      <c r="HD253" s="1605" t="s">
        <v>1583</v>
      </c>
      <c r="HE253" s="1605" t="s">
        <v>1583</v>
      </c>
      <c r="HF253" s="1605" t="s">
        <v>1583</v>
      </c>
      <c r="HG253" s="1605" t="s">
        <v>1583</v>
      </c>
      <c r="HH253" s="1605" t="s">
        <v>1583</v>
      </c>
      <c r="HI253" s="1605" t="s">
        <v>1579</v>
      </c>
      <c r="HJ253" s="1605" t="s">
        <v>1579</v>
      </c>
      <c r="HK253" s="1605" t="s">
        <v>986</v>
      </c>
      <c r="HL253" s="1605" t="s">
        <v>986</v>
      </c>
      <c r="HM253" s="1605" t="s">
        <v>1591</v>
      </c>
      <c r="HN253" s="1605" t="s">
        <v>1591</v>
      </c>
      <c r="HO253" s="1605" t="s">
        <v>1591</v>
      </c>
      <c r="HP253" s="1605" t="s">
        <v>1591</v>
      </c>
      <c r="HQ253" s="1605" t="s">
        <v>1591</v>
      </c>
      <c r="HR253" s="1605" t="s">
        <v>1591</v>
      </c>
      <c r="HS253" s="1605" t="s">
        <v>1591</v>
      </c>
      <c r="HT253" s="1605" t="s">
        <v>986</v>
      </c>
      <c r="HU253" s="1605" t="s">
        <v>986</v>
      </c>
      <c r="HV253" s="1617"/>
      <c r="HW253" s="1617" t="s">
        <v>3095</v>
      </c>
      <c r="HX253" s="1617">
        <v>0</v>
      </c>
      <c r="HY253" s="1617">
        <v>0</v>
      </c>
      <c r="HZ253" s="1603"/>
      <c r="IA253" s="1603"/>
      <c r="IB253" s="1603"/>
      <c r="IC253" s="1603">
        <v>50</v>
      </c>
      <c r="ID253" s="1603">
        <v>50</v>
      </c>
      <c r="IE253" s="1603">
        <v>50</v>
      </c>
      <c r="IF253" s="1603">
        <v>50</v>
      </c>
      <c r="IG253" s="1611" t="s">
        <v>3094</v>
      </c>
      <c r="IH253" s="1616" t="s">
        <v>3102</v>
      </c>
      <c r="II253" s="1615" t="s">
        <v>3101</v>
      </c>
      <c r="IJ253" s="1613">
        <v>0.58515555555555554</v>
      </c>
      <c r="IK253" s="1613">
        <v>0.58515555555555554</v>
      </c>
      <c r="IL253" s="1614">
        <v>0.58515555555555554</v>
      </c>
      <c r="IM253" s="1614">
        <v>0.58515555555555554</v>
      </c>
      <c r="IN253" s="1612">
        <v>0.66700000000000004</v>
      </c>
      <c r="IO253" s="1613">
        <v>8.1844444444444497E-2</v>
      </c>
      <c r="IP253" s="1607" t="s">
        <v>270</v>
      </c>
      <c r="IQ253" s="1612">
        <v>0.2</v>
      </c>
      <c r="IR253" s="1612">
        <v>8.0000000000000002E-3</v>
      </c>
      <c r="IS253" s="1607">
        <v>0.51115555555555559</v>
      </c>
      <c r="IT253" s="1607">
        <v>0.51115555555555559</v>
      </c>
      <c r="IU253" s="1611">
        <v>0</v>
      </c>
      <c r="IV253" s="1611">
        <v>5.3666666666666663E-3</v>
      </c>
      <c r="IW253" s="1611">
        <v>1.1111111111111112E-5</v>
      </c>
      <c r="IX253" s="1611">
        <v>2.1111111111111111E-4</v>
      </c>
      <c r="IY253" s="1611">
        <v>1.1111111111111112E-5</v>
      </c>
      <c r="IZ253" s="1611">
        <v>6.8888888888888884E-4</v>
      </c>
      <c r="JA253" s="1611">
        <v>0</v>
      </c>
      <c r="JB253" s="1611" t="s">
        <v>270</v>
      </c>
      <c r="JC253" s="1611">
        <v>1.8511111111111114E-2</v>
      </c>
      <c r="JD253" s="1611">
        <v>2.2222222222222223E-5</v>
      </c>
      <c r="JE253" s="1611" t="s">
        <v>270</v>
      </c>
      <c r="JF253" s="1611">
        <v>2.333333333333333E-4</v>
      </c>
      <c r="JG253" s="1611">
        <v>1.2111111111111112E-3</v>
      </c>
      <c r="JH253" s="1611">
        <v>4.4444444444444447E-5</v>
      </c>
      <c r="JI253" s="1611">
        <v>0.17523333333333335</v>
      </c>
      <c r="JJ253" s="1611" t="s">
        <v>270</v>
      </c>
      <c r="JK253" s="1607">
        <f t="shared" si="12"/>
        <v>7.3999999999999955E-2</v>
      </c>
      <c r="JL253" s="1608" t="s">
        <v>270</v>
      </c>
      <c r="JM253" s="1610" t="s">
        <v>2924</v>
      </c>
      <c r="JN253" s="1608">
        <v>0</v>
      </c>
      <c r="JO253" s="1609" t="s">
        <v>3077</v>
      </c>
      <c r="JP253" s="1608" t="s">
        <v>270</v>
      </c>
      <c r="JQ253" s="1607">
        <v>202103</v>
      </c>
      <c r="JR253" s="1606">
        <v>710</v>
      </c>
      <c r="JS253" s="1606">
        <v>635</v>
      </c>
      <c r="JT253" s="1606">
        <v>635</v>
      </c>
    </row>
    <row r="254" spans="1:280" ht="15" customHeight="1" x14ac:dyDescent="0.2">
      <c r="A254" s="1626">
        <v>67200</v>
      </c>
      <c r="B254" s="1625">
        <v>672</v>
      </c>
      <c r="C254" s="1624">
        <v>0</v>
      </c>
      <c r="D254" s="1623" t="s">
        <v>3100</v>
      </c>
      <c r="E254" s="1622">
        <v>43031</v>
      </c>
      <c r="F254" s="1620">
        <v>0.527736069396051</v>
      </c>
      <c r="G254" s="1620">
        <v>0.66667809903524999</v>
      </c>
      <c r="H254" s="1621">
        <v>86.9</v>
      </c>
      <c r="I254" s="1621">
        <v>40.5</v>
      </c>
      <c r="J254" s="1621">
        <v>83</v>
      </c>
      <c r="K254" s="1620">
        <v>1</v>
      </c>
      <c r="L254" s="1620">
        <v>89</v>
      </c>
      <c r="M254" s="1620">
        <v>8.2769999999999992</v>
      </c>
      <c r="N254" s="1620">
        <v>1.246</v>
      </c>
      <c r="O254" s="1620">
        <v>8.4550000000000001</v>
      </c>
      <c r="P254" s="1620">
        <v>14.952</v>
      </c>
      <c r="Q254" s="1603"/>
      <c r="R254" s="1620">
        <v>50</v>
      </c>
      <c r="S254" s="1620">
        <v>50</v>
      </c>
      <c r="T254" s="1620">
        <v>50</v>
      </c>
      <c r="U254" s="1620">
        <v>50</v>
      </c>
      <c r="V254" s="1620">
        <v>50</v>
      </c>
      <c r="W254" s="1620">
        <v>50</v>
      </c>
      <c r="X254" s="1620"/>
      <c r="Y254" s="1620">
        <v>13</v>
      </c>
      <c r="Z254" s="1620">
        <v>0.90000000000000013</v>
      </c>
      <c r="AA254" s="1620">
        <v>1</v>
      </c>
      <c r="AB254" s="1620">
        <v>0</v>
      </c>
      <c r="AC254" s="1620">
        <v>5.4</v>
      </c>
      <c r="AD254" s="1620">
        <v>2.4000000000000004</v>
      </c>
      <c r="AE254" s="1620">
        <v>3.3</v>
      </c>
      <c r="AF254" s="1620">
        <v>660</v>
      </c>
      <c r="AG254" s="1620">
        <v>7.5</v>
      </c>
      <c r="AH254" s="1620">
        <v>78</v>
      </c>
      <c r="AI254" s="1620">
        <v>37</v>
      </c>
      <c r="AJ254" s="1620">
        <v>0</v>
      </c>
      <c r="AK254" s="1620">
        <v>0.10886644219977595</v>
      </c>
      <c r="AL254" s="1620"/>
      <c r="AM254" s="1620">
        <v>4.8600000000000003</v>
      </c>
      <c r="AN254" s="1620">
        <v>1.51</v>
      </c>
      <c r="AO254" s="1620">
        <v>1.1499999999999999</v>
      </c>
      <c r="AP254" s="1620">
        <v>3.74</v>
      </c>
      <c r="AQ254" s="1620">
        <v>0.76</v>
      </c>
      <c r="AR254" s="1620">
        <v>3.5</v>
      </c>
      <c r="AS254" s="1620">
        <v>5.49</v>
      </c>
      <c r="AT254" s="1620">
        <v>3.25</v>
      </c>
      <c r="AU254" s="1620">
        <v>3.12</v>
      </c>
      <c r="AV254" s="1620">
        <v>4.0599999999999996</v>
      </c>
      <c r="AW254" s="1620">
        <v>5.3</v>
      </c>
      <c r="AX254" s="1620"/>
      <c r="AY254" s="1620">
        <v>1.04</v>
      </c>
      <c r="AZ254" s="1620">
        <v>1.22</v>
      </c>
      <c r="BA254" s="1620">
        <v>0.44</v>
      </c>
      <c r="BB254" s="1620">
        <v>0.6</v>
      </c>
      <c r="BC254" s="1620">
        <v>0.82</v>
      </c>
      <c r="BD254" s="1620">
        <v>1.2</v>
      </c>
      <c r="BE254" s="1620">
        <v>1.18</v>
      </c>
      <c r="BF254" s="1620">
        <v>1.18</v>
      </c>
      <c r="BG254" s="1620">
        <v>1.02</v>
      </c>
      <c r="BH254" s="1620">
        <v>1.04</v>
      </c>
      <c r="BI254" s="1620">
        <v>0.84</v>
      </c>
      <c r="BJ254" s="1603"/>
      <c r="BK254" s="1620">
        <v>9.2999999999999989</v>
      </c>
      <c r="BL254" s="1620">
        <v>1.4</v>
      </c>
      <c r="BM254" s="1620">
        <v>9.5</v>
      </c>
      <c r="BN254" s="1620">
        <v>16.8</v>
      </c>
      <c r="BO254" s="1620"/>
      <c r="BP254" s="1620">
        <v>0</v>
      </c>
      <c r="BQ254" s="1620">
        <v>0</v>
      </c>
      <c r="BR254" s="1620">
        <v>0.59296187572589998</v>
      </c>
      <c r="BS254" s="1620">
        <v>0.74907651576994383</v>
      </c>
      <c r="BT254" s="1603"/>
      <c r="BU254" s="1620">
        <v>905</v>
      </c>
      <c r="BV254" s="1620">
        <v>88.349285714285728</v>
      </c>
      <c r="BW254" s="1620">
        <v>599.88571428571345</v>
      </c>
      <c r="BX254" s="1620">
        <v>0</v>
      </c>
      <c r="BY254" s="1620" t="s">
        <v>270</v>
      </c>
      <c r="BZ254" s="1620">
        <v>365.14957142857185</v>
      </c>
      <c r="CA254" s="1620">
        <v>337.06114285714273</v>
      </c>
      <c r="CB254" s="1603"/>
      <c r="CC254" s="1603">
        <v>11.57</v>
      </c>
      <c r="CD254" s="1603">
        <v>0.80100000000000016</v>
      </c>
      <c r="CE254" s="1603">
        <v>0.89</v>
      </c>
      <c r="CF254" s="1603">
        <v>0</v>
      </c>
      <c r="CG254" s="1603">
        <v>4.806</v>
      </c>
      <c r="CH254" s="1603">
        <v>2.1360000000000006</v>
      </c>
      <c r="CI254" s="1603">
        <v>2.9369999999999998</v>
      </c>
      <c r="CJ254" s="1603"/>
      <c r="CK254" s="1603">
        <v>587.4</v>
      </c>
      <c r="CL254" s="1603">
        <v>6.6749999999999998</v>
      </c>
      <c r="CM254" s="1603">
        <v>69.42</v>
      </c>
      <c r="CN254" s="1603">
        <v>32.93</v>
      </c>
      <c r="CO254" s="1603">
        <v>0</v>
      </c>
      <c r="CP254" s="1603">
        <v>9.6891133557800602E-2</v>
      </c>
      <c r="CQ254" s="1603">
        <v>41.384999999999998</v>
      </c>
      <c r="CR254" s="1603">
        <v>78.419881452032655</v>
      </c>
      <c r="CS254" s="1603">
        <v>3.9636544881115383</v>
      </c>
      <c r="CT254" s="1603">
        <v>1.4446510561093457</v>
      </c>
      <c r="CU254" s="1603">
        <v>0.3968046001472853</v>
      </c>
      <c r="CV254" s="1603">
        <v>1.8414556562566309</v>
      </c>
      <c r="CW254" s="1603">
        <v>1.759742139783613</v>
      </c>
      <c r="CX254" s="1603">
        <v>0.48871270120906751</v>
      </c>
      <c r="CY254" s="1603">
        <v>3.2936350209853718</v>
      </c>
      <c r="CZ254" s="1603">
        <v>5.0801967602255802</v>
      </c>
      <c r="DA254" s="1603">
        <v>3.0074024536854527</v>
      </c>
      <c r="DB254" s="1603">
        <v>2.4956343073294871</v>
      </c>
      <c r="DC254" s="1603">
        <v>3.3112010744306271</v>
      </c>
      <c r="DD254" s="1603">
        <v>5.8068353817601146</v>
      </c>
      <c r="DE254" s="1603">
        <v>3.491253122244494</v>
      </c>
      <c r="DF254" s="1603">
        <v>0</v>
      </c>
      <c r="DG254" s="1603">
        <v>0</v>
      </c>
      <c r="DH254" s="1603">
        <v>0</v>
      </c>
      <c r="DI254" s="1603">
        <v>0</v>
      </c>
      <c r="DJ254" s="1603">
        <v>0</v>
      </c>
      <c r="DK254" s="1603">
        <v>0</v>
      </c>
      <c r="DL254" s="1603">
        <v>0</v>
      </c>
      <c r="DM254" s="1603">
        <v>0</v>
      </c>
      <c r="DN254" s="1603">
        <v>0</v>
      </c>
      <c r="DO254" s="1603">
        <v>0</v>
      </c>
      <c r="DP254" s="1603">
        <v>0</v>
      </c>
      <c r="DQ254" s="1603">
        <v>0</v>
      </c>
      <c r="DR254" s="1603">
        <v>0</v>
      </c>
      <c r="DS254" s="1603">
        <v>0</v>
      </c>
      <c r="DT254" s="1603">
        <v>0</v>
      </c>
      <c r="DU254" s="1603">
        <v>0</v>
      </c>
      <c r="DV254" s="1603">
        <v>0</v>
      </c>
      <c r="DW254" s="1618" t="s">
        <v>3096</v>
      </c>
      <c r="DX254" s="1605" t="s">
        <v>986</v>
      </c>
      <c r="DY254" s="1605" t="s">
        <v>986</v>
      </c>
      <c r="DZ254" s="1605">
        <v>3</v>
      </c>
      <c r="EA254" s="1605">
        <v>3</v>
      </c>
      <c r="EB254" s="1605" t="s">
        <v>986</v>
      </c>
      <c r="EC254" s="1605">
        <v>2</v>
      </c>
      <c r="ED254" s="1605" t="s">
        <v>986</v>
      </c>
      <c r="EE254" s="1605" t="s">
        <v>986</v>
      </c>
      <c r="EF254" s="1605" t="s">
        <v>986</v>
      </c>
      <c r="EG254" s="1605" t="s">
        <v>986</v>
      </c>
      <c r="EH254" s="1605" t="s">
        <v>986</v>
      </c>
      <c r="EI254" s="1605" t="s">
        <v>986</v>
      </c>
      <c r="EJ254" s="1605" t="s">
        <v>986</v>
      </c>
      <c r="EK254" s="1605" t="s">
        <v>986</v>
      </c>
      <c r="EL254" s="1605" t="s">
        <v>986</v>
      </c>
      <c r="EM254" s="1605" t="s">
        <v>986</v>
      </c>
      <c r="EN254" s="1605" t="s">
        <v>986</v>
      </c>
      <c r="EO254" s="1605" t="s">
        <v>986</v>
      </c>
      <c r="EP254" s="1605" t="s">
        <v>986</v>
      </c>
      <c r="EQ254" s="1605" t="s">
        <v>986</v>
      </c>
      <c r="ER254" s="1605" t="s">
        <v>986</v>
      </c>
      <c r="ES254" s="1605">
        <v>3</v>
      </c>
      <c r="ET254" s="1605">
        <v>3</v>
      </c>
      <c r="EU254" s="1605">
        <v>3</v>
      </c>
      <c r="EV254" s="1605" t="s">
        <v>986</v>
      </c>
      <c r="EW254" s="1605">
        <v>3</v>
      </c>
      <c r="EX254" s="1605">
        <v>3</v>
      </c>
      <c r="EY254" s="1605" t="s">
        <v>986</v>
      </c>
      <c r="EZ254" s="1605">
        <v>3</v>
      </c>
      <c r="FA254" s="1605">
        <v>3</v>
      </c>
      <c r="FB254" s="1605">
        <v>3</v>
      </c>
      <c r="FC254" s="1605">
        <v>3</v>
      </c>
      <c r="FD254" s="1605" t="s">
        <v>986</v>
      </c>
      <c r="FE254" s="1605" t="s">
        <v>986</v>
      </c>
      <c r="FF254" s="1605" t="s">
        <v>986</v>
      </c>
      <c r="FG254" s="1605" t="s">
        <v>986</v>
      </c>
      <c r="FH254" s="1605">
        <v>0.2</v>
      </c>
      <c r="FI254" s="1605">
        <v>0.8</v>
      </c>
      <c r="FJ254" s="1605" t="s">
        <v>986</v>
      </c>
      <c r="FK254" s="1605">
        <v>1.1000000000000001</v>
      </c>
      <c r="FL254" s="1605" t="s">
        <v>986</v>
      </c>
      <c r="FM254" s="1605" t="s">
        <v>986</v>
      </c>
      <c r="FN254" s="1605" t="s">
        <v>986</v>
      </c>
      <c r="FO254" s="1605" t="s">
        <v>986</v>
      </c>
      <c r="FP254" s="1605" t="s">
        <v>986</v>
      </c>
      <c r="FQ254" s="1605" t="s">
        <v>986</v>
      </c>
      <c r="FR254" s="1605" t="s">
        <v>986</v>
      </c>
      <c r="FS254" s="1605" t="s">
        <v>986</v>
      </c>
      <c r="FT254" s="1605" t="s">
        <v>986</v>
      </c>
      <c r="FU254" s="1605" t="s">
        <v>986</v>
      </c>
      <c r="FV254" s="1605" t="s">
        <v>986</v>
      </c>
      <c r="FW254" s="1605" t="s">
        <v>986</v>
      </c>
      <c r="FX254" s="1605" t="s">
        <v>986</v>
      </c>
      <c r="FY254" s="1605" t="s">
        <v>986</v>
      </c>
      <c r="FZ254" s="1605" t="s">
        <v>986</v>
      </c>
      <c r="GA254" s="1605" t="s">
        <v>986</v>
      </c>
      <c r="GB254" s="1605">
        <v>0.06</v>
      </c>
      <c r="GC254" s="1605" t="s">
        <v>986</v>
      </c>
      <c r="GD254" s="1605" t="s">
        <v>986</v>
      </c>
      <c r="GE254" s="1605">
        <v>0.81</v>
      </c>
      <c r="GF254" s="1605">
        <v>0.56000000000000005</v>
      </c>
      <c r="GG254" s="1605">
        <v>1.31</v>
      </c>
      <c r="GH254" s="1605">
        <v>197.1</v>
      </c>
      <c r="GI254" s="1605">
        <v>1.69</v>
      </c>
      <c r="GJ254" s="1605">
        <v>24.97</v>
      </c>
      <c r="GK254" s="1605">
        <v>28.06</v>
      </c>
      <c r="GL254" s="1605" t="s">
        <v>986</v>
      </c>
      <c r="GM254" s="1605" t="s">
        <v>986</v>
      </c>
      <c r="GN254" s="1605" t="s">
        <v>1591</v>
      </c>
      <c r="GO254" s="1605" t="s">
        <v>1591</v>
      </c>
      <c r="GP254" s="1605" t="s">
        <v>1591</v>
      </c>
      <c r="GQ254" s="1605" t="s">
        <v>1591</v>
      </c>
      <c r="GR254" s="1605" t="s">
        <v>986</v>
      </c>
      <c r="GS254" s="1605" t="s">
        <v>1591</v>
      </c>
      <c r="GT254" s="1605" t="s">
        <v>986</v>
      </c>
      <c r="GU254" s="1605" t="s">
        <v>986</v>
      </c>
      <c r="GV254" s="1605" t="s">
        <v>986</v>
      </c>
      <c r="GW254" s="1605" t="s">
        <v>986</v>
      </c>
      <c r="GX254" s="1605" t="s">
        <v>986</v>
      </c>
      <c r="GY254" s="1605" t="s">
        <v>986</v>
      </c>
      <c r="GZ254" s="1605" t="s">
        <v>986</v>
      </c>
      <c r="HA254" s="1605" t="s">
        <v>986</v>
      </c>
      <c r="HB254" s="1605" t="s">
        <v>986</v>
      </c>
      <c r="HC254" s="1605" t="s">
        <v>986</v>
      </c>
      <c r="HD254" s="1605" t="s">
        <v>986</v>
      </c>
      <c r="HE254" s="1605" t="s">
        <v>986</v>
      </c>
      <c r="HF254" s="1605" t="s">
        <v>986</v>
      </c>
      <c r="HG254" s="1605" t="s">
        <v>986</v>
      </c>
      <c r="HH254" s="1605" t="s">
        <v>986</v>
      </c>
      <c r="HI254" s="1605" t="s">
        <v>1591</v>
      </c>
      <c r="HJ254" s="1605" t="s">
        <v>1591</v>
      </c>
      <c r="HK254" s="1605" t="s">
        <v>986</v>
      </c>
      <c r="HL254" s="1605" t="s">
        <v>986</v>
      </c>
      <c r="HM254" s="1605" t="s">
        <v>1591</v>
      </c>
      <c r="HN254" s="1605" t="s">
        <v>1591</v>
      </c>
      <c r="HO254" s="1605" t="s">
        <v>1591</v>
      </c>
      <c r="HP254" s="1605" t="s">
        <v>1591</v>
      </c>
      <c r="HQ254" s="1605" t="s">
        <v>1591</v>
      </c>
      <c r="HR254" s="1605" t="s">
        <v>1591</v>
      </c>
      <c r="HS254" s="1605" t="s">
        <v>1591</v>
      </c>
      <c r="HT254" s="1605" t="s">
        <v>986</v>
      </c>
      <c r="HU254" s="1605" t="s">
        <v>986</v>
      </c>
      <c r="HV254" s="1617"/>
      <c r="HW254" s="1617" t="s">
        <v>3095</v>
      </c>
      <c r="HX254" s="1617">
        <v>0</v>
      </c>
      <c r="HY254" s="1617">
        <v>0</v>
      </c>
      <c r="HZ254" s="1603"/>
      <c r="IA254" s="1603"/>
      <c r="IB254" s="1603"/>
      <c r="IC254" s="1603">
        <v>50</v>
      </c>
      <c r="ID254" s="1603">
        <v>50</v>
      </c>
      <c r="IE254" s="1603">
        <v>50</v>
      </c>
      <c r="IF254" s="1603">
        <v>50</v>
      </c>
      <c r="IG254" s="1611" t="s">
        <v>3094</v>
      </c>
      <c r="IH254" s="1616" t="s">
        <v>3099</v>
      </c>
      <c r="II254" s="1615" t="s">
        <v>3098</v>
      </c>
      <c r="IJ254" s="1613">
        <v>0.58515555555555554</v>
      </c>
      <c r="IK254" s="1613">
        <v>0.58515555555555554</v>
      </c>
      <c r="IL254" s="1614">
        <v>0.58515555555555554</v>
      </c>
      <c r="IM254" s="1614">
        <v>0.58515555555555554</v>
      </c>
      <c r="IN254" s="1612">
        <v>0.66700000000000004</v>
      </c>
      <c r="IO254" s="1613">
        <v>8.1844444444444497E-2</v>
      </c>
      <c r="IP254" s="1607" t="s">
        <v>270</v>
      </c>
      <c r="IQ254" s="1612">
        <v>0.2</v>
      </c>
      <c r="IR254" s="1612">
        <v>8.0000000000000002E-3</v>
      </c>
      <c r="IS254" s="1607">
        <v>0.51115555555555559</v>
      </c>
      <c r="IT254" s="1607">
        <v>0.51115555555555559</v>
      </c>
      <c r="IU254" s="1611">
        <v>0</v>
      </c>
      <c r="IV254" s="1611">
        <v>5.3666666666666663E-3</v>
      </c>
      <c r="IW254" s="1611">
        <v>1.1111111111111112E-5</v>
      </c>
      <c r="IX254" s="1611">
        <v>2.1111111111111111E-4</v>
      </c>
      <c r="IY254" s="1611">
        <v>1.1111111111111112E-5</v>
      </c>
      <c r="IZ254" s="1611">
        <v>6.8888888888888884E-4</v>
      </c>
      <c r="JA254" s="1611">
        <v>0</v>
      </c>
      <c r="JB254" s="1611" t="s">
        <v>270</v>
      </c>
      <c r="JC254" s="1611">
        <v>1.8511111111111114E-2</v>
      </c>
      <c r="JD254" s="1611">
        <v>2.2222222222222223E-5</v>
      </c>
      <c r="JE254" s="1611" t="s">
        <v>270</v>
      </c>
      <c r="JF254" s="1611">
        <v>2.333333333333333E-4</v>
      </c>
      <c r="JG254" s="1611">
        <v>1.2111111111111112E-3</v>
      </c>
      <c r="JH254" s="1611">
        <v>4.4444444444444447E-5</v>
      </c>
      <c r="JI254" s="1611">
        <v>0.17523333333333335</v>
      </c>
      <c r="JJ254" s="1611" t="s">
        <v>270</v>
      </c>
      <c r="JK254" s="1607">
        <f t="shared" si="12"/>
        <v>7.3999999999999955E-2</v>
      </c>
      <c r="JL254" s="1608" t="s">
        <v>270</v>
      </c>
      <c r="JM254" s="1610" t="s">
        <v>2924</v>
      </c>
      <c r="JN254" s="1608">
        <v>0</v>
      </c>
      <c r="JO254" s="1609" t="s">
        <v>3077</v>
      </c>
      <c r="JP254" s="1608" t="s">
        <v>270</v>
      </c>
      <c r="JQ254" s="1607">
        <v>202103</v>
      </c>
      <c r="JR254" s="1606">
        <v>710</v>
      </c>
      <c r="JS254" s="1606">
        <v>635</v>
      </c>
      <c r="JT254" s="1606">
        <v>635</v>
      </c>
    </row>
    <row r="255" spans="1:280" ht="15" customHeight="1" x14ac:dyDescent="0.2">
      <c r="A255" s="1626">
        <v>67300</v>
      </c>
      <c r="B255" s="1625">
        <v>673</v>
      </c>
      <c r="C255" s="1624">
        <v>0</v>
      </c>
      <c r="D255" s="1623" t="s">
        <v>3097</v>
      </c>
      <c r="E255" s="1622">
        <v>43031</v>
      </c>
      <c r="F255" s="1620">
        <v>0.64830138776616397</v>
      </c>
      <c r="G255" s="1620">
        <v>0.75974956356586298</v>
      </c>
      <c r="H255" s="1621">
        <v>90.3</v>
      </c>
      <c r="I255" s="1621">
        <v>49.8</v>
      </c>
      <c r="J255" s="1621">
        <v>83</v>
      </c>
      <c r="K255" s="1620">
        <v>1</v>
      </c>
      <c r="L255" s="1620">
        <v>91.1</v>
      </c>
      <c r="M255" s="1620">
        <v>8.8367000000000004</v>
      </c>
      <c r="N255" s="1620">
        <v>1.0931999999999999</v>
      </c>
      <c r="O255" s="1620">
        <v>10.021000000000001</v>
      </c>
      <c r="P255" s="1620">
        <v>13.482799999999999</v>
      </c>
      <c r="Q255" s="1603"/>
      <c r="R255" s="1620">
        <v>50</v>
      </c>
      <c r="S255" s="1620">
        <v>50</v>
      </c>
      <c r="T255" s="1620">
        <v>50</v>
      </c>
      <c r="U255" s="1620">
        <v>50</v>
      </c>
      <c r="V255" s="1620">
        <v>50</v>
      </c>
      <c r="W255" s="1620">
        <v>50</v>
      </c>
      <c r="X255" s="1620"/>
      <c r="Y255" s="1620">
        <v>11.7</v>
      </c>
      <c r="Z255" s="1620">
        <v>0.8</v>
      </c>
      <c r="AA255" s="1620">
        <v>2.0000000000000004</v>
      </c>
      <c r="AB255" s="1620">
        <v>0</v>
      </c>
      <c r="AC255" s="1620">
        <v>18.500000000000004</v>
      </c>
      <c r="AD255" s="1620">
        <v>1.8</v>
      </c>
      <c r="AE255" s="1620">
        <v>4.9000000000000004</v>
      </c>
      <c r="AF255" s="1620">
        <v>510.00000000000006</v>
      </c>
      <c r="AG255" s="1620">
        <v>5.8000000000000007</v>
      </c>
      <c r="AH255" s="1620">
        <v>59.000000000000007</v>
      </c>
      <c r="AI255" s="1620">
        <v>41</v>
      </c>
      <c r="AJ255" s="1620">
        <v>0</v>
      </c>
      <c r="AK255" s="1620">
        <v>6.0000000000000005E-2</v>
      </c>
      <c r="AL255" s="1620"/>
      <c r="AM255" s="1620">
        <v>4.24</v>
      </c>
      <c r="AN255" s="1620">
        <v>1.17</v>
      </c>
      <c r="AO255" s="1620">
        <v>0.97</v>
      </c>
      <c r="AP255" s="1620">
        <v>3.09</v>
      </c>
      <c r="AQ255" s="1620">
        <v>0.84</v>
      </c>
      <c r="AR255" s="1620">
        <v>3.31</v>
      </c>
      <c r="AS255" s="1620">
        <v>5</v>
      </c>
      <c r="AT255" s="1620">
        <v>2.25</v>
      </c>
      <c r="AU255" s="1620">
        <v>2.57</v>
      </c>
      <c r="AV255" s="1620">
        <v>3.57</v>
      </c>
      <c r="AW255" s="1620">
        <v>4.59</v>
      </c>
      <c r="AX255" s="1620"/>
      <c r="AY255" s="1620">
        <v>1.04</v>
      </c>
      <c r="AZ255" s="1620">
        <v>1.22</v>
      </c>
      <c r="BA255" s="1620">
        <v>0.44</v>
      </c>
      <c r="BB255" s="1620">
        <v>0.6</v>
      </c>
      <c r="BC255" s="1620">
        <v>0.82</v>
      </c>
      <c r="BD255" s="1620">
        <v>1.2</v>
      </c>
      <c r="BE255" s="1620">
        <v>1.18</v>
      </c>
      <c r="BF255" s="1620">
        <v>1.18</v>
      </c>
      <c r="BG255" s="1620">
        <v>1.02</v>
      </c>
      <c r="BH255" s="1620">
        <v>1.04</v>
      </c>
      <c r="BI255" s="1620">
        <v>0.84</v>
      </c>
      <c r="BJ255" s="1603"/>
      <c r="BK255" s="1620">
        <v>9.7000000000000011</v>
      </c>
      <c r="BL255" s="1620">
        <v>1.2</v>
      </c>
      <c r="BM255" s="1620">
        <v>11.000000000000002</v>
      </c>
      <c r="BN255" s="1620">
        <v>14.8</v>
      </c>
      <c r="BO255" s="1620"/>
      <c r="BP255" s="1620">
        <v>0</v>
      </c>
      <c r="BQ255" s="1620">
        <v>0</v>
      </c>
      <c r="BR255" s="1620">
        <v>0.71163708865660147</v>
      </c>
      <c r="BS255" s="1620">
        <v>0.83397317625231948</v>
      </c>
      <c r="BT255" s="1603"/>
      <c r="BU255" s="1620">
        <v>890</v>
      </c>
      <c r="BV255" s="1620">
        <v>188.83142857142923</v>
      </c>
      <c r="BW255" s="1620">
        <v>514.92857142857088</v>
      </c>
      <c r="BX255" s="1620">
        <v>0</v>
      </c>
      <c r="BY255" s="1620">
        <v>185</v>
      </c>
      <c r="BZ255" s="1620">
        <v>303.89245714285732</v>
      </c>
      <c r="CA255" s="1620">
        <v>280.51611428571465</v>
      </c>
      <c r="CB255" s="1603"/>
      <c r="CC255" s="1603">
        <v>10.658699999999998</v>
      </c>
      <c r="CD255" s="1603">
        <v>0.7288</v>
      </c>
      <c r="CE255" s="1603">
        <v>1.8220000000000003</v>
      </c>
      <c r="CF255" s="1603">
        <v>0</v>
      </c>
      <c r="CG255" s="1603">
        <v>16.8535</v>
      </c>
      <c r="CH255" s="1603">
        <v>1.6397999999999999</v>
      </c>
      <c r="CI255" s="1603">
        <v>4.4638999999999998</v>
      </c>
      <c r="CJ255" s="1603"/>
      <c r="CK255" s="1603">
        <v>464.61</v>
      </c>
      <c r="CL255" s="1603">
        <v>5.2838000000000003</v>
      </c>
      <c r="CM255" s="1603">
        <v>53.749000000000002</v>
      </c>
      <c r="CN255" s="1603">
        <v>37.350999999999999</v>
      </c>
      <c r="CO255" s="1603">
        <v>0</v>
      </c>
      <c r="CP255" s="1603">
        <v>5.466E-2</v>
      </c>
      <c r="CQ255" s="1603">
        <v>44.183500000000002</v>
      </c>
      <c r="CR255" s="1603">
        <v>68.152715440332457</v>
      </c>
      <c r="CS255" s="1603">
        <v>3.0052621400568995</v>
      </c>
      <c r="CT255" s="1603">
        <v>0.97281186019530541</v>
      </c>
      <c r="CU255" s="1603">
        <v>0.2908757894993389</v>
      </c>
      <c r="CV255" s="1603">
        <v>1.2636876496946443</v>
      </c>
      <c r="CW255" s="1603">
        <v>1.2635513442637636</v>
      </c>
      <c r="CX255" s="1603">
        <v>0.46943590395300999</v>
      </c>
      <c r="CY255" s="1603">
        <v>2.707025857290005</v>
      </c>
      <c r="CZ255" s="1603">
        <v>4.0210102109796146</v>
      </c>
      <c r="DA255" s="1603">
        <v>1.8094545949408265</v>
      </c>
      <c r="DB255" s="1603">
        <v>1.786555282552875</v>
      </c>
      <c r="DC255" s="1603">
        <v>2.5303740188686632</v>
      </c>
      <c r="DD255" s="1603">
        <v>4.3169293014215384</v>
      </c>
      <c r="DE255" s="1603">
        <v>2.6276960965174583</v>
      </c>
      <c r="DF255" s="1603">
        <v>0</v>
      </c>
      <c r="DG255" s="1603">
        <v>0</v>
      </c>
      <c r="DH255" s="1603">
        <v>0</v>
      </c>
      <c r="DI255" s="1603">
        <v>0</v>
      </c>
      <c r="DJ255" s="1603">
        <v>0</v>
      </c>
      <c r="DK255" s="1603">
        <v>0</v>
      </c>
      <c r="DL255" s="1603">
        <v>0</v>
      </c>
      <c r="DM255" s="1603">
        <v>0</v>
      </c>
      <c r="DN255" s="1603">
        <v>0</v>
      </c>
      <c r="DO255" s="1603">
        <v>0</v>
      </c>
      <c r="DP255" s="1603">
        <v>0</v>
      </c>
      <c r="DQ255" s="1603">
        <v>0</v>
      </c>
      <c r="DR255" s="1603">
        <v>0</v>
      </c>
      <c r="DS255" s="1603">
        <v>0</v>
      </c>
      <c r="DT255" s="1603">
        <v>0</v>
      </c>
      <c r="DU255" s="1603">
        <v>0</v>
      </c>
      <c r="DV255" s="1603">
        <v>0</v>
      </c>
      <c r="DW255" s="1618" t="s">
        <v>3096</v>
      </c>
      <c r="DX255" s="1605" t="s">
        <v>986</v>
      </c>
      <c r="DY255" s="1605" t="s">
        <v>986</v>
      </c>
      <c r="DZ255" s="1605">
        <v>4</v>
      </c>
      <c r="EA255" s="1605">
        <v>4</v>
      </c>
      <c r="EB255" s="1605">
        <v>1</v>
      </c>
      <c r="EC255" s="1605">
        <v>4</v>
      </c>
      <c r="ED255" s="1605">
        <v>1</v>
      </c>
      <c r="EE255" s="1605">
        <v>1</v>
      </c>
      <c r="EF255" s="1605">
        <v>1</v>
      </c>
      <c r="EG255" s="1605">
        <v>1</v>
      </c>
      <c r="EH255" s="1605" t="s">
        <v>986</v>
      </c>
      <c r="EI255" s="1605" t="s">
        <v>986</v>
      </c>
      <c r="EJ255" s="1605" t="s">
        <v>986</v>
      </c>
      <c r="EK255" s="1605" t="s">
        <v>986</v>
      </c>
      <c r="EL255" s="1605" t="s">
        <v>986</v>
      </c>
      <c r="EM255" s="1605" t="s">
        <v>986</v>
      </c>
      <c r="EN255" s="1605" t="s">
        <v>986</v>
      </c>
      <c r="EO255" s="1605" t="s">
        <v>986</v>
      </c>
      <c r="EP255" s="1605" t="s">
        <v>986</v>
      </c>
      <c r="EQ255" s="1605" t="s">
        <v>986</v>
      </c>
      <c r="ER255" s="1605" t="s">
        <v>986</v>
      </c>
      <c r="ES255" s="1605">
        <v>3</v>
      </c>
      <c r="ET255" s="1605">
        <v>4</v>
      </c>
      <c r="EU255" s="1605">
        <v>4</v>
      </c>
      <c r="EV255" s="1605" t="s">
        <v>986</v>
      </c>
      <c r="EW255" s="1605">
        <v>4</v>
      </c>
      <c r="EX255" s="1605">
        <v>4</v>
      </c>
      <c r="EY255" s="1605" t="s">
        <v>986</v>
      </c>
      <c r="EZ255" s="1605">
        <v>4</v>
      </c>
      <c r="FA255" s="1605">
        <v>4</v>
      </c>
      <c r="FB255" s="1605">
        <v>4</v>
      </c>
      <c r="FC255" s="1605">
        <v>4</v>
      </c>
      <c r="FD255" s="1605" t="s">
        <v>986</v>
      </c>
      <c r="FE255" s="1605" t="s">
        <v>986</v>
      </c>
      <c r="FF255" s="1605" t="s">
        <v>986</v>
      </c>
      <c r="FG255" s="1605" t="s">
        <v>986</v>
      </c>
      <c r="FH255" s="1605">
        <v>0.2</v>
      </c>
      <c r="FI255" s="1605">
        <v>3.2</v>
      </c>
      <c r="FJ255" s="1605" t="s">
        <v>986</v>
      </c>
      <c r="FK255" s="1605">
        <v>1.2</v>
      </c>
      <c r="FL255" s="1605" t="s">
        <v>986</v>
      </c>
      <c r="FM255" s="1605" t="s">
        <v>986</v>
      </c>
      <c r="FN255" s="1605" t="s">
        <v>986</v>
      </c>
      <c r="FO255" s="1605" t="s">
        <v>986</v>
      </c>
      <c r="FP255" s="1605" t="s">
        <v>986</v>
      </c>
      <c r="FQ255" s="1605" t="s">
        <v>986</v>
      </c>
      <c r="FR255" s="1605" t="s">
        <v>986</v>
      </c>
      <c r="FS255" s="1605" t="s">
        <v>986</v>
      </c>
      <c r="FT255" s="1605" t="s">
        <v>986</v>
      </c>
      <c r="FU255" s="1605" t="s">
        <v>986</v>
      </c>
      <c r="FV255" s="1605" t="s">
        <v>986</v>
      </c>
      <c r="FW255" s="1605" t="s">
        <v>986</v>
      </c>
      <c r="FX255" s="1605" t="s">
        <v>986</v>
      </c>
      <c r="FY255" s="1605" t="s">
        <v>986</v>
      </c>
      <c r="FZ255" s="1605" t="s">
        <v>986</v>
      </c>
      <c r="GA255" s="1605" t="s">
        <v>986</v>
      </c>
      <c r="GB255" s="1605">
        <v>0.08</v>
      </c>
      <c r="GC255" s="1605" t="s">
        <v>986</v>
      </c>
      <c r="GD255" s="1605" t="s">
        <v>986</v>
      </c>
      <c r="GE255" s="1605">
        <v>3.76</v>
      </c>
      <c r="GF255" s="1605">
        <v>0.2</v>
      </c>
      <c r="GG255" s="1605">
        <v>0.43</v>
      </c>
      <c r="GH255" s="1605">
        <v>102.7</v>
      </c>
      <c r="GI255" s="1605">
        <v>1.42</v>
      </c>
      <c r="GJ255" s="1605">
        <v>5.61</v>
      </c>
      <c r="GK255" s="1605">
        <v>27.62</v>
      </c>
      <c r="GL255" s="1605" t="s">
        <v>986</v>
      </c>
      <c r="GM255" s="1605" t="s">
        <v>986</v>
      </c>
      <c r="GN255" s="1605" t="s">
        <v>1591</v>
      </c>
      <c r="GO255" s="1605" t="s">
        <v>1591</v>
      </c>
      <c r="GP255" s="1605" t="s">
        <v>1591</v>
      </c>
      <c r="GQ255" s="1605" t="s">
        <v>1591</v>
      </c>
      <c r="GR255" s="1605" t="s">
        <v>1591</v>
      </c>
      <c r="GS255" s="1605" t="s">
        <v>1591</v>
      </c>
      <c r="GT255" s="1605" t="s">
        <v>1591</v>
      </c>
      <c r="GU255" s="1605" t="s">
        <v>1591</v>
      </c>
      <c r="GV255" s="1605" t="s">
        <v>1591</v>
      </c>
      <c r="GW255" s="1605" t="s">
        <v>986</v>
      </c>
      <c r="GX255" s="1605" t="s">
        <v>986</v>
      </c>
      <c r="GY255" s="1605" t="s">
        <v>986</v>
      </c>
      <c r="GZ255" s="1605" t="s">
        <v>986</v>
      </c>
      <c r="HA255" s="1605" t="s">
        <v>986</v>
      </c>
      <c r="HB255" s="1605" t="s">
        <v>986</v>
      </c>
      <c r="HC255" s="1605" t="s">
        <v>986</v>
      </c>
      <c r="HD255" s="1605" t="s">
        <v>986</v>
      </c>
      <c r="HE255" s="1605" t="s">
        <v>986</v>
      </c>
      <c r="HF255" s="1605" t="s">
        <v>986</v>
      </c>
      <c r="HG255" s="1605" t="s">
        <v>986</v>
      </c>
      <c r="HH255" s="1605" t="s">
        <v>986</v>
      </c>
      <c r="HI255" s="1605" t="s">
        <v>1591</v>
      </c>
      <c r="HJ255" s="1605" t="s">
        <v>1591</v>
      </c>
      <c r="HK255" s="1605" t="s">
        <v>986</v>
      </c>
      <c r="HL255" s="1605" t="s">
        <v>986</v>
      </c>
      <c r="HM255" s="1605" t="s">
        <v>1591</v>
      </c>
      <c r="HN255" s="1605" t="s">
        <v>1591</v>
      </c>
      <c r="HO255" s="1605" t="s">
        <v>1591</v>
      </c>
      <c r="HP255" s="1605" t="s">
        <v>1591</v>
      </c>
      <c r="HQ255" s="1605" t="s">
        <v>1591</v>
      </c>
      <c r="HR255" s="1605" t="s">
        <v>1591</v>
      </c>
      <c r="HS255" s="1605" t="s">
        <v>1591</v>
      </c>
      <c r="HT255" s="1605" t="s">
        <v>986</v>
      </c>
      <c r="HU255" s="1605" t="s">
        <v>986</v>
      </c>
      <c r="HV255" s="1617"/>
      <c r="HW255" s="1617" t="s">
        <v>3095</v>
      </c>
      <c r="HX255" s="1617">
        <v>0</v>
      </c>
      <c r="HY255" s="1617">
        <v>0</v>
      </c>
      <c r="HZ255" s="1603"/>
      <c r="IA255" s="1603"/>
      <c r="IB255" s="1603"/>
      <c r="IC255" s="1603">
        <v>50</v>
      </c>
      <c r="ID255" s="1603">
        <v>50</v>
      </c>
      <c r="IE255" s="1603">
        <v>50</v>
      </c>
      <c r="IF255" s="1603">
        <v>50</v>
      </c>
      <c r="IG255" s="1611" t="s">
        <v>3094</v>
      </c>
      <c r="IH255" s="1616" t="s">
        <v>3093</v>
      </c>
      <c r="II255" s="1615" t="s">
        <v>3092</v>
      </c>
      <c r="IJ255" s="1613">
        <v>0.58515555555555554</v>
      </c>
      <c r="IK255" s="1613">
        <v>0.58515555555555554</v>
      </c>
      <c r="IL255" s="1614">
        <v>0.58515555555555554</v>
      </c>
      <c r="IM255" s="1614">
        <v>0.58515555555555554</v>
      </c>
      <c r="IN255" s="1612">
        <v>0.66700000000000004</v>
      </c>
      <c r="IO255" s="1613">
        <v>8.1844444444444497E-2</v>
      </c>
      <c r="IP255" s="1607" t="s">
        <v>270</v>
      </c>
      <c r="IQ255" s="1612">
        <v>0.2</v>
      </c>
      <c r="IR255" s="1612">
        <v>8.0000000000000002E-3</v>
      </c>
      <c r="IS255" s="1607">
        <v>0.51115555555555559</v>
      </c>
      <c r="IT255" s="1607">
        <v>0.51115555555555559</v>
      </c>
      <c r="IU255" s="1611">
        <v>0</v>
      </c>
      <c r="IV255" s="1611">
        <v>5.3666666666666663E-3</v>
      </c>
      <c r="IW255" s="1611">
        <v>1.1111111111111112E-5</v>
      </c>
      <c r="IX255" s="1611">
        <v>2.1111111111111111E-4</v>
      </c>
      <c r="IY255" s="1611">
        <v>1.1111111111111112E-5</v>
      </c>
      <c r="IZ255" s="1611">
        <v>6.8888888888888884E-4</v>
      </c>
      <c r="JA255" s="1611">
        <v>0</v>
      </c>
      <c r="JB255" s="1611" t="s">
        <v>270</v>
      </c>
      <c r="JC255" s="1611">
        <v>1.8511111111111114E-2</v>
      </c>
      <c r="JD255" s="1611">
        <v>2.2222222222222223E-5</v>
      </c>
      <c r="JE255" s="1611" t="s">
        <v>270</v>
      </c>
      <c r="JF255" s="1611">
        <v>2.333333333333333E-4</v>
      </c>
      <c r="JG255" s="1611">
        <v>1.2111111111111112E-3</v>
      </c>
      <c r="JH255" s="1611">
        <v>4.4444444444444447E-5</v>
      </c>
      <c r="JI255" s="1611">
        <v>0.17523333333333335</v>
      </c>
      <c r="JJ255" s="1611" t="s">
        <v>270</v>
      </c>
      <c r="JK255" s="1607">
        <f t="shared" si="12"/>
        <v>7.3999999999999955E-2</v>
      </c>
      <c r="JL255" s="1608" t="s">
        <v>270</v>
      </c>
      <c r="JM255" s="1610" t="s">
        <v>2924</v>
      </c>
      <c r="JN255" s="1608">
        <v>0</v>
      </c>
      <c r="JO255" s="1609" t="s">
        <v>3077</v>
      </c>
      <c r="JP255" s="1608" t="s">
        <v>270</v>
      </c>
      <c r="JQ255" s="1607">
        <v>202103</v>
      </c>
      <c r="JR255" s="1606">
        <v>710</v>
      </c>
      <c r="JS255" s="1606">
        <v>635</v>
      </c>
      <c r="JT255" s="1606">
        <v>635</v>
      </c>
    </row>
    <row r="256" spans="1:280" ht="15" customHeight="1" x14ac:dyDescent="0.2">
      <c r="A256" s="1626">
        <v>67000</v>
      </c>
      <c r="B256" s="1625">
        <v>670</v>
      </c>
      <c r="C256" s="1624">
        <v>0</v>
      </c>
      <c r="D256" s="1623" t="s">
        <v>3091</v>
      </c>
      <c r="E256" s="1622">
        <v>43031</v>
      </c>
      <c r="F256" s="1620" t="s">
        <v>270</v>
      </c>
      <c r="G256" s="1620" t="s">
        <v>270</v>
      </c>
      <c r="H256" s="1621" t="s">
        <v>270</v>
      </c>
      <c r="I256" s="1621" t="s">
        <v>270</v>
      </c>
      <c r="J256" s="1621">
        <v>86</v>
      </c>
      <c r="K256" s="1620">
        <v>1</v>
      </c>
      <c r="L256" s="1620">
        <v>93</v>
      </c>
      <c r="M256" s="1620">
        <v>5.4000003599999999</v>
      </c>
      <c r="N256" s="1620">
        <v>0</v>
      </c>
      <c r="O256" s="1620">
        <v>6.0000000900000003</v>
      </c>
      <c r="P256" s="1620">
        <v>6.0000000900000003</v>
      </c>
      <c r="Q256" s="1603"/>
      <c r="R256" s="1620">
        <v>50</v>
      </c>
      <c r="S256" s="1620">
        <v>50</v>
      </c>
      <c r="T256" s="1620">
        <v>50</v>
      </c>
      <c r="U256" s="1620">
        <v>50</v>
      </c>
      <c r="V256" s="1620">
        <v>50</v>
      </c>
      <c r="W256" s="1620">
        <v>50</v>
      </c>
      <c r="X256" s="1620"/>
      <c r="Y256" s="1620">
        <v>3.1182799999999999</v>
      </c>
      <c r="Z256" s="1620">
        <v>1.82796</v>
      </c>
      <c r="AA256" s="1620">
        <v>0.96774000000000004</v>
      </c>
      <c r="AB256" s="1620">
        <v>0</v>
      </c>
      <c r="AC256" s="1620">
        <v>10.967739999999999</v>
      </c>
      <c r="AD256" s="1620">
        <v>1.5</v>
      </c>
      <c r="AE256" s="1620">
        <v>0</v>
      </c>
      <c r="AF256" s="1620">
        <v>1100</v>
      </c>
      <c r="AG256" s="1620">
        <v>6</v>
      </c>
      <c r="AH256" s="1620">
        <v>102</v>
      </c>
      <c r="AI256" s="1620">
        <v>28</v>
      </c>
      <c r="AJ256" s="1620">
        <v>0</v>
      </c>
      <c r="AK256" s="1620">
        <v>0.06</v>
      </c>
      <c r="AL256" s="1620"/>
      <c r="AM256" s="1620">
        <v>2.71</v>
      </c>
      <c r="AN256" s="1620">
        <v>1.1299999999999999</v>
      </c>
      <c r="AO256" s="1620">
        <v>0.82</v>
      </c>
      <c r="AP256" s="1620">
        <v>2.4700000000000002</v>
      </c>
      <c r="AQ256" s="1620">
        <v>0.52</v>
      </c>
      <c r="AR256" s="1620">
        <v>2.4700000000000002</v>
      </c>
      <c r="AS256" s="1620">
        <v>3.82</v>
      </c>
      <c r="AT256" s="1620">
        <v>1.5</v>
      </c>
      <c r="AU256" s="1620">
        <v>1.95</v>
      </c>
      <c r="AV256" s="1620">
        <v>2.3199999999999998</v>
      </c>
      <c r="AW256" s="1620">
        <v>3.29</v>
      </c>
      <c r="AX256" s="1620"/>
      <c r="AY256" s="1620">
        <v>1</v>
      </c>
      <c r="AZ256" s="1620">
        <v>1</v>
      </c>
      <c r="BA256" s="1620">
        <v>1</v>
      </c>
      <c r="BB256" s="1620">
        <v>1</v>
      </c>
      <c r="BC256" s="1620">
        <v>1</v>
      </c>
      <c r="BD256" s="1620">
        <v>1</v>
      </c>
      <c r="BE256" s="1620">
        <v>1</v>
      </c>
      <c r="BF256" s="1620">
        <v>1</v>
      </c>
      <c r="BG256" s="1620">
        <v>1</v>
      </c>
      <c r="BH256" s="1620">
        <v>1</v>
      </c>
      <c r="BI256" s="1620">
        <v>1</v>
      </c>
      <c r="BJ256" s="1603"/>
      <c r="BK256" s="1620">
        <v>5.8064520000000002</v>
      </c>
      <c r="BL256" s="1620">
        <v>0</v>
      </c>
      <c r="BM256" s="1620">
        <v>6.4516130000000009</v>
      </c>
      <c r="BN256" s="1620">
        <v>6.4516130000000009</v>
      </c>
      <c r="BO256" s="1620"/>
      <c r="BP256" s="1620">
        <v>0</v>
      </c>
      <c r="BQ256" s="1620">
        <v>0</v>
      </c>
      <c r="BR256" s="1620" t="s">
        <v>270</v>
      </c>
      <c r="BS256" s="1620" t="s">
        <v>270</v>
      </c>
      <c r="BT256" s="1603"/>
      <c r="BU256" s="1620">
        <v>935.48387000000002</v>
      </c>
      <c r="BV256" s="1620" t="s">
        <v>270</v>
      </c>
      <c r="BW256" s="1620" t="s">
        <v>270</v>
      </c>
      <c r="BX256" s="1620" t="s">
        <v>270</v>
      </c>
      <c r="BY256" s="1620" t="s">
        <v>270</v>
      </c>
      <c r="BZ256" s="1620" t="s">
        <v>270</v>
      </c>
      <c r="CA256" s="1620" t="s">
        <v>270</v>
      </c>
      <c r="CB256" s="1603"/>
      <c r="CC256" s="1603">
        <v>2.9000004000000001</v>
      </c>
      <c r="CD256" s="1603">
        <v>1.7000028</v>
      </c>
      <c r="CE256" s="1603">
        <v>0.89999820000000008</v>
      </c>
      <c r="CF256" s="1603">
        <v>0</v>
      </c>
      <c r="CG256" s="1603">
        <v>10.1999982</v>
      </c>
      <c r="CH256" s="1603">
        <v>1.395</v>
      </c>
      <c r="CI256" s="1603">
        <v>0</v>
      </c>
      <c r="CJ256" s="1603"/>
      <c r="CK256" s="1603">
        <v>1023</v>
      </c>
      <c r="CL256" s="1603">
        <v>5.58</v>
      </c>
      <c r="CM256" s="1603">
        <v>94.86</v>
      </c>
      <c r="CN256" s="1603">
        <v>26.040000000000003</v>
      </c>
      <c r="CO256" s="1603">
        <v>0</v>
      </c>
      <c r="CP256" s="1603">
        <v>5.5800000000000002E-2</v>
      </c>
      <c r="CQ256" s="1603">
        <v>27.0000018</v>
      </c>
      <c r="CR256" s="1603" t="s">
        <v>270</v>
      </c>
      <c r="CS256" s="1603" t="s">
        <v>270</v>
      </c>
      <c r="CT256" s="1603" t="s">
        <v>270</v>
      </c>
      <c r="CU256" s="1603" t="s">
        <v>270</v>
      </c>
      <c r="CV256" s="1603" t="s">
        <v>270</v>
      </c>
      <c r="CW256" s="1603" t="s">
        <v>270</v>
      </c>
      <c r="CX256" s="1603" t="s">
        <v>270</v>
      </c>
      <c r="CY256" s="1603" t="s">
        <v>270</v>
      </c>
      <c r="CZ256" s="1603" t="s">
        <v>270</v>
      </c>
      <c r="DA256" s="1603" t="s">
        <v>270</v>
      </c>
      <c r="DB256" s="1603" t="s">
        <v>270</v>
      </c>
      <c r="DC256" s="1603" t="s">
        <v>270</v>
      </c>
      <c r="DD256" s="1603" t="s">
        <v>270</v>
      </c>
      <c r="DE256" s="1603" t="s">
        <v>270</v>
      </c>
      <c r="DF256" s="1603">
        <v>0</v>
      </c>
      <c r="DG256" s="1603">
        <v>0</v>
      </c>
      <c r="DH256" s="1603">
        <v>0</v>
      </c>
      <c r="DI256" s="1603">
        <v>0</v>
      </c>
      <c r="DJ256" s="1603">
        <v>0</v>
      </c>
      <c r="DK256" s="1603">
        <v>0</v>
      </c>
      <c r="DL256" s="1603">
        <v>0</v>
      </c>
      <c r="DM256" s="1603">
        <v>0</v>
      </c>
      <c r="DN256" s="1603">
        <v>0</v>
      </c>
      <c r="DO256" s="1603">
        <v>0</v>
      </c>
      <c r="DP256" s="1603">
        <v>0</v>
      </c>
      <c r="DQ256" s="1603">
        <v>0</v>
      </c>
      <c r="DR256" s="1603">
        <v>0</v>
      </c>
      <c r="DS256" s="1603">
        <v>0</v>
      </c>
      <c r="DT256" s="1603">
        <v>0</v>
      </c>
      <c r="DU256" s="1603">
        <v>0</v>
      </c>
      <c r="DV256" s="1603">
        <v>0</v>
      </c>
      <c r="DW256" s="1618" t="s">
        <v>3090</v>
      </c>
      <c r="DX256" s="1605" t="s">
        <v>986</v>
      </c>
      <c r="DY256" s="1605" t="s">
        <v>986</v>
      </c>
      <c r="DZ256" s="1605" t="s">
        <v>986</v>
      </c>
      <c r="EA256" s="1605" t="s">
        <v>986</v>
      </c>
      <c r="EB256" s="1605" t="s">
        <v>986</v>
      </c>
      <c r="EC256" s="1605" t="s">
        <v>986</v>
      </c>
      <c r="ED256" s="1605" t="s">
        <v>986</v>
      </c>
      <c r="EE256" s="1605" t="s">
        <v>986</v>
      </c>
      <c r="EF256" s="1605" t="s">
        <v>986</v>
      </c>
      <c r="EG256" s="1605" t="s">
        <v>986</v>
      </c>
      <c r="EH256" s="1605" t="s">
        <v>986</v>
      </c>
      <c r="EI256" s="1605" t="s">
        <v>986</v>
      </c>
      <c r="EJ256" s="1605" t="s">
        <v>986</v>
      </c>
      <c r="EK256" s="1605" t="s">
        <v>986</v>
      </c>
      <c r="EL256" s="1605" t="s">
        <v>986</v>
      </c>
      <c r="EM256" s="1605" t="s">
        <v>986</v>
      </c>
      <c r="EN256" s="1605" t="s">
        <v>986</v>
      </c>
      <c r="EO256" s="1605" t="s">
        <v>986</v>
      </c>
      <c r="EP256" s="1605" t="s">
        <v>986</v>
      </c>
      <c r="EQ256" s="1605" t="s">
        <v>986</v>
      </c>
      <c r="ER256" s="1605" t="s">
        <v>986</v>
      </c>
      <c r="ES256" s="1605" t="s">
        <v>986</v>
      </c>
      <c r="ET256" s="1605" t="s">
        <v>986</v>
      </c>
      <c r="EU256" s="1605" t="s">
        <v>986</v>
      </c>
      <c r="EV256" s="1605" t="s">
        <v>986</v>
      </c>
      <c r="EW256" s="1605" t="s">
        <v>986</v>
      </c>
      <c r="EX256" s="1605" t="s">
        <v>986</v>
      </c>
      <c r="EY256" s="1605" t="s">
        <v>986</v>
      </c>
      <c r="EZ256" s="1605" t="s">
        <v>986</v>
      </c>
      <c r="FA256" s="1605" t="s">
        <v>986</v>
      </c>
      <c r="FB256" s="1605" t="s">
        <v>986</v>
      </c>
      <c r="FC256" s="1605" t="s">
        <v>986</v>
      </c>
      <c r="FD256" s="1605" t="s">
        <v>986</v>
      </c>
      <c r="FE256" s="1605" t="s">
        <v>986</v>
      </c>
      <c r="FF256" s="1605" t="s">
        <v>986</v>
      </c>
      <c r="FG256" s="1605" t="s">
        <v>986</v>
      </c>
      <c r="FH256" s="1605" t="s">
        <v>986</v>
      </c>
      <c r="FI256" s="1605" t="s">
        <v>986</v>
      </c>
      <c r="FJ256" s="1605" t="s">
        <v>986</v>
      </c>
      <c r="FK256" s="1605" t="s">
        <v>986</v>
      </c>
      <c r="FL256" s="1605" t="s">
        <v>986</v>
      </c>
      <c r="FM256" s="1605" t="s">
        <v>986</v>
      </c>
      <c r="FN256" s="1605" t="s">
        <v>986</v>
      </c>
      <c r="FO256" s="1605" t="s">
        <v>986</v>
      </c>
      <c r="FP256" s="1605" t="s">
        <v>986</v>
      </c>
      <c r="FQ256" s="1605" t="s">
        <v>986</v>
      </c>
      <c r="FR256" s="1605" t="s">
        <v>986</v>
      </c>
      <c r="FS256" s="1605" t="s">
        <v>986</v>
      </c>
      <c r="FT256" s="1605" t="s">
        <v>986</v>
      </c>
      <c r="FU256" s="1605" t="s">
        <v>986</v>
      </c>
      <c r="FV256" s="1605" t="s">
        <v>986</v>
      </c>
      <c r="FW256" s="1605" t="s">
        <v>986</v>
      </c>
      <c r="FX256" s="1605" t="s">
        <v>986</v>
      </c>
      <c r="FY256" s="1605" t="s">
        <v>986</v>
      </c>
      <c r="FZ256" s="1605" t="s">
        <v>986</v>
      </c>
      <c r="GA256" s="1605" t="s">
        <v>986</v>
      </c>
      <c r="GB256" s="1605" t="s">
        <v>986</v>
      </c>
      <c r="GC256" s="1605" t="s">
        <v>986</v>
      </c>
      <c r="GD256" s="1605" t="s">
        <v>986</v>
      </c>
      <c r="GE256" s="1605" t="s">
        <v>986</v>
      </c>
      <c r="GF256" s="1605" t="s">
        <v>986</v>
      </c>
      <c r="GG256" s="1605" t="s">
        <v>986</v>
      </c>
      <c r="GH256" s="1605" t="s">
        <v>986</v>
      </c>
      <c r="GI256" s="1605" t="s">
        <v>986</v>
      </c>
      <c r="GJ256" s="1605" t="s">
        <v>986</v>
      </c>
      <c r="GK256" s="1605" t="s">
        <v>986</v>
      </c>
      <c r="GL256" s="1605" t="s">
        <v>986</v>
      </c>
      <c r="GM256" s="1605" t="s">
        <v>986</v>
      </c>
      <c r="GN256" s="1605" t="s">
        <v>986</v>
      </c>
      <c r="GO256" s="1605" t="s">
        <v>986</v>
      </c>
      <c r="GP256" s="1605" t="s">
        <v>986</v>
      </c>
      <c r="GQ256" s="1605" t="s">
        <v>986</v>
      </c>
      <c r="GR256" s="1605" t="s">
        <v>986</v>
      </c>
      <c r="GS256" s="1605" t="s">
        <v>986</v>
      </c>
      <c r="GT256" s="1605" t="s">
        <v>986</v>
      </c>
      <c r="GU256" s="1605" t="s">
        <v>986</v>
      </c>
      <c r="GV256" s="1605" t="s">
        <v>986</v>
      </c>
      <c r="GW256" s="1605" t="s">
        <v>986</v>
      </c>
      <c r="GX256" s="1605" t="s">
        <v>986</v>
      </c>
      <c r="GY256" s="1605" t="s">
        <v>986</v>
      </c>
      <c r="GZ256" s="1605" t="s">
        <v>986</v>
      </c>
      <c r="HA256" s="1605" t="s">
        <v>986</v>
      </c>
      <c r="HB256" s="1605" t="s">
        <v>986</v>
      </c>
      <c r="HC256" s="1605" t="s">
        <v>986</v>
      </c>
      <c r="HD256" s="1605" t="s">
        <v>986</v>
      </c>
      <c r="HE256" s="1605" t="s">
        <v>986</v>
      </c>
      <c r="HF256" s="1605" t="s">
        <v>986</v>
      </c>
      <c r="HG256" s="1605" t="s">
        <v>986</v>
      </c>
      <c r="HH256" s="1605" t="s">
        <v>986</v>
      </c>
      <c r="HI256" s="1605" t="s">
        <v>986</v>
      </c>
      <c r="HJ256" s="1605" t="s">
        <v>986</v>
      </c>
      <c r="HK256" s="1605" t="s">
        <v>986</v>
      </c>
      <c r="HL256" s="1605" t="s">
        <v>986</v>
      </c>
      <c r="HM256" s="1605" t="s">
        <v>986</v>
      </c>
      <c r="HN256" s="1605" t="s">
        <v>986</v>
      </c>
      <c r="HO256" s="1605" t="s">
        <v>986</v>
      </c>
      <c r="HP256" s="1605" t="s">
        <v>986</v>
      </c>
      <c r="HQ256" s="1605" t="s">
        <v>986</v>
      </c>
      <c r="HR256" s="1605" t="s">
        <v>986</v>
      </c>
      <c r="HS256" s="1605" t="s">
        <v>986</v>
      </c>
      <c r="HT256" s="1605" t="s">
        <v>986</v>
      </c>
      <c r="HU256" s="1605" t="s">
        <v>986</v>
      </c>
      <c r="HV256" s="1617"/>
      <c r="HW256" s="1617" t="s">
        <v>3089</v>
      </c>
      <c r="HX256" s="1617" t="s">
        <v>3088</v>
      </c>
      <c r="HY256" s="1617" t="s">
        <v>3087</v>
      </c>
      <c r="HZ256" s="1603"/>
      <c r="IA256" s="1603"/>
      <c r="IB256" s="1603"/>
      <c r="IC256" s="1603">
        <v>50</v>
      </c>
      <c r="ID256" s="1603">
        <v>50</v>
      </c>
      <c r="IE256" s="1603">
        <v>50</v>
      </c>
      <c r="IF256" s="1603">
        <v>50</v>
      </c>
      <c r="IG256" s="1611" t="s">
        <v>3086</v>
      </c>
      <c r="IH256" s="1616" t="s">
        <v>270</v>
      </c>
      <c r="II256" s="1615" t="s">
        <v>270</v>
      </c>
      <c r="IJ256" s="1613">
        <v>7.3999999999999996E-2</v>
      </c>
      <c r="IK256" s="1613">
        <v>7.3999999999999996E-2</v>
      </c>
      <c r="IL256" s="1614">
        <v>7.3999999999999996E-2</v>
      </c>
      <c r="IM256" s="1614">
        <v>7.3999999999999996E-2</v>
      </c>
      <c r="IN256" s="1612" t="s">
        <v>270</v>
      </c>
      <c r="IO256" s="1613" t="s">
        <v>270</v>
      </c>
      <c r="IP256" s="1607" t="s">
        <v>270</v>
      </c>
      <c r="IQ256" s="1612" t="s">
        <v>270</v>
      </c>
      <c r="IR256" s="1612" t="s">
        <v>270</v>
      </c>
      <c r="IS256" s="1607">
        <v>0</v>
      </c>
      <c r="IT256" s="1607">
        <v>0</v>
      </c>
      <c r="IU256" s="1611">
        <v>0</v>
      </c>
      <c r="IV256" s="1611">
        <v>0</v>
      </c>
      <c r="IW256" s="1611">
        <v>0</v>
      </c>
      <c r="IX256" s="1611">
        <v>0</v>
      </c>
      <c r="IY256" s="1611">
        <v>0</v>
      </c>
      <c r="IZ256" s="1611">
        <v>0</v>
      </c>
      <c r="JA256" s="1611">
        <v>0</v>
      </c>
      <c r="JB256" s="1611" t="s">
        <v>270</v>
      </c>
      <c r="JC256" s="1611">
        <v>0</v>
      </c>
      <c r="JD256" s="1611">
        <v>0</v>
      </c>
      <c r="JE256" s="1611" t="s">
        <v>270</v>
      </c>
      <c r="JF256" s="1611">
        <v>0</v>
      </c>
      <c r="JG256" s="1611">
        <v>0</v>
      </c>
      <c r="JH256" s="1611">
        <v>0</v>
      </c>
      <c r="JI256" s="1611">
        <v>0</v>
      </c>
      <c r="JJ256" s="1611" t="s">
        <v>270</v>
      </c>
      <c r="JK256" s="1607">
        <f t="shared" si="12"/>
        <v>7.3999999999999996E-2</v>
      </c>
      <c r="JL256" s="1608" t="s">
        <v>270</v>
      </c>
      <c r="JM256" s="1610" t="s">
        <v>2924</v>
      </c>
      <c r="JN256" s="1608">
        <v>0</v>
      </c>
      <c r="JO256" s="1609" t="s">
        <v>3077</v>
      </c>
      <c r="JP256" s="1608" t="s">
        <v>270</v>
      </c>
      <c r="JQ256" s="1607">
        <v>202103</v>
      </c>
      <c r="JR256" s="1606">
        <v>718</v>
      </c>
      <c r="JS256" s="1606">
        <v>644</v>
      </c>
      <c r="JT256" s="1606">
        <v>644</v>
      </c>
    </row>
    <row r="257" spans="1:280" ht="15" customHeight="1" x14ac:dyDescent="0.2">
      <c r="A257" s="1626">
        <v>72500</v>
      </c>
      <c r="B257" s="1625">
        <v>725</v>
      </c>
      <c r="C257" s="1624">
        <v>0</v>
      </c>
      <c r="D257" s="1623" t="s">
        <v>3085</v>
      </c>
      <c r="E257" s="1622">
        <v>43031</v>
      </c>
      <c r="F257" s="1620">
        <v>0.68235393681765399</v>
      </c>
      <c r="G257" s="1620">
        <v>0.65834463810612298</v>
      </c>
      <c r="H257" s="1621">
        <v>99</v>
      </c>
      <c r="I257" s="1621">
        <v>97</v>
      </c>
      <c r="J257" s="1621">
        <v>90</v>
      </c>
      <c r="K257" s="1620">
        <v>0.8</v>
      </c>
      <c r="L257" s="1620">
        <v>72.599999999999994</v>
      </c>
      <c r="M257" s="1620">
        <v>5.0819999999999999</v>
      </c>
      <c r="N257" s="1620">
        <v>0.21779999999999999</v>
      </c>
      <c r="O257" s="1620">
        <v>15.5364</v>
      </c>
      <c r="P257" s="1620">
        <v>0</v>
      </c>
      <c r="Q257" s="1603"/>
      <c r="R257" s="1620">
        <v>50</v>
      </c>
      <c r="S257" s="1620">
        <v>50</v>
      </c>
      <c r="T257" s="1620">
        <v>50</v>
      </c>
      <c r="U257" s="1620">
        <v>50</v>
      </c>
      <c r="V257" s="1620">
        <v>50</v>
      </c>
      <c r="W257" s="1620">
        <v>50</v>
      </c>
      <c r="X257" s="1620"/>
      <c r="Y257" s="1620">
        <v>5.4</v>
      </c>
      <c r="Z257" s="1620">
        <v>0.70000000000000007</v>
      </c>
      <c r="AA257" s="1620">
        <v>2.2999999999999998</v>
      </c>
      <c r="AB257" s="1620">
        <v>0</v>
      </c>
      <c r="AC257" s="1620">
        <v>49</v>
      </c>
      <c r="AD257" s="1620">
        <v>4</v>
      </c>
      <c r="AE257" s="1620">
        <v>6.7</v>
      </c>
      <c r="AF257" s="1620">
        <v>150</v>
      </c>
      <c r="AG257" s="1620">
        <v>4.5999999999999996</v>
      </c>
      <c r="AH257" s="1620">
        <v>13.000000000000002</v>
      </c>
      <c r="AI257" s="1620">
        <v>7.8</v>
      </c>
      <c r="AJ257" s="1620">
        <v>0</v>
      </c>
      <c r="AK257" s="1620">
        <v>0.44</v>
      </c>
      <c r="AL257" s="1620"/>
      <c r="AM257" s="1620">
        <v>0.67</v>
      </c>
      <c r="AN257" s="1620">
        <v>0.46</v>
      </c>
      <c r="AO257" s="1620">
        <v>0.59</v>
      </c>
      <c r="AP257" s="1620">
        <v>1.19</v>
      </c>
      <c r="AQ257" s="1620">
        <v>0</v>
      </c>
      <c r="AR257" s="1620">
        <v>0.81</v>
      </c>
      <c r="AS257" s="1620">
        <v>0.53</v>
      </c>
      <c r="AT257" s="1620">
        <v>0.19</v>
      </c>
      <c r="AU257" s="1620">
        <v>0.43</v>
      </c>
      <c r="AV257" s="1620">
        <v>0.4</v>
      </c>
      <c r="AW257" s="1620">
        <v>1.56</v>
      </c>
      <c r="AX257" s="1620"/>
      <c r="AY257" s="1620">
        <v>1</v>
      </c>
      <c r="AZ257" s="1620">
        <v>1</v>
      </c>
      <c r="BA257" s="1620">
        <v>1</v>
      </c>
      <c r="BB257" s="1620">
        <v>1</v>
      </c>
      <c r="BC257" s="1620">
        <v>1</v>
      </c>
      <c r="BD257" s="1620">
        <v>1</v>
      </c>
      <c r="BE257" s="1620">
        <v>1</v>
      </c>
      <c r="BF257" s="1620">
        <v>1</v>
      </c>
      <c r="BG257" s="1620">
        <v>1</v>
      </c>
      <c r="BH257" s="1620">
        <v>1</v>
      </c>
      <c r="BI257" s="1620">
        <v>1</v>
      </c>
      <c r="BJ257" s="1603"/>
      <c r="BK257" s="1620">
        <v>7</v>
      </c>
      <c r="BL257" s="1620">
        <v>0.30000000000000004</v>
      </c>
      <c r="BM257" s="1620">
        <v>21.400000000000002</v>
      </c>
      <c r="BN257" s="1620">
        <v>0</v>
      </c>
      <c r="BO257" s="1620"/>
      <c r="BP257" s="1620">
        <v>0</v>
      </c>
      <c r="BQ257" s="1620">
        <v>0</v>
      </c>
      <c r="BR257" s="1620">
        <v>0.93988145567169978</v>
      </c>
      <c r="BS257" s="1620">
        <v>0.90681079628942562</v>
      </c>
      <c r="BT257" s="1603"/>
      <c r="BU257" s="1620">
        <v>786</v>
      </c>
      <c r="BV257" s="1620">
        <v>689.07285714285683</v>
      </c>
      <c r="BW257" s="1620">
        <v>22.457142857142838</v>
      </c>
      <c r="BX257" s="1620" t="s">
        <v>270</v>
      </c>
      <c r="BY257" s="1620">
        <v>566</v>
      </c>
      <c r="BZ257" s="1620">
        <v>0</v>
      </c>
      <c r="CA257" s="1620">
        <v>0</v>
      </c>
      <c r="CB257" s="1603"/>
      <c r="CC257" s="1603">
        <v>3.9204000000000003</v>
      </c>
      <c r="CD257" s="1603">
        <v>0.50819999999999999</v>
      </c>
      <c r="CE257" s="1603">
        <v>1.6697999999999997</v>
      </c>
      <c r="CF257" s="1603">
        <v>0</v>
      </c>
      <c r="CG257" s="1603">
        <v>35.573999999999998</v>
      </c>
      <c r="CH257" s="1603">
        <v>2.9039999999999999</v>
      </c>
      <c r="CI257" s="1603">
        <v>4.8642000000000003</v>
      </c>
      <c r="CJ257" s="1603"/>
      <c r="CK257" s="1603">
        <v>108.89999999999999</v>
      </c>
      <c r="CL257" s="1603">
        <v>3.3395999999999995</v>
      </c>
      <c r="CM257" s="1603">
        <v>9.4380000000000006</v>
      </c>
      <c r="CN257" s="1603">
        <v>5.6627999999999998</v>
      </c>
      <c r="CO257" s="1603">
        <v>0</v>
      </c>
      <c r="CP257" s="1603">
        <v>0.31944</v>
      </c>
      <c r="CQ257" s="1603">
        <v>25.41</v>
      </c>
      <c r="CR257" s="1603">
        <v>37.238738767312682</v>
      </c>
      <c r="CS257" s="1603">
        <v>0.24949954974099497</v>
      </c>
      <c r="CT257" s="1603">
        <v>0.17129819832963833</v>
      </c>
      <c r="CU257" s="1603">
        <v>0.21970855872714481</v>
      </c>
      <c r="CV257" s="1603">
        <v>0.39100675705678317</v>
      </c>
      <c r="CW257" s="1603">
        <v>0.44314099133102092</v>
      </c>
      <c r="CX257" s="1603">
        <v>0</v>
      </c>
      <c r="CY257" s="1603">
        <v>0.30163378401523272</v>
      </c>
      <c r="CZ257" s="1603">
        <v>0.1973653154667572</v>
      </c>
      <c r="DA257" s="1603">
        <v>7.0753603657894099E-2</v>
      </c>
      <c r="DB257" s="1603">
        <v>0.16012657669944452</v>
      </c>
      <c r="DC257" s="1603">
        <v>0.14895495506925072</v>
      </c>
      <c r="DD257" s="1603">
        <v>0.30908153176869529</v>
      </c>
      <c r="DE257" s="1603">
        <v>0.58092432477007783</v>
      </c>
      <c r="DF257" s="1603">
        <v>0</v>
      </c>
      <c r="DG257" s="1603">
        <v>0</v>
      </c>
      <c r="DH257" s="1603">
        <v>0</v>
      </c>
      <c r="DI257" s="1603">
        <v>0</v>
      </c>
      <c r="DJ257" s="1603">
        <v>0</v>
      </c>
      <c r="DK257" s="1603">
        <v>0</v>
      </c>
      <c r="DL257" s="1603">
        <v>0</v>
      </c>
      <c r="DM257" s="1603">
        <v>0</v>
      </c>
      <c r="DN257" s="1603">
        <v>0</v>
      </c>
      <c r="DO257" s="1603">
        <v>0</v>
      </c>
      <c r="DP257" s="1603">
        <v>0</v>
      </c>
      <c r="DQ257" s="1603">
        <v>0</v>
      </c>
      <c r="DR257" s="1603">
        <v>0</v>
      </c>
      <c r="DS257" s="1603">
        <v>0</v>
      </c>
      <c r="DT257" s="1603">
        <v>0</v>
      </c>
      <c r="DU257" s="1603">
        <v>0</v>
      </c>
      <c r="DV257" s="1603">
        <v>0</v>
      </c>
      <c r="DW257" s="1618" t="s">
        <v>3084</v>
      </c>
      <c r="DX257" s="1605" t="s">
        <v>986</v>
      </c>
      <c r="DY257" s="1605" t="s">
        <v>986</v>
      </c>
      <c r="DZ257" s="1605">
        <v>3</v>
      </c>
      <c r="EA257" s="1605">
        <v>3</v>
      </c>
      <c r="EB257" s="1605" t="s">
        <v>986</v>
      </c>
      <c r="EC257" s="1605">
        <v>3</v>
      </c>
      <c r="ED257" s="1605">
        <v>3</v>
      </c>
      <c r="EE257" s="1605">
        <v>3</v>
      </c>
      <c r="EF257" s="1605">
        <v>3</v>
      </c>
      <c r="EG257" s="1605">
        <v>3</v>
      </c>
      <c r="EH257" s="1605" t="s">
        <v>986</v>
      </c>
      <c r="EI257" s="1605" t="s">
        <v>986</v>
      </c>
      <c r="EJ257" s="1605" t="s">
        <v>986</v>
      </c>
      <c r="EK257" s="1605" t="s">
        <v>986</v>
      </c>
      <c r="EL257" s="1605" t="s">
        <v>986</v>
      </c>
      <c r="EM257" s="1605" t="s">
        <v>986</v>
      </c>
      <c r="EN257" s="1605" t="s">
        <v>986</v>
      </c>
      <c r="EO257" s="1605" t="s">
        <v>986</v>
      </c>
      <c r="EP257" s="1605" t="s">
        <v>986</v>
      </c>
      <c r="EQ257" s="1605" t="s">
        <v>986</v>
      </c>
      <c r="ER257" s="1605" t="s">
        <v>986</v>
      </c>
      <c r="ES257" s="1605" t="s">
        <v>986</v>
      </c>
      <c r="ET257" s="1605" t="s">
        <v>986</v>
      </c>
      <c r="EU257" s="1605" t="s">
        <v>986</v>
      </c>
      <c r="EV257" s="1605" t="s">
        <v>986</v>
      </c>
      <c r="EW257" s="1605" t="s">
        <v>986</v>
      </c>
      <c r="EX257" s="1605" t="s">
        <v>986</v>
      </c>
      <c r="EY257" s="1605" t="s">
        <v>986</v>
      </c>
      <c r="EZ257" s="1605" t="s">
        <v>986</v>
      </c>
      <c r="FA257" s="1605" t="s">
        <v>986</v>
      </c>
      <c r="FB257" s="1605" t="s">
        <v>986</v>
      </c>
      <c r="FC257" s="1605" t="s">
        <v>986</v>
      </c>
      <c r="FD257" s="1605" t="s">
        <v>986</v>
      </c>
      <c r="FE257" s="1605" t="s">
        <v>986</v>
      </c>
      <c r="FF257" s="1605" t="s">
        <v>986</v>
      </c>
      <c r="FG257" s="1605" t="s">
        <v>986</v>
      </c>
      <c r="FH257" s="1605">
        <v>0.1</v>
      </c>
      <c r="FI257" s="1605">
        <v>0.5</v>
      </c>
      <c r="FJ257" s="1605" t="s">
        <v>986</v>
      </c>
      <c r="FK257" s="1605">
        <v>0.6</v>
      </c>
      <c r="FL257" s="1605">
        <v>0.4</v>
      </c>
      <c r="FM257" s="1605" t="s">
        <v>986</v>
      </c>
      <c r="FN257" s="1605">
        <v>1.5</v>
      </c>
      <c r="FO257" s="1605" t="s">
        <v>986</v>
      </c>
      <c r="FP257" s="1605" t="s">
        <v>986</v>
      </c>
      <c r="FQ257" s="1605" t="s">
        <v>986</v>
      </c>
      <c r="FR257" s="1605" t="s">
        <v>986</v>
      </c>
      <c r="FS257" s="1605" t="s">
        <v>986</v>
      </c>
      <c r="FT257" s="1605" t="s">
        <v>986</v>
      </c>
      <c r="FU257" s="1605" t="s">
        <v>986</v>
      </c>
      <c r="FV257" s="1605" t="s">
        <v>986</v>
      </c>
      <c r="FW257" s="1605" t="s">
        <v>986</v>
      </c>
      <c r="FX257" s="1605" t="s">
        <v>986</v>
      </c>
      <c r="FY257" s="1605" t="s">
        <v>986</v>
      </c>
      <c r="FZ257" s="1605" t="s">
        <v>986</v>
      </c>
      <c r="GA257" s="1605" t="s">
        <v>986</v>
      </c>
      <c r="GB257" s="1605" t="s">
        <v>986</v>
      </c>
      <c r="GC257" s="1605" t="s">
        <v>986</v>
      </c>
      <c r="GD257" s="1605" t="s">
        <v>986</v>
      </c>
      <c r="GE257" s="1605" t="s">
        <v>986</v>
      </c>
      <c r="GF257" s="1605" t="s">
        <v>986</v>
      </c>
      <c r="GG257" s="1605" t="s">
        <v>986</v>
      </c>
      <c r="GH257" s="1605" t="s">
        <v>986</v>
      </c>
      <c r="GI257" s="1605" t="s">
        <v>986</v>
      </c>
      <c r="GJ257" s="1605" t="s">
        <v>986</v>
      </c>
      <c r="GK257" s="1605" t="s">
        <v>986</v>
      </c>
      <c r="GL257" s="1605" t="s">
        <v>986</v>
      </c>
      <c r="GM257" s="1605" t="s">
        <v>986</v>
      </c>
      <c r="GN257" s="1605" t="s">
        <v>1591</v>
      </c>
      <c r="GO257" s="1605" t="s">
        <v>1591</v>
      </c>
      <c r="GP257" s="1605" t="s">
        <v>1591</v>
      </c>
      <c r="GQ257" s="1605" t="s">
        <v>1591</v>
      </c>
      <c r="GR257" s="1605" t="s">
        <v>986</v>
      </c>
      <c r="GS257" s="1605" t="s">
        <v>1591</v>
      </c>
      <c r="GT257" s="1605" t="s">
        <v>1591</v>
      </c>
      <c r="GU257" s="1605" t="s">
        <v>1591</v>
      </c>
      <c r="GV257" s="1605" t="s">
        <v>1591</v>
      </c>
      <c r="GW257" s="1605" t="s">
        <v>986</v>
      </c>
      <c r="GX257" s="1605" t="s">
        <v>986</v>
      </c>
      <c r="GY257" s="1605" t="s">
        <v>986</v>
      </c>
      <c r="GZ257" s="1605" t="s">
        <v>986</v>
      </c>
      <c r="HA257" s="1605" t="s">
        <v>986</v>
      </c>
      <c r="HB257" s="1605" t="s">
        <v>986</v>
      </c>
      <c r="HC257" s="1605" t="s">
        <v>986</v>
      </c>
      <c r="HD257" s="1605" t="s">
        <v>986</v>
      </c>
      <c r="HE257" s="1605" t="s">
        <v>986</v>
      </c>
      <c r="HF257" s="1605" t="s">
        <v>986</v>
      </c>
      <c r="HG257" s="1605" t="s">
        <v>986</v>
      </c>
      <c r="HH257" s="1605" t="s">
        <v>986</v>
      </c>
      <c r="HI257" s="1605" t="s">
        <v>986</v>
      </c>
      <c r="HJ257" s="1605" t="s">
        <v>986</v>
      </c>
      <c r="HK257" s="1605" t="s">
        <v>986</v>
      </c>
      <c r="HL257" s="1605" t="s">
        <v>986</v>
      </c>
      <c r="HM257" s="1605" t="s">
        <v>986</v>
      </c>
      <c r="HN257" s="1605" t="s">
        <v>986</v>
      </c>
      <c r="HO257" s="1605" t="s">
        <v>986</v>
      </c>
      <c r="HP257" s="1605" t="s">
        <v>986</v>
      </c>
      <c r="HQ257" s="1605" t="s">
        <v>986</v>
      </c>
      <c r="HR257" s="1605" t="s">
        <v>986</v>
      </c>
      <c r="HS257" s="1605" t="s">
        <v>986</v>
      </c>
      <c r="HT257" s="1605" t="s">
        <v>986</v>
      </c>
      <c r="HU257" s="1605" t="s">
        <v>986</v>
      </c>
      <c r="HV257" s="1617"/>
      <c r="HW257" s="1617" t="s">
        <v>3083</v>
      </c>
      <c r="HX257" s="1617" t="s">
        <v>3082</v>
      </c>
      <c r="HY257" s="1617" t="s">
        <v>3081</v>
      </c>
      <c r="HZ257" s="1603"/>
      <c r="IA257" s="1603"/>
      <c r="IB257" s="1603"/>
      <c r="IC257" s="1603">
        <v>50</v>
      </c>
      <c r="ID257" s="1603">
        <v>50</v>
      </c>
      <c r="IE257" s="1603">
        <v>50</v>
      </c>
      <c r="IF257" s="1603">
        <v>50</v>
      </c>
      <c r="IG257" s="1611" t="s">
        <v>3080</v>
      </c>
      <c r="IH257" s="1616" t="s">
        <v>3079</v>
      </c>
      <c r="II257" s="1615" t="s">
        <v>3078</v>
      </c>
      <c r="IJ257" s="1613">
        <v>0.47343000000000002</v>
      </c>
      <c r="IK257" s="1613">
        <v>0.35494999999999999</v>
      </c>
      <c r="IL257" s="1614">
        <v>0.47343000000000002</v>
      </c>
      <c r="IM257" s="1614">
        <v>0.35494999999999999</v>
      </c>
      <c r="IN257" s="1612" t="s">
        <v>270</v>
      </c>
      <c r="IO257" s="1613" t="s">
        <v>270</v>
      </c>
      <c r="IP257" s="1607" t="s">
        <v>270</v>
      </c>
      <c r="IQ257" s="1612" t="s">
        <v>270</v>
      </c>
      <c r="IR257" s="1612" t="s">
        <v>270</v>
      </c>
      <c r="IS257" s="1607">
        <v>0.28243000000000001</v>
      </c>
      <c r="IT257" s="1607">
        <v>0.16394999999999998</v>
      </c>
      <c r="IU257" s="1611">
        <v>0</v>
      </c>
      <c r="IV257" s="1611">
        <v>1.4199999999999998E-3</v>
      </c>
      <c r="IW257" s="1611">
        <v>8.0000000000000007E-5</v>
      </c>
      <c r="IX257" s="1611">
        <v>1.8999999999999998E-4</v>
      </c>
      <c r="IY257" s="1611">
        <v>8.0000000000000007E-5</v>
      </c>
      <c r="IZ257" s="1611">
        <v>1.06E-3</v>
      </c>
      <c r="JA257" s="1611">
        <v>2.9999999999999997E-5</v>
      </c>
      <c r="JB257" s="1611" t="s">
        <v>270</v>
      </c>
      <c r="JC257" s="1611">
        <v>0.15511000000000003</v>
      </c>
      <c r="JD257" s="1611">
        <v>6.3699999999999998E-3</v>
      </c>
      <c r="JE257" s="1611" t="s">
        <v>270</v>
      </c>
      <c r="JF257" s="1611">
        <v>1.1999999999999999E-4</v>
      </c>
      <c r="JG257" s="1611">
        <v>-0.12999000000000002</v>
      </c>
      <c r="JH257" s="1611">
        <v>1.4000000000000001E-4</v>
      </c>
      <c r="JI257" s="1611">
        <v>3.279E-2</v>
      </c>
      <c r="JJ257" s="1611" t="s">
        <v>270</v>
      </c>
      <c r="JK257" s="1607">
        <f t="shared" si="12"/>
        <v>0.191</v>
      </c>
      <c r="JL257" s="1608" t="s">
        <v>270</v>
      </c>
      <c r="JM257" s="1610" t="s">
        <v>2924</v>
      </c>
      <c r="JN257" s="1608">
        <v>0.11848000000000003</v>
      </c>
      <c r="JO257" s="1609" t="s">
        <v>3077</v>
      </c>
      <c r="JP257" s="1608" t="s">
        <v>270</v>
      </c>
      <c r="JQ257" s="1607">
        <v>202103</v>
      </c>
      <c r="JR257" s="1606">
        <v>744</v>
      </c>
      <c r="JS257" s="1606">
        <v>668</v>
      </c>
      <c r="JT257" s="1606">
        <v>668</v>
      </c>
    </row>
    <row r="258" spans="1:280" ht="15" customHeight="1" x14ac:dyDescent="0.2">
      <c r="A258" s="1626">
        <v>6100</v>
      </c>
      <c r="B258" s="1625">
        <v>61</v>
      </c>
      <c r="C258" s="1624">
        <v>0</v>
      </c>
      <c r="D258" s="1623" t="s">
        <v>3076</v>
      </c>
      <c r="E258" s="1622">
        <v>44132</v>
      </c>
      <c r="F258" s="1620">
        <v>1.17</v>
      </c>
      <c r="G258" s="1620">
        <v>1.14981162676452</v>
      </c>
      <c r="H258" s="1621">
        <v>92.211292962137904</v>
      </c>
      <c r="I258" s="1621">
        <v>87.411165316744899</v>
      </c>
      <c r="J258" s="1621">
        <v>93.619291823184895</v>
      </c>
      <c r="K258" s="1620">
        <v>1</v>
      </c>
      <c r="L258" s="1620">
        <v>88.169188686735197</v>
      </c>
      <c r="M258" s="1620">
        <v>16.2391528064237</v>
      </c>
      <c r="N258" s="1620">
        <v>3.4203462185280702</v>
      </c>
      <c r="O258" s="1620">
        <v>5.0209545925417398</v>
      </c>
      <c r="P258" s="1620">
        <v>2.6423177621118099</v>
      </c>
      <c r="Q258" s="1603"/>
      <c r="R258" s="1620">
        <v>87.270850657667793</v>
      </c>
      <c r="S258" s="1620">
        <v>59.6258985748821</v>
      </c>
      <c r="T258" s="1620">
        <v>62.060001269742997</v>
      </c>
      <c r="U258" s="1620">
        <v>63.033642347687298</v>
      </c>
      <c r="V258" s="1620">
        <v>63.9099193178372</v>
      </c>
      <c r="W258" s="1620">
        <v>64.494103964603795</v>
      </c>
      <c r="X258" s="1620"/>
      <c r="Y258" s="1620">
        <v>7.9619650634895081</v>
      </c>
      <c r="Z258" s="1620">
        <v>7.3242280733336198</v>
      </c>
      <c r="AA258" s="1620">
        <v>3.3174854431206282</v>
      </c>
      <c r="AB258" s="1620">
        <v>7.9705475247573849</v>
      </c>
      <c r="AC258" s="1620">
        <v>7.428167533026695</v>
      </c>
      <c r="AD258" s="1620">
        <v>1.1807677243644032</v>
      </c>
      <c r="AE258" s="1620">
        <v>1.9786297467705081</v>
      </c>
      <c r="AF258" s="1620">
        <v>185.97682922487232</v>
      </c>
      <c r="AG258" s="1620">
        <v>30.786961363274774</v>
      </c>
      <c r="AH258" s="1620">
        <v>72.998636823877604</v>
      </c>
      <c r="AI258" s="1620">
        <v>122.40487808904808</v>
      </c>
      <c r="AJ258" s="1620">
        <v>0.26539883544965026</v>
      </c>
      <c r="AK258" s="1620">
        <v>0.62179236985661701</v>
      </c>
      <c r="AL258" s="1620"/>
      <c r="AM258" s="1620">
        <v>7.5235692949074702</v>
      </c>
      <c r="AN258" s="1620">
        <v>2.4707560969579201</v>
      </c>
      <c r="AO258" s="1620">
        <v>1.7029515320777</v>
      </c>
      <c r="AP258" s="1620">
        <v>4.8158939156315004</v>
      </c>
      <c r="AQ258" s="1620">
        <v>1.6406500317914701</v>
      </c>
      <c r="AR258" s="1620">
        <v>3.90470271757499</v>
      </c>
      <c r="AS258" s="1620">
        <v>7.25285750865081</v>
      </c>
      <c r="AT258" s="1620">
        <v>2.29163915925569</v>
      </c>
      <c r="AU258" s="1620">
        <v>4.52794543173877</v>
      </c>
      <c r="AV258" s="1620">
        <v>3.3406743225147402</v>
      </c>
      <c r="AW258" s="1620">
        <v>5.0258246479547104</v>
      </c>
      <c r="AX258" s="1620"/>
      <c r="AY258" s="1620">
        <v>1.0424445521917607</v>
      </c>
      <c r="AZ258" s="1620">
        <v>1.0603277031307292</v>
      </c>
      <c r="BA258" s="1620">
        <v>0.93401945579980006</v>
      </c>
      <c r="BB258" s="1620">
        <v>1.0114126566668733</v>
      </c>
      <c r="BC258" s="1620">
        <v>1.0063923538056923</v>
      </c>
      <c r="BD258" s="1620">
        <v>0.9951389843349816</v>
      </c>
      <c r="BE258" s="1620">
        <v>1.0031316689386289</v>
      </c>
      <c r="BF258" s="1620">
        <v>0.99334530911972763</v>
      </c>
      <c r="BG258" s="1620">
        <v>1.008854392116842</v>
      </c>
      <c r="BH258" s="1620">
        <v>0.9803009429465217</v>
      </c>
      <c r="BI258" s="1620">
        <v>0.98559207468844001</v>
      </c>
      <c r="BJ258" s="1603"/>
      <c r="BK258" s="1620">
        <v>18.418171980828074</v>
      </c>
      <c r="BL258" s="1620">
        <v>3.879298731760533</v>
      </c>
      <c r="BM258" s="1620">
        <v>5.6946816312228679</v>
      </c>
      <c r="BN258" s="1620">
        <v>2.9968720382581213</v>
      </c>
      <c r="BO258" s="1620"/>
      <c r="BP258" s="1620" t="s">
        <v>270</v>
      </c>
      <c r="BQ258" s="1620">
        <v>36.395474239616192</v>
      </c>
      <c r="BR258" s="1620">
        <v>1.3269941772482514</v>
      </c>
      <c r="BS258" s="1620">
        <v>1.3040968663665451</v>
      </c>
      <c r="BT258" s="1603"/>
      <c r="BU258" s="1620">
        <v>943.05318368777057</v>
      </c>
      <c r="BV258" s="1620">
        <v>599.69838605812618</v>
      </c>
      <c r="BW258" s="1620">
        <v>64.668223687079262</v>
      </c>
      <c r="BX258" s="1620">
        <v>479.38067280770832</v>
      </c>
      <c r="BY258" s="1620">
        <v>73.802820025068812</v>
      </c>
      <c r="BZ258" s="1620">
        <v>27.421141608664207</v>
      </c>
      <c r="CA258" s="1620">
        <v>102.29050493430901</v>
      </c>
      <c r="CB258" s="1603"/>
      <c r="CC258" s="1603">
        <v>7.0200000000000005</v>
      </c>
      <c r="CD258" s="1603">
        <v>6.4577124698243491</v>
      </c>
      <c r="CE258" s="1603">
        <v>2.9250000000000003</v>
      </c>
      <c r="CF258" s="1603">
        <v>7.027567086469241</v>
      </c>
      <c r="CG258" s="1603">
        <v>6.54935504816111</v>
      </c>
      <c r="CH258" s="1603">
        <v>1.04107332284692</v>
      </c>
      <c r="CI258" s="1603">
        <v>1.7445417948419601</v>
      </c>
      <c r="CJ258" s="1603"/>
      <c r="CK258" s="1603">
        <v>163.97426147288496</v>
      </c>
      <c r="CL258" s="1603">
        <v>27.144614055298</v>
      </c>
      <c r="CM258" s="1603">
        <v>64.362305839989205</v>
      </c>
      <c r="CN258" s="1603">
        <v>107.92338792410099</v>
      </c>
      <c r="CO258" s="1603">
        <v>0.23400000000000001</v>
      </c>
      <c r="CP258" s="1603">
        <v>0.54822928781860303</v>
      </c>
      <c r="CQ258" s="1603">
        <v>141.678467937645</v>
      </c>
      <c r="CR258" s="1603">
        <v>121.09270763901283</v>
      </c>
      <c r="CS258" s="1603">
        <v>9.5</v>
      </c>
      <c r="CT258" s="1603">
        <v>3.173340686188812</v>
      </c>
      <c r="CU258" s="1603">
        <v>1.9266593138111712</v>
      </c>
      <c r="CV258" s="1603">
        <v>5.0999999999999917</v>
      </c>
      <c r="CW258" s="1603">
        <v>5.8999999999999835</v>
      </c>
      <c r="CX258" s="1603">
        <v>2</v>
      </c>
      <c r="CY258" s="1603">
        <v>4.7067207303179153</v>
      </c>
      <c r="CZ258" s="1603">
        <v>8.8127977328529052</v>
      </c>
      <c r="DA258" s="1603">
        <v>2.7573582527308038</v>
      </c>
      <c r="DB258" s="1603">
        <v>5.5332002678746157</v>
      </c>
      <c r="DC258" s="1603">
        <v>3.966799732125359</v>
      </c>
      <c r="DD258" s="1603">
        <v>9.5</v>
      </c>
      <c r="DE258" s="1603">
        <v>5.9999999999999831</v>
      </c>
      <c r="DF258" s="1603">
        <v>1502.8838980693499</v>
      </c>
      <c r="DG258" s="1603">
        <v>0</v>
      </c>
      <c r="DH258" s="1603">
        <v>0</v>
      </c>
      <c r="DI258" s="1603">
        <v>9.3599999999999905</v>
      </c>
      <c r="DJ258" s="1603">
        <v>0.93599999999999905</v>
      </c>
      <c r="DK258" s="1603">
        <v>152.1</v>
      </c>
      <c r="DL258" s="1603">
        <v>2.34</v>
      </c>
      <c r="DM258" s="1603">
        <v>0</v>
      </c>
      <c r="DN258" s="1603">
        <v>2.34</v>
      </c>
      <c r="DO258" s="1603">
        <v>4.68</v>
      </c>
      <c r="DP258" s="1603">
        <v>3.51000000000001</v>
      </c>
      <c r="DQ258" s="1603">
        <v>2.3399999999999997E-2</v>
      </c>
      <c r="DR258" s="1603">
        <v>23.4</v>
      </c>
      <c r="DS258" s="1603">
        <v>11.7</v>
      </c>
      <c r="DT258" s="1603">
        <v>0</v>
      </c>
      <c r="DU258" s="1603">
        <v>0</v>
      </c>
      <c r="DV258" s="1603">
        <v>0.23400000000000001</v>
      </c>
      <c r="DW258" s="1618" t="s">
        <v>986</v>
      </c>
      <c r="DX258" s="1605" t="s">
        <v>986</v>
      </c>
      <c r="DY258" s="1605" t="s">
        <v>986</v>
      </c>
      <c r="DZ258" s="1605" t="s">
        <v>986</v>
      </c>
      <c r="EA258" s="1605" t="s">
        <v>986</v>
      </c>
      <c r="EB258" s="1605" t="s">
        <v>986</v>
      </c>
      <c r="EC258" s="1605" t="s">
        <v>986</v>
      </c>
      <c r="ED258" s="1605" t="s">
        <v>986</v>
      </c>
      <c r="EE258" s="1605" t="s">
        <v>986</v>
      </c>
      <c r="EF258" s="1605" t="s">
        <v>986</v>
      </c>
      <c r="EG258" s="1605" t="s">
        <v>986</v>
      </c>
      <c r="EH258" s="1605" t="s">
        <v>986</v>
      </c>
      <c r="EI258" s="1605" t="s">
        <v>986</v>
      </c>
      <c r="EJ258" s="1605" t="s">
        <v>986</v>
      </c>
      <c r="EK258" s="1605" t="s">
        <v>986</v>
      </c>
      <c r="EL258" s="1605" t="s">
        <v>986</v>
      </c>
      <c r="EM258" s="1605" t="s">
        <v>986</v>
      </c>
      <c r="EN258" s="1605" t="s">
        <v>986</v>
      </c>
      <c r="EO258" s="1605" t="s">
        <v>986</v>
      </c>
      <c r="EP258" s="1605" t="s">
        <v>986</v>
      </c>
      <c r="EQ258" s="1605" t="s">
        <v>986</v>
      </c>
      <c r="ER258" s="1605" t="s">
        <v>986</v>
      </c>
      <c r="ES258" s="1605" t="s">
        <v>986</v>
      </c>
      <c r="ET258" s="1605" t="s">
        <v>986</v>
      </c>
      <c r="EU258" s="1605" t="s">
        <v>986</v>
      </c>
      <c r="EV258" s="1605" t="s">
        <v>986</v>
      </c>
      <c r="EW258" s="1605" t="s">
        <v>986</v>
      </c>
      <c r="EX258" s="1605" t="s">
        <v>986</v>
      </c>
      <c r="EY258" s="1605" t="s">
        <v>986</v>
      </c>
      <c r="EZ258" s="1605" t="s">
        <v>986</v>
      </c>
      <c r="FA258" s="1605" t="s">
        <v>986</v>
      </c>
      <c r="FB258" s="1605" t="s">
        <v>986</v>
      </c>
      <c r="FC258" s="1605" t="s">
        <v>986</v>
      </c>
      <c r="FD258" s="1605" t="s">
        <v>986</v>
      </c>
      <c r="FE258" s="1605" t="s">
        <v>986</v>
      </c>
      <c r="FF258" s="1605" t="s">
        <v>986</v>
      </c>
      <c r="FG258" s="1605" t="s">
        <v>986</v>
      </c>
      <c r="FH258" s="1605" t="s">
        <v>986</v>
      </c>
      <c r="FI258" s="1605" t="s">
        <v>986</v>
      </c>
      <c r="FJ258" s="1605" t="s">
        <v>986</v>
      </c>
      <c r="FK258" s="1605" t="s">
        <v>986</v>
      </c>
      <c r="FL258" s="1605" t="s">
        <v>986</v>
      </c>
      <c r="FM258" s="1605" t="s">
        <v>986</v>
      </c>
      <c r="FN258" s="1605" t="s">
        <v>986</v>
      </c>
      <c r="FO258" s="1605" t="s">
        <v>986</v>
      </c>
      <c r="FP258" s="1605" t="s">
        <v>986</v>
      </c>
      <c r="FQ258" s="1605" t="s">
        <v>986</v>
      </c>
      <c r="FR258" s="1605" t="s">
        <v>986</v>
      </c>
      <c r="FS258" s="1605" t="s">
        <v>986</v>
      </c>
      <c r="FT258" s="1605" t="s">
        <v>986</v>
      </c>
      <c r="FU258" s="1605" t="s">
        <v>986</v>
      </c>
      <c r="FV258" s="1605" t="s">
        <v>986</v>
      </c>
      <c r="FW258" s="1605" t="s">
        <v>986</v>
      </c>
      <c r="FX258" s="1605" t="s">
        <v>986</v>
      </c>
      <c r="FY258" s="1605" t="s">
        <v>986</v>
      </c>
      <c r="FZ258" s="1605" t="s">
        <v>986</v>
      </c>
      <c r="GA258" s="1605" t="s">
        <v>986</v>
      </c>
      <c r="GB258" s="1605" t="s">
        <v>986</v>
      </c>
      <c r="GC258" s="1605" t="s">
        <v>986</v>
      </c>
      <c r="GD258" s="1605" t="s">
        <v>986</v>
      </c>
      <c r="GE258" s="1605" t="s">
        <v>986</v>
      </c>
      <c r="GF258" s="1605" t="s">
        <v>986</v>
      </c>
      <c r="GG258" s="1605" t="s">
        <v>986</v>
      </c>
      <c r="GH258" s="1605" t="s">
        <v>986</v>
      </c>
      <c r="GI258" s="1605" t="s">
        <v>986</v>
      </c>
      <c r="GJ258" s="1605" t="s">
        <v>986</v>
      </c>
      <c r="GK258" s="1605" t="s">
        <v>986</v>
      </c>
      <c r="GL258" s="1605" t="s">
        <v>986</v>
      </c>
      <c r="GM258" s="1605" t="s">
        <v>986</v>
      </c>
      <c r="GN258" s="1605" t="s">
        <v>1578</v>
      </c>
      <c r="GO258" s="1605" t="s">
        <v>1578</v>
      </c>
      <c r="GP258" s="1605" t="s">
        <v>1578</v>
      </c>
      <c r="GQ258" s="1605" t="s">
        <v>1578</v>
      </c>
      <c r="GR258" s="1605" t="s">
        <v>1578</v>
      </c>
      <c r="GS258" s="1605" t="s">
        <v>1578</v>
      </c>
      <c r="GT258" s="1605" t="s">
        <v>1578</v>
      </c>
      <c r="GU258" s="1605" t="s">
        <v>1578</v>
      </c>
      <c r="GV258" s="1605" t="s">
        <v>1578</v>
      </c>
      <c r="GW258" s="1605" t="s">
        <v>1578</v>
      </c>
      <c r="GX258" s="1605" t="s">
        <v>1578</v>
      </c>
      <c r="GY258" s="1605" t="s">
        <v>1578</v>
      </c>
      <c r="GZ258" s="1605" t="s">
        <v>1578</v>
      </c>
      <c r="HA258" s="1605" t="s">
        <v>1578</v>
      </c>
      <c r="HB258" s="1605" t="s">
        <v>1578</v>
      </c>
      <c r="HC258" s="1605" t="s">
        <v>1578</v>
      </c>
      <c r="HD258" s="1605" t="s">
        <v>1578</v>
      </c>
      <c r="HE258" s="1605" t="s">
        <v>1578</v>
      </c>
      <c r="HF258" s="1605" t="s">
        <v>1578</v>
      </c>
      <c r="HG258" s="1605" t="s">
        <v>1578</v>
      </c>
      <c r="HH258" s="1605" t="s">
        <v>1578</v>
      </c>
      <c r="HI258" s="1605" t="s">
        <v>1578</v>
      </c>
      <c r="HJ258" s="1605" t="s">
        <v>1578</v>
      </c>
      <c r="HK258" s="1605" t="s">
        <v>986</v>
      </c>
      <c r="HL258" s="1605" t="s">
        <v>986</v>
      </c>
      <c r="HM258" s="1605" t="s">
        <v>1578</v>
      </c>
      <c r="HN258" s="1605" t="s">
        <v>1578</v>
      </c>
      <c r="HO258" s="1605" t="s">
        <v>1578</v>
      </c>
      <c r="HP258" s="1605" t="s">
        <v>1578</v>
      </c>
      <c r="HQ258" s="1605" t="s">
        <v>1578</v>
      </c>
      <c r="HR258" s="1605" t="s">
        <v>1578</v>
      </c>
      <c r="HS258" s="1605" t="s">
        <v>1578</v>
      </c>
      <c r="HT258" s="1605" t="s">
        <v>1578</v>
      </c>
      <c r="HU258" s="1605" t="s">
        <v>1578</v>
      </c>
      <c r="HV258" s="1617"/>
      <c r="HW258" s="1617">
        <v>0</v>
      </c>
      <c r="HX258" s="1617">
        <v>0</v>
      </c>
      <c r="HY258" s="1617">
        <v>0</v>
      </c>
      <c r="HZ258" s="1603"/>
      <c r="IA258" s="1603"/>
      <c r="IB258" s="1603"/>
      <c r="IC258" s="1603">
        <v>64.932242449678697</v>
      </c>
      <c r="ID258" s="1603">
        <v>65.224334773061997</v>
      </c>
      <c r="IE258" s="1603">
        <v>65.467745042548103</v>
      </c>
      <c r="IF258" s="1603">
        <v>65.613791204239803</v>
      </c>
      <c r="IG258" s="1611" t="s">
        <v>270</v>
      </c>
      <c r="IH258" s="1616" t="s">
        <v>270</v>
      </c>
      <c r="II258" s="1615" t="s">
        <v>270</v>
      </c>
      <c r="IJ258" s="1613">
        <v>1.86</v>
      </c>
      <c r="IK258" s="1613">
        <v>0.7</v>
      </c>
      <c r="IL258" s="1614">
        <v>1.86</v>
      </c>
      <c r="IM258" s="1614">
        <v>0.7</v>
      </c>
      <c r="IN258" s="1612" t="s">
        <v>270</v>
      </c>
      <c r="IO258" s="1613" t="s">
        <v>270</v>
      </c>
      <c r="IP258" s="1607" t="s">
        <v>270</v>
      </c>
      <c r="IQ258" s="1612" t="s">
        <v>270</v>
      </c>
      <c r="IR258" s="1612" t="s">
        <v>270</v>
      </c>
      <c r="IS258" s="1607" t="s">
        <v>270</v>
      </c>
      <c r="IT258" s="1607" t="s">
        <v>270</v>
      </c>
      <c r="IU258" s="1611" t="s">
        <v>270</v>
      </c>
      <c r="IV258" s="1611" t="s">
        <v>270</v>
      </c>
      <c r="IW258" s="1611" t="s">
        <v>270</v>
      </c>
      <c r="IX258" s="1611" t="s">
        <v>270</v>
      </c>
      <c r="IY258" s="1611" t="s">
        <v>270</v>
      </c>
      <c r="IZ258" s="1611" t="s">
        <v>270</v>
      </c>
      <c r="JA258" s="1611" t="s">
        <v>270</v>
      </c>
      <c r="JB258" s="1611" t="s">
        <v>270</v>
      </c>
      <c r="JC258" s="1611" t="s">
        <v>270</v>
      </c>
      <c r="JD258" s="1611" t="s">
        <v>270</v>
      </c>
      <c r="JE258" s="1611" t="s">
        <v>270</v>
      </c>
      <c r="JF258" s="1611" t="s">
        <v>270</v>
      </c>
      <c r="JG258" s="1611" t="s">
        <v>270</v>
      </c>
      <c r="JH258" s="1611" t="s">
        <v>270</v>
      </c>
      <c r="JI258" s="1611" t="s">
        <v>270</v>
      </c>
      <c r="JJ258" s="1611" t="s">
        <v>270</v>
      </c>
      <c r="JK258" s="1607" t="str">
        <f t="shared" si="12"/>
        <v/>
      </c>
      <c r="JL258" s="1608" t="s">
        <v>270</v>
      </c>
      <c r="JM258" s="1610" t="s">
        <v>3052</v>
      </c>
      <c r="JN258" s="1608" t="s">
        <v>270</v>
      </c>
      <c r="JO258" s="1609" t="s">
        <v>270</v>
      </c>
      <c r="JP258" s="1608" t="s">
        <v>270</v>
      </c>
      <c r="JQ258" s="1607" t="s">
        <v>270</v>
      </c>
      <c r="JR258" s="1606" t="s">
        <v>270</v>
      </c>
      <c r="JS258" s="1606" t="s">
        <v>270</v>
      </c>
      <c r="JT258" s="1606" t="s">
        <v>270</v>
      </c>
    </row>
    <row r="259" spans="1:280" ht="15" customHeight="1" x14ac:dyDescent="0.2">
      <c r="A259" s="1626">
        <v>6200</v>
      </c>
      <c r="B259" s="1625">
        <v>62</v>
      </c>
      <c r="C259" s="1624">
        <v>0</v>
      </c>
      <c r="D259" s="1623" t="s">
        <v>3075</v>
      </c>
      <c r="E259" s="1622">
        <v>44132</v>
      </c>
      <c r="F259" s="1620">
        <v>1.1100000000000001</v>
      </c>
      <c r="G259" s="1620">
        <v>1.10098366345424</v>
      </c>
      <c r="H259" s="1621">
        <v>90.602177148752304</v>
      </c>
      <c r="I259" s="1621">
        <v>83.796936401210502</v>
      </c>
      <c r="J259" s="1621">
        <v>93.619321215510695</v>
      </c>
      <c r="K259" s="1620">
        <v>1</v>
      </c>
      <c r="L259" s="1620">
        <v>87.310373734021695</v>
      </c>
      <c r="M259" s="1620">
        <v>16.462307221054498</v>
      </c>
      <c r="N259" s="1620">
        <v>3.42715063085635</v>
      </c>
      <c r="O259" s="1620">
        <v>4.8788582370940601</v>
      </c>
      <c r="P259" s="1620">
        <v>3.6488084536767702</v>
      </c>
      <c r="Q259" s="1603"/>
      <c r="R259" s="1620">
        <v>85.805659032454798</v>
      </c>
      <c r="S259" s="1620">
        <v>52.620322401913697</v>
      </c>
      <c r="T259" s="1620">
        <v>57.415773393056497</v>
      </c>
      <c r="U259" s="1620">
        <v>59.3339537895136</v>
      </c>
      <c r="V259" s="1620">
        <v>61.060316146325</v>
      </c>
      <c r="W259" s="1620">
        <v>62.211224384199298</v>
      </c>
      <c r="X259" s="1620"/>
      <c r="Y259" s="1620">
        <v>7.6279595598670982</v>
      </c>
      <c r="Z259" s="1620">
        <v>6.3154707177783855</v>
      </c>
      <c r="AA259" s="1620">
        <v>2.6697858459534842</v>
      </c>
      <c r="AB259" s="1620">
        <v>6.5333519839869529</v>
      </c>
      <c r="AC259" s="1620">
        <v>7.6755922776745864</v>
      </c>
      <c r="AD259" s="1620">
        <v>1.4082373455471693</v>
      </c>
      <c r="AE259" s="1620">
        <v>1.7794415715372134</v>
      </c>
      <c r="AF259" s="1620">
        <v>200.87561312029146</v>
      </c>
      <c r="AG259" s="1620">
        <v>31.329588011276197</v>
      </c>
      <c r="AH259" s="1620">
        <v>76.335482392477246</v>
      </c>
      <c r="AI259" s="1620">
        <v>124.49788084898749</v>
      </c>
      <c r="AJ259" s="1620">
        <v>0.26274082928431114</v>
      </c>
      <c r="AK259" s="1620">
        <v>0.53177423171179761</v>
      </c>
      <c r="AL259" s="1620"/>
      <c r="AM259" s="1620">
        <v>7.4647541119924803</v>
      </c>
      <c r="AN259" s="1620">
        <v>2.3379115804602701</v>
      </c>
      <c r="AO259" s="1620">
        <v>1.8209459901742</v>
      </c>
      <c r="AP259" s="1620">
        <v>4.8102681408738297</v>
      </c>
      <c r="AQ259" s="1620">
        <v>1.61388429755836</v>
      </c>
      <c r="AR259" s="1620">
        <v>3.7927490418262</v>
      </c>
      <c r="AS259" s="1620">
        <v>7.0488838302409302</v>
      </c>
      <c r="AT259" s="1620">
        <v>2.3540842473994799</v>
      </c>
      <c r="AU259" s="1620">
        <v>4.5894073852588901</v>
      </c>
      <c r="AV259" s="1620">
        <v>3.22745628340357</v>
      </c>
      <c r="AW259" s="1620">
        <v>5.0961221004481398</v>
      </c>
      <c r="AX259" s="1620"/>
      <c r="AY259" s="1620">
        <v>1.0526908269555053</v>
      </c>
      <c r="AZ259" s="1620">
        <v>1.0755689130211965</v>
      </c>
      <c r="BA259" s="1620">
        <v>0.94938411613880236</v>
      </c>
      <c r="BB259" s="1620">
        <v>1.0128351119740564</v>
      </c>
      <c r="BC259" s="1620">
        <v>1.0224998285954467</v>
      </c>
      <c r="BD259" s="1620">
        <v>0.99767846245320657</v>
      </c>
      <c r="BE259" s="1620">
        <v>1.0033177637166273</v>
      </c>
      <c r="BF259" s="1620">
        <v>1.0048351619960607</v>
      </c>
      <c r="BG259" s="1620">
        <v>1.0128839583967935</v>
      </c>
      <c r="BH259" s="1620">
        <v>0.9944491197605585</v>
      </c>
      <c r="BI259" s="1620">
        <v>0.98686215430913338</v>
      </c>
      <c r="BJ259" s="1603"/>
      <c r="BK259" s="1620">
        <v>18.854926988635409</v>
      </c>
      <c r="BL259" s="1620">
        <v>3.9252502128746625</v>
      </c>
      <c r="BM259" s="1620">
        <v>5.5879479475792753</v>
      </c>
      <c r="BN259" s="1620">
        <v>4.179123622574715</v>
      </c>
      <c r="BO259" s="1620"/>
      <c r="BP259" s="1620" t="s">
        <v>270</v>
      </c>
      <c r="BQ259" s="1620">
        <v>38.108122044874918</v>
      </c>
      <c r="BR259" s="1620">
        <v>1.2713265933111833</v>
      </c>
      <c r="BS259" s="1620">
        <v>1.2609998289644548</v>
      </c>
      <c r="BT259" s="1603"/>
      <c r="BU259" s="1620">
        <v>944.12052052420688</v>
      </c>
      <c r="BV259" s="1620">
        <v>553.95345860382645</v>
      </c>
      <c r="BW259" s="1620">
        <v>91.78524909802421</v>
      </c>
      <c r="BX259" s="1620">
        <v>489.71838925720056</v>
      </c>
      <c r="BY259" s="1620">
        <v>31.107766763682985</v>
      </c>
      <c r="BZ259" s="1620">
        <v>39.600410602962256</v>
      </c>
      <c r="CA259" s="1620">
        <v>136.68336859679022</v>
      </c>
      <c r="CB259" s="1603"/>
      <c r="CC259" s="1603">
        <v>6.66</v>
      </c>
      <c r="CD259" s="1603">
        <v>5.5140610867550111</v>
      </c>
      <c r="CE259" s="1603">
        <v>2.331</v>
      </c>
      <c r="CF259" s="1603">
        <v>5.7042940345781297</v>
      </c>
      <c r="CG259" s="1603">
        <v>6.70158830393739</v>
      </c>
      <c r="CH259" s="1603">
        <v>1.2295372894593</v>
      </c>
      <c r="CI259" s="1603">
        <v>1.5536370864876901</v>
      </c>
      <c r="CJ259" s="1603"/>
      <c r="CK259" s="1603">
        <v>175.38524855583398</v>
      </c>
      <c r="CL259" s="1603">
        <v>27.353980381974502</v>
      </c>
      <c r="CM259" s="1603">
        <v>66.648794968540216</v>
      </c>
      <c r="CN259" s="1603">
        <v>108.69956506018801</v>
      </c>
      <c r="CO259" s="1603">
        <v>0.22939999999999997</v>
      </c>
      <c r="CP259" s="1603">
        <v>0.46429406912879301</v>
      </c>
      <c r="CQ259" s="1603">
        <v>141.255912029732</v>
      </c>
      <c r="CR259" s="1603">
        <v>127.25757840516395</v>
      </c>
      <c r="CS259" s="1603">
        <v>9.9999999999999982</v>
      </c>
      <c r="CT259" s="1603">
        <v>3.1999999999999997</v>
      </c>
      <c r="CU259" s="1603">
        <v>2.2000000000000002</v>
      </c>
      <c r="CV259" s="1603">
        <v>5.4000000000000092</v>
      </c>
      <c r="CW259" s="1603">
        <v>6.1999999999999993</v>
      </c>
      <c r="CX259" s="1603">
        <v>2.0999999999999996</v>
      </c>
      <c r="CY259" s="1603">
        <v>4.8153555439917026</v>
      </c>
      <c r="CZ259" s="1603">
        <v>9.0000000000000089</v>
      </c>
      <c r="DA259" s="1603">
        <v>3.0102355463419634</v>
      </c>
      <c r="DB259" s="1603">
        <v>5.9156157690019269</v>
      </c>
      <c r="DC259" s="1603">
        <v>4.0843842309980625</v>
      </c>
      <c r="DD259" s="1603">
        <v>9.9999999999999982</v>
      </c>
      <c r="DE259" s="1603">
        <v>6.3999999999999995</v>
      </c>
      <c r="DF259" s="1603">
        <v>1488.2450068299099</v>
      </c>
      <c r="DG259" s="1603">
        <v>0</v>
      </c>
      <c r="DH259" s="1603">
        <v>0</v>
      </c>
      <c r="DI259" s="1603">
        <v>5.55</v>
      </c>
      <c r="DJ259" s="1603">
        <v>0.55499999999999905</v>
      </c>
      <c r="DK259" s="1603">
        <v>148</v>
      </c>
      <c r="DL259" s="1603">
        <v>2.21999999999999</v>
      </c>
      <c r="DM259" s="1603">
        <v>0</v>
      </c>
      <c r="DN259" s="1603">
        <v>2.21999999999999</v>
      </c>
      <c r="DO259" s="1603">
        <v>4.4399999999999897</v>
      </c>
      <c r="DP259" s="1603">
        <v>3.33</v>
      </c>
      <c r="DQ259" s="1603">
        <v>2.21999999999999E-2</v>
      </c>
      <c r="DR259" s="1603">
        <v>22.1999999999999</v>
      </c>
      <c r="DS259" s="1603">
        <v>11.1</v>
      </c>
      <c r="DT259" s="1603">
        <v>0</v>
      </c>
      <c r="DU259" s="1603">
        <v>0</v>
      </c>
      <c r="DV259" s="1603">
        <v>0.221999999999999</v>
      </c>
      <c r="DW259" s="1618" t="s">
        <v>986</v>
      </c>
      <c r="DX259" s="1605" t="s">
        <v>986</v>
      </c>
      <c r="DY259" s="1605" t="s">
        <v>986</v>
      </c>
      <c r="DZ259" s="1605" t="s">
        <v>986</v>
      </c>
      <c r="EA259" s="1605" t="s">
        <v>986</v>
      </c>
      <c r="EB259" s="1605" t="s">
        <v>986</v>
      </c>
      <c r="EC259" s="1605" t="s">
        <v>986</v>
      </c>
      <c r="ED259" s="1605" t="s">
        <v>986</v>
      </c>
      <c r="EE259" s="1605" t="s">
        <v>986</v>
      </c>
      <c r="EF259" s="1605" t="s">
        <v>986</v>
      </c>
      <c r="EG259" s="1605" t="s">
        <v>986</v>
      </c>
      <c r="EH259" s="1605" t="s">
        <v>986</v>
      </c>
      <c r="EI259" s="1605" t="s">
        <v>986</v>
      </c>
      <c r="EJ259" s="1605" t="s">
        <v>986</v>
      </c>
      <c r="EK259" s="1605" t="s">
        <v>986</v>
      </c>
      <c r="EL259" s="1605" t="s">
        <v>986</v>
      </c>
      <c r="EM259" s="1605" t="s">
        <v>986</v>
      </c>
      <c r="EN259" s="1605" t="s">
        <v>986</v>
      </c>
      <c r="EO259" s="1605" t="s">
        <v>986</v>
      </c>
      <c r="EP259" s="1605" t="s">
        <v>986</v>
      </c>
      <c r="EQ259" s="1605" t="s">
        <v>986</v>
      </c>
      <c r="ER259" s="1605" t="s">
        <v>986</v>
      </c>
      <c r="ES259" s="1605" t="s">
        <v>986</v>
      </c>
      <c r="ET259" s="1605" t="s">
        <v>986</v>
      </c>
      <c r="EU259" s="1605" t="s">
        <v>986</v>
      </c>
      <c r="EV259" s="1605" t="s">
        <v>986</v>
      </c>
      <c r="EW259" s="1605" t="s">
        <v>986</v>
      </c>
      <c r="EX259" s="1605" t="s">
        <v>986</v>
      </c>
      <c r="EY259" s="1605" t="s">
        <v>986</v>
      </c>
      <c r="EZ259" s="1605" t="s">
        <v>986</v>
      </c>
      <c r="FA259" s="1605" t="s">
        <v>986</v>
      </c>
      <c r="FB259" s="1605" t="s">
        <v>986</v>
      </c>
      <c r="FC259" s="1605" t="s">
        <v>986</v>
      </c>
      <c r="FD259" s="1605" t="s">
        <v>986</v>
      </c>
      <c r="FE259" s="1605" t="s">
        <v>986</v>
      </c>
      <c r="FF259" s="1605" t="s">
        <v>986</v>
      </c>
      <c r="FG259" s="1605" t="s">
        <v>986</v>
      </c>
      <c r="FH259" s="1605" t="s">
        <v>986</v>
      </c>
      <c r="FI259" s="1605" t="s">
        <v>986</v>
      </c>
      <c r="FJ259" s="1605" t="s">
        <v>986</v>
      </c>
      <c r="FK259" s="1605" t="s">
        <v>986</v>
      </c>
      <c r="FL259" s="1605" t="s">
        <v>986</v>
      </c>
      <c r="FM259" s="1605" t="s">
        <v>986</v>
      </c>
      <c r="FN259" s="1605" t="s">
        <v>986</v>
      </c>
      <c r="FO259" s="1605" t="s">
        <v>986</v>
      </c>
      <c r="FP259" s="1605" t="s">
        <v>986</v>
      </c>
      <c r="FQ259" s="1605" t="s">
        <v>986</v>
      </c>
      <c r="FR259" s="1605" t="s">
        <v>986</v>
      </c>
      <c r="FS259" s="1605" t="s">
        <v>986</v>
      </c>
      <c r="FT259" s="1605" t="s">
        <v>986</v>
      </c>
      <c r="FU259" s="1605" t="s">
        <v>986</v>
      </c>
      <c r="FV259" s="1605" t="s">
        <v>986</v>
      </c>
      <c r="FW259" s="1605" t="s">
        <v>986</v>
      </c>
      <c r="FX259" s="1605" t="s">
        <v>986</v>
      </c>
      <c r="FY259" s="1605" t="s">
        <v>986</v>
      </c>
      <c r="FZ259" s="1605" t="s">
        <v>986</v>
      </c>
      <c r="GA259" s="1605" t="s">
        <v>986</v>
      </c>
      <c r="GB259" s="1605" t="s">
        <v>986</v>
      </c>
      <c r="GC259" s="1605" t="s">
        <v>986</v>
      </c>
      <c r="GD259" s="1605" t="s">
        <v>986</v>
      </c>
      <c r="GE259" s="1605" t="s">
        <v>986</v>
      </c>
      <c r="GF259" s="1605" t="s">
        <v>986</v>
      </c>
      <c r="GG259" s="1605" t="s">
        <v>986</v>
      </c>
      <c r="GH259" s="1605" t="s">
        <v>986</v>
      </c>
      <c r="GI259" s="1605" t="s">
        <v>986</v>
      </c>
      <c r="GJ259" s="1605" t="s">
        <v>986</v>
      </c>
      <c r="GK259" s="1605" t="s">
        <v>986</v>
      </c>
      <c r="GL259" s="1605" t="s">
        <v>986</v>
      </c>
      <c r="GM259" s="1605" t="s">
        <v>986</v>
      </c>
      <c r="GN259" s="1605" t="s">
        <v>1578</v>
      </c>
      <c r="GO259" s="1605" t="s">
        <v>1578</v>
      </c>
      <c r="GP259" s="1605" t="s">
        <v>1578</v>
      </c>
      <c r="GQ259" s="1605" t="s">
        <v>1578</v>
      </c>
      <c r="GR259" s="1605" t="s">
        <v>1578</v>
      </c>
      <c r="GS259" s="1605" t="s">
        <v>1578</v>
      </c>
      <c r="GT259" s="1605" t="s">
        <v>1578</v>
      </c>
      <c r="GU259" s="1605" t="s">
        <v>1578</v>
      </c>
      <c r="GV259" s="1605" t="s">
        <v>1578</v>
      </c>
      <c r="GW259" s="1605" t="s">
        <v>1578</v>
      </c>
      <c r="GX259" s="1605" t="s">
        <v>1578</v>
      </c>
      <c r="GY259" s="1605" t="s">
        <v>1578</v>
      </c>
      <c r="GZ259" s="1605" t="s">
        <v>1578</v>
      </c>
      <c r="HA259" s="1605" t="s">
        <v>1578</v>
      </c>
      <c r="HB259" s="1605" t="s">
        <v>1578</v>
      </c>
      <c r="HC259" s="1605" t="s">
        <v>1578</v>
      </c>
      <c r="HD259" s="1605" t="s">
        <v>1578</v>
      </c>
      <c r="HE259" s="1605" t="s">
        <v>1578</v>
      </c>
      <c r="HF259" s="1605" t="s">
        <v>1578</v>
      </c>
      <c r="HG259" s="1605" t="s">
        <v>1578</v>
      </c>
      <c r="HH259" s="1605" t="s">
        <v>1578</v>
      </c>
      <c r="HI259" s="1605" t="s">
        <v>1578</v>
      </c>
      <c r="HJ259" s="1605" t="s">
        <v>1578</v>
      </c>
      <c r="HK259" s="1605" t="s">
        <v>986</v>
      </c>
      <c r="HL259" s="1605" t="s">
        <v>986</v>
      </c>
      <c r="HM259" s="1605" t="s">
        <v>1578</v>
      </c>
      <c r="HN259" s="1605" t="s">
        <v>1578</v>
      </c>
      <c r="HO259" s="1605" t="s">
        <v>1578</v>
      </c>
      <c r="HP259" s="1605" t="s">
        <v>1578</v>
      </c>
      <c r="HQ259" s="1605" t="s">
        <v>1578</v>
      </c>
      <c r="HR259" s="1605" t="s">
        <v>1578</v>
      </c>
      <c r="HS259" s="1605" t="s">
        <v>1578</v>
      </c>
      <c r="HT259" s="1605" t="s">
        <v>1578</v>
      </c>
      <c r="HU259" s="1605" t="s">
        <v>1578</v>
      </c>
      <c r="HV259" s="1617"/>
      <c r="HW259" s="1617">
        <v>0</v>
      </c>
      <c r="HX259" s="1617">
        <v>0</v>
      </c>
      <c r="HY259" s="1617">
        <v>0</v>
      </c>
      <c r="HZ259" s="1603"/>
      <c r="IA259" s="1603"/>
      <c r="IB259" s="1603"/>
      <c r="IC259" s="1603">
        <v>63.074405562605001</v>
      </c>
      <c r="ID259" s="1603">
        <v>63.649859681542097</v>
      </c>
      <c r="IE259" s="1603">
        <v>64.129404780656401</v>
      </c>
      <c r="IF259" s="1603">
        <v>64.417131840124895</v>
      </c>
      <c r="IG259" s="1611" t="s">
        <v>270</v>
      </c>
      <c r="IH259" s="1616" t="s">
        <v>270</v>
      </c>
      <c r="II259" s="1615" t="s">
        <v>270</v>
      </c>
      <c r="IJ259" s="1613">
        <v>1.9300000000000002</v>
      </c>
      <c r="IK259" s="1613">
        <v>0.7</v>
      </c>
      <c r="IL259" s="1614">
        <v>1.9300000000000002</v>
      </c>
      <c r="IM259" s="1614">
        <v>0.7</v>
      </c>
      <c r="IN259" s="1612" t="s">
        <v>270</v>
      </c>
      <c r="IO259" s="1613" t="s">
        <v>270</v>
      </c>
      <c r="IP259" s="1607" t="s">
        <v>270</v>
      </c>
      <c r="IQ259" s="1612" t="s">
        <v>270</v>
      </c>
      <c r="IR259" s="1612" t="s">
        <v>270</v>
      </c>
      <c r="IS259" s="1607" t="s">
        <v>270</v>
      </c>
      <c r="IT259" s="1607" t="s">
        <v>270</v>
      </c>
      <c r="IU259" s="1611" t="s">
        <v>270</v>
      </c>
      <c r="IV259" s="1611" t="s">
        <v>270</v>
      </c>
      <c r="IW259" s="1611" t="s">
        <v>270</v>
      </c>
      <c r="IX259" s="1611" t="s">
        <v>270</v>
      </c>
      <c r="IY259" s="1611" t="s">
        <v>270</v>
      </c>
      <c r="IZ259" s="1611" t="s">
        <v>270</v>
      </c>
      <c r="JA259" s="1611" t="s">
        <v>270</v>
      </c>
      <c r="JB259" s="1611" t="s">
        <v>270</v>
      </c>
      <c r="JC259" s="1611" t="s">
        <v>270</v>
      </c>
      <c r="JD259" s="1611" t="s">
        <v>270</v>
      </c>
      <c r="JE259" s="1611" t="s">
        <v>270</v>
      </c>
      <c r="JF259" s="1611" t="s">
        <v>270</v>
      </c>
      <c r="JG259" s="1611" t="s">
        <v>270</v>
      </c>
      <c r="JH259" s="1611" t="s">
        <v>270</v>
      </c>
      <c r="JI259" s="1611" t="s">
        <v>270</v>
      </c>
      <c r="JJ259" s="1611" t="s">
        <v>270</v>
      </c>
      <c r="JK259" s="1607" t="str">
        <f t="shared" si="12"/>
        <v/>
      </c>
      <c r="JL259" s="1608" t="s">
        <v>270</v>
      </c>
      <c r="JM259" s="1610" t="s">
        <v>3052</v>
      </c>
      <c r="JN259" s="1608" t="s">
        <v>270</v>
      </c>
      <c r="JO259" s="1609" t="s">
        <v>270</v>
      </c>
      <c r="JP259" s="1608" t="s">
        <v>270</v>
      </c>
      <c r="JQ259" s="1607" t="s">
        <v>270</v>
      </c>
      <c r="JR259" s="1606" t="s">
        <v>270</v>
      </c>
      <c r="JS259" s="1606" t="s">
        <v>270</v>
      </c>
      <c r="JT259" s="1606" t="s">
        <v>270</v>
      </c>
    </row>
    <row r="260" spans="1:280" ht="15" customHeight="1" x14ac:dyDescent="0.2">
      <c r="A260" s="1626">
        <v>6300</v>
      </c>
      <c r="B260" s="1625">
        <v>63</v>
      </c>
      <c r="C260" s="1624">
        <v>0</v>
      </c>
      <c r="D260" s="1623" t="s">
        <v>3074</v>
      </c>
      <c r="E260" s="1622">
        <v>44132</v>
      </c>
      <c r="F260" s="1620">
        <v>1.1100000000000001</v>
      </c>
      <c r="G260" s="1620">
        <v>1.10167905274133</v>
      </c>
      <c r="H260" s="1621">
        <v>91.363662644542799</v>
      </c>
      <c r="I260" s="1621">
        <v>83.742204677635698</v>
      </c>
      <c r="J260" s="1621">
        <v>94.394886039502296</v>
      </c>
      <c r="K260" s="1620">
        <v>1</v>
      </c>
      <c r="L260" s="1620">
        <v>87.409189767173103</v>
      </c>
      <c r="M260" s="1620">
        <v>18.718804767171498</v>
      </c>
      <c r="N260" s="1620">
        <v>4.1758533383887704</v>
      </c>
      <c r="O260" s="1620">
        <v>6.01220622625386</v>
      </c>
      <c r="P260" s="1620">
        <v>3.46085588599651</v>
      </c>
      <c r="Q260" s="1603"/>
      <c r="R260" s="1620">
        <v>86.904223800352398</v>
      </c>
      <c r="S260" s="1620">
        <v>50.377074718079001</v>
      </c>
      <c r="T260" s="1620">
        <v>56.302358101946297</v>
      </c>
      <c r="U260" s="1620">
        <v>58.672471455493202</v>
      </c>
      <c r="V260" s="1620">
        <v>60.805573473685499</v>
      </c>
      <c r="W260" s="1620">
        <v>62.227641485813599</v>
      </c>
      <c r="X260" s="1620"/>
      <c r="Y260" s="1620">
        <v>9.5241701955764935</v>
      </c>
      <c r="Z260" s="1620">
        <v>5.8652443058983339</v>
      </c>
      <c r="AA260" s="1620">
        <v>2.5397787188203989</v>
      </c>
      <c r="AB260" s="1620">
        <v>6.0954872033583465</v>
      </c>
      <c r="AC260" s="1620">
        <v>9.090082922975375</v>
      </c>
      <c r="AD260" s="1620">
        <v>1.5528063950439888</v>
      </c>
      <c r="AE260" s="1620">
        <v>1.9028811741998515</v>
      </c>
      <c r="AF260" s="1620">
        <v>211.24105205725508</v>
      </c>
      <c r="AG260" s="1620">
        <v>32.0112987544303</v>
      </c>
      <c r="AH260" s="1620">
        <v>79.149311003432345</v>
      </c>
      <c r="AI260" s="1620">
        <v>125.49385365408311</v>
      </c>
      <c r="AJ260" s="1620">
        <v>0.26244380094477449</v>
      </c>
      <c r="AK260" s="1620">
        <v>0.54395897335405097</v>
      </c>
      <c r="AL260" s="1620"/>
      <c r="AM260" s="1620">
        <v>7.1946719122053198</v>
      </c>
      <c r="AN260" s="1620">
        <v>2.2319899522072899</v>
      </c>
      <c r="AO260" s="1620">
        <v>1.7272745664757201</v>
      </c>
      <c r="AP260" s="1620">
        <v>4.6140536413566204</v>
      </c>
      <c r="AQ260" s="1620">
        <v>1.5375080830363099</v>
      </c>
      <c r="AR260" s="1620">
        <v>3.85649649183138</v>
      </c>
      <c r="AS260" s="1620">
        <v>7.1274591943838699</v>
      </c>
      <c r="AT260" s="1620">
        <v>2.4263280254131598</v>
      </c>
      <c r="AU260" s="1620">
        <v>4.6528140831250502</v>
      </c>
      <c r="AV260" s="1620">
        <v>3.2437947824759701</v>
      </c>
      <c r="AW260" s="1620">
        <v>4.97130755839357</v>
      </c>
      <c r="AX260" s="1620"/>
      <c r="AY260" s="1620">
        <v>1.0432434580500169</v>
      </c>
      <c r="AZ260" s="1620">
        <v>1.0699901710540556</v>
      </c>
      <c r="BA260" s="1620">
        <v>0.94809933638526789</v>
      </c>
      <c r="BB260" s="1620">
        <v>1.0056115496213238</v>
      </c>
      <c r="BC260" s="1620">
        <v>1.0251762852422655</v>
      </c>
      <c r="BD260" s="1620">
        <v>1.0020324781898944</v>
      </c>
      <c r="BE260" s="1620">
        <v>1.0052140232391773</v>
      </c>
      <c r="BF260" s="1620">
        <v>1.0094271997686917</v>
      </c>
      <c r="BG260" s="1620">
        <v>1.0122324162224707</v>
      </c>
      <c r="BH260" s="1620">
        <v>1.0011462054822153</v>
      </c>
      <c r="BI260" s="1620">
        <v>0.98824777042760192</v>
      </c>
      <c r="BJ260" s="1603"/>
      <c r="BK260" s="1620">
        <v>21.415145040277476</v>
      </c>
      <c r="BL260" s="1620">
        <v>4.7773619107004128</v>
      </c>
      <c r="BM260" s="1620">
        <v>6.8782312732428164</v>
      </c>
      <c r="BN260" s="1620">
        <v>3.959373030701915</v>
      </c>
      <c r="BO260" s="1620"/>
      <c r="BP260" s="1620" t="s">
        <v>270</v>
      </c>
      <c r="BQ260" s="1620">
        <v>42.552025096197283</v>
      </c>
      <c r="BR260" s="1620">
        <v>1.2698893594101994</v>
      </c>
      <c r="BS260" s="1620">
        <v>1.2603698257309215</v>
      </c>
      <c r="BT260" s="1603"/>
      <c r="BU260" s="1620">
        <v>931.2176872675725</v>
      </c>
      <c r="BV260" s="1620">
        <v>508.18697483946249</v>
      </c>
      <c r="BW260" s="1620">
        <v>101.38909230786095</v>
      </c>
      <c r="BX260" s="1620">
        <v>449.96979878699904</v>
      </c>
      <c r="BY260" s="1620">
        <v>38.137782599542355</v>
      </c>
      <c r="BZ260" s="1620">
        <v>39.571750423236253</v>
      </c>
      <c r="CA260" s="1620">
        <v>135.30385678368805</v>
      </c>
      <c r="CB260" s="1603"/>
      <c r="CC260" s="1603">
        <v>8.3249999999999993</v>
      </c>
      <c r="CD260" s="1603">
        <v>5.1267625256509897</v>
      </c>
      <c r="CE260" s="1603">
        <v>2.2200000000000002</v>
      </c>
      <c r="CF260" s="1603">
        <v>5.3280159768172499</v>
      </c>
      <c r="CG260" s="1603">
        <v>7.9455678321369412</v>
      </c>
      <c r="CH260" s="1603">
        <v>1.3572954885607997</v>
      </c>
      <c r="CI260" s="1603">
        <v>1.6632930166001598</v>
      </c>
      <c r="CJ260" s="1603"/>
      <c r="CK260" s="1603">
        <v>184.64409205889902</v>
      </c>
      <c r="CL260" s="1603">
        <v>27.980816875196698</v>
      </c>
      <c r="CM260" s="1603">
        <v>69.183771454400201</v>
      </c>
      <c r="CN260" s="1603">
        <v>109.69316068663601</v>
      </c>
      <c r="CO260" s="1603">
        <v>0.22939999999999997</v>
      </c>
      <c r="CP260" s="1603">
        <v>0.47547013127460896</v>
      </c>
      <c r="CQ260" s="1603">
        <v>162.67431987613699</v>
      </c>
      <c r="CR260" s="1603">
        <v>146.55344132985314</v>
      </c>
      <c r="CS260" s="1603">
        <v>11</v>
      </c>
      <c r="CT260" s="1603">
        <v>3.4999999999999907</v>
      </c>
      <c r="CU260" s="1603">
        <v>2.4</v>
      </c>
      <c r="CV260" s="1603">
        <v>5.8999999999999995</v>
      </c>
      <c r="CW260" s="1603">
        <v>6.8</v>
      </c>
      <c r="CX260" s="1603">
        <v>2.3099999999999907</v>
      </c>
      <c r="CY260" s="1603">
        <v>5.6633155413446028</v>
      </c>
      <c r="CZ260" s="1603">
        <v>10.499999999999998</v>
      </c>
      <c r="DA260" s="1603">
        <v>3.5893890898199543</v>
      </c>
      <c r="DB260" s="1603">
        <v>6.9022702808767917</v>
      </c>
      <c r="DC260" s="1603">
        <v>4.7593418214815939</v>
      </c>
      <c r="DD260" s="1603">
        <v>11.661612102358378</v>
      </c>
      <c r="DE260" s="1603">
        <v>7.1999999999999904</v>
      </c>
      <c r="DF260" s="1603">
        <v>1489.92937103136</v>
      </c>
      <c r="DG260" s="1603">
        <v>0</v>
      </c>
      <c r="DH260" s="1603">
        <v>0</v>
      </c>
      <c r="DI260" s="1603">
        <v>5.5499999999999901</v>
      </c>
      <c r="DJ260" s="1603">
        <v>0.55499999999999905</v>
      </c>
      <c r="DK260" s="1603">
        <v>148</v>
      </c>
      <c r="DL260" s="1603">
        <v>2.21999999999999</v>
      </c>
      <c r="DM260" s="1603">
        <v>0</v>
      </c>
      <c r="DN260" s="1603">
        <v>2.21999999999999</v>
      </c>
      <c r="DO260" s="1603">
        <v>4.43999999999998</v>
      </c>
      <c r="DP260" s="1603">
        <v>3.33</v>
      </c>
      <c r="DQ260" s="1603">
        <v>2.21999999999999E-2</v>
      </c>
      <c r="DR260" s="1603">
        <v>22.1999999999999</v>
      </c>
      <c r="DS260" s="1603">
        <v>11.1</v>
      </c>
      <c r="DT260" s="1603">
        <v>0</v>
      </c>
      <c r="DU260" s="1603">
        <v>0</v>
      </c>
      <c r="DV260" s="1603">
        <v>0.221999999999999</v>
      </c>
      <c r="DW260" s="1618" t="s">
        <v>986</v>
      </c>
      <c r="DX260" s="1605" t="s">
        <v>986</v>
      </c>
      <c r="DY260" s="1605" t="s">
        <v>986</v>
      </c>
      <c r="DZ260" s="1605" t="s">
        <v>986</v>
      </c>
      <c r="EA260" s="1605" t="s">
        <v>986</v>
      </c>
      <c r="EB260" s="1605" t="s">
        <v>986</v>
      </c>
      <c r="EC260" s="1605" t="s">
        <v>986</v>
      </c>
      <c r="ED260" s="1605" t="s">
        <v>986</v>
      </c>
      <c r="EE260" s="1605" t="s">
        <v>986</v>
      </c>
      <c r="EF260" s="1605" t="s">
        <v>986</v>
      </c>
      <c r="EG260" s="1605" t="s">
        <v>986</v>
      </c>
      <c r="EH260" s="1605" t="s">
        <v>986</v>
      </c>
      <c r="EI260" s="1605" t="s">
        <v>986</v>
      </c>
      <c r="EJ260" s="1605" t="s">
        <v>986</v>
      </c>
      <c r="EK260" s="1605" t="s">
        <v>986</v>
      </c>
      <c r="EL260" s="1605" t="s">
        <v>986</v>
      </c>
      <c r="EM260" s="1605" t="s">
        <v>986</v>
      </c>
      <c r="EN260" s="1605" t="s">
        <v>986</v>
      </c>
      <c r="EO260" s="1605" t="s">
        <v>986</v>
      </c>
      <c r="EP260" s="1605" t="s">
        <v>986</v>
      </c>
      <c r="EQ260" s="1605" t="s">
        <v>986</v>
      </c>
      <c r="ER260" s="1605" t="s">
        <v>986</v>
      </c>
      <c r="ES260" s="1605" t="s">
        <v>986</v>
      </c>
      <c r="ET260" s="1605" t="s">
        <v>986</v>
      </c>
      <c r="EU260" s="1605" t="s">
        <v>986</v>
      </c>
      <c r="EV260" s="1605" t="s">
        <v>986</v>
      </c>
      <c r="EW260" s="1605" t="s">
        <v>986</v>
      </c>
      <c r="EX260" s="1605" t="s">
        <v>986</v>
      </c>
      <c r="EY260" s="1605" t="s">
        <v>986</v>
      </c>
      <c r="EZ260" s="1605" t="s">
        <v>986</v>
      </c>
      <c r="FA260" s="1605" t="s">
        <v>986</v>
      </c>
      <c r="FB260" s="1605" t="s">
        <v>986</v>
      </c>
      <c r="FC260" s="1605" t="s">
        <v>986</v>
      </c>
      <c r="FD260" s="1605" t="s">
        <v>986</v>
      </c>
      <c r="FE260" s="1605" t="s">
        <v>986</v>
      </c>
      <c r="FF260" s="1605" t="s">
        <v>986</v>
      </c>
      <c r="FG260" s="1605" t="s">
        <v>986</v>
      </c>
      <c r="FH260" s="1605" t="s">
        <v>986</v>
      </c>
      <c r="FI260" s="1605" t="s">
        <v>986</v>
      </c>
      <c r="FJ260" s="1605" t="s">
        <v>986</v>
      </c>
      <c r="FK260" s="1605" t="s">
        <v>986</v>
      </c>
      <c r="FL260" s="1605" t="s">
        <v>986</v>
      </c>
      <c r="FM260" s="1605" t="s">
        <v>986</v>
      </c>
      <c r="FN260" s="1605" t="s">
        <v>986</v>
      </c>
      <c r="FO260" s="1605" t="s">
        <v>986</v>
      </c>
      <c r="FP260" s="1605" t="s">
        <v>986</v>
      </c>
      <c r="FQ260" s="1605" t="s">
        <v>986</v>
      </c>
      <c r="FR260" s="1605" t="s">
        <v>986</v>
      </c>
      <c r="FS260" s="1605" t="s">
        <v>986</v>
      </c>
      <c r="FT260" s="1605" t="s">
        <v>986</v>
      </c>
      <c r="FU260" s="1605" t="s">
        <v>986</v>
      </c>
      <c r="FV260" s="1605" t="s">
        <v>986</v>
      </c>
      <c r="FW260" s="1605" t="s">
        <v>986</v>
      </c>
      <c r="FX260" s="1605" t="s">
        <v>986</v>
      </c>
      <c r="FY260" s="1605" t="s">
        <v>986</v>
      </c>
      <c r="FZ260" s="1605" t="s">
        <v>986</v>
      </c>
      <c r="GA260" s="1605" t="s">
        <v>986</v>
      </c>
      <c r="GB260" s="1605" t="s">
        <v>986</v>
      </c>
      <c r="GC260" s="1605" t="s">
        <v>986</v>
      </c>
      <c r="GD260" s="1605" t="s">
        <v>986</v>
      </c>
      <c r="GE260" s="1605" t="s">
        <v>986</v>
      </c>
      <c r="GF260" s="1605" t="s">
        <v>986</v>
      </c>
      <c r="GG260" s="1605" t="s">
        <v>986</v>
      </c>
      <c r="GH260" s="1605" t="s">
        <v>986</v>
      </c>
      <c r="GI260" s="1605" t="s">
        <v>986</v>
      </c>
      <c r="GJ260" s="1605" t="s">
        <v>986</v>
      </c>
      <c r="GK260" s="1605" t="s">
        <v>986</v>
      </c>
      <c r="GL260" s="1605" t="s">
        <v>986</v>
      </c>
      <c r="GM260" s="1605" t="s">
        <v>986</v>
      </c>
      <c r="GN260" s="1605" t="s">
        <v>1578</v>
      </c>
      <c r="GO260" s="1605" t="s">
        <v>1578</v>
      </c>
      <c r="GP260" s="1605" t="s">
        <v>1578</v>
      </c>
      <c r="GQ260" s="1605" t="s">
        <v>1578</v>
      </c>
      <c r="GR260" s="1605" t="s">
        <v>1578</v>
      </c>
      <c r="GS260" s="1605" t="s">
        <v>1578</v>
      </c>
      <c r="GT260" s="1605" t="s">
        <v>1578</v>
      </c>
      <c r="GU260" s="1605" t="s">
        <v>1578</v>
      </c>
      <c r="GV260" s="1605" t="s">
        <v>1578</v>
      </c>
      <c r="GW260" s="1605" t="s">
        <v>1578</v>
      </c>
      <c r="GX260" s="1605" t="s">
        <v>1578</v>
      </c>
      <c r="GY260" s="1605" t="s">
        <v>1578</v>
      </c>
      <c r="GZ260" s="1605" t="s">
        <v>1578</v>
      </c>
      <c r="HA260" s="1605" t="s">
        <v>1578</v>
      </c>
      <c r="HB260" s="1605" t="s">
        <v>1578</v>
      </c>
      <c r="HC260" s="1605" t="s">
        <v>1578</v>
      </c>
      <c r="HD260" s="1605" t="s">
        <v>1578</v>
      </c>
      <c r="HE260" s="1605" t="s">
        <v>1578</v>
      </c>
      <c r="HF260" s="1605" t="s">
        <v>1578</v>
      </c>
      <c r="HG260" s="1605" t="s">
        <v>1578</v>
      </c>
      <c r="HH260" s="1605" t="s">
        <v>1578</v>
      </c>
      <c r="HI260" s="1605" t="s">
        <v>1578</v>
      </c>
      <c r="HJ260" s="1605" t="s">
        <v>1578</v>
      </c>
      <c r="HK260" s="1605" t="s">
        <v>986</v>
      </c>
      <c r="HL260" s="1605" t="s">
        <v>986</v>
      </c>
      <c r="HM260" s="1605" t="s">
        <v>1578</v>
      </c>
      <c r="HN260" s="1605" t="s">
        <v>1578</v>
      </c>
      <c r="HO260" s="1605" t="s">
        <v>1578</v>
      </c>
      <c r="HP260" s="1605" t="s">
        <v>1578</v>
      </c>
      <c r="HQ260" s="1605" t="s">
        <v>1578</v>
      </c>
      <c r="HR260" s="1605" t="s">
        <v>1578</v>
      </c>
      <c r="HS260" s="1605" t="s">
        <v>1578</v>
      </c>
      <c r="HT260" s="1605" t="s">
        <v>1578</v>
      </c>
      <c r="HU260" s="1605" t="s">
        <v>1578</v>
      </c>
      <c r="HV260" s="1617"/>
      <c r="HW260" s="1617">
        <v>0</v>
      </c>
      <c r="HX260" s="1617">
        <v>0</v>
      </c>
      <c r="HY260" s="1617">
        <v>0</v>
      </c>
      <c r="HZ260" s="1603"/>
      <c r="IA260" s="1603"/>
      <c r="IB260" s="1603"/>
      <c r="IC260" s="1603">
        <v>63.294192494909801</v>
      </c>
      <c r="ID260" s="1603">
        <v>64.005226500973905</v>
      </c>
      <c r="IE260" s="1603">
        <v>64.597754839360604</v>
      </c>
      <c r="IF260" s="1603">
        <v>64.953271842392596</v>
      </c>
      <c r="IG260" s="1611" t="s">
        <v>270</v>
      </c>
      <c r="IH260" s="1616" t="s">
        <v>270</v>
      </c>
      <c r="II260" s="1615" t="s">
        <v>270</v>
      </c>
      <c r="IJ260" s="1613">
        <v>2</v>
      </c>
      <c r="IK260" s="1613">
        <v>0.7</v>
      </c>
      <c r="IL260" s="1614">
        <v>2</v>
      </c>
      <c r="IM260" s="1614">
        <v>0.7</v>
      </c>
      <c r="IN260" s="1612" t="s">
        <v>270</v>
      </c>
      <c r="IO260" s="1613" t="s">
        <v>270</v>
      </c>
      <c r="IP260" s="1607" t="s">
        <v>270</v>
      </c>
      <c r="IQ260" s="1612" t="s">
        <v>270</v>
      </c>
      <c r="IR260" s="1612" t="s">
        <v>270</v>
      </c>
      <c r="IS260" s="1607" t="s">
        <v>270</v>
      </c>
      <c r="IT260" s="1607" t="s">
        <v>270</v>
      </c>
      <c r="IU260" s="1611" t="s">
        <v>270</v>
      </c>
      <c r="IV260" s="1611" t="s">
        <v>270</v>
      </c>
      <c r="IW260" s="1611" t="s">
        <v>270</v>
      </c>
      <c r="IX260" s="1611" t="s">
        <v>270</v>
      </c>
      <c r="IY260" s="1611" t="s">
        <v>270</v>
      </c>
      <c r="IZ260" s="1611" t="s">
        <v>270</v>
      </c>
      <c r="JA260" s="1611" t="s">
        <v>270</v>
      </c>
      <c r="JB260" s="1611" t="s">
        <v>270</v>
      </c>
      <c r="JC260" s="1611" t="s">
        <v>270</v>
      </c>
      <c r="JD260" s="1611" t="s">
        <v>270</v>
      </c>
      <c r="JE260" s="1611" t="s">
        <v>270</v>
      </c>
      <c r="JF260" s="1611" t="s">
        <v>270</v>
      </c>
      <c r="JG260" s="1611" t="s">
        <v>270</v>
      </c>
      <c r="JH260" s="1611" t="s">
        <v>270</v>
      </c>
      <c r="JI260" s="1611" t="s">
        <v>270</v>
      </c>
      <c r="JJ260" s="1611" t="s">
        <v>270</v>
      </c>
      <c r="JK260" s="1607" t="str">
        <f t="shared" si="12"/>
        <v/>
      </c>
      <c r="JL260" s="1608" t="s">
        <v>270</v>
      </c>
      <c r="JM260" s="1610" t="s">
        <v>3052</v>
      </c>
      <c r="JN260" s="1608" t="s">
        <v>270</v>
      </c>
      <c r="JO260" s="1609" t="s">
        <v>270</v>
      </c>
      <c r="JP260" s="1608" t="s">
        <v>270</v>
      </c>
      <c r="JQ260" s="1607" t="s">
        <v>270</v>
      </c>
      <c r="JR260" s="1606" t="s">
        <v>270</v>
      </c>
      <c r="JS260" s="1606" t="s">
        <v>270</v>
      </c>
      <c r="JT260" s="1606" t="s">
        <v>270</v>
      </c>
    </row>
    <row r="261" spans="1:280" ht="15" customHeight="1" x14ac:dyDescent="0.2">
      <c r="A261" s="1626">
        <v>14100</v>
      </c>
      <c r="B261" s="1625">
        <v>141</v>
      </c>
      <c r="C261" s="1624">
        <v>0</v>
      </c>
      <c r="D261" s="1623" t="s">
        <v>3073</v>
      </c>
      <c r="E261" s="1622">
        <v>44140</v>
      </c>
      <c r="F261" s="1620">
        <v>1.06</v>
      </c>
      <c r="G261" s="1620">
        <v>1.0562681862610099</v>
      </c>
      <c r="H261" s="1621">
        <v>89.005652468995507</v>
      </c>
      <c r="I261" s="1621">
        <v>82.028770054673501</v>
      </c>
      <c r="J261" s="1621">
        <v>93.559856663007096</v>
      </c>
      <c r="K261" s="1620">
        <v>1</v>
      </c>
      <c r="L261" s="1620">
        <v>86.981481503947293</v>
      </c>
      <c r="M261" s="1620">
        <v>15.1006759581818</v>
      </c>
      <c r="N261" s="1620">
        <v>2.42666182309295</v>
      </c>
      <c r="O261" s="1620">
        <v>4.7277956814732498</v>
      </c>
      <c r="P261" s="1620">
        <v>4.1809940868370701</v>
      </c>
      <c r="Q261" s="1603"/>
      <c r="R261" s="1620">
        <v>84.234639795102098</v>
      </c>
      <c r="S261" s="1620">
        <v>45.811081533824598</v>
      </c>
      <c r="T261" s="1620">
        <v>52.646004653242201</v>
      </c>
      <c r="U261" s="1620">
        <v>55.379973901009201</v>
      </c>
      <c r="V261" s="1620">
        <v>57.840546223999603</v>
      </c>
      <c r="W261" s="1620">
        <v>59.480927772659797</v>
      </c>
      <c r="X261" s="1620"/>
      <c r="Y261" s="1620">
        <v>7.0681711712636188</v>
      </c>
      <c r="Z261" s="1620">
        <v>4.3571741242934792</v>
      </c>
      <c r="AA261" s="1620">
        <v>1.827975302913005</v>
      </c>
      <c r="AB261" s="1620">
        <v>4.7613956213375879</v>
      </c>
      <c r="AC261" s="1620">
        <v>7.8292205966445936</v>
      </c>
      <c r="AD261" s="1620">
        <v>1.4161943320228785</v>
      </c>
      <c r="AE261" s="1620">
        <v>1.5490294930982353</v>
      </c>
      <c r="AF261" s="1620">
        <v>108.291348279541</v>
      </c>
      <c r="AG261" s="1620">
        <v>29.567472246320943</v>
      </c>
      <c r="AH261" s="1620">
        <v>68.988666345310079</v>
      </c>
      <c r="AI261" s="1620">
        <v>109.249480053735</v>
      </c>
      <c r="AJ261" s="1620">
        <v>0.24373004038840065</v>
      </c>
      <c r="AK261" s="1620">
        <v>0.31262751391345139</v>
      </c>
      <c r="AL261" s="1620"/>
      <c r="AM261" s="1620">
        <v>6.1880823971729901</v>
      </c>
      <c r="AN261" s="1620">
        <v>1.8247403104478199</v>
      </c>
      <c r="AO261" s="1620">
        <v>1.87661037073355</v>
      </c>
      <c r="AP261" s="1620">
        <v>4.2566490793372198</v>
      </c>
      <c r="AQ261" s="1620">
        <v>1.3415586973314599</v>
      </c>
      <c r="AR261" s="1620">
        <v>3.8741458368898201</v>
      </c>
      <c r="AS261" s="1620">
        <v>7.1739741491059101</v>
      </c>
      <c r="AT261" s="1620">
        <v>2.4410699440372201</v>
      </c>
      <c r="AU261" s="1620">
        <v>4.7635824664314104</v>
      </c>
      <c r="AV261" s="1620">
        <v>3.2945468235590201</v>
      </c>
      <c r="AW261" s="1620">
        <v>4.7648710624421504</v>
      </c>
      <c r="AX261" s="1620"/>
      <c r="AY261" s="1620">
        <v>1.0369394353246004</v>
      </c>
      <c r="AZ261" s="1620">
        <v>1.0642512774866526</v>
      </c>
      <c r="BA261" s="1620">
        <v>0.9634486847782775</v>
      </c>
      <c r="BB261" s="1620">
        <v>0.99843795454751061</v>
      </c>
      <c r="BC261" s="1620">
        <v>0.99793179156698575</v>
      </c>
      <c r="BD261" s="1620">
        <v>1.0066892345393501</v>
      </c>
      <c r="BE261" s="1620">
        <v>1.0087998212746565</v>
      </c>
      <c r="BF261" s="1620">
        <v>1.0111247250010595</v>
      </c>
      <c r="BG261" s="1620">
        <v>1.0193159733922708</v>
      </c>
      <c r="BH261" s="1620">
        <v>0.99669785767592867</v>
      </c>
      <c r="BI261" s="1620">
        <v>0.96916447817393758</v>
      </c>
      <c r="BJ261" s="1603"/>
      <c r="BK261" s="1620">
        <v>17.360794156508497</v>
      </c>
      <c r="BL261" s="1620">
        <v>2.7898603026011073</v>
      </c>
      <c r="BM261" s="1620">
        <v>5.4354048697810446</v>
      </c>
      <c r="BN261" s="1620">
        <v>4.8067634794738838</v>
      </c>
      <c r="BO261" s="1620"/>
      <c r="BP261" s="1620" t="s">
        <v>270</v>
      </c>
      <c r="BQ261" s="1620">
        <v>33.23901995611061</v>
      </c>
      <c r="BR261" s="1620">
        <v>1.2186502019420034</v>
      </c>
      <c r="BS261" s="1620">
        <v>1.2143598476338617</v>
      </c>
      <c r="BT261" s="1603"/>
      <c r="BU261" s="1620">
        <v>945.64595130219027</v>
      </c>
      <c r="BV261" s="1620">
        <v>562.38106688153175</v>
      </c>
      <c r="BW261" s="1620">
        <v>94.252294397356962</v>
      </c>
      <c r="BX261" s="1620">
        <v>510.47061290017371</v>
      </c>
      <c r="BY261" s="1620">
        <v>34.459821914992759</v>
      </c>
      <c r="BZ261" s="1620">
        <v>50.183244142410487</v>
      </c>
      <c r="CA261" s="1620">
        <v>152.71026370855051</v>
      </c>
      <c r="CB261" s="1603"/>
      <c r="CC261" s="1603">
        <v>6.1479999999999988</v>
      </c>
      <c r="CD261" s="1603">
        <v>3.7899346050171099</v>
      </c>
      <c r="CE261" s="1603">
        <v>1.5899999999999999</v>
      </c>
      <c r="CF261" s="1603">
        <v>4.1415324517035099</v>
      </c>
      <c r="CG261" s="1603">
        <v>6.8099720651736488</v>
      </c>
      <c r="CH261" s="1603">
        <v>1.2318268109684298</v>
      </c>
      <c r="CI261" s="1603">
        <v>1.3473688020299299</v>
      </c>
      <c r="CJ261" s="1603"/>
      <c r="CK261" s="1603">
        <v>94.193419074144089</v>
      </c>
      <c r="CL261" s="1603">
        <v>25.718225403118399</v>
      </c>
      <c r="CM261" s="1603">
        <v>60.007364056965798</v>
      </c>
      <c r="CN261" s="1603">
        <v>95.026816286098096</v>
      </c>
      <c r="CO261" s="1603">
        <v>0.21199999999999997</v>
      </c>
      <c r="CP261" s="1603">
        <v>0.27192804319087899</v>
      </c>
      <c r="CQ261" s="1603">
        <v>127.2</v>
      </c>
      <c r="CR261" s="1603">
        <v>120</v>
      </c>
      <c r="CS261" s="1603">
        <v>7.7000000000000091</v>
      </c>
      <c r="CT261" s="1603">
        <v>2.3303786477705848</v>
      </c>
      <c r="CU261" s="1603">
        <v>2.1696213522294245</v>
      </c>
      <c r="CV261" s="1603">
        <v>4.5000000000000098</v>
      </c>
      <c r="CW261" s="1603">
        <v>5.1000000000000094</v>
      </c>
      <c r="CX261" s="1603">
        <v>1.6065408891843114</v>
      </c>
      <c r="CY261" s="1603">
        <v>4.680073088438915</v>
      </c>
      <c r="CZ261" s="1603">
        <v>8.6845246073364422</v>
      </c>
      <c r="DA261" s="1603">
        <v>2.9618714110475848</v>
      </c>
      <c r="DB261" s="1603">
        <v>5.8267148383258771</v>
      </c>
      <c r="DC261" s="1603">
        <v>3.9404013132651792</v>
      </c>
      <c r="DD261" s="1603">
        <v>9.7671161515910381</v>
      </c>
      <c r="DE261" s="1603">
        <v>5.541532532157424</v>
      </c>
      <c r="DF261" s="1603">
        <v>1482.6388892718201</v>
      </c>
      <c r="DG261" s="1603">
        <v>0</v>
      </c>
      <c r="DH261" s="1603">
        <v>0</v>
      </c>
      <c r="DI261" s="1603">
        <v>4.24</v>
      </c>
      <c r="DJ261" s="1603">
        <v>0.42399999999999999</v>
      </c>
      <c r="DK261" s="1603">
        <v>38.545454545454596</v>
      </c>
      <c r="DL261" s="1603">
        <v>2.12</v>
      </c>
      <c r="DM261" s="1603">
        <v>0</v>
      </c>
      <c r="DN261" s="1603">
        <v>2.12</v>
      </c>
      <c r="DO261" s="1603">
        <v>2.12</v>
      </c>
      <c r="DP261" s="1603">
        <v>3.2763636363636501</v>
      </c>
      <c r="DQ261" s="1603">
        <v>2.12E-2</v>
      </c>
      <c r="DR261" s="1603">
        <v>21.2</v>
      </c>
      <c r="DS261" s="1603">
        <v>10.600000000000099</v>
      </c>
      <c r="DT261" s="1603">
        <v>0</v>
      </c>
      <c r="DU261" s="1603">
        <v>0</v>
      </c>
      <c r="DV261" s="1603">
        <v>5.78181818181819E-2</v>
      </c>
      <c r="DW261" s="1618" t="s">
        <v>986</v>
      </c>
      <c r="DX261" s="1605" t="s">
        <v>986</v>
      </c>
      <c r="DY261" s="1605" t="s">
        <v>986</v>
      </c>
      <c r="DZ261" s="1605" t="s">
        <v>986</v>
      </c>
      <c r="EA261" s="1605" t="s">
        <v>986</v>
      </c>
      <c r="EB261" s="1605" t="s">
        <v>986</v>
      </c>
      <c r="EC261" s="1605" t="s">
        <v>986</v>
      </c>
      <c r="ED261" s="1605" t="s">
        <v>986</v>
      </c>
      <c r="EE261" s="1605" t="s">
        <v>986</v>
      </c>
      <c r="EF261" s="1605" t="s">
        <v>986</v>
      </c>
      <c r="EG261" s="1605" t="s">
        <v>986</v>
      </c>
      <c r="EH261" s="1605" t="s">
        <v>986</v>
      </c>
      <c r="EI261" s="1605" t="s">
        <v>986</v>
      </c>
      <c r="EJ261" s="1605" t="s">
        <v>986</v>
      </c>
      <c r="EK261" s="1605" t="s">
        <v>986</v>
      </c>
      <c r="EL261" s="1605" t="s">
        <v>986</v>
      </c>
      <c r="EM261" s="1605" t="s">
        <v>986</v>
      </c>
      <c r="EN261" s="1605" t="s">
        <v>986</v>
      </c>
      <c r="EO261" s="1605" t="s">
        <v>986</v>
      </c>
      <c r="EP261" s="1605" t="s">
        <v>986</v>
      </c>
      <c r="EQ261" s="1605" t="s">
        <v>986</v>
      </c>
      <c r="ER261" s="1605" t="s">
        <v>986</v>
      </c>
      <c r="ES261" s="1605" t="s">
        <v>986</v>
      </c>
      <c r="ET261" s="1605" t="s">
        <v>986</v>
      </c>
      <c r="EU261" s="1605" t="s">
        <v>986</v>
      </c>
      <c r="EV261" s="1605" t="s">
        <v>986</v>
      </c>
      <c r="EW261" s="1605" t="s">
        <v>986</v>
      </c>
      <c r="EX261" s="1605" t="s">
        <v>986</v>
      </c>
      <c r="EY261" s="1605" t="s">
        <v>986</v>
      </c>
      <c r="EZ261" s="1605" t="s">
        <v>986</v>
      </c>
      <c r="FA261" s="1605" t="s">
        <v>986</v>
      </c>
      <c r="FB261" s="1605" t="s">
        <v>986</v>
      </c>
      <c r="FC261" s="1605" t="s">
        <v>986</v>
      </c>
      <c r="FD261" s="1605" t="s">
        <v>986</v>
      </c>
      <c r="FE261" s="1605" t="s">
        <v>986</v>
      </c>
      <c r="FF261" s="1605" t="s">
        <v>986</v>
      </c>
      <c r="FG261" s="1605" t="s">
        <v>986</v>
      </c>
      <c r="FH261" s="1605" t="s">
        <v>986</v>
      </c>
      <c r="FI261" s="1605" t="s">
        <v>986</v>
      </c>
      <c r="FJ261" s="1605" t="s">
        <v>986</v>
      </c>
      <c r="FK261" s="1605" t="s">
        <v>986</v>
      </c>
      <c r="FL261" s="1605" t="s">
        <v>986</v>
      </c>
      <c r="FM261" s="1605" t="s">
        <v>986</v>
      </c>
      <c r="FN261" s="1605" t="s">
        <v>986</v>
      </c>
      <c r="FO261" s="1605" t="s">
        <v>986</v>
      </c>
      <c r="FP261" s="1605" t="s">
        <v>986</v>
      </c>
      <c r="FQ261" s="1605" t="s">
        <v>986</v>
      </c>
      <c r="FR261" s="1605" t="s">
        <v>986</v>
      </c>
      <c r="FS261" s="1605" t="s">
        <v>986</v>
      </c>
      <c r="FT261" s="1605" t="s">
        <v>986</v>
      </c>
      <c r="FU261" s="1605" t="s">
        <v>986</v>
      </c>
      <c r="FV261" s="1605" t="s">
        <v>986</v>
      </c>
      <c r="FW261" s="1605" t="s">
        <v>986</v>
      </c>
      <c r="FX261" s="1605" t="s">
        <v>986</v>
      </c>
      <c r="FY261" s="1605" t="s">
        <v>986</v>
      </c>
      <c r="FZ261" s="1605" t="s">
        <v>986</v>
      </c>
      <c r="GA261" s="1605" t="s">
        <v>986</v>
      </c>
      <c r="GB261" s="1605" t="s">
        <v>986</v>
      </c>
      <c r="GC261" s="1605" t="s">
        <v>986</v>
      </c>
      <c r="GD261" s="1605" t="s">
        <v>986</v>
      </c>
      <c r="GE261" s="1605" t="s">
        <v>986</v>
      </c>
      <c r="GF261" s="1605" t="s">
        <v>986</v>
      </c>
      <c r="GG261" s="1605" t="s">
        <v>986</v>
      </c>
      <c r="GH261" s="1605" t="s">
        <v>986</v>
      </c>
      <c r="GI261" s="1605" t="s">
        <v>986</v>
      </c>
      <c r="GJ261" s="1605" t="s">
        <v>986</v>
      </c>
      <c r="GK261" s="1605" t="s">
        <v>986</v>
      </c>
      <c r="GL261" s="1605" t="s">
        <v>986</v>
      </c>
      <c r="GM261" s="1605" t="s">
        <v>986</v>
      </c>
      <c r="GN261" s="1605" t="s">
        <v>1578</v>
      </c>
      <c r="GO261" s="1605" t="s">
        <v>1578</v>
      </c>
      <c r="GP261" s="1605" t="s">
        <v>1578</v>
      </c>
      <c r="GQ261" s="1605" t="s">
        <v>1578</v>
      </c>
      <c r="GR261" s="1605" t="s">
        <v>1578</v>
      </c>
      <c r="GS261" s="1605" t="s">
        <v>1578</v>
      </c>
      <c r="GT261" s="1605" t="s">
        <v>1578</v>
      </c>
      <c r="GU261" s="1605" t="s">
        <v>1578</v>
      </c>
      <c r="GV261" s="1605" t="s">
        <v>1578</v>
      </c>
      <c r="GW261" s="1605" t="s">
        <v>1578</v>
      </c>
      <c r="GX261" s="1605" t="s">
        <v>1578</v>
      </c>
      <c r="GY261" s="1605" t="s">
        <v>1578</v>
      </c>
      <c r="GZ261" s="1605" t="s">
        <v>1578</v>
      </c>
      <c r="HA261" s="1605" t="s">
        <v>1578</v>
      </c>
      <c r="HB261" s="1605" t="s">
        <v>1578</v>
      </c>
      <c r="HC261" s="1605" t="s">
        <v>1578</v>
      </c>
      <c r="HD261" s="1605" t="s">
        <v>1578</v>
      </c>
      <c r="HE261" s="1605" t="s">
        <v>1578</v>
      </c>
      <c r="HF261" s="1605" t="s">
        <v>1578</v>
      </c>
      <c r="HG261" s="1605" t="s">
        <v>1578</v>
      </c>
      <c r="HH261" s="1605" t="s">
        <v>1578</v>
      </c>
      <c r="HI261" s="1605" t="s">
        <v>1578</v>
      </c>
      <c r="HJ261" s="1605" t="s">
        <v>1578</v>
      </c>
      <c r="HK261" s="1605" t="s">
        <v>986</v>
      </c>
      <c r="HL261" s="1605" t="s">
        <v>986</v>
      </c>
      <c r="HM261" s="1605" t="s">
        <v>1578</v>
      </c>
      <c r="HN261" s="1605" t="s">
        <v>1578</v>
      </c>
      <c r="HO261" s="1605" t="s">
        <v>1578</v>
      </c>
      <c r="HP261" s="1605" t="s">
        <v>1578</v>
      </c>
      <c r="HQ261" s="1605" t="s">
        <v>1578</v>
      </c>
      <c r="HR261" s="1605" t="s">
        <v>1578</v>
      </c>
      <c r="HS261" s="1605" t="s">
        <v>1578</v>
      </c>
      <c r="HT261" s="1605" t="s">
        <v>1578</v>
      </c>
      <c r="HU261" s="1605" t="s">
        <v>1578</v>
      </c>
      <c r="HV261" s="1617"/>
      <c r="HW261" s="1617">
        <v>0</v>
      </c>
      <c r="HX261" s="1617">
        <v>0</v>
      </c>
      <c r="HY261" s="1617">
        <v>0</v>
      </c>
      <c r="HZ261" s="1603"/>
      <c r="IA261" s="1603"/>
      <c r="IB261" s="1603"/>
      <c r="IC261" s="1603">
        <v>60.711213934154898</v>
      </c>
      <c r="ID261" s="1603">
        <v>61.531404708484999</v>
      </c>
      <c r="IE261" s="1603">
        <v>62.214897020426797</v>
      </c>
      <c r="IF261" s="1603">
        <v>62.624992407591797</v>
      </c>
      <c r="IG261" s="1611" t="s">
        <v>270</v>
      </c>
      <c r="IH261" s="1616" t="s">
        <v>270</v>
      </c>
      <c r="II261" s="1615" t="s">
        <v>270</v>
      </c>
      <c r="IJ261" s="1613">
        <v>1.3</v>
      </c>
      <c r="IK261" s="1613">
        <v>0.61</v>
      </c>
      <c r="IL261" s="1614">
        <v>1.3</v>
      </c>
      <c r="IM261" s="1614">
        <v>0.61</v>
      </c>
      <c r="IN261" s="1612" t="s">
        <v>270</v>
      </c>
      <c r="IO261" s="1613" t="s">
        <v>270</v>
      </c>
      <c r="IP261" s="1607" t="s">
        <v>270</v>
      </c>
      <c r="IQ261" s="1612" t="s">
        <v>270</v>
      </c>
      <c r="IR261" s="1612" t="s">
        <v>270</v>
      </c>
      <c r="IS261" s="1607" t="s">
        <v>270</v>
      </c>
      <c r="IT261" s="1607" t="s">
        <v>270</v>
      </c>
      <c r="IU261" s="1611" t="s">
        <v>270</v>
      </c>
      <c r="IV261" s="1611" t="s">
        <v>270</v>
      </c>
      <c r="IW261" s="1611" t="s">
        <v>270</v>
      </c>
      <c r="IX261" s="1611" t="s">
        <v>270</v>
      </c>
      <c r="IY261" s="1611" t="s">
        <v>270</v>
      </c>
      <c r="IZ261" s="1611" t="s">
        <v>270</v>
      </c>
      <c r="JA261" s="1611" t="s">
        <v>270</v>
      </c>
      <c r="JB261" s="1611" t="s">
        <v>270</v>
      </c>
      <c r="JC261" s="1611" t="s">
        <v>270</v>
      </c>
      <c r="JD261" s="1611" t="s">
        <v>270</v>
      </c>
      <c r="JE261" s="1611" t="s">
        <v>270</v>
      </c>
      <c r="JF261" s="1611" t="s">
        <v>270</v>
      </c>
      <c r="JG261" s="1611" t="s">
        <v>270</v>
      </c>
      <c r="JH261" s="1611" t="s">
        <v>270</v>
      </c>
      <c r="JI261" s="1611" t="s">
        <v>270</v>
      </c>
      <c r="JJ261" s="1611" t="s">
        <v>270</v>
      </c>
      <c r="JK261" s="1607" t="str">
        <f t="shared" si="12"/>
        <v/>
      </c>
      <c r="JL261" s="1608" t="s">
        <v>270</v>
      </c>
      <c r="JM261" s="1610" t="s">
        <v>3052</v>
      </c>
      <c r="JN261" s="1608" t="s">
        <v>270</v>
      </c>
      <c r="JO261" s="1609" t="s">
        <v>270</v>
      </c>
      <c r="JP261" s="1608" t="s">
        <v>270</v>
      </c>
      <c r="JQ261" s="1607" t="s">
        <v>270</v>
      </c>
      <c r="JR261" s="1606" t="s">
        <v>270</v>
      </c>
      <c r="JS261" s="1606" t="s">
        <v>270</v>
      </c>
      <c r="JT261" s="1606" t="s">
        <v>270</v>
      </c>
    </row>
    <row r="262" spans="1:280" ht="15" customHeight="1" x14ac:dyDescent="0.2">
      <c r="A262" s="1626">
        <v>14101</v>
      </c>
      <c r="B262" s="1625">
        <v>141</v>
      </c>
      <c r="C262" s="1624">
        <v>1</v>
      </c>
      <c r="D262" s="1623" t="s">
        <v>3072</v>
      </c>
      <c r="E262" s="1622">
        <v>44132</v>
      </c>
      <c r="F262" s="1620">
        <v>1.06</v>
      </c>
      <c r="G262" s="1620">
        <v>1.0560329438629901</v>
      </c>
      <c r="H262" s="1621">
        <v>89.270517169399795</v>
      </c>
      <c r="I262" s="1621">
        <v>82.200248213550296</v>
      </c>
      <c r="J262" s="1621">
        <v>93.721949650953803</v>
      </c>
      <c r="K262" s="1620">
        <v>1</v>
      </c>
      <c r="L262" s="1620">
        <v>86.979812634124301</v>
      </c>
      <c r="M262" s="1620">
        <v>15.5330439503617</v>
      </c>
      <c r="N262" s="1620">
        <v>2.4070962167342</v>
      </c>
      <c r="O262" s="1620">
        <v>4.8529770679126996</v>
      </c>
      <c r="P262" s="1620">
        <v>4.09463082429426</v>
      </c>
      <c r="Q262" s="1603"/>
      <c r="R262" s="1620">
        <v>84.619602197764706</v>
      </c>
      <c r="S262" s="1620">
        <v>46.532649867803798</v>
      </c>
      <c r="T262" s="1620">
        <v>53.230180561651899</v>
      </c>
      <c r="U262" s="1620">
        <v>55.909192839191199</v>
      </c>
      <c r="V262" s="1620">
        <v>58.320303888976497</v>
      </c>
      <c r="W262" s="1620">
        <v>59.9277112555001</v>
      </c>
      <c r="X262" s="1620"/>
      <c r="Y262" s="1620">
        <v>7.3120415041050766</v>
      </c>
      <c r="Z262" s="1620">
        <v>4.5254865103308344</v>
      </c>
      <c r="AA262" s="1620">
        <v>1.8280103760262691</v>
      </c>
      <c r="AB262" s="1620">
        <v>4.7392312829996266</v>
      </c>
      <c r="AC262" s="1620">
        <v>8.032375304437684</v>
      </c>
      <c r="AD262" s="1620">
        <v>1.4341401859803844</v>
      </c>
      <c r="AE262" s="1620">
        <v>1.5835630713496043</v>
      </c>
      <c r="AF262" s="1620">
        <v>109.51459219667599</v>
      </c>
      <c r="AG262" s="1620">
        <v>29.668886812107367</v>
      </c>
      <c r="AH262" s="1620">
        <v>69.767829248145361</v>
      </c>
      <c r="AI262" s="1620">
        <v>109.21191716799203</v>
      </c>
      <c r="AJ262" s="1620">
        <v>0.24373471680350256</v>
      </c>
      <c r="AK262" s="1620">
        <v>0.31496852398548414</v>
      </c>
      <c r="AL262" s="1620"/>
      <c r="AM262" s="1620">
        <v>6.2254163034584602</v>
      </c>
      <c r="AN262" s="1620">
        <v>1.82161249994764</v>
      </c>
      <c r="AO262" s="1620">
        <v>1.8553613978488099</v>
      </c>
      <c r="AP262" s="1620">
        <v>4.2788950694973398</v>
      </c>
      <c r="AQ262" s="1620">
        <v>1.3413098467924001</v>
      </c>
      <c r="AR262" s="1620">
        <v>3.8809167003929899</v>
      </c>
      <c r="AS262" s="1620">
        <v>7.1842840487791202</v>
      </c>
      <c r="AT262" s="1620">
        <v>2.4463550079127399</v>
      </c>
      <c r="AU262" s="1620">
        <v>4.7639706593041096</v>
      </c>
      <c r="AV262" s="1620">
        <v>3.2943784702779202</v>
      </c>
      <c r="AW262" s="1620">
        <v>4.7413468782716004</v>
      </c>
      <c r="AX262" s="1620"/>
      <c r="AY262" s="1620">
        <v>1.0363343732758392</v>
      </c>
      <c r="AZ262" s="1620">
        <v>1.0625113030479172</v>
      </c>
      <c r="BA262" s="1620">
        <v>0.96139918840826522</v>
      </c>
      <c r="BB262" s="1620">
        <v>0.99890123009938592</v>
      </c>
      <c r="BC262" s="1620">
        <v>0.99967368872832385</v>
      </c>
      <c r="BD262" s="1620">
        <v>1.0065826463116441</v>
      </c>
      <c r="BE262" s="1620">
        <v>1.0085561416134674</v>
      </c>
      <c r="BF262" s="1620">
        <v>1.0111795430177972</v>
      </c>
      <c r="BG262" s="1620">
        <v>1.0184677604705497</v>
      </c>
      <c r="BH262" s="1620">
        <v>0.99779882751470461</v>
      </c>
      <c r="BI262" s="1620">
        <v>0.97000087626024123</v>
      </c>
      <c r="BJ262" s="1603"/>
      <c r="BK262" s="1620">
        <v>17.858217303480036</v>
      </c>
      <c r="BL262" s="1620">
        <v>2.7674194089834558</v>
      </c>
      <c r="BM262" s="1620">
        <v>5.5794292042528015</v>
      </c>
      <c r="BN262" s="1620">
        <v>4.7075645489351583</v>
      </c>
      <c r="BO262" s="1620"/>
      <c r="BP262" s="1620" t="s">
        <v>270</v>
      </c>
      <c r="BQ262" s="1620">
        <v>32.884024311037386</v>
      </c>
      <c r="BR262" s="1620">
        <v>1.2186735840175127</v>
      </c>
      <c r="BS262" s="1620">
        <v>1.2141126910736557</v>
      </c>
      <c r="BT262" s="1603"/>
      <c r="BU262" s="1620">
        <v>944.2057079574721</v>
      </c>
      <c r="BV262" s="1620">
        <v>558.17503264873744</v>
      </c>
      <c r="BW262" s="1620">
        <v>95.368404355822904</v>
      </c>
      <c r="BX262" s="1620">
        <v>506.02931325245811</v>
      </c>
      <c r="BY262" s="1620">
        <v>35.330272581893091</v>
      </c>
      <c r="BZ262" s="1620">
        <v>49.24026812010711</v>
      </c>
      <c r="CA262" s="1620">
        <v>151.01701925227243</v>
      </c>
      <c r="CB262" s="1603"/>
      <c r="CC262" s="1603">
        <v>6.3599999999999994</v>
      </c>
      <c r="CD262" s="1603">
        <v>3.93625968746833</v>
      </c>
      <c r="CE262" s="1603">
        <v>1.5899999999999999</v>
      </c>
      <c r="CF262" s="1603">
        <v>4.1221744902508801</v>
      </c>
      <c r="CG262" s="1603">
        <v>6.9865449898695688</v>
      </c>
      <c r="CH262" s="1603">
        <v>1.24741244667642</v>
      </c>
      <c r="CI262" s="1603">
        <v>1.37738019240307</v>
      </c>
      <c r="CJ262" s="1603"/>
      <c r="CK262" s="1603">
        <v>95.255587099694083</v>
      </c>
      <c r="CL262" s="1603">
        <v>25.8059421598014</v>
      </c>
      <c r="CM262" s="1603">
        <v>60.683927158932605</v>
      </c>
      <c r="CN262" s="1603">
        <v>94.992320926854489</v>
      </c>
      <c r="CO262" s="1603">
        <v>0.21199999999999999</v>
      </c>
      <c r="CP262" s="1603">
        <v>0.27395903201904093</v>
      </c>
      <c r="CQ262" s="1603">
        <v>131.44</v>
      </c>
      <c r="CR262" s="1603">
        <v>123.99999999999999</v>
      </c>
      <c r="CS262" s="1603">
        <v>8.0000000000000089</v>
      </c>
      <c r="CT262" s="1603">
        <v>2.4</v>
      </c>
      <c r="CU262" s="1603">
        <v>2.2118412481988772</v>
      </c>
      <c r="CV262" s="1603">
        <v>4.6118412481988775</v>
      </c>
      <c r="CW262" s="1603">
        <v>5.2999999999999901</v>
      </c>
      <c r="CX262" s="1603">
        <v>1.6626814812155188</v>
      </c>
      <c r="CY262" s="1603">
        <v>4.844014618971821</v>
      </c>
      <c r="CZ262" s="1603">
        <v>8.9847347126098676</v>
      </c>
      <c r="DA262" s="1603">
        <v>3.0673931323110284</v>
      </c>
      <c r="DB262" s="1603">
        <v>6.0164186551277918</v>
      </c>
      <c r="DC262" s="1603">
        <v>4.076037449040915</v>
      </c>
      <c r="DD262" s="1603">
        <v>10.092456104168773</v>
      </c>
      <c r="DE262" s="1603">
        <v>5.7028971769557444</v>
      </c>
      <c r="DF262" s="1603">
        <v>1482.6104426271099</v>
      </c>
      <c r="DG262" s="1603">
        <v>0</v>
      </c>
      <c r="DH262" s="1603">
        <v>0</v>
      </c>
      <c r="DI262" s="1603">
        <v>4.24</v>
      </c>
      <c r="DJ262" s="1603">
        <v>0.42399999999999999</v>
      </c>
      <c r="DK262" s="1603">
        <v>38.545454545454596</v>
      </c>
      <c r="DL262" s="1603">
        <v>2.12</v>
      </c>
      <c r="DM262" s="1603">
        <v>0</v>
      </c>
      <c r="DN262" s="1603">
        <v>2.12</v>
      </c>
      <c r="DO262" s="1603">
        <v>2.12</v>
      </c>
      <c r="DP262" s="1603">
        <v>3.2763636363636501</v>
      </c>
      <c r="DQ262" s="1603">
        <v>2.12E-2</v>
      </c>
      <c r="DR262" s="1603">
        <v>21.2</v>
      </c>
      <c r="DS262" s="1603">
        <v>10.600000000000099</v>
      </c>
      <c r="DT262" s="1603">
        <v>0</v>
      </c>
      <c r="DU262" s="1603">
        <v>0</v>
      </c>
      <c r="DV262" s="1603">
        <v>5.78181818181819E-2</v>
      </c>
      <c r="DW262" s="1618" t="s">
        <v>986</v>
      </c>
      <c r="DX262" s="1605" t="s">
        <v>986</v>
      </c>
      <c r="DY262" s="1605" t="s">
        <v>986</v>
      </c>
      <c r="DZ262" s="1605" t="s">
        <v>986</v>
      </c>
      <c r="EA262" s="1605" t="s">
        <v>986</v>
      </c>
      <c r="EB262" s="1605" t="s">
        <v>986</v>
      </c>
      <c r="EC262" s="1605" t="s">
        <v>986</v>
      </c>
      <c r="ED262" s="1605" t="s">
        <v>986</v>
      </c>
      <c r="EE262" s="1605" t="s">
        <v>986</v>
      </c>
      <c r="EF262" s="1605" t="s">
        <v>986</v>
      </c>
      <c r="EG262" s="1605" t="s">
        <v>986</v>
      </c>
      <c r="EH262" s="1605" t="s">
        <v>986</v>
      </c>
      <c r="EI262" s="1605" t="s">
        <v>986</v>
      </c>
      <c r="EJ262" s="1605" t="s">
        <v>986</v>
      </c>
      <c r="EK262" s="1605" t="s">
        <v>986</v>
      </c>
      <c r="EL262" s="1605" t="s">
        <v>986</v>
      </c>
      <c r="EM262" s="1605" t="s">
        <v>986</v>
      </c>
      <c r="EN262" s="1605" t="s">
        <v>986</v>
      </c>
      <c r="EO262" s="1605" t="s">
        <v>986</v>
      </c>
      <c r="EP262" s="1605" t="s">
        <v>986</v>
      </c>
      <c r="EQ262" s="1605" t="s">
        <v>986</v>
      </c>
      <c r="ER262" s="1605" t="s">
        <v>986</v>
      </c>
      <c r="ES262" s="1605" t="s">
        <v>986</v>
      </c>
      <c r="ET262" s="1605" t="s">
        <v>986</v>
      </c>
      <c r="EU262" s="1605" t="s">
        <v>986</v>
      </c>
      <c r="EV262" s="1605" t="s">
        <v>986</v>
      </c>
      <c r="EW262" s="1605" t="s">
        <v>986</v>
      </c>
      <c r="EX262" s="1605" t="s">
        <v>986</v>
      </c>
      <c r="EY262" s="1605" t="s">
        <v>986</v>
      </c>
      <c r="EZ262" s="1605" t="s">
        <v>986</v>
      </c>
      <c r="FA262" s="1605" t="s">
        <v>986</v>
      </c>
      <c r="FB262" s="1605" t="s">
        <v>986</v>
      </c>
      <c r="FC262" s="1605" t="s">
        <v>986</v>
      </c>
      <c r="FD262" s="1605" t="s">
        <v>986</v>
      </c>
      <c r="FE262" s="1605" t="s">
        <v>986</v>
      </c>
      <c r="FF262" s="1605" t="s">
        <v>986</v>
      </c>
      <c r="FG262" s="1605" t="s">
        <v>986</v>
      </c>
      <c r="FH262" s="1605" t="s">
        <v>986</v>
      </c>
      <c r="FI262" s="1605" t="s">
        <v>986</v>
      </c>
      <c r="FJ262" s="1605" t="s">
        <v>986</v>
      </c>
      <c r="FK262" s="1605" t="s">
        <v>986</v>
      </c>
      <c r="FL262" s="1605" t="s">
        <v>986</v>
      </c>
      <c r="FM262" s="1605" t="s">
        <v>986</v>
      </c>
      <c r="FN262" s="1605" t="s">
        <v>986</v>
      </c>
      <c r="FO262" s="1605" t="s">
        <v>986</v>
      </c>
      <c r="FP262" s="1605" t="s">
        <v>986</v>
      </c>
      <c r="FQ262" s="1605" t="s">
        <v>986</v>
      </c>
      <c r="FR262" s="1605" t="s">
        <v>986</v>
      </c>
      <c r="FS262" s="1605" t="s">
        <v>986</v>
      </c>
      <c r="FT262" s="1605" t="s">
        <v>986</v>
      </c>
      <c r="FU262" s="1605" t="s">
        <v>986</v>
      </c>
      <c r="FV262" s="1605" t="s">
        <v>986</v>
      </c>
      <c r="FW262" s="1605" t="s">
        <v>986</v>
      </c>
      <c r="FX262" s="1605" t="s">
        <v>986</v>
      </c>
      <c r="FY262" s="1605" t="s">
        <v>986</v>
      </c>
      <c r="FZ262" s="1605" t="s">
        <v>986</v>
      </c>
      <c r="GA262" s="1605" t="s">
        <v>986</v>
      </c>
      <c r="GB262" s="1605" t="s">
        <v>986</v>
      </c>
      <c r="GC262" s="1605" t="s">
        <v>986</v>
      </c>
      <c r="GD262" s="1605" t="s">
        <v>986</v>
      </c>
      <c r="GE262" s="1605" t="s">
        <v>986</v>
      </c>
      <c r="GF262" s="1605" t="s">
        <v>986</v>
      </c>
      <c r="GG262" s="1605" t="s">
        <v>986</v>
      </c>
      <c r="GH262" s="1605" t="s">
        <v>986</v>
      </c>
      <c r="GI262" s="1605" t="s">
        <v>986</v>
      </c>
      <c r="GJ262" s="1605" t="s">
        <v>986</v>
      </c>
      <c r="GK262" s="1605" t="s">
        <v>986</v>
      </c>
      <c r="GL262" s="1605" t="s">
        <v>986</v>
      </c>
      <c r="GM262" s="1605" t="s">
        <v>986</v>
      </c>
      <c r="GN262" s="1605" t="s">
        <v>986</v>
      </c>
      <c r="GO262" s="1605" t="s">
        <v>986</v>
      </c>
      <c r="GP262" s="1605" t="s">
        <v>986</v>
      </c>
      <c r="GQ262" s="1605" t="s">
        <v>986</v>
      </c>
      <c r="GR262" s="1605" t="s">
        <v>986</v>
      </c>
      <c r="GS262" s="1605" t="s">
        <v>986</v>
      </c>
      <c r="GT262" s="1605" t="s">
        <v>986</v>
      </c>
      <c r="GU262" s="1605" t="s">
        <v>986</v>
      </c>
      <c r="GV262" s="1605" t="s">
        <v>986</v>
      </c>
      <c r="GW262" s="1605" t="s">
        <v>986</v>
      </c>
      <c r="GX262" s="1605" t="s">
        <v>986</v>
      </c>
      <c r="GY262" s="1605" t="s">
        <v>986</v>
      </c>
      <c r="GZ262" s="1605" t="s">
        <v>986</v>
      </c>
      <c r="HA262" s="1605" t="s">
        <v>986</v>
      </c>
      <c r="HB262" s="1605" t="s">
        <v>986</v>
      </c>
      <c r="HC262" s="1605" t="s">
        <v>986</v>
      </c>
      <c r="HD262" s="1605" t="s">
        <v>986</v>
      </c>
      <c r="HE262" s="1605" t="s">
        <v>986</v>
      </c>
      <c r="HF262" s="1605" t="s">
        <v>986</v>
      </c>
      <c r="HG262" s="1605" t="s">
        <v>986</v>
      </c>
      <c r="HH262" s="1605" t="s">
        <v>986</v>
      </c>
      <c r="HI262" s="1605" t="s">
        <v>986</v>
      </c>
      <c r="HJ262" s="1605" t="s">
        <v>986</v>
      </c>
      <c r="HK262" s="1605" t="s">
        <v>986</v>
      </c>
      <c r="HL262" s="1605" t="s">
        <v>986</v>
      </c>
      <c r="HM262" s="1605" t="s">
        <v>986</v>
      </c>
      <c r="HN262" s="1605" t="s">
        <v>986</v>
      </c>
      <c r="HO262" s="1605" t="s">
        <v>986</v>
      </c>
      <c r="HP262" s="1605" t="s">
        <v>986</v>
      </c>
      <c r="HQ262" s="1605" t="s">
        <v>986</v>
      </c>
      <c r="HR262" s="1605" t="s">
        <v>986</v>
      </c>
      <c r="HS262" s="1605" t="s">
        <v>986</v>
      </c>
      <c r="HT262" s="1605" t="s">
        <v>986</v>
      </c>
      <c r="HU262" s="1605" t="s">
        <v>986</v>
      </c>
      <c r="HV262" s="1617"/>
      <c r="HW262" s="1617">
        <v>0</v>
      </c>
      <c r="HX262" s="1617">
        <v>0</v>
      </c>
      <c r="HY262" s="1617">
        <v>0</v>
      </c>
      <c r="HZ262" s="1603"/>
      <c r="IA262" s="1603"/>
      <c r="IB262" s="1603"/>
      <c r="IC262" s="1603">
        <v>61.133266780392702</v>
      </c>
      <c r="ID262" s="1603">
        <v>61.936970463654497</v>
      </c>
      <c r="IE262" s="1603">
        <v>62.6067235330393</v>
      </c>
      <c r="IF262" s="1603">
        <v>63.008575374670201</v>
      </c>
      <c r="IG262" s="1611" t="s">
        <v>270</v>
      </c>
      <c r="IH262" s="1616" t="s">
        <v>270</v>
      </c>
      <c r="II262" s="1615" t="s">
        <v>270</v>
      </c>
      <c r="IJ262" s="1613">
        <v>1.37</v>
      </c>
      <c r="IK262" s="1613">
        <v>0.61</v>
      </c>
      <c r="IL262" s="1614">
        <v>1.37</v>
      </c>
      <c r="IM262" s="1614">
        <v>0.61</v>
      </c>
      <c r="IN262" s="1612" t="s">
        <v>270</v>
      </c>
      <c r="IO262" s="1613" t="s">
        <v>270</v>
      </c>
      <c r="IP262" s="1607" t="s">
        <v>270</v>
      </c>
      <c r="IQ262" s="1612" t="s">
        <v>270</v>
      </c>
      <c r="IR262" s="1612" t="s">
        <v>270</v>
      </c>
      <c r="IS262" s="1607" t="s">
        <v>270</v>
      </c>
      <c r="IT262" s="1607" t="s">
        <v>270</v>
      </c>
      <c r="IU262" s="1611" t="s">
        <v>270</v>
      </c>
      <c r="IV262" s="1611" t="s">
        <v>270</v>
      </c>
      <c r="IW262" s="1611" t="s">
        <v>270</v>
      </c>
      <c r="IX262" s="1611" t="s">
        <v>270</v>
      </c>
      <c r="IY262" s="1611" t="s">
        <v>270</v>
      </c>
      <c r="IZ262" s="1611" t="s">
        <v>270</v>
      </c>
      <c r="JA262" s="1611" t="s">
        <v>270</v>
      </c>
      <c r="JB262" s="1611" t="s">
        <v>270</v>
      </c>
      <c r="JC262" s="1611" t="s">
        <v>270</v>
      </c>
      <c r="JD262" s="1611" t="s">
        <v>270</v>
      </c>
      <c r="JE262" s="1611" t="s">
        <v>270</v>
      </c>
      <c r="JF262" s="1611" t="s">
        <v>270</v>
      </c>
      <c r="JG262" s="1611" t="s">
        <v>270</v>
      </c>
      <c r="JH262" s="1611" t="s">
        <v>270</v>
      </c>
      <c r="JI262" s="1611" t="s">
        <v>270</v>
      </c>
      <c r="JJ262" s="1611" t="s">
        <v>270</v>
      </c>
      <c r="JK262" s="1607" t="str">
        <f t="shared" si="12"/>
        <v/>
      </c>
      <c r="JL262" s="1608" t="s">
        <v>270</v>
      </c>
      <c r="JM262" s="1610" t="s">
        <v>3052</v>
      </c>
      <c r="JN262" s="1608" t="s">
        <v>270</v>
      </c>
      <c r="JO262" s="1609" t="s">
        <v>270</v>
      </c>
      <c r="JP262" s="1608" t="s">
        <v>270</v>
      </c>
      <c r="JQ262" s="1607" t="s">
        <v>270</v>
      </c>
      <c r="JR262" s="1606" t="s">
        <v>270</v>
      </c>
      <c r="JS262" s="1606" t="s">
        <v>270</v>
      </c>
      <c r="JT262" s="1606" t="s">
        <v>270</v>
      </c>
    </row>
    <row r="263" spans="1:280" ht="15" customHeight="1" x14ac:dyDescent="0.2">
      <c r="A263" s="1626">
        <v>14102</v>
      </c>
      <c r="B263" s="1625">
        <v>141</v>
      </c>
      <c r="C263" s="1624">
        <v>2</v>
      </c>
      <c r="D263" s="1623" t="s">
        <v>3071</v>
      </c>
      <c r="E263" s="1622">
        <v>44140</v>
      </c>
      <c r="F263" s="1620">
        <v>1.06</v>
      </c>
      <c r="G263" s="1620">
        <v>1.0557314808160201</v>
      </c>
      <c r="H263" s="1621">
        <v>89.548775751171803</v>
      </c>
      <c r="I263" s="1621">
        <v>82.396272417610703</v>
      </c>
      <c r="J263" s="1621">
        <v>93.884459380445705</v>
      </c>
      <c r="K263" s="1620">
        <v>1</v>
      </c>
      <c r="L263" s="1620">
        <v>86.984755417144797</v>
      </c>
      <c r="M263" s="1620">
        <v>15.960714294740299</v>
      </c>
      <c r="N263" s="1620">
        <v>2.3847766414862499</v>
      </c>
      <c r="O263" s="1620">
        <v>5.0047917942525704</v>
      </c>
      <c r="P263" s="1620">
        <v>4.0011718676727304</v>
      </c>
      <c r="Q263" s="1603"/>
      <c r="R263" s="1620">
        <v>85.008726736442</v>
      </c>
      <c r="S263" s="1620">
        <v>47.245091668637599</v>
      </c>
      <c r="T263" s="1620">
        <v>53.799217582354501</v>
      </c>
      <c r="U263" s="1620">
        <v>56.420867947841302</v>
      </c>
      <c r="V263" s="1620">
        <v>58.780353276779302</v>
      </c>
      <c r="W263" s="1620">
        <v>60.353343496071297</v>
      </c>
      <c r="X263" s="1620"/>
      <c r="Y263" s="1620">
        <v>7.5553468748440622</v>
      </c>
      <c r="Z263" s="1620">
        <v>4.6929878916959247</v>
      </c>
      <c r="AA263" s="1620">
        <v>1.9497669354436287</v>
      </c>
      <c r="AB263" s="1620">
        <v>4.9487087953283746</v>
      </c>
      <c r="AC263" s="1620">
        <v>8.2169653142228505</v>
      </c>
      <c r="AD263" s="1620">
        <v>1.449244939215073</v>
      </c>
      <c r="AE263" s="1620">
        <v>1.615584317030466</v>
      </c>
      <c r="AF263" s="1620">
        <v>110.53902176810904</v>
      </c>
      <c r="AG263" s="1620">
        <v>29.757140013145801</v>
      </c>
      <c r="AH263" s="1620">
        <v>70.531169043021848</v>
      </c>
      <c r="AI263" s="1620">
        <v>109.11454202284602</v>
      </c>
      <c r="AJ263" s="1620">
        <v>0.24372086693045358</v>
      </c>
      <c r="AK263" s="1620">
        <v>0.31717837354535972</v>
      </c>
      <c r="AL263" s="1620"/>
      <c r="AM263" s="1620">
        <v>6.32727643885499</v>
      </c>
      <c r="AN263" s="1620">
        <v>1.93836031809612</v>
      </c>
      <c r="AO263" s="1620">
        <v>1.8329276288599901</v>
      </c>
      <c r="AP263" s="1620">
        <v>4.2998337542682901</v>
      </c>
      <c r="AQ263" s="1620">
        <v>1.3386728330066999</v>
      </c>
      <c r="AR263" s="1620">
        <v>3.8791798021956199</v>
      </c>
      <c r="AS263" s="1620">
        <v>7.17993648480644</v>
      </c>
      <c r="AT263" s="1620">
        <v>2.4465598763988199</v>
      </c>
      <c r="AU263" s="1620">
        <v>4.7549365189891102</v>
      </c>
      <c r="AV263" s="1620">
        <v>3.2871675325713801</v>
      </c>
      <c r="AW263" s="1620">
        <v>4.7097291811663498</v>
      </c>
      <c r="AX263" s="1620"/>
      <c r="AY263" s="1620">
        <v>1.037176115729757</v>
      </c>
      <c r="AZ263" s="1620">
        <v>1.0678399457810799</v>
      </c>
      <c r="BA263" s="1620">
        <v>0.95926669189531377</v>
      </c>
      <c r="BB263" s="1620">
        <v>0.99931189100849449</v>
      </c>
      <c r="BC263" s="1620">
        <v>1.0009618558245768</v>
      </c>
      <c r="BD263" s="1620">
        <v>1.0061206071868882</v>
      </c>
      <c r="BE263" s="1620">
        <v>1.0079790618610214</v>
      </c>
      <c r="BF263" s="1620">
        <v>1.0108507121352368</v>
      </c>
      <c r="BG263" s="1620">
        <v>1.0173518614267283</v>
      </c>
      <c r="BH263" s="1620">
        <v>0.99851390780308047</v>
      </c>
      <c r="BI263" s="1620">
        <v>0.97050212678333614</v>
      </c>
      <c r="BJ263" s="1603"/>
      <c r="BK263" s="1620">
        <v>18.348863795959382</v>
      </c>
      <c r="BL263" s="1620">
        <v>2.7416029740496435</v>
      </c>
      <c r="BM263" s="1620">
        <v>5.7536424287813999</v>
      </c>
      <c r="BN263" s="1620">
        <v>4.5998541336176419</v>
      </c>
      <c r="BO263" s="1620"/>
      <c r="BP263" s="1620" t="s">
        <v>270</v>
      </c>
      <c r="BQ263" s="1620">
        <v>32.478571477255791</v>
      </c>
      <c r="BR263" s="1620">
        <v>1.2186043346522679</v>
      </c>
      <c r="BS263" s="1620">
        <v>1.2136971308974149</v>
      </c>
      <c r="BT263" s="1603"/>
      <c r="BU263" s="1620">
        <v>942.46357571218675</v>
      </c>
      <c r="BV263" s="1620">
        <v>554.09660069785548</v>
      </c>
      <c r="BW263" s="1620">
        <v>96.299626672018348</v>
      </c>
      <c r="BX263" s="1620">
        <v>501.68787448918278</v>
      </c>
      <c r="BY263" s="1620">
        <v>36.11211332850624</v>
      </c>
      <c r="BZ263" s="1620">
        <v>48.181418689321731</v>
      </c>
      <c r="CA263" s="1620">
        <v>149.07767396495771</v>
      </c>
      <c r="CB263" s="1603"/>
      <c r="CC263" s="1603">
        <v>6.572000000000001</v>
      </c>
      <c r="CD263" s="1603">
        <v>4.0821840393479203</v>
      </c>
      <c r="CE263" s="1603">
        <v>1.696</v>
      </c>
      <c r="CF263" s="1603">
        <v>4.304622241923119</v>
      </c>
      <c r="CG263" s="1603">
        <v>7.1475071812883701</v>
      </c>
      <c r="CH263" s="1603">
        <v>1.2606221657715801</v>
      </c>
      <c r="CI263" s="1603">
        <v>1.4053120667267001</v>
      </c>
      <c r="CJ263" s="1603"/>
      <c r="CK263" s="1603">
        <v>96.152097725494102</v>
      </c>
      <c r="CL263" s="1603">
        <v>25.884175459572205</v>
      </c>
      <c r="CM263" s="1603">
        <v>61.351364884925502</v>
      </c>
      <c r="CN263" s="1603">
        <v>94.913017503110297</v>
      </c>
      <c r="CO263" s="1603">
        <v>0.21199999999999999</v>
      </c>
      <c r="CP263" s="1603">
        <v>0.27589683246450908</v>
      </c>
      <c r="CQ263" s="1603">
        <v>135.68</v>
      </c>
      <c r="CR263" s="1603">
        <v>128</v>
      </c>
      <c r="CS263" s="1603">
        <v>8.4000000000000181</v>
      </c>
      <c r="CT263" s="1603">
        <v>2.6494189785343489</v>
      </c>
      <c r="CU263" s="1603">
        <v>2.2505810214656603</v>
      </c>
      <c r="CV263" s="1603">
        <v>4.9000000000000092</v>
      </c>
      <c r="CW263" s="1603">
        <v>5.5000000000000089</v>
      </c>
      <c r="CX263" s="1603">
        <v>1.7151493673834621</v>
      </c>
      <c r="CY263" s="1603">
        <v>4.9957411046043863</v>
      </c>
      <c r="CZ263" s="1603">
        <v>9.2636488219864983</v>
      </c>
      <c r="DA263" s="1603">
        <v>3.1655766954742357</v>
      </c>
      <c r="DB263" s="1603">
        <v>6.1919277037561695</v>
      </c>
      <c r="DC263" s="1603">
        <v>4.201321598145622</v>
      </c>
      <c r="DD263" s="1603">
        <v>10.393249301901792</v>
      </c>
      <c r="DE263" s="1603">
        <v>5.8506267992262266</v>
      </c>
      <c r="DF263" s="1603">
        <v>1482.6946946104299</v>
      </c>
      <c r="DG263" s="1603">
        <v>0</v>
      </c>
      <c r="DH263" s="1603">
        <v>0</v>
      </c>
      <c r="DI263" s="1603">
        <v>4.24</v>
      </c>
      <c r="DJ263" s="1603">
        <v>0.42399999999999999</v>
      </c>
      <c r="DK263" s="1603">
        <v>38.545454545454596</v>
      </c>
      <c r="DL263" s="1603">
        <v>2.12</v>
      </c>
      <c r="DM263" s="1603">
        <v>0</v>
      </c>
      <c r="DN263" s="1603">
        <v>2.12</v>
      </c>
      <c r="DO263" s="1603">
        <v>2.12</v>
      </c>
      <c r="DP263" s="1603">
        <v>3.2763636363636501</v>
      </c>
      <c r="DQ263" s="1603">
        <v>2.12E-2</v>
      </c>
      <c r="DR263" s="1603">
        <v>21.2</v>
      </c>
      <c r="DS263" s="1603">
        <v>10.6</v>
      </c>
      <c r="DT263" s="1603">
        <v>0</v>
      </c>
      <c r="DU263" s="1603">
        <v>0</v>
      </c>
      <c r="DV263" s="1603">
        <v>5.78181818181819E-2</v>
      </c>
      <c r="DW263" s="1618" t="s">
        <v>986</v>
      </c>
      <c r="DX263" s="1605" t="s">
        <v>986</v>
      </c>
      <c r="DY263" s="1605" t="s">
        <v>986</v>
      </c>
      <c r="DZ263" s="1605" t="s">
        <v>986</v>
      </c>
      <c r="EA263" s="1605" t="s">
        <v>986</v>
      </c>
      <c r="EB263" s="1605" t="s">
        <v>986</v>
      </c>
      <c r="EC263" s="1605" t="s">
        <v>986</v>
      </c>
      <c r="ED263" s="1605" t="s">
        <v>986</v>
      </c>
      <c r="EE263" s="1605" t="s">
        <v>986</v>
      </c>
      <c r="EF263" s="1605" t="s">
        <v>986</v>
      </c>
      <c r="EG263" s="1605" t="s">
        <v>986</v>
      </c>
      <c r="EH263" s="1605" t="s">
        <v>986</v>
      </c>
      <c r="EI263" s="1605" t="s">
        <v>986</v>
      </c>
      <c r="EJ263" s="1605" t="s">
        <v>986</v>
      </c>
      <c r="EK263" s="1605" t="s">
        <v>986</v>
      </c>
      <c r="EL263" s="1605" t="s">
        <v>986</v>
      </c>
      <c r="EM263" s="1605" t="s">
        <v>986</v>
      </c>
      <c r="EN263" s="1605" t="s">
        <v>986</v>
      </c>
      <c r="EO263" s="1605" t="s">
        <v>986</v>
      </c>
      <c r="EP263" s="1605" t="s">
        <v>986</v>
      </c>
      <c r="EQ263" s="1605" t="s">
        <v>986</v>
      </c>
      <c r="ER263" s="1605" t="s">
        <v>986</v>
      </c>
      <c r="ES263" s="1605" t="s">
        <v>986</v>
      </c>
      <c r="ET263" s="1605" t="s">
        <v>986</v>
      </c>
      <c r="EU263" s="1605" t="s">
        <v>986</v>
      </c>
      <c r="EV263" s="1605" t="s">
        <v>986</v>
      </c>
      <c r="EW263" s="1605" t="s">
        <v>986</v>
      </c>
      <c r="EX263" s="1605" t="s">
        <v>986</v>
      </c>
      <c r="EY263" s="1605" t="s">
        <v>986</v>
      </c>
      <c r="EZ263" s="1605" t="s">
        <v>986</v>
      </c>
      <c r="FA263" s="1605" t="s">
        <v>986</v>
      </c>
      <c r="FB263" s="1605" t="s">
        <v>986</v>
      </c>
      <c r="FC263" s="1605" t="s">
        <v>986</v>
      </c>
      <c r="FD263" s="1605" t="s">
        <v>986</v>
      </c>
      <c r="FE263" s="1605" t="s">
        <v>986</v>
      </c>
      <c r="FF263" s="1605" t="s">
        <v>986</v>
      </c>
      <c r="FG263" s="1605" t="s">
        <v>986</v>
      </c>
      <c r="FH263" s="1605" t="s">
        <v>986</v>
      </c>
      <c r="FI263" s="1605" t="s">
        <v>986</v>
      </c>
      <c r="FJ263" s="1605" t="s">
        <v>986</v>
      </c>
      <c r="FK263" s="1605" t="s">
        <v>986</v>
      </c>
      <c r="FL263" s="1605" t="s">
        <v>986</v>
      </c>
      <c r="FM263" s="1605" t="s">
        <v>986</v>
      </c>
      <c r="FN263" s="1605" t="s">
        <v>986</v>
      </c>
      <c r="FO263" s="1605" t="s">
        <v>986</v>
      </c>
      <c r="FP263" s="1605" t="s">
        <v>986</v>
      </c>
      <c r="FQ263" s="1605" t="s">
        <v>986</v>
      </c>
      <c r="FR263" s="1605" t="s">
        <v>986</v>
      </c>
      <c r="FS263" s="1605" t="s">
        <v>986</v>
      </c>
      <c r="FT263" s="1605" t="s">
        <v>986</v>
      </c>
      <c r="FU263" s="1605" t="s">
        <v>986</v>
      </c>
      <c r="FV263" s="1605" t="s">
        <v>986</v>
      </c>
      <c r="FW263" s="1605" t="s">
        <v>986</v>
      </c>
      <c r="FX263" s="1605" t="s">
        <v>986</v>
      </c>
      <c r="FY263" s="1605" t="s">
        <v>986</v>
      </c>
      <c r="FZ263" s="1605" t="s">
        <v>986</v>
      </c>
      <c r="GA263" s="1605" t="s">
        <v>986</v>
      </c>
      <c r="GB263" s="1605" t="s">
        <v>986</v>
      </c>
      <c r="GC263" s="1605" t="s">
        <v>986</v>
      </c>
      <c r="GD263" s="1605" t="s">
        <v>986</v>
      </c>
      <c r="GE263" s="1605" t="s">
        <v>986</v>
      </c>
      <c r="GF263" s="1605" t="s">
        <v>986</v>
      </c>
      <c r="GG263" s="1605" t="s">
        <v>986</v>
      </c>
      <c r="GH263" s="1605" t="s">
        <v>986</v>
      </c>
      <c r="GI263" s="1605" t="s">
        <v>986</v>
      </c>
      <c r="GJ263" s="1605" t="s">
        <v>986</v>
      </c>
      <c r="GK263" s="1605" t="s">
        <v>986</v>
      </c>
      <c r="GL263" s="1605" t="s">
        <v>986</v>
      </c>
      <c r="GM263" s="1605" t="s">
        <v>986</v>
      </c>
      <c r="GN263" s="1605" t="s">
        <v>986</v>
      </c>
      <c r="GO263" s="1605" t="s">
        <v>986</v>
      </c>
      <c r="GP263" s="1605" t="s">
        <v>986</v>
      </c>
      <c r="GQ263" s="1605" t="s">
        <v>986</v>
      </c>
      <c r="GR263" s="1605" t="s">
        <v>986</v>
      </c>
      <c r="GS263" s="1605" t="s">
        <v>986</v>
      </c>
      <c r="GT263" s="1605" t="s">
        <v>986</v>
      </c>
      <c r="GU263" s="1605" t="s">
        <v>986</v>
      </c>
      <c r="GV263" s="1605" t="s">
        <v>986</v>
      </c>
      <c r="GW263" s="1605" t="s">
        <v>986</v>
      </c>
      <c r="GX263" s="1605" t="s">
        <v>986</v>
      </c>
      <c r="GY263" s="1605" t="s">
        <v>986</v>
      </c>
      <c r="GZ263" s="1605" t="s">
        <v>986</v>
      </c>
      <c r="HA263" s="1605" t="s">
        <v>986</v>
      </c>
      <c r="HB263" s="1605" t="s">
        <v>986</v>
      </c>
      <c r="HC263" s="1605" t="s">
        <v>986</v>
      </c>
      <c r="HD263" s="1605" t="s">
        <v>986</v>
      </c>
      <c r="HE263" s="1605" t="s">
        <v>986</v>
      </c>
      <c r="HF263" s="1605" t="s">
        <v>986</v>
      </c>
      <c r="HG263" s="1605" t="s">
        <v>986</v>
      </c>
      <c r="HH263" s="1605" t="s">
        <v>986</v>
      </c>
      <c r="HI263" s="1605" t="s">
        <v>986</v>
      </c>
      <c r="HJ263" s="1605" t="s">
        <v>986</v>
      </c>
      <c r="HK263" s="1605" t="s">
        <v>986</v>
      </c>
      <c r="HL263" s="1605" t="s">
        <v>986</v>
      </c>
      <c r="HM263" s="1605" t="s">
        <v>986</v>
      </c>
      <c r="HN263" s="1605" t="s">
        <v>986</v>
      </c>
      <c r="HO263" s="1605" t="s">
        <v>986</v>
      </c>
      <c r="HP263" s="1605" t="s">
        <v>986</v>
      </c>
      <c r="HQ263" s="1605" t="s">
        <v>986</v>
      </c>
      <c r="HR263" s="1605" t="s">
        <v>986</v>
      </c>
      <c r="HS263" s="1605" t="s">
        <v>986</v>
      </c>
      <c r="HT263" s="1605" t="s">
        <v>986</v>
      </c>
      <c r="HU263" s="1605" t="s">
        <v>986</v>
      </c>
      <c r="HV263" s="1617"/>
      <c r="HW263" s="1617">
        <v>0</v>
      </c>
      <c r="HX263" s="1617">
        <v>0</v>
      </c>
      <c r="HY263" s="1617">
        <v>0</v>
      </c>
      <c r="HZ263" s="1603"/>
      <c r="IA263" s="1603"/>
      <c r="IB263" s="1603"/>
      <c r="IC263" s="1603">
        <v>61.5330861605404</v>
      </c>
      <c r="ID263" s="1603">
        <v>62.319581270186397</v>
      </c>
      <c r="IE263" s="1603">
        <v>62.974993861558097</v>
      </c>
      <c r="IF263" s="1603">
        <v>63.368241416381103</v>
      </c>
      <c r="IG263" s="1611" t="s">
        <v>270</v>
      </c>
      <c r="IH263" s="1616" t="s">
        <v>270</v>
      </c>
      <c r="II263" s="1615" t="s">
        <v>270</v>
      </c>
      <c r="IJ263" s="1613">
        <v>1.46</v>
      </c>
      <c r="IK263" s="1613">
        <v>0.62</v>
      </c>
      <c r="IL263" s="1614">
        <v>1.46</v>
      </c>
      <c r="IM263" s="1614">
        <v>0.62</v>
      </c>
      <c r="IN263" s="1612" t="s">
        <v>270</v>
      </c>
      <c r="IO263" s="1613" t="s">
        <v>270</v>
      </c>
      <c r="IP263" s="1607" t="s">
        <v>270</v>
      </c>
      <c r="IQ263" s="1612" t="s">
        <v>270</v>
      </c>
      <c r="IR263" s="1612" t="s">
        <v>270</v>
      </c>
      <c r="IS263" s="1607" t="s">
        <v>270</v>
      </c>
      <c r="IT263" s="1607" t="s">
        <v>270</v>
      </c>
      <c r="IU263" s="1611" t="s">
        <v>270</v>
      </c>
      <c r="IV263" s="1611" t="s">
        <v>270</v>
      </c>
      <c r="IW263" s="1611" t="s">
        <v>270</v>
      </c>
      <c r="IX263" s="1611" t="s">
        <v>270</v>
      </c>
      <c r="IY263" s="1611" t="s">
        <v>270</v>
      </c>
      <c r="IZ263" s="1611" t="s">
        <v>270</v>
      </c>
      <c r="JA263" s="1611" t="s">
        <v>270</v>
      </c>
      <c r="JB263" s="1611" t="s">
        <v>270</v>
      </c>
      <c r="JC263" s="1611" t="s">
        <v>270</v>
      </c>
      <c r="JD263" s="1611" t="s">
        <v>270</v>
      </c>
      <c r="JE263" s="1611" t="s">
        <v>270</v>
      </c>
      <c r="JF263" s="1611" t="s">
        <v>270</v>
      </c>
      <c r="JG263" s="1611" t="s">
        <v>270</v>
      </c>
      <c r="JH263" s="1611" t="s">
        <v>270</v>
      </c>
      <c r="JI263" s="1611" t="s">
        <v>270</v>
      </c>
      <c r="JJ263" s="1611" t="s">
        <v>270</v>
      </c>
      <c r="JK263" s="1607" t="str">
        <f t="shared" ref="JK263:JK326" si="13">IFERROR(IF( IL263-IS263&gt; 0, IL263-IS263,""),"")</f>
        <v/>
      </c>
      <c r="JL263" s="1608" t="s">
        <v>270</v>
      </c>
      <c r="JM263" s="1610" t="s">
        <v>3052</v>
      </c>
      <c r="JN263" s="1608" t="s">
        <v>270</v>
      </c>
      <c r="JO263" s="1609" t="s">
        <v>270</v>
      </c>
      <c r="JP263" s="1608" t="s">
        <v>270</v>
      </c>
      <c r="JQ263" s="1607" t="s">
        <v>270</v>
      </c>
      <c r="JR263" s="1606" t="s">
        <v>270</v>
      </c>
      <c r="JS263" s="1606" t="s">
        <v>270</v>
      </c>
      <c r="JT263" s="1606" t="s">
        <v>270</v>
      </c>
    </row>
    <row r="264" spans="1:280" ht="15" customHeight="1" x14ac:dyDescent="0.2">
      <c r="A264" s="1626">
        <v>10100</v>
      </c>
      <c r="B264" s="1625">
        <v>101</v>
      </c>
      <c r="C264" s="1624">
        <v>0</v>
      </c>
      <c r="D264" s="1623" t="s">
        <v>3070</v>
      </c>
      <c r="E264" s="1622">
        <v>44132</v>
      </c>
      <c r="F264" s="1620">
        <v>1.0900000000000001</v>
      </c>
      <c r="G264" s="1620">
        <v>1.08103394219881</v>
      </c>
      <c r="H264" s="1621">
        <v>91.123528659644705</v>
      </c>
      <c r="I264" s="1621">
        <v>84.199126205348904</v>
      </c>
      <c r="J264" s="1621">
        <v>94.347488280745196</v>
      </c>
      <c r="K264" s="1620">
        <v>1</v>
      </c>
      <c r="L264" s="1620">
        <v>86.8817586036823</v>
      </c>
      <c r="M264" s="1620">
        <v>16.174303875239701</v>
      </c>
      <c r="N264" s="1620">
        <v>2.5407130657994301</v>
      </c>
      <c r="O264" s="1620">
        <v>4.9938999502857202</v>
      </c>
      <c r="P264" s="1620">
        <v>3.3871357207099</v>
      </c>
      <c r="Q264" s="1603"/>
      <c r="R264" s="1620">
        <v>86.260281169554602</v>
      </c>
      <c r="S264" s="1620">
        <v>48.997637900467403</v>
      </c>
      <c r="T264" s="1620">
        <v>55.202907634347703</v>
      </c>
      <c r="U264" s="1620">
        <v>57.6850155278998</v>
      </c>
      <c r="V264" s="1620">
        <v>59.918912632096699</v>
      </c>
      <c r="W264" s="1620">
        <v>61.408177368228003</v>
      </c>
      <c r="X264" s="1620"/>
      <c r="Y264" s="1620">
        <v>7.7783876714870912</v>
      </c>
      <c r="Z264" s="1620">
        <v>4.685444890677867</v>
      </c>
      <c r="AA264" s="1620">
        <v>2.0073258507063465</v>
      </c>
      <c r="AB264" s="1620">
        <v>4.9254236673929057</v>
      </c>
      <c r="AC264" s="1620">
        <v>8.1806020191383588</v>
      </c>
      <c r="AD264" s="1620">
        <v>1.4036184807661392</v>
      </c>
      <c r="AE264" s="1620">
        <v>1.6623627865682349</v>
      </c>
      <c r="AF264" s="1620">
        <v>107.11307016380705</v>
      </c>
      <c r="AG264" s="1620">
        <v>30.387314631195608</v>
      </c>
      <c r="AH264" s="1620">
        <v>75.202982327810872</v>
      </c>
      <c r="AI264" s="1620">
        <v>109.30741865147407</v>
      </c>
      <c r="AJ264" s="1620">
        <v>0.25091573133829331</v>
      </c>
      <c r="AK264" s="1620">
        <v>0.32949700331948961</v>
      </c>
      <c r="AL264" s="1620"/>
      <c r="AM264" s="1620">
        <v>6.3394564527478003</v>
      </c>
      <c r="AN264" s="1620">
        <v>1.97653037188528</v>
      </c>
      <c r="AO264" s="1620">
        <v>1.81489022372859</v>
      </c>
      <c r="AP264" s="1620">
        <v>4.30027774313952</v>
      </c>
      <c r="AQ264" s="1620">
        <v>1.3330788498649599</v>
      </c>
      <c r="AR264" s="1620">
        <v>3.8126341314881902</v>
      </c>
      <c r="AS264" s="1620">
        <v>7.1114955317736896</v>
      </c>
      <c r="AT264" s="1620">
        <v>2.42997502013458</v>
      </c>
      <c r="AU264" s="1620">
        <v>4.6834113599984803</v>
      </c>
      <c r="AV264" s="1620">
        <v>3.2006858042672999</v>
      </c>
      <c r="AW264" s="1620">
        <v>4.5533506534749097</v>
      </c>
      <c r="AX264" s="1620"/>
      <c r="AY264" s="1620">
        <v>1.0351833866065197</v>
      </c>
      <c r="AZ264" s="1620">
        <v>1.059941311736279</v>
      </c>
      <c r="BA264" s="1620">
        <v>0.9549441515954209</v>
      </c>
      <c r="BB264" s="1620">
        <v>0.99920871549635404</v>
      </c>
      <c r="BC264" s="1620">
        <v>1.0043582911201814</v>
      </c>
      <c r="BD264" s="1620">
        <v>1.0034395205533613</v>
      </c>
      <c r="BE264" s="1620">
        <v>1.0054751282640912</v>
      </c>
      <c r="BF264" s="1620">
        <v>1.0077630532935979</v>
      </c>
      <c r="BG264" s="1620">
        <v>1.0142133851027575</v>
      </c>
      <c r="BH264" s="1620">
        <v>1.0019836076423552</v>
      </c>
      <c r="BI264" s="1620">
        <v>0.97199810649042606</v>
      </c>
      <c r="BJ264" s="1603"/>
      <c r="BK264" s="1620">
        <v>18.616455439190648</v>
      </c>
      <c r="BL264" s="1620">
        <v>2.924334298283584</v>
      </c>
      <c r="BM264" s="1620">
        <v>5.7479268727348991</v>
      </c>
      <c r="BN264" s="1620">
        <v>3.8985579656145948</v>
      </c>
      <c r="BO264" s="1620"/>
      <c r="BP264" s="1620" t="s">
        <v>270</v>
      </c>
      <c r="BQ264" s="1620">
        <v>31.393473021434325</v>
      </c>
      <c r="BR264" s="1620">
        <v>1.2545786566914667</v>
      </c>
      <c r="BS264" s="1620">
        <v>1.244258817469416</v>
      </c>
      <c r="BT264" s="1603"/>
      <c r="BU264" s="1620">
        <v>942.52073127265123</v>
      </c>
      <c r="BV264" s="1620">
        <v>567.84784932510468</v>
      </c>
      <c r="BW264" s="1620">
        <v>93.234183783557796</v>
      </c>
      <c r="BX264" s="1620">
        <v>516.46870934338574</v>
      </c>
      <c r="BY264" s="1620">
        <v>35.408983898918613</v>
      </c>
      <c r="BZ264" s="1620">
        <v>39.452365635058108</v>
      </c>
      <c r="CA264" s="1620">
        <v>134.0383231955359</v>
      </c>
      <c r="CB264" s="1603"/>
      <c r="CC264" s="1603">
        <v>6.7579999999999991</v>
      </c>
      <c r="CD264" s="1603">
        <v>4.0707969194273108</v>
      </c>
      <c r="CE264" s="1603">
        <v>1.7440000000000002</v>
      </c>
      <c r="CF264" s="1603">
        <v>4.2792947009129403</v>
      </c>
      <c r="CG264" s="1603">
        <v>7.107450898595749</v>
      </c>
      <c r="CH264" s="1603">
        <v>1.21948842017591</v>
      </c>
      <c r="CI264" s="1603">
        <v>1.4442900233436602</v>
      </c>
      <c r="CJ264" s="1603"/>
      <c r="CK264" s="1603">
        <v>93.061719052711695</v>
      </c>
      <c r="CL264" s="1603">
        <v>26.401033344016803</v>
      </c>
      <c r="CM264" s="1603">
        <v>65.337673568818502</v>
      </c>
      <c r="CN264" s="1603">
        <v>94.968207608690108</v>
      </c>
      <c r="CO264" s="1603">
        <v>0.21800000000000003</v>
      </c>
      <c r="CP264" s="1603">
        <v>0.28627279103040604</v>
      </c>
      <c r="CQ264" s="1603">
        <v>139.52000000000001</v>
      </c>
      <c r="CR264" s="1603">
        <v>128</v>
      </c>
      <c r="CS264" s="1603">
        <v>8.3999999999999808</v>
      </c>
      <c r="CT264" s="1603">
        <v>2.68160792968022</v>
      </c>
      <c r="CU264" s="1603">
        <v>2.2183920703197701</v>
      </c>
      <c r="CV264" s="1603">
        <v>4.8999999999999906</v>
      </c>
      <c r="CW264" s="1603">
        <v>5.4999999999999911</v>
      </c>
      <c r="CX264" s="1603">
        <v>1.713777658340899</v>
      </c>
      <c r="CY264" s="1603">
        <v>4.8969571391307332</v>
      </c>
      <c r="CZ264" s="1603">
        <v>9.1525528089083199</v>
      </c>
      <c r="DA264" s="1603">
        <v>3.1345139785190272</v>
      </c>
      <c r="DB264" s="1603">
        <v>6.0799724662435315</v>
      </c>
      <c r="DC264" s="1603">
        <v>4.1050044276344497</v>
      </c>
      <c r="DD264" s="1603">
        <v>10.18497689387798</v>
      </c>
      <c r="DE264" s="1603">
        <v>5.665085713106623</v>
      </c>
      <c r="DF264" s="1603">
        <v>1480.9390671082199</v>
      </c>
      <c r="DG264" s="1603">
        <v>0</v>
      </c>
      <c r="DH264" s="1603">
        <v>0</v>
      </c>
      <c r="DI264" s="1603">
        <v>4.3600000000000003</v>
      </c>
      <c r="DJ264" s="1603">
        <v>0.436</v>
      </c>
      <c r="DK264" s="1603">
        <v>39.636363636363697</v>
      </c>
      <c r="DL264" s="1603">
        <v>2.1800000000000002</v>
      </c>
      <c r="DM264" s="1603">
        <v>0</v>
      </c>
      <c r="DN264" s="1603">
        <v>2.1800000000000002</v>
      </c>
      <c r="DO264" s="1603">
        <v>2.1800000000000002</v>
      </c>
      <c r="DP264" s="1603">
        <v>3.3690909090909198</v>
      </c>
      <c r="DQ264" s="1603">
        <v>2.18E-2</v>
      </c>
      <c r="DR264" s="1603">
        <v>21.8</v>
      </c>
      <c r="DS264" s="1603">
        <v>10.9</v>
      </c>
      <c r="DT264" s="1603">
        <v>0</v>
      </c>
      <c r="DU264" s="1603">
        <v>0</v>
      </c>
      <c r="DV264" s="1603">
        <v>5.9454545454545503E-2</v>
      </c>
      <c r="DW264" s="1618" t="s">
        <v>986</v>
      </c>
      <c r="DX264" s="1605" t="s">
        <v>986</v>
      </c>
      <c r="DY264" s="1605" t="s">
        <v>986</v>
      </c>
      <c r="DZ264" s="1605" t="s">
        <v>986</v>
      </c>
      <c r="EA264" s="1605" t="s">
        <v>986</v>
      </c>
      <c r="EB264" s="1605" t="s">
        <v>986</v>
      </c>
      <c r="EC264" s="1605" t="s">
        <v>986</v>
      </c>
      <c r="ED264" s="1605" t="s">
        <v>986</v>
      </c>
      <c r="EE264" s="1605" t="s">
        <v>986</v>
      </c>
      <c r="EF264" s="1605" t="s">
        <v>986</v>
      </c>
      <c r="EG264" s="1605" t="s">
        <v>986</v>
      </c>
      <c r="EH264" s="1605" t="s">
        <v>986</v>
      </c>
      <c r="EI264" s="1605" t="s">
        <v>986</v>
      </c>
      <c r="EJ264" s="1605" t="s">
        <v>986</v>
      </c>
      <c r="EK264" s="1605" t="s">
        <v>986</v>
      </c>
      <c r="EL264" s="1605" t="s">
        <v>986</v>
      </c>
      <c r="EM264" s="1605" t="s">
        <v>986</v>
      </c>
      <c r="EN264" s="1605" t="s">
        <v>986</v>
      </c>
      <c r="EO264" s="1605" t="s">
        <v>986</v>
      </c>
      <c r="EP264" s="1605" t="s">
        <v>986</v>
      </c>
      <c r="EQ264" s="1605" t="s">
        <v>986</v>
      </c>
      <c r="ER264" s="1605" t="s">
        <v>986</v>
      </c>
      <c r="ES264" s="1605" t="s">
        <v>986</v>
      </c>
      <c r="ET264" s="1605" t="s">
        <v>986</v>
      </c>
      <c r="EU264" s="1605" t="s">
        <v>986</v>
      </c>
      <c r="EV264" s="1605" t="s">
        <v>986</v>
      </c>
      <c r="EW264" s="1605" t="s">
        <v>986</v>
      </c>
      <c r="EX264" s="1605" t="s">
        <v>986</v>
      </c>
      <c r="EY264" s="1605" t="s">
        <v>986</v>
      </c>
      <c r="EZ264" s="1605" t="s">
        <v>986</v>
      </c>
      <c r="FA264" s="1605" t="s">
        <v>986</v>
      </c>
      <c r="FB264" s="1605" t="s">
        <v>986</v>
      </c>
      <c r="FC264" s="1605" t="s">
        <v>986</v>
      </c>
      <c r="FD264" s="1605" t="s">
        <v>986</v>
      </c>
      <c r="FE264" s="1605" t="s">
        <v>986</v>
      </c>
      <c r="FF264" s="1605" t="s">
        <v>986</v>
      </c>
      <c r="FG264" s="1605" t="s">
        <v>986</v>
      </c>
      <c r="FH264" s="1605" t="s">
        <v>986</v>
      </c>
      <c r="FI264" s="1605" t="s">
        <v>986</v>
      </c>
      <c r="FJ264" s="1605" t="s">
        <v>986</v>
      </c>
      <c r="FK264" s="1605" t="s">
        <v>986</v>
      </c>
      <c r="FL264" s="1605" t="s">
        <v>986</v>
      </c>
      <c r="FM264" s="1605" t="s">
        <v>986</v>
      </c>
      <c r="FN264" s="1605" t="s">
        <v>986</v>
      </c>
      <c r="FO264" s="1605" t="s">
        <v>986</v>
      </c>
      <c r="FP264" s="1605" t="s">
        <v>986</v>
      </c>
      <c r="FQ264" s="1605" t="s">
        <v>986</v>
      </c>
      <c r="FR264" s="1605" t="s">
        <v>986</v>
      </c>
      <c r="FS264" s="1605" t="s">
        <v>986</v>
      </c>
      <c r="FT264" s="1605" t="s">
        <v>986</v>
      </c>
      <c r="FU264" s="1605" t="s">
        <v>986</v>
      </c>
      <c r="FV264" s="1605" t="s">
        <v>986</v>
      </c>
      <c r="FW264" s="1605" t="s">
        <v>986</v>
      </c>
      <c r="FX264" s="1605" t="s">
        <v>986</v>
      </c>
      <c r="FY264" s="1605" t="s">
        <v>986</v>
      </c>
      <c r="FZ264" s="1605" t="s">
        <v>986</v>
      </c>
      <c r="GA264" s="1605" t="s">
        <v>986</v>
      </c>
      <c r="GB264" s="1605" t="s">
        <v>986</v>
      </c>
      <c r="GC264" s="1605" t="s">
        <v>986</v>
      </c>
      <c r="GD264" s="1605" t="s">
        <v>986</v>
      </c>
      <c r="GE264" s="1605" t="s">
        <v>986</v>
      </c>
      <c r="GF264" s="1605" t="s">
        <v>986</v>
      </c>
      <c r="GG264" s="1605" t="s">
        <v>986</v>
      </c>
      <c r="GH264" s="1605" t="s">
        <v>986</v>
      </c>
      <c r="GI264" s="1605" t="s">
        <v>986</v>
      </c>
      <c r="GJ264" s="1605" t="s">
        <v>986</v>
      </c>
      <c r="GK264" s="1605" t="s">
        <v>986</v>
      </c>
      <c r="GL264" s="1605" t="s">
        <v>986</v>
      </c>
      <c r="GM264" s="1605" t="s">
        <v>986</v>
      </c>
      <c r="GN264" s="1605" t="s">
        <v>1578</v>
      </c>
      <c r="GO264" s="1605" t="s">
        <v>1578</v>
      </c>
      <c r="GP264" s="1605" t="s">
        <v>1578</v>
      </c>
      <c r="GQ264" s="1605" t="s">
        <v>1578</v>
      </c>
      <c r="GR264" s="1605" t="s">
        <v>1578</v>
      </c>
      <c r="GS264" s="1605" t="s">
        <v>1578</v>
      </c>
      <c r="GT264" s="1605" t="s">
        <v>1578</v>
      </c>
      <c r="GU264" s="1605" t="s">
        <v>1578</v>
      </c>
      <c r="GV264" s="1605" t="s">
        <v>1578</v>
      </c>
      <c r="GW264" s="1605" t="s">
        <v>1578</v>
      </c>
      <c r="GX264" s="1605" t="s">
        <v>1578</v>
      </c>
      <c r="GY264" s="1605" t="s">
        <v>1578</v>
      </c>
      <c r="GZ264" s="1605" t="s">
        <v>1578</v>
      </c>
      <c r="HA264" s="1605" t="s">
        <v>1578</v>
      </c>
      <c r="HB264" s="1605" t="s">
        <v>1578</v>
      </c>
      <c r="HC264" s="1605" t="s">
        <v>1578</v>
      </c>
      <c r="HD264" s="1605" t="s">
        <v>1578</v>
      </c>
      <c r="HE264" s="1605" t="s">
        <v>1578</v>
      </c>
      <c r="HF264" s="1605" t="s">
        <v>1578</v>
      </c>
      <c r="HG264" s="1605" t="s">
        <v>1578</v>
      </c>
      <c r="HH264" s="1605" t="s">
        <v>1578</v>
      </c>
      <c r="HI264" s="1605" t="s">
        <v>1578</v>
      </c>
      <c r="HJ264" s="1605" t="s">
        <v>1578</v>
      </c>
      <c r="HK264" s="1605" t="s">
        <v>986</v>
      </c>
      <c r="HL264" s="1605" t="s">
        <v>986</v>
      </c>
      <c r="HM264" s="1605" t="s">
        <v>1578</v>
      </c>
      <c r="HN264" s="1605" t="s">
        <v>1578</v>
      </c>
      <c r="HO264" s="1605" t="s">
        <v>1578</v>
      </c>
      <c r="HP264" s="1605" t="s">
        <v>1578</v>
      </c>
      <c r="HQ264" s="1605" t="s">
        <v>1578</v>
      </c>
      <c r="HR264" s="1605" t="s">
        <v>1578</v>
      </c>
      <c r="HS264" s="1605" t="s">
        <v>1578</v>
      </c>
      <c r="HT264" s="1605" t="s">
        <v>1578</v>
      </c>
      <c r="HU264" s="1605" t="s">
        <v>1578</v>
      </c>
      <c r="HV264" s="1617"/>
      <c r="HW264" s="1617">
        <v>0</v>
      </c>
      <c r="HX264" s="1617">
        <v>0</v>
      </c>
      <c r="HY264" s="1617">
        <v>0</v>
      </c>
      <c r="HZ264" s="1603"/>
      <c r="IA264" s="1603"/>
      <c r="IB264" s="1603"/>
      <c r="IC264" s="1603">
        <v>62.525125920326403</v>
      </c>
      <c r="ID264" s="1603">
        <v>63.269758288391998</v>
      </c>
      <c r="IE264" s="1603">
        <v>63.8902852617801</v>
      </c>
      <c r="IF264" s="1603">
        <v>64.262601445812905</v>
      </c>
      <c r="IG264" s="1611" t="s">
        <v>270</v>
      </c>
      <c r="IH264" s="1616" t="s">
        <v>270</v>
      </c>
      <c r="II264" s="1615" t="s">
        <v>270</v>
      </c>
      <c r="IJ264" s="1613">
        <v>1.49</v>
      </c>
      <c r="IK264" s="1613">
        <v>0.57999999999999996</v>
      </c>
      <c r="IL264" s="1614">
        <v>1.49</v>
      </c>
      <c r="IM264" s="1614">
        <v>0.57999999999999996</v>
      </c>
      <c r="IN264" s="1612" t="s">
        <v>270</v>
      </c>
      <c r="IO264" s="1613" t="s">
        <v>270</v>
      </c>
      <c r="IP264" s="1607" t="s">
        <v>270</v>
      </c>
      <c r="IQ264" s="1612" t="s">
        <v>270</v>
      </c>
      <c r="IR264" s="1612" t="s">
        <v>270</v>
      </c>
      <c r="IS264" s="1607" t="s">
        <v>270</v>
      </c>
      <c r="IT264" s="1607" t="s">
        <v>270</v>
      </c>
      <c r="IU264" s="1611" t="s">
        <v>270</v>
      </c>
      <c r="IV264" s="1611" t="s">
        <v>270</v>
      </c>
      <c r="IW264" s="1611" t="s">
        <v>270</v>
      </c>
      <c r="IX264" s="1611" t="s">
        <v>270</v>
      </c>
      <c r="IY264" s="1611" t="s">
        <v>270</v>
      </c>
      <c r="IZ264" s="1611" t="s">
        <v>270</v>
      </c>
      <c r="JA264" s="1611" t="s">
        <v>270</v>
      </c>
      <c r="JB264" s="1611" t="s">
        <v>270</v>
      </c>
      <c r="JC264" s="1611" t="s">
        <v>270</v>
      </c>
      <c r="JD264" s="1611" t="s">
        <v>270</v>
      </c>
      <c r="JE264" s="1611" t="s">
        <v>270</v>
      </c>
      <c r="JF264" s="1611" t="s">
        <v>270</v>
      </c>
      <c r="JG264" s="1611" t="s">
        <v>270</v>
      </c>
      <c r="JH264" s="1611" t="s">
        <v>270</v>
      </c>
      <c r="JI264" s="1611" t="s">
        <v>270</v>
      </c>
      <c r="JJ264" s="1611" t="s">
        <v>270</v>
      </c>
      <c r="JK264" s="1607" t="str">
        <f t="shared" si="13"/>
        <v/>
      </c>
      <c r="JL264" s="1608" t="s">
        <v>270</v>
      </c>
      <c r="JM264" s="1610" t="s">
        <v>3052</v>
      </c>
      <c r="JN264" s="1608" t="s">
        <v>270</v>
      </c>
      <c r="JO264" s="1609" t="s">
        <v>270</v>
      </c>
      <c r="JP264" s="1608" t="s">
        <v>270</v>
      </c>
      <c r="JQ264" s="1607" t="s">
        <v>270</v>
      </c>
      <c r="JR264" s="1606" t="s">
        <v>270</v>
      </c>
      <c r="JS264" s="1606" t="s">
        <v>270</v>
      </c>
      <c r="JT264" s="1606" t="s">
        <v>270</v>
      </c>
    </row>
    <row r="265" spans="1:280" ht="15" customHeight="1" x14ac:dyDescent="0.2">
      <c r="A265" s="1626">
        <v>2100</v>
      </c>
      <c r="B265" s="1625">
        <v>21</v>
      </c>
      <c r="C265" s="1624">
        <v>0</v>
      </c>
      <c r="D265" s="1623" t="s">
        <v>3069</v>
      </c>
      <c r="E265" s="1622">
        <v>44132</v>
      </c>
      <c r="F265" s="1620">
        <v>1.06623965439768</v>
      </c>
      <c r="G265" s="1620">
        <v>1.06</v>
      </c>
      <c r="H265" s="1621">
        <v>90.061999279449907</v>
      </c>
      <c r="I265" s="1621">
        <v>83.106999848248805</v>
      </c>
      <c r="J265" s="1621">
        <v>93.742772035730198</v>
      </c>
      <c r="K265" s="1620">
        <v>1</v>
      </c>
      <c r="L265" s="1620">
        <v>86.771236010165097</v>
      </c>
      <c r="M265" s="1620">
        <v>14.746450321632899</v>
      </c>
      <c r="N265" s="1620">
        <v>2.3616893921167001</v>
      </c>
      <c r="O265" s="1620">
        <v>5.2747271464622703</v>
      </c>
      <c r="P265" s="1620">
        <v>3.5229329688973898</v>
      </c>
      <c r="Q265" s="1603"/>
      <c r="R265" s="1620">
        <v>84.820412554815604</v>
      </c>
      <c r="S265" s="1620">
        <v>52.667975105392799</v>
      </c>
      <c r="T265" s="1620">
        <v>57.370707475723101</v>
      </c>
      <c r="U265" s="1620">
        <v>59.2518004238553</v>
      </c>
      <c r="V265" s="1620">
        <v>60.944784077174198</v>
      </c>
      <c r="W265" s="1620">
        <v>62.073439846053503</v>
      </c>
      <c r="X265" s="1620"/>
      <c r="Y265" s="1620">
        <v>8.5512208206078331</v>
      </c>
      <c r="Z265" s="1620">
        <v>5.7727835981426967</v>
      </c>
      <c r="AA265" s="1620">
        <v>1.8324044615588215</v>
      </c>
      <c r="AB265" s="1620">
        <v>4.6112886190227238</v>
      </c>
      <c r="AC265" s="1620">
        <v>7.5839070641176516</v>
      </c>
      <c r="AD265" s="1620">
        <v>1.3471579443239809</v>
      </c>
      <c r="AE265" s="1620">
        <v>1.5639847976062244</v>
      </c>
      <c r="AF265" s="1620">
        <v>103.11115867350598</v>
      </c>
      <c r="AG265" s="1620">
        <v>12.314348070133326</v>
      </c>
      <c r="AH265" s="1620">
        <v>71.466655423830133</v>
      </c>
      <c r="AI265" s="1620">
        <v>152.28445759391295</v>
      </c>
      <c r="AJ265" s="1620">
        <v>0.24432059487450952</v>
      </c>
      <c r="AK265" s="1620">
        <v>0.3122786145057258</v>
      </c>
      <c r="AL265" s="1620"/>
      <c r="AM265" s="1620">
        <v>6.27344195424243</v>
      </c>
      <c r="AN265" s="1620">
        <v>1.91314906413634</v>
      </c>
      <c r="AO265" s="1620">
        <v>1.86338743478927</v>
      </c>
      <c r="AP265" s="1620">
        <v>4.2552420760547403</v>
      </c>
      <c r="AQ265" s="1620">
        <v>1.3119991152338699</v>
      </c>
      <c r="AR265" s="1620">
        <v>3.8173840825670999</v>
      </c>
      <c r="AS265" s="1620">
        <v>7.0696581686444304</v>
      </c>
      <c r="AT265" s="1620">
        <v>2.4226725231505402</v>
      </c>
      <c r="AU265" s="1620">
        <v>4.6999822392648003</v>
      </c>
      <c r="AV265" s="1620">
        <v>3.20449517142784</v>
      </c>
      <c r="AW265" s="1620">
        <v>4.6442637607647903</v>
      </c>
      <c r="AX265" s="1620"/>
      <c r="AY265" s="1620">
        <v>1.0401664311886598</v>
      </c>
      <c r="AZ265" s="1620">
        <v>1.0631154378986711</v>
      </c>
      <c r="BA265" s="1620">
        <v>0.96004410958608521</v>
      </c>
      <c r="BB265" s="1620">
        <v>0.99578074757190582</v>
      </c>
      <c r="BC265" s="1620">
        <v>1.0026666578810279</v>
      </c>
      <c r="BD265" s="1620">
        <v>1.0051155504828002</v>
      </c>
      <c r="BE265" s="1620">
        <v>1.0090861730939067</v>
      </c>
      <c r="BF265" s="1620">
        <v>1.0112564587486215</v>
      </c>
      <c r="BG265" s="1620">
        <v>1.0192123172450724</v>
      </c>
      <c r="BH265" s="1620">
        <v>1.0006342733564788</v>
      </c>
      <c r="BI265" s="1620">
        <v>0.97198951177074544</v>
      </c>
      <c r="BJ265" s="1603"/>
      <c r="BK265" s="1620">
        <v>16.994629787116757</v>
      </c>
      <c r="BL265" s="1620">
        <v>2.7217422508998634</v>
      </c>
      <c r="BM265" s="1620">
        <v>6.0788890293603117</v>
      </c>
      <c r="BN265" s="1620">
        <v>4.0600239559624169</v>
      </c>
      <c r="BO265" s="1620"/>
      <c r="BP265" s="1620" t="s">
        <v>270</v>
      </c>
      <c r="BQ265" s="1620">
        <v>30.466631957681621</v>
      </c>
      <c r="BR265" s="1620">
        <v>1.2287938992510974</v>
      </c>
      <c r="BS265" s="1620">
        <v>1.2216029743725476</v>
      </c>
      <c r="BT265" s="1603"/>
      <c r="BU265" s="1620">
        <v>939.21110970639654</v>
      </c>
      <c r="BV265" s="1620">
        <v>571.50274241062345</v>
      </c>
      <c r="BW265" s="1620">
        <v>93.317324768368636</v>
      </c>
      <c r="BX265" s="1620">
        <v>516.52950939695995</v>
      </c>
      <c r="BY265" s="1620">
        <v>34.985495984598273</v>
      </c>
      <c r="BZ265" s="1620">
        <v>43.699417019814852</v>
      </c>
      <c r="CA265" s="1620">
        <v>140.0087359030635</v>
      </c>
      <c r="CB265" s="1603"/>
      <c r="CC265" s="1603">
        <v>7.419999999999999</v>
      </c>
      <c r="CD265" s="1603">
        <v>5.0091156803004999</v>
      </c>
      <c r="CE265" s="1603">
        <v>1.59</v>
      </c>
      <c r="CF265" s="1603">
        <v>4.0012721307220902</v>
      </c>
      <c r="CG265" s="1603">
        <v>6.5806498973971106</v>
      </c>
      <c r="CH265" s="1603">
        <v>1.1689455992990501</v>
      </c>
      <c r="CI265" s="1603">
        <v>1.357088939894</v>
      </c>
      <c r="CJ265" s="1603"/>
      <c r="CK265" s="1603">
        <v>89.470826845403693</v>
      </c>
      <c r="CL265" s="1603">
        <v>10.6853120270486</v>
      </c>
      <c r="CM265" s="1603">
        <v>62.012500246383098</v>
      </c>
      <c r="CN265" s="1603">
        <v>132.13910610561399</v>
      </c>
      <c r="CO265" s="1603">
        <v>0.21199999999999999</v>
      </c>
      <c r="CP265" s="1603">
        <v>0.27096801360203698</v>
      </c>
      <c r="CQ265" s="1603">
        <v>125.08</v>
      </c>
      <c r="CR265" s="1603">
        <v>117.30946179323807</v>
      </c>
      <c r="CS265" s="1603">
        <v>7.6549394559994237</v>
      </c>
      <c r="CT265" s="1603">
        <v>2.3859551551166969</v>
      </c>
      <c r="CU265" s="1603">
        <v>2.0985890004965557</v>
      </c>
      <c r="CV265" s="1603">
        <v>4.4845441556132526</v>
      </c>
      <c r="CW265" s="1603">
        <v>4.9707399064931295</v>
      </c>
      <c r="CX265" s="1603">
        <v>1.5432033515597601</v>
      </c>
      <c r="CY265" s="1603">
        <v>4.5010609381584654</v>
      </c>
      <c r="CZ265" s="1603">
        <v>8.3687330158295641</v>
      </c>
      <c r="DA265" s="1603">
        <v>2.8740152249413917</v>
      </c>
      <c r="DB265" s="1603">
        <v>5.6194514389737993</v>
      </c>
      <c r="DC265" s="1603">
        <v>3.7615603839960192</v>
      </c>
      <c r="DD265" s="1603">
        <v>9.3810118229698283</v>
      </c>
      <c r="DE265" s="1603">
        <v>5.2955551774355261</v>
      </c>
      <c r="DF265" s="1603">
        <v>1479.05515926418</v>
      </c>
      <c r="DG265" s="1603">
        <v>0</v>
      </c>
      <c r="DH265" s="1603">
        <v>0</v>
      </c>
      <c r="DI265" s="1603">
        <v>8.4799999999999809</v>
      </c>
      <c r="DJ265" s="1603">
        <v>0.84799999999999798</v>
      </c>
      <c r="DK265" s="1603">
        <v>159</v>
      </c>
      <c r="DL265" s="1603">
        <v>2.12</v>
      </c>
      <c r="DM265" s="1603">
        <v>0</v>
      </c>
      <c r="DN265" s="1603">
        <v>2.12</v>
      </c>
      <c r="DO265" s="1603">
        <v>5.3</v>
      </c>
      <c r="DP265" s="1603">
        <v>3.1800000000000099</v>
      </c>
      <c r="DQ265" s="1603">
        <v>2.12E-2</v>
      </c>
      <c r="DR265" s="1603">
        <v>21.2</v>
      </c>
      <c r="DS265" s="1603">
        <v>15.9</v>
      </c>
      <c r="DT265" s="1603">
        <v>0</v>
      </c>
      <c r="DU265" s="1603">
        <v>1.59</v>
      </c>
      <c r="DV265" s="1603">
        <v>0.21199999999999999</v>
      </c>
      <c r="DW265" s="1618" t="s">
        <v>986</v>
      </c>
      <c r="DX265" s="1605" t="s">
        <v>986</v>
      </c>
      <c r="DY265" s="1605" t="s">
        <v>986</v>
      </c>
      <c r="DZ265" s="1605" t="s">
        <v>986</v>
      </c>
      <c r="EA265" s="1605" t="s">
        <v>986</v>
      </c>
      <c r="EB265" s="1605" t="s">
        <v>986</v>
      </c>
      <c r="EC265" s="1605" t="s">
        <v>986</v>
      </c>
      <c r="ED265" s="1605" t="s">
        <v>986</v>
      </c>
      <c r="EE265" s="1605" t="s">
        <v>986</v>
      </c>
      <c r="EF265" s="1605" t="s">
        <v>986</v>
      </c>
      <c r="EG265" s="1605" t="s">
        <v>986</v>
      </c>
      <c r="EH265" s="1605" t="s">
        <v>986</v>
      </c>
      <c r="EI265" s="1605" t="s">
        <v>986</v>
      </c>
      <c r="EJ265" s="1605" t="s">
        <v>986</v>
      </c>
      <c r="EK265" s="1605" t="s">
        <v>986</v>
      </c>
      <c r="EL265" s="1605" t="s">
        <v>986</v>
      </c>
      <c r="EM265" s="1605" t="s">
        <v>986</v>
      </c>
      <c r="EN265" s="1605" t="s">
        <v>986</v>
      </c>
      <c r="EO265" s="1605" t="s">
        <v>986</v>
      </c>
      <c r="EP265" s="1605" t="s">
        <v>986</v>
      </c>
      <c r="EQ265" s="1605" t="s">
        <v>986</v>
      </c>
      <c r="ER265" s="1605" t="s">
        <v>986</v>
      </c>
      <c r="ES265" s="1605" t="s">
        <v>986</v>
      </c>
      <c r="ET265" s="1605" t="s">
        <v>986</v>
      </c>
      <c r="EU265" s="1605" t="s">
        <v>986</v>
      </c>
      <c r="EV265" s="1605" t="s">
        <v>986</v>
      </c>
      <c r="EW265" s="1605" t="s">
        <v>986</v>
      </c>
      <c r="EX265" s="1605" t="s">
        <v>986</v>
      </c>
      <c r="EY265" s="1605" t="s">
        <v>986</v>
      </c>
      <c r="EZ265" s="1605" t="s">
        <v>986</v>
      </c>
      <c r="FA265" s="1605" t="s">
        <v>986</v>
      </c>
      <c r="FB265" s="1605" t="s">
        <v>986</v>
      </c>
      <c r="FC265" s="1605" t="s">
        <v>986</v>
      </c>
      <c r="FD265" s="1605" t="s">
        <v>986</v>
      </c>
      <c r="FE265" s="1605" t="s">
        <v>986</v>
      </c>
      <c r="FF265" s="1605" t="s">
        <v>986</v>
      </c>
      <c r="FG265" s="1605" t="s">
        <v>986</v>
      </c>
      <c r="FH265" s="1605" t="s">
        <v>986</v>
      </c>
      <c r="FI265" s="1605" t="s">
        <v>986</v>
      </c>
      <c r="FJ265" s="1605" t="s">
        <v>986</v>
      </c>
      <c r="FK265" s="1605" t="s">
        <v>986</v>
      </c>
      <c r="FL265" s="1605" t="s">
        <v>986</v>
      </c>
      <c r="FM265" s="1605" t="s">
        <v>986</v>
      </c>
      <c r="FN265" s="1605" t="s">
        <v>986</v>
      </c>
      <c r="FO265" s="1605" t="s">
        <v>986</v>
      </c>
      <c r="FP265" s="1605" t="s">
        <v>986</v>
      </c>
      <c r="FQ265" s="1605" t="s">
        <v>986</v>
      </c>
      <c r="FR265" s="1605" t="s">
        <v>986</v>
      </c>
      <c r="FS265" s="1605" t="s">
        <v>986</v>
      </c>
      <c r="FT265" s="1605" t="s">
        <v>986</v>
      </c>
      <c r="FU265" s="1605" t="s">
        <v>986</v>
      </c>
      <c r="FV265" s="1605" t="s">
        <v>986</v>
      </c>
      <c r="FW265" s="1605" t="s">
        <v>986</v>
      </c>
      <c r="FX265" s="1605" t="s">
        <v>986</v>
      </c>
      <c r="FY265" s="1605" t="s">
        <v>986</v>
      </c>
      <c r="FZ265" s="1605" t="s">
        <v>986</v>
      </c>
      <c r="GA265" s="1605" t="s">
        <v>986</v>
      </c>
      <c r="GB265" s="1605" t="s">
        <v>986</v>
      </c>
      <c r="GC265" s="1605" t="s">
        <v>986</v>
      </c>
      <c r="GD265" s="1605" t="s">
        <v>986</v>
      </c>
      <c r="GE265" s="1605" t="s">
        <v>986</v>
      </c>
      <c r="GF265" s="1605" t="s">
        <v>986</v>
      </c>
      <c r="GG265" s="1605" t="s">
        <v>986</v>
      </c>
      <c r="GH265" s="1605" t="s">
        <v>986</v>
      </c>
      <c r="GI265" s="1605" t="s">
        <v>986</v>
      </c>
      <c r="GJ265" s="1605" t="s">
        <v>986</v>
      </c>
      <c r="GK265" s="1605" t="s">
        <v>986</v>
      </c>
      <c r="GL265" s="1605" t="s">
        <v>986</v>
      </c>
      <c r="GM265" s="1605" t="s">
        <v>986</v>
      </c>
      <c r="GN265" s="1605" t="s">
        <v>1578</v>
      </c>
      <c r="GO265" s="1605" t="s">
        <v>1578</v>
      </c>
      <c r="GP265" s="1605" t="s">
        <v>1578</v>
      </c>
      <c r="GQ265" s="1605" t="s">
        <v>1578</v>
      </c>
      <c r="GR265" s="1605" t="s">
        <v>1578</v>
      </c>
      <c r="GS265" s="1605" t="s">
        <v>1578</v>
      </c>
      <c r="GT265" s="1605" t="s">
        <v>1578</v>
      </c>
      <c r="GU265" s="1605" t="s">
        <v>1578</v>
      </c>
      <c r="GV265" s="1605" t="s">
        <v>1578</v>
      </c>
      <c r="GW265" s="1605" t="s">
        <v>1578</v>
      </c>
      <c r="GX265" s="1605" t="s">
        <v>1578</v>
      </c>
      <c r="GY265" s="1605" t="s">
        <v>1578</v>
      </c>
      <c r="GZ265" s="1605" t="s">
        <v>1578</v>
      </c>
      <c r="HA265" s="1605" t="s">
        <v>1578</v>
      </c>
      <c r="HB265" s="1605" t="s">
        <v>1578</v>
      </c>
      <c r="HC265" s="1605" t="s">
        <v>1578</v>
      </c>
      <c r="HD265" s="1605" t="s">
        <v>1578</v>
      </c>
      <c r="HE265" s="1605" t="s">
        <v>1578</v>
      </c>
      <c r="HF265" s="1605" t="s">
        <v>1578</v>
      </c>
      <c r="HG265" s="1605" t="s">
        <v>1578</v>
      </c>
      <c r="HH265" s="1605" t="s">
        <v>1578</v>
      </c>
      <c r="HI265" s="1605" t="s">
        <v>1578</v>
      </c>
      <c r="HJ265" s="1605" t="s">
        <v>1578</v>
      </c>
      <c r="HK265" s="1605" t="s">
        <v>986</v>
      </c>
      <c r="HL265" s="1605" t="s">
        <v>986</v>
      </c>
      <c r="HM265" s="1605" t="s">
        <v>1578</v>
      </c>
      <c r="HN265" s="1605" t="s">
        <v>1578</v>
      </c>
      <c r="HO265" s="1605" t="s">
        <v>1578</v>
      </c>
      <c r="HP265" s="1605" t="s">
        <v>1578</v>
      </c>
      <c r="HQ265" s="1605" t="s">
        <v>1578</v>
      </c>
      <c r="HR265" s="1605" t="s">
        <v>1578</v>
      </c>
      <c r="HS265" s="1605" t="s">
        <v>1578</v>
      </c>
      <c r="HT265" s="1605" t="s">
        <v>1578</v>
      </c>
      <c r="HU265" s="1605" t="s">
        <v>1578</v>
      </c>
      <c r="HV265" s="1617"/>
      <c r="HW265" s="1617">
        <v>0</v>
      </c>
      <c r="HX265" s="1617">
        <v>0</v>
      </c>
      <c r="HY265" s="1617">
        <v>0</v>
      </c>
      <c r="HZ265" s="1603"/>
      <c r="IA265" s="1603"/>
      <c r="IB265" s="1603"/>
      <c r="IC265" s="1603">
        <v>62.919931672712998</v>
      </c>
      <c r="ID265" s="1603">
        <v>63.484259557152598</v>
      </c>
      <c r="IE265" s="1603">
        <v>63.954532794185603</v>
      </c>
      <c r="IF265" s="1603">
        <v>64.236696736405506</v>
      </c>
      <c r="IG265" s="1611" t="s">
        <v>270</v>
      </c>
      <c r="IH265" s="1616" t="s">
        <v>270</v>
      </c>
      <c r="II265" s="1615" t="s">
        <v>270</v>
      </c>
      <c r="IJ265" s="1613">
        <v>1.29</v>
      </c>
      <c r="IK265" s="1613">
        <v>0.51</v>
      </c>
      <c r="IL265" s="1614">
        <v>1.29</v>
      </c>
      <c r="IM265" s="1614">
        <v>0.51</v>
      </c>
      <c r="IN265" s="1612" t="s">
        <v>270</v>
      </c>
      <c r="IO265" s="1613" t="s">
        <v>270</v>
      </c>
      <c r="IP265" s="1607" t="s">
        <v>270</v>
      </c>
      <c r="IQ265" s="1612" t="s">
        <v>270</v>
      </c>
      <c r="IR265" s="1612" t="s">
        <v>270</v>
      </c>
      <c r="IS265" s="1607" t="s">
        <v>270</v>
      </c>
      <c r="IT265" s="1607" t="s">
        <v>270</v>
      </c>
      <c r="IU265" s="1611" t="s">
        <v>270</v>
      </c>
      <c r="IV265" s="1611" t="s">
        <v>270</v>
      </c>
      <c r="IW265" s="1611" t="s">
        <v>270</v>
      </c>
      <c r="IX265" s="1611" t="s">
        <v>270</v>
      </c>
      <c r="IY265" s="1611" t="s">
        <v>270</v>
      </c>
      <c r="IZ265" s="1611" t="s">
        <v>270</v>
      </c>
      <c r="JA265" s="1611" t="s">
        <v>270</v>
      </c>
      <c r="JB265" s="1611" t="s">
        <v>270</v>
      </c>
      <c r="JC265" s="1611" t="s">
        <v>270</v>
      </c>
      <c r="JD265" s="1611" t="s">
        <v>270</v>
      </c>
      <c r="JE265" s="1611" t="s">
        <v>270</v>
      </c>
      <c r="JF265" s="1611" t="s">
        <v>270</v>
      </c>
      <c r="JG265" s="1611" t="s">
        <v>270</v>
      </c>
      <c r="JH265" s="1611" t="s">
        <v>270</v>
      </c>
      <c r="JI265" s="1611" t="s">
        <v>270</v>
      </c>
      <c r="JJ265" s="1611" t="s">
        <v>270</v>
      </c>
      <c r="JK265" s="1607" t="str">
        <f t="shared" si="13"/>
        <v/>
      </c>
      <c r="JL265" s="1608" t="s">
        <v>270</v>
      </c>
      <c r="JM265" s="1610" t="s">
        <v>3052</v>
      </c>
      <c r="JN265" s="1608" t="s">
        <v>270</v>
      </c>
      <c r="JO265" s="1609" t="s">
        <v>270</v>
      </c>
      <c r="JP265" s="1608" t="s">
        <v>270</v>
      </c>
      <c r="JQ265" s="1607" t="s">
        <v>270</v>
      </c>
      <c r="JR265" s="1606" t="s">
        <v>270</v>
      </c>
      <c r="JS265" s="1606" t="s">
        <v>270</v>
      </c>
      <c r="JT265" s="1606" t="s">
        <v>270</v>
      </c>
    </row>
    <row r="266" spans="1:280" ht="15" customHeight="1" x14ac:dyDescent="0.2">
      <c r="A266" s="1626">
        <v>2300</v>
      </c>
      <c r="B266" s="1625">
        <v>23</v>
      </c>
      <c r="C266" s="1624">
        <v>0</v>
      </c>
      <c r="D266" s="1623" t="s">
        <v>3068</v>
      </c>
      <c r="E266" s="1622">
        <v>44132</v>
      </c>
      <c r="F266" s="1620">
        <v>1.0168687339101501</v>
      </c>
      <c r="G266" s="1620">
        <v>1.02</v>
      </c>
      <c r="H266" s="1621">
        <v>85.985995946380697</v>
      </c>
      <c r="I266" s="1621">
        <v>79.015472865240596</v>
      </c>
      <c r="J266" s="1621">
        <v>90.0139403144656</v>
      </c>
      <c r="K266" s="1620">
        <v>1</v>
      </c>
      <c r="L266" s="1620">
        <v>86.660601071075902</v>
      </c>
      <c r="M266" s="1620">
        <v>11.7556790001882</v>
      </c>
      <c r="N266" s="1620">
        <v>2.4722083658476501</v>
      </c>
      <c r="O266" s="1620">
        <v>4.6518730960308003</v>
      </c>
      <c r="P266" s="1620">
        <v>5.2342112821470801</v>
      </c>
      <c r="Q266" s="1603"/>
      <c r="R266" s="1620">
        <v>78.089917220885795</v>
      </c>
      <c r="S266" s="1620">
        <v>37.1079374856849</v>
      </c>
      <c r="T266" s="1620">
        <v>45.222601655210902</v>
      </c>
      <c r="U266" s="1620">
        <v>48.468467323021301</v>
      </c>
      <c r="V266" s="1620">
        <v>51.389746424050699</v>
      </c>
      <c r="W266" s="1620">
        <v>53.337265824736903</v>
      </c>
      <c r="X266" s="1620"/>
      <c r="Y266" s="1620">
        <v>8.2390381693106765</v>
      </c>
      <c r="Z266" s="1620">
        <v>4.2208008355616151</v>
      </c>
      <c r="AA266" s="1620">
        <v>2.3540109055173359</v>
      </c>
      <c r="AB266" s="1620">
        <v>4.9867123154665043</v>
      </c>
      <c r="AC266" s="1620">
        <v>6.0954022570956994</v>
      </c>
      <c r="AD266" s="1620">
        <v>1.639160777574681</v>
      </c>
      <c r="AE266" s="1620">
        <v>1.6689588194395542</v>
      </c>
      <c r="AF266" s="1620">
        <v>102.16674623221094</v>
      </c>
      <c r="AG266" s="1620">
        <v>12.419187549397273</v>
      </c>
      <c r="AH266" s="1620">
        <v>70.574538012542078</v>
      </c>
      <c r="AI266" s="1620">
        <v>154.93142739149835</v>
      </c>
      <c r="AJ266" s="1620">
        <v>0.23540109055173358</v>
      </c>
      <c r="AK266" s="1620">
        <v>0.27540640086194462</v>
      </c>
      <c r="AL266" s="1620"/>
      <c r="AM266" s="1620">
        <v>4.46696648928061</v>
      </c>
      <c r="AN266" s="1620">
        <v>1.83331045998345</v>
      </c>
      <c r="AO266" s="1620">
        <v>2.3281837230933502</v>
      </c>
      <c r="AP266" s="1620">
        <v>3.62456068677526</v>
      </c>
      <c r="AQ266" s="1620">
        <v>1.24899052364171</v>
      </c>
      <c r="AR266" s="1620">
        <v>3.6831789189228501</v>
      </c>
      <c r="AS266" s="1620">
        <v>6.6954920416680803</v>
      </c>
      <c r="AT266" s="1620">
        <v>2.3903534609657302</v>
      </c>
      <c r="AU266" s="1620">
        <v>4.4326601388461198</v>
      </c>
      <c r="AV266" s="1620">
        <v>2.93591656627052</v>
      </c>
      <c r="AW266" s="1620">
        <v>4.9829747942136002</v>
      </c>
      <c r="AX266" s="1620"/>
      <c r="AY266" s="1620">
        <v>0.99495808959162246</v>
      </c>
      <c r="AZ266" s="1620">
        <v>1.0836051184952402</v>
      </c>
      <c r="BA266" s="1620">
        <v>1.0251686072166086</v>
      </c>
      <c r="BB266" s="1620">
        <v>0.95472790562689169</v>
      </c>
      <c r="BC266" s="1620">
        <v>0.9717142891945646</v>
      </c>
      <c r="BD266" s="1620">
        <v>1.00798305843142</v>
      </c>
      <c r="BE266" s="1620">
        <v>1.0231967226420193</v>
      </c>
      <c r="BF266" s="1620">
        <v>1.0323481804273018</v>
      </c>
      <c r="BG266" s="1620">
        <v>1.0486128972823034</v>
      </c>
      <c r="BH266" s="1620">
        <v>0.99481877376703332</v>
      </c>
      <c r="BI266" s="1620">
        <v>0.98069047090215555</v>
      </c>
      <c r="BJ266" s="1603"/>
      <c r="BK266" s="1620">
        <v>13.565194396178507</v>
      </c>
      <c r="BL266" s="1620">
        <v>2.8527477715277256</v>
      </c>
      <c r="BM266" s="1620">
        <v>5.3679215682054888</v>
      </c>
      <c r="BN266" s="1620">
        <v>6.0398972744882862</v>
      </c>
      <c r="BO266" s="1620"/>
      <c r="BP266" s="1620" t="s">
        <v>270</v>
      </c>
      <c r="BQ266" s="1620">
        <v>32.9428308054502</v>
      </c>
      <c r="BR266" s="1620">
        <v>1.1733922005412252</v>
      </c>
      <c r="BS266" s="1620">
        <v>1.177005452758668</v>
      </c>
      <c r="BT266" s="1603"/>
      <c r="BU266" s="1620">
        <v>946.32078431794503</v>
      </c>
      <c r="BV266" s="1620">
        <v>568.35477652097711</v>
      </c>
      <c r="BW266" s="1620">
        <v>94.233583846440581</v>
      </c>
      <c r="BX266" s="1620">
        <v>517.46343501692684</v>
      </c>
      <c r="BY266" s="1620">
        <v>24.129672192158026</v>
      </c>
      <c r="BZ266" s="1620">
        <v>47.807887103735666</v>
      </c>
      <c r="CA266" s="1620">
        <v>175.09947368855248</v>
      </c>
      <c r="CB266" s="1603"/>
      <c r="CC266" s="1603">
        <v>7.1400000000000006</v>
      </c>
      <c r="CD266" s="1603">
        <v>3.6577713741106899</v>
      </c>
      <c r="CE266" s="1603">
        <v>2.04</v>
      </c>
      <c r="CF266" s="1603">
        <v>4.3215148662686396</v>
      </c>
      <c r="CG266" s="1603">
        <v>5.2823122336990602</v>
      </c>
      <c r="CH266" s="1603">
        <v>1.4205065823675402</v>
      </c>
      <c r="CI266" s="1603">
        <v>1.44632974455505</v>
      </c>
      <c r="CJ266" s="1603"/>
      <c r="CK266" s="1603">
        <v>88.538316379594789</v>
      </c>
      <c r="CL266" s="1603">
        <v>10.7625425784519</v>
      </c>
      <c r="CM266" s="1603">
        <v>61.160318844803911</v>
      </c>
      <c r="CN266" s="1603">
        <v>134.26450622547</v>
      </c>
      <c r="CO266" s="1603">
        <v>0.20399999999999999</v>
      </c>
      <c r="CP266" s="1603">
        <v>0.23866884237517799</v>
      </c>
      <c r="CQ266" s="1603">
        <v>91.799999999999898</v>
      </c>
      <c r="CR266" s="1603">
        <v>90.27713896463581</v>
      </c>
      <c r="CS266" s="1603">
        <v>4.0123172873171518</v>
      </c>
      <c r="CT266" s="1603">
        <v>1.7934317383931873</v>
      </c>
      <c r="CU266" s="1603">
        <v>2.1547174780498866</v>
      </c>
      <c r="CV266" s="1603">
        <v>3.9481492164430936</v>
      </c>
      <c r="CW266" s="1603">
        <v>3.1240126185769839</v>
      </c>
      <c r="CX266" s="1603">
        <v>1.0956592751337508</v>
      </c>
      <c r="CY266" s="1603">
        <v>3.3516127674828895</v>
      </c>
      <c r="CZ266" s="1603">
        <v>6.184711213628824</v>
      </c>
      <c r="DA266" s="1603">
        <v>2.2277482360213301</v>
      </c>
      <c r="DB266" s="1603">
        <v>4.196211951570791</v>
      </c>
      <c r="DC266" s="1603">
        <v>2.6367288378763645</v>
      </c>
      <c r="DD266" s="1603">
        <v>6.8329407894471554</v>
      </c>
      <c r="DE266" s="1603">
        <v>4.4116234123862483</v>
      </c>
      <c r="DF266" s="1603">
        <v>1477.1693364388</v>
      </c>
      <c r="DG266" s="1603">
        <v>0</v>
      </c>
      <c r="DH266" s="1603">
        <v>0</v>
      </c>
      <c r="DI266" s="1603">
        <v>8.1600000000000108</v>
      </c>
      <c r="DJ266" s="1603">
        <v>0.81600000000000095</v>
      </c>
      <c r="DK266" s="1603">
        <v>153</v>
      </c>
      <c r="DL266" s="1603">
        <v>2.04</v>
      </c>
      <c r="DM266" s="1603">
        <v>0</v>
      </c>
      <c r="DN266" s="1603">
        <v>2.04</v>
      </c>
      <c r="DO266" s="1603">
        <v>5.1000000000000201</v>
      </c>
      <c r="DP266" s="1603">
        <v>3.0600000000000098</v>
      </c>
      <c r="DQ266" s="1603">
        <v>2.0399999999999998E-2</v>
      </c>
      <c r="DR266" s="1603">
        <v>20.399999999999999</v>
      </c>
      <c r="DS266" s="1603">
        <v>15.3</v>
      </c>
      <c r="DT266" s="1603">
        <v>0</v>
      </c>
      <c r="DU266" s="1603">
        <v>1.53</v>
      </c>
      <c r="DV266" s="1603">
        <v>0.20399999999999999</v>
      </c>
      <c r="DW266" s="1618" t="s">
        <v>986</v>
      </c>
      <c r="DX266" s="1605" t="s">
        <v>986</v>
      </c>
      <c r="DY266" s="1605" t="s">
        <v>986</v>
      </c>
      <c r="DZ266" s="1605" t="s">
        <v>986</v>
      </c>
      <c r="EA266" s="1605" t="s">
        <v>986</v>
      </c>
      <c r="EB266" s="1605" t="s">
        <v>986</v>
      </c>
      <c r="EC266" s="1605" t="s">
        <v>986</v>
      </c>
      <c r="ED266" s="1605" t="s">
        <v>986</v>
      </c>
      <c r="EE266" s="1605" t="s">
        <v>986</v>
      </c>
      <c r="EF266" s="1605" t="s">
        <v>986</v>
      </c>
      <c r="EG266" s="1605" t="s">
        <v>986</v>
      </c>
      <c r="EH266" s="1605" t="s">
        <v>986</v>
      </c>
      <c r="EI266" s="1605" t="s">
        <v>986</v>
      </c>
      <c r="EJ266" s="1605" t="s">
        <v>986</v>
      </c>
      <c r="EK266" s="1605" t="s">
        <v>986</v>
      </c>
      <c r="EL266" s="1605" t="s">
        <v>986</v>
      </c>
      <c r="EM266" s="1605" t="s">
        <v>986</v>
      </c>
      <c r="EN266" s="1605" t="s">
        <v>986</v>
      </c>
      <c r="EO266" s="1605" t="s">
        <v>986</v>
      </c>
      <c r="EP266" s="1605" t="s">
        <v>986</v>
      </c>
      <c r="EQ266" s="1605" t="s">
        <v>986</v>
      </c>
      <c r="ER266" s="1605" t="s">
        <v>986</v>
      </c>
      <c r="ES266" s="1605" t="s">
        <v>986</v>
      </c>
      <c r="ET266" s="1605" t="s">
        <v>986</v>
      </c>
      <c r="EU266" s="1605" t="s">
        <v>986</v>
      </c>
      <c r="EV266" s="1605" t="s">
        <v>986</v>
      </c>
      <c r="EW266" s="1605" t="s">
        <v>986</v>
      </c>
      <c r="EX266" s="1605" t="s">
        <v>986</v>
      </c>
      <c r="EY266" s="1605" t="s">
        <v>986</v>
      </c>
      <c r="EZ266" s="1605" t="s">
        <v>986</v>
      </c>
      <c r="FA266" s="1605" t="s">
        <v>986</v>
      </c>
      <c r="FB266" s="1605" t="s">
        <v>986</v>
      </c>
      <c r="FC266" s="1605" t="s">
        <v>986</v>
      </c>
      <c r="FD266" s="1605" t="s">
        <v>986</v>
      </c>
      <c r="FE266" s="1605" t="s">
        <v>986</v>
      </c>
      <c r="FF266" s="1605" t="s">
        <v>986</v>
      </c>
      <c r="FG266" s="1605" t="s">
        <v>986</v>
      </c>
      <c r="FH266" s="1605" t="s">
        <v>986</v>
      </c>
      <c r="FI266" s="1605" t="s">
        <v>986</v>
      </c>
      <c r="FJ266" s="1605" t="s">
        <v>986</v>
      </c>
      <c r="FK266" s="1605" t="s">
        <v>986</v>
      </c>
      <c r="FL266" s="1605" t="s">
        <v>986</v>
      </c>
      <c r="FM266" s="1605" t="s">
        <v>986</v>
      </c>
      <c r="FN266" s="1605" t="s">
        <v>986</v>
      </c>
      <c r="FO266" s="1605" t="s">
        <v>986</v>
      </c>
      <c r="FP266" s="1605" t="s">
        <v>986</v>
      </c>
      <c r="FQ266" s="1605" t="s">
        <v>986</v>
      </c>
      <c r="FR266" s="1605" t="s">
        <v>986</v>
      </c>
      <c r="FS266" s="1605" t="s">
        <v>986</v>
      </c>
      <c r="FT266" s="1605" t="s">
        <v>986</v>
      </c>
      <c r="FU266" s="1605" t="s">
        <v>986</v>
      </c>
      <c r="FV266" s="1605" t="s">
        <v>986</v>
      </c>
      <c r="FW266" s="1605" t="s">
        <v>986</v>
      </c>
      <c r="FX266" s="1605" t="s">
        <v>986</v>
      </c>
      <c r="FY266" s="1605" t="s">
        <v>986</v>
      </c>
      <c r="FZ266" s="1605" t="s">
        <v>986</v>
      </c>
      <c r="GA266" s="1605" t="s">
        <v>986</v>
      </c>
      <c r="GB266" s="1605" t="s">
        <v>986</v>
      </c>
      <c r="GC266" s="1605" t="s">
        <v>986</v>
      </c>
      <c r="GD266" s="1605" t="s">
        <v>986</v>
      </c>
      <c r="GE266" s="1605" t="s">
        <v>986</v>
      </c>
      <c r="GF266" s="1605" t="s">
        <v>986</v>
      </c>
      <c r="GG266" s="1605" t="s">
        <v>986</v>
      </c>
      <c r="GH266" s="1605" t="s">
        <v>986</v>
      </c>
      <c r="GI266" s="1605" t="s">
        <v>986</v>
      </c>
      <c r="GJ266" s="1605" t="s">
        <v>986</v>
      </c>
      <c r="GK266" s="1605" t="s">
        <v>986</v>
      </c>
      <c r="GL266" s="1605" t="s">
        <v>986</v>
      </c>
      <c r="GM266" s="1605" t="s">
        <v>986</v>
      </c>
      <c r="GN266" s="1605" t="s">
        <v>1578</v>
      </c>
      <c r="GO266" s="1605" t="s">
        <v>1578</v>
      </c>
      <c r="GP266" s="1605" t="s">
        <v>1578</v>
      </c>
      <c r="GQ266" s="1605" t="s">
        <v>1578</v>
      </c>
      <c r="GR266" s="1605" t="s">
        <v>1578</v>
      </c>
      <c r="GS266" s="1605" t="s">
        <v>1578</v>
      </c>
      <c r="GT266" s="1605" t="s">
        <v>1578</v>
      </c>
      <c r="GU266" s="1605" t="s">
        <v>1578</v>
      </c>
      <c r="GV266" s="1605" t="s">
        <v>1578</v>
      </c>
      <c r="GW266" s="1605" t="s">
        <v>1578</v>
      </c>
      <c r="GX266" s="1605" t="s">
        <v>1578</v>
      </c>
      <c r="GY266" s="1605" t="s">
        <v>1578</v>
      </c>
      <c r="GZ266" s="1605" t="s">
        <v>1578</v>
      </c>
      <c r="HA266" s="1605" t="s">
        <v>1578</v>
      </c>
      <c r="HB266" s="1605" t="s">
        <v>1578</v>
      </c>
      <c r="HC266" s="1605" t="s">
        <v>1578</v>
      </c>
      <c r="HD266" s="1605" t="s">
        <v>1578</v>
      </c>
      <c r="HE266" s="1605" t="s">
        <v>1578</v>
      </c>
      <c r="HF266" s="1605" t="s">
        <v>1578</v>
      </c>
      <c r="HG266" s="1605" t="s">
        <v>1578</v>
      </c>
      <c r="HH266" s="1605" t="s">
        <v>1578</v>
      </c>
      <c r="HI266" s="1605" t="s">
        <v>1578</v>
      </c>
      <c r="HJ266" s="1605" t="s">
        <v>1578</v>
      </c>
      <c r="HK266" s="1605" t="s">
        <v>986</v>
      </c>
      <c r="HL266" s="1605" t="s">
        <v>986</v>
      </c>
      <c r="HM266" s="1605" t="s">
        <v>1578</v>
      </c>
      <c r="HN266" s="1605" t="s">
        <v>1578</v>
      </c>
      <c r="HO266" s="1605" t="s">
        <v>1578</v>
      </c>
      <c r="HP266" s="1605" t="s">
        <v>1578</v>
      </c>
      <c r="HQ266" s="1605" t="s">
        <v>1578</v>
      </c>
      <c r="HR266" s="1605" t="s">
        <v>1578</v>
      </c>
      <c r="HS266" s="1605" t="s">
        <v>1578</v>
      </c>
      <c r="HT266" s="1605" t="s">
        <v>1578</v>
      </c>
      <c r="HU266" s="1605" t="s">
        <v>1578</v>
      </c>
      <c r="HV266" s="1617"/>
      <c r="HW266" s="1617">
        <v>0</v>
      </c>
      <c r="HX266" s="1617">
        <v>0</v>
      </c>
      <c r="HY266" s="1617">
        <v>0</v>
      </c>
      <c r="HZ266" s="1603"/>
      <c r="IA266" s="1603"/>
      <c r="IB266" s="1603"/>
      <c r="IC266" s="1603">
        <v>54.797905375251702</v>
      </c>
      <c r="ID266" s="1603">
        <v>55.771665075594797</v>
      </c>
      <c r="IE266" s="1603">
        <v>56.583131492547402</v>
      </c>
      <c r="IF266" s="1603">
        <v>57.070011342718999</v>
      </c>
      <c r="IG266" s="1611" t="s">
        <v>270</v>
      </c>
      <c r="IH266" s="1616" t="s">
        <v>270</v>
      </c>
      <c r="II266" s="1615" t="s">
        <v>270</v>
      </c>
      <c r="IJ266" s="1613">
        <v>0.87</v>
      </c>
      <c r="IK266" s="1613">
        <v>0.5</v>
      </c>
      <c r="IL266" s="1614">
        <v>0.87</v>
      </c>
      <c r="IM266" s="1614">
        <v>0.5</v>
      </c>
      <c r="IN266" s="1612" t="s">
        <v>270</v>
      </c>
      <c r="IO266" s="1613" t="s">
        <v>270</v>
      </c>
      <c r="IP266" s="1607" t="s">
        <v>270</v>
      </c>
      <c r="IQ266" s="1612" t="s">
        <v>270</v>
      </c>
      <c r="IR266" s="1612" t="s">
        <v>270</v>
      </c>
      <c r="IS266" s="1607" t="s">
        <v>270</v>
      </c>
      <c r="IT266" s="1607" t="s">
        <v>270</v>
      </c>
      <c r="IU266" s="1611" t="s">
        <v>270</v>
      </c>
      <c r="IV266" s="1611" t="s">
        <v>270</v>
      </c>
      <c r="IW266" s="1611" t="s">
        <v>270</v>
      </c>
      <c r="IX266" s="1611" t="s">
        <v>270</v>
      </c>
      <c r="IY266" s="1611" t="s">
        <v>270</v>
      </c>
      <c r="IZ266" s="1611" t="s">
        <v>270</v>
      </c>
      <c r="JA266" s="1611" t="s">
        <v>270</v>
      </c>
      <c r="JB266" s="1611" t="s">
        <v>270</v>
      </c>
      <c r="JC266" s="1611" t="s">
        <v>270</v>
      </c>
      <c r="JD266" s="1611" t="s">
        <v>270</v>
      </c>
      <c r="JE266" s="1611" t="s">
        <v>270</v>
      </c>
      <c r="JF266" s="1611" t="s">
        <v>270</v>
      </c>
      <c r="JG266" s="1611" t="s">
        <v>270</v>
      </c>
      <c r="JH266" s="1611" t="s">
        <v>270</v>
      </c>
      <c r="JI266" s="1611" t="s">
        <v>270</v>
      </c>
      <c r="JJ266" s="1611" t="s">
        <v>270</v>
      </c>
      <c r="JK266" s="1607" t="str">
        <f t="shared" si="13"/>
        <v/>
      </c>
      <c r="JL266" s="1608" t="s">
        <v>270</v>
      </c>
      <c r="JM266" s="1610" t="s">
        <v>3052</v>
      </c>
      <c r="JN266" s="1608" t="s">
        <v>270</v>
      </c>
      <c r="JO266" s="1609" t="s">
        <v>270</v>
      </c>
      <c r="JP266" s="1608" t="s">
        <v>270</v>
      </c>
      <c r="JQ266" s="1607" t="s">
        <v>270</v>
      </c>
      <c r="JR266" s="1606" t="s">
        <v>270</v>
      </c>
      <c r="JS266" s="1606" t="s">
        <v>270</v>
      </c>
      <c r="JT266" s="1606" t="s">
        <v>270</v>
      </c>
    </row>
    <row r="267" spans="1:280" ht="15" customHeight="1" x14ac:dyDescent="0.2">
      <c r="A267" s="1626">
        <v>41501</v>
      </c>
      <c r="B267" s="1625">
        <v>415</v>
      </c>
      <c r="C267" s="1624">
        <v>1</v>
      </c>
      <c r="D267" s="1623" t="s">
        <v>3067</v>
      </c>
      <c r="E267" s="1622">
        <v>43369</v>
      </c>
      <c r="F267" s="1620">
        <v>1.0814470743932101</v>
      </c>
      <c r="G267" s="1620">
        <v>1.05734457875168</v>
      </c>
      <c r="H267" s="1621">
        <v>91.2920240824281</v>
      </c>
      <c r="I267" s="1621">
        <v>88.947710938768296</v>
      </c>
      <c r="J267" s="1621">
        <v>95.400805130768603</v>
      </c>
      <c r="K267" s="1620">
        <v>1</v>
      </c>
      <c r="L267" s="1620">
        <v>92.306299271390003</v>
      </c>
      <c r="M267" s="1620">
        <v>24.8548760404619</v>
      </c>
      <c r="N267" s="1620">
        <v>3.8773521911437601</v>
      </c>
      <c r="O267" s="1620">
        <v>15.1737988344199</v>
      </c>
      <c r="P267" s="1620">
        <v>2.1463689680968998</v>
      </c>
      <c r="Q267" s="1603"/>
      <c r="R267" s="1620">
        <v>91.918851331537198</v>
      </c>
      <c r="S267" s="1620">
        <v>58.9857403849349</v>
      </c>
      <c r="T267" s="1620">
        <v>60.753471223594197</v>
      </c>
      <c r="U267" s="1620">
        <v>61.460563559058002</v>
      </c>
      <c r="V267" s="1620">
        <v>62.096946660975298</v>
      </c>
      <c r="W267" s="1620">
        <v>62.521202062253501</v>
      </c>
      <c r="X267" s="1620"/>
      <c r="Y267" s="1620">
        <v>23.977964676358763</v>
      </c>
      <c r="Z267" s="1620">
        <v>17.682726120109361</v>
      </c>
      <c r="AA267" s="1620">
        <v>11.157966775806052</v>
      </c>
      <c r="AB267" s="1620">
        <v>16.213367249425136</v>
      </c>
      <c r="AC267" s="1620">
        <v>11.606111139046181</v>
      </c>
      <c r="AD267" s="1620">
        <v>1.5248730131985651</v>
      </c>
      <c r="AE267" s="1620">
        <v>2.5687079369079502</v>
      </c>
      <c r="AF267" s="1620">
        <v>640.33633727151198</v>
      </c>
      <c r="AG267" s="1620">
        <v>121.46080637676147</v>
      </c>
      <c r="AH267" s="1620">
        <v>261.02917673354006</v>
      </c>
      <c r="AI267" s="1620">
        <v>465.51944652734016</v>
      </c>
      <c r="AJ267" s="1620">
        <v>1.1635863200499492</v>
      </c>
      <c r="AK267" s="1620">
        <v>2.1137622086677323</v>
      </c>
      <c r="AL267" s="1620"/>
      <c r="AM267" s="1620">
        <v>11.893416561556901</v>
      </c>
      <c r="AN267" s="1620">
        <v>3.6979064564205699</v>
      </c>
      <c r="AO267" s="1620">
        <v>1.09440728482466</v>
      </c>
      <c r="AP267" s="1620">
        <v>6.6605407516974404</v>
      </c>
      <c r="AQ267" s="1620">
        <v>2.5065686596490999</v>
      </c>
      <c r="AR267" s="1620">
        <v>4.3879362647840896</v>
      </c>
      <c r="AS267" s="1620">
        <v>8.3418384185775203</v>
      </c>
      <c r="AT267" s="1620">
        <v>2.4807984448984</v>
      </c>
      <c r="AU267" s="1620">
        <v>4.1677446656729602</v>
      </c>
      <c r="AV267" s="1620">
        <v>3.8749307135009898</v>
      </c>
      <c r="AW267" s="1620">
        <v>5.8624412093038298</v>
      </c>
      <c r="AX267" s="1620"/>
      <c r="AY267" s="1620">
        <v>1.0571024775321707</v>
      </c>
      <c r="AZ267" s="1620">
        <v>1.0620828421269759</v>
      </c>
      <c r="BA267" s="1620">
        <v>0.96203855586218223</v>
      </c>
      <c r="BB267" s="1620">
        <v>1.0413059275805068</v>
      </c>
      <c r="BC267" s="1620">
        <v>1.0323633462061483</v>
      </c>
      <c r="BD267" s="1620">
        <v>1.0153950956646056</v>
      </c>
      <c r="BE267" s="1620">
        <v>1.0365828277279008</v>
      </c>
      <c r="BF267" s="1620">
        <v>1.0320486018207931</v>
      </c>
      <c r="BG267" s="1620">
        <v>1.0476660308989025</v>
      </c>
      <c r="BH267" s="1620">
        <v>0.95203503850649196</v>
      </c>
      <c r="BI267" s="1620">
        <v>0.99246009523626477</v>
      </c>
      <c r="BJ267" s="1603"/>
      <c r="BK267" s="1620">
        <v>26.926522064746642</v>
      </c>
      <c r="BL267" s="1620">
        <v>4.2005282648629931</v>
      </c>
      <c r="BM267" s="1620">
        <v>16.438530148205132</v>
      </c>
      <c r="BN267" s="1620">
        <v>2.3252681399200661</v>
      </c>
      <c r="BO267" s="1620"/>
      <c r="BP267" s="1620">
        <v>0</v>
      </c>
      <c r="BQ267" s="1620">
        <v>30.05011590858993</v>
      </c>
      <c r="BR267" s="1620">
        <v>1.1715853445859037</v>
      </c>
      <c r="BS267" s="1620">
        <v>1.1454739135873906</v>
      </c>
      <c r="BT267" s="1603"/>
      <c r="BU267" s="1620">
        <v>835.61469851794868</v>
      </c>
      <c r="BV267" s="1620">
        <v>449.08820369507777</v>
      </c>
      <c r="BW267" s="1620">
        <v>27.984893153870569</v>
      </c>
      <c r="BX267" s="1620">
        <v>131.06616401240672</v>
      </c>
      <c r="BY267" s="1620">
        <v>250.85346303721136</v>
      </c>
      <c r="BZ267" s="1620">
        <v>6.0851160015250132</v>
      </c>
      <c r="CA267" s="1620">
        <v>69.366090191177918</v>
      </c>
      <c r="CB267" s="1603"/>
      <c r="CC267" s="1603">
        <v>22.133171833347902</v>
      </c>
      <c r="CD267" s="1603">
        <v>16.322270091768399</v>
      </c>
      <c r="CE267" s="1603">
        <v>10.299506204677801</v>
      </c>
      <c r="CF267" s="1603">
        <v>14.9659592952239</v>
      </c>
      <c r="CG267" s="1603">
        <v>10.7131716817781</v>
      </c>
      <c r="CH267" s="1603">
        <v>1.4075538470717299</v>
      </c>
      <c r="CI267" s="1603">
        <v>2.3710792356502002</v>
      </c>
      <c r="CJ267" s="1603"/>
      <c r="CK267" s="1603">
        <v>591.07077582529905</v>
      </c>
      <c r="CL267" s="1603">
        <v>112.115975431577</v>
      </c>
      <c r="CM267" s="1603">
        <v>240.94637306130701</v>
      </c>
      <c r="CN267" s="1603">
        <v>429.70377347804498</v>
      </c>
      <c r="CO267" s="1603">
        <v>1.07406347086626</v>
      </c>
      <c r="CP267" s="1603">
        <v>1.9511356702183802</v>
      </c>
      <c r="CQ267" s="1603">
        <v>228.46316556270099</v>
      </c>
      <c r="CR267" s="1603">
        <v>211.2569084260453</v>
      </c>
      <c r="CS267" s="1603">
        <v>26.560401805879021</v>
      </c>
      <c r="CT267" s="1603">
        <v>8.2970791629730609</v>
      </c>
      <c r="CU267" s="1603">
        <v>2.2242437192579292</v>
      </c>
      <c r="CV267" s="1603">
        <v>10.521322882230951</v>
      </c>
      <c r="CW267" s="1603">
        <v>14.652062089882877</v>
      </c>
      <c r="CX267" s="1603">
        <v>5.4666730675737343</v>
      </c>
      <c r="CY267" s="1603">
        <v>9.4125282392381777</v>
      </c>
      <c r="CZ267" s="1603">
        <v>18.267398511145331</v>
      </c>
      <c r="DA267" s="1603">
        <v>5.4088202733870521</v>
      </c>
      <c r="DB267" s="1603">
        <v>9.2243311807624888</v>
      </c>
      <c r="DC267" s="1603">
        <v>7.7934148324772208</v>
      </c>
      <c r="DD267" s="1603">
        <v>17.017746013239709</v>
      </c>
      <c r="DE267" s="1603">
        <v>12.291431753642698</v>
      </c>
      <c r="DF267" s="1603">
        <v>6640.4888541344399</v>
      </c>
      <c r="DG267" s="1603">
        <v>0</v>
      </c>
      <c r="DH267" s="1603">
        <v>0</v>
      </c>
      <c r="DI267" s="1603">
        <v>42.962538834650303</v>
      </c>
      <c r="DJ267" s="1603">
        <v>4.2962538834650301</v>
      </c>
      <c r="DK267" s="1603">
        <v>698.141256063068</v>
      </c>
      <c r="DL267" s="1603">
        <v>10.740634708662601</v>
      </c>
      <c r="DM267" s="1603">
        <v>0</v>
      </c>
      <c r="DN267" s="1603">
        <v>10.740634708662601</v>
      </c>
      <c r="DO267" s="1603">
        <v>21.481269417325102</v>
      </c>
      <c r="DP267" s="1603">
        <v>16.110952062993899</v>
      </c>
      <c r="DQ267" s="1603">
        <v>0.107406347086626</v>
      </c>
      <c r="DR267" s="1603">
        <v>107.406347086626</v>
      </c>
      <c r="DS267" s="1603">
        <v>53.7031735433129</v>
      </c>
      <c r="DT267" s="1603">
        <v>0</v>
      </c>
      <c r="DU267" s="1603">
        <v>0</v>
      </c>
      <c r="DV267" s="1603">
        <v>1.07406347086626</v>
      </c>
      <c r="DW267" s="1618" t="s">
        <v>986</v>
      </c>
      <c r="DX267" s="1605" t="s">
        <v>986</v>
      </c>
      <c r="DY267" s="1605" t="s">
        <v>986</v>
      </c>
      <c r="DZ267" s="1605" t="s">
        <v>986</v>
      </c>
      <c r="EA267" s="1605" t="s">
        <v>986</v>
      </c>
      <c r="EB267" s="1605" t="s">
        <v>986</v>
      </c>
      <c r="EC267" s="1605" t="s">
        <v>986</v>
      </c>
      <c r="ED267" s="1605" t="s">
        <v>986</v>
      </c>
      <c r="EE267" s="1605" t="s">
        <v>986</v>
      </c>
      <c r="EF267" s="1605" t="s">
        <v>986</v>
      </c>
      <c r="EG267" s="1605" t="s">
        <v>986</v>
      </c>
      <c r="EH267" s="1605" t="s">
        <v>986</v>
      </c>
      <c r="EI267" s="1605" t="s">
        <v>986</v>
      </c>
      <c r="EJ267" s="1605" t="s">
        <v>986</v>
      </c>
      <c r="EK267" s="1605" t="s">
        <v>986</v>
      </c>
      <c r="EL267" s="1605" t="s">
        <v>986</v>
      </c>
      <c r="EM267" s="1605" t="s">
        <v>986</v>
      </c>
      <c r="EN267" s="1605" t="s">
        <v>986</v>
      </c>
      <c r="EO267" s="1605" t="s">
        <v>986</v>
      </c>
      <c r="EP267" s="1605" t="s">
        <v>986</v>
      </c>
      <c r="EQ267" s="1605" t="s">
        <v>986</v>
      </c>
      <c r="ER267" s="1605" t="s">
        <v>986</v>
      </c>
      <c r="ES267" s="1605" t="s">
        <v>986</v>
      </c>
      <c r="ET267" s="1605" t="s">
        <v>986</v>
      </c>
      <c r="EU267" s="1605" t="s">
        <v>986</v>
      </c>
      <c r="EV267" s="1605" t="s">
        <v>986</v>
      </c>
      <c r="EW267" s="1605" t="s">
        <v>986</v>
      </c>
      <c r="EX267" s="1605" t="s">
        <v>986</v>
      </c>
      <c r="EY267" s="1605" t="s">
        <v>986</v>
      </c>
      <c r="EZ267" s="1605" t="s">
        <v>986</v>
      </c>
      <c r="FA267" s="1605" t="s">
        <v>986</v>
      </c>
      <c r="FB267" s="1605" t="s">
        <v>986</v>
      </c>
      <c r="FC267" s="1605" t="s">
        <v>986</v>
      </c>
      <c r="FD267" s="1605" t="s">
        <v>986</v>
      </c>
      <c r="FE267" s="1605" t="s">
        <v>986</v>
      </c>
      <c r="FF267" s="1605" t="s">
        <v>986</v>
      </c>
      <c r="FG267" s="1605" t="s">
        <v>986</v>
      </c>
      <c r="FH267" s="1605" t="s">
        <v>986</v>
      </c>
      <c r="FI267" s="1605" t="s">
        <v>986</v>
      </c>
      <c r="FJ267" s="1605" t="s">
        <v>986</v>
      </c>
      <c r="FK267" s="1605" t="s">
        <v>986</v>
      </c>
      <c r="FL267" s="1605" t="s">
        <v>986</v>
      </c>
      <c r="FM267" s="1605" t="s">
        <v>986</v>
      </c>
      <c r="FN267" s="1605" t="s">
        <v>986</v>
      </c>
      <c r="FO267" s="1605" t="s">
        <v>986</v>
      </c>
      <c r="FP267" s="1605" t="s">
        <v>986</v>
      </c>
      <c r="FQ267" s="1605" t="s">
        <v>986</v>
      </c>
      <c r="FR267" s="1605" t="s">
        <v>986</v>
      </c>
      <c r="FS267" s="1605" t="s">
        <v>986</v>
      </c>
      <c r="FT267" s="1605" t="s">
        <v>986</v>
      </c>
      <c r="FU267" s="1605" t="s">
        <v>986</v>
      </c>
      <c r="FV267" s="1605" t="s">
        <v>986</v>
      </c>
      <c r="FW267" s="1605" t="s">
        <v>986</v>
      </c>
      <c r="FX267" s="1605" t="s">
        <v>986</v>
      </c>
      <c r="FY267" s="1605" t="s">
        <v>986</v>
      </c>
      <c r="FZ267" s="1605" t="s">
        <v>986</v>
      </c>
      <c r="GA267" s="1605" t="s">
        <v>986</v>
      </c>
      <c r="GB267" s="1605" t="s">
        <v>986</v>
      </c>
      <c r="GC267" s="1605" t="s">
        <v>986</v>
      </c>
      <c r="GD267" s="1605" t="s">
        <v>986</v>
      </c>
      <c r="GE267" s="1605" t="s">
        <v>986</v>
      </c>
      <c r="GF267" s="1605" t="s">
        <v>986</v>
      </c>
      <c r="GG267" s="1605" t="s">
        <v>986</v>
      </c>
      <c r="GH267" s="1605" t="s">
        <v>986</v>
      </c>
      <c r="GI267" s="1605" t="s">
        <v>986</v>
      </c>
      <c r="GJ267" s="1605" t="s">
        <v>986</v>
      </c>
      <c r="GK267" s="1605" t="s">
        <v>986</v>
      </c>
      <c r="GL267" s="1605" t="s">
        <v>986</v>
      </c>
      <c r="GM267" s="1605" t="s">
        <v>986</v>
      </c>
      <c r="GN267" s="1605" t="s">
        <v>1578</v>
      </c>
      <c r="GO267" s="1605" t="s">
        <v>1578</v>
      </c>
      <c r="GP267" s="1605" t="s">
        <v>1578</v>
      </c>
      <c r="GQ267" s="1605" t="s">
        <v>1578</v>
      </c>
      <c r="GR267" s="1605" t="s">
        <v>1578</v>
      </c>
      <c r="GS267" s="1605" t="s">
        <v>1578</v>
      </c>
      <c r="GT267" s="1605" t="s">
        <v>1578</v>
      </c>
      <c r="GU267" s="1605" t="s">
        <v>1578</v>
      </c>
      <c r="GV267" s="1605" t="s">
        <v>1578</v>
      </c>
      <c r="GW267" s="1605" t="s">
        <v>1578</v>
      </c>
      <c r="GX267" s="1605" t="s">
        <v>1578</v>
      </c>
      <c r="GY267" s="1605" t="s">
        <v>1578</v>
      </c>
      <c r="GZ267" s="1605" t="s">
        <v>1578</v>
      </c>
      <c r="HA267" s="1605" t="s">
        <v>1578</v>
      </c>
      <c r="HB267" s="1605" t="s">
        <v>1578</v>
      </c>
      <c r="HC267" s="1605" t="s">
        <v>1578</v>
      </c>
      <c r="HD267" s="1605" t="s">
        <v>1578</v>
      </c>
      <c r="HE267" s="1605" t="s">
        <v>1578</v>
      </c>
      <c r="HF267" s="1605" t="s">
        <v>1578</v>
      </c>
      <c r="HG267" s="1605" t="s">
        <v>1578</v>
      </c>
      <c r="HH267" s="1605" t="s">
        <v>1578</v>
      </c>
      <c r="HI267" s="1605" t="s">
        <v>1578</v>
      </c>
      <c r="HJ267" s="1605" t="s">
        <v>1578</v>
      </c>
      <c r="HK267" s="1605" t="s">
        <v>986</v>
      </c>
      <c r="HL267" s="1605" t="s">
        <v>986</v>
      </c>
      <c r="HM267" s="1605" t="s">
        <v>1578</v>
      </c>
      <c r="HN267" s="1605" t="s">
        <v>1578</v>
      </c>
      <c r="HO267" s="1605" t="s">
        <v>1578</v>
      </c>
      <c r="HP267" s="1605" t="s">
        <v>1578</v>
      </c>
      <c r="HQ267" s="1605" t="s">
        <v>1578</v>
      </c>
      <c r="HR267" s="1605" t="s">
        <v>1578</v>
      </c>
      <c r="HS267" s="1605" t="s">
        <v>1578</v>
      </c>
      <c r="HT267" s="1605" t="s">
        <v>1578</v>
      </c>
      <c r="HU267" s="1605" t="s">
        <v>1578</v>
      </c>
      <c r="HV267" s="1617"/>
      <c r="HW267" s="1617">
        <v>0</v>
      </c>
      <c r="HX267" s="1617">
        <v>0</v>
      </c>
      <c r="HY267" s="1617">
        <v>0</v>
      </c>
      <c r="HZ267" s="1603"/>
      <c r="IA267" s="1603"/>
      <c r="IB267" s="1603"/>
      <c r="IC267" s="1603">
        <v>62.839393613212202</v>
      </c>
      <c r="ID267" s="1603">
        <v>63.051521313851303</v>
      </c>
      <c r="IE267" s="1603">
        <v>63.228294397717299</v>
      </c>
      <c r="IF267" s="1603">
        <v>63.3343582480368</v>
      </c>
      <c r="IG267" s="1611" t="s">
        <v>2932</v>
      </c>
      <c r="IH267" s="1616" t="s">
        <v>270</v>
      </c>
      <c r="II267" s="1615" t="s">
        <v>270</v>
      </c>
      <c r="IJ267" s="1613">
        <v>1.3101818181818183</v>
      </c>
      <c r="IK267" s="1613">
        <v>1.301848484848485</v>
      </c>
      <c r="IL267" s="1614">
        <v>1.3101818181818183</v>
      </c>
      <c r="IM267" s="1614">
        <v>1.301848484848485</v>
      </c>
      <c r="IN267" s="1612" t="s">
        <v>270</v>
      </c>
      <c r="IO267" s="1613" t="s">
        <v>270</v>
      </c>
      <c r="IP267" s="1607" t="s">
        <v>270</v>
      </c>
      <c r="IQ267" s="1612" t="s">
        <v>270</v>
      </c>
      <c r="IR267" s="1612" t="s">
        <v>270</v>
      </c>
      <c r="IS267" s="1607">
        <v>1.1881818181818182</v>
      </c>
      <c r="IT267" s="1607">
        <v>1.1798484848484849</v>
      </c>
      <c r="IU267" s="1611">
        <v>0</v>
      </c>
      <c r="IV267" s="1611">
        <v>7.7767676767676763E-2</v>
      </c>
      <c r="IW267" s="1611">
        <v>9.0909090909090909E-4</v>
      </c>
      <c r="IX267" s="1611">
        <v>1.6060606060606061E-3</v>
      </c>
      <c r="IY267" s="1611">
        <v>9.6969696969696957E-4</v>
      </c>
      <c r="IZ267" s="1611">
        <v>5.9898989898989896E-3</v>
      </c>
      <c r="JA267" s="1611">
        <v>6.0606060606060598E-5</v>
      </c>
      <c r="JB267" s="1611" t="s">
        <v>270</v>
      </c>
      <c r="JC267" s="1611">
        <v>9.9026969696969704</v>
      </c>
      <c r="JD267" s="1611">
        <v>5.2121212121212122E-3</v>
      </c>
      <c r="JE267" s="1611" t="s">
        <v>270</v>
      </c>
      <c r="JF267" s="1611">
        <v>8.2828282828282835E-4</v>
      </c>
      <c r="JG267" s="1611">
        <v>0.57978787878787885</v>
      </c>
      <c r="JH267" s="1611">
        <v>7.646464646464647E-3</v>
      </c>
      <c r="JI267" s="1611">
        <v>0.3</v>
      </c>
      <c r="JJ267" s="1611" t="s">
        <v>270</v>
      </c>
      <c r="JK267" s="1607">
        <f t="shared" si="13"/>
        <v>0.12200000000000011</v>
      </c>
      <c r="JL267" s="1608" t="s">
        <v>270</v>
      </c>
      <c r="JM267" s="1610" t="s">
        <v>2924</v>
      </c>
      <c r="JN267" s="1608">
        <v>8.3333333333333037E-3</v>
      </c>
      <c r="JO267" s="1609" t="s">
        <v>2931</v>
      </c>
      <c r="JP267" s="1608" t="s">
        <v>270</v>
      </c>
      <c r="JQ267" s="1607">
        <v>202103</v>
      </c>
      <c r="JR267" s="1606">
        <v>851</v>
      </c>
      <c r="JS267" s="1606">
        <v>774</v>
      </c>
      <c r="JT267" s="1606">
        <v>774</v>
      </c>
    </row>
    <row r="268" spans="1:280" ht="15" customHeight="1" x14ac:dyDescent="0.2">
      <c r="A268" s="1626">
        <v>41502</v>
      </c>
      <c r="B268" s="1625">
        <v>415</v>
      </c>
      <c r="C268" s="1624">
        <v>2</v>
      </c>
      <c r="D268" s="1623" t="s">
        <v>3066</v>
      </c>
      <c r="E268" s="1622">
        <v>43368</v>
      </c>
      <c r="F268" s="1620">
        <v>0.16938762168655</v>
      </c>
      <c r="G268" s="1620">
        <v>0.162450517169558</v>
      </c>
      <c r="H268" s="1621">
        <v>99.838321862988707</v>
      </c>
      <c r="I268" s="1621">
        <v>99.784429150651604</v>
      </c>
      <c r="J268" s="1621">
        <v>99.997537091398797</v>
      </c>
      <c r="K268" s="1620">
        <v>1</v>
      </c>
      <c r="L268" s="1620">
        <v>98.973668636573393</v>
      </c>
      <c r="M268" s="1620">
        <v>18.033402405971099</v>
      </c>
      <c r="N268" s="1620">
        <v>3.0895406589939198E-2</v>
      </c>
      <c r="O268" s="1620">
        <v>80.018669726896903</v>
      </c>
      <c r="P268" s="1620">
        <v>1.7765848758072599E-3</v>
      </c>
      <c r="Q268" s="1603"/>
      <c r="R268" s="1620">
        <v>99.964858328971104</v>
      </c>
      <c r="S268" s="1620">
        <v>67</v>
      </c>
      <c r="T268" s="1620">
        <v>67</v>
      </c>
      <c r="U268" s="1620">
        <v>67</v>
      </c>
      <c r="V268" s="1620">
        <v>67</v>
      </c>
      <c r="W268" s="1620">
        <v>67</v>
      </c>
      <c r="X268" s="1620"/>
      <c r="Y268" s="1620">
        <v>163.42278879714553</v>
      </c>
      <c r="Z268" s="1620">
        <v>60.28278895831253</v>
      </c>
      <c r="AA268" s="1620">
        <v>54.409631289455156</v>
      </c>
      <c r="AB268" s="1620">
        <v>112.80084446274925</v>
      </c>
      <c r="AC268" s="1620">
        <v>0</v>
      </c>
      <c r="AD268" s="1620">
        <v>0</v>
      </c>
      <c r="AE268" s="1620">
        <v>0</v>
      </c>
      <c r="AF268" s="1620">
        <v>2782.2617827906729</v>
      </c>
      <c r="AG268" s="1620">
        <v>556.45235655813156</v>
      </c>
      <c r="AH268" s="1620">
        <v>1112.9047131162552</v>
      </c>
      <c r="AI268" s="1620">
        <v>2019.3835520254859</v>
      </c>
      <c r="AJ268" s="1620">
        <v>5.5645235655813252</v>
      </c>
      <c r="AK268" s="1620">
        <v>9.7379162397673351</v>
      </c>
      <c r="AL268" s="1620"/>
      <c r="AM268" s="1620">
        <v>54.9458040062799</v>
      </c>
      <c r="AN268" s="1620">
        <v>16.661031279979898</v>
      </c>
      <c r="AO268" s="1620">
        <v>0</v>
      </c>
      <c r="AP268" s="1620">
        <v>20.4066544372007</v>
      </c>
      <c r="AQ268" s="1620">
        <v>5.86155867227047</v>
      </c>
      <c r="AR268" s="1620">
        <v>0</v>
      </c>
      <c r="AS268" s="1620">
        <v>0</v>
      </c>
      <c r="AT268" s="1620">
        <v>0</v>
      </c>
      <c r="AU268" s="1620">
        <v>0</v>
      </c>
      <c r="AV268" s="1620">
        <v>0</v>
      </c>
      <c r="AW268" s="1620">
        <v>5.6382334257651996</v>
      </c>
      <c r="AX268" s="1620"/>
      <c r="AY268" s="1620">
        <v>1.0003515402474061</v>
      </c>
      <c r="AZ268" s="1620">
        <v>1.0003515402474061</v>
      </c>
      <c r="BA268" s="1620">
        <v>0</v>
      </c>
      <c r="BB268" s="1620">
        <v>1.0003515402474061</v>
      </c>
      <c r="BC268" s="1620">
        <v>1.0003515402474061</v>
      </c>
      <c r="BD268" s="1620">
        <v>0</v>
      </c>
      <c r="BE268" s="1620">
        <v>0</v>
      </c>
      <c r="BF268" s="1620">
        <v>0</v>
      </c>
      <c r="BG268" s="1620">
        <v>0</v>
      </c>
      <c r="BH268" s="1620">
        <v>0</v>
      </c>
      <c r="BI268" s="1620">
        <v>1.0003515402474061</v>
      </c>
      <c r="BJ268" s="1603"/>
      <c r="BK268" s="1620">
        <v>18.220404128080666</v>
      </c>
      <c r="BL268" s="1620">
        <v>3.1215783971174863E-2</v>
      </c>
      <c r="BM268" s="1620">
        <v>80.848442650662633</v>
      </c>
      <c r="BN268" s="1620">
        <v>1.7950076018004295E-3</v>
      </c>
      <c r="BO268" s="1620"/>
      <c r="BP268" s="1620" t="s">
        <v>270</v>
      </c>
      <c r="BQ268" s="1620">
        <v>0</v>
      </c>
      <c r="BR268" s="1620">
        <v>0.17114412754419894</v>
      </c>
      <c r="BS268" s="1620">
        <v>0.16413508704630175</v>
      </c>
      <c r="BT268" s="1603"/>
      <c r="BU268" s="1620">
        <v>191.51557349337381</v>
      </c>
      <c r="BV268" s="1620">
        <v>24.950016959003509</v>
      </c>
      <c r="BW268" s="1620">
        <v>0.14744705300503391</v>
      </c>
      <c r="BX268" s="1620">
        <v>0</v>
      </c>
      <c r="BY268" s="1620">
        <v>0</v>
      </c>
      <c r="BZ268" s="1620">
        <v>0</v>
      </c>
      <c r="CA268" s="1620">
        <v>0</v>
      </c>
      <c r="CB268" s="1603"/>
      <c r="CC268" s="1603">
        <v>161.74552946073402</v>
      </c>
      <c r="CD268" s="1603">
        <v>59.664087788485098</v>
      </c>
      <c r="CE268" s="1603">
        <v>53.851208178806701</v>
      </c>
      <c r="CF268" s="1603">
        <v>111.643134017818</v>
      </c>
      <c r="CG268" s="1603">
        <v>0</v>
      </c>
      <c r="CH268" s="1603">
        <v>0</v>
      </c>
      <c r="CI268" s="1603">
        <v>0</v>
      </c>
      <c r="CJ268" s="1603"/>
      <c r="CK268" s="1603">
        <v>2753.7065575012602</v>
      </c>
      <c r="CL268" s="1603">
        <v>550.74131150024903</v>
      </c>
      <c r="CM268" s="1603">
        <v>1101.4826230004901</v>
      </c>
      <c r="CN268" s="1603">
        <v>1998.6579852831701</v>
      </c>
      <c r="CO268" s="1603">
        <v>5.5074131150024996</v>
      </c>
      <c r="CP268" s="1603">
        <v>9.6379729512543904</v>
      </c>
      <c r="CQ268" s="1603">
        <v>180.270651670223</v>
      </c>
      <c r="CR268" s="1603">
        <v>1064.2492637615039</v>
      </c>
      <c r="CS268" s="1603">
        <v>584.96588139034236</v>
      </c>
      <c r="CT268" s="1603">
        <v>177.37723605703547</v>
      </c>
      <c r="CU268" s="1603">
        <v>0</v>
      </c>
      <c r="CV268" s="1603">
        <v>177.37723605703547</v>
      </c>
      <c r="CW268" s="1603">
        <v>217.25401629796758</v>
      </c>
      <c r="CX268" s="1603">
        <v>62.403524655931975</v>
      </c>
      <c r="CY268" s="1603">
        <v>0</v>
      </c>
      <c r="CZ268" s="1603">
        <v>0</v>
      </c>
      <c r="DA268" s="1603">
        <v>0</v>
      </c>
      <c r="DB268" s="1603">
        <v>0</v>
      </c>
      <c r="DC268" s="1603">
        <v>0</v>
      </c>
      <c r="DD268" s="1603">
        <v>0</v>
      </c>
      <c r="DE268" s="1603">
        <v>60.025951845390651</v>
      </c>
      <c r="DF268" s="1603">
        <v>35929.121865163797</v>
      </c>
      <c r="DG268" s="1603">
        <v>0</v>
      </c>
      <c r="DH268" s="1603">
        <v>0</v>
      </c>
      <c r="DI268" s="1603">
        <v>133.24386568554399</v>
      </c>
      <c r="DJ268" s="1603">
        <v>13.324386568554401</v>
      </c>
      <c r="DK268" s="1603">
        <v>3553.16975161452</v>
      </c>
      <c r="DL268" s="1603">
        <v>53.297546274217702</v>
      </c>
      <c r="DM268" s="1603">
        <v>0</v>
      </c>
      <c r="DN268" s="1603">
        <v>53.297546274217702</v>
      </c>
      <c r="DO268" s="1603">
        <v>106.595092548436</v>
      </c>
      <c r="DP268" s="1603">
        <v>79.946319411326797</v>
      </c>
      <c r="DQ268" s="1603">
        <v>0.532975462742177</v>
      </c>
      <c r="DR268" s="1603">
        <v>532.975462742177</v>
      </c>
      <c r="DS268" s="1603">
        <v>266.48773137108998</v>
      </c>
      <c r="DT268" s="1603">
        <v>0</v>
      </c>
      <c r="DU268" s="1603">
        <v>0</v>
      </c>
      <c r="DV268" s="1603">
        <v>5.32975462742177</v>
      </c>
      <c r="DW268" s="1618" t="s">
        <v>986</v>
      </c>
      <c r="DX268" s="1605" t="s">
        <v>986</v>
      </c>
      <c r="DY268" s="1605" t="s">
        <v>986</v>
      </c>
      <c r="DZ268" s="1605" t="s">
        <v>986</v>
      </c>
      <c r="EA268" s="1605" t="s">
        <v>986</v>
      </c>
      <c r="EB268" s="1605" t="s">
        <v>986</v>
      </c>
      <c r="EC268" s="1605" t="s">
        <v>986</v>
      </c>
      <c r="ED268" s="1605" t="s">
        <v>986</v>
      </c>
      <c r="EE268" s="1605" t="s">
        <v>986</v>
      </c>
      <c r="EF268" s="1605" t="s">
        <v>986</v>
      </c>
      <c r="EG268" s="1605" t="s">
        <v>986</v>
      </c>
      <c r="EH268" s="1605" t="s">
        <v>986</v>
      </c>
      <c r="EI268" s="1605" t="s">
        <v>986</v>
      </c>
      <c r="EJ268" s="1605" t="s">
        <v>986</v>
      </c>
      <c r="EK268" s="1605" t="s">
        <v>986</v>
      </c>
      <c r="EL268" s="1605" t="s">
        <v>986</v>
      </c>
      <c r="EM268" s="1605" t="s">
        <v>986</v>
      </c>
      <c r="EN268" s="1605" t="s">
        <v>986</v>
      </c>
      <c r="EO268" s="1605" t="s">
        <v>986</v>
      </c>
      <c r="EP268" s="1605" t="s">
        <v>986</v>
      </c>
      <c r="EQ268" s="1605" t="s">
        <v>986</v>
      </c>
      <c r="ER268" s="1605" t="s">
        <v>986</v>
      </c>
      <c r="ES268" s="1605" t="s">
        <v>986</v>
      </c>
      <c r="ET268" s="1605" t="s">
        <v>986</v>
      </c>
      <c r="EU268" s="1605" t="s">
        <v>986</v>
      </c>
      <c r="EV268" s="1605" t="s">
        <v>986</v>
      </c>
      <c r="EW268" s="1605" t="s">
        <v>986</v>
      </c>
      <c r="EX268" s="1605" t="s">
        <v>986</v>
      </c>
      <c r="EY268" s="1605" t="s">
        <v>986</v>
      </c>
      <c r="EZ268" s="1605" t="s">
        <v>986</v>
      </c>
      <c r="FA268" s="1605" t="s">
        <v>986</v>
      </c>
      <c r="FB268" s="1605" t="s">
        <v>986</v>
      </c>
      <c r="FC268" s="1605" t="s">
        <v>986</v>
      </c>
      <c r="FD268" s="1605" t="s">
        <v>986</v>
      </c>
      <c r="FE268" s="1605" t="s">
        <v>986</v>
      </c>
      <c r="FF268" s="1605" t="s">
        <v>986</v>
      </c>
      <c r="FG268" s="1605" t="s">
        <v>986</v>
      </c>
      <c r="FH268" s="1605" t="s">
        <v>986</v>
      </c>
      <c r="FI268" s="1605" t="s">
        <v>986</v>
      </c>
      <c r="FJ268" s="1605" t="s">
        <v>986</v>
      </c>
      <c r="FK268" s="1605" t="s">
        <v>986</v>
      </c>
      <c r="FL268" s="1605" t="s">
        <v>986</v>
      </c>
      <c r="FM268" s="1605" t="s">
        <v>986</v>
      </c>
      <c r="FN268" s="1605" t="s">
        <v>986</v>
      </c>
      <c r="FO268" s="1605" t="s">
        <v>986</v>
      </c>
      <c r="FP268" s="1605" t="s">
        <v>986</v>
      </c>
      <c r="FQ268" s="1605" t="s">
        <v>986</v>
      </c>
      <c r="FR268" s="1605" t="s">
        <v>986</v>
      </c>
      <c r="FS268" s="1605" t="s">
        <v>986</v>
      </c>
      <c r="FT268" s="1605" t="s">
        <v>986</v>
      </c>
      <c r="FU268" s="1605" t="s">
        <v>986</v>
      </c>
      <c r="FV268" s="1605" t="s">
        <v>986</v>
      </c>
      <c r="FW268" s="1605" t="s">
        <v>986</v>
      </c>
      <c r="FX268" s="1605" t="s">
        <v>986</v>
      </c>
      <c r="FY268" s="1605" t="s">
        <v>986</v>
      </c>
      <c r="FZ268" s="1605" t="s">
        <v>986</v>
      </c>
      <c r="GA268" s="1605" t="s">
        <v>986</v>
      </c>
      <c r="GB268" s="1605" t="s">
        <v>986</v>
      </c>
      <c r="GC268" s="1605" t="s">
        <v>986</v>
      </c>
      <c r="GD268" s="1605" t="s">
        <v>986</v>
      </c>
      <c r="GE268" s="1605" t="s">
        <v>986</v>
      </c>
      <c r="GF268" s="1605" t="s">
        <v>986</v>
      </c>
      <c r="GG268" s="1605" t="s">
        <v>986</v>
      </c>
      <c r="GH268" s="1605" t="s">
        <v>986</v>
      </c>
      <c r="GI268" s="1605" t="s">
        <v>986</v>
      </c>
      <c r="GJ268" s="1605" t="s">
        <v>986</v>
      </c>
      <c r="GK268" s="1605" t="s">
        <v>986</v>
      </c>
      <c r="GL268" s="1605" t="s">
        <v>986</v>
      </c>
      <c r="GM268" s="1605" t="s">
        <v>986</v>
      </c>
      <c r="GN268" s="1605" t="s">
        <v>1578</v>
      </c>
      <c r="GO268" s="1605" t="s">
        <v>1578</v>
      </c>
      <c r="GP268" s="1605" t="s">
        <v>1578</v>
      </c>
      <c r="GQ268" s="1605" t="s">
        <v>1578</v>
      </c>
      <c r="GR268" s="1605" t="s">
        <v>1578</v>
      </c>
      <c r="GS268" s="1605" t="s">
        <v>1578</v>
      </c>
      <c r="GT268" s="1605" t="s">
        <v>1578</v>
      </c>
      <c r="GU268" s="1605" t="s">
        <v>1578</v>
      </c>
      <c r="GV268" s="1605" t="s">
        <v>1578</v>
      </c>
      <c r="GW268" s="1605" t="s">
        <v>1578</v>
      </c>
      <c r="GX268" s="1605" t="s">
        <v>1578</v>
      </c>
      <c r="GY268" s="1605" t="s">
        <v>1578</v>
      </c>
      <c r="GZ268" s="1605" t="s">
        <v>1578</v>
      </c>
      <c r="HA268" s="1605" t="s">
        <v>1578</v>
      </c>
      <c r="HB268" s="1605" t="s">
        <v>1578</v>
      </c>
      <c r="HC268" s="1605" t="s">
        <v>1578</v>
      </c>
      <c r="HD268" s="1605" t="s">
        <v>1578</v>
      </c>
      <c r="HE268" s="1605" t="s">
        <v>1578</v>
      </c>
      <c r="HF268" s="1605" t="s">
        <v>1578</v>
      </c>
      <c r="HG268" s="1605" t="s">
        <v>1578</v>
      </c>
      <c r="HH268" s="1605" t="s">
        <v>1578</v>
      </c>
      <c r="HI268" s="1605" t="s">
        <v>1578</v>
      </c>
      <c r="HJ268" s="1605" t="s">
        <v>1578</v>
      </c>
      <c r="HK268" s="1605" t="s">
        <v>986</v>
      </c>
      <c r="HL268" s="1605" t="s">
        <v>986</v>
      </c>
      <c r="HM268" s="1605" t="s">
        <v>1578</v>
      </c>
      <c r="HN268" s="1605" t="s">
        <v>1578</v>
      </c>
      <c r="HO268" s="1605" t="s">
        <v>1578</v>
      </c>
      <c r="HP268" s="1605" t="s">
        <v>1578</v>
      </c>
      <c r="HQ268" s="1605" t="s">
        <v>1578</v>
      </c>
      <c r="HR268" s="1605" t="s">
        <v>1578</v>
      </c>
      <c r="HS268" s="1605" t="s">
        <v>1578</v>
      </c>
      <c r="HT268" s="1605" t="s">
        <v>1578</v>
      </c>
      <c r="HU268" s="1605" t="s">
        <v>1578</v>
      </c>
      <c r="HV268" s="1617"/>
      <c r="HW268" s="1617">
        <v>0</v>
      </c>
      <c r="HX268" s="1617">
        <v>0</v>
      </c>
      <c r="HY268" s="1617">
        <v>0</v>
      </c>
      <c r="HZ268" s="1603"/>
      <c r="IA268" s="1603"/>
      <c r="IB268" s="1603"/>
      <c r="IC268" s="1603">
        <v>67</v>
      </c>
      <c r="ID268" s="1603">
        <v>67</v>
      </c>
      <c r="IE268" s="1603">
        <v>67</v>
      </c>
      <c r="IF268" s="1603">
        <v>67</v>
      </c>
      <c r="IG268" s="1611" t="s">
        <v>2932</v>
      </c>
      <c r="IH268" s="1616" t="s">
        <v>270</v>
      </c>
      <c r="II268" s="1615" t="s">
        <v>270</v>
      </c>
      <c r="IJ268" s="1613">
        <v>1.3101818181818183</v>
      </c>
      <c r="IK268" s="1613">
        <v>1.301848484848485</v>
      </c>
      <c r="IL268" s="1614">
        <v>1.3101818181818183</v>
      </c>
      <c r="IM268" s="1614">
        <v>1.301848484848485</v>
      </c>
      <c r="IN268" s="1612" t="s">
        <v>270</v>
      </c>
      <c r="IO268" s="1613" t="s">
        <v>270</v>
      </c>
      <c r="IP268" s="1607" t="s">
        <v>270</v>
      </c>
      <c r="IQ268" s="1612" t="s">
        <v>270</v>
      </c>
      <c r="IR268" s="1612" t="s">
        <v>270</v>
      </c>
      <c r="IS268" s="1607">
        <v>1.1881818181818182</v>
      </c>
      <c r="IT268" s="1607">
        <v>1.1798484848484849</v>
      </c>
      <c r="IU268" s="1611">
        <v>0</v>
      </c>
      <c r="IV268" s="1611">
        <v>7.7767676767676763E-2</v>
      </c>
      <c r="IW268" s="1611">
        <v>9.0909090909090909E-4</v>
      </c>
      <c r="IX268" s="1611">
        <v>1.6060606060606061E-3</v>
      </c>
      <c r="IY268" s="1611">
        <v>9.6969696969696957E-4</v>
      </c>
      <c r="IZ268" s="1611">
        <v>5.9898989898989896E-3</v>
      </c>
      <c r="JA268" s="1611">
        <v>6.0606060606060598E-5</v>
      </c>
      <c r="JB268" s="1611" t="s">
        <v>270</v>
      </c>
      <c r="JC268" s="1611">
        <v>9.9026969696969704</v>
      </c>
      <c r="JD268" s="1611">
        <v>5.2121212121212122E-3</v>
      </c>
      <c r="JE268" s="1611" t="s">
        <v>270</v>
      </c>
      <c r="JF268" s="1611">
        <v>8.2828282828282835E-4</v>
      </c>
      <c r="JG268" s="1611">
        <v>0.57978787878787885</v>
      </c>
      <c r="JH268" s="1611">
        <v>7.646464646464647E-3</v>
      </c>
      <c r="JI268" s="1611">
        <v>0.3</v>
      </c>
      <c r="JJ268" s="1611" t="s">
        <v>270</v>
      </c>
      <c r="JK268" s="1607">
        <f t="shared" si="13"/>
        <v>0.12200000000000011</v>
      </c>
      <c r="JL268" s="1608" t="s">
        <v>270</v>
      </c>
      <c r="JM268" s="1610" t="s">
        <v>2924</v>
      </c>
      <c r="JN268" s="1608">
        <v>8.3333333333333037E-3</v>
      </c>
      <c r="JO268" s="1609" t="s">
        <v>2931</v>
      </c>
      <c r="JP268" s="1608" t="s">
        <v>270</v>
      </c>
      <c r="JQ268" s="1607">
        <v>202103</v>
      </c>
      <c r="JR268" s="1606">
        <v>851</v>
      </c>
      <c r="JS268" s="1606">
        <v>774</v>
      </c>
      <c r="JT268" s="1606">
        <v>774</v>
      </c>
    </row>
    <row r="269" spans="1:280" ht="15" customHeight="1" x14ac:dyDescent="0.2">
      <c r="A269" s="1626">
        <v>41503</v>
      </c>
      <c r="B269" s="1625">
        <v>415</v>
      </c>
      <c r="C269" s="1624">
        <v>3</v>
      </c>
      <c r="D269" s="1623" t="s">
        <v>3065</v>
      </c>
      <c r="E269" s="1622">
        <v>43370</v>
      </c>
      <c r="F269" s="1620">
        <v>0.17723795649493301</v>
      </c>
      <c r="G269" s="1620">
        <v>0.16997426113153499</v>
      </c>
      <c r="H269" s="1621">
        <v>99.842811332218602</v>
      </c>
      <c r="I269" s="1621">
        <v>99.790415109624803</v>
      </c>
      <c r="J269" s="1621">
        <v>99.997560093168104</v>
      </c>
      <c r="K269" s="1620">
        <v>1</v>
      </c>
      <c r="L269" s="1620">
        <v>98.977191413750703</v>
      </c>
      <c r="M269" s="1620">
        <v>18.1423938492267</v>
      </c>
      <c r="N269" s="1620">
        <v>3.1113981567846099E-2</v>
      </c>
      <c r="O269" s="1620">
        <v>79.546167272769097</v>
      </c>
      <c r="P269" s="1620">
        <v>1.77063002802836E-3</v>
      </c>
      <c r="Q269" s="1603"/>
      <c r="R269" s="1620">
        <v>99.964850606976697</v>
      </c>
      <c r="S269" s="1620">
        <v>67</v>
      </c>
      <c r="T269" s="1620">
        <v>67</v>
      </c>
      <c r="U269" s="1620">
        <v>67</v>
      </c>
      <c r="V269" s="1620">
        <v>67</v>
      </c>
      <c r="W269" s="1620">
        <v>67</v>
      </c>
      <c r="X269" s="1620"/>
      <c r="Y269" s="1620">
        <v>176.13476050537056</v>
      </c>
      <c r="Z269" s="1620">
        <v>50.213340061853295</v>
      </c>
      <c r="AA269" s="1620">
        <v>48.851484203822721</v>
      </c>
      <c r="AB269" s="1620">
        <v>102.97810839829285</v>
      </c>
      <c r="AC269" s="1620">
        <v>0</v>
      </c>
      <c r="AD269" s="1620">
        <v>0</v>
      </c>
      <c r="AE269" s="1620">
        <v>0</v>
      </c>
      <c r="AF269" s="1620">
        <v>2772.8373620658881</v>
      </c>
      <c r="AG269" s="1620">
        <v>554.56747241317771</v>
      </c>
      <c r="AH269" s="1620">
        <v>1109.1349448263554</v>
      </c>
      <c r="AI269" s="1620">
        <v>2012.5432466607265</v>
      </c>
      <c r="AJ269" s="1620">
        <v>5.5456747241317768</v>
      </c>
      <c r="AK269" s="1620">
        <v>9.7049307672306355</v>
      </c>
      <c r="AL269" s="1620"/>
      <c r="AM269" s="1620">
        <v>52.903288627606599</v>
      </c>
      <c r="AN269" s="1620">
        <v>18.517023451462698</v>
      </c>
      <c r="AO269" s="1620">
        <v>0</v>
      </c>
      <c r="AP269" s="1620">
        <v>21.942673315280999</v>
      </c>
      <c r="AQ269" s="1620">
        <v>3.8167784012413302</v>
      </c>
      <c r="AR269" s="1620">
        <v>0</v>
      </c>
      <c r="AS269" s="1620">
        <v>0</v>
      </c>
      <c r="AT269" s="1620">
        <v>0</v>
      </c>
      <c r="AU269" s="1620">
        <v>0</v>
      </c>
      <c r="AV269" s="1620">
        <v>0</v>
      </c>
      <c r="AW269" s="1620">
        <v>8.27226863168592</v>
      </c>
      <c r="AX269" s="1620"/>
      <c r="AY269" s="1620">
        <v>1.0003516175216576</v>
      </c>
      <c r="AZ269" s="1620">
        <v>1.0003516175216576</v>
      </c>
      <c r="BA269" s="1620">
        <v>0</v>
      </c>
      <c r="BB269" s="1620">
        <v>1.0003516175216576</v>
      </c>
      <c r="BC269" s="1620">
        <v>1.0003516175216576</v>
      </c>
      <c r="BD269" s="1620">
        <v>0</v>
      </c>
      <c r="BE269" s="1620">
        <v>0</v>
      </c>
      <c r="BF269" s="1620">
        <v>0</v>
      </c>
      <c r="BG269" s="1620">
        <v>0</v>
      </c>
      <c r="BH269" s="1620">
        <v>0</v>
      </c>
      <c r="BI269" s="1620">
        <v>1.0003516175216576</v>
      </c>
      <c r="BJ269" s="1603"/>
      <c r="BK269" s="1620">
        <v>18.329873367882023</v>
      </c>
      <c r="BL269" s="1620">
        <v>3.1435506628776193E-2</v>
      </c>
      <c r="BM269" s="1620">
        <v>80.368179917578374</v>
      </c>
      <c r="BN269" s="1620">
        <v>1.7889273303650947E-3</v>
      </c>
      <c r="BO269" s="1620"/>
      <c r="BP269" s="1620" t="s">
        <v>270</v>
      </c>
      <c r="BQ269" s="1620">
        <v>0</v>
      </c>
      <c r="BR269" s="1620">
        <v>0.17906949466168595</v>
      </c>
      <c r="BS269" s="1620">
        <v>0.17173073786363349</v>
      </c>
      <c r="BT269" s="1603"/>
      <c r="BU269" s="1620">
        <v>196.31820082421623</v>
      </c>
      <c r="BV269" s="1620">
        <v>28.755891195566157</v>
      </c>
      <c r="BW269" s="1620">
        <v>0.14694760213713104</v>
      </c>
      <c r="BX269" s="1620">
        <v>0</v>
      </c>
      <c r="BY269" s="1620">
        <v>0</v>
      </c>
      <c r="BZ269" s="1620">
        <v>0</v>
      </c>
      <c r="CA269" s="1620">
        <v>0</v>
      </c>
      <c r="CB269" s="1603"/>
      <c r="CC269" s="1603">
        <v>174.333239051552</v>
      </c>
      <c r="CD269" s="1603">
        <v>49.6997537082581</v>
      </c>
      <c r="CE269" s="1603">
        <v>48.351827028875803</v>
      </c>
      <c r="CF269" s="1603">
        <v>101.92483946363799</v>
      </c>
      <c r="CG269" s="1603">
        <v>0</v>
      </c>
      <c r="CH269" s="1603">
        <v>0</v>
      </c>
      <c r="CI269" s="1603">
        <v>0</v>
      </c>
      <c r="CJ269" s="1603"/>
      <c r="CK269" s="1603">
        <v>2744.4765434439496</v>
      </c>
      <c r="CL269" s="1603">
        <v>548.89530868879001</v>
      </c>
      <c r="CM269" s="1603">
        <v>1097.79061737758</v>
      </c>
      <c r="CN269" s="1603">
        <v>1991.9587815319001</v>
      </c>
      <c r="CO269" s="1603">
        <v>5.4889530868879</v>
      </c>
      <c r="CP269" s="1603">
        <v>9.6056679020538507</v>
      </c>
      <c r="CQ269" s="1603">
        <v>181.360169079087</v>
      </c>
      <c r="CR269" s="1603">
        <v>1023.2580687888479</v>
      </c>
      <c r="CS269" s="1603">
        <v>541.52751317057368</v>
      </c>
      <c r="CT269" s="1603">
        <v>189.54355997746293</v>
      </c>
      <c r="CU269" s="1603">
        <v>0</v>
      </c>
      <c r="CV269" s="1603">
        <v>189.54355997746293</v>
      </c>
      <c r="CW269" s="1603">
        <v>224.60912395033446</v>
      </c>
      <c r="CX269" s="1603">
        <v>39.069225554133283</v>
      </c>
      <c r="CY269" s="1603">
        <v>0</v>
      </c>
      <c r="CZ269" s="1603">
        <v>0</v>
      </c>
      <c r="DA269" s="1603">
        <v>0</v>
      </c>
      <c r="DB269" s="1603">
        <v>0</v>
      </c>
      <c r="DC269" s="1603">
        <v>0</v>
      </c>
      <c r="DD269" s="1603">
        <v>0</v>
      </c>
      <c r="DE269" s="1603">
        <v>84.676419493100809</v>
      </c>
      <c r="DF269" s="1603">
        <v>36064.062834831297</v>
      </c>
      <c r="DG269" s="1603">
        <v>0</v>
      </c>
      <c r="DH269" s="1603">
        <v>0</v>
      </c>
      <c r="DI269" s="1603">
        <v>132.797252102127</v>
      </c>
      <c r="DJ269" s="1603">
        <v>13.2797252102127</v>
      </c>
      <c r="DK269" s="1603">
        <v>3541.2600560567198</v>
      </c>
      <c r="DL269" s="1603">
        <v>53.118900840850699</v>
      </c>
      <c r="DM269" s="1603">
        <v>0</v>
      </c>
      <c r="DN269" s="1603">
        <v>53.118900840850699</v>
      </c>
      <c r="DO269" s="1603">
        <v>106.237801681701</v>
      </c>
      <c r="DP269" s="1603">
        <v>79.678351261276205</v>
      </c>
      <c r="DQ269" s="1603">
        <v>0.53118900840850702</v>
      </c>
      <c r="DR269" s="1603">
        <v>531.18900840850699</v>
      </c>
      <c r="DS269" s="1603">
        <v>265.59450420425401</v>
      </c>
      <c r="DT269" s="1603">
        <v>0</v>
      </c>
      <c r="DU269" s="1603">
        <v>0</v>
      </c>
      <c r="DV269" s="1603">
        <v>5.3118900840850696</v>
      </c>
      <c r="DW269" s="1618" t="s">
        <v>986</v>
      </c>
      <c r="DX269" s="1605" t="s">
        <v>986</v>
      </c>
      <c r="DY269" s="1605" t="s">
        <v>986</v>
      </c>
      <c r="DZ269" s="1605" t="s">
        <v>986</v>
      </c>
      <c r="EA269" s="1605" t="s">
        <v>986</v>
      </c>
      <c r="EB269" s="1605" t="s">
        <v>986</v>
      </c>
      <c r="EC269" s="1605" t="s">
        <v>986</v>
      </c>
      <c r="ED269" s="1605" t="s">
        <v>986</v>
      </c>
      <c r="EE269" s="1605" t="s">
        <v>986</v>
      </c>
      <c r="EF269" s="1605" t="s">
        <v>986</v>
      </c>
      <c r="EG269" s="1605" t="s">
        <v>986</v>
      </c>
      <c r="EH269" s="1605" t="s">
        <v>986</v>
      </c>
      <c r="EI269" s="1605" t="s">
        <v>986</v>
      </c>
      <c r="EJ269" s="1605" t="s">
        <v>986</v>
      </c>
      <c r="EK269" s="1605" t="s">
        <v>986</v>
      </c>
      <c r="EL269" s="1605" t="s">
        <v>986</v>
      </c>
      <c r="EM269" s="1605" t="s">
        <v>986</v>
      </c>
      <c r="EN269" s="1605" t="s">
        <v>986</v>
      </c>
      <c r="EO269" s="1605" t="s">
        <v>986</v>
      </c>
      <c r="EP269" s="1605" t="s">
        <v>986</v>
      </c>
      <c r="EQ269" s="1605" t="s">
        <v>986</v>
      </c>
      <c r="ER269" s="1605" t="s">
        <v>986</v>
      </c>
      <c r="ES269" s="1605" t="s">
        <v>986</v>
      </c>
      <c r="ET269" s="1605" t="s">
        <v>986</v>
      </c>
      <c r="EU269" s="1605" t="s">
        <v>986</v>
      </c>
      <c r="EV269" s="1605" t="s">
        <v>986</v>
      </c>
      <c r="EW269" s="1605" t="s">
        <v>986</v>
      </c>
      <c r="EX269" s="1605" t="s">
        <v>986</v>
      </c>
      <c r="EY269" s="1605" t="s">
        <v>986</v>
      </c>
      <c r="EZ269" s="1605" t="s">
        <v>986</v>
      </c>
      <c r="FA269" s="1605" t="s">
        <v>986</v>
      </c>
      <c r="FB269" s="1605" t="s">
        <v>986</v>
      </c>
      <c r="FC269" s="1605" t="s">
        <v>986</v>
      </c>
      <c r="FD269" s="1605" t="s">
        <v>986</v>
      </c>
      <c r="FE269" s="1605" t="s">
        <v>986</v>
      </c>
      <c r="FF269" s="1605" t="s">
        <v>986</v>
      </c>
      <c r="FG269" s="1605" t="s">
        <v>986</v>
      </c>
      <c r="FH269" s="1605" t="s">
        <v>986</v>
      </c>
      <c r="FI269" s="1605" t="s">
        <v>986</v>
      </c>
      <c r="FJ269" s="1605" t="s">
        <v>986</v>
      </c>
      <c r="FK269" s="1605" t="s">
        <v>986</v>
      </c>
      <c r="FL269" s="1605" t="s">
        <v>986</v>
      </c>
      <c r="FM269" s="1605" t="s">
        <v>986</v>
      </c>
      <c r="FN269" s="1605" t="s">
        <v>986</v>
      </c>
      <c r="FO269" s="1605" t="s">
        <v>986</v>
      </c>
      <c r="FP269" s="1605" t="s">
        <v>986</v>
      </c>
      <c r="FQ269" s="1605" t="s">
        <v>986</v>
      </c>
      <c r="FR269" s="1605" t="s">
        <v>986</v>
      </c>
      <c r="FS269" s="1605" t="s">
        <v>986</v>
      </c>
      <c r="FT269" s="1605" t="s">
        <v>986</v>
      </c>
      <c r="FU269" s="1605" t="s">
        <v>986</v>
      </c>
      <c r="FV269" s="1605" t="s">
        <v>986</v>
      </c>
      <c r="FW269" s="1605" t="s">
        <v>986</v>
      </c>
      <c r="FX269" s="1605" t="s">
        <v>986</v>
      </c>
      <c r="FY269" s="1605" t="s">
        <v>986</v>
      </c>
      <c r="FZ269" s="1605" t="s">
        <v>986</v>
      </c>
      <c r="GA269" s="1605" t="s">
        <v>986</v>
      </c>
      <c r="GB269" s="1605" t="s">
        <v>986</v>
      </c>
      <c r="GC269" s="1605" t="s">
        <v>986</v>
      </c>
      <c r="GD269" s="1605" t="s">
        <v>986</v>
      </c>
      <c r="GE269" s="1605" t="s">
        <v>986</v>
      </c>
      <c r="GF269" s="1605" t="s">
        <v>986</v>
      </c>
      <c r="GG269" s="1605" t="s">
        <v>986</v>
      </c>
      <c r="GH269" s="1605" t="s">
        <v>986</v>
      </c>
      <c r="GI269" s="1605" t="s">
        <v>986</v>
      </c>
      <c r="GJ269" s="1605" t="s">
        <v>986</v>
      </c>
      <c r="GK269" s="1605" t="s">
        <v>986</v>
      </c>
      <c r="GL269" s="1605" t="s">
        <v>986</v>
      </c>
      <c r="GM269" s="1605" t="s">
        <v>986</v>
      </c>
      <c r="GN269" s="1605" t="s">
        <v>1578</v>
      </c>
      <c r="GO269" s="1605" t="s">
        <v>1578</v>
      </c>
      <c r="GP269" s="1605" t="s">
        <v>1578</v>
      </c>
      <c r="GQ269" s="1605" t="s">
        <v>1578</v>
      </c>
      <c r="GR269" s="1605" t="s">
        <v>1578</v>
      </c>
      <c r="GS269" s="1605" t="s">
        <v>1578</v>
      </c>
      <c r="GT269" s="1605" t="s">
        <v>1578</v>
      </c>
      <c r="GU269" s="1605" t="s">
        <v>1578</v>
      </c>
      <c r="GV269" s="1605" t="s">
        <v>1578</v>
      </c>
      <c r="GW269" s="1605" t="s">
        <v>1578</v>
      </c>
      <c r="GX269" s="1605" t="s">
        <v>1578</v>
      </c>
      <c r="GY269" s="1605" t="s">
        <v>1578</v>
      </c>
      <c r="GZ269" s="1605" t="s">
        <v>1578</v>
      </c>
      <c r="HA269" s="1605" t="s">
        <v>1578</v>
      </c>
      <c r="HB269" s="1605" t="s">
        <v>1578</v>
      </c>
      <c r="HC269" s="1605" t="s">
        <v>1578</v>
      </c>
      <c r="HD269" s="1605" t="s">
        <v>1578</v>
      </c>
      <c r="HE269" s="1605" t="s">
        <v>1578</v>
      </c>
      <c r="HF269" s="1605" t="s">
        <v>1578</v>
      </c>
      <c r="HG269" s="1605" t="s">
        <v>1578</v>
      </c>
      <c r="HH269" s="1605" t="s">
        <v>1578</v>
      </c>
      <c r="HI269" s="1605" t="s">
        <v>1578</v>
      </c>
      <c r="HJ269" s="1605" t="s">
        <v>1578</v>
      </c>
      <c r="HK269" s="1605" t="s">
        <v>986</v>
      </c>
      <c r="HL269" s="1605" t="s">
        <v>986</v>
      </c>
      <c r="HM269" s="1605" t="s">
        <v>1578</v>
      </c>
      <c r="HN269" s="1605" t="s">
        <v>1578</v>
      </c>
      <c r="HO269" s="1605" t="s">
        <v>1578</v>
      </c>
      <c r="HP269" s="1605" t="s">
        <v>1578</v>
      </c>
      <c r="HQ269" s="1605" t="s">
        <v>1578</v>
      </c>
      <c r="HR269" s="1605" t="s">
        <v>1578</v>
      </c>
      <c r="HS269" s="1605" t="s">
        <v>1578</v>
      </c>
      <c r="HT269" s="1605" t="s">
        <v>1578</v>
      </c>
      <c r="HU269" s="1605" t="s">
        <v>1578</v>
      </c>
      <c r="HV269" s="1617"/>
      <c r="HW269" s="1617">
        <v>0</v>
      </c>
      <c r="HX269" s="1617">
        <v>0</v>
      </c>
      <c r="HY269" s="1617">
        <v>0</v>
      </c>
      <c r="HZ269" s="1603"/>
      <c r="IA269" s="1603"/>
      <c r="IB269" s="1603"/>
      <c r="IC269" s="1603">
        <v>67</v>
      </c>
      <c r="ID269" s="1603">
        <v>67</v>
      </c>
      <c r="IE269" s="1603">
        <v>67</v>
      </c>
      <c r="IF269" s="1603">
        <v>67</v>
      </c>
      <c r="IG269" s="1611" t="s">
        <v>2932</v>
      </c>
      <c r="IH269" s="1616" t="s">
        <v>270</v>
      </c>
      <c r="II269" s="1615" t="s">
        <v>270</v>
      </c>
      <c r="IJ269" s="1613">
        <v>1.3101818181818183</v>
      </c>
      <c r="IK269" s="1613">
        <v>1.301848484848485</v>
      </c>
      <c r="IL269" s="1614">
        <v>1.3101818181818183</v>
      </c>
      <c r="IM269" s="1614">
        <v>1.301848484848485</v>
      </c>
      <c r="IN269" s="1612" t="s">
        <v>270</v>
      </c>
      <c r="IO269" s="1613" t="s">
        <v>270</v>
      </c>
      <c r="IP269" s="1607" t="s">
        <v>270</v>
      </c>
      <c r="IQ269" s="1612" t="s">
        <v>270</v>
      </c>
      <c r="IR269" s="1612" t="s">
        <v>270</v>
      </c>
      <c r="IS269" s="1607">
        <v>1.1881818181818182</v>
      </c>
      <c r="IT269" s="1607">
        <v>1.1798484848484849</v>
      </c>
      <c r="IU269" s="1611">
        <v>0</v>
      </c>
      <c r="IV269" s="1611">
        <v>7.7767676767676763E-2</v>
      </c>
      <c r="IW269" s="1611">
        <v>9.0909090909090909E-4</v>
      </c>
      <c r="IX269" s="1611">
        <v>1.6060606060606061E-3</v>
      </c>
      <c r="IY269" s="1611">
        <v>9.6969696969696957E-4</v>
      </c>
      <c r="IZ269" s="1611">
        <v>5.9898989898989896E-3</v>
      </c>
      <c r="JA269" s="1611">
        <v>6.0606060606060598E-5</v>
      </c>
      <c r="JB269" s="1611" t="s">
        <v>270</v>
      </c>
      <c r="JC269" s="1611">
        <v>9.9026969696969704</v>
      </c>
      <c r="JD269" s="1611">
        <v>5.2121212121212122E-3</v>
      </c>
      <c r="JE269" s="1611" t="s">
        <v>270</v>
      </c>
      <c r="JF269" s="1611">
        <v>8.2828282828282835E-4</v>
      </c>
      <c r="JG269" s="1611">
        <v>0.57978787878787885</v>
      </c>
      <c r="JH269" s="1611">
        <v>7.646464646464647E-3</v>
      </c>
      <c r="JI269" s="1611">
        <v>0.3</v>
      </c>
      <c r="JJ269" s="1611" t="s">
        <v>270</v>
      </c>
      <c r="JK269" s="1607">
        <f t="shared" si="13"/>
        <v>0.12200000000000011</v>
      </c>
      <c r="JL269" s="1608" t="s">
        <v>270</v>
      </c>
      <c r="JM269" s="1610" t="s">
        <v>2924</v>
      </c>
      <c r="JN269" s="1608">
        <v>8.3333333333333037E-3</v>
      </c>
      <c r="JO269" s="1609" t="s">
        <v>2931</v>
      </c>
      <c r="JP269" s="1608" t="s">
        <v>270</v>
      </c>
      <c r="JQ269" s="1607">
        <v>202103</v>
      </c>
      <c r="JR269" s="1606">
        <v>851</v>
      </c>
      <c r="JS269" s="1606">
        <v>774</v>
      </c>
      <c r="JT269" s="1606">
        <v>774</v>
      </c>
    </row>
    <row r="270" spans="1:280" ht="15" customHeight="1" x14ac:dyDescent="0.2">
      <c r="A270" s="1626">
        <v>44502</v>
      </c>
      <c r="B270" s="1625">
        <v>445</v>
      </c>
      <c r="C270" s="1624">
        <v>2</v>
      </c>
      <c r="D270" s="1623" t="s">
        <v>3064</v>
      </c>
      <c r="E270" s="1622">
        <v>43370</v>
      </c>
      <c r="F270" s="1620">
        <v>0.14529596985219601</v>
      </c>
      <c r="G270" s="1620">
        <v>0.13940380805517799</v>
      </c>
      <c r="H270" s="1621">
        <v>99.749010815586104</v>
      </c>
      <c r="I270" s="1621">
        <v>99.665347754114805</v>
      </c>
      <c r="J270" s="1621">
        <v>99.996275738969402</v>
      </c>
      <c r="K270" s="1620">
        <v>1</v>
      </c>
      <c r="L270" s="1620">
        <v>98.973493826937002</v>
      </c>
      <c r="M270" s="1620">
        <v>17.019740680967399</v>
      </c>
      <c r="N270" s="1620">
        <v>2.9504532735550999E-2</v>
      </c>
      <c r="O270" s="1620">
        <v>81.547918134791303</v>
      </c>
      <c r="P270" s="1620">
        <v>2.5354382787911999E-3</v>
      </c>
      <c r="Q270" s="1603"/>
      <c r="R270" s="1620">
        <v>99.963076267306207</v>
      </c>
      <c r="S270" s="1620">
        <v>67</v>
      </c>
      <c r="T270" s="1620">
        <v>67</v>
      </c>
      <c r="U270" s="1620">
        <v>67</v>
      </c>
      <c r="V270" s="1620">
        <v>67</v>
      </c>
      <c r="W270" s="1620">
        <v>67</v>
      </c>
      <c r="X270" s="1620"/>
      <c r="Y270" s="1620">
        <v>185.73320293663718</v>
      </c>
      <c r="Z270" s="1620">
        <v>38.423806368117198</v>
      </c>
      <c r="AA270" s="1620">
        <v>49.927907488272702</v>
      </c>
      <c r="AB270" s="1620">
        <v>106.0503306098377</v>
      </c>
      <c r="AC270" s="1620">
        <v>0</v>
      </c>
      <c r="AD270" s="1620">
        <v>0</v>
      </c>
      <c r="AE270" s="1620">
        <v>0</v>
      </c>
      <c r="AF270" s="1620">
        <v>1056.7155402537912</v>
      </c>
      <c r="AG270" s="1620">
        <v>704.47702683585771</v>
      </c>
      <c r="AH270" s="1620">
        <v>1408.9540536717216</v>
      </c>
      <c r="AI270" s="1620">
        <v>2241.517812659547</v>
      </c>
      <c r="AJ270" s="1620">
        <v>7.0447702683585778</v>
      </c>
      <c r="AK270" s="1620">
        <v>7.0447702683585778</v>
      </c>
      <c r="AL270" s="1620"/>
      <c r="AM270" s="1620">
        <v>59.579342186038502</v>
      </c>
      <c r="AN270" s="1620">
        <v>11.260583510560901</v>
      </c>
      <c r="AO270" s="1620">
        <v>0</v>
      </c>
      <c r="AP270" s="1620">
        <v>27.958772185493299</v>
      </c>
      <c r="AQ270" s="1620">
        <v>0</v>
      </c>
      <c r="AR270" s="1620">
        <v>0</v>
      </c>
      <c r="AS270" s="1620">
        <v>0</v>
      </c>
      <c r="AT270" s="1620">
        <v>0</v>
      </c>
      <c r="AU270" s="1620">
        <v>0</v>
      </c>
      <c r="AV270" s="1620">
        <v>0</v>
      </c>
      <c r="AW270" s="1620">
        <v>1.77387721629308</v>
      </c>
      <c r="AX270" s="1620"/>
      <c r="AY270" s="1620">
        <v>1.0003693737135007</v>
      </c>
      <c r="AZ270" s="1620">
        <v>1.0003693737135007</v>
      </c>
      <c r="BA270" s="1620">
        <v>0</v>
      </c>
      <c r="BB270" s="1620">
        <v>1.0003693737135007</v>
      </c>
      <c r="BC270" s="1620">
        <v>0</v>
      </c>
      <c r="BD270" s="1620">
        <v>0</v>
      </c>
      <c r="BE270" s="1620">
        <v>0</v>
      </c>
      <c r="BF270" s="1620">
        <v>0</v>
      </c>
      <c r="BG270" s="1620">
        <v>0</v>
      </c>
      <c r="BH270" s="1620">
        <v>0</v>
      </c>
      <c r="BI270" s="1620">
        <v>1.0003693737135007</v>
      </c>
      <c r="BJ270" s="1603"/>
      <c r="BK270" s="1620">
        <v>17.196261365419478</v>
      </c>
      <c r="BL270" s="1620">
        <v>2.9810539766477288E-2</v>
      </c>
      <c r="BM270" s="1620">
        <v>82.393694494997121</v>
      </c>
      <c r="BN270" s="1620">
        <v>2.5617346430394936E-3</v>
      </c>
      <c r="BO270" s="1620"/>
      <c r="BP270" s="1620" t="s">
        <v>270</v>
      </c>
      <c r="BQ270" s="1620">
        <v>0</v>
      </c>
      <c r="BR270" s="1620">
        <v>0.14680291079372981</v>
      </c>
      <c r="BS270" s="1620">
        <v>0.14084963828693023</v>
      </c>
      <c r="BT270" s="1603"/>
      <c r="BU270" s="1620">
        <v>176.06305505002885</v>
      </c>
      <c r="BV270" s="1620">
        <v>18.6355869602315</v>
      </c>
      <c r="BW270" s="1620">
        <v>0.21042820282109914</v>
      </c>
      <c r="BX270" s="1620">
        <v>0</v>
      </c>
      <c r="BY270" s="1620">
        <v>0</v>
      </c>
      <c r="BZ270" s="1620">
        <v>0</v>
      </c>
      <c r="CA270" s="1620">
        <v>0</v>
      </c>
      <c r="CB270" s="1603"/>
      <c r="CC270" s="1603">
        <v>183.82664014306496</v>
      </c>
      <c r="CD270" s="1603">
        <v>38.029383623822703</v>
      </c>
      <c r="CE270" s="1603">
        <v>49.415394435824396</v>
      </c>
      <c r="CF270" s="1603">
        <v>104.961717419574</v>
      </c>
      <c r="CG270" s="1603">
        <v>0</v>
      </c>
      <c r="CH270" s="1603">
        <v>0</v>
      </c>
      <c r="CI270" s="1603">
        <v>0</v>
      </c>
      <c r="CJ270" s="1603"/>
      <c r="CK270" s="1603">
        <v>1045.86829000137</v>
      </c>
      <c r="CL270" s="1603">
        <v>697.24552666757688</v>
      </c>
      <c r="CM270" s="1603">
        <v>1394.4910533351599</v>
      </c>
      <c r="CN270" s="1603">
        <v>2218.50849394229</v>
      </c>
      <c r="CO270" s="1603">
        <v>6.9724552666757695</v>
      </c>
      <c r="CP270" s="1603">
        <v>6.9724552666757695</v>
      </c>
      <c r="CQ270" s="1603">
        <v>170.13456357413199</v>
      </c>
      <c r="CR270" s="1603">
        <v>1170.9517046288574</v>
      </c>
      <c r="CS270" s="1603">
        <v>697.90301477771789</v>
      </c>
      <c r="CT270" s="1603">
        <v>131.90469870642966</v>
      </c>
      <c r="CU270" s="1603">
        <v>0</v>
      </c>
      <c r="CV270" s="1603">
        <v>131.90469870642966</v>
      </c>
      <c r="CW270" s="1603">
        <v>327.50464643954405</v>
      </c>
      <c r="CX270" s="1603">
        <v>0</v>
      </c>
      <c r="CY270" s="1603">
        <v>0</v>
      </c>
      <c r="CZ270" s="1603">
        <v>0</v>
      </c>
      <c r="DA270" s="1603">
        <v>0</v>
      </c>
      <c r="DB270" s="1603">
        <v>0</v>
      </c>
      <c r="DC270" s="1603">
        <v>0</v>
      </c>
      <c r="DD270" s="1603">
        <v>0</v>
      </c>
      <c r="DE270" s="1603">
        <v>20.778917854291947</v>
      </c>
      <c r="DF270" s="1603">
        <v>31463.428000791901</v>
      </c>
      <c r="DG270" s="1603">
        <v>0</v>
      </c>
      <c r="DH270" s="1603">
        <v>0</v>
      </c>
      <c r="DI270" s="1603">
        <v>139.449105333516</v>
      </c>
      <c r="DJ270" s="1603">
        <v>13.944910533351599</v>
      </c>
      <c r="DK270" s="1603">
        <v>1267.71913939559</v>
      </c>
      <c r="DL270" s="1603">
        <v>69.724552666757702</v>
      </c>
      <c r="DM270" s="1603">
        <v>0</v>
      </c>
      <c r="DN270" s="1603">
        <v>69.724552666757702</v>
      </c>
      <c r="DO270" s="1603">
        <v>69.724552666757702</v>
      </c>
      <c r="DP270" s="1603">
        <v>107.756126848626</v>
      </c>
      <c r="DQ270" s="1603">
        <v>0.697245526667577</v>
      </c>
      <c r="DR270" s="1603">
        <v>697.245526667577</v>
      </c>
      <c r="DS270" s="1603">
        <v>348.62276333378998</v>
      </c>
      <c r="DT270" s="1603">
        <v>0</v>
      </c>
      <c r="DU270" s="1603">
        <v>0</v>
      </c>
      <c r="DV270" s="1603">
        <v>1.9015787090934</v>
      </c>
      <c r="DW270" s="1618" t="s">
        <v>986</v>
      </c>
      <c r="DX270" s="1605" t="s">
        <v>986</v>
      </c>
      <c r="DY270" s="1605" t="s">
        <v>986</v>
      </c>
      <c r="DZ270" s="1605" t="s">
        <v>986</v>
      </c>
      <c r="EA270" s="1605" t="s">
        <v>986</v>
      </c>
      <c r="EB270" s="1605" t="s">
        <v>986</v>
      </c>
      <c r="EC270" s="1605" t="s">
        <v>986</v>
      </c>
      <c r="ED270" s="1605" t="s">
        <v>986</v>
      </c>
      <c r="EE270" s="1605" t="s">
        <v>986</v>
      </c>
      <c r="EF270" s="1605" t="s">
        <v>986</v>
      </c>
      <c r="EG270" s="1605" t="s">
        <v>986</v>
      </c>
      <c r="EH270" s="1605" t="s">
        <v>986</v>
      </c>
      <c r="EI270" s="1605" t="s">
        <v>986</v>
      </c>
      <c r="EJ270" s="1605" t="s">
        <v>986</v>
      </c>
      <c r="EK270" s="1605" t="s">
        <v>986</v>
      </c>
      <c r="EL270" s="1605" t="s">
        <v>986</v>
      </c>
      <c r="EM270" s="1605" t="s">
        <v>986</v>
      </c>
      <c r="EN270" s="1605" t="s">
        <v>986</v>
      </c>
      <c r="EO270" s="1605" t="s">
        <v>986</v>
      </c>
      <c r="EP270" s="1605" t="s">
        <v>986</v>
      </c>
      <c r="EQ270" s="1605" t="s">
        <v>986</v>
      </c>
      <c r="ER270" s="1605" t="s">
        <v>986</v>
      </c>
      <c r="ES270" s="1605" t="s">
        <v>986</v>
      </c>
      <c r="ET270" s="1605" t="s">
        <v>986</v>
      </c>
      <c r="EU270" s="1605" t="s">
        <v>986</v>
      </c>
      <c r="EV270" s="1605" t="s">
        <v>986</v>
      </c>
      <c r="EW270" s="1605" t="s">
        <v>986</v>
      </c>
      <c r="EX270" s="1605" t="s">
        <v>986</v>
      </c>
      <c r="EY270" s="1605" t="s">
        <v>986</v>
      </c>
      <c r="EZ270" s="1605" t="s">
        <v>986</v>
      </c>
      <c r="FA270" s="1605" t="s">
        <v>986</v>
      </c>
      <c r="FB270" s="1605" t="s">
        <v>986</v>
      </c>
      <c r="FC270" s="1605" t="s">
        <v>986</v>
      </c>
      <c r="FD270" s="1605" t="s">
        <v>986</v>
      </c>
      <c r="FE270" s="1605" t="s">
        <v>986</v>
      </c>
      <c r="FF270" s="1605" t="s">
        <v>986</v>
      </c>
      <c r="FG270" s="1605" t="s">
        <v>986</v>
      </c>
      <c r="FH270" s="1605" t="s">
        <v>986</v>
      </c>
      <c r="FI270" s="1605" t="s">
        <v>986</v>
      </c>
      <c r="FJ270" s="1605" t="s">
        <v>986</v>
      </c>
      <c r="FK270" s="1605" t="s">
        <v>986</v>
      </c>
      <c r="FL270" s="1605" t="s">
        <v>986</v>
      </c>
      <c r="FM270" s="1605" t="s">
        <v>986</v>
      </c>
      <c r="FN270" s="1605" t="s">
        <v>986</v>
      </c>
      <c r="FO270" s="1605" t="s">
        <v>986</v>
      </c>
      <c r="FP270" s="1605" t="s">
        <v>986</v>
      </c>
      <c r="FQ270" s="1605" t="s">
        <v>986</v>
      </c>
      <c r="FR270" s="1605" t="s">
        <v>986</v>
      </c>
      <c r="FS270" s="1605" t="s">
        <v>986</v>
      </c>
      <c r="FT270" s="1605" t="s">
        <v>986</v>
      </c>
      <c r="FU270" s="1605" t="s">
        <v>986</v>
      </c>
      <c r="FV270" s="1605" t="s">
        <v>986</v>
      </c>
      <c r="FW270" s="1605" t="s">
        <v>986</v>
      </c>
      <c r="FX270" s="1605" t="s">
        <v>986</v>
      </c>
      <c r="FY270" s="1605" t="s">
        <v>986</v>
      </c>
      <c r="FZ270" s="1605" t="s">
        <v>986</v>
      </c>
      <c r="GA270" s="1605" t="s">
        <v>986</v>
      </c>
      <c r="GB270" s="1605" t="s">
        <v>986</v>
      </c>
      <c r="GC270" s="1605" t="s">
        <v>986</v>
      </c>
      <c r="GD270" s="1605" t="s">
        <v>986</v>
      </c>
      <c r="GE270" s="1605" t="s">
        <v>986</v>
      </c>
      <c r="GF270" s="1605" t="s">
        <v>986</v>
      </c>
      <c r="GG270" s="1605" t="s">
        <v>986</v>
      </c>
      <c r="GH270" s="1605" t="s">
        <v>986</v>
      </c>
      <c r="GI270" s="1605" t="s">
        <v>986</v>
      </c>
      <c r="GJ270" s="1605" t="s">
        <v>986</v>
      </c>
      <c r="GK270" s="1605" t="s">
        <v>986</v>
      </c>
      <c r="GL270" s="1605" t="s">
        <v>986</v>
      </c>
      <c r="GM270" s="1605" t="s">
        <v>986</v>
      </c>
      <c r="GN270" s="1605" t="s">
        <v>1578</v>
      </c>
      <c r="GO270" s="1605" t="s">
        <v>1578</v>
      </c>
      <c r="GP270" s="1605" t="s">
        <v>1578</v>
      </c>
      <c r="GQ270" s="1605" t="s">
        <v>1578</v>
      </c>
      <c r="GR270" s="1605" t="s">
        <v>1578</v>
      </c>
      <c r="GS270" s="1605" t="s">
        <v>1578</v>
      </c>
      <c r="GT270" s="1605" t="s">
        <v>1578</v>
      </c>
      <c r="GU270" s="1605" t="s">
        <v>1578</v>
      </c>
      <c r="GV270" s="1605" t="s">
        <v>1578</v>
      </c>
      <c r="GW270" s="1605" t="s">
        <v>1578</v>
      </c>
      <c r="GX270" s="1605" t="s">
        <v>1578</v>
      </c>
      <c r="GY270" s="1605" t="s">
        <v>1578</v>
      </c>
      <c r="GZ270" s="1605" t="s">
        <v>1578</v>
      </c>
      <c r="HA270" s="1605" t="s">
        <v>1578</v>
      </c>
      <c r="HB270" s="1605" t="s">
        <v>1578</v>
      </c>
      <c r="HC270" s="1605" t="s">
        <v>1578</v>
      </c>
      <c r="HD270" s="1605" t="s">
        <v>1578</v>
      </c>
      <c r="HE270" s="1605" t="s">
        <v>1578</v>
      </c>
      <c r="HF270" s="1605" t="s">
        <v>1578</v>
      </c>
      <c r="HG270" s="1605" t="s">
        <v>1578</v>
      </c>
      <c r="HH270" s="1605" t="s">
        <v>1578</v>
      </c>
      <c r="HI270" s="1605" t="s">
        <v>1578</v>
      </c>
      <c r="HJ270" s="1605" t="s">
        <v>1578</v>
      </c>
      <c r="HK270" s="1605" t="s">
        <v>986</v>
      </c>
      <c r="HL270" s="1605" t="s">
        <v>986</v>
      </c>
      <c r="HM270" s="1605" t="s">
        <v>1578</v>
      </c>
      <c r="HN270" s="1605" t="s">
        <v>1578</v>
      </c>
      <c r="HO270" s="1605" t="s">
        <v>1578</v>
      </c>
      <c r="HP270" s="1605" t="s">
        <v>1578</v>
      </c>
      <c r="HQ270" s="1605" t="s">
        <v>1578</v>
      </c>
      <c r="HR270" s="1605" t="s">
        <v>1578</v>
      </c>
      <c r="HS270" s="1605" t="s">
        <v>1578</v>
      </c>
      <c r="HT270" s="1605" t="s">
        <v>1578</v>
      </c>
      <c r="HU270" s="1605" t="s">
        <v>1578</v>
      </c>
      <c r="HV270" s="1617"/>
      <c r="HW270" s="1617">
        <v>0</v>
      </c>
      <c r="HX270" s="1617">
        <v>0</v>
      </c>
      <c r="HY270" s="1617">
        <v>0</v>
      </c>
      <c r="HZ270" s="1603"/>
      <c r="IA270" s="1603"/>
      <c r="IB270" s="1603"/>
      <c r="IC270" s="1603">
        <v>67</v>
      </c>
      <c r="ID270" s="1603">
        <v>67</v>
      </c>
      <c r="IE270" s="1603">
        <v>67</v>
      </c>
      <c r="IF270" s="1603">
        <v>67</v>
      </c>
      <c r="IG270" s="1611" t="s">
        <v>2932</v>
      </c>
      <c r="IH270" s="1616" t="s">
        <v>270</v>
      </c>
      <c r="II270" s="1615" t="s">
        <v>270</v>
      </c>
      <c r="IJ270" s="1613">
        <v>1.3101818181818183</v>
      </c>
      <c r="IK270" s="1613">
        <v>1.301848484848485</v>
      </c>
      <c r="IL270" s="1614">
        <v>1.3101818181818183</v>
      </c>
      <c r="IM270" s="1614">
        <v>1.301848484848485</v>
      </c>
      <c r="IN270" s="1612" t="s">
        <v>270</v>
      </c>
      <c r="IO270" s="1613" t="s">
        <v>270</v>
      </c>
      <c r="IP270" s="1607" t="s">
        <v>270</v>
      </c>
      <c r="IQ270" s="1612" t="s">
        <v>270</v>
      </c>
      <c r="IR270" s="1612" t="s">
        <v>270</v>
      </c>
      <c r="IS270" s="1607">
        <v>1.1881818181818182</v>
      </c>
      <c r="IT270" s="1607">
        <v>1.1798484848484849</v>
      </c>
      <c r="IU270" s="1611">
        <v>0</v>
      </c>
      <c r="IV270" s="1611">
        <v>7.7767676767676763E-2</v>
      </c>
      <c r="IW270" s="1611">
        <v>9.0909090909090909E-4</v>
      </c>
      <c r="IX270" s="1611">
        <v>1.6060606060606061E-3</v>
      </c>
      <c r="IY270" s="1611">
        <v>9.6969696969696957E-4</v>
      </c>
      <c r="IZ270" s="1611">
        <v>5.9898989898989896E-3</v>
      </c>
      <c r="JA270" s="1611">
        <v>6.0606060606060598E-5</v>
      </c>
      <c r="JB270" s="1611" t="s">
        <v>270</v>
      </c>
      <c r="JC270" s="1611">
        <v>9.9026969696969704</v>
      </c>
      <c r="JD270" s="1611">
        <v>5.2121212121212122E-3</v>
      </c>
      <c r="JE270" s="1611" t="s">
        <v>270</v>
      </c>
      <c r="JF270" s="1611">
        <v>8.2828282828282835E-4</v>
      </c>
      <c r="JG270" s="1611">
        <v>0.57978787878787885</v>
      </c>
      <c r="JH270" s="1611">
        <v>7.646464646464647E-3</v>
      </c>
      <c r="JI270" s="1611">
        <v>0.3</v>
      </c>
      <c r="JJ270" s="1611" t="s">
        <v>270</v>
      </c>
      <c r="JK270" s="1607">
        <f t="shared" si="13"/>
        <v>0.12200000000000011</v>
      </c>
      <c r="JL270" s="1608" t="s">
        <v>270</v>
      </c>
      <c r="JM270" s="1610" t="s">
        <v>2924</v>
      </c>
      <c r="JN270" s="1608">
        <v>8.3333333333333037E-3</v>
      </c>
      <c r="JO270" s="1609" t="s">
        <v>2931</v>
      </c>
      <c r="JP270" s="1608" t="s">
        <v>270</v>
      </c>
      <c r="JQ270" s="1607">
        <v>202103</v>
      </c>
      <c r="JR270" s="1606">
        <v>851</v>
      </c>
      <c r="JS270" s="1606">
        <v>774</v>
      </c>
      <c r="JT270" s="1606">
        <v>774</v>
      </c>
    </row>
    <row r="271" spans="1:280" ht="15" customHeight="1" x14ac:dyDescent="0.2">
      <c r="A271" s="1626">
        <v>40102</v>
      </c>
      <c r="B271" s="1625">
        <v>401</v>
      </c>
      <c r="C271" s="1624">
        <v>2</v>
      </c>
      <c r="D271" s="1623" t="s">
        <v>3063</v>
      </c>
      <c r="E271" s="1622">
        <v>43368</v>
      </c>
      <c r="F271" s="1620">
        <v>8.6414546627345101E-2</v>
      </c>
      <c r="G271" s="1620">
        <v>8.2926964164327696E-2</v>
      </c>
      <c r="H271" s="1621">
        <v>99.7690958918744</v>
      </c>
      <c r="I271" s="1621">
        <v>99.692127855832595</v>
      </c>
      <c r="J271" s="1621">
        <v>99.996056934892096</v>
      </c>
      <c r="K271" s="1620">
        <v>1</v>
      </c>
      <c r="L271" s="1620">
        <v>98.980010012583904</v>
      </c>
      <c r="M271" s="1620">
        <v>13.116842395489</v>
      </c>
      <c r="N271" s="1620">
        <v>2.4668191047412299E-2</v>
      </c>
      <c r="O271" s="1620">
        <v>85.540518443188603</v>
      </c>
      <c r="P271" s="1620">
        <v>2.0688225429949698E-3</v>
      </c>
      <c r="Q271" s="1603"/>
      <c r="R271" s="1620">
        <v>99.962810936279794</v>
      </c>
      <c r="S271" s="1620">
        <v>67</v>
      </c>
      <c r="T271" s="1620">
        <v>67</v>
      </c>
      <c r="U271" s="1620">
        <v>67</v>
      </c>
      <c r="V271" s="1620">
        <v>67</v>
      </c>
      <c r="W271" s="1620">
        <v>67</v>
      </c>
      <c r="X271" s="1620"/>
      <c r="Y271" s="1620">
        <v>195.39790328851382</v>
      </c>
      <c r="Z271" s="1620">
        <v>61.239467983823793</v>
      </c>
      <c r="AA271" s="1620">
        <v>40.632333644073249</v>
      </c>
      <c r="AB271" s="1620">
        <v>85.391521346451995</v>
      </c>
      <c r="AC271" s="1620">
        <v>0</v>
      </c>
      <c r="AD271" s="1620">
        <v>0</v>
      </c>
      <c r="AE271" s="1620">
        <v>0</v>
      </c>
      <c r="AF271" s="1620">
        <v>862.18348419739777</v>
      </c>
      <c r="AG271" s="1620">
        <v>172.43669683947874</v>
      </c>
      <c r="AH271" s="1620">
        <v>1149.5779789298549</v>
      </c>
      <c r="AI271" s="1620">
        <v>2873.9449473246627</v>
      </c>
      <c r="AJ271" s="1620">
        <v>5.7478898946493047</v>
      </c>
      <c r="AK271" s="1620">
        <v>5.7478898946493047</v>
      </c>
      <c r="AL271" s="1620"/>
      <c r="AM271" s="1620">
        <v>60.045701899284303</v>
      </c>
      <c r="AN271" s="1620">
        <v>13.4525464163764</v>
      </c>
      <c r="AO271" s="1620">
        <v>7.4918237049228403E-4</v>
      </c>
      <c r="AP271" s="1620">
        <v>25.709920073789199</v>
      </c>
      <c r="AQ271" s="1620">
        <v>4.7316781294249498E-4</v>
      </c>
      <c r="AR271" s="1620">
        <v>1.3800727877489401E-3</v>
      </c>
      <c r="AS271" s="1620">
        <v>2.6024229711837199E-3</v>
      </c>
      <c r="AT271" s="1620">
        <v>9.4633562588498997E-4</v>
      </c>
      <c r="AU271" s="1620">
        <v>1.6955179963772701E-3</v>
      </c>
      <c r="AV271" s="1620">
        <v>1.18291953235624E-3</v>
      </c>
      <c r="AW271" s="1620">
        <v>1.49946411562069</v>
      </c>
      <c r="AX271" s="1620"/>
      <c r="AY271" s="1620">
        <v>1.0003662874962453</v>
      </c>
      <c r="AZ271" s="1620">
        <v>1.0003598897559898</v>
      </c>
      <c r="BA271" s="1620">
        <v>0.770286462323302</v>
      </c>
      <c r="BB271" s="1620">
        <v>1.0003607369469241</v>
      </c>
      <c r="BC271" s="1620">
        <v>0.77028646232330134</v>
      </c>
      <c r="BD271" s="1620">
        <v>0.77028646232331022</v>
      </c>
      <c r="BE271" s="1620">
        <v>0.77028646232330178</v>
      </c>
      <c r="BF271" s="1620">
        <v>0.77028646232330333</v>
      </c>
      <c r="BG271" s="1620">
        <v>0.77028646232329956</v>
      </c>
      <c r="BH271" s="1620">
        <v>0.77028646232330333</v>
      </c>
      <c r="BI271" s="1620">
        <v>1.0000634563460806</v>
      </c>
      <c r="BJ271" s="1603"/>
      <c r="BK271" s="1620">
        <v>13.252011586805638</v>
      </c>
      <c r="BL271" s="1620">
        <v>2.4922397001451192E-2</v>
      </c>
      <c r="BM271" s="1620">
        <v>86.422014336342585</v>
      </c>
      <c r="BN271" s="1620">
        <v>2.0901417798724693E-3</v>
      </c>
      <c r="BO271" s="1620"/>
      <c r="BP271" s="1620" t="s">
        <v>270</v>
      </c>
      <c r="BQ271" s="1620">
        <v>0</v>
      </c>
      <c r="BR271" s="1620">
        <v>8.7305049389627992E-2</v>
      </c>
      <c r="BS271" s="1620">
        <v>8.3781527354649402E-2</v>
      </c>
      <c r="BT271" s="1603"/>
      <c r="BU271" s="1620">
        <v>135.77985663657398</v>
      </c>
      <c r="BV271" s="1620">
        <v>14.48198683732786</v>
      </c>
      <c r="BW271" s="1620">
        <v>0.14929584141946212</v>
      </c>
      <c r="BX271" s="1620">
        <v>0</v>
      </c>
      <c r="BY271" s="1620">
        <v>0</v>
      </c>
      <c r="BZ271" s="1620">
        <v>0</v>
      </c>
      <c r="CA271" s="1620">
        <v>0</v>
      </c>
      <c r="CB271" s="1603"/>
      <c r="CC271" s="1603">
        <v>193.40486423934999</v>
      </c>
      <c r="CD271" s="1603">
        <v>60.614831542041905</v>
      </c>
      <c r="CE271" s="1603">
        <v>40.217887909250202</v>
      </c>
      <c r="CF271" s="1603">
        <v>84.520536378615915</v>
      </c>
      <c r="CG271" s="1603">
        <v>0</v>
      </c>
      <c r="CH271" s="1603">
        <v>0</v>
      </c>
      <c r="CI271" s="1603">
        <v>0</v>
      </c>
      <c r="CJ271" s="1603"/>
      <c r="CK271" s="1603">
        <v>853.38929898542915</v>
      </c>
      <c r="CL271" s="1603">
        <v>170.67785979708501</v>
      </c>
      <c r="CM271" s="1603">
        <v>1137.8523986472301</v>
      </c>
      <c r="CN271" s="1603">
        <v>2844.6309966181007</v>
      </c>
      <c r="CO271" s="1603">
        <v>5.6892619932361805</v>
      </c>
      <c r="CP271" s="1603">
        <v>5.6892619932361805</v>
      </c>
      <c r="CQ271" s="1603">
        <v>131.11964364612501</v>
      </c>
      <c r="CR271" s="1603">
        <v>1517.3330042633515</v>
      </c>
      <c r="CS271" s="1603">
        <v>911.42697462574699</v>
      </c>
      <c r="CT271" s="1603">
        <v>204.19338736013356</v>
      </c>
      <c r="CU271" s="1603">
        <v>8.7563017412275474E-3</v>
      </c>
      <c r="CV271" s="1603">
        <v>204.20214366187363</v>
      </c>
      <c r="CW271" s="1603">
        <v>390.2458279730393</v>
      </c>
      <c r="CX271" s="1603">
        <v>5.5302958365647612E-3</v>
      </c>
      <c r="CY271" s="1603">
        <v>1.613002952331399E-2</v>
      </c>
      <c r="CZ271" s="1603">
        <v>3.0416627101106194E-2</v>
      </c>
      <c r="DA271" s="1603">
        <v>1.1060591673129533E-2</v>
      </c>
      <c r="DB271" s="1603">
        <v>1.9816893414356988E-2</v>
      </c>
      <c r="DC271" s="1603">
        <v>1.3825739591411959E-2</v>
      </c>
      <c r="DD271" s="1603">
        <v>3.3642633005768946E-2</v>
      </c>
      <c r="DE271" s="1603">
        <v>22.753307663548611</v>
      </c>
      <c r="DF271" s="1603">
        <v>26346.127959358</v>
      </c>
      <c r="DG271" s="1603">
        <v>0</v>
      </c>
      <c r="DH271" s="1603">
        <v>0</v>
      </c>
      <c r="DI271" s="1603">
        <v>227.57047972944699</v>
      </c>
      <c r="DJ271" s="1603">
        <v>22.757047972944701</v>
      </c>
      <c r="DK271" s="1603">
        <v>4266.9464949271396</v>
      </c>
      <c r="DL271" s="1603">
        <v>56.892619932361697</v>
      </c>
      <c r="DM271" s="1603">
        <v>0</v>
      </c>
      <c r="DN271" s="1603">
        <v>56.892619932361697</v>
      </c>
      <c r="DO271" s="1603">
        <v>142.23154983090501</v>
      </c>
      <c r="DP271" s="1603">
        <v>85.338929898542901</v>
      </c>
      <c r="DQ271" s="1603">
        <v>0.56892619932361699</v>
      </c>
      <c r="DR271" s="1603">
        <v>568.92619932361697</v>
      </c>
      <c r="DS271" s="1603">
        <v>426.69464949271401</v>
      </c>
      <c r="DT271" s="1603">
        <v>0</v>
      </c>
      <c r="DU271" s="1603">
        <v>42.669464949271401</v>
      </c>
      <c r="DV271" s="1603">
        <v>5.6892619932361796</v>
      </c>
      <c r="DW271" s="1618" t="s">
        <v>986</v>
      </c>
      <c r="DX271" s="1605" t="s">
        <v>986</v>
      </c>
      <c r="DY271" s="1605" t="s">
        <v>986</v>
      </c>
      <c r="DZ271" s="1605" t="s">
        <v>986</v>
      </c>
      <c r="EA271" s="1605" t="s">
        <v>986</v>
      </c>
      <c r="EB271" s="1605" t="s">
        <v>986</v>
      </c>
      <c r="EC271" s="1605" t="s">
        <v>986</v>
      </c>
      <c r="ED271" s="1605" t="s">
        <v>986</v>
      </c>
      <c r="EE271" s="1605" t="s">
        <v>986</v>
      </c>
      <c r="EF271" s="1605" t="s">
        <v>986</v>
      </c>
      <c r="EG271" s="1605" t="s">
        <v>986</v>
      </c>
      <c r="EH271" s="1605" t="s">
        <v>986</v>
      </c>
      <c r="EI271" s="1605" t="s">
        <v>986</v>
      </c>
      <c r="EJ271" s="1605" t="s">
        <v>986</v>
      </c>
      <c r="EK271" s="1605" t="s">
        <v>986</v>
      </c>
      <c r="EL271" s="1605" t="s">
        <v>986</v>
      </c>
      <c r="EM271" s="1605" t="s">
        <v>986</v>
      </c>
      <c r="EN271" s="1605" t="s">
        <v>986</v>
      </c>
      <c r="EO271" s="1605" t="s">
        <v>986</v>
      </c>
      <c r="EP271" s="1605" t="s">
        <v>986</v>
      </c>
      <c r="EQ271" s="1605" t="s">
        <v>986</v>
      </c>
      <c r="ER271" s="1605" t="s">
        <v>986</v>
      </c>
      <c r="ES271" s="1605" t="s">
        <v>986</v>
      </c>
      <c r="ET271" s="1605" t="s">
        <v>986</v>
      </c>
      <c r="EU271" s="1605" t="s">
        <v>986</v>
      </c>
      <c r="EV271" s="1605" t="s">
        <v>986</v>
      </c>
      <c r="EW271" s="1605" t="s">
        <v>986</v>
      </c>
      <c r="EX271" s="1605" t="s">
        <v>986</v>
      </c>
      <c r="EY271" s="1605" t="s">
        <v>986</v>
      </c>
      <c r="EZ271" s="1605" t="s">
        <v>986</v>
      </c>
      <c r="FA271" s="1605" t="s">
        <v>986</v>
      </c>
      <c r="FB271" s="1605" t="s">
        <v>986</v>
      </c>
      <c r="FC271" s="1605" t="s">
        <v>986</v>
      </c>
      <c r="FD271" s="1605" t="s">
        <v>986</v>
      </c>
      <c r="FE271" s="1605" t="s">
        <v>986</v>
      </c>
      <c r="FF271" s="1605" t="s">
        <v>986</v>
      </c>
      <c r="FG271" s="1605" t="s">
        <v>986</v>
      </c>
      <c r="FH271" s="1605" t="s">
        <v>986</v>
      </c>
      <c r="FI271" s="1605" t="s">
        <v>986</v>
      </c>
      <c r="FJ271" s="1605" t="s">
        <v>986</v>
      </c>
      <c r="FK271" s="1605" t="s">
        <v>986</v>
      </c>
      <c r="FL271" s="1605" t="s">
        <v>986</v>
      </c>
      <c r="FM271" s="1605" t="s">
        <v>986</v>
      </c>
      <c r="FN271" s="1605" t="s">
        <v>986</v>
      </c>
      <c r="FO271" s="1605" t="s">
        <v>986</v>
      </c>
      <c r="FP271" s="1605" t="s">
        <v>986</v>
      </c>
      <c r="FQ271" s="1605" t="s">
        <v>986</v>
      </c>
      <c r="FR271" s="1605" t="s">
        <v>986</v>
      </c>
      <c r="FS271" s="1605" t="s">
        <v>986</v>
      </c>
      <c r="FT271" s="1605" t="s">
        <v>986</v>
      </c>
      <c r="FU271" s="1605" t="s">
        <v>986</v>
      </c>
      <c r="FV271" s="1605" t="s">
        <v>986</v>
      </c>
      <c r="FW271" s="1605" t="s">
        <v>986</v>
      </c>
      <c r="FX271" s="1605" t="s">
        <v>986</v>
      </c>
      <c r="FY271" s="1605" t="s">
        <v>986</v>
      </c>
      <c r="FZ271" s="1605" t="s">
        <v>986</v>
      </c>
      <c r="GA271" s="1605" t="s">
        <v>986</v>
      </c>
      <c r="GB271" s="1605" t="s">
        <v>986</v>
      </c>
      <c r="GC271" s="1605" t="s">
        <v>986</v>
      </c>
      <c r="GD271" s="1605" t="s">
        <v>986</v>
      </c>
      <c r="GE271" s="1605" t="s">
        <v>986</v>
      </c>
      <c r="GF271" s="1605" t="s">
        <v>986</v>
      </c>
      <c r="GG271" s="1605" t="s">
        <v>986</v>
      </c>
      <c r="GH271" s="1605" t="s">
        <v>986</v>
      </c>
      <c r="GI271" s="1605" t="s">
        <v>986</v>
      </c>
      <c r="GJ271" s="1605" t="s">
        <v>986</v>
      </c>
      <c r="GK271" s="1605" t="s">
        <v>986</v>
      </c>
      <c r="GL271" s="1605" t="s">
        <v>986</v>
      </c>
      <c r="GM271" s="1605" t="s">
        <v>986</v>
      </c>
      <c r="GN271" s="1605" t="s">
        <v>1578</v>
      </c>
      <c r="GO271" s="1605" t="s">
        <v>1578</v>
      </c>
      <c r="GP271" s="1605" t="s">
        <v>1578</v>
      </c>
      <c r="GQ271" s="1605" t="s">
        <v>1578</v>
      </c>
      <c r="GR271" s="1605" t="s">
        <v>1578</v>
      </c>
      <c r="GS271" s="1605" t="s">
        <v>1578</v>
      </c>
      <c r="GT271" s="1605" t="s">
        <v>1578</v>
      </c>
      <c r="GU271" s="1605" t="s">
        <v>1578</v>
      </c>
      <c r="GV271" s="1605" t="s">
        <v>1578</v>
      </c>
      <c r="GW271" s="1605" t="s">
        <v>1578</v>
      </c>
      <c r="GX271" s="1605" t="s">
        <v>1578</v>
      </c>
      <c r="GY271" s="1605" t="s">
        <v>1578</v>
      </c>
      <c r="GZ271" s="1605" t="s">
        <v>1578</v>
      </c>
      <c r="HA271" s="1605" t="s">
        <v>1578</v>
      </c>
      <c r="HB271" s="1605" t="s">
        <v>1578</v>
      </c>
      <c r="HC271" s="1605" t="s">
        <v>1578</v>
      </c>
      <c r="HD271" s="1605" t="s">
        <v>1578</v>
      </c>
      <c r="HE271" s="1605" t="s">
        <v>1578</v>
      </c>
      <c r="HF271" s="1605" t="s">
        <v>1578</v>
      </c>
      <c r="HG271" s="1605" t="s">
        <v>1578</v>
      </c>
      <c r="HH271" s="1605" t="s">
        <v>1578</v>
      </c>
      <c r="HI271" s="1605" t="s">
        <v>1578</v>
      </c>
      <c r="HJ271" s="1605" t="s">
        <v>1578</v>
      </c>
      <c r="HK271" s="1605" t="s">
        <v>986</v>
      </c>
      <c r="HL271" s="1605" t="s">
        <v>986</v>
      </c>
      <c r="HM271" s="1605" t="s">
        <v>1578</v>
      </c>
      <c r="HN271" s="1605" t="s">
        <v>1578</v>
      </c>
      <c r="HO271" s="1605" t="s">
        <v>1578</v>
      </c>
      <c r="HP271" s="1605" t="s">
        <v>1578</v>
      </c>
      <c r="HQ271" s="1605" t="s">
        <v>1578</v>
      </c>
      <c r="HR271" s="1605" t="s">
        <v>1578</v>
      </c>
      <c r="HS271" s="1605" t="s">
        <v>1578</v>
      </c>
      <c r="HT271" s="1605" t="s">
        <v>1578</v>
      </c>
      <c r="HU271" s="1605" t="s">
        <v>1578</v>
      </c>
      <c r="HV271" s="1617"/>
      <c r="HW271" s="1617">
        <v>0</v>
      </c>
      <c r="HX271" s="1617">
        <v>0</v>
      </c>
      <c r="HY271" s="1617">
        <v>0</v>
      </c>
      <c r="HZ271" s="1603"/>
      <c r="IA271" s="1603"/>
      <c r="IB271" s="1603"/>
      <c r="IC271" s="1603">
        <v>67</v>
      </c>
      <c r="ID271" s="1603">
        <v>67</v>
      </c>
      <c r="IE271" s="1603">
        <v>67</v>
      </c>
      <c r="IF271" s="1603">
        <v>67</v>
      </c>
      <c r="IG271" s="1611" t="s">
        <v>2932</v>
      </c>
      <c r="IH271" s="1616" t="s">
        <v>270</v>
      </c>
      <c r="II271" s="1615" t="s">
        <v>270</v>
      </c>
      <c r="IJ271" s="1613">
        <v>1.3101818181818183</v>
      </c>
      <c r="IK271" s="1613">
        <v>1.301848484848485</v>
      </c>
      <c r="IL271" s="1614">
        <v>1.3101818181818183</v>
      </c>
      <c r="IM271" s="1614">
        <v>1.301848484848485</v>
      </c>
      <c r="IN271" s="1612" t="s">
        <v>270</v>
      </c>
      <c r="IO271" s="1613" t="s">
        <v>270</v>
      </c>
      <c r="IP271" s="1607" t="s">
        <v>270</v>
      </c>
      <c r="IQ271" s="1612" t="s">
        <v>270</v>
      </c>
      <c r="IR271" s="1612" t="s">
        <v>270</v>
      </c>
      <c r="IS271" s="1607">
        <v>1.1881818181818182</v>
      </c>
      <c r="IT271" s="1607">
        <v>1.1798484848484849</v>
      </c>
      <c r="IU271" s="1611">
        <v>0</v>
      </c>
      <c r="IV271" s="1611">
        <v>7.7767676767676763E-2</v>
      </c>
      <c r="IW271" s="1611">
        <v>9.0909090909090909E-4</v>
      </c>
      <c r="IX271" s="1611">
        <v>1.6060606060606061E-3</v>
      </c>
      <c r="IY271" s="1611">
        <v>9.6969696969696957E-4</v>
      </c>
      <c r="IZ271" s="1611">
        <v>5.9898989898989896E-3</v>
      </c>
      <c r="JA271" s="1611">
        <v>6.0606060606060598E-5</v>
      </c>
      <c r="JB271" s="1611" t="s">
        <v>270</v>
      </c>
      <c r="JC271" s="1611">
        <v>9.9026969696969704</v>
      </c>
      <c r="JD271" s="1611">
        <v>5.2121212121212122E-3</v>
      </c>
      <c r="JE271" s="1611" t="s">
        <v>270</v>
      </c>
      <c r="JF271" s="1611">
        <v>8.2828282828282835E-4</v>
      </c>
      <c r="JG271" s="1611">
        <v>0.57978787878787885</v>
      </c>
      <c r="JH271" s="1611">
        <v>7.646464646464647E-3</v>
      </c>
      <c r="JI271" s="1611">
        <v>0.3</v>
      </c>
      <c r="JJ271" s="1611" t="s">
        <v>270</v>
      </c>
      <c r="JK271" s="1607">
        <f t="shared" si="13"/>
        <v>0.12200000000000011</v>
      </c>
      <c r="JL271" s="1608" t="s">
        <v>270</v>
      </c>
      <c r="JM271" s="1610" t="s">
        <v>2924</v>
      </c>
      <c r="JN271" s="1608">
        <v>8.3333333333333037E-3</v>
      </c>
      <c r="JO271" s="1609" t="s">
        <v>2931</v>
      </c>
      <c r="JP271" s="1608" t="s">
        <v>270</v>
      </c>
      <c r="JQ271" s="1607">
        <v>202103</v>
      </c>
      <c r="JR271" s="1606">
        <v>851</v>
      </c>
      <c r="JS271" s="1606">
        <v>774</v>
      </c>
      <c r="JT271" s="1606">
        <v>774</v>
      </c>
    </row>
    <row r="272" spans="1:280" ht="15" customHeight="1" x14ac:dyDescent="0.2">
      <c r="A272" s="1626">
        <v>40101</v>
      </c>
      <c r="B272" s="1625">
        <v>401</v>
      </c>
      <c r="C272" s="1624">
        <v>1</v>
      </c>
      <c r="D272" s="1623" t="s">
        <v>3062</v>
      </c>
      <c r="E272" s="1622">
        <v>43514</v>
      </c>
      <c r="F272" s="1620">
        <v>-8.8533221599740003E-2</v>
      </c>
      <c r="G272" s="1620">
        <v>-8.4713743760874205E-2</v>
      </c>
      <c r="H272" s="1621">
        <v>97.388301243125397</v>
      </c>
      <c r="I272" s="1621">
        <v>96.517734990833802</v>
      </c>
      <c r="J272" s="1621">
        <v>99.946910893872996</v>
      </c>
      <c r="K272" s="1620">
        <v>1</v>
      </c>
      <c r="L272" s="1620">
        <v>99.001532823718804</v>
      </c>
      <c r="M272" s="1620">
        <v>1.3172545960029101</v>
      </c>
      <c r="N272" s="1620">
        <v>3.4843680840648102E-2</v>
      </c>
      <c r="O272" s="1620">
        <v>97.394949318801395</v>
      </c>
      <c r="P272" s="1620">
        <v>2.7972747617388701E-3</v>
      </c>
      <c r="Q272" s="1603"/>
      <c r="R272" s="1620">
        <v>99.477895512743203</v>
      </c>
      <c r="S272" s="1620">
        <v>67</v>
      </c>
      <c r="T272" s="1620">
        <v>67</v>
      </c>
      <c r="U272" s="1620">
        <v>67</v>
      </c>
      <c r="V272" s="1620">
        <v>67</v>
      </c>
      <c r="W272" s="1620">
        <v>67</v>
      </c>
      <c r="X272" s="1620"/>
      <c r="Y272" s="1620">
        <v>244.58184205602433</v>
      </c>
      <c r="Z272" s="1620">
        <v>18.669270191479573</v>
      </c>
      <c r="AA272" s="1620">
        <v>74.03081014675692</v>
      </c>
      <c r="AB272" s="1620">
        <v>122.34220989505516</v>
      </c>
      <c r="AC272" s="1620">
        <v>0</v>
      </c>
      <c r="AD272" s="1620">
        <v>0</v>
      </c>
      <c r="AE272" s="1620">
        <v>0</v>
      </c>
      <c r="AF272" s="1620">
        <v>1165.5131050060309</v>
      </c>
      <c r="AG272" s="1620">
        <v>233.10262100120522</v>
      </c>
      <c r="AH272" s="1620">
        <v>1554.0174733413678</v>
      </c>
      <c r="AI272" s="1620">
        <v>3885.04368335343</v>
      </c>
      <c r="AJ272" s="1620">
        <v>7.7700873667068393</v>
      </c>
      <c r="AK272" s="1620">
        <v>7.7700873667068393</v>
      </c>
      <c r="AL272" s="1620"/>
      <c r="AM272" s="1620">
        <v>48.7314892800458</v>
      </c>
      <c r="AN272" s="1620">
        <v>9.5560391028592703E-3</v>
      </c>
      <c r="AO272" s="1620">
        <v>1.0086930164129201E-2</v>
      </c>
      <c r="AP272" s="1620">
        <v>55.388622991865901</v>
      </c>
      <c r="AQ272" s="1620">
        <v>6.3706927352395097E-3</v>
      </c>
      <c r="AR272" s="1620">
        <v>1.8581187144448601E-2</v>
      </c>
      <c r="AS272" s="1620">
        <v>3.5038810043817301E-2</v>
      </c>
      <c r="AT272" s="1620">
        <v>1.2741385470479E-2</v>
      </c>
      <c r="AU272" s="1620">
        <v>2.2828315634608298E-2</v>
      </c>
      <c r="AV272" s="1620">
        <v>1.5926731838098802E-2</v>
      </c>
      <c r="AW272" s="1620">
        <v>2.7075444124767999E-2</v>
      </c>
      <c r="AX272" s="1620"/>
      <c r="AY272" s="1620">
        <v>1.0051527321257832</v>
      </c>
      <c r="AZ272" s="1620">
        <v>0.77404130438340979</v>
      </c>
      <c r="BA272" s="1620">
        <v>0.77404130438340757</v>
      </c>
      <c r="BB272" s="1620">
        <v>1.0051775325838268</v>
      </c>
      <c r="BC272" s="1620">
        <v>0.77404130438340712</v>
      </c>
      <c r="BD272" s="1620">
        <v>0.77404130438340657</v>
      </c>
      <c r="BE272" s="1620">
        <v>0.77404130438340724</v>
      </c>
      <c r="BF272" s="1620">
        <v>0.77404130438340879</v>
      </c>
      <c r="BG272" s="1620">
        <v>0.77404130438340657</v>
      </c>
      <c r="BH272" s="1620">
        <v>0.77404130438341012</v>
      </c>
      <c r="BI272" s="1620">
        <v>0.77404130438340635</v>
      </c>
      <c r="BJ272" s="1603"/>
      <c r="BK272" s="1620">
        <v>1.3305395971478555</v>
      </c>
      <c r="BL272" s="1620">
        <v>3.5195092284773438E-2</v>
      </c>
      <c r="BM272" s="1620">
        <v>98.377213504584745</v>
      </c>
      <c r="BN272" s="1620">
        <v>2.8254863151661205E-3</v>
      </c>
      <c r="BO272" s="1620"/>
      <c r="BP272" s="1620">
        <v>0</v>
      </c>
      <c r="BQ272" s="1620">
        <v>0</v>
      </c>
      <c r="BR272" s="1620">
        <v>-8.9426111974833189E-2</v>
      </c>
      <c r="BS272" s="1620">
        <v>-8.5568113285391947E-2</v>
      </c>
      <c r="BT272" s="1603"/>
      <c r="BU272" s="1620">
        <v>16.227864954153262</v>
      </c>
      <c r="BV272" s="1620">
        <v>3.1529188265873049</v>
      </c>
      <c r="BW272" s="1620">
        <v>0.20182045108329433</v>
      </c>
      <c r="BX272" s="1620">
        <v>0</v>
      </c>
      <c r="BY272" s="1620">
        <v>0</v>
      </c>
      <c r="BZ272" s="1620">
        <v>0</v>
      </c>
      <c r="CA272" s="1620">
        <v>0</v>
      </c>
      <c r="CB272" s="1603"/>
      <c r="CC272" s="1603">
        <v>242.13977264395101</v>
      </c>
      <c r="CD272" s="1603">
        <v>18.482863656566401</v>
      </c>
      <c r="CE272" s="1603">
        <v>73.291636807106499</v>
      </c>
      <c r="CF272" s="1603">
        <v>121.12066308651599</v>
      </c>
      <c r="CG272" s="1603">
        <v>0</v>
      </c>
      <c r="CH272" s="1603">
        <v>0</v>
      </c>
      <c r="CI272" s="1603">
        <v>0</v>
      </c>
      <c r="CJ272" s="1603"/>
      <c r="CK272" s="1603">
        <v>1153.8758392172899</v>
      </c>
      <c r="CL272" s="1603">
        <v>230.77516784345704</v>
      </c>
      <c r="CM272" s="1603">
        <v>1538.50111895638</v>
      </c>
      <c r="CN272" s="1603">
        <v>3846.25279739096</v>
      </c>
      <c r="CO272" s="1603">
        <v>7.6925055947818999</v>
      </c>
      <c r="CP272" s="1603">
        <v>7.6925055947818999</v>
      </c>
      <c r="CQ272" s="1603">
        <v>13.103771506485799</v>
      </c>
      <c r="CR272" s="1603">
        <v>-148.00965411298532</v>
      </c>
      <c r="CS272" s="1603">
        <v>-72.498961428329181</v>
      </c>
      <c r="CT272" s="1603">
        <v>-1.0947932170869602E-2</v>
      </c>
      <c r="CU272" s="1603">
        <v>-1.1556150624806751E-2</v>
      </c>
      <c r="CV272" s="1603">
        <v>-2.2504082795676339E-2</v>
      </c>
      <c r="CW272" s="1603">
        <v>-82.404966066388624</v>
      </c>
      <c r="CX272" s="1603">
        <v>-7.2986214472463926E-3</v>
      </c>
      <c r="CY272" s="1603">
        <v>-2.1287645887802017E-2</v>
      </c>
      <c r="CZ272" s="1603">
        <v>-4.014241795985516E-2</v>
      </c>
      <c r="DA272" s="1603">
        <v>-1.4597242894492785E-2</v>
      </c>
      <c r="DB272" s="1603">
        <v>-2.6153393519299652E-2</v>
      </c>
      <c r="DC272" s="1603">
        <v>-1.8246553618116095E-2</v>
      </c>
      <c r="DD272" s="1603">
        <v>-4.4399947137415519E-2</v>
      </c>
      <c r="DE272" s="1603">
        <v>-3.1019141150797284E-2</v>
      </c>
      <c r="DF272" s="1603">
        <v>37635.802616622801</v>
      </c>
      <c r="DG272" s="1603">
        <v>0</v>
      </c>
      <c r="DH272" s="1603">
        <v>0</v>
      </c>
      <c r="DI272" s="1603">
        <v>307.70022379127602</v>
      </c>
      <c r="DJ272" s="1603">
        <v>30.7700223791275</v>
      </c>
      <c r="DK272" s="1603">
        <v>1384.6510070607401</v>
      </c>
      <c r="DL272" s="1603">
        <v>76.925055947819004</v>
      </c>
      <c r="DM272" s="1603">
        <v>0</v>
      </c>
      <c r="DN272" s="1603">
        <v>76.925055947819004</v>
      </c>
      <c r="DO272" s="1603">
        <v>192.31263986954801</v>
      </c>
      <c r="DP272" s="1603">
        <v>115.387583921729</v>
      </c>
      <c r="DQ272" s="1603">
        <v>0.76925055947818999</v>
      </c>
      <c r="DR272" s="1603">
        <v>769.25055947818998</v>
      </c>
      <c r="DS272" s="1603">
        <v>576.93791960864303</v>
      </c>
      <c r="DT272" s="1603">
        <v>0</v>
      </c>
      <c r="DU272" s="1603">
        <v>57.693791960864303</v>
      </c>
      <c r="DV272" s="1603">
        <v>7.6925055947818999</v>
      </c>
      <c r="DW272" s="1618" t="s">
        <v>986</v>
      </c>
      <c r="DX272" s="1605" t="s">
        <v>986</v>
      </c>
      <c r="DY272" s="1605" t="s">
        <v>986</v>
      </c>
      <c r="DZ272" s="1605" t="s">
        <v>986</v>
      </c>
      <c r="EA272" s="1605" t="s">
        <v>986</v>
      </c>
      <c r="EB272" s="1605" t="s">
        <v>986</v>
      </c>
      <c r="EC272" s="1605" t="s">
        <v>986</v>
      </c>
      <c r="ED272" s="1605" t="s">
        <v>986</v>
      </c>
      <c r="EE272" s="1605" t="s">
        <v>986</v>
      </c>
      <c r="EF272" s="1605" t="s">
        <v>986</v>
      </c>
      <c r="EG272" s="1605" t="s">
        <v>986</v>
      </c>
      <c r="EH272" s="1605" t="s">
        <v>986</v>
      </c>
      <c r="EI272" s="1605" t="s">
        <v>986</v>
      </c>
      <c r="EJ272" s="1605" t="s">
        <v>986</v>
      </c>
      <c r="EK272" s="1605" t="s">
        <v>986</v>
      </c>
      <c r="EL272" s="1605" t="s">
        <v>986</v>
      </c>
      <c r="EM272" s="1605" t="s">
        <v>986</v>
      </c>
      <c r="EN272" s="1605" t="s">
        <v>986</v>
      </c>
      <c r="EO272" s="1605" t="s">
        <v>986</v>
      </c>
      <c r="EP272" s="1605" t="s">
        <v>986</v>
      </c>
      <c r="EQ272" s="1605" t="s">
        <v>986</v>
      </c>
      <c r="ER272" s="1605" t="s">
        <v>986</v>
      </c>
      <c r="ES272" s="1605" t="s">
        <v>986</v>
      </c>
      <c r="ET272" s="1605" t="s">
        <v>986</v>
      </c>
      <c r="EU272" s="1605" t="s">
        <v>986</v>
      </c>
      <c r="EV272" s="1605" t="s">
        <v>986</v>
      </c>
      <c r="EW272" s="1605" t="s">
        <v>986</v>
      </c>
      <c r="EX272" s="1605" t="s">
        <v>986</v>
      </c>
      <c r="EY272" s="1605" t="s">
        <v>986</v>
      </c>
      <c r="EZ272" s="1605" t="s">
        <v>986</v>
      </c>
      <c r="FA272" s="1605" t="s">
        <v>986</v>
      </c>
      <c r="FB272" s="1605" t="s">
        <v>986</v>
      </c>
      <c r="FC272" s="1605" t="s">
        <v>986</v>
      </c>
      <c r="FD272" s="1605" t="s">
        <v>986</v>
      </c>
      <c r="FE272" s="1605" t="s">
        <v>986</v>
      </c>
      <c r="FF272" s="1605" t="s">
        <v>986</v>
      </c>
      <c r="FG272" s="1605" t="s">
        <v>986</v>
      </c>
      <c r="FH272" s="1605" t="s">
        <v>986</v>
      </c>
      <c r="FI272" s="1605" t="s">
        <v>986</v>
      </c>
      <c r="FJ272" s="1605" t="s">
        <v>986</v>
      </c>
      <c r="FK272" s="1605" t="s">
        <v>986</v>
      </c>
      <c r="FL272" s="1605" t="s">
        <v>986</v>
      </c>
      <c r="FM272" s="1605" t="s">
        <v>986</v>
      </c>
      <c r="FN272" s="1605" t="s">
        <v>986</v>
      </c>
      <c r="FO272" s="1605" t="s">
        <v>986</v>
      </c>
      <c r="FP272" s="1605" t="s">
        <v>986</v>
      </c>
      <c r="FQ272" s="1605" t="s">
        <v>986</v>
      </c>
      <c r="FR272" s="1605" t="s">
        <v>986</v>
      </c>
      <c r="FS272" s="1605" t="s">
        <v>986</v>
      </c>
      <c r="FT272" s="1605" t="s">
        <v>986</v>
      </c>
      <c r="FU272" s="1605" t="s">
        <v>986</v>
      </c>
      <c r="FV272" s="1605" t="s">
        <v>986</v>
      </c>
      <c r="FW272" s="1605" t="s">
        <v>986</v>
      </c>
      <c r="FX272" s="1605" t="s">
        <v>986</v>
      </c>
      <c r="FY272" s="1605" t="s">
        <v>986</v>
      </c>
      <c r="FZ272" s="1605" t="s">
        <v>986</v>
      </c>
      <c r="GA272" s="1605" t="s">
        <v>986</v>
      </c>
      <c r="GB272" s="1605" t="s">
        <v>986</v>
      </c>
      <c r="GC272" s="1605" t="s">
        <v>986</v>
      </c>
      <c r="GD272" s="1605" t="s">
        <v>986</v>
      </c>
      <c r="GE272" s="1605" t="s">
        <v>986</v>
      </c>
      <c r="GF272" s="1605" t="s">
        <v>986</v>
      </c>
      <c r="GG272" s="1605" t="s">
        <v>986</v>
      </c>
      <c r="GH272" s="1605" t="s">
        <v>986</v>
      </c>
      <c r="GI272" s="1605" t="s">
        <v>986</v>
      </c>
      <c r="GJ272" s="1605" t="s">
        <v>986</v>
      </c>
      <c r="GK272" s="1605" t="s">
        <v>986</v>
      </c>
      <c r="GL272" s="1605" t="s">
        <v>986</v>
      </c>
      <c r="GM272" s="1605" t="s">
        <v>986</v>
      </c>
      <c r="GN272" s="1605" t="s">
        <v>1578</v>
      </c>
      <c r="GO272" s="1605" t="s">
        <v>1578</v>
      </c>
      <c r="GP272" s="1605" t="s">
        <v>1578</v>
      </c>
      <c r="GQ272" s="1605" t="s">
        <v>1578</v>
      </c>
      <c r="GR272" s="1605" t="s">
        <v>1578</v>
      </c>
      <c r="GS272" s="1605" t="s">
        <v>1578</v>
      </c>
      <c r="GT272" s="1605" t="s">
        <v>1578</v>
      </c>
      <c r="GU272" s="1605" t="s">
        <v>1578</v>
      </c>
      <c r="GV272" s="1605" t="s">
        <v>1578</v>
      </c>
      <c r="GW272" s="1605" t="s">
        <v>1578</v>
      </c>
      <c r="GX272" s="1605" t="s">
        <v>1578</v>
      </c>
      <c r="GY272" s="1605" t="s">
        <v>1578</v>
      </c>
      <c r="GZ272" s="1605" t="s">
        <v>1578</v>
      </c>
      <c r="HA272" s="1605" t="s">
        <v>1578</v>
      </c>
      <c r="HB272" s="1605" t="s">
        <v>1578</v>
      </c>
      <c r="HC272" s="1605" t="s">
        <v>1578</v>
      </c>
      <c r="HD272" s="1605" t="s">
        <v>1578</v>
      </c>
      <c r="HE272" s="1605" t="s">
        <v>1578</v>
      </c>
      <c r="HF272" s="1605" t="s">
        <v>1578</v>
      </c>
      <c r="HG272" s="1605" t="s">
        <v>1578</v>
      </c>
      <c r="HH272" s="1605" t="s">
        <v>1578</v>
      </c>
      <c r="HI272" s="1605" t="s">
        <v>1578</v>
      </c>
      <c r="HJ272" s="1605" t="s">
        <v>1578</v>
      </c>
      <c r="HK272" s="1605" t="s">
        <v>986</v>
      </c>
      <c r="HL272" s="1605" t="s">
        <v>986</v>
      </c>
      <c r="HM272" s="1605" t="s">
        <v>1578</v>
      </c>
      <c r="HN272" s="1605" t="s">
        <v>1578</v>
      </c>
      <c r="HO272" s="1605" t="s">
        <v>1578</v>
      </c>
      <c r="HP272" s="1605" t="s">
        <v>1578</v>
      </c>
      <c r="HQ272" s="1605" t="s">
        <v>1578</v>
      </c>
      <c r="HR272" s="1605" t="s">
        <v>1578</v>
      </c>
      <c r="HS272" s="1605" t="s">
        <v>1578</v>
      </c>
      <c r="HT272" s="1605" t="s">
        <v>1578</v>
      </c>
      <c r="HU272" s="1605" t="s">
        <v>1578</v>
      </c>
      <c r="HV272" s="1617"/>
      <c r="HW272" s="1617">
        <v>0</v>
      </c>
      <c r="HX272" s="1617">
        <v>0</v>
      </c>
      <c r="HY272" s="1617">
        <v>0</v>
      </c>
      <c r="HZ272" s="1603"/>
      <c r="IA272" s="1603"/>
      <c r="IB272" s="1603"/>
      <c r="IC272" s="1603">
        <v>67</v>
      </c>
      <c r="ID272" s="1603">
        <v>67</v>
      </c>
      <c r="IE272" s="1603">
        <v>67</v>
      </c>
      <c r="IF272" s="1603">
        <v>67</v>
      </c>
      <c r="IG272" s="1611" t="s">
        <v>2932</v>
      </c>
      <c r="IH272" s="1616" t="s">
        <v>270</v>
      </c>
      <c r="II272" s="1615" t="s">
        <v>270</v>
      </c>
      <c r="IJ272" s="1613">
        <v>1.3101818181818183</v>
      </c>
      <c r="IK272" s="1613">
        <v>1.301848484848485</v>
      </c>
      <c r="IL272" s="1614">
        <v>1.3101818181818183</v>
      </c>
      <c r="IM272" s="1614">
        <v>1.301848484848485</v>
      </c>
      <c r="IN272" s="1612" t="s">
        <v>270</v>
      </c>
      <c r="IO272" s="1613" t="s">
        <v>270</v>
      </c>
      <c r="IP272" s="1607" t="s">
        <v>270</v>
      </c>
      <c r="IQ272" s="1612" t="s">
        <v>270</v>
      </c>
      <c r="IR272" s="1612" t="s">
        <v>270</v>
      </c>
      <c r="IS272" s="1607">
        <v>1.1881818181818182</v>
      </c>
      <c r="IT272" s="1607">
        <v>1.1798484848484849</v>
      </c>
      <c r="IU272" s="1611">
        <v>0</v>
      </c>
      <c r="IV272" s="1611">
        <v>7.7767676767676763E-2</v>
      </c>
      <c r="IW272" s="1611">
        <v>9.0909090909090909E-4</v>
      </c>
      <c r="IX272" s="1611">
        <v>1.6060606060606061E-3</v>
      </c>
      <c r="IY272" s="1611">
        <v>9.6969696969696957E-4</v>
      </c>
      <c r="IZ272" s="1611">
        <v>5.9898989898989896E-3</v>
      </c>
      <c r="JA272" s="1611">
        <v>6.0606060606060598E-5</v>
      </c>
      <c r="JB272" s="1611" t="s">
        <v>270</v>
      </c>
      <c r="JC272" s="1611">
        <v>9.9026969696969704</v>
      </c>
      <c r="JD272" s="1611">
        <v>5.2121212121212122E-3</v>
      </c>
      <c r="JE272" s="1611" t="s">
        <v>270</v>
      </c>
      <c r="JF272" s="1611">
        <v>8.2828282828282835E-4</v>
      </c>
      <c r="JG272" s="1611">
        <v>0.57978787878787885</v>
      </c>
      <c r="JH272" s="1611">
        <v>7.646464646464647E-3</v>
      </c>
      <c r="JI272" s="1611">
        <v>0.3</v>
      </c>
      <c r="JJ272" s="1611" t="s">
        <v>270</v>
      </c>
      <c r="JK272" s="1607">
        <f t="shared" si="13"/>
        <v>0.12200000000000011</v>
      </c>
      <c r="JL272" s="1608" t="s">
        <v>270</v>
      </c>
      <c r="JM272" s="1610" t="s">
        <v>2924</v>
      </c>
      <c r="JN272" s="1608">
        <v>8.3333333333333037E-3</v>
      </c>
      <c r="JO272" s="1609" t="s">
        <v>2931</v>
      </c>
      <c r="JP272" s="1608" t="s">
        <v>270</v>
      </c>
      <c r="JQ272" s="1607">
        <v>202103</v>
      </c>
      <c r="JR272" s="1606">
        <v>851</v>
      </c>
      <c r="JS272" s="1606">
        <v>774</v>
      </c>
      <c r="JT272" s="1606">
        <v>774</v>
      </c>
    </row>
    <row r="273" spans="1:280" ht="15" customHeight="1" x14ac:dyDescent="0.2">
      <c r="A273" s="1626">
        <v>44501</v>
      </c>
      <c r="B273" s="1625">
        <v>445</v>
      </c>
      <c r="C273" s="1624">
        <v>1</v>
      </c>
      <c r="D273" s="1623" t="s">
        <v>3061</v>
      </c>
      <c r="E273" s="1622">
        <v>43370</v>
      </c>
      <c r="F273" s="1620">
        <v>0.38394220492047998</v>
      </c>
      <c r="G273" s="1620">
        <v>0.411390927320128</v>
      </c>
      <c r="H273" s="1621">
        <v>69.097198725096405</v>
      </c>
      <c r="I273" s="1621">
        <v>62.447492514952202</v>
      </c>
      <c r="J273" s="1621">
        <v>93.562728137350305</v>
      </c>
      <c r="K273" s="1620">
        <v>1</v>
      </c>
      <c r="L273" s="1620">
        <v>93.687698242618595</v>
      </c>
      <c r="M273" s="1620">
        <v>17.6997974612832</v>
      </c>
      <c r="N273" s="1620">
        <v>2.0894640681932199</v>
      </c>
      <c r="O273" s="1620">
        <v>45.293773026649099</v>
      </c>
      <c r="P273" s="1620">
        <v>4.3086680363112704</v>
      </c>
      <c r="Q273" s="1603"/>
      <c r="R273" s="1620">
        <v>71.21214353213</v>
      </c>
      <c r="S273" s="1620">
        <v>58.454604902007098</v>
      </c>
      <c r="T273" s="1620">
        <v>61.558796167494997</v>
      </c>
      <c r="U273" s="1620">
        <v>62.800472673690102</v>
      </c>
      <c r="V273" s="1620">
        <v>63.917981529265703</v>
      </c>
      <c r="W273" s="1620">
        <v>64.662987432982703</v>
      </c>
      <c r="X273" s="1620"/>
      <c r="Y273" s="1620">
        <v>103.80825572693703</v>
      </c>
      <c r="Z273" s="1620">
        <v>23.179459839691781</v>
      </c>
      <c r="AA273" s="1620">
        <v>27.845731132262401</v>
      </c>
      <c r="AB273" s="1620">
        <v>62.66237055834965</v>
      </c>
      <c r="AC273" s="1620">
        <v>6.3854817049718022</v>
      </c>
      <c r="AD273" s="1620">
        <v>1.915644511491541</v>
      </c>
      <c r="AE273" s="1620">
        <v>0.80882768262976068</v>
      </c>
      <c r="AF273" s="1620">
        <v>665.32877080520291</v>
      </c>
      <c r="AG273" s="1620">
        <v>396.15804965989867</v>
      </c>
      <c r="AH273" s="1620">
        <v>829.35189320863356</v>
      </c>
      <c r="AI273" s="1620">
        <v>1282.1361233001576</v>
      </c>
      <c r="AJ273" s="1620">
        <v>3.9104966429592154</v>
      </c>
      <c r="AK273" s="1620">
        <v>3.9317815819757862</v>
      </c>
      <c r="AL273" s="1620"/>
      <c r="AM273" s="1620">
        <v>39.6296442630738</v>
      </c>
      <c r="AN273" s="1620">
        <v>6.2049569780514897</v>
      </c>
      <c r="AO273" s="1620">
        <v>0.75710472342736601</v>
      </c>
      <c r="AP273" s="1620">
        <v>19.041518552075999</v>
      </c>
      <c r="AQ273" s="1620">
        <v>0.52997330639915596</v>
      </c>
      <c r="AR273" s="1620">
        <v>1.2454372700380201</v>
      </c>
      <c r="AS273" s="1620">
        <v>2.3432391190077002</v>
      </c>
      <c r="AT273" s="1620">
        <v>0.98045061683843904</v>
      </c>
      <c r="AU273" s="1620">
        <v>1.47256868706623</v>
      </c>
      <c r="AV273" s="1620">
        <v>1.0637321364154499</v>
      </c>
      <c r="AW273" s="1620">
        <v>1.8132658126085399</v>
      </c>
      <c r="AX273" s="1620"/>
      <c r="AY273" s="1620">
        <v>1.0468240323356268</v>
      </c>
      <c r="AZ273" s="1620">
        <v>1.3619154790707768</v>
      </c>
      <c r="BA273" s="1620">
        <v>0.91757009729536332</v>
      </c>
      <c r="BB273" s="1620">
        <v>1.0437436062499816</v>
      </c>
      <c r="BC273" s="1620">
        <v>0.91757009729536199</v>
      </c>
      <c r="BD273" s="1620">
        <v>0.94403846548657189</v>
      </c>
      <c r="BE273" s="1620">
        <v>0.95286125488364604</v>
      </c>
      <c r="BF273" s="1620">
        <v>1.0146207806631424</v>
      </c>
      <c r="BG273" s="1620">
        <v>0.99697520186900035</v>
      </c>
      <c r="BH273" s="1620">
        <v>1.0057979912660679</v>
      </c>
      <c r="BI273" s="1620">
        <v>0.91757009729535932</v>
      </c>
      <c r="BJ273" s="1603"/>
      <c r="BK273" s="1620">
        <v>18.892338901791433</v>
      </c>
      <c r="BL273" s="1620">
        <v>2.2302437858834292</v>
      </c>
      <c r="BM273" s="1620">
        <v>48.345485988303352</v>
      </c>
      <c r="BN273" s="1620">
        <v>4.5989688263589494</v>
      </c>
      <c r="BO273" s="1620"/>
      <c r="BP273" s="1620" t="s">
        <v>270</v>
      </c>
      <c r="BQ273" s="1620">
        <v>23.243153406097445</v>
      </c>
      <c r="BR273" s="1620">
        <v>0.4098106924627426</v>
      </c>
      <c r="BS273" s="1620">
        <v>0.43910879980717255</v>
      </c>
      <c r="BT273" s="1603"/>
      <c r="BU273" s="1620">
        <v>516.54514011696551</v>
      </c>
      <c r="BV273" s="1620">
        <v>114.29495286985406</v>
      </c>
      <c r="BW273" s="1620">
        <v>49.069620372223234</v>
      </c>
      <c r="BX273" s="1620">
        <v>93.653731672919676</v>
      </c>
      <c r="BY273" s="1620">
        <v>15.750854872263803</v>
      </c>
      <c r="BZ273" s="1620">
        <v>11.730743365329284</v>
      </c>
      <c r="CA273" s="1620">
        <v>183.78164605682548</v>
      </c>
      <c r="CB273" s="1603"/>
      <c r="CC273" s="1603">
        <v>97.255565376378613</v>
      </c>
      <c r="CD273" s="1603">
        <v>21.716302388879402</v>
      </c>
      <c r="CE273" s="1603">
        <v>26.088024556644903</v>
      </c>
      <c r="CF273" s="1603">
        <v>58.706932640378099</v>
      </c>
      <c r="CG273" s="1603">
        <v>5.9824108310915998</v>
      </c>
      <c r="CH273" s="1603">
        <v>1.7947232493274801</v>
      </c>
      <c r="CI273" s="1603">
        <v>0.75777203860493503</v>
      </c>
      <c r="CJ273" s="1603"/>
      <c r="CK273" s="1603">
        <v>623.33121111330206</v>
      </c>
      <c r="CL273" s="1603">
        <v>371.15135812920903</v>
      </c>
      <c r="CM273" s="1603">
        <v>777.00069907874911</v>
      </c>
      <c r="CN273" s="1603">
        <v>1201.20382225706</v>
      </c>
      <c r="CO273" s="1603">
        <v>3.6636542946433601</v>
      </c>
      <c r="CP273" s="1603">
        <v>3.6835956640803302</v>
      </c>
      <c r="CQ273" s="1603">
        <v>126.044051730253</v>
      </c>
      <c r="CR273" s="1603">
        <v>328.28912819406912</v>
      </c>
      <c r="CS273" s="1603">
        <v>136.19161153922076</v>
      </c>
      <c r="CT273" s="1603">
        <v>27.742489558738622</v>
      </c>
      <c r="CU273" s="1603">
        <v>2.2806135914328287</v>
      </c>
      <c r="CV273" s="1603">
        <v>30.023103150171618</v>
      </c>
      <c r="CW273" s="1603">
        <v>65.245702110477126</v>
      </c>
      <c r="CX273" s="1603">
        <v>1.5964295140029763</v>
      </c>
      <c r="CY273" s="1603">
        <v>3.8598288586158525</v>
      </c>
      <c r="CZ273" s="1603">
        <v>7.3299797987724746</v>
      </c>
      <c r="DA273" s="1603">
        <v>3.2657728760012836</v>
      </c>
      <c r="DB273" s="1603">
        <v>4.8196601749333068</v>
      </c>
      <c r="DC273" s="1603">
        <v>3.5123642205749515</v>
      </c>
      <c r="DD273" s="1603">
        <v>8.3320243955082596</v>
      </c>
      <c r="DE273" s="1603">
        <v>5.4620695514815925</v>
      </c>
      <c r="DF273" s="1603">
        <v>16611.925573506</v>
      </c>
      <c r="DG273" s="1603">
        <v>0</v>
      </c>
      <c r="DH273" s="1603">
        <v>0</v>
      </c>
      <c r="DI273" s="1603">
        <v>73.273085892867201</v>
      </c>
      <c r="DJ273" s="1603">
        <v>7.3273085892867202</v>
      </c>
      <c r="DK273" s="1603">
        <v>666.11896266243002</v>
      </c>
      <c r="DL273" s="1603">
        <v>36.6365429464336</v>
      </c>
      <c r="DM273" s="1603">
        <v>0</v>
      </c>
      <c r="DN273" s="1603">
        <v>36.6365429464336</v>
      </c>
      <c r="DO273" s="1603">
        <v>36.6365429464336</v>
      </c>
      <c r="DP273" s="1603">
        <v>56.620111826306697</v>
      </c>
      <c r="DQ273" s="1603">
        <v>0.36636542946433504</v>
      </c>
      <c r="DR273" s="1603">
        <v>366.36542946433502</v>
      </c>
      <c r="DS273" s="1603">
        <v>183.18271473216799</v>
      </c>
      <c r="DT273" s="1603">
        <v>0</v>
      </c>
      <c r="DU273" s="1603">
        <v>0</v>
      </c>
      <c r="DV273" s="1603">
        <v>0.99917844399364097</v>
      </c>
      <c r="DW273" s="1618" t="s">
        <v>986</v>
      </c>
      <c r="DX273" s="1605" t="s">
        <v>986</v>
      </c>
      <c r="DY273" s="1605" t="s">
        <v>986</v>
      </c>
      <c r="DZ273" s="1605" t="s">
        <v>986</v>
      </c>
      <c r="EA273" s="1605" t="s">
        <v>986</v>
      </c>
      <c r="EB273" s="1605" t="s">
        <v>986</v>
      </c>
      <c r="EC273" s="1605" t="s">
        <v>986</v>
      </c>
      <c r="ED273" s="1605" t="s">
        <v>986</v>
      </c>
      <c r="EE273" s="1605" t="s">
        <v>986</v>
      </c>
      <c r="EF273" s="1605" t="s">
        <v>986</v>
      </c>
      <c r="EG273" s="1605" t="s">
        <v>986</v>
      </c>
      <c r="EH273" s="1605" t="s">
        <v>986</v>
      </c>
      <c r="EI273" s="1605" t="s">
        <v>986</v>
      </c>
      <c r="EJ273" s="1605" t="s">
        <v>986</v>
      </c>
      <c r="EK273" s="1605" t="s">
        <v>986</v>
      </c>
      <c r="EL273" s="1605" t="s">
        <v>986</v>
      </c>
      <c r="EM273" s="1605" t="s">
        <v>986</v>
      </c>
      <c r="EN273" s="1605" t="s">
        <v>986</v>
      </c>
      <c r="EO273" s="1605" t="s">
        <v>986</v>
      </c>
      <c r="EP273" s="1605" t="s">
        <v>986</v>
      </c>
      <c r="EQ273" s="1605" t="s">
        <v>986</v>
      </c>
      <c r="ER273" s="1605" t="s">
        <v>986</v>
      </c>
      <c r="ES273" s="1605" t="s">
        <v>986</v>
      </c>
      <c r="ET273" s="1605" t="s">
        <v>986</v>
      </c>
      <c r="EU273" s="1605" t="s">
        <v>986</v>
      </c>
      <c r="EV273" s="1605" t="s">
        <v>986</v>
      </c>
      <c r="EW273" s="1605" t="s">
        <v>986</v>
      </c>
      <c r="EX273" s="1605" t="s">
        <v>986</v>
      </c>
      <c r="EY273" s="1605" t="s">
        <v>986</v>
      </c>
      <c r="EZ273" s="1605" t="s">
        <v>986</v>
      </c>
      <c r="FA273" s="1605" t="s">
        <v>986</v>
      </c>
      <c r="FB273" s="1605" t="s">
        <v>986</v>
      </c>
      <c r="FC273" s="1605" t="s">
        <v>986</v>
      </c>
      <c r="FD273" s="1605" t="s">
        <v>986</v>
      </c>
      <c r="FE273" s="1605" t="s">
        <v>986</v>
      </c>
      <c r="FF273" s="1605" t="s">
        <v>986</v>
      </c>
      <c r="FG273" s="1605" t="s">
        <v>986</v>
      </c>
      <c r="FH273" s="1605" t="s">
        <v>986</v>
      </c>
      <c r="FI273" s="1605" t="s">
        <v>986</v>
      </c>
      <c r="FJ273" s="1605" t="s">
        <v>986</v>
      </c>
      <c r="FK273" s="1605" t="s">
        <v>986</v>
      </c>
      <c r="FL273" s="1605" t="s">
        <v>986</v>
      </c>
      <c r="FM273" s="1605" t="s">
        <v>986</v>
      </c>
      <c r="FN273" s="1605" t="s">
        <v>986</v>
      </c>
      <c r="FO273" s="1605" t="s">
        <v>986</v>
      </c>
      <c r="FP273" s="1605" t="s">
        <v>986</v>
      </c>
      <c r="FQ273" s="1605" t="s">
        <v>986</v>
      </c>
      <c r="FR273" s="1605" t="s">
        <v>986</v>
      </c>
      <c r="FS273" s="1605" t="s">
        <v>986</v>
      </c>
      <c r="FT273" s="1605" t="s">
        <v>986</v>
      </c>
      <c r="FU273" s="1605" t="s">
        <v>986</v>
      </c>
      <c r="FV273" s="1605" t="s">
        <v>986</v>
      </c>
      <c r="FW273" s="1605" t="s">
        <v>986</v>
      </c>
      <c r="FX273" s="1605" t="s">
        <v>986</v>
      </c>
      <c r="FY273" s="1605" t="s">
        <v>986</v>
      </c>
      <c r="FZ273" s="1605" t="s">
        <v>986</v>
      </c>
      <c r="GA273" s="1605" t="s">
        <v>986</v>
      </c>
      <c r="GB273" s="1605" t="s">
        <v>986</v>
      </c>
      <c r="GC273" s="1605" t="s">
        <v>986</v>
      </c>
      <c r="GD273" s="1605" t="s">
        <v>986</v>
      </c>
      <c r="GE273" s="1605" t="s">
        <v>986</v>
      </c>
      <c r="GF273" s="1605" t="s">
        <v>986</v>
      </c>
      <c r="GG273" s="1605" t="s">
        <v>986</v>
      </c>
      <c r="GH273" s="1605" t="s">
        <v>986</v>
      </c>
      <c r="GI273" s="1605" t="s">
        <v>986</v>
      </c>
      <c r="GJ273" s="1605" t="s">
        <v>986</v>
      </c>
      <c r="GK273" s="1605" t="s">
        <v>986</v>
      </c>
      <c r="GL273" s="1605" t="s">
        <v>986</v>
      </c>
      <c r="GM273" s="1605" t="s">
        <v>986</v>
      </c>
      <c r="GN273" s="1605" t="s">
        <v>1578</v>
      </c>
      <c r="GO273" s="1605" t="s">
        <v>1578</v>
      </c>
      <c r="GP273" s="1605" t="s">
        <v>1578</v>
      </c>
      <c r="GQ273" s="1605" t="s">
        <v>1578</v>
      </c>
      <c r="GR273" s="1605" t="s">
        <v>1578</v>
      </c>
      <c r="GS273" s="1605" t="s">
        <v>1578</v>
      </c>
      <c r="GT273" s="1605" t="s">
        <v>1578</v>
      </c>
      <c r="GU273" s="1605" t="s">
        <v>1578</v>
      </c>
      <c r="GV273" s="1605" t="s">
        <v>1578</v>
      </c>
      <c r="GW273" s="1605" t="s">
        <v>1578</v>
      </c>
      <c r="GX273" s="1605" t="s">
        <v>1578</v>
      </c>
      <c r="GY273" s="1605" t="s">
        <v>1578</v>
      </c>
      <c r="GZ273" s="1605" t="s">
        <v>1578</v>
      </c>
      <c r="HA273" s="1605" t="s">
        <v>1578</v>
      </c>
      <c r="HB273" s="1605" t="s">
        <v>1578</v>
      </c>
      <c r="HC273" s="1605" t="s">
        <v>1578</v>
      </c>
      <c r="HD273" s="1605" t="s">
        <v>1578</v>
      </c>
      <c r="HE273" s="1605" t="s">
        <v>1578</v>
      </c>
      <c r="HF273" s="1605" t="s">
        <v>1578</v>
      </c>
      <c r="HG273" s="1605" t="s">
        <v>1578</v>
      </c>
      <c r="HH273" s="1605" t="s">
        <v>1578</v>
      </c>
      <c r="HI273" s="1605" t="s">
        <v>1578</v>
      </c>
      <c r="HJ273" s="1605" t="s">
        <v>1578</v>
      </c>
      <c r="HK273" s="1605" t="s">
        <v>986</v>
      </c>
      <c r="HL273" s="1605" t="s">
        <v>986</v>
      </c>
      <c r="HM273" s="1605" t="s">
        <v>1578</v>
      </c>
      <c r="HN273" s="1605" t="s">
        <v>1578</v>
      </c>
      <c r="HO273" s="1605" t="s">
        <v>1578</v>
      </c>
      <c r="HP273" s="1605" t="s">
        <v>1578</v>
      </c>
      <c r="HQ273" s="1605" t="s">
        <v>1578</v>
      </c>
      <c r="HR273" s="1605" t="s">
        <v>1578</v>
      </c>
      <c r="HS273" s="1605" t="s">
        <v>1578</v>
      </c>
      <c r="HT273" s="1605" t="s">
        <v>1578</v>
      </c>
      <c r="HU273" s="1605" t="s">
        <v>1578</v>
      </c>
      <c r="HV273" s="1617"/>
      <c r="HW273" s="1617">
        <v>0</v>
      </c>
      <c r="HX273" s="1617">
        <v>0</v>
      </c>
      <c r="HY273" s="1617">
        <v>0</v>
      </c>
      <c r="HZ273" s="1603"/>
      <c r="IA273" s="1603"/>
      <c r="IB273" s="1603"/>
      <c r="IC273" s="1603">
        <v>65.221741860770607</v>
      </c>
      <c r="ID273" s="1603">
        <v>65.5942448126291</v>
      </c>
      <c r="IE273" s="1603">
        <v>65.904663939177894</v>
      </c>
      <c r="IF273" s="1603">
        <v>66.090915415107105</v>
      </c>
      <c r="IG273" s="1611" t="s">
        <v>2932</v>
      </c>
      <c r="IH273" s="1616" t="s">
        <v>270</v>
      </c>
      <c r="II273" s="1615" t="s">
        <v>270</v>
      </c>
      <c r="IJ273" s="1613">
        <v>1.3101818181818183</v>
      </c>
      <c r="IK273" s="1613">
        <v>1.301848484848485</v>
      </c>
      <c r="IL273" s="1614">
        <v>1.3101818181818183</v>
      </c>
      <c r="IM273" s="1614">
        <v>1.301848484848485</v>
      </c>
      <c r="IN273" s="1612" t="s">
        <v>270</v>
      </c>
      <c r="IO273" s="1613" t="s">
        <v>270</v>
      </c>
      <c r="IP273" s="1607" t="s">
        <v>270</v>
      </c>
      <c r="IQ273" s="1612" t="s">
        <v>270</v>
      </c>
      <c r="IR273" s="1612" t="s">
        <v>270</v>
      </c>
      <c r="IS273" s="1607">
        <v>1.1881818181818182</v>
      </c>
      <c r="IT273" s="1607">
        <v>1.1798484848484849</v>
      </c>
      <c r="IU273" s="1611">
        <v>0</v>
      </c>
      <c r="IV273" s="1611">
        <v>7.7767676767676763E-2</v>
      </c>
      <c r="IW273" s="1611">
        <v>9.0909090909090909E-4</v>
      </c>
      <c r="IX273" s="1611">
        <v>1.6060606060606061E-3</v>
      </c>
      <c r="IY273" s="1611">
        <v>9.6969696969696957E-4</v>
      </c>
      <c r="IZ273" s="1611">
        <v>5.9898989898989896E-3</v>
      </c>
      <c r="JA273" s="1611">
        <v>6.0606060606060598E-5</v>
      </c>
      <c r="JB273" s="1611" t="s">
        <v>270</v>
      </c>
      <c r="JC273" s="1611">
        <v>9.9026969696969704</v>
      </c>
      <c r="JD273" s="1611">
        <v>5.2121212121212122E-3</v>
      </c>
      <c r="JE273" s="1611" t="s">
        <v>270</v>
      </c>
      <c r="JF273" s="1611">
        <v>8.2828282828282835E-4</v>
      </c>
      <c r="JG273" s="1611">
        <v>0.57978787878787885</v>
      </c>
      <c r="JH273" s="1611">
        <v>7.646464646464647E-3</v>
      </c>
      <c r="JI273" s="1611">
        <v>0.3</v>
      </c>
      <c r="JJ273" s="1611" t="s">
        <v>270</v>
      </c>
      <c r="JK273" s="1607">
        <f t="shared" si="13"/>
        <v>0.12200000000000011</v>
      </c>
      <c r="JL273" s="1608" t="s">
        <v>270</v>
      </c>
      <c r="JM273" s="1610" t="s">
        <v>2924</v>
      </c>
      <c r="JN273" s="1608">
        <v>8.3333333333333037E-3</v>
      </c>
      <c r="JO273" s="1609" t="s">
        <v>2931</v>
      </c>
      <c r="JP273" s="1608" t="s">
        <v>270</v>
      </c>
      <c r="JQ273" s="1607">
        <v>202103</v>
      </c>
      <c r="JR273" s="1606">
        <v>851</v>
      </c>
      <c r="JS273" s="1606">
        <v>774</v>
      </c>
      <c r="JT273" s="1606">
        <v>774</v>
      </c>
    </row>
    <row r="274" spans="1:280" ht="15" customHeight="1" x14ac:dyDescent="0.2">
      <c r="A274" s="1626">
        <v>40202</v>
      </c>
      <c r="B274" s="1625">
        <v>402</v>
      </c>
      <c r="C274" s="1624">
        <v>2</v>
      </c>
      <c r="D274" s="1623" t="s">
        <v>3060</v>
      </c>
      <c r="E274" s="1622">
        <v>43391</v>
      </c>
      <c r="F274" s="1620">
        <v>0.31190216928718401</v>
      </c>
      <c r="G274" s="1620">
        <v>0.33314955658114598</v>
      </c>
      <c r="H274" s="1621">
        <v>70.635122637416302</v>
      </c>
      <c r="I274" s="1621">
        <v>64.315780156921306</v>
      </c>
      <c r="J274" s="1621">
        <v>94.258204102704894</v>
      </c>
      <c r="K274" s="1620">
        <v>1</v>
      </c>
      <c r="L274" s="1620">
        <v>94.818211206713798</v>
      </c>
      <c r="M274" s="1620">
        <v>15.6381403341957</v>
      </c>
      <c r="N274" s="1620">
        <v>1.7767184976780701</v>
      </c>
      <c r="O274" s="1620">
        <v>54.679834793787002</v>
      </c>
      <c r="P274" s="1620">
        <v>3.39553134207322</v>
      </c>
      <c r="Q274" s="1603"/>
      <c r="R274" s="1620">
        <v>71.826600703456705</v>
      </c>
      <c r="S274" s="1620">
        <v>63.045470453462698</v>
      </c>
      <c r="T274" s="1620">
        <v>64.481988711156603</v>
      </c>
      <c r="U274" s="1620">
        <v>65.056596014234202</v>
      </c>
      <c r="V274" s="1620">
        <v>65.573742587003906</v>
      </c>
      <c r="W274" s="1620">
        <v>65.918506968850494</v>
      </c>
      <c r="X274" s="1620"/>
      <c r="Y274" s="1620">
        <v>125.93806623107415</v>
      </c>
      <c r="Z274" s="1620">
        <v>38.999544505644977</v>
      </c>
      <c r="AA274" s="1620">
        <v>21.967605433774668</v>
      </c>
      <c r="AB274" s="1620">
        <v>52.189853939865593</v>
      </c>
      <c r="AC274" s="1620">
        <v>4.9717875902343263</v>
      </c>
      <c r="AD274" s="1620">
        <v>1.4915362770702969</v>
      </c>
      <c r="AE274" s="1620">
        <v>0.62975976142968215</v>
      </c>
      <c r="AF274" s="1620">
        <v>642.57979741523479</v>
      </c>
      <c r="AG274" s="1620">
        <v>120.22964683265616</v>
      </c>
      <c r="AH274" s="1620">
        <v>811.8060065708579</v>
      </c>
      <c r="AI274" s="1620">
        <v>1967.0362190432011</v>
      </c>
      <c r="AJ274" s="1620">
        <v>3.8750738920156254</v>
      </c>
      <c r="AK274" s="1620">
        <v>3.8916465173164045</v>
      </c>
      <c r="AL274" s="1620"/>
      <c r="AM274" s="1620">
        <v>42.755559700632901</v>
      </c>
      <c r="AN274" s="1620">
        <v>7.7005944638360599</v>
      </c>
      <c r="AO274" s="1620">
        <v>0.67565994296874099</v>
      </c>
      <c r="AP274" s="1620">
        <v>17.648263480914299</v>
      </c>
      <c r="AQ274" s="1620">
        <v>0.47293419254444502</v>
      </c>
      <c r="AR274" s="1620">
        <v>1.1115405980402</v>
      </c>
      <c r="AS274" s="1620">
        <v>2.0913212061073199</v>
      </c>
      <c r="AT274" s="1620">
        <v>0.87496670356154105</v>
      </c>
      <c r="AU274" s="1620">
        <v>1.31428770810578</v>
      </c>
      <c r="AV274" s="1620">
        <v>0.94937281348553604</v>
      </c>
      <c r="AW274" s="1620">
        <v>1.61832293463901</v>
      </c>
      <c r="AX274" s="1620"/>
      <c r="AY274" s="1620">
        <v>1.0389633567597676</v>
      </c>
      <c r="AZ274" s="1620">
        <v>1.3620583753295599</v>
      </c>
      <c r="BA274" s="1620">
        <v>0.90981802136088041</v>
      </c>
      <c r="BB274" s="1620">
        <v>1.0351688575621492</v>
      </c>
      <c r="BC274" s="1620">
        <v>0.90980849757938365</v>
      </c>
      <c r="BD274" s="1620">
        <v>0.93605398359324865</v>
      </c>
      <c r="BE274" s="1620">
        <v>0.94479560677845031</v>
      </c>
      <c r="BF274" s="1620">
        <v>1.0059796923715123</v>
      </c>
      <c r="BG274" s="1620">
        <v>0.98850475644899205</v>
      </c>
      <c r="BH274" s="1620">
        <v>0.99724417011491717</v>
      </c>
      <c r="BI274" s="1620">
        <v>0.90982978574758866</v>
      </c>
      <c r="BJ274" s="1603"/>
      <c r="BK274" s="1620">
        <v>16.492760341262809</v>
      </c>
      <c r="BL274" s="1620">
        <v>1.8738156679676592</v>
      </c>
      <c r="BM274" s="1620">
        <v>57.668072512546289</v>
      </c>
      <c r="BN274" s="1620">
        <v>3.5810961827476371</v>
      </c>
      <c r="BO274" s="1620"/>
      <c r="BP274" s="1620" t="s">
        <v>270</v>
      </c>
      <c r="BQ274" s="1620">
        <v>18.097306828452993</v>
      </c>
      <c r="BR274" s="1620">
        <v>0.32894753583486619</v>
      </c>
      <c r="BS274" s="1620">
        <v>0.35135608691756953</v>
      </c>
      <c r="BT274" s="1603"/>
      <c r="BU274" s="1620">
        <v>423.3192748745372</v>
      </c>
      <c r="BV274" s="1620">
        <v>92.536251063143567</v>
      </c>
      <c r="BW274" s="1620">
        <v>38.215706807528733</v>
      </c>
      <c r="BX274" s="1620">
        <v>72.919551323436934</v>
      </c>
      <c r="BY274" s="1620">
        <v>12.263742722577998</v>
      </c>
      <c r="BZ274" s="1620">
        <v>9.1336514585198962</v>
      </c>
      <c r="CA274" s="1620">
        <v>143.09387285014503</v>
      </c>
      <c r="CB274" s="1603"/>
      <c r="CC274" s="1603">
        <v>119.41222162863099</v>
      </c>
      <c r="CD274" s="1603">
        <v>36.978670479018803</v>
      </c>
      <c r="CE274" s="1603">
        <v>20.829290517254002</v>
      </c>
      <c r="CF274" s="1603">
        <v>49.485485937177202</v>
      </c>
      <c r="CG274" s="1603">
        <v>4.71416005805757</v>
      </c>
      <c r="CH274" s="1603">
        <v>1.41424801741727</v>
      </c>
      <c r="CI274" s="1603">
        <v>0.597126940687293</v>
      </c>
      <c r="CJ274" s="1603"/>
      <c r="CK274" s="1603">
        <v>609.282669484851</v>
      </c>
      <c r="CL274" s="1603">
        <v>113.999600466874</v>
      </c>
      <c r="CM274" s="1603">
        <v>769.73993389914494</v>
      </c>
      <c r="CN274" s="1603">
        <v>1865.1085566849399</v>
      </c>
      <c r="CO274" s="1603">
        <v>3.6742757473476004</v>
      </c>
      <c r="CP274" s="1603">
        <v>3.6899896142077901</v>
      </c>
      <c r="CQ274" s="1603">
        <v>112.32344615289</v>
      </c>
      <c r="CR274" s="1603">
        <v>360.12396582425868</v>
      </c>
      <c r="CS274" s="1603">
        <v>159.97232280498508</v>
      </c>
      <c r="CT274" s="1603">
        <v>37.772175416955292</v>
      </c>
      <c r="CU274" s="1603">
        <v>2.2137813848555292</v>
      </c>
      <c r="CV274" s="1603">
        <v>39.985956801811056</v>
      </c>
      <c r="CW274" s="1603">
        <v>65.79080511683884</v>
      </c>
      <c r="CX274" s="1603">
        <v>1.5495397694092725</v>
      </c>
      <c r="CY274" s="1603">
        <v>3.7469530342963888</v>
      </c>
      <c r="CZ274" s="1603">
        <v>7.1155853212944731</v>
      </c>
      <c r="DA274" s="1603">
        <v>3.169806592640259</v>
      </c>
      <c r="DB274" s="1603">
        <v>4.678657281660727</v>
      </c>
      <c r="DC274" s="1603">
        <v>3.409497067153858</v>
      </c>
      <c r="DD274" s="1603">
        <v>8.0881543488145837</v>
      </c>
      <c r="DE274" s="1603">
        <v>5.3024595428387942</v>
      </c>
      <c r="DF274" s="1603">
        <v>188971.35281328601</v>
      </c>
      <c r="DG274" s="1603">
        <v>0</v>
      </c>
      <c r="DH274" s="1603">
        <v>0</v>
      </c>
      <c r="DI274" s="1603">
        <v>146.97102989390399</v>
      </c>
      <c r="DJ274" s="1603">
        <v>14.6971029893904</v>
      </c>
      <c r="DK274" s="1603">
        <v>2755.7068105107001</v>
      </c>
      <c r="DL274" s="1603">
        <v>36.742757473475997</v>
      </c>
      <c r="DM274" s="1603">
        <v>0</v>
      </c>
      <c r="DN274" s="1603">
        <v>36.742757473475997</v>
      </c>
      <c r="DO274" s="1603">
        <v>91.856893683690103</v>
      </c>
      <c r="DP274" s="1603">
        <v>55.114136210214099</v>
      </c>
      <c r="DQ274" s="1603">
        <v>0.36742757473475901</v>
      </c>
      <c r="DR274" s="1603">
        <v>367.42757473475899</v>
      </c>
      <c r="DS274" s="1603">
        <v>275.57068105106998</v>
      </c>
      <c r="DT274" s="1603">
        <v>0</v>
      </c>
      <c r="DU274" s="1603">
        <v>27.557068105107</v>
      </c>
      <c r="DV274" s="1603">
        <v>3.6742757473476</v>
      </c>
      <c r="DW274" s="1618" t="s">
        <v>986</v>
      </c>
      <c r="DX274" s="1605" t="s">
        <v>986</v>
      </c>
      <c r="DY274" s="1605" t="s">
        <v>986</v>
      </c>
      <c r="DZ274" s="1605" t="s">
        <v>986</v>
      </c>
      <c r="EA274" s="1605" t="s">
        <v>986</v>
      </c>
      <c r="EB274" s="1605" t="s">
        <v>986</v>
      </c>
      <c r="EC274" s="1605" t="s">
        <v>986</v>
      </c>
      <c r="ED274" s="1605" t="s">
        <v>986</v>
      </c>
      <c r="EE274" s="1605" t="s">
        <v>986</v>
      </c>
      <c r="EF274" s="1605" t="s">
        <v>986</v>
      </c>
      <c r="EG274" s="1605" t="s">
        <v>986</v>
      </c>
      <c r="EH274" s="1605" t="s">
        <v>986</v>
      </c>
      <c r="EI274" s="1605" t="s">
        <v>986</v>
      </c>
      <c r="EJ274" s="1605" t="s">
        <v>986</v>
      </c>
      <c r="EK274" s="1605" t="s">
        <v>986</v>
      </c>
      <c r="EL274" s="1605" t="s">
        <v>986</v>
      </c>
      <c r="EM274" s="1605" t="s">
        <v>986</v>
      </c>
      <c r="EN274" s="1605" t="s">
        <v>986</v>
      </c>
      <c r="EO274" s="1605" t="s">
        <v>986</v>
      </c>
      <c r="EP274" s="1605" t="s">
        <v>986</v>
      </c>
      <c r="EQ274" s="1605" t="s">
        <v>986</v>
      </c>
      <c r="ER274" s="1605" t="s">
        <v>986</v>
      </c>
      <c r="ES274" s="1605" t="s">
        <v>986</v>
      </c>
      <c r="ET274" s="1605" t="s">
        <v>986</v>
      </c>
      <c r="EU274" s="1605" t="s">
        <v>986</v>
      </c>
      <c r="EV274" s="1605" t="s">
        <v>986</v>
      </c>
      <c r="EW274" s="1605" t="s">
        <v>986</v>
      </c>
      <c r="EX274" s="1605" t="s">
        <v>986</v>
      </c>
      <c r="EY274" s="1605" t="s">
        <v>986</v>
      </c>
      <c r="EZ274" s="1605" t="s">
        <v>986</v>
      </c>
      <c r="FA274" s="1605" t="s">
        <v>986</v>
      </c>
      <c r="FB274" s="1605" t="s">
        <v>986</v>
      </c>
      <c r="FC274" s="1605" t="s">
        <v>986</v>
      </c>
      <c r="FD274" s="1605" t="s">
        <v>986</v>
      </c>
      <c r="FE274" s="1605" t="s">
        <v>986</v>
      </c>
      <c r="FF274" s="1605" t="s">
        <v>986</v>
      </c>
      <c r="FG274" s="1605" t="s">
        <v>986</v>
      </c>
      <c r="FH274" s="1605" t="s">
        <v>986</v>
      </c>
      <c r="FI274" s="1605" t="s">
        <v>986</v>
      </c>
      <c r="FJ274" s="1605" t="s">
        <v>986</v>
      </c>
      <c r="FK274" s="1605" t="s">
        <v>986</v>
      </c>
      <c r="FL274" s="1605" t="s">
        <v>986</v>
      </c>
      <c r="FM274" s="1605" t="s">
        <v>986</v>
      </c>
      <c r="FN274" s="1605" t="s">
        <v>986</v>
      </c>
      <c r="FO274" s="1605" t="s">
        <v>986</v>
      </c>
      <c r="FP274" s="1605" t="s">
        <v>986</v>
      </c>
      <c r="FQ274" s="1605" t="s">
        <v>986</v>
      </c>
      <c r="FR274" s="1605" t="s">
        <v>986</v>
      </c>
      <c r="FS274" s="1605" t="s">
        <v>986</v>
      </c>
      <c r="FT274" s="1605" t="s">
        <v>986</v>
      </c>
      <c r="FU274" s="1605" t="s">
        <v>986</v>
      </c>
      <c r="FV274" s="1605" t="s">
        <v>986</v>
      </c>
      <c r="FW274" s="1605" t="s">
        <v>986</v>
      </c>
      <c r="FX274" s="1605" t="s">
        <v>986</v>
      </c>
      <c r="FY274" s="1605" t="s">
        <v>986</v>
      </c>
      <c r="FZ274" s="1605" t="s">
        <v>986</v>
      </c>
      <c r="GA274" s="1605" t="s">
        <v>986</v>
      </c>
      <c r="GB274" s="1605" t="s">
        <v>986</v>
      </c>
      <c r="GC274" s="1605" t="s">
        <v>986</v>
      </c>
      <c r="GD274" s="1605" t="s">
        <v>986</v>
      </c>
      <c r="GE274" s="1605" t="s">
        <v>986</v>
      </c>
      <c r="GF274" s="1605" t="s">
        <v>986</v>
      </c>
      <c r="GG274" s="1605" t="s">
        <v>986</v>
      </c>
      <c r="GH274" s="1605" t="s">
        <v>986</v>
      </c>
      <c r="GI274" s="1605" t="s">
        <v>986</v>
      </c>
      <c r="GJ274" s="1605" t="s">
        <v>986</v>
      </c>
      <c r="GK274" s="1605" t="s">
        <v>986</v>
      </c>
      <c r="GL274" s="1605" t="s">
        <v>986</v>
      </c>
      <c r="GM274" s="1605" t="s">
        <v>986</v>
      </c>
      <c r="GN274" s="1605" t="s">
        <v>1578</v>
      </c>
      <c r="GO274" s="1605" t="s">
        <v>1578</v>
      </c>
      <c r="GP274" s="1605" t="s">
        <v>1578</v>
      </c>
      <c r="GQ274" s="1605" t="s">
        <v>1578</v>
      </c>
      <c r="GR274" s="1605" t="s">
        <v>1578</v>
      </c>
      <c r="GS274" s="1605" t="s">
        <v>1578</v>
      </c>
      <c r="GT274" s="1605" t="s">
        <v>1578</v>
      </c>
      <c r="GU274" s="1605" t="s">
        <v>1578</v>
      </c>
      <c r="GV274" s="1605" t="s">
        <v>1578</v>
      </c>
      <c r="GW274" s="1605" t="s">
        <v>1578</v>
      </c>
      <c r="GX274" s="1605" t="s">
        <v>1578</v>
      </c>
      <c r="GY274" s="1605" t="s">
        <v>1578</v>
      </c>
      <c r="GZ274" s="1605" t="s">
        <v>1578</v>
      </c>
      <c r="HA274" s="1605" t="s">
        <v>1578</v>
      </c>
      <c r="HB274" s="1605" t="s">
        <v>1578</v>
      </c>
      <c r="HC274" s="1605" t="s">
        <v>1578</v>
      </c>
      <c r="HD274" s="1605" t="s">
        <v>1578</v>
      </c>
      <c r="HE274" s="1605" t="s">
        <v>1578</v>
      </c>
      <c r="HF274" s="1605" t="s">
        <v>1578</v>
      </c>
      <c r="HG274" s="1605" t="s">
        <v>1578</v>
      </c>
      <c r="HH274" s="1605" t="s">
        <v>1578</v>
      </c>
      <c r="HI274" s="1605" t="s">
        <v>1578</v>
      </c>
      <c r="HJ274" s="1605" t="s">
        <v>1578</v>
      </c>
      <c r="HK274" s="1605" t="s">
        <v>986</v>
      </c>
      <c r="HL274" s="1605" t="s">
        <v>986</v>
      </c>
      <c r="HM274" s="1605" t="s">
        <v>1578</v>
      </c>
      <c r="HN274" s="1605" t="s">
        <v>1578</v>
      </c>
      <c r="HO274" s="1605" t="s">
        <v>1578</v>
      </c>
      <c r="HP274" s="1605" t="s">
        <v>1578</v>
      </c>
      <c r="HQ274" s="1605" t="s">
        <v>1578</v>
      </c>
      <c r="HR274" s="1605" t="s">
        <v>1578</v>
      </c>
      <c r="HS274" s="1605" t="s">
        <v>1578</v>
      </c>
      <c r="HT274" s="1605" t="s">
        <v>1578</v>
      </c>
      <c r="HU274" s="1605" t="s">
        <v>1578</v>
      </c>
      <c r="HV274" s="1617"/>
      <c r="HW274" s="1617">
        <v>0</v>
      </c>
      <c r="HX274" s="1617">
        <v>0</v>
      </c>
      <c r="HY274" s="1617">
        <v>0</v>
      </c>
      <c r="HZ274" s="1603"/>
      <c r="IA274" s="1603"/>
      <c r="IB274" s="1603"/>
      <c r="IC274" s="1603">
        <v>66.177080255235396</v>
      </c>
      <c r="ID274" s="1603">
        <v>66.349462446158597</v>
      </c>
      <c r="IE274" s="1603">
        <v>66.493114271927993</v>
      </c>
      <c r="IF274" s="1603">
        <v>66.579305367389694</v>
      </c>
      <c r="IG274" s="1611" t="s">
        <v>2932</v>
      </c>
      <c r="IH274" s="1616" t="s">
        <v>270</v>
      </c>
      <c r="II274" s="1615" t="s">
        <v>270</v>
      </c>
      <c r="IJ274" s="1613">
        <v>1.3101818181818183</v>
      </c>
      <c r="IK274" s="1613">
        <v>1.301848484848485</v>
      </c>
      <c r="IL274" s="1614">
        <v>1.3101818181818183</v>
      </c>
      <c r="IM274" s="1614">
        <v>1.301848484848485</v>
      </c>
      <c r="IN274" s="1612" t="s">
        <v>270</v>
      </c>
      <c r="IO274" s="1613" t="s">
        <v>270</v>
      </c>
      <c r="IP274" s="1607" t="s">
        <v>270</v>
      </c>
      <c r="IQ274" s="1612" t="s">
        <v>270</v>
      </c>
      <c r="IR274" s="1612" t="s">
        <v>270</v>
      </c>
      <c r="IS274" s="1607">
        <v>1.1881818181818182</v>
      </c>
      <c r="IT274" s="1607">
        <v>1.1798484848484849</v>
      </c>
      <c r="IU274" s="1611">
        <v>0</v>
      </c>
      <c r="IV274" s="1611">
        <v>7.7767676767676763E-2</v>
      </c>
      <c r="IW274" s="1611">
        <v>9.0909090909090909E-4</v>
      </c>
      <c r="IX274" s="1611">
        <v>1.6060606060606061E-3</v>
      </c>
      <c r="IY274" s="1611">
        <v>9.6969696969696957E-4</v>
      </c>
      <c r="IZ274" s="1611">
        <v>5.9898989898989896E-3</v>
      </c>
      <c r="JA274" s="1611">
        <v>6.0606060606060598E-5</v>
      </c>
      <c r="JB274" s="1611" t="s">
        <v>270</v>
      </c>
      <c r="JC274" s="1611">
        <v>9.9026969696969704</v>
      </c>
      <c r="JD274" s="1611">
        <v>5.2121212121212122E-3</v>
      </c>
      <c r="JE274" s="1611" t="s">
        <v>270</v>
      </c>
      <c r="JF274" s="1611">
        <v>8.2828282828282835E-4</v>
      </c>
      <c r="JG274" s="1611">
        <v>0.57978787878787885</v>
      </c>
      <c r="JH274" s="1611">
        <v>7.646464646464647E-3</v>
      </c>
      <c r="JI274" s="1611">
        <v>0.3</v>
      </c>
      <c r="JJ274" s="1611" t="s">
        <v>270</v>
      </c>
      <c r="JK274" s="1607">
        <f t="shared" si="13"/>
        <v>0.12200000000000011</v>
      </c>
      <c r="JL274" s="1608" t="s">
        <v>270</v>
      </c>
      <c r="JM274" s="1610" t="s">
        <v>2924</v>
      </c>
      <c r="JN274" s="1608">
        <v>8.3333333333333037E-3</v>
      </c>
      <c r="JO274" s="1609" t="s">
        <v>2931</v>
      </c>
      <c r="JP274" s="1608" t="s">
        <v>270</v>
      </c>
      <c r="JQ274" s="1607">
        <v>202103</v>
      </c>
      <c r="JR274" s="1606">
        <v>851</v>
      </c>
      <c r="JS274" s="1606">
        <v>774</v>
      </c>
      <c r="JT274" s="1606">
        <v>774</v>
      </c>
    </row>
    <row r="275" spans="1:280" ht="15" customHeight="1" x14ac:dyDescent="0.2">
      <c r="A275" s="1626">
        <v>40201</v>
      </c>
      <c r="B275" s="1625">
        <v>402</v>
      </c>
      <c r="C275" s="1624">
        <v>1</v>
      </c>
      <c r="D275" s="1623" t="s">
        <v>3059</v>
      </c>
      <c r="E275" s="1622">
        <v>43391</v>
      </c>
      <c r="F275" s="1620">
        <v>0.17537439944094699</v>
      </c>
      <c r="G275" s="1620">
        <v>0.20393247138308401</v>
      </c>
      <c r="H275" s="1621">
        <v>60.968016136260303</v>
      </c>
      <c r="I275" s="1621">
        <v>52.563529148956697</v>
      </c>
      <c r="J275" s="1621">
        <v>84.250025514927998</v>
      </c>
      <c r="K275" s="1620">
        <v>1</v>
      </c>
      <c r="L275" s="1620">
        <v>94.640077319011297</v>
      </c>
      <c r="M275" s="1620">
        <v>5.9680312883912503</v>
      </c>
      <c r="N275" s="1620">
        <v>1.7372600338546</v>
      </c>
      <c r="O275" s="1620">
        <v>63.002949660754197</v>
      </c>
      <c r="P275" s="1620">
        <v>3.5546064254873002</v>
      </c>
      <c r="Q275" s="1603"/>
      <c r="R275" s="1620">
        <v>64.685409094413899</v>
      </c>
      <c r="S275" s="1620">
        <v>55.916548967553297</v>
      </c>
      <c r="T275" s="1620">
        <v>59.942711771244397</v>
      </c>
      <c r="U275" s="1620">
        <v>61.553176892720799</v>
      </c>
      <c r="V275" s="1620">
        <v>63.002595502049601</v>
      </c>
      <c r="W275" s="1620">
        <v>63.968874574935398</v>
      </c>
      <c r="X275" s="1620"/>
      <c r="Y275" s="1620">
        <v>176.25465626379588</v>
      </c>
      <c r="Z275" s="1620">
        <v>14.590682282342367</v>
      </c>
      <c r="AA275" s="1620">
        <v>28.009050893744796</v>
      </c>
      <c r="AB275" s="1620">
        <v>45.641936759441101</v>
      </c>
      <c r="AC275" s="1620">
        <v>5.213253146561212</v>
      </c>
      <c r="AD275" s="1620">
        <v>1.5639759439683572</v>
      </c>
      <c r="AE275" s="1620">
        <v>0.66034539856441954</v>
      </c>
      <c r="AF275" s="1620">
        <v>1045.4755279280901</v>
      </c>
      <c r="AG275" s="1620">
        <v>200.40635034134758</v>
      </c>
      <c r="AH275" s="1620">
        <v>1346.8163921118785</v>
      </c>
      <c r="AI275" s="1620">
        <v>3301.5277657379161</v>
      </c>
      <c r="AJ275" s="1620">
        <v>6.5411915941366363</v>
      </c>
      <c r="AK275" s="1620">
        <v>6.5585691046251826</v>
      </c>
      <c r="AL275" s="1620"/>
      <c r="AM275" s="1620">
        <v>3.6146494762657202</v>
      </c>
      <c r="AN275" s="1620">
        <v>8.2497324097510294</v>
      </c>
      <c r="AO275" s="1620">
        <v>1.8536204574309401</v>
      </c>
      <c r="AP275" s="1620">
        <v>7.4468983612023099</v>
      </c>
      <c r="AQ275" s="1620">
        <v>1.2974117311932301</v>
      </c>
      <c r="AR275" s="1620">
        <v>3.0495588031173999</v>
      </c>
      <c r="AS275" s="1620">
        <v>5.7376337987607799</v>
      </c>
      <c r="AT275" s="1620">
        <v>2.4003814413345301</v>
      </c>
      <c r="AU275" s="1620">
        <v>3.60586182859236</v>
      </c>
      <c r="AV275" s="1620">
        <v>2.6046484016695901</v>
      </c>
      <c r="AW275" s="1620">
        <v>4.4399391698558004</v>
      </c>
      <c r="AX275" s="1620"/>
      <c r="AY275" s="1620">
        <v>0.97151774673286262</v>
      </c>
      <c r="AZ275" s="1620">
        <v>1.4601201200754887</v>
      </c>
      <c r="BA275" s="1620">
        <v>1.0103267912657108</v>
      </c>
      <c r="BB275" s="1620">
        <v>1.0944216751936631</v>
      </c>
      <c r="BC275" s="1620">
        <v>1.0103097788308562</v>
      </c>
      <c r="BD275" s="1620">
        <v>1.0394551221776862</v>
      </c>
      <c r="BE275" s="1620">
        <v>1.0491579613354978</v>
      </c>
      <c r="BF275" s="1620">
        <v>1.1170648380521102</v>
      </c>
      <c r="BG275" s="1620">
        <v>1.0976740034249006</v>
      </c>
      <c r="BH275" s="1620">
        <v>1.107372896244166</v>
      </c>
      <c r="BI275" s="1620">
        <v>1.0103478044379239</v>
      </c>
      <c r="BJ275" s="1603"/>
      <c r="BK275" s="1620">
        <v>6.3060295991457229</v>
      </c>
      <c r="BL275" s="1620">
        <v>1.8356494236566088</v>
      </c>
      <c r="BM275" s="1620">
        <v>66.571109666769217</v>
      </c>
      <c r="BN275" s="1620">
        <v>3.7559208806492075</v>
      </c>
      <c r="BO275" s="1620"/>
      <c r="BP275" s="1620">
        <v>0</v>
      </c>
      <c r="BQ275" s="1620">
        <v>18.976241453482803</v>
      </c>
      <c r="BR275" s="1620">
        <v>0.18530669501652847</v>
      </c>
      <c r="BS275" s="1620">
        <v>0.21548214790196293</v>
      </c>
      <c r="BT275" s="1603"/>
      <c r="BU275" s="1620">
        <v>334.28890333230777</v>
      </c>
      <c r="BV275" s="1620">
        <v>88.482547505725904</v>
      </c>
      <c r="BW275" s="1620">
        <v>40.136096257948232</v>
      </c>
      <c r="BX275" s="1620">
        <v>76.461046149564439</v>
      </c>
      <c r="BY275" s="1620">
        <v>12.859357761517563</v>
      </c>
      <c r="BZ275" s="1620">
        <v>9.5772468838472626</v>
      </c>
      <c r="CA275" s="1620">
        <v>150.04353451360694</v>
      </c>
      <c r="CB275" s="1603"/>
      <c r="CC275" s="1603">
        <v>166.80754296641402</v>
      </c>
      <c r="CD275" s="1603">
        <v>13.808632993380099</v>
      </c>
      <c r="CE275" s="1603">
        <v>26.5077874221613</v>
      </c>
      <c r="CF275" s="1603">
        <v>43.195564239029295</v>
      </c>
      <c r="CG275" s="1603">
        <v>4.93382680874132</v>
      </c>
      <c r="CH275" s="1603">
        <v>1.4801480426223901</v>
      </c>
      <c r="CI275" s="1603">
        <v>0.62495139577389991</v>
      </c>
      <c r="CJ275" s="1603"/>
      <c r="CK275" s="1603">
        <v>989.43884798248598</v>
      </c>
      <c r="CL275" s="1603">
        <v>189.66472491526</v>
      </c>
      <c r="CM275" s="1603">
        <v>1274.6280748398001</v>
      </c>
      <c r="CN275" s="1603">
        <v>3124.5684302029899</v>
      </c>
      <c r="CO275" s="1603">
        <v>6.1905887822755803</v>
      </c>
      <c r="CP275" s="1603">
        <v>6.2070348716380597</v>
      </c>
      <c r="CQ275" s="1603">
        <v>38.604454537784903</v>
      </c>
      <c r="CR275" s="1603">
        <v>220.12594005081115</v>
      </c>
      <c r="CS275" s="1603">
        <v>7.7301540835746039</v>
      </c>
      <c r="CT275" s="1603">
        <v>26.515490843884994</v>
      </c>
      <c r="CU275" s="1603">
        <v>4.1224358576869324</v>
      </c>
      <c r="CV275" s="1603">
        <v>30.637926701571981</v>
      </c>
      <c r="CW275" s="1603">
        <v>17.940367528127858</v>
      </c>
      <c r="CX275" s="1603">
        <v>2.8853838769976208</v>
      </c>
      <c r="CY275" s="1603">
        <v>6.977727088097347</v>
      </c>
      <c r="CZ275" s="1603">
        <v>13.250886387548512</v>
      </c>
      <c r="DA275" s="1603">
        <v>5.9024166867438685</v>
      </c>
      <c r="DB275" s="1603">
        <v>8.7127185199826851</v>
      </c>
      <c r="DC275" s="1603">
        <v>6.349130007711218</v>
      </c>
      <c r="DD275" s="1603">
        <v>15.061848527693906</v>
      </c>
      <c r="DE275" s="1603">
        <v>9.8745916656915735</v>
      </c>
      <c r="DF275" s="1603">
        <v>28701.2596942251</v>
      </c>
      <c r="DG275" s="1603">
        <v>0</v>
      </c>
      <c r="DH275" s="1603">
        <v>0</v>
      </c>
      <c r="DI275" s="1603">
        <v>247.623551291024</v>
      </c>
      <c r="DJ275" s="1603">
        <v>24.762355129102399</v>
      </c>
      <c r="DK275" s="1603">
        <v>1114.30598080961</v>
      </c>
      <c r="DL275" s="1603">
        <v>61.905887822755801</v>
      </c>
      <c r="DM275" s="1603">
        <v>0</v>
      </c>
      <c r="DN275" s="1603">
        <v>61.905887822755801</v>
      </c>
      <c r="DO275" s="1603">
        <v>154.76471955688999</v>
      </c>
      <c r="DP275" s="1603">
        <v>92.858831734134</v>
      </c>
      <c r="DQ275" s="1603">
        <v>0.61905887822755801</v>
      </c>
      <c r="DR275" s="1603">
        <v>619.05887822755801</v>
      </c>
      <c r="DS275" s="1603">
        <v>464.29415867066899</v>
      </c>
      <c r="DT275" s="1603">
        <v>0</v>
      </c>
      <c r="DU275" s="1603">
        <v>46.429415867066901</v>
      </c>
      <c r="DV275" s="1603">
        <v>6.1905887822755803</v>
      </c>
      <c r="DW275" s="1618" t="s">
        <v>986</v>
      </c>
      <c r="DX275" s="1605" t="s">
        <v>986</v>
      </c>
      <c r="DY275" s="1605" t="s">
        <v>986</v>
      </c>
      <c r="DZ275" s="1605" t="s">
        <v>986</v>
      </c>
      <c r="EA275" s="1605" t="s">
        <v>986</v>
      </c>
      <c r="EB275" s="1605" t="s">
        <v>986</v>
      </c>
      <c r="EC275" s="1605" t="s">
        <v>986</v>
      </c>
      <c r="ED275" s="1605" t="s">
        <v>986</v>
      </c>
      <c r="EE275" s="1605" t="s">
        <v>986</v>
      </c>
      <c r="EF275" s="1605" t="s">
        <v>986</v>
      </c>
      <c r="EG275" s="1605" t="s">
        <v>986</v>
      </c>
      <c r="EH275" s="1605" t="s">
        <v>986</v>
      </c>
      <c r="EI275" s="1605" t="s">
        <v>986</v>
      </c>
      <c r="EJ275" s="1605" t="s">
        <v>986</v>
      </c>
      <c r="EK275" s="1605" t="s">
        <v>986</v>
      </c>
      <c r="EL275" s="1605" t="s">
        <v>986</v>
      </c>
      <c r="EM275" s="1605" t="s">
        <v>986</v>
      </c>
      <c r="EN275" s="1605" t="s">
        <v>986</v>
      </c>
      <c r="EO275" s="1605" t="s">
        <v>986</v>
      </c>
      <c r="EP275" s="1605" t="s">
        <v>986</v>
      </c>
      <c r="EQ275" s="1605" t="s">
        <v>986</v>
      </c>
      <c r="ER275" s="1605" t="s">
        <v>986</v>
      </c>
      <c r="ES275" s="1605" t="s">
        <v>986</v>
      </c>
      <c r="ET275" s="1605" t="s">
        <v>986</v>
      </c>
      <c r="EU275" s="1605" t="s">
        <v>986</v>
      </c>
      <c r="EV275" s="1605" t="s">
        <v>986</v>
      </c>
      <c r="EW275" s="1605" t="s">
        <v>986</v>
      </c>
      <c r="EX275" s="1605" t="s">
        <v>986</v>
      </c>
      <c r="EY275" s="1605" t="s">
        <v>986</v>
      </c>
      <c r="EZ275" s="1605" t="s">
        <v>986</v>
      </c>
      <c r="FA275" s="1605" t="s">
        <v>986</v>
      </c>
      <c r="FB275" s="1605" t="s">
        <v>986</v>
      </c>
      <c r="FC275" s="1605" t="s">
        <v>986</v>
      </c>
      <c r="FD275" s="1605" t="s">
        <v>986</v>
      </c>
      <c r="FE275" s="1605" t="s">
        <v>986</v>
      </c>
      <c r="FF275" s="1605" t="s">
        <v>986</v>
      </c>
      <c r="FG275" s="1605" t="s">
        <v>986</v>
      </c>
      <c r="FH275" s="1605" t="s">
        <v>986</v>
      </c>
      <c r="FI275" s="1605" t="s">
        <v>986</v>
      </c>
      <c r="FJ275" s="1605" t="s">
        <v>986</v>
      </c>
      <c r="FK275" s="1605" t="s">
        <v>986</v>
      </c>
      <c r="FL275" s="1605" t="s">
        <v>986</v>
      </c>
      <c r="FM275" s="1605" t="s">
        <v>986</v>
      </c>
      <c r="FN275" s="1605" t="s">
        <v>986</v>
      </c>
      <c r="FO275" s="1605" t="s">
        <v>986</v>
      </c>
      <c r="FP275" s="1605" t="s">
        <v>986</v>
      </c>
      <c r="FQ275" s="1605" t="s">
        <v>986</v>
      </c>
      <c r="FR275" s="1605" t="s">
        <v>986</v>
      </c>
      <c r="FS275" s="1605" t="s">
        <v>986</v>
      </c>
      <c r="FT275" s="1605" t="s">
        <v>986</v>
      </c>
      <c r="FU275" s="1605" t="s">
        <v>986</v>
      </c>
      <c r="FV275" s="1605" t="s">
        <v>986</v>
      </c>
      <c r="FW275" s="1605" t="s">
        <v>986</v>
      </c>
      <c r="FX275" s="1605" t="s">
        <v>986</v>
      </c>
      <c r="FY275" s="1605" t="s">
        <v>986</v>
      </c>
      <c r="FZ275" s="1605" t="s">
        <v>986</v>
      </c>
      <c r="GA275" s="1605" t="s">
        <v>986</v>
      </c>
      <c r="GB275" s="1605" t="s">
        <v>986</v>
      </c>
      <c r="GC275" s="1605" t="s">
        <v>986</v>
      </c>
      <c r="GD275" s="1605" t="s">
        <v>986</v>
      </c>
      <c r="GE275" s="1605" t="s">
        <v>986</v>
      </c>
      <c r="GF275" s="1605" t="s">
        <v>986</v>
      </c>
      <c r="GG275" s="1605" t="s">
        <v>986</v>
      </c>
      <c r="GH275" s="1605" t="s">
        <v>986</v>
      </c>
      <c r="GI275" s="1605" t="s">
        <v>986</v>
      </c>
      <c r="GJ275" s="1605" t="s">
        <v>986</v>
      </c>
      <c r="GK275" s="1605" t="s">
        <v>986</v>
      </c>
      <c r="GL275" s="1605" t="s">
        <v>986</v>
      </c>
      <c r="GM275" s="1605" t="s">
        <v>986</v>
      </c>
      <c r="GN275" s="1605" t="s">
        <v>1578</v>
      </c>
      <c r="GO275" s="1605" t="s">
        <v>1578</v>
      </c>
      <c r="GP275" s="1605" t="s">
        <v>1578</v>
      </c>
      <c r="GQ275" s="1605" t="s">
        <v>1578</v>
      </c>
      <c r="GR275" s="1605" t="s">
        <v>1578</v>
      </c>
      <c r="GS275" s="1605" t="s">
        <v>1578</v>
      </c>
      <c r="GT275" s="1605" t="s">
        <v>1578</v>
      </c>
      <c r="GU275" s="1605" t="s">
        <v>1578</v>
      </c>
      <c r="GV275" s="1605" t="s">
        <v>1578</v>
      </c>
      <c r="GW275" s="1605" t="s">
        <v>1578</v>
      </c>
      <c r="GX275" s="1605" t="s">
        <v>1578</v>
      </c>
      <c r="GY275" s="1605" t="s">
        <v>1578</v>
      </c>
      <c r="GZ275" s="1605" t="s">
        <v>1578</v>
      </c>
      <c r="HA275" s="1605" t="s">
        <v>1578</v>
      </c>
      <c r="HB275" s="1605" t="s">
        <v>1578</v>
      </c>
      <c r="HC275" s="1605" t="s">
        <v>1578</v>
      </c>
      <c r="HD275" s="1605" t="s">
        <v>1578</v>
      </c>
      <c r="HE275" s="1605" t="s">
        <v>1578</v>
      </c>
      <c r="HF275" s="1605" t="s">
        <v>1578</v>
      </c>
      <c r="HG275" s="1605" t="s">
        <v>1578</v>
      </c>
      <c r="HH275" s="1605" t="s">
        <v>1578</v>
      </c>
      <c r="HI275" s="1605" t="s">
        <v>1578</v>
      </c>
      <c r="HJ275" s="1605" t="s">
        <v>1578</v>
      </c>
      <c r="HK275" s="1605" t="s">
        <v>986</v>
      </c>
      <c r="HL275" s="1605" t="s">
        <v>986</v>
      </c>
      <c r="HM275" s="1605" t="s">
        <v>1578</v>
      </c>
      <c r="HN275" s="1605" t="s">
        <v>1578</v>
      </c>
      <c r="HO275" s="1605" t="s">
        <v>1578</v>
      </c>
      <c r="HP275" s="1605" t="s">
        <v>1578</v>
      </c>
      <c r="HQ275" s="1605" t="s">
        <v>1578</v>
      </c>
      <c r="HR275" s="1605" t="s">
        <v>1578</v>
      </c>
      <c r="HS275" s="1605" t="s">
        <v>1578</v>
      </c>
      <c r="HT275" s="1605" t="s">
        <v>1578</v>
      </c>
      <c r="HU275" s="1605" t="s">
        <v>1578</v>
      </c>
      <c r="HV275" s="1617"/>
      <c r="HW275" s="1617">
        <v>0</v>
      </c>
      <c r="HX275" s="1617">
        <v>0</v>
      </c>
      <c r="HY275" s="1617">
        <v>0</v>
      </c>
      <c r="HZ275" s="1603"/>
      <c r="IA275" s="1603"/>
      <c r="IB275" s="1603"/>
      <c r="IC275" s="1603">
        <v>64.6935838795998</v>
      </c>
      <c r="ID275" s="1603">
        <v>65.176723416042805</v>
      </c>
      <c r="IE275" s="1603">
        <v>65.579339696411907</v>
      </c>
      <c r="IF275" s="1603">
        <v>65.820909464633303</v>
      </c>
      <c r="IG275" s="1611" t="s">
        <v>2932</v>
      </c>
      <c r="IH275" s="1616" t="s">
        <v>270</v>
      </c>
      <c r="II275" s="1615" t="s">
        <v>270</v>
      </c>
      <c r="IJ275" s="1613">
        <v>1.3101818181818183</v>
      </c>
      <c r="IK275" s="1613">
        <v>1.301848484848485</v>
      </c>
      <c r="IL275" s="1614">
        <v>1.3101818181818183</v>
      </c>
      <c r="IM275" s="1614">
        <v>1.301848484848485</v>
      </c>
      <c r="IN275" s="1612" t="s">
        <v>270</v>
      </c>
      <c r="IO275" s="1613" t="s">
        <v>270</v>
      </c>
      <c r="IP275" s="1607" t="s">
        <v>270</v>
      </c>
      <c r="IQ275" s="1612" t="s">
        <v>270</v>
      </c>
      <c r="IR275" s="1612" t="s">
        <v>270</v>
      </c>
      <c r="IS275" s="1607">
        <v>1.1881818181818182</v>
      </c>
      <c r="IT275" s="1607">
        <v>1.1798484848484849</v>
      </c>
      <c r="IU275" s="1611">
        <v>0</v>
      </c>
      <c r="IV275" s="1611">
        <v>7.7767676767676763E-2</v>
      </c>
      <c r="IW275" s="1611">
        <v>9.0909090909090909E-4</v>
      </c>
      <c r="IX275" s="1611">
        <v>1.6060606060606061E-3</v>
      </c>
      <c r="IY275" s="1611">
        <v>9.6969696969696957E-4</v>
      </c>
      <c r="IZ275" s="1611">
        <v>5.9898989898989896E-3</v>
      </c>
      <c r="JA275" s="1611">
        <v>6.0606060606060598E-5</v>
      </c>
      <c r="JB275" s="1611" t="s">
        <v>270</v>
      </c>
      <c r="JC275" s="1611">
        <v>9.9026969696969704</v>
      </c>
      <c r="JD275" s="1611">
        <v>5.2121212121212122E-3</v>
      </c>
      <c r="JE275" s="1611" t="s">
        <v>270</v>
      </c>
      <c r="JF275" s="1611">
        <v>8.2828282828282835E-4</v>
      </c>
      <c r="JG275" s="1611">
        <v>0.57978787878787885</v>
      </c>
      <c r="JH275" s="1611">
        <v>7.646464646464647E-3</v>
      </c>
      <c r="JI275" s="1611">
        <v>0.3</v>
      </c>
      <c r="JJ275" s="1611" t="s">
        <v>270</v>
      </c>
      <c r="JK275" s="1607">
        <f t="shared" si="13"/>
        <v>0.12200000000000011</v>
      </c>
      <c r="JL275" s="1608" t="s">
        <v>270</v>
      </c>
      <c r="JM275" s="1610" t="s">
        <v>2924</v>
      </c>
      <c r="JN275" s="1608">
        <v>8.3333333333333037E-3</v>
      </c>
      <c r="JO275" s="1609" t="s">
        <v>2931</v>
      </c>
      <c r="JP275" s="1608" t="s">
        <v>270</v>
      </c>
      <c r="JQ275" s="1607">
        <v>202103</v>
      </c>
      <c r="JR275" s="1606">
        <v>851</v>
      </c>
      <c r="JS275" s="1606">
        <v>774</v>
      </c>
      <c r="JT275" s="1606">
        <v>774</v>
      </c>
    </row>
    <row r="276" spans="1:280" ht="15" customHeight="1" x14ac:dyDescent="0.2">
      <c r="A276" s="1626">
        <v>24001</v>
      </c>
      <c r="B276" s="1625">
        <v>240</v>
      </c>
      <c r="C276" s="1624">
        <v>1</v>
      </c>
      <c r="D276" s="1623" t="s">
        <v>3058</v>
      </c>
      <c r="E276" s="1622">
        <v>43369</v>
      </c>
      <c r="F276" s="1620">
        <v>1.34513427989132</v>
      </c>
      <c r="G276" s="1620">
        <v>1.3224682785984501</v>
      </c>
      <c r="H276" s="1621">
        <v>87.2611982073674</v>
      </c>
      <c r="I276" s="1621">
        <v>83.312755635398403</v>
      </c>
      <c r="J276" s="1621">
        <v>94.028035071658493</v>
      </c>
      <c r="K276" s="1620">
        <v>0.98932833970290202</v>
      </c>
      <c r="L276" s="1620">
        <v>92.187403304825594</v>
      </c>
      <c r="M276" s="1620">
        <v>31.194901513363401</v>
      </c>
      <c r="N276" s="1620">
        <v>17.6668386214747</v>
      </c>
      <c r="O276" s="1620">
        <v>11.953342652228001</v>
      </c>
      <c r="P276" s="1620">
        <v>2.9004663512284701</v>
      </c>
      <c r="Q276" s="1603"/>
      <c r="R276" s="1620">
        <v>88.640179845812199</v>
      </c>
      <c r="S276" s="1620">
        <v>57.398209557625997</v>
      </c>
      <c r="T276" s="1620">
        <v>60.729726540179399</v>
      </c>
      <c r="U276" s="1620">
        <v>62.062333333200797</v>
      </c>
      <c r="V276" s="1620">
        <v>63.261679446919999</v>
      </c>
      <c r="W276" s="1620">
        <v>64.061243522732795</v>
      </c>
      <c r="X276" s="1620"/>
      <c r="Y276" s="1620">
        <v>17.793745432766457</v>
      </c>
      <c r="Z276" s="1620">
        <v>14.000843055914427</v>
      </c>
      <c r="AA276" s="1620">
        <v>7.5240153011299</v>
      </c>
      <c r="AB276" s="1620">
        <v>10.788238481342802</v>
      </c>
      <c r="AC276" s="1620">
        <v>12.589589812300504</v>
      </c>
      <c r="AD276" s="1620">
        <v>2.0439716230009335</v>
      </c>
      <c r="AE276" s="1620">
        <v>3.39387346325229</v>
      </c>
      <c r="AF276" s="1620">
        <v>409.98208100908937</v>
      </c>
      <c r="AG276" s="1620">
        <v>67.995084081404357</v>
      </c>
      <c r="AH276" s="1620">
        <v>156.20717467111157</v>
      </c>
      <c r="AI276" s="1620">
        <v>274.16115692149134</v>
      </c>
      <c r="AJ276" s="1620">
        <v>0.61510372175487416</v>
      </c>
      <c r="AK276" s="1620">
        <v>1.5319189884465223</v>
      </c>
      <c r="AL276" s="1620"/>
      <c r="AM276" s="1620">
        <v>8.9430279683009601</v>
      </c>
      <c r="AN276" s="1620">
        <v>2.8791922634945402</v>
      </c>
      <c r="AO276" s="1620">
        <v>1.09565437414664</v>
      </c>
      <c r="AP276" s="1620">
        <v>5.1219282363463901</v>
      </c>
      <c r="AQ276" s="1620">
        <v>1.69731109899779</v>
      </c>
      <c r="AR276" s="1620">
        <v>4.2407125840055002</v>
      </c>
      <c r="AS276" s="1620">
        <v>7.7396899241435602</v>
      </c>
      <c r="AT276" s="1620">
        <v>2.5054559746702401</v>
      </c>
      <c r="AU276" s="1620">
        <v>4.2047480344414296</v>
      </c>
      <c r="AV276" s="1620">
        <v>3.5513457991333</v>
      </c>
      <c r="AW276" s="1620">
        <v>5.2478482966797202</v>
      </c>
      <c r="AX276" s="1620"/>
      <c r="AY276" s="1620">
        <v>1.0574679203528914</v>
      </c>
      <c r="AZ276" s="1620">
        <v>1.07248356779971</v>
      </c>
      <c r="BA276" s="1620">
        <v>0.94261693954083858</v>
      </c>
      <c r="BB276" s="1620">
        <v>1.0433536035907645</v>
      </c>
      <c r="BC276" s="1620">
        <v>1.0285556627657499</v>
      </c>
      <c r="BD276" s="1620">
        <v>1.0207473461114642</v>
      </c>
      <c r="BE276" s="1620">
        <v>1.0333686821258425</v>
      </c>
      <c r="BF276" s="1620">
        <v>1.0188375583052227</v>
      </c>
      <c r="BG276" s="1620">
        <v>1.0300473468407383</v>
      </c>
      <c r="BH276" s="1620">
        <v>0.97185436682482984</v>
      </c>
      <c r="BI276" s="1620">
        <v>1.0043002985714591</v>
      </c>
      <c r="BJ276" s="1603"/>
      <c r="BK276" s="1620">
        <v>33.838572728005765</v>
      </c>
      <c r="BL276" s="1620">
        <v>19.16404843626821</v>
      </c>
      <c r="BM276" s="1620">
        <v>12.966351392611898</v>
      </c>
      <c r="BN276" s="1620">
        <v>3.1462718844979594</v>
      </c>
      <c r="BO276" s="1620"/>
      <c r="BP276" s="1620" t="s">
        <v>270</v>
      </c>
      <c r="BQ276" s="1620">
        <v>126.75805386860286</v>
      </c>
      <c r="BR276" s="1620">
        <v>1.4591302408676352</v>
      </c>
      <c r="BS276" s="1620">
        <v>1.4345433662184788</v>
      </c>
      <c r="BT276" s="1603"/>
      <c r="BU276" s="1620">
        <v>870.33648607388113</v>
      </c>
      <c r="BV276" s="1620">
        <v>216.55128404799652</v>
      </c>
      <c r="BW276" s="1620">
        <v>49.092480479315</v>
      </c>
      <c r="BX276" s="1620">
        <v>60.19499443068284</v>
      </c>
      <c r="BY276" s="1620">
        <v>142.00799920002439</v>
      </c>
      <c r="BZ276" s="1620">
        <v>13.454720712269623</v>
      </c>
      <c r="CA276" s="1620">
        <v>114.06570346791041</v>
      </c>
      <c r="CB276" s="1603"/>
      <c r="CC276" s="1603">
        <v>16.403591865138399</v>
      </c>
      <c r="CD276" s="1603">
        <v>12.907013654031502</v>
      </c>
      <c r="CE276" s="1603">
        <v>6.9361943303694096</v>
      </c>
      <c r="CF276" s="1603">
        <v>9.9453969182818813</v>
      </c>
      <c r="CG276" s="1603">
        <v>11.606015934688703</v>
      </c>
      <c r="CH276" s="1603">
        <v>1.8842843635320601</v>
      </c>
      <c r="CI276" s="1603">
        <v>3.1287238172238405</v>
      </c>
      <c r="CJ276" s="1603"/>
      <c r="CK276" s="1603">
        <v>377.95183449736601</v>
      </c>
      <c r="CL276" s="1603">
        <v>62.682902389579503</v>
      </c>
      <c r="CM276" s="1603">
        <v>144.00333810513101</v>
      </c>
      <c r="CN276" s="1603">
        <v>252.74205143639099</v>
      </c>
      <c r="CO276" s="1603">
        <v>0.56704814871715814</v>
      </c>
      <c r="CP276" s="1603">
        <v>1.4122363361824002</v>
      </c>
      <c r="CQ276" s="1603">
        <v>276.51216804169297</v>
      </c>
      <c r="CR276" s="1603">
        <v>205.56473221694549</v>
      </c>
      <c r="CS276" s="1603">
        <v>19.440185163116769</v>
      </c>
      <c r="CT276" s="1603">
        <v>6.3476053910980079</v>
      </c>
      <c r="CU276" s="1603">
        <v>2.1230363193439108</v>
      </c>
      <c r="CV276" s="1603">
        <v>8.4706417104418676</v>
      </c>
      <c r="CW276" s="1603">
        <v>10.985342869205287</v>
      </c>
      <c r="CX276" s="1603">
        <v>3.5887058079402387</v>
      </c>
      <c r="CY276" s="1603">
        <v>8.8982725788167887</v>
      </c>
      <c r="CZ276" s="1603">
        <v>16.440971031085169</v>
      </c>
      <c r="DA276" s="1603">
        <v>5.2473535796203654</v>
      </c>
      <c r="DB276" s="1603">
        <v>8.9031926499441365</v>
      </c>
      <c r="DC276" s="1603">
        <v>7.0948425086099265</v>
      </c>
      <c r="DD276" s="1603">
        <v>15.998035158554034</v>
      </c>
      <c r="DE276" s="1603">
        <v>10.834115737910459</v>
      </c>
      <c r="DF276" s="1603">
        <v>3572.2243224347599</v>
      </c>
      <c r="DG276" s="1603">
        <v>0</v>
      </c>
      <c r="DH276" s="1603">
        <v>0</v>
      </c>
      <c r="DI276" s="1603">
        <v>22.681925948686398</v>
      </c>
      <c r="DJ276" s="1603">
        <v>2.2681925948686401</v>
      </c>
      <c r="DK276" s="1603">
        <v>368.58129666615298</v>
      </c>
      <c r="DL276" s="1603">
        <v>5.6704814871715801</v>
      </c>
      <c r="DM276" s="1603">
        <v>0</v>
      </c>
      <c r="DN276" s="1603">
        <v>5.6704814871715801</v>
      </c>
      <c r="DO276" s="1603">
        <v>11.340962974343199</v>
      </c>
      <c r="DP276" s="1603">
        <v>8.5057222307573905</v>
      </c>
      <c r="DQ276" s="1603">
        <v>5.6704814871715796E-2</v>
      </c>
      <c r="DR276" s="1603">
        <v>56.704814871715797</v>
      </c>
      <c r="DS276" s="1603">
        <v>28.352407435857899</v>
      </c>
      <c r="DT276" s="1603">
        <v>0</v>
      </c>
      <c r="DU276" s="1603">
        <v>0</v>
      </c>
      <c r="DV276" s="1603">
        <v>0.56704814871715803</v>
      </c>
      <c r="DW276" s="1618" t="s">
        <v>986</v>
      </c>
      <c r="DX276" s="1605" t="s">
        <v>986</v>
      </c>
      <c r="DY276" s="1605" t="s">
        <v>986</v>
      </c>
      <c r="DZ276" s="1605" t="s">
        <v>986</v>
      </c>
      <c r="EA276" s="1605" t="s">
        <v>986</v>
      </c>
      <c r="EB276" s="1605" t="s">
        <v>986</v>
      </c>
      <c r="EC276" s="1605" t="s">
        <v>986</v>
      </c>
      <c r="ED276" s="1605" t="s">
        <v>986</v>
      </c>
      <c r="EE276" s="1605" t="s">
        <v>986</v>
      </c>
      <c r="EF276" s="1605" t="s">
        <v>986</v>
      </c>
      <c r="EG276" s="1605" t="s">
        <v>986</v>
      </c>
      <c r="EH276" s="1605" t="s">
        <v>986</v>
      </c>
      <c r="EI276" s="1605" t="s">
        <v>986</v>
      </c>
      <c r="EJ276" s="1605" t="s">
        <v>986</v>
      </c>
      <c r="EK276" s="1605" t="s">
        <v>986</v>
      </c>
      <c r="EL276" s="1605" t="s">
        <v>986</v>
      </c>
      <c r="EM276" s="1605" t="s">
        <v>986</v>
      </c>
      <c r="EN276" s="1605" t="s">
        <v>986</v>
      </c>
      <c r="EO276" s="1605" t="s">
        <v>986</v>
      </c>
      <c r="EP276" s="1605" t="s">
        <v>986</v>
      </c>
      <c r="EQ276" s="1605" t="s">
        <v>986</v>
      </c>
      <c r="ER276" s="1605" t="s">
        <v>986</v>
      </c>
      <c r="ES276" s="1605" t="s">
        <v>986</v>
      </c>
      <c r="ET276" s="1605" t="s">
        <v>986</v>
      </c>
      <c r="EU276" s="1605" t="s">
        <v>986</v>
      </c>
      <c r="EV276" s="1605" t="s">
        <v>986</v>
      </c>
      <c r="EW276" s="1605" t="s">
        <v>986</v>
      </c>
      <c r="EX276" s="1605" t="s">
        <v>986</v>
      </c>
      <c r="EY276" s="1605" t="s">
        <v>986</v>
      </c>
      <c r="EZ276" s="1605" t="s">
        <v>986</v>
      </c>
      <c r="FA276" s="1605" t="s">
        <v>986</v>
      </c>
      <c r="FB276" s="1605" t="s">
        <v>986</v>
      </c>
      <c r="FC276" s="1605" t="s">
        <v>986</v>
      </c>
      <c r="FD276" s="1605" t="s">
        <v>986</v>
      </c>
      <c r="FE276" s="1605" t="s">
        <v>986</v>
      </c>
      <c r="FF276" s="1605" t="s">
        <v>986</v>
      </c>
      <c r="FG276" s="1605" t="s">
        <v>986</v>
      </c>
      <c r="FH276" s="1605" t="s">
        <v>986</v>
      </c>
      <c r="FI276" s="1605" t="s">
        <v>986</v>
      </c>
      <c r="FJ276" s="1605" t="s">
        <v>986</v>
      </c>
      <c r="FK276" s="1605" t="s">
        <v>986</v>
      </c>
      <c r="FL276" s="1605" t="s">
        <v>986</v>
      </c>
      <c r="FM276" s="1605" t="s">
        <v>986</v>
      </c>
      <c r="FN276" s="1605" t="s">
        <v>986</v>
      </c>
      <c r="FO276" s="1605" t="s">
        <v>986</v>
      </c>
      <c r="FP276" s="1605" t="s">
        <v>986</v>
      </c>
      <c r="FQ276" s="1605" t="s">
        <v>986</v>
      </c>
      <c r="FR276" s="1605" t="s">
        <v>986</v>
      </c>
      <c r="FS276" s="1605" t="s">
        <v>986</v>
      </c>
      <c r="FT276" s="1605" t="s">
        <v>986</v>
      </c>
      <c r="FU276" s="1605" t="s">
        <v>986</v>
      </c>
      <c r="FV276" s="1605" t="s">
        <v>986</v>
      </c>
      <c r="FW276" s="1605" t="s">
        <v>986</v>
      </c>
      <c r="FX276" s="1605" t="s">
        <v>986</v>
      </c>
      <c r="FY276" s="1605" t="s">
        <v>986</v>
      </c>
      <c r="FZ276" s="1605" t="s">
        <v>986</v>
      </c>
      <c r="GA276" s="1605" t="s">
        <v>986</v>
      </c>
      <c r="GB276" s="1605" t="s">
        <v>986</v>
      </c>
      <c r="GC276" s="1605" t="s">
        <v>986</v>
      </c>
      <c r="GD276" s="1605" t="s">
        <v>986</v>
      </c>
      <c r="GE276" s="1605" t="s">
        <v>986</v>
      </c>
      <c r="GF276" s="1605" t="s">
        <v>986</v>
      </c>
      <c r="GG276" s="1605" t="s">
        <v>986</v>
      </c>
      <c r="GH276" s="1605" t="s">
        <v>986</v>
      </c>
      <c r="GI276" s="1605" t="s">
        <v>986</v>
      </c>
      <c r="GJ276" s="1605" t="s">
        <v>986</v>
      </c>
      <c r="GK276" s="1605" t="s">
        <v>986</v>
      </c>
      <c r="GL276" s="1605" t="s">
        <v>986</v>
      </c>
      <c r="GM276" s="1605" t="s">
        <v>986</v>
      </c>
      <c r="GN276" s="1605" t="s">
        <v>1578</v>
      </c>
      <c r="GO276" s="1605" t="s">
        <v>1578</v>
      </c>
      <c r="GP276" s="1605" t="s">
        <v>1578</v>
      </c>
      <c r="GQ276" s="1605" t="s">
        <v>1578</v>
      </c>
      <c r="GR276" s="1605" t="s">
        <v>1578</v>
      </c>
      <c r="GS276" s="1605" t="s">
        <v>1578</v>
      </c>
      <c r="GT276" s="1605" t="s">
        <v>1578</v>
      </c>
      <c r="GU276" s="1605" t="s">
        <v>1578</v>
      </c>
      <c r="GV276" s="1605" t="s">
        <v>1578</v>
      </c>
      <c r="GW276" s="1605" t="s">
        <v>1578</v>
      </c>
      <c r="GX276" s="1605" t="s">
        <v>1578</v>
      </c>
      <c r="GY276" s="1605" t="s">
        <v>1578</v>
      </c>
      <c r="GZ276" s="1605" t="s">
        <v>1578</v>
      </c>
      <c r="HA276" s="1605" t="s">
        <v>1578</v>
      </c>
      <c r="HB276" s="1605" t="s">
        <v>1578</v>
      </c>
      <c r="HC276" s="1605" t="s">
        <v>1578</v>
      </c>
      <c r="HD276" s="1605" t="s">
        <v>1578</v>
      </c>
      <c r="HE276" s="1605" t="s">
        <v>1578</v>
      </c>
      <c r="HF276" s="1605" t="s">
        <v>1578</v>
      </c>
      <c r="HG276" s="1605" t="s">
        <v>1578</v>
      </c>
      <c r="HH276" s="1605" t="s">
        <v>1578</v>
      </c>
      <c r="HI276" s="1605" t="s">
        <v>1578</v>
      </c>
      <c r="HJ276" s="1605" t="s">
        <v>1578</v>
      </c>
      <c r="HK276" s="1605" t="s">
        <v>986</v>
      </c>
      <c r="HL276" s="1605" t="s">
        <v>986</v>
      </c>
      <c r="HM276" s="1605" t="s">
        <v>1578</v>
      </c>
      <c r="HN276" s="1605" t="s">
        <v>1578</v>
      </c>
      <c r="HO276" s="1605" t="s">
        <v>1578</v>
      </c>
      <c r="HP276" s="1605" t="s">
        <v>1578</v>
      </c>
      <c r="HQ276" s="1605" t="s">
        <v>1578</v>
      </c>
      <c r="HR276" s="1605" t="s">
        <v>1578</v>
      </c>
      <c r="HS276" s="1605" t="s">
        <v>1578</v>
      </c>
      <c r="HT276" s="1605" t="s">
        <v>1578</v>
      </c>
      <c r="HU276" s="1605" t="s">
        <v>1578</v>
      </c>
      <c r="HV276" s="1617"/>
      <c r="HW276" s="1617">
        <v>0</v>
      </c>
      <c r="HX276" s="1617">
        <v>0</v>
      </c>
      <c r="HY276" s="1617">
        <v>0</v>
      </c>
      <c r="HZ276" s="1603"/>
      <c r="IA276" s="1603"/>
      <c r="IB276" s="1603"/>
      <c r="IC276" s="1603">
        <v>64.660916579592396</v>
      </c>
      <c r="ID276" s="1603">
        <v>65.0606986174989</v>
      </c>
      <c r="IE276" s="1603">
        <v>65.393850315754193</v>
      </c>
      <c r="IF276" s="1603">
        <v>65.593741334707403</v>
      </c>
      <c r="IG276" s="1611" t="s">
        <v>270</v>
      </c>
      <c r="IH276" s="1616" t="s">
        <v>270</v>
      </c>
      <c r="II276" s="1615" t="s">
        <v>270</v>
      </c>
      <c r="IJ276" s="1613">
        <v>6.02</v>
      </c>
      <c r="IK276" s="1613">
        <v>1.1100000000000001</v>
      </c>
      <c r="IL276" s="1614">
        <v>6.02</v>
      </c>
      <c r="IM276" s="1614">
        <v>1.1100000000000001</v>
      </c>
      <c r="IN276" s="1612" t="s">
        <v>270</v>
      </c>
      <c r="IO276" s="1613" t="s">
        <v>270</v>
      </c>
      <c r="IP276" s="1607" t="s">
        <v>270</v>
      </c>
      <c r="IQ276" s="1612" t="s">
        <v>270</v>
      </c>
      <c r="IR276" s="1612" t="s">
        <v>270</v>
      </c>
      <c r="IS276" s="1607" t="s">
        <v>270</v>
      </c>
      <c r="IT276" s="1607" t="s">
        <v>270</v>
      </c>
      <c r="IU276" s="1611" t="s">
        <v>270</v>
      </c>
      <c r="IV276" s="1611" t="s">
        <v>270</v>
      </c>
      <c r="IW276" s="1611" t="s">
        <v>270</v>
      </c>
      <c r="IX276" s="1611" t="s">
        <v>270</v>
      </c>
      <c r="IY276" s="1611" t="s">
        <v>270</v>
      </c>
      <c r="IZ276" s="1611" t="s">
        <v>270</v>
      </c>
      <c r="JA276" s="1611" t="s">
        <v>270</v>
      </c>
      <c r="JB276" s="1611" t="s">
        <v>270</v>
      </c>
      <c r="JC276" s="1611" t="s">
        <v>270</v>
      </c>
      <c r="JD276" s="1611" t="s">
        <v>270</v>
      </c>
      <c r="JE276" s="1611" t="s">
        <v>270</v>
      </c>
      <c r="JF276" s="1611" t="s">
        <v>270</v>
      </c>
      <c r="JG276" s="1611" t="s">
        <v>270</v>
      </c>
      <c r="JH276" s="1611" t="s">
        <v>270</v>
      </c>
      <c r="JI276" s="1611" t="s">
        <v>270</v>
      </c>
      <c r="JJ276" s="1611" t="s">
        <v>270</v>
      </c>
      <c r="JK276" s="1607" t="str">
        <f t="shared" si="13"/>
        <v/>
      </c>
      <c r="JL276" s="1608" t="s">
        <v>270</v>
      </c>
      <c r="JM276" s="1610" t="s">
        <v>3052</v>
      </c>
      <c r="JN276" s="1608" t="s">
        <v>270</v>
      </c>
      <c r="JO276" s="1609" t="s">
        <v>270</v>
      </c>
      <c r="JP276" s="1608" t="s">
        <v>270</v>
      </c>
      <c r="JQ276" s="1607" t="s">
        <v>270</v>
      </c>
      <c r="JR276" s="1606" t="s">
        <v>270</v>
      </c>
      <c r="JS276" s="1606" t="s">
        <v>270</v>
      </c>
      <c r="JT276" s="1606" t="s">
        <v>270</v>
      </c>
    </row>
    <row r="277" spans="1:280" ht="15" customHeight="1" x14ac:dyDescent="0.2">
      <c r="A277" s="1626">
        <v>24002</v>
      </c>
      <c r="B277" s="1625">
        <v>240</v>
      </c>
      <c r="C277" s="1624">
        <v>2</v>
      </c>
      <c r="D277" s="1623" t="s">
        <v>3057</v>
      </c>
      <c r="E277" s="1622">
        <v>43369</v>
      </c>
      <c r="F277" s="1620">
        <v>1.0044538551333999</v>
      </c>
      <c r="G277" s="1620">
        <v>1.0013291775975099</v>
      </c>
      <c r="H277" s="1621">
        <v>94.176282108050799</v>
      </c>
      <c r="I277" s="1621">
        <v>82.901710183907298</v>
      </c>
      <c r="J277" s="1621">
        <v>94.900213041963596</v>
      </c>
      <c r="K277" s="1620">
        <v>0.97945825207259396</v>
      </c>
      <c r="L277" s="1620">
        <v>90.098893807536399</v>
      </c>
      <c r="M277" s="1620">
        <v>41.186022608473699</v>
      </c>
      <c r="N277" s="1620">
        <v>8.1239894300024904</v>
      </c>
      <c r="O277" s="1620">
        <v>18.655615830907401</v>
      </c>
      <c r="P277" s="1620">
        <v>2.4064477388709902</v>
      </c>
      <c r="Q277" s="1603"/>
      <c r="R277" s="1620">
        <v>89.993693315025197</v>
      </c>
      <c r="S277" s="1620">
        <v>59.604717204796998</v>
      </c>
      <c r="T277" s="1620">
        <v>62.822695409703798</v>
      </c>
      <c r="U277" s="1620">
        <v>64.109886691666503</v>
      </c>
      <c r="V277" s="1620">
        <v>65.268358845432999</v>
      </c>
      <c r="W277" s="1620">
        <v>66.040673614610597</v>
      </c>
      <c r="X277" s="1620"/>
      <c r="Y277" s="1620">
        <v>33.56057285359384</v>
      </c>
      <c r="Z277" s="1620">
        <v>16.40451658952653</v>
      </c>
      <c r="AA277" s="1620">
        <v>10.470617004918703</v>
      </c>
      <c r="AB277" s="1620">
        <v>21.488154346073411</v>
      </c>
      <c r="AC277" s="1620">
        <v>15.790913840415023</v>
      </c>
      <c r="AD277" s="1620">
        <v>2.0498826510028945</v>
      </c>
      <c r="AE277" s="1620">
        <v>3.3574509832546902</v>
      </c>
      <c r="AF277" s="1620">
        <v>679.86563526512634</v>
      </c>
      <c r="AG277" s="1620">
        <v>116.162847148468</v>
      </c>
      <c r="AH277" s="1620">
        <v>242.94992789368777</v>
      </c>
      <c r="AI277" s="1620">
        <v>419.38694910297147</v>
      </c>
      <c r="AJ277" s="1620">
        <v>1.0633751284772996</v>
      </c>
      <c r="AK277" s="1620">
        <v>1.9827905628077855</v>
      </c>
      <c r="AL277" s="1620"/>
      <c r="AM277" s="1620">
        <v>10.3123521121256</v>
      </c>
      <c r="AN277" s="1620">
        <v>2.7309750642978199</v>
      </c>
      <c r="AO277" s="1620">
        <v>1.35451250019674</v>
      </c>
      <c r="AP277" s="1620">
        <v>5.6860852166362399</v>
      </c>
      <c r="AQ277" s="1620">
        <v>1.7005389750133999</v>
      </c>
      <c r="AR277" s="1620">
        <v>4.3401315775962503</v>
      </c>
      <c r="AS277" s="1620">
        <v>7.7597803116539303</v>
      </c>
      <c r="AT277" s="1620">
        <v>2.3556880818039501</v>
      </c>
      <c r="AU277" s="1620">
        <v>4.9735219460701998</v>
      </c>
      <c r="AV277" s="1620">
        <v>3.8569759811153301</v>
      </c>
      <c r="AW277" s="1620">
        <v>5.3625565948731602</v>
      </c>
      <c r="AX277" s="1620"/>
      <c r="AY277" s="1620">
        <v>1.0429786778365793</v>
      </c>
      <c r="AZ277" s="1620">
        <v>1.0631432246227048</v>
      </c>
      <c r="BA277" s="1620">
        <v>0.89580518726871972</v>
      </c>
      <c r="BB277" s="1620">
        <v>1.0079031392350841</v>
      </c>
      <c r="BC277" s="1620">
        <v>1.0059503010357291</v>
      </c>
      <c r="BD277" s="1620">
        <v>0.98982878731940738</v>
      </c>
      <c r="BE277" s="1620">
        <v>0.9963114994359924</v>
      </c>
      <c r="BF277" s="1620">
        <v>1.0045009158542835</v>
      </c>
      <c r="BG277" s="1620">
        <v>0.99979657979304648</v>
      </c>
      <c r="BH277" s="1620">
        <v>0.98456729497361439</v>
      </c>
      <c r="BI277" s="1620">
        <v>0.98950669167244454</v>
      </c>
      <c r="BJ277" s="1603"/>
      <c r="BK277" s="1620">
        <v>45.712018059236875</v>
      </c>
      <c r="BL277" s="1620">
        <v>9.0167471393782552</v>
      </c>
      <c r="BM277" s="1620">
        <v>20.705710184143165</v>
      </c>
      <c r="BN277" s="1620">
        <v>2.670895986815879</v>
      </c>
      <c r="BO277" s="1620"/>
      <c r="BP277" s="1620" t="s">
        <v>270</v>
      </c>
      <c r="BQ277" s="1620">
        <v>61.151494476370118</v>
      </c>
      <c r="BR277" s="1620">
        <v>1.1148348361291218</v>
      </c>
      <c r="BS277" s="1620">
        <v>1.1113667829668215</v>
      </c>
      <c r="BT277" s="1603"/>
      <c r="BU277" s="1620">
        <v>792.94289815856837</v>
      </c>
      <c r="BV277" s="1620">
        <v>115.60673289129151</v>
      </c>
      <c r="BW277" s="1620">
        <v>127.71559624325026</v>
      </c>
      <c r="BX277" s="1620">
        <v>38.942163412796155</v>
      </c>
      <c r="BY277" s="1620">
        <v>75.452928646443453</v>
      </c>
      <c r="BZ277" s="1620">
        <v>39.608687654351236</v>
      </c>
      <c r="CA277" s="1620">
        <v>106.82566818848501</v>
      </c>
      <c r="CB277" s="1603"/>
      <c r="CC277" s="1603">
        <v>30.237704896560402</v>
      </c>
      <c r="CD277" s="1603">
        <v>14.780287981637199</v>
      </c>
      <c r="CE277" s="1603">
        <v>9.4339100962555502</v>
      </c>
      <c r="CF277" s="1603">
        <v>19.360589365468201</v>
      </c>
      <c r="CG277" s="1603">
        <v>14.227438692315099</v>
      </c>
      <c r="CH277" s="1603">
        <v>1.8469215929062097</v>
      </c>
      <c r="CI277" s="1603">
        <v>3.02502619604273</v>
      </c>
      <c r="CJ277" s="1603"/>
      <c r="CK277" s="1603">
        <v>612.55141675145887</v>
      </c>
      <c r="CL277" s="1603">
        <v>104.66144029610901</v>
      </c>
      <c r="CM277" s="1603">
        <v>218.89519753841998</v>
      </c>
      <c r="CN277" s="1603">
        <v>377.86300191495297</v>
      </c>
      <c r="CO277" s="1603">
        <v>0.95808922778251593</v>
      </c>
      <c r="CP277" s="1603">
        <v>1.7864723636100399</v>
      </c>
      <c r="CQ277" s="1603">
        <v>370.64822874926801</v>
      </c>
      <c r="CR277" s="1603">
        <v>369.00473511552485</v>
      </c>
      <c r="CS277" s="1603">
        <v>39.688538128411139</v>
      </c>
      <c r="CT277" s="1603">
        <v>10.713748557837619</v>
      </c>
      <c r="CU277" s="1603">
        <v>4.4774271600910538</v>
      </c>
      <c r="CV277" s="1603">
        <v>15.191175717928724</v>
      </c>
      <c r="CW277" s="1603">
        <v>21.147746756450044</v>
      </c>
      <c r="CX277" s="1603">
        <v>6.3124078918792197</v>
      </c>
      <c r="CY277" s="1603">
        <v>15.852396100350566</v>
      </c>
      <c r="CZ277" s="1603">
        <v>28.528340418815578</v>
      </c>
      <c r="DA277" s="1603">
        <v>8.7317252301129535</v>
      </c>
      <c r="DB277" s="1603">
        <v>18.348798207256394</v>
      </c>
      <c r="DC277" s="1603">
        <v>14.012779201141695</v>
      </c>
      <c r="DD277" s="1603">
        <v>32.361577408397991</v>
      </c>
      <c r="DE277" s="1603">
        <v>19.580445252270916</v>
      </c>
      <c r="DF277" s="1603">
        <v>6246.9480385256502</v>
      </c>
      <c r="DG277" s="1603">
        <v>0</v>
      </c>
      <c r="DH277" s="1603">
        <v>0</v>
      </c>
      <c r="DI277" s="1603">
        <v>23.1795780915126</v>
      </c>
      <c r="DJ277" s="1603">
        <v>2.31795780915126</v>
      </c>
      <c r="DK277" s="1603">
        <v>618.12208244033502</v>
      </c>
      <c r="DL277" s="1603">
        <v>9.2718312366049798</v>
      </c>
      <c r="DM277" s="1603">
        <v>0</v>
      </c>
      <c r="DN277" s="1603">
        <v>9.2718312366049798</v>
      </c>
      <c r="DO277" s="1603">
        <v>18.543662473209999</v>
      </c>
      <c r="DP277" s="1603">
        <v>13.907746854907501</v>
      </c>
      <c r="DQ277" s="1603">
        <v>9.2718312366049799E-2</v>
      </c>
      <c r="DR277" s="1603">
        <v>92.718312366049801</v>
      </c>
      <c r="DS277" s="1603">
        <v>46.3591561830251</v>
      </c>
      <c r="DT277" s="1603">
        <v>0</v>
      </c>
      <c r="DU277" s="1603">
        <v>0</v>
      </c>
      <c r="DV277" s="1603">
        <v>0.92718312366049804</v>
      </c>
      <c r="DW277" s="1618" t="s">
        <v>986</v>
      </c>
      <c r="DX277" s="1605" t="s">
        <v>986</v>
      </c>
      <c r="DY277" s="1605" t="s">
        <v>986</v>
      </c>
      <c r="DZ277" s="1605" t="s">
        <v>986</v>
      </c>
      <c r="EA277" s="1605" t="s">
        <v>986</v>
      </c>
      <c r="EB277" s="1605" t="s">
        <v>986</v>
      </c>
      <c r="EC277" s="1605" t="s">
        <v>986</v>
      </c>
      <c r="ED277" s="1605" t="s">
        <v>986</v>
      </c>
      <c r="EE277" s="1605" t="s">
        <v>986</v>
      </c>
      <c r="EF277" s="1605" t="s">
        <v>986</v>
      </c>
      <c r="EG277" s="1605" t="s">
        <v>986</v>
      </c>
      <c r="EH277" s="1605" t="s">
        <v>986</v>
      </c>
      <c r="EI277" s="1605" t="s">
        <v>986</v>
      </c>
      <c r="EJ277" s="1605" t="s">
        <v>986</v>
      </c>
      <c r="EK277" s="1605" t="s">
        <v>986</v>
      </c>
      <c r="EL277" s="1605" t="s">
        <v>986</v>
      </c>
      <c r="EM277" s="1605" t="s">
        <v>986</v>
      </c>
      <c r="EN277" s="1605" t="s">
        <v>986</v>
      </c>
      <c r="EO277" s="1605" t="s">
        <v>986</v>
      </c>
      <c r="EP277" s="1605" t="s">
        <v>986</v>
      </c>
      <c r="EQ277" s="1605" t="s">
        <v>986</v>
      </c>
      <c r="ER277" s="1605" t="s">
        <v>986</v>
      </c>
      <c r="ES277" s="1605" t="s">
        <v>986</v>
      </c>
      <c r="ET277" s="1605" t="s">
        <v>986</v>
      </c>
      <c r="EU277" s="1605" t="s">
        <v>986</v>
      </c>
      <c r="EV277" s="1605" t="s">
        <v>986</v>
      </c>
      <c r="EW277" s="1605" t="s">
        <v>986</v>
      </c>
      <c r="EX277" s="1605" t="s">
        <v>986</v>
      </c>
      <c r="EY277" s="1605" t="s">
        <v>986</v>
      </c>
      <c r="EZ277" s="1605" t="s">
        <v>986</v>
      </c>
      <c r="FA277" s="1605" t="s">
        <v>986</v>
      </c>
      <c r="FB277" s="1605" t="s">
        <v>986</v>
      </c>
      <c r="FC277" s="1605" t="s">
        <v>986</v>
      </c>
      <c r="FD277" s="1605" t="s">
        <v>986</v>
      </c>
      <c r="FE277" s="1605" t="s">
        <v>986</v>
      </c>
      <c r="FF277" s="1605" t="s">
        <v>986</v>
      </c>
      <c r="FG277" s="1605" t="s">
        <v>986</v>
      </c>
      <c r="FH277" s="1605" t="s">
        <v>986</v>
      </c>
      <c r="FI277" s="1605" t="s">
        <v>986</v>
      </c>
      <c r="FJ277" s="1605" t="s">
        <v>986</v>
      </c>
      <c r="FK277" s="1605" t="s">
        <v>986</v>
      </c>
      <c r="FL277" s="1605" t="s">
        <v>986</v>
      </c>
      <c r="FM277" s="1605" t="s">
        <v>986</v>
      </c>
      <c r="FN277" s="1605" t="s">
        <v>986</v>
      </c>
      <c r="FO277" s="1605" t="s">
        <v>986</v>
      </c>
      <c r="FP277" s="1605" t="s">
        <v>986</v>
      </c>
      <c r="FQ277" s="1605" t="s">
        <v>986</v>
      </c>
      <c r="FR277" s="1605" t="s">
        <v>986</v>
      </c>
      <c r="FS277" s="1605" t="s">
        <v>986</v>
      </c>
      <c r="FT277" s="1605" t="s">
        <v>986</v>
      </c>
      <c r="FU277" s="1605" t="s">
        <v>986</v>
      </c>
      <c r="FV277" s="1605" t="s">
        <v>986</v>
      </c>
      <c r="FW277" s="1605" t="s">
        <v>986</v>
      </c>
      <c r="FX277" s="1605" t="s">
        <v>986</v>
      </c>
      <c r="FY277" s="1605" t="s">
        <v>986</v>
      </c>
      <c r="FZ277" s="1605" t="s">
        <v>986</v>
      </c>
      <c r="GA277" s="1605" t="s">
        <v>986</v>
      </c>
      <c r="GB277" s="1605" t="s">
        <v>986</v>
      </c>
      <c r="GC277" s="1605" t="s">
        <v>986</v>
      </c>
      <c r="GD277" s="1605" t="s">
        <v>986</v>
      </c>
      <c r="GE277" s="1605" t="s">
        <v>986</v>
      </c>
      <c r="GF277" s="1605" t="s">
        <v>986</v>
      </c>
      <c r="GG277" s="1605" t="s">
        <v>986</v>
      </c>
      <c r="GH277" s="1605" t="s">
        <v>986</v>
      </c>
      <c r="GI277" s="1605" t="s">
        <v>986</v>
      </c>
      <c r="GJ277" s="1605" t="s">
        <v>986</v>
      </c>
      <c r="GK277" s="1605" t="s">
        <v>986</v>
      </c>
      <c r="GL277" s="1605" t="s">
        <v>986</v>
      </c>
      <c r="GM277" s="1605" t="s">
        <v>986</v>
      </c>
      <c r="GN277" s="1605" t="s">
        <v>1578</v>
      </c>
      <c r="GO277" s="1605" t="s">
        <v>1578</v>
      </c>
      <c r="GP277" s="1605" t="s">
        <v>1578</v>
      </c>
      <c r="GQ277" s="1605" t="s">
        <v>1578</v>
      </c>
      <c r="GR277" s="1605" t="s">
        <v>1578</v>
      </c>
      <c r="GS277" s="1605" t="s">
        <v>1578</v>
      </c>
      <c r="GT277" s="1605" t="s">
        <v>1578</v>
      </c>
      <c r="GU277" s="1605" t="s">
        <v>1578</v>
      </c>
      <c r="GV277" s="1605" t="s">
        <v>1578</v>
      </c>
      <c r="GW277" s="1605" t="s">
        <v>1578</v>
      </c>
      <c r="GX277" s="1605" t="s">
        <v>1578</v>
      </c>
      <c r="GY277" s="1605" t="s">
        <v>1578</v>
      </c>
      <c r="GZ277" s="1605" t="s">
        <v>1578</v>
      </c>
      <c r="HA277" s="1605" t="s">
        <v>1578</v>
      </c>
      <c r="HB277" s="1605" t="s">
        <v>1578</v>
      </c>
      <c r="HC277" s="1605" t="s">
        <v>1578</v>
      </c>
      <c r="HD277" s="1605" t="s">
        <v>1578</v>
      </c>
      <c r="HE277" s="1605" t="s">
        <v>1578</v>
      </c>
      <c r="HF277" s="1605" t="s">
        <v>1578</v>
      </c>
      <c r="HG277" s="1605" t="s">
        <v>1578</v>
      </c>
      <c r="HH277" s="1605" t="s">
        <v>1578</v>
      </c>
      <c r="HI277" s="1605" t="s">
        <v>1578</v>
      </c>
      <c r="HJ277" s="1605" t="s">
        <v>1578</v>
      </c>
      <c r="HK277" s="1605" t="s">
        <v>986</v>
      </c>
      <c r="HL277" s="1605" t="s">
        <v>986</v>
      </c>
      <c r="HM277" s="1605" t="s">
        <v>1578</v>
      </c>
      <c r="HN277" s="1605" t="s">
        <v>1578</v>
      </c>
      <c r="HO277" s="1605" t="s">
        <v>1578</v>
      </c>
      <c r="HP277" s="1605" t="s">
        <v>1578</v>
      </c>
      <c r="HQ277" s="1605" t="s">
        <v>1578</v>
      </c>
      <c r="HR277" s="1605" t="s">
        <v>1578</v>
      </c>
      <c r="HS277" s="1605" t="s">
        <v>1578</v>
      </c>
      <c r="HT277" s="1605" t="s">
        <v>1578</v>
      </c>
      <c r="HU277" s="1605" t="s">
        <v>1578</v>
      </c>
      <c r="HV277" s="1617"/>
      <c r="HW277" s="1617">
        <v>0</v>
      </c>
      <c r="HX277" s="1617">
        <v>0</v>
      </c>
      <c r="HY277" s="1617">
        <v>0</v>
      </c>
      <c r="HZ277" s="1603"/>
      <c r="IA277" s="1603"/>
      <c r="IB277" s="1603"/>
      <c r="IC277" s="1603">
        <v>66.619909691493802</v>
      </c>
      <c r="ID277" s="1603">
        <v>67.006067076082601</v>
      </c>
      <c r="IE277" s="1603">
        <v>67.327864896573303</v>
      </c>
      <c r="IF277" s="1603">
        <v>67.520943588867695</v>
      </c>
      <c r="IG277" s="1611" t="s">
        <v>270</v>
      </c>
      <c r="IH277" s="1616" t="s">
        <v>270</v>
      </c>
      <c r="II277" s="1615" t="s">
        <v>270</v>
      </c>
      <c r="IJ277" s="1613">
        <v>5.72</v>
      </c>
      <c r="IK277" s="1613">
        <v>1.19</v>
      </c>
      <c r="IL277" s="1614">
        <v>5.72</v>
      </c>
      <c r="IM277" s="1614">
        <v>1.19</v>
      </c>
      <c r="IN277" s="1612" t="s">
        <v>270</v>
      </c>
      <c r="IO277" s="1613" t="s">
        <v>270</v>
      </c>
      <c r="IP277" s="1607" t="s">
        <v>270</v>
      </c>
      <c r="IQ277" s="1612" t="s">
        <v>270</v>
      </c>
      <c r="IR277" s="1612" t="s">
        <v>270</v>
      </c>
      <c r="IS277" s="1607" t="s">
        <v>270</v>
      </c>
      <c r="IT277" s="1607" t="s">
        <v>270</v>
      </c>
      <c r="IU277" s="1611" t="s">
        <v>270</v>
      </c>
      <c r="IV277" s="1611" t="s">
        <v>270</v>
      </c>
      <c r="IW277" s="1611" t="s">
        <v>270</v>
      </c>
      <c r="IX277" s="1611" t="s">
        <v>270</v>
      </c>
      <c r="IY277" s="1611" t="s">
        <v>270</v>
      </c>
      <c r="IZ277" s="1611" t="s">
        <v>270</v>
      </c>
      <c r="JA277" s="1611" t="s">
        <v>270</v>
      </c>
      <c r="JB277" s="1611" t="s">
        <v>270</v>
      </c>
      <c r="JC277" s="1611" t="s">
        <v>270</v>
      </c>
      <c r="JD277" s="1611" t="s">
        <v>270</v>
      </c>
      <c r="JE277" s="1611" t="s">
        <v>270</v>
      </c>
      <c r="JF277" s="1611" t="s">
        <v>270</v>
      </c>
      <c r="JG277" s="1611" t="s">
        <v>270</v>
      </c>
      <c r="JH277" s="1611" t="s">
        <v>270</v>
      </c>
      <c r="JI277" s="1611" t="s">
        <v>270</v>
      </c>
      <c r="JJ277" s="1611" t="s">
        <v>270</v>
      </c>
      <c r="JK277" s="1607" t="str">
        <f t="shared" si="13"/>
        <v/>
      </c>
      <c r="JL277" s="1608" t="s">
        <v>270</v>
      </c>
      <c r="JM277" s="1610" t="s">
        <v>3052</v>
      </c>
      <c r="JN277" s="1608" t="s">
        <v>270</v>
      </c>
      <c r="JO277" s="1609" t="s">
        <v>270</v>
      </c>
      <c r="JP277" s="1608" t="s">
        <v>270</v>
      </c>
      <c r="JQ277" s="1607" t="s">
        <v>270</v>
      </c>
      <c r="JR277" s="1606" t="s">
        <v>270</v>
      </c>
      <c r="JS277" s="1606" t="s">
        <v>270</v>
      </c>
      <c r="JT277" s="1606" t="s">
        <v>270</v>
      </c>
    </row>
    <row r="278" spans="1:280" ht="15" customHeight="1" x14ac:dyDescent="0.2">
      <c r="A278" s="1626">
        <v>24003</v>
      </c>
      <c r="B278" s="1625">
        <v>240</v>
      </c>
      <c r="C278" s="1624">
        <v>3</v>
      </c>
      <c r="D278" s="1623" t="s">
        <v>3056</v>
      </c>
      <c r="E278" s="1622">
        <v>43370</v>
      </c>
      <c r="F278" s="1620">
        <v>0.95416028602748804</v>
      </c>
      <c r="G278" s="1620">
        <v>0.96093730855688497</v>
      </c>
      <c r="H278" s="1621">
        <v>94.545733874682696</v>
      </c>
      <c r="I278" s="1621">
        <v>80.267316465439393</v>
      </c>
      <c r="J278" s="1621">
        <v>96.154737542368196</v>
      </c>
      <c r="K278" s="1620">
        <v>1</v>
      </c>
      <c r="L278" s="1620">
        <v>89.532338319729007</v>
      </c>
      <c r="M278" s="1620">
        <v>39.950920628796901</v>
      </c>
      <c r="N278" s="1620">
        <v>6.3962778908868696</v>
      </c>
      <c r="O278" s="1620">
        <v>17.498416022951901</v>
      </c>
      <c r="P278" s="1620">
        <v>2.9920675333654301</v>
      </c>
      <c r="Q278" s="1603"/>
      <c r="R278" s="1620">
        <v>90.202528144313504</v>
      </c>
      <c r="S278" s="1620">
        <v>55.791327054045603</v>
      </c>
      <c r="T278" s="1620">
        <v>60.6731532500188</v>
      </c>
      <c r="U278" s="1620">
        <v>62.625883728407999</v>
      </c>
      <c r="V278" s="1620">
        <v>64.383341158958402</v>
      </c>
      <c r="W278" s="1620">
        <v>65.554979445991904</v>
      </c>
      <c r="X278" s="1620"/>
      <c r="Y278" s="1620">
        <v>32.137767254691639</v>
      </c>
      <c r="Z278" s="1620">
        <v>13.947468684046981</v>
      </c>
      <c r="AA278" s="1620">
        <v>8.1733670164224197</v>
      </c>
      <c r="AB278" s="1620">
        <v>17.330499402744255</v>
      </c>
      <c r="AC278" s="1620">
        <v>18.686218812936325</v>
      </c>
      <c r="AD278" s="1620">
        <v>2.5640966413586557</v>
      </c>
      <c r="AE278" s="1620">
        <v>3.0361646926849497</v>
      </c>
      <c r="AF278" s="1620">
        <v>625.48881489383302</v>
      </c>
      <c r="AG278" s="1620">
        <v>102.86132984704699</v>
      </c>
      <c r="AH278" s="1620">
        <v>221.82846912934747</v>
      </c>
      <c r="AI278" s="1620">
        <v>373.24492879718235</v>
      </c>
      <c r="AJ278" s="1620">
        <v>0.91893124537456983</v>
      </c>
      <c r="AK278" s="1620">
        <v>1.763221559270014</v>
      </c>
      <c r="AL278" s="1620"/>
      <c r="AM278" s="1620">
        <v>9.4943478201914697</v>
      </c>
      <c r="AN278" s="1620">
        <v>2.5457656170851299</v>
      </c>
      <c r="AO278" s="1620">
        <v>1.33598838519154</v>
      </c>
      <c r="AP278" s="1620">
        <v>5.3117882410190003</v>
      </c>
      <c r="AQ278" s="1620">
        <v>1.54434166393308</v>
      </c>
      <c r="AR278" s="1620">
        <v>4.0822685213516703</v>
      </c>
      <c r="AS278" s="1620">
        <v>7.3270973628768399</v>
      </c>
      <c r="AT278" s="1620">
        <v>2.4881888768745699</v>
      </c>
      <c r="AU278" s="1620">
        <v>4.7854510812733499</v>
      </c>
      <c r="AV278" s="1620">
        <v>3.4436087762513701</v>
      </c>
      <c r="AW278" s="1620">
        <v>5.0722157158743801</v>
      </c>
      <c r="AX278" s="1620"/>
      <c r="AY278" s="1620">
        <v>1.0421080912596559</v>
      </c>
      <c r="AZ278" s="1620">
        <v>1.0692638483523325</v>
      </c>
      <c r="BA278" s="1620">
        <v>0.92932088315464401</v>
      </c>
      <c r="BB278" s="1620">
        <v>1.0103501325158004</v>
      </c>
      <c r="BC278" s="1620">
        <v>1.0327160042820125</v>
      </c>
      <c r="BD278" s="1620">
        <v>1.0008813210994836</v>
      </c>
      <c r="BE278" s="1620">
        <v>1.0014372024193472</v>
      </c>
      <c r="BF278" s="1620">
        <v>1.0112755071026989</v>
      </c>
      <c r="BG278" s="1620">
        <v>1.0017355147047118</v>
      </c>
      <c r="BH278" s="1620">
        <v>1.0003239667284154</v>
      </c>
      <c r="BI278" s="1620">
        <v>0.99589285679113015</v>
      </c>
      <c r="BJ278" s="1603"/>
      <c r="BK278" s="1620">
        <v>44.621777313721147</v>
      </c>
      <c r="BL278" s="1620">
        <v>7.1440978878995844</v>
      </c>
      <c r="BM278" s="1620">
        <v>19.544241054515179</v>
      </c>
      <c r="BN278" s="1620">
        <v>3.3418847195529007</v>
      </c>
      <c r="BO278" s="1620"/>
      <c r="BP278" s="1620">
        <v>0</v>
      </c>
      <c r="BQ278" s="1620">
        <v>56.007180075228348</v>
      </c>
      <c r="BR278" s="1620">
        <v>1.0657158116658201</v>
      </c>
      <c r="BS278" s="1620">
        <v>1.0732851689020797</v>
      </c>
      <c r="BT278" s="1603"/>
      <c r="BU278" s="1620">
        <v>804.55758945484808</v>
      </c>
      <c r="BV278" s="1620">
        <v>121.2073958697558</v>
      </c>
      <c r="BW278" s="1620">
        <v>164.11155845729922</v>
      </c>
      <c r="BX278" s="1620">
        <v>50.228620183391868</v>
      </c>
      <c r="BY278" s="1620">
        <v>84.59557083518618</v>
      </c>
      <c r="BZ278" s="1620">
        <v>50.89673485295544</v>
      </c>
      <c r="CA278" s="1620">
        <v>137.60969052836072</v>
      </c>
      <c r="CB278" s="1603"/>
      <c r="CC278" s="1603">
        <v>28.773694506877604</v>
      </c>
      <c r="CD278" s="1603">
        <v>12.4874948492392</v>
      </c>
      <c r="CE278" s="1603">
        <v>7.3178066092564622</v>
      </c>
      <c r="CF278" s="1603">
        <v>15.516401357763602</v>
      </c>
      <c r="CG278" s="1603">
        <v>16.730208646763</v>
      </c>
      <c r="CH278" s="1603">
        <v>2.2956956797860402</v>
      </c>
      <c r="CI278" s="1603">
        <v>2.71834924459885</v>
      </c>
      <c r="CJ278" s="1603"/>
      <c r="CK278" s="1603">
        <v>560.01476190281016</v>
      </c>
      <c r="CL278" s="1603">
        <v>92.094153838830508</v>
      </c>
      <c r="CM278" s="1603">
        <v>198.60821547036301</v>
      </c>
      <c r="CN278" s="1603">
        <v>334.17491241192494</v>
      </c>
      <c r="CO278" s="1603">
        <v>0.82274063153445898</v>
      </c>
      <c r="CP278" s="1603">
        <v>1.5786534917720301</v>
      </c>
      <c r="CQ278" s="1603">
        <v>360.36740424102902</v>
      </c>
      <c r="CR278" s="1603">
        <v>377.68015449623033</v>
      </c>
      <c r="CS278" s="1603">
        <v>37.368190716673176</v>
      </c>
      <c r="CT278" s="1603">
        <v>10.280813133033963</v>
      </c>
      <c r="CU278" s="1603">
        <v>4.689132924786974</v>
      </c>
      <c r="CV278" s="1603">
        <v>14.969946057820946</v>
      </c>
      <c r="CW278" s="1603">
        <v>20.26920994353242</v>
      </c>
      <c r="CX278" s="1603">
        <v>6.023493703840348</v>
      </c>
      <c r="CY278" s="1603">
        <v>15.431506194886861</v>
      </c>
      <c r="CZ278" s="1603">
        <v>27.712764332175457</v>
      </c>
      <c r="DA278" s="1603">
        <v>9.503355995108711</v>
      </c>
      <c r="DB278" s="1603">
        <v>18.105066207542123</v>
      </c>
      <c r="DC278" s="1603">
        <v>13.010040401598081</v>
      </c>
      <c r="DD278" s="1603">
        <v>31.115106609140202</v>
      </c>
      <c r="DE278" s="1603">
        <v>19.078072627590878</v>
      </c>
      <c r="DF278" s="1603">
        <v>5405.6519271966399</v>
      </c>
      <c r="DG278" s="1603">
        <v>0</v>
      </c>
      <c r="DH278" s="1603">
        <v>0</v>
      </c>
      <c r="DI278" s="1603">
        <v>19.905015279059501</v>
      </c>
      <c r="DJ278" s="1603">
        <v>1.9905015279059499</v>
      </c>
      <c r="DK278" s="1603">
        <v>530.80040744158805</v>
      </c>
      <c r="DL278" s="1603">
        <v>7.9620061116237899</v>
      </c>
      <c r="DM278" s="1603">
        <v>0</v>
      </c>
      <c r="DN278" s="1603">
        <v>7.9620061116237899</v>
      </c>
      <c r="DO278" s="1603">
        <v>15.924012223247599</v>
      </c>
      <c r="DP278" s="1603">
        <v>11.943009167435701</v>
      </c>
      <c r="DQ278" s="1603">
        <v>7.96200611162379E-2</v>
      </c>
      <c r="DR278" s="1603">
        <v>79.620061116237906</v>
      </c>
      <c r="DS278" s="1603">
        <v>39.810030558119102</v>
      </c>
      <c r="DT278" s="1603">
        <v>0</v>
      </c>
      <c r="DU278" s="1603">
        <v>0</v>
      </c>
      <c r="DV278" s="1603">
        <v>0.79620061116237995</v>
      </c>
      <c r="DW278" s="1618" t="s">
        <v>986</v>
      </c>
      <c r="DX278" s="1605" t="s">
        <v>986</v>
      </c>
      <c r="DY278" s="1605" t="s">
        <v>986</v>
      </c>
      <c r="DZ278" s="1605" t="s">
        <v>986</v>
      </c>
      <c r="EA278" s="1605" t="s">
        <v>986</v>
      </c>
      <c r="EB278" s="1605" t="s">
        <v>986</v>
      </c>
      <c r="EC278" s="1605" t="s">
        <v>986</v>
      </c>
      <c r="ED278" s="1605" t="s">
        <v>986</v>
      </c>
      <c r="EE278" s="1605" t="s">
        <v>986</v>
      </c>
      <c r="EF278" s="1605" t="s">
        <v>986</v>
      </c>
      <c r="EG278" s="1605" t="s">
        <v>986</v>
      </c>
      <c r="EH278" s="1605" t="s">
        <v>986</v>
      </c>
      <c r="EI278" s="1605" t="s">
        <v>986</v>
      </c>
      <c r="EJ278" s="1605" t="s">
        <v>986</v>
      </c>
      <c r="EK278" s="1605" t="s">
        <v>986</v>
      </c>
      <c r="EL278" s="1605" t="s">
        <v>986</v>
      </c>
      <c r="EM278" s="1605" t="s">
        <v>986</v>
      </c>
      <c r="EN278" s="1605" t="s">
        <v>986</v>
      </c>
      <c r="EO278" s="1605" t="s">
        <v>986</v>
      </c>
      <c r="EP278" s="1605" t="s">
        <v>986</v>
      </c>
      <c r="EQ278" s="1605" t="s">
        <v>986</v>
      </c>
      <c r="ER278" s="1605" t="s">
        <v>986</v>
      </c>
      <c r="ES278" s="1605" t="s">
        <v>986</v>
      </c>
      <c r="ET278" s="1605" t="s">
        <v>986</v>
      </c>
      <c r="EU278" s="1605" t="s">
        <v>986</v>
      </c>
      <c r="EV278" s="1605" t="s">
        <v>986</v>
      </c>
      <c r="EW278" s="1605" t="s">
        <v>986</v>
      </c>
      <c r="EX278" s="1605" t="s">
        <v>986</v>
      </c>
      <c r="EY278" s="1605" t="s">
        <v>986</v>
      </c>
      <c r="EZ278" s="1605" t="s">
        <v>986</v>
      </c>
      <c r="FA278" s="1605" t="s">
        <v>986</v>
      </c>
      <c r="FB278" s="1605" t="s">
        <v>986</v>
      </c>
      <c r="FC278" s="1605" t="s">
        <v>986</v>
      </c>
      <c r="FD278" s="1605" t="s">
        <v>986</v>
      </c>
      <c r="FE278" s="1605" t="s">
        <v>986</v>
      </c>
      <c r="FF278" s="1605" t="s">
        <v>986</v>
      </c>
      <c r="FG278" s="1605" t="s">
        <v>986</v>
      </c>
      <c r="FH278" s="1605" t="s">
        <v>986</v>
      </c>
      <c r="FI278" s="1605" t="s">
        <v>986</v>
      </c>
      <c r="FJ278" s="1605" t="s">
        <v>986</v>
      </c>
      <c r="FK278" s="1605" t="s">
        <v>986</v>
      </c>
      <c r="FL278" s="1605" t="s">
        <v>986</v>
      </c>
      <c r="FM278" s="1605" t="s">
        <v>986</v>
      </c>
      <c r="FN278" s="1605" t="s">
        <v>986</v>
      </c>
      <c r="FO278" s="1605" t="s">
        <v>986</v>
      </c>
      <c r="FP278" s="1605" t="s">
        <v>986</v>
      </c>
      <c r="FQ278" s="1605" t="s">
        <v>986</v>
      </c>
      <c r="FR278" s="1605" t="s">
        <v>986</v>
      </c>
      <c r="FS278" s="1605" t="s">
        <v>986</v>
      </c>
      <c r="FT278" s="1605" t="s">
        <v>986</v>
      </c>
      <c r="FU278" s="1605" t="s">
        <v>986</v>
      </c>
      <c r="FV278" s="1605" t="s">
        <v>986</v>
      </c>
      <c r="FW278" s="1605" t="s">
        <v>986</v>
      </c>
      <c r="FX278" s="1605" t="s">
        <v>986</v>
      </c>
      <c r="FY278" s="1605" t="s">
        <v>986</v>
      </c>
      <c r="FZ278" s="1605" t="s">
        <v>986</v>
      </c>
      <c r="GA278" s="1605" t="s">
        <v>986</v>
      </c>
      <c r="GB278" s="1605" t="s">
        <v>986</v>
      </c>
      <c r="GC278" s="1605" t="s">
        <v>986</v>
      </c>
      <c r="GD278" s="1605" t="s">
        <v>986</v>
      </c>
      <c r="GE278" s="1605" t="s">
        <v>986</v>
      </c>
      <c r="GF278" s="1605" t="s">
        <v>986</v>
      </c>
      <c r="GG278" s="1605" t="s">
        <v>986</v>
      </c>
      <c r="GH278" s="1605" t="s">
        <v>986</v>
      </c>
      <c r="GI278" s="1605" t="s">
        <v>986</v>
      </c>
      <c r="GJ278" s="1605" t="s">
        <v>986</v>
      </c>
      <c r="GK278" s="1605" t="s">
        <v>986</v>
      </c>
      <c r="GL278" s="1605" t="s">
        <v>986</v>
      </c>
      <c r="GM278" s="1605" t="s">
        <v>986</v>
      </c>
      <c r="GN278" s="1605" t="s">
        <v>1578</v>
      </c>
      <c r="GO278" s="1605" t="s">
        <v>1578</v>
      </c>
      <c r="GP278" s="1605" t="s">
        <v>1578</v>
      </c>
      <c r="GQ278" s="1605" t="s">
        <v>1578</v>
      </c>
      <c r="GR278" s="1605" t="s">
        <v>1578</v>
      </c>
      <c r="GS278" s="1605" t="s">
        <v>1578</v>
      </c>
      <c r="GT278" s="1605" t="s">
        <v>1578</v>
      </c>
      <c r="GU278" s="1605" t="s">
        <v>1578</v>
      </c>
      <c r="GV278" s="1605" t="s">
        <v>1578</v>
      </c>
      <c r="GW278" s="1605" t="s">
        <v>1578</v>
      </c>
      <c r="GX278" s="1605" t="s">
        <v>1578</v>
      </c>
      <c r="GY278" s="1605" t="s">
        <v>1578</v>
      </c>
      <c r="GZ278" s="1605" t="s">
        <v>1578</v>
      </c>
      <c r="HA278" s="1605" t="s">
        <v>1578</v>
      </c>
      <c r="HB278" s="1605" t="s">
        <v>1578</v>
      </c>
      <c r="HC278" s="1605" t="s">
        <v>1578</v>
      </c>
      <c r="HD278" s="1605" t="s">
        <v>1578</v>
      </c>
      <c r="HE278" s="1605" t="s">
        <v>1578</v>
      </c>
      <c r="HF278" s="1605" t="s">
        <v>1578</v>
      </c>
      <c r="HG278" s="1605" t="s">
        <v>1578</v>
      </c>
      <c r="HH278" s="1605" t="s">
        <v>1578</v>
      </c>
      <c r="HI278" s="1605" t="s">
        <v>1578</v>
      </c>
      <c r="HJ278" s="1605" t="s">
        <v>1578</v>
      </c>
      <c r="HK278" s="1605" t="s">
        <v>986</v>
      </c>
      <c r="HL278" s="1605" t="s">
        <v>986</v>
      </c>
      <c r="HM278" s="1605" t="s">
        <v>1578</v>
      </c>
      <c r="HN278" s="1605" t="s">
        <v>1578</v>
      </c>
      <c r="HO278" s="1605" t="s">
        <v>1578</v>
      </c>
      <c r="HP278" s="1605" t="s">
        <v>1578</v>
      </c>
      <c r="HQ278" s="1605" t="s">
        <v>1578</v>
      </c>
      <c r="HR278" s="1605" t="s">
        <v>1578</v>
      </c>
      <c r="HS278" s="1605" t="s">
        <v>1578</v>
      </c>
      <c r="HT278" s="1605" t="s">
        <v>1578</v>
      </c>
      <c r="HU278" s="1605" t="s">
        <v>1578</v>
      </c>
      <c r="HV278" s="1617"/>
      <c r="HW278" s="1617">
        <v>0</v>
      </c>
      <c r="HX278" s="1617">
        <v>0</v>
      </c>
      <c r="HY278" s="1617">
        <v>0</v>
      </c>
      <c r="HZ278" s="1603"/>
      <c r="IA278" s="1603"/>
      <c r="IB278" s="1603"/>
      <c r="IC278" s="1603">
        <v>66.433708161267106</v>
      </c>
      <c r="ID278" s="1603">
        <v>67.019527304783907</v>
      </c>
      <c r="IE278" s="1603">
        <v>67.507709924381203</v>
      </c>
      <c r="IF278" s="1603">
        <v>67.800619496139603</v>
      </c>
      <c r="IG278" s="1611" t="s">
        <v>270</v>
      </c>
      <c r="IH278" s="1616" t="s">
        <v>270</v>
      </c>
      <c r="II278" s="1615" t="s">
        <v>270</v>
      </c>
      <c r="IJ278" s="1613">
        <v>5.42</v>
      </c>
      <c r="IK278" s="1613">
        <v>1.27</v>
      </c>
      <c r="IL278" s="1614">
        <v>5.42</v>
      </c>
      <c r="IM278" s="1614">
        <v>1.27</v>
      </c>
      <c r="IN278" s="1612" t="s">
        <v>270</v>
      </c>
      <c r="IO278" s="1613" t="s">
        <v>270</v>
      </c>
      <c r="IP278" s="1607" t="s">
        <v>270</v>
      </c>
      <c r="IQ278" s="1612" t="s">
        <v>270</v>
      </c>
      <c r="IR278" s="1612" t="s">
        <v>270</v>
      </c>
      <c r="IS278" s="1607" t="s">
        <v>270</v>
      </c>
      <c r="IT278" s="1607" t="s">
        <v>270</v>
      </c>
      <c r="IU278" s="1611" t="s">
        <v>270</v>
      </c>
      <c r="IV278" s="1611" t="s">
        <v>270</v>
      </c>
      <c r="IW278" s="1611" t="s">
        <v>270</v>
      </c>
      <c r="IX278" s="1611" t="s">
        <v>270</v>
      </c>
      <c r="IY278" s="1611" t="s">
        <v>270</v>
      </c>
      <c r="IZ278" s="1611" t="s">
        <v>270</v>
      </c>
      <c r="JA278" s="1611" t="s">
        <v>270</v>
      </c>
      <c r="JB278" s="1611" t="s">
        <v>270</v>
      </c>
      <c r="JC278" s="1611" t="s">
        <v>270</v>
      </c>
      <c r="JD278" s="1611" t="s">
        <v>270</v>
      </c>
      <c r="JE278" s="1611" t="s">
        <v>270</v>
      </c>
      <c r="JF278" s="1611" t="s">
        <v>270</v>
      </c>
      <c r="JG278" s="1611" t="s">
        <v>270</v>
      </c>
      <c r="JH278" s="1611" t="s">
        <v>270</v>
      </c>
      <c r="JI278" s="1611" t="s">
        <v>270</v>
      </c>
      <c r="JJ278" s="1611" t="s">
        <v>270</v>
      </c>
      <c r="JK278" s="1607" t="str">
        <f t="shared" si="13"/>
        <v/>
      </c>
      <c r="JL278" s="1608" t="s">
        <v>270</v>
      </c>
      <c r="JM278" s="1610" t="s">
        <v>3052</v>
      </c>
      <c r="JN278" s="1608" t="s">
        <v>270</v>
      </c>
      <c r="JO278" s="1609" t="s">
        <v>270</v>
      </c>
      <c r="JP278" s="1608" t="s">
        <v>270</v>
      </c>
      <c r="JQ278" s="1607" t="s">
        <v>270</v>
      </c>
      <c r="JR278" s="1606" t="s">
        <v>270</v>
      </c>
      <c r="JS278" s="1606" t="s">
        <v>270</v>
      </c>
      <c r="JT278" s="1606" t="s">
        <v>270</v>
      </c>
    </row>
    <row r="279" spans="1:280" ht="15" customHeight="1" x14ac:dyDescent="0.2">
      <c r="A279" s="1626">
        <v>32102</v>
      </c>
      <c r="B279" s="1625">
        <v>321</v>
      </c>
      <c r="C279" s="1624">
        <v>2</v>
      </c>
      <c r="D279" s="1623" t="s">
        <v>3055</v>
      </c>
      <c r="E279" s="1622">
        <v>43370</v>
      </c>
      <c r="F279" s="1620">
        <v>0.77199131735289095</v>
      </c>
      <c r="G279" s="1620">
        <v>0.78814103326364704</v>
      </c>
      <c r="H279" s="1621">
        <v>93.509833688529497</v>
      </c>
      <c r="I279" s="1621">
        <v>78.0111589490744</v>
      </c>
      <c r="J279" s="1621">
        <v>95.875659041936103</v>
      </c>
      <c r="K279" s="1620">
        <v>1</v>
      </c>
      <c r="L279" s="1620">
        <v>89.637868224069393</v>
      </c>
      <c r="M279" s="1620">
        <v>39.437221044852599</v>
      </c>
      <c r="N279" s="1620">
        <v>2.1191562911842898</v>
      </c>
      <c r="O279" s="1620">
        <v>21.861020584506999</v>
      </c>
      <c r="P279" s="1620">
        <v>3.4216692852597599</v>
      </c>
      <c r="Q279" s="1603"/>
      <c r="R279" s="1620">
        <v>89.768088403272699</v>
      </c>
      <c r="S279" s="1620">
        <v>55.001753989133697</v>
      </c>
      <c r="T279" s="1620">
        <v>60.032320627933501</v>
      </c>
      <c r="U279" s="1620">
        <v>62.044547283453397</v>
      </c>
      <c r="V279" s="1620">
        <v>63.855551273421298</v>
      </c>
      <c r="W279" s="1620">
        <v>65.062887266733298</v>
      </c>
      <c r="X279" s="1620"/>
      <c r="Y279" s="1620">
        <v>44.078409060293666</v>
      </c>
      <c r="Z279" s="1620">
        <v>14.321689223272665</v>
      </c>
      <c r="AA279" s="1620">
        <v>11.081838809542905</v>
      </c>
      <c r="AB279" s="1620">
        <v>23.589036029792556</v>
      </c>
      <c r="AC279" s="1620">
        <v>18.239264090243413</v>
      </c>
      <c r="AD279" s="1620">
        <v>2.6801831355725461</v>
      </c>
      <c r="AE279" s="1620">
        <v>3.1499685131044219</v>
      </c>
      <c r="AF279" s="1620">
        <v>400.45506139334748</v>
      </c>
      <c r="AG279" s="1620">
        <v>165.55226123241692</v>
      </c>
      <c r="AH279" s="1620">
        <v>349.72863143412576</v>
      </c>
      <c r="AI279" s="1620">
        <v>534.24883282323594</v>
      </c>
      <c r="AJ279" s="1620">
        <v>1.5503774631525022</v>
      </c>
      <c r="AK279" s="1620">
        <v>1.7005087973478021</v>
      </c>
      <c r="AL279" s="1620"/>
      <c r="AM279" s="1620">
        <v>10.836868808853801</v>
      </c>
      <c r="AN279" s="1620">
        <v>2.2415873713762302</v>
      </c>
      <c r="AO279" s="1620">
        <v>1.3566119718154599</v>
      </c>
      <c r="AP279" s="1620">
        <v>6.1316422245727997</v>
      </c>
      <c r="AQ279" s="1620">
        <v>1.2561459938170501</v>
      </c>
      <c r="AR279" s="1620">
        <v>3.9547570634701401</v>
      </c>
      <c r="AS279" s="1620">
        <v>7.1049640065046198</v>
      </c>
      <c r="AT279" s="1620">
        <v>2.4546205055372101</v>
      </c>
      <c r="AU279" s="1620">
        <v>4.6184891654995104</v>
      </c>
      <c r="AV279" s="1620">
        <v>3.3065440616600701</v>
      </c>
      <c r="AW279" s="1620">
        <v>4.5492825586435597</v>
      </c>
      <c r="AX279" s="1620"/>
      <c r="AY279" s="1620">
        <v>1.0539759728782483</v>
      </c>
      <c r="AZ279" s="1620">
        <v>1.067208239902111</v>
      </c>
      <c r="BA279" s="1620">
        <v>0.93450330203572374</v>
      </c>
      <c r="BB279" s="1620">
        <v>1.0263899349486005</v>
      </c>
      <c r="BC279" s="1620">
        <v>1.01799057995912</v>
      </c>
      <c r="BD279" s="1620">
        <v>1.0007538182763265</v>
      </c>
      <c r="BE279" s="1620">
        <v>1.0022548544357337</v>
      </c>
      <c r="BF279" s="1620">
        <v>1.0119455568178639</v>
      </c>
      <c r="BG279" s="1620">
        <v>1.002885255954777</v>
      </c>
      <c r="BH279" s="1620">
        <v>1.0015757637133411</v>
      </c>
      <c r="BI279" s="1620">
        <v>0.98425455043436194</v>
      </c>
      <c r="BJ279" s="1603"/>
      <c r="BK279" s="1620">
        <v>43.996161249920256</v>
      </c>
      <c r="BL279" s="1620">
        <v>2.3641306215437843</v>
      </c>
      <c r="BM279" s="1620">
        <v>24.388153151813711</v>
      </c>
      <c r="BN279" s="1620">
        <v>3.8172140335896341</v>
      </c>
      <c r="BO279" s="1620"/>
      <c r="BP279" s="1620" t="s">
        <v>270</v>
      </c>
      <c r="BQ279" s="1620">
        <v>30.298254644517296</v>
      </c>
      <c r="BR279" s="1620">
        <v>0.86123346376682053</v>
      </c>
      <c r="BS279" s="1620">
        <v>0.87925008579355846</v>
      </c>
      <c r="BT279" s="1603"/>
      <c r="BU279" s="1620">
        <v>756.11846848186303</v>
      </c>
      <c r="BV279" s="1620">
        <v>116.33604931089226</v>
      </c>
      <c r="BW279" s="1620">
        <v>167.41191724993183</v>
      </c>
      <c r="BX279" s="1620">
        <v>47.070976669416268</v>
      </c>
      <c r="BY279" s="1620">
        <v>79.277434390595758</v>
      </c>
      <c r="BZ279" s="1620">
        <v>50.822258469265556</v>
      </c>
      <c r="CA279" s="1620">
        <v>146.66808680176518</v>
      </c>
      <c r="CB279" s="1603"/>
      <c r="CC279" s="1603">
        <v>39.510946228732301</v>
      </c>
      <c r="CD279" s="1603">
        <v>12.837656913417899</v>
      </c>
      <c r="CE279" s="1603">
        <v>9.9335240689018498</v>
      </c>
      <c r="CF279" s="1603">
        <v>21.144709031713703</v>
      </c>
      <c r="CG279" s="1603">
        <v>16.349287510252399</v>
      </c>
      <c r="CH279" s="1603">
        <v>2.4024590272282502</v>
      </c>
      <c r="CI279" s="1603">
        <v>2.8235646248762198</v>
      </c>
      <c r="CJ279" s="1603"/>
      <c r="CK279" s="1603">
        <v>358.95938022838499</v>
      </c>
      <c r="CL279" s="1603">
        <v>148.39751776548101</v>
      </c>
      <c r="CM279" s="1603">
        <v>313.48928978676298</v>
      </c>
      <c r="CN279" s="1603">
        <v>478.88926475472101</v>
      </c>
      <c r="CO279" s="1603">
        <v>1.3897253073963101</v>
      </c>
      <c r="CP279" s="1603">
        <v>1.5242998349053301</v>
      </c>
      <c r="CQ279" s="1603">
        <v>354.02039451337401</v>
      </c>
      <c r="CR279" s="1603">
        <v>458.58079819768881</v>
      </c>
      <c r="CS279" s="1603">
        <v>52.378178608350353</v>
      </c>
      <c r="CT279" s="1603">
        <v>10.970355640209981</v>
      </c>
      <c r="CU279" s="1603">
        <v>5.8136964397197479</v>
      </c>
      <c r="CV279" s="1603">
        <v>16.784052079929754</v>
      </c>
      <c r="CW279" s="1603">
        <v>28.860580135384168</v>
      </c>
      <c r="CX279" s="1603">
        <v>5.8640780592030284</v>
      </c>
      <c r="CY279" s="1603">
        <v>18.149427573151879</v>
      </c>
      <c r="CZ279" s="1603">
        <v>32.655468321384092</v>
      </c>
      <c r="DA279" s="1603">
        <v>11.390882491468789</v>
      </c>
      <c r="DB279" s="1603">
        <v>21.240612771241025</v>
      </c>
      <c r="DC279" s="1603">
        <v>15.187069733476317</v>
      </c>
      <c r="DD279" s="1603">
        <v>36.427682504717339</v>
      </c>
      <c r="DE279" s="1603">
        <v>20.533652555229917</v>
      </c>
      <c r="DF279" s="1603">
        <v>6271.1800187696399</v>
      </c>
      <c r="DG279" s="1603">
        <v>0</v>
      </c>
      <c r="DH279" s="1603">
        <v>0</v>
      </c>
      <c r="DI279" s="1603">
        <v>27.794506147926199</v>
      </c>
      <c r="DJ279" s="1603">
        <v>2.7794506147926201</v>
      </c>
      <c r="DK279" s="1603">
        <v>252.67732861751099</v>
      </c>
      <c r="DL279" s="1603">
        <v>13.8972530739631</v>
      </c>
      <c r="DM279" s="1603">
        <v>0</v>
      </c>
      <c r="DN279" s="1603">
        <v>13.8972530739631</v>
      </c>
      <c r="DO279" s="1603">
        <v>13.8972530739631</v>
      </c>
      <c r="DP279" s="1603">
        <v>21.477572932488499</v>
      </c>
      <c r="DQ279" s="1603">
        <v>0.13897253073963101</v>
      </c>
      <c r="DR279" s="1603">
        <v>138.972530739631</v>
      </c>
      <c r="DS279" s="1603">
        <v>69.486265369815698</v>
      </c>
      <c r="DT279" s="1603">
        <v>0</v>
      </c>
      <c r="DU279" s="1603">
        <v>0</v>
      </c>
      <c r="DV279" s="1603">
        <v>0.37901599292626698</v>
      </c>
      <c r="DW279" s="1618" t="s">
        <v>986</v>
      </c>
      <c r="DX279" s="1605" t="s">
        <v>986</v>
      </c>
      <c r="DY279" s="1605" t="s">
        <v>986</v>
      </c>
      <c r="DZ279" s="1605" t="s">
        <v>986</v>
      </c>
      <c r="EA279" s="1605" t="s">
        <v>986</v>
      </c>
      <c r="EB279" s="1605" t="s">
        <v>986</v>
      </c>
      <c r="EC279" s="1605" t="s">
        <v>986</v>
      </c>
      <c r="ED279" s="1605" t="s">
        <v>986</v>
      </c>
      <c r="EE279" s="1605" t="s">
        <v>986</v>
      </c>
      <c r="EF279" s="1605" t="s">
        <v>986</v>
      </c>
      <c r="EG279" s="1605" t="s">
        <v>986</v>
      </c>
      <c r="EH279" s="1605" t="s">
        <v>986</v>
      </c>
      <c r="EI279" s="1605" t="s">
        <v>986</v>
      </c>
      <c r="EJ279" s="1605" t="s">
        <v>986</v>
      </c>
      <c r="EK279" s="1605" t="s">
        <v>986</v>
      </c>
      <c r="EL279" s="1605" t="s">
        <v>986</v>
      </c>
      <c r="EM279" s="1605" t="s">
        <v>986</v>
      </c>
      <c r="EN279" s="1605" t="s">
        <v>986</v>
      </c>
      <c r="EO279" s="1605" t="s">
        <v>986</v>
      </c>
      <c r="EP279" s="1605" t="s">
        <v>986</v>
      </c>
      <c r="EQ279" s="1605" t="s">
        <v>986</v>
      </c>
      <c r="ER279" s="1605" t="s">
        <v>986</v>
      </c>
      <c r="ES279" s="1605" t="s">
        <v>986</v>
      </c>
      <c r="ET279" s="1605" t="s">
        <v>986</v>
      </c>
      <c r="EU279" s="1605" t="s">
        <v>986</v>
      </c>
      <c r="EV279" s="1605" t="s">
        <v>986</v>
      </c>
      <c r="EW279" s="1605" t="s">
        <v>986</v>
      </c>
      <c r="EX279" s="1605" t="s">
        <v>986</v>
      </c>
      <c r="EY279" s="1605" t="s">
        <v>986</v>
      </c>
      <c r="EZ279" s="1605" t="s">
        <v>986</v>
      </c>
      <c r="FA279" s="1605" t="s">
        <v>986</v>
      </c>
      <c r="FB279" s="1605" t="s">
        <v>986</v>
      </c>
      <c r="FC279" s="1605" t="s">
        <v>986</v>
      </c>
      <c r="FD279" s="1605" t="s">
        <v>986</v>
      </c>
      <c r="FE279" s="1605" t="s">
        <v>986</v>
      </c>
      <c r="FF279" s="1605" t="s">
        <v>986</v>
      </c>
      <c r="FG279" s="1605" t="s">
        <v>986</v>
      </c>
      <c r="FH279" s="1605" t="s">
        <v>986</v>
      </c>
      <c r="FI279" s="1605" t="s">
        <v>986</v>
      </c>
      <c r="FJ279" s="1605" t="s">
        <v>986</v>
      </c>
      <c r="FK279" s="1605" t="s">
        <v>986</v>
      </c>
      <c r="FL279" s="1605" t="s">
        <v>986</v>
      </c>
      <c r="FM279" s="1605" t="s">
        <v>986</v>
      </c>
      <c r="FN279" s="1605" t="s">
        <v>986</v>
      </c>
      <c r="FO279" s="1605" t="s">
        <v>986</v>
      </c>
      <c r="FP279" s="1605" t="s">
        <v>986</v>
      </c>
      <c r="FQ279" s="1605" t="s">
        <v>986</v>
      </c>
      <c r="FR279" s="1605" t="s">
        <v>986</v>
      </c>
      <c r="FS279" s="1605" t="s">
        <v>986</v>
      </c>
      <c r="FT279" s="1605" t="s">
        <v>986</v>
      </c>
      <c r="FU279" s="1605" t="s">
        <v>986</v>
      </c>
      <c r="FV279" s="1605" t="s">
        <v>986</v>
      </c>
      <c r="FW279" s="1605" t="s">
        <v>986</v>
      </c>
      <c r="FX279" s="1605" t="s">
        <v>986</v>
      </c>
      <c r="FY279" s="1605" t="s">
        <v>986</v>
      </c>
      <c r="FZ279" s="1605" t="s">
        <v>986</v>
      </c>
      <c r="GA279" s="1605" t="s">
        <v>986</v>
      </c>
      <c r="GB279" s="1605" t="s">
        <v>986</v>
      </c>
      <c r="GC279" s="1605" t="s">
        <v>986</v>
      </c>
      <c r="GD279" s="1605" t="s">
        <v>986</v>
      </c>
      <c r="GE279" s="1605" t="s">
        <v>986</v>
      </c>
      <c r="GF279" s="1605" t="s">
        <v>986</v>
      </c>
      <c r="GG279" s="1605" t="s">
        <v>986</v>
      </c>
      <c r="GH279" s="1605" t="s">
        <v>986</v>
      </c>
      <c r="GI279" s="1605" t="s">
        <v>986</v>
      </c>
      <c r="GJ279" s="1605" t="s">
        <v>986</v>
      </c>
      <c r="GK279" s="1605" t="s">
        <v>986</v>
      </c>
      <c r="GL279" s="1605" t="s">
        <v>986</v>
      </c>
      <c r="GM279" s="1605" t="s">
        <v>986</v>
      </c>
      <c r="GN279" s="1605" t="s">
        <v>1578</v>
      </c>
      <c r="GO279" s="1605" t="s">
        <v>1578</v>
      </c>
      <c r="GP279" s="1605" t="s">
        <v>1578</v>
      </c>
      <c r="GQ279" s="1605" t="s">
        <v>1578</v>
      </c>
      <c r="GR279" s="1605" t="s">
        <v>1578</v>
      </c>
      <c r="GS279" s="1605" t="s">
        <v>1578</v>
      </c>
      <c r="GT279" s="1605" t="s">
        <v>1578</v>
      </c>
      <c r="GU279" s="1605" t="s">
        <v>1578</v>
      </c>
      <c r="GV279" s="1605" t="s">
        <v>1578</v>
      </c>
      <c r="GW279" s="1605" t="s">
        <v>1578</v>
      </c>
      <c r="GX279" s="1605" t="s">
        <v>1578</v>
      </c>
      <c r="GY279" s="1605" t="s">
        <v>1578</v>
      </c>
      <c r="GZ279" s="1605" t="s">
        <v>1578</v>
      </c>
      <c r="HA279" s="1605" t="s">
        <v>1578</v>
      </c>
      <c r="HB279" s="1605" t="s">
        <v>1578</v>
      </c>
      <c r="HC279" s="1605" t="s">
        <v>1578</v>
      </c>
      <c r="HD279" s="1605" t="s">
        <v>1578</v>
      </c>
      <c r="HE279" s="1605" t="s">
        <v>1578</v>
      </c>
      <c r="HF279" s="1605" t="s">
        <v>1578</v>
      </c>
      <c r="HG279" s="1605" t="s">
        <v>1578</v>
      </c>
      <c r="HH279" s="1605" t="s">
        <v>1578</v>
      </c>
      <c r="HI279" s="1605" t="s">
        <v>1578</v>
      </c>
      <c r="HJ279" s="1605" t="s">
        <v>1578</v>
      </c>
      <c r="HK279" s="1605" t="s">
        <v>986</v>
      </c>
      <c r="HL279" s="1605" t="s">
        <v>986</v>
      </c>
      <c r="HM279" s="1605" t="s">
        <v>1578</v>
      </c>
      <c r="HN279" s="1605" t="s">
        <v>1578</v>
      </c>
      <c r="HO279" s="1605" t="s">
        <v>1578</v>
      </c>
      <c r="HP279" s="1605" t="s">
        <v>1578</v>
      </c>
      <c r="HQ279" s="1605" t="s">
        <v>1578</v>
      </c>
      <c r="HR279" s="1605" t="s">
        <v>1578</v>
      </c>
      <c r="HS279" s="1605" t="s">
        <v>1578</v>
      </c>
      <c r="HT279" s="1605" t="s">
        <v>1578</v>
      </c>
      <c r="HU279" s="1605" t="s">
        <v>1578</v>
      </c>
      <c r="HV279" s="1617"/>
      <c r="HW279" s="1617">
        <v>0</v>
      </c>
      <c r="HX279" s="1617">
        <v>0</v>
      </c>
      <c r="HY279" s="1617">
        <v>0</v>
      </c>
      <c r="HZ279" s="1603"/>
      <c r="IA279" s="1603"/>
      <c r="IB279" s="1603"/>
      <c r="IC279" s="1603">
        <v>65.968389261717306</v>
      </c>
      <c r="ID279" s="1603">
        <v>66.572057258373306</v>
      </c>
      <c r="IE279" s="1603">
        <v>67.075113922253195</v>
      </c>
      <c r="IF279" s="1603">
        <v>67.376947920581202</v>
      </c>
      <c r="IG279" s="1611" t="s">
        <v>270</v>
      </c>
      <c r="IH279" s="1616" t="s">
        <v>270</v>
      </c>
      <c r="II279" s="1615" t="s">
        <v>270</v>
      </c>
      <c r="IJ279" s="1613">
        <v>5.29</v>
      </c>
      <c r="IK279" s="1613">
        <v>1.02</v>
      </c>
      <c r="IL279" s="1614">
        <v>5.29</v>
      </c>
      <c r="IM279" s="1614">
        <v>1.02</v>
      </c>
      <c r="IN279" s="1612" t="s">
        <v>270</v>
      </c>
      <c r="IO279" s="1613" t="s">
        <v>270</v>
      </c>
      <c r="IP279" s="1607" t="s">
        <v>270</v>
      </c>
      <c r="IQ279" s="1612" t="s">
        <v>270</v>
      </c>
      <c r="IR279" s="1612" t="s">
        <v>270</v>
      </c>
      <c r="IS279" s="1607" t="s">
        <v>270</v>
      </c>
      <c r="IT279" s="1607" t="s">
        <v>270</v>
      </c>
      <c r="IU279" s="1611" t="s">
        <v>270</v>
      </c>
      <c r="IV279" s="1611" t="s">
        <v>270</v>
      </c>
      <c r="IW279" s="1611" t="s">
        <v>270</v>
      </c>
      <c r="IX279" s="1611" t="s">
        <v>270</v>
      </c>
      <c r="IY279" s="1611" t="s">
        <v>270</v>
      </c>
      <c r="IZ279" s="1611" t="s">
        <v>270</v>
      </c>
      <c r="JA279" s="1611" t="s">
        <v>270</v>
      </c>
      <c r="JB279" s="1611" t="s">
        <v>270</v>
      </c>
      <c r="JC279" s="1611" t="s">
        <v>270</v>
      </c>
      <c r="JD279" s="1611" t="s">
        <v>270</v>
      </c>
      <c r="JE279" s="1611" t="s">
        <v>270</v>
      </c>
      <c r="JF279" s="1611" t="s">
        <v>270</v>
      </c>
      <c r="JG279" s="1611" t="s">
        <v>270</v>
      </c>
      <c r="JH279" s="1611" t="s">
        <v>270</v>
      </c>
      <c r="JI279" s="1611" t="s">
        <v>270</v>
      </c>
      <c r="JJ279" s="1611" t="s">
        <v>270</v>
      </c>
      <c r="JK279" s="1607" t="str">
        <f t="shared" si="13"/>
        <v/>
      </c>
      <c r="JL279" s="1608" t="s">
        <v>270</v>
      </c>
      <c r="JM279" s="1610" t="s">
        <v>3052</v>
      </c>
      <c r="JN279" s="1608" t="s">
        <v>270</v>
      </c>
      <c r="JO279" s="1609" t="s">
        <v>270</v>
      </c>
      <c r="JP279" s="1608" t="s">
        <v>270</v>
      </c>
      <c r="JQ279" s="1607" t="s">
        <v>270</v>
      </c>
      <c r="JR279" s="1606" t="s">
        <v>270</v>
      </c>
      <c r="JS279" s="1606" t="s">
        <v>270</v>
      </c>
      <c r="JT279" s="1606" t="s">
        <v>270</v>
      </c>
    </row>
    <row r="280" spans="1:280" ht="15" customHeight="1" x14ac:dyDescent="0.2">
      <c r="A280" s="1626">
        <v>20003</v>
      </c>
      <c r="B280" s="1625">
        <v>200</v>
      </c>
      <c r="C280" s="1624">
        <v>3</v>
      </c>
      <c r="D280" s="1623" t="s">
        <v>3054</v>
      </c>
      <c r="E280" s="1622">
        <v>43369</v>
      </c>
      <c r="F280" s="1620">
        <v>0.73721578273573196</v>
      </c>
      <c r="G280" s="1620">
        <v>0.75052375849719299</v>
      </c>
      <c r="H280" s="1621">
        <v>94.478378563288999</v>
      </c>
      <c r="I280" s="1621">
        <v>79.1793108338519</v>
      </c>
      <c r="J280" s="1621">
        <v>96.329917389394396</v>
      </c>
      <c r="K280" s="1620">
        <v>1</v>
      </c>
      <c r="L280" s="1620">
        <v>90.015567729127994</v>
      </c>
      <c r="M280" s="1620">
        <v>37.973102350130297</v>
      </c>
      <c r="N280" s="1620">
        <v>1.9302816028816601</v>
      </c>
      <c r="O280" s="1620">
        <v>25.753889199315001</v>
      </c>
      <c r="P280" s="1620">
        <v>2.8538938133433298</v>
      </c>
      <c r="Q280" s="1603"/>
      <c r="R280" s="1620">
        <v>90.363817339458905</v>
      </c>
      <c r="S280" s="1620">
        <v>60.056077731993803</v>
      </c>
      <c r="T280" s="1620">
        <v>63.080434120498197</v>
      </c>
      <c r="U280" s="1620">
        <v>64.2901766759</v>
      </c>
      <c r="V280" s="1620">
        <v>65.378944975761598</v>
      </c>
      <c r="W280" s="1620">
        <v>66.104790509002697</v>
      </c>
      <c r="X280" s="1620"/>
      <c r="Y280" s="1620">
        <v>54.15480748269156</v>
      </c>
      <c r="Z280" s="1620">
        <v>21.402384055815844</v>
      </c>
      <c r="AA280" s="1620">
        <v>10.752506224967096</v>
      </c>
      <c r="AB280" s="1620">
        <v>22.442174701566923</v>
      </c>
      <c r="AC280" s="1620">
        <v>17.692439432571447</v>
      </c>
      <c r="AD280" s="1620">
        <v>2.4327104219785864</v>
      </c>
      <c r="AE280" s="1620">
        <v>2.8013029101571583</v>
      </c>
      <c r="AF280" s="1620">
        <v>382.87798777153114</v>
      </c>
      <c r="AG280" s="1620">
        <v>55.639544225763082</v>
      </c>
      <c r="AH280" s="1620">
        <v>338.2484275532542</v>
      </c>
      <c r="AI280" s="1620">
        <v>792.91234307359991</v>
      </c>
      <c r="AJ280" s="1620">
        <v>1.5106318185587728</v>
      </c>
      <c r="AK280" s="1620">
        <v>1.6580688138301969</v>
      </c>
      <c r="AL280" s="1620"/>
      <c r="AM280" s="1620">
        <v>10.7281101482365</v>
      </c>
      <c r="AN280" s="1620">
        <v>2.3583694951856899</v>
      </c>
      <c r="AO280" s="1620">
        <v>1.31200000494866</v>
      </c>
      <c r="AP280" s="1620">
        <v>5.84743326927466</v>
      </c>
      <c r="AQ280" s="1620">
        <v>1.26610525363124</v>
      </c>
      <c r="AR280" s="1620">
        <v>3.99097475155392</v>
      </c>
      <c r="AS280" s="1620">
        <v>7.1654155337261098</v>
      </c>
      <c r="AT280" s="1620">
        <v>2.4588153658972698</v>
      </c>
      <c r="AU280" s="1620">
        <v>4.6882546379110002</v>
      </c>
      <c r="AV280" s="1620">
        <v>3.3487509874910999</v>
      </c>
      <c r="AW280" s="1620">
        <v>4.5183309456369596</v>
      </c>
      <c r="AX280" s="1620"/>
      <c r="AY280" s="1620">
        <v>1.0494595070355575</v>
      </c>
      <c r="AZ280" s="1620">
        <v>1.0661162924068053</v>
      </c>
      <c r="BA280" s="1620">
        <v>0.93101051216774644</v>
      </c>
      <c r="BB280" s="1620">
        <v>1.0199976857619286</v>
      </c>
      <c r="BC280" s="1620">
        <v>1.0201487076146452</v>
      </c>
      <c r="BD280" s="1620">
        <v>1.0003408470626458</v>
      </c>
      <c r="BE280" s="1620">
        <v>1.0003406341922381</v>
      </c>
      <c r="BF280" s="1620">
        <v>1.0102444608413486</v>
      </c>
      <c r="BG280" s="1620">
        <v>1.0003406530381114</v>
      </c>
      <c r="BH280" s="1620">
        <v>1.0003407559657003</v>
      </c>
      <c r="BI280" s="1620">
        <v>0.98398193915091836</v>
      </c>
      <c r="BJ280" s="1603"/>
      <c r="BK280" s="1620">
        <v>42.185038997251851</v>
      </c>
      <c r="BL280" s="1620">
        <v>2.1443864117929055</v>
      </c>
      <c r="BM280" s="1620">
        <v>28.610483551926031</v>
      </c>
      <c r="BN280" s="1620">
        <v>3.1704447189970262</v>
      </c>
      <c r="BO280" s="1620"/>
      <c r="BP280" s="1620" t="s">
        <v>270</v>
      </c>
      <c r="BQ280" s="1620">
        <v>27.791873608664453</v>
      </c>
      <c r="BR280" s="1620">
        <v>0.81898698340062515</v>
      </c>
      <c r="BS280" s="1620">
        <v>0.83377106586234662</v>
      </c>
      <c r="BT280" s="1603"/>
      <c r="BU280" s="1620">
        <v>713.89516448073982</v>
      </c>
      <c r="BV280" s="1620">
        <v>113.76459478648007</v>
      </c>
      <c r="BW280" s="1620">
        <v>156.02757818726539</v>
      </c>
      <c r="BX280" s="1620">
        <v>47.749481423133474</v>
      </c>
      <c r="BY280" s="1620">
        <v>80.420179238961467</v>
      </c>
      <c r="BZ280" s="1620">
        <v>48.384619893717925</v>
      </c>
      <c r="CA280" s="1620">
        <v>130.81767600894153</v>
      </c>
      <c r="CB280" s="1603"/>
      <c r="CC280" s="1603">
        <v>48.7477574081611</v>
      </c>
      <c r="CD280" s="1603">
        <v>19.265477515411003</v>
      </c>
      <c r="CE280" s="1603">
        <v>9.6789295235139612</v>
      </c>
      <c r="CF280" s="1603">
        <v>20.201450968378204</v>
      </c>
      <c r="CG280" s="1603">
        <v>15.9259498003613</v>
      </c>
      <c r="CH280" s="1603">
        <v>2.1898180975496899</v>
      </c>
      <c r="CI280" s="1603">
        <v>2.5216087183905502</v>
      </c>
      <c r="CJ280" s="1603"/>
      <c r="CK280" s="1603">
        <v>344.64979440240501</v>
      </c>
      <c r="CL280" s="1603">
        <v>50.084251616719897</v>
      </c>
      <c r="CM280" s="1603">
        <v>304.47624239690998</v>
      </c>
      <c r="CN280" s="1603">
        <v>713.7445472120321</v>
      </c>
      <c r="CO280" s="1603">
        <v>1.3598038077725301</v>
      </c>
      <c r="CP280" s="1603">
        <v>1.4925200561088701</v>
      </c>
      <c r="CQ280" s="1603">
        <v>343.13944845797499</v>
      </c>
      <c r="CR280" s="1603">
        <v>465.45320446697411</v>
      </c>
      <c r="CS280" s="1603">
        <v>52.404059931518475</v>
      </c>
      <c r="CT280" s="1603">
        <v>11.702871964276969</v>
      </c>
      <c r="CU280" s="1603">
        <v>5.685444782250249</v>
      </c>
      <c r="CV280" s="1603">
        <v>17.38831674652722</v>
      </c>
      <c r="CW280" s="1603">
        <v>27.761343854755804</v>
      </c>
      <c r="CX280" s="1603">
        <v>6.0118663773799517</v>
      </c>
      <c r="CY280" s="1603">
        <v>18.582451486468852</v>
      </c>
      <c r="CZ280" s="1603">
        <v>33.363016929577157</v>
      </c>
      <c r="DA280" s="1603">
        <v>11.561879026699804</v>
      </c>
      <c r="DB280" s="1603">
        <v>21.829065050776897</v>
      </c>
      <c r="DC280" s="1603">
        <v>15.592180099420519</v>
      </c>
      <c r="DD280" s="1603">
        <v>37.421245150197414</v>
      </c>
      <c r="DE280" s="1603">
        <v>20.693844883500983</v>
      </c>
      <c r="DF280" s="1603">
        <v>6297.0496281924197</v>
      </c>
      <c r="DG280" s="1603">
        <v>0</v>
      </c>
      <c r="DH280" s="1603">
        <v>0</v>
      </c>
      <c r="DI280" s="1603">
        <v>54.392152310900997</v>
      </c>
      <c r="DJ280" s="1603">
        <v>5.4392152310900999</v>
      </c>
      <c r="DK280" s="1603">
        <v>1019.8528558294</v>
      </c>
      <c r="DL280" s="1603">
        <v>13.598038077725301</v>
      </c>
      <c r="DM280" s="1603">
        <v>0</v>
      </c>
      <c r="DN280" s="1603">
        <v>13.598038077725301</v>
      </c>
      <c r="DO280" s="1603">
        <v>33.995095194313201</v>
      </c>
      <c r="DP280" s="1603">
        <v>20.397057116588002</v>
      </c>
      <c r="DQ280" s="1603">
        <v>0.135980380777253</v>
      </c>
      <c r="DR280" s="1603">
        <v>135.980380777253</v>
      </c>
      <c r="DS280" s="1603">
        <v>101.98528558293999</v>
      </c>
      <c r="DT280" s="1603">
        <v>0</v>
      </c>
      <c r="DU280" s="1603">
        <v>10.198528558294001</v>
      </c>
      <c r="DV280" s="1603">
        <v>1.3598038077725301</v>
      </c>
      <c r="DW280" s="1618" t="s">
        <v>986</v>
      </c>
      <c r="DX280" s="1605" t="s">
        <v>986</v>
      </c>
      <c r="DY280" s="1605" t="s">
        <v>986</v>
      </c>
      <c r="DZ280" s="1605" t="s">
        <v>986</v>
      </c>
      <c r="EA280" s="1605" t="s">
        <v>986</v>
      </c>
      <c r="EB280" s="1605" t="s">
        <v>986</v>
      </c>
      <c r="EC280" s="1605" t="s">
        <v>986</v>
      </c>
      <c r="ED280" s="1605" t="s">
        <v>986</v>
      </c>
      <c r="EE280" s="1605" t="s">
        <v>986</v>
      </c>
      <c r="EF280" s="1605" t="s">
        <v>986</v>
      </c>
      <c r="EG280" s="1605" t="s">
        <v>986</v>
      </c>
      <c r="EH280" s="1605" t="s">
        <v>986</v>
      </c>
      <c r="EI280" s="1605" t="s">
        <v>986</v>
      </c>
      <c r="EJ280" s="1605" t="s">
        <v>986</v>
      </c>
      <c r="EK280" s="1605" t="s">
        <v>986</v>
      </c>
      <c r="EL280" s="1605" t="s">
        <v>986</v>
      </c>
      <c r="EM280" s="1605" t="s">
        <v>986</v>
      </c>
      <c r="EN280" s="1605" t="s">
        <v>986</v>
      </c>
      <c r="EO280" s="1605" t="s">
        <v>986</v>
      </c>
      <c r="EP280" s="1605" t="s">
        <v>986</v>
      </c>
      <c r="EQ280" s="1605" t="s">
        <v>986</v>
      </c>
      <c r="ER280" s="1605" t="s">
        <v>986</v>
      </c>
      <c r="ES280" s="1605" t="s">
        <v>986</v>
      </c>
      <c r="ET280" s="1605" t="s">
        <v>986</v>
      </c>
      <c r="EU280" s="1605" t="s">
        <v>986</v>
      </c>
      <c r="EV280" s="1605" t="s">
        <v>986</v>
      </c>
      <c r="EW280" s="1605" t="s">
        <v>986</v>
      </c>
      <c r="EX280" s="1605" t="s">
        <v>986</v>
      </c>
      <c r="EY280" s="1605" t="s">
        <v>986</v>
      </c>
      <c r="EZ280" s="1605" t="s">
        <v>986</v>
      </c>
      <c r="FA280" s="1605" t="s">
        <v>986</v>
      </c>
      <c r="FB280" s="1605" t="s">
        <v>986</v>
      </c>
      <c r="FC280" s="1605" t="s">
        <v>986</v>
      </c>
      <c r="FD280" s="1605" t="s">
        <v>986</v>
      </c>
      <c r="FE280" s="1605" t="s">
        <v>986</v>
      </c>
      <c r="FF280" s="1605" t="s">
        <v>986</v>
      </c>
      <c r="FG280" s="1605" t="s">
        <v>986</v>
      </c>
      <c r="FH280" s="1605" t="s">
        <v>986</v>
      </c>
      <c r="FI280" s="1605" t="s">
        <v>986</v>
      </c>
      <c r="FJ280" s="1605" t="s">
        <v>986</v>
      </c>
      <c r="FK280" s="1605" t="s">
        <v>986</v>
      </c>
      <c r="FL280" s="1605" t="s">
        <v>986</v>
      </c>
      <c r="FM280" s="1605" t="s">
        <v>986</v>
      </c>
      <c r="FN280" s="1605" t="s">
        <v>986</v>
      </c>
      <c r="FO280" s="1605" t="s">
        <v>986</v>
      </c>
      <c r="FP280" s="1605" t="s">
        <v>986</v>
      </c>
      <c r="FQ280" s="1605" t="s">
        <v>986</v>
      </c>
      <c r="FR280" s="1605" t="s">
        <v>986</v>
      </c>
      <c r="FS280" s="1605" t="s">
        <v>986</v>
      </c>
      <c r="FT280" s="1605" t="s">
        <v>986</v>
      </c>
      <c r="FU280" s="1605" t="s">
        <v>986</v>
      </c>
      <c r="FV280" s="1605" t="s">
        <v>986</v>
      </c>
      <c r="FW280" s="1605" t="s">
        <v>986</v>
      </c>
      <c r="FX280" s="1605" t="s">
        <v>986</v>
      </c>
      <c r="FY280" s="1605" t="s">
        <v>986</v>
      </c>
      <c r="FZ280" s="1605" t="s">
        <v>986</v>
      </c>
      <c r="GA280" s="1605" t="s">
        <v>986</v>
      </c>
      <c r="GB280" s="1605" t="s">
        <v>986</v>
      </c>
      <c r="GC280" s="1605" t="s">
        <v>986</v>
      </c>
      <c r="GD280" s="1605" t="s">
        <v>986</v>
      </c>
      <c r="GE280" s="1605" t="s">
        <v>986</v>
      </c>
      <c r="GF280" s="1605" t="s">
        <v>986</v>
      </c>
      <c r="GG280" s="1605" t="s">
        <v>986</v>
      </c>
      <c r="GH280" s="1605" t="s">
        <v>986</v>
      </c>
      <c r="GI280" s="1605" t="s">
        <v>986</v>
      </c>
      <c r="GJ280" s="1605" t="s">
        <v>986</v>
      </c>
      <c r="GK280" s="1605" t="s">
        <v>986</v>
      </c>
      <c r="GL280" s="1605" t="s">
        <v>986</v>
      </c>
      <c r="GM280" s="1605" t="s">
        <v>986</v>
      </c>
      <c r="GN280" s="1605" t="s">
        <v>1578</v>
      </c>
      <c r="GO280" s="1605" t="s">
        <v>1578</v>
      </c>
      <c r="GP280" s="1605" t="s">
        <v>1578</v>
      </c>
      <c r="GQ280" s="1605" t="s">
        <v>1578</v>
      </c>
      <c r="GR280" s="1605" t="s">
        <v>1578</v>
      </c>
      <c r="GS280" s="1605" t="s">
        <v>1578</v>
      </c>
      <c r="GT280" s="1605" t="s">
        <v>1578</v>
      </c>
      <c r="GU280" s="1605" t="s">
        <v>1578</v>
      </c>
      <c r="GV280" s="1605" t="s">
        <v>1578</v>
      </c>
      <c r="GW280" s="1605" t="s">
        <v>1578</v>
      </c>
      <c r="GX280" s="1605" t="s">
        <v>1578</v>
      </c>
      <c r="GY280" s="1605" t="s">
        <v>1578</v>
      </c>
      <c r="GZ280" s="1605" t="s">
        <v>1578</v>
      </c>
      <c r="HA280" s="1605" t="s">
        <v>1578</v>
      </c>
      <c r="HB280" s="1605" t="s">
        <v>1578</v>
      </c>
      <c r="HC280" s="1605" t="s">
        <v>1578</v>
      </c>
      <c r="HD280" s="1605" t="s">
        <v>1578</v>
      </c>
      <c r="HE280" s="1605" t="s">
        <v>1578</v>
      </c>
      <c r="HF280" s="1605" t="s">
        <v>1578</v>
      </c>
      <c r="HG280" s="1605" t="s">
        <v>1578</v>
      </c>
      <c r="HH280" s="1605" t="s">
        <v>1578</v>
      </c>
      <c r="HI280" s="1605" t="s">
        <v>1578</v>
      </c>
      <c r="HJ280" s="1605" t="s">
        <v>1578</v>
      </c>
      <c r="HK280" s="1605" t="s">
        <v>986</v>
      </c>
      <c r="HL280" s="1605" t="s">
        <v>986</v>
      </c>
      <c r="HM280" s="1605" t="s">
        <v>1578</v>
      </c>
      <c r="HN280" s="1605" t="s">
        <v>1578</v>
      </c>
      <c r="HO280" s="1605" t="s">
        <v>1578</v>
      </c>
      <c r="HP280" s="1605" t="s">
        <v>1578</v>
      </c>
      <c r="HQ280" s="1605" t="s">
        <v>1578</v>
      </c>
      <c r="HR280" s="1605" t="s">
        <v>1578</v>
      </c>
      <c r="HS280" s="1605" t="s">
        <v>1578</v>
      </c>
      <c r="HT280" s="1605" t="s">
        <v>1578</v>
      </c>
      <c r="HU280" s="1605" t="s">
        <v>1578</v>
      </c>
      <c r="HV280" s="1617"/>
      <c r="HW280" s="1617">
        <v>0</v>
      </c>
      <c r="HX280" s="1617">
        <v>0</v>
      </c>
      <c r="HY280" s="1617">
        <v>0</v>
      </c>
      <c r="HZ280" s="1603"/>
      <c r="IA280" s="1603"/>
      <c r="IB280" s="1603"/>
      <c r="IC280" s="1603">
        <v>66.649174658933504</v>
      </c>
      <c r="ID280" s="1603">
        <v>67.012097425554003</v>
      </c>
      <c r="IE280" s="1603">
        <v>67.3145330644045</v>
      </c>
      <c r="IF280" s="1603">
        <v>67.495994447714693</v>
      </c>
      <c r="IG280" s="1611" t="s">
        <v>270</v>
      </c>
      <c r="IH280" s="1616" t="s">
        <v>270</v>
      </c>
      <c r="II280" s="1615" t="s">
        <v>270</v>
      </c>
      <c r="IJ280" s="1613">
        <v>4.3899999999999997</v>
      </c>
      <c r="IK280" s="1613">
        <v>0.96</v>
      </c>
      <c r="IL280" s="1614">
        <v>4.3899999999999997</v>
      </c>
      <c r="IM280" s="1614">
        <v>0.96</v>
      </c>
      <c r="IN280" s="1612" t="s">
        <v>270</v>
      </c>
      <c r="IO280" s="1613" t="s">
        <v>270</v>
      </c>
      <c r="IP280" s="1607" t="s">
        <v>270</v>
      </c>
      <c r="IQ280" s="1612" t="s">
        <v>270</v>
      </c>
      <c r="IR280" s="1612" t="s">
        <v>270</v>
      </c>
      <c r="IS280" s="1607" t="s">
        <v>270</v>
      </c>
      <c r="IT280" s="1607" t="s">
        <v>270</v>
      </c>
      <c r="IU280" s="1611" t="s">
        <v>270</v>
      </c>
      <c r="IV280" s="1611" t="s">
        <v>270</v>
      </c>
      <c r="IW280" s="1611" t="s">
        <v>270</v>
      </c>
      <c r="IX280" s="1611" t="s">
        <v>270</v>
      </c>
      <c r="IY280" s="1611" t="s">
        <v>270</v>
      </c>
      <c r="IZ280" s="1611" t="s">
        <v>270</v>
      </c>
      <c r="JA280" s="1611" t="s">
        <v>270</v>
      </c>
      <c r="JB280" s="1611" t="s">
        <v>270</v>
      </c>
      <c r="JC280" s="1611" t="s">
        <v>270</v>
      </c>
      <c r="JD280" s="1611" t="s">
        <v>270</v>
      </c>
      <c r="JE280" s="1611" t="s">
        <v>270</v>
      </c>
      <c r="JF280" s="1611" t="s">
        <v>270</v>
      </c>
      <c r="JG280" s="1611" t="s">
        <v>270</v>
      </c>
      <c r="JH280" s="1611" t="s">
        <v>270</v>
      </c>
      <c r="JI280" s="1611" t="s">
        <v>270</v>
      </c>
      <c r="JJ280" s="1611" t="s">
        <v>270</v>
      </c>
      <c r="JK280" s="1607" t="str">
        <f t="shared" si="13"/>
        <v/>
      </c>
      <c r="JL280" s="1608" t="s">
        <v>270</v>
      </c>
      <c r="JM280" s="1610" t="s">
        <v>3052</v>
      </c>
      <c r="JN280" s="1608" t="s">
        <v>270</v>
      </c>
      <c r="JO280" s="1609" t="s">
        <v>270</v>
      </c>
      <c r="JP280" s="1608" t="s">
        <v>270</v>
      </c>
      <c r="JQ280" s="1607" t="s">
        <v>270</v>
      </c>
      <c r="JR280" s="1606" t="s">
        <v>270</v>
      </c>
      <c r="JS280" s="1606" t="s">
        <v>270</v>
      </c>
      <c r="JT280" s="1606" t="s">
        <v>270</v>
      </c>
    </row>
    <row r="281" spans="1:280" ht="15" customHeight="1" x14ac:dyDescent="0.2">
      <c r="A281" s="1626">
        <v>20001</v>
      </c>
      <c r="B281" s="1625">
        <v>200</v>
      </c>
      <c r="C281" s="1624">
        <v>1</v>
      </c>
      <c r="D281" s="1623" t="s">
        <v>3053</v>
      </c>
      <c r="E281" s="1622">
        <v>43369</v>
      </c>
      <c r="F281" s="1620">
        <v>0.51013619636621599</v>
      </c>
      <c r="G281" s="1620">
        <v>0.56395571609306305</v>
      </c>
      <c r="H281" s="1621">
        <v>68.686646065460707</v>
      </c>
      <c r="I281" s="1621">
        <v>55.199004421217197</v>
      </c>
      <c r="J281" s="1621">
        <v>85.048560849858902</v>
      </c>
      <c r="K281" s="1620">
        <v>1</v>
      </c>
      <c r="L281" s="1620">
        <v>90.370394013354399</v>
      </c>
      <c r="M281" s="1620">
        <v>18.738267897538101</v>
      </c>
      <c r="N281" s="1620">
        <v>3.46816313385954</v>
      </c>
      <c r="O281" s="1620">
        <v>25.657269814482401</v>
      </c>
      <c r="P281" s="1620">
        <v>8.2162225647425107</v>
      </c>
      <c r="Q281" s="1603"/>
      <c r="R281" s="1620">
        <v>71.638555714399004</v>
      </c>
      <c r="S281" s="1620">
        <v>30.5044079275537</v>
      </c>
      <c r="T281" s="1620">
        <v>43.120157947761101</v>
      </c>
      <c r="U281" s="1620">
        <v>48.166457955844002</v>
      </c>
      <c r="V281" s="1620">
        <v>52.708127963118699</v>
      </c>
      <c r="W281" s="1620">
        <v>55.735907967968402</v>
      </c>
      <c r="X281" s="1620"/>
      <c r="Y281" s="1620">
        <v>61.52780986199533</v>
      </c>
      <c r="Z281" s="1620">
        <v>9.9223381650243692</v>
      </c>
      <c r="AA281" s="1620">
        <v>18.17506756658705</v>
      </c>
      <c r="AB281" s="1620">
        <v>29.356280098767023</v>
      </c>
      <c r="AC281" s="1620">
        <v>11.552585125851641</v>
      </c>
      <c r="AD281" s="1620">
        <v>3.7469280963855822</v>
      </c>
      <c r="AE281" s="1620">
        <v>3.361107220027705</v>
      </c>
      <c r="AF281" s="1620">
        <v>452.84001594353782</v>
      </c>
      <c r="AG281" s="1620">
        <v>64.074016260896357</v>
      </c>
      <c r="AH281" s="1620">
        <v>451.85547929540661</v>
      </c>
      <c r="AI281" s="1620">
        <v>1009.5892217512203</v>
      </c>
      <c r="AJ281" s="1620">
        <v>1.8933338690208616</v>
      </c>
      <c r="AK281" s="1620">
        <v>1.9459001140385386</v>
      </c>
      <c r="AL281" s="1620"/>
      <c r="AM281" s="1620">
        <v>4.9310910164017701</v>
      </c>
      <c r="AN281" s="1620">
        <v>1.8548436535308901</v>
      </c>
      <c r="AO281" s="1620">
        <v>2.3119661792874</v>
      </c>
      <c r="AP281" s="1620">
        <v>4.6355308370486297</v>
      </c>
      <c r="AQ281" s="1620">
        <v>1.30810903265863</v>
      </c>
      <c r="AR281" s="1620">
        <v>3.6746197077858702</v>
      </c>
      <c r="AS281" s="1620">
        <v>6.7577386426749602</v>
      </c>
      <c r="AT281" s="1620">
        <v>2.7089553180407702</v>
      </c>
      <c r="AU281" s="1620">
        <v>3.9438397395651701</v>
      </c>
      <c r="AV281" s="1620">
        <v>2.93450857816664</v>
      </c>
      <c r="AW281" s="1620">
        <v>5.0298073264737804</v>
      </c>
      <c r="AX281" s="1620"/>
      <c r="AY281" s="1620">
        <v>1.0193108009264469</v>
      </c>
      <c r="AZ281" s="1620">
        <v>1.1377888034976371</v>
      </c>
      <c r="BA281" s="1620">
        <v>1.0696808835505653</v>
      </c>
      <c r="BB281" s="1620">
        <v>1.0686926915239319</v>
      </c>
      <c r="BC281" s="1620">
        <v>1.0001070089951696</v>
      </c>
      <c r="BD281" s="1620">
        <v>1.0458401972381588</v>
      </c>
      <c r="BE281" s="1620">
        <v>1.0767288542368367</v>
      </c>
      <c r="BF281" s="1620">
        <v>1.1084195675897237</v>
      </c>
      <c r="BG281" s="1620">
        <v>1.0869158143825366</v>
      </c>
      <c r="BH281" s="1620">
        <v>1.0696880720813282</v>
      </c>
      <c r="BI281" s="1620">
        <v>1.0199954510416485</v>
      </c>
      <c r="BJ281" s="1603"/>
      <c r="BK281" s="1620">
        <v>20.73496315039754</v>
      </c>
      <c r="BL281" s="1620">
        <v>3.8377204965456224</v>
      </c>
      <c r="BM281" s="1620">
        <v>28.391233760351785</v>
      </c>
      <c r="BN281" s="1620">
        <v>9.091719311889209</v>
      </c>
      <c r="BO281" s="1620"/>
      <c r="BP281" s="1620" t="s">
        <v>270</v>
      </c>
      <c r="BQ281" s="1620">
        <v>42.023294602236817</v>
      </c>
      <c r="BR281" s="1620">
        <v>0.56449482370391246</v>
      </c>
      <c r="BS281" s="1620">
        <v>0.62404919470609477</v>
      </c>
      <c r="BT281" s="1603"/>
      <c r="BU281" s="1620">
        <v>716.0876623964823</v>
      </c>
      <c r="BV281" s="1620">
        <v>127.96620656086203</v>
      </c>
      <c r="BW281" s="1620">
        <v>137.97619680382505</v>
      </c>
      <c r="BX281" s="1620">
        <v>92.120961555879347</v>
      </c>
      <c r="BY281" s="1620">
        <v>15.493070807125056</v>
      </c>
      <c r="BZ281" s="1620">
        <v>32.177794184151331</v>
      </c>
      <c r="CA281" s="1620">
        <v>297.72837238867874</v>
      </c>
      <c r="CB281" s="1603"/>
      <c r="CC281" s="1603">
        <v>55.602924200072707</v>
      </c>
      <c r="CD281" s="1603">
        <v>8.9668560950699625</v>
      </c>
      <c r="CE281" s="1603">
        <v>16.424880172118101</v>
      </c>
      <c r="CF281" s="1603">
        <v>26.529385992919703</v>
      </c>
      <c r="CG281" s="1603">
        <v>10.440116696960303</v>
      </c>
      <c r="CH281" s="1603">
        <v>3.3861136841007302</v>
      </c>
      <c r="CI281" s="1603">
        <v>3.0374458379503397</v>
      </c>
      <c r="CJ281" s="1603"/>
      <c r="CK281" s="1603">
        <v>409.23330665831202</v>
      </c>
      <c r="CL281" s="1603">
        <v>57.903940955152812</v>
      </c>
      <c r="CM281" s="1603">
        <v>408.34357701018996</v>
      </c>
      <c r="CN281" s="1603">
        <v>912.36975761293616</v>
      </c>
      <c r="CO281" s="1603">
        <v>1.71101327742244</v>
      </c>
      <c r="CP281" s="1603">
        <v>1.7585176001629399</v>
      </c>
      <c r="CQ281" s="1603">
        <v>134.23824487691101</v>
      </c>
      <c r="CR281" s="1603">
        <v>263.14197234603643</v>
      </c>
      <c r="CS281" s="1603">
        <v>13.226342673140589</v>
      </c>
      <c r="CT281" s="1603">
        <v>5.5534017106943248</v>
      </c>
      <c r="CU281" s="1603">
        <v>6.5076747166551288</v>
      </c>
      <c r="CV281" s="1603">
        <v>12.061076427349473</v>
      </c>
      <c r="CW281" s="1603">
        <v>13.03594259800512</v>
      </c>
      <c r="CX281" s="1603">
        <v>3.4425522536158804</v>
      </c>
      <c r="CY281" s="1603">
        <v>10.112717039450777</v>
      </c>
      <c r="CZ281" s="1603">
        <v>19.146873515005293</v>
      </c>
      <c r="DA281" s="1603">
        <v>7.901256331840691</v>
      </c>
      <c r="DB281" s="1603">
        <v>11.279901105021413</v>
      </c>
      <c r="DC281" s="1603">
        <v>8.2600497302350764</v>
      </c>
      <c r="DD281" s="1603">
        <v>19.539950835256448</v>
      </c>
      <c r="DE281" s="1603">
        <v>13.500184680276513</v>
      </c>
      <c r="DF281" s="1603">
        <v>8375.0372092205998</v>
      </c>
      <c r="DG281" s="1603">
        <v>0</v>
      </c>
      <c r="DH281" s="1603">
        <v>0</v>
      </c>
      <c r="DI281" s="1603">
        <v>68.440531096897502</v>
      </c>
      <c r="DJ281" s="1603">
        <v>6.8440531096897503</v>
      </c>
      <c r="DK281" s="1603">
        <v>307.982389936039</v>
      </c>
      <c r="DL281" s="1603">
        <v>17.1101327742244</v>
      </c>
      <c r="DM281" s="1603">
        <v>0</v>
      </c>
      <c r="DN281" s="1603">
        <v>17.1101327742244</v>
      </c>
      <c r="DO281" s="1603">
        <v>42.775331935561098</v>
      </c>
      <c r="DP281" s="1603">
        <v>25.665199161336702</v>
      </c>
      <c r="DQ281" s="1603">
        <v>0.17110132774224399</v>
      </c>
      <c r="DR281" s="1603">
        <v>171.101327742244</v>
      </c>
      <c r="DS281" s="1603">
        <v>128.32599580668301</v>
      </c>
      <c r="DT281" s="1603">
        <v>0</v>
      </c>
      <c r="DU281" s="1603">
        <v>12.832599580668299</v>
      </c>
      <c r="DV281" s="1603">
        <v>1.71101327742244</v>
      </c>
      <c r="DW281" s="1618" t="s">
        <v>986</v>
      </c>
      <c r="DX281" s="1605" t="s">
        <v>986</v>
      </c>
      <c r="DY281" s="1605" t="s">
        <v>986</v>
      </c>
      <c r="DZ281" s="1605" t="s">
        <v>986</v>
      </c>
      <c r="EA281" s="1605" t="s">
        <v>986</v>
      </c>
      <c r="EB281" s="1605" t="s">
        <v>986</v>
      </c>
      <c r="EC281" s="1605" t="s">
        <v>986</v>
      </c>
      <c r="ED281" s="1605" t="s">
        <v>986</v>
      </c>
      <c r="EE281" s="1605" t="s">
        <v>986</v>
      </c>
      <c r="EF281" s="1605" t="s">
        <v>986</v>
      </c>
      <c r="EG281" s="1605" t="s">
        <v>986</v>
      </c>
      <c r="EH281" s="1605" t="s">
        <v>986</v>
      </c>
      <c r="EI281" s="1605" t="s">
        <v>986</v>
      </c>
      <c r="EJ281" s="1605" t="s">
        <v>986</v>
      </c>
      <c r="EK281" s="1605" t="s">
        <v>986</v>
      </c>
      <c r="EL281" s="1605" t="s">
        <v>986</v>
      </c>
      <c r="EM281" s="1605" t="s">
        <v>986</v>
      </c>
      <c r="EN281" s="1605" t="s">
        <v>986</v>
      </c>
      <c r="EO281" s="1605" t="s">
        <v>986</v>
      </c>
      <c r="EP281" s="1605" t="s">
        <v>986</v>
      </c>
      <c r="EQ281" s="1605" t="s">
        <v>986</v>
      </c>
      <c r="ER281" s="1605" t="s">
        <v>986</v>
      </c>
      <c r="ES281" s="1605" t="s">
        <v>986</v>
      </c>
      <c r="ET281" s="1605" t="s">
        <v>986</v>
      </c>
      <c r="EU281" s="1605" t="s">
        <v>986</v>
      </c>
      <c r="EV281" s="1605" t="s">
        <v>986</v>
      </c>
      <c r="EW281" s="1605" t="s">
        <v>986</v>
      </c>
      <c r="EX281" s="1605" t="s">
        <v>986</v>
      </c>
      <c r="EY281" s="1605" t="s">
        <v>986</v>
      </c>
      <c r="EZ281" s="1605" t="s">
        <v>986</v>
      </c>
      <c r="FA281" s="1605" t="s">
        <v>986</v>
      </c>
      <c r="FB281" s="1605" t="s">
        <v>986</v>
      </c>
      <c r="FC281" s="1605" t="s">
        <v>986</v>
      </c>
      <c r="FD281" s="1605" t="s">
        <v>986</v>
      </c>
      <c r="FE281" s="1605" t="s">
        <v>986</v>
      </c>
      <c r="FF281" s="1605" t="s">
        <v>986</v>
      </c>
      <c r="FG281" s="1605" t="s">
        <v>986</v>
      </c>
      <c r="FH281" s="1605" t="s">
        <v>986</v>
      </c>
      <c r="FI281" s="1605" t="s">
        <v>986</v>
      </c>
      <c r="FJ281" s="1605" t="s">
        <v>986</v>
      </c>
      <c r="FK281" s="1605" t="s">
        <v>986</v>
      </c>
      <c r="FL281" s="1605" t="s">
        <v>986</v>
      </c>
      <c r="FM281" s="1605" t="s">
        <v>986</v>
      </c>
      <c r="FN281" s="1605" t="s">
        <v>986</v>
      </c>
      <c r="FO281" s="1605" t="s">
        <v>986</v>
      </c>
      <c r="FP281" s="1605" t="s">
        <v>986</v>
      </c>
      <c r="FQ281" s="1605" t="s">
        <v>986</v>
      </c>
      <c r="FR281" s="1605" t="s">
        <v>986</v>
      </c>
      <c r="FS281" s="1605" t="s">
        <v>986</v>
      </c>
      <c r="FT281" s="1605" t="s">
        <v>986</v>
      </c>
      <c r="FU281" s="1605" t="s">
        <v>986</v>
      </c>
      <c r="FV281" s="1605" t="s">
        <v>986</v>
      </c>
      <c r="FW281" s="1605" t="s">
        <v>986</v>
      </c>
      <c r="FX281" s="1605" t="s">
        <v>986</v>
      </c>
      <c r="FY281" s="1605" t="s">
        <v>986</v>
      </c>
      <c r="FZ281" s="1605" t="s">
        <v>986</v>
      </c>
      <c r="GA281" s="1605" t="s">
        <v>986</v>
      </c>
      <c r="GB281" s="1605" t="s">
        <v>986</v>
      </c>
      <c r="GC281" s="1605" t="s">
        <v>986</v>
      </c>
      <c r="GD281" s="1605" t="s">
        <v>986</v>
      </c>
      <c r="GE281" s="1605" t="s">
        <v>986</v>
      </c>
      <c r="GF281" s="1605" t="s">
        <v>986</v>
      </c>
      <c r="GG281" s="1605" t="s">
        <v>986</v>
      </c>
      <c r="GH281" s="1605" t="s">
        <v>986</v>
      </c>
      <c r="GI281" s="1605" t="s">
        <v>986</v>
      </c>
      <c r="GJ281" s="1605" t="s">
        <v>986</v>
      </c>
      <c r="GK281" s="1605" t="s">
        <v>986</v>
      </c>
      <c r="GL281" s="1605" t="s">
        <v>986</v>
      </c>
      <c r="GM281" s="1605" t="s">
        <v>986</v>
      </c>
      <c r="GN281" s="1605" t="s">
        <v>1578</v>
      </c>
      <c r="GO281" s="1605" t="s">
        <v>1578</v>
      </c>
      <c r="GP281" s="1605" t="s">
        <v>1578</v>
      </c>
      <c r="GQ281" s="1605" t="s">
        <v>1578</v>
      </c>
      <c r="GR281" s="1605" t="s">
        <v>1578</v>
      </c>
      <c r="GS281" s="1605" t="s">
        <v>1578</v>
      </c>
      <c r="GT281" s="1605" t="s">
        <v>1578</v>
      </c>
      <c r="GU281" s="1605" t="s">
        <v>1578</v>
      </c>
      <c r="GV281" s="1605" t="s">
        <v>1578</v>
      </c>
      <c r="GW281" s="1605" t="s">
        <v>1578</v>
      </c>
      <c r="GX281" s="1605" t="s">
        <v>1578</v>
      </c>
      <c r="GY281" s="1605" t="s">
        <v>1578</v>
      </c>
      <c r="GZ281" s="1605" t="s">
        <v>1578</v>
      </c>
      <c r="HA281" s="1605" t="s">
        <v>1578</v>
      </c>
      <c r="HB281" s="1605" t="s">
        <v>1578</v>
      </c>
      <c r="HC281" s="1605" t="s">
        <v>1578</v>
      </c>
      <c r="HD281" s="1605" t="s">
        <v>1578</v>
      </c>
      <c r="HE281" s="1605" t="s">
        <v>1578</v>
      </c>
      <c r="HF281" s="1605" t="s">
        <v>1578</v>
      </c>
      <c r="HG281" s="1605" t="s">
        <v>1578</v>
      </c>
      <c r="HH281" s="1605" t="s">
        <v>1578</v>
      </c>
      <c r="HI281" s="1605" t="s">
        <v>1578</v>
      </c>
      <c r="HJ281" s="1605" t="s">
        <v>1578</v>
      </c>
      <c r="HK281" s="1605" t="s">
        <v>986</v>
      </c>
      <c r="HL281" s="1605" t="s">
        <v>986</v>
      </c>
      <c r="HM281" s="1605" t="s">
        <v>1578</v>
      </c>
      <c r="HN281" s="1605" t="s">
        <v>1578</v>
      </c>
      <c r="HO281" s="1605" t="s">
        <v>1578</v>
      </c>
      <c r="HP281" s="1605" t="s">
        <v>1578</v>
      </c>
      <c r="HQ281" s="1605" t="s">
        <v>1578</v>
      </c>
      <c r="HR281" s="1605" t="s">
        <v>1578</v>
      </c>
      <c r="HS281" s="1605" t="s">
        <v>1578</v>
      </c>
      <c r="HT281" s="1605" t="s">
        <v>1578</v>
      </c>
      <c r="HU281" s="1605" t="s">
        <v>1578</v>
      </c>
      <c r="HV281" s="1617"/>
      <c r="HW281" s="1617">
        <v>0</v>
      </c>
      <c r="HX281" s="1617">
        <v>0</v>
      </c>
      <c r="HY281" s="1617">
        <v>0</v>
      </c>
      <c r="HZ281" s="1603"/>
      <c r="IA281" s="1603"/>
      <c r="IB281" s="1603"/>
      <c r="IC281" s="1603">
        <v>58.006742971605803</v>
      </c>
      <c r="ID281" s="1603">
        <v>59.520632974030697</v>
      </c>
      <c r="IE281" s="1603">
        <v>60.782207976051403</v>
      </c>
      <c r="IF281" s="1603">
        <v>61.539152977263797</v>
      </c>
      <c r="IG281" s="1611" t="s">
        <v>270</v>
      </c>
      <c r="IH281" s="1616" t="s">
        <v>270</v>
      </c>
      <c r="II281" s="1615" t="s">
        <v>270</v>
      </c>
      <c r="IJ281" s="1613">
        <v>1.17</v>
      </c>
      <c r="IK281" s="1613">
        <v>1.1200000000000001</v>
      </c>
      <c r="IL281" s="1614">
        <v>1.17</v>
      </c>
      <c r="IM281" s="1614">
        <v>1.1200000000000001</v>
      </c>
      <c r="IN281" s="1612" t="s">
        <v>270</v>
      </c>
      <c r="IO281" s="1613" t="s">
        <v>270</v>
      </c>
      <c r="IP281" s="1607" t="s">
        <v>270</v>
      </c>
      <c r="IQ281" s="1612" t="s">
        <v>270</v>
      </c>
      <c r="IR281" s="1612" t="s">
        <v>270</v>
      </c>
      <c r="IS281" s="1607" t="s">
        <v>270</v>
      </c>
      <c r="IT281" s="1607" t="s">
        <v>270</v>
      </c>
      <c r="IU281" s="1611" t="s">
        <v>270</v>
      </c>
      <c r="IV281" s="1611" t="s">
        <v>270</v>
      </c>
      <c r="IW281" s="1611" t="s">
        <v>270</v>
      </c>
      <c r="IX281" s="1611" t="s">
        <v>270</v>
      </c>
      <c r="IY281" s="1611" t="s">
        <v>270</v>
      </c>
      <c r="IZ281" s="1611" t="s">
        <v>270</v>
      </c>
      <c r="JA281" s="1611" t="s">
        <v>270</v>
      </c>
      <c r="JB281" s="1611" t="s">
        <v>270</v>
      </c>
      <c r="JC281" s="1611" t="s">
        <v>270</v>
      </c>
      <c r="JD281" s="1611" t="s">
        <v>270</v>
      </c>
      <c r="JE281" s="1611" t="s">
        <v>270</v>
      </c>
      <c r="JF281" s="1611" t="s">
        <v>270</v>
      </c>
      <c r="JG281" s="1611" t="s">
        <v>270</v>
      </c>
      <c r="JH281" s="1611" t="s">
        <v>270</v>
      </c>
      <c r="JI281" s="1611" t="s">
        <v>270</v>
      </c>
      <c r="JJ281" s="1611" t="s">
        <v>270</v>
      </c>
      <c r="JK281" s="1607" t="str">
        <f t="shared" si="13"/>
        <v/>
      </c>
      <c r="JL281" s="1608" t="s">
        <v>270</v>
      </c>
      <c r="JM281" s="1610" t="s">
        <v>3052</v>
      </c>
      <c r="JN281" s="1608" t="s">
        <v>270</v>
      </c>
      <c r="JO281" s="1609" t="s">
        <v>270</v>
      </c>
      <c r="JP281" s="1608" t="s">
        <v>270</v>
      </c>
      <c r="JQ281" s="1607" t="s">
        <v>270</v>
      </c>
      <c r="JR281" s="1606" t="s">
        <v>270</v>
      </c>
      <c r="JS281" s="1606" t="s">
        <v>270</v>
      </c>
      <c r="JT281" s="1606" t="s">
        <v>270</v>
      </c>
    </row>
    <row r="282" spans="1:280" ht="15" customHeight="1" x14ac:dyDescent="0.2">
      <c r="A282" s="1626">
        <v>42000</v>
      </c>
      <c r="B282" s="1625">
        <v>420</v>
      </c>
      <c r="C282" s="1624">
        <v>0</v>
      </c>
      <c r="D282" s="1623" t="s">
        <v>3051</v>
      </c>
      <c r="E282" s="1622">
        <v>43136</v>
      </c>
      <c r="F282" s="1620">
        <v>-8.8418002322880607E-2</v>
      </c>
      <c r="G282" s="1620">
        <v>-8.2438367346939004E-2</v>
      </c>
      <c r="H282" s="1621">
        <v>70</v>
      </c>
      <c r="I282" s="1621">
        <v>60</v>
      </c>
      <c r="J282" s="1621">
        <v>90</v>
      </c>
      <c r="K282" s="1620">
        <v>1</v>
      </c>
      <c r="L282" s="1620">
        <v>99</v>
      </c>
      <c r="M282" s="1620">
        <v>0.1</v>
      </c>
      <c r="N282" s="1620">
        <v>0.1</v>
      </c>
      <c r="O282" s="1620">
        <v>96.7</v>
      </c>
      <c r="P282" s="1620">
        <v>0.04</v>
      </c>
      <c r="Q282" s="1603"/>
      <c r="R282" s="1620">
        <v>70</v>
      </c>
      <c r="S282" s="1620">
        <v>50</v>
      </c>
      <c r="T282" s="1620">
        <v>50</v>
      </c>
      <c r="U282" s="1620">
        <v>50</v>
      </c>
      <c r="V282" s="1620">
        <v>50</v>
      </c>
      <c r="W282" s="1620">
        <v>50</v>
      </c>
      <c r="X282" s="1620"/>
      <c r="Y282" s="1620">
        <v>0</v>
      </c>
      <c r="Z282" s="1620">
        <v>0</v>
      </c>
      <c r="AA282" s="1620">
        <v>0</v>
      </c>
      <c r="AB282" s="1620">
        <v>0</v>
      </c>
      <c r="AC282" s="1620">
        <v>0</v>
      </c>
      <c r="AD282" s="1620">
        <v>0</v>
      </c>
      <c r="AE282" s="1620">
        <v>0</v>
      </c>
      <c r="AF282" s="1620">
        <v>62626.262626262629</v>
      </c>
      <c r="AG282" s="1620">
        <v>12525.252525252525</v>
      </c>
      <c r="AH282" s="1620">
        <v>25050.505050504951</v>
      </c>
      <c r="AI282" s="1620">
        <v>45454.545454545456</v>
      </c>
      <c r="AJ282" s="1620">
        <v>125.25252525252525</v>
      </c>
      <c r="AK282" s="1620">
        <v>219.1919191919192</v>
      </c>
      <c r="AL282" s="1620"/>
      <c r="AM282" s="1620">
        <v>0</v>
      </c>
      <c r="AN282" s="1620">
        <v>0</v>
      </c>
      <c r="AO282" s="1620">
        <v>0</v>
      </c>
      <c r="AP282" s="1620">
        <v>0</v>
      </c>
      <c r="AQ282" s="1620">
        <v>0</v>
      </c>
      <c r="AR282" s="1620">
        <v>0</v>
      </c>
      <c r="AS282" s="1620">
        <v>0</v>
      </c>
      <c r="AT282" s="1620">
        <v>0</v>
      </c>
      <c r="AU282" s="1620">
        <v>0</v>
      </c>
      <c r="AV282" s="1620">
        <v>0</v>
      </c>
      <c r="AW282" s="1620">
        <v>0</v>
      </c>
      <c r="AX282" s="1620"/>
      <c r="AY282" s="1620">
        <v>1</v>
      </c>
      <c r="AZ282" s="1620">
        <v>1</v>
      </c>
      <c r="BA282" s="1620">
        <v>1</v>
      </c>
      <c r="BB282" s="1620">
        <v>1</v>
      </c>
      <c r="BC282" s="1620">
        <v>1</v>
      </c>
      <c r="BD282" s="1620">
        <v>1</v>
      </c>
      <c r="BE282" s="1620">
        <v>1</v>
      </c>
      <c r="BF282" s="1620">
        <v>1</v>
      </c>
      <c r="BG282" s="1620">
        <v>1</v>
      </c>
      <c r="BH282" s="1620">
        <v>1</v>
      </c>
      <c r="BI282" s="1620">
        <v>1</v>
      </c>
      <c r="BJ282" s="1603"/>
      <c r="BK282" s="1620">
        <v>0.10101010101010101</v>
      </c>
      <c r="BL282" s="1620">
        <v>0.10101010101010101</v>
      </c>
      <c r="BM282" s="1620">
        <v>97.676767676767682</v>
      </c>
      <c r="BN282" s="1620">
        <v>4.0404040404040407E-2</v>
      </c>
      <c r="BO282" s="1620"/>
      <c r="BP282" s="1620">
        <v>0</v>
      </c>
      <c r="BQ282" s="1620">
        <v>0</v>
      </c>
      <c r="BR282" s="1620">
        <v>-8.9311113457455155E-2</v>
      </c>
      <c r="BS282" s="1620">
        <v>-8.327107812822121E-2</v>
      </c>
      <c r="BT282" s="1603"/>
      <c r="BU282" s="1620">
        <v>23.232323232323029</v>
      </c>
      <c r="BV282" s="1620">
        <v>11.044733044732929</v>
      </c>
      <c r="BW282" s="1620">
        <v>3.3189033189032928</v>
      </c>
      <c r="BX282" s="1620">
        <v>0</v>
      </c>
      <c r="BY282" s="1620">
        <v>0</v>
      </c>
      <c r="BZ282" s="1620">
        <v>0</v>
      </c>
      <c r="CA282" s="1620">
        <v>0</v>
      </c>
      <c r="CB282" s="1603"/>
      <c r="CC282" s="1603">
        <v>0</v>
      </c>
      <c r="CD282" s="1603">
        <v>0</v>
      </c>
      <c r="CE282" s="1603">
        <v>0</v>
      </c>
      <c r="CF282" s="1603">
        <v>0</v>
      </c>
      <c r="CG282" s="1603">
        <v>0</v>
      </c>
      <c r="CH282" s="1603">
        <v>0</v>
      </c>
      <c r="CI282" s="1603">
        <v>0</v>
      </c>
      <c r="CJ282" s="1603"/>
      <c r="CK282" s="1603">
        <v>62000</v>
      </c>
      <c r="CL282" s="1603">
        <v>12400</v>
      </c>
      <c r="CM282" s="1603">
        <v>24799.999999999902</v>
      </c>
      <c r="CN282" s="1603">
        <v>45000</v>
      </c>
      <c r="CO282" s="1603">
        <v>123.99999999999999</v>
      </c>
      <c r="CP282" s="1603">
        <v>217</v>
      </c>
      <c r="CQ282" s="1603">
        <v>0.7</v>
      </c>
      <c r="CR282" s="1603">
        <v>-7.9169397816043574</v>
      </c>
      <c r="CS282" s="1603">
        <v>0</v>
      </c>
      <c r="CT282" s="1603">
        <v>0</v>
      </c>
      <c r="CU282" s="1603">
        <v>0</v>
      </c>
      <c r="CV282" s="1603">
        <v>0</v>
      </c>
      <c r="CW282" s="1603">
        <v>0</v>
      </c>
      <c r="CX282" s="1603">
        <v>0</v>
      </c>
      <c r="CY282" s="1603">
        <v>0</v>
      </c>
      <c r="CZ282" s="1603">
        <v>0</v>
      </c>
      <c r="DA282" s="1603">
        <v>0</v>
      </c>
      <c r="DB282" s="1603">
        <v>0</v>
      </c>
      <c r="DC282" s="1603">
        <v>0</v>
      </c>
      <c r="DD282" s="1603">
        <v>0</v>
      </c>
      <c r="DE282" s="1603">
        <v>0</v>
      </c>
      <c r="DF282" s="1603">
        <v>0</v>
      </c>
      <c r="DG282" s="1603">
        <v>0</v>
      </c>
      <c r="DH282" s="1603">
        <v>0</v>
      </c>
      <c r="DI282" s="1603">
        <v>4960</v>
      </c>
      <c r="DJ282" s="1603">
        <v>496</v>
      </c>
      <c r="DK282" s="1603">
        <v>80600</v>
      </c>
      <c r="DL282" s="1603">
        <v>1240</v>
      </c>
      <c r="DM282" s="1603">
        <v>0</v>
      </c>
      <c r="DN282" s="1603">
        <v>1240</v>
      </c>
      <c r="DO282" s="1603">
        <v>2479.99999999999</v>
      </c>
      <c r="DP282" s="1603">
        <v>1860</v>
      </c>
      <c r="DQ282" s="1603">
        <v>12.4</v>
      </c>
      <c r="DR282" s="1603">
        <v>12400</v>
      </c>
      <c r="DS282" s="1603">
        <v>6200</v>
      </c>
      <c r="DT282" s="1603">
        <v>0</v>
      </c>
      <c r="DU282" s="1603">
        <v>0</v>
      </c>
      <c r="DV282" s="1603">
        <v>124</v>
      </c>
      <c r="DW282" s="1618" t="s">
        <v>986</v>
      </c>
      <c r="DX282" s="1605" t="s">
        <v>986</v>
      </c>
      <c r="DY282" s="1605" t="s">
        <v>986</v>
      </c>
      <c r="DZ282" s="1605" t="s">
        <v>986</v>
      </c>
      <c r="EA282" s="1605" t="s">
        <v>986</v>
      </c>
      <c r="EB282" s="1605" t="s">
        <v>986</v>
      </c>
      <c r="EC282" s="1605" t="s">
        <v>986</v>
      </c>
      <c r="ED282" s="1605" t="s">
        <v>986</v>
      </c>
      <c r="EE282" s="1605" t="s">
        <v>986</v>
      </c>
      <c r="EF282" s="1605" t="s">
        <v>986</v>
      </c>
      <c r="EG282" s="1605" t="s">
        <v>986</v>
      </c>
      <c r="EH282" s="1605" t="s">
        <v>986</v>
      </c>
      <c r="EI282" s="1605" t="s">
        <v>986</v>
      </c>
      <c r="EJ282" s="1605" t="s">
        <v>986</v>
      </c>
      <c r="EK282" s="1605" t="s">
        <v>986</v>
      </c>
      <c r="EL282" s="1605" t="s">
        <v>986</v>
      </c>
      <c r="EM282" s="1605" t="s">
        <v>986</v>
      </c>
      <c r="EN282" s="1605" t="s">
        <v>986</v>
      </c>
      <c r="EO282" s="1605" t="s">
        <v>986</v>
      </c>
      <c r="EP282" s="1605" t="s">
        <v>986</v>
      </c>
      <c r="EQ282" s="1605" t="s">
        <v>986</v>
      </c>
      <c r="ER282" s="1605" t="s">
        <v>986</v>
      </c>
      <c r="ES282" s="1605" t="s">
        <v>986</v>
      </c>
      <c r="ET282" s="1605" t="s">
        <v>986</v>
      </c>
      <c r="EU282" s="1605" t="s">
        <v>986</v>
      </c>
      <c r="EV282" s="1605" t="s">
        <v>986</v>
      </c>
      <c r="EW282" s="1605" t="s">
        <v>986</v>
      </c>
      <c r="EX282" s="1605" t="s">
        <v>986</v>
      </c>
      <c r="EY282" s="1605" t="s">
        <v>986</v>
      </c>
      <c r="EZ282" s="1605" t="s">
        <v>986</v>
      </c>
      <c r="FA282" s="1605" t="s">
        <v>986</v>
      </c>
      <c r="FB282" s="1605" t="s">
        <v>986</v>
      </c>
      <c r="FC282" s="1605" t="s">
        <v>986</v>
      </c>
      <c r="FD282" s="1605" t="s">
        <v>986</v>
      </c>
      <c r="FE282" s="1605" t="s">
        <v>986</v>
      </c>
      <c r="FF282" s="1605" t="s">
        <v>986</v>
      </c>
      <c r="FG282" s="1605" t="s">
        <v>986</v>
      </c>
      <c r="FH282" s="1605" t="s">
        <v>986</v>
      </c>
      <c r="FI282" s="1605" t="s">
        <v>986</v>
      </c>
      <c r="FJ282" s="1605" t="s">
        <v>986</v>
      </c>
      <c r="FK282" s="1605" t="s">
        <v>986</v>
      </c>
      <c r="FL282" s="1605" t="s">
        <v>986</v>
      </c>
      <c r="FM282" s="1605" t="s">
        <v>986</v>
      </c>
      <c r="FN282" s="1605" t="s">
        <v>986</v>
      </c>
      <c r="FO282" s="1605" t="s">
        <v>986</v>
      </c>
      <c r="FP282" s="1605" t="s">
        <v>986</v>
      </c>
      <c r="FQ282" s="1605" t="s">
        <v>986</v>
      </c>
      <c r="FR282" s="1605" t="s">
        <v>986</v>
      </c>
      <c r="FS282" s="1605" t="s">
        <v>986</v>
      </c>
      <c r="FT282" s="1605" t="s">
        <v>986</v>
      </c>
      <c r="FU282" s="1605" t="s">
        <v>986</v>
      </c>
      <c r="FV282" s="1605" t="s">
        <v>986</v>
      </c>
      <c r="FW282" s="1605" t="s">
        <v>986</v>
      </c>
      <c r="FX282" s="1605" t="s">
        <v>986</v>
      </c>
      <c r="FY282" s="1605" t="s">
        <v>986</v>
      </c>
      <c r="FZ282" s="1605" t="s">
        <v>986</v>
      </c>
      <c r="GA282" s="1605" t="s">
        <v>986</v>
      </c>
      <c r="GB282" s="1605" t="s">
        <v>986</v>
      </c>
      <c r="GC282" s="1605" t="s">
        <v>986</v>
      </c>
      <c r="GD282" s="1605" t="s">
        <v>986</v>
      </c>
      <c r="GE282" s="1605" t="s">
        <v>986</v>
      </c>
      <c r="GF282" s="1605" t="s">
        <v>986</v>
      </c>
      <c r="GG282" s="1605" t="s">
        <v>986</v>
      </c>
      <c r="GH282" s="1605" t="s">
        <v>986</v>
      </c>
      <c r="GI282" s="1605" t="s">
        <v>986</v>
      </c>
      <c r="GJ282" s="1605" t="s">
        <v>986</v>
      </c>
      <c r="GK282" s="1605" t="s">
        <v>986</v>
      </c>
      <c r="GL282" s="1605" t="s">
        <v>986</v>
      </c>
      <c r="GM282" s="1605" t="s">
        <v>986</v>
      </c>
      <c r="GN282" s="1605" t="s">
        <v>1578</v>
      </c>
      <c r="GO282" s="1605" t="s">
        <v>1578</v>
      </c>
      <c r="GP282" s="1605" t="s">
        <v>1578</v>
      </c>
      <c r="GQ282" s="1605" t="s">
        <v>1578</v>
      </c>
      <c r="GR282" s="1605" t="s">
        <v>1578</v>
      </c>
      <c r="GS282" s="1605" t="s">
        <v>1578</v>
      </c>
      <c r="GT282" s="1605" t="s">
        <v>1578</v>
      </c>
      <c r="GU282" s="1605" t="s">
        <v>1578</v>
      </c>
      <c r="GV282" s="1605" t="s">
        <v>1578</v>
      </c>
      <c r="GW282" s="1605" t="s">
        <v>1578</v>
      </c>
      <c r="GX282" s="1605" t="s">
        <v>1578</v>
      </c>
      <c r="GY282" s="1605" t="s">
        <v>1578</v>
      </c>
      <c r="GZ282" s="1605" t="s">
        <v>1578</v>
      </c>
      <c r="HA282" s="1605" t="s">
        <v>1578</v>
      </c>
      <c r="HB282" s="1605" t="s">
        <v>1578</v>
      </c>
      <c r="HC282" s="1605" t="s">
        <v>1578</v>
      </c>
      <c r="HD282" s="1605" t="s">
        <v>1578</v>
      </c>
      <c r="HE282" s="1605" t="s">
        <v>1578</v>
      </c>
      <c r="HF282" s="1605" t="s">
        <v>1578</v>
      </c>
      <c r="HG282" s="1605" t="s">
        <v>1578</v>
      </c>
      <c r="HH282" s="1605" t="s">
        <v>1578</v>
      </c>
      <c r="HI282" s="1605" t="s">
        <v>1578</v>
      </c>
      <c r="HJ282" s="1605" t="s">
        <v>1578</v>
      </c>
      <c r="HK282" s="1605" t="s">
        <v>986</v>
      </c>
      <c r="HL282" s="1605" t="s">
        <v>986</v>
      </c>
      <c r="HM282" s="1605" t="s">
        <v>1578</v>
      </c>
      <c r="HN282" s="1605" t="s">
        <v>1578</v>
      </c>
      <c r="HO282" s="1605" t="s">
        <v>1578</v>
      </c>
      <c r="HP282" s="1605" t="s">
        <v>1578</v>
      </c>
      <c r="HQ282" s="1605" t="s">
        <v>1578</v>
      </c>
      <c r="HR282" s="1605" t="s">
        <v>1578</v>
      </c>
      <c r="HS282" s="1605" t="s">
        <v>1578</v>
      </c>
      <c r="HT282" s="1605" t="s">
        <v>1578</v>
      </c>
      <c r="HU282" s="1605" t="s">
        <v>1578</v>
      </c>
      <c r="HV282" s="1617"/>
      <c r="HW282" s="1617">
        <v>0</v>
      </c>
      <c r="HX282" s="1617">
        <v>0</v>
      </c>
      <c r="HY282" s="1617">
        <v>0</v>
      </c>
      <c r="HZ282" s="1603"/>
      <c r="IA282" s="1603"/>
      <c r="IB282" s="1603"/>
      <c r="IC282" s="1603">
        <v>50</v>
      </c>
      <c r="ID282" s="1603">
        <v>50</v>
      </c>
      <c r="IE282" s="1603">
        <v>50</v>
      </c>
      <c r="IF282" s="1603">
        <v>50</v>
      </c>
      <c r="IG282" s="1611" t="s">
        <v>2932</v>
      </c>
      <c r="IH282" s="1616" t="s">
        <v>270</v>
      </c>
      <c r="II282" s="1615" t="s">
        <v>270</v>
      </c>
      <c r="IJ282" s="1613">
        <v>1.3101818181818183</v>
      </c>
      <c r="IK282" s="1613">
        <v>1.301848484848485</v>
      </c>
      <c r="IL282" s="1614">
        <v>1.3101818181818183</v>
      </c>
      <c r="IM282" s="1614">
        <v>1.301848484848485</v>
      </c>
      <c r="IN282" s="1612" t="s">
        <v>270</v>
      </c>
      <c r="IO282" s="1613" t="s">
        <v>270</v>
      </c>
      <c r="IP282" s="1607" t="s">
        <v>270</v>
      </c>
      <c r="IQ282" s="1612" t="s">
        <v>270</v>
      </c>
      <c r="IR282" s="1612" t="s">
        <v>270</v>
      </c>
      <c r="IS282" s="1607">
        <v>1.1881818181818182</v>
      </c>
      <c r="IT282" s="1607">
        <v>1.1798484848484849</v>
      </c>
      <c r="IU282" s="1611">
        <v>0</v>
      </c>
      <c r="IV282" s="1611">
        <v>7.7767676767676763E-2</v>
      </c>
      <c r="IW282" s="1611">
        <v>9.0909090909090909E-4</v>
      </c>
      <c r="IX282" s="1611">
        <v>1.6060606060606061E-3</v>
      </c>
      <c r="IY282" s="1611">
        <v>9.6969696969696957E-4</v>
      </c>
      <c r="IZ282" s="1611">
        <v>5.9898989898989896E-3</v>
      </c>
      <c r="JA282" s="1611">
        <v>6.0606060606060598E-5</v>
      </c>
      <c r="JB282" s="1611" t="s">
        <v>270</v>
      </c>
      <c r="JC282" s="1611">
        <v>9.9026969696969704</v>
      </c>
      <c r="JD282" s="1611">
        <v>5.2121212121212122E-3</v>
      </c>
      <c r="JE282" s="1611" t="s">
        <v>270</v>
      </c>
      <c r="JF282" s="1611">
        <v>8.2828282828282835E-4</v>
      </c>
      <c r="JG282" s="1611">
        <v>0.57978787878787885</v>
      </c>
      <c r="JH282" s="1611">
        <v>7.646464646464647E-3</v>
      </c>
      <c r="JI282" s="1611">
        <v>0.3</v>
      </c>
      <c r="JJ282" s="1611" t="s">
        <v>270</v>
      </c>
      <c r="JK282" s="1607">
        <f t="shared" si="13"/>
        <v>0.12200000000000011</v>
      </c>
      <c r="JL282" s="1608" t="s">
        <v>270</v>
      </c>
      <c r="JM282" s="1610" t="s">
        <v>2924</v>
      </c>
      <c r="JN282" s="1608">
        <v>8.3333333333333037E-3</v>
      </c>
      <c r="JO282" s="1609" t="s">
        <v>2931</v>
      </c>
      <c r="JP282" s="1608" t="s">
        <v>270</v>
      </c>
      <c r="JQ282" s="1607">
        <v>202103</v>
      </c>
      <c r="JR282" s="1606">
        <v>851</v>
      </c>
      <c r="JS282" s="1606">
        <v>774</v>
      </c>
      <c r="JT282" s="1606">
        <v>774</v>
      </c>
    </row>
    <row r="283" spans="1:280" ht="15" customHeight="1" x14ac:dyDescent="0.2">
      <c r="A283" s="1626">
        <v>42500</v>
      </c>
      <c r="B283" s="1625">
        <v>425</v>
      </c>
      <c r="C283" s="1624">
        <v>0</v>
      </c>
      <c r="D283" s="1623" t="s">
        <v>3050</v>
      </c>
      <c r="E283" s="1622">
        <v>43136</v>
      </c>
      <c r="F283" s="1620">
        <v>-8.8418002322880607E-2</v>
      </c>
      <c r="G283" s="1620">
        <v>-8.2438367346939004E-2</v>
      </c>
      <c r="H283" s="1621">
        <v>70</v>
      </c>
      <c r="I283" s="1621">
        <v>60</v>
      </c>
      <c r="J283" s="1621">
        <v>90</v>
      </c>
      <c r="K283" s="1620">
        <v>1</v>
      </c>
      <c r="L283" s="1620">
        <v>99</v>
      </c>
      <c r="M283" s="1620">
        <v>0.1</v>
      </c>
      <c r="N283" s="1620">
        <v>0.1</v>
      </c>
      <c r="O283" s="1620">
        <v>96.7</v>
      </c>
      <c r="P283" s="1620">
        <v>0.04</v>
      </c>
      <c r="Q283" s="1603"/>
      <c r="R283" s="1620">
        <v>70</v>
      </c>
      <c r="S283" s="1620">
        <v>50</v>
      </c>
      <c r="T283" s="1620">
        <v>50</v>
      </c>
      <c r="U283" s="1620">
        <v>50</v>
      </c>
      <c r="V283" s="1620">
        <v>50</v>
      </c>
      <c r="W283" s="1620">
        <v>50</v>
      </c>
      <c r="X283" s="1620"/>
      <c r="Y283" s="1620">
        <v>0</v>
      </c>
      <c r="Z283" s="1620">
        <v>0</v>
      </c>
      <c r="AA283" s="1620">
        <v>0</v>
      </c>
      <c r="AB283" s="1620">
        <v>0</v>
      </c>
      <c r="AC283" s="1620">
        <v>0</v>
      </c>
      <c r="AD283" s="1620">
        <v>0</v>
      </c>
      <c r="AE283" s="1620">
        <v>0</v>
      </c>
      <c r="AF283" s="1620">
        <v>62626.262626262629</v>
      </c>
      <c r="AG283" s="1620">
        <v>12525.252525252525</v>
      </c>
      <c r="AH283" s="1620">
        <v>25050.505050504951</v>
      </c>
      <c r="AI283" s="1620">
        <v>45454.545454545456</v>
      </c>
      <c r="AJ283" s="1620">
        <v>125.25252525252525</v>
      </c>
      <c r="AK283" s="1620">
        <v>219.1919191919192</v>
      </c>
      <c r="AL283" s="1620"/>
      <c r="AM283" s="1620">
        <v>0</v>
      </c>
      <c r="AN283" s="1620">
        <v>0</v>
      </c>
      <c r="AO283" s="1620">
        <v>0</v>
      </c>
      <c r="AP283" s="1620">
        <v>0</v>
      </c>
      <c r="AQ283" s="1620">
        <v>0</v>
      </c>
      <c r="AR283" s="1620">
        <v>0</v>
      </c>
      <c r="AS283" s="1620">
        <v>0</v>
      </c>
      <c r="AT283" s="1620">
        <v>0</v>
      </c>
      <c r="AU283" s="1620">
        <v>0</v>
      </c>
      <c r="AV283" s="1620">
        <v>0</v>
      </c>
      <c r="AW283" s="1620">
        <v>0</v>
      </c>
      <c r="AX283" s="1620"/>
      <c r="AY283" s="1620">
        <v>1</v>
      </c>
      <c r="AZ283" s="1620">
        <v>1</v>
      </c>
      <c r="BA283" s="1620">
        <v>1</v>
      </c>
      <c r="BB283" s="1620">
        <v>1</v>
      </c>
      <c r="BC283" s="1620">
        <v>1</v>
      </c>
      <c r="BD283" s="1620">
        <v>1</v>
      </c>
      <c r="BE283" s="1620">
        <v>1</v>
      </c>
      <c r="BF283" s="1620">
        <v>1</v>
      </c>
      <c r="BG283" s="1620">
        <v>1</v>
      </c>
      <c r="BH283" s="1620">
        <v>1</v>
      </c>
      <c r="BI283" s="1620">
        <v>1</v>
      </c>
      <c r="BJ283" s="1603"/>
      <c r="BK283" s="1620">
        <v>0.10101010101010101</v>
      </c>
      <c r="BL283" s="1620">
        <v>0.10101010101010101</v>
      </c>
      <c r="BM283" s="1620">
        <v>97.676767676767682</v>
      </c>
      <c r="BN283" s="1620">
        <v>4.0404040404040407E-2</v>
      </c>
      <c r="BO283" s="1620"/>
      <c r="BP283" s="1620">
        <v>0</v>
      </c>
      <c r="BQ283" s="1620">
        <v>0</v>
      </c>
      <c r="BR283" s="1620">
        <v>-8.9311113457455155E-2</v>
      </c>
      <c r="BS283" s="1620">
        <v>-8.327107812822121E-2</v>
      </c>
      <c r="BT283" s="1603"/>
      <c r="BU283" s="1620">
        <v>23.232323232323029</v>
      </c>
      <c r="BV283" s="1620">
        <v>11.044733044732929</v>
      </c>
      <c r="BW283" s="1620">
        <v>3.3189033189032928</v>
      </c>
      <c r="BX283" s="1620">
        <v>0</v>
      </c>
      <c r="BY283" s="1620">
        <v>0</v>
      </c>
      <c r="BZ283" s="1620">
        <v>0</v>
      </c>
      <c r="CA283" s="1620">
        <v>0</v>
      </c>
      <c r="CB283" s="1603"/>
      <c r="CC283" s="1603">
        <v>0</v>
      </c>
      <c r="CD283" s="1603">
        <v>0</v>
      </c>
      <c r="CE283" s="1603">
        <v>0</v>
      </c>
      <c r="CF283" s="1603">
        <v>0</v>
      </c>
      <c r="CG283" s="1603">
        <v>0</v>
      </c>
      <c r="CH283" s="1603">
        <v>0</v>
      </c>
      <c r="CI283" s="1603">
        <v>0</v>
      </c>
      <c r="CJ283" s="1603"/>
      <c r="CK283" s="1603">
        <v>62000</v>
      </c>
      <c r="CL283" s="1603">
        <v>12400</v>
      </c>
      <c r="CM283" s="1603">
        <v>24799.999999999902</v>
      </c>
      <c r="CN283" s="1603">
        <v>45000</v>
      </c>
      <c r="CO283" s="1603">
        <v>123.99999999999999</v>
      </c>
      <c r="CP283" s="1603">
        <v>217</v>
      </c>
      <c r="CQ283" s="1603">
        <v>0.7</v>
      </c>
      <c r="CR283" s="1603">
        <v>-7.9169397816043574</v>
      </c>
      <c r="CS283" s="1603">
        <v>0</v>
      </c>
      <c r="CT283" s="1603">
        <v>0</v>
      </c>
      <c r="CU283" s="1603">
        <v>0</v>
      </c>
      <c r="CV283" s="1603">
        <v>0</v>
      </c>
      <c r="CW283" s="1603">
        <v>0</v>
      </c>
      <c r="CX283" s="1603">
        <v>0</v>
      </c>
      <c r="CY283" s="1603">
        <v>0</v>
      </c>
      <c r="CZ283" s="1603">
        <v>0</v>
      </c>
      <c r="DA283" s="1603">
        <v>0</v>
      </c>
      <c r="DB283" s="1603">
        <v>0</v>
      </c>
      <c r="DC283" s="1603">
        <v>0</v>
      </c>
      <c r="DD283" s="1603">
        <v>0</v>
      </c>
      <c r="DE283" s="1603">
        <v>0</v>
      </c>
      <c r="DF283" s="1603">
        <v>0</v>
      </c>
      <c r="DG283" s="1603">
        <v>0</v>
      </c>
      <c r="DH283" s="1603">
        <v>0</v>
      </c>
      <c r="DI283" s="1603">
        <v>3000</v>
      </c>
      <c r="DJ283" s="1603">
        <v>300</v>
      </c>
      <c r="DK283" s="1603">
        <v>80000</v>
      </c>
      <c r="DL283" s="1603">
        <v>1200</v>
      </c>
      <c r="DM283" s="1603">
        <v>0</v>
      </c>
      <c r="DN283" s="1603">
        <v>1200</v>
      </c>
      <c r="DO283" s="1603">
        <v>2400</v>
      </c>
      <c r="DP283" s="1603">
        <v>1800</v>
      </c>
      <c r="DQ283" s="1603">
        <v>12</v>
      </c>
      <c r="DR283" s="1603">
        <v>12000</v>
      </c>
      <c r="DS283" s="1603">
        <v>6000</v>
      </c>
      <c r="DT283" s="1603">
        <v>0</v>
      </c>
      <c r="DU283" s="1603">
        <v>0</v>
      </c>
      <c r="DV283" s="1603">
        <v>120</v>
      </c>
      <c r="DW283" s="1618" t="s">
        <v>986</v>
      </c>
      <c r="DX283" s="1605" t="s">
        <v>986</v>
      </c>
      <c r="DY283" s="1605" t="s">
        <v>986</v>
      </c>
      <c r="DZ283" s="1605" t="s">
        <v>986</v>
      </c>
      <c r="EA283" s="1605" t="s">
        <v>986</v>
      </c>
      <c r="EB283" s="1605" t="s">
        <v>986</v>
      </c>
      <c r="EC283" s="1605" t="s">
        <v>986</v>
      </c>
      <c r="ED283" s="1605" t="s">
        <v>986</v>
      </c>
      <c r="EE283" s="1605" t="s">
        <v>986</v>
      </c>
      <c r="EF283" s="1605" t="s">
        <v>986</v>
      </c>
      <c r="EG283" s="1605" t="s">
        <v>986</v>
      </c>
      <c r="EH283" s="1605" t="s">
        <v>986</v>
      </c>
      <c r="EI283" s="1605" t="s">
        <v>986</v>
      </c>
      <c r="EJ283" s="1605" t="s">
        <v>986</v>
      </c>
      <c r="EK283" s="1605" t="s">
        <v>986</v>
      </c>
      <c r="EL283" s="1605" t="s">
        <v>986</v>
      </c>
      <c r="EM283" s="1605" t="s">
        <v>986</v>
      </c>
      <c r="EN283" s="1605" t="s">
        <v>986</v>
      </c>
      <c r="EO283" s="1605" t="s">
        <v>986</v>
      </c>
      <c r="EP283" s="1605" t="s">
        <v>986</v>
      </c>
      <c r="EQ283" s="1605" t="s">
        <v>986</v>
      </c>
      <c r="ER283" s="1605" t="s">
        <v>986</v>
      </c>
      <c r="ES283" s="1605" t="s">
        <v>986</v>
      </c>
      <c r="ET283" s="1605" t="s">
        <v>986</v>
      </c>
      <c r="EU283" s="1605" t="s">
        <v>986</v>
      </c>
      <c r="EV283" s="1605" t="s">
        <v>986</v>
      </c>
      <c r="EW283" s="1605" t="s">
        <v>986</v>
      </c>
      <c r="EX283" s="1605" t="s">
        <v>986</v>
      </c>
      <c r="EY283" s="1605" t="s">
        <v>986</v>
      </c>
      <c r="EZ283" s="1605" t="s">
        <v>986</v>
      </c>
      <c r="FA283" s="1605" t="s">
        <v>986</v>
      </c>
      <c r="FB283" s="1605" t="s">
        <v>986</v>
      </c>
      <c r="FC283" s="1605" t="s">
        <v>986</v>
      </c>
      <c r="FD283" s="1605" t="s">
        <v>986</v>
      </c>
      <c r="FE283" s="1605" t="s">
        <v>986</v>
      </c>
      <c r="FF283" s="1605" t="s">
        <v>986</v>
      </c>
      <c r="FG283" s="1605" t="s">
        <v>986</v>
      </c>
      <c r="FH283" s="1605" t="s">
        <v>986</v>
      </c>
      <c r="FI283" s="1605" t="s">
        <v>986</v>
      </c>
      <c r="FJ283" s="1605" t="s">
        <v>986</v>
      </c>
      <c r="FK283" s="1605" t="s">
        <v>986</v>
      </c>
      <c r="FL283" s="1605" t="s">
        <v>986</v>
      </c>
      <c r="FM283" s="1605" t="s">
        <v>986</v>
      </c>
      <c r="FN283" s="1605" t="s">
        <v>986</v>
      </c>
      <c r="FO283" s="1605" t="s">
        <v>986</v>
      </c>
      <c r="FP283" s="1605" t="s">
        <v>986</v>
      </c>
      <c r="FQ283" s="1605" t="s">
        <v>986</v>
      </c>
      <c r="FR283" s="1605" t="s">
        <v>986</v>
      </c>
      <c r="FS283" s="1605" t="s">
        <v>986</v>
      </c>
      <c r="FT283" s="1605" t="s">
        <v>986</v>
      </c>
      <c r="FU283" s="1605" t="s">
        <v>986</v>
      </c>
      <c r="FV283" s="1605" t="s">
        <v>986</v>
      </c>
      <c r="FW283" s="1605" t="s">
        <v>986</v>
      </c>
      <c r="FX283" s="1605" t="s">
        <v>986</v>
      </c>
      <c r="FY283" s="1605" t="s">
        <v>986</v>
      </c>
      <c r="FZ283" s="1605" t="s">
        <v>986</v>
      </c>
      <c r="GA283" s="1605" t="s">
        <v>986</v>
      </c>
      <c r="GB283" s="1605" t="s">
        <v>986</v>
      </c>
      <c r="GC283" s="1605" t="s">
        <v>986</v>
      </c>
      <c r="GD283" s="1605" t="s">
        <v>986</v>
      </c>
      <c r="GE283" s="1605" t="s">
        <v>986</v>
      </c>
      <c r="GF283" s="1605" t="s">
        <v>986</v>
      </c>
      <c r="GG283" s="1605" t="s">
        <v>986</v>
      </c>
      <c r="GH283" s="1605" t="s">
        <v>986</v>
      </c>
      <c r="GI283" s="1605" t="s">
        <v>986</v>
      </c>
      <c r="GJ283" s="1605" t="s">
        <v>986</v>
      </c>
      <c r="GK283" s="1605" t="s">
        <v>986</v>
      </c>
      <c r="GL283" s="1605" t="s">
        <v>986</v>
      </c>
      <c r="GM283" s="1605" t="s">
        <v>986</v>
      </c>
      <c r="GN283" s="1605" t="s">
        <v>1578</v>
      </c>
      <c r="GO283" s="1605" t="s">
        <v>1578</v>
      </c>
      <c r="GP283" s="1605" t="s">
        <v>1578</v>
      </c>
      <c r="GQ283" s="1605" t="s">
        <v>1578</v>
      </c>
      <c r="GR283" s="1605" t="s">
        <v>1578</v>
      </c>
      <c r="GS283" s="1605" t="s">
        <v>1578</v>
      </c>
      <c r="GT283" s="1605" t="s">
        <v>1578</v>
      </c>
      <c r="GU283" s="1605" t="s">
        <v>1578</v>
      </c>
      <c r="GV283" s="1605" t="s">
        <v>1578</v>
      </c>
      <c r="GW283" s="1605" t="s">
        <v>1578</v>
      </c>
      <c r="GX283" s="1605" t="s">
        <v>1578</v>
      </c>
      <c r="GY283" s="1605" t="s">
        <v>1578</v>
      </c>
      <c r="GZ283" s="1605" t="s">
        <v>1578</v>
      </c>
      <c r="HA283" s="1605" t="s">
        <v>1578</v>
      </c>
      <c r="HB283" s="1605" t="s">
        <v>1578</v>
      </c>
      <c r="HC283" s="1605" t="s">
        <v>1578</v>
      </c>
      <c r="HD283" s="1605" t="s">
        <v>1578</v>
      </c>
      <c r="HE283" s="1605" t="s">
        <v>1578</v>
      </c>
      <c r="HF283" s="1605" t="s">
        <v>1578</v>
      </c>
      <c r="HG283" s="1605" t="s">
        <v>1578</v>
      </c>
      <c r="HH283" s="1605" t="s">
        <v>1578</v>
      </c>
      <c r="HI283" s="1605" t="s">
        <v>1578</v>
      </c>
      <c r="HJ283" s="1605" t="s">
        <v>1578</v>
      </c>
      <c r="HK283" s="1605" t="s">
        <v>986</v>
      </c>
      <c r="HL283" s="1605" t="s">
        <v>986</v>
      </c>
      <c r="HM283" s="1605" t="s">
        <v>1578</v>
      </c>
      <c r="HN283" s="1605" t="s">
        <v>1578</v>
      </c>
      <c r="HO283" s="1605" t="s">
        <v>1578</v>
      </c>
      <c r="HP283" s="1605" t="s">
        <v>1578</v>
      </c>
      <c r="HQ283" s="1605" t="s">
        <v>1578</v>
      </c>
      <c r="HR283" s="1605" t="s">
        <v>1578</v>
      </c>
      <c r="HS283" s="1605" t="s">
        <v>1578</v>
      </c>
      <c r="HT283" s="1605" t="s">
        <v>1578</v>
      </c>
      <c r="HU283" s="1605" t="s">
        <v>1578</v>
      </c>
      <c r="HV283" s="1617"/>
      <c r="HW283" s="1617">
        <v>0</v>
      </c>
      <c r="HX283" s="1617">
        <v>0</v>
      </c>
      <c r="HY283" s="1617">
        <v>0</v>
      </c>
      <c r="HZ283" s="1603"/>
      <c r="IA283" s="1603"/>
      <c r="IB283" s="1603"/>
      <c r="IC283" s="1603">
        <v>50</v>
      </c>
      <c r="ID283" s="1603">
        <v>50</v>
      </c>
      <c r="IE283" s="1603">
        <v>50</v>
      </c>
      <c r="IF283" s="1603">
        <v>50</v>
      </c>
      <c r="IG283" s="1611" t="s">
        <v>2932</v>
      </c>
      <c r="IH283" s="1616" t="s">
        <v>270</v>
      </c>
      <c r="II283" s="1615" t="s">
        <v>270</v>
      </c>
      <c r="IJ283" s="1613">
        <v>1.3101818181818183</v>
      </c>
      <c r="IK283" s="1613">
        <v>1.301848484848485</v>
      </c>
      <c r="IL283" s="1614">
        <v>1.3101818181818183</v>
      </c>
      <c r="IM283" s="1614">
        <v>1.301848484848485</v>
      </c>
      <c r="IN283" s="1612" t="s">
        <v>270</v>
      </c>
      <c r="IO283" s="1613" t="s">
        <v>270</v>
      </c>
      <c r="IP283" s="1607" t="s">
        <v>270</v>
      </c>
      <c r="IQ283" s="1612" t="s">
        <v>270</v>
      </c>
      <c r="IR283" s="1612" t="s">
        <v>270</v>
      </c>
      <c r="IS283" s="1607">
        <v>1.1881818181818182</v>
      </c>
      <c r="IT283" s="1607">
        <v>1.1798484848484849</v>
      </c>
      <c r="IU283" s="1611">
        <v>0</v>
      </c>
      <c r="IV283" s="1611">
        <v>7.7767676767676763E-2</v>
      </c>
      <c r="IW283" s="1611">
        <v>9.0909090909090909E-4</v>
      </c>
      <c r="IX283" s="1611">
        <v>1.6060606060606061E-3</v>
      </c>
      <c r="IY283" s="1611">
        <v>9.6969696969696957E-4</v>
      </c>
      <c r="IZ283" s="1611">
        <v>5.9898989898989896E-3</v>
      </c>
      <c r="JA283" s="1611">
        <v>6.0606060606060598E-5</v>
      </c>
      <c r="JB283" s="1611" t="s">
        <v>270</v>
      </c>
      <c r="JC283" s="1611">
        <v>9.9026969696969704</v>
      </c>
      <c r="JD283" s="1611">
        <v>5.2121212121212122E-3</v>
      </c>
      <c r="JE283" s="1611" t="s">
        <v>270</v>
      </c>
      <c r="JF283" s="1611">
        <v>8.2828282828282835E-4</v>
      </c>
      <c r="JG283" s="1611">
        <v>0.57978787878787885</v>
      </c>
      <c r="JH283" s="1611">
        <v>7.646464646464647E-3</v>
      </c>
      <c r="JI283" s="1611">
        <v>0.3</v>
      </c>
      <c r="JJ283" s="1611" t="s">
        <v>270</v>
      </c>
      <c r="JK283" s="1607">
        <f t="shared" si="13"/>
        <v>0.12200000000000011</v>
      </c>
      <c r="JL283" s="1608" t="s">
        <v>270</v>
      </c>
      <c r="JM283" s="1610" t="s">
        <v>2924</v>
      </c>
      <c r="JN283" s="1608">
        <v>8.3333333333333037E-3</v>
      </c>
      <c r="JO283" s="1609" t="s">
        <v>2931</v>
      </c>
      <c r="JP283" s="1608" t="s">
        <v>270</v>
      </c>
      <c r="JQ283" s="1607">
        <v>202103</v>
      </c>
      <c r="JR283" s="1606">
        <v>851</v>
      </c>
      <c r="JS283" s="1606">
        <v>774</v>
      </c>
      <c r="JT283" s="1606">
        <v>774</v>
      </c>
    </row>
    <row r="284" spans="1:280" ht="15" customHeight="1" x14ac:dyDescent="0.2">
      <c r="A284" s="1626">
        <v>45500</v>
      </c>
      <c r="B284" s="1625">
        <v>455</v>
      </c>
      <c r="C284" s="1624">
        <v>0</v>
      </c>
      <c r="D284" s="1623" t="s">
        <v>3049</v>
      </c>
      <c r="E284" s="1622">
        <v>43367</v>
      </c>
      <c r="F284" s="1620">
        <v>-8.8418002322880496E-2</v>
      </c>
      <c r="G284" s="1620">
        <v>-8.2438367346938907E-2</v>
      </c>
      <c r="H284" s="1621">
        <v>70</v>
      </c>
      <c r="I284" s="1621">
        <v>60</v>
      </c>
      <c r="J284" s="1621">
        <v>90</v>
      </c>
      <c r="K284" s="1620">
        <v>1</v>
      </c>
      <c r="L284" s="1620">
        <v>99</v>
      </c>
      <c r="M284" s="1620">
        <v>0.1</v>
      </c>
      <c r="N284" s="1620">
        <v>0.1</v>
      </c>
      <c r="O284" s="1620">
        <v>96.7</v>
      </c>
      <c r="P284" s="1620">
        <v>0.04</v>
      </c>
      <c r="Q284" s="1603"/>
      <c r="R284" s="1620">
        <v>70</v>
      </c>
      <c r="S284" s="1620">
        <v>63</v>
      </c>
      <c r="T284" s="1620">
        <v>63</v>
      </c>
      <c r="U284" s="1620">
        <v>63</v>
      </c>
      <c r="V284" s="1620">
        <v>63</v>
      </c>
      <c r="W284" s="1620">
        <v>63</v>
      </c>
      <c r="X284" s="1620"/>
      <c r="Y284" s="1620">
        <v>0</v>
      </c>
      <c r="Z284" s="1620">
        <v>0</v>
      </c>
      <c r="AA284" s="1620">
        <v>0</v>
      </c>
      <c r="AB284" s="1620">
        <v>0</v>
      </c>
      <c r="AC284" s="1620">
        <v>0</v>
      </c>
      <c r="AD284" s="1620">
        <v>0</v>
      </c>
      <c r="AE284" s="1620">
        <v>0</v>
      </c>
      <c r="AF284" s="1620">
        <v>16666.666666666668</v>
      </c>
      <c r="AG284" s="1620">
        <v>11111.111111111111</v>
      </c>
      <c r="AH284" s="1620">
        <v>22222.222222222223</v>
      </c>
      <c r="AI284" s="1620">
        <v>35353.535353535357</v>
      </c>
      <c r="AJ284" s="1620">
        <v>111.11111111111111</v>
      </c>
      <c r="AK284" s="1620">
        <v>111.11111111111111</v>
      </c>
      <c r="AL284" s="1620"/>
      <c r="AM284" s="1620">
        <v>0</v>
      </c>
      <c r="AN284" s="1620">
        <v>0</v>
      </c>
      <c r="AO284" s="1620">
        <v>0</v>
      </c>
      <c r="AP284" s="1620">
        <v>0</v>
      </c>
      <c r="AQ284" s="1620">
        <v>0</v>
      </c>
      <c r="AR284" s="1620">
        <v>0</v>
      </c>
      <c r="AS284" s="1620">
        <v>0</v>
      </c>
      <c r="AT284" s="1620">
        <v>0</v>
      </c>
      <c r="AU284" s="1620">
        <v>0</v>
      </c>
      <c r="AV284" s="1620">
        <v>0</v>
      </c>
      <c r="AW284" s="1620">
        <v>0</v>
      </c>
      <c r="AX284" s="1620"/>
      <c r="AY284" s="1620">
        <v>1</v>
      </c>
      <c r="AZ284" s="1620">
        <v>1</v>
      </c>
      <c r="BA284" s="1620">
        <v>0</v>
      </c>
      <c r="BB284" s="1620">
        <v>0</v>
      </c>
      <c r="BC284" s="1620">
        <v>0</v>
      </c>
      <c r="BD284" s="1620">
        <v>0</v>
      </c>
      <c r="BE284" s="1620">
        <v>0</v>
      </c>
      <c r="BF284" s="1620">
        <v>0</v>
      </c>
      <c r="BG284" s="1620">
        <v>0</v>
      </c>
      <c r="BH284" s="1620">
        <v>0</v>
      </c>
      <c r="BI284" s="1620">
        <v>0</v>
      </c>
      <c r="BJ284" s="1603"/>
      <c r="BK284" s="1620">
        <v>0.10101010101010101</v>
      </c>
      <c r="BL284" s="1620">
        <v>0.10101010101010101</v>
      </c>
      <c r="BM284" s="1620">
        <v>97.676767676767682</v>
      </c>
      <c r="BN284" s="1620">
        <v>4.0404040404040407E-2</v>
      </c>
      <c r="BO284" s="1620"/>
      <c r="BP284" s="1620">
        <v>0</v>
      </c>
      <c r="BQ284" s="1620">
        <v>0</v>
      </c>
      <c r="BR284" s="1620">
        <v>-8.9311113457455044E-2</v>
      </c>
      <c r="BS284" s="1620">
        <v>-8.3271078128221127E-2</v>
      </c>
      <c r="BT284" s="1603"/>
      <c r="BU284" s="1620">
        <v>23.232323232323029</v>
      </c>
      <c r="BV284" s="1620">
        <v>11.044733044732929</v>
      </c>
      <c r="BW284" s="1620">
        <v>3.3189033189032928</v>
      </c>
      <c r="BX284" s="1620" t="s">
        <v>270</v>
      </c>
      <c r="BY284" s="1620" t="s">
        <v>270</v>
      </c>
      <c r="BZ284" s="1620">
        <v>0</v>
      </c>
      <c r="CA284" s="1620">
        <v>0</v>
      </c>
      <c r="CB284" s="1603"/>
      <c r="CC284" s="1603">
        <v>0</v>
      </c>
      <c r="CD284" s="1603">
        <v>0</v>
      </c>
      <c r="CE284" s="1603">
        <v>0</v>
      </c>
      <c r="CF284" s="1603">
        <v>0</v>
      </c>
      <c r="CG284" s="1603">
        <v>0</v>
      </c>
      <c r="CH284" s="1603">
        <v>0</v>
      </c>
      <c r="CI284" s="1603">
        <v>0</v>
      </c>
      <c r="CJ284" s="1603"/>
      <c r="CK284" s="1603">
        <v>16500</v>
      </c>
      <c r="CL284" s="1603">
        <v>11000</v>
      </c>
      <c r="CM284" s="1603">
        <v>22000</v>
      </c>
      <c r="CN284" s="1603">
        <v>35000</v>
      </c>
      <c r="CO284" s="1603">
        <v>110</v>
      </c>
      <c r="CP284" s="1603">
        <v>110</v>
      </c>
      <c r="CQ284" s="1603">
        <v>0.7</v>
      </c>
      <c r="CR284" s="1603">
        <v>-7.9169397816043672</v>
      </c>
      <c r="CS284" s="1603">
        <v>0</v>
      </c>
      <c r="CT284" s="1603">
        <v>0</v>
      </c>
      <c r="CU284" s="1603">
        <v>0</v>
      </c>
      <c r="CV284" s="1603">
        <v>0</v>
      </c>
      <c r="CW284" s="1603">
        <v>0</v>
      </c>
      <c r="CX284" s="1603">
        <v>0</v>
      </c>
      <c r="CY284" s="1603">
        <v>0</v>
      </c>
      <c r="CZ284" s="1603">
        <v>0</v>
      </c>
      <c r="DA284" s="1603">
        <v>0</v>
      </c>
      <c r="DB284" s="1603">
        <v>0</v>
      </c>
      <c r="DC284" s="1603">
        <v>0</v>
      </c>
      <c r="DD284" s="1603">
        <v>0</v>
      </c>
      <c r="DE284" s="1603">
        <v>0</v>
      </c>
      <c r="DF284" s="1603">
        <v>0</v>
      </c>
      <c r="DG284" s="1603">
        <v>0</v>
      </c>
      <c r="DH284" s="1603">
        <v>0</v>
      </c>
      <c r="DI284" s="1603">
        <v>2200</v>
      </c>
      <c r="DJ284" s="1603">
        <v>220</v>
      </c>
      <c r="DK284" s="1603">
        <v>20000</v>
      </c>
      <c r="DL284" s="1603">
        <v>1100</v>
      </c>
      <c r="DM284" s="1603">
        <v>0</v>
      </c>
      <c r="DN284" s="1603">
        <v>1100</v>
      </c>
      <c r="DO284" s="1603">
        <v>1100</v>
      </c>
      <c r="DP284" s="1603">
        <v>1700</v>
      </c>
      <c r="DQ284" s="1603">
        <v>11</v>
      </c>
      <c r="DR284" s="1603">
        <v>11000</v>
      </c>
      <c r="DS284" s="1603">
        <v>5500</v>
      </c>
      <c r="DT284" s="1603">
        <v>0</v>
      </c>
      <c r="DU284" s="1603">
        <v>0</v>
      </c>
      <c r="DV284" s="1603">
        <v>30</v>
      </c>
      <c r="DW284" s="1618" t="s">
        <v>986</v>
      </c>
      <c r="DX284" s="1605" t="s">
        <v>986</v>
      </c>
      <c r="DY284" s="1605" t="s">
        <v>986</v>
      </c>
      <c r="DZ284" s="1605" t="s">
        <v>986</v>
      </c>
      <c r="EA284" s="1605" t="s">
        <v>986</v>
      </c>
      <c r="EB284" s="1605" t="s">
        <v>986</v>
      </c>
      <c r="EC284" s="1605" t="s">
        <v>986</v>
      </c>
      <c r="ED284" s="1605" t="s">
        <v>986</v>
      </c>
      <c r="EE284" s="1605" t="s">
        <v>986</v>
      </c>
      <c r="EF284" s="1605" t="s">
        <v>986</v>
      </c>
      <c r="EG284" s="1605" t="s">
        <v>986</v>
      </c>
      <c r="EH284" s="1605" t="s">
        <v>986</v>
      </c>
      <c r="EI284" s="1605" t="s">
        <v>986</v>
      </c>
      <c r="EJ284" s="1605" t="s">
        <v>986</v>
      </c>
      <c r="EK284" s="1605" t="s">
        <v>986</v>
      </c>
      <c r="EL284" s="1605" t="s">
        <v>986</v>
      </c>
      <c r="EM284" s="1605" t="s">
        <v>986</v>
      </c>
      <c r="EN284" s="1605" t="s">
        <v>986</v>
      </c>
      <c r="EO284" s="1605" t="s">
        <v>986</v>
      </c>
      <c r="EP284" s="1605" t="s">
        <v>986</v>
      </c>
      <c r="EQ284" s="1605" t="s">
        <v>986</v>
      </c>
      <c r="ER284" s="1605" t="s">
        <v>986</v>
      </c>
      <c r="ES284" s="1605" t="s">
        <v>986</v>
      </c>
      <c r="ET284" s="1605" t="s">
        <v>986</v>
      </c>
      <c r="EU284" s="1605" t="s">
        <v>986</v>
      </c>
      <c r="EV284" s="1605" t="s">
        <v>986</v>
      </c>
      <c r="EW284" s="1605" t="s">
        <v>986</v>
      </c>
      <c r="EX284" s="1605" t="s">
        <v>986</v>
      </c>
      <c r="EY284" s="1605" t="s">
        <v>986</v>
      </c>
      <c r="EZ284" s="1605" t="s">
        <v>986</v>
      </c>
      <c r="FA284" s="1605" t="s">
        <v>986</v>
      </c>
      <c r="FB284" s="1605" t="s">
        <v>986</v>
      </c>
      <c r="FC284" s="1605" t="s">
        <v>986</v>
      </c>
      <c r="FD284" s="1605" t="s">
        <v>986</v>
      </c>
      <c r="FE284" s="1605" t="s">
        <v>986</v>
      </c>
      <c r="FF284" s="1605" t="s">
        <v>986</v>
      </c>
      <c r="FG284" s="1605" t="s">
        <v>986</v>
      </c>
      <c r="FH284" s="1605" t="s">
        <v>986</v>
      </c>
      <c r="FI284" s="1605" t="s">
        <v>986</v>
      </c>
      <c r="FJ284" s="1605" t="s">
        <v>986</v>
      </c>
      <c r="FK284" s="1605" t="s">
        <v>986</v>
      </c>
      <c r="FL284" s="1605" t="s">
        <v>986</v>
      </c>
      <c r="FM284" s="1605" t="s">
        <v>986</v>
      </c>
      <c r="FN284" s="1605" t="s">
        <v>986</v>
      </c>
      <c r="FO284" s="1605" t="s">
        <v>986</v>
      </c>
      <c r="FP284" s="1605" t="s">
        <v>986</v>
      </c>
      <c r="FQ284" s="1605" t="s">
        <v>986</v>
      </c>
      <c r="FR284" s="1605" t="s">
        <v>986</v>
      </c>
      <c r="FS284" s="1605" t="s">
        <v>986</v>
      </c>
      <c r="FT284" s="1605" t="s">
        <v>986</v>
      </c>
      <c r="FU284" s="1605" t="s">
        <v>986</v>
      </c>
      <c r="FV284" s="1605" t="s">
        <v>986</v>
      </c>
      <c r="FW284" s="1605" t="s">
        <v>986</v>
      </c>
      <c r="FX284" s="1605" t="s">
        <v>986</v>
      </c>
      <c r="FY284" s="1605" t="s">
        <v>986</v>
      </c>
      <c r="FZ284" s="1605" t="s">
        <v>986</v>
      </c>
      <c r="GA284" s="1605" t="s">
        <v>986</v>
      </c>
      <c r="GB284" s="1605" t="s">
        <v>986</v>
      </c>
      <c r="GC284" s="1605" t="s">
        <v>986</v>
      </c>
      <c r="GD284" s="1605" t="s">
        <v>986</v>
      </c>
      <c r="GE284" s="1605" t="s">
        <v>986</v>
      </c>
      <c r="GF284" s="1605" t="s">
        <v>986</v>
      </c>
      <c r="GG284" s="1605" t="s">
        <v>986</v>
      </c>
      <c r="GH284" s="1605" t="s">
        <v>986</v>
      </c>
      <c r="GI284" s="1605" t="s">
        <v>986</v>
      </c>
      <c r="GJ284" s="1605" t="s">
        <v>986</v>
      </c>
      <c r="GK284" s="1605" t="s">
        <v>986</v>
      </c>
      <c r="GL284" s="1605" t="s">
        <v>986</v>
      </c>
      <c r="GM284" s="1605" t="s">
        <v>986</v>
      </c>
      <c r="GN284" s="1605" t="s">
        <v>1578</v>
      </c>
      <c r="GO284" s="1605" t="s">
        <v>1578</v>
      </c>
      <c r="GP284" s="1605" t="s">
        <v>1578</v>
      </c>
      <c r="GQ284" s="1605" t="s">
        <v>1578</v>
      </c>
      <c r="GR284" s="1605" t="s">
        <v>1578</v>
      </c>
      <c r="GS284" s="1605" t="s">
        <v>1578</v>
      </c>
      <c r="GT284" s="1605" t="s">
        <v>1578</v>
      </c>
      <c r="GU284" s="1605" t="s">
        <v>1578</v>
      </c>
      <c r="GV284" s="1605" t="s">
        <v>1578</v>
      </c>
      <c r="GW284" s="1605" t="s">
        <v>1578</v>
      </c>
      <c r="GX284" s="1605" t="s">
        <v>1578</v>
      </c>
      <c r="GY284" s="1605" t="s">
        <v>1578</v>
      </c>
      <c r="GZ284" s="1605" t="s">
        <v>1578</v>
      </c>
      <c r="HA284" s="1605" t="s">
        <v>1578</v>
      </c>
      <c r="HB284" s="1605" t="s">
        <v>1578</v>
      </c>
      <c r="HC284" s="1605" t="s">
        <v>1578</v>
      </c>
      <c r="HD284" s="1605" t="s">
        <v>1578</v>
      </c>
      <c r="HE284" s="1605" t="s">
        <v>1578</v>
      </c>
      <c r="HF284" s="1605" t="s">
        <v>1578</v>
      </c>
      <c r="HG284" s="1605" t="s">
        <v>1578</v>
      </c>
      <c r="HH284" s="1605" t="s">
        <v>1578</v>
      </c>
      <c r="HI284" s="1605" t="s">
        <v>1578</v>
      </c>
      <c r="HJ284" s="1605" t="s">
        <v>1578</v>
      </c>
      <c r="HK284" s="1605" t="s">
        <v>986</v>
      </c>
      <c r="HL284" s="1605" t="s">
        <v>986</v>
      </c>
      <c r="HM284" s="1605" t="s">
        <v>1578</v>
      </c>
      <c r="HN284" s="1605" t="s">
        <v>1578</v>
      </c>
      <c r="HO284" s="1605" t="s">
        <v>1578</v>
      </c>
      <c r="HP284" s="1605" t="s">
        <v>1578</v>
      </c>
      <c r="HQ284" s="1605" t="s">
        <v>1578</v>
      </c>
      <c r="HR284" s="1605" t="s">
        <v>1578</v>
      </c>
      <c r="HS284" s="1605" t="s">
        <v>1578</v>
      </c>
      <c r="HT284" s="1605" t="s">
        <v>1578</v>
      </c>
      <c r="HU284" s="1605" t="s">
        <v>1578</v>
      </c>
      <c r="HV284" s="1617"/>
      <c r="HW284" s="1617">
        <v>0</v>
      </c>
      <c r="HX284" s="1617">
        <v>0</v>
      </c>
      <c r="HY284" s="1617">
        <v>0</v>
      </c>
      <c r="HZ284" s="1603"/>
      <c r="IA284" s="1603"/>
      <c r="IB284" s="1603"/>
      <c r="IC284" s="1603">
        <v>63</v>
      </c>
      <c r="ID284" s="1603">
        <v>63</v>
      </c>
      <c r="IE284" s="1603">
        <v>63</v>
      </c>
      <c r="IF284" s="1603">
        <v>63</v>
      </c>
      <c r="IG284" s="1611" t="s">
        <v>2932</v>
      </c>
      <c r="IH284" s="1616" t="s">
        <v>270</v>
      </c>
      <c r="II284" s="1615" t="s">
        <v>270</v>
      </c>
      <c r="IJ284" s="1613">
        <v>1.3101818181818183</v>
      </c>
      <c r="IK284" s="1613">
        <v>1.301848484848485</v>
      </c>
      <c r="IL284" s="1614">
        <v>1.3101818181818183</v>
      </c>
      <c r="IM284" s="1614">
        <v>1.301848484848485</v>
      </c>
      <c r="IN284" s="1612" t="s">
        <v>270</v>
      </c>
      <c r="IO284" s="1613" t="s">
        <v>270</v>
      </c>
      <c r="IP284" s="1607" t="s">
        <v>270</v>
      </c>
      <c r="IQ284" s="1612" t="s">
        <v>270</v>
      </c>
      <c r="IR284" s="1612" t="s">
        <v>270</v>
      </c>
      <c r="IS284" s="1607">
        <v>1.1881818181818182</v>
      </c>
      <c r="IT284" s="1607">
        <v>1.1798484848484849</v>
      </c>
      <c r="IU284" s="1611">
        <v>0</v>
      </c>
      <c r="IV284" s="1611">
        <v>7.7767676767676763E-2</v>
      </c>
      <c r="IW284" s="1611">
        <v>9.0909090909090909E-4</v>
      </c>
      <c r="IX284" s="1611">
        <v>1.6060606060606061E-3</v>
      </c>
      <c r="IY284" s="1611">
        <v>9.6969696969696957E-4</v>
      </c>
      <c r="IZ284" s="1611">
        <v>5.9898989898989896E-3</v>
      </c>
      <c r="JA284" s="1611">
        <v>6.0606060606060598E-5</v>
      </c>
      <c r="JB284" s="1611" t="s">
        <v>270</v>
      </c>
      <c r="JC284" s="1611">
        <v>9.9026969696969704</v>
      </c>
      <c r="JD284" s="1611">
        <v>5.2121212121212122E-3</v>
      </c>
      <c r="JE284" s="1611" t="s">
        <v>270</v>
      </c>
      <c r="JF284" s="1611">
        <v>8.2828282828282835E-4</v>
      </c>
      <c r="JG284" s="1611">
        <v>0.57978787878787885</v>
      </c>
      <c r="JH284" s="1611">
        <v>7.646464646464647E-3</v>
      </c>
      <c r="JI284" s="1611">
        <v>0.3</v>
      </c>
      <c r="JJ284" s="1611" t="s">
        <v>270</v>
      </c>
      <c r="JK284" s="1607">
        <f t="shared" si="13"/>
        <v>0.12200000000000011</v>
      </c>
      <c r="JL284" s="1608" t="s">
        <v>270</v>
      </c>
      <c r="JM284" s="1610" t="s">
        <v>2924</v>
      </c>
      <c r="JN284" s="1608">
        <v>8.3333333333333037E-3</v>
      </c>
      <c r="JO284" s="1609" t="s">
        <v>2931</v>
      </c>
      <c r="JP284" s="1608" t="s">
        <v>270</v>
      </c>
      <c r="JQ284" s="1607">
        <v>202103</v>
      </c>
      <c r="JR284" s="1606">
        <v>851</v>
      </c>
      <c r="JS284" s="1606">
        <v>774</v>
      </c>
      <c r="JT284" s="1606">
        <v>774</v>
      </c>
    </row>
    <row r="285" spans="1:280" ht="15" customHeight="1" x14ac:dyDescent="0.2">
      <c r="A285" s="1626">
        <v>41100</v>
      </c>
      <c r="B285" s="1625">
        <v>411</v>
      </c>
      <c r="C285" s="1624">
        <v>0</v>
      </c>
      <c r="D285" s="1623" t="s">
        <v>3048</v>
      </c>
      <c r="E285" s="1622">
        <v>43367</v>
      </c>
      <c r="F285" s="1620">
        <v>-9.1311730545877004E-2</v>
      </c>
      <c r="G285" s="1620">
        <v>-8.5512504638219106E-2</v>
      </c>
      <c r="H285" s="1621">
        <v>70</v>
      </c>
      <c r="I285" s="1621">
        <v>60</v>
      </c>
      <c r="J285" s="1621">
        <v>90</v>
      </c>
      <c r="K285" s="1620">
        <v>1</v>
      </c>
      <c r="L285" s="1620">
        <v>99</v>
      </c>
      <c r="M285" s="1620">
        <v>0.1</v>
      </c>
      <c r="N285" s="1620">
        <v>0.1</v>
      </c>
      <c r="O285" s="1620">
        <v>97</v>
      </c>
      <c r="P285" s="1620">
        <v>0.04</v>
      </c>
      <c r="Q285" s="1603"/>
      <c r="R285" s="1620">
        <v>77</v>
      </c>
      <c r="S285" s="1620">
        <v>20</v>
      </c>
      <c r="T285" s="1620">
        <v>27</v>
      </c>
      <c r="U285" s="1620">
        <v>30</v>
      </c>
      <c r="V285" s="1620">
        <v>32</v>
      </c>
      <c r="W285" s="1620">
        <v>33</v>
      </c>
      <c r="X285" s="1620"/>
      <c r="Y285" s="1620">
        <v>1.5E-3</v>
      </c>
      <c r="Z285" s="1620">
        <v>0</v>
      </c>
      <c r="AA285" s="1620">
        <v>3.5000000000000005E-3</v>
      </c>
      <c r="AB285" s="1620">
        <v>0</v>
      </c>
      <c r="AC285" s="1620">
        <v>0</v>
      </c>
      <c r="AD285" s="1620">
        <v>0</v>
      </c>
      <c r="AE285" s="1620">
        <v>0</v>
      </c>
      <c r="AF285" s="1620">
        <v>16666.666666666668</v>
      </c>
      <c r="AG285" s="1620">
        <v>3333.3333333333335</v>
      </c>
      <c r="AH285" s="1620">
        <v>22222.222222222223</v>
      </c>
      <c r="AI285" s="1620">
        <v>55555.555555555555</v>
      </c>
      <c r="AJ285" s="1620">
        <v>111.11111111111111</v>
      </c>
      <c r="AK285" s="1620">
        <v>111.11111111111111</v>
      </c>
      <c r="AL285" s="1620"/>
      <c r="AM285" s="1620">
        <v>3.8</v>
      </c>
      <c r="AN285" s="1620">
        <v>1.8</v>
      </c>
      <c r="AO285" s="1620">
        <v>1.9</v>
      </c>
      <c r="AP285" s="1620">
        <v>3.2000000000000099</v>
      </c>
      <c r="AQ285" s="1620">
        <v>1.2</v>
      </c>
      <c r="AR285" s="1620">
        <v>3.5</v>
      </c>
      <c r="AS285" s="1620">
        <v>6.6</v>
      </c>
      <c r="AT285" s="1620">
        <v>2.4</v>
      </c>
      <c r="AU285" s="1620">
        <v>4.3</v>
      </c>
      <c r="AV285" s="1620">
        <v>3</v>
      </c>
      <c r="AW285" s="1620">
        <v>5.1000000000000103</v>
      </c>
      <c r="AX285" s="1620"/>
      <c r="AY285" s="1620">
        <v>1</v>
      </c>
      <c r="AZ285" s="1620">
        <v>1</v>
      </c>
      <c r="BA285" s="1620">
        <v>1</v>
      </c>
      <c r="BB285" s="1620">
        <v>1</v>
      </c>
      <c r="BC285" s="1620">
        <v>1</v>
      </c>
      <c r="BD285" s="1620">
        <v>1</v>
      </c>
      <c r="BE285" s="1620">
        <v>1</v>
      </c>
      <c r="BF285" s="1620">
        <v>1</v>
      </c>
      <c r="BG285" s="1620">
        <v>1</v>
      </c>
      <c r="BH285" s="1620">
        <v>1</v>
      </c>
      <c r="BI285" s="1620">
        <v>1</v>
      </c>
      <c r="BJ285" s="1603"/>
      <c r="BK285" s="1620">
        <v>0.10101010101010101</v>
      </c>
      <c r="BL285" s="1620">
        <v>0.10101010101010101</v>
      </c>
      <c r="BM285" s="1620">
        <v>97.979797979797979</v>
      </c>
      <c r="BN285" s="1620">
        <v>4.0404040404040407E-2</v>
      </c>
      <c r="BO285" s="1620"/>
      <c r="BP285" s="1620">
        <v>0</v>
      </c>
      <c r="BQ285" s="1620">
        <v>0</v>
      </c>
      <c r="BR285" s="1620">
        <v>-9.2234071258461614E-2</v>
      </c>
      <c r="BS285" s="1620">
        <v>-8.6376267311332425E-2</v>
      </c>
      <c r="BT285" s="1603"/>
      <c r="BU285" s="1620">
        <v>20.202020202020101</v>
      </c>
      <c r="BV285" s="1620">
        <v>9.3564213564212828</v>
      </c>
      <c r="BW285" s="1620">
        <v>2.8860028860028684</v>
      </c>
      <c r="BX285" s="1620">
        <v>0</v>
      </c>
      <c r="BY285" s="1620">
        <v>0</v>
      </c>
      <c r="BZ285" s="1620">
        <v>0</v>
      </c>
      <c r="CA285" s="1620">
        <v>0</v>
      </c>
      <c r="CB285" s="1603"/>
      <c r="CC285" s="1603">
        <v>1.485E-3</v>
      </c>
      <c r="CD285" s="1603">
        <v>0</v>
      </c>
      <c r="CE285" s="1603">
        <v>3.4650000000000006E-3</v>
      </c>
      <c r="CF285" s="1603">
        <v>0</v>
      </c>
      <c r="CG285" s="1603">
        <v>0</v>
      </c>
      <c r="CH285" s="1603">
        <v>0</v>
      </c>
      <c r="CI285" s="1603">
        <v>0</v>
      </c>
      <c r="CJ285" s="1603"/>
      <c r="CK285" s="1603">
        <v>16500</v>
      </c>
      <c r="CL285" s="1603">
        <v>3300</v>
      </c>
      <c r="CM285" s="1603">
        <v>22000</v>
      </c>
      <c r="CN285" s="1603">
        <v>55000</v>
      </c>
      <c r="CO285" s="1603">
        <v>110</v>
      </c>
      <c r="CP285" s="1603">
        <v>110</v>
      </c>
      <c r="CQ285" s="1603">
        <v>0.77</v>
      </c>
      <c r="CR285" s="1603">
        <v>-8.4326514829672981</v>
      </c>
      <c r="CS285" s="1603">
        <v>-0.32044075635275732</v>
      </c>
      <c r="CT285" s="1603">
        <v>-0.15178772669341137</v>
      </c>
      <c r="CU285" s="1603">
        <v>-0.16022037817637866</v>
      </c>
      <c r="CV285" s="1603">
        <v>-0.31200810486979003</v>
      </c>
      <c r="CW285" s="1603">
        <v>-0.26984484745495463</v>
      </c>
      <c r="CX285" s="1603">
        <v>-0.10119181779560757</v>
      </c>
      <c r="CY285" s="1603">
        <v>-0.29514280190385545</v>
      </c>
      <c r="CZ285" s="1603">
        <v>-0.55655499787584162</v>
      </c>
      <c r="DA285" s="1603">
        <v>-0.20238363559121514</v>
      </c>
      <c r="DB285" s="1603">
        <v>-0.36260401376759382</v>
      </c>
      <c r="DC285" s="1603">
        <v>-0.25297954448901894</v>
      </c>
      <c r="DD285" s="1603">
        <v>-0.61558355825661271</v>
      </c>
      <c r="DE285" s="1603">
        <v>-0.43006522563133331</v>
      </c>
      <c r="DF285" s="1603">
        <v>0</v>
      </c>
      <c r="DG285" s="1603">
        <v>0</v>
      </c>
      <c r="DH285" s="1603">
        <v>0</v>
      </c>
      <c r="DI285" s="1603">
        <v>4400</v>
      </c>
      <c r="DJ285" s="1603">
        <v>440</v>
      </c>
      <c r="DK285" s="1603">
        <v>19800</v>
      </c>
      <c r="DL285" s="1603">
        <v>1100</v>
      </c>
      <c r="DM285" s="1603">
        <v>0</v>
      </c>
      <c r="DN285" s="1603">
        <v>1100</v>
      </c>
      <c r="DO285" s="1603">
        <v>2750</v>
      </c>
      <c r="DP285" s="1603">
        <v>1650</v>
      </c>
      <c r="DQ285" s="1603">
        <v>11</v>
      </c>
      <c r="DR285" s="1603">
        <v>11000</v>
      </c>
      <c r="DS285" s="1603">
        <v>8250</v>
      </c>
      <c r="DT285" s="1603">
        <v>0</v>
      </c>
      <c r="DU285" s="1603">
        <v>825</v>
      </c>
      <c r="DV285" s="1603">
        <v>110</v>
      </c>
      <c r="DW285" s="1618" t="s">
        <v>986</v>
      </c>
      <c r="DX285" s="1605" t="s">
        <v>986</v>
      </c>
      <c r="DY285" s="1605" t="s">
        <v>986</v>
      </c>
      <c r="DZ285" s="1605" t="s">
        <v>986</v>
      </c>
      <c r="EA285" s="1605" t="s">
        <v>986</v>
      </c>
      <c r="EB285" s="1605" t="s">
        <v>986</v>
      </c>
      <c r="EC285" s="1605" t="s">
        <v>986</v>
      </c>
      <c r="ED285" s="1605" t="s">
        <v>986</v>
      </c>
      <c r="EE285" s="1605" t="s">
        <v>986</v>
      </c>
      <c r="EF285" s="1605" t="s">
        <v>986</v>
      </c>
      <c r="EG285" s="1605" t="s">
        <v>986</v>
      </c>
      <c r="EH285" s="1605" t="s">
        <v>986</v>
      </c>
      <c r="EI285" s="1605" t="s">
        <v>986</v>
      </c>
      <c r="EJ285" s="1605" t="s">
        <v>986</v>
      </c>
      <c r="EK285" s="1605" t="s">
        <v>986</v>
      </c>
      <c r="EL285" s="1605" t="s">
        <v>986</v>
      </c>
      <c r="EM285" s="1605" t="s">
        <v>986</v>
      </c>
      <c r="EN285" s="1605" t="s">
        <v>986</v>
      </c>
      <c r="EO285" s="1605" t="s">
        <v>986</v>
      </c>
      <c r="EP285" s="1605" t="s">
        <v>986</v>
      </c>
      <c r="EQ285" s="1605" t="s">
        <v>986</v>
      </c>
      <c r="ER285" s="1605" t="s">
        <v>986</v>
      </c>
      <c r="ES285" s="1605" t="s">
        <v>986</v>
      </c>
      <c r="ET285" s="1605" t="s">
        <v>986</v>
      </c>
      <c r="EU285" s="1605" t="s">
        <v>986</v>
      </c>
      <c r="EV285" s="1605" t="s">
        <v>986</v>
      </c>
      <c r="EW285" s="1605" t="s">
        <v>986</v>
      </c>
      <c r="EX285" s="1605" t="s">
        <v>986</v>
      </c>
      <c r="EY285" s="1605" t="s">
        <v>986</v>
      </c>
      <c r="EZ285" s="1605" t="s">
        <v>986</v>
      </c>
      <c r="FA285" s="1605" t="s">
        <v>986</v>
      </c>
      <c r="FB285" s="1605" t="s">
        <v>986</v>
      </c>
      <c r="FC285" s="1605" t="s">
        <v>986</v>
      </c>
      <c r="FD285" s="1605" t="s">
        <v>986</v>
      </c>
      <c r="FE285" s="1605" t="s">
        <v>986</v>
      </c>
      <c r="FF285" s="1605" t="s">
        <v>986</v>
      </c>
      <c r="FG285" s="1605" t="s">
        <v>986</v>
      </c>
      <c r="FH285" s="1605" t="s">
        <v>986</v>
      </c>
      <c r="FI285" s="1605" t="s">
        <v>986</v>
      </c>
      <c r="FJ285" s="1605" t="s">
        <v>986</v>
      </c>
      <c r="FK285" s="1605" t="s">
        <v>986</v>
      </c>
      <c r="FL285" s="1605" t="s">
        <v>986</v>
      </c>
      <c r="FM285" s="1605" t="s">
        <v>986</v>
      </c>
      <c r="FN285" s="1605" t="s">
        <v>986</v>
      </c>
      <c r="FO285" s="1605" t="s">
        <v>986</v>
      </c>
      <c r="FP285" s="1605" t="s">
        <v>986</v>
      </c>
      <c r="FQ285" s="1605" t="s">
        <v>986</v>
      </c>
      <c r="FR285" s="1605" t="s">
        <v>986</v>
      </c>
      <c r="FS285" s="1605" t="s">
        <v>986</v>
      </c>
      <c r="FT285" s="1605" t="s">
        <v>986</v>
      </c>
      <c r="FU285" s="1605" t="s">
        <v>986</v>
      </c>
      <c r="FV285" s="1605" t="s">
        <v>986</v>
      </c>
      <c r="FW285" s="1605" t="s">
        <v>986</v>
      </c>
      <c r="FX285" s="1605" t="s">
        <v>986</v>
      </c>
      <c r="FY285" s="1605" t="s">
        <v>986</v>
      </c>
      <c r="FZ285" s="1605" t="s">
        <v>986</v>
      </c>
      <c r="GA285" s="1605" t="s">
        <v>986</v>
      </c>
      <c r="GB285" s="1605" t="s">
        <v>986</v>
      </c>
      <c r="GC285" s="1605" t="s">
        <v>986</v>
      </c>
      <c r="GD285" s="1605" t="s">
        <v>986</v>
      </c>
      <c r="GE285" s="1605" t="s">
        <v>986</v>
      </c>
      <c r="GF285" s="1605" t="s">
        <v>986</v>
      </c>
      <c r="GG285" s="1605" t="s">
        <v>986</v>
      </c>
      <c r="GH285" s="1605" t="s">
        <v>986</v>
      </c>
      <c r="GI285" s="1605" t="s">
        <v>986</v>
      </c>
      <c r="GJ285" s="1605" t="s">
        <v>986</v>
      </c>
      <c r="GK285" s="1605" t="s">
        <v>986</v>
      </c>
      <c r="GL285" s="1605" t="s">
        <v>986</v>
      </c>
      <c r="GM285" s="1605" t="s">
        <v>986</v>
      </c>
      <c r="GN285" s="1605" t="s">
        <v>986</v>
      </c>
      <c r="GO285" s="1605" t="s">
        <v>986</v>
      </c>
      <c r="GP285" s="1605" t="s">
        <v>986</v>
      </c>
      <c r="GQ285" s="1605" t="s">
        <v>986</v>
      </c>
      <c r="GR285" s="1605" t="s">
        <v>986</v>
      </c>
      <c r="GS285" s="1605" t="s">
        <v>986</v>
      </c>
      <c r="GT285" s="1605" t="s">
        <v>986</v>
      </c>
      <c r="GU285" s="1605" t="s">
        <v>986</v>
      </c>
      <c r="GV285" s="1605" t="s">
        <v>986</v>
      </c>
      <c r="GW285" s="1605" t="s">
        <v>986</v>
      </c>
      <c r="GX285" s="1605" t="s">
        <v>986</v>
      </c>
      <c r="GY285" s="1605" t="s">
        <v>986</v>
      </c>
      <c r="GZ285" s="1605" t="s">
        <v>986</v>
      </c>
      <c r="HA285" s="1605" t="s">
        <v>986</v>
      </c>
      <c r="HB285" s="1605" t="s">
        <v>986</v>
      </c>
      <c r="HC285" s="1605" t="s">
        <v>986</v>
      </c>
      <c r="HD285" s="1605" t="s">
        <v>986</v>
      </c>
      <c r="HE285" s="1605" t="s">
        <v>986</v>
      </c>
      <c r="HF285" s="1605" t="s">
        <v>986</v>
      </c>
      <c r="HG285" s="1605" t="s">
        <v>986</v>
      </c>
      <c r="HH285" s="1605" t="s">
        <v>986</v>
      </c>
      <c r="HI285" s="1605" t="s">
        <v>986</v>
      </c>
      <c r="HJ285" s="1605" t="s">
        <v>986</v>
      </c>
      <c r="HK285" s="1605" t="s">
        <v>986</v>
      </c>
      <c r="HL285" s="1605" t="s">
        <v>986</v>
      </c>
      <c r="HM285" s="1605" t="s">
        <v>986</v>
      </c>
      <c r="HN285" s="1605" t="s">
        <v>986</v>
      </c>
      <c r="HO285" s="1605" t="s">
        <v>986</v>
      </c>
      <c r="HP285" s="1605" t="s">
        <v>986</v>
      </c>
      <c r="HQ285" s="1605" t="s">
        <v>986</v>
      </c>
      <c r="HR285" s="1605" t="s">
        <v>986</v>
      </c>
      <c r="HS285" s="1605" t="s">
        <v>986</v>
      </c>
      <c r="HT285" s="1605" t="s">
        <v>986</v>
      </c>
      <c r="HU285" s="1605" t="s">
        <v>986</v>
      </c>
      <c r="HV285" s="1617"/>
      <c r="HW285" s="1617">
        <v>0</v>
      </c>
      <c r="HX285" s="1617">
        <v>0</v>
      </c>
      <c r="HY285" s="1617">
        <v>0</v>
      </c>
      <c r="HZ285" s="1603"/>
      <c r="IA285" s="1603"/>
      <c r="IB285" s="1603"/>
      <c r="IC285" s="1603">
        <v>33</v>
      </c>
      <c r="ID285" s="1603">
        <v>33</v>
      </c>
      <c r="IE285" s="1603">
        <v>33</v>
      </c>
      <c r="IF285" s="1603">
        <v>33</v>
      </c>
      <c r="IG285" s="1611" t="s">
        <v>2932</v>
      </c>
      <c r="IH285" s="1616" t="s">
        <v>270</v>
      </c>
      <c r="II285" s="1615" t="s">
        <v>270</v>
      </c>
      <c r="IJ285" s="1613">
        <v>1.3101818181818183</v>
      </c>
      <c r="IK285" s="1613">
        <v>1.301848484848485</v>
      </c>
      <c r="IL285" s="1614">
        <v>1.3101818181818183</v>
      </c>
      <c r="IM285" s="1614">
        <v>1.301848484848485</v>
      </c>
      <c r="IN285" s="1612" t="s">
        <v>270</v>
      </c>
      <c r="IO285" s="1613" t="s">
        <v>270</v>
      </c>
      <c r="IP285" s="1607" t="s">
        <v>270</v>
      </c>
      <c r="IQ285" s="1612" t="s">
        <v>270</v>
      </c>
      <c r="IR285" s="1612" t="s">
        <v>270</v>
      </c>
      <c r="IS285" s="1607">
        <v>1.1881818181818182</v>
      </c>
      <c r="IT285" s="1607">
        <v>1.1798484848484849</v>
      </c>
      <c r="IU285" s="1611">
        <v>0</v>
      </c>
      <c r="IV285" s="1611">
        <v>7.7767676767676763E-2</v>
      </c>
      <c r="IW285" s="1611">
        <v>9.0909090909090909E-4</v>
      </c>
      <c r="IX285" s="1611">
        <v>1.6060606060606061E-3</v>
      </c>
      <c r="IY285" s="1611">
        <v>9.6969696969696957E-4</v>
      </c>
      <c r="IZ285" s="1611">
        <v>5.9898989898989896E-3</v>
      </c>
      <c r="JA285" s="1611">
        <v>6.0606060606060598E-5</v>
      </c>
      <c r="JB285" s="1611" t="s">
        <v>270</v>
      </c>
      <c r="JC285" s="1611">
        <v>9.9026969696969704</v>
      </c>
      <c r="JD285" s="1611">
        <v>5.2121212121212122E-3</v>
      </c>
      <c r="JE285" s="1611" t="s">
        <v>270</v>
      </c>
      <c r="JF285" s="1611">
        <v>8.2828282828282835E-4</v>
      </c>
      <c r="JG285" s="1611">
        <v>0.57978787878787885</v>
      </c>
      <c r="JH285" s="1611">
        <v>7.646464646464647E-3</v>
      </c>
      <c r="JI285" s="1611">
        <v>0.3</v>
      </c>
      <c r="JJ285" s="1611" t="s">
        <v>270</v>
      </c>
      <c r="JK285" s="1607">
        <f t="shared" si="13"/>
        <v>0.12200000000000011</v>
      </c>
      <c r="JL285" s="1608" t="s">
        <v>270</v>
      </c>
      <c r="JM285" s="1610" t="s">
        <v>2924</v>
      </c>
      <c r="JN285" s="1608">
        <v>8.3333333333333037E-3</v>
      </c>
      <c r="JO285" s="1609" t="s">
        <v>2931</v>
      </c>
      <c r="JP285" s="1608" t="s">
        <v>270</v>
      </c>
      <c r="JQ285" s="1607">
        <v>202103</v>
      </c>
      <c r="JR285" s="1606">
        <v>851</v>
      </c>
      <c r="JS285" s="1606">
        <v>774</v>
      </c>
      <c r="JT285" s="1606">
        <v>774</v>
      </c>
    </row>
    <row r="286" spans="1:280" ht="15" customHeight="1" x14ac:dyDescent="0.2">
      <c r="A286" s="1626">
        <v>41000</v>
      </c>
      <c r="B286" s="1625">
        <v>410</v>
      </c>
      <c r="C286" s="1624">
        <v>0</v>
      </c>
      <c r="D286" s="1623" t="s">
        <v>3047</v>
      </c>
      <c r="E286" s="1622">
        <v>43025</v>
      </c>
      <c r="F286" s="1620">
        <v>-9.1311730545877004E-2</v>
      </c>
      <c r="G286" s="1620">
        <v>-8.5512504638219106E-2</v>
      </c>
      <c r="H286" s="1621">
        <v>70</v>
      </c>
      <c r="I286" s="1621">
        <v>60</v>
      </c>
      <c r="J286" s="1621">
        <v>90</v>
      </c>
      <c r="K286" s="1620">
        <v>1</v>
      </c>
      <c r="L286" s="1620">
        <v>99</v>
      </c>
      <c r="M286" s="1620">
        <v>0.1</v>
      </c>
      <c r="N286" s="1620">
        <v>0.1</v>
      </c>
      <c r="O286" s="1620">
        <v>97</v>
      </c>
      <c r="P286" s="1620">
        <v>0.04</v>
      </c>
      <c r="Q286" s="1603"/>
      <c r="R286" s="1620">
        <v>77</v>
      </c>
      <c r="S286" s="1620">
        <v>20</v>
      </c>
      <c r="T286" s="1620">
        <v>27</v>
      </c>
      <c r="U286" s="1620">
        <v>30</v>
      </c>
      <c r="V286" s="1620">
        <v>32</v>
      </c>
      <c r="W286" s="1620">
        <v>33</v>
      </c>
      <c r="X286" s="1620"/>
      <c r="Y286" s="1620">
        <v>1.5E-3</v>
      </c>
      <c r="Z286" s="1620">
        <v>0</v>
      </c>
      <c r="AA286" s="1620">
        <v>3.5000000000000005E-3</v>
      </c>
      <c r="AB286" s="1620">
        <v>0</v>
      </c>
      <c r="AC286" s="1620">
        <v>0</v>
      </c>
      <c r="AD286" s="1620">
        <v>0</v>
      </c>
      <c r="AE286" s="1620">
        <v>0</v>
      </c>
      <c r="AF286" s="1620">
        <v>16666.666666666668</v>
      </c>
      <c r="AG286" s="1620">
        <v>3333.3333333333335</v>
      </c>
      <c r="AH286" s="1620">
        <v>22222.222222222223</v>
      </c>
      <c r="AI286" s="1620">
        <v>55555.555555555555</v>
      </c>
      <c r="AJ286" s="1620">
        <v>111.11111111111111</v>
      </c>
      <c r="AK286" s="1620">
        <v>111.11111111111111</v>
      </c>
      <c r="AL286" s="1620"/>
      <c r="AM286" s="1620">
        <v>3.8</v>
      </c>
      <c r="AN286" s="1620">
        <v>1.8</v>
      </c>
      <c r="AO286" s="1620">
        <v>1.9</v>
      </c>
      <c r="AP286" s="1620">
        <v>3.2000000000000099</v>
      </c>
      <c r="AQ286" s="1620">
        <v>1.2</v>
      </c>
      <c r="AR286" s="1620">
        <v>3.5</v>
      </c>
      <c r="AS286" s="1620">
        <v>6.6</v>
      </c>
      <c r="AT286" s="1620">
        <v>2.4</v>
      </c>
      <c r="AU286" s="1620">
        <v>4.3</v>
      </c>
      <c r="AV286" s="1620">
        <v>3</v>
      </c>
      <c r="AW286" s="1620">
        <v>5.1000000000000103</v>
      </c>
      <c r="AX286" s="1620"/>
      <c r="AY286" s="1620">
        <v>1</v>
      </c>
      <c r="AZ286" s="1620">
        <v>1</v>
      </c>
      <c r="BA286" s="1620">
        <v>1</v>
      </c>
      <c r="BB286" s="1620">
        <v>1</v>
      </c>
      <c r="BC286" s="1620">
        <v>1</v>
      </c>
      <c r="BD286" s="1620">
        <v>1</v>
      </c>
      <c r="BE286" s="1620">
        <v>1</v>
      </c>
      <c r="BF286" s="1620">
        <v>1</v>
      </c>
      <c r="BG286" s="1620">
        <v>1</v>
      </c>
      <c r="BH286" s="1620">
        <v>1</v>
      </c>
      <c r="BI286" s="1620">
        <v>1</v>
      </c>
      <c r="BJ286" s="1603"/>
      <c r="BK286" s="1620">
        <v>0.10101010101010101</v>
      </c>
      <c r="BL286" s="1620">
        <v>0.10101010101010101</v>
      </c>
      <c r="BM286" s="1620">
        <v>97.979797979797979</v>
      </c>
      <c r="BN286" s="1620">
        <v>4.0404040404040407E-2</v>
      </c>
      <c r="BO286" s="1620"/>
      <c r="BP286" s="1620">
        <v>0</v>
      </c>
      <c r="BQ286" s="1620">
        <v>0</v>
      </c>
      <c r="BR286" s="1620">
        <v>-9.2234071258461614E-2</v>
      </c>
      <c r="BS286" s="1620">
        <v>-8.6376267311332425E-2</v>
      </c>
      <c r="BT286" s="1603"/>
      <c r="BU286" s="1620">
        <v>20.202020202020101</v>
      </c>
      <c r="BV286" s="1620">
        <v>9.3564213564212828</v>
      </c>
      <c r="BW286" s="1620">
        <v>2.8860028860028684</v>
      </c>
      <c r="BX286" s="1620">
        <v>0</v>
      </c>
      <c r="BY286" s="1620">
        <v>0</v>
      </c>
      <c r="BZ286" s="1620">
        <v>0</v>
      </c>
      <c r="CA286" s="1620">
        <v>0</v>
      </c>
      <c r="CB286" s="1603"/>
      <c r="CC286" s="1603">
        <v>1.485E-3</v>
      </c>
      <c r="CD286" s="1603">
        <v>0</v>
      </c>
      <c r="CE286" s="1603">
        <v>3.4650000000000006E-3</v>
      </c>
      <c r="CF286" s="1603">
        <v>0</v>
      </c>
      <c r="CG286" s="1603">
        <v>0</v>
      </c>
      <c r="CH286" s="1603">
        <v>0</v>
      </c>
      <c r="CI286" s="1603">
        <v>0</v>
      </c>
      <c r="CJ286" s="1603"/>
      <c r="CK286" s="1603">
        <v>16500</v>
      </c>
      <c r="CL286" s="1603">
        <v>3300</v>
      </c>
      <c r="CM286" s="1603">
        <v>22000</v>
      </c>
      <c r="CN286" s="1603">
        <v>55000</v>
      </c>
      <c r="CO286" s="1603">
        <v>110</v>
      </c>
      <c r="CP286" s="1603">
        <v>110</v>
      </c>
      <c r="CQ286" s="1603">
        <v>0.77</v>
      </c>
      <c r="CR286" s="1603">
        <v>-8.4326514829672981</v>
      </c>
      <c r="CS286" s="1603">
        <v>-0.32044075635275732</v>
      </c>
      <c r="CT286" s="1603">
        <v>-0.15178772669341137</v>
      </c>
      <c r="CU286" s="1603">
        <v>-0.16022037817637866</v>
      </c>
      <c r="CV286" s="1603">
        <v>-0.31200810486979003</v>
      </c>
      <c r="CW286" s="1603">
        <v>-0.26984484745495463</v>
      </c>
      <c r="CX286" s="1603">
        <v>-0.10119181779560757</v>
      </c>
      <c r="CY286" s="1603">
        <v>-0.29514280190385545</v>
      </c>
      <c r="CZ286" s="1603">
        <v>-0.55655499787584162</v>
      </c>
      <c r="DA286" s="1603">
        <v>-0.20238363559121514</v>
      </c>
      <c r="DB286" s="1603">
        <v>-0.36260401376759382</v>
      </c>
      <c r="DC286" s="1603">
        <v>-0.25297954448901894</v>
      </c>
      <c r="DD286" s="1603">
        <v>-0.61558355825661271</v>
      </c>
      <c r="DE286" s="1603">
        <v>-0.43006522563133331</v>
      </c>
      <c r="DF286" s="1603">
        <v>0</v>
      </c>
      <c r="DG286" s="1603">
        <v>0</v>
      </c>
      <c r="DH286" s="1603">
        <v>0</v>
      </c>
      <c r="DI286" s="1603">
        <v>4400</v>
      </c>
      <c r="DJ286" s="1603">
        <v>440</v>
      </c>
      <c r="DK286" s="1603">
        <v>82500</v>
      </c>
      <c r="DL286" s="1603">
        <v>1100</v>
      </c>
      <c r="DM286" s="1603">
        <v>0</v>
      </c>
      <c r="DN286" s="1603">
        <v>1100</v>
      </c>
      <c r="DO286" s="1603">
        <v>2750</v>
      </c>
      <c r="DP286" s="1603">
        <v>1650</v>
      </c>
      <c r="DQ286" s="1603">
        <v>11</v>
      </c>
      <c r="DR286" s="1603">
        <v>11000</v>
      </c>
      <c r="DS286" s="1603">
        <v>8250</v>
      </c>
      <c r="DT286" s="1603">
        <v>0</v>
      </c>
      <c r="DU286" s="1603">
        <v>825</v>
      </c>
      <c r="DV286" s="1603">
        <v>110</v>
      </c>
      <c r="DW286" s="1618" t="s">
        <v>986</v>
      </c>
      <c r="DX286" s="1605" t="s">
        <v>986</v>
      </c>
      <c r="DY286" s="1605" t="s">
        <v>986</v>
      </c>
      <c r="DZ286" s="1605" t="s">
        <v>986</v>
      </c>
      <c r="EA286" s="1605" t="s">
        <v>986</v>
      </c>
      <c r="EB286" s="1605" t="s">
        <v>986</v>
      </c>
      <c r="EC286" s="1605" t="s">
        <v>986</v>
      </c>
      <c r="ED286" s="1605" t="s">
        <v>986</v>
      </c>
      <c r="EE286" s="1605" t="s">
        <v>986</v>
      </c>
      <c r="EF286" s="1605" t="s">
        <v>986</v>
      </c>
      <c r="EG286" s="1605" t="s">
        <v>986</v>
      </c>
      <c r="EH286" s="1605" t="s">
        <v>986</v>
      </c>
      <c r="EI286" s="1605" t="s">
        <v>986</v>
      </c>
      <c r="EJ286" s="1605" t="s">
        <v>986</v>
      </c>
      <c r="EK286" s="1605" t="s">
        <v>986</v>
      </c>
      <c r="EL286" s="1605" t="s">
        <v>986</v>
      </c>
      <c r="EM286" s="1605" t="s">
        <v>986</v>
      </c>
      <c r="EN286" s="1605" t="s">
        <v>986</v>
      </c>
      <c r="EO286" s="1605" t="s">
        <v>986</v>
      </c>
      <c r="EP286" s="1605" t="s">
        <v>986</v>
      </c>
      <c r="EQ286" s="1605" t="s">
        <v>986</v>
      </c>
      <c r="ER286" s="1605" t="s">
        <v>986</v>
      </c>
      <c r="ES286" s="1605" t="s">
        <v>986</v>
      </c>
      <c r="ET286" s="1605" t="s">
        <v>986</v>
      </c>
      <c r="EU286" s="1605" t="s">
        <v>986</v>
      </c>
      <c r="EV286" s="1605" t="s">
        <v>986</v>
      </c>
      <c r="EW286" s="1605" t="s">
        <v>986</v>
      </c>
      <c r="EX286" s="1605" t="s">
        <v>986</v>
      </c>
      <c r="EY286" s="1605" t="s">
        <v>986</v>
      </c>
      <c r="EZ286" s="1605" t="s">
        <v>986</v>
      </c>
      <c r="FA286" s="1605" t="s">
        <v>986</v>
      </c>
      <c r="FB286" s="1605" t="s">
        <v>986</v>
      </c>
      <c r="FC286" s="1605" t="s">
        <v>986</v>
      </c>
      <c r="FD286" s="1605" t="s">
        <v>986</v>
      </c>
      <c r="FE286" s="1605" t="s">
        <v>986</v>
      </c>
      <c r="FF286" s="1605" t="s">
        <v>986</v>
      </c>
      <c r="FG286" s="1605" t="s">
        <v>986</v>
      </c>
      <c r="FH286" s="1605" t="s">
        <v>986</v>
      </c>
      <c r="FI286" s="1605" t="s">
        <v>986</v>
      </c>
      <c r="FJ286" s="1605" t="s">
        <v>986</v>
      </c>
      <c r="FK286" s="1605" t="s">
        <v>986</v>
      </c>
      <c r="FL286" s="1605" t="s">
        <v>986</v>
      </c>
      <c r="FM286" s="1605" t="s">
        <v>986</v>
      </c>
      <c r="FN286" s="1605" t="s">
        <v>986</v>
      </c>
      <c r="FO286" s="1605" t="s">
        <v>986</v>
      </c>
      <c r="FP286" s="1605" t="s">
        <v>986</v>
      </c>
      <c r="FQ286" s="1605" t="s">
        <v>986</v>
      </c>
      <c r="FR286" s="1605" t="s">
        <v>986</v>
      </c>
      <c r="FS286" s="1605" t="s">
        <v>986</v>
      </c>
      <c r="FT286" s="1605" t="s">
        <v>986</v>
      </c>
      <c r="FU286" s="1605" t="s">
        <v>986</v>
      </c>
      <c r="FV286" s="1605" t="s">
        <v>986</v>
      </c>
      <c r="FW286" s="1605" t="s">
        <v>986</v>
      </c>
      <c r="FX286" s="1605" t="s">
        <v>986</v>
      </c>
      <c r="FY286" s="1605" t="s">
        <v>986</v>
      </c>
      <c r="FZ286" s="1605" t="s">
        <v>986</v>
      </c>
      <c r="GA286" s="1605" t="s">
        <v>986</v>
      </c>
      <c r="GB286" s="1605" t="s">
        <v>986</v>
      </c>
      <c r="GC286" s="1605" t="s">
        <v>986</v>
      </c>
      <c r="GD286" s="1605" t="s">
        <v>986</v>
      </c>
      <c r="GE286" s="1605" t="s">
        <v>986</v>
      </c>
      <c r="GF286" s="1605" t="s">
        <v>986</v>
      </c>
      <c r="GG286" s="1605" t="s">
        <v>986</v>
      </c>
      <c r="GH286" s="1605" t="s">
        <v>986</v>
      </c>
      <c r="GI286" s="1605" t="s">
        <v>986</v>
      </c>
      <c r="GJ286" s="1605" t="s">
        <v>986</v>
      </c>
      <c r="GK286" s="1605" t="s">
        <v>986</v>
      </c>
      <c r="GL286" s="1605" t="s">
        <v>986</v>
      </c>
      <c r="GM286" s="1605" t="s">
        <v>986</v>
      </c>
      <c r="GN286" s="1605" t="s">
        <v>1578</v>
      </c>
      <c r="GO286" s="1605" t="s">
        <v>1578</v>
      </c>
      <c r="GP286" s="1605" t="s">
        <v>1578</v>
      </c>
      <c r="GQ286" s="1605" t="s">
        <v>1578</v>
      </c>
      <c r="GR286" s="1605" t="s">
        <v>1578</v>
      </c>
      <c r="GS286" s="1605" t="s">
        <v>1578</v>
      </c>
      <c r="GT286" s="1605" t="s">
        <v>1578</v>
      </c>
      <c r="GU286" s="1605" t="s">
        <v>1578</v>
      </c>
      <c r="GV286" s="1605" t="s">
        <v>1578</v>
      </c>
      <c r="GW286" s="1605" t="s">
        <v>1578</v>
      </c>
      <c r="GX286" s="1605" t="s">
        <v>1578</v>
      </c>
      <c r="GY286" s="1605" t="s">
        <v>1578</v>
      </c>
      <c r="GZ286" s="1605" t="s">
        <v>1578</v>
      </c>
      <c r="HA286" s="1605" t="s">
        <v>1578</v>
      </c>
      <c r="HB286" s="1605" t="s">
        <v>1578</v>
      </c>
      <c r="HC286" s="1605" t="s">
        <v>1578</v>
      </c>
      <c r="HD286" s="1605" t="s">
        <v>1578</v>
      </c>
      <c r="HE286" s="1605" t="s">
        <v>1578</v>
      </c>
      <c r="HF286" s="1605" t="s">
        <v>1578</v>
      </c>
      <c r="HG286" s="1605" t="s">
        <v>1578</v>
      </c>
      <c r="HH286" s="1605" t="s">
        <v>1578</v>
      </c>
      <c r="HI286" s="1605" t="s">
        <v>1578</v>
      </c>
      <c r="HJ286" s="1605" t="s">
        <v>1578</v>
      </c>
      <c r="HK286" s="1605" t="s">
        <v>986</v>
      </c>
      <c r="HL286" s="1605" t="s">
        <v>986</v>
      </c>
      <c r="HM286" s="1605" t="s">
        <v>1578</v>
      </c>
      <c r="HN286" s="1605" t="s">
        <v>1578</v>
      </c>
      <c r="HO286" s="1605" t="s">
        <v>1578</v>
      </c>
      <c r="HP286" s="1605" t="s">
        <v>1578</v>
      </c>
      <c r="HQ286" s="1605" t="s">
        <v>1578</v>
      </c>
      <c r="HR286" s="1605" t="s">
        <v>1578</v>
      </c>
      <c r="HS286" s="1605" t="s">
        <v>1578</v>
      </c>
      <c r="HT286" s="1605" t="s">
        <v>1578</v>
      </c>
      <c r="HU286" s="1605" t="s">
        <v>1578</v>
      </c>
      <c r="HV286" s="1617"/>
      <c r="HW286" s="1617">
        <v>0</v>
      </c>
      <c r="HX286" s="1617">
        <v>0</v>
      </c>
      <c r="HY286" s="1617">
        <v>0</v>
      </c>
      <c r="HZ286" s="1603"/>
      <c r="IA286" s="1603"/>
      <c r="IB286" s="1603"/>
      <c r="IC286" s="1603">
        <v>33</v>
      </c>
      <c r="ID286" s="1603">
        <v>33</v>
      </c>
      <c r="IE286" s="1603">
        <v>33</v>
      </c>
      <c r="IF286" s="1603">
        <v>33</v>
      </c>
      <c r="IG286" s="1611" t="s">
        <v>2932</v>
      </c>
      <c r="IH286" s="1616" t="s">
        <v>270</v>
      </c>
      <c r="II286" s="1615" t="s">
        <v>270</v>
      </c>
      <c r="IJ286" s="1613">
        <v>1.3101818181818183</v>
      </c>
      <c r="IK286" s="1613">
        <v>1.301848484848485</v>
      </c>
      <c r="IL286" s="1614">
        <v>1.3101818181818183</v>
      </c>
      <c r="IM286" s="1614">
        <v>1.301848484848485</v>
      </c>
      <c r="IN286" s="1612" t="s">
        <v>270</v>
      </c>
      <c r="IO286" s="1613" t="s">
        <v>270</v>
      </c>
      <c r="IP286" s="1607" t="s">
        <v>270</v>
      </c>
      <c r="IQ286" s="1612" t="s">
        <v>270</v>
      </c>
      <c r="IR286" s="1612" t="s">
        <v>270</v>
      </c>
      <c r="IS286" s="1607">
        <v>1.1881818181818182</v>
      </c>
      <c r="IT286" s="1607">
        <v>1.1798484848484849</v>
      </c>
      <c r="IU286" s="1611">
        <v>0</v>
      </c>
      <c r="IV286" s="1611">
        <v>7.7767676767676763E-2</v>
      </c>
      <c r="IW286" s="1611">
        <v>9.0909090909090909E-4</v>
      </c>
      <c r="IX286" s="1611">
        <v>1.6060606060606061E-3</v>
      </c>
      <c r="IY286" s="1611">
        <v>9.6969696969696957E-4</v>
      </c>
      <c r="IZ286" s="1611">
        <v>5.9898989898989896E-3</v>
      </c>
      <c r="JA286" s="1611">
        <v>6.0606060606060598E-5</v>
      </c>
      <c r="JB286" s="1611" t="s">
        <v>270</v>
      </c>
      <c r="JC286" s="1611">
        <v>9.9026969696969704</v>
      </c>
      <c r="JD286" s="1611">
        <v>5.2121212121212122E-3</v>
      </c>
      <c r="JE286" s="1611" t="s">
        <v>270</v>
      </c>
      <c r="JF286" s="1611">
        <v>8.2828282828282835E-4</v>
      </c>
      <c r="JG286" s="1611">
        <v>0.57978787878787885</v>
      </c>
      <c r="JH286" s="1611">
        <v>7.646464646464647E-3</v>
      </c>
      <c r="JI286" s="1611">
        <v>0.3</v>
      </c>
      <c r="JJ286" s="1611" t="s">
        <v>270</v>
      </c>
      <c r="JK286" s="1607">
        <f t="shared" si="13"/>
        <v>0.12200000000000011</v>
      </c>
      <c r="JL286" s="1608" t="s">
        <v>270</v>
      </c>
      <c r="JM286" s="1610" t="s">
        <v>2924</v>
      </c>
      <c r="JN286" s="1608">
        <v>8.3333333333333037E-3</v>
      </c>
      <c r="JO286" s="1609" t="s">
        <v>2931</v>
      </c>
      <c r="JP286" s="1608" t="s">
        <v>270</v>
      </c>
      <c r="JQ286" s="1607">
        <v>202103</v>
      </c>
      <c r="JR286" s="1606">
        <v>851</v>
      </c>
      <c r="JS286" s="1606">
        <v>774</v>
      </c>
      <c r="JT286" s="1606">
        <v>774</v>
      </c>
    </row>
    <row r="287" spans="1:280" ht="15" customHeight="1" x14ac:dyDescent="0.2">
      <c r="A287" s="1626">
        <v>75000</v>
      </c>
      <c r="B287" s="1625">
        <v>750</v>
      </c>
      <c r="C287" s="1624">
        <v>0</v>
      </c>
      <c r="D287" s="1623" t="s">
        <v>3046</v>
      </c>
      <c r="E287" s="1622">
        <v>43031</v>
      </c>
      <c r="F287" s="1620">
        <v>0.28365631097561</v>
      </c>
      <c r="G287" s="1620">
        <v>0.27240196558441598</v>
      </c>
      <c r="H287" s="1621">
        <v>98</v>
      </c>
      <c r="I287" s="1621">
        <v>98</v>
      </c>
      <c r="J287" s="1621">
        <v>98</v>
      </c>
      <c r="K287" s="1620">
        <v>1</v>
      </c>
      <c r="L287" s="1620">
        <v>13.5</v>
      </c>
      <c r="M287" s="1620">
        <v>3.5775000000000099</v>
      </c>
      <c r="N287" s="1620">
        <v>4.1849999999999898</v>
      </c>
      <c r="O287" s="1620">
        <v>0.81</v>
      </c>
      <c r="P287" s="1620">
        <v>0</v>
      </c>
      <c r="Q287" s="1603"/>
      <c r="R287" s="1620">
        <v>94</v>
      </c>
      <c r="S287" s="1620">
        <v>58</v>
      </c>
      <c r="T287" s="1620">
        <v>58</v>
      </c>
      <c r="U287" s="1620">
        <v>58</v>
      </c>
      <c r="V287" s="1620">
        <v>58</v>
      </c>
      <c r="W287" s="1620">
        <v>58</v>
      </c>
      <c r="X287" s="1620"/>
      <c r="Y287" s="1620">
        <v>8.6000000000000014</v>
      </c>
      <c r="Z287" s="1620">
        <v>7.1999999999999931</v>
      </c>
      <c r="AA287" s="1620">
        <v>3.1999999999999922</v>
      </c>
      <c r="AB287" s="1620">
        <v>0</v>
      </c>
      <c r="AC287" s="1620">
        <v>11</v>
      </c>
      <c r="AD287" s="1620">
        <v>0.9</v>
      </c>
      <c r="AE287" s="1620">
        <v>0</v>
      </c>
      <c r="AF287" s="1620">
        <v>4</v>
      </c>
      <c r="AG287" s="1620">
        <v>1</v>
      </c>
      <c r="AH287" s="1620">
        <v>1</v>
      </c>
      <c r="AI287" s="1620">
        <v>41</v>
      </c>
      <c r="AJ287" s="1620">
        <v>0</v>
      </c>
      <c r="AK287" s="1620">
        <v>0.3</v>
      </c>
      <c r="AL287" s="1620"/>
      <c r="AM287" s="1620">
        <v>7.87</v>
      </c>
      <c r="AN287" s="1620">
        <v>2.4700000000000002</v>
      </c>
      <c r="AO287" s="1620">
        <v>0.86</v>
      </c>
      <c r="AP287" s="1620">
        <v>4.45</v>
      </c>
      <c r="AQ287" s="1620">
        <v>1.3</v>
      </c>
      <c r="AR287" s="1620">
        <v>5.71</v>
      </c>
      <c r="AS287" s="1620">
        <v>10.01</v>
      </c>
      <c r="AT287" s="1620">
        <v>2.87</v>
      </c>
      <c r="AU287" s="1620">
        <v>4.83</v>
      </c>
      <c r="AV287" s="1620">
        <v>4.91</v>
      </c>
      <c r="AW287" s="1620">
        <v>6.72</v>
      </c>
      <c r="AX287" s="1620"/>
      <c r="AY287" s="1620">
        <v>1.03</v>
      </c>
      <c r="AZ287" s="1620">
        <v>1.03</v>
      </c>
      <c r="BA287" s="1620">
        <v>1.04</v>
      </c>
      <c r="BB287" s="1620">
        <v>1.03</v>
      </c>
      <c r="BC287" s="1620">
        <v>1</v>
      </c>
      <c r="BD287" s="1620">
        <v>1.01</v>
      </c>
      <c r="BE287" s="1620">
        <v>1.03</v>
      </c>
      <c r="BF287" s="1620">
        <v>1.02</v>
      </c>
      <c r="BG287" s="1620">
        <v>1.04</v>
      </c>
      <c r="BH287" s="1620">
        <v>0.93</v>
      </c>
      <c r="BI287" s="1620">
        <v>0.98</v>
      </c>
      <c r="BJ287" s="1603"/>
      <c r="BK287" s="1620">
        <v>26.500000000000071</v>
      </c>
      <c r="BL287" s="1620">
        <v>30.999999999999925</v>
      </c>
      <c r="BM287" s="1620">
        <v>6</v>
      </c>
      <c r="BN287" s="1620">
        <v>0</v>
      </c>
      <c r="BO287" s="1620"/>
      <c r="BP287" s="1620">
        <v>0</v>
      </c>
      <c r="BQ287" s="1620">
        <v>0</v>
      </c>
      <c r="BR287" s="1620">
        <v>2.1011578590785924</v>
      </c>
      <c r="BS287" s="1620">
        <v>2.0177923376623408</v>
      </c>
      <c r="BT287" s="1603"/>
      <c r="BU287" s="1620">
        <v>940</v>
      </c>
      <c r="BV287" s="1620">
        <v>379.34999999999997</v>
      </c>
      <c r="BW287" s="1620">
        <v>0</v>
      </c>
      <c r="BX287" s="1620">
        <v>0</v>
      </c>
      <c r="BY287" s="1620">
        <v>355.55555555555628</v>
      </c>
      <c r="BZ287" s="1620">
        <v>0</v>
      </c>
      <c r="CA287" s="1620">
        <v>0</v>
      </c>
      <c r="CB287" s="1603"/>
      <c r="CC287" s="1603">
        <v>1.1610000000000003</v>
      </c>
      <c r="CD287" s="1603">
        <v>0.97199999999999909</v>
      </c>
      <c r="CE287" s="1603">
        <v>0.431999999999999</v>
      </c>
      <c r="CF287" s="1603">
        <v>0</v>
      </c>
      <c r="CG287" s="1603">
        <v>1.4850000000000001</v>
      </c>
      <c r="CH287" s="1603">
        <v>0.12150000000000001</v>
      </c>
      <c r="CI287" s="1603">
        <v>0</v>
      </c>
      <c r="CJ287" s="1603"/>
      <c r="CK287" s="1603">
        <v>0.54</v>
      </c>
      <c r="CL287" s="1603">
        <v>0.13500000000000001</v>
      </c>
      <c r="CM287" s="1603">
        <v>0.13500000000000001</v>
      </c>
      <c r="CN287" s="1603">
        <v>5.5350000000000001</v>
      </c>
      <c r="CO287" s="1603">
        <v>0</v>
      </c>
      <c r="CP287" s="1603">
        <v>4.0500000000000001E-2</v>
      </c>
      <c r="CQ287" s="1603">
        <v>33.628500000000102</v>
      </c>
      <c r="CR287" s="1603">
        <v>118.55368168731358</v>
      </c>
      <c r="CS287" s="1603">
        <v>9.6100799912553327</v>
      </c>
      <c r="CT287" s="1603">
        <v>3.0161242158069466</v>
      </c>
      <c r="CU287" s="1603">
        <v>1.0603441290113331</v>
      </c>
      <c r="CV287" s="1603">
        <v>4.0764683448182657</v>
      </c>
      <c r="CW287" s="1603">
        <v>5.4339080001380369</v>
      </c>
      <c r="CX287" s="1603">
        <v>1.541197861935079</v>
      </c>
      <c r="CY287" s="1603">
        <v>6.8371093765890762</v>
      </c>
      <c r="CZ287" s="1603">
        <v>12.223240243007091</v>
      </c>
      <c r="DA287" s="1603">
        <v>3.4705404777144215</v>
      </c>
      <c r="DB287" s="1603">
        <v>5.9551885385171532</v>
      </c>
      <c r="DC287" s="1603">
        <v>5.4135167668878195</v>
      </c>
      <c r="DD287" s="1603">
        <v>11.368705305404935</v>
      </c>
      <c r="DE287" s="1603">
        <v>7.8074712611997343</v>
      </c>
      <c r="DF287" s="1603">
        <v>0</v>
      </c>
      <c r="DG287" s="1603">
        <v>0</v>
      </c>
      <c r="DH287" s="1603">
        <v>0</v>
      </c>
      <c r="DI287" s="1603">
        <v>0</v>
      </c>
      <c r="DJ287" s="1603">
        <v>0</v>
      </c>
      <c r="DK287" s="1603">
        <v>0</v>
      </c>
      <c r="DL287" s="1603">
        <v>0</v>
      </c>
      <c r="DM287" s="1603">
        <v>0</v>
      </c>
      <c r="DN287" s="1603">
        <v>0</v>
      </c>
      <c r="DO287" s="1603">
        <v>0</v>
      </c>
      <c r="DP287" s="1603">
        <v>0</v>
      </c>
      <c r="DQ287" s="1603">
        <v>0</v>
      </c>
      <c r="DR287" s="1603">
        <v>0</v>
      </c>
      <c r="DS287" s="1603">
        <v>0</v>
      </c>
      <c r="DT287" s="1603">
        <v>0</v>
      </c>
      <c r="DU287" s="1603">
        <v>0</v>
      </c>
      <c r="DV287" s="1603">
        <v>0</v>
      </c>
      <c r="DW287" s="1618" t="s">
        <v>3042</v>
      </c>
      <c r="DX287" s="1605" t="s">
        <v>986</v>
      </c>
      <c r="DY287" s="1605" t="s">
        <v>986</v>
      </c>
      <c r="DZ287" s="1605" t="s">
        <v>986</v>
      </c>
      <c r="EA287" s="1605" t="s">
        <v>986</v>
      </c>
      <c r="EB287" s="1605" t="s">
        <v>986</v>
      </c>
      <c r="EC287" s="1605" t="s">
        <v>986</v>
      </c>
      <c r="ED287" s="1605" t="s">
        <v>986</v>
      </c>
      <c r="EE287" s="1605" t="s">
        <v>986</v>
      </c>
      <c r="EF287" s="1605" t="s">
        <v>986</v>
      </c>
      <c r="EG287" s="1605" t="s">
        <v>986</v>
      </c>
      <c r="EH287" s="1605" t="s">
        <v>986</v>
      </c>
      <c r="EI287" s="1605" t="s">
        <v>986</v>
      </c>
      <c r="EJ287" s="1605" t="s">
        <v>986</v>
      </c>
      <c r="EK287" s="1605" t="s">
        <v>986</v>
      </c>
      <c r="EL287" s="1605" t="s">
        <v>986</v>
      </c>
      <c r="EM287" s="1605" t="s">
        <v>986</v>
      </c>
      <c r="EN287" s="1605" t="s">
        <v>986</v>
      </c>
      <c r="EO287" s="1605" t="s">
        <v>986</v>
      </c>
      <c r="EP287" s="1605" t="s">
        <v>986</v>
      </c>
      <c r="EQ287" s="1605" t="s">
        <v>986</v>
      </c>
      <c r="ER287" s="1605" t="s">
        <v>986</v>
      </c>
      <c r="ES287" s="1605" t="s">
        <v>986</v>
      </c>
      <c r="ET287" s="1605" t="s">
        <v>986</v>
      </c>
      <c r="EU287" s="1605" t="s">
        <v>986</v>
      </c>
      <c r="EV287" s="1605" t="s">
        <v>986</v>
      </c>
      <c r="EW287" s="1605" t="s">
        <v>986</v>
      </c>
      <c r="EX287" s="1605" t="s">
        <v>986</v>
      </c>
      <c r="EY287" s="1605" t="s">
        <v>986</v>
      </c>
      <c r="EZ287" s="1605" t="s">
        <v>986</v>
      </c>
      <c r="FA287" s="1605" t="s">
        <v>986</v>
      </c>
      <c r="FB287" s="1605" t="s">
        <v>986</v>
      </c>
      <c r="FC287" s="1605" t="s">
        <v>986</v>
      </c>
      <c r="FD287" s="1605" t="s">
        <v>986</v>
      </c>
      <c r="FE287" s="1605" t="s">
        <v>986</v>
      </c>
      <c r="FF287" s="1605" t="s">
        <v>986</v>
      </c>
      <c r="FG287" s="1605" t="s">
        <v>986</v>
      </c>
      <c r="FH287" s="1605" t="s">
        <v>986</v>
      </c>
      <c r="FI287" s="1605" t="s">
        <v>986</v>
      </c>
      <c r="FJ287" s="1605" t="s">
        <v>986</v>
      </c>
      <c r="FK287" s="1605" t="s">
        <v>986</v>
      </c>
      <c r="FL287" s="1605" t="s">
        <v>986</v>
      </c>
      <c r="FM287" s="1605" t="s">
        <v>986</v>
      </c>
      <c r="FN287" s="1605" t="s">
        <v>986</v>
      </c>
      <c r="FO287" s="1605" t="s">
        <v>986</v>
      </c>
      <c r="FP287" s="1605" t="s">
        <v>986</v>
      </c>
      <c r="FQ287" s="1605" t="s">
        <v>986</v>
      </c>
      <c r="FR287" s="1605" t="s">
        <v>986</v>
      </c>
      <c r="FS287" s="1605" t="s">
        <v>986</v>
      </c>
      <c r="FT287" s="1605" t="s">
        <v>986</v>
      </c>
      <c r="FU287" s="1605" t="s">
        <v>986</v>
      </c>
      <c r="FV287" s="1605" t="s">
        <v>986</v>
      </c>
      <c r="FW287" s="1605" t="s">
        <v>986</v>
      </c>
      <c r="FX287" s="1605" t="s">
        <v>986</v>
      </c>
      <c r="FY287" s="1605" t="s">
        <v>986</v>
      </c>
      <c r="FZ287" s="1605" t="s">
        <v>986</v>
      </c>
      <c r="GA287" s="1605" t="s">
        <v>986</v>
      </c>
      <c r="GB287" s="1605" t="s">
        <v>986</v>
      </c>
      <c r="GC287" s="1605" t="s">
        <v>986</v>
      </c>
      <c r="GD287" s="1605" t="s">
        <v>986</v>
      </c>
      <c r="GE287" s="1605" t="s">
        <v>986</v>
      </c>
      <c r="GF287" s="1605" t="s">
        <v>986</v>
      </c>
      <c r="GG287" s="1605" t="s">
        <v>986</v>
      </c>
      <c r="GH287" s="1605" t="s">
        <v>986</v>
      </c>
      <c r="GI287" s="1605" t="s">
        <v>986</v>
      </c>
      <c r="GJ287" s="1605" t="s">
        <v>986</v>
      </c>
      <c r="GK287" s="1605" t="s">
        <v>986</v>
      </c>
      <c r="GL287" s="1605" t="s">
        <v>986</v>
      </c>
      <c r="GM287" s="1605" t="s">
        <v>986</v>
      </c>
      <c r="GN287" s="1605" t="s">
        <v>986</v>
      </c>
      <c r="GO287" s="1605" t="s">
        <v>986</v>
      </c>
      <c r="GP287" s="1605" t="s">
        <v>986</v>
      </c>
      <c r="GQ287" s="1605" t="s">
        <v>986</v>
      </c>
      <c r="GR287" s="1605" t="s">
        <v>986</v>
      </c>
      <c r="GS287" s="1605" t="s">
        <v>986</v>
      </c>
      <c r="GT287" s="1605" t="s">
        <v>986</v>
      </c>
      <c r="GU287" s="1605" t="s">
        <v>986</v>
      </c>
      <c r="GV287" s="1605" t="s">
        <v>986</v>
      </c>
      <c r="GW287" s="1605" t="s">
        <v>986</v>
      </c>
      <c r="GX287" s="1605" t="s">
        <v>986</v>
      </c>
      <c r="GY287" s="1605" t="s">
        <v>986</v>
      </c>
      <c r="GZ287" s="1605" t="s">
        <v>986</v>
      </c>
      <c r="HA287" s="1605" t="s">
        <v>986</v>
      </c>
      <c r="HB287" s="1605" t="s">
        <v>986</v>
      </c>
      <c r="HC287" s="1605" t="s">
        <v>986</v>
      </c>
      <c r="HD287" s="1605" t="s">
        <v>986</v>
      </c>
      <c r="HE287" s="1605" t="s">
        <v>986</v>
      </c>
      <c r="HF287" s="1605" t="s">
        <v>986</v>
      </c>
      <c r="HG287" s="1605" t="s">
        <v>986</v>
      </c>
      <c r="HH287" s="1605" t="s">
        <v>986</v>
      </c>
      <c r="HI287" s="1605" t="s">
        <v>986</v>
      </c>
      <c r="HJ287" s="1605" t="s">
        <v>986</v>
      </c>
      <c r="HK287" s="1605" t="s">
        <v>986</v>
      </c>
      <c r="HL287" s="1605" t="s">
        <v>986</v>
      </c>
      <c r="HM287" s="1605" t="s">
        <v>986</v>
      </c>
      <c r="HN287" s="1605" t="s">
        <v>986</v>
      </c>
      <c r="HO287" s="1605" t="s">
        <v>986</v>
      </c>
      <c r="HP287" s="1605" t="s">
        <v>986</v>
      </c>
      <c r="HQ287" s="1605" t="s">
        <v>986</v>
      </c>
      <c r="HR287" s="1605" t="s">
        <v>986</v>
      </c>
      <c r="HS287" s="1605" t="s">
        <v>986</v>
      </c>
      <c r="HT287" s="1605" t="s">
        <v>986</v>
      </c>
      <c r="HU287" s="1605" t="s">
        <v>986</v>
      </c>
      <c r="HV287" s="1617"/>
      <c r="HW287" s="1617">
        <v>0</v>
      </c>
      <c r="HX287" s="1617">
        <v>0</v>
      </c>
      <c r="HY287" s="1617">
        <v>0</v>
      </c>
      <c r="HZ287" s="1603"/>
      <c r="IA287" s="1603"/>
      <c r="IB287" s="1603"/>
      <c r="IC287" s="1603">
        <v>58</v>
      </c>
      <c r="ID287" s="1603">
        <v>58</v>
      </c>
      <c r="IE287" s="1603">
        <v>58</v>
      </c>
      <c r="IF287" s="1603">
        <v>58</v>
      </c>
      <c r="IG287" s="1611" t="s">
        <v>270</v>
      </c>
      <c r="IH287" s="1616" t="s">
        <v>3045</v>
      </c>
      <c r="II287" s="1615" t="s">
        <v>3044</v>
      </c>
      <c r="IJ287" s="1613">
        <v>8.1999999999999993</v>
      </c>
      <c r="IK287" s="1613">
        <v>8.1999999999999993</v>
      </c>
      <c r="IL287" s="1614">
        <v>8.1999999999999993</v>
      </c>
      <c r="IM287" s="1614">
        <v>8.1999999999999993</v>
      </c>
      <c r="IN287" s="1612">
        <v>8.1999999999999993</v>
      </c>
      <c r="IO287" s="1613">
        <v>0</v>
      </c>
      <c r="IP287" s="1607" t="s">
        <v>270</v>
      </c>
      <c r="IQ287" s="1612" t="s">
        <v>270</v>
      </c>
      <c r="IR287" s="1612" t="s">
        <v>270</v>
      </c>
      <c r="IS287" s="1607" t="s">
        <v>270</v>
      </c>
      <c r="IT287" s="1607" t="s">
        <v>270</v>
      </c>
      <c r="IU287" s="1611" t="s">
        <v>270</v>
      </c>
      <c r="IV287" s="1611" t="s">
        <v>270</v>
      </c>
      <c r="IW287" s="1611" t="s">
        <v>270</v>
      </c>
      <c r="IX287" s="1611" t="s">
        <v>270</v>
      </c>
      <c r="IY287" s="1611" t="s">
        <v>270</v>
      </c>
      <c r="IZ287" s="1611" t="s">
        <v>270</v>
      </c>
      <c r="JA287" s="1611" t="s">
        <v>270</v>
      </c>
      <c r="JB287" s="1611" t="s">
        <v>270</v>
      </c>
      <c r="JC287" s="1611" t="s">
        <v>270</v>
      </c>
      <c r="JD287" s="1611" t="s">
        <v>270</v>
      </c>
      <c r="JE287" s="1611" t="s">
        <v>270</v>
      </c>
      <c r="JF287" s="1611" t="s">
        <v>270</v>
      </c>
      <c r="JG287" s="1611" t="s">
        <v>270</v>
      </c>
      <c r="JH287" s="1611" t="s">
        <v>270</v>
      </c>
      <c r="JI287" s="1611" t="s">
        <v>270</v>
      </c>
      <c r="JJ287" s="1611" t="s">
        <v>270</v>
      </c>
      <c r="JK287" s="1607" t="str">
        <f t="shared" si="13"/>
        <v/>
      </c>
      <c r="JL287" s="1608" t="s">
        <v>2946</v>
      </c>
      <c r="JM287" s="1610" t="s">
        <v>2945</v>
      </c>
      <c r="JN287" s="1608" t="s">
        <v>270</v>
      </c>
      <c r="JO287" s="1609" t="s">
        <v>270</v>
      </c>
      <c r="JP287" s="1608">
        <v>8.1999999999999993</v>
      </c>
      <c r="JQ287" s="1607" t="s">
        <v>270</v>
      </c>
      <c r="JR287" s="1606" t="s">
        <v>270</v>
      </c>
      <c r="JS287" s="1606" t="s">
        <v>270</v>
      </c>
      <c r="JT287" s="1606" t="s">
        <v>270</v>
      </c>
    </row>
    <row r="288" spans="1:280" ht="15" customHeight="1" x14ac:dyDescent="0.2">
      <c r="A288" s="1626">
        <v>76100</v>
      </c>
      <c r="B288" s="1625">
        <v>761</v>
      </c>
      <c r="C288" s="1624">
        <v>0</v>
      </c>
      <c r="D288" s="1623" t="s">
        <v>3043</v>
      </c>
      <c r="E288" s="1622">
        <v>43031</v>
      </c>
      <c r="F288" s="1620">
        <v>2.01711154471545</v>
      </c>
      <c r="G288" s="1620">
        <v>1.9370806441558499</v>
      </c>
      <c r="H288" s="1621">
        <v>98</v>
      </c>
      <c r="I288" s="1621">
        <v>98</v>
      </c>
      <c r="J288" s="1621">
        <v>98</v>
      </c>
      <c r="K288" s="1620">
        <v>1</v>
      </c>
      <c r="L288" s="1620">
        <v>96</v>
      </c>
      <c r="M288" s="1620">
        <v>25.440000000000101</v>
      </c>
      <c r="N288" s="1620">
        <v>29.759999999999899</v>
      </c>
      <c r="O288" s="1620">
        <v>5.76</v>
      </c>
      <c r="P288" s="1620">
        <v>0</v>
      </c>
      <c r="Q288" s="1603"/>
      <c r="R288" s="1620">
        <v>94</v>
      </c>
      <c r="S288" s="1620">
        <v>58</v>
      </c>
      <c r="T288" s="1620">
        <v>58</v>
      </c>
      <c r="U288" s="1620">
        <v>58</v>
      </c>
      <c r="V288" s="1620">
        <v>58</v>
      </c>
      <c r="W288" s="1620">
        <v>58</v>
      </c>
      <c r="X288" s="1620"/>
      <c r="Y288" s="1620">
        <v>8.6000000000000103</v>
      </c>
      <c r="Z288" s="1620">
        <v>7.1999999999999895</v>
      </c>
      <c r="AA288" s="1620">
        <v>3.1999999999999891</v>
      </c>
      <c r="AB288" s="1620">
        <v>0</v>
      </c>
      <c r="AC288" s="1620">
        <v>11</v>
      </c>
      <c r="AD288" s="1620">
        <v>0.89999999999999891</v>
      </c>
      <c r="AE288" s="1620">
        <v>3.3000000000000003</v>
      </c>
      <c r="AF288" s="1620">
        <v>4</v>
      </c>
      <c r="AG288" s="1620">
        <v>1</v>
      </c>
      <c r="AH288" s="1620">
        <v>1</v>
      </c>
      <c r="AI288" s="1620">
        <v>41</v>
      </c>
      <c r="AJ288" s="1620">
        <v>0</v>
      </c>
      <c r="AK288" s="1620">
        <v>0.3</v>
      </c>
      <c r="AL288" s="1620"/>
      <c r="AM288" s="1620">
        <v>7.87</v>
      </c>
      <c r="AN288" s="1620">
        <v>2.4700000000000002</v>
      </c>
      <c r="AO288" s="1620">
        <v>0.86</v>
      </c>
      <c r="AP288" s="1620">
        <v>4.45</v>
      </c>
      <c r="AQ288" s="1620">
        <v>1.3</v>
      </c>
      <c r="AR288" s="1620">
        <v>5.71</v>
      </c>
      <c r="AS288" s="1620">
        <v>10</v>
      </c>
      <c r="AT288" s="1620">
        <v>2.87</v>
      </c>
      <c r="AU288" s="1620">
        <v>4.83</v>
      </c>
      <c r="AV288" s="1620">
        <v>4.91</v>
      </c>
      <c r="AW288" s="1620">
        <v>6.72</v>
      </c>
      <c r="AX288" s="1620"/>
      <c r="AY288" s="1620">
        <v>1.03</v>
      </c>
      <c r="AZ288" s="1620">
        <v>1.03</v>
      </c>
      <c r="BA288" s="1620">
        <v>1.04</v>
      </c>
      <c r="BB288" s="1620">
        <v>1.03</v>
      </c>
      <c r="BC288" s="1620">
        <v>1</v>
      </c>
      <c r="BD288" s="1620">
        <v>1.01</v>
      </c>
      <c r="BE288" s="1620">
        <v>1.03</v>
      </c>
      <c r="BF288" s="1620">
        <v>1.02</v>
      </c>
      <c r="BG288" s="1620">
        <v>1.04</v>
      </c>
      <c r="BH288" s="1620">
        <v>0.93</v>
      </c>
      <c r="BI288" s="1620">
        <v>0.98</v>
      </c>
      <c r="BJ288" s="1603"/>
      <c r="BK288" s="1620">
        <v>26.500000000000103</v>
      </c>
      <c r="BL288" s="1620">
        <v>30.999999999999897</v>
      </c>
      <c r="BM288" s="1620">
        <v>6</v>
      </c>
      <c r="BN288" s="1620">
        <v>0</v>
      </c>
      <c r="BO288" s="1620"/>
      <c r="BP288" s="1620">
        <v>0</v>
      </c>
      <c r="BQ288" s="1620">
        <v>0</v>
      </c>
      <c r="BR288" s="1620">
        <v>2.1011578590785938</v>
      </c>
      <c r="BS288" s="1620">
        <v>2.0177923376623439</v>
      </c>
      <c r="BT288" s="1603"/>
      <c r="BU288" s="1620">
        <v>940</v>
      </c>
      <c r="BV288" s="1620">
        <v>379.34999999999997</v>
      </c>
      <c r="BW288" s="1620">
        <v>0</v>
      </c>
      <c r="BX288" s="1620">
        <v>0</v>
      </c>
      <c r="BY288" s="1620">
        <v>387.5</v>
      </c>
      <c r="BZ288" s="1620">
        <v>0</v>
      </c>
      <c r="CA288" s="1620">
        <v>0</v>
      </c>
      <c r="CB288" s="1603"/>
      <c r="CC288" s="1603">
        <v>8.2560000000000091</v>
      </c>
      <c r="CD288" s="1603">
        <v>6.9119999999999893</v>
      </c>
      <c r="CE288" s="1603">
        <v>3.0719999999999894</v>
      </c>
      <c r="CF288" s="1603">
        <v>0</v>
      </c>
      <c r="CG288" s="1603">
        <v>10.559999999999999</v>
      </c>
      <c r="CH288" s="1603">
        <v>0.86399999999999888</v>
      </c>
      <c r="CI288" s="1603">
        <v>3.1680000000000001</v>
      </c>
      <c r="CJ288" s="1603"/>
      <c r="CK288" s="1603">
        <v>3.84</v>
      </c>
      <c r="CL288" s="1603">
        <v>0.96</v>
      </c>
      <c r="CM288" s="1603">
        <v>0.96</v>
      </c>
      <c r="CN288" s="1603">
        <v>39.36</v>
      </c>
      <c r="CO288" s="1603">
        <v>0</v>
      </c>
      <c r="CP288" s="1603">
        <v>0.28799999999999998</v>
      </c>
      <c r="CQ288" s="1603">
        <v>239.13600000000099</v>
      </c>
      <c r="CR288" s="1603">
        <v>118.55368168731366</v>
      </c>
      <c r="CS288" s="1603">
        <v>9.6100799912553416</v>
      </c>
      <c r="CT288" s="1603">
        <v>3.0161242158069439</v>
      </c>
      <c r="CU288" s="1603">
        <v>1.0603441290113338</v>
      </c>
      <c r="CV288" s="1603">
        <v>4.0764683448182781</v>
      </c>
      <c r="CW288" s="1603">
        <v>5.4339080001379987</v>
      </c>
      <c r="CX288" s="1603">
        <v>1.5411978619350761</v>
      </c>
      <c r="CY288" s="1603">
        <v>6.837109376589086</v>
      </c>
      <c r="CZ288" s="1603">
        <v>12.211029213793305</v>
      </c>
      <c r="DA288" s="1603">
        <v>3.4705404777144206</v>
      </c>
      <c r="DB288" s="1603">
        <v>5.955188538517115</v>
      </c>
      <c r="DC288" s="1603">
        <v>5.4135167668877813</v>
      </c>
      <c r="DD288" s="1603">
        <v>11.368705305404944</v>
      </c>
      <c r="DE288" s="1603">
        <v>7.807471261199745</v>
      </c>
      <c r="DF288" s="1603">
        <v>0</v>
      </c>
      <c r="DG288" s="1603">
        <v>0</v>
      </c>
      <c r="DH288" s="1603">
        <v>0</v>
      </c>
      <c r="DI288" s="1603">
        <v>0</v>
      </c>
      <c r="DJ288" s="1603">
        <v>0</v>
      </c>
      <c r="DK288" s="1603">
        <v>0</v>
      </c>
      <c r="DL288" s="1603">
        <v>0</v>
      </c>
      <c r="DM288" s="1603">
        <v>0</v>
      </c>
      <c r="DN288" s="1603">
        <v>0</v>
      </c>
      <c r="DO288" s="1603">
        <v>0</v>
      </c>
      <c r="DP288" s="1603">
        <v>0</v>
      </c>
      <c r="DQ288" s="1603">
        <v>0</v>
      </c>
      <c r="DR288" s="1603">
        <v>0</v>
      </c>
      <c r="DS288" s="1603">
        <v>0</v>
      </c>
      <c r="DT288" s="1603">
        <v>0</v>
      </c>
      <c r="DU288" s="1603">
        <v>0</v>
      </c>
      <c r="DV288" s="1603">
        <v>0</v>
      </c>
      <c r="DW288" s="1618" t="s">
        <v>3042</v>
      </c>
      <c r="DX288" s="1605" t="s">
        <v>986</v>
      </c>
      <c r="DY288" s="1605" t="s">
        <v>986</v>
      </c>
      <c r="DZ288" s="1605" t="s">
        <v>986</v>
      </c>
      <c r="EA288" s="1605" t="s">
        <v>986</v>
      </c>
      <c r="EB288" s="1605" t="s">
        <v>986</v>
      </c>
      <c r="EC288" s="1605" t="s">
        <v>986</v>
      </c>
      <c r="ED288" s="1605" t="s">
        <v>986</v>
      </c>
      <c r="EE288" s="1605" t="s">
        <v>986</v>
      </c>
      <c r="EF288" s="1605" t="s">
        <v>986</v>
      </c>
      <c r="EG288" s="1605" t="s">
        <v>986</v>
      </c>
      <c r="EH288" s="1605" t="s">
        <v>986</v>
      </c>
      <c r="EI288" s="1605" t="s">
        <v>986</v>
      </c>
      <c r="EJ288" s="1605" t="s">
        <v>986</v>
      </c>
      <c r="EK288" s="1605" t="s">
        <v>986</v>
      </c>
      <c r="EL288" s="1605" t="s">
        <v>986</v>
      </c>
      <c r="EM288" s="1605" t="s">
        <v>986</v>
      </c>
      <c r="EN288" s="1605" t="s">
        <v>986</v>
      </c>
      <c r="EO288" s="1605" t="s">
        <v>986</v>
      </c>
      <c r="EP288" s="1605" t="s">
        <v>986</v>
      </c>
      <c r="EQ288" s="1605" t="s">
        <v>986</v>
      </c>
      <c r="ER288" s="1605" t="s">
        <v>986</v>
      </c>
      <c r="ES288" s="1605" t="s">
        <v>986</v>
      </c>
      <c r="ET288" s="1605" t="s">
        <v>986</v>
      </c>
      <c r="EU288" s="1605" t="s">
        <v>986</v>
      </c>
      <c r="EV288" s="1605" t="s">
        <v>986</v>
      </c>
      <c r="EW288" s="1605" t="s">
        <v>986</v>
      </c>
      <c r="EX288" s="1605" t="s">
        <v>986</v>
      </c>
      <c r="EY288" s="1605" t="s">
        <v>986</v>
      </c>
      <c r="EZ288" s="1605" t="s">
        <v>986</v>
      </c>
      <c r="FA288" s="1605" t="s">
        <v>986</v>
      </c>
      <c r="FB288" s="1605" t="s">
        <v>986</v>
      </c>
      <c r="FC288" s="1605" t="s">
        <v>986</v>
      </c>
      <c r="FD288" s="1605" t="s">
        <v>986</v>
      </c>
      <c r="FE288" s="1605" t="s">
        <v>986</v>
      </c>
      <c r="FF288" s="1605" t="s">
        <v>986</v>
      </c>
      <c r="FG288" s="1605" t="s">
        <v>986</v>
      </c>
      <c r="FH288" s="1605" t="s">
        <v>986</v>
      </c>
      <c r="FI288" s="1605" t="s">
        <v>986</v>
      </c>
      <c r="FJ288" s="1605" t="s">
        <v>986</v>
      </c>
      <c r="FK288" s="1605" t="s">
        <v>986</v>
      </c>
      <c r="FL288" s="1605" t="s">
        <v>986</v>
      </c>
      <c r="FM288" s="1605" t="s">
        <v>986</v>
      </c>
      <c r="FN288" s="1605" t="s">
        <v>986</v>
      </c>
      <c r="FO288" s="1605" t="s">
        <v>986</v>
      </c>
      <c r="FP288" s="1605" t="s">
        <v>986</v>
      </c>
      <c r="FQ288" s="1605" t="s">
        <v>986</v>
      </c>
      <c r="FR288" s="1605" t="s">
        <v>986</v>
      </c>
      <c r="FS288" s="1605" t="s">
        <v>986</v>
      </c>
      <c r="FT288" s="1605" t="s">
        <v>986</v>
      </c>
      <c r="FU288" s="1605" t="s">
        <v>986</v>
      </c>
      <c r="FV288" s="1605" t="s">
        <v>986</v>
      </c>
      <c r="FW288" s="1605" t="s">
        <v>986</v>
      </c>
      <c r="FX288" s="1605" t="s">
        <v>986</v>
      </c>
      <c r="FY288" s="1605" t="s">
        <v>986</v>
      </c>
      <c r="FZ288" s="1605" t="s">
        <v>986</v>
      </c>
      <c r="GA288" s="1605" t="s">
        <v>986</v>
      </c>
      <c r="GB288" s="1605" t="s">
        <v>986</v>
      </c>
      <c r="GC288" s="1605" t="s">
        <v>986</v>
      </c>
      <c r="GD288" s="1605" t="s">
        <v>986</v>
      </c>
      <c r="GE288" s="1605" t="s">
        <v>986</v>
      </c>
      <c r="GF288" s="1605" t="s">
        <v>986</v>
      </c>
      <c r="GG288" s="1605" t="s">
        <v>986</v>
      </c>
      <c r="GH288" s="1605" t="s">
        <v>986</v>
      </c>
      <c r="GI288" s="1605" t="s">
        <v>986</v>
      </c>
      <c r="GJ288" s="1605" t="s">
        <v>986</v>
      </c>
      <c r="GK288" s="1605" t="s">
        <v>986</v>
      </c>
      <c r="GL288" s="1605" t="s">
        <v>986</v>
      </c>
      <c r="GM288" s="1605" t="s">
        <v>986</v>
      </c>
      <c r="GN288" s="1605" t="s">
        <v>986</v>
      </c>
      <c r="GO288" s="1605" t="s">
        <v>986</v>
      </c>
      <c r="GP288" s="1605" t="s">
        <v>986</v>
      </c>
      <c r="GQ288" s="1605" t="s">
        <v>986</v>
      </c>
      <c r="GR288" s="1605" t="s">
        <v>986</v>
      </c>
      <c r="GS288" s="1605" t="s">
        <v>986</v>
      </c>
      <c r="GT288" s="1605" t="s">
        <v>986</v>
      </c>
      <c r="GU288" s="1605" t="s">
        <v>986</v>
      </c>
      <c r="GV288" s="1605" t="s">
        <v>986</v>
      </c>
      <c r="GW288" s="1605" t="s">
        <v>986</v>
      </c>
      <c r="GX288" s="1605" t="s">
        <v>986</v>
      </c>
      <c r="GY288" s="1605" t="s">
        <v>986</v>
      </c>
      <c r="GZ288" s="1605" t="s">
        <v>986</v>
      </c>
      <c r="HA288" s="1605" t="s">
        <v>986</v>
      </c>
      <c r="HB288" s="1605" t="s">
        <v>986</v>
      </c>
      <c r="HC288" s="1605" t="s">
        <v>986</v>
      </c>
      <c r="HD288" s="1605" t="s">
        <v>986</v>
      </c>
      <c r="HE288" s="1605" t="s">
        <v>986</v>
      </c>
      <c r="HF288" s="1605" t="s">
        <v>986</v>
      </c>
      <c r="HG288" s="1605" t="s">
        <v>986</v>
      </c>
      <c r="HH288" s="1605" t="s">
        <v>986</v>
      </c>
      <c r="HI288" s="1605" t="s">
        <v>986</v>
      </c>
      <c r="HJ288" s="1605" t="s">
        <v>986</v>
      </c>
      <c r="HK288" s="1605" t="s">
        <v>986</v>
      </c>
      <c r="HL288" s="1605" t="s">
        <v>986</v>
      </c>
      <c r="HM288" s="1605" t="s">
        <v>986</v>
      </c>
      <c r="HN288" s="1605" t="s">
        <v>986</v>
      </c>
      <c r="HO288" s="1605" t="s">
        <v>986</v>
      </c>
      <c r="HP288" s="1605" t="s">
        <v>986</v>
      </c>
      <c r="HQ288" s="1605" t="s">
        <v>986</v>
      </c>
      <c r="HR288" s="1605" t="s">
        <v>986</v>
      </c>
      <c r="HS288" s="1605" t="s">
        <v>986</v>
      </c>
      <c r="HT288" s="1605" t="s">
        <v>986</v>
      </c>
      <c r="HU288" s="1605" t="s">
        <v>986</v>
      </c>
      <c r="HV288" s="1617"/>
      <c r="HW288" s="1617">
        <v>0</v>
      </c>
      <c r="HX288" s="1617">
        <v>0</v>
      </c>
      <c r="HY288" s="1617">
        <v>0</v>
      </c>
      <c r="HZ288" s="1603"/>
      <c r="IA288" s="1603"/>
      <c r="IB288" s="1603"/>
      <c r="IC288" s="1603">
        <v>58</v>
      </c>
      <c r="ID288" s="1603">
        <v>58</v>
      </c>
      <c r="IE288" s="1603">
        <v>58</v>
      </c>
      <c r="IF288" s="1603">
        <v>58</v>
      </c>
      <c r="IG288" s="1611" t="s">
        <v>270</v>
      </c>
      <c r="IH288" s="1616" t="s">
        <v>270</v>
      </c>
      <c r="II288" s="1615" t="s">
        <v>270</v>
      </c>
      <c r="IJ288" s="1613">
        <v>8.1999999999999993</v>
      </c>
      <c r="IK288" s="1613">
        <v>8.1999999999999993</v>
      </c>
      <c r="IL288" s="1614">
        <v>8.1999999999999993</v>
      </c>
      <c r="IM288" s="1614">
        <v>8.1999999999999993</v>
      </c>
      <c r="IN288" s="1612">
        <v>8.1999999999999993</v>
      </c>
      <c r="IO288" s="1613">
        <v>0</v>
      </c>
      <c r="IP288" s="1607" t="s">
        <v>270</v>
      </c>
      <c r="IQ288" s="1612" t="s">
        <v>270</v>
      </c>
      <c r="IR288" s="1612" t="s">
        <v>270</v>
      </c>
      <c r="IS288" s="1607" t="s">
        <v>270</v>
      </c>
      <c r="IT288" s="1607" t="s">
        <v>270</v>
      </c>
      <c r="IU288" s="1611" t="s">
        <v>270</v>
      </c>
      <c r="IV288" s="1611" t="s">
        <v>270</v>
      </c>
      <c r="IW288" s="1611" t="s">
        <v>270</v>
      </c>
      <c r="IX288" s="1611" t="s">
        <v>270</v>
      </c>
      <c r="IY288" s="1611" t="s">
        <v>270</v>
      </c>
      <c r="IZ288" s="1611" t="s">
        <v>270</v>
      </c>
      <c r="JA288" s="1611" t="s">
        <v>270</v>
      </c>
      <c r="JB288" s="1611" t="s">
        <v>270</v>
      </c>
      <c r="JC288" s="1611" t="s">
        <v>270</v>
      </c>
      <c r="JD288" s="1611" t="s">
        <v>270</v>
      </c>
      <c r="JE288" s="1611" t="s">
        <v>270</v>
      </c>
      <c r="JF288" s="1611" t="s">
        <v>270</v>
      </c>
      <c r="JG288" s="1611" t="s">
        <v>270</v>
      </c>
      <c r="JH288" s="1611" t="s">
        <v>270</v>
      </c>
      <c r="JI288" s="1611" t="s">
        <v>270</v>
      </c>
      <c r="JJ288" s="1611" t="s">
        <v>270</v>
      </c>
      <c r="JK288" s="1607" t="str">
        <f t="shared" si="13"/>
        <v/>
      </c>
      <c r="JL288" s="1608" t="s">
        <v>2946</v>
      </c>
      <c r="JM288" s="1610" t="s">
        <v>2945</v>
      </c>
      <c r="JN288" s="1608" t="s">
        <v>270</v>
      </c>
      <c r="JO288" s="1609" t="s">
        <v>270</v>
      </c>
      <c r="JP288" s="1608">
        <v>8.1999999999999993</v>
      </c>
      <c r="JQ288" s="1607" t="s">
        <v>270</v>
      </c>
      <c r="JR288" s="1606" t="s">
        <v>270</v>
      </c>
      <c r="JS288" s="1606" t="s">
        <v>270</v>
      </c>
      <c r="JT288" s="1606" t="s">
        <v>270</v>
      </c>
    </row>
    <row r="289" spans="1:280" ht="15" customHeight="1" x14ac:dyDescent="0.2">
      <c r="A289" s="1626">
        <v>68000</v>
      </c>
      <c r="B289" s="1625">
        <v>680</v>
      </c>
      <c r="C289" s="1624">
        <v>0</v>
      </c>
      <c r="D289" s="1623" t="s">
        <v>3041</v>
      </c>
      <c r="E289" s="1622">
        <v>43031</v>
      </c>
      <c r="F289" s="1620">
        <v>1.01861968672357</v>
      </c>
      <c r="G289" s="1620">
        <v>1.02373352511905</v>
      </c>
      <c r="H289" s="1621">
        <v>90</v>
      </c>
      <c r="I289" s="1621">
        <v>80</v>
      </c>
      <c r="J289" s="1621">
        <v>66</v>
      </c>
      <c r="K289" s="1620">
        <v>1</v>
      </c>
      <c r="L289" s="1620">
        <v>87</v>
      </c>
      <c r="M289" s="1620">
        <v>2.8000001700000001</v>
      </c>
      <c r="N289" s="1620">
        <v>0.70000026000000004</v>
      </c>
      <c r="O289" s="1620">
        <v>5.4000003899999998</v>
      </c>
      <c r="P289" s="1620">
        <v>3.7999999199999999</v>
      </c>
      <c r="Q289" s="1603"/>
      <c r="R289" s="1620">
        <v>13</v>
      </c>
      <c r="S289" s="1620">
        <v>10</v>
      </c>
      <c r="T289" s="1620">
        <v>10</v>
      </c>
      <c r="U289" s="1620">
        <v>10</v>
      </c>
      <c r="V289" s="1620">
        <v>10</v>
      </c>
      <c r="W289" s="1620">
        <v>10</v>
      </c>
      <c r="X289" s="1620"/>
      <c r="Y289" s="1620">
        <v>2.4137900000000001</v>
      </c>
      <c r="Z289" s="1620">
        <v>1.14943</v>
      </c>
      <c r="AA289" s="1620">
        <v>0.22988999999999885</v>
      </c>
      <c r="AB289" s="1620">
        <v>0</v>
      </c>
      <c r="AC289" s="1620">
        <v>8.5057500000000008</v>
      </c>
      <c r="AD289" s="1620">
        <v>1.3</v>
      </c>
      <c r="AE289" s="1620">
        <v>0</v>
      </c>
      <c r="AF289" s="1620">
        <v>1272.0000000000002</v>
      </c>
      <c r="AG289" s="1620">
        <v>4</v>
      </c>
      <c r="AH289" s="1620">
        <v>39</v>
      </c>
      <c r="AI289" s="1620">
        <v>16</v>
      </c>
      <c r="AJ289" s="1620">
        <v>0</v>
      </c>
      <c r="AK289" s="1620">
        <v>0.10999999999999999</v>
      </c>
      <c r="AL289" s="1620"/>
      <c r="AM289" s="1620">
        <v>3.84</v>
      </c>
      <c r="AN289" s="1620">
        <v>1.36</v>
      </c>
      <c r="AO289" s="1620">
        <v>1.1599999999999999</v>
      </c>
      <c r="AP289" s="1620">
        <v>3.33</v>
      </c>
      <c r="AQ289" s="1620">
        <v>1.04</v>
      </c>
      <c r="AR289" s="1620">
        <v>3.25</v>
      </c>
      <c r="AS289" s="1620">
        <v>5.58</v>
      </c>
      <c r="AT289" s="1620">
        <v>2.2599999999999998</v>
      </c>
      <c r="AU289" s="1620">
        <v>4.22</v>
      </c>
      <c r="AV289" s="1620">
        <v>2.21</v>
      </c>
      <c r="AW289" s="1620">
        <v>4.2</v>
      </c>
      <c r="AX289" s="1620"/>
      <c r="AY289" s="1620">
        <v>1</v>
      </c>
      <c r="AZ289" s="1620">
        <v>1</v>
      </c>
      <c r="BA289" s="1620">
        <v>1</v>
      </c>
      <c r="BB289" s="1620">
        <v>1</v>
      </c>
      <c r="BC289" s="1620">
        <v>1</v>
      </c>
      <c r="BD289" s="1620">
        <v>1</v>
      </c>
      <c r="BE289" s="1620">
        <v>1</v>
      </c>
      <c r="BF289" s="1620">
        <v>1</v>
      </c>
      <c r="BG289" s="1620">
        <v>1</v>
      </c>
      <c r="BH289" s="1620">
        <v>1</v>
      </c>
      <c r="BI289" s="1620">
        <v>1</v>
      </c>
      <c r="BJ289" s="1603"/>
      <c r="BK289" s="1620">
        <v>3.218391</v>
      </c>
      <c r="BL289" s="1620">
        <v>0.80459800000000004</v>
      </c>
      <c r="BM289" s="1620">
        <v>6.2068970000000006</v>
      </c>
      <c r="BN289" s="1620">
        <v>4.3678159999999995</v>
      </c>
      <c r="BO289" s="1620"/>
      <c r="BP289" s="1620">
        <v>0</v>
      </c>
      <c r="BQ289" s="1620">
        <v>0</v>
      </c>
      <c r="BR289" s="1620">
        <v>1.170827226119046</v>
      </c>
      <c r="BS289" s="1620">
        <v>1.1767052012862644</v>
      </c>
      <c r="BT289" s="1603"/>
      <c r="BU289" s="1620">
        <v>937.93102999999996</v>
      </c>
      <c r="BV289" s="1620">
        <v>673.05582115714253</v>
      </c>
      <c r="BW289" s="1620">
        <v>133.99014714285747</v>
      </c>
      <c r="BX289" s="1620" t="s">
        <v>270</v>
      </c>
      <c r="BY289" s="1620" t="s">
        <v>270</v>
      </c>
      <c r="BZ289" s="1620">
        <v>23.000000000000004</v>
      </c>
      <c r="CA289" s="1620">
        <v>82.999999999999986</v>
      </c>
      <c r="CB289" s="1603"/>
      <c r="CC289" s="1603">
        <v>2.0999973000000001</v>
      </c>
      <c r="CD289" s="1603">
        <v>1.0000041</v>
      </c>
      <c r="CE289" s="1603">
        <v>0.200004299999999</v>
      </c>
      <c r="CF289" s="1603">
        <v>0</v>
      </c>
      <c r="CG289" s="1603">
        <v>7.4000025000000003</v>
      </c>
      <c r="CH289" s="1603">
        <v>1.131</v>
      </c>
      <c r="CI289" s="1603">
        <v>0</v>
      </c>
      <c r="CJ289" s="1603"/>
      <c r="CK289" s="1603">
        <v>1106.6400000000001</v>
      </c>
      <c r="CL289" s="1603">
        <v>3.48</v>
      </c>
      <c r="CM289" s="1603">
        <v>33.93</v>
      </c>
      <c r="CN289" s="1603">
        <v>13.92</v>
      </c>
      <c r="CO289" s="1603">
        <v>0</v>
      </c>
      <c r="CP289" s="1603">
        <v>9.5699999999999993E-2</v>
      </c>
      <c r="CQ289" s="1603">
        <v>3.6400002210000002</v>
      </c>
      <c r="CR289" s="1603">
        <v>3.5734634510238097</v>
      </c>
      <c r="CS289" s="1603">
        <v>0.1372209965193143</v>
      </c>
      <c r="CT289" s="1603">
        <v>4.8599102933923805E-2</v>
      </c>
      <c r="CU289" s="1603">
        <v>4.1452176031876189E-2</v>
      </c>
      <c r="CV289" s="1603">
        <v>9.0051278965799994E-2</v>
      </c>
      <c r="CW289" s="1603">
        <v>0.11899633291909285</v>
      </c>
      <c r="CX289" s="1603">
        <v>3.7164019890647618E-2</v>
      </c>
      <c r="CY289" s="1603">
        <v>0.11613756215827381</v>
      </c>
      <c r="CZ289" s="1603">
        <v>0.19939926056712859</v>
      </c>
      <c r="DA289" s="1603">
        <v>8.0760273993138093E-2</v>
      </c>
      <c r="DB289" s="1603">
        <v>0.15080015763320476</v>
      </c>
      <c r="DC289" s="1603">
        <v>7.8973542267626193E-2</v>
      </c>
      <c r="DD289" s="1603">
        <v>0.22977369990083096</v>
      </c>
      <c r="DE289" s="1603">
        <v>0.15008546494299999</v>
      </c>
      <c r="DF289" s="1603">
        <v>0</v>
      </c>
      <c r="DG289" s="1603">
        <v>0</v>
      </c>
      <c r="DH289" s="1603">
        <v>0</v>
      </c>
      <c r="DI289" s="1603">
        <v>0</v>
      </c>
      <c r="DJ289" s="1603">
        <v>0</v>
      </c>
      <c r="DK289" s="1603">
        <v>0</v>
      </c>
      <c r="DL289" s="1603">
        <v>0</v>
      </c>
      <c r="DM289" s="1603">
        <v>0</v>
      </c>
      <c r="DN289" s="1603">
        <v>0</v>
      </c>
      <c r="DO289" s="1603">
        <v>0</v>
      </c>
      <c r="DP289" s="1603">
        <v>0</v>
      </c>
      <c r="DQ289" s="1603">
        <v>0</v>
      </c>
      <c r="DR289" s="1603">
        <v>0</v>
      </c>
      <c r="DS289" s="1603">
        <v>0</v>
      </c>
      <c r="DT289" s="1603">
        <v>0</v>
      </c>
      <c r="DU289" s="1603">
        <v>0</v>
      </c>
      <c r="DV289" s="1603">
        <v>0</v>
      </c>
      <c r="DW289" s="1618" t="s">
        <v>3040</v>
      </c>
      <c r="DX289" s="1605" t="s">
        <v>986</v>
      </c>
      <c r="DY289" s="1605" t="s">
        <v>986</v>
      </c>
      <c r="DZ289" s="1605" t="s">
        <v>986</v>
      </c>
      <c r="EA289" s="1605" t="s">
        <v>986</v>
      </c>
      <c r="EB289" s="1605" t="s">
        <v>986</v>
      </c>
      <c r="EC289" s="1605" t="s">
        <v>986</v>
      </c>
      <c r="ED289" s="1605" t="s">
        <v>986</v>
      </c>
      <c r="EE289" s="1605" t="s">
        <v>986</v>
      </c>
      <c r="EF289" s="1605" t="s">
        <v>986</v>
      </c>
      <c r="EG289" s="1605" t="s">
        <v>986</v>
      </c>
      <c r="EH289" s="1605" t="s">
        <v>986</v>
      </c>
      <c r="EI289" s="1605" t="s">
        <v>986</v>
      </c>
      <c r="EJ289" s="1605" t="s">
        <v>986</v>
      </c>
      <c r="EK289" s="1605" t="s">
        <v>986</v>
      </c>
      <c r="EL289" s="1605" t="s">
        <v>986</v>
      </c>
      <c r="EM289" s="1605" t="s">
        <v>986</v>
      </c>
      <c r="EN289" s="1605" t="s">
        <v>986</v>
      </c>
      <c r="EO289" s="1605" t="s">
        <v>986</v>
      </c>
      <c r="EP289" s="1605" t="s">
        <v>986</v>
      </c>
      <c r="EQ289" s="1605" t="s">
        <v>986</v>
      </c>
      <c r="ER289" s="1605" t="s">
        <v>986</v>
      </c>
      <c r="ES289" s="1605" t="s">
        <v>986</v>
      </c>
      <c r="ET289" s="1605" t="s">
        <v>986</v>
      </c>
      <c r="EU289" s="1605" t="s">
        <v>986</v>
      </c>
      <c r="EV289" s="1605" t="s">
        <v>986</v>
      </c>
      <c r="EW289" s="1605" t="s">
        <v>986</v>
      </c>
      <c r="EX289" s="1605" t="s">
        <v>986</v>
      </c>
      <c r="EY289" s="1605" t="s">
        <v>986</v>
      </c>
      <c r="EZ289" s="1605" t="s">
        <v>986</v>
      </c>
      <c r="FA289" s="1605" t="s">
        <v>986</v>
      </c>
      <c r="FB289" s="1605" t="s">
        <v>986</v>
      </c>
      <c r="FC289" s="1605" t="s">
        <v>986</v>
      </c>
      <c r="FD289" s="1605" t="s">
        <v>986</v>
      </c>
      <c r="FE289" s="1605" t="s">
        <v>986</v>
      </c>
      <c r="FF289" s="1605" t="s">
        <v>986</v>
      </c>
      <c r="FG289" s="1605" t="s">
        <v>986</v>
      </c>
      <c r="FH289" s="1605" t="s">
        <v>986</v>
      </c>
      <c r="FI289" s="1605" t="s">
        <v>986</v>
      </c>
      <c r="FJ289" s="1605" t="s">
        <v>986</v>
      </c>
      <c r="FK289" s="1605" t="s">
        <v>986</v>
      </c>
      <c r="FL289" s="1605" t="s">
        <v>986</v>
      </c>
      <c r="FM289" s="1605" t="s">
        <v>986</v>
      </c>
      <c r="FN289" s="1605" t="s">
        <v>986</v>
      </c>
      <c r="FO289" s="1605" t="s">
        <v>986</v>
      </c>
      <c r="FP289" s="1605" t="s">
        <v>986</v>
      </c>
      <c r="FQ289" s="1605" t="s">
        <v>986</v>
      </c>
      <c r="FR289" s="1605" t="s">
        <v>986</v>
      </c>
      <c r="FS289" s="1605" t="s">
        <v>986</v>
      </c>
      <c r="FT289" s="1605" t="s">
        <v>986</v>
      </c>
      <c r="FU289" s="1605" t="s">
        <v>986</v>
      </c>
      <c r="FV289" s="1605" t="s">
        <v>986</v>
      </c>
      <c r="FW289" s="1605" t="s">
        <v>986</v>
      </c>
      <c r="FX289" s="1605" t="s">
        <v>986</v>
      </c>
      <c r="FY289" s="1605" t="s">
        <v>986</v>
      </c>
      <c r="FZ289" s="1605" t="s">
        <v>986</v>
      </c>
      <c r="GA289" s="1605" t="s">
        <v>986</v>
      </c>
      <c r="GB289" s="1605" t="s">
        <v>986</v>
      </c>
      <c r="GC289" s="1605" t="s">
        <v>986</v>
      </c>
      <c r="GD289" s="1605" t="s">
        <v>986</v>
      </c>
      <c r="GE289" s="1605" t="s">
        <v>986</v>
      </c>
      <c r="GF289" s="1605" t="s">
        <v>986</v>
      </c>
      <c r="GG289" s="1605" t="s">
        <v>986</v>
      </c>
      <c r="GH289" s="1605" t="s">
        <v>986</v>
      </c>
      <c r="GI289" s="1605" t="s">
        <v>986</v>
      </c>
      <c r="GJ289" s="1605" t="s">
        <v>986</v>
      </c>
      <c r="GK289" s="1605" t="s">
        <v>986</v>
      </c>
      <c r="GL289" s="1605" t="s">
        <v>986</v>
      </c>
      <c r="GM289" s="1605" t="s">
        <v>986</v>
      </c>
      <c r="GN289" s="1605" t="s">
        <v>986</v>
      </c>
      <c r="GO289" s="1605" t="s">
        <v>986</v>
      </c>
      <c r="GP289" s="1605" t="s">
        <v>986</v>
      </c>
      <c r="GQ289" s="1605" t="s">
        <v>986</v>
      </c>
      <c r="GR289" s="1605" t="s">
        <v>986</v>
      </c>
      <c r="GS289" s="1605" t="s">
        <v>986</v>
      </c>
      <c r="GT289" s="1605" t="s">
        <v>986</v>
      </c>
      <c r="GU289" s="1605" t="s">
        <v>986</v>
      </c>
      <c r="GV289" s="1605" t="s">
        <v>986</v>
      </c>
      <c r="GW289" s="1605" t="s">
        <v>986</v>
      </c>
      <c r="GX289" s="1605" t="s">
        <v>986</v>
      </c>
      <c r="GY289" s="1605" t="s">
        <v>986</v>
      </c>
      <c r="GZ289" s="1605" t="s">
        <v>986</v>
      </c>
      <c r="HA289" s="1605" t="s">
        <v>986</v>
      </c>
      <c r="HB289" s="1605" t="s">
        <v>986</v>
      </c>
      <c r="HC289" s="1605" t="s">
        <v>986</v>
      </c>
      <c r="HD289" s="1605" t="s">
        <v>986</v>
      </c>
      <c r="HE289" s="1605" t="s">
        <v>986</v>
      </c>
      <c r="HF289" s="1605" t="s">
        <v>986</v>
      </c>
      <c r="HG289" s="1605" t="s">
        <v>986</v>
      </c>
      <c r="HH289" s="1605" t="s">
        <v>986</v>
      </c>
      <c r="HI289" s="1605" t="s">
        <v>986</v>
      </c>
      <c r="HJ289" s="1605" t="s">
        <v>986</v>
      </c>
      <c r="HK289" s="1605" t="s">
        <v>986</v>
      </c>
      <c r="HL289" s="1605" t="s">
        <v>986</v>
      </c>
      <c r="HM289" s="1605" t="s">
        <v>986</v>
      </c>
      <c r="HN289" s="1605" t="s">
        <v>986</v>
      </c>
      <c r="HO289" s="1605" t="s">
        <v>986</v>
      </c>
      <c r="HP289" s="1605" t="s">
        <v>986</v>
      </c>
      <c r="HQ289" s="1605" t="s">
        <v>986</v>
      </c>
      <c r="HR289" s="1605" t="s">
        <v>986</v>
      </c>
      <c r="HS289" s="1605" t="s">
        <v>986</v>
      </c>
      <c r="HT289" s="1605" t="s">
        <v>986</v>
      </c>
      <c r="HU289" s="1605" t="s">
        <v>986</v>
      </c>
      <c r="HV289" s="1617"/>
      <c r="HW289" s="1617" t="s">
        <v>3039</v>
      </c>
      <c r="HX289" s="1617" t="s">
        <v>3038</v>
      </c>
      <c r="HY289" s="1617" t="s">
        <v>3037</v>
      </c>
      <c r="HZ289" s="1603"/>
      <c r="IA289" s="1603"/>
      <c r="IB289" s="1603"/>
      <c r="IC289" s="1603">
        <v>10</v>
      </c>
      <c r="ID289" s="1603">
        <v>10</v>
      </c>
      <c r="IE289" s="1603">
        <v>10</v>
      </c>
      <c r="IF289" s="1603">
        <v>10</v>
      </c>
      <c r="IG289" s="1611" t="s">
        <v>270</v>
      </c>
      <c r="IH289" s="1616" t="s">
        <v>270</v>
      </c>
      <c r="II289" s="1615" t="s">
        <v>270</v>
      </c>
      <c r="IJ289" s="1613">
        <v>0.63600000000000001</v>
      </c>
      <c r="IK289" s="1613">
        <v>0.63600000000000001</v>
      </c>
      <c r="IL289" s="1614">
        <v>0.63600000000000001</v>
      </c>
      <c r="IM289" s="1614">
        <v>0.63600000000000001</v>
      </c>
      <c r="IN289" s="1612">
        <v>0.63600000000000001</v>
      </c>
      <c r="IO289" s="1613">
        <v>0</v>
      </c>
      <c r="IP289" s="1607" t="s">
        <v>270</v>
      </c>
      <c r="IQ289" s="1612" t="s">
        <v>270</v>
      </c>
      <c r="IR289" s="1612" t="s">
        <v>270</v>
      </c>
      <c r="IS289" s="1607" t="s">
        <v>270</v>
      </c>
      <c r="IT289" s="1607" t="s">
        <v>270</v>
      </c>
      <c r="IU289" s="1611" t="s">
        <v>270</v>
      </c>
      <c r="IV289" s="1611" t="s">
        <v>270</v>
      </c>
      <c r="IW289" s="1611" t="s">
        <v>270</v>
      </c>
      <c r="IX289" s="1611" t="s">
        <v>270</v>
      </c>
      <c r="IY289" s="1611" t="s">
        <v>270</v>
      </c>
      <c r="IZ289" s="1611" t="s">
        <v>270</v>
      </c>
      <c r="JA289" s="1611" t="s">
        <v>270</v>
      </c>
      <c r="JB289" s="1611" t="s">
        <v>270</v>
      </c>
      <c r="JC289" s="1611" t="s">
        <v>270</v>
      </c>
      <c r="JD289" s="1611" t="s">
        <v>270</v>
      </c>
      <c r="JE289" s="1611" t="s">
        <v>270</v>
      </c>
      <c r="JF289" s="1611" t="s">
        <v>270</v>
      </c>
      <c r="JG289" s="1611" t="s">
        <v>270</v>
      </c>
      <c r="JH289" s="1611" t="s">
        <v>270</v>
      </c>
      <c r="JI289" s="1611" t="s">
        <v>270</v>
      </c>
      <c r="JJ289" s="1611" t="s">
        <v>270</v>
      </c>
      <c r="JK289" s="1607" t="str">
        <f t="shared" si="13"/>
        <v/>
      </c>
      <c r="JL289" s="1608" t="s">
        <v>2946</v>
      </c>
      <c r="JM289" s="1610" t="s">
        <v>2945</v>
      </c>
      <c r="JN289" s="1608" t="s">
        <v>270</v>
      </c>
      <c r="JO289" s="1609" t="s">
        <v>270</v>
      </c>
      <c r="JP289" s="1608">
        <v>0.63600000000000001</v>
      </c>
      <c r="JQ289" s="1607" t="s">
        <v>270</v>
      </c>
      <c r="JR289" s="1606" t="s">
        <v>270</v>
      </c>
      <c r="JS289" s="1606" t="s">
        <v>270</v>
      </c>
      <c r="JT289" s="1606" t="s">
        <v>270</v>
      </c>
    </row>
    <row r="290" spans="1:280" ht="15" customHeight="1" x14ac:dyDescent="0.2">
      <c r="A290" s="1626">
        <v>39003</v>
      </c>
      <c r="B290" s="1625">
        <v>390</v>
      </c>
      <c r="C290" s="1624">
        <v>3</v>
      </c>
      <c r="D290" s="1623" t="s">
        <v>3036</v>
      </c>
      <c r="E290" s="1622">
        <v>43039</v>
      </c>
      <c r="F290" s="1620">
        <v>1.0314118440484901</v>
      </c>
      <c r="G290" s="1620">
        <v>1.0360534384378399</v>
      </c>
      <c r="H290" s="1621">
        <v>82.210912650568304</v>
      </c>
      <c r="I290" s="1621">
        <v>77.8211578600461</v>
      </c>
      <c r="J290" s="1621">
        <v>94.971522461697006</v>
      </c>
      <c r="K290" s="1620">
        <v>1</v>
      </c>
      <c r="L290" s="1620">
        <v>91.03</v>
      </c>
      <c r="M290" s="1620">
        <v>32.2513997872</v>
      </c>
      <c r="N290" s="1620">
        <v>3.0099997144000001</v>
      </c>
      <c r="O290" s="1620">
        <v>2.590000238</v>
      </c>
      <c r="P290" s="1620">
        <v>4.4799997172000001</v>
      </c>
      <c r="Q290" s="1603"/>
      <c r="R290" s="1620">
        <v>91.249680978721301</v>
      </c>
      <c r="S290" s="1620">
        <v>20</v>
      </c>
      <c r="T290" s="1620">
        <v>37.0731707317073</v>
      </c>
      <c r="U290" s="1620">
        <v>43.902439024390198</v>
      </c>
      <c r="V290" s="1620">
        <v>50.048780487804898</v>
      </c>
      <c r="W290" s="1620">
        <v>54.146341463414601</v>
      </c>
      <c r="X290" s="1620"/>
      <c r="Y290" s="1620">
        <v>0.69208068768537956</v>
      </c>
      <c r="Z290" s="1620">
        <v>4.9983515610238385</v>
      </c>
      <c r="AA290" s="1620">
        <v>7.6900094474349118E-2</v>
      </c>
      <c r="AB290" s="1620">
        <v>0</v>
      </c>
      <c r="AC290" s="1620">
        <v>5.6135321542348668</v>
      </c>
      <c r="AD290" s="1620">
        <v>1.6802153136328684</v>
      </c>
      <c r="AE290" s="1620">
        <v>0</v>
      </c>
      <c r="AF290" s="1620">
        <v>67.880698670767885</v>
      </c>
      <c r="AG290" s="1620">
        <v>8.0650335054377678</v>
      </c>
      <c r="AH290" s="1620">
        <v>49.062287158079755</v>
      </c>
      <c r="AI290" s="1620">
        <v>53.094803910798639</v>
      </c>
      <c r="AJ290" s="1620">
        <v>0</v>
      </c>
      <c r="AK290" s="1620">
        <v>4.7046028781720317E-2</v>
      </c>
      <c r="AL290" s="1620"/>
      <c r="AM290" s="1620">
        <v>1.28664180295669</v>
      </c>
      <c r="AN290" s="1620">
        <v>0.52785304736684702</v>
      </c>
      <c r="AO290" s="1620">
        <v>0.65981630920856205</v>
      </c>
      <c r="AP290" s="1620">
        <v>92.221187884012096</v>
      </c>
      <c r="AQ290" s="1620">
        <v>0.46517049799203403</v>
      </c>
      <c r="AR290" s="1620">
        <v>1.08869691019412</v>
      </c>
      <c r="AS290" s="1620">
        <v>2.0487296400925801</v>
      </c>
      <c r="AT290" s="1620">
        <v>0.85776120197112704</v>
      </c>
      <c r="AU290" s="1620">
        <v>1.28994088450274</v>
      </c>
      <c r="AV290" s="1620">
        <v>0.923742832891982</v>
      </c>
      <c r="AW290" s="1620">
        <v>1.58685822364659</v>
      </c>
      <c r="AX290" s="1620"/>
      <c r="AY290" s="1620">
        <v>0.81327697753081196</v>
      </c>
      <c r="AZ290" s="1620">
        <v>0.87769495594909397</v>
      </c>
      <c r="BA290" s="1620">
        <v>0.84548596673995302</v>
      </c>
      <c r="BB290" s="1620">
        <v>1.0918924532860701</v>
      </c>
      <c r="BC290" s="1620">
        <v>0.91795619246052096</v>
      </c>
      <c r="BD290" s="1620">
        <v>0.84548596673995302</v>
      </c>
      <c r="BE290" s="1620">
        <v>0.82938147213538305</v>
      </c>
      <c r="BF290" s="1620">
        <v>0.87769495594909397</v>
      </c>
      <c r="BG290" s="1620">
        <v>0.88574720325137901</v>
      </c>
      <c r="BH290" s="1620">
        <v>0.83743371943766798</v>
      </c>
      <c r="BI290" s="1620">
        <v>0.82938147213538305</v>
      </c>
      <c r="BJ290" s="1603"/>
      <c r="BK290" s="1620">
        <v>35.429418639129956</v>
      </c>
      <c r="BL290" s="1620">
        <v>3.3066019053059432</v>
      </c>
      <c r="BM290" s="1620">
        <v>2.8452161243546086</v>
      </c>
      <c r="BN290" s="1620">
        <v>4.9214541548939907</v>
      </c>
      <c r="BO290" s="1620"/>
      <c r="BP290" s="1620">
        <v>30</v>
      </c>
      <c r="BQ290" s="1620">
        <v>9.9198057159178195</v>
      </c>
      <c r="BR290" s="1620">
        <v>1.133046077170702</v>
      </c>
      <c r="BS290" s="1620">
        <v>1.1381450493659673</v>
      </c>
      <c r="BT290" s="1603"/>
      <c r="BU290" s="1620">
        <v>971.54783875645398</v>
      </c>
      <c r="BV290" s="1620">
        <v>383.3100715609645</v>
      </c>
      <c r="BW290" s="1620">
        <v>60.926525420037684</v>
      </c>
      <c r="BX290" s="1620" t="s">
        <v>270</v>
      </c>
      <c r="BY290" s="1620" t="s">
        <v>270</v>
      </c>
      <c r="BZ290" s="1620">
        <v>47.718114907173465</v>
      </c>
      <c r="CA290" s="1620">
        <v>87.371196308909049</v>
      </c>
      <c r="CB290" s="1603"/>
      <c r="CC290" s="1603">
        <v>0.63000105000000106</v>
      </c>
      <c r="CD290" s="1603">
        <v>4.5499994260000003</v>
      </c>
      <c r="CE290" s="1603">
        <v>7.0002155999999996E-2</v>
      </c>
      <c r="CF290" s="1603">
        <v>0</v>
      </c>
      <c r="CG290" s="1603">
        <v>5.109998319999999</v>
      </c>
      <c r="CH290" s="1603">
        <v>1.5295000000000001</v>
      </c>
      <c r="CI290" s="1603">
        <v>0</v>
      </c>
      <c r="CJ290" s="1603"/>
      <c r="CK290" s="1603">
        <v>61.791800000000002</v>
      </c>
      <c r="CL290" s="1603">
        <v>7.3415999999999997</v>
      </c>
      <c r="CM290" s="1603">
        <v>44.6614</v>
      </c>
      <c r="CN290" s="1603">
        <v>48.3322</v>
      </c>
      <c r="CO290" s="1603">
        <v>0</v>
      </c>
      <c r="CP290" s="1603">
        <v>4.2826000000000003E-2</v>
      </c>
      <c r="CQ290" s="1603">
        <v>294.29299416992001</v>
      </c>
      <c r="CR290" s="1603">
        <v>285.33024501130734</v>
      </c>
      <c r="CS290" s="1603">
        <v>2.9856847176251486</v>
      </c>
      <c r="CT290" s="1603">
        <v>1.3219177830764857</v>
      </c>
      <c r="CU290" s="1603">
        <v>1.5917587984292583</v>
      </c>
      <c r="CV290" s="1603">
        <v>2.9136765815057442</v>
      </c>
      <c r="CW290" s="1603">
        <v>287.31505664697318</v>
      </c>
      <c r="CX290" s="1603">
        <v>1.2183776631405647</v>
      </c>
      <c r="CY290" s="1603">
        <v>2.6264020174082621</v>
      </c>
      <c r="CZ290" s="1603">
        <v>4.8482699059014562</v>
      </c>
      <c r="DA290" s="1603">
        <v>2.1481163974992881</v>
      </c>
      <c r="DB290" s="1603">
        <v>3.2600736152591523</v>
      </c>
      <c r="DC290" s="1603">
        <v>2.2072388671552243</v>
      </c>
      <c r="DD290" s="1603">
        <v>5.4673124824143864</v>
      </c>
      <c r="DE290" s="1603">
        <v>3.7552621976467111</v>
      </c>
      <c r="DF290" s="1603">
        <v>0</v>
      </c>
      <c r="DG290" s="1603">
        <v>0</v>
      </c>
      <c r="DH290" s="1603">
        <v>0</v>
      </c>
      <c r="DI290" s="1603">
        <v>0</v>
      </c>
      <c r="DJ290" s="1603">
        <v>0</v>
      </c>
      <c r="DK290" s="1603">
        <v>0</v>
      </c>
      <c r="DL290" s="1603">
        <v>0</v>
      </c>
      <c r="DM290" s="1603">
        <v>0</v>
      </c>
      <c r="DN290" s="1603">
        <v>0</v>
      </c>
      <c r="DO290" s="1603">
        <v>0</v>
      </c>
      <c r="DP290" s="1603">
        <v>0</v>
      </c>
      <c r="DQ290" s="1603">
        <v>0</v>
      </c>
      <c r="DR290" s="1603">
        <v>0</v>
      </c>
      <c r="DS290" s="1603">
        <v>0</v>
      </c>
      <c r="DT290" s="1603">
        <v>0</v>
      </c>
      <c r="DU290" s="1603">
        <v>0</v>
      </c>
      <c r="DV290" s="1603">
        <v>0</v>
      </c>
      <c r="DW290" s="1618" t="s">
        <v>986</v>
      </c>
      <c r="DX290" s="1605" t="s">
        <v>986</v>
      </c>
      <c r="DY290" s="1605" t="s">
        <v>986</v>
      </c>
      <c r="DZ290" s="1605" t="s">
        <v>986</v>
      </c>
      <c r="EA290" s="1605" t="s">
        <v>986</v>
      </c>
      <c r="EB290" s="1605" t="s">
        <v>986</v>
      </c>
      <c r="EC290" s="1605" t="s">
        <v>986</v>
      </c>
      <c r="ED290" s="1605" t="s">
        <v>986</v>
      </c>
      <c r="EE290" s="1605" t="s">
        <v>986</v>
      </c>
      <c r="EF290" s="1605" t="s">
        <v>986</v>
      </c>
      <c r="EG290" s="1605" t="s">
        <v>986</v>
      </c>
      <c r="EH290" s="1605" t="s">
        <v>986</v>
      </c>
      <c r="EI290" s="1605" t="s">
        <v>986</v>
      </c>
      <c r="EJ290" s="1605" t="s">
        <v>986</v>
      </c>
      <c r="EK290" s="1605" t="s">
        <v>986</v>
      </c>
      <c r="EL290" s="1605" t="s">
        <v>986</v>
      </c>
      <c r="EM290" s="1605" t="s">
        <v>986</v>
      </c>
      <c r="EN290" s="1605" t="s">
        <v>986</v>
      </c>
      <c r="EO290" s="1605" t="s">
        <v>986</v>
      </c>
      <c r="EP290" s="1605" t="s">
        <v>986</v>
      </c>
      <c r="EQ290" s="1605" t="s">
        <v>986</v>
      </c>
      <c r="ER290" s="1605" t="s">
        <v>986</v>
      </c>
      <c r="ES290" s="1605" t="s">
        <v>986</v>
      </c>
      <c r="ET290" s="1605" t="s">
        <v>986</v>
      </c>
      <c r="EU290" s="1605" t="s">
        <v>986</v>
      </c>
      <c r="EV290" s="1605" t="s">
        <v>986</v>
      </c>
      <c r="EW290" s="1605" t="s">
        <v>986</v>
      </c>
      <c r="EX290" s="1605" t="s">
        <v>986</v>
      </c>
      <c r="EY290" s="1605" t="s">
        <v>986</v>
      </c>
      <c r="EZ290" s="1605" t="s">
        <v>986</v>
      </c>
      <c r="FA290" s="1605" t="s">
        <v>986</v>
      </c>
      <c r="FB290" s="1605" t="s">
        <v>986</v>
      </c>
      <c r="FC290" s="1605" t="s">
        <v>986</v>
      </c>
      <c r="FD290" s="1605" t="s">
        <v>986</v>
      </c>
      <c r="FE290" s="1605" t="s">
        <v>986</v>
      </c>
      <c r="FF290" s="1605" t="s">
        <v>986</v>
      </c>
      <c r="FG290" s="1605" t="s">
        <v>986</v>
      </c>
      <c r="FH290" s="1605" t="s">
        <v>986</v>
      </c>
      <c r="FI290" s="1605" t="s">
        <v>986</v>
      </c>
      <c r="FJ290" s="1605" t="s">
        <v>986</v>
      </c>
      <c r="FK290" s="1605" t="s">
        <v>986</v>
      </c>
      <c r="FL290" s="1605" t="s">
        <v>986</v>
      </c>
      <c r="FM290" s="1605" t="s">
        <v>986</v>
      </c>
      <c r="FN290" s="1605" t="s">
        <v>986</v>
      </c>
      <c r="FO290" s="1605" t="s">
        <v>986</v>
      </c>
      <c r="FP290" s="1605" t="s">
        <v>986</v>
      </c>
      <c r="FQ290" s="1605" t="s">
        <v>986</v>
      </c>
      <c r="FR290" s="1605" t="s">
        <v>986</v>
      </c>
      <c r="FS290" s="1605" t="s">
        <v>986</v>
      </c>
      <c r="FT290" s="1605" t="s">
        <v>986</v>
      </c>
      <c r="FU290" s="1605" t="s">
        <v>986</v>
      </c>
      <c r="FV290" s="1605" t="s">
        <v>986</v>
      </c>
      <c r="FW290" s="1605" t="s">
        <v>986</v>
      </c>
      <c r="FX290" s="1605" t="s">
        <v>986</v>
      </c>
      <c r="FY290" s="1605" t="s">
        <v>986</v>
      </c>
      <c r="FZ290" s="1605" t="s">
        <v>986</v>
      </c>
      <c r="GA290" s="1605" t="s">
        <v>986</v>
      </c>
      <c r="GB290" s="1605" t="s">
        <v>986</v>
      </c>
      <c r="GC290" s="1605" t="s">
        <v>986</v>
      </c>
      <c r="GD290" s="1605" t="s">
        <v>986</v>
      </c>
      <c r="GE290" s="1605" t="s">
        <v>986</v>
      </c>
      <c r="GF290" s="1605" t="s">
        <v>986</v>
      </c>
      <c r="GG290" s="1605" t="s">
        <v>986</v>
      </c>
      <c r="GH290" s="1605" t="s">
        <v>986</v>
      </c>
      <c r="GI290" s="1605" t="s">
        <v>986</v>
      </c>
      <c r="GJ290" s="1605" t="s">
        <v>986</v>
      </c>
      <c r="GK290" s="1605" t="s">
        <v>986</v>
      </c>
      <c r="GL290" s="1605" t="s">
        <v>986</v>
      </c>
      <c r="GM290" s="1605" t="s">
        <v>986</v>
      </c>
      <c r="GN290" s="1605" t="s">
        <v>986</v>
      </c>
      <c r="GO290" s="1605" t="s">
        <v>986</v>
      </c>
      <c r="GP290" s="1605" t="s">
        <v>986</v>
      </c>
      <c r="GQ290" s="1605" t="s">
        <v>986</v>
      </c>
      <c r="GR290" s="1605" t="s">
        <v>986</v>
      </c>
      <c r="GS290" s="1605" t="s">
        <v>986</v>
      </c>
      <c r="GT290" s="1605" t="s">
        <v>986</v>
      </c>
      <c r="GU290" s="1605" t="s">
        <v>986</v>
      </c>
      <c r="GV290" s="1605" t="s">
        <v>986</v>
      </c>
      <c r="GW290" s="1605" t="s">
        <v>986</v>
      </c>
      <c r="GX290" s="1605" t="s">
        <v>986</v>
      </c>
      <c r="GY290" s="1605" t="s">
        <v>986</v>
      </c>
      <c r="GZ290" s="1605" t="s">
        <v>986</v>
      </c>
      <c r="HA290" s="1605" t="s">
        <v>986</v>
      </c>
      <c r="HB290" s="1605" t="s">
        <v>986</v>
      </c>
      <c r="HC290" s="1605" t="s">
        <v>986</v>
      </c>
      <c r="HD290" s="1605" t="s">
        <v>986</v>
      </c>
      <c r="HE290" s="1605" t="s">
        <v>986</v>
      </c>
      <c r="HF290" s="1605" t="s">
        <v>986</v>
      </c>
      <c r="HG290" s="1605" t="s">
        <v>986</v>
      </c>
      <c r="HH290" s="1605" t="s">
        <v>986</v>
      </c>
      <c r="HI290" s="1605" t="s">
        <v>986</v>
      </c>
      <c r="HJ290" s="1605" t="s">
        <v>986</v>
      </c>
      <c r="HK290" s="1605" t="s">
        <v>986</v>
      </c>
      <c r="HL290" s="1605" t="s">
        <v>986</v>
      </c>
      <c r="HM290" s="1605" t="s">
        <v>986</v>
      </c>
      <c r="HN290" s="1605" t="s">
        <v>986</v>
      </c>
      <c r="HO290" s="1605" t="s">
        <v>986</v>
      </c>
      <c r="HP290" s="1605" t="s">
        <v>986</v>
      </c>
      <c r="HQ290" s="1605" t="s">
        <v>986</v>
      </c>
      <c r="HR290" s="1605" t="s">
        <v>986</v>
      </c>
      <c r="HS290" s="1605" t="s">
        <v>986</v>
      </c>
      <c r="HT290" s="1605" t="s">
        <v>986</v>
      </c>
      <c r="HU290" s="1605" t="s">
        <v>986</v>
      </c>
      <c r="HV290" s="1617"/>
      <c r="HW290" s="1617">
        <v>0</v>
      </c>
      <c r="HX290" s="1617">
        <v>0</v>
      </c>
      <c r="HY290" s="1617">
        <v>0</v>
      </c>
      <c r="HZ290" s="1603"/>
      <c r="IA290" s="1603"/>
      <c r="IB290" s="1603"/>
      <c r="IC290" s="1603">
        <v>57.219512195122</v>
      </c>
      <c r="ID290" s="1603">
        <v>59.268292682926798</v>
      </c>
      <c r="IE290" s="1603">
        <v>60.975609756097597</v>
      </c>
      <c r="IF290" s="1603">
        <v>62</v>
      </c>
      <c r="IG290" s="1611" t="s">
        <v>2932</v>
      </c>
      <c r="IH290" s="1616" t="s">
        <v>270</v>
      </c>
      <c r="II290" s="1615" t="s">
        <v>270</v>
      </c>
      <c r="IJ290" s="1613">
        <v>1.3101818181818183</v>
      </c>
      <c r="IK290" s="1613">
        <v>1.301848484848485</v>
      </c>
      <c r="IL290" s="1614">
        <v>1.3101818181818183</v>
      </c>
      <c r="IM290" s="1614">
        <v>1.301848484848485</v>
      </c>
      <c r="IN290" s="1612" t="s">
        <v>270</v>
      </c>
      <c r="IO290" s="1613" t="s">
        <v>270</v>
      </c>
      <c r="IP290" s="1607" t="s">
        <v>270</v>
      </c>
      <c r="IQ290" s="1612" t="s">
        <v>270</v>
      </c>
      <c r="IR290" s="1612" t="s">
        <v>270</v>
      </c>
      <c r="IS290" s="1607">
        <v>1.1881818181818182</v>
      </c>
      <c r="IT290" s="1607">
        <v>1.1798484848484849</v>
      </c>
      <c r="IU290" s="1611">
        <v>0</v>
      </c>
      <c r="IV290" s="1611">
        <v>7.7767676767676763E-2</v>
      </c>
      <c r="IW290" s="1611">
        <v>9.0909090909090909E-4</v>
      </c>
      <c r="IX290" s="1611">
        <v>1.6060606060606061E-3</v>
      </c>
      <c r="IY290" s="1611">
        <v>9.6969696969696957E-4</v>
      </c>
      <c r="IZ290" s="1611">
        <v>5.9898989898989896E-3</v>
      </c>
      <c r="JA290" s="1611">
        <v>6.0606060606060598E-5</v>
      </c>
      <c r="JB290" s="1611" t="s">
        <v>270</v>
      </c>
      <c r="JC290" s="1611">
        <v>9.9026969696969704</v>
      </c>
      <c r="JD290" s="1611">
        <v>5.2121212121212122E-3</v>
      </c>
      <c r="JE290" s="1611" t="s">
        <v>270</v>
      </c>
      <c r="JF290" s="1611">
        <v>8.2828282828282835E-4</v>
      </c>
      <c r="JG290" s="1611">
        <v>0.57978787878787885</v>
      </c>
      <c r="JH290" s="1611">
        <v>7.646464646464647E-3</v>
      </c>
      <c r="JI290" s="1611">
        <v>0.3</v>
      </c>
      <c r="JJ290" s="1611" t="s">
        <v>270</v>
      </c>
      <c r="JK290" s="1607">
        <f t="shared" si="13"/>
        <v>0.12200000000000011</v>
      </c>
      <c r="JL290" s="1608" t="s">
        <v>270</v>
      </c>
      <c r="JM290" s="1610" t="s">
        <v>2924</v>
      </c>
      <c r="JN290" s="1608">
        <v>8.3333333333333037E-3</v>
      </c>
      <c r="JO290" s="1609" t="s">
        <v>2931</v>
      </c>
      <c r="JP290" s="1608" t="s">
        <v>270</v>
      </c>
      <c r="JQ290" s="1607">
        <v>202103</v>
      </c>
      <c r="JR290" s="1606">
        <v>851</v>
      </c>
      <c r="JS290" s="1606">
        <v>774</v>
      </c>
      <c r="JT290" s="1606">
        <v>774</v>
      </c>
    </row>
    <row r="291" spans="1:280" ht="15" customHeight="1" x14ac:dyDescent="0.2">
      <c r="A291" s="1626">
        <v>39104</v>
      </c>
      <c r="B291" s="1625">
        <v>391</v>
      </c>
      <c r="C291" s="1624">
        <v>4</v>
      </c>
      <c r="D291" s="1623" t="s">
        <v>3035</v>
      </c>
      <c r="E291" s="1622">
        <v>43039</v>
      </c>
      <c r="F291" s="1620">
        <v>1.13840946301624</v>
      </c>
      <c r="G291" s="1620">
        <v>1.1250112045315299</v>
      </c>
      <c r="H291" s="1621">
        <v>87.403419079323001</v>
      </c>
      <c r="I291" s="1621">
        <v>84.568218298555394</v>
      </c>
      <c r="J291" s="1621">
        <v>97.288398261818301</v>
      </c>
      <c r="K291" s="1620">
        <v>1</v>
      </c>
      <c r="L291" s="1620">
        <v>93.45</v>
      </c>
      <c r="M291" s="1620">
        <v>43.618999848000001</v>
      </c>
      <c r="N291" s="1620">
        <v>2.1499997959999999</v>
      </c>
      <c r="O291" s="1620">
        <v>1.8500001699999999</v>
      </c>
      <c r="P291" s="1620">
        <v>3.1999997979999999</v>
      </c>
      <c r="Q291" s="1603"/>
      <c r="R291" s="1620">
        <v>95.378651537760007</v>
      </c>
      <c r="S291" s="1620">
        <v>20</v>
      </c>
      <c r="T291" s="1620">
        <v>37.0731707317073</v>
      </c>
      <c r="U291" s="1620">
        <v>43.902439024390198</v>
      </c>
      <c r="V291" s="1620">
        <v>50.048780487804898</v>
      </c>
      <c r="W291" s="1620">
        <v>54.146341463414601</v>
      </c>
      <c r="X291" s="1620"/>
      <c r="Y291" s="1620">
        <v>0.48154173354735258</v>
      </c>
      <c r="Z291" s="1620">
        <v>3.4777951738897803</v>
      </c>
      <c r="AA291" s="1620">
        <v>5.3506195826645259E-2</v>
      </c>
      <c r="AB291" s="1620">
        <v>0</v>
      </c>
      <c r="AC291" s="1620">
        <v>3.9058307116104869</v>
      </c>
      <c r="AD291" s="1620">
        <v>1.1690743713215623</v>
      </c>
      <c r="AE291" s="1620">
        <v>0</v>
      </c>
      <c r="AF291" s="1620">
        <v>47.230604601391114</v>
      </c>
      <c r="AG291" s="1620">
        <v>5.6115569823434992</v>
      </c>
      <c r="AH291" s="1620">
        <v>34.136971642589621</v>
      </c>
      <c r="AI291" s="1620">
        <v>36.942750133761372</v>
      </c>
      <c r="AJ291" s="1620">
        <v>0</v>
      </c>
      <c r="AK291" s="1620">
        <v>3.2734082397003851E-2</v>
      </c>
      <c r="AL291" s="1620"/>
      <c r="AM291" s="1620">
        <v>0.67952038126704395</v>
      </c>
      <c r="AN291" s="1620">
        <v>0.27877759231468402</v>
      </c>
      <c r="AO291" s="1620">
        <v>0.34847199039335702</v>
      </c>
      <c r="AP291" s="1620">
        <v>112.878883437401</v>
      </c>
      <c r="AQ291" s="1620">
        <v>0.24567275322731499</v>
      </c>
      <c r="AR291" s="1620">
        <v>0.57497878414903503</v>
      </c>
      <c r="AS291" s="1620">
        <v>1.08200553017137</v>
      </c>
      <c r="AT291" s="1620">
        <v>0.453013587511361</v>
      </c>
      <c r="AU291" s="1620">
        <v>0.68126274121900998</v>
      </c>
      <c r="AV291" s="1620">
        <v>0.48786078655069698</v>
      </c>
      <c r="AW291" s="1620">
        <v>0.83807513689601998</v>
      </c>
      <c r="AX291" s="1620"/>
      <c r="AY291" s="1620">
        <v>0.77806997216400497</v>
      </c>
      <c r="AZ291" s="1620">
        <v>0.83969927688986701</v>
      </c>
      <c r="BA291" s="1620">
        <v>0.80888462452693599</v>
      </c>
      <c r="BB291" s="1620">
        <v>1.0468006992691601</v>
      </c>
      <c r="BC291" s="1620">
        <v>0.87821759234353103</v>
      </c>
      <c r="BD291" s="1620">
        <v>0.80888462452693599</v>
      </c>
      <c r="BE291" s="1620">
        <v>0.79347729834547098</v>
      </c>
      <c r="BF291" s="1620">
        <v>0.83969927688986701</v>
      </c>
      <c r="BG291" s="1620">
        <v>0.84740293998060001</v>
      </c>
      <c r="BH291" s="1620">
        <v>0.80118096143620399</v>
      </c>
      <c r="BI291" s="1620">
        <v>0.79347729834547098</v>
      </c>
      <c r="BJ291" s="1603"/>
      <c r="BK291" s="1620">
        <v>46.676297322632429</v>
      </c>
      <c r="BL291" s="1620">
        <v>2.3006953408239696</v>
      </c>
      <c r="BM291" s="1620">
        <v>1.9796684537185658</v>
      </c>
      <c r="BN291" s="1620">
        <v>3.4242908485821295</v>
      </c>
      <c r="BO291" s="1620"/>
      <c r="BP291" s="1620">
        <v>0</v>
      </c>
      <c r="BQ291" s="1620">
        <v>0</v>
      </c>
      <c r="BR291" s="1620">
        <v>1.2182016725695453</v>
      </c>
      <c r="BS291" s="1620">
        <v>1.2038643173157089</v>
      </c>
      <c r="BT291" s="1603"/>
      <c r="BU291" s="1620">
        <v>980.20331546281432</v>
      </c>
      <c r="BV291" s="1620">
        <v>369.95911541127447</v>
      </c>
      <c r="BW291" s="1620">
        <v>39.701045790159547</v>
      </c>
      <c r="BX291" s="1620">
        <v>269.35473515248793</v>
      </c>
      <c r="BY291" s="1620">
        <v>16.834670947030496</v>
      </c>
      <c r="BZ291" s="1620">
        <v>33.201712145532369</v>
      </c>
      <c r="CA291" s="1620">
        <v>60.791867308721237</v>
      </c>
      <c r="CB291" s="1603"/>
      <c r="CC291" s="1603">
        <v>0.450000750000001</v>
      </c>
      <c r="CD291" s="1603">
        <v>3.2499995899999998</v>
      </c>
      <c r="CE291" s="1603">
        <v>5.0001539999999997E-2</v>
      </c>
      <c r="CF291" s="1603">
        <v>0</v>
      </c>
      <c r="CG291" s="1603">
        <v>3.6499988000000001</v>
      </c>
      <c r="CH291" s="1603">
        <v>1.0925</v>
      </c>
      <c r="CI291" s="1603">
        <v>0</v>
      </c>
      <c r="CJ291" s="1603"/>
      <c r="CK291" s="1603">
        <v>44.136999999999993</v>
      </c>
      <c r="CL291" s="1603">
        <v>5.2439999999999998</v>
      </c>
      <c r="CM291" s="1603">
        <v>31.901</v>
      </c>
      <c r="CN291" s="1603">
        <v>34.523000000000003</v>
      </c>
      <c r="CO291" s="1603">
        <v>0</v>
      </c>
      <c r="CP291" s="1603">
        <v>3.05900000000001E-2</v>
      </c>
      <c r="CQ291" s="1603">
        <v>416.0321386928</v>
      </c>
      <c r="CR291" s="1603">
        <v>365.4503517482313</v>
      </c>
      <c r="CS291" s="1603">
        <v>1.9321886496634131</v>
      </c>
      <c r="CT291" s="1603">
        <v>0.85548032622822723</v>
      </c>
      <c r="CU291" s="1603">
        <v>1.0301081909858307</v>
      </c>
      <c r="CV291" s="1603">
        <v>1.8855885172140547</v>
      </c>
      <c r="CW291" s="1603">
        <v>431.82232677491032</v>
      </c>
      <c r="CX291" s="1603">
        <v>0.78847424104314745</v>
      </c>
      <c r="CY291" s="1603">
        <v>1.6996785151266063</v>
      </c>
      <c r="CZ291" s="1603">
        <v>3.1375623914298187</v>
      </c>
      <c r="DA291" s="1603">
        <v>1.3901555301208646</v>
      </c>
      <c r="DB291" s="1603">
        <v>2.109759680680964</v>
      </c>
      <c r="DC291" s="1603">
        <v>1.4284166915003433</v>
      </c>
      <c r="DD291" s="1603">
        <v>3.5381763721813067</v>
      </c>
      <c r="DE291" s="1603">
        <v>2.4302214336195598</v>
      </c>
      <c r="DF291" s="1603">
        <v>0</v>
      </c>
      <c r="DG291" s="1603">
        <v>0</v>
      </c>
      <c r="DH291" s="1603">
        <v>0</v>
      </c>
      <c r="DI291" s="1603">
        <v>0</v>
      </c>
      <c r="DJ291" s="1603">
        <v>0</v>
      </c>
      <c r="DK291" s="1603">
        <v>0</v>
      </c>
      <c r="DL291" s="1603">
        <v>0</v>
      </c>
      <c r="DM291" s="1603">
        <v>0</v>
      </c>
      <c r="DN291" s="1603">
        <v>0</v>
      </c>
      <c r="DO291" s="1603">
        <v>0</v>
      </c>
      <c r="DP291" s="1603">
        <v>0</v>
      </c>
      <c r="DQ291" s="1603">
        <v>0</v>
      </c>
      <c r="DR291" s="1603">
        <v>0</v>
      </c>
      <c r="DS291" s="1603">
        <v>0</v>
      </c>
      <c r="DT291" s="1603">
        <v>0</v>
      </c>
      <c r="DU291" s="1603">
        <v>0</v>
      </c>
      <c r="DV291" s="1603">
        <v>0</v>
      </c>
      <c r="DW291" s="1618" t="s">
        <v>986</v>
      </c>
      <c r="DX291" s="1605" t="s">
        <v>986</v>
      </c>
      <c r="DY291" s="1605" t="s">
        <v>986</v>
      </c>
      <c r="DZ291" s="1605" t="s">
        <v>986</v>
      </c>
      <c r="EA291" s="1605" t="s">
        <v>986</v>
      </c>
      <c r="EB291" s="1605" t="s">
        <v>986</v>
      </c>
      <c r="EC291" s="1605" t="s">
        <v>986</v>
      </c>
      <c r="ED291" s="1605" t="s">
        <v>986</v>
      </c>
      <c r="EE291" s="1605" t="s">
        <v>986</v>
      </c>
      <c r="EF291" s="1605" t="s">
        <v>986</v>
      </c>
      <c r="EG291" s="1605" t="s">
        <v>986</v>
      </c>
      <c r="EH291" s="1605" t="s">
        <v>986</v>
      </c>
      <c r="EI291" s="1605" t="s">
        <v>986</v>
      </c>
      <c r="EJ291" s="1605" t="s">
        <v>986</v>
      </c>
      <c r="EK291" s="1605" t="s">
        <v>986</v>
      </c>
      <c r="EL291" s="1605" t="s">
        <v>986</v>
      </c>
      <c r="EM291" s="1605" t="s">
        <v>986</v>
      </c>
      <c r="EN291" s="1605" t="s">
        <v>986</v>
      </c>
      <c r="EO291" s="1605" t="s">
        <v>986</v>
      </c>
      <c r="EP291" s="1605" t="s">
        <v>986</v>
      </c>
      <c r="EQ291" s="1605" t="s">
        <v>986</v>
      </c>
      <c r="ER291" s="1605" t="s">
        <v>986</v>
      </c>
      <c r="ES291" s="1605" t="s">
        <v>986</v>
      </c>
      <c r="ET291" s="1605" t="s">
        <v>986</v>
      </c>
      <c r="EU291" s="1605" t="s">
        <v>986</v>
      </c>
      <c r="EV291" s="1605" t="s">
        <v>986</v>
      </c>
      <c r="EW291" s="1605" t="s">
        <v>986</v>
      </c>
      <c r="EX291" s="1605" t="s">
        <v>986</v>
      </c>
      <c r="EY291" s="1605" t="s">
        <v>986</v>
      </c>
      <c r="EZ291" s="1605" t="s">
        <v>986</v>
      </c>
      <c r="FA291" s="1605" t="s">
        <v>986</v>
      </c>
      <c r="FB291" s="1605" t="s">
        <v>986</v>
      </c>
      <c r="FC291" s="1605" t="s">
        <v>986</v>
      </c>
      <c r="FD291" s="1605" t="s">
        <v>986</v>
      </c>
      <c r="FE291" s="1605" t="s">
        <v>986</v>
      </c>
      <c r="FF291" s="1605" t="s">
        <v>986</v>
      </c>
      <c r="FG291" s="1605" t="s">
        <v>986</v>
      </c>
      <c r="FH291" s="1605" t="s">
        <v>986</v>
      </c>
      <c r="FI291" s="1605" t="s">
        <v>986</v>
      </c>
      <c r="FJ291" s="1605" t="s">
        <v>986</v>
      </c>
      <c r="FK291" s="1605" t="s">
        <v>986</v>
      </c>
      <c r="FL291" s="1605" t="s">
        <v>986</v>
      </c>
      <c r="FM291" s="1605" t="s">
        <v>986</v>
      </c>
      <c r="FN291" s="1605" t="s">
        <v>986</v>
      </c>
      <c r="FO291" s="1605" t="s">
        <v>986</v>
      </c>
      <c r="FP291" s="1605" t="s">
        <v>986</v>
      </c>
      <c r="FQ291" s="1605" t="s">
        <v>986</v>
      </c>
      <c r="FR291" s="1605" t="s">
        <v>986</v>
      </c>
      <c r="FS291" s="1605" t="s">
        <v>986</v>
      </c>
      <c r="FT291" s="1605" t="s">
        <v>986</v>
      </c>
      <c r="FU291" s="1605" t="s">
        <v>986</v>
      </c>
      <c r="FV291" s="1605" t="s">
        <v>986</v>
      </c>
      <c r="FW291" s="1605" t="s">
        <v>986</v>
      </c>
      <c r="FX291" s="1605" t="s">
        <v>986</v>
      </c>
      <c r="FY291" s="1605" t="s">
        <v>986</v>
      </c>
      <c r="FZ291" s="1605" t="s">
        <v>986</v>
      </c>
      <c r="GA291" s="1605" t="s">
        <v>986</v>
      </c>
      <c r="GB291" s="1605" t="s">
        <v>986</v>
      </c>
      <c r="GC291" s="1605" t="s">
        <v>986</v>
      </c>
      <c r="GD291" s="1605" t="s">
        <v>986</v>
      </c>
      <c r="GE291" s="1605" t="s">
        <v>986</v>
      </c>
      <c r="GF291" s="1605" t="s">
        <v>986</v>
      </c>
      <c r="GG291" s="1605" t="s">
        <v>986</v>
      </c>
      <c r="GH291" s="1605" t="s">
        <v>986</v>
      </c>
      <c r="GI291" s="1605" t="s">
        <v>986</v>
      </c>
      <c r="GJ291" s="1605" t="s">
        <v>986</v>
      </c>
      <c r="GK291" s="1605" t="s">
        <v>986</v>
      </c>
      <c r="GL291" s="1605" t="s">
        <v>986</v>
      </c>
      <c r="GM291" s="1605" t="s">
        <v>986</v>
      </c>
      <c r="GN291" s="1605" t="s">
        <v>986</v>
      </c>
      <c r="GO291" s="1605" t="s">
        <v>986</v>
      </c>
      <c r="GP291" s="1605" t="s">
        <v>986</v>
      </c>
      <c r="GQ291" s="1605" t="s">
        <v>986</v>
      </c>
      <c r="GR291" s="1605" t="s">
        <v>986</v>
      </c>
      <c r="GS291" s="1605" t="s">
        <v>986</v>
      </c>
      <c r="GT291" s="1605" t="s">
        <v>986</v>
      </c>
      <c r="GU291" s="1605" t="s">
        <v>986</v>
      </c>
      <c r="GV291" s="1605" t="s">
        <v>986</v>
      </c>
      <c r="GW291" s="1605" t="s">
        <v>986</v>
      </c>
      <c r="GX291" s="1605" t="s">
        <v>986</v>
      </c>
      <c r="GY291" s="1605" t="s">
        <v>986</v>
      </c>
      <c r="GZ291" s="1605" t="s">
        <v>986</v>
      </c>
      <c r="HA291" s="1605" t="s">
        <v>986</v>
      </c>
      <c r="HB291" s="1605" t="s">
        <v>986</v>
      </c>
      <c r="HC291" s="1605" t="s">
        <v>986</v>
      </c>
      <c r="HD291" s="1605" t="s">
        <v>986</v>
      </c>
      <c r="HE291" s="1605" t="s">
        <v>986</v>
      </c>
      <c r="HF291" s="1605" t="s">
        <v>986</v>
      </c>
      <c r="HG291" s="1605" t="s">
        <v>986</v>
      </c>
      <c r="HH291" s="1605" t="s">
        <v>986</v>
      </c>
      <c r="HI291" s="1605" t="s">
        <v>986</v>
      </c>
      <c r="HJ291" s="1605" t="s">
        <v>986</v>
      </c>
      <c r="HK291" s="1605" t="s">
        <v>986</v>
      </c>
      <c r="HL291" s="1605" t="s">
        <v>986</v>
      </c>
      <c r="HM291" s="1605" t="s">
        <v>986</v>
      </c>
      <c r="HN291" s="1605" t="s">
        <v>986</v>
      </c>
      <c r="HO291" s="1605" t="s">
        <v>986</v>
      </c>
      <c r="HP291" s="1605" t="s">
        <v>986</v>
      </c>
      <c r="HQ291" s="1605" t="s">
        <v>986</v>
      </c>
      <c r="HR291" s="1605" t="s">
        <v>986</v>
      </c>
      <c r="HS291" s="1605" t="s">
        <v>986</v>
      </c>
      <c r="HT291" s="1605" t="s">
        <v>986</v>
      </c>
      <c r="HU291" s="1605" t="s">
        <v>986</v>
      </c>
      <c r="HV291" s="1617"/>
      <c r="HW291" s="1617">
        <v>0</v>
      </c>
      <c r="HX291" s="1617">
        <v>0</v>
      </c>
      <c r="HY291" s="1617">
        <v>0</v>
      </c>
      <c r="HZ291" s="1603"/>
      <c r="IA291" s="1603"/>
      <c r="IB291" s="1603"/>
      <c r="IC291" s="1603">
        <v>57.219512195122</v>
      </c>
      <c r="ID291" s="1603">
        <v>59.268292682926798</v>
      </c>
      <c r="IE291" s="1603">
        <v>60.975609756097597</v>
      </c>
      <c r="IF291" s="1603">
        <v>62</v>
      </c>
      <c r="IG291" s="1611" t="s">
        <v>2932</v>
      </c>
      <c r="IH291" s="1616" t="s">
        <v>270</v>
      </c>
      <c r="II291" s="1615" t="s">
        <v>270</v>
      </c>
      <c r="IJ291" s="1613">
        <v>1.3101818181818183</v>
      </c>
      <c r="IK291" s="1613">
        <v>1.301848484848485</v>
      </c>
      <c r="IL291" s="1614">
        <v>1.3101818181818183</v>
      </c>
      <c r="IM291" s="1614">
        <v>1.301848484848485</v>
      </c>
      <c r="IN291" s="1612" t="s">
        <v>270</v>
      </c>
      <c r="IO291" s="1613" t="s">
        <v>270</v>
      </c>
      <c r="IP291" s="1607" t="s">
        <v>270</v>
      </c>
      <c r="IQ291" s="1612" t="s">
        <v>270</v>
      </c>
      <c r="IR291" s="1612" t="s">
        <v>270</v>
      </c>
      <c r="IS291" s="1607">
        <v>1.1881818181818182</v>
      </c>
      <c r="IT291" s="1607">
        <v>1.1798484848484849</v>
      </c>
      <c r="IU291" s="1611">
        <v>0</v>
      </c>
      <c r="IV291" s="1611">
        <v>7.7767676767676763E-2</v>
      </c>
      <c r="IW291" s="1611">
        <v>9.0909090909090909E-4</v>
      </c>
      <c r="IX291" s="1611">
        <v>1.6060606060606061E-3</v>
      </c>
      <c r="IY291" s="1611">
        <v>9.6969696969696957E-4</v>
      </c>
      <c r="IZ291" s="1611">
        <v>5.9898989898989896E-3</v>
      </c>
      <c r="JA291" s="1611">
        <v>6.0606060606060598E-5</v>
      </c>
      <c r="JB291" s="1611" t="s">
        <v>270</v>
      </c>
      <c r="JC291" s="1611">
        <v>9.9026969696969704</v>
      </c>
      <c r="JD291" s="1611">
        <v>5.2121212121212122E-3</v>
      </c>
      <c r="JE291" s="1611" t="s">
        <v>270</v>
      </c>
      <c r="JF291" s="1611">
        <v>8.2828282828282835E-4</v>
      </c>
      <c r="JG291" s="1611">
        <v>0.57978787878787885</v>
      </c>
      <c r="JH291" s="1611">
        <v>7.646464646464647E-3</v>
      </c>
      <c r="JI291" s="1611">
        <v>0.3</v>
      </c>
      <c r="JJ291" s="1611" t="s">
        <v>270</v>
      </c>
      <c r="JK291" s="1607">
        <f t="shared" si="13"/>
        <v>0.12200000000000011</v>
      </c>
      <c r="JL291" s="1608" t="s">
        <v>270</v>
      </c>
      <c r="JM291" s="1610" t="s">
        <v>2924</v>
      </c>
      <c r="JN291" s="1608">
        <v>8.3333333333333037E-3</v>
      </c>
      <c r="JO291" s="1609" t="s">
        <v>2931</v>
      </c>
      <c r="JP291" s="1608" t="s">
        <v>270</v>
      </c>
      <c r="JQ291" s="1607">
        <v>202103</v>
      </c>
      <c r="JR291" s="1606">
        <v>851</v>
      </c>
      <c r="JS291" s="1606">
        <v>774</v>
      </c>
      <c r="JT291" s="1606">
        <v>774</v>
      </c>
    </row>
    <row r="292" spans="1:280" ht="15" customHeight="1" x14ac:dyDescent="0.2">
      <c r="A292" s="1626">
        <v>99601</v>
      </c>
      <c r="B292" s="1625">
        <v>996</v>
      </c>
      <c r="C292" s="1624">
        <v>1</v>
      </c>
      <c r="D292" s="1623" t="s">
        <v>3034</v>
      </c>
      <c r="E292" s="1622">
        <v>43031</v>
      </c>
      <c r="F292" s="1620">
        <v>1.41764741734418</v>
      </c>
      <c r="G292" s="1620">
        <v>1.3587321999999999</v>
      </c>
      <c r="H292" s="1621">
        <v>100</v>
      </c>
      <c r="I292" s="1621">
        <v>100</v>
      </c>
      <c r="J292" s="1621">
        <v>100</v>
      </c>
      <c r="K292" s="1620">
        <v>1</v>
      </c>
      <c r="L292" s="1620">
        <v>99.5</v>
      </c>
      <c r="M292" s="1620">
        <v>72.037999999999997</v>
      </c>
      <c r="N292" s="1620">
        <v>0</v>
      </c>
      <c r="O292" s="1620">
        <v>0</v>
      </c>
      <c r="P292" s="1620">
        <v>0</v>
      </c>
      <c r="Q292" s="1603"/>
      <c r="R292" s="1620">
        <v>75</v>
      </c>
      <c r="S292" s="1620">
        <v>0</v>
      </c>
      <c r="T292" s="1620">
        <v>0</v>
      </c>
      <c r="U292" s="1620">
        <v>0</v>
      </c>
      <c r="V292" s="1620">
        <v>0</v>
      </c>
      <c r="W292" s="1620">
        <v>0</v>
      </c>
      <c r="X292" s="1620"/>
      <c r="Y292" s="1620">
        <v>0</v>
      </c>
      <c r="Z292" s="1620">
        <v>0</v>
      </c>
      <c r="AA292" s="1620">
        <v>0</v>
      </c>
      <c r="AB292" s="1620">
        <v>0</v>
      </c>
      <c r="AC292" s="1620">
        <v>0</v>
      </c>
      <c r="AD292" s="1620">
        <v>0</v>
      </c>
      <c r="AE292" s="1620">
        <v>0</v>
      </c>
      <c r="AF292" s="1620">
        <v>0</v>
      </c>
      <c r="AG292" s="1620">
        <v>0</v>
      </c>
      <c r="AH292" s="1620">
        <v>0</v>
      </c>
      <c r="AI292" s="1620">
        <v>0</v>
      </c>
      <c r="AJ292" s="1620">
        <v>0</v>
      </c>
      <c r="AK292" s="1620">
        <v>0</v>
      </c>
      <c r="AL292" s="1620"/>
      <c r="AM292" s="1620">
        <v>0</v>
      </c>
      <c r="AN292" s="1620">
        <v>0</v>
      </c>
      <c r="AO292" s="1620">
        <v>0</v>
      </c>
      <c r="AP292" s="1620">
        <v>136</v>
      </c>
      <c r="AQ292" s="1620">
        <v>0</v>
      </c>
      <c r="AR292" s="1620">
        <v>0</v>
      </c>
      <c r="AS292" s="1620">
        <v>0</v>
      </c>
      <c r="AT292" s="1620">
        <v>0</v>
      </c>
      <c r="AU292" s="1620">
        <v>0</v>
      </c>
      <c r="AV292" s="1620">
        <v>0</v>
      </c>
      <c r="AW292" s="1620">
        <v>0</v>
      </c>
      <c r="AX292" s="1620"/>
      <c r="AY292" s="1620">
        <v>1</v>
      </c>
      <c r="AZ292" s="1620">
        <v>1</v>
      </c>
      <c r="BA292" s="1620">
        <v>1</v>
      </c>
      <c r="BB292" s="1620">
        <v>1</v>
      </c>
      <c r="BC292" s="1620">
        <v>1</v>
      </c>
      <c r="BD292" s="1620">
        <v>1</v>
      </c>
      <c r="BE292" s="1620">
        <v>1</v>
      </c>
      <c r="BF292" s="1620">
        <v>1</v>
      </c>
      <c r="BG292" s="1620">
        <v>1</v>
      </c>
      <c r="BH292" s="1620">
        <v>1</v>
      </c>
      <c r="BI292" s="1620">
        <v>1</v>
      </c>
      <c r="BJ292" s="1603"/>
      <c r="BK292" s="1620">
        <v>72.399999999999991</v>
      </c>
      <c r="BL292" s="1620">
        <v>0</v>
      </c>
      <c r="BM292" s="1620">
        <v>0</v>
      </c>
      <c r="BN292" s="1620">
        <v>0</v>
      </c>
      <c r="BO292" s="1620"/>
      <c r="BP292" s="1620">
        <v>0</v>
      </c>
      <c r="BQ292" s="1620">
        <v>0</v>
      </c>
      <c r="BR292" s="1620">
        <v>1.4247712737127438</v>
      </c>
      <c r="BS292" s="1620">
        <v>1.3655600000000001</v>
      </c>
      <c r="BT292" s="1603"/>
      <c r="BU292" s="1620">
        <v>1000</v>
      </c>
      <c r="BV292" s="1620">
        <v>341.15999999999997</v>
      </c>
      <c r="BW292" s="1620">
        <v>0</v>
      </c>
      <c r="BX292" s="1620" t="s">
        <v>270</v>
      </c>
      <c r="BY292" s="1620" t="s">
        <v>270</v>
      </c>
      <c r="BZ292" s="1620" t="s">
        <v>270</v>
      </c>
      <c r="CA292" s="1620" t="s">
        <v>270</v>
      </c>
      <c r="CB292" s="1603"/>
      <c r="CC292" s="1603">
        <v>0</v>
      </c>
      <c r="CD292" s="1603">
        <v>0</v>
      </c>
      <c r="CE292" s="1603">
        <v>0</v>
      </c>
      <c r="CF292" s="1603">
        <v>0</v>
      </c>
      <c r="CG292" s="1603">
        <v>0</v>
      </c>
      <c r="CH292" s="1603">
        <v>0</v>
      </c>
      <c r="CI292" s="1603">
        <v>0</v>
      </c>
      <c r="CJ292" s="1603"/>
      <c r="CK292" s="1603">
        <v>0</v>
      </c>
      <c r="CL292" s="1603">
        <v>0</v>
      </c>
      <c r="CM292" s="1603">
        <v>0</v>
      </c>
      <c r="CN292" s="1603">
        <v>0</v>
      </c>
      <c r="CO292" s="1603">
        <v>0</v>
      </c>
      <c r="CP292" s="1603">
        <v>0</v>
      </c>
      <c r="CQ292" s="1603">
        <v>540.28499999999997</v>
      </c>
      <c r="CR292" s="1603">
        <v>381.11380403187252</v>
      </c>
      <c r="CS292" s="1603">
        <v>0</v>
      </c>
      <c r="CT292" s="1603">
        <v>0</v>
      </c>
      <c r="CU292" s="1603">
        <v>0</v>
      </c>
      <c r="CV292" s="1603">
        <v>0</v>
      </c>
      <c r="CW292" s="1603">
        <v>518.31477348334658</v>
      </c>
      <c r="CX292" s="1603">
        <v>0</v>
      </c>
      <c r="CY292" s="1603">
        <v>0</v>
      </c>
      <c r="CZ292" s="1603">
        <v>0</v>
      </c>
      <c r="DA292" s="1603">
        <v>0</v>
      </c>
      <c r="DB292" s="1603">
        <v>0</v>
      </c>
      <c r="DC292" s="1603">
        <v>0</v>
      </c>
      <c r="DD292" s="1603">
        <v>0</v>
      </c>
      <c r="DE292" s="1603">
        <v>0</v>
      </c>
      <c r="DF292" s="1603">
        <v>0</v>
      </c>
      <c r="DG292" s="1603">
        <v>0</v>
      </c>
      <c r="DH292" s="1603">
        <v>0</v>
      </c>
      <c r="DI292" s="1603">
        <v>0</v>
      </c>
      <c r="DJ292" s="1603">
        <v>0</v>
      </c>
      <c r="DK292" s="1603">
        <v>0</v>
      </c>
      <c r="DL292" s="1603">
        <v>0</v>
      </c>
      <c r="DM292" s="1603">
        <v>0</v>
      </c>
      <c r="DN292" s="1603">
        <v>0</v>
      </c>
      <c r="DO292" s="1603">
        <v>0</v>
      </c>
      <c r="DP292" s="1603">
        <v>0</v>
      </c>
      <c r="DQ292" s="1603">
        <v>0</v>
      </c>
      <c r="DR292" s="1603">
        <v>0</v>
      </c>
      <c r="DS292" s="1603">
        <v>0</v>
      </c>
      <c r="DT292" s="1603">
        <v>0</v>
      </c>
      <c r="DU292" s="1603">
        <v>0</v>
      </c>
      <c r="DV292" s="1603">
        <v>0</v>
      </c>
      <c r="DW292" s="1618" t="s">
        <v>986</v>
      </c>
      <c r="DX292" s="1605" t="s">
        <v>986</v>
      </c>
      <c r="DY292" s="1605" t="s">
        <v>986</v>
      </c>
      <c r="DZ292" s="1605" t="s">
        <v>986</v>
      </c>
      <c r="EA292" s="1605" t="s">
        <v>986</v>
      </c>
      <c r="EB292" s="1605" t="s">
        <v>986</v>
      </c>
      <c r="EC292" s="1605" t="s">
        <v>986</v>
      </c>
      <c r="ED292" s="1605" t="s">
        <v>986</v>
      </c>
      <c r="EE292" s="1605" t="s">
        <v>986</v>
      </c>
      <c r="EF292" s="1605" t="s">
        <v>986</v>
      </c>
      <c r="EG292" s="1605" t="s">
        <v>986</v>
      </c>
      <c r="EH292" s="1605" t="s">
        <v>986</v>
      </c>
      <c r="EI292" s="1605" t="s">
        <v>986</v>
      </c>
      <c r="EJ292" s="1605" t="s">
        <v>986</v>
      </c>
      <c r="EK292" s="1605" t="s">
        <v>986</v>
      </c>
      <c r="EL292" s="1605" t="s">
        <v>986</v>
      </c>
      <c r="EM292" s="1605" t="s">
        <v>986</v>
      </c>
      <c r="EN292" s="1605" t="s">
        <v>986</v>
      </c>
      <c r="EO292" s="1605" t="s">
        <v>986</v>
      </c>
      <c r="EP292" s="1605" t="s">
        <v>986</v>
      </c>
      <c r="EQ292" s="1605" t="s">
        <v>986</v>
      </c>
      <c r="ER292" s="1605" t="s">
        <v>986</v>
      </c>
      <c r="ES292" s="1605" t="s">
        <v>986</v>
      </c>
      <c r="ET292" s="1605" t="s">
        <v>986</v>
      </c>
      <c r="EU292" s="1605" t="s">
        <v>986</v>
      </c>
      <c r="EV292" s="1605" t="s">
        <v>986</v>
      </c>
      <c r="EW292" s="1605" t="s">
        <v>986</v>
      </c>
      <c r="EX292" s="1605" t="s">
        <v>986</v>
      </c>
      <c r="EY292" s="1605" t="s">
        <v>986</v>
      </c>
      <c r="EZ292" s="1605" t="s">
        <v>986</v>
      </c>
      <c r="FA292" s="1605" t="s">
        <v>986</v>
      </c>
      <c r="FB292" s="1605" t="s">
        <v>986</v>
      </c>
      <c r="FC292" s="1605" t="s">
        <v>986</v>
      </c>
      <c r="FD292" s="1605" t="s">
        <v>986</v>
      </c>
      <c r="FE292" s="1605" t="s">
        <v>986</v>
      </c>
      <c r="FF292" s="1605" t="s">
        <v>986</v>
      </c>
      <c r="FG292" s="1605" t="s">
        <v>986</v>
      </c>
      <c r="FH292" s="1605" t="s">
        <v>986</v>
      </c>
      <c r="FI292" s="1605" t="s">
        <v>986</v>
      </c>
      <c r="FJ292" s="1605" t="s">
        <v>986</v>
      </c>
      <c r="FK292" s="1605" t="s">
        <v>986</v>
      </c>
      <c r="FL292" s="1605" t="s">
        <v>986</v>
      </c>
      <c r="FM292" s="1605" t="s">
        <v>986</v>
      </c>
      <c r="FN292" s="1605" t="s">
        <v>986</v>
      </c>
      <c r="FO292" s="1605" t="s">
        <v>986</v>
      </c>
      <c r="FP292" s="1605" t="s">
        <v>986</v>
      </c>
      <c r="FQ292" s="1605" t="s">
        <v>986</v>
      </c>
      <c r="FR292" s="1605" t="s">
        <v>986</v>
      </c>
      <c r="FS292" s="1605" t="s">
        <v>986</v>
      </c>
      <c r="FT292" s="1605" t="s">
        <v>986</v>
      </c>
      <c r="FU292" s="1605" t="s">
        <v>986</v>
      </c>
      <c r="FV292" s="1605" t="s">
        <v>986</v>
      </c>
      <c r="FW292" s="1605" t="s">
        <v>986</v>
      </c>
      <c r="FX292" s="1605" t="s">
        <v>986</v>
      </c>
      <c r="FY292" s="1605" t="s">
        <v>986</v>
      </c>
      <c r="FZ292" s="1605" t="s">
        <v>986</v>
      </c>
      <c r="GA292" s="1605" t="s">
        <v>986</v>
      </c>
      <c r="GB292" s="1605" t="s">
        <v>986</v>
      </c>
      <c r="GC292" s="1605" t="s">
        <v>986</v>
      </c>
      <c r="GD292" s="1605" t="s">
        <v>986</v>
      </c>
      <c r="GE292" s="1605" t="s">
        <v>986</v>
      </c>
      <c r="GF292" s="1605" t="s">
        <v>986</v>
      </c>
      <c r="GG292" s="1605" t="s">
        <v>986</v>
      </c>
      <c r="GH292" s="1605" t="s">
        <v>986</v>
      </c>
      <c r="GI292" s="1605" t="s">
        <v>986</v>
      </c>
      <c r="GJ292" s="1605" t="s">
        <v>986</v>
      </c>
      <c r="GK292" s="1605" t="s">
        <v>986</v>
      </c>
      <c r="GL292" s="1605" t="s">
        <v>986</v>
      </c>
      <c r="GM292" s="1605" t="s">
        <v>986</v>
      </c>
      <c r="GN292" s="1605" t="s">
        <v>986</v>
      </c>
      <c r="GO292" s="1605" t="s">
        <v>986</v>
      </c>
      <c r="GP292" s="1605" t="s">
        <v>986</v>
      </c>
      <c r="GQ292" s="1605" t="s">
        <v>986</v>
      </c>
      <c r="GR292" s="1605" t="s">
        <v>986</v>
      </c>
      <c r="GS292" s="1605" t="s">
        <v>986</v>
      </c>
      <c r="GT292" s="1605" t="s">
        <v>986</v>
      </c>
      <c r="GU292" s="1605" t="s">
        <v>986</v>
      </c>
      <c r="GV292" s="1605" t="s">
        <v>986</v>
      </c>
      <c r="GW292" s="1605" t="s">
        <v>986</v>
      </c>
      <c r="GX292" s="1605" t="s">
        <v>986</v>
      </c>
      <c r="GY292" s="1605" t="s">
        <v>986</v>
      </c>
      <c r="GZ292" s="1605" t="s">
        <v>986</v>
      </c>
      <c r="HA292" s="1605" t="s">
        <v>986</v>
      </c>
      <c r="HB292" s="1605" t="s">
        <v>986</v>
      </c>
      <c r="HC292" s="1605" t="s">
        <v>986</v>
      </c>
      <c r="HD292" s="1605" t="s">
        <v>986</v>
      </c>
      <c r="HE292" s="1605" t="s">
        <v>986</v>
      </c>
      <c r="HF292" s="1605" t="s">
        <v>986</v>
      </c>
      <c r="HG292" s="1605" t="s">
        <v>986</v>
      </c>
      <c r="HH292" s="1605" t="s">
        <v>986</v>
      </c>
      <c r="HI292" s="1605" t="s">
        <v>986</v>
      </c>
      <c r="HJ292" s="1605" t="s">
        <v>986</v>
      </c>
      <c r="HK292" s="1605" t="s">
        <v>986</v>
      </c>
      <c r="HL292" s="1605" t="s">
        <v>986</v>
      </c>
      <c r="HM292" s="1605" t="s">
        <v>986</v>
      </c>
      <c r="HN292" s="1605" t="s">
        <v>986</v>
      </c>
      <c r="HO292" s="1605" t="s">
        <v>986</v>
      </c>
      <c r="HP292" s="1605" t="s">
        <v>986</v>
      </c>
      <c r="HQ292" s="1605" t="s">
        <v>986</v>
      </c>
      <c r="HR292" s="1605" t="s">
        <v>986</v>
      </c>
      <c r="HS292" s="1605" t="s">
        <v>986</v>
      </c>
      <c r="HT292" s="1605" t="s">
        <v>986</v>
      </c>
      <c r="HU292" s="1605" t="s">
        <v>986</v>
      </c>
      <c r="HV292" s="1617"/>
      <c r="HW292" s="1617" t="s">
        <v>986</v>
      </c>
      <c r="HX292" s="1617" t="s">
        <v>986</v>
      </c>
      <c r="HY292" s="1617" t="s">
        <v>986</v>
      </c>
      <c r="HZ292" s="1603"/>
      <c r="IA292" s="1603"/>
      <c r="IB292" s="1603"/>
      <c r="IC292" s="1603">
        <v>0</v>
      </c>
      <c r="ID292" s="1603">
        <v>0</v>
      </c>
      <c r="IE292" s="1603">
        <v>0</v>
      </c>
      <c r="IF292" s="1603">
        <v>0</v>
      </c>
      <c r="IG292" s="1611" t="s">
        <v>2932</v>
      </c>
      <c r="IH292" s="1616" t="s">
        <v>270</v>
      </c>
      <c r="II292" s="1615" t="s">
        <v>270</v>
      </c>
      <c r="IJ292" s="1613">
        <v>1.3101818181818183</v>
      </c>
      <c r="IK292" s="1613">
        <v>1.301848484848485</v>
      </c>
      <c r="IL292" s="1614">
        <v>1.3101818181818183</v>
      </c>
      <c r="IM292" s="1614">
        <v>1.301848484848485</v>
      </c>
      <c r="IN292" s="1612" t="s">
        <v>270</v>
      </c>
      <c r="IO292" s="1613" t="s">
        <v>270</v>
      </c>
      <c r="IP292" s="1607" t="s">
        <v>270</v>
      </c>
      <c r="IQ292" s="1612" t="s">
        <v>270</v>
      </c>
      <c r="IR292" s="1612" t="s">
        <v>270</v>
      </c>
      <c r="IS292" s="1607">
        <v>1.1881818181818182</v>
      </c>
      <c r="IT292" s="1607">
        <v>1.1798484848484849</v>
      </c>
      <c r="IU292" s="1611">
        <v>0</v>
      </c>
      <c r="IV292" s="1611">
        <v>7.7767676767676763E-2</v>
      </c>
      <c r="IW292" s="1611">
        <v>9.0909090909090909E-4</v>
      </c>
      <c r="IX292" s="1611">
        <v>1.6060606060606061E-3</v>
      </c>
      <c r="IY292" s="1611">
        <v>9.6969696969696957E-4</v>
      </c>
      <c r="IZ292" s="1611">
        <v>5.9898989898989896E-3</v>
      </c>
      <c r="JA292" s="1611">
        <v>6.0606060606060598E-5</v>
      </c>
      <c r="JB292" s="1611" t="s">
        <v>270</v>
      </c>
      <c r="JC292" s="1611">
        <v>9.9026969696969704</v>
      </c>
      <c r="JD292" s="1611">
        <v>5.2121212121212122E-3</v>
      </c>
      <c r="JE292" s="1611" t="s">
        <v>270</v>
      </c>
      <c r="JF292" s="1611">
        <v>8.2828282828282835E-4</v>
      </c>
      <c r="JG292" s="1611">
        <v>0.57978787878787885</v>
      </c>
      <c r="JH292" s="1611">
        <v>7.646464646464647E-3</v>
      </c>
      <c r="JI292" s="1611">
        <v>0.3</v>
      </c>
      <c r="JJ292" s="1611" t="s">
        <v>270</v>
      </c>
      <c r="JK292" s="1607">
        <f t="shared" si="13"/>
        <v>0.12200000000000011</v>
      </c>
      <c r="JL292" s="1608" t="s">
        <v>270</v>
      </c>
      <c r="JM292" s="1610" t="s">
        <v>2924</v>
      </c>
      <c r="JN292" s="1608">
        <v>8.3333333333333037E-3</v>
      </c>
      <c r="JO292" s="1609" t="s">
        <v>2931</v>
      </c>
      <c r="JP292" s="1608" t="s">
        <v>270</v>
      </c>
      <c r="JQ292" s="1607">
        <v>202103</v>
      </c>
      <c r="JR292" s="1606">
        <v>851</v>
      </c>
      <c r="JS292" s="1606">
        <v>774</v>
      </c>
      <c r="JT292" s="1606">
        <v>774</v>
      </c>
    </row>
    <row r="293" spans="1:280" ht="15" customHeight="1" x14ac:dyDescent="0.2">
      <c r="A293" s="1626">
        <v>99600</v>
      </c>
      <c r="B293" s="1625">
        <v>996</v>
      </c>
      <c r="C293" s="1624">
        <v>0</v>
      </c>
      <c r="D293" s="1623" t="s">
        <v>3033</v>
      </c>
      <c r="E293" s="1622">
        <v>43031</v>
      </c>
      <c r="F293" s="1620">
        <v>1.41764741734418</v>
      </c>
      <c r="G293" s="1620">
        <v>1.3587321999999999</v>
      </c>
      <c r="H293" s="1621">
        <v>100</v>
      </c>
      <c r="I293" s="1621">
        <v>100</v>
      </c>
      <c r="J293" s="1621">
        <v>100</v>
      </c>
      <c r="K293" s="1620">
        <v>1</v>
      </c>
      <c r="L293" s="1620">
        <v>99.5</v>
      </c>
      <c r="M293" s="1620">
        <v>72.037999999999997</v>
      </c>
      <c r="N293" s="1620">
        <v>0</v>
      </c>
      <c r="O293" s="1620">
        <v>0</v>
      </c>
      <c r="P293" s="1620">
        <v>0</v>
      </c>
      <c r="Q293" s="1603"/>
      <c r="R293" s="1620">
        <v>100</v>
      </c>
      <c r="S293" s="1620">
        <v>0</v>
      </c>
      <c r="T293" s="1620">
        <v>0</v>
      </c>
      <c r="U293" s="1620">
        <v>0</v>
      </c>
      <c r="V293" s="1620">
        <v>0</v>
      </c>
      <c r="W293" s="1620">
        <v>0</v>
      </c>
      <c r="X293" s="1620"/>
      <c r="Y293" s="1620">
        <v>0</v>
      </c>
      <c r="Z293" s="1620">
        <v>0</v>
      </c>
      <c r="AA293" s="1620">
        <v>0</v>
      </c>
      <c r="AB293" s="1620">
        <v>0</v>
      </c>
      <c r="AC293" s="1620">
        <v>0</v>
      </c>
      <c r="AD293" s="1620">
        <v>0</v>
      </c>
      <c r="AE293" s="1620">
        <v>0</v>
      </c>
      <c r="AF293" s="1620">
        <v>0</v>
      </c>
      <c r="AG293" s="1620">
        <v>0</v>
      </c>
      <c r="AH293" s="1620">
        <v>0</v>
      </c>
      <c r="AI293" s="1620">
        <v>0</v>
      </c>
      <c r="AJ293" s="1620">
        <v>0</v>
      </c>
      <c r="AK293" s="1620">
        <v>0</v>
      </c>
      <c r="AL293" s="1620"/>
      <c r="AM293" s="1620">
        <v>0</v>
      </c>
      <c r="AN293" s="1620">
        <v>0</v>
      </c>
      <c r="AO293" s="1620">
        <v>0</v>
      </c>
      <c r="AP293" s="1620">
        <v>136</v>
      </c>
      <c r="AQ293" s="1620">
        <v>0</v>
      </c>
      <c r="AR293" s="1620">
        <v>0</v>
      </c>
      <c r="AS293" s="1620">
        <v>0</v>
      </c>
      <c r="AT293" s="1620">
        <v>0</v>
      </c>
      <c r="AU293" s="1620">
        <v>0</v>
      </c>
      <c r="AV293" s="1620">
        <v>0</v>
      </c>
      <c r="AW293" s="1620">
        <v>0</v>
      </c>
      <c r="AX293" s="1620"/>
      <c r="AY293" s="1620">
        <v>1</v>
      </c>
      <c r="AZ293" s="1620">
        <v>1</v>
      </c>
      <c r="BA293" s="1620">
        <v>1</v>
      </c>
      <c r="BB293" s="1620">
        <v>1</v>
      </c>
      <c r="BC293" s="1620">
        <v>1</v>
      </c>
      <c r="BD293" s="1620">
        <v>1</v>
      </c>
      <c r="BE293" s="1620">
        <v>1</v>
      </c>
      <c r="BF293" s="1620">
        <v>1</v>
      </c>
      <c r="BG293" s="1620">
        <v>1</v>
      </c>
      <c r="BH293" s="1620">
        <v>1</v>
      </c>
      <c r="BI293" s="1620">
        <v>1</v>
      </c>
      <c r="BJ293" s="1603"/>
      <c r="BK293" s="1620">
        <v>72.399999999999991</v>
      </c>
      <c r="BL293" s="1620">
        <v>0</v>
      </c>
      <c r="BM293" s="1620">
        <v>0</v>
      </c>
      <c r="BN293" s="1620">
        <v>0</v>
      </c>
      <c r="BO293" s="1620"/>
      <c r="BP293" s="1620">
        <v>0</v>
      </c>
      <c r="BQ293" s="1620">
        <v>0</v>
      </c>
      <c r="BR293" s="1620">
        <v>1.4247712737127438</v>
      </c>
      <c r="BS293" s="1620">
        <v>1.3655600000000001</v>
      </c>
      <c r="BT293" s="1603"/>
      <c r="BU293" s="1620">
        <v>1000</v>
      </c>
      <c r="BV293" s="1620">
        <v>341.15999999999997</v>
      </c>
      <c r="BW293" s="1620">
        <v>0</v>
      </c>
      <c r="BX293" s="1620" t="s">
        <v>270</v>
      </c>
      <c r="BY293" s="1620" t="s">
        <v>270</v>
      </c>
      <c r="BZ293" s="1620" t="s">
        <v>270</v>
      </c>
      <c r="CA293" s="1620" t="s">
        <v>270</v>
      </c>
      <c r="CB293" s="1603"/>
      <c r="CC293" s="1603">
        <v>0</v>
      </c>
      <c r="CD293" s="1603">
        <v>0</v>
      </c>
      <c r="CE293" s="1603">
        <v>0</v>
      </c>
      <c r="CF293" s="1603">
        <v>0</v>
      </c>
      <c r="CG293" s="1603">
        <v>0</v>
      </c>
      <c r="CH293" s="1603">
        <v>0</v>
      </c>
      <c r="CI293" s="1603">
        <v>0</v>
      </c>
      <c r="CJ293" s="1603"/>
      <c r="CK293" s="1603">
        <v>0</v>
      </c>
      <c r="CL293" s="1603">
        <v>0</v>
      </c>
      <c r="CM293" s="1603">
        <v>0</v>
      </c>
      <c r="CN293" s="1603">
        <v>0</v>
      </c>
      <c r="CO293" s="1603">
        <v>0</v>
      </c>
      <c r="CP293" s="1603">
        <v>0</v>
      </c>
      <c r="CQ293" s="1603">
        <v>720.38</v>
      </c>
      <c r="CR293" s="1603">
        <v>508.15173870916334</v>
      </c>
      <c r="CS293" s="1603">
        <v>0</v>
      </c>
      <c r="CT293" s="1603">
        <v>0</v>
      </c>
      <c r="CU293" s="1603">
        <v>0</v>
      </c>
      <c r="CV293" s="1603">
        <v>0</v>
      </c>
      <c r="CW293" s="1603">
        <v>691.08636464446215</v>
      </c>
      <c r="CX293" s="1603">
        <v>0</v>
      </c>
      <c r="CY293" s="1603">
        <v>0</v>
      </c>
      <c r="CZ293" s="1603">
        <v>0</v>
      </c>
      <c r="DA293" s="1603">
        <v>0</v>
      </c>
      <c r="DB293" s="1603">
        <v>0</v>
      </c>
      <c r="DC293" s="1603">
        <v>0</v>
      </c>
      <c r="DD293" s="1603">
        <v>0</v>
      </c>
      <c r="DE293" s="1603">
        <v>0</v>
      </c>
      <c r="DF293" s="1603">
        <v>0</v>
      </c>
      <c r="DG293" s="1603">
        <v>0</v>
      </c>
      <c r="DH293" s="1603">
        <v>0</v>
      </c>
      <c r="DI293" s="1603">
        <v>0</v>
      </c>
      <c r="DJ293" s="1603">
        <v>0</v>
      </c>
      <c r="DK293" s="1603">
        <v>0</v>
      </c>
      <c r="DL293" s="1603">
        <v>0</v>
      </c>
      <c r="DM293" s="1603">
        <v>0</v>
      </c>
      <c r="DN293" s="1603">
        <v>0</v>
      </c>
      <c r="DO293" s="1603">
        <v>0</v>
      </c>
      <c r="DP293" s="1603">
        <v>0</v>
      </c>
      <c r="DQ293" s="1603">
        <v>0</v>
      </c>
      <c r="DR293" s="1603">
        <v>0</v>
      </c>
      <c r="DS293" s="1603">
        <v>0</v>
      </c>
      <c r="DT293" s="1603">
        <v>0</v>
      </c>
      <c r="DU293" s="1603">
        <v>0</v>
      </c>
      <c r="DV293" s="1603">
        <v>0</v>
      </c>
      <c r="DW293" s="1618" t="s">
        <v>986</v>
      </c>
      <c r="DX293" s="1605" t="s">
        <v>986</v>
      </c>
      <c r="DY293" s="1605" t="s">
        <v>986</v>
      </c>
      <c r="DZ293" s="1605" t="s">
        <v>986</v>
      </c>
      <c r="EA293" s="1605" t="s">
        <v>986</v>
      </c>
      <c r="EB293" s="1605" t="s">
        <v>986</v>
      </c>
      <c r="EC293" s="1605" t="s">
        <v>986</v>
      </c>
      <c r="ED293" s="1605" t="s">
        <v>986</v>
      </c>
      <c r="EE293" s="1605" t="s">
        <v>986</v>
      </c>
      <c r="EF293" s="1605" t="s">
        <v>986</v>
      </c>
      <c r="EG293" s="1605" t="s">
        <v>986</v>
      </c>
      <c r="EH293" s="1605" t="s">
        <v>986</v>
      </c>
      <c r="EI293" s="1605" t="s">
        <v>986</v>
      </c>
      <c r="EJ293" s="1605" t="s">
        <v>986</v>
      </c>
      <c r="EK293" s="1605" t="s">
        <v>986</v>
      </c>
      <c r="EL293" s="1605" t="s">
        <v>986</v>
      </c>
      <c r="EM293" s="1605" t="s">
        <v>986</v>
      </c>
      <c r="EN293" s="1605" t="s">
        <v>986</v>
      </c>
      <c r="EO293" s="1605" t="s">
        <v>986</v>
      </c>
      <c r="EP293" s="1605" t="s">
        <v>986</v>
      </c>
      <c r="EQ293" s="1605" t="s">
        <v>986</v>
      </c>
      <c r="ER293" s="1605" t="s">
        <v>986</v>
      </c>
      <c r="ES293" s="1605" t="s">
        <v>986</v>
      </c>
      <c r="ET293" s="1605" t="s">
        <v>986</v>
      </c>
      <c r="EU293" s="1605" t="s">
        <v>986</v>
      </c>
      <c r="EV293" s="1605" t="s">
        <v>986</v>
      </c>
      <c r="EW293" s="1605" t="s">
        <v>986</v>
      </c>
      <c r="EX293" s="1605" t="s">
        <v>986</v>
      </c>
      <c r="EY293" s="1605" t="s">
        <v>986</v>
      </c>
      <c r="EZ293" s="1605" t="s">
        <v>986</v>
      </c>
      <c r="FA293" s="1605" t="s">
        <v>986</v>
      </c>
      <c r="FB293" s="1605" t="s">
        <v>986</v>
      </c>
      <c r="FC293" s="1605" t="s">
        <v>986</v>
      </c>
      <c r="FD293" s="1605" t="s">
        <v>986</v>
      </c>
      <c r="FE293" s="1605" t="s">
        <v>986</v>
      </c>
      <c r="FF293" s="1605" t="s">
        <v>986</v>
      </c>
      <c r="FG293" s="1605" t="s">
        <v>986</v>
      </c>
      <c r="FH293" s="1605" t="s">
        <v>986</v>
      </c>
      <c r="FI293" s="1605" t="s">
        <v>986</v>
      </c>
      <c r="FJ293" s="1605" t="s">
        <v>986</v>
      </c>
      <c r="FK293" s="1605" t="s">
        <v>986</v>
      </c>
      <c r="FL293" s="1605" t="s">
        <v>986</v>
      </c>
      <c r="FM293" s="1605" t="s">
        <v>986</v>
      </c>
      <c r="FN293" s="1605" t="s">
        <v>986</v>
      </c>
      <c r="FO293" s="1605" t="s">
        <v>986</v>
      </c>
      <c r="FP293" s="1605" t="s">
        <v>986</v>
      </c>
      <c r="FQ293" s="1605" t="s">
        <v>986</v>
      </c>
      <c r="FR293" s="1605" t="s">
        <v>986</v>
      </c>
      <c r="FS293" s="1605" t="s">
        <v>986</v>
      </c>
      <c r="FT293" s="1605" t="s">
        <v>986</v>
      </c>
      <c r="FU293" s="1605" t="s">
        <v>986</v>
      </c>
      <c r="FV293" s="1605" t="s">
        <v>986</v>
      </c>
      <c r="FW293" s="1605" t="s">
        <v>986</v>
      </c>
      <c r="FX293" s="1605" t="s">
        <v>986</v>
      </c>
      <c r="FY293" s="1605" t="s">
        <v>986</v>
      </c>
      <c r="FZ293" s="1605" t="s">
        <v>986</v>
      </c>
      <c r="GA293" s="1605" t="s">
        <v>986</v>
      </c>
      <c r="GB293" s="1605" t="s">
        <v>986</v>
      </c>
      <c r="GC293" s="1605" t="s">
        <v>986</v>
      </c>
      <c r="GD293" s="1605" t="s">
        <v>986</v>
      </c>
      <c r="GE293" s="1605" t="s">
        <v>986</v>
      </c>
      <c r="GF293" s="1605" t="s">
        <v>986</v>
      </c>
      <c r="GG293" s="1605" t="s">
        <v>986</v>
      </c>
      <c r="GH293" s="1605" t="s">
        <v>986</v>
      </c>
      <c r="GI293" s="1605" t="s">
        <v>986</v>
      </c>
      <c r="GJ293" s="1605" t="s">
        <v>986</v>
      </c>
      <c r="GK293" s="1605" t="s">
        <v>986</v>
      </c>
      <c r="GL293" s="1605" t="s">
        <v>986</v>
      </c>
      <c r="GM293" s="1605" t="s">
        <v>986</v>
      </c>
      <c r="GN293" s="1605" t="s">
        <v>986</v>
      </c>
      <c r="GO293" s="1605" t="s">
        <v>986</v>
      </c>
      <c r="GP293" s="1605" t="s">
        <v>986</v>
      </c>
      <c r="GQ293" s="1605" t="s">
        <v>986</v>
      </c>
      <c r="GR293" s="1605" t="s">
        <v>986</v>
      </c>
      <c r="GS293" s="1605" t="s">
        <v>986</v>
      </c>
      <c r="GT293" s="1605" t="s">
        <v>986</v>
      </c>
      <c r="GU293" s="1605" t="s">
        <v>986</v>
      </c>
      <c r="GV293" s="1605" t="s">
        <v>986</v>
      </c>
      <c r="GW293" s="1605" t="s">
        <v>986</v>
      </c>
      <c r="GX293" s="1605" t="s">
        <v>986</v>
      </c>
      <c r="GY293" s="1605" t="s">
        <v>986</v>
      </c>
      <c r="GZ293" s="1605" t="s">
        <v>986</v>
      </c>
      <c r="HA293" s="1605" t="s">
        <v>986</v>
      </c>
      <c r="HB293" s="1605" t="s">
        <v>986</v>
      </c>
      <c r="HC293" s="1605" t="s">
        <v>986</v>
      </c>
      <c r="HD293" s="1605" t="s">
        <v>986</v>
      </c>
      <c r="HE293" s="1605" t="s">
        <v>986</v>
      </c>
      <c r="HF293" s="1605" t="s">
        <v>986</v>
      </c>
      <c r="HG293" s="1605" t="s">
        <v>986</v>
      </c>
      <c r="HH293" s="1605" t="s">
        <v>986</v>
      </c>
      <c r="HI293" s="1605" t="s">
        <v>986</v>
      </c>
      <c r="HJ293" s="1605" t="s">
        <v>986</v>
      </c>
      <c r="HK293" s="1605" t="s">
        <v>986</v>
      </c>
      <c r="HL293" s="1605" t="s">
        <v>986</v>
      </c>
      <c r="HM293" s="1605" t="s">
        <v>986</v>
      </c>
      <c r="HN293" s="1605" t="s">
        <v>986</v>
      </c>
      <c r="HO293" s="1605" t="s">
        <v>986</v>
      </c>
      <c r="HP293" s="1605" t="s">
        <v>986</v>
      </c>
      <c r="HQ293" s="1605" t="s">
        <v>986</v>
      </c>
      <c r="HR293" s="1605" t="s">
        <v>986</v>
      </c>
      <c r="HS293" s="1605" t="s">
        <v>986</v>
      </c>
      <c r="HT293" s="1605" t="s">
        <v>986</v>
      </c>
      <c r="HU293" s="1605" t="s">
        <v>986</v>
      </c>
      <c r="HV293" s="1617"/>
      <c r="HW293" s="1617" t="s">
        <v>986</v>
      </c>
      <c r="HX293" s="1617" t="s">
        <v>986</v>
      </c>
      <c r="HY293" s="1617" t="s">
        <v>986</v>
      </c>
      <c r="HZ293" s="1603"/>
      <c r="IA293" s="1603"/>
      <c r="IB293" s="1603"/>
      <c r="IC293" s="1603">
        <v>0</v>
      </c>
      <c r="ID293" s="1603">
        <v>0</v>
      </c>
      <c r="IE293" s="1603">
        <v>0</v>
      </c>
      <c r="IF293" s="1603">
        <v>0</v>
      </c>
      <c r="IG293" s="1611" t="s">
        <v>2932</v>
      </c>
      <c r="IH293" s="1616" t="s">
        <v>270</v>
      </c>
      <c r="II293" s="1615" t="s">
        <v>270</v>
      </c>
      <c r="IJ293" s="1613">
        <v>1.3101818181818183</v>
      </c>
      <c r="IK293" s="1613">
        <v>1.301848484848485</v>
      </c>
      <c r="IL293" s="1614">
        <v>1.3101818181818183</v>
      </c>
      <c r="IM293" s="1614">
        <v>1.301848484848485</v>
      </c>
      <c r="IN293" s="1612" t="s">
        <v>270</v>
      </c>
      <c r="IO293" s="1613" t="s">
        <v>270</v>
      </c>
      <c r="IP293" s="1607" t="s">
        <v>270</v>
      </c>
      <c r="IQ293" s="1612" t="s">
        <v>270</v>
      </c>
      <c r="IR293" s="1612" t="s">
        <v>270</v>
      </c>
      <c r="IS293" s="1607">
        <v>1.1881818181818182</v>
      </c>
      <c r="IT293" s="1607">
        <v>1.1798484848484849</v>
      </c>
      <c r="IU293" s="1611">
        <v>0</v>
      </c>
      <c r="IV293" s="1611">
        <v>7.7767676767676763E-2</v>
      </c>
      <c r="IW293" s="1611">
        <v>9.0909090909090909E-4</v>
      </c>
      <c r="IX293" s="1611">
        <v>1.6060606060606061E-3</v>
      </c>
      <c r="IY293" s="1611">
        <v>9.6969696969696957E-4</v>
      </c>
      <c r="IZ293" s="1611">
        <v>5.9898989898989896E-3</v>
      </c>
      <c r="JA293" s="1611">
        <v>6.0606060606060598E-5</v>
      </c>
      <c r="JB293" s="1611" t="s">
        <v>270</v>
      </c>
      <c r="JC293" s="1611">
        <v>9.9026969696969704</v>
      </c>
      <c r="JD293" s="1611">
        <v>5.2121212121212122E-3</v>
      </c>
      <c r="JE293" s="1611" t="s">
        <v>270</v>
      </c>
      <c r="JF293" s="1611">
        <v>8.2828282828282835E-4</v>
      </c>
      <c r="JG293" s="1611">
        <v>0.57978787878787885</v>
      </c>
      <c r="JH293" s="1611">
        <v>7.646464646464647E-3</v>
      </c>
      <c r="JI293" s="1611">
        <v>0.3</v>
      </c>
      <c r="JJ293" s="1611" t="s">
        <v>270</v>
      </c>
      <c r="JK293" s="1607">
        <f t="shared" si="13"/>
        <v>0.12200000000000011</v>
      </c>
      <c r="JL293" s="1608" t="s">
        <v>270</v>
      </c>
      <c r="JM293" s="1610" t="s">
        <v>2924</v>
      </c>
      <c r="JN293" s="1608">
        <v>8.3333333333333037E-3</v>
      </c>
      <c r="JO293" s="1609" t="s">
        <v>2931</v>
      </c>
      <c r="JP293" s="1608" t="s">
        <v>270</v>
      </c>
      <c r="JQ293" s="1607">
        <v>202103</v>
      </c>
      <c r="JR293" s="1606">
        <v>851</v>
      </c>
      <c r="JS293" s="1606">
        <v>774</v>
      </c>
      <c r="JT293" s="1606">
        <v>774</v>
      </c>
    </row>
    <row r="294" spans="1:280" ht="15" customHeight="1" x14ac:dyDescent="0.2">
      <c r="A294" s="1626">
        <v>56000</v>
      </c>
      <c r="B294" s="1625">
        <v>560</v>
      </c>
      <c r="C294" s="1624">
        <v>0</v>
      </c>
      <c r="D294" s="1623" t="s">
        <v>3032</v>
      </c>
      <c r="E294" s="1622">
        <v>44497</v>
      </c>
      <c r="F294" s="1620">
        <v>1.1271756484707705</v>
      </c>
      <c r="G294" s="1620">
        <v>1.1110098782931355</v>
      </c>
      <c r="H294" s="1621">
        <v>90.1</v>
      </c>
      <c r="I294" s="1621">
        <v>85.8</v>
      </c>
      <c r="J294" s="1621">
        <v>93</v>
      </c>
      <c r="K294" s="1620">
        <v>1</v>
      </c>
      <c r="L294" s="1620">
        <v>85</v>
      </c>
      <c r="M294" s="1620">
        <v>10.199999999999999</v>
      </c>
      <c r="N294" s="1620">
        <v>1.9</v>
      </c>
      <c r="O294" s="1620">
        <v>1.6</v>
      </c>
      <c r="P294" s="1620">
        <v>2.6</v>
      </c>
      <c r="Q294" s="1603"/>
      <c r="R294" s="1620">
        <v>83.945872268907536</v>
      </c>
      <c r="S294" s="1620">
        <v>50</v>
      </c>
      <c r="T294" s="1620">
        <v>54.471544715447102</v>
      </c>
      <c r="U294" s="1620">
        <v>56.260162601626</v>
      </c>
      <c r="V294" s="1620">
        <v>57.869918699186996</v>
      </c>
      <c r="W294" s="1620">
        <v>58.943089430894297</v>
      </c>
      <c r="X294" s="1620"/>
      <c r="Y294" s="1620">
        <v>0.50588235294117645</v>
      </c>
      <c r="Z294" s="1620">
        <v>3.5294117647058822</v>
      </c>
      <c r="AA294" s="1620">
        <v>0.11764705882352941</v>
      </c>
      <c r="AB294" s="1620">
        <v>0.8</v>
      </c>
      <c r="AC294" s="1620">
        <v>5.2470588235294118</v>
      </c>
      <c r="AD294" s="1620">
        <v>1.1764705882352942</v>
      </c>
      <c r="AE294" s="1620">
        <v>0.60000035294096943</v>
      </c>
      <c r="AF294" s="1620">
        <v>35.258823529411764</v>
      </c>
      <c r="AG294" s="1620">
        <v>4.2588235294117647</v>
      </c>
      <c r="AH294" s="1620">
        <v>34.329411764705881</v>
      </c>
      <c r="AI294" s="1620">
        <v>39.882352941176471</v>
      </c>
      <c r="AJ294" s="1620">
        <v>0</v>
      </c>
      <c r="AK294" s="1620">
        <v>0</v>
      </c>
      <c r="AL294" s="1620"/>
      <c r="AM294" s="1620">
        <v>3.24</v>
      </c>
      <c r="AN294" s="1620">
        <v>1.69</v>
      </c>
      <c r="AO294" s="1620">
        <v>2.2200000000000002</v>
      </c>
      <c r="AP294" s="1620">
        <v>3.15</v>
      </c>
      <c r="AQ294" s="1620">
        <v>1.22</v>
      </c>
      <c r="AR294" s="1620">
        <v>3.36</v>
      </c>
      <c r="AS294" s="1620">
        <v>6.42</v>
      </c>
      <c r="AT294" s="1620">
        <v>2.2200000000000002</v>
      </c>
      <c r="AU294" s="1620">
        <v>4.3600000000000003</v>
      </c>
      <c r="AV294" s="1620">
        <v>2.8</v>
      </c>
      <c r="AW294" s="1620">
        <v>4.5199999999999996</v>
      </c>
      <c r="AX294" s="1620"/>
      <c r="AY294" s="1620">
        <v>0.98</v>
      </c>
      <c r="AZ294" s="1620">
        <v>1.05</v>
      </c>
      <c r="BA294" s="1620">
        <v>1.03</v>
      </c>
      <c r="BB294" s="1620">
        <v>0.95</v>
      </c>
      <c r="BC294" s="1620">
        <v>0.92</v>
      </c>
      <c r="BD294" s="1620">
        <v>1.01</v>
      </c>
      <c r="BE294" s="1620">
        <v>1.01</v>
      </c>
      <c r="BF294" s="1620">
        <v>1.03</v>
      </c>
      <c r="BG294" s="1620">
        <v>1.06</v>
      </c>
      <c r="BH294" s="1620">
        <v>1</v>
      </c>
      <c r="BI294" s="1620">
        <v>0.98</v>
      </c>
      <c r="BJ294" s="1603"/>
      <c r="BK294" s="1620">
        <v>11.999999999999998</v>
      </c>
      <c r="BL294" s="1620">
        <v>2.2352941176470589</v>
      </c>
      <c r="BM294" s="1620">
        <v>1.8823529411764706</v>
      </c>
      <c r="BN294" s="1620">
        <v>3.0588235294117645</v>
      </c>
      <c r="BO294" s="1620"/>
      <c r="BP294" s="1620">
        <v>105</v>
      </c>
      <c r="BQ294" s="1620">
        <v>23.470588235294116</v>
      </c>
      <c r="BR294" s="1620">
        <v>1.3260889982009063</v>
      </c>
      <c r="BS294" s="1620">
        <v>1.3070704450507475</v>
      </c>
      <c r="BT294" s="1603"/>
      <c r="BU294" s="1620">
        <v>981.17647058823525</v>
      </c>
      <c r="BV294" s="1620">
        <v>692.88537815126051</v>
      </c>
      <c r="BW294" s="1620">
        <v>60.272268907562989</v>
      </c>
      <c r="BX294" s="1620">
        <v>641</v>
      </c>
      <c r="BY294" s="1620">
        <v>33</v>
      </c>
      <c r="BZ294" s="1620">
        <v>30</v>
      </c>
      <c r="CA294" s="1620">
        <v>118</v>
      </c>
      <c r="CB294" s="1603"/>
      <c r="CC294" s="1603">
        <v>0.43</v>
      </c>
      <c r="CD294" s="1603">
        <v>3</v>
      </c>
      <c r="CE294" s="1603">
        <v>9.9999999999999992E-2</v>
      </c>
      <c r="CF294" s="1603">
        <v>0.68</v>
      </c>
      <c r="CG294" s="1603">
        <v>4.46</v>
      </c>
      <c r="CH294" s="1603">
        <v>1</v>
      </c>
      <c r="CI294" s="1603">
        <v>0.51000029999982399</v>
      </c>
      <c r="CJ294" s="1603"/>
      <c r="CK294" s="1603">
        <v>29.97</v>
      </c>
      <c r="CL294" s="1603">
        <v>3.6199999999999997</v>
      </c>
      <c r="CM294" s="1603">
        <v>29.18</v>
      </c>
      <c r="CN294" s="1603">
        <v>33.9</v>
      </c>
      <c r="CO294" s="1603">
        <v>0</v>
      </c>
      <c r="CP294" s="1603">
        <v>0</v>
      </c>
      <c r="CQ294" s="1603">
        <v>85.624789714285683</v>
      </c>
      <c r="CR294" s="1603">
        <v>75.964016637914511</v>
      </c>
      <c r="CS294" s="1603">
        <v>2.4120094562870622</v>
      </c>
      <c r="CT294" s="1603">
        <v>1.3479814752397932</v>
      </c>
      <c r="CU294" s="1603">
        <v>1.7369932044425533</v>
      </c>
      <c r="CV294" s="1603">
        <v>3.0849746796823467</v>
      </c>
      <c r="CW294" s="1603">
        <v>2.2732231978895916</v>
      </c>
      <c r="CX294" s="1603">
        <v>0.85262012274395249</v>
      </c>
      <c r="CY294" s="1603">
        <v>2.5779148686242666</v>
      </c>
      <c r="CZ294" s="1603">
        <v>4.9256587668356531</v>
      </c>
      <c r="DA294" s="1603">
        <v>1.7369932044425533</v>
      </c>
      <c r="DB294" s="1603">
        <v>3.5107529929378578</v>
      </c>
      <c r="DC294" s="1603">
        <v>2.1269924658616062</v>
      </c>
      <c r="DD294" s="1603">
        <v>5.637745458799464</v>
      </c>
      <c r="DE294" s="1603">
        <v>3.364902080993061</v>
      </c>
      <c r="DF294" s="1603">
        <v>0</v>
      </c>
      <c r="DG294" s="1603">
        <v>0</v>
      </c>
      <c r="DH294" s="1603">
        <v>0</v>
      </c>
      <c r="DI294" s="1603">
        <v>0</v>
      </c>
      <c r="DJ294" s="1603">
        <v>0</v>
      </c>
      <c r="DK294" s="1603">
        <v>0</v>
      </c>
      <c r="DL294" s="1603">
        <v>0</v>
      </c>
      <c r="DM294" s="1603">
        <v>0</v>
      </c>
      <c r="DN294" s="1603">
        <v>0</v>
      </c>
      <c r="DO294" s="1603">
        <v>0</v>
      </c>
      <c r="DP294" s="1603">
        <v>0</v>
      </c>
      <c r="DQ294" s="1603">
        <v>0</v>
      </c>
      <c r="DR294" s="1603">
        <v>0</v>
      </c>
      <c r="DS294" s="1603">
        <v>0</v>
      </c>
      <c r="DT294" s="1603">
        <v>0</v>
      </c>
      <c r="DU294" s="1603">
        <v>0</v>
      </c>
      <c r="DV294" s="1603">
        <v>0</v>
      </c>
      <c r="DW294" s="1618" t="s">
        <v>3017</v>
      </c>
      <c r="DX294" s="1605">
        <v>21</v>
      </c>
      <c r="DY294" s="1605">
        <v>21</v>
      </c>
      <c r="DZ294" s="1605">
        <v>12</v>
      </c>
      <c r="EA294" s="1605">
        <v>12</v>
      </c>
      <c r="EB294" s="1605" t="s">
        <v>986</v>
      </c>
      <c r="EC294" s="1605">
        <v>12</v>
      </c>
      <c r="ED294" s="1605">
        <v>12</v>
      </c>
      <c r="EE294" s="1605">
        <v>16</v>
      </c>
      <c r="EF294" s="1605">
        <v>12</v>
      </c>
      <c r="EG294" s="1605">
        <v>12</v>
      </c>
      <c r="EH294" s="1605" t="s">
        <v>986</v>
      </c>
      <c r="EI294" s="1605" t="s">
        <v>986</v>
      </c>
      <c r="EJ294" s="1605" t="s">
        <v>986</v>
      </c>
      <c r="EK294" s="1605" t="s">
        <v>986</v>
      </c>
      <c r="EL294" s="1605" t="s">
        <v>986</v>
      </c>
      <c r="EM294" s="1605" t="s">
        <v>986</v>
      </c>
      <c r="EN294" s="1605" t="s">
        <v>986</v>
      </c>
      <c r="EO294" s="1605" t="s">
        <v>986</v>
      </c>
      <c r="EP294" s="1605" t="s">
        <v>986</v>
      </c>
      <c r="EQ294" s="1605" t="s">
        <v>986</v>
      </c>
      <c r="ER294" s="1605" t="s">
        <v>986</v>
      </c>
      <c r="ES294" s="1605">
        <v>12</v>
      </c>
      <c r="ET294" s="1605">
        <v>21</v>
      </c>
      <c r="EU294" s="1605">
        <v>11</v>
      </c>
      <c r="EV294" s="1605">
        <v>4</v>
      </c>
      <c r="EW294" s="1605">
        <v>12</v>
      </c>
      <c r="EX294" s="1605">
        <v>12</v>
      </c>
      <c r="EY294" s="1605" t="s">
        <v>986</v>
      </c>
      <c r="EZ294" s="1605">
        <v>12</v>
      </c>
      <c r="FA294" s="1605">
        <v>12</v>
      </c>
      <c r="FB294" s="1605">
        <v>12</v>
      </c>
      <c r="FC294" s="1605">
        <v>12</v>
      </c>
      <c r="FD294" s="1605" t="s">
        <v>986</v>
      </c>
      <c r="FE294" s="1605" t="s">
        <v>986</v>
      </c>
      <c r="FF294" s="1605">
        <v>0.90087259286284715</v>
      </c>
      <c r="FG294" s="1605">
        <v>0.33184043742470032</v>
      </c>
      <c r="FH294" s="1605">
        <v>0.19492314642805192</v>
      </c>
      <c r="FI294" s="1605">
        <v>7.7563226043684666E-2</v>
      </c>
      <c r="FJ294" s="1605" t="s">
        <v>986</v>
      </c>
      <c r="FK294" s="1605">
        <v>1.0680343937927463</v>
      </c>
      <c r="FL294" s="1605">
        <v>0.78511789101006457</v>
      </c>
      <c r="FM294" s="1605" t="s">
        <v>986</v>
      </c>
      <c r="FN294" s="1605">
        <v>1.3305478537650608</v>
      </c>
      <c r="FO294" s="1605">
        <v>1.0235379645967937</v>
      </c>
      <c r="FP294" s="1605" t="s">
        <v>986</v>
      </c>
      <c r="FQ294" s="1605" t="s">
        <v>986</v>
      </c>
      <c r="FR294" s="1605" t="s">
        <v>986</v>
      </c>
      <c r="FS294" s="1605" t="s">
        <v>986</v>
      </c>
      <c r="FT294" s="1605" t="s">
        <v>986</v>
      </c>
      <c r="FU294" s="1605" t="s">
        <v>986</v>
      </c>
      <c r="FV294" s="1605" t="s">
        <v>986</v>
      </c>
      <c r="FW294" s="1605" t="s">
        <v>986</v>
      </c>
      <c r="FX294" s="1605" t="s">
        <v>986</v>
      </c>
      <c r="FY294" s="1605" t="s">
        <v>986</v>
      </c>
      <c r="FZ294" s="1605" t="s">
        <v>986</v>
      </c>
      <c r="GA294" s="1605">
        <v>2.96241148466296E-2</v>
      </c>
      <c r="GB294" s="1605">
        <v>0.17087984508265219</v>
      </c>
      <c r="GC294" s="1605">
        <v>1.0052635656072554E-3</v>
      </c>
      <c r="GD294" s="1605">
        <v>8.7146555958063008E-4</v>
      </c>
      <c r="GE294" s="1605">
        <v>0.33932241599386065</v>
      </c>
      <c r="GF294" s="1605">
        <v>5.6994550610210311E-2</v>
      </c>
      <c r="GG294" s="1605" t="s">
        <v>986</v>
      </c>
      <c r="GH294" s="1605">
        <v>2.4973673026051428</v>
      </c>
      <c r="GI294" s="1605">
        <v>0.52317613246379124</v>
      </c>
      <c r="GJ294" s="1605">
        <v>5.0760414642984752</v>
      </c>
      <c r="GK294" s="1605">
        <v>3.8163949446873717</v>
      </c>
      <c r="GL294" s="1605" t="s">
        <v>986</v>
      </c>
      <c r="GM294" s="1605" t="s">
        <v>986</v>
      </c>
      <c r="GN294" s="1605" t="s">
        <v>3027</v>
      </c>
      <c r="GO294" s="1605" t="s">
        <v>3027</v>
      </c>
      <c r="GP294" s="1605" t="s">
        <v>3027</v>
      </c>
      <c r="GQ294" s="1605" t="s">
        <v>3027</v>
      </c>
      <c r="GR294" s="1605" t="s">
        <v>3026</v>
      </c>
      <c r="GS294" s="1605" t="s">
        <v>3027</v>
      </c>
      <c r="GT294" s="1605" t="s">
        <v>3027</v>
      </c>
      <c r="GU294" s="1605" t="s">
        <v>3026</v>
      </c>
      <c r="GV294" s="1605" t="s">
        <v>3027</v>
      </c>
      <c r="GW294" s="1605" t="s">
        <v>3027</v>
      </c>
      <c r="GX294" s="1605" t="s">
        <v>3027</v>
      </c>
      <c r="GY294" s="1605" t="s">
        <v>3027</v>
      </c>
      <c r="GZ294" s="1605" t="s">
        <v>3027</v>
      </c>
      <c r="HA294" s="1605" t="s">
        <v>3027</v>
      </c>
      <c r="HB294" s="1605" t="s">
        <v>3026</v>
      </c>
      <c r="HC294" s="1605" t="s">
        <v>3027</v>
      </c>
      <c r="HD294" s="1605" t="s">
        <v>3027</v>
      </c>
      <c r="HE294" s="1605" t="s">
        <v>3027</v>
      </c>
      <c r="HF294" s="1605" t="s">
        <v>3027</v>
      </c>
      <c r="HG294" s="1605" t="s">
        <v>3027</v>
      </c>
      <c r="HH294" s="1605" t="s">
        <v>3027</v>
      </c>
      <c r="HI294" s="1605" t="s">
        <v>3027</v>
      </c>
      <c r="HJ294" s="1605" t="s">
        <v>3027</v>
      </c>
      <c r="HK294" s="1605" t="s">
        <v>3027</v>
      </c>
      <c r="HL294" s="1605" t="s">
        <v>1578</v>
      </c>
      <c r="HM294" s="1605" t="s">
        <v>3027</v>
      </c>
      <c r="HN294" s="1605" t="s">
        <v>3027</v>
      </c>
      <c r="HO294" s="1605" t="s">
        <v>986</v>
      </c>
      <c r="HP294" s="1605" t="s">
        <v>3027</v>
      </c>
      <c r="HQ294" s="1605" t="s">
        <v>3027</v>
      </c>
      <c r="HR294" s="1605" t="s">
        <v>3027</v>
      </c>
      <c r="HS294" s="1605" t="s">
        <v>3027</v>
      </c>
      <c r="HT294" s="1605" t="s">
        <v>3026</v>
      </c>
      <c r="HU294" s="1605" t="s">
        <v>3026</v>
      </c>
      <c r="HV294" s="1617"/>
      <c r="HW294" s="1617" t="s">
        <v>3025</v>
      </c>
      <c r="HX294" s="1617" t="s">
        <v>3015</v>
      </c>
      <c r="HY294" s="1617" t="s">
        <v>3014</v>
      </c>
      <c r="HZ294" s="1603"/>
      <c r="IA294" s="1603"/>
      <c r="IB294" s="1603"/>
      <c r="IC294" s="1603">
        <v>59.747967479674799</v>
      </c>
      <c r="ID294" s="1603">
        <v>60.284552845528502</v>
      </c>
      <c r="IE294" s="1603">
        <v>60.731707317073202</v>
      </c>
      <c r="IF294" s="1603">
        <v>61</v>
      </c>
      <c r="IG294" s="1611" t="s">
        <v>3013</v>
      </c>
      <c r="IH294" s="1616" t="s">
        <v>3012</v>
      </c>
      <c r="II294" s="1615" t="s">
        <v>3011</v>
      </c>
      <c r="IJ294" s="1613">
        <v>0.38790909090909093</v>
      </c>
      <c r="IK294" s="1613">
        <v>0.38790909090909093</v>
      </c>
      <c r="IL294" s="1614">
        <v>0.38790909090909093</v>
      </c>
      <c r="IM294" s="1614">
        <v>0.38790909090909093</v>
      </c>
      <c r="IN294" s="1612">
        <v>0.63500000000000001</v>
      </c>
      <c r="IO294" s="1613">
        <v>0.24709090909090908</v>
      </c>
      <c r="IP294" s="1607" t="s">
        <v>270</v>
      </c>
      <c r="IQ294" s="1612">
        <v>2.2200000000000002</v>
      </c>
      <c r="IR294" s="1612">
        <v>7.5999999999999998E-2</v>
      </c>
      <c r="IS294" s="1607">
        <v>0.38390909090909092</v>
      </c>
      <c r="IT294" s="1607">
        <v>0.38390909090909092</v>
      </c>
      <c r="IU294" s="1611">
        <v>1.1363636363636365E-5</v>
      </c>
      <c r="IV294" s="1611">
        <v>7.2272727272727271E-3</v>
      </c>
      <c r="IW294" s="1611">
        <v>8.0681818181818177E-4</v>
      </c>
      <c r="IX294" s="1611">
        <v>7.0454545454545455E-4</v>
      </c>
      <c r="IY294" s="1611">
        <v>8.1818181818181816E-4</v>
      </c>
      <c r="IZ294" s="1611">
        <v>4.7159090909090909E-3</v>
      </c>
      <c r="JA294" s="1611">
        <v>7.9545454545454551E-5</v>
      </c>
      <c r="JB294" s="1611" t="s">
        <v>270</v>
      </c>
      <c r="JC294" s="1611">
        <v>0.10234090909090909</v>
      </c>
      <c r="JD294" s="1611">
        <v>2.2727272727272731E-3</v>
      </c>
      <c r="JE294" s="1611" t="s">
        <v>270</v>
      </c>
      <c r="JF294" s="1611">
        <v>4.3181818181818181E-4</v>
      </c>
      <c r="JG294" s="1611">
        <v>0.54138636363636372</v>
      </c>
      <c r="JH294" s="1611">
        <v>2.8409090909090913E-4</v>
      </c>
      <c r="JI294" s="1611">
        <v>5.0670454545454553E-2</v>
      </c>
      <c r="JJ294" s="1611" t="s">
        <v>270</v>
      </c>
      <c r="JK294" s="1607">
        <f t="shared" si="13"/>
        <v>4.0000000000000036E-3</v>
      </c>
      <c r="JL294" s="1608" t="s">
        <v>270</v>
      </c>
      <c r="JM294" s="1610" t="s">
        <v>2924</v>
      </c>
      <c r="JN294" s="1608">
        <v>0</v>
      </c>
      <c r="JO294" s="1609" t="s">
        <v>2923</v>
      </c>
      <c r="JP294" s="1608" t="s">
        <v>270</v>
      </c>
      <c r="JQ294" s="1607">
        <v>202103</v>
      </c>
      <c r="JR294" s="1606">
        <v>871</v>
      </c>
      <c r="JS294" s="1606">
        <v>793</v>
      </c>
      <c r="JT294" s="1606">
        <v>793</v>
      </c>
    </row>
    <row r="295" spans="1:280" ht="15" customHeight="1" x14ac:dyDescent="0.2">
      <c r="A295" s="1626">
        <v>56001</v>
      </c>
      <c r="B295" s="1625">
        <v>560</v>
      </c>
      <c r="C295" s="1624">
        <v>1</v>
      </c>
      <c r="D295" s="1623" t="s">
        <v>3031</v>
      </c>
      <c r="E295" s="1622">
        <v>44497</v>
      </c>
      <c r="F295" s="1620">
        <v>1.1368620596205963</v>
      </c>
      <c r="G295" s="1620">
        <v>1.1178180415584418</v>
      </c>
      <c r="H295" s="1621">
        <v>90.1</v>
      </c>
      <c r="I295" s="1621">
        <v>86.6</v>
      </c>
      <c r="J295" s="1621">
        <v>93</v>
      </c>
      <c r="K295" s="1620">
        <v>1</v>
      </c>
      <c r="L295" s="1620">
        <v>85</v>
      </c>
      <c r="M295" s="1620">
        <v>10.199999999999999</v>
      </c>
      <c r="N295" s="1620">
        <v>1.9</v>
      </c>
      <c r="O295" s="1620">
        <v>1.6</v>
      </c>
      <c r="P295" s="1620">
        <v>2.6</v>
      </c>
      <c r="Q295" s="1603"/>
      <c r="R295" s="1620">
        <v>84.562611764705863</v>
      </c>
      <c r="S295" s="1620">
        <v>50</v>
      </c>
      <c r="T295" s="1620">
        <v>54.471544715447102</v>
      </c>
      <c r="U295" s="1620">
        <v>56.260162601626</v>
      </c>
      <c r="V295" s="1620">
        <v>57.869918699186996</v>
      </c>
      <c r="W295" s="1620">
        <v>58.943089430894297</v>
      </c>
      <c r="X295" s="1620"/>
      <c r="Y295" s="1620">
        <v>0.50588235294117645</v>
      </c>
      <c r="Z295" s="1620">
        <v>3.5294117647058822</v>
      </c>
      <c r="AA295" s="1620">
        <v>0.11764705882352941</v>
      </c>
      <c r="AB295" s="1620">
        <v>0.8</v>
      </c>
      <c r="AC295" s="1620">
        <v>5.2470588235294118</v>
      </c>
      <c r="AD295" s="1620">
        <v>1.1764705882352942</v>
      </c>
      <c r="AE295" s="1620">
        <v>0.60000035294096943</v>
      </c>
      <c r="AF295" s="1620">
        <v>35.258823529411764</v>
      </c>
      <c r="AG295" s="1620">
        <v>4.2588235294117647</v>
      </c>
      <c r="AH295" s="1620">
        <v>34.329411764705881</v>
      </c>
      <c r="AI295" s="1620">
        <v>39.882352941176471</v>
      </c>
      <c r="AJ295" s="1620">
        <v>0</v>
      </c>
      <c r="AK295" s="1620">
        <v>0</v>
      </c>
      <c r="AL295" s="1620"/>
      <c r="AM295" s="1620">
        <v>3.24</v>
      </c>
      <c r="AN295" s="1620">
        <v>1.69</v>
      </c>
      <c r="AO295" s="1620">
        <v>2.2200000000000002</v>
      </c>
      <c r="AP295" s="1620">
        <v>3.15</v>
      </c>
      <c r="AQ295" s="1620">
        <v>1.22</v>
      </c>
      <c r="AR295" s="1620">
        <v>3.36</v>
      </c>
      <c r="AS295" s="1620">
        <v>6.42</v>
      </c>
      <c r="AT295" s="1620">
        <v>2.2200000000000002</v>
      </c>
      <c r="AU295" s="1620">
        <v>4.3600000000000003</v>
      </c>
      <c r="AV295" s="1620">
        <v>2.8</v>
      </c>
      <c r="AW295" s="1620">
        <v>4.5199999999999996</v>
      </c>
      <c r="AX295" s="1620"/>
      <c r="AY295" s="1620">
        <v>0.98</v>
      </c>
      <c r="AZ295" s="1620">
        <v>1.05</v>
      </c>
      <c r="BA295" s="1620">
        <v>1.03</v>
      </c>
      <c r="BB295" s="1620">
        <v>0.95</v>
      </c>
      <c r="BC295" s="1620">
        <v>0.92</v>
      </c>
      <c r="BD295" s="1620">
        <v>1.01</v>
      </c>
      <c r="BE295" s="1620">
        <v>1.01</v>
      </c>
      <c r="BF295" s="1620">
        <v>1.03</v>
      </c>
      <c r="BG295" s="1620">
        <v>1.06</v>
      </c>
      <c r="BH295" s="1620">
        <v>1</v>
      </c>
      <c r="BI295" s="1620">
        <v>0.98</v>
      </c>
      <c r="BJ295" s="1603"/>
      <c r="BK295" s="1620">
        <v>11.999999999999998</v>
      </c>
      <c r="BL295" s="1620">
        <v>2.2352941176470589</v>
      </c>
      <c r="BM295" s="1620">
        <v>1.8823529411764706</v>
      </c>
      <c r="BN295" s="1620">
        <v>3.0588235294117645</v>
      </c>
      <c r="BO295" s="1620"/>
      <c r="BP295" s="1620">
        <v>105</v>
      </c>
      <c r="BQ295" s="1620">
        <v>23.470588235294116</v>
      </c>
      <c r="BR295" s="1620">
        <v>1.337484776024231</v>
      </c>
      <c r="BS295" s="1620">
        <v>1.3150800488922842</v>
      </c>
      <c r="BT295" s="1603"/>
      <c r="BU295" s="1620">
        <v>981.17647058823525</v>
      </c>
      <c r="BV295" s="1620">
        <v>704.09882352941179</v>
      </c>
      <c r="BW295" s="1620">
        <v>49.058823529411761</v>
      </c>
      <c r="BX295" s="1620">
        <v>641</v>
      </c>
      <c r="BY295" s="1620">
        <v>33</v>
      </c>
      <c r="BZ295" s="1620">
        <v>27</v>
      </c>
      <c r="CA295" s="1620">
        <v>110</v>
      </c>
      <c r="CB295" s="1603"/>
      <c r="CC295" s="1603">
        <v>0.43</v>
      </c>
      <c r="CD295" s="1603">
        <v>3</v>
      </c>
      <c r="CE295" s="1603">
        <v>9.9999999999999992E-2</v>
      </c>
      <c r="CF295" s="1603">
        <v>0.68</v>
      </c>
      <c r="CG295" s="1603">
        <v>4.46</v>
      </c>
      <c r="CH295" s="1603">
        <v>1</v>
      </c>
      <c r="CI295" s="1603">
        <v>0.51000029999982399</v>
      </c>
      <c r="CJ295" s="1603"/>
      <c r="CK295" s="1603">
        <v>29.97</v>
      </c>
      <c r="CL295" s="1603">
        <v>3.6199999999999997</v>
      </c>
      <c r="CM295" s="1603">
        <v>29.18</v>
      </c>
      <c r="CN295" s="1603">
        <v>33.9</v>
      </c>
      <c r="CO295" s="1603">
        <v>0</v>
      </c>
      <c r="CP295" s="1603">
        <v>0</v>
      </c>
      <c r="CQ295" s="1603">
        <v>86.253863999999979</v>
      </c>
      <c r="CR295" s="1603">
        <v>75.870122738360521</v>
      </c>
      <c r="CS295" s="1603">
        <v>2.4090281371884239</v>
      </c>
      <c r="CT295" s="1603">
        <v>1.3463153279922075</v>
      </c>
      <c r="CU295" s="1603">
        <v>1.7348462265353519</v>
      </c>
      <c r="CV295" s="1603">
        <v>3.0811615545275597</v>
      </c>
      <c r="CW295" s="1603">
        <v>2.2704134229454382</v>
      </c>
      <c r="CX295" s="1603">
        <v>0.85156625761535854</v>
      </c>
      <c r="CY295" s="1603">
        <v>2.5747284852490027</v>
      </c>
      <c r="CZ295" s="1603">
        <v>4.9195704986007733</v>
      </c>
      <c r="DA295" s="1603">
        <v>1.7348462265353519</v>
      </c>
      <c r="DB295" s="1603">
        <v>3.5064135924760707</v>
      </c>
      <c r="DC295" s="1603">
        <v>2.1243634366740949</v>
      </c>
      <c r="DD295" s="1603">
        <v>5.6307770291501651</v>
      </c>
      <c r="DE295" s="1603">
        <v>3.3607429568184175</v>
      </c>
      <c r="DF295" s="1603">
        <v>0</v>
      </c>
      <c r="DG295" s="1603">
        <v>0</v>
      </c>
      <c r="DH295" s="1603">
        <v>0</v>
      </c>
      <c r="DI295" s="1603">
        <v>0</v>
      </c>
      <c r="DJ295" s="1603">
        <v>0</v>
      </c>
      <c r="DK295" s="1603">
        <v>0</v>
      </c>
      <c r="DL295" s="1603">
        <v>0</v>
      </c>
      <c r="DM295" s="1603">
        <v>0</v>
      </c>
      <c r="DN295" s="1603">
        <v>0</v>
      </c>
      <c r="DO295" s="1603">
        <v>0</v>
      </c>
      <c r="DP295" s="1603">
        <v>0</v>
      </c>
      <c r="DQ295" s="1603">
        <v>0</v>
      </c>
      <c r="DR295" s="1603">
        <v>0</v>
      </c>
      <c r="DS295" s="1603">
        <v>0</v>
      </c>
      <c r="DT295" s="1603">
        <v>0</v>
      </c>
      <c r="DU295" s="1603">
        <v>0</v>
      </c>
      <c r="DV295" s="1603">
        <v>0</v>
      </c>
      <c r="DW295" s="1618" t="s">
        <v>3017</v>
      </c>
      <c r="DX295" s="1605">
        <v>21</v>
      </c>
      <c r="DY295" s="1605">
        <v>21</v>
      </c>
      <c r="DZ295" s="1605">
        <v>12</v>
      </c>
      <c r="EA295" s="1605">
        <v>12</v>
      </c>
      <c r="EB295" s="1605" t="s">
        <v>986</v>
      </c>
      <c r="EC295" s="1605">
        <v>12</v>
      </c>
      <c r="ED295" s="1605">
        <v>12</v>
      </c>
      <c r="EE295" s="1605">
        <v>16</v>
      </c>
      <c r="EF295" s="1605">
        <v>12</v>
      </c>
      <c r="EG295" s="1605">
        <v>12</v>
      </c>
      <c r="EH295" s="1605" t="s">
        <v>986</v>
      </c>
      <c r="EI295" s="1605" t="s">
        <v>986</v>
      </c>
      <c r="EJ295" s="1605" t="s">
        <v>986</v>
      </c>
      <c r="EK295" s="1605" t="s">
        <v>986</v>
      </c>
      <c r="EL295" s="1605" t="s">
        <v>986</v>
      </c>
      <c r="EM295" s="1605" t="s">
        <v>986</v>
      </c>
      <c r="EN295" s="1605" t="s">
        <v>986</v>
      </c>
      <c r="EO295" s="1605" t="s">
        <v>986</v>
      </c>
      <c r="EP295" s="1605" t="s">
        <v>986</v>
      </c>
      <c r="EQ295" s="1605" t="s">
        <v>986</v>
      </c>
      <c r="ER295" s="1605" t="s">
        <v>986</v>
      </c>
      <c r="ES295" s="1605">
        <v>12</v>
      </c>
      <c r="ET295" s="1605">
        <v>21</v>
      </c>
      <c r="EU295" s="1605">
        <v>11</v>
      </c>
      <c r="EV295" s="1605">
        <v>4</v>
      </c>
      <c r="EW295" s="1605">
        <v>12</v>
      </c>
      <c r="EX295" s="1605">
        <v>12</v>
      </c>
      <c r="EY295" s="1605" t="s">
        <v>986</v>
      </c>
      <c r="EZ295" s="1605">
        <v>12</v>
      </c>
      <c r="FA295" s="1605">
        <v>12</v>
      </c>
      <c r="FB295" s="1605">
        <v>12</v>
      </c>
      <c r="FC295" s="1605">
        <v>12</v>
      </c>
      <c r="FD295" s="1605" t="s">
        <v>986</v>
      </c>
      <c r="FE295" s="1605" t="s">
        <v>986</v>
      </c>
      <c r="FF295" s="1605">
        <v>0.90087259286284715</v>
      </c>
      <c r="FG295" s="1605">
        <v>0.33184043742470032</v>
      </c>
      <c r="FH295" s="1605">
        <v>0.19492314642805192</v>
      </c>
      <c r="FI295" s="1605">
        <v>7.7563226043684666E-2</v>
      </c>
      <c r="FJ295" s="1605" t="s">
        <v>986</v>
      </c>
      <c r="FK295" s="1605">
        <v>1.0680343937927463</v>
      </c>
      <c r="FL295" s="1605">
        <v>0.78511789101006457</v>
      </c>
      <c r="FM295" s="1605" t="s">
        <v>986</v>
      </c>
      <c r="FN295" s="1605">
        <v>1.3305478537650608</v>
      </c>
      <c r="FO295" s="1605">
        <v>1.0235379645967937</v>
      </c>
      <c r="FP295" s="1605" t="s">
        <v>986</v>
      </c>
      <c r="FQ295" s="1605" t="s">
        <v>986</v>
      </c>
      <c r="FR295" s="1605" t="s">
        <v>986</v>
      </c>
      <c r="FS295" s="1605" t="s">
        <v>986</v>
      </c>
      <c r="FT295" s="1605" t="s">
        <v>986</v>
      </c>
      <c r="FU295" s="1605" t="s">
        <v>986</v>
      </c>
      <c r="FV295" s="1605" t="s">
        <v>986</v>
      </c>
      <c r="FW295" s="1605" t="s">
        <v>986</v>
      </c>
      <c r="FX295" s="1605" t="s">
        <v>986</v>
      </c>
      <c r="FY295" s="1605" t="s">
        <v>986</v>
      </c>
      <c r="FZ295" s="1605" t="s">
        <v>986</v>
      </c>
      <c r="GA295" s="1605">
        <v>2.96241148466296E-2</v>
      </c>
      <c r="GB295" s="1605">
        <v>0.17087984508265219</v>
      </c>
      <c r="GC295" s="1605">
        <v>1.0052635656072554E-3</v>
      </c>
      <c r="GD295" s="1605">
        <v>8.7146555958063008E-4</v>
      </c>
      <c r="GE295" s="1605">
        <v>0.33932241599386065</v>
      </c>
      <c r="GF295" s="1605">
        <v>5.6994550610210311E-2</v>
      </c>
      <c r="GG295" s="1605" t="s">
        <v>986</v>
      </c>
      <c r="GH295" s="1605">
        <v>2.4973673026051428</v>
      </c>
      <c r="GI295" s="1605">
        <v>0.52317613246379124</v>
      </c>
      <c r="GJ295" s="1605">
        <v>5.0760414642984752</v>
      </c>
      <c r="GK295" s="1605">
        <v>3.8163949446873717</v>
      </c>
      <c r="GL295" s="1605" t="s">
        <v>986</v>
      </c>
      <c r="GM295" s="1605" t="s">
        <v>986</v>
      </c>
      <c r="GN295" s="1605" t="s">
        <v>3027</v>
      </c>
      <c r="GO295" s="1605" t="s">
        <v>3027</v>
      </c>
      <c r="GP295" s="1605" t="s">
        <v>3027</v>
      </c>
      <c r="GQ295" s="1605" t="s">
        <v>3027</v>
      </c>
      <c r="GR295" s="1605" t="s">
        <v>3026</v>
      </c>
      <c r="GS295" s="1605" t="s">
        <v>3027</v>
      </c>
      <c r="GT295" s="1605" t="s">
        <v>3027</v>
      </c>
      <c r="GU295" s="1605" t="s">
        <v>3026</v>
      </c>
      <c r="GV295" s="1605" t="s">
        <v>3027</v>
      </c>
      <c r="GW295" s="1605" t="s">
        <v>3027</v>
      </c>
      <c r="GX295" s="1605" t="s">
        <v>3027</v>
      </c>
      <c r="GY295" s="1605" t="s">
        <v>3027</v>
      </c>
      <c r="GZ295" s="1605" t="s">
        <v>3027</v>
      </c>
      <c r="HA295" s="1605" t="s">
        <v>3027</v>
      </c>
      <c r="HB295" s="1605" t="s">
        <v>3026</v>
      </c>
      <c r="HC295" s="1605" t="s">
        <v>3027</v>
      </c>
      <c r="HD295" s="1605" t="s">
        <v>3027</v>
      </c>
      <c r="HE295" s="1605" t="s">
        <v>3027</v>
      </c>
      <c r="HF295" s="1605" t="s">
        <v>3027</v>
      </c>
      <c r="HG295" s="1605" t="s">
        <v>3027</v>
      </c>
      <c r="HH295" s="1605" t="s">
        <v>3027</v>
      </c>
      <c r="HI295" s="1605" t="s">
        <v>3027</v>
      </c>
      <c r="HJ295" s="1605" t="s">
        <v>3027</v>
      </c>
      <c r="HK295" s="1605" t="s">
        <v>3027</v>
      </c>
      <c r="HL295" s="1605" t="s">
        <v>1578</v>
      </c>
      <c r="HM295" s="1605" t="s">
        <v>3027</v>
      </c>
      <c r="HN295" s="1605" t="s">
        <v>3027</v>
      </c>
      <c r="HO295" s="1605" t="s">
        <v>986</v>
      </c>
      <c r="HP295" s="1605" t="s">
        <v>3027</v>
      </c>
      <c r="HQ295" s="1605" t="s">
        <v>3027</v>
      </c>
      <c r="HR295" s="1605" t="s">
        <v>3027</v>
      </c>
      <c r="HS295" s="1605" t="s">
        <v>3027</v>
      </c>
      <c r="HT295" s="1605" t="s">
        <v>3026</v>
      </c>
      <c r="HU295" s="1605" t="s">
        <v>3026</v>
      </c>
      <c r="HV295" s="1617"/>
      <c r="HW295" s="1617" t="s">
        <v>3025</v>
      </c>
      <c r="HX295" s="1617" t="s">
        <v>3015</v>
      </c>
      <c r="HY295" s="1617" t="s">
        <v>3014</v>
      </c>
      <c r="HZ295" s="1603"/>
      <c r="IA295" s="1603"/>
      <c r="IB295" s="1603"/>
      <c r="IC295" s="1603">
        <v>59.747967479674799</v>
      </c>
      <c r="ID295" s="1603">
        <v>60.284552845528502</v>
      </c>
      <c r="IE295" s="1603">
        <v>60.731707317073202</v>
      </c>
      <c r="IF295" s="1603">
        <v>61</v>
      </c>
      <c r="IG295" s="1611" t="s">
        <v>3013</v>
      </c>
      <c r="IH295" s="1616" t="s">
        <v>3012</v>
      </c>
      <c r="II295" s="1615" t="s">
        <v>3011</v>
      </c>
      <c r="IJ295" s="1613">
        <v>0.38790909090909093</v>
      </c>
      <c r="IK295" s="1613">
        <v>0.38790909090909093</v>
      </c>
      <c r="IL295" s="1614">
        <v>0.38790909090909093</v>
      </c>
      <c r="IM295" s="1614">
        <v>0.38790909090909093</v>
      </c>
      <c r="IN295" s="1612">
        <v>0.63500000000000001</v>
      </c>
      <c r="IO295" s="1613">
        <v>0.24709090909090908</v>
      </c>
      <c r="IP295" s="1607" t="s">
        <v>270</v>
      </c>
      <c r="IQ295" s="1612">
        <v>2.2200000000000002</v>
      </c>
      <c r="IR295" s="1612">
        <v>7.5999999999999998E-2</v>
      </c>
      <c r="IS295" s="1607">
        <v>0.38390909090909092</v>
      </c>
      <c r="IT295" s="1607">
        <v>0.38390909090909092</v>
      </c>
      <c r="IU295" s="1611">
        <v>1.1363636363636365E-5</v>
      </c>
      <c r="IV295" s="1611">
        <v>7.2272727272727271E-3</v>
      </c>
      <c r="IW295" s="1611">
        <v>8.0681818181818177E-4</v>
      </c>
      <c r="IX295" s="1611">
        <v>7.0454545454545455E-4</v>
      </c>
      <c r="IY295" s="1611">
        <v>8.1818181818181816E-4</v>
      </c>
      <c r="IZ295" s="1611">
        <v>4.7159090909090909E-3</v>
      </c>
      <c r="JA295" s="1611">
        <v>7.9545454545454551E-5</v>
      </c>
      <c r="JB295" s="1611" t="s">
        <v>270</v>
      </c>
      <c r="JC295" s="1611">
        <v>0.10234090909090909</v>
      </c>
      <c r="JD295" s="1611">
        <v>2.2727272727272731E-3</v>
      </c>
      <c r="JE295" s="1611" t="s">
        <v>270</v>
      </c>
      <c r="JF295" s="1611">
        <v>4.3181818181818181E-4</v>
      </c>
      <c r="JG295" s="1611">
        <v>0.54138636363636372</v>
      </c>
      <c r="JH295" s="1611">
        <v>2.8409090909090913E-4</v>
      </c>
      <c r="JI295" s="1611">
        <v>5.0670454545454553E-2</v>
      </c>
      <c r="JJ295" s="1611" t="s">
        <v>270</v>
      </c>
      <c r="JK295" s="1607">
        <f t="shared" si="13"/>
        <v>4.0000000000000036E-3</v>
      </c>
      <c r="JL295" s="1608" t="s">
        <v>270</v>
      </c>
      <c r="JM295" s="1610" t="s">
        <v>2924</v>
      </c>
      <c r="JN295" s="1608">
        <v>0</v>
      </c>
      <c r="JO295" s="1609" t="s">
        <v>2923</v>
      </c>
      <c r="JP295" s="1608" t="s">
        <v>270</v>
      </c>
      <c r="JQ295" s="1607">
        <v>202103</v>
      </c>
      <c r="JR295" s="1606">
        <v>871</v>
      </c>
      <c r="JS295" s="1606">
        <v>793</v>
      </c>
      <c r="JT295" s="1606">
        <v>793</v>
      </c>
    </row>
    <row r="296" spans="1:280" ht="15" customHeight="1" x14ac:dyDescent="0.2">
      <c r="A296" s="1626">
        <v>56010</v>
      </c>
      <c r="B296" s="1625">
        <v>560</v>
      </c>
      <c r="C296" s="1624">
        <v>10</v>
      </c>
      <c r="D296" s="1623" t="s">
        <v>3030</v>
      </c>
      <c r="E296" s="1622">
        <v>44497</v>
      </c>
      <c r="F296" s="1620">
        <v>1.1271756484707705</v>
      </c>
      <c r="G296" s="1620">
        <v>1.1110098782931355</v>
      </c>
      <c r="H296" s="1621">
        <v>90.1</v>
      </c>
      <c r="I296" s="1621">
        <v>85.8</v>
      </c>
      <c r="J296" s="1621">
        <v>93</v>
      </c>
      <c r="K296" s="1620">
        <v>1</v>
      </c>
      <c r="L296" s="1620">
        <v>85</v>
      </c>
      <c r="M296" s="1620">
        <v>10.199999999999999</v>
      </c>
      <c r="N296" s="1620">
        <v>1.9</v>
      </c>
      <c r="O296" s="1620">
        <v>1.6</v>
      </c>
      <c r="P296" s="1620">
        <v>2.6</v>
      </c>
      <c r="Q296" s="1603"/>
      <c r="R296" s="1620">
        <v>83.945872268907536</v>
      </c>
      <c r="S296" s="1620">
        <v>28</v>
      </c>
      <c r="T296" s="1620">
        <v>41.414634146341498</v>
      </c>
      <c r="U296" s="1620">
        <v>46.780487804878</v>
      </c>
      <c r="V296" s="1620">
        <v>51.609756097560997</v>
      </c>
      <c r="W296" s="1620">
        <v>54.829268292682897</v>
      </c>
      <c r="X296" s="1620"/>
      <c r="Y296" s="1620">
        <v>0.50588235294117645</v>
      </c>
      <c r="Z296" s="1620">
        <v>3.5294117647058822</v>
      </c>
      <c r="AA296" s="1620">
        <v>0.11764705882352941</v>
      </c>
      <c r="AB296" s="1620">
        <v>0.8</v>
      </c>
      <c r="AC296" s="1620">
        <v>5.2470588235294118</v>
      </c>
      <c r="AD296" s="1620">
        <v>1.1764705882352942</v>
      </c>
      <c r="AE296" s="1620">
        <v>0.60000035294096943</v>
      </c>
      <c r="AF296" s="1620">
        <v>35.258823529411764</v>
      </c>
      <c r="AG296" s="1620">
        <v>4.2588235294117647</v>
      </c>
      <c r="AH296" s="1620">
        <v>34.329411764705881</v>
      </c>
      <c r="AI296" s="1620">
        <v>39.882352941176471</v>
      </c>
      <c r="AJ296" s="1620">
        <v>0</v>
      </c>
      <c r="AK296" s="1620">
        <v>0</v>
      </c>
      <c r="AL296" s="1620"/>
      <c r="AM296" s="1620">
        <v>3.24</v>
      </c>
      <c r="AN296" s="1620">
        <v>1.69</v>
      </c>
      <c r="AO296" s="1620">
        <v>2.2200000000000002</v>
      </c>
      <c r="AP296" s="1620">
        <v>3.15</v>
      </c>
      <c r="AQ296" s="1620">
        <v>1.22</v>
      </c>
      <c r="AR296" s="1620">
        <v>3.36</v>
      </c>
      <c r="AS296" s="1620">
        <v>6.42</v>
      </c>
      <c r="AT296" s="1620">
        <v>2.2200000000000002</v>
      </c>
      <c r="AU296" s="1620">
        <v>4.3600000000000003</v>
      </c>
      <c r="AV296" s="1620">
        <v>2.8</v>
      </c>
      <c r="AW296" s="1620">
        <v>4.5199999999999996</v>
      </c>
      <c r="AX296" s="1620"/>
      <c r="AY296" s="1620">
        <v>0.98</v>
      </c>
      <c r="AZ296" s="1620">
        <v>1.05</v>
      </c>
      <c r="BA296" s="1620">
        <v>1.03</v>
      </c>
      <c r="BB296" s="1620">
        <v>0.95</v>
      </c>
      <c r="BC296" s="1620">
        <v>0.92</v>
      </c>
      <c r="BD296" s="1620">
        <v>1.01</v>
      </c>
      <c r="BE296" s="1620">
        <v>1.01</v>
      </c>
      <c r="BF296" s="1620">
        <v>1.03</v>
      </c>
      <c r="BG296" s="1620">
        <v>1.06</v>
      </c>
      <c r="BH296" s="1620">
        <v>1</v>
      </c>
      <c r="BI296" s="1620">
        <v>0.98</v>
      </c>
      <c r="BJ296" s="1603"/>
      <c r="BK296" s="1620">
        <v>11.999999999999998</v>
      </c>
      <c r="BL296" s="1620">
        <v>2.2352941176470589</v>
      </c>
      <c r="BM296" s="1620">
        <v>1.8823529411764706</v>
      </c>
      <c r="BN296" s="1620">
        <v>3.0588235294117645</v>
      </c>
      <c r="BO296" s="1620"/>
      <c r="BP296" s="1620">
        <v>105</v>
      </c>
      <c r="BQ296" s="1620">
        <v>23.470588235294116</v>
      </c>
      <c r="BR296" s="1620">
        <v>1.3260889982009063</v>
      </c>
      <c r="BS296" s="1620">
        <v>1.3070704450507475</v>
      </c>
      <c r="BT296" s="1603"/>
      <c r="BU296" s="1620">
        <v>981.17647058823525</v>
      </c>
      <c r="BV296" s="1620">
        <v>692.88537815126051</v>
      </c>
      <c r="BW296" s="1620">
        <v>60.272268907562989</v>
      </c>
      <c r="BX296" s="1620">
        <v>641</v>
      </c>
      <c r="BY296" s="1620">
        <v>33</v>
      </c>
      <c r="BZ296" s="1620">
        <v>30</v>
      </c>
      <c r="CA296" s="1620">
        <v>118</v>
      </c>
      <c r="CB296" s="1603"/>
      <c r="CC296" s="1603">
        <v>0.43</v>
      </c>
      <c r="CD296" s="1603">
        <v>3</v>
      </c>
      <c r="CE296" s="1603">
        <v>9.9999999999999992E-2</v>
      </c>
      <c r="CF296" s="1603">
        <v>0.68</v>
      </c>
      <c r="CG296" s="1603">
        <v>4.46</v>
      </c>
      <c r="CH296" s="1603">
        <v>1</v>
      </c>
      <c r="CI296" s="1603">
        <v>0.51000029999982399</v>
      </c>
      <c r="CJ296" s="1603"/>
      <c r="CK296" s="1603">
        <v>29.97</v>
      </c>
      <c r="CL296" s="1603">
        <v>3.6199999999999997</v>
      </c>
      <c r="CM296" s="1603">
        <v>29.18</v>
      </c>
      <c r="CN296" s="1603">
        <v>33.9</v>
      </c>
      <c r="CO296" s="1603">
        <v>0</v>
      </c>
      <c r="CP296" s="1603">
        <v>0</v>
      </c>
      <c r="CQ296" s="1603">
        <v>85.624789714285683</v>
      </c>
      <c r="CR296" s="1603">
        <v>75.964016637914511</v>
      </c>
      <c r="CS296" s="1603">
        <v>2.4120094562870622</v>
      </c>
      <c r="CT296" s="1603">
        <v>1.3479814752397932</v>
      </c>
      <c r="CU296" s="1603">
        <v>1.7369932044425533</v>
      </c>
      <c r="CV296" s="1603">
        <v>3.0849746796823467</v>
      </c>
      <c r="CW296" s="1603">
        <v>2.2732231978895916</v>
      </c>
      <c r="CX296" s="1603">
        <v>0.85262012274395249</v>
      </c>
      <c r="CY296" s="1603">
        <v>2.5779148686242666</v>
      </c>
      <c r="CZ296" s="1603">
        <v>4.9256587668356531</v>
      </c>
      <c r="DA296" s="1603">
        <v>1.7369932044425533</v>
      </c>
      <c r="DB296" s="1603">
        <v>3.5107529929378578</v>
      </c>
      <c r="DC296" s="1603">
        <v>2.1269924658616062</v>
      </c>
      <c r="DD296" s="1603">
        <v>5.637745458799464</v>
      </c>
      <c r="DE296" s="1603">
        <v>3.364902080993061</v>
      </c>
      <c r="DF296" s="1603">
        <v>0</v>
      </c>
      <c r="DG296" s="1603">
        <v>0</v>
      </c>
      <c r="DH296" s="1603">
        <v>0</v>
      </c>
      <c r="DI296" s="1603">
        <v>0</v>
      </c>
      <c r="DJ296" s="1603">
        <v>0</v>
      </c>
      <c r="DK296" s="1603">
        <v>0</v>
      </c>
      <c r="DL296" s="1603">
        <v>0</v>
      </c>
      <c r="DM296" s="1603">
        <v>0</v>
      </c>
      <c r="DN296" s="1603">
        <v>0</v>
      </c>
      <c r="DO296" s="1603">
        <v>0</v>
      </c>
      <c r="DP296" s="1603">
        <v>0</v>
      </c>
      <c r="DQ296" s="1603">
        <v>0</v>
      </c>
      <c r="DR296" s="1603">
        <v>0</v>
      </c>
      <c r="DS296" s="1603">
        <v>0</v>
      </c>
      <c r="DT296" s="1603">
        <v>0</v>
      </c>
      <c r="DU296" s="1603">
        <v>0</v>
      </c>
      <c r="DV296" s="1603">
        <v>0</v>
      </c>
      <c r="DW296" s="1618" t="s">
        <v>3017</v>
      </c>
      <c r="DX296" s="1605">
        <v>21</v>
      </c>
      <c r="DY296" s="1605">
        <v>21</v>
      </c>
      <c r="DZ296" s="1605">
        <v>12</v>
      </c>
      <c r="EA296" s="1605">
        <v>12</v>
      </c>
      <c r="EB296" s="1605" t="s">
        <v>986</v>
      </c>
      <c r="EC296" s="1605">
        <v>12</v>
      </c>
      <c r="ED296" s="1605">
        <v>12</v>
      </c>
      <c r="EE296" s="1605">
        <v>16</v>
      </c>
      <c r="EF296" s="1605">
        <v>12</v>
      </c>
      <c r="EG296" s="1605">
        <v>12</v>
      </c>
      <c r="EH296" s="1605" t="s">
        <v>986</v>
      </c>
      <c r="EI296" s="1605" t="s">
        <v>986</v>
      </c>
      <c r="EJ296" s="1605" t="s">
        <v>986</v>
      </c>
      <c r="EK296" s="1605" t="s">
        <v>986</v>
      </c>
      <c r="EL296" s="1605" t="s">
        <v>986</v>
      </c>
      <c r="EM296" s="1605" t="s">
        <v>986</v>
      </c>
      <c r="EN296" s="1605" t="s">
        <v>986</v>
      </c>
      <c r="EO296" s="1605" t="s">
        <v>986</v>
      </c>
      <c r="EP296" s="1605" t="s">
        <v>986</v>
      </c>
      <c r="EQ296" s="1605" t="s">
        <v>986</v>
      </c>
      <c r="ER296" s="1605" t="s">
        <v>986</v>
      </c>
      <c r="ES296" s="1605">
        <v>12</v>
      </c>
      <c r="ET296" s="1605">
        <v>21</v>
      </c>
      <c r="EU296" s="1605">
        <v>11</v>
      </c>
      <c r="EV296" s="1605">
        <v>4</v>
      </c>
      <c r="EW296" s="1605">
        <v>12</v>
      </c>
      <c r="EX296" s="1605">
        <v>12</v>
      </c>
      <c r="EY296" s="1605" t="s">
        <v>986</v>
      </c>
      <c r="EZ296" s="1605">
        <v>12</v>
      </c>
      <c r="FA296" s="1605">
        <v>12</v>
      </c>
      <c r="FB296" s="1605">
        <v>12</v>
      </c>
      <c r="FC296" s="1605">
        <v>12</v>
      </c>
      <c r="FD296" s="1605" t="s">
        <v>986</v>
      </c>
      <c r="FE296" s="1605" t="s">
        <v>986</v>
      </c>
      <c r="FF296" s="1605">
        <v>0.90087259286284715</v>
      </c>
      <c r="FG296" s="1605">
        <v>0.33184043742470032</v>
      </c>
      <c r="FH296" s="1605">
        <v>0.19492314642805192</v>
      </c>
      <c r="FI296" s="1605">
        <v>7.7563226043684666E-2</v>
      </c>
      <c r="FJ296" s="1605" t="s">
        <v>986</v>
      </c>
      <c r="FK296" s="1605">
        <v>1.0680343937927463</v>
      </c>
      <c r="FL296" s="1605">
        <v>0.78511789101006457</v>
      </c>
      <c r="FM296" s="1605" t="s">
        <v>986</v>
      </c>
      <c r="FN296" s="1605">
        <v>1.3305478537650608</v>
      </c>
      <c r="FO296" s="1605">
        <v>1.0235379645967937</v>
      </c>
      <c r="FP296" s="1605" t="s">
        <v>986</v>
      </c>
      <c r="FQ296" s="1605" t="s">
        <v>986</v>
      </c>
      <c r="FR296" s="1605" t="s">
        <v>986</v>
      </c>
      <c r="FS296" s="1605" t="s">
        <v>986</v>
      </c>
      <c r="FT296" s="1605" t="s">
        <v>986</v>
      </c>
      <c r="FU296" s="1605" t="s">
        <v>986</v>
      </c>
      <c r="FV296" s="1605" t="s">
        <v>986</v>
      </c>
      <c r="FW296" s="1605" t="s">
        <v>986</v>
      </c>
      <c r="FX296" s="1605" t="s">
        <v>986</v>
      </c>
      <c r="FY296" s="1605" t="s">
        <v>986</v>
      </c>
      <c r="FZ296" s="1605" t="s">
        <v>986</v>
      </c>
      <c r="GA296" s="1605">
        <v>2.96241148466296E-2</v>
      </c>
      <c r="GB296" s="1605">
        <v>0.17087984508265219</v>
      </c>
      <c r="GC296" s="1605">
        <v>1.0052635656072554E-3</v>
      </c>
      <c r="GD296" s="1605">
        <v>8.7146555958063008E-4</v>
      </c>
      <c r="GE296" s="1605">
        <v>0.33932241599386065</v>
      </c>
      <c r="GF296" s="1605">
        <v>5.6994550610210311E-2</v>
      </c>
      <c r="GG296" s="1605" t="s">
        <v>986</v>
      </c>
      <c r="GH296" s="1605">
        <v>2.4973673026051428</v>
      </c>
      <c r="GI296" s="1605">
        <v>0.52317613246379124</v>
      </c>
      <c r="GJ296" s="1605">
        <v>5.0760414642984752</v>
      </c>
      <c r="GK296" s="1605">
        <v>3.8163949446873717</v>
      </c>
      <c r="GL296" s="1605" t="s">
        <v>986</v>
      </c>
      <c r="GM296" s="1605" t="s">
        <v>986</v>
      </c>
      <c r="GN296" s="1605" t="s">
        <v>3027</v>
      </c>
      <c r="GO296" s="1605" t="s">
        <v>3027</v>
      </c>
      <c r="GP296" s="1605" t="s">
        <v>3027</v>
      </c>
      <c r="GQ296" s="1605" t="s">
        <v>3027</v>
      </c>
      <c r="GR296" s="1605" t="s">
        <v>3026</v>
      </c>
      <c r="GS296" s="1605" t="s">
        <v>3027</v>
      </c>
      <c r="GT296" s="1605" t="s">
        <v>3027</v>
      </c>
      <c r="GU296" s="1605" t="s">
        <v>3026</v>
      </c>
      <c r="GV296" s="1605" t="s">
        <v>3027</v>
      </c>
      <c r="GW296" s="1605" t="s">
        <v>3027</v>
      </c>
      <c r="GX296" s="1605" t="s">
        <v>3027</v>
      </c>
      <c r="GY296" s="1605" t="s">
        <v>3027</v>
      </c>
      <c r="GZ296" s="1605" t="s">
        <v>3027</v>
      </c>
      <c r="HA296" s="1605" t="s">
        <v>3027</v>
      </c>
      <c r="HB296" s="1605" t="s">
        <v>3026</v>
      </c>
      <c r="HC296" s="1605" t="s">
        <v>3027</v>
      </c>
      <c r="HD296" s="1605" t="s">
        <v>3027</v>
      </c>
      <c r="HE296" s="1605" t="s">
        <v>3027</v>
      </c>
      <c r="HF296" s="1605" t="s">
        <v>3027</v>
      </c>
      <c r="HG296" s="1605" t="s">
        <v>3027</v>
      </c>
      <c r="HH296" s="1605" t="s">
        <v>3027</v>
      </c>
      <c r="HI296" s="1605" t="s">
        <v>3027</v>
      </c>
      <c r="HJ296" s="1605" t="s">
        <v>3027</v>
      </c>
      <c r="HK296" s="1605" t="s">
        <v>3027</v>
      </c>
      <c r="HL296" s="1605" t="s">
        <v>1578</v>
      </c>
      <c r="HM296" s="1605" t="s">
        <v>3027</v>
      </c>
      <c r="HN296" s="1605" t="s">
        <v>3027</v>
      </c>
      <c r="HO296" s="1605" t="s">
        <v>986</v>
      </c>
      <c r="HP296" s="1605" t="s">
        <v>3027</v>
      </c>
      <c r="HQ296" s="1605" t="s">
        <v>3027</v>
      </c>
      <c r="HR296" s="1605" t="s">
        <v>3027</v>
      </c>
      <c r="HS296" s="1605" t="s">
        <v>3027</v>
      </c>
      <c r="HT296" s="1605" t="s">
        <v>3026</v>
      </c>
      <c r="HU296" s="1605" t="s">
        <v>3026</v>
      </c>
      <c r="HV296" s="1617"/>
      <c r="HW296" s="1617" t="s">
        <v>3029</v>
      </c>
      <c r="HX296" s="1617" t="s">
        <v>3015</v>
      </c>
      <c r="HY296" s="1617" t="s">
        <v>3014</v>
      </c>
      <c r="HZ296" s="1603"/>
      <c r="IA296" s="1603"/>
      <c r="IB296" s="1603"/>
      <c r="IC296" s="1603">
        <v>57.243902439024403</v>
      </c>
      <c r="ID296" s="1603">
        <v>58.853658536585399</v>
      </c>
      <c r="IE296" s="1603">
        <v>60.195121951219498</v>
      </c>
      <c r="IF296" s="1603">
        <v>61</v>
      </c>
      <c r="IG296" s="1611" t="s">
        <v>3013</v>
      </c>
      <c r="IH296" s="1616" t="s">
        <v>3012</v>
      </c>
      <c r="II296" s="1615" t="s">
        <v>3011</v>
      </c>
      <c r="IJ296" s="1613">
        <v>0.38790909090909093</v>
      </c>
      <c r="IK296" s="1613">
        <v>0.38790909090909093</v>
      </c>
      <c r="IL296" s="1614">
        <v>0.38790909090909093</v>
      </c>
      <c r="IM296" s="1614">
        <v>0.38790909090909093</v>
      </c>
      <c r="IN296" s="1612">
        <v>0.63500000000000001</v>
      </c>
      <c r="IO296" s="1613">
        <v>0.24709090909090908</v>
      </c>
      <c r="IP296" s="1607" t="s">
        <v>270</v>
      </c>
      <c r="IQ296" s="1612">
        <v>2.2200000000000002</v>
      </c>
      <c r="IR296" s="1612">
        <v>7.5999999999999998E-2</v>
      </c>
      <c r="IS296" s="1607">
        <v>0.38390909090909092</v>
      </c>
      <c r="IT296" s="1607">
        <v>0.38390909090909092</v>
      </c>
      <c r="IU296" s="1611">
        <v>1.1363636363636365E-5</v>
      </c>
      <c r="IV296" s="1611">
        <v>7.2272727272727271E-3</v>
      </c>
      <c r="IW296" s="1611">
        <v>8.0681818181818177E-4</v>
      </c>
      <c r="IX296" s="1611">
        <v>7.0454545454545455E-4</v>
      </c>
      <c r="IY296" s="1611">
        <v>8.1818181818181816E-4</v>
      </c>
      <c r="IZ296" s="1611">
        <v>4.7159090909090909E-3</v>
      </c>
      <c r="JA296" s="1611">
        <v>7.9545454545454551E-5</v>
      </c>
      <c r="JB296" s="1611" t="s">
        <v>270</v>
      </c>
      <c r="JC296" s="1611">
        <v>0.10234090909090909</v>
      </c>
      <c r="JD296" s="1611">
        <v>2.2727272727272731E-3</v>
      </c>
      <c r="JE296" s="1611" t="s">
        <v>270</v>
      </c>
      <c r="JF296" s="1611">
        <v>4.3181818181818181E-4</v>
      </c>
      <c r="JG296" s="1611">
        <v>0.54138636363636372</v>
      </c>
      <c r="JH296" s="1611">
        <v>2.8409090909090913E-4</v>
      </c>
      <c r="JI296" s="1611">
        <v>5.0670454545454553E-2</v>
      </c>
      <c r="JJ296" s="1611" t="s">
        <v>270</v>
      </c>
      <c r="JK296" s="1607">
        <f t="shared" si="13"/>
        <v>4.0000000000000036E-3</v>
      </c>
      <c r="JL296" s="1608" t="s">
        <v>270</v>
      </c>
      <c r="JM296" s="1610" t="s">
        <v>2924</v>
      </c>
      <c r="JN296" s="1608">
        <v>0</v>
      </c>
      <c r="JO296" s="1609" t="s">
        <v>2923</v>
      </c>
      <c r="JP296" s="1608" t="s">
        <v>270</v>
      </c>
      <c r="JQ296" s="1607">
        <v>202103</v>
      </c>
      <c r="JR296" s="1606">
        <v>871</v>
      </c>
      <c r="JS296" s="1606">
        <v>793</v>
      </c>
      <c r="JT296" s="1606">
        <v>793</v>
      </c>
    </row>
    <row r="297" spans="1:280" ht="15" customHeight="1" x14ac:dyDescent="0.2">
      <c r="A297" s="1626">
        <v>56011</v>
      </c>
      <c r="B297" s="1625">
        <v>560</v>
      </c>
      <c r="C297" s="1624">
        <v>11</v>
      </c>
      <c r="D297" s="1623" t="s">
        <v>3028</v>
      </c>
      <c r="E297" s="1622">
        <v>44497</v>
      </c>
      <c r="F297" s="1620">
        <v>1.1368620596205963</v>
      </c>
      <c r="G297" s="1620">
        <v>1.1178180415584418</v>
      </c>
      <c r="H297" s="1621">
        <v>90.1</v>
      </c>
      <c r="I297" s="1621">
        <v>86.6</v>
      </c>
      <c r="J297" s="1621">
        <v>93</v>
      </c>
      <c r="K297" s="1620">
        <v>1</v>
      </c>
      <c r="L297" s="1620">
        <v>85</v>
      </c>
      <c r="M297" s="1620">
        <v>10.199999999999999</v>
      </c>
      <c r="N297" s="1620">
        <v>1.9</v>
      </c>
      <c r="O297" s="1620">
        <v>1.6</v>
      </c>
      <c r="P297" s="1620">
        <v>2.6</v>
      </c>
      <c r="Q297" s="1603"/>
      <c r="R297" s="1620">
        <v>84.562611764705863</v>
      </c>
      <c r="S297" s="1620">
        <v>28</v>
      </c>
      <c r="T297" s="1620">
        <v>41.414634146341498</v>
      </c>
      <c r="U297" s="1620">
        <v>46.780487804878</v>
      </c>
      <c r="V297" s="1620">
        <v>51.609756097560997</v>
      </c>
      <c r="W297" s="1620">
        <v>54.829268292682897</v>
      </c>
      <c r="X297" s="1620"/>
      <c r="Y297" s="1620">
        <v>0.50588235294117645</v>
      </c>
      <c r="Z297" s="1620">
        <v>3.5294117647058822</v>
      </c>
      <c r="AA297" s="1620">
        <v>0.11764705882352941</v>
      </c>
      <c r="AB297" s="1620">
        <v>0.8</v>
      </c>
      <c r="AC297" s="1620">
        <v>5.2470588235294118</v>
      </c>
      <c r="AD297" s="1620">
        <v>1.1764705882352942</v>
      </c>
      <c r="AE297" s="1620">
        <v>0.60000035294096943</v>
      </c>
      <c r="AF297" s="1620">
        <v>35.258823529411764</v>
      </c>
      <c r="AG297" s="1620">
        <v>4.2588235294117647</v>
      </c>
      <c r="AH297" s="1620">
        <v>34.329411764705881</v>
      </c>
      <c r="AI297" s="1620">
        <v>39.882352941176471</v>
      </c>
      <c r="AJ297" s="1620">
        <v>0</v>
      </c>
      <c r="AK297" s="1620">
        <v>0</v>
      </c>
      <c r="AL297" s="1620"/>
      <c r="AM297" s="1620">
        <v>3.24</v>
      </c>
      <c r="AN297" s="1620">
        <v>1.69</v>
      </c>
      <c r="AO297" s="1620">
        <v>2.2200000000000002</v>
      </c>
      <c r="AP297" s="1620">
        <v>3.15</v>
      </c>
      <c r="AQ297" s="1620">
        <v>1.22</v>
      </c>
      <c r="AR297" s="1620">
        <v>3.36</v>
      </c>
      <c r="AS297" s="1620">
        <v>6.42</v>
      </c>
      <c r="AT297" s="1620">
        <v>2.2200000000000002</v>
      </c>
      <c r="AU297" s="1620">
        <v>4.3600000000000003</v>
      </c>
      <c r="AV297" s="1620">
        <v>2.8</v>
      </c>
      <c r="AW297" s="1620">
        <v>4.5199999999999996</v>
      </c>
      <c r="AX297" s="1620"/>
      <c r="AY297" s="1620">
        <v>0.98</v>
      </c>
      <c r="AZ297" s="1620">
        <v>1.05</v>
      </c>
      <c r="BA297" s="1620">
        <v>1.03</v>
      </c>
      <c r="BB297" s="1620">
        <v>0.95</v>
      </c>
      <c r="BC297" s="1620">
        <v>0.92</v>
      </c>
      <c r="BD297" s="1620">
        <v>1.01</v>
      </c>
      <c r="BE297" s="1620">
        <v>1.01</v>
      </c>
      <c r="BF297" s="1620">
        <v>1.03</v>
      </c>
      <c r="BG297" s="1620">
        <v>1.06</v>
      </c>
      <c r="BH297" s="1620">
        <v>1</v>
      </c>
      <c r="BI297" s="1620">
        <v>0.98</v>
      </c>
      <c r="BJ297" s="1603"/>
      <c r="BK297" s="1620">
        <v>11.999999999999998</v>
      </c>
      <c r="BL297" s="1620">
        <v>2.2352941176470589</v>
      </c>
      <c r="BM297" s="1620">
        <v>1.8823529411764706</v>
      </c>
      <c r="BN297" s="1620">
        <v>3.0588235294117645</v>
      </c>
      <c r="BO297" s="1620"/>
      <c r="BP297" s="1620">
        <v>105</v>
      </c>
      <c r="BQ297" s="1620">
        <v>23.470588235294116</v>
      </c>
      <c r="BR297" s="1620">
        <v>1.337484776024231</v>
      </c>
      <c r="BS297" s="1620">
        <v>1.3150800488922842</v>
      </c>
      <c r="BT297" s="1603"/>
      <c r="BU297" s="1620">
        <v>981.17647058823525</v>
      </c>
      <c r="BV297" s="1620">
        <v>704.09882352941179</v>
      </c>
      <c r="BW297" s="1620">
        <v>49.058823529411761</v>
      </c>
      <c r="BX297" s="1620">
        <v>641</v>
      </c>
      <c r="BY297" s="1620">
        <v>33</v>
      </c>
      <c r="BZ297" s="1620">
        <v>27</v>
      </c>
      <c r="CA297" s="1620">
        <v>110</v>
      </c>
      <c r="CB297" s="1603"/>
      <c r="CC297" s="1603">
        <v>0.43</v>
      </c>
      <c r="CD297" s="1603">
        <v>3</v>
      </c>
      <c r="CE297" s="1603">
        <v>9.9999999999999992E-2</v>
      </c>
      <c r="CF297" s="1603">
        <v>0.68</v>
      </c>
      <c r="CG297" s="1603">
        <v>4.46</v>
      </c>
      <c r="CH297" s="1603">
        <v>1</v>
      </c>
      <c r="CI297" s="1603">
        <v>0.51000029999982399</v>
      </c>
      <c r="CJ297" s="1603"/>
      <c r="CK297" s="1603">
        <v>29.97</v>
      </c>
      <c r="CL297" s="1603">
        <v>3.6199999999999997</v>
      </c>
      <c r="CM297" s="1603">
        <v>29.18</v>
      </c>
      <c r="CN297" s="1603">
        <v>33.9</v>
      </c>
      <c r="CO297" s="1603">
        <v>0</v>
      </c>
      <c r="CP297" s="1603">
        <v>0</v>
      </c>
      <c r="CQ297" s="1603">
        <v>86.253863999999979</v>
      </c>
      <c r="CR297" s="1603">
        <v>75.870122738360521</v>
      </c>
      <c r="CS297" s="1603">
        <v>2.4090281371884239</v>
      </c>
      <c r="CT297" s="1603">
        <v>1.3463153279922075</v>
      </c>
      <c r="CU297" s="1603">
        <v>1.7348462265353519</v>
      </c>
      <c r="CV297" s="1603">
        <v>3.0811615545275597</v>
      </c>
      <c r="CW297" s="1603">
        <v>2.2704134229454382</v>
      </c>
      <c r="CX297" s="1603">
        <v>0.85156625761535854</v>
      </c>
      <c r="CY297" s="1603">
        <v>2.5747284852490027</v>
      </c>
      <c r="CZ297" s="1603">
        <v>4.9195704986007733</v>
      </c>
      <c r="DA297" s="1603">
        <v>1.7348462265353519</v>
      </c>
      <c r="DB297" s="1603">
        <v>3.5064135924760707</v>
      </c>
      <c r="DC297" s="1603">
        <v>2.1243634366740949</v>
      </c>
      <c r="DD297" s="1603">
        <v>5.6307770291501651</v>
      </c>
      <c r="DE297" s="1603">
        <v>3.3607429568184175</v>
      </c>
      <c r="DF297" s="1603">
        <v>0</v>
      </c>
      <c r="DG297" s="1603">
        <v>0</v>
      </c>
      <c r="DH297" s="1603">
        <v>0</v>
      </c>
      <c r="DI297" s="1603">
        <v>0</v>
      </c>
      <c r="DJ297" s="1603">
        <v>0</v>
      </c>
      <c r="DK297" s="1603">
        <v>0</v>
      </c>
      <c r="DL297" s="1603">
        <v>0</v>
      </c>
      <c r="DM297" s="1603">
        <v>0</v>
      </c>
      <c r="DN297" s="1603">
        <v>0</v>
      </c>
      <c r="DO297" s="1603">
        <v>0</v>
      </c>
      <c r="DP297" s="1603">
        <v>0</v>
      </c>
      <c r="DQ297" s="1603">
        <v>0</v>
      </c>
      <c r="DR297" s="1603">
        <v>0</v>
      </c>
      <c r="DS297" s="1603">
        <v>0</v>
      </c>
      <c r="DT297" s="1603">
        <v>0</v>
      </c>
      <c r="DU297" s="1603">
        <v>0</v>
      </c>
      <c r="DV297" s="1603">
        <v>0</v>
      </c>
      <c r="DW297" s="1618" t="s">
        <v>3017</v>
      </c>
      <c r="DX297" s="1605">
        <v>21</v>
      </c>
      <c r="DY297" s="1605">
        <v>21</v>
      </c>
      <c r="DZ297" s="1605">
        <v>12</v>
      </c>
      <c r="EA297" s="1605">
        <v>12</v>
      </c>
      <c r="EB297" s="1605" t="s">
        <v>986</v>
      </c>
      <c r="EC297" s="1605">
        <v>12</v>
      </c>
      <c r="ED297" s="1605">
        <v>12</v>
      </c>
      <c r="EE297" s="1605">
        <v>16</v>
      </c>
      <c r="EF297" s="1605">
        <v>12</v>
      </c>
      <c r="EG297" s="1605">
        <v>12</v>
      </c>
      <c r="EH297" s="1605" t="s">
        <v>986</v>
      </c>
      <c r="EI297" s="1605" t="s">
        <v>986</v>
      </c>
      <c r="EJ297" s="1605" t="s">
        <v>986</v>
      </c>
      <c r="EK297" s="1605" t="s">
        <v>986</v>
      </c>
      <c r="EL297" s="1605" t="s">
        <v>986</v>
      </c>
      <c r="EM297" s="1605" t="s">
        <v>986</v>
      </c>
      <c r="EN297" s="1605" t="s">
        <v>986</v>
      </c>
      <c r="EO297" s="1605" t="s">
        <v>986</v>
      </c>
      <c r="EP297" s="1605" t="s">
        <v>986</v>
      </c>
      <c r="EQ297" s="1605" t="s">
        <v>986</v>
      </c>
      <c r="ER297" s="1605" t="s">
        <v>986</v>
      </c>
      <c r="ES297" s="1605">
        <v>12</v>
      </c>
      <c r="ET297" s="1605">
        <v>21</v>
      </c>
      <c r="EU297" s="1605">
        <v>11</v>
      </c>
      <c r="EV297" s="1605">
        <v>4</v>
      </c>
      <c r="EW297" s="1605">
        <v>12</v>
      </c>
      <c r="EX297" s="1605">
        <v>12</v>
      </c>
      <c r="EY297" s="1605" t="s">
        <v>986</v>
      </c>
      <c r="EZ297" s="1605">
        <v>12</v>
      </c>
      <c r="FA297" s="1605">
        <v>12</v>
      </c>
      <c r="FB297" s="1605">
        <v>12</v>
      </c>
      <c r="FC297" s="1605">
        <v>12</v>
      </c>
      <c r="FD297" s="1605" t="s">
        <v>986</v>
      </c>
      <c r="FE297" s="1605" t="s">
        <v>986</v>
      </c>
      <c r="FF297" s="1605">
        <v>0.90087259286284715</v>
      </c>
      <c r="FG297" s="1605">
        <v>0.33184043742470032</v>
      </c>
      <c r="FH297" s="1605">
        <v>0.19492314642805192</v>
      </c>
      <c r="FI297" s="1605">
        <v>7.7563226043684666E-2</v>
      </c>
      <c r="FJ297" s="1605" t="s">
        <v>986</v>
      </c>
      <c r="FK297" s="1605">
        <v>1.0680343937927463</v>
      </c>
      <c r="FL297" s="1605">
        <v>0.78511789101006457</v>
      </c>
      <c r="FM297" s="1605" t="s">
        <v>986</v>
      </c>
      <c r="FN297" s="1605">
        <v>1.3305478537650608</v>
      </c>
      <c r="FO297" s="1605">
        <v>1.0235379645967937</v>
      </c>
      <c r="FP297" s="1605" t="s">
        <v>986</v>
      </c>
      <c r="FQ297" s="1605" t="s">
        <v>986</v>
      </c>
      <c r="FR297" s="1605" t="s">
        <v>986</v>
      </c>
      <c r="FS297" s="1605" t="s">
        <v>986</v>
      </c>
      <c r="FT297" s="1605" t="s">
        <v>986</v>
      </c>
      <c r="FU297" s="1605" t="s">
        <v>986</v>
      </c>
      <c r="FV297" s="1605" t="s">
        <v>986</v>
      </c>
      <c r="FW297" s="1605" t="s">
        <v>986</v>
      </c>
      <c r="FX297" s="1605" t="s">
        <v>986</v>
      </c>
      <c r="FY297" s="1605" t="s">
        <v>986</v>
      </c>
      <c r="FZ297" s="1605" t="s">
        <v>986</v>
      </c>
      <c r="GA297" s="1605">
        <v>2.96241148466296E-2</v>
      </c>
      <c r="GB297" s="1605">
        <v>0.17087984508265219</v>
      </c>
      <c r="GC297" s="1605">
        <v>1.0052635656072554E-3</v>
      </c>
      <c r="GD297" s="1605">
        <v>8.7146555958063008E-4</v>
      </c>
      <c r="GE297" s="1605">
        <v>0.33932241599386065</v>
      </c>
      <c r="GF297" s="1605">
        <v>5.6994550610210311E-2</v>
      </c>
      <c r="GG297" s="1605" t="s">
        <v>986</v>
      </c>
      <c r="GH297" s="1605">
        <v>2.4973673026051428</v>
      </c>
      <c r="GI297" s="1605">
        <v>0.52317613246379124</v>
      </c>
      <c r="GJ297" s="1605">
        <v>5.0760414642984752</v>
      </c>
      <c r="GK297" s="1605">
        <v>3.8163949446873717</v>
      </c>
      <c r="GL297" s="1605" t="s">
        <v>986</v>
      </c>
      <c r="GM297" s="1605" t="s">
        <v>986</v>
      </c>
      <c r="GN297" s="1605" t="s">
        <v>3027</v>
      </c>
      <c r="GO297" s="1605" t="s">
        <v>3027</v>
      </c>
      <c r="GP297" s="1605" t="s">
        <v>3027</v>
      </c>
      <c r="GQ297" s="1605" t="s">
        <v>3027</v>
      </c>
      <c r="GR297" s="1605" t="s">
        <v>3026</v>
      </c>
      <c r="GS297" s="1605" t="s">
        <v>3027</v>
      </c>
      <c r="GT297" s="1605" t="s">
        <v>3027</v>
      </c>
      <c r="GU297" s="1605" t="s">
        <v>3026</v>
      </c>
      <c r="GV297" s="1605" t="s">
        <v>3027</v>
      </c>
      <c r="GW297" s="1605" t="s">
        <v>3027</v>
      </c>
      <c r="GX297" s="1605" t="s">
        <v>3027</v>
      </c>
      <c r="GY297" s="1605" t="s">
        <v>3027</v>
      </c>
      <c r="GZ297" s="1605" t="s">
        <v>3027</v>
      </c>
      <c r="HA297" s="1605" t="s">
        <v>3027</v>
      </c>
      <c r="HB297" s="1605" t="s">
        <v>3026</v>
      </c>
      <c r="HC297" s="1605" t="s">
        <v>3027</v>
      </c>
      <c r="HD297" s="1605" t="s">
        <v>3027</v>
      </c>
      <c r="HE297" s="1605" t="s">
        <v>3027</v>
      </c>
      <c r="HF297" s="1605" t="s">
        <v>3027</v>
      </c>
      <c r="HG297" s="1605" t="s">
        <v>3027</v>
      </c>
      <c r="HH297" s="1605" t="s">
        <v>3027</v>
      </c>
      <c r="HI297" s="1605" t="s">
        <v>3027</v>
      </c>
      <c r="HJ297" s="1605" t="s">
        <v>3027</v>
      </c>
      <c r="HK297" s="1605" t="s">
        <v>3027</v>
      </c>
      <c r="HL297" s="1605" t="s">
        <v>1578</v>
      </c>
      <c r="HM297" s="1605" t="s">
        <v>3027</v>
      </c>
      <c r="HN297" s="1605" t="s">
        <v>3027</v>
      </c>
      <c r="HO297" s="1605" t="s">
        <v>986</v>
      </c>
      <c r="HP297" s="1605" t="s">
        <v>3027</v>
      </c>
      <c r="HQ297" s="1605" t="s">
        <v>3027</v>
      </c>
      <c r="HR297" s="1605" t="s">
        <v>3027</v>
      </c>
      <c r="HS297" s="1605" t="s">
        <v>3027</v>
      </c>
      <c r="HT297" s="1605" t="s">
        <v>3026</v>
      </c>
      <c r="HU297" s="1605" t="s">
        <v>3026</v>
      </c>
      <c r="HV297" s="1617"/>
      <c r="HW297" s="1617" t="s">
        <v>3025</v>
      </c>
      <c r="HX297" s="1617" t="s">
        <v>3015</v>
      </c>
      <c r="HY297" s="1617" t="s">
        <v>3014</v>
      </c>
      <c r="HZ297" s="1603"/>
      <c r="IA297" s="1603"/>
      <c r="IB297" s="1603"/>
      <c r="IC297" s="1603">
        <v>57.243902439024403</v>
      </c>
      <c r="ID297" s="1603">
        <v>58.853658536585399</v>
      </c>
      <c r="IE297" s="1603">
        <v>60.195121951219498</v>
      </c>
      <c r="IF297" s="1603">
        <v>61</v>
      </c>
      <c r="IG297" s="1611" t="s">
        <v>3013</v>
      </c>
      <c r="IH297" s="1616" t="s">
        <v>3012</v>
      </c>
      <c r="II297" s="1615" t="s">
        <v>3011</v>
      </c>
      <c r="IJ297" s="1613">
        <v>0.38790909090909093</v>
      </c>
      <c r="IK297" s="1613">
        <v>0.38790909090909093</v>
      </c>
      <c r="IL297" s="1614">
        <v>0.38790909090909093</v>
      </c>
      <c r="IM297" s="1614">
        <v>0.38790909090909093</v>
      </c>
      <c r="IN297" s="1612">
        <v>0.63500000000000001</v>
      </c>
      <c r="IO297" s="1613">
        <v>0.24709090909090908</v>
      </c>
      <c r="IP297" s="1607" t="s">
        <v>270</v>
      </c>
      <c r="IQ297" s="1612">
        <v>2.2200000000000002</v>
      </c>
      <c r="IR297" s="1612">
        <v>7.5999999999999998E-2</v>
      </c>
      <c r="IS297" s="1607">
        <v>0.38390909090909092</v>
      </c>
      <c r="IT297" s="1607">
        <v>0.38390909090909092</v>
      </c>
      <c r="IU297" s="1611">
        <v>1.1363636363636365E-5</v>
      </c>
      <c r="IV297" s="1611">
        <v>7.2272727272727271E-3</v>
      </c>
      <c r="IW297" s="1611">
        <v>8.0681818181818177E-4</v>
      </c>
      <c r="IX297" s="1611">
        <v>7.0454545454545455E-4</v>
      </c>
      <c r="IY297" s="1611">
        <v>8.1818181818181816E-4</v>
      </c>
      <c r="IZ297" s="1611">
        <v>4.7159090909090909E-3</v>
      </c>
      <c r="JA297" s="1611">
        <v>7.9545454545454551E-5</v>
      </c>
      <c r="JB297" s="1611" t="s">
        <v>270</v>
      </c>
      <c r="JC297" s="1611">
        <v>0.10234090909090909</v>
      </c>
      <c r="JD297" s="1611">
        <v>2.2727272727272731E-3</v>
      </c>
      <c r="JE297" s="1611" t="s">
        <v>270</v>
      </c>
      <c r="JF297" s="1611">
        <v>4.3181818181818181E-4</v>
      </c>
      <c r="JG297" s="1611">
        <v>0.54138636363636372</v>
      </c>
      <c r="JH297" s="1611">
        <v>2.8409090909090913E-4</v>
      </c>
      <c r="JI297" s="1611">
        <v>5.0670454545454553E-2</v>
      </c>
      <c r="JJ297" s="1611" t="s">
        <v>270</v>
      </c>
      <c r="JK297" s="1607">
        <f t="shared" si="13"/>
        <v>4.0000000000000036E-3</v>
      </c>
      <c r="JL297" s="1608" t="s">
        <v>270</v>
      </c>
      <c r="JM297" s="1610" t="s">
        <v>2924</v>
      </c>
      <c r="JN297" s="1608">
        <v>0</v>
      </c>
      <c r="JO297" s="1609" t="s">
        <v>2923</v>
      </c>
      <c r="JP297" s="1608" t="s">
        <v>270</v>
      </c>
      <c r="JQ297" s="1607">
        <v>202103</v>
      </c>
      <c r="JR297" s="1606">
        <v>871</v>
      </c>
      <c r="JS297" s="1606">
        <v>793</v>
      </c>
      <c r="JT297" s="1606">
        <v>793</v>
      </c>
    </row>
    <row r="298" spans="1:280" ht="15" customHeight="1" x14ac:dyDescent="0.2">
      <c r="A298" s="1626">
        <v>56100</v>
      </c>
      <c r="B298" s="1625">
        <v>561</v>
      </c>
      <c r="C298" s="1624">
        <v>0</v>
      </c>
      <c r="D298" s="1623" t="s">
        <v>3024</v>
      </c>
      <c r="E298" s="1622">
        <v>44497</v>
      </c>
      <c r="F298" s="1620">
        <v>1.138677216415021</v>
      </c>
      <c r="G298" s="1620">
        <v>1.1211486270871984</v>
      </c>
      <c r="H298" s="1621">
        <v>90</v>
      </c>
      <c r="I298" s="1621">
        <v>86.1</v>
      </c>
      <c r="J298" s="1621">
        <v>93</v>
      </c>
      <c r="K298" s="1620">
        <v>1</v>
      </c>
      <c r="L298" s="1620">
        <v>85.5</v>
      </c>
      <c r="M298" s="1620">
        <v>10.5</v>
      </c>
      <c r="N298" s="1620">
        <v>2</v>
      </c>
      <c r="O298" s="1620">
        <v>1.6</v>
      </c>
      <c r="P298" s="1620">
        <v>2.6</v>
      </c>
      <c r="Q298" s="1603"/>
      <c r="R298" s="1620">
        <v>84.398359183673463</v>
      </c>
      <c r="S298" s="1620">
        <v>50</v>
      </c>
      <c r="T298" s="1620">
        <v>54.471544715447102</v>
      </c>
      <c r="U298" s="1620">
        <v>56.260162601626</v>
      </c>
      <c r="V298" s="1620">
        <v>57.869918699186996</v>
      </c>
      <c r="W298" s="1620">
        <v>58.943089430894297</v>
      </c>
      <c r="X298" s="1620"/>
      <c r="Y298" s="1620">
        <v>0.49122807017543857</v>
      </c>
      <c r="Z298" s="1620">
        <v>3.5087719298245612</v>
      </c>
      <c r="AA298" s="1620">
        <v>0.11695906432748537</v>
      </c>
      <c r="AB298" s="1620">
        <v>0.79817559863169885</v>
      </c>
      <c r="AC298" s="1620">
        <v>5.3567251461988308</v>
      </c>
      <c r="AD298" s="1620">
        <v>1.1695906432748537</v>
      </c>
      <c r="AE298" s="1620">
        <v>0.6</v>
      </c>
      <c r="AF298" s="1620">
        <v>35.087719298245617</v>
      </c>
      <c r="AG298" s="1620">
        <v>3.9766081871345027</v>
      </c>
      <c r="AH298" s="1620">
        <v>31.064327485380115</v>
      </c>
      <c r="AI298" s="1620">
        <v>37.976608187134502</v>
      </c>
      <c r="AJ298" s="1620">
        <v>0</v>
      </c>
      <c r="AK298" s="1620">
        <v>0</v>
      </c>
      <c r="AL298" s="1620"/>
      <c r="AM298" s="1620">
        <v>3.24</v>
      </c>
      <c r="AN298" s="1620">
        <v>1.69</v>
      </c>
      <c r="AO298" s="1620">
        <v>2.2200000000000002</v>
      </c>
      <c r="AP298" s="1620">
        <v>3.15</v>
      </c>
      <c r="AQ298" s="1620">
        <v>1.22</v>
      </c>
      <c r="AR298" s="1620">
        <v>3.36</v>
      </c>
      <c r="AS298" s="1620">
        <v>6.42</v>
      </c>
      <c r="AT298" s="1620">
        <v>2.2200000000000002</v>
      </c>
      <c r="AU298" s="1620">
        <v>4.3600000000000003</v>
      </c>
      <c r="AV298" s="1620">
        <v>2.8</v>
      </c>
      <c r="AW298" s="1620">
        <v>4.5199999999999996</v>
      </c>
      <c r="AX298" s="1620"/>
      <c r="AY298" s="1620">
        <v>0.98</v>
      </c>
      <c r="AZ298" s="1620">
        <v>1.05</v>
      </c>
      <c r="BA298" s="1620">
        <v>1.03</v>
      </c>
      <c r="BB298" s="1620">
        <v>0.95</v>
      </c>
      <c r="BC298" s="1620">
        <v>0.92</v>
      </c>
      <c r="BD298" s="1620">
        <v>1.01</v>
      </c>
      <c r="BE298" s="1620">
        <v>1.01</v>
      </c>
      <c r="BF298" s="1620">
        <v>1.03</v>
      </c>
      <c r="BG298" s="1620">
        <v>1.06</v>
      </c>
      <c r="BH298" s="1620">
        <v>1</v>
      </c>
      <c r="BI298" s="1620">
        <v>0.98</v>
      </c>
      <c r="BJ298" s="1603"/>
      <c r="BK298" s="1620">
        <v>12.280701754385966</v>
      </c>
      <c r="BL298" s="1620">
        <v>2.3391812865497075</v>
      </c>
      <c r="BM298" s="1620">
        <v>1.871345029239766</v>
      </c>
      <c r="BN298" s="1620">
        <v>3.0588235294117645</v>
      </c>
      <c r="BO298" s="1620"/>
      <c r="BP298" s="1620">
        <v>105</v>
      </c>
      <c r="BQ298" s="1620">
        <v>23.470588235294116</v>
      </c>
      <c r="BR298" s="1620">
        <v>1.3317862180292643</v>
      </c>
      <c r="BS298" s="1620">
        <v>1.3112849439616356</v>
      </c>
      <c r="BT298" s="1603"/>
      <c r="BU298" s="1620">
        <v>981.28654970760238</v>
      </c>
      <c r="BV298" s="1620">
        <v>694.04177109440252</v>
      </c>
      <c r="BW298" s="1620">
        <v>54.671679197995068</v>
      </c>
      <c r="BX298" s="1620">
        <v>641</v>
      </c>
      <c r="BY298" s="1620">
        <v>33</v>
      </c>
      <c r="BZ298" s="1620">
        <v>29</v>
      </c>
      <c r="CA298" s="1620">
        <v>115</v>
      </c>
      <c r="CB298" s="1603"/>
      <c r="CC298" s="1603">
        <v>0.42</v>
      </c>
      <c r="CD298" s="1603">
        <v>2.9999999999999996</v>
      </c>
      <c r="CE298" s="1603">
        <v>9.9999999999999992E-2</v>
      </c>
      <c r="CF298" s="1603">
        <v>0.68244013683010252</v>
      </c>
      <c r="CG298" s="1603">
        <v>4.58</v>
      </c>
      <c r="CH298" s="1603">
        <v>0.99999999999999989</v>
      </c>
      <c r="CI298" s="1603">
        <v>0.51300000000000001</v>
      </c>
      <c r="CJ298" s="1603"/>
      <c r="CK298" s="1603">
        <v>30</v>
      </c>
      <c r="CL298" s="1603">
        <v>3.4</v>
      </c>
      <c r="CM298" s="1603">
        <v>26.56</v>
      </c>
      <c r="CN298" s="1603">
        <v>32.47</v>
      </c>
      <c r="CO298" s="1603">
        <v>0</v>
      </c>
      <c r="CP298" s="1603">
        <v>0</v>
      </c>
      <c r="CQ298" s="1603">
        <v>88.618277142857139</v>
      </c>
      <c r="CR298" s="1603">
        <v>77.825634749995615</v>
      </c>
      <c r="CS298" s="1603">
        <v>2.4711195545818616</v>
      </c>
      <c r="CT298" s="1603">
        <v>1.3810158886386723</v>
      </c>
      <c r="CU298" s="1603">
        <v>1.7795609641934003</v>
      </c>
      <c r="CV298" s="1603">
        <v>3.1605768528320723</v>
      </c>
      <c r="CW298" s="1603">
        <v>2.3289321198936186</v>
      </c>
      <c r="CX298" s="1603">
        <v>0.87351492443395073</v>
      </c>
      <c r="CY298" s="1603">
        <v>2.6410907408758511</v>
      </c>
      <c r="CZ298" s="1603">
        <v>5.0463698084592163</v>
      </c>
      <c r="DA298" s="1603">
        <v>1.7795609641934003</v>
      </c>
      <c r="DB298" s="1603">
        <v>3.5967895356057973</v>
      </c>
      <c r="DC298" s="1603">
        <v>2.1791177729998772</v>
      </c>
      <c r="DD298" s="1603">
        <v>5.7759073086056745</v>
      </c>
      <c r="DE298" s="1603">
        <v>3.4473643168858059</v>
      </c>
      <c r="DF298" s="1603">
        <v>0</v>
      </c>
      <c r="DG298" s="1603">
        <v>0</v>
      </c>
      <c r="DH298" s="1603">
        <v>0</v>
      </c>
      <c r="DI298" s="1603">
        <v>0</v>
      </c>
      <c r="DJ298" s="1603">
        <v>0</v>
      </c>
      <c r="DK298" s="1603">
        <v>0</v>
      </c>
      <c r="DL298" s="1603">
        <v>0</v>
      </c>
      <c r="DM298" s="1603">
        <v>0</v>
      </c>
      <c r="DN298" s="1603">
        <v>0</v>
      </c>
      <c r="DO298" s="1603">
        <v>0</v>
      </c>
      <c r="DP298" s="1603">
        <v>0</v>
      </c>
      <c r="DQ298" s="1603">
        <v>0</v>
      </c>
      <c r="DR298" s="1603">
        <v>0</v>
      </c>
      <c r="DS298" s="1603">
        <v>0</v>
      </c>
      <c r="DT298" s="1603">
        <v>0</v>
      </c>
      <c r="DU298" s="1603">
        <v>0</v>
      </c>
      <c r="DV298" s="1603">
        <v>0</v>
      </c>
      <c r="DW298" s="1618" t="s">
        <v>3017</v>
      </c>
      <c r="DX298" s="1605">
        <v>14</v>
      </c>
      <c r="DY298" s="1605">
        <v>7</v>
      </c>
      <c r="DZ298" s="1605">
        <v>8</v>
      </c>
      <c r="EA298" s="1605">
        <v>8</v>
      </c>
      <c r="EB298" s="1605" t="s">
        <v>986</v>
      </c>
      <c r="EC298" s="1605">
        <v>8</v>
      </c>
      <c r="ED298" s="1605">
        <v>8</v>
      </c>
      <c r="EE298" s="1605">
        <v>4</v>
      </c>
      <c r="EF298" s="1605">
        <v>8</v>
      </c>
      <c r="EG298" s="1605">
        <v>8</v>
      </c>
      <c r="EH298" s="1605" t="s">
        <v>986</v>
      </c>
      <c r="EI298" s="1605" t="s">
        <v>986</v>
      </c>
      <c r="EJ298" s="1605" t="s">
        <v>986</v>
      </c>
      <c r="EK298" s="1605" t="s">
        <v>986</v>
      </c>
      <c r="EL298" s="1605" t="s">
        <v>986</v>
      </c>
      <c r="EM298" s="1605" t="s">
        <v>986</v>
      </c>
      <c r="EN298" s="1605" t="s">
        <v>986</v>
      </c>
      <c r="EO298" s="1605" t="s">
        <v>986</v>
      </c>
      <c r="EP298" s="1605" t="s">
        <v>986</v>
      </c>
      <c r="EQ298" s="1605" t="s">
        <v>986</v>
      </c>
      <c r="ER298" s="1605" t="s">
        <v>986</v>
      </c>
      <c r="ES298" s="1605">
        <v>8</v>
      </c>
      <c r="ET298" s="1605">
        <v>7</v>
      </c>
      <c r="EU298" s="1605">
        <v>7</v>
      </c>
      <c r="EV298" s="1605">
        <v>4</v>
      </c>
      <c r="EW298" s="1605">
        <v>8</v>
      </c>
      <c r="EX298" s="1605">
        <v>8</v>
      </c>
      <c r="EY298" s="1605" t="s">
        <v>986</v>
      </c>
      <c r="EZ298" s="1605">
        <v>8</v>
      </c>
      <c r="FA298" s="1605">
        <v>8</v>
      </c>
      <c r="FB298" s="1605">
        <v>8</v>
      </c>
      <c r="FC298" s="1605">
        <v>8</v>
      </c>
      <c r="FD298" s="1605" t="s">
        <v>986</v>
      </c>
      <c r="FE298" s="1605" t="s">
        <v>986</v>
      </c>
      <c r="FF298" s="1605">
        <v>6.6299354413179357E-2</v>
      </c>
      <c r="FG298" s="1605">
        <v>0.14668169512066709</v>
      </c>
      <c r="FH298" s="1605">
        <v>0.20992153889452037</v>
      </c>
      <c r="FI298" s="1605">
        <v>6.0182722398369658E-2</v>
      </c>
      <c r="FJ298" s="1605" t="s">
        <v>986</v>
      </c>
      <c r="FK298" s="1605">
        <v>1.2895039987059229</v>
      </c>
      <c r="FL298" s="1605">
        <v>0.47109522340233717</v>
      </c>
      <c r="FM298" s="1605" t="s">
        <v>986</v>
      </c>
      <c r="FN298" s="1605">
        <v>1.444810332813794</v>
      </c>
      <c r="FO298" s="1605">
        <v>1.4469676100509952</v>
      </c>
      <c r="FP298" s="1605" t="s">
        <v>986</v>
      </c>
      <c r="FQ298" s="1605" t="s">
        <v>986</v>
      </c>
      <c r="FR298" s="1605" t="s">
        <v>986</v>
      </c>
      <c r="FS298" s="1605" t="s">
        <v>986</v>
      </c>
      <c r="FT298" s="1605" t="s">
        <v>986</v>
      </c>
      <c r="FU298" s="1605" t="s">
        <v>986</v>
      </c>
      <c r="FV298" s="1605" t="s">
        <v>986</v>
      </c>
      <c r="FW298" s="1605" t="s">
        <v>986</v>
      </c>
      <c r="FX298" s="1605" t="s">
        <v>986</v>
      </c>
      <c r="FY298" s="1605" t="s">
        <v>986</v>
      </c>
      <c r="FZ298" s="1605" t="s">
        <v>986</v>
      </c>
      <c r="GA298" s="1605">
        <v>3.5150332883153362E-2</v>
      </c>
      <c r="GB298" s="1605">
        <v>0.18889895202749979</v>
      </c>
      <c r="GC298" s="1605">
        <v>1.4293544244643977E-3</v>
      </c>
      <c r="GD298" s="1605">
        <v>0.01</v>
      </c>
      <c r="GE298" s="1605">
        <v>0.29602263657733374</v>
      </c>
      <c r="GF298" s="1605">
        <v>6.7726394781747135E-2</v>
      </c>
      <c r="GG298" s="1605" t="s">
        <v>986</v>
      </c>
      <c r="GH298" s="1605">
        <v>3.0537856649866844</v>
      </c>
      <c r="GI298" s="1605">
        <v>0.34582789098973554</v>
      </c>
      <c r="GJ298" s="1605">
        <v>2.2391297523632896</v>
      </c>
      <c r="GK298" s="1605">
        <v>3.4783334025873853</v>
      </c>
      <c r="GL298" s="1605" t="s">
        <v>986</v>
      </c>
      <c r="GM298" s="1605" t="s">
        <v>986</v>
      </c>
      <c r="GN298" s="1605" t="s">
        <v>2217</v>
      </c>
      <c r="GO298" s="1605" t="s">
        <v>2217</v>
      </c>
      <c r="GP298" s="1605" t="s">
        <v>2217</v>
      </c>
      <c r="GQ298" s="1605" t="s">
        <v>2217</v>
      </c>
      <c r="GR298" s="1605" t="s">
        <v>1763</v>
      </c>
      <c r="GS298" s="1605" t="s">
        <v>2217</v>
      </c>
      <c r="GT298" s="1605" t="s">
        <v>2217</v>
      </c>
      <c r="GU298" s="1605" t="s">
        <v>1763</v>
      </c>
      <c r="GV298" s="1605" t="s">
        <v>2217</v>
      </c>
      <c r="GW298" s="1605" t="s">
        <v>2217</v>
      </c>
      <c r="GX298" s="1605" t="s">
        <v>2217</v>
      </c>
      <c r="GY298" s="1605" t="s">
        <v>2217</v>
      </c>
      <c r="GZ298" s="1605" t="s">
        <v>2217</v>
      </c>
      <c r="HA298" s="1605" t="s">
        <v>2217</v>
      </c>
      <c r="HB298" s="1605" t="s">
        <v>1763</v>
      </c>
      <c r="HC298" s="1605" t="s">
        <v>2217</v>
      </c>
      <c r="HD298" s="1605" t="s">
        <v>2217</v>
      </c>
      <c r="HE298" s="1605" t="s">
        <v>2217</v>
      </c>
      <c r="HF298" s="1605" t="s">
        <v>2217</v>
      </c>
      <c r="HG298" s="1605" t="s">
        <v>2217</v>
      </c>
      <c r="HH298" s="1605" t="s">
        <v>2217</v>
      </c>
      <c r="HI298" s="1605" t="s">
        <v>2217</v>
      </c>
      <c r="HJ298" s="1605" t="s">
        <v>2217</v>
      </c>
      <c r="HK298" s="1605" t="s">
        <v>2217</v>
      </c>
      <c r="HL298" s="1605" t="s">
        <v>1578</v>
      </c>
      <c r="HM298" s="1605" t="s">
        <v>2217</v>
      </c>
      <c r="HN298" s="1605" t="s">
        <v>2217</v>
      </c>
      <c r="HO298" s="1605" t="s">
        <v>986</v>
      </c>
      <c r="HP298" s="1605" t="s">
        <v>2217</v>
      </c>
      <c r="HQ298" s="1605" t="s">
        <v>2217</v>
      </c>
      <c r="HR298" s="1605" t="s">
        <v>2217</v>
      </c>
      <c r="HS298" s="1605" t="s">
        <v>2217</v>
      </c>
      <c r="HT298" s="1605" t="s">
        <v>1763</v>
      </c>
      <c r="HU298" s="1605" t="s">
        <v>1763</v>
      </c>
      <c r="HV298" s="1617"/>
      <c r="HW298" s="1617" t="s">
        <v>3020</v>
      </c>
      <c r="HX298" s="1617" t="s">
        <v>3015</v>
      </c>
      <c r="HY298" s="1617" t="s">
        <v>3014</v>
      </c>
      <c r="HZ298" s="1603"/>
      <c r="IA298" s="1603"/>
      <c r="IB298" s="1603"/>
      <c r="IC298" s="1603">
        <v>59.747967479674799</v>
      </c>
      <c r="ID298" s="1603">
        <v>60.284552845528502</v>
      </c>
      <c r="IE298" s="1603">
        <v>60.731707317073202</v>
      </c>
      <c r="IF298" s="1603">
        <v>61</v>
      </c>
      <c r="IG298" s="1611" t="s">
        <v>3013</v>
      </c>
      <c r="IH298" s="1616" t="s">
        <v>3012</v>
      </c>
      <c r="II298" s="1615" t="s">
        <v>3011</v>
      </c>
      <c r="IJ298" s="1613">
        <v>0.38790909090909093</v>
      </c>
      <c r="IK298" s="1613">
        <v>0.38790909090909093</v>
      </c>
      <c r="IL298" s="1614">
        <v>0.38790909090909093</v>
      </c>
      <c r="IM298" s="1614">
        <v>0.38790909090909093</v>
      </c>
      <c r="IN298" s="1612">
        <v>0.63500000000000001</v>
      </c>
      <c r="IO298" s="1613">
        <v>0.24709090909090908</v>
      </c>
      <c r="IP298" s="1607" t="s">
        <v>270</v>
      </c>
      <c r="IQ298" s="1612">
        <v>2.2200000000000002</v>
      </c>
      <c r="IR298" s="1612">
        <v>7.5999999999999998E-2</v>
      </c>
      <c r="IS298" s="1607">
        <v>0.38390909090909092</v>
      </c>
      <c r="IT298" s="1607">
        <v>0.38390909090909092</v>
      </c>
      <c r="IU298" s="1611">
        <v>1.1363636363636365E-5</v>
      </c>
      <c r="IV298" s="1611">
        <v>7.2272727272727271E-3</v>
      </c>
      <c r="IW298" s="1611">
        <v>8.0681818181818177E-4</v>
      </c>
      <c r="IX298" s="1611">
        <v>7.0454545454545455E-4</v>
      </c>
      <c r="IY298" s="1611">
        <v>8.1818181818181816E-4</v>
      </c>
      <c r="IZ298" s="1611">
        <v>4.7159090909090909E-3</v>
      </c>
      <c r="JA298" s="1611">
        <v>7.9545454545454551E-5</v>
      </c>
      <c r="JB298" s="1611" t="s">
        <v>270</v>
      </c>
      <c r="JC298" s="1611">
        <v>0.10234090909090909</v>
      </c>
      <c r="JD298" s="1611">
        <v>2.2727272727272731E-3</v>
      </c>
      <c r="JE298" s="1611" t="s">
        <v>270</v>
      </c>
      <c r="JF298" s="1611">
        <v>4.3181818181818181E-4</v>
      </c>
      <c r="JG298" s="1611">
        <v>0.54138636363636372</v>
      </c>
      <c r="JH298" s="1611">
        <v>2.8409090909090913E-4</v>
      </c>
      <c r="JI298" s="1611">
        <v>5.0670454545454553E-2</v>
      </c>
      <c r="JJ298" s="1611" t="s">
        <v>270</v>
      </c>
      <c r="JK298" s="1607">
        <f t="shared" si="13"/>
        <v>4.0000000000000036E-3</v>
      </c>
      <c r="JL298" s="1608" t="s">
        <v>270</v>
      </c>
      <c r="JM298" s="1610" t="s">
        <v>2924</v>
      </c>
      <c r="JN298" s="1608">
        <v>0</v>
      </c>
      <c r="JO298" s="1609" t="s">
        <v>2923</v>
      </c>
      <c r="JP298" s="1608" t="s">
        <v>270</v>
      </c>
      <c r="JQ298" s="1607">
        <v>202103</v>
      </c>
      <c r="JR298" s="1606">
        <v>871</v>
      </c>
      <c r="JS298" s="1606">
        <v>793</v>
      </c>
      <c r="JT298" s="1606">
        <v>793</v>
      </c>
    </row>
    <row r="299" spans="1:280" ht="15" customHeight="1" x14ac:dyDescent="0.2">
      <c r="A299" s="1626">
        <v>56101</v>
      </c>
      <c r="B299" s="1625">
        <v>561</v>
      </c>
      <c r="C299" s="1624">
        <v>1</v>
      </c>
      <c r="D299" s="1623" t="s">
        <v>3023</v>
      </c>
      <c r="E299" s="1622">
        <v>44497</v>
      </c>
      <c r="F299" s="1620">
        <v>1.1484216995741385</v>
      </c>
      <c r="G299" s="1620">
        <v>1.1279976066790349</v>
      </c>
      <c r="H299" s="1621">
        <v>90</v>
      </c>
      <c r="I299" s="1621">
        <v>86.899999999999991</v>
      </c>
      <c r="J299" s="1621">
        <v>93</v>
      </c>
      <c r="K299" s="1620">
        <v>1</v>
      </c>
      <c r="L299" s="1620">
        <v>85.5</v>
      </c>
      <c r="M299" s="1620">
        <v>10.5</v>
      </c>
      <c r="N299" s="1620">
        <v>2</v>
      </c>
      <c r="O299" s="1620">
        <v>1.6</v>
      </c>
      <c r="P299" s="1620">
        <v>2.6</v>
      </c>
      <c r="Q299" s="1603"/>
      <c r="R299" s="1620">
        <v>85.001069387755095</v>
      </c>
      <c r="S299" s="1620">
        <v>50</v>
      </c>
      <c r="T299" s="1620">
        <v>54.471544715447102</v>
      </c>
      <c r="U299" s="1620">
        <v>56.260162601626</v>
      </c>
      <c r="V299" s="1620">
        <v>57.869918699186996</v>
      </c>
      <c r="W299" s="1620">
        <v>58.943089430894297</v>
      </c>
      <c r="X299" s="1620"/>
      <c r="Y299" s="1620">
        <v>0.49122807017543857</v>
      </c>
      <c r="Z299" s="1620">
        <v>3.5087719298245612</v>
      </c>
      <c r="AA299" s="1620">
        <v>0.11695906432748537</v>
      </c>
      <c r="AB299" s="1620">
        <v>0.79817559863169885</v>
      </c>
      <c r="AC299" s="1620">
        <v>5.3567251461988308</v>
      </c>
      <c r="AD299" s="1620">
        <v>1.1695906432748537</v>
      </c>
      <c r="AE299" s="1620">
        <v>0.6</v>
      </c>
      <c r="AF299" s="1620">
        <v>35.087719298245617</v>
      </c>
      <c r="AG299" s="1620">
        <v>3.9766081871345027</v>
      </c>
      <c r="AH299" s="1620">
        <v>31.064327485380115</v>
      </c>
      <c r="AI299" s="1620">
        <v>37.976608187134502</v>
      </c>
      <c r="AJ299" s="1620">
        <v>0</v>
      </c>
      <c r="AK299" s="1620">
        <v>0</v>
      </c>
      <c r="AL299" s="1620"/>
      <c r="AM299" s="1620">
        <v>3.24</v>
      </c>
      <c r="AN299" s="1620">
        <v>1.69</v>
      </c>
      <c r="AO299" s="1620">
        <v>2.2200000000000002</v>
      </c>
      <c r="AP299" s="1620">
        <v>3.15</v>
      </c>
      <c r="AQ299" s="1620">
        <v>1.22</v>
      </c>
      <c r="AR299" s="1620">
        <v>3.36</v>
      </c>
      <c r="AS299" s="1620">
        <v>6.42</v>
      </c>
      <c r="AT299" s="1620">
        <v>2.2200000000000002</v>
      </c>
      <c r="AU299" s="1620">
        <v>4.3600000000000003</v>
      </c>
      <c r="AV299" s="1620">
        <v>2.8</v>
      </c>
      <c r="AW299" s="1620">
        <v>4.5199999999999996</v>
      </c>
      <c r="AX299" s="1620"/>
      <c r="AY299" s="1620">
        <v>0.98</v>
      </c>
      <c r="AZ299" s="1620">
        <v>1.05</v>
      </c>
      <c r="BA299" s="1620">
        <v>1.03</v>
      </c>
      <c r="BB299" s="1620">
        <v>0.95</v>
      </c>
      <c r="BC299" s="1620">
        <v>0.92</v>
      </c>
      <c r="BD299" s="1620">
        <v>1.01</v>
      </c>
      <c r="BE299" s="1620">
        <v>1.01</v>
      </c>
      <c r="BF299" s="1620">
        <v>1.03</v>
      </c>
      <c r="BG299" s="1620">
        <v>1.06</v>
      </c>
      <c r="BH299" s="1620">
        <v>1</v>
      </c>
      <c r="BI299" s="1620">
        <v>0.98</v>
      </c>
      <c r="BJ299" s="1603"/>
      <c r="BK299" s="1620">
        <v>12.280701754385966</v>
      </c>
      <c r="BL299" s="1620">
        <v>2.3391812865497075</v>
      </c>
      <c r="BM299" s="1620">
        <v>1.871345029239766</v>
      </c>
      <c r="BN299" s="1620">
        <v>3.0588235294117645</v>
      </c>
      <c r="BO299" s="1620"/>
      <c r="BP299" s="1620">
        <v>105</v>
      </c>
      <c r="BQ299" s="1620">
        <v>23.470588235294116</v>
      </c>
      <c r="BR299" s="1620">
        <v>1.3431832743557175</v>
      </c>
      <c r="BS299" s="1620">
        <v>1.319295446408228</v>
      </c>
      <c r="BT299" s="1603"/>
      <c r="BU299" s="1620">
        <v>981.28654970760238</v>
      </c>
      <c r="BV299" s="1620">
        <v>705.25647451963221</v>
      </c>
      <c r="BW299" s="1620">
        <v>43.456975772765368</v>
      </c>
      <c r="BX299" s="1620">
        <v>641</v>
      </c>
      <c r="BY299" s="1620">
        <v>33</v>
      </c>
      <c r="BZ299" s="1620">
        <v>26</v>
      </c>
      <c r="CA299" s="1620">
        <v>106</v>
      </c>
      <c r="CB299" s="1603"/>
      <c r="CC299" s="1603">
        <v>0.42</v>
      </c>
      <c r="CD299" s="1603">
        <v>2.9999999999999996</v>
      </c>
      <c r="CE299" s="1603">
        <v>9.9999999999999992E-2</v>
      </c>
      <c r="CF299" s="1603">
        <v>0.68244013683010252</v>
      </c>
      <c r="CG299" s="1603">
        <v>4.58</v>
      </c>
      <c r="CH299" s="1603">
        <v>0.99999999999999989</v>
      </c>
      <c r="CI299" s="1603">
        <v>0.51300000000000001</v>
      </c>
      <c r="CJ299" s="1603"/>
      <c r="CK299" s="1603">
        <v>30</v>
      </c>
      <c r="CL299" s="1603">
        <v>3.4</v>
      </c>
      <c r="CM299" s="1603">
        <v>26.56</v>
      </c>
      <c r="CN299" s="1603">
        <v>32.47</v>
      </c>
      <c r="CO299" s="1603">
        <v>0</v>
      </c>
      <c r="CP299" s="1603">
        <v>0</v>
      </c>
      <c r="CQ299" s="1603">
        <v>89.25112285714286</v>
      </c>
      <c r="CR299" s="1603">
        <v>77.716332676611088</v>
      </c>
      <c r="CS299" s="1603">
        <v>2.4676489951477554</v>
      </c>
      <c r="CT299" s="1603">
        <v>1.3790763233464636</v>
      </c>
      <c r="CU299" s="1603">
        <v>1.7770616629833893</v>
      </c>
      <c r="CV299" s="1603">
        <v>3.1561379863298527</v>
      </c>
      <c r="CW299" s="1603">
        <v>2.3256612553475859</v>
      </c>
      <c r="CX299" s="1603">
        <v>0.87228811796228267</v>
      </c>
      <c r="CY299" s="1603">
        <v>2.6373814657134735</v>
      </c>
      <c r="CZ299" s="1603">
        <v>5.0392824434168162</v>
      </c>
      <c r="DA299" s="1603">
        <v>1.7770616629833893</v>
      </c>
      <c r="DB299" s="1603">
        <v>3.5917380309822584</v>
      </c>
      <c r="DC299" s="1603">
        <v>2.1760573149451097</v>
      </c>
      <c r="DD299" s="1603">
        <v>5.7677953459273681</v>
      </c>
      <c r="DE299" s="1603">
        <v>3.4425226722431641</v>
      </c>
      <c r="DF299" s="1603">
        <v>0</v>
      </c>
      <c r="DG299" s="1603">
        <v>0</v>
      </c>
      <c r="DH299" s="1628">
        <v>0</v>
      </c>
      <c r="DI299" s="1603">
        <v>0</v>
      </c>
      <c r="DJ299" s="1603">
        <v>0</v>
      </c>
      <c r="DK299" s="1603">
        <v>0</v>
      </c>
      <c r="DL299" s="1603">
        <v>0</v>
      </c>
      <c r="DM299" s="1603">
        <v>0</v>
      </c>
      <c r="DN299" s="1603">
        <v>0</v>
      </c>
      <c r="DO299" s="1603">
        <v>0</v>
      </c>
      <c r="DP299" s="1603">
        <v>0</v>
      </c>
      <c r="DQ299" s="1603">
        <v>0</v>
      </c>
      <c r="DR299" s="1603">
        <v>0</v>
      </c>
      <c r="DS299" s="1603">
        <v>0</v>
      </c>
      <c r="DT299" s="1603">
        <v>0</v>
      </c>
      <c r="DU299" s="1603">
        <v>0</v>
      </c>
      <c r="DV299" s="1603">
        <v>0</v>
      </c>
      <c r="DW299" s="1618" t="s">
        <v>3017</v>
      </c>
      <c r="DX299" s="1605">
        <v>14</v>
      </c>
      <c r="DY299" s="1605">
        <v>7</v>
      </c>
      <c r="DZ299" s="1605">
        <v>8</v>
      </c>
      <c r="EA299" s="1605">
        <v>8</v>
      </c>
      <c r="EB299" s="1605" t="s">
        <v>986</v>
      </c>
      <c r="EC299" s="1605">
        <v>8</v>
      </c>
      <c r="ED299" s="1605">
        <v>8</v>
      </c>
      <c r="EE299" s="1605">
        <v>4</v>
      </c>
      <c r="EF299" s="1605">
        <v>8</v>
      </c>
      <c r="EG299" s="1605">
        <v>8</v>
      </c>
      <c r="EH299" s="1605" t="s">
        <v>986</v>
      </c>
      <c r="EI299" s="1605" t="s">
        <v>986</v>
      </c>
      <c r="EJ299" s="1605" t="s">
        <v>986</v>
      </c>
      <c r="EK299" s="1605" t="s">
        <v>986</v>
      </c>
      <c r="EL299" s="1605" t="s">
        <v>986</v>
      </c>
      <c r="EM299" s="1605" t="s">
        <v>986</v>
      </c>
      <c r="EN299" s="1605" t="s">
        <v>986</v>
      </c>
      <c r="EO299" s="1605" t="s">
        <v>986</v>
      </c>
      <c r="EP299" s="1605" t="s">
        <v>986</v>
      </c>
      <c r="EQ299" s="1605" t="s">
        <v>986</v>
      </c>
      <c r="ER299" s="1605" t="s">
        <v>986</v>
      </c>
      <c r="ES299" s="1605">
        <v>8</v>
      </c>
      <c r="ET299" s="1605">
        <v>7</v>
      </c>
      <c r="EU299" s="1605">
        <v>7</v>
      </c>
      <c r="EV299" s="1605">
        <v>4</v>
      </c>
      <c r="EW299" s="1605">
        <v>8</v>
      </c>
      <c r="EX299" s="1605">
        <v>8</v>
      </c>
      <c r="EY299" s="1605" t="s">
        <v>986</v>
      </c>
      <c r="EZ299" s="1605">
        <v>8</v>
      </c>
      <c r="FA299" s="1605">
        <v>8</v>
      </c>
      <c r="FB299" s="1605">
        <v>8</v>
      </c>
      <c r="FC299" s="1605">
        <v>8</v>
      </c>
      <c r="FD299" s="1605" t="s">
        <v>986</v>
      </c>
      <c r="FE299" s="1605" t="s">
        <v>986</v>
      </c>
      <c r="FF299" s="1605">
        <v>6.6299354413179357E-2</v>
      </c>
      <c r="FG299" s="1605">
        <v>0.14668169512066709</v>
      </c>
      <c r="FH299" s="1605">
        <v>0.20992153889452037</v>
      </c>
      <c r="FI299" s="1605">
        <v>6.0182722398369658E-2</v>
      </c>
      <c r="FJ299" s="1605" t="s">
        <v>986</v>
      </c>
      <c r="FK299" s="1605">
        <v>1.2895039987059229</v>
      </c>
      <c r="FL299" s="1605">
        <v>0.47109522340233717</v>
      </c>
      <c r="FM299" s="1605" t="s">
        <v>986</v>
      </c>
      <c r="FN299" s="1605">
        <v>1.444810332813794</v>
      </c>
      <c r="FO299" s="1605">
        <v>1.4469676100509952</v>
      </c>
      <c r="FP299" s="1605" t="s">
        <v>986</v>
      </c>
      <c r="FQ299" s="1605" t="s">
        <v>986</v>
      </c>
      <c r="FR299" s="1605" t="s">
        <v>986</v>
      </c>
      <c r="FS299" s="1605" t="s">
        <v>986</v>
      </c>
      <c r="FT299" s="1605" t="s">
        <v>986</v>
      </c>
      <c r="FU299" s="1605" t="s">
        <v>986</v>
      </c>
      <c r="FV299" s="1605" t="s">
        <v>986</v>
      </c>
      <c r="FW299" s="1605" t="s">
        <v>986</v>
      </c>
      <c r="FX299" s="1605" t="s">
        <v>986</v>
      </c>
      <c r="FY299" s="1605" t="s">
        <v>986</v>
      </c>
      <c r="FZ299" s="1605" t="s">
        <v>986</v>
      </c>
      <c r="GA299" s="1605">
        <v>3.5150332883153362E-2</v>
      </c>
      <c r="GB299" s="1605">
        <v>0.18889895202749979</v>
      </c>
      <c r="GC299" s="1605">
        <v>1.4293544244643977E-3</v>
      </c>
      <c r="GD299" s="1605">
        <v>0.01</v>
      </c>
      <c r="GE299" s="1605">
        <v>0.29602263657733374</v>
      </c>
      <c r="GF299" s="1605">
        <v>6.7726394781747135E-2</v>
      </c>
      <c r="GG299" s="1605" t="s">
        <v>986</v>
      </c>
      <c r="GH299" s="1605">
        <v>3.0537856649866844</v>
      </c>
      <c r="GI299" s="1605">
        <v>0.34582789098973554</v>
      </c>
      <c r="GJ299" s="1605">
        <v>2.2391297523632896</v>
      </c>
      <c r="GK299" s="1605">
        <v>3.4783334025873853</v>
      </c>
      <c r="GL299" s="1605" t="s">
        <v>986</v>
      </c>
      <c r="GM299" s="1605" t="s">
        <v>986</v>
      </c>
      <c r="GN299" s="1605" t="s">
        <v>2217</v>
      </c>
      <c r="GO299" s="1605" t="s">
        <v>2217</v>
      </c>
      <c r="GP299" s="1605" t="s">
        <v>2217</v>
      </c>
      <c r="GQ299" s="1605" t="s">
        <v>2217</v>
      </c>
      <c r="GR299" s="1605" t="s">
        <v>1763</v>
      </c>
      <c r="GS299" s="1605" t="s">
        <v>2217</v>
      </c>
      <c r="GT299" s="1605" t="s">
        <v>2217</v>
      </c>
      <c r="GU299" s="1605" t="s">
        <v>1763</v>
      </c>
      <c r="GV299" s="1605" t="s">
        <v>2217</v>
      </c>
      <c r="GW299" s="1605" t="s">
        <v>2217</v>
      </c>
      <c r="GX299" s="1605" t="s">
        <v>2217</v>
      </c>
      <c r="GY299" s="1605" t="s">
        <v>2217</v>
      </c>
      <c r="GZ299" s="1605" t="s">
        <v>2217</v>
      </c>
      <c r="HA299" s="1605" t="s">
        <v>2217</v>
      </c>
      <c r="HB299" s="1605" t="s">
        <v>1763</v>
      </c>
      <c r="HC299" s="1605" t="s">
        <v>2217</v>
      </c>
      <c r="HD299" s="1605" t="s">
        <v>2217</v>
      </c>
      <c r="HE299" s="1605" t="s">
        <v>2217</v>
      </c>
      <c r="HF299" s="1605" t="s">
        <v>2217</v>
      </c>
      <c r="HG299" s="1605" t="s">
        <v>2217</v>
      </c>
      <c r="HH299" s="1605" t="s">
        <v>2217</v>
      </c>
      <c r="HI299" s="1605" t="s">
        <v>2217</v>
      </c>
      <c r="HJ299" s="1605" t="s">
        <v>2217</v>
      </c>
      <c r="HK299" s="1605" t="s">
        <v>2217</v>
      </c>
      <c r="HL299" s="1605" t="s">
        <v>1578</v>
      </c>
      <c r="HM299" s="1605" t="s">
        <v>2217</v>
      </c>
      <c r="HN299" s="1605" t="s">
        <v>2217</v>
      </c>
      <c r="HO299" s="1605" t="s">
        <v>986</v>
      </c>
      <c r="HP299" s="1605" t="s">
        <v>2217</v>
      </c>
      <c r="HQ299" s="1605" t="s">
        <v>2217</v>
      </c>
      <c r="HR299" s="1605" t="s">
        <v>2217</v>
      </c>
      <c r="HS299" s="1605" t="s">
        <v>2217</v>
      </c>
      <c r="HT299" s="1605" t="s">
        <v>1763</v>
      </c>
      <c r="HU299" s="1605" t="s">
        <v>1763</v>
      </c>
      <c r="HV299" s="1617"/>
      <c r="HW299" s="1617" t="s">
        <v>3020</v>
      </c>
      <c r="HX299" s="1617" t="s">
        <v>3015</v>
      </c>
      <c r="HY299" s="1617" t="s">
        <v>3014</v>
      </c>
      <c r="HZ299" s="1603"/>
      <c r="IA299" s="1603"/>
      <c r="IB299" s="1603"/>
      <c r="IC299" s="1603">
        <v>59.747967479674799</v>
      </c>
      <c r="ID299" s="1603">
        <v>60.284552845528502</v>
      </c>
      <c r="IE299" s="1603">
        <v>60.731707317073202</v>
      </c>
      <c r="IF299" s="1603">
        <v>61</v>
      </c>
      <c r="IG299" s="1611" t="s">
        <v>3013</v>
      </c>
      <c r="IH299" s="1616" t="s">
        <v>3012</v>
      </c>
      <c r="II299" s="1615" t="s">
        <v>3011</v>
      </c>
      <c r="IJ299" s="1613">
        <v>0.38790909090909093</v>
      </c>
      <c r="IK299" s="1613">
        <v>0.38790909090909093</v>
      </c>
      <c r="IL299" s="1614">
        <v>0.38790909090909093</v>
      </c>
      <c r="IM299" s="1614">
        <v>0.38790909090909093</v>
      </c>
      <c r="IN299" s="1612">
        <v>0.63500000000000001</v>
      </c>
      <c r="IO299" s="1613">
        <v>0.24709090909090908</v>
      </c>
      <c r="IP299" s="1607" t="s">
        <v>270</v>
      </c>
      <c r="IQ299" s="1612">
        <v>2.2200000000000002</v>
      </c>
      <c r="IR299" s="1612">
        <v>7.5999999999999998E-2</v>
      </c>
      <c r="IS299" s="1607">
        <v>0.38390909090909092</v>
      </c>
      <c r="IT299" s="1607">
        <v>0.38390909090909092</v>
      </c>
      <c r="IU299" s="1611">
        <v>1.1363636363636365E-5</v>
      </c>
      <c r="IV299" s="1611">
        <v>7.2272727272727271E-3</v>
      </c>
      <c r="IW299" s="1611">
        <v>8.0681818181818177E-4</v>
      </c>
      <c r="IX299" s="1611">
        <v>7.0454545454545455E-4</v>
      </c>
      <c r="IY299" s="1611">
        <v>8.1818181818181816E-4</v>
      </c>
      <c r="IZ299" s="1611">
        <v>4.7159090909090909E-3</v>
      </c>
      <c r="JA299" s="1611">
        <v>7.9545454545454551E-5</v>
      </c>
      <c r="JB299" s="1611" t="s">
        <v>270</v>
      </c>
      <c r="JC299" s="1611">
        <v>0.10234090909090909</v>
      </c>
      <c r="JD299" s="1611">
        <v>2.2727272727272731E-3</v>
      </c>
      <c r="JE299" s="1611" t="s">
        <v>270</v>
      </c>
      <c r="JF299" s="1611">
        <v>4.3181818181818181E-4</v>
      </c>
      <c r="JG299" s="1611">
        <v>0.54138636363636372</v>
      </c>
      <c r="JH299" s="1611">
        <v>2.8409090909090913E-4</v>
      </c>
      <c r="JI299" s="1611">
        <v>5.0670454545454553E-2</v>
      </c>
      <c r="JJ299" s="1611" t="s">
        <v>270</v>
      </c>
      <c r="JK299" s="1607">
        <f t="shared" si="13"/>
        <v>4.0000000000000036E-3</v>
      </c>
      <c r="JL299" s="1608" t="s">
        <v>270</v>
      </c>
      <c r="JM299" s="1610" t="s">
        <v>2924</v>
      </c>
      <c r="JN299" s="1608">
        <v>0</v>
      </c>
      <c r="JO299" s="1609" t="s">
        <v>2923</v>
      </c>
      <c r="JP299" s="1608" t="s">
        <v>270</v>
      </c>
      <c r="JQ299" s="1607">
        <v>202103</v>
      </c>
      <c r="JR299" s="1606">
        <v>871</v>
      </c>
      <c r="JS299" s="1606">
        <v>793</v>
      </c>
      <c r="JT299" s="1606">
        <v>793</v>
      </c>
    </row>
    <row r="300" spans="1:280" ht="15" customHeight="1" x14ac:dyDescent="0.2">
      <c r="A300" s="1626">
        <v>56110</v>
      </c>
      <c r="B300" s="1625">
        <v>561</v>
      </c>
      <c r="C300" s="1624">
        <v>10</v>
      </c>
      <c r="D300" s="1623" t="s">
        <v>3022</v>
      </c>
      <c r="E300" s="1622">
        <v>44497</v>
      </c>
      <c r="F300" s="1620">
        <v>1.138677216415021</v>
      </c>
      <c r="G300" s="1620">
        <v>1.1211486270871984</v>
      </c>
      <c r="H300" s="1621">
        <v>90</v>
      </c>
      <c r="I300" s="1621">
        <v>86.1</v>
      </c>
      <c r="J300" s="1621">
        <v>93</v>
      </c>
      <c r="K300" s="1620">
        <v>1</v>
      </c>
      <c r="L300" s="1620">
        <v>85.5</v>
      </c>
      <c r="M300" s="1620">
        <v>10.5</v>
      </c>
      <c r="N300" s="1620">
        <v>2</v>
      </c>
      <c r="O300" s="1620">
        <v>1.6</v>
      </c>
      <c r="P300" s="1620">
        <v>2.6</v>
      </c>
      <c r="Q300" s="1603"/>
      <c r="R300" s="1620">
        <v>84.398359183673463</v>
      </c>
      <c r="S300" s="1620">
        <v>28</v>
      </c>
      <c r="T300" s="1620">
        <v>41.414634146341498</v>
      </c>
      <c r="U300" s="1620">
        <v>46.780487804878</v>
      </c>
      <c r="V300" s="1620">
        <v>51.609756097560997</v>
      </c>
      <c r="W300" s="1620">
        <v>54.829268292682897</v>
      </c>
      <c r="X300" s="1620"/>
      <c r="Y300" s="1620">
        <v>0.49122807017543857</v>
      </c>
      <c r="Z300" s="1620">
        <v>3.5087719298245612</v>
      </c>
      <c r="AA300" s="1620">
        <v>0.11695906432748537</v>
      </c>
      <c r="AB300" s="1620">
        <v>0.79817559863169885</v>
      </c>
      <c r="AC300" s="1620">
        <v>5.3567251461988308</v>
      </c>
      <c r="AD300" s="1620">
        <v>1.1695906432748537</v>
      </c>
      <c r="AE300" s="1620">
        <v>0.6</v>
      </c>
      <c r="AF300" s="1620">
        <v>35.087719298245617</v>
      </c>
      <c r="AG300" s="1620">
        <v>3.9766081871345027</v>
      </c>
      <c r="AH300" s="1620">
        <v>31.064327485380115</v>
      </c>
      <c r="AI300" s="1620">
        <v>37.976608187134502</v>
      </c>
      <c r="AJ300" s="1620">
        <v>0</v>
      </c>
      <c r="AK300" s="1620">
        <v>0</v>
      </c>
      <c r="AL300" s="1620"/>
      <c r="AM300" s="1620">
        <v>3.24</v>
      </c>
      <c r="AN300" s="1620">
        <v>1.69</v>
      </c>
      <c r="AO300" s="1620">
        <v>2.2200000000000002</v>
      </c>
      <c r="AP300" s="1620">
        <v>3.15</v>
      </c>
      <c r="AQ300" s="1620">
        <v>1.22</v>
      </c>
      <c r="AR300" s="1620">
        <v>3.36</v>
      </c>
      <c r="AS300" s="1620">
        <v>6.42</v>
      </c>
      <c r="AT300" s="1620">
        <v>2.2200000000000002</v>
      </c>
      <c r="AU300" s="1620">
        <v>4.3600000000000003</v>
      </c>
      <c r="AV300" s="1620">
        <v>2.8</v>
      </c>
      <c r="AW300" s="1620">
        <v>4.5199999999999996</v>
      </c>
      <c r="AX300" s="1620"/>
      <c r="AY300" s="1620">
        <v>0.98</v>
      </c>
      <c r="AZ300" s="1620">
        <v>1.05</v>
      </c>
      <c r="BA300" s="1620">
        <v>1.03</v>
      </c>
      <c r="BB300" s="1620">
        <v>0.95</v>
      </c>
      <c r="BC300" s="1620">
        <v>0.92</v>
      </c>
      <c r="BD300" s="1620">
        <v>1.01</v>
      </c>
      <c r="BE300" s="1620">
        <v>1.01</v>
      </c>
      <c r="BF300" s="1620">
        <v>1.03</v>
      </c>
      <c r="BG300" s="1620">
        <v>1.06</v>
      </c>
      <c r="BH300" s="1620">
        <v>1</v>
      </c>
      <c r="BI300" s="1620">
        <v>0.98</v>
      </c>
      <c r="BJ300" s="1603"/>
      <c r="BK300" s="1620">
        <v>12.280701754385966</v>
      </c>
      <c r="BL300" s="1620">
        <v>2.3391812865497075</v>
      </c>
      <c r="BM300" s="1620">
        <v>1.871345029239766</v>
      </c>
      <c r="BN300" s="1620">
        <v>3.0588235294117645</v>
      </c>
      <c r="BO300" s="1620"/>
      <c r="BP300" s="1620">
        <v>105</v>
      </c>
      <c r="BQ300" s="1620">
        <v>23.470588235294116</v>
      </c>
      <c r="BR300" s="1620">
        <v>1.3317862180292643</v>
      </c>
      <c r="BS300" s="1620">
        <v>1.3112849439616356</v>
      </c>
      <c r="BT300" s="1603"/>
      <c r="BU300" s="1620">
        <v>981.28654970760238</v>
      </c>
      <c r="BV300" s="1620">
        <v>694.04177109440252</v>
      </c>
      <c r="BW300" s="1620">
        <v>54.671679197995068</v>
      </c>
      <c r="BX300" s="1620">
        <v>641</v>
      </c>
      <c r="BY300" s="1620">
        <v>33</v>
      </c>
      <c r="BZ300" s="1620">
        <v>29</v>
      </c>
      <c r="CA300" s="1620">
        <v>115</v>
      </c>
      <c r="CB300" s="1603"/>
      <c r="CC300" s="1603">
        <v>0.42</v>
      </c>
      <c r="CD300" s="1603">
        <v>2.9999999999999996</v>
      </c>
      <c r="CE300" s="1603">
        <v>9.9999999999999992E-2</v>
      </c>
      <c r="CF300" s="1603">
        <v>0.68244013683010252</v>
      </c>
      <c r="CG300" s="1603">
        <v>4.58</v>
      </c>
      <c r="CH300" s="1603">
        <v>0.99999999999999989</v>
      </c>
      <c r="CI300" s="1603">
        <v>0.51300000000000001</v>
      </c>
      <c r="CJ300" s="1603"/>
      <c r="CK300" s="1603">
        <v>30</v>
      </c>
      <c r="CL300" s="1603">
        <v>3.4</v>
      </c>
      <c r="CM300" s="1603">
        <v>26.56</v>
      </c>
      <c r="CN300" s="1603">
        <v>32.47</v>
      </c>
      <c r="CO300" s="1603">
        <v>0</v>
      </c>
      <c r="CP300" s="1603">
        <v>0</v>
      </c>
      <c r="CQ300" s="1603">
        <v>88.618277142857139</v>
      </c>
      <c r="CR300" s="1603">
        <v>77.825634749995615</v>
      </c>
      <c r="CS300" s="1603">
        <v>2.4711195545818616</v>
      </c>
      <c r="CT300" s="1603">
        <v>1.3810158886386723</v>
      </c>
      <c r="CU300" s="1603">
        <v>1.7795609641934003</v>
      </c>
      <c r="CV300" s="1603">
        <v>3.1605768528320723</v>
      </c>
      <c r="CW300" s="1603">
        <v>2.3289321198936186</v>
      </c>
      <c r="CX300" s="1603">
        <v>0.87351492443395073</v>
      </c>
      <c r="CY300" s="1603">
        <v>2.6410907408758511</v>
      </c>
      <c r="CZ300" s="1603">
        <v>5.0463698084592163</v>
      </c>
      <c r="DA300" s="1603">
        <v>1.7795609641934003</v>
      </c>
      <c r="DB300" s="1603">
        <v>3.5967895356057973</v>
      </c>
      <c r="DC300" s="1603">
        <v>2.1791177729998772</v>
      </c>
      <c r="DD300" s="1603">
        <v>5.7759073086056745</v>
      </c>
      <c r="DE300" s="1603">
        <v>3.4473643168858059</v>
      </c>
      <c r="DF300" s="1603">
        <v>0</v>
      </c>
      <c r="DG300" s="1603">
        <v>0</v>
      </c>
      <c r="DH300" s="1603">
        <v>0</v>
      </c>
      <c r="DI300" s="1603">
        <v>0</v>
      </c>
      <c r="DJ300" s="1603">
        <v>0</v>
      </c>
      <c r="DK300" s="1603">
        <v>0</v>
      </c>
      <c r="DL300" s="1603">
        <v>0</v>
      </c>
      <c r="DM300" s="1603">
        <v>0</v>
      </c>
      <c r="DN300" s="1603">
        <v>0</v>
      </c>
      <c r="DO300" s="1603">
        <v>0</v>
      </c>
      <c r="DP300" s="1603">
        <v>0</v>
      </c>
      <c r="DQ300" s="1603">
        <v>0</v>
      </c>
      <c r="DR300" s="1603">
        <v>0</v>
      </c>
      <c r="DS300" s="1603">
        <v>0</v>
      </c>
      <c r="DT300" s="1603">
        <v>0</v>
      </c>
      <c r="DU300" s="1603">
        <v>0</v>
      </c>
      <c r="DV300" s="1603">
        <v>0</v>
      </c>
      <c r="DW300" s="1618" t="s">
        <v>3017</v>
      </c>
      <c r="DX300" s="1605">
        <v>14</v>
      </c>
      <c r="DY300" s="1605">
        <v>7</v>
      </c>
      <c r="DZ300" s="1605">
        <v>8</v>
      </c>
      <c r="EA300" s="1605">
        <v>8</v>
      </c>
      <c r="EB300" s="1605" t="s">
        <v>986</v>
      </c>
      <c r="EC300" s="1605">
        <v>8</v>
      </c>
      <c r="ED300" s="1605">
        <v>8</v>
      </c>
      <c r="EE300" s="1605">
        <v>4</v>
      </c>
      <c r="EF300" s="1605">
        <v>8</v>
      </c>
      <c r="EG300" s="1605">
        <v>8</v>
      </c>
      <c r="EH300" s="1605" t="s">
        <v>986</v>
      </c>
      <c r="EI300" s="1605" t="s">
        <v>986</v>
      </c>
      <c r="EJ300" s="1605" t="s">
        <v>986</v>
      </c>
      <c r="EK300" s="1605" t="s">
        <v>986</v>
      </c>
      <c r="EL300" s="1605" t="s">
        <v>986</v>
      </c>
      <c r="EM300" s="1605" t="s">
        <v>986</v>
      </c>
      <c r="EN300" s="1605" t="s">
        <v>986</v>
      </c>
      <c r="EO300" s="1605" t="s">
        <v>986</v>
      </c>
      <c r="EP300" s="1605" t="s">
        <v>986</v>
      </c>
      <c r="EQ300" s="1605" t="s">
        <v>986</v>
      </c>
      <c r="ER300" s="1605" t="s">
        <v>986</v>
      </c>
      <c r="ES300" s="1605">
        <v>8</v>
      </c>
      <c r="ET300" s="1605">
        <v>7</v>
      </c>
      <c r="EU300" s="1605">
        <v>7</v>
      </c>
      <c r="EV300" s="1605">
        <v>4</v>
      </c>
      <c r="EW300" s="1605">
        <v>8</v>
      </c>
      <c r="EX300" s="1605">
        <v>8</v>
      </c>
      <c r="EY300" s="1605" t="s">
        <v>986</v>
      </c>
      <c r="EZ300" s="1605">
        <v>8</v>
      </c>
      <c r="FA300" s="1605">
        <v>8</v>
      </c>
      <c r="FB300" s="1605">
        <v>8</v>
      </c>
      <c r="FC300" s="1605">
        <v>8</v>
      </c>
      <c r="FD300" s="1605" t="s">
        <v>986</v>
      </c>
      <c r="FE300" s="1605" t="s">
        <v>986</v>
      </c>
      <c r="FF300" s="1605">
        <v>6.6299354413179357E-2</v>
      </c>
      <c r="FG300" s="1605">
        <v>0.14668169512066709</v>
      </c>
      <c r="FH300" s="1605">
        <v>0.20992153889452037</v>
      </c>
      <c r="FI300" s="1605">
        <v>6.0182722398369658E-2</v>
      </c>
      <c r="FJ300" s="1605" t="s">
        <v>986</v>
      </c>
      <c r="FK300" s="1605">
        <v>1.2895039987059229</v>
      </c>
      <c r="FL300" s="1605">
        <v>0.47109522340233717</v>
      </c>
      <c r="FM300" s="1605" t="s">
        <v>986</v>
      </c>
      <c r="FN300" s="1605">
        <v>1.444810332813794</v>
      </c>
      <c r="FO300" s="1605">
        <v>1.4469676100509952</v>
      </c>
      <c r="FP300" s="1605" t="s">
        <v>986</v>
      </c>
      <c r="FQ300" s="1605" t="s">
        <v>986</v>
      </c>
      <c r="FR300" s="1605" t="s">
        <v>986</v>
      </c>
      <c r="FS300" s="1605" t="s">
        <v>986</v>
      </c>
      <c r="FT300" s="1605" t="s">
        <v>986</v>
      </c>
      <c r="FU300" s="1605" t="s">
        <v>986</v>
      </c>
      <c r="FV300" s="1605" t="s">
        <v>986</v>
      </c>
      <c r="FW300" s="1605" t="s">
        <v>986</v>
      </c>
      <c r="FX300" s="1605" t="s">
        <v>986</v>
      </c>
      <c r="FY300" s="1605" t="s">
        <v>986</v>
      </c>
      <c r="FZ300" s="1605" t="s">
        <v>986</v>
      </c>
      <c r="GA300" s="1605">
        <v>3.5150332883153362E-2</v>
      </c>
      <c r="GB300" s="1605">
        <v>0.18889895202749979</v>
      </c>
      <c r="GC300" s="1605">
        <v>1.4293544244643977E-3</v>
      </c>
      <c r="GD300" s="1605">
        <v>0.01</v>
      </c>
      <c r="GE300" s="1605">
        <v>0.29602263657733374</v>
      </c>
      <c r="GF300" s="1605">
        <v>6.7726394781747135E-2</v>
      </c>
      <c r="GG300" s="1605" t="s">
        <v>986</v>
      </c>
      <c r="GH300" s="1605">
        <v>3.0537856649866844</v>
      </c>
      <c r="GI300" s="1605">
        <v>0.34582789098973554</v>
      </c>
      <c r="GJ300" s="1605">
        <v>2.2391297523632896</v>
      </c>
      <c r="GK300" s="1605">
        <v>3.4783334025873853</v>
      </c>
      <c r="GL300" s="1605" t="s">
        <v>986</v>
      </c>
      <c r="GM300" s="1605" t="s">
        <v>986</v>
      </c>
      <c r="GN300" s="1605" t="s">
        <v>2217</v>
      </c>
      <c r="GO300" s="1605" t="s">
        <v>2217</v>
      </c>
      <c r="GP300" s="1605" t="s">
        <v>2217</v>
      </c>
      <c r="GQ300" s="1605" t="s">
        <v>2217</v>
      </c>
      <c r="GR300" s="1605" t="s">
        <v>1763</v>
      </c>
      <c r="GS300" s="1605" t="s">
        <v>2217</v>
      </c>
      <c r="GT300" s="1605" t="s">
        <v>2217</v>
      </c>
      <c r="GU300" s="1605" t="s">
        <v>1763</v>
      </c>
      <c r="GV300" s="1605" t="s">
        <v>2217</v>
      </c>
      <c r="GW300" s="1605" t="s">
        <v>2217</v>
      </c>
      <c r="GX300" s="1605" t="s">
        <v>2217</v>
      </c>
      <c r="GY300" s="1605" t="s">
        <v>2217</v>
      </c>
      <c r="GZ300" s="1605" t="s">
        <v>2217</v>
      </c>
      <c r="HA300" s="1605" t="s">
        <v>2217</v>
      </c>
      <c r="HB300" s="1605" t="s">
        <v>1763</v>
      </c>
      <c r="HC300" s="1605" t="s">
        <v>2217</v>
      </c>
      <c r="HD300" s="1605" t="s">
        <v>2217</v>
      </c>
      <c r="HE300" s="1605" t="s">
        <v>2217</v>
      </c>
      <c r="HF300" s="1605" t="s">
        <v>2217</v>
      </c>
      <c r="HG300" s="1605" t="s">
        <v>2217</v>
      </c>
      <c r="HH300" s="1605" t="s">
        <v>2217</v>
      </c>
      <c r="HI300" s="1605" t="s">
        <v>2217</v>
      </c>
      <c r="HJ300" s="1605" t="s">
        <v>2217</v>
      </c>
      <c r="HK300" s="1605" t="s">
        <v>2217</v>
      </c>
      <c r="HL300" s="1605" t="s">
        <v>1578</v>
      </c>
      <c r="HM300" s="1605" t="s">
        <v>2217</v>
      </c>
      <c r="HN300" s="1605" t="s">
        <v>2217</v>
      </c>
      <c r="HO300" s="1605" t="s">
        <v>986</v>
      </c>
      <c r="HP300" s="1605" t="s">
        <v>2217</v>
      </c>
      <c r="HQ300" s="1605" t="s">
        <v>2217</v>
      </c>
      <c r="HR300" s="1605" t="s">
        <v>2217</v>
      </c>
      <c r="HS300" s="1605" t="s">
        <v>2217</v>
      </c>
      <c r="HT300" s="1605" t="s">
        <v>1763</v>
      </c>
      <c r="HU300" s="1605" t="s">
        <v>1763</v>
      </c>
      <c r="HV300" s="1617"/>
      <c r="HW300" s="1617" t="s">
        <v>3020</v>
      </c>
      <c r="HX300" s="1617" t="s">
        <v>3015</v>
      </c>
      <c r="HY300" s="1617" t="s">
        <v>3014</v>
      </c>
      <c r="HZ300" s="1603"/>
      <c r="IA300" s="1603"/>
      <c r="IB300" s="1603"/>
      <c r="IC300" s="1603">
        <v>57.243902439024403</v>
      </c>
      <c r="ID300" s="1603">
        <v>58.853658536585399</v>
      </c>
      <c r="IE300" s="1603">
        <v>60.195121951219498</v>
      </c>
      <c r="IF300" s="1603">
        <v>61</v>
      </c>
      <c r="IG300" s="1611" t="s">
        <v>3013</v>
      </c>
      <c r="IH300" s="1616" t="s">
        <v>3012</v>
      </c>
      <c r="II300" s="1615" t="s">
        <v>3011</v>
      </c>
      <c r="IJ300" s="1613">
        <v>0.38790909090909093</v>
      </c>
      <c r="IK300" s="1613">
        <v>0.38790909090909093</v>
      </c>
      <c r="IL300" s="1614">
        <v>0.38790909090909093</v>
      </c>
      <c r="IM300" s="1614">
        <v>0.38790909090909093</v>
      </c>
      <c r="IN300" s="1612">
        <v>0.63500000000000001</v>
      </c>
      <c r="IO300" s="1613">
        <v>0.24709090909090908</v>
      </c>
      <c r="IP300" s="1607" t="s">
        <v>270</v>
      </c>
      <c r="IQ300" s="1612">
        <v>2.2200000000000002</v>
      </c>
      <c r="IR300" s="1612">
        <v>7.5999999999999998E-2</v>
      </c>
      <c r="IS300" s="1607">
        <v>0.38390909090909092</v>
      </c>
      <c r="IT300" s="1607">
        <v>0.38390909090909092</v>
      </c>
      <c r="IU300" s="1611">
        <v>1.1363636363636365E-5</v>
      </c>
      <c r="IV300" s="1611">
        <v>7.2272727272727271E-3</v>
      </c>
      <c r="IW300" s="1611">
        <v>8.0681818181818177E-4</v>
      </c>
      <c r="IX300" s="1611">
        <v>7.0454545454545455E-4</v>
      </c>
      <c r="IY300" s="1611">
        <v>8.1818181818181816E-4</v>
      </c>
      <c r="IZ300" s="1611">
        <v>4.7159090909090909E-3</v>
      </c>
      <c r="JA300" s="1611">
        <v>7.9545454545454551E-5</v>
      </c>
      <c r="JB300" s="1611" t="s">
        <v>270</v>
      </c>
      <c r="JC300" s="1611">
        <v>0.10234090909090909</v>
      </c>
      <c r="JD300" s="1611">
        <v>2.2727272727272731E-3</v>
      </c>
      <c r="JE300" s="1611" t="s">
        <v>270</v>
      </c>
      <c r="JF300" s="1611">
        <v>4.3181818181818181E-4</v>
      </c>
      <c r="JG300" s="1611">
        <v>0.54138636363636372</v>
      </c>
      <c r="JH300" s="1611">
        <v>2.8409090909090913E-4</v>
      </c>
      <c r="JI300" s="1611">
        <v>5.0670454545454553E-2</v>
      </c>
      <c r="JJ300" s="1611" t="s">
        <v>270</v>
      </c>
      <c r="JK300" s="1607">
        <f t="shared" si="13"/>
        <v>4.0000000000000036E-3</v>
      </c>
      <c r="JL300" s="1608" t="s">
        <v>270</v>
      </c>
      <c r="JM300" s="1610" t="s">
        <v>2924</v>
      </c>
      <c r="JN300" s="1608">
        <v>0</v>
      </c>
      <c r="JO300" s="1609" t="s">
        <v>2923</v>
      </c>
      <c r="JP300" s="1608" t="s">
        <v>270</v>
      </c>
      <c r="JQ300" s="1607">
        <v>202103</v>
      </c>
      <c r="JR300" s="1606">
        <v>871</v>
      </c>
      <c r="JS300" s="1606">
        <v>793</v>
      </c>
      <c r="JT300" s="1606">
        <v>793</v>
      </c>
    </row>
    <row r="301" spans="1:280" ht="15" customHeight="1" x14ac:dyDescent="0.2">
      <c r="A301" s="1626">
        <v>56111</v>
      </c>
      <c r="B301" s="1625">
        <v>561</v>
      </c>
      <c r="C301" s="1624">
        <v>11</v>
      </c>
      <c r="D301" s="1623" t="s">
        <v>3021</v>
      </c>
      <c r="E301" s="1622">
        <v>44497</v>
      </c>
      <c r="F301" s="1620">
        <v>1.1484216995741385</v>
      </c>
      <c r="G301" s="1620">
        <v>1.1279976066790349</v>
      </c>
      <c r="H301" s="1621">
        <v>90</v>
      </c>
      <c r="I301" s="1621">
        <v>86.899999999999991</v>
      </c>
      <c r="J301" s="1621">
        <v>93</v>
      </c>
      <c r="K301" s="1620">
        <v>1</v>
      </c>
      <c r="L301" s="1620">
        <v>85.5</v>
      </c>
      <c r="M301" s="1620">
        <v>10.5</v>
      </c>
      <c r="N301" s="1620">
        <v>2</v>
      </c>
      <c r="O301" s="1620">
        <v>1.6</v>
      </c>
      <c r="P301" s="1620">
        <v>2.6</v>
      </c>
      <c r="Q301" s="1603"/>
      <c r="R301" s="1620">
        <v>85.001069387755095</v>
      </c>
      <c r="S301" s="1620">
        <v>28</v>
      </c>
      <c r="T301" s="1620">
        <v>41.414634146341498</v>
      </c>
      <c r="U301" s="1620">
        <v>46.780487804878</v>
      </c>
      <c r="V301" s="1620">
        <v>51.609756097560997</v>
      </c>
      <c r="W301" s="1620">
        <v>54.829268292682897</v>
      </c>
      <c r="X301" s="1620"/>
      <c r="Y301" s="1620">
        <v>0.49122807017543857</v>
      </c>
      <c r="Z301" s="1620">
        <v>3.5087719298245612</v>
      </c>
      <c r="AA301" s="1620">
        <v>0.11695906432748537</v>
      </c>
      <c r="AB301" s="1620">
        <v>0.79817559863169885</v>
      </c>
      <c r="AC301" s="1620">
        <v>5.3567251461988308</v>
      </c>
      <c r="AD301" s="1620">
        <v>1.1695906432748537</v>
      </c>
      <c r="AE301" s="1620">
        <v>0.6</v>
      </c>
      <c r="AF301" s="1620">
        <v>35.087719298245617</v>
      </c>
      <c r="AG301" s="1620">
        <v>3.9766081871345027</v>
      </c>
      <c r="AH301" s="1620">
        <v>31.064327485380115</v>
      </c>
      <c r="AI301" s="1620">
        <v>37.976608187134502</v>
      </c>
      <c r="AJ301" s="1620">
        <v>0</v>
      </c>
      <c r="AK301" s="1620">
        <v>0</v>
      </c>
      <c r="AL301" s="1620"/>
      <c r="AM301" s="1620">
        <v>3.24</v>
      </c>
      <c r="AN301" s="1620">
        <v>1.69</v>
      </c>
      <c r="AO301" s="1620">
        <v>2.2200000000000002</v>
      </c>
      <c r="AP301" s="1620">
        <v>3.15</v>
      </c>
      <c r="AQ301" s="1620">
        <v>1.22</v>
      </c>
      <c r="AR301" s="1620">
        <v>3.36</v>
      </c>
      <c r="AS301" s="1620">
        <v>6.42</v>
      </c>
      <c r="AT301" s="1620">
        <v>2.2200000000000002</v>
      </c>
      <c r="AU301" s="1620">
        <v>4.3600000000000003</v>
      </c>
      <c r="AV301" s="1620">
        <v>2.8</v>
      </c>
      <c r="AW301" s="1620">
        <v>4.5199999999999996</v>
      </c>
      <c r="AX301" s="1620"/>
      <c r="AY301" s="1620">
        <v>0.98</v>
      </c>
      <c r="AZ301" s="1620">
        <v>1.05</v>
      </c>
      <c r="BA301" s="1620">
        <v>1.03</v>
      </c>
      <c r="BB301" s="1620">
        <v>0.95</v>
      </c>
      <c r="BC301" s="1620">
        <v>0.92</v>
      </c>
      <c r="BD301" s="1620">
        <v>1.01</v>
      </c>
      <c r="BE301" s="1620">
        <v>1.01</v>
      </c>
      <c r="BF301" s="1620">
        <v>1.03</v>
      </c>
      <c r="BG301" s="1620">
        <v>1.06</v>
      </c>
      <c r="BH301" s="1620">
        <v>1</v>
      </c>
      <c r="BI301" s="1620">
        <v>0.98</v>
      </c>
      <c r="BJ301" s="1603"/>
      <c r="BK301" s="1620">
        <v>12.280701754385966</v>
      </c>
      <c r="BL301" s="1620">
        <v>2.3391812865497075</v>
      </c>
      <c r="BM301" s="1620">
        <v>1.871345029239766</v>
      </c>
      <c r="BN301" s="1620">
        <v>3.0588235294117645</v>
      </c>
      <c r="BO301" s="1620"/>
      <c r="BP301" s="1620">
        <v>105</v>
      </c>
      <c r="BQ301" s="1620">
        <v>23.470588235294116</v>
      </c>
      <c r="BR301" s="1620">
        <v>1.3431832743557175</v>
      </c>
      <c r="BS301" s="1620">
        <v>1.319295446408228</v>
      </c>
      <c r="BT301" s="1603"/>
      <c r="BU301" s="1620">
        <v>981.28654970760238</v>
      </c>
      <c r="BV301" s="1620">
        <v>705.25647451963221</v>
      </c>
      <c r="BW301" s="1620">
        <v>43.456975772765368</v>
      </c>
      <c r="BX301" s="1620">
        <v>641</v>
      </c>
      <c r="BY301" s="1620">
        <v>33</v>
      </c>
      <c r="BZ301" s="1620">
        <v>26</v>
      </c>
      <c r="CA301" s="1620">
        <v>106</v>
      </c>
      <c r="CB301" s="1603"/>
      <c r="CC301" s="1603">
        <v>0.42</v>
      </c>
      <c r="CD301" s="1603">
        <v>2.9999999999999996</v>
      </c>
      <c r="CE301" s="1603">
        <v>9.9999999999999992E-2</v>
      </c>
      <c r="CF301" s="1603">
        <v>0.68244013683010252</v>
      </c>
      <c r="CG301" s="1603">
        <v>4.58</v>
      </c>
      <c r="CH301" s="1603">
        <v>0.99999999999999989</v>
      </c>
      <c r="CI301" s="1603">
        <v>0.51300000000000001</v>
      </c>
      <c r="CJ301" s="1603"/>
      <c r="CK301" s="1603">
        <v>30</v>
      </c>
      <c r="CL301" s="1603">
        <v>3.4</v>
      </c>
      <c r="CM301" s="1603">
        <v>26.56</v>
      </c>
      <c r="CN301" s="1603">
        <v>32.47</v>
      </c>
      <c r="CO301" s="1603">
        <v>0</v>
      </c>
      <c r="CP301" s="1603">
        <v>0</v>
      </c>
      <c r="CQ301" s="1603">
        <v>89.25112285714286</v>
      </c>
      <c r="CR301" s="1603">
        <v>77.716332676611088</v>
      </c>
      <c r="CS301" s="1603">
        <v>2.4676489951477554</v>
      </c>
      <c r="CT301" s="1603">
        <v>1.3790763233464636</v>
      </c>
      <c r="CU301" s="1603">
        <v>1.7770616629833893</v>
      </c>
      <c r="CV301" s="1603">
        <v>3.1561379863298527</v>
      </c>
      <c r="CW301" s="1603">
        <v>2.3256612553475859</v>
      </c>
      <c r="CX301" s="1603">
        <v>0.87228811796228267</v>
      </c>
      <c r="CY301" s="1603">
        <v>2.6373814657134735</v>
      </c>
      <c r="CZ301" s="1603">
        <v>5.0392824434168162</v>
      </c>
      <c r="DA301" s="1603">
        <v>1.7770616629833893</v>
      </c>
      <c r="DB301" s="1603">
        <v>3.5917380309822584</v>
      </c>
      <c r="DC301" s="1603">
        <v>2.1760573149451097</v>
      </c>
      <c r="DD301" s="1603">
        <v>5.7677953459273681</v>
      </c>
      <c r="DE301" s="1603">
        <v>3.4425226722431641</v>
      </c>
      <c r="DF301" s="1603">
        <v>0</v>
      </c>
      <c r="DG301" s="1603">
        <v>0</v>
      </c>
      <c r="DH301" s="1603">
        <v>0</v>
      </c>
      <c r="DI301" s="1603">
        <v>0</v>
      </c>
      <c r="DJ301" s="1603">
        <v>0</v>
      </c>
      <c r="DK301" s="1603">
        <v>0</v>
      </c>
      <c r="DL301" s="1603">
        <v>0</v>
      </c>
      <c r="DM301" s="1603">
        <v>0</v>
      </c>
      <c r="DN301" s="1603">
        <v>0</v>
      </c>
      <c r="DO301" s="1603">
        <v>0</v>
      </c>
      <c r="DP301" s="1603">
        <v>0</v>
      </c>
      <c r="DQ301" s="1603">
        <v>0</v>
      </c>
      <c r="DR301" s="1603">
        <v>0</v>
      </c>
      <c r="DS301" s="1603">
        <v>0</v>
      </c>
      <c r="DT301" s="1603">
        <v>0</v>
      </c>
      <c r="DU301" s="1603">
        <v>0</v>
      </c>
      <c r="DV301" s="1603">
        <v>0</v>
      </c>
      <c r="DW301" s="1618" t="s">
        <v>3017</v>
      </c>
      <c r="DX301" s="1605">
        <v>14</v>
      </c>
      <c r="DY301" s="1605">
        <v>7</v>
      </c>
      <c r="DZ301" s="1605">
        <v>8</v>
      </c>
      <c r="EA301" s="1605">
        <v>8</v>
      </c>
      <c r="EB301" s="1605" t="s">
        <v>986</v>
      </c>
      <c r="EC301" s="1605">
        <v>8</v>
      </c>
      <c r="ED301" s="1605">
        <v>8</v>
      </c>
      <c r="EE301" s="1605">
        <v>4</v>
      </c>
      <c r="EF301" s="1605">
        <v>8</v>
      </c>
      <c r="EG301" s="1605">
        <v>8</v>
      </c>
      <c r="EH301" s="1605" t="s">
        <v>986</v>
      </c>
      <c r="EI301" s="1605" t="s">
        <v>986</v>
      </c>
      <c r="EJ301" s="1605" t="s">
        <v>986</v>
      </c>
      <c r="EK301" s="1605" t="s">
        <v>986</v>
      </c>
      <c r="EL301" s="1605" t="s">
        <v>986</v>
      </c>
      <c r="EM301" s="1605" t="s">
        <v>986</v>
      </c>
      <c r="EN301" s="1605" t="s">
        <v>986</v>
      </c>
      <c r="EO301" s="1605" t="s">
        <v>986</v>
      </c>
      <c r="EP301" s="1605" t="s">
        <v>986</v>
      </c>
      <c r="EQ301" s="1605" t="s">
        <v>986</v>
      </c>
      <c r="ER301" s="1605" t="s">
        <v>986</v>
      </c>
      <c r="ES301" s="1605">
        <v>8</v>
      </c>
      <c r="ET301" s="1605">
        <v>7</v>
      </c>
      <c r="EU301" s="1605">
        <v>7</v>
      </c>
      <c r="EV301" s="1605">
        <v>4</v>
      </c>
      <c r="EW301" s="1605">
        <v>8</v>
      </c>
      <c r="EX301" s="1605">
        <v>8</v>
      </c>
      <c r="EY301" s="1605" t="s">
        <v>986</v>
      </c>
      <c r="EZ301" s="1605">
        <v>8</v>
      </c>
      <c r="FA301" s="1605">
        <v>8</v>
      </c>
      <c r="FB301" s="1605">
        <v>8</v>
      </c>
      <c r="FC301" s="1605">
        <v>8</v>
      </c>
      <c r="FD301" s="1605" t="s">
        <v>986</v>
      </c>
      <c r="FE301" s="1605" t="s">
        <v>986</v>
      </c>
      <c r="FF301" s="1605">
        <v>6.6299354413179357E-2</v>
      </c>
      <c r="FG301" s="1605">
        <v>0.14668169512066709</v>
      </c>
      <c r="FH301" s="1605">
        <v>0.20992153889452037</v>
      </c>
      <c r="FI301" s="1605">
        <v>6.0182722398369658E-2</v>
      </c>
      <c r="FJ301" s="1605" t="s">
        <v>986</v>
      </c>
      <c r="FK301" s="1605">
        <v>1.2895039987059229</v>
      </c>
      <c r="FL301" s="1605">
        <v>0.47109522340233717</v>
      </c>
      <c r="FM301" s="1605" t="s">
        <v>986</v>
      </c>
      <c r="FN301" s="1605">
        <v>1.444810332813794</v>
      </c>
      <c r="FO301" s="1605">
        <v>1.4469676100509952</v>
      </c>
      <c r="FP301" s="1605" t="s">
        <v>986</v>
      </c>
      <c r="FQ301" s="1605" t="s">
        <v>986</v>
      </c>
      <c r="FR301" s="1605" t="s">
        <v>986</v>
      </c>
      <c r="FS301" s="1605" t="s">
        <v>986</v>
      </c>
      <c r="FT301" s="1605" t="s">
        <v>986</v>
      </c>
      <c r="FU301" s="1605" t="s">
        <v>986</v>
      </c>
      <c r="FV301" s="1605" t="s">
        <v>986</v>
      </c>
      <c r="FW301" s="1605" t="s">
        <v>986</v>
      </c>
      <c r="FX301" s="1605" t="s">
        <v>986</v>
      </c>
      <c r="FY301" s="1605" t="s">
        <v>986</v>
      </c>
      <c r="FZ301" s="1605" t="s">
        <v>986</v>
      </c>
      <c r="GA301" s="1605">
        <v>3.5150332883153362E-2</v>
      </c>
      <c r="GB301" s="1605">
        <v>0.18889895202749979</v>
      </c>
      <c r="GC301" s="1605">
        <v>1.4293544244643977E-3</v>
      </c>
      <c r="GD301" s="1605">
        <v>0.01</v>
      </c>
      <c r="GE301" s="1605">
        <v>0.29602263657733374</v>
      </c>
      <c r="GF301" s="1605">
        <v>6.7726394781747135E-2</v>
      </c>
      <c r="GG301" s="1605" t="s">
        <v>986</v>
      </c>
      <c r="GH301" s="1605">
        <v>3.0537856649866844</v>
      </c>
      <c r="GI301" s="1605">
        <v>0.34582789098973554</v>
      </c>
      <c r="GJ301" s="1605">
        <v>2.2391297523632896</v>
      </c>
      <c r="GK301" s="1605">
        <v>3.4783334025873853</v>
      </c>
      <c r="GL301" s="1605" t="s">
        <v>986</v>
      </c>
      <c r="GM301" s="1605" t="s">
        <v>986</v>
      </c>
      <c r="GN301" s="1605" t="s">
        <v>2217</v>
      </c>
      <c r="GO301" s="1605" t="s">
        <v>2217</v>
      </c>
      <c r="GP301" s="1605" t="s">
        <v>2217</v>
      </c>
      <c r="GQ301" s="1605" t="s">
        <v>2217</v>
      </c>
      <c r="GR301" s="1605" t="s">
        <v>1763</v>
      </c>
      <c r="GS301" s="1605" t="s">
        <v>2217</v>
      </c>
      <c r="GT301" s="1605" t="s">
        <v>2217</v>
      </c>
      <c r="GU301" s="1605" t="s">
        <v>1763</v>
      </c>
      <c r="GV301" s="1605" t="s">
        <v>2217</v>
      </c>
      <c r="GW301" s="1605" t="s">
        <v>2217</v>
      </c>
      <c r="GX301" s="1605" t="s">
        <v>2217</v>
      </c>
      <c r="GY301" s="1605" t="s">
        <v>2217</v>
      </c>
      <c r="GZ301" s="1605" t="s">
        <v>2217</v>
      </c>
      <c r="HA301" s="1605" t="s">
        <v>2217</v>
      </c>
      <c r="HB301" s="1605" t="s">
        <v>1763</v>
      </c>
      <c r="HC301" s="1605" t="s">
        <v>2217</v>
      </c>
      <c r="HD301" s="1605" t="s">
        <v>2217</v>
      </c>
      <c r="HE301" s="1605" t="s">
        <v>2217</v>
      </c>
      <c r="HF301" s="1605" t="s">
        <v>2217</v>
      </c>
      <c r="HG301" s="1605" t="s">
        <v>2217</v>
      </c>
      <c r="HH301" s="1605" t="s">
        <v>2217</v>
      </c>
      <c r="HI301" s="1605" t="s">
        <v>2217</v>
      </c>
      <c r="HJ301" s="1605" t="s">
        <v>2217</v>
      </c>
      <c r="HK301" s="1605" t="s">
        <v>2217</v>
      </c>
      <c r="HL301" s="1605" t="s">
        <v>1578</v>
      </c>
      <c r="HM301" s="1605" t="s">
        <v>2217</v>
      </c>
      <c r="HN301" s="1605" t="s">
        <v>2217</v>
      </c>
      <c r="HO301" s="1605" t="s">
        <v>986</v>
      </c>
      <c r="HP301" s="1605" t="s">
        <v>2217</v>
      </c>
      <c r="HQ301" s="1605" t="s">
        <v>2217</v>
      </c>
      <c r="HR301" s="1605" t="s">
        <v>2217</v>
      </c>
      <c r="HS301" s="1605" t="s">
        <v>2217</v>
      </c>
      <c r="HT301" s="1605" t="s">
        <v>1763</v>
      </c>
      <c r="HU301" s="1605" t="s">
        <v>1763</v>
      </c>
      <c r="HV301" s="1617"/>
      <c r="HW301" s="1617" t="s">
        <v>3020</v>
      </c>
      <c r="HX301" s="1617" t="s">
        <v>3015</v>
      </c>
      <c r="HY301" s="1617" t="s">
        <v>3014</v>
      </c>
      <c r="HZ301" s="1603"/>
      <c r="IA301" s="1603"/>
      <c r="IB301" s="1603"/>
      <c r="IC301" s="1603">
        <v>57.243902439024403</v>
      </c>
      <c r="ID301" s="1603">
        <v>58.853658536585399</v>
      </c>
      <c r="IE301" s="1603">
        <v>60.195121951219498</v>
      </c>
      <c r="IF301" s="1603">
        <v>61</v>
      </c>
      <c r="IG301" s="1611" t="s">
        <v>3013</v>
      </c>
      <c r="IH301" s="1616" t="s">
        <v>3012</v>
      </c>
      <c r="II301" s="1615" t="s">
        <v>3011</v>
      </c>
      <c r="IJ301" s="1613">
        <v>0.38790909090909093</v>
      </c>
      <c r="IK301" s="1613">
        <v>0.38790909090909093</v>
      </c>
      <c r="IL301" s="1614">
        <v>0.38790909090909093</v>
      </c>
      <c r="IM301" s="1614">
        <v>0.38790909090909093</v>
      </c>
      <c r="IN301" s="1612">
        <v>0.63500000000000001</v>
      </c>
      <c r="IO301" s="1613">
        <v>0.24709090909090908</v>
      </c>
      <c r="IP301" s="1607" t="s">
        <v>270</v>
      </c>
      <c r="IQ301" s="1612">
        <v>2.2200000000000002</v>
      </c>
      <c r="IR301" s="1612">
        <v>7.5999999999999998E-2</v>
      </c>
      <c r="IS301" s="1607">
        <v>0.38390909090909092</v>
      </c>
      <c r="IT301" s="1607">
        <v>0.38390909090909092</v>
      </c>
      <c r="IU301" s="1611">
        <v>1.1363636363636365E-5</v>
      </c>
      <c r="IV301" s="1611">
        <v>7.2272727272727271E-3</v>
      </c>
      <c r="IW301" s="1611">
        <v>8.0681818181818177E-4</v>
      </c>
      <c r="IX301" s="1611">
        <v>7.0454545454545455E-4</v>
      </c>
      <c r="IY301" s="1611">
        <v>8.1818181818181816E-4</v>
      </c>
      <c r="IZ301" s="1611">
        <v>4.7159090909090909E-3</v>
      </c>
      <c r="JA301" s="1611">
        <v>7.9545454545454551E-5</v>
      </c>
      <c r="JB301" s="1611" t="s">
        <v>270</v>
      </c>
      <c r="JC301" s="1611">
        <v>0.10234090909090909</v>
      </c>
      <c r="JD301" s="1611">
        <v>2.2727272727272731E-3</v>
      </c>
      <c r="JE301" s="1611" t="s">
        <v>270</v>
      </c>
      <c r="JF301" s="1611">
        <v>4.3181818181818181E-4</v>
      </c>
      <c r="JG301" s="1611">
        <v>0.54138636363636372</v>
      </c>
      <c r="JH301" s="1611">
        <v>2.8409090909090913E-4</v>
      </c>
      <c r="JI301" s="1611">
        <v>5.0670454545454553E-2</v>
      </c>
      <c r="JJ301" s="1611" t="s">
        <v>270</v>
      </c>
      <c r="JK301" s="1607">
        <f t="shared" si="13"/>
        <v>4.0000000000000036E-3</v>
      </c>
      <c r="JL301" s="1608" t="s">
        <v>270</v>
      </c>
      <c r="JM301" s="1610" t="s">
        <v>2924</v>
      </c>
      <c r="JN301" s="1608">
        <v>0</v>
      </c>
      <c r="JO301" s="1609" t="s">
        <v>2923</v>
      </c>
      <c r="JP301" s="1608" t="s">
        <v>270</v>
      </c>
      <c r="JQ301" s="1607">
        <v>202103</v>
      </c>
      <c r="JR301" s="1606">
        <v>871</v>
      </c>
      <c r="JS301" s="1606">
        <v>793</v>
      </c>
      <c r="JT301" s="1606">
        <v>793</v>
      </c>
    </row>
    <row r="302" spans="1:280" ht="15" customHeight="1" x14ac:dyDescent="0.2">
      <c r="A302" s="1626">
        <v>56311</v>
      </c>
      <c r="B302" s="1625">
        <v>563</v>
      </c>
      <c r="C302" s="1624">
        <v>11</v>
      </c>
      <c r="D302" s="1623" t="s">
        <v>3019</v>
      </c>
      <c r="E302" s="1622">
        <v>43367</v>
      </c>
      <c r="F302" s="1620">
        <v>1.1367928184281799</v>
      </c>
      <c r="G302" s="1620">
        <v>1.11869613506493</v>
      </c>
      <c r="H302" s="1621">
        <v>90.6</v>
      </c>
      <c r="I302" s="1621">
        <v>86.5</v>
      </c>
      <c r="J302" s="1621">
        <v>93</v>
      </c>
      <c r="K302" s="1620">
        <v>1</v>
      </c>
      <c r="L302" s="1620">
        <v>85</v>
      </c>
      <c r="M302" s="1620">
        <v>9.9999999999999591</v>
      </c>
      <c r="N302" s="1620">
        <v>1.9</v>
      </c>
      <c r="O302" s="1620">
        <v>1.7</v>
      </c>
      <c r="P302" s="1620">
        <v>2.6</v>
      </c>
      <c r="Q302" s="1603"/>
      <c r="R302" s="1620">
        <v>84.187548000000007</v>
      </c>
      <c r="S302" s="1620">
        <v>28</v>
      </c>
      <c r="T302" s="1620">
        <v>41.414634146341498</v>
      </c>
      <c r="U302" s="1620">
        <v>46.780487804878</v>
      </c>
      <c r="V302" s="1620">
        <v>51.609756097560997</v>
      </c>
      <c r="W302" s="1620">
        <v>54.829268292682897</v>
      </c>
      <c r="X302" s="1620"/>
      <c r="Y302" s="1620">
        <v>0.57647058823529407</v>
      </c>
      <c r="Z302" s="1620">
        <v>3.5764705882352943</v>
      </c>
      <c r="AA302" s="1620">
        <v>0.1</v>
      </c>
      <c r="AB302" s="1620">
        <v>0.8</v>
      </c>
      <c r="AC302" s="1620">
        <v>6.2352941176470589</v>
      </c>
      <c r="AD302" s="1620">
        <v>1.2941176470588236</v>
      </c>
      <c r="AE302" s="1620">
        <v>0.60000035294096943</v>
      </c>
      <c r="AF302" s="1620">
        <v>41.176470588235297</v>
      </c>
      <c r="AG302" s="1620">
        <v>5.1764705882352944</v>
      </c>
      <c r="AH302" s="1620">
        <v>30.352941176470587</v>
      </c>
      <c r="AI302" s="1620">
        <v>40</v>
      </c>
      <c r="AJ302" s="1620">
        <v>0</v>
      </c>
      <c r="AK302" s="1620">
        <v>0</v>
      </c>
      <c r="AL302" s="1620"/>
      <c r="AM302" s="1620">
        <v>3.24</v>
      </c>
      <c r="AN302" s="1620">
        <v>1.69</v>
      </c>
      <c r="AO302" s="1620">
        <v>2.2200000000000002</v>
      </c>
      <c r="AP302" s="1620">
        <v>3.15</v>
      </c>
      <c r="AQ302" s="1620">
        <v>1.22</v>
      </c>
      <c r="AR302" s="1620">
        <v>3.36</v>
      </c>
      <c r="AS302" s="1620">
        <v>6.42</v>
      </c>
      <c r="AT302" s="1620">
        <v>2.2200000000000002</v>
      </c>
      <c r="AU302" s="1620">
        <v>4.3600000000000003</v>
      </c>
      <c r="AV302" s="1620">
        <v>2.8</v>
      </c>
      <c r="AW302" s="1620">
        <v>4.5199999999999996</v>
      </c>
      <c r="AX302" s="1620"/>
      <c r="AY302" s="1620">
        <v>0.98</v>
      </c>
      <c r="AZ302" s="1620">
        <v>1.05</v>
      </c>
      <c r="BA302" s="1620">
        <v>1.03</v>
      </c>
      <c r="BB302" s="1620">
        <v>0.95</v>
      </c>
      <c r="BC302" s="1620">
        <v>0.92</v>
      </c>
      <c r="BD302" s="1620">
        <v>1.01</v>
      </c>
      <c r="BE302" s="1620">
        <v>1.01</v>
      </c>
      <c r="BF302" s="1620">
        <v>1.03</v>
      </c>
      <c r="BG302" s="1620">
        <v>1.06</v>
      </c>
      <c r="BH302" s="1620">
        <v>1</v>
      </c>
      <c r="BI302" s="1620">
        <v>0.98</v>
      </c>
      <c r="BJ302" s="1603"/>
      <c r="BK302" s="1620">
        <v>11.764705882352892</v>
      </c>
      <c r="BL302" s="1620">
        <v>2.2352941176470589</v>
      </c>
      <c r="BM302" s="1620">
        <v>2</v>
      </c>
      <c r="BN302" s="1620">
        <v>3.0588235294117645</v>
      </c>
      <c r="BO302" s="1620"/>
      <c r="BP302" s="1620">
        <v>105</v>
      </c>
      <c r="BQ302" s="1620">
        <v>23.470588235294116</v>
      </c>
      <c r="BR302" s="1620">
        <v>1.3374033157978586</v>
      </c>
      <c r="BS302" s="1620">
        <v>1.3161131000763884</v>
      </c>
      <c r="BT302" s="1603"/>
      <c r="BU302" s="1620">
        <v>980</v>
      </c>
      <c r="BV302" s="1620">
        <v>701.73882352941166</v>
      </c>
      <c r="BW302" s="1620">
        <v>57.399999999999885</v>
      </c>
      <c r="BX302" s="1620">
        <v>641</v>
      </c>
      <c r="BY302" s="1620">
        <v>33</v>
      </c>
      <c r="BZ302" s="1620">
        <v>28.122964143529412</v>
      </c>
      <c r="CA302" s="1620">
        <v>112.49115350352893</v>
      </c>
      <c r="CB302" s="1603"/>
      <c r="CC302" s="1603">
        <v>0.48999999999999994</v>
      </c>
      <c r="CD302" s="1603">
        <v>3.04</v>
      </c>
      <c r="CE302" s="1603">
        <v>8.5000000000000006E-2</v>
      </c>
      <c r="CF302" s="1603">
        <v>0.68</v>
      </c>
      <c r="CG302" s="1603">
        <v>5.3</v>
      </c>
      <c r="CH302" s="1603">
        <v>1.1000000000000001</v>
      </c>
      <c r="CI302" s="1603">
        <v>0.51000029999982399</v>
      </c>
      <c r="CJ302" s="1603"/>
      <c r="CK302" s="1603">
        <v>35</v>
      </c>
      <c r="CL302" s="1603">
        <v>4.4000000000000004</v>
      </c>
      <c r="CM302" s="1603">
        <v>25.799999999999997</v>
      </c>
      <c r="CN302" s="1603">
        <v>34</v>
      </c>
      <c r="CO302" s="1603">
        <v>0</v>
      </c>
      <c r="CP302" s="1603">
        <v>0</v>
      </c>
      <c r="CQ302" s="1603">
        <v>84.187548000000007</v>
      </c>
      <c r="CR302" s="1603">
        <v>74.057072348859833</v>
      </c>
      <c r="CS302" s="1603">
        <v>2.3514601612209884</v>
      </c>
      <c r="CT302" s="1603">
        <v>1.3141427488305089</v>
      </c>
      <c r="CU302" s="1603">
        <v>1.6933890163290202</v>
      </c>
      <c r="CV302" s="1603">
        <v>3.0075317651595377</v>
      </c>
      <c r="CW302" s="1603">
        <v>2.2161578900396215</v>
      </c>
      <c r="CX302" s="1603">
        <v>0.83121658004360011</v>
      </c>
      <c r="CY302" s="1603">
        <v>2.5132008072308984</v>
      </c>
      <c r="CZ302" s="1603">
        <v>4.8020086852447514</v>
      </c>
      <c r="DA302" s="1603">
        <v>1.6933890163290202</v>
      </c>
      <c r="DB302" s="1603">
        <v>3.422621655674897</v>
      </c>
      <c r="DC302" s="1603">
        <v>2.0735980257680664</v>
      </c>
      <c r="DD302" s="1603">
        <v>5.4962196814429642</v>
      </c>
      <c r="DE302" s="1603">
        <v>3.2804320767650861</v>
      </c>
      <c r="DF302" s="1603">
        <v>0</v>
      </c>
      <c r="DG302" s="1603">
        <v>0</v>
      </c>
      <c r="DH302" s="1603">
        <v>0</v>
      </c>
      <c r="DI302" s="1603">
        <v>0</v>
      </c>
      <c r="DJ302" s="1603">
        <v>0</v>
      </c>
      <c r="DK302" s="1603">
        <v>0</v>
      </c>
      <c r="DL302" s="1603">
        <v>0</v>
      </c>
      <c r="DM302" s="1603">
        <v>0</v>
      </c>
      <c r="DN302" s="1603">
        <v>0</v>
      </c>
      <c r="DO302" s="1603">
        <v>0</v>
      </c>
      <c r="DP302" s="1603">
        <v>0</v>
      </c>
      <c r="DQ302" s="1603">
        <v>0</v>
      </c>
      <c r="DR302" s="1603">
        <v>0</v>
      </c>
      <c r="DS302" s="1603">
        <v>0</v>
      </c>
      <c r="DT302" s="1603">
        <v>0</v>
      </c>
      <c r="DU302" s="1603">
        <v>0</v>
      </c>
      <c r="DV302" s="1603">
        <v>0</v>
      </c>
      <c r="DW302" s="1618" t="s">
        <v>3017</v>
      </c>
      <c r="DX302" s="1605" t="s">
        <v>986</v>
      </c>
      <c r="DY302" s="1605" t="s">
        <v>986</v>
      </c>
      <c r="DZ302" s="1605" t="s">
        <v>986</v>
      </c>
      <c r="EA302" s="1605" t="s">
        <v>986</v>
      </c>
      <c r="EB302" s="1605" t="s">
        <v>986</v>
      </c>
      <c r="EC302" s="1605" t="s">
        <v>986</v>
      </c>
      <c r="ED302" s="1605" t="s">
        <v>986</v>
      </c>
      <c r="EE302" s="1605" t="s">
        <v>986</v>
      </c>
      <c r="EF302" s="1605" t="s">
        <v>986</v>
      </c>
      <c r="EG302" s="1605" t="s">
        <v>986</v>
      </c>
      <c r="EH302" s="1605" t="s">
        <v>986</v>
      </c>
      <c r="EI302" s="1605" t="s">
        <v>986</v>
      </c>
      <c r="EJ302" s="1605" t="s">
        <v>986</v>
      </c>
      <c r="EK302" s="1605" t="s">
        <v>986</v>
      </c>
      <c r="EL302" s="1605" t="s">
        <v>986</v>
      </c>
      <c r="EM302" s="1605" t="s">
        <v>986</v>
      </c>
      <c r="EN302" s="1605" t="s">
        <v>986</v>
      </c>
      <c r="EO302" s="1605" t="s">
        <v>986</v>
      </c>
      <c r="EP302" s="1605" t="s">
        <v>986</v>
      </c>
      <c r="EQ302" s="1605" t="s">
        <v>986</v>
      </c>
      <c r="ER302" s="1605" t="s">
        <v>986</v>
      </c>
      <c r="ES302" s="1605" t="s">
        <v>986</v>
      </c>
      <c r="ET302" s="1605" t="s">
        <v>986</v>
      </c>
      <c r="EU302" s="1605" t="s">
        <v>986</v>
      </c>
      <c r="EV302" s="1605" t="s">
        <v>986</v>
      </c>
      <c r="EW302" s="1605" t="s">
        <v>986</v>
      </c>
      <c r="EX302" s="1605" t="s">
        <v>986</v>
      </c>
      <c r="EY302" s="1605" t="s">
        <v>986</v>
      </c>
      <c r="EZ302" s="1605" t="s">
        <v>986</v>
      </c>
      <c r="FA302" s="1605" t="s">
        <v>986</v>
      </c>
      <c r="FB302" s="1605" t="s">
        <v>986</v>
      </c>
      <c r="FC302" s="1605" t="s">
        <v>986</v>
      </c>
      <c r="FD302" s="1605" t="s">
        <v>986</v>
      </c>
      <c r="FE302" s="1605" t="s">
        <v>986</v>
      </c>
      <c r="FF302" s="1605" t="s">
        <v>986</v>
      </c>
      <c r="FG302" s="1605" t="s">
        <v>986</v>
      </c>
      <c r="FH302" s="1605" t="s">
        <v>986</v>
      </c>
      <c r="FI302" s="1605" t="s">
        <v>986</v>
      </c>
      <c r="FJ302" s="1605" t="s">
        <v>986</v>
      </c>
      <c r="FK302" s="1605" t="s">
        <v>986</v>
      </c>
      <c r="FL302" s="1605" t="s">
        <v>986</v>
      </c>
      <c r="FM302" s="1605" t="s">
        <v>986</v>
      </c>
      <c r="FN302" s="1605" t="s">
        <v>986</v>
      </c>
      <c r="FO302" s="1605" t="s">
        <v>986</v>
      </c>
      <c r="FP302" s="1605" t="s">
        <v>986</v>
      </c>
      <c r="FQ302" s="1605" t="s">
        <v>986</v>
      </c>
      <c r="FR302" s="1605" t="s">
        <v>986</v>
      </c>
      <c r="FS302" s="1605" t="s">
        <v>986</v>
      </c>
      <c r="FT302" s="1605" t="s">
        <v>986</v>
      </c>
      <c r="FU302" s="1605" t="s">
        <v>986</v>
      </c>
      <c r="FV302" s="1605" t="s">
        <v>986</v>
      </c>
      <c r="FW302" s="1605" t="s">
        <v>986</v>
      </c>
      <c r="FX302" s="1605" t="s">
        <v>986</v>
      </c>
      <c r="FY302" s="1605" t="s">
        <v>986</v>
      </c>
      <c r="FZ302" s="1605" t="s">
        <v>986</v>
      </c>
      <c r="GA302" s="1605" t="s">
        <v>986</v>
      </c>
      <c r="GB302" s="1605" t="s">
        <v>986</v>
      </c>
      <c r="GC302" s="1605" t="s">
        <v>986</v>
      </c>
      <c r="GD302" s="1605" t="s">
        <v>986</v>
      </c>
      <c r="GE302" s="1605" t="s">
        <v>986</v>
      </c>
      <c r="GF302" s="1605" t="s">
        <v>986</v>
      </c>
      <c r="GG302" s="1605" t="s">
        <v>986</v>
      </c>
      <c r="GH302" s="1605" t="s">
        <v>986</v>
      </c>
      <c r="GI302" s="1605" t="s">
        <v>986</v>
      </c>
      <c r="GJ302" s="1605" t="s">
        <v>986</v>
      </c>
      <c r="GK302" s="1605" t="s">
        <v>986</v>
      </c>
      <c r="GL302" s="1605" t="s">
        <v>986</v>
      </c>
      <c r="GM302" s="1605" t="s">
        <v>986</v>
      </c>
      <c r="GN302" s="1605" t="s">
        <v>986</v>
      </c>
      <c r="GO302" s="1605" t="s">
        <v>986</v>
      </c>
      <c r="GP302" s="1605" t="s">
        <v>986</v>
      </c>
      <c r="GQ302" s="1605" t="s">
        <v>986</v>
      </c>
      <c r="GR302" s="1605" t="s">
        <v>986</v>
      </c>
      <c r="GS302" s="1605" t="s">
        <v>986</v>
      </c>
      <c r="GT302" s="1605" t="s">
        <v>986</v>
      </c>
      <c r="GU302" s="1605" t="s">
        <v>986</v>
      </c>
      <c r="GV302" s="1605" t="s">
        <v>986</v>
      </c>
      <c r="GW302" s="1605" t="s">
        <v>986</v>
      </c>
      <c r="GX302" s="1605" t="s">
        <v>986</v>
      </c>
      <c r="GY302" s="1605" t="s">
        <v>986</v>
      </c>
      <c r="GZ302" s="1605" t="s">
        <v>986</v>
      </c>
      <c r="HA302" s="1605" t="s">
        <v>986</v>
      </c>
      <c r="HB302" s="1605" t="s">
        <v>986</v>
      </c>
      <c r="HC302" s="1605" t="s">
        <v>986</v>
      </c>
      <c r="HD302" s="1605" t="s">
        <v>986</v>
      </c>
      <c r="HE302" s="1605" t="s">
        <v>986</v>
      </c>
      <c r="HF302" s="1605" t="s">
        <v>986</v>
      </c>
      <c r="HG302" s="1605" t="s">
        <v>986</v>
      </c>
      <c r="HH302" s="1605" t="s">
        <v>986</v>
      </c>
      <c r="HI302" s="1605" t="s">
        <v>986</v>
      </c>
      <c r="HJ302" s="1605" t="s">
        <v>986</v>
      </c>
      <c r="HK302" s="1605" t="s">
        <v>986</v>
      </c>
      <c r="HL302" s="1605" t="s">
        <v>986</v>
      </c>
      <c r="HM302" s="1605" t="s">
        <v>986</v>
      </c>
      <c r="HN302" s="1605" t="s">
        <v>986</v>
      </c>
      <c r="HO302" s="1605" t="s">
        <v>986</v>
      </c>
      <c r="HP302" s="1605" t="s">
        <v>986</v>
      </c>
      <c r="HQ302" s="1605" t="s">
        <v>986</v>
      </c>
      <c r="HR302" s="1605" t="s">
        <v>986</v>
      </c>
      <c r="HS302" s="1605" t="s">
        <v>986</v>
      </c>
      <c r="HT302" s="1605" t="s">
        <v>986</v>
      </c>
      <c r="HU302" s="1605" t="s">
        <v>986</v>
      </c>
      <c r="HV302" s="1617"/>
      <c r="HW302" s="1617" t="s">
        <v>3016</v>
      </c>
      <c r="HX302" s="1617" t="s">
        <v>3015</v>
      </c>
      <c r="HY302" s="1617" t="s">
        <v>3014</v>
      </c>
      <c r="HZ302" s="1603"/>
      <c r="IA302" s="1603"/>
      <c r="IB302" s="1603"/>
      <c r="IC302" s="1603">
        <v>57.243902439024403</v>
      </c>
      <c r="ID302" s="1603">
        <v>58.853658536585399</v>
      </c>
      <c r="IE302" s="1603">
        <v>60.195121951219498</v>
      </c>
      <c r="IF302" s="1603">
        <v>61</v>
      </c>
      <c r="IG302" s="1611" t="s">
        <v>3013</v>
      </c>
      <c r="IH302" s="1616" t="s">
        <v>3012</v>
      </c>
      <c r="II302" s="1615" t="s">
        <v>3011</v>
      </c>
      <c r="IJ302" s="1613">
        <v>0.38790909090909093</v>
      </c>
      <c r="IK302" s="1613">
        <v>0.38790909090909093</v>
      </c>
      <c r="IL302" s="1614">
        <v>0.38790909090909093</v>
      </c>
      <c r="IM302" s="1614">
        <v>0.38790909090909093</v>
      </c>
      <c r="IN302" s="1612">
        <v>0.63500000000000001</v>
      </c>
      <c r="IO302" s="1613">
        <v>0.24709090909090908</v>
      </c>
      <c r="IP302" s="1607" t="s">
        <v>270</v>
      </c>
      <c r="IQ302" s="1612">
        <v>2.2200000000000002</v>
      </c>
      <c r="IR302" s="1612">
        <v>7.5999999999999998E-2</v>
      </c>
      <c r="IS302" s="1607">
        <v>0.38390909090909092</v>
      </c>
      <c r="IT302" s="1607">
        <v>0.38390909090909092</v>
      </c>
      <c r="IU302" s="1611">
        <v>1.1363636363636365E-5</v>
      </c>
      <c r="IV302" s="1611">
        <v>7.2272727272727271E-3</v>
      </c>
      <c r="IW302" s="1611">
        <v>8.0681818181818177E-4</v>
      </c>
      <c r="IX302" s="1611">
        <v>7.0454545454545455E-4</v>
      </c>
      <c r="IY302" s="1611">
        <v>8.1818181818181816E-4</v>
      </c>
      <c r="IZ302" s="1611">
        <v>4.7159090909090909E-3</v>
      </c>
      <c r="JA302" s="1611">
        <v>7.9545454545454551E-5</v>
      </c>
      <c r="JB302" s="1611" t="s">
        <v>270</v>
      </c>
      <c r="JC302" s="1611">
        <v>0.10234090909090909</v>
      </c>
      <c r="JD302" s="1611">
        <v>2.2727272727272731E-3</v>
      </c>
      <c r="JE302" s="1611" t="s">
        <v>270</v>
      </c>
      <c r="JF302" s="1611">
        <v>4.3181818181818181E-4</v>
      </c>
      <c r="JG302" s="1611">
        <v>0.54138636363636372</v>
      </c>
      <c r="JH302" s="1611">
        <v>2.8409090909090913E-4</v>
      </c>
      <c r="JI302" s="1611">
        <v>5.0670454545454553E-2</v>
      </c>
      <c r="JJ302" s="1611" t="s">
        <v>270</v>
      </c>
      <c r="JK302" s="1607">
        <f t="shared" si="13"/>
        <v>4.0000000000000036E-3</v>
      </c>
      <c r="JL302" s="1608" t="s">
        <v>270</v>
      </c>
      <c r="JM302" s="1610" t="s">
        <v>2924</v>
      </c>
      <c r="JN302" s="1608">
        <v>0</v>
      </c>
      <c r="JO302" s="1609" t="s">
        <v>2923</v>
      </c>
      <c r="JP302" s="1608" t="s">
        <v>270</v>
      </c>
      <c r="JQ302" s="1607">
        <v>202103</v>
      </c>
      <c r="JR302" s="1606">
        <v>871</v>
      </c>
      <c r="JS302" s="1606">
        <v>793</v>
      </c>
      <c r="JT302" s="1606">
        <v>793</v>
      </c>
    </row>
    <row r="303" spans="1:280" ht="15" customHeight="1" x14ac:dyDescent="0.2">
      <c r="A303" s="1626">
        <v>56361</v>
      </c>
      <c r="B303" s="1625">
        <v>563</v>
      </c>
      <c r="C303" s="1624">
        <v>61</v>
      </c>
      <c r="D303" s="1623" t="s">
        <v>3018</v>
      </c>
      <c r="E303" s="1622">
        <v>43367</v>
      </c>
      <c r="F303" s="1620">
        <v>1.13346558265583</v>
      </c>
      <c r="G303" s="1620">
        <v>1.1155071740259801</v>
      </c>
      <c r="H303" s="1621">
        <v>90.6</v>
      </c>
      <c r="I303" s="1621">
        <v>86.5</v>
      </c>
      <c r="J303" s="1621">
        <v>93</v>
      </c>
      <c r="K303" s="1620">
        <v>1</v>
      </c>
      <c r="L303" s="1620">
        <v>85</v>
      </c>
      <c r="M303" s="1620">
        <v>11.5</v>
      </c>
      <c r="N303" s="1620">
        <v>1.9</v>
      </c>
      <c r="O303" s="1620">
        <v>1.7</v>
      </c>
      <c r="P303" s="1620">
        <v>2.6</v>
      </c>
      <c r="Q303" s="1603"/>
      <c r="R303" s="1620">
        <v>85.336998260869606</v>
      </c>
      <c r="S303" s="1620">
        <v>28</v>
      </c>
      <c r="T303" s="1620">
        <v>41.414634146341498</v>
      </c>
      <c r="U303" s="1620">
        <v>46.780487804878</v>
      </c>
      <c r="V303" s="1620">
        <v>51.609756097560997</v>
      </c>
      <c r="W303" s="1620">
        <v>54.829268292682897</v>
      </c>
      <c r="X303" s="1620"/>
      <c r="Y303" s="1620">
        <v>0.57647058823529407</v>
      </c>
      <c r="Z303" s="1620">
        <v>3.5764705882352943</v>
      </c>
      <c r="AA303" s="1620">
        <v>0.1</v>
      </c>
      <c r="AB303" s="1620">
        <v>0.8</v>
      </c>
      <c r="AC303" s="1620">
        <v>6.2352941176470589</v>
      </c>
      <c r="AD303" s="1620">
        <v>1.2941176470588236</v>
      </c>
      <c r="AE303" s="1620">
        <v>0.60000035294096943</v>
      </c>
      <c r="AF303" s="1620">
        <v>41.176470588235297</v>
      </c>
      <c r="AG303" s="1620">
        <v>5.1764705882352944</v>
      </c>
      <c r="AH303" s="1620">
        <v>30.352941176470587</v>
      </c>
      <c r="AI303" s="1620">
        <v>40</v>
      </c>
      <c r="AJ303" s="1620">
        <v>0</v>
      </c>
      <c r="AK303" s="1620">
        <v>0</v>
      </c>
      <c r="AL303" s="1620"/>
      <c r="AM303" s="1620">
        <v>3.24</v>
      </c>
      <c r="AN303" s="1620">
        <v>1.69</v>
      </c>
      <c r="AO303" s="1620">
        <v>2.2200000000000002</v>
      </c>
      <c r="AP303" s="1620">
        <v>3.15</v>
      </c>
      <c r="AQ303" s="1620">
        <v>1.22</v>
      </c>
      <c r="AR303" s="1620">
        <v>3.36</v>
      </c>
      <c r="AS303" s="1620">
        <v>6.42</v>
      </c>
      <c r="AT303" s="1620">
        <v>2.2200000000000002</v>
      </c>
      <c r="AU303" s="1620">
        <v>4.3600000000000003</v>
      </c>
      <c r="AV303" s="1620">
        <v>2.8</v>
      </c>
      <c r="AW303" s="1620">
        <v>4.5199999999999996</v>
      </c>
      <c r="AX303" s="1620"/>
      <c r="AY303" s="1620">
        <v>0.98</v>
      </c>
      <c r="AZ303" s="1620">
        <v>1.05</v>
      </c>
      <c r="BA303" s="1620">
        <v>1.03</v>
      </c>
      <c r="BB303" s="1620">
        <v>0.95</v>
      </c>
      <c r="BC303" s="1620">
        <v>0.92</v>
      </c>
      <c r="BD303" s="1620">
        <v>1.01</v>
      </c>
      <c r="BE303" s="1620">
        <v>1.01</v>
      </c>
      <c r="BF303" s="1620">
        <v>1.03</v>
      </c>
      <c r="BG303" s="1620">
        <v>1.06</v>
      </c>
      <c r="BH303" s="1620">
        <v>1</v>
      </c>
      <c r="BI303" s="1620">
        <v>0.98</v>
      </c>
      <c r="BJ303" s="1603"/>
      <c r="BK303" s="1620">
        <v>13.529411764705882</v>
      </c>
      <c r="BL303" s="1620">
        <v>2.2352941176470589</v>
      </c>
      <c r="BM303" s="1620">
        <v>2</v>
      </c>
      <c r="BN303" s="1620">
        <v>3.0588235294117645</v>
      </c>
      <c r="BO303" s="1620"/>
      <c r="BP303" s="1620">
        <v>105</v>
      </c>
      <c r="BQ303" s="1620">
        <v>23.470588235294116</v>
      </c>
      <c r="BR303" s="1620">
        <v>1.3334889207715648</v>
      </c>
      <c r="BS303" s="1620">
        <v>1.3123613812070354</v>
      </c>
      <c r="BT303" s="1603"/>
      <c r="BU303" s="1620">
        <v>980</v>
      </c>
      <c r="BV303" s="1620">
        <v>685.68</v>
      </c>
      <c r="BW303" s="1620">
        <v>57.399999999999885</v>
      </c>
      <c r="BX303" s="1620">
        <v>641</v>
      </c>
      <c r="BY303" s="1620">
        <v>33</v>
      </c>
      <c r="BZ303" s="1620">
        <v>27.875904084705883</v>
      </c>
      <c r="CA303" s="1620">
        <v>111.502919444706</v>
      </c>
      <c r="CB303" s="1603"/>
      <c r="CC303" s="1603">
        <v>0.48999999999999994</v>
      </c>
      <c r="CD303" s="1603">
        <v>3.04</v>
      </c>
      <c r="CE303" s="1603">
        <v>8.5000000000000006E-2</v>
      </c>
      <c r="CF303" s="1603">
        <v>0.68</v>
      </c>
      <c r="CG303" s="1603">
        <v>5.3</v>
      </c>
      <c r="CH303" s="1603">
        <v>1.1000000000000001</v>
      </c>
      <c r="CI303" s="1603">
        <v>0.51000029999982399</v>
      </c>
      <c r="CJ303" s="1603"/>
      <c r="CK303" s="1603">
        <v>35</v>
      </c>
      <c r="CL303" s="1603">
        <v>4.4000000000000004</v>
      </c>
      <c r="CM303" s="1603">
        <v>25.799999999999997</v>
      </c>
      <c r="CN303" s="1603">
        <v>34</v>
      </c>
      <c r="CO303" s="1603">
        <v>0</v>
      </c>
      <c r="CP303" s="1603">
        <v>0</v>
      </c>
      <c r="CQ303" s="1603">
        <v>98.137547999999697</v>
      </c>
      <c r="CR303" s="1603">
        <v>86.581850831370659</v>
      </c>
      <c r="CS303" s="1603">
        <v>2.7491469275976899</v>
      </c>
      <c r="CT303" s="1603">
        <v>1.5363949430026771</v>
      </c>
      <c r="CU303" s="1603">
        <v>1.9797806011101275</v>
      </c>
      <c r="CV303" s="1603">
        <v>3.5161755441128046</v>
      </c>
      <c r="CW303" s="1603">
        <v>2.5909618861287749</v>
      </c>
      <c r="CX303" s="1603">
        <v>0.97179469373130722</v>
      </c>
      <c r="CY303" s="1603">
        <v>2.9382416898134034</v>
      </c>
      <c r="CZ303" s="1603">
        <v>5.6141403716077534</v>
      </c>
      <c r="DA303" s="1603">
        <v>1.9797806011101275</v>
      </c>
      <c r="DB303" s="1603">
        <v>4.0014668180226476</v>
      </c>
      <c r="DC303" s="1603">
        <v>2.4242918232783945</v>
      </c>
      <c r="DD303" s="1603">
        <v>6.4257586413010328</v>
      </c>
      <c r="DE303" s="1603">
        <v>3.8352296644264152</v>
      </c>
      <c r="DF303" s="1603">
        <v>0</v>
      </c>
      <c r="DG303" s="1603">
        <v>0</v>
      </c>
      <c r="DH303" s="1603">
        <v>0</v>
      </c>
      <c r="DI303" s="1603">
        <v>0</v>
      </c>
      <c r="DJ303" s="1603">
        <v>0</v>
      </c>
      <c r="DK303" s="1603">
        <v>0</v>
      </c>
      <c r="DL303" s="1603">
        <v>0</v>
      </c>
      <c r="DM303" s="1603">
        <v>0</v>
      </c>
      <c r="DN303" s="1603">
        <v>0</v>
      </c>
      <c r="DO303" s="1603">
        <v>0</v>
      </c>
      <c r="DP303" s="1603">
        <v>0</v>
      </c>
      <c r="DQ303" s="1603">
        <v>0</v>
      </c>
      <c r="DR303" s="1603">
        <v>0</v>
      </c>
      <c r="DS303" s="1603">
        <v>0</v>
      </c>
      <c r="DT303" s="1603">
        <v>0</v>
      </c>
      <c r="DU303" s="1603">
        <v>0</v>
      </c>
      <c r="DV303" s="1603">
        <v>0</v>
      </c>
      <c r="DW303" s="1618" t="s">
        <v>3017</v>
      </c>
      <c r="DX303" s="1605" t="s">
        <v>986</v>
      </c>
      <c r="DY303" s="1605" t="s">
        <v>986</v>
      </c>
      <c r="DZ303" s="1605" t="s">
        <v>986</v>
      </c>
      <c r="EA303" s="1605" t="s">
        <v>986</v>
      </c>
      <c r="EB303" s="1605" t="s">
        <v>986</v>
      </c>
      <c r="EC303" s="1605" t="s">
        <v>986</v>
      </c>
      <c r="ED303" s="1605" t="s">
        <v>986</v>
      </c>
      <c r="EE303" s="1605" t="s">
        <v>986</v>
      </c>
      <c r="EF303" s="1605" t="s">
        <v>986</v>
      </c>
      <c r="EG303" s="1605" t="s">
        <v>986</v>
      </c>
      <c r="EH303" s="1605" t="s">
        <v>986</v>
      </c>
      <c r="EI303" s="1605" t="s">
        <v>986</v>
      </c>
      <c r="EJ303" s="1605" t="s">
        <v>986</v>
      </c>
      <c r="EK303" s="1605" t="s">
        <v>986</v>
      </c>
      <c r="EL303" s="1605" t="s">
        <v>986</v>
      </c>
      <c r="EM303" s="1605" t="s">
        <v>986</v>
      </c>
      <c r="EN303" s="1605" t="s">
        <v>986</v>
      </c>
      <c r="EO303" s="1605" t="s">
        <v>986</v>
      </c>
      <c r="EP303" s="1605" t="s">
        <v>986</v>
      </c>
      <c r="EQ303" s="1605" t="s">
        <v>986</v>
      </c>
      <c r="ER303" s="1605" t="s">
        <v>986</v>
      </c>
      <c r="ES303" s="1605" t="s">
        <v>986</v>
      </c>
      <c r="ET303" s="1605" t="s">
        <v>986</v>
      </c>
      <c r="EU303" s="1605" t="s">
        <v>986</v>
      </c>
      <c r="EV303" s="1605" t="s">
        <v>986</v>
      </c>
      <c r="EW303" s="1605" t="s">
        <v>986</v>
      </c>
      <c r="EX303" s="1605" t="s">
        <v>986</v>
      </c>
      <c r="EY303" s="1605" t="s">
        <v>986</v>
      </c>
      <c r="EZ303" s="1605" t="s">
        <v>986</v>
      </c>
      <c r="FA303" s="1605" t="s">
        <v>986</v>
      </c>
      <c r="FB303" s="1605" t="s">
        <v>986</v>
      </c>
      <c r="FC303" s="1605" t="s">
        <v>986</v>
      </c>
      <c r="FD303" s="1605" t="s">
        <v>986</v>
      </c>
      <c r="FE303" s="1605" t="s">
        <v>986</v>
      </c>
      <c r="FF303" s="1605" t="s">
        <v>986</v>
      </c>
      <c r="FG303" s="1605" t="s">
        <v>986</v>
      </c>
      <c r="FH303" s="1605" t="s">
        <v>986</v>
      </c>
      <c r="FI303" s="1605" t="s">
        <v>986</v>
      </c>
      <c r="FJ303" s="1605" t="s">
        <v>986</v>
      </c>
      <c r="FK303" s="1605" t="s">
        <v>986</v>
      </c>
      <c r="FL303" s="1605" t="s">
        <v>986</v>
      </c>
      <c r="FM303" s="1605" t="s">
        <v>986</v>
      </c>
      <c r="FN303" s="1605" t="s">
        <v>986</v>
      </c>
      <c r="FO303" s="1605" t="s">
        <v>986</v>
      </c>
      <c r="FP303" s="1605" t="s">
        <v>986</v>
      </c>
      <c r="FQ303" s="1605" t="s">
        <v>986</v>
      </c>
      <c r="FR303" s="1605" t="s">
        <v>986</v>
      </c>
      <c r="FS303" s="1605" t="s">
        <v>986</v>
      </c>
      <c r="FT303" s="1605" t="s">
        <v>986</v>
      </c>
      <c r="FU303" s="1605" t="s">
        <v>986</v>
      </c>
      <c r="FV303" s="1605" t="s">
        <v>986</v>
      </c>
      <c r="FW303" s="1605" t="s">
        <v>986</v>
      </c>
      <c r="FX303" s="1605" t="s">
        <v>986</v>
      </c>
      <c r="FY303" s="1605" t="s">
        <v>986</v>
      </c>
      <c r="FZ303" s="1605" t="s">
        <v>986</v>
      </c>
      <c r="GA303" s="1605" t="s">
        <v>986</v>
      </c>
      <c r="GB303" s="1605" t="s">
        <v>986</v>
      </c>
      <c r="GC303" s="1605" t="s">
        <v>986</v>
      </c>
      <c r="GD303" s="1605" t="s">
        <v>986</v>
      </c>
      <c r="GE303" s="1605" t="s">
        <v>986</v>
      </c>
      <c r="GF303" s="1605" t="s">
        <v>986</v>
      </c>
      <c r="GG303" s="1605" t="s">
        <v>986</v>
      </c>
      <c r="GH303" s="1605" t="s">
        <v>986</v>
      </c>
      <c r="GI303" s="1605" t="s">
        <v>986</v>
      </c>
      <c r="GJ303" s="1605" t="s">
        <v>986</v>
      </c>
      <c r="GK303" s="1605" t="s">
        <v>986</v>
      </c>
      <c r="GL303" s="1605" t="s">
        <v>986</v>
      </c>
      <c r="GM303" s="1605" t="s">
        <v>986</v>
      </c>
      <c r="GN303" s="1605" t="s">
        <v>986</v>
      </c>
      <c r="GO303" s="1605" t="s">
        <v>986</v>
      </c>
      <c r="GP303" s="1605" t="s">
        <v>986</v>
      </c>
      <c r="GQ303" s="1605" t="s">
        <v>986</v>
      </c>
      <c r="GR303" s="1605" t="s">
        <v>986</v>
      </c>
      <c r="GS303" s="1605" t="s">
        <v>986</v>
      </c>
      <c r="GT303" s="1605" t="s">
        <v>986</v>
      </c>
      <c r="GU303" s="1605" t="s">
        <v>986</v>
      </c>
      <c r="GV303" s="1605" t="s">
        <v>986</v>
      </c>
      <c r="GW303" s="1605" t="s">
        <v>986</v>
      </c>
      <c r="GX303" s="1605" t="s">
        <v>986</v>
      </c>
      <c r="GY303" s="1605" t="s">
        <v>986</v>
      </c>
      <c r="GZ303" s="1605" t="s">
        <v>986</v>
      </c>
      <c r="HA303" s="1605" t="s">
        <v>986</v>
      </c>
      <c r="HB303" s="1605" t="s">
        <v>986</v>
      </c>
      <c r="HC303" s="1605" t="s">
        <v>986</v>
      </c>
      <c r="HD303" s="1605" t="s">
        <v>986</v>
      </c>
      <c r="HE303" s="1605" t="s">
        <v>986</v>
      </c>
      <c r="HF303" s="1605" t="s">
        <v>986</v>
      </c>
      <c r="HG303" s="1605" t="s">
        <v>986</v>
      </c>
      <c r="HH303" s="1605" t="s">
        <v>986</v>
      </c>
      <c r="HI303" s="1605" t="s">
        <v>986</v>
      </c>
      <c r="HJ303" s="1605" t="s">
        <v>986</v>
      </c>
      <c r="HK303" s="1605" t="s">
        <v>986</v>
      </c>
      <c r="HL303" s="1605" t="s">
        <v>986</v>
      </c>
      <c r="HM303" s="1605" t="s">
        <v>986</v>
      </c>
      <c r="HN303" s="1605" t="s">
        <v>986</v>
      </c>
      <c r="HO303" s="1605" t="s">
        <v>986</v>
      </c>
      <c r="HP303" s="1605" t="s">
        <v>986</v>
      </c>
      <c r="HQ303" s="1605" t="s">
        <v>986</v>
      </c>
      <c r="HR303" s="1605" t="s">
        <v>986</v>
      </c>
      <c r="HS303" s="1605" t="s">
        <v>986</v>
      </c>
      <c r="HT303" s="1605" t="s">
        <v>986</v>
      </c>
      <c r="HU303" s="1605" t="s">
        <v>986</v>
      </c>
      <c r="HV303" s="1617"/>
      <c r="HW303" s="1617" t="s">
        <v>3016</v>
      </c>
      <c r="HX303" s="1617" t="s">
        <v>3015</v>
      </c>
      <c r="HY303" s="1617" t="s">
        <v>3014</v>
      </c>
      <c r="HZ303" s="1603"/>
      <c r="IA303" s="1603"/>
      <c r="IB303" s="1603"/>
      <c r="IC303" s="1603">
        <v>57.243902439024403</v>
      </c>
      <c r="ID303" s="1603">
        <v>58.853658536585399</v>
      </c>
      <c r="IE303" s="1603">
        <v>60.195121951219498</v>
      </c>
      <c r="IF303" s="1603">
        <v>61</v>
      </c>
      <c r="IG303" s="1611" t="s">
        <v>3013</v>
      </c>
      <c r="IH303" s="1616" t="s">
        <v>3012</v>
      </c>
      <c r="II303" s="1615" t="s">
        <v>3011</v>
      </c>
      <c r="IJ303" s="1613">
        <v>0.38790909090909093</v>
      </c>
      <c r="IK303" s="1613">
        <v>0.38790909090909093</v>
      </c>
      <c r="IL303" s="1614">
        <v>0.38790909090909093</v>
      </c>
      <c r="IM303" s="1614">
        <v>0.38790909090909093</v>
      </c>
      <c r="IN303" s="1612">
        <v>0.63500000000000001</v>
      </c>
      <c r="IO303" s="1613">
        <v>0.24709090909090908</v>
      </c>
      <c r="IP303" s="1607" t="s">
        <v>270</v>
      </c>
      <c r="IQ303" s="1612">
        <v>2.2200000000000002</v>
      </c>
      <c r="IR303" s="1612">
        <v>7.5999999999999998E-2</v>
      </c>
      <c r="IS303" s="1607">
        <v>0.38390909090909092</v>
      </c>
      <c r="IT303" s="1607">
        <v>0.38390909090909092</v>
      </c>
      <c r="IU303" s="1611">
        <v>1.1363636363636365E-5</v>
      </c>
      <c r="IV303" s="1611">
        <v>7.2272727272727271E-3</v>
      </c>
      <c r="IW303" s="1611">
        <v>8.0681818181818177E-4</v>
      </c>
      <c r="IX303" s="1611">
        <v>7.0454545454545455E-4</v>
      </c>
      <c r="IY303" s="1611">
        <v>8.1818181818181816E-4</v>
      </c>
      <c r="IZ303" s="1611">
        <v>4.7159090909090909E-3</v>
      </c>
      <c r="JA303" s="1611">
        <v>7.9545454545454551E-5</v>
      </c>
      <c r="JB303" s="1611" t="s">
        <v>270</v>
      </c>
      <c r="JC303" s="1611">
        <v>0.10234090909090909</v>
      </c>
      <c r="JD303" s="1611">
        <v>2.2727272727272731E-3</v>
      </c>
      <c r="JE303" s="1611" t="s">
        <v>270</v>
      </c>
      <c r="JF303" s="1611">
        <v>4.3181818181818181E-4</v>
      </c>
      <c r="JG303" s="1611">
        <v>0.54138636363636372</v>
      </c>
      <c r="JH303" s="1611">
        <v>2.8409090909090913E-4</v>
      </c>
      <c r="JI303" s="1611">
        <v>5.0670454545454553E-2</v>
      </c>
      <c r="JJ303" s="1611" t="s">
        <v>270</v>
      </c>
      <c r="JK303" s="1607">
        <f t="shared" si="13"/>
        <v>4.0000000000000036E-3</v>
      </c>
      <c r="JL303" s="1608" t="s">
        <v>270</v>
      </c>
      <c r="JM303" s="1610" t="s">
        <v>2924</v>
      </c>
      <c r="JN303" s="1608">
        <v>0</v>
      </c>
      <c r="JO303" s="1609" t="s">
        <v>2923</v>
      </c>
      <c r="JP303" s="1608" t="s">
        <v>270</v>
      </c>
      <c r="JQ303" s="1607">
        <v>202103</v>
      </c>
      <c r="JR303" s="1606">
        <v>871</v>
      </c>
      <c r="JS303" s="1606">
        <v>793</v>
      </c>
      <c r="JT303" s="1606">
        <v>793</v>
      </c>
    </row>
    <row r="304" spans="1:280" ht="15" customHeight="1" x14ac:dyDescent="0.2">
      <c r="A304" s="1626">
        <v>39105</v>
      </c>
      <c r="B304" s="1625">
        <v>391</v>
      </c>
      <c r="C304" s="1624">
        <v>5</v>
      </c>
      <c r="D304" s="1623" t="s">
        <v>3010</v>
      </c>
      <c r="E304" s="1622">
        <v>43039</v>
      </c>
      <c r="F304" s="1620">
        <v>1.0709841394053801</v>
      </c>
      <c r="G304" s="1620">
        <v>1.06723036189149</v>
      </c>
      <c r="H304" s="1621">
        <v>84.818443321859206</v>
      </c>
      <c r="I304" s="1621">
        <v>81.198174706649297</v>
      </c>
      <c r="J304" s="1621">
        <v>96.706399046610997</v>
      </c>
      <c r="K304" s="1620">
        <v>1</v>
      </c>
      <c r="L304" s="1620">
        <v>92.04</v>
      </c>
      <c r="M304" s="1620">
        <v>42.7007998176</v>
      </c>
      <c r="N304" s="1620">
        <v>2.5799997551999998</v>
      </c>
      <c r="O304" s="1620">
        <v>2.2200002040000002</v>
      </c>
      <c r="P304" s="1620">
        <v>3.8399997575999998</v>
      </c>
      <c r="Q304" s="1603"/>
      <c r="R304" s="1620">
        <v>94.335133803589798</v>
      </c>
      <c r="S304" s="1620">
        <v>20</v>
      </c>
      <c r="T304" s="1620">
        <v>37.0731707317073</v>
      </c>
      <c r="U304" s="1620">
        <v>43.902439024390198</v>
      </c>
      <c r="V304" s="1620">
        <v>50.048780487804898</v>
      </c>
      <c r="W304" s="1620">
        <v>54.146341463414601</v>
      </c>
      <c r="X304" s="1620"/>
      <c r="Y304" s="1620">
        <v>0.58670241199478479</v>
      </c>
      <c r="Z304" s="1620">
        <v>4.2372876010430245</v>
      </c>
      <c r="AA304" s="1620">
        <v>6.5191056062581493E-2</v>
      </c>
      <c r="AB304" s="1620">
        <v>0</v>
      </c>
      <c r="AC304" s="1620">
        <v>4.7587989569752276</v>
      </c>
      <c r="AD304" s="1620">
        <v>1.4243807040417209</v>
      </c>
      <c r="AE304" s="1620">
        <v>0</v>
      </c>
      <c r="AF304" s="1620">
        <v>57.544980443285517</v>
      </c>
      <c r="AG304" s="1620">
        <v>6.8370273794002596</v>
      </c>
      <c r="AH304" s="1620">
        <v>41.591916558018248</v>
      </c>
      <c r="AI304" s="1620">
        <v>45.010430247718382</v>
      </c>
      <c r="AJ304" s="1620">
        <v>0</v>
      </c>
      <c r="AK304" s="1620">
        <v>3.9882659713168185E-2</v>
      </c>
      <c r="AL304" s="1620"/>
      <c r="AM304" s="1620">
        <v>0.83295861999240695</v>
      </c>
      <c r="AN304" s="1620">
        <v>0.34172661333021698</v>
      </c>
      <c r="AO304" s="1620">
        <v>0.42715826666277401</v>
      </c>
      <c r="AP304" s="1620">
        <v>0.70481113999357303</v>
      </c>
      <c r="AQ304" s="1620">
        <v>92.076461718224607</v>
      </c>
      <c r="AR304" s="1620">
        <v>0.70481113999357303</v>
      </c>
      <c r="AS304" s="1620">
        <v>1.32632641798791</v>
      </c>
      <c r="AT304" s="1620">
        <v>0.55530574666160304</v>
      </c>
      <c r="AU304" s="1620">
        <v>0.83509441132572004</v>
      </c>
      <c r="AV304" s="1620">
        <v>0.59802157332787997</v>
      </c>
      <c r="AW304" s="1620">
        <v>1.02731563132397</v>
      </c>
      <c r="AX304" s="1620"/>
      <c r="AY304" s="1620">
        <v>0.78667683772555697</v>
      </c>
      <c r="AZ304" s="1620">
        <v>0.848987874377086</v>
      </c>
      <c r="BA304" s="1620">
        <v>0.81783235605132099</v>
      </c>
      <c r="BB304" s="1620">
        <v>0.73215468065546896</v>
      </c>
      <c r="BC304" s="1620">
        <v>1.0594875068724501</v>
      </c>
      <c r="BD304" s="1620">
        <v>0.81783235605132099</v>
      </c>
      <c r="BE304" s="1620">
        <v>0.80225459688843903</v>
      </c>
      <c r="BF304" s="1620">
        <v>0.848987874377086</v>
      </c>
      <c r="BG304" s="1620">
        <v>0.85677675395852704</v>
      </c>
      <c r="BH304" s="1620">
        <v>0.81004347646987995</v>
      </c>
      <c r="BI304" s="1620">
        <v>0.80225459688843903</v>
      </c>
      <c r="BJ304" s="1603"/>
      <c r="BK304" s="1620">
        <v>46.393741653194262</v>
      </c>
      <c r="BL304" s="1620">
        <v>2.8031288083441974</v>
      </c>
      <c r="BM304" s="1620">
        <v>2.4119950065189046</v>
      </c>
      <c r="BN304" s="1620">
        <v>4.1720988239895691</v>
      </c>
      <c r="BO304" s="1620"/>
      <c r="BP304" s="1620">
        <v>0</v>
      </c>
      <c r="BQ304" s="1620">
        <v>0</v>
      </c>
      <c r="BR304" s="1620">
        <v>1.163607278797675</v>
      </c>
      <c r="BS304" s="1620">
        <v>1.1595288590737614</v>
      </c>
      <c r="BT304" s="1603"/>
      <c r="BU304" s="1620">
        <v>975.88004993481093</v>
      </c>
      <c r="BV304" s="1620">
        <v>327.88218402987502</v>
      </c>
      <c r="BW304" s="1620">
        <v>50.470684528406771</v>
      </c>
      <c r="BX304" s="1620" t="s">
        <v>270</v>
      </c>
      <c r="BY304" s="1620" t="s">
        <v>270</v>
      </c>
      <c r="BZ304" s="1620">
        <v>40.452411994784867</v>
      </c>
      <c r="CA304" s="1620">
        <v>74.067796610169481</v>
      </c>
      <c r="CB304" s="1603"/>
      <c r="CC304" s="1603">
        <v>0.54000090000000001</v>
      </c>
      <c r="CD304" s="1603">
        <v>3.8999995080000001</v>
      </c>
      <c r="CE304" s="1603">
        <v>6.000184800000001E-2</v>
      </c>
      <c r="CF304" s="1603">
        <v>0</v>
      </c>
      <c r="CG304" s="1603">
        <v>4.3799985599999998</v>
      </c>
      <c r="CH304" s="1603">
        <v>1.3110000000000002</v>
      </c>
      <c r="CI304" s="1603">
        <v>0</v>
      </c>
      <c r="CJ304" s="1603"/>
      <c r="CK304" s="1603">
        <v>52.964399999999998</v>
      </c>
      <c r="CL304" s="1603">
        <v>6.2927999999999997</v>
      </c>
      <c r="CM304" s="1603">
        <v>38.281199999999998</v>
      </c>
      <c r="CN304" s="1603">
        <v>41.427600000000005</v>
      </c>
      <c r="CO304" s="1603">
        <v>0</v>
      </c>
      <c r="CP304" s="1603">
        <v>3.6708000000000005E-2</v>
      </c>
      <c r="CQ304" s="1603">
        <v>402.81856643136001</v>
      </c>
      <c r="CR304" s="1603">
        <v>376.12001112827727</v>
      </c>
      <c r="CS304" s="1603">
        <v>2.4645987877997704</v>
      </c>
      <c r="CT304" s="1603">
        <v>1.0912059624074104</v>
      </c>
      <c r="CU304" s="1603">
        <v>1.313952133632784</v>
      </c>
      <c r="CV304" s="1603">
        <v>2.4051580960401946</v>
      </c>
      <c r="CW304" s="1603">
        <v>1.9408950088232726</v>
      </c>
      <c r="CX304" s="1603">
        <v>366.91959235082203</v>
      </c>
      <c r="CY304" s="1603">
        <v>2.1680210204940837</v>
      </c>
      <c r="CZ304" s="1603">
        <v>4.0021104915977794</v>
      </c>
      <c r="DA304" s="1603">
        <v>1.7732096889120375</v>
      </c>
      <c r="DB304" s="1603">
        <v>2.6910991079783697</v>
      </c>
      <c r="DC304" s="1603">
        <v>1.8220136253041204</v>
      </c>
      <c r="DD304" s="1603">
        <v>4.5131127332824805</v>
      </c>
      <c r="DE304" s="1603">
        <v>3.0998633598366085</v>
      </c>
      <c r="DF304" s="1603">
        <v>0</v>
      </c>
      <c r="DG304" s="1603">
        <v>0</v>
      </c>
      <c r="DH304" s="1603">
        <v>0</v>
      </c>
      <c r="DI304" s="1603">
        <v>0</v>
      </c>
      <c r="DJ304" s="1603">
        <v>0</v>
      </c>
      <c r="DK304" s="1603">
        <v>0</v>
      </c>
      <c r="DL304" s="1603">
        <v>0</v>
      </c>
      <c r="DM304" s="1603">
        <v>0</v>
      </c>
      <c r="DN304" s="1603">
        <v>0</v>
      </c>
      <c r="DO304" s="1603">
        <v>0</v>
      </c>
      <c r="DP304" s="1603">
        <v>0</v>
      </c>
      <c r="DQ304" s="1603">
        <v>0</v>
      </c>
      <c r="DR304" s="1603">
        <v>0</v>
      </c>
      <c r="DS304" s="1603">
        <v>0</v>
      </c>
      <c r="DT304" s="1603">
        <v>0</v>
      </c>
      <c r="DU304" s="1603">
        <v>0</v>
      </c>
      <c r="DV304" s="1603">
        <v>0</v>
      </c>
      <c r="DW304" s="1618" t="s">
        <v>986</v>
      </c>
      <c r="DX304" s="1605" t="s">
        <v>986</v>
      </c>
      <c r="DY304" s="1605" t="s">
        <v>986</v>
      </c>
      <c r="DZ304" s="1605" t="s">
        <v>986</v>
      </c>
      <c r="EA304" s="1605" t="s">
        <v>986</v>
      </c>
      <c r="EB304" s="1605" t="s">
        <v>986</v>
      </c>
      <c r="EC304" s="1605" t="s">
        <v>986</v>
      </c>
      <c r="ED304" s="1605" t="s">
        <v>986</v>
      </c>
      <c r="EE304" s="1605" t="s">
        <v>986</v>
      </c>
      <c r="EF304" s="1605" t="s">
        <v>986</v>
      </c>
      <c r="EG304" s="1605" t="s">
        <v>986</v>
      </c>
      <c r="EH304" s="1605" t="s">
        <v>986</v>
      </c>
      <c r="EI304" s="1605" t="s">
        <v>986</v>
      </c>
      <c r="EJ304" s="1605" t="s">
        <v>986</v>
      </c>
      <c r="EK304" s="1605" t="s">
        <v>986</v>
      </c>
      <c r="EL304" s="1605" t="s">
        <v>986</v>
      </c>
      <c r="EM304" s="1605" t="s">
        <v>986</v>
      </c>
      <c r="EN304" s="1605" t="s">
        <v>986</v>
      </c>
      <c r="EO304" s="1605" t="s">
        <v>986</v>
      </c>
      <c r="EP304" s="1605" t="s">
        <v>986</v>
      </c>
      <c r="EQ304" s="1605" t="s">
        <v>986</v>
      </c>
      <c r="ER304" s="1605" t="s">
        <v>986</v>
      </c>
      <c r="ES304" s="1605" t="s">
        <v>986</v>
      </c>
      <c r="ET304" s="1605" t="s">
        <v>986</v>
      </c>
      <c r="EU304" s="1605" t="s">
        <v>986</v>
      </c>
      <c r="EV304" s="1605" t="s">
        <v>986</v>
      </c>
      <c r="EW304" s="1605" t="s">
        <v>986</v>
      </c>
      <c r="EX304" s="1605" t="s">
        <v>986</v>
      </c>
      <c r="EY304" s="1605" t="s">
        <v>986</v>
      </c>
      <c r="EZ304" s="1605" t="s">
        <v>986</v>
      </c>
      <c r="FA304" s="1605" t="s">
        <v>986</v>
      </c>
      <c r="FB304" s="1605" t="s">
        <v>986</v>
      </c>
      <c r="FC304" s="1605" t="s">
        <v>986</v>
      </c>
      <c r="FD304" s="1605" t="s">
        <v>986</v>
      </c>
      <c r="FE304" s="1605" t="s">
        <v>986</v>
      </c>
      <c r="FF304" s="1605" t="s">
        <v>986</v>
      </c>
      <c r="FG304" s="1605" t="s">
        <v>986</v>
      </c>
      <c r="FH304" s="1605" t="s">
        <v>986</v>
      </c>
      <c r="FI304" s="1605" t="s">
        <v>986</v>
      </c>
      <c r="FJ304" s="1605" t="s">
        <v>986</v>
      </c>
      <c r="FK304" s="1605" t="s">
        <v>986</v>
      </c>
      <c r="FL304" s="1605" t="s">
        <v>986</v>
      </c>
      <c r="FM304" s="1605" t="s">
        <v>986</v>
      </c>
      <c r="FN304" s="1605" t="s">
        <v>986</v>
      </c>
      <c r="FO304" s="1605" t="s">
        <v>986</v>
      </c>
      <c r="FP304" s="1605" t="s">
        <v>986</v>
      </c>
      <c r="FQ304" s="1605" t="s">
        <v>986</v>
      </c>
      <c r="FR304" s="1605" t="s">
        <v>986</v>
      </c>
      <c r="FS304" s="1605" t="s">
        <v>986</v>
      </c>
      <c r="FT304" s="1605" t="s">
        <v>986</v>
      </c>
      <c r="FU304" s="1605" t="s">
        <v>986</v>
      </c>
      <c r="FV304" s="1605" t="s">
        <v>986</v>
      </c>
      <c r="FW304" s="1605" t="s">
        <v>986</v>
      </c>
      <c r="FX304" s="1605" t="s">
        <v>986</v>
      </c>
      <c r="FY304" s="1605" t="s">
        <v>986</v>
      </c>
      <c r="FZ304" s="1605" t="s">
        <v>986</v>
      </c>
      <c r="GA304" s="1605" t="s">
        <v>986</v>
      </c>
      <c r="GB304" s="1605" t="s">
        <v>986</v>
      </c>
      <c r="GC304" s="1605" t="s">
        <v>986</v>
      </c>
      <c r="GD304" s="1605" t="s">
        <v>986</v>
      </c>
      <c r="GE304" s="1605" t="s">
        <v>986</v>
      </c>
      <c r="GF304" s="1605" t="s">
        <v>986</v>
      </c>
      <c r="GG304" s="1605" t="s">
        <v>986</v>
      </c>
      <c r="GH304" s="1605" t="s">
        <v>986</v>
      </c>
      <c r="GI304" s="1605" t="s">
        <v>986</v>
      </c>
      <c r="GJ304" s="1605" t="s">
        <v>986</v>
      </c>
      <c r="GK304" s="1605" t="s">
        <v>986</v>
      </c>
      <c r="GL304" s="1605" t="s">
        <v>986</v>
      </c>
      <c r="GM304" s="1605" t="s">
        <v>986</v>
      </c>
      <c r="GN304" s="1605" t="s">
        <v>986</v>
      </c>
      <c r="GO304" s="1605" t="s">
        <v>986</v>
      </c>
      <c r="GP304" s="1605" t="s">
        <v>986</v>
      </c>
      <c r="GQ304" s="1605" t="s">
        <v>986</v>
      </c>
      <c r="GR304" s="1605" t="s">
        <v>986</v>
      </c>
      <c r="GS304" s="1605" t="s">
        <v>986</v>
      </c>
      <c r="GT304" s="1605" t="s">
        <v>986</v>
      </c>
      <c r="GU304" s="1605" t="s">
        <v>986</v>
      </c>
      <c r="GV304" s="1605" t="s">
        <v>986</v>
      </c>
      <c r="GW304" s="1605" t="s">
        <v>986</v>
      </c>
      <c r="GX304" s="1605" t="s">
        <v>986</v>
      </c>
      <c r="GY304" s="1605" t="s">
        <v>986</v>
      </c>
      <c r="GZ304" s="1605" t="s">
        <v>986</v>
      </c>
      <c r="HA304" s="1605" t="s">
        <v>986</v>
      </c>
      <c r="HB304" s="1605" t="s">
        <v>986</v>
      </c>
      <c r="HC304" s="1605" t="s">
        <v>986</v>
      </c>
      <c r="HD304" s="1605" t="s">
        <v>986</v>
      </c>
      <c r="HE304" s="1605" t="s">
        <v>986</v>
      </c>
      <c r="HF304" s="1605" t="s">
        <v>986</v>
      </c>
      <c r="HG304" s="1605" t="s">
        <v>986</v>
      </c>
      <c r="HH304" s="1605" t="s">
        <v>986</v>
      </c>
      <c r="HI304" s="1605" t="s">
        <v>986</v>
      </c>
      <c r="HJ304" s="1605" t="s">
        <v>986</v>
      </c>
      <c r="HK304" s="1605" t="s">
        <v>986</v>
      </c>
      <c r="HL304" s="1605" t="s">
        <v>986</v>
      </c>
      <c r="HM304" s="1605" t="s">
        <v>986</v>
      </c>
      <c r="HN304" s="1605" t="s">
        <v>986</v>
      </c>
      <c r="HO304" s="1605" t="s">
        <v>986</v>
      </c>
      <c r="HP304" s="1605" t="s">
        <v>986</v>
      </c>
      <c r="HQ304" s="1605" t="s">
        <v>986</v>
      </c>
      <c r="HR304" s="1605" t="s">
        <v>986</v>
      </c>
      <c r="HS304" s="1605" t="s">
        <v>986</v>
      </c>
      <c r="HT304" s="1605" t="s">
        <v>986</v>
      </c>
      <c r="HU304" s="1605" t="s">
        <v>986</v>
      </c>
      <c r="HV304" s="1617"/>
      <c r="HW304" s="1617">
        <v>0</v>
      </c>
      <c r="HX304" s="1617">
        <v>0</v>
      </c>
      <c r="HY304" s="1617">
        <v>0</v>
      </c>
      <c r="HZ304" s="1603"/>
      <c r="IA304" s="1603"/>
      <c r="IB304" s="1603"/>
      <c r="IC304" s="1603">
        <v>57.219512195122</v>
      </c>
      <c r="ID304" s="1603">
        <v>59.268292682926798</v>
      </c>
      <c r="IE304" s="1603">
        <v>60.975609756097597</v>
      </c>
      <c r="IF304" s="1603">
        <v>62</v>
      </c>
      <c r="IG304" s="1611" t="s">
        <v>2932</v>
      </c>
      <c r="IH304" s="1616" t="s">
        <v>270</v>
      </c>
      <c r="II304" s="1615" t="s">
        <v>270</v>
      </c>
      <c r="IJ304" s="1613">
        <v>1.3101818181818183</v>
      </c>
      <c r="IK304" s="1613">
        <v>1.301848484848485</v>
      </c>
      <c r="IL304" s="1614">
        <v>1.3101818181818183</v>
      </c>
      <c r="IM304" s="1614">
        <v>1.301848484848485</v>
      </c>
      <c r="IN304" s="1612" t="s">
        <v>270</v>
      </c>
      <c r="IO304" s="1613" t="s">
        <v>270</v>
      </c>
      <c r="IP304" s="1607" t="s">
        <v>270</v>
      </c>
      <c r="IQ304" s="1612" t="s">
        <v>270</v>
      </c>
      <c r="IR304" s="1612" t="s">
        <v>270</v>
      </c>
      <c r="IS304" s="1607">
        <v>1.1881818181818182</v>
      </c>
      <c r="IT304" s="1607">
        <v>1.1798484848484849</v>
      </c>
      <c r="IU304" s="1611">
        <v>0</v>
      </c>
      <c r="IV304" s="1611">
        <v>7.7767676767676763E-2</v>
      </c>
      <c r="IW304" s="1611">
        <v>9.0909090909090909E-4</v>
      </c>
      <c r="IX304" s="1611">
        <v>1.6060606060606061E-3</v>
      </c>
      <c r="IY304" s="1611">
        <v>9.6969696969696957E-4</v>
      </c>
      <c r="IZ304" s="1611">
        <v>5.9898989898989896E-3</v>
      </c>
      <c r="JA304" s="1611">
        <v>6.0606060606060598E-5</v>
      </c>
      <c r="JB304" s="1611" t="s">
        <v>270</v>
      </c>
      <c r="JC304" s="1611">
        <v>9.9026969696969704</v>
      </c>
      <c r="JD304" s="1611">
        <v>5.2121212121212122E-3</v>
      </c>
      <c r="JE304" s="1611" t="s">
        <v>270</v>
      </c>
      <c r="JF304" s="1611">
        <v>8.2828282828282835E-4</v>
      </c>
      <c r="JG304" s="1611">
        <v>0.57978787878787885</v>
      </c>
      <c r="JH304" s="1611">
        <v>7.646464646464647E-3</v>
      </c>
      <c r="JI304" s="1611">
        <v>0.3</v>
      </c>
      <c r="JJ304" s="1611" t="s">
        <v>270</v>
      </c>
      <c r="JK304" s="1607">
        <f t="shared" si="13"/>
        <v>0.12200000000000011</v>
      </c>
      <c r="JL304" s="1608" t="s">
        <v>270</v>
      </c>
      <c r="JM304" s="1610" t="s">
        <v>2924</v>
      </c>
      <c r="JN304" s="1608">
        <v>8.3333333333333037E-3</v>
      </c>
      <c r="JO304" s="1609" t="s">
        <v>2931</v>
      </c>
      <c r="JP304" s="1608" t="s">
        <v>270</v>
      </c>
      <c r="JQ304" s="1607">
        <v>202103</v>
      </c>
      <c r="JR304" s="1606">
        <v>851</v>
      </c>
      <c r="JS304" s="1606">
        <v>774</v>
      </c>
      <c r="JT304" s="1606">
        <v>774</v>
      </c>
    </row>
    <row r="305" spans="1:280" ht="15" customHeight="1" x14ac:dyDescent="0.2">
      <c r="A305" s="1626">
        <v>99700</v>
      </c>
      <c r="B305" s="1625">
        <v>997</v>
      </c>
      <c r="C305" s="1624">
        <v>0</v>
      </c>
      <c r="D305" s="1623" t="s">
        <v>3009</v>
      </c>
      <c r="E305" s="1622">
        <v>43031</v>
      </c>
      <c r="F305" s="1620">
        <v>1.3832934634146401</v>
      </c>
      <c r="G305" s="1620">
        <v>1.32580594285714</v>
      </c>
      <c r="H305" s="1621">
        <v>100</v>
      </c>
      <c r="I305" s="1621">
        <v>100</v>
      </c>
      <c r="J305" s="1621">
        <v>100</v>
      </c>
      <c r="K305" s="1620">
        <v>1</v>
      </c>
      <c r="L305" s="1620">
        <v>99</v>
      </c>
      <c r="M305" s="1620">
        <v>83.951999999999998</v>
      </c>
      <c r="N305" s="1620">
        <v>0</v>
      </c>
      <c r="O305" s="1620">
        <v>0</v>
      </c>
      <c r="P305" s="1620">
        <v>0</v>
      </c>
      <c r="Q305" s="1603"/>
      <c r="R305" s="1620">
        <v>100</v>
      </c>
      <c r="S305" s="1620">
        <v>0</v>
      </c>
      <c r="T305" s="1620">
        <v>0</v>
      </c>
      <c r="U305" s="1620">
        <v>0</v>
      </c>
      <c r="V305" s="1620">
        <v>0</v>
      </c>
      <c r="W305" s="1620">
        <v>0</v>
      </c>
      <c r="X305" s="1620"/>
      <c r="Y305" s="1620">
        <v>0</v>
      </c>
      <c r="Z305" s="1620">
        <v>0</v>
      </c>
      <c r="AA305" s="1620">
        <v>0</v>
      </c>
      <c r="AB305" s="1620">
        <v>0</v>
      </c>
      <c r="AC305" s="1620">
        <v>0</v>
      </c>
      <c r="AD305" s="1620">
        <v>0</v>
      </c>
      <c r="AE305" s="1620">
        <v>0</v>
      </c>
      <c r="AF305" s="1620">
        <v>0</v>
      </c>
      <c r="AG305" s="1620">
        <v>0</v>
      </c>
      <c r="AH305" s="1620">
        <v>0</v>
      </c>
      <c r="AI305" s="1620">
        <v>0</v>
      </c>
      <c r="AJ305" s="1620">
        <v>0</v>
      </c>
      <c r="AK305" s="1620">
        <v>0</v>
      </c>
      <c r="AL305" s="1620"/>
      <c r="AM305" s="1620">
        <v>0</v>
      </c>
      <c r="AN305" s="1620">
        <v>0</v>
      </c>
      <c r="AO305" s="1620">
        <v>0</v>
      </c>
      <c r="AP305" s="1620">
        <v>0</v>
      </c>
      <c r="AQ305" s="1620">
        <v>116.7</v>
      </c>
      <c r="AR305" s="1620">
        <v>0</v>
      </c>
      <c r="AS305" s="1620">
        <v>0</v>
      </c>
      <c r="AT305" s="1620">
        <v>0</v>
      </c>
      <c r="AU305" s="1620">
        <v>0</v>
      </c>
      <c r="AV305" s="1620">
        <v>0</v>
      </c>
      <c r="AW305" s="1620">
        <v>0</v>
      </c>
      <c r="AX305" s="1620"/>
      <c r="AY305" s="1620">
        <v>1</v>
      </c>
      <c r="AZ305" s="1620">
        <v>1</v>
      </c>
      <c r="BA305" s="1620">
        <v>1</v>
      </c>
      <c r="BB305" s="1620">
        <v>1</v>
      </c>
      <c r="BC305" s="1620">
        <v>1</v>
      </c>
      <c r="BD305" s="1620">
        <v>1</v>
      </c>
      <c r="BE305" s="1620">
        <v>1</v>
      </c>
      <c r="BF305" s="1620">
        <v>1</v>
      </c>
      <c r="BG305" s="1620">
        <v>1</v>
      </c>
      <c r="BH305" s="1620">
        <v>1</v>
      </c>
      <c r="BI305" s="1620">
        <v>1</v>
      </c>
      <c r="BJ305" s="1603"/>
      <c r="BK305" s="1620">
        <v>84.800000000000011</v>
      </c>
      <c r="BL305" s="1620">
        <v>0</v>
      </c>
      <c r="BM305" s="1620">
        <v>0</v>
      </c>
      <c r="BN305" s="1620">
        <v>0</v>
      </c>
      <c r="BO305" s="1620"/>
      <c r="BP305" s="1620">
        <v>0</v>
      </c>
      <c r="BQ305" s="1620">
        <v>0</v>
      </c>
      <c r="BR305" s="1620">
        <v>1.3972661246612526</v>
      </c>
      <c r="BS305" s="1620">
        <v>1.3391979220779191</v>
      </c>
      <c r="BT305" s="1603"/>
      <c r="BU305" s="1620">
        <v>1000</v>
      </c>
      <c r="BV305" s="1620">
        <v>228.32</v>
      </c>
      <c r="BW305" s="1620">
        <v>0</v>
      </c>
      <c r="BX305" s="1620">
        <v>0</v>
      </c>
      <c r="BY305" s="1620">
        <v>0</v>
      </c>
      <c r="BZ305" s="1620" t="s">
        <v>270</v>
      </c>
      <c r="CA305" s="1620" t="s">
        <v>270</v>
      </c>
      <c r="CB305" s="1603"/>
      <c r="CC305" s="1603">
        <v>0</v>
      </c>
      <c r="CD305" s="1603">
        <v>0</v>
      </c>
      <c r="CE305" s="1603">
        <v>0</v>
      </c>
      <c r="CF305" s="1603">
        <v>0</v>
      </c>
      <c r="CG305" s="1603">
        <v>0</v>
      </c>
      <c r="CH305" s="1603">
        <v>0</v>
      </c>
      <c r="CI305" s="1603">
        <v>0</v>
      </c>
      <c r="CJ305" s="1603"/>
      <c r="CK305" s="1603">
        <v>0</v>
      </c>
      <c r="CL305" s="1603">
        <v>0</v>
      </c>
      <c r="CM305" s="1603">
        <v>0</v>
      </c>
      <c r="CN305" s="1603">
        <v>0</v>
      </c>
      <c r="CO305" s="1603">
        <v>0</v>
      </c>
      <c r="CP305" s="1603">
        <v>0</v>
      </c>
      <c r="CQ305" s="1603">
        <v>839.52</v>
      </c>
      <c r="CR305" s="1603">
        <v>606.8994195401292</v>
      </c>
      <c r="CS305" s="1603">
        <v>0</v>
      </c>
      <c r="CT305" s="1603">
        <v>0</v>
      </c>
      <c r="CU305" s="1603">
        <v>0</v>
      </c>
      <c r="CV305" s="1603">
        <v>0</v>
      </c>
      <c r="CW305" s="1603">
        <v>0</v>
      </c>
      <c r="CX305" s="1603">
        <v>708.2516226033307</v>
      </c>
      <c r="CY305" s="1603">
        <v>0</v>
      </c>
      <c r="CZ305" s="1603">
        <v>0</v>
      </c>
      <c r="DA305" s="1603">
        <v>0</v>
      </c>
      <c r="DB305" s="1603">
        <v>0</v>
      </c>
      <c r="DC305" s="1603">
        <v>0</v>
      </c>
      <c r="DD305" s="1603">
        <v>0</v>
      </c>
      <c r="DE305" s="1603">
        <v>0</v>
      </c>
      <c r="DF305" s="1603">
        <v>0</v>
      </c>
      <c r="DG305" s="1603">
        <v>0</v>
      </c>
      <c r="DH305" s="1603">
        <v>0</v>
      </c>
      <c r="DI305" s="1603">
        <v>0</v>
      </c>
      <c r="DJ305" s="1603">
        <v>0</v>
      </c>
      <c r="DK305" s="1603">
        <v>0</v>
      </c>
      <c r="DL305" s="1603">
        <v>0</v>
      </c>
      <c r="DM305" s="1603">
        <v>0</v>
      </c>
      <c r="DN305" s="1603">
        <v>0</v>
      </c>
      <c r="DO305" s="1603">
        <v>0</v>
      </c>
      <c r="DP305" s="1603">
        <v>0</v>
      </c>
      <c r="DQ305" s="1603">
        <v>0</v>
      </c>
      <c r="DR305" s="1603">
        <v>0</v>
      </c>
      <c r="DS305" s="1603">
        <v>0</v>
      </c>
      <c r="DT305" s="1603">
        <v>0</v>
      </c>
      <c r="DU305" s="1603">
        <v>0</v>
      </c>
      <c r="DV305" s="1603">
        <v>0</v>
      </c>
      <c r="DW305" s="1618" t="s">
        <v>986</v>
      </c>
      <c r="DX305" s="1605" t="s">
        <v>986</v>
      </c>
      <c r="DY305" s="1605" t="s">
        <v>986</v>
      </c>
      <c r="DZ305" s="1605" t="s">
        <v>986</v>
      </c>
      <c r="EA305" s="1605" t="s">
        <v>986</v>
      </c>
      <c r="EB305" s="1605" t="s">
        <v>986</v>
      </c>
      <c r="EC305" s="1605" t="s">
        <v>986</v>
      </c>
      <c r="ED305" s="1605" t="s">
        <v>986</v>
      </c>
      <c r="EE305" s="1605" t="s">
        <v>986</v>
      </c>
      <c r="EF305" s="1605" t="s">
        <v>986</v>
      </c>
      <c r="EG305" s="1605" t="s">
        <v>986</v>
      </c>
      <c r="EH305" s="1605" t="s">
        <v>986</v>
      </c>
      <c r="EI305" s="1605" t="s">
        <v>986</v>
      </c>
      <c r="EJ305" s="1605" t="s">
        <v>986</v>
      </c>
      <c r="EK305" s="1605" t="s">
        <v>986</v>
      </c>
      <c r="EL305" s="1605" t="s">
        <v>986</v>
      </c>
      <c r="EM305" s="1605" t="s">
        <v>986</v>
      </c>
      <c r="EN305" s="1605" t="s">
        <v>986</v>
      </c>
      <c r="EO305" s="1605" t="s">
        <v>986</v>
      </c>
      <c r="EP305" s="1605" t="s">
        <v>986</v>
      </c>
      <c r="EQ305" s="1605" t="s">
        <v>986</v>
      </c>
      <c r="ER305" s="1605" t="s">
        <v>986</v>
      </c>
      <c r="ES305" s="1605" t="s">
        <v>986</v>
      </c>
      <c r="ET305" s="1605" t="s">
        <v>986</v>
      </c>
      <c r="EU305" s="1605" t="s">
        <v>986</v>
      </c>
      <c r="EV305" s="1605" t="s">
        <v>986</v>
      </c>
      <c r="EW305" s="1605" t="s">
        <v>986</v>
      </c>
      <c r="EX305" s="1605" t="s">
        <v>986</v>
      </c>
      <c r="EY305" s="1605" t="s">
        <v>986</v>
      </c>
      <c r="EZ305" s="1605" t="s">
        <v>986</v>
      </c>
      <c r="FA305" s="1605" t="s">
        <v>986</v>
      </c>
      <c r="FB305" s="1605" t="s">
        <v>986</v>
      </c>
      <c r="FC305" s="1605" t="s">
        <v>986</v>
      </c>
      <c r="FD305" s="1605" t="s">
        <v>986</v>
      </c>
      <c r="FE305" s="1605" t="s">
        <v>986</v>
      </c>
      <c r="FF305" s="1605" t="s">
        <v>986</v>
      </c>
      <c r="FG305" s="1605" t="s">
        <v>986</v>
      </c>
      <c r="FH305" s="1605" t="s">
        <v>986</v>
      </c>
      <c r="FI305" s="1605" t="s">
        <v>986</v>
      </c>
      <c r="FJ305" s="1605" t="s">
        <v>986</v>
      </c>
      <c r="FK305" s="1605" t="s">
        <v>986</v>
      </c>
      <c r="FL305" s="1605" t="s">
        <v>986</v>
      </c>
      <c r="FM305" s="1605" t="s">
        <v>986</v>
      </c>
      <c r="FN305" s="1605" t="s">
        <v>986</v>
      </c>
      <c r="FO305" s="1605" t="s">
        <v>986</v>
      </c>
      <c r="FP305" s="1605" t="s">
        <v>986</v>
      </c>
      <c r="FQ305" s="1605" t="s">
        <v>986</v>
      </c>
      <c r="FR305" s="1605" t="s">
        <v>986</v>
      </c>
      <c r="FS305" s="1605" t="s">
        <v>986</v>
      </c>
      <c r="FT305" s="1605" t="s">
        <v>986</v>
      </c>
      <c r="FU305" s="1605" t="s">
        <v>986</v>
      </c>
      <c r="FV305" s="1605" t="s">
        <v>986</v>
      </c>
      <c r="FW305" s="1605" t="s">
        <v>986</v>
      </c>
      <c r="FX305" s="1605" t="s">
        <v>986</v>
      </c>
      <c r="FY305" s="1605" t="s">
        <v>986</v>
      </c>
      <c r="FZ305" s="1605" t="s">
        <v>986</v>
      </c>
      <c r="GA305" s="1605" t="s">
        <v>986</v>
      </c>
      <c r="GB305" s="1605" t="s">
        <v>986</v>
      </c>
      <c r="GC305" s="1605" t="s">
        <v>986</v>
      </c>
      <c r="GD305" s="1605" t="s">
        <v>986</v>
      </c>
      <c r="GE305" s="1605" t="s">
        <v>986</v>
      </c>
      <c r="GF305" s="1605" t="s">
        <v>986</v>
      </c>
      <c r="GG305" s="1605" t="s">
        <v>986</v>
      </c>
      <c r="GH305" s="1605" t="s">
        <v>986</v>
      </c>
      <c r="GI305" s="1605" t="s">
        <v>986</v>
      </c>
      <c r="GJ305" s="1605" t="s">
        <v>986</v>
      </c>
      <c r="GK305" s="1605" t="s">
        <v>986</v>
      </c>
      <c r="GL305" s="1605" t="s">
        <v>986</v>
      </c>
      <c r="GM305" s="1605" t="s">
        <v>986</v>
      </c>
      <c r="GN305" s="1605" t="s">
        <v>986</v>
      </c>
      <c r="GO305" s="1605" t="s">
        <v>986</v>
      </c>
      <c r="GP305" s="1605" t="s">
        <v>986</v>
      </c>
      <c r="GQ305" s="1605" t="s">
        <v>986</v>
      </c>
      <c r="GR305" s="1605" t="s">
        <v>986</v>
      </c>
      <c r="GS305" s="1605" t="s">
        <v>986</v>
      </c>
      <c r="GT305" s="1605" t="s">
        <v>986</v>
      </c>
      <c r="GU305" s="1605" t="s">
        <v>986</v>
      </c>
      <c r="GV305" s="1605" t="s">
        <v>986</v>
      </c>
      <c r="GW305" s="1605" t="s">
        <v>986</v>
      </c>
      <c r="GX305" s="1605" t="s">
        <v>986</v>
      </c>
      <c r="GY305" s="1605" t="s">
        <v>986</v>
      </c>
      <c r="GZ305" s="1605" t="s">
        <v>986</v>
      </c>
      <c r="HA305" s="1605" t="s">
        <v>986</v>
      </c>
      <c r="HB305" s="1605" t="s">
        <v>986</v>
      </c>
      <c r="HC305" s="1605" t="s">
        <v>986</v>
      </c>
      <c r="HD305" s="1605" t="s">
        <v>986</v>
      </c>
      <c r="HE305" s="1605" t="s">
        <v>986</v>
      </c>
      <c r="HF305" s="1605" t="s">
        <v>986</v>
      </c>
      <c r="HG305" s="1605" t="s">
        <v>986</v>
      </c>
      <c r="HH305" s="1605" t="s">
        <v>986</v>
      </c>
      <c r="HI305" s="1605" t="s">
        <v>986</v>
      </c>
      <c r="HJ305" s="1605" t="s">
        <v>986</v>
      </c>
      <c r="HK305" s="1605" t="s">
        <v>986</v>
      </c>
      <c r="HL305" s="1605" t="s">
        <v>986</v>
      </c>
      <c r="HM305" s="1605" t="s">
        <v>986</v>
      </c>
      <c r="HN305" s="1605" t="s">
        <v>986</v>
      </c>
      <c r="HO305" s="1605" t="s">
        <v>986</v>
      </c>
      <c r="HP305" s="1605" t="s">
        <v>986</v>
      </c>
      <c r="HQ305" s="1605" t="s">
        <v>986</v>
      </c>
      <c r="HR305" s="1605" t="s">
        <v>986</v>
      </c>
      <c r="HS305" s="1605" t="s">
        <v>986</v>
      </c>
      <c r="HT305" s="1605" t="s">
        <v>986</v>
      </c>
      <c r="HU305" s="1605" t="s">
        <v>986</v>
      </c>
      <c r="HV305" s="1617"/>
      <c r="HW305" s="1617" t="s">
        <v>986</v>
      </c>
      <c r="HX305" s="1617" t="s">
        <v>986</v>
      </c>
      <c r="HY305" s="1617" t="s">
        <v>986</v>
      </c>
      <c r="HZ305" s="1603"/>
      <c r="IA305" s="1603"/>
      <c r="IB305" s="1603"/>
      <c r="IC305" s="1603">
        <v>0</v>
      </c>
      <c r="ID305" s="1603">
        <v>0</v>
      </c>
      <c r="IE305" s="1603">
        <v>0</v>
      </c>
      <c r="IF305" s="1603">
        <v>0</v>
      </c>
      <c r="IG305" s="1611" t="s">
        <v>2932</v>
      </c>
      <c r="IH305" s="1616" t="s">
        <v>270</v>
      </c>
      <c r="II305" s="1615" t="s">
        <v>270</v>
      </c>
      <c r="IJ305" s="1613">
        <v>1.3101818181818183</v>
      </c>
      <c r="IK305" s="1613">
        <v>1.301848484848485</v>
      </c>
      <c r="IL305" s="1614">
        <v>1.3101818181818183</v>
      </c>
      <c r="IM305" s="1614">
        <v>1.301848484848485</v>
      </c>
      <c r="IN305" s="1612" t="s">
        <v>270</v>
      </c>
      <c r="IO305" s="1613" t="s">
        <v>270</v>
      </c>
      <c r="IP305" s="1607" t="s">
        <v>270</v>
      </c>
      <c r="IQ305" s="1612" t="s">
        <v>270</v>
      </c>
      <c r="IR305" s="1612" t="s">
        <v>270</v>
      </c>
      <c r="IS305" s="1607">
        <v>1.1881818181818182</v>
      </c>
      <c r="IT305" s="1607">
        <v>1.1798484848484849</v>
      </c>
      <c r="IU305" s="1611">
        <v>0</v>
      </c>
      <c r="IV305" s="1611">
        <v>7.7767676767676763E-2</v>
      </c>
      <c r="IW305" s="1611">
        <v>9.0909090909090909E-4</v>
      </c>
      <c r="IX305" s="1611">
        <v>1.6060606060606061E-3</v>
      </c>
      <c r="IY305" s="1611">
        <v>9.6969696969696957E-4</v>
      </c>
      <c r="IZ305" s="1611">
        <v>5.9898989898989896E-3</v>
      </c>
      <c r="JA305" s="1611">
        <v>6.0606060606060598E-5</v>
      </c>
      <c r="JB305" s="1611" t="s">
        <v>270</v>
      </c>
      <c r="JC305" s="1611">
        <v>9.9026969696969704</v>
      </c>
      <c r="JD305" s="1611">
        <v>5.2121212121212122E-3</v>
      </c>
      <c r="JE305" s="1611" t="s">
        <v>270</v>
      </c>
      <c r="JF305" s="1611">
        <v>8.2828282828282835E-4</v>
      </c>
      <c r="JG305" s="1611">
        <v>0.57978787878787885</v>
      </c>
      <c r="JH305" s="1611">
        <v>7.646464646464647E-3</v>
      </c>
      <c r="JI305" s="1611">
        <v>0.3</v>
      </c>
      <c r="JJ305" s="1611" t="s">
        <v>270</v>
      </c>
      <c r="JK305" s="1607">
        <f t="shared" si="13"/>
        <v>0.12200000000000011</v>
      </c>
      <c r="JL305" s="1608" t="s">
        <v>270</v>
      </c>
      <c r="JM305" s="1610" t="s">
        <v>2924</v>
      </c>
      <c r="JN305" s="1608">
        <v>8.3333333333333037E-3</v>
      </c>
      <c r="JO305" s="1609" t="s">
        <v>2931</v>
      </c>
      <c r="JP305" s="1608" t="s">
        <v>270</v>
      </c>
      <c r="JQ305" s="1607">
        <v>202103</v>
      </c>
      <c r="JR305" s="1606">
        <v>851</v>
      </c>
      <c r="JS305" s="1606">
        <v>774</v>
      </c>
      <c r="JT305" s="1606">
        <v>774</v>
      </c>
    </row>
    <row r="306" spans="1:280" ht="15" customHeight="1" x14ac:dyDescent="0.2">
      <c r="A306" s="1626">
        <v>99950</v>
      </c>
      <c r="B306" s="1625">
        <v>999</v>
      </c>
      <c r="C306" s="1624">
        <v>50</v>
      </c>
      <c r="D306" s="1623" t="s">
        <v>3008</v>
      </c>
      <c r="E306" s="1622">
        <v>43031</v>
      </c>
      <c r="F306" s="1620">
        <v>1.2085399792561</v>
      </c>
      <c r="G306" s="1620">
        <v>1.1583149411571401</v>
      </c>
      <c r="H306" s="1621">
        <v>100</v>
      </c>
      <c r="I306" s="1621">
        <v>100</v>
      </c>
      <c r="J306" s="1621">
        <v>100</v>
      </c>
      <c r="K306" s="1620">
        <v>1</v>
      </c>
      <c r="L306" s="1620">
        <v>99</v>
      </c>
      <c r="M306" s="1620">
        <v>47.82987</v>
      </c>
      <c r="N306" s="1620">
        <v>0</v>
      </c>
      <c r="O306" s="1620">
        <v>14.99999985</v>
      </c>
      <c r="P306" s="1620">
        <v>0</v>
      </c>
      <c r="Q306" s="1603"/>
      <c r="R306" s="1620">
        <v>100</v>
      </c>
      <c r="S306" s="1620">
        <v>0</v>
      </c>
      <c r="T306" s="1620">
        <v>0</v>
      </c>
      <c r="U306" s="1620">
        <v>0</v>
      </c>
      <c r="V306" s="1620">
        <v>0</v>
      </c>
      <c r="W306" s="1620">
        <v>0</v>
      </c>
      <c r="X306" s="1620"/>
      <c r="Y306" s="1620">
        <v>0</v>
      </c>
      <c r="Z306" s="1620">
        <v>0</v>
      </c>
      <c r="AA306" s="1620">
        <v>0</v>
      </c>
      <c r="AB306" s="1620">
        <v>0</v>
      </c>
      <c r="AC306" s="1620">
        <v>0</v>
      </c>
      <c r="AD306" s="1620">
        <v>0</v>
      </c>
      <c r="AE306" s="1620">
        <v>0</v>
      </c>
      <c r="AF306" s="1620">
        <v>0</v>
      </c>
      <c r="AG306" s="1620">
        <v>0</v>
      </c>
      <c r="AH306" s="1620">
        <v>0</v>
      </c>
      <c r="AI306" s="1620">
        <v>0</v>
      </c>
      <c r="AJ306" s="1620">
        <v>0</v>
      </c>
      <c r="AK306" s="1620">
        <v>0</v>
      </c>
      <c r="AL306" s="1620"/>
      <c r="AM306" s="1620">
        <v>0</v>
      </c>
      <c r="AN306" s="1620">
        <v>0</v>
      </c>
      <c r="AO306" s="1620">
        <v>0</v>
      </c>
      <c r="AP306" s="1620">
        <v>0</v>
      </c>
      <c r="AQ306" s="1620">
        <v>0</v>
      </c>
      <c r="AR306" s="1620">
        <v>0</v>
      </c>
      <c r="AS306" s="1620">
        <v>0</v>
      </c>
      <c r="AT306" s="1620">
        <v>0</v>
      </c>
      <c r="AU306" s="1620">
        <v>0</v>
      </c>
      <c r="AV306" s="1620">
        <v>206.98362800000001</v>
      </c>
      <c r="AW306" s="1620">
        <v>0</v>
      </c>
      <c r="AX306" s="1620"/>
      <c r="AY306" s="1620">
        <v>1</v>
      </c>
      <c r="AZ306" s="1620">
        <v>1</v>
      </c>
      <c r="BA306" s="1620">
        <v>1</v>
      </c>
      <c r="BB306" s="1620">
        <v>1</v>
      </c>
      <c r="BC306" s="1620">
        <v>1</v>
      </c>
      <c r="BD306" s="1620">
        <v>1</v>
      </c>
      <c r="BE306" s="1620">
        <v>1</v>
      </c>
      <c r="BF306" s="1620">
        <v>1</v>
      </c>
      <c r="BG306" s="1620">
        <v>1</v>
      </c>
      <c r="BH306" s="1620">
        <v>1</v>
      </c>
      <c r="BI306" s="1620">
        <v>1</v>
      </c>
      <c r="BJ306" s="1603"/>
      <c r="BK306" s="1620">
        <v>48.313000000000002</v>
      </c>
      <c r="BL306" s="1620">
        <v>0</v>
      </c>
      <c r="BM306" s="1620">
        <v>15.151515</v>
      </c>
      <c r="BN306" s="1620">
        <v>0</v>
      </c>
      <c r="BO306" s="1620"/>
      <c r="BP306" s="1620">
        <v>0</v>
      </c>
      <c r="BQ306" s="1620">
        <v>0</v>
      </c>
      <c r="BR306" s="1620">
        <v>1.2207474537940404</v>
      </c>
      <c r="BS306" s="1620">
        <v>1.1700150920779193</v>
      </c>
      <c r="BT306" s="1603"/>
      <c r="BU306" s="1620">
        <v>848.48485000000005</v>
      </c>
      <c r="BV306" s="1620">
        <v>408.83654999999999</v>
      </c>
      <c r="BW306" s="1620">
        <v>0</v>
      </c>
      <c r="BX306" s="1620">
        <v>0</v>
      </c>
      <c r="BY306" s="1620">
        <v>0</v>
      </c>
      <c r="BZ306" s="1620" t="s">
        <v>270</v>
      </c>
      <c r="CA306" s="1620" t="s">
        <v>270</v>
      </c>
      <c r="CB306" s="1603"/>
      <c r="CC306" s="1603">
        <v>0</v>
      </c>
      <c r="CD306" s="1603">
        <v>0</v>
      </c>
      <c r="CE306" s="1603">
        <v>0</v>
      </c>
      <c r="CF306" s="1603">
        <v>0</v>
      </c>
      <c r="CG306" s="1603">
        <v>0</v>
      </c>
      <c r="CH306" s="1603">
        <v>0</v>
      </c>
      <c r="CI306" s="1603">
        <v>0</v>
      </c>
      <c r="CJ306" s="1603"/>
      <c r="CK306" s="1603">
        <v>0</v>
      </c>
      <c r="CL306" s="1603">
        <v>0</v>
      </c>
      <c r="CM306" s="1603">
        <v>0</v>
      </c>
      <c r="CN306" s="1603">
        <v>0</v>
      </c>
      <c r="CO306" s="1603">
        <v>0</v>
      </c>
      <c r="CP306" s="1603">
        <v>0</v>
      </c>
      <c r="CQ306" s="1603">
        <v>478.2987</v>
      </c>
      <c r="CR306" s="1603">
        <v>395.76572410489069</v>
      </c>
      <c r="CS306" s="1603">
        <v>0</v>
      </c>
      <c r="CT306" s="1603">
        <v>0</v>
      </c>
      <c r="CU306" s="1603">
        <v>0</v>
      </c>
      <c r="CV306" s="1603">
        <v>0</v>
      </c>
      <c r="CW306" s="1603">
        <v>0</v>
      </c>
      <c r="CX306" s="1603">
        <v>0</v>
      </c>
      <c r="CY306" s="1603">
        <v>0</v>
      </c>
      <c r="CZ306" s="1603">
        <v>0</v>
      </c>
      <c r="DA306" s="1603">
        <v>0</v>
      </c>
      <c r="DB306" s="1603">
        <v>0</v>
      </c>
      <c r="DC306" s="1603">
        <v>819.17025413277327</v>
      </c>
      <c r="DD306" s="1603">
        <v>819.17025413277327</v>
      </c>
      <c r="DE306" s="1603">
        <v>0</v>
      </c>
      <c r="DF306" s="1603">
        <v>0</v>
      </c>
      <c r="DG306" s="1603">
        <v>0</v>
      </c>
      <c r="DH306" s="1603">
        <v>0</v>
      </c>
      <c r="DI306" s="1603">
        <v>0</v>
      </c>
      <c r="DJ306" s="1603">
        <v>0</v>
      </c>
      <c r="DK306" s="1603">
        <v>0</v>
      </c>
      <c r="DL306" s="1603">
        <v>0</v>
      </c>
      <c r="DM306" s="1603">
        <v>0</v>
      </c>
      <c r="DN306" s="1603">
        <v>0</v>
      </c>
      <c r="DO306" s="1603">
        <v>0</v>
      </c>
      <c r="DP306" s="1603">
        <v>0</v>
      </c>
      <c r="DQ306" s="1603">
        <v>0</v>
      </c>
      <c r="DR306" s="1603">
        <v>0</v>
      </c>
      <c r="DS306" s="1603">
        <v>0</v>
      </c>
      <c r="DT306" s="1603">
        <v>0</v>
      </c>
      <c r="DU306" s="1603">
        <v>0</v>
      </c>
      <c r="DV306" s="1603">
        <v>0</v>
      </c>
      <c r="DW306" s="1618" t="s">
        <v>986</v>
      </c>
      <c r="DX306" s="1605" t="s">
        <v>986</v>
      </c>
      <c r="DY306" s="1605" t="s">
        <v>986</v>
      </c>
      <c r="DZ306" s="1605" t="s">
        <v>986</v>
      </c>
      <c r="EA306" s="1605" t="s">
        <v>986</v>
      </c>
      <c r="EB306" s="1605" t="s">
        <v>986</v>
      </c>
      <c r="EC306" s="1605" t="s">
        <v>986</v>
      </c>
      <c r="ED306" s="1605" t="s">
        <v>986</v>
      </c>
      <c r="EE306" s="1605" t="s">
        <v>986</v>
      </c>
      <c r="EF306" s="1605" t="s">
        <v>986</v>
      </c>
      <c r="EG306" s="1605" t="s">
        <v>986</v>
      </c>
      <c r="EH306" s="1605" t="s">
        <v>986</v>
      </c>
      <c r="EI306" s="1605" t="s">
        <v>986</v>
      </c>
      <c r="EJ306" s="1605" t="s">
        <v>986</v>
      </c>
      <c r="EK306" s="1605" t="s">
        <v>986</v>
      </c>
      <c r="EL306" s="1605" t="s">
        <v>986</v>
      </c>
      <c r="EM306" s="1605" t="s">
        <v>986</v>
      </c>
      <c r="EN306" s="1605" t="s">
        <v>986</v>
      </c>
      <c r="EO306" s="1605" t="s">
        <v>986</v>
      </c>
      <c r="EP306" s="1605" t="s">
        <v>986</v>
      </c>
      <c r="EQ306" s="1605" t="s">
        <v>986</v>
      </c>
      <c r="ER306" s="1605" t="s">
        <v>986</v>
      </c>
      <c r="ES306" s="1605" t="s">
        <v>986</v>
      </c>
      <c r="ET306" s="1605" t="s">
        <v>986</v>
      </c>
      <c r="EU306" s="1605" t="s">
        <v>986</v>
      </c>
      <c r="EV306" s="1605" t="s">
        <v>986</v>
      </c>
      <c r="EW306" s="1605" t="s">
        <v>986</v>
      </c>
      <c r="EX306" s="1605" t="s">
        <v>986</v>
      </c>
      <c r="EY306" s="1605" t="s">
        <v>986</v>
      </c>
      <c r="EZ306" s="1605" t="s">
        <v>986</v>
      </c>
      <c r="FA306" s="1605" t="s">
        <v>986</v>
      </c>
      <c r="FB306" s="1605" t="s">
        <v>986</v>
      </c>
      <c r="FC306" s="1605" t="s">
        <v>986</v>
      </c>
      <c r="FD306" s="1605" t="s">
        <v>986</v>
      </c>
      <c r="FE306" s="1605" t="s">
        <v>986</v>
      </c>
      <c r="FF306" s="1605" t="s">
        <v>986</v>
      </c>
      <c r="FG306" s="1605" t="s">
        <v>986</v>
      </c>
      <c r="FH306" s="1605" t="s">
        <v>986</v>
      </c>
      <c r="FI306" s="1605" t="s">
        <v>986</v>
      </c>
      <c r="FJ306" s="1605" t="s">
        <v>986</v>
      </c>
      <c r="FK306" s="1605" t="s">
        <v>986</v>
      </c>
      <c r="FL306" s="1605" t="s">
        <v>986</v>
      </c>
      <c r="FM306" s="1605" t="s">
        <v>986</v>
      </c>
      <c r="FN306" s="1605" t="s">
        <v>986</v>
      </c>
      <c r="FO306" s="1605" t="s">
        <v>986</v>
      </c>
      <c r="FP306" s="1605" t="s">
        <v>986</v>
      </c>
      <c r="FQ306" s="1605" t="s">
        <v>986</v>
      </c>
      <c r="FR306" s="1605" t="s">
        <v>986</v>
      </c>
      <c r="FS306" s="1605" t="s">
        <v>986</v>
      </c>
      <c r="FT306" s="1605" t="s">
        <v>986</v>
      </c>
      <c r="FU306" s="1605" t="s">
        <v>986</v>
      </c>
      <c r="FV306" s="1605" t="s">
        <v>986</v>
      </c>
      <c r="FW306" s="1605" t="s">
        <v>986</v>
      </c>
      <c r="FX306" s="1605" t="s">
        <v>986</v>
      </c>
      <c r="FY306" s="1605" t="s">
        <v>986</v>
      </c>
      <c r="FZ306" s="1605" t="s">
        <v>986</v>
      </c>
      <c r="GA306" s="1605" t="s">
        <v>986</v>
      </c>
      <c r="GB306" s="1605" t="s">
        <v>986</v>
      </c>
      <c r="GC306" s="1605" t="s">
        <v>986</v>
      </c>
      <c r="GD306" s="1605" t="s">
        <v>986</v>
      </c>
      <c r="GE306" s="1605" t="s">
        <v>986</v>
      </c>
      <c r="GF306" s="1605" t="s">
        <v>986</v>
      </c>
      <c r="GG306" s="1605" t="s">
        <v>986</v>
      </c>
      <c r="GH306" s="1605" t="s">
        <v>986</v>
      </c>
      <c r="GI306" s="1605" t="s">
        <v>986</v>
      </c>
      <c r="GJ306" s="1605" t="s">
        <v>986</v>
      </c>
      <c r="GK306" s="1605" t="s">
        <v>986</v>
      </c>
      <c r="GL306" s="1605" t="s">
        <v>986</v>
      </c>
      <c r="GM306" s="1605" t="s">
        <v>986</v>
      </c>
      <c r="GN306" s="1605" t="s">
        <v>986</v>
      </c>
      <c r="GO306" s="1605" t="s">
        <v>986</v>
      </c>
      <c r="GP306" s="1605" t="s">
        <v>986</v>
      </c>
      <c r="GQ306" s="1605" t="s">
        <v>986</v>
      </c>
      <c r="GR306" s="1605" t="s">
        <v>986</v>
      </c>
      <c r="GS306" s="1605" t="s">
        <v>986</v>
      </c>
      <c r="GT306" s="1605" t="s">
        <v>986</v>
      </c>
      <c r="GU306" s="1605" t="s">
        <v>986</v>
      </c>
      <c r="GV306" s="1605" t="s">
        <v>986</v>
      </c>
      <c r="GW306" s="1605" t="s">
        <v>986</v>
      </c>
      <c r="GX306" s="1605" t="s">
        <v>986</v>
      </c>
      <c r="GY306" s="1605" t="s">
        <v>986</v>
      </c>
      <c r="GZ306" s="1605" t="s">
        <v>986</v>
      </c>
      <c r="HA306" s="1605" t="s">
        <v>986</v>
      </c>
      <c r="HB306" s="1605" t="s">
        <v>986</v>
      </c>
      <c r="HC306" s="1605" t="s">
        <v>986</v>
      </c>
      <c r="HD306" s="1605" t="s">
        <v>986</v>
      </c>
      <c r="HE306" s="1605" t="s">
        <v>986</v>
      </c>
      <c r="HF306" s="1605" t="s">
        <v>986</v>
      </c>
      <c r="HG306" s="1605" t="s">
        <v>986</v>
      </c>
      <c r="HH306" s="1605" t="s">
        <v>986</v>
      </c>
      <c r="HI306" s="1605" t="s">
        <v>986</v>
      </c>
      <c r="HJ306" s="1605" t="s">
        <v>986</v>
      </c>
      <c r="HK306" s="1605" t="s">
        <v>986</v>
      </c>
      <c r="HL306" s="1605" t="s">
        <v>986</v>
      </c>
      <c r="HM306" s="1605" t="s">
        <v>986</v>
      </c>
      <c r="HN306" s="1605" t="s">
        <v>986</v>
      </c>
      <c r="HO306" s="1605" t="s">
        <v>986</v>
      </c>
      <c r="HP306" s="1605" t="s">
        <v>986</v>
      </c>
      <c r="HQ306" s="1605" t="s">
        <v>986</v>
      </c>
      <c r="HR306" s="1605" t="s">
        <v>986</v>
      </c>
      <c r="HS306" s="1605" t="s">
        <v>986</v>
      </c>
      <c r="HT306" s="1605" t="s">
        <v>986</v>
      </c>
      <c r="HU306" s="1605" t="s">
        <v>986</v>
      </c>
      <c r="HV306" s="1617"/>
      <c r="HW306" s="1617" t="s">
        <v>986</v>
      </c>
      <c r="HX306" s="1617" t="s">
        <v>986</v>
      </c>
      <c r="HY306" s="1617" t="s">
        <v>986</v>
      </c>
      <c r="HZ306" s="1603"/>
      <c r="IA306" s="1603"/>
      <c r="IB306" s="1603"/>
      <c r="IC306" s="1603">
        <v>0</v>
      </c>
      <c r="ID306" s="1603">
        <v>0</v>
      </c>
      <c r="IE306" s="1603">
        <v>0</v>
      </c>
      <c r="IF306" s="1603">
        <v>0</v>
      </c>
      <c r="IG306" s="1611" t="s">
        <v>2932</v>
      </c>
      <c r="IH306" s="1616" t="s">
        <v>270</v>
      </c>
      <c r="II306" s="1615" t="s">
        <v>270</v>
      </c>
      <c r="IJ306" s="1613">
        <v>1.3101818181818183</v>
      </c>
      <c r="IK306" s="1613">
        <v>1.301848484848485</v>
      </c>
      <c r="IL306" s="1614">
        <v>1.3101818181818183</v>
      </c>
      <c r="IM306" s="1614">
        <v>1.301848484848485</v>
      </c>
      <c r="IN306" s="1612" t="s">
        <v>270</v>
      </c>
      <c r="IO306" s="1613" t="s">
        <v>270</v>
      </c>
      <c r="IP306" s="1607" t="s">
        <v>270</v>
      </c>
      <c r="IQ306" s="1612" t="s">
        <v>270</v>
      </c>
      <c r="IR306" s="1612" t="s">
        <v>270</v>
      </c>
      <c r="IS306" s="1607">
        <v>1.1881818181818182</v>
      </c>
      <c r="IT306" s="1607">
        <v>1.1798484848484849</v>
      </c>
      <c r="IU306" s="1611">
        <v>0</v>
      </c>
      <c r="IV306" s="1611">
        <v>7.7767676767676763E-2</v>
      </c>
      <c r="IW306" s="1611">
        <v>9.0909090909090909E-4</v>
      </c>
      <c r="IX306" s="1611">
        <v>1.6060606060606061E-3</v>
      </c>
      <c r="IY306" s="1611">
        <v>9.6969696969696957E-4</v>
      </c>
      <c r="IZ306" s="1611">
        <v>5.9898989898989896E-3</v>
      </c>
      <c r="JA306" s="1611">
        <v>6.0606060606060598E-5</v>
      </c>
      <c r="JB306" s="1611" t="s">
        <v>270</v>
      </c>
      <c r="JC306" s="1611">
        <v>9.9026969696969704</v>
      </c>
      <c r="JD306" s="1611">
        <v>5.2121212121212122E-3</v>
      </c>
      <c r="JE306" s="1611" t="s">
        <v>270</v>
      </c>
      <c r="JF306" s="1611">
        <v>8.2828282828282835E-4</v>
      </c>
      <c r="JG306" s="1611">
        <v>0.57978787878787885</v>
      </c>
      <c r="JH306" s="1611">
        <v>7.646464646464647E-3</v>
      </c>
      <c r="JI306" s="1611">
        <v>0.3</v>
      </c>
      <c r="JJ306" s="1611" t="s">
        <v>270</v>
      </c>
      <c r="JK306" s="1607">
        <f t="shared" si="13"/>
        <v>0.12200000000000011</v>
      </c>
      <c r="JL306" s="1608" t="s">
        <v>270</v>
      </c>
      <c r="JM306" s="1610" t="s">
        <v>2924</v>
      </c>
      <c r="JN306" s="1608">
        <v>8.3333333333333037E-3</v>
      </c>
      <c r="JO306" s="1609" t="s">
        <v>2931</v>
      </c>
      <c r="JP306" s="1608" t="s">
        <v>270</v>
      </c>
      <c r="JQ306" s="1607">
        <v>202103</v>
      </c>
      <c r="JR306" s="1606">
        <v>851</v>
      </c>
      <c r="JS306" s="1606">
        <v>774</v>
      </c>
      <c r="JT306" s="1606">
        <v>774</v>
      </c>
    </row>
    <row r="307" spans="1:280" ht="15" customHeight="1" x14ac:dyDescent="0.2">
      <c r="A307" s="1626">
        <v>93000</v>
      </c>
      <c r="B307" s="1625">
        <v>930</v>
      </c>
      <c r="C307" s="1624">
        <v>0</v>
      </c>
      <c r="D307" s="1623" t="s">
        <v>3007</v>
      </c>
      <c r="E307" s="1622">
        <v>43031</v>
      </c>
      <c r="F307" s="1620">
        <v>1.0540971979384399</v>
      </c>
      <c r="G307" s="1620">
        <v>1.0711745939821899</v>
      </c>
      <c r="H307" s="1621">
        <v>92.3</v>
      </c>
      <c r="I307" s="1621">
        <v>77.400000000000006</v>
      </c>
      <c r="J307" s="1621">
        <v>94.1</v>
      </c>
      <c r="K307" s="1620">
        <v>1</v>
      </c>
      <c r="L307" s="1620">
        <v>93.9</v>
      </c>
      <c r="M307" s="1620">
        <v>45.353700000000003</v>
      </c>
      <c r="N307" s="1620">
        <v>5.5400999999999998</v>
      </c>
      <c r="O307" s="1620">
        <v>8.7326999999999995</v>
      </c>
      <c r="P307" s="1620">
        <v>1.8779999999999999</v>
      </c>
      <c r="Q307" s="1603"/>
      <c r="R307" s="1620">
        <v>85</v>
      </c>
      <c r="S307" s="1620">
        <v>50</v>
      </c>
      <c r="T307" s="1620">
        <v>50</v>
      </c>
      <c r="U307" s="1620">
        <v>50</v>
      </c>
      <c r="V307" s="1620">
        <v>50</v>
      </c>
      <c r="W307" s="1620">
        <v>50</v>
      </c>
      <c r="X307" s="1620"/>
      <c r="Y307" s="1620">
        <v>1.4</v>
      </c>
      <c r="Z307" s="1620">
        <v>13</v>
      </c>
      <c r="AA307" s="1620">
        <v>9.1999999999999993</v>
      </c>
      <c r="AB307" s="1620">
        <v>0</v>
      </c>
      <c r="AC307" s="1620">
        <v>15.999999999999998</v>
      </c>
      <c r="AD307" s="1620">
        <v>2.8</v>
      </c>
      <c r="AE307" s="1620">
        <v>3.6</v>
      </c>
      <c r="AF307" s="1620">
        <v>106.00000000000001</v>
      </c>
      <c r="AG307" s="1620">
        <v>18</v>
      </c>
      <c r="AH307" s="1620">
        <v>23</v>
      </c>
      <c r="AI307" s="1620">
        <v>94.000000000000114</v>
      </c>
      <c r="AJ307" s="1620">
        <v>0</v>
      </c>
      <c r="AK307" s="1620">
        <v>0.48</v>
      </c>
      <c r="AL307" s="1620"/>
      <c r="AM307" s="1620">
        <v>5.9999999999999902</v>
      </c>
      <c r="AN307" s="1620">
        <v>1.7</v>
      </c>
      <c r="AO307" s="1620">
        <v>1.2</v>
      </c>
      <c r="AP307" s="1620">
        <v>4.3</v>
      </c>
      <c r="AQ307" s="1620">
        <v>1.31</v>
      </c>
      <c r="AR307" s="1620">
        <v>4.4599999999999902</v>
      </c>
      <c r="AS307" s="1620">
        <v>6.81</v>
      </c>
      <c r="AT307" s="1620">
        <v>2.19</v>
      </c>
      <c r="AU307" s="1620">
        <v>3.8899999999999899</v>
      </c>
      <c r="AV307" s="1620">
        <v>3.2099999999999902</v>
      </c>
      <c r="AW307" s="1620">
        <v>4.84</v>
      </c>
      <c r="AX307" s="1620"/>
      <c r="AY307" s="1620">
        <v>1</v>
      </c>
      <c r="AZ307" s="1620">
        <v>1</v>
      </c>
      <c r="BA307" s="1620">
        <v>1</v>
      </c>
      <c r="BB307" s="1620">
        <v>1</v>
      </c>
      <c r="BC307" s="1620">
        <v>1</v>
      </c>
      <c r="BD307" s="1620">
        <v>1</v>
      </c>
      <c r="BE307" s="1620">
        <v>1</v>
      </c>
      <c r="BF307" s="1620">
        <v>1</v>
      </c>
      <c r="BG307" s="1620">
        <v>1</v>
      </c>
      <c r="BH307" s="1620">
        <v>1</v>
      </c>
      <c r="BI307" s="1620">
        <v>1</v>
      </c>
      <c r="BJ307" s="1603"/>
      <c r="BK307" s="1620">
        <v>48.300000000000004</v>
      </c>
      <c r="BL307" s="1620">
        <v>5.8999999999999995</v>
      </c>
      <c r="BM307" s="1620">
        <v>9.2999999999999989</v>
      </c>
      <c r="BN307" s="1620">
        <v>1.9999999999999998</v>
      </c>
      <c r="BO307" s="1620"/>
      <c r="BP307" s="1620">
        <v>0</v>
      </c>
      <c r="BQ307" s="1620">
        <v>0</v>
      </c>
      <c r="BR307" s="1620">
        <v>1.1225742257065388</v>
      </c>
      <c r="BS307" s="1620">
        <v>1.1407610159554737</v>
      </c>
      <c r="BT307" s="1603"/>
      <c r="BU307" s="1620">
        <v>907</v>
      </c>
      <c r="BV307" s="1620">
        <v>147.33957142857082</v>
      </c>
      <c r="BW307" s="1620">
        <v>193.06142857142808</v>
      </c>
      <c r="BX307" s="1620">
        <v>62</v>
      </c>
      <c r="BY307" s="1620">
        <v>22</v>
      </c>
      <c r="BZ307" s="1620" t="s">
        <v>270</v>
      </c>
      <c r="CA307" s="1620" t="s">
        <v>270</v>
      </c>
      <c r="CB307" s="1603"/>
      <c r="CC307" s="1603">
        <v>1.3146</v>
      </c>
      <c r="CD307" s="1603">
        <v>12.207000000000001</v>
      </c>
      <c r="CE307" s="1603">
        <v>8.6387999999999998</v>
      </c>
      <c r="CF307" s="1603">
        <v>0</v>
      </c>
      <c r="CG307" s="1603">
        <v>15.023999999999999</v>
      </c>
      <c r="CH307" s="1603">
        <v>2.6292</v>
      </c>
      <c r="CI307" s="1603">
        <v>3.3804000000000003</v>
      </c>
      <c r="CJ307" s="1603"/>
      <c r="CK307" s="1603">
        <v>99.53400000000002</v>
      </c>
      <c r="CL307" s="1603">
        <v>16.902000000000001</v>
      </c>
      <c r="CM307" s="1603">
        <v>21.597000000000001</v>
      </c>
      <c r="CN307" s="1603">
        <v>88.266000000000119</v>
      </c>
      <c r="CO307" s="1603">
        <v>0</v>
      </c>
      <c r="CP307" s="1603">
        <v>0.45072000000000001</v>
      </c>
      <c r="CQ307" s="1603">
        <v>385.50644999999997</v>
      </c>
      <c r="CR307" s="1603">
        <v>365.72191895961555</v>
      </c>
      <c r="CS307" s="1603">
        <v>21.943315137576935</v>
      </c>
      <c r="CT307" s="1603">
        <v>6.2172726223134651</v>
      </c>
      <c r="CU307" s="1603">
        <v>4.3886630275153866</v>
      </c>
      <c r="CV307" s="1603">
        <v>10.605935649828853</v>
      </c>
      <c r="CW307" s="1603">
        <v>15.726042515263471</v>
      </c>
      <c r="CX307" s="1603">
        <v>4.7909571383709642</v>
      </c>
      <c r="CY307" s="1603">
        <v>16.311197585598855</v>
      </c>
      <c r="CZ307" s="1603">
        <v>24.905662681149821</v>
      </c>
      <c r="DA307" s="1603">
        <v>8.0093100252155818</v>
      </c>
      <c r="DB307" s="1603">
        <v>14.226582647529046</v>
      </c>
      <c r="DC307" s="1603">
        <v>11.739673598603661</v>
      </c>
      <c r="DD307" s="1603">
        <v>25.966256246132613</v>
      </c>
      <c r="DE307" s="1603">
        <v>17.700940877645394</v>
      </c>
      <c r="DF307" s="1603">
        <v>0</v>
      </c>
      <c r="DG307" s="1603">
        <v>0</v>
      </c>
      <c r="DH307" s="1603">
        <v>0</v>
      </c>
      <c r="DI307" s="1603">
        <v>0</v>
      </c>
      <c r="DJ307" s="1603">
        <v>0</v>
      </c>
      <c r="DK307" s="1603">
        <v>0</v>
      </c>
      <c r="DL307" s="1603">
        <v>0</v>
      </c>
      <c r="DM307" s="1603">
        <v>0</v>
      </c>
      <c r="DN307" s="1603">
        <v>0</v>
      </c>
      <c r="DO307" s="1603">
        <v>0</v>
      </c>
      <c r="DP307" s="1603">
        <v>0</v>
      </c>
      <c r="DQ307" s="1603">
        <v>0</v>
      </c>
      <c r="DR307" s="1603">
        <v>0</v>
      </c>
      <c r="DS307" s="1603">
        <v>0</v>
      </c>
      <c r="DT307" s="1603">
        <v>0</v>
      </c>
      <c r="DU307" s="1603">
        <v>0</v>
      </c>
      <c r="DV307" s="1603">
        <v>0</v>
      </c>
      <c r="DW307" s="1618" t="s">
        <v>3006</v>
      </c>
      <c r="DX307" s="1605" t="s">
        <v>986</v>
      </c>
      <c r="DY307" s="1605" t="s">
        <v>986</v>
      </c>
      <c r="DZ307" s="1605">
        <v>1</v>
      </c>
      <c r="EA307" s="1605">
        <v>1</v>
      </c>
      <c r="EB307" s="1605" t="s">
        <v>986</v>
      </c>
      <c r="EC307" s="1605">
        <v>1</v>
      </c>
      <c r="ED307" s="1605">
        <v>1</v>
      </c>
      <c r="EE307" s="1605">
        <v>1</v>
      </c>
      <c r="EF307" s="1605">
        <v>1</v>
      </c>
      <c r="EG307" s="1605">
        <v>1</v>
      </c>
      <c r="EH307" s="1605" t="s">
        <v>986</v>
      </c>
      <c r="EI307" s="1605" t="s">
        <v>986</v>
      </c>
      <c r="EJ307" s="1605" t="s">
        <v>986</v>
      </c>
      <c r="EK307" s="1605" t="s">
        <v>986</v>
      </c>
      <c r="EL307" s="1605" t="s">
        <v>986</v>
      </c>
      <c r="EM307" s="1605" t="s">
        <v>986</v>
      </c>
      <c r="EN307" s="1605" t="s">
        <v>986</v>
      </c>
      <c r="EO307" s="1605" t="s">
        <v>986</v>
      </c>
      <c r="EP307" s="1605" t="s">
        <v>986</v>
      </c>
      <c r="EQ307" s="1605" t="s">
        <v>986</v>
      </c>
      <c r="ER307" s="1605" t="s">
        <v>986</v>
      </c>
      <c r="ES307" s="1605" t="s">
        <v>986</v>
      </c>
      <c r="ET307" s="1605" t="s">
        <v>986</v>
      </c>
      <c r="EU307" s="1605" t="s">
        <v>986</v>
      </c>
      <c r="EV307" s="1605" t="s">
        <v>986</v>
      </c>
      <c r="EW307" s="1605" t="s">
        <v>986</v>
      </c>
      <c r="EX307" s="1605" t="s">
        <v>986</v>
      </c>
      <c r="EY307" s="1605" t="s">
        <v>986</v>
      </c>
      <c r="EZ307" s="1605" t="s">
        <v>986</v>
      </c>
      <c r="FA307" s="1605" t="s">
        <v>986</v>
      </c>
      <c r="FB307" s="1605" t="s">
        <v>986</v>
      </c>
      <c r="FC307" s="1605" t="s">
        <v>986</v>
      </c>
      <c r="FD307" s="1605" t="s">
        <v>986</v>
      </c>
      <c r="FE307" s="1605" t="s">
        <v>986</v>
      </c>
      <c r="FF307" s="1605" t="s">
        <v>986</v>
      </c>
      <c r="FG307" s="1605" t="s">
        <v>986</v>
      </c>
      <c r="FH307" s="1605" t="s">
        <v>986</v>
      </c>
      <c r="FI307" s="1605" t="s">
        <v>986</v>
      </c>
      <c r="FJ307" s="1605" t="s">
        <v>986</v>
      </c>
      <c r="FK307" s="1605" t="s">
        <v>986</v>
      </c>
      <c r="FL307" s="1605" t="s">
        <v>986</v>
      </c>
      <c r="FM307" s="1605" t="s">
        <v>986</v>
      </c>
      <c r="FN307" s="1605" t="s">
        <v>986</v>
      </c>
      <c r="FO307" s="1605" t="s">
        <v>986</v>
      </c>
      <c r="FP307" s="1605" t="s">
        <v>986</v>
      </c>
      <c r="FQ307" s="1605" t="s">
        <v>986</v>
      </c>
      <c r="FR307" s="1605" t="s">
        <v>986</v>
      </c>
      <c r="FS307" s="1605" t="s">
        <v>986</v>
      </c>
      <c r="FT307" s="1605" t="s">
        <v>986</v>
      </c>
      <c r="FU307" s="1605" t="s">
        <v>986</v>
      </c>
      <c r="FV307" s="1605" t="s">
        <v>986</v>
      </c>
      <c r="FW307" s="1605" t="s">
        <v>986</v>
      </c>
      <c r="FX307" s="1605" t="s">
        <v>986</v>
      </c>
      <c r="FY307" s="1605" t="s">
        <v>986</v>
      </c>
      <c r="FZ307" s="1605" t="s">
        <v>986</v>
      </c>
      <c r="GA307" s="1605" t="s">
        <v>986</v>
      </c>
      <c r="GB307" s="1605" t="s">
        <v>986</v>
      </c>
      <c r="GC307" s="1605" t="s">
        <v>986</v>
      </c>
      <c r="GD307" s="1605" t="s">
        <v>986</v>
      </c>
      <c r="GE307" s="1605" t="s">
        <v>986</v>
      </c>
      <c r="GF307" s="1605" t="s">
        <v>986</v>
      </c>
      <c r="GG307" s="1605" t="s">
        <v>986</v>
      </c>
      <c r="GH307" s="1605" t="s">
        <v>986</v>
      </c>
      <c r="GI307" s="1605" t="s">
        <v>986</v>
      </c>
      <c r="GJ307" s="1605" t="s">
        <v>986</v>
      </c>
      <c r="GK307" s="1605" t="s">
        <v>986</v>
      </c>
      <c r="GL307" s="1605" t="s">
        <v>986</v>
      </c>
      <c r="GM307" s="1605" t="s">
        <v>986</v>
      </c>
      <c r="GN307" s="1605" t="s">
        <v>1591</v>
      </c>
      <c r="GO307" s="1605" t="s">
        <v>1591</v>
      </c>
      <c r="GP307" s="1605" t="s">
        <v>1591</v>
      </c>
      <c r="GQ307" s="1605" t="s">
        <v>1591</v>
      </c>
      <c r="GR307" s="1605" t="s">
        <v>986</v>
      </c>
      <c r="GS307" s="1605" t="s">
        <v>1591</v>
      </c>
      <c r="GT307" s="1605" t="s">
        <v>1591</v>
      </c>
      <c r="GU307" s="1605" t="s">
        <v>1591</v>
      </c>
      <c r="GV307" s="1605" t="s">
        <v>986</v>
      </c>
      <c r="GW307" s="1605" t="s">
        <v>986</v>
      </c>
      <c r="GX307" s="1605" t="s">
        <v>986</v>
      </c>
      <c r="GY307" s="1605" t="s">
        <v>986</v>
      </c>
      <c r="GZ307" s="1605" t="s">
        <v>986</v>
      </c>
      <c r="HA307" s="1605" t="s">
        <v>986</v>
      </c>
      <c r="HB307" s="1605" t="s">
        <v>986</v>
      </c>
      <c r="HC307" s="1605" t="s">
        <v>986</v>
      </c>
      <c r="HD307" s="1605" t="s">
        <v>986</v>
      </c>
      <c r="HE307" s="1605" t="s">
        <v>986</v>
      </c>
      <c r="HF307" s="1605" t="s">
        <v>986</v>
      </c>
      <c r="HG307" s="1605" t="s">
        <v>986</v>
      </c>
      <c r="HH307" s="1605" t="s">
        <v>986</v>
      </c>
      <c r="HI307" s="1605" t="s">
        <v>986</v>
      </c>
      <c r="HJ307" s="1605" t="s">
        <v>986</v>
      </c>
      <c r="HK307" s="1605" t="s">
        <v>986</v>
      </c>
      <c r="HL307" s="1605" t="s">
        <v>986</v>
      </c>
      <c r="HM307" s="1605" t="s">
        <v>986</v>
      </c>
      <c r="HN307" s="1605" t="s">
        <v>986</v>
      </c>
      <c r="HO307" s="1605" t="s">
        <v>986</v>
      </c>
      <c r="HP307" s="1605" t="s">
        <v>986</v>
      </c>
      <c r="HQ307" s="1605" t="s">
        <v>986</v>
      </c>
      <c r="HR307" s="1605" t="s">
        <v>986</v>
      </c>
      <c r="HS307" s="1605" t="s">
        <v>986</v>
      </c>
      <c r="HT307" s="1605" t="s">
        <v>986</v>
      </c>
      <c r="HU307" s="1605" t="s">
        <v>986</v>
      </c>
      <c r="HV307" s="1617"/>
      <c r="HW307" s="1617" t="s">
        <v>3005</v>
      </c>
      <c r="HX307" s="1617" t="s">
        <v>3004</v>
      </c>
      <c r="HY307" s="1617" t="s">
        <v>3003</v>
      </c>
      <c r="HZ307" s="1603"/>
      <c r="IA307" s="1603"/>
      <c r="IB307" s="1603"/>
      <c r="IC307" s="1603">
        <v>50</v>
      </c>
      <c r="ID307" s="1603">
        <v>50</v>
      </c>
      <c r="IE307" s="1603">
        <v>50</v>
      </c>
      <c r="IF307" s="1603">
        <v>50</v>
      </c>
      <c r="IG307" s="1611" t="s">
        <v>270</v>
      </c>
      <c r="IH307" s="1616" t="s">
        <v>270</v>
      </c>
      <c r="II307" s="1615" t="s">
        <v>270</v>
      </c>
      <c r="IJ307" s="1613">
        <v>0.76100000000000001</v>
      </c>
      <c r="IK307" s="1613">
        <v>0.76100000000000001</v>
      </c>
      <c r="IL307" s="1614">
        <v>0.76100000000000001</v>
      </c>
      <c r="IM307" s="1614">
        <v>0.76100000000000001</v>
      </c>
      <c r="IN307" s="1612">
        <v>0.76100000000000001</v>
      </c>
      <c r="IO307" s="1613">
        <v>0</v>
      </c>
      <c r="IP307" s="1607" t="s">
        <v>270</v>
      </c>
      <c r="IQ307" s="1612" t="s">
        <v>270</v>
      </c>
      <c r="IR307" s="1612" t="s">
        <v>270</v>
      </c>
      <c r="IS307" s="1607" t="s">
        <v>270</v>
      </c>
      <c r="IT307" s="1607" t="s">
        <v>270</v>
      </c>
      <c r="IU307" s="1611" t="s">
        <v>270</v>
      </c>
      <c r="IV307" s="1611" t="s">
        <v>270</v>
      </c>
      <c r="IW307" s="1611" t="s">
        <v>270</v>
      </c>
      <c r="IX307" s="1611" t="s">
        <v>270</v>
      </c>
      <c r="IY307" s="1611" t="s">
        <v>270</v>
      </c>
      <c r="IZ307" s="1611" t="s">
        <v>270</v>
      </c>
      <c r="JA307" s="1611" t="s">
        <v>270</v>
      </c>
      <c r="JB307" s="1611" t="s">
        <v>270</v>
      </c>
      <c r="JC307" s="1611" t="s">
        <v>270</v>
      </c>
      <c r="JD307" s="1611" t="s">
        <v>270</v>
      </c>
      <c r="JE307" s="1611" t="s">
        <v>270</v>
      </c>
      <c r="JF307" s="1611" t="s">
        <v>270</v>
      </c>
      <c r="JG307" s="1611" t="s">
        <v>270</v>
      </c>
      <c r="JH307" s="1611" t="s">
        <v>270</v>
      </c>
      <c r="JI307" s="1611" t="s">
        <v>270</v>
      </c>
      <c r="JJ307" s="1611" t="s">
        <v>270</v>
      </c>
      <c r="JK307" s="1607" t="str">
        <f t="shared" si="13"/>
        <v/>
      </c>
      <c r="JL307" s="1608" t="s">
        <v>2946</v>
      </c>
      <c r="JM307" s="1610" t="s">
        <v>2945</v>
      </c>
      <c r="JN307" s="1608" t="s">
        <v>270</v>
      </c>
      <c r="JO307" s="1609" t="s">
        <v>270</v>
      </c>
      <c r="JP307" s="1608">
        <v>0.76100000000000001</v>
      </c>
      <c r="JQ307" s="1607" t="s">
        <v>270</v>
      </c>
      <c r="JR307" s="1606" t="s">
        <v>270</v>
      </c>
      <c r="JS307" s="1606" t="s">
        <v>270</v>
      </c>
      <c r="JT307" s="1606" t="s">
        <v>270</v>
      </c>
    </row>
    <row r="308" spans="1:280" ht="15" customHeight="1" x14ac:dyDescent="0.2">
      <c r="A308" s="1626">
        <v>99930</v>
      </c>
      <c r="B308" s="1625">
        <v>999</v>
      </c>
      <c r="C308" s="1624">
        <v>30</v>
      </c>
      <c r="D308" s="1623" t="s">
        <v>3002</v>
      </c>
      <c r="E308" s="1622">
        <v>43031</v>
      </c>
      <c r="F308" s="1620">
        <v>1.39316029810298</v>
      </c>
      <c r="G308" s="1627">
        <v>1.33526272727273</v>
      </c>
      <c r="H308" s="1621">
        <v>100</v>
      </c>
      <c r="I308" s="1621">
        <v>100</v>
      </c>
      <c r="J308" s="1621">
        <v>100</v>
      </c>
      <c r="K308" s="1620">
        <v>1</v>
      </c>
      <c r="L308" s="1620">
        <v>98.5</v>
      </c>
      <c r="M308" s="1620">
        <v>72.099999999999994</v>
      </c>
      <c r="N308" s="1620">
        <v>0</v>
      </c>
      <c r="O308" s="1620">
        <v>0.5</v>
      </c>
      <c r="P308" s="1620">
        <v>0</v>
      </c>
      <c r="Q308" s="1603"/>
      <c r="R308" s="1620">
        <v>100</v>
      </c>
      <c r="S308" s="1620">
        <v>0</v>
      </c>
      <c r="T308" s="1620">
        <v>0</v>
      </c>
      <c r="U308" s="1620">
        <v>0</v>
      </c>
      <c r="V308" s="1620">
        <v>0</v>
      </c>
      <c r="W308" s="1620">
        <v>0</v>
      </c>
      <c r="X308" s="1620"/>
      <c r="Y308" s="1620">
        <v>0</v>
      </c>
      <c r="Z308" s="1620">
        <v>0</v>
      </c>
      <c r="AA308" s="1620">
        <v>0</v>
      </c>
      <c r="AB308" s="1620">
        <v>0</v>
      </c>
      <c r="AC308" s="1620">
        <v>0</v>
      </c>
      <c r="AD308" s="1620">
        <v>0</v>
      </c>
      <c r="AE308" s="1620">
        <v>0</v>
      </c>
      <c r="AF308" s="1620">
        <v>0</v>
      </c>
      <c r="AG308" s="1620">
        <v>0</v>
      </c>
      <c r="AH308" s="1620">
        <v>0</v>
      </c>
      <c r="AI308" s="1620">
        <v>0</v>
      </c>
      <c r="AJ308" s="1620">
        <v>0</v>
      </c>
      <c r="AK308" s="1620">
        <v>0</v>
      </c>
      <c r="AL308" s="1620"/>
      <c r="AM308" s="1620">
        <v>0</v>
      </c>
      <c r="AN308" s="1620">
        <v>0</v>
      </c>
      <c r="AO308" s="1620">
        <v>0</v>
      </c>
      <c r="AP308" s="1620">
        <v>0</v>
      </c>
      <c r="AQ308" s="1620">
        <v>0</v>
      </c>
      <c r="AR308" s="1620">
        <v>0</v>
      </c>
      <c r="AS308" s="1620">
        <v>0</v>
      </c>
      <c r="AT308" s="1620">
        <v>0</v>
      </c>
      <c r="AU308" s="1620">
        <v>0</v>
      </c>
      <c r="AV308" s="1620">
        <v>0</v>
      </c>
      <c r="AW308" s="1620">
        <v>133.77926400000001</v>
      </c>
      <c r="AX308" s="1620"/>
      <c r="AY308" s="1620">
        <v>1</v>
      </c>
      <c r="AZ308" s="1620">
        <v>1</v>
      </c>
      <c r="BA308" s="1620">
        <v>1</v>
      </c>
      <c r="BB308" s="1620">
        <v>1</v>
      </c>
      <c r="BC308" s="1620">
        <v>1</v>
      </c>
      <c r="BD308" s="1620">
        <v>1</v>
      </c>
      <c r="BE308" s="1620">
        <v>1</v>
      </c>
      <c r="BF308" s="1620">
        <v>1</v>
      </c>
      <c r="BG308" s="1620">
        <v>1</v>
      </c>
      <c r="BH308" s="1620">
        <v>1</v>
      </c>
      <c r="BI308" s="1620">
        <v>1</v>
      </c>
      <c r="BJ308" s="1603"/>
      <c r="BK308" s="1620">
        <v>73.197969543147195</v>
      </c>
      <c r="BL308" s="1620">
        <v>0</v>
      </c>
      <c r="BM308" s="1620">
        <v>0.50761421319796951</v>
      </c>
      <c r="BN308" s="1620">
        <v>0</v>
      </c>
      <c r="BO308" s="1620"/>
      <c r="BP308" s="1620">
        <v>0</v>
      </c>
      <c r="BQ308" s="1620">
        <v>0</v>
      </c>
      <c r="BR308" s="1620">
        <v>1.4143759371603859</v>
      </c>
      <c r="BS308" s="1620">
        <v>1.3555966774342438</v>
      </c>
      <c r="BT308" s="1603"/>
      <c r="BU308" s="1620">
        <v>994.92385786802026</v>
      </c>
      <c r="BV308" s="1620">
        <v>328.82233502538071</v>
      </c>
      <c r="BW308" s="1620">
        <v>0</v>
      </c>
      <c r="BX308" s="1620">
        <v>0</v>
      </c>
      <c r="BY308" s="1620">
        <v>0</v>
      </c>
      <c r="BZ308" s="1620" t="s">
        <v>270</v>
      </c>
      <c r="CA308" s="1620" t="s">
        <v>270</v>
      </c>
      <c r="CB308" s="1603"/>
      <c r="CC308" s="1603">
        <v>0</v>
      </c>
      <c r="CD308" s="1603">
        <v>0</v>
      </c>
      <c r="CE308" s="1603">
        <v>0</v>
      </c>
      <c r="CF308" s="1603">
        <v>0</v>
      </c>
      <c r="CG308" s="1603">
        <v>0</v>
      </c>
      <c r="CH308" s="1603">
        <v>0</v>
      </c>
      <c r="CI308" s="1603">
        <v>0</v>
      </c>
      <c r="CJ308" s="1603"/>
      <c r="CK308" s="1603">
        <v>0</v>
      </c>
      <c r="CL308" s="1603">
        <v>0</v>
      </c>
      <c r="CM308" s="1603">
        <v>0</v>
      </c>
      <c r="CN308" s="1603">
        <v>0</v>
      </c>
      <c r="CO308" s="1603">
        <v>0</v>
      </c>
      <c r="CP308" s="1603">
        <v>0</v>
      </c>
      <c r="CQ308" s="1603">
        <v>721</v>
      </c>
      <c r="CR308" s="1603">
        <v>517.52838562925001</v>
      </c>
      <c r="CS308" s="1603">
        <v>0</v>
      </c>
      <c r="CT308" s="1603">
        <v>0</v>
      </c>
      <c r="CU308" s="1603">
        <v>0</v>
      </c>
      <c r="CV308" s="1603">
        <v>0</v>
      </c>
      <c r="CW308" s="1603">
        <v>0</v>
      </c>
      <c r="CX308" s="1603">
        <v>0</v>
      </c>
      <c r="CY308" s="1603">
        <v>0</v>
      </c>
      <c r="CZ308" s="1603">
        <v>0</v>
      </c>
      <c r="DA308" s="1603">
        <v>0</v>
      </c>
      <c r="DB308" s="1603">
        <v>0</v>
      </c>
      <c r="DC308" s="1603">
        <v>0</v>
      </c>
      <c r="DD308" s="1603">
        <v>0</v>
      </c>
      <c r="DE308" s="1603">
        <v>692.34566528589244</v>
      </c>
      <c r="DF308" s="1603">
        <v>0</v>
      </c>
      <c r="DG308" s="1603">
        <v>0</v>
      </c>
      <c r="DH308" s="1603">
        <v>0</v>
      </c>
      <c r="DI308" s="1603">
        <v>0</v>
      </c>
      <c r="DJ308" s="1603">
        <v>0</v>
      </c>
      <c r="DK308" s="1603">
        <v>0</v>
      </c>
      <c r="DL308" s="1603">
        <v>0</v>
      </c>
      <c r="DM308" s="1603">
        <v>0</v>
      </c>
      <c r="DN308" s="1603">
        <v>0</v>
      </c>
      <c r="DO308" s="1603">
        <v>0</v>
      </c>
      <c r="DP308" s="1603">
        <v>0</v>
      </c>
      <c r="DQ308" s="1603">
        <v>0</v>
      </c>
      <c r="DR308" s="1603">
        <v>0</v>
      </c>
      <c r="DS308" s="1603">
        <v>0</v>
      </c>
      <c r="DT308" s="1603">
        <v>0</v>
      </c>
      <c r="DU308" s="1603">
        <v>0</v>
      </c>
      <c r="DV308" s="1603">
        <v>0</v>
      </c>
      <c r="DW308" s="1618" t="s">
        <v>986</v>
      </c>
      <c r="DX308" s="1605" t="s">
        <v>986</v>
      </c>
      <c r="DY308" s="1605" t="s">
        <v>986</v>
      </c>
      <c r="DZ308" s="1605" t="s">
        <v>986</v>
      </c>
      <c r="EA308" s="1605" t="s">
        <v>986</v>
      </c>
      <c r="EB308" s="1605" t="s">
        <v>986</v>
      </c>
      <c r="EC308" s="1605" t="s">
        <v>986</v>
      </c>
      <c r="ED308" s="1605" t="s">
        <v>986</v>
      </c>
      <c r="EE308" s="1605" t="s">
        <v>986</v>
      </c>
      <c r="EF308" s="1605" t="s">
        <v>986</v>
      </c>
      <c r="EG308" s="1605" t="s">
        <v>986</v>
      </c>
      <c r="EH308" s="1605" t="s">
        <v>986</v>
      </c>
      <c r="EI308" s="1605" t="s">
        <v>986</v>
      </c>
      <c r="EJ308" s="1605" t="s">
        <v>986</v>
      </c>
      <c r="EK308" s="1605" t="s">
        <v>986</v>
      </c>
      <c r="EL308" s="1605" t="s">
        <v>986</v>
      </c>
      <c r="EM308" s="1605" t="s">
        <v>986</v>
      </c>
      <c r="EN308" s="1605" t="s">
        <v>986</v>
      </c>
      <c r="EO308" s="1605" t="s">
        <v>986</v>
      </c>
      <c r="EP308" s="1605" t="s">
        <v>986</v>
      </c>
      <c r="EQ308" s="1605" t="s">
        <v>986</v>
      </c>
      <c r="ER308" s="1605" t="s">
        <v>986</v>
      </c>
      <c r="ES308" s="1605" t="s">
        <v>986</v>
      </c>
      <c r="ET308" s="1605" t="s">
        <v>986</v>
      </c>
      <c r="EU308" s="1605" t="s">
        <v>986</v>
      </c>
      <c r="EV308" s="1605" t="s">
        <v>986</v>
      </c>
      <c r="EW308" s="1605" t="s">
        <v>986</v>
      </c>
      <c r="EX308" s="1605" t="s">
        <v>986</v>
      </c>
      <c r="EY308" s="1605" t="s">
        <v>986</v>
      </c>
      <c r="EZ308" s="1605" t="s">
        <v>986</v>
      </c>
      <c r="FA308" s="1605" t="s">
        <v>986</v>
      </c>
      <c r="FB308" s="1605" t="s">
        <v>986</v>
      </c>
      <c r="FC308" s="1605" t="s">
        <v>986</v>
      </c>
      <c r="FD308" s="1605" t="s">
        <v>986</v>
      </c>
      <c r="FE308" s="1605" t="s">
        <v>986</v>
      </c>
      <c r="FF308" s="1605" t="s">
        <v>986</v>
      </c>
      <c r="FG308" s="1605" t="s">
        <v>986</v>
      </c>
      <c r="FH308" s="1605" t="s">
        <v>986</v>
      </c>
      <c r="FI308" s="1605" t="s">
        <v>986</v>
      </c>
      <c r="FJ308" s="1605" t="s">
        <v>986</v>
      </c>
      <c r="FK308" s="1605" t="s">
        <v>986</v>
      </c>
      <c r="FL308" s="1605" t="s">
        <v>986</v>
      </c>
      <c r="FM308" s="1605" t="s">
        <v>986</v>
      </c>
      <c r="FN308" s="1605" t="s">
        <v>986</v>
      </c>
      <c r="FO308" s="1605" t="s">
        <v>986</v>
      </c>
      <c r="FP308" s="1605" t="s">
        <v>986</v>
      </c>
      <c r="FQ308" s="1605" t="s">
        <v>986</v>
      </c>
      <c r="FR308" s="1605" t="s">
        <v>986</v>
      </c>
      <c r="FS308" s="1605" t="s">
        <v>986</v>
      </c>
      <c r="FT308" s="1605" t="s">
        <v>986</v>
      </c>
      <c r="FU308" s="1605" t="s">
        <v>986</v>
      </c>
      <c r="FV308" s="1605" t="s">
        <v>986</v>
      </c>
      <c r="FW308" s="1605" t="s">
        <v>986</v>
      </c>
      <c r="FX308" s="1605" t="s">
        <v>986</v>
      </c>
      <c r="FY308" s="1605" t="s">
        <v>986</v>
      </c>
      <c r="FZ308" s="1605" t="s">
        <v>986</v>
      </c>
      <c r="GA308" s="1605" t="s">
        <v>986</v>
      </c>
      <c r="GB308" s="1605" t="s">
        <v>986</v>
      </c>
      <c r="GC308" s="1605" t="s">
        <v>986</v>
      </c>
      <c r="GD308" s="1605" t="s">
        <v>986</v>
      </c>
      <c r="GE308" s="1605" t="s">
        <v>986</v>
      </c>
      <c r="GF308" s="1605" t="s">
        <v>986</v>
      </c>
      <c r="GG308" s="1605" t="s">
        <v>986</v>
      </c>
      <c r="GH308" s="1605" t="s">
        <v>986</v>
      </c>
      <c r="GI308" s="1605" t="s">
        <v>986</v>
      </c>
      <c r="GJ308" s="1605" t="s">
        <v>986</v>
      </c>
      <c r="GK308" s="1605" t="s">
        <v>986</v>
      </c>
      <c r="GL308" s="1605" t="s">
        <v>986</v>
      </c>
      <c r="GM308" s="1605" t="s">
        <v>986</v>
      </c>
      <c r="GN308" s="1605" t="s">
        <v>986</v>
      </c>
      <c r="GO308" s="1605" t="s">
        <v>986</v>
      </c>
      <c r="GP308" s="1605" t="s">
        <v>986</v>
      </c>
      <c r="GQ308" s="1605" t="s">
        <v>986</v>
      </c>
      <c r="GR308" s="1605" t="s">
        <v>986</v>
      </c>
      <c r="GS308" s="1605" t="s">
        <v>986</v>
      </c>
      <c r="GT308" s="1605" t="s">
        <v>986</v>
      </c>
      <c r="GU308" s="1605" t="s">
        <v>986</v>
      </c>
      <c r="GV308" s="1605" t="s">
        <v>986</v>
      </c>
      <c r="GW308" s="1605" t="s">
        <v>986</v>
      </c>
      <c r="GX308" s="1605" t="s">
        <v>986</v>
      </c>
      <c r="GY308" s="1605" t="s">
        <v>986</v>
      </c>
      <c r="GZ308" s="1605" t="s">
        <v>986</v>
      </c>
      <c r="HA308" s="1605" t="s">
        <v>986</v>
      </c>
      <c r="HB308" s="1605" t="s">
        <v>986</v>
      </c>
      <c r="HC308" s="1605" t="s">
        <v>986</v>
      </c>
      <c r="HD308" s="1605" t="s">
        <v>986</v>
      </c>
      <c r="HE308" s="1605" t="s">
        <v>986</v>
      </c>
      <c r="HF308" s="1605" t="s">
        <v>986</v>
      </c>
      <c r="HG308" s="1605" t="s">
        <v>986</v>
      </c>
      <c r="HH308" s="1605" t="s">
        <v>986</v>
      </c>
      <c r="HI308" s="1605" t="s">
        <v>986</v>
      </c>
      <c r="HJ308" s="1605" t="s">
        <v>986</v>
      </c>
      <c r="HK308" s="1605" t="s">
        <v>986</v>
      </c>
      <c r="HL308" s="1605" t="s">
        <v>986</v>
      </c>
      <c r="HM308" s="1605" t="s">
        <v>986</v>
      </c>
      <c r="HN308" s="1605" t="s">
        <v>986</v>
      </c>
      <c r="HO308" s="1605" t="s">
        <v>986</v>
      </c>
      <c r="HP308" s="1605" t="s">
        <v>986</v>
      </c>
      <c r="HQ308" s="1605" t="s">
        <v>986</v>
      </c>
      <c r="HR308" s="1605" t="s">
        <v>986</v>
      </c>
      <c r="HS308" s="1605" t="s">
        <v>986</v>
      </c>
      <c r="HT308" s="1605" t="s">
        <v>986</v>
      </c>
      <c r="HU308" s="1605" t="s">
        <v>986</v>
      </c>
      <c r="HV308" s="1617"/>
      <c r="HW308" s="1617" t="s">
        <v>986</v>
      </c>
      <c r="HX308" s="1617" t="s">
        <v>986</v>
      </c>
      <c r="HY308" s="1617" t="s">
        <v>986</v>
      </c>
      <c r="HZ308" s="1603"/>
      <c r="IA308" s="1603"/>
      <c r="IB308" s="1603"/>
      <c r="IC308" s="1603">
        <v>0</v>
      </c>
      <c r="ID308" s="1603">
        <v>0</v>
      </c>
      <c r="IE308" s="1603">
        <v>0</v>
      </c>
      <c r="IF308" s="1603">
        <v>0</v>
      </c>
      <c r="IG308" s="1611" t="s">
        <v>2932</v>
      </c>
      <c r="IH308" s="1616" t="s">
        <v>270</v>
      </c>
      <c r="II308" s="1615" t="s">
        <v>270</v>
      </c>
      <c r="IJ308" s="1613">
        <v>1.3101818181818183</v>
      </c>
      <c r="IK308" s="1613">
        <v>1.301848484848485</v>
      </c>
      <c r="IL308" s="1614">
        <v>1.3101818181818183</v>
      </c>
      <c r="IM308" s="1614">
        <v>1.301848484848485</v>
      </c>
      <c r="IN308" s="1612" t="s">
        <v>270</v>
      </c>
      <c r="IO308" s="1613" t="s">
        <v>270</v>
      </c>
      <c r="IP308" s="1607" t="s">
        <v>270</v>
      </c>
      <c r="IQ308" s="1612" t="s">
        <v>270</v>
      </c>
      <c r="IR308" s="1612" t="s">
        <v>270</v>
      </c>
      <c r="IS308" s="1607">
        <v>1.1881818181818182</v>
      </c>
      <c r="IT308" s="1607">
        <v>1.1798484848484849</v>
      </c>
      <c r="IU308" s="1611">
        <v>0</v>
      </c>
      <c r="IV308" s="1611">
        <v>7.7767676767676763E-2</v>
      </c>
      <c r="IW308" s="1611">
        <v>9.0909090909090909E-4</v>
      </c>
      <c r="IX308" s="1611">
        <v>1.6060606060606061E-3</v>
      </c>
      <c r="IY308" s="1611">
        <v>9.6969696969696957E-4</v>
      </c>
      <c r="IZ308" s="1611">
        <v>5.9898989898989896E-3</v>
      </c>
      <c r="JA308" s="1611">
        <v>6.0606060606060598E-5</v>
      </c>
      <c r="JB308" s="1611" t="s">
        <v>270</v>
      </c>
      <c r="JC308" s="1611">
        <v>9.9026969696969704</v>
      </c>
      <c r="JD308" s="1611">
        <v>5.2121212121212122E-3</v>
      </c>
      <c r="JE308" s="1611" t="s">
        <v>270</v>
      </c>
      <c r="JF308" s="1611">
        <v>8.2828282828282835E-4</v>
      </c>
      <c r="JG308" s="1611">
        <v>0.57978787878787885</v>
      </c>
      <c r="JH308" s="1611">
        <v>7.646464646464647E-3</v>
      </c>
      <c r="JI308" s="1611">
        <v>0.3</v>
      </c>
      <c r="JJ308" s="1611" t="s">
        <v>270</v>
      </c>
      <c r="JK308" s="1607">
        <f t="shared" si="13"/>
        <v>0.12200000000000011</v>
      </c>
      <c r="JL308" s="1608" t="s">
        <v>270</v>
      </c>
      <c r="JM308" s="1610" t="s">
        <v>2924</v>
      </c>
      <c r="JN308" s="1608">
        <v>8.3333333333333037E-3</v>
      </c>
      <c r="JO308" s="1609" t="s">
        <v>2931</v>
      </c>
      <c r="JP308" s="1608" t="s">
        <v>270</v>
      </c>
      <c r="JQ308" s="1607">
        <v>202103</v>
      </c>
      <c r="JR308" s="1606">
        <v>851</v>
      </c>
      <c r="JS308" s="1606">
        <v>774</v>
      </c>
      <c r="JT308" s="1606">
        <v>774</v>
      </c>
    </row>
    <row r="309" spans="1:280" ht="15" customHeight="1" x14ac:dyDescent="0.2">
      <c r="A309" s="1626">
        <v>77000</v>
      </c>
      <c r="B309" s="1625">
        <v>770</v>
      </c>
      <c r="C309" s="1624">
        <v>0</v>
      </c>
      <c r="D309" s="1623" t="s">
        <v>3001</v>
      </c>
      <c r="E309" s="1622">
        <v>44439</v>
      </c>
      <c r="F309" s="1620">
        <v>6.1027864716608621E-2</v>
      </c>
      <c r="G309" s="1620">
        <v>5.8693524744192975E-2</v>
      </c>
      <c r="H309" s="1621">
        <v>99</v>
      </c>
      <c r="I309" s="1621">
        <v>98</v>
      </c>
      <c r="J309" s="1621">
        <v>98</v>
      </c>
      <c r="K309" s="1620">
        <v>0.86</v>
      </c>
      <c r="L309" s="1620">
        <v>4.7</v>
      </c>
      <c r="M309" s="1620">
        <v>0.97289999999999999</v>
      </c>
      <c r="N309" s="1620">
        <v>0.48880000000000007</v>
      </c>
      <c r="O309" s="1620">
        <v>0.66269999999999996</v>
      </c>
      <c r="P309" s="1620">
        <v>0</v>
      </c>
      <c r="Q309" s="1603"/>
      <c r="R309" s="1620">
        <v>85</v>
      </c>
      <c r="S309" s="1620">
        <v>58</v>
      </c>
      <c r="T309" s="1620">
        <v>58</v>
      </c>
      <c r="U309" s="1620">
        <v>58</v>
      </c>
      <c r="V309" s="1620">
        <v>58</v>
      </c>
      <c r="W309" s="1620">
        <v>58</v>
      </c>
      <c r="X309" s="1620"/>
      <c r="Y309" s="1620">
        <v>19</v>
      </c>
      <c r="Z309" s="1620">
        <v>11</v>
      </c>
      <c r="AA309" s="1620">
        <v>18</v>
      </c>
      <c r="AB309" s="1620">
        <v>29.6</v>
      </c>
      <c r="AC309" s="1620">
        <v>20.7</v>
      </c>
      <c r="AD309" s="1620">
        <v>1.8</v>
      </c>
      <c r="AE309" s="1620">
        <v>0</v>
      </c>
      <c r="AF309" s="1620">
        <v>92.000000000000014</v>
      </c>
      <c r="AG309" s="1620">
        <v>21.999999999999993</v>
      </c>
      <c r="AH309" s="1620">
        <v>2.9999999999999907</v>
      </c>
      <c r="AI309" s="1620">
        <v>17.000000000000007</v>
      </c>
      <c r="AJ309" s="1620">
        <v>0</v>
      </c>
      <c r="AK309" s="1620">
        <v>5.0000000000000148E-2</v>
      </c>
      <c r="AL309" s="1620"/>
      <c r="AM309" s="1620">
        <v>6.1</v>
      </c>
      <c r="AN309" s="1620">
        <v>1.5</v>
      </c>
      <c r="AO309" s="1620">
        <v>2</v>
      </c>
      <c r="AP309" s="1620">
        <v>5.4</v>
      </c>
      <c r="AQ309" s="1620">
        <v>1.1000000000000001</v>
      </c>
      <c r="AR309" s="1620">
        <v>5.7</v>
      </c>
      <c r="AS309" s="1620">
        <v>8.1</v>
      </c>
      <c r="AT309" s="1620">
        <v>1.2</v>
      </c>
      <c r="AU309" s="1620">
        <v>2.6</v>
      </c>
      <c r="AV309" s="1620">
        <v>2</v>
      </c>
      <c r="AW309" s="1620">
        <v>5</v>
      </c>
      <c r="AX309" s="1620"/>
      <c r="AY309" s="1620">
        <v>0.89</v>
      </c>
      <c r="AZ309" s="1620">
        <v>1.06</v>
      </c>
      <c r="BA309" s="1620">
        <v>1.04</v>
      </c>
      <c r="BB309" s="1620">
        <v>1.01</v>
      </c>
      <c r="BC309" s="1620">
        <v>1.08</v>
      </c>
      <c r="BD309" s="1620">
        <v>1.05</v>
      </c>
      <c r="BE309" s="1620">
        <v>1.0900000000000001</v>
      </c>
      <c r="BF309" s="1620">
        <v>1.05</v>
      </c>
      <c r="BG309" s="1620">
        <v>1.02</v>
      </c>
      <c r="BH309" s="1620">
        <v>1.1200000000000001</v>
      </c>
      <c r="BI309" s="1620">
        <v>1.05</v>
      </c>
      <c r="BJ309" s="1603"/>
      <c r="BK309" s="1620">
        <v>20.699999999999985</v>
      </c>
      <c r="BL309" s="1620">
        <v>10.399999999999995</v>
      </c>
      <c r="BM309" s="1620">
        <v>14.099999999999991</v>
      </c>
      <c r="BN309" s="1620">
        <v>0</v>
      </c>
      <c r="BO309" s="1620"/>
      <c r="BP309" s="1620">
        <v>34</v>
      </c>
      <c r="BQ309" s="1620">
        <v>10.539999999999997</v>
      </c>
      <c r="BR309" s="1620">
        <v>1.2984652067363529</v>
      </c>
      <c r="BS309" s="1620">
        <v>1.2487983988126157</v>
      </c>
      <c r="BT309" s="1603"/>
      <c r="BU309" s="1620">
        <v>859.00000000000011</v>
      </c>
      <c r="BV309" s="1620">
        <v>548.88857142857171</v>
      </c>
      <c r="BW309" s="1620">
        <v>12.271428571428572</v>
      </c>
      <c r="BX309" s="1620">
        <v>0</v>
      </c>
      <c r="BY309" s="1620" t="s">
        <v>270</v>
      </c>
      <c r="BZ309" s="1620">
        <v>0</v>
      </c>
      <c r="CA309" s="1620">
        <v>0</v>
      </c>
      <c r="CB309" s="1603"/>
      <c r="CC309" s="1603">
        <v>0.89300000000000002</v>
      </c>
      <c r="CD309" s="1603">
        <v>0.51700000000000002</v>
      </c>
      <c r="CE309" s="1603">
        <v>0.84599999999999997</v>
      </c>
      <c r="CF309" s="1603">
        <v>1.3912</v>
      </c>
      <c r="CG309" s="1603">
        <v>0.97289999999999999</v>
      </c>
      <c r="CH309" s="1603">
        <v>8.4600000000000009E-2</v>
      </c>
      <c r="CI309" s="1603">
        <v>0</v>
      </c>
      <c r="CJ309" s="1603"/>
      <c r="CK309" s="1603">
        <v>4.3240000000000007</v>
      </c>
      <c r="CL309" s="1603">
        <v>1.0339999999999996</v>
      </c>
      <c r="CM309" s="1603">
        <v>0.14099999999999957</v>
      </c>
      <c r="CN309" s="1603">
        <v>0.79900000000000038</v>
      </c>
      <c r="CO309" s="1603">
        <v>0</v>
      </c>
      <c r="CP309" s="1603">
        <v>2.350000000000007E-3</v>
      </c>
      <c r="CQ309" s="1603">
        <v>8.2696499999999986</v>
      </c>
      <c r="CR309" s="1603">
        <v>135.5061337702256</v>
      </c>
      <c r="CS309" s="1603">
        <v>7.3566280023855484</v>
      </c>
      <c r="CT309" s="1603">
        <v>2.1545475269465877</v>
      </c>
      <c r="CU309" s="1603">
        <v>2.8185275824206926</v>
      </c>
      <c r="CV309" s="1603">
        <v>4.9730751093672803</v>
      </c>
      <c r="CW309" s="1603">
        <v>7.3905045358281045</v>
      </c>
      <c r="CX309" s="1603">
        <v>1.6098128691902807</v>
      </c>
      <c r="CY309" s="1603">
        <v>8.1100421061480024</v>
      </c>
      <c r="CZ309" s="1603">
        <v>11.96383655057322</v>
      </c>
      <c r="DA309" s="1603">
        <v>1.7073772855048426</v>
      </c>
      <c r="DB309" s="1603">
        <v>3.5936226675863829</v>
      </c>
      <c r="DC309" s="1603">
        <v>3.0353373964530537</v>
      </c>
      <c r="DD309" s="1603">
        <v>6.6289600640394362</v>
      </c>
      <c r="DE309" s="1603">
        <v>7.1140720229368437</v>
      </c>
      <c r="DF309" s="1603">
        <v>0</v>
      </c>
      <c r="DG309" s="1603">
        <v>0</v>
      </c>
      <c r="DH309" s="1603">
        <v>0</v>
      </c>
      <c r="DI309" s="1603">
        <v>0</v>
      </c>
      <c r="DJ309" s="1603">
        <v>0</v>
      </c>
      <c r="DK309" s="1603">
        <v>0</v>
      </c>
      <c r="DL309" s="1603">
        <v>0</v>
      </c>
      <c r="DM309" s="1603">
        <v>0</v>
      </c>
      <c r="DN309" s="1603">
        <v>0</v>
      </c>
      <c r="DO309" s="1603">
        <v>0</v>
      </c>
      <c r="DP309" s="1603">
        <v>0</v>
      </c>
      <c r="DQ309" s="1603">
        <v>0</v>
      </c>
      <c r="DR309" s="1603">
        <v>0</v>
      </c>
      <c r="DS309" s="1603">
        <v>0</v>
      </c>
      <c r="DT309" s="1603">
        <v>0</v>
      </c>
      <c r="DU309" s="1603">
        <v>0</v>
      </c>
      <c r="DV309" s="1603">
        <v>0</v>
      </c>
      <c r="DW309" s="1618" t="s">
        <v>2975</v>
      </c>
      <c r="DX309" s="1605">
        <v>21</v>
      </c>
      <c r="DY309" s="1605">
        <v>18</v>
      </c>
      <c r="DZ309" s="1605">
        <v>18</v>
      </c>
      <c r="EA309" s="1605">
        <v>20</v>
      </c>
      <c r="EB309" s="1605" t="s">
        <v>986</v>
      </c>
      <c r="EC309" s="1605" t="s">
        <v>986</v>
      </c>
      <c r="ED309" s="1605" t="s">
        <v>986</v>
      </c>
      <c r="EE309" s="1605" t="s">
        <v>986</v>
      </c>
      <c r="EF309" s="1605" t="s">
        <v>986</v>
      </c>
      <c r="EG309" s="1605" t="s">
        <v>986</v>
      </c>
      <c r="EH309" s="1605">
        <v>1</v>
      </c>
      <c r="EI309" s="1605">
        <v>1</v>
      </c>
      <c r="EJ309" s="1605">
        <v>1</v>
      </c>
      <c r="EK309" s="1605">
        <v>1</v>
      </c>
      <c r="EL309" s="1605">
        <v>1</v>
      </c>
      <c r="EM309" s="1605">
        <v>1</v>
      </c>
      <c r="EN309" s="1605">
        <v>1</v>
      </c>
      <c r="EO309" s="1605">
        <v>1</v>
      </c>
      <c r="EP309" s="1605">
        <v>1</v>
      </c>
      <c r="EQ309" s="1605">
        <v>1</v>
      </c>
      <c r="ER309" s="1605">
        <v>1</v>
      </c>
      <c r="ES309" s="1605">
        <v>18</v>
      </c>
      <c r="ET309" s="1605">
        <v>18</v>
      </c>
      <c r="EU309" s="1605">
        <v>18</v>
      </c>
      <c r="EV309" s="1605" t="s">
        <v>986</v>
      </c>
      <c r="EW309" s="1605">
        <v>18</v>
      </c>
      <c r="EX309" s="1605">
        <v>18</v>
      </c>
      <c r="EY309" s="1605" t="s">
        <v>986</v>
      </c>
      <c r="EZ309" s="1605" t="s">
        <v>986</v>
      </c>
      <c r="FA309" s="1605" t="s">
        <v>986</v>
      </c>
      <c r="FB309" s="1605" t="s">
        <v>986</v>
      </c>
      <c r="FC309" s="1605" t="s">
        <v>986</v>
      </c>
      <c r="FD309" s="1605" t="s">
        <v>986</v>
      </c>
      <c r="FE309" s="1605" t="s">
        <v>986</v>
      </c>
      <c r="FF309" s="1605">
        <v>1.236642921091498</v>
      </c>
      <c r="FG309" s="1605">
        <v>7.7244720476878106</v>
      </c>
      <c r="FH309" s="1605">
        <v>5.3447622784524622</v>
      </c>
      <c r="FI309" s="1605">
        <v>8.2004589869311264</v>
      </c>
      <c r="FJ309" s="1605" t="s">
        <v>986</v>
      </c>
      <c r="FK309" s="1605" t="s">
        <v>986</v>
      </c>
      <c r="FL309" s="1605" t="s">
        <v>986</v>
      </c>
      <c r="FM309" s="1605" t="s">
        <v>986</v>
      </c>
      <c r="FN309" s="1605" t="s">
        <v>986</v>
      </c>
      <c r="FO309" s="1605" t="s">
        <v>986</v>
      </c>
      <c r="FP309" s="1605" t="s">
        <v>986</v>
      </c>
      <c r="FQ309" s="1605" t="s">
        <v>986</v>
      </c>
      <c r="FR309" s="1605" t="s">
        <v>986</v>
      </c>
      <c r="FS309" s="1605" t="s">
        <v>986</v>
      </c>
      <c r="FT309" s="1605" t="s">
        <v>986</v>
      </c>
      <c r="FU309" s="1605" t="s">
        <v>986</v>
      </c>
      <c r="FV309" s="1605" t="s">
        <v>986</v>
      </c>
      <c r="FW309" s="1605" t="s">
        <v>986</v>
      </c>
      <c r="FX309" s="1605" t="s">
        <v>986</v>
      </c>
      <c r="FY309" s="1605" t="s">
        <v>986</v>
      </c>
      <c r="FZ309" s="1605" t="s">
        <v>986</v>
      </c>
      <c r="GA309" s="1605">
        <v>10.097317207965459</v>
      </c>
      <c r="GB309" s="1605">
        <v>3.2807042893635541</v>
      </c>
      <c r="GC309" s="1605">
        <v>21.631946329932529</v>
      </c>
      <c r="GD309" s="1605">
        <v>36.560117736798041</v>
      </c>
      <c r="GE309" s="1605">
        <v>6.3378384600083768</v>
      </c>
      <c r="GF309" s="1605">
        <v>0.73459717551009218</v>
      </c>
      <c r="GG309" s="1605" t="s">
        <v>986</v>
      </c>
      <c r="GH309" s="1605" t="s">
        <v>986</v>
      </c>
      <c r="GI309" s="1605" t="s">
        <v>986</v>
      </c>
      <c r="GJ309" s="1605" t="s">
        <v>986</v>
      </c>
      <c r="GK309" s="1605" t="s">
        <v>986</v>
      </c>
      <c r="GL309" s="1605" t="s">
        <v>986</v>
      </c>
      <c r="GM309" s="1605" t="s">
        <v>986</v>
      </c>
      <c r="GN309" s="1605" t="s">
        <v>2217</v>
      </c>
      <c r="GO309" s="1605" t="s">
        <v>2217</v>
      </c>
      <c r="GP309" s="1605" t="s">
        <v>2217</v>
      </c>
      <c r="GQ309" s="1605" t="s">
        <v>2217</v>
      </c>
      <c r="GR309" s="1605" t="s">
        <v>986</v>
      </c>
      <c r="GS309" s="1605" t="s">
        <v>986</v>
      </c>
      <c r="GT309" s="1605" t="s">
        <v>986</v>
      </c>
      <c r="GU309" s="1605" t="s">
        <v>986</v>
      </c>
      <c r="GV309" s="1605" t="s">
        <v>986</v>
      </c>
      <c r="GW309" s="1605" t="s">
        <v>986</v>
      </c>
      <c r="GX309" s="1605" t="s">
        <v>1594</v>
      </c>
      <c r="GY309" s="1605" t="s">
        <v>1594</v>
      </c>
      <c r="GZ309" s="1605" t="s">
        <v>1594</v>
      </c>
      <c r="HA309" s="1605" t="s">
        <v>1594</v>
      </c>
      <c r="HB309" s="1605" t="s">
        <v>1594</v>
      </c>
      <c r="HC309" s="1605" t="s">
        <v>1594</v>
      </c>
      <c r="HD309" s="1605" t="s">
        <v>1594</v>
      </c>
      <c r="HE309" s="1605" t="s">
        <v>1594</v>
      </c>
      <c r="HF309" s="1605" t="s">
        <v>1594</v>
      </c>
      <c r="HG309" s="1605" t="s">
        <v>1594</v>
      </c>
      <c r="HH309" s="1605" t="s">
        <v>1594</v>
      </c>
      <c r="HI309" s="1605" t="s">
        <v>2217</v>
      </c>
      <c r="HJ309" s="1605" t="s">
        <v>2217</v>
      </c>
      <c r="HK309" s="1605" t="s">
        <v>2217</v>
      </c>
      <c r="HL309" s="1605" t="s">
        <v>986</v>
      </c>
      <c r="HM309" s="1605" t="s">
        <v>2217</v>
      </c>
      <c r="HN309" s="1605" t="s">
        <v>2217</v>
      </c>
      <c r="HO309" s="1605" t="s">
        <v>986</v>
      </c>
      <c r="HP309" s="1605" t="s">
        <v>986</v>
      </c>
      <c r="HQ309" s="1605" t="s">
        <v>986</v>
      </c>
      <c r="HR309" s="1605" t="s">
        <v>986</v>
      </c>
      <c r="HS309" s="1605" t="s">
        <v>986</v>
      </c>
      <c r="HT309" s="1605" t="s">
        <v>986</v>
      </c>
      <c r="HU309" s="1605" t="s">
        <v>986</v>
      </c>
      <c r="HV309" s="1617"/>
      <c r="HW309" s="1617" t="s">
        <v>2984</v>
      </c>
      <c r="HX309" s="1617" t="s">
        <v>2983</v>
      </c>
      <c r="HY309" s="1617" t="s">
        <v>2982</v>
      </c>
      <c r="HZ309" s="1603"/>
      <c r="IA309" s="1603"/>
      <c r="IB309" s="1603"/>
      <c r="IC309" s="1603">
        <v>58</v>
      </c>
      <c r="ID309" s="1603">
        <v>58</v>
      </c>
      <c r="IE309" s="1603">
        <v>58</v>
      </c>
      <c r="IF309" s="1603">
        <v>58</v>
      </c>
      <c r="IG309" s="1611" t="s">
        <v>2981</v>
      </c>
      <c r="IH309" s="1616" t="s">
        <v>2980</v>
      </c>
      <c r="II309" s="1615" t="s">
        <v>2979</v>
      </c>
      <c r="IJ309" s="1613">
        <v>0.65030061349693247</v>
      </c>
      <c r="IK309" s="1613">
        <v>0.59406339468302671</v>
      </c>
      <c r="IL309" s="1614">
        <v>0.65030061349693247</v>
      </c>
      <c r="IM309" s="1614">
        <v>0.59406339468302671</v>
      </c>
      <c r="IN309" s="1612" t="s">
        <v>270</v>
      </c>
      <c r="IO309" s="1613" t="s">
        <v>270</v>
      </c>
      <c r="IP309" s="1607" t="s">
        <v>270</v>
      </c>
      <c r="IQ309" s="1612" t="s">
        <v>270</v>
      </c>
      <c r="IR309" s="1612" t="s">
        <v>270</v>
      </c>
      <c r="IS309" s="1607">
        <v>0.47730061349693254</v>
      </c>
      <c r="IT309" s="1607">
        <v>0.42106339468302667</v>
      </c>
      <c r="IU309" s="1611">
        <v>0</v>
      </c>
      <c r="IV309" s="1611">
        <v>1.6359918200409E-3</v>
      </c>
      <c r="IW309" s="1611">
        <v>2.044989775051125E-4</v>
      </c>
      <c r="IX309" s="1611">
        <v>1.0224948875255625E-3</v>
      </c>
      <c r="IY309" s="1611">
        <v>2.044989775051125E-4</v>
      </c>
      <c r="IZ309" s="1611">
        <v>7.770961145194274E-3</v>
      </c>
      <c r="JA309" s="1611">
        <v>0</v>
      </c>
      <c r="JB309" s="1611" t="s">
        <v>270</v>
      </c>
      <c r="JC309" s="1611">
        <v>3.2310838445807774E-2</v>
      </c>
      <c r="JD309" s="1611">
        <v>8.1799591002045002E-4</v>
      </c>
      <c r="JE309" s="1611" t="s">
        <v>270</v>
      </c>
      <c r="JF309" s="1611">
        <v>0</v>
      </c>
      <c r="JG309" s="1611">
        <v>0.67402862985685086</v>
      </c>
      <c r="JH309" s="1611">
        <v>0</v>
      </c>
      <c r="JI309" s="1611">
        <v>2.2085889570552148E-2</v>
      </c>
      <c r="JJ309" s="1611" t="s">
        <v>270</v>
      </c>
      <c r="JK309" s="1607">
        <f t="shared" si="13"/>
        <v>0.17299999999999993</v>
      </c>
      <c r="JL309" s="1608" t="s">
        <v>270</v>
      </c>
      <c r="JM309" s="1610" t="s">
        <v>2924</v>
      </c>
      <c r="JN309" s="1608">
        <v>5.6237218813905865E-2</v>
      </c>
      <c r="JO309" s="1609" t="s">
        <v>2955</v>
      </c>
      <c r="JP309" s="1608" t="s">
        <v>270</v>
      </c>
      <c r="JQ309" s="1607">
        <v>202103</v>
      </c>
      <c r="JR309" s="1606">
        <v>191</v>
      </c>
      <c r="JS309" s="1606">
        <v>211</v>
      </c>
      <c r="JT309" s="1606">
        <v>211</v>
      </c>
    </row>
    <row r="310" spans="1:280" ht="15" customHeight="1" x14ac:dyDescent="0.2">
      <c r="A310" s="1626">
        <v>77006</v>
      </c>
      <c r="B310" s="1625">
        <v>770</v>
      </c>
      <c r="C310" s="1624">
        <v>6</v>
      </c>
      <c r="D310" s="1623" t="s">
        <v>3000</v>
      </c>
      <c r="E310" s="1622">
        <v>44439</v>
      </c>
      <c r="F310" s="1620">
        <v>6.6361408871080205E-2</v>
      </c>
      <c r="G310" s="1620">
        <v>6.3837372961335861E-2</v>
      </c>
      <c r="H310" s="1621">
        <v>99</v>
      </c>
      <c r="I310" s="1621">
        <v>98</v>
      </c>
      <c r="J310" s="1621">
        <v>98</v>
      </c>
      <c r="K310" s="1620">
        <v>0.86</v>
      </c>
      <c r="L310" s="1620">
        <v>5.4</v>
      </c>
      <c r="M310" s="1620">
        <v>0.96120000000000017</v>
      </c>
      <c r="N310" s="1620">
        <v>0.32940000000000003</v>
      </c>
      <c r="O310" s="1620">
        <v>0.72360000000000013</v>
      </c>
      <c r="P310" s="1620">
        <v>0</v>
      </c>
      <c r="Q310" s="1603"/>
      <c r="R310" s="1620">
        <v>85</v>
      </c>
      <c r="S310" s="1620">
        <v>58</v>
      </c>
      <c r="T310" s="1620">
        <v>58</v>
      </c>
      <c r="U310" s="1620">
        <v>58</v>
      </c>
      <c r="V310" s="1620">
        <v>58</v>
      </c>
      <c r="W310" s="1620">
        <v>58</v>
      </c>
      <c r="X310" s="1620"/>
      <c r="Y310" s="1620">
        <v>29.8</v>
      </c>
      <c r="Z310" s="1620">
        <v>14.5</v>
      </c>
      <c r="AA310" s="1620">
        <v>7.2</v>
      </c>
      <c r="AB310" s="1620">
        <v>14.5</v>
      </c>
      <c r="AC310" s="1620">
        <v>27.6</v>
      </c>
      <c r="AD310" s="1620">
        <v>2.6</v>
      </c>
      <c r="AE310" s="1620">
        <v>0</v>
      </c>
      <c r="AF310" s="1620">
        <v>91.999999999999986</v>
      </c>
      <c r="AG310" s="1620">
        <v>22.000000000000046</v>
      </c>
      <c r="AH310" s="1620">
        <v>3.0000000000000058</v>
      </c>
      <c r="AI310" s="1620">
        <v>16.999999999999996</v>
      </c>
      <c r="AJ310" s="1620">
        <v>0</v>
      </c>
      <c r="AK310" s="1620">
        <v>4.9999999999999906E-2</v>
      </c>
      <c r="AL310" s="1620"/>
      <c r="AM310" s="1620">
        <v>6.1</v>
      </c>
      <c r="AN310" s="1620">
        <v>1.5</v>
      </c>
      <c r="AO310" s="1620">
        <v>2</v>
      </c>
      <c r="AP310" s="1620">
        <v>5.4</v>
      </c>
      <c r="AQ310" s="1620">
        <v>1.1000000000000001</v>
      </c>
      <c r="AR310" s="1620">
        <v>5.7</v>
      </c>
      <c r="AS310" s="1620">
        <v>8.1</v>
      </c>
      <c r="AT310" s="1620">
        <v>1.2</v>
      </c>
      <c r="AU310" s="1620">
        <v>2.6</v>
      </c>
      <c r="AV310" s="1620">
        <v>2</v>
      </c>
      <c r="AW310" s="1620">
        <v>5</v>
      </c>
      <c r="AX310" s="1620"/>
      <c r="AY310" s="1620">
        <v>0.89</v>
      </c>
      <c r="AZ310" s="1620">
        <v>1.06</v>
      </c>
      <c r="BA310" s="1620">
        <v>1.04</v>
      </c>
      <c r="BB310" s="1620">
        <v>1.01</v>
      </c>
      <c r="BC310" s="1620">
        <v>1.08</v>
      </c>
      <c r="BD310" s="1620">
        <v>1.05</v>
      </c>
      <c r="BE310" s="1620">
        <v>1.0900000000000001</v>
      </c>
      <c r="BF310" s="1620">
        <v>1.05</v>
      </c>
      <c r="BG310" s="1620">
        <v>1.02</v>
      </c>
      <c r="BH310" s="1620">
        <v>1.1200000000000001</v>
      </c>
      <c r="BI310" s="1620">
        <v>1.05</v>
      </c>
      <c r="BJ310" s="1603"/>
      <c r="BK310" s="1620">
        <v>17.799999999999986</v>
      </c>
      <c r="BL310" s="1620">
        <v>6.0999999999999943</v>
      </c>
      <c r="BM310" s="1620">
        <v>13.399999999999988</v>
      </c>
      <c r="BN310" s="1620">
        <v>0</v>
      </c>
      <c r="BO310" s="1620"/>
      <c r="BP310" s="1620">
        <v>34</v>
      </c>
      <c r="BQ310" s="1620">
        <v>10.540000000000003</v>
      </c>
      <c r="BR310" s="1620">
        <v>1.2289149790940765</v>
      </c>
      <c r="BS310" s="1620">
        <v>1.1821735733580703</v>
      </c>
      <c r="BT310" s="1603"/>
      <c r="BU310" s="1620">
        <v>866.00000000000011</v>
      </c>
      <c r="BV310" s="1620">
        <v>623.81857142857166</v>
      </c>
      <c r="BW310" s="1620">
        <v>12.371428571428574</v>
      </c>
      <c r="BX310" s="1620">
        <v>0</v>
      </c>
      <c r="BY310" s="1620" t="s">
        <v>270</v>
      </c>
      <c r="BZ310" s="1620">
        <v>0</v>
      </c>
      <c r="CA310" s="1620">
        <v>0</v>
      </c>
      <c r="CB310" s="1603"/>
      <c r="CC310" s="1603">
        <v>1.6092000000000002</v>
      </c>
      <c r="CD310" s="1603">
        <v>0.78300000000000014</v>
      </c>
      <c r="CE310" s="1603">
        <v>0.38880000000000003</v>
      </c>
      <c r="CF310" s="1603">
        <v>0.78300000000000014</v>
      </c>
      <c r="CG310" s="1603">
        <v>1.4904000000000002</v>
      </c>
      <c r="CH310" s="1603">
        <v>0.14040000000000002</v>
      </c>
      <c r="CI310" s="1603">
        <v>0</v>
      </c>
      <c r="CJ310" s="1603"/>
      <c r="CK310" s="1603">
        <v>4.968</v>
      </c>
      <c r="CL310" s="1603">
        <v>1.1880000000000026</v>
      </c>
      <c r="CM310" s="1603">
        <v>0.16200000000000034</v>
      </c>
      <c r="CN310" s="1603">
        <v>0.91799999999999993</v>
      </c>
      <c r="CO310" s="1603">
        <v>0</v>
      </c>
      <c r="CP310" s="1603">
        <v>2.6999999999999954E-3</v>
      </c>
      <c r="CQ310" s="1603">
        <v>8.1702000000000012</v>
      </c>
      <c r="CR310" s="1603">
        <v>123.11673514756423</v>
      </c>
      <c r="CS310" s="1603">
        <v>6.6840075511612627</v>
      </c>
      <c r="CT310" s="1603">
        <v>1.9575560888462715</v>
      </c>
      <c r="CU310" s="1603">
        <v>2.5608280910693364</v>
      </c>
      <c r="CV310" s="1603">
        <v>4.5183841799156079</v>
      </c>
      <c r="CW310" s="1603">
        <v>6.714786734948154</v>
      </c>
      <c r="CX310" s="1603">
        <v>1.4626268135530636</v>
      </c>
      <c r="CY310" s="1603">
        <v>7.3685365985817199</v>
      </c>
      <c r="CZ310" s="1603">
        <v>10.869976546178448</v>
      </c>
      <c r="DA310" s="1603">
        <v>1.5512708628593093</v>
      </c>
      <c r="DB310" s="1603">
        <v>3.2650558161134038</v>
      </c>
      <c r="DC310" s="1603">
        <v>2.7578148673054392</v>
      </c>
      <c r="DD310" s="1603">
        <v>6.0228706834188426</v>
      </c>
      <c r="DE310" s="1603">
        <v>6.4636285952471226</v>
      </c>
      <c r="DF310" s="1603">
        <v>0</v>
      </c>
      <c r="DG310" s="1603">
        <v>0</v>
      </c>
      <c r="DH310" s="1603">
        <v>0</v>
      </c>
      <c r="DI310" s="1603">
        <v>0</v>
      </c>
      <c r="DJ310" s="1603">
        <v>0</v>
      </c>
      <c r="DK310" s="1603">
        <v>0</v>
      </c>
      <c r="DL310" s="1603">
        <v>0</v>
      </c>
      <c r="DM310" s="1603">
        <v>0</v>
      </c>
      <c r="DN310" s="1603">
        <v>0</v>
      </c>
      <c r="DO310" s="1603">
        <v>0</v>
      </c>
      <c r="DP310" s="1603">
        <v>0</v>
      </c>
      <c r="DQ310" s="1603">
        <v>0</v>
      </c>
      <c r="DR310" s="1603">
        <v>0</v>
      </c>
      <c r="DS310" s="1603">
        <v>0</v>
      </c>
      <c r="DT310" s="1603">
        <v>0</v>
      </c>
      <c r="DU310" s="1603">
        <v>0</v>
      </c>
      <c r="DV310" s="1603">
        <v>0</v>
      </c>
      <c r="DW310" s="1618" t="s">
        <v>2975</v>
      </c>
      <c r="DX310" s="1605">
        <v>7</v>
      </c>
      <c r="DY310" s="1605">
        <v>6</v>
      </c>
      <c r="DZ310" s="1605">
        <v>6</v>
      </c>
      <c r="EA310" s="1605">
        <v>6</v>
      </c>
      <c r="EB310" s="1605" t="s">
        <v>986</v>
      </c>
      <c r="EC310" s="1605" t="s">
        <v>986</v>
      </c>
      <c r="ED310" s="1605" t="s">
        <v>986</v>
      </c>
      <c r="EE310" s="1605" t="s">
        <v>986</v>
      </c>
      <c r="EF310" s="1605" t="s">
        <v>986</v>
      </c>
      <c r="EG310" s="1605" t="s">
        <v>986</v>
      </c>
      <c r="EH310" s="1605">
        <v>1</v>
      </c>
      <c r="EI310" s="1605">
        <v>1</v>
      </c>
      <c r="EJ310" s="1605">
        <v>1</v>
      </c>
      <c r="EK310" s="1605">
        <v>1</v>
      </c>
      <c r="EL310" s="1605">
        <v>1</v>
      </c>
      <c r="EM310" s="1605">
        <v>1</v>
      </c>
      <c r="EN310" s="1605">
        <v>1</v>
      </c>
      <c r="EO310" s="1605">
        <v>1</v>
      </c>
      <c r="EP310" s="1605">
        <v>1</v>
      </c>
      <c r="EQ310" s="1605">
        <v>1</v>
      </c>
      <c r="ER310" s="1605">
        <v>1</v>
      </c>
      <c r="ES310" s="1605">
        <v>6</v>
      </c>
      <c r="ET310" s="1605">
        <v>6</v>
      </c>
      <c r="EU310" s="1605">
        <v>6</v>
      </c>
      <c r="EV310" s="1605" t="s">
        <v>986</v>
      </c>
      <c r="EW310" s="1605">
        <v>6</v>
      </c>
      <c r="EX310" s="1605">
        <v>6</v>
      </c>
      <c r="EY310" s="1605" t="s">
        <v>986</v>
      </c>
      <c r="EZ310" s="1605" t="s">
        <v>986</v>
      </c>
      <c r="FA310" s="1605" t="s">
        <v>986</v>
      </c>
      <c r="FB310" s="1605" t="s">
        <v>986</v>
      </c>
      <c r="FC310" s="1605" t="s">
        <v>986</v>
      </c>
      <c r="FD310" s="1605" t="s">
        <v>986</v>
      </c>
      <c r="FE310" s="1605" t="s">
        <v>986</v>
      </c>
      <c r="FF310" s="1605">
        <v>0.91094142825666102</v>
      </c>
      <c r="FG310" s="1605">
        <v>4.9722411650329814</v>
      </c>
      <c r="FH310" s="1605">
        <v>2.0402281085399583</v>
      </c>
      <c r="FI310" s="1605">
        <v>2.6801889004315238</v>
      </c>
      <c r="FJ310" s="1605" t="s">
        <v>986</v>
      </c>
      <c r="FK310" s="1605" t="s">
        <v>986</v>
      </c>
      <c r="FL310" s="1605" t="s">
        <v>986</v>
      </c>
      <c r="FM310" s="1605" t="s">
        <v>986</v>
      </c>
      <c r="FN310" s="1605" t="s">
        <v>986</v>
      </c>
      <c r="FO310" s="1605" t="s">
        <v>986</v>
      </c>
      <c r="FP310" s="1605" t="s">
        <v>986</v>
      </c>
      <c r="FQ310" s="1605" t="s">
        <v>986</v>
      </c>
      <c r="FR310" s="1605" t="s">
        <v>986</v>
      </c>
      <c r="FS310" s="1605" t="s">
        <v>986</v>
      </c>
      <c r="FT310" s="1605" t="s">
        <v>986</v>
      </c>
      <c r="FU310" s="1605" t="s">
        <v>986</v>
      </c>
      <c r="FV310" s="1605" t="s">
        <v>986</v>
      </c>
      <c r="FW310" s="1605" t="s">
        <v>986</v>
      </c>
      <c r="FX310" s="1605" t="s">
        <v>986</v>
      </c>
      <c r="FY310" s="1605" t="s">
        <v>986</v>
      </c>
      <c r="FZ310" s="1605" t="s">
        <v>986</v>
      </c>
      <c r="GA310" s="1605">
        <v>11.322942971476046</v>
      </c>
      <c r="GB310" s="1605">
        <v>3.3824279268143451</v>
      </c>
      <c r="GC310" s="1605">
        <v>0.78776153111370839</v>
      </c>
      <c r="GD310" s="1605">
        <v>1.2436184594038118</v>
      </c>
      <c r="GE310" s="1605">
        <v>3.8666871122277962</v>
      </c>
      <c r="GF310" s="1605">
        <v>0.65435984809450587</v>
      </c>
      <c r="GG310" s="1605" t="s">
        <v>986</v>
      </c>
      <c r="GH310" s="1605" t="s">
        <v>986</v>
      </c>
      <c r="GI310" s="1605" t="s">
        <v>986</v>
      </c>
      <c r="GJ310" s="1605" t="s">
        <v>986</v>
      </c>
      <c r="GK310" s="1605" t="s">
        <v>986</v>
      </c>
      <c r="GL310" s="1605" t="s">
        <v>986</v>
      </c>
      <c r="GM310" s="1605" t="s">
        <v>986</v>
      </c>
      <c r="GN310" s="1605" t="s">
        <v>2217</v>
      </c>
      <c r="GO310" s="1605" t="s">
        <v>2217</v>
      </c>
      <c r="GP310" s="1605" t="s">
        <v>2217</v>
      </c>
      <c r="GQ310" s="1605" t="s">
        <v>2217</v>
      </c>
      <c r="GR310" s="1605" t="s">
        <v>986</v>
      </c>
      <c r="GS310" s="1605" t="s">
        <v>986</v>
      </c>
      <c r="GT310" s="1605" t="s">
        <v>986</v>
      </c>
      <c r="GU310" s="1605" t="s">
        <v>986</v>
      </c>
      <c r="GV310" s="1605" t="s">
        <v>986</v>
      </c>
      <c r="GW310" s="1605" t="s">
        <v>986</v>
      </c>
      <c r="GX310" s="1605" t="s">
        <v>1594</v>
      </c>
      <c r="GY310" s="1605" t="s">
        <v>1594</v>
      </c>
      <c r="GZ310" s="1605" t="s">
        <v>1594</v>
      </c>
      <c r="HA310" s="1605" t="s">
        <v>1594</v>
      </c>
      <c r="HB310" s="1605" t="s">
        <v>1594</v>
      </c>
      <c r="HC310" s="1605" t="s">
        <v>1594</v>
      </c>
      <c r="HD310" s="1605" t="s">
        <v>1594</v>
      </c>
      <c r="HE310" s="1605" t="s">
        <v>1594</v>
      </c>
      <c r="HF310" s="1605" t="s">
        <v>1594</v>
      </c>
      <c r="HG310" s="1605" t="s">
        <v>1594</v>
      </c>
      <c r="HH310" s="1605" t="s">
        <v>1594</v>
      </c>
      <c r="HI310" s="1605" t="s">
        <v>2217</v>
      </c>
      <c r="HJ310" s="1605" t="s">
        <v>2217</v>
      </c>
      <c r="HK310" s="1605" t="s">
        <v>2217</v>
      </c>
      <c r="HL310" s="1605" t="s">
        <v>986</v>
      </c>
      <c r="HM310" s="1605" t="s">
        <v>2217</v>
      </c>
      <c r="HN310" s="1605" t="s">
        <v>2217</v>
      </c>
      <c r="HO310" s="1605" t="s">
        <v>986</v>
      </c>
      <c r="HP310" s="1605" t="s">
        <v>986</v>
      </c>
      <c r="HQ310" s="1605" t="s">
        <v>986</v>
      </c>
      <c r="HR310" s="1605" t="s">
        <v>986</v>
      </c>
      <c r="HS310" s="1605" t="s">
        <v>986</v>
      </c>
      <c r="HT310" s="1605" t="s">
        <v>986</v>
      </c>
      <c r="HU310" s="1605" t="s">
        <v>986</v>
      </c>
      <c r="HV310" s="1617"/>
      <c r="HW310" s="1617" t="s">
        <v>2984</v>
      </c>
      <c r="HX310" s="1617" t="s">
        <v>2983</v>
      </c>
      <c r="HY310" s="1617" t="s">
        <v>2982</v>
      </c>
      <c r="HZ310" s="1603"/>
      <c r="IA310" s="1603"/>
      <c r="IB310" s="1603"/>
      <c r="IC310" s="1603">
        <v>58</v>
      </c>
      <c r="ID310" s="1603">
        <v>58</v>
      </c>
      <c r="IE310" s="1603">
        <v>58</v>
      </c>
      <c r="IF310" s="1603">
        <v>58</v>
      </c>
      <c r="IG310" s="1611" t="s">
        <v>2981</v>
      </c>
      <c r="IH310" s="1616" t="s">
        <v>2980</v>
      </c>
      <c r="II310" s="1615" t="s">
        <v>2979</v>
      </c>
      <c r="IJ310" s="1613">
        <v>0.65030061349693247</v>
      </c>
      <c r="IK310" s="1613">
        <v>0.59406339468302671</v>
      </c>
      <c r="IL310" s="1614">
        <v>0.65030061349693247</v>
      </c>
      <c r="IM310" s="1614">
        <v>0.59406339468302671</v>
      </c>
      <c r="IN310" s="1612" t="s">
        <v>270</v>
      </c>
      <c r="IO310" s="1613" t="s">
        <v>270</v>
      </c>
      <c r="IP310" s="1607" t="s">
        <v>270</v>
      </c>
      <c r="IQ310" s="1612" t="s">
        <v>270</v>
      </c>
      <c r="IR310" s="1612" t="s">
        <v>270</v>
      </c>
      <c r="IS310" s="1607">
        <v>0.47730061349693254</v>
      </c>
      <c r="IT310" s="1607">
        <v>0.42106339468302667</v>
      </c>
      <c r="IU310" s="1611">
        <v>0</v>
      </c>
      <c r="IV310" s="1611">
        <v>1.6359918200409E-3</v>
      </c>
      <c r="IW310" s="1611">
        <v>2.044989775051125E-4</v>
      </c>
      <c r="IX310" s="1611">
        <v>1.0224948875255625E-3</v>
      </c>
      <c r="IY310" s="1611">
        <v>2.044989775051125E-4</v>
      </c>
      <c r="IZ310" s="1611">
        <v>7.770961145194274E-3</v>
      </c>
      <c r="JA310" s="1611">
        <v>0</v>
      </c>
      <c r="JB310" s="1611" t="s">
        <v>270</v>
      </c>
      <c r="JC310" s="1611">
        <v>3.2310838445807774E-2</v>
      </c>
      <c r="JD310" s="1611">
        <v>8.1799591002045002E-4</v>
      </c>
      <c r="JE310" s="1611" t="s">
        <v>270</v>
      </c>
      <c r="JF310" s="1611">
        <v>0</v>
      </c>
      <c r="JG310" s="1611">
        <v>0.67402862985685086</v>
      </c>
      <c r="JH310" s="1611">
        <v>0</v>
      </c>
      <c r="JI310" s="1611">
        <v>2.2085889570552148E-2</v>
      </c>
      <c r="JJ310" s="1611" t="s">
        <v>270</v>
      </c>
      <c r="JK310" s="1607">
        <f t="shared" si="13"/>
        <v>0.17299999999999993</v>
      </c>
      <c r="JL310" s="1608" t="s">
        <v>270</v>
      </c>
      <c r="JM310" s="1610" t="s">
        <v>2924</v>
      </c>
      <c r="JN310" s="1608">
        <v>5.6237218813905865E-2</v>
      </c>
      <c r="JO310" s="1609" t="s">
        <v>2955</v>
      </c>
      <c r="JP310" s="1608" t="s">
        <v>270</v>
      </c>
      <c r="JQ310" s="1607">
        <v>202103</v>
      </c>
      <c r="JR310" s="1606">
        <v>191</v>
      </c>
      <c r="JS310" s="1606">
        <v>211</v>
      </c>
      <c r="JT310" s="1606">
        <v>211</v>
      </c>
    </row>
    <row r="311" spans="1:280" ht="15" customHeight="1" x14ac:dyDescent="0.2">
      <c r="A311" s="1626">
        <v>77011</v>
      </c>
      <c r="B311" s="1625">
        <v>770</v>
      </c>
      <c r="C311" s="1624">
        <v>11</v>
      </c>
      <c r="D311" s="1623" t="s">
        <v>2999</v>
      </c>
      <c r="E311" s="1622">
        <v>44439</v>
      </c>
      <c r="F311" s="1620">
        <v>7.3933339999999917E-2</v>
      </c>
      <c r="G311" s="1620">
        <v>7.1096426593246664E-2</v>
      </c>
      <c r="H311" s="1621">
        <v>99</v>
      </c>
      <c r="I311" s="1621">
        <v>98</v>
      </c>
      <c r="J311" s="1621">
        <v>98</v>
      </c>
      <c r="K311" s="1620">
        <v>0.86</v>
      </c>
      <c r="L311" s="1620">
        <v>5.0999999999999996</v>
      </c>
      <c r="M311" s="1620">
        <v>1.3005</v>
      </c>
      <c r="N311" s="1620">
        <v>0.70379999999999998</v>
      </c>
      <c r="O311" s="1620">
        <v>0.38759999999999994</v>
      </c>
      <c r="P311" s="1620">
        <v>0</v>
      </c>
      <c r="Q311" s="1603"/>
      <c r="R311" s="1620">
        <v>85</v>
      </c>
      <c r="S311" s="1620">
        <v>58</v>
      </c>
      <c r="T311" s="1620">
        <v>58</v>
      </c>
      <c r="U311" s="1620">
        <v>58</v>
      </c>
      <c r="V311" s="1620">
        <v>58</v>
      </c>
      <c r="W311" s="1620">
        <v>58</v>
      </c>
      <c r="X311" s="1620"/>
      <c r="Y311" s="1620">
        <v>14.8</v>
      </c>
      <c r="Z311" s="1620">
        <v>9.9</v>
      </c>
      <c r="AA311" s="1620">
        <v>4.4000000000000004</v>
      </c>
      <c r="AB311" s="1620">
        <v>2.2999999999999998</v>
      </c>
      <c r="AC311" s="1620">
        <v>15.3</v>
      </c>
      <c r="AD311" s="1620">
        <v>1.3</v>
      </c>
      <c r="AE311" s="1620">
        <v>0</v>
      </c>
      <c r="AF311" s="1620">
        <v>92</v>
      </c>
      <c r="AG311" s="1620">
        <v>22</v>
      </c>
      <c r="AH311" s="1620">
        <v>3</v>
      </c>
      <c r="AI311" s="1620">
        <v>17</v>
      </c>
      <c r="AJ311" s="1620">
        <v>0</v>
      </c>
      <c r="AK311" s="1620">
        <v>4.9999999999999996E-2</v>
      </c>
      <c r="AL311" s="1620"/>
      <c r="AM311" s="1620">
        <v>6.1</v>
      </c>
      <c r="AN311" s="1620">
        <v>1.5</v>
      </c>
      <c r="AO311" s="1620">
        <v>2</v>
      </c>
      <c r="AP311" s="1620">
        <v>5.4</v>
      </c>
      <c r="AQ311" s="1620">
        <v>1.1000000000000001</v>
      </c>
      <c r="AR311" s="1620">
        <v>5.7</v>
      </c>
      <c r="AS311" s="1620">
        <v>8.1</v>
      </c>
      <c r="AT311" s="1620">
        <v>1.2</v>
      </c>
      <c r="AU311" s="1620">
        <v>2.6</v>
      </c>
      <c r="AV311" s="1620">
        <v>2</v>
      </c>
      <c r="AW311" s="1620">
        <v>5</v>
      </c>
      <c r="AX311" s="1620"/>
      <c r="AY311" s="1620">
        <v>0.89</v>
      </c>
      <c r="AZ311" s="1620">
        <v>1.06</v>
      </c>
      <c r="BA311" s="1620">
        <v>1.04</v>
      </c>
      <c r="BB311" s="1620">
        <v>1.01</v>
      </c>
      <c r="BC311" s="1620">
        <v>1.08</v>
      </c>
      <c r="BD311" s="1620">
        <v>1.05</v>
      </c>
      <c r="BE311" s="1620">
        <v>1.0900000000000001</v>
      </c>
      <c r="BF311" s="1620">
        <v>1.05</v>
      </c>
      <c r="BG311" s="1620">
        <v>1.02</v>
      </c>
      <c r="BH311" s="1620">
        <v>1.1200000000000001</v>
      </c>
      <c r="BI311" s="1620">
        <v>1.05</v>
      </c>
      <c r="BJ311" s="1603"/>
      <c r="BK311" s="1620">
        <v>25.500000000000032</v>
      </c>
      <c r="BL311" s="1620">
        <v>13.800000000000015</v>
      </c>
      <c r="BM311" s="1620">
        <v>7.6000000000000068</v>
      </c>
      <c r="BN311" s="1620">
        <v>0</v>
      </c>
      <c r="BO311" s="1620"/>
      <c r="BP311" s="1620">
        <v>34</v>
      </c>
      <c r="BQ311" s="1620">
        <v>19.38</v>
      </c>
      <c r="BR311" s="1620">
        <v>1.4496733333333334</v>
      </c>
      <c r="BS311" s="1620">
        <v>1.3940475802597403</v>
      </c>
      <c r="BT311" s="1603"/>
      <c r="BU311" s="1620">
        <v>923.99999999999989</v>
      </c>
      <c r="BV311" s="1620">
        <v>535.64999999999941</v>
      </c>
      <c r="BW311" s="1620">
        <v>13.199999999999998</v>
      </c>
      <c r="BX311" s="1620">
        <v>0</v>
      </c>
      <c r="BY311" s="1620" t="s">
        <v>270</v>
      </c>
      <c r="BZ311" s="1620">
        <v>0</v>
      </c>
      <c r="CA311" s="1620">
        <v>0</v>
      </c>
      <c r="CB311" s="1603"/>
      <c r="CC311" s="1603">
        <v>0.75480000000000003</v>
      </c>
      <c r="CD311" s="1603">
        <v>0.50490000000000002</v>
      </c>
      <c r="CE311" s="1603">
        <v>0.22440000000000002</v>
      </c>
      <c r="CF311" s="1603">
        <v>0.11729999999999999</v>
      </c>
      <c r="CG311" s="1603">
        <v>0.78029999999999999</v>
      </c>
      <c r="CH311" s="1603">
        <v>6.6299999999999998E-2</v>
      </c>
      <c r="CI311" s="1603">
        <v>0</v>
      </c>
      <c r="CJ311" s="1603"/>
      <c r="CK311" s="1603">
        <v>4.6919999999999993</v>
      </c>
      <c r="CL311" s="1603">
        <v>1.1219999999999999</v>
      </c>
      <c r="CM311" s="1603">
        <v>0.153</v>
      </c>
      <c r="CN311" s="1603">
        <v>0.86699999999999999</v>
      </c>
      <c r="CO311" s="1603">
        <v>0</v>
      </c>
      <c r="CP311" s="1603">
        <v>2.5499999999999997E-3</v>
      </c>
      <c r="CQ311" s="1603">
        <v>11.05425</v>
      </c>
      <c r="CR311" s="1603">
        <v>149.51644278481146</v>
      </c>
      <c r="CS311" s="1603">
        <v>8.1172476787874128</v>
      </c>
      <c r="CT311" s="1603">
        <v>2.3773114402785027</v>
      </c>
      <c r="CU311" s="1603">
        <v>3.1099420099240782</v>
      </c>
      <c r="CV311" s="1603">
        <v>5.4872534502025809</v>
      </c>
      <c r="CW311" s="1603">
        <v>8.1546267894836166</v>
      </c>
      <c r="CX311" s="1603">
        <v>1.7762553402835608</v>
      </c>
      <c r="CY311" s="1603">
        <v>8.9485591006709644</v>
      </c>
      <c r="CZ311" s="1603">
        <v>13.200806733471005</v>
      </c>
      <c r="DA311" s="1603">
        <v>1.8839071790886242</v>
      </c>
      <c r="DB311" s="1603">
        <v>3.9651760626531991</v>
      </c>
      <c r="DC311" s="1603">
        <v>3.3491683183797769</v>
      </c>
      <c r="DD311" s="1603">
        <v>7.314344381032976</v>
      </c>
      <c r="DE311" s="1603">
        <v>7.8496132462026003</v>
      </c>
      <c r="DF311" s="1603">
        <v>0</v>
      </c>
      <c r="DG311" s="1603">
        <v>0</v>
      </c>
      <c r="DH311" s="1603">
        <v>0</v>
      </c>
      <c r="DI311" s="1603">
        <v>0</v>
      </c>
      <c r="DJ311" s="1603">
        <v>0</v>
      </c>
      <c r="DK311" s="1603">
        <v>0</v>
      </c>
      <c r="DL311" s="1603">
        <v>0</v>
      </c>
      <c r="DM311" s="1603">
        <v>0</v>
      </c>
      <c r="DN311" s="1603">
        <v>0</v>
      </c>
      <c r="DO311" s="1603">
        <v>0</v>
      </c>
      <c r="DP311" s="1603">
        <v>0</v>
      </c>
      <c r="DQ311" s="1603">
        <v>0</v>
      </c>
      <c r="DR311" s="1603">
        <v>0</v>
      </c>
      <c r="DS311" s="1603">
        <v>0</v>
      </c>
      <c r="DT311" s="1603">
        <v>0</v>
      </c>
      <c r="DU311" s="1603">
        <v>0</v>
      </c>
      <c r="DV311" s="1603">
        <v>0</v>
      </c>
      <c r="DW311" s="1618" t="s">
        <v>2975</v>
      </c>
      <c r="DX311" s="1605">
        <v>8</v>
      </c>
      <c r="DY311" s="1605">
        <v>6</v>
      </c>
      <c r="DZ311" s="1605">
        <v>6</v>
      </c>
      <c r="EA311" s="1605">
        <v>8</v>
      </c>
      <c r="EB311" s="1605" t="s">
        <v>986</v>
      </c>
      <c r="EC311" s="1605" t="s">
        <v>986</v>
      </c>
      <c r="ED311" s="1605" t="s">
        <v>986</v>
      </c>
      <c r="EE311" s="1605" t="s">
        <v>986</v>
      </c>
      <c r="EF311" s="1605" t="s">
        <v>986</v>
      </c>
      <c r="EG311" s="1605" t="s">
        <v>986</v>
      </c>
      <c r="EH311" s="1605">
        <v>1</v>
      </c>
      <c r="EI311" s="1605">
        <v>1</v>
      </c>
      <c r="EJ311" s="1605">
        <v>1</v>
      </c>
      <c r="EK311" s="1605">
        <v>1</v>
      </c>
      <c r="EL311" s="1605">
        <v>1</v>
      </c>
      <c r="EM311" s="1605">
        <v>1</v>
      </c>
      <c r="EN311" s="1605">
        <v>1</v>
      </c>
      <c r="EO311" s="1605">
        <v>1</v>
      </c>
      <c r="EP311" s="1605">
        <v>1</v>
      </c>
      <c r="EQ311" s="1605">
        <v>1</v>
      </c>
      <c r="ER311" s="1605">
        <v>1</v>
      </c>
      <c r="ES311" s="1605">
        <v>6</v>
      </c>
      <c r="ET311" s="1605">
        <v>6</v>
      </c>
      <c r="EU311" s="1605">
        <v>6</v>
      </c>
      <c r="EV311" s="1605" t="s">
        <v>986</v>
      </c>
      <c r="EW311" s="1605">
        <v>6</v>
      </c>
      <c r="EX311" s="1605">
        <v>6</v>
      </c>
      <c r="EY311" s="1605" t="s">
        <v>986</v>
      </c>
      <c r="EZ311" s="1605" t="s">
        <v>986</v>
      </c>
      <c r="FA311" s="1605" t="s">
        <v>986</v>
      </c>
      <c r="FB311" s="1605" t="s">
        <v>986</v>
      </c>
      <c r="FC311" s="1605" t="s">
        <v>986</v>
      </c>
      <c r="FD311" s="1605" t="s">
        <v>986</v>
      </c>
      <c r="FE311" s="1605" t="s">
        <v>986</v>
      </c>
      <c r="FF311" s="1605">
        <v>1.1230880578629112</v>
      </c>
      <c r="FG311" s="1605">
        <v>11.34261011712471</v>
      </c>
      <c r="FH311" s="1605">
        <v>7.0760719938842067</v>
      </c>
      <c r="FI311" s="1605">
        <v>1.5076467820658981</v>
      </c>
      <c r="FJ311" s="1605" t="s">
        <v>986</v>
      </c>
      <c r="FK311" s="1605" t="s">
        <v>986</v>
      </c>
      <c r="FL311" s="1605" t="s">
        <v>986</v>
      </c>
      <c r="FM311" s="1605" t="s">
        <v>986</v>
      </c>
      <c r="FN311" s="1605" t="s">
        <v>986</v>
      </c>
      <c r="FO311" s="1605" t="s">
        <v>986</v>
      </c>
      <c r="FP311" s="1605" t="s">
        <v>986</v>
      </c>
      <c r="FQ311" s="1605" t="s">
        <v>986</v>
      </c>
      <c r="FR311" s="1605" t="s">
        <v>986</v>
      </c>
      <c r="FS311" s="1605" t="s">
        <v>986</v>
      </c>
      <c r="FT311" s="1605" t="s">
        <v>986</v>
      </c>
      <c r="FU311" s="1605" t="s">
        <v>986</v>
      </c>
      <c r="FV311" s="1605" t="s">
        <v>986</v>
      </c>
      <c r="FW311" s="1605" t="s">
        <v>986</v>
      </c>
      <c r="FX311" s="1605" t="s">
        <v>986</v>
      </c>
      <c r="FY311" s="1605" t="s">
        <v>986</v>
      </c>
      <c r="FZ311" s="1605" t="s">
        <v>986</v>
      </c>
      <c r="GA311" s="1605">
        <v>1.935694369712921</v>
      </c>
      <c r="GB311" s="1605">
        <v>1.1068291364783585</v>
      </c>
      <c r="GC311" s="1605">
        <v>1.0155494096277042</v>
      </c>
      <c r="GD311" s="1605">
        <v>3.2829192872734949</v>
      </c>
      <c r="GE311" s="1605">
        <v>4.1537896034774198</v>
      </c>
      <c r="GF311" s="1605">
        <v>0.20118829856169296</v>
      </c>
      <c r="GG311" s="1605" t="s">
        <v>986</v>
      </c>
      <c r="GH311" s="1605" t="s">
        <v>986</v>
      </c>
      <c r="GI311" s="1605" t="s">
        <v>986</v>
      </c>
      <c r="GJ311" s="1605" t="s">
        <v>986</v>
      </c>
      <c r="GK311" s="1605" t="s">
        <v>986</v>
      </c>
      <c r="GL311" s="1605" t="s">
        <v>986</v>
      </c>
      <c r="GM311" s="1605" t="s">
        <v>986</v>
      </c>
      <c r="GN311" s="1605" t="s">
        <v>2217</v>
      </c>
      <c r="GO311" s="1605" t="s">
        <v>2217</v>
      </c>
      <c r="GP311" s="1605" t="s">
        <v>2217</v>
      </c>
      <c r="GQ311" s="1605" t="s">
        <v>2217</v>
      </c>
      <c r="GR311" s="1605" t="s">
        <v>986</v>
      </c>
      <c r="GS311" s="1605" t="s">
        <v>986</v>
      </c>
      <c r="GT311" s="1605" t="s">
        <v>986</v>
      </c>
      <c r="GU311" s="1605" t="s">
        <v>986</v>
      </c>
      <c r="GV311" s="1605" t="s">
        <v>986</v>
      </c>
      <c r="GW311" s="1605" t="s">
        <v>986</v>
      </c>
      <c r="GX311" s="1605" t="s">
        <v>1594</v>
      </c>
      <c r="GY311" s="1605" t="s">
        <v>1594</v>
      </c>
      <c r="GZ311" s="1605" t="s">
        <v>1594</v>
      </c>
      <c r="HA311" s="1605" t="s">
        <v>1594</v>
      </c>
      <c r="HB311" s="1605" t="s">
        <v>1594</v>
      </c>
      <c r="HC311" s="1605" t="s">
        <v>1594</v>
      </c>
      <c r="HD311" s="1605" t="s">
        <v>1594</v>
      </c>
      <c r="HE311" s="1605" t="s">
        <v>1594</v>
      </c>
      <c r="HF311" s="1605" t="s">
        <v>1594</v>
      </c>
      <c r="HG311" s="1605" t="s">
        <v>1594</v>
      </c>
      <c r="HH311" s="1605" t="s">
        <v>1594</v>
      </c>
      <c r="HI311" s="1605" t="s">
        <v>2217</v>
      </c>
      <c r="HJ311" s="1605" t="s">
        <v>2217</v>
      </c>
      <c r="HK311" s="1605" t="s">
        <v>2217</v>
      </c>
      <c r="HL311" s="1605" t="s">
        <v>986</v>
      </c>
      <c r="HM311" s="1605" t="s">
        <v>2217</v>
      </c>
      <c r="HN311" s="1605" t="s">
        <v>2217</v>
      </c>
      <c r="HO311" s="1605" t="s">
        <v>986</v>
      </c>
      <c r="HP311" s="1605" t="s">
        <v>986</v>
      </c>
      <c r="HQ311" s="1605" t="s">
        <v>986</v>
      </c>
      <c r="HR311" s="1605" t="s">
        <v>986</v>
      </c>
      <c r="HS311" s="1605" t="s">
        <v>986</v>
      </c>
      <c r="HT311" s="1605" t="s">
        <v>986</v>
      </c>
      <c r="HU311" s="1605" t="s">
        <v>986</v>
      </c>
      <c r="HV311" s="1617"/>
      <c r="HW311" s="1617" t="s">
        <v>2984</v>
      </c>
      <c r="HX311" s="1617" t="s">
        <v>2983</v>
      </c>
      <c r="HY311" s="1617" t="s">
        <v>2982</v>
      </c>
      <c r="HZ311" s="1603"/>
      <c r="IA311" s="1603"/>
      <c r="IB311" s="1603"/>
      <c r="IC311" s="1603">
        <v>58</v>
      </c>
      <c r="ID311" s="1603">
        <v>58</v>
      </c>
      <c r="IE311" s="1603">
        <v>58</v>
      </c>
      <c r="IF311" s="1603">
        <v>58</v>
      </c>
      <c r="IG311" s="1611" t="s">
        <v>2981</v>
      </c>
      <c r="IH311" s="1616" t="s">
        <v>270</v>
      </c>
      <c r="II311" s="1615" t="s">
        <v>270</v>
      </c>
      <c r="IJ311" s="1613">
        <v>0.65030061349693247</v>
      </c>
      <c r="IK311" s="1613">
        <v>0.59406339468302671</v>
      </c>
      <c r="IL311" s="1614">
        <v>0.65030061349693247</v>
      </c>
      <c r="IM311" s="1614">
        <v>0.59406339468302671</v>
      </c>
      <c r="IN311" s="1612" t="s">
        <v>270</v>
      </c>
      <c r="IO311" s="1613" t="s">
        <v>270</v>
      </c>
      <c r="IP311" s="1607" t="s">
        <v>270</v>
      </c>
      <c r="IQ311" s="1612" t="s">
        <v>270</v>
      </c>
      <c r="IR311" s="1612" t="s">
        <v>270</v>
      </c>
      <c r="IS311" s="1607">
        <v>0.47730061349693254</v>
      </c>
      <c r="IT311" s="1607">
        <v>0.42106339468302667</v>
      </c>
      <c r="IU311" s="1611">
        <v>0</v>
      </c>
      <c r="IV311" s="1611">
        <v>1.6359918200409E-3</v>
      </c>
      <c r="IW311" s="1611">
        <v>2.044989775051125E-4</v>
      </c>
      <c r="IX311" s="1611">
        <v>1.0224948875255625E-3</v>
      </c>
      <c r="IY311" s="1611">
        <v>2.044989775051125E-4</v>
      </c>
      <c r="IZ311" s="1611">
        <v>7.770961145194274E-3</v>
      </c>
      <c r="JA311" s="1611">
        <v>0</v>
      </c>
      <c r="JB311" s="1611" t="s">
        <v>270</v>
      </c>
      <c r="JC311" s="1611">
        <v>3.2310838445807774E-2</v>
      </c>
      <c r="JD311" s="1611">
        <v>8.1799591002045002E-4</v>
      </c>
      <c r="JE311" s="1611" t="s">
        <v>270</v>
      </c>
      <c r="JF311" s="1611">
        <v>0</v>
      </c>
      <c r="JG311" s="1611">
        <v>0.67402862985685086</v>
      </c>
      <c r="JH311" s="1611">
        <v>0</v>
      </c>
      <c r="JI311" s="1611">
        <v>2.2085889570552148E-2</v>
      </c>
      <c r="JJ311" s="1611" t="s">
        <v>270</v>
      </c>
      <c r="JK311" s="1607">
        <f t="shared" si="13"/>
        <v>0.17299999999999993</v>
      </c>
      <c r="JL311" s="1608" t="s">
        <v>270</v>
      </c>
      <c r="JM311" s="1610" t="s">
        <v>2924</v>
      </c>
      <c r="JN311" s="1608">
        <v>5.6237218813905865E-2</v>
      </c>
      <c r="JO311" s="1609" t="s">
        <v>2955</v>
      </c>
      <c r="JP311" s="1608" t="s">
        <v>270</v>
      </c>
      <c r="JQ311" s="1607">
        <v>202103</v>
      </c>
      <c r="JR311" s="1606">
        <v>191</v>
      </c>
      <c r="JS311" s="1606">
        <v>211</v>
      </c>
      <c r="JT311" s="1606">
        <v>211</v>
      </c>
    </row>
    <row r="312" spans="1:280" ht="15" customHeight="1" x14ac:dyDescent="0.2">
      <c r="A312" s="1626">
        <v>77002</v>
      </c>
      <c r="B312" s="1625">
        <v>770</v>
      </c>
      <c r="C312" s="1624">
        <v>2</v>
      </c>
      <c r="D312" s="1623" t="s">
        <v>2998</v>
      </c>
      <c r="E312" s="1622">
        <v>44439</v>
      </c>
      <c r="F312" s="1620">
        <v>4.0361179296167338E-2</v>
      </c>
      <c r="G312" s="1620">
        <v>3.8813893166604906E-2</v>
      </c>
      <c r="H312" s="1621">
        <v>99</v>
      </c>
      <c r="I312" s="1621">
        <v>98</v>
      </c>
      <c r="J312" s="1621">
        <v>98</v>
      </c>
      <c r="K312" s="1620">
        <v>0.86</v>
      </c>
      <c r="L312" s="1620">
        <v>3.4</v>
      </c>
      <c r="M312" s="1620">
        <v>0.64259999999999984</v>
      </c>
      <c r="N312" s="1620">
        <v>0.3876</v>
      </c>
      <c r="O312" s="1620">
        <v>0.79899999999999993</v>
      </c>
      <c r="P312" s="1620">
        <v>0</v>
      </c>
      <c r="Q312" s="1603"/>
      <c r="R312" s="1620">
        <v>85</v>
      </c>
      <c r="S312" s="1620">
        <v>58</v>
      </c>
      <c r="T312" s="1620">
        <v>58</v>
      </c>
      <c r="U312" s="1620">
        <v>58</v>
      </c>
      <c r="V312" s="1620">
        <v>58</v>
      </c>
      <c r="W312" s="1620">
        <v>58</v>
      </c>
      <c r="X312" s="1620"/>
      <c r="Y312" s="1620">
        <v>12.5</v>
      </c>
      <c r="Z312" s="1620">
        <v>8.6</v>
      </c>
      <c r="AA312" s="1620">
        <v>42.5</v>
      </c>
      <c r="AB312" s="1620">
        <v>72</v>
      </c>
      <c r="AC312" s="1620">
        <v>19.2</v>
      </c>
      <c r="AD312" s="1620">
        <v>1.4</v>
      </c>
      <c r="AE312" s="1620">
        <v>0</v>
      </c>
      <c r="AF312" s="1620">
        <v>92</v>
      </c>
      <c r="AG312" s="1620">
        <v>22</v>
      </c>
      <c r="AH312" s="1620">
        <v>3</v>
      </c>
      <c r="AI312" s="1620">
        <v>17</v>
      </c>
      <c r="AJ312" s="1620">
        <v>0</v>
      </c>
      <c r="AK312" s="1620">
        <v>4.9999999999999996E-2</v>
      </c>
      <c r="AL312" s="1620"/>
      <c r="AM312" s="1620">
        <v>6.1</v>
      </c>
      <c r="AN312" s="1620">
        <v>1.5</v>
      </c>
      <c r="AO312" s="1620">
        <v>2</v>
      </c>
      <c r="AP312" s="1620">
        <v>5.4</v>
      </c>
      <c r="AQ312" s="1620">
        <v>1.1000000000000001</v>
      </c>
      <c r="AR312" s="1620">
        <v>5.7</v>
      </c>
      <c r="AS312" s="1620">
        <v>8.1</v>
      </c>
      <c r="AT312" s="1620">
        <v>1.2</v>
      </c>
      <c r="AU312" s="1620">
        <v>2.6</v>
      </c>
      <c r="AV312" s="1620">
        <v>2</v>
      </c>
      <c r="AW312" s="1620">
        <v>5</v>
      </c>
      <c r="AX312" s="1620"/>
      <c r="AY312" s="1620">
        <v>0.89</v>
      </c>
      <c r="AZ312" s="1620">
        <v>1.06</v>
      </c>
      <c r="BA312" s="1620">
        <v>1.04</v>
      </c>
      <c r="BB312" s="1620">
        <v>1.01</v>
      </c>
      <c r="BC312" s="1620">
        <v>1.08</v>
      </c>
      <c r="BD312" s="1620">
        <v>1.05</v>
      </c>
      <c r="BE312" s="1620">
        <v>1.0900000000000001</v>
      </c>
      <c r="BF312" s="1620">
        <v>1.05</v>
      </c>
      <c r="BG312" s="1620">
        <v>1.02</v>
      </c>
      <c r="BH312" s="1620">
        <v>1.1200000000000001</v>
      </c>
      <c r="BI312" s="1620">
        <v>1.05</v>
      </c>
      <c r="BJ312" s="1603"/>
      <c r="BK312" s="1620">
        <v>18.899999999999967</v>
      </c>
      <c r="BL312" s="1620">
        <v>11.399999999999981</v>
      </c>
      <c r="BM312" s="1620">
        <v>23.499999999999957</v>
      </c>
      <c r="BN312" s="1620">
        <v>0</v>
      </c>
      <c r="BO312" s="1620"/>
      <c r="BP312" s="1620">
        <v>34</v>
      </c>
      <c r="BQ312" s="1620">
        <v>19.38</v>
      </c>
      <c r="BR312" s="1620">
        <v>1.1870935087108021</v>
      </c>
      <c r="BS312" s="1620">
        <v>1.1415850931354365</v>
      </c>
      <c r="BT312" s="1603"/>
      <c r="BU312" s="1620">
        <v>765.00000000000045</v>
      </c>
      <c r="BV312" s="1620">
        <v>463.85142857142955</v>
      </c>
      <c r="BW312" s="1620">
        <v>10.928571428571436</v>
      </c>
      <c r="BX312" s="1620">
        <v>0</v>
      </c>
      <c r="BY312" s="1620" t="s">
        <v>270</v>
      </c>
      <c r="BZ312" s="1620">
        <v>0</v>
      </c>
      <c r="CA312" s="1620">
        <v>0</v>
      </c>
      <c r="CB312" s="1603"/>
      <c r="CC312" s="1603">
        <v>0.42500000000000004</v>
      </c>
      <c r="CD312" s="1603">
        <v>0.29239999999999999</v>
      </c>
      <c r="CE312" s="1603">
        <v>1.4450000000000001</v>
      </c>
      <c r="CF312" s="1603">
        <v>2.4480000000000004</v>
      </c>
      <c r="CG312" s="1603">
        <v>0.65280000000000005</v>
      </c>
      <c r="CH312" s="1603">
        <v>4.7600000000000003E-2</v>
      </c>
      <c r="CI312" s="1603">
        <v>0</v>
      </c>
      <c r="CJ312" s="1603"/>
      <c r="CK312" s="1603">
        <v>3.1280000000000001</v>
      </c>
      <c r="CL312" s="1603">
        <v>0.748</v>
      </c>
      <c r="CM312" s="1603">
        <v>0.10200000000000001</v>
      </c>
      <c r="CN312" s="1603">
        <v>0.57800000000000007</v>
      </c>
      <c r="CO312" s="1603">
        <v>0</v>
      </c>
      <c r="CP312" s="1603">
        <v>1.6999999999999999E-3</v>
      </c>
      <c r="CQ312" s="1603">
        <v>5.4620999999999977</v>
      </c>
      <c r="CR312" s="1603">
        <v>135.33053531264568</v>
      </c>
      <c r="CS312" s="1603">
        <v>7.3470947621235352</v>
      </c>
      <c r="CT312" s="1603">
        <v>2.1517555114710674</v>
      </c>
      <c r="CU312" s="1603">
        <v>2.8148751345030307</v>
      </c>
      <c r="CV312" s="1603">
        <v>4.9666306459740976</v>
      </c>
      <c r="CW312" s="1603">
        <v>7.3809273959516961</v>
      </c>
      <c r="CX312" s="1603">
        <v>1.6077267595142313</v>
      </c>
      <c r="CY312" s="1603">
        <v>8.0995325384618457</v>
      </c>
      <c r="CZ312" s="1603">
        <v>11.94833296275349</v>
      </c>
      <c r="DA312" s="1603">
        <v>1.7051647449393361</v>
      </c>
      <c r="DB312" s="1603">
        <v>3.5889657964913639</v>
      </c>
      <c r="DC312" s="1603">
        <v>3.031403991003264</v>
      </c>
      <c r="DD312" s="1603">
        <v>6.6203697874946279</v>
      </c>
      <c r="DE312" s="1603">
        <v>7.1048531039139</v>
      </c>
      <c r="DF312" s="1603">
        <v>0</v>
      </c>
      <c r="DG312" s="1603">
        <v>0</v>
      </c>
      <c r="DH312" s="1603">
        <v>0</v>
      </c>
      <c r="DI312" s="1603">
        <v>0</v>
      </c>
      <c r="DJ312" s="1603">
        <v>0</v>
      </c>
      <c r="DK312" s="1603">
        <v>0</v>
      </c>
      <c r="DL312" s="1603">
        <v>0</v>
      </c>
      <c r="DM312" s="1603">
        <v>0</v>
      </c>
      <c r="DN312" s="1603">
        <v>0</v>
      </c>
      <c r="DO312" s="1603">
        <v>0</v>
      </c>
      <c r="DP312" s="1603">
        <v>0</v>
      </c>
      <c r="DQ312" s="1603">
        <v>0</v>
      </c>
      <c r="DR312" s="1603">
        <v>0</v>
      </c>
      <c r="DS312" s="1603">
        <v>0</v>
      </c>
      <c r="DT312" s="1603">
        <v>0</v>
      </c>
      <c r="DU312" s="1603">
        <v>0</v>
      </c>
      <c r="DV312" s="1603">
        <v>0</v>
      </c>
      <c r="DW312" s="1618" t="s">
        <v>2975</v>
      </c>
      <c r="DX312" s="1605">
        <v>6</v>
      </c>
      <c r="DY312" s="1605">
        <v>6</v>
      </c>
      <c r="DZ312" s="1605">
        <v>6</v>
      </c>
      <c r="EA312" s="1605">
        <v>6</v>
      </c>
      <c r="EB312" s="1605" t="s">
        <v>986</v>
      </c>
      <c r="EC312" s="1605" t="s">
        <v>986</v>
      </c>
      <c r="ED312" s="1605" t="s">
        <v>986</v>
      </c>
      <c r="EE312" s="1605" t="s">
        <v>986</v>
      </c>
      <c r="EF312" s="1605" t="s">
        <v>986</v>
      </c>
      <c r="EG312" s="1605" t="s">
        <v>986</v>
      </c>
      <c r="EH312" s="1605">
        <v>1</v>
      </c>
      <c r="EI312" s="1605">
        <v>1</v>
      </c>
      <c r="EJ312" s="1605">
        <v>1</v>
      </c>
      <c r="EK312" s="1605">
        <v>1</v>
      </c>
      <c r="EL312" s="1605">
        <v>1</v>
      </c>
      <c r="EM312" s="1605">
        <v>1</v>
      </c>
      <c r="EN312" s="1605">
        <v>1</v>
      </c>
      <c r="EO312" s="1605">
        <v>1</v>
      </c>
      <c r="EP312" s="1605">
        <v>1</v>
      </c>
      <c r="EQ312" s="1605">
        <v>1</v>
      </c>
      <c r="ER312" s="1605">
        <v>1</v>
      </c>
      <c r="ES312" s="1605">
        <v>6</v>
      </c>
      <c r="ET312" s="1605">
        <v>6</v>
      </c>
      <c r="EU312" s="1605">
        <v>6</v>
      </c>
      <c r="EV312" s="1605" t="s">
        <v>986</v>
      </c>
      <c r="EW312" s="1605">
        <v>6</v>
      </c>
      <c r="EX312" s="1605">
        <v>6</v>
      </c>
      <c r="EY312" s="1605" t="s">
        <v>986</v>
      </c>
      <c r="EZ312" s="1605" t="s">
        <v>986</v>
      </c>
      <c r="FA312" s="1605" t="s">
        <v>986</v>
      </c>
      <c r="FB312" s="1605" t="s">
        <v>986</v>
      </c>
      <c r="FC312" s="1605" t="s">
        <v>986</v>
      </c>
      <c r="FD312" s="1605" t="s">
        <v>986</v>
      </c>
      <c r="FE312" s="1605" t="s">
        <v>986</v>
      </c>
      <c r="FF312" s="1605">
        <v>0.58956481125205107</v>
      </c>
      <c r="FG312" s="1605">
        <v>2.8712981906727464</v>
      </c>
      <c r="FH312" s="1605">
        <v>2.4410537598542943</v>
      </c>
      <c r="FI312" s="1605">
        <v>8.4600786287697574</v>
      </c>
      <c r="FJ312" s="1605" t="s">
        <v>986</v>
      </c>
      <c r="FK312" s="1605" t="s">
        <v>986</v>
      </c>
      <c r="FL312" s="1605" t="s">
        <v>986</v>
      </c>
      <c r="FM312" s="1605" t="s">
        <v>986</v>
      </c>
      <c r="FN312" s="1605" t="s">
        <v>986</v>
      </c>
      <c r="FO312" s="1605" t="s">
        <v>986</v>
      </c>
      <c r="FP312" s="1605" t="s">
        <v>986</v>
      </c>
      <c r="FQ312" s="1605" t="s">
        <v>986</v>
      </c>
      <c r="FR312" s="1605" t="s">
        <v>986</v>
      </c>
      <c r="FS312" s="1605" t="s">
        <v>986</v>
      </c>
      <c r="FT312" s="1605" t="s">
        <v>986</v>
      </c>
      <c r="FU312" s="1605" t="s">
        <v>986</v>
      </c>
      <c r="FV312" s="1605" t="s">
        <v>986</v>
      </c>
      <c r="FW312" s="1605" t="s">
        <v>986</v>
      </c>
      <c r="FX312" s="1605" t="s">
        <v>986</v>
      </c>
      <c r="FY312" s="1605" t="s">
        <v>986</v>
      </c>
      <c r="FZ312" s="1605" t="s">
        <v>986</v>
      </c>
      <c r="GA312" s="1605">
        <v>1.6878424687391664</v>
      </c>
      <c r="GB312" s="1605">
        <v>1.0054492920546207</v>
      </c>
      <c r="GC312" s="1605">
        <v>22.434378214277743</v>
      </c>
      <c r="GD312" s="1605">
        <v>34.744187084627818</v>
      </c>
      <c r="GE312" s="1605">
        <v>3.1082512986010165</v>
      </c>
      <c r="GF312" s="1605">
        <v>0.16300862838292596</v>
      </c>
      <c r="GG312" s="1605" t="s">
        <v>986</v>
      </c>
      <c r="GH312" s="1605" t="s">
        <v>986</v>
      </c>
      <c r="GI312" s="1605" t="s">
        <v>986</v>
      </c>
      <c r="GJ312" s="1605" t="s">
        <v>986</v>
      </c>
      <c r="GK312" s="1605" t="s">
        <v>986</v>
      </c>
      <c r="GL312" s="1605" t="s">
        <v>986</v>
      </c>
      <c r="GM312" s="1605" t="s">
        <v>986</v>
      </c>
      <c r="GN312" s="1605" t="s">
        <v>2217</v>
      </c>
      <c r="GO312" s="1605" t="s">
        <v>2217</v>
      </c>
      <c r="GP312" s="1605" t="s">
        <v>2217</v>
      </c>
      <c r="GQ312" s="1605" t="s">
        <v>2217</v>
      </c>
      <c r="GR312" s="1605" t="s">
        <v>986</v>
      </c>
      <c r="GS312" s="1605" t="s">
        <v>986</v>
      </c>
      <c r="GT312" s="1605" t="s">
        <v>986</v>
      </c>
      <c r="GU312" s="1605" t="s">
        <v>986</v>
      </c>
      <c r="GV312" s="1605" t="s">
        <v>986</v>
      </c>
      <c r="GW312" s="1605" t="s">
        <v>986</v>
      </c>
      <c r="GX312" s="1605" t="s">
        <v>1594</v>
      </c>
      <c r="GY312" s="1605" t="s">
        <v>1594</v>
      </c>
      <c r="GZ312" s="1605" t="s">
        <v>1594</v>
      </c>
      <c r="HA312" s="1605" t="s">
        <v>1594</v>
      </c>
      <c r="HB312" s="1605" t="s">
        <v>1594</v>
      </c>
      <c r="HC312" s="1605" t="s">
        <v>1594</v>
      </c>
      <c r="HD312" s="1605" t="s">
        <v>1594</v>
      </c>
      <c r="HE312" s="1605" t="s">
        <v>1594</v>
      </c>
      <c r="HF312" s="1605" t="s">
        <v>1594</v>
      </c>
      <c r="HG312" s="1605" t="s">
        <v>1594</v>
      </c>
      <c r="HH312" s="1605" t="s">
        <v>1594</v>
      </c>
      <c r="HI312" s="1605" t="s">
        <v>2217</v>
      </c>
      <c r="HJ312" s="1605" t="s">
        <v>2217</v>
      </c>
      <c r="HK312" s="1605" t="s">
        <v>2217</v>
      </c>
      <c r="HL312" s="1605" t="s">
        <v>986</v>
      </c>
      <c r="HM312" s="1605" t="s">
        <v>2217</v>
      </c>
      <c r="HN312" s="1605" t="s">
        <v>2217</v>
      </c>
      <c r="HO312" s="1605" t="s">
        <v>986</v>
      </c>
      <c r="HP312" s="1605" t="s">
        <v>986</v>
      </c>
      <c r="HQ312" s="1605" t="s">
        <v>986</v>
      </c>
      <c r="HR312" s="1605" t="s">
        <v>986</v>
      </c>
      <c r="HS312" s="1605" t="s">
        <v>986</v>
      </c>
      <c r="HT312" s="1605" t="s">
        <v>986</v>
      </c>
      <c r="HU312" s="1605" t="s">
        <v>986</v>
      </c>
      <c r="HV312" s="1617"/>
      <c r="HW312" s="1617" t="s">
        <v>2984</v>
      </c>
      <c r="HX312" s="1617" t="s">
        <v>2983</v>
      </c>
      <c r="HY312" s="1617" t="s">
        <v>2982</v>
      </c>
      <c r="HZ312" s="1603"/>
      <c r="IA312" s="1603"/>
      <c r="IB312" s="1603"/>
      <c r="IC312" s="1603">
        <v>58</v>
      </c>
      <c r="ID312" s="1603">
        <v>58</v>
      </c>
      <c r="IE312" s="1603">
        <v>58</v>
      </c>
      <c r="IF312" s="1603">
        <v>58</v>
      </c>
      <c r="IG312" s="1611" t="s">
        <v>2981</v>
      </c>
      <c r="IH312" s="1616" t="s">
        <v>2980</v>
      </c>
      <c r="II312" s="1615" t="s">
        <v>2979</v>
      </c>
      <c r="IJ312" s="1613">
        <v>0.65030061349693247</v>
      </c>
      <c r="IK312" s="1613">
        <v>0.59406339468302671</v>
      </c>
      <c r="IL312" s="1614">
        <v>0.65030061349693247</v>
      </c>
      <c r="IM312" s="1614">
        <v>0.59406339468302671</v>
      </c>
      <c r="IN312" s="1612" t="s">
        <v>270</v>
      </c>
      <c r="IO312" s="1613" t="s">
        <v>270</v>
      </c>
      <c r="IP312" s="1607" t="s">
        <v>270</v>
      </c>
      <c r="IQ312" s="1612" t="s">
        <v>270</v>
      </c>
      <c r="IR312" s="1612" t="s">
        <v>270</v>
      </c>
      <c r="IS312" s="1607">
        <v>0.47730061349693254</v>
      </c>
      <c r="IT312" s="1607">
        <v>0.42106339468302667</v>
      </c>
      <c r="IU312" s="1611">
        <v>0</v>
      </c>
      <c r="IV312" s="1611">
        <v>1.6359918200409E-3</v>
      </c>
      <c r="IW312" s="1611">
        <v>2.044989775051125E-4</v>
      </c>
      <c r="IX312" s="1611">
        <v>1.0224948875255625E-3</v>
      </c>
      <c r="IY312" s="1611">
        <v>2.044989775051125E-4</v>
      </c>
      <c r="IZ312" s="1611">
        <v>7.770961145194274E-3</v>
      </c>
      <c r="JA312" s="1611">
        <v>0</v>
      </c>
      <c r="JB312" s="1611" t="s">
        <v>270</v>
      </c>
      <c r="JC312" s="1611">
        <v>3.2310838445807774E-2</v>
      </c>
      <c r="JD312" s="1611">
        <v>8.1799591002045002E-4</v>
      </c>
      <c r="JE312" s="1611" t="s">
        <v>270</v>
      </c>
      <c r="JF312" s="1611">
        <v>0</v>
      </c>
      <c r="JG312" s="1611">
        <v>0.67402862985685086</v>
      </c>
      <c r="JH312" s="1611">
        <v>0</v>
      </c>
      <c r="JI312" s="1611">
        <v>2.2085889570552148E-2</v>
      </c>
      <c r="JJ312" s="1611" t="s">
        <v>270</v>
      </c>
      <c r="JK312" s="1607">
        <f t="shared" si="13"/>
        <v>0.17299999999999993</v>
      </c>
      <c r="JL312" s="1608" t="s">
        <v>270</v>
      </c>
      <c r="JM312" s="1610" t="s">
        <v>2924</v>
      </c>
      <c r="JN312" s="1608">
        <v>5.6237218813905865E-2</v>
      </c>
      <c r="JO312" s="1609" t="s">
        <v>2955</v>
      </c>
      <c r="JP312" s="1608" t="s">
        <v>270</v>
      </c>
      <c r="JQ312" s="1607">
        <v>202103</v>
      </c>
      <c r="JR312" s="1606">
        <v>191</v>
      </c>
      <c r="JS312" s="1606">
        <v>211</v>
      </c>
      <c r="JT312" s="1606">
        <v>211</v>
      </c>
    </row>
    <row r="313" spans="1:280" ht="15" customHeight="1" x14ac:dyDescent="0.2">
      <c r="A313" s="1626">
        <v>77200</v>
      </c>
      <c r="B313" s="1625">
        <v>772</v>
      </c>
      <c r="C313" s="1624">
        <v>0</v>
      </c>
      <c r="D313" s="1623" t="s">
        <v>2997</v>
      </c>
      <c r="E313" s="1622">
        <v>44439</v>
      </c>
      <c r="F313" s="1620">
        <v>5.6765154806039442E-2</v>
      </c>
      <c r="G313" s="1620">
        <v>5.4608421454842265E-2</v>
      </c>
      <c r="H313" s="1621">
        <v>99</v>
      </c>
      <c r="I313" s="1621">
        <v>98</v>
      </c>
      <c r="J313" s="1621">
        <v>98</v>
      </c>
      <c r="K313" s="1620">
        <v>0.86</v>
      </c>
      <c r="L313" s="1620">
        <v>4.8</v>
      </c>
      <c r="M313" s="1620">
        <v>0.64319999999999999</v>
      </c>
      <c r="N313" s="1620">
        <v>0.24</v>
      </c>
      <c r="O313" s="1620">
        <v>0.75359999999999994</v>
      </c>
      <c r="P313" s="1620">
        <v>0</v>
      </c>
      <c r="Q313" s="1603"/>
      <c r="R313" s="1620">
        <v>85</v>
      </c>
      <c r="S313" s="1620">
        <v>58</v>
      </c>
      <c r="T313" s="1620">
        <v>58</v>
      </c>
      <c r="U313" s="1620">
        <v>58</v>
      </c>
      <c r="V313" s="1620">
        <v>58</v>
      </c>
      <c r="W313" s="1620">
        <v>58</v>
      </c>
      <c r="X313" s="1620"/>
      <c r="Y313" s="1620">
        <v>18.399999999999999</v>
      </c>
      <c r="Z313" s="1620">
        <v>10.3</v>
      </c>
      <c r="AA313" s="1620">
        <v>18.5</v>
      </c>
      <c r="AB313" s="1620">
        <v>31.2</v>
      </c>
      <c r="AC313" s="1620">
        <v>23</v>
      </c>
      <c r="AD313" s="1620">
        <v>3.2</v>
      </c>
      <c r="AE313" s="1620">
        <v>0</v>
      </c>
      <c r="AF313" s="1620">
        <v>92</v>
      </c>
      <c r="AG313" s="1620">
        <v>22</v>
      </c>
      <c r="AH313" s="1620">
        <v>3</v>
      </c>
      <c r="AI313" s="1620">
        <v>17</v>
      </c>
      <c r="AJ313" s="1620">
        <v>0</v>
      </c>
      <c r="AK313" s="1620">
        <v>0.05</v>
      </c>
      <c r="AL313" s="1620"/>
      <c r="AM313" s="1620">
        <v>6.1</v>
      </c>
      <c r="AN313" s="1620">
        <v>1.5</v>
      </c>
      <c r="AO313" s="1620">
        <v>2</v>
      </c>
      <c r="AP313" s="1620">
        <v>5.4</v>
      </c>
      <c r="AQ313" s="1620">
        <v>1.1000000000000001</v>
      </c>
      <c r="AR313" s="1620">
        <v>5.7</v>
      </c>
      <c r="AS313" s="1620">
        <v>8.1</v>
      </c>
      <c r="AT313" s="1620">
        <v>1.2</v>
      </c>
      <c r="AU313" s="1620">
        <v>2.6</v>
      </c>
      <c r="AV313" s="1620">
        <v>2</v>
      </c>
      <c r="AW313" s="1620">
        <v>5</v>
      </c>
      <c r="AX313" s="1620"/>
      <c r="AY313" s="1620">
        <v>0.89</v>
      </c>
      <c r="AZ313" s="1620">
        <v>1.06</v>
      </c>
      <c r="BA313" s="1620">
        <v>1.04</v>
      </c>
      <c r="BB313" s="1620">
        <v>1.01</v>
      </c>
      <c r="BC313" s="1620">
        <v>1.08</v>
      </c>
      <c r="BD313" s="1620">
        <v>1.05</v>
      </c>
      <c r="BE313" s="1620">
        <v>1.0900000000000001</v>
      </c>
      <c r="BF313" s="1620">
        <v>1.05</v>
      </c>
      <c r="BG313" s="1620">
        <v>1.02</v>
      </c>
      <c r="BH313" s="1620">
        <v>1.1200000000000001</v>
      </c>
      <c r="BI313" s="1620">
        <v>1.05</v>
      </c>
      <c r="BJ313" s="1603"/>
      <c r="BK313" s="1620">
        <v>13.400000000000006</v>
      </c>
      <c r="BL313" s="1620">
        <v>5.0000000000000027</v>
      </c>
      <c r="BM313" s="1620">
        <v>15.70000000000001</v>
      </c>
      <c r="BN313" s="1620">
        <v>0</v>
      </c>
      <c r="BO313" s="1620"/>
      <c r="BP313" s="1620">
        <v>34</v>
      </c>
      <c r="BQ313" s="1620">
        <v>4.08</v>
      </c>
      <c r="BR313" s="1620">
        <v>1.1826073917924891</v>
      </c>
      <c r="BS313" s="1620">
        <v>1.1376754469758812</v>
      </c>
      <c r="BT313" s="1603"/>
      <c r="BU313" s="1620">
        <v>842.99999999999989</v>
      </c>
      <c r="BV313" s="1620">
        <v>652.08714285714268</v>
      </c>
      <c r="BW313" s="1620">
        <v>12.042857142857141</v>
      </c>
      <c r="BX313" s="1620">
        <v>0</v>
      </c>
      <c r="BY313" s="1620" t="s">
        <v>270</v>
      </c>
      <c r="BZ313" s="1620">
        <v>0</v>
      </c>
      <c r="CA313" s="1620">
        <v>0</v>
      </c>
      <c r="CB313" s="1603"/>
      <c r="CC313" s="1603">
        <v>0.88319999999999999</v>
      </c>
      <c r="CD313" s="1603">
        <v>0.49440000000000006</v>
      </c>
      <c r="CE313" s="1603">
        <v>0.88800000000000001</v>
      </c>
      <c r="CF313" s="1603">
        <v>1.4976</v>
      </c>
      <c r="CG313" s="1603">
        <v>1.1040000000000001</v>
      </c>
      <c r="CH313" s="1603">
        <v>0.15360000000000001</v>
      </c>
      <c r="CI313" s="1603">
        <v>0</v>
      </c>
      <c r="CJ313" s="1603"/>
      <c r="CK313" s="1603">
        <v>4.4160000000000004</v>
      </c>
      <c r="CL313" s="1603">
        <v>1.056</v>
      </c>
      <c r="CM313" s="1603">
        <v>0.14400000000000002</v>
      </c>
      <c r="CN313" s="1603">
        <v>0.81600000000000006</v>
      </c>
      <c r="CO313" s="1603">
        <v>0</v>
      </c>
      <c r="CP313" s="1603">
        <v>2.4000000000000002E-3</v>
      </c>
      <c r="CQ313" s="1603">
        <v>5.4672000000000001</v>
      </c>
      <c r="CR313" s="1603">
        <v>96.312606187384617</v>
      </c>
      <c r="CS313" s="1603">
        <v>5.228811389913111</v>
      </c>
      <c r="CT313" s="1603">
        <v>1.5313704383794158</v>
      </c>
      <c r="CU313" s="1603">
        <v>2.0033022086976002</v>
      </c>
      <c r="CV313" s="1603">
        <v>3.534672647077016</v>
      </c>
      <c r="CW313" s="1603">
        <v>5.2528895414599566</v>
      </c>
      <c r="CX313" s="1603">
        <v>1.1441937615061297</v>
      </c>
      <c r="CY313" s="1603">
        <v>5.7643094803149699</v>
      </c>
      <c r="CZ313" s="1603">
        <v>8.5034400002841881</v>
      </c>
      <c r="DA313" s="1603">
        <v>1.2135388379610461</v>
      </c>
      <c r="DB313" s="1603">
        <v>2.5542103160894403</v>
      </c>
      <c r="DC313" s="1603">
        <v>2.1574023785974155</v>
      </c>
      <c r="DD313" s="1603">
        <v>4.7116126946868562</v>
      </c>
      <c r="DE313" s="1603">
        <v>5.0564118248376939</v>
      </c>
      <c r="DF313" s="1603">
        <v>0</v>
      </c>
      <c r="DG313" s="1603">
        <v>0</v>
      </c>
      <c r="DH313" s="1603">
        <v>0</v>
      </c>
      <c r="DI313" s="1603">
        <v>0</v>
      </c>
      <c r="DJ313" s="1603">
        <v>0</v>
      </c>
      <c r="DK313" s="1603">
        <v>0</v>
      </c>
      <c r="DL313" s="1603">
        <v>0</v>
      </c>
      <c r="DM313" s="1603">
        <v>0</v>
      </c>
      <c r="DN313" s="1603">
        <v>0</v>
      </c>
      <c r="DO313" s="1603">
        <v>0</v>
      </c>
      <c r="DP313" s="1603">
        <v>0</v>
      </c>
      <c r="DQ313" s="1603">
        <v>0</v>
      </c>
      <c r="DR313" s="1603">
        <v>0</v>
      </c>
      <c r="DS313" s="1603">
        <v>0</v>
      </c>
      <c r="DT313" s="1603">
        <v>0</v>
      </c>
      <c r="DU313" s="1603">
        <v>0</v>
      </c>
      <c r="DV313" s="1603">
        <v>0</v>
      </c>
      <c r="DW313" s="1618" t="s">
        <v>2975</v>
      </c>
      <c r="DX313" s="1605">
        <v>24</v>
      </c>
      <c r="DY313" s="1605">
        <v>24</v>
      </c>
      <c r="DZ313" s="1605">
        <v>24</v>
      </c>
      <c r="EA313" s="1605">
        <v>24</v>
      </c>
      <c r="EB313" s="1605" t="s">
        <v>986</v>
      </c>
      <c r="EC313" s="1605" t="s">
        <v>986</v>
      </c>
      <c r="ED313" s="1605" t="s">
        <v>986</v>
      </c>
      <c r="EE313" s="1605" t="s">
        <v>986</v>
      </c>
      <c r="EF313" s="1605" t="s">
        <v>986</v>
      </c>
      <c r="EG313" s="1605" t="s">
        <v>986</v>
      </c>
      <c r="EH313" s="1605">
        <v>1</v>
      </c>
      <c r="EI313" s="1605">
        <v>1</v>
      </c>
      <c r="EJ313" s="1605">
        <v>1</v>
      </c>
      <c r="EK313" s="1605">
        <v>1</v>
      </c>
      <c r="EL313" s="1605">
        <v>1</v>
      </c>
      <c r="EM313" s="1605">
        <v>1</v>
      </c>
      <c r="EN313" s="1605">
        <v>1</v>
      </c>
      <c r="EO313" s="1605">
        <v>1</v>
      </c>
      <c r="EP313" s="1605">
        <v>1</v>
      </c>
      <c r="EQ313" s="1605">
        <v>1</v>
      </c>
      <c r="ER313" s="1605">
        <v>1</v>
      </c>
      <c r="ES313" s="1605">
        <v>24</v>
      </c>
      <c r="ET313" s="1605">
        <v>24</v>
      </c>
      <c r="EU313" s="1605">
        <v>24</v>
      </c>
      <c r="EV313" s="1605" t="s">
        <v>986</v>
      </c>
      <c r="EW313" s="1605">
        <v>24</v>
      </c>
      <c r="EX313" s="1605">
        <v>24</v>
      </c>
      <c r="EY313" s="1605" t="s">
        <v>986</v>
      </c>
      <c r="EZ313" s="1605" t="s">
        <v>986</v>
      </c>
      <c r="FA313" s="1605" t="s">
        <v>986</v>
      </c>
      <c r="FB313" s="1605" t="s">
        <v>986</v>
      </c>
      <c r="FC313" s="1605" t="s">
        <v>986</v>
      </c>
      <c r="FD313" s="1605" t="s">
        <v>986</v>
      </c>
      <c r="FE313" s="1605" t="s">
        <v>986</v>
      </c>
      <c r="FF313" s="1605">
        <v>1.630907933761375</v>
      </c>
      <c r="FG313" s="1605">
        <v>3.7480394658179206</v>
      </c>
      <c r="FH313" s="1605">
        <v>4.2653319060520589</v>
      </c>
      <c r="FI313" s="1605">
        <v>10.86660765081988</v>
      </c>
      <c r="FJ313" s="1605" t="s">
        <v>986</v>
      </c>
      <c r="FK313" s="1605" t="s">
        <v>986</v>
      </c>
      <c r="FL313" s="1605" t="s">
        <v>986</v>
      </c>
      <c r="FM313" s="1605" t="s">
        <v>986</v>
      </c>
      <c r="FN313" s="1605" t="s">
        <v>986</v>
      </c>
      <c r="FO313" s="1605" t="s">
        <v>986</v>
      </c>
      <c r="FP313" s="1605" t="s">
        <v>986</v>
      </c>
      <c r="FQ313" s="1605" t="s">
        <v>986</v>
      </c>
      <c r="FR313" s="1605" t="s">
        <v>986</v>
      </c>
      <c r="FS313" s="1605" t="s">
        <v>986</v>
      </c>
      <c r="FT313" s="1605" t="s">
        <v>986</v>
      </c>
      <c r="FU313" s="1605" t="s">
        <v>986</v>
      </c>
      <c r="FV313" s="1605" t="s">
        <v>986</v>
      </c>
      <c r="FW313" s="1605" t="s">
        <v>986</v>
      </c>
      <c r="FX313" s="1605" t="s">
        <v>986</v>
      </c>
      <c r="FY313" s="1605" t="s">
        <v>986</v>
      </c>
      <c r="FZ313" s="1605" t="s">
        <v>986</v>
      </c>
      <c r="GA313" s="1605">
        <v>13.364750978193053</v>
      </c>
      <c r="GB313" s="1605">
        <v>3.9650160348994734</v>
      </c>
      <c r="GC313" s="1605">
        <v>30.761380466001214</v>
      </c>
      <c r="GD313" s="1605">
        <v>33.612046004419682</v>
      </c>
      <c r="GE313" s="1605">
        <v>5.031962293573299</v>
      </c>
      <c r="GF313" s="1605">
        <v>4.309123407717947</v>
      </c>
      <c r="GG313" s="1605" t="s">
        <v>986</v>
      </c>
      <c r="GH313" s="1605" t="s">
        <v>986</v>
      </c>
      <c r="GI313" s="1605" t="s">
        <v>986</v>
      </c>
      <c r="GJ313" s="1605" t="s">
        <v>986</v>
      </c>
      <c r="GK313" s="1605" t="s">
        <v>986</v>
      </c>
      <c r="GL313" s="1605" t="s">
        <v>986</v>
      </c>
      <c r="GM313" s="1605" t="s">
        <v>986</v>
      </c>
      <c r="GN313" s="1605" t="s">
        <v>2217</v>
      </c>
      <c r="GO313" s="1605" t="s">
        <v>2217</v>
      </c>
      <c r="GP313" s="1605" t="s">
        <v>2217</v>
      </c>
      <c r="GQ313" s="1605" t="s">
        <v>2217</v>
      </c>
      <c r="GR313" s="1605" t="s">
        <v>986</v>
      </c>
      <c r="GS313" s="1605" t="s">
        <v>986</v>
      </c>
      <c r="GT313" s="1605" t="s">
        <v>986</v>
      </c>
      <c r="GU313" s="1605" t="s">
        <v>986</v>
      </c>
      <c r="GV313" s="1605" t="s">
        <v>986</v>
      </c>
      <c r="GW313" s="1605" t="s">
        <v>986</v>
      </c>
      <c r="GX313" s="1605" t="s">
        <v>1594</v>
      </c>
      <c r="GY313" s="1605" t="s">
        <v>1594</v>
      </c>
      <c r="GZ313" s="1605" t="s">
        <v>1594</v>
      </c>
      <c r="HA313" s="1605" t="s">
        <v>1594</v>
      </c>
      <c r="HB313" s="1605" t="s">
        <v>1594</v>
      </c>
      <c r="HC313" s="1605" t="s">
        <v>1594</v>
      </c>
      <c r="HD313" s="1605" t="s">
        <v>1594</v>
      </c>
      <c r="HE313" s="1605" t="s">
        <v>1594</v>
      </c>
      <c r="HF313" s="1605" t="s">
        <v>1594</v>
      </c>
      <c r="HG313" s="1605" t="s">
        <v>1594</v>
      </c>
      <c r="HH313" s="1605" t="s">
        <v>1594</v>
      </c>
      <c r="HI313" s="1605" t="s">
        <v>2217</v>
      </c>
      <c r="HJ313" s="1605" t="s">
        <v>2217</v>
      </c>
      <c r="HK313" s="1605" t="s">
        <v>2217</v>
      </c>
      <c r="HL313" s="1605" t="s">
        <v>986</v>
      </c>
      <c r="HM313" s="1605" t="s">
        <v>2217</v>
      </c>
      <c r="HN313" s="1605" t="s">
        <v>2217</v>
      </c>
      <c r="HO313" s="1605" t="s">
        <v>986</v>
      </c>
      <c r="HP313" s="1605" t="s">
        <v>986</v>
      </c>
      <c r="HQ313" s="1605" t="s">
        <v>986</v>
      </c>
      <c r="HR313" s="1605" t="s">
        <v>986</v>
      </c>
      <c r="HS313" s="1605" t="s">
        <v>986</v>
      </c>
      <c r="HT313" s="1605" t="s">
        <v>986</v>
      </c>
      <c r="HU313" s="1605" t="s">
        <v>986</v>
      </c>
      <c r="HV313" s="1617"/>
      <c r="HW313" s="1617" t="s">
        <v>2984</v>
      </c>
      <c r="HX313" s="1617" t="s">
        <v>2983</v>
      </c>
      <c r="HY313" s="1617" t="s">
        <v>2982</v>
      </c>
      <c r="HZ313" s="1603"/>
      <c r="IA313" s="1603"/>
      <c r="IB313" s="1603"/>
      <c r="IC313" s="1603">
        <v>58</v>
      </c>
      <c r="ID313" s="1603">
        <v>58</v>
      </c>
      <c r="IE313" s="1603">
        <v>58</v>
      </c>
      <c r="IF313" s="1603">
        <v>58</v>
      </c>
      <c r="IG313" s="1611" t="s">
        <v>2981</v>
      </c>
      <c r="IH313" s="1616" t="s">
        <v>2980</v>
      </c>
      <c r="II313" s="1615" t="s">
        <v>2979</v>
      </c>
      <c r="IJ313" s="1613">
        <v>0.65030061349693247</v>
      </c>
      <c r="IK313" s="1613">
        <v>0.59406339468302671</v>
      </c>
      <c r="IL313" s="1614">
        <v>0.65030061349693247</v>
      </c>
      <c r="IM313" s="1614">
        <v>0.59406339468302671</v>
      </c>
      <c r="IN313" s="1612" t="s">
        <v>270</v>
      </c>
      <c r="IO313" s="1613" t="s">
        <v>270</v>
      </c>
      <c r="IP313" s="1607" t="s">
        <v>270</v>
      </c>
      <c r="IQ313" s="1612" t="s">
        <v>270</v>
      </c>
      <c r="IR313" s="1612" t="s">
        <v>270</v>
      </c>
      <c r="IS313" s="1607">
        <v>0.47730061349693254</v>
      </c>
      <c r="IT313" s="1607">
        <v>0.42106339468302667</v>
      </c>
      <c r="IU313" s="1611">
        <v>0</v>
      </c>
      <c r="IV313" s="1611">
        <v>1.6359918200409E-3</v>
      </c>
      <c r="IW313" s="1611">
        <v>2.044989775051125E-4</v>
      </c>
      <c r="IX313" s="1611">
        <v>1.0224948875255625E-3</v>
      </c>
      <c r="IY313" s="1611">
        <v>2.044989775051125E-4</v>
      </c>
      <c r="IZ313" s="1611">
        <v>7.770961145194274E-3</v>
      </c>
      <c r="JA313" s="1611">
        <v>0</v>
      </c>
      <c r="JB313" s="1611" t="s">
        <v>270</v>
      </c>
      <c r="JC313" s="1611">
        <v>3.2310838445807774E-2</v>
      </c>
      <c r="JD313" s="1611">
        <v>8.1799591002045002E-4</v>
      </c>
      <c r="JE313" s="1611" t="s">
        <v>270</v>
      </c>
      <c r="JF313" s="1611">
        <v>0</v>
      </c>
      <c r="JG313" s="1611">
        <v>0.67402862985685086</v>
      </c>
      <c r="JH313" s="1611">
        <v>0</v>
      </c>
      <c r="JI313" s="1611">
        <v>2.2085889570552148E-2</v>
      </c>
      <c r="JJ313" s="1611" t="s">
        <v>270</v>
      </c>
      <c r="JK313" s="1607">
        <f t="shared" si="13"/>
        <v>0.17299999999999993</v>
      </c>
      <c r="JL313" s="1608" t="s">
        <v>270</v>
      </c>
      <c r="JM313" s="1610" t="s">
        <v>2924</v>
      </c>
      <c r="JN313" s="1608">
        <v>5.6237218813905865E-2</v>
      </c>
      <c r="JO313" s="1609" t="s">
        <v>2955</v>
      </c>
      <c r="JP313" s="1608" t="s">
        <v>270</v>
      </c>
      <c r="JQ313" s="1607">
        <v>202103</v>
      </c>
      <c r="JR313" s="1606">
        <v>191</v>
      </c>
      <c r="JS313" s="1606">
        <v>211</v>
      </c>
      <c r="JT313" s="1606">
        <v>211</v>
      </c>
    </row>
    <row r="314" spans="1:280" ht="15" customHeight="1" x14ac:dyDescent="0.2">
      <c r="A314" s="1626">
        <v>77205</v>
      </c>
      <c r="B314" s="1625">
        <v>772</v>
      </c>
      <c r="C314" s="1624">
        <v>5</v>
      </c>
      <c r="D314" s="1623" t="s">
        <v>2996</v>
      </c>
      <c r="E314" s="1622">
        <v>44439</v>
      </c>
      <c r="F314" s="1620">
        <v>5.0822210006968606E-2</v>
      </c>
      <c r="G314" s="1620">
        <v>4.8887493957105704E-2</v>
      </c>
      <c r="H314" s="1621">
        <v>99</v>
      </c>
      <c r="I314" s="1621">
        <v>98</v>
      </c>
      <c r="J314" s="1621">
        <v>98</v>
      </c>
      <c r="K314" s="1620">
        <v>0.86</v>
      </c>
      <c r="L314" s="1620">
        <v>4.8</v>
      </c>
      <c r="M314" s="1620">
        <v>0.75839999999999996</v>
      </c>
      <c r="N314" s="1620">
        <v>0.312</v>
      </c>
      <c r="O314" s="1620">
        <v>1.2527999999999999</v>
      </c>
      <c r="P314" s="1620">
        <v>0</v>
      </c>
      <c r="Q314" s="1603"/>
      <c r="R314" s="1620">
        <v>85</v>
      </c>
      <c r="S314" s="1620">
        <v>58</v>
      </c>
      <c r="T314" s="1620">
        <v>58</v>
      </c>
      <c r="U314" s="1620">
        <v>58</v>
      </c>
      <c r="V314" s="1620">
        <v>58</v>
      </c>
      <c r="W314" s="1620">
        <v>58</v>
      </c>
      <c r="X314" s="1620"/>
      <c r="Y314" s="1620">
        <v>18.7</v>
      </c>
      <c r="Z314" s="1620">
        <v>10.9</v>
      </c>
      <c r="AA314" s="1620">
        <v>55.3</v>
      </c>
      <c r="AB314" s="1620">
        <v>53.5</v>
      </c>
      <c r="AC314" s="1620">
        <v>28.3</v>
      </c>
      <c r="AD314" s="1620">
        <v>7.1</v>
      </c>
      <c r="AE314" s="1620">
        <v>0</v>
      </c>
      <c r="AF314" s="1620">
        <v>92.000000000000014</v>
      </c>
      <c r="AG314" s="1620">
        <v>21.999999999999993</v>
      </c>
      <c r="AH314" s="1620">
        <v>2.9999999999999925</v>
      </c>
      <c r="AI314" s="1620">
        <v>17.000000000000011</v>
      </c>
      <c r="AJ314" s="1620">
        <v>0</v>
      </c>
      <c r="AK314" s="1620">
        <v>5.0000000000000128E-2</v>
      </c>
      <c r="AL314" s="1620"/>
      <c r="AM314" s="1620">
        <v>6.1</v>
      </c>
      <c r="AN314" s="1620">
        <v>1.5</v>
      </c>
      <c r="AO314" s="1620">
        <v>2</v>
      </c>
      <c r="AP314" s="1620">
        <v>5.4</v>
      </c>
      <c r="AQ314" s="1620">
        <v>1.1000000000000001</v>
      </c>
      <c r="AR314" s="1620">
        <v>5.7</v>
      </c>
      <c r="AS314" s="1620">
        <v>8.1</v>
      </c>
      <c r="AT314" s="1620">
        <v>1.2</v>
      </c>
      <c r="AU314" s="1620">
        <v>2.6</v>
      </c>
      <c r="AV314" s="1620">
        <v>2</v>
      </c>
      <c r="AW314" s="1620">
        <v>5</v>
      </c>
      <c r="AX314" s="1620"/>
      <c r="AY314" s="1620">
        <v>0.89</v>
      </c>
      <c r="AZ314" s="1620">
        <v>1.06</v>
      </c>
      <c r="BA314" s="1620">
        <v>1.04</v>
      </c>
      <c r="BB314" s="1620">
        <v>1.01</v>
      </c>
      <c r="BC314" s="1620">
        <v>1.08</v>
      </c>
      <c r="BD314" s="1620">
        <v>1.05</v>
      </c>
      <c r="BE314" s="1620">
        <v>1.0900000000000001</v>
      </c>
      <c r="BF314" s="1620">
        <v>1.05</v>
      </c>
      <c r="BG314" s="1620">
        <v>1.02</v>
      </c>
      <c r="BH314" s="1620">
        <v>1.1200000000000001</v>
      </c>
      <c r="BI314" s="1620">
        <v>1.05</v>
      </c>
      <c r="BJ314" s="1603"/>
      <c r="BK314" s="1620">
        <v>15.80000000000001</v>
      </c>
      <c r="BL314" s="1620">
        <v>6.5000000000000036</v>
      </c>
      <c r="BM314" s="1620">
        <v>26.100000000000012</v>
      </c>
      <c r="BN314" s="1620">
        <v>0</v>
      </c>
      <c r="BO314" s="1620"/>
      <c r="BP314" s="1620">
        <v>34</v>
      </c>
      <c r="BQ314" s="1620">
        <v>32.639999999999915</v>
      </c>
      <c r="BR314" s="1620">
        <v>1.0587960418118465</v>
      </c>
      <c r="BS314" s="1620">
        <v>1.018489457439703</v>
      </c>
      <c r="BT314" s="1603"/>
      <c r="BU314" s="1620">
        <v>738.99999999999989</v>
      </c>
      <c r="BV314" s="1620">
        <v>514.22285714285692</v>
      </c>
      <c r="BW314" s="1620">
        <v>10.557142857142855</v>
      </c>
      <c r="BX314" s="1620">
        <v>0</v>
      </c>
      <c r="BY314" s="1620" t="s">
        <v>270</v>
      </c>
      <c r="BZ314" s="1620">
        <v>0</v>
      </c>
      <c r="CA314" s="1620">
        <v>0</v>
      </c>
      <c r="CB314" s="1603"/>
      <c r="CC314" s="1603">
        <v>0.89759999999999995</v>
      </c>
      <c r="CD314" s="1603">
        <v>0.5232</v>
      </c>
      <c r="CE314" s="1603">
        <v>2.6543999999999999</v>
      </c>
      <c r="CF314" s="1603">
        <v>2.5680000000000001</v>
      </c>
      <c r="CG314" s="1603">
        <v>1.3584000000000001</v>
      </c>
      <c r="CH314" s="1603">
        <v>0.34079999999999999</v>
      </c>
      <c r="CI314" s="1603">
        <v>0</v>
      </c>
      <c r="CJ314" s="1603"/>
      <c r="CK314" s="1603">
        <v>4.4160000000000004</v>
      </c>
      <c r="CL314" s="1603">
        <v>1.0559999999999996</v>
      </c>
      <c r="CM314" s="1603">
        <v>0.14399999999999963</v>
      </c>
      <c r="CN314" s="1603">
        <v>0.8160000000000005</v>
      </c>
      <c r="CO314" s="1603">
        <v>0</v>
      </c>
      <c r="CP314" s="1603">
        <v>2.4000000000000063E-3</v>
      </c>
      <c r="CQ314" s="1603">
        <v>6.4463999999999997</v>
      </c>
      <c r="CR314" s="1603">
        <v>126.84218177674852</v>
      </c>
      <c r="CS314" s="1603">
        <v>6.8862620486596766</v>
      </c>
      <c r="CT314" s="1603">
        <v>2.0167906902503021</v>
      </c>
      <c r="CU314" s="1603">
        <v>2.6383173809563689</v>
      </c>
      <c r="CV314" s="1603">
        <v>4.655108071206671</v>
      </c>
      <c r="CW314" s="1603">
        <v>6.9179725941038646</v>
      </c>
      <c r="CX314" s="1603">
        <v>1.5068851195077728</v>
      </c>
      <c r="CY314" s="1603">
        <v>7.5915045793383991</v>
      </c>
      <c r="CZ314" s="1603">
        <v>11.198896229069128</v>
      </c>
      <c r="DA314" s="1603">
        <v>1.5982114903870313</v>
      </c>
      <c r="DB314" s="1603">
        <v>3.3638546607193711</v>
      </c>
      <c r="DC314" s="1603">
        <v>2.8412648717991673</v>
      </c>
      <c r="DD314" s="1603">
        <v>6.2051195325185384</v>
      </c>
      <c r="DE314" s="1603">
        <v>6.6592145432792984</v>
      </c>
      <c r="DF314" s="1603">
        <v>0</v>
      </c>
      <c r="DG314" s="1603">
        <v>0</v>
      </c>
      <c r="DH314" s="1603">
        <v>0</v>
      </c>
      <c r="DI314" s="1603">
        <v>0</v>
      </c>
      <c r="DJ314" s="1603">
        <v>0</v>
      </c>
      <c r="DK314" s="1603">
        <v>0</v>
      </c>
      <c r="DL314" s="1603">
        <v>0</v>
      </c>
      <c r="DM314" s="1603">
        <v>0</v>
      </c>
      <c r="DN314" s="1603">
        <v>0</v>
      </c>
      <c r="DO314" s="1603">
        <v>0</v>
      </c>
      <c r="DP314" s="1603">
        <v>0</v>
      </c>
      <c r="DQ314" s="1603">
        <v>0</v>
      </c>
      <c r="DR314" s="1603">
        <v>0</v>
      </c>
      <c r="DS314" s="1603">
        <v>0</v>
      </c>
      <c r="DT314" s="1603">
        <v>0</v>
      </c>
      <c r="DU314" s="1603">
        <v>0</v>
      </c>
      <c r="DV314" s="1603">
        <v>0</v>
      </c>
      <c r="DW314" s="1618" t="s">
        <v>2975</v>
      </c>
      <c r="DX314" s="1605">
        <v>6</v>
      </c>
      <c r="DY314" s="1605">
        <v>6</v>
      </c>
      <c r="DZ314" s="1605">
        <v>6</v>
      </c>
      <c r="EA314" s="1605">
        <v>6</v>
      </c>
      <c r="EB314" s="1605" t="s">
        <v>986</v>
      </c>
      <c r="EC314" s="1605" t="s">
        <v>986</v>
      </c>
      <c r="ED314" s="1605" t="s">
        <v>986</v>
      </c>
      <c r="EE314" s="1605" t="s">
        <v>986</v>
      </c>
      <c r="EF314" s="1605" t="s">
        <v>986</v>
      </c>
      <c r="EG314" s="1605" t="s">
        <v>986</v>
      </c>
      <c r="EH314" s="1605">
        <v>1</v>
      </c>
      <c r="EI314" s="1605">
        <v>1</v>
      </c>
      <c r="EJ314" s="1605">
        <v>1</v>
      </c>
      <c r="EK314" s="1605">
        <v>1</v>
      </c>
      <c r="EL314" s="1605">
        <v>1</v>
      </c>
      <c r="EM314" s="1605">
        <v>1</v>
      </c>
      <c r="EN314" s="1605">
        <v>1</v>
      </c>
      <c r="EO314" s="1605">
        <v>1</v>
      </c>
      <c r="EP314" s="1605">
        <v>1</v>
      </c>
      <c r="EQ314" s="1605">
        <v>1</v>
      </c>
      <c r="ER314" s="1605">
        <v>1</v>
      </c>
      <c r="ES314" s="1605">
        <v>6</v>
      </c>
      <c r="ET314" s="1605">
        <v>6</v>
      </c>
      <c r="EU314" s="1605">
        <v>6</v>
      </c>
      <c r="EV314" s="1605" t="s">
        <v>986</v>
      </c>
      <c r="EW314" s="1605">
        <v>6</v>
      </c>
      <c r="EX314" s="1605">
        <v>6</v>
      </c>
      <c r="EY314" s="1605" t="s">
        <v>986</v>
      </c>
      <c r="EZ314" s="1605" t="s">
        <v>986</v>
      </c>
      <c r="FA314" s="1605" t="s">
        <v>986</v>
      </c>
      <c r="FB314" s="1605" t="s">
        <v>986</v>
      </c>
      <c r="FC314" s="1605" t="s">
        <v>986</v>
      </c>
      <c r="FD314" s="1605" t="s">
        <v>986</v>
      </c>
      <c r="FE314" s="1605" t="s">
        <v>986</v>
      </c>
      <c r="FF314" s="1605">
        <v>2.1142626768371677</v>
      </c>
      <c r="FG314" s="1605">
        <v>5.0290346835054871</v>
      </c>
      <c r="FH314" s="1605">
        <v>5.6206346431090966</v>
      </c>
      <c r="FI314" s="1605">
        <v>15.418246359246321</v>
      </c>
      <c r="FJ314" s="1605" t="s">
        <v>986</v>
      </c>
      <c r="FK314" s="1605" t="s">
        <v>986</v>
      </c>
      <c r="FL314" s="1605" t="s">
        <v>986</v>
      </c>
      <c r="FM314" s="1605" t="s">
        <v>986</v>
      </c>
      <c r="FN314" s="1605" t="s">
        <v>986</v>
      </c>
      <c r="FO314" s="1605" t="s">
        <v>986</v>
      </c>
      <c r="FP314" s="1605" t="s">
        <v>986</v>
      </c>
      <c r="FQ314" s="1605" t="s">
        <v>986</v>
      </c>
      <c r="FR314" s="1605" t="s">
        <v>986</v>
      </c>
      <c r="FS314" s="1605" t="s">
        <v>986</v>
      </c>
      <c r="FT314" s="1605" t="s">
        <v>986</v>
      </c>
      <c r="FU314" s="1605" t="s">
        <v>986</v>
      </c>
      <c r="FV314" s="1605" t="s">
        <v>986</v>
      </c>
      <c r="FW314" s="1605" t="s">
        <v>986</v>
      </c>
      <c r="FX314" s="1605" t="s">
        <v>986</v>
      </c>
      <c r="FY314" s="1605" t="s">
        <v>986</v>
      </c>
      <c r="FZ314" s="1605" t="s">
        <v>986</v>
      </c>
      <c r="GA314" s="1605">
        <v>12.568405230995939</v>
      </c>
      <c r="GB314" s="1605">
        <v>4.4885062507284879</v>
      </c>
      <c r="GC314" s="1605">
        <v>46.791288742296722</v>
      </c>
      <c r="GD314" s="1605">
        <v>49.327008679639604</v>
      </c>
      <c r="GE314" s="1605">
        <v>5.9327315669552076</v>
      </c>
      <c r="GF314" s="1605">
        <v>7.6786347140934437</v>
      </c>
      <c r="GG314" s="1605" t="s">
        <v>986</v>
      </c>
      <c r="GH314" s="1605" t="s">
        <v>986</v>
      </c>
      <c r="GI314" s="1605" t="s">
        <v>986</v>
      </c>
      <c r="GJ314" s="1605" t="s">
        <v>986</v>
      </c>
      <c r="GK314" s="1605" t="s">
        <v>986</v>
      </c>
      <c r="GL314" s="1605" t="s">
        <v>986</v>
      </c>
      <c r="GM314" s="1605" t="s">
        <v>986</v>
      </c>
      <c r="GN314" s="1605" t="s">
        <v>2217</v>
      </c>
      <c r="GO314" s="1605" t="s">
        <v>2217</v>
      </c>
      <c r="GP314" s="1605" t="s">
        <v>2217</v>
      </c>
      <c r="GQ314" s="1605" t="s">
        <v>2217</v>
      </c>
      <c r="GR314" s="1605" t="s">
        <v>986</v>
      </c>
      <c r="GS314" s="1605" t="s">
        <v>986</v>
      </c>
      <c r="GT314" s="1605" t="s">
        <v>986</v>
      </c>
      <c r="GU314" s="1605" t="s">
        <v>986</v>
      </c>
      <c r="GV314" s="1605" t="s">
        <v>986</v>
      </c>
      <c r="GW314" s="1605" t="s">
        <v>986</v>
      </c>
      <c r="GX314" s="1605" t="s">
        <v>1594</v>
      </c>
      <c r="GY314" s="1605" t="s">
        <v>1594</v>
      </c>
      <c r="GZ314" s="1605" t="s">
        <v>1594</v>
      </c>
      <c r="HA314" s="1605" t="s">
        <v>1594</v>
      </c>
      <c r="HB314" s="1605" t="s">
        <v>1594</v>
      </c>
      <c r="HC314" s="1605" t="s">
        <v>1594</v>
      </c>
      <c r="HD314" s="1605" t="s">
        <v>1594</v>
      </c>
      <c r="HE314" s="1605" t="s">
        <v>1594</v>
      </c>
      <c r="HF314" s="1605" t="s">
        <v>1594</v>
      </c>
      <c r="HG314" s="1605" t="s">
        <v>1594</v>
      </c>
      <c r="HH314" s="1605" t="s">
        <v>1594</v>
      </c>
      <c r="HI314" s="1605" t="s">
        <v>2217</v>
      </c>
      <c r="HJ314" s="1605" t="s">
        <v>2217</v>
      </c>
      <c r="HK314" s="1605" t="s">
        <v>2217</v>
      </c>
      <c r="HL314" s="1605" t="s">
        <v>986</v>
      </c>
      <c r="HM314" s="1605" t="s">
        <v>2217</v>
      </c>
      <c r="HN314" s="1605" t="s">
        <v>2217</v>
      </c>
      <c r="HO314" s="1605" t="s">
        <v>986</v>
      </c>
      <c r="HP314" s="1605" t="s">
        <v>986</v>
      </c>
      <c r="HQ314" s="1605" t="s">
        <v>986</v>
      </c>
      <c r="HR314" s="1605" t="s">
        <v>986</v>
      </c>
      <c r="HS314" s="1605" t="s">
        <v>986</v>
      </c>
      <c r="HT314" s="1605" t="s">
        <v>986</v>
      </c>
      <c r="HU314" s="1605" t="s">
        <v>986</v>
      </c>
      <c r="HV314" s="1617"/>
      <c r="HW314" s="1617" t="s">
        <v>2984</v>
      </c>
      <c r="HX314" s="1617" t="s">
        <v>2983</v>
      </c>
      <c r="HY314" s="1617" t="s">
        <v>2982</v>
      </c>
      <c r="HZ314" s="1603"/>
      <c r="IA314" s="1603"/>
      <c r="IB314" s="1603"/>
      <c r="IC314" s="1603">
        <v>58</v>
      </c>
      <c r="ID314" s="1603">
        <v>58</v>
      </c>
      <c r="IE314" s="1603">
        <v>58</v>
      </c>
      <c r="IF314" s="1603">
        <v>58</v>
      </c>
      <c r="IG314" s="1611" t="s">
        <v>2981</v>
      </c>
      <c r="IH314" s="1616" t="s">
        <v>2980</v>
      </c>
      <c r="II314" s="1615" t="s">
        <v>2979</v>
      </c>
      <c r="IJ314" s="1613">
        <v>0.65030061349693247</v>
      </c>
      <c r="IK314" s="1613">
        <v>0.59406339468302671</v>
      </c>
      <c r="IL314" s="1614">
        <v>0.65030061349693247</v>
      </c>
      <c r="IM314" s="1614">
        <v>0.59406339468302671</v>
      </c>
      <c r="IN314" s="1612" t="s">
        <v>270</v>
      </c>
      <c r="IO314" s="1613" t="s">
        <v>270</v>
      </c>
      <c r="IP314" s="1607" t="s">
        <v>270</v>
      </c>
      <c r="IQ314" s="1612" t="s">
        <v>270</v>
      </c>
      <c r="IR314" s="1612" t="s">
        <v>270</v>
      </c>
      <c r="IS314" s="1607">
        <v>0.47730061349693254</v>
      </c>
      <c r="IT314" s="1607">
        <v>0.42106339468302667</v>
      </c>
      <c r="IU314" s="1611">
        <v>0</v>
      </c>
      <c r="IV314" s="1611">
        <v>1.6359918200409E-3</v>
      </c>
      <c r="IW314" s="1611">
        <v>2.044989775051125E-4</v>
      </c>
      <c r="IX314" s="1611">
        <v>1.0224948875255625E-3</v>
      </c>
      <c r="IY314" s="1611">
        <v>2.044989775051125E-4</v>
      </c>
      <c r="IZ314" s="1611">
        <v>7.770961145194274E-3</v>
      </c>
      <c r="JA314" s="1611">
        <v>0</v>
      </c>
      <c r="JB314" s="1611" t="s">
        <v>270</v>
      </c>
      <c r="JC314" s="1611">
        <v>3.2310838445807774E-2</v>
      </c>
      <c r="JD314" s="1611">
        <v>8.1799591002045002E-4</v>
      </c>
      <c r="JE314" s="1611" t="s">
        <v>270</v>
      </c>
      <c r="JF314" s="1611">
        <v>0</v>
      </c>
      <c r="JG314" s="1611">
        <v>0.67402862985685086</v>
      </c>
      <c r="JH314" s="1611">
        <v>0</v>
      </c>
      <c r="JI314" s="1611">
        <v>2.2085889570552148E-2</v>
      </c>
      <c r="JJ314" s="1611" t="s">
        <v>270</v>
      </c>
      <c r="JK314" s="1607">
        <f t="shared" si="13"/>
        <v>0.17299999999999993</v>
      </c>
      <c r="JL314" s="1608" t="s">
        <v>270</v>
      </c>
      <c r="JM314" s="1610" t="s">
        <v>2924</v>
      </c>
      <c r="JN314" s="1608">
        <v>5.6237218813905865E-2</v>
      </c>
      <c r="JO314" s="1609" t="s">
        <v>2955</v>
      </c>
      <c r="JP314" s="1608" t="s">
        <v>270</v>
      </c>
      <c r="JQ314" s="1607">
        <v>202103</v>
      </c>
      <c r="JR314" s="1606">
        <v>191</v>
      </c>
      <c r="JS314" s="1606">
        <v>211</v>
      </c>
      <c r="JT314" s="1606">
        <v>211</v>
      </c>
    </row>
    <row r="315" spans="1:280" ht="15" customHeight="1" x14ac:dyDescent="0.2">
      <c r="A315" s="1626">
        <v>77208</v>
      </c>
      <c r="B315" s="1625">
        <v>772</v>
      </c>
      <c r="C315" s="1624">
        <v>8</v>
      </c>
      <c r="D315" s="1623" t="s">
        <v>2995</v>
      </c>
      <c r="E315" s="1622">
        <v>44439</v>
      </c>
      <c r="F315" s="1620">
        <v>7.1208721361207983E-2</v>
      </c>
      <c r="G315" s="1620">
        <v>6.8523007239851663E-2</v>
      </c>
      <c r="H315" s="1621">
        <v>99</v>
      </c>
      <c r="I315" s="1621">
        <v>98</v>
      </c>
      <c r="J315" s="1621">
        <v>98</v>
      </c>
      <c r="K315" s="1620">
        <v>0.86</v>
      </c>
      <c r="L315" s="1620">
        <v>6.9</v>
      </c>
      <c r="M315" s="1620">
        <v>0.70379999999999998</v>
      </c>
      <c r="N315" s="1620">
        <v>4.8299999999999996E-2</v>
      </c>
      <c r="O315" s="1620">
        <v>1.4282999999999999</v>
      </c>
      <c r="P315" s="1620">
        <v>0</v>
      </c>
      <c r="Q315" s="1603"/>
      <c r="R315" s="1620">
        <v>85</v>
      </c>
      <c r="S315" s="1620">
        <v>58</v>
      </c>
      <c r="T315" s="1620">
        <v>58</v>
      </c>
      <c r="U315" s="1620">
        <v>58</v>
      </c>
      <c r="V315" s="1620">
        <v>58</v>
      </c>
      <c r="W315" s="1620">
        <v>58</v>
      </c>
      <c r="X315" s="1620"/>
      <c r="Y315" s="1620">
        <v>37.200000000000003</v>
      </c>
      <c r="Z315" s="1620">
        <v>15.3</v>
      </c>
      <c r="AA315" s="1620">
        <v>6.9</v>
      </c>
      <c r="AB315" s="1620">
        <v>55.9</v>
      </c>
      <c r="AC315" s="1620">
        <v>19.899999999999999</v>
      </c>
      <c r="AD315" s="1620">
        <v>2.8</v>
      </c>
      <c r="AE315" s="1620">
        <v>0</v>
      </c>
      <c r="AF315" s="1620">
        <v>91.999999999999986</v>
      </c>
      <c r="AG315" s="1620">
        <v>21.999999999999996</v>
      </c>
      <c r="AH315" s="1620">
        <v>2.9999999999999996</v>
      </c>
      <c r="AI315" s="1620">
        <v>17</v>
      </c>
      <c r="AJ315" s="1620">
        <v>0</v>
      </c>
      <c r="AK315" s="1620">
        <v>4.9999999999999996E-2</v>
      </c>
      <c r="AL315" s="1620"/>
      <c r="AM315" s="1620">
        <v>6.1</v>
      </c>
      <c r="AN315" s="1620">
        <v>1.5</v>
      </c>
      <c r="AO315" s="1620">
        <v>2</v>
      </c>
      <c r="AP315" s="1620">
        <v>5.4</v>
      </c>
      <c r="AQ315" s="1620">
        <v>1.1000000000000001</v>
      </c>
      <c r="AR315" s="1620">
        <v>5.7</v>
      </c>
      <c r="AS315" s="1620">
        <v>8.1</v>
      </c>
      <c r="AT315" s="1620">
        <v>1.2</v>
      </c>
      <c r="AU315" s="1620">
        <v>2.6</v>
      </c>
      <c r="AV315" s="1620">
        <v>2</v>
      </c>
      <c r="AW315" s="1620">
        <v>5</v>
      </c>
      <c r="AX315" s="1620"/>
      <c r="AY315" s="1620">
        <v>0.89</v>
      </c>
      <c r="AZ315" s="1620">
        <v>1.06</v>
      </c>
      <c r="BA315" s="1620">
        <v>1.04</v>
      </c>
      <c r="BB315" s="1620">
        <v>1.01</v>
      </c>
      <c r="BC315" s="1620">
        <v>1.08</v>
      </c>
      <c r="BD315" s="1620">
        <v>1.05</v>
      </c>
      <c r="BE315" s="1620">
        <v>1.0900000000000001</v>
      </c>
      <c r="BF315" s="1620">
        <v>1.05</v>
      </c>
      <c r="BG315" s="1620">
        <v>1.02</v>
      </c>
      <c r="BH315" s="1620">
        <v>1.1200000000000001</v>
      </c>
      <c r="BI315" s="1620">
        <v>1.05</v>
      </c>
      <c r="BJ315" s="1603"/>
      <c r="BK315" s="1620">
        <v>10.19999999999999</v>
      </c>
      <c r="BL315" s="1620">
        <v>0.69999999999999929</v>
      </c>
      <c r="BM315" s="1620">
        <v>20.699999999999982</v>
      </c>
      <c r="BN315" s="1620">
        <v>0</v>
      </c>
      <c r="BO315" s="1620"/>
      <c r="BP315" s="1620">
        <v>34</v>
      </c>
      <c r="BQ315" s="1620">
        <v>3.74</v>
      </c>
      <c r="BR315" s="1620">
        <v>1.0320104545102597</v>
      </c>
      <c r="BS315" s="1620">
        <v>0.99308706144712477</v>
      </c>
      <c r="BT315" s="1603"/>
      <c r="BU315" s="1620">
        <v>793.00000000000023</v>
      </c>
      <c r="BV315" s="1620">
        <v>674.13142857142896</v>
      </c>
      <c r="BW315" s="1620">
        <v>11.328571428571431</v>
      </c>
      <c r="BX315" s="1620">
        <v>0</v>
      </c>
      <c r="BY315" s="1620" t="s">
        <v>270</v>
      </c>
      <c r="BZ315" s="1620">
        <v>0</v>
      </c>
      <c r="CA315" s="1620">
        <v>0</v>
      </c>
      <c r="CB315" s="1603"/>
      <c r="CC315" s="1603">
        <v>2.5668000000000002</v>
      </c>
      <c r="CD315" s="1603">
        <v>1.0557000000000001</v>
      </c>
      <c r="CE315" s="1603">
        <v>0.47610000000000008</v>
      </c>
      <c r="CF315" s="1603">
        <v>3.8571000000000004</v>
      </c>
      <c r="CG315" s="1603">
        <v>1.3731</v>
      </c>
      <c r="CH315" s="1603">
        <v>0.19320000000000001</v>
      </c>
      <c r="CI315" s="1603">
        <v>0</v>
      </c>
      <c r="CJ315" s="1603"/>
      <c r="CK315" s="1603">
        <v>6.3479999999999999</v>
      </c>
      <c r="CL315" s="1603">
        <v>1.5179999999999998</v>
      </c>
      <c r="CM315" s="1603">
        <v>0.20699999999999999</v>
      </c>
      <c r="CN315" s="1603">
        <v>1.173</v>
      </c>
      <c r="CO315" s="1603">
        <v>0</v>
      </c>
      <c r="CP315" s="1603">
        <v>3.4499999999999999E-3</v>
      </c>
      <c r="CQ315" s="1603">
        <v>5.9823000000000004</v>
      </c>
      <c r="CR315" s="1603">
        <v>84.010776849294018</v>
      </c>
      <c r="CS315" s="1603">
        <v>4.5609450751481724</v>
      </c>
      <c r="CT315" s="1603">
        <v>1.3357713519037751</v>
      </c>
      <c r="CU315" s="1603">
        <v>1.7474241584653156</v>
      </c>
      <c r="CV315" s="1603">
        <v>3.0831955103690909</v>
      </c>
      <c r="CW315" s="1603">
        <v>4.5819477693604949</v>
      </c>
      <c r="CX315" s="1603">
        <v>0.99804802896961331</v>
      </c>
      <c r="CY315" s="1603">
        <v>5.0280449944302479</v>
      </c>
      <c r="CZ315" s="1603">
        <v>7.4173114880241693</v>
      </c>
      <c r="DA315" s="1603">
        <v>1.0585357883011046</v>
      </c>
      <c r="DB315" s="1603">
        <v>2.2279658020432773</v>
      </c>
      <c r="DC315" s="1603">
        <v>1.8818414014241862</v>
      </c>
      <c r="DD315" s="1603">
        <v>4.1098072034674633</v>
      </c>
      <c r="DE315" s="1603">
        <v>4.4105657845879351</v>
      </c>
      <c r="DF315" s="1603">
        <v>0</v>
      </c>
      <c r="DG315" s="1603">
        <v>0</v>
      </c>
      <c r="DH315" s="1603">
        <v>0</v>
      </c>
      <c r="DI315" s="1603">
        <v>0</v>
      </c>
      <c r="DJ315" s="1603">
        <v>0</v>
      </c>
      <c r="DK315" s="1603">
        <v>0</v>
      </c>
      <c r="DL315" s="1603">
        <v>0</v>
      </c>
      <c r="DM315" s="1603">
        <v>0</v>
      </c>
      <c r="DN315" s="1603">
        <v>0</v>
      </c>
      <c r="DO315" s="1603">
        <v>0</v>
      </c>
      <c r="DP315" s="1603">
        <v>0</v>
      </c>
      <c r="DQ315" s="1603">
        <v>0</v>
      </c>
      <c r="DR315" s="1603">
        <v>0</v>
      </c>
      <c r="DS315" s="1603">
        <v>0</v>
      </c>
      <c r="DT315" s="1603">
        <v>0</v>
      </c>
      <c r="DU315" s="1603">
        <v>0</v>
      </c>
      <c r="DV315" s="1603">
        <v>0</v>
      </c>
      <c r="DW315" s="1618" t="s">
        <v>2975</v>
      </c>
      <c r="DX315" s="1605">
        <v>6</v>
      </c>
      <c r="DY315" s="1605">
        <v>6</v>
      </c>
      <c r="DZ315" s="1605">
        <v>6</v>
      </c>
      <c r="EA315" s="1605">
        <v>6</v>
      </c>
      <c r="EB315" s="1605" t="s">
        <v>986</v>
      </c>
      <c r="EC315" s="1605" t="s">
        <v>986</v>
      </c>
      <c r="ED315" s="1605" t="s">
        <v>986</v>
      </c>
      <c r="EE315" s="1605" t="s">
        <v>986</v>
      </c>
      <c r="EF315" s="1605" t="s">
        <v>986</v>
      </c>
      <c r="EG315" s="1605" t="s">
        <v>986</v>
      </c>
      <c r="EH315" s="1605">
        <v>1</v>
      </c>
      <c r="EI315" s="1605">
        <v>1</v>
      </c>
      <c r="EJ315" s="1605">
        <v>1</v>
      </c>
      <c r="EK315" s="1605">
        <v>1</v>
      </c>
      <c r="EL315" s="1605">
        <v>1</v>
      </c>
      <c r="EM315" s="1605">
        <v>1</v>
      </c>
      <c r="EN315" s="1605">
        <v>1</v>
      </c>
      <c r="EO315" s="1605">
        <v>1</v>
      </c>
      <c r="EP315" s="1605">
        <v>1</v>
      </c>
      <c r="EQ315" s="1605">
        <v>1</v>
      </c>
      <c r="ER315" s="1605">
        <v>1</v>
      </c>
      <c r="ES315" s="1605">
        <v>6</v>
      </c>
      <c r="ET315" s="1605">
        <v>6</v>
      </c>
      <c r="EU315" s="1605">
        <v>6</v>
      </c>
      <c r="EV315" s="1605" t="s">
        <v>986</v>
      </c>
      <c r="EW315" s="1605">
        <v>6</v>
      </c>
      <c r="EX315" s="1605">
        <v>6</v>
      </c>
      <c r="EY315" s="1605" t="s">
        <v>986</v>
      </c>
      <c r="EZ315" s="1605" t="s">
        <v>986</v>
      </c>
      <c r="FA315" s="1605" t="s">
        <v>986</v>
      </c>
      <c r="FB315" s="1605" t="s">
        <v>986</v>
      </c>
      <c r="FC315" s="1605" t="s">
        <v>986</v>
      </c>
      <c r="FD315" s="1605" t="s">
        <v>986</v>
      </c>
      <c r="FE315" s="1605" t="s">
        <v>986</v>
      </c>
      <c r="FF315" s="1605">
        <v>0.10666145820617041</v>
      </c>
      <c r="FG315" s="1605">
        <v>1.5945965942733824</v>
      </c>
      <c r="FH315" s="1605">
        <v>0.34090519017200288</v>
      </c>
      <c r="FI315" s="1605">
        <v>1.3957259292674757</v>
      </c>
      <c r="FJ315" s="1605" t="s">
        <v>986</v>
      </c>
      <c r="FK315" s="1605" t="s">
        <v>986</v>
      </c>
      <c r="FL315" s="1605" t="s">
        <v>986</v>
      </c>
      <c r="FM315" s="1605" t="s">
        <v>986</v>
      </c>
      <c r="FN315" s="1605" t="s">
        <v>986</v>
      </c>
      <c r="FO315" s="1605" t="s">
        <v>986</v>
      </c>
      <c r="FP315" s="1605" t="s">
        <v>986</v>
      </c>
      <c r="FQ315" s="1605" t="s">
        <v>986</v>
      </c>
      <c r="FR315" s="1605" t="s">
        <v>986</v>
      </c>
      <c r="FS315" s="1605" t="s">
        <v>986</v>
      </c>
      <c r="FT315" s="1605" t="s">
        <v>986</v>
      </c>
      <c r="FU315" s="1605" t="s">
        <v>986</v>
      </c>
      <c r="FV315" s="1605" t="s">
        <v>986</v>
      </c>
      <c r="FW315" s="1605" t="s">
        <v>986</v>
      </c>
      <c r="FX315" s="1605" t="s">
        <v>986</v>
      </c>
      <c r="FY315" s="1605" t="s">
        <v>986</v>
      </c>
      <c r="FZ315" s="1605" t="s">
        <v>986</v>
      </c>
      <c r="GA315" s="1605">
        <v>3.770749909985827</v>
      </c>
      <c r="GB315" s="1605">
        <v>1.6040382572124663</v>
      </c>
      <c r="GC315" s="1605">
        <v>0.96174243225365086</v>
      </c>
      <c r="GD315" s="1605">
        <v>4.8144974159167644</v>
      </c>
      <c r="GE315" s="1605">
        <v>4.0804001038080235</v>
      </c>
      <c r="GF315" s="1605">
        <v>0.13063325346453838</v>
      </c>
      <c r="GG315" s="1605" t="s">
        <v>986</v>
      </c>
      <c r="GH315" s="1605" t="s">
        <v>986</v>
      </c>
      <c r="GI315" s="1605" t="s">
        <v>986</v>
      </c>
      <c r="GJ315" s="1605" t="s">
        <v>986</v>
      </c>
      <c r="GK315" s="1605" t="s">
        <v>986</v>
      </c>
      <c r="GL315" s="1605" t="s">
        <v>986</v>
      </c>
      <c r="GM315" s="1605" t="s">
        <v>986</v>
      </c>
      <c r="GN315" s="1605" t="s">
        <v>2217</v>
      </c>
      <c r="GO315" s="1605" t="s">
        <v>2217</v>
      </c>
      <c r="GP315" s="1605" t="s">
        <v>2217</v>
      </c>
      <c r="GQ315" s="1605" t="s">
        <v>2217</v>
      </c>
      <c r="GR315" s="1605" t="s">
        <v>986</v>
      </c>
      <c r="GS315" s="1605" t="s">
        <v>986</v>
      </c>
      <c r="GT315" s="1605" t="s">
        <v>986</v>
      </c>
      <c r="GU315" s="1605" t="s">
        <v>986</v>
      </c>
      <c r="GV315" s="1605" t="s">
        <v>986</v>
      </c>
      <c r="GW315" s="1605" t="s">
        <v>986</v>
      </c>
      <c r="GX315" s="1605" t="s">
        <v>1594</v>
      </c>
      <c r="GY315" s="1605" t="s">
        <v>1594</v>
      </c>
      <c r="GZ315" s="1605" t="s">
        <v>1594</v>
      </c>
      <c r="HA315" s="1605" t="s">
        <v>1594</v>
      </c>
      <c r="HB315" s="1605" t="s">
        <v>1594</v>
      </c>
      <c r="HC315" s="1605" t="s">
        <v>1594</v>
      </c>
      <c r="HD315" s="1605" t="s">
        <v>1594</v>
      </c>
      <c r="HE315" s="1605" t="s">
        <v>1594</v>
      </c>
      <c r="HF315" s="1605" t="s">
        <v>1594</v>
      </c>
      <c r="HG315" s="1605" t="s">
        <v>1594</v>
      </c>
      <c r="HH315" s="1605" t="s">
        <v>1594</v>
      </c>
      <c r="HI315" s="1605" t="s">
        <v>2217</v>
      </c>
      <c r="HJ315" s="1605" t="s">
        <v>2217</v>
      </c>
      <c r="HK315" s="1605" t="s">
        <v>2217</v>
      </c>
      <c r="HL315" s="1605" t="s">
        <v>986</v>
      </c>
      <c r="HM315" s="1605" t="s">
        <v>2217</v>
      </c>
      <c r="HN315" s="1605" t="s">
        <v>2217</v>
      </c>
      <c r="HO315" s="1605" t="s">
        <v>986</v>
      </c>
      <c r="HP315" s="1605" t="s">
        <v>986</v>
      </c>
      <c r="HQ315" s="1605" t="s">
        <v>986</v>
      </c>
      <c r="HR315" s="1605" t="s">
        <v>986</v>
      </c>
      <c r="HS315" s="1605" t="s">
        <v>986</v>
      </c>
      <c r="HT315" s="1605" t="s">
        <v>986</v>
      </c>
      <c r="HU315" s="1605" t="s">
        <v>986</v>
      </c>
      <c r="HV315" s="1617"/>
      <c r="HW315" s="1617" t="s">
        <v>2984</v>
      </c>
      <c r="HX315" s="1617" t="s">
        <v>2983</v>
      </c>
      <c r="HY315" s="1617" t="s">
        <v>2982</v>
      </c>
      <c r="HZ315" s="1603"/>
      <c r="IA315" s="1603"/>
      <c r="IB315" s="1603"/>
      <c r="IC315" s="1603">
        <v>58</v>
      </c>
      <c r="ID315" s="1603">
        <v>58</v>
      </c>
      <c r="IE315" s="1603">
        <v>58</v>
      </c>
      <c r="IF315" s="1603">
        <v>58</v>
      </c>
      <c r="IG315" s="1611" t="s">
        <v>2981</v>
      </c>
      <c r="IH315" s="1616" t="s">
        <v>270</v>
      </c>
      <c r="II315" s="1615" t="s">
        <v>270</v>
      </c>
      <c r="IJ315" s="1613">
        <v>0.65030061349693247</v>
      </c>
      <c r="IK315" s="1613">
        <v>0.59406339468302671</v>
      </c>
      <c r="IL315" s="1614">
        <v>0.65030061349693247</v>
      </c>
      <c r="IM315" s="1614">
        <v>0.59406339468302671</v>
      </c>
      <c r="IN315" s="1612" t="s">
        <v>270</v>
      </c>
      <c r="IO315" s="1613" t="s">
        <v>270</v>
      </c>
      <c r="IP315" s="1607" t="s">
        <v>270</v>
      </c>
      <c r="IQ315" s="1612" t="s">
        <v>270</v>
      </c>
      <c r="IR315" s="1612" t="s">
        <v>270</v>
      </c>
      <c r="IS315" s="1607">
        <v>0.47730061349693254</v>
      </c>
      <c r="IT315" s="1607">
        <v>0.42106339468302667</v>
      </c>
      <c r="IU315" s="1611">
        <v>0</v>
      </c>
      <c r="IV315" s="1611">
        <v>1.6359918200409E-3</v>
      </c>
      <c r="IW315" s="1611">
        <v>2.044989775051125E-4</v>
      </c>
      <c r="IX315" s="1611">
        <v>1.0224948875255625E-3</v>
      </c>
      <c r="IY315" s="1611">
        <v>2.044989775051125E-4</v>
      </c>
      <c r="IZ315" s="1611">
        <v>7.770961145194274E-3</v>
      </c>
      <c r="JA315" s="1611">
        <v>0</v>
      </c>
      <c r="JB315" s="1611" t="s">
        <v>270</v>
      </c>
      <c r="JC315" s="1611">
        <v>3.2310838445807774E-2</v>
      </c>
      <c r="JD315" s="1611">
        <v>8.1799591002045002E-4</v>
      </c>
      <c r="JE315" s="1611" t="s">
        <v>270</v>
      </c>
      <c r="JF315" s="1611">
        <v>0</v>
      </c>
      <c r="JG315" s="1611">
        <v>0.67402862985685086</v>
      </c>
      <c r="JH315" s="1611">
        <v>0</v>
      </c>
      <c r="JI315" s="1611">
        <v>2.2085889570552148E-2</v>
      </c>
      <c r="JJ315" s="1611" t="s">
        <v>270</v>
      </c>
      <c r="JK315" s="1607">
        <f t="shared" si="13"/>
        <v>0.17299999999999993</v>
      </c>
      <c r="JL315" s="1608" t="s">
        <v>270</v>
      </c>
      <c r="JM315" s="1610" t="s">
        <v>2924</v>
      </c>
      <c r="JN315" s="1608">
        <v>5.6237218813905865E-2</v>
      </c>
      <c r="JO315" s="1609" t="s">
        <v>2955</v>
      </c>
      <c r="JP315" s="1608" t="s">
        <v>270</v>
      </c>
      <c r="JQ315" s="1607">
        <v>202103</v>
      </c>
      <c r="JR315" s="1606">
        <v>191</v>
      </c>
      <c r="JS315" s="1606">
        <v>211</v>
      </c>
      <c r="JT315" s="1606">
        <v>211</v>
      </c>
    </row>
    <row r="316" spans="1:280" ht="15" customHeight="1" x14ac:dyDescent="0.2">
      <c r="A316" s="1626">
        <v>77207</v>
      </c>
      <c r="B316" s="1625">
        <v>772</v>
      </c>
      <c r="C316" s="1624">
        <v>7</v>
      </c>
      <c r="D316" s="1623" t="s">
        <v>2994</v>
      </c>
      <c r="E316" s="1622">
        <v>44439</v>
      </c>
      <c r="F316" s="1620">
        <v>4.5861531138211384E-2</v>
      </c>
      <c r="G316" s="1620">
        <v>4.4118361870129866E-2</v>
      </c>
      <c r="H316" s="1621">
        <v>99</v>
      </c>
      <c r="I316" s="1621">
        <v>98</v>
      </c>
      <c r="J316" s="1621">
        <v>98</v>
      </c>
      <c r="K316" s="1620">
        <v>0.86</v>
      </c>
      <c r="L316" s="1620">
        <v>3.5</v>
      </c>
      <c r="M316" s="1620">
        <v>0.55649999999999999</v>
      </c>
      <c r="N316" s="1620">
        <v>0.18900000000000003</v>
      </c>
      <c r="O316" s="1620">
        <v>0.24500000000000002</v>
      </c>
      <c r="P316" s="1620">
        <v>0</v>
      </c>
      <c r="Q316" s="1603"/>
      <c r="R316" s="1620">
        <v>85</v>
      </c>
      <c r="S316" s="1620">
        <v>58</v>
      </c>
      <c r="T316" s="1620">
        <v>58</v>
      </c>
      <c r="U316" s="1620">
        <v>58</v>
      </c>
      <c r="V316" s="1620">
        <v>58</v>
      </c>
      <c r="W316" s="1620">
        <v>58</v>
      </c>
      <c r="X316" s="1620"/>
      <c r="Y316" s="1620">
        <v>9.9</v>
      </c>
      <c r="Z316" s="1620">
        <v>7.7</v>
      </c>
      <c r="AA316" s="1620">
        <v>5.6</v>
      </c>
      <c r="AB316" s="1620">
        <v>1.3</v>
      </c>
      <c r="AC316" s="1620">
        <v>20.6</v>
      </c>
      <c r="AD316" s="1620">
        <v>1.5</v>
      </c>
      <c r="AE316" s="1620">
        <v>0</v>
      </c>
      <c r="AF316" s="1620">
        <v>91.999999999999986</v>
      </c>
      <c r="AG316" s="1620">
        <v>22.000000000000007</v>
      </c>
      <c r="AH316" s="1620">
        <v>3.0000000000000084</v>
      </c>
      <c r="AI316" s="1620">
        <v>16.999999999999993</v>
      </c>
      <c r="AJ316" s="1620">
        <v>0</v>
      </c>
      <c r="AK316" s="1620">
        <v>4.9999999999999864E-2</v>
      </c>
      <c r="AL316" s="1620"/>
      <c r="AM316" s="1620">
        <v>6.1</v>
      </c>
      <c r="AN316" s="1620">
        <v>1.5</v>
      </c>
      <c r="AO316" s="1620">
        <v>2</v>
      </c>
      <c r="AP316" s="1620">
        <v>5.4</v>
      </c>
      <c r="AQ316" s="1620">
        <v>1.1000000000000001</v>
      </c>
      <c r="AR316" s="1620">
        <v>5.7</v>
      </c>
      <c r="AS316" s="1620">
        <v>8.1</v>
      </c>
      <c r="AT316" s="1620">
        <v>1.2</v>
      </c>
      <c r="AU316" s="1620">
        <v>2.6</v>
      </c>
      <c r="AV316" s="1620">
        <v>2</v>
      </c>
      <c r="AW316" s="1620">
        <v>5</v>
      </c>
      <c r="AX316" s="1620"/>
      <c r="AY316" s="1620">
        <v>0.89</v>
      </c>
      <c r="AZ316" s="1620">
        <v>1.06</v>
      </c>
      <c r="BA316" s="1620">
        <v>1.04</v>
      </c>
      <c r="BB316" s="1620">
        <v>1.01</v>
      </c>
      <c r="BC316" s="1620">
        <v>1.08</v>
      </c>
      <c r="BD316" s="1620">
        <v>1.05</v>
      </c>
      <c r="BE316" s="1620">
        <v>1.0900000000000001</v>
      </c>
      <c r="BF316" s="1620">
        <v>1.05</v>
      </c>
      <c r="BG316" s="1620">
        <v>1.02</v>
      </c>
      <c r="BH316" s="1620">
        <v>1.1200000000000001</v>
      </c>
      <c r="BI316" s="1620">
        <v>1.05</v>
      </c>
      <c r="BJ316" s="1603"/>
      <c r="BK316" s="1620">
        <v>15.9</v>
      </c>
      <c r="BL316" s="1620">
        <v>5.4</v>
      </c>
      <c r="BM316" s="1620">
        <v>7.0000000000000009</v>
      </c>
      <c r="BN316" s="1620">
        <v>0</v>
      </c>
      <c r="BO316" s="1620"/>
      <c r="BP316" s="1620">
        <v>34</v>
      </c>
      <c r="BQ316" s="1620">
        <v>5.7799999999999887</v>
      </c>
      <c r="BR316" s="1620">
        <v>1.3103294610917537</v>
      </c>
      <c r="BS316" s="1620">
        <v>1.2605246248608533</v>
      </c>
      <c r="BT316" s="1603"/>
      <c r="BU316" s="1620">
        <v>930</v>
      </c>
      <c r="BV316" s="1620">
        <v>710.34428571428566</v>
      </c>
      <c r="BW316" s="1620">
        <v>13.285714285714286</v>
      </c>
      <c r="BX316" s="1620">
        <v>0</v>
      </c>
      <c r="BY316" s="1620" t="s">
        <v>270</v>
      </c>
      <c r="BZ316" s="1620">
        <v>0</v>
      </c>
      <c r="CA316" s="1620">
        <v>0</v>
      </c>
      <c r="CB316" s="1603"/>
      <c r="CC316" s="1603">
        <v>0.34650000000000003</v>
      </c>
      <c r="CD316" s="1603">
        <v>0.26950000000000002</v>
      </c>
      <c r="CE316" s="1603">
        <v>0.19600000000000001</v>
      </c>
      <c r="CF316" s="1603">
        <v>4.5500000000000006E-2</v>
      </c>
      <c r="CG316" s="1603">
        <v>0.72100000000000009</v>
      </c>
      <c r="CH316" s="1603">
        <v>5.2500000000000005E-2</v>
      </c>
      <c r="CI316" s="1603">
        <v>0</v>
      </c>
      <c r="CJ316" s="1603"/>
      <c r="CK316" s="1603">
        <v>3.2199999999999998</v>
      </c>
      <c r="CL316" s="1603">
        <v>0.77000000000000035</v>
      </c>
      <c r="CM316" s="1603">
        <v>0.1050000000000003</v>
      </c>
      <c r="CN316" s="1603">
        <v>0.59499999999999986</v>
      </c>
      <c r="CO316" s="1603">
        <v>0</v>
      </c>
      <c r="CP316" s="1603">
        <v>1.7499999999999955E-3</v>
      </c>
      <c r="CQ316" s="1603">
        <v>4.7302499999999998</v>
      </c>
      <c r="CR316" s="1603">
        <v>103.14199902625583</v>
      </c>
      <c r="CS316" s="1603">
        <v>5.5995791271354278</v>
      </c>
      <c r="CT316" s="1603">
        <v>1.639957784517468</v>
      </c>
      <c r="CU316" s="1603">
        <v>2.1453535797461214</v>
      </c>
      <c r="CV316" s="1603">
        <v>3.7853113642635892</v>
      </c>
      <c r="CW316" s="1603">
        <v>5.6253646268919928</v>
      </c>
      <c r="CX316" s="1603">
        <v>1.2253269484319194</v>
      </c>
      <c r="CY316" s="1603">
        <v>6.1730486417214108</v>
      </c>
      <c r="CZ316" s="1603">
        <v>9.1064070940281265</v>
      </c>
      <c r="DA316" s="1603">
        <v>1.2995891877308232</v>
      </c>
      <c r="DB316" s="1603">
        <v>2.7353258141763046</v>
      </c>
      <c r="DC316" s="1603">
        <v>2.3103807781881307</v>
      </c>
      <c r="DD316" s="1603">
        <v>5.0457065923644357</v>
      </c>
      <c r="DE316" s="1603">
        <v>5.4149549488784299</v>
      </c>
      <c r="DF316" s="1603">
        <v>0</v>
      </c>
      <c r="DG316" s="1603">
        <v>0</v>
      </c>
      <c r="DH316" s="1603">
        <v>0</v>
      </c>
      <c r="DI316" s="1603">
        <v>0</v>
      </c>
      <c r="DJ316" s="1603">
        <v>0</v>
      </c>
      <c r="DK316" s="1603">
        <v>0</v>
      </c>
      <c r="DL316" s="1603">
        <v>0</v>
      </c>
      <c r="DM316" s="1603">
        <v>0</v>
      </c>
      <c r="DN316" s="1603">
        <v>0</v>
      </c>
      <c r="DO316" s="1603">
        <v>0</v>
      </c>
      <c r="DP316" s="1603">
        <v>0</v>
      </c>
      <c r="DQ316" s="1603">
        <v>0</v>
      </c>
      <c r="DR316" s="1603">
        <v>0</v>
      </c>
      <c r="DS316" s="1603">
        <v>0</v>
      </c>
      <c r="DT316" s="1603">
        <v>0</v>
      </c>
      <c r="DU316" s="1603">
        <v>0</v>
      </c>
      <c r="DV316" s="1603">
        <v>0</v>
      </c>
      <c r="DW316" s="1618" t="s">
        <v>2975</v>
      </c>
      <c r="DX316" s="1605">
        <v>6</v>
      </c>
      <c r="DY316" s="1605">
        <v>6</v>
      </c>
      <c r="DZ316" s="1605">
        <v>6</v>
      </c>
      <c r="EA316" s="1605">
        <v>6</v>
      </c>
      <c r="EB316" s="1605" t="s">
        <v>986</v>
      </c>
      <c r="EC316" s="1605" t="s">
        <v>986</v>
      </c>
      <c r="ED316" s="1605" t="s">
        <v>986</v>
      </c>
      <c r="EE316" s="1605" t="s">
        <v>986</v>
      </c>
      <c r="EF316" s="1605" t="s">
        <v>986</v>
      </c>
      <c r="EG316" s="1605" t="s">
        <v>986</v>
      </c>
      <c r="EH316" s="1605">
        <v>1</v>
      </c>
      <c r="EI316" s="1605">
        <v>1</v>
      </c>
      <c r="EJ316" s="1605">
        <v>1</v>
      </c>
      <c r="EK316" s="1605">
        <v>1</v>
      </c>
      <c r="EL316" s="1605">
        <v>1</v>
      </c>
      <c r="EM316" s="1605">
        <v>1</v>
      </c>
      <c r="EN316" s="1605">
        <v>1</v>
      </c>
      <c r="EO316" s="1605">
        <v>1</v>
      </c>
      <c r="EP316" s="1605">
        <v>1</v>
      </c>
      <c r="EQ316" s="1605">
        <v>1</v>
      </c>
      <c r="ER316" s="1605">
        <v>1</v>
      </c>
      <c r="ES316" s="1605">
        <v>6</v>
      </c>
      <c r="ET316" s="1605">
        <v>6</v>
      </c>
      <c r="EU316" s="1605">
        <v>6</v>
      </c>
      <c r="EV316" s="1605" t="s">
        <v>986</v>
      </c>
      <c r="EW316" s="1605">
        <v>6</v>
      </c>
      <c r="EX316" s="1605">
        <v>6</v>
      </c>
      <c r="EY316" s="1605" t="s">
        <v>986</v>
      </c>
      <c r="EZ316" s="1605" t="s">
        <v>986</v>
      </c>
      <c r="FA316" s="1605" t="s">
        <v>986</v>
      </c>
      <c r="FB316" s="1605" t="s">
        <v>986</v>
      </c>
      <c r="FC316" s="1605" t="s">
        <v>986</v>
      </c>
      <c r="FD316" s="1605" t="s">
        <v>986</v>
      </c>
      <c r="FE316" s="1605" t="s">
        <v>986</v>
      </c>
      <c r="FF316" s="1605">
        <v>0.17747300264171645</v>
      </c>
      <c r="FG316" s="1605">
        <v>2.1034524137489576</v>
      </c>
      <c r="FH316" s="1605">
        <v>0.61055328256049368</v>
      </c>
      <c r="FI316" s="1605">
        <v>0.54755388402174088</v>
      </c>
      <c r="FJ316" s="1605" t="s">
        <v>986</v>
      </c>
      <c r="FK316" s="1605" t="s">
        <v>986</v>
      </c>
      <c r="FL316" s="1605" t="s">
        <v>986</v>
      </c>
      <c r="FM316" s="1605" t="s">
        <v>986</v>
      </c>
      <c r="FN316" s="1605" t="s">
        <v>986</v>
      </c>
      <c r="FO316" s="1605" t="s">
        <v>986</v>
      </c>
      <c r="FP316" s="1605" t="s">
        <v>986</v>
      </c>
      <c r="FQ316" s="1605" t="s">
        <v>986</v>
      </c>
      <c r="FR316" s="1605" t="s">
        <v>986</v>
      </c>
      <c r="FS316" s="1605" t="s">
        <v>986</v>
      </c>
      <c r="FT316" s="1605" t="s">
        <v>986</v>
      </c>
      <c r="FU316" s="1605" t="s">
        <v>986</v>
      </c>
      <c r="FV316" s="1605" t="s">
        <v>986</v>
      </c>
      <c r="FW316" s="1605" t="s">
        <v>986</v>
      </c>
      <c r="FX316" s="1605" t="s">
        <v>986</v>
      </c>
      <c r="FY316" s="1605" t="s">
        <v>986</v>
      </c>
      <c r="FZ316" s="1605" t="s">
        <v>986</v>
      </c>
      <c r="GA316" s="1605">
        <v>1.1558181474195557</v>
      </c>
      <c r="GB316" s="1605">
        <v>0.56841933761576602</v>
      </c>
      <c r="GC316" s="1605">
        <v>0.56504717373940117</v>
      </c>
      <c r="GD316" s="1605">
        <v>9.605419248635462E-2</v>
      </c>
      <c r="GE316" s="1605">
        <v>2.3902920200488587</v>
      </c>
      <c r="GF316" s="1605">
        <v>0.11658424003414775</v>
      </c>
      <c r="GG316" s="1605" t="s">
        <v>986</v>
      </c>
      <c r="GH316" s="1605" t="s">
        <v>986</v>
      </c>
      <c r="GI316" s="1605" t="s">
        <v>986</v>
      </c>
      <c r="GJ316" s="1605" t="s">
        <v>986</v>
      </c>
      <c r="GK316" s="1605" t="s">
        <v>986</v>
      </c>
      <c r="GL316" s="1605" t="s">
        <v>986</v>
      </c>
      <c r="GM316" s="1605" t="s">
        <v>986</v>
      </c>
      <c r="GN316" s="1605" t="s">
        <v>2217</v>
      </c>
      <c r="GO316" s="1605" t="s">
        <v>2217</v>
      </c>
      <c r="GP316" s="1605" t="s">
        <v>2217</v>
      </c>
      <c r="GQ316" s="1605" t="s">
        <v>2217</v>
      </c>
      <c r="GR316" s="1605" t="s">
        <v>986</v>
      </c>
      <c r="GS316" s="1605" t="s">
        <v>986</v>
      </c>
      <c r="GT316" s="1605" t="s">
        <v>986</v>
      </c>
      <c r="GU316" s="1605" t="s">
        <v>986</v>
      </c>
      <c r="GV316" s="1605" t="s">
        <v>986</v>
      </c>
      <c r="GW316" s="1605" t="s">
        <v>986</v>
      </c>
      <c r="GX316" s="1605" t="s">
        <v>1594</v>
      </c>
      <c r="GY316" s="1605" t="s">
        <v>1594</v>
      </c>
      <c r="GZ316" s="1605" t="s">
        <v>1594</v>
      </c>
      <c r="HA316" s="1605" t="s">
        <v>1594</v>
      </c>
      <c r="HB316" s="1605" t="s">
        <v>1594</v>
      </c>
      <c r="HC316" s="1605" t="s">
        <v>1594</v>
      </c>
      <c r="HD316" s="1605" t="s">
        <v>1594</v>
      </c>
      <c r="HE316" s="1605" t="s">
        <v>1594</v>
      </c>
      <c r="HF316" s="1605" t="s">
        <v>1594</v>
      </c>
      <c r="HG316" s="1605" t="s">
        <v>1594</v>
      </c>
      <c r="HH316" s="1605" t="s">
        <v>1594</v>
      </c>
      <c r="HI316" s="1605" t="s">
        <v>2217</v>
      </c>
      <c r="HJ316" s="1605" t="s">
        <v>2217</v>
      </c>
      <c r="HK316" s="1605" t="s">
        <v>2217</v>
      </c>
      <c r="HL316" s="1605" t="s">
        <v>986</v>
      </c>
      <c r="HM316" s="1605" t="s">
        <v>2217</v>
      </c>
      <c r="HN316" s="1605" t="s">
        <v>2217</v>
      </c>
      <c r="HO316" s="1605" t="s">
        <v>986</v>
      </c>
      <c r="HP316" s="1605" t="s">
        <v>986</v>
      </c>
      <c r="HQ316" s="1605" t="s">
        <v>986</v>
      </c>
      <c r="HR316" s="1605" t="s">
        <v>986</v>
      </c>
      <c r="HS316" s="1605" t="s">
        <v>986</v>
      </c>
      <c r="HT316" s="1605" t="s">
        <v>986</v>
      </c>
      <c r="HU316" s="1605" t="s">
        <v>986</v>
      </c>
      <c r="HV316" s="1617"/>
      <c r="HW316" s="1617" t="s">
        <v>2984</v>
      </c>
      <c r="HX316" s="1617" t="s">
        <v>2983</v>
      </c>
      <c r="HY316" s="1617" t="s">
        <v>2982</v>
      </c>
      <c r="HZ316" s="1603"/>
      <c r="IA316" s="1603"/>
      <c r="IB316" s="1603"/>
      <c r="IC316" s="1603">
        <v>58</v>
      </c>
      <c r="ID316" s="1603">
        <v>58</v>
      </c>
      <c r="IE316" s="1603">
        <v>58</v>
      </c>
      <c r="IF316" s="1603">
        <v>58</v>
      </c>
      <c r="IG316" s="1611" t="s">
        <v>2981</v>
      </c>
      <c r="IH316" s="1616" t="s">
        <v>2980</v>
      </c>
      <c r="II316" s="1615" t="s">
        <v>2979</v>
      </c>
      <c r="IJ316" s="1613">
        <v>0.65030061349693247</v>
      </c>
      <c r="IK316" s="1613">
        <v>0.59406339468302671</v>
      </c>
      <c r="IL316" s="1614">
        <v>0.65030061349693247</v>
      </c>
      <c r="IM316" s="1614">
        <v>0.59406339468302671</v>
      </c>
      <c r="IN316" s="1612" t="s">
        <v>270</v>
      </c>
      <c r="IO316" s="1613" t="s">
        <v>270</v>
      </c>
      <c r="IP316" s="1607" t="s">
        <v>270</v>
      </c>
      <c r="IQ316" s="1612" t="s">
        <v>270</v>
      </c>
      <c r="IR316" s="1612" t="s">
        <v>270</v>
      </c>
      <c r="IS316" s="1607">
        <v>0.47730061349693254</v>
      </c>
      <c r="IT316" s="1607">
        <v>0.42106339468302667</v>
      </c>
      <c r="IU316" s="1611">
        <v>0</v>
      </c>
      <c r="IV316" s="1611">
        <v>1.6359918200409E-3</v>
      </c>
      <c r="IW316" s="1611">
        <v>2.044989775051125E-4</v>
      </c>
      <c r="IX316" s="1611">
        <v>1.0224948875255625E-3</v>
      </c>
      <c r="IY316" s="1611">
        <v>2.044989775051125E-4</v>
      </c>
      <c r="IZ316" s="1611">
        <v>7.770961145194274E-3</v>
      </c>
      <c r="JA316" s="1611">
        <v>0</v>
      </c>
      <c r="JB316" s="1611" t="s">
        <v>270</v>
      </c>
      <c r="JC316" s="1611">
        <v>3.2310838445807774E-2</v>
      </c>
      <c r="JD316" s="1611">
        <v>8.1799591002045002E-4</v>
      </c>
      <c r="JE316" s="1611" t="s">
        <v>270</v>
      </c>
      <c r="JF316" s="1611">
        <v>0</v>
      </c>
      <c r="JG316" s="1611">
        <v>0.67402862985685086</v>
      </c>
      <c r="JH316" s="1611">
        <v>0</v>
      </c>
      <c r="JI316" s="1611">
        <v>2.2085889570552148E-2</v>
      </c>
      <c r="JJ316" s="1611" t="s">
        <v>270</v>
      </c>
      <c r="JK316" s="1607">
        <f t="shared" si="13"/>
        <v>0.17299999999999993</v>
      </c>
      <c r="JL316" s="1608" t="s">
        <v>270</v>
      </c>
      <c r="JM316" s="1610" t="s">
        <v>2924</v>
      </c>
      <c r="JN316" s="1608">
        <v>5.6237218813905865E-2</v>
      </c>
      <c r="JO316" s="1609" t="s">
        <v>2955</v>
      </c>
      <c r="JP316" s="1608" t="s">
        <v>270</v>
      </c>
      <c r="JQ316" s="1607">
        <v>202103</v>
      </c>
      <c r="JR316" s="1606">
        <v>191</v>
      </c>
      <c r="JS316" s="1606">
        <v>211</v>
      </c>
      <c r="JT316" s="1606">
        <v>211</v>
      </c>
    </row>
    <row r="317" spans="1:280" ht="15" customHeight="1" x14ac:dyDescent="0.2">
      <c r="A317" s="1626">
        <v>77203</v>
      </c>
      <c r="B317" s="1625">
        <v>772</v>
      </c>
      <c r="C317" s="1624">
        <v>3</v>
      </c>
      <c r="D317" s="1623" t="s">
        <v>2993</v>
      </c>
      <c r="E317" s="1622">
        <v>44439</v>
      </c>
      <c r="F317" s="1620">
        <v>5.5687061203252071E-2</v>
      </c>
      <c r="G317" s="1620">
        <v>5.3563700724155894E-2</v>
      </c>
      <c r="H317" s="1621">
        <v>99</v>
      </c>
      <c r="I317" s="1621">
        <v>98</v>
      </c>
      <c r="J317" s="1621">
        <v>98</v>
      </c>
      <c r="K317" s="1620">
        <v>0.86</v>
      </c>
      <c r="L317" s="1620">
        <v>4.2</v>
      </c>
      <c r="M317" s="1620">
        <v>0.4914</v>
      </c>
      <c r="N317" s="1620">
        <v>0.30659999999999998</v>
      </c>
      <c r="O317" s="1620">
        <v>0.38219999999999998</v>
      </c>
      <c r="P317" s="1620">
        <v>0</v>
      </c>
      <c r="Q317" s="1603"/>
      <c r="R317" s="1620">
        <v>85</v>
      </c>
      <c r="S317" s="1620">
        <v>58</v>
      </c>
      <c r="T317" s="1620">
        <v>58</v>
      </c>
      <c r="U317" s="1620">
        <v>58</v>
      </c>
      <c r="V317" s="1620">
        <v>58</v>
      </c>
      <c r="W317" s="1620">
        <v>58</v>
      </c>
      <c r="X317" s="1620"/>
      <c r="Y317" s="1620">
        <v>7.7</v>
      </c>
      <c r="Z317" s="1620">
        <v>7.5</v>
      </c>
      <c r="AA317" s="1620">
        <v>6.2</v>
      </c>
      <c r="AB317" s="1620">
        <v>14.3</v>
      </c>
      <c r="AC317" s="1620">
        <v>23.4</v>
      </c>
      <c r="AD317" s="1620">
        <v>1.4</v>
      </c>
      <c r="AE317" s="1620">
        <v>0</v>
      </c>
      <c r="AF317" s="1620">
        <v>91.999999999999986</v>
      </c>
      <c r="AG317" s="1620">
        <v>21.999999999999996</v>
      </c>
      <c r="AH317" s="1620">
        <v>2.9999999999999996</v>
      </c>
      <c r="AI317" s="1620">
        <v>17</v>
      </c>
      <c r="AJ317" s="1620">
        <v>0</v>
      </c>
      <c r="AK317" s="1620">
        <v>4.9999999999999996E-2</v>
      </c>
      <c r="AL317" s="1620"/>
      <c r="AM317" s="1620">
        <v>6.1</v>
      </c>
      <c r="AN317" s="1620">
        <v>1.5</v>
      </c>
      <c r="AO317" s="1620">
        <v>2</v>
      </c>
      <c r="AP317" s="1620">
        <v>5.4</v>
      </c>
      <c r="AQ317" s="1620">
        <v>1.1000000000000001</v>
      </c>
      <c r="AR317" s="1620">
        <v>5.7</v>
      </c>
      <c r="AS317" s="1620">
        <v>8.1</v>
      </c>
      <c r="AT317" s="1620">
        <v>1.2</v>
      </c>
      <c r="AU317" s="1620">
        <v>2.6</v>
      </c>
      <c r="AV317" s="1620">
        <v>2</v>
      </c>
      <c r="AW317" s="1620">
        <v>5</v>
      </c>
      <c r="AX317" s="1620"/>
      <c r="AY317" s="1620">
        <v>0.89</v>
      </c>
      <c r="AZ317" s="1620">
        <v>1.06</v>
      </c>
      <c r="BA317" s="1620">
        <v>1.04</v>
      </c>
      <c r="BB317" s="1620">
        <v>1.01</v>
      </c>
      <c r="BC317" s="1620">
        <v>1.08</v>
      </c>
      <c r="BD317" s="1620">
        <v>1.05</v>
      </c>
      <c r="BE317" s="1620">
        <v>1.0900000000000001</v>
      </c>
      <c r="BF317" s="1620">
        <v>1.05</v>
      </c>
      <c r="BG317" s="1620">
        <v>1.02</v>
      </c>
      <c r="BH317" s="1620">
        <v>1.1200000000000001</v>
      </c>
      <c r="BI317" s="1620">
        <v>1.05</v>
      </c>
      <c r="BJ317" s="1603"/>
      <c r="BK317" s="1620">
        <v>11.699999999999992</v>
      </c>
      <c r="BL317" s="1620">
        <v>7.2999999999999945</v>
      </c>
      <c r="BM317" s="1620">
        <v>9.0999999999999943</v>
      </c>
      <c r="BN317" s="1620">
        <v>0</v>
      </c>
      <c r="BO317" s="1620"/>
      <c r="BP317" s="1620">
        <v>34</v>
      </c>
      <c r="BQ317" s="1620">
        <v>3.74</v>
      </c>
      <c r="BR317" s="1620">
        <v>1.3258824096012389</v>
      </c>
      <c r="BS317" s="1620">
        <v>1.2753262077179963</v>
      </c>
      <c r="BT317" s="1603"/>
      <c r="BU317" s="1620">
        <v>909</v>
      </c>
      <c r="BV317" s="1620">
        <v>709.64428571428584</v>
      </c>
      <c r="BW317" s="1620">
        <v>12.985714285714286</v>
      </c>
      <c r="BX317" s="1620">
        <v>0</v>
      </c>
      <c r="BY317" s="1620" t="s">
        <v>270</v>
      </c>
      <c r="BZ317" s="1620">
        <v>0</v>
      </c>
      <c r="CA317" s="1620">
        <v>0</v>
      </c>
      <c r="CB317" s="1603"/>
      <c r="CC317" s="1603">
        <v>0.32340000000000002</v>
      </c>
      <c r="CD317" s="1603">
        <v>0.315</v>
      </c>
      <c r="CE317" s="1603">
        <v>0.26040000000000002</v>
      </c>
      <c r="CF317" s="1603">
        <v>0.60060000000000002</v>
      </c>
      <c r="CG317" s="1603">
        <v>0.98280000000000001</v>
      </c>
      <c r="CH317" s="1603">
        <v>5.8799999999999998E-2</v>
      </c>
      <c r="CI317" s="1603">
        <v>0</v>
      </c>
      <c r="CJ317" s="1603"/>
      <c r="CK317" s="1603">
        <v>3.8639999999999994</v>
      </c>
      <c r="CL317" s="1603">
        <v>0.92399999999999993</v>
      </c>
      <c r="CM317" s="1603">
        <v>0.126</v>
      </c>
      <c r="CN317" s="1603">
        <v>0.71400000000000008</v>
      </c>
      <c r="CO317" s="1603">
        <v>0</v>
      </c>
      <c r="CP317" s="1603">
        <v>2.0999999999999999E-3</v>
      </c>
      <c r="CQ317" s="1603">
        <v>4.1768999999999998</v>
      </c>
      <c r="CR317" s="1603">
        <v>75.006651630524061</v>
      </c>
      <c r="CS317" s="1603">
        <v>4.0721111170211506</v>
      </c>
      <c r="CT317" s="1603">
        <v>1.1926057609253329</v>
      </c>
      <c r="CU317" s="1603">
        <v>1.5601383539149003</v>
      </c>
      <c r="CV317" s="1603">
        <v>2.7527441148402332</v>
      </c>
      <c r="CW317" s="1603">
        <v>4.0908627799287816</v>
      </c>
      <c r="CX317" s="1603">
        <v>0.891079021370626</v>
      </c>
      <c r="CY317" s="1603">
        <v>4.4891481000868643</v>
      </c>
      <c r="CZ317" s="1603">
        <v>6.6223372724589691</v>
      </c>
      <c r="DA317" s="1603">
        <v>0.94508381054460311</v>
      </c>
      <c r="DB317" s="1603">
        <v>1.9891764012414979</v>
      </c>
      <c r="DC317" s="1603">
        <v>1.6801489965237391</v>
      </c>
      <c r="DD317" s="1603">
        <v>3.6693253977652369</v>
      </c>
      <c r="DE317" s="1603">
        <v>3.9378492106025127</v>
      </c>
      <c r="DF317" s="1603">
        <v>0</v>
      </c>
      <c r="DG317" s="1603">
        <v>0</v>
      </c>
      <c r="DH317" s="1603">
        <v>0</v>
      </c>
      <c r="DI317" s="1603">
        <v>0</v>
      </c>
      <c r="DJ317" s="1603">
        <v>0</v>
      </c>
      <c r="DK317" s="1603">
        <v>0</v>
      </c>
      <c r="DL317" s="1603">
        <v>0</v>
      </c>
      <c r="DM317" s="1603">
        <v>0</v>
      </c>
      <c r="DN317" s="1603">
        <v>0</v>
      </c>
      <c r="DO317" s="1603">
        <v>0</v>
      </c>
      <c r="DP317" s="1603">
        <v>0</v>
      </c>
      <c r="DQ317" s="1603">
        <v>0</v>
      </c>
      <c r="DR317" s="1603">
        <v>0</v>
      </c>
      <c r="DS317" s="1603">
        <v>0</v>
      </c>
      <c r="DT317" s="1603">
        <v>0</v>
      </c>
      <c r="DU317" s="1603">
        <v>0</v>
      </c>
      <c r="DV317" s="1603">
        <v>0</v>
      </c>
      <c r="DW317" s="1618" t="s">
        <v>2975</v>
      </c>
      <c r="DX317" s="1605">
        <v>6</v>
      </c>
      <c r="DY317" s="1605">
        <v>6</v>
      </c>
      <c r="DZ317" s="1605">
        <v>6</v>
      </c>
      <c r="EA317" s="1605">
        <v>6</v>
      </c>
      <c r="EB317" s="1605" t="s">
        <v>986</v>
      </c>
      <c r="EC317" s="1605" t="s">
        <v>986</v>
      </c>
      <c r="ED317" s="1605" t="s">
        <v>986</v>
      </c>
      <c r="EE317" s="1605" t="s">
        <v>986</v>
      </c>
      <c r="EF317" s="1605" t="s">
        <v>986</v>
      </c>
      <c r="EG317" s="1605" t="s">
        <v>986</v>
      </c>
      <c r="EH317" s="1605">
        <v>1</v>
      </c>
      <c r="EI317" s="1605">
        <v>1</v>
      </c>
      <c r="EJ317" s="1605">
        <v>1</v>
      </c>
      <c r="EK317" s="1605">
        <v>1</v>
      </c>
      <c r="EL317" s="1605">
        <v>1</v>
      </c>
      <c r="EM317" s="1605">
        <v>1</v>
      </c>
      <c r="EN317" s="1605">
        <v>1</v>
      </c>
      <c r="EO317" s="1605">
        <v>1</v>
      </c>
      <c r="EP317" s="1605">
        <v>1</v>
      </c>
      <c r="EQ317" s="1605">
        <v>1</v>
      </c>
      <c r="ER317" s="1605">
        <v>1</v>
      </c>
      <c r="ES317" s="1605">
        <v>6</v>
      </c>
      <c r="ET317" s="1605">
        <v>6</v>
      </c>
      <c r="EU317" s="1605">
        <v>6</v>
      </c>
      <c r="EV317" s="1605" t="s">
        <v>986</v>
      </c>
      <c r="EW317" s="1605">
        <v>6</v>
      </c>
      <c r="EX317" s="1605">
        <v>6</v>
      </c>
      <c r="EY317" s="1605" t="s">
        <v>986</v>
      </c>
      <c r="EZ317" s="1605" t="s">
        <v>986</v>
      </c>
      <c r="FA317" s="1605" t="s">
        <v>986</v>
      </c>
      <c r="FB317" s="1605" t="s">
        <v>986</v>
      </c>
      <c r="FC317" s="1605" t="s">
        <v>986</v>
      </c>
      <c r="FD317" s="1605" t="s">
        <v>986</v>
      </c>
      <c r="FE317" s="1605" t="s">
        <v>986</v>
      </c>
      <c r="FF317" s="1605">
        <v>0.40286060451062566</v>
      </c>
      <c r="FG317" s="1605">
        <v>1.4335791199068346</v>
      </c>
      <c r="FH317" s="1605">
        <v>4.4202821347871968</v>
      </c>
      <c r="FI317" s="1605">
        <v>0.60798545436834195</v>
      </c>
      <c r="FJ317" s="1605" t="s">
        <v>986</v>
      </c>
      <c r="FK317" s="1605" t="s">
        <v>986</v>
      </c>
      <c r="FL317" s="1605" t="s">
        <v>986</v>
      </c>
      <c r="FM317" s="1605" t="s">
        <v>986</v>
      </c>
      <c r="FN317" s="1605" t="s">
        <v>986</v>
      </c>
      <c r="FO317" s="1605" t="s">
        <v>986</v>
      </c>
      <c r="FP317" s="1605" t="s">
        <v>986</v>
      </c>
      <c r="FQ317" s="1605" t="s">
        <v>986</v>
      </c>
      <c r="FR317" s="1605" t="s">
        <v>986</v>
      </c>
      <c r="FS317" s="1605" t="s">
        <v>986</v>
      </c>
      <c r="FT317" s="1605" t="s">
        <v>986</v>
      </c>
      <c r="FU317" s="1605" t="s">
        <v>986</v>
      </c>
      <c r="FV317" s="1605" t="s">
        <v>986</v>
      </c>
      <c r="FW317" s="1605" t="s">
        <v>986</v>
      </c>
      <c r="FX317" s="1605" t="s">
        <v>986</v>
      </c>
      <c r="FY317" s="1605" t="s">
        <v>986</v>
      </c>
      <c r="FZ317" s="1605" t="s">
        <v>986</v>
      </c>
      <c r="GA317" s="1605">
        <v>1.1397280963737237</v>
      </c>
      <c r="GB317" s="1605">
        <v>0.99639508205573335</v>
      </c>
      <c r="GC317" s="1605">
        <v>0.75161524693994863</v>
      </c>
      <c r="GD317" s="1605">
        <v>0.57395002090606817</v>
      </c>
      <c r="GE317" s="1605">
        <v>2.6668353321591458</v>
      </c>
      <c r="GF317" s="1605">
        <v>0.12267617846641049</v>
      </c>
      <c r="GG317" s="1605" t="s">
        <v>986</v>
      </c>
      <c r="GH317" s="1605" t="s">
        <v>986</v>
      </c>
      <c r="GI317" s="1605" t="s">
        <v>986</v>
      </c>
      <c r="GJ317" s="1605" t="s">
        <v>986</v>
      </c>
      <c r="GK317" s="1605" t="s">
        <v>986</v>
      </c>
      <c r="GL317" s="1605" t="s">
        <v>986</v>
      </c>
      <c r="GM317" s="1605" t="s">
        <v>986</v>
      </c>
      <c r="GN317" s="1605" t="s">
        <v>2217</v>
      </c>
      <c r="GO317" s="1605" t="s">
        <v>2217</v>
      </c>
      <c r="GP317" s="1605" t="s">
        <v>2217</v>
      </c>
      <c r="GQ317" s="1605" t="s">
        <v>2217</v>
      </c>
      <c r="GR317" s="1605" t="s">
        <v>986</v>
      </c>
      <c r="GS317" s="1605" t="s">
        <v>986</v>
      </c>
      <c r="GT317" s="1605" t="s">
        <v>986</v>
      </c>
      <c r="GU317" s="1605" t="s">
        <v>986</v>
      </c>
      <c r="GV317" s="1605" t="s">
        <v>986</v>
      </c>
      <c r="GW317" s="1605" t="s">
        <v>986</v>
      </c>
      <c r="GX317" s="1605" t="s">
        <v>1594</v>
      </c>
      <c r="GY317" s="1605" t="s">
        <v>1594</v>
      </c>
      <c r="GZ317" s="1605" t="s">
        <v>1594</v>
      </c>
      <c r="HA317" s="1605" t="s">
        <v>1594</v>
      </c>
      <c r="HB317" s="1605" t="s">
        <v>1594</v>
      </c>
      <c r="HC317" s="1605" t="s">
        <v>1594</v>
      </c>
      <c r="HD317" s="1605" t="s">
        <v>1594</v>
      </c>
      <c r="HE317" s="1605" t="s">
        <v>1594</v>
      </c>
      <c r="HF317" s="1605" t="s">
        <v>1594</v>
      </c>
      <c r="HG317" s="1605" t="s">
        <v>1594</v>
      </c>
      <c r="HH317" s="1605" t="s">
        <v>1594</v>
      </c>
      <c r="HI317" s="1605" t="s">
        <v>2217</v>
      </c>
      <c r="HJ317" s="1605" t="s">
        <v>2217</v>
      </c>
      <c r="HK317" s="1605" t="s">
        <v>2217</v>
      </c>
      <c r="HL317" s="1605" t="s">
        <v>986</v>
      </c>
      <c r="HM317" s="1605" t="s">
        <v>2217</v>
      </c>
      <c r="HN317" s="1605" t="s">
        <v>2217</v>
      </c>
      <c r="HO317" s="1605" t="s">
        <v>986</v>
      </c>
      <c r="HP317" s="1605" t="s">
        <v>986</v>
      </c>
      <c r="HQ317" s="1605" t="s">
        <v>986</v>
      </c>
      <c r="HR317" s="1605" t="s">
        <v>986</v>
      </c>
      <c r="HS317" s="1605" t="s">
        <v>986</v>
      </c>
      <c r="HT317" s="1605" t="s">
        <v>986</v>
      </c>
      <c r="HU317" s="1605" t="s">
        <v>986</v>
      </c>
      <c r="HV317" s="1617"/>
      <c r="HW317" s="1617" t="s">
        <v>2984</v>
      </c>
      <c r="HX317" s="1617" t="s">
        <v>2983</v>
      </c>
      <c r="HY317" s="1617" t="s">
        <v>2982</v>
      </c>
      <c r="HZ317" s="1603"/>
      <c r="IA317" s="1603"/>
      <c r="IB317" s="1603"/>
      <c r="IC317" s="1603">
        <v>58</v>
      </c>
      <c r="ID317" s="1603">
        <v>58</v>
      </c>
      <c r="IE317" s="1603">
        <v>58</v>
      </c>
      <c r="IF317" s="1603">
        <v>58</v>
      </c>
      <c r="IG317" s="1611" t="s">
        <v>2981</v>
      </c>
      <c r="IH317" s="1616" t="s">
        <v>2980</v>
      </c>
      <c r="II317" s="1615" t="s">
        <v>2979</v>
      </c>
      <c r="IJ317" s="1613">
        <v>0.65030061349693247</v>
      </c>
      <c r="IK317" s="1613">
        <v>0.59406339468302671</v>
      </c>
      <c r="IL317" s="1614">
        <v>0.65030061349693247</v>
      </c>
      <c r="IM317" s="1614">
        <v>0.59406339468302671</v>
      </c>
      <c r="IN317" s="1612" t="s">
        <v>270</v>
      </c>
      <c r="IO317" s="1613" t="s">
        <v>270</v>
      </c>
      <c r="IP317" s="1607" t="s">
        <v>270</v>
      </c>
      <c r="IQ317" s="1612" t="s">
        <v>270</v>
      </c>
      <c r="IR317" s="1612" t="s">
        <v>270</v>
      </c>
      <c r="IS317" s="1607">
        <v>0.47730061349693254</v>
      </c>
      <c r="IT317" s="1607">
        <v>0.42106339468302667</v>
      </c>
      <c r="IU317" s="1611">
        <v>0</v>
      </c>
      <c r="IV317" s="1611">
        <v>1.6359918200409E-3</v>
      </c>
      <c r="IW317" s="1611">
        <v>2.044989775051125E-4</v>
      </c>
      <c r="IX317" s="1611">
        <v>1.0224948875255625E-3</v>
      </c>
      <c r="IY317" s="1611">
        <v>2.044989775051125E-4</v>
      </c>
      <c r="IZ317" s="1611">
        <v>7.770961145194274E-3</v>
      </c>
      <c r="JA317" s="1611">
        <v>0</v>
      </c>
      <c r="JB317" s="1611" t="s">
        <v>270</v>
      </c>
      <c r="JC317" s="1611">
        <v>3.2310838445807774E-2</v>
      </c>
      <c r="JD317" s="1611">
        <v>8.1799591002045002E-4</v>
      </c>
      <c r="JE317" s="1611" t="s">
        <v>270</v>
      </c>
      <c r="JF317" s="1611">
        <v>0</v>
      </c>
      <c r="JG317" s="1611">
        <v>0.67402862985685086</v>
      </c>
      <c r="JH317" s="1611">
        <v>0</v>
      </c>
      <c r="JI317" s="1611">
        <v>2.2085889570552148E-2</v>
      </c>
      <c r="JJ317" s="1611" t="s">
        <v>270</v>
      </c>
      <c r="JK317" s="1607">
        <f t="shared" si="13"/>
        <v>0.17299999999999993</v>
      </c>
      <c r="JL317" s="1608" t="s">
        <v>270</v>
      </c>
      <c r="JM317" s="1610" t="s">
        <v>2924</v>
      </c>
      <c r="JN317" s="1608">
        <v>5.6237218813905865E-2</v>
      </c>
      <c r="JO317" s="1609" t="s">
        <v>2955</v>
      </c>
      <c r="JP317" s="1608" t="s">
        <v>270</v>
      </c>
      <c r="JQ317" s="1607">
        <v>202103</v>
      </c>
      <c r="JR317" s="1606">
        <v>191</v>
      </c>
      <c r="JS317" s="1606">
        <v>211</v>
      </c>
      <c r="JT317" s="1606">
        <v>211</v>
      </c>
    </row>
    <row r="318" spans="1:280" ht="15" customHeight="1" x14ac:dyDescent="0.2">
      <c r="A318" s="1626">
        <v>77400</v>
      </c>
      <c r="B318" s="1625">
        <v>774</v>
      </c>
      <c r="C318" s="1624">
        <v>0</v>
      </c>
      <c r="D318" s="1623" t="s">
        <v>2992</v>
      </c>
      <c r="E318" s="1622">
        <v>44439</v>
      </c>
      <c r="F318" s="1620">
        <v>5.9922679265969767E-2</v>
      </c>
      <c r="G318" s="1620">
        <v>5.7646005123562126E-2</v>
      </c>
      <c r="H318" s="1621">
        <v>99</v>
      </c>
      <c r="I318" s="1621">
        <v>98</v>
      </c>
      <c r="J318" s="1621">
        <v>98</v>
      </c>
      <c r="K318" s="1620">
        <v>0.86</v>
      </c>
      <c r="L318" s="1620">
        <v>4.8</v>
      </c>
      <c r="M318" s="1620">
        <v>0.28320000000000001</v>
      </c>
      <c r="N318" s="1620">
        <v>0.2016</v>
      </c>
      <c r="O318" s="1620">
        <v>0.52800000000000002</v>
      </c>
      <c r="P318" s="1620">
        <v>0</v>
      </c>
      <c r="Q318" s="1603"/>
      <c r="R318" s="1620">
        <v>76</v>
      </c>
      <c r="S318" s="1620">
        <v>58</v>
      </c>
      <c r="T318" s="1620">
        <v>58</v>
      </c>
      <c r="U318" s="1620">
        <v>58</v>
      </c>
      <c r="V318" s="1620">
        <v>58</v>
      </c>
      <c r="W318" s="1620">
        <v>58</v>
      </c>
      <c r="X318" s="1620"/>
      <c r="Y318" s="1620">
        <v>12.3</v>
      </c>
      <c r="Z318" s="1620">
        <v>9.6</v>
      </c>
      <c r="AA318" s="1620">
        <v>8.1</v>
      </c>
      <c r="AB318" s="1620">
        <v>14.5</v>
      </c>
      <c r="AC318" s="1620">
        <v>28.1</v>
      </c>
      <c r="AD318" s="1620">
        <v>1.6</v>
      </c>
      <c r="AE318" s="1620">
        <v>0</v>
      </c>
      <c r="AF318" s="1620">
        <v>1.2000000000000004</v>
      </c>
      <c r="AG318" s="1620">
        <v>0.20000000000000034</v>
      </c>
      <c r="AH318" s="1620">
        <v>5.0000000000000086E-2</v>
      </c>
      <c r="AI318" s="1620">
        <v>1.9000000000000032</v>
      </c>
      <c r="AJ318" s="1620">
        <v>0</v>
      </c>
      <c r="AK318" s="1620">
        <v>0</v>
      </c>
      <c r="AL318" s="1620"/>
      <c r="AM318" s="1620">
        <v>3.7</v>
      </c>
      <c r="AN318" s="1620">
        <v>0.7</v>
      </c>
      <c r="AO318" s="1620">
        <v>1.3</v>
      </c>
      <c r="AP318" s="1620">
        <v>1.9</v>
      </c>
      <c r="AQ318" s="1620">
        <v>0.7</v>
      </c>
      <c r="AR318" s="1620">
        <v>2</v>
      </c>
      <c r="AS318" s="1620">
        <v>4.4000000000000004</v>
      </c>
      <c r="AT318" s="1620">
        <v>1.1000000000000001</v>
      </c>
      <c r="AU318" s="1620">
        <v>1.5</v>
      </c>
      <c r="AV318" s="1620">
        <v>1.7</v>
      </c>
      <c r="AW318" s="1620">
        <v>1.7</v>
      </c>
      <c r="AX318" s="1620"/>
      <c r="AY318" s="1620">
        <v>0.89</v>
      </c>
      <c r="AZ318" s="1620">
        <v>1.06</v>
      </c>
      <c r="BA318" s="1620">
        <v>1.04</v>
      </c>
      <c r="BB318" s="1620">
        <v>1.01</v>
      </c>
      <c r="BC318" s="1620">
        <v>1.08</v>
      </c>
      <c r="BD318" s="1620">
        <v>1.05</v>
      </c>
      <c r="BE318" s="1620">
        <v>1.0900000000000001</v>
      </c>
      <c r="BF318" s="1620">
        <v>1.05</v>
      </c>
      <c r="BG318" s="1620">
        <v>1.02</v>
      </c>
      <c r="BH318" s="1620">
        <v>1.1200000000000001</v>
      </c>
      <c r="BI318" s="1620">
        <v>1.05</v>
      </c>
      <c r="BJ318" s="1603"/>
      <c r="BK318" s="1620">
        <v>5.9000000000000039</v>
      </c>
      <c r="BL318" s="1620">
        <v>4.2000000000000028</v>
      </c>
      <c r="BM318" s="1620">
        <v>11.000000000000007</v>
      </c>
      <c r="BN318" s="1620">
        <v>0</v>
      </c>
      <c r="BO318" s="1620"/>
      <c r="BP318" s="1620">
        <v>34</v>
      </c>
      <c r="BQ318" s="1620">
        <v>1.02</v>
      </c>
      <c r="BR318" s="1620">
        <v>1.248389151374371</v>
      </c>
      <c r="BS318" s="1620">
        <v>1.2009584400742115</v>
      </c>
      <c r="BT318" s="1603"/>
      <c r="BU318" s="1620">
        <v>889.99999999999989</v>
      </c>
      <c r="BV318" s="1620">
        <v>773.95571428571418</v>
      </c>
      <c r="BW318" s="1620">
        <v>12.714285714285714</v>
      </c>
      <c r="BX318" s="1620">
        <v>0</v>
      </c>
      <c r="BY318" s="1620" t="s">
        <v>270</v>
      </c>
      <c r="BZ318" s="1620">
        <v>0</v>
      </c>
      <c r="CA318" s="1620">
        <v>0</v>
      </c>
      <c r="CB318" s="1603"/>
      <c r="CC318" s="1603">
        <v>0.59040000000000004</v>
      </c>
      <c r="CD318" s="1603">
        <v>0.46079999999999999</v>
      </c>
      <c r="CE318" s="1603">
        <v>0.38879999999999998</v>
      </c>
      <c r="CF318" s="1603">
        <v>0.69600000000000006</v>
      </c>
      <c r="CG318" s="1603">
        <v>1.3488</v>
      </c>
      <c r="CH318" s="1603">
        <v>7.6800000000000007E-2</v>
      </c>
      <c r="CI318" s="1603">
        <v>0</v>
      </c>
      <c r="CJ318" s="1603"/>
      <c r="CK318" s="1603">
        <v>5.7600000000000019E-2</v>
      </c>
      <c r="CL318" s="1603">
        <v>9.6000000000000165E-3</v>
      </c>
      <c r="CM318" s="1603">
        <v>2.4000000000000041E-3</v>
      </c>
      <c r="CN318" s="1603">
        <v>9.1200000000000156E-2</v>
      </c>
      <c r="CO318" s="1603">
        <v>0</v>
      </c>
      <c r="CP318" s="1603">
        <v>0</v>
      </c>
      <c r="CQ318" s="1603">
        <v>2.15232</v>
      </c>
      <c r="CR318" s="1603">
        <v>35.918287138777984</v>
      </c>
      <c r="CS318" s="1603">
        <v>1.182789195479959</v>
      </c>
      <c r="CT318" s="1603">
        <v>0.26651369056973262</v>
      </c>
      <c r="CU318" s="1603">
        <v>0.48561524211627838</v>
      </c>
      <c r="CV318" s="1603">
        <v>0.752128932686011</v>
      </c>
      <c r="CW318" s="1603">
        <v>0.68927193019314947</v>
      </c>
      <c r="CX318" s="1603">
        <v>0.27154225076916155</v>
      </c>
      <c r="CY318" s="1603">
        <v>0.75428402991433752</v>
      </c>
      <c r="CZ318" s="1603">
        <v>1.7226410511757924</v>
      </c>
      <c r="DA318" s="1603">
        <v>0.41485621645288567</v>
      </c>
      <c r="DB318" s="1603">
        <v>0.549549793223303</v>
      </c>
      <c r="DC318" s="1603">
        <v>0.6838841871223329</v>
      </c>
      <c r="DD318" s="1603">
        <v>1.233433980345636</v>
      </c>
      <c r="DE318" s="1603">
        <v>0.641141425427187</v>
      </c>
      <c r="DF318" s="1603">
        <v>0</v>
      </c>
      <c r="DG318" s="1603">
        <v>0</v>
      </c>
      <c r="DH318" s="1603">
        <v>0</v>
      </c>
      <c r="DI318" s="1603">
        <v>0</v>
      </c>
      <c r="DJ318" s="1603">
        <v>0</v>
      </c>
      <c r="DK318" s="1603">
        <v>0</v>
      </c>
      <c r="DL318" s="1603">
        <v>0</v>
      </c>
      <c r="DM318" s="1603">
        <v>0</v>
      </c>
      <c r="DN318" s="1603">
        <v>0</v>
      </c>
      <c r="DO318" s="1603">
        <v>0</v>
      </c>
      <c r="DP318" s="1603">
        <v>0</v>
      </c>
      <c r="DQ318" s="1603">
        <v>0</v>
      </c>
      <c r="DR318" s="1603">
        <v>0</v>
      </c>
      <c r="DS318" s="1603">
        <v>0</v>
      </c>
      <c r="DT318" s="1603">
        <v>0</v>
      </c>
      <c r="DU318" s="1603">
        <v>0</v>
      </c>
      <c r="DV318" s="1603">
        <v>0</v>
      </c>
      <c r="DW318" s="1618" t="s">
        <v>2975</v>
      </c>
      <c r="DX318" s="1605">
        <v>37</v>
      </c>
      <c r="DY318" s="1605">
        <v>31</v>
      </c>
      <c r="DZ318" s="1605">
        <v>31</v>
      </c>
      <c r="EA318" s="1605">
        <v>32</v>
      </c>
      <c r="EB318" s="1605" t="s">
        <v>986</v>
      </c>
      <c r="EC318" s="1605" t="s">
        <v>986</v>
      </c>
      <c r="ED318" s="1605" t="s">
        <v>986</v>
      </c>
      <c r="EE318" s="1605" t="s">
        <v>986</v>
      </c>
      <c r="EF318" s="1605" t="s">
        <v>986</v>
      </c>
      <c r="EG318" s="1605" t="s">
        <v>986</v>
      </c>
      <c r="EH318" s="1605">
        <v>1</v>
      </c>
      <c r="EI318" s="1605">
        <v>1</v>
      </c>
      <c r="EJ318" s="1605">
        <v>1</v>
      </c>
      <c r="EK318" s="1605">
        <v>1</v>
      </c>
      <c r="EL318" s="1605">
        <v>1</v>
      </c>
      <c r="EM318" s="1605">
        <v>1</v>
      </c>
      <c r="EN318" s="1605">
        <v>1</v>
      </c>
      <c r="EO318" s="1605">
        <v>1</v>
      </c>
      <c r="EP318" s="1605">
        <v>1</v>
      </c>
      <c r="EQ318" s="1605">
        <v>1</v>
      </c>
      <c r="ER318" s="1605">
        <v>1</v>
      </c>
      <c r="ES318" s="1605">
        <v>31</v>
      </c>
      <c r="ET318" s="1605">
        <v>31</v>
      </c>
      <c r="EU318" s="1605">
        <v>31</v>
      </c>
      <c r="EV318" s="1605" t="s">
        <v>986</v>
      </c>
      <c r="EW318" s="1605">
        <v>31</v>
      </c>
      <c r="EX318" s="1605">
        <v>31</v>
      </c>
      <c r="EY318" s="1605" t="s">
        <v>986</v>
      </c>
      <c r="EZ318" s="1605" t="s">
        <v>986</v>
      </c>
      <c r="FA318" s="1605" t="s">
        <v>986</v>
      </c>
      <c r="FB318" s="1605" t="s">
        <v>986</v>
      </c>
      <c r="FC318" s="1605" t="s">
        <v>986</v>
      </c>
      <c r="FD318" s="1605" t="s">
        <v>986</v>
      </c>
      <c r="FE318" s="1605" t="s">
        <v>986</v>
      </c>
      <c r="FF318" s="1605">
        <v>0.79839093060860722</v>
      </c>
      <c r="FG318" s="1605">
        <v>2.6338360610857978</v>
      </c>
      <c r="FH318" s="1605">
        <v>4.1197994718371715</v>
      </c>
      <c r="FI318" s="1605">
        <v>1.9384666265951316</v>
      </c>
      <c r="FJ318" s="1605" t="s">
        <v>986</v>
      </c>
      <c r="FK318" s="1605" t="s">
        <v>986</v>
      </c>
      <c r="FL318" s="1605" t="s">
        <v>986</v>
      </c>
      <c r="FM318" s="1605" t="s">
        <v>986</v>
      </c>
      <c r="FN318" s="1605" t="s">
        <v>986</v>
      </c>
      <c r="FO318" s="1605" t="s">
        <v>986</v>
      </c>
      <c r="FP318" s="1605" t="s">
        <v>986</v>
      </c>
      <c r="FQ318" s="1605" t="s">
        <v>986</v>
      </c>
      <c r="FR318" s="1605" t="s">
        <v>986</v>
      </c>
      <c r="FS318" s="1605" t="s">
        <v>986</v>
      </c>
      <c r="FT318" s="1605" t="s">
        <v>986</v>
      </c>
      <c r="FU318" s="1605" t="s">
        <v>986</v>
      </c>
      <c r="FV318" s="1605" t="s">
        <v>986</v>
      </c>
      <c r="FW318" s="1605" t="s">
        <v>986</v>
      </c>
      <c r="FX318" s="1605" t="s">
        <v>986</v>
      </c>
      <c r="FY318" s="1605" t="s">
        <v>986</v>
      </c>
      <c r="FZ318" s="1605" t="s">
        <v>986</v>
      </c>
      <c r="GA318" s="1605">
        <v>6.5584879974848329</v>
      </c>
      <c r="GB318" s="1605">
        <v>2.5447129613173898</v>
      </c>
      <c r="GC318" s="1605">
        <v>2.6916617970045351</v>
      </c>
      <c r="GD318" s="1605">
        <v>8.0551894959233099</v>
      </c>
      <c r="GE318" s="1605">
        <v>3.8840054500376269</v>
      </c>
      <c r="GF318" s="1605">
        <v>0.27536987243718425</v>
      </c>
      <c r="GG318" s="1605" t="s">
        <v>986</v>
      </c>
      <c r="GH318" s="1605" t="s">
        <v>986</v>
      </c>
      <c r="GI318" s="1605" t="s">
        <v>986</v>
      </c>
      <c r="GJ318" s="1605" t="s">
        <v>986</v>
      </c>
      <c r="GK318" s="1605" t="s">
        <v>986</v>
      </c>
      <c r="GL318" s="1605" t="s">
        <v>986</v>
      </c>
      <c r="GM318" s="1605" t="s">
        <v>986</v>
      </c>
      <c r="GN318" s="1605" t="s">
        <v>2217</v>
      </c>
      <c r="GO318" s="1605" t="s">
        <v>2217</v>
      </c>
      <c r="GP318" s="1605" t="s">
        <v>2217</v>
      </c>
      <c r="GQ318" s="1605" t="s">
        <v>2217</v>
      </c>
      <c r="GR318" s="1605" t="s">
        <v>986</v>
      </c>
      <c r="GS318" s="1605" t="s">
        <v>986</v>
      </c>
      <c r="GT318" s="1605" t="s">
        <v>986</v>
      </c>
      <c r="GU318" s="1605" t="s">
        <v>986</v>
      </c>
      <c r="GV318" s="1605" t="s">
        <v>986</v>
      </c>
      <c r="GW318" s="1605" t="s">
        <v>986</v>
      </c>
      <c r="GX318" s="1605" t="s">
        <v>1594</v>
      </c>
      <c r="GY318" s="1605" t="s">
        <v>1594</v>
      </c>
      <c r="GZ318" s="1605" t="s">
        <v>1594</v>
      </c>
      <c r="HA318" s="1605" t="s">
        <v>1594</v>
      </c>
      <c r="HB318" s="1605" t="s">
        <v>1594</v>
      </c>
      <c r="HC318" s="1605" t="s">
        <v>1594</v>
      </c>
      <c r="HD318" s="1605" t="s">
        <v>1594</v>
      </c>
      <c r="HE318" s="1605" t="s">
        <v>1594</v>
      </c>
      <c r="HF318" s="1605" t="s">
        <v>1594</v>
      </c>
      <c r="HG318" s="1605" t="s">
        <v>1594</v>
      </c>
      <c r="HH318" s="1605" t="s">
        <v>1594</v>
      </c>
      <c r="HI318" s="1605" t="s">
        <v>2217</v>
      </c>
      <c r="HJ318" s="1605" t="s">
        <v>2217</v>
      </c>
      <c r="HK318" s="1605" t="s">
        <v>2217</v>
      </c>
      <c r="HL318" s="1605" t="s">
        <v>986</v>
      </c>
      <c r="HM318" s="1605" t="s">
        <v>2217</v>
      </c>
      <c r="HN318" s="1605" t="s">
        <v>2217</v>
      </c>
      <c r="HO318" s="1605" t="s">
        <v>986</v>
      </c>
      <c r="HP318" s="1605" t="s">
        <v>986</v>
      </c>
      <c r="HQ318" s="1605" t="s">
        <v>986</v>
      </c>
      <c r="HR318" s="1605" t="s">
        <v>986</v>
      </c>
      <c r="HS318" s="1605" t="s">
        <v>986</v>
      </c>
      <c r="HT318" s="1605" t="s">
        <v>986</v>
      </c>
      <c r="HU318" s="1605" t="s">
        <v>986</v>
      </c>
      <c r="HV318" s="1617"/>
      <c r="HW318" s="1617" t="s">
        <v>2984</v>
      </c>
      <c r="HX318" s="1617" t="s">
        <v>2983</v>
      </c>
      <c r="HY318" s="1617" t="s">
        <v>2982</v>
      </c>
      <c r="HZ318" s="1603"/>
      <c r="IA318" s="1603"/>
      <c r="IB318" s="1603"/>
      <c r="IC318" s="1603">
        <v>58</v>
      </c>
      <c r="ID318" s="1603">
        <v>58</v>
      </c>
      <c r="IE318" s="1603">
        <v>58</v>
      </c>
      <c r="IF318" s="1603">
        <v>58</v>
      </c>
      <c r="IG318" s="1611" t="s">
        <v>2981</v>
      </c>
      <c r="IH318" s="1616" t="s">
        <v>2980</v>
      </c>
      <c r="II318" s="1615" t="s">
        <v>2979</v>
      </c>
      <c r="IJ318" s="1613">
        <v>0.65030061349693247</v>
      </c>
      <c r="IK318" s="1613">
        <v>0.59406339468302671</v>
      </c>
      <c r="IL318" s="1614">
        <v>0.65030061349693247</v>
      </c>
      <c r="IM318" s="1614">
        <v>0.59406339468302671</v>
      </c>
      <c r="IN318" s="1612" t="s">
        <v>270</v>
      </c>
      <c r="IO318" s="1613" t="s">
        <v>270</v>
      </c>
      <c r="IP318" s="1607" t="s">
        <v>270</v>
      </c>
      <c r="IQ318" s="1612" t="s">
        <v>270</v>
      </c>
      <c r="IR318" s="1612" t="s">
        <v>270</v>
      </c>
      <c r="IS318" s="1607">
        <v>0.47730061349693254</v>
      </c>
      <c r="IT318" s="1607">
        <v>0.42106339468302667</v>
      </c>
      <c r="IU318" s="1611">
        <v>0</v>
      </c>
      <c r="IV318" s="1611">
        <v>1.6359918200409E-3</v>
      </c>
      <c r="IW318" s="1611">
        <v>2.044989775051125E-4</v>
      </c>
      <c r="IX318" s="1611">
        <v>1.0224948875255625E-3</v>
      </c>
      <c r="IY318" s="1611">
        <v>2.044989775051125E-4</v>
      </c>
      <c r="IZ318" s="1611">
        <v>7.770961145194274E-3</v>
      </c>
      <c r="JA318" s="1611">
        <v>0</v>
      </c>
      <c r="JB318" s="1611" t="s">
        <v>270</v>
      </c>
      <c r="JC318" s="1611">
        <v>3.2310838445807774E-2</v>
      </c>
      <c r="JD318" s="1611">
        <v>8.1799591002045002E-4</v>
      </c>
      <c r="JE318" s="1611" t="s">
        <v>270</v>
      </c>
      <c r="JF318" s="1611">
        <v>0</v>
      </c>
      <c r="JG318" s="1611">
        <v>0.67402862985685086</v>
      </c>
      <c r="JH318" s="1611">
        <v>0</v>
      </c>
      <c r="JI318" s="1611">
        <v>2.2085889570552148E-2</v>
      </c>
      <c r="JJ318" s="1611" t="s">
        <v>270</v>
      </c>
      <c r="JK318" s="1607">
        <f t="shared" si="13"/>
        <v>0.17299999999999993</v>
      </c>
      <c r="JL318" s="1608" t="s">
        <v>270</v>
      </c>
      <c r="JM318" s="1610" t="s">
        <v>2924</v>
      </c>
      <c r="JN318" s="1608">
        <v>5.6237218813905865E-2</v>
      </c>
      <c r="JO318" s="1609" t="s">
        <v>2955</v>
      </c>
      <c r="JP318" s="1608" t="s">
        <v>270</v>
      </c>
      <c r="JQ318" s="1607">
        <v>202103</v>
      </c>
      <c r="JR318" s="1606">
        <v>191</v>
      </c>
      <c r="JS318" s="1606">
        <v>211</v>
      </c>
      <c r="JT318" s="1606">
        <v>211</v>
      </c>
    </row>
    <row r="319" spans="1:280" ht="15" customHeight="1" x14ac:dyDescent="0.2">
      <c r="A319" s="1626">
        <v>77405</v>
      </c>
      <c r="B319" s="1625">
        <v>774</v>
      </c>
      <c r="C319" s="1624">
        <v>5</v>
      </c>
      <c r="D319" s="1623" t="s">
        <v>2991</v>
      </c>
      <c r="E319" s="1622">
        <v>44439</v>
      </c>
      <c r="F319" s="1620">
        <v>5.8583014132791413E-2</v>
      </c>
      <c r="G319" s="1620">
        <v>5.6366954825454625E-2</v>
      </c>
      <c r="H319" s="1621">
        <v>99</v>
      </c>
      <c r="I319" s="1621">
        <v>98</v>
      </c>
      <c r="J319" s="1621">
        <v>98</v>
      </c>
      <c r="K319" s="1620">
        <v>0.86</v>
      </c>
      <c r="L319" s="1620">
        <v>4.9000000000000004</v>
      </c>
      <c r="M319" s="1620">
        <v>0.24500000000000002</v>
      </c>
      <c r="N319" s="1620">
        <v>6.3700000000000007E-2</v>
      </c>
      <c r="O319" s="1620">
        <v>0.52920000000000011</v>
      </c>
      <c r="P319" s="1620">
        <v>0</v>
      </c>
      <c r="Q319" s="1603"/>
      <c r="R319" s="1620">
        <v>76</v>
      </c>
      <c r="S319" s="1620">
        <v>58</v>
      </c>
      <c r="T319" s="1620">
        <v>58</v>
      </c>
      <c r="U319" s="1620">
        <v>58</v>
      </c>
      <c r="V319" s="1620">
        <v>58</v>
      </c>
      <c r="W319" s="1620">
        <v>58</v>
      </c>
      <c r="X319" s="1620"/>
      <c r="Y319" s="1620">
        <v>5.3</v>
      </c>
      <c r="Z319" s="1620">
        <v>7.2</v>
      </c>
      <c r="AA319" s="1620">
        <v>8.1</v>
      </c>
      <c r="AB319" s="1620">
        <v>17.8</v>
      </c>
      <c r="AC319" s="1620">
        <v>30.9</v>
      </c>
      <c r="AD319" s="1620">
        <v>1.3</v>
      </c>
      <c r="AE319" s="1620">
        <v>0</v>
      </c>
      <c r="AF319" s="1620">
        <v>1.2</v>
      </c>
      <c r="AG319" s="1620">
        <v>0.19999999999999998</v>
      </c>
      <c r="AH319" s="1620">
        <v>4.9999999999999996E-2</v>
      </c>
      <c r="AI319" s="1620">
        <v>1.9000000000000004</v>
      </c>
      <c r="AJ319" s="1620">
        <v>0</v>
      </c>
      <c r="AK319" s="1620">
        <v>0</v>
      </c>
      <c r="AL319" s="1620"/>
      <c r="AM319" s="1620">
        <v>3.7</v>
      </c>
      <c r="AN319" s="1620">
        <v>0.7</v>
      </c>
      <c r="AO319" s="1620">
        <v>1.3</v>
      </c>
      <c r="AP319" s="1620">
        <v>1.9</v>
      </c>
      <c r="AQ319" s="1620">
        <v>0.7</v>
      </c>
      <c r="AR319" s="1620">
        <v>2</v>
      </c>
      <c r="AS319" s="1620">
        <v>4.4000000000000004</v>
      </c>
      <c r="AT319" s="1620">
        <v>1.1000000000000001</v>
      </c>
      <c r="AU319" s="1620">
        <v>1.5</v>
      </c>
      <c r="AV319" s="1620">
        <v>1.7</v>
      </c>
      <c r="AW319" s="1620">
        <v>1.7</v>
      </c>
      <c r="AX319" s="1620"/>
      <c r="AY319" s="1620">
        <v>0.89</v>
      </c>
      <c r="AZ319" s="1620">
        <v>1.06</v>
      </c>
      <c r="BA319" s="1620">
        <v>1.04</v>
      </c>
      <c r="BB319" s="1620">
        <v>1.01</v>
      </c>
      <c r="BC319" s="1620">
        <v>1.08</v>
      </c>
      <c r="BD319" s="1620">
        <v>1.05</v>
      </c>
      <c r="BE319" s="1620">
        <v>1.0900000000000001</v>
      </c>
      <c r="BF319" s="1620">
        <v>1.05</v>
      </c>
      <c r="BG319" s="1620">
        <v>1.02</v>
      </c>
      <c r="BH319" s="1620">
        <v>1.1200000000000001</v>
      </c>
      <c r="BI319" s="1620">
        <v>1.05</v>
      </c>
      <c r="BJ319" s="1603"/>
      <c r="BK319" s="1620">
        <v>4.9999999999999947</v>
      </c>
      <c r="BL319" s="1620">
        <v>1.2999999999999987</v>
      </c>
      <c r="BM319" s="1620">
        <v>10.79999999999999</v>
      </c>
      <c r="BN319" s="1620">
        <v>0</v>
      </c>
      <c r="BO319" s="1620"/>
      <c r="BP319" s="1620">
        <v>34</v>
      </c>
      <c r="BQ319" s="1620">
        <v>1.02</v>
      </c>
      <c r="BR319" s="1620">
        <v>1.1955717169957418</v>
      </c>
      <c r="BS319" s="1620">
        <v>1.1503460168460116</v>
      </c>
      <c r="BT319" s="1603"/>
      <c r="BU319" s="1620">
        <v>892.00000000000011</v>
      </c>
      <c r="BV319" s="1620">
        <v>812.22714285714301</v>
      </c>
      <c r="BW319" s="1620">
        <v>12.742857142857144</v>
      </c>
      <c r="BX319" s="1620">
        <v>0</v>
      </c>
      <c r="BY319" s="1620" t="s">
        <v>270</v>
      </c>
      <c r="BZ319" s="1620">
        <v>0</v>
      </c>
      <c r="CA319" s="1620">
        <v>0</v>
      </c>
      <c r="CB319" s="1603"/>
      <c r="CC319" s="1603">
        <v>0.25969999999999999</v>
      </c>
      <c r="CD319" s="1603">
        <v>0.3528</v>
      </c>
      <c r="CE319" s="1603">
        <v>0.39689999999999998</v>
      </c>
      <c r="CF319" s="1603">
        <v>0.87220000000000009</v>
      </c>
      <c r="CG319" s="1603">
        <v>1.5141</v>
      </c>
      <c r="CH319" s="1603">
        <v>6.3700000000000007E-2</v>
      </c>
      <c r="CI319" s="1603">
        <v>0</v>
      </c>
      <c r="CJ319" s="1603"/>
      <c r="CK319" s="1603">
        <v>5.8799999999999998E-2</v>
      </c>
      <c r="CL319" s="1603">
        <v>9.7999999999999997E-3</v>
      </c>
      <c r="CM319" s="1603">
        <v>2.4499999999999999E-3</v>
      </c>
      <c r="CN319" s="1603">
        <v>9.3100000000000016E-2</v>
      </c>
      <c r="CO319" s="1603">
        <v>0</v>
      </c>
      <c r="CP319" s="1603">
        <v>0</v>
      </c>
      <c r="CQ319" s="1603">
        <v>1.8620000000000001</v>
      </c>
      <c r="CR319" s="1603">
        <v>31.78395696369196</v>
      </c>
      <c r="CS319" s="1603">
        <v>1.0466457028143763</v>
      </c>
      <c r="CT319" s="1603">
        <v>0.23583696067059434</v>
      </c>
      <c r="CU319" s="1603">
        <v>0.42971909814911541</v>
      </c>
      <c r="CV319" s="1603">
        <v>0.66555605881970981</v>
      </c>
      <c r="CW319" s="1603">
        <v>0.60993413413324871</v>
      </c>
      <c r="CX319" s="1603">
        <v>0.24028671464551124</v>
      </c>
      <c r="CY319" s="1603">
        <v>0.66746309623753108</v>
      </c>
      <c r="CZ319" s="1603">
        <v>1.5243585759786664</v>
      </c>
      <c r="DA319" s="1603">
        <v>0.36710470293064212</v>
      </c>
      <c r="DB319" s="1603">
        <v>0.48629454154448698</v>
      </c>
      <c r="DC319" s="1603">
        <v>0.6051665405886949</v>
      </c>
      <c r="DD319" s="1603">
        <v>1.0914610821331818</v>
      </c>
      <c r="DE319" s="1603">
        <v>0.56734363180190139</v>
      </c>
      <c r="DF319" s="1603">
        <v>0</v>
      </c>
      <c r="DG319" s="1603">
        <v>0</v>
      </c>
      <c r="DH319" s="1603">
        <v>0</v>
      </c>
      <c r="DI319" s="1603">
        <v>0</v>
      </c>
      <c r="DJ319" s="1603">
        <v>0</v>
      </c>
      <c r="DK319" s="1603">
        <v>0</v>
      </c>
      <c r="DL319" s="1603">
        <v>0</v>
      </c>
      <c r="DM319" s="1603">
        <v>0</v>
      </c>
      <c r="DN319" s="1603">
        <v>0</v>
      </c>
      <c r="DO319" s="1603">
        <v>0</v>
      </c>
      <c r="DP319" s="1603">
        <v>0</v>
      </c>
      <c r="DQ319" s="1603">
        <v>0</v>
      </c>
      <c r="DR319" s="1603">
        <v>0</v>
      </c>
      <c r="DS319" s="1603">
        <v>0</v>
      </c>
      <c r="DT319" s="1603">
        <v>0</v>
      </c>
      <c r="DU319" s="1603">
        <v>0</v>
      </c>
      <c r="DV319" s="1603">
        <v>0</v>
      </c>
      <c r="DW319" s="1618" t="s">
        <v>2975</v>
      </c>
      <c r="DX319" s="1605">
        <v>5</v>
      </c>
      <c r="DY319" s="1605">
        <v>5</v>
      </c>
      <c r="DZ319" s="1605">
        <v>5</v>
      </c>
      <c r="EA319" s="1605">
        <v>4</v>
      </c>
      <c r="EB319" s="1605" t="s">
        <v>986</v>
      </c>
      <c r="EC319" s="1605" t="s">
        <v>986</v>
      </c>
      <c r="ED319" s="1605" t="s">
        <v>986</v>
      </c>
      <c r="EE319" s="1605" t="s">
        <v>986</v>
      </c>
      <c r="EF319" s="1605" t="s">
        <v>986</v>
      </c>
      <c r="EG319" s="1605" t="s">
        <v>986</v>
      </c>
      <c r="EH319" s="1605">
        <v>1</v>
      </c>
      <c r="EI319" s="1605">
        <v>1</v>
      </c>
      <c r="EJ319" s="1605">
        <v>1</v>
      </c>
      <c r="EK319" s="1605">
        <v>1</v>
      </c>
      <c r="EL319" s="1605">
        <v>1</v>
      </c>
      <c r="EM319" s="1605">
        <v>1</v>
      </c>
      <c r="EN319" s="1605">
        <v>1</v>
      </c>
      <c r="EO319" s="1605">
        <v>1</v>
      </c>
      <c r="EP319" s="1605">
        <v>1</v>
      </c>
      <c r="EQ319" s="1605">
        <v>1</v>
      </c>
      <c r="ER319" s="1605">
        <v>1</v>
      </c>
      <c r="ES319" s="1605">
        <v>5</v>
      </c>
      <c r="ET319" s="1605">
        <v>5</v>
      </c>
      <c r="EU319" s="1605">
        <v>5</v>
      </c>
      <c r="EV319" s="1605" t="s">
        <v>986</v>
      </c>
      <c r="EW319" s="1605">
        <v>5</v>
      </c>
      <c r="EX319" s="1605">
        <v>5</v>
      </c>
      <c r="EY319" s="1605" t="s">
        <v>986</v>
      </c>
      <c r="EZ319" s="1605" t="s">
        <v>986</v>
      </c>
      <c r="FA319" s="1605" t="s">
        <v>986</v>
      </c>
      <c r="FB319" s="1605" t="s">
        <v>986</v>
      </c>
      <c r="FC319" s="1605" t="s">
        <v>986</v>
      </c>
      <c r="FD319" s="1605" t="s">
        <v>986</v>
      </c>
      <c r="FE319" s="1605" t="s">
        <v>986</v>
      </c>
      <c r="FF319" s="1605">
        <v>0.26057628441590741</v>
      </c>
      <c r="FG319" s="1605">
        <v>0.86365729427854332</v>
      </c>
      <c r="FH319" s="1605">
        <v>0.76519441412517375</v>
      </c>
      <c r="FI319" s="1605">
        <v>0.9086970321239497</v>
      </c>
      <c r="FJ319" s="1605" t="s">
        <v>986</v>
      </c>
      <c r="FK319" s="1605" t="s">
        <v>986</v>
      </c>
      <c r="FL319" s="1605" t="s">
        <v>986</v>
      </c>
      <c r="FM319" s="1605" t="s">
        <v>986</v>
      </c>
      <c r="FN319" s="1605" t="s">
        <v>986</v>
      </c>
      <c r="FO319" s="1605" t="s">
        <v>986</v>
      </c>
      <c r="FP319" s="1605" t="s">
        <v>986</v>
      </c>
      <c r="FQ319" s="1605" t="s">
        <v>986</v>
      </c>
      <c r="FR319" s="1605" t="s">
        <v>986</v>
      </c>
      <c r="FS319" s="1605" t="s">
        <v>986</v>
      </c>
      <c r="FT319" s="1605" t="s">
        <v>986</v>
      </c>
      <c r="FU319" s="1605" t="s">
        <v>986</v>
      </c>
      <c r="FV319" s="1605" t="s">
        <v>986</v>
      </c>
      <c r="FW319" s="1605" t="s">
        <v>986</v>
      </c>
      <c r="FX319" s="1605" t="s">
        <v>986</v>
      </c>
      <c r="FY319" s="1605" t="s">
        <v>986</v>
      </c>
      <c r="FZ319" s="1605" t="s">
        <v>986</v>
      </c>
      <c r="GA319" s="1605">
        <v>0.36741661709886897</v>
      </c>
      <c r="GB319" s="1605">
        <v>0.70539903665097992</v>
      </c>
      <c r="GC319" s="1605">
        <v>0.62907887087970116</v>
      </c>
      <c r="GD319" s="1605">
        <v>0.51630302921861371</v>
      </c>
      <c r="GE319" s="1605">
        <v>5.3661339083685711</v>
      </c>
      <c r="GF319" s="1605">
        <v>0.11912594565475958</v>
      </c>
      <c r="GG319" s="1605" t="s">
        <v>986</v>
      </c>
      <c r="GH319" s="1605" t="s">
        <v>986</v>
      </c>
      <c r="GI319" s="1605" t="s">
        <v>986</v>
      </c>
      <c r="GJ319" s="1605" t="s">
        <v>986</v>
      </c>
      <c r="GK319" s="1605" t="s">
        <v>986</v>
      </c>
      <c r="GL319" s="1605" t="s">
        <v>986</v>
      </c>
      <c r="GM319" s="1605" t="s">
        <v>986</v>
      </c>
      <c r="GN319" s="1605" t="s">
        <v>2217</v>
      </c>
      <c r="GO319" s="1605" t="s">
        <v>2217</v>
      </c>
      <c r="GP319" s="1605" t="s">
        <v>2217</v>
      </c>
      <c r="GQ319" s="1605" t="s">
        <v>2217</v>
      </c>
      <c r="GR319" s="1605" t="s">
        <v>986</v>
      </c>
      <c r="GS319" s="1605" t="s">
        <v>986</v>
      </c>
      <c r="GT319" s="1605" t="s">
        <v>986</v>
      </c>
      <c r="GU319" s="1605" t="s">
        <v>986</v>
      </c>
      <c r="GV319" s="1605" t="s">
        <v>986</v>
      </c>
      <c r="GW319" s="1605" t="s">
        <v>986</v>
      </c>
      <c r="GX319" s="1605" t="s">
        <v>1594</v>
      </c>
      <c r="GY319" s="1605" t="s">
        <v>1594</v>
      </c>
      <c r="GZ319" s="1605" t="s">
        <v>1594</v>
      </c>
      <c r="HA319" s="1605" t="s">
        <v>1594</v>
      </c>
      <c r="HB319" s="1605" t="s">
        <v>1594</v>
      </c>
      <c r="HC319" s="1605" t="s">
        <v>1594</v>
      </c>
      <c r="HD319" s="1605" t="s">
        <v>1594</v>
      </c>
      <c r="HE319" s="1605" t="s">
        <v>1594</v>
      </c>
      <c r="HF319" s="1605" t="s">
        <v>1594</v>
      </c>
      <c r="HG319" s="1605" t="s">
        <v>1594</v>
      </c>
      <c r="HH319" s="1605" t="s">
        <v>1594</v>
      </c>
      <c r="HI319" s="1605" t="s">
        <v>2217</v>
      </c>
      <c r="HJ319" s="1605" t="s">
        <v>2217</v>
      </c>
      <c r="HK319" s="1605" t="s">
        <v>2217</v>
      </c>
      <c r="HL319" s="1605" t="s">
        <v>986</v>
      </c>
      <c r="HM319" s="1605" t="s">
        <v>2217</v>
      </c>
      <c r="HN319" s="1605" t="s">
        <v>2217</v>
      </c>
      <c r="HO319" s="1605" t="s">
        <v>986</v>
      </c>
      <c r="HP319" s="1605" t="s">
        <v>986</v>
      </c>
      <c r="HQ319" s="1605" t="s">
        <v>986</v>
      </c>
      <c r="HR319" s="1605" t="s">
        <v>986</v>
      </c>
      <c r="HS319" s="1605" t="s">
        <v>986</v>
      </c>
      <c r="HT319" s="1605" t="s">
        <v>986</v>
      </c>
      <c r="HU319" s="1605" t="s">
        <v>986</v>
      </c>
      <c r="HV319" s="1617"/>
      <c r="HW319" s="1617" t="s">
        <v>2984</v>
      </c>
      <c r="HX319" s="1617" t="s">
        <v>2983</v>
      </c>
      <c r="HY319" s="1617" t="s">
        <v>2982</v>
      </c>
      <c r="HZ319" s="1603"/>
      <c r="IA319" s="1603"/>
      <c r="IB319" s="1603"/>
      <c r="IC319" s="1603">
        <v>58</v>
      </c>
      <c r="ID319" s="1603">
        <v>58</v>
      </c>
      <c r="IE319" s="1603">
        <v>58</v>
      </c>
      <c r="IF319" s="1603">
        <v>58</v>
      </c>
      <c r="IG319" s="1611" t="s">
        <v>2981</v>
      </c>
      <c r="IH319" s="1616" t="s">
        <v>2980</v>
      </c>
      <c r="II319" s="1615" t="s">
        <v>2979</v>
      </c>
      <c r="IJ319" s="1613">
        <v>0.65030061349693247</v>
      </c>
      <c r="IK319" s="1613">
        <v>0.59406339468302671</v>
      </c>
      <c r="IL319" s="1614">
        <v>0.65030061349693247</v>
      </c>
      <c r="IM319" s="1614">
        <v>0.59406339468302671</v>
      </c>
      <c r="IN319" s="1612" t="s">
        <v>270</v>
      </c>
      <c r="IO319" s="1613" t="s">
        <v>270</v>
      </c>
      <c r="IP319" s="1607" t="s">
        <v>270</v>
      </c>
      <c r="IQ319" s="1612" t="s">
        <v>270</v>
      </c>
      <c r="IR319" s="1612" t="s">
        <v>270</v>
      </c>
      <c r="IS319" s="1607">
        <v>0.47730061349693254</v>
      </c>
      <c r="IT319" s="1607">
        <v>0.42106339468302667</v>
      </c>
      <c r="IU319" s="1611">
        <v>0</v>
      </c>
      <c r="IV319" s="1611">
        <v>1.6359918200409E-3</v>
      </c>
      <c r="IW319" s="1611">
        <v>2.044989775051125E-4</v>
      </c>
      <c r="IX319" s="1611">
        <v>1.0224948875255625E-3</v>
      </c>
      <c r="IY319" s="1611">
        <v>2.044989775051125E-4</v>
      </c>
      <c r="IZ319" s="1611">
        <v>7.770961145194274E-3</v>
      </c>
      <c r="JA319" s="1611">
        <v>0</v>
      </c>
      <c r="JB319" s="1611" t="s">
        <v>270</v>
      </c>
      <c r="JC319" s="1611">
        <v>3.2310838445807774E-2</v>
      </c>
      <c r="JD319" s="1611">
        <v>8.1799591002045002E-4</v>
      </c>
      <c r="JE319" s="1611" t="s">
        <v>270</v>
      </c>
      <c r="JF319" s="1611">
        <v>0</v>
      </c>
      <c r="JG319" s="1611">
        <v>0.67402862985685086</v>
      </c>
      <c r="JH319" s="1611">
        <v>0</v>
      </c>
      <c r="JI319" s="1611">
        <v>2.2085889570552148E-2</v>
      </c>
      <c r="JJ319" s="1611" t="s">
        <v>270</v>
      </c>
      <c r="JK319" s="1607">
        <f t="shared" si="13"/>
        <v>0.17299999999999993</v>
      </c>
      <c r="JL319" s="1608" t="s">
        <v>270</v>
      </c>
      <c r="JM319" s="1610" t="s">
        <v>2924</v>
      </c>
      <c r="JN319" s="1608">
        <v>5.6237218813905865E-2</v>
      </c>
      <c r="JO319" s="1609" t="s">
        <v>2955</v>
      </c>
      <c r="JP319" s="1608" t="s">
        <v>270</v>
      </c>
      <c r="JQ319" s="1607">
        <v>202103</v>
      </c>
      <c r="JR319" s="1606">
        <v>191</v>
      </c>
      <c r="JS319" s="1606">
        <v>211</v>
      </c>
      <c r="JT319" s="1606">
        <v>211</v>
      </c>
    </row>
    <row r="320" spans="1:280" ht="15" customHeight="1" x14ac:dyDescent="0.2">
      <c r="A320" s="1626">
        <v>77412</v>
      </c>
      <c r="B320" s="1625">
        <v>774</v>
      </c>
      <c r="C320" s="1624">
        <v>12</v>
      </c>
      <c r="D320" s="1623" t="s">
        <v>2990</v>
      </c>
      <c r="E320" s="1622">
        <v>44439</v>
      </c>
      <c r="F320" s="1620">
        <v>5.5463572873403068E-2</v>
      </c>
      <c r="G320" s="1620">
        <v>5.336447155413733E-2</v>
      </c>
      <c r="H320" s="1621">
        <v>99</v>
      </c>
      <c r="I320" s="1621">
        <v>98</v>
      </c>
      <c r="J320" s="1621">
        <v>98</v>
      </c>
      <c r="K320" s="1620">
        <v>0.86</v>
      </c>
      <c r="L320" s="1620">
        <v>4.7</v>
      </c>
      <c r="M320" s="1620">
        <v>0.29610000000000003</v>
      </c>
      <c r="N320" s="1620">
        <v>8.4600000000000009E-2</v>
      </c>
      <c r="O320" s="1620">
        <v>0.58279999999999998</v>
      </c>
      <c r="P320" s="1620">
        <v>0</v>
      </c>
      <c r="Q320" s="1603"/>
      <c r="R320" s="1620">
        <v>76</v>
      </c>
      <c r="S320" s="1620">
        <v>58</v>
      </c>
      <c r="T320" s="1620">
        <v>58</v>
      </c>
      <c r="U320" s="1620">
        <v>58</v>
      </c>
      <c r="V320" s="1620">
        <v>58</v>
      </c>
      <c r="W320" s="1620">
        <v>58</v>
      </c>
      <c r="X320" s="1620"/>
      <c r="Y320" s="1620">
        <v>8</v>
      </c>
      <c r="Z320" s="1620">
        <v>7.7</v>
      </c>
      <c r="AA320" s="1620">
        <v>13.2</v>
      </c>
      <c r="AB320" s="1620">
        <v>25.4</v>
      </c>
      <c r="AC320" s="1620">
        <v>26.9</v>
      </c>
      <c r="AD320" s="1620">
        <v>1.5</v>
      </c>
      <c r="AE320" s="1620">
        <v>0</v>
      </c>
      <c r="AF320" s="1620">
        <v>1.2000000000000002</v>
      </c>
      <c r="AG320" s="1620">
        <v>0.2</v>
      </c>
      <c r="AH320" s="1620">
        <v>0.05</v>
      </c>
      <c r="AI320" s="1620">
        <v>1.9000000000000001</v>
      </c>
      <c r="AJ320" s="1620">
        <v>0</v>
      </c>
      <c r="AK320" s="1620">
        <v>0</v>
      </c>
      <c r="AL320" s="1620"/>
      <c r="AM320" s="1620">
        <v>3.7</v>
      </c>
      <c r="AN320" s="1620">
        <v>0.7</v>
      </c>
      <c r="AO320" s="1620">
        <v>1.3</v>
      </c>
      <c r="AP320" s="1620">
        <v>1.9</v>
      </c>
      <c r="AQ320" s="1620">
        <v>0.7</v>
      </c>
      <c r="AR320" s="1620">
        <v>2</v>
      </c>
      <c r="AS320" s="1620">
        <v>4.4000000000000004</v>
      </c>
      <c r="AT320" s="1620">
        <v>1.1000000000000001</v>
      </c>
      <c r="AU320" s="1620">
        <v>1.5</v>
      </c>
      <c r="AV320" s="1620">
        <v>1.7</v>
      </c>
      <c r="AW320" s="1620">
        <v>1.7</v>
      </c>
      <c r="AX320" s="1620"/>
      <c r="AY320" s="1620">
        <v>0.89</v>
      </c>
      <c r="AZ320" s="1620">
        <v>1.06</v>
      </c>
      <c r="BA320" s="1620">
        <v>1.04</v>
      </c>
      <c r="BB320" s="1620">
        <v>1.01</v>
      </c>
      <c r="BC320" s="1620">
        <v>1.08</v>
      </c>
      <c r="BD320" s="1620">
        <v>1.05</v>
      </c>
      <c r="BE320" s="1620">
        <v>1.0900000000000001</v>
      </c>
      <c r="BF320" s="1620">
        <v>1.05</v>
      </c>
      <c r="BG320" s="1620">
        <v>1.02</v>
      </c>
      <c r="BH320" s="1620">
        <v>1.1200000000000001</v>
      </c>
      <c r="BI320" s="1620">
        <v>1.05</v>
      </c>
      <c r="BJ320" s="1603"/>
      <c r="BK320" s="1620">
        <v>6.2999999999999972</v>
      </c>
      <c r="BL320" s="1620">
        <v>1.7999999999999992</v>
      </c>
      <c r="BM320" s="1620">
        <v>12.399999999999993</v>
      </c>
      <c r="BN320" s="1620">
        <v>0</v>
      </c>
      <c r="BO320" s="1620"/>
      <c r="BP320" s="1620">
        <v>34</v>
      </c>
      <c r="BQ320" s="1620">
        <v>1.36</v>
      </c>
      <c r="BR320" s="1620">
        <v>1.1800760185830432</v>
      </c>
      <c r="BS320" s="1620">
        <v>1.1354142883859</v>
      </c>
      <c r="BT320" s="1603"/>
      <c r="BU320" s="1620">
        <v>876.00000000000011</v>
      </c>
      <c r="BV320" s="1620">
        <v>779.93571428571443</v>
      </c>
      <c r="BW320" s="1620">
        <v>12.514285714285716</v>
      </c>
      <c r="BX320" s="1620">
        <v>0</v>
      </c>
      <c r="BY320" s="1620" t="s">
        <v>270</v>
      </c>
      <c r="BZ320" s="1620">
        <v>0</v>
      </c>
      <c r="CA320" s="1620">
        <v>0</v>
      </c>
      <c r="CB320" s="1603"/>
      <c r="CC320" s="1603">
        <v>0.376</v>
      </c>
      <c r="CD320" s="1603">
        <v>0.3619</v>
      </c>
      <c r="CE320" s="1603">
        <v>0.62039999999999995</v>
      </c>
      <c r="CF320" s="1603">
        <v>1.1938</v>
      </c>
      <c r="CG320" s="1603">
        <v>1.2643</v>
      </c>
      <c r="CH320" s="1603">
        <v>7.0500000000000007E-2</v>
      </c>
      <c r="CI320" s="1603">
        <v>0</v>
      </c>
      <c r="CJ320" s="1603"/>
      <c r="CK320" s="1603">
        <v>5.6400000000000006E-2</v>
      </c>
      <c r="CL320" s="1603">
        <v>9.4000000000000004E-3</v>
      </c>
      <c r="CM320" s="1603">
        <v>2.3500000000000001E-3</v>
      </c>
      <c r="CN320" s="1603">
        <v>8.9300000000000004E-2</v>
      </c>
      <c r="CO320" s="1603">
        <v>0</v>
      </c>
      <c r="CP320" s="1603">
        <v>0</v>
      </c>
      <c r="CQ320" s="1603">
        <v>2.2503600000000001</v>
      </c>
      <c r="CR320" s="1603">
        <v>40.57365732886521</v>
      </c>
      <c r="CS320" s="1603">
        <v>1.3360905358395314</v>
      </c>
      <c r="CT320" s="1603">
        <v>0.30105653738017984</v>
      </c>
      <c r="CU320" s="1603">
        <v>0.54855584708625782</v>
      </c>
      <c r="CV320" s="1603">
        <v>0.84961238446643761</v>
      </c>
      <c r="CW320" s="1603">
        <v>0.77860848414092343</v>
      </c>
      <c r="CX320" s="1603">
        <v>0.30673684940622103</v>
      </c>
      <c r="CY320" s="1603">
        <v>0.85204680390616949</v>
      </c>
      <c r="CZ320" s="1603">
        <v>1.9459126054923759</v>
      </c>
      <c r="DA320" s="1603">
        <v>0.46862574214839325</v>
      </c>
      <c r="DB320" s="1603">
        <v>0.62077695713163783</v>
      </c>
      <c r="DC320" s="1603">
        <v>0.77252243554159372</v>
      </c>
      <c r="DD320" s="1603">
        <v>1.3932993926732316</v>
      </c>
      <c r="DE320" s="1603">
        <v>0.72423978332024397</v>
      </c>
      <c r="DF320" s="1603">
        <v>0</v>
      </c>
      <c r="DG320" s="1603">
        <v>0</v>
      </c>
      <c r="DH320" s="1603">
        <v>0</v>
      </c>
      <c r="DI320" s="1603">
        <v>0</v>
      </c>
      <c r="DJ320" s="1603">
        <v>0</v>
      </c>
      <c r="DK320" s="1603">
        <v>0</v>
      </c>
      <c r="DL320" s="1603">
        <v>0</v>
      </c>
      <c r="DM320" s="1603">
        <v>0</v>
      </c>
      <c r="DN320" s="1603">
        <v>0</v>
      </c>
      <c r="DO320" s="1603">
        <v>0</v>
      </c>
      <c r="DP320" s="1603">
        <v>0</v>
      </c>
      <c r="DQ320" s="1603">
        <v>0</v>
      </c>
      <c r="DR320" s="1603">
        <v>0</v>
      </c>
      <c r="DS320" s="1603">
        <v>0</v>
      </c>
      <c r="DT320" s="1603">
        <v>0</v>
      </c>
      <c r="DU320" s="1603">
        <v>0</v>
      </c>
      <c r="DV320" s="1603">
        <v>0</v>
      </c>
      <c r="DW320" s="1618" t="s">
        <v>2975</v>
      </c>
      <c r="DX320" s="1605">
        <v>6</v>
      </c>
      <c r="DY320" s="1605">
        <v>6</v>
      </c>
      <c r="DZ320" s="1605">
        <v>6</v>
      </c>
      <c r="EA320" s="1605">
        <v>6</v>
      </c>
      <c r="EB320" s="1605" t="s">
        <v>986</v>
      </c>
      <c r="EC320" s="1605" t="s">
        <v>986</v>
      </c>
      <c r="ED320" s="1605" t="s">
        <v>986</v>
      </c>
      <c r="EE320" s="1605" t="s">
        <v>986</v>
      </c>
      <c r="EF320" s="1605" t="s">
        <v>986</v>
      </c>
      <c r="EG320" s="1605" t="s">
        <v>986</v>
      </c>
      <c r="EH320" s="1605">
        <v>1</v>
      </c>
      <c r="EI320" s="1605">
        <v>1</v>
      </c>
      <c r="EJ320" s="1605">
        <v>1</v>
      </c>
      <c r="EK320" s="1605">
        <v>1</v>
      </c>
      <c r="EL320" s="1605">
        <v>1</v>
      </c>
      <c r="EM320" s="1605">
        <v>1</v>
      </c>
      <c r="EN320" s="1605">
        <v>1</v>
      </c>
      <c r="EO320" s="1605">
        <v>1</v>
      </c>
      <c r="EP320" s="1605">
        <v>1</v>
      </c>
      <c r="EQ320" s="1605">
        <v>1</v>
      </c>
      <c r="ER320" s="1605">
        <v>1</v>
      </c>
      <c r="ES320" s="1605">
        <v>6</v>
      </c>
      <c r="ET320" s="1605">
        <v>6</v>
      </c>
      <c r="EU320" s="1605">
        <v>6</v>
      </c>
      <c r="EV320" s="1605" t="s">
        <v>986</v>
      </c>
      <c r="EW320" s="1605">
        <v>6</v>
      </c>
      <c r="EX320" s="1605">
        <v>6</v>
      </c>
      <c r="EY320" s="1605" t="s">
        <v>986</v>
      </c>
      <c r="EZ320" s="1605" t="s">
        <v>986</v>
      </c>
      <c r="FA320" s="1605" t="s">
        <v>986</v>
      </c>
      <c r="FB320" s="1605" t="s">
        <v>986</v>
      </c>
      <c r="FC320" s="1605" t="s">
        <v>986</v>
      </c>
      <c r="FD320" s="1605" t="s">
        <v>986</v>
      </c>
      <c r="FE320" s="1605" t="s">
        <v>986</v>
      </c>
      <c r="FF320" s="1605">
        <v>0.19610371405627838</v>
      </c>
      <c r="FG320" s="1605">
        <v>0.73960780623465205</v>
      </c>
      <c r="FH320" s="1605">
        <v>0.46191695959600848</v>
      </c>
      <c r="FI320" s="1605">
        <v>0.89967844073338255</v>
      </c>
      <c r="FJ320" s="1605" t="s">
        <v>986</v>
      </c>
      <c r="FK320" s="1605" t="s">
        <v>986</v>
      </c>
      <c r="FL320" s="1605" t="s">
        <v>986</v>
      </c>
      <c r="FM320" s="1605" t="s">
        <v>986</v>
      </c>
      <c r="FN320" s="1605" t="s">
        <v>986</v>
      </c>
      <c r="FO320" s="1605" t="s">
        <v>986</v>
      </c>
      <c r="FP320" s="1605" t="s">
        <v>986</v>
      </c>
      <c r="FQ320" s="1605" t="s">
        <v>986</v>
      </c>
      <c r="FR320" s="1605" t="s">
        <v>986</v>
      </c>
      <c r="FS320" s="1605" t="s">
        <v>986</v>
      </c>
      <c r="FT320" s="1605" t="s">
        <v>986</v>
      </c>
      <c r="FU320" s="1605" t="s">
        <v>986</v>
      </c>
      <c r="FV320" s="1605" t="s">
        <v>986</v>
      </c>
      <c r="FW320" s="1605" t="s">
        <v>986</v>
      </c>
      <c r="FX320" s="1605" t="s">
        <v>986</v>
      </c>
      <c r="FY320" s="1605" t="s">
        <v>986</v>
      </c>
      <c r="FZ320" s="1605" t="s">
        <v>986</v>
      </c>
      <c r="GA320" s="1605">
        <v>0.61565278482607855</v>
      </c>
      <c r="GB320" s="1605">
        <v>0.71490167310896657</v>
      </c>
      <c r="GC320" s="1605">
        <v>1.4200863236798218</v>
      </c>
      <c r="GD320" s="1605">
        <v>1.8621349910055316</v>
      </c>
      <c r="GE320" s="1605">
        <v>3.6656021097972857</v>
      </c>
      <c r="GF320" s="1605">
        <v>0.11532277184241946</v>
      </c>
      <c r="GG320" s="1605" t="s">
        <v>986</v>
      </c>
      <c r="GH320" s="1605" t="s">
        <v>986</v>
      </c>
      <c r="GI320" s="1605" t="s">
        <v>986</v>
      </c>
      <c r="GJ320" s="1605" t="s">
        <v>986</v>
      </c>
      <c r="GK320" s="1605" t="s">
        <v>986</v>
      </c>
      <c r="GL320" s="1605" t="s">
        <v>986</v>
      </c>
      <c r="GM320" s="1605" t="s">
        <v>986</v>
      </c>
      <c r="GN320" s="1605" t="s">
        <v>2217</v>
      </c>
      <c r="GO320" s="1605" t="s">
        <v>2217</v>
      </c>
      <c r="GP320" s="1605" t="s">
        <v>2217</v>
      </c>
      <c r="GQ320" s="1605" t="s">
        <v>2217</v>
      </c>
      <c r="GR320" s="1605" t="s">
        <v>986</v>
      </c>
      <c r="GS320" s="1605" t="s">
        <v>986</v>
      </c>
      <c r="GT320" s="1605" t="s">
        <v>986</v>
      </c>
      <c r="GU320" s="1605" t="s">
        <v>986</v>
      </c>
      <c r="GV320" s="1605" t="s">
        <v>986</v>
      </c>
      <c r="GW320" s="1605" t="s">
        <v>986</v>
      </c>
      <c r="GX320" s="1605" t="s">
        <v>1594</v>
      </c>
      <c r="GY320" s="1605" t="s">
        <v>1594</v>
      </c>
      <c r="GZ320" s="1605" t="s">
        <v>1594</v>
      </c>
      <c r="HA320" s="1605" t="s">
        <v>1594</v>
      </c>
      <c r="HB320" s="1605" t="s">
        <v>1594</v>
      </c>
      <c r="HC320" s="1605" t="s">
        <v>1594</v>
      </c>
      <c r="HD320" s="1605" t="s">
        <v>1594</v>
      </c>
      <c r="HE320" s="1605" t="s">
        <v>1594</v>
      </c>
      <c r="HF320" s="1605" t="s">
        <v>1594</v>
      </c>
      <c r="HG320" s="1605" t="s">
        <v>1594</v>
      </c>
      <c r="HH320" s="1605" t="s">
        <v>1594</v>
      </c>
      <c r="HI320" s="1605" t="s">
        <v>2217</v>
      </c>
      <c r="HJ320" s="1605" t="s">
        <v>2217</v>
      </c>
      <c r="HK320" s="1605" t="s">
        <v>2217</v>
      </c>
      <c r="HL320" s="1605" t="s">
        <v>986</v>
      </c>
      <c r="HM320" s="1605" t="s">
        <v>2217</v>
      </c>
      <c r="HN320" s="1605" t="s">
        <v>2217</v>
      </c>
      <c r="HO320" s="1605" t="s">
        <v>986</v>
      </c>
      <c r="HP320" s="1605" t="s">
        <v>986</v>
      </c>
      <c r="HQ320" s="1605" t="s">
        <v>986</v>
      </c>
      <c r="HR320" s="1605" t="s">
        <v>986</v>
      </c>
      <c r="HS320" s="1605" t="s">
        <v>986</v>
      </c>
      <c r="HT320" s="1605" t="s">
        <v>986</v>
      </c>
      <c r="HU320" s="1605" t="s">
        <v>986</v>
      </c>
      <c r="HV320" s="1617"/>
      <c r="HW320" s="1617" t="s">
        <v>2984</v>
      </c>
      <c r="HX320" s="1617" t="s">
        <v>2983</v>
      </c>
      <c r="HY320" s="1617" t="s">
        <v>2982</v>
      </c>
      <c r="HZ320" s="1603"/>
      <c r="IA320" s="1603"/>
      <c r="IB320" s="1603"/>
      <c r="IC320" s="1603">
        <v>58</v>
      </c>
      <c r="ID320" s="1603">
        <v>58</v>
      </c>
      <c r="IE320" s="1603">
        <v>58</v>
      </c>
      <c r="IF320" s="1603">
        <v>58</v>
      </c>
      <c r="IG320" s="1611" t="s">
        <v>2981</v>
      </c>
      <c r="IH320" s="1616" t="s">
        <v>270</v>
      </c>
      <c r="II320" s="1615" t="s">
        <v>270</v>
      </c>
      <c r="IJ320" s="1613">
        <v>0.65030061349693247</v>
      </c>
      <c r="IK320" s="1613">
        <v>0.59406339468302671</v>
      </c>
      <c r="IL320" s="1614">
        <v>0.65030061349693247</v>
      </c>
      <c r="IM320" s="1614">
        <v>0.59406339468302671</v>
      </c>
      <c r="IN320" s="1612" t="s">
        <v>270</v>
      </c>
      <c r="IO320" s="1613" t="s">
        <v>270</v>
      </c>
      <c r="IP320" s="1607" t="s">
        <v>270</v>
      </c>
      <c r="IQ320" s="1612" t="s">
        <v>270</v>
      </c>
      <c r="IR320" s="1612" t="s">
        <v>270</v>
      </c>
      <c r="IS320" s="1607">
        <v>0.47730061349693254</v>
      </c>
      <c r="IT320" s="1607">
        <v>0.42106339468302667</v>
      </c>
      <c r="IU320" s="1611">
        <v>0</v>
      </c>
      <c r="IV320" s="1611">
        <v>1.6359918200409E-3</v>
      </c>
      <c r="IW320" s="1611">
        <v>2.044989775051125E-4</v>
      </c>
      <c r="IX320" s="1611">
        <v>1.0224948875255625E-3</v>
      </c>
      <c r="IY320" s="1611">
        <v>2.044989775051125E-4</v>
      </c>
      <c r="IZ320" s="1611">
        <v>7.770961145194274E-3</v>
      </c>
      <c r="JA320" s="1611">
        <v>0</v>
      </c>
      <c r="JB320" s="1611" t="s">
        <v>270</v>
      </c>
      <c r="JC320" s="1611">
        <v>3.2310838445807774E-2</v>
      </c>
      <c r="JD320" s="1611">
        <v>8.1799591002045002E-4</v>
      </c>
      <c r="JE320" s="1611" t="s">
        <v>270</v>
      </c>
      <c r="JF320" s="1611">
        <v>0</v>
      </c>
      <c r="JG320" s="1611">
        <v>0.67402862985685086</v>
      </c>
      <c r="JH320" s="1611">
        <v>0</v>
      </c>
      <c r="JI320" s="1611">
        <v>2.2085889570552148E-2</v>
      </c>
      <c r="JJ320" s="1611" t="s">
        <v>270</v>
      </c>
      <c r="JK320" s="1607">
        <f t="shared" si="13"/>
        <v>0.17299999999999993</v>
      </c>
      <c r="JL320" s="1608" t="s">
        <v>270</v>
      </c>
      <c r="JM320" s="1610" t="s">
        <v>2924</v>
      </c>
      <c r="JN320" s="1608">
        <v>5.6237218813905865E-2</v>
      </c>
      <c r="JO320" s="1609" t="s">
        <v>2955</v>
      </c>
      <c r="JP320" s="1608" t="s">
        <v>270</v>
      </c>
      <c r="JQ320" s="1607">
        <v>202103</v>
      </c>
      <c r="JR320" s="1606">
        <v>191</v>
      </c>
      <c r="JS320" s="1606">
        <v>211</v>
      </c>
      <c r="JT320" s="1606">
        <v>211</v>
      </c>
    </row>
    <row r="321" spans="1:280" ht="15" customHeight="1" x14ac:dyDescent="0.2">
      <c r="A321" s="1626">
        <v>77406</v>
      </c>
      <c r="B321" s="1625">
        <v>774</v>
      </c>
      <c r="C321" s="1624">
        <v>6</v>
      </c>
      <c r="D321" s="1623" t="s">
        <v>2989</v>
      </c>
      <c r="E321" s="1622">
        <v>44439</v>
      </c>
      <c r="F321" s="1620">
        <v>6.4906473156794348E-2</v>
      </c>
      <c r="G321" s="1620">
        <v>6.2433226246307899E-2</v>
      </c>
      <c r="H321" s="1621">
        <v>99</v>
      </c>
      <c r="I321" s="1621">
        <v>98</v>
      </c>
      <c r="J321" s="1621">
        <v>98</v>
      </c>
      <c r="K321" s="1620">
        <v>0.86</v>
      </c>
      <c r="L321" s="1620">
        <v>5.0999999999999996</v>
      </c>
      <c r="M321" s="1620">
        <v>0.3417</v>
      </c>
      <c r="N321" s="1620">
        <v>0.32129999999999997</v>
      </c>
      <c r="O321" s="1620">
        <v>0.61709999999999998</v>
      </c>
      <c r="P321" s="1620">
        <v>0</v>
      </c>
      <c r="Q321" s="1603"/>
      <c r="R321" s="1620">
        <v>76</v>
      </c>
      <c r="S321" s="1620">
        <v>58</v>
      </c>
      <c r="T321" s="1620">
        <v>58</v>
      </c>
      <c r="U321" s="1620">
        <v>58</v>
      </c>
      <c r="V321" s="1620">
        <v>58</v>
      </c>
      <c r="W321" s="1620">
        <v>58</v>
      </c>
      <c r="X321" s="1620"/>
      <c r="Y321" s="1620">
        <v>23</v>
      </c>
      <c r="Z321" s="1620">
        <v>13.4</v>
      </c>
      <c r="AA321" s="1620">
        <v>6.9</v>
      </c>
      <c r="AB321" s="1620">
        <v>15.3</v>
      </c>
      <c r="AC321" s="1620">
        <v>29.4</v>
      </c>
      <c r="AD321" s="1620">
        <v>2</v>
      </c>
      <c r="AE321" s="1620">
        <v>0</v>
      </c>
      <c r="AF321" s="1620">
        <v>1.2</v>
      </c>
      <c r="AG321" s="1620">
        <v>0.19999999999999998</v>
      </c>
      <c r="AH321" s="1620">
        <v>4.9999999999999996E-2</v>
      </c>
      <c r="AI321" s="1620">
        <v>1.9000000000000004</v>
      </c>
      <c r="AJ321" s="1620">
        <v>0</v>
      </c>
      <c r="AK321" s="1620">
        <v>0</v>
      </c>
      <c r="AL321" s="1620"/>
      <c r="AM321" s="1620">
        <v>3.7</v>
      </c>
      <c r="AN321" s="1620">
        <v>0.7</v>
      </c>
      <c r="AO321" s="1620">
        <v>1.3</v>
      </c>
      <c r="AP321" s="1620">
        <v>1.9</v>
      </c>
      <c r="AQ321" s="1620">
        <v>0.7</v>
      </c>
      <c r="AR321" s="1620">
        <v>2</v>
      </c>
      <c r="AS321" s="1620">
        <v>4.4000000000000004</v>
      </c>
      <c r="AT321" s="1620">
        <v>1.1000000000000001</v>
      </c>
      <c r="AU321" s="1620">
        <v>1.5</v>
      </c>
      <c r="AV321" s="1620">
        <v>1.7</v>
      </c>
      <c r="AW321" s="1620">
        <v>1.7</v>
      </c>
      <c r="AX321" s="1620"/>
      <c r="AY321" s="1620">
        <v>0.89</v>
      </c>
      <c r="AZ321" s="1620">
        <v>1.06</v>
      </c>
      <c r="BA321" s="1620">
        <v>1.04</v>
      </c>
      <c r="BB321" s="1620">
        <v>1.01</v>
      </c>
      <c r="BC321" s="1620">
        <v>1.08</v>
      </c>
      <c r="BD321" s="1620">
        <v>1.05</v>
      </c>
      <c r="BE321" s="1620">
        <v>1.0900000000000001</v>
      </c>
      <c r="BF321" s="1620">
        <v>1.05</v>
      </c>
      <c r="BG321" s="1620">
        <v>1.02</v>
      </c>
      <c r="BH321" s="1620">
        <v>1.1200000000000001</v>
      </c>
      <c r="BI321" s="1620">
        <v>1.05</v>
      </c>
      <c r="BJ321" s="1603"/>
      <c r="BK321" s="1620">
        <v>6.7000000000000082</v>
      </c>
      <c r="BL321" s="1620">
        <v>6.300000000000006</v>
      </c>
      <c r="BM321" s="1620">
        <v>12.100000000000014</v>
      </c>
      <c r="BN321" s="1620">
        <v>0</v>
      </c>
      <c r="BO321" s="1620"/>
      <c r="BP321" s="1620">
        <v>34</v>
      </c>
      <c r="BQ321" s="1620">
        <v>1.02</v>
      </c>
      <c r="BR321" s="1620">
        <v>1.2726759442508708</v>
      </c>
      <c r="BS321" s="1620">
        <v>1.2241809067903524</v>
      </c>
      <c r="BT321" s="1603"/>
      <c r="BU321" s="1620">
        <v>878.99999999999989</v>
      </c>
      <c r="BV321" s="1620">
        <v>735.57285714285695</v>
      </c>
      <c r="BW321" s="1620">
        <v>12.557142857142855</v>
      </c>
      <c r="BX321" s="1620">
        <v>0</v>
      </c>
      <c r="BY321" s="1620" t="s">
        <v>270</v>
      </c>
      <c r="BZ321" s="1620">
        <v>0</v>
      </c>
      <c r="CA321" s="1620">
        <v>0</v>
      </c>
      <c r="CB321" s="1603"/>
      <c r="CC321" s="1603">
        <v>1.1729999999999998</v>
      </c>
      <c r="CD321" s="1603">
        <v>0.68340000000000001</v>
      </c>
      <c r="CE321" s="1603">
        <v>0.35189999999999999</v>
      </c>
      <c r="CF321" s="1603">
        <v>0.78029999999999999</v>
      </c>
      <c r="CG321" s="1603">
        <v>1.4993999999999998</v>
      </c>
      <c r="CH321" s="1603">
        <v>0.10199999999999999</v>
      </c>
      <c r="CI321" s="1603">
        <v>0</v>
      </c>
      <c r="CJ321" s="1603"/>
      <c r="CK321" s="1603">
        <v>6.1199999999999991E-2</v>
      </c>
      <c r="CL321" s="1603">
        <v>1.0199999999999999E-2</v>
      </c>
      <c r="CM321" s="1603">
        <v>2.5499999999999997E-3</v>
      </c>
      <c r="CN321" s="1603">
        <v>9.6900000000000014E-2</v>
      </c>
      <c r="CO321" s="1603">
        <v>0</v>
      </c>
      <c r="CP321" s="1603">
        <v>0</v>
      </c>
      <c r="CQ321" s="1603">
        <v>2.5969199999999999</v>
      </c>
      <c r="CR321" s="1603">
        <v>40.010185020015321</v>
      </c>
      <c r="CS321" s="1603">
        <v>1.3175353927091045</v>
      </c>
      <c r="CT321" s="1603">
        <v>0.29687557284851362</v>
      </c>
      <c r="CU321" s="1603">
        <v>0.54093770147060727</v>
      </c>
      <c r="CV321" s="1603">
        <v>0.83781327431912089</v>
      </c>
      <c r="CW321" s="1603">
        <v>0.76779545053409415</v>
      </c>
      <c r="CX321" s="1603">
        <v>0.30247699875131584</v>
      </c>
      <c r="CY321" s="1603">
        <v>0.84021388542032172</v>
      </c>
      <c r="CZ321" s="1603">
        <v>1.9188884735599352</v>
      </c>
      <c r="DA321" s="1603">
        <v>0.46211763698117697</v>
      </c>
      <c r="DB321" s="1603">
        <v>0.61215583080623437</v>
      </c>
      <c r="DC321" s="1603">
        <v>0.76179392278109181</v>
      </c>
      <c r="DD321" s="1603">
        <v>1.3739497535873262</v>
      </c>
      <c r="DE321" s="1603">
        <v>0.71418180260727337</v>
      </c>
      <c r="DF321" s="1603">
        <v>0</v>
      </c>
      <c r="DG321" s="1603">
        <v>0</v>
      </c>
      <c r="DH321" s="1603">
        <v>0</v>
      </c>
      <c r="DI321" s="1603">
        <v>0</v>
      </c>
      <c r="DJ321" s="1603">
        <v>0</v>
      </c>
      <c r="DK321" s="1603">
        <v>0</v>
      </c>
      <c r="DL321" s="1603">
        <v>0</v>
      </c>
      <c r="DM321" s="1603">
        <v>0</v>
      </c>
      <c r="DN321" s="1603">
        <v>0</v>
      </c>
      <c r="DO321" s="1603">
        <v>0</v>
      </c>
      <c r="DP321" s="1603">
        <v>0</v>
      </c>
      <c r="DQ321" s="1603">
        <v>0</v>
      </c>
      <c r="DR321" s="1603">
        <v>0</v>
      </c>
      <c r="DS321" s="1603">
        <v>0</v>
      </c>
      <c r="DT321" s="1603">
        <v>0</v>
      </c>
      <c r="DU321" s="1603">
        <v>0</v>
      </c>
      <c r="DV321" s="1603">
        <v>0</v>
      </c>
      <c r="DW321" s="1618" t="s">
        <v>2975</v>
      </c>
      <c r="DX321" s="1605">
        <v>12</v>
      </c>
      <c r="DY321" s="1605">
        <v>6</v>
      </c>
      <c r="DZ321" s="1605">
        <v>6</v>
      </c>
      <c r="EA321" s="1605">
        <v>8</v>
      </c>
      <c r="EB321" s="1605" t="s">
        <v>986</v>
      </c>
      <c r="EC321" s="1605" t="s">
        <v>986</v>
      </c>
      <c r="ED321" s="1605" t="s">
        <v>986</v>
      </c>
      <c r="EE321" s="1605" t="s">
        <v>986</v>
      </c>
      <c r="EF321" s="1605" t="s">
        <v>986</v>
      </c>
      <c r="EG321" s="1605" t="s">
        <v>986</v>
      </c>
      <c r="EH321" s="1605">
        <v>1</v>
      </c>
      <c r="EI321" s="1605">
        <v>1</v>
      </c>
      <c r="EJ321" s="1605">
        <v>1</v>
      </c>
      <c r="EK321" s="1605">
        <v>1</v>
      </c>
      <c r="EL321" s="1605">
        <v>1</v>
      </c>
      <c r="EM321" s="1605">
        <v>1</v>
      </c>
      <c r="EN321" s="1605">
        <v>1</v>
      </c>
      <c r="EO321" s="1605">
        <v>1</v>
      </c>
      <c r="EP321" s="1605">
        <v>1</v>
      </c>
      <c r="EQ321" s="1605">
        <v>1</v>
      </c>
      <c r="ER321" s="1605">
        <v>1</v>
      </c>
      <c r="ES321" s="1605">
        <v>6</v>
      </c>
      <c r="ET321" s="1605">
        <v>6</v>
      </c>
      <c r="EU321" s="1605">
        <v>6</v>
      </c>
      <c r="EV321" s="1605" t="s">
        <v>986</v>
      </c>
      <c r="EW321" s="1605">
        <v>6</v>
      </c>
      <c r="EX321" s="1605">
        <v>6</v>
      </c>
      <c r="EY321" s="1605" t="s">
        <v>986</v>
      </c>
      <c r="EZ321" s="1605" t="s">
        <v>986</v>
      </c>
      <c r="FA321" s="1605" t="s">
        <v>986</v>
      </c>
      <c r="FB321" s="1605" t="s">
        <v>986</v>
      </c>
      <c r="FC321" s="1605" t="s">
        <v>986</v>
      </c>
      <c r="FD321" s="1605" t="s">
        <v>986</v>
      </c>
      <c r="FE321" s="1605" t="s">
        <v>986</v>
      </c>
      <c r="FF321" s="1605">
        <v>0.38338998263892982</v>
      </c>
      <c r="FG321" s="1605">
        <v>1.6307287327221809</v>
      </c>
      <c r="FH321" s="1605">
        <v>5.5999239377242018</v>
      </c>
      <c r="FI321" s="1605">
        <v>2.6256503897548593</v>
      </c>
      <c r="FJ321" s="1605" t="s">
        <v>986</v>
      </c>
      <c r="FK321" s="1605" t="s">
        <v>986</v>
      </c>
      <c r="FL321" s="1605" t="s">
        <v>986</v>
      </c>
      <c r="FM321" s="1605" t="s">
        <v>986</v>
      </c>
      <c r="FN321" s="1605" t="s">
        <v>986</v>
      </c>
      <c r="FO321" s="1605" t="s">
        <v>986</v>
      </c>
      <c r="FP321" s="1605" t="s">
        <v>986</v>
      </c>
      <c r="FQ321" s="1605" t="s">
        <v>986</v>
      </c>
      <c r="FR321" s="1605" t="s">
        <v>986</v>
      </c>
      <c r="FS321" s="1605" t="s">
        <v>986</v>
      </c>
      <c r="FT321" s="1605" t="s">
        <v>986</v>
      </c>
      <c r="FU321" s="1605" t="s">
        <v>986</v>
      </c>
      <c r="FV321" s="1605" t="s">
        <v>986</v>
      </c>
      <c r="FW321" s="1605" t="s">
        <v>986</v>
      </c>
      <c r="FX321" s="1605" t="s">
        <v>986</v>
      </c>
      <c r="FY321" s="1605" t="s">
        <v>986</v>
      </c>
      <c r="FZ321" s="1605" t="s">
        <v>986</v>
      </c>
      <c r="GA321" s="1605">
        <v>2.2199821311370855</v>
      </c>
      <c r="GB321" s="1605">
        <v>1.1390951222896097</v>
      </c>
      <c r="GC321" s="1605">
        <v>0.49413320459220195</v>
      </c>
      <c r="GD321" s="1605">
        <v>0.53701389249540821</v>
      </c>
      <c r="GE321" s="1605">
        <v>3.1274305259096704</v>
      </c>
      <c r="GF321" s="1605">
        <v>0.19125823231253627</v>
      </c>
      <c r="GG321" s="1605" t="s">
        <v>986</v>
      </c>
      <c r="GH321" s="1605" t="s">
        <v>986</v>
      </c>
      <c r="GI321" s="1605" t="s">
        <v>986</v>
      </c>
      <c r="GJ321" s="1605" t="s">
        <v>986</v>
      </c>
      <c r="GK321" s="1605" t="s">
        <v>986</v>
      </c>
      <c r="GL321" s="1605" t="s">
        <v>986</v>
      </c>
      <c r="GM321" s="1605" t="s">
        <v>986</v>
      </c>
      <c r="GN321" s="1605" t="s">
        <v>2217</v>
      </c>
      <c r="GO321" s="1605" t="s">
        <v>2217</v>
      </c>
      <c r="GP321" s="1605" t="s">
        <v>2217</v>
      </c>
      <c r="GQ321" s="1605" t="s">
        <v>2217</v>
      </c>
      <c r="GR321" s="1605" t="s">
        <v>986</v>
      </c>
      <c r="GS321" s="1605" t="s">
        <v>986</v>
      </c>
      <c r="GT321" s="1605" t="s">
        <v>986</v>
      </c>
      <c r="GU321" s="1605" t="s">
        <v>986</v>
      </c>
      <c r="GV321" s="1605" t="s">
        <v>986</v>
      </c>
      <c r="GW321" s="1605" t="s">
        <v>986</v>
      </c>
      <c r="GX321" s="1605" t="s">
        <v>1594</v>
      </c>
      <c r="GY321" s="1605" t="s">
        <v>1594</v>
      </c>
      <c r="GZ321" s="1605" t="s">
        <v>1594</v>
      </c>
      <c r="HA321" s="1605" t="s">
        <v>1594</v>
      </c>
      <c r="HB321" s="1605" t="s">
        <v>1594</v>
      </c>
      <c r="HC321" s="1605" t="s">
        <v>1594</v>
      </c>
      <c r="HD321" s="1605" t="s">
        <v>1594</v>
      </c>
      <c r="HE321" s="1605" t="s">
        <v>1594</v>
      </c>
      <c r="HF321" s="1605" t="s">
        <v>1594</v>
      </c>
      <c r="HG321" s="1605" t="s">
        <v>1594</v>
      </c>
      <c r="HH321" s="1605" t="s">
        <v>1594</v>
      </c>
      <c r="HI321" s="1605" t="s">
        <v>2217</v>
      </c>
      <c r="HJ321" s="1605" t="s">
        <v>2217</v>
      </c>
      <c r="HK321" s="1605" t="s">
        <v>2217</v>
      </c>
      <c r="HL321" s="1605" t="s">
        <v>986</v>
      </c>
      <c r="HM321" s="1605" t="s">
        <v>2217</v>
      </c>
      <c r="HN321" s="1605" t="s">
        <v>2217</v>
      </c>
      <c r="HO321" s="1605" t="s">
        <v>986</v>
      </c>
      <c r="HP321" s="1605" t="s">
        <v>986</v>
      </c>
      <c r="HQ321" s="1605" t="s">
        <v>986</v>
      </c>
      <c r="HR321" s="1605" t="s">
        <v>986</v>
      </c>
      <c r="HS321" s="1605" t="s">
        <v>986</v>
      </c>
      <c r="HT321" s="1605" t="s">
        <v>986</v>
      </c>
      <c r="HU321" s="1605" t="s">
        <v>986</v>
      </c>
      <c r="HV321" s="1617"/>
      <c r="HW321" s="1617" t="s">
        <v>2984</v>
      </c>
      <c r="HX321" s="1617" t="s">
        <v>2983</v>
      </c>
      <c r="HY321" s="1617" t="s">
        <v>2982</v>
      </c>
      <c r="HZ321" s="1603"/>
      <c r="IA321" s="1603"/>
      <c r="IB321" s="1603"/>
      <c r="IC321" s="1603">
        <v>58</v>
      </c>
      <c r="ID321" s="1603">
        <v>58</v>
      </c>
      <c r="IE321" s="1603">
        <v>58</v>
      </c>
      <c r="IF321" s="1603">
        <v>58</v>
      </c>
      <c r="IG321" s="1611" t="s">
        <v>2981</v>
      </c>
      <c r="IH321" s="1616" t="s">
        <v>270</v>
      </c>
      <c r="II321" s="1615" t="s">
        <v>270</v>
      </c>
      <c r="IJ321" s="1613">
        <v>0.65030061349693247</v>
      </c>
      <c r="IK321" s="1613">
        <v>0.59406339468302671</v>
      </c>
      <c r="IL321" s="1614">
        <v>0.65030061349693247</v>
      </c>
      <c r="IM321" s="1614">
        <v>0.59406339468302671</v>
      </c>
      <c r="IN321" s="1612" t="s">
        <v>270</v>
      </c>
      <c r="IO321" s="1613" t="s">
        <v>270</v>
      </c>
      <c r="IP321" s="1607" t="s">
        <v>270</v>
      </c>
      <c r="IQ321" s="1612" t="s">
        <v>270</v>
      </c>
      <c r="IR321" s="1612" t="s">
        <v>270</v>
      </c>
      <c r="IS321" s="1607">
        <v>0.47730061349693254</v>
      </c>
      <c r="IT321" s="1607">
        <v>0.42106339468302667</v>
      </c>
      <c r="IU321" s="1611">
        <v>0</v>
      </c>
      <c r="IV321" s="1611">
        <v>1.6359918200409E-3</v>
      </c>
      <c r="IW321" s="1611">
        <v>2.044989775051125E-4</v>
      </c>
      <c r="IX321" s="1611">
        <v>1.0224948875255625E-3</v>
      </c>
      <c r="IY321" s="1611">
        <v>2.044989775051125E-4</v>
      </c>
      <c r="IZ321" s="1611">
        <v>7.770961145194274E-3</v>
      </c>
      <c r="JA321" s="1611">
        <v>0</v>
      </c>
      <c r="JB321" s="1611" t="s">
        <v>270</v>
      </c>
      <c r="JC321" s="1611">
        <v>3.2310838445807774E-2</v>
      </c>
      <c r="JD321" s="1611">
        <v>8.1799591002045002E-4</v>
      </c>
      <c r="JE321" s="1611" t="s">
        <v>270</v>
      </c>
      <c r="JF321" s="1611">
        <v>0</v>
      </c>
      <c r="JG321" s="1611">
        <v>0.67402862985685086</v>
      </c>
      <c r="JH321" s="1611">
        <v>0</v>
      </c>
      <c r="JI321" s="1611">
        <v>2.2085889570552148E-2</v>
      </c>
      <c r="JJ321" s="1611" t="s">
        <v>270</v>
      </c>
      <c r="JK321" s="1607">
        <f t="shared" si="13"/>
        <v>0.17299999999999993</v>
      </c>
      <c r="JL321" s="1608" t="s">
        <v>270</v>
      </c>
      <c r="JM321" s="1610" t="s">
        <v>2924</v>
      </c>
      <c r="JN321" s="1608">
        <v>5.6237218813905865E-2</v>
      </c>
      <c r="JO321" s="1609" t="s">
        <v>2955</v>
      </c>
      <c r="JP321" s="1608" t="s">
        <v>270</v>
      </c>
      <c r="JQ321" s="1607">
        <v>202103</v>
      </c>
      <c r="JR321" s="1606">
        <v>191</v>
      </c>
      <c r="JS321" s="1606">
        <v>211</v>
      </c>
      <c r="JT321" s="1606">
        <v>211</v>
      </c>
    </row>
    <row r="322" spans="1:280" ht="15" customHeight="1" x14ac:dyDescent="0.2">
      <c r="A322" s="1626">
        <v>77407</v>
      </c>
      <c r="B322" s="1625">
        <v>774</v>
      </c>
      <c r="C322" s="1624">
        <v>7</v>
      </c>
      <c r="D322" s="1623" t="s">
        <v>2988</v>
      </c>
      <c r="E322" s="1622">
        <v>44439</v>
      </c>
      <c r="F322" s="1620">
        <v>6.550518053542391E-2</v>
      </c>
      <c r="G322" s="1620">
        <v>6.3020083439703126E-2</v>
      </c>
      <c r="H322" s="1621">
        <v>99</v>
      </c>
      <c r="I322" s="1621">
        <v>98</v>
      </c>
      <c r="J322" s="1621">
        <v>98</v>
      </c>
      <c r="K322" s="1620">
        <v>0.86</v>
      </c>
      <c r="L322" s="1620">
        <v>5.3</v>
      </c>
      <c r="M322" s="1620">
        <v>0.30739999999999995</v>
      </c>
      <c r="N322" s="1620">
        <v>0.1696</v>
      </c>
      <c r="O322" s="1620">
        <v>0.55649999999999999</v>
      </c>
      <c r="P322" s="1620">
        <v>0</v>
      </c>
      <c r="Q322" s="1603"/>
      <c r="R322" s="1620">
        <v>76</v>
      </c>
      <c r="S322" s="1620">
        <v>58</v>
      </c>
      <c r="T322" s="1620">
        <v>58</v>
      </c>
      <c r="U322" s="1620">
        <v>58</v>
      </c>
      <c r="V322" s="1620">
        <v>58</v>
      </c>
      <c r="W322" s="1620">
        <v>58</v>
      </c>
      <c r="X322" s="1620"/>
      <c r="Y322" s="1620">
        <v>12.3</v>
      </c>
      <c r="Z322" s="1620">
        <v>9.1999999999999993</v>
      </c>
      <c r="AA322" s="1620">
        <v>6.1</v>
      </c>
      <c r="AB322" s="1620">
        <v>14.5</v>
      </c>
      <c r="AC322" s="1620">
        <v>26.5</v>
      </c>
      <c r="AD322" s="1620">
        <v>1.6</v>
      </c>
      <c r="AE322" s="1620">
        <v>0</v>
      </c>
      <c r="AF322" s="1620">
        <v>1.2000000000000002</v>
      </c>
      <c r="AG322" s="1620">
        <v>0.2</v>
      </c>
      <c r="AH322" s="1620">
        <v>0.05</v>
      </c>
      <c r="AI322" s="1620">
        <v>1.9000000000000001</v>
      </c>
      <c r="AJ322" s="1620">
        <v>0</v>
      </c>
      <c r="AK322" s="1620">
        <v>0</v>
      </c>
      <c r="AL322" s="1620"/>
      <c r="AM322" s="1620">
        <v>3.7</v>
      </c>
      <c r="AN322" s="1620">
        <v>0.7</v>
      </c>
      <c r="AO322" s="1620">
        <v>1.3</v>
      </c>
      <c r="AP322" s="1620">
        <v>1.9</v>
      </c>
      <c r="AQ322" s="1620">
        <v>0.7</v>
      </c>
      <c r="AR322" s="1620">
        <v>2</v>
      </c>
      <c r="AS322" s="1620">
        <v>4.4000000000000004</v>
      </c>
      <c r="AT322" s="1620">
        <v>1.1000000000000001</v>
      </c>
      <c r="AU322" s="1620">
        <v>1.5</v>
      </c>
      <c r="AV322" s="1620">
        <v>1.7</v>
      </c>
      <c r="AW322" s="1620">
        <v>1.7</v>
      </c>
      <c r="AX322" s="1620"/>
      <c r="AY322" s="1620">
        <v>0.89</v>
      </c>
      <c r="AZ322" s="1620">
        <v>1.06</v>
      </c>
      <c r="BA322" s="1620">
        <v>1.04</v>
      </c>
      <c r="BB322" s="1620">
        <v>1.01</v>
      </c>
      <c r="BC322" s="1620">
        <v>1.08</v>
      </c>
      <c r="BD322" s="1620">
        <v>1.05</v>
      </c>
      <c r="BE322" s="1620">
        <v>1.0900000000000001</v>
      </c>
      <c r="BF322" s="1620">
        <v>1.05</v>
      </c>
      <c r="BG322" s="1620">
        <v>1.02</v>
      </c>
      <c r="BH322" s="1620">
        <v>1.1200000000000001</v>
      </c>
      <c r="BI322" s="1620">
        <v>1.05</v>
      </c>
      <c r="BJ322" s="1603"/>
      <c r="BK322" s="1620">
        <v>5.8000000000000025</v>
      </c>
      <c r="BL322" s="1620">
        <v>3.200000000000002</v>
      </c>
      <c r="BM322" s="1620">
        <v>10.500000000000005</v>
      </c>
      <c r="BN322" s="1620">
        <v>0</v>
      </c>
      <c r="BO322" s="1620"/>
      <c r="BP322" s="1620">
        <v>34</v>
      </c>
      <c r="BQ322" s="1620">
        <v>1.36</v>
      </c>
      <c r="BR322" s="1620">
        <v>1.2359468025551685</v>
      </c>
      <c r="BS322" s="1620">
        <v>1.1890581781076068</v>
      </c>
      <c r="BT322" s="1603"/>
      <c r="BU322" s="1620">
        <v>895</v>
      </c>
      <c r="BV322" s="1620">
        <v>789.44428571428568</v>
      </c>
      <c r="BW322" s="1620">
        <v>12.785714285714286</v>
      </c>
      <c r="BX322" s="1620">
        <v>0</v>
      </c>
      <c r="BY322" s="1620" t="s">
        <v>270</v>
      </c>
      <c r="BZ322" s="1620">
        <v>0</v>
      </c>
      <c r="CA322" s="1620">
        <v>0</v>
      </c>
      <c r="CB322" s="1603"/>
      <c r="CC322" s="1603">
        <v>0.65190000000000003</v>
      </c>
      <c r="CD322" s="1603">
        <v>0.48759999999999992</v>
      </c>
      <c r="CE322" s="1603">
        <v>0.32329999999999998</v>
      </c>
      <c r="CF322" s="1603">
        <v>0.76849999999999996</v>
      </c>
      <c r="CG322" s="1603">
        <v>1.4044999999999999</v>
      </c>
      <c r="CH322" s="1603">
        <v>8.48E-2</v>
      </c>
      <c r="CI322" s="1603">
        <v>0</v>
      </c>
      <c r="CJ322" s="1603"/>
      <c r="CK322" s="1603">
        <v>6.3600000000000004E-2</v>
      </c>
      <c r="CL322" s="1603">
        <v>1.06E-2</v>
      </c>
      <c r="CM322" s="1603">
        <v>2.65E-3</v>
      </c>
      <c r="CN322" s="1603">
        <v>0.1007</v>
      </c>
      <c r="CO322" s="1603">
        <v>0</v>
      </c>
      <c r="CP322" s="1603">
        <v>0</v>
      </c>
      <c r="CQ322" s="1603">
        <v>2.3362399999999997</v>
      </c>
      <c r="CR322" s="1603">
        <v>35.664965440963975</v>
      </c>
      <c r="CS322" s="1603">
        <v>1.1744473119709435</v>
      </c>
      <c r="CT322" s="1603">
        <v>0.26463404357195264</v>
      </c>
      <c r="CU322" s="1603">
        <v>0.48219033276183304</v>
      </c>
      <c r="CV322" s="1603">
        <v>0.74682437633378562</v>
      </c>
      <c r="CW322" s="1603">
        <v>0.6844106868120986</v>
      </c>
      <c r="CX322" s="1603">
        <v>0.2696271387336876</v>
      </c>
      <c r="CY322" s="1603">
        <v>0.74896427426024337</v>
      </c>
      <c r="CZ322" s="1603">
        <v>1.7104917425486321</v>
      </c>
      <c r="DA322" s="1603">
        <v>0.41193035084313384</v>
      </c>
      <c r="DB322" s="1603">
        <v>0.54567397124674877</v>
      </c>
      <c r="DC322" s="1603">
        <v>0.67906094199595401</v>
      </c>
      <c r="DD322" s="1603">
        <v>1.2247349132427028</v>
      </c>
      <c r="DE322" s="1603">
        <v>0.63661963312120684</v>
      </c>
      <c r="DF322" s="1603">
        <v>0</v>
      </c>
      <c r="DG322" s="1603">
        <v>0</v>
      </c>
      <c r="DH322" s="1603">
        <v>0</v>
      </c>
      <c r="DI322" s="1603">
        <v>0</v>
      </c>
      <c r="DJ322" s="1603">
        <v>0</v>
      </c>
      <c r="DK322" s="1603">
        <v>0</v>
      </c>
      <c r="DL322" s="1603">
        <v>0</v>
      </c>
      <c r="DM322" s="1603">
        <v>0</v>
      </c>
      <c r="DN322" s="1603">
        <v>0</v>
      </c>
      <c r="DO322" s="1603">
        <v>0</v>
      </c>
      <c r="DP322" s="1603">
        <v>0</v>
      </c>
      <c r="DQ322" s="1603">
        <v>0</v>
      </c>
      <c r="DR322" s="1603">
        <v>0</v>
      </c>
      <c r="DS322" s="1603">
        <v>0</v>
      </c>
      <c r="DT322" s="1603">
        <v>0</v>
      </c>
      <c r="DU322" s="1603">
        <v>0</v>
      </c>
      <c r="DV322" s="1603">
        <v>0</v>
      </c>
      <c r="DW322" s="1618" t="s">
        <v>2975</v>
      </c>
      <c r="DX322" s="1605">
        <v>6</v>
      </c>
      <c r="DY322" s="1605">
        <v>6</v>
      </c>
      <c r="DZ322" s="1605">
        <v>6</v>
      </c>
      <c r="EA322" s="1605">
        <v>6</v>
      </c>
      <c r="EB322" s="1605" t="s">
        <v>986</v>
      </c>
      <c r="EC322" s="1605" t="s">
        <v>986</v>
      </c>
      <c r="ED322" s="1605" t="s">
        <v>986</v>
      </c>
      <c r="EE322" s="1605" t="s">
        <v>986</v>
      </c>
      <c r="EF322" s="1605" t="s">
        <v>986</v>
      </c>
      <c r="EG322" s="1605" t="s">
        <v>986</v>
      </c>
      <c r="EH322" s="1605">
        <v>1</v>
      </c>
      <c r="EI322" s="1605">
        <v>1</v>
      </c>
      <c r="EJ322" s="1605">
        <v>1</v>
      </c>
      <c r="EK322" s="1605">
        <v>1</v>
      </c>
      <c r="EL322" s="1605">
        <v>1</v>
      </c>
      <c r="EM322" s="1605">
        <v>1</v>
      </c>
      <c r="EN322" s="1605">
        <v>1</v>
      </c>
      <c r="EO322" s="1605">
        <v>1</v>
      </c>
      <c r="EP322" s="1605">
        <v>1</v>
      </c>
      <c r="EQ322" s="1605">
        <v>1</v>
      </c>
      <c r="ER322" s="1605">
        <v>1</v>
      </c>
      <c r="ES322" s="1605">
        <v>6</v>
      </c>
      <c r="ET322" s="1605">
        <v>6</v>
      </c>
      <c r="EU322" s="1605">
        <v>6</v>
      </c>
      <c r="EV322" s="1605" t="s">
        <v>986</v>
      </c>
      <c r="EW322" s="1605">
        <v>6</v>
      </c>
      <c r="EX322" s="1605">
        <v>6</v>
      </c>
      <c r="EY322" s="1605" t="s">
        <v>986</v>
      </c>
      <c r="EZ322" s="1605" t="s">
        <v>986</v>
      </c>
      <c r="FA322" s="1605" t="s">
        <v>986</v>
      </c>
      <c r="FB322" s="1605" t="s">
        <v>986</v>
      </c>
      <c r="FC322" s="1605" t="s">
        <v>986</v>
      </c>
      <c r="FD322" s="1605" t="s">
        <v>986</v>
      </c>
      <c r="FE322" s="1605" t="s">
        <v>986</v>
      </c>
      <c r="FF322" s="1605">
        <v>0.53186464443502923</v>
      </c>
      <c r="FG322" s="1605">
        <v>1.3404826677267376</v>
      </c>
      <c r="FH322" s="1605">
        <v>2.754892843212092</v>
      </c>
      <c r="FI322" s="1605">
        <v>0.97237906192775325</v>
      </c>
      <c r="FJ322" s="1605" t="s">
        <v>986</v>
      </c>
      <c r="FK322" s="1605" t="s">
        <v>986</v>
      </c>
      <c r="FL322" s="1605" t="s">
        <v>986</v>
      </c>
      <c r="FM322" s="1605" t="s">
        <v>986</v>
      </c>
      <c r="FN322" s="1605" t="s">
        <v>986</v>
      </c>
      <c r="FO322" s="1605" t="s">
        <v>986</v>
      </c>
      <c r="FP322" s="1605" t="s">
        <v>986</v>
      </c>
      <c r="FQ322" s="1605" t="s">
        <v>986</v>
      </c>
      <c r="FR322" s="1605" t="s">
        <v>986</v>
      </c>
      <c r="FS322" s="1605" t="s">
        <v>986</v>
      </c>
      <c r="FT322" s="1605" t="s">
        <v>986</v>
      </c>
      <c r="FU322" s="1605" t="s">
        <v>986</v>
      </c>
      <c r="FV322" s="1605" t="s">
        <v>986</v>
      </c>
      <c r="FW322" s="1605" t="s">
        <v>986</v>
      </c>
      <c r="FX322" s="1605" t="s">
        <v>986</v>
      </c>
      <c r="FY322" s="1605" t="s">
        <v>986</v>
      </c>
      <c r="FZ322" s="1605" t="s">
        <v>986</v>
      </c>
      <c r="GA322" s="1605">
        <v>3.6318833069260195</v>
      </c>
      <c r="GB322" s="1605">
        <v>1.6036668923330131</v>
      </c>
      <c r="GC322" s="1605">
        <v>0.53714972979658493</v>
      </c>
      <c r="GD322" s="1605">
        <v>0.97480844131153854</v>
      </c>
      <c r="GE322" s="1605">
        <v>1.6770831112552373</v>
      </c>
      <c r="GF322" s="1605">
        <v>0.2150778643720038</v>
      </c>
      <c r="GG322" s="1605" t="s">
        <v>986</v>
      </c>
      <c r="GH322" s="1605" t="s">
        <v>986</v>
      </c>
      <c r="GI322" s="1605" t="s">
        <v>986</v>
      </c>
      <c r="GJ322" s="1605" t="s">
        <v>986</v>
      </c>
      <c r="GK322" s="1605" t="s">
        <v>986</v>
      </c>
      <c r="GL322" s="1605" t="s">
        <v>986</v>
      </c>
      <c r="GM322" s="1605" t="s">
        <v>986</v>
      </c>
      <c r="GN322" s="1605" t="s">
        <v>2217</v>
      </c>
      <c r="GO322" s="1605" t="s">
        <v>2217</v>
      </c>
      <c r="GP322" s="1605" t="s">
        <v>2217</v>
      </c>
      <c r="GQ322" s="1605" t="s">
        <v>2217</v>
      </c>
      <c r="GR322" s="1605" t="s">
        <v>986</v>
      </c>
      <c r="GS322" s="1605" t="s">
        <v>986</v>
      </c>
      <c r="GT322" s="1605" t="s">
        <v>986</v>
      </c>
      <c r="GU322" s="1605" t="s">
        <v>986</v>
      </c>
      <c r="GV322" s="1605" t="s">
        <v>986</v>
      </c>
      <c r="GW322" s="1605" t="s">
        <v>986</v>
      </c>
      <c r="GX322" s="1605" t="s">
        <v>1594</v>
      </c>
      <c r="GY322" s="1605" t="s">
        <v>1594</v>
      </c>
      <c r="GZ322" s="1605" t="s">
        <v>1594</v>
      </c>
      <c r="HA322" s="1605" t="s">
        <v>1594</v>
      </c>
      <c r="HB322" s="1605" t="s">
        <v>1594</v>
      </c>
      <c r="HC322" s="1605" t="s">
        <v>1594</v>
      </c>
      <c r="HD322" s="1605" t="s">
        <v>1594</v>
      </c>
      <c r="HE322" s="1605" t="s">
        <v>1594</v>
      </c>
      <c r="HF322" s="1605" t="s">
        <v>1594</v>
      </c>
      <c r="HG322" s="1605" t="s">
        <v>1594</v>
      </c>
      <c r="HH322" s="1605" t="s">
        <v>1594</v>
      </c>
      <c r="HI322" s="1605" t="s">
        <v>2217</v>
      </c>
      <c r="HJ322" s="1605" t="s">
        <v>2217</v>
      </c>
      <c r="HK322" s="1605" t="s">
        <v>2217</v>
      </c>
      <c r="HL322" s="1605" t="s">
        <v>986</v>
      </c>
      <c r="HM322" s="1605" t="s">
        <v>2217</v>
      </c>
      <c r="HN322" s="1605" t="s">
        <v>2217</v>
      </c>
      <c r="HO322" s="1605" t="s">
        <v>986</v>
      </c>
      <c r="HP322" s="1605" t="s">
        <v>986</v>
      </c>
      <c r="HQ322" s="1605" t="s">
        <v>986</v>
      </c>
      <c r="HR322" s="1605" t="s">
        <v>986</v>
      </c>
      <c r="HS322" s="1605" t="s">
        <v>986</v>
      </c>
      <c r="HT322" s="1605" t="s">
        <v>986</v>
      </c>
      <c r="HU322" s="1605" t="s">
        <v>986</v>
      </c>
      <c r="HV322" s="1617"/>
      <c r="HW322" s="1617" t="s">
        <v>2984</v>
      </c>
      <c r="HX322" s="1617" t="s">
        <v>2983</v>
      </c>
      <c r="HY322" s="1617" t="s">
        <v>2982</v>
      </c>
      <c r="HZ322" s="1603"/>
      <c r="IA322" s="1603"/>
      <c r="IB322" s="1603"/>
      <c r="IC322" s="1603">
        <v>58</v>
      </c>
      <c r="ID322" s="1603">
        <v>58</v>
      </c>
      <c r="IE322" s="1603">
        <v>58</v>
      </c>
      <c r="IF322" s="1603">
        <v>58</v>
      </c>
      <c r="IG322" s="1611" t="s">
        <v>2981</v>
      </c>
      <c r="IH322" s="1616" t="s">
        <v>270</v>
      </c>
      <c r="II322" s="1615" t="s">
        <v>270</v>
      </c>
      <c r="IJ322" s="1613">
        <v>0.65030061349693247</v>
      </c>
      <c r="IK322" s="1613">
        <v>0.59406339468302671</v>
      </c>
      <c r="IL322" s="1614">
        <v>0.65030061349693247</v>
      </c>
      <c r="IM322" s="1614">
        <v>0.59406339468302671</v>
      </c>
      <c r="IN322" s="1612" t="s">
        <v>270</v>
      </c>
      <c r="IO322" s="1613" t="s">
        <v>270</v>
      </c>
      <c r="IP322" s="1607" t="s">
        <v>270</v>
      </c>
      <c r="IQ322" s="1612" t="s">
        <v>270</v>
      </c>
      <c r="IR322" s="1612" t="s">
        <v>270</v>
      </c>
      <c r="IS322" s="1607">
        <v>0.47730061349693254</v>
      </c>
      <c r="IT322" s="1607">
        <v>0.42106339468302667</v>
      </c>
      <c r="IU322" s="1611">
        <v>0</v>
      </c>
      <c r="IV322" s="1611">
        <v>1.6359918200409E-3</v>
      </c>
      <c r="IW322" s="1611">
        <v>2.044989775051125E-4</v>
      </c>
      <c r="IX322" s="1611">
        <v>1.0224948875255625E-3</v>
      </c>
      <c r="IY322" s="1611">
        <v>2.044989775051125E-4</v>
      </c>
      <c r="IZ322" s="1611">
        <v>7.770961145194274E-3</v>
      </c>
      <c r="JA322" s="1611">
        <v>0</v>
      </c>
      <c r="JB322" s="1611" t="s">
        <v>270</v>
      </c>
      <c r="JC322" s="1611">
        <v>3.2310838445807774E-2</v>
      </c>
      <c r="JD322" s="1611">
        <v>8.1799591002045002E-4</v>
      </c>
      <c r="JE322" s="1611" t="s">
        <v>270</v>
      </c>
      <c r="JF322" s="1611">
        <v>0</v>
      </c>
      <c r="JG322" s="1611">
        <v>0.67402862985685086</v>
      </c>
      <c r="JH322" s="1611">
        <v>0</v>
      </c>
      <c r="JI322" s="1611">
        <v>2.2085889570552148E-2</v>
      </c>
      <c r="JJ322" s="1611" t="s">
        <v>270</v>
      </c>
      <c r="JK322" s="1607">
        <f t="shared" si="13"/>
        <v>0.17299999999999993</v>
      </c>
      <c r="JL322" s="1608" t="s">
        <v>270</v>
      </c>
      <c r="JM322" s="1610" t="s">
        <v>2924</v>
      </c>
      <c r="JN322" s="1608">
        <v>5.6237218813905865E-2</v>
      </c>
      <c r="JO322" s="1609" t="s">
        <v>2955</v>
      </c>
      <c r="JP322" s="1608" t="s">
        <v>270</v>
      </c>
      <c r="JQ322" s="1607">
        <v>202103</v>
      </c>
      <c r="JR322" s="1606">
        <v>191</v>
      </c>
      <c r="JS322" s="1606">
        <v>211</v>
      </c>
      <c r="JT322" s="1606">
        <v>211</v>
      </c>
    </row>
    <row r="323" spans="1:280" ht="15" customHeight="1" x14ac:dyDescent="0.2">
      <c r="A323" s="1626">
        <v>77401</v>
      </c>
      <c r="B323" s="1625">
        <v>774</v>
      </c>
      <c r="C323" s="1624">
        <v>1</v>
      </c>
      <c r="D323" s="1623" t="s">
        <v>2987</v>
      </c>
      <c r="E323" s="1622">
        <v>44439</v>
      </c>
      <c r="F323" s="1620">
        <v>6.7257382807587987E-2</v>
      </c>
      <c r="G323" s="1620">
        <v>6.4715693361038884E-2</v>
      </c>
      <c r="H323" s="1621">
        <v>99</v>
      </c>
      <c r="I323" s="1621">
        <v>98</v>
      </c>
      <c r="J323" s="1621">
        <v>98</v>
      </c>
      <c r="K323" s="1620">
        <v>0.86</v>
      </c>
      <c r="L323" s="1620">
        <v>5.6</v>
      </c>
      <c r="M323" s="1620">
        <v>0.2016</v>
      </c>
      <c r="N323" s="1620">
        <v>2.7999999999999997E-2</v>
      </c>
      <c r="O323" s="1620">
        <v>0.53199999999999992</v>
      </c>
      <c r="P323" s="1620">
        <v>0</v>
      </c>
      <c r="Q323" s="1603"/>
      <c r="R323" s="1620">
        <v>76</v>
      </c>
      <c r="S323" s="1620">
        <v>58</v>
      </c>
      <c r="T323" s="1620">
        <v>58</v>
      </c>
      <c r="U323" s="1620">
        <v>58</v>
      </c>
      <c r="V323" s="1620">
        <v>58</v>
      </c>
      <c r="W323" s="1620">
        <v>58</v>
      </c>
      <c r="X323" s="1620"/>
      <c r="Y323" s="1620">
        <v>5.4</v>
      </c>
      <c r="Z323" s="1620">
        <v>7.6</v>
      </c>
      <c r="AA323" s="1620">
        <v>6.5</v>
      </c>
      <c r="AB323" s="1620">
        <v>11.8</v>
      </c>
      <c r="AC323" s="1620">
        <v>30.5</v>
      </c>
      <c r="AD323" s="1620">
        <v>1.4</v>
      </c>
      <c r="AE323" s="1620">
        <v>0</v>
      </c>
      <c r="AF323" s="1620">
        <v>1.2000000000000002</v>
      </c>
      <c r="AG323" s="1620">
        <v>0.2</v>
      </c>
      <c r="AH323" s="1620">
        <v>0.05</v>
      </c>
      <c r="AI323" s="1620">
        <v>1.9000000000000001</v>
      </c>
      <c r="AJ323" s="1620">
        <v>0</v>
      </c>
      <c r="AK323" s="1620">
        <v>0</v>
      </c>
      <c r="AL323" s="1620"/>
      <c r="AM323" s="1620">
        <v>3.7</v>
      </c>
      <c r="AN323" s="1620">
        <v>0.7</v>
      </c>
      <c r="AO323" s="1620">
        <v>1.3</v>
      </c>
      <c r="AP323" s="1620">
        <v>1.9</v>
      </c>
      <c r="AQ323" s="1620">
        <v>0.7</v>
      </c>
      <c r="AR323" s="1620">
        <v>2</v>
      </c>
      <c r="AS323" s="1620">
        <v>4.4000000000000004</v>
      </c>
      <c r="AT323" s="1620">
        <v>1.1000000000000001</v>
      </c>
      <c r="AU323" s="1620">
        <v>1.5</v>
      </c>
      <c r="AV323" s="1620">
        <v>1.7</v>
      </c>
      <c r="AW323" s="1620">
        <v>1.7</v>
      </c>
      <c r="AX323" s="1620"/>
      <c r="AY323" s="1620">
        <v>0.89</v>
      </c>
      <c r="AZ323" s="1620">
        <v>1.06</v>
      </c>
      <c r="BA323" s="1620">
        <v>1.04</v>
      </c>
      <c r="BB323" s="1620">
        <v>1.01</v>
      </c>
      <c r="BC323" s="1620">
        <v>1.08</v>
      </c>
      <c r="BD323" s="1620">
        <v>1.05</v>
      </c>
      <c r="BE323" s="1620">
        <v>1.0900000000000001</v>
      </c>
      <c r="BF323" s="1620">
        <v>1.05</v>
      </c>
      <c r="BG323" s="1620">
        <v>1.02</v>
      </c>
      <c r="BH323" s="1620">
        <v>1.1200000000000001</v>
      </c>
      <c r="BI323" s="1620">
        <v>1.05</v>
      </c>
      <c r="BJ323" s="1603"/>
      <c r="BK323" s="1620">
        <v>3.6000000000000036</v>
      </c>
      <c r="BL323" s="1620">
        <v>0.50000000000000044</v>
      </c>
      <c r="BM323" s="1620">
        <v>9.5000000000000071</v>
      </c>
      <c r="BN323" s="1620">
        <v>0</v>
      </c>
      <c r="BO323" s="1620"/>
      <c r="BP323" s="1620">
        <v>34</v>
      </c>
      <c r="BQ323" s="1620">
        <v>1.36</v>
      </c>
      <c r="BR323" s="1620">
        <v>1.2010246929926438</v>
      </c>
      <c r="BS323" s="1620">
        <v>1.1556373814471241</v>
      </c>
      <c r="BT323" s="1603"/>
      <c r="BU323" s="1620">
        <v>904.99999999999989</v>
      </c>
      <c r="BV323" s="1620">
        <v>845.41142857142836</v>
      </c>
      <c r="BW323" s="1620">
        <v>12.928571428571427</v>
      </c>
      <c r="BX323" s="1620">
        <v>0</v>
      </c>
      <c r="BY323" s="1620" t="s">
        <v>270</v>
      </c>
      <c r="BZ323" s="1620">
        <v>0</v>
      </c>
      <c r="CA323" s="1620">
        <v>0</v>
      </c>
      <c r="CB323" s="1603"/>
      <c r="CC323" s="1603">
        <v>0.3024</v>
      </c>
      <c r="CD323" s="1603">
        <v>0.42559999999999992</v>
      </c>
      <c r="CE323" s="1603">
        <v>0.36399999999999999</v>
      </c>
      <c r="CF323" s="1603">
        <v>0.66079999999999994</v>
      </c>
      <c r="CG323" s="1603">
        <v>1.7079999999999997</v>
      </c>
      <c r="CH323" s="1603">
        <v>7.8399999999999984E-2</v>
      </c>
      <c r="CI323" s="1603">
        <v>0</v>
      </c>
      <c r="CJ323" s="1603"/>
      <c r="CK323" s="1603">
        <v>6.720000000000001E-2</v>
      </c>
      <c r="CL323" s="1603">
        <v>1.12E-2</v>
      </c>
      <c r="CM323" s="1603">
        <v>2.8E-3</v>
      </c>
      <c r="CN323" s="1603">
        <v>0.10639999999999999</v>
      </c>
      <c r="CO323" s="1603">
        <v>0</v>
      </c>
      <c r="CP323" s="1603">
        <v>0</v>
      </c>
      <c r="CQ323" s="1603">
        <v>1.5321600000000002</v>
      </c>
      <c r="CR323" s="1603">
        <v>22.780547443888075</v>
      </c>
      <c r="CS323" s="1603">
        <v>0.75016342732723418</v>
      </c>
      <c r="CT323" s="1603">
        <v>0.1690316620336495</v>
      </c>
      <c r="CU323" s="1603">
        <v>0.30799300144136676</v>
      </c>
      <c r="CV323" s="1603">
        <v>0.47702466347501626</v>
      </c>
      <c r="CW323" s="1603">
        <v>0.43715870544821206</v>
      </c>
      <c r="CX323" s="1603">
        <v>0.17222093867579383</v>
      </c>
      <c r="CY323" s="1603">
        <v>0.47839149632164951</v>
      </c>
      <c r="CZ323" s="1603">
        <v>1.0925550554088719</v>
      </c>
      <c r="DA323" s="1603">
        <v>0.26311532297690721</v>
      </c>
      <c r="DB323" s="1603">
        <v>0.34854237589148751</v>
      </c>
      <c r="DC323" s="1603">
        <v>0.43374162333162886</v>
      </c>
      <c r="DD323" s="1603">
        <v>0.78228399922311631</v>
      </c>
      <c r="DE323" s="1603">
        <v>0.40663277187340202</v>
      </c>
      <c r="DF323" s="1603">
        <v>0</v>
      </c>
      <c r="DG323" s="1603">
        <v>0</v>
      </c>
      <c r="DH323" s="1603">
        <v>0</v>
      </c>
      <c r="DI323" s="1603">
        <v>0</v>
      </c>
      <c r="DJ323" s="1603">
        <v>0</v>
      </c>
      <c r="DK323" s="1603">
        <v>0</v>
      </c>
      <c r="DL323" s="1603">
        <v>0</v>
      </c>
      <c r="DM323" s="1603">
        <v>0</v>
      </c>
      <c r="DN323" s="1603">
        <v>0</v>
      </c>
      <c r="DO323" s="1603">
        <v>0</v>
      </c>
      <c r="DP323" s="1603">
        <v>0</v>
      </c>
      <c r="DQ323" s="1603">
        <v>0</v>
      </c>
      <c r="DR323" s="1603">
        <v>0</v>
      </c>
      <c r="DS323" s="1603">
        <v>0</v>
      </c>
      <c r="DT323" s="1603">
        <v>0</v>
      </c>
      <c r="DU323" s="1603">
        <v>0</v>
      </c>
      <c r="DV323" s="1603">
        <v>0</v>
      </c>
      <c r="DW323" s="1618" t="s">
        <v>2975</v>
      </c>
      <c r="DX323" s="1605">
        <v>2</v>
      </c>
      <c r="DY323" s="1605">
        <v>2</v>
      </c>
      <c r="DZ323" s="1605">
        <v>2</v>
      </c>
      <c r="EA323" s="1605">
        <v>2</v>
      </c>
      <c r="EB323" s="1605" t="s">
        <v>986</v>
      </c>
      <c r="EC323" s="1605" t="s">
        <v>986</v>
      </c>
      <c r="ED323" s="1605" t="s">
        <v>986</v>
      </c>
      <c r="EE323" s="1605" t="s">
        <v>986</v>
      </c>
      <c r="EF323" s="1605" t="s">
        <v>986</v>
      </c>
      <c r="EG323" s="1605" t="s">
        <v>986</v>
      </c>
      <c r="EH323" s="1605">
        <v>1</v>
      </c>
      <c r="EI323" s="1605">
        <v>1</v>
      </c>
      <c r="EJ323" s="1605">
        <v>1</v>
      </c>
      <c r="EK323" s="1605">
        <v>1</v>
      </c>
      <c r="EL323" s="1605">
        <v>1</v>
      </c>
      <c r="EM323" s="1605">
        <v>1</v>
      </c>
      <c r="EN323" s="1605">
        <v>1</v>
      </c>
      <c r="EO323" s="1605">
        <v>1</v>
      </c>
      <c r="EP323" s="1605">
        <v>1</v>
      </c>
      <c r="EQ323" s="1605">
        <v>1</v>
      </c>
      <c r="ER323" s="1605">
        <v>1</v>
      </c>
      <c r="ES323" s="1605">
        <v>2</v>
      </c>
      <c r="ET323" s="1605">
        <v>2</v>
      </c>
      <c r="EU323" s="1605">
        <v>2</v>
      </c>
      <c r="EV323" s="1605" t="s">
        <v>986</v>
      </c>
      <c r="EW323" s="1605">
        <v>2</v>
      </c>
      <c r="EX323" s="1605">
        <v>2</v>
      </c>
      <c r="EY323" s="1605" t="s">
        <v>986</v>
      </c>
      <c r="EZ323" s="1605" t="s">
        <v>986</v>
      </c>
      <c r="FA323" s="1605" t="s">
        <v>986</v>
      </c>
      <c r="FB323" s="1605" t="s">
        <v>986</v>
      </c>
      <c r="FC323" s="1605" t="s">
        <v>986</v>
      </c>
      <c r="FD323" s="1605" t="s">
        <v>986</v>
      </c>
      <c r="FE323" s="1605" t="s">
        <v>986</v>
      </c>
      <c r="FF323" s="1605">
        <v>5.6568542494923851E-2</v>
      </c>
      <c r="FG323" s="1605">
        <v>0.2897941380044301</v>
      </c>
      <c r="FH323" s="1605">
        <v>0.25890698849925625</v>
      </c>
      <c r="FI323" s="1605">
        <v>1.460664655669371</v>
      </c>
      <c r="FJ323" s="1605" t="s">
        <v>986</v>
      </c>
      <c r="FK323" s="1605" t="s">
        <v>986</v>
      </c>
      <c r="FL323" s="1605" t="s">
        <v>986</v>
      </c>
      <c r="FM323" s="1605" t="s">
        <v>986</v>
      </c>
      <c r="FN323" s="1605" t="s">
        <v>986</v>
      </c>
      <c r="FO323" s="1605" t="s">
        <v>986</v>
      </c>
      <c r="FP323" s="1605" t="s">
        <v>986</v>
      </c>
      <c r="FQ323" s="1605" t="s">
        <v>986</v>
      </c>
      <c r="FR323" s="1605" t="s">
        <v>986</v>
      </c>
      <c r="FS323" s="1605" t="s">
        <v>986</v>
      </c>
      <c r="FT323" s="1605" t="s">
        <v>986</v>
      </c>
      <c r="FU323" s="1605" t="s">
        <v>986</v>
      </c>
      <c r="FV323" s="1605" t="s">
        <v>986</v>
      </c>
      <c r="FW323" s="1605" t="s">
        <v>986</v>
      </c>
      <c r="FX323" s="1605" t="s">
        <v>986</v>
      </c>
      <c r="FY323" s="1605" t="s">
        <v>986</v>
      </c>
      <c r="FZ323" s="1605" t="s">
        <v>986</v>
      </c>
      <c r="GA323" s="1605">
        <v>0.56141936453522889</v>
      </c>
      <c r="GB323" s="1605">
        <v>0.55642291387998144</v>
      </c>
      <c r="GC323" s="1605">
        <v>0.19304468440734082</v>
      </c>
      <c r="GD323" s="1605">
        <v>7.7372309510461941</v>
      </c>
      <c r="GE323" s="1605">
        <v>2.2256916555199258</v>
      </c>
      <c r="GF323" s="1605">
        <v>2.7117100374395985E-2</v>
      </c>
      <c r="GG323" s="1605" t="s">
        <v>986</v>
      </c>
      <c r="GH323" s="1605" t="s">
        <v>986</v>
      </c>
      <c r="GI323" s="1605" t="s">
        <v>986</v>
      </c>
      <c r="GJ323" s="1605" t="s">
        <v>986</v>
      </c>
      <c r="GK323" s="1605" t="s">
        <v>986</v>
      </c>
      <c r="GL323" s="1605" t="s">
        <v>986</v>
      </c>
      <c r="GM323" s="1605" t="s">
        <v>986</v>
      </c>
      <c r="GN323" s="1605" t="s">
        <v>2217</v>
      </c>
      <c r="GO323" s="1605" t="s">
        <v>2217</v>
      </c>
      <c r="GP323" s="1605" t="s">
        <v>2217</v>
      </c>
      <c r="GQ323" s="1605" t="s">
        <v>2217</v>
      </c>
      <c r="GR323" s="1605" t="s">
        <v>986</v>
      </c>
      <c r="GS323" s="1605" t="s">
        <v>986</v>
      </c>
      <c r="GT323" s="1605" t="s">
        <v>986</v>
      </c>
      <c r="GU323" s="1605" t="s">
        <v>986</v>
      </c>
      <c r="GV323" s="1605" t="s">
        <v>986</v>
      </c>
      <c r="GW323" s="1605" t="s">
        <v>986</v>
      </c>
      <c r="GX323" s="1605" t="s">
        <v>1594</v>
      </c>
      <c r="GY323" s="1605" t="s">
        <v>1594</v>
      </c>
      <c r="GZ323" s="1605" t="s">
        <v>1594</v>
      </c>
      <c r="HA323" s="1605" t="s">
        <v>1594</v>
      </c>
      <c r="HB323" s="1605" t="s">
        <v>1594</v>
      </c>
      <c r="HC323" s="1605" t="s">
        <v>1594</v>
      </c>
      <c r="HD323" s="1605" t="s">
        <v>1594</v>
      </c>
      <c r="HE323" s="1605" t="s">
        <v>1594</v>
      </c>
      <c r="HF323" s="1605" t="s">
        <v>1594</v>
      </c>
      <c r="HG323" s="1605" t="s">
        <v>1594</v>
      </c>
      <c r="HH323" s="1605" t="s">
        <v>1594</v>
      </c>
      <c r="HI323" s="1605" t="s">
        <v>2217</v>
      </c>
      <c r="HJ323" s="1605" t="s">
        <v>2217</v>
      </c>
      <c r="HK323" s="1605" t="s">
        <v>2217</v>
      </c>
      <c r="HL323" s="1605" t="s">
        <v>986</v>
      </c>
      <c r="HM323" s="1605" t="s">
        <v>2217</v>
      </c>
      <c r="HN323" s="1605" t="s">
        <v>2217</v>
      </c>
      <c r="HO323" s="1605" t="s">
        <v>986</v>
      </c>
      <c r="HP323" s="1605" t="s">
        <v>986</v>
      </c>
      <c r="HQ323" s="1605" t="s">
        <v>986</v>
      </c>
      <c r="HR323" s="1605" t="s">
        <v>986</v>
      </c>
      <c r="HS323" s="1605" t="s">
        <v>986</v>
      </c>
      <c r="HT323" s="1605" t="s">
        <v>986</v>
      </c>
      <c r="HU323" s="1605" t="s">
        <v>986</v>
      </c>
      <c r="HV323" s="1617"/>
      <c r="HW323" s="1617" t="s">
        <v>2984</v>
      </c>
      <c r="HX323" s="1617" t="s">
        <v>2983</v>
      </c>
      <c r="HY323" s="1617" t="s">
        <v>2982</v>
      </c>
      <c r="HZ323" s="1603"/>
      <c r="IA323" s="1603"/>
      <c r="IB323" s="1603"/>
      <c r="IC323" s="1603">
        <v>58</v>
      </c>
      <c r="ID323" s="1603">
        <v>58</v>
      </c>
      <c r="IE323" s="1603">
        <v>58</v>
      </c>
      <c r="IF323" s="1603">
        <v>58</v>
      </c>
      <c r="IG323" s="1611" t="s">
        <v>2981</v>
      </c>
      <c r="IH323" s="1616" t="s">
        <v>2980</v>
      </c>
      <c r="II323" s="1615" t="s">
        <v>2979</v>
      </c>
      <c r="IJ323" s="1613">
        <v>0.65030061349693247</v>
      </c>
      <c r="IK323" s="1613">
        <v>0.59406339468302671</v>
      </c>
      <c r="IL323" s="1614">
        <v>0.65030061349693247</v>
      </c>
      <c r="IM323" s="1614">
        <v>0.59406339468302671</v>
      </c>
      <c r="IN323" s="1612" t="s">
        <v>270</v>
      </c>
      <c r="IO323" s="1613" t="s">
        <v>270</v>
      </c>
      <c r="IP323" s="1607" t="s">
        <v>270</v>
      </c>
      <c r="IQ323" s="1612" t="s">
        <v>270</v>
      </c>
      <c r="IR323" s="1612" t="s">
        <v>270</v>
      </c>
      <c r="IS323" s="1607">
        <v>0.47730061349693254</v>
      </c>
      <c r="IT323" s="1607">
        <v>0.42106339468302667</v>
      </c>
      <c r="IU323" s="1611">
        <v>0</v>
      </c>
      <c r="IV323" s="1611">
        <v>1.6359918200409E-3</v>
      </c>
      <c r="IW323" s="1611">
        <v>2.044989775051125E-4</v>
      </c>
      <c r="IX323" s="1611">
        <v>1.0224948875255625E-3</v>
      </c>
      <c r="IY323" s="1611">
        <v>2.044989775051125E-4</v>
      </c>
      <c r="IZ323" s="1611">
        <v>7.770961145194274E-3</v>
      </c>
      <c r="JA323" s="1611">
        <v>0</v>
      </c>
      <c r="JB323" s="1611" t="s">
        <v>270</v>
      </c>
      <c r="JC323" s="1611">
        <v>3.2310838445807774E-2</v>
      </c>
      <c r="JD323" s="1611">
        <v>8.1799591002045002E-4</v>
      </c>
      <c r="JE323" s="1611" t="s">
        <v>270</v>
      </c>
      <c r="JF323" s="1611">
        <v>0</v>
      </c>
      <c r="JG323" s="1611">
        <v>0.67402862985685086</v>
      </c>
      <c r="JH323" s="1611">
        <v>0</v>
      </c>
      <c r="JI323" s="1611">
        <v>2.2085889570552148E-2</v>
      </c>
      <c r="JJ323" s="1611" t="s">
        <v>270</v>
      </c>
      <c r="JK323" s="1607">
        <f t="shared" si="13"/>
        <v>0.17299999999999993</v>
      </c>
      <c r="JL323" s="1608" t="s">
        <v>270</v>
      </c>
      <c r="JM323" s="1610" t="s">
        <v>2924</v>
      </c>
      <c r="JN323" s="1608">
        <v>5.6237218813905865E-2</v>
      </c>
      <c r="JO323" s="1609" t="s">
        <v>2955</v>
      </c>
      <c r="JP323" s="1608" t="s">
        <v>270</v>
      </c>
      <c r="JQ323" s="1607">
        <v>202103</v>
      </c>
      <c r="JR323" s="1606">
        <v>191</v>
      </c>
      <c r="JS323" s="1606">
        <v>211</v>
      </c>
      <c r="JT323" s="1606">
        <v>211</v>
      </c>
    </row>
    <row r="324" spans="1:280" ht="15" customHeight="1" x14ac:dyDescent="0.2">
      <c r="A324" s="1626">
        <v>77411</v>
      </c>
      <c r="B324" s="1625">
        <v>774</v>
      </c>
      <c r="C324" s="1624">
        <v>11</v>
      </c>
      <c r="D324" s="1623" t="s">
        <v>2986</v>
      </c>
      <c r="E324" s="1622">
        <v>44439</v>
      </c>
      <c r="F324" s="1620">
        <v>4.5079473757258966E-2</v>
      </c>
      <c r="G324" s="1620">
        <v>4.3355874423673418E-2</v>
      </c>
      <c r="H324" s="1621">
        <v>99</v>
      </c>
      <c r="I324" s="1621">
        <v>98</v>
      </c>
      <c r="J324" s="1621">
        <v>98</v>
      </c>
      <c r="K324" s="1620">
        <v>0.86</v>
      </c>
      <c r="L324" s="1620">
        <v>3.3</v>
      </c>
      <c r="M324" s="1620">
        <v>0.2145</v>
      </c>
      <c r="N324" s="1620">
        <v>0.29370000000000002</v>
      </c>
      <c r="O324" s="1620">
        <v>0.30359999999999998</v>
      </c>
      <c r="P324" s="1620">
        <v>0</v>
      </c>
      <c r="Q324" s="1603"/>
      <c r="R324" s="1620">
        <v>76</v>
      </c>
      <c r="S324" s="1620">
        <v>58</v>
      </c>
      <c r="T324" s="1620">
        <v>58</v>
      </c>
      <c r="U324" s="1620">
        <v>58</v>
      </c>
      <c r="V324" s="1620">
        <v>58</v>
      </c>
      <c r="W324" s="1620">
        <v>58</v>
      </c>
      <c r="X324" s="1620"/>
      <c r="Y324" s="1620">
        <v>13.9</v>
      </c>
      <c r="Z324" s="1620">
        <v>10.7</v>
      </c>
      <c r="AA324" s="1620">
        <v>6.9</v>
      </c>
      <c r="AB324" s="1620">
        <v>1.4</v>
      </c>
      <c r="AC324" s="1620">
        <v>26.6</v>
      </c>
      <c r="AD324" s="1620">
        <v>1.8</v>
      </c>
      <c r="AE324" s="1620">
        <v>0</v>
      </c>
      <c r="AF324" s="1620">
        <v>1.2000000000000002</v>
      </c>
      <c r="AG324" s="1620">
        <v>0.2</v>
      </c>
      <c r="AH324" s="1620">
        <v>0.05</v>
      </c>
      <c r="AI324" s="1620">
        <v>1.9000000000000001</v>
      </c>
      <c r="AJ324" s="1620">
        <v>0</v>
      </c>
      <c r="AK324" s="1620">
        <v>0</v>
      </c>
      <c r="AL324" s="1620"/>
      <c r="AM324" s="1620">
        <v>3.7</v>
      </c>
      <c r="AN324" s="1620">
        <v>0.7</v>
      </c>
      <c r="AO324" s="1620">
        <v>1.3</v>
      </c>
      <c r="AP324" s="1620">
        <v>1.9</v>
      </c>
      <c r="AQ324" s="1620">
        <v>0.7</v>
      </c>
      <c r="AR324" s="1620">
        <v>2</v>
      </c>
      <c r="AS324" s="1620">
        <v>4.4000000000000004</v>
      </c>
      <c r="AT324" s="1620">
        <v>1.1000000000000001</v>
      </c>
      <c r="AU324" s="1620">
        <v>1.5</v>
      </c>
      <c r="AV324" s="1620">
        <v>1.7</v>
      </c>
      <c r="AW324" s="1620">
        <v>1.7</v>
      </c>
      <c r="AX324" s="1620"/>
      <c r="AY324" s="1620">
        <v>0.89</v>
      </c>
      <c r="AZ324" s="1620">
        <v>1.06</v>
      </c>
      <c r="BA324" s="1620">
        <v>1.04</v>
      </c>
      <c r="BB324" s="1620">
        <v>1.01</v>
      </c>
      <c r="BC324" s="1620">
        <v>1.08</v>
      </c>
      <c r="BD324" s="1620">
        <v>1.05</v>
      </c>
      <c r="BE324" s="1620">
        <v>1.0900000000000001</v>
      </c>
      <c r="BF324" s="1620">
        <v>1.05</v>
      </c>
      <c r="BG324" s="1620">
        <v>1.02</v>
      </c>
      <c r="BH324" s="1620">
        <v>1.1200000000000001</v>
      </c>
      <c r="BI324" s="1620">
        <v>1.05</v>
      </c>
      <c r="BJ324" s="1603"/>
      <c r="BK324" s="1620">
        <v>6.5000000000000053</v>
      </c>
      <c r="BL324" s="1620">
        <v>8.9000000000000075</v>
      </c>
      <c r="BM324" s="1620">
        <v>9.2000000000000082</v>
      </c>
      <c r="BN324" s="1620">
        <v>0</v>
      </c>
      <c r="BO324" s="1620"/>
      <c r="BP324" s="1620">
        <v>34</v>
      </c>
      <c r="BQ324" s="1620">
        <v>1.36</v>
      </c>
      <c r="BR324" s="1620">
        <v>1.3660446593108788</v>
      </c>
      <c r="BS324" s="1620">
        <v>1.3138143764749535</v>
      </c>
      <c r="BT324" s="1603"/>
      <c r="BU324" s="1620">
        <v>907.99999999999989</v>
      </c>
      <c r="BV324" s="1620">
        <v>740.46857142857118</v>
      </c>
      <c r="BW324" s="1620">
        <v>12.97142857142857</v>
      </c>
      <c r="BX324" s="1620">
        <v>0</v>
      </c>
      <c r="BY324" s="1620" t="s">
        <v>270</v>
      </c>
      <c r="BZ324" s="1620">
        <v>0</v>
      </c>
      <c r="CA324" s="1620">
        <v>0</v>
      </c>
      <c r="CB324" s="1603"/>
      <c r="CC324" s="1603">
        <v>0.45870000000000005</v>
      </c>
      <c r="CD324" s="1603">
        <v>0.35309999999999997</v>
      </c>
      <c r="CE324" s="1603">
        <v>0.22770000000000001</v>
      </c>
      <c r="CF324" s="1603">
        <v>4.6199999999999998E-2</v>
      </c>
      <c r="CG324" s="1603">
        <v>0.87780000000000014</v>
      </c>
      <c r="CH324" s="1603">
        <v>5.9400000000000001E-2</v>
      </c>
      <c r="CI324" s="1603">
        <v>0</v>
      </c>
      <c r="CJ324" s="1603"/>
      <c r="CK324" s="1603">
        <v>3.960000000000001E-2</v>
      </c>
      <c r="CL324" s="1603">
        <v>6.6000000000000008E-3</v>
      </c>
      <c r="CM324" s="1603">
        <v>1.6500000000000002E-3</v>
      </c>
      <c r="CN324" s="1603">
        <v>6.2700000000000006E-2</v>
      </c>
      <c r="CO324" s="1603">
        <v>0</v>
      </c>
      <c r="CP324" s="1603">
        <v>0</v>
      </c>
      <c r="CQ324" s="1603">
        <v>1.6302000000000001</v>
      </c>
      <c r="CR324" s="1603">
        <v>36.162800142215403</v>
      </c>
      <c r="CS324" s="1603">
        <v>1.1908410086831531</v>
      </c>
      <c r="CT324" s="1603">
        <v>0.26832797705523825</v>
      </c>
      <c r="CU324" s="1603">
        <v>0.48892105792275231</v>
      </c>
      <c r="CV324" s="1603">
        <v>0.75724903497799056</v>
      </c>
      <c r="CW324" s="1603">
        <v>0.69396413472911356</v>
      </c>
      <c r="CX324" s="1603">
        <v>0.27339076907514842</v>
      </c>
      <c r="CY324" s="1603">
        <v>0.75941880298652342</v>
      </c>
      <c r="CZ324" s="1603">
        <v>1.7343678948206507</v>
      </c>
      <c r="DA324" s="1603">
        <v>0.41768034164258783</v>
      </c>
      <c r="DB324" s="1603">
        <v>0.55329084217589575</v>
      </c>
      <c r="DC324" s="1603">
        <v>0.6885397147077813</v>
      </c>
      <c r="DD324" s="1603">
        <v>1.2418305568836772</v>
      </c>
      <c r="DE324" s="1603">
        <v>0.64550598253854474</v>
      </c>
      <c r="DF324" s="1603">
        <v>0</v>
      </c>
      <c r="DG324" s="1603">
        <v>0</v>
      </c>
      <c r="DH324" s="1603">
        <v>0</v>
      </c>
      <c r="DI324" s="1603">
        <v>0</v>
      </c>
      <c r="DJ324" s="1603">
        <v>0</v>
      </c>
      <c r="DK324" s="1603">
        <v>0</v>
      </c>
      <c r="DL324" s="1603">
        <v>0</v>
      </c>
      <c r="DM324" s="1603">
        <v>0</v>
      </c>
      <c r="DN324" s="1603">
        <v>0</v>
      </c>
      <c r="DO324" s="1603">
        <v>0</v>
      </c>
      <c r="DP324" s="1603">
        <v>0</v>
      </c>
      <c r="DQ324" s="1603">
        <v>0</v>
      </c>
      <c r="DR324" s="1603">
        <v>0</v>
      </c>
      <c r="DS324" s="1603">
        <v>0</v>
      </c>
      <c r="DT324" s="1603">
        <v>0</v>
      </c>
      <c r="DU324" s="1603">
        <v>0</v>
      </c>
      <c r="DV324" s="1603">
        <v>0</v>
      </c>
      <c r="DW324" s="1618" t="s">
        <v>2975</v>
      </c>
      <c r="DX324" s="1605">
        <v>6</v>
      </c>
      <c r="DY324" s="1605">
        <v>6</v>
      </c>
      <c r="DZ324" s="1605">
        <v>6</v>
      </c>
      <c r="EA324" s="1605">
        <v>6</v>
      </c>
      <c r="EB324" s="1605" t="s">
        <v>986</v>
      </c>
      <c r="EC324" s="1605" t="s">
        <v>986</v>
      </c>
      <c r="ED324" s="1605" t="s">
        <v>986</v>
      </c>
      <c r="EE324" s="1605" t="s">
        <v>986</v>
      </c>
      <c r="EF324" s="1605" t="s">
        <v>986</v>
      </c>
      <c r="EG324" s="1605" t="s">
        <v>986</v>
      </c>
      <c r="EH324" s="1605">
        <v>1</v>
      </c>
      <c r="EI324" s="1605">
        <v>1</v>
      </c>
      <c r="EJ324" s="1605">
        <v>1</v>
      </c>
      <c r="EK324" s="1605">
        <v>1</v>
      </c>
      <c r="EL324" s="1605">
        <v>1</v>
      </c>
      <c r="EM324" s="1605">
        <v>1</v>
      </c>
      <c r="EN324" s="1605">
        <v>1</v>
      </c>
      <c r="EO324" s="1605">
        <v>1</v>
      </c>
      <c r="EP324" s="1605">
        <v>1</v>
      </c>
      <c r="EQ324" s="1605">
        <v>1</v>
      </c>
      <c r="ER324" s="1605">
        <v>1</v>
      </c>
      <c r="ES324" s="1605">
        <v>6</v>
      </c>
      <c r="ET324" s="1605">
        <v>6</v>
      </c>
      <c r="EU324" s="1605">
        <v>6</v>
      </c>
      <c r="EV324" s="1605" t="s">
        <v>986</v>
      </c>
      <c r="EW324" s="1605">
        <v>6</v>
      </c>
      <c r="EX324" s="1605">
        <v>6</v>
      </c>
      <c r="EY324" s="1605" t="s">
        <v>986</v>
      </c>
      <c r="EZ324" s="1605" t="s">
        <v>986</v>
      </c>
      <c r="FA324" s="1605" t="s">
        <v>986</v>
      </c>
      <c r="FB324" s="1605" t="s">
        <v>986</v>
      </c>
      <c r="FC324" s="1605" t="s">
        <v>986</v>
      </c>
      <c r="FD324" s="1605" t="s">
        <v>986</v>
      </c>
      <c r="FE324" s="1605" t="s">
        <v>986</v>
      </c>
      <c r="FF324" s="1605">
        <v>0.63570433379048141</v>
      </c>
      <c r="FG324" s="1605">
        <v>5.6253428595860342</v>
      </c>
      <c r="FH324" s="1605">
        <v>2.8508691849280918</v>
      </c>
      <c r="FI324" s="1605">
        <v>1.266738116542905</v>
      </c>
      <c r="FJ324" s="1605" t="s">
        <v>986</v>
      </c>
      <c r="FK324" s="1605" t="s">
        <v>986</v>
      </c>
      <c r="FL324" s="1605" t="s">
        <v>986</v>
      </c>
      <c r="FM324" s="1605" t="s">
        <v>986</v>
      </c>
      <c r="FN324" s="1605" t="s">
        <v>986</v>
      </c>
      <c r="FO324" s="1605" t="s">
        <v>986</v>
      </c>
      <c r="FP324" s="1605" t="s">
        <v>986</v>
      </c>
      <c r="FQ324" s="1605" t="s">
        <v>986</v>
      </c>
      <c r="FR324" s="1605" t="s">
        <v>986</v>
      </c>
      <c r="FS324" s="1605" t="s">
        <v>986</v>
      </c>
      <c r="FT324" s="1605" t="s">
        <v>986</v>
      </c>
      <c r="FU324" s="1605" t="s">
        <v>986</v>
      </c>
      <c r="FV324" s="1605" t="s">
        <v>986</v>
      </c>
      <c r="FW324" s="1605" t="s">
        <v>986</v>
      </c>
      <c r="FX324" s="1605" t="s">
        <v>986</v>
      </c>
      <c r="FY324" s="1605" t="s">
        <v>986</v>
      </c>
      <c r="FZ324" s="1605" t="s">
        <v>986</v>
      </c>
      <c r="GA324" s="1605">
        <v>2.8095636822506362</v>
      </c>
      <c r="GB324" s="1605">
        <v>1.8938465937812017</v>
      </c>
      <c r="GC324" s="1605">
        <v>0.77967308386823231</v>
      </c>
      <c r="GD324" s="1605">
        <v>0.23527925741553221</v>
      </c>
      <c r="GE324" s="1605">
        <v>4.567337008327657</v>
      </c>
      <c r="GF324" s="1605">
        <v>0.19883484901944359</v>
      </c>
      <c r="GG324" s="1605" t="s">
        <v>986</v>
      </c>
      <c r="GH324" s="1605" t="s">
        <v>986</v>
      </c>
      <c r="GI324" s="1605" t="s">
        <v>986</v>
      </c>
      <c r="GJ324" s="1605" t="s">
        <v>986</v>
      </c>
      <c r="GK324" s="1605" t="s">
        <v>986</v>
      </c>
      <c r="GL324" s="1605" t="s">
        <v>986</v>
      </c>
      <c r="GM324" s="1605" t="s">
        <v>986</v>
      </c>
      <c r="GN324" s="1605" t="s">
        <v>2217</v>
      </c>
      <c r="GO324" s="1605" t="s">
        <v>2217</v>
      </c>
      <c r="GP324" s="1605" t="s">
        <v>2217</v>
      </c>
      <c r="GQ324" s="1605" t="s">
        <v>2217</v>
      </c>
      <c r="GR324" s="1605" t="s">
        <v>986</v>
      </c>
      <c r="GS324" s="1605" t="s">
        <v>986</v>
      </c>
      <c r="GT324" s="1605" t="s">
        <v>986</v>
      </c>
      <c r="GU324" s="1605" t="s">
        <v>986</v>
      </c>
      <c r="GV324" s="1605" t="s">
        <v>986</v>
      </c>
      <c r="GW324" s="1605" t="s">
        <v>986</v>
      </c>
      <c r="GX324" s="1605" t="s">
        <v>1594</v>
      </c>
      <c r="GY324" s="1605" t="s">
        <v>1594</v>
      </c>
      <c r="GZ324" s="1605" t="s">
        <v>1594</v>
      </c>
      <c r="HA324" s="1605" t="s">
        <v>1594</v>
      </c>
      <c r="HB324" s="1605" t="s">
        <v>1594</v>
      </c>
      <c r="HC324" s="1605" t="s">
        <v>1594</v>
      </c>
      <c r="HD324" s="1605" t="s">
        <v>1594</v>
      </c>
      <c r="HE324" s="1605" t="s">
        <v>1594</v>
      </c>
      <c r="HF324" s="1605" t="s">
        <v>1594</v>
      </c>
      <c r="HG324" s="1605" t="s">
        <v>1594</v>
      </c>
      <c r="HH324" s="1605" t="s">
        <v>1594</v>
      </c>
      <c r="HI324" s="1605" t="s">
        <v>2217</v>
      </c>
      <c r="HJ324" s="1605" t="s">
        <v>2217</v>
      </c>
      <c r="HK324" s="1605" t="s">
        <v>2217</v>
      </c>
      <c r="HL324" s="1605" t="s">
        <v>986</v>
      </c>
      <c r="HM324" s="1605" t="s">
        <v>2217</v>
      </c>
      <c r="HN324" s="1605" t="s">
        <v>2217</v>
      </c>
      <c r="HO324" s="1605" t="s">
        <v>986</v>
      </c>
      <c r="HP324" s="1605" t="s">
        <v>986</v>
      </c>
      <c r="HQ324" s="1605" t="s">
        <v>986</v>
      </c>
      <c r="HR324" s="1605" t="s">
        <v>986</v>
      </c>
      <c r="HS324" s="1605" t="s">
        <v>986</v>
      </c>
      <c r="HT324" s="1605" t="s">
        <v>986</v>
      </c>
      <c r="HU324" s="1605" t="s">
        <v>986</v>
      </c>
      <c r="HV324" s="1617"/>
      <c r="HW324" s="1617">
        <v>0</v>
      </c>
      <c r="HX324" s="1617">
        <v>0</v>
      </c>
      <c r="HY324" s="1617">
        <v>0</v>
      </c>
      <c r="HZ324" s="1603"/>
      <c r="IA324" s="1603"/>
      <c r="IB324" s="1603"/>
      <c r="IC324" s="1603">
        <v>58</v>
      </c>
      <c r="ID324" s="1603">
        <v>58</v>
      </c>
      <c r="IE324" s="1603">
        <v>58</v>
      </c>
      <c r="IF324" s="1603">
        <v>58</v>
      </c>
      <c r="IG324" s="1611" t="s">
        <v>2981</v>
      </c>
      <c r="IH324" s="1616" t="s">
        <v>270</v>
      </c>
      <c r="II324" s="1615" t="s">
        <v>270</v>
      </c>
      <c r="IJ324" s="1613">
        <v>0.65030061349693247</v>
      </c>
      <c r="IK324" s="1613">
        <v>0.59406339468302671</v>
      </c>
      <c r="IL324" s="1614">
        <v>0.65030061349693247</v>
      </c>
      <c r="IM324" s="1614">
        <v>0.59406339468302671</v>
      </c>
      <c r="IN324" s="1612" t="s">
        <v>270</v>
      </c>
      <c r="IO324" s="1613" t="s">
        <v>270</v>
      </c>
      <c r="IP324" s="1607" t="s">
        <v>270</v>
      </c>
      <c r="IQ324" s="1612" t="s">
        <v>270</v>
      </c>
      <c r="IR324" s="1612" t="s">
        <v>270</v>
      </c>
      <c r="IS324" s="1607">
        <v>0.47730061349693254</v>
      </c>
      <c r="IT324" s="1607">
        <v>0.42106339468302667</v>
      </c>
      <c r="IU324" s="1611">
        <v>0</v>
      </c>
      <c r="IV324" s="1611">
        <v>1.6359918200409E-3</v>
      </c>
      <c r="IW324" s="1611">
        <v>2.044989775051125E-4</v>
      </c>
      <c r="IX324" s="1611">
        <v>1.0224948875255625E-3</v>
      </c>
      <c r="IY324" s="1611">
        <v>2.044989775051125E-4</v>
      </c>
      <c r="IZ324" s="1611">
        <v>7.770961145194274E-3</v>
      </c>
      <c r="JA324" s="1611">
        <v>0</v>
      </c>
      <c r="JB324" s="1611" t="s">
        <v>270</v>
      </c>
      <c r="JC324" s="1611">
        <v>3.2310838445807774E-2</v>
      </c>
      <c r="JD324" s="1611">
        <v>8.1799591002045002E-4</v>
      </c>
      <c r="JE324" s="1611" t="s">
        <v>270</v>
      </c>
      <c r="JF324" s="1611">
        <v>0</v>
      </c>
      <c r="JG324" s="1611">
        <v>0.67402862985685086</v>
      </c>
      <c r="JH324" s="1611">
        <v>0</v>
      </c>
      <c r="JI324" s="1611">
        <v>2.2085889570552148E-2</v>
      </c>
      <c r="JJ324" s="1611" t="s">
        <v>270</v>
      </c>
      <c r="JK324" s="1607">
        <f t="shared" si="13"/>
        <v>0.17299999999999993</v>
      </c>
      <c r="JL324" s="1608" t="s">
        <v>270</v>
      </c>
      <c r="JM324" s="1610" t="s">
        <v>2924</v>
      </c>
      <c r="JN324" s="1608">
        <v>5.6237218813905865E-2</v>
      </c>
      <c r="JO324" s="1609" t="s">
        <v>2955</v>
      </c>
      <c r="JP324" s="1608" t="s">
        <v>270</v>
      </c>
      <c r="JQ324" s="1607">
        <v>202103</v>
      </c>
      <c r="JR324" s="1606">
        <v>191</v>
      </c>
      <c r="JS324" s="1606">
        <v>211</v>
      </c>
      <c r="JT324" s="1606">
        <v>211</v>
      </c>
    </row>
    <row r="325" spans="1:280" ht="15" customHeight="1" x14ac:dyDescent="0.2">
      <c r="A325" s="1626">
        <v>77600</v>
      </c>
      <c r="B325" s="1625">
        <v>776</v>
      </c>
      <c r="C325" s="1624">
        <v>0</v>
      </c>
      <c r="D325" s="1623" t="s">
        <v>2985</v>
      </c>
      <c r="E325" s="1622">
        <v>44439</v>
      </c>
      <c r="F325" s="1620">
        <v>0.15514495918466895</v>
      </c>
      <c r="G325" s="1620">
        <v>0.14928892414018549</v>
      </c>
      <c r="H325" s="1621">
        <v>99</v>
      </c>
      <c r="I325" s="1621">
        <v>98</v>
      </c>
      <c r="J325" s="1621">
        <v>98</v>
      </c>
      <c r="K325" s="1620">
        <v>0.86</v>
      </c>
      <c r="L325" s="1620">
        <v>14.1</v>
      </c>
      <c r="M325" s="1620">
        <v>0.38070000000000004</v>
      </c>
      <c r="N325" s="1620">
        <v>1.41E-2</v>
      </c>
      <c r="O325" s="1620">
        <v>2.2700999999999998</v>
      </c>
      <c r="P325" s="1620">
        <v>0</v>
      </c>
      <c r="Q325" s="1603"/>
      <c r="R325" s="1620">
        <v>76</v>
      </c>
      <c r="S325" s="1620">
        <v>5</v>
      </c>
      <c r="T325" s="1620">
        <v>26.544715447154498</v>
      </c>
      <c r="U325" s="1620">
        <v>35.162601626016297</v>
      </c>
      <c r="V325" s="1620">
        <v>42.918699186991901</v>
      </c>
      <c r="W325" s="1620">
        <v>48.089430894308897</v>
      </c>
      <c r="X325" s="1620"/>
      <c r="Y325" s="1620">
        <v>4.8</v>
      </c>
      <c r="Z325" s="1620">
        <v>3.8</v>
      </c>
      <c r="AA325" s="1620">
        <v>22.2</v>
      </c>
      <c r="AB325" s="1620">
        <v>48</v>
      </c>
      <c r="AC325" s="1620">
        <v>27.1</v>
      </c>
      <c r="AD325" s="1620">
        <v>1.5</v>
      </c>
      <c r="AE325" s="1620">
        <v>0</v>
      </c>
      <c r="AF325" s="1620">
        <v>10.999999999999998</v>
      </c>
      <c r="AG325" s="1620">
        <v>1.9999999999999998</v>
      </c>
      <c r="AH325" s="1620">
        <v>0</v>
      </c>
      <c r="AI325" s="1620">
        <v>5.9999999999999991</v>
      </c>
      <c r="AJ325" s="1620">
        <v>0</v>
      </c>
      <c r="AK325" s="1620">
        <v>0</v>
      </c>
      <c r="AL325" s="1620"/>
      <c r="AM325" s="1620">
        <v>3.7</v>
      </c>
      <c r="AN325" s="1620">
        <v>0.7</v>
      </c>
      <c r="AO325" s="1620">
        <v>1.3</v>
      </c>
      <c r="AP325" s="1620">
        <v>1.9</v>
      </c>
      <c r="AQ325" s="1620">
        <v>0.7</v>
      </c>
      <c r="AR325" s="1620">
        <v>2</v>
      </c>
      <c r="AS325" s="1620">
        <v>4.4000000000000004</v>
      </c>
      <c r="AT325" s="1620">
        <v>1.1000000000000001</v>
      </c>
      <c r="AU325" s="1620">
        <v>1.5</v>
      </c>
      <c r="AV325" s="1620">
        <v>1.7</v>
      </c>
      <c r="AW325" s="1620">
        <v>1.7</v>
      </c>
      <c r="AX325" s="1620"/>
      <c r="AY325" s="1620">
        <v>0.89</v>
      </c>
      <c r="AZ325" s="1620">
        <v>1.06</v>
      </c>
      <c r="BA325" s="1620">
        <v>1.04</v>
      </c>
      <c r="BB325" s="1620">
        <v>1.01</v>
      </c>
      <c r="BC325" s="1620">
        <v>1.08</v>
      </c>
      <c r="BD325" s="1620">
        <v>1.05</v>
      </c>
      <c r="BE325" s="1620">
        <v>1.0900000000000001</v>
      </c>
      <c r="BF325" s="1620">
        <v>1.05</v>
      </c>
      <c r="BG325" s="1620">
        <v>1.02</v>
      </c>
      <c r="BH325" s="1620">
        <v>1.1200000000000001</v>
      </c>
      <c r="BI325" s="1620">
        <v>1.05</v>
      </c>
      <c r="BJ325" s="1603"/>
      <c r="BK325" s="1620">
        <v>2.7000000000000015</v>
      </c>
      <c r="BL325" s="1620">
        <v>0.10000000000000003</v>
      </c>
      <c r="BM325" s="1620">
        <v>16.100000000000005</v>
      </c>
      <c r="BN325" s="1620">
        <v>0</v>
      </c>
      <c r="BO325" s="1620"/>
      <c r="BP325" s="1620">
        <v>34</v>
      </c>
      <c r="BQ325" s="1620">
        <v>0.67999999999999994</v>
      </c>
      <c r="BR325" s="1620">
        <v>1.1003188594657376</v>
      </c>
      <c r="BS325" s="1620">
        <v>1.0587866960296848</v>
      </c>
      <c r="BT325" s="1603"/>
      <c r="BU325" s="1620">
        <v>839</v>
      </c>
      <c r="BV325" s="1620">
        <v>793.08428571428567</v>
      </c>
      <c r="BW325" s="1620">
        <v>11.985714285714286</v>
      </c>
      <c r="BX325" s="1620">
        <v>0</v>
      </c>
      <c r="BY325" s="1620" t="s">
        <v>270</v>
      </c>
      <c r="BZ325" s="1620">
        <v>0</v>
      </c>
      <c r="CA325" s="1620">
        <v>0</v>
      </c>
      <c r="CB325" s="1603"/>
      <c r="CC325" s="1603">
        <v>0.67679999999999996</v>
      </c>
      <c r="CD325" s="1603">
        <v>0.53579999999999994</v>
      </c>
      <c r="CE325" s="1603">
        <v>3.1301999999999994</v>
      </c>
      <c r="CF325" s="1603">
        <v>6.7679999999999989</v>
      </c>
      <c r="CG325" s="1603">
        <v>3.8210999999999999</v>
      </c>
      <c r="CH325" s="1603">
        <v>0.21149999999999997</v>
      </c>
      <c r="CI325" s="1603">
        <v>0</v>
      </c>
      <c r="CJ325" s="1603"/>
      <c r="CK325" s="1603">
        <v>1.5509999999999995</v>
      </c>
      <c r="CL325" s="1603">
        <v>0.28199999999999992</v>
      </c>
      <c r="CM325" s="1603">
        <v>0</v>
      </c>
      <c r="CN325" s="1603">
        <v>0.84599999999999975</v>
      </c>
      <c r="CO325" s="1603">
        <v>0</v>
      </c>
      <c r="CP325" s="1603">
        <v>0</v>
      </c>
      <c r="CQ325" s="1603">
        <v>2.8933200000000006</v>
      </c>
      <c r="CR325" s="1603">
        <v>18.649139586649952</v>
      </c>
      <c r="CS325" s="1603">
        <v>0.61411616658838286</v>
      </c>
      <c r="CT325" s="1603">
        <v>0.1383766157329426</v>
      </c>
      <c r="CU325" s="1603">
        <v>0.25213636721150734</v>
      </c>
      <c r="CV325" s="1603">
        <v>0.39051298294444992</v>
      </c>
      <c r="CW325" s="1603">
        <v>0.35787698866781253</v>
      </c>
      <c r="CX325" s="1603">
        <v>0.14098749527507362</v>
      </c>
      <c r="CY325" s="1603">
        <v>0.39163193131964891</v>
      </c>
      <c r="CZ325" s="1603">
        <v>0.89441273457573156</v>
      </c>
      <c r="DA325" s="1603">
        <v>0.21539756222580689</v>
      </c>
      <c r="DB325" s="1603">
        <v>0.28533183567574422</v>
      </c>
      <c r="DC325" s="1603">
        <v>0.35507961772981511</v>
      </c>
      <c r="DD325" s="1603">
        <v>0.64041145340555938</v>
      </c>
      <c r="DE325" s="1603">
        <v>0.33288714162170158</v>
      </c>
      <c r="DF325" s="1603">
        <v>0</v>
      </c>
      <c r="DG325" s="1603">
        <v>0</v>
      </c>
      <c r="DH325" s="1603">
        <v>0</v>
      </c>
      <c r="DI325" s="1603">
        <v>0</v>
      </c>
      <c r="DJ325" s="1603">
        <v>0</v>
      </c>
      <c r="DK325" s="1603">
        <v>0</v>
      </c>
      <c r="DL325" s="1603">
        <v>0</v>
      </c>
      <c r="DM325" s="1603">
        <v>0</v>
      </c>
      <c r="DN325" s="1603">
        <v>0</v>
      </c>
      <c r="DO325" s="1603">
        <v>0</v>
      </c>
      <c r="DP325" s="1603">
        <v>0</v>
      </c>
      <c r="DQ325" s="1603">
        <v>0</v>
      </c>
      <c r="DR325" s="1603">
        <v>0</v>
      </c>
      <c r="DS325" s="1603">
        <v>0</v>
      </c>
      <c r="DT325" s="1603">
        <v>0</v>
      </c>
      <c r="DU325" s="1603">
        <v>0</v>
      </c>
      <c r="DV325" s="1603">
        <v>0</v>
      </c>
      <c r="DW325" s="1618" t="s">
        <v>2975</v>
      </c>
      <c r="DX325" s="1605">
        <v>6</v>
      </c>
      <c r="DY325" s="1605">
        <v>6</v>
      </c>
      <c r="DZ325" s="1605">
        <v>6</v>
      </c>
      <c r="EA325" s="1605">
        <v>6</v>
      </c>
      <c r="EB325" s="1605" t="s">
        <v>986</v>
      </c>
      <c r="EC325" s="1605" t="s">
        <v>986</v>
      </c>
      <c r="ED325" s="1605" t="s">
        <v>986</v>
      </c>
      <c r="EE325" s="1605" t="s">
        <v>986</v>
      </c>
      <c r="EF325" s="1605" t="s">
        <v>986</v>
      </c>
      <c r="EG325" s="1605" t="s">
        <v>986</v>
      </c>
      <c r="EH325" s="1605" t="s">
        <v>986</v>
      </c>
      <c r="EI325" s="1605" t="s">
        <v>986</v>
      </c>
      <c r="EJ325" s="1605" t="s">
        <v>986</v>
      </c>
      <c r="EK325" s="1605" t="s">
        <v>986</v>
      </c>
      <c r="EL325" s="1605" t="s">
        <v>986</v>
      </c>
      <c r="EM325" s="1605" t="s">
        <v>986</v>
      </c>
      <c r="EN325" s="1605" t="s">
        <v>986</v>
      </c>
      <c r="EO325" s="1605" t="s">
        <v>986</v>
      </c>
      <c r="EP325" s="1605" t="s">
        <v>986</v>
      </c>
      <c r="EQ325" s="1605" t="s">
        <v>986</v>
      </c>
      <c r="ER325" s="1605" t="s">
        <v>986</v>
      </c>
      <c r="ES325" s="1605">
        <v>6</v>
      </c>
      <c r="ET325" s="1605">
        <v>6</v>
      </c>
      <c r="EU325" s="1605">
        <v>6</v>
      </c>
      <c r="EV325" s="1605" t="s">
        <v>986</v>
      </c>
      <c r="EW325" s="1605">
        <v>6</v>
      </c>
      <c r="EX325" s="1605">
        <v>6</v>
      </c>
      <c r="EY325" s="1605" t="s">
        <v>986</v>
      </c>
      <c r="EZ325" s="1605" t="s">
        <v>986</v>
      </c>
      <c r="FA325" s="1605" t="s">
        <v>986</v>
      </c>
      <c r="FB325" s="1605" t="s">
        <v>986</v>
      </c>
      <c r="FC325" s="1605" t="s">
        <v>986</v>
      </c>
      <c r="FD325" s="1605" t="s">
        <v>986</v>
      </c>
      <c r="FE325" s="1605" t="s">
        <v>986</v>
      </c>
      <c r="FF325" s="1605">
        <v>7.7631608682718442E-2</v>
      </c>
      <c r="FG325" s="1605">
        <v>0.28786465463339195</v>
      </c>
      <c r="FH325" s="1605">
        <v>3.9104189906923936E-2</v>
      </c>
      <c r="FI325" s="1605">
        <v>1.0747459835824322</v>
      </c>
      <c r="FJ325" s="1605" t="s">
        <v>986</v>
      </c>
      <c r="FK325" s="1605" t="s">
        <v>986</v>
      </c>
      <c r="FL325" s="1605" t="s">
        <v>986</v>
      </c>
      <c r="FM325" s="1605" t="s">
        <v>986</v>
      </c>
      <c r="FN325" s="1605" t="s">
        <v>986</v>
      </c>
      <c r="FO325" s="1605" t="s">
        <v>986</v>
      </c>
      <c r="FP325" s="1605" t="s">
        <v>986</v>
      </c>
      <c r="FQ325" s="1605" t="s">
        <v>986</v>
      </c>
      <c r="FR325" s="1605" t="s">
        <v>986</v>
      </c>
      <c r="FS325" s="1605" t="s">
        <v>986</v>
      </c>
      <c r="FT325" s="1605" t="s">
        <v>986</v>
      </c>
      <c r="FU325" s="1605" t="s">
        <v>986</v>
      </c>
      <c r="FV325" s="1605" t="s">
        <v>986</v>
      </c>
      <c r="FW325" s="1605" t="s">
        <v>986</v>
      </c>
      <c r="FX325" s="1605" t="s">
        <v>986</v>
      </c>
      <c r="FY325" s="1605" t="s">
        <v>986</v>
      </c>
      <c r="FZ325" s="1605" t="s">
        <v>986</v>
      </c>
      <c r="GA325" s="1605">
        <v>1.0435522026300832</v>
      </c>
      <c r="GB325" s="1605">
        <v>0.46653036310618839</v>
      </c>
      <c r="GC325" s="1605">
        <v>1.0086721106266234</v>
      </c>
      <c r="GD325" s="1605">
        <v>4.0274957871633541</v>
      </c>
      <c r="GE325" s="1605">
        <v>1.6941134532491451</v>
      </c>
      <c r="GF325" s="1605">
        <v>7.9924897031584938E-2</v>
      </c>
      <c r="GG325" s="1605" t="s">
        <v>986</v>
      </c>
      <c r="GH325" s="1605" t="s">
        <v>986</v>
      </c>
      <c r="GI325" s="1605" t="s">
        <v>986</v>
      </c>
      <c r="GJ325" s="1605" t="s">
        <v>986</v>
      </c>
      <c r="GK325" s="1605" t="s">
        <v>986</v>
      </c>
      <c r="GL325" s="1605" t="s">
        <v>986</v>
      </c>
      <c r="GM325" s="1605" t="s">
        <v>986</v>
      </c>
      <c r="GN325" s="1605" t="s">
        <v>2217</v>
      </c>
      <c r="GO325" s="1605" t="s">
        <v>2217</v>
      </c>
      <c r="GP325" s="1605" t="s">
        <v>2217</v>
      </c>
      <c r="GQ325" s="1605" t="s">
        <v>2217</v>
      </c>
      <c r="GR325" s="1605" t="s">
        <v>986</v>
      </c>
      <c r="GS325" s="1605" t="s">
        <v>986</v>
      </c>
      <c r="GT325" s="1605" t="s">
        <v>986</v>
      </c>
      <c r="GU325" s="1605" t="s">
        <v>986</v>
      </c>
      <c r="GV325" s="1605" t="s">
        <v>986</v>
      </c>
      <c r="GW325" s="1605" t="s">
        <v>986</v>
      </c>
      <c r="GX325" s="1605" t="s">
        <v>986</v>
      </c>
      <c r="GY325" s="1605" t="s">
        <v>986</v>
      </c>
      <c r="GZ325" s="1605" t="s">
        <v>986</v>
      </c>
      <c r="HA325" s="1605" t="s">
        <v>986</v>
      </c>
      <c r="HB325" s="1605" t="s">
        <v>986</v>
      </c>
      <c r="HC325" s="1605" t="s">
        <v>986</v>
      </c>
      <c r="HD325" s="1605" t="s">
        <v>986</v>
      </c>
      <c r="HE325" s="1605" t="s">
        <v>986</v>
      </c>
      <c r="HF325" s="1605" t="s">
        <v>986</v>
      </c>
      <c r="HG325" s="1605" t="s">
        <v>986</v>
      </c>
      <c r="HH325" s="1605" t="s">
        <v>986</v>
      </c>
      <c r="HI325" s="1605" t="s">
        <v>2217</v>
      </c>
      <c r="HJ325" s="1605" t="s">
        <v>2217</v>
      </c>
      <c r="HK325" s="1605" t="s">
        <v>2217</v>
      </c>
      <c r="HL325" s="1605" t="s">
        <v>986</v>
      </c>
      <c r="HM325" s="1605" t="s">
        <v>2217</v>
      </c>
      <c r="HN325" s="1605" t="s">
        <v>2217</v>
      </c>
      <c r="HO325" s="1605" t="s">
        <v>986</v>
      </c>
      <c r="HP325" s="1605" t="s">
        <v>986</v>
      </c>
      <c r="HQ325" s="1605" t="s">
        <v>986</v>
      </c>
      <c r="HR325" s="1605" t="s">
        <v>986</v>
      </c>
      <c r="HS325" s="1605" t="s">
        <v>986</v>
      </c>
      <c r="HT325" s="1605" t="s">
        <v>986</v>
      </c>
      <c r="HU325" s="1605" t="s">
        <v>986</v>
      </c>
      <c r="HV325" s="1617"/>
      <c r="HW325" s="1617" t="s">
        <v>2984</v>
      </c>
      <c r="HX325" s="1617" t="s">
        <v>2983</v>
      </c>
      <c r="HY325" s="1617" t="s">
        <v>2982</v>
      </c>
      <c r="HZ325" s="1603"/>
      <c r="IA325" s="1603"/>
      <c r="IB325" s="1603"/>
      <c r="IC325" s="1603">
        <v>51.967479674796699</v>
      </c>
      <c r="ID325" s="1603">
        <v>54.5528455284553</v>
      </c>
      <c r="IE325" s="1603">
        <v>56.707317073170699</v>
      </c>
      <c r="IF325" s="1603">
        <v>58</v>
      </c>
      <c r="IG325" s="1611" t="s">
        <v>2981</v>
      </c>
      <c r="IH325" s="1616" t="s">
        <v>2980</v>
      </c>
      <c r="II325" s="1615" t="s">
        <v>2979</v>
      </c>
      <c r="IJ325" s="1613">
        <v>0.64330061349693257</v>
      </c>
      <c r="IK325" s="1613">
        <v>0.58706339468302671</v>
      </c>
      <c r="IL325" s="1614">
        <v>0.64330061349693257</v>
      </c>
      <c r="IM325" s="1614">
        <v>0.58706339468302671</v>
      </c>
      <c r="IN325" s="1612" t="s">
        <v>270</v>
      </c>
      <c r="IO325" s="1613" t="s">
        <v>270</v>
      </c>
      <c r="IP325" s="1607" t="s">
        <v>270</v>
      </c>
      <c r="IQ325" s="1612" t="s">
        <v>270</v>
      </c>
      <c r="IR325" s="1612" t="s">
        <v>270</v>
      </c>
      <c r="IS325" s="1607">
        <v>0.47730061349693254</v>
      </c>
      <c r="IT325" s="1607">
        <v>0.42106339468302667</v>
      </c>
      <c r="IU325" s="1611">
        <v>0</v>
      </c>
      <c r="IV325" s="1611">
        <v>1.6359918200409E-3</v>
      </c>
      <c r="IW325" s="1611">
        <v>2.044989775051125E-4</v>
      </c>
      <c r="IX325" s="1611">
        <v>1.0224948875255625E-3</v>
      </c>
      <c r="IY325" s="1611">
        <v>2.044989775051125E-4</v>
      </c>
      <c r="IZ325" s="1611">
        <v>7.770961145194274E-3</v>
      </c>
      <c r="JA325" s="1611">
        <v>0</v>
      </c>
      <c r="JB325" s="1611" t="s">
        <v>270</v>
      </c>
      <c r="JC325" s="1611">
        <v>3.2310838445807774E-2</v>
      </c>
      <c r="JD325" s="1611">
        <v>8.1799591002045002E-4</v>
      </c>
      <c r="JE325" s="1611" t="s">
        <v>270</v>
      </c>
      <c r="JF325" s="1611">
        <v>0</v>
      </c>
      <c r="JG325" s="1611">
        <v>0.67402862985685086</v>
      </c>
      <c r="JH325" s="1611">
        <v>0</v>
      </c>
      <c r="JI325" s="1611">
        <v>2.2085889570552148E-2</v>
      </c>
      <c r="JJ325" s="1611" t="s">
        <v>270</v>
      </c>
      <c r="JK325" s="1607">
        <f t="shared" si="13"/>
        <v>0.16600000000000004</v>
      </c>
      <c r="JL325" s="1608" t="s">
        <v>270</v>
      </c>
      <c r="JM325" s="1610" t="s">
        <v>2924</v>
      </c>
      <c r="JN325" s="1608">
        <v>5.6237218813905865E-2</v>
      </c>
      <c r="JO325" s="1609" t="s">
        <v>270</v>
      </c>
      <c r="JP325" s="1608" t="s">
        <v>270</v>
      </c>
      <c r="JQ325" s="1607">
        <v>202103</v>
      </c>
      <c r="JR325" s="1606">
        <v>191</v>
      </c>
      <c r="JS325" s="1606">
        <v>211</v>
      </c>
      <c r="JT325" s="1606">
        <v>211</v>
      </c>
    </row>
    <row r="326" spans="1:280" ht="15" customHeight="1" x14ac:dyDescent="0.2">
      <c r="A326" s="1626">
        <v>78200</v>
      </c>
      <c r="B326" s="1625">
        <v>782</v>
      </c>
      <c r="C326" s="1624">
        <v>0</v>
      </c>
      <c r="D326" s="1623" t="s">
        <v>2978</v>
      </c>
      <c r="E326" s="1622">
        <v>43031</v>
      </c>
      <c r="F326" s="1620">
        <v>1.36759693515292</v>
      </c>
      <c r="G326" s="1620">
        <v>1.3160310513914599</v>
      </c>
      <c r="H326" s="1621">
        <v>100</v>
      </c>
      <c r="I326" s="1621">
        <v>98.4</v>
      </c>
      <c r="J326" s="1621">
        <v>98.7</v>
      </c>
      <c r="K326" s="1620">
        <v>1</v>
      </c>
      <c r="L326" s="1620">
        <v>97</v>
      </c>
      <c r="M326" s="1620">
        <v>9.3119999999999994</v>
      </c>
      <c r="N326" s="1620">
        <v>0.48499999999999999</v>
      </c>
      <c r="O326" s="1620">
        <v>8.2449999999999992</v>
      </c>
      <c r="P326" s="1620">
        <v>0</v>
      </c>
      <c r="Q326" s="1603"/>
      <c r="R326" s="1620">
        <v>92</v>
      </c>
      <c r="S326" s="1620">
        <v>58</v>
      </c>
      <c r="T326" s="1620">
        <v>58</v>
      </c>
      <c r="U326" s="1620">
        <v>58</v>
      </c>
      <c r="V326" s="1620">
        <v>58</v>
      </c>
      <c r="W326" s="1620">
        <v>58</v>
      </c>
      <c r="X326" s="1620"/>
      <c r="Y326" s="1620">
        <v>10.6</v>
      </c>
      <c r="Z326" s="1620">
        <v>8.1999999999999993</v>
      </c>
      <c r="AA326" s="1620">
        <v>6.6000000000000005</v>
      </c>
      <c r="AB326" s="1620">
        <v>35.000000000000007</v>
      </c>
      <c r="AC326" s="1620">
        <v>21</v>
      </c>
      <c r="AD326" s="1620">
        <v>1.6</v>
      </c>
      <c r="AE326" s="1620">
        <v>2</v>
      </c>
      <c r="AF326" s="1620">
        <v>4</v>
      </c>
      <c r="AG326" s="1620">
        <v>3</v>
      </c>
      <c r="AH326" s="1620">
        <v>3</v>
      </c>
      <c r="AI326" s="1620">
        <v>14</v>
      </c>
      <c r="AJ326" s="1620">
        <v>0</v>
      </c>
      <c r="AK326" s="1620">
        <v>6.25E-2</v>
      </c>
      <c r="AL326" s="1620"/>
      <c r="AM326" s="1620">
        <v>7.47</v>
      </c>
      <c r="AN326" s="1620">
        <v>1.45</v>
      </c>
      <c r="AO326" s="1620">
        <v>1.82</v>
      </c>
      <c r="AP326" s="1620">
        <v>6.07</v>
      </c>
      <c r="AQ326" s="1620">
        <v>1.29</v>
      </c>
      <c r="AR326" s="1620">
        <v>5.88</v>
      </c>
      <c r="AS326" s="1620">
        <v>8.6300000000000008</v>
      </c>
      <c r="AT326" s="1620">
        <v>2.15</v>
      </c>
      <c r="AU326" s="1620">
        <v>3</v>
      </c>
      <c r="AV326" s="1620">
        <v>2.75</v>
      </c>
      <c r="AW326" s="1620">
        <v>5.29</v>
      </c>
      <c r="AX326" s="1620"/>
      <c r="AY326" s="1620">
        <v>1.01</v>
      </c>
      <c r="AZ326" s="1620">
        <v>0.99</v>
      </c>
      <c r="BA326" s="1620">
        <v>0.97</v>
      </c>
      <c r="BB326" s="1620">
        <v>1.01</v>
      </c>
      <c r="BC326" s="1620">
        <v>0.99</v>
      </c>
      <c r="BD326" s="1620">
        <v>0.97</v>
      </c>
      <c r="BE326" s="1620">
        <v>0.98</v>
      </c>
      <c r="BF326" s="1620">
        <v>1.01</v>
      </c>
      <c r="BG326" s="1620">
        <v>1.05</v>
      </c>
      <c r="BH326" s="1620">
        <v>1</v>
      </c>
      <c r="BI326" s="1620">
        <v>0.97</v>
      </c>
      <c r="BJ326" s="1603"/>
      <c r="BK326" s="1620">
        <v>9.6</v>
      </c>
      <c r="BL326" s="1620">
        <v>0.5</v>
      </c>
      <c r="BM326" s="1620">
        <v>8.4999999999999982</v>
      </c>
      <c r="BN326" s="1620">
        <v>0</v>
      </c>
      <c r="BO326" s="1620"/>
      <c r="BP326" s="1620">
        <v>34</v>
      </c>
      <c r="BQ326" s="1620">
        <v>1.7</v>
      </c>
      <c r="BR326" s="1620">
        <v>1.4098937475803301</v>
      </c>
      <c r="BS326" s="1620">
        <v>1.356733042671608</v>
      </c>
      <c r="BT326" s="1603"/>
      <c r="BU326" s="1620">
        <v>915</v>
      </c>
      <c r="BV326" s="1620">
        <v>801.87571428571448</v>
      </c>
      <c r="BW326" s="1620">
        <v>20.914285714285565</v>
      </c>
      <c r="BX326" s="1620">
        <v>0</v>
      </c>
      <c r="BY326" s="1620">
        <v>775</v>
      </c>
      <c r="BZ326" s="1620">
        <v>0</v>
      </c>
      <c r="CA326" s="1620">
        <v>0</v>
      </c>
      <c r="CB326" s="1603"/>
      <c r="CC326" s="1603">
        <v>10.282</v>
      </c>
      <c r="CD326" s="1603">
        <v>7.9539999999999988</v>
      </c>
      <c r="CE326" s="1603">
        <v>6.4020000000000001</v>
      </c>
      <c r="CF326" s="1603">
        <v>33.950000000000003</v>
      </c>
      <c r="CG326" s="1603">
        <v>20.37</v>
      </c>
      <c r="CH326" s="1603">
        <v>1.552</v>
      </c>
      <c r="CI326" s="1603">
        <v>1.94</v>
      </c>
      <c r="CJ326" s="1603"/>
      <c r="CK326" s="1603">
        <v>3.88</v>
      </c>
      <c r="CL326" s="1603">
        <v>2.91</v>
      </c>
      <c r="CM326" s="1603">
        <v>2.91</v>
      </c>
      <c r="CN326" s="1603">
        <v>13.58</v>
      </c>
      <c r="CO326" s="1603">
        <v>0</v>
      </c>
      <c r="CP326" s="1603">
        <v>6.0624999999999998E-2</v>
      </c>
      <c r="CQ326" s="1603">
        <v>85.670400000000001</v>
      </c>
      <c r="CR326" s="1603">
        <v>62.64301842005856</v>
      </c>
      <c r="CS326" s="1603">
        <v>4.7262278107381581</v>
      </c>
      <c r="CT326" s="1603">
        <v>0.8992405294199407</v>
      </c>
      <c r="CU326" s="1603">
        <v>1.1058998471877137</v>
      </c>
      <c r="CV326" s="1603">
        <v>2.0051403766076548</v>
      </c>
      <c r="CW326" s="1603">
        <v>3.8404555302785304</v>
      </c>
      <c r="CX326" s="1603">
        <v>0.80001398824256775</v>
      </c>
      <c r="CY326" s="1603">
        <v>3.57290719860646</v>
      </c>
      <c r="CZ326" s="1603">
        <v>5.2979706398580326</v>
      </c>
      <c r="DA326" s="1603">
        <v>1.3602931449915716</v>
      </c>
      <c r="DB326" s="1603">
        <v>1.9732550802318445</v>
      </c>
      <c r="DC326" s="1603">
        <v>1.7226830065516103</v>
      </c>
      <c r="DD326" s="1603">
        <v>3.695938086783455</v>
      </c>
      <c r="DE326" s="1603">
        <v>3.2144012041884644</v>
      </c>
      <c r="DF326" s="1603">
        <v>0</v>
      </c>
      <c r="DG326" s="1603">
        <v>0</v>
      </c>
      <c r="DH326" s="1603">
        <v>0</v>
      </c>
      <c r="DI326" s="1603">
        <v>0</v>
      </c>
      <c r="DJ326" s="1603">
        <v>0</v>
      </c>
      <c r="DK326" s="1603">
        <v>0</v>
      </c>
      <c r="DL326" s="1603">
        <v>0</v>
      </c>
      <c r="DM326" s="1603">
        <v>0</v>
      </c>
      <c r="DN326" s="1603">
        <v>0</v>
      </c>
      <c r="DO326" s="1603">
        <v>0</v>
      </c>
      <c r="DP326" s="1603">
        <v>0</v>
      </c>
      <c r="DQ326" s="1603">
        <v>0</v>
      </c>
      <c r="DR326" s="1603">
        <v>0</v>
      </c>
      <c r="DS326" s="1603">
        <v>0</v>
      </c>
      <c r="DT326" s="1603">
        <v>0</v>
      </c>
      <c r="DU326" s="1603">
        <v>0</v>
      </c>
      <c r="DV326" s="1603">
        <v>0</v>
      </c>
      <c r="DW326" s="1618" t="s">
        <v>2975</v>
      </c>
      <c r="DX326" s="1605" t="s">
        <v>986</v>
      </c>
      <c r="DY326" s="1605" t="s">
        <v>986</v>
      </c>
      <c r="DZ326" s="1605" t="s">
        <v>986</v>
      </c>
      <c r="EA326" s="1605" t="s">
        <v>986</v>
      </c>
      <c r="EB326" s="1605" t="s">
        <v>986</v>
      </c>
      <c r="EC326" s="1605" t="s">
        <v>986</v>
      </c>
      <c r="ED326" s="1605" t="s">
        <v>986</v>
      </c>
      <c r="EE326" s="1605" t="s">
        <v>986</v>
      </c>
      <c r="EF326" s="1605" t="s">
        <v>986</v>
      </c>
      <c r="EG326" s="1605" t="s">
        <v>986</v>
      </c>
      <c r="EH326" s="1605" t="s">
        <v>986</v>
      </c>
      <c r="EI326" s="1605" t="s">
        <v>986</v>
      </c>
      <c r="EJ326" s="1605" t="s">
        <v>986</v>
      </c>
      <c r="EK326" s="1605" t="s">
        <v>986</v>
      </c>
      <c r="EL326" s="1605" t="s">
        <v>986</v>
      </c>
      <c r="EM326" s="1605" t="s">
        <v>986</v>
      </c>
      <c r="EN326" s="1605" t="s">
        <v>986</v>
      </c>
      <c r="EO326" s="1605" t="s">
        <v>986</v>
      </c>
      <c r="EP326" s="1605" t="s">
        <v>986</v>
      </c>
      <c r="EQ326" s="1605" t="s">
        <v>986</v>
      </c>
      <c r="ER326" s="1605" t="s">
        <v>986</v>
      </c>
      <c r="ES326" s="1605" t="s">
        <v>986</v>
      </c>
      <c r="ET326" s="1605" t="s">
        <v>986</v>
      </c>
      <c r="EU326" s="1605" t="s">
        <v>986</v>
      </c>
      <c r="EV326" s="1605" t="s">
        <v>986</v>
      </c>
      <c r="EW326" s="1605" t="s">
        <v>986</v>
      </c>
      <c r="EX326" s="1605" t="s">
        <v>986</v>
      </c>
      <c r="EY326" s="1605" t="s">
        <v>986</v>
      </c>
      <c r="EZ326" s="1605" t="s">
        <v>986</v>
      </c>
      <c r="FA326" s="1605" t="s">
        <v>986</v>
      </c>
      <c r="FB326" s="1605" t="s">
        <v>986</v>
      </c>
      <c r="FC326" s="1605" t="s">
        <v>986</v>
      </c>
      <c r="FD326" s="1605" t="s">
        <v>986</v>
      </c>
      <c r="FE326" s="1605" t="s">
        <v>986</v>
      </c>
      <c r="FF326" s="1605" t="s">
        <v>986</v>
      </c>
      <c r="FG326" s="1605" t="s">
        <v>986</v>
      </c>
      <c r="FH326" s="1605" t="s">
        <v>986</v>
      </c>
      <c r="FI326" s="1605" t="s">
        <v>986</v>
      </c>
      <c r="FJ326" s="1605" t="s">
        <v>986</v>
      </c>
      <c r="FK326" s="1605" t="s">
        <v>986</v>
      </c>
      <c r="FL326" s="1605" t="s">
        <v>986</v>
      </c>
      <c r="FM326" s="1605" t="s">
        <v>986</v>
      </c>
      <c r="FN326" s="1605" t="s">
        <v>986</v>
      </c>
      <c r="FO326" s="1605" t="s">
        <v>986</v>
      </c>
      <c r="FP326" s="1605" t="s">
        <v>986</v>
      </c>
      <c r="FQ326" s="1605" t="s">
        <v>986</v>
      </c>
      <c r="FR326" s="1605" t="s">
        <v>986</v>
      </c>
      <c r="FS326" s="1605" t="s">
        <v>986</v>
      </c>
      <c r="FT326" s="1605" t="s">
        <v>986</v>
      </c>
      <c r="FU326" s="1605" t="s">
        <v>986</v>
      </c>
      <c r="FV326" s="1605" t="s">
        <v>986</v>
      </c>
      <c r="FW326" s="1605" t="s">
        <v>986</v>
      </c>
      <c r="FX326" s="1605" t="s">
        <v>986</v>
      </c>
      <c r="FY326" s="1605" t="s">
        <v>986</v>
      </c>
      <c r="FZ326" s="1605" t="s">
        <v>986</v>
      </c>
      <c r="GA326" s="1605" t="s">
        <v>986</v>
      </c>
      <c r="GB326" s="1605" t="s">
        <v>986</v>
      </c>
      <c r="GC326" s="1605" t="s">
        <v>986</v>
      </c>
      <c r="GD326" s="1605" t="s">
        <v>986</v>
      </c>
      <c r="GE326" s="1605" t="s">
        <v>986</v>
      </c>
      <c r="GF326" s="1605" t="s">
        <v>986</v>
      </c>
      <c r="GG326" s="1605" t="s">
        <v>986</v>
      </c>
      <c r="GH326" s="1605" t="s">
        <v>986</v>
      </c>
      <c r="GI326" s="1605" t="s">
        <v>986</v>
      </c>
      <c r="GJ326" s="1605" t="s">
        <v>986</v>
      </c>
      <c r="GK326" s="1605" t="s">
        <v>986</v>
      </c>
      <c r="GL326" s="1605" t="s">
        <v>986</v>
      </c>
      <c r="GM326" s="1605" t="s">
        <v>986</v>
      </c>
      <c r="GN326" s="1605" t="s">
        <v>986</v>
      </c>
      <c r="GO326" s="1605" t="s">
        <v>986</v>
      </c>
      <c r="GP326" s="1605" t="s">
        <v>986</v>
      </c>
      <c r="GQ326" s="1605" t="s">
        <v>986</v>
      </c>
      <c r="GR326" s="1605" t="s">
        <v>986</v>
      </c>
      <c r="GS326" s="1605" t="s">
        <v>986</v>
      </c>
      <c r="GT326" s="1605" t="s">
        <v>986</v>
      </c>
      <c r="GU326" s="1605" t="s">
        <v>986</v>
      </c>
      <c r="GV326" s="1605" t="s">
        <v>986</v>
      </c>
      <c r="GW326" s="1605" t="s">
        <v>986</v>
      </c>
      <c r="GX326" s="1605" t="s">
        <v>986</v>
      </c>
      <c r="GY326" s="1605" t="s">
        <v>986</v>
      </c>
      <c r="GZ326" s="1605" t="s">
        <v>986</v>
      </c>
      <c r="HA326" s="1605" t="s">
        <v>986</v>
      </c>
      <c r="HB326" s="1605" t="s">
        <v>986</v>
      </c>
      <c r="HC326" s="1605" t="s">
        <v>986</v>
      </c>
      <c r="HD326" s="1605" t="s">
        <v>986</v>
      </c>
      <c r="HE326" s="1605" t="s">
        <v>986</v>
      </c>
      <c r="HF326" s="1605" t="s">
        <v>986</v>
      </c>
      <c r="HG326" s="1605" t="s">
        <v>986</v>
      </c>
      <c r="HH326" s="1605" t="s">
        <v>986</v>
      </c>
      <c r="HI326" s="1605" t="s">
        <v>986</v>
      </c>
      <c r="HJ326" s="1605" t="s">
        <v>986</v>
      </c>
      <c r="HK326" s="1605" t="s">
        <v>986</v>
      </c>
      <c r="HL326" s="1605" t="s">
        <v>986</v>
      </c>
      <c r="HM326" s="1605" t="s">
        <v>986</v>
      </c>
      <c r="HN326" s="1605" t="s">
        <v>986</v>
      </c>
      <c r="HO326" s="1605" t="s">
        <v>986</v>
      </c>
      <c r="HP326" s="1605" t="s">
        <v>986</v>
      </c>
      <c r="HQ326" s="1605" t="s">
        <v>986</v>
      </c>
      <c r="HR326" s="1605" t="s">
        <v>986</v>
      </c>
      <c r="HS326" s="1605" t="s">
        <v>986</v>
      </c>
      <c r="HT326" s="1605" t="s">
        <v>986</v>
      </c>
      <c r="HU326" s="1605" t="s">
        <v>986</v>
      </c>
      <c r="HV326" s="1617"/>
      <c r="HW326" s="1617" t="s">
        <v>2977</v>
      </c>
      <c r="HX326" s="1617" t="s">
        <v>2973</v>
      </c>
      <c r="HY326" s="1617" t="s">
        <v>2972</v>
      </c>
      <c r="HZ326" s="1603"/>
      <c r="IA326" s="1603"/>
      <c r="IB326" s="1603"/>
      <c r="IC326" s="1603">
        <v>58</v>
      </c>
      <c r="ID326" s="1603">
        <v>58</v>
      </c>
      <c r="IE326" s="1603">
        <v>58</v>
      </c>
      <c r="IF326" s="1603">
        <v>58</v>
      </c>
      <c r="IG326" s="1611" t="s">
        <v>2971</v>
      </c>
      <c r="IH326" s="1616" t="s">
        <v>270</v>
      </c>
      <c r="II326" s="1615" t="s">
        <v>270</v>
      </c>
      <c r="IJ326" s="1613">
        <v>1.4479011581348671</v>
      </c>
      <c r="IK326" s="1613">
        <v>1.3889024529929432</v>
      </c>
      <c r="IL326" s="1614">
        <v>1.4479011581348671</v>
      </c>
      <c r="IM326" s="1614">
        <v>1.3889024529929432</v>
      </c>
      <c r="IN326" s="1612" t="s">
        <v>270</v>
      </c>
      <c r="IO326" s="1613" t="s">
        <v>270</v>
      </c>
      <c r="IP326" s="1607">
        <v>0.21485039001246067</v>
      </c>
      <c r="IQ326" s="1612" t="s">
        <v>270</v>
      </c>
      <c r="IR326" s="1612" t="s">
        <v>270</v>
      </c>
      <c r="IS326" s="1607">
        <v>1.274901158134867</v>
      </c>
      <c r="IT326" s="1607">
        <v>1.2159024529929432</v>
      </c>
      <c r="IU326" s="1611">
        <v>4.2957906751761835E-6</v>
      </c>
      <c r="IV326" s="1611">
        <v>2.1455522818454819E-2</v>
      </c>
      <c r="IW326" s="1611">
        <v>2.2996746996477467E-4</v>
      </c>
      <c r="IX326" s="1611">
        <v>1.5002102083254297E-3</v>
      </c>
      <c r="IY326" s="1611">
        <v>2.4179012168787492E-4</v>
      </c>
      <c r="IZ326" s="1611">
        <v>9.604160298277856E-3</v>
      </c>
      <c r="JA326" s="1611">
        <v>1.0164792257922844E-4</v>
      </c>
      <c r="JB326" s="1611">
        <v>1.0702575778330848E-3</v>
      </c>
      <c r="JC326" s="1611">
        <v>8.4677084426493229E-2</v>
      </c>
      <c r="JD326" s="1611">
        <v>9.4041766115102459E-4</v>
      </c>
      <c r="JE326" s="1611">
        <v>7.8240033857064943E-4</v>
      </c>
      <c r="JF326" s="1611">
        <v>3.9148426597786576E-4</v>
      </c>
      <c r="JG326" s="1611">
        <v>0.70865116111060789</v>
      </c>
      <c r="JH326" s="1611">
        <v>1.3561032283782511E-4</v>
      </c>
      <c r="JI326" s="1611">
        <v>0.2736223062637807</v>
      </c>
      <c r="JJ326" s="1611">
        <v>3.1640406315464205E-3</v>
      </c>
      <c r="JK326" s="1607">
        <f t="shared" si="13"/>
        <v>0.17300000000000004</v>
      </c>
      <c r="JL326" s="1608" t="s">
        <v>270</v>
      </c>
      <c r="JM326" s="1610" t="s">
        <v>2924</v>
      </c>
      <c r="JN326" s="1608">
        <v>5.8998705141923846E-2</v>
      </c>
      <c r="JO326" s="1609" t="s">
        <v>2955</v>
      </c>
      <c r="JP326" s="1608" t="s">
        <v>270</v>
      </c>
      <c r="JQ326" s="1607">
        <v>201901</v>
      </c>
      <c r="JR326" s="1606">
        <v>1124</v>
      </c>
      <c r="JS326" s="1606" t="s">
        <v>270</v>
      </c>
      <c r="JT326" s="1606" t="s">
        <v>270</v>
      </c>
    </row>
    <row r="327" spans="1:280" ht="15" customHeight="1" x14ac:dyDescent="0.2">
      <c r="A327" s="1626">
        <v>78000</v>
      </c>
      <c r="B327" s="1625">
        <v>780</v>
      </c>
      <c r="C327" s="1624">
        <v>0</v>
      </c>
      <c r="D327" s="1623" t="s">
        <v>2976</v>
      </c>
      <c r="E327" s="1622">
        <v>43031</v>
      </c>
      <c r="F327" s="1620">
        <v>1.36476482089625</v>
      </c>
      <c r="G327" s="1620">
        <v>1.3141744147866401</v>
      </c>
      <c r="H327" s="1621">
        <v>99.7</v>
      </c>
      <c r="I327" s="1621">
        <v>98</v>
      </c>
      <c r="J327" s="1621">
        <v>94.4</v>
      </c>
      <c r="K327" s="1620">
        <v>1</v>
      </c>
      <c r="L327" s="1620">
        <v>96.5</v>
      </c>
      <c r="M327" s="1620">
        <v>12.448499999999999</v>
      </c>
      <c r="N327" s="1620">
        <v>1.2544999999999999</v>
      </c>
      <c r="O327" s="1620">
        <v>8.2025000000000006</v>
      </c>
      <c r="P327" s="1620">
        <v>0</v>
      </c>
      <c r="Q327" s="1603"/>
      <c r="R327" s="1620">
        <v>85</v>
      </c>
      <c r="S327" s="1620">
        <v>58</v>
      </c>
      <c r="T327" s="1620">
        <v>58</v>
      </c>
      <c r="U327" s="1620">
        <v>58</v>
      </c>
      <c r="V327" s="1620">
        <v>58</v>
      </c>
      <c r="W327" s="1620">
        <v>58</v>
      </c>
      <c r="X327" s="1620"/>
      <c r="Y327" s="1620">
        <v>5.5</v>
      </c>
      <c r="Z327" s="1620">
        <v>6</v>
      </c>
      <c r="AA327" s="1620">
        <v>5.5</v>
      </c>
      <c r="AB327" s="1620">
        <v>15</v>
      </c>
      <c r="AC327" s="1620">
        <v>22</v>
      </c>
      <c r="AD327" s="1620">
        <v>1.2999999999999998</v>
      </c>
      <c r="AE327" s="1620">
        <v>2</v>
      </c>
      <c r="AF327" s="1620">
        <v>4</v>
      </c>
      <c r="AG327" s="1620">
        <v>3</v>
      </c>
      <c r="AH327" s="1620">
        <v>2</v>
      </c>
      <c r="AI327" s="1620">
        <v>2</v>
      </c>
      <c r="AJ327" s="1620">
        <v>0</v>
      </c>
      <c r="AK327" s="1620">
        <v>0.05</v>
      </c>
      <c r="AL327" s="1620"/>
      <c r="AM327" s="1620">
        <v>7.47</v>
      </c>
      <c r="AN327" s="1620">
        <v>1.45</v>
      </c>
      <c r="AO327" s="1620">
        <v>1.82</v>
      </c>
      <c r="AP327" s="1620">
        <v>6.07</v>
      </c>
      <c r="AQ327" s="1620">
        <v>1.29</v>
      </c>
      <c r="AR327" s="1620">
        <v>5.88</v>
      </c>
      <c r="AS327" s="1620">
        <v>8.6300000000000008</v>
      </c>
      <c r="AT327" s="1620">
        <v>2.15</v>
      </c>
      <c r="AU327" s="1620">
        <v>3</v>
      </c>
      <c r="AV327" s="1620">
        <v>2.75</v>
      </c>
      <c r="AW327" s="1620">
        <v>5.29</v>
      </c>
      <c r="AX327" s="1620"/>
      <c r="AY327" s="1620">
        <v>0.89</v>
      </c>
      <c r="AZ327" s="1620">
        <v>1.06</v>
      </c>
      <c r="BA327" s="1620">
        <v>1.04</v>
      </c>
      <c r="BB327" s="1620">
        <v>1.01</v>
      </c>
      <c r="BC327" s="1620">
        <v>1.08</v>
      </c>
      <c r="BD327" s="1620">
        <v>1.05</v>
      </c>
      <c r="BE327" s="1620">
        <v>1.0900000000000001</v>
      </c>
      <c r="BF327" s="1620">
        <v>1.05</v>
      </c>
      <c r="BG327" s="1620">
        <v>1.02</v>
      </c>
      <c r="BH327" s="1620">
        <v>1.1200000000000001</v>
      </c>
      <c r="BI327" s="1620">
        <v>1.05</v>
      </c>
      <c r="BJ327" s="1603"/>
      <c r="BK327" s="1620">
        <v>12.899999999999999</v>
      </c>
      <c r="BL327" s="1620">
        <v>1.2999999999999998</v>
      </c>
      <c r="BM327" s="1620">
        <v>8.5</v>
      </c>
      <c r="BN327" s="1620">
        <v>0</v>
      </c>
      <c r="BO327" s="1620"/>
      <c r="BP327" s="1620">
        <v>34</v>
      </c>
      <c r="BQ327" s="1620">
        <v>4.42</v>
      </c>
      <c r="BR327" s="1620">
        <v>1.4142640631049221</v>
      </c>
      <c r="BS327" s="1620">
        <v>1.3618387717996272</v>
      </c>
      <c r="BT327" s="1603"/>
      <c r="BU327" s="1620">
        <v>915</v>
      </c>
      <c r="BV327" s="1620">
        <v>760.03357142857089</v>
      </c>
      <c r="BW327" s="1620">
        <v>22.2214285714286</v>
      </c>
      <c r="BX327" s="1620">
        <v>0</v>
      </c>
      <c r="BY327" s="1620">
        <v>775</v>
      </c>
      <c r="BZ327" s="1620">
        <v>0</v>
      </c>
      <c r="CA327" s="1620">
        <v>0</v>
      </c>
      <c r="CB327" s="1603"/>
      <c r="CC327" s="1603">
        <v>5.3075000000000001</v>
      </c>
      <c r="CD327" s="1603">
        <v>5.79</v>
      </c>
      <c r="CE327" s="1603">
        <v>5.3075000000000001</v>
      </c>
      <c r="CF327" s="1603">
        <v>14.475</v>
      </c>
      <c r="CG327" s="1603">
        <v>21.23</v>
      </c>
      <c r="CH327" s="1603">
        <v>1.2544999999999997</v>
      </c>
      <c r="CI327" s="1603">
        <v>1.93</v>
      </c>
      <c r="CJ327" s="1603"/>
      <c r="CK327" s="1603">
        <v>3.86</v>
      </c>
      <c r="CL327" s="1603">
        <v>2.895</v>
      </c>
      <c r="CM327" s="1603">
        <v>1.93</v>
      </c>
      <c r="CN327" s="1603">
        <v>1.93</v>
      </c>
      <c r="CO327" s="1603">
        <v>0</v>
      </c>
      <c r="CP327" s="1603">
        <v>4.8250000000000001E-2</v>
      </c>
      <c r="CQ327" s="1603">
        <v>105.81225000000001</v>
      </c>
      <c r="CR327" s="1603">
        <v>77.531489953347716</v>
      </c>
      <c r="CS327" s="1603">
        <v>5.1545260465684164</v>
      </c>
      <c r="CT327" s="1603">
        <v>1.1916590005829544</v>
      </c>
      <c r="CU327" s="1603">
        <v>1.4675160418369655</v>
      </c>
      <c r="CV327" s="1603">
        <v>2.6591750424199199</v>
      </c>
      <c r="CW327" s="1603">
        <v>4.7532230545698884</v>
      </c>
      <c r="CX327" s="1603">
        <v>1.0801687180300403</v>
      </c>
      <c r="CY327" s="1603">
        <v>4.7867941897196884</v>
      </c>
      <c r="CZ327" s="1603">
        <v>7.2931546654415591</v>
      </c>
      <c r="DA327" s="1603">
        <v>1.7502733856968247</v>
      </c>
      <c r="DB327" s="1603">
        <v>2.3724635925724402</v>
      </c>
      <c r="DC327" s="1603">
        <v>2.3879698905631095</v>
      </c>
      <c r="DD327" s="1603">
        <v>4.7604334831355493</v>
      </c>
      <c r="DE327" s="1603">
        <v>4.3064866094586991</v>
      </c>
      <c r="DF327" s="1603">
        <v>0</v>
      </c>
      <c r="DG327" s="1603">
        <v>0</v>
      </c>
      <c r="DH327" s="1603">
        <v>0</v>
      </c>
      <c r="DI327" s="1603">
        <v>0</v>
      </c>
      <c r="DJ327" s="1603">
        <v>0</v>
      </c>
      <c r="DK327" s="1603">
        <v>0</v>
      </c>
      <c r="DL327" s="1603">
        <v>0</v>
      </c>
      <c r="DM327" s="1603">
        <v>0</v>
      </c>
      <c r="DN327" s="1603">
        <v>0</v>
      </c>
      <c r="DO327" s="1603">
        <v>0</v>
      </c>
      <c r="DP327" s="1603">
        <v>0</v>
      </c>
      <c r="DQ327" s="1603">
        <v>0</v>
      </c>
      <c r="DR327" s="1603">
        <v>0</v>
      </c>
      <c r="DS327" s="1603">
        <v>0</v>
      </c>
      <c r="DT327" s="1603">
        <v>0</v>
      </c>
      <c r="DU327" s="1603">
        <v>0</v>
      </c>
      <c r="DV327" s="1603">
        <v>0</v>
      </c>
      <c r="DW327" s="1618" t="s">
        <v>2975</v>
      </c>
      <c r="DX327" s="1605" t="s">
        <v>986</v>
      </c>
      <c r="DY327" s="1605" t="s">
        <v>986</v>
      </c>
      <c r="DZ327" s="1605">
        <v>3</v>
      </c>
      <c r="EA327" s="1605">
        <v>3</v>
      </c>
      <c r="EB327" s="1605" t="s">
        <v>986</v>
      </c>
      <c r="EC327" s="1605">
        <v>3</v>
      </c>
      <c r="ED327" s="1605">
        <v>1</v>
      </c>
      <c r="EE327" s="1605">
        <v>1</v>
      </c>
      <c r="EF327" s="1605">
        <v>1</v>
      </c>
      <c r="EG327" s="1605">
        <v>1</v>
      </c>
      <c r="EH327" s="1605" t="s">
        <v>986</v>
      </c>
      <c r="EI327" s="1605" t="s">
        <v>986</v>
      </c>
      <c r="EJ327" s="1605" t="s">
        <v>986</v>
      </c>
      <c r="EK327" s="1605" t="s">
        <v>986</v>
      </c>
      <c r="EL327" s="1605" t="s">
        <v>986</v>
      </c>
      <c r="EM327" s="1605" t="s">
        <v>986</v>
      </c>
      <c r="EN327" s="1605" t="s">
        <v>986</v>
      </c>
      <c r="EO327" s="1605" t="s">
        <v>986</v>
      </c>
      <c r="EP327" s="1605" t="s">
        <v>986</v>
      </c>
      <c r="EQ327" s="1605" t="s">
        <v>986</v>
      </c>
      <c r="ER327" s="1605" t="s">
        <v>986</v>
      </c>
      <c r="ES327" s="1605" t="s">
        <v>986</v>
      </c>
      <c r="ET327" s="1605" t="s">
        <v>986</v>
      </c>
      <c r="EU327" s="1605" t="s">
        <v>986</v>
      </c>
      <c r="EV327" s="1605" t="s">
        <v>986</v>
      </c>
      <c r="EW327" s="1605" t="s">
        <v>986</v>
      </c>
      <c r="EX327" s="1605" t="s">
        <v>986</v>
      </c>
      <c r="EY327" s="1605" t="s">
        <v>986</v>
      </c>
      <c r="EZ327" s="1605" t="s">
        <v>986</v>
      </c>
      <c r="FA327" s="1605" t="s">
        <v>986</v>
      </c>
      <c r="FB327" s="1605" t="s">
        <v>986</v>
      </c>
      <c r="FC327" s="1605" t="s">
        <v>986</v>
      </c>
      <c r="FD327" s="1605" t="s">
        <v>986</v>
      </c>
      <c r="FE327" s="1605" t="s">
        <v>986</v>
      </c>
      <c r="FF327" s="1605" t="s">
        <v>986</v>
      </c>
      <c r="FG327" s="1605" t="s">
        <v>986</v>
      </c>
      <c r="FH327" s="1605">
        <v>0.4</v>
      </c>
      <c r="FI327" s="1605">
        <v>1</v>
      </c>
      <c r="FJ327" s="1605" t="s">
        <v>986</v>
      </c>
      <c r="FK327" s="1605">
        <v>0.2</v>
      </c>
      <c r="FL327" s="1605" t="s">
        <v>986</v>
      </c>
      <c r="FM327" s="1605" t="s">
        <v>986</v>
      </c>
      <c r="FN327" s="1605">
        <v>2.2999999999999998</v>
      </c>
      <c r="FO327" s="1605" t="s">
        <v>986</v>
      </c>
      <c r="FP327" s="1605" t="s">
        <v>986</v>
      </c>
      <c r="FQ327" s="1605" t="s">
        <v>986</v>
      </c>
      <c r="FR327" s="1605" t="s">
        <v>986</v>
      </c>
      <c r="FS327" s="1605" t="s">
        <v>986</v>
      </c>
      <c r="FT327" s="1605" t="s">
        <v>986</v>
      </c>
      <c r="FU327" s="1605" t="s">
        <v>986</v>
      </c>
      <c r="FV327" s="1605" t="s">
        <v>986</v>
      </c>
      <c r="FW327" s="1605" t="s">
        <v>986</v>
      </c>
      <c r="FX327" s="1605" t="s">
        <v>986</v>
      </c>
      <c r="FY327" s="1605" t="s">
        <v>986</v>
      </c>
      <c r="FZ327" s="1605" t="s">
        <v>986</v>
      </c>
      <c r="GA327" s="1605" t="s">
        <v>986</v>
      </c>
      <c r="GB327" s="1605" t="s">
        <v>986</v>
      </c>
      <c r="GC327" s="1605" t="s">
        <v>986</v>
      </c>
      <c r="GD327" s="1605" t="s">
        <v>986</v>
      </c>
      <c r="GE327" s="1605" t="s">
        <v>986</v>
      </c>
      <c r="GF327" s="1605" t="s">
        <v>986</v>
      </c>
      <c r="GG327" s="1605" t="s">
        <v>986</v>
      </c>
      <c r="GH327" s="1605" t="s">
        <v>986</v>
      </c>
      <c r="GI327" s="1605" t="s">
        <v>986</v>
      </c>
      <c r="GJ327" s="1605" t="s">
        <v>986</v>
      </c>
      <c r="GK327" s="1605" t="s">
        <v>986</v>
      </c>
      <c r="GL327" s="1605" t="s">
        <v>986</v>
      </c>
      <c r="GM327" s="1605" t="s">
        <v>986</v>
      </c>
      <c r="GN327" s="1605" t="s">
        <v>1591</v>
      </c>
      <c r="GO327" s="1605" t="s">
        <v>1591</v>
      </c>
      <c r="GP327" s="1605" t="s">
        <v>1591</v>
      </c>
      <c r="GQ327" s="1605" t="s">
        <v>1591</v>
      </c>
      <c r="GR327" s="1605" t="s">
        <v>986</v>
      </c>
      <c r="GS327" s="1605" t="s">
        <v>1591</v>
      </c>
      <c r="GT327" s="1605" t="s">
        <v>1591</v>
      </c>
      <c r="GU327" s="1605" t="s">
        <v>1591</v>
      </c>
      <c r="GV327" s="1605" t="s">
        <v>1591</v>
      </c>
      <c r="GW327" s="1605" t="s">
        <v>986</v>
      </c>
      <c r="GX327" s="1605" t="s">
        <v>986</v>
      </c>
      <c r="GY327" s="1605" t="s">
        <v>986</v>
      </c>
      <c r="GZ327" s="1605" t="s">
        <v>986</v>
      </c>
      <c r="HA327" s="1605" t="s">
        <v>986</v>
      </c>
      <c r="HB327" s="1605" t="s">
        <v>986</v>
      </c>
      <c r="HC327" s="1605" t="s">
        <v>986</v>
      </c>
      <c r="HD327" s="1605" t="s">
        <v>986</v>
      </c>
      <c r="HE327" s="1605" t="s">
        <v>986</v>
      </c>
      <c r="HF327" s="1605" t="s">
        <v>986</v>
      </c>
      <c r="HG327" s="1605" t="s">
        <v>986</v>
      </c>
      <c r="HH327" s="1605" t="s">
        <v>986</v>
      </c>
      <c r="HI327" s="1605" t="s">
        <v>986</v>
      </c>
      <c r="HJ327" s="1605" t="s">
        <v>986</v>
      </c>
      <c r="HK327" s="1605" t="s">
        <v>986</v>
      </c>
      <c r="HL327" s="1605" t="s">
        <v>986</v>
      </c>
      <c r="HM327" s="1605" t="s">
        <v>986</v>
      </c>
      <c r="HN327" s="1605" t="s">
        <v>986</v>
      </c>
      <c r="HO327" s="1605" t="s">
        <v>986</v>
      </c>
      <c r="HP327" s="1605" t="s">
        <v>986</v>
      </c>
      <c r="HQ327" s="1605" t="s">
        <v>986</v>
      </c>
      <c r="HR327" s="1605" t="s">
        <v>986</v>
      </c>
      <c r="HS327" s="1605" t="s">
        <v>986</v>
      </c>
      <c r="HT327" s="1605" t="s">
        <v>986</v>
      </c>
      <c r="HU327" s="1605" t="s">
        <v>986</v>
      </c>
      <c r="HV327" s="1617"/>
      <c r="HW327" s="1617" t="s">
        <v>2974</v>
      </c>
      <c r="HX327" s="1617" t="s">
        <v>2973</v>
      </c>
      <c r="HY327" s="1617" t="s">
        <v>2972</v>
      </c>
      <c r="HZ327" s="1603"/>
      <c r="IA327" s="1603"/>
      <c r="IB327" s="1603"/>
      <c r="IC327" s="1603">
        <v>58</v>
      </c>
      <c r="ID327" s="1603">
        <v>58</v>
      </c>
      <c r="IE327" s="1603">
        <v>58</v>
      </c>
      <c r="IF327" s="1603">
        <v>58</v>
      </c>
      <c r="IG327" s="1611" t="s">
        <v>2971</v>
      </c>
      <c r="IH327" s="1616" t="s">
        <v>270</v>
      </c>
      <c r="II327" s="1615" t="s">
        <v>270</v>
      </c>
      <c r="IJ327" s="1613">
        <v>1.4479011581348671</v>
      </c>
      <c r="IK327" s="1613">
        <v>1.3889024529929432</v>
      </c>
      <c r="IL327" s="1614">
        <v>1.4479011581348671</v>
      </c>
      <c r="IM327" s="1614">
        <v>1.3889024529929432</v>
      </c>
      <c r="IN327" s="1612" t="s">
        <v>270</v>
      </c>
      <c r="IO327" s="1613" t="s">
        <v>270</v>
      </c>
      <c r="IP327" s="1607">
        <v>0.21485039001246067</v>
      </c>
      <c r="IQ327" s="1612" t="s">
        <v>270</v>
      </c>
      <c r="IR327" s="1612" t="s">
        <v>270</v>
      </c>
      <c r="IS327" s="1607">
        <v>1.274901158134867</v>
      </c>
      <c r="IT327" s="1607">
        <v>1.2159024529929432</v>
      </c>
      <c r="IU327" s="1611">
        <v>4.2957906751761835E-6</v>
      </c>
      <c r="IV327" s="1611">
        <v>2.1455522818454819E-2</v>
      </c>
      <c r="IW327" s="1611">
        <v>2.2996746996477467E-4</v>
      </c>
      <c r="IX327" s="1611">
        <v>1.5002102083254297E-3</v>
      </c>
      <c r="IY327" s="1611">
        <v>2.4179012168787492E-4</v>
      </c>
      <c r="IZ327" s="1611">
        <v>9.604160298277856E-3</v>
      </c>
      <c r="JA327" s="1611">
        <v>1.0164792257922844E-4</v>
      </c>
      <c r="JB327" s="1611">
        <v>1.0702575778330848E-3</v>
      </c>
      <c r="JC327" s="1611">
        <v>8.4677084426493229E-2</v>
      </c>
      <c r="JD327" s="1611">
        <v>9.4041766115102459E-4</v>
      </c>
      <c r="JE327" s="1611">
        <v>7.8240033857064943E-4</v>
      </c>
      <c r="JF327" s="1611">
        <v>3.9148426597786576E-4</v>
      </c>
      <c r="JG327" s="1611">
        <v>0.70865116111060789</v>
      </c>
      <c r="JH327" s="1611">
        <v>1.3561032283782511E-4</v>
      </c>
      <c r="JI327" s="1611">
        <v>0.2736223062637807</v>
      </c>
      <c r="JJ327" s="1611">
        <v>3.1640406315464205E-3</v>
      </c>
      <c r="JK327" s="1607">
        <f t="shared" ref="JK327:JK370" si="14">IFERROR(IF( IL327-IS327&gt; 0, IL327-IS327,""),"")</f>
        <v>0.17300000000000004</v>
      </c>
      <c r="JL327" s="1608" t="s">
        <v>270</v>
      </c>
      <c r="JM327" s="1610" t="s">
        <v>2924</v>
      </c>
      <c r="JN327" s="1608">
        <v>5.8998705141923846E-2</v>
      </c>
      <c r="JO327" s="1609" t="s">
        <v>2955</v>
      </c>
      <c r="JP327" s="1608" t="s">
        <v>270</v>
      </c>
      <c r="JQ327" s="1607">
        <v>201901</v>
      </c>
      <c r="JR327" s="1606">
        <v>1124</v>
      </c>
      <c r="JS327" s="1606" t="s">
        <v>270</v>
      </c>
      <c r="JT327" s="1606" t="s">
        <v>270</v>
      </c>
    </row>
    <row r="328" spans="1:280" ht="15" customHeight="1" x14ac:dyDescent="0.2">
      <c r="A328" s="1626">
        <v>94000</v>
      </c>
      <c r="B328" s="1625">
        <v>940</v>
      </c>
      <c r="C328" s="1624">
        <v>0</v>
      </c>
      <c r="D328" s="1623" t="s">
        <v>2970</v>
      </c>
      <c r="E328" s="1622">
        <v>43031</v>
      </c>
      <c r="F328" s="1620">
        <v>1E-8</v>
      </c>
      <c r="G328" s="1620">
        <v>1E-8</v>
      </c>
      <c r="H328" s="1621">
        <v>1E-8</v>
      </c>
      <c r="I328" s="1621">
        <v>1E-8</v>
      </c>
      <c r="J328" s="1621">
        <v>1E-8</v>
      </c>
      <c r="K328" s="1620">
        <v>1E-8</v>
      </c>
      <c r="L328" s="1620">
        <v>1E-8</v>
      </c>
      <c r="M328" s="1620">
        <v>1E-8</v>
      </c>
      <c r="N328" s="1620">
        <v>1E-8</v>
      </c>
      <c r="O328" s="1620">
        <v>1E-8</v>
      </c>
      <c r="P328" s="1620">
        <v>1E-8</v>
      </c>
      <c r="Q328" s="1603"/>
      <c r="R328" s="1620">
        <v>1E-8</v>
      </c>
      <c r="S328" s="1620">
        <v>1E-8</v>
      </c>
      <c r="T328" s="1620">
        <v>1E-8</v>
      </c>
      <c r="U328" s="1620">
        <v>1E-8</v>
      </c>
      <c r="V328" s="1620">
        <v>1E-8</v>
      </c>
      <c r="W328" s="1620">
        <v>1E-8</v>
      </c>
      <c r="X328" s="1620"/>
      <c r="Y328" s="1620">
        <v>1E-8</v>
      </c>
      <c r="Z328" s="1620">
        <v>1E-8</v>
      </c>
      <c r="AA328" s="1620">
        <v>1E-8</v>
      </c>
      <c r="AB328" s="1620">
        <v>1E-8</v>
      </c>
      <c r="AC328" s="1620">
        <v>1E-8</v>
      </c>
      <c r="AD328" s="1620">
        <v>1E-8</v>
      </c>
      <c r="AE328" s="1620">
        <v>1E-8</v>
      </c>
      <c r="AF328" s="1620">
        <v>1E-8</v>
      </c>
      <c r="AG328" s="1620">
        <v>1E-8</v>
      </c>
      <c r="AH328" s="1620">
        <v>1E-8</v>
      </c>
      <c r="AI328" s="1620">
        <v>1E-8</v>
      </c>
      <c r="AJ328" s="1620">
        <v>1E-8</v>
      </c>
      <c r="AK328" s="1620">
        <v>1E-8</v>
      </c>
      <c r="AL328" s="1620"/>
      <c r="AM328" s="1620">
        <v>1E-8</v>
      </c>
      <c r="AN328" s="1620">
        <v>1E-8</v>
      </c>
      <c r="AO328" s="1620">
        <v>1E-8</v>
      </c>
      <c r="AP328" s="1620">
        <v>1E-8</v>
      </c>
      <c r="AQ328" s="1620">
        <v>1E-8</v>
      </c>
      <c r="AR328" s="1620">
        <v>1E-8</v>
      </c>
      <c r="AS328" s="1620">
        <v>1E-8</v>
      </c>
      <c r="AT328" s="1620">
        <v>1E-8</v>
      </c>
      <c r="AU328" s="1620">
        <v>1E-8</v>
      </c>
      <c r="AV328" s="1620">
        <v>1E-8</v>
      </c>
      <c r="AW328" s="1620">
        <v>1E-8</v>
      </c>
      <c r="AX328" s="1620"/>
      <c r="AY328" s="1620">
        <v>1E-8</v>
      </c>
      <c r="AZ328" s="1620">
        <v>1E-8</v>
      </c>
      <c r="BA328" s="1620">
        <v>1E-8</v>
      </c>
      <c r="BB328" s="1620">
        <v>1E-8</v>
      </c>
      <c r="BC328" s="1620">
        <v>1E-8</v>
      </c>
      <c r="BD328" s="1620">
        <v>1E-8</v>
      </c>
      <c r="BE328" s="1620">
        <v>1E-8</v>
      </c>
      <c r="BF328" s="1620">
        <v>1E-8</v>
      </c>
      <c r="BG328" s="1620">
        <v>1E-8</v>
      </c>
      <c r="BH328" s="1620">
        <v>1E-8</v>
      </c>
      <c r="BI328" s="1620">
        <v>1E-8</v>
      </c>
      <c r="BJ328" s="1603"/>
      <c r="BK328" s="1620">
        <v>1E-8</v>
      </c>
      <c r="BL328" s="1620">
        <v>1E-8</v>
      </c>
      <c r="BM328" s="1620">
        <v>1E-8</v>
      </c>
      <c r="BN328" s="1620">
        <v>1E-8</v>
      </c>
      <c r="BO328" s="1620"/>
      <c r="BP328" s="1620">
        <v>1E-8</v>
      </c>
      <c r="BQ328" s="1620">
        <v>1E-8</v>
      </c>
      <c r="BR328" s="1620">
        <v>1E-8</v>
      </c>
      <c r="BS328" s="1620">
        <v>1E-8</v>
      </c>
      <c r="BT328" s="1603"/>
      <c r="BU328" s="1620">
        <v>1E-8</v>
      </c>
      <c r="BV328" s="1620">
        <v>1E-8</v>
      </c>
      <c r="BW328" s="1620">
        <v>1E-8</v>
      </c>
      <c r="BX328" s="1620">
        <v>1E-8</v>
      </c>
      <c r="BY328" s="1620">
        <v>1E-8</v>
      </c>
      <c r="BZ328" s="1620">
        <v>1E-8</v>
      </c>
      <c r="CA328" s="1620">
        <v>1E-8</v>
      </c>
      <c r="CB328" s="1603"/>
      <c r="CC328" s="1603">
        <v>1.0000000000000001E-18</v>
      </c>
      <c r="CD328" s="1603">
        <v>1.0000000000000001E-18</v>
      </c>
      <c r="CE328" s="1603">
        <v>1.0000000000000001E-18</v>
      </c>
      <c r="CF328" s="1603">
        <v>1.0000000000000001E-18</v>
      </c>
      <c r="CG328" s="1603">
        <v>1.0000000000000001E-18</v>
      </c>
      <c r="CH328" s="1603">
        <v>1.0000000000000001E-18</v>
      </c>
      <c r="CI328" s="1603">
        <v>1.0000000000000001E-18</v>
      </c>
      <c r="CJ328" s="1603"/>
      <c r="CK328" s="1603">
        <v>1.0000000000000001E-18</v>
      </c>
      <c r="CL328" s="1603">
        <v>1.0000000000000001E-18</v>
      </c>
      <c r="CM328" s="1603">
        <v>1.0000000000000001E-18</v>
      </c>
      <c r="CN328" s="1603">
        <v>1.0000000000000001E-18</v>
      </c>
      <c r="CO328" s="1603">
        <v>1.0000000000000001E-18</v>
      </c>
      <c r="CP328" s="1603">
        <v>1.0000000000000001E-18</v>
      </c>
      <c r="CQ328" s="1603">
        <v>9.9999999999999995E-8</v>
      </c>
      <c r="CR328" s="1603">
        <v>1E-8</v>
      </c>
      <c r="CS328" s="1603">
        <v>1E-8</v>
      </c>
      <c r="CT328" s="1603">
        <v>1E-8</v>
      </c>
      <c r="CU328" s="1603">
        <v>1E-8</v>
      </c>
      <c r="CV328" s="1603">
        <v>1E-8</v>
      </c>
      <c r="CW328" s="1603">
        <v>1E-8</v>
      </c>
      <c r="CX328" s="1603">
        <v>1E-8</v>
      </c>
      <c r="CY328" s="1603">
        <v>1E-8</v>
      </c>
      <c r="CZ328" s="1603">
        <v>1E-8</v>
      </c>
      <c r="DA328" s="1603">
        <v>1E-8</v>
      </c>
      <c r="DB328" s="1603">
        <v>1E-8</v>
      </c>
      <c r="DC328" s="1603">
        <v>1E-8</v>
      </c>
      <c r="DD328" s="1603">
        <v>1E-8</v>
      </c>
      <c r="DE328" s="1603">
        <v>1E-8</v>
      </c>
      <c r="DF328" s="1603">
        <v>1E-8</v>
      </c>
      <c r="DG328" s="1603">
        <v>1E-8</v>
      </c>
      <c r="DH328" s="1619">
        <v>1E-8</v>
      </c>
      <c r="DI328" s="1603">
        <v>1E-8</v>
      </c>
      <c r="DJ328" s="1603">
        <v>1E-8</v>
      </c>
      <c r="DK328" s="1603">
        <v>1E-8</v>
      </c>
      <c r="DL328" s="1603">
        <v>1E-8</v>
      </c>
      <c r="DM328" s="1603">
        <v>1E-8</v>
      </c>
      <c r="DN328" s="1603">
        <v>1E-8</v>
      </c>
      <c r="DO328" s="1603">
        <v>1E-8</v>
      </c>
      <c r="DP328" s="1603">
        <v>1E-8</v>
      </c>
      <c r="DQ328" s="1603">
        <v>1E-8</v>
      </c>
      <c r="DR328" s="1603">
        <v>1E-8</v>
      </c>
      <c r="DS328" s="1603">
        <v>1E-8</v>
      </c>
      <c r="DT328" s="1603">
        <v>1E-8</v>
      </c>
      <c r="DU328" s="1603">
        <v>1E-8</v>
      </c>
      <c r="DV328" s="1603">
        <v>1E-8</v>
      </c>
      <c r="DW328" s="1618" t="s">
        <v>986</v>
      </c>
      <c r="DX328" s="1605" t="s">
        <v>986</v>
      </c>
      <c r="DY328" s="1605" t="s">
        <v>986</v>
      </c>
      <c r="DZ328" s="1605" t="s">
        <v>986</v>
      </c>
      <c r="EA328" s="1605" t="s">
        <v>986</v>
      </c>
      <c r="EB328" s="1605" t="s">
        <v>986</v>
      </c>
      <c r="EC328" s="1605" t="s">
        <v>986</v>
      </c>
      <c r="ED328" s="1605" t="s">
        <v>986</v>
      </c>
      <c r="EE328" s="1605" t="s">
        <v>986</v>
      </c>
      <c r="EF328" s="1605" t="s">
        <v>986</v>
      </c>
      <c r="EG328" s="1605" t="s">
        <v>986</v>
      </c>
      <c r="EH328" s="1605" t="s">
        <v>986</v>
      </c>
      <c r="EI328" s="1605" t="s">
        <v>986</v>
      </c>
      <c r="EJ328" s="1605" t="s">
        <v>986</v>
      </c>
      <c r="EK328" s="1605" t="s">
        <v>986</v>
      </c>
      <c r="EL328" s="1605" t="s">
        <v>986</v>
      </c>
      <c r="EM328" s="1605" t="s">
        <v>986</v>
      </c>
      <c r="EN328" s="1605" t="s">
        <v>986</v>
      </c>
      <c r="EO328" s="1605" t="s">
        <v>986</v>
      </c>
      <c r="EP328" s="1605" t="s">
        <v>986</v>
      </c>
      <c r="EQ328" s="1605" t="s">
        <v>986</v>
      </c>
      <c r="ER328" s="1605" t="s">
        <v>986</v>
      </c>
      <c r="ES328" s="1605" t="s">
        <v>986</v>
      </c>
      <c r="ET328" s="1605" t="s">
        <v>986</v>
      </c>
      <c r="EU328" s="1605" t="s">
        <v>986</v>
      </c>
      <c r="EV328" s="1605" t="s">
        <v>986</v>
      </c>
      <c r="EW328" s="1605" t="s">
        <v>986</v>
      </c>
      <c r="EX328" s="1605" t="s">
        <v>986</v>
      </c>
      <c r="EY328" s="1605" t="s">
        <v>986</v>
      </c>
      <c r="EZ328" s="1605" t="s">
        <v>986</v>
      </c>
      <c r="FA328" s="1605" t="s">
        <v>986</v>
      </c>
      <c r="FB328" s="1605" t="s">
        <v>986</v>
      </c>
      <c r="FC328" s="1605" t="s">
        <v>986</v>
      </c>
      <c r="FD328" s="1605" t="s">
        <v>986</v>
      </c>
      <c r="FE328" s="1605" t="s">
        <v>986</v>
      </c>
      <c r="FF328" s="1605" t="s">
        <v>986</v>
      </c>
      <c r="FG328" s="1605" t="s">
        <v>986</v>
      </c>
      <c r="FH328" s="1605" t="s">
        <v>986</v>
      </c>
      <c r="FI328" s="1605" t="s">
        <v>986</v>
      </c>
      <c r="FJ328" s="1605" t="s">
        <v>986</v>
      </c>
      <c r="FK328" s="1605" t="s">
        <v>986</v>
      </c>
      <c r="FL328" s="1605" t="s">
        <v>986</v>
      </c>
      <c r="FM328" s="1605" t="s">
        <v>986</v>
      </c>
      <c r="FN328" s="1605" t="s">
        <v>986</v>
      </c>
      <c r="FO328" s="1605" t="s">
        <v>986</v>
      </c>
      <c r="FP328" s="1605" t="s">
        <v>986</v>
      </c>
      <c r="FQ328" s="1605" t="s">
        <v>986</v>
      </c>
      <c r="FR328" s="1605" t="s">
        <v>986</v>
      </c>
      <c r="FS328" s="1605" t="s">
        <v>986</v>
      </c>
      <c r="FT328" s="1605" t="s">
        <v>986</v>
      </c>
      <c r="FU328" s="1605" t="s">
        <v>986</v>
      </c>
      <c r="FV328" s="1605" t="s">
        <v>986</v>
      </c>
      <c r="FW328" s="1605" t="s">
        <v>986</v>
      </c>
      <c r="FX328" s="1605" t="s">
        <v>986</v>
      </c>
      <c r="FY328" s="1605" t="s">
        <v>986</v>
      </c>
      <c r="FZ328" s="1605" t="s">
        <v>986</v>
      </c>
      <c r="GA328" s="1605" t="s">
        <v>986</v>
      </c>
      <c r="GB328" s="1605" t="s">
        <v>986</v>
      </c>
      <c r="GC328" s="1605" t="s">
        <v>986</v>
      </c>
      <c r="GD328" s="1605" t="s">
        <v>986</v>
      </c>
      <c r="GE328" s="1605" t="s">
        <v>986</v>
      </c>
      <c r="GF328" s="1605" t="s">
        <v>986</v>
      </c>
      <c r="GG328" s="1605" t="s">
        <v>986</v>
      </c>
      <c r="GH328" s="1605" t="s">
        <v>986</v>
      </c>
      <c r="GI328" s="1605" t="s">
        <v>986</v>
      </c>
      <c r="GJ328" s="1605" t="s">
        <v>986</v>
      </c>
      <c r="GK328" s="1605" t="s">
        <v>986</v>
      </c>
      <c r="GL328" s="1605" t="s">
        <v>986</v>
      </c>
      <c r="GM328" s="1605" t="s">
        <v>986</v>
      </c>
      <c r="GN328" s="1605" t="s">
        <v>986</v>
      </c>
      <c r="GO328" s="1605" t="s">
        <v>986</v>
      </c>
      <c r="GP328" s="1605" t="s">
        <v>986</v>
      </c>
      <c r="GQ328" s="1605" t="s">
        <v>986</v>
      </c>
      <c r="GR328" s="1605" t="s">
        <v>986</v>
      </c>
      <c r="GS328" s="1605" t="s">
        <v>986</v>
      </c>
      <c r="GT328" s="1605" t="s">
        <v>986</v>
      </c>
      <c r="GU328" s="1605" t="s">
        <v>986</v>
      </c>
      <c r="GV328" s="1605" t="s">
        <v>986</v>
      </c>
      <c r="GW328" s="1605" t="s">
        <v>986</v>
      </c>
      <c r="GX328" s="1605" t="s">
        <v>986</v>
      </c>
      <c r="GY328" s="1605" t="s">
        <v>986</v>
      </c>
      <c r="GZ328" s="1605" t="s">
        <v>986</v>
      </c>
      <c r="HA328" s="1605" t="s">
        <v>986</v>
      </c>
      <c r="HB328" s="1605" t="s">
        <v>986</v>
      </c>
      <c r="HC328" s="1605" t="s">
        <v>986</v>
      </c>
      <c r="HD328" s="1605" t="s">
        <v>986</v>
      </c>
      <c r="HE328" s="1605" t="s">
        <v>986</v>
      </c>
      <c r="HF328" s="1605" t="s">
        <v>986</v>
      </c>
      <c r="HG328" s="1605" t="s">
        <v>986</v>
      </c>
      <c r="HH328" s="1605" t="s">
        <v>986</v>
      </c>
      <c r="HI328" s="1605" t="s">
        <v>986</v>
      </c>
      <c r="HJ328" s="1605" t="s">
        <v>986</v>
      </c>
      <c r="HK328" s="1605" t="s">
        <v>986</v>
      </c>
      <c r="HL328" s="1605" t="s">
        <v>986</v>
      </c>
      <c r="HM328" s="1605" t="s">
        <v>986</v>
      </c>
      <c r="HN328" s="1605" t="s">
        <v>986</v>
      </c>
      <c r="HO328" s="1605" t="s">
        <v>986</v>
      </c>
      <c r="HP328" s="1605" t="s">
        <v>986</v>
      </c>
      <c r="HQ328" s="1605" t="s">
        <v>986</v>
      </c>
      <c r="HR328" s="1605" t="s">
        <v>986</v>
      </c>
      <c r="HS328" s="1605" t="s">
        <v>986</v>
      </c>
      <c r="HT328" s="1605" t="s">
        <v>986</v>
      </c>
      <c r="HU328" s="1605" t="s">
        <v>986</v>
      </c>
      <c r="HV328" s="1617"/>
      <c r="HW328" s="1617">
        <v>0</v>
      </c>
      <c r="HX328" s="1617">
        <v>0</v>
      </c>
      <c r="HY328" s="1617">
        <v>0</v>
      </c>
      <c r="HZ328" s="1603"/>
      <c r="IA328" s="1603"/>
      <c r="IB328" s="1603"/>
      <c r="IC328" s="1603">
        <v>9.9999999999999995E-8</v>
      </c>
      <c r="ID328" s="1603">
        <v>9.9999999999999995E-8</v>
      </c>
      <c r="IE328" s="1603">
        <v>9.9999999999999995E-8</v>
      </c>
      <c r="IF328" s="1603">
        <v>9.9999999999999995E-8</v>
      </c>
      <c r="IG328" s="1611" t="s">
        <v>270</v>
      </c>
      <c r="IH328" s="1616" t="s">
        <v>270</v>
      </c>
      <c r="II328" s="1615" t="s">
        <v>270</v>
      </c>
      <c r="IJ328" s="1613">
        <v>0</v>
      </c>
      <c r="IK328" s="1613">
        <v>0</v>
      </c>
      <c r="IL328" s="1614">
        <v>0</v>
      </c>
      <c r="IM328" s="1614">
        <v>0</v>
      </c>
      <c r="IN328" s="1612">
        <v>0</v>
      </c>
      <c r="IO328" s="1613">
        <v>0</v>
      </c>
      <c r="IP328" s="1607" t="s">
        <v>270</v>
      </c>
      <c r="IQ328" s="1612" t="s">
        <v>270</v>
      </c>
      <c r="IR328" s="1612" t="s">
        <v>270</v>
      </c>
      <c r="IS328" s="1607" t="s">
        <v>270</v>
      </c>
      <c r="IT328" s="1607" t="s">
        <v>270</v>
      </c>
      <c r="IU328" s="1611" t="s">
        <v>270</v>
      </c>
      <c r="IV328" s="1611" t="s">
        <v>270</v>
      </c>
      <c r="IW328" s="1611" t="s">
        <v>270</v>
      </c>
      <c r="IX328" s="1611" t="s">
        <v>270</v>
      </c>
      <c r="IY328" s="1611" t="s">
        <v>270</v>
      </c>
      <c r="IZ328" s="1611" t="s">
        <v>270</v>
      </c>
      <c r="JA328" s="1611" t="s">
        <v>270</v>
      </c>
      <c r="JB328" s="1611" t="s">
        <v>270</v>
      </c>
      <c r="JC328" s="1611" t="s">
        <v>270</v>
      </c>
      <c r="JD328" s="1611" t="s">
        <v>270</v>
      </c>
      <c r="JE328" s="1611" t="s">
        <v>270</v>
      </c>
      <c r="JF328" s="1611" t="s">
        <v>270</v>
      </c>
      <c r="JG328" s="1611" t="s">
        <v>270</v>
      </c>
      <c r="JH328" s="1611" t="s">
        <v>270</v>
      </c>
      <c r="JI328" s="1611" t="s">
        <v>270</v>
      </c>
      <c r="JJ328" s="1611" t="s">
        <v>270</v>
      </c>
      <c r="JK328" s="1607" t="str">
        <f t="shared" si="14"/>
        <v/>
      </c>
      <c r="JL328" s="1608" t="s">
        <v>2946</v>
      </c>
      <c r="JM328" s="1610" t="s">
        <v>2945</v>
      </c>
      <c r="JN328" s="1608" t="s">
        <v>270</v>
      </c>
      <c r="JO328" s="1609" t="s">
        <v>270</v>
      </c>
      <c r="JP328" s="1608">
        <v>0</v>
      </c>
      <c r="JQ328" s="1607" t="s">
        <v>270</v>
      </c>
      <c r="JR328" s="1606" t="s">
        <v>270</v>
      </c>
      <c r="JS328" s="1606" t="s">
        <v>270</v>
      </c>
      <c r="JT328" s="1606" t="s">
        <v>270</v>
      </c>
    </row>
    <row r="329" spans="1:280" ht="15" customHeight="1" x14ac:dyDescent="0.2">
      <c r="A329" s="1626">
        <v>88620</v>
      </c>
      <c r="B329" s="1625">
        <v>886</v>
      </c>
      <c r="C329" s="1624">
        <v>20</v>
      </c>
      <c r="D329" s="1623" t="s">
        <v>2969</v>
      </c>
      <c r="E329" s="1622">
        <v>43031</v>
      </c>
      <c r="F329" s="1620">
        <v>3.78963392452575</v>
      </c>
      <c r="G329" s="1620">
        <v>3.6383912159740301</v>
      </c>
      <c r="H329" s="1621">
        <v>97</v>
      </c>
      <c r="I329" s="1621">
        <v>97</v>
      </c>
      <c r="J329" s="1621">
        <v>90</v>
      </c>
      <c r="K329" s="1620">
        <v>1</v>
      </c>
      <c r="L329" s="1620">
        <v>99</v>
      </c>
      <c r="M329" s="1620">
        <v>1E-4</v>
      </c>
      <c r="N329" s="1620">
        <v>99</v>
      </c>
      <c r="O329" s="1620">
        <v>0</v>
      </c>
      <c r="P329" s="1620">
        <v>0</v>
      </c>
      <c r="Q329" s="1603"/>
      <c r="R329" s="1620">
        <v>0</v>
      </c>
      <c r="S329" s="1620">
        <v>0</v>
      </c>
      <c r="T329" s="1620">
        <v>0</v>
      </c>
      <c r="U329" s="1620">
        <v>0</v>
      </c>
      <c r="V329" s="1620">
        <v>0</v>
      </c>
      <c r="W329" s="1620">
        <v>0</v>
      </c>
      <c r="X329" s="1620"/>
      <c r="Y329" s="1620">
        <v>0</v>
      </c>
      <c r="Z329" s="1620">
        <v>0</v>
      </c>
      <c r="AA329" s="1620">
        <v>0</v>
      </c>
      <c r="AB329" s="1620">
        <v>0</v>
      </c>
      <c r="AC329" s="1620">
        <v>0</v>
      </c>
      <c r="AD329" s="1620">
        <v>0</v>
      </c>
      <c r="AE329" s="1620">
        <v>0</v>
      </c>
      <c r="AF329" s="1620">
        <v>0</v>
      </c>
      <c r="AG329" s="1620">
        <v>0</v>
      </c>
      <c r="AH329" s="1620">
        <v>0</v>
      </c>
      <c r="AI329" s="1620">
        <v>0</v>
      </c>
      <c r="AJ329" s="1620">
        <v>0</v>
      </c>
      <c r="AK329" s="1620">
        <v>0</v>
      </c>
      <c r="AL329" s="1620"/>
      <c r="AM329" s="1620">
        <v>0</v>
      </c>
      <c r="AN329" s="1620">
        <v>0</v>
      </c>
      <c r="AO329" s="1620">
        <v>0</v>
      </c>
      <c r="AP329" s="1620">
        <v>0</v>
      </c>
      <c r="AQ329" s="1620">
        <v>0</v>
      </c>
      <c r="AR329" s="1620">
        <v>0</v>
      </c>
      <c r="AS329" s="1620">
        <v>0</v>
      </c>
      <c r="AT329" s="1620">
        <v>0</v>
      </c>
      <c r="AU329" s="1620">
        <v>0</v>
      </c>
      <c r="AV329" s="1620">
        <v>0</v>
      </c>
      <c r="AW329" s="1620">
        <v>0</v>
      </c>
      <c r="AX329" s="1620"/>
      <c r="AY329" s="1620">
        <v>0</v>
      </c>
      <c r="AZ329" s="1620">
        <v>0</v>
      </c>
      <c r="BA329" s="1620">
        <v>0</v>
      </c>
      <c r="BB329" s="1620">
        <v>0</v>
      </c>
      <c r="BC329" s="1620">
        <v>0</v>
      </c>
      <c r="BD329" s="1620">
        <v>0</v>
      </c>
      <c r="BE329" s="1620">
        <v>0</v>
      </c>
      <c r="BF329" s="1620">
        <v>0</v>
      </c>
      <c r="BG329" s="1620">
        <v>0</v>
      </c>
      <c r="BH329" s="1620">
        <v>0</v>
      </c>
      <c r="BI329" s="1620">
        <v>0</v>
      </c>
      <c r="BJ329" s="1603"/>
      <c r="BK329" s="1620">
        <v>1.0101010101010101E-4</v>
      </c>
      <c r="BL329" s="1620">
        <v>100</v>
      </c>
      <c r="BM329" s="1620">
        <v>0</v>
      </c>
      <c r="BN329" s="1620">
        <v>0</v>
      </c>
      <c r="BO329" s="1620"/>
      <c r="BP329" s="1620">
        <v>56</v>
      </c>
      <c r="BQ329" s="1620">
        <v>560</v>
      </c>
      <c r="BR329" s="1620">
        <v>3.8279130550765155</v>
      </c>
      <c r="BS329" s="1620">
        <v>3.67514264239801</v>
      </c>
      <c r="BT329" s="1603"/>
      <c r="BU329" s="1620">
        <v>1000</v>
      </c>
      <c r="BV329" s="1620">
        <v>-9.1919191907823233E-4</v>
      </c>
      <c r="BW329" s="1620">
        <v>0</v>
      </c>
      <c r="BX329" s="1620">
        <v>0</v>
      </c>
      <c r="BY329" s="1620">
        <v>0</v>
      </c>
      <c r="BZ329" s="1620">
        <v>0</v>
      </c>
      <c r="CA329" s="1620">
        <v>0</v>
      </c>
      <c r="CB329" s="1603"/>
      <c r="CC329" s="1603">
        <v>0</v>
      </c>
      <c r="CD329" s="1603">
        <v>0</v>
      </c>
      <c r="CE329" s="1603">
        <v>0</v>
      </c>
      <c r="CF329" s="1603">
        <v>0</v>
      </c>
      <c r="CG329" s="1603">
        <v>0</v>
      </c>
      <c r="CH329" s="1603">
        <v>0</v>
      </c>
      <c r="CI329" s="1603">
        <v>0</v>
      </c>
      <c r="CJ329" s="1603"/>
      <c r="CK329" s="1603">
        <v>0</v>
      </c>
      <c r="CL329" s="1603">
        <v>0</v>
      </c>
      <c r="CM329" s="1603">
        <v>0</v>
      </c>
      <c r="CN329" s="1603">
        <v>0</v>
      </c>
      <c r="CO329" s="1603">
        <v>0</v>
      </c>
      <c r="CP329" s="1603">
        <v>0</v>
      </c>
      <c r="CQ329" s="1603">
        <v>0</v>
      </c>
      <c r="CR329" s="1603">
        <v>0</v>
      </c>
      <c r="CS329" s="1603">
        <v>0</v>
      </c>
      <c r="CT329" s="1603">
        <v>0</v>
      </c>
      <c r="CU329" s="1603">
        <v>0</v>
      </c>
      <c r="CV329" s="1603">
        <v>0</v>
      </c>
      <c r="CW329" s="1603">
        <v>0</v>
      </c>
      <c r="CX329" s="1603">
        <v>0</v>
      </c>
      <c r="CY329" s="1603">
        <v>0</v>
      </c>
      <c r="CZ329" s="1603">
        <v>0</v>
      </c>
      <c r="DA329" s="1603">
        <v>0</v>
      </c>
      <c r="DB329" s="1603">
        <v>0</v>
      </c>
      <c r="DC329" s="1603">
        <v>0</v>
      </c>
      <c r="DD329" s="1603">
        <v>0</v>
      </c>
      <c r="DE329" s="1603">
        <v>0</v>
      </c>
      <c r="DF329" s="1603">
        <v>0</v>
      </c>
      <c r="DG329" s="1603">
        <v>0</v>
      </c>
      <c r="DH329" s="1619">
        <v>0</v>
      </c>
      <c r="DI329" s="1603">
        <v>0</v>
      </c>
      <c r="DJ329" s="1603">
        <v>0</v>
      </c>
      <c r="DK329" s="1603">
        <v>0</v>
      </c>
      <c r="DL329" s="1603">
        <v>0</v>
      </c>
      <c r="DM329" s="1603">
        <v>0</v>
      </c>
      <c r="DN329" s="1603">
        <v>0</v>
      </c>
      <c r="DO329" s="1603">
        <v>0</v>
      </c>
      <c r="DP329" s="1603">
        <v>0</v>
      </c>
      <c r="DQ329" s="1603">
        <v>0</v>
      </c>
      <c r="DR329" s="1603">
        <v>0</v>
      </c>
      <c r="DS329" s="1603">
        <v>0</v>
      </c>
      <c r="DT329" s="1603">
        <v>0</v>
      </c>
      <c r="DU329" s="1603">
        <v>0</v>
      </c>
      <c r="DV329" s="1603">
        <v>0</v>
      </c>
      <c r="DW329" s="1618" t="s">
        <v>986</v>
      </c>
      <c r="DX329" s="1605" t="s">
        <v>986</v>
      </c>
      <c r="DY329" s="1605" t="s">
        <v>986</v>
      </c>
      <c r="DZ329" s="1605" t="s">
        <v>986</v>
      </c>
      <c r="EA329" s="1605" t="s">
        <v>986</v>
      </c>
      <c r="EB329" s="1605" t="s">
        <v>986</v>
      </c>
      <c r="EC329" s="1605" t="s">
        <v>986</v>
      </c>
      <c r="ED329" s="1605" t="s">
        <v>986</v>
      </c>
      <c r="EE329" s="1605" t="s">
        <v>986</v>
      </c>
      <c r="EF329" s="1605" t="s">
        <v>986</v>
      </c>
      <c r="EG329" s="1605" t="s">
        <v>986</v>
      </c>
      <c r="EH329" s="1605" t="s">
        <v>986</v>
      </c>
      <c r="EI329" s="1605" t="s">
        <v>986</v>
      </c>
      <c r="EJ329" s="1605" t="s">
        <v>986</v>
      </c>
      <c r="EK329" s="1605" t="s">
        <v>986</v>
      </c>
      <c r="EL329" s="1605" t="s">
        <v>986</v>
      </c>
      <c r="EM329" s="1605" t="s">
        <v>986</v>
      </c>
      <c r="EN329" s="1605" t="s">
        <v>986</v>
      </c>
      <c r="EO329" s="1605" t="s">
        <v>986</v>
      </c>
      <c r="EP329" s="1605" t="s">
        <v>986</v>
      </c>
      <c r="EQ329" s="1605" t="s">
        <v>986</v>
      </c>
      <c r="ER329" s="1605" t="s">
        <v>986</v>
      </c>
      <c r="ES329" s="1605" t="s">
        <v>986</v>
      </c>
      <c r="ET329" s="1605" t="s">
        <v>986</v>
      </c>
      <c r="EU329" s="1605" t="s">
        <v>986</v>
      </c>
      <c r="EV329" s="1605" t="s">
        <v>986</v>
      </c>
      <c r="EW329" s="1605" t="s">
        <v>986</v>
      </c>
      <c r="EX329" s="1605" t="s">
        <v>986</v>
      </c>
      <c r="EY329" s="1605" t="s">
        <v>986</v>
      </c>
      <c r="EZ329" s="1605" t="s">
        <v>986</v>
      </c>
      <c r="FA329" s="1605" t="s">
        <v>986</v>
      </c>
      <c r="FB329" s="1605" t="s">
        <v>986</v>
      </c>
      <c r="FC329" s="1605" t="s">
        <v>986</v>
      </c>
      <c r="FD329" s="1605" t="s">
        <v>986</v>
      </c>
      <c r="FE329" s="1605" t="s">
        <v>986</v>
      </c>
      <c r="FF329" s="1605" t="s">
        <v>986</v>
      </c>
      <c r="FG329" s="1605" t="s">
        <v>986</v>
      </c>
      <c r="FH329" s="1605" t="s">
        <v>986</v>
      </c>
      <c r="FI329" s="1605" t="s">
        <v>986</v>
      </c>
      <c r="FJ329" s="1605" t="s">
        <v>986</v>
      </c>
      <c r="FK329" s="1605" t="s">
        <v>986</v>
      </c>
      <c r="FL329" s="1605" t="s">
        <v>986</v>
      </c>
      <c r="FM329" s="1605" t="s">
        <v>986</v>
      </c>
      <c r="FN329" s="1605" t="s">
        <v>986</v>
      </c>
      <c r="FO329" s="1605" t="s">
        <v>986</v>
      </c>
      <c r="FP329" s="1605" t="s">
        <v>986</v>
      </c>
      <c r="FQ329" s="1605" t="s">
        <v>986</v>
      </c>
      <c r="FR329" s="1605" t="s">
        <v>986</v>
      </c>
      <c r="FS329" s="1605" t="s">
        <v>986</v>
      </c>
      <c r="FT329" s="1605" t="s">
        <v>986</v>
      </c>
      <c r="FU329" s="1605" t="s">
        <v>986</v>
      </c>
      <c r="FV329" s="1605" t="s">
        <v>986</v>
      </c>
      <c r="FW329" s="1605" t="s">
        <v>986</v>
      </c>
      <c r="FX329" s="1605" t="s">
        <v>986</v>
      </c>
      <c r="FY329" s="1605" t="s">
        <v>986</v>
      </c>
      <c r="FZ329" s="1605" t="s">
        <v>986</v>
      </c>
      <c r="GA329" s="1605" t="s">
        <v>986</v>
      </c>
      <c r="GB329" s="1605" t="s">
        <v>986</v>
      </c>
      <c r="GC329" s="1605" t="s">
        <v>986</v>
      </c>
      <c r="GD329" s="1605" t="s">
        <v>986</v>
      </c>
      <c r="GE329" s="1605" t="s">
        <v>986</v>
      </c>
      <c r="GF329" s="1605" t="s">
        <v>986</v>
      </c>
      <c r="GG329" s="1605" t="s">
        <v>986</v>
      </c>
      <c r="GH329" s="1605" t="s">
        <v>986</v>
      </c>
      <c r="GI329" s="1605" t="s">
        <v>986</v>
      </c>
      <c r="GJ329" s="1605" t="s">
        <v>986</v>
      </c>
      <c r="GK329" s="1605" t="s">
        <v>986</v>
      </c>
      <c r="GL329" s="1605" t="s">
        <v>986</v>
      </c>
      <c r="GM329" s="1605" t="s">
        <v>986</v>
      </c>
      <c r="GN329" s="1605" t="s">
        <v>986</v>
      </c>
      <c r="GO329" s="1605" t="s">
        <v>986</v>
      </c>
      <c r="GP329" s="1605" t="s">
        <v>986</v>
      </c>
      <c r="GQ329" s="1605" t="s">
        <v>986</v>
      </c>
      <c r="GR329" s="1605" t="s">
        <v>986</v>
      </c>
      <c r="GS329" s="1605" t="s">
        <v>986</v>
      </c>
      <c r="GT329" s="1605" t="s">
        <v>986</v>
      </c>
      <c r="GU329" s="1605" t="s">
        <v>986</v>
      </c>
      <c r="GV329" s="1605" t="s">
        <v>986</v>
      </c>
      <c r="GW329" s="1605" t="s">
        <v>986</v>
      </c>
      <c r="GX329" s="1605" t="s">
        <v>986</v>
      </c>
      <c r="GY329" s="1605" t="s">
        <v>986</v>
      </c>
      <c r="GZ329" s="1605" t="s">
        <v>986</v>
      </c>
      <c r="HA329" s="1605" t="s">
        <v>986</v>
      </c>
      <c r="HB329" s="1605" t="s">
        <v>986</v>
      </c>
      <c r="HC329" s="1605" t="s">
        <v>986</v>
      </c>
      <c r="HD329" s="1605" t="s">
        <v>986</v>
      </c>
      <c r="HE329" s="1605" t="s">
        <v>986</v>
      </c>
      <c r="HF329" s="1605" t="s">
        <v>986</v>
      </c>
      <c r="HG329" s="1605" t="s">
        <v>986</v>
      </c>
      <c r="HH329" s="1605" t="s">
        <v>986</v>
      </c>
      <c r="HI329" s="1605" t="s">
        <v>986</v>
      </c>
      <c r="HJ329" s="1605" t="s">
        <v>986</v>
      </c>
      <c r="HK329" s="1605" t="s">
        <v>986</v>
      </c>
      <c r="HL329" s="1605" t="s">
        <v>986</v>
      </c>
      <c r="HM329" s="1605" t="s">
        <v>986</v>
      </c>
      <c r="HN329" s="1605" t="s">
        <v>986</v>
      </c>
      <c r="HO329" s="1605" t="s">
        <v>986</v>
      </c>
      <c r="HP329" s="1605" t="s">
        <v>986</v>
      </c>
      <c r="HQ329" s="1605" t="s">
        <v>986</v>
      </c>
      <c r="HR329" s="1605" t="s">
        <v>986</v>
      </c>
      <c r="HS329" s="1605" t="s">
        <v>986</v>
      </c>
      <c r="HT329" s="1605" t="s">
        <v>986</v>
      </c>
      <c r="HU329" s="1605" t="s">
        <v>986</v>
      </c>
      <c r="HV329" s="1617"/>
      <c r="HW329" s="1617" t="s">
        <v>2967</v>
      </c>
      <c r="HX329" s="1617" t="s">
        <v>2966</v>
      </c>
      <c r="HY329" s="1617" t="s">
        <v>2965</v>
      </c>
      <c r="HZ329" s="1603"/>
      <c r="IA329" s="1603"/>
      <c r="IB329" s="1603"/>
      <c r="IC329" s="1603">
        <v>0</v>
      </c>
      <c r="ID329" s="1603">
        <v>0</v>
      </c>
      <c r="IE329" s="1603">
        <v>0</v>
      </c>
      <c r="IF329" s="1603">
        <v>0</v>
      </c>
      <c r="IG329" s="1611" t="s">
        <v>2959</v>
      </c>
      <c r="IH329" s="1616" t="s">
        <v>270</v>
      </c>
      <c r="II329" s="1615" t="s">
        <v>270</v>
      </c>
      <c r="IJ329" s="1613">
        <v>7.6681007990289975</v>
      </c>
      <c r="IK329" s="1613">
        <v>6.2681201480212394</v>
      </c>
      <c r="IL329" s="1614">
        <v>7.6681007990289975</v>
      </c>
      <c r="IM329" s="1614">
        <v>6.2681201480212394</v>
      </c>
      <c r="IN329" s="1612" t="s">
        <v>270</v>
      </c>
      <c r="IO329" s="1613" t="s">
        <v>270</v>
      </c>
      <c r="IP329" s="1607">
        <v>1.8906403069544322</v>
      </c>
      <c r="IQ329" s="1612" t="s">
        <v>270</v>
      </c>
      <c r="IR329" s="1612" t="s">
        <v>270</v>
      </c>
      <c r="IS329" s="1607">
        <v>7.3321007990289973</v>
      </c>
      <c r="IT329" s="1607">
        <v>5.9321201480212391</v>
      </c>
      <c r="IU329" s="1611">
        <v>1.9384662350829649E-5</v>
      </c>
      <c r="IV329" s="1611">
        <v>1.3137838900208091E-2</v>
      </c>
      <c r="IW329" s="1611">
        <v>6.6765739054131289E-3</v>
      </c>
      <c r="IX329" s="1611">
        <v>2.5948209533887411E-3</v>
      </c>
      <c r="IY329" s="1611">
        <v>6.7115525178264258E-3</v>
      </c>
      <c r="IZ329" s="1611">
        <v>1.1466446360438191E-2</v>
      </c>
      <c r="JA329" s="1611">
        <v>3.4572359475268545E-4</v>
      </c>
      <c r="JB329" s="1611">
        <v>3.5534017170367879E-3</v>
      </c>
      <c r="JC329" s="1611">
        <v>1.4902294704219972</v>
      </c>
      <c r="JD329" s="1611">
        <v>4.8364795852513194E-2</v>
      </c>
      <c r="JE329" s="1611">
        <v>4.2122831829423335E-2</v>
      </c>
      <c r="JF329" s="1611">
        <v>2.4480398462098816E-3</v>
      </c>
      <c r="JG329" s="1611">
        <v>0.36581119748087743</v>
      </c>
      <c r="JH329" s="1611">
        <v>1.8544278866987121E-3</v>
      </c>
      <c r="JI329" s="1611">
        <v>0.21779297030119302</v>
      </c>
      <c r="JJ329" s="1611">
        <v>1.3543553989974393E-3</v>
      </c>
      <c r="JK329" s="1607">
        <f t="shared" si="14"/>
        <v>0.3360000000000003</v>
      </c>
      <c r="JL329" s="1608" t="s">
        <v>270</v>
      </c>
      <c r="JM329" s="1610" t="s">
        <v>2924</v>
      </c>
      <c r="JN329" s="1608">
        <v>1.3999806510077581</v>
      </c>
      <c r="JO329" s="1609" t="s">
        <v>2958</v>
      </c>
      <c r="JP329" s="1608" t="s">
        <v>270</v>
      </c>
      <c r="JQ329" s="1607">
        <v>201901</v>
      </c>
      <c r="JR329" s="1606">
        <v>140</v>
      </c>
      <c r="JS329" s="1606" t="s">
        <v>270</v>
      </c>
      <c r="JT329" s="1606" t="s">
        <v>270</v>
      </c>
    </row>
    <row r="330" spans="1:280" ht="15" customHeight="1" x14ac:dyDescent="0.2">
      <c r="A330" s="1626">
        <v>88610</v>
      </c>
      <c r="B330" s="1625">
        <v>886</v>
      </c>
      <c r="C330" s="1624">
        <v>10</v>
      </c>
      <c r="D330" s="1623" t="s">
        <v>2968</v>
      </c>
      <c r="E330" s="1622">
        <v>43031</v>
      </c>
      <c r="F330" s="1620">
        <v>3.7953757941083599</v>
      </c>
      <c r="G330" s="1620">
        <v>3.6439039299376299</v>
      </c>
      <c r="H330" s="1621">
        <v>97</v>
      </c>
      <c r="I330" s="1621">
        <v>97</v>
      </c>
      <c r="J330" s="1621">
        <v>90</v>
      </c>
      <c r="K330" s="1620">
        <v>1</v>
      </c>
      <c r="L330" s="1620">
        <v>99.15</v>
      </c>
      <c r="M330" s="1620">
        <v>1.00151515151515E-4</v>
      </c>
      <c r="N330" s="1620">
        <v>99.15</v>
      </c>
      <c r="O330" s="1620">
        <v>0</v>
      </c>
      <c r="P330" s="1620">
        <v>0</v>
      </c>
      <c r="Q330" s="1603"/>
      <c r="R330" s="1620">
        <v>0</v>
      </c>
      <c r="S330" s="1620">
        <v>0</v>
      </c>
      <c r="T330" s="1620">
        <v>0</v>
      </c>
      <c r="U330" s="1620">
        <v>0</v>
      </c>
      <c r="V330" s="1620">
        <v>0</v>
      </c>
      <c r="W330" s="1620">
        <v>0</v>
      </c>
      <c r="X330" s="1620"/>
      <c r="Y330" s="1620">
        <v>0</v>
      </c>
      <c r="Z330" s="1620">
        <v>0</v>
      </c>
      <c r="AA330" s="1620">
        <v>0</v>
      </c>
      <c r="AB330" s="1620">
        <v>0</v>
      </c>
      <c r="AC330" s="1620">
        <v>0</v>
      </c>
      <c r="AD330" s="1620">
        <v>0</v>
      </c>
      <c r="AE330" s="1620">
        <v>0</v>
      </c>
      <c r="AF330" s="1620">
        <v>0</v>
      </c>
      <c r="AG330" s="1620">
        <v>0</v>
      </c>
      <c r="AH330" s="1620">
        <v>0</v>
      </c>
      <c r="AI330" s="1620">
        <v>0</v>
      </c>
      <c r="AJ330" s="1620">
        <v>0</v>
      </c>
      <c r="AK330" s="1620">
        <v>0</v>
      </c>
      <c r="AL330" s="1620"/>
      <c r="AM330" s="1620">
        <v>0</v>
      </c>
      <c r="AN330" s="1620">
        <v>0</v>
      </c>
      <c r="AO330" s="1620">
        <v>0</v>
      </c>
      <c r="AP330" s="1620">
        <v>0</v>
      </c>
      <c r="AQ330" s="1620">
        <v>0</v>
      </c>
      <c r="AR330" s="1620">
        <v>0</v>
      </c>
      <c r="AS330" s="1620">
        <v>0</v>
      </c>
      <c r="AT330" s="1620">
        <v>0</v>
      </c>
      <c r="AU330" s="1620">
        <v>0</v>
      </c>
      <c r="AV330" s="1620">
        <v>0</v>
      </c>
      <c r="AW330" s="1620">
        <v>0</v>
      </c>
      <c r="AX330" s="1620"/>
      <c r="AY330" s="1620">
        <v>0</v>
      </c>
      <c r="AZ330" s="1620">
        <v>0</v>
      </c>
      <c r="BA330" s="1620">
        <v>0</v>
      </c>
      <c r="BB330" s="1620">
        <v>0</v>
      </c>
      <c r="BC330" s="1620">
        <v>0</v>
      </c>
      <c r="BD330" s="1620">
        <v>0</v>
      </c>
      <c r="BE330" s="1620">
        <v>0</v>
      </c>
      <c r="BF330" s="1620">
        <v>0</v>
      </c>
      <c r="BG330" s="1620">
        <v>0</v>
      </c>
      <c r="BH330" s="1620">
        <v>0</v>
      </c>
      <c r="BI330" s="1620">
        <v>0</v>
      </c>
      <c r="BJ330" s="1603"/>
      <c r="BK330" s="1620">
        <v>1.0101010101010085E-4</v>
      </c>
      <c r="BL330" s="1620">
        <v>100</v>
      </c>
      <c r="BM330" s="1620">
        <v>0</v>
      </c>
      <c r="BN330" s="1620">
        <v>0</v>
      </c>
      <c r="BO330" s="1620"/>
      <c r="BP330" s="1620">
        <v>56</v>
      </c>
      <c r="BQ330" s="1620">
        <v>560</v>
      </c>
      <c r="BR330" s="1620">
        <v>3.8279130550765097</v>
      </c>
      <c r="BS330" s="1620">
        <v>3.6751426423980127</v>
      </c>
      <c r="BT330" s="1603"/>
      <c r="BU330" s="1620">
        <v>999.99999999999989</v>
      </c>
      <c r="BV330" s="1620">
        <v>-9.191919190782319E-4</v>
      </c>
      <c r="BW330" s="1620">
        <v>0</v>
      </c>
      <c r="BX330" s="1620">
        <v>0</v>
      </c>
      <c r="BY330" s="1620">
        <v>0</v>
      </c>
      <c r="BZ330" s="1620">
        <v>0</v>
      </c>
      <c r="CA330" s="1620">
        <v>0</v>
      </c>
      <c r="CB330" s="1603"/>
      <c r="CC330" s="1603">
        <v>0</v>
      </c>
      <c r="CD330" s="1603">
        <v>0</v>
      </c>
      <c r="CE330" s="1603">
        <v>0</v>
      </c>
      <c r="CF330" s="1603">
        <v>0</v>
      </c>
      <c r="CG330" s="1603">
        <v>0</v>
      </c>
      <c r="CH330" s="1603">
        <v>0</v>
      </c>
      <c r="CI330" s="1603">
        <v>0</v>
      </c>
      <c r="CJ330" s="1603"/>
      <c r="CK330" s="1603">
        <v>0</v>
      </c>
      <c r="CL330" s="1603">
        <v>0</v>
      </c>
      <c r="CM330" s="1603">
        <v>0</v>
      </c>
      <c r="CN330" s="1603">
        <v>0</v>
      </c>
      <c r="CO330" s="1603">
        <v>0</v>
      </c>
      <c r="CP330" s="1603">
        <v>0</v>
      </c>
      <c r="CQ330" s="1603">
        <v>0</v>
      </c>
      <c r="CR330" s="1603">
        <v>0</v>
      </c>
      <c r="CS330" s="1603">
        <v>0</v>
      </c>
      <c r="CT330" s="1603">
        <v>0</v>
      </c>
      <c r="CU330" s="1603">
        <v>0</v>
      </c>
      <c r="CV330" s="1603">
        <v>0</v>
      </c>
      <c r="CW330" s="1603">
        <v>0</v>
      </c>
      <c r="CX330" s="1603">
        <v>0</v>
      </c>
      <c r="CY330" s="1603">
        <v>0</v>
      </c>
      <c r="CZ330" s="1603">
        <v>0</v>
      </c>
      <c r="DA330" s="1603">
        <v>0</v>
      </c>
      <c r="DB330" s="1603">
        <v>0</v>
      </c>
      <c r="DC330" s="1603">
        <v>0</v>
      </c>
      <c r="DD330" s="1603">
        <v>0</v>
      </c>
      <c r="DE330" s="1603">
        <v>0</v>
      </c>
      <c r="DF330" s="1603">
        <v>0</v>
      </c>
      <c r="DG330" s="1603">
        <v>0</v>
      </c>
      <c r="DH330" s="1619">
        <v>0</v>
      </c>
      <c r="DI330" s="1603">
        <v>0</v>
      </c>
      <c r="DJ330" s="1603">
        <v>0</v>
      </c>
      <c r="DK330" s="1603">
        <v>0</v>
      </c>
      <c r="DL330" s="1603">
        <v>0</v>
      </c>
      <c r="DM330" s="1603">
        <v>0</v>
      </c>
      <c r="DN330" s="1603">
        <v>0</v>
      </c>
      <c r="DO330" s="1603">
        <v>0</v>
      </c>
      <c r="DP330" s="1603">
        <v>0</v>
      </c>
      <c r="DQ330" s="1603">
        <v>0</v>
      </c>
      <c r="DR330" s="1603">
        <v>0</v>
      </c>
      <c r="DS330" s="1603">
        <v>0</v>
      </c>
      <c r="DT330" s="1603">
        <v>0</v>
      </c>
      <c r="DU330" s="1603">
        <v>0</v>
      </c>
      <c r="DV330" s="1603">
        <v>0</v>
      </c>
      <c r="DW330" s="1618" t="s">
        <v>986</v>
      </c>
      <c r="DX330" s="1605" t="s">
        <v>986</v>
      </c>
      <c r="DY330" s="1605" t="s">
        <v>986</v>
      </c>
      <c r="DZ330" s="1605" t="s">
        <v>986</v>
      </c>
      <c r="EA330" s="1605" t="s">
        <v>986</v>
      </c>
      <c r="EB330" s="1605" t="s">
        <v>986</v>
      </c>
      <c r="EC330" s="1605" t="s">
        <v>986</v>
      </c>
      <c r="ED330" s="1605" t="s">
        <v>986</v>
      </c>
      <c r="EE330" s="1605" t="s">
        <v>986</v>
      </c>
      <c r="EF330" s="1605" t="s">
        <v>986</v>
      </c>
      <c r="EG330" s="1605" t="s">
        <v>986</v>
      </c>
      <c r="EH330" s="1605" t="s">
        <v>986</v>
      </c>
      <c r="EI330" s="1605" t="s">
        <v>986</v>
      </c>
      <c r="EJ330" s="1605" t="s">
        <v>986</v>
      </c>
      <c r="EK330" s="1605" t="s">
        <v>986</v>
      </c>
      <c r="EL330" s="1605" t="s">
        <v>986</v>
      </c>
      <c r="EM330" s="1605" t="s">
        <v>986</v>
      </c>
      <c r="EN330" s="1605" t="s">
        <v>986</v>
      </c>
      <c r="EO330" s="1605" t="s">
        <v>986</v>
      </c>
      <c r="EP330" s="1605" t="s">
        <v>986</v>
      </c>
      <c r="EQ330" s="1605" t="s">
        <v>986</v>
      </c>
      <c r="ER330" s="1605" t="s">
        <v>986</v>
      </c>
      <c r="ES330" s="1605" t="s">
        <v>986</v>
      </c>
      <c r="ET330" s="1605" t="s">
        <v>986</v>
      </c>
      <c r="EU330" s="1605" t="s">
        <v>986</v>
      </c>
      <c r="EV330" s="1605" t="s">
        <v>986</v>
      </c>
      <c r="EW330" s="1605" t="s">
        <v>986</v>
      </c>
      <c r="EX330" s="1605" t="s">
        <v>986</v>
      </c>
      <c r="EY330" s="1605" t="s">
        <v>986</v>
      </c>
      <c r="EZ330" s="1605" t="s">
        <v>986</v>
      </c>
      <c r="FA330" s="1605" t="s">
        <v>986</v>
      </c>
      <c r="FB330" s="1605" t="s">
        <v>986</v>
      </c>
      <c r="FC330" s="1605" t="s">
        <v>986</v>
      </c>
      <c r="FD330" s="1605" t="s">
        <v>986</v>
      </c>
      <c r="FE330" s="1605" t="s">
        <v>986</v>
      </c>
      <c r="FF330" s="1605" t="s">
        <v>986</v>
      </c>
      <c r="FG330" s="1605" t="s">
        <v>986</v>
      </c>
      <c r="FH330" s="1605" t="s">
        <v>986</v>
      </c>
      <c r="FI330" s="1605" t="s">
        <v>986</v>
      </c>
      <c r="FJ330" s="1605" t="s">
        <v>986</v>
      </c>
      <c r="FK330" s="1605" t="s">
        <v>986</v>
      </c>
      <c r="FL330" s="1605" t="s">
        <v>986</v>
      </c>
      <c r="FM330" s="1605" t="s">
        <v>986</v>
      </c>
      <c r="FN330" s="1605" t="s">
        <v>986</v>
      </c>
      <c r="FO330" s="1605" t="s">
        <v>986</v>
      </c>
      <c r="FP330" s="1605" t="s">
        <v>986</v>
      </c>
      <c r="FQ330" s="1605" t="s">
        <v>986</v>
      </c>
      <c r="FR330" s="1605" t="s">
        <v>986</v>
      </c>
      <c r="FS330" s="1605" t="s">
        <v>986</v>
      </c>
      <c r="FT330" s="1605" t="s">
        <v>986</v>
      </c>
      <c r="FU330" s="1605" t="s">
        <v>986</v>
      </c>
      <c r="FV330" s="1605" t="s">
        <v>986</v>
      </c>
      <c r="FW330" s="1605" t="s">
        <v>986</v>
      </c>
      <c r="FX330" s="1605" t="s">
        <v>986</v>
      </c>
      <c r="FY330" s="1605" t="s">
        <v>986</v>
      </c>
      <c r="FZ330" s="1605" t="s">
        <v>986</v>
      </c>
      <c r="GA330" s="1605" t="s">
        <v>986</v>
      </c>
      <c r="GB330" s="1605" t="s">
        <v>986</v>
      </c>
      <c r="GC330" s="1605" t="s">
        <v>986</v>
      </c>
      <c r="GD330" s="1605" t="s">
        <v>986</v>
      </c>
      <c r="GE330" s="1605" t="s">
        <v>986</v>
      </c>
      <c r="GF330" s="1605" t="s">
        <v>986</v>
      </c>
      <c r="GG330" s="1605" t="s">
        <v>986</v>
      </c>
      <c r="GH330" s="1605" t="s">
        <v>986</v>
      </c>
      <c r="GI330" s="1605" t="s">
        <v>986</v>
      </c>
      <c r="GJ330" s="1605" t="s">
        <v>986</v>
      </c>
      <c r="GK330" s="1605" t="s">
        <v>986</v>
      </c>
      <c r="GL330" s="1605" t="s">
        <v>986</v>
      </c>
      <c r="GM330" s="1605" t="s">
        <v>986</v>
      </c>
      <c r="GN330" s="1605" t="s">
        <v>986</v>
      </c>
      <c r="GO330" s="1605" t="s">
        <v>986</v>
      </c>
      <c r="GP330" s="1605" t="s">
        <v>986</v>
      </c>
      <c r="GQ330" s="1605" t="s">
        <v>986</v>
      </c>
      <c r="GR330" s="1605" t="s">
        <v>986</v>
      </c>
      <c r="GS330" s="1605" t="s">
        <v>986</v>
      </c>
      <c r="GT330" s="1605" t="s">
        <v>986</v>
      </c>
      <c r="GU330" s="1605" t="s">
        <v>986</v>
      </c>
      <c r="GV330" s="1605" t="s">
        <v>986</v>
      </c>
      <c r="GW330" s="1605" t="s">
        <v>986</v>
      </c>
      <c r="GX330" s="1605" t="s">
        <v>986</v>
      </c>
      <c r="GY330" s="1605" t="s">
        <v>986</v>
      </c>
      <c r="GZ330" s="1605" t="s">
        <v>986</v>
      </c>
      <c r="HA330" s="1605" t="s">
        <v>986</v>
      </c>
      <c r="HB330" s="1605" t="s">
        <v>986</v>
      </c>
      <c r="HC330" s="1605" t="s">
        <v>986</v>
      </c>
      <c r="HD330" s="1605" t="s">
        <v>986</v>
      </c>
      <c r="HE330" s="1605" t="s">
        <v>986</v>
      </c>
      <c r="HF330" s="1605" t="s">
        <v>986</v>
      </c>
      <c r="HG330" s="1605" t="s">
        <v>986</v>
      </c>
      <c r="HH330" s="1605" t="s">
        <v>986</v>
      </c>
      <c r="HI330" s="1605" t="s">
        <v>986</v>
      </c>
      <c r="HJ330" s="1605" t="s">
        <v>986</v>
      </c>
      <c r="HK330" s="1605" t="s">
        <v>986</v>
      </c>
      <c r="HL330" s="1605" t="s">
        <v>986</v>
      </c>
      <c r="HM330" s="1605" t="s">
        <v>986</v>
      </c>
      <c r="HN330" s="1605" t="s">
        <v>986</v>
      </c>
      <c r="HO330" s="1605" t="s">
        <v>986</v>
      </c>
      <c r="HP330" s="1605" t="s">
        <v>986</v>
      </c>
      <c r="HQ330" s="1605" t="s">
        <v>986</v>
      </c>
      <c r="HR330" s="1605" t="s">
        <v>986</v>
      </c>
      <c r="HS330" s="1605" t="s">
        <v>986</v>
      </c>
      <c r="HT330" s="1605" t="s">
        <v>986</v>
      </c>
      <c r="HU330" s="1605" t="s">
        <v>986</v>
      </c>
      <c r="HV330" s="1617"/>
      <c r="HW330" s="1617" t="s">
        <v>2967</v>
      </c>
      <c r="HX330" s="1617" t="s">
        <v>2966</v>
      </c>
      <c r="HY330" s="1617" t="s">
        <v>2965</v>
      </c>
      <c r="HZ330" s="1603"/>
      <c r="IA330" s="1603"/>
      <c r="IB330" s="1603"/>
      <c r="IC330" s="1603">
        <v>0</v>
      </c>
      <c r="ID330" s="1603">
        <v>0</v>
      </c>
      <c r="IE330" s="1603">
        <v>0</v>
      </c>
      <c r="IF330" s="1603">
        <v>0</v>
      </c>
      <c r="IG330" s="1611" t="s">
        <v>2959</v>
      </c>
      <c r="IH330" s="1616" t="s">
        <v>270</v>
      </c>
      <c r="II330" s="1615" t="s">
        <v>270</v>
      </c>
      <c r="IJ330" s="1613">
        <v>7.6681007990289975</v>
      </c>
      <c r="IK330" s="1613">
        <v>6.2681201480212394</v>
      </c>
      <c r="IL330" s="1614">
        <v>7.6681007990289975</v>
      </c>
      <c r="IM330" s="1614">
        <v>6.2681201480212394</v>
      </c>
      <c r="IN330" s="1612" t="s">
        <v>270</v>
      </c>
      <c r="IO330" s="1613" t="s">
        <v>270</v>
      </c>
      <c r="IP330" s="1607">
        <v>1.8906403069544322</v>
      </c>
      <c r="IQ330" s="1612" t="s">
        <v>270</v>
      </c>
      <c r="IR330" s="1612" t="s">
        <v>270</v>
      </c>
      <c r="IS330" s="1607">
        <v>7.3321007990289973</v>
      </c>
      <c r="IT330" s="1607">
        <v>5.9321201480212391</v>
      </c>
      <c r="IU330" s="1611">
        <v>1.9384662350829649E-5</v>
      </c>
      <c r="IV330" s="1611">
        <v>1.3137838900208091E-2</v>
      </c>
      <c r="IW330" s="1611">
        <v>6.6765739054131289E-3</v>
      </c>
      <c r="IX330" s="1611">
        <v>2.5948209533887411E-3</v>
      </c>
      <c r="IY330" s="1611">
        <v>6.7115525178264258E-3</v>
      </c>
      <c r="IZ330" s="1611">
        <v>1.1466446360438191E-2</v>
      </c>
      <c r="JA330" s="1611">
        <v>3.4572359475268545E-4</v>
      </c>
      <c r="JB330" s="1611">
        <v>3.5534017170367879E-3</v>
      </c>
      <c r="JC330" s="1611">
        <v>1.4902294704219972</v>
      </c>
      <c r="JD330" s="1611">
        <v>4.8364795852513194E-2</v>
      </c>
      <c r="JE330" s="1611">
        <v>4.2122831829423335E-2</v>
      </c>
      <c r="JF330" s="1611">
        <v>2.4480398462098816E-3</v>
      </c>
      <c r="JG330" s="1611">
        <v>0.36581119748087743</v>
      </c>
      <c r="JH330" s="1611">
        <v>1.8544278866987121E-3</v>
      </c>
      <c r="JI330" s="1611">
        <v>0.21779297030119302</v>
      </c>
      <c r="JJ330" s="1611">
        <v>1.3543553989974393E-3</v>
      </c>
      <c r="JK330" s="1607">
        <f t="shared" si="14"/>
        <v>0.3360000000000003</v>
      </c>
      <c r="JL330" s="1608" t="s">
        <v>270</v>
      </c>
      <c r="JM330" s="1610" t="s">
        <v>2924</v>
      </c>
      <c r="JN330" s="1608">
        <v>1.3999806510077581</v>
      </c>
      <c r="JO330" s="1609" t="s">
        <v>2958</v>
      </c>
      <c r="JP330" s="1608" t="s">
        <v>270</v>
      </c>
      <c r="JQ330" s="1607">
        <v>201901</v>
      </c>
      <c r="JR330" s="1606">
        <v>140</v>
      </c>
      <c r="JS330" s="1606" t="s">
        <v>270</v>
      </c>
      <c r="JT330" s="1606" t="s">
        <v>270</v>
      </c>
    </row>
    <row r="331" spans="1:280" ht="15" customHeight="1" x14ac:dyDescent="0.2">
      <c r="A331" s="1626">
        <v>89000</v>
      </c>
      <c r="B331" s="1625">
        <v>890</v>
      </c>
      <c r="C331" s="1624">
        <v>0</v>
      </c>
      <c r="D331" s="1623" t="s">
        <v>2964</v>
      </c>
      <c r="E331" s="1622">
        <v>43031</v>
      </c>
      <c r="F331" s="1620">
        <v>3.8087734898011298</v>
      </c>
      <c r="G331" s="1620">
        <v>3.6567669291860199</v>
      </c>
      <c r="H331" s="1621">
        <v>97</v>
      </c>
      <c r="I331" s="1621">
        <v>97</v>
      </c>
      <c r="J331" s="1621">
        <v>90</v>
      </c>
      <c r="K331" s="1620">
        <v>1</v>
      </c>
      <c r="L331" s="1620">
        <v>99.5</v>
      </c>
      <c r="M331" s="1620">
        <v>1.0050505050505E-4</v>
      </c>
      <c r="N331" s="1620">
        <v>99.5</v>
      </c>
      <c r="O331" s="1620">
        <v>0</v>
      </c>
      <c r="P331" s="1620">
        <v>0</v>
      </c>
      <c r="Q331" s="1603"/>
      <c r="R331" s="1620">
        <v>0</v>
      </c>
      <c r="S331" s="1620">
        <v>0</v>
      </c>
      <c r="T331" s="1620">
        <v>0</v>
      </c>
      <c r="U331" s="1620">
        <v>0</v>
      </c>
      <c r="V331" s="1620">
        <v>0</v>
      </c>
      <c r="W331" s="1620">
        <v>0</v>
      </c>
      <c r="X331" s="1620"/>
      <c r="Y331" s="1620">
        <v>0</v>
      </c>
      <c r="Z331" s="1620">
        <v>0</v>
      </c>
      <c r="AA331" s="1620">
        <v>0</v>
      </c>
      <c r="AB331" s="1620">
        <v>0</v>
      </c>
      <c r="AC331" s="1620">
        <v>0</v>
      </c>
      <c r="AD331" s="1620">
        <v>0</v>
      </c>
      <c r="AE331" s="1620">
        <v>0</v>
      </c>
      <c r="AF331" s="1620">
        <v>0</v>
      </c>
      <c r="AG331" s="1620">
        <v>0</v>
      </c>
      <c r="AH331" s="1620">
        <v>0</v>
      </c>
      <c r="AI331" s="1620">
        <v>0</v>
      </c>
      <c r="AJ331" s="1620">
        <v>0</v>
      </c>
      <c r="AK331" s="1620">
        <v>0</v>
      </c>
      <c r="AL331" s="1620"/>
      <c r="AM331" s="1620">
        <v>0</v>
      </c>
      <c r="AN331" s="1620">
        <v>0</v>
      </c>
      <c r="AO331" s="1620">
        <v>0</v>
      </c>
      <c r="AP331" s="1620">
        <v>0</v>
      </c>
      <c r="AQ331" s="1620">
        <v>0</v>
      </c>
      <c r="AR331" s="1620">
        <v>0</v>
      </c>
      <c r="AS331" s="1620">
        <v>0</v>
      </c>
      <c r="AT331" s="1620">
        <v>0</v>
      </c>
      <c r="AU331" s="1620">
        <v>0</v>
      </c>
      <c r="AV331" s="1620">
        <v>0</v>
      </c>
      <c r="AW331" s="1620">
        <v>0</v>
      </c>
      <c r="AX331" s="1620"/>
      <c r="AY331" s="1620">
        <v>1</v>
      </c>
      <c r="AZ331" s="1620">
        <v>1</v>
      </c>
      <c r="BA331" s="1620">
        <v>1</v>
      </c>
      <c r="BB331" s="1620">
        <v>1</v>
      </c>
      <c r="BC331" s="1620">
        <v>1</v>
      </c>
      <c r="BD331" s="1620">
        <v>1</v>
      </c>
      <c r="BE331" s="1620">
        <v>1</v>
      </c>
      <c r="BF331" s="1620">
        <v>1</v>
      </c>
      <c r="BG331" s="1620">
        <v>1</v>
      </c>
      <c r="BH331" s="1620">
        <v>1</v>
      </c>
      <c r="BI331" s="1620">
        <v>1</v>
      </c>
      <c r="BJ331" s="1603"/>
      <c r="BK331" s="1620">
        <v>1.0101010101010051E-4</v>
      </c>
      <c r="BL331" s="1620">
        <v>100</v>
      </c>
      <c r="BM331" s="1620">
        <v>0</v>
      </c>
      <c r="BN331" s="1620">
        <v>0</v>
      </c>
      <c r="BO331" s="1620"/>
      <c r="BP331" s="1620">
        <v>10</v>
      </c>
      <c r="BQ331" s="1620">
        <v>100</v>
      </c>
      <c r="BR331" s="1620">
        <v>3.8279130550765124</v>
      </c>
      <c r="BS331" s="1620">
        <v>3.67514264239801</v>
      </c>
      <c r="BT331" s="1603"/>
      <c r="BU331" s="1620">
        <v>1000</v>
      </c>
      <c r="BV331" s="1620">
        <v>-9.1919191907823211E-4</v>
      </c>
      <c r="BW331" s="1620">
        <v>0</v>
      </c>
      <c r="BX331" s="1620">
        <v>0</v>
      </c>
      <c r="BY331" s="1620">
        <v>0</v>
      </c>
      <c r="BZ331" s="1620">
        <v>0</v>
      </c>
      <c r="CA331" s="1620">
        <v>0</v>
      </c>
      <c r="CB331" s="1603"/>
      <c r="CC331" s="1603">
        <v>0</v>
      </c>
      <c r="CD331" s="1603">
        <v>0</v>
      </c>
      <c r="CE331" s="1603">
        <v>0</v>
      </c>
      <c r="CF331" s="1603">
        <v>0</v>
      </c>
      <c r="CG331" s="1603">
        <v>0</v>
      </c>
      <c r="CH331" s="1603">
        <v>0</v>
      </c>
      <c r="CI331" s="1603">
        <v>0</v>
      </c>
      <c r="CJ331" s="1603"/>
      <c r="CK331" s="1603">
        <v>0</v>
      </c>
      <c r="CL331" s="1603">
        <v>0</v>
      </c>
      <c r="CM331" s="1603">
        <v>0</v>
      </c>
      <c r="CN331" s="1603">
        <v>0</v>
      </c>
      <c r="CO331" s="1603">
        <v>0</v>
      </c>
      <c r="CP331" s="1603">
        <v>0</v>
      </c>
      <c r="CQ331" s="1603">
        <v>0</v>
      </c>
      <c r="CR331" s="1603">
        <v>0</v>
      </c>
      <c r="CS331" s="1603">
        <v>0</v>
      </c>
      <c r="CT331" s="1603">
        <v>0</v>
      </c>
      <c r="CU331" s="1603">
        <v>0</v>
      </c>
      <c r="CV331" s="1603">
        <v>0</v>
      </c>
      <c r="CW331" s="1603">
        <v>0</v>
      </c>
      <c r="CX331" s="1603">
        <v>0</v>
      </c>
      <c r="CY331" s="1603">
        <v>0</v>
      </c>
      <c r="CZ331" s="1603">
        <v>0</v>
      </c>
      <c r="DA331" s="1603">
        <v>0</v>
      </c>
      <c r="DB331" s="1603">
        <v>0</v>
      </c>
      <c r="DC331" s="1603">
        <v>0</v>
      </c>
      <c r="DD331" s="1603">
        <v>0</v>
      </c>
      <c r="DE331" s="1603">
        <v>0</v>
      </c>
      <c r="DF331" s="1603">
        <v>0</v>
      </c>
      <c r="DG331" s="1603">
        <v>0</v>
      </c>
      <c r="DH331" s="1619">
        <v>0</v>
      </c>
      <c r="DI331" s="1603">
        <v>0</v>
      </c>
      <c r="DJ331" s="1603">
        <v>0</v>
      </c>
      <c r="DK331" s="1603">
        <v>0</v>
      </c>
      <c r="DL331" s="1603">
        <v>0</v>
      </c>
      <c r="DM331" s="1603">
        <v>0</v>
      </c>
      <c r="DN331" s="1603">
        <v>0</v>
      </c>
      <c r="DO331" s="1603">
        <v>0</v>
      </c>
      <c r="DP331" s="1603">
        <v>0</v>
      </c>
      <c r="DQ331" s="1603">
        <v>0</v>
      </c>
      <c r="DR331" s="1603">
        <v>0</v>
      </c>
      <c r="DS331" s="1603">
        <v>0</v>
      </c>
      <c r="DT331" s="1603">
        <v>0</v>
      </c>
      <c r="DU331" s="1603">
        <v>0</v>
      </c>
      <c r="DV331" s="1603">
        <v>0</v>
      </c>
      <c r="DW331" s="1618" t="s">
        <v>2953</v>
      </c>
      <c r="DX331" s="1605" t="s">
        <v>986</v>
      </c>
      <c r="DY331" s="1605" t="s">
        <v>986</v>
      </c>
      <c r="DZ331" s="1605" t="s">
        <v>986</v>
      </c>
      <c r="EA331" s="1605" t="s">
        <v>986</v>
      </c>
      <c r="EB331" s="1605" t="s">
        <v>986</v>
      </c>
      <c r="EC331" s="1605" t="s">
        <v>986</v>
      </c>
      <c r="ED331" s="1605" t="s">
        <v>986</v>
      </c>
      <c r="EE331" s="1605" t="s">
        <v>986</v>
      </c>
      <c r="EF331" s="1605" t="s">
        <v>986</v>
      </c>
      <c r="EG331" s="1605" t="s">
        <v>986</v>
      </c>
      <c r="EH331" s="1605" t="s">
        <v>986</v>
      </c>
      <c r="EI331" s="1605" t="s">
        <v>986</v>
      </c>
      <c r="EJ331" s="1605" t="s">
        <v>986</v>
      </c>
      <c r="EK331" s="1605" t="s">
        <v>986</v>
      </c>
      <c r="EL331" s="1605" t="s">
        <v>986</v>
      </c>
      <c r="EM331" s="1605" t="s">
        <v>986</v>
      </c>
      <c r="EN331" s="1605" t="s">
        <v>986</v>
      </c>
      <c r="EO331" s="1605" t="s">
        <v>986</v>
      </c>
      <c r="EP331" s="1605" t="s">
        <v>986</v>
      </c>
      <c r="EQ331" s="1605" t="s">
        <v>986</v>
      </c>
      <c r="ER331" s="1605" t="s">
        <v>986</v>
      </c>
      <c r="ES331" s="1605" t="s">
        <v>986</v>
      </c>
      <c r="ET331" s="1605" t="s">
        <v>986</v>
      </c>
      <c r="EU331" s="1605" t="s">
        <v>986</v>
      </c>
      <c r="EV331" s="1605" t="s">
        <v>986</v>
      </c>
      <c r="EW331" s="1605" t="s">
        <v>986</v>
      </c>
      <c r="EX331" s="1605" t="s">
        <v>986</v>
      </c>
      <c r="EY331" s="1605" t="s">
        <v>986</v>
      </c>
      <c r="EZ331" s="1605" t="s">
        <v>986</v>
      </c>
      <c r="FA331" s="1605" t="s">
        <v>986</v>
      </c>
      <c r="FB331" s="1605" t="s">
        <v>986</v>
      </c>
      <c r="FC331" s="1605" t="s">
        <v>986</v>
      </c>
      <c r="FD331" s="1605" t="s">
        <v>986</v>
      </c>
      <c r="FE331" s="1605" t="s">
        <v>986</v>
      </c>
      <c r="FF331" s="1605" t="s">
        <v>986</v>
      </c>
      <c r="FG331" s="1605" t="s">
        <v>986</v>
      </c>
      <c r="FH331" s="1605" t="s">
        <v>986</v>
      </c>
      <c r="FI331" s="1605" t="s">
        <v>986</v>
      </c>
      <c r="FJ331" s="1605" t="s">
        <v>986</v>
      </c>
      <c r="FK331" s="1605" t="s">
        <v>986</v>
      </c>
      <c r="FL331" s="1605" t="s">
        <v>986</v>
      </c>
      <c r="FM331" s="1605" t="s">
        <v>986</v>
      </c>
      <c r="FN331" s="1605" t="s">
        <v>986</v>
      </c>
      <c r="FO331" s="1605" t="s">
        <v>986</v>
      </c>
      <c r="FP331" s="1605" t="s">
        <v>986</v>
      </c>
      <c r="FQ331" s="1605" t="s">
        <v>986</v>
      </c>
      <c r="FR331" s="1605" t="s">
        <v>986</v>
      </c>
      <c r="FS331" s="1605" t="s">
        <v>986</v>
      </c>
      <c r="FT331" s="1605" t="s">
        <v>986</v>
      </c>
      <c r="FU331" s="1605" t="s">
        <v>986</v>
      </c>
      <c r="FV331" s="1605" t="s">
        <v>986</v>
      </c>
      <c r="FW331" s="1605" t="s">
        <v>986</v>
      </c>
      <c r="FX331" s="1605" t="s">
        <v>986</v>
      </c>
      <c r="FY331" s="1605" t="s">
        <v>986</v>
      </c>
      <c r="FZ331" s="1605" t="s">
        <v>986</v>
      </c>
      <c r="GA331" s="1605" t="s">
        <v>986</v>
      </c>
      <c r="GB331" s="1605" t="s">
        <v>986</v>
      </c>
      <c r="GC331" s="1605" t="s">
        <v>986</v>
      </c>
      <c r="GD331" s="1605" t="s">
        <v>986</v>
      </c>
      <c r="GE331" s="1605" t="s">
        <v>986</v>
      </c>
      <c r="GF331" s="1605" t="s">
        <v>986</v>
      </c>
      <c r="GG331" s="1605" t="s">
        <v>986</v>
      </c>
      <c r="GH331" s="1605" t="s">
        <v>986</v>
      </c>
      <c r="GI331" s="1605" t="s">
        <v>986</v>
      </c>
      <c r="GJ331" s="1605" t="s">
        <v>986</v>
      </c>
      <c r="GK331" s="1605" t="s">
        <v>986</v>
      </c>
      <c r="GL331" s="1605" t="s">
        <v>986</v>
      </c>
      <c r="GM331" s="1605" t="s">
        <v>986</v>
      </c>
      <c r="GN331" s="1605" t="s">
        <v>986</v>
      </c>
      <c r="GO331" s="1605" t="s">
        <v>986</v>
      </c>
      <c r="GP331" s="1605" t="s">
        <v>986</v>
      </c>
      <c r="GQ331" s="1605" t="s">
        <v>986</v>
      </c>
      <c r="GR331" s="1605" t="s">
        <v>986</v>
      </c>
      <c r="GS331" s="1605" t="s">
        <v>986</v>
      </c>
      <c r="GT331" s="1605" t="s">
        <v>986</v>
      </c>
      <c r="GU331" s="1605" t="s">
        <v>986</v>
      </c>
      <c r="GV331" s="1605" t="s">
        <v>986</v>
      </c>
      <c r="GW331" s="1605" t="s">
        <v>986</v>
      </c>
      <c r="GX331" s="1605" t="s">
        <v>986</v>
      </c>
      <c r="GY331" s="1605" t="s">
        <v>986</v>
      </c>
      <c r="GZ331" s="1605" t="s">
        <v>986</v>
      </c>
      <c r="HA331" s="1605" t="s">
        <v>986</v>
      </c>
      <c r="HB331" s="1605" t="s">
        <v>986</v>
      </c>
      <c r="HC331" s="1605" t="s">
        <v>986</v>
      </c>
      <c r="HD331" s="1605" t="s">
        <v>986</v>
      </c>
      <c r="HE331" s="1605" t="s">
        <v>986</v>
      </c>
      <c r="HF331" s="1605" t="s">
        <v>986</v>
      </c>
      <c r="HG331" s="1605" t="s">
        <v>986</v>
      </c>
      <c r="HH331" s="1605" t="s">
        <v>986</v>
      </c>
      <c r="HI331" s="1605" t="s">
        <v>986</v>
      </c>
      <c r="HJ331" s="1605" t="s">
        <v>986</v>
      </c>
      <c r="HK331" s="1605" t="s">
        <v>986</v>
      </c>
      <c r="HL331" s="1605" t="s">
        <v>986</v>
      </c>
      <c r="HM331" s="1605" t="s">
        <v>986</v>
      </c>
      <c r="HN331" s="1605" t="s">
        <v>986</v>
      </c>
      <c r="HO331" s="1605" t="s">
        <v>986</v>
      </c>
      <c r="HP331" s="1605" t="s">
        <v>986</v>
      </c>
      <c r="HQ331" s="1605" t="s">
        <v>986</v>
      </c>
      <c r="HR331" s="1605" t="s">
        <v>986</v>
      </c>
      <c r="HS331" s="1605" t="s">
        <v>986</v>
      </c>
      <c r="HT331" s="1605" t="s">
        <v>986</v>
      </c>
      <c r="HU331" s="1605" t="s">
        <v>986</v>
      </c>
      <c r="HV331" s="1617"/>
      <c r="HW331" s="1617" t="s">
        <v>2952</v>
      </c>
      <c r="HX331" s="1617" t="s">
        <v>2952</v>
      </c>
      <c r="HY331" s="1617" t="s">
        <v>2963</v>
      </c>
      <c r="HZ331" s="1603"/>
      <c r="IA331" s="1603"/>
      <c r="IB331" s="1603"/>
      <c r="IC331" s="1603">
        <v>0</v>
      </c>
      <c r="ID331" s="1603">
        <v>0</v>
      </c>
      <c r="IE331" s="1603">
        <v>0</v>
      </c>
      <c r="IF331" s="1603">
        <v>0</v>
      </c>
      <c r="IG331" s="1611" t="s">
        <v>2962</v>
      </c>
      <c r="IH331" s="1616" t="s">
        <v>270</v>
      </c>
      <c r="II331" s="1615" t="s">
        <v>270</v>
      </c>
      <c r="IJ331" s="1613">
        <v>7.5207613636363639</v>
      </c>
      <c r="IK331" s="1613">
        <v>5.7314431818181824</v>
      </c>
      <c r="IL331" s="1614">
        <v>7.5207613636363639</v>
      </c>
      <c r="IM331" s="1614">
        <v>5.7314431818181824</v>
      </c>
      <c r="IN331" s="1612" t="s">
        <v>270</v>
      </c>
      <c r="IO331" s="1613" t="s">
        <v>270</v>
      </c>
      <c r="IP331" s="1607" t="s">
        <v>270</v>
      </c>
      <c r="IQ331" s="1612" t="s">
        <v>270</v>
      </c>
      <c r="IR331" s="1612" t="s">
        <v>270</v>
      </c>
      <c r="IS331" s="1607">
        <v>7.1657613636363635</v>
      </c>
      <c r="IT331" s="1607">
        <v>5.3764431818181819</v>
      </c>
      <c r="IU331" s="1611">
        <v>5.6818181818181818E-5</v>
      </c>
      <c r="IV331" s="1611">
        <v>0.10898863636363636</v>
      </c>
      <c r="IW331" s="1611">
        <v>7.59090909090909E-3</v>
      </c>
      <c r="IX331" s="1611">
        <v>5.4431818181818184E-3</v>
      </c>
      <c r="IY331" s="1611">
        <v>7.7045454545454552E-3</v>
      </c>
      <c r="IZ331" s="1611">
        <v>2.75E-2</v>
      </c>
      <c r="JA331" s="1611">
        <v>2.0454545454545452E-3</v>
      </c>
      <c r="JB331" s="1611" t="s">
        <v>270</v>
      </c>
      <c r="JC331" s="1611">
        <v>10.799852272727273</v>
      </c>
      <c r="JD331" s="1611">
        <v>6.9102272727272734E-2</v>
      </c>
      <c r="JE331" s="1611" t="s">
        <v>270</v>
      </c>
      <c r="JF331" s="1611">
        <v>6.7499999999999999E-3</v>
      </c>
      <c r="JG331" s="1611">
        <v>3.478715909090909</v>
      </c>
      <c r="JH331" s="1611">
        <v>7.7727272727272723E-3</v>
      </c>
      <c r="JI331" s="1611">
        <v>0.67555681818181812</v>
      </c>
      <c r="JJ331" s="1611" t="s">
        <v>270</v>
      </c>
      <c r="JK331" s="1607">
        <f t="shared" si="14"/>
        <v>0.35500000000000043</v>
      </c>
      <c r="JL331" s="1608" t="s">
        <v>270</v>
      </c>
      <c r="JM331" s="1610" t="s">
        <v>2924</v>
      </c>
      <c r="JN331" s="1608">
        <v>1.7893181818181816</v>
      </c>
      <c r="JO331" s="1609" t="s">
        <v>2961</v>
      </c>
      <c r="JP331" s="1608" t="s">
        <v>270</v>
      </c>
      <c r="JQ331" s="1607">
        <v>202103</v>
      </c>
      <c r="JR331" s="1606">
        <v>58</v>
      </c>
      <c r="JS331" s="1606">
        <v>72</v>
      </c>
      <c r="JT331" s="1606">
        <v>72</v>
      </c>
    </row>
    <row r="332" spans="1:280" ht="15" customHeight="1" x14ac:dyDescent="0.2">
      <c r="A332" s="1626">
        <v>88600</v>
      </c>
      <c r="B332" s="1625">
        <v>886</v>
      </c>
      <c r="C332" s="1624">
        <v>0</v>
      </c>
      <c r="D332" s="1623" t="s">
        <v>2960</v>
      </c>
      <c r="E332" s="1622">
        <v>43031</v>
      </c>
      <c r="F332" s="1620">
        <v>3.8087734898011298</v>
      </c>
      <c r="G332" s="1620">
        <v>3.6567669291860199</v>
      </c>
      <c r="H332" s="1621">
        <v>97</v>
      </c>
      <c r="I332" s="1621">
        <v>97</v>
      </c>
      <c r="J332" s="1621">
        <v>90</v>
      </c>
      <c r="K332" s="1620">
        <v>1</v>
      </c>
      <c r="L332" s="1620">
        <v>99.5</v>
      </c>
      <c r="M332" s="1620">
        <v>1.0050505050505E-4</v>
      </c>
      <c r="N332" s="1620">
        <v>99.5</v>
      </c>
      <c r="O332" s="1620">
        <v>0</v>
      </c>
      <c r="P332" s="1620">
        <v>0</v>
      </c>
      <c r="Q332" s="1603"/>
      <c r="R332" s="1620">
        <v>0</v>
      </c>
      <c r="S332" s="1620">
        <v>0</v>
      </c>
      <c r="T332" s="1620">
        <v>0</v>
      </c>
      <c r="U332" s="1620">
        <v>0</v>
      </c>
      <c r="V332" s="1620">
        <v>0</v>
      </c>
      <c r="W332" s="1620">
        <v>0</v>
      </c>
      <c r="X332" s="1620"/>
      <c r="Y332" s="1620">
        <v>0</v>
      </c>
      <c r="Z332" s="1620">
        <v>0</v>
      </c>
      <c r="AA332" s="1620">
        <v>0</v>
      </c>
      <c r="AB332" s="1620">
        <v>0</v>
      </c>
      <c r="AC332" s="1620">
        <v>0</v>
      </c>
      <c r="AD332" s="1620">
        <v>0</v>
      </c>
      <c r="AE332" s="1620">
        <v>0</v>
      </c>
      <c r="AF332" s="1620">
        <v>0</v>
      </c>
      <c r="AG332" s="1620">
        <v>0</v>
      </c>
      <c r="AH332" s="1620">
        <v>0</v>
      </c>
      <c r="AI332" s="1620">
        <v>0</v>
      </c>
      <c r="AJ332" s="1620">
        <v>0</v>
      </c>
      <c r="AK332" s="1620">
        <v>0</v>
      </c>
      <c r="AL332" s="1620"/>
      <c r="AM332" s="1620">
        <v>0</v>
      </c>
      <c r="AN332" s="1620">
        <v>0</v>
      </c>
      <c r="AO332" s="1620">
        <v>0</v>
      </c>
      <c r="AP332" s="1620">
        <v>0</v>
      </c>
      <c r="AQ332" s="1620">
        <v>0</v>
      </c>
      <c r="AR332" s="1620">
        <v>0</v>
      </c>
      <c r="AS332" s="1620">
        <v>0</v>
      </c>
      <c r="AT332" s="1620">
        <v>0</v>
      </c>
      <c r="AU332" s="1620">
        <v>0</v>
      </c>
      <c r="AV332" s="1620">
        <v>0</v>
      </c>
      <c r="AW332" s="1620">
        <v>0</v>
      </c>
      <c r="AX332" s="1620"/>
      <c r="AY332" s="1620">
        <v>1</v>
      </c>
      <c r="AZ332" s="1620">
        <v>1</v>
      </c>
      <c r="BA332" s="1620">
        <v>1</v>
      </c>
      <c r="BB332" s="1620">
        <v>1</v>
      </c>
      <c r="BC332" s="1620">
        <v>1</v>
      </c>
      <c r="BD332" s="1620">
        <v>1</v>
      </c>
      <c r="BE332" s="1620">
        <v>1</v>
      </c>
      <c r="BF332" s="1620">
        <v>1</v>
      </c>
      <c r="BG332" s="1620">
        <v>1</v>
      </c>
      <c r="BH332" s="1620">
        <v>1</v>
      </c>
      <c r="BI332" s="1620">
        <v>1</v>
      </c>
      <c r="BJ332" s="1603"/>
      <c r="BK332" s="1620">
        <v>1.0101010101010051E-4</v>
      </c>
      <c r="BL332" s="1620">
        <v>100</v>
      </c>
      <c r="BM332" s="1620">
        <v>0</v>
      </c>
      <c r="BN332" s="1620">
        <v>0</v>
      </c>
      <c r="BO332" s="1620"/>
      <c r="BP332" s="1620">
        <v>55</v>
      </c>
      <c r="BQ332" s="1620">
        <v>550</v>
      </c>
      <c r="BR332" s="1620">
        <v>3.8279130550765124</v>
      </c>
      <c r="BS332" s="1620">
        <v>3.67514264239801</v>
      </c>
      <c r="BT332" s="1603"/>
      <c r="BU332" s="1620">
        <v>1000</v>
      </c>
      <c r="BV332" s="1620">
        <v>-9.1919191907823211E-4</v>
      </c>
      <c r="BW332" s="1620">
        <v>0</v>
      </c>
      <c r="BX332" s="1620">
        <v>0</v>
      </c>
      <c r="BY332" s="1620">
        <v>0</v>
      </c>
      <c r="BZ332" s="1620">
        <v>0</v>
      </c>
      <c r="CA332" s="1620">
        <v>0</v>
      </c>
      <c r="CB332" s="1603"/>
      <c r="CC332" s="1603">
        <v>0</v>
      </c>
      <c r="CD332" s="1603">
        <v>0</v>
      </c>
      <c r="CE332" s="1603">
        <v>0</v>
      </c>
      <c r="CF332" s="1603">
        <v>0</v>
      </c>
      <c r="CG332" s="1603">
        <v>0</v>
      </c>
      <c r="CH332" s="1603">
        <v>0</v>
      </c>
      <c r="CI332" s="1603">
        <v>0</v>
      </c>
      <c r="CJ332" s="1603"/>
      <c r="CK332" s="1603">
        <v>0</v>
      </c>
      <c r="CL332" s="1603">
        <v>0</v>
      </c>
      <c r="CM332" s="1603">
        <v>0</v>
      </c>
      <c r="CN332" s="1603">
        <v>0</v>
      </c>
      <c r="CO332" s="1603">
        <v>0</v>
      </c>
      <c r="CP332" s="1603">
        <v>0</v>
      </c>
      <c r="CQ332" s="1603">
        <v>0</v>
      </c>
      <c r="CR332" s="1603">
        <v>0</v>
      </c>
      <c r="CS332" s="1603">
        <v>0</v>
      </c>
      <c r="CT332" s="1603">
        <v>0</v>
      </c>
      <c r="CU332" s="1603">
        <v>0</v>
      </c>
      <c r="CV332" s="1603">
        <v>0</v>
      </c>
      <c r="CW332" s="1603">
        <v>0</v>
      </c>
      <c r="CX332" s="1603">
        <v>0</v>
      </c>
      <c r="CY332" s="1603">
        <v>0</v>
      </c>
      <c r="CZ332" s="1603">
        <v>0</v>
      </c>
      <c r="DA332" s="1603">
        <v>0</v>
      </c>
      <c r="DB332" s="1603">
        <v>0</v>
      </c>
      <c r="DC332" s="1603">
        <v>0</v>
      </c>
      <c r="DD332" s="1603">
        <v>0</v>
      </c>
      <c r="DE332" s="1603">
        <v>0</v>
      </c>
      <c r="DF332" s="1603">
        <v>0</v>
      </c>
      <c r="DG332" s="1603">
        <v>0</v>
      </c>
      <c r="DH332" s="1619">
        <v>0</v>
      </c>
      <c r="DI332" s="1603">
        <v>0</v>
      </c>
      <c r="DJ332" s="1603">
        <v>0</v>
      </c>
      <c r="DK332" s="1603">
        <v>0</v>
      </c>
      <c r="DL332" s="1603">
        <v>0</v>
      </c>
      <c r="DM332" s="1603">
        <v>0</v>
      </c>
      <c r="DN332" s="1603">
        <v>0</v>
      </c>
      <c r="DO332" s="1603">
        <v>0</v>
      </c>
      <c r="DP332" s="1603">
        <v>0</v>
      </c>
      <c r="DQ332" s="1603">
        <v>0</v>
      </c>
      <c r="DR332" s="1603">
        <v>0</v>
      </c>
      <c r="DS332" s="1603">
        <v>0</v>
      </c>
      <c r="DT332" s="1603">
        <v>0</v>
      </c>
      <c r="DU332" s="1603">
        <v>0</v>
      </c>
      <c r="DV332" s="1603">
        <v>0</v>
      </c>
      <c r="DW332" s="1618" t="s">
        <v>2953</v>
      </c>
      <c r="DX332" s="1605" t="s">
        <v>986</v>
      </c>
      <c r="DY332" s="1605" t="s">
        <v>986</v>
      </c>
      <c r="DZ332" s="1605" t="s">
        <v>986</v>
      </c>
      <c r="EA332" s="1605" t="s">
        <v>986</v>
      </c>
      <c r="EB332" s="1605" t="s">
        <v>986</v>
      </c>
      <c r="EC332" s="1605" t="s">
        <v>986</v>
      </c>
      <c r="ED332" s="1605" t="s">
        <v>986</v>
      </c>
      <c r="EE332" s="1605" t="s">
        <v>986</v>
      </c>
      <c r="EF332" s="1605" t="s">
        <v>986</v>
      </c>
      <c r="EG332" s="1605" t="s">
        <v>986</v>
      </c>
      <c r="EH332" s="1605" t="s">
        <v>986</v>
      </c>
      <c r="EI332" s="1605" t="s">
        <v>986</v>
      </c>
      <c r="EJ332" s="1605" t="s">
        <v>986</v>
      </c>
      <c r="EK332" s="1605" t="s">
        <v>986</v>
      </c>
      <c r="EL332" s="1605" t="s">
        <v>986</v>
      </c>
      <c r="EM332" s="1605" t="s">
        <v>986</v>
      </c>
      <c r="EN332" s="1605" t="s">
        <v>986</v>
      </c>
      <c r="EO332" s="1605" t="s">
        <v>986</v>
      </c>
      <c r="EP332" s="1605" t="s">
        <v>986</v>
      </c>
      <c r="EQ332" s="1605" t="s">
        <v>986</v>
      </c>
      <c r="ER332" s="1605" t="s">
        <v>986</v>
      </c>
      <c r="ES332" s="1605" t="s">
        <v>986</v>
      </c>
      <c r="ET332" s="1605" t="s">
        <v>986</v>
      </c>
      <c r="EU332" s="1605" t="s">
        <v>986</v>
      </c>
      <c r="EV332" s="1605" t="s">
        <v>986</v>
      </c>
      <c r="EW332" s="1605" t="s">
        <v>986</v>
      </c>
      <c r="EX332" s="1605" t="s">
        <v>986</v>
      </c>
      <c r="EY332" s="1605" t="s">
        <v>986</v>
      </c>
      <c r="EZ332" s="1605" t="s">
        <v>986</v>
      </c>
      <c r="FA332" s="1605" t="s">
        <v>986</v>
      </c>
      <c r="FB332" s="1605" t="s">
        <v>986</v>
      </c>
      <c r="FC332" s="1605" t="s">
        <v>986</v>
      </c>
      <c r="FD332" s="1605" t="s">
        <v>986</v>
      </c>
      <c r="FE332" s="1605" t="s">
        <v>986</v>
      </c>
      <c r="FF332" s="1605" t="s">
        <v>986</v>
      </c>
      <c r="FG332" s="1605" t="s">
        <v>986</v>
      </c>
      <c r="FH332" s="1605" t="s">
        <v>986</v>
      </c>
      <c r="FI332" s="1605" t="s">
        <v>986</v>
      </c>
      <c r="FJ332" s="1605" t="s">
        <v>986</v>
      </c>
      <c r="FK332" s="1605" t="s">
        <v>986</v>
      </c>
      <c r="FL332" s="1605" t="s">
        <v>986</v>
      </c>
      <c r="FM332" s="1605" t="s">
        <v>986</v>
      </c>
      <c r="FN332" s="1605" t="s">
        <v>986</v>
      </c>
      <c r="FO332" s="1605" t="s">
        <v>986</v>
      </c>
      <c r="FP332" s="1605" t="s">
        <v>986</v>
      </c>
      <c r="FQ332" s="1605" t="s">
        <v>986</v>
      </c>
      <c r="FR332" s="1605" t="s">
        <v>986</v>
      </c>
      <c r="FS332" s="1605" t="s">
        <v>986</v>
      </c>
      <c r="FT332" s="1605" t="s">
        <v>986</v>
      </c>
      <c r="FU332" s="1605" t="s">
        <v>986</v>
      </c>
      <c r="FV332" s="1605" t="s">
        <v>986</v>
      </c>
      <c r="FW332" s="1605" t="s">
        <v>986</v>
      </c>
      <c r="FX332" s="1605" t="s">
        <v>986</v>
      </c>
      <c r="FY332" s="1605" t="s">
        <v>986</v>
      </c>
      <c r="FZ332" s="1605" t="s">
        <v>986</v>
      </c>
      <c r="GA332" s="1605" t="s">
        <v>986</v>
      </c>
      <c r="GB332" s="1605" t="s">
        <v>986</v>
      </c>
      <c r="GC332" s="1605" t="s">
        <v>986</v>
      </c>
      <c r="GD332" s="1605" t="s">
        <v>986</v>
      </c>
      <c r="GE332" s="1605" t="s">
        <v>986</v>
      </c>
      <c r="GF332" s="1605" t="s">
        <v>986</v>
      </c>
      <c r="GG332" s="1605" t="s">
        <v>986</v>
      </c>
      <c r="GH332" s="1605" t="s">
        <v>986</v>
      </c>
      <c r="GI332" s="1605" t="s">
        <v>986</v>
      </c>
      <c r="GJ332" s="1605" t="s">
        <v>986</v>
      </c>
      <c r="GK332" s="1605" t="s">
        <v>986</v>
      </c>
      <c r="GL332" s="1605" t="s">
        <v>986</v>
      </c>
      <c r="GM332" s="1605" t="s">
        <v>986</v>
      </c>
      <c r="GN332" s="1605" t="s">
        <v>986</v>
      </c>
      <c r="GO332" s="1605" t="s">
        <v>986</v>
      </c>
      <c r="GP332" s="1605" t="s">
        <v>986</v>
      </c>
      <c r="GQ332" s="1605" t="s">
        <v>986</v>
      </c>
      <c r="GR332" s="1605" t="s">
        <v>986</v>
      </c>
      <c r="GS332" s="1605" t="s">
        <v>986</v>
      </c>
      <c r="GT332" s="1605" t="s">
        <v>986</v>
      </c>
      <c r="GU332" s="1605" t="s">
        <v>986</v>
      </c>
      <c r="GV332" s="1605" t="s">
        <v>986</v>
      </c>
      <c r="GW332" s="1605" t="s">
        <v>986</v>
      </c>
      <c r="GX332" s="1605" t="s">
        <v>986</v>
      </c>
      <c r="GY332" s="1605" t="s">
        <v>986</v>
      </c>
      <c r="GZ332" s="1605" t="s">
        <v>986</v>
      </c>
      <c r="HA332" s="1605" t="s">
        <v>986</v>
      </c>
      <c r="HB332" s="1605" t="s">
        <v>986</v>
      </c>
      <c r="HC332" s="1605" t="s">
        <v>986</v>
      </c>
      <c r="HD332" s="1605" t="s">
        <v>986</v>
      </c>
      <c r="HE332" s="1605" t="s">
        <v>986</v>
      </c>
      <c r="HF332" s="1605" t="s">
        <v>986</v>
      </c>
      <c r="HG332" s="1605" t="s">
        <v>986</v>
      </c>
      <c r="HH332" s="1605" t="s">
        <v>986</v>
      </c>
      <c r="HI332" s="1605" t="s">
        <v>986</v>
      </c>
      <c r="HJ332" s="1605" t="s">
        <v>986</v>
      </c>
      <c r="HK332" s="1605" t="s">
        <v>986</v>
      </c>
      <c r="HL332" s="1605" t="s">
        <v>986</v>
      </c>
      <c r="HM332" s="1605" t="s">
        <v>986</v>
      </c>
      <c r="HN332" s="1605" t="s">
        <v>986</v>
      </c>
      <c r="HO332" s="1605" t="s">
        <v>986</v>
      </c>
      <c r="HP332" s="1605" t="s">
        <v>986</v>
      </c>
      <c r="HQ332" s="1605" t="s">
        <v>986</v>
      </c>
      <c r="HR332" s="1605" t="s">
        <v>986</v>
      </c>
      <c r="HS332" s="1605" t="s">
        <v>986</v>
      </c>
      <c r="HT332" s="1605" t="s">
        <v>986</v>
      </c>
      <c r="HU332" s="1605" t="s">
        <v>986</v>
      </c>
      <c r="HV332" s="1617"/>
      <c r="HW332" s="1617" t="s">
        <v>2952</v>
      </c>
      <c r="HX332" s="1617" t="s">
        <v>2952</v>
      </c>
      <c r="HY332" s="1617">
        <v>0</v>
      </c>
      <c r="HZ332" s="1603"/>
      <c r="IA332" s="1603"/>
      <c r="IB332" s="1603"/>
      <c r="IC332" s="1603">
        <v>0</v>
      </c>
      <c r="ID332" s="1603">
        <v>0</v>
      </c>
      <c r="IE332" s="1603">
        <v>0</v>
      </c>
      <c r="IF332" s="1603">
        <v>0</v>
      </c>
      <c r="IG332" s="1611" t="s">
        <v>2959</v>
      </c>
      <c r="IH332" s="1616" t="s">
        <v>270</v>
      </c>
      <c r="II332" s="1615" t="s">
        <v>270</v>
      </c>
      <c r="IJ332" s="1613">
        <v>7.6681007990289975</v>
      </c>
      <c r="IK332" s="1613">
        <v>6.2681201480212394</v>
      </c>
      <c r="IL332" s="1614">
        <v>7.6681007990289975</v>
      </c>
      <c r="IM332" s="1614">
        <v>6.2681201480212394</v>
      </c>
      <c r="IN332" s="1612" t="s">
        <v>270</v>
      </c>
      <c r="IO332" s="1613" t="s">
        <v>270</v>
      </c>
      <c r="IP332" s="1607">
        <v>1.8906403069544322</v>
      </c>
      <c r="IQ332" s="1612" t="s">
        <v>270</v>
      </c>
      <c r="IR332" s="1612" t="s">
        <v>270</v>
      </c>
      <c r="IS332" s="1607">
        <v>7.3321007990289973</v>
      </c>
      <c r="IT332" s="1607">
        <v>5.9321201480212391</v>
      </c>
      <c r="IU332" s="1611">
        <v>1.9384662350829649E-5</v>
      </c>
      <c r="IV332" s="1611">
        <v>1.3137838900208091E-2</v>
      </c>
      <c r="IW332" s="1611">
        <v>6.6765739054131289E-3</v>
      </c>
      <c r="IX332" s="1611">
        <v>2.5948209533887411E-3</v>
      </c>
      <c r="IY332" s="1611">
        <v>6.7115525178264258E-3</v>
      </c>
      <c r="IZ332" s="1611">
        <v>1.1466446360438191E-2</v>
      </c>
      <c r="JA332" s="1611">
        <v>3.4572359475268545E-4</v>
      </c>
      <c r="JB332" s="1611">
        <v>3.5534017170367879E-3</v>
      </c>
      <c r="JC332" s="1611">
        <v>1.4902294704219972</v>
      </c>
      <c r="JD332" s="1611">
        <v>4.8364795852513194E-2</v>
      </c>
      <c r="JE332" s="1611">
        <v>4.2122831829423335E-2</v>
      </c>
      <c r="JF332" s="1611">
        <v>2.4480398462098816E-3</v>
      </c>
      <c r="JG332" s="1611">
        <v>0.36581119748087743</v>
      </c>
      <c r="JH332" s="1611">
        <v>1.8544278866987121E-3</v>
      </c>
      <c r="JI332" s="1611">
        <v>0.21779297030119302</v>
      </c>
      <c r="JJ332" s="1611">
        <v>1.3543553989974393E-3</v>
      </c>
      <c r="JK332" s="1607">
        <f t="shared" si="14"/>
        <v>0.3360000000000003</v>
      </c>
      <c r="JL332" s="1608" t="s">
        <v>270</v>
      </c>
      <c r="JM332" s="1610" t="s">
        <v>2924</v>
      </c>
      <c r="JN332" s="1608">
        <v>1.3999806510077581</v>
      </c>
      <c r="JO332" s="1609" t="s">
        <v>2958</v>
      </c>
      <c r="JP332" s="1608" t="s">
        <v>270</v>
      </c>
      <c r="JQ332" s="1607">
        <v>201901</v>
      </c>
      <c r="JR332" s="1606">
        <v>140</v>
      </c>
      <c r="JS332" s="1606" t="s">
        <v>270</v>
      </c>
      <c r="JT332" s="1606" t="s">
        <v>270</v>
      </c>
    </row>
    <row r="333" spans="1:280" ht="15" customHeight="1" x14ac:dyDescent="0.2">
      <c r="A333" s="1626">
        <v>88700</v>
      </c>
      <c r="B333" s="1625">
        <v>887</v>
      </c>
      <c r="C333" s="1624">
        <v>0</v>
      </c>
      <c r="D333" s="1623" t="s">
        <v>2957</v>
      </c>
      <c r="E333" s="1622">
        <v>43031</v>
      </c>
      <c r="F333" s="1620">
        <v>4.0372998991892004</v>
      </c>
      <c r="G333" s="1620">
        <v>3.87617294493718</v>
      </c>
      <c r="H333" s="1621">
        <v>97</v>
      </c>
      <c r="I333" s="1621">
        <v>97</v>
      </c>
      <c r="J333" s="1621">
        <v>90</v>
      </c>
      <c r="K333" s="1620">
        <v>1.06</v>
      </c>
      <c r="L333" s="1620">
        <v>99.5</v>
      </c>
      <c r="M333" s="1620">
        <v>1.0050505050505E-4</v>
      </c>
      <c r="N333" s="1620">
        <v>99.5</v>
      </c>
      <c r="O333" s="1620">
        <v>0</v>
      </c>
      <c r="P333" s="1620">
        <v>0</v>
      </c>
      <c r="Q333" s="1603"/>
      <c r="R333" s="1620">
        <v>0</v>
      </c>
      <c r="S333" s="1620">
        <v>0</v>
      </c>
      <c r="T333" s="1620">
        <v>0</v>
      </c>
      <c r="U333" s="1620">
        <v>0</v>
      </c>
      <c r="V333" s="1620">
        <v>0</v>
      </c>
      <c r="W333" s="1620">
        <v>0</v>
      </c>
      <c r="X333" s="1620"/>
      <c r="Y333" s="1620">
        <v>0</v>
      </c>
      <c r="Z333" s="1620">
        <v>0</v>
      </c>
      <c r="AA333" s="1620">
        <v>0</v>
      </c>
      <c r="AB333" s="1620">
        <v>0</v>
      </c>
      <c r="AC333" s="1620">
        <v>0</v>
      </c>
      <c r="AD333" s="1620">
        <v>0</v>
      </c>
      <c r="AE333" s="1620">
        <v>0</v>
      </c>
      <c r="AF333" s="1620">
        <v>0</v>
      </c>
      <c r="AG333" s="1620">
        <v>0</v>
      </c>
      <c r="AH333" s="1620">
        <v>0</v>
      </c>
      <c r="AI333" s="1620">
        <v>0</v>
      </c>
      <c r="AJ333" s="1620">
        <v>0</v>
      </c>
      <c r="AK333" s="1620">
        <v>0</v>
      </c>
      <c r="AL333" s="1620"/>
      <c r="AM333" s="1620">
        <v>0</v>
      </c>
      <c r="AN333" s="1620">
        <v>0</v>
      </c>
      <c r="AO333" s="1620">
        <v>0</v>
      </c>
      <c r="AP333" s="1620">
        <v>0</v>
      </c>
      <c r="AQ333" s="1620">
        <v>0</v>
      </c>
      <c r="AR333" s="1620">
        <v>0</v>
      </c>
      <c r="AS333" s="1620">
        <v>0</v>
      </c>
      <c r="AT333" s="1620">
        <v>0</v>
      </c>
      <c r="AU333" s="1620">
        <v>0</v>
      </c>
      <c r="AV333" s="1620">
        <v>0</v>
      </c>
      <c r="AW333" s="1620">
        <v>0</v>
      </c>
      <c r="AX333" s="1620"/>
      <c r="AY333" s="1620">
        <v>1</v>
      </c>
      <c r="AZ333" s="1620">
        <v>1</v>
      </c>
      <c r="BA333" s="1620">
        <v>1</v>
      </c>
      <c r="BB333" s="1620">
        <v>1</v>
      </c>
      <c r="BC333" s="1620">
        <v>1</v>
      </c>
      <c r="BD333" s="1620">
        <v>1</v>
      </c>
      <c r="BE333" s="1620">
        <v>1</v>
      </c>
      <c r="BF333" s="1620">
        <v>1</v>
      </c>
      <c r="BG333" s="1620">
        <v>1</v>
      </c>
      <c r="BH333" s="1620">
        <v>1</v>
      </c>
      <c r="BI333" s="1620">
        <v>1</v>
      </c>
      <c r="BJ333" s="1603"/>
      <c r="BK333" s="1620">
        <v>1.0101010101010051E-4</v>
      </c>
      <c r="BL333" s="1620">
        <v>100</v>
      </c>
      <c r="BM333" s="1620">
        <v>0</v>
      </c>
      <c r="BN333" s="1620">
        <v>0</v>
      </c>
      <c r="BO333" s="1620"/>
      <c r="BP333" s="1620">
        <v>116</v>
      </c>
      <c r="BQ333" s="1620">
        <v>1160</v>
      </c>
      <c r="BR333" s="1620">
        <v>4.0575878383811066</v>
      </c>
      <c r="BS333" s="1620">
        <v>3.8956512009418898</v>
      </c>
      <c r="BT333" s="1603"/>
      <c r="BU333" s="1620">
        <v>1000</v>
      </c>
      <c r="BV333" s="1620">
        <v>-9.1919191907823211E-4</v>
      </c>
      <c r="BW333" s="1620">
        <v>0</v>
      </c>
      <c r="BX333" s="1620">
        <v>0</v>
      </c>
      <c r="BY333" s="1620">
        <v>0</v>
      </c>
      <c r="BZ333" s="1620">
        <v>0</v>
      </c>
      <c r="CA333" s="1620">
        <v>0</v>
      </c>
      <c r="CB333" s="1603"/>
      <c r="CC333" s="1603">
        <v>0</v>
      </c>
      <c r="CD333" s="1603">
        <v>0</v>
      </c>
      <c r="CE333" s="1603">
        <v>0</v>
      </c>
      <c r="CF333" s="1603">
        <v>0</v>
      </c>
      <c r="CG333" s="1603">
        <v>0</v>
      </c>
      <c r="CH333" s="1603">
        <v>0</v>
      </c>
      <c r="CI333" s="1603">
        <v>0</v>
      </c>
      <c r="CJ333" s="1603"/>
      <c r="CK333" s="1603">
        <v>0</v>
      </c>
      <c r="CL333" s="1603">
        <v>0</v>
      </c>
      <c r="CM333" s="1603">
        <v>0</v>
      </c>
      <c r="CN333" s="1603">
        <v>0</v>
      </c>
      <c r="CO333" s="1603">
        <v>0</v>
      </c>
      <c r="CP333" s="1603">
        <v>0</v>
      </c>
      <c r="CQ333" s="1603">
        <v>0</v>
      </c>
      <c r="CR333" s="1603">
        <v>0</v>
      </c>
      <c r="CS333" s="1603">
        <v>0</v>
      </c>
      <c r="CT333" s="1603">
        <v>0</v>
      </c>
      <c r="CU333" s="1603">
        <v>0</v>
      </c>
      <c r="CV333" s="1603">
        <v>0</v>
      </c>
      <c r="CW333" s="1603">
        <v>0</v>
      </c>
      <c r="CX333" s="1603">
        <v>0</v>
      </c>
      <c r="CY333" s="1603">
        <v>0</v>
      </c>
      <c r="CZ333" s="1603">
        <v>0</v>
      </c>
      <c r="DA333" s="1603">
        <v>0</v>
      </c>
      <c r="DB333" s="1603">
        <v>0</v>
      </c>
      <c r="DC333" s="1603">
        <v>0</v>
      </c>
      <c r="DD333" s="1603">
        <v>0</v>
      </c>
      <c r="DE333" s="1603">
        <v>0</v>
      </c>
      <c r="DF333" s="1603">
        <v>0</v>
      </c>
      <c r="DG333" s="1603">
        <v>0</v>
      </c>
      <c r="DH333" s="1619">
        <v>0</v>
      </c>
      <c r="DI333" s="1603">
        <v>0</v>
      </c>
      <c r="DJ333" s="1603">
        <v>0</v>
      </c>
      <c r="DK333" s="1603">
        <v>0</v>
      </c>
      <c r="DL333" s="1603">
        <v>0</v>
      </c>
      <c r="DM333" s="1603">
        <v>0</v>
      </c>
      <c r="DN333" s="1603">
        <v>0</v>
      </c>
      <c r="DO333" s="1603">
        <v>0</v>
      </c>
      <c r="DP333" s="1603">
        <v>0</v>
      </c>
      <c r="DQ333" s="1603">
        <v>0</v>
      </c>
      <c r="DR333" s="1603">
        <v>0</v>
      </c>
      <c r="DS333" s="1603">
        <v>0</v>
      </c>
      <c r="DT333" s="1603">
        <v>0</v>
      </c>
      <c r="DU333" s="1603">
        <v>0</v>
      </c>
      <c r="DV333" s="1603">
        <v>0</v>
      </c>
      <c r="DW333" s="1618" t="s">
        <v>2953</v>
      </c>
      <c r="DX333" s="1605" t="s">
        <v>986</v>
      </c>
      <c r="DY333" s="1605" t="s">
        <v>986</v>
      </c>
      <c r="DZ333" s="1605" t="s">
        <v>986</v>
      </c>
      <c r="EA333" s="1605" t="s">
        <v>986</v>
      </c>
      <c r="EB333" s="1605" t="s">
        <v>986</v>
      </c>
      <c r="EC333" s="1605" t="s">
        <v>986</v>
      </c>
      <c r="ED333" s="1605" t="s">
        <v>986</v>
      </c>
      <c r="EE333" s="1605" t="s">
        <v>986</v>
      </c>
      <c r="EF333" s="1605" t="s">
        <v>986</v>
      </c>
      <c r="EG333" s="1605" t="s">
        <v>986</v>
      </c>
      <c r="EH333" s="1605" t="s">
        <v>986</v>
      </c>
      <c r="EI333" s="1605" t="s">
        <v>986</v>
      </c>
      <c r="EJ333" s="1605" t="s">
        <v>986</v>
      </c>
      <c r="EK333" s="1605" t="s">
        <v>986</v>
      </c>
      <c r="EL333" s="1605" t="s">
        <v>986</v>
      </c>
      <c r="EM333" s="1605" t="s">
        <v>986</v>
      </c>
      <c r="EN333" s="1605" t="s">
        <v>986</v>
      </c>
      <c r="EO333" s="1605" t="s">
        <v>986</v>
      </c>
      <c r="EP333" s="1605" t="s">
        <v>986</v>
      </c>
      <c r="EQ333" s="1605" t="s">
        <v>986</v>
      </c>
      <c r="ER333" s="1605" t="s">
        <v>986</v>
      </c>
      <c r="ES333" s="1605" t="s">
        <v>986</v>
      </c>
      <c r="ET333" s="1605" t="s">
        <v>986</v>
      </c>
      <c r="EU333" s="1605" t="s">
        <v>986</v>
      </c>
      <c r="EV333" s="1605" t="s">
        <v>986</v>
      </c>
      <c r="EW333" s="1605" t="s">
        <v>986</v>
      </c>
      <c r="EX333" s="1605" t="s">
        <v>986</v>
      </c>
      <c r="EY333" s="1605" t="s">
        <v>986</v>
      </c>
      <c r="EZ333" s="1605" t="s">
        <v>986</v>
      </c>
      <c r="FA333" s="1605" t="s">
        <v>986</v>
      </c>
      <c r="FB333" s="1605" t="s">
        <v>986</v>
      </c>
      <c r="FC333" s="1605" t="s">
        <v>986</v>
      </c>
      <c r="FD333" s="1605" t="s">
        <v>986</v>
      </c>
      <c r="FE333" s="1605" t="s">
        <v>986</v>
      </c>
      <c r="FF333" s="1605" t="s">
        <v>986</v>
      </c>
      <c r="FG333" s="1605" t="s">
        <v>986</v>
      </c>
      <c r="FH333" s="1605" t="s">
        <v>986</v>
      </c>
      <c r="FI333" s="1605" t="s">
        <v>986</v>
      </c>
      <c r="FJ333" s="1605" t="s">
        <v>986</v>
      </c>
      <c r="FK333" s="1605" t="s">
        <v>986</v>
      </c>
      <c r="FL333" s="1605" t="s">
        <v>986</v>
      </c>
      <c r="FM333" s="1605" t="s">
        <v>986</v>
      </c>
      <c r="FN333" s="1605" t="s">
        <v>986</v>
      </c>
      <c r="FO333" s="1605" t="s">
        <v>986</v>
      </c>
      <c r="FP333" s="1605" t="s">
        <v>986</v>
      </c>
      <c r="FQ333" s="1605" t="s">
        <v>986</v>
      </c>
      <c r="FR333" s="1605" t="s">
        <v>986</v>
      </c>
      <c r="FS333" s="1605" t="s">
        <v>986</v>
      </c>
      <c r="FT333" s="1605" t="s">
        <v>986</v>
      </c>
      <c r="FU333" s="1605" t="s">
        <v>986</v>
      </c>
      <c r="FV333" s="1605" t="s">
        <v>986</v>
      </c>
      <c r="FW333" s="1605" t="s">
        <v>986</v>
      </c>
      <c r="FX333" s="1605" t="s">
        <v>986</v>
      </c>
      <c r="FY333" s="1605" t="s">
        <v>986</v>
      </c>
      <c r="FZ333" s="1605" t="s">
        <v>986</v>
      </c>
      <c r="GA333" s="1605" t="s">
        <v>986</v>
      </c>
      <c r="GB333" s="1605" t="s">
        <v>986</v>
      </c>
      <c r="GC333" s="1605" t="s">
        <v>986</v>
      </c>
      <c r="GD333" s="1605" t="s">
        <v>986</v>
      </c>
      <c r="GE333" s="1605" t="s">
        <v>986</v>
      </c>
      <c r="GF333" s="1605" t="s">
        <v>986</v>
      </c>
      <c r="GG333" s="1605" t="s">
        <v>986</v>
      </c>
      <c r="GH333" s="1605" t="s">
        <v>986</v>
      </c>
      <c r="GI333" s="1605" t="s">
        <v>986</v>
      </c>
      <c r="GJ333" s="1605" t="s">
        <v>986</v>
      </c>
      <c r="GK333" s="1605" t="s">
        <v>986</v>
      </c>
      <c r="GL333" s="1605" t="s">
        <v>986</v>
      </c>
      <c r="GM333" s="1605" t="s">
        <v>986</v>
      </c>
      <c r="GN333" s="1605" t="s">
        <v>986</v>
      </c>
      <c r="GO333" s="1605" t="s">
        <v>986</v>
      </c>
      <c r="GP333" s="1605" t="s">
        <v>986</v>
      </c>
      <c r="GQ333" s="1605" t="s">
        <v>986</v>
      </c>
      <c r="GR333" s="1605" t="s">
        <v>986</v>
      </c>
      <c r="GS333" s="1605" t="s">
        <v>986</v>
      </c>
      <c r="GT333" s="1605" t="s">
        <v>986</v>
      </c>
      <c r="GU333" s="1605" t="s">
        <v>986</v>
      </c>
      <c r="GV333" s="1605" t="s">
        <v>986</v>
      </c>
      <c r="GW333" s="1605" t="s">
        <v>986</v>
      </c>
      <c r="GX333" s="1605" t="s">
        <v>986</v>
      </c>
      <c r="GY333" s="1605" t="s">
        <v>986</v>
      </c>
      <c r="GZ333" s="1605" t="s">
        <v>986</v>
      </c>
      <c r="HA333" s="1605" t="s">
        <v>986</v>
      </c>
      <c r="HB333" s="1605" t="s">
        <v>986</v>
      </c>
      <c r="HC333" s="1605" t="s">
        <v>986</v>
      </c>
      <c r="HD333" s="1605" t="s">
        <v>986</v>
      </c>
      <c r="HE333" s="1605" t="s">
        <v>986</v>
      </c>
      <c r="HF333" s="1605" t="s">
        <v>986</v>
      </c>
      <c r="HG333" s="1605" t="s">
        <v>986</v>
      </c>
      <c r="HH333" s="1605" t="s">
        <v>986</v>
      </c>
      <c r="HI333" s="1605" t="s">
        <v>986</v>
      </c>
      <c r="HJ333" s="1605" t="s">
        <v>986</v>
      </c>
      <c r="HK333" s="1605" t="s">
        <v>986</v>
      </c>
      <c r="HL333" s="1605" t="s">
        <v>986</v>
      </c>
      <c r="HM333" s="1605" t="s">
        <v>986</v>
      </c>
      <c r="HN333" s="1605" t="s">
        <v>986</v>
      </c>
      <c r="HO333" s="1605" t="s">
        <v>986</v>
      </c>
      <c r="HP333" s="1605" t="s">
        <v>986</v>
      </c>
      <c r="HQ333" s="1605" t="s">
        <v>986</v>
      </c>
      <c r="HR333" s="1605" t="s">
        <v>986</v>
      </c>
      <c r="HS333" s="1605" t="s">
        <v>986</v>
      </c>
      <c r="HT333" s="1605" t="s">
        <v>986</v>
      </c>
      <c r="HU333" s="1605" t="s">
        <v>986</v>
      </c>
      <c r="HV333" s="1617"/>
      <c r="HW333" s="1617" t="s">
        <v>2952</v>
      </c>
      <c r="HX333" s="1617" t="s">
        <v>2952</v>
      </c>
      <c r="HY333" s="1617">
        <v>0</v>
      </c>
      <c r="HZ333" s="1603"/>
      <c r="IA333" s="1603"/>
      <c r="IB333" s="1603"/>
      <c r="IC333" s="1603">
        <v>0</v>
      </c>
      <c r="ID333" s="1603">
        <v>0</v>
      </c>
      <c r="IE333" s="1603">
        <v>0</v>
      </c>
      <c r="IF333" s="1603">
        <v>0</v>
      </c>
      <c r="IG333" s="1611" t="s">
        <v>2956</v>
      </c>
      <c r="IH333" s="1616" t="s">
        <v>270</v>
      </c>
      <c r="II333" s="1615" t="s">
        <v>270</v>
      </c>
      <c r="IJ333" s="1613">
        <v>2.2006800000000002</v>
      </c>
      <c r="IK333" s="1613">
        <v>1.98953</v>
      </c>
      <c r="IL333" s="1614">
        <v>2.2006800000000002</v>
      </c>
      <c r="IM333" s="1614">
        <v>1.98953</v>
      </c>
      <c r="IN333" s="1612" t="s">
        <v>270</v>
      </c>
      <c r="IO333" s="1613" t="s">
        <v>270</v>
      </c>
      <c r="IP333" s="1607" t="s">
        <v>270</v>
      </c>
      <c r="IQ333" s="1612" t="s">
        <v>270</v>
      </c>
      <c r="IR333" s="1612" t="s">
        <v>270</v>
      </c>
      <c r="IS333" s="1607">
        <v>2.0276800000000001</v>
      </c>
      <c r="IT333" s="1607">
        <v>1.81653</v>
      </c>
      <c r="IU333" s="1611">
        <v>2.9999999999999997E-5</v>
      </c>
      <c r="IV333" s="1611">
        <v>1.0529999999999999E-2</v>
      </c>
      <c r="IW333" s="1611">
        <v>2.7100000000000002E-3</v>
      </c>
      <c r="IX333" s="1611">
        <v>4.2699999999999995E-3</v>
      </c>
      <c r="IY333" s="1611">
        <v>2.8300000000000005E-3</v>
      </c>
      <c r="IZ333" s="1611">
        <v>3.1199999999999995E-2</v>
      </c>
      <c r="JA333" s="1611">
        <v>5.9999999999999995E-4</v>
      </c>
      <c r="JB333" s="1611" t="s">
        <v>270</v>
      </c>
      <c r="JC333" s="1611">
        <v>0.69671000000000005</v>
      </c>
      <c r="JD333" s="1611">
        <v>1.417E-2</v>
      </c>
      <c r="JE333" s="1611" t="s">
        <v>270</v>
      </c>
      <c r="JF333" s="1611">
        <v>1.8599999999999999E-3</v>
      </c>
      <c r="JG333" s="1611">
        <v>11.466879999999998</v>
      </c>
      <c r="JH333" s="1611">
        <v>1.0200000000000001E-3</v>
      </c>
      <c r="JI333" s="1611">
        <v>0.25185000000000002</v>
      </c>
      <c r="JJ333" s="1611" t="s">
        <v>270</v>
      </c>
      <c r="JK333" s="1607">
        <f t="shared" si="14"/>
        <v>0.17300000000000004</v>
      </c>
      <c r="JL333" s="1608" t="s">
        <v>270</v>
      </c>
      <c r="JM333" s="1610" t="s">
        <v>2924</v>
      </c>
      <c r="JN333" s="1608">
        <v>0.21115000000000017</v>
      </c>
      <c r="JO333" s="1609" t="s">
        <v>2955</v>
      </c>
      <c r="JP333" s="1608" t="s">
        <v>270</v>
      </c>
      <c r="JQ333" s="1607">
        <v>202103</v>
      </c>
      <c r="JR333" s="1606">
        <v>75</v>
      </c>
      <c r="JS333" s="1606">
        <v>87</v>
      </c>
      <c r="JT333" s="1606">
        <v>87</v>
      </c>
    </row>
    <row r="334" spans="1:280" ht="15" customHeight="1" x14ac:dyDescent="0.2">
      <c r="A334" s="1626">
        <v>88500</v>
      </c>
      <c r="B334" s="1625">
        <v>885</v>
      </c>
      <c r="C334" s="1624">
        <v>0</v>
      </c>
      <c r="D334" s="1623" t="s">
        <v>2954</v>
      </c>
      <c r="E334" s="1622">
        <v>43031</v>
      </c>
      <c r="F334" s="1620">
        <v>4.0372998991892004</v>
      </c>
      <c r="G334" s="1620">
        <v>3.87617294493718</v>
      </c>
      <c r="H334" s="1621">
        <v>97</v>
      </c>
      <c r="I334" s="1621">
        <v>97</v>
      </c>
      <c r="J334" s="1621">
        <v>90</v>
      </c>
      <c r="K334" s="1620">
        <v>1.06</v>
      </c>
      <c r="L334" s="1620">
        <v>99.5</v>
      </c>
      <c r="M334" s="1620">
        <v>1.0050505050505E-4</v>
      </c>
      <c r="N334" s="1620">
        <v>99.5</v>
      </c>
      <c r="O334" s="1620">
        <v>0</v>
      </c>
      <c r="P334" s="1620">
        <v>0</v>
      </c>
      <c r="Q334" s="1603"/>
      <c r="R334" s="1620">
        <v>0</v>
      </c>
      <c r="S334" s="1620">
        <v>0</v>
      </c>
      <c r="T334" s="1620">
        <v>0</v>
      </c>
      <c r="U334" s="1620">
        <v>0</v>
      </c>
      <c r="V334" s="1620">
        <v>0</v>
      </c>
      <c r="W334" s="1620">
        <v>0</v>
      </c>
      <c r="X334" s="1620"/>
      <c r="Y334" s="1620">
        <v>0</v>
      </c>
      <c r="Z334" s="1620">
        <v>0</v>
      </c>
      <c r="AA334" s="1620">
        <v>0</v>
      </c>
      <c r="AB334" s="1620">
        <v>0</v>
      </c>
      <c r="AC334" s="1620">
        <v>0</v>
      </c>
      <c r="AD334" s="1620">
        <v>0</v>
      </c>
      <c r="AE334" s="1620">
        <v>0</v>
      </c>
      <c r="AF334" s="1620">
        <v>0</v>
      </c>
      <c r="AG334" s="1620">
        <v>0</v>
      </c>
      <c r="AH334" s="1620">
        <v>0</v>
      </c>
      <c r="AI334" s="1620">
        <v>0</v>
      </c>
      <c r="AJ334" s="1620">
        <v>0</v>
      </c>
      <c r="AK334" s="1620">
        <v>0</v>
      </c>
      <c r="AL334" s="1620"/>
      <c r="AM334" s="1620">
        <v>0</v>
      </c>
      <c r="AN334" s="1620">
        <v>0</v>
      </c>
      <c r="AO334" s="1620">
        <v>0</v>
      </c>
      <c r="AP334" s="1620">
        <v>0</v>
      </c>
      <c r="AQ334" s="1620">
        <v>0</v>
      </c>
      <c r="AR334" s="1620">
        <v>0</v>
      </c>
      <c r="AS334" s="1620">
        <v>0</v>
      </c>
      <c r="AT334" s="1620">
        <v>0</v>
      </c>
      <c r="AU334" s="1620">
        <v>0</v>
      </c>
      <c r="AV334" s="1620">
        <v>0</v>
      </c>
      <c r="AW334" s="1620">
        <v>0</v>
      </c>
      <c r="AX334" s="1620"/>
      <c r="AY334" s="1620">
        <v>1</v>
      </c>
      <c r="AZ334" s="1620">
        <v>1</v>
      </c>
      <c r="BA334" s="1620">
        <v>1</v>
      </c>
      <c r="BB334" s="1620">
        <v>1</v>
      </c>
      <c r="BC334" s="1620">
        <v>1</v>
      </c>
      <c r="BD334" s="1620">
        <v>1</v>
      </c>
      <c r="BE334" s="1620">
        <v>1</v>
      </c>
      <c r="BF334" s="1620">
        <v>1</v>
      </c>
      <c r="BG334" s="1620">
        <v>1</v>
      </c>
      <c r="BH334" s="1620">
        <v>1</v>
      </c>
      <c r="BI334" s="1620">
        <v>1</v>
      </c>
      <c r="BJ334" s="1603"/>
      <c r="BK334" s="1620">
        <v>1.0101010101010051E-4</v>
      </c>
      <c r="BL334" s="1620">
        <v>100</v>
      </c>
      <c r="BM334" s="1620">
        <v>0</v>
      </c>
      <c r="BN334" s="1620">
        <v>0</v>
      </c>
      <c r="BO334" s="1620"/>
      <c r="BP334" s="1620">
        <v>140</v>
      </c>
      <c r="BQ334" s="1620">
        <v>1400</v>
      </c>
      <c r="BR334" s="1620">
        <v>4.0575878383811066</v>
      </c>
      <c r="BS334" s="1620">
        <v>3.8956512009418898</v>
      </c>
      <c r="BT334" s="1603"/>
      <c r="BU334" s="1620">
        <v>1000</v>
      </c>
      <c r="BV334" s="1620">
        <v>-9.1919191907823211E-4</v>
      </c>
      <c r="BW334" s="1620">
        <v>0</v>
      </c>
      <c r="BX334" s="1620">
        <v>0</v>
      </c>
      <c r="BY334" s="1620">
        <v>0</v>
      </c>
      <c r="BZ334" s="1620">
        <v>0</v>
      </c>
      <c r="CA334" s="1620">
        <v>0</v>
      </c>
      <c r="CB334" s="1603"/>
      <c r="CC334" s="1603">
        <v>0</v>
      </c>
      <c r="CD334" s="1603">
        <v>0</v>
      </c>
      <c r="CE334" s="1603">
        <v>0</v>
      </c>
      <c r="CF334" s="1603">
        <v>0</v>
      </c>
      <c r="CG334" s="1603">
        <v>0</v>
      </c>
      <c r="CH334" s="1603">
        <v>0</v>
      </c>
      <c r="CI334" s="1603">
        <v>0</v>
      </c>
      <c r="CJ334" s="1603"/>
      <c r="CK334" s="1603">
        <v>0</v>
      </c>
      <c r="CL334" s="1603">
        <v>0</v>
      </c>
      <c r="CM334" s="1603">
        <v>0</v>
      </c>
      <c r="CN334" s="1603">
        <v>0</v>
      </c>
      <c r="CO334" s="1603">
        <v>0</v>
      </c>
      <c r="CP334" s="1603">
        <v>0</v>
      </c>
      <c r="CQ334" s="1603">
        <v>0</v>
      </c>
      <c r="CR334" s="1603">
        <v>0</v>
      </c>
      <c r="CS334" s="1603">
        <v>0</v>
      </c>
      <c r="CT334" s="1603">
        <v>0</v>
      </c>
      <c r="CU334" s="1603">
        <v>0</v>
      </c>
      <c r="CV334" s="1603">
        <v>0</v>
      </c>
      <c r="CW334" s="1603">
        <v>0</v>
      </c>
      <c r="CX334" s="1603">
        <v>0</v>
      </c>
      <c r="CY334" s="1603">
        <v>0</v>
      </c>
      <c r="CZ334" s="1603">
        <v>0</v>
      </c>
      <c r="DA334" s="1603">
        <v>0</v>
      </c>
      <c r="DB334" s="1603">
        <v>0</v>
      </c>
      <c r="DC334" s="1603">
        <v>0</v>
      </c>
      <c r="DD334" s="1603">
        <v>0</v>
      </c>
      <c r="DE334" s="1603">
        <v>0</v>
      </c>
      <c r="DF334" s="1603">
        <v>0</v>
      </c>
      <c r="DG334" s="1603">
        <v>0</v>
      </c>
      <c r="DH334" s="1619">
        <v>0</v>
      </c>
      <c r="DI334" s="1603">
        <v>0</v>
      </c>
      <c r="DJ334" s="1603">
        <v>0</v>
      </c>
      <c r="DK334" s="1603">
        <v>0</v>
      </c>
      <c r="DL334" s="1603">
        <v>0</v>
      </c>
      <c r="DM334" s="1603">
        <v>0</v>
      </c>
      <c r="DN334" s="1603">
        <v>0</v>
      </c>
      <c r="DO334" s="1603">
        <v>0</v>
      </c>
      <c r="DP334" s="1603">
        <v>0</v>
      </c>
      <c r="DQ334" s="1603">
        <v>0</v>
      </c>
      <c r="DR334" s="1603">
        <v>0</v>
      </c>
      <c r="DS334" s="1603">
        <v>0</v>
      </c>
      <c r="DT334" s="1603">
        <v>0</v>
      </c>
      <c r="DU334" s="1603">
        <v>0</v>
      </c>
      <c r="DV334" s="1603">
        <v>0</v>
      </c>
      <c r="DW334" s="1618" t="s">
        <v>2953</v>
      </c>
      <c r="DX334" s="1605" t="s">
        <v>986</v>
      </c>
      <c r="DY334" s="1605" t="s">
        <v>986</v>
      </c>
      <c r="DZ334" s="1605" t="s">
        <v>986</v>
      </c>
      <c r="EA334" s="1605" t="s">
        <v>986</v>
      </c>
      <c r="EB334" s="1605" t="s">
        <v>986</v>
      </c>
      <c r="EC334" s="1605" t="s">
        <v>986</v>
      </c>
      <c r="ED334" s="1605" t="s">
        <v>986</v>
      </c>
      <c r="EE334" s="1605" t="s">
        <v>986</v>
      </c>
      <c r="EF334" s="1605" t="s">
        <v>986</v>
      </c>
      <c r="EG334" s="1605" t="s">
        <v>986</v>
      </c>
      <c r="EH334" s="1605" t="s">
        <v>986</v>
      </c>
      <c r="EI334" s="1605" t="s">
        <v>986</v>
      </c>
      <c r="EJ334" s="1605" t="s">
        <v>986</v>
      </c>
      <c r="EK334" s="1605" t="s">
        <v>986</v>
      </c>
      <c r="EL334" s="1605" t="s">
        <v>986</v>
      </c>
      <c r="EM334" s="1605" t="s">
        <v>986</v>
      </c>
      <c r="EN334" s="1605" t="s">
        <v>986</v>
      </c>
      <c r="EO334" s="1605" t="s">
        <v>986</v>
      </c>
      <c r="EP334" s="1605" t="s">
        <v>986</v>
      </c>
      <c r="EQ334" s="1605" t="s">
        <v>986</v>
      </c>
      <c r="ER334" s="1605" t="s">
        <v>986</v>
      </c>
      <c r="ES334" s="1605" t="s">
        <v>986</v>
      </c>
      <c r="ET334" s="1605" t="s">
        <v>986</v>
      </c>
      <c r="EU334" s="1605" t="s">
        <v>986</v>
      </c>
      <c r="EV334" s="1605" t="s">
        <v>986</v>
      </c>
      <c r="EW334" s="1605" t="s">
        <v>986</v>
      </c>
      <c r="EX334" s="1605" t="s">
        <v>986</v>
      </c>
      <c r="EY334" s="1605" t="s">
        <v>986</v>
      </c>
      <c r="EZ334" s="1605" t="s">
        <v>986</v>
      </c>
      <c r="FA334" s="1605" t="s">
        <v>986</v>
      </c>
      <c r="FB334" s="1605" t="s">
        <v>986</v>
      </c>
      <c r="FC334" s="1605" t="s">
        <v>986</v>
      </c>
      <c r="FD334" s="1605" t="s">
        <v>986</v>
      </c>
      <c r="FE334" s="1605" t="s">
        <v>986</v>
      </c>
      <c r="FF334" s="1605" t="s">
        <v>986</v>
      </c>
      <c r="FG334" s="1605" t="s">
        <v>986</v>
      </c>
      <c r="FH334" s="1605" t="s">
        <v>986</v>
      </c>
      <c r="FI334" s="1605" t="s">
        <v>986</v>
      </c>
      <c r="FJ334" s="1605" t="s">
        <v>986</v>
      </c>
      <c r="FK334" s="1605" t="s">
        <v>986</v>
      </c>
      <c r="FL334" s="1605" t="s">
        <v>986</v>
      </c>
      <c r="FM334" s="1605" t="s">
        <v>986</v>
      </c>
      <c r="FN334" s="1605" t="s">
        <v>986</v>
      </c>
      <c r="FO334" s="1605" t="s">
        <v>986</v>
      </c>
      <c r="FP334" s="1605" t="s">
        <v>986</v>
      </c>
      <c r="FQ334" s="1605" t="s">
        <v>986</v>
      </c>
      <c r="FR334" s="1605" t="s">
        <v>986</v>
      </c>
      <c r="FS334" s="1605" t="s">
        <v>986</v>
      </c>
      <c r="FT334" s="1605" t="s">
        <v>986</v>
      </c>
      <c r="FU334" s="1605" t="s">
        <v>986</v>
      </c>
      <c r="FV334" s="1605" t="s">
        <v>986</v>
      </c>
      <c r="FW334" s="1605" t="s">
        <v>986</v>
      </c>
      <c r="FX334" s="1605" t="s">
        <v>986</v>
      </c>
      <c r="FY334" s="1605" t="s">
        <v>986</v>
      </c>
      <c r="FZ334" s="1605" t="s">
        <v>986</v>
      </c>
      <c r="GA334" s="1605" t="s">
        <v>986</v>
      </c>
      <c r="GB334" s="1605" t="s">
        <v>986</v>
      </c>
      <c r="GC334" s="1605" t="s">
        <v>986</v>
      </c>
      <c r="GD334" s="1605" t="s">
        <v>986</v>
      </c>
      <c r="GE334" s="1605" t="s">
        <v>986</v>
      </c>
      <c r="GF334" s="1605" t="s">
        <v>986</v>
      </c>
      <c r="GG334" s="1605" t="s">
        <v>986</v>
      </c>
      <c r="GH334" s="1605" t="s">
        <v>986</v>
      </c>
      <c r="GI334" s="1605" t="s">
        <v>986</v>
      </c>
      <c r="GJ334" s="1605" t="s">
        <v>986</v>
      </c>
      <c r="GK334" s="1605" t="s">
        <v>986</v>
      </c>
      <c r="GL334" s="1605" t="s">
        <v>986</v>
      </c>
      <c r="GM334" s="1605" t="s">
        <v>986</v>
      </c>
      <c r="GN334" s="1605" t="s">
        <v>986</v>
      </c>
      <c r="GO334" s="1605" t="s">
        <v>986</v>
      </c>
      <c r="GP334" s="1605" t="s">
        <v>986</v>
      </c>
      <c r="GQ334" s="1605" t="s">
        <v>986</v>
      </c>
      <c r="GR334" s="1605" t="s">
        <v>986</v>
      </c>
      <c r="GS334" s="1605" t="s">
        <v>986</v>
      </c>
      <c r="GT334" s="1605" t="s">
        <v>986</v>
      </c>
      <c r="GU334" s="1605" t="s">
        <v>986</v>
      </c>
      <c r="GV334" s="1605" t="s">
        <v>986</v>
      </c>
      <c r="GW334" s="1605" t="s">
        <v>986</v>
      </c>
      <c r="GX334" s="1605" t="s">
        <v>986</v>
      </c>
      <c r="GY334" s="1605" t="s">
        <v>986</v>
      </c>
      <c r="GZ334" s="1605" t="s">
        <v>986</v>
      </c>
      <c r="HA334" s="1605" t="s">
        <v>986</v>
      </c>
      <c r="HB334" s="1605" t="s">
        <v>986</v>
      </c>
      <c r="HC334" s="1605" t="s">
        <v>986</v>
      </c>
      <c r="HD334" s="1605" t="s">
        <v>986</v>
      </c>
      <c r="HE334" s="1605" t="s">
        <v>986</v>
      </c>
      <c r="HF334" s="1605" t="s">
        <v>986</v>
      </c>
      <c r="HG334" s="1605" t="s">
        <v>986</v>
      </c>
      <c r="HH334" s="1605" t="s">
        <v>986</v>
      </c>
      <c r="HI334" s="1605" t="s">
        <v>986</v>
      </c>
      <c r="HJ334" s="1605" t="s">
        <v>986</v>
      </c>
      <c r="HK334" s="1605" t="s">
        <v>986</v>
      </c>
      <c r="HL334" s="1605" t="s">
        <v>986</v>
      </c>
      <c r="HM334" s="1605" t="s">
        <v>986</v>
      </c>
      <c r="HN334" s="1605" t="s">
        <v>986</v>
      </c>
      <c r="HO334" s="1605" t="s">
        <v>986</v>
      </c>
      <c r="HP334" s="1605" t="s">
        <v>986</v>
      </c>
      <c r="HQ334" s="1605" t="s">
        <v>986</v>
      </c>
      <c r="HR334" s="1605" t="s">
        <v>986</v>
      </c>
      <c r="HS334" s="1605" t="s">
        <v>986</v>
      </c>
      <c r="HT334" s="1605" t="s">
        <v>986</v>
      </c>
      <c r="HU334" s="1605" t="s">
        <v>986</v>
      </c>
      <c r="HV334" s="1617"/>
      <c r="HW334" s="1617" t="s">
        <v>2952</v>
      </c>
      <c r="HX334" s="1617" t="s">
        <v>2952</v>
      </c>
      <c r="HY334" s="1617">
        <v>0</v>
      </c>
      <c r="HZ334" s="1603"/>
      <c r="IA334" s="1603"/>
      <c r="IB334" s="1603"/>
      <c r="IC334" s="1603">
        <v>0</v>
      </c>
      <c r="ID334" s="1603">
        <v>0</v>
      </c>
      <c r="IE334" s="1603">
        <v>0</v>
      </c>
      <c r="IF334" s="1603">
        <v>0</v>
      </c>
      <c r="IG334" s="1611" t="s">
        <v>2951</v>
      </c>
      <c r="IH334" s="1616" t="s">
        <v>270</v>
      </c>
      <c r="II334" s="1615" t="s">
        <v>270</v>
      </c>
      <c r="IJ334" s="1613">
        <v>14.37576</v>
      </c>
      <c r="IK334" s="1613">
        <v>1.9553175</v>
      </c>
      <c r="IL334" s="1614">
        <v>14.37576</v>
      </c>
      <c r="IM334" s="1614">
        <v>1.9553175</v>
      </c>
      <c r="IN334" s="1612" t="s">
        <v>270</v>
      </c>
      <c r="IO334" s="1613" t="s">
        <v>270</v>
      </c>
      <c r="IP334" s="1607" t="s">
        <v>270</v>
      </c>
      <c r="IQ334" s="1612" t="s">
        <v>270</v>
      </c>
      <c r="IR334" s="1612" t="s">
        <v>270</v>
      </c>
      <c r="IS334" s="1607">
        <v>14.040759999999999</v>
      </c>
      <c r="IT334" s="1607">
        <v>1.6203175000000001</v>
      </c>
      <c r="IU334" s="1611">
        <v>1.0000000000000001E-5</v>
      </c>
      <c r="IV334" s="1611">
        <v>3.3257499999999995E-2</v>
      </c>
      <c r="IW334" s="1611">
        <v>3.6000000000000003E-3</v>
      </c>
      <c r="IX334" s="1611">
        <v>1.8374999999999999E-3</v>
      </c>
      <c r="IY334" s="1611">
        <v>3.7999999999999996E-3</v>
      </c>
      <c r="IZ334" s="1611">
        <v>7.3850000000000009E-3</v>
      </c>
      <c r="JA334" s="1611">
        <v>5.8750000000000002E-4</v>
      </c>
      <c r="JB334" s="1611" t="s">
        <v>270</v>
      </c>
      <c r="JC334" s="1611">
        <v>1.8036099999999997</v>
      </c>
      <c r="JD334" s="1611">
        <v>0.13014499999999998</v>
      </c>
      <c r="JE334" s="1611" t="s">
        <v>270</v>
      </c>
      <c r="JF334" s="1611">
        <v>1.2949999999999999E-3</v>
      </c>
      <c r="JG334" s="1611">
        <v>2.0188424999999999</v>
      </c>
      <c r="JH334" s="1611">
        <v>2.1574999999999997E-3</v>
      </c>
      <c r="JI334" s="1611">
        <v>0.35293000000000008</v>
      </c>
      <c r="JJ334" s="1611" t="s">
        <v>270</v>
      </c>
      <c r="JK334" s="1607">
        <f t="shared" si="14"/>
        <v>0.33500000000000085</v>
      </c>
      <c r="JL334" s="1608" t="s">
        <v>270</v>
      </c>
      <c r="JM334" s="1610" t="s">
        <v>2924</v>
      </c>
      <c r="JN334" s="1608">
        <v>12.420442499999998</v>
      </c>
      <c r="JO334" s="1609" t="s">
        <v>2950</v>
      </c>
      <c r="JP334" s="1608" t="s">
        <v>270</v>
      </c>
      <c r="JQ334" s="1607">
        <v>202103</v>
      </c>
      <c r="JR334" s="1606">
        <v>89</v>
      </c>
      <c r="JS334" s="1606">
        <v>100</v>
      </c>
      <c r="JT334" s="1606">
        <v>100</v>
      </c>
    </row>
    <row r="335" spans="1:280" ht="15" customHeight="1" x14ac:dyDescent="0.2">
      <c r="A335" s="1626">
        <v>65300</v>
      </c>
      <c r="B335" s="1625">
        <v>653</v>
      </c>
      <c r="C335" s="1624">
        <v>0</v>
      </c>
      <c r="D335" s="1623" t="s">
        <v>2949</v>
      </c>
      <c r="E335" s="1622">
        <v>40310</v>
      </c>
      <c r="F335" s="1620" t="s">
        <v>270</v>
      </c>
      <c r="G335" s="1620" t="s">
        <v>270</v>
      </c>
      <c r="H335" s="1621" t="s">
        <v>270</v>
      </c>
      <c r="I335" s="1621" t="s">
        <v>270</v>
      </c>
      <c r="J335" s="1621">
        <v>91</v>
      </c>
      <c r="K335" s="1620">
        <v>1</v>
      </c>
      <c r="L335" s="1620">
        <v>88</v>
      </c>
      <c r="M335" s="1620">
        <v>0.88</v>
      </c>
      <c r="N335" s="1620" t="s">
        <v>270</v>
      </c>
      <c r="O335" s="1620" t="s">
        <v>270</v>
      </c>
      <c r="P335" s="1620" t="s">
        <v>270</v>
      </c>
      <c r="Q335" s="1603"/>
      <c r="R335" s="1620" t="s">
        <v>270</v>
      </c>
      <c r="S335" s="1620" t="s">
        <v>270</v>
      </c>
      <c r="T335" s="1620" t="s">
        <v>270</v>
      </c>
      <c r="U335" s="1620" t="s">
        <v>270</v>
      </c>
      <c r="V335" s="1620" t="s">
        <v>270</v>
      </c>
      <c r="W335" s="1620" t="s">
        <v>270</v>
      </c>
      <c r="X335" s="1620"/>
      <c r="Y335" s="1620" t="s">
        <v>270</v>
      </c>
      <c r="Z335" s="1620" t="s">
        <v>270</v>
      </c>
      <c r="AA335" s="1620" t="s">
        <v>270</v>
      </c>
      <c r="AB335" s="1620" t="s">
        <v>270</v>
      </c>
      <c r="AC335" s="1620" t="s">
        <v>270</v>
      </c>
      <c r="AD335" s="1620" t="s">
        <v>270</v>
      </c>
      <c r="AE335" s="1620">
        <v>0</v>
      </c>
      <c r="AF335" s="1620">
        <v>0</v>
      </c>
      <c r="AG335" s="1620">
        <v>0</v>
      </c>
      <c r="AH335" s="1620">
        <v>0</v>
      </c>
      <c r="AI335" s="1620">
        <v>0</v>
      </c>
      <c r="AJ335" s="1620">
        <v>0</v>
      </c>
      <c r="AK335" s="1620">
        <v>0</v>
      </c>
      <c r="AL335" s="1620"/>
      <c r="AM335" s="1620" t="s">
        <v>270</v>
      </c>
      <c r="AN335" s="1620" t="s">
        <v>270</v>
      </c>
      <c r="AO335" s="1620" t="s">
        <v>270</v>
      </c>
      <c r="AP335" s="1620" t="s">
        <v>270</v>
      </c>
      <c r="AQ335" s="1620" t="s">
        <v>270</v>
      </c>
      <c r="AR335" s="1620" t="s">
        <v>270</v>
      </c>
      <c r="AS335" s="1620" t="s">
        <v>270</v>
      </c>
      <c r="AT335" s="1620" t="s">
        <v>270</v>
      </c>
      <c r="AU335" s="1620" t="s">
        <v>270</v>
      </c>
      <c r="AV335" s="1620" t="s">
        <v>270</v>
      </c>
      <c r="AW335" s="1620" t="s">
        <v>270</v>
      </c>
      <c r="AX335" s="1620"/>
      <c r="AY335" s="1620">
        <v>1</v>
      </c>
      <c r="AZ335" s="1620">
        <v>1</v>
      </c>
      <c r="BA335" s="1620">
        <v>1</v>
      </c>
      <c r="BB335" s="1620">
        <v>1</v>
      </c>
      <c r="BC335" s="1620">
        <v>1</v>
      </c>
      <c r="BD335" s="1620">
        <v>1</v>
      </c>
      <c r="BE335" s="1620">
        <v>1</v>
      </c>
      <c r="BF335" s="1620">
        <v>1</v>
      </c>
      <c r="BG335" s="1620">
        <v>1</v>
      </c>
      <c r="BH335" s="1620">
        <v>1</v>
      </c>
      <c r="BI335" s="1620">
        <v>1</v>
      </c>
      <c r="BJ335" s="1603"/>
      <c r="BK335" s="1620">
        <v>1</v>
      </c>
      <c r="BL335" s="1620" t="s">
        <v>270</v>
      </c>
      <c r="BM335" s="1620" t="s">
        <v>270</v>
      </c>
      <c r="BN335" s="1620" t="s">
        <v>270</v>
      </c>
      <c r="BO335" s="1620"/>
      <c r="BP335" s="1620">
        <v>0</v>
      </c>
      <c r="BQ335" s="1620" t="s">
        <v>270</v>
      </c>
      <c r="BR335" s="1620" t="s">
        <v>270</v>
      </c>
      <c r="BS335" s="1620" t="s">
        <v>270</v>
      </c>
      <c r="BT335" s="1603"/>
      <c r="BU335" s="1620" t="s">
        <v>270</v>
      </c>
      <c r="BV335" s="1620" t="s">
        <v>270</v>
      </c>
      <c r="BW335" s="1620" t="s">
        <v>270</v>
      </c>
      <c r="BX335" s="1620" t="s">
        <v>270</v>
      </c>
      <c r="BY335" s="1620" t="s">
        <v>270</v>
      </c>
      <c r="BZ335" s="1620" t="s">
        <v>270</v>
      </c>
      <c r="CA335" s="1620" t="s">
        <v>270</v>
      </c>
      <c r="CB335" s="1603"/>
      <c r="CC335" s="1603" t="s">
        <v>270</v>
      </c>
      <c r="CD335" s="1603" t="s">
        <v>270</v>
      </c>
      <c r="CE335" s="1603" t="s">
        <v>270</v>
      </c>
      <c r="CF335" s="1603" t="s">
        <v>270</v>
      </c>
      <c r="CG335" s="1603" t="s">
        <v>270</v>
      </c>
      <c r="CH335" s="1603" t="s">
        <v>270</v>
      </c>
      <c r="CI335" s="1603">
        <v>0</v>
      </c>
      <c r="CJ335" s="1603"/>
      <c r="CK335" s="1603">
        <v>0</v>
      </c>
      <c r="CL335" s="1603">
        <v>0</v>
      </c>
      <c r="CM335" s="1603">
        <v>0</v>
      </c>
      <c r="CN335" s="1603">
        <v>0</v>
      </c>
      <c r="CO335" s="1603">
        <v>0</v>
      </c>
      <c r="CP335" s="1603">
        <v>0</v>
      </c>
      <c r="CQ335" s="1603">
        <v>0</v>
      </c>
      <c r="CR335" s="1603" t="s">
        <v>270</v>
      </c>
      <c r="CS335" s="1603" t="s">
        <v>270</v>
      </c>
      <c r="CT335" s="1603" t="s">
        <v>270</v>
      </c>
      <c r="CU335" s="1603" t="s">
        <v>270</v>
      </c>
      <c r="CV335" s="1603" t="s">
        <v>270</v>
      </c>
      <c r="CW335" s="1603" t="s">
        <v>270</v>
      </c>
      <c r="CX335" s="1603" t="s">
        <v>270</v>
      </c>
      <c r="CY335" s="1603" t="s">
        <v>270</v>
      </c>
      <c r="CZ335" s="1603" t="s">
        <v>270</v>
      </c>
      <c r="DA335" s="1603" t="s">
        <v>270</v>
      </c>
      <c r="DB335" s="1603" t="s">
        <v>270</v>
      </c>
      <c r="DC335" s="1603" t="s">
        <v>270</v>
      </c>
      <c r="DD335" s="1603" t="s">
        <v>270</v>
      </c>
      <c r="DE335" s="1603" t="s">
        <v>270</v>
      </c>
      <c r="DF335" s="1603">
        <v>0</v>
      </c>
      <c r="DG335" s="1603" t="s">
        <v>270</v>
      </c>
      <c r="DH335" s="1619" t="s">
        <v>270</v>
      </c>
      <c r="DI335" s="1603">
        <v>0</v>
      </c>
      <c r="DJ335" s="1603">
        <v>0</v>
      </c>
      <c r="DK335" s="1603">
        <v>0</v>
      </c>
      <c r="DL335" s="1603">
        <v>0</v>
      </c>
      <c r="DM335" s="1603">
        <v>0</v>
      </c>
      <c r="DN335" s="1603">
        <v>0</v>
      </c>
      <c r="DO335" s="1603">
        <v>0</v>
      </c>
      <c r="DP335" s="1603">
        <v>0</v>
      </c>
      <c r="DQ335" s="1603">
        <v>0</v>
      </c>
      <c r="DR335" s="1603">
        <v>0</v>
      </c>
      <c r="DS335" s="1603">
        <v>0</v>
      </c>
      <c r="DT335" s="1603">
        <v>0</v>
      </c>
      <c r="DU335" s="1603">
        <v>0</v>
      </c>
      <c r="DV335" s="1603">
        <v>0</v>
      </c>
      <c r="DW335" s="1618" t="s">
        <v>2948</v>
      </c>
      <c r="DX335" s="1605" t="s">
        <v>986</v>
      </c>
      <c r="DY335" s="1605" t="s">
        <v>986</v>
      </c>
      <c r="DZ335" s="1605" t="s">
        <v>986</v>
      </c>
      <c r="EA335" s="1605" t="s">
        <v>986</v>
      </c>
      <c r="EB335" s="1605" t="s">
        <v>986</v>
      </c>
      <c r="EC335" s="1605" t="s">
        <v>986</v>
      </c>
      <c r="ED335" s="1605" t="s">
        <v>986</v>
      </c>
      <c r="EE335" s="1605" t="s">
        <v>986</v>
      </c>
      <c r="EF335" s="1605" t="s">
        <v>986</v>
      </c>
      <c r="EG335" s="1605" t="s">
        <v>986</v>
      </c>
      <c r="EH335" s="1605" t="s">
        <v>986</v>
      </c>
      <c r="EI335" s="1605" t="s">
        <v>986</v>
      </c>
      <c r="EJ335" s="1605" t="s">
        <v>986</v>
      </c>
      <c r="EK335" s="1605" t="s">
        <v>986</v>
      </c>
      <c r="EL335" s="1605" t="s">
        <v>986</v>
      </c>
      <c r="EM335" s="1605" t="s">
        <v>986</v>
      </c>
      <c r="EN335" s="1605" t="s">
        <v>986</v>
      </c>
      <c r="EO335" s="1605" t="s">
        <v>986</v>
      </c>
      <c r="EP335" s="1605" t="s">
        <v>986</v>
      </c>
      <c r="EQ335" s="1605" t="s">
        <v>986</v>
      </c>
      <c r="ER335" s="1605" t="s">
        <v>986</v>
      </c>
      <c r="ES335" s="1605" t="s">
        <v>986</v>
      </c>
      <c r="ET335" s="1605" t="s">
        <v>986</v>
      </c>
      <c r="EU335" s="1605" t="s">
        <v>986</v>
      </c>
      <c r="EV335" s="1605" t="s">
        <v>986</v>
      </c>
      <c r="EW335" s="1605" t="s">
        <v>986</v>
      </c>
      <c r="EX335" s="1605" t="s">
        <v>986</v>
      </c>
      <c r="EY335" s="1605" t="s">
        <v>986</v>
      </c>
      <c r="EZ335" s="1605" t="s">
        <v>986</v>
      </c>
      <c r="FA335" s="1605" t="s">
        <v>986</v>
      </c>
      <c r="FB335" s="1605" t="s">
        <v>986</v>
      </c>
      <c r="FC335" s="1605" t="s">
        <v>986</v>
      </c>
      <c r="FD335" s="1605" t="s">
        <v>986</v>
      </c>
      <c r="FE335" s="1605" t="s">
        <v>986</v>
      </c>
      <c r="FF335" s="1605" t="s">
        <v>986</v>
      </c>
      <c r="FG335" s="1605" t="s">
        <v>986</v>
      </c>
      <c r="FH335" s="1605" t="s">
        <v>986</v>
      </c>
      <c r="FI335" s="1605" t="s">
        <v>986</v>
      </c>
      <c r="FJ335" s="1605" t="s">
        <v>986</v>
      </c>
      <c r="FK335" s="1605" t="s">
        <v>986</v>
      </c>
      <c r="FL335" s="1605" t="s">
        <v>986</v>
      </c>
      <c r="FM335" s="1605" t="s">
        <v>986</v>
      </c>
      <c r="FN335" s="1605" t="s">
        <v>986</v>
      </c>
      <c r="FO335" s="1605" t="s">
        <v>986</v>
      </c>
      <c r="FP335" s="1605" t="s">
        <v>986</v>
      </c>
      <c r="FQ335" s="1605" t="s">
        <v>986</v>
      </c>
      <c r="FR335" s="1605" t="s">
        <v>986</v>
      </c>
      <c r="FS335" s="1605" t="s">
        <v>986</v>
      </c>
      <c r="FT335" s="1605" t="s">
        <v>986</v>
      </c>
      <c r="FU335" s="1605" t="s">
        <v>986</v>
      </c>
      <c r="FV335" s="1605" t="s">
        <v>986</v>
      </c>
      <c r="FW335" s="1605" t="s">
        <v>986</v>
      </c>
      <c r="FX335" s="1605" t="s">
        <v>986</v>
      </c>
      <c r="FY335" s="1605" t="s">
        <v>986</v>
      </c>
      <c r="FZ335" s="1605" t="s">
        <v>986</v>
      </c>
      <c r="GA335" s="1605" t="s">
        <v>986</v>
      </c>
      <c r="GB335" s="1605" t="s">
        <v>986</v>
      </c>
      <c r="GC335" s="1605" t="s">
        <v>986</v>
      </c>
      <c r="GD335" s="1605" t="s">
        <v>986</v>
      </c>
      <c r="GE335" s="1605" t="s">
        <v>986</v>
      </c>
      <c r="GF335" s="1605" t="s">
        <v>986</v>
      </c>
      <c r="GG335" s="1605" t="s">
        <v>986</v>
      </c>
      <c r="GH335" s="1605" t="s">
        <v>986</v>
      </c>
      <c r="GI335" s="1605" t="s">
        <v>986</v>
      </c>
      <c r="GJ335" s="1605" t="s">
        <v>986</v>
      </c>
      <c r="GK335" s="1605" t="s">
        <v>986</v>
      </c>
      <c r="GL335" s="1605" t="s">
        <v>986</v>
      </c>
      <c r="GM335" s="1605" t="s">
        <v>986</v>
      </c>
      <c r="GN335" s="1605" t="s">
        <v>986</v>
      </c>
      <c r="GO335" s="1605" t="s">
        <v>986</v>
      </c>
      <c r="GP335" s="1605" t="s">
        <v>986</v>
      </c>
      <c r="GQ335" s="1605" t="s">
        <v>986</v>
      </c>
      <c r="GR335" s="1605" t="s">
        <v>986</v>
      </c>
      <c r="GS335" s="1605" t="s">
        <v>986</v>
      </c>
      <c r="GT335" s="1605" t="s">
        <v>986</v>
      </c>
      <c r="GU335" s="1605" t="s">
        <v>986</v>
      </c>
      <c r="GV335" s="1605" t="s">
        <v>986</v>
      </c>
      <c r="GW335" s="1605" t="s">
        <v>986</v>
      </c>
      <c r="GX335" s="1605" t="s">
        <v>986</v>
      </c>
      <c r="GY335" s="1605" t="s">
        <v>986</v>
      </c>
      <c r="GZ335" s="1605" t="s">
        <v>986</v>
      </c>
      <c r="HA335" s="1605" t="s">
        <v>986</v>
      </c>
      <c r="HB335" s="1605" t="s">
        <v>986</v>
      </c>
      <c r="HC335" s="1605" t="s">
        <v>986</v>
      </c>
      <c r="HD335" s="1605" t="s">
        <v>986</v>
      </c>
      <c r="HE335" s="1605" t="s">
        <v>986</v>
      </c>
      <c r="HF335" s="1605" t="s">
        <v>986</v>
      </c>
      <c r="HG335" s="1605" t="s">
        <v>986</v>
      </c>
      <c r="HH335" s="1605" t="s">
        <v>986</v>
      </c>
      <c r="HI335" s="1605" t="s">
        <v>986</v>
      </c>
      <c r="HJ335" s="1605" t="s">
        <v>986</v>
      </c>
      <c r="HK335" s="1605" t="s">
        <v>986</v>
      </c>
      <c r="HL335" s="1605" t="s">
        <v>986</v>
      </c>
      <c r="HM335" s="1605" t="s">
        <v>986</v>
      </c>
      <c r="HN335" s="1605" t="s">
        <v>986</v>
      </c>
      <c r="HO335" s="1605" t="s">
        <v>986</v>
      </c>
      <c r="HP335" s="1605" t="s">
        <v>986</v>
      </c>
      <c r="HQ335" s="1605" t="s">
        <v>986</v>
      </c>
      <c r="HR335" s="1605" t="s">
        <v>986</v>
      </c>
      <c r="HS335" s="1605" t="s">
        <v>986</v>
      </c>
      <c r="HT335" s="1605" t="s">
        <v>986</v>
      </c>
      <c r="HU335" s="1605" t="s">
        <v>986</v>
      </c>
      <c r="HV335" s="1617"/>
      <c r="HW335" s="1617" t="s">
        <v>2947</v>
      </c>
      <c r="HX335" s="1617">
        <v>0</v>
      </c>
      <c r="HY335" s="1617">
        <v>0</v>
      </c>
      <c r="HZ335" s="1603"/>
      <c r="IA335" s="1603"/>
      <c r="IB335" s="1603"/>
      <c r="IC335" s="1603" t="s">
        <v>270</v>
      </c>
      <c r="ID335" s="1603" t="s">
        <v>270</v>
      </c>
      <c r="IE335" s="1603" t="s">
        <v>270</v>
      </c>
      <c r="IF335" s="1603" t="s">
        <v>270</v>
      </c>
      <c r="IG335" s="1611" t="s">
        <v>270</v>
      </c>
      <c r="IH335" s="1616" t="s">
        <v>270</v>
      </c>
      <c r="II335" s="1615" t="s">
        <v>270</v>
      </c>
      <c r="IJ335" s="1613">
        <v>0.63600000000000001</v>
      </c>
      <c r="IK335" s="1613">
        <v>0.63600000000000001</v>
      </c>
      <c r="IL335" s="1614">
        <v>0.63600000000000001</v>
      </c>
      <c r="IM335" s="1614">
        <v>0.63600000000000001</v>
      </c>
      <c r="IN335" s="1612">
        <v>0.63600000000000001</v>
      </c>
      <c r="IO335" s="1613">
        <v>0</v>
      </c>
      <c r="IP335" s="1607" t="s">
        <v>270</v>
      </c>
      <c r="IQ335" s="1612" t="s">
        <v>270</v>
      </c>
      <c r="IR335" s="1612" t="s">
        <v>270</v>
      </c>
      <c r="IS335" s="1607" t="s">
        <v>270</v>
      </c>
      <c r="IT335" s="1607" t="s">
        <v>270</v>
      </c>
      <c r="IU335" s="1611" t="s">
        <v>270</v>
      </c>
      <c r="IV335" s="1611" t="s">
        <v>270</v>
      </c>
      <c r="IW335" s="1611" t="s">
        <v>270</v>
      </c>
      <c r="IX335" s="1611" t="s">
        <v>270</v>
      </c>
      <c r="IY335" s="1611" t="s">
        <v>270</v>
      </c>
      <c r="IZ335" s="1611" t="s">
        <v>270</v>
      </c>
      <c r="JA335" s="1611" t="s">
        <v>270</v>
      </c>
      <c r="JB335" s="1611" t="s">
        <v>270</v>
      </c>
      <c r="JC335" s="1611" t="s">
        <v>270</v>
      </c>
      <c r="JD335" s="1611" t="s">
        <v>270</v>
      </c>
      <c r="JE335" s="1611" t="s">
        <v>270</v>
      </c>
      <c r="JF335" s="1611" t="s">
        <v>270</v>
      </c>
      <c r="JG335" s="1611" t="s">
        <v>270</v>
      </c>
      <c r="JH335" s="1611" t="s">
        <v>270</v>
      </c>
      <c r="JI335" s="1611" t="s">
        <v>270</v>
      </c>
      <c r="JJ335" s="1611" t="s">
        <v>270</v>
      </c>
      <c r="JK335" s="1607" t="str">
        <f t="shared" si="14"/>
        <v/>
      </c>
      <c r="JL335" s="1608" t="s">
        <v>2946</v>
      </c>
      <c r="JM335" s="1610" t="s">
        <v>2945</v>
      </c>
      <c r="JN335" s="1608" t="s">
        <v>270</v>
      </c>
      <c r="JO335" s="1609" t="s">
        <v>270</v>
      </c>
      <c r="JP335" s="1608">
        <v>0.63600000000000001</v>
      </c>
      <c r="JQ335" s="1607" t="s">
        <v>270</v>
      </c>
      <c r="JR335" s="1606" t="s">
        <v>270</v>
      </c>
      <c r="JS335" s="1606" t="s">
        <v>270</v>
      </c>
      <c r="JT335" s="1606" t="s">
        <v>270</v>
      </c>
    </row>
    <row r="336" spans="1:280" ht="15" customHeight="1" x14ac:dyDescent="0.2">
      <c r="A336" s="1626">
        <v>99525</v>
      </c>
      <c r="B336" s="1625">
        <v>995</v>
      </c>
      <c r="C336" s="1624">
        <v>25</v>
      </c>
      <c r="D336" s="1623" t="s">
        <v>2944</v>
      </c>
      <c r="E336" s="1622">
        <v>43031</v>
      </c>
      <c r="F336" s="1620">
        <v>1.1453137804878</v>
      </c>
      <c r="G336" s="1620">
        <v>1.1150750454545399</v>
      </c>
      <c r="H336" s="1621">
        <v>91</v>
      </c>
      <c r="I336" s="1621">
        <v>91</v>
      </c>
      <c r="J336" s="1621">
        <v>92</v>
      </c>
      <c r="K336" s="1620">
        <v>1</v>
      </c>
      <c r="L336" s="1620">
        <v>96.5</v>
      </c>
      <c r="M336" s="1620">
        <v>73.34</v>
      </c>
      <c r="N336" s="1620">
        <v>0.96499999999999997</v>
      </c>
      <c r="O336" s="1620">
        <v>4.8250000000000002</v>
      </c>
      <c r="P336" s="1620">
        <v>0.193</v>
      </c>
      <c r="Q336" s="1603"/>
      <c r="R336" s="1620">
        <v>100</v>
      </c>
      <c r="S336" s="1620">
        <v>50</v>
      </c>
      <c r="T336" s="1620">
        <v>50</v>
      </c>
      <c r="U336" s="1620">
        <v>50</v>
      </c>
      <c r="V336" s="1620">
        <v>50</v>
      </c>
      <c r="W336" s="1620">
        <v>50</v>
      </c>
      <c r="X336" s="1620"/>
      <c r="Y336" s="1620">
        <v>0.90000000000000013</v>
      </c>
      <c r="Z336" s="1620">
        <v>2.2999999999999998</v>
      </c>
      <c r="AA336" s="1620">
        <v>1.4</v>
      </c>
      <c r="AB336" s="1620">
        <v>0</v>
      </c>
      <c r="AC336" s="1620">
        <v>12.399999999999999</v>
      </c>
      <c r="AD336" s="1620">
        <v>0.8</v>
      </c>
      <c r="AE336" s="1620">
        <v>0</v>
      </c>
      <c r="AF336" s="1620">
        <v>47</v>
      </c>
      <c r="AG336" s="1620">
        <v>5</v>
      </c>
      <c r="AH336" s="1620">
        <v>16</v>
      </c>
      <c r="AI336" s="1620">
        <v>23</v>
      </c>
      <c r="AJ336" s="1620">
        <v>0</v>
      </c>
      <c r="AK336" s="1620">
        <v>0</v>
      </c>
      <c r="AL336" s="1620"/>
      <c r="AM336" s="1620">
        <v>68.421052631578902</v>
      </c>
      <c r="AN336" s="1620">
        <v>0.22368421052631601</v>
      </c>
      <c r="AO336" s="1620">
        <v>0.144736842105263</v>
      </c>
      <c r="AP336" s="1620">
        <v>0.69736842105263197</v>
      </c>
      <c r="AQ336" s="1620">
        <v>0.197368421052632</v>
      </c>
      <c r="AR336" s="1620">
        <v>0.68421052631578905</v>
      </c>
      <c r="AS336" s="1620">
        <v>1.0526315789473699</v>
      </c>
      <c r="AT336" s="1620">
        <v>0.32894736842105299</v>
      </c>
      <c r="AU336" s="1620">
        <v>0.53947368421052599</v>
      </c>
      <c r="AV336" s="1620">
        <v>0.394736842105263</v>
      </c>
      <c r="AW336" s="1620">
        <v>0.90789473684210498</v>
      </c>
      <c r="AX336" s="1620"/>
      <c r="AY336" s="1620">
        <v>1</v>
      </c>
      <c r="AZ336" s="1620">
        <v>0.85</v>
      </c>
      <c r="BA336" s="1620">
        <v>0.85</v>
      </c>
      <c r="BB336" s="1620">
        <v>0.85</v>
      </c>
      <c r="BC336" s="1620">
        <v>0.85</v>
      </c>
      <c r="BD336" s="1620">
        <v>0.85</v>
      </c>
      <c r="BE336" s="1620">
        <v>0.85</v>
      </c>
      <c r="BF336" s="1620">
        <v>0.85</v>
      </c>
      <c r="BG336" s="1620">
        <v>0.85</v>
      </c>
      <c r="BH336" s="1620">
        <v>0.85</v>
      </c>
      <c r="BI336" s="1620">
        <v>0.85</v>
      </c>
      <c r="BJ336" s="1603"/>
      <c r="BK336" s="1620">
        <v>76</v>
      </c>
      <c r="BL336" s="1620">
        <v>1</v>
      </c>
      <c r="BM336" s="1620">
        <v>5</v>
      </c>
      <c r="BN336" s="1620">
        <v>0.2</v>
      </c>
      <c r="BO336" s="1620"/>
      <c r="BP336" s="1620">
        <v>0</v>
      </c>
      <c r="BQ336" s="1620">
        <v>0</v>
      </c>
      <c r="BR336" s="1620">
        <v>1.1868536585365803</v>
      </c>
      <c r="BS336" s="1620">
        <v>1.1555181818181761</v>
      </c>
      <c r="BT336" s="1603"/>
      <c r="BU336" s="1620">
        <v>950</v>
      </c>
      <c r="BV336" s="1620">
        <v>163.19999999999999</v>
      </c>
      <c r="BW336" s="1620">
        <v>0</v>
      </c>
      <c r="BX336" s="1620" t="s">
        <v>270</v>
      </c>
      <c r="BY336" s="1620" t="s">
        <v>270</v>
      </c>
      <c r="BZ336" s="1620" t="s">
        <v>270</v>
      </c>
      <c r="CA336" s="1620" t="s">
        <v>270</v>
      </c>
      <c r="CB336" s="1603"/>
      <c r="CC336" s="1603">
        <v>0.86850000000000005</v>
      </c>
      <c r="CD336" s="1603">
        <v>2.2194999999999996</v>
      </c>
      <c r="CE336" s="1603">
        <v>1.351</v>
      </c>
      <c r="CF336" s="1603">
        <v>0</v>
      </c>
      <c r="CG336" s="1603">
        <v>11.965999999999998</v>
      </c>
      <c r="CH336" s="1603">
        <v>0.77200000000000002</v>
      </c>
      <c r="CI336" s="1603">
        <v>0</v>
      </c>
      <c r="CJ336" s="1603"/>
      <c r="CK336" s="1603">
        <v>45.354999999999997</v>
      </c>
      <c r="CL336" s="1603">
        <v>4.8250000000000002</v>
      </c>
      <c r="CM336" s="1603">
        <v>15.44</v>
      </c>
      <c r="CN336" s="1603">
        <v>22.195</v>
      </c>
      <c r="CO336" s="1603">
        <v>0</v>
      </c>
      <c r="CP336" s="1603">
        <v>0</v>
      </c>
      <c r="CQ336" s="1603">
        <v>733.4</v>
      </c>
      <c r="CR336" s="1603">
        <v>640.34853373338262</v>
      </c>
      <c r="CS336" s="1603">
        <v>438.13320729126184</v>
      </c>
      <c r="CT336" s="1603">
        <v>1.2175047779536026</v>
      </c>
      <c r="CU336" s="1603">
        <v>0.78779720926409758</v>
      </c>
      <c r="CV336" s="1603">
        <v>2.0053019872176985</v>
      </c>
      <c r="CW336" s="1603">
        <v>3.7957501900906427</v>
      </c>
      <c r="CX336" s="1603">
        <v>1.0742689217237669</v>
      </c>
      <c r="CY336" s="1603">
        <v>3.7241322619757256</v>
      </c>
      <c r="CZ336" s="1603">
        <v>5.7294342491934325</v>
      </c>
      <c r="DA336" s="1603">
        <v>1.7904482028729451</v>
      </c>
      <c r="DB336" s="1603">
        <v>2.9363350527116294</v>
      </c>
      <c r="DC336" s="1603">
        <v>2.1485378434475337</v>
      </c>
      <c r="DD336" s="1603">
        <v>5.0848728961591636</v>
      </c>
      <c r="DE336" s="1603">
        <v>4.9416370399293283</v>
      </c>
      <c r="DF336" s="1603">
        <v>0</v>
      </c>
      <c r="DG336" s="1603">
        <v>0</v>
      </c>
      <c r="DH336" s="1619">
        <v>0</v>
      </c>
      <c r="DI336" s="1603">
        <v>0</v>
      </c>
      <c r="DJ336" s="1603">
        <v>0</v>
      </c>
      <c r="DK336" s="1603">
        <v>0</v>
      </c>
      <c r="DL336" s="1603">
        <v>0</v>
      </c>
      <c r="DM336" s="1603">
        <v>0</v>
      </c>
      <c r="DN336" s="1603">
        <v>0</v>
      </c>
      <c r="DO336" s="1603">
        <v>0</v>
      </c>
      <c r="DP336" s="1603">
        <v>0</v>
      </c>
      <c r="DQ336" s="1603">
        <v>0</v>
      </c>
      <c r="DR336" s="1603">
        <v>0</v>
      </c>
      <c r="DS336" s="1603">
        <v>0</v>
      </c>
      <c r="DT336" s="1603">
        <v>0</v>
      </c>
      <c r="DU336" s="1603">
        <v>0</v>
      </c>
      <c r="DV336" s="1603">
        <v>0</v>
      </c>
      <c r="DW336" s="1618" t="s">
        <v>986</v>
      </c>
      <c r="DX336" s="1605" t="s">
        <v>986</v>
      </c>
      <c r="DY336" s="1605" t="s">
        <v>986</v>
      </c>
      <c r="DZ336" s="1605" t="s">
        <v>986</v>
      </c>
      <c r="EA336" s="1605" t="s">
        <v>986</v>
      </c>
      <c r="EB336" s="1605" t="s">
        <v>986</v>
      </c>
      <c r="EC336" s="1605" t="s">
        <v>986</v>
      </c>
      <c r="ED336" s="1605" t="s">
        <v>986</v>
      </c>
      <c r="EE336" s="1605" t="s">
        <v>986</v>
      </c>
      <c r="EF336" s="1605" t="s">
        <v>986</v>
      </c>
      <c r="EG336" s="1605" t="s">
        <v>986</v>
      </c>
      <c r="EH336" s="1605" t="s">
        <v>986</v>
      </c>
      <c r="EI336" s="1605" t="s">
        <v>986</v>
      </c>
      <c r="EJ336" s="1605" t="s">
        <v>986</v>
      </c>
      <c r="EK336" s="1605" t="s">
        <v>986</v>
      </c>
      <c r="EL336" s="1605" t="s">
        <v>986</v>
      </c>
      <c r="EM336" s="1605" t="s">
        <v>986</v>
      </c>
      <c r="EN336" s="1605" t="s">
        <v>986</v>
      </c>
      <c r="EO336" s="1605" t="s">
        <v>986</v>
      </c>
      <c r="EP336" s="1605" t="s">
        <v>986</v>
      </c>
      <c r="EQ336" s="1605" t="s">
        <v>986</v>
      </c>
      <c r="ER336" s="1605" t="s">
        <v>986</v>
      </c>
      <c r="ES336" s="1605" t="s">
        <v>986</v>
      </c>
      <c r="ET336" s="1605" t="s">
        <v>986</v>
      </c>
      <c r="EU336" s="1605" t="s">
        <v>986</v>
      </c>
      <c r="EV336" s="1605" t="s">
        <v>986</v>
      </c>
      <c r="EW336" s="1605" t="s">
        <v>986</v>
      </c>
      <c r="EX336" s="1605" t="s">
        <v>986</v>
      </c>
      <c r="EY336" s="1605" t="s">
        <v>986</v>
      </c>
      <c r="EZ336" s="1605" t="s">
        <v>986</v>
      </c>
      <c r="FA336" s="1605" t="s">
        <v>986</v>
      </c>
      <c r="FB336" s="1605" t="s">
        <v>986</v>
      </c>
      <c r="FC336" s="1605" t="s">
        <v>986</v>
      </c>
      <c r="FD336" s="1605" t="s">
        <v>986</v>
      </c>
      <c r="FE336" s="1605" t="s">
        <v>986</v>
      </c>
      <c r="FF336" s="1605" t="s">
        <v>986</v>
      </c>
      <c r="FG336" s="1605" t="s">
        <v>986</v>
      </c>
      <c r="FH336" s="1605" t="s">
        <v>986</v>
      </c>
      <c r="FI336" s="1605" t="s">
        <v>986</v>
      </c>
      <c r="FJ336" s="1605" t="s">
        <v>986</v>
      </c>
      <c r="FK336" s="1605" t="s">
        <v>986</v>
      </c>
      <c r="FL336" s="1605" t="s">
        <v>986</v>
      </c>
      <c r="FM336" s="1605" t="s">
        <v>986</v>
      </c>
      <c r="FN336" s="1605" t="s">
        <v>986</v>
      </c>
      <c r="FO336" s="1605" t="s">
        <v>986</v>
      </c>
      <c r="FP336" s="1605" t="s">
        <v>986</v>
      </c>
      <c r="FQ336" s="1605" t="s">
        <v>986</v>
      </c>
      <c r="FR336" s="1605" t="s">
        <v>986</v>
      </c>
      <c r="FS336" s="1605" t="s">
        <v>986</v>
      </c>
      <c r="FT336" s="1605" t="s">
        <v>986</v>
      </c>
      <c r="FU336" s="1605" t="s">
        <v>986</v>
      </c>
      <c r="FV336" s="1605" t="s">
        <v>986</v>
      </c>
      <c r="FW336" s="1605" t="s">
        <v>986</v>
      </c>
      <c r="FX336" s="1605" t="s">
        <v>986</v>
      </c>
      <c r="FY336" s="1605" t="s">
        <v>986</v>
      </c>
      <c r="FZ336" s="1605" t="s">
        <v>986</v>
      </c>
      <c r="GA336" s="1605" t="s">
        <v>986</v>
      </c>
      <c r="GB336" s="1605" t="s">
        <v>986</v>
      </c>
      <c r="GC336" s="1605" t="s">
        <v>986</v>
      </c>
      <c r="GD336" s="1605" t="s">
        <v>986</v>
      </c>
      <c r="GE336" s="1605" t="s">
        <v>986</v>
      </c>
      <c r="GF336" s="1605" t="s">
        <v>986</v>
      </c>
      <c r="GG336" s="1605" t="s">
        <v>986</v>
      </c>
      <c r="GH336" s="1605" t="s">
        <v>986</v>
      </c>
      <c r="GI336" s="1605" t="s">
        <v>986</v>
      </c>
      <c r="GJ336" s="1605" t="s">
        <v>986</v>
      </c>
      <c r="GK336" s="1605" t="s">
        <v>986</v>
      </c>
      <c r="GL336" s="1605" t="s">
        <v>986</v>
      </c>
      <c r="GM336" s="1605" t="s">
        <v>986</v>
      </c>
      <c r="GN336" s="1605" t="s">
        <v>986</v>
      </c>
      <c r="GO336" s="1605" t="s">
        <v>986</v>
      </c>
      <c r="GP336" s="1605" t="s">
        <v>986</v>
      </c>
      <c r="GQ336" s="1605" t="s">
        <v>986</v>
      </c>
      <c r="GR336" s="1605" t="s">
        <v>986</v>
      </c>
      <c r="GS336" s="1605" t="s">
        <v>986</v>
      </c>
      <c r="GT336" s="1605" t="s">
        <v>986</v>
      </c>
      <c r="GU336" s="1605" t="s">
        <v>986</v>
      </c>
      <c r="GV336" s="1605" t="s">
        <v>986</v>
      </c>
      <c r="GW336" s="1605" t="s">
        <v>986</v>
      </c>
      <c r="GX336" s="1605" t="s">
        <v>986</v>
      </c>
      <c r="GY336" s="1605" t="s">
        <v>986</v>
      </c>
      <c r="GZ336" s="1605" t="s">
        <v>986</v>
      </c>
      <c r="HA336" s="1605" t="s">
        <v>986</v>
      </c>
      <c r="HB336" s="1605" t="s">
        <v>986</v>
      </c>
      <c r="HC336" s="1605" t="s">
        <v>986</v>
      </c>
      <c r="HD336" s="1605" t="s">
        <v>986</v>
      </c>
      <c r="HE336" s="1605" t="s">
        <v>986</v>
      </c>
      <c r="HF336" s="1605" t="s">
        <v>986</v>
      </c>
      <c r="HG336" s="1605" t="s">
        <v>986</v>
      </c>
      <c r="HH336" s="1605" t="s">
        <v>986</v>
      </c>
      <c r="HI336" s="1605" t="s">
        <v>986</v>
      </c>
      <c r="HJ336" s="1605" t="s">
        <v>986</v>
      </c>
      <c r="HK336" s="1605" t="s">
        <v>986</v>
      </c>
      <c r="HL336" s="1605" t="s">
        <v>986</v>
      </c>
      <c r="HM336" s="1605" t="s">
        <v>986</v>
      </c>
      <c r="HN336" s="1605" t="s">
        <v>986</v>
      </c>
      <c r="HO336" s="1605" t="s">
        <v>986</v>
      </c>
      <c r="HP336" s="1605" t="s">
        <v>986</v>
      </c>
      <c r="HQ336" s="1605" t="s">
        <v>986</v>
      </c>
      <c r="HR336" s="1605" t="s">
        <v>986</v>
      </c>
      <c r="HS336" s="1605" t="s">
        <v>986</v>
      </c>
      <c r="HT336" s="1605" t="s">
        <v>986</v>
      </c>
      <c r="HU336" s="1605" t="s">
        <v>986</v>
      </c>
      <c r="HV336" s="1617"/>
      <c r="HW336" s="1617" t="s">
        <v>986</v>
      </c>
      <c r="HX336" s="1617" t="s">
        <v>986</v>
      </c>
      <c r="HY336" s="1617" t="s">
        <v>986</v>
      </c>
      <c r="HZ336" s="1603"/>
      <c r="IA336" s="1603"/>
      <c r="IB336" s="1603"/>
      <c r="IC336" s="1603">
        <v>50</v>
      </c>
      <c r="ID336" s="1603">
        <v>50</v>
      </c>
      <c r="IE336" s="1603">
        <v>50</v>
      </c>
      <c r="IF336" s="1603">
        <v>50</v>
      </c>
      <c r="IG336" s="1611" t="s">
        <v>2932</v>
      </c>
      <c r="IH336" s="1616" t="s">
        <v>270</v>
      </c>
      <c r="II336" s="1615" t="s">
        <v>270</v>
      </c>
      <c r="IJ336" s="1613">
        <v>1.3101818181818183</v>
      </c>
      <c r="IK336" s="1613">
        <v>1.301848484848485</v>
      </c>
      <c r="IL336" s="1614">
        <v>1.3101818181818183</v>
      </c>
      <c r="IM336" s="1614">
        <v>1.301848484848485</v>
      </c>
      <c r="IN336" s="1612" t="s">
        <v>270</v>
      </c>
      <c r="IO336" s="1613" t="s">
        <v>270</v>
      </c>
      <c r="IP336" s="1607" t="s">
        <v>270</v>
      </c>
      <c r="IQ336" s="1612" t="s">
        <v>270</v>
      </c>
      <c r="IR336" s="1612" t="s">
        <v>270</v>
      </c>
      <c r="IS336" s="1607">
        <v>1.1881818181818182</v>
      </c>
      <c r="IT336" s="1607">
        <v>1.1798484848484849</v>
      </c>
      <c r="IU336" s="1611">
        <v>0</v>
      </c>
      <c r="IV336" s="1611">
        <v>7.7767676767676763E-2</v>
      </c>
      <c r="IW336" s="1611">
        <v>9.0909090909090909E-4</v>
      </c>
      <c r="IX336" s="1611">
        <v>1.6060606060606061E-3</v>
      </c>
      <c r="IY336" s="1611">
        <v>9.6969696969696957E-4</v>
      </c>
      <c r="IZ336" s="1611">
        <v>5.9898989898989896E-3</v>
      </c>
      <c r="JA336" s="1611">
        <v>6.0606060606060598E-5</v>
      </c>
      <c r="JB336" s="1611" t="s">
        <v>270</v>
      </c>
      <c r="JC336" s="1611">
        <v>9.9026969696969704</v>
      </c>
      <c r="JD336" s="1611">
        <v>5.2121212121212122E-3</v>
      </c>
      <c r="JE336" s="1611" t="s">
        <v>270</v>
      </c>
      <c r="JF336" s="1611">
        <v>8.2828282828282835E-4</v>
      </c>
      <c r="JG336" s="1611">
        <v>0.57978787878787885</v>
      </c>
      <c r="JH336" s="1611">
        <v>7.646464646464647E-3</v>
      </c>
      <c r="JI336" s="1611">
        <v>0.3</v>
      </c>
      <c r="JJ336" s="1611" t="s">
        <v>270</v>
      </c>
      <c r="JK336" s="1607">
        <f t="shared" si="14"/>
        <v>0.12200000000000011</v>
      </c>
      <c r="JL336" s="1608" t="s">
        <v>270</v>
      </c>
      <c r="JM336" s="1610" t="s">
        <v>2924</v>
      </c>
      <c r="JN336" s="1608">
        <v>8.3333333333333037E-3</v>
      </c>
      <c r="JO336" s="1609" t="s">
        <v>2931</v>
      </c>
      <c r="JP336" s="1608" t="s">
        <v>270</v>
      </c>
      <c r="JQ336" s="1607">
        <v>202103</v>
      </c>
      <c r="JR336" s="1606">
        <v>851</v>
      </c>
      <c r="JS336" s="1606">
        <v>774</v>
      </c>
      <c r="JT336" s="1606">
        <v>774</v>
      </c>
    </row>
    <row r="337" spans="1:280" ht="15" customHeight="1" x14ac:dyDescent="0.2">
      <c r="A337" s="1626">
        <v>99527</v>
      </c>
      <c r="B337" s="1625">
        <v>995</v>
      </c>
      <c r="C337" s="1624">
        <v>27</v>
      </c>
      <c r="D337" s="1623" t="s">
        <v>2943</v>
      </c>
      <c r="E337" s="1622">
        <v>43370</v>
      </c>
      <c r="F337" s="1620">
        <v>1.1453137804878</v>
      </c>
      <c r="G337" s="1620">
        <v>1.1150750454545399</v>
      </c>
      <c r="H337" s="1621">
        <v>91</v>
      </c>
      <c r="I337" s="1621">
        <v>91</v>
      </c>
      <c r="J337" s="1621">
        <v>92</v>
      </c>
      <c r="K337" s="1620">
        <v>1</v>
      </c>
      <c r="L337" s="1620">
        <v>96.5</v>
      </c>
      <c r="M337" s="1620">
        <v>73.34</v>
      </c>
      <c r="N337" s="1620">
        <v>0.96499999999999997</v>
      </c>
      <c r="O337" s="1620">
        <v>4.8250000000000002</v>
      </c>
      <c r="P337" s="1620">
        <v>0.193</v>
      </c>
      <c r="Q337" s="1603"/>
      <c r="R337" s="1620">
        <v>50</v>
      </c>
      <c r="S337" s="1620">
        <v>50</v>
      </c>
      <c r="T337" s="1620">
        <v>50</v>
      </c>
      <c r="U337" s="1620">
        <v>50</v>
      </c>
      <c r="V337" s="1620">
        <v>50</v>
      </c>
      <c r="W337" s="1620">
        <v>50</v>
      </c>
      <c r="X337" s="1620"/>
      <c r="Y337" s="1620">
        <v>0.90000000000000013</v>
      </c>
      <c r="Z337" s="1620">
        <v>2.2999999999999998</v>
      </c>
      <c r="AA337" s="1620">
        <v>1.4</v>
      </c>
      <c r="AB337" s="1620">
        <v>0</v>
      </c>
      <c r="AC337" s="1620">
        <v>12.399999999999999</v>
      </c>
      <c r="AD337" s="1620">
        <v>0.8</v>
      </c>
      <c r="AE337" s="1620">
        <v>0</v>
      </c>
      <c r="AF337" s="1620">
        <v>47</v>
      </c>
      <c r="AG337" s="1620">
        <v>5</v>
      </c>
      <c r="AH337" s="1620">
        <v>16</v>
      </c>
      <c r="AI337" s="1620">
        <v>23</v>
      </c>
      <c r="AJ337" s="1620">
        <v>0</v>
      </c>
      <c r="AK337" s="1620">
        <v>0</v>
      </c>
      <c r="AL337" s="1620"/>
      <c r="AM337" s="1620">
        <v>68.421052631578902</v>
      </c>
      <c r="AN337" s="1620">
        <v>0.22368421052631601</v>
      </c>
      <c r="AO337" s="1620">
        <v>0.144736842105263</v>
      </c>
      <c r="AP337" s="1620">
        <v>0.69736842105263197</v>
      </c>
      <c r="AQ337" s="1620">
        <v>0.197368421052632</v>
      </c>
      <c r="AR337" s="1620">
        <v>0.68421052631578905</v>
      </c>
      <c r="AS337" s="1620">
        <v>1.0526315789473699</v>
      </c>
      <c r="AT337" s="1620">
        <v>0.32894736842105299</v>
      </c>
      <c r="AU337" s="1620">
        <v>0.53947368421052599</v>
      </c>
      <c r="AV337" s="1620">
        <v>0.394736842105263</v>
      </c>
      <c r="AW337" s="1620">
        <v>0.90789473684210498</v>
      </c>
      <c r="AX337" s="1620"/>
      <c r="AY337" s="1620">
        <v>1</v>
      </c>
      <c r="AZ337" s="1620">
        <v>0.85</v>
      </c>
      <c r="BA337" s="1620">
        <v>0.85</v>
      </c>
      <c r="BB337" s="1620">
        <v>0.85</v>
      </c>
      <c r="BC337" s="1620">
        <v>0.85</v>
      </c>
      <c r="BD337" s="1620">
        <v>0.85</v>
      </c>
      <c r="BE337" s="1620">
        <v>0.85</v>
      </c>
      <c r="BF337" s="1620">
        <v>0.85</v>
      </c>
      <c r="BG337" s="1620">
        <v>0.85</v>
      </c>
      <c r="BH337" s="1620">
        <v>0.85</v>
      </c>
      <c r="BI337" s="1620">
        <v>0.85</v>
      </c>
      <c r="BJ337" s="1603"/>
      <c r="BK337" s="1620">
        <v>76</v>
      </c>
      <c r="BL337" s="1620">
        <v>1</v>
      </c>
      <c r="BM337" s="1620">
        <v>5</v>
      </c>
      <c r="BN337" s="1620">
        <v>0.2</v>
      </c>
      <c r="BO337" s="1620"/>
      <c r="BP337" s="1620">
        <v>0</v>
      </c>
      <c r="BQ337" s="1620">
        <v>0</v>
      </c>
      <c r="BR337" s="1620">
        <v>1.1868536585365803</v>
      </c>
      <c r="BS337" s="1620">
        <v>1.1555181818181761</v>
      </c>
      <c r="BT337" s="1603"/>
      <c r="BU337" s="1620">
        <v>950</v>
      </c>
      <c r="BV337" s="1620">
        <v>163.19999999999999</v>
      </c>
      <c r="BW337" s="1620">
        <v>0</v>
      </c>
      <c r="BX337" s="1620" t="s">
        <v>270</v>
      </c>
      <c r="BY337" s="1620" t="s">
        <v>270</v>
      </c>
      <c r="BZ337" s="1620" t="s">
        <v>270</v>
      </c>
      <c r="CA337" s="1620" t="s">
        <v>270</v>
      </c>
      <c r="CB337" s="1603"/>
      <c r="CC337" s="1603">
        <v>0.86850000000000005</v>
      </c>
      <c r="CD337" s="1603">
        <v>2.2194999999999996</v>
      </c>
      <c r="CE337" s="1603">
        <v>1.351</v>
      </c>
      <c r="CF337" s="1603">
        <v>0</v>
      </c>
      <c r="CG337" s="1603">
        <v>11.965999999999998</v>
      </c>
      <c r="CH337" s="1603">
        <v>0.77200000000000002</v>
      </c>
      <c r="CI337" s="1603">
        <v>0</v>
      </c>
      <c r="CJ337" s="1603"/>
      <c r="CK337" s="1603">
        <v>45.354999999999997</v>
      </c>
      <c r="CL337" s="1603">
        <v>4.8250000000000002</v>
      </c>
      <c r="CM337" s="1603">
        <v>15.44</v>
      </c>
      <c r="CN337" s="1603">
        <v>22.195</v>
      </c>
      <c r="CO337" s="1603">
        <v>0</v>
      </c>
      <c r="CP337" s="1603">
        <v>0</v>
      </c>
      <c r="CQ337" s="1603">
        <v>366.7</v>
      </c>
      <c r="CR337" s="1603">
        <v>320.17426686669131</v>
      </c>
      <c r="CS337" s="1603">
        <v>219.06660364563092</v>
      </c>
      <c r="CT337" s="1603">
        <v>0.60875238897680217</v>
      </c>
      <c r="CU337" s="1603">
        <v>0.3938986046320479</v>
      </c>
      <c r="CV337" s="1603">
        <v>1.0026509936088492</v>
      </c>
      <c r="CW337" s="1603">
        <v>1.8978750950453214</v>
      </c>
      <c r="CX337" s="1603">
        <v>0.53713446086188432</v>
      </c>
      <c r="CY337" s="1603">
        <v>1.8620661309878628</v>
      </c>
      <c r="CZ337" s="1603">
        <v>2.8647171245967118</v>
      </c>
      <c r="DA337" s="1603">
        <v>0.89522410143647257</v>
      </c>
      <c r="DB337" s="1603">
        <v>1.4681675263558147</v>
      </c>
      <c r="DC337" s="1603">
        <v>1.0742689217237669</v>
      </c>
      <c r="DD337" s="1603">
        <v>2.5424364480795818</v>
      </c>
      <c r="DE337" s="1603">
        <v>2.4708185199646642</v>
      </c>
      <c r="DF337" s="1603">
        <v>0</v>
      </c>
      <c r="DG337" s="1603">
        <v>0</v>
      </c>
      <c r="DH337" s="1619">
        <v>0</v>
      </c>
      <c r="DI337" s="1603">
        <v>0</v>
      </c>
      <c r="DJ337" s="1603">
        <v>0</v>
      </c>
      <c r="DK337" s="1603">
        <v>0</v>
      </c>
      <c r="DL337" s="1603">
        <v>0</v>
      </c>
      <c r="DM337" s="1603">
        <v>0</v>
      </c>
      <c r="DN337" s="1603">
        <v>0</v>
      </c>
      <c r="DO337" s="1603">
        <v>0</v>
      </c>
      <c r="DP337" s="1603">
        <v>0</v>
      </c>
      <c r="DQ337" s="1603">
        <v>0</v>
      </c>
      <c r="DR337" s="1603">
        <v>0</v>
      </c>
      <c r="DS337" s="1603">
        <v>0</v>
      </c>
      <c r="DT337" s="1603">
        <v>0</v>
      </c>
      <c r="DU337" s="1603">
        <v>0</v>
      </c>
      <c r="DV337" s="1603">
        <v>0</v>
      </c>
      <c r="DW337" s="1618" t="s">
        <v>986</v>
      </c>
      <c r="DX337" s="1605" t="s">
        <v>986</v>
      </c>
      <c r="DY337" s="1605" t="s">
        <v>986</v>
      </c>
      <c r="DZ337" s="1605" t="s">
        <v>986</v>
      </c>
      <c r="EA337" s="1605" t="s">
        <v>986</v>
      </c>
      <c r="EB337" s="1605" t="s">
        <v>986</v>
      </c>
      <c r="EC337" s="1605" t="s">
        <v>986</v>
      </c>
      <c r="ED337" s="1605" t="s">
        <v>986</v>
      </c>
      <c r="EE337" s="1605" t="s">
        <v>986</v>
      </c>
      <c r="EF337" s="1605" t="s">
        <v>986</v>
      </c>
      <c r="EG337" s="1605" t="s">
        <v>986</v>
      </c>
      <c r="EH337" s="1605" t="s">
        <v>986</v>
      </c>
      <c r="EI337" s="1605" t="s">
        <v>986</v>
      </c>
      <c r="EJ337" s="1605" t="s">
        <v>986</v>
      </c>
      <c r="EK337" s="1605" t="s">
        <v>986</v>
      </c>
      <c r="EL337" s="1605" t="s">
        <v>986</v>
      </c>
      <c r="EM337" s="1605" t="s">
        <v>986</v>
      </c>
      <c r="EN337" s="1605" t="s">
        <v>986</v>
      </c>
      <c r="EO337" s="1605" t="s">
        <v>986</v>
      </c>
      <c r="EP337" s="1605" t="s">
        <v>986</v>
      </c>
      <c r="EQ337" s="1605" t="s">
        <v>986</v>
      </c>
      <c r="ER337" s="1605" t="s">
        <v>986</v>
      </c>
      <c r="ES337" s="1605" t="s">
        <v>986</v>
      </c>
      <c r="ET337" s="1605" t="s">
        <v>986</v>
      </c>
      <c r="EU337" s="1605" t="s">
        <v>986</v>
      </c>
      <c r="EV337" s="1605" t="s">
        <v>986</v>
      </c>
      <c r="EW337" s="1605" t="s">
        <v>986</v>
      </c>
      <c r="EX337" s="1605" t="s">
        <v>986</v>
      </c>
      <c r="EY337" s="1605" t="s">
        <v>986</v>
      </c>
      <c r="EZ337" s="1605" t="s">
        <v>986</v>
      </c>
      <c r="FA337" s="1605" t="s">
        <v>986</v>
      </c>
      <c r="FB337" s="1605" t="s">
        <v>986</v>
      </c>
      <c r="FC337" s="1605" t="s">
        <v>986</v>
      </c>
      <c r="FD337" s="1605" t="s">
        <v>986</v>
      </c>
      <c r="FE337" s="1605" t="s">
        <v>986</v>
      </c>
      <c r="FF337" s="1605" t="s">
        <v>986</v>
      </c>
      <c r="FG337" s="1605" t="s">
        <v>986</v>
      </c>
      <c r="FH337" s="1605" t="s">
        <v>986</v>
      </c>
      <c r="FI337" s="1605" t="s">
        <v>986</v>
      </c>
      <c r="FJ337" s="1605" t="s">
        <v>986</v>
      </c>
      <c r="FK337" s="1605" t="s">
        <v>986</v>
      </c>
      <c r="FL337" s="1605" t="s">
        <v>986</v>
      </c>
      <c r="FM337" s="1605" t="s">
        <v>986</v>
      </c>
      <c r="FN337" s="1605" t="s">
        <v>986</v>
      </c>
      <c r="FO337" s="1605" t="s">
        <v>986</v>
      </c>
      <c r="FP337" s="1605" t="s">
        <v>986</v>
      </c>
      <c r="FQ337" s="1605" t="s">
        <v>986</v>
      </c>
      <c r="FR337" s="1605" t="s">
        <v>986</v>
      </c>
      <c r="FS337" s="1605" t="s">
        <v>986</v>
      </c>
      <c r="FT337" s="1605" t="s">
        <v>986</v>
      </c>
      <c r="FU337" s="1605" t="s">
        <v>986</v>
      </c>
      <c r="FV337" s="1605" t="s">
        <v>986</v>
      </c>
      <c r="FW337" s="1605" t="s">
        <v>986</v>
      </c>
      <c r="FX337" s="1605" t="s">
        <v>986</v>
      </c>
      <c r="FY337" s="1605" t="s">
        <v>986</v>
      </c>
      <c r="FZ337" s="1605" t="s">
        <v>986</v>
      </c>
      <c r="GA337" s="1605" t="s">
        <v>986</v>
      </c>
      <c r="GB337" s="1605" t="s">
        <v>986</v>
      </c>
      <c r="GC337" s="1605" t="s">
        <v>986</v>
      </c>
      <c r="GD337" s="1605" t="s">
        <v>986</v>
      </c>
      <c r="GE337" s="1605" t="s">
        <v>986</v>
      </c>
      <c r="GF337" s="1605" t="s">
        <v>986</v>
      </c>
      <c r="GG337" s="1605" t="s">
        <v>986</v>
      </c>
      <c r="GH337" s="1605" t="s">
        <v>986</v>
      </c>
      <c r="GI337" s="1605" t="s">
        <v>986</v>
      </c>
      <c r="GJ337" s="1605" t="s">
        <v>986</v>
      </c>
      <c r="GK337" s="1605" t="s">
        <v>986</v>
      </c>
      <c r="GL337" s="1605" t="s">
        <v>986</v>
      </c>
      <c r="GM337" s="1605" t="s">
        <v>986</v>
      </c>
      <c r="GN337" s="1605" t="s">
        <v>986</v>
      </c>
      <c r="GO337" s="1605" t="s">
        <v>986</v>
      </c>
      <c r="GP337" s="1605" t="s">
        <v>986</v>
      </c>
      <c r="GQ337" s="1605" t="s">
        <v>986</v>
      </c>
      <c r="GR337" s="1605" t="s">
        <v>986</v>
      </c>
      <c r="GS337" s="1605" t="s">
        <v>986</v>
      </c>
      <c r="GT337" s="1605" t="s">
        <v>986</v>
      </c>
      <c r="GU337" s="1605" t="s">
        <v>986</v>
      </c>
      <c r="GV337" s="1605" t="s">
        <v>986</v>
      </c>
      <c r="GW337" s="1605" t="s">
        <v>986</v>
      </c>
      <c r="GX337" s="1605" t="s">
        <v>986</v>
      </c>
      <c r="GY337" s="1605" t="s">
        <v>986</v>
      </c>
      <c r="GZ337" s="1605" t="s">
        <v>986</v>
      </c>
      <c r="HA337" s="1605" t="s">
        <v>986</v>
      </c>
      <c r="HB337" s="1605" t="s">
        <v>986</v>
      </c>
      <c r="HC337" s="1605" t="s">
        <v>986</v>
      </c>
      <c r="HD337" s="1605" t="s">
        <v>986</v>
      </c>
      <c r="HE337" s="1605" t="s">
        <v>986</v>
      </c>
      <c r="HF337" s="1605" t="s">
        <v>986</v>
      </c>
      <c r="HG337" s="1605" t="s">
        <v>986</v>
      </c>
      <c r="HH337" s="1605" t="s">
        <v>986</v>
      </c>
      <c r="HI337" s="1605" t="s">
        <v>986</v>
      </c>
      <c r="HJ337" s="1605" t="s">
        <v>986</v>
      </c>
      <c r="HK337" s="1605" t="s">
        <v>986</v>
      </c>
      <c r="HL337" s="1605" t="s">
        <v>986</v>
      </c>
      <c r="HM337" s="1605" t="s">
        <v>986</v>
      </c>
      <c r="HN337" s="1605" t="s">
        <v>986</v>
      </c>
      <c r="HO337" s="1605" t="s">
        <v>986</v>
      </c>
      <c r="HP337" s="1605" t="s">
        <v>986</v>
      </c>
      <c r="HQ337" s="1605" t="s">
        <v>986</v>
      </c>
      <c r="HR337" s="1605" t="s">
        <v>986</v>
      </c>
      <c r="HS337" s="1605" t="s">
        <v>986</v>
      </c>
      <c r="HT337" s="1605" t="s">
        <v>986</v>
      </c>
      <c r="HU337" s="1605" t="s">
        <v>986</v>
      </c>
      <c r="HV337" s="1617"/>
      <c r="HW337" s="1617" t="s">
        <v>986</v>
      </c>
      <c r="HX337" s="1617" t="s">
        <v>986</v>
      </c>
      <c r="HY337" s="1617" t="s">
        <v>986</v>
      </c>
      <c r="HZ337" s="1603"/>
      <c r="IA337" s="1603"/>
      <c r="IB337" s="1603"/>
      <c r="IC337" s="1603">
        <v>50</v>
      </c>
      <c r="ID337" s="1603">
        <v>50</v>
      </c>
      <c r="IE337" s="1603">
        <v>50</v>
      </c>
      <c r="IF337" s="1603">
        <v>50</v>
      </c>
      <c r="IG337" s="1611" t="s">
        <v>2932</v>
      </c>
      <c r="IH337" s="1616" t="s">
        <v>270</v>
      </c>
      <c r="II337" s="1615" t="s">
        <v>270</v>
      </c>
      <c r="IJ337" s="1613">
        <v>1.3101818181818183</v>
      </c>
      <c r="IK337" s="1613">
        <v>1.301848484848485</v>
      </c>
      <c r="IL337" s="1614">
        <v>1.3101818181818183</v>
      </c>
      <c r="IM337" s="1614">
        <v>1.301848484848485</v>
      </c>
      <c r="IN337" s="1612" t="s">
        <v>270</v>
      </c>
      <c r="IO337" s="1613" t="s">
        <v>270</v>
      </c>
      <c r="IP337" s="1607" t="s">
        <v>270</v>
      </c>
      <c r="IQ337" s="1612" t="s">
        <v>270</v>
      </c>
      <c r="IR337" s="1612" t="s">
        <v>270</v>
      </c>
      <c r="IS337" s="1607">
        <v>1.1881818181818182</v>
      </c>
      <c r="IT337" s="1607">
        <v>1.1798484848484849</v>
      </c>
      <c r="IU337" s="1611">
        <v>0</v>
      </c>
      <c r="IV337" s="1611">
        <v>7.7767676767676763E-2</v>
      </c>
      <c r="IW337" s="1611">
        <v>9.0909090909090909E-4</v>
      </c>
      <c r="IX337" s="1611">
        <v>1.6060606060606061E-3</v>
      </c>
      <c r="IY337" s="1611">
        <v>9.6969696969696957E-4</v>
      </c>
      <c r="IZ337" s="1611">
        <v>5.9898989898989896E-3</v>
      </c>
      <c r="JA337" s="1611">
        <v>6.0606060606060598E-5</v>
      </c>
      <c r="JB337" s="1611" t="s">
        <v>270</v>
      </c>
      <c r="JC337" s="1611">
        <v>9.9026969696969704</v>
      </c>
      <c r="JD337" s="1611">
        <v>5.2121212121212122E-3</v>
      </c>
      <c r="JE337" s="1611" t="s">
        <v>270</v>
      </c>
      <c r="JF337" s="1611">
        <v>8.2828282828282835E-4</v>
      </c>
      <c r="JG337" s="1611">
        <v>0.57978787878787885</v>
      </c>
      <c r="JH337" s="1611">
        <v>7.646464646464647E-3</v>
      </c>
      <c r="JI337" s="1611">
        <v>0.3</v>
      </c>
      <c r="JJ337" s="1611" t="s">
        <v>270</v>
      </c>
      <c r="JK337" s="1607">
        <f t="shared" si="14"/>
        <v>0.12200000000000011</v>
      </c>
      <c r="JL337" s="1608" t="s">
        <v>270</v>
      </c>
      <c r="JM337" s="1610" t="s">
        <v>2924</v>
      </c>
      <c r="JN337" s="1608">
        <v>8.3333333333333037E-3</v>
      </c>
      <c r="JO337" s="1609" t="s">
        <v>2931</v>
      </c>
      <c r="JP337" s="1608" t="s">
        <v>270</v>
      </c>
      <c r="JQ337" s="1607">
        <v>202103</v>
      </c>
      <c r="JR337" s="1606">
        <v>851</v>
      </c>
      <c r="JS337" s="1606">
        <v>774</v>
      </c>
      <c r="JT337" s="1606">
        <v>774</v>
      </c>
    </row>
    <row r="338" spans="1:280" ht="15" customHeight="1" x14ac:dyDescent="0.2">
      <c r="A338" s="1626">
        <v>99526</v>
      </c>
      <c r="B338" s="1625">
        <v>995</v>
      </c>
      <c r="C338" s="1624">
        <v>26</v>
      </c>
      <c r="D338" s="1623" t="s">
        <v>2942</v>
      </c>
      <c r="E338" s="1622">
        <v>43031</v>
      </c>
      <c r="F338" s="1620">
        <v>1.1453137804878</v>
      </c>
      <c r="G338" s="1620">
        <v>1.1150750454545399</v>
      </c>
      <c r="H338" s="1621">
        <v>91</v>
      </c>
      <c r="I338" s="1621">
        <v>91</v>
      </c>
      <c r="J338" s="1621">
        <v>92</v>
      </c>
      <c r="K338" s="1620">
        <v>1</v>
      </c>
      <c r="L338" s="1620">
        <v>96.5</v>
      </c>
      <c r="M338" s="1620">
        <v>73.34</v>
      </c>
      <c r="N338" s="1620">
        <v>0.96499999999999997</v>
      </c>
      <c r="O338" s="1620">
        <v>4.8250000000000002</v>
      </c>
      <c r="P338" s="1620">
        <v>0.193</v>
      </c>
      <c r="Q338" s="1603"/>
      <c r="R338" s="1620">
        <v>75</v>
      </c>
      <c r="S338" s="1620">
        <v>50</v>
      </c>
      <c r="T338" s="1620">
        <v>50</v>
      </c>
      <c r="U338" s="1620">
        <v>50</v>
      </c>
      <c r="V338" s="1620">
        <v>50</v>
      </c>
      <c r="W338" s="1620">
        <v>50</v>
      </c>
      <c r="X338" s="1620"/>
      <c r="Y338" s="1620">
        <v>0.90000000000000013</v>
      </c>
      <c r="Z338" s="1620">
        <v>2.2999999999999998</v>
      </c>
      <c r="AA338" s="1620">
        <v>1.4</v>
      </c>
      <c r="AB338" s="1620">
        <v>0</v>
      </c>
      <c r="AC338" s="1620">
        <v>12.399999999999999</v>
      </c>
      <c r="AD338" s="1620">
        <v>0.8</v>
      </c>
      <c r="AE338" s="1620">
        <v>0</v>
      </c>
      <c r="AF338" s="1620">
        <v>47</v>
      </c>
      <c r="AG338" s="1620">
        <v>5</v>
      </c>
      <c r="AH338" s="1620">
        <v>16</v>
      </c>
      <c r="AI338" s="1620">
        <v>23</v>
      </c>
      <c r="AJ338" s="1620">
        <v>0</v>
      </c>
      <c r="AK338" s="1620">
        <v>0</v>
      </c>
      <c r="AL338" s="1620"/>
      <c r="AM338" s="1620">
        <v>68.421052631578902</v>
      </c>
      <c r="AN338" s="1620">
        <v>0.22368421052631601</v>
      </c>
      <c r="AO338" s="1620">
        <v>0.144736842105263</v>
      </c>
      <c r="AP338" s="1620">
        <v>0.69736842105263197</v>
      </c>
      <c r="AQ338" s="1620">
        <v>0.197368421052632</v>
      </c>
      <c r="AR338" s="1620">
        <v>0.68421052631578905</v>
      </c>
      <c r="AS338" s="1620">
        <v>1.0526315789473699</v>
      </c>
      <c r="AT338" s="1620">
        <v>0.32894736842105299</v>
      </c>
      <c r="AU338" s="1620">
        <v>0.53947368421052599</v>
      </c>
      <c r="AV338" s="1620">
        <v>0.394736842105263</v>
      </c>
      <c r="AW338" s="1620">
        <v>0.90789473684210498</v>
      </c>
      <c r="AX338" s="1620"/>
      <c r="AY338" s="1620">
        <v>1</v>
      </c>
      <c r="AZ338" s="1620">
        <v>0.85</v>
      </c>
      <c r="BA338" s="1620">
        <v>0.85</v>
      </c>
      <c r="BB338" s="1620">
        <v>0.85</v>
      </c>
      <c r="BC338" s="1620">
        <v>0.85</v>
      </c>
      <c r="BD338" s="1620">
        <v>0.85</v>
      </c>
      <c r="BE338" s="1620">
        <v>0.85</v>
      </c>
      <c r="BF338" s="1620">
        <v>0.85</v>
      </c>
      <c r="BG338" s="1620">
        <v>0.85</v>
      </c>
      <c r="BH338" s="1620">
        <v>0.85</v>
      </c>
      <c r="BI338" s="1620">
        <v>0.85</v>
      </c>
      <c r="BJ338" s="1603"/>
      <c r="BK338" s="1620">
        <v>76</v>
      </c>
      <c r="BL338" s="1620">
        <v>1</v>
      </c>
      <c r="BM338" s="1620">
        <v>5</v>
      </c>
      <c r="BN338" s="1620">
        <v>0.2</v>
      </c>
      <c r="BO338" s="1620"/>
      <c r="BP338" s="1620">
        <v>0</v>
      </c>
      <c r="BQ338" s="1620">
        <v>0</v>
      </c>
      <c r="BR338" s="1620">
        <v>1.1868536585365803</v>
      </c>
      <c r="BS338" s="1620">
        <v>1.1555181818181761</v>
      </c>
      <c r="BT338" s="1603"/>
      <c r="BU338" s="1620">
        <v>950</v>
      </c>
      <c r="BV338" s="1620">
        <v>163.19999999999999</v>
      </c>
      <c r="BW338" s="1620">
        <v>0</v>
      </c>
      <c r="BX338" s="1620" t="s">
        <v>270</v>
      </c>
      <c r="BY338" s="1620" t="s">
        <v>270</v>
      </c>
      <c r="BZ338" s="1620" t="s">
        <v>270</v>
      </c>
      <c r="CA338" s="1620" t="s">
        <v>270</v>
      </c>
      <c r="CB338" s="1603"/>
      <c r="CC338" s="1603">
        <v>0.86850000000000005</v>
      </c>
      <c r="CD338" s="1603">
        <v>2.2194999999999996</v>
      </c>
      <c r="CE338" s="1603">
        <v>1.351</v>
      </c>
      <c r="CF338" s="1603">
        <v>0</v>
      </c>
      <c r="CG338" s="1603">
        <v>11.965999999999998</v>
      </c>
      <c r="CH338" s="1603">
        <v>0.77200000000000002</v>
      </c>
      <c r="CI338" s="1603">
        <v>0</v>
      </c>
      <c r="CJ338" s="1603"/>
      <c r="CK338" s="1603">
        <v>45.354999999999997</v>
      </c>
      <c r="CL338" s="1603">
        <v>4.8250000000000002</v>
      </c>
      <c r="CM338" s="1603">
        <v>15.44</v>
      </c>
      <c r="CN338" s="1603">
        <v>22.195</v>
      </c>
      <c r="CO338" s="1603">
        <v>0</v>
      </c>
      <c r="CP338" s="1603">
        <v>0</v>
      </c>
      <c r="CQ338" s="1603">
        <v>550.04999999999995</v>
      </c>
      <c r="CR338" s="1603">
        <v>480.26140030003694</v>
      </c>
      <c r="CS338" s="1603">
        <v>328.59990546844637</v>
      </c>
      <c r="CT338" s="1603">
        <v>0.91312858346520198</v>
      </c>
      <c r="CU338" s="1603">
        <v>0.59084790694807177</v>
      </c>
      <c r="CV338" s="1603">
        <v>1.5039764904132737</v>
      </c>
      <c r="CW338" s="1603">
        <v>2.8468126425679827</v>
      </c>
      <c r="CX338" s="1603">
        <v>0.80570169129282787</v>
      </c>
      <c r="CY338" s="1603">
        <v>2.7930991964817942</v>
      </c>
      <c r="CZ338" s="1603">
        <v>4.2970756868950675</v>
      </c>
      <c r="DA338" s="1603">
        <v>1.3428361521547088</v>
      </c>
      <c r="DB338" s="1603">
        <v>2.2022512895337223</v>
      </c>
      <c r="DC338" s="1603">
        <v>1.6114033825856504</v>
      </c>
      <c r="DD338" s="1603">
        <v>3.8136546721193727</v>
      </c>
      <c r="DE338" s="1603">
        <v>3.7062277799469965</v>
      </c>
      <c r="DF338" s="1603">
        <v>0</v>
      </c>
      <c r="DG338" s="1603">
        <v>0</v>
      </c>
      <c r="DH338" s="1619">
        <v>0</v>
      </c>
      <c r="DI338" s="1603">
        <v>0</v>
      </c>
      <c r="DJ338" s="1603">
        <v>0</v>
      </c>
      <c r="DK338" s="1603">
        <v>0</v>
      </c>
      <c r="DL338" s="1603">
        <v>0</v>
      </c>
      <c r="DM338" s="1603">
        <v>0</v>
      </c>
      <c r="DN338" s="1603">
        <v>0</v>
      </c>
      <c r="DO338" s="1603">
        <v>0</v>
      </c>
      <c r="DP338" s="1603">
        <v>0</v>
      </c>
      <c r="DQ338" s="1603">
        <v>0</v>
      </c>
      <c r="DR338" s="1603">
        <v>0</v>
      </c>
      <c r="DS338" s="1603">
        <v>0</v>
      </c>
      <c r="DT338" s="1603">
        <v>0</v>
      </c>
      <c r="DU338" s="1603">
        <v>0</v>
      </c>
      <c r="DV338" s="1603">
        <v>0</v>
      </c>
      <c r="DW338" s="1618" t="s">
        <v>986</v>
      </c>
      <c r="DX338" s="1605" t="s">
        <v>986</v>
      </c>
      <c r="DY338" s="1605" t="s">
        <v>986</v>
      </c>
      <c r="DZ338" s="1605" t="s">
        <v>986</v>
      </c>
      <c r="EA338" s="1605" t="s">
        <v>986</v>
      </c>
      <c r="EB338" s="1605" t="s">
        <v>986</v>
      </c>
      <c r="EC338" s="1605" t="s">
        <v>986</v>
      </c>
      <c r="ED338" s="1605" t="s">
        <v>986</v>
      </c>
      <c r="EE338" s="1605" t="s">
        <v>986</v>
      </c>
      <c r="EF338" s="1605" t="s">
        <v>986</v>
      </c>
      <c r="EG338" s="1605" t="s">
        <v>986</v>
      </c>
      <c r="EH338" s="1605" t="s">
        <v>986</v>
      </c>
      <c r="EI338" s="1605" t="s">
        <v>986</v>
      </c>
      <c r="EJ338" s="1605" t="s">
        <v>986</v>
      </c>
      <c r="EK338" s="1605" t="s">
        <v>986</v>
      </c>
      <c r="EL338" s="1605" t="s">
        <v>986</v>
      </c>
      <c r="EM338" s="1605" t="s">
        <v>986</v>
      </c>
      <c r="EN338" s="1605" t="s">
        <v>986</v>
      </c>
      <c r="EO338" s="1605" t="s">
        <v>986</v>
      </c>
      <c r="EP338" s="1605" t="s">
        <v>986</v>
      </c>
      <c r="EQ338" s="1605" t="s">
        <v>986</v>
      </c>
      <c r="ER338" s="1605" t="s">
        <v>986</v>
      </c>
      <c r="ES338" s="1605" t="s">
        <v>986</v>
      </c>
      <c r="ET338" s="1605" t="s">
        <v>986</v>
      </c>
      <c r="EU338" s="1605" t="s">
        <v>986</v>
      </c>
      <c r="EV338" s="1605" t="s">
        <v>986</v>
      </c>
      <c r="EW338" s="1605" t="s">
        <v>986</v>
      </c>
      <c r="EX338" s="1605" t="s">
        <v>986</v>
      </c>
      <c r="EY338" s="1605" t="s">
        <v>986</v>
      </c>
      <c r="EZ338" s="1605" t="s">
        <v>986</v>
      </c>
      <c r="FA338" s="1605" t="s">
        <v>986</v>
      </c>
      <c r="FB338" s="1605" t="s">
        <v>986</v>
      </c>
      <c r="FC338" s="1605" t="s">
        <v>986</v>
      </c>
      <c r="FD338" s="1605" t="s">
        <v>986</v>
      </c>
      <c r="FE338" s="1605" t="s">
        <v>986</v>
      </c>
      <c r="FF338" s="1605" t="s">
        <v>986</v>
      </c>
      <c r="FG338" s="1605" t="s">
        <v>986</v>
      </c>
      <c r="FH338" s="1605" t="s">
        <v>986</v>
      </c>
      <c r="FI338" s="1605" t="s">
        <v>986</v>
      </c>
      <c r="FJ338" s="1605" t="s">
        <v>986</v>
      </c>
      <c r="FK338" s="1605" t="s">
        <v>986</v>
      </c>
      <c r="FL338" s="1605" t="s">
        <v>986</v>
      </c>
      <c r="FM338" s="1605" t="s">
        <v>986</v>
      </c>
      <c r="FN338" s="1605" t="s">
        <v>986</v>
      </c>
      <c r="FO338" s="1605" t="s">
        <v>986</v>
      </c>
      <c r="FP338" s="1605" t="s">
        <v>986</v>
      </c>
      <c r="FQ338" s="1605" t="s">
        <v>986</v>
      </c>
      <c r="FR338" s="1605" t="s">
        <v>986</v>
      </c>
      <c r="FS338" s="1605" t="s">
        <v>986</v>
      </c>
      <c r="FT338" s="1605" t="s">
        <v>986</v>
      </c>
      <c r="FU338" s="1605" t="s">
        <v>986</v>
      </c>
      <c r="FV338" s="1605" t="s">
        <v>986</v>
      </c>
      <c r="FW338" s="1605" t="s">
        <v>986</v>
      </c>
      <c r="FX338" s="1605" t="s">
        <v>986</v>
      </c>
      <c r="FY338" s="1605" t="s">
        <v>986</v>
      </c>
      <c r="FZ338" s="1605" t="s">
        <v>986</v>
      </c>
      <c r="GA338" s="1605" t="s">
        <v>986</v>
      </c>
      <c r="GB338" s="1605" t="s">
        <v>986</v>
      </c>
      <c r="GC338" s="1605" t="s">
        <v>986</v>
      </c>
      <c r="GD338" s="1605" t="s">
        <v>986</v>
      </c>
      <c r="GE338" s="1605" t="s">
        <v>986</v>
      </c>
      <c r="GF338" s="1605" t="s">
        <v>986</v>
      </c>
      <c r="GG338" s="1605" t="s">
        <v>986</v>
      </c>
      <c r="GH338" s="1605" t="s">
        <v>986</v>
      </c>
      <c r="GI338" s="1605" t="s">
        <v>986</v>
      </c>
      <c r="GJ338" s="1605" t="s">
        <v>986</v>
      </c>
      <c r="GK338" s="1605" t="s">
        <v>986</v>
      </c>
      <c r="GL338" s="1605" t="s">
        <v>986</v>
      </c>
      <c r="GM338" s="1605" t="s">
        <v>986</v>
      </c>
      <c r="GN338" s="1605" t="s">
        <v>986</v>
      </c>
      <c r="GO338" s="1605" t="s">
        <v>986</v>
      </c>
      <c r="GP338" s="1605" t="s">
        <v>986</v>
      </c>
      <c r="GQ338" s="1605" t="s">
        <v>986</v>
      </c>
      <c r="GR338" s="1605" t="s">
        <v>986</v>
      </c>
      <c r="GS338" s="1605" t="s">
        <v>986</v>
      </c>
      <c r="GT338" s="1605" t="s">
        <v>986</v>
      </c>
      <c r="GU338" s="1605" t="s">
        <v>986</v>
      </c>
      <c r="GV338" s="1605" t="s">
        <v>986</v>
      </c>
      <c r="GW338" s="1605" t="s">
        <v>986</v>
      </c>
      <c r="GX338" s="1605" t="s">
        <v>986</v>
      </c>
      <c r="GY338" s="1605" t="s">
        <v>986</v>
      </c>
      <c r="GZ338" s="1605" t="s">
        <v>986</v>
      </c>
      <c r="HA338" s="1605" t="s">
        <v>986</v>
      </c>
      <c r="HB338" s="1605" t="s">
        <v>986</v>
      </c>
      <c r="HC338" s="1605" t="s">
        <v>986</v>
      </c>
      <c r="HD338" s="1605" t="s">
        <v>986</v>
      </c>
      <c r="HE338" s="1605" t="s">
        <v>986</v>
      </c>
      <c r="HF338" s="1605" t="s">
        <v>986</v>
      </c>
      <c r="HG338" s="1605" t="s">
        <v>986</v>
      </c>
      <c r="HH338" s="1605" t="s">
        <v>986</v>
      </c>
      <c r="HI338" s="1605" t="s">
        <v>986</v>
      </c>
      <c r="HJ338" s="1605" t="s">
        <v>986</v>
      </c>
      <c r="HK338" s="1605" t="s">
        <v>986</v>
      </c>
      <c r="HL338" s="1605" t="s">
        <v>986</v>
      </c>
      <c r="HM338" s="1605" t="s">
        <v>986</v>
      </c>
      <c r="HN338" s="1605" t="s">
        <v>986</v>
      </c>
      <c r="HO338" s="1605" t="s">
        <v>986</v>
      </c>
      <c r="HP338" s="1605" t="s">
        <v>986</v>
      </c>
      <c r="HQ338" s="1605" t="s">
        <v>986</v>
      </c>
      <c r="HR338" s="1605" t="s">
        <v>986</v>
      </c>
      <c r="HS338" s="1605" t="s">
        <v>986</v>
      </c>
      <c r="HT338" s="1605" t="s">
        <v>986</v>
      </c>
      <c r="HU338" s="1605" t="s">
        <v>986</v>
      </c>
      <c r="HV338" s="1617"/>
      <c r="HW338" s="1617" t="s">
        <v>986</v>
      </c>
      <c r="HX338" s="1617" t="s">
        <v>986</v>
      </c>
      <c r="HY338" s="1617" t="s">
        <v>986</v>
      </c>
      <c r="HZ338" s="1603"/>
      <c r="IA338" s="1603"/>
      <c r="IB338" s="1603"/>
      <c r="IC338" s="1603">
        <v>50</v>
      </c>
      <c r="ID338" s="1603">
        <v>50</v>
      </c>
      <c r="IE338" s="1603">
        <v>50</v>
      </c>
      <c r="IF338" s="1603">
        <v>50</v>
      </c>
      <c r="IG338" s="1611" t="s">
        <v>2932</v>
      </c>
      <c r="IH338" s="1616" t="s">
        <v>270</v>
      </c>
      <c r="II338" s="1615" t="s">
        <v>270</v>
      </c>
      <c r="IJ338" s="1613">
        <v>1.3101818181818183</v>
      </c>
      <c r="IK338" s="1613">
        <v>1.301848484848485</v>
      </c>
      <c r="IL338" s="1614">
        <v>1.3101818181818183</v>
      </c>
      <c r="IM338" s="1614">
        <v>1.301848484848485</v>
      </c>
      <c r="IN338" s="1612" t="s">
        <v>270</v>
      </c>
      <c r="IO338" s="1613" t="s">
        <v>270</v>
      </c>
      <c r="IP338" s="1607" t="s">
        <v>270</v>
      </c>
      <c r="IQ338" s="1612" t="s">
        <v>270</v>
      </c>
      <c r="IR338" s="1612" t="s">
        <v>270</v>
      </c>
      <c r="IS338" s="1607">
        <v>1.1881818181818182</v>
      </c>
      <c r="IT338" s="1607">
        <v>1.1798484848484849</v>
      </c>
      <c r="IU338" s="1611">
        <v>0</v>
      </c>
      <c r="IV338" s="1611">
        <v>7.7767676767676763E-2</v>
      </c>
      <c r="IW338" s="1611">
        <v>9.0909090909090909E-4</v>
      </c>
      <c r="IX338" s="1611">
        <v>1.6060606060606061E-3</v>
      </c>
      <c r="IY338" s="1611">
        <v>9.6969696969696957E-4</v>
      </c>
      <c r="IZ338" s="1611">
        <v>5.9898989898989896E-3</v>
      </c>
      <c r="JA338" s="1611">
        <v>6.0606060606060598E-5</v>
      </c>
      <c r="JB338" s="1611" t="s">
        <v>270</v>
      </c>
      <c r="JC338" s="1611">
        <v>9.9026969696969704</v>
      </c>
      <c r="JD338" s="1611">
        <v>5.2121212121212122E-3</v>
      </c>
      <c r="JE338" s="1611" t="s">
        <v>270</v>
      </c>
      <c r="JF338" s="1611">
        <v>8.2828282828282835E-4</v>
      </c>
      <c r="JG338" s="1611">
        <v>0.57978787878787885</v>
      </c>
      <c r="JH338" s="1611">
        <v>7.646464646464647E-3</v>
      </c>
      <c r="JI338" s="1611">
        <v>0.3</v>
      </c>
      <c r="JJ338" s="1611" t="s">
        <v>270</v>
      </c>
      <c r="JK338" s="1607">
        <f t="shared" si="14"/>
        <v>0.12200000000000011</v>
      </c>
      <c r="JL338" s="1608" t="s">
        <v>270</v>
      </c>
      <c r="JM338" s="1610" t="s">
        <v>2924</v>
      </c>
      <c r="JN338" s="1608">
        <v>8.3333333333333037E-3</v>
      </c>
      <c r="JO338" s="1609" t="s">
        <v>2931</v>
      </c>
      <c r="JP338" s="1608" t="s">
        <v>270</v>
      </c>
      <c r="JQ338" s="1607">
        <v>202103</v>
      </c>
      <c r="JR338" s="1606">
        <v>851</v>
      </c>
      <c r="JS338" s="1606">
        <v>774</v>
      </c>
      <c r="JT338" s="1606">
        <v>774</v>
      </c>
    </row>
    <row r="339" spans="1:280" ht="15" customHeight="1" x14ac:dyDescent="0.2">
      <c r="A339" s="1626">
        <v>97020</v>
      </c>
      <c r="B339" s="1625">
        <v>970</v>
      </c>
      <c r="C339" s="1624">
        <v>20</v>
      </c>
      <c r="D339" s="1623" t="s">
        <v>2941</v>
      </c>
      <c r="E339" s="1622">
        <v>43031</v>
      </c>
      <c r="F339" s="1620">
        <v>1.3951217540499901</v>
      </c>
      <c r="G339" s="1620">
        <v>1.3371426681673899</v>
      </c>
      <c r="H339" s="1621">
        <v>100</v>
      </c>
      <c r="I339" s="1621">
        <v>100</v>
      </c>
      <c r="J339" s="1621">
        <v>100</v>
      </c>
      <c r="K339" s="1620">
        <v>1</v>
      </c>
      <c r="L339" s="1620">
        <v>88</v>
      </c>
      <c r="M339" s="1620">
        <v>8.8888888888888893E-5</v>
      </c>
      <c r="N339" s="1620">
        <v>0</v>
      </c>
      <c r="O339" s="1620">
        <v>0</v>
      </c>
      <c r="P339" s="1620">
        <v>0</v>
      </c>
      <c r="Q339" s="1603"/>
      <c r="R339" s="1620">
        <v>0</v>
      </c>
      <c r="S339" s="1620">
        <v>0</v>
      </c>
      <c r="T339" s="1620">
        <v>0</v>
      </c>
      <c r="U339" s="1620">
        <v>0</v>
      </c>
      <c r="V339" s="1620">
        <v>0</v>
      </c>
      <c r="W339" s="1620">
        <v>0</v>
      </c>
      <c r="X339" s="1620"/>
      <c r="Y339" s="1620">
        <v>0</v>
      </c>
      <c r="Z339" s="1620">
        <v>0</v>
      </c>
      <c r="AA339" s="1620">
        <v>0</v>
      </c>
      <c r="AB339" s="1620">
        <v>0</v>
      </c>
      <c r="AC339" s="1620">
        <v>0</v>
      </c>
      <c r="AD339" s="1620">
        <v>0</v>
      </c>
      <c r="AE339" s="1620">
        <v>0</v>
      </c>
      <c r="AF339" s="1620">
        <v>0</v>
      </c>
      <c r="AG339" s="1620">
        <v>0</v>
      </c>
      <c r="AH339" s="1620">
        <v>0</v>
      </c>
      <c r="AI339" s="1620">
        <v>0</v>
      </c>
      <c r="AJ339" s="1620">
        <v>0</v>
      </c>
      <c r="AK339" s="1620">
        <v>0</v>
      </c>
      <c r="AL339" s="1620"/>
      <c r="AM339" s="1620">
        <v>0</v>
      </c>
      <c r="AN339" s="1620">
        <v>0</v>
      </c>
      <c r="AO339" s="1620">
        <v>0</v>
      </c>
      <c r="AP339" s="1620">
        <v>0</v>
      </c>
      <c r="AQ339" s="1620">
        <v>0</v>
      </c>
      <c r="AR339" s="1620">
        <v>0</v>
      </c>
      <c r="AS339" s="1620">
        <v>0</v>
      </c>
      <c r="AT339" s="1620">
        <v>0</v>
      </c>
      <c r="AU339" s="1620">
        <v>0</v>
      </c>
      <c r="AV339" s="1620">
        <v>0</v>
      </c>
      <c r="AW339" s="1620">
        <v>0</v>
      </c>
      <c r="AX339" s="1620"/>
      <c r="AY339" s="1620">
        <v>1</v>
      </c>
      <c r="AZ339" s="1620">
        <v>1</v>
      </c>
      <c r="BA339" s="1620">
        <v>1</v>
      </c>
      <c r="BB339" s="1620">
        <v>1</v>
      </c>
      <c r="BC339" s="1620">
        <v>1</v>
      </c>
      <c r="BD339" s="1620">
        <v>1</v>
      </c>
      <c r="BE339" s="1620">
        <v>1</v>
      </c>
      <c r="BF339" s="1620">
        <v>1</v>
      </c>
      <c r="BG339" s="1620">
        <v>1</v>
      </c>
      <c r="BH339" s="1620">
        <v>1</v>
      </c>
      <c r="BI339" s="1620">
        <v>1</v>
      </c>
      <c r="BJ339" s="1603"/>
      <c r="BK339" s="1620">
        <v>1.0101010101010101E-4</v>
      </c>
      <c r="BL339" s="1620">
        <v>0</v>
      </c>
      <c r="BM339" s="1620">
        <v>0</v>
      </c>
      <c r="BN339" s="1620">
        <v>0</v>
      </c>
      <c r="BO339" s="1620"/>
      <c r="BP339" s="1620">
        <v>0</v>
      </c>
      <c r="BQ339" s="1620">
        <v>0</v>
      </c>
      <c r="BR339" s="1620">
        <v>1.5853656296022614</v>
      </c>
      <c r="BS339" s="1620">
        <v>1.5194803047356702</v>
      </c>
      <c r="BT339" s="1603"/>
      <c r="BU339" s="1620">
        <v>1000</v>
      </c>
      <c r="BV339" s="1620">
        <v>999.99908080808063</v>
      </c>
      <c r="BW339" s="1620">
        <v>0</v>
      </c>
      <c r="BX339" s="1620" t="s">
        <v>270</v>
      </c>
      <c r="BY339" s="1620" t="s">
        <v>270</v>
      </c>
      <c r="BZ339" s="1620" t="s">
        <v>270</v>
      </c>
      <c r="CA339" s="1620" t="s">
        <v>270</v>
      </c>
      <c r="CB339" s="1603"/>
      <c r="CC339" s="1603">
        <v>0</v>
      </c>
      <c r="CD339" s="1603">
        <v>0</v>
      </c>
      <c r="CE339" s="1603">
        <v>0</v>
      </c>
      <c r="CF339" s="1603">
        <v>0</v>
      </c>
      <c r="CG339" s="1603">
        <v>0</v>
      </c>
      <c r="CH339" s="1603">
        <v>0</v>
      </c>
      <c r="CI339" s="1603">
        <v>0</v>
      </c>
      <c r="CJ339" s="1603"/>
      <c r="CK339" s="1603">
        <v>0</v>
      </c>
      <c r="CL339" s="1603">
        <v>0</v>
      </c>
      <c r="CM339" s="1603">
        <v>0</v>
      </c>
      <c r="CN339" s="1603">
        <v>0</v>
      </c>
      <c r="CO339" s="1603">
        <v>0</v>
      </c>
      <c r="CP339" s="1603">
        <v>0</v>
      </c>
      <c r="CQ339" s="1603">
        <v>0</v>
      </c>
      <c r="CR339" s="1603">
        <v>0</v>
      </c>
      <c r="CS339" s="1603">
        <v>0</v>
      </c>
      <c r="CT339" s="1603">
        <v>0</v>
      </c>
      <c r="CU339" s="1603">
        <v>0</v>
      </c>
      <c r="CV339" s="1603">
        <v>0</v>
      </c>
      <c r="CW339" s="1603">
        <v>0</v>
      </c>
      <c r="CX339" s="1603">
        <v>0</v>
      </c>
      <c r="CY339" s="1603">
        <v>0</v>
      </c>
      <c r="CZ339" s="1603">
        <v>0</v>
      </c>
      <c r="DA339" s="1603">
        <v>0</v>
      </c>
      <c r="DB339" s="1603">
        <v>0</v>
      </c>
      <c r="DC339" s="1603">
        <v>0</v>
      </c>
      <c r="DD339" s="1603">
        <v>0</v>
      </c>
      <c r="DE339" s="1603">
        <v>0</v>
      </c>
      <c r="DF339" s="1603">
        <v>0</v>
      </c>
      <c r="DG339" s="1603">
        <v>0</v>
      </c>
      <c r="DH339" s="1619">
        <v>8000000</v>
      </c>
      <c r="DI339" s="1603">
        <v>0</v>
      </c>
      <c r="DJ339" s="1603">
        <v>0</v>
      </c>
      <c r="DK339" s="1603">
        <v>0</v>
      </c>
      <c r="DL339" s="1603">
        <v>0</v>
      </c>
      <c r="DM339" s="1603">
        <v>0</v>
      </c>
      <c r="DN339" s="1603">
        <v>0</v>
      </c>
      <c r="DO339" s="1603">
        <v>0</v>
      </c>
      <c r="DP339" s="1603">
        <v>0</v>
      </c>
      <c r="DQ339" s="1603">
        <v>0</v>
      </c>
      <c r="DR339" s="1603">
        <v>0</v>
      </c>
      <c r="DS339" s="1603">
        <v>0</v>
      </c>
      <c r="DT339" s="1603">
        <v>0</v>
      </c>
      <c r="DU339" s="1603">
        <v>0</v>
      </c>
      <c r="DV339" s="1603">
        <v>0</v>
      </c>
      <c r="DW339" s="1618" t="s">
        <v>986</v>
      </c>
      <c r="DX339" s="1605" t="s">
        <v>986</v>
      </c>
      <c r="DY339" s="1605" t="s">
        <v>986</v>
      </c>
      <c r="DZ339" s="1605" t="s">
        <v>986</v>
      </c>
      <c r="EA339" s="1605" t="s">
        <v>986</v>
      </c>
      <c r="EB339" s="1605" t="s">
        <v>986</v>
      </c>
      <c r="EC339" s="1605" t="s">
        <v>986</v>
      </c>
      <c r="ED339" s="1605" t="s">
        <v>986</v>
      </c>
      <c r="EE339" s="1605" t="s">
        <v>986</v>
      </c>
      <c r="EF339" s="1605" t="s">
        <v>986</v>
      </c>
      <c r="EG339" s="1605" t="s">
        <v>986</v>
      </c>
      <c r="EH339" s="1605" t="s">
        <v>986</v>
      </c>
      <c r="EI339" s="1605" t="s">
        <v>986</v>
      </c>
      <c r="EJ339" s="1605" t="s">
        <v>986</v>
      </c>
      <c r="EK339" s="1605" t="s">
        <v>986</v>
      </c>
      <c r="EL339" s="1605" t="s">
        <v>986</v>
      </c>
      <c r="EM339" s="1605" t="s">
        <v>986</v>
      </c>
      <c r="EN339" s="1605" t="s">
        <v>986</v>
      </c>
      <c r="EO339" s="1605" t="s">
        <v>986</v>
      </c>
      <c r="EP339" s="1605" t="s">
        <v>986</v>
      </c>
      <c r="EQ339" s="1605" t="s">
        <v>986</v>
      </c>
      <c r="ER339" s="1605" t="s">
        <v>986</v>
      </c>
      <c r="ES339" s="1605" t="s">
        <v>986</v>
      </c>
      <c r="ET339" s="1605" t="s">
        <v>986</v>
      </c>
      <c r="EU339" s="1605" t="s">
        <v>986</v>
      </c>
      <c r="EV339" s="1605" t="s">
        <v>986</v>
      </c>
      <c r="EW339" s="1605" t="s">
        <v>986</v>
      </c>
      <c r="EX339" s="1605" t="s">
        <v>986</v>
      </c>
      <c r="EY339" s="1605" t="s">
        <v>986</v>
      </c>
      <c r="EZ339" s="1605" t="s">
        <v>986</v>
      </c>
      <c r="FA339" s="1605" t="s">
        <v>986</v>
      </c>
      <c r="FB339" s="1605" t="s">
        <v>986</v>
      </c>
      <c r="FC339" s="1605" t="s">
        <v>986</v>
      </c>
      <c r="FD339" s="1605" t="s">
        <v>986</v>
      </c>
      <c r="FE339" s="1605" t="s">
        <v>986</v>
      </c>
      <c r="FF339" s="1605" t="s">
        <v>986</v>
      </c>
      <c r="FG339" s="1605" t="s">
        <v>986</v>
      </c>
      <c r="FH339" s="1605" t="s">
        <v>986</v>
      </c>
      <c r="FI339" s="1605" t="s">
        <v>986</v>
      </c>
      <c r="FJ339" s="1605" t="s">
        <v>986</v>
      </c>
      <c r="FK339" s="1605" t="s">
        <v>986</v>
      </c>
      <c r="FL339" s="1605" t="s">
        <v>986</v>
      </c>
      <c r="FM339" s="1605" t="s">
        <v>986</v>
      </c>
      <c r="FN339" s="1605" t="s">
        <v>986</v>
      </c>
      <c r="FO339" s="1605" t="s">
        <v>986</v>
      </c>
      <c r="FP339" s="1605" t="s">
        <v>986</v>
      </c>
      <c r="FQ339" s="1605" t="s">
        <v>986</v>
      </c>
      <c r="FR339" s="1605" t="s">
        <v>986</v>
      </c>
      <c r="FS339" s="1605" t="s">
        <v>986</v>
      </c>
      <c r="FT339" s="1605" t="s">
        <v>986</v>
      </c>
      <c r="FU339" s="1605" t="s">
        <v>986</v>
      </c>
      <c r="FV339" s="1605" t="s">
        <v>986</v>
      </c>
      <c r="FW339" s="1605" t="s">
        <v>986</v>
      </c>
      <c r="FX339" s="1605" t="s">
        <v>986</v>
      </c>
      <c r="FY339" s="1605" t="s">
        <v>986</v>
      </c>
      <c r="FZ339" s="1605" t="s">
        <v>986</v>
      </c>
      <c r="GA339" s="1605" t="s">
        <v>986</v>
      </c>
      <c r="GB339" s="1605" t="s">
        <v>986</v>
      </c>
      <c r="GC339" s="1605" t="s">
        <v>986</v>
      </c>
      <c r="GD339" s="1605" t="s">
        <v>986</v>
      </c>
      <c r="GE339" s="1605" t="s">
        <v>986</v>
      </c>
      <c r="GF339" s="1605" t="s">
        <v>986</v>
      </c>
      <c r="GG339" s="1605" t="s">
        <v>986</v>
      </c>
      <c r="GH339" s="1605" t="s">
        <v>986</v>
      </c>
      <c r="GI339" s="1605" t="s">
        <v>986</v>
      </c>
      <c r="GJ339" s="1605" t="s">
        <v>986</v>
      </c>
      <c r="GK339" s="1605" t="s">
        <v>986</v>
      </c>
      <c r="GL339" s="1605" t="s">
        <v>986</v>
      </c>
      <c r="GM339" s="1605" t="s">
        <v>986</v>
      </c>
      <c r="GN339" s="1605" t="s">
        <v>986</v>
      </c>
      <c r="GO339" s="1605" t="s">
        <v>986</v>
      </c>
      <c r="GP339" s="1605" t="s">
        <v>986</v>
      </c>
      <c r="GQ339" s="1605" t="s">
        <v>986</v>
      </c>
      <c r="GR339" s="1605" t="s">
        <v>986</v>
      </c>
      <c r="GS339" s="1605" t="s">
        <v>986</v>
      </c>
      <c r="GT339" s="1605" t="s">
        <v>986</v>
      </c>
      <c r="GU339" s="1605" t="s">
        <v>986</v>
      </c>
      <c r="GV339" s="1605" t="s">
        <v>986</v>
      </c>
      <c r="GW339" s="1605" t="s">
        <v>986</v>
      </c>
      <c r="GX339" s="1605" t="s">
        <v>986</v>
      </c>
      <c r="GY339" s="1605" t="s">
        <v>986</v>
      </c>
      <c r="GZ339" s="1605" t="s">
        <v>986</v>
      </c>
      <c r="HA339" s="1605" t="s">
        <v>986</v>
      </c>
      <c r="HB339" s="1605" t="s">
        <v>986</v>
      </c>
      <c r="HC339" s="1605" t="s">
        <v>986</v>
      </c>
      <c r="HD339" s="1605" t="s">
        <v>986</v>
      </c>
      <c r="HE339" s="1605" t="s">
        <v>986</v>
      </c>
      <c r="HF339" s="1605" t="s">
        <v>986</v>
      </c>
      <c r="HG339" s="1605" t="s">
        <v>986</v>
      </c>
      <c r="HH339" s="1605" t="s">
        <v>986</v>
      </c>
      <c r="HI339" s="1605" t="s">
        <v>986</v>
      </c>
      <c r="HJ339" s="1605" t="s">
        <v>986</v>
      </c>
      <c r="HK339" s="1605" t="s">
        <v>986</v>
      </c>
      <c r="HL339" s="1605" t="s">
        <v>986</v>
      </c>
      <c r="HM339" s="1605" t="s">
        <v>986</v>
      </c>
      <c r="HN339" s="1605" t="s">
        <v>986</v>
      </c>
      <c r="HO339" s="1605" t="s">
        <v>986</v>
      </c>
      <c r="HP339" s="1605" t="s">
        <v>986</v>
      </c>
      <c r="HQ339" s="1605" t="s">
        <v>986</v>
      </c>
      <c r="HR339" s="1605" t="s">
        <v>986</v>
      </c>
      <c r="HS339" s="1605" t="s">
        <v>986</v>
      </c>
      <c r="HT339" s="1605" t="s">
        <v>986</v>
      </c>
      <c r="HU339" s="1605" t="s">
        <v>986</v>
      </c>
      <c r="HV339" s="1617"/>
      <c r="HW339" s="1617" t="s">
        <v>2940</v>
      </c>
      <c r="HX339" s="1617">
        <v>0</v>
      </c>
      <c r="HY339" s="1617">
        <v>0</v>
      </c>
      <c r="HZ339" s="1603"/>
      <c r="IA339" s="1603"/>
      <c r="IB339" s="1603"/>
      <c r="IC339" s="1603">
        <v>0</v>
      </c>
      <c r="ID339" s="1603">
        <v>0</v>
      </c>
      <c r="IE339" s="1603">
        <v>0</v>
      </c>
      <c r="IF339" s="1603">
        <v>0</v>
      </c>
      <c r="IG339" s="1611" t="s">
        <v>2932</v>
      </c>
      <c r="IH339" s="1616" t="s">
        <v>270</v>
      </c>
      <c r="II339" s="1615" t="s">
        <v>270</v>
      </c>
      <c r="IJ339" s="1613">
        <v>1.3101818181818183</v>
      </c>
      <c r="IK339" s="1613">
        <v>1.301848484848485</v>
      </c>
      <c r="IL339" s="1614">
        <v>1.3101818181818183</v>
      </c>
      <c r="IM339" s="1614">
        <v>1.301848484848485</v>
      </c>
      <c r="IN339" s="1612" t="s">
        <v>270</v>
      </c>
      <c r="IO339" s="1613" t="s">
        <v>270</v>
      </c>
      <c r="IP339" s="1607" t="s">
        <v>270</v>
      </c>
      <c r="IQ339" s="1612" t="s">
        <v>270</v>
      </c>
      <c r="IR339" s="1612" t="s">
        <v>270</v>
      </c>
      <c r="IS339" s="1607">
        <v>1.1881818181818182</v>
      </c>
      <c r="IT339" s="1607">
        <v>1.1798484848484849</v>
      </c>
      <c r="IU339" s="1611">
        <v>0</v>
      </c>
      <c r="IV339" s="1611">
        <v>7.7767676767676763E-2</v>
      </c>
      <c r="IW339" s="1611">
        <v>9.0909090909090909E-4</v>
      </c>
      <c r="IX339" s="1611">
        <v>1.6060606060606061E-3</v>
      </c>
      <c r="IY339" s="1611">
        <v>9.6969696969696957E-4</v>
      </c>
      <c r="IZ339" s="1611">
        <v>5.9898989898989896E-3</v>
      </c>
      <c r="JA339" s="1611">
        <v>6.0606060606060598E-5</v>
      </c>
      <c r="JB339" s="1611" t="s">
        <v>270</v>
      </c>
      <c r="JC339" s="1611">
        <v>9.9026969696969704</v>
      </c>
      <c r="JD339" s="1611">
        <v>5.2121212121212122E-3</v>
      </c>
      <c r="JE339" s="1611" t="s">
        <v>270</v>
      </c>
      <c r="JF339" s="1611">
        <v>8.2828282828282835E-4</v>
      </c>
      <c r="JG339" s="1611">
        <v>0.57978787878787885</v>
      </c>
      <c r="JH339" s="1611">
        <v>7.646464646464647E-3</v>
      </c>
      <c r="JI339" s="1611">
        <v>0.3</v>
      </c>
      <c r="JJ339" s="1611" t="s">
        <v>270</v>
      </c>
      <c r="JK339" s="1607">
        <f t="shared" si="14"/>
        <v>0.12200000000000011</v>
      </c>
      <c r="JL339" s="1608" t="s">
        <v>270</v>
      </c>
      <c r="JM339" s="1610" t="s">
        <v>2924</v>
      </c>
      <c r="JN339" s="1608">
        <v>8.3333333333333037E-3</v>
      </c>
      <c r="JO339" s="1609" t="s">
        <v>2931</v>
      </c>
      <c r="JP339" s="1608" t="s">
        <v>270</v>
      </c>
      <c r="JQ339" s="1607">
        <v>202103</v>
      </c>
      <c r="JR339" s="1606">
        <v>851</v>
      </c>
      <c r="JS339" s="1606">
        <v>774</v>
      </c>
      <c r="JT339" s="1606">
        <v>774</v>
      </c>
    </row>
    <row r="340" spans="1:280" ht="15" customHeight="1" x14ac:dyDescent="0.2">
      <c r="A340" s="1626">
        <v>97030</v>
      </c>
      <c r="B340" s="1625">
        <v>970</v>
      </c>
      <c r="C340" s="1624">
        <v>30</v>
      </c>
      <c r="D340" s="1623" t="s">
        <v>2939</v>
      </c>
      <c r="E340" s="1622">
        <v>43031</v>
      </c>
      <c r="F340" s="1620">
        <v>1.3951217540499901</v>
      </c>
      <c r="G340" s="1620">
        <v>1.3371426681673899</v>
      </c>
      <c r="H340" s="1621">
        <v>100</v>
      </c>
      <c r="I340" s="1621">
        <v>100</v>
      </c>
      <c r="J340" s="1621">
        <v>100</v>
      </c>
      <c r="K340" s="1620">
        <v>1</v>
      </c>
      <c r="L340" s="1620">
        <v>88</v>
      </c>
      <c r="M340" s="1620">
        <v>8.8888888888888893E-5</v>
      </c>
      <c r="N340" s="1620">
        <v>0</v>
      </c>
      <c r="O340" s="1620">
        <v>0</v>
      </c>
      <c r="P340" s="1620">
        <v>0</v>
      </c>
      <c r="Q340" s="1603"/>
      <c r="R340" s="1620">
        <v>0</v>
      </c>
      <c r="S340" s="1620">
        <v>0</v>
      </c>
      <c r="T340" s="1620">
        <v>0</v>
      </c>
      <c r="U340" s="1620">
        <v>0</v>
      </c>
      <c r="V340" s="1620">
        <v>0</v>
      </c>
      <c r="W340" s="1620">
        <v>0</v>
      </c>
      <c r="X340" s="1620"/>
      <c r="Y340" s="1620">
        <v>0</v>
      </c>
      <c r="Z340" s="1620">
        <v>0</v>
      </c>
      <c r="AA340" s="1620">
        <v>0</v>
      </c>
      <c r="AB340" s="1620">
        <v>0</v>
      </c>
      <c r="AC340" s="1620">
        <v>0</v>
      </c>
      <c r="AD340" s="1620">
        <v>0</v>
      </c>
      <c r="AE340" s="1620">
        <v>0</v>
      </c>
      <c r="AF340" s="1620">
        <v>0</v>
      </c>
      <c r="AG340" s="1620">
        <v>0</v>
      </c>
      <c r="AH340" s="1620">
        <v>0</v>
      </c>
      <c r="AI340" s="1620">
        <v>0</v>
      </c>
      <c r="AJ340" s="1620">
        <v>0</v>
      </c>
      <c r="AK340" s="1620">
        <v>0</v>
      </c>
      <c r="AL340" s="1620"/>
      <c r="AM340" s="1620">
        <v>0</v>
      </c>
      <c r="AN340" s="1620">
        <v>0</v>
      </c>
      <c r="AO340" s="1620">
        <v>0</v>
      </c>
      <c r="AP340" s="1620">
        <v>0</v>
      </c>
      <c r="AQ340" s="1620">
        <v>0</v>
      </c>
      <c r="AR340" s="1620">
        <v>0</v>
      </c>
      <c r="AS340" s="1620">
        <v>0</v>
      </c>
      <c r="AT340" s="1620">
        <v>0</v>
      </c>
      <c r="AU340" s="1620">
        <v>0</v>
      </c>
      <c r="AV340" s="1620">
        <v>0</v>
      </c>
      <c r="AW340" s="1620">
        <v>0</v>
      </c>
      <c r="AX340" s="1620"/>
      <c r="AY340" s="1620">
        <v>1</v>
      </c>
      <c r="AZ340" s="1620">
        <v>1</v>
      </c>
      <c r="BA340" s="1620">
        <v>1</v>
      </c>
      <c r="BB340" s="1620">
        <v>1</v>
      </c>
      <c r="BC340" s="1620">
        <v>1</v>
      </c>
      <c r="BD340" s="1620">
        <v>1</v>
      </c>
      <c r="BE340" s="1620">
        <v>1</v>
      </c>
      <c r="BF340" s="1620">
        <v>1</v>
      </c>
      <c r="BG340" s="1620">
        <v>1</v>
      </c>
      <c r="BH340" s="1620">
        <v>1</v>
      </c>
      <c r="BI340" s="1620">
        <v>1</v>
      </c>
      <c r="BJ340" s="1603"/>
      <c r="BK340" s="1620">
        <v>1.0101010101010101E-4</v>
      </c>
      <c r="BL340" s="1620">
        <v>0</v>
      </c>
      <c r="BM340" s="1620">
        <v>0</v>
      </c>
      <c r="BN340" s="1620">
        <v>0</v>
      </c>
      <c r="BO340" s="1620"/>
      <c r="BP340" s="1620">
        <v>0</v>
      </c>
      <c r="BQ340" s="1620">
        <v>0</v>
      </c>
      <c r="BR340" s="1620">
        <v>1.5853656296022614</v>
      </c>
      <c r="BS340" s="1620">
        <v>1.5194803047356702</v>
      </c>
      <c r="BT340" s="1603"/>
      <c r="BU340" s="1620">
        <v>1000</v>
      </c>
      <c r="BV340" s="1620">
        <v>999.99908080808063</v>
      </c>
      <c r="BW340" s="1620">
        <v>0</v>
      </c>
      <c r="BX340" s="1620" t="s">
        <v>270</v>
      </c>
      <c r="BY340" s="1620" t="s">
        <v>270</v>
      </c>
      <c r="BZ340" s="1620" t="s">
        <v>270</v>
      </c>
      <c r="CA340" s="1620" t="s">
        <v>270</v>
      </c>
      <c r="CB340" s="1603"/>
      <c r="CC340" s="1603">
        <v>0</v>
      </c>
      <c r="CD340" s="1603">
        <v>0</v>
      </c>
      <c r="CE340" s="1603">
        <v>0</v>
      </c>
      <c r="CF340" s="1603">
        <v>0</v>
      </c>
      <c r="CG340" s="1603">
        <v>0</v>
      </c>
      <c r="CH340" s="1603">
        <v>0</v>
      </c>
      <c r="CI340" s="1603">
        <v>0</v>
      </c>
      <c r="CJ340" s="1603"/>
      <c r="CK340" s="1603">
        <v>0</v>
      </c>
      <c r="CL340" s="1603">
        <v>0</v>
      </c>
      <c r="CM340" s="1603">
        <v>0</v>
      </c>
      <c r="CN340" s="1603">
        <v>0</v>
      </c>
      <c r="CO340" s="1603">
        <v>0</v>
      </c>
      <c r="CP340" s="1603">
        <v>0</v>
      </c>
      <c r="CQ340" s="1603">
        <v>0</v>
      </c>
      <c r="CR340" s="1603">
        <v>0</v>
      </c>
      <c r="CS340" s="1603">
        <v>0</v>
      </c>
      <c r="CT340" s="1603">
        <v>0</v>
      </c>
      <c r="CU340" s="1603">
        <v>0</v>
      </c>
      <c r="CV340" s="1603">
        <v>0</v>
      </c>
      <c r="CW340" s="1603">
        <v>0</v>
      </c>
      <c r="CX340" s="1603">
        <v>0</v>
      </c>
      <c r="CY340" s="1603">
        <v>0</v>
      </c>
      <c r="CZ340" s="1603">
        <v>0</v>
      </c>
      <c r="DA340" s="1603">
        <v>0</v>
      </c>
      <c r="DB340" s="1603">
        <v>0</v>
      </c>
      <c r="DC340" s="1603">
        <v>0</v>
      </c>
      <c r="DD340" s="1603">
        <v>0</v>
      </c>
      <c r="DE340" s="1603">
        <v>0</v>
      </c>
      <c r="DF340" s="1603">
        <v>0</v>
      </c>
      <c r="DG340" s="1603">
        <v>0</v>
      </c>
      <c r="DH340" s="1619">
        <v>160000000</v>
      </c>
      <c r="DI340" s="1603">
        <v>0</v>
      </c>
      <c r="DJ340" s="1603">
        <v>0</v>
      </c>
      <c r="DK340" s="1603">
        <v>0</v>
      </c>
      <c r="DL340" s="1603">
        <v>0</v>
      </c>
      <c r="DM340" s="1603">
        <v>0</v>
      </c>
      <c r="DN340" s="1603">
        <v>0</v>
      </c>
      <c r="DO340" s="1603">
        <v>0</v>
      </c>
      <c r="DP340" s="1603">
        <v>0</v>
      </c>
      <c r="DQ340" s="1603">
        <v>0</v>
      </c>
      <c r="DR340" s="1603">
        <v>0</v>
      </c>
      <c r="DS340" s="1603">
        <v>0</v>
      </c>
      <c r="DT340" s="1603">
        <v>0</v>
      </c>
      <c r="DU340" s="1603">
        <v>0</v>
      </c>
      <c r="DV340" s="1603">
        <v>0</v>
      </c>
      <c r="DW340" s="1618" t="s">
        <v>986</v>
      </c>
      <c r="DX340" s="1605" t="s">
        <v>986</v>
      </c>
      <c r="DY340" s="1605" t="s">
        <v>986</v>
      </c>
      <c r="DZ340" s="1605" t="s">
        <v>986</v>
      </c>
      <c r="EA340" s="1605" t="s">
        <v>986</v>
      </c>
      <c r="EB340" s="1605" t="s">
        <v>986</v>
      </c>
      <c r="EC340" s="1605" t="s">
        <v>986</v>
      </c>
      <c r="ED340" s="1605" t="s">
        <v>986</v>
      </c>
      <c r="EE340" s="1605" t="s">
        <v>986</v>
      </c>
      <c r="EF340" s="1605" t="s">
        <v>986</v>
      </c>
      <c r="EG340" s="1605" t="s">
        <v>986</v>
      </c>
      <c r="EH340" s="1605" t="s">
        <v>986</v>
      </c>
      <c r="EI340" s="1605" t="s">
        <v>986</v>
      </c>
      <c r="EJ340" s="1605" t="s">
        <v>986</v>
      </c>
      <c r="EK340" s="1605" t="s">
        <v>986</v>
      </c>
      <c r="EL340" s="1605" t="s">
        <v>986</v>
      </c>
      <c r="EM340" s="1605" t="s">
        <v>986</v>
      </c>
      <c r="EN340" s="1605" t="s">
        <v>986</v>
      </c>
      <c r="EO340" s="1605" t="s">
        <v>986</v>
      </c>
      <c r="EP340" s="1605" t="s">
        <v>986</v>
      </c>
      <c r="EQ340" s="1605" t="s">
        <v>986</v>
      </c>
      <c r="ER340" s="1605" t="s">
        <v>986</v>
      </c>
      <c r="ES340" s="1605" t="s">
        <v>986</v>
      </c>
      <c r="ET340" s="1605" t="s">
        <v>986</v>
      </c>
      <c r="EU340" s="1605" t="s">
        <v>986</v>
      </c>
      <c r="EV340" s="1605" t="s">
        <v>986</v>
      </c>
      <c r="EW340" s="1605" t="s">
        <v>986</v>
      </c>
      <c r="EX340" s="1605" t="s">
        <v>986</v>
      </c>
      <c r="EY340" s="1605" t="s">
        <v>986</v>
      </c>
      <c r="EZ340" s="1605" t="s">
        <v>986</v>
      </c>
      <c r="FA340" s="1605" t="s">
        <v>986</v>
      </c>
      <c r="FB340" s="1605" t="s">
        <v>986</v>
      </c>
      <c r="FC340" s="1605" t="s">
        <v>986</v>
      </c>
      <c r="FD340" s="1605" t="s">
        <v>986</v>
      </c>
      <c r="FE340" s="1605" t="s">
        <v>986</v>
      </c>
      <c r="FF340" s="1605" t="s">
        <v>986</v>
      </c>
      <c r="FG340" s="1605" t="s">
        <v>986</v>
      </c>
      <c r="FH340" s="1605" t="s">
        <v>986</v>
      </c>
      <c r="FI340" s="1605" t="s">
        <v>986</v>
      </c>
      <c r="FJ340" s="1605" t="s">
        <v>986</v>
      </c>
      <c r="FK340" s="1605" t="s">
        <v>986</v>
      </c>
      <c r="FL340" s="1605" t="s">
        <v>986</v>
      </c>
      <c r="FM340" s="1605" t="s">
        <v>986</v>
      </c>
      <c r="FN340" s="1605" t="s">
        <v>986</v>
      </c>
      <c r="FO340" s="1605" t="s">
        <v>986</v>
      </c>
      <c r="FP340" s="1605" t="s">
        <v>986</v>
      </c>
      <c r="FQ340" s="1605" t="s">
        <v>986</v>
      </c>
      <c r="FR340" s="1605" t="s">
        <v>986</v>
      </c>
      <c r="FS340" s="1605" t="s">
        <v>986</v>
      </c>
      <c r="FT340" s="1605" t="s">
        <v>986</v>
      </c>
      <c r="FU340" s="1605" t="s">
        <v>986</v>
      </c>
      <c r="FV340" s="1605" t="s">
        <v>986</v>
      </c>
      <c r="FW340" s="1605" t="s">
        <v>986</v>
      </c>
      <c r="FX340" s="1605" t="s">
        <v>986</v>
      </c>
      <c r="FY340" s="1605" t="s">
        <v>986</v>
      </c>
      <c r="FZ340" s="1605" t="s">
        <v>986</v>
      </c>
      <c r="GA340" s="1605" t="s">
        <v>986</v>
      </c>
      <c r="GB340" s="1605" t="s">
        <v>986</v>
      </c>
      <c r="GC340" s="1605" t="s">
        <v>986</v>
      </c>
      <c r="GD340" s="1605" t="s">
        <v>986</v>
      </c>
      <c r="GE340" s="1605" t="s">
        <v>986</v>
      </c>
      <c r="GF340" s="1605" t="s">
        <v>986</v>
      </c>
      <c r="GG340" s="1605" t="s">
        <v>986</v>
      </c>
      <c r="GH340" s="1605" t="s">
        <v>986</v>
      </c>
      <c r="GI340" s="1605" t="s">
        <v>986</v>
      </c>
      <c r="GJ340" s="1605" t="s">
        <v>986</v>
      </c>
      <c r="GK340" s="1605" t="s">
        <v>986</v>
      </c>
      <c r="GL340" s="1605" t="s">
        <v>986</v>
      </c>
      <c r="GM340" s="1605" t="s">
        <v>986</v>
      </c>
      <c r="GN340" s="1605" t="s">
        <v>986</v>
      </c>
      <c r="GO340" s="1605" t="s">
        <v>986</v>
      </c>
      <c r="GP340" s="1605" t="s">
        <v>986</v>
      </c>
      <c r="GQ340" s="1605" t="s">
        <v>986</v>
      </c>
      <c r="GR340" s="1605" t="s">
        <v>986</v>
      </c>
      <c r="GS340" s="1605" t="s">
        <v>986</v>
      </c>
      <c r="GT340" s="1605" t="s">
        <v>986</v>
      </c>
      <c r="GU340" s="1605" t="s">
        <v>986</v>
      </c>
      <c r="GV340" s="1605" t="s">
        <v>986</v>
      </c>
      <c r="GW340" s="1605" t="s">
        <v>986</v>
      </c>
      <c r="GX340" s="1605" t="s">
        <v>986</v>
      </c>
      <c r="GY340" s="1605" t="s">
        <v>986</v>
      </c>
      <c r="GZ340" s="1605" t="s">
        <v>986</v>
      </c>
      <c r="HA340" s="1605" t="s">
        <v>986</v>
      </c>
      <c r="HB340" s="1605" t="s">
        <v>986</v>
      </c>
      <c r="HC340" s="1605" t="s">
        <v>986</v>
      </c>
      <c r="HD340" s="1605" t="s">
        <v>986</v>
      </c>
      <c r="HE340" s="1605" t="s">
        <v>986</v>
      </c>
      <c r="HF340" s="1605" t="s">
        <v>986</v>
      </c>
      <c r="HG340" s="1605" t="s">
        <v>986</v>
      </c>
      <c r="HH340" s="1605" t="s">
        <v>986</v>
      </c>
      <c r="HI340" s="1605" t="s">
        <v>986</v>
      </c>
      <c r="HJ340" s="1605" t="s">
        <v>986</v>
      </c>
      <c r="HK340" s="1605" t="s">
        <v>986</v>
      </c>
      <c r="HL340" s="1605" t="s">
        <v>986</v>
      </c>
      <c r="HM340" s="1605" t="s">
        <v>986</v>
      </c>
      <c r="HN340" s="1605" t="s">
        <v>986</v>
      </c>
      <c r="HO340" s="1605" t="s">
        <v>986</v>
      </c>
      <c r="HP340" s="1605" t="s">
        <v>986</v>
      </c>
      <c r="HQ340" s="1605" t="s">
        <v>986</v>
      </c>
      <c r="HR340" s="1605" t="s">
        <v>986</v>
      </c>
      <c r="HS340" s="1605" t="s">
        <v>986</v>
      </c>
      <c r="HT340" s="1605" t="s">
        <v>986</v>
      </c>
      <c r="HU340" s="1605" t="s">
        <v>986</v>
      </c>
      <c r="HV340" s="1617"/>
      <c r="HW340" s="1617" t="s">
        <v>2938</v>
      </c>
      <c r="HX340" s="1617">
        <v>0</v>
      </c>
      <c r="HY340" s="1617">
        <v>0</v>
      </c>
      <c r="HZ340" s="1603"/>
      <c r="IA340" s="1603"/>
      <c r="IB340" s="1603"/>
      <c r="IC340" s="1603">
        <v>0</v>
      </c>
      <c r="ID340" s="1603">
        <v>0</v>
      </c>
      <c r="IE340" s="1603">
        <v>0</v>
      </c>
      <c r="IF340" s="1603">
        <v>0</v>
      </c>
      <c r="IG340" s="1611" t="s">
        <v>2932</v>
      </c>
      <c r="IH340" s="1616" t="s">
        <v>270</v>
      </c>
      <c r="II340" s="1615" t="s">
        <v>270</v>
      </c>
      <c r="IJ340" s="1613">
        <v>1.3101818181818183</v>
      </c>
      <c r="IK340" s="1613">
        <v>1.301848484848485</v>
      </c>
      <c r="IL340" s="1614">
        <v>1.3101818181818183</v>
      </c>
      <c r="IM340" s="1614">
        <v>1.301848484848485</v>
      </c>
      <c r="IN340" s="1612" t="s">
        <v>270</v>
      </c>
      <c r="IO340" s="1613" t="s">
        <v>270</v>
      </c>
      <c r="IP340" s="1607" t="s">
        <v>270</v>
      </c>
      <c r="IQ340" s="1612" t="s">
        <v>270</v>
      </c>
      <c r="IR340" s="1612" t="s">
        <v>270</v>
      </c>
      <c r="IS340" s="1607">
        <v>1.1881818181818182</v>
      </c>
      <c r="IT340" s="1607">
        <v>1.1798484848484849</v>
      </c>
      <c r="IU340" s="1611">
        <v>0</v>
      </c>
      <c r="IV340" s="1611">
        <v>7.7767676767676763E-2</v>
      </c>
      <c r="IW340" s="1611">
        <v>9.0909090909090909E-4</v>
      </c>
      <c r="IX340" s="1611">
        <v>1.6060606060606061E-3</v>
      </c>
      <c r="IY340" s="1611">
        <v>9.6969696969696957E-4</v>
      </c>
      <c r="IZ340" s="1611">
        <v>5.9898989898989896E-3</v>
      </c>
      <c r="JA340" s="1611">
        <v>6.0606060606060598E-5</v>
      </c>
      <c r="JB340" s="1611" t="s">
        <v>270</v>
      </c>
      <c r="JC340" s="1611">
        <v>9.9026969696969704</v>
      </c>
      <c r="JD340" s="1611">
        <v>5.2121212121212122E-3</v>
      </c>
      <c r="JE340" s="1611" t="s">
        <v>270</v>
      </c>
      <c r="JF340" s="1611">
        <v>8.2828282828282835E-4</v>
      </c>
      <c r="JG340" s="1611">
        <v>0.57978787878787885</v>
      </c>
      <c r="JH340" s="1611">
        <v>7.646464646464647E-3</v>
      </c>
      <c r="JI340" s="1611">
        <v>0.3</v>
      </c>
      <c r="JJ340" s="1611" t="s">
        <v>270</v>
      </c>
      <c r="JK340" s="1607">
        <f t="shared" si="14"/>
        <v>0.12200000000000011</v>
      </c>
      <c r="JL340" s="1608" t="s">
        <v>270</v>
      </c>
      <c r="JM340" s="1610" t="s">
        <v>2924</v>
      </c>
      <c r="JN340" s="1608">
        <v>8.3333333333333037E-3</v>
      </c>
      <c r="JO340" s="1609" t="s">
        <v>2931</v>
      </c>
      <c r="JP340" s="1608" t="s">
        <v>270</v>
      </c>
      <c r="JQ340" s="1607">
        <v>202103</v>
      </c>
      <c r="JR340" s="1606">
        <v>851</v>
      </c>
      <c r="JS340" s="1606">
        <v>774</v>
      </c>
      <c r="JT340" s="1606">
        <v>774</v>
      </c>
    </row>
    <row r="341" spans="1:280" ht="15" customHeight="1" x14ac:dyDescent="0.2">
      <c r="A341" s="1626">
        <v>97000</v>
      </c>
      <c r="B341" s="1625">
        <v>970</v>
      </c>
      <c r="C341" s="1624">
        <v>0</v>
      </c>
      <c r="D341" s="1623" t="s">
        <v>2937</v>
      </c>
      <c r="E341" s="1622">
        <v>43031</v>
      </c>
      <c r="F341" s="1620">
        <v>1.3951217540499901</v>
      </c>
      <c r="G341" s="1620">
        <v>1.3371426681673899</v>
      </c>
      <c r="H341" s="1621">
        <v>100</v>
      </c>
      <c r="I341" s="1621">
        <v>100</v>
      </c>
      <c r="J341" s="1621">
        <v>100</v>
      </c>
      <c r="K341" s="1620">
        <v>1</v>
      </c>
      <c r="L341" s="1620">
        <v>88</v>
      </c>
      <c r="M341" s="1620">
        <v>8.8888888888888893E-5</v>
      </c>
      <c r="N341" s="1620">
        <v>0</v>
      </c>
      <c r="O341" s="1620">
        <v>0</v>
      </c>
      <c r="P341" s="1620">
        <v>0</v>
      </c>
      <c r="Q341" s="1603"/>
      <c r="R341" s="1620">
        <v>0</v>
      </c>
      <c r="S341" s="1620">
        <v>0</v>
      </c>
      <c r="T341" s="1620">
        <v>0</v>
      </c>
      <c r="U341" s="1620">
        <v>0</v>
      </c>
      <c r="V341" s="1620">
        <v>0</v>
      </c>
      <c r="W341" s="1620">
        <v>0</v>
      </c>
      <c r="X341" s="1620"/>
      <c r="Y341" s="1620">
        <v>0</v>
      </c>
      <c r="Z341" s="1620">
        <v>0</v>
      </c>
      <c r="AA341" s="1620">
        <v>0</v>
      </c>
      <c r="AB341" s="1620">
        <v>0</v>
      </c>
      <c r="AC341" s="1620">
        <v>0</v>
      </c>
      <c r="AD341" s="1620">
        <v>0</v>
      </c>
      <c r="AE341" s="1620">
        <v>0</v>
      </c>
      <c r="AF341" s="1620">
        <v>0</v>
      </c>
      <c r="AG341" s="1620">
        <v>0</v>
      </c>
      <c r="AH341" s="1620">
        <v>0</v>
      </c>
      <c r="AI341" s="1620">
        <v>0</v>
      </c>
      <c r="AJ341" s="1620">
        <v>0</v>
      </c>
      <c r="AK341" s="1620">
        <v>0</v>
      </c>
      <c r="AL341" s="1620"/>
      <c r="AM341" s="1620">
        <v>0</v>
      </c>
      <c r="AN341" s="1620">
        <v>0</v>
      </c>
      <c r="AO341" s="1620">
        <v>0</v>
      </c>
      <c r="AP341" s="1620">
        <v>0</v>
      </c>
      <c r="AQ341" s="1620">
        <v>0</v>
      </c>
      <c r="AR341" s="1620">
        <v>0</v>
      </c>
      <c r="AS341" s="1620">
        <v>0</v>
      </c>
      <c r="AT341" s="1620">
        <v>0</v>
      </c>
      <c r="AU341" s="1620">
        <v>0</v>
      </c>
      <c r="AV341" s="1620">
        <v>0</v>
      </c>
      <c r="AW341" s="1620">
        <v>0</v>
      </c>
      <c r="AX341" s="1620"/>
      <c r="AY341" s="1620">
        <v>1</v>
      </c>
      <c r="AZ341" s="1620">
        <v>1</v>
      </c>
      <c r="BA341" s="1620">
        <v>1</v>
      </c>
      <c r="BB341" s="1620">
        <v>1</v>
      </c>
      <c r="BC341" s="1620">
        <v>1</v>
      </c>
      <c r="BD341" s="1620">
        <v>1</v>
      </c>
      <c r="BE341" s="1620">
        <v>1</v>
      </c>
      <c r="BF341" s="1620">
        <v>1</v>
      </c>
      <c r="BG341" s="1620">
        <v>1</v>
      </c>
      <c r="BH341" s="1620">
        <v>1</v>
      </c>
      <c r="BI341" s="1620">
        <v>1</v>
      </c>
      <c r="BJ341" s="1603"/>
      <c r="BK341" s="1620">
        <v>1.0101010101010101E-4</v>
      </c>
      <c r="BL341" s="1620">
        <v>0</v>
      </c>
      <c r="BM341" s="1620">
        <v>0</v>
      </c>
      <c r="BN341" s="1620">
        <v>0</v>
      </c>
      <c r="BO341" s="1620"/>
      <c r="BP341" s="1620">
        <v>0</v>
      </c>
      <c r="BQ341" s="1620">
        <v>0</v>
      </c>
      <c r="BR341" s="1620">
        <v>1.5853656296022614</v>
      </c>
      <c r="BS341" s="1620">
        <v>1.5194803047356702</v>
      </c>
      <c r="BT341" s="1603"/>
      <c r="BU341" s="1620">
        <v>1000</v>
      </c>
      <c r="BV341" s="1620">
        <v>999.99908080808063</v>
      </c>
      <c r="BW341" s="1620">
        <v>0</v>
      </c>
      <c r="BX341" s="1620" t="s">
        <v>270</v>
      </c>
      <c r="BY341" s="1620" t="s">
        <v>270</v>
      </c>
      <c r="BZ341" s="1620" t="s">
        <v>270</v>
      </c>
      <c r="CA341" s="1620" t="s">
        <v>270</v>
      </c>
      <c r="CB341" s="1603"/>
      <c r="CC341" s="1603">
        <v>0</v>
      </c>
      <c r="CD341" s="1603">
        <v>0</v>
      </c>
      <c r="CE341" s="1603">
        <v>0</v>
      </c>
      <c r="CF341" s="1603">
        <v>0</v>
      </c>
      <c r="CG341" s="1603">
        <v>0</v>
      </c>
      <c r="CH341" s="1603">
        <v>0</v>
      </c>
      <c r="CI341" s="1603">
        <v>0</v>
      </c>
      <c r="CJ341" s="1603"/>
      <c r="CK341" s="1603">
        <v>0</v>
      </c>
      <c r="CL341" s="1603">
        <v>0</v>
      </c>
      <c r="CM341" s="1603">
        <v>0</v>
      </c>
      <c r="CN341" s="1603">
        <v>0</v>
      </c>
      <c r="CO341" s="1603">
        <v>0</v>
      </c>
      <c r="CP341" s="1603">
        <v>0</v>
      </c>
      <c r="CQ341" s="1603">
        <v>0</v>
      </c>
      <c r="CR341" s="1603">
        <v>0</v>
      </c>
      <c r="CS341" s="1603">
        <v>0</v>
      </c>
      <c r="CT341" s="1603">
        <v>0</v>
      </c>
      <c r="CU341" s="1603">
        <v>0</v>
      </c>
      <c r="CV341" s="1603">
        <v>0</v>
      </c>
      <c r="CW341" s="1603">
        <v>0</v>
      </c>
      <c r="CX341" s="1603">
        <v>0</v>
      </c>
      <c r="CY341" s="1603">
        <v>0</v>
      </c>
      <c r="CZ341" s="1603">
        <v>0</v>
      </c>
      <c r="DA341" s="1603">
        <v>0</v>
      </c>
      <c r="DB341" s="1603">
        <v>0</v>
      </c>
      <c r="DC341" s="1603">
        <v>0</v>
      </c>
      <c r="DD341" s="1603">
        <v>0</v>
      </c>
      <c r="DE341" s="1603">
        <v>0</v>
      </c>
      <c r="DF341" s="1603">
        <v>0</v>
      </c>
      <c r="DG341" s="1603">
        <v>0</v>
      </c>
      <c r="DH341" s="1619">
        <v>8000000</v>
      </c>
      <c r="DI341" s="1603">
        <v>0</v>
      </c>
      <c r="DJ341" s="1603">
        <v>0</v>
      </c>
      <c r="DK341" s="1603">
        <v>0</v>
      </c>
      <c r="DL341" s="1603">
        <v>0</v>
      </c>
      <c r="DM341" s="1603">
        <v>0</v>
      </c>
      <c r="DN341" s="1603">
        <v>0</v>
      </c>
      <c r="DO341" s="1603">
        <v>0</v>
      </c>
      <c r="DP341" s="1603">
        <v>0</v>
      </c>
      <c r="DQ341" s="1603">
        <v>0</v>
      </c>
      <c r="DR341" s="1603">
        <v>0</v>
      </c>
      <c r="DS341" s="1603">
        <v>0</v>
      </c>
      <c r="DT341" s="1603">
        <v>0</v>
      </c>
      <c r="DU341" s="1603">
        <v>0</v>
      </c>
      <c r="DV341" s="1603">
        <v>0</v>
      </c>
      <c r="DW341" s="1618" t="s">
        <v>986</v>
      </c>
      <c r="DX341" s="1605" t="s">
        <v>986</v>
      </c>
      <c r="DY341" s="1605" t="s">
        <v>986</v>
      </c>
      <c r="DZ341" s="1605" t="s">
        <v>986</v>
      </c>
      <c r="EA341" s="1605" t="s">
        <v>986</v>
      </c>
      <c r="EB341" s="1605" t="s">
        <v>986</v>
      </c>
      <c r="EC341" s="1605" t="s">
        <v>986</v>
      </c>
      <c r="ED341" s="1605" t="s">
        <v>986</v>
      </c>
      <c r="EE341" s="1605" t="s">
        <v>986</v>
      </c>
      <c r="EF341" s="1605" t="s">
        <v>986</v>
      </c>
      <c r="EG341" s="1605" t="s">
        <v>986</v>
      </c>
      <c r="EH341" s="1605" t="s">
        <v>986</v>
      </c>
      <c r="EI341" s="1605" t="s">
        <v>986</v>
      </c>
      <c r="EJ341" s="1605" t="s">
        <v>986</v>
      </c>
      <c r="EK341" s="1605" t="s">
        <v>986</v>
      </c>
      <c r="EL341" s="1605" t="s">
        <v>986</v>
      </c>
      <c r="EM341" s="1605" t="s">
        <v>986</v>
      </c>
      <c r="EN341" s="1605" t="s">
        <v>986</v>
      </c>
      <c r="EO341" s="1605" t="s">
        <v>986</v>
      </c>
      <c r="EP341" s="1605" t="s">
        <v>986</v>
      </c>
      <c r="EQ341" s="1605" t="s">
        <v>986</v>
      </c>
      <c r="ER341" s="1605" t="s">
        <v>986</v>
      </c>
      <c r="ES341" s="1605" t="s">
        <v>986</v>
      </c>
      <c r="ET341" s="1605" t="s">
        <v>986</v>
      </c>
      <c r="EU341" s="1605" t="s">
        <v>986</v>
      </c>
      <c r="EV341" s="1605" t="s">
        <v>986</v>
      </c>
      <c r="EW341" s="1605" t="s">
        <v>986</v>
      </c>
      <c r="EX341" s="1605" t="s">
        <v>986</v>
      </c>
      <c r="EY341" s="1605" t="s">
        <v>986</v>
      </c>
      <c r="EZ341" s="1605" t="s">
        <v>986</v>
      </c>
      <c r="FA341" s="1605" t="s">
        <v>986</v>
      </c>
      <c r="FB341" s="1605" t="s">
        <v>986</v>
      </c>
      <c r="FC341" s="1605" t="s">
        <v>986</v>
      </c>
      <c r="FD341" s="1605" t="s">
        <v>986</v>
      </c>
      <c r="FE341" s="1605" t="s">
        <v>986</v>
      </c>
      <c r="FF341" s="1605" t="s">
        <v>986</v>
      </c>
      <c r="FG341" s="1605" t="s">
        <v>986</v>
      </c>
      <c r="FH341" s="1605" t="s">
        <v>986</v>
      </c>
      <c r="FI341" s="1605" t="s">
        <v>986</v>
      </c>
      <c r="FJ341" s="1605" t="s">
        <v>986</v>
      </c>
      <c r="FK341" s="1605" t="s">
        <v>986</v>
      </c>
      <c r="FL341" s="1605" t="s">
        <v>986</v>
      </c>
      <c r="FM341" s="1605" t="s">
        <v>986</v>
      </c>
      <c r="FN341" s="1605" t="s">
        <v>986</v>
      </c>
      <c r="FO341" s="1605" t="s">
        <v>986</v>
      </c>
      <c r="FP341" s="1605" t="s">
        <v>986</v>
      </c>
      <c r="FQ341" s="1605" t="s">
        <v>986</v>
      </c>
      <c r="FR341" s="1605" t="s">
        <v>986</v>
      </c>
      <c r="FS341" s="1605" t="s">
        <v>986</v>
      </c>
      <c r="FT341" s="1605" t="s">
        <v>986</v>
      </c>
      <c r="FU341" s="1605" t="s">
        <v>986</v>
      </c>
      <c r="FV341" s="1605" t="s">
        <v>986</v>
      </c>
      <c r="FW341" s="1605" t="s">
        <v>986</v>
      </c>
      <c r="FX341" s="1605" t="s">
        <v>986</v>
      </c>
      <c r="FY341" s="1605" t="s">
        <v>986</v>
      </c>
      <c r="FZ341" s="1605" t="s">
        <v>986</v>
      </c>
      <c r="GA341" s="1605" t="s">
        <v>986</v>
      </c>
      <c r="GB341" s="1605" t="s">
        <v>986</v>
      </c>
      <c r="GC341" s="1605" t="s">
        <v>986</v>
      </c>
      <c r="GD341" s="1605" t="s">
        <v>986</v>
      </c>
      <c r="GE341" s="1605" t="s">
        <v>986</v>
      </c>
      <c r="GF341" s="1605" t="s">
        <v>986</v>
      </c>
      <c r="GG341" s="1605" t="s">
        <v>986</v>
      </c>
      <c r="GH341" s="1605" t="s">
        <v>986</v>
      </c>
      <c r="GI341" s="1605" t="s">
        <v>986</v>
      </c>
      <c r="GJ341" s="1605" t="s">
        <v>986</v>
      </c>
      <c r="GK341" s="1605" t="s">
        <v>986</v>
      </c>
      <c r="GL341" s="1605" t="s">
        <v>986</v>
      </c>
      <c r="GM341" s="1605" t="s">
        <v>986</v>
      </c>
      <c r="GN341" s="1605" t="s">
        <v>986</v>
      </c>
      <c r="GO341" s="1605" t="s">
        <v>986</v>
      </c>
      <c r="GP341" s="1605" t="s">
        <v>986</v>
      </c>
      <c r="GQ341" s="1605" t="s">
        <v>986</v>
      </c>
      <c r="GR341" s="1605" t="s">
        <v>986</v>
      </c>
      <c r="GS341" s="1605" t="s">
        <v>986</v>
      </c>
      <c r="GT341" s="1605" t="s">
        <v>986</v>
      </c>
      <c r="GU341" s="1605" t="s">
        <v>986</v>
      </c>
      <c r="GV341" s="1605" t="s">
        <v>986</v>
      </c>
      <c r="GW341" s="1605" t="s">
        <v>986</v>
      </c>
      <c r="GX341" s="1605" t="s">
        <v>986</v>
      </c>
      <c r="GY341" s="1605" t="s">
        <v>986</v>
      </c>
      <c r="GZ341" s="1605" t="s">
        <v>986</v>
      </c>
      <c r="HA341" s="1605" t="s">
        <v>986</v>
      </c>
      <c r="HB341" s="1605" t="s">
        <v>986</v>
      </c>
      <c r="HC341" s="1605" t="s">
        <v>986</v>
      </c>
      <c r="HD341" s="1605" t="s">
        <v>986</v>
      </c>
      <c r="HE341" s="1605" t="s">
        <v>986</v>
      </c>
      <c r="HF341" s="1605" t="s">
        <v>986</v>
      </c>
      <c r="HG341" s="1605" t="s">
        <v>986</v>
      </c>
      <c r="HH341" s="1605" t="s">
        <v>986</v>
      </c>
      <c r="HI341" s="1605" t="s">
        <v>986</v>
      </c>
      <c r="HJ341" s="1605" t="s">
        <v>986</v>
      </c>
      <c r="HK341" s="1605" t="s">
        <v>986</v>
      </c>
      <c r="HL341" s="1605" t="s">
        <v>986</v>
      </c>
      <c r="HM341" s="1605" t="s">
        <v>986</v>
      </c>
      <c r="HN341" s="1605" t="s">
        <v>986</v>
      </c>
      <c r="HO341" s="1605" t="s">
        <v>986</v>
      </c>
      <c r="HP341" s="1605" t="s">
        <v>986</v>
      </c>
      <c r="HQ341" s="1605" t="s">
        <v>986</v>
      </c>
      <c r="HR341" s="1605" t="s">
        <v>986</v>
      </c>
      <c r="HS341" s="1605" t="s">
        <v>986</v>
      </c>
      <c r="HT341" s="1605" t="s">
        <v>986</v>
      </c>
      <c r="HU341" s="1605" t="s">
        <v>986</v>
      </c>
      <c r="HV341" s="1617"/>
      <c r="HW341" s="1617" t="s">
        <v>2936</v>
      </c>
      <c r="HX341" s="1617">
        <v>0</v>
      </c>
      <c r="HY341" s="1617">
        <v>0</v>
      </c>
      <c r="HZ341" s="1603"/>
      <c r="IA341" s="1603"/>
      <c r="IB341" s="1603"/>
      <c r="IC341" s="1603">
        <v>0</v>
      </c>
      <c r="ID341" s="1603">
        <v>0</v>
      </c>
      <c r="IE341" s="1603">
        <v>0</v>
      </c>
      <c r="IF341" s="1603">
        <v>0</v>
      </c>
      <c r="IG341" s="1611" t="s">
        <v>2932</v>
      </c>
      <c r="IH341" s="1616" t="s">
        <v>270</v>
      </c>
      <c r="II341" s="1615" t="s">
        <v>270</v>
      </c>
      <c r="IJ341" s="1613">
        <v>1.3101818181818183</v>
      </c>
      <c r="IK341" s="1613">
        <v>1.301848484848485</v>
      </c>
      <c r="IL341" s="1614">
        <v>1.3101818181818183</v>
      </c>
      <c r="IM341" s="1614">
        <v>1.301848484848485</v>
      </c>
      <c r="IN341" s="1612" t="s">
        <v>270</v>
      </c>
      <c r="IO341" s="1613" t="s">
        <v>270</v>
      </c>
      <c r="IP341" s="1607" t="s">
        <v>270</v>
      </c>
      <c r="IQ341" s="1612" t="s">
        <v>270</v>
      </c>
      <c r="IR341" s="1612" t="s">
        <v>270</v>
      </c>
      <c r="IS341" s="1607">
        <v>1.1881818181818182</v>
      </c>
      <c r="IT341" s="1607">
        <v>1.1798484848484849</v>
      </c>
      <c r="IU341" s="1611">
        <v>0</v>
      </c>
      <c r="IV341" s="1611">
        <v>7.7767676767676763E-2</v>
      </c>
      <c r="IW341" s="1611">
        <v>9.0909090909090909E-4</v>
      </c>
      <c r="IX341" s="1611">
        <v>1.6060606060606061E-3</v>
      </c>
      <c r="IY341" s="1611">
        <v>9.6969696969696957E-4</v>
      </c>
      <c r="IZ341" s="1611">
        <v>5.9898989898989896E-3</v>
      </c>
      <c r="JA341" s="1611">
        <v>6.0606060606060598E-5</v>
      </c>
      <c r="JB341" s="1611" t="s">
        <v>270</v>
      </c>
      <c r="JC341" s="1611">
        <v>9.9026969696969704</v>
      </c>
      <c r="JD341" s="1611">
        <v>5.2121212121212122E-3</v>
      </c>
      <c r="JE341" s="1611" t="s">
        <v>270</v>
      </c>
      <c r="JF341" s="1611">
        <v>8.2828282828282835E-4</v>
      </c>
      <c r="JG341" s="1611">
        <v>0.57978787878787885</v>
      </c>
      <c r="JH341" s="1611">
        <v>7.646464646464647E-3</v>
      </c>
      <c r="JI341" s="1611">
        <v>0.3</v>
      </c>
      <c r="JJ341" s="1611" t="s">
        <v>270</v>
      </c>
      <c r="JK341" s="1607">
        <f t="shared" si="14"/>
        <v>0.12200000000000011</v>
      </c>
      <c r="JL341" s="1608" t="s">
        <v>270</v>
      </c>
      <c r="JM341" s="1610" t="s">
        <v>2924</v>
      </c>
      <c r="JN341" s="1608">
        <v>8.3333333333333037E-3</v>
      </c>
      <c r="JO341" s="1609" t="s">
        <v>2931</v>
      </c>
      <c r="JP341" s="1608" t="s">
        <v>270</v>
      </c>
      <c r="JQ341" s="1607">
        <v>202103</v>
      </c>
      <c r="JR341" s="1606">
        <v>851</v>
      </c>
      <c r="JS341" s="1606">
        <v>774</v>
      </c>
      <c r="JT341" s="1606">
        <v>774</v>
      </c>
    </row>
    <row r="342" spans="1:280" ht="15" customHeight="1" x14ac:dyDescent="0.2">
      <c r="A342" s="1626">
        <v>97010</v>
      </c>
      <c r="B342" s="1625">
        <v>970</v>
      </c>
      <c r="C342" s="1624">
        <v>10</v>
      </c>
      <c r="D342" s="1623" t="s">
        <v>2935</v>
      </c>
      <c r="E342" s="1622">
        <v>43031</v>
      </c>
      <c r="F342" s="1620">
        <v>1.3951217294037901</v>
      </c>
      <c r="G342" s="1620">
        <v>1.33714264454545</v>
      </c>
      <c r="H342" s="1621">
        <v>100</v>
      </c>
      <c r="I342" s="1621">
        <v>100</v>
      </c>
      <c r="J342" s="1621">
        <v>90</v>
      </c>
      <c r="K342" s="1620">
        <v>1</v>
      </c>
      <c r="L342" s="1620">
        <v>88</v>
      </c>
      <c r="M342" s="1620">
        <v>1E-4</v>
      </c>
      <c r="N342" s="1620">
        <v>0</v>
      </c>
      <c r="O342" s="1620">
        <v>0</v>
      </c>
      <c r="P342" s="1620">
        <v>0</v>
      </c>
      <c r="Q342" s="1603"/>
      <c r="R342" s="1620">
        <v>0</v>
      </c>
      <c r="S342" s="1620">
        <v>0</v>
      </c>
      <c r="T342" s="1620">
        <v>0</v>
      </c>
      <c r="U342" s="1620">
        <v>0</v>
      </c>
      <c r="V342" s="1620">
        <v>0</v>
      </c>
      <c r="W342" s="1620">
        <v>0</v>
      </c>
      <c r="X342" s="1620"/>
      <c r="Y342" s="1620">
        <v>35.343357265540341</v>
      </c>
      <c r="Z342" s="1620">
        <v>0</v>
      </c>
      <c r="AA342" s="1620">
        <v>18.849790730119434</v>
      </c>
      <c r="AB342" s="1620">
        <v>0</v>
      </c>
      <c r="AC342" s="1620">
        <v>0</v>
      </c>
      <c r="AD342" s="1620">
        <v>0</v>
      </c>
      <c r="AE342" s="1620">
        <v>13.548287087273296</v>
      </c>
      <c r="AF342" s="1620">
        <v>0</v>
      </c>
      <c r="AG342" s="1620">
        <v>0</v>
      </c>
      <c r="AH342" s="1620">
        <v>0</v>
      </c>
      <c r="AI342" s="1620">
        <v>0</v>
      </c>
      <c r="AJ342" s="1620">
        <v>0</v>
      </c>
      <c r="AK342" s="1620">
        <v>0</v>
      </c>
      <c r="AL342" s="1620"/>
      <c r="AM342" s="1620">
        <v>0</v>
      </c>
      <c r="AN342" s="1620">
        <v>0</v>
      </c>
      <c r="AO342" s="1620">
        <v>0</v>
      </c>
      <c r="AP342" s="1620">
        <v>0</v>
      </c>
      <c r="AQ342" s="1620">
        <v>0</v>
      </c>
      <c r="AR342" s="1620">
        <v>0</v>
      </c>
      <c r="AS342" s="1620">
        <v>0</v>
      </c>
      <c r="AT342" s="1620">
        <v>0</v>
      </c>
      <c r="AU342" s="1620">
        <v>0</v>
      </c>
      <c r="AV342" s="1620">
        <v>0</v>
      </c>
      <c r="AW342" s="1620">
        <v>0</v>
      </c>
      <c r="AX342" s="1620"/>
      <c r="AY342" s="1620">
        <v>0</v>
      </c>
      <c r="AZ342" s="1620">
        <v>0</v>
      </c>
      <c r="BA342" s="1620">
        <v>0</v>
      </c>
      <c r="BB342" s="1620">
        <v>0</v>
      </c>
      <c r="BC342" s="1620">
        <v>0</v>
      </c>
      <c r="BD342" s="1620">
        <v>0</v>
      </c>
      <c r="BE342" s="1620">
        <v>0</v>
      </c>
      <c r="BF342" s="1620">
        <v>0</v>
      </c>
      <c r="BG342" s="1620">
        <v>0</v>
      </c>
      <c r="BH342" s="1620">
        <v>0</v>
      </c>
      <c r="BI342" s="1620">
        <v>0</v>
      </c>
      <c r="BJ342" s="1603"/>
      <c r="BK342" s="1620">
        <v>1.1363636363636364E-4</v>
      </c>
      <c r="BL342" s="1620">
        <v>0</v>
      </c>
      <c r="BM342" s="1620">
        <v>0</v>
      </c>
      <c r="BN342" s="1620">
        <v>0</v>
      </c>
      <c r="BO342" s="1620"/>
      <c r="BP342" s="1620">
        <v>0</v>
      </c>
      <c r="BQ342" s="1620">
        <v>0</v>
      </c>
      <c r="BR342" s="1620">
        <v>1.585365601595216</v>
      </c>
      <c r="BS342" s="1620">
        <v>1.5194802778925569</v>
      </c>
      <c r="BT342" s="1603"/>
      <c r="BU342" s="1620">
        <v>1000</v>
      </c>
      <c r="BV342" s="1620">
        <v>999.99896590909088</v>
      </c>
      <c r="BW342" s="1620">
        <v>0</v>
      </c>
      <c r="BX342" s="1620">
        <v>0</v>
      </c>
      <c r="BY342" s="1620">
        <v>0</v>
      </c>
      <c r="BZ342" s="1620">
        <v>0</v>
      </c>
      <c r="CA342" s="1620">
        <v>0</v>
      </c>
      <c r="CB342" s="1603"/>
      <c r="CC342" s="1603">
        <v>31.102154393675502</v>
      </c>
      <c r="CD342" s="1603">
        <v>0</v>
      </c>
      <c r="CE342" s="1603">
        <v>16.587815842505101</v>
      </c>
      <c r="CF342" s="1603">
        <v>0</v>
      </c>
      <c r="CG342" s="1603">
        <v>0</v>
      </c>
      <c r="CH342" s="1603">
        <v>0</v>
      </c>
      <c r="CI342" s="1603">
        <v>11.9224926368005</v>
      </c>
      <c r="CJ342" s="1603"/>
      <c r="CK342" s="1603">
        <v>0</v>
      </c>
      <c r="CL342" s="1603">
        <v>0</v>
      </c>
      <c r="CM342" s="1603">
        <v>0</v>
      </c>
      <c r="CN342" s="1603">
        <v>0</v>
      </c>
      <c r="CO342" s="1603">
        <v>0</v>
      </c>
      <c r="CP342" s="1603">
        <v>0</v>
      </c>
      <c r="CQ342" s="1603">
        <v>0</v>
      </c>
      <c r="CR342" s="1603">
        <v>0</v>
      </c>
      <c r="CS342" s="1603">
        <v>0</v>
      </c>
      <c r="CT342" s="1603">
        <v>0</v>
      </c>
      <c r="CU342" s="1603">
        <v>0</v>
      </c>
      <c r="CV342" s="1603">
        <v>0</v>
      </c>
      <c r="CW342" s="1603">
        <v>0</v>
      </c>
      <c r="CX342" s="1603">
        <v>0</v>
      </c>
      <c r="CY342" s="1603">
        <v>0</v>
      </c>
      <c r="CZ342" s="1603">
        <v>0</v>
      </c>
      <c r="DA342" s="1603">
        <v>0</v>
      </c>
      <c r="DB342" s="1603">
        <v>0</v>
      </c>
      <c r="DC342" s="1603">
        <v>0</v>
      </c>
      <c r="DD342" s="1603">
        <v>0</v>
      </c>
      <c r="DE342" s="1603">
        <v>0</v>
      </c>
      <c r="DF342" s="1603">
        <v>0</v>
      </c>
      <c r="DG342" s="1603">
        <v>0</v>
      </c>
      <c r="DH342" s="1619">
        <v>1000000</v>
      </c>
      <c r="DI342" s="1603">
        <v>0</v>
      </c>
      <c r="DJ342" s="1603">
        <v>0</v>
      </c>
      <c r="DK342" s="1603">
        <v>0</v>
      </c>
      <c r="DL342" s="1603">
        <v>0</v>
      </c>
      <c r="DM342" s="1603">
        <v>0</v>
      </c>
      <c r="DN342" s="1603">
        <v>0</v>
      </c>
      <c r="DO342" s="1603">
        <v>0</v>
      </c>
      <c r="DP342" s="1603">
        <v>0</v>
      </c>
      <c r="DQ342" s="1603">
        <v>0</v>
      </c>
      <c r="DR342" s="1603">
        <v>0</v>
      </c>
      <c r="DS342" s="1603">
        <v>0</v>
      </c>
      <c r="DT342" s="1603">
        <v>0</v>
      </c>
      <c r="DU342" s="1603">
        <v>0</v>
      </c>
      <c r="DV342" s="1603">
        <v>0</v>
      </c>
      <c r="DW342" s="1618" t="s">
        <v>986</v>
      </c>
      <c r="DX342" s="1605" t="s">
        <v>986</v>
      </c>
      <c r="DY342" s="1605" t="s">
        <v>986</v>
      </c>
      <c r="DZ342" s="1605" t="s">
        <v>986</v>
      </c>
      <c r="EA342" s="1605" t="s">
        <v>986</v>
      </c>
      <c r="EB342" s="1605" t="s">
        <v>986</v>
      </c>
      <c r="EC342" s="1605" t="s">
        <v>986</v>
      </c>
      <c r="ED342" s="1605" t="s">
        <v>986</v>
      </c>
      <c r="EE342" s="1605" t="s">
        <v>986</v>
      </c>
      <c r="EF342" s="1605" t="s">
        <v>986</v>
      </c>
      <c r="EG342" s="1605" t="s">
        <v>986</v>
      </c>
      <c r="EH342" s="1605" t="s">
        <v>986</v>
      </c>
      <c r="EI342" s="1605" t="s">
        <v>986</v>
      </c>
      <c r="EJ342" s="1605" t="s">
        <v>986</v>
      </c>
      <c r="EK342" s="1605" t="s">
        <v>986</v>
      </c>
      <c r="EL342" s="1605" t="s">
        <v>986</v>
      </c>
      <c r="EM342" s="1605" t="s">
        <v>986</v>
      </c>
      <c r="EN342" s="1605" t="s">
        <v>986</v>
      </c>
      <c r="EO342" s="1605" t="s">
        <v>986</v>
      </c>
      <c r="EP342" s="1605" t="s">
        <v>986</v>
      </c>
      <c r="EQ342" s="1605" t="s">
        <v>986</v>
      </c>
      <c r="ER342" s="1605" t="s">
        <v>986</v>
      </c>
      <c r="ES342" s="1605" t="s">
        <v>986</v>
      </c>
      <c r="ET342" s="1605" t="s">
        <v>986</v>
      </c>
      <c r="EU342" s="1605" t="s">
        <v>986</v>
      </c>
      <c r="EV342" s="1605" t="s">
        <v>986</v>
      </c>
      <c r="EW342" s="1605" t="s">
        <v>986</v>
      </c>
      <c r="EX342" s="1605" t="s">
        <v>986</v>
      </c>
      <c r="EY342" s="1605" t="s">
        <v>986</v>
      </c>
      <c r="EZ342" s="1605" t="s">
        <v>986</v>
      </c>
      <c r="FA342" s="1605" t="s">
        <v>986</v>
      </c>
      <c r="FB342" s="1605" t="s">
        <v>986</v>
      </c>
      <c r="FC342" s="1605" t="s">
        <v>986</v>
      </c>
      <c r="FD342" s="1605" t="s">
        <v>986</v>
      </c>
      <c r="FE342" s="1605" t="s">
        <v>986</v>
      </c>
      <c r="FF342" s="1605" t="s">
        <v>986</v>
      </c>
      <c r="FG342" s="1605" t="s">
        <v>986</v>
      </c>
      <c r="FH342" s="1605" t="s">
        <v>986</v>
      </c>
      <c r="FI342" s="1605" t="s">
        <v>986</v>
      </c>
      <c r="FJ342" s="1605" t="s">
        <v>986</v>
      </c>
      <c r="FK342" s="1605" t="s">
        <v>986</v>
      </c>
      <c r="FL342" s="1605" t="s">
        <v>986</v>
      </c>
      <c r="FM342" s="1605" t="s">
        <v>986</v>
      </c>
      <c r="FN342" s="1605" t="s">
        <v>986</v>
      </c>
      <c r="FO342" s="1605" t="s">
        <v>986</v>
      </c>
      <c r="FP342" s="1605" t="s">
        <v>986</v>
      </c>
      <c r="FQ342" s="1605" t="s">
        <v>986</v>
      </c>
      <c r="FR342" s="1605" t="s">
        <v>986</v>
      </c>
      <c r="FS342" s="1605" t="s">
        <v>986</v>
      </c>
      <c r="FT342" s="1605" t="s">
        <v>986</v>
      </c>
      <c r="FU342" s="1605" t="s">
        <v>986</v>
      </c>
      <c r="FV342" s="1605" t="s">
        <v>986</v>
      </c>
      <c r="FW342" s="1605" t="s">
        <v>986</v>
      </c>
      <c r="FX342" s="1605" t="s">
        <v>986</v>
      </c>
      <c r="FY342" s="1605" t="s">
        <v>986</v>
      </c>
      <c r="FZ342" s="1605" t="s">
        <v>986</v>
      </c>
      <c r="GA342" s="1605" t="s">
        <v>986</v>
      </c>
      <c r="GB342" s="1605" t="s">
        <v>986</v>
      </c>
      <c r="GC342" s="1605" t="s">
        <v>986</v>
      </c>
      <c r="GD342" s="1605" t="s">
        <v>986</v>
      </c>
      <c r="GE342" s="1605" t="s">
        <v>986</v>
      </c>
      <c r="GF342" s="1605" t="s">
        <v>986</v>
      </c>
      <c r="GG342" s="1605" t="s">
        <v>986</v>
      </c>
      <c r="GH342" s="1605" t="s">
        <v>986</v>
      </c>
      <c r="GI342" s="1605" t="s">
        <v>986</v>
      </c>
      <c r="GJ342" s="1605" t="s">
        <v>986</v>
      </c>
      <c r="GK342" s="1605" t="s">
        <v>986</v>
      </c>
      <c r="GL342" s="1605" t="s">
        <v>986</v>
      </c>
      <c r="GM342" s="1605" t="s">
        <v>986</v>
      </c>
      <c r="GN342" s="1605" t="s">
        <v>986</v>
      </c>
      <c r="GO342" s="1605" t="s">
        <v>986</v>
      </c>
      <c r="GP342" s="1605" t="s">
        <v>986</v>
      </c>
      <c r="GQ342" s="1605" t="s">
        <v>986</v>
      </c>
      <c r="GR342" s="1605" t="s">
        <v>986</v>
      </c>
      <c r="GS342" s="1605" t="s">
        <v>986</v>
      </c>
      <c r="GT342" s="1605" t="s">
        <v>986</v>
      </c>
      <c r="GU342" s="1605" t="s">
        <v>986</v>
      </c>
      <c r="GV342" s="1605" t="s">
        <v>986</v>
      </c>
      <c r="GW342" s="1605" t="s">
        <v>986</v>
      </c>
      <c r="GX342" s="1605" t="s">
        <v>986</v>
      </c>
      <c r="GY342" s="1605" t="s">
        <v>986</v>
      </c>
      <c r="GZ342" s="1605" t="s">
        <v>986</v>
      </c>
      <c r="HA342" s="1605" t="s">
        <v>986</v>
      </c>
      <c r="HB342" s="1605" t="s">
        <v>986</v>
      </c>
      <c r="HC342" s="1605" t="s">
        <v>986</v>
      </c>
      <c r="HD342" s="1605" t="s">
        <v>986</v>
      </c>
      <c r="HE342" s="1605" t="s">
        <v>986</v>
      </c>
      <c r="HF342" s="1605" t="s">
        <v>986</v>
      </c>
      <c r="HG342" s="1605" t="s">
        <v>986</v>
      </c>
      <c r="HH342" s="1605" t="s">
        <v>986</v>
      </c>
      <c r="HI342" s="1605" t="s">
        <v>986</v>
      </c>
      <c r="HJ342" s="1605" t="s">
        <v>986</v>
      </c>
      <c r="HK342" s="1605" t="s">
        <v>986</v>
      </c>
      <c r="HL342" s="1605" t="s">
        <v>986</v>
      </c>
      <c r="HM342" s="1605" t="s">
        <v>986</v>
      </c>
      <c r="HN342" s="1605" t="s">
        <v>986</v>
      </c>
      <c r="HO342" s="1605" t="s">
        <v>986</v>
      </c>
      <c r="HP342" s="1605" t="s">
        <v>986</v>
      </c>
      <c r="HQ342" s="1605" t="s">
        <v>986</v>
      </c>
      <c r="HR342" s="1605" t="s">
        <v>986</v>
      </c>
      <c r="HS342" s="1605" t="s">
        <v>986</v>
      </c>
      <c r="HT342" s="1605" t="s">
        <v>986</v>
      </c>
      <c r="HU342" s="1605" t="s">
        <v>986</v>
      </c>
      <c r="HV342" s="1617"/>
      <c r="HW342" s="1617" t="s">
        <v>2934</v>
      </c>
      <c r="HX342" s="1617">
        <v>0</v>
      </c>
      <c r="HY342" s="1617">
        <v>0</v>
      </c>
      <c r="HZ342" s="1603"/>
      <c r="IA342" s="1603"/>
      <c r="IB342" s="1603"/>
      <c r="IC342" s="1603">
        <v>0</v>
      </c>
      <c r="ID342" s="1603">
        <v>0</v>
      </c>
      <c r="IE342" s="1603">
        <v>0</v>
      </c>
      <c r="IF342" s="1603">
        <v>0</v>
      </c>
      <c r="IG342" s="1611" t="s">
        <v>2932</v>
      </c>
      <c r="IH342" s="1616" t="s">
        <v>270</v>
      </c>
      <c r="II342" s="1615" t="s">
        <v>270</v>
      </c>
      <c r="IJ342" s="1613">
        <v>1.3101818181818183</v>
      </c>
      <c r="IK342" s="1613">
        <v>1.301848484848485</v>
      </c>
      <c r="IL342" s="1614">
        <v>1.3101818181818183</v>
      </c>
      <c r="IM342" s="1614">
        <v>1.301848484848485</v>
      </c>
      <c r="IN342" s="1612" t="s">
        <v>270</v>
      </c>
      <c r="IO342" s="1613" t="s">
        <v>270</v>
      </c>
      <c r="IP342" s="1607" t="s">
        <v>270</v>
      </c>
      <c r="IQ342" s="1612" t="s">
        <v>270</v>
      </c>
      <c r="IR342" s="1612" t="s">
        <v>270</v>
      </c>
      <c r="IS342" s="1607">
        <v>1.1881818181818182</v>
      </c>
      <c r="IT342" s="1607">
        <v>1.1798484848484849</v>
      </c>
      <c r="IU342" s="1611">
        <v>0</v>
      </c>
      <c r="IV342" s="1611">
        <v>7.7767676767676763E-2</v>
      </c>
      <c r="IW342" s="1611">
        <v>9.0909090909090909E-4</v>
      </c>
      <c r="IX342" s="1611">
        <v>1.6060606060606061E-3</v>
      </c>
      <c r="IY342" s="1611">
        <v>9.6969696969696957E-4</v>
      </c>
      <c r="IZ342" s="1611">
        <v>5.9898989898989896E-3</v>
      </c>
      <c r="JA342" s="1611">
        <v>6.0606060606060598E-5</v>
      </c>
      <c r="JB342" s="1611" t="s">
        <v>270</v>
      </c>
      <c r="JC342" s="1611">
        <v>9.9026969696969704</v>
      </c>
      <c r="JD342" s="1611">
        <v>5.2121212121212122E-3</v>
      </c>
      <c r="JE342" s="1611" t="s">
        <v>270</v>
      </c>
      <c r="JF342" s="1611">
        <v>8.2828282828282835E-4</v>
      </c>
      <c r="JG342" s="1611">
        <v>0.57978787878787885</v>
      </c>
      <c r="JH342" s="1611">
        <v>7.646464646464647E-3</v>
      </c>
      <c r="JI342" s="1611">
        <v>0.3</v>
      </c>
      <c r="JJ342" s="1611" t="s">
        <v>270</v>
      </c>
      <c r="JK342" s="1607">
        <f t="shared" si="14"/>
        <v>0.12200000000000011</v>
      </c>
      <c r="JL342" s="1608" t="s">
        <v>270</v>
      </c>
      <c r="JM342" s="1610" t="s">
        <v>2924</v>
      </c>
      <c r="JN342" s="1608">
        <v>8.3333333333333037E-3</v>
      </c>
      <c r="JO342" s="1609" t="s">
        <v>2931</v>
      </c>
      <c r="JP342" s="1608" t="s">
        <v>270</v>
      </c>
      <c r="JQ342" s="1607">
        <v>202103</v>
      </c>
      <c r="JR342" s="1606">
        <v>851</v>
      </c>
      <c r="JS342" s="1606">
        <v>774</v>
      </c>
      <c r="JT342" s="1606">
        <v>774</v>
      </c>
    </row>
    <row r="343" spans="1:280" ht="15" customHeight="1" x14ac:dyDescent="0.2">
      <c r="A343" s="1626">
        <v>47000</v>
      </c>
      <c r="B343" s="1625">
        <v>470</v>
      </c>
      <c r="C343" s="1624">
        <v>0</v>
      </c>
      <c r="D343" s="1623" t="s">
        <v>2933</v>
      </c>
      <c r="E343" s="1622">
        <v>43025</v>
      </c>
      <c r="F343" s="1620">
        <v>-0.112682926829268</v>
      </c>
      <c r="G343" s="1620">
        <v>-0.108</v>
      </c>
      <c r="H343" s="1621">
        <v>70</v>
      </c>
      <c r="I343" s="1621">
        <v>70</v>
      </c>
      <c r="J343" s="1621">
        <v>0</v>
      </c>
      <c r="K343" s="1620">
        <v>1</v>
      </c>
      <c r="L343" s="1620">
        <v>99</v>
      </c>
      <c r="M343" s="1620">
        <v>0</v>
      </c>
      <c r="N343" s="1620">
        <v>0</v>
      </c>
      <c r="O343" s="1620">
        <v>99</v>
      </c>
      <c r="P343" s="1620">
        <v>0</v>
      </c>
      <c r="Q343" s="1603"/>
      <c r="R343" s="1620">
        <v>0</v>
      </c>
      <c r="S343" s="1620">
        <v>0</v>
      </c>
      <c r="T343" s="1620">
        <v>0</v>
      </c>
      <c r="U343" s="1620">
        <v>0</v>
      </c>
      <c r="V343" s="1620">
        <v>0</v>
      </c>
      <c r="W343" s="1620">
        <v>0</v>
      </c>
      <c r="X343" s="1620"/>
      <c r="Y343" s="1620">
        <v>0</v>
      </c>
      <c r="Z343" s="1620">
        <v>0</v>
      </c>
      <c r="AA343" s="1620">
        <v>0</v>
      </c>
      <c r="AB343" s="1620">
        <v>0</v>
      </c>
      <c r="AC343" s="1620">
        <v>0</v>
      </c>
      <c r="AD343" s="1620">
        <v>0</v>
      </c>
      <c r="AE343" s="1620">
        <v>0</v>
      </c>
      <c r="AF343" s="1620">
        <v>0</v>
      </c>
      <c r="AG343" s="1620">
        <v>0</v>
      </c>
      <c r="AH343" s="1620">
        <v>0</v>
      </c>
      <c r="AI343" s="1620">
        <v>808080.80808080803</v>
      </c>
      <c r="AJ343" s="1620">
        <v>0</v>
      </c>
      <c r="AK343" s="1620">
        <v>0</v>
      </c>
      <c r="AL343" s="1620"/>
      <c r="AM343" s="1620">
        <v>0</v>
      </c>
      <c r="AN343" s="1620">
        <v>0</v>
      </c>
      <c r="AO343" s="1620">
        <v>0</v>
      </c>
      <c r="AP343" s="1620">
        <v>0</v>
      </c>
      <c r="AQ343" s="1620">
        <v>0</v>
      </c>
      <c r="AR343" s="1620">
        <v>0</v>
      </c>
      <c r="AS343" s="1620">
        <v>0</v>
      </c>
      <c r="AT343" s="1620">
        <v>0</v>
      </c>
      <c r="AU343" s="1620">
        <v>0</v>
      </c>
      <c r="AV343" s="1620">
        <v>0</v>
      </c>
      <c r="AW343" s="1620">
        <v>0</v>
      </c>
      <c r="AX343" s="1620"/>
      <c r="AY343" s="1620">
        <v>1</v>
      </c>
      <c r="AZ343" s="1620">
        <v>1</v>
      </c>
      <c r="BA343" s="1620">
        <v>1</v>
      </c>
      <c r="BB343" s="1620">
        <v>1</v>
      </c>
      <c r="BC343" s="1620">
        <v>1</v>
      </c>
      <c r="BD343" s="1620">
        <v>1</v>
      </c>
      <c r="BE343" s="1620">
        <v>1</v>
      </c>
      <c r="BF343" s="1620">
        <v>1</v>
      </c>
      <c r="BG343" s="1620">
        <v>1</v>
      </c>
      <c r="BH343" s="1620">
        <v>1</v>
      </c>
      <c r="BI343" s="1620">
        <v>1</v>
      </c>
      <c r="BJ343" s="1603"/>
      <c r="BK343" s="1620">
        <v>0</v>
      </c>
      <c r="BL343" s="1620">
        <v>0</v>
      </c>
      <c r="BM343" s="1620">
        <v>100</v>
      </c>
      <c r="BN343" s="1620">
        <v>0</v>
      </c>
      <c r="BO343" s="1620"/>
      <c r="BP343" s="1620">
        <v>0</v>
      </c>
      <c r="BQ343" s="1620">
        <v>0</v>
      </c>
      <c r="BR343" s="1620">
        <v>-0.11382113821138182</v>
      </c>
      <c r="BS343" s="1620">
        <v>-0.1090909090909091</v>
      </c>
      <c r="BT343" s="1603"/>
      <c r="BU343" s="1620">
        <v>0</v>
      </c>
      <c r="BV343" s="1620">
        <v>0</v>
      </c>
      <c r="BW343" s="1620">
        <v>0</v>
      </c>
      <c r="BX343" s="1620" t="s">
        <v>270</v>
      </c>
      <c r="BY343" s="1620" t="s">
        <v>270</v>
      </c>
      <c r="BZ343" s="1620" t="s">
        <v>270</v>
      </c>
      <c r="CA343" s="1620" t="s">
        <v>270</v>
      </c>
      <c r="CB343" s="1603"/>
      <c r="CC343" s="1603">
        <v>0</v>
      </c>
      <c r="CD343" s="1603">
        <v>0</v>
      </c>
      <c r="CE343" s="1603">
        <v>0</v>
      </c>
      <c r="CF343" s="1603">
        <v>0</v>
      </c>
      <c r="CG343" s="1603">
        <v>0</v>
      </c>
      <c r="CH343" s="1603">
        <v>0</v>
      </c>
      <c r="CI343" s="1603">
        <v>0</v>
      </c>
      <c r="CJ343" s="1603"/>
      <c r="CK343" s="1603">
        <v>0</v>
      </c>
      <c r="CL343" s="1603">
        <v>0</v>
      </c>
      <c r="CM343" s="1603">
        <v>0</v>
      </c>
      <c r="CN343" s="1603">
        <v>799999.99999999988</v>
      </c>
      <c r="CO343" s="1603">
        <v>0</v>
      </c>
      <c r="CP343" s="1603">
        <v>0</v>
      </c>
      <c r="CQ343" s="1603">
        <v>0</v>
      </c>
      <c r="CR343" s="1603">
        <v>0</v>
      </c>
      <c r="CS343" s="1603">
        <v>0</v>
      </c>
      <c r="CT343" s="1603">
        <v>0</v>
      </c>
      <c r="CU343" s="1603">
        <v>0</v>
      </c>
      <c r="CV343" s="1603">
        <v>0</v>
      </c>
      <c r="CW343" s="1603">
        <v>0</v>
      </c>
      <c r="CX343" s="1603">
        <v>0</v>
      </c>
      <c r="CY343" s="1603">
        <v>0</v>
      </c>
      <c r="CZ343" s="1603">
        <v>0</v>
      </c>
      <c r="DA343" s="1603">
        <v>0</v>
      </c>
      <c r="DB343" s="1603">
        <v>0</v>
      </c>
      <c r="DC343" s="1603">
        <v>0</v>
      </c>
      <c r="DD343" s="1603">
        <v>0</v>
      </c>
      <c r="DE343" s="1603">
        <v>0</v>
      </c>
      <c r="DF343" s="1603">
        <v>0</v>
      </c>
      <c r="DG343" s="1603">
        <v>0</v>
      </c>
      <c r="DH343" s="1619">
        <v>0</v>
      </c>
      <c r="DI343" s="1603">
        <v>0</v>
      </c>
      <c r="DJ343" s="1603">
        <v>0</v>
      </c>
      <c r="DK343" s="1603">
        <v>0</v>
      </c>
      <c r="DL343" s="1603">
        <v>0</v>
      </c>
      <c r="DM343" s="1603">
        <v>0</v>
      </c>
      <c r="DN343" s="1603">
        <v>0</v>
      </c>
      <c r="DO343" s="1603">
        <v>0</v>
      </c>
      <c r="DP343" s="1603">
        <v>0</v>
      </c>
      <c r="DQ343" s="1603">
        <v>0</v>
      </c>
      <c r="DR343" s="1603">
        <v>0</v>
      </c>
      <c r="DS343" s="1603">
        <v>0</v>
      </c>
      <c r="DT343" s="1603">
        <v>0</v>
      </c>
      <c r="DU343" s="1603">
        <v>0</v>
      </c>
      <c r="DV343" s="1603">
        <v>0</v>
      </c>
      <c r="DW343" s="1618" t="s">
        <v>986</v>
      </c>
      <c r="DX343" s="1605" t="s">
        <v>986</v>
      </c>
      <c r="DY343" s="1605" t="s">
        <v>986</v>
      </c>
      <c r="DZ343" s="1605" t="s">
        <v>986</v>
      </c>
      <c r="EA343" s="1605" t="s">
        <v>986</v>
      </c>
      <c r="EB343" s="1605" t="s">
        <v>986</v>
      </c>
      <c r="EC343" s="1605" t="s">
        <v>986</v>
      </c>
      <c r="ED343" s="1605" t="s">
        <v>986</v>
      </c>
      <c r="EE343" s="1605" t="s">
        <v>986</v>
      </c>
      <c r="EF343" s="1605" t="s">
        <v>986</v>
      </c>
      <c r="EG343" s="1605" t="s">
        <v>986</v>
      </c>
      <c r="EH343" s="1605" t="s">
        <v>986</v>
      </c>
      <c r="EI343" s="1605" t="s">
        <v>986</v>
      </c>
      <c r="EJ343" s="1605" t="s">
        <v>986</v>
      </c>
      <c r="EK343" s="1605" t="s">
        <v>986</v>
      </c>
      <c r="EL343" s="1605" t="s">
        <v>986</v>
      </c>
      <c r="EM343" s="1605" t="s">
        <v>986</v>
      </c>
      <c r="EN343" s="1605" t="s">
        <v>986</v>
      </c>
      <c r="EO343" s="1605" t="s">
        <v>986</v>
      </c>
      <c r="EP343" s="1605" t="s">
        <v>986</v>
      </c>
      <c r="EQ343" s="1605" t="s">
        <v>986</v>
      </c>
      <c r="ER343" s="1605" t="s">
        <v>986</v>
      </c>
      <c r="ES343" s="1605" t="s">
        <v>986</v>
      </c>
      <c r="ET343" s="1605" t="s">
        <v>986</v>
      </c>
      <c r="EU343" s="1605" t="s">
        <v>986</v>
      </c>
      <c r="EV343" s="1605" t="s">
        <v>986</v>
      </c>
      <c r="EW343" s="1605" t="s">
        <v>986</v>
      </c>
      <c r="EX343" s="1605" t="s">
        <v>986</v>
      </c>
      <c r="EY343" s="1605" t="s">
        <v>986</v>
      </c>
      <c r="EZ343" s="1605" t="s">
        <v>986</v>
      </c>
      <c r="FA343" s="1605" t="s">
        <v>986</v>
      </c>
      <c r="FB343" s="1605" t="s">
        <v>986</v>
      </c>
      <c r="FC343" s="1605" t="s">
        <v>986</v>
      </c>
      <c r="FD343" s="1605" t="s">
        <v>986</v>
      </c>
      <c r="FE343" s="1605" t="s">
        <v>986</v>
      </c>
      <c r="FF343" s="1605" t="s">
        <v>986</v>
      </c>
      <c r="FG343" s="1605" t="s">
        <v>986</v>
      </c>
      <c r="FH343" s="1605" t="s">
        <v>986</v>
      </c>
      <c r="FI343" s="1605" t="s">
        <v>986</v>
      </c>
      <c r="FJ343" s="1605" t="s">
        <v>986</v>
      </c>
      <c r="FK343" s="1605" t="s">
        <v>986</v>
      </c>
      <c r="FL343" s="1605" t="s">
        <v>986</v>
      </c>
      <c r="FM343" s="1605" t="s">
        <v>986</v>
      </c>
      <c r="FN343" s="1605" t="s">
        <v>986</v>
      </c>
      <c r="FO343" s="1605" t="s">
        <v>986</v>
      </c>
      <c r="FP343" s="1605" t="s">
        <v>986</v>
      </c>
      <c r="FQ343" s="1605" t="s">
        <v>986</v>
      </c>
      <c r="FR343" s="1605" t="s">
        <v>986</v>
      </c>
      <c r="FS343" s="1605" t="s">
        <v>986</v>
      </c>
      <c r="FT343" s="1605" t="s">
        <v>986</v>
      </c>
      <c r="FU343" s="1605" t="s">
        <v>986</v>
      </c>
      <c r="FV343" s="1605" t="s">
        <v>986</v>
      </c>
      <c r="FW343" s="1605" t="s">
        <v>986</v>
      </c>
      <c r="FX343" s="1605" t="s">
        <v>986</v>
      </c>
      <c r="FY343" s="1605" t="s">
        <v>986</v>
      </c>
      <c r="FZ343" s="1605" t="s">
        <v>986</v>
      </c>
      <c r="GA343" s="1605" t="s">
        <v>986</v>
      </c>
      <c r="GB343" s="1605" t="s">
        <v>986</v>
      </c>
      <c r="GC343" s="1605" t="s">
        <v>986</v>
      </c>
      <c r="GD343" s="1605" t="s">
        <v>986</v>
      </c>
      <c r="GE343" s="1605" t="s">
        <v>986</v>
      </c>
      <c r="GF343" s="1605" t="s">
        <v>986</v>
      </c>
      <c r="GG343" s="1605" t="s">
        <v>986</v>
      </c>
      <c r="GH343" s="1605" t="s">
        <v>986</v>
      </c>
      <c r="GI343" s="1605" t="s">
        <v>986</v>
      </c>
      <c r="GJ343" s="1605" t="s">
        <v>986</v>
      </c>
      <c r="GK343" s="1605" t="s">
        <v>986</v>
      </c>
      <c r="GL343" s="1605" t="s">
        <v>986</v>
      </c>
      <c r="GM343" s="1605" t="s">
        <v>986</v>
      </c>
      <c r="GN343" s="1605" t="s">
        <v>986</v>
      </c>
      <c r="GO343" s="1605" t="s">
        <v>986</v>
      </c>
      <c r="GP343" s="1605" t="s">
        <v>986</v>
      </c>
      <c r="GQ343" s="1605" t="s">
        <v>986</v>
      </c>
      <c r="GR343" s="1605" t="s">
        <v>986</v>
      </c>
      <c r="GS343" s="1605" t="s">
        <v>986</v>
      </c>
      <c r="GT343" s="1605" t="s">
        <v>986</v>
      </c>
      <c r="GU343" s="1605" t="s">
        <v>986</v>
      </c>
      <c r="GV343" s="1605" t="s">
        <v>986</v>
      </c>
      <c r="GW343" s="1605" t="s">
        <v>986</v>
      </c>
      <c r="GX343" s="1605" t="s">
        <v>986</v>
      </c>
      <c r="GY343" s="1605" t="s">
        <v>986</v>
      </c>
      <c r="GZ343" s="1605" t="s">
        <v>986</v>
      </c>
      <c r="HA343" s="1605" t="s">
        <v>986</v>
      </c>
      <c r="HB343" s="1605" t="s">
        <v>986</v>
      </c>
      <c r="HC343" s="1605" t="s">
        <v>986</v>
      </c>
      <c r="HD343" s="1605" t="s">
        <v>986</v>
      </c>
      <c r="HE343" s="1605" t="s">
        <v>986</v>
      </c>
      <c r="HF343" s="1605" t="s">
        <v>986</v>
      </c>
      <c r="HG343" s="1605" t="s">
        <v>986</v>
      </c>
      <c r="HH343" s="1605" t="s">
        <v>986</v>
      </c>
      <c r="HI343" s="1605" t="s">
        <v>986</v>
      </c>
      <c r="HJ343" s="1605" t="s">
        <v>986</v>
      </c>
      <c r="HK343" s="1605" t="s">
        <v>986</v>
      </c>
      <c r="HL343" s="1605" t="s">
        <v>986</v>
      </c>
      <c r="HM343" s="1605" t="s">
        <v>986</v>
      </c>
      <c r="HN343" s="1605" t="s">
        <v>986</v>
      </c>
      <c r="HO343" s="1605" t="s">
        <v>986</v>
      </c>
      <c r="HP343" s="1605" t="s">
        <v>986</v>
      </c>
      <c r="HQ343" s="1605" t="s">
        <v>986</v>
      </c>
      <c r="HR343" s="1605" t="s">
        <v>986</v>
      </c>
      <c r="HS343" s="1605" t="s">
        <v>986</v>
      </c>
      <c r="HT343" s="1605" t="s">
        <v>986</v>
      </c>
      <c r="HU343" s="1605" t="s">
        <v>986</v>
      </c>
      <c r="HV343" s="1617"/>
      <c r="HW343" s="1617">
        <v>0</v>
      </c>
      <c r="HX343" s="1617">
        <v>0</v>
      </c>
      <c r="HY343" s="1617">
        <v>0</v>
      </c>
      <c r="HZ343" s="1603"/>
      <c r="IA343" s="1603"/>
      <c r="IB343" s="1603"/>
      <c r="IC343" s="1603">
        <v>0</v>
      </c>
      <c r="ID343" s="1603">
        <v>0</v>
      </c>
      <c r="IE343" s="1603">
        <v>0</v>
      </c>
      <c r="IF343" s="1603">
        <v>0</v>
      </c>
      <c r="IG343" s="1611" t="s">
        <v>2932</v>
      </c>
      <c r="IH343" s="1616" t="s">
        <v>270</v>
      </c>
      <c r="II343" s="1615" t="s">
        <v>270</v>
      </c>
      <c r="IJ343" s="1613">
        <v>1.3101818181818183</v>
      </c>
      <c r="IK343" s="1613">
        <v>1.301848484848485</v>
      </c>
      <c r="IL343" s="1614">
        <v>1.3101818181818183</v>
      </c>
      <c r="IM343" s="1614">
        <v>1.301848484848485</v>
      </c>
      <c r="IN343" s="1612" t="s">
        <v>270</v>
      </c>
      <c r="IO343" s="1613" t="s">
        <v>270</v>
      </c>
      <c r="IP343" s="1607" t="s">
        <v>270</v>
      </c>
      <c r="IQ343" s="1612" t="s">
        <v>270</v>
      </c>
      <c r="IR343" s="1612" t="s">
        <v>270</v>
      </c>
      <c r="IS343" s="1607">
        <v>1.1881818181818182</v>
      </c>
      <c r="IT343" s="1607">
        <v>1.1798484848484849</v>
      </c>
      <c r="IU343" s="1611">
        <v>0</v>
      </c>
      <c r="IV343" s="1611">
        <v>7.7767676767676763E-2</v>
      </c>
      <c r="IW343" s="1611">
        <v>9.0909090909090909E-4</v>
      </c>
      <c r="IX343" s="1611">
        <v>1.6060606060606061E-3</v>
      </c>
      <c r="IY343" s="1611">
        <v>9.6969696969696957E-4</v>
      </c>
      <c r="IZ343" s="1611">
        <v>5.9898989898989896E-3</v>
      </c>
      <c r="JA343" s="1611">
        <v>6.0606060606060598E-5</v>
      </c>
      <c r="JB343" s="1611" t="s">
        <v>270</v>
      </c>
      <c r="JC343" s="1611">
        <v>9.9026969696969704</v>
      </c>
      <c r="JD343" s="1611">
        <v>5.2121212121212122E-3</v>
      </c>
      <c r="JE343" s="1611" t="s">
        <v>270</v>
      </c>
      <c r="JF343" s="1611">
        <v>8.2828282828282835E-4</v>
      </c>
      <c r="JG343" s="1611">
        <v>0.57978787878787885</v>
      </c>
      <c r="JH343" s="1611">
        <v>7.646464646464647E-3</v>
      </c>
      <c r="JI343" s="1611">
        <v>0.3</v>
      </c>
      <c r="JJ343" s="1611" t="s">
        <v>270</v>
      </c>
      <c r="JK343" s="1607">
        <f t="shared" si="14"/>
        <v>0.12200000000000011</v>
      </c>
      <c r="JL343" s="1608" t="s">
        <v>270</v>
      </c>
      <c r="JM343" s="1610" t="s">
        <v>2924</v>
      </c>
      <c r="JN343" s="1608">
        <v>8.3333333333333037E-3</v>
      </c>
      <c r="JO343" s="1609" t="s">
        <v>2931</v>
      </c>
      <c r="JP343" s="1608" t="s">
        <v>270</v>
      </c>
      <c r="JQ343" s="1607">
        <v>202103</v>
      </c>
      <c r="JR343" s="1606">
        <v>851</v>
      </c>
      <c r="JS343" s="1606">
        <v>774</v>
      </c>
      <c r="JT343" s="1606">
        <v>774</v>
      </c>
    </row>
    <row r="344" spans="1:280" ht="15" customHeight="1" x14ac:dyDescent="0.2">
      <c r="A344" s="1626">
        <v>65100</v>
      </c>
      <c r="B344" s="1625">
        <v>651</v>
      </c>
      <c r="C344" s="1624">
        <v>0</v>
      </c>
      <c r="D344" s="1623" t="s">
        <v>2930</v>
      </c>
      <c r="E344" s="1622">
        <v>43025</v>
      </c>
      <c r="F344" s="1620">
        <v>1.00958482984901</v>
      </c>
      <c r="G344" s="1620">
        <v>1.01782018227829</v>
      </c>
      <c r="H344" s="1621">
        <v>90.5</v>
      </c>
      <c r="I344" s="1621">
        <v>79.400000000000006</v>
      </c>
      <c r="J344" s="1621">
        <v>96</v>
      </c>
      <c r="K344" s="1620">
        <v>1</v>
      </c>
      <c r="L344" s="1620">
        <v>85.2</v>
      </c>
      <c r="M344" s="1620">
        <v>20.448</v>
      </c>
      <c r="N344" s="1620">
        <v>1.8744000000000001</v>
      </c>
      <c r="O344" s="1620">
        <v>3.1524000000000001</v>
      </c>
      <c r="P344" s="1620">
        <v>5.3676000000000004</v>
      </c>
      <c r="Q344" s="1603"/>
      <c r="R344" s="1620">
        <v>82</v>
      </c>
      <c r="S344" s="1620">
        <v>45</v>
      </c>
      <c r="T344" s="1620">
        <v>52.317073170731703</v>
      </c>
      <c r="U344" s="1620">
        <v>55.243902439024403</v>
      </c>
      <c r="V344" s="1620">
        <v>57.878048780487802</v>
      </c>
      <c r="W344" s="1620">
        <v>59.634146341463399</v>
      </c>
      <c r="X344" s="1620"/>
      <c r="Y344" s="1620">
        <v>0.9</v>
      </c>
      <c r="Z344" s="1620">
        <v>4.5999999999999996</v>
      </c>
      <c r="AA344" s="1620">
        <v>9.9999999999999992E-2</v>
      </c>
      <c r="AB344" s="1620">
        <v>0</v>
      </c>
      <c r="AC344" s="1620">
        <v>12</v>
      </c>
      <c r="AD344" s="1620">
        <v>1.3000000000000116</v>
      </c>
      <c r="AE344" s="1620">
        <v>1.7</v>
      </c>
      <c r="AF344" s="1620">
        <v>77</v>
      </c>
      <c r="AG344" s="1620">
        <v>6.7</v>
      </c>
      <c r="AH344" s="1620">
        <v>16</v>
      </c>
      <c r="AI344" s="1620">
        <v>39</v>
      </c>
      <c r="AJ344" s="1620">
        <v>0</v>
      </c>
      <c r="AK344" s="1620">
        <v>0.02</v>
      </c>
      <c r="AL344" s="1620"/>
      <c r="AM344" s="1620">
        <v>6.99</v>
      </c>
      <c r="AN344" s="1620">
        <v>0.98</v>
      </c>
      <c r="AO344" s="1620">
        <v>1.44</v>
      </c>
      <c r="AP344" s="1620">
        <v>3.72</v>
      </c>
      <c r="AQ344" s="1620">
        <v>0.88999999999999702</v>
      </c>
      <c r="AR344" s="1620">
        <v>4.04</v>
      </c>
      <c r="AS344" s="1620">
        <v>7.03</v>
      </c>
      <c r="AT344" s="1620">
        <v>2.5099999999999998</v>
      </c>
      <c r="AU344" s="1620">
        <v>4.59</v>
      </c>
      <c r="AV344" s="1620">
        <v>3.25</v>
      </c>
      <c r="AW344" s="1620">
        <v>4.6299999999999901</v>
      </c>
      <c r="AX344" s="1620"/>
      <c r="AY344" s="1620">
        <v>1.02</v>
      </c>
      <c r="AZ344" s="1620">
        <v>0.98</v>
      </c>
      <c r="BA344" s="1620">
        <v>0.85</v>
      </c>
      <c r="BB344" s="1620">
        <v>0.93</v>
      </c>
      <c r="BC344" s="1620">
        <v>0.89</v>
      </c>
      <c r="BD344" s="1620">
        <v>0.98</v>
      </c>
      <c r="BE344" s="1620">
        <v>0.95</v>
      </c>
      <c r="BF344" s="1620">
        <v>1.01</v>
      </c>
      <c r="BG344" s="1620">
        <v>1</v>
      </c>
      <c r="BH344" s="1620">
        <v>0.95</v>
      </c>
      <c r="BI344" s="1620">
        <v>0.94</v>
      </c>
      <c r="BJ344" s="1603"/>
      <c r="BK344" s="1620">
        <v>24</v>
      </c>
      <c r="BL344" s="1620">
        <v>2.1999999999999997</v>
      </c>
      <c r="BM344" s="1620">
        <v>3.7</v>
      </c>
      <c r="BN344" s="1620">
        <v>6.3</v>
      </c>
      <c r="BO344" s="1620"/>
      <c r="BP344" s="1620">
        <v>130</v>
      </c>
      <c r="BQ344" s="1620">
        <v>28.6</v>
      </c>
      <c r="BR344" s="1620">
        <v>1.1849587204800587</v>
      </c>
      <c r="BS344" s="1620">
        <v>1.1946246270871947</v>
      </c>
      <c r="BT344" s="1603"/>
      <c r="BU344" s="1620">
        <v>963</v>
      </c>
      <c r="BV344" s="1620">
        <v>479.07071428571368</v>
      </c>
      <c r="BW344" s="1620">
        <v>152.70428571428639</v>
      </c>
      <c r="BX344" s="1620">
        <v>432</v>
      </c>
      <c r="BY344" s="1620">
        <v>39</v>
      </c>
      <c r="BZ344" s="1620">
        <v>91.23242142857147</v>
      </c>
      <c r="CA344" s="1620">
        <v>142.69686428571362</v>
      </c>
      <c r="CB344" s="1603"/>
      <c r="CC344" s="1603">
        <v>0.76680000000000004</v>
      </c>
      <c r="CD344" s="1603">
        <v>3.9191999999999996</v>
      </c>
      <c r="CE344" s="1603">
        <v>8.5199999999999984E-2</v>
      </c>
      <c r="CF344" s="1603">
        <v>0</v>
      </c>
      <c r="CG344" s="1603">
        <v>10.224</v>
      </c>
      <c r="CH344" s="1603">
        <v>1.1076000000000099</v>
      </c>
      <c r="CI344" s="1603">
        <v>1.4483999999999999</v>
      </c>
      <c r="CJ344" s="1603"/>
      <c r="CK344" s="1603">
        <v>65.603999999999999</v>
      </c>
      <c r="CL344" s="1603">
        <v>5.7084000000000001</v>
      </c>
      <c r="CM344" s="1603">
        <v>13.632</v>
      </c>
      <c r="CN344" s="1603">
        <v>33.228000000000002</v>
      </c>
      <c r="CO344" s="1603">
        <v>0</v>
      </c>
      <c r="CP344" s="1603">
        <v>1.704E-2</v>
      </c>
      <c r="CQ344" s="1603">
        <v>167.67359999999999</v>
      </c>
      <c r="CR344" s="1603">
        <v>166.08173483062009</v>
      </c>
      <c r="CS344" s="1603">
        <v>11.841295529953554</v>
      </c>
      <c r="CT344" s="1603">
        <v>1.5950489813132755</v>
      </c>
      <c r="CU344" s="1603">
        <v>2.0328404343267903</v>
      </c>
      <c r="CV344" s="1603">
        <v>3.6278894156400656</v>
      </c>
      <c r="CW344" s="1603">
        <v>5.7457636982001334</v>
      </c>
      <c r="CX344" s="1603">
        <v>1.3155334215933419</v>
      </c>
      <c r="CY344" s="1603">
        <v>6.575508045413911</v>
      </c>
      <c r="CZ344" s="1603">
        <v>11.091768660662963</v>
      </c>
      <c r="DA344" s="1603">
        <v>4.2103380596910505</v>
      </c>
      <c r="DB344" s="1603">
        <v>7.6231516287254637</v>
      </c>
      <c r="DC344" s="1603">
        <v>5.1277735628953955</v>
      </c>
      <c r="DD344" s="1603">
        <v>12.75092519162086</v>
      </c>
      <c r="DE344" s="1603">
        <v>7.2282092632982291</v>
      </c>
      <c r="DF344" s="1603">
        <v>0</v>
      </c>
      <c r="DG344" s="1603">
        <v>0</v>
      </c>
      <c r="DH344" s="1619">
        <v>0</v>
      </c>
      <c r="DI344" s="1603">
        <v>0</v>
      </c>
      <c r="DJ344" s="1603">
        <v>0</v>
      </c>
      <c r="DK344" s="1603">
        <v>0</v>
      </c>
      <c r="DL344" s="1603">
        <v>0</v>
      </c>
      <c r="DM344" s="1603">
        <v>0</v>
      </c>
      <c r="DN344" s="1603">
        <v>0</v>
      </c>
      <c r="DO344" s="1603">
        <v>0</v>
      </c>
      <c r="DP344" s="1603">
        <v>0</v>
      </c>
      <c r="DQ344" s="1603">
        <v>0</v>
      </c>
      <c r="DR344" s="1603">
        <v>0</v>
      </c>
      <c r="DS344" s="1603">
        <v>0</v>
      </c>
      <c r="DT344" s="1603">
        <v>0</v>
      </c>
      <c r="DU344" s="1603">
        <v>0</v>
      </c>
      <c r="DV344" s="1603">
        <v>0</v>
      </c>
      <c r="DW344" s="1618" t="s">
        <v>2929</v>
      </c>
      <c r="DX344" s="1605" t="s">
        <v>986</v>
      </c>
      <c r="DY344" s="1605" t="s">
        <v>986</v>
      </c>
      <c r="DZ344" s="1605">
        <v>4</v>
      </c>
      <c r="EA344" s="1605">
        <v>4</v>
      </c>
      <c r="EB344" s="1605" t="s">
        <v>986</v>
      </c>
      <c r="EC344" s="1605">
        <v>4</v>
      </c>
      <c r="ED344" s="1605">
        <v>4</v>
      </c>
      <c r="EE344" s="1605">
        <v>4</v>
      </c>
      <c r="EF344" s="1605" t="s">
        <v>986</v>
      </c>
      <c r="EG344" s="1605" t="s">
        <v>986</v>
      </c>
      <c r="EH344" s="1605" t="s">
        <v>986</v>
      </c>
      <c r="EI344" s="1605" t="s">
        <v>986</v>
      </c>
      <c r="EJ344" s="1605" t="s">
        <v>986</v>
      </c>
      <c r="EK344" s="1605" t="s">
        <v>986</v>
      </c>
      <c r="EL344" s="1605" t="s">
        <v>986</v>
      </c>
      <c r="EM344" s="1605" t="s">
        <v>986</v>
      </c>
      <c r="EN344" s="1605" t="s">
        <v>986</v>
      </c>
      <c r="EO344" s="1605" t="s">
        <v>986</v>
      </c>
      <c r="EP344" s="1605" t="s">
        <v>986</v>
      </c>
      <c r="EQ344" s="1605" t="s">
        <v>986</v>
      </c>
      <c r="ER344" s="1605" t="s">
        <v>986</v>
      </c>
      <c r="ES344" s="1605">
        <v>4</v>
      </c>
      <c r="ET344" s="1605">
        <v>5</v>
      </c>
      <c r="EU344" s="1605" t="s">
        <v>986</v>
      </c>
      <c r="EV344" s="1605" t="s">
        <v>986</v>
      </c>
      <c r="EW344" s="1605">
        <v>4</v>
      </c>
      <c r="EX344" s="1605">
        <v>4</v>
      </c>
      <c r="EY344" s="1605" t="s">
        <v>986</v>
      </c>
      <c r="EZ344" s="1605">
        <v>4</v>
      </c>
      <c r="FA344" s="1605">
        <v>4</v>
      </c>
      <c r="FB344" s="1605">
        <v>4</v>
      </c>
      <c r="FC344" s="1605">
        <v>4</v>
      </c>
      <c r="FD344" s="1605" t="s">
        <v>986</v>
      </c>
      <c r="FE344" s="1605" t="s">
        <v>986</v>
      </c>
      <c r="FF344" s="1605" t="s">
        <v>986</v>
      </c>
      <c r="FG344" s="1605" t="s">
        <v>986</v>
      </c>
      <c r="FH344" s="1605">
        <v>0.4</v>
      </c>
      <c r="FI344" s="1605">
        <v>0.7</v>
      </c>
      <c r="FJ344" s="1605" t="s">
        <v>986</v>
      </c>
      <c r="FK344" s="1605">
        <v>2.5</v>
      </c>
      <c r="FL344" s="1605">
        <v>1.5</v>
      </c>
      <c r="FM344" s="1605" t="s">
        <v>986</v>
      </c>
      <c r="FN344" s="1605">
        <v>3.5</v>
      </c>
      <c r="FO344" s="1605" t="s">
        <v>986</v>
      </c>
      <c r="FP344" s="1605" t="s">
        <v>986</v>
      </c>
      <c r="FQ344" s="1605" t="s">
        <v>986</v>
      </c>
      <c r="FR344" s="1605" t="s">
        <v>986</v>
      </c>
      <c r="FS344" s="1605" t="s">
        <v>986</v>
      </c>
      <c r="FT344" s="1605" t="s">
        <v>986</v>
      </c>
      <c r="FU344" s="1605" t="s">
        <v>986</v>
      </c>
      <c r="FV344" s="1605" t="s">
        <v>986</v>
      </c>
      <c r="FW344" s="1605" t="s">
        <v>986</v>
      </c>
      <c r="FX344" s="1605" t="s">
        <v>986</v>
      </c>
      <c r="FY344" s="1605" t="s">
        <v>986</v>
      </c>
      <c r="FZ344" s="1605" t="s">
        <v>986</v>
      </c>
      <c r="GA344" s="1605" t="s">
        <v>986</v>
      </c>
      <c r="GB344" s="1605">
        <v>0.8</v>
      </c>
      <c r="GC344" s="1605" t="s">
        <v>986</v>
      </c>
      <c r="GD344" s="1605" t="s">
        <v>986</v>
      </c>
      <c r="GE344" s="1605">
        <v>1.7</v>
      </c>
      <c r="GF344" s="1605">
        <v>0.17</v>
      </c>
      <c r="GG344" s="1605">
        <v>0.18</v>
      </c>
      <c r="GH344" s="1605">
        <v>36.1</v>
      </c>
      <c r="GI344" s="1605">
        <v>2.77</v>
      </c>
      <c r="GJ344" s="1605">
        <v>3.55</v>
      </c>
      <c r="GK344" s="1605">
        <v>5.39</v>
      </c>
      <c r="GL344" s="1605" t="s">
        <v>986</v>
      </c>
      <c r="GM344" s="1605" t="s">
        <v>986</v>
      </c>
      <c r="GN344" s="1605" t="s">
        <v>986</v>
      </c>
      <c r="GO344" s="1605" t="s">
        <v>986</v>
      </c>
      <c r="GP344" s="1605" t="s">
        <v>1591</v>
      </c>
      <c r="GQ344" s="1605" t="s">
        <v>1591</v>
      </c>
      <c r="GR344" s="1605" t="s">
        <v>986</v>
      </c>
      <c r="GS344" s="1605" t="s">
        <v>1591</v>
      </c>
      <c r="GT344" s="1605" t="s">
        <v>1591</v>
      </c>
      <c r="GU344" s="1605" t="s">
        <v>986</v>
      </c>
      <c r="GV344" s="1605" t="s">
        <v>1591</v>
      </c>
      <c r="GW344" s="1605" t="s">
        <v>986</v>
      </c>
      <c r="GX344" s="1605" t="s">
        <v>986</v>
      </c>
      <c r="GY344" s="1605" t="s">
        <v>986</v>
      </c>
      <c r="GZ344" s="1605" t="s">
        <v>986</v>
      </c>
      <c r="HA344" s="1605" t="s">
        <v>986</v>
      </c>
      <c r="HB344" s="1605" t="s">
        <v>986</v>
      </c>
      <c r="HC344" s="1605" t="s">
        <v>986</v>
      </c>
      <c r="HD344" s="1605" t="s">
        <v>986</v>
      </c>
      <c r="HE344" s="1605" t="s">
        <v>986</v>
      </c>
      <c r="HF344" s="1605" t="s">
        <v>986</v>
      </c>
      <c r="HG344" s="1605" t="s">
        <v>986</v>
      </c>
      <c r="HH344" s="1605" t="s">
        <v>986</v>
      </c>
      <c r="HI344" s="1605" t="s">
        <v>1591</v>
      </c>
      <c r="HJ344" s="1605" t="s">
        <v>1591</v>
      </c>
      <c r="HK344" s="1605" t="s">
        <v>986</v>
      </c>
      <c r="HL344" s="1605" t="s">
        <v>986</v>
      </c>
      <c r="HM344" s="1605" t="s">
        <v>1591</v>
      </c>
      <c r="HN344" s="1605" t="s">
        <v>1591</v>
      </c>
      <c r="HO344" s="1605" t="s">
        <v>1591</v>
      </c>
      <c r="HP344" s="1605" t="s">
        <v>1591</v>
      </c>
      <c r="HQ344" s="1605" t="s">
        <v>1591</v>
      </c>
      <c r="HR344" s="1605" t="s">
        <v>1591</v>
      </c>
      <c r="HS344" s="1605" t="s">
        <v>1591</v>
      </c>
      <c r="HT344" s="1605" t="s">
        <v>986</v>
      </c>
      <c r="HU344" s="1605" t="s">
        <v>986</v>
      </c>
      <c r="HV344" s="1617"/>
      <c r="HW344" s="1617" t="s">
        <v>2928</v>
      </c>
      <c r="HX344" s="1617" t="s">
        <v>2927</v>
      </c>
      <c r="HY344" s="1617" t="s">
        <v>2926</v>
      </c>
      <c r="HZ344" s="1603"/>
      <c r="IA344" s="1603"/>
      <c r="IB344" s="1603"/>
      <c r="IC344" s="1603">
        <v>60.951219512195102</v>
      </c>
      <c r="ID344" s="1603">
        <v>61.829268292682897</v>
      </c>
      <c r="IE344" s="1603">
        <v>62.560975609756099</v>
      </c>
      <c r="IF344" s="1603">
        <v>63</v>
      </c>
      <c r="IG344" s="1611" t="s">
        <v>2925</v>
      </c>
      <c r="IH344" s="1616" t="s">
        <v>270</v>
      </c>
      <c r="II344" s="1615" t="s">
        <v>270</v>
      </c>
      <c r="IJ344" s="1613">
        <v>0.41140909090909095</v>
      </c>
      <c r="IK344" s="1613">
        <v>0.38607954545454554</v>
      </c>
      <c r="IL344" s="1614">
        <v>0.41140909090909095</v>
      </c>
      <c r="IM344" s="1614">
        <v>0.38607954545454554</v>
      </c>
      <c r="IN344" s="1612" t="s">
        <v>270</v>
      </c>
      <c r="IO344" s="1613" t="s">
        <v>270</v>
      </c>
      <c r="IP344" s="1607" t="s">
        <v>270</v>
      </c>
      <c r="IQ344" s="1612" t="s">
        <v>270</v>
      </c>
      <c r="IR344" s="1612" t="s">
        <v>270</v>
      </c>
      <c r="IS344" s="1607">
        <v>0.40740909090909094</v>
      </c>
      <c r="IT344" s="1607">
        <v>0.38207954545454553</v>
      </c>
      <c r="IU344" s="1611">
        <v>0</v>
      </c>
      <c r="IV344" s="1611">
        <v>1.4068181818181818E-2</v>
      </c>
      <c r="IW344" s="1611">
        <v>1.1818181818181819E-3</v>
      </c>
      <c r="IX344" s="1611">
        <v>6.4772727272727269E-4</v>
      </c>
      <c r="IY344" s="1611">
        <v>1.1931818181818183E-3</v>
      </c>
      <c r="IZ344" s="1611">
        <v>3.6136363636363636E-3</v>
      </c>
      <c r="JA344" s="1611">
        <v>2.7272727272727268E-4</v>
      </c>
      <c r="JB344" s="1611" t="s">
        <v>270</v>
      </c>
      <c r="JC344" s="1611">
        <v>0.51847727272727273</v>
      </c>
      <c r="JD344" s="1611">
        <v>1.781818181818182E-2</v>
      </c>
      <c r="JE344" s="1611" t="s">
        <v>270</v>
      </c>
      <c r="JF344" s="1611">
        <v>3.4090909090909088E-4</v>
      </c>
      <c r="JG344" s="1611">
        <v>1.9148522727272725</v>
      </c>
      <c r="JH344" s="1611">
        <v>8.4090909090909084E-4</v>
      </c>
      <c r="JI344" s="1611">
        <v>6.7261363636363633E-2</v>
      </c>
      <c r="JJ344" s="1611" t="s">
        <v>270</v>
      </c>
      <c r="JK344" s="1607">
        <f t="shared" si="14"/>
        <v>4.0000000000000036E-3</v>
      </c>
      <c r="JL344" s="1608" t="s">
        <v>270</v>
      </c>
      <c r="JM344" s="1610" t="s">
        <v>2924</v>
      </c>
      <c r="JN344" s="1608">
        <v>2.532954545454541E-2</v>
      </c>
      <c r="JO344" s="1609" t="s">
        <v>2923</v>
      </c>
      <c r="JP344" s="1608" t="s">
        <v>270</v>
      </c>
      <c r="JQ344" s="1607">
        <v>202103</v>
      </c>
      <c r="JR344" s="1606">
        <v>412</v>
      </c>
      <c r="JS344" s="1606">
        <v>371</v>
      </c>
      <c r="JT344" s="1606">
        <v>371</v>
      </c>
    </row>
    <row r="345" spans="1:280" ht="15" customHeight="1" x14ac:dyDescent="0.2">
      <c r="A345" s="1626" t="s">
        <v>270</v>
      </c>
      <c r="B345" s="1625" t="s">
        <v>270</v>
      </c>
      <c r="C345" s="1624" t="s">
        <v>270</v>
      </c>
      <c r="D345" s="1623" t="s">
        <v>270</v>
      </c>
      <c r="E345" s="1622" t="s">
        <v>270</v>
      </c>
      <c r="F345" s="1620" t="s">
        <v>270</v>
      </c>
      <c r="G345" s="1620" t="s">
        <v>270</v>
      </c>
      <c r="H345" s="1621" t="s">
        <v>270</v>
      </c>
      <c r="I345" s="1621" t="s">
        <v>270</v>
      </c>
      <c r="J345" s="1621" t="s">
        <v>270</v>
      </c>
      <c r="K345" s="1620" t="s">
        <v>270</v>
      </c>
      <c r="L345" s="1620" t="s">
        <v>270</v>
      </c>
      <c r="M345" s="1620" t="s">
        <v>270</v>
      </c>
      <c r="N345" s="1620" t="s">
        <v>270</v>
      </c>
      <c r="O345" s="1620" t="s">
        <v>270</v>
      </c>
      <c r="P345" s="1620" t="s">
        <v>270</v>
      </c>
      <c r="Q345" s="1603"/>
      <c r="R345" s="1620" t="s">
        <v>270</v>
      </c>
      <c r="S345" s="1620" t="s">
        <v>270</v>
      </c>
      <c r="T345" s="1620" t="s">
        <v>270</v>
      </c>
      <c r="U345" s="1620" t="s">
        <v>270</v>
      </c>
      <c r="V345" s="1620" t="s">
        <v>270</v>
      </c>
      <c r="W345" s="1620" t="s">
        <v>270</v>
      </c>
      <c r="X345" s="1620"/>
      <c r="Y345" s="1620" t="s">
        <v>270</v>
      </c>
      <c r="Z345" s="1620" t="s">
        <v>270</v>
      </c>
      <c r="AA345" s="1620" t="s">
        <v>270</v>
      </c>
      <c r="AB345" s="1620" t="s">
        <v>270</v>
      </c>
      <c r="AC345" s="1620" t="s">
        <v>270</v>
      </c>
      <c r="AD345" s="1620" t="s">
        <v>270</v>
      </c>
      <c r="AE345" s="1620" t="s">
        <v>270</v>
      </c>
      <c r="AF345" s="1620" t="s">
        <v>270</v>
      </c>
      <c r="AG345" s="1620" t="s">
        <v>270</v>
      </c>
      <c r="AH345" s="1620" t="s">
        <v>270</v>
      </c>
      <c r="AI345" s="1620" t="s">
        <v>270</v>
      </c>
      <c r="AJ345" s="1620" t="s">
        <v>270</v>
      </c>
      <c r="AK345" s="1620" t="s">
        <v>270</v>
      </c>
      <c r="AL345" s="1620"/>
      <c r="AM345" s="1620" t="s">
        <v>270</v>
      </c>
      <c r="AN345" s="1620" t="s">
        <v>270</v>
      </c>
      <c r="AO345" s="1620" t="s">
        <v>270</v>
      </c>
      <c r="AP345" s="1620" t="s">
        <v>270</v>
      </c>
      <c r="AQ345" s="1620" t="s">
        <v>270</v>
      </c>
      <c r="AR345" s="1620" t="s">
        <v>270</v>
      </c>
      <c r="AS345" s="1620" t="s">
        <v>270</v>
      </c>
      <c r="AT345" s="1620" t="s">
        <v>270</v>
      </c>
      <c r="AU345" s="1620" t="s">
        <v>270</v>
      </c>
      <c r="AV345" s="1620" t="s">
        <v>270</v>
      </c>
      <c r="AW345" s="1620" t="s">
        <v>270</v>
      </c>
      <c r="AX345" s="1620"/>
      <c r="AY345" s="1620" t="s">
        <v>986</v>
      </c>
      <c r="AZ345" s="1620" t="s">
        <v>986</v>
      </c>
      <c r="BA345" s="1620" t="s">
        <v>986</v>
      </c>
      <c r="BB345" s="1620" t="s">
        <v>986</v>
      </c>
      <c r="BC345" s="1620" t="s">
        <v>986</v>
      </c>
      <c r="BD345" s="1620" t="s">
        <v>986</v>
      </c>
      <c r="BE345" s="1620" t="s">
        <v>986</v>
      </c>
      <c r="BF345" s="1620" t="s">
        <v>986</v>
      </c>
      <c r="BG345" s="1620" t="s">
        <v>986</v>
      </c>
      <c r="BH345" s="1620" t="s">
        <v>986</v>
      </c>
      <c r="BI345" s="1620" t="s">
        <v>986</v>
      </c>
      <c r="BJ345" s="1603"/>
      <c r="BK345" s="1620" t="s">
        <v>270</v>
      </c>
      <c r="BL345" s="1620" t="s">
        <v>270</v>
      </c>
      <c r="BM345" s="1620" t="s">
        <v>270</v>
      </c>
      <c r="BN345" s="1620" t="s">
        <v>270</v>
      </c>
      <c r="BO345" s="1620"/>
      <c r="BP345" s="1620" t="s">
        <v>270</v>
      </c>
      <c r="BQ345" s="1620" t="s">
        <v>270</v>
      </c>
      <c r="BR345" s="1620" t="s">
        <v>270</v>
      </c>
      <c r="BS345" s="1620" t="s">
        <v>270</v>
      </c>
      <c r="BT345" s="1603"/>
      <c r="BU345" s="1620" t="s">
        <v>270</v>
      </c>
      <c r="BV345" s="1620" t="s">
        <v>270</v>
      </c>
      <c r="BW345" s="1620" t="s">
        <v>270</v>
      </c>
      <c r="BX345" s="1620" t="s">
        <v>270</v>
      </c>
      <c r="BY345" s="1620" t="s">
        <v>270</v>
      </c>
      <c r="BZ345" s="1620" t="s">
        <v>270</v>
      </c>
      <c r="CA345" s="1620" t="s">
        <v>270</v>
      </c>
      <c r="CB345" s="1603"/>
      <c r="CC345" s="1603" t="s">
        <v>270</v>
      </c>
      <c r="CD345" s="1603" t="s">
        <v>270</v>
      </c>
      <c r="CE345" s="1603" t="s">
        <v>270</v>
      </c>
      <c r="CF345" s="1603" t="s">
        <v>270</v>
      </c>
      <c r="CG345" s="1603" t="s">
        <v>270</v>
      </c>
      <c r="CH345" s="1603" t="s">
        <v>270</v>
      </c>
      <c r="CI345" s="1603" t="s">
        <v>270</v>
      </c>
      <c r="CJ345" s="1603"/>
      <c r="CK345" s="1603" t="s">
        <v>270</v>
      </c>
      <c r="CL345" s="1603" t="s">
        <v>270</v>
      </c>
      <c r="CM345" s="1603" t="s">
        <v>270</v>
      </c>
      <c r="CN345" s="1603" t="s">
        <v>270</v>
      </c>
      <c r="CO345" s="1603" t="s">
        <v>270</v>
      </c>
      <c r="CP345" s="1603" t="s">
        <v>270</v>
      </c>
      <c r="CQ345" s="1603" t="s">
        <v>270</v>
      </c>
      <c r="CR345" s="1603" t="s">
        <v>270</v>
      </c>
      <c r="CS345" s="1603" t="s">
        <v>270</v>
      </c>
      <c r="CT345" s="1603" t="s">
        <v>270</v>
      </c>
      <c r="CU345" s="1603" t="s">
        <v>270</v>
      </c>
      <c r="CV345" s="1603" t="s">
        <v>270</v>
      </c>
      <c r="CW345" s="1603" t="s">
        <v>270</v>
      </c>
      <c r="CX345" s="1603" t="s">
        <v>270</v>
      </c>
      <c r="CY345" s="1603" t="s">
        <v>270</v>
      </c>
      <c r="CZ345" s="1603" t="s">
        <v>270</v>
      </c>
      <c r="DA345" s="1603" t="s">
        <v>270</v>
      </c>
      <c r="DB345" s="1603" t="s">
        <v>270</v>
      </c>
      <c r="DC345" s="1603" t="s">
        <v>270</v>
      </c>
      <c r="DD345" s="1603" t="s">
        <v>270</v>
      </c>
      <c r="DE345" s="1603" t="s">
        <v>270</v>
      </c>
      <c r="DF345" s="1603" t="s">
        <v>270</v>
      </c>
      <c r="DG345" s="1603" t="s">
        <v>270</v>
      </c>
      <c r="DH345" s="1619" t="s">
        <v>270</v>
      </c>
      <c r="DI345" s="1603" t="s">
        <v>270</v>
      </c>
      <c r="DJ345" s="1603" t="s">
        <v>270</v>
      </c>
      <c r="DK345" s="1603" t="s">
        <v>270</v>
      </c>
      <c r="DL345" s="1603" t="s">
        <v>270</v>
      </c>
      <c r="DM345" s="1603" t="s">
        <v>270</v>
      </c>
      <c r="DN345" s="1603" t="s">
        <v>270</v>
      </c>
      <c r="DO345" s="1603" t="s">
        <v>270</v>
      </c>
      <c r="DP345" s="1603" t="s">
        <v>270</v>
      </c>
      <c r="DQ345" s="1603" t="s">
        <v>270</v>
      </c>
      <c r="DR345" s="1603" t="s">
        <v>270</v>
      </c>
      <c r="DS345" s="1603" t="s">
        <v>270</v>
      </c>
      <c r="DT345" s="1603" t="s">
        <v>270</v>
      </c>
      <c r="DU345" s="1603" t="s">
        <v>270</v>
      </c>
      <c r="DV345" s="1603" t="s">
        <v>270</v>
      </c>
      <c r="DW345" s="1618" t="s">
        <v>986</v>
      </c>
      <c r="DX345" s="1605" t="s">
        <v>986</v>
      </c>
      <c r="DY345" s="1605" t="s">
        <v>986</v>
      </c>
      <c r="DZ345" s="1605" t="s">
        <v>986</v>
      </c>
      <c r="EA345" s="1605" t="s">
        <v>986</v>
      </c>
      <c r="EB345" s="1605" t="s">
        <v>986</v>
      </c>
      <c r="EC345" s="1605" t="s">
        <v>986</v>
      </c>
      <c r="ED345" s="1605" t="s">
        <v>986</v>
      </c>
      <c r="EE345" s="1605" t="s">
        <v>986</v>
      </c>
      <c r="EF345" s="1605" t="s">
        <v>986</v>
      </c>
      <c r="EG345" s="1605" t="s">
        <v>986</v>
      </c>
      <c r="EH345" s="1605" t="s">
        <v>986</v>
      </c>
      <c r="EI345" s="1605" t="s">
        <v>986</v>
      </c>
      <c r="EJ345" s="1605" t="s">
        <v>986</v>
      </c>
      <c r="EK345" s="1605" t="s">
        <v>986</v>
      </c>
      <c r="EL345" s="1605" t="s">
        <v>986</v>
      </c>
      <c r="EM345" s="1605" t="s">
        <v>986</v>
      </c>
      <c r="EN345" s="1605" t="s">
        <v>986</v>
      </c>
      <c r="EO345" s="1605" t="s">
        <v>986</v>
      </c>
      <c r="EP345" s="1605" t="s">
        <v>986</v>
      </c>
      <c r="EQ345" s="1605" t="s">
        <v>986</v>
      </c>
      <c r="ER345" s="1605" t="s">
        <v>986</v>
      </c>
      <c r="ES345" s="1605" t="s">
        <v>986</v>
      </c>
      <c r="ET345" s="1605" t="s">
        <v>986</v>
      </c>
      <c r="EU345" s="1605" t="s">
        <v>986</v>
      </c>
      <c r="EV345" s="1605" t="s">
        <v>986</v>
      </c>
      <c r="EW345" s="1605" t="s">
        <v>986</v>
      </c>
      <c r="EX345" s="1605" t="s">
        <v>986</v>
      </c>
      <c r="EY345" s="1605" t="s">
        <v>986</v>
      </c>
      <c r="EZ345" s="1605" t="s">
        <v>986</v>
      </c>
      <c r="FA345" s="1605" t="s">
        <v>986</v>
      </c>
      <c r="FB345" s="1605" t="s">
        <v>986</v>
      </c>
      <c r="FC345" s="1605" t="s">
        <v>986</v>
      </c>
      <c r="FD345" s="1605" t="s">
        <v>986</v>
      </c>
      <c r="FE345" s="1605" t="s">
        <v>986</v>
      </c>
      <c r="FF345" s="1605" t="s">
        <v>986</v>
      </c>
      <c r="FG345" s="1605" t="s">
        <v>986</v>
      </c>
      <c r="FH345" s="1605" t="s">
        <v>986</v>
      </c>
      <c r="FI345" s="1605" t="s">
        <v>986</v>
      </c>
      <c r="FJ345" s="1605" t="s">
        <v>986</v>
      </c>
      <c r="FK345" s="1605" t="s">
        <v>986</v>
      </c>
      <c r="FL345" s="1605" t="s">
        <v>986</v>
      </c>
      <c r="FM345" s="1605" t="s">
        <v>986</v>
      </c>
      <c r="FN345" s="1605" t="s">
        <v>986</v>
      </c>
      <c r="FO345" s="1605" t="s">
        <v>986</v>
      </c>
      <c r="FP345" s="1605" t="s">
        <v>986</v>
      </c>
      <c r="FQ345" s="1605" t="s">
        <v>986</v>
      </c>
      <c r="FR345" s="1605" t="s">
        <v>986</v>
      </c>
      <c r="FS345" s="1605" t="s">
        <v>986</v>
      </c>
      <c r="FT345" s="1605" t="s">
        <v>986</v>
      </c>
      <c r="FU345" s="1605" t="s">
        <v>986</v>
      </c>
      <c r="FV345" s="1605" t="s">
        <v>986</v>
      </c>
      <c r="FW345" s="1605" t="s">
        <v>986</v>
      </c>
      <c r="FX345" s="1605" t="s">
        <v>986</v>
      </c>
      <c r="FY345" s="1605" t="s">
        <v>986</v>
      </c>
      <c r="FZ345" s="1605" t="s">
        <v>986</v>
      </c>
      <c r="GA345" s="1605" t="s">
        <v>986</v>
      </c>
      <c r="GB345" s="1605" t="s">
        <v>986</v>
      </c>
      <c r="GC345" s="1605" t="s">
        <v>986</v>
      </c>
      <c r="GD345" s="1605" t="s">
        <v>986</v>
      </c>
      <c r="GE345" s="1605" t="s">
        <v>986</v>
      </c>
      <c r="GF345" s="1605" t="s">
        <v>986</v>
      </c>
      <c r="GG345" s="1605" t="s">
        <v>986</v>
      </c>
      <c r="GH345" s="1605" t="s">
        <v>986</v>
      </c>
      <c r="GI345" s="1605" t="s">
        <v>986</v>
      </c>
      <c r="GJ345" s="1605" t="s">
        <v>986</v>
      </c>
      <c r="GK345" s="1605" t="s">
        <v>986</v>
      </c>
      <c r="GL345" s="1605" t="s">
        <v>986</v>
      </c>
      <c r="GM345" s="1605" t="s">
        <v>986</v>
      </c>
      <c r="GN345" s="1605" t="s">
        <v>986</v>
      </c>
      <c r="GO345" s="1605" t="s">
        <v>986</v>
      </c>
      <c r="GP345" s="1605" t="s">
        <v>986</v>
      </c>
      <c r="GQ345" s="1605" t="s">
        <v>986</v>
      </c>
      <c r="GR345" s="1605" t="s">
        <v>986</v>
      </c>
      <c r="GS345" s="1605" t="s">
        <v>986</v>
      </c>
      <c r="GT345" s="1605" t="s">
        <v>986</v>
      </c>
      <c r="GU345" s="1605" t="s">
        <v>986</v>
      </c>
      <c r="GV345" s="1605" t="s">
        <v>986</v>
      </c>
      <c r="GW345" s="1605" t="s">
        <v>986</v>
      </c>
      <c r="GX345" s="1605" t="s">
        <v>986</v>
      </c>
      <c r="GY345" s="1605" t="s">
        <v>986</v>
      </c>
      <c r="GZ345" s="1605" t="s">
        <v>986</v>
      </c>
      <c r="HA345" s="1605" t="s">
        <v>986</v>
      </c>
      <c r="HB345" s="1605" t="s">
        <v>986</v>
      </c>
      <c r="HC345" s="1605" t="s">
        <v>986</v>
      </c>
      <c r="HD345" s="1605" t="s">
        <v>986</v>
      </c>
      <c r="HE345" s="1605" t="s">
        <v>986</v>
      </c>
      <c r="HF345" s="1605" t="s">
        <v>986</v>
      </c>
      <c r="HG345" s="1605" t="s">
        <v>986</v>
      </c>
      <c r="HH345" s="1605" t="s">
        <v>986</v>
      </c>
      <c r="HI345" s="1605" t="s">
        <v>986</v>
      </c>
      <c r="HJ345" s="1605" t="s">
        <v>986</v>
      </c>
      <c r="HK345" s="1605" t="s">
        <v>986</v>
      </c>
      <c r="HL345" s="1605" t="s">
        <v>986</v>
      </c>
      <c r="HM345" s="1605" t="s">
        <v>986</v>
      </c>
      <c r="HN345" s="1605" t="s">
        <v>986</v>
      </c>
      <c r="HO345" s="1605" t="s">
        <v>986</v>
      </c>
      <c r="HP345" s="1605" t="s">
        <v>986</v>
      </c>
      <c r="HQ345" s="1605" t="s">
        <v>986</v>
      </c>
      <c r="HR345" s="1605" t="s">
        <v>986</v>
      </c>
      <c r="HS345" s="1605" t="s">
        <v>986</v>
      </c>
      <c r="HT345" s="1605" t="s">
        <v>986</v>
      </c>
      <c r="HU345" s="1605" t="s">
        <v>986</v>
      </c>
      <c r="HV345" s="1617"/>
      <c r="HW345" s="1617" t="s">
        <v>986</v>
      </c>
      <c r="HX345" s="1617" t="s">
        <v>986</v>
      </c>
      <c r="HY345" s="1617" t="s">
        <v>986</v>
      </c>
      <c r="HZ345" s="1603"/>
      <c r="IA345" s="1603"/>
      <c r="IB345" s="1603"/>
      <c r="IC345" s="1603" t="s">
        <v>270</v>
      </c>
      <c r="ID345" s="1603" t="s">
        <v>270</v>
      </c>
      <c r="IE345" s="1603" t="s">
        <v>270</v>
      </c>
      <c r="IF345" s="1603" t="s">
        <v>270</v>
      </c>
      <c r="IG345" s="1611" t="s">
        <v>270</v>
      </c>
      <c r="IH345" s="1616" t="s">
        <v>270</v>
      </c>
      <c r="II345" s="1615" t="s">
        <v>270</v>
      </c>
      <c r="IJ345" s="1613" t="s">
        <v>270</v>
      </c>
      <c r="IK345" s="1613" t="s">
        <v>270</v>
      </c>
      <c r="IL345" s="1614" t="s">
        <v>270</v>
      </c>
      <c r="IM345" s="1614" t="s">
        <v>270</v>
      </c>
      <c r="IN345" s="1612" t="s">
        <v>270</v>
      </c>
      <c r="IO345" s="1613" t="s">
        <v>270</v>
      </c>
      <c r="IP345" s="1607" t="s">
        <v>270</v>
      </c>
      <c r="IQ345" s="1612" t="s">
        <v>270</v>
      </c>
      <c r="IR345" s="1612" t="s">
        <v>270</v>
      </c>
      <c r="IS345" s="1607" t="s">
        <v>270</v>
      </c>
      <c r="IT345" s="1607" t="s">
        <v>270</v>
      </c>
      <c r="IU345" s="1611" t="s">
        <v>270</v>
      </c>
      <c r="IV345" s="1611" t="s">
        <v>270</v>
      </c>
      <c r="IW345" s="1611" t="s">
        <v>270</v>
      </c>
      <c r="IX345" s="1611" t="s">
        <v>270</v>
      </c>
      <c r="IY345" s="1611" t="s">
        <v>270</v>
      </c>
      <c r="IZ345" s="1611" t="s">
        <v>270</v>
      </c>
      <c r="JA345" s="1611" t="s">
        <v>270</v>
      </c>
      <c r="JB345" s="1611" t="s">
        <v>270</v>
      </c>
      <c r="JC345" s="1611" t="s">
        <v>270</v>
      </c>
      <c r="JD345" s="1611" t="s">
        <v>270</v>
      </c>
      <c r="JE345" s="1611" t="s">
        <v>270</v>
      </c>
      <c r="JF345" s="1611" t="s">
        <v>270</v>
      </c>
      <c r="JG345" s="1611" t="s">
        <v>270</v>
      </c>
      <c r="JH345" s="1611" t="s">
        <v>270</v>
      </c>
      <c r="JI345" s="1611" t="s">
        <v>270</v>
      </c>
      <c r="JJ345" s="1611" t="s">
        <v>270</v>
      </c>
      <c r="JK345" s="1607" t="str">
        <f t="shared" si="14"/>
        <v/>
      </c>
      <c r="JL345" s="1608" t="s">
        <v>270</v>
      </c>
      <c r="JM345" s="1610" t="s">
        <v>270</v>
      </c>
      <c r="JN345" s="1608" t="s">
        <v>270</v>
      </c>
      <c r="JO345" s="1609" t="s">
        <v>270</v>
      </c>
      <c r="JP345" s="1608" t="s">
        <v>270</v>
      </c>
      <c r="JQ345" s="1607" t="s">
        <v>270</v>
      </c>
      <c r="JR345" s="1606" t="s">
        <v>270</v>
      </c>
      <c r="JS345" s="1606" t="s">
        <v>270</v>
      </c>
      <c r="JT345" s="1606" t="s">
        <v>270</v>
      </c>
    </row>
    <row r="346" spans="1:280" ht="15" customHeight="1" x14ac:dyDescent="0.2">
      <c r="A346" s="1626" t="s">
        <v>270</v>
      </c>
      <c r="B346" s="1625" t="s">
        <v>270</v>
      </c>
      <c r="C346" s="1624" t="s">
        <v>270</v>
      </c>
      <c r="D346" s="1623" t="s">
        <v>270</v>
      </c>
      <c r="E346" s="1622" t="s">
        <v>270</v>
      </c>
      <c r="F346" s="1620" t="s">
        <v>270</v>
      </c>
      <c r="G346" s="1620" t="s">
        <v>270</v>
      </c>
      <c r="H346" s="1621" t="s">
        <v>270</v>
      </c>
      <c r="I346" s="1621" t="s">
        <v>270</v>
      </c>
      <c r="J346" s="1621" t="s">
        <v>270</v>
      </c>
      <c r="K346" s="1620" t="s">
        <v>270</v>
      </c>
      <c r="L346" s="1620" t="s">
        <v>270</v>
      </c>
      <c r="M346" s="1620" t="s">
        <v>270</v>
      </c>
      <c r="N346" s="1620" t="s">
        <v>270</v>
      </c>
      <c r="O346" s="1620" t="s">
        <v>270</v>
      </c>
      <c r="P346" s="1620" t="s">
        <v>270</v>
      </c>
      <c r="Q346" s="1603"/>
      <c r="R346" s="1620" t="s">
        <v>270</v>
      </c>
      <c r="S346" s="1620" t="s">
        <v>270</v>
      </c>
      <c r="T346" s="1620" t="s">
        <v>270</v>
      </c>
      <c r="U346" s="1620" t="s">
        <v>270</v>
      </c>
      <c r="V346" s="1620" t="s">
        <v>270</v>
      </c>
      <c r="W346" s="1620" t="s">
        <v>270</v>
      </c>
      <c r="X346" s="1620"/>
      <c r="Y346" s="1620" t="s">
        <v>270</v>
      </c>
      <c r="Z346" s="1620" t="s">
        <v>270</v>
      </c>
      <c r="AA346" s="1620" t="s">
        <v>270</v>
      </c>
      <c r="AB346" s="1620" t="s">
        <v>270</v>
      </c>
      <c r="AC346" s="1620" t="s">
        <v>270</v>
      </c>
      <c r="AD346" s="1620" t="s">
        <v>270</v>
      </c>
      <c r="AE346" s="1620" t="s">
        <v>270</v>
      </c>
      <c r="AF346" s="1620" t="s">
        <v>270</v>
      </c>
      <c r="AG346" s="1620" t="s">
        <v>270</v>
      </c>
      <c r="AH346" s="1620" t="s">
        <v>270</v>
      </c>
      <c r="AI346" s="1620" t="s">
        <v>270</v>
      </c>
      <c r="AJ346" s="1620" t="s">
        <v>270</v>
      </c>
      <c r="AK346" s="1620" t="s">
        <v>270</v>
      </c>
      <c r="AL346" s="1620"/>
      <c r="AM346" s="1620" t="s">
        <v>270</v>
      </c>
      <c r="AN346" s="1620" t="s">
        <v>270</v>
      </c>
      <c r="AO346" s="1620" t="s">
        <v>270</v>
      </c>
      <c r="AP346" s="1620" t="s">
        <v>270</v>
      </c>
      <c r="AQ346" s="1620" t="s">
        <v>270</v>
      </c>
      <c r="AR346" s="1620" t="s">
        <v>270</v>
      </c>
      <c r="AS346" s="1620" t="s">
        <v>270</v>
      </c>
      <c r="AT346" s="1620" t="s">
        <v>270</v>
      </c>
      <c r="AU346" s="1620" t="s">
        <v>270</v>
      </c>
      <c r="AV346" s="1620" t="s">
        <v>270</v>
      </c>
      <c r="AW346" s="1620" t="s">
        <v>270</v>
      </c>
      <c r="AX346" s="1620"/>
      <c r="AY346" s="1620" t="s">
        <v>986</v>
      </c>
      <c r="AZ346" s="1620" t="s">
        <v>986</v>
      </c>
      <c r="BA346" s="1620" t="s">
        <v>986</v>
      </c>
      <c r="BB346" s="1620" t="s">
        <v>986</v>
      </c>
      <c r="BC346" s="1620" t="s">
        <v>986</v>
      </c>
      <c r="BD346" s="1620" t="s">
        <v>986</v>
      </c>
      <c r="BE346" s="1620" t="s">
        <v>986</v>
      </c>
      <c r="BF346" s="1620" t="s">
        <v>986</v>
      </c>
      <c r="BG346" s="1620" t="s">
        <v>986</v>
      </c>
      <c r="BH346" s="1620" t="s">
        <v>986</v>
      </c>
      <c r="BI346" s="1620" t="s">
        <v>986</v>
      </c>
      <c r="BJ346" s="1603"/>
      <c r="BK346" s="1620" t="s">
        <v>270</v>
      </c>
      <c r="BL346" s="1620" t="s">
        <v>270</v>
      </c>
      <c r="BM346" s="1620" t="s">
        <v>270</v>
      </c>
      <c r="BN346" s="1620" t="s">
        <v>270</v>
      </c>
      <c r="BO346" s="1620"/>
      <c r="BP346" s="1620" t="s">
        <v>270</v>
      </c>
      <c r="BQ346" s="1620" t="s">
        <v>270</v>
      </c>
      <c r="BR346" s="1620" t="s">
        <v>270</v>
      </c>
      <c r="BS346" s="1620" t="s">
        <v>270</v>
      </c>
      <c r="BT346" s="1603"/>
      <c r="BU346" s="1620" t="s">
        <v>270</v>
      </c>
      <c r="BV346" s="1620" t="s">
        <v>270</v>
      </c>
      <c r="BW346" s="1620" t="s">
        <v>270</v>
      </c>
      <c r="BX346" s="1620" t="s">
        <v>270</v>
      </c>
      <c r="BY346" s="1620" t="s">
        <v>270</v>
      </c>
      <c r="BZ346" s="1620" t="s">
        <v>270</v>
      </c>
      <c r="CA346" s="1620" t="s">
        <v>270</v>
      </c>
      <c r="CB346" s="1603"/>
      <c r="CC346" s="1603" t="s">
        <v>270</v>
      </c>
      <c r="CD346" s="1603" t="s">
        <v>270</v>
      </c>
      <c r="CE346" s="1603" t="s">
        <v>270</v>
      </c>
      <c r="CF346" s="1603" t="s">
        <v>270</v>
      </c>
      <c r="CG346" s="1603" t="s">
        <v>270</v>
      </c>
      <c r="CH346" s="1603" t="s">
        <v>270</v>
      </c>
      <c r="CI346" s="1603" t="s">
        <v>270</v>
      </c>
      <c r="CJ346" s="1603"/>
      <c r="CK346" s="1603" t="s">
        <v>270</v>
      </c>
      <c r="CL346" s="1603" t="s">
        <v>270</v>
      </c>
      <c r="CM346" s="1603" t="s">
        <v>270</v>
      </c>
      <c r="CN346" s="1603" t="s">
        <v>270</v>
      </c>
      <c r="CO346" s="1603" t="s">
        <v>270</v>
      </c>
      <c r="CP346" s="1603" t="s">
        <v>270</v>
      </c>
      <c r="CQ346" s="1603" t="s">
        <v>270</v>
      </c>
      <c r="CR346" s="1603" t="s">
        <v>270</v>
      </c>
      <c r="CS346" s="1603" t="s">
        <v>270</v>
      </c>
      <c r="CT346" s="1603" t="s">
        <v>270</v>
      </c>
      <c r="CU346" s="1603" t="s">
        <v>270</v>
      </c>
      <c r="CV346" s="1603" t="s">
        <v>270</v>
      </c>
      <c r="CW346" s="1603" t="s">
        <v>270</v>
      </c>
      <c r="CX346" s="1603" t="s">
        <v>270</v>
      </c>
      <c r="CY346" s="1603" t="s">
        <v>270</v>
      </c>
      <c r="CZ346" s="1603" t="s">
        <v>270</v>
      </c>
      <c r="DA346" s="1603" t="s">
        <v>270</v>
      </c>
      <c r="DB346" s="1603" t="s">
        <v>270</v>
      </c>
      <c r="DC346" s="1603" t="s">
        <v>270</v>
      </c>
      <c r="DD346" s="1603" t="s">
        <v>270</v>
      </c>
      <c r="DE346" s="1603" t="s">
        <v>270</v>
      </c>
      <c r="DF346" s="1603" t="s">
        <v>270</v>
      </c>
      <c r="DG346" s="1603" t="s">
        <v>270</v>
      </c>
      <c r="DH346" s="1619" t="s">
        <v>270</v>
      </c>
      <c r="DI346" s="1603" t="s">
        <v>270</v>
      </c>
      <c r="DJ346" s="1603" t="s">
        <v>270</v>
      </c>
      <c r="DK346" s="1603" t="s">
        <v>270</v>
      </c>
      <c r="DL346" s="1603" t="s">
        <v>270</v>
      </c>
      <c r="DM346" s="1603" t="s">
        <v>270</v>
      </c>
      <c r="DN346" s="1603" t="s">
        <v>270</v>
      </c>
      <c r="DO346" s="1603" t="s">
        <v>270</v>
      </c>
      <c r="DP346" s="1603" t="s">
        <v>270</v>
      </c>
      <c r="DQ346" s="1603" t="s">
        <v>270</v>
      </c>
      <c r="DR346" s="1603" t="s">
        <v>270</v>
      </c>
      <c r="DS346" s="1603" t="s">
        <v>270</v>
      </c>
      <c r="DT346" s="1603" t="s">
        <v>270</v>
      </c>
      <c r="DU346" s="1603" t="s">
        <v>270</v>
      </c>
      <c r="DV346" s="1603" t="s">
        <v>270</v>
      </c>
      <c r="DW346" s="1618" t="s">
        <v>986</v>
      </c>
      <c r="DX346" s="1605" t="s">
        <v>986</v>
      </c>
      <c r="DY346" s="1605" t="s">
        <v>986</v>
      </c>
      <c r="DZ346" s="1605" t="s">
        <v>986</v>
      </c>
      <c r="EA346" s="1605" t="s">
        <v>986</v>
      </c>
      <c r="EB346" s="1605" t="s">
        <v>986</v>
      </c>
      <c r="EC346" s="1605" t="s">
        <v>986</v>
      </c>
      <c r="ED346" s="1605" t="s">
        <v>986</v>
      </c>
      <c r="EE346" s="1605" t="s">
        <v>986</v>
      </c>
      <c r="EF346" s="1605" t="s">
        <v>986</v>
      </c>
      <c r="EG346" s="1605" t="s">
        <v>986</v>
      </c>
      <c r="EH346" s="1605" t="s">
        <v>986</v>
      </c>
      <c r="EI346" s="1605" t="s">
        <v>986</v>
      </c>
      <c r="EJ346" s="1605" t="s">
        <v>986</v>
      </c>
      <c r="EK346" s="1605" t="s">
        <v>986</v>
      </c>
      <c r="EL346" s="1605" t="s">
        <v>986</v>
      </c>
      <c r="EM346" s="1605" t="s">
        <v>986</v>
      </c>
      <c r="EN346" s="1605" t="s">
        <v>986</v>
      </c>
      <c r="EO346" s="1605" t="s">
        <v>986</v>
      </c>
      <c r="EP346" s="1605" t="s">
        <v>986</v>
      </c>
      <c r="EQ346" s="1605" t="s">
        <v>986</v>
      </c>
      <c r="ER346" s="1605" t="s">
        <v>986</v>
      </c>
      <c r="ES346" s="1605" t="s">
        <v>986</v>
      </c>
      <c r="ET346" s="1605" t="s">
        <v>986</v>
      </c>
      <c r="EU346" s="1605" t="s">
        <v>986</v>
      </c>
      <c r="EV346" s="1605" t="s">
        <v>986</v>
      </c>
      <c r="EW346" s="1605" t="s">
        <v>986</v>
      </c>
      <c r="EX346" s="1605" t="s">
        <v>986</v>
      </c>
      <c r="EY346" s="1605" t="s">
        <v>986</v>
      </c>
      <c r="EZ346" s="1605" t="s">
        <v>986</v>
      </c>
      <c r="FA346" s="1605" t="s">
        <v>986</v>
      </c>
      <c r="FB346" s="1605" t="s">
        <v>986</v>
      </c>
      <c r="FC346" s="1605" t="s">
        <v>986</v>
      </c>
      <c r="FD346" s="1605" t="s">
        <v>986</v>
      </c>
      <c r="FE346" s="1605" t="s">
        <v>986</v>
      </c>
      <c r="FF346" s="1605" t="s">
        <v>986</v>
      </c>
      <c r="FG346" s="1605" t="s">
        <v>986</v>
      </c>
      <c r="FH346" s="1605" t="s">
        <v>986</v>
      </c>
      <c r="FI346" s="1605" t="s">
        <v>986</v>
      </c>
      <c r="FJ346" s="1605" t="s">
        <v>986</v>
      </c>
      <c r="FK346" s="1605" t="s">
        <v>986</v>
      </c>
      <c r="FL346" s="1605" t="s">
        <v>986</v>
      </c>
      <c r="FM346" s="1605" t="s">
        <v>986</v>
      </c>
      <c r="FN346" s="1605" t="s">
        <v>986</v>
      </c>
      <c r="FO346" s="1605" t="s">
        <v>986</v>
      </c>
      <c r="FP346" s="1605" t="s">
        <v>986</v>
      </c>
      <c r="FQ346" s="1605" t="s">
        <v>986</v>
      </c>
      <c r="FR346" s="1605" t="s">
        <v>986</v>
      </c>
      <c r="FS346" s="1605" t="s">
        <v>986</v>
      </c>
      <c r="FT346" s="1605" t="s">
        <v>986</v>
      </c>
      <c r="FU346" s="1605" t="s">
        <v>986</v>
      </c>
      <c r="FV346" s="1605" t="s">
        <v>986</v>
      </c>
      <c r="FW346" s="1605" t="s">
        <v>986</v>
      </c>
      <c r="FX346" s="1605" t="s">
        <v>986</v>
      </c>
      <c r="FY346" s="1605" t="s">
        <v>986</v>
      </c>
      <c r="FZ346" s="1605" t="s">
        <v>986</v>
      </c>
      <c r="GA346" s="1605" t="s">
        <v>986</v>
      </c>
      <c r="GB346" s="1605" t="s">
        <v>986</v>
      </c>
      <c r="GC346" s="1605" t="s">
        <v>986</v>
      </c>
      <c r="GD346" s="1605" t="s">
        <v>986</v>
      </c>
      <c r="GE346" s="1605" t="s">
        <v>986</v>
      </c>
      <c r="GF346" s="1605" t="s">
        <v>986</v>
      </c>
      <c r="GG346" s="1605" t="s">
        <v>986</v>
      </c>
      <c r="GH346" s="1605" t="s">
        <v>986</v>
      </c>
      <c r="GI346" s="1605" t="s">
        <v>986</v>
      </c>
      <c r="GJ346" s="1605" t="s">
        <v>986</v>
      </c>
      <c r="GK346" s="1605" t="s">
        <v>986</v>
      </c>
      <c r="GL346" s="1605" t="s">
        <v>986</v>
      </c>
      <c r="GM346" s="1605" t="s">
        <v>986</v>
      </c>
      <c r="GN346" s="1605" t="s">
        <v>986</v>
      </c>
      <c r="GO346" s="1605" t="s">
        <v>986</v>
      </c>
      <c r="GP346" s="1605" t="s">
        <v>986</v>
      </c>
      <c r="GQ346" s="1605" t="s">
        <v>986</v>
      </c>
      <c r="GR346" s="1605" t="s">
        <v>986</v>
      </c>
      <c r="GS346" s="1605" t="s">
        <v>986</v>
      </c>
      <c r="GT346" s="1605" t="s">
        <v>986</v>
      </c>
      <c r="GU346" s="1605" t="s">
        <v>986</v>
      </c>
      <c r="GV346" s="1605" t="s">
        <v>986</v>
      </c>
      <c r="GW346" s="1605" t="s">
        <v>986</v>
      </c>
      <c r="GX346" s="1605" t="s">
        <v>986</v>
      </c>
      <c r="GY346" s="1605" t="s">
        <v>986</v>
      </c>
      <c r="GZ346" s="1605" t="s">
        <v>986</v>
      </c>
      <c r="HA346" s="1605" t="s">
        <v>986</v>
      </c>
      <c r="HB346" s="1605" t="s">
        <v>986</v>
      </c>
      <c r="HC346" s="1605" t="s">
        <v>986</v>
      </c>
      <c r="HD346" s="1605" t="s">
        <v>986</v>
      </c>
      <c r="HE346" s="1605" t="s">
        <v>986</v>
      </c>
      <c r="HF346" s="1605" t="s">
        <v>986</v>
      </c>
      <c r="HG346" s="1605" t="s">
        <v>986</v>
      </c>
      <c r="HH346" s="1605" t="s">
        <v>986</v>
      </c>
      <c r="HI346" s="1605" t="s">
        <v>986</v>
      </c>
      <c r="HJ346" s="1605" t="s">
        <v>986</v>
      </c>
      <c r="HK346" s="1605" t="s">
        <v>986</v>
      </c>
      <c r="HL346" s="1605" t="s">
        <v>986</v>
      </c>
      <c r="HM346" s="1605" t="s">
        <v>986</v>
      </c>
      <c r="HN346" s="1605" t="s">
        <v>986</v>
      </c>
      <c r="HO346" s="1605" t="s">
        <v>986</v>
      </c>
      <c r="HP346" s="1605" t="s">
        <v>986</v>
      </c>
      <c r="HQ346" s="1605" t="s">
        <v>986</v>
      </c>
      <c r="HR346" s="1605" t="s">
        <v>986</v>
      </c>
      <c r="HS346" s="1605" t="s">
        <v>986</v>
      </c>
      <c r="HT346" s="1605" t="s">
        <v>986</v>
      </c>
      <c r="HU346" s="1605" t="s">
        <v>986</v>
      </c>
      <c r="HV346" s="1617"/>
      <c r="HW346" s="1617" t="s">
        <v>986</v>
      </c>
      <c r="HX346" s="1617" t="s">
        <v>986</v>
      </c>
      <c r="HY346" s="1617" t="s">
        <v>986</v>
      </c>
      <c r="HZ346" s="1603"/>
      <c r="IA346" s="1603"/>
      <c r="IB346" s="1603"/>
      <c r="IC346" s="1603" t="s">
        <v>270</v>
      </c>
      <c r="ID346" s="1603" t="s">
        <v>270</v>
      </c>
      <c r="IE346" s="1603" t="s">
        <v>270</v>
      </c>
      <c r="IF346" s="1603" t="s">
        <v>270</v>
      </c>
      <c r="IG346" s="1611" t="s">
        <v>270</v>
      </c>
      <c r="IH346" s="1616" t="s">
        <v>270</v>
      </c>
      <c r="II346" s="1615" t="s">
        <v>270</v>
      </c>
      <c r="IJ346" s="1613" t="s">
        <v>270</v>
      </c>
      <c r="IK346" s="1613" t="s">
        <v>270</v>
      </c>
      <c r="IL346" s="1614" t="s">
        <v>270</v>
      </c>
      <c r="IM346" s="1614" t="s">
        <v>270</v>
      </c>
      <c r="IN346" s="1612" t="s">
        <v>270</v>
      </c>
      <c r="IO346" s="1613" t="s">
        <v>270</v>
      </c>
      <c r="IP346" s="1607" t="s">
        <v>270</v>
      </c>
      <c r="IQ346" s="1612" t="s">
        <v>270</v>
      </c>
      <c r="IR346" s="1612" t="s">
        <v>270</v>
      </c>
      <c r="IS346" s="1607" t="s">
        <v>270</v>
      </c>
      <c r="IT346" s="1607" t="s">
        <v>270</v>
      </c>
      <c r="IU346" s="1611" t="s">
        <v>270</v>
      </c>
      <c r="IV346" s="1611" t="s">
        <v>270</v>
      </c>
      <c r="IW346" s="1611" t="s">
        <v>270</v>
      </c>
      <c r="IX346" s="1611" t="s">
        <v>270</v>
      </c>
      <c r="IY346" s="1611" t="s">
        <v>270</v>
      </c>
      <c r="IZ346" s="1611" t="s">
        <v>270</v>
      </c>
      <c r="JA346" s="1611" t="s">
        <v>270</v>
      </c>
      <c r="JB346" s="1611" t="s">
        <v>270</v>
      </c>
      <c r="JC346" s="1611" t="s">
        <v>270</v>
      </c>
      <c r="JD346" s="1611" t="s">
        <v>270</v>
      </c>
      <c r="JE346" s="1611" t="s">
        <v>270</v>
      </c>
      <c r="JF346" s="1611" t="s">
        <v>270</v>
      </c>
      <c r="JG346" s="1611" t="s">
        <v>270</v>
      </c>
      <c r="JH346" s="1611" t="s">
        <v>270</v>
      </c>
      <c r="JI346" s="1611" t="s">
        <v>270</v>
      </c>
      <c r="JJ346" s="1611" t="s">
        <v>270</v>
      </c>
      <c r="JK346" s="1607" t="str">
        <f t="shared" si="14"/>
        <v/>
      </c>
      <c r="JL346" s="1608" t="s">
        <v>270</v>
      </c>
      <c r="JM346" s="1610" t="s">
        <v>270</v>
      </c>
      <c r="JN346" s="1608" t="s">
        <v>270</v>
      </c>
      <c r="JO346" s="1609" t="s">
        <v>270</v>
      </c>
      <c r="JP346" s="1608" t="s">
        <v>270</v>
      </c>
      <c r="JQ346" s="1607" t="s">
        <v>270</v>
      </c>
      <c r="JR346" s="1606" t="s">
        <v>270</v>
      </c>
      <c r="JS346" s="1606" t="s">
        <v>270</v>
      </c>
      <c r="JT346" s="1606" t="s">
        <v>270</v>
      </c>
    </row>
    <row r="347" spans="1:280" ht="15" customHeight="1" x14ac:dyDescent="0.2">
      <c r="A347" s="1626" t="s">
        <v>270</v>
      </c>
      <c r="B347" s="1625" t="s">
        <v>270</v>
      </c>
      <c r="C347" s="1624" t="s">
        <v>270</v>
      </c>
      <c r="D347" s="1623" t="s">
        <v>270</v>
      </c>
      <c r="E347" s="1622" t="s">
        <v>270</v>
      </c>
      <c r="F347" s="1620" t="s">
        <v>270</v>
      </c>
      <c r="G347" s="1620" t="s">
        <v>270</v>
      </c>
      <c r="H347" s="1621" t="s">
        <v>270</v>
      </c>
      <c r="I347" s="1621" t="s">
        <v>270</v>
      </c>
      <c r="J347" s="1621" t="s">
        <v>270</v>
      </c>
      <c r="K347" s="1620" t="s">
        <v>270</v>
      </c>
      <c r="L347" s="1620" t="s">
        <v>270</v>
      </c>
      <c r="M347" s="1620" t="s">
        <v>270</v>
      </c>
      <c r="N347" s="1620" t="s">
        <v>270</v>
      </c>
      <c r="O347" s="1620" t="s">
        <v>270</v>
      </c>
      <c r="P347" s="1620" t="s">
        <v>270</v>
      </c>
      <c r="Q347" s="1603"/>
      <c r="R347" s="1620" t="s">
        <v>270</v>
      </c>
      <c r="S347" s="1620" t="s">
        <v>270</v>
      </c>
      <c r="T347" s="1620" t="s">
        <v>270</v>
      </c>
      <c r="U347" s="1620" t="s">
        <v>270</v>
      </c>
      <c r="V347" s="1620" t="s">
        <v>270</v>
      </c>
      <c r="W347" s="1620" t="s">
        <v>270</v>
      </c>
      <c r="X347" s="1620"/>
      <c r="Y347" s="1620" t="s">
        <v>270</v>
      </c>
      <c r="Z347" s="1620" t="s">
        <v>270</v>
      </c>
      <c r="AA347" s="1620" t="s">
        <v>270</v>
      </c>
      <c r="AB347" s="1620" t="s">
        <v>270</v>
      </c>
      <c r="AC347" s="1620" t="s">
        <v>270</v>
      </c>
      <c r="AD347" s="1620" t="s">
        <v>270</v>
      </c>
      <c r="AE347" s="1620" t="s">
        <v>270</v>
      </c>
      <c r="AF347" s="1620" t="s">
        <v>270</v>
      </c>
      <c r="AG347" s="1620" t="s">
        <v>270</v>
      </c>
      <c r="AH347" s="1620" t="s">
        <v>270</v>
      </c>
      <c r="AI347" s="1620" t="s">
        <v>270</v>
      </c>
      <c r="AJ347" s="1620" t="s">
        <v>270</v>
      </c>
      <c r="AK347" s="1620" t="s">
        <v>270</v>
      </c>
      <c r="AL347" s="1620"/>
      <c r="AM347" s="1620" t="s">
        <v>270</v>
      </c>
      <c r="AN347" s="1620" t="s">
        <v>270</v>
      </c>
      <c r="AO347" s="1620" t="s">
        <v>270</v>
      </c>
      <c r="AP347" s="1620" t="s">
        <v>270</v>
      </c>
      <c r="AQ347" s="1620" t="s">
        <v>270</v>
      </c>
      <c r="AR347" s="1620" t="s">
        <v>270</v>
      </c>
      <c r="AS347" s="1620" t="s">
        <v>270</v>
      </c>
      <c r="AT347" s="1620" t="s">
        <v>270</v>
      </c>
      <c r="AU347" s="1620" t="s">
        <v>270</v>
      </c>
      <c r="AV347" s="1620" t="s">
        <v>270</v>
      </c>
      <c r="AW347" s="1620" t="s">
        <v>270</v>
      </c>
      <c r="AX347" s="1620"/>
      <c r="AY347" s="1620" t="s">
        <v>986</v>
      </c>
      <c r="AZ347" s="1620" t="s">
        <v>986</v>
      </c>
      <c r="BA347" s="1620" t="s">
        <v>986</v>
      </c>
      <c r="BB347" s="1620" t="s">
        <v>986</v>
      </c>
      <c r="BC347" s="1620" t="s">
        <v>986</v>
      </c>
      <c r="BD347" s="1620" t="s">
        <v>986</v>
      </c>
      <c r="BE347" s="1620" t="s">
        <v>986</v>
      </c>
      <c r="BF347" s="1620" t="s">
        <v>986</v>
      </c>
      <c r="BG347" s="1620" t="s">
        <v>986</v>
      </c>
      <c r="BH347" s="1620" t="s">
        <v>986</v>
      </c>
      <c r="BI347" s="1620" t="s">
        <v>986</v>
      </c>
      <c r="BJ347" s="1603"/>
      <c r="BK347" s="1620" t="s">
        <v>270</v>
      </c>
      <c r="BL347" s="1620" t="s">
        <v>270</v>
      </c>
      <c r="BM347" s="1620" t="s">
        <v>270</v>
      </c>
      <c r="BN347" s="1620" t="s">
        <v>270</v>
      </c>
      <c r="BO347" s="1620"/>
      <c r="BP347" s="1620" t="s">
        <v>270</v>
      </c>
      <c r="BQ347" s="1620" t="s">
        <v>270</v>
      </c>
      <c r="BR347" s="1620" t="s">
        <v>270</v>
      </c>
      <c r="BS347" s="1620" t="s">
        <v>270</v>
      </c>
      <c r="BT347" s="1603"/>
      <c r="BU347" s="1620" t="s">
        <v>270</v>
      </c>
      <c r="BV347" s="1620" t="s">
        <v>270</v>
      </c>
      <c r="BW347" s="1620" t="s">
        <v>270</v>
      </c>
      <c r="BX347" s="1620" t="s">
        <v>270</v>
      </c>
      <c r="BY347" s="1620" t="s">
        <v>270</v>
      </c>
      <c r="BZ347" s="1620" t="s">
        <v>270</v>
      </c>
      <c r="CA347" s="1620" t="s">
        <v>270</v>
      </c>
      <c r="CB347" s="1603"/>
      <c r="CC347" s="1603" t="s">
        <v>270</v>
      </c>
      <c r="CD347" s="1603" t="s">
        <v>270</v>
      </c>
      <c r="CE347" s="1603" t="s">
        <v>270</v>
      </c>
      <c r="CF347" s="1603" t="s">
        <v>270</v>
      </c>
      <c r="CG347" s="1603" t="s">
        <v>270</v>
      </c>
      <c r="CH347" s="1603" t="s">
        <v>270</v>
      </c>
      <c r="CI347" s="1603" t="s">
        <v>270</v>
      </c>
      <c r="CJ347" s="1603"/>
      <c r="CK347" s="1603" t="s">
        <v>270</v>
      </c>
      <c r="CL347" s="1603" t="s">
        <v>270</v>
      </c>
      <c r="CM347" s="1603" t="s">
        <v>270</v>
      </c>
      <c r="CN347" s="1603" t="s">
        <v>270</v>
      </c>
      <c r="CO347" s="1603" t="s">
        <v>270</v>
      </c>
      <c r="CP347" s="1603" t="s">
        <v>270</v>
      </c>
      <c r="CQ347" s="1603" t="s">
        <v>270</v>
      </c>
      <c r="CR347" s="1603" t="s">
        <v>270</v>
      </c>
      <c r="CS347" s="1603" t="s">
        <v>270</v>
      </c>
      <c r="CT347" s="1603" t="s">
        <v>270</v>
      </c>
      <c r="CU347" s="1603" t="s">
        <v>270</v>
      </c>
      <c r="CV347" s="1603" t="s">
        <v>270</v>
      </c>
      <c r="CW347" s="1603" t="s">
        <v>270</v>
      </c>
      <c r="CX347" s="1603" t="s">
        <v>270</v>
      </c>
      <c r="CY347" s="1603" t="s">
        <v>270</v>
      </c>
      <c r="CZ347" s="1603" t="s">
        <v>270</v>
      </c>
      <c r="DA347" s="1603" t="s">
        <v>270</v>
      </c>
      <c r="DB347" s="1603" t="s">
        <v>270</v>
      </c>
      <c r="DC347" s="1603" t="s">
        <v>270</v>
      </c>
      <c r="DD347" s="1603" t="s">
        <v>270</v>
      </c>
      <c r="DE347" s="1603" t="s">
        <v>270</v>
      </c>
      <c r="DF347" s="1603" t="s">
        <v>270</v>
      </c>
      <c r="DG347" s="1603" t="s">
        <v>270</v>
      </c>
      <c r="DH347" s="1619" t="s">
        <v>270</v>
      </c>
      <c r="DI347" s="1603" t="s">
        <v>270</v>
      </c>
      <c r="DJ347" s="1603" t="s">
        <v>270</v>
      </c>
      <c r="DK347" s="1603" t="s">
        <v>270</v>
      </c>
      <c r="DL347" s="1603" t="s">
        <v>270</v>
      </c>
      <c r="DM347" s="1603" t="s">
        <v>270</v>
      </c>
      <c r="DN347" s="1603" t="s">
        <v>270</v>
      </c>
      <c r="DO347" s="1603" t="s">
        <v>270</v>
      </c>
      <c r="DP347" s="1603" t="s">
        <v>270</v>
      </c>
      <c r="DQ347" s="1603" t="s">
        <v>270</v>
      </c>
      <c r="DR347" s="1603" t="s">
        <v>270</v>
      </c>
      <c r="DS347" s="1603" t="s">
        <v>270</v>
      </c>
      <c r="DT347" s="1603" t="s">
        <v>270</v>
      </c>
      <c r="DU347" s="1603" t="s">
        <v>270</v>
      </c>
      <c r="DV347" s="1603" t="s">
        <v>270</v>
      </c>
      <c r="DW347" s="1618" t="s">
        <v>986</v>
      </c>
      <c r="DX347" s="1605" t="s">
        <v>986</v>
      </c>
      <c r="DY347" s="1605" t="s">
        <v>986</v>
      </c>
      <c r="DZ347" s="1605" t="s">
        <v>986</v>
      </c>
      <c r="EA347" s="1605" t="s">
        <v>986</v>
      </c>
      <c r="EB347" s="1605" t="s">
        <v>986</v>
      </c>
      <c r="EC347" s="1605" t="s">
        <v>986</v>
      </c>
      <c r="ED347" s="1605" t="s">
        <v>986</v>
      </c>
      <c r="EE347" s="1605" t="s">
        <v>986</v>
      </c>
      <c r="EF347" s="1605" t="s">
        <v>986</v>
      </c>
      <c r="EG347" s="1605" t="s">
        <v>986</v>
      </c>
      <c r="EH347" s="1605" t="s">
        <v>986</v>
      </c>
      <c r="EI347" s="1605" t="s">
        <v>986</v>
      </c>
      <c r="EJ347" s="1605" t="s">
        <v>986</v>
      </c>
      <c r="EK347" s="1605" t="s">
        <v>986</v>
      </c>
      <c r="EL347" s="1605" t="s">
        <v>986</v>
      </c>
      <c r="EM347" s="1605" t="s">
        <v>986</v>
      </c>
      <c r="EN347" s="1605" t="s">
        <v>986</v>
      </c>
      <c r="EO347" s="1605" t="s">
        <v>986</v>
      </c>
      <c r="EP347" s="1605" t="s">
        <v>986</v>
      </c>
      <c r="EQ347" s="1605" t="s">
        <v>986</v>
      </c>
      <c r="ER347" s="1605" t="s">
        <v>986</v>
      </c>
      <c r="ES347" s="1605" t="s">
        <v>986</v>
      </c>
      <c r="ET347" s="1605" t="s">
        <v>986</v>
      </c>
      <c r="EU347" s="1605" t="s">
        <v>986</v>
      </c>
      <c r="EV347" s="1605" t="s">
        <v>986</v>
      </c>
      <c r="EW347" s="1605" t="s">
        <v>986</v>
      </c>
      <c r="EX347" s="1605" t="s">
        <v>986</v>
      </c>
      <c r="EY347" s="1605" t="s">
        <v>986</v>
      </c>
      <c r="EZ347" s="1605" t="s">
        <v>986</v>
      </c>
      <c r="FA347" s="1605" t="s">
        <v>986</v>
      </c>
      <c r="FB347" s="1605" t="s">
        <v>986</v>
      </c>
      <c r="FC347" s="1605" t="s">
        <v>986</v>
      </c>
      <c r="FD347" s="1605" t="s">
        <v>986</v>
      </c>
      <c r="FE347" s="1605" t="s">
        <v>986</v>
      </c>
      <c r="FF347" s="1605" t="s">
        <v>986</v>
      </c>
      <c r="FG347" s="1605" t="s">
        <v>986</v>
      </c>
      <c r="FH347" s="1605" t="s">
        <v>986</v>
      </c>
      <c r="FI347" s="1605" t="s">
        <v>986</v>
      </c>
      <c r="FJ347" s="1605" t="s">
        <v>986</v>
      </c>
      <c r="FK347" s="1605" t="s">
        <v>986</v>
      </c>
      <c r="FL347" s="1605" t="s">
        <v>986</v>
      </c>
      <c r="FM347" s="1605" t="s">
        <v>986</v>
      </c>
      <c r="FN347" s="1605" t="s">
        <v>986</v>
      </c>
      <c r="FO347" s="1605" t="s">
        <v>986</v>
      </c>
      <c r="FP347" s="1605" t="s">
        <v>986</v>
      </c>
      <c r="FQ347" s="1605" t="s">
        <v>986</v>
      </c>
      <c r="FR347" s="1605" t="s">
        <v>986</v>
      </c>
      <c r="FS347" s="1605" t="s">
        <v>986</v>
      </c>
      <c r="FT347" s="1605" t="s">
        <v>986</v>
      </c>
      <c r="FU347" s="1605" t="s">
        <v>986</v>
      </c>
      <c r="FV347" s="1605" t="s">
        <v>986</v>
      </c>
      <c r="FW347" s="1605" t="s">
        <v>986</v>
      </c>
      <c r="FX347" s="1605" t="s">
        <v>986</v>
      </c>
      <c r="FY347" s="1605" t="s">
        <v>986</v>
      </c>
      <c r="FZ347" s="1605" t="s">
        <v>986</v>
      </c>
      <c r="GA347" s="1605" t="s">
        <v>986</v>
      </c>
      <c r="GB347" s="1605" t="s">
        <v>986</v>
      </c>
      <c r="GC347" s="1605" t="s">
        <v>986</v>
      </c>
      <c r="GD347" s="1605" t="s">
        <v>986</v>
      </c>
      <c r="GE347" s="1605" t="s">
        <v>986</v>
      </c>
      <c r="GF347" s="1605" t="s">
        <v>986</v>
      </c>
      <c r="GG347" s="1605" t="s">
        <v>986</v>
      </c>
      <c r="GH347" s="1605" t="s">
        <v>986</v>
      </c>
      <c r="GI347" s="1605" t="s">
        <v>986</v>
      </c>
      <c r="GJ347" s="1605" t="s">
        <v>986</v>
      </c>
      <c r="GK347" s="1605" t="s">
        <v>986</v>
      </c>
      <c r="GL347" s="1605" t="s">
        <v>986</v>
      </c>
      <c r="GM347" s="1605" t="s">
        <v>986</v>
      </c>
      <c r="GN347" s="1605" t="s">
        <v>986</v>
      </c>
      <c r="GO347" s="1605" t="s">
        <v>986</v>
      </c>
      <c r="GP347" s="1605" t="s">
        <v>986</v>
      </c>
      <c r="GQ347" s="1605" t="s">
        <v>986</v>
      </c>
      <c r="GR347" s="1605" t="s">
        <v>986</v>
      </c>
      <c r="GS347" s="1605" t="s">
        <v>986</v>
      </c>
      <c r="GT347" s="1605" t="s">
        <v>986</v>
      </c>
      <c r="GU347" s="1605" t="s">
        <v>986</v>
      </c>
      <c r="GV347" s="1605" t="s">
        <v>986</v>
      </c>
      <c r="GW347" s="1605" t="s">
        <v>986</v>
      </c>
      <c r="GX347" s="1605" t="s">
        <v>986</v>
      </c>
      <c r="GY347" s="1605" t="s">
        <v>986</v>
      </c>
      <c r="GZ347" s="1605" t="s">
        <v>986</v>
      </c>
      <c r="HA347" s="1605" t="s">
        <v>986</v>
      </c>
      <c r="HB347" s="1605" t="s">
        <v>986</v>
      </c>
      <c r="HC347" s="1605" t="s">
        <v>986</v>
      </c>
      <c r="HD347" s="1605" t="s">
        <v>986</v>
      </c>
      <c r="HE347" s="1605" t="s">
        <v>986</v>
      </c>
      <c r="HF347" s="1605" t="s">
        <v>986</v>
      </c>
      <c r="HG347" s="1605" t="s">
        <v>986</v>
      </c>
      <c r="HH347" s="1605" t="s">
        <v>986</v>
      </c>
      <c r="HI347" s="1605" t="s">
        <v>986</v>
      </c>
      <c r="HJ347" s="1605" t="s">
        <v>986</v>
      </c>
      <c r="HK347" s="1605" t="s">
        <v>986</v>
      </c>
      <c r="HL347" s="1605" t="s">
        <v>986</v>
      </c>
      <c r="HM347" s="1605" t="s">
        <v>986</v>
      </c>
      <c r="HN347" s="1605" t="s">
        <v>986</v>
      </c>
      <c r="HO347" s="1605" t="s">
        <v>986</v>
      </c>
      <c r="HP347" s="1605" t="s">
        <v>986</v>
      </c>
      <c r="HQ347" s="1605" t="s">
        <v>986</v>
      </c>
      <c r="HR347" s="1605" t="s">
        <v>986</v>
      </c>
      <c r="HS347" s="1605" t="s">
        <v>986</v>
      </c>
      <c r="HT347" s="1605" t="s">
        <v>986</v>
      </c>
      <c r="HU347" s="1605" t="s">
        <v>986</v>
      </c>
      <c r="HV347" s="1617"/>
      <c r="HW347" s="1617" t="s">
        <v>986</v>
      </c>
      <c r="HX347" s="1617" t="s">
        <v>986</v>
      </c>
      <c r="HY347" s="1617" t="s">
        <v>986</v>
      </c>
      <c r="HZ347" s="1603"/>
      <c r="IA347" s="1603"/>
      <c r="IB347" s="1603"/>
      <c r="IC347" s="1603" t="s">
        <v>270</v>
      </c>
      <c r="ID347" s="1603" t="s">
        <v>270</v>
      </c>
      <c r="IE347" s="1603" t="s">
        <v>270</v>
      </c>
      <c r="IF347" s="1603" t="s">
        <v>270</v>
      </c>
      <c r="IG347" s="1611" t="s">
        <v>270</v>
      </c>
      <c r="IH347" s="1616" t="s">
        <v>270</v>
      </c>
      <c r="II347" s="1615" t="s">
        <v>270</v>
      </c>
      <c r="IJ347" s="1613" t="s">
        <v>270</v>
      </c>
      <c r="IK347" s="1613" t="s">
        <v>270</v>
      </c>
      <c r="IL347" s="1614" t="s">
        <v>270</v>
      </c>
      <c r="IM347" s="1614" t="s">
        <v>270</v>
      </c>
      <c r="IN347" s="1612" t="s">
        <v>270</v>
      </c>
      <c r="IO347" s="1613" t="s">
        <v>270</v>
      </c>
      <c r="IP347" s="1607" t="s">
        <v>270</v>
      </c>
      <c r="IQ347" s="1612" t="s">
        <v>270</v>
      </c>
      <c r="IR347" s="1612" t="s">
        <v>270</v>
      </c>
      <c r="IS347" s="1607" t="s">
        <v>270</v>
      </c>
      <c r="IT347" s="1607" t="s">
        <v>270</v>
      </c>
      <c r="IU347" s="1611" t="s">
        <v>270</v>
      </c>
      <c r="IV347" s="1611" t="s">
        <v>270</v>
      </c>
      <c r="IW347" s="1611" t="s">
        <v>270</v>
      </c>
      <c r="IX347" s="1611" t="s">
        <v>270</v>
      </c>
      <c r="IY347" s="1611" t="s">
        <v>270</v>
      </c>
      <c r="IZ347" s="1611" t="s">
        <v>270</v>
      </c>
      <c r="JA347" s="1611" t="s">
        <v>270</v>
      </c>
      <c r="JB347" s="1611" t="s">
        <v>270</v>
      </c>
      <c r="JC347" s="1611" t="s">
        <v>270</v>
      </c>
      <c r="JD347" s="1611" t="s">
        <v>270</v>
      </c>
      <c r="JE347" s="1611" t="s">
        <v>270</v>
      </c>
      <c r="JF347" s="1611" t="s">
        <v>270</v>
      </c>
      <c r="JG347" s="1611" t="s">
        <v>270</v>
      </c>
      <c r="JH347" s="1611" t="s">
        <v>270</v>
      </c>
      <c r="JI347" s="1611" t="s">
        <v>270</v>
      </c>
      <c r="JJ347" s="1611" t="s">
        <v>270</v>
      </c>
      <c r="JK347" s="1607" t="str">
        <f t="shared" si="14"/>
        <v/>
      </c>
      <c r="JL347" s="1608" t="s">
        <v>270</v>
      </c>
      <c r="JM347" s="1610" t="s">
        <v>270</v>
      </c>
      <c r="JN347" s="1608" t="s">
        <v>270</v>
      </c>
      <c r="JO347" s="1609" t="s">
        <v>270</v>
      </c>
      <c r="JP347" s="1608" t="s">
        <v>270</v>
      </c>
      <c r="JQ347" s="1607" t="s">
        <v>270</v>
      </c>
      <c r="JR347" s="1606" t="s">
        <v>270</v>
      </c>
      <c r="JS347" s="1606" t="s">
        <v>270</v>
      </c>
      <c r="JT347" s="1606" t="s">
        <v>270</v>
      </c>
    </row>
    <row r="348" spans="1:280" ht="15" customHeight="1" x14ac:dyDescent="0.2">
      <c r="A348" s="1626" t="s">
        <v>270</v>
      </c>
      <c r="B348" s="1625" t="s">
        <v>270</v>
      </c>
      <c r="C348" s="1624" t="s">
        <v>270</v>
      </c>
      <c r="D348" s="1623" t="s">
        <v>270</v>
      </c>
      <c r="E348" s="1622" t="s">
        <v>270</v>
      </c>
      <c r="F348" s="1620" t="s">
        <v>270</v>
      </c>
      <c r="G348" s="1620" t="s">
        <v>270</v>
      </c>
      <c r="H348" s="1621" t="s">
        <v>270</v>
      </c>
      <c r="I348" s="1621" t="s">
        <v>270</v>
      </c>
      <c r="J348" s="1621" t="s">
        <v>270</v>
      </c>
      <c r="K348" s="1620" t="s">
        <v>270</v>
      </c>
      <c r="L348" s="1620" t="s">
        <v>270</v>
      </c>
      <c r="M348" s="1620" t="s">
        <v>270</v>
      </c>
      <c r="N348" s="1620" t="s">
        <v>270</v>
      </c>
      <c r="O348" s="1620" t="s">
        <v>270</v>
      </c>
      <c r="P348" s="1620" t="s">
        <v>270</v>
      </c>
      <c r="Q348" s="1603"/>
      <c r="R348" s="1620" t="s">
        <v>270</v>
      </c>
      <c r="S348" s="1620" t="s">
        <v>270</v>
      </c>
      <c r="T348" s="1620" t="s">
        <v>270</v>
      </c>
      <c r="U348" s="1620" t="s">
        <v>270</v>
      </c>
      <c r="V348" s="1620" t="s">
        <v>270</v>
      </c>
      <c r="W348" s="1620" t="s">
        <v>270</v>
      </c>
      <c r="X348" s="1620"/>
      <c r="Y348" s="1620" t="s">
        <v>270</v>
      </c>
      <c r="Z348" s="1620" t="s">
        <v>270</v>
      </c>
      <c r="AA348" s="1620" t="s">
        <v>270</v>
      </c>
      <c r="AB348" s="1620" t="s">
        <v>270</v>
      </c>
      <c r="AC348" s="1620" t="s">
        <v>270</v>
      </c>
      <c r="AD348" s="1620" t="s">
        <v>270</v>
      </c>
      <c r="AE348" s="1620" t="s">
        <v>270</v>
      </c>
      <c r="AF348" s="1620" t="s">
        <v>270</v>
      </c>
      <c r="AG348" s="1620" t="s">
        <v>270</v>
      </c>
      <c r="AH348" s="1620" t="s">
        <v>270</v>
      </c>
      <c r="AI348" s="1620" t="s">
        <v>270</v>
      </c>
      <c r="AJ348" s="1620" t="s">
        <v>270</v>
      </c>
      <c r="AK348" s="1620" t="s">
        <v>270</v>
      </c>
      <c r="AL348" s="1620"/>
      <c r="AM348" s="1620" t="s">
        <v>270</v>
      </c>
      <c r="AN348" s="1620" t="s">
        <v>270</v>
      </c>
      <c r="AO348" s="1620" t="s">
        <v>270</v>
      </c>
      <c r="AP348" s="1620" t="s">
        <v>270</v>
      </c>
      <c r="AQ348" s="1620" t="s">
        <v>270</v>
      </c>
      <c r="AR348" s="1620" t="s">
        <v>270</v>
      </c>
      <c r="AS348" s="1620" t="s">
        <v>270</v>
      </c>
      <c r="AT348" s="1620" t="s">
        <v>270</v>
      </c>
      <c r="AU348" s="1620" t="s">
        <v>270</v>
      </c>
      <c r="AV348" s="1620" t="s">
        <v>270</v>
      </c>
      <c r="AW348" s="1620" t="s">
        <v>270</v>
      </c>
      <c r="AX348" s="1620"/>
      <c r="AY348" s="1620" t="s">
        <v>986</v>
      </c>
      <c r="AZ348" s="1620" t="s">
        <v>986</v>
      </c>
      <c r="BA348" s="1620" t="s">
        <v>986</v>
      </c>
      <c r="BB348" s="1620" t="s">
        <v>986</v>
      </c>
      <c r="BC348" s="1620" t="s">
        <v>986</v>
      </c>
      <c r="BD348" s="1620" t="s">
        <v>986</v>
      </c>
      <c r="BE348" s="1620" t="s">
        <v>986</v>
      </c>
      <c r="BF348" s="1620" t="s">
        <v>986</v>
      </c>
      <c r="BG348" s="1620" t="s">
        <v>986</v>
      </c>
      <c r="BH348" s="1620" t="s">
        <v>986</v>
      </c>
      <c r="BI348" s="1620" t="s">
        <v>986</v>
      </c>
      <c r="BJ348" s="1603"/>
      <c r="BK348" s="1620" t="s">
        <v>270</v>
      </c>
      <c r="BL348" s="1620" t="s">
        <v>270</v>
      </c>
      <c r="BM348" s="1620" t="s">
        <v>270</v>
      </c>
      <c r="BN348" s="1620" t="s">
        <v>270</v>
      </c>
      <c r="BO348" s="1620"/>
      <c r="BP348" s="1620" t="s">
        <v>270</v>
      </c>
      <c r="BQ348" s="1620" t="s">
        <v>270</v>
      </c>
      <c r="BR348" s="1620" t="s">
        <v>270</v>
      </c>
      <c r="BS348" s="1620" t="s">
        <v>270</v>
      </c>
      <c r="BT348" s="1603"/>
      <c r="BU348" s="1620" t="s">
        <v>270</v>
      </c>
      <c r="BV348" s="1620" t="s">
        <v>270</v>
      </c>
      <c r="BW348" s="1620" t="s">
        <v>270</v>
      </c>
      <c r="BX348" s="1620" t="s">
        <v>270</v>
      </c>
      <c r="BY348" s="1620" t="s">
        <v>270</v>
      </c>
      <c r="BZ348" s="1620" t="s">
        <v>270</v>
      </c>
      <c r="CA348" s="1620" t="s">
        <v>270</v>
      </c>
      <c r="CB348" s="1603"/>
      <c r="CC348" s="1603" t="s">
        <v>270</v>
      </c>
      <c r="CD348" s="1603" t="s">
        <v>270</v>
      </c>
      <c r="CE348" s="1603" t="s">
        <v>270</v>
      </c>
      <c r="CF348" s="1603" t="s">
        <v>270</v>
      </c>
      <c r="CG348" s="1603" t="s">
        <v>270</v>
      </c>
      <c r="CH348" s="1603" t="s">
        <v>270</v>
      </c>
      <c r="CI348" s="1603" t="s">
        <v>270</v>
      </c>
      <c r="CJ348" s="1603"/>
      <c r="CK348" s="1603" t="s">
        <v>270</v>
      </c>
      <c r="CL348" s="1603" t="s">
        <v>270</v>
      </c>
      <c r="CM348" s="1603" t="s">
        <v>270</v>
      </c>
      <c r="CN348" s="1603" t="s">
        <v>270</v>
      </c>
      <c r="CO348" s="1603" t="s">
        <v>270</v>
      </c>
      <c r="CP348" s="1603" t="s">
        <v>270</v>
      </c>
      <c r="CQ348" s="1603" t="s">
        <v>270</v>
      </c>
      <c r="CR348" s="1603" t="s">
        <v>270</v>
      </c>
      <c r="CS348" s="1603" t="s">
        <v>270</v>
      </c>
      <c r="CT348" s="1603" t="s">
        <v>270</v>
      </c>
      <c r="CU348" s="1603" t="s">
        <v>270</v>
      </c>
      <c r="CV348" s="1603" t="s">
        <v>270</v>
      </c>
      <c r="CW348" s="1603" t="s">
        <v>270</v>
      </c>
      <c r="CX348" s="1603" t="s">
        <v>270</v>
      </c>
      <c r="CY348" s="1603" t="s">
        <v>270</v>
      </c>
      <c r="CZ348" s="1603" t="s">
        <v>270</v>
      </c>
      <c r="DA348" s="1603" t="s">
        <v>270</v>
      </c>
      <c r="DB348" s="1603" t="s">
        <v>270</v>
      </c>
      <c r="DC348" s="1603" t="s">
        <v>270</v>
      </c>
      <c r="DD348" s="1603" t="s">
        <v>270</v>
      </c>
      <c r="DE348" s="1603" t="s">
        <v>270</v>
      </c>
      <c r="DF348" s="1603" t="s">
        <v>270</v>
      </c>
      <c r="DG348" s="1603" t="s">
        <v>270</v>
      </c>
      <c r="DH348" s="1619" t="s">
        <v>270</v>
      </c>
      <c r="DI348" s="1603" t="s">
        <v>270</v>
      </c>
      <c r="DJ348" s="1603" t="s">
        <v>270</v>
      </c>
      <c r="DK348" s="1603" t="s">
        <v>270</v>
      </c>
      <c r="DL348" s="1603" t="s">
        <v>270</v>
      </c>
      <c r="DM348" s="1603" t="s">
        <v>270</v>
      </c>
      <c r="DN348" s="1603" t="s">
        <v>270</v>
      </c>
      <c r="DO348" s="1603" t="s">
        <v>270</v>
      </c>
      <c r="DP348" s="1603" t="s">
        <v>270</v>
      </c>
      <c r="DQ348" s="1603" t="s">
        <v>270</v>
      </c>
      <c r="DR348" s="1603" t="s">
        <v>270</v>
      </c>
      <c r="DS348" s="1603" t="s">
        <v>270</v>
      </c>
      <c r="DT348" s="1603" t="s">
        <v>270</v>
      </c>
      <c r="DU348" s="1603" t="s">
        <v>270</v>
      </c>
      <c r="DV348" s="1603" t="s">
        <v>270</v>
      </c>
      <c r="DW348" s="1618" t="s">
        <v>986</v>
      </c>
      <c r="DX348" s="1605" t="s">
        <v>986</v>
      </c>
      <c r="DY348" s="1605" t="s">
        <v>986</v>
      </c>
      <c r="DZ348" s="1605" t="s">
        <v>986</v>
      </c>
      <c r="EA348" s="1605" t="s">
        <v>986</v>
      </c>
      <c r="EB348" s="1605" t="s">
        <v>986</v>
      </c>
      <c r="EC348" s="1605" t="s">
        <v>986</v>
      </c>
      <c r="ED348" s="1605" t="s">
        <v>986</v>
      </c>
      <c r="EE348" s="1605" t="s">
        <v>986</v>
      </c>
      <c r="EF348" s="1605" t="s">
        <v>986</v>
      </c>
      <c r="EG348" s="1605" t="s">
        <v>986</v>
      </c>
      <c r="EH348" s="1605" t="s">
        <v>986</v>
      </c>
      <c r="EI348" s="1605" t="s">
        <v>986</v>
      </c>
      <c r="EJ348" s="1605" t="s">
        <v>986</v>
      </c>
      <c r="EK348" s="1605" t="s">
        <v>986</v>
      </c>
      <c r="EL348" s="1605" t="s">
        <v>986</v>
      </c>
      <c r="EM348" s="1605" t="s">
        <v>986</v>
      </c>
      <c r="EN348" s="1605" t="s">
        <v>986</v>
      </c>
      <c r="EO348" s="1605" t="s">
        <v>986</v>
      </c>
      <c r="EP348" s="1605" t="s">
        <v>986</v>
      </c>
      <c r="EQ348" s="1605" t="s">
        <v>986</v>
      </c>
      <c r="ER348" s="1605" t="s">
        <v>986</v>
      </c>
      <c r="ES348" s="1605" t="s">
        <v>986</v>
      </c>
      <c r="ET348" s="1605" t="s">
        <v>986</v>
      </c>
      <c r="EU348" s="1605" t="s">
        <v>986</v>
      </c>
      <c r="EV348" s="1605" t="s">
        <v>986</v>
      </c>
      <c r="EW348" s="1605" t="s">
        <v>986</v>
      </c>
      <c r="EX348" s="1605" t="s">
        <v>986</v>
      </c>
      <c r="EY348" s="1605" t="s">
        <v>986</v>
      </c>
      <c r="EZ348" s="1605" t="s">
        <v>986</v>
      </c>
      <c r="FA348" s="1605" t="s">
        <v>986</v>
      </c>
      <c r="FB348" s="1605" t="s">
        <v>986</v>
      </c>
      <c r="FC348" s="1605" t="s">
        <v>986</v>
      </c>
      <c r="FD348" s="1605" t="s">
        <v>986</v>
      </c>
      <c r="FE348" s="1605" t="s">
        <v>986</v>
      </c>
      <c r="FF348" s="1605" t="s">
        <v>986</v>
      </c>
      <c r="FG348" s="1605" t="s">
        <v>986</v>
      </c>
      <c r="FH348" s="1605" t="s">
        <v>986</v>
      </c>
      <c r="FI348" s="1605" t="s">
        <v>986</v>
      </c>
      <c r="FJ348" s="1605" t="s">
        <v>986</v>
      </c>
      <c r="FK348" s="1605" t="s">
        <v>986</v>
      </c>
      <c r="FL348" s="1605" t="s">
        <v>986</v>
      </c>
      <c r="FM348" s="1605" t="s">
        <v>986</v>
      </c>
      <c r="FN348" s="1605" t="s">
        <v>986</v>
      </c>
      <c r="FO348" s="1605" t="s">
        <v>986</v>
      </c>
      <c r="FP348" s="1605" t="s">
        <v>986</v>
      </c>
      <c r="FQ348" s="1605" t="s">
        <v>986</v>
      </c>
      <c r="FR348" s="1605" t="s">
        <v>986</v>
      </c>
      <c r="FS348" s="1605" t="s">
        <v>986</v>
      </c>
      <c r="FT348" s="1605" t="s">
        <v>986</v>
      </c>
      <c r="FU348" s="1605" t="s">
        <v>986</v>
      </c>
      <c r="FV348" s="1605" t="s">
        <v>986</v>
      </c>
      <c r="FW348" s="1605" t="s">
        <v>986</v>
      </c>
      <c r="FX348" s="1605" t="s">
        <v>986</v>
      </c>
      <c r="FY348" s="1605" t="s">
        <v>986</v>
      </c>
      <c r="FZ348" s="1605" t="s">
        <v>986</v>
      </c>
      <c r="GA348" s="1605" t="s">
        <v>986</v>
      </c>
      <c r="GB348" s="1605" t="s">
        <v>986</v>
      </c>
      <c r="GC348" s="1605" t="s">
        <v>986</v>
      </c>
      <c r="GD348" s="1605" t="s">
        <v>986</v>
      </c>
      <c r="GE348" s="1605" t="s">
        <v>986</v>
      </c>
      <c r="GF348" s="1605" t="s">
        <v>986</v>
      </c>
      <c r="GG348" s="1605" t="s">
        <v>986</v>
      </c>
      <c r="GH348" s="1605" t="s">
        <v>986</v>
      </c>
      <c r="GI348" s="1605" t="s">
        <v>986</v>
      </c>
      <c r="GJ348" s="1605" t="s">
        <v>986</v>
      </c>
      <c r="GK348" s="1605" t="s">
        <v>986</v>
      </c>
      <c r="GL348" s="1605" t="s">
        <v>986</v>
      </c>
      <c r="GM348" s="1605" t="s">
        <v>986</v>
      </c>
      <c r="GN348" s="1605" t="s">
        <v>986</v>
      </c>
      <c r="GO348" s="1605" t="s">
        <v>986</v>
      </c>
      <c r="GP348" s="1605" t="s">
        <v>986</v>
      </c>
      <c r="GQ348" s="1605" t="s">
        <v>986</v>
      </c>
      <c r="GR348" s="1605" t="s">
        <v>986</v>
      </c>
      <c r="GS348" s="1605" t="s">
        <v>986</v>
      </c>
      <c r="GT348" s="1605" t="s">
        <v>986</v>
      </c>
      <c r="GU348" s="1605" t="s">
        <v>986</v>
      </c>
      <c r="GV348" s="1605" t="s">
        <v>986</v>
      </c>
      <c r="GW348" s="1605" t="s">
        <v>986</v>
      </c>
      <c r="GX348" s="1605" t="s">
        <v>986</v>
      </c>
      <c r="GY348" s="1605" t="s">
        <v>986</v>
      </c>
      <c r="GZ348" s="1605" t="s">
        <v>986</v>
      </c>
      <c r="HA348" s="1605" t="s">
        <v>986</v>
      </c>
      <c r="HB348" s="1605" t="s">
        <v>986</v>
      </c>
      <c r="HC348" s="1605" t="s">
        <v>986</v>
      </c>
      <c r="HD348" s="1605" t="s">
        <v>986</v>
      </c>
      <c r="HE348" s="1605" t="s">
        <v>986</v>
      </c>
      <c r="HF348" s="1605" t="s">
        <v>986</v>
      </c>
      <c r="HG348" s="1605" t="s">
        <v>986</v>
      </c>
      <c r="HH348" s="1605" t="s">
        <v>986</v>
      </c>
      <c r="HI348" s="1605" t="s">
        <v>986</v>
      </c>
      <c r="HJ348" s="1605" t="s">
        <v>986</v>
      </c>
      <c r="HK348" s="1605" t="s">
        <v>986</v>
      </c>
      <c r="HL348" s="1605" t="s">
        <v>986</v>
      </c>
      <c r="HM348" s="1605" t="s">
        <v>986</v>
      </c>
      <c r="HN348" s="1605" t="s">
        <v>986</v>
      </c>
      <c r="HO348" s="1605" t="s">
        <v>986</v>
      </c>
      <c r="HP348" s="1605" t="s">
        <v>986</v>
      </c>
      <c r="HQ348" s="1605" t="s">
        <v>986</v>
      </c>
      <c r="HR348" s="1605" t="s">
        <v>986</v>
      </c>
      <c r="HS348" s="1605" t="s">
        <v>986</v>
      </c>
      <c r="HT348" s="1605" t="s">
        <v>986</v>
      </c>
      <c r="HU348" s="1605" t="s">
        <v>986</v>
      </c>
      <c r="HV348" s="1617"/>
      <c r="HW348" s="1617" t="s">
        <v>986</v>
      </c>
      <c r="HX348" s="1617" t="s">
        <v>986</v>
      </c>
      <c r="HY348" s="1617" t="s">
        <v>986</v>
      </c>
      <c r="HZ348" s="1603"/>
      <c r="IA348" s="1603"/>
      <c r="IB348" s="1603"/>
      <c r="IC348" s="1603" t="s">
        <v>270</v>
      </c>
      <c r="ID348" s="1603" t="s">
        <v>270</v>
      </c>
      <c r="IE348" s="1603" t="s">
        <v>270</v>
      </c>
      <c r="IF348" s="1603" t="s">
        <v>270</v>
      </c>
      <c r="IG348" s="1611" t="s">
        <v>270</v>
      </c>
      <c r="IH348" s="1616" t="s">
        <v>270</v>
      </c>
      <c r="II348" s="1615" t="s">
        <v>270</v>
      </c>
      <c r="IJ348" s="1613" t="s">
        <v>270</v>
      </c>
      <c r="IK348" s="1613" t="s">
        <v>270</v>
      </c>
      <c r="IL348" s="1614" t="s">
        <v>270</v>
      </c>
      <c r="IM348" s="1614" t="s">
        <v>270</v>
      </c>
      <c r="IN348" s="1612" t="s">
        <v>270</v>
      </c>
      <c r="IO348" s="1613" t="s">
        <v>270</v>
      </c>
      <c r="IP348" s="1607" t="s">
        <v>270</v>
      </c>
      <c r="IQ348" s="1612" t="s">
        <v>270</v>
      </c>
      <c r="IR348" s="1612" t="s">
        <v>270</v>
      </c>
      <c r="IS348" s="1607" t="s">
        <v>270</v>
      </c>
      <c r="IT348" s="1607" t="s">
        <v>270</v>
      </c>
      <c r="IU348" s="1611" t="s">
        <v>270</v>
      </c>
      <c r="IV348" s="1611" t="s">
        <v>270</v>
      </c>
      <c r="IW348" s="1611" t="s">
        <v>270</v>
      </c>
      <c r="IX348" s="1611" t="s">
        <v>270</v>
      </c>
      <c r="IY348" s="1611" t="s">
        <v>270</v>
      </c>
      <c r="IZ348" s="1611" t="s">
        <v>270</v>
      </c>
      <c r="JA348" s="1611" t="s">
        <v>270</v>
      </c>
      <c r="JB348" s="1611" t="s">
        <v>270</v>
      </c>
      <c r="JC348" s="1611" t="s">
        <v>270</v>
      </c>
      <c r="JD348" s="1611" t="s">
        <v>270</v>
      </c>
      <c r="JE348" s="1611" t="s">
        <v>270</v>
      </c>
      <c r="JF348" s="1611" t="s">
        <v>270</v>
      </c>
      <c r="JG348" s="1611" t="s">
        <v>270</v>
      </c>
      <c r="JH348" s="1611" t="s">
        <v>270</v>
      </c>
      <c r="JI348" s="1611" t="s">
        <v>270</v>
      </c>
      <c r="JJ348" s="1611" t="s">
        <v>270</v>
      </c>
      <c r="JK348" s="1607" t="str">
        <f t="shared" si="14"/>
        <v/>
      </c>
      <c r="JL348" s="1608" t="s">
        <v>270</v>
      </c>
      <c r="JM348" s="1610" t="s">
        <v>270</v>
      </c>
      <c r="JN348" s="1608" t="s">
        <v>270</v>
      </c>
      <c r="JO348" s="1609" t="s">
        <v>270</v>
      </c>
      <c r="JP348" s="1608" t="s">
        <v>270</v>
      </c>
      <c r="JQ348" s="1607" t="s">
        <v>270</v>
      </c>
      <c r="JR348" s="1606" t="s">
        <v>270</v>
      </c>
      <c r="JS348" s="1606" t="s">
        <v>270</v>
      </c>
      <c r="JT348" s="1606" t="s">
        <v>270</v>
      </c>
    </row>
    <row r="349" spans="1:280" ht="15" customHeight="1" x14ac:dyDescent="0.2">
      <c r="A349" s="1626" t="s">
        <v>270</v>
      </c>
      <c r="B349" s="1625" t="s">
        <v>270</v>
      </c>
      <c r="C349" s="1624" t="s">
        <v>270</v>
      </c>
      <c r="D349" s="1623" t="s">
        <v>270</v>
      </c>
      <c r="E349" s="1622" t="s">
        <v>270</v>
      </c>
      <c r="F349" s="1620" t="s">
        <v>270</v>
      </c>
      <c r="G349" s="1620" t="s">
        <v>270</v>
      </c>
      <c r="H349" s="1621" t="s">
        <v>270</v>
      </c>
      <c r="I349" s="1621" t="s">
        <v>270</v>
      </c>
      <c r="J349" s="1621" t="s">
        <v>270</v>
      </c>
      <c r="K349" s="1620" t="s">
        <v>270</v>
      </c>
      <c r="L349" s="1620" t="s">
        <v>270</v>
      </c>
      <c r="M349" s="1620" t="s">
        <v>270</v>
      </c>
      <c r="N349" s="1620" t="s">
        <v>270</v>
      </c>
      <c r="O349" s="1620" t="s">
        <v>270</v>
      </c>
      <c r="P349" s="1620" t="s">
        <v>270</v>
      </c>
      <c r="Q349" s="1603"/>
      <c r="R349" s="1620" t="s">
        <v>270</v>
      </c>
      <c r="S349" s="1620" t="s">
        <v>270</v>
      </c>
      <c r="T349" s="1620" t="s">
        <v>270</v>
      </c>
      <c r="U349" s="1620" t="s">
        <v>270</v>
      </c>
      <c r="V349" s="1620" t="s">
        <v>270</v>
      </c>
      <c r="W349" s="1620" t="s">
        <v>270</v>
      </c>
      <c r="X349" s="1620"/>
      <c r="Y349" s="1620" t="s">
        <v>270</v>
      </c>
      <c r="Z349" s="1620" t="s">
        <v>270</v>
      </c>
      <c r="AA349" s="1620" t="s">
        <v>270</v>
      </c>
      <c r="AB349" s="1620" t="s">
        <v>270</v>
      </c>
      <c r="AC349" s="1620" t="s">
        <v>270</v>
      </c>
      <c r="AD349" s="1620" t="s">
        <v>270</v>
      </c>
      <c r="AE349" s="1620" t="s">
        <v>270</v>
      </c>
      <c r="AF349" s="1620" t="s">
        <v>270</v>
      </c>
      <c r="AG349" s="1620" t="s">
        <v>270</v>
      </c>
      <c r="AH349" s="1620" t="s">
        <v>270</v>
      </c>
      <c r="AI349" s="1620" t="s">
        <v>270</v>
      </c>
      <c r="AJ349" s="1620" t="s">
        <v>270</v>
      </c>
      <c r="AK349" s="1620" t="s">
        <v>270</v>
      </c>
      <c r="AL349" s="1620"/>
      <c r="AM349" s="1620" t="s">
        <v>270</v>
      </c>
      <c r="AN349" s="1620" t="s">
        <v>270</v>
      </c>
      <c r="AO349" s="1620" t="s">
        <v>270</v>
      </c>
      <c r="AP349" s="1620" t="s">
        <v>270</v>
      </c>
      <c r="AQ349" s="1620" t="s">
        <v>270</v>
      </c>
      <c r="AR349" s="1620" t="s">
        <v>270</v>
      </c>
      <c r="AS349" s="1620" t="s">
        <v>270</v>
      </c>
      <c r="AT349" s="1620" t="s">
        <v>270</v>
      </c>
      <c r="AU349" s="1620" t="s">
        <v>270</v>
      </c>
      <c r="AV349" s="1620" t="s">
        <v>270</v>
      </c>
      <c r="AW349" s="1620" t="s">
        <v>270</v>
      </c>
      <c r="AX349" s="1620"/>
      <c r="AY349" s="1620" t="s">
        <v>986</v>
      </c>
      <c r="AZ349" s="1620" t="s">
        <v>986</v>
      </c>
      <c r="BA349" s="1620" t="s">
        <v>986</v>
      </c>
      <c r="BB349" s="1620" t="s">
        <v>986</v>
      </c>
      <c r="BC349" s="1620" t="s">
        <v>986</v>
      </c>
      <c r="BD349" s="1620" t="s">
        <v>986</v>
      </c>
      <c r="BE349" s="1620" t="s">
        <v>986</v>
      </c>
      <c r="BF349" s="1620" t="s">
        <v>986</v>
      </c>
      <c r="BG349" s="1620" t="s">
        <v>986</v>
      </c>
      <c r="BH349" s="1620" t="s">
        <v>986</v>
      </c>
      <c r="BI349" s="1620" t="s">
        <v>986</v>
      </c>
      <c r="BJ349" s="1603"/>
      <c r="BK349" s="1620" t="s">
        <v>270</v>
      </c>
      <c r="BL349" s="1620" t="s">
        <v>270</v>
      </c>
      <c r="BM349" s="1620" t="s">
        <v>270</v>
      </c>
      <c r="BN349" s="1620" t="s">
        <v>270</v>
      </c>
      <c r="BO349" s="1620"/>
      <c r="BP349" s="1620" t="s">
        <v>270</v>
      </c>
      <c r="BQ349" s="1620" t="s">
        <v>270</v>
      </c>
      <c r="BR349" s="1620" t="s">
        <v>270</v>
      </c>
      <c r="BS349" s="1620" t="s">
        <v>270</v>
      </c>
      <c r="BT349" s="1603"/>
      <c r="BU349" s="1620" t="s">
        <v>270</v>
      </c>
      <c r="BV349" s="1620" t="s">
        <v>270</v>
      </c>
      <c r="BW349" s="1620" t="s">
        <v>270</v>
      </c>
      <c r="BX349" s="1620" t="s">
        <v>270</v>
      </c>
      <c r="BY349" s="1620" t="s">
        <v>270</v>
      </c>
      <c r="BZ349" s="1620" t="s">
        <v>270</v>
      </c>
      <c r="CA349" s="1620" t="s">
        <v>270</v>
      </c>
      <c r="CB349" s="1603"/>
      <c r="CC349" s="1603" t="s">
        <v>270</v>
      </c>
      <c r="CD349" s="1603" t="s">
        <v>270</v>
      </c>
      <c r="CE349" s="1603" t="s">
        <v>270</v>
      </c>
      <c r="CF349" s="1603" t="s">
        <v>270</v>
      </c>
      <c r="CG349" s="1603" t="s">
        <v>270</v>
      </c>
      <c r="CH349" s="1603" t="s">
        <v>270</v>
      </c>
      <c r="CI349" s="1603" t="s">
        <v>270</v>
      </c>
      <c r="CJ349" s="1603"/>
      <c r="CK349" s="1603" t="s">
        <v>270</v>
      </c>
      <c r="CL349" s="1603" t="s">
        <v>270</v>
      </c>
      <c r="CM349" s="1603" t="s">
        <v>270</v>
      </c>
      <c r="CN349" s="1603" t="s">
        <v>270</v>
      </c>
      <c r="CO349" s="1603" t="s">
        <v>270</v>
      </c>
      <c r="CP349" s="1603" t="s">
        <v>270</v>
      </c>
      <c r="CQ349" s="1603" t="s">
        <v>270</v>
      </c>
      <c r="CR349" s="1603" t="s">
        <v>270</v>
      </c>
      <c r="CS349" s="1603" t="s">
        <v>270</v>
      </c>
      <c r="CT349" s="1603" t="s">
        <v>270</v>
      </c>
      <c r="CU349" s="1603" t="s">
        <v>270</v>
      </c>
      <c r="CV349" s="1603" t="s">
        <v>270</v>
      </c>
      <c r="CW349" s="1603" t="s">
        <v>270</v>
      </c>
      <c r="CX349" s="1603" t="s">
        <v>270</v>
      </c>
      <c r="CY349" s="1603" t="s">
        <v>270</v>
      </c>
      <c r="CZ349" s="1603" t="s">
        <v>270</v>
      </c>
      <c r="DA349" s="1603" t="s">
        <v>270</v>
      </c>
      <c r="DB349" s="1603" t="s">
        <v>270</v>
      </c>
      <c r="DC349" s="1603" t="s">
        <v>270</v>
      </c>
      <c r="DD349" s="1603" t="s">
        <v>270</v>
      </c>
      <c r="DE349" s="1603" t="s">
        <v>270</v>
      </c>
      <c r="DF349" s="1603" t="s">
        <v>270</v>
      </c>
      <c r="DG349" s="1603" t="s">
        <v>270</v>
      </c>
      <c r="DH349" s="1619" t="s">
        <v>270</v>
      </c>
      <c r="DI349" s="1603" t="s">
        <v>270</v>
      </c>
      <c r="DJ349" s="1603" t="s">
        <v>270</v>
      </c>
      <c r="DK349" s="1603" t="s">
        <v>270</v>
      </c>
      <c r="DL349" s="1603" t="s">
        <v>270</v>
      </c>
      <c r="DM349" s="1603" t="s">
        <v>270</v>
      </c>
      <c r="DN349" s="1603" t="s">
        <v>270</v>
      </c>
      <c r="DO349" s="1603" t="s">
        <v>270</v>
      </c>
      <c r="DP349" s="1603" t="s">
        <v>270</v>
      </c>
      <c r="DQ349" s="1603" t="s">
        <v>270</v>
      </c>
      <c r="DR349" s="1603" t="s">
        <v>270</v>
      </c>
      <c r="DS349" s="1603" t="s">
        <v>270</v>
      </c>
      <c r="DT349" s="1603" t="s">
        <v>270</v>
      </c>
      <c r="DU349" s="1603" t="s">
        <v>270</v>
      </c>
      <c r="DV349" s="1603" t="s">
        <v>270</v>
      </c>
      <c r="DW349" s="1618" t="s">
        <v>986</v>
      </c>
      <c r="DX349" s="1605" t="s">
        <v>986</v>
      </c>
      <c r="DY349" s="1605" t="s">
        <v>986</v>
      </c>
      <c r="DZ349" s="1605" t="s">
        <v>986</v>
      </c>
      <c r="EA349" s="1605" t="s">
        <v>986</v>
      </c>
      <c r="EB349" s="1605" t="s">
        <v>986</v>
      </c>
      <c r="EC349" s="1605" t="s">
        <v>986</v>
      </c>
      <c r="ED349" s="1605" t="s">
        <v>986</v>
      </c>
      <c r="EE349" s="1605" t="s">
        <v>986</v>
      </c>
      <c r="EF349" s="1605" t="s">
        <v>986</v>
      </c>
      <c r="EG349" s="1605" t="s">
        <v>986</v>
      </c>
      <c r="EH349" s="1605" t="s">
        <v>986</v>
      </c>
      <c r="EI349" s="1605" t="s">
        <v>986</v>
      </c>
      <c r="EJ349" s="1605" t="s">
        <v>986</v>
      </c>
      <c r="EK349" s="1605" t="s">
        <v>986</v>
      </c>
      <c r="EL349" s="1605" t="s">
        <v>986</v>
      </c>
      <c r="EM349" s="1605" t="s">
        <v>986</v>
      </c>
      <c r="EN349" s="1605" t="s">
        <v>986</v>
      </c>
      <c r="EO349" s="1605" t="s">
        <v>986</v>
      </c>
      <c r="EP349" s="1605" t="s">
        <v>986</v>
      </c>
      <c r="EQ349" s="1605" t="s">
        <v>986</v>
      </c>
      <c r="ER349" s="1605" t="s">
        <v>986</v>
      </c>
      <c r="ES349" s="1605" t="s">
        <v>986</v>
      </c>
      <c r="ET349" s="1605" t="s">
        <v>986</v>
      </c>
      <c r="EU349" s="1605" t="s">
        <v>986</v>
      </c>
      <c r="EV349" s="1605" t="s">
        <v>986</v>
      </c>
      <c r="EW349" s="1605" t="s">
        <v>986</v>
      </c>
      <c r="EX349" s="1605" t="s">
        <v>986</v>
      </c>
      <c r="EY349" s="1605" t="s">
        <v>986</v>
      </c>
      <c r="EZ349" s="1605" t="s">
        <v>986</v>
      </c>
      <c r="FA349" s="1605" t="s">
        <v>986</v>
      </c>
      <c r="FB349" s="1605" t="s">
        <v>986</v>
      </c>
      <c r="FC349" s="1605" t="s">
        <v>986</v>
      </c>
      <c r="FD349" s="1605" t="s">
        <v>986</v>
      </c>
      <c r="FE349" s="1605" t="s">
        <v>986</v>
      </c>
      <c r="FF349" s="1605" t="s">
        <v>986</v>
      </c>
      <c r="FG349" s="1605" t="s">
        <v>986</v>
      </c>
      <c r="FH349" s="1605" t="s">
        <v>986</v>
      </c>
      <c r="FI349" s="1605" t="s">
        <v>986</v>
      </c>
      <c r="FJ349" s="1605" t="s">
        <v>986</v>
      </c>
      <c r="FK349" s="1605" t="s">
        <v>986</v>
      </c>
      <c r="FL349" s="1605" t="s">
        <v>986</v>
      </c>
      <c r="FM349" s="1605" t="s">
        <v>986</v>
      </c>
      <c r="FN349" s="1605" t="s">
        <v>986</v>
      </c>
      <c r="FO349" s="1605" t="s">
        <v>986</v>
      </c>
      <c r="FP349" s="1605" t="s">
        <v>986</v>
      </c>
      <c r="FQ349" s="1605" t="s">
        <v>986</v>
      </c>
      <c r="FR349" s="1605" t="s">
        <v>986</v>
      </c>
      <c r="FS349" s="1605" t="s">
        <v>986</v>
      </c>
      <c r="FT349" s="1605" t="s">
        <v>986</v>
      </c>
      <c r="FU349" s="1605" t="s">
        <v>986</v>
      </c>
      <c r="FV349" s="1605" t="s">
        <v>986</v>
      </c>
      <c r="FW349" s="1605" t="s">
        <v>986</v>
      </c>
      <c r="FX349" s="1605" t="s">
        <v>986</v>
      </c>
      <c r="FY349" s="1605" t="s">
        <v>986</v>
      </c>
      <c r="FZ349" s="1605" t="s">
        <v>986</v>
      </c>
      <c r="GA349" s="1605" t="s">
        <v>986</v>
      </c>
      <c r="GB349" s="1605" t="s">
        <v>986</v>
      </c>
      <c r="GC349" s="1605" t="s">
        <v>986</v>
      </c>
      <c r="GD349" s="1605" t="s">
        <v>986</v>
      </c>
      <c r="GE349" s="1605" t="s">
        <v>986</v>
      </c>
      <c r="GF349" s="1605" t="s">
        <v>986</v>
      </c>
      <c r="GG349" s="1605" t="s">
        <v>986</v>
      </c>
      <c r="GH349" s="1605" t="s">
        <v>986</v>
      </c>
      <c r="GI349" s="1605" t="s">
        <v>986</v>
      </c>
      <c r="GJ349" s="1605" t="s">
        <v>986</v>
      </c>
      <c r="GK349" s="1605" t="s">
        <v>986</v>
      </c>
      <c r="GL349" s="1605" t="s">
        <v>986</v>
      </c>
      <c r="GM349" s="1605" t="s">
        <v>986</v>
      </c>
      <c r="GN349" s="1605" t="s">
        <v>986</v>
      </c>
      <c r="GO349" s="1605" t="s">
        <v>986</v>
      </c>
      <c r="GP349" s="1605" t="s">
        <v>986</v>
      </c>
      <c r="GQ349" s="1605" t="s">
        <v>986</v>
      </c>
      <c r="GR349" s="1605" t="s">
        <v>986</v>
      </c>
      <c r="GS349" s="1605" t="s">
        <v>986</v>
      </c>
      <c r="GT349" s="1605" t="s">
        <v>986</v>
      </c>
      <c r="GU349" s="1605" t="s">
        <v>986</v>
      </c>
      <c r="GV349" s="1605" t="s">
        <v>986</v>
      </c>
      <c r="GW349" s="1605" t="s">
        <v>986</v>
      </c>
      <c r="GX349" s="1605" t="s">
        <v>986</v>
      </c>
      <c r="GY349" s="1605" t="s">
        <v>986</v>
      </c>
      <c r="GZ349" s="1605" t="s">
        <v>986</v>
      </c>
      <c r="HA349" s="1605" t="s">
        <v>986</v>
      </c>
      <c r="HB349" s="1605" t="s">
        <v>986</v>
      </c>
      <c r="HC349" s="1605" t="s">
        <v>986</v>
      </c>
      <c r="HD349" s="1605" t="s">
        <v>986</v>
      </c>
      <c r="HE349" s="1605" t="s">
        <v>986</v>
      </c>
      <c r="HF349" s="1605" t="s">
        <v>986</v>
      </c>
      <c r="HG349" s="1605" t="s">
        <v>986</v>
      </c>
      <c r="HH349" s="1605" t="s">
        <v>986</v>
      </c>
      <c r="HI349" s="1605" t="s">
        <v>986</v>
      </c>
      <c r="HJ349" s="1605" t="s">
        <v>986</v>
      </c>
      <c r="HK349" s="1605" t="s">
        <v>986</v>
      </c>
      <c r="HL349" s="1605" t="s">
        <v>986</v>
      </c>
      <c r="HM349" s="1605" t="s">
        <v>986</v>
      </c>
      <c r="HN349" s="1605" t="s">
        <v>986</v>
      </c>
      <c r="HO349" s="1605" t="s">
        <v>986</v>
      </c>
      <c r="HP349" s="1605" t="s">
        <v>986</v>
      </c>
      <c r="HQ349" s="1605" t="s">
        <v>986</v>
      </c>
      <c r="HR349" s="1605" t="s">
        <v>986</v>
      </c>
      <c r="HS349" s="1605" t="s">
        <v>986</v>
      </c>
      <c r="HT349" s="1605" t="s">
        <v>986</v>
      </c>
      <c r="HU349" s="1605" t="s">
        <v>986</v>
      </c>
      <c r="HV349" s="1617"/>
      <c r="HW349" s="1617" t="s">
        <v>986</v>
      </c>
      <c r="HX349" s="1617" t="s">
        <v>986</v>
      </c>
      <c r="HY349" s="1617" t="s">
        <v>986</v>
      </c>
      <c r="HZ349" s="1603"/>
      <c r="IA349" s="1603"/>
      <c r="IB349" s="1603"/>
      <c r="IC349" s="1603" t="s">
        <v>270</v>
      </c>
      <c r="ID349" s="1603" t="s">
        <v>270</v>
      </c>
      <c r="IE349" s="1603" t="s">
        <v>270</v>
      </c>
      <c r="IF349" s="1603" t="s">
        <v>270</v>
      </c>
      <c r="IG349" s="1611" t="s">
        <v>270</v>
      </c>
      <c r="IH349" s="1616" t="s">
        <v>270</v>
      </c>
      <c r="II349" s="1615" t="s">
        <v>270</v>
      </c>
      <c r="IJ349" s="1613" t="s">
        <v>270</v>
      </c>
      <c r="IK349" s="1613" t="s">
        <v>270</v>
      </c>
      <c r="IL349" s="1614" t="s">
        <v>270</v>
      </c>
      <c r="IM349" s="1614" t="s">
        <v>270</v>
      </c>
      <c r="IN349" s="1612" t="s">
        <v>270</v>
      </c>
      <c r="IO349" s="1613" t="s">
        <v>270</v>
      </c>
      <c r="IP349" s="1607" t="s">
        <v>270</v>
      </c>
      <c r="IQ349" s="1612" t="s">
        <v>270</v>
      </c>
      <c r="IR349" s="1612" t="s">
        <v>270</v>
      </c>
      <c r="IS349" s="1607" t="s">
        <v>270</v>
      </c>
      <c r="IT349" s="1607" t="s">
        <v>270</v>
      </c>
      <c r="IU349" s="1611" t="s">
        <v>270</v>
      </c>
      <c r="IV349" s="1611" t="s">
        <v>270</v>
      </c>
      <c r="IW349" s="1611" t="s">
        <v>270</v>
      </c>
      <c r="IX349" s="1611" t="s">
        <v>270</v>
      </c>
      <c r="IY349" s="1611" t="s">
        <v>270</v>
      </c>
      <c r="IZ349" s="1611" t="s">
        <v>270</v>
      </c>
      <c r="JA349" s="1611" t="s">
        <v>270</v>
      </c>
      <c r="JB349" s="1611" t="s">
        <v>270</v>
      </c>
      <c r="JC349" s="1611" t="s">
        <v>270</v>
      </c>
      <c r="JD349" s="1611" t="s">
        <v>270</v>
      </c>
      <c r="JE349" s="1611" t="s">
        <v>270</v>
      </c>
      <c r="JF349" s="1611" t="s">
        <v>270</v>
      </c>
      <c r="JG349" s="1611" t="s">
        <v>270</v>
      </c>
      <c r="JH349" s="1611" t="s">
        <v>270</v>
      </c>
      <c r="JI349" s="1611" t="s">
        <v>270</v>
      </c>
      <c r="JJ349" s="1611" t="s">
        <v>270</v>
      </c>
      <c r="JK349" s="1607" t="str">
        <f t="shared" si="14"/>
        <v/>
      </c>
      <c r="JL349" s="1608" t="s">
        <v>270</v>
      </c>
      <c r="JM349" s="1610" t="s">
        <v>270</v>
      </c>
      <c r="JN349" s="1608" t="s">
        <v>270</v>
      </c>
      <c r="JO349" s="1609" t="s">
        <v>270</v>
      </c>
      <c r="JP349" s="1608" t="s">
        <v>270</v>
      </c>
      <c r="JQ349" s="1607" t="s">
        <v>270</v>
      </c>
      <c r="JR349" s="1606" t="s">
        <v>270</v>
      </c>
      <c r="JS349" s="1606" t="s">
        <v>270</v>
      </c>
      <c r="JT349" s="1606" t="s">
        <v>270</v>
      </c>
    </row>
    <row r="350" spans="1:280" ht="15" customHeight="1" x14ac:dyDescent="0.2">
      <c r="A350" s="1626" t="s">
        <v>270</v>
      </c>
      <c r="B350" s="1625" t="s">
        <v>270</v>
      </c>
      <c r="C350" s="1624" t="s">
        <v>270</v>
      </c>
      <c r="D350" s="1623" t="s">
        <v>270</v>
      </c>
      <c r="E350" s="1622" t="s">
        <v>270</v>
      </c>
      <c r="F350" s="1620" t="s">
        <v>270</v>
      </c>
      <c r="G350" s="1620" t="s">
        <v>270</v>
      </c>
      <c r="H350" s="1621" t="s">
        <v>270</v>
      </c>
      <c r="I350" s="1621" t="s">
        <v>270</v>
      </c>
      <c r="J350" s="1621" t="s">
        <v>270</v>
      </c>
      <c r="K350" s="1620" t="s">
        <v>270</v>
      </c>
      <c r="L350" s="1620" t="s">
        <v>270</v>
      </c>
      <c r="M350" s="1620" t="s">
        <v>270</v>
      </c>
      <c r="N350" s="1620" t="s">
        <v>270</v>
      </c>
      <c r="O350" s="1620" t="s">
        <v>270</v>
      </c>
      <c r="P350" s="1620" t="s">
        <v>270</v>
      </c>
      <c r="Q350" s="1603"/>
      <c r="R350" s="1620" t="s">
        <v>270</v>
      </c>
      <c r="S350" s="1620" t="s">
        <v>270</v>
      </c>
      <c r="T350" s="1620" t="s">
        <v>270</v>
      </c>
      <c r="U350" s="1620" t="s">
        <v>270</v>
      </c>
      <c r="V350" s="1620" t="s">
        <v>270</v>
      </c>
      <c r="W350" s="1620" t="s">
        <v>270</v>
      </c>
      <c r="X350" s="1620"/>
      <c r="Y350" s="1620" t="s">
        <v>270</v>
      </c>
      <c r="Z350" s="1620" t="s">
        <v>270</v>
      </c>
      <c r="AA350" s="1620" t="s">
        <v>270</v>
      </c>
      <c r="AB350" s="1620" t="s">
        <v>270</v>
      </c>
      <c r="AC350" s="1620" t="s">
        <v>270</v>
      </c>
      <c r="AD350" s="1620" t="s">
        <v>270</v>
      </c>
      <c r="AE350" s="1620" t="s">
        <v>270</v>
      </c>
      <c r="AF350" s="1620" t="s">
        <v>270</v>
      </c>
      <c r="AG350" s="1620" t="s">
        <v>270</v>
      </c>
      <c r="AH350" s="1620" t="s">
        <v>270</v>
      </c>
      <c r="AI350" s="1620" t="s">
        <v>270</v>
      </c>
      <c r="AJ350" s="1620" t="s">
        <v>270</v>
      </c>
      <c r="AK350" s="1620" t="s">
        <v>270</v>
      </c>
      <c r="AL350" s="1620"/>
      <c r="AM350" s="1620" t="s">
        <v>270</v>
      </c>
      <c r="AN350" s="1620" t="s">
        <v>270</v>
      </c>
      <c r="AO350" s="1620" t="s">
        <v>270</v>
      </c>
      <c r="AP350" s="1620" t="s">
        <v>270</v>
      </c>
      <c r="AQ350" s="1620" t="s">
        <v>270</v>
      </c>
      <c r="AR350" s="1620" t="s">
        <v>270</v>
      </c>
      <c r="AS350" s="1620" t="s">
        <v>270</v>
      </c>
      <c r="AT350" s="1620" t="s">
        <v>270</v>
      </c>
      <c r="AU350" s="1620" t="s">
        <v>270</v>
      </c>
      <c r="AV350" s="1620" t="s">
        <v>270</v>
      </c>
      <c r="AW350" s="1620" t="s">
        <v>270</v>
      </c>
      <c r="AX350" s="1620"/>
      <c r="AY350" s="1620" t="s">
        <v>986</v>
      </c>
      <c r="AZ350" s="1620" t="s">
        <v>986</v>
      </c>
      <c r="BA350" s="1620" t="s">
        <v>986</v>
      </c>
      <c r="BB350" s="1620" t="s">
        <v>986</v>
      </c>
      <c r="BC350" s="1620" t="s">
        <v>986</v>
      </c>
      <c r="BD350" s="1620" t="s">
        <v>986</v>
      </c>
      <c r="BE350" s="1620" t="s">
        <v>986</v>
      </c>
      <c r="BF350" s="1620" t="s">
        <v>986</v>
      </c>
      <c r="BG350" s="1620" t="s">
        <v>986</v>
      </c>
      <c r="BH350" s="1620" t="s">
        <v>986</v>
      </c>
      <c r="BI350" s="1620" t="s">
        <v>986</v>
      </c>
      <c r="BJ350" s="1603"/>
      <c r="BK350" s="1620" t="s">
        <v>270</v>
      </c>
      <c r="BL350" s="1620" t="s">
        <v>270</v>
      </c>
      <c r="BM350" s="1620" t="s">
        <v>270</v>
      </c>
      <c r="BN350" s="1620" t="s">
        <v>270</v>
      </c>
      <c r="BO350" s="1620"/>
      <c r="BP350" s="1620" t="s">
        <v>270</v>
      </c>
      <c r="BQ350" s="1620" t="s">
        <v>270</v>
      </c>
      <c r="BR350" s="1620" t="s">
        <v>270</v>
      </c>
      <c r="BS350" s="1620" t="s">
        <v>270</v>
      </c>
      <c r="BT350" s="1603"/>
      <c r="BU350" s="1620" t="s">
        <v>270</v>
      </c>
      <c r="BV350" s="1620" t="s">
        <v>270</v>
      </c>
      <c r="BW350" s="1620" t="s">
        <v>270</v>
      </c>
      <c r="BX350" s="1620" t="s">
        <v>270</v>
      </c>
      <c r="BY350" s="1620" t="s">
        <v>270</v>
      </c>
      <c r="BZ350" s="1620" t="s">
        <v>270</v>
      </c>
      <c r="CA350" s="1620" t="s">
        <v>270</v>
      </c>
      <c r="CB350" s="1603"/>
      <c r="CC350" s="1603" t="s">
        <v>270</v>
      </c>
      <c r="CD350" s="1603" t="s">
        <v>270</v>
      </c>
      <c r="CE350" s="1603" t="s">
        <v>270</v>
      </c>
      <c r="CF350" s="1603" t="s">
        <v>270</v>
      </c>
      <c r="CG350" s="1603" t="s">
        <v>270</v>
      </c>
      <c r="CH350" s="1603" t="s">
        <v>270</v>
      </c>
      <c r="CI350" s="1603" t="s">
        <v>270</v>
      </c>
      <c r="CJ350" s="1603"/>
      <c r="CK350" s="1603" t="s">
        <v>270</v>
      </c>
      <c r="CL350" s="1603" t="s">
        <v>270</v>
      </c>
      <c r="CM350" s="1603" t="s">
        <v>270</v>
      </c>
      <c r="CN350" s="1603" t="s">
        <v>270</v>
      </c>
      <c r="CO350" s="1603" t="s">
        <v>270</v>
      </c>
      <c r="CP350" s="1603" t="s">
        <v>270</v>
      </c>
      <c r="CQ350" s="1603" t="s">
        <v>270</v>
      </c>
      <c r="CR350" s="1603" t="s">
        <v>270</v>
      </c>
      <c r="CS350" s="1603" t="s">
        <v>270</v>
      </c>
      <c r="CT350" s="1603" t="s">
        <v>270</v>
      </c>
      <c r="CU350" s="1603" t="s">
        <v>270</v>
      </c>
      <c r="CV350" s="1603" t="s">
        <v>270</v>
      </c>
      <c r="CW350" s="1603" t="s">
        <v>270</v>
      </c>
      <c r="CX350" s="1603" t="s">
        <v>270</v>
      </c>
      <c r="CY350" s="1603" t="s">
        <v>270</v>
      </c>
      <c r="CZ350" s="1603" t="s">
        <v>270</v>
      </c>
      <c r="DA350" s="1603" t="s">
        <v>270</v>
      </c>
      <c r="DB350" s="1603" t="s">
        <v>270</v>
      </c>
      <c r="DC350" s="1603" t="s">
        <v>270</v>
      </c>
      <c r="DD350" s="1603" t="s">
        <v>270</v>
      </c>
      <c r="DE350" s="1603" t="s">
        <v>270</v>
      </c>
      <c r="DF350" s="1603" t="s">
        <v>270</v>
      </c>
      <c r="DG350" s="1603" t="s">
        <v>270</v>
      </c>
      <c r="DH350" s="1619" t="s">
        <v>270</v>
      </c>
      <c r="DI350" s="1603" t="s">
        <v>270</v>
      </c>
      <c r="DJ350" s="1603" t="s">
        <v>270</v>
      </c>
      <c r="DK350" s="1603" t="s">
        <v>270</v>
      </c>
      <c r="DL350" s="1603" t="s">
        <v>270</v>
      </c>
      <c r="DM350" s="1603" t="s">
        <v>270</v>
      </c>
      <c r="DN350" s="1603" t="s">
        <v>270</v>
      </c>
      <c r="DO350" s="1603" t="s">
        <v>270</v>
      </c>
      <c r="DP350" s="1603" t="s">
        <v>270</v>
      </c>
      <c r="DQ350" s="1603" t="s">
        <v>270</v>
      </c>
      <c r="DR350" s="1603" t="s">
        <v>270</v>
      </c>
      <c r="DS350" s="1603" t="s">
        <v>270</v>
      </c>
      <c r="DT350" s="1603" t="s">
        <v>270</v>
      </c>
      <c r="DU350" s="1603" t="s">
        <v>270</v>
      </c>
      <c r="DV350" s="1603" t="s">
        <v>270</v>
      </c>
      <c r="DW350" s="1618" t="s">
        <v>986</v>
      </c>
      <c r="DX350" s="1605" t="s">
        <v>986</v>
      </c>
      <c r="DY350" s="1605" t="s">
        <v>986</v>
      </c>
      <c r="DZ350" s="1605" t="s">
        <v>986</v>
      </c>
      <c r="EA350" s="1605" t="s">
        <v>986</v>
      </c>
      <c r="EB350" s="1605" t="s">
        <v>986</v>
      </c>
      <c r="EC350" s="1605" t="s">
        <v>986</v>
      </c>
      <c r="ED350" s="1605" t="s">
        <v>986</v>
      </c>
      <c r="EE350" s="1605" t="s">
        <v>986</v>
      </c>
      <c r="EF350" s="1605" t="s">
        <v>986</v>
      </c>
      <c r="EG350" s="1605" t="s">
        <v>986</v>
      </c>
      <c r="EH350" s="1605" t="s">
        <v>986</v>
      </c>
      <c r="EI350" s="1605" t="s">
        <v>986</v>
      </c>
      <c r="EJ350" s="1605" t="s">
        <v>986</v>
      </c>
      <c r="EK350" s="1605" t="s">
        <v>986</v>
      </c>
      <c r="EL350" s="1605" t="s">
        <v>986</v>
      </c>
      <c r="EM350" s="1605" t="s">
        <v>986</v>
      </c>
      <c r="EN350" s="1605" t="s">
        <v>986</v>
      </c>
      <c r="EO350" s="1605" t="s">
        <v>986</v>
      </c>
      <c r="EP350" s="1605" t="s">
        <v>986</v>
      </c>
      <c r="EQ350" s="1605" t="s">
        <v>986</v>
      </c>
      <c r="ER350" s="1605" t="s">
        <v>986</v>
      </c>
      <c r="ES350" s="1605" t="s">
        <v>986</v>
      </c>
      <c r="ET350" s="1605" t="s">
        <v>986</v>
      </c>
      <c r="EU350" s="1605" t="s">
        <v>986</v>
      </c>
      <c r="EV350" s="1605" t="s">
        <v>986</v>
      </c>
      <c r="EW350" s="1605" t="s">
        <v>986</v>
      </c>
      <c r="EX350" s="1605" t="s">
        <v>986</v>
      </c>
      <c r="EY350" s="1605" t="s">
        <v>986</v>
      </c>
      <c r="EZ350" s="1605" t="s">
        <v>986</v>
      </c>
      <c r="FA350" s="1605" t="s">
        <v>986</v>
      </c>
      <c r="FB350" s="1605" t="s">
        <v>986</v>
      </c>
      <c r="FC350" s="1605" t="s">
        <v>986</v>
      </c>
      <c r="FD350" s="1605" t="s">
        <v>986</v>
      </c>
      <c r="FE350" s="1605" t="s">
        <v>986</v>
      </c>
      <c r="FF350" s="1605" t="s">
        <v>986</v>
      </c>
      <c r="FG350" s="1605" t="s">
        <v>986</v>
      </c>
      <c r="FH350" s="1605" t="s">
        <v>986</v>
      </c>
      <c r="FI350" s="1605" t="s">
        <v>986</v>
      </c>
      <c r="FJ350" s="1605" t="s">
        <v>986</v>
      </c>
      <c r="FK350" s="1605" t="s">
        <v>986</v>
      </c>
      <c r="FL350" s="1605" t="s">
        <v>986</v>
      </c>
      <c r="FM350" s="1605" t="s">
        <v>986</v>
      </c>
      <c r="FN350" s="1605" t="s">
        <v>986</v>
      </c>
      <c r="FO350" s="1605" t="s">
        <v>986</v>
      </c>
      <c r="FP350" s="1605" t="s">
        <v>986</v>
      </c>
      <c r="FQ350" s="1605" t="s">
        <v>986</v>
      </c>
      <c r="FR350" s="1605" t="s">
        <v>986</v>
      </c>
      <c r="FS350" s="1605" t="s">
        <v>986</v>
      </c>
      <c r="FT350" s="1605" t="s">
        <v>986</v>
      </c>
      <c r="FU350" s="1605" t="s">
        <v>986</v>
      </c>
      <c r="FV350" s="1605" t="s">
        <v>986</v>
      </c>
      <c r="FW350" s="1605" t="s">
        <v>986</v>
      </c>
      <c r="FX350" s="1605" t="s">
        <v>986</v>
      </c>
      <c r="FY350" s="1605" t="s">
        <v>986</v>
      </c>
      <c r="FZ350" s="1605" t="s">
        <v>986</v>
      </c>
      <c r="GA350" s="1605" t="s">
        <v>986</v>
      </c>
      <c r="GB350" s="1605" t="s">
        <v>986</v>
      </c>
      <c r="GC350" s="1605" t="s">
        <v>986</v>
      </c>
      <c r="GD350" s="1605" t="s">
        <v>986</v>
      </c>
      <c r="GE350" s="1605" t="s">
        <v>986</v>
      </c>
      <c r="GF350" s="1605" t="s">
        <v>986</v>
      </c>
      <c r="GG350" s="1605" t="s">
        <v>986</v>
      </c>
      <c r="GH350" s="1605" t="s">
        <v>986</v>
      </c>
      <c r="GI350" s="1605" t="s">
        <v>986</v>
      </c>
      <c r="GJ350" s="1605" t="s">
        <v>986</v>
      </c>
      <c r="GK350" s="1605" t="s">
        <v>986</v>
      </c>
      <c r="GL350" s="1605" t="s">
        <v>986</v>
      </c>
      <c r="GM350" s="1605" t="s">
        <v>986</v>
      </c>
      <c r="GN350" s="1605" t="s">
        <v>986</v>
      </c>
      <c r="GO350" s="1605" t="s">
        <v>986</v>
      </c>
      <c r="GP350" s="1605" t="s">
        <v>986</v>
      </c>
      <c r="GQ350" s="1605" t="s">
        <v>986</v>
      </c>
      <c r="GR350" s="1605" t="s">
        <v>986</v>
      </c>
      <c r="GS350" s="1605" t="s">
        <v>986</v>
      </c>
      <c r="GT350" s="1605" t="s">
        <v>986</v>
      </c>
      <c r="GU350" s="1605" t="s">
        <v>986</v>
      </c>
      <c r="GV350" s="1605" t="s">
        <v>986</v>
      </c>
      <c r="GW350" s="1605" t="s">
        <v>986</v>
      </c>
      <c r="GX350" s="1605" t="s">
        <v>986</v>
      </c>
      <c r="GY350" s="1605" t="s">
        <v>986</v>
      </c>
      <c r="GZ350" s="1605" t="s">
        <v>986</v>
      </c>
      <c r="HA350" s="1605" t="s">
        <v>986</v>
      </c>
      <c r="HB350" s="1605" t="s">
        <v>986</v>
      </c>
      <c r="HC350" s="1605" t="s">
        <v>986</v>
      </c>
      <c r="HD350" s="1605" t="s">
        <v>986</v>
      </c>
      <c r="HE350" s="1605" t="s">
        <v>986</v>
      </c>
      <c r="HF350" s="1605" t="s">
        <v>986</v>
      </c>
      <c r="HG350" s="1605" t="s">
        <v>986</v>
      </c>
      <c r="HH350" s="1605" t="s">
        <v>986</v>
      </c>
      <c r="HI350" s="1605" t="s">
        <v>986</v>
      </c>
      <c r="HJ350" s="1605" t="s">
        <v>986</v>
      </c>
      <c r="HK350" s="1605" t="s">
        <v>986</v>
      </c>
      <c r="HL350" s="1605" t="s">
        <v>986</v>
      </c>
      <c r="HM350" s="1605" t="s">
        <v>986</v>
      </c>
      <c r="HN350" s="1605" t="s">
        <v>986</v>
      </c>
      <c r="HO350" s="1605" t="s">
        <v>986</v>
      </c>
      <c r="HP350" s="1605" t="s">
        <v>986</v>
      </c>
      <c r="HQ350" s="1605" t="s">
        <v>986</v>
      </c>
      <c r="HR350" s="1605" t="s">
        <v>986</v>
      </c>
      <c r="HS350" s="1605" t="s">
        <v>986</v>
      </c>
      <c r="HT350" s="1605" t="s">
        <v>986</v>
      </c>
      <c r="HU350" s="1605" t="s">
        <v>986</v>
      </c>
      <c r="HV350" s="1617"/>
      <c r="HW350" s="1617" t="s">
        <v>986</v>
      </c>
      <c r="HX350" s="1617" t="s">
        <v>986</v>
      </c>
      <c r="HY350" s="1617" t="s">
        <v>986</v>
      </c>
      <c r="HZ350" s="1603"/>
      <c r="IA350" s="1603"/>
      <c r="IB350" s="1603"/>
      <c r="IC350" s="1603" t="s">
        <v>270</v>
      </c>
      <c r="ID350" s="1603" t="s">
        <v>270</v>
      </c>
      <c r="IE350" s="1603" t="s">
        <v>270</v>
      </c>
      <c r="IF350" s="1603" t="s">
        <v>270</v>
      </c>
      <c r="IG350" s="1611" t="s">
        <v>270</v>
      </c>
      <c r="IH350" s="1616" t="s">
        <v>270</v>
      </c>
      <c r="II350" s="1615" t="s">
        <v>270</v>
      </c>
      <c r="IJ350" s="1613" t="s">
        <v>270</v>
      </c>
      <c r="IK350" s="1613" t="s">
        <v>270</v>
      </c>
      <c r="IL350" s="1614" t="s">
        <v>270</v>
      </c>
      <c r="IM350" s="1614" t="s">
        <v>270</v>
      </c>
      <c r="IN350" s="1612" t="s">
        <v>270</v>
      </c>
      <c r="IO350" s="1613" t="s">
        <v>270</v>
      </c>
      <c r="IP350" s="1607" t="s">
        <v>270</v>
      </c>
      <c r="IQ350" s="1612" t="s">
        <v>270</v>
      </c>
      <c r="IR350" s="1612" t="s">
        <v>270</v>
      </c>
      <c r="IS350" s="1607" t="s">
        <v>270</v>
      </c>
      <c r="IT350" s="1607" t="s">
        <v>270</v>
      </c>
      <c r="IU350" s="1611" t="s">
        <v>270</v>
      </c>
      <c r="IV350" s="1611" t="s">
        <v>270</v>
      </c>
      <c r="IW350" s="1611" t="s">
        <v>270</v>
      </c>
      <c r="IX350" s="1611" t="s">
        <v>270</v>
      </c>
      <c r="IY350" s="1611" t="s">
        <v>270</v>
      </c>
      <c r="IZ350" s="1611" t="s">
        <v>270</v>
      </c>
      <c r="JA350" s="1611" t="s">
        <v>270</v>
      </c>
      <c r="JB350" s="1611" t="s">
        <v>270</v>
      </c>
      <c r="JC350" s="1611" t="s">
        <v>270</v>
      </c>
      <c r="JD350" s="1611" t="s">
        <v>270</v>
      </c>
      <c r="JE350" s="1611" t="s">
        <v>270</v>
      </c>
      <c r="JF350" s="1611" t="s">
        <v>270</v>
      </c>
      <c r="JG350" s="1611" t="s">
        <v>270</v>
      </c>
      <c r="JH350" s="1611" t="s">
        <v>270</v>
      </c>
      <c r="JI350" s="1611" t="s">
        <v>270</v>
      </c>
      <c r="JJ350" s="1611" t="s">
        <v>270</v>
      </c>
      <c r="JK350" s="1607" t="str">
        <f t="shared" si="14"/>
        <v/>
      </c>
      <c r="JL350" s="1608" t="s">
        <v>270</v>
      </c>
      <c r="JM350" s="1610" t="s">
        <v>270</v>
      </c>
      <c r="JN350" s="1608" t="s">
        <v>270</v>
      </c>
      <c r="JO350" s="1609" t="s">
        <v>270</v>
      </c>
      <c r="JP350" s="1608" t="s">
        <v>270</v>
      </c>
      <c r="JQ350" s="1607" t="s">
        <v>270</v>
      </c>
      <c r="JR350" s="1606" t="s">
        <v>270</v>
      </c>
      <c r="JS350" s="1606" t="s">
        <v>270</v>
      </c>
      <c r="JT350" s="1606" t="s">
        <v>270</v>
      </c>
    </row>
    <row r="351" spans="1:280" ht="15" customHeight="1" x14ac:dyDescent="0.2">
      <c r="A351" s="1626" t="s">
        <v>270</v>
      </c>
      <c r="B351" s="1625" t="s">
        <v>270</v>
      </c>
      <c r="C351" s="1624" t="s">
        <v>270</v>
      </c>
      <c r="D351" s="1623" t="s">
        <v>270</v>
      </c>
      <c r="E351" s="1622" t="s">
        <v>270</v>
      </c>
      <c r="F351" s="1620" t="s">
        <v>270</v>
      </c>
      <c r="G351" s="1620" t="s">
        <v>270</v>
      </c>
      <c r="H351" s="1621" t="s">
        <v>270</v>
      </c>
      <c r="I351" s="1621" t="s">
        <v>270</v>
      </c>
      <c r="J351" s="1621" t="s">
        <v>270</v>
      </c>
      <c r="K351" s="1620" t="s">
        <v>270</v>
      </c>
      <c r="L351" s="1620" t="s">
        <v>270</v>
      </c>
      <c r="M351" s="1620" t="s">
        <v>270</v>
      </c>
      <c r="N351" s="1620" t="s">
        <v>270</v>
      </c>
      <c r="O351" s="1620" t="s">
        <v>270</v>
      </c>
      <c r="P351" s="1620" t="s">
        <v>270</v>
      </c>
      <c r="Q351" s="1603"/>
      <c r="R351" s="1620" t="s">
        <v>270</v>
      </c>
      <c r="S351" s="1620" t="s">
        <v>270</v>
      </c>
      <c r="T351" s="1620" t="s">
        <v>270</v>
      </c>
      <c r="U351" s="1620" t="s">
        <v>270</v>
      </c>
      <c r="V351" s="1620" t="s">
        <v>270</v>
      </c>
      <c r="W351" s="1620" t="s">
        <v>270</v>
      </c>
      <c r="X351" s="1620"/>
      <c r="Y351" s="1620" t="s">
        <v>270</v>
      </c>
      <c r="Z351" s="1620" t="s">
        <v>270</v>
      </c>
      <c r="AA351" s="1620" t="s">
        <v>270</v>
      </c>
      <c r="AB351" s="1620" t="s">
        <v>270</v>
      </c>
      <c r="AC351" s="1620" t="s">
        <v>270</v>
      </c>
      <c r="AD351" s="1620" t="s">
        <v>270</v>
      </c>
      <c r="AE351" s="1620" t="s">
        <v>270</v>
      </c>
      <c r="AF351" s="1620" t="s">
        <v>270</v>
      </c>
      <c r="AG351" s="1620" t="s">
        <v>270</v>
      </c>
      <c r="AH351" s="1620" t="s">
        <v>270</v>
      </c>
      <c r="AI351" s="1620" t="s">
        <v>270</v>
      </c>
      <c r="AJ351" s="1620" t="s">
        <v>270</v>
      </c>
      <c r="AK351" s="1620" t="s">
        <v>270</v>
      </c>
      <c r="AL351" s="1620"/>
      <c r="AM351" s="1620" t="s">
        <v>270</v>
      </c>
      <c r="AN351" s="1620" t="s">
        <v>270</v>
      </c>
      <c r="AO351" s="1620" t="s">
        <v>270</v>
      </c>
      <c r="AP351" s="1620" t="s">
        <v>270</v>
      </c>
      <c r="AQ351" s="1620" t="s">
        <v>270</v>
      </c>
      <c r="AR351" s="1620" t="s">
        <v>270</v>
      </c>
      <c r="AS351" s="1620" t="s">
        <v>270</v>
      </c>
      <c r="AT351" s="1620" t="s">
        <v>270</v>
      </c>
      <c r="AU351" s="1620" t="s">
        <v>270</v>
      </c>
      <c r="AV351" s="1620" t="s">
        <v>270</v>
      </c>
      <c r="AW351" s="1620" t="s">
        <v>270</v>
      </c>
      <c r="AX351" s="1620"/>
      <c r="AY351" s="1620" t="s">
        <v>986</v>
      </c>
      <c r="AZ351" s="1620" t="s">
        <v>986</v>
      </c>
      <c r="BA351" s="1620" t="s">
        <v>986</v>
      </c>
      <c r="BB351" s="1620" t="s">
        <v>986</v>
      </c>
      <c r="BC351" s="1620" t="s">
        <v>986</v>
      </c>
      <c r="BD351" s="1620" t="s">
        <v>986</v>
      </c>
      <c r="BE351" s="1620" t="s">
        <v>986</v>
      </c>
      <c r="BF351" s="1620" t="s">
        <v>986</v>
      </c>
      <c r="BG351" s="1620" t="s">
        <v>986</v>
      </c>
      <c r="BH351" s="1620" t="s">
        <v>986</v>
      </c>
      <c r="BI351" s="1620" t="s">
        <v>986</v>
      </c>
      <c r="BJ351" s="1603"/>
      <c r="BK351" s="1620" t="s">
        <v>270</v>
      </c>
      <c r="BL351" s="1620" t="s">
        <v>270</v>
      </c>
      <c r="BM351" s="1620" t="s">
        <v>270</v>
      </c>
      <c r="BN351" s="1620" t="s">
        <v>270</v>
      </c>
      <c r="BO351" s="1620"/>
      <c r="BP351" s="1620" t="s">
        <v>270</v>
      </c>
      <c r="BQ351" s="1620" t="s">
        <v>270</v>
      </c>
      <c r="BR351" s="1620" t="s">
        <v>270</v>
      </c>
      <c r="BS351" s="1620" t="s">
        <v>270</v>
      </c>
      <c r="BT351" s="1603"/>
      <c r="BU351" s="1620" t="s">
        <v>270</v>
      </c>
      <c r="BV351" s="1620" t="s">
        <v>270</v>
      </c>
      <c r="BW351" s="1620" t="s">
        <v>270</v>
      </c>
      <c r="BX351" s="1620" t="s">
        <v>270</v>
      </c>
      <c r="BY351" s="1620" t="s">
        <v>270</v>
      </c>
      <c r="BZ351" s="1620" t="s">
        <v>270</v>
      </c>
      <c r="CA351" s="1620" t="s">
        <v>270</v>
      </c>
      <c r="CB351" s="1603"/>
      <c r="CC351" s="1603" t="s">
        <v>270</v>
      </c>
      <c r="CD351" s="1603" t="s">
        <v>270</v>
      </c>
      <c r="CE351" s="1603" t="s">
        <v>270</v>
      </c>
      <c r="CF351" s="1603" t="s">
        <v>270</v>
      </c>
      <c r="CG351" s="1603" t="s">
        <v>270</v>
      </c>
      <c r="CH351" s="1603" t="s">
        <v>270</v>
      </c>
      <c r="CI351" s="1603" t="s">
        <v>270</v>
      </c>
      <c r="CJ351" s="1603"/>
      <c r="CK351" s="1603" t="s">
        <v>270</v>
      </c>
      <c r="CL351" s="1603" t="s">
        <v>270</v>
      </c>
      <c r="CM351" s="1603" t="s">
        <v>270</v>
      </c>
      <c r="CN351" s="1603" t="s">
        <v>270</v>
      </c>
      <c r="CO351" s="1603" t="s">
        <v>270</v>
      </c>
      <c r="CP351" s="1603" t="s">
        <v>270</v>
      </c>
      <c r="CQ351" s="1603" t="s">
        <v>270</v>
      </c>
      <c r="CR351" s="1603" t="s">
        <v>270</v>
      </c>
      <c r="CS351" s="1603" t="s">
        <v>270</v>
      </c>
      <c r="CT351" s="1603" t="s">
        <v>270</v>
      </c>
      <c r="CU351" s="1603" t="s">
        <v>270</v>
      </c>
      <c r="CV351" s="1603" t="s">
        <v>270</v>
      </c>
      <c r="CW351" s="1603" t="s">
        <v>270</v>
      </c>
      <c r="CX351" s="1603" t="s">
        <v>270</v>
      </c>
      <c r="CY351" s="1603" t="s">
        <v>270</v>
      </c>
      <c r="CZ351" s="1603" t="s">
        <v>270</v>
      </c>
      <c r="DA351" s="1603" t="s">
        <v>270</v>
      </c>
      <c r="DB351" s="1603" t="s">
        <v>270</v>
      </c>
      <c r="DC351" s="1603" t="s">
        <v>270</v>
      </c>
      <c r="DD351" s="1603" t="s">
        <v>270</v>
      </c>
      <c r="DE351" s="1603" t="s">
        <v>270</v>
      </c>
      <c r="DF351" s="1603" t="s">
        <v>270</v>
      </c>
      <c r="DG351" s="1603" t="s">
        <v>270</v>
      </c>
      <c r="DH351" s="1619" t="s">
        <v>270</v>
      </c>
      <c r="DI351" s="1603" t="s">
        <v>270</v>
      </c>
      <c r="DJ351" s="1603" t="s">
        <v>270</v>
      </c>
      <c r="DK351" s="1603" t="s">
        <v>270</v>
      </c>
      <c r="DL351" s="1603" t="s">
        <v>270</v>
      </c>
      <c r="DM351" s="1603" t="s">
        <v>270</v>
      </c>
      <c r="DN351" s="1603" t="s">
        <v>270</v>
      </c>
      <c r="DO351" s="1603" t="s">
        <v>270</v>
      </c>
      <c r="DP351" s="1603" t="s">
        <v>270</v>
      </c>
      <c r="DQ351" s="1603" t="s">
        <v>270</v>
      </c>
      <c r="DR351" s="1603" t="s">
        <v>270</v>
      </c>
      <c r="DS351" s="1603" t="s">
        <v>270</v>
      </c>
      <c r="DT351" s="1603" t="s">
        <v>270</v>
      </c>
      <c r="DU351" s="1603" t="s">
        <v>270</v>
      </c>
      <c r="DV351" s="1603" t="s">
        <v>270</v>
      </c>
      <c r="DW351" s="1618" t="s">
        <v>986</v>
      </c>
      <c r="DX351" s="1605" t="s">
        <v>986</v>
      </c>
      <c r="DY351" s="1605" t="s">
        <v>986</v>
      </c>
      <c r="DZ351" s="1605" t="s">
        <v>986</v>
      </c>
      <c r="EA351" s="1605" t="s">
        <v>986</v>
      </c>
      <c r="EB351" s="1605" t="s">
        <v>986</v>
      </c>
      <c r="EC351" s="1605" t="s">
        <v>986</v>
      </c>
      <c r="ED351" s="1605" t="s">
        <v>986</v>
      </c>
      <c r="EE351" s="1605" t="s">
        <v>986</v>
      </c>
      <c r="EF351" s="1605" t="s">
        <v>986</v>
      </c>
      <c r="EG351" s="1605" t="s">
        <v>986</v>
      </c>
      <c r="EH351" s="1605" t="s">
        <v>986</v>
      </c>
      <c r="EI351" s="1605" t="s">
        <v>986</v>
      </c>
      <c r="EJ351" s="1605" t="s">
        <v>986</v>
      </c>
      <c r="EK351" s="1605" t="s">
        <v>986</v>
      </c>
      <c r="EL351" s="1605" t="s">
        <v>986</v>
      </c>
      <c r="EM351" s="1605" t="s">
        <v>986</v>
      </c>
      <c r="EN351" s="1605" t="s">
        <v>986</v>
      </c>
      <c r="EO351" s="1605" t="s">
        <v>986</v>
      </c>
      <c r="EP351" s="1605" t="s">
        <v>986</v>
      </c>
      <c r="EQ351" s="1605" t="s">
        <v>986</v>
      </c>
      <c r="ER351" s="1605" t="s">
        <v>986</v>
      </c>
      <c r="ES351" s="1605" t="s">
        <v>986</v>
      </c>
      <c r="ET351" s="1605" t="s">
        <v>986</v>
      </c>
      <c r="EU351" s="1605" t="s">
        <v>986</v>
      </c>
      <c r="EV351" s="1605" t="s">
        <v>986</v>
      </c>
      <c r="EW351" s="1605" t="s">
        <v>986</v>
      </c>
      <c r="EX351" s="1605" t="s">
        <v>986</v>
      </c>
      <c r="EY351" s="1605" t="s">
        <v>986</v>
      </c>
      <c r="EZ351" s="1605" t="s">
        <v>986</v>
      </c>
      <c r="FA351" s="1605" t="s">
        <v>986</v>
      </c>
      <c r="FB351" s="1605" t="s">
        <v>986</v>
      </c>
      <c r="FC351" s="1605" t="s">
        <v>986</v>
      </c>
      <c r="FD351" s="1605" t="s">
        <v>986</v>
      </c>
      <c r="FE351" s="1605" t="s">
        <v>986</v>
      </c>
      <c r="FF351" s="1605" t="s">
        <v>986</v>
      </c>
      <c r="FG351" s="1605" t="s">
        <v>986</v>
      </c>
      <c r="FH351" s="1605" t="s">
        <v>986</v>
      </c>
      <c r="FI351" s="1605" t="s">
        <v>986</v>
      </c>
      <c r="FJ351" s="1605" t="s">
        <v>986</v>
      </c>
      <c r="FK351" s="1605" t="s">
        <v>986</v>
      </c>
      <c r="FL351" s="1605" t="s">
        <v>986</v>
      </c>
      <c r="FM351" s="1605" t="s">
        <v>986</v>
      </c>
      <c r="FN351" s="1605" t="s">
        <v>986</v>
      </c>
      <c r="FO351" s="1605" t="s">
        <v>986</v>
      </c>
      <c r="FP351" s="1605" t="s">
        <v>986</v>
      </c>
      <c r="FQ351" s="1605" t="s">
        <v>986</v>
      </c>
      <c r="FR351" s="1605" t="s">
        <v>986</v>
      </c>
      <c r="FS351" s="1605" t="s">
        <v>986</v>
      </c>
      <c r="FT351" s="1605" t="s">
        <v>986</v>
      </c>
      <c r="FU351" s="1605" t="s">
        <v>986</v>
      </c>
      <c r="FV351" s="1605" t="s">
        <v>986</v>
      </c>
      <c r="FW351" s="1605" t="s">
        <v>986</v>
      </c>
      <c r="FX351" s="1605" t="s">
        <v>986</v>
      </c>
      <c r="FY351" s="1605" t="s">
        <v>986</v>
      </c>
      <c r="FZ351" s="1605" t="s">
        <v>986</v>
      </c>
      <c r="GA351" s="1605" t="s">
        <v>986</v>
      </c>
      <c r="GB351" s="1605" t="s">
        <v>986</v>
      </c>
      <c r="GC351" s="1605" t="s">
        <v>986</v>
      </c>
      <c r="GD351" s="1605" t="s">
        <v>986</v>
      </c>
      <c r="GE351" s="1605" t="s">
        <v>986</v>
      </c>
      <c r="GF351" s="1605" t="s">
        <v>986</v>
      </c>
      <c r="GG351" s="1605" t="s">
        <v>986</v>
      </c>
      <c r="GH351" s="1605" t="s">
        <v>986</v>
      </c>
      <c r="GI351" s="1605" t="s">
        <v>986</v>
      </c>
      <c r="GJ351" s="1605" t="s">
        <v>986</v>
      </c>
      <c r="GK351" s="1605" t="s">
        <v>986</v>
      </c>
      <c r="GL351" s="1605" t="s">
        <v>986</v>
      </c>
      <c r="GM351" s="1605" t="s">
        <v>986</v>
      </c>
      <c r="GN351" s="1605" t="s">
        <v>986</v>
      </c>
      <c r="GO351" s="1605" t="s">
        <v>986</v>
      </c>
      <c r="GP351" s="1605" t="s">
        <v>986</v>
      </c>
      <c r="GQ351" s="1605" t="s">
        <v>986</v>
      </c>
      <c r="GR351" s="1605" t="s">
        <v>986</v>
      </c>
      <c r="GS351" s="1605" t="s">
        <v>986</v>
      </c>
      <c r="GT351" s="1605" t="s">
        <v>986</v>
      </c>
      <c r="GU351" s="1605" t="s">
        <v>986</v>
      </c>
      <c r="GV351" s="1605" t="s">
        <v>986</v>
      </c>
      <c r="GW351" s="1605" t="s">
        <v>986</v>
      </c>
      <c r="GX351" s="1605" t="s">
        <v>986</v>
      </c>
      <c r="GY351" s="1605" t="s">
        <v>986</v>
      </c>
      <c r="GZ351" s="1605" t="s">
        <v>986</v>
      </c>
      <c r="HA351" s="1605" t="s">
        <v>986</v>
      </c>
      <c r="HB351" s="1605" t="s">
        <v>986</v>
      </c>
      <c r="HC351" s="1605" t="s">
        <v>986</v>
      </c>
      <c r="HD351" s="1605" t="s">
        <v>986</v>
      </c>
      <c r="HE351" s="1605" t="s">
        <v>986</v>
      </c>
      <c r="HF351" s="1605" t="s">
        <v>986</v>
      </c>
      <c r="HG351" s="1605" t="s">
        <v>986</v>
      </c>
      <c r="HH351" s="1605" t="s">
        <v>986</v>
      </c>
      <c r="HI351" s="1605" t="s">
        <v>986</v>
      </c>
      <c r="HJ351" s="1605" t="s">
        <v>986</v>
      </c>
      <c r="HK351" s="1605" t="s">
        <v>986</v>
      </c>
      <c r="HL351" s="1605" t="s">
        <v>986</v>
      </c>
      <c r="HM351" s="1605" t="s">
        <v>986</v>
      </c>
      <c r="HN351" s="1605" t="s">
        <v>986</v>
      </c>
      <c r="HO351" s="1605" t="s">
        <v>986</v>
      </c>
      <c r="HP351" s="1605" t="s">
        <v>986</v>
      </c>
      <c r="HQ351" s="1605" t="s">
        <v>986</v>
      </c>
      <c r="HR351" s="1605" t="s">
        <v>986</v>
      </c>
      <c r="HS351" s="1605" t="s">
        <v>986</v>
      </c>
      <c r="HT351" s="1605" t="s">
        <v>986</v>
      </c>
      <c r="HU351" s="1605" t="s">
        <v>986</v>
      </c>
      <c r="HV351" s="1617"/>
      <c r="HW351" s="1617" t="s">
        <v>986</v>
      </c>
      <c r="HX351" s="1617" t="s">
        <v>986</v>
      </c>
      <c r="HY351" s="1617" t="s">
        <v>986</v>
      </c>
      <c r="HZ351" s="1603"/>
      <c r="IA351" s="1603"/>
      <c r="IB351" s="1603"/>
      <c r="IC351" s="1603" t="s">
        <v>270</v>
      </c>
      <c r="ID351" s="1603" t="s">
        <v>270</v>
      </c>
      <c r="IE351" s="1603" t="s">
        <v>270</v>
      </c>
      <c r="IF351" s="1603" t="s">
        <v>270</v>
      </c>
      <c r="IG351" s="1611" t="s">
        <v>270</v>
      </c>
      <c r="IH351" s="1616" t="s">
        <v>270</v>
      </c>
      <c r="II351" s="1615" t="s">
        <v>270</v>
      </c>
      <c r="IJ351" s="1613" t="s">
        <v>270</v>
      </c>
      <c r="IK351" s="1613" t="s">
        <v>270</v>
      </c>
      <c r="IL351" s="1614" t="s">
        <v>270</v>
      </c>
      <c r="IM351" s="1614" t="s">
        <v>270</v>
      </c>
      <c r="IN351" s="1612" t="s">
        <v>270</v>
      </c>
      <c r="IO351" s="1613" t="s">
        <v>270</v>
      </c>
      <c r="IP351" s="1607" t="s">
        <v>270</v>
      </c>
      <c r="IQ351" s="1612" t="s">
        <v>270</v>
      </c>
      <c r="IR351" s="1612" t="s">
        <v>270</v>
      </c>
      <c r="IS351" s="1607" t="s">
        <v>270</v>
      </c>
      <c r="IT351" s="1607" t="s">
        <v>270</v>
      </c>
      <c r="IU351" s="1611" t="s">
        <v>270</v>
      </c>
      <c r="IV351" s="1611" t="s">
        <v>270</v>
      </c>
      <c r="IW351" s="1611" t="s">
        <v>270</v>
      </c>
      <c r="IX351" s="1611" t="s">
        <v>270</v>
      </c>
      <c r="IY351" s="1611" t="s">
        <v>270</v>
      </c>
      <c r="IZ351" s="1611" t="s">
        <v>270</v>
      </c>
      <c r="JA351" s="1611" t="s">
        <v>270</v>
      </c>
      <c r="JB351" s="1611" t="s">
        <v>270</v>
      </c>
      <c r="JC351" s="1611" t="s">
        <v>270</v>
      </c>
      <c r="JD351" s="1611" t="s">
        <v>270</v>
      </c>
      <c r="JE351" s="1611" t="s">
        <v>270</v>
      </c>
      <c r="JF351" s="1611" t="s">
        <v>270</v>
      </c>
      <c r="JG351" s="1611" t="s">
        <v>270</v>
      </c>
      <c r="JH351" s="1611" t="s">
        <v>270</v>
      </c>
      <c r="JI351" s="1611" t="s">
        <v>270</v>
      </c>
      <c r="JJ351" s="1611" t="s">
        <v>270</v>
      </c>
      <c r="JK351" s="1607" t="str">
        <f t="shared" si="14"/>
        <v/>
      </c>
      <c r="JL351" s="1608" t="s">
        <v>270</v>
      </c>
      <c r="JM351" s="1610" t="s">
        <v>270</v>
      </c>
      <c r="JN351" s="1608" t="s">
        <v>270</v>
      </c>
      <c r="JO351" s="1609" t="s">
        <v>270</v>
      </c>
      <c r="JP351" s="1608" t="s">
        <v>270</v>
      </c>
      <c r="JQ351" s="1607" t="s">
        <v>270</v>
      </c>
      <c r="JR351" s="1606" t="s">
        <v>270</v>
      </c>
      <c r="JS351" s="1606" t="s">
        <v>270</v>
      </c>
      <c r="JT351" s="1606" t="s">
        <v>270</v>
      </c>
    </row>
    <row r="352" spans="1:280" ht="15" customHeight="1" x14ac:dyDescent="0.2">
      <c r="A352" s="1626" t="s">
        <v>270</v>
      </c>
      <c r="B352" s="1625" t="s">
        <v>270</v>
      </c>
      <c r="C352" s="1624" t="s">
        <v>270</v>
      </c>
      <c r="D352" s="1623" t="s">
        <v>270</v>
      </c>
      <c r="E352" s="1622" t="s">
        <v>270</v>
      </c>
      <c r="F352" s="1620" t="s">
        <v>270</v>
      </c>
      <c r="G352" s="1620" t="s">
        <v>270</v>
      </c>
      <c r="H352" s="1621" t="s">
        <v>270</v>
      </c>
      <c r="I352" s="1621" t="s">
        <v>270</v>
      </c>
      <c r="J352" s="1621" t="s">
        <v>270</v>
      </c>
      <c r="K352" s="1620" t="s">
        <v>270</v>
      </c>
      <c r="L352" s="1620" t="s">
        <v>270</v>
      </c>
      <c r="M352" s="1620" t="s">
        <v>270</v>
      </c>
      <c r="N352" s="1620" t="s">
        <v>270</v>
      </c>
      <c r="O352" s="1620" t="s">
        <v>270</v>
      </c>
      <c r="P352" s="1620" t="s">
        <v>270</v>
      </c>
      <c r="Q352" s="1603"/>
      <c r="R352" s="1620" t="s">
        <v>270</v>
      </c>
      <c r="S352" s="1620" t="s">
        <v>270</v>
      </c>
      <c r="T352" s="1620" t="s">
        <v>270</v>
      </c>
      <c r="U352" s="1620" t="s">
        <v>270</v>
      </c>
      <c r="V352" s="1620" t="s">
        <v>270</v>
      </c>
      <c r="W352" s="1620" t="s">
        <v>270</v>
      </c>
      <c r="X352" s="1620"/>
      <c r="Y352" s="1620" t="s">
        <v>270</v>
      </c>
      <c r="Z352" s="1620" t="s">
        <v>270</v>
      </c>
      <c r="AA352" s="1620" t="s">
        <v>270</v>
      </c>
      <c r="AB352" s="1620" t="s">
        <v>270</v>
      </c>
      <c r="AC352" s="1620" t="s">
        <v>270</v>
      </c>
      <c r="AD352" s="1620" t="s">
        <v>270</v>
      </c>
      <c r="AE352" s="1620" t="s">
        <v>270</v>
      </c>
      <c r="AF352" s="1620" t="s">
        <v>270</v>
      </c>
      <c r="AG352" s="1620" t="s">
        <v>270</v>
      </c>
      <c r="AH352" s="1620" t="s">
        <v>270</v>
      </c>
      <c r="AI352" s="1620" t="s">
        <v>270</v>
      </c>
      <c r="AJ352" s="1620" t="s">
        <v>270</v>
      </c>
      <c r="AK352" s="1620" t="s">
        <v>270</v>
      </c>
      <c r="AL352" s="1620"/>
      <c r="AM352" s="1620" t="s">
        <v>270</v>
      </c>
      <c r="AN352" s="1620" t="s">
        <v>270</v>
      </c>
      <c r="AO352" s="1620" t="s">
        <v>270</v>
      </c>
      <c r="AP352" s="1620" t="s">
        <v>270</v>
      </c>
      <c r="AQ352" s="1620" t="s">
        <v>270</v>
      </c>
      <c r="AR352" s="1620" t="s">
        <v>270</v>
      </c>
      <c r="AS352" s="1620" t="s">
        <v>270</v>
      </c>
      <c r="AT352" s="1620" t="s">
        <v>270</v>
      </c>
      <c r="AU352" s="1620" t="s">
        <v>270</v>
      </c>
      <c r="AV352" s="1620" t="s">
        <v>270</v>
      </c>
      <c r="AW352" s="1620" t="s">
        <v>270</v>
      </c>
      <c r="AX352" s="1620"/>
      <c r="AY352" s="1620" t="s">
        <v>986</v>
      </c>
      <c r="AZ352" s="1620" t="s">
        <v>986</v>
      </c>
      <c r="BA352" s="1620" t="s">
        <v>986</v>
      </c>
      <c r="BB352" s="1620" t="s">
        <v>986</v>
      </c>
      <c r="BC352" s="1620" t="s">
        <v>986</v>
      </c>
      <c r="BD352" s="1620" t="s">
        <v>986</v>
      </c>
      <c r="BE352" s="1620" t="s">
        <v>986</v>
      </c>
      <c r="BF352" s="1620" t="s">
        <v>986</v>
      </c>
      <c r="BG352" s="1620" t="s">
        <v>986</v>
      </c>
      <c r="BH352" s="1620" t="s">
        <v>986</v>
      </c>
      <c r="BI352" s="1620" t="s">
        <v>986</v>
      </c>
      <c r="BJ352" s="1603"/>
      <c r="BK352" s="1620" t="s">
        <v>270</v>
      </c>
      <c r="BL352" s="1620" t="s">
        <v>270</v>
      </c>
      <c r="BM352" s="1620" t="s">
        <v>270</v>
      </c>
      <c r="BN352" s="1620" t="s">
        <v>270</v>
      </c>
      <c r="BO352" s="1620"/>
      <c r="BP352" s="1620" t="s">
        <v>270</v>
      </c>
      <c r="BQ352" s="1620" t="s">
        <v>270</v>
      </c>
      <c r="BR352" s="1620" t="s">
        <v>270</v>
      </c>
      <c r="BS352" s="1620" t="s">
        <v>270</v>
      </c>
      <c r="BT352" s="1603"/>
      <c r="BU352" s="1620" t="s">
        <v>270</v>
      </c>
      <c r="BV352" s="1620" t="s">
        <v>270</v>
      </c>
      <c r="BW352" s="1620" t="s">
        <v>270</v>
      </c>
      <c r="BX352" s="1620" t="s">
        <v>270</v>
      </c>
      <c r="BY352" s="1620" t="s">
        <v>270</v>
      </c>
      <c r="BZ352" s="1620" t="s">
        <v>270</v>
      </c>
      <c r="CA352" s="1620" t="s">
        <v>270</v>
      </c>
      <c r="CB352" s="1603"/>
      <c r="CC352" s="1603" t="s">
        <v>270</v>
      </c>
      <c r="CD352" s="1603" t="s">
        <v>270</v>
      </c>
      <c r="CE352" s="1603" t="s">
        <v>270</v>
      </c>
      <c r="CF352" s="1603" t="s">
        <v>270</v>
      </c>
      <c r="CG352" s="1603" t="s">
        <v>270</v>
      </c>
      <c r="CH352" s="1603" t="s">
        <v>270</v>
      </c>
      <c r="CI352" s="1603" t="s">
        <v>270</v>
      </c>
      <c r="CJ352" s="1603"/>
      <c r="CK352" s="1603" t="s">
        <v>270</v>
      </c>
      <c r="CL352" s="1603" t="s">
        <v>270</v>
      </c>
      <c r="CM352" s="1603" t="s">
        <v>270</v>
      </c>
      <c r="CN352" s="1603" t="s">
        <v>270</v>
      </c>
      <c r="CO352" s="1603" t="s">
        <v>270</v>
      </c>
      <c r="CP352" s="1603" t="s">
        <v>270</v>
      </c>
      <c r="CQ352" s="1603" t="s">
        <v>270</v>
      </c>
      <c r="CR352" s="1603" t="s">
        <v>270</v>
      </c>
      <c r="CS352" s="1603" t="s">
        <v>270</v>
      </c>
      <c r="CT352" s="1603" t="s">
        <v>270</v>
      </c>
      <c r="CU352" s="1603" t="s">
        <v>270</v>
      </c>
      <c r="CV352" s="1603" t="s">
        <v>270</v>
      </c>
      <c r="CW352" s="1603" t="s">
        <v>270</v>
      </c>
      <c r="CX352" s="1603" t="s">
        <v>270</v>
      </c>
      <c r="CY352" s="1603" t="s">
        <v>270</v>
      </c>
      <c r="CZ352" s="1603" t="s">
        <v>270</v>
      </c>
      <c r="DA352" s="1603" t="s">
        <v>270</v>
      </c>
      <c r="DB352" s="1603" t="s">
        <v>270</v>
      </c>
      <c r="DC352" s="1603" t="s">
        <v>270</v>
      </c>
      <c r="DD352" s="1603" t="s">
        <v>270</v>
      </c>
      <c r="DE352" s="1603" t="s">
        <v>270</v>
      </c>
      <c r="DF352" s="1603" t="s">
        <v>270</v>
      </c>
      <c r="DG352" s="1603" t="s">
        <v>270</v>
      </c>
      <c r="DH352" s="1619" t="s">
        <v>270</v>
      </c>
      <c r="DI352" s="1603" t="s">
        <v>270</v>
      </c>
      <c r="DJ352" s="1603" t="s">
        <v>270</v>
      </c>
      <c r="DK352" s="1603" t="s">
        <v>270</v>
      </c>
      <c r="DL352" s="1603" t="s">
        <v>270</v>
      </c>
      <c r="DM352" s="1603" t="s">
        <v>270</v>
      </c>
      <c r="DN352" s="1603" t="s">
        <v>270</v>
      </c>
      <c r="DO352" s="1603" t="s">
        <v>270</v>
      </c>
      <c r="DP352" s="1603" t="s">
        <v>270</v>
      </c>
      <c r="DQ352" s="1603" t="s">
        <v>270</v>
      </c>
      <c r="DR352" s="1603" t="s">
        <v>270</v>
      </c>
      <c r="DS352" s="1603" t="s">
        <v>270</v>
      </c>
      <c r="DT352" s="1603" t="s">
        <v>270</v>
      </c>
      <c r="DU352" s="1603" t="s">
        <v>270</v>
      </c>
      <c r="DV352" s="1603" t="s">
        <v>270</v>
      </c>
      <c r="DW352" s="1618" t="s">
        <v>986</v>
      </c>
      <c r="DX352" s="1605" t="s">
        <v>986</v>
      </c>
      <c r="DY352" s="1605" t="s">
        <v>986</v>
      </c>
      <c r="DZ352" s="1605" t="s">
        <v>986</v>
      </c>
      <c r="EA352" s="1605" t="s">
        <v>986</v>
      </c>
      <c r="EB352" s="1605" t="s">
        <v>986</v>
      </c>
      <c r="EC352" s="1605" t="s">
        <v>986</v>
      </c>
      <c r="ED352" s="1605" t="s">
        <v>986</v>
      </c>
      <c r="EE352" s="1605" t="s">
        <v>986</v>
      </c>
      <c r="EF352" s="1605" t="s">
        <v>986</v>
      </c>
      <c r="EG352" s="1605" t="s">
        <v>986</v>
      </c>
      <c r="EH352" s="1605" t="s">
        <v>986</v>
      </c>
      <c r="EI352" s="1605" t="s">
        <v>986</v>
      </c>
      <c r="EJ352" s="1605" t="s">
        <v>986</v>
      </c>
      <c r="EK352" s="1605" t="s">
        <v>986</v>
      </c>
      <c r="EL352" s="1605" t="s">
        <v>986</v>
      </c>
      <c r="EM352" s="1605" t="s">
        <v>986</v>
      </c>
      <c r="EN352" s="1605" t="s">
        <v>986</v>
      </c>
      <c r="EO352" s="1605" t="s">
        <v>986</v>
      </c>
      <c r="EP352" s="1605" t="s">
        <v>986</v>
      </c>
      <c r="EQ352" s="1605" t="s">
        <v>986</v>
      </c>
      <c r="ER352" s="1605" t="s">
        <v>986</v>
      </c>
      <c r="ES352" s="1605" t="s">
        <v>986</v>
      </c>
      <c r="ET352" s="1605" t="s">
        <v>986</v>
      </c>
      <c r="EU352" s="1605" t="s">
        <v>986</v>
      </c>
      <c r="EV352" s="1605" t="s">
        <v>986</v>
      </c>
      <c r="EW352" s="1605" t="s">
        <v>986</v>
      </c>
      <c r="EX352" s="1605" t="s">
        <v>986</v>
      </c>
      <c r="EY352" s="1605" t="s">
        <v>986</v>
      </c>
      <c r="EZ352" s="1605" t="s">
        <v>986</v>
      </c>
      <c r="FA352" s="1605" t="s">
        <v>986</v>
      </c>
      <c r="FB352" s="1605" t="s">
        <v>986</v>
      </c>
      <c r="FC352" s="1605" t="s">
        <v>986</v>
      </c>
      <c r="FD352" s="1605" t="s">
        <v>986</v>
      </c>
      <c r="FE352" s="1605" t="s">
        <v>986</v>
      </c>
      <c r="FF352" s="1605" t="s">
        <v>986</v>
      </c>
      <c r="FG352" s="1605" t="s">
        <v>986</v>
      </c>
      <c r="FH352" s="1605" t="s">
        <v>986</v>
      </c>
      <c r="FI352" s="1605" t="s">
        <v>986</v>
      </c>
      <c r="FJ352" s="1605" t="s">
        <v>986</v>
      </c>
      <c r="FK352" s="1605" t="s">
        <v>986</v>
      </c>
      <c r="FL352" s="1605" t="s">
        <v>986</v>
      </c>
      <c r="FM352" s="1605" t="s">
        <v>986</v>
      </c>
      <c r="FN352" s="1605" t="s">
        <v>986</v>
      </c>
      <c r="FO352" s="1605" t="s">
        <v>986</v>
      </c>
      <c r="FP352" s="1605" t="s">
        <v>986</v>
      </c>
      <c r="FQ352" s="1605" t="s">
        <v>986</v>
      </c>
      <c r="FR352" s="1605" t="s">
        <v>986</v>
      </c>
      <c r="FS352" s="1605" t="s">
        <v>986</v>
      </c>
      <c r="FT352" s="1605" t="s">
        <v>986</v>
      </c>
      <c r="FU352" s="1605" t="s">
        <v>986</v>
      </c>
      <c r="FV352" s="1605" t="s">
        <v>986</v>
      </c>
      <c r="FW352" s="1605" t="s">
        <v>986</v>
      </c>
      <c r="FX352" s="1605" t="s">
        <v>986</v>
      </c>
      <c r="FY352" s="1605" t="s">
        <v>986</v>
      </c>
      <c r="FZ352" s="1605" t="s">
        <v>986</v>
      </c>
      <c r="GA352" s="1605" t="s">
        <v>986</v>
      </c>
      <c r="GB352" s="1605" t="s">
        <v>986</v>
      </c>
      <c r="GC352" s="1605" t="s">
        <v>986</v>
      </c>
      <c r="GD352" s="1605" t="s">
        <v>986</v>
      </c>
      <c r="GE352" s="1605" t="s">
        <v>986</v>
      </c>
      <c r="GF352" s="1605" t="s">
        <v>986</v>
      </c>
      <c r="GG352" s="1605" t="s">
        <v>986</v>
      </c>
      <c r="GH352" s="1605" t="s">
        <v>986</v>
      </c>
      <c r="GI352" s="1605" t="s">
        <v>986</v>
      </c>
      <c r="GJ352" s="1605" t="s">
        <v>986</v>
      </c>
      <c r="GK352" s="1605" t="s">
        <v>986</v>
      </c>
      <c r="GL352" s="1605" t="s">
        <v>986</v>
      </c>
      <c r="GM352" s="1605" t="s">
        <v>986</v>
      </c>
      <c r="GN352" s="1605" t="s">
        <v>986</v>
      </c>
      <c r="GO352" s="1605" t="s">
        <v>986</v>
      </c>
      <c r="GP352" s="1605" t="s">
        <v>986</v>
      </c>
      <c r="GQ352" s="1605" t="s">
        <v>986</v>
      </c>
      <c r="GR352" s="1605" t="s">
        <v>986</v>
      </c>
      <c r="GS352" s="1605" t="s">
        <v>986</v>
      </c>
      <c r="GT352" s="1605" t="s">
        <v>986</v>
      </c>
      <c r="GU352" s="1605" t="s">
        <v>986</v>
      </c>
      <c r="GV352" s="1605" t="s">
        <v>986</v>
      </c>
      <c r="GW352" s="1605" t="s">
        <v>986</v>
      </c>
      <c r="GX352" s="1605" t="s">
        <v>986</v>
      </c>
      <c r="GY352" s="1605" t="s">
        <v>986</v>
      </c>
      <c r="GZ352" s="1605" t="s">
        <v>986</v>
      </c>
      <c r="HA352" s="1605" t="s">
        <v>986</v>
      </c>
      <c r="HB352" s="1605" t="s">
        <v>986</v>
      </c>
      <c r="HC352" s="1605" t="s">
        <v>986</v>
      </c>
      <c r="HD352" s="1605" t="s">
        <v>986</v>
      </c>
      <c r="HE352" s="1605" t="s">
        <v>986</v>
      </c>
      <c r="HF352" s="1605" t="s">
        <v>986</v>
      </c>
      <c r="HG352" s="1605" t="s">
        <v>986</v>
      </c>
      <c r="HH352" s="1605" t="s">
        <v>986</v>
      </c>
      <c r="HI352" s="1605" t="s">
        <v>986</v>
      </c>
      <c r="HJ352" s="1605" t="s">
        <v>986</v>
      </c>
      <c r="HK352" s="1605" t="s">
        <v>986</v>
      </c>
      <c r="HL352" s="1605" t="s">
        <v>986</v>
      </c>
      <c r="HM352" s="1605" t="s">
        <v>986</v>
      </c>
      <c r="HN352" s="1605" t="s">
        <v>986</v>
      </c>
      <c r="HO352" s="1605" t="s">
        <v>986</v>
      </c>
      <c r="HP352" s="1605" t="s">
        <v>986</v>
      </c>
      <c r="HQ352" s="1605" t="s">
        <v>986</v>
      </c>
      <c r="HR352" s="1605" t="s">
        <v>986</v>
      </c>
      <c r="HS352" s="1605" t="s">
        <v>986</v>
      </c>
      <c r="HT352" s="1605" t="s">
        <v>986</v>
      </c>
      <c r="HU352" s="1605" t="s">
        <v>986</v>
      </c>
      <c r="HV352" s="1617"/>
      <c r="HW352" s="1617" t="s">
        <v>986</v>
      </c>
      <c r="HX352" s="1617" t="s">
        <v>986</v>
      </c>
      <c r="HY352" s="1617" t="s">
        <v>986</v>
      </c>
      <c r="HZ352" s="1603"/>
      <c r="IA352" s="1603"/>
      <c r="IB352" s="1603"/>
      <c r="IC352" s="1603" t="s">
        <v>270</v>
      </c>
      <c r="ID352" s="1603" t="s">
        <v>270</v>
      </c>
      <c r="IE352" s="1603" t="s">
        <v>270</v>
      </c>
      <c r="IF352" s="1603" t="s">
        <v>270</v>
      </c>
      <c r="IG352" s="1611" t="s">
        <v>270</v>
      </c>
      <c r="IH352" s="1616" t="s">
        <v>270</v>
      </c>
      <c r="II352" s="1615" t="s">
        <v>270</v>
      </c>
      <c r="IJ352" s="1613" t="s">
        <v>270</v>
      </c>
      <c r="IK352" s="1613" t="s">
        <v>270</v>
      </c>
      <c r="IL352" s="1614" t="s">
        <v>270</v>
      </c>
      <c r="IM352" s="1614" t="s">
        <v>270</v>
      </c>
      <c r="IN352" s="1612" t="s">
        <v>270</v>
      </c>
      <c r="IO352" s="1613" t="s">
        <v>270</v>
      </c>
      <c r="IP352" s="1607" t="s">
        <v>270</v>
      </c>
      <c r="IQ352" s="1612" t="s">
        <v>270</v>
      </c>
      <c r="IR352" s="1612" t="s">
        <v>270</v>
      </c>
      <c r="IS352" s="1607" t="s">
        <v>270</v>
      </c>
      <c r="IT352" s="1607" t="s">
        <v>270</v>
      </c>
      <c r="IU352" s="1611" t="s">
        <v>270</v>
      </c>
      <c r="IV352" s="1611" t="s">
        <v>270</v>
      </c>
      <c r="IW352" s="1611" t="s">
        <v>270</v>
      </c>
      <c r="IX352" s="1611" t="s">
        <v>270</v>
      </c>
      <c r="IY352" s="1611" t="s">
        <v>270</v>
      </c>
      <c r="IZ352" s="1611" t="s">
        <v>270</v>
      </c>
      <c r="JA352" s="1611" t="s">
        <v>270</v>
      </c>
      <c r="JB352" s="1611" t="s">
        <v>270</v>
      </c>
      <c r="JC352" s="1611" t="s">
        <v>270</v>
      </c>
      <c r="JD352" s="1611" t="s">
        <v>270</v>
      </c>
      <c r="JE352" s="1611" t="s">
        <v>270</v>
      </c>
      <c r="JF352" s="1611" t="s">
        <v>270</v>
      </c>
      <c r="JG352" s="1611" t="s">
        <v>270</v>
      </c>
      <c r="JH352" s="1611" t="s">
        <v>270</v>
      </c>
      <c r="JI352" s="1611" t="s">
        <v>270</v>
      </c>
      <c r="JJ352" s="1611" t="s">
        <v>270</v>
      </c>
      <c r="JK352" s="1607" t="str">
        <f t="shared" si="14"/>
        <v/>
      </c>
      <c r="JL352" s="1608" t="s">
        <v>270</v>
      </c>
      <c r="JM352" s="1610" t="s">
        <v>270</v>
      </c>
      <c r="JN352" s="1608" t="s">
        <v>270</v>
      </c>
      <c r="JO352" s="1609" t="s">
        <v>270</v>
      </c>
      <c r="JP352" s="1608" t="s">
        <v>270</v>
      </c>
      <c r="JQ352" s="1607" t="s">
        <v>270</v>
      </c>
      <c r="JR352" s="1606" t="s">
        <v>270</v>
      </c>
      <c r="JS352" s="1606" t="s">
        <v>270</v>
      </c>
      <c r="JT352" s="1606" t="s">
        <v>270</v>
      </c>
    </row>
    <row r="353" spans="1:280" ht="15" customHeight="1" x14ac:dyDescent="0.2">
      <c r="A353" s="1626" t="s">
        <v>270</v>
      </c>
      <c r="B353" s="1625" t="s">
        <v>270</v>
      </c>
      <c r="C353" s="1624" t="s">
        <v>270</v>
      </c>
      <c r="D353" s="1623" t="s">
        <v>270</v>
      </c>
      <c r="E353" s="1622" t="s">
        <v>270</v>
      </c>
      <c r="F353" s="1620" t="s">
        <v>270</v>
      </c>
      <c r="G353" s="1620" t="s">
        <v>270</v>
      </c>
      <c r="H353" s="1621" t="s">
        <v>270</v>
      </c>
      <c r="I353" s="1621" t="s">
        <v>270</v>
      </c>
      <c r="J353" s="1621" t="s">
        <v>270</v>
      </c>
      <c r="K353" s="1620" t="s">
        <v>270</v>
      </c>
      <c r="L353" s="1620" t="s">
        <v>270</v>
      </c>
      <c r="M353" s="1620" t="s">
        <v>270</v>
      </c>
      <c r="N353" s="1620" t="s">
        <v>270</v>
      </c>
      <c r="O353" s="1620" t="s">
        <v>270</v>
      </c>
      <c r="P353" s="1620" t="s">
        <v>270</v>
      </c>
      <c r="Q353" s="1603"/>
      <c r="R353" s="1620" t="s">
        <v>270</v>
      </c>
      <c r="S353" s="1620" t="s">
        <v>270</v>
      </c>
      <c r="T353" s="1620" t="s">
        <v>270</v>
      </c>
      <c r="U353" s="1620" t="s">
        <v>270</v>
      </c>
      <c r="V353" s="1620" t="s">
        <v>270</v>
      </c>
      <c r="W353" s="1620" t="s">
        <v>270</v>
      </c>
      <c r="X353" s="1620"/>
      <c r="Y353" s="1620" t="s">
        <v>270</v>
      </c>
      <c r="Z353" s="1620" t="s">
        <v>270</v>
      </c>
      <c r="AA353" s="1620" t="s">
        <v>270</v>
      </c>
      <c r="AB353" s="1620" t="s">
        <v>270</v>
      </c>
      <c r="AC353" s="1620" t="s">
        <v>270</v>
      </c>
      <c r="AD353" s="1620" t="s">
        <v>270</v>
      </c>
      <c r="AE353" s="1620" t="s">
        <v>270</v>
      </c>
      <c r="AF353" s="1620" t="s">
        <v>270</v>
      </c>
      <c r="AG353" s="1620" t="s">
        <v>270</v>
      </c>
      <c r="AH353" s="1620" t="s">
        <v>270</v>
      </c>
      <c r="AI353" s="1620" t="s">
        <v>270</v>
      </c>
      <c r="AJ353" s="1620" t="s">
        <v>270</v>
      </c>
      <c r="AK353" s="1620" t="s">
        <v>270</v>
      </c>
      <c r="AL353" s="1620"/>
      <c r="AM353" s="1620" t="s">
        <v>270</v>
      </c>
      <c r="AN353" s="1620" t="s">
        <v>270</v>
      </c>
      <c r="AO353" s="1620" t="s">
        <v>270</v>
      </c>
      <c r="AP353" s="1620" t="s">
        <v>270</v>
      </c>
      <c r="AQ353" s="1620" t="s">
        <v>270</v>
      </c>
      <c r="AR353" s="1620" t="s">
        <v>270</v>
      </c>
      <c r="AS353" s="1620" t="s">
        <v>270</v>
      </c>
      <c r="AT353" s="1620" t="s">
        <v>270</v>
      </c>
      <c r="AU353" s="1620" t="s">
        <v>270</v>
      </c>
      <c r="AV353" s="1620" t="s">
        <v>270</v>
      </c>
      <c r="AW353" s="1620" t="s">
        <v>270</v>
      </c>
      <c r="AX353" s="1620"/>
      <c r="AY353" s="1620" t="s">
        <v>986</v>
      </c>
      <c r="AZ353" s="1620" t="s">
        <v>986</v>
      </c>
      <c r="BA353" s="1620" t="s">
        <v>986</v>
      </c>
      <c r="BB353" s="1620" t="s">
        <v>986</v>
      </c>
      <c r="BC353" s="1620" t="s">
        <v>986</v>
      </c>
      <c r="BD353" s="1620" t="s">
        <v>986</v>
      </c>
      <c r="BE353" s="1620" t="s">
        <v>986</v>
      </c>
      <c r="BF353" s="1620" t="s">
        <v>986</v>
      </c>
      <c r="BG353" s="1620" t="s">
        <v>986</v>
      </c>
      <c r="BH353" s="1620" t="s">
        <v>986</v>
      </c>
      <c r="BI353" s="1620" t="s">
        <v>986</v>
      </c>
      <c r="BJ353" s="1603"/>
      <c r="BK353" s="1620" t="s">
        <v>270</v>
      </c>
      <c r="BL353" s="1620" t="s">
        <v>270</v>
      </c>
      <c r="BM353" s="1620" t="s">
        <v>270</v>
      </c>
      <c r="BN353" s="1620" t="s">
        <v>270</v>
      </c>
      <c r="BO353" s="1620"/>
      <c r="BP353" s="1620" t="s">
        <v>270</v>
      </c>
      <c r="BQ353" s="1620" t="s">
        <v>270</v>
      </c>
      <c r="BR353" s="1620" t="s">
        <v>270</v>
      </c>
      <c r="BS353" s="1620" t="s">
        <v>270</v>
      </c>
      <c r="BT353" s="1603"/>
      <c r="BU353" s="1620" t="s">
        <v>270</v>
      </c>
      <c r="BV353" s="1620" t="s">
        <v>270</v>
      </c>
      <c r="BW353" s="1620" t="s">
        <v>270</v>
      </c>
      <c r="BX353" s="1620" t="s">
        <v>270</v>
      </c>
      <c r="BY353" s="1620" t="s">
        <v>270</v>
      </c>
      <c r="BZ353" s="1620" t="s">
        <v>270</v>
      </c>
      <c r="CA353" s="1620" t="s">
        <v>270</v>
      </c>
      <c r="CB353" s="1603"/>
      <c r="CC353" s="1603" t="s">
        <v>270</v>
      </c>
      <c r="CD353" s="1603" t="s">
        <v>270</v>
      </c>
      <c r="CE353" s="1603" t="s">
        <v>270</v>
      </c>
      <c r="CF353" s="1603" t="s">
        <v>270</v>
      </c>
      <c r="CG353" s="1603" t="s">
        <v>270</v>
      </c>
      <c r="CH353" s="1603" t="s">
        <v>270</v>
      </c>
      <c r="CI353" s="1603" t="s">
        <v>270</v>
      </c>
      <c r="CJ353" s="1603"/>
      <c r="CK353" s="1603" t="s">
        <v>270</v>
      </c>
      <c r="CL353" s="1603" t="s">
        <v>270</v>
      </c>
      <c r="CM353" s="1603" t="s">
        <v>270</v>
      </c>
      <c r="CN353" s="1603" t="s">
        <v>270</v>
      </c>
      <c r="CO353" s="1603" t="s">
        <v>270</v>
      </c>
      <c r="CP353" s="1603" t="s">
        <v>270</v>
      </c>
      <c r="CQ353" s="1603" t="s">
        <v>270</v>
      </c>
      <c r="CR353" s="1603" t="s">
        <v>270</v>
      </c>
      <c r="CS353" s="1603" t="s">
        <v>270</v>
      </c>
      <c r="CT353" s="1603" t="s">
        <v>270</v>
      </c>
      <c r="CU353" s="1603" t="s">
        <v>270</v>
      </c>
      <c r="CV353" s="1603" t="s">
        <v>270</v>
      </c>
      <c r="CW353" s="1603" t="s">
        <v>270</v>
      </c>
      <c r="CX353" s="1603" t="s">
        <v>270</v>
      </c>
      <c r="CY353" s="1603" t="s">
        <v>270</v>
      </c>
      <c r="CZ353" s="1603" t="s">
        <v>270</v>
      </c>
      <c r="DA353" s="1603" t="s">
        <v>270</v>
      </c>
      <c r="DB353" s="1603" t="s">
        <v>270</v>
      </c>
      <c r="DC353" s="1603" t="s">
        <v>270</v>
      </c>
      <c r="DD353" s="1603" t="s">
        <v>270</v>
      </c>
      <c r="DE353" s="1603" t="s">
        <v>270</v>
      </c>
      <c r="DF353" s="1603" t="s">
        <v>270</v>
      </c>
      <c r="DG353" s="1603" t="s">
        <v>270</v>
      </c>
      <c r="DH353" s="1619" t="s">
        <v>270</v>
      </c>
      <c r="DI353" s="1603" t="s">
        <v>270</v>
      </c>
      <c r="DJ353" s="1603" t="s">
        <v>270</v>
      </c>
      <c r="DK353" s="1603" t="s">
        <v>270</v>
      </c>
      <c r="DL353" s="1603" t="s">
        <v>270</v>
      </c>
      <c r="DM353" s="1603" t="s">
        <v>270</v>
      </c>
      <c r="DN353" s="1603" t="s">
        <v>270</v>
      </c>
      <c r="DO353" s="1603" t="s">
        <v>270</v>
      </c>
      <c r="DP353" s="1603" t="s">
        <v>270</v>
      </c>
      <c r="DQ353" s="1603" t="s">
        <v>270</v>
      </c>
      <c r="DR353" s="1603" t="s">
        <v>270</v>
      </c>
      <c r="DS353" s="1603" t="s">
        <v>270</v>
      </c>
      <c r="DT353" s="1603" t="s">
        <v>270</v>
      </c>
      <c r="DU353" s="1603" t="s">
        <v>270</v>
      </c>
      <c r="DV353" s="1603" t="s">
        <v>270</v>
      </c>
      <c r="DW353" s="1618" t="s">
        <v>986</v>
      </c>
      <c r="DX353" s="1605" t="s">
        <v>986</v>
      </c>
      <c r="DY353" s="1605" t="s">
        <v>986</v>
      </c>
      <c r="DZ353" s="1605" t="s">
        <v>986</v>
      </c>
      <c r="EA353" s="1605" t="s">
        <v>986</v>
      </c>
      <c r="EB353" s="1605" t="s">
        <v>986</v>
      </c>
      <c r="EC353" s="1605" t="s">
        <v>986</v>
      </c>
      <c r="ED353" s="1605" t="s">
        <v>986</v>
      </c>
      <c r="EE353" s="1605" t="s">
        <v>986</v>
      </c>
      <c r="EF353" s="1605" t="s">
        <v>986</v>
      </c>
      <c r="EG353" s="1605" t="s">
        <v>986</v>
      </c>
      <c r="EH353" s="1605" t="s">
        <v>986</v>
      </c>
      <c r="EI353" s="1605" t="s">
        <v>986</v>
      </c>
      <c r="EJ353" s="1605" t="s">
        <v>986</v>
      </c>
      <c r="EK353" s="1605" t="s">
        <v>986</v>
      </c>
      <c r="EL353" s="1605" t="s">
        <v>986</v>
      </c>
      <c r="EM353" s="1605" t="s">
        <v>986</v>
      </c>
      <c r="EN353" s="1605" t="s">
        <v>986</v>
      </c>
      <c r="EO353" s="1605" t="s">
        <v>986</v>
      </c>
      <c r="EP353" s="1605" t="s">
        <v>986</v>
      </c>
      <c r="EQ353" s="1605" t="s">
        <v>986</v>
      </c>
      <c r="ER353" s="1605" t="s">
        <v>986</v>
      </c>
      <c r="ES353" s="1605" t="s">
        <v>986</v>
      </c>
      <c r="ET353" s="1605" t="s">
        <v>986</v>
      </c>
      <c r="EU353" s="1605" t="s">
        <v>986</v>
      </c>
      <c r="EV353" s="1605" t="s">
        <v>986</v>
      </c>
      <c r="EW353" s="1605" t="s">
        <v>986</v>
      </c>
      <c r="EX353" s="1605" t="s">
        <v>986</v>
      </c>
      <c r="EY353" s="1605" t="s">
        <v>986</v>
      </c>
      <c r="EZ353" s="1605" t="s">
        <v>986</v>
      </c>
      <c r="FA353" s="1605" t="s">
        <v>986</v>
      </c>
      <c r="FB353" s="1605" t="s">
        <v>986</v>
      </c>
      <c r="FC353" s="1605" t="s">
        <v>986</v>
      </c>
      <c r="FD353" s="1605" t="s">
        <v>986</v>
      </c>
      <c r="FE353" s="1605" t="s">
        <v>986</v>
      </c>
      <c r="FF353" s="1605" t="s">
        <v>986</v>
      </c>
      <c r="FG353" s="1605" t="s">
        <v>986</v>
      </c>
      <c r="FH353" s="1605" t="s">
        <v>986</v>
      </c>
      <c r="FI353" s="1605" t="s">
        <v>986</v>
      </c>
      <c r="FJ353" s="1605" t="s">
        <v>986</v>
      </c>
      <c r="FK353" s="1605" t="s">
        <v>986</v>
      </c>
      <c r="FL353" s="1605" t="s">
        <v>986</v>
      </c>
      <c r="FM353" s="1605" t="s">
        <v>986</v>
      </c>
      <c r="FN353" s="1605" t="s">
        <v>986</v>
      </c>
      <c r="FO353" s="1605" t="s">
        <v>986</v>
      </c>
      <c r="FP353" s="1605" t="s">
        <v>986</v>
      </c>
      <c r="FQ353" s="1605" t="s">
        <v>986</v>
      </c>
      <c r="FR353" s="1605" t="s">
        <v>986</v>
      </c>
      <c r="FS353" s="1605" t="s">
        <v>986</v>
      </c>
      <c r="FT353" s="1605" t="s">
        <v>986</v>
      </c>
      <c r="FU353" s="1605" t="s">
        <v>986</v>
      </c>
      <c r="FV353" s="1605" t="s">
        <v>986</v>
      </c>
      <c r="FW353" s="1605" t="s">
        <v>986</v>
      </c>
      <c r="FX353" s="1605" t="s">
        <v>986</v>
      </c>
      <c r="FY353" s="1605" t="s">
        <v>986</v>
      </c>
      <c r="FZ353" s="1605" t="s">
        <v>986</v>
      </c>
      <c r="GA353" s="1605" t="s">
        <v>986</v>
      </c>
      <c r="GB353" s="1605" t="s">
        <v>986</v>
      </c>
      <c r="GC353" s="1605" t="s">
        <v>986</v>
      </c>
      <c r="GD353" s="1605" t="s">
        <v>986</v>
      </c>
      <c r="GE353" s="1605" t="s">
        <v>986</v>
      </c>
      <c r="GF353" s="1605" t="s">
        <v>986</v>
      </c>
      <c r="GG353" s="1605" t="s">
        <v>986</v>
      </c>
      <c r="GH353" s="1605" t="s">
        <v>986</v>
      </c>
      <c r="GI353" s="1605" t="s">
        <v>986</v>
      </c>
      <c r="GJ353" s="1605" t="s">
        <v>986</v>
      </c>
      <c r="GK353" s="1605" t="s">
        <v>986</v>
      </c>
      <c r="GL353" s="1605" t="s">
        <v>986</v>
      </c>
      <c r="GM353" s="1605" t="s">
        <v>986</v>
      </c>
      <c r="GN353" s="1605" t="s">
        <v>986</v>
      </c>
      <c r="GO353" s="1605" t="s">
        <v>986</v>
      </c>
      <c r="GP353" s="1605" t="s">
        <v>986</v>
      </c>
      <c r="GQ353" s="1605" t="s">
        <v>986</v>
      </c>
      <c r="GR353" s="1605" t="s">
        <v>986</v>
      </c>
      <c r="GS353" s="1605" t="s">
        <v>986</v>
      </c>
      <c r="GT353" s="1605" t="s">
        <v>986</v>
      </c>
      <c r="GU353" s="1605" t="s">
        <v>986</v>
      </c>
      <c r="GV353" s="1605" t="s">
        <v>986</v>
      </c>
      <c r="GW353" s="1605" t="s">
        <v>986</v>
      </c>
      <c r="GX353" s="1605" t="s">
        <v>986</v>
      </c>
      <c r="GY353" s="1605" t="s">
        <v>986</v>
      </c>
      <c r="GZ353" s="1605" t="s">
        <v>986</v>
      </c>
      <c r="HA353" s="1605" t="s">
        <v>986</v>
      </c>
      <c r="HB353" s="1605" t="s">
        <v>986</v>
      </c>
      <c r="HC353" s="1605" t="s">
        <v>986</v>
      </c>
      <c r="HD353" s="1605" t="s">
        <v>986</v>
      </c>
      <c r="HE353" s="1605" t="s">
        <v>986</v>
      </c>
      <c r="HF353" s="1605" t="s">
        <v>986</v>
      </c>
      <c r="HG353" s="1605" t="s">
        <v>986</v>
      </c>
      <c r="HH353" s="1605" t="s">
        <v>986</v>
      </c>
      <c r="HI353" s="1605" t="s">
        <v>986</v>
      </c>
      <c r="HJ353" s="1605" t="s">
        <v>986</v>
      </c>
      <c r="HK353" s="1605" t="s">
        <v>986</v>
      </c>
      <c r="HL353" s="1605" t="s">
        <v>986</v>
      </c>
      <c r="HM353" s="1605" t="s">
        <v>986</v>
      </c>
      <c r="HN353" s="1605" t="s">
        <v>986</v>
      </c>
      <c r="HO353" s="1605" t="s">
        <v>986</v>
      </c>
      <c r="HP353" s="1605" t="s">
        <v>986</v>
      </c>
      <c r="HQ353" s="1605" t="s">
        <v>986</v>
      </c>
      <c r="HR353" s="1605" t="s">
        <v>986</v>
      </c>
      <c r="HS353" s="1605" t="s">
        <v>986</v>
      </c>
      <c r="HT353" s="1605" t="s">
        <v>986</v>
      </c>
      <c r="HU353" s="1605" t="s">
        <v>986</v>
      </c>
      <c r="HV353" s="1617"/>
      <c r="HW353" s="1617" t="s">
        <v>986</v>
      </c>
      <c r="HX353" s="1617" t="s">
        <v>986</v>
      </c>
      <c r="HY353" s="1617" t="s">
        <v>986</v>
      </c>
      <c r="HZ353" s="1603"/>
      <c r="IA353" s="1603"/>
      <c r="IB353" s="1603"/>
      <c r="IC353" s="1603" t="s">
        <v>270</v>
      </c>
      <c r="ID353" s="1603" t="s">
        <v>270</v>
      </c>
      <c r="IE353" s="1603" t="s">
        <v>270</v>
      </c>
      <c r="IF353" s="1603" t="s">
        <v>270</v>
      </c>
      <c r="IG353" s="1611" t="s">
        <v>270</v>
      </c>
      <c r="IH353" s="1616" t="s">
        <v>270</v>
      </c>
      <c r="II353" s="1615" t="s">
        <v>270</v>
      </c>
      <c r="IJ353" s="1613" t="s">
        <v>270</v>
      </c>
      <c r="IK353" s="1613" t="s">
        <v>270</v>
      </c>
      <c r="IL353" s="1614" t="s">
        <v>270</v>
      </c>
      <c r="IM353" s="1614" t="s">
        <v>270</v>
      </c>
      <c r="IN353" s="1612" t="s">
        <v>270</v>
      </c>
      <c r="IO353" s="1613" t="s">
        <v>270</v>
      </c>
      <c r="IP353" s="1607" t="s">
        <v>270</v>
      </c>
      <c r="IQ353" s="1612" t="s">
        <v>270</v>
      </c>
      <c r="IR353" s="1612" t="s">
        <v>270</v>
      </c>
      <c r="IS353" s="1607" t="s">
        <v>270</v>
      </c>
      <c r="IT353" s="1607" t="s">
        <v>270</v>
      </c>
      <c r="IU353" s="1611" t="s">
        <v>270</v>
      </c>
      <c r="IV353" s="1611" t="s">
        <v>270</v>
      </c>
      <c r="IW353" s="1611" t="s">
        <v>270</v>
      </c>
      <c r="IX353" s="1611" t="s">
        <v>270</v>
      </c>
      <c r="IY353" s="1611" t="s">
        <v>270</v>
      </c>
      <c r="IZ353" s="1611" t="s">
        <v>270</v>
      </c>
      <c r="JA353" s="1611" t="s">
        <v>270</v>
      </c>
      <c r="JB353" s="1611" t="s">
        <v>270</v>
      </c>
      <c r="JC353" s="1611" t="s">
        <v>270</v>
      </c>
      <c r="JD353" s="1611" t="s">
        <v>270</v>
      </c>
      <c r="JE353" s="1611" t="s">
        <v>270</v>
      </c>
      <c r="JF353" s="1611" t="s">
        <v>270</v>
      </c>
      <c r="JG353" s="1611" t="s">
        <v>270</v>
      </c>
      <c r="JH353" s="1611" t="s">
        <v>270</v>
      </c>
      <c r="JI353" s="1611" t="s">
        <v>270</v>
      </c>
      <c r="JJ353" s="1611" t="s">
        <v>270</v>
      </c>
      <c r="JK353" s="1607" t="str">
        <f t="shared" si="14"/>
        <v/>
      </c>
      <c r="JL353" s="1608" t="s">
        <v>270</v>
      </c>
      <c r="JM353" s="1610" t="s">
        <v>270</v>
      </c>
      <c r="JN353" s="1608" t="s">
        <v>270</v>
      </c>
      <c r="JO353" s="1609" t="s">
        <v>270</v>
      </c>
      <c r="JP353" s="1608" t="s">
        <v>270</v>
      </c>
      <c r="JQ353" s="1607" t="s">
        <v>270</v>
      </c>
      <c r="JR353" s="1606" t="s">
        <v>270</v>
      </c>
      <c r="JS353" s="1606" t="s">
        <v>270</v>
      </c>
      <c r="JT353" s="1606" t="s">
        <v>270</v>
      </c>
    </row>
    <row r="354" spans="1:280" ht="15" customHeight="1" x14ac:dyDescent="0.2">
      <c r="A354" s="1626" t="s">
        <v>270</v>
      </c>
      <c r="B354" s="1625" t="s">
        <v>270</v>
      </c>
      <c r="C354" s="1624" t="s">
        <v>270</v>
      </c>
      <c r="D354" s="1623" t="s">
        <v>270</v>
      </c>
      <c r="E354" s="1622" t="s">
        <v>270</v>
      </c>
      <c r="F354" s="1620" t="s">
        <v>270</v>
      </c>
      <c r="G354" s="1620" t="s">
        <v>270</v>
      </c>
      <c r="H354" s="1621" t="s">
        <v>270</v>
      </c>
      <c r="I354" s="1621" t="s">
        <v>270</v>
      </c>
      <c r="J354" s="1621" t="s">
        <v>270</v>
      </c>
      <c r="K354" s="1620" t="s">
        <v>270</v>
      </c>
      <c r="L354" s="1620" t="s">
        <v>270</v>
      </c>
      <c r="M354" s="1620" t="s">
        <v>270</v>
      </c>
      <c r="N354" s="1620" t="s">
        <v>270</v>
      </c>
      <c r="O354" s="1620" t="s">
        <v>270</v>
      </c>
      <c r="P354" s="1620" t="s">
        <v>270</v>
      </c>
      <c r="Q354" s="1603"/>
      <c r="R354" s="1620" t="s">
        <v>270</v>
      </c>
      <c r="S354" s="1620" t="s">
        <v>270</v>
      </c>
      <c r="T354" s="1620" t="s">
        <v>270</v>
      </c>
      <c r="U354" s="1620" t="s">
        <v>270</v>
      </c>
      <c r="V354" s="1620" t="s">
        <v>270</v>
      </c>
      <c r="W354" s="1620" t="s">
        <v>270</v>
      </c>
      <c r="X354" s="1620"/>
      <c r="Y354" s="1620" t="s">
        <v>270</v>
      </c>
      <c r="Z354" s="1620" t="s">
        <v>270</v>
      </c>
      <c r="AA354" s="1620" t="s">
        <v>270</v>
      </c>
      <c r="AB354" s="1620" t="s">
        <v>270</v>
      </c>
      <c r="AC354" s="1620" t="s">
        <v>270</v>
      </c>
      <c r="AD354" s="1620" t="s">
        <v>270</v>
      </c>
      <c r="AE354" s="1620" t="s">
        <v>270</v>
      </c>
      <c r="AF354" s="1620" t="s">
        <v>270</v>
      </c>
      <c r="AG354" s="1620" t="s">
        <v>270</v>
      </c>
      <c r="AH354" s="1620" t="s">
        <v>270</v>
      </c>
      <c r="AI354" s="1620" t="s">
        <v>270</v>
      </c>
      <c r="AJ354" s="1620" t="s">
        <v>270</v>
      </c>
      <c r="AK354" s="1620" t="s">
        <v>270</v>
      </c>
      <c r="AL354" s="1620"/>
      <c r="AM354" s="1620" t="s">
        <v>270</v>
      </c>
      <c r="AN354" s="1620" t="s">
        <v>270</v>
      </c>
      <c r="AO354" s="1620" t="s">
        <v>270</v>
      </c>
      <c r="AP354" s="1620" t="s">
        <v>270</v>
      </c>
      <c r="AQ354" s="1620" t="s">
        <v>270</v>
      </c>
      <c r="AR354" s="1620" t="s">
        <v>270</v>
      </c>
      <c r="AS354" s="1620" t="s">
        <v>270</v>
      </c>
      <c r="AT354" s="1620" t="s">
        <v>270</v>
      </c>
      <c r="AU354" s="1620" t="s">
        <v>270</v>
      </c>
      <c r="AV354" s="1620" t="s">
        <v>270</v>
      </c>
      <c r="AW354" s="1620" t="s">
        <v>270</v>
      </c>
      <c r="AX354" s="1620"/>
      <c r="AY354" s="1620" t="s">
        <v>986</v>
      </c>
      <c r="AZ354" s="1620" t="s">
        <v>986</v>
      </c>
      <c r="BA354" s="1620" t="s">
        <v>986</v>
      </c>
      <c r="BB354" s="1620" t="s">
        <v>986</v>
      </c>
      <c r="BC354" s="1620" t="s">
        <v>986</v>
      </c>
      <c r="BD354" s="1620" t="s">
        <v>986</v>
      </c>
      <c r="BE354" s="1620" t="s">
        <v>986</v>
      </c>
      <c r="BF354" s="1620" t="s">
        <v>986</v>
      </c>
      <c r="BG354" s="1620" t="s">
        <v>986</v>
      </c>
      <c r="BH354" s="1620" t="s">
        <v>986</v>
      </c>
      <c r="BI354" s="1620" t="s">
        <v>986</v>
      </c>
      <c r="BJ354" s="1603"/>
      <c r="BK354" s="1620" t="s">
        <v>270</v>
      </c>
      <c r="BL354" s="1620" t="s">
        <v>270</v>
      </c>
      <c r="BM354" s="1620" t="s">
        <v>270</v>
      </c>
      <c r="BN354" s="1620" t="s">
        <v>270</v>
      </c>
      <c r="BO354" s="1620"/>
      <c r="BP354" s="1620" t="s">
        <v>270</v>
      </c>
      <c r="BQ354" s="1620" t="s">
        <v>270</v>
      </c>
      <c r="BR354" s="1620" t="s">
        <v>270</v>
      </c>
      <c r="BS354" s="1620" t="s">
        <v>270</v>
      </c>
      <c r="BT354" s="1603"/>
      <c r="BU354" s="1620" t="s">
        <v>270</v>
      </c>
      <c r="BV354" s="1620" t="s">
        <v>270</v>
      </c>
      <c r="BW354" s="1620" t="s">
        <v>270</v>
      </c>
      <c r="BX354" s="1620" t="s">
        <v>270</v>
      </c>
      <c r="BY354" s="1620" t="s">
        <v>270</v>
      </c>
      <c r="BZ354" s="1620" t="s">
        <v>270</v>
      </c>
      <c r="CA354" s="1620" t="s">
        <v>270</v>
      </c>
      <c r="CB354" s="1603"/>
      <c r="CC354" s="1603" t="s">
        <v>270</v>
      </c>
      <c r="CD354" s="1603" t="s">
        <v>270</v>
      </c>
      <c r="CE354" s="1603" t="s">
        <v>270</v>
      </c>
      <c r="CF354" s="1603" t="s">
        <v>270</v>
      </c>
      <c r="CG354" s="1603" t="s">
        <v>270</v>
      </c>
      <c r="CH354" s="1603" t="s">
        <v>270</v>
      </c>
      <c r="CI354" s="1603" t="s">
        <v>270</v>
      </c>
      <c r="CJ354" s="1603"/>
      <c r="CK354" s="1603" t="s">
        <v>270</v>
      </c>
      <c r="CL354" s="1603" t="s">
        <v>270</v>
      </c>
      <c r="CM354" s="1603" t="s">
        <v>270</v>
      </c>
      <c r="CN354" s="1603" t="s">
        <v>270</v>
      </c>
      <c r="CO354" s="1603" t="s">
        <v>270</v>
      </c>
      <c r="CP354" s="1603" t="s">
        <v>270</v>
      </c>
      <c r="CQ354" s="1603" t="s">
        <v>270</v>
      </c>
      <c r="CR354" s="1603" t="s">
        <v>270</v>
      </c>
      <c r="CS354" s="1603" t="s">
        <v>270</v>
      </c>
      <c r="CT354" s="1603" t="s">
        <v>270</v>
      </c>
      <c r="CU354" s="1603" t="s">
        <v>270</v>
      </c>
      <c r="CV354" s="1603" t="s">
        <v>270</v>
      </c>
      <c r="CW354" s="1603" t="s">
        <v>270</v>
      </c>
      <c r="CX354" s="1603" t="s">
        <v>270</v>
      </c>
      <c r="CY354" s="1603" t="s">
        <v>270</v>
      </c>
      <c r="CZ354" s="1603" t="s">
        <v>270</v>
      </c>
      <c r="DA354" s="1603" t="s">
        <v>270</v>
      </c>
      <c r="DB354" s="1603" t="s">
        <v>270</v>
      </c>
      <c r="DC354" s="1603" t="s">
        <v>270</v>
      </c>
      <c r="DD354" s="1603" t="s">
        <v>270</v>
      </c>
      <c r="DE354" s="1603" t="s">
        <v>270</v>
      </c>
      <c r="DF354" s="1603" t="s">
        <v>270</v>
      </c>
      <c r="DG354" s="1603" t="s">
        <v>270</v>
      </c>
      <c r="DH354" s="1619" t="s">
        <v>270</v>
      </c>
      <c r="DI354" s="1603" t="s">
        <v>270</v>
      </c>
      <c r="DJ354" s="1603" t="s">
        <v>270</v>
      </c>
      <c r="DK354" s="1603" t="s">
        <v>270</v>
      </c>
      <c r="DL354" s="1603" t="s">
        <v>270</v>
      </c>
      <c r="DM354" s="1603" t="s">
        <v>270</v>
      </c>
      <c r="DN354" s="1603" t="s">
        <v>270</v>
      </c>
      <c r="DO354" s="1603" t="s">
        <v>270</v>
      </c>
      <c r="DP354" s="1603" t="s">
        <v>270</v>
      </c>
      <c r="DQ354" s="1603" t="s">
        <v>270</v>
      </c>
      <c r="DR354" s="1603" t="s">
        <v>270</v>
      </c>
      <c r="DS354" s="1603" t="s">
        <v>270</v>
      </c>
      <c r="DT354" s="1603" t="s">
        <v>270</v>
      </c>
      <c r="DU354" s="1603" t="s">
        <v>270</v>
      </c>
      <c r="DV354" s="1603" t="s">
        <v>270</v>
      </c>
      <c r="DW354" s="1618" t="s">
        <v>986</v>
      </c>
      <c r="DX354" s="1605" t="s">
        <v>986</v>
      </c>
      <c r="DY354" s="1605" t="s">
        <v>986</v>
      </c>
      <c r="DZ354" s="1605" t="s">
        <v>986</v>
      </c>
      <c r="EA354" s="1605" t="s">
        <v>986</v>
      </c>
      <c r="EB354" s="1605" t="s">
        <v>986</v>
      </c>
      <c r="EC354" s="1605" t="s">
        <v>986</v>
      </c>
      <c r="ED354" s="1605" t="s">
        <v>986</v>
      </c>
      <c r="EE354" s="1605" t="s">
        <v>986</v>
      </c>
      <c r="EF354" s="1605" t="s">
        <v>986</v>
      </c>
      <c r="EG354" s="1605" t="s">
        <v>986</v>
      </c>
      <c r="EH354" s="1605" t="s">
        <v>986</v>
      </c>
      <c r="EI354" s="1605" t="s">
        <v>986</v>
      </c>
      <c r="EJ354" s="1605" t="s">
        <v>986</v>
      </c>
      <c r="EK354" s="1605" t="s">
        <v>986</v>
      </c>
      <c r="EL354" s="1605" t="s">
        <v>986</v>
      </c>
      <c r="EM354" s="1605" t="s">
        <v>986</v>
      </c>
      <c r="EN354" s="1605" t="s">
        <v>986</v>
      </c>
      <c r="EO354" s="1605" t="s">
        <v>986</v>
      </c>
      <c r="EP354" s="1605" t="s">
        <v>986</v>
      </c>
      <c r="EQ354" s="1605" t="s">
        <v>986</v>
      </c>
      <c r="ER354" s="1605" t="s">
        <v>986</v>
      </c>
      <c r="ES354" s="1605" t="s">
        <v>986</v>
      </c>
      <c r="ET354" s="1605" t="s">
        <v>986</v>
      </c>
      <c r="EU354" s="1605" t="s">
        <v>986</v>
      </c>
      <c r="EV354" s="1605" t="s">
        <v>986</v>
      </c>
      <c r="EW354" s="1605" t="s">
        <v>986</v>
      </c>
      <c r="EX354" s="1605" t="s">
        <v>986</v>
      </c>
      <c r="EY354" s="1605" t="s">
        <v>986</v>
      </c>
      <c r="EZ354" s="1605" t="s">
        <v>986</v>
      </c>
      <c r="FA354" s="1605" t="s">
        <v>986</v>
      </c>
      <c r="FB354" s="1605" t="s">
        <v>986</v>
      </c>
      <c r="FC354" s="1605" t="s">
        <v>986</v>
      </c>
      <c r="FD354" s="1605" t="s">
        <v>986</v>
      </c>
      <c r="FE354" s="1605" t="s">
        <v>986</v>
      </c>
      <c r="FF354" s="1605" t="s">
        <v>986</v>
      </c>
      <c r="FG354" s="1605" t="s">
        <v>986</v>
      </c>
      <c r="FH354" s="1605" t="s">
        <v>986</v>
      </c>
      <c r="FI354" s="1605" t="s">
        <v>986</v>
      </c>
      <c r="FJ354" s="1605" t="s">
        <v>986</v>
      </c>
      <c r="FK354" s="1605" t="s">
        <v>986</v>
      </c>
      <c r="FL354" s="1605" t="s">
        <v>986</v>
      </c>
      <c r="FM354" s="1605" t="s">
        <v>986</v>
      </c>
      <c r="FN354" s="1605" t="s">
        <v>986</v>
      </c>
      <c r="FO354" s="1605" t="s">
        <v>986</v>
      </c>
      <c r="FP354" s="1605" t="s">
        <v>986</v>
      </c>
      <c r="FQ354" s="1605" t="s">
        <v>986</v>
      </c>
      <c r="FR354" s="1605" t="s">
        <v>986</v>
      </c>
      <c r="FS354" s="1605" t="s">
        <v>986</v>
      </c>
      <c r="FT354" s="1605" t="s">
        <v>986</v>
      </c>
      <c r="FU354" s="1605" t="s">
        <v>986</v>
      </c>
      <c r="FV354" s="1605" t="s">
        <v>986</v>
      </c>
      <c r="FW354" s="1605" t="s">
        <v>986</v>
      </c>
      <c r="FX354" s="1605" t="s">
        <v>986</v>
      </c>
      <c r="FY354" s="1605" t="s">
        <v>986</v>
      </c>
      <c r="FZ354" s="1605" t="s">
        <v>986</v>
      </c>
      <c r="GA354" s="1605" t="s">
        <v>986</v>
      </c>
      <c r="GB354" s="1605" t="s">
        <v>986</v>
      </c>
      <c r="GC354" s="1605" t="s">
        <v>986</v>
      </c>
      <c r="GD354" s="1605" t="s">
        <v>986</v>
      </c>
      <c r="GE354" s="1605" t="s">
        <v>986</v>
      </c>
      <c r="GF354" s="1605" t="s">
        <v>986</v>
      </c>
      <c r="GG354" s="1605" t="s">
        <v>986</v>
      </c>
      <c r="GH354" s="1605" t="s">
        <v>986</v>
      </c>
      <c r="GI354" s="1605" t="s">
        <v>986</v>
      </c>
      <c r="GJ354" s="1605" t="s">
        <v>986</v>
      </c>
      <c r="GK354" s="1605" t="s">
        <v>986</v>
      </c>
      <c r="GL354" s="1605" t="s">
        <v>986</v>
      </c>
      <c r="GM354" s="1605" t="s">
        <v>986</v>
      </c>
      <c r="GN354" s="1605" t="s">
        <v>986</v>
      </c>
      <c r="GO354" s="1605" t="s">
        <v>986</v>
      </c>
      <c r="GP354" s="1605" t="s">
        <v>986</v>
      </c>
      <c r="GQ354" s="1605" t="s">
        <v>986</v>
      </c>
      <c r="GR354" s="1605" t="s">
        <v>986</v>
      </c>
      <c r="GS354" s="1605" t="s">
        <v>986</v>
      </c>
      <c r="GT354" s="1605" t="s">
        <v>986</v>
      </c>
      <c r="GU354" s="1605" t="s">
        <v>986</v>
      </c>
      <c r="GV354" s="1605" t="s">
        <v>986</v>
      </c>
      <c r="GW354" s="1605" t="s">
        <v>986</v>
      </c>
      <c r="GX354" s="1605" t="s">
        <v>986</v>
      </c>
      <c r="GY354" s="1605" t="s">
        <v>986</v>
      </c>
      <c r="GZ354" s="1605" t="s">
        <v>986</v>
      </c>
      <c r="HA354" s="1605" t="s">
        <v>986</v>
      </c>
      <c r="HB354" s="1605" t="s">
        <v>986</v>
      </c>
      <c r="HC354" s="1605" t="s">
        <v>986</v>
      </c>
      <c r="HD354" s="1605" t="s">
        <v>986</v>
      </c>
      <c r="HE354" s="1605" t="s">
        <v>986</v>
      </c>
      <c r="HF354" s="1605" t="s">
        <v>986</v>
      </c>
      <c r="HG354" s="1605" t="s">
        <v>986</v>
      </c>
      <c r="HH354" s="1605" t="s">
        <v>986</v>
      </c>
      <c r="HI354" s="1605" t="s">
        <v>986</v>
      </c>
      <c r="HJ354" s="1605" t="s">
        <v>986</v>
      </c>
      <c r="HK354" s="1605" t="s">
        <v>986</v>
      </c>
      <c r="HL354" s="1605" t="s">
        <v>986</v>
      </c>
      <c r="HM354" s="1605" t="s">
        <v>986</v>
      </c>
      <c r="HN354" s="1605" t="s">
        <v>986</v>
      </c>
      <c r="HO354" s="1605" t="s">
        <v>986</v>
      </c>
      <c r="HP354" s="1605" t="s">
        <v>986</v>
      </c>
      <c r="HQ354" s="1605" t="s">
        <v>986</v>
      </c>
      <c r="HR354" s="1605" t="s">
        <v>986</v>
      </c>
      <c r="HS354" s="1605" t="s">
        <v>986</v>
      </c>
      <c r="HT354" s="1605" t="s">
        <v>986</v>
      </c>
      <c r="HU354" s="1605" t="s">
        <v>986</v>
      </c>
      <c r="HV354" s="1617"/>
      <c r="HW354" s="1617" t="s">
        <v>986</v>
      </c>
      <c r="HX354" s="1617" t="s">
        <v>986</v>
      </c>
      <c r="HY354" s="1617" t="s">
        <v>986</v>
      </c>
      <c r="HZ354" s="1603"/>
      <c r="IA354" s="1603"/>
      <c r="IB354" s="1603"/>
      <c r="IC354" s="1603" t="s">
        <v>270</v>
      </c>
      <c r="ID354" s="1603" t="s">
        <v>270</v>
      </c>
      <c r="IE354" s="1603" t="s">
        <v>270</v>
      </c>
      <c r="IF354" s="1603" t="s">
        <v>270</v>
      </c>
      <c r="IG354" s="1611" t="s">
        <v>270</v>
      </c>
      <c r="IH354" s="1616" t="s">
        <v>270</v>
      </c>
      <c r="II354" s="1615" t="s">
        <v>270</v>
      </c>
      <c r="IJ354" s="1613" t="s">
        <v>270</v>
      </c>
      <c r="IK354" s="1613" t="s">
        <v>270</v>
      </c>
      <c r="IL354" s="1614" t="s">
        <v>270</v>
      </c>
      <c r="IM354" s="1614" t="s">
        <v>270</v>
      </c>
      <c r="IN354" s="1612" t="s">
        <v>270</v>
      </c>
      <c r="IO354" s="1613" t="s">
        <v>270</v>
      </c>
      <c r="IP354" s="1607" t="s">
        <v>270</v>
      </c>
      <c r="IQ354" s="1612" t="s">
        <v>270</v>
      </c>
      <c r="IR354" s="1612" t="s">
        <v>270</v>
      </c>
      <c r="IS354" s="1607" t="s">
        <v>270</v>
      </c>
      <c r="IT354" s="1607" t="s">
        <v>270</v>
      </c>
      <c r="IU354" s="1611" t="s">
        <v>270</v>
      </c>
      <c r="IV354" s="1611" t="s">
        <v>270</v>
      </c>
      <c r="IW354" s="1611" t="s">
        <v>270</v>
      </c>
      <c r="IX354" s="1611" t="s">
        <v>270</v>
      </c>
      <c r="IY354" s="1611" t="s">
        <v>270</v>
      </c>
      <c r="IZ354" s="1611" t="s">
        <v>270</v>
      </c>
      <c r="JA354" s="1611" t="s">
        <v>270</v>
      </c>
      <c r="JB354" s="1611" t="s">
        <v>270</v>
      </c>
      <c r="JC354" s="1611" t="s">
        <v>270</v>
      </c>
      <c r="JD354" s="1611" t="s">
        <v>270</v>
      </c>
      <c r="JE354" s="1611" t="s">
        <v>270</v>
      </c>
      <c r="JF354" s="1611" t="s">
        <v>270</v>
      </c>
      <c r="JG354" s="1611" t="s">
        <v>270</v>
      </c>
      <c r="JH354" s="1611" t="s">
        <v>270</v>
      </c>
      <c r="JI354" s="1611" t="s">
        <v>270</v>
      </c>
      <c r="JJ354" s="1611" t="s">
        <v>270</v>
      </c>
      <c r="JK354" s="1607" t="str">
        <f t="shared" si="14"/>
        <v/>
      </c>
      <c r="JL354" s="1608" t="s">
        <v>270</v>
      </c>
      <c r="JM354" s="1610" t="s">
        <v>270</v>
      </c>
      <c r="JN354" s="1608" t="s">
        <v>270</v>
      </c>
      <c r="JO354" s="1609" t="s">
        <v>270</v>
      </c>
      <c r="JP354" s="1608" t="s">
        <v>270</v>
      </c>
      <c r="JQ354" s="1607" t="s">
        <v>270</v>
      </c>
      <c r="JR354" s="1606" t="s">
        <v>270</v>
      </c>
      <c r="JS354" s="1606" t="s">
        <v>270</v>
      </c>
      <c r="JT354" s="1606" t="s">
        <v>270</v>
      </c>
    </row>
    <row r="355" spans="1:280" ht="15" customHeight="1" x14ac:dyDescent="0.2">
      <c r="A355" s="1626" t="s">
        <v>270</v>
      </c>
      <c r="B355" s="1625" t="s">
        <v>270</v>
      </c>
      <c r="C355" s="1624" t="s">
        <v>270</v>
      </c>
      <c r="D355" s="1623" t="s">
        <v>270</v>
      </c>
      <c r="E355" s="1622" t="s">
        <v>270</v>
      </c>
      <c r="F355" s="1620" t="s">
        <v>270</v>
      </c>
      <c r="G355" s="1620" t="s">
        <v>270</v>
      </c>
      <c r="H355" s="1621" t="s">
        <v>270</v>
      </c>
      <c r="I355" s="1621" t="s">
        <v>270</v>
      </c>
      <c r="J355" s="1621" t="s">
        <v>270</v>
      </c>
      <c r="K355" s="1620" t="s">
        <v>270</v>
      </c>
      <c r="L355" s="1620" t="s">
        <v>270</v>
      </c>
      <c r="M355" s="1620" t="s">
        <v>270</v>
      </c>
      <c r="N355" s="1620" t="s">
        <v>270</v>
      </c>
      <c r="O355" s="1620" t="s">
        <v>270</v>
      </c>
      <c r="P355" s="1620" t="s">
        <v>270</v>
      </c>
      <c r="Q355" s="1603"/>
      <c r="R355" s="1620" t="s">
        <v>270</v>
      </c>
      <c r="S355" s="1620" t="s">
        <v>270</v>
      </c>
      <c r="T355" s="1620" t="s">
        <v>270</v>
      </c>
      <c r="U355" s="1620" t="s">
        <v>270</v>
      </c>
      <c r="V355" s="1620" t="s">
        <v>270</v>
      </c>
      <c r="W355" s="1620" t="s">
        <v>270</v>
      </c>
      <c r="X355" s="1620"/>
      <c r="Y355" s="1620" t="s">
        <v>270</v>
      </c>
      <c r="Z355" s="1620" t="s">
        <v>270</v>
      </c>
      <c r="AA355" s="1620" t="s">
        <v>270</v>
      </c>
      <c r="AB355" s="1620" t="s">
        <v>270</v>
      </c>
      <c r="AC355" s="1620" t="s">
        <v>270</v>
      </c>
      <c r="AD355" s="1620" t="s">
        <v>270</v>
      </c>
      <c r="AE355" s="1620" t="s">
        <v>270</v>
      </c>
      <c r="AF355" s="1620" t="s">
        <v>270</v>
      </c>
      <c r="AG355" s="1620" t="s">
        <v>270</v>
      </c>
      <c r="AH355" s="1620" t="s">
        <v>270</v>
      </c>
      <c r="AI355" s="1620" t="s">
        <v>270</v>
      </c>
      <c r="AJ355" s="1620" t="s">
        <v>270</v>
      </c>
      <c r="AK355" s="1620" t="s">
        <v>270</v>
      </c>
      <c r="AL355" s="1620"/>
      <c r="AM355" s="1620" t="s">
        <v>270</v>
      </c>
      <c r="AN355" s="1620" t="s">
        <v>270</v>
      </c>
      <c r="AO355" s="1620" t="s">
        <v>270</v>
      </c>
      <c r="AP355" s="1620" t="s">
        <v>270</v>
      </c>
      <c r="AQ355" s="1620" t="s">
        <v>270</v>
      </c>
      <c r="AR355" s="1620" t="s">
        <v>270</v>
      </c>
      <c r="AS355" s="1620" t="s">
        <v>270</v>
      </c>
      <c r="AT355" s="1620" t="s">
        <v>270</v>
      </c>
      <c r="AU355" s="1620" t="s">
        <v>270</v>
      </c>
      <c r="AV355" s="1620" t="s">
        <v>270</v>
      </c>
      <c r="AW355" s="1620" t="s">
        <v>270</v>
      </c>
      <c r="AX355" s="1620"/>
      <c r="AY355" s="1620" t="s">
        <v>986</v>
      </c>
      <c r="AZ355" s="1620" t="s">
        <v>986</v>
      </c>
      <c r="BA355" s="1620" t="s">
        <v>986</v>
      </c>
      <c r="BB355" s="1620" t="s">
        <v>986</v>
      </c>
      <c r="BC355" s="1620" t="s">
        <v>986</v>
      </c>
      <c r="BD355" s="1620" t="s">
        <v>986</v>
      </c>
      <c r="BE355" s="1620" t="s">
        <v>986</v>
      </c>
      <c r="BF355" s="1620" t="s">
        <v>986</v>
      </c>
      <c r="BG355" s="1620" t="s">
        <v>986</v>
      </c>
      <c r="BH355" s="1620" t="s">
        <v>986</v>
      </c>
      <c r="BI355" s="1620" t="s">
        <v>986</v>
      </c>
      <c r="BJ355" s="1603"/>
      <c r="BK355" s="1620" t="s">
        <v>270</v>
      </c>
      <c r="BL355" s="1620" t="s">
        <v>270</v>
      </c>
      <c r="BM355" s="1620" t="s">
        <v>270</v>
      </c>
      <c r="BN355" s="1620" t="s">
        <v>270</v>
      </c>
      <c r="BO355" s="1620"/>
      <c r="BP355" s="1620" t="s">
        <v>270</v>
      </c>
      <c r="BQ355" s="1620" t="s">
        <v>270</v>
      </c>
      <c r="BR355" s="1620" t="s">
        <v>270</v>
      </c>
      <c r="BS355" s="1620" t="s">
        <v>270</v>
      </c>
      <c r="BT355" s="1603"/>
      <c r="BU355" s="1620" t="s">
        <v>270</v>
      </c>
      <c r="BV355" s="1620" t="s">
        <v>270</v>
      </c>
      <c r="BW355" s="1620" t="s">
        <v>270</v>
      </c>
      <c r="BX355" s="1620" t="s">
        <v>270</v>
      </c>
      <c r="BY355" s="1620" t="s">
        <v>270</v>
      </c>
      <c r="BZ355" s="1620" t="s">
        <v>270</v>
      </c>
      <c r="CA355" s="1620" t="s">
        <v>270</v>
      </c>
      <c r="CB355" s="1603"/>
      <c r="CC355" s="1603" t="s">
        <v>270</v>
      </c>
      <c r="CD355" s="1603" t="s">
        <v>270</v>
      </c>
      <c r="CE355" s="1603" t="s">
        <v>270</v>
      </c>
      <c r="CF355" s="1603" t="s">
        <v>270</v>
      </c>
      <c r="CG355" s="1603" t="s">
        <v>270</v>
      </c>
      <c r="CH355" s="1603" t="s">
        <v>270</v>
      </c>
      <c r="CI355" s="1603" t="s">
        <v>270</v>
      </c>
      <c r="CJ355" s="1603"/>
      <c r="CK355" s="1603" t="s">
        <v>270</v>
      </c>
      <c r="CL355" s="1603" t="s">
        <v>270</v>
      </c>
      <c r="CM355" s="1603" t="s">
        <v>270</v>
      </c>
      <c r="CN355" s="1603" t="s">
        <v>270</v>
      </c>
      <c r="CO355" s="1603" t="s">
        <v>270</v>
      </c>
      <c r="CP355" s="1603" t="s">
        <v>270</v>
      </c>
      <c r="CQ355" s="1603" t="s">
        <v>270</v>
      </c>
      <c r="CR355" s="1603" t="s">
        <v>270</v>
      </c>
      <c r="CS355" s="1603" t="s">
        <v>270</v>
      </c>
      <c r="CT355" s="1603" t="s">
        <v>270</v>
      </c>
      <c r="CU355" s="1603" t="s">
        <v>270</v>
      </c>
      <c r="CV355" s="1603" t="s">
        <v>270</v>
      </c>
      <c r="CW355" s="1603" t="s">
        <v>270</v>
      </c>
      <c r="CX355" s="1603" t="s">
        <v>270</v>
      </c>
      <c r="CY355" s="1603" t="s">
        <v>270</v>
      </c>
      <c r="CZ355" s="1603" t="s">
        <v>270</v>
      </c>
      <c r="DA355" s="1603" t="s">
        <v>270</v>
      </c>
      <c r="DB355" s="1603" t="s">
        <v>270</v>
      </c>
      <c r="DC355" s="1603" t="s">
        <v>270</v>
      </c>
      <c r="DD355" s="1603" t="s">
        <v>270</v>
      </c>
      <c r="DE355" s="1603" t="s">
        <v>270</v>
      </c>
      <c r="DF355" s="1603" t="s">
        <v>270</v>
      </c>
      <c r="DG355" s="1603" t="s">
        <v>270</v>
      </c>
      <c r="DH355" s="1619" t="s">
        <v>270</v>
      </c>
      <c r="DI355" s="1603" t="s">
        <v>270</v>
      </c>
      <c r="DJ355" s="1603" t="s">
        <v>270</v>
      </c>
      <c r="DK355" s="1603" t="s">
        <v>270</v>
      </c>
      <c r="DL355" s="1603" t="s">
        <v>270</v>
      </c>
      <c r="DM355" s="1603" t="s">
        <v>270</v>
      </c>
      <c r="DN355" s="1603" t="s">
        <v>270</v>
      </c>
      <c r="DO355" s="1603" t="s">
        <v>270</v>
      </c>
      <c r="DP355" s="1603" t="s">
        <v>270</v>
      </c>
      <c r="DQ355" s="1603" t="s">
        <v>270</v>
      </c>
      <c r="DR355" s="1603" t="s">
        <v>270</v>
      </c>
      <c r="DS355" s="1603" t="s">
        <v>270</v>
      </c>
      <c r="DT355" s="1603" t="s">
        <v>270</v>
      </c>
      <c r="DU355" s="1603" t="s">
        <v>270</v>
      </c>
      <c r="DV355" s="1603" t="s">
        <v>270</v>
      </c>
      <c r="DW355" s="1618" t="s">
        <v>986</v>
      </c>
      <c r="DX355" s="1605" t="s">
        <v>986</v>
      </c>
      <c r="DY355" s="1605" t="s">
        <v>986</v>
      </c>
      <c r="DZ355" s="1605" t="s">
        <v>986</v>
      </c>
      <c r="EA355" s="1605" t="s">
        <v>986</v>
      </c>
      <c r="EB355" s="1605" t="s">
        <v>986</v>
      </c>
      <c r="EC355" s="1605" t="s">
        <v>986</v>
      </c>
      <c r="ED355" s="1605" t="s">
        <v>986</v>
      </c>
      <c r="EE355" s="1605" t="s">
        <v>986</v>
      </c>
      <c r="EF355" s="1605" t="s">
        <v>986</v>
      </c>
      <c r="EG355" s="1605" t="s">
        <v>986</v>
      </c>
      <c r="EH355" s="1605" t="s">
        <v>986</v>
      </c>
      <c r="EI355" s="1605" t="s">
        <v>986</v>
      </c>
      <c r="EJ355" s="1605" t="s">
        <v>986</v>
      </c>
      <c r="EK355" s="1605" t="s">
        <v>986</v>
      </c>
      <c r="EL355" s="1605" t="s">
        <v>986</v>
      </c>
      <c r="EM355" s="1605" t="s">
        <v>986</v>
      </c>
      <c r="EN355" s="1605" t="s">
        <v>986</v>
      </c>
      <c r="EO355" s="1605" t="s">
        <v>986</v>
      </c>
      <c r="EP355" s="1605" t="s">
        <v>986</v>
      </c>
      <c r="EQ355" s="1605" t="s">
        <v>986</v>
      </c>
      <c r="ER355" s="1605" t="s">
        <v>986</v>
      </c>
      <c r="ES355" s="1605" t="s">
        <v>986</v>
      </c>
      <c r="ET355" s="1605" t="s">
        <v>986</v>
      </c>
      <c r="EU355" s="1605" t="s">
        <v>986</v>
      </c>
      <c r="EV355" s="1605" t="s">
        <v>986</v>
      </c>
      <c r="EW355" s="1605" t="s">
        <v>986</v>
      </c>
      <c r="EX355" s="1605" t="s">
        <v>986</v>
      </c>
      <c r="EY355" s="1605" t="s">
        <v>986</v>
      </c>
      <c r="EZ355" s="1605" t="s">
        <v>986</v>
      </c>
      <c r="FA355" s="1605" t="s">
        <v>986</v>
      </c>
      <c r="FB355" s="1605" t="s">
        <v>986</v>
      </c>
      <c r="FC355" s="1605" t="s">
        <v>986</v>
      </c>
      <c r="FD355" s="1605" t="s">
        <v>986</v>
      </c>
      <c r="FE355" s="1605" t="s">
        <v>986</v>
      </c>
      <c r="FF355" s="1605" t="s">
        <v>986</v>
      </c>
      <c r="FG355" s="1605" t="s">
        <v>986</v>
      </c>
      <c r="FH355" s="1605" t="s">
        <v>986</v>
      </c>
      <c r="FI355" s="1605" t="s">
        <v>986</v>
      </c>
      <c r="FJ355" s="1605" t="s">
        <v>986</v>
      </c>
      <c r="FK355" s="1605" t="s">
        <v>986</v>
      </c>
      <c r="FL355" s="1605" t="s">
        <v>986</v>
      </c>
      <c r="FM355" s="1605" t="s">
        <v>986</v>
      </c>
      <c r="FN355" s="1605" t="s">
        <v>986</v>
      </c>
      <c r="FO355" s="1605" t="s">
        <v>986</v>
      </c>
      <c r="FP355" s="1605" t="s">
        <v>986</v>
      </c>
      <c r="FQ355" s="1605" t="s">
        <v>986</v>
      </c>
      <c r="FR355" s="1605" t="s">
        <v>986</v>
      </c>
      <c r="FS355" s="1605" t="s">
        <v>986</v>
      </c>
      <c r="FT355" s="1605" t="s">
        <v>986</v>
      </c>
      <c r="FU355" s="1605" t="s">
        <v>986</v>
      </c>
      <c r="FV355" s="1605" t="s">
        <v>986</v>
      </c>
      <c r="FW355" s="1605" t="s">
        <v>986</v>
      </c>
      <c r="FX355" s="1605" t="s">
        <v>986</v>
      </c>
      <c r="FY355" s="1605" t="s">
        <v>986</v>
      </c>
      <c r="FZ355" s="1605" t="s">
        <v>986</v>
      </c>
      <c r="GA355" s="1605" t="s">
        <v>986</v>
      </c>
      <c r="GB355" s="1605" t="s">
        <v>986</v>
      </c>
      <c r="GC355" s="1605" t="s">
        <v>986</v>
      </c>
      <c r="GD355" s="1605" t="s">
        <v>986</v>
      </c>
      <c r="GE355" s="1605" t="s">
        <v>986</v>
      </c>
      <c r="GF355" s="1605" t="s">
        <v>986</v>
      </c>
      <c r="GG355" s="1605" t="s">
        <v>986</v>
      </c>
      <c r="GH355" s="1605" t="s">
        <v>986</v>
      </c>
      <c r="GI355" s="1605" t="s">
        <v>986</v>
      </c>
      <c r="GJ355" s="1605" t="s">
        <v>986</v>
      </c>
      <c r="GK355" s="1605" t="s">
        <v>986</v>
      </c>
      <c r="GL355" s="1605" t="s">
        <v>986</v>
      </c>
      <c r="GM355" s="1605" t="s">
        <v>986</v>
      </c>
      <c r="GN355" s="1605" t="s">
        <v>986</v>
      </c>
      <c r="GO355" s="1605" t="s">
        <v>986</v>
      </c>
      <c r="GP355" s="1605" t="s">
        <v>986</v>
      </c>
      <c r="GQ355" s="1605" t="s">
        <v>986</v>
      </c>
      <c r="GR355" s="1605" t="s">
        <v>986</v>
      </c>
      <c r="GS355" s="1605" t="s">
        <v>986</v>
      </c>
      <c r="GT355" s="1605" t="s">
        <v>986</v>
      </c>
      <c r="GU355" s="1605" t="s">
        <v>986</v>
      </c>
      <c r="GV355" s="1605" t="s">
        <v>986</v>
      </c>
      <c r="GW355" s="1605" t="s">
        <v>986</v>
      </c>
      <c r="GX355" s="1605" t="s">
        <v>986</v>
      </c>
      <c r="GY355" s="1605" t="s">
        <v>986</v>
      </c>
      <c r="GZ355" s="1605" t="s">
        <v>986</v>
      </c>
      <c r="HA355" s="1605" t="s">
        <v>986</v>
      </c>
      <c r="HB355" s="1605" t="s">
        <v>986</v>
      </c>
      <c r="HC355" s="1605" t="s">
        <v>986</v>
      </c>
      <c r="HD355" s="1605" t="s">
        <v>986</v>
      </c>
      <c r="HE355" s="1605" t="s">
        <v>986</v>
      </c>
      <c r="HF355" s="1605" t="s">
        <v>986</v>
      </c>
      <c r="HG355" s="1605" t="s">
        <v>986</v>
      </c>
      <c r="HH355" s="1605" t="s">
        <v>986</v>
      </c>
      <c r="HI355" s="1605" t="s">
        <v>986</v>
      </c>
      <c r="HJ355" s="1605" t="s">
        <v>986</v>
      </c>
      <c r="HK355" s="1605" t="s">
        <v>986</v>
      </c>
      <c r="HL355" s="1605" t="s">
        <v>986</v>
      </c>
      <c r="HM355" s="1605" t="s">
        <v>986</v>
      </c>
      <c r="HN355" s="1605" t="s">
        <v>986</v>
      </c>
      <c r="HO355" s="1605" t="s">
        <v>986</v>
      </c>
      <c r="HP355" s="1605" t="s">
        <v>986</v>
      </c>
      <c r="HQ355" s="1605" t="s">
        <v>986</v>
      </c>
      <c r="HR355" s="1605" t="s">
        <v>986</v>
      </c>
      <c r="HS355" s="1605" t="s">
        <v>986</v>
      </c>
      <c r="HT355" s="1605" t="s">
        <v>986</v>
      </c>
      <c r="HU355" s="1605" t="s">
        <v>986</v>
      </c>
      <c r="HV355" s="1617"/>
      <c r="HW355" s="1617" t="s">
        <v>986</v>
      </c>
      <c r="HX355" s="1617" t="s">
        <v>986</v>
      </c>
      <c r="HY355" s="1617" t="s">
        <v>986</v>
      </c>
      <c r="HZ355" s="1603"/>
      <c r="IA355" s="1603"/>
      <c r="IB355" s="1603"/>
      <c r="IC355" s="1603" t="s">
        <v>270</v>
      </c>
      <c r="ID355" s="1603" t="s">
        <v>270</v>
      </c>
      <c r="IE355" s="1603" t="s">
        <v>270</v>
      </c>
      <c r="IF355" s="1603" t="s">
        <v>270</v>
      </c>
      <c r="IG355" s="1611" t="s">
        <v>270</v>
      </c>
      <c r="IH355" s="1616" t="s">
        <v>270</v>
      </c>
      <c r="II355" s="1615" t="s">
        <v>270</v>
      </c>
      <c r="IJ355" s="1613" t="s">
        <v>270</v>
      </c>
      <c r="IK355" s="1613" t="s">
        <v>270</v>
      </c>
      <c r="IL355" s="1614" t="s">
        <v>270</v>
      </c>
      <c r="IM355" s="1614" t="s">
        <v>270</v>
      </c>
      <c r="IN355" s="1612" t="s">
        <v>270</v>
      </c>
      <c r="IO355" s="1613" t="s">
        <v>270</v>
      </c>
      <c r="IP355" s="1607" t="s">
        <v>270</v>
      </c>
      <c r="IQ355" s="1612" t="s">
        <v>270</v>
      </c>
      <c r="IR355" s="1612" t="s">
        <v>270</v>
      </c>
      <c r="IS355" s="1607" t="s">
        <v>270</v>
      </c>
      <c r="IT355" s="1607" t="s">
        <v>270</v>
      </c>
      <c r="IU355" s="1611" t="s">
        <v>270</v>
      </c>
      <c r="IV355" s="1611" t="s">
        <v>270</v>
      </c>
      <c r="IW355" s="1611" t="s">
        <v>270</v>
      </c>
      <c r="IX355" s="1611" t="s">
        <v>270</v>
      </c>
      <c r="IY355" s="1611" t="s">
        <v>270</v>
      </c>
      <c r="IZ355" s="1611" t="s">
        <v>270</v>
      </c>
      <c r="JA355" s="1611" t="s">
        <v>270</v>
      </c>
      <c r="JB355" s="1611" t="s">
        <v>270</v>
      </c>
      <c r="JC355" s="1611" t="s">
        <v>270</v>
      </c>
      <c r="JD355" s="1611" t="s">
        <v>270</v>
      </c>
      <c r="JE355" s="1611" t="s">
        <v>270</v>
      </c>
      <c r="JF355" s="1611" t="s">
        <v>270</v>
      </c>
      <c r="JG355" s="1611" t="s">
        <v>270</v>
      </c>
      <c r="JH355" s="1611" t="s">
        <v>270</v>
      </c>
      <c r="JI355" s="1611" t="s">
        <v>270</v>
      </c>
      <c r="JJ355" s="1611" t="s">
        <v>270</v>
      </c>
      <c r="JK355" s="1607" t="str">
        <f t="shared" si="14"/>
        <v/>
      </c>
      <c r="JL355" s="1608" t="s">
        <v>270</v>
      </c>
      <c r="JM355" s="1610" t="s">
        <v>270</v>
      </c>
      <c r="JN355" s="1608" t="s">
        <v>270</v>
      </c>
      <c r="JO355" s="1609" t="s">
        <v>270</v>
      </c>
      <c r="JP355" s="1608" t="s">
        <v>270</v>
      </c>
      <c r="JQ355" s="1607" t="s">
        <v>270</v>
      </c>
      <c r="JR355" s="1606" t="s">
        <v>270</v>
      </c>
      <c r="JS355" s="1606" t="s">
        <v>270</v>
      </c>
      <c r="JT355" s="1606" t="s">
        <v>270</v>
      </c>
    </row>
    <row r="356" spans="1:280" ht="15" customHeight="1" x14ac:dyDescent="0.2">
      <c r="A356" s="1626" t="s">
        <v>270</v>
      </c>
      <c r="B356" s="1625" t="s">
        <v>270</v>
      </c>
      <c r="C356" s="1624" t="s">
        <v>270</v>
      </c>
      <c r="D356" s="1623" t="s">
        <v>270</v>
      </c>
      <c r="E356" s="1622" t="s">
        <v>270</v>
      </c>
      <c r="F356" s="1620" t="s">
        <v>270</v>
      </c>
      <c r="G356" s="1620" t="s">
        <v>270</v>
      </c>
      <c r="H356" s="1621" t="s">
        <v>270</v>
      </c>
      <c r="I356" s="1621" t="s">
        <v>270</v>
      </c>
      <c r="J356" s="1621" t="s">
        <v>270</v>
      </c>
      <c r="K356" s="1620" t="s">
        <v>270</v>
      </c>
      <c r="L356" s="1620" t="s">
        <v>270</v>
      </c>
      <c r="M356" s="1620" t="s">
        <v>270</v>
      </c>
      <c r="N356" s="1620" t="s">
        <v>270</v>
      </c>
      <c r="O356" s="1620" t="s">
        <v>270</v>
      </c>
      <c r="P356" s="1620" t="s">
        <v>270</v>
      </c>
      <c r="Q356" s="1603"/>
      <c r="R356" s="1620" t="s">
        <v>270</v>
      </c>
      <c r="S356" s="1620" t="s">
        <v>270</v>
      </c>
      <c r="T356" s="1620" t="s">
        <v>270</v>
      </c>
      <c r="U356" s="1620" t="s">
        <v>270</v>
      </c>
      <c r="V356" s="1620" t="s">
        <v>270</v>
      </c>
      <c r="W356" s="1620" t="s">
        <v>270</v>
      </c>
      <c r="X356" s="1620"/>
      <c r="Y356" s="1620" t="s">
        <v>270</v>
      </c>
      <c r="Z356" s="1620" t="s">
        <v>270</v>
      </c>
      <c r="AA356" s="1620" t="s">
        <v>270</v>
      </c>
      <c r="AB356" s="1620" t="s">
        <v>270</v>
      </c>
      <c r="AC356" s="1620" t="s">
        <v>270</v>
      </c>
      <c r="AD356" s="1620" t="s">
        <v>270</v>
      </c>
      <c r="AE356" s="1620" t="s">
        <v>270</v>
      </c>
      <c r="AF356" s="1620" t="s">
        <v>270</v>
      </c>
      <c r="AG356" s="1620" t="s">
        <v>270</v>
      </c>
      <c r="AH356" s="1620" t="s">
        <v>270</v>
      </c>
      <c r="AI356" s="1620" t="s">
        <v>270</v>
      </c>
      <c r="AJ356" s="1620" t="s">
        <v>270</v>
      </c>
      <c r="AK356" s="1620" t="s">
        <v>270</v>
      </c>
      <c r="AL356" s="1620"/>
      <c r="AM356" s="1620" t="s">
        <v>270</v>
      </c>
      <c r="AN356" s="1620" t="s">
        <v>270</v>
      </c>
      <c r="AO356" s="1620" t="s">
        <v>270</v>
      </c>
      <c r="AP356" s="1620" t="s">
        <v>270</v>
      </c>
      <c r="AQ356" s="1620" t="s">
        <v>270</v>
      </c>
      <c r="AR356" s="1620" t="s">
        <v>270</v>
      </c>
      <c r="AS356" s="1620" t="s">
        <v>270</v>
      </c>
      <c r="AT356" s="1620" t="s">
        <v>270</v>
      </c>
      <c r="AU356" s="1620" t="s">
        <v>270</v>
      </c>
      <c r="AV356" s="1620" t="s">
        <v>270</v>
      </c>
      <c r="AW356" s="1620" t="s">
        <v>270</v>
      </c>
      <c r="AX356" s="1620"/>
      <c r="AY356" s="1620" t="s">
        <v>986</v>
      </c>
      <c r="AZ356" s="1620" t="s">
        <v>986</v>
      </c>
      <c r="BA356" s="1620" t="s">
        <v>986</v>
      </c>
      <c r="BB356" s="1620" t="s">
        <v>986</v>
      </c>
      <c r="BC356" s="1620" t="s">
        <v>986</v>
      </c>
      <c r="BD356" s="1620" t="s">
        <v>986</v>
      </c>
      <c r="BE356" s="1620" t="s">
        <v>986</v>
      </c>
      <c r="BF356" s="1620" t="s">
        <v>986</v>
      </c>
      <c r="BG356" s="1620" t="s">
        <v>986</v>
      </c>
      <c r="BH356" s="1620" t="s">
        <v>986</v>
      </c>
      <c r="BI356" s="1620" t="s">
        <v>986</v>
      </c>
      <c r="BJ356" s="1603"/>
      <c r="BK356" s="1620" t="s">
        <v>270</v>
      </c>
      <c r="BL356" s="1620" t="s">
        <v>270</v>
      </c>
      <c r="BM356" s="1620" t="s">
        <v>270</v>
      </c>
      <c r="BN356" s="1620" t="s">
        <v>270</v>
      </c>
      <c r="BO356" s="1620"/>
      <c r="BP356" s="1620" t="s">
        <v>270</v>
      </c>
      <c r="BQ356" s="1620" t="s">
        <v>270</v>
      </c>
      <c r="BR356" s="1620" t="s">
        <v>270</v>
      </c>
      <c r="BS356" s="1620" t="s">
        <v>270</v>
      </c>
      <c r="BT356" s="1603"/>
      <c r="BU356" s="1620" t="s">
        <v>270</v>
      </c>
      <c r="BV356" s="1620" t="s">
        <v>270</v>
      </c>
      <c r="BW356" s="1620" t="s">
        <v>270</v>
      </c>
      <c r="BX356" s="1620" t="s">
        <v>270</v>
      </c>
      <c r="BY356" s="1620" t="s">
        <v>270</v>
      </c>
      <c r="BZ356" s="1620" t="s">
        <v>270</v>
      </c>
      <c r="CA356" s="1620" t="s">
        <v>270</v>
      </c>
      <c r="CB356" s="1603"/>
      <c r="CC356" s="1603" t="s">
        <v>270</v>
      </c>
      <c r="CD356" s="1603" t="s">
        <v>270</v>
      </c>
      <c r="CE356" s="1603" t="s">
        <v>270</v>
      </c>
      <c r="CF356" s="1603" t="s">
        <v>270</v>
      </c>
      <c r="CG356" s="1603" t="s">
        <v>270</v>
      </c>
      <c r="CH356" s="1603" t="s">
        <v>270</v>
      </c>
      <c r="CI356" s="1603" t="s">
        <v>270</v>
      </c>
      <c r="CJ356" s="1603"/>
      <c r="CK356" s="1603" t="s">
        <v>270</v>
      </c>
      <c r="CL356" s="1603" t="s">
        <v>270</v>
      </c>
      <c r="CM356" s="1603" t="s">
        <v>270</v>
      </c>
      <c r="CN356" s="1603" t="s">
        <v>270</v>
      </c>
      <c r="CO356" s="1603" t="s">
        <v>270</v>
      </c>
      <c r="CP356" s="1603" t="s">
        <v>270</v>
      </c>
      <c r="CQ356" s="1603" t="s">
        <v>270</v>
      </c>
      <c r="CR356" s="1603" t="s">
        <v>270</v>
      </c>
      <c r="CS356" s="1603" t="s">
        <v>270</v>
      </c>
      <c r="CT356" s="1603" t="s">
        <v>270</v>
      </c>
      <c r="CU356" s="1603" t="s">
        <v>270</v>
      </c>
      <c r="CV356" s="1603" t="s">
        <v>270</v>
      </c>
      <c r="CW356" s="1603" t="s">
        <v>270</v>
      </c>
      <c r="CX356" s="1603" t="s">
        <v>270</v>
      </c>
      <c r="CY356" s="1603" t="s">
        <v>270</v>
      </c>
      <c r="CZ356" s="1603" t="s">
        <v>270</v>
      </c>
      <c r="DA356" s="1603" t="s">
        <v>270</v>
      </c>
      <c r="DB356" s="1603" t="s">
        <v>270</v>
      </c>
      <c r="DC356" s="1603" t="s">
        <v>270</v>
      </c>
      <c r="DD356" s="1603" t="s">
        <v>270</v>
      </c>
      <c r="DE356" s="1603" t="s">
        <v>270</v>
      </c>
      <c r="DF356" s="1603" t="s">
        <v>270</v>
      </c>
      <c r="DG356" s="1603" t="s">
        <v>270</v>
      </c>
      <c r="DH356" s="1619" t="s">
        <v>270</v>
      </c>
      <c r="DI356" s="1603" t="s">
        <v>270</v>
      </c>
      <c r="DJ356" s="1603" t="s">
        <v>270</v>
      </c>
      <c r="DK356" s="1603" t="s">
        <v>270</v>
      </c>
      <c r="DL356" s="1603" t="s">
        <v>270</v>
      </c>
      <c r="DM356" s="1603" t="s">
        <v>270</v>
      </c>
      <c r="DN356" s="1603" t="s">
        <v>270</v>
      </c>
      <c r="DO356" s="1603" t="s">
        <v>270</v>
      </c>
      <c r="DP356" s="1603" t="s">
        <v>270</v>
      </c>
      <c r="DQ356" s="1603" t="s">
        <v>270</v>
      </c>
      <c r="DR356" s="1603" t="s">
        <v>270</v>
      </c>
      <c r="DS356" s="1603" t="s">
        <v>270</v>
      </c>
      <c r="DT356" s="1603" t="s">
        <v>270</v>
      </c>
      <c r="DU356" s="1603" t="s">
        <v>270</v>
      </c>
      <c r="DV356" s="1603" t="s">
        <v>270</v>
      </c>
      <c r="DW356" s="1618" t="s">
        <v>986</v>
      </c>
      <c r="DX356" s="1605" t="s">
        <v>986</v>
      </c>
      <c r="DY356" s="1605" t="s">
        <v>986</v>
      </c>
      <c r="DZ356" s="1605" t="s">
        <v>986</v>
      </c>
      <c r="EA356" s="1605" t="s">
        <v>986</v>
      </c>
      <c r="EB356" s="1605" t="s">
        <v>986</v>
      </c>
      <c r="EC356" s="1605" t="s">
        <v>986</v>
      </c>
      <c r="ED356" s="1605" t="s">
        <v>986</v>
      </c>
      <c r="EE356" s="1605" t="s">
        <v>986</v>
      </c>
      <c r="EF356" s="1605" t="s">
        <v>986</v>
      </c>
      <c r="EG356" s="1605" t="s">
        <v>986</v>
      </c>
      <c r="EH356" s="1605" t="s">
        <v>986</v>
      </c>
      <c r="EI356" s="1605" t="s">
        <v>986</v>
      </c>
      <c r="EJ356" s="1605" t="s">
        <v>986</v>
      </c>
      <c r="EK356" s="1605" t="s">
        <v>986</v>
      </c>
      <c r="EL356" s="1605" t="s">
        <v>986</v>
      </c>
      <c r="EM356" s="1605" t="s">
        <v>986</v>
      </c>
      <c r="EN356" s="1605" t="s">
        <v>986</v>
      </c>
      <c r="EO356" s="1605" t="s">
        <v>986</v>
      </c>
      <c r="EP356" s="1605" t="s">
        <v>986</v>
      </c>
      <c r="EQ356" s="1605" t="s">
        <v>986</v>
      </c>
      <c r="ER356" s="1605" t="s">
        <v>986</v>
      </c>
      <c r="ES356" s="1605" t="s">
        <v>986</v>
      </c>
      <c r="ET356" s="1605" t="s">
        <v>986</v>
      </c>
      <c r="EU356" s="1605" t="s">
        <v>986</v>
      </c>
      <c r="EV356" s="1605" t="s">
        <v>986</v>
      </c>
      <c r="EW356" s="1605" t="s">
        <v>986</v>
      </c>
      <c r="EX356" s="1605" t="s">
        <v>986</v>
      </c>
      <c r="EY356" s="1605" t="s">
        <v>986</v>
      </c>
      <c r="EZ356" s="1605" t="s">
        <v>986</v>
      </c>
      <c r="FA356" s="1605" t="s">
        <v>986</v>
      </c>
      <c r="FB356" s="1605" t="s">
        <v>986</v>
      </c>
      <c r="FC356" s="1605" t="s">
        <v>986</v>
      </c>
      <c r="FD356" s="1605" t="s">
        <v>986</v>
      </c>
      <c r="FE356" s="1605" t="s">
        <v>986</v>
      </c>
      <c r="FF356" s="1605" t="s">
        <v>986</v>
      </c>
      <c r="FG356" s="1605" t="s">
        <v>986</v>
      </c>
      <c r="FH356" s="1605" t="s">
        <v>986</v>
      </c>
      <c r="FI356" s="1605" t="s">
        <v>986</v>
      </c>
      <c r="FJ356" s="1605" t="s">
        <v>986</v>
      </c>
      <c r="FK356" s="1605" t="s">
        <v>986</v>
      </c>
      <c r="FL356" s="1605" t="s">
        <v>986</v>
      </c>
      <c r="FM356" s="1605" t="s">
        <v>986</v>
      </c>
      <c r="FN356" s="1605" t="s">
        <v>986</v>
      </c>
      <c r="FO356" s="1605" t="s">
        <v>986</v>
      </c>
      <c r="FP356" s="1605" t="s">
        <v>986</v>
      </c>
      <c r="FQ356" s="1605" t="s">
        <v>986</v>
      </c>
      <c r="FR356" s="1605" t="s">
        <v>986</v>
      </c>
      <c r="FS356" s="1605" t="s">
        <v>986</v>
      </c>
      <c r="FT356" s="1605" t="s">
        <v>986</v>
      </c>
      <c r="FU356" s="1605" t="s">
        <v>986</v>
      </c>
      <c r="FV356" s="1605" t="s">
        <v>986</v>
      </c>
      <c r="FW356" s="1605" t="s">
        <v>986</v>
      </c>
      <c r="FX356" s="1605" t="s">
        <v>986</v>
      </c>
      <c r="FY356" s="1605" t="s">
        <v>986</v>
      </c>
      <c r="FZ356" s="1605" t="s">
        <v>986</v>
      </c>
      <c r="GA356" s="1605" t="s">
        <v>986</v>
      </c>
      <c r="GB356" s="1605" t="s">
        <v>986</v>
      </c>
      <c r="GC356" s="1605" t="s">
        <v>986</v>
      </c>
      <c r="GD356" s="1605" t="s">
        <v>986</v>
      </c>
      <c r="GE356" s="1605" t="s">
        <v>986</v>
      </c>
      <c r="GF356" s="1605" t="s">
        <v>986</v>
      </c>
      <c r="GG356" s="1605" t="s">
        <v>986</v>
      </c>
      <c r="GH356" s="1605" t="s">
        <v>986</v>
      </c>
      <c r="GI356" s="1605" t="s">
        <v>986</v>
      </c>
      <c r="GJ356" s="1605" t="s">
        <v>986</v>
      </c>
      <c r="GK356" s="1605" t="s">
        <v>986</v>
      </c>
      <c r="GL356" s="1605" t="s">
        <v>986</v>
      </c>
      <c r="GM356" s="1605" t="s">
        <v>986</v>
      </c>
      <c r="GN356" s="1605" t="s">
        <v>986</v>
      </c>
      <c r="GO356" s="1605" t="s">
        <v>986</v>
      </c>
      <c r="GP356" s="1605" t="s">
        <v>986</v>
      </c>
      <c r="GQ356" s="1605" t="s">
        <v>986</v>
      </c>
      <c r="GR356" s="1605" t="s">
        <v>986</v>
      </c>
      <c r="GS356" s="1605" t="s">
        <v>986</v>
      </c>
      <c r="GT356" s="1605" t="s">
        <v>986</v>
      </c>
      <c r="GU356" s="1605" t="s">
        <v>986</v>
      </c>
      <c r="GV356" s="1605" t="s">
        <v>986</v>
      </c>
      <c r="GW356" s="1605" t="s">
        <v>986</v>
      </c>
      <c r="GX356" s="1605" t="s">
        <v>986</v>
      </c>
      <c r="GY356" s="1605" t="s">
        <v>986</v>
      </c>
      <c r="GZ356" s="1605" t="s">
        <v>986</v>
      </c>
      <c r="HA356" s="1605" t="s">
        <v>986</v>
      </c>
      <c r="HB356" s="1605" t="s">
        <v>986</v>
      </c>
      <c r="HC356" s="1605" t="s">
        <v>986</v>
      </c>
      <c r="HD356" s="1605" t="s">
        <v>986</v>
      </c>
      <c r="HE356" s="1605" t="s">
        <v>986</v>
      </c>
      <c r="HF356" s="1605" t="s">
        <v>986</v>
      </c>
      <c r="HG356" s="1605" t="s">
        <v>986</v>
      </c>
      <c r="HH356" s="1605" t="s">
        <v>986</v>
      </c>
      <c r="HI356" s="1605" t="s">
        <v>986</v>
      </c>
      <c r="HJ356" s="1605" t="s">
        <v>986</v>
      </c>
      <c r="HK356" s="1605" t="s">
        <v>986</v>
      </c>
      <c r="HL356" s="1605" t="s">
        <v>986</v>
      </c>
      <c r="HM356" s="1605" t="s">
        <v>986</v>
      </c>
      <c r="HN356" s="1605" t="s">
        <v>986</v>
      </c>
      <c r="HO356" s="1605" t="s">
        <v>986</v>
      </c>
      <c r="HP356" s="1605" t="s">
        <v>986</v>
      </c>
      <c r="HQ356" s="1605" t="s">
        <v>986</v>
      </c>
      <c r="HR356" s="1605" t="s">
        <v>986</v>
      </c>
      <c r="HS356" s="1605" t="s">
        <v>986</v>
      </c>
      <c r="HT356" s="1605" t="s">
        <v>986</v>
      </c>
      <c r="HU356" s="1605" t="s">
        <v>986</v>
      </c>
      <c r="HV356" s="1617"/>
      <c r="HW356" s="1617" t="s">
        <v>986</v>
      </c>
      <c r="HX356" s="1617" t="s">
        <v>986</v>
      </c>
      <c r="HY356" s="1617" t="s">
        <v>986</v>
      </c>
      <c r="HZ356" s="1603"/>
      <c r="IA356" s="1603"/>
      <c r="IB356" s="1603"/>
      <c r="IC356" s="1603" t="s">
        <v>270</v>
      </c>
      <c r="ID356" s="1603" t="s">
        <v>270</v>
      </c>
      <c r="IE356" s="1603" t="s">
        <v>270</v>
      </c>
      <c r="IF356" s="1603" t="s">
        <v>270</v>
      </c>
      <c r="IG356" s="1611" t="s">
        <v>270</v>
      </c>
      <c r="IH356" s="1616" t="s">
        <v>270</v>
      </c>
      <c r="II356" s="1615" t="s">
        <v>270</v>
      </c>
      <c r="IJ356" s="1613" t="s">
        <v>270</v>
      </c>
      <c r="IK356" s="1613" t="s">
        <v>270</v>
      </c>
      <c r="IL356" s="1614" t="s">
        <v>270</v>
      </c>
      <c r="IM356" s="1614" t="s">
        <v>270</v>
      </c>
      <c r="IN356" s="1612" t="s">
        <v>270</v>
      </c>
      <c r="IO356" s="1613" t="s">
        <v>270</v>
      </c>
      <c r="IP356" s="1607" t="s">
        <v>270</v>
      </c>
      <c r="IQ356" s="1612" t="s">
        <v>270</v>
      </c>
      <c r="IR356" s="1612" t="s">
        <v>270</v>
      </c>
      <c r="IS356" s="1607" t="s">
        <v>270</v>
      </c>
      <c r="IT356" s="1607" t="s">
        <v>270</v>
      </c>
      <c r="IU356" s="1611" t="s">
        <v>270</v>
      </c>
      <c r="IV356" s="1611" t="s">
        <v>270</v>
      </c>
      <c r="IW356" s="1611" t="s">
        <v>270</v>
      </c>
      <c r="IX356" s="1611" t="s">
        <v>270</v>
      </c>
      <c r="IY356" s="1611" t="s">
        <v>270</v>
      </c>
      <c r="IZ356" s="1611" t="s">
        <v>270</v>
      </c>
      <c r="JA356" s="1611" t="s">
        <v>270</v>
      </c>
      <c r="JB356" s="1611" t="s">
        <v>270</v>
      </c>
      <c r="JC356" s="1611" t="s">
        <v>270</v>
      </c>
      <c r="JD356" s="1611" t="s">
        <v>270</v>
      </c>
      <c r="JE356" s="1611" t="s">
        <v>270</v>
      </c>
      <c r="JF356" s="1611" t="s">
        <v>270</v>
      </c>
      <c r="JG356" s="1611" t="s">
        <v>270</v>
      </c>
      <c r="JH356" s="1611" t="s">
        <v>270</v>
      </c>
      <c r="JI356" s="1611" t="s">
        <v>270</v>
      </c>
      <c r="JJ356" s="1611" t="s">
        <v>270</v>
      </c>
      <c r="JK356" s="1607" t="str">
        <f t="shared" si="14"/>
        <v/>
      </c>
      <c r="JL356" s="1608" t="s">
        <v>270</v>
      </c>
      <c r="JM356" s="1610" t="s">
        <v>270</v>
      </c>
      <c r="JN356" s="1608" t="s">
        <v>270</v>
      </c>
      <c r="JO356" s="1609" t="s">
        <v>270</v>
      </c>
      <c r="JP356" s="1608" t="s">
        <v>270</v>
      </c>
      <c r="JQ356" s="1607" t="s">
        <v>270</v>
      </c>
      <c r="JR356" s="1606" t="s">
        <v>270</v>
      </c>
      <c r="JS356" s="1606" t="s">
        <v>270</v>
      </c>
      <c r="JT356" s="1606" t="s">
        <v>270</v>
      </c>
    </row>
    <row r="357" spans="1:280" ht="15" customHeight="1" x14ac:dyDescent="0.2">
      <c r="A357" s="1626" t="s">
        <v>270</v>
      </c>
      <c r="B357" s="1625" t="s">
        <v>270</v>
      </c>
      <c r="C357" s="1624" t="s">
        <v>270</v>
      </c>
      <c r="D357" s="1623" t="s">
        <v>270</v>
      </c>
      <c r="E357" s="1622" t="s">
        <v>270</v>
      </c>
      <c r="F357" s="1620" t="s">
        <v>270</v>
      </c>
      <c r="G357" s="1620" t="s">
        <v>270</v>
      </c>
      <c r="H357" s="1621" t="s">
        <v>270</v>
      </c>
      <c r="I357" s="1621" t="s">
        <v>270</v>
      </c>
      <c r="J357" s="1621" t="s">
        <v>270</v>
      </c>
      <c r="K357" s="1620" t="s">
        <v>270</v>
      </c>
      <c r="L357" s="1620" t="s">
        <v>270</v>
      </c>
      <c r="M357" s="1620" t="s">
        <v>270</v>
      </c>
      <c r="N357" s="1620" t="s">
        <v>270</v>
      </c>
      <c r="O357" s="1620" t="s">
        <v>270</v>
      </c>
      <c r="P357" s="1620" t="s">
        <v>270</v>
      </c>
      <c r="Q357" s="1603"/>
      <c r="R357" s="1620" t="s">
        <v>270</v>
      </c>
      <c r="S357" s="1620" t="s">
        <v>270</v>
      </c>
      <c r="T357" s="1620" t="s">
        <v>270</v>
      </c>
      <c r="U357" s="1620" t="s">
        <v>270</v>
      </c>
      <c r="V357" s="1620" t="s">
        <v>270</v>
      </c>
      <c r="W357" s="1620" t="s">
        <v>270</v>
      </c>
      <c r="X357" s="1620"/>
      <c r="Y357" s="1620" t="s">
        <v>270</v>
      </c>
      <c r="Z357" s="1620" t="s">
        <v>270</v>
      </c>
      <c r="AA357" s="1620" t="s">
        <v>270</v>
      </c>
      <c r="AB357" s="1620" t="s">
        <v>270</v>
      </c>
      <c r="AC357" s="1620" t="s">
        <v>270</v>
      </c>
      <c r="AD357" s="1620" t="s">
        <v>270</v>
      </c>
      <c r="AE357" s="1620" t="s">
        <v>270</v>
      </c>
      <c r="AF357" s="1620" t="s">
        <v>270</v>
      </c>
      <c r="AG357" s="1620" t="s">
        <v>270</v>
      </c>
      <c r="AH357" s="1620" t="s">
        <v>270</v>
      </c>
      <c r="AI357" s="1620" t="s">
        <v>270</v>
      </c>
      <c r="AJ357" s="1620" t="s">
        <v>270</v>
      </c>
      <c r="AK357" s="1620" t="s">
        <v>270</v>
      </c>
      <c r="AL357" s="1620"/>
      <c r="AM357" s="1620" t="s">
        <v>270</v>
      </c>
      <c r="AN357" s="1620" t="s">
        <v>270</v>
      </c>
      <c r="AO357" s="1620" t="s">
        <v>270</v>
      </c>
      <c r="AP357" s="1620" t="s">
        <v>270</v>
      </c>
      <c r="AQ357" s="1620" t="s">
        <v>270</v>
      </c>
      <c r="AR357" s="1620" t="s">
        <v>270</v>
      </c>
      <c r="AS357" s="1620" t="s">
        <v>270</v>
      </c>
      <c r="AT357" s="1620" t="s">
        <v>270</v>
      </c>
      <c r="AU357" s="1620" t="s">
        <v>270</v>
      </c>
      <c r="AV357" s="1620" t="s">
        <v>270</v>
      </c>
      <c r="AW357" s="1620" t="s">
        <v>270</v>
      </c>
      <c r="AX357" s="1620"/>
      <c r="AY357" s="1620" t="s">
        <v>986</v>
      </c>
      <c r="AZ357" s="1620" t="s">
        <v>986</v>
      </c>
      <c r="BA357" s="1620" t="s">
        <v>986</v>
      </c>
      <c r="BB357" s="1620" t="s">
        <v>986</v>
      </c>
      <c r="BC357" s="1620" t="s">
        <v>986</v>
      </c>
      <c r="BD357" s="1620" t="s">
        <v>986</v>
      </c>
      <c r="BE357" s="1620" t="s">
        <v>986</v>
      </c>
      <c r="BF357" s="1620" t="s">
        <v>986</v>
      </c>
      <c r="BG357" s="1620" t="s">
        <v>986</v>
      </c>
      <c r="BH357" s="1620" t="s">
        <v>986</v>
      </c>
      <c r="BI357" s="1620" t="s">
        <v>986</v>
      </c>
      <c r="BJ357" s="1603"/>
      <c r="BK357" s="1620" t="s">
        <v>270</v>
      </c>
      <c r="BL357" s="1620" t="s">
        <v>270</v>
      </c>
      <c r="BM357" s="1620" t="s">
        <v>270</v>
      </c>
      <c r="BN357" s="1620" t="s">
        <v>270</v>
      </c>
      <c r="BO357" s="1620"/>
      <c r="BP357" s="1620" t="s">
        <v>270</v>
      </c>
      <c r="BQ357" s="1620" t="s">
        <v>270</v>
      </c>
      <c r="BR357" s="1620" t="s">
        <v>270</v>
      </c>
      <c r="BS357" s="1620" t="s">
        <v>270</v>
      </c>
      <c r="BT357" s="1603"/>
      <c r="BU357" s="1620" t="s">
        <v>270</v>
      </c>
      <c r="BV357" s="1620" t="s">
        <v>270</v>
      </c>
      <c r="BW357" s="1620" t="s">
        <v>270</v>
      </c>
      <c r="BX357" s="1620" t="s">
        <v>270</v>
      </c>
      <c r="BY357" s="1620" t="s">
        <v>270</v>
      </c>
      <c r="BZ357" s="1620" t="s">
        <v>270</v>
      </c>
      <c r="CA357" s="1620" t="s">
        <v>270</v>
      </c>
      <c r="CB357" s="1603"/>
      <c r="CC357" s="1603" t="s">
        <v>270</v>
      </c>
      <c r="CD357" s="1603" t="s">
        <v>270</v>
      </c>
      <c r="CE357" s="1603" t="s">
        <v>270</v>
      </c>
      <c r="CF357" s="1603" t="s">
        <v>270</v>
      </c>
      <c r="CG357" s="1603" t="s">
        <v>270</v>
      </c>
      <c r="CH357" s="1603" t="s">
        <v>270</v>
      </c>
      <c r="CI357" s="1603" t="s">
        <v>270</v>
      </c>
      <c r="CJ357" s="1603"/>
      <c r="CK357" s="1603" t="s">
        <v>270</v>
      </c>
      <c r="CL357" s="1603" t="s">
        <v>270</v>
      </c>
      <c r="CM357" s="1603" t="s">
        <v>270</v>
      </c>
      <c r="CN357" s="1603" t="s">
        <v>270</v>
      </c>
      <c r="CO357" s="1603" t="s">
        <v>270</v>
      </c>
      <c r="CP357" s="1603" t="s">
        <v>270</v>
      </c>
      <c r="CQ357" s="1603" t="s">
        <v>270</v>
      </c>
      <c r="CR357" s="1603" t="s">
        <v>270</v>
      </c>
      <c r="CS357" s="1603" t="s">
        <v>270</v>
      </c>
      <c r="CT357" s="1603" t="s">
        <v>270</v>
      </c>
      <c r="CU357" s="1603" t="s">
        <v>270</v>
      </c>
      <c r="CV357" s="1603" t="s">
        <v>270</v>
      </c>
      <c r="CW357" s="1603" t="s">
        <v>270</v>
      </c>
      <c r="CX357" s="1603" t="s">
        <v>270</v>
      </c>
      <c r="CY357" s="1603" t="s">
        <v>270</v>
      </c>
      <c r="CZ357" s="1603" t="s">
        <v>270</v>
      </c>
      <c r="DA357" s="1603" t="s">
        <v>270</v>
      </c>
      <c r="DB357" s="1603" t="s">
        <v>270</v>
      </c>
      <c r="DC357" s="1603" t="s">
        <v>270</v>
      </c>
      <c r="DD357" s="1603" t="s">
        <v>270</v>
      </c>
      <c r="DE357" s="1603" t="s">
        <v>270</v>
      </c>
      <c r="DF357" s="1603" t="s">
        <v>270</v>
      </c>
      <c r="DG357" s="1603" t="s">
        <v>270</v>
      </c>
      <c r="DH357" s="1619" t="s">
        <v>270</v>
      </c>
      <c r="DI357" s="1603" t="s">
        <v>270</v>
      </c>
      <c r="DJ357" s="1603" t="s">
        <v>270</v>
      </c>
      <c r="DK357" s="1603" t="s">
        <v>270</v>
      </c>
      <c r="DL357" s="1603" t="s">
        <v>270</v>
      </c>
      <c r="DM357" s="1603" t="s">
        <v>270</v>
      </c>
      <c r="DN357" s="1603" t="s">
        <v>270</v>
      </c>
      <c r="DO357" s="1603" t="s">
        <v>270</v>
      </c>
      <c r="DP357" s="1603" t="s">
        <v>270</v>
      </c>
      <c r="DQ357" s="1603" t="s">
        <v>270</v>
      </c>
      <c r="DR357" s="1603" t="s">
        <v>270</v>
      </c>
      <c r="DS357" s="1603" t="s">
        <v>270</v>
      </c>
      <c r="DT357" s="1603" t="s">
        <v>270</v>
      </c>
      <c r="DU357" s="1603" t="s">
        <v>270</v>
      </c>
      <c r="DV357" s="1603" t="s">
        <v>270</v>
      </c>
      <c r="DW357" s="1618" t="s">
        <v>986</v>
      </c>
      <c r="DX357" s="1605" t="s">
        <v>986</v>
      </c>
      <c r="DY357" s="1605" t="s">
        <v>986</v>
      </c>
      <c r="DZ357" s="1605" t="s">
        <v>986</v>
      </c>
      <c r="EA357" s="1605" t="s">
        <v>986</v>
      </c>
      <c r="EB357" s="1605" t="s">
        <v>986</v>
      </c>
      <c r="EC357" s="1605" t="s">
        <v>986</v>
      </c>
      <c r="ED357" s="1605" t="s">
        <v>986</v>
      </c>
      <c r="EE357" s="1605" t="s">
        <v>986</v>
      </c>
      <c r="EF357" s="1605" t="s">
        <v>986</v>
      </c>
      <c r="EG357" s="1605" t="s">
        <v>986</v>
      </c>
      <c r="EH357" s="1605" t="s">
        <v>986</v>
      </c>
      <c r="EI357" s="1605" t="s">
        <v>986</v>
      </c>
      <c r="EJ357" s="1605" t="s">
        <v>986</v>
      </c>
      <c r="EK357" s="1605" t="s">
        <v>986</v>
      </c>
      <c r="EL357" s="1605" t="s">
        <v>986</v>
      </c>
      <c r="EM357" s="1605" t="s">
        <v>986</v>
      </c>
      <c r="EN357" s="1605" t="s">
        <v>986</v>
      </c>
      <c r="EO357" s="1605" t="s">
        <v>986</v>
      </c>
      <c r="EP357" s="1605" t="s">
        <v>986</v>
      </c>
      <c r="EQ357" s="1605" t="s">
        <v>986</v>
      </c>
      <c r="ER357" s="1605" t="s">
        <v>986</v>
      </c>
      <c r="ES357" s="1605" t="s">
        <v>986</v>
      </c>
      <c r="ET357" s="1605" t="s">
        <v>986</v>
      </c>
      <c r="EU357" s="1605" t="s">
        <v>986</v>
      </c>
      <c r="EV357" s="1605" t="s">
        <v>986</v>
      </c>
      <c r="EW357" s="1605" t="s">
        <v>986</v>
      </c>
      <c r="EX357" s="1605" t="s">
        <v>986</v>
      </c>
      <c r="EY357" s="1605" t="s">
        <v>986</v>
      </c>
      <c r="EZ357" s="1605" t="s">
        <v>986</v>
      </c>
      <c r="FA357" s="1605" t="s">
        <v>986</v>
      </c>
      <c r="FB357" s="1605" t="s">
        <v>986</v>
      </c>
      <c r="FC357" s="1605" t="s">
        <v>986</v>
      </c>
      <c r="FD357" s="1605" t="s">
        <v>986</v>
      </c>
      <c r="FE357" s="1605" t="s">
        <v>986</v>
      </c>
      <c r="FF357" s="1605" t="s">
        <v>986</v>
      </c>
      <c r="FG357" s="1605" t="s">
        <v>986</v>
      </c>
      <c r="FH357" s="1605" t="s">
        <v>986</v>
      </c>
      <c r="FI357" s="1605" t="s">
        <v>986</v>
      </c>
      <c r="FJ357" s="1605" t="s">
        <v>986</v>
      </c>
      <c r="FK357" s="1605" t="s">
        <v>986</v>
      </c>
      <c r="FL357" s="1605" t="s">
        <v>986</v>
      </c>
      <c r="FM357" s="1605" t="s">
        <v>986</v>
      </c>
      <c r="FN357" s="1605" t="s">
        <v>986</v>
      </c>
      <c r="FO357" s="1605" t="s">
        <v>986</v>
      </c>
      <c r="FP357" s="1605" t="s">
        <v>986</v>
      </c>
      <c r="FQ357" s="1605" t="s">
        <v>986</v>
      </c>
      <c r="FR357" s="1605" t="s">
        <v>986</v>
      </c>
      <c r="FS357" s="1605" t="s">
        <v>986</v>
      </c>
      <c r="FT357" s="1605" t="s">
        <v>986</v>
      </c>
      <c r="FU357" s="1605" t="s">
        <v>986</v>
      </c>
      <c r="FV357" s="1605" t="s">
        <v>986</v>
      </c>
      <c r="FW357" s="1605" t="s">
        <v>986</v>
      </c>
      <c r="FX357" s="1605" t="s">
        <v>986</v>
      </c>
      <c r="FY357" s="1605" t="s">
        <v>986</v>
      </c>
      <c r="FZ357" s="1605" t="s">
        <v>986</v>
      </c>
      <c r="GA357" s="1605" t="s">
        <v>986</v>
      </c>
      <c r="GB357" s="1605" t="s">
        <v>986</v>
      </c>
      <c r="GC357" s="1605" t="s">
        <v>986</v>
      </c>
      <c r="GD357" s="1605" t="s">
        <v>986</v>
      </c>
      <c r="GE357" s="1605" t="s">
        <v>986</v>
      </c>
      <c r="GF357" s="1605" t="s">
        <v>986</v>
      </c>
      <c r="GG357" s="1605" t="s">
        <v>986</v>
      </c>
      <c r="GH357" s="1605" t="s">
        <v>986</v>
      </c>
      <c r="GI357" s="1605" t="s">
        <v>986</v>
      </c>
      <c r="GJ357" s="1605" t="s">
        <v>986</v>
      </c>
      <c r="GK357" s="1605" t="s">
        <v>986</v>
      </c>
      <c r="GL357" s="1605" t="s">
        <v>986</v>
      </c>
      <c r="GM357" s="1605" t="s">
        <v>986</v>
      </c>
      <c r="GN357" s="1605" t="s">
        <v>986</v>
      </c>
      <c r="GO357" s="1605" t="s">
        <v>986</v>
      </c>
      <c r="GP357" s="1605" t="s">
        <v>986</v>
      </c>
      <c r="GQ357" s="1605" t="s">
        <v>986</v>
      </c>
      <c r="GR357" s="1605" t="s">
        <v>986</v>
      </c>
      <c r="GS357" s="1605" t="s">
        <v>986</v>
      </c>
      <c r="GT357" s="1605" t="s">
        <v>986</v>
      </c>
      <c r="GU357" s="1605" t="s">
        <v>986</v>
      </c>
      <c r="GV357" s="1605" t="s">
        <v>986</v>
      </c>
      <c r="GW357" s="1605" t="s">
        <v>986</v>
      </c>
      <c r="GX357" s="1605" t="s">
        <v>986</v>
      </c>
      <c r="GY357" s="1605" t="s">
        <v>986</v>
      </c>
      <c r="GZ357" s="1605" t="s">
        <v>986</v>
      </c>
      <c r="HA357" s="1605" t="s">
        <v>986</v>
      </c>
      <c r="HB357" s="1605" t="s">
        <v>986</v>
      </c>
      <c r="HC357" s="1605" t="s">
        <v>986</v>
      </c>
      <c r="HD357" s="1605" t="s">
        <v>986</v>
      </c>
      <c r="HE357" s="1605" t="s">
        <v>986</v>
      </c>
      <c r="HF357" s="1605" t="s">
        <v>986</v>
      </c>
      <c r="HG357" s="1605" t="s">
        <v>986</v>
      </c>
      <c r="HH357" s="1605" t="s">
        <v>986</v>
      </c>
      <c r="HI357" s="1605" t="s">
        <v>986</v>
      </c>
      <c r="HJ357" s="1605" t="s">
        <v>986</v>
      </c>
      <c r="HK357" s="1605" t="s">
        <v>986</v>
      </c>
      <c r="HL357" s="1605" t="s">
        <v>986</v>
      </c>
      <c r="HM357" s="1605" t="s">
        <v>986</v>
      </c>
      <c r="HN357" s="1605" t="s">
        <v>986</v>
      </c>
      <c r="HO357" s="1605" t="s">
        <v>986</v>
      </c>
      <c r="HP357" s="1605" t="s">
        <v>986</v>
      </c>
      <c r="HQ357" s="1605" t="s">
        <v>986</v>
      </c>
      <c r="HR357" s="1605" t="s">
        <v>986</v>
      </c>
      <c r="HS357" s="1605" t="s">
        <v>986</v>
      </c>
      <c r="HT357" s="1605" t="s">
        <v>986</v>
      </c>
      <c r="HU357" s="1605" t="s">
        <v>986</v>
      </c>
      <c r="HV357" s="1617"/>
      <c r="HW357" s="1617" t="s">
        <v>986</v>
      </c>
      <c r="HX357" s="1617" t="s">
        <v>986</v>
      </c>
      <c r="HY357" s="1617" t="s">
        <v>986</v>
      </c>
      <c r="HZ357" s="1603"/>
      <c r="IA357" s="1603"/>
      <c r="IB357" s="1603"/>
      <c r="IC357" s="1603" t="s">
        <v>270</v>
      </c>
      <c r="ID357" s="1603" t="s">
        <v>270</v>
      </c>
      <c r="IE357" s="1603" t="s">
        <v>270</v>
      </c>
      <c r="IF357" s="1603" t="s">
        <v>270</v>
      </c>
      <c r="IG357" s="1611" t="s">
        <v>270</v>
      </c>
      <c r="IH357" s="1616" t="s">
        <v>270</v>
      </c>
      <c r="II357" s="1615" t="s">
        <v>270</v>
      </c>
      <c r="IJ357" s="1613" t="s">
        <v>270</v>
      </c>
      <c r="IK357" s="1613" t="s">
        <v>270</v>
      </c>
      <c r="IL357" s="1614" t="s">
        <v>270</v>
      </c>
      <c r="IM357" s="1614" t="s">
        <v>270</v>
      </c>
      <c r="IN357" s="1612" t="s">
        <v>270</v>
      </c>
      <c r="IO357" s="1613" t="s">
        <v>270</v>
      </c>
      <c r="IP357" s="1607" t="s">
        <v>270</v>
      </c>
      <c r="IQ357" s="1612" t="s">
        <v>270</v>
      </c>
      <c r="IR357" s="1612" t="s">
        <v>270</v>
      </c>
      <c r="IS357" s="1607" t="s">
        <v>270</v>
      </c>
      <c r="IT357" s="1607" t="s">
        <v>270</v>
      </c>
      <c r="IU357" s="1611" t="s">
        <v>270</v>
      </c>
      <c r="IV357" s="1611" t="s">
        <v>270</v>
      </c>
      <c r="IW357" s="1611" t="s">
        <v>270</v>
      </c>
      <c r="IX357" s="1611" t="s">
        <v>270</v>
      </c>
      <c r="IY357" s="1611" t="s">
        <v>270</v>
      </c>
      <c r="IZ357" s="1611" t="s">
        <v>270</v>
      </c>
      <c r="JA357" s="1611" t="s">
        <v>270</v>
      </c>
      <c r="JB357" s="1611" t="s">
        <v>270</v>
      </c>
      <c r="JC357" s="1611" t="s">
        <v>270</v>
      </c>
      <c r="JD357" s="1611" t="s">
        <v>270</v>
      </c>
      <c r="JE357" s="1611" t="s">
        <v>270</v>
      </c>
      <c r="JF357" s="1611" t="s">
        <v>270</v>
      </c>
      <c r="JG357" s="1611" t="s">
        <v>270</v>
      </c>
      <c r="JH357" s="1611" t="s">
        <v>270</v>
      </c>
      <c r="JI357" s="1611" t="s">
        <v>270</v>
      </c>
      <c r="JJ357" s="1611" t="s">
        <v>270</v>
      </c>
      <c r="JK357" s="1607" t="str">
        <f t="shared" si="14"/>
        <v/>
      </c>
      <c r="JL357" s="1608" t="s">
        <v>270</v>
      </c>
      <c r="JM357" s="1610" t="s">
        <v>270</v>
      </c>
      <c r="JN357" s="1608" t="s">
        <v>270</v>
      </c>
      <c r="JO357" s="1609" t="s">
        <v>270</v>
      </c>
      <c r="JP357" s="1608" t="s">
        <v>270</v>
      </c>
      <c r="JQ357" s="1607" t="s">
        <v>270</v>
      </c>
      <c r="JR357" s="1606" t="s">
        <v>270</v>
      </c>
      <c r="JS357" s="1606" t="s">
        <v>270</v>
      </c>
      <c r="JT357" s="1606" t="s">
        <v>270</v>
      </c>
    </row>
    <row r="358" spans="1:280" ht="15" customHeight="1" x14ac:dyDescent="0.2">
      <c r="A358" s="1626" t="s">
        <v>270</v>
      </c>
      <c r="B358" s="1625" t="s">
        <v>270</v>
      </c>
      <c r="C358" s="1624" t="s">
        <v>270</v>
      </c>
      <c r="D358" s="1623" t="s">
        <v>270</v>
      </c>
      <c r="E358" s="1622" t="s">
        <v>270</v>
      </c>
      <c r="F358" s="1620" t="s">
        <v>270</v>
      </c>
      <c r="G358" s="1620" t="s">
        <v>270</v>
      </c>
      <c r="H358" s="1621" t="s">
        <v>270</v>
      </c>
      <c r="I358" s="1621" t="s">
        <v>270</v>
      </c>
      <c r="J358" s="1621" t="s">
        <v>270</v>
      </c>
      <c r="K358" s="1620" t="s">
        <v>270</v>
      </c>
      <c r="L358" s="1620" t="s">
        <v>270</v>
      </c>
      <c r="M358" s="1620" t="s">
        <v>270</v>
      </c>
      <c r="N358" s="1620" t="s">
        <v>270</v>
      </c>
      <c r="O358" s="1620" t="s">
        <v>270</v>
      </c>
      <c r="P358" s="1620" t="s">
        <v>270</v>
      </c>
      <c r="Q358" s="1603"/>
      <c r="R358" s="1620" t="s">
        <v>270</v>
      </c>
      <c r="S358" s="1620" t="s">
        <v>270</v>
      </c>
      <c r="T358" s="1620" t="s">
        <v>270</v>
      </c>
      <c r="U358" s="1620" t="s">
        <v>270</v>
      </c>
      <c r="V358" s="1620" t="s">
        <v>270</v>
      </c>
      <c r="W358" s="1620" t="s">
        <v>270</v>
      </c>
      <c r="X358" s="1620"/>
      <c r="Y358" s="1620" t="s">
        <v>270</v>
      </c>
      <c r="Z358" s="1620" t="s">
        <v>270</v>
      </c>
      <c r="AA358" s="1620" t="s">
        <v>270</v>
      </c>
      <c r="AB358" s="1620" t="s">
        <v>270</v>
      </c>
      <c r="AC358" s="1620" t="s">
        <v>270</v>
      </c>
      <c r="AD358" s="1620" t="s">
        <v>270</v>
      </c>
      <c r="AE358" s="1620" t="s">
        <v>270</v>
      </c>
      <c r="AF358" s="1620" t="s">
        <v>270</v>
      </c>
      <c r="AG358" s="1620" t="s">
        <v>270</v>
      </c>
      <c r="AH358" s="1620" t="s">
        <v>270</v>
      </c>
      <c r="AI358" s="1620" t="s">
        <v>270</v>
      </c>
      <c r="AJ358" s="1620" t="s">
        <v>270</v>
      </c>
      <c r="AK358" s="1620" t="s">
        <v>270</v>
      </c>
      <c r="AL358" s="1620"/>
      <c r="AM358" s="1620" t="s">
        <v>270</v>
      </c>
      <c r="AN358" s="1620" t="s">
        <v>270</v>
      </c>
      <c r="AO358" s="1620" t="s">
        <v>270</v>
      </c>
      <c r="AP358" s="1620" t="s">
        <v>270</v>
      </c>
      <c r="AQ358" s="1620" t="s">
        <v>270</v>
      </c>
      <c r="AR358" s="1620" t="s">
        <v>270</v>
      </c>
      <c r="AS358" s="1620" t="s">
        <v>270</v>
      </c>
      <c r="AT358" s="1620" t="s">
        <v>270</v>
      </c>
      <c r="AU358" s="1620" t="s">
        <v>270</v>
      </c>
      <c r="AV358" s="1620" t="s">
        <v>270</v>
      </c>
      <c r="AW358" s="1620" t="s">
        <v>270</v>
      </c>
      <c r="AX358" s="1620"/>
      <c r="AY358" s="1620" t="s">
        <v>986</v>
      </c>
      <c r="AZ358" s="1620" t="s">
        <v>986</v>
      </c>
      <c r="BA358" s="1620" t="s">
        <v>986</v>
      </c>
      <c r="BB358" s="1620" t="s">
        <v>986</v>
      </c>
      <c r="BC358" s="1620" t="s">
        <v>986</v>
      </c>
      <c r="BD358" s="1620" t="s">
        <v>986</v>
      </c>
      <c r="BE358" s="1620" t="s">
        <v>986</v>
      </c>
      <c r="BF358" s="1620" t="s">
        <v>986</v>
      </c>
      <c r="BG358" s="1620" t="s">
        <v>986</v>
      </c>
      <c r="BH358" s="1620" t="s">
        <v>986</v>
      </c>
      <c r="BI358" s="1620" t="s">
        <v>986</v>
      </c>
      <c r="BJ358" s="1603"/>
      <c r="BK358" s="1620" t="s">
        <v>270</v>
      </c>
      <c r="BL358" s="1620" t="s">
        <v>270</v>
      </c>
      <c r="BM358" s="1620" t="s">
        <v>270</v>
      </c>
      <c r="BN358" s="1620" t="s">
        <v>270</v>
      </c>
      <c r="BO358" s="1620"/>
      <c r="BP358" s="1620" t="s">
        <v>270</v>
      </c>
      <c r="BQ358" s="1620" t="s">
        <v>270</v>
      </c>
      <c r="BR358" s="1620" t="s">
        <v>270</v>
      </c>
      <c r="BS358" s="1620" t="s">
        <v>270</v>
      </c>
      <c r="BT358" s="1603"/>
      <c r="BU358" s="1620" t="s">
        <v>270</v>
      </c>
      <c r="BV358" s="1620" t="s">
        <v>270</v>
      </c>
      <c r="BW358" s="1620" t="s">
        <v>270</v>
      </c>
      <c r="BX358" s="1620" t="s">
        <v>270</v>
      </c>
      <c r="BY358" s="1620" t="s">
        <v>270</v>
      </c>
      <c r="BZ358" s="1620" t="s">
        <v>270</v>
      </c>
      <c r="CA358" s="1620" t="s">
        <v>270</v>
      </c>
      <c r="CB358" s="1603"/>
      <c r="CC358" s="1603" t="s">
        <v>270</v>
      </c>
      <c r="CD358" s="1603" t="s">
        <v>270</v>
      </c>
      <c r="CE358" s="1603" t="s">
        <v>270</v>
      </c>
      <c r="CF358" s="1603" t="s">
        <v>270</v>
      </c>
      <c r="CG358" s="1603" t="s">
        <v>270</v>
      </c>
      <c r="CH358" s="1603" t="s">
        <v>270</v>
      </c>
      <c r="CI358" s="1603" t="s">
        <v>270</v>
      </c>
      <c r="CJ358" s="1603"/>
      <c r="CK358" s="1603" t="s">
        <v>270</v>
      </c>
      <c r="CL358" s="1603" t="s">
        <v>270</v>
      </c>
      <c r="CM358" s="1603" t="s">
        <v>270</v>
      </c>
      <c r="CN358" s="1603" t="s">
        <v>270</v>
      </c>
      <c r="CO358" s="1603" t="s">
        <v>270</v>
      </c>
      <c r="CP358" s="1603" t="s">
        <v>270</v>
      </c>
      <c r="CQ358" s="1603" t="s">
        <v>270</v>
      </c>
      <c r="CR358" s="1603" t="s">
        <v>270</v>
      </c>
      <c r="CS358" s="1603" t="s">
        <v>270</v>
      </c>
      <c r="CT358" s="1603" t="s">
        <v>270</v>
      </c>
      <c r="CU358" s="1603" t="s">
        <v>270</v>
      </c>
      <c r="CV358" s="1603" t="s">
        <v>270</v>
      </c>
      <c r="CW358" s="1603" t="s">
        <v>270</v>
      </c>
      <c r="CX358" s="1603" t="s">
        <v>270</v>
      </c>
      <c r="CY358" s="1603" t="s">
        <v>270</v>
      </c>
      <c r="CZ358" s="1603" t="s">
        <v>270</v>
      </c>
      <c r="DA358" s="1603" t="s">
        <v>270</v>
      </c>
      <c r="DB358" s="1603" t="s">
        <v>270</v>
      </c>
      <c r="DC358" s="1603" t="s">
        <v>270</v>
      </c>
      <c r="DD358" s="1603" t="s">
        <v>270</v>
      </c>
      <c r="DE358" s="1603" t="s">
        <v>270</v>
      </c>
      <c r="DF358" s="1603" t="s">
        <v>270</v>
      </c>
      <c r="DG358" s="1603" t="s">
        <v>270</v>
      </c>
      <c r="DH358" s="1619" t="s">
        <v>270</v>
      </c>
      <c r="DI358" s="1603" t="s">
        <v>270</v>
      </c>
      <c r="DJ358" s="1603" t="s">
        <v>270</v>
      </c>
      <c r="DK358" s="1603" t="s">
        <v>270</v>
      </c>
      <c r="DL358" s="1603" t="s">
        <v>270</v>
      </c>
      <c r="DM358" s="1603" t="s">
        <v>270</v>
      </c>
      <c r="DN358" s="1603" t="s">
        <v>270</v>
      </c>
      <c r="DO358" s="1603" t="s">
        <v>270</v>
      </c>
      <c r="DP358" s="1603" t="s">
        <v>270</v>
      </c>
      <c r="DQ358" s="1603" t="s">
        <v>270</v>
      </c>
      <c r="DR358" s="1603" t="s">
        <v>270</v>
      </c>
      <c r="DS358" s="1603" t="s">
        <v>270</v>
      </c>
      <c r="DT358" s="1603" t="s">
        <v>270</v>
      </c>
      <c r="DU358" s="1603" t="s">
        <v>270</v>
      </c>
      <c r="DV358" s="1603" t="s">
        <v>270</v>
      </c>
      <c r="DW358" s="1618" t="s">
        <v>986</v>
      </c>
      <c r="DX358" s="1605" t="s">
        <v>986</v>
      </c>
      <c r="DY358" s="1605" t="s">
        <v>986</v>
      </c>
      <c r="DZ358" s="1605" t="s">
        <v>986</v>
      </c>
      <c r="EA358" s="1605" t="s">
        <v>986</v>
      </c>
      <c r="EB358" s="1605" t="s">
        <v>986</v>
      </c>
      <c r="EC358" s="1605" t="s">
        <v>986</v>
      </c>
      <c r="ED358" s="1605" t="s">
        <v>986</v>
      </c>
      <c r="EE358" s="1605" t="s">
        <v>986</v>
      </c>
      <c r="EF358" s="1605" t="s">
        <v>986</v>
      </c>
      <c r="EG358" s="1605" t="s">
        <v>986</v>
      </c>
      <c r="EH358" s="1605" t="s">
        <v>986</v>
      </c>
      <c r="EI358" s="1605" t="s">
        <v>986</v>
      </c>
      <c r="EJ358" s="1605" t="s">
        <v>986</v>
      </c>
      <c r="EK358" s="1605" t="s">
        <v>986</v>
      </c>
      <c r="EL358" s="1605" t="s">
        <v>986</v>
      </c>
      <c r="EM358" s="1605" t="s">
        <v>986</v>
      </c>
      <c r="EN358" s="1605" t="s">
        <v>986</v>
      </c>
      <c r="EO358" s="1605" t="s">
        <v>986</v>
      </c>
      <c r="EP358" s="1605" t="s">
        <v>986</v>
      </c>
      <c r="EQ358" s="1605" t="s">
        <v>986</v>
      </c>
      <c r="ER358" s="1605" t="s">
        <v>986</v>
      </c>
      <c r="ES358" s="1605" t="s">
        <v>986</v>
      </c>
      <c r="ET358" s="1605" t="s">
        <v>986</v>
      </c>
      <c r="EU358" s="1605" t="s">
        <v>986</v>
      </c>
      <c r="EV358" s="1605" t="s">
        <v>986</v>
      </c>
      <c r="EW358" s="1605" t="s">
        <v>986</v>
      </c>
      <c r="EX358" s="1605" t="s">
        <v>986</v>
      </c>
      <c r="EY358" s="1605" t="s">
        <v>986</v>
      </c>
      <c r="EZ358" s="1605" t="s">
        <v>986</v>
      </c>
      <c r="FA358" s="1605" t="s">
        <v>986</v>
      </c>
      <c r="FB358" s="1605" t="s">
        <v>986</v>
      </c>
      <c r="FC358" s="1605" t="s">
        <v>986</v>
      </c>
      <c r="FD358" s="1605" t="s">
        <v>986</v>
      </c>
      <c r="FE358" s="1605" t="s">
        <v>986</v>
      </c>
      <c r="FF358" s="1605" t="s">
        <v>986</v>
      </c>
      <c r="FG358" s="1605" t="s">
        <v>986</v>
      </c>
      <c r="FH358" s="1605" t="s">
        <v>986</v>
      </c>
      <c r="FI358" s="1605" t="s">
        <v>986</v>
      </c>
      <c r="FJ358" s="1605" t="s">
        <v>986</v>
      </c>
      <c r="FK358" s="1605" t="s">
        <v>986</v>
      </c>
      <c r="FL358" s="1605" t="s">
        <v>986</v>
      </c>
      <c r="FM358" s="1605" t="s">
        <v>986</v>
      </c>
      <c r="FN358" s="1605" t="s">
        <v>986</v>
      </c>
      <c r="FO358" s="1605" t="s">
        <v>986</v>
      </c>
      <c r="FP358" s="1605" t="s">
        <v>986</v>
      </c>
      <c r="FQ358" s="1605" t="s">
        <v>986</v>
      </c>
      <c r="FR358" s="1605" t="s">
        <v>986</v>
      </c>
      <c r="FS358" s="1605" t="s">
        <v>986</v>
      </c>
      <c r="FT358" s="1605" t="s">
        <v>986</v>
      </c>
      <c r="FU358" s="1605" t="s">
        <v>986</v>
      </c>
      <c r="FV358" s="1605" t="s">
        <v>986</v>
      </c>
      <c r="FW358" s="1605" t="s">
        <v>986</v>
      </c>
      <c r="FX358" s="1605" t="s">
        <v>986</v>
      </c>
      <c r="FY358" s="1605" t="s">
        <v>986</v>
      </c>
      <c r="FZ358" s="1605" t="s">
        <v>986</v>
      </c>
      <c r="GA358" s="1605" t="s">
        <v>986</v>
      </c>
      <c r="GB358" s="1605" t="s">
        <v>986</v>
      </c>
      <c r="GC358" s="1605" t="s">
        <v>986</v>
      </c>
      <c r="GD358" s="1605" t="s">
        <v>986</v>
      </c>
      <c r="GE358" s="1605" t="s">
        <v>986</v>
      </c>
      <c r="GF358" s="1605" t="s">
        <v>986</v>
      </c>
      <c r="GG358" s="1605" t="s">
        <v>986</v>
      </c>
      <c r="GH358" s="1605" t="s">
        <v>986</v>
      </c>
      <c r="GI358" s="1605" t="s">
        <v>986</v>
      </c>
      <c r="GJ358" s="1605" t="s">
        <v>986</v>
      </c>
      <c r="GK358" s="1605" t="s">
        <v>986</v>
      </c>
      <c r="GL358" s="1605" t="s">
        <v>986</v>
      </c>
      <c r="GM358" s="1605" t="s">
        <v>986</v>
      </c>
      <c r="GN358" s="1605" t="s">
        <v>986</v>
      </c>
      <c r="GO358" s="1605" t="s">
        <v>986</v>
      </c>
      <c r="GP358" s="1605" t="s">
        <v>986</v>
      </c>
      <c r="GQ358" s="1605" t="s">
        <v>986</v>
      </c>
      <c r="GR358" s="1605" t="s">
        <v>986</v>
      </c>
      <c r="GS358" s="1605" t="s">
        <v>986</v>
      </c>
      <c r="GT358" s="1605" t="s">
        <v>986</v>
      </c>
      <c r="GU358" s="1605" t="s">
        <v>986</v>
      </c>
      <c r="GV358" s="1605" t="s">
        <v>986</v>
      </c>
      <c r="GW358" s="1605" t="s">
        <v>986</v>
      </c>
      <c r="GX358" s="1605" t="s">
        <v>986</v>
      </c>
      <c r="GY358" s="1605" t="s">
        <v>986</v>
      </c>
      <c r="GZ358" s="1605" t="s">
        <v>986</v>
      </c>
      <c r="HA358" s="1605" t="s">
        <v>986</v>
      </c>
      <c r="HB358" s="1605" t="s">
        <v>986</v>
      </c>
      <c r="HC358" s="1605" t="s">
        <v>986</v>
      </c>
      <c r="HD358" s="1605" t="s">
        <v>986</v>
      </c>
      <c r="HE358" s="1605" t="s">
        <v>986</v>
      </c>
      <c r="HF358" s="1605" t="s">
        <v>986</v>
      </c>
      <c r="HG358" s="1605" t="s">
        <v>986</v>
      </c>
      <c r="HH358" s="1605" t="s">
        <v>986</v>
      </c>
      <c r="HI358" s="1605" t="s">
        <v>986</v>
      </c>
      <c r="HJ358" s="1605" t="s">
        <v>986</v>
      </c>
      <c r="HK358" s="1605" t="s">
        <v>986</v>
      </c>
      <c r="HL358" s="1605" t="s">
        <v>986</v>
      </c>
      <c r="HM358" s="1605" t="s">
        <v>986</v>
      </c>
      <c r="HN358" s="1605" t="s">
        <v>986</v>
      </c>
      <c r="HO358" s="1605" t="s">
        <v>986</v>
      </c>
      <c r="HP358" s="1605" t="s">
        <v>986</v>
      </c>
      <c r="HQ358" s="1605" t="s">
        <v>986</v>
      </c>
      <c r="HR358" s="1605" t="s">
        <v>986</v>
      </c>
      <c r="HS358" s="1605" t="s">
        <v>986</v>
      </c>
      <c r="HT358" s="1605" t="s">
        <v>986</v>
      </c>
      <c r="HU358" s="1605" t="s">
        <v>986</v>
      </c>
      <c r="HV358" s="1617"/>
      <c r="HW358" s="1617" t="s">
        <v>986</v>
      </c>
      <c r="HX358" s="1617" t="s">
        <v>986</v>
      </c>
      <c r="HY358" s="1617" t="s">
        <v>986</v>
      </c>
      <c r="HZ358" s="1603"/>
      <c r="IA358" s="1603"/>
      <c r="IB358" s="1603"/>
      <c r="IC358" s="1603" t="s">
        <v>270</v>
      </c>
      <c r="ID358" s="1603" t="s">
        <v>270</v>
      </c>
      <c r="IE358" s="1603" t="s">
        <v>270</v>
      </c>
      <c r="IF358" s="1603" t="s">
        <v>270</v>
      </c>
      <c r="IG358" s="1611" t="s">
        <v>270</v>
      </c>
      <c r="IH358" s="1616" t="s">
        <v>270</v>
      </c>
      <c r="II358" s="1615" t="s">
        <v>270</v>
      </c>
      <c r="IJ358" s="1613" t="s">
        <v>270</v>
      </c>
      <c r="IK358" s="1613" t="s">
        <v>270</v>
      </c>
      <c r="IL358" s="1614" t="s">
        <v>270</v>
      </c>
      <c r="IM358" s="1614" t="s">
        <v>270</v>
      </c>
      <c r="IN358" s="1612" t="s">
        <v>270</v>
      </c>
      <c r="IO358" s="1613" t="s">
        <v>270</v>
      </c>
      <c r="IP358" s="1607" t="s">
        <v>270</v>
      </c>
      <c r="IQ358" s="1612" t="s">
        <v>270</v>
      </c>
      <c r="IR358" s="1612" t="s">
        <v>270</v>
      </c>
      <c r="IS358" s="1607" t="s">
        <v>270</v>
      </c>
      <c r="IT358" s="1607" t="s">
        <v>270</v>
      </c>
      <c r="IU358" s="1611" t="s">
        <v>270</v>
      </c>
      <c r="IV358" s="1611" t="s">
        <v>270</v>
      </c>
      <c r="IW358" s="1611" t="s">
        <v>270</v>
      </c>
      <c r="IX358" s="1611" t="s">
        <v>270</v>
      </c>
      <c r="IY358" s="1611" t="s">
        <v>270</v>
      </c>
      <c r="IZ358" s="1611" t="s">
        <v>270</v>
      </c>
      <c r="JA358" s="1611" t="s">
        <v>270</v>
      </c>
      <c r="JB358" s="1611" t="s">
        <v>270</v>
      </c>
      <c r="JC358" s="1611" t="s">
        <v>270</v>
      </c>
      <c r="JD358" s="1611" t="s">
        <v>270</v>
      </c>
      <c r="JE358" s="1611" t="s">
        <v>270</v>
      </c>
      <c r="JF358" s="1611" t="s">
        <v>270</v>
      </c>
      <c r="JG358" s="1611" t="s">
        <v>270</v>
      </c>
      <c r="JH358" s="1611" t="s">
        <v>270</v>
      </c>
      <c r="JI358" s="1611" t="s">
        <v>270</v>
      </c>
      <c r="JJ358" s="1611" t="s">
        <v>270</v>
      </c>
      <c r="JK358" s="1607" t="str">
        <f t="shared" si="14"/>
        <v/>
      </c>
      <c r="JL358" s="1608" t="s">
        <v>270</v>
      </c>
      <c r="JM358" s="1610" t="s">
        <v>270</v>
      </c>
      <c r="JN358" s="1608" t="s">
        <v>270</v>
      </c>
      <c r="JO358" s="1609" t="s">
        <v>270</v>
      </c>
      <c r="JP358" s="1608" t="s">
        <v>270</v>
      </c>
      <c r="JQ358" s="1607" t="s">
        <v>270</v>
      </c>
      <c r="JR358" s="1606" t="s">
        <v>270</v>
      </c>
      <c r="JS358" s="1606" t="s">
        <v>270</v>
      </c>
      <c r="JT358" s="1606" t="s">
        <v>270</v>
      </c>
    </row>
    <row r="359" spans="1:280" ht="15" customHeight="1" x14ac:dyDescent="0.2">
      <c r="A359" s="1626" t="s">
        <v>270</v>
      </c>
      <c r="B359" s="1625" t="s">
        <v>270</v>
      </c>
      <c r="C359" s="1624" t="s">
        <v>270</v>
      </c>
      <c r="D359" s="1623" t="s">
        <v>270</v>
      </c>
      <c r="E359" s="1622" t="s">
        <v>270</v>
      </c>
      <c r="F359" s="1620" t="s">
        <v>270</v>
      </c>
      <c r="G359" s="1620" t="s">
        <v>270</v>
      </c>
      <c r="H359" s="1621" t="s">
        <v>270</v>
      </c>
      <c r="I359" s="1621" t="s">
        <v>270</v>
      </c>
      <c r="J359" s="1621" t="s">
        <v>270</v>
      </c>
      <c r="K359" s="1620" t="s">
        <v>270</v>
      </c>
      <c r="L359" s="1620" t="s">
        <v>270</v>
      </c>
      <c r="M359" s="1620" t="s">
        <v>270</v>
      </c>
      <c r="N359" s="1620" t="s">
        <v>270</v>
      </c>
      <c r="O359" s="1620" t="s">
        <v>270</v>
      </c>
      <c r="P359" s="1620" t="s">
        <v>270</v>
      </c>
      <c r="Q359" s="1603"/>
      <c r="R359" s="1620" t="s">
        <v>270</v>
      </c>
      <c r="S359" s="1620" t="s">
        <v>270</v>
      </c>
      <c r="T359" s="1620" t="s">
        <v>270</v>
      </c>
      <c r="U359" s="1620" t="s">
        <v>270</v>
      </c>
      <c r="V359" s="1620" t="s">
        <v>270</v>
      </c>
      <c r="W359" s="1620" t="s">
        <v>270</v>
      </c>
      <c r="X359" s="1620"/>
      <c r="Y359" s="1620" t="s">
        <v>270</v>
      </c>
      <c r="Z359" s="1620" t="s">
        <v>270</v>
      </c>
      <c r="AA359" s="1620" t="s">
        <v>270</v>
      </c>
      <c r="AB359" s="1620" t="s">
        <v>270</v>
      </c>
      <c r="AC359" s="1620" t="s">
        <v>270</v>
      </c>
      <c r="AD359" s="1620" t="s">
        <v>270</v>
      </c>
      <c r="AE359" s="1620" t="s">
        <v>270</v>
      </c>
      <c r="AF359" s="1620" t="s">
        <v>270</v>
      </c>
      <c r="AG359" s="1620" t="s">
        <v>270</v>
      </c>
      <c r="AH359" s="1620" t="s">
        <v>270</v>
      </c>
      <c r="AI359" s="1620" t="s">
        <v>270</v>
      </c>
      <c r="AJ359" s="1620" t="s">
        <v>270</v>
      </c>
      <c r="AK359" s="1620" t="s">
        <v>270</v>
      </c>
      <c r="AL359" s="1620"/>
      <c r="AM359" s="1620" t="s">
        <v>270</v>
      </c>
      <c r="AN359" s="1620" t="s">
        <v>270</v>
      </c>
      <c r="AO359" s="1620" t="s">
        <v>270</v>
      </c>
      <c r="AP359" s="1620" t="s">
        <v>270</v>
      </c>
      <c r="AQ359" s="1620" t="s">
        <v>270</v>
      </c>
      <c r="AR359" s="1620" t="s">
        <v>270</v>
      </c>
      <c r="AS359" s="1620" t="s">
        <v>270</v>
      </c>
      <c r="AT359" s="1620" t="s">
        <v>270</v>
      </c>
      <c r="AU359" s="1620" t="s">
        <v>270</v>
      </c>
      <c r="AV359" s="1620" t="s">
        <v>270</v>
      </c>
      <c r="AW359" s="1620" t="s">
        <v>270</v>
      </c>
      <c r="AX359" s="1620"/>
      <c r="AY359" s="1620" t="s">
        <v>986</v>
      </c>
      <c r="AZ359" s="1620" t="s">
        <v>986</v>
      </c>
      <c r="BA359" s="1620" t="s">
        <v>986</v>
      </c>
      <c r="BB359" s="1620" t="s">
        <v>986</v>
      </c>
      <c r="BC359" s="1620" t="s">
        <v>986</v>
      </c>
      <c r="BD359" s="1620" t="s">
        <v>986</v>
      </c>
      <c r="BE359" s="1620" t="s">
        <v>986</v>
      </c>
      <c r="BF359" s="1620" t="s">
        <v>986</v>
      </c>
      <c r="BG359" s="1620" t="s">
        <v>986</v>
      </c>
      <c r="BH359" s="1620" t="s">
        <v>986</v>
      </c>
      <c r="BI359" s="1620" t="s">
        <v>986</v>
      </c>
      <c r="BJ359" s="1603"/>
      <c r="BK359" s="1620" t="s">
        <v>270</v>
      </c>
      <c r="BL359" s="1620" t="s">
        <v>270</v>
      </c>
      <c r="BM359" s="1620" t="s">
        <v>270</v>
      </c>
      <c r="BN359" s="1620" t="s">
        <v>270</v>
      </c>
      <c r="BO359" s="1620"/>
      <c r="BP359" s="1620" t="s">
        <v>270</v>
      </c>
      <c r="BQ359" s="1620" t="s">
        <v>270</v>
      </c>
      <c r="BR359" s="1620" t="s">
        <v>270</v>
      </c>
      <c r="BS359" s="1620" t="s">
        <v>270</v>
      </c>
      <c r="BT359" s="1603"/>
      <c r="BU359" s="1620" t="s">
        <v>270</v>
      </c>
      <c r="BV359" s="1620" t="s">
        <v>270</v>
      </c>
      <c r="BW359" s="1620" t="s">
        <v>270</v>
      </c>
      <c r="BX359" s="1620" t="s">
        <v>270</v>
      </c>
      <c r="BY359" s="1620" t="s">
        <v>270</v>
      </c>
      <c r="BZ359" s="1620" t="s">
        <v>270</v>
      </c>
      <c r="CA359" s="1620" t="s">
        <v>270</v>
      </c>
      <c r="CB359" s="1603"/>
      <c r="CC359" s="1603" t="s">
        <v>270</v>
      </c>
      <c r="CD359" s="1603" t="s">
        <v>270</v>
      </c>
      <c r="CE359" s="1603" t="s">
        <v>270</v>
      </c>
      <c r="CF359" s="1603" t="s">
        <v>270</v>
      </c>
      <c r="CG359" s="1603" t="s">
        <v>270</v>
      </c>
      <c r="CH359" s="1603" t="s">
        <v>270</v>
      </c>
      <c r="CI359" s="1603" t="s">
        <v>270</v>
      </c>
      <c r="CJ359" s="1603"/>
      <c r="CK359" s="1603" t="s">
        <v>270</v>
      </c>
      <c r="CL359" s="1603" t="s">
        <v>270</v>
      </c>
      <c r="CM359" s="1603" t="s">
        <v>270</v>
      </c>
      <c r="CN359" s="1603" t="s">
        <v>270</v>
      </c>
      <c r="CO359" s="1603" t="s">
        <v>270</v>
      </c>
      <c r="CP359" s="1603" t="s">
        <v>270</v>
      </c>
      <c r="CQ359" s="1603" t="s">
        <v>270</v>
      </c>
      <c r="CR359" s="1603" t="s">
        <v>270</v>
      </c>
      <c r="CS359" s="1603" t="s">
        <v>270</v>
      </c>
      <c r="CT359" s="1603" t="s">
        <v>270</v>
      </c>
      <c r="CU359" s="1603" t="s">
        <v>270</v>
      </c>
      <c r="CV359" s="1603" t="s">
        <v>270</v>
      </c>
      <c r="CW359" s="1603" t="s">
        <v>270</v>
      </c>
      <c r="CX359" s="1603" t="s">
        <v>270</v>
      </c>
      <c r="CY359" s="1603" t="s">
        <v>270</v>
      </c>
      <c r="CZ359" s="1603" t="s">
        <v>270</v>
      </c>
      <c r="DA359" s="1603" t="s">
        <v>270</v>
      </c>
      <c r="DB359" s="1603" t="s">
        <v>270</v>
      </c>
      <c r="DC359" s="1603" t="s">
        <v>270</v>
      </c>
      <c r="DD359" s="1603" t="s">
        <v>270</v>
      </c>
      <c r="DE359" s="1603" t="s">
        <v>270</v>
      </c>
      <c r="DF359" s="1603" t="s">
        <v>270</v>
      </c>
      <c r="DG359" s="1603" t="s">
        <v>270</v>
      </c>
      <c r="DH359" s="1619" t="s">
        <v>270</v>
      </c>
      <c r="DI359" s="1603" t="s">
        <v>270</v>
      </c>
      <c r="DJ359" s="1603" t="s">
        <v>270</v>
      </c>
      <c r="DK359" s="1603" t="s">
        <v>270</v>
      </c>
      <c r="DL359" s="1603" t="s">
        <v>270</v>
      </c>
      <c r="DM359" s="1603" t="s">
        <v>270</v>
      </c>
      <c r="DN359" s="1603" t="s">
        <v>270</v>
      </c>
      <c r="DO359" s="1603" t="s">
        <v>270</v>
      </c>
      <c r="DP359" s="1603" t="s">
        <v>270</v>
      </c>
      <c r="DQ359" s="1603" t="s">
        <v>270</v>
      </c>
      <c r="DR359" s="1603" t="s">
        <v>270</v>
      </c>
      <c r="DS359" s="1603" t="s">
        <v>270</v>
      </c>
      <c r="DT359" s="1603" t="s">
        <v>270</v>
      </c>
      <c r="DU359" s="1603" t="s">
        <v>270</v>
      </c>
      <c r="DV359" s="1603" t="s">
        <v>270</v>
      </c>
      <c r="DW359" s="1618" t="s">
        <v>986</v>
      </c>
      <c r="DX359" s="1605" t="s">
        <v>986</v>
      </c>
      <c r="DY359" s="1605" t="s">
        <v>986</v>
      </c>
      <c r="DZ359" s="1605" t="s">
        <v>986</v>
      </c>
      <c r="EA359" s="1605" t="s">
        <v>986</v>
      </c>
      <c r="EB359" s="1605" t="s">
        <v>986</v>
      </c>
      <c r="EC359" s="1605" t="s">
        <v>986</v>
      </c>
      <c r="ED359" s="1605" t="s">
        <v>986</v>
      </c>
      <c r="EE359" s="1605" t="s">
        <v>986</v>
      </c>
      <c r="EF359" s="1605" t="s">
        <v>986</v>
      </c>
      <c r="EG359" s="1605" t="s">
        <v>986</v>
      </c>
      <c r="EH359" s="1605" t="s">
        <v>986</v>
      </c>
      <c r="EI359" s="1605" t="s">
        <v>986</v>
      </c>
      <c r="EJ359" s="1605" t="s">
        <v>986</v>
      </c>
      <c r="EK359" s="1605" t="s">
        <v>986</v>
      </c>
      <c r="EL359" s="1605" t="s">
        <v>986</v>
      </c>
      <c r="EM359" s="1605" t="s">
        <v>986</v>
      </c>
      <c r="EN359" s="1605" t="s">
        <v>986</v>
      </c>
      <c r="EO359" s="1605" t="s">
        <v>986</v>
      </c>
      <c r="EP359" s="1605" t="s">
        <v>986</v>
      </c>
      <c r="EQ359" s="1605" t="s">
        <v>986</v>
      </c>
      <c r="ER359" s="1605" t="s">
        <v>986</v>
      </c>
      <c r="ES359" s="1605" t="s">
        <v>986</v>
      </c>
      <c r="ET359" s="1605" t="s">
        <v>986</v>
      </c>
      <c r="EU359" s="1605" t="s">
        <v>986</v>
      </c>
      <c r="EV359" s="1605" t="s">
        <v>986</v>
      </c>
      <c r="EW359" s="1605" t="s">
        <v>986</v>
      </c>
      <c r="EX359" s="1605" t="s">
        <v>986</v>
      </c>
      <c r="EY359" s="1605" t="s">
        <v>986</v>
      </c>
      <c r="EZ359" s="1605" t="s">
        <v>986</v>
      </c>
      <c r="FA359" s="1605" t="s">
        <v>986</v>
      </c>
      <c r="FB359" s="1605" t="s">
        <v>986</v>
      </c>
      <c r="FC359" s="1605" t="s">
        <v>986</v>
      </c>
      <c r="FD359" s="1605" t="s">
        <v>986</v>
      </c>
      <c r="FE359" s="1605" t="s">
        <v>986</v>
      </c>
      <c r="FF359" s="1605" t="s">
        <v>986</v>
      </c>
      <c r="FG359" s="1605" t="s">
        <v>986</v>
      </c>
      <c r="FH359" s="1605" t="s">
        <v>986</v>
      </c>
      <c r="FI359" s="1605" t="s">
        <v>986</v>
      </c>
      <c r="FJ359" s="1605" t="s">
        <v>986</v>
      </c>
      <c r="FK359" s="1605" t="s">
        <v>986</v>
      </c>
      <c r="FL359" s="1605" t="s">
        <v>986</v>
      </c>
      <c r="FM359" s="1605" t="s">
        <v>986</v>
      </c>
      <c r="FN359" s="1605" t="s">
        <v>986</v>
      </c>
      <c r="FO359" s="1605" t="s">
        <v>986</v>
      </c>
      <c r="FP359" s="1605" t="s">
        <v>986</v>
      </c>
      <c r="FQ359" s="1605" t="s">
        <v>986</v>
      </c>
      <c r="FR359" s="1605" t="s">
        <v>986</v>
      </c>
      <c r="FS359" s="1605" t="s">
        <v>986</v>
      </c>
      <c r="FT359" s="1605" t="s">
        <v>986</v>
      </c>
      <c r="FU359" s="1605" t="s">
        <v>986</v>
      </c>
      <c r="FV359" s="1605" t="s">
        <v>986</v>
      </c>
      <c r="FW359" s="1605" t="s">
        <v>986</v>
      </c>
      <c r="FX359" s="1605" t="s">
        <v>986</v>
      </c>
      <c r="FY359" s="1605" t="s">
        <v>986</v>
      </c>
      <c r="FZ359" s="1605" t="s">
        <v>986</v>
      </c>
      <c r="GA359" s="1605" t="s">
        <v>986</v>
      </c>
      <c r="GB359" s="1605" t="s">
        <v>986</v>
      </c>
      <c r="GC359" s="1605" t="s">
        <v>986</v>
      </c>
      <c r="GD359" s="1605" t="s">
        <v>986</v>
      </c>
      <c r="GE359" s="1605" t="s">
        <v>986</v>
      </c>
      <c r="GF359" s="1605" t="s">
        <v>986</v>
      </c>
      <c r="GG359" s="1605" t="s">
        <v>986</v>
      </c>
      <c r="GH359" s="1605" t="s">
        <v>986</v>
      </c>
      <c r="GI359" s="1605" t="s">
        <v>986</v>
      </c>
      <c r="GJ359" s="1605" t="s">
        <v>986</v>
      </c>
      <c r="GK359" s="1605" t="s">
        <v>986</v>
      </c>
      <c r="GL359" s="1605" t="s">
        <v>986</v>
      </c>
      <c r="GM359" s="1605" t="s">
        <v>986</v>
      </c>
      <c r="GN359" s="1605" t="s">
        <v>986</v>
      </c>
      <c r="GO359" s="1605" t="s">
        <v>986</v>
      </c>
      <c r="GP359" s="1605" t="s">
        <v>986</v>
      </c>
      <c r="GQ359" s="1605" t="s">
        <v>986</v>
      </c>
      <c r="GR359" s="1605" t="s">
        <v>986</v>
      </c>
      <c r="GS359" s="1605" t="s">
        <v>986</v>
      </c>
      <c r="GT359" s="1605" t="s">
        <v>986</v>
      </c>
      <c r="GU359" s="1605" t="s">
        <v>986</v>
      </c>
      <c r="GV359" s="1605" t="s">
        <v>986</v>
      </c>
      <c r="GW359" s="1605" t="s">
        <v>986</v>
      </c>
      <c r="GX359" s="1605" t="s">
        <v>986</v>
      </c>
      <c r="GY359" s="1605" t="s">
        <v>986</v>
      </c>
      <c r="GZ359" s="1605" t="s">
        <v>986</v>
      </c>
      <c r="HA359" s="1605" t="s">
        <v>986</v>
      </c>
      <c r="HB359" s="1605" t="s">
        <v>986</v>
      </c>
      <c r="HC359" s="1605" t="s">
        <v>986</v>
      </c>
      <c r="HD359" s="1605" t="s">
        <v>986</v>
      </c>
      <c r="HE359" s="1605" t="s">
        <v>986</v>
      </c>
      <c r="HF359" s="1605" t="s">
        <v>986</v>
      </c>
      <c r="HG359" s="1605" t="s">
        <v>986</v>
      </c>
      <c r="HH359" s="1605" t="s">
        <v>986</v>
      </c>
      <c r="HI359" s="1605" t="s">
        <v>986</v>
      </c>
      <c r="HJ359" s="1605" t="s">
        <v>986</v>
      </c>
      <c r="HK359" s="1605" t="s">
        <v>986</v>
      </c>
      <c r="HL359" s="1605" t="s">
        <v>986</v>
      </c>
      <c r="HM359" s="1605" t="s">
        <v>986</v>
      </c>
      <c r="HN359" s="1605" t="s">
        <v>986</v>
      </c>
      <c r="HO359" s="1605" t="s">
        <v>986</v>
      </c>
      <c r="HP359" s="1605" t="s">
        <v>986</v>
      </c>
      <c r="HQ359" s="1605" t="s">
        <v>986</v>
      </c>
      <c r="HR359" s="1605" t="s">
        <v>986</v>
      </c>
      <c r="HS359" s="1605" t="s">
        <v>986</v>
      </c>
      <c r="HT359" s="1605" t="s">
        <v>986</v>
      </c>
      <c r="HU359" s="1605" t="s">
        <v>986</v>
      </c>
      <c r="HV359" s="1617"/>
      <c r="HW359" s="1617" t="s">
        <v>986</v>
      </c>
      <c r="HX359" s="1617" t="s">
        <v>986</v>
      </c>
      <c r="HY359" s="1617" t="s">
        <v>986</v>
      </c>
      <c r="HZ359" s="1603"/>
      <c r="IA359" s="1603"/>
      <c r="IB359" s="1603"/>
      <c r="IC359" s="1603" t="s">
        <v>270</v>
      </c>
      <c r="ID359" s="1603" t="s">
        <v>270</v>
      </c>
      <c r="IE359" s="1603" t="s">
        <v>270</v>
      </c>
      <c r="IF359" s="1603" t="s">
        <v>270</v>
      </c>
      <c r="IG359" s="1611" t="s">
        <v>270</v>
      </c>
      <c r="IH359" s="1616" t="s">
        <v>270</v>
      </c>
      <c r="II359" s="1615" t="s">
        <v>270</v>
      </c>
      <c r="IJ359" s="1613" t="s">
        <v>270</v>
      </c>
      <c r="IK359" s="1613" t="s">
        <v>270</v>
      </c>
      <c r="IL359" s="1614" t="s">
        <v>270</v>
      </c>
      <c r="IM359" s="1614" t="s">
        <v>270</v>
      </c>
      <c r="IN359" s="1612" t="s">
        <v>270</v>
      </c>
      <c r="IO359" s="1613" t="s">
        <v>270</v>
      </c>
      <c r="IP359" s="1607" t="s">
        <v>270</v>
      </c>
      <c r="IQ359" s="1612" t="s">
        <v>270</v>
      </c>
      <c r="IR359" s="1612" t="s">
        <v>270</v>
      </c>
      <c r="IS359" s="1607" t="s">
        <v>270</v>
      </c>
      <c r="IT359" s="1607" t="s">
        <v>270</v>
      </c>
      <c r="IU359" s="1611" t="s">
        <v>270</v>
      </c>
      <c r="IV359" s="1611" t="s">
        <v>270</v>
      </c>
      <c r="IW359" s="1611" t="s">
        <v>270</v>
      </c>
      <c r="IX359" s="1611" t="s">
        <v>270</v>
      </c>
      <c r="IY359" s="1611" t="s">
        <v>270</v>
      </c>
      <c r="IZ359" s="1611" t="s">
        <v>270</v>
      </c>
      <c r="JA359" s="1611" t="s">
        <v>270</v>
      </c>
      <c r="JB359" s="1611" t="s">
        <v>270</v>
      </c>
      <c r="JC359" s="1611" t="s">
        <v>270</v>
      </c>
      <c r="JD359" s="1611" t="s">
        <v>270</v>
      </c>
      <c r="JE359" s="1611" t="s">
        <v>270</v>
      </c>
      <c r="JF359" s="1611" t="s">
        <v>270</v>
      </c>
      <c r="JG359" s="1611" t="s">
        <v>270</v>
      </c>
      <c r="JH359" s="1611" t="s">
        <v>270</v>
      </c>
      <c r="JI359" s="1611" t="s">
        <v>270</v>
      </c>
      <c r="JJ359" s="1611" t="s">
        <v>270</v>
      </c>
      <c r="JK359" s="1607" t="str">
        <f t="shared" si="14"/>
        <v/>
      </c>
      <c r="JL359" s="1608" t="s">
        <v>270</v>
      </c>
      <c r="JM359" s="1610" t="s">
        <v>270</v>
      </c>
      <c r="JN359" s="1608" t="s">
        <v>270</v>
      </c>
      <c r="JO359" s="1609" t="s">
        <v>270</v>
      </c>
      <c r="JP359" s="1608" t="s">
        <v>270</v>
      </c>
      <c r="JQ359" s="1607" t="s">
        <v>270</v>
      </c>
      <c r="JR359" s="1606" t="s">
        <v>270</v>
      </c>
      <c r="JS359" s="1606" t="s">
        <v>270</v>
      </c>
      <c r="JT359" s="1606" t="s">
        <v>270</v>
      </c>
    </row>
    <row r="360" spans="1:280" ht="15" customHeight="1" x14ac:dyDescent="0.2">
      <c r="A360" s="1626" t="s">
        <v>270</v>
      </c>
      <c r="B360" s="1625" t="s">
        <v>270</v>
      </c>
      <c r="C360" s="1624" t="s">
        <v>270</v>
      </c>
      <c r="D360" s="1623" t="s">
        <v>270</v>
      </c>
      <c r="E360" s="1622" t="s">
        <v>270</v>
      </c>
      <c r="F360" s="1620" t="s">
        <v>270</v>
      </c>
      <c r="G360" s="1620" t="s">
        <v>270</v>
      </c>
      <c r="H360" s="1621" t="s">
        <v>270</v>
      </c>
      <c r="I360" s="1621" t="s">
        <v>270</v>
      </c>
      <c r="J360" s="1621" t="s">
        <v>270</v>
      </c>
      <c r="K360" s="1620" t="s">
        <v>270</v>
      </c>
      <c r="L360" s="1620" t="s">
        <v>270</v>
      </c>
      <c r="M360" s="1620" t="s">
        <v>270</v>
      </c>
      <c r="N360" s="1620" t="s">
        <v>270</v>
      </c>
      <c r="O360" s="1620" t="s">
        <v>270</v>
      </c>
      <c r="P360" s="1620" t="s">
        <v>270</v>
      </c>
      <c r="Q360" s="1603"/>
      <c r="R360" s="1620" t="s">
        <v>270</v>
      </c>
      <c r="S360" s="1620" t="s">
        <v>270</v>
      </c>
      <c r="T360" s="1620" t="s">
        <v>270</v>
      </c>
      <c r="U360" s="1620" t="s">
        <v>270</v>
      </c>
      <c r="V360" s="1620" t="s">
        <v>270</v>
      </c>
      <c r="W360" s="1620" t="s">
        <v>270</v>
      </c>
      <c r="X360" s="1620"/>
      <c r="Y360" s="1620" t="s">
        <v>270</v>
      </c>
      <c r="Z360" s="1620" t="s">
        <v>270</v>
      </c>
      <c r="AA360" s="1620" t="s">
        <v>270</v>
      </c>
      <c r="AB360" s="1620" t="s">
        <v>270</v>
      </c>
      <c r="AC360" s="1620" t="s">
        <v>270</v>
      </c>
      <c r="AD360" s="1620" t="s">
        <v>270</v>
      </c>
      <c r="AE360" s="1620" t="s">
        <v>270</v>
      </c>
      <c r="AF360" s="1620" t="s">
        <v>270</v>
      </c>
      <c r="AG360" s="1620" t="s">
        <v>270</v>
      </c>
      <c r="AH360" s="1620" t="s">
        <v>270</v>
      </c>
      <c r="AI360" s="1620" t="s">
        <v>270</v>
      </c>
      <c r="AJ360" s="1620" t="s">
        <v>270</v>
      </c>
      <c r="AK360" s="1620" t="s">
        <v>270</v>
      </c>
      <c r="AL360" s="1620"/>
      <c r="AM360" s="1620" t="s">
        <v>270</v>
      </c>
      <c r="AN360" s="1620" t="s">
        <v>270</v>
      </c>
      <c r="AO360" s="1620" t="s">
        <v>270</v>
      </c>
      <c r="AP360" s="1620" t="s">
        <v>270</v>
      </c>
      <c r="AQ360" s="1620" t="s">
        <v>270</v>
      </c>
      <c r="AR360" s="1620" t="s">
        <v>270</v>
      </c>
      <c r="AS360" s="1620" t="s">
        <v>270</v>
      </c>
      <c r="AT360" s="1620" t="s">
        <v>270</v>
      </c>
      <c r="AU360" s="1620" t="s">
        <v>270</v>
      </c>
      <c r="AV360" s="1620" t="s">
        <v>270</v>
      </c>
      <c r="AW360" s="1620" t="s">
        <v>270</v>
      </c>
      <c r="AX360" s="1620"/>
      <c r="AY360" s="1620" t="s">
        <v>986</v>
      </c>
      <c r="AZ360" s="1620" t="s">
        <v>986</v>
      </c>
      <c r="BA360" s="1620" t="s">
        <v>986</v>
      </c>
      <c r="BB360" s="1620" t="s">
        <v>986</v>
      </c>
      <c r="BC360" s="1620" t="s">
        <v>986</v>
      </c>
      <c r="BD360" s="1620" t="s">
        <v>986</v>
      </c>
      <c r="BE360" s="1620" t="s">
        <v>986</v>
      </c>
      <c r="BF360" s="1620" t="s">
        <v>986</v>
      </c>
      <c r="BG360" s="1620" t="s">
        <v>986</v>
      </c>
      <c r="BH360" s="1620" t="s">
        <v>986</v>
      </c>
      <c r="BI360" s="1620" t="s">
        <v>986</v>
      </c>
      <c r="BJ360" s="1603"/>
      <c r="BK360" s="1620" t="s">
        <v>270</v>
      </c>
      <c r="BL360" s="1620" t="s">
        <v>270</v>
      </c>
      <c r="BM360" s="1620" t="s">
        <v>270</v>
      </c>
      <c r="BN360" s="1620" t="s">
        <v>270</v>
      </c>
      <c r="BO360" s="1620"/>
      <c r="BP360" s="1620" t="s">
        <v>270</v>
      </c>
      <c r="BQ360" s="1620" t="s">
        <v>270</v>
      </c>
      <c r="BR360" s="1620" t="s">
        <v>270</v>
      </c>
      <c r="BS360" s="1620" t="s">
        <v>270</v>
      </c>
      <c r="BT360" s="1603"/>
      <c r="BU360" s="1620" t="s">
        <v>270</v>
      </c>
      <c r="BV360" s="1620" t="s">
        <v>270</v>
      </c>
      <c r="BW360" s="1620" t="s">
        <v>270</v>
      </c>
      <c r="BX360" s="1620" t="s">
        <v>270</v>
      </c>
      <c r="BY360" s="1620" t="s">
        <v>270</v>
      </c>
      <c r="BZ360" s="1620" t="s">
        <v>270</v>
      </c>
      <c r="CA360" s="1620" t="s">
        <v>270</v>
      </c>
      <c r="CB360" s="1603"/>
      <c r="CC360" s="1603" t="s">
        <v>270</v>
      </c>
      <c r="CD360" s="1603" t="s">
        <v>270</v>
      </c>
      <c r="CE360" s="1603" t="s">
        <v>270</v>
      </c>
      <c r="CF360" s="1603" t="s">
        <v>270</v>
      </c>
      <c r="CG360" s="1603" t="s">
        <v>270</v>
      </c>
      <c r="CH360" s="1603" t="s">
        <v>270</v>
      </c>
      <c r="CI360" s="1603" t="s">
        <v>270</v>
      </c>
      <c r="CJ360" s="1603"/>
      <c r="CK360" s="1603" t="s">
        <v>270</v>
      </c>
      <c r="CL360" s="1603" t="s">
        <v>270</v>
      </c>
      <c r="CM360" s="1603" t="s">
        <v>270</v>
      </c>
      <c r="CN360" s="1603" t="s">
        <v>270</v>
      </c>
      <c r="CO360" s="1603" t="s">
        <v>270</v>
      </c>
      <c r="CP360" s="1603" t="s">
        <v>270</v>
      </c>
      <c r="CQ360" s="1603" t="s">
        <v>270</v>
      </c>
      <c r="CR360" s="1603" t="s">
        <v>270</v>
      </c>
      <c r="CS360" s="1603" t="s">
        <v>270</v>
      </c>
      <c r="CT360" s="1603" t="s">
        <v>270</v>
      </c>
      <c r="CU360" s="1603" t="s">
        <v>270</v>
      </c>
      <c r="CV360" s="1603" t="s">
        <v>270</v>
      </c>
      <c r="CW360" s="1603" t="s">
        <v>270</v>
      </c>
      <c r="CX360" s="1603" t="s">
        <v>270</v>
      </c>
      <c r="CY360" s="1603" t="s">
        <v>270</v>
      </c>
      <c r="CZ360" s="1603" t="s">
        <v>270</v>
      </c>
      <c r="DA360" s="1603" t="s">
        <v>270</v>
      </c>
      <c r="DB360" s="1603" t="s">
        <v>270</v>
      </c>
      <c r="DC360" s="1603" t="s">
        <v>270</v>
      </c>
      <c r="DD360" s="1603" t="s">
        <v>270</v>
      </c>
      <c r="DE360" s="1603" t="s">
        <v>270</v>
      </c>
      <c r="DF360" s="1603" t="s">
        <v>270</v>
      </c>
      <c r="DG360" s="1603" t="s">
        <v>270</v>
      </c>
      <c r="DH360" s="1619" t="s">
        <v>270</v>
      </c>
      <c r="DI360" s="1603" t="s">
        <v>270</v>
      </c>
      <c r="DJ360" s="1603" t="s">
        <v>270</v>
      </c>
      <c r="DK360" s="1603" t="s">
        <v>270</v>
      </c>
      <c r="DL360" s="1603" t="s">
        <v>270</v>
      </c>
      <c r="DM360" s="1603" t="s">
        <v>270</v>
      </c>
      <c r="DN360" s="1603" t="s">
        <v>270</v>
      </c>
      <c r="DO360" s="1603" t="s">
        <v>270</v>
      </c>
      <c r="DP360" s="1603" t="s">
        <v>270</v>
      </c>
      <c r="DQ360" s="1603" t="s">
        <v>270</v>
      </c>
      <c r="DR360" s="1603" t="s">
        <v>270</v>
      </c>
      <c r="DS360" s="1603" t="s">
        <v>270</v>
      </c>
      <c r="DT360" s="1603" t="s">
        <v>270</v>
      </c>
      <c r="DU360" s="1603" t="s">
        <v>270</v>
      </c>
      <c r="DV360" s="1603" t="s">
        <v>270</v>
      </c>
      <c r="DW360" s="1618" t="s">
        <v>986</v>
      </c>
      <c r="DX360" s="1605" t="s">
        <v>986</v>
      </c>
      <c r="DY360" s="1605" t="s">
        <v>986</v>
      </c>
      <c r="DZ360" s="1605" t="s">
        <v>986</v>
      </c>
      <c r="EA360" s="1605" t="s">
        <v>986</v>
      </c>
      <c r="EB360" s="1605" t="s">
        <v>986</v>
      </c>
      <c r="EC360" s="1605" t="s">
        <v>986</v>
      </c>
      <c r="ED360" s="1605" t="s">
        <v>986</v>
      </c>
      <c r="EE360" s="1605" t="s">
        <v>986</v>
      </c>
      <c r="EF360" s="1605" t="s">
        <v>986</v>
      </c>
      <c r="EG360" s="1605" t="s">
        <v>986</v>
      </c>
      <c r="EH360" s="1605" t="s">
        <v>986</v>
      </c>
      <c r="EI360" s="1605" t="s">
        <v>986</v>
      </c>
      <c r="EJ360" s="1605" t="s">
        <v>986</v>
      </c>
      <c r="EK360" s="1605" t="s">
        <v>986</v>
      </c>
      <c r="EL360" s="1605" t="s">
        <v>986</v>
      </c>
      <c r="EM360" s="1605" t="s">
        <v>986</v>
      </c>
      <c r="EN360" s="1605" t="s">
        <v>986</v>
      </c>
      <c r="EO360" s="1605" t="s">
        <v>986</v>
      </c>
      <c r="EP360" s="1605" t="s">
        <v>986</v>
      </c>
      <c r="EQ360" s="1605" t="s">
        <v>986</v>
      </c>
      <c r="ER360" s="1605" t="s">
        <v>986</v>
      </c>
      <c r="ES360" s="1605" t="s">
        <v>986</v>
      </c>
      <c r="ET360" s="1605" t="s">
        <v>986</v>
      </c>
      <c r="EU360" s="1605" t="s">
        <v>986</v>
      </c>
      <c r="EV360" s="1605" t="s">
        <v>986</v>
      </c>
      <c r="EW360" s="1605" t="s">
        <v>986</v>
      </c>
      <c r="EX360" s="1605" t="s">
        <v>986</v>
      </c>
      <c r="EY360" s="1605" t="s">
        <v>986</v>
      </c>
      <c r="EZ360" s="1605" t="s">
        <v>986</v>
      </c>
      <c r="FA360" s="1605" t="s">
        <v>986</v>
      </c>
      <c r="FB360" s="1605" t="s">
        <v>986</v>
      </c>
      <c r="FC360" s="1605" t="s">
        <v>986</v>
      </c>
      <c r="FD360" s="1605" t="s">
        <v>986</v>
      </c>
      <c r="FE360" s="1605" t="s">
        <v>986</v>
      </c>
      <c r="FF360" s="1605" t="s">
        <v>986</v>
      </c>
      <c r="FG360" s="1605" t="s">
        <v>986</v>
      </c>
      <c r="FH360" s="1605" t="s">
        <v>986</v>
      </c>
      <c r="FI360" s="1605" t="s">
        <v>986</v>
      </c>
      <c r="FJ360" s="1605" t="s">
        <v>986</v>
      </c>
      <c r="FK360" s="1605" t="s">
        <v>986</v>
      </c>
      <c r="FL360" s="1605" t="s">
        <v>986</v>
      </c>
      <c r="FM360" s="1605" t="s">
        <v>986</v>
      </c>
      <c r="FN360" s="1605" t="s">
        <v>986</v>
      </c>
      <c r="FO360" s="1605" t="s">
        <v>986</v>
      </c>
      <c r="FP360" s="1605" t="s">
        <v>986</v>
      </c>
      <c r="FQ360" s="1605" t="s">
        <v>986</v>
      </c>
      <c r="FR360" s="1605" t="s">
        <v>986</v>
      </c>
      <c r="FS360" s="1605" t="s">
        <v>986</v>
      </c>
      <c r="FT360" s="1605" t="s">
        <v>986</v>
      </c>
      <c r="FU360" s="1605" t="s">
        <v>986</v>
      </c>
      <c r="FV360" s="1605" t="s">
        <v>986</v>
      </c>
      <c r="FW360" s="1605" t="s">
        <v>986</v>
      </c>
      <c r="FX360" s="1605" t="s">
        <v>986</v>
      </c>
      <c r="FY360" s="1605" t="s">
        <v>986</v>
      </c>
      <c r="FZ360" s="1605" t="s">
        <v>986</v>
      </c>
      <c r="GA360" s="1605" t="s">
        <v>986</v>
      </c>
      <c r="GB360" s="1605" t="s">
        <v>986</v>
      </c>
      <c r="GC360" s="1605" t="s">
        <v>986</v>
      </c>
      <c r="GD360" s="1605" t="s">
        <v>986</v>
      </c>
      <c r="GE360" s="1605" t="s">
        <v>986</v>
      </c>
      <c r="GF360" s="1605" t="s">
        <v>986</v>
      </c>
      <c r="GG360" s="1605" t="s">
        <v>986</v>
      </c>
      <c r="GH360" s="1605" t="s">
        <v>986</v>
      </c>
      <c r="GI360" s="1605" t="s">
        <v>986</v>
      </c>
      <c r="GJ360" s="1605" t="s">
        <v>986</v>
      </c>
      <c r="GK360" s="1605" t="s">
        <v>986</v>
      </c>
      <c r="GL360" s="1605" t="s">
        <v>986</v>
      </c>
      <c r="GM360" s="1605" t="s">
        <v>986</v>
      </c>
      <c r="GN360" s="1605" t="s">
        <v>986</v>
      </c>
      <c r="GO360" s="1605" t="s">
        <v>986</v>
      </c>
      <c r="GP360" s="1605" t="s">
        <v>986</v>
      </c>
      <c r="GQ360" s="1605" t="s">
        <v>986</v>
      </c>
      <c r="GR360" s="1605" t="s">
        <v>986</v>
      </c>
      <c r="GS360" s="1605" t="s">
        <v>986</v>
      </c>
      <c r="GT360" s="1605" t="s">
        <v>986</v>
      </c>
      <c r="GU360" s="1605" t="s">
        <v>986</v>
      </c>
      <c r="GV360" s="1605" t="s">
        <v>986</v>
      </c>
      <c r="GW360" s="1605" t="s">
        <v>986</v>
      </c>
      <c r="GX360" s="1605" t="s">
        <v>986</v>
      </c>
      <c r="GY360" s="1605" t="s">
        <v>986</v>
      </c>
      <c r="GZ360" s="1605" t="s">
        <v>986</v>
      </c>
      <c r="HA360" s="1605" t="s">
        <v>986</v>
      </c>
      <c r="HB360" s="1605" t="s">
        <v>986</v>
      </c>
      <c r="HC360" s="1605" t="s">
        <v>986</v>
      </c>
      <c r="HD360" s="1605" t="s">
        <v>986</v>
      </c>
      <c r="HE360" s="1605" t="s">
        <v>986</v>
      </c>
      <c r="HF360" s="1605" t="s">
        <v>986</v>
      </c>
      <c r="HG360" s="1605" t="s">
        <v>986</v>
      </c>
      <c r="HH360" s="1605" t="s">
        <v>986</v>
      </c>
      <c r="HI360" s="1605" t="s">
        <v>986</v>
      </c>
      <c r="HJ360" s="1605" t="s">
        <v>986</v>
      </c>
      <c r="HK360" s="1605" t="s">
        <v>986</v>
      </c>
      <c r="HL360" s="1605" t="s">
        <v>986</v>
      </c>
      <c r="HM360" s="1605" t="s">
        <v>986</v>
      </c>
      <c r="HN360" s="1605" t="s">
        <v>986</v>
      </c>
      <c r="HO360" s="1605" t="s">
        <v>986</v>
      </c>
      <c r="HP360" s="1605" t="s">
        <v>986</v>
      </c>
      <c r="HQ360" s="1605" t="s">
        <v>986</v>
      </c>
      <c r="HR360" s="1605" t="s">
        <v>986</v>
      </c>
      <c r="HS360" s="1605" t="s">
        <v>986</v>
      </c>
      <c r="HT360" s="1605" t="s">
        <v>986</v>
      </c>
      <c r="HU360" s="1605" t="s">
        <v>986</v>
      </c>
      <c r="HV360" s="1617"/>
      <c r="HW360" s="1617" t="s">
        <v>986</v>
      </c>
      <c r="HX360" s="1617" t="s">
        <v>986</v>
      </c>
      <c r="HY360" s="1617" t="s">
        <v>986</v>
      </c>
      <c r="HZ360" s="1603"/>
      <c r="IA360" s="1603"/>
      <c r="IB360" s="1603"/>
      <c r="IC360" s="1603" t="s">
        <v>270</v>
      </c>
      <c r="ID360" s="1603" t="s">
        <v>270</v>
      </c>
      <c r="IE360" s="1603" t="s">
        <v>270</v>
      </c>
      <c r="IF360" s="1603" t="s">
        <v>270</v>
      </c>
      <c r="IG360" s="1611" t="s">
        <v>270</v>
      </c>
      <c r="IH360" s="1616" t="s">
        <v>270</v>
      </c>
      <c r="II360" s="1615" t="s">
        <v>270</v>
      </c>
      <c r="IJ360" s="1613" t="s">
        <v>270</v>
      </c>
      <c r="IK360" s="1613" t="s">
        <v>270</v>
      </c>
      <c r="IL360" s="1614" t="s">
        <v>270</v>
      </c>
      <c r="IM360" s="1614" t="s">
        <v>270</v>
      </c>
      <c r="IN360" s="1612" t="s">
        <v>270</v>
      </c>
      <c r="IO360" s="1613" t="s">
        <v>270</v>
      </c>
      <c r="IP360" s="1607" t="s">
        <v>270</v>
      </c>
      <c r="IQ360" s="1612" t="s">
        <v>270</v>
      </c>
      <c r="IR360" s="1612" t="s">
        <v>270</v>
      </c>
      <c r="IS360" s="1607" t="s">
        <v>270</v>
      </c>
      <c r="IT360" s="1607" t="s">
        <v>270</v>
      </c>
      <c r="IU360" s="1611" t="s">
        <v>270</v>
      </c>
      <c r="IV360" s="1611" t="s">
        <v>270</v>
      </c>
      <c r="IW360" s="1611" t="s">
        <v>270</v>
      </c>
      <c r="IX360" s="1611" t="s">
        <v>270</v>
      </c>
      <c r="IY360" s="1611" t="s">
        <v>270</v>
      </c>
      <c r="IZ360" s="1611" t="s">
        <v>270</v>
      </c>
      <c r="JA360" s="1611" t="s">
        <v>270</v>
      </c>
      <c r="JB360" s="1611" t="s">
        <v>270</v>
      </c>
      <c r="JC360" s="1611" t="s">
        <v>270</v>
      </c>
      <c r="JD360" s="1611" t="s">
        <v>270</v>
      </c>
      <c r="JE360" s="1611" t="s">
        <v>270</v>
      </c>
      <c r="JF360" s="1611" t="s">
        <v>270</v>
      </c>
      <c r="JG360" s="1611" t="s">
        <v>270</v>
      </c>
      <c r="JH360" s="1611" t="s">
        <v>270</v>
      </c>
      <c r="JI360" s="1611" t="s">
        <v>270</v>
      </c>
      <c r="JJ360" s="1611" t="s">
        <v>270</v>
      </c>
      <c r="JK360" s="1607" t="str">
        <f t="shared" si="14"/>
        <v/>
      </c>
      <c r="JL360" s="1608" t="s">
        <v>270</v>
      </c>
      <c r="JM360" s="1610" t="s">
        <v>270</v>
      </c>
      <c r="JN360" s="1608" t="s">
        <v>270</v>
      </c>
      <c r="JO360" s="1609" t="s">
        <v>270</v>
      </c>
      <c r="JP360" s="1608" t="s">
        <v>270</v>
      </c>
      <c r="JQ360" s="1607" t="s">
        <v>270</v>
      </c>
      <c r="JR360" s="1606" t="s">
        <v>270</v>
      </c>
      <c r="JS360" s="1606" t="s">
        <v>270</v>
      </c>
      <c r="JT360" s="1606" t="s">
        <v>270</v>
      </c>
    </row>
    <row r="361" spans="1:280" ht="15" customHeight="1" x14ac:dyDescent="0.2">
      <c r="A361" s="1626" t="s">
        <v>270</v>
      </c>
      <c r="B361" s="1625" t="s">
        <v>270</v>
      </c>
      <c r="C361" s="1624" t="s">
        <v>270</v>
      </c>
      <c r="D361" s="1623" t="s">
        <v>270</v>
      </c>
      <c r="E361" s="1622" t="s">
        <v>270</v>
      </c>
      <c r="F361" s="1620" t="s">
        <v>270</v>
      </c>
      <c r="G361" s="1620" t="s">
        <v>270</v>
      </c>
      <c r="H361" s="1621" t="s">
        <v>270</v>
      </c>
      <c r="I361" s="1621" t="s">
        <v>270</v>
      </c>
      <c r="J361" s="1621" t="s">
        <v>270</v>
      </c>
      <c r="K361" s="1620" t="s">
        <v>270</v>
      </c>
      <c r="L361" s="1620" t="s">
        <v>270</v>
      </c>
      <c r="M361" s="1620" t="s">
        <v>270</v>
      </c>
      <c r="N361" s="1620" t="s">
        <v>270</v>
      </c>
      <c r="O361" s="1620" t="s">
        <v>270</v>
      </c>
      <c r="P361" s="1620" t="s">
        <v>270</v>
      </c>
      <c r="Q361" s="1603"/>
      <c r="R361" s="1620" t="s">
        <v>270</v>
      </c>
      <c r="S361" s="1620" t="s">
        <v>270</v>
      </c>
      <c r="T361" s="1620" t="s">
        <v>270</v>
      </c>
      <c r="U361" s="1620" t="s">
        <v>270</v>
      </c>
      <c r="V361" s="1620" t="s">
        <v>270</v>
      </c>
      <c r="W361" s="1620" t="s">
        <v>270</v>
      </c>
      <c r="X361" s="1620"/>
      <c r="Y361" s="1620" t="s">
        <v>270</v>
      </c>
      <c r="Z361" s="1620" t="s">
        <v>270</v>
      </c>
      <c r="AA361" s="1620" t="s">
        <v>270</v>
      </c>
      <c r="AB361" s="1620" t="s">
        <v>270</v>
      </c>
      <c r="AC361" s="1620" t="s">
        <v>270</v>
      </c>
      <c r="AD361" s="1620" t="s">
        <v>270</v>
      </c>
      <c r="AE361" s="1620" t="s">
        <v>270</v>
      </c>
      <c r="AF361" s="1620" t="s">
        <v>270</v>
      </c>
      <c r="AG361" s="1620" t="s">
        <v>270</v>
      </c>
      <c r="AH361" s="1620" t="s">
        <v>270</v>
      </c>
      <c r="AI361" s="1620" t="s">
        <v>270</v>
      </c>
      <c r="AJ361" s="1620" t="s">
        <v>270</v>
      </c>
      <c r="AK361" s="1620" t="s">
        <v>270</v>
      </c>
      <c r="AL361" s="1620"/>
      <c r="AM361" s="1620" t="s">
        <v>270</v>
      </c>
      <c r="AN361" s="1620" t="s">
        <v>270</v>
      </c>
      <c r="AO361" s="1620" t="s">
        <v>270</v>
      </c>
      <c r="AP361" s="1620" t="s">
        <v>270</v>
      </c>
      <c r="AQ361" s="1620" t="s">
        <v>270</v>
      </c>
      <c r="AR361" s="1620" t="s">
        <v>270</v>
      </c>
      <c r="AS361" s="1620" t="s">
        <v>270</v>
      </c>
      <c r="AT361" s="1620" t="s">
        <v>270</v>
      </c>
      <c r="AU361" s="1620" t="s">
        <v>270</v>
      </c>
      <c r="AV361" s="1620" t="s">
        <v>270</v>
      </c>
      <c r="AW361" s="1620" t="s">
        <v>270</v>
      </c>
      <c r="AX361" s="1620"/>
      <c r="AY361" s="1620" t="s">
        <v>986</v>
      </c>
      <c r="AZ361" s="1620" t="s">
        <v>986</v>
      </c>
      <c r="BA361" s="1620" t="s">
        <v>986</v>
      </c>
      <c r="BB361" s="1620" t="s">
        <v>986</v>
      </c>
      <c r="BC361" s="1620" t="s">
        <v>986</v>
      </c>
      <c r="BD361" s="1620" t="s">
        <v>986</v>
      </c>
      <c r="BE361" s="1620" t="s">
        <v>986</v>
      </c>
      <c r="BF361" s="1620" t="s">
        <v>986</v>
      </c>
      <c r="BG361" s="1620" t="s">
        <v>986</v>
      </c>
      <c r="BH361" s="1620" t="s">
        <v>986</v>
      </c>
      <c r="BI361" s="1620" t="s">
        <v>986</v>
      </c>
      <c r="BJ361" s="1603"/>
      <c r="BK361" s="1620" t="s">
        <v>270</v>
      </c>
      <c r="BL361" s="1620" t="s">
        <v>270</v>
      </c>
      <c r="BM361" s="1620" t="s">
        <v>270</v>
      </c>
      <c r="BN361" s="1620" t="s">
        <v>270</v>
      </c>
      <c r="BO361" s="1620"/>
      <c r="BP361" s="1620" t="s">
        <v>270</v>
      </c>
      <c r="BQ361" s="1620" t="s">
        <v>270</v>
      </c>
      <c r="BR361" s="1620" t="s">
        <v>270</v>
      </c>
      <c r="BS361" s="1620" t="s">
        <v>270</v>
      </c>
      <c r="BT361" s="1603"/>
      <c r="BU361" s="1620" t="s">
        <v>270</v>
      </c>
      <c r="BV361" s="1620" t="s">
        <v>270</v>
      </c>
      <c r="BW361" s="1620" t="s">
        <v>270</v>
      </c>
      <c r="BX361" s="1620" t="s">
        <v>270</v>
      </c>
      <c r="BY361" s="1620" t="s">
        <v>270</v>
      </c>
      <c r="BZ361" s="1620" t="s">
        <v>270</v>
      </c>
      <c r="CA361" s="1620" t="s">
        <v>270</v>
      </c>
      <c r="CB361" s="1603"/>
      <c r="CC361" s="1603" t="s">
        <v>270</v>
      </c>
      <c r="CD361" s="1603" t="s">
        <v>270</v>
      </c>
      <c r="CE361" s="1603" t="s">
        <v>270</v>
      </c>
      <c r="CF361" s="1603" t="s">
        <v>270</v>
      </c>
      <c r="CG361" s="1603" t="s">
        <v>270</v>
      </c>
      <c r="CH361" s="1603" t="s">
        <v>270</v>
      </c>
      <c r="CI361" s="1603" t="s">
        <v>270</v>
      </c>
      <c r="CJ361" s="1603"/>
      <c r="CK361" s="1603" t="s">
        <v>270</v>
      </c>
      <c r="CL361" s="1603" t="s">
        <v>270</v>
      </c>
      <c r="CM361" s="1603" t="s">
        <v>270</v>
      </c>
      <c r="CN361" s="1603" t="s">
        <v>270</v>
      </c>
      <c r="CO361" s="1603" t="s">
        <v>270</v>
      </c>
      <c r="CP361" s="1603" t="s">
        <v>270</v>
      </c>
      <c r="CQ361" s="1603" t="s">
        <v>270</v>
      </c>
      <c r="CR361" s="1603" t="s">
        <v>270</v>
      </c>
      <c r="CS361" s="1603" t="s">
        <v>270</v>
      </c>
      <c r="CT361" s="1603" t="s">
        <v>270</v>
      </c>
      <c r="CU361" s="1603" t="s">
        <v>270</v>
      </c>
      <c r="CV361" s="1603" t="s">
        <v>270</v>
      </c>
      <c r="CW361" s="1603" t="s">
        <v>270</v>
      </c>
      <c r="CX361" s="1603" t="s">
        <v>270</v>
      </c>
      <c r="CY361" s="1603" t="s">
        <v>270</v>
      </c>
      <c r="CZ361" s="1603" t="s">
        <v>270</v>
      </c>
      <c r="DA361" s="1603" t="s">
        <v>270</v>
      </c>
      <c r="DB361" s="1603" t="s">
        <v>270</v>
      </c>
      <c r="DC361" s="1603" t="s">
        <v>270</v>
      </c>
      <c r="DD361" s="1603" t="s">
        <v>270</v>
      </c>
      <c r="DE361" s="1603" t="s">
        <v>270</v>
      </c>
      <c r="DF361" s="1603" t="s">
        <v>270</v>
      </c>
      <c r="DG361" s="1603" t="s">
        <v>270</v>
      </c>
      <c r="DH361" s="1619" t="s">
        <v>270</v>
      </c>
      <c r="DI361" s="1603" t="s">
        <v>270</v>
      </c>
      <c r="DJ361" s="1603" t="s">
        <v>270</v>
      </c>
      <c r="DK361" s="1603" t="s">
        <v>270</v>
      </c>
      <c r="DL361" s="1603" t="s">
        <v>270</v>
      </c>
      <c r="DM361" s="1603" t="s">
        <v>270</v>
      </c>
      <c r="DN361" s="1603" t="s">
        <v>270</v>
      </c>
      <c r="DO361" s="1603" t="s">
        <v>270</v>
      </c>
      <c r="DP361" s="1603" t="s">
        <v>270</v>
      </c>
      <c r="DQ361" s="1603" t="s">
        <v>270</v>
      </c>
      <c r="DR361" s="1603" t="s">
        <v>270</v>
      </c>
      <c r="DS361" s="1603" t="s">
        <v>270</v>
      </c>
      <c r="DT361" s="1603" t="s">
        <v>270</v>
      </c>
      <c r="DU361" s="1603" t="s">
        <v>270</v>
      </c>
      <c r="DV361" s="1603" t="s">
        <v>270</v>
      </c>
      <c r="DW361" s="1618" t="s">
        <v>986</v>
      </c>
      <c r="DX361" s="1605" t="s">
        <v>986</v>
      </c>
      <c r="DY361" s="1605" t="s">
        <v>986</v>
      </c>
      <c r="DZ361" s="1605" t="s">
        <v>986</v>
      </c>
      <c r="EA361" s="1605" t="s">
        <v>986</v>
      </c>
      <c r="EB361" s="1605" t="s">
        <v>986</v>
      </c>
      <c r="EC361" s="1605" t="s">
        <v>986</v>
      </c>
      <c r="ED361" s="1605" t="s">
        <v>986</v>
      </c>
      <c r="EE361" s="1605" t="s">
        <v>986</v>
      </c>
      <c r="EF361" s="1605" t="s">
        <v>986</v>
      </c>
      <c r="EG361" s="1605" t="s">
        <v>986</v>
      </c>
      <c r="EH361" s="1605" t="s">
        <v>986</v>
      </c>
      <c r="EI361" s="1605" t="s">
        <v>986</v>
      </c>
      <c r="EJ361" s="1605" t="s">
        <v>986</v>
      </c>
      <c r="EK361" s="1605" t="s">
        <v>986</v>
      </c>
      <c r="EL361" s="1605" t="s">
        <v>986</v>
      </c>
      <c r="EM361" s="1605" t="s">
        <v>986</v>
      </c>
      <c r="EN361" s="1605" t="s">
        <v>986</v>
      </c>
      <c r="EO361" s="1605" t="s">
        <v>986</v>
      </c>
      <c r="EP361" s="1605" t="s">
        <v>986</v>
      </c>
      <c r="EQ361" s="1605" t="s">
        <v>986</v>
      </c>
      <c r="ER361" s="1605" t="s">
        <v>986</v>
      </c>
      <c r="ES361" s="1605" t="s">
        <v>986</v>
      </c>
      <c r="ET361" s="1605" t="s">
        <v>986</v>
      </c>
      <c r="EU361" s="1605" t="s">
        <v>986</v>
      </c>
      <c r="EV361" s="1605" t="s">
        <v>986</v>
      </c>
      <c r="EW361" s="1605" t="s">
        <v>986</v>
      </c>
      <c r="EX361" s="1605" t="s">
        <v>986</v>
      </c>
      <c r="EY361" s="1605" t="s">
        <v>986</v>
      </c>
      <c r="EZ361" s="1605" t="s">
        <v>986</v>
      </c>
      <c r="FA361" s="1605" t="s">
        <v>986</v>
      </c>
      <c r="FB361" s="1605" t="s">
        <v>986</v>
      </c>
      <c r="FC361" s="1605" t="s">
        <v>986</v>
      </c>
      <c r="FD361" s="1605" t="s">
        <v>986</v>
      </c>
      <c r="FE361" s="1605" t="s">
        <v>986</v>
      </c>
      <c r="FF361" s="1605" t="s">
        <v>986</v>
      </c>
      <c r="FG361" s="1605" t="s">
        <v>986</v>
      </c>
      <c r="FH361" s="1605" t="s">
        <v>986</v>
      </c>
      <c r="FI361" s="1605" t="s">
        <v>986</v>
      </c>
      <c r="FJ361" s="1605" t="s">
        <v>986</v>
      </c>
      <c r="FK361" s="1605" t="s">
        <v>986</v>
      </c>
      <c r="FL361" s="1605" t="s">
        <v>986</v>
      </c>
      <c r="FM361" s="1605" t="s">
        <v>986</v>
      </c>
      <c r="FN361" s="1605" t="s">
        <v>986</v>
      </c>
      <c r="FO361" s="1605" t="s">
        <v>986</v>
      </c>
      <c r="FP361" s="1605" t="s">
        <v>986</v>
      </c>
      <c r="FQ361" s="1605" t="s">
        <v>986</v>
      </c>
      <c r="FR361" s="1605" t="s">
        <v>986</v>
      </c>
      <c r="FS361" s="1605" t="s">
        <v>986</v>
      </c>
      <c r="FT361" s="1605" t="s">
        <v>986</v>
      </c>
      <c r="FU361" s="1605" t="s">
        <v>986</v>
      </c>
      <c r="FV361" s="1605" t="s">
        <v>986</v>
      </c>
      <c r="FW361" s="1605" t="s">
        <v>986</v>
      </c>
      <c r="FX361" s="1605" t="s">
        <v>986</v>
      </c>
      <c r="FY361" s="1605" t="s">
        <v>986</v>
      </c>
      <c r="FZ361" s="1605" t="s">
        <v>986</v>
      </c>
      <c r="GA361" s="1605" t="s">
        <v>986</v>
      </c>
      <c r="GB361" s="1605" t="s">
        <v>986</v>
      </c>
      <c r="GC361" s="1605" t="s">
        <v>986</v>
      </c>
      <c r="GD361" s="1605" t="s">
        <v>986</v>
      </c>
      <c r="GE361" s="1605" t="s">
        <v>986</v>
      </c>
      <c r="GF361" s="1605" t="s">
        <v>986</v>
      </c>
      <c r="GG361" s="1605" t="s">
        <v>986</v>
      </c>
      <c r="GH361" s="1605" t="s">
        <v>986</v>
      </c>
      <c r="GI361" s="1605" t="s">
        <v>986</v>
      </c>
      <c r="GJ361" s="1605" t="s">
        <v>986</v>
      </c>
      <c r="GK361" s="1605" t="s">
        <v>986</v>
      </c>
      <c r="GL361" s="1605" t="s">
        <v>986</v>
      </c>
      <c r="GM361" s="1605" t="s">
        <v>986</v>
      </c>
      <c r="GN361" s="1605" t="s">
        <v>986</v>
      </c>
      <c r="GO361" s="1605" t="s">
        <v>986</v>
      </c>
      <c r="GP361" s="1605" t="s">
        <v>986</v>
      </c>
      <c r="GQ361" s="1605" t="s">
        <v>986</v>
      </c>
      <c r="GR361" s="1605" t="s">
        <v>986</v>
      </c>
      <c r="GS361" s="1605" t="s">
        <v>986</v>
      </c>
      <c r="GT361" s="1605" t="s">
        <v>986</v>
      </c>
      <c r="GU361" s="1605" t="s">
        <v>986</v>
      </c>
      <c r="GV361" s="1605" t="s">
        <v>986</v>
      </c>
      <c r="GW361" s="1605" t="s">
        <v>986</v>
      </c>
      <c r="GX361" s="1605" t="s">
        <v>986</v>
      </c>
      <c r="GY361" s="1605" t="s">
        <v>986</v>
      </c>
      <c r="GZ361" s="1605" t="s">
        <v>986</v>
      </c>
      <c r="HA361" s="1605" t="s">
        <v>986</v>
      </c>
      <c r="HB361" s="1605" t="s">
        <v>986</v>
      </c>
      <c r="HC361" s="1605" t="s">
        <v>986</v>
      </c>
      <c r="HD361" s="1605" t="s">
        <v>986</v>
      </c>
      <c r="HE361" s="1605" t="s">
        <v>986</v>
      </c>
      <c r="HF361" s="1605" t="s">
        <v>986</v>
      </c>
      <c r="HG361" s="1605" t="s">
        <v>986</v>
      </c>
      <c r="HH361" s="1605" t="s">
        <v>986</v>
      </c>
      <c r="HI361" s="1605" t="s">
        <v>986</v>
      </c>
      <c r="HJ361" s="1605" t="s">
        <v>986</v>
      </c>
      <c r="HK361" s="1605" t="s">
        <v>986</v>
      </c>
      <c r="HL361" s="1605" t="s">
        <v>986</v>
      </c>
      <c r="HM361" s="1605" t="s">
        <v>986</v>
      </c>
      <c r="HN361" s="1605" t="s">
        <v>986</v>
      </c>
      <c r="HO361" s="1605" t="s">
        <v>986</v>
      </c>
      <c r="HP361" s="1605" t="s">
        <v>986</v>
      </c>
      <c r="HQ361" s="1605" t="s">
        <v>986</v>
      </c>
      <c r="HR361" s="1605" t="s">
        <v>986</v>
      </c>
      <c r="HS361" s="1605" t="s">
        <v>986</v>
      </c>
      <c r="HT361" s="1605" t="s">
        <v>986</v>
      </c>
      <c r="HU361" s="1605" t="s">
        <v>986</v>
      </c>
      <c r="HV361" s="1617"/>
      <c r="HW361" s="1617" t="s">
        <v>986</v>
      </c>
      <c r="HX361" s="1617" t="s">
        <v>986</v>
      </c>
      <c r="HY361" s="1617" t="s">
        <v>986</v>
      </c>
      <c r="HZ361" s="1603"/>
      <c r="IA361" s="1603"/>
      <c r="IB361" s="1603"/>
      <c r="IC361" s="1603" t="s">
        <v>270</v>
      </c>
      <c r="ID361" s="1603" t="s">
        <v>270</v>
      </c>
      <c r="IE361" s="1603" t="s">
        <v>270</v>
      </c>
      <c r="IF361" s="1603" t="s">
        <v>270</v>
      </c>
      <c r="IG361" s="1611" t="s">
        <v>270</v>
      </c>
      <c r="IH361" s="1616" t="s">
        <v>270</v>
      </c>
      <c r="II361" s="1615" t="s">
        <v>270</v>
      </c>
      <c r="IJ361" s="1613" t="s">
        <v>270</v>
      </c>
      <c r="IK361" s="1613" t="s">
        <v>270</v>
      </c>
      <c r="IL361" s="1614" t="s">
        <v>270</v>
      </c>
      <c r="IM361" s="1614" t="s">
        <v>270</v>
      </c>
      <c r="IN361" s="1612" t="s">
        <v>270</v>
      </c>
      <c r="IO361" s="1613" t="s">
        <v>270</v>
      </c>
      <c r="IP361" s="1607" t="s">
        <v>270</v>
      </c>
      <c r="IQ361" s="1612" t="s">
        <v>270</v>
      </c>
      <c r="IR361" s="1612" t="s">
        <v>270</v>
      </c>
      <c r="IS361" s="1607" t="s">
        <v>270</v>
      </c>
      <c r="IT361" s="1607" t="s">
        <v>270</v>
      </c>
      <c r="IU361" s="1611" t="s">
        <v>270</v>
      </c>
      <c r="IV361" s="1611" t="s">
        <v>270</v>
      </c>
      <c r="IW361" s="1611" t="s">
        <v>270</v>
      </c>
      <c r="IX361" s="1611" t="s">
        <v>270</v>
      </c>
      <c r="IY361" s="1611" t="s">
        <v>270</v>
      </c>
      <c r="IZ361" s="1611" t="s">
        <v>270</v>
      </c>
      <c r="JA361" s="1611" t="s">
        <v>270</v>
      </c>
      <c r="JB361" s="1611" t="s">
        <v>270</v>
      </c>
      <c r="JC361" s="1611" t="s">
        <v>270</v>
      </c>
      <c r="JD361" s="1611" t="s">
        <v>270</v>
      </c>
      <c r="JE361" s="1611" t="s">
        <v>270</v>
      </c>
      <c r="JF361" s="1611" t="s">
        <v>270</v>
      </c>
      <c r="JG361" s="1611" t="s">
        <v>270</v>
      </c>
      <c r="JH361" s="1611" t="s">
        <v>270</v>
      </c>
      <c r="JI361" s="1611" t="s">
        <v>270</v>
      </c>
      <c r="JJ361" s="1611" t="s">
        <v>270</v>
      </c>
      <c r="JK361" s="1607" t="str">
        <f t="shared" si="14"/>
        <v/>
      </c>
      <c r="JL361" s="1608" t="s">
        <v>270</v>
      </c>
      <c r="JM361" s="1610" t="s">
        <v>270</v>
      </c>
      <c r="JN361" s="1608" t="s">
        <v>270</v>
      </c>
      <c r="JO361" s="1609" t="s">
        <v>270</v>
      </c>
      <c r="JP361" s="1608" t="s">
        <v>270</v>
      </c>
      <c r="JQ361" s="1607" t="s">
        <v>270</v>
      </c>
      <c r="JR361" s="1606" t="s">
        <v>270</v>
      </c>
      <c r="JS361" s="1606" t="s">
        <v>270</v>
      </c>
      <c r="JT361" s="1606" t="s">
        <v>270</v>
      </c>
    </row>
    <row r="362" spans="1:280" ht="15" customHeight="1" x14ac:dyDescent="0.2">
      <c r="A362" s="1626" t="s">
        <v>270</v>
      </c>
      <c r="B362" s="1625" t="s">
        <v>270</v>
      </c>
      <c r="C362" s="1624" t="s">
        <v>270</v>
      </c>
      <c r="D362" s="1623" t="s">
        <v>270</v>
      </c>
      <c r="E362" s="1622" t="s">
        <v>270</v>
      </c>
      <c r="F362" s="1620" t="s">
        <v>270</v>
      </c>
      <c r="G362" s="1620" t="s">
        <v>270</v>
      </c>
      <c r="H362" s="1621" t="s">
        <v>270</v>
      </c>
      <c r="I362" s="1621" t="s">
        <v>270</v>
      </c>
      <c r="J362" s="1621" t="s">
        <v>270</v>
      </c>
      <c r="K362" s="1620" t="s">
        <v>270</v>
      </c>
      <c r="L362" s="1620" t="s">
        <v>270</v>
      </c>
      <c r="M362" s="1620" t="s">
        <v>270</v>
      </c>
      <c r="N362" s="1620" t="s">
        <v>270</v>
      </c>
      <c r="O362" s="1620" t="s">
        <v>270</v>
      </c>
      <c r="P362" s="1620" t="s">
        <v>270</v>
      </c>
      <c r="Q362" s="1603"/>
      <c r="R362" s="1620" t="s">
        <v>270</v>
      </c>
      <c r="S362" s="1620" t="s">
        <v>270</v>
      </c>
      <c r="T362" s="1620" t="s">
        <v>270</v>
      </c>
      <c r="U362" s="1620" t="s">
        <v>270</v>
      </c>
      <c r="V362" s="1620" t="s">
        <v>270</v>
      </c>
      <c r="W362" s="1620" t="s">
        <v>270</v>
      </c>
      <c r="X362" s="1620"/>
      <c r="Y362" s="1620" t="s">
        <v>270</v>
      </c>
      <c r="Z362" s="1620" t="s">
        <v>270</v>
      </c>
      <c r="AA362" s="1620" t="s">
        <v>270</v>
      </c>
      <c r="AB362" s="1620" t="s">
        <v>270</v>
      </c>
      <c r="AC362" s="1620" t="s">
        <v>270</v>
      </c>
      <c r="AD362" s="1620" t="s">
        <v>270</v>
      </c>
      <c r="AE362" s="1620" t="s">
        <v>270</v>
      </c>
      <c r="AF362" s="1620" t="s">
        <v>270</v>
      </c>
      <c r="AG362" s="1620" t="s">
        <v>270</v>
      </c>
      <c r="AH362" s="1620" t="s">
        <v>270</v>
      </c>
      <c r="AI362" s="1620" t="s">
        <v>270</v>
      </c>
      <c r="AJ362" s="1620" t="s">
        <v>270</v>
      </c>
      <c r="AK362" s="1620" t="s">
        <v>270</v>
      </c>
      <c r="AL362" s="1620"/>
      <c r="AM362" s="1620" t="s">
        <v>270</v>
      </c>
      <c r="AN362" s="1620" t="s">
        <v>270</v>
      </c>
      <c r="AO362" s="1620" t="s">
        <v>270</v>
      </c>
      <c r="AP362" s="1620" t="s">
        <v>270</v>
      </c>
      <c r="AQ362" s="1620" t="s">
        <v>270</v>
      </c>
      <c r="AR362" s="1620" t="s">
        <v>270</v>
      </c>
      <c r="AS362" s="1620" t="s">
        <v>270</v>
      </c>
      <c r="AT362" s="1620" t="s">
        <v>270</v>
      </c>
      <c r="AU362" s="1620" t="s">
        <v>270</v>
      </c>
      <c r="AV362" s="1620" t="s">
        <v>270</v>
      </c>
      <c r="AW362" s="1620" t="s">
        <v>270</v>
      </c>
      <c r="AX362" s="1620"/>
      <c r="AY362" s="1620" t="s">
        <v>986</v>
      </c>
      <c r="AZ362" s="1620" t="s">
        <v>986</v>
      </c>
      <c r="BA362" s="1620" t="s">
        <v>986</v>
      </c>
      <c r="BB362" s="1620" t="s">
        <v>986</v>
      </c>
      <c r="BC362" s="1620" t="s">
        <v>986</v>
      </c>
      <c r="BD362" s="1620" t="s">
        <v>986</v>
      </c>
      <c r="BE362" s="1620" t="s">
        <v>986</v>
      </c>
      <c r="BF362" s="1620" t="s">
        <v>986</v>
      </c>
      <c r="BG362" s="1620" t="s">
        <v>986</v>
      </c>
      <c r="BH362" s="1620" t="s">
        <v>986</v>
      </c>
      <c r="BI362" s="1620" t="s">
        <v>986</v>
      </c>
      <c r="BJ362" s="1603"/>
      <c r="BK362" s="1620" t="s">
        <v>270</v>
      </c>
      <c r="BL362" s="1620" t="s">
        <v>270</v>
      </c>
      <c r="BM362" s="1620" t="s">
        <v>270</v>
      </c>
      <c r="BN362" s="1620" t="s">
        <v>270</v>
      </c>
      <c r="BO362" s="1620"/>
      <c r="BP362" s="1620" t="s">
        <v>270</v>
      </c>
      <c r="BQ362" s="1620" t="s">
        <v>270</v>
      </c>
      <c r="BR362" s="1620" t="s">
        <v>270</v>
      </c>
      <c r="BS362" s="1620" t="s">
        <v>270</v>
      </c>
      <c r="BT362" s="1603"/>
      <c r="BU362" s="1620" t="s">
        <v>270</v>
      </c>
      <c r="BV362" s="1620" t="s">
        <v>270</v>
      </c>
      <c r="BW362" s="1620" t="s">
        <v>270</v>
      </c>
      <c r="BX362" s="1620" t="s">
        <v>270</v>
      </c>
      <c r="BY362" s="1620" t="s">
        <v>270</v>
      </c>
      <c r="BZ362" s="1620" t="s">
        <v>270</v>
      </c>
      <c r="CA362" s="1620" t="s">
        <v>270</v>
      </c>
      <c r="CB362" s="1603"/>
      <c r="CC362" s="1603" t="s">
        <v>270</v>
      </c>
      <c r="CD362" s="1603" t="s">
        <v>270</v>
      </c>
      <c r="CE362" s="1603" t="s">
        <v>270</v>
      </c>
      <c r="CF362" s="1603" t="s">
        <v>270</v>
      </c>
      <c r="CG362" s="1603" t="s">
        <v>270</v>
      </c>
      <c r="CH362" s="1603" t="s">
        <v>270</v>
      </c>
      <c r="CI362" s="1603" t="s">
        <v>270</v>
      </c>
      <c r="CJ362" s="1603"/>
      <c r="CK362" s="1603" t="s">
        <v>270</v>
      </c>
      <c r="CL362" s="1603" t="s">
        <v>270</v>
      </c>
      <c r="CM362" s="1603" t="s">
        <v>270</v>
      </c>
      <c r="CN362" s="1603" t="s">
        <v>270</v>
      </c>
      <c r="CO362" s="1603" t="s">
        <v>270</v>
      </c>
      <c r="CP362" s="1603" t="s">
        <v>270</v>
      </c>
      <c r="CQ362" s="1603" t="s">
        <v>270</v>
      </c>
      <c r="CR362" s="1603" t="s">
        <v>270</v>
      </c>
      <c r="CS362" s="1603" t="s">
        <v>270</v>
      </c>
      <c r="CT362" s="1603" t="s">
        <v>270</v>
      </c>
      <c r="CU362" s="1603" t="s">
        <v>270</v>
      </c>
      <c r="CV362" s="1603" t="s">
        <v>270</v>
      </c>
      <c r="CW362" s="1603" t="s">
        <v>270</v>
      </c>
      <c r="CX362" s="1603" t="s">
        <v>270</v>
      </c>
      <c r="CY362" s="1603" t="s">
        <v>270</v>
      </c>
      <c r="CZ362" s="1603" t="s">
        <v>270</v>
      </c>
      <c r="DA362" s="1603" t="s">
        <v>270</v>
      </c>
      <c r="DB362" s="1603" t="s">
        <v>270</v>
      </c>
      <c r="DC362" s="1603" t="s">
        <v>270</v>
      </c>
      <c r="DD362" s="1603" t="s">
        <v>270</v>
      </c>
      <c r="DE362" s="1603" t="s">
        <v>270</v>
      </c>
      <c r="DF362" s="1603" t="s">
        <v>270</v>
      </c>
      <c r="DG362" s="1603" t="s">
        <v>270</v>
      </c>
      <c r="DH362" s="1619" t="s">
        <v>270</v>
      </c>
      <c r="DI362" s="1603" t="s">
        <v>270</v>
      </c>
      <c r="DJ362" s="1603" t="s">
        <v>270</v>
      </c>
      <c r="DK362" s="1603" t="s">
        <v>270</v>
      </c>
      <c r="DL362" s="1603" t="s">
        <v>270</v>
      </c>
      <c r="DM362" s="1603" t="s">
        <v>270</v>
      </c>
      <c r="DN362" s="1603" t="s">
        <v>270</v>
      </c>
      <c r="DO362" s="1603" t="s">
        <v>270</v>
      </c>
      <c r="DP362" s="1603" t="s">
        <v>270</v>
      </c>
      <c r="DQ362" s="1603" t="s">
        <v>270</v>
      </c>
      <c r="DR362" s="1603" t="s">
        <v>270</v>
      </c>
      <c r="DS362" s="1603" t="s">
        <v>270</v>
      </c>
      <c r="DT362" s="1603" t="s">
        <v>270</v>
      </c>
      <c r="DU362" s="1603" t="s">
        <v>270</v>
      </c>
      <c r="DV362" s="1603" t="s">
        <v>270</v>
      </c>
      <c r="DW362" s="1618" t="s">
        <v>986</v>
      </c>
      <c r="DX362" s="1605" t="s">
        <v>986</v>
      </c>
      <c r="DY362" s="1605" t="s">
        <v>986</v>
      </c>
      <c r="DZ362" s="1605" t="s">
        <v>986</v>
      </c>
      <c r="EA362" s="1605" t="s">
        <v>986</v>
      </c>
      <c r="EB362" s="1605" t="s">
        <v>986</v>
      </c>
      <c r="EC362" s="1605" t="s">
        <v>986</v>
      </c>
      <c r="ED362" s="1605" t="s">
        <v>986</v>
      </c>
      <c r="EE362" s="1605" t="s">
        <v>986</v>
      </c>
      <c r="EF362" s="1605" t="s">
        <v>986</v>
      </c>
      <c r="EG362" s="1605" t="s">
        <v>986</v>
      </c>
      <c r="EH362" s="1605" t="s">
        <v>986</v>
      </c>
      <c r="EI362" s="1605" t="s">
        <v>986</v>
      </c>
      <c r="EJ362" s="1605" t="s">
        <v>986</v>
      </c>
      <c r="EK362" s="1605" t="s">
        <v>986</v>
      </c>
      <c r="EL362" s="1605" t="s">
        <v>986</v>
      </c>
      <c r="EM362" s="1605" t="s">
        <v>986</v>
      </c>
      <c r="EN362" s="1605" t="s">
        <v>986</v>
      </c>
      <c r="EO362" s="1605" t="s">
        <v>986</v>
      </c>
      <c r="EP362" s="1605" t="s">
        <v>986</v>
      </c>
      <c r="EQ362" s="1605" t="s">
        <v>986</v>
      </c>
      <c r="ER362" s="1605" t="s">
        <v>986</v>
      </c>
      <c r="ES362" s="1605" t="s">
        <v>986</v>
      </c>
      <c r="ET362" s="1605" t="s">
        <v>986</v>
      </c>
      <c r="EU362" s="1605" t="s">
        <v>986</v>
      </c>
      <c r="EV362" s="1605" t="s">
        <v>986</v>
      </c>
      <c r="EW362" s="1605" t="s">
        <v>986</v>
      </c>
      <c r="EX362" s="1605" t="s">
        <v>986</v>
      </c>
      <c r="EY362" s="1605" t="s">
        <v>986</v>
      </c>
      <c r="EZ362" s="1605" t="s">
        <v>986</v>
      </c>
      <c r="FA362" s="1605" t="s">
        <v>986</v>
      </c>
      <c r="FB362" s="1605" t="s">
        <v>986</v>
      </c>
      <c r="FC362" s="1605" t="s">
        <v>986</v>
      </c>
      <c r="FD362" s="1605" t="s">
        <v>986</v>
      </c>
      <c r="FE362" s="1605" t="s">
        <v>986</v>
      </c>
      <c r="FF362" s="1605" t="s">
        <v>986</v>
      </c>
      <c r="FG362" s="1605" t="s">
        <v>986</v>
      </c>
      <c r="FH362" s="1605" t="s">
        <v>986</v>
      </c>
      <c r="FI362" s="1605" t="s">
        <v>986</v>
      </c>
      <c r="FJ362" s="1605" t="s">
        <v>986</v>
      </c>
      <c r="FK362" s="1605" t="s">
        <v>986</v>
      </c>
      <c r="FL362" s="1605" t="s">
        <v>986</v>
      </c>
      <c r="FM362" s="1605" t="s">
        <v>986</v>
      </c>
      <c r="FN362" s="1605" t="s">
        <v>986</v>
      </c>
      <c r="FO362" s="1605" t="s">
        <v>986</v>
      </c>
      <c r="FP362" s="1605" t="s">
        <v>986</v>
      </c>
      <c r="FQ362" s="1605" t="s">
        <v>986</v>
      </c>
      <c r="FR362" s="1605" t="s">
        <v>986</v>
      </c>
      <c r="FS362" s="1605" t="s">
        <v>986</v>
      </c>
      <c r="FT362" s="1605" t="s">
        <v>986</v>
      </c>
      <c r="FU362" s="1605" t="s">
        <v>986</v>
      </c>
      <c r="FV362" s="1605" t="s">
        <v>986</v>
      </c>
      <c r="FW362" s="1605" t="s">
        <v>986</v>
      </c>
      <c r="FX362" s="1605" t="s">
        <v>986</v>
      </c>
      <c r="FY362" s="1605" t="s">
        <v>986</v>
      </c>
      <c r="FZ362" s="1605" t="s">
        <v>986</v>
      </c>
      <c r="GA362" s="1605" t="s">
        <v>986</v>
      </c>
      <c r="GB362" s="1605" t="s">
        <v>986</v>
      </c>
      <c r="GC362" s="1605" t="s">
        <v>986</v>
      </c>
      <c r="GD362" s="1605" t="s">
        <v>986</v>
      </c>
      <c r="GE362" s="1605" t="s">
        <v>986</v>
      </c>
      <c r="GF362" s="1605" t="s">
        <v>986</v>
      </c>
      <c r="GG362" s="1605" t="s">
        <v>986</v>
      </c>
      <c r="GH362" s="1605" t="s">
        <v>986</v>
      </c>
      <c r="GI362" s="1605" t="s">
        <v>986</v>
      </c>
      <c r="GJ362" s="1605" t="s">
        <v>986</v>
      </c>
      <c r="GK362" s="1605" t="s">
        <v>986</v>
      </c>
      <c r="GL362" s="1605" t="s">
        <v>986</v>
      </c>
      <c r="GM362" s="1605" t="s">
        <v>986</v>
      </c>
      <c r="GN362" s="1605" t="s">
        <v>986</v>
      </c>
      <c r="GO362" s="1605" t="s">
        <v>986</v>
      </c>
      <c r="GP362" s="1605" t="s">
        <v>986</v>
      </c>
      <c r="GQ362" s="1605" t="s">
        <v>986</v>
      </c>
      <c r="GR362" s="1605" t="s">
        <v>986</v>
      </c>
      <c r="GS362" s="1605" t="s">
        <v>986</v>
      </c>
      <c r="GT362" s="1605" t="s">
        <v>986</v>
      </c>
      <c r="GU362" s="1605" t="s">
        <v>986</v>
      </c>
      <c r="GV362" s="1605" t="s">
        <v>986</v>
      </c>
      <c r="GW362" s="1605" t="s">
        <v>986</v>
      </c>
      <c r="GX362" s="1605" t="s">
        <v>986</v>
      </c>
      <c r="GY362" s="1605" t="s">
        <v>986</v>
      </c>
      <c r="GZ362" s="1605" t="s">
        <v>986</v>
      </c>
      <c r="HA362" s="1605" t="s">
        <v>986</v>
      </c>
      <c r="HB362" s="1605" t="s">
        <v>986</v>
      </c>
      <c r="HC362" s="1605" t="s">
        <v>986</v>
      </c>
      <c r="HD362" s="1605" t="s">
        <v>986</v>
      </c>
      <c r="HE362" s="1605" t="s">
        <v>986</v>
      </c>
      <c r="HF362" s="1605" t="s">
        <v>986</v>
      </c>
      <c r="HG362" s="1605" t="s">
        <v>986</v>
      </c>
      <c r="HH362" s="1605" t="s">
        <v>986</v>
      </c>
      <c r="HI362" s="1605" t="s">
        <v>986</v>
      </c>
      <c r="HJ362" s="1605" t="s">
        <v>986</v>
      </c>
      <c r="HK362" s="1605" t="s">
        <v>986</v>
      </c>
      <c r="HL362" s="1605" t="s">
        <v>986</v>
      </c>
      <c r="HM362" s="1605" t="s">
        <v>986</v>
      </c>
      <c r="HN362" s="1605" t="s">
        <v>986</v>
      </c>
      <c r="HO362" s="1605" t="s">
        <v>986</v>
      </c>
      <c r="HP362" s="1605" t="s">
        <v>986</v>
      </c>
      <c r="HQ362" s="1605" t="s">
        <v>986</v>
      </c>
      <c r="HR362" s="1605" t="s">
        <v>986</v>
      </c>
      <c r="HS362" s="1605" t="s">
        <v>986</v>
      </c>
      <c r="HT362" s="1605" t="s">
        <v>986</v>
      </c>
      <c r="HU362" s="1605" t="s">
        <v>986</v>
      </c>
      <c r="HV362" s="1617"/>
      <c r="HW362" s="1617" t="s">
        <v>986</v>
      </c>
      <c r="HX362" s="1617" t="s">
        <v>986</v>
      </c>
      <c r="HY362" s="1617" t="s">
        <v>986</v>
      </c>
      <c r="HZ362" s="1603"/>
      <c r="IA362" s="1603"/>
      <c r="IB362" s="1603"/>
      <c r="IC362" s="1603" t="s">
        <v>270</v>
      </c>
      <c r="ID362" s="1603" t="s">
        <v>270</v>
      </c>
      <c r="IE362" s="1603" t="s">
        <v>270</v>
      </c>
      <c r="IF362" s="1603" t="s">
        <v>270</v>
      </c>
      <c r="IG362" s="1611" t="s">
        <v>270</v>
      </c>
      <c r="IH362" s="1616" t="s">
        <v>270</v>
      </c>
      <c r="II362" s="1615" t="s">
        <v>270</v>
      </c>
      <c r="IJ362" s="1613" t="s">
        <v>270</v>
      </c>
      <c r="IK362" s="1613" t="s">
        <v>270</v>
      </c>
      <c r="IL362" s="1614" t="s">
        <v>270</v>
      </c>
      <c r="IM362" s="1614" t="s">
        <v>270</v>
      </c>
      <c r="IN362" s="1612" t="s">
        <v>270</v>
      </c>
      <c r="IO362" s="1613" t="s">
        <v>270</v>
      </c>
      <c r="IP362" s="1607" t="s">
        <v>270</v>
      </c>
      <c r="IQ362" s="1612" t="s">
        <v>270</v>
      </c>
      <c r="IR362" s="1612" t="s">
        <v>270</v>
      </c>
      <c r="IS362" s="1607" t="s">
        <v>270</v>
      </c>
      <c r="IT362" s="1607" t="s">
        <v>270</v>
      </c>
      <c r="IU362" s="1611" t="s">
        <v>270</v>
      </c>
      <c r="IV362" s="1611" t="s">
        <v>270</v>
      </c>
      <c r="IW362" s="1611" t="s">
        <v>270</v>
      </c>
      <c r="IX362" s="1611" t="s">
        <v>270</v>
      </c>
      <c r="IY362" s="1611" t="s">
        <v>270</v>
      </c>
      <c r="IZ362" s="1611" t="s">
        <v>270</v>
      </c>
      <c r="JA362" s="1611" t="s">
        <v>270</v>
      </c>
      <c r="JB362" s="1611" t="s">
        <v>270</v>
      </c>
      <c r="JC362" s="1611" t="s">
        <v>270</v>
      </c>
      <c r="JD362" s="1611" t="s">
        <v>270</v>
      </c>
      <c r="JE362" s="1611" t="s">
        <v>270</v>
      </c>
      <c r="JF362" s="1611" t="s">
        <v>270</v>
      </c>
      <c r="JG362" s="1611" t="s">
        <v>270</v>
      </c>
      <c r="JH362" s="1611" t="s">
        <v>270</v>
      </c>
      <c r="JI362" s="1611" t="s">
        <v>270</v>
      </c>
      <c r="JJ362" s="1611" t="s">
        <v>270</v>
      </c>
      <c r="JK362" s="1607" t="str">
        <f t="shared" si="14"/>
        <v/>
      </c>
      <c r="JL362" s="1608" t="s">
        <v>270</v>
      </c>
      <c r="JM362" s="1610" t="s">
        <v>270</v>
      </c>
      <c r="JN362" s="1608" t="s">
        <v>270</v>
      </c>
      <c r="JO362" s="1609" t="s">
        <v>270</v>
      </c>
      <c r="JP362" s="1608" t="s">
        <v>270</v>
      </c>
      <c r="JQ362" s="1607" t="s">
        <v>270</v>
      </c>
      <c r="JR362" s="1606" t="s">
        <v>270</v>
      </c>
      <c r="JS362" s="1606" t="s">
        <v>270</v>
      </c>
      <c r="JT362" s="1606" t="s">
        <v>270</v>
      </c>
    </row>
    <row r="363" spans="1:280" ht="15" customHeight="1" x14ac:dyDescent="0.2">
      <c r="A363" s="1626" t="s">
        <v>270</v>
      </c>
      <c r="B363" s="1625" t="s">
        <v>270</v>
      </c>
      <c r="C363" s="1624" t="s">
        <v>270</v>
      </c>
      <c r="D363" s="1623" t="s">
        <v>270</v>
      </c>
      <c r="E363" s="1622" t="s">
        <v>270</v>
      </c>
      <c r="F363" s="1620" t="s">
        <v>270</v>
      </c>
      <c r="G363" s="1620" t="s">
        <v>270</v>
      </c>
      <c r="H363" s="1621" t="s">
        <v>270</v>
      </c>
      <c r="I363" s="1621" t="s">
        <v>270</v>
      </c>
      <c r="J363" s="1621" t="s">
        <v>270</v>
      </c>
      <c r="K363" s="1620" t="s">
        <v>270</v>
      </c>
      <c r="L363" s="1620" t="s">
        <v>270</v>
      </c>
      <c r="M363" s="1620" t="s">
        <v>270</v>
      </c>
      <c r="N363" s="1620" t="s">
        <v>270</v>
      </c>
      <c r="O363" s="1620" t="s">
        <v>270</v>
      </c>
      <c r="P363" s="1620" t="s">
        <v>270</v>
      </c>
      <c r="Q363" s="1603"/>
      <c r="R363" s="1620" t="s">
        <v>270</v>
      </c>
      <c r="S363" s="1620" t="s">
        <v>270</v>
      </c>
      <c r="T363" s="1620" t="s">
        <v>270</v>
      </c>
      <c r="U363" s="1620" t="s">
        <v>270</v>
      </c>
      <c r="V363" s="1620" t="s">
        <v>270</v>
      </c>
      <c r="W363" s="1620" t="s">
        <v>270</v>
      </c>
      <c r="X363" s="1620"/>
      <c r="Y363" s="1620" t="s">
        <v>270</v>
      </c>
      <c r="Z363" s="1620" t="s">
        <v>270</v>
      </c>
      <c r="AA363" s="1620" t="s">
        <v>270</v>
      </c>
      <c r="AB363" s="1620" t="s">
        <v>270</v>
      </c>
      <c r="AC363" s="1620" t="s">
        <v>270</v>
      </c>
      <c r="AD363" s="1620" t="s">
        <v>270</v>
      </c>
      <c r="AE363" s="1620" t="s">
        <v>270</v>
      </c>
      <c r="AF363" s="1620" t="s">
        <v>270</v>
      </c>
      <c r="AG363" s="1620" t="s">
        <v>270</v>
      </c>
      <c r="AH363" s="1620" t="s">
        <v>270</v>
      </c>
      <c r="AI363" s="1620" t="s">
        <v>270</v>
      </c>
      <c r="AJ363" s="1620" t="s">
        <v>270</v>
      </c>
      <c r="AK363" s="1620" t="s">
        <v>270</v>
      </c>
      <c r="AL363" s="1620"/>
      <c r="AM363" s="1620" t="s">
        <v>270</v>
      </c>
      <c r="AN363" s="1620" t="s">
        <v>270</v>
      </c>
      <c r="AO363" s="1620" t="s">
        <v>270</v>
      </c>
      <c r="AP363" s="1620" t="s">
        <v>270</v>
      </c>
      <c r="AQ363" s="1620" t="s">
        <v>270</v>
      </c>
      <c r="AR363" s="1620" t="s">
        <v>270</v>
      </c>
      <c r="AS363" s="1620" t="s">
        <v>270</v>
      </c>
      <c r="AT363" s="1620" t="s">
        <v>270</v>
      </c>
      <c r="AU363" s="1620" t="s">
        <v>270</v>
      </c>
      <c r="AV363" s="1620" t="s">
        <v>270</v>
      </c>
      <c r="AW363" s="1620" t="s">
        <v>270</v>
      </c>
      <c r="AX363" s="1620"/>
      <c r="AY363" s="1620" t="s">
        <v>986</v>
      </c>
      <c r="AZ363" s="1620" t="s">
        <v>986</v>
      </c>
      <c r="BA363" s="1620" t="s">
        <v>986</v>
      </c>
      <c r="BB363" s="1620" t="s">
        <v>986</v>
      </c>
      <c r="BC363" s="1620" t="s">
        <v>986</v>
      </c>
      <c r="BD363" s="1620" t="s">
        <v>986</v>
      </c>
      <c r="BE363" s="1620" t="s">
        <v>986</v>
      </c>
      <c r="BF363" s="1620" t="s">
        <v>986</v>
      </c>
      <c r="BG363" s="1620" t="s">
        <v>986</v>
      </c>
      <c r="BH363" s="1620" t="s">
        <v>986</v>
      </c>
      <c r="BI363" s="1620" t="s">
        <v>986</v>
      </c>
      <c r="BJ363" s="1603"/>
      <c r="BK363" s="1620" t="s">
        <v>270</v>
      </c>
      <c r="BL363" s="1620" t="s">
        <v>270</v>
      </c>
      <c r="BM363" s="1620" t="s">
        <v>270</v>
      </c>
      <c r="BN363" s="1620" t="s">
        <v>270</v>
      </c>
      <c r="BO363" s="1620"/>
      <c r="BP363" s="1620" t="s">
        <v>270</v>
      </c>
      <c r="BQ363" s="1620" t="s">
        <v>270</v>
      </c>
      <c r="BR363" s="1620" t="s">
        <v>270</v>
      </c>
      <c r="BS363" s="1620" t="s">
        <v>270</v>
      </c>
      <c r="BT363" s="1603"/>
      <c r="BU363" s="1620" t="s">
        <v>270</v>
      </c>
      <c r="BV363" s="1620" t="s">
        <v>270</v>
      </c>
      <c r="BW363" s="1620" t="s">
        <v>270</v>
      </c>
      <c r="BX363" s="1620" t="s">
        <v>270</v>
      </c>
      <c r="BY363" s="1620" t="s">
        <v>270</v>
      </c>
      <c r="BZ363" s="1620" t="s">
        <v>270</v>
      </c>
      <c r="CA363" s="1620" t="s">
        <v>270</v>
      </c>
      <c r="CB363" s="1603"/>
      <c r="CC363" s="1603" t="s">
        <v>270</v>
      </c>
      <c r="CD363" s="1603" t="s">
        <v>270</v>
      </c>
      <c r="CE363" s="1603" t="s">
        <v>270</v>
      </c>
      <c r="CF363" s="1603" t="s">
        <v>270</v>
      </c>
      <c r="CG363" s="1603" t="s">
        <v>270</v>
      </c>
      <c r="CH363" s="1603" t="s">
        <v>270</v>
      </c>
      <c r="CI363" s="1603" t="s">
        <v>270</v>
      </c>
      <c r="CJ363" s="1603"/>
      <c r="CK363" s="1603" t="s">
        <v>270</v>
      </c>
      <c r="CL363" s="1603" t="s">
        <v>270</v>
      </c>
      <c r="CM363" s="1603" t="s">
        <v>270</v>
      </c>
      <c r="CN363" s="1603" t="s">
        <v>270</v>
      </c>
      <c r="CO363" s="1603" t="s">
        <v>270</v>
      </c>
      <c r="CP363" s="1603" t="s">
        <v>270</v>
      </c>
      <c r="CQ363" s="1603" t="s">
        <v>270</v>
      </c>
      <c r="CR363" s="1603" t="s">
        <v>270</v>
      </c>
      <c r="CS363" s="1603" t="s">
        <v>270</v>
      </c>
      <c r="CT363" s="1603" t="s">
        <v>270</v>
      </c>
      <c r="CU363" s="1603" t="s">
        <v>270</v>
      </c>
      <c r="CV363" s="1603" t="s">
        <v>270</v>
      </c>
      <c r="CW363" s="1603" t="s">
        <v>270</v>
      </c>
      <c r="CX363" s="1603" t="s">
        <v>270</v>
      </c>
      <c r="CY363" s="1603" t="s">
        <v>270</v>
      </c>
      <c r="CZ363" s="1603" t="s">
        <v>270</v>
      </c>
      <c r="DA363" s="1603" t="s">
        <v>270</v>
      </c>
      <c r="DB363" s="1603" t="s">
        <v>270</v>
      </c>
      <c r="DC363" s="1603" t="s">
        <v>270</v>
      </c>
      <c r="DD363" s="1603" t="s">
        <v>270</v>
      </c>
      <c r="DE363" s="1603" t="s">
        <v>270</v>
      </c>
      <c r="DF363" s="1603" t="s">
        <v>270</v>
      </c>
      <c r="DG363" s="1603" t="s">
        <v>270</v>
      </c>
      <c r="DH363" s="1619" t="s">
        <v>270</v>
      </c>
      <c r="DI363" s="1603" t="s">
        <v>270</v>
      </c>
      <c r="DJ363" s="1603" t="s">
        <v>270</v>
      </c>
      <c r="DK363" s="1603" t="s">
        <v>270</v>
      </c>
      <c r="DL363" s="1603" t="s">
        <v>270</v>
      </c>
      <c r="DM363" s="1603" t="s">
        <v>270</v>
      </c>
      <c r="DN363" s="1603" t="s">
        <v>270</v>
      </c>
      <c r="DO363" s="1603" t="s">
        <v>270</v>
      </c>
      <c r="DP363" s="1603" t="s">
        <v>270</v>
      </c>
      <c r="DQ363" s="1603" t="s">
        <v>270</v>
      </c>
      <c r="DR363" s="1603" t="s">
        <v>270</v>
      </c>
      <c r="DS363" s="1603" t="s">
        <v>270</v>
      </c>
      <c r="DT363" s="1603" t="s">
        <v>270</v>
      </c>
      <c r="DU363" s="1603" t="s">
        <v>270</v>
      </c>
      <c r="DV363" s="1603" t="s">
        <v>270</v>
      </c>
      <c r="DW363" s="1618" t="s">
        <v>986</v>
      </c>
      <c r="DX363" s="1605" t="s">
        <v>986</v>
      </c>
      <c r="DY363" s="1605" t="s">
        <v>986</v>
      </c>
      <c r="DZ363" s="1605" t="s">
        <v>986</v>
      </c>
      <c r="EA363" s="1605" t="s">
        <v>986</v>
      </c>
      <c r="EB363" s="1605" t="s">
        <v>986</v>
      </c>
      <c r="EC363" s="1605" t="s">
        <v>986</v>
      </c>
      <c r="ED363" s="1605" t="s">
        <v>986</v>
      </c>
      <c r="EE363" s="1605" t="s">
        <v>986</v>
      </c>
      <c r="EF363" s="1605" t="s">
        <v>986</v>
      </c>
      <c r="EG363" s="1605" t="s">
        <v>986</v>
      </c>
      <c r="EH363" s="1605" t="s">
        <v>986</v>
      </c>
      <c r="EI363" s="1605" t="s">
        <v>986</v>
      </c>
      <c r="EJ363" s="1605" t="s">
        <v>986</v>
      </c>
      <c r="EK363" s="1605" t="s">
        <v>986</v>
      </c>
      <c r="EL363" s="1605" t="s">
        <v>986</v>
      </c>
      <c r="EM363" s="1605" t="s">
        <v>986</v>
      </c>
      <c r="EN363" s="1605" t="s">
        <v>986</v>
      </c>
      <c r="EO363" s="1605" t="s">
        <v>986</v>
      </c>
      <c r="EP363" s="1605" t="s">
        <v>986</v>
      </c>
      <c r="EQ363" s="1605" t="s">
        <v>986</v>
      </c>
      <c r="ER363" s="1605" t="s">
        <v>986</v>
      </c>
      <c r="ES363" s="1605" t="s">
        <v>986</v>
      </c>
      <c r="ET363" s="1605" t="s">
        <v>986</v>
      </c>
      <c r="EU363" s="1605" t="s">
        <v>986</v>
      </c>
      <c r="EV363" s="1605" t="s">
        <v>986</v>
      </c>
      <c r="EW363" s="1605" t="s">
        <v>986</v>
      </c>
      <c r="EX363" s="1605" t="s">
        <v>986</v>
      </c>
      <c r="EY363" s="1605" t="s">
        <v>986</v>
      </c>
      <c r="EZ363" s="1605" t="s">
        <v>986</v>
      </c>
      <c r="FA363" s="1605" t="s">
        <v>986</v>
      </c>
      <c r="FB363" s="1605" t="s">
        <v>986</v>
      </c>
      <c r="FC363" s="1605" t="s">
        <v>986</v>
      </c>
      <c r="FD363" s="1605" t="s">
        <v>986</v>
      </c>
      <c r="FE363" s="1605" t="s">
        <v>986</v>
      </c>
      <c r="FF363" s="1605" t="s">
        <v>986</v>
      </c>
      <c r="FG363" s="1605" t="s">
        <v>986</v>
      </c>
      <c r="FH363" s="1605" t="s">
        <v>986</v>
      </c>
      <c r="FI363" s="1605" t="s">
        <v>986</v>
      </c>
      <c r="FJ363" s="1605" t="s">
        <v>986</v>
      </c>
      <c r="FK363" s="1605" t="s">
        <v>986</v>
      </c>
      <c r="FL363" s="1605" t="s">
        <v>986</v>
      </c>
      <c r="FM363" s="1605" t="s">
        <v>986</v>
      </c>
      <c r="FN363" s="1605" t="s">
        <v>986</v>
      </c>
      <c r="FO363" s="1605" t="s">
        <v>986</v>
      </c>
      <c r="FP363" s="1605" t="s">
        <v>986</v>
      </c>
      <c r="FQ363" s="1605" t="s">
        <v>986</v>
      </c>
      <c r="FR363" s="1605" t="s">
        <v>986</v>
      </c>
      <c r="FS363" s="1605" t="s">
        <v>986</v>
      </c>
      <c r="FT363" s="1605" t="s">
        <v>986</v>
      </c>
      <c r="FU363" s="1605" t="s">
        <v>986</v>
      </c>
      <c r="FV363" s="1605" t="s">
        <v>986</v>
      </c>
      <c r="FW363" s="1605" t="s">
        <v>986</v>
      </c>
      <c r="FX363" s="1605" t="s">
        <v>986</v>
      </c>
      <c r="FY363" s="1605" t="s">
        <v>986</v>
      </c>
      <c r="FZ363" s="1605" t="s">
        <v>986</v>
      </c>
      <c r="GA363" s="1605" t="s">
        <v>986</v>
      </c>
      <c r="GB363" s="1605" t="s">
        <v>986</v>
      </c>
      <c r="GC363" s="1605" t="s">
        <v>986</v>
      </c>
      <c r="GD363" s="1605" t="s">
        <v>986</v>
      </c>
      <c r="GE363" s="1605" t="s">
        <v>986</v>
      </c>
      <c r="GF363" s="1605" t="s">
        <v>986</v>
      </c>
      <c r="GG363" s="1605" t="s">
        <v>986</v>
      </c>
      <c r="GH363" s="1605" t="s">
        <v>986</v>
      </c>
      <c r="GI363" s="1605" t="s">
        <v>986</v>
      </c>
      <c r="GJ363" s="1605" t="s">
        <v>986</v>
      </c>
      <c r="GK363" s="1605" t="s">
        <v>986</v>
      </c>
      <c r="GL363" s="1605" t="s">
        <v>986</v>
      </c>
      <c r="GM363" s="1605" t="s">
        <v>986</v>
      </c>
      <c r="GN363" s="1605" t="s">
        <v>986</v>
      </c>
      <c r="GO363" s="1605" t="s">
        <v>986</v>
      </c>
      <c r="GP363" s="1605" t="s">
        <v>986</v>
      </c>
      <c r="GQ363" s="1605" t="s">
        <v>986</v>
      </c>
      <c r="GR363" s="1605" t="s">
        <v>986</v>
      </c>
      <c r="GS363" s="1605" t="s">
        <v>986</v>
      </c>
      <c r="GT363" s="1605" t="s">
        <v>986</v>
      </c>
      <c r="GU363" s="1605" t="s">
        <v>986</v>
      </c>
      <c r="GV363" s="1605" t="s">
        <v>986</v>
      </c>
      <c r="GW363" s="1605" t="s">
        <v>986</v>
      </c>
      <c r="GX363" s="1605" t="s">
        <v>986</v>
      </c>
      <c r="GY363" s="1605" t="s">
        <v>986</v>
      </c>
      <c r="GZ363" s="1605" t="s">
        <v>986</v>
      </c>
      <c r="HA363" s="1605" t="s">
        <v>986</v>
      </c>
      <c r="HB363" s="1605" t="s">
        <v>986</v>
      </c>
      <c r="HC363" s="1605" t="s">
        <v>986</v>
      </c>
      <c r="HD363" s="1605" t="s">
        <v>986</v>
      </c>
      <c r="HE363" s="1605" t="s">
        <v>986</v>
      </c>
      <c r="HF363" s="1605" t="s">
        <v>986</v>
      </c>
      <c r="HG363" s="1605" t="s">
        <v>986</v>
      </c>
      <c r="HH363" s="1605" t="s">
        <v>986</v>
      </c>
      <c r="HI363" s="1605" t="s">
        <v>986</v>
      </c>
      <c r="HJ363" s="1605" t="s">
        <v>986</v>
      </c>
      <c r="HK363" s="1605" t="s">
        <v>986</v>
      </c>
      <c r="HL363" s="1605" t="s">
        <v>986</v>
      </c>
      <c r="HM363" s="1605" t="s">
        <v>986</v>
      </c>
      <c r="HN363" s="1605" t="s">
        <v>986</v>
      </c>
      <c r="HO363" s="1605" t="s">
        <v>986</v>
      </c>
      <c r="HP363" s="1605" t="s">
        <v>986</v>
      </c>
      <c r="HQ363" s="1605" t="s">
        <v>986</v>
      </c>
      <c r="HR363" s="1605" t="s">
        <v>986</v>
      </c>
      <c r="HS363" s="1605" t="s">
        <v>986</v>
      </c>
      <c r="HT363" s="1605" t="s">
        <v>986</v>
      </c>
      <c r="HU363" s="1605" t="s">
        <v>986</v>
      </c>
      <c r="HV363" s="1617"/>
      <c r="HW363" s="1617" t="s">
        <v>986</v>
      </c>
      <c r="HX363" s="1617" t="s">
        <v>986</v>
      </c>
      <c r="HY363" s="1617" t="s">
        <v>986</v>
      </c>
      <c r="HZ363" s="1603"/>
      <c r="IA363" s="1603"/>
      <c r="IB363" s="1603"/>
      <c r="IC363" s="1603" t="s">
        <v>270</v>
      </c>
      <c r="ID363" s="1603" t="s">
        <v>270</v>
      </c>
      <c r="IE363" s="1603" t="s">
        <v>270</v>
      </c>
      <c r="IF363" s="1603" t="s">
        <v>270</v>
      </c>
      <c r="IG363" s="1611" t="s">
        <v>270</v>
      </c>
      <c r="IH363" s="1616" t="s">
        <v>270</v>
      </c>
      <c r="II363" s="1615" t="s">
        <v>270</v>
      </c>
      <c r="IJ363" s="1613" t="s">
        <v>270</v>
      </c>
      <c r="IK363" s="1613" t="s">
        <v>270</v>
      </c>
      <c r="IL363" s="1614" t="s">
        <v>270</v>
      </c>
      <c r="IM363" s="1614" t="s">
        <v>270</v>
      </c>
      <c r="IN363" s="1612" t="s">
        <v>270</v>
      </c>
      <c r="IO363" s="1613" t="s">
        <v>270</v>
      </c>
      <c r="IP363" s="1607" t="s">
        <v>270</v>
      </c>
      <c r="IQ363" s="1612" t="s">
        <v>270</v>
      </c>
      <c r="IR363" s="1612" t="s">
        <v>270</v>
      </c>
      <c r="IS363" s="1607" t="s">
        <v>270</v>
      </c>
      <c r="IT363" s="1607" t="s">
        <v>270</v>
      </c>
      <c r="IU363" s="1611" t="s">
        <v>270</v>
      </c>
      <c r="IV363" s="1611" t="s">
        <v>270</v>
      </c>
      <c r="IW363" s="1611" t="s">
        <v>270</v>
      </c>
      <c r="IX363" s="1611" t="s">
        <v>270</v>
      </c>
      <c r="IY363" s="1611" t="s">
        <v>270</v>
      </c>
      <c r="IZ363" s="1611" t="s">
        <v>270</v>
      </c>
      <c r="JA363" s="1611" t="s">
        <v>270</v>
      </c>
      <c r="JB363" s="1611" t="s">
        <v>270</v>
      </c>
      <c r="JC363" s="1611" t="s">
        <v>270</v>
      </c>
      <c r="JD363" s="1611" t="s">
        <v>270</v>
      </c>
      <c r="JE363" s="1611" t="s">
        <v>270</v>
      </c>
      <c r="JF363" s="1611" t="s">
        <v>270</v>
      </c>
      <c r="JG363" s="1611" t="s">
        <v>270</v>
      </c>
      <c r="JH363" s="1611" t="s">
        <v>270</v>
      </c>
      <c r="JI363" s="1611" t="s">
        <v>270</v>
      </c>
      <c r="JJ363" s="1611" t="s">
        <v>270</v>
      </c>
      <c r="JK363" s="1607" t="str">
        <f t="shared" si="14"/>
        <v/>
      </c>
      <c r="JL363" s="1608" t="s">
        <v>270</v>
      </c>
      <c r="JM363" s="1610" t="s">
        <v>270</v>
      </c>
      <c r="JN363" s="1608" t="s">
        <v>270</v>
      </c>
      <c r="JO363" s="1609" t="s">
        <v>270</v>
      </c>
      <c r="JP363" s="1608" t="s">
        <v>270</v>
      </c>
      <c r="JQ363" s="1607" t="s">
        <v>270</v>
      </c>
      <c r="JR363" s="1606" t="s">
        <v>270</v>
      </c>
      <c r="JS363" s="1606" t="s">
        <v>270</v>
      </c>
      <c r="JT363" s="1606" t="s">
        <v>270</v>
      </c>
    </row>
    <row r="364" spans="1:280" ht="15" customHeight="1" x14ac:dyDescent="0.2">
      <c r="A364" s="1626" t="s">
        <v>270</v>
      </c>
      <c r="B364" s="1625" t="s">
        <v>270</v>
      </c>
      <c r="C364" s="1624" t="s">
        <v>270</v>
      </c>
      <c r="D364" s="1623" t="s">
        <v>270</v>
      </c>
      <c r="E364" s="1622" t="s">
        <v>270</v>
      </c>
      <c r="F364" s="1620" t="s">
        <v>270</v>
      </c>
      <c r="G364" s="1620" t="s">
        <v>270</v>
      </c>
      <c r="H364" s="1621" t="s">
        <v>270</v>
      </c>
      <c r="I364" s="1621" t="s">
        <v>270</v>
      </c>
      <c r="J364" s="1621" t="s">
        <v>270</v>
      </c>
      <c r="K364" s="1620" t="s">
        <v>270</v>
      </c>
      <c r="L364" s="1620" t="s">
        <v>270</v>
      </c>
      <c r="M364" s="1620" t="s">
        <v>270</v>
      </c>
      <c r="N364" s="1620" t="s">
        <v>270</v>
      </c>
      <c r="O364" s="1620" t="s">
        <v>270</v>
      </c>
      <c r="P364" s="1620" t="s">
        <v>270</v>
      </c>
      <c r="Q364" s="1603"/>
      <c r="R364" s="1620" t="s">
        <v>270</v>
      </c>
      <c r="S364" s="1620" t="s">
        <v>270</v>
      </c>
      <c r="T364" s="1620" t="s">
        <v>270</v>
      </c>
      <c r="U364" s="1620" t="s">
        <v>270</v>
      </c>
      <c r="V364" s="1620" t="s">
        <v>270</v>
      </c>
      <c r="W364" s="1620" t="s">
        <v>270</v>
      </c>
      <c r="X364" s="1620"/>
      <c r="Y364" s="1620" t="s">
        <v>270</v>
      </c>
      <c r="Z364" s="1620" t="s">
        <v>270</v>
      </c>
      <c r="AA364" s="1620" t="s">
        <v>270</v>
      </c>
      <c r="AB364" s="1620" t="s">
        <v>270</v>
      </c>
      <c r="AC364" s="1620" t="s">
        <v>270</v>
      </c>
      <c r="AD364" s="1620" t="s">
        <v>270</v>
      </c>
      <c r="AE364" s="1620" t="s">
        <v>270</v>
      </c>
      <c r="AF364" s="1620" t="s">
        <v>270</v>
      </c>
      <c r="AG364" s="1620" t="s">
        <v>270</v>
      </c>
      <c r="AH364" s="1620" t="s">
        <v>270</v>
      </c>
      <c r="AI364" s="1620" t="s">
        <v>270</v>
      </c>
      <c r="AJ364" s="1620" t="s">
        <v>270</v>
      </c>
      <c r="AK364" s="1620" t="s">
        <v>270</v>
      </c>
      <c r="AL364" s="1620"/>
      <c r="AM364" s="1620" t="s">
        <v>270</v>
      </c>
      <c r="AN364" s="1620" t="s">
        <v>270</v>
      </c>
      <c r="AO364" s="1620" t="s">
        <v>270</v>
      </c>
      <c r="AP364" s="1620" t="s">
        <v>270</v>
      </c>
      <c r="AQ364" s="1620" t="s">
        <v>270</v>
      </c>
      <c r="AR364" s="1620" t="s">
        <v>270</v>
      </c>
      <c r="AS364" s="1620" t="s">
        <v>270</v>
      </c>
      <c r="AT364" s="1620" t="s">
        <v>270</v>
      </c>
      <c r="AU364" s="1620" t="s">
        <v>270</v>
      </c>
      <c r="AV364" s="1620" t="s">
        <v>270</v>
      </c>
      <c r="AW364" s="1620" t="s">
        <v>270</v>
      </c>
      <c r="AX364" s="1620"/>
      <c r="AY364" s="1620" t="s">
        <v>986</v>
      </c>
      <c r="AZ364" s="1620" t="s">
        <v>986</v>
      </c>
      <c r="BA364" s="1620" t="s">
        <v>986</v>
      </c>
      <c r="BB364" s="1620" t="s">
        <v>986</v>
      </c>
      <c r="BC364" s="1620" t="s">
        <v>986</v>
      </c>
      <c r="BD364" s="1620" t="s">
        <v>986</v>
      </c>
      <c r="BE364" s="1620" t="s">
        <v>986</v>
      </c>
      <c r="BF364" s="1620" t="s">
        <v>986</v>
      </c>
      <c r="BG364" s="1620" t="s">
        <v>986</v>
      </c>
      <c r="BH364" s="1620" t="s">
        <v>986</v>
      </c>
      <c r="BI364" s="1620" t="s">
        <v>986</v>
      </c>
      <c r="BJ364" s="1603"/>
      <c r="BK364" s="1620" t="s">
        <v>270</v>
      </c>
      <c r="BL364" s="1620" t="s">
        <v>270</v>
      </c>
      <c r="BM364" s="1620" t="s">
        <v>270</v>
      </c>
      <c r="BN364" s="1620" t="s">
        <v>270</v>
      </c>
      <c r="BO364" s="1620"/>
      <c r="BP364" s="1620" t="s">
        <v>270</v>
      </c>
      <c r="BQ364" s="1620" t="s">
        <v>270</v>
      </c>
      <c r="BR364" s="1620" t="s">
        <v>270</v>
      </c>
      <c r="BS364" s="1620" t="s">
        <v>270</v>
      </c>
      <c r="BT364" s="1603"/>
      <c r="BU364" s="1620" t="s">
        <v>270</v>
      </c>
      <c r="BV364" s="1620" t="s">
        <v>270</v>
      </c>
      <c r="BW364" s="1620" t="s">
        <v>270</v>
      </c>
      <c r="BX364" s="1620" t="s">
        <v>270</v>
      </c>
      <c r="BY364" s="1620" t="s">
        <v>270</v>
      </c>
      <c r="BZ364" s="1620" t="s">
        <v>270</v>
      </c>
      <c r="CA364" s="1620" t="s">
        <v>270</v>
      </c>
      <c r="CB364" s="1603"/>
      <c r="CC364" s="1603" t="s">
        <v>270</v>
      </c>
      <c r="CD364" s="1603" t="s">
        <v>270</v>
      </c>
      <c r="CE364" s="1603" t="s">
        <v>270</v>
      </c>
      <c r="CF364" s="1603" t="s">
        <v>270</v>
      </c>
      <c r="CG364" s="1603" t="s">
        <v>270</v>
      </c>
      <c r="CH364" s="1603" t="s">
        <v>270</v>
      </c>
      <c r="CI364" s="1603" t="s">
        <v>270</v>
      </c>
      <c r="CJ364" s="1603"/>
      <c r="CK364" s="1603" t="s">
        <v>270</v>
      </c>
      <c r="CL364" s="1603" t="s">
        <v>270</v>
      </c>
      <c r="CM364" s="1603" t="s">
        <v>270</v>
      </c>
      <c r="CN364" s="1603" t="s">
        <v>270</v>
      </c>
      <c r="CO364" s="1603" t="s">
        <v>270</v>
      </c>
      <c r="CP364" s="1603" t="s">
        <v>270</v>
      </c>
      <c r="CQ364" s="1603" t="s">
        <v>270</v>
      </c>
      <c r="CR364" s="1603" t="s">
        <v>270</v>
      </c>
      <c r="CS364" s="1603" t="s">
        <v>270</v>
      </c>
      <c r="CT364" s="1603" t="s">
        <v>270</v>
      </c>
      <c r="CU364" s="1603" t="s">
        <v>270</v>
      </c>
      <c r="CV364" s="1603" t="s">
        <v>270</v>
      </c>
      <c r="CW364" s="1603" t="s">
        <v>270</v>
      </c>
      <c r="CX364" s="1603" t="s">
        <v>270</v>
      </c>
      <c r="CY364" s="1603" t="s">
        <v>270</v>
      </c>
      <c r="CZ364" s="1603" t="s">
        <v>270</v>
      </c>
      <c r="DA364" s="1603" t="s">
        <v>270</v>
      </c>
      <c r="DB364" s="1603" t="s">
        <v>270</v>
      </c>
      <c r="DC364" s="1603" t="s">
        <v>270</v>
      </c>
      <c r="DD364" s="1603" t="s">
        <v>270</v>
      </c>
      <c r="DE364" s="1603" t="s">
        <v>270</v>
      </c>
      <c r="DF364" s="1603" t="s">
        <v>270</v>
      </c>
      <c r="DG364" s="1603" t="s">
        <v>270</v>
      </c>
      <c r="DH364" s="1619" t="s">
        <v>270</v>
      </c>
      <c r="DI364" s="1603" t="s">
        <v>270</v>
      </c>
      <c r="DJ364" s="1603" t="s">
        <v>270</v>
      </c>
      <c r="DK364" s="1603" t="s">
        <v>270</v>
      </c>
      <c r="DL364" s="1603" t="s">
        <v>270</v>
      </c>
      <c r="DM364" s="1603" t="s">
        <v>270</v>
      </c>
      <c r="DN364" s="1603" t="s">
        <v>270</v>
      </c>
      <c r="DO364" s="1603" t="s">
        <v>270</v>
      </c>
      <c r="DP364" s="1603" t="s">
        <v>270</v>
      </c>
      <c r="DQ364" s="1603" t="s">
        <v>270</v>
      </c>
      <c r="DR364" s="1603" t="s">
        <v>270</v>
      </c>
      <c r="DS364" s="1603" t="s">
        <v>270</v>
      </c>
      <c r="DT364" s="1603" t="s">
        <v>270</v>
      </c>
      <c r="DU364" s="1603" t="s">
        <v>270</v>
      </c>
      <c r="DV364" s="1603" t="s">
        <v>270</v>
      </c>
      <c r="DW364" s="1618" t="s">
        <v>986</v>
      </c>
      <c r="DX364" s="1605" t="s">
        <v>986</v>
      </c>
      <c r="DY364" s="1605" t="s">
        <v>986</v>
      </c>
      <c r="DZ364" s="1605" t="s">
        <v>986</v>
      </c>
      <c r="EA364" s="1605" t="s">
        <v>986</v>
      </c>
      <c r="EB364" s="1605" t="s">
        <v>986</v>
      </c>
      <c r="EC364" s="1605" t="s">
        <v>986</v>
      </c>
      <c r="ED364" s="1605" t="s">
        <v>986</v>
      </c>
      <c r="EE364" s="1605" t="s">
        <v>986</v>
      </c>
      <c r="EF364" s="1605" t="s">
        <v>986</v>
      </c>
      <c r="EG364" s="1605" t="s">
        <v>986</v>
      </c>
      <c r="EH364" s="1605" t="s">
        <v>986</v>
      </c>
      <c r="EI364" s="1605" t="s">
        <v>986</v>
      </c>
      <c r="EJ364" s="1605" t="s">
        <v>986</v>
      </c>
      <c r="EK364" s="1605" t="s">
        <v>986</v>
      </c>
      <c r="EL364" s="1605" t="s">
        <v>986</v>
      </c>
      <c r="EM364" s="1605" t="s">
        <v>986</v>
      </c>
      <c r="EN364" s="1605" t="s">
        <v>986</v>
      </c>
      <c r="EO364" s="1605" t="s">
        <v>986</v>
      </c>
      <c r="EP364" s="1605" t="s">
        <v>986</v>
      </c>
      <c r="EQ364" s="1605" t="s">
        <v>986</v>
      </c>
      <c r="ER364" s="1605" t="s">
        <v>986</v>
      </c>
      <c r="ES364" s="1605" t="s">
        <v>986</v>
      </c>
      <c r="ET364" s="1605" t="s">
        <v>986</v>
      </c>
      <c r="EU364" s="1605" t="s">
        <v>986</v>
      </c>
      <c r="EV364" s="1605" t="s">
        <v>986</v>
      </c>
      <c r="EW364" s="1605" t="s">
        <v>986</v>
      </c>
      <c r="EX364" s="1605" t="s">
        <v>986</v>
      </c>
      <c r="EY364" s="1605" t="s">
        <v>986</v>
      </c>
      <c r="EZ364" s="1605" t="s">
        <v>986</v>
      </c>
      <c r="FA364" s="1605" t="s">
        <v>986</v>
      </c>
      <c r="FB364" s="1605" t="s">
        <v>986</v>
      </c>
      <c r="FC364" s="1605" t="s">
        <v>986</v>
      </c>
      <c r="FD364" s="1605" t="s">
        <v>986</v>
      </c>
      <c r="FE364" s="1605" t="s">
        <v>986</v>
      </c>
      <c r="FF364" s="1605" t="s">
        <v>986</v>
      </c>
      <c r="FG364" s="1605" t="s">
        <v>986</v>
      </c>
      <c r="FH364" s="1605" t="s">
        <v>986</v>
      </c>
      <c r="FI364" s="1605" t="s">
        <v>986</v>
      </c>
      <c r="FJ364" s="1605" t="s">
        <v>986</v>
      </c>
      <c r="FK364" s="1605" t="s">
        <v>986</v>
      </c>
      <c r="FL364" s="1605" t="s">
        <v>986</v>
      </c>
      <c r="FM364" s="1605" t="s">
        <v>986</v>
      </c>
      <c r="FN364" s="1605" t="s">
        <v>986</v>
      </c>
      <c r="FO364" s="1605" t="s">
        <v>986</v>
      </c>
      <c r="FP364" s="1605" t="s">
        <v>986</v>
      </c>
      <c r="FQ364" s="1605" t="s">
        <v>986</v>
      </c>
      <c r="FR364" s="1605" t="s">
        <v>986</v>
      </c>
      <c r="FS364" s="1605" t="s">
        <v>986</v>
      </c>
      <c r="FT364" s="1605" t="s">
        <v>986</v>
      </c>
      <c r="FU364" s="1605" t="s">
        <v>986</v>
      </c>
      <c r="FV364" s="1605" t="s">
        <v>986</v>
      </c>
      <c r="FW364" s="1605" t="s">
        <v>986</v>
      </c>
      <c r="FX364" s="1605" t="s">
        <v>986</v>
      </c>
      <c r="FY364" s="1605" t="s">
        <v>986</v>
      </c>
      <c r="FZ364" s="1605" t="s">
        <v>986</v>
      </c>
      <c r="GA364" s="1605" t="s">
        <v>986</v>
      </c>
      <c r="GB364" s="1605" t="s">
        <v>986</v>
      </c>
      <c r="GC364" s="1605" t="s">
        <v>986</v>
      </c>
      <c r="GD364" s="1605" t="s">
        <v>986</v>
      </c>
      <c r="GE364" s="1605" t="s">
        <v>986</v>
      </c>
      <c r="GF364" s="1605" t="s">
        <v>986</v>
      </c>
      <c r="GG364" s="1605" t="s">
        <v>986</v>
      </c>
      <c r="GH364" s="1605" t="s">
        <v>986</v>
      </c>
      <c r="GI364" s="1605" t="s">
        <v>986</v>
      </c>
      <c r="GJ364" s="1605" t="s">
        <v>986</v>
      </c>
      <c r="GK364" s="1605" t="s">
        <v>986</v>
      </c>
      <c r="GL364" s="1605" t="s">
        <v>986</v>
      </c>
      <c r="GM364" s="1605" t="s">
        <v>986</v>
      </c>
      <c r="GN364" s="1605" t="s">
        <v>986</v>
      </c>
      <c r="GO364" s="1605" t="s">
        <v>986</v>
      </c>
      <c r="GP364" s="1605" t="s">
        <v>986</v>
      </c>
      <c r="GQ364" s="1605" t="s">
        <v>986</v>
      </c>
      <c r="GR364" s="1605" t="s">
        <v>986</v>
      </c>
      <c r="GS364" s="1605" t="s">
        <v>986</v>
      </c>
      <c r="GT364" s="1605" t="s">
        <v>986</v>
      </c>
      <c r="GU364" s="1605" t="s">
        <v>986</v>
      </c>
      <c r="GV364" s="1605" t="s">
        <v>986</v>
      </c>
      <c r="GW364" s="1605" t="s">
        <v>986</v>
      </c>
      <c r="GX364" s="1605" t="s">
        <v>986</v>
      </c>
      <c r="GY364" s="1605" t="s">
        <v>986</v>
      </c>
      <c r="GZ364" s="1605" t="s">
        <v>986</v>
      </c>
      <c r="HA364" s="1605" t="s">
        <v>986</v>
      </c>
      <c r="HB364" s="1605" t="s">
        <v>986</v>
      </c>
      <c r="HC364" s="1605" t="s">
        <v>986</v>
      </c>
      <c r="HD364" s="1605" t="s">
        <v>986</v>
      </c>
      <c r="HE364" s="1605" t="s">
        <v>986</v>
      </c>
      <c r="HF364" s="1605" t="s">
        <v>986</v>
      </c>
      <c r="HG364" s="1605" t="s">
        <v>986</v>
      </c>
      <c r="HH364" s="1605" t="s">
        <v>986</v>
      </c>
      <c r="HI364" s="1605" t="s">
        <v>986</v>
      </c>
      <c r="HJ364" s="1605" t="s">
        <v>986</v>
      </c>
      <c r="HK364" s="1605" t="s">
        <v>986</v>
      </c>
      <c r="HL364" s="1605" t="s">
        <v>986</v>
      </c>
      <c r="HM364" s="1605" t="s">
        <v>986</v>
      </c>
      <c r="HN364" s="1605" t="s">
        <v>986</v>
      </c>
      <c r="HO364" s="1605" t="s">
        <v>986</v>
      </c>
      <c r="HP364" s="1605" t="s">
        <v>986</v>
      </c>
      <c r="HQ364" s="1605" t="s">
        <v>986</v>
      </c>
      <c r="HR364" s="1605" t="s">
        <v>986</v>
      </c>
      <c r="HS364" s="1605" t="s">
        <v>986</v>
      </c>
      <c r="HT364" s="1605" t="s">
        <v>986</v>
      </c>
      <c r="HU364" s="1605" t="s">
        <v>986</v>
      </c>
      <c r="HV364" s="1617"/>
      <c r="HW364" s="1617" t="s">
        <v>986</v>
      </c>
      <c r="HX364" s="1617" t="s">
        <v>986</v>
      </c>
      <c r="HY364" s="1617" t="s">
        <v>986</v>
      </c>
      <c r="HZ364" s="1603"/>
      <c r="IA364" s="1603"/>
      <c r="IB364" s="1603"/>
      <c r="IC364" s="1603" t="s">
        <v>270</v>
      </c>
      <c r="ID364" s="1603" t="s">
        <v>270</v>
      </c>
      <c r="IE364" s="1603" t="s">
        <v>270</v>
      </c>
      <c r="IF364" s="1603" t="s">
        <v>270</v>
      </c>
      <c r="IG364" s="1611" t="s">
        <v>270</v>
      </c>
      <c r="IH364" s="1616" t="s">
        <v>270</v>
      </c>
      <c r="II364" s="1615" t="s">
        <v>270</v>
      </c>
      <c r="IJ364" s="1613" t="s">
        <v>270</v>
      </c>
      <c r="IK364" s="1613" t="s">
        <v>270</v>
      </c>
      <c r="IL364" s="1614" t="s">
        <v>270</v>
      </c>
      <c r="IM364" s="1614" t="s">
        <v>270</v>
      </c>
      <c r="IN364" s="1612" t="s">
        <v>270</v>
      </c>
      <c r="IO364" s="1613" t="s">
        <v>270</v>
      </c>
      <c r="IP364" s="1607" t="s">
        <v>270</v>
      </c>
      <c r="IQ364" s="1612" t="s">
        <v>270</v>
      </c>
      <c r="IR364" s="1612" t="s">
        <v>270</v>
      </c>
      <c r="IS364" s="1607" t="s">
        <v>270</v>
      </c>
      <c r="IT364" s="1607" t="s">
        <v>270</v>
      </c>
      <c r="IU364" s="1611" t="s">
        <v>270</v>
      </c>
      <c r="IV364" s="1611" t="s">
        <v>270</v>
      </c>
      <c r="IW364" s="1611" t="s">
        <v>270</v>
      </c>
      <c r="IX364" s="1611" t="s">
        <v>270</v>
      </c>
      <c r="IY364" s="1611" t="s">
        <v>270</v>
      </c>
      <c r="IZ364" s="1611" t="s">
        <v>270</v>
      </c>
      <c r="JA364" s="1611" t="s">
        <v>270</v>
      </c>
      <c r="JB364" s="1611" t="s">
        <v>270</v>
      </c>
      <c r="JC364" s="1611" t="s">
        <v>270</v>
      </c>
      <c r="JD364" s="1611" t="s">
        <v>270</v>
      </c>
      <c r="JE364" s="1611" t="s">
        <v>270</v>
      </c>
      <c r="JF364" s="1611" t="s">
        <v>270</v>
      </c>
      <c r="JG364" s="1611" t="s">
        <v>270</v>
      </c>
      <c r="JH364" s="1611" t="s">
        <v>270</v>
      </c>
      <c r="JI364" s="1611" t="s">
        <v>270</v>
      </c>
      <c r="JJ364" s="1611" t="s">
        <v>270</v>
      </c>
      <c r="JK364" s="1607" t="str">
        <f t="shared" si="14"/>
        <v/>
      </c>
      <c r="JL364" s="1608" t="s">
        <v>270</v>
      </c>
      <c r="JM364" s="1610" t="s">
        <v>270</v>
      </c>
      <c r="JN364" s="1608" t="s">
        <v>270</v>
      </c>
      <c r="JO364" s="1609" t="s">
        <v>270</v>
      </c>
      <c r="JP364" s="1608" t="s">
        <v>270</v>
      </c>
      <c r="JQ364" s="1607" t="s">
        <v>270</v>
      </c>
      <c r="JR364" s="1606" t="s">
        <v>270</v>
      </c>
      <c r="JS364" s="1606" t="s">
        <v>270</v>
      </c>
      <c r="JT364" s="1606" t="s">
        <v>270</v>
      </c>
    </row>
    <row r="365" spans="1:280" ht="15" customHeight="1" x14ac:dyDescent="0.2">
      <c r="A365" s="1626" t="s">
        <v>270</v>
      </c>
      <c r="B365" s="1625" t="s">
        <v>270</v>
      </c>
      <c r="C365" s="1624" t="s">
        <v>270</v>
      </c>
      <c r="D365" s="1623" t="s">
        <v>270</v>
      </c>
      <c r="E365" s="1622" t="s">
        <v>270</v>
      </c>
      <c r="F365" s="1620" t="s">
        <v>270</v>
      </c>
      <c r="G365" s="1620" t="s">
        <v>270</v>
      </c>
      <c r="H365" s="1621" t="s">
        <v>270</v>
      </c>
      <c r="I365" s="1621" t="s">
        <v>270</v>
      </c>
      <c r="J365" s="1621" t="s">
        <v>270</v>
      </c>
      <c r="K365" s="1620" t="s">
        <v>270</v>
      </c>
      <c r="L365" s="1620" t="s">
        <v>270</v>
      </c>
      <c r="M365" s="1620" t="s">
        <v>270</v>
      </c>
      <c r="N365" s="1620" t="s">
        <v>270</v>
      </c>
      <c r="O365" s="1620" t="s">
        <v>270</v>
      </c>
      <c r="P365" s="1620" t="s">
        <v>270</v>
      </c>
      <c r="Q365" s="1603"/>
      <c r="R365" s="1620" t="s">
        <v>270</v>
      </c>
      <c r="S365" s="1620" t="s">
        <v>270</v>
      </c>
      <c r="T365" s="1620" t="s">
        <v>270</v>
      </c>
      <c r="U365" s="1620" t="s">
        <v>270</v>
      </c>
      <c r="V365" s="1620" t="s">
        <v>270</v>
      </c>
      <c r="W365" s="1620" t="s">
        <v>270</v>
      </c>
      <c r="X365" s="1620"/>
      <c r="Y365" s="1620" t="s">
        <v>270</v>
      </c>
      <c r="Z365" s="1620" t="s">
        <v>270</v>
      </c>
      <c r="AA365" s="1620" t="s">
        <v>270</v>
      </c>
      <c r="AB365" s="1620" t="s">
        <v>270</v>
      </c>
      <c r="AC365" s="1620" t="s">
        <v>270</v>
      </c>
      <c r="AD365" s="1620" t="s">
        <v>270</v>
      </c>
      <c r="AE365" s="1620" t="s">
        <v>270</v>
      </c>
      <c r="AF365" s="1620" t="s">
        <v>270</v>
      </c>
      <c r="AG365" s="1620" t="s">
        <v>270</v>
      </c>
      <c r="AH365" s="1620" t="s">
        <v>270</v>
      </c>
      <c r="AI365" s="1620" t="s">
        <v>270</v>
      </c>
      <c r="AJ365" s="1620" t="s">
        <v>270</v>
      </c>
      <c r="AK365" s="1620" t="s">
        <v>270</v>
      </c>
      <c r="AL365" s="1620"/>
      <c r="AM365" s="1620" t="s">
        <v>270</v>
      </c>
      <c r="AN365" s="1620" t="s">
        <v>270</v>
      </c>
      <c r="AO365" s="1620" t="s">
        <v>270</v>
      </c>
      <c r="AP365" s="1620" t="s">
        <v>270</v>
      </c>
      <c r="AQ365" s="1620" t="s">
        <v>270</v>
      </c>
      <c r="AR365" s="1620" t="s">
        <v>270</v>
      </c>
      <c r="AS365" s="1620" t="s">
        <v>270</v>
      </c>
      <c r="AT365" s="1620" t="s">
        <v>270</v>
      </c>
      <c r="AU365" s="1620" t="s">
        <v>270</v>
      </c>
      <c r="AV365" s="1620" t="s">
        <v>270</v>
      </c>
      <c r="AW365" s="1620" t="s">
        <v>270</v>
      </c>
      <c r="AX365" s="1620"/>
      <c r="AY365" s="1620" t="s">
        <v>986</v>
      </c>
      <c r="AZ365" s="1620" t="s">
        <v>986</v>
      </c>
      <c r="BA365" s="1620" t="s">
        <v>986</v>
      </c>
      <c r="BB365" s="1620" t="s">
        <v>986</v>
      </c>
      <c r="BC365" s="1620" t="s">
        <v>986</v>
      </c>
      <c r="BD365" s="1620" t="s">
        <v>986</v>
      </c>
      <c r="BE365" s="1620" t="s">
        <v>986</v>
      </c>
      <c r="BF365" s="1620" t="s">
        <v>986</v>
      </c>
      <c r="BG365" s="1620" t="s">
        <v>986</v>
      </c>
      <c r="BH365" s="1620" t="s">
        <v>986</v>
      </c>
      <c r="BI365" s="1620" t="s">
        <v>986</v>
      </c>
      <c r="BJ365" s="1603"/>
      <c r="BK365" s="1620" t="s">
        <v>270</v>
      </c>
      <c r="BL365" s="1620" t="s">
        <v>270</v>
      </c>
      <c r="BM365" s="1620" t="s">
        <v>270</v>
      </c>
      <c r="BN365" s="1620" t="s">
        <v>270</v>
      </c>
      <c r="BO365" s="1620"/>
      <c r="BP365" s="1620" t="s">
        <v>270</v>
      </c>
      <c r="BQ365" s="1620" t="s">
        <v>270</v>
      </c>
      <c r="BR365" s="1620" t="s">
        <v>270</v>
      </c>
      <c r="BS365" s="1620" t="s">
        <v>270</v>
      </c>
      <c r="BT365" s="1603"/>
      <c r="BU365" s="1620" t="s">
        <v>270</v>
      </c>
      <c r="BV365" s="1620" t="s">
        <v>270</v>
      </c>
      <c r="BW365" s="1620" t="s">
        <v>270</v>
      </c>
      <c r="BX365" s="1620" t="s">
        <v>270</v>
      </c>
      <c r="BY365" s="1620" t="s">
        <v>270</v>
      </c>
      <c r="BZ365" s="1620" t="s">
        <v>270</v>
      </c>
      <c r="CA365" s="1620" t="s">
        <v>270</v>
      </c>
      <c r="CB365" s="1603"/>
      <c r="CC365" s="1603" t="s">
        <v>270</v>
      </c>
      <c r="CD365" s="1603" t="s">
        <v>270</v>
      </c>
      <c r="CE365" s="1603" t="s">
        <v>270</v>
      </c>
      <c r="CF365" s="1603" t="s">
        <v>270</v>
      </c>
      <c r="CG365" s="1603" t="s">
        <v>270</v>
      </c>
      <c r="CH365" s="1603" t="s">
        <v>270</v>
      </c>
      <c r="CI365" s="1603" t="s">
        <v>270</v>
      </c>
      <c r="CJ365" s="1603"/>
      <c r="CK365" s="1603" t="s">
        <v>270</v>
      </c>
      <c r="CL365" s="1603" t="s">
        <v>270</v>
      </c>
      <c r="CM365" s="1603" t="s">
        <v>270</v>
      </c>
      <c r="CN365" s="1603" t="s">
        <v>270</v>
      </c>
      <c r="CO365" s="1603" t="s">
        <v>270</v>
      </c>
      <c r="CP365" s="1603" t="s">
        <v>270</v>
      </c>
      <c r="CQ365" s="1603" t="s">
        <v>270</v>
      </c>
      <c r="CR365" s="1603" t="s">
        <v>270</v>
      </c>
      <c r="CS365" s="1603" t="s">
        <v>270</v>
      </c>
      <c r="CT365" s="1603" t="s">
        <v>270</v>
      </c>
      <c r="CU365" s="1603" t="s">
        <v>270</v>
      </c>
      <c r="CV365" s="1603" t="s">
        <v>270</v>
      </c>
      <c r="CW365" s="1603" t="s">
        <v>270</v>
      </c>
      <c r="CX365" s="1603" t="s">
        <v>270</v>
      </c>
      <c r="CY365" s="1603" t="s">
        <v>270</v>
      </c>
      <c r="CZ365" s="1603" t="s">
        <v>270</v>
      </c>
      <c r="DA365" s="1603" t="s">
        <v>270</v>
      </c>
      <c r="DB365" s="1603" t="s">
        <v>270</v>
      </c>
      <c r="DC365" s="1603" t="s">
        <v>270</v>
      </c>
      <c r="DD365" s="1603" t="s">
        <v>270</v>
      </c>
      <c r="DE365" s="1603" t="s">
        <v>270</v>
      </c>
      <c r="DF365" s="1603" t="s">
        <v>270</v>
      </c>
      <c r="DG365" s="1603" t="s">
        <v>270</v>
      </c>
      <c r="DH365" s="1619" t="s">
        <v>270</v>
      </c>
      <c r="DI365" s="1603" t="s">
        <v>270</v>
      </c>
      <c r="DJ365" s="1603" t="s">
        <v>270</v>
      </c>
      <c r="DK365" s="1603" t="s">
        <v>270</v>
      </c>
      <c r="DL365" s="1603" t="s">
        <v>270</v>
      </c>
      <c r="DM365" s="1603" t="s">
        <v>270</v>
      </c>
      <c r="DN365" s="1603" t="s">
        <v>270</v>
      </c>
      <c r="DO365" s="1603" t="s">
        <v>270</v>
      </c>
      <c r="DP365" s="1603" t="s">
        <v>270</v>
      </c>
      <c r="DQ365" s="1603" t="s">
        <v>270</v>
      </c>
      <c r="DR365" s="1603" t="s">
        <v>270</v>
      </c>
      <c r="DS365" s="1603" t="s">
        <v>270</v>
      </c>
      <c r="DT365" s="1603" t="s">
        <v>270</v>
      </c>
      <c r="DU365" s="1603" t="s">
        <v>270</v>
      </c>
      <c r="DV365" s="1603" t="s">
        <v>270</v>
      </c>
      <c r="DW365" s="1618" t="s">
        <v>986</v>
      </c>
      <c r="DX365" s="1605" t="s">
        <v>986</v>
      </c>
      <c r="DY365" s="1605" t="s">
        <v>986</v>
      </c>
      <c r="DZ365" s="1605" t="s">
        <v>986</v>
      </c>
      <c r="EA365" s="1605" t="s">
        <v>986</v>
      </c>
      <c r="EB365" s="1605" t="s">
        <v>986</v>
      </c>
      <c r="EC365" s="1605" t="s">
        <v>986</v>
      </c>
      <c r="ED365" s="1605" t="s">
        <v>986</v>
      </c>
      <c r="EE365" s="1605" t="s">
        <v>986</v>
      </c>
      <c r="EF365" s="1605" t="s">
        <v>986</v>
      </c>
      <c r="EG365" s="1605" t="s">
        <v>986</v>
      </c>
      <c r="EH365" s="1605" t="s">
        <v>986</v>
      </c>
      <c r="EI365" s="1605" t="s">
        <v>986</v>
      </c>
      <c r="EJ365" s="1605" t="s">
        <v>986</v>
      </c>
      <c r="EK365" s="1605" t="s">
        <v>986</v>
      </c>
      <c r="EL365" s="1605" t="s">
        <v>986</v>
      </c>
      <c r="EM365" s="1605" t="s">
        <v>986</v>
      </c>
      <c r="EN365" s="1605" t="s">
        <v>986</v>
      </c>
      <c r="EO365" s="1605" t="s">
        <v>986</v>
      </c>
      <c r="EP365" s="1605" t="s">
        <v>986</v>
      </c>
      <c r="EQ365" s="1605" t="s">
        <v>986</v>
      </c>
      <c r="ER365" s="1605" t="s">
        <v>986</v>
      </c>
      <c r="ES365" s="1605" t="s">
        <v>986</v>
      </c>
      <c r="ET365" s="1605" t="s">
        <v>986</v>
      </c>
      <c r="EU365" s="1605" t="s">
        <v>986</v>
      </c>
      <c r="EV365" s="1605" t="s">
        <v>986</v>
      </c>
      <c r="EW365" s="1605" t="s">
        <v>986</v>
      </c>
      <c r="EX365" s="1605" t="s">
        <v>986</v>
      </c>
      <c r="EY365" s="1605" t="s">
        <v>986</v>
      </c>
      <c r="EZ365" s="1605" t="s">
        <v>986</v>
      </c>
      <c r="FA365" s="1605" t="s">
        <v>986</v>
      </c>
      <c r="FB365" s="1605" t="s">
        <v>986</v>
      </c>
      <c r="FC365" s="1605" t="s">
        <v>986</v>
      </c>
      <c r="FD365" s="1605" t="s">
        <v>986</v>
      </c>
      <c r="FE365" s="1605" t="s">
        <v>986</v>
      </c>
      <c r="FF365" s="1605" t="s">
        <v>986</v>
      </c>
      <c r="FG365" s="1605" t="s">
        <v>986</v>
      </c>
      <c r="FH365" s="1605" t="s">
        <v>986</v>
      </c>
      <c r="FI365" s="1605" t="s">
        <v>986</v>
      </c>
      <c r="FJ365" s="1605" t="s">
        <v>986</v>
      </c>
      <c r="FK365" s="1605" t="s">
        <v>986</v>
      </c>
      <c r="FL365" s="1605" t="s">
        <v>986</v>
      </c>
      <c r="FM365" s="1605" t="s">
        <v>986</v>
      </c>
      <c r="FN365" s="1605" t="s">
        <v>986</v>
      </c>
      <c r="FO365" s="1605" t="s">
        <v>986</v>
      </c>
      <c r="FP365" s="1605" t="s">
        <v>986</v>
      </c>
      <c r="FQ365" s="1605" t="s">
        <v>986</v>
      </c>
      <c r="FR365" s="1605" t="s">
        <v>986</v>
      </c>
      <c r="FS365" s="1605" t="s">
        <v>986</v>
      </c>
      <c r="FT365" s="1605" t="s">
        <v>986</v>
      </c>
      <c r="FU365" s="1605" t="s">
        <v>986</v>
      </c>
      <c r="FV365" s="1605" t="s">
        <v>986</v>
      </c>
      <c r="FW365" s="1605" t="s">
        <v>986</v>
      </c>
      <c r="FX365" s="1605" t="s">
        <v>986</v>
      </c>
      <c r="FY365" s="1605" t="s">
        <v>986</v>
      </c>
      <c r="FZ365" s="1605" t="s">
        <v>986</v>
      </c>
      <c r="GA365" s="1605" t="s">
        <v>986</v>
      </c>
      <c r="GB365" s="1605" t="s">
        <v>986</v>
      </c>
      <c r="GC365" s="1605" t="s">
        <v>986</v>
      </c>
      <c r="GD365" s="1605" t="s">
        <v>986</v>
      </c>
      <c r="GE365" s="1605" t="s">
        <v>986</v>
      </c>
      <c r="GF365" s="1605" t="s">
        <v>986</v>
      </c>
      <c r="GG365" s="1605" t="s">
        <v>986</v>
      </c>
      <c r="GH365" s="1605" t="s">
        <v>986</v>
      </c>
      <c r="GI365" s="1605" t="s">
        <v>986</v>
      </c>
      <c r="GJ365" s="1605" t="s">
        <v>986</v>
      </c>
      <c r="GK365" s="1605" t="s">
        <v>986</v>
      </c>
      <c r="GL365" s="1605" t="s">
        <v>986</v>
      </c>
      <c r="GM365" s="1605" t="s">
        <v>986</v>
      </c>
      <c r="GN365" s="1605" t="s">
        <v>986</v>
      </c>
      <c r="GO365" s="1605" t="s">
        <v>986</v>
      </c>
      <c r="GP365" s="1605" t="s">
        <v>986</v>
      </c>
      <c r="GQ365" s="1605" t="s">
        <v>986</v>
      </c>
      <c r="GR365" s="1605" t="s">
        <v>986</v>
      </c>
      <c r="GS365" s="1605" t="s">
        <v>986</v>
      </c>
      <c r="GT365" s="1605" t="s">
        <v>986</v>
      </c>
      <c r="GU365" s="1605" t="s">
        <v>986</v>
      </c>
      <c r="GV365" s="1605" t="s">
        <v>986</v>
      </c>
      <c r="GW365" s="1605" t="s">
        <v>986</v>
      </c>
      <c r="GX365" s="1605" t="s">
        <v>986</v>
      </c>
      <c r="GY365" s="1605" t="s">
        <v>986</v>
      </c>
      <c r="GZ365" s="1605" t="s">
        <v>986</v>
      </c>
      <c r="HA365" s="1605" t="s">
        <v>986</v>
      </c>
      <c r="HB365" s="1605" t="s">
        <v>986</v>
      </c>
      <c r="HC365" s="1605" t="s">
        <v>986</v>
      </c>
      <c r="HD365" s="1605" t="s">
        <v>986</v>
      </c>
      <c r="HE365" s="1605" t="s">
        <v>986</v>
      </c>
      <c r="HF365" s="1605" t="s">
        <v>986</v>
      </c>
      <c r="HG365" s="1605" t="s">
        <v>986</v>
      </c>
      <c r="HH365" s="1605" t="s">
        <v>986</v>
      </c>
      <c r="HI365" s="1605" t="s">
        <v>986</v>
      </c>
      <c r="HJ365" s="1605" t="s">
        <v>986</v>
      </c>
      <c r="HK365" s="1605" t="s">
        <v>986</v>
      </c>
      <c r="HL365" s="1605" t="s">
        <v>986</v>
      </c>
      <c r="HM365" s="1605" t="s">
        <v>986</v>
      </c>
      <c r="HN365" s="1605" t="s">
        <v>986</v>
      </c>
      <c r="HO365" s="1605" t="s">
        <v>986</v>
      </c>
      <c r="HP365" s="1605" t="s">
        <v>986</v>
      </c>
      <c r="HQ365" s="1605" t="s">
        <v>986</v>
      </c>
      <c r="HR365" s="1605" t="s">
        <v>986</v>
      </c>
      <c r="HS365" s="1605" t="s">
        <v>986</v>
      </c>
      <c r="HT365" s="1605" t="s">
        <v>986</v>
      </c>
      <c r="HU365" s="1605" t="s">
        <v>986</v>
      </c>
      <c r="HV365" s="1617"/>
      <c r="HW365" s="1617" t="s">
        <v>986</v>
      </c>
      <c r="HX365" s="1617" t="s">
        <v>986</v>
      </c>
      <c r="HY365" s="1617" t="s">
        <v>986</v>
      </c>
      <c r="HZ365" s="1603"/>
      <c r="IA365" s="1603"/>
      <c r="IB365" s="1603"/>
      <c r="IC365" s="1603" t="s">
        <v>270</v>
      </c>
      <c r="ID365" s="1603" t="s">
        <v>270</v>
      </c>
      <c r="IE365" s="1603" t="s">
        <v>270</v>
      </c>
      <c r="IF365" s="1603" t="s">
        <v>270</v>
      </c>
      <c r="IG365" s="1611" t="s">
        <v>270</v>
      </c>
      <c r="IH365" s="1616" t="s">
        <v>270</v>
      </c>
      <c r="II365" s="1615" t="s">
        <v>270</v>
      </c>
      <c r="IJ365" s="1613" t="s">
        <v>270</v>
      </c>
      <c r="IK365" s="1613" t="s">
        <v>270</v>
      </c>
      <c r="IL365" s="1614" t="s">
        <v>270</v>
      </c>
      <c r="IM365" s="1614" t="s">
        <v>270</v>
      </c>
      <c r="IN365" s="1612" t="s">
        <v>270</v>
      </c>
      <c r="IO365" s="1613" t="s">
        <v>270</v>
      </c>
      <c r="IP365" s="1607" t="s">
        <v>270</v>
      </c>
      <c r="IQ365" s="1612" t="s">
        <v>270</v>
      </c>
      <c r="IR365" s="1612" t="s">
        <v>270</v>
      </c>
      <c r="IS365" s="1607" t="s">
        <v>270</v>
      </c>
      <c r="IT365" s="1607" t="s">
        <v>270</v>
      </c>
      <c r="IU365" s="1611" t="s">
        <v>270</v>
      </c>
      <c r="IV365" s="1611" t="s">
        <v>270</v>
      </c>
      <c r="IW365" s="1611" t="s">
        <v>270</v>
      </c>
      <c r="IX365" s="1611" t="s">
        <v>270</v>
      </c>
      <c r="IY365" s="1611" t="s">
        <v>270</v>
      </c>
      <c r="IZ365" s="1611" t="s">
        <v>270</v>
      </c>
      <c r="JA365" s="1611" t="s">
        <v>270</v>
      </c>
      <c r="JB365" s="1611" t="s">
        <v>270</v>
      </c>
      <c r="JC365" s="1611" t="s">
        <v>270</v>
      </c>
      <c r="JD365" s="1611" t="s">
        <v>270</v>
      </c>
      <c r="JE365" s="1611" t="s">
        <v>270</v>
      </c>
      <c r="JF365" s="1611" t="s">
        <v>270</v>
      </c>
      <c r="JG365" s="1611" t="s">
        <v>270</v>
      </c>
      <c r="JH365" s="1611" t="s">
        <v>270</v>
      </c>
      <c r="JI365" s="1611" t="s">
        <v>270</v>
      </c>
      <c r="JJ365" s="1611" t="s">
        <v>270</v>
      </c>
      <c r="JK365" s="1607" t="str">
        <f t="shared" si="14"/>
        <v/>
      </c>
      <c r="JL365" s="1608" t="s">
        <v>270</v>
      </c>
      <c r="JM365" s="1610" t="s">
        <v>270</v>
      </c>
      <c r="JN365" s="1608" t="s">
        <v>270</v>
      </c>
      <c r="JO365" s="1609" t="s">
        <v>270</v>
      </c>
      <c r="JP365" s="1608" t="s">
        <v>270</v>
      </c>
      <c r="JQ365" s="1607" t="s">
        <v>270</v>
      </c>
      <c r="JR365" s="1606" t="s">
        <v>270</v>
      </c>
      <c r="JS365" s="1606" t="s">
        <v>270</v>
      </c>
      <c r="JT365" s="1606" t="s">
        <v>270</v>
      </c>
    </row>
    <row r="366" spans="1:280" ht="15" customHeight="1" x14ac:dyDescent="0.2">
      <c r="A366" s="1626" t="s">
        <v>270</v>
      </c>
      <c r="B366" s="1625" t="s">
        <v>270</v>
      </c>
      <c r="C366" s="1624" t="s">
        <v>270</v>
      </c>
      <c r="D366" s="1623" t="s">
        <v>270</v>
      </c>
      <c r="E366" s="1622" t="s">
        <v>270</v>
      </c>
      <c r="F366" s="1620" t="s">
        <v>270</v>
      </c>
      <c r="G366" s="1620" t="s">
        <v>270</v>
      </c>
      <c r="H366" s="1621" t="s">
        <v>270</v>
      </c>
      <c r="I366" s="1621" t="s">
        <v>270</v>
      </c>
      <c r="J366" s="1621" t="s">
        <v>270</v>
      </c>
      <c r="K366" s="1620" t="s">
        <v>270</v>
      </c>
      <c r="L366" s="1620" t="s">
        <v>270</v>
      </c>
      <c r="M366" s="1620" t="s">
        <v>270</v>
      </c>
      <c r="N366" s="1620" t="s">
        <v>270</v>
      </c>
      <c r="O366" s="1620" t="s">
        <v>270</v>
      </c>
      <c r="P366" s="1620" t="s">
        <v>270</v>
      </c>
      <c r="Q366" s="1603"/>
      <c r="R366" s="1620" t="s">
        <v>270</v>
      </c>
      <c r="S366" s="1620" t="s">
        <v>270</v>
      </c>
      <c r="T366" s="1620" t="s">
        <v>270</v>
      </c>
      <c r="U366" s="1620" t="s">
        <v>270</v>
      </c>
      <c r="V366" s="1620" t="s">
        <v>270</v>
      </c>
      <c r="W366" s="1620" t="s">
        <v>270</v>
      </c>
      <c r="X366" s="1620"/>
      <c r="Y366" s="1620" t="s">
        <v>270</v>
      </c>
      <c r="Z366" s="1620" t="s">
        <v>270</v>
      </c>
      <c r="AA366" s="1620" t="s">
        <v>270</v>
      </c>
      <c r="AB366" s="1620" t="s">
        <v>270</v>
      </c>
      <c r="AC366" s="1620" t="s">
        <v>270</v>
      </c>
      <c r="AD366" s="1620" t="s">
        <v>270</v>
      </c>
      <c r="AE366" s="1620" t="s">
        <v>270</v>
      </c>
      <c r="AF366" s="1620" t="s">
        <v>270</v>
      </c>
      <c r="AG366" s="1620" t="s">
        <v>270</v>
      </c>
      <c r="AH366" s="1620" t="s">
        <v>270</v>
      </c>
      <c r="AI366" s="1620" t="s">
        <v>270</v>
      </c>
      <c r="AJ366" s="1620" t="s">
        <v>270</v>
      </c>
      <c r="AK366" s="1620" t="s">
        <v>270</v>
      </c>
      <c r="AL366" s="1620"/>
      <c r="AM366" s="1620" t="s">
        <v>270</v>
      </c>
      <c r="AN366" s="1620" t="s">
        <v>270</v>
      </c>
      <c r="AO366" s="1620" t="s">
        <v>270</v>
      </c>
      <c r="AP366" s="1620" t="s">
        <v>270</v>
      </c>
      <c r="AQ366" s="1620" t="s">
        <v>270</v>
      </c>
      <c r="AR366" s="1620" t="s">
        <v>270</v>
      </c>
      <c r="AS366" s="1620" t="s">
        <v>270</v>
      </c>
      <c r="AT366" s="1620" t="s">
        <v>270</v>
      </c>
      <c r="AU366" s="1620" t="s">
        <v>270</v>
      </c>
      <c r="AV366" s="1620" t="s">
        <v>270</v>
      </c>
      <c r="AW366" s="1620" t="s">
        <v>270</v>
      </c>
      <c r="AX366" s="1620"/>
      <c r="AY366" s="1620" t="s">
        <v>986</v>
      </c>
      <c r="AZ366" s="1620" t="s">
        <v>986</v>
      </c>
      <c r="BA366" s="1620" t="s">
        <v>986</v>
      </c>
      <c r="BB366" s="1620" t="s">
        <v>986</v>
      </c>
      <c r="BC366" s="1620" t="s">
        <v>986</v>
      </c>
      <c r="BD366" s="1620" t="s">
        <v>986</v>
      </c>
      <c r="BE366" s="1620" t="s">
        <v>986</v>
      </c>
      <c r="BF366" s="1620" t="s">
        <v>986</v>
      </c>
      <c r="BG366" s="1620" t="s">
        <v>986</v>
      </c>
      <c r="BH366" s="1620" t="s">
        <v>986</v>
      </c>
      <c r="BI366" s="1620" t="s">
        <v>986</v>
      </c>
      <c r="BJ366" s="1603"/>
      <c r="BK366" s="1620" t="s">
        <v>270</v>
      </c>
      <c r="BL366" s="1620" t="s">
        <v>270</v>
      </c>
      <c r="BM366" s="1620" t="s">
        <v>270</v>
      </c>
      <c r="BN366" s="1620" t="s">
        <v>270</v>
      </c>
      <c r="BO366" s="1620"/>
      <c r="BP366" s="1620" t="s">
        <v>270</v>
      </c>
      <c r="BQ366" s="1620" t="s">
        <v>270</v>
      </c>
      <c r="BR366" s="1620" t="s">
        <v>270</v>
      </c>
      <c r="BS366" s="1620" t="s">
        <v>270</v>
      </c>
      <c r="BT366" s="1603"/>
      <c r="BU366" s="1620" t="s">
        <v>270</v>
      </c>
      <c r="BV366" s="1620" t="s">
        <v>270</v>
      </c>
      <c r="BW366" s="1620" t="s">
        <v>270</v>
      </c>
      <c r="BX366" s="1620" t="s">
        <v>270</v>
      </c>
      <c r="BY366" s="1620" t="s">
        <v>270</v>
      </c>
      <c r="BZ366" s="1620" t="s">
        <v>270</v>
      </c>
      <c r="CA366" s="1620" t="s">
        <v>270</v>
      </c>
      <c r="CB366" s="1603"/>
      <c r="CC366" s="1603" t="s">
        <v>270</v>
      </c>
      <c r="CD366" s="1603" t="s">
        <v>270</v>
      </c>
      <c r="CE366" s="1603" t="s">
        <v>270</v>
      </c>
      <c r="CF366" s="1603" t="s">
        <v>270</v>
      </c>
      <c r="CG366" s="1603" t="s">
        <v>270</v>
      </c>
      <c r="CH366" s="1603" t="s">
        <v>270</v>
      </c>
      <c r="CI366" s="1603" t="s">
        <v>270</v>
      </c>
      <c r="CJ366" s="1603"/>
      <c r="CK366" s="1603" t="s">
        <v>270</v>
      </c>
      <c r="CL366" s="1603" t="s">
        <v>270</v>
      </c>
      <c r="CM366" s="1603" t="s">
        <v>270</v>
      </c>
      <c r="CN366" s="1603" t="s">
        <v>270</v>
      </c>
      <c r="CO366" s="1603" t="s">
        <v>270</v>
      </c>
      <c r="CP366" s="1603" t="s">
        <v>270</v>
      </c>
      <c r="CQ366" s="1603" t="s">
        <v>270</v>
      </c>
      <c r="CR366" s="1603" t="s">
        <v>270</v>
      </c>
      <c r="CS366" s="1603" t="s">
        <v>270</v>
      </c>
      <c r="CT366" s="1603" t="s">
        <v>270</v>
      </c>
      <c r="CU366" s="1603" t="s">
        <v>270</v>
      </c>
      <c r="CV366" s="1603" t="s">
        <v>270</v>
      </c>
      <c r="CW366" s="1603" t="s">
        <v>270</v>
      </c>
      <c r="CX366" s="1603" t="s">
        <v>270</v>
      </c>
      <c r="CY366" s="1603" t="s">
        <v>270</v>
      </c>
      <c r="CZ366" s="1603" t="s">
        <v>270</v>
      </c>
      <c r="DA366" s="1603" t="s">
        <v>270</v>
      </c>
      <c r="DB366" s="1603" t="s">
        <v>270</v>
      </c>
      <c r="DC366" s="1603" t="s">
        <v>270</v>
      </c>
      <c r="DD366" s="1603" t="s">
        <v>270</v>
      </c>
      <c r="DE366" s="1603" t="s">
        <v>270</v>
      </c>
      <c r="DF366" s="1603" t="s">
        <v>270</v>
      </c>
      <c r="DG366" s="1603" t="s">
        <v>270</v>
      </c>
      <c r="DH366" s="1619" t="s">
        <v>270</v>
      </c>
      <c r="DI366" s="1603" t="s">
        <v>270</v>
      </c>
      <c r="DJ366" s="1603" t="s">
        <v>270</v>
      </c>
      <c r="DK366" s="1603" t="s">
        <v>270</v>
      </c>
      <c r="DL366" s="1603" t="s">
        <v>270</v>
      </c>
      <c r="DM366" s="1603" t="s">
        <v>270</v>
      </c>
      <c r="DN366" s="1603" t="s">
        <v>270</v>
      </c>
      <c r="DO366" s="1603" t="s">
        <v>270</v>
      </c>
      <c r="DP366" s="1603" t="s">
        <v>270</v>
      </c>
      <c r="DQ366" s="1603" t="s">
        <v>270</v>
      </c>
      <c r="DR366" s="1603" t="s">
        <v>270</v>
      </c>
      <c r="DS366" s="1603" t="s">
        <v>270</v>
      </c>
      <c r="DT366" s="1603" t="s">
        <v>270</v>
      </c>
      <c r="DU366" s="1603" t="s">
        <v>270</v>
      </c>
      <c r="DV366" s="1603" t="s">
        <v>270</v>
      </c>
      <c r="DW366" s="1618" t="s">
        <v>986</v>
      </c>
      <c r="DX366" s="1605" t="s">
        <v>986</v>
      </c>
      <c r="DY366" s="1605" t="s">
        <v>986</v>
      </c>
      <c r="DZ366" s="1605" t="s">
        <v>986</v>
      </c>
      <c r="EA366" s="1605" t="s">
        <v>986</v>
      </c>
      <c r="EB366" s="1605" t="s">
        <v>986</v>
      </c>
      <c r="EC366" s="1605" t="s">
        <v>986</v>
      </c>
      <c r="ED366" s="1605" t="s">
        <v>986</v>
      </c>
      <c r="EE366" s="1605" t="s">
        <v>986</v>
      </c>
      <c r="EF366" s="1605" t="s">
        <v>986</v>
      </c>
      <c r="EG366" s="1605" t="s">
        <v>986</v>
      </c>
      <c r="EH366" s="1605" t="s">
        <v>986</v>
      </c>
      <c r="EI366" s="1605" t="s">
        <v>986</v>
      </c>
      <c r="EJ366" s="1605" t="s">
        <v>986</v>
      </c>
      <c r="EK366" s="1605" t="s">
        <v>986</v>
      </c>
      <c r="EL366" s="1605" t="s">
        <v>986</v>
      </c>
      <c r="EM366" s="1605" t="s">
        <v>986</v>
      </c>
      <c r="EN366" s="1605" t="s">
        <v>986</v>
      </c>
      <c r="EO366" s="1605" t="s">
        <v>986</v>
      </c>
      <c r="EP366" s="1605" t="s">
        <v>986</v>
      </c>
      <c r="EQ366" s="1605" t="s">
        <v>986</v>
      </c>
      <c r="ER366" s="1605" t="s">
        <v>986</v>
      </c>
      <c r="ES366" s="1605" t="s">
        <v>986</v>
      </c>
      <c r="ET366" s="1605" t="s">
        <v>986</v>
      </c>
      <c r="EU366" s="1605" t="s">
        <v>986</v>
      </c>
      <c r="EV366" s="1605" t="s">
        <v>986</v>
      </c>
      <c r="EW366" s="1605" t="s">
        <v>986</v>
      </c>
      <c r="EX366" s="1605" t="s">
        <v>986</v>
      </c>
      <c r="EY366" s="1605" t="s">
        <v>986</v>
      </c>
      <c r="EZ366" s="1605" t="s">
        <v>986</v>
      </c>
      <c r="FA366" s="1605" t="s">
        <v>986</v>
      </c>
      <c r="FB366" s="1605" t="s">
        <v>986</v>
      </c>
      <c r="FC366" s="1605" t="s">
        <v>986</v>
      </c>
      <c r="FD366" s="1605" t="s">
        <v>986</v>
      </c>
      <c r="FE366" s="1605" t="s">
        <v>986</v>
      </c>
      <c r="FF366" s="1605" t="s">
        <v>986</v>
      </c>
      <c r="FG366" s="1605" t="s">
        <v>986</v>
      </c>
      <c r="FH366" s="1605" t="s">
        <v>986</v>
      </c>
      <c r="FI366" s="1605" t="s">
        <v>986</v>
      </c>
      <c r="FJ366" s="1605" t="s">
        <v>986</v>
      </c>
      <c r="FK366" s="1605" t="s">
        <v>986</v>
      </c>
      <c r="FL366" s="1605" t="s">
        <v>986</v>
      </c>
      <c r="FM366" s="1605" t="s">
        <v>986</v>
      </c>
      <c r="FN366" s="1605" t="s">
        <v>986</v>
      </c>
      <c r="FO366" s="1605" t="s">
        <v>986</v>
      </c>
      <c r="FP366" s="1605" t="s">
        <v>986</v>
      </c>
      <c r="FQ366" s="1605" t="s">
        <v>986</v>
      </c>
      <c r="FR366" s="1605" t="s">
        <v>986</v>
      </c>
      <c r="FS366" s="1605" t="s">
        <v>986</v>
      </c>
      <c r="FT366" s="1605" t="s">
        <v>986</v>
      </c>
      <c r="FU366" s="1605" t="s">
        <v>986</v>
      </c>
      <c r="FV366" s="1605" t="s">
        <v>986</v>
      </c>
      <c r="FW366" s="1605" t="s">
        <v>986</v>
      </c>
      <c r="FX366" s="1605" t="s">
        <v>986</v>
      </c>
      <c r="FY366" s="1605" t="s">
        <v>986</v>
      </c>
      <c r="FZ366" s="1605" t="s">
        <v>986</v>
      </c>
      <c r="GA366" s="1605" t="s">
        <v>986</v>
      </c>
      <c r="GB366" s="1605" t="s">
        <v>986</v>
      </c>
      <c r="GC366" s="1605" t="s">
        <v>986</v>
      </c>
      <c r="GD366" s="1605" t="s">
        <v>986</v>
      </c>
      <c r="GE366" s="1605" t="s">
        <v>986</v>
      </c>
      <c r="GF366" s="1605" t="s">
        <v>986</v>
      </c>
      <c r="GG366" s="1605" t="s">
        <v>986</v>
      </c>
      <c r="GH366" s="1605" t="s">
        <v>986</v>
      </c>
      <c r="GI366" s="1605" t="s">
        <v>986</v>
      </c>
      <c r="GJ366" s="1605" t="s">
        <v>986</v>
      </c>
      <c r="GK366" s="1605" t="s">
        <v>986</v>
      </c>
      <c r="GL366" s="1605" t="s">
        <v>986</v>
      </c>
      <c r="GM366" s="1605" t="s">
        <v>986</v>
      </c>
      <c r="GN366" s="1605" t="s">
        <v>986</v>
      </c>
      <c r="GO366" s="1605" t="s">
        <v>986</v>
      </c>
      <c r="GP366" s="1605" t="s">
        <v>986</v>
      </c>
      <c r="GQ366" s="1605" t="s">
        <v>986</v>
      </c>
      <c r="GR366" s="1605" t="s">
        <v>986</v>
      </c>
      <c r="GS366" s="1605" t="s">
        <v>986</v>
      </c>
      <c r="GT366" s="1605" t="s">
        <v>986</v>
      </c>
      <c r="GU366" s="1605" t="s">
        <v>986</v>
      </c>
      <c r="GV366" s="1605" t="s">
        <v>986</v>
      </c>
      <c r="GW366" s="1605" t="s">
        <v>986</v>
      </c>
      <c r="GX366" s="1605" t="s">
        <v>986</v>
      </c>
      <c r="GY366" s="1605" t="s">
        <v>986</v>
      </c>
      <c r="GZ366" s="1605" t="s">
        <v>986</v>
      </c>
      <c r="HA366" s="1605" t="s">
        <v>986</v>
      </c>
      <c r="HB366" s="1605" t="s">
        <v>986</v>
      </c>
      <c r="HC366" s="1605" t="s">
        <v>986</v>
      </c>
      <c r="HD366" s="1605" t="s">
        <v>986</v>
      </c>
      <c r="HE366" s="1605" t="s">
        <v>986</v>
      </c>
      <c r="HF366" s="1605" t="s">
        <v>986</v>
      </c>
      <c r="HG366" s="1605" t="s">
        <v>986</v>
      </c>
      <c r="HH366" s="1605" t="s">
        <v>986</v>
      </c>
      <c r="HI366" s="1605" t="s">
        <v>986</v>
      </c>
      <c r="HJ366" s="1605" t="s">
        <v>986</v>
      </c>
      <c r="HK366" s="1605" t="s">
        <v>986</v>
      </c>
      <c r="HL366" s="1605" t="s">
        <v>986</v>
      </c>
      <c r="HM366" s="1605" t="s">
        <v>986</v>
      </c>
      <c r="HN366" s="1605" t="s">
        <v>986</v>
      </c>
      <c r="HO366" s="1605" t="s">
        <v>986</v>
      </c>
      <c r="HP366" s="1605" t="s">
        <v>986</v>
      </c>
      <c r="HQ366" s="1605" t="s">
        <v>986</v>
      </c>
      <c r="HR366" s="1605" t="s">
        <v>986</v>
      </c>
      <c r="HS366" s="1605" t="s">
        <v>986</v>
      </c>
      <c r="HT366" s="1605" t="s">
        <v>986</v>
      </c>
      <c r="HU366" s="1605" t="s">
        <v>986</v>
      </c>
      <c r="HV366" s="1617"/>
      <c r="HW366" s="1617" t="s">
        <v>986</v>
      </c>
      <c r="HX366" s="1617" t="s">
        <v>986</v>
      </c>
      <c r="HY366" s="1617" t="s">
        <v>986</v>
      </c>
      <c r="HZ366" s="1603"/>
      <c r="IA366" s="1603"/>
      <c r="IB366" s="1603"/>
      <c r="IC366" s="1603" t="s">
        <v>270</v>
      </c>
      <c r="ID366" s="1603" t="s">
        <v>270</v>
      </c>
      <c r="IE366" s="1603" t="s">
        <v>270</v>
      </c>
      <c r="IF366" s="1603" t="s">
        <v>270</v>
      </c>
      <c r="IG366" s="1611" t="s">
        <v>270</v>
      </c>
      <c r="IH366" s="1616" t="s">
        <v>270</v>
      </c>
      <c r="II366" s="1615" t="s">
        <v>270</v>
      </c>
      <c r="IJ366" s="1613" t="s">
        <v>270</v>
      </c>
      <c r="IK366" s="1613" t="s">
        <v>270</v>
      </c>
      <c r="IL366" s="1614" t="s">
        <v>270</v>
      </c>
      <c r="IM366" s="1614" t="s">
        <v>270</v>
      </c>
      <c r="IN366" s="1612" t="s">
        <v>270</v>
      </c>
      <c r="IO366" s="1613" t="s">
        <v>270</v>
      </c>
      <c r="IP366" s="1607" t="s">
        <v>270</v>
      </c>
      <c r="IQ366" s="1612" t="s">
        <v>270</v>
      </c>
      <c r="IR366" s="1612" t="s">
        <v>270</v>
      </c>
      <c r="IS366" s="1607" t="s">
        <v>270</v>
      </c>
      <c r="IT366" s="1607" t="s">
        <v>270</v>
      </c>
      <c r="IU366" s="1611" t="s">
        <v>270</v>
      </c>
      <c r="IV366" s="1611" t="s">
        <v>270</v>
      </c>
      <c r="IW366" s="1611" t="s">
        <v>270</v>
      </c>
      <c r="IX366" s="1611" t="s">
        <v>270</v>
      </c>
      <c r="IY366" s="1611" t="s">
        <v>270</v>
      </c>
      <c r="IZ366" s="1611" t="s">
        <v>270</v>
      </c>
      <c r="JA366" s="1611" t="s">
        <v>270</v>
      </c>
      <c r="JB366" s="1611" t="s">
        <v>270</v>
      </c>
      <c r="JC366" s="1611" t="s">
        <v>270</v>
      </c>
      <c r="JD366" s="1611" t="s">
        <v>270</v>
      </c>
      <c r="JE366" s="1611" t="s">
        <v>270</v>
      </c>
      <c r="JF366" s="1611" t="s">
        <v>270</v>
      </c>
      <c r="JG366" s="1611" t="s">
        <v>270</v>
      </c>
      <c r="JH366" s="1611" t="s">
        <v>270</v>
      </c>
      <c r="JI366" s="1611" t="s">
        <v>270</v>
      </c>
      <c r="JJ366" s="1611" t="s">
        <v>270</v>
      </c>
      <c r="JK366" s="1607" t="str">
        <f t="shared" si="14"/>
        <v/>
      </c>
      <c r="JL366" s="1608" t="s">
        <v>270</v>
      </c>
      <c r="JM366" s="1610" t="s">
        <v>270</v>
      </c>
      <c r="JN366" s="1608" t="s">
        <v>270</v>
      </c>
      <c r="JO366" s="1609" t="s">
        <v>270</v>
      </c>
      <c r="JP366" s="1608" t="s">
        <v>270</v>
      </c>
      <c r="JQ366" s="1607" t="s">
        <v>270</v>
      </c>
      <c r="JR366" s="1606" t="s">
        <v>270</v>
      </c>
      <c r="JS366" s="1606" t="s">
        <v>270</v>
      </c>
      <c r="JT366" s="1606" t="s">
        <v>270</v>
      </c>
    </row>
    <row r="367" spans="1:280" ht="15" customHeight="1" x14ac:dyDescent="0.2">
      <c r="A367" s="1626" t="s">
        <v>270</v>
      </c>
      <c r="B367" s="1625" t="s">
        <v>270</v>
      </c>
      <c r="C367" s="1624" t="s">
        <v>270</v>
      </c>
      <c r="D367" s="1623" t="s">
        <v>270</v>
      </c>
      <c r="E367" s="1622" t="s">
        <v>270</v>
      </c>
      <c r="F367" s="1620" t="s">
        <v>270</v>
      </c>
      <c r="G367" s="1620" t="s">
        <v>270</v>
      </c>
      <c r="H367" s="1621" t="s">
        <v>270</v>
      </c>
      <c r="I367" s="1621" t="s">
        <v>270</v>
      </c>
      <c r="J367" s="1621" t="s">
        <v>270</v>
      </c>
      <c r="K367" s="1620" t="s">
        <v>270</v>
      </c>
      <c r="L367" s="1620" t="s">
        <v>270</v>
      </c>
      <c r="M367" s="1620" t="s">
        <v>270</v>
      </c>
      <c r="N367" s="1620" t="s">
        <v>270</v>
      </c>
      <c r="O367" s="1620" t="s">
        <v>270</v>
      </c>
      <c r="P367" s="1620" t="s">
        <v>270</v>
      </c>
      <c r="Q367" s="1603"/>
      <c r="R367" s="1620" t="s">
        <v>270</v>
      </c>
      <c r="S367" s="1620" t="s">
        <v>270</v>
      </c>
      <c r="T367" s="1620" t="s">
        <v>270</v>
      </c>
      <c r="U367" s="1620" t="s">
        <v>270</v>
      </c>
      <c r="V367" s="1620" t="s">
        <v>270</v>
      </c>
      <c r="W367" s="1620" t="s">
        <v>270</v>
      </c>
      <c r="X367" s="1620"/>
      <c r="Y367" s="1620" t="s">
        <v>270</v>
      </c>
      <c r="Z367" s="1620" t="s">
        <v>270</v>
      </c>
      <c r="AA367" s="1620" t="s">
        <v>270</v>
      </c>
      <c r="AB367" s="1620" t="s">
        <v>270</v>
      </c>
      <c r="AC367" s="1620" t="s">
        <v>270</v>
      </c>
      <c r="AD367" s="1620" t="s">
        <v>270</v>
      </c>
      <c r="AE367" s="1620" t="s">
        <v>270</v>
      </c>
      <c r="AF367" s="1620" t="s">
        <v>270</v>
      </c>
      <c r="AG367" s="1620" t="s">
        <v>270</v>
      </c>
      <c r="AH367" s="1620" t="s">
        <v>270</v>
      </c>
      <c r="AI367" s="1620" t="s">
        <v>270</v>
      </c>
      <c r="AJ367" s="1620" t="s">
        <v>270</v>
      </c>
      <c r="AK367" s="1620" t="s">
        <v>270</v>
      </c>
      <c r="AL367" s="1620"/>
      <c r="AM367" s="1620" t="s">
        <v>270</v>
      </c>
      <c r="AN367" s="1620" t="s">
        <v>270</v>
      </c>
      <c r="AO367" s="1620" t="s">
        <v>270</v>
      </c>
      <c r="AP367" s="1620" t="s">
        <v>270</v>
      </c>
      <c r="AQ367" s="1620" t="s">
        <v>270</v>
      </c>
      <c r="AR367" s="1620" t="s">
        <v>270</v>
      </c>
      <c r="AS367" s="1620" t="s">
        <v>270</v>
      </c>
      <c r="AT367" s="1620" t="s">
        <v>270</v>
      </c>
      <c r="AU367" s="1620" t="s">
        <v>270</v>
      </c>
      <c r="AV367" s="1620" t="s">
        <v>270</v>
      </c>
      <c r="AW367" s="1620" t="s">
        <v>270</v>
      </c>
      <c r="AX367" s="1620"/>
      <c r="AY367" s="1620" t="s">
        <v>986</v>
      </c>
      <c r="AZ367" s="1620" t="s">
        <v>986</v>
      </c>
      <c r="BA367" s="1620" t="s">
        <v>986</v>
      </c>
      <c r="BB367" s="1620" t="s">
        <v>986</v>
      </c>
      <c r="BC367" s="1620" t="s">
        <v>986</v>
      </c>
      <c r="BD367" s="1620" t="s">
        <v>986</v>
      </c>
      <c r="BE367" s="1620" t="s">
        <v>986</v>
      </c>
      <c r="BF367" s="1620" t="s">
        <v>986</v>
      </c>
      <c r="BG367" s="1620" t="s">
        <v>986</v>
      </c>
      <c r="BH367" s="1620" t="s">
        <v>986</v>
      </c>
      <c r="BI367" s="1620" t="s">
        <v>986</v>
      </c>
      <c r="BJ367" s="1603"/>
      <c r="BK367" s="1620" t="s">
        <v>270</v>
      </c>
      <c r="BL367" s="1620" t="s">
        <v>270</v>
      </c>
      <c r="BM367" s="1620" t="s">
        <v>270</v>
      </c>
      <c r="BN367" s="1620" t="s">
        <v>270</v>
      </c>
      <c r="BO367" s="1620"/>
      <c r="BP367" s="1620" t="s">
        <v>270</v>
      </c>
      <c r="BQ367" s="1620" t="s">
        <v>270</v>
      </c>
      <c r="BR367" s="1620" t="s">
        <v>270</v>
      </c>
      <c r="BS367" s="1620" t="s">
        <v>270</v>
      </c>
      <c r="BT367" s="1603"/>
      <c r="BU367" s="1620" t="s">
        <v>270</v>
      </c>
      <c r="BV367" s="1620" t="s">
        <v>270</v>
      </c>
      <c r="BW367" s="1620" t="s">
        <v>270</v>
      </c>
      <c r="BX367" s="1620" t="s">
        <v>270</v>
      </c>
      <c r="BY367" s="1620" t="s">
        <v>270</v>
      </c>
      <c r="BZ367" s="1620" t="s">
        <v>270</v>
      </c>
      <c r="CA367" s="1620" t="s">
        <v>270</v>
      </c>
      <c r="CB367" s="1603"/>
      <c r="CC367" s="1603" t="s">
        <v>270</v>
      </c>
      <c r="CD367" s="1603" t="s">
        <v>270</v>
      </c>
      <c r="CE367" s="1603" t="s">
        <v>270</v>
      </c>
      <c r="CF367" s="1603" t="s">
        <v>270</v>
      </c>
      <c r="CG367" s="1603" t="s">
        <v>270</v>
      </c>
      <c r="CH367" s="1603" t="s">
        <v>270</v>
      </c>
      <c r="CI367" s="1603" t="s">
        <v>270</v>
      </c>
      <c r="CJ367" s="1603"/>
      <c r="CK367" s="1603" t="s">
        <v>270</v>
      </c>
      <c r="CL367" s="1603" t="s">
        <v>270</v>
      </c>
      <c r="CM367" s="1603" t="s">
        <v>270</v>
      </c>
      <c r="CN367" s="1603" t="s">
        <v>270</v>
      </c>
      <c r="CO367" s="1603" t="s">
        <v>270</v>
      </c>
      <c r="CP367" s="1603" t="s">
        <v>270</v>
      </c>
      <c r="CQ367" s="1603" t="s">
        <v>270</v>
      </c>
      <c r="CR367" s="1603" t="s">
        <v>270</v>
      </c>
      <c r="CS367" s="1603" t="s">
        <v>270</v>
      </c>
      <c r="CT367" s="1603" t="s">
        <v>270</v>
      </c>
      <c r="CU367" s="1603" t="s">
        <v>270</v>
      </c>
      <c r="CV367" s="1603" t="s">
        <v>270</v>
      </c>
      <c r="CW367" s="1603" t="s">
        <v>270</v>
      </c>
      <c r="CX367" s="1603" t="s">
        <v>270</v>
      </c>
      <c r="CY367" s="1603" t="s">
        <v>270</v>
      </c>
      <c r="CZ367" s="1603" t="s">
        <v>270</v>
      </c>
      <c r="DA367" s="1603" t="s">
        <v>270</v>
      </c>
      <c r="DB367" s="1603" t="s">
        <v>270</v>
      </c>
      <c r="DC367" s="1603" t="s">
        <v>270</v>
      </c>
      <c r="DD367" s="1603" t="s">
        <v>270</v>
      </c>
      <c r="DE367" s="1603" t="s">
        <v>270</v>
      </c>
      <c r="DF367" s="1603" t="s">
        <v>270</v>
      </c>
      <c r="DG367" s="1603" t="s">
        <v>270</v>
      </c>
      <c r="DH367" s="1619" t="s">
        <v>270</v>
      </c>
      <c r="DI367" s="1603" t="s">
        <v>270</v>
      </c>
      <c r="DJ367" s="1603" t="s">
        <v>270</v>
      </c>
      <c r="DK367" s="1603" t="s">
        <v>270</v>
      </c>
      <c r="DL367" s="1603" t="s">
        <v>270</v>
      </c>
      <c r="DM367" s="1603" t="s">
        <v>270</v>
      </c>
      <c r="DN367" s="1603" t="s">
        <v>270</v>
      </c>
      <c r="DO367" s="1603" t="s">
        <v>270</v>
      </c>
      <c r="DP367" s="1603" t="s">
        <v>270</v>
      </c>
      <c r="DQ367" s="1603" t="s">
        <v>270</v>
      </c>
      <c r="DR367" s="1603" t="s">
        <v>270</v>
      </c>
      <c r="DS367" s="1603" t="s">
        <v>270</v>
      </c>
      <c r="DT367" s="1603" t="s">
        <v>270</v>
      </c>
      <c r="DU367" s="1603" t="s">
        <v>270</v>
      </c>
      <c r="DV367" s="1603" t="s">
        <v>270</v>
      </c>
      <c r="DW367" s="1618" t="s">
        <v>986</v>
      </c>
      <c r="DX367" s="1605" t="s">
        <v>986</v>
      </c>
      <c r="DY367" s="1605" t="s">
        <v>986</v>
      </c>
      <c r="DZ367" s="1605" t="s">
        <v>986</v>
      </c>
      <c r="EA367" s="1605" t="s">
        <v>986</v>
      </c>
      <c r="EB367" s="1605" t="s">
        <v>986</v>
      </c>
      <c r="EC367" s="1605" t="s">
        <v>986</v>
      </c>
      <c r="ED367" s="1605" t="s">
        <v>986</v>
      </c>
      <c r="EE367" s="1605" t="s">
        <v>986</v>
      </c>
      <c r="EF367" s="1605" t="s">
        <v>986</v>
      </c>
      <c r="EG367" s="1605" t="s">
        <v>986</v>
      </c>
      <c r="EH367" s="1605" t="s">
        <v>986</v>
      </c>
      <c r="EI367" s="1605" t="s">
        <v>986</v>
      </c>
      <c r="EJ367" s="1605" t="s">
        <v>986</v>
      </c>
      <c r="EK367" s="1605" t="s">
        <v>986</v>
      </c>
      <c r="EL367" s="1605" t="s">
        <v>986</v>
      </c>
      <c r="EM367" s="1605" t="s">
        <v>986</v>
      </c>
      <c r="EN367" s="1605" t="s">
        <v>986</v>
      </c>
      <c r="EO367" s="1605" t="s">
        <v>986</v>
      </c>
      <c r="EP367" s="1605" t="s">
        <v>986</v>
      </c>
      <c r="EQ367" s="1605" t="s">
        <v>986</v>
      </c>
      <c r="ER367" s="1605" t="s">
        <v>986</v>
      </c>
      <c r="ES367" s="1605" t="s">
        <v>986</v>
      </c>
      <c r="ET367" s="1605" t="s">
        <v>986</v>
      </c>
      <c r="EU367" s="1605" t="s">
        <v>986</v>
      </c>
      <c r="EV367" s="1605" t="s">
        <v>986</v>
      </c>
      <c r="EW367" s="1605" t="s">
        <v>986</v>
      </c>
      <c r="EX367" s="1605" t="s">
        <v>986</v>
      </c>
      <c r="EY367" s="1605" t="s">
        <v>986</v>
      </c>
      <c r="EZ367" s="1605" t="s">
        <v>986</v>
      </c>
      <c r="FA367" s="1605" t="s">
        <v>986</v>
      </c>
      <c r="FB367" s="1605" t="s">
        <v>986</v>
      </c>
      <c r="FC367" s="1605" t="s">
        <v>986</v>
      </c>
      <c r="FD367" s="1605" t="s">
        <v>986</v>
      </c>
      <c r="FE367" s="1605" t="s">
        <v>986</v>
      </c>
      <c r="FF367" s="1605" t="s">
        <v>986</v>
      </c>
      <c r="FG367" s="1605" t="s">
        <v>986</v>
      </c>
      <c r="FH367" s="1605" t="s">
        <v>986</v>
      </c>
      <c r="FI367" s="1605" t="s">
        <v>986</v>
      </c>
      <c r="FJ367" s="1605" t="s">
        <v>986</v>
      </c>
      <c r="FK367" s="1605" t="s">
        <v>986</v>
      </c>
      <c r="FL367" s="1605" t="s">
        <v>986</v>
      </c>
      <c r="FM367" s="1605" t="s">
        <v>986</v>
      </c>
      <c r="FN367" s="1605" t="s">
        <v>986</v>
      </c>
      <c r="FO367" s="1605" t="s">
        <v>986</v>
      </c>
      <c r="FP367" s="1605" t="s">
        <v>986</v>
      </c>
      <c r="FQ367" s="1605" t="s">
        <v>986</v>
      </c>
      <c r="FR367" s="1605" t="s">
        <v>986</v>
      </c>
      <c r="FS367" s="1605" t="s">
        <v>986</v>
      </c>
      <c r="FT367" s="1605" t="s">
        <v>986</v>
      </c>
      <c r="FU367" s="1605" t="s">
        <v>986</v>
      </c>
      <c r="FV367" s="1605" t="s">
        <v>986</v>
      </c>
      <c r="FW367" s="1605" t="s">
        <v>986</v>
      </c>
      <c r="FX367" s="1605" t="s">
        <v>986</v>
      </c>
      <c r="FY367" s="1605" t="s">
        <v>986</v>
      </c>
      <c r="FZ367" s="1605" t="s">
        <v>986</v>
      </c>
      <c r="GA367" s="1605" t="s">
        <v>986</v>
      </c>
      <c r="GB367" s="1605" t="s">
        <v>986</v>
      </c>
      <c r="GC367" s="1605" t="s">
        <v>986</v>
      </c>
      <c r="GD367" s="1605" t="s">
        <v>986</v>
      </c>
      <c r="GE367" s="1605" t="s">
        <v>986</v>
      </c>
      <c r="GF367" s="1605" t="s">
        <v>986</v>
      </c>
      <c r="GG367" s="1605" t="s">
        <v>986</v>
      </c>
      <c r="GH367" s="1605" t="s">
        <v>986</v>
      </c>
      <c r="GI367" s="1605" t="s">
        <v>986</v>
      </c>
      <c r="GJ367" s="1605" t="s">
        <v>986</v>
      </c>
      <c r="GK367" s="1605" t="s">
        <v>986</v>
      </c>
      <c r="GL367" s="1605" t="s">
        <v>986</v>
      </c>
      <c r="GM367" s="1605" t="s">
        <v>986</v>
      </c>
      <c r="GN367" s="1605" t="s">
        <v>986</v>
      </c>
      <c r="GO367" s="1605" t="s">
        <v>986</v>
      </c>
      <c r="GP367" s="1605" t="s">
        <v>986</v>
      </c>
      <c r="GQ367" s="1605" t="s">
        <v>986</v>
      </c>
      <c r="GR367" s="1605" t="s">
        <v>986</v>
      </c>
      <c r="GS367" s="1605" t="s">
        <v>986</v>
      </c>
      <c r="GT367" s="1605" t="s">
        <v>986</v>
      </c>
      <c r="GU367" s="1605" t="s">
        <v>986</v>
      </c>
      <c r="GV367" s="1605" t="s">
        <v>986</v>
      </c>
      <c r="GW367" s="1605" t="s">
        <v>986</v>
      </c>
      <c r="GX367" s="1605" t="s">
        <v>986</v>
      </c>
      <c r="GY367" s="1605" t="s">
        <v>986</v>
      </c>
      <c r="GZ367" s="1605" t="s">
        <v>986</v>
      </c>
      <c r="HA367" s="1605" t="s">
        <v>986</v>
      </c>
      <c r="HB367" s="1605" t="s">
        <v>986</v>
      </c>
      <c r="HC367" s="1605" t="s">
        <v>986</v>
      </c>
      <c r="HD367" s="1605" t="s">
        <v>986</v>
      </c>
      <c r="HE367" s="1605" t="s">
        <v>986</v>
      </c>
      <c r="HF367" s="1605" t="s">
        <v>986</v>
      </c>
      <c r="HG367" s="1605" t="s">
        <v>986</v>
      </c>
      <c r="HH367" s="1605" t="s">
        <v>986</v>
      </c>
      <c r="HI367" s="1605" t="s">
        <v>986</v>
      </c>
      <c r="HJ367" s="1605" t="s">
        <v>986</v>
      </c>
      <c r="HK367" s="1605" t="s">
        <v>986</v>
      </c>
      <c r="HL367" s="1605" t="s">
        <v>986</v>
      </c>
      <c r="HM367" s="1605" t="s">
        <v>986</v>
      </c>
      <c r="HN367" s="1605" t="s">
        <v>986</v>
      </c>
      <c r="HO367" s="1605" t="s">
        <v>986</v>
      </c>
      <c r="HP367" s="1605" t="s">
        <v>986</v>
      </c>
      <c r="HQ367" s="1605" t="s">
        <v>986</v>
      </c>
      <c r="HR367" s="1605" t="s">
        <v>986</v>
      </c>
      <c r="HS367" s="1605" t="s">
        <v>986</v>
      </c>
      <c r="HT367" s="1605" t="s">
        <v>986</v>
      </c>
      <c r="HU367" s="1605" t="s">
        <v>986</v>
      </c>
      <c r="HV367" s="1617"/>
      <c r="HW367" s="1617" t="s">
        <v>986</v>
      </c>
      <c r="HX367" s="1617" t="s">
        <v>986</v>
      </c>
      <c r="HY367" s="1617" t="s">
        <v>986</v>
      </c>
      <c r="HZ367" s="1603"/>
      <c r="IA367" s="1603"/>
      <c r="IB367" s="1603"/>
      <c r="IC367" s="1603" t="s">
        <v>270</v>
      </c>
      <c r="ID367" s="1603" t="s">
        <v>270</v>
      </c>
      <c r="IE367" s="1603" t="s">
        <v>270</v>
      </c>
      <c r="IF367" s="1603" t="s">
        <v>270</v>
      </c>
      <c r="IG367" s="1611" t="s">
        <v>270</v>
      </c>
      <c r="IH367" s="1616" t="s">
        <v>270</v>
      </c>
      <c r="II367" s="1615" t="s">
        <v>270</v>
      </c>
      <c r="IJ367" s="1613" t="s">
        <v>270</v>
      </c>
      <c r="IK367" s="1613" t="s">
        <v>270</v>
      </c>
      <c r="IL367" s="1614" t="s">
        <v>270</v>
      </c>
      <c r="IM367" s="1614" t="s">
        <v>270</v>
      </c>
      <c r="IN367" s="1612" t="s">
        <v>270</v>
      </c>
      <c r="IO367" s="1613" t="s">
        <v>270</v>
      </c>
      <c r="IP367" s="1607" t="s">
        <v>270</v>
      </c>
      <c r="IQ367" s="1612" t="s">
        <v>270</v>
      </c>
      <c r="IR367" s="1612" t="s">
        <v>270</v>
      </c>
      <c r="IS367" s="1607" t="s">
        <v>270</v>
      </c>
      <c r="IT367" s="1607" t="s">
        <v>270</v>
      </c>
      <c r="IU367" s="1611" t="s">
        <v>270</v>
      </c>
      <c r="IV367" s="1611" t="s">
        <v>270</v>
      </c>
      <c r="IW367" s="1611" t="s">
        <v>270</v>
      </c>
      <c r="IX367" s="1611" t="s">
        <v>270</v>
      </c>
      <c r="IY367" s="1611" t="s">
        <v>270</v>
      </c>
      <c r="IZ367" s="1611" t="s">
        <v>270</v>
      </c>
      <c r="JA367" s="1611" t="s">
        <v>270</v>
      </c>
      <c r="JB367" s="1611" t="s">
        <v>270</v>
      </c>
      <c r="JC367" s="1611" t="s">
        <v>270</v>
      </c>
      <c r="JD367" s="1611" t="s">
        <v>270</v>
      </c>
      <c r="JE367" s="1611" t="s">
        <v>270</v>
      </c>
      <c r="JF367" s="1611" t="s">
        <v>270</v>
      </c>
      <c r="JG367" s="1611" t="s">
        <v>270</v>
      </c>
      <c r="JH367" s="1611" t="s">
        <v>270</v>
      </c>
      <c r="JI367" s="1611" t="s">
        <v>270</v>
      </c>
      <c r="JJ367" s="1611" t="s">
        <v>270</v>
      </c>
      <c r="JK367" s="1607" t="str">
        <f t="shared" si="14"/>
        <v/>
      </c>
      <c r="JL367" s="1608" t="s">
        <v>270</v>
      </c>
      <c r="JM367" s="1610" t="s">
        <v>270</v>
      </c>
      <c r="JN367" s="1608" t="s">
        <v>270</v>
      </c>
      <c r="JO367" s="1609" t="s">
        <v>270</v>
      </c>
      <c r="JP367" s="1608" t="s">
        <v>270</v>
      </c>
      <c r="JQ367" s="1607" t="s">
        <v>270</v>
      </c>
      <c r="JR367" s="1606" t="s">
        <v>270</v>
      </c>
      <c r="JS367" s="1606" t="s">
        <v>270</v>
      </c>
      <c r="JT367" s="1606" t="s">
        <v>270</v>
      </c>
    </row>
    <row r="368" spans="1:280" ht="15" customHeight="1" x14ac:dyDescent="0.2">
      <c r="A368" s="1626" t="s">
        <v>270</v>
      </c>
      <c r="B368" s="1625" t="s">
        <v>270</v>
      </c>
      <c r="C368" s="1624" t="s">
        <v>270</v>
      </c>
      <c r="D368" s="1623" t="s">
        <v>270</v>
      </c>
      <c r="E368" s="1622" t="s">
        <v>270</v>
      </c>
      <c r="F368" s="1620" t="s">
        <v>270</v>
      </c>
      <c r="G368" s="1620" t="s">
        <v>270</v>
      </c>
      <c r="H368" s="1621" t="s">
        <v>270</v>
      </c>
      <c r="I368" s="1621" t="s">
        <v>270</v>
      </c>
      <c r="J368" s="1621" t="s">
        <v>270</v>
      </c>
      <c r="K368" s="1620" t="s">
        <v>270</v>
      </c>
      <c r="L368" s="1620" t="s">
        <v>270</v>
      </c>
      <c r="M368" s="1620" t="s">
        <v>270</v>
      </c>
      <c r="N368" s="1620" t="s">
        <v>270</v>
      </c>
      <c r="O368" s="1620" t="s">
        <v>270</v>
      </c>
      <c r="P368" s="1620" t="s">
        <v>270</v>
      </c>
      <c r="Q368" s="1603"/>
      <c r="R368" s="1620" t="s">
        <v>270</v>
      </c>
      <c r="S368" s="1620" t="s">
        <v>270</v>
      </c>
      <c r="T368" s="1620" t="s">
        <v>270</v>
      </c>
      <c r="U368" s="1620" t="s">
        <v>270</v>
      </c>
      <c r="V368" s="1620" t="s">
        <v>270</v>
      </c>
      <c r="W368" s="1620" t="s">
        <v>270</v>
      </c>
      <c r="X368" s="1620"/>
      <c r="Y368" s="1620" t="s">
        <v>270</v>
      </c>
      <c r="Z368" s="1620" t="s">
        <v>270</v>
      </c>
      <c r="AA368" s="1620" t="s">
        <v>270</v>
      </c>
      <c r="AB368" s="1620" t="s">
        <v>270</v>
      </c>
      <c r="AC368" s="1620" t="s">
        <v>270</v>
      </c>
      <c r="AD368" s="1620" t="s">
        <v>270</v>
      </c>
      <c r="AE368" s="1620" t="s">
        <v>270</v>
      </c>
      <c r="AF368" s="1620" t="s">
        <v>270</v>
      </c>
      <c r="AG368" s="1620" t="s">
        <v>270</v>
      </c>
      <c r="AH368" s="1620" t="s">
        <v>270</v>
      </c>
      <c r="AI368" s="1620" t="s">
        <v>270</v>
      </c>
      <c r="AJ368" s="1620" t="s">
        <v>270</v>
      </c>
      <c r="AK368" s="1620" t="s">
        <v>270</v>
      </c>
      <c r="AL368" s="1620"/>
      <c r="AM368" s="1620" t="s">
        <v>270</v>
      </c>
      <c r="AN368" s="1620" t="s">
        <v>270</v>
      </c>
      <c r="AO368" s="1620" t="s">
        <v>270</v>
      </c>
      <c r="AP368" s="1620" t="s">
        <v>270</v>
      </c>
      <c r="AQ368" s="1620" t="s">
        <v>270</v>
      </c>
      <c r="AR368" s="1620" t="s">
        <v>270</v>
      </c>
      <c r="AS368" s="1620" t="s">
        <v>270</v>
      </c>
      <c r="AT368" s="1620" t="s">
        <v>270</v>
      </c>
      <c r="AU368" s="1620" t="s">
        <v>270</v>
      </c>
      <c r="AV368" s="1620" t="s">
        <v>270</v>
      </c>
      <c r="AW368" s="1620" t="s">
        <v>270</v>
      </c>
      <c r="AX368" s="1620"/>
      <c r="AY368" s="1620" t="s">
        <v>986</v>
      </c>
      <c r="AZ368" s="1620" t="s">
        <v>986</v>
      </c>
      <c r="BA368" s="1620" t="s">
        <v>986</v>
      </c>
      <c r="BB368" s="1620" t="s">
        <v>986</v>
      </c>
      <c r="BC368" s="1620" t="s">
        <v>986</v>
      </c>
      <c r="BD368" s="1620" t="s">
        <v>986</v>
      </c>
      <c r="BE368" s="1620" t="s">
        <v>986</v>
      </c>
      <c r="BF368" s="1620" t="s">
        <v>986</v>
      </c>
      <c r="BG368" s="1620" t="s">
        <v>986</v>
      </c>
      <c r="BH368" s="1620" t="s">
        <v>986</v>
      </c>
      <c r="BI368" s="1620" t="s">
        <v>986</v>
      </c>
      <c r="BJ368" s="1603"/>
      <c r="BK368" s="1620" t="s">
        <v>270</v>
      </c>
      <c r="BL368" s="1620" t="s">
        <v>270</v>
      </c>
      <c r="BM368" s="1620" t="s">
        <v>270</v>
      </c>
      <c r="BN368" s="1620" t="s">
        <v>270</v>
      </c>
      <c r="BO368" s="1620"/>
      <c r="BP368" s="1620" t="s">
        <v>270</v>
      </c>
      <c r="BQ368" s="1620" t="s">
        <v>270</v>
      </c>
      <c r="BR368" s="1620" t="s">
        <v>270</v>
      </c>
      <c r="BS368" s="1620" t="s">
        <v>270</v>
      </c>
      <c r="BT368" s="1603"/>
      <c r="BU368" s="1620" t="s">
        <v>270</v>
      </c>
      <c r="BV368" s="1620" t="s">
        <v>270</v>
      </c>
      <c r="BW368" s="1620" t="s">
        <v>270</v>
      </c>
      <c r="BX368" s="1620" t="s">
        <v>270</v>
      </c>
      <c r="BY368" s="1620" t="s">
        <v>270</v>
      </c>
      <c r="BZ368" s="1620" t="s">
        <v>270</v>
      </c>
      <c r="CA368" s="1620" t="s">
        <v>270</v>
      </c>
      <c r="CB368" s="1603"/>
      <c r="CC368" s="1603" t="s">
        <v>270</v>
      </c>
      <c r="CD368" s="1603" t="s">
        <v>270</v>
      </c>
      <c r="CE368" s="1603" t="s">
        <v>270</v>
      </c>
      <c r="CF368" s="1603" t="s">
        <v>270</v>
      </c>
      <c r="CG368" s="1603" t="s">
        <v>270</v>
      </c>
      <c r="CH368" s="1603" t="s">
        <v>270</v>
      </c>
      <c r="CI368" s="1603" t="s">
        <v>270</v>
      </c>
      <c r="CJ368" s="1603"/>
      <c r="CK368" s="1603" t="s">
        <v>270</v>
      </c>
      <c r="CL368" s="1603" t="s">
        <v>270</v>
      </c>
      <c r="CM368" s="1603" t="s">
        <v>270</v>
      </c>
      <c r="CN368" s="1603" t="s">
        <v>270</v>
      </c>
      <c r="CO368" s="1603" t="s">
        <v>270</v>
      </c>
      <c r="CP368" s="1603" t="s">
        <v>270</v>
      </c>
      <c r="CQ368" s="1603" t="s">
        <v>270</v>
      </c>
      <c r="CR368" s="1603" t="s">
        <v>270</v>
      </c>
      <c r="CS368" s="1603" t="s">
        <v>270</v>
      </c>
      <c r="CT368" s="1603" t="s">
        <v>270</v>
      </c>
      <c r="CU368" s="1603" t="s">
        <v>270</v>
      </c>
      <c r="CV368" s="1603" t="s">
        <v>270</v>
      </c>
      <c r="CW368" s="1603" t="s">
        <v>270</v>
      </c>
      <c r="CX368" s="1603" t="s">
        <v>270</v>
      </c>
      <c r="CY368" s="1603" t="s">
        <v>270</v>
      </c>
      <c r="CZ368" s="1603" t="s">
        <v>270</v>
      </c>
      <c r="DA368" s="1603" t="s">
        <v>270</v>
      </c>
      <c r="DB368" s="1603" t="s">
        <v>270</v>
      </c>
      <c r="DC368" s="1603" t="s">
        <v>270</v>
      </c>
      <c r="DD368" s="1603" t="s">
        <v>270</v>
      </c>
      <c r="DE368" s="1603" t="s">
        <v>270</v>
      </c>
      <c r="DF368" s="1603" t="s">
        <v>270</v>
      </c>
      <c r="DG368" s="1603" t="s">
        <v>270</v>
      </c>
      <c r="DH368" s="1619" t="s">
        <v>270</v>
      </c>
      <c r="DI368" s="1603" t="s">
        <v>270</v>
      </c>
      <c r="DJ368" s="1603" t="s">
        <v>270</v>
      </c>
      <c r="DK368" s="1603" t="s">
        <v>270</v>
      </c>
      <c r="DL368" s="1603" t="s">
        <v>270</v>
      </c>
      <c r="DM368" s="1603" t="s">
        <v>270</v>
      </c>
      <c r="DN368" s="1603" t="s">
        <v>270</v>
      </c>
      <c r="DO368" s="1603" t="s">
        <v>270</v>
      </c>
      <c r="DP368" s="1603" t="s">
        <v>270</v>
      </c>
      <c r="DQ368" s="1603" t="s">
        <v>270</v>
      </c>
      <c r="DR368" s="1603" t="s">
        <v>270</v>
      </c>
      <c r="DS368" s="1603" t="s">
        <v>270</v>
      </c>
      <c r="DT368" s="1603" t="s">
        <v>270</v>
      </c>
      <c r="DU368" s="1603" t="s">
        <v>270</v>
      </c>
      <c r="DV368" s="1603" t="s">
        <v>270</v>
      </c>
      <c r="DW368" s="1618" t="s">
        <v>986</v>
      </c>
      <c r="DX368" s="1605" t="s">
        <v>986</v>
      </c>
      <c r="DY368" s="1605" t="s">
        <v>986</v>
      </c>
      <c r="DZ368" s="1605" t="s">
        <v>986</v>
      </c>
      <c r="EA368" s="1605" t="s">
        <v>986</v>
      </c>
      <c r="EB368" s="1605" t="s">
        <v>986</v>
      </c>
      <c r="EC368" s="1605" t="s">
        <v>986</v>
      </c>
      <c r="ED368" s="1605" t="s">
        <v>986</v>
      </c>
      <c r="EE368" s="1605" t="s">
        <v>986</v>
      </c>
      <c r="EF368" s="1605" t="s">
        <v>986</v>
      </c>
      <c r="EG368" s="1605" t="s">
        <v>986</v>
      </c>
      <c r="EH368" s="1605" t="s">
        <v>986</v>
      </c>
      <c r="EI368" s="1605" t="s">
        <v>986</v>
      </c>
      <c r="EJ368" s="1605" t="s">
        <v>986</v>
      </c>
      <c r="EK368" s="1605" t="s">
        <v>986</v>
      </c>
      <c r="EL368" s="1605" t="s">
        <v>986</v>
      </c>
      <c r="EM368" s="1605" t="s">
        <v>986</v>
      </c>
      <c r="EN368" s="1605" t="s">
        <v>986</v>
      </c>
      <c r="EO368" s="1605" t="s">
        <v>986</v>
      </c>
      <c r="EP368" s="1605" t="s">
        <v>986</v>
      </c>
      <c r="EQ368" s="1605" t="s">
        <v>986</v>
      </c>
      <c r="ER368" s="1605" t="s">
        <v>986</v>
      </c>
      <c r="ES368" s="1605" t="s">
        <v>986</v>
      </c>
      <c r="ET368" s="1605" t="s">
        <v>986</v>
      </c>
      <c r="EU368" s="1605" t="s">
        <v>986</v>
      </c>
      <c r="EV368" s="1605" t="s">
        <v>986</v>
      </c>
      <c r="EW368" s="1605" t="s">
        <v>986</v>
      </c>
      <c r="EX368" s="1605" t="s">
        <v>986</v>
      </c>
      <c r="EY368" s="1605" t="s">
        <v>986</v>
      </c>
      <c r="EZ368" s="1605" t="s">
        <v>986</v>
      </c>
      <c r="FA368" s="1605" t="s">
        <v>986</v>
      </c>
      <c r="FB368" s="1605" t="s">
        <v>986</v>
      </c>
      <c r="FC368" s="1605" t="s">
        <v>986</v>
      </c>
      <c r="FD368" s="1605" t="s">
        <v>986</v>
      </c>
      <c r="FE368" s="1605" t="s">
        <v>986</v>
      </c>
      <c r="FF368" s="1605" t="s">
        <v>986</v>
      </c>
      <c r="FG368" s="1605" t="s">
        <v>986</v>
      </c>
      <c r="FH368" s="1605" t="s">
        <v>986</v>
      </c>
      <c r="FI368" s="1605" t="s">
        <v>986</v>
      </c>
      <c r="FJ368" s="1605" t="s">
        <v>986</v>
      </c>
      <c r="FK368" s="1605" t="s">
        <v>986</v>
      </c>
      <c r="FL368" s="1605" t="s">
        <v>986</v>
      </c>
      <c r="FM368" s="1605" t="s">
        <v>986</v>
      </c>
      <c r="FN368" s="1605" t="s">
        <v>986</v>
      </c>
      <c r="FO368" s="1605" t="s">
        <v>986</v>
      </c>
      <c r="FP368" s="1605" t="s">
        <v>986</v>
      </c>
      <c r="FQ368" s="1605" t="s">
        <v>986</v>
      </c>
      <c r="FR368" s="1605" t="s">
        <v>986</v>
      </c>
      <c r="FS368" s="1605" t="s">
        <v>986</v>
      </c>
      <c r="FT368" s="1605" t="s">
        <v>986</v>
      </c>
      <c r="FU368" s="1605" t="s">
        <v>986</v>
      </c>
      <c r="FV368" s="1605" t="s">
        <v>986</v>
      </c>
      <c r="FW368" s="1605" t="s">
        <v>986</v>
      </c>
      <c r="FX368" s="1605" t="s">
        <v>986</v>
      </c>
      <c r="FY368" s="1605" t="s">
        <v>986</v>
      </c>
      <c r="FZ368" s="1605" t="s">
        <v>986</v>
      </c>
      <c r="GA368" s="1605" t="s">
        <v>986</v>
      </c>
      <c r="GB368" s="1605" t="s">
        <v>986</v>
      </c>
      <c r="GC368" s="1605" t="s">
        <v>986</v>
      </c>
      <c r="GD368" s="1605" t="s">
        <v>986</v>
      </c>
      <c r="GE368" s="1605" t="s">
        <v>986</v>
      </c>
      <c r="GF368" s="1605" t="s">
        <v>986</v>
      </c>
      <c r="GG368" s="1605" t="s">
        <v>986</v>
      </c>
      <c r="GH368" s="1605" t="s">
        <v>986</v>
      </c>
      <c r="GI368" s="1605" t="s">
        <v>986</v>
      </c>
      <c r="GJ368" s="1605" t="s">
        <v>986</v>
      </c>
      <c r="GK368" s="1605" t="s">
        <v>986</v>
      </c>
      <c r="GL368" s="1605" t="s">
        <v>986</v>
      </c>
      <c r="GM368" s="1605" t="s">
        <v>986</v>
      </c>
      <c r="GN368" s="1605" t="s">
        <v>986</v>
      </c>
      <c r="GO368" s="1605" t="s">
        <v>986</v>
      </c>
      <c r="GP368" s="1605" t="s">
        <v>986</v>
      </c>
      <c r="GQ368" s="1605" t="s">
        <v>986</v>
      </c>
      <c r="GR368" s="1605" t="s">
        <v>986</v>
      </c>
      <c r="GS368" s="1605" t="s">
        <v>986</v>
      </c>
      <c r="GT368" s="1605" t="s">
        <v>986</v>
      </c>
      <c r="GU368" s="1605" t="s">
        <v>986</v>
      </c>
      <c r="GV368" s="1605" t="s">
        <v>986</v>
      </c>
      <c r="GW368" s="1605" t="s">
        <v>986</v>
      </c>
      <c r="GX368" s="1605" t="s">
        <v>986</v>
      </c>
      <c r="GY368" s="1605" t="s">
        <v>986</v>
      </c>
      <c r="GZ368" s="1605" t="s">
        <v>986</v>
      </c>
      <c r="HA368" s="1605" t="s">
        <v>986</v>
      </c>
      <c r="HB368" s="1605" t="s">
        <v>986</v>
      </c>
      <c r="HC368" s="1605" t="s">
        <v>986</v>
      </c>
      <c r="HD368" s="1605" t="s">
        <v>986</v>
      </c>
      <c r="HE368" s="1605" t="s">
        <v>986</v>
      </c>
      <c r="HF368" s="1605" t="s">
        <v>986</v>
      </c>
      <c r="HG368" s="1605" t="s">
        <v>986</v>
      </c>
      <c r="HH368" s="1605" t="s">
        <v>986</v>
      </c>
      <c r="HI368" s="1605" t="s">
        <v>986</v>
      </c>
      <c r="HJ368" s="1605" t="s">
        <v>986</v>
      </c>
      <c r="HK368" s="1605" t="s">
        <v>986</v>
      </c>
      <c r="HL368" s="1605" t="s">
        <v>986</v>
      </c>
      <c r="HM368" s="1605" t="s">
        <v>986</v>
      </c>
      <c r="HN368" s="1605" t="s">
        <v>986</v>
      </c>
      <c r="HO368" s="1605" t="s">
        <v>986</v>
      </c>
      <c r="HP368" s="1605" t="s">
        <v>986</v>
      </c>
      <c r="HQ368" s="1605" t="s">
        <v>986</v>
      </c>
      <c r="HR368" s="1605" t="s">
        <v>986</v>
      </c>
      <c r="HS368" s="1605" t="s">
        <v>986</v>
      </c>
      <c r="HT368" s="1605" t="s">
        <v>986</v>
      </c>
      <c r="HU368" s="1605" t="s">
        <v>986</v>
      </c>
      <c r="HV368" s="1617"/>
      <c r="HW368" s="1617" t="s">
        <v>986</v>
      </c>
      <c r="HX368" s="1617" t="s">
        <v>986</v>
      </c>
      <c r="HY368" s="1617" t="s">
        <v>986</v>
      </c>
      <c r="HZ368" s="1603"/>
      <c r="IA368" s="1603"/>
      <c r="IB368" s="1603"/>
      <c r="IC368" s="1603" t="s">
        <v>270</v>
      </c>
      <c r="ID368" s="1603" t="s">
        <v>270</v>
      </c>
      <c r="IE368" s="1603" t="s">
        <v>270</v>
      </c>
      <c r="IF368" s="1603" t="s">
        <v>270</v>
      </c>
      <c r="IG368" s="1611" t="s">
        <v>270</v>
      </c>
      <c r="IH368" s="1616" t="s">
        <v>270</v>
      </c>
      <c r="II368" s="1615" t="s">
        <v>270</v>
      </c>
      <c r="IJ368" s="1613" t="s">
        <v>270</v>
      </c>
      <c r="IK368" s="1613" t="s">
        <v>270</v>
      </c>
      <c r="IL368" s="1614" t="s">
        <v>270</v>
      </c>
      <c r="IM368" s="1614" t="s">
        <v>270</v>
      </c>
      <c r="IN368" s="1612" t="s">
        <v>270</v>
      </c>
      <c r="IO368" s="1613" t="s">
        <v>270</v>
      </c>
      <c r="IP368" s="1607" t="s">
        <v>270</v>
      </c>
      <c r="IQ368" s="1612" t="s">
        <v>270</v>
      </c>
      <c r="IR368" s="1612" t="s">
        <v>270</v>
      </c>
      <c r="IS368" s="1607" t="s">
        <v>270</v>
      </c>
      <c r="IT368" s="1607" t="s">
        <v>270</v>
      </c>
      <c r="IU368" s="1611" t="s">
        <v>270</v>
      </c>
      <c r="IV368" s="1611" t="s">
        <v>270</v>
      </c>
      <c r="IW368" s="1611" t="s">
        <v>270</v>
      </c>
      <c r="IX368" s="1611" t="s">
        <v>270</v>
      </c>
      <c r="IY368" s="1611" t="s">
        <v>270</v>
      </c>
      <c r="IZ368" s="1611" t="s">
        <v>270</v>
      </c>
      <c r="JA368" s="1611" t="s">
        <v>270</v>
      </c>
      <c r="JB368" s="1611" t="s">
        <v>270</v>
      </c>
      <c r="JC368" s="1611" t="s">
        <v>270</v>
      </c>
      <c r="JD368" s="1611" t="s">
        <v>270</v>
      </c>
      <c r="JE368" s="1611" t="s">
        <v>270</v>
      </c>
      <c r="JF368" s="1611" t="s">
        <v>270</v>
      </c>
      <c r="JG368" s="1611" t="s">
        <v>270</v>
      </c>
      <c r="JH368" s="1611" t="s">
        <v>270</v>
      </c>
      <c r="JI368" s="1611" t="s">
        <v>270</v>
      </c>
      <c r="JJ368" s="1611" t="s">
        <v>270</v>
      </c>
      <c r="JK368" s="1607" t="str">
        <f t="shared" si="14"/>
        <v/>
      </c>
      <c r="JL368" s="1608" t="s">
        <v>270</v>
      </c>
      <c r="JM368" s="1610" t="s">
        <v>270</v>
      </c>
      <c r="JN368" s="1608" t="s">
        <v>270</v>
      </c>
      <c r="JO368" s="1609" t="s">
        <v>270</v>
      </c>
      <c r="JP368" s="1608" t="s">
        <v>270</v>
      </c>
      <c r="JQ368" s="1607" t="s">
        <v>270</v>
      </c>
      <c r="JR368" s="1606" t="s">
        <v>270</v>
      </c>
      <c r="JS368" s="1606" t="s">
        <v>270</v>
      </c>
      <c r="JT368" s="1606" t="s">
        <v>270</v>
      </c>
    </row>
    <row r="369" spans="1:280" ht="15" customHeight="1" x14ac:dyDescent="0.2">
      <c r="A369" s="1626" t="s">
        <v>270</v>
      </c>
      <c r="B369" s="1625" t="s">
        <v>270</v>
      </c>
      <c r="C369" s="1624" t="s">
        <v>270</v>
      </c>
      <c r="D369" s="1623" t="s">
        <v>270</v>
      </c>
      <c r="E369" s="1622" t="s">
        <v>270</v>
      </c>
      <c r="F369" s="1620" t="s">
        <v>270</v>
      </c>
      <c r="G369" s="1620" t="s">
        <v>270</v>
      </c>
      <c r="H369" s="1621" t="s">
        <v>270</v>
      </c>
      <c r="I369" s="1621" t="s">
        <v>270</v>
      </c>
      <c r="J369" s="1621" t="s">
        <v>270</v>
      </c>
      <c r="K369" s="1620" t="s">
        <v>270</v>
      </c>
      <c r="L369" s="1620" t="s">
        <v>270</v>
      </c>
      <c r="M369" s="1620" t="s">
        <v>270</v>
      </c>
      <c r="N369" s="1620" t="s">
        <v>270</v>
      </c>
      <c r="O369" s="1620" t="s">
        <v>270</v>
      </c>
      <c r="P369" s="1620" t="s">
        <v>270</v>
      </c>
      <c r="Q369" s="1603"/>
      <c r="R369" s="1620" t="s">
        <v>270</v>
      </c>
      <c r="S369" s="1620" t="s">
        <v>270</v>
      </c>
      <c r="T369" s="1620" t="s">
        <v>270</v>
      </c>
      <c r="U369" s="1620" t="s">
        <v>270</v>
      </c>
      <c r="V369" s="1620" t="s">
        <v>270</v>
      </c>
      <c r="W369" s="1620" t="s">
        <v>270</v>
      </c>
      <c r="X369" s="1620"/>
      <c r="Y369" s="1620" t="s">
        <v>270</v>
      </c>
      <c r="Z369" s="1620" t="s">
        <v>270</v>
      </c>
      <c r="AA369" s="1620" t="s">
        <v>270</v>
      </c>
      <c r="AB369" s="1620" t="s">
        <v>270</v>
      </c>
      <c r="AC369" s="1620" t="s">
        <v>270</v>
      </c>
      <c r="AD369" s="1620" t="s">
        <v>270</v>
      </c>
      <c r="AE369" s="1620" t="s">
        <v>270</v>
      </c>
      <c r="AF369" s="1620" t="s">
        <v>270</v>
      </c>
      <c r="AG369" s="1620" t="s">
        <v>270</v>
      </c>
      <c r="AH369" s="1620" t="s">
        <v>270</v>
      </c>
      <c r="AI369" s="1620" t="s">
        <v>270</v>
      </c>
      <c r="AJ369" s="1620" t="s">
        <v>270</v>
      </c>
      <c r="AK369" s="1620" t="s">
        <v>270</v>
      </c>
      <c r="AL369" s="1620"/>
      <c r="AM369" s="1620" t="s">
        <v>270</v>
      </c>
      <c r="AN369" s="1620" t="s">
        <v>270</v>
      </c>
      <c r="AO369" s="1620" t="s">
        <v>270</v>
      </c>
      <c r="AP369" s="1620" t="s">
        <v>270</v>
      </c>
      <c r="AQ369" s="1620" t="s">
        <v>270</v>
      </c>
      <c r="AR369" s="1620" t="s">
        <v>270</v>
      </c>
      <c r="AS369" s="1620" t="s">
        <v>270</v>
      </c>
      <c r="AT369" s="1620" t="s">
        <v>270</v>
      </c>
      <c r="AU369" s="1620" t="s">
        <v>270</v>
      </c>
      <c r="AV369" s="1620" t="s">
        <v>270</v>
      </c>
      <c r="AW369" s="1620" t="s">
        <v>270</v>
      </c>
      <c r="AX369" s="1620"/>
      <c r="AY369" s="1620" t="s">
        <v>986</v>
      </c>
      <c r="AZ369" s="1620" t="s">
        <v>986</v>
      </c>
      <c r="BA369" s="1620" t="s">
        <v>986</v>
      </c>
      <c r="BB369" s="1620" t="s">
        <v>986</v>
      </c>
      <c r="BC369" s="1620" t="s">
        <v>986</v>
      </c>
      <c r="BD369" s="1620" t="s">
        <v>986</v>
      </c>
      <c r="BE369" s="1620" t="s">
        <v>986</v>
      </c>
      <c r="BF369" s="1620" t="s">
        <v>986</v>
      </c>
      <c r="BG369" s="1620" t="s">
        <v>986</v>
      </c>
      <c r="BH369" s="1620" t="s">
        <v>986</v>
      </c>
      <c r="BI369" s="1620" t="s">
        <v>986</v>
      </c>
      <c r="BJ369" s="1603"/>
      <c r="BK369" s="1620" t="s">
        <v>270</v>
      </c>
      <c r="BL369" s="1620" t="s">
        <v>270</v>
      </c>
      <c r="BM369" s="1620" t="s">
        <v>270</v>
      </c>
      <c r="BN369" s="1620" t="s">
        <v>270</v>
      </c>
      <c r="BO369" s="1620"/>
      <c r="BP369" s="1620" t="s">
        <v>270</v>
      </c>
      <c r="BQ369" s="1620" t="s">
        <v>270</v>
      </c>
      <c r="BR369" s="1620" t="s">
        <v>270</v>
      </c>
      <c r="BS369" s="1620" t="s">
        <v>270</v>
      </c>
      <c r="BT369" s="1603"/>
      <c r="BU369" s="1620" t="s">
        <v>270</v>
      </c>
      <c r="BV369" s="1620" t="s">
        <v>270</v>
      </c>
      <c r="BW369" s="1620" t="s">
        <v>270</v>
      </c>
      <c r="BX369" s="1620" t="s">
        <v>270</v>
      </c>
      <c r="BY369" s="1620" t="s">
        <v>270</v>
      </c>
      <c r="BZ369" s="1620" t="s">
        <v>270</v>
      </c>
      <c r="CA369" s="1620" t="s">
        <v>270</v>
      </c>
      <c r="CB369" s="1603"/>
      <c r="CC369" s="1603" t="s">
        <v>270</v>
      </c>
      <c r="CD369" s="1603" t="s">
        <v>270</v>
      </c>
      <c r="CE369" s="1603" t="s">
        <v>270</v>
      </c>
      <c r="CF369" s="1603" t="s">
        <v>270</v>
      </c>
      <c r="CG369" s="1603" t="s">
        <v>270</v>
      </c>
      <c r="CH369" s="1603" t="s">
        <v>270</v>
      </c>
      <c r="CI369" s="1603" t="s">
        <v>270</v>
      </c>
      <c r="CJ369" s="1603"/>
      <c r="CK369" s="1603" t="s">
        <v>270</v>
      </c>
      <c r="CL369" s="1603" t="s">
        <v>270</v>
      </c>
      <c r="CM369" s="1603" t="s">
        <v>270</v>
      </c>
      <c r="CN369" s="1603" t="s">
        <v>270</v>
      </c>
      <c r="CO369" s="1603" t="s">
        <v>270</v>
      </c>
      <c r="CP369" s="1603" t="s">
        <v>270</v>
      </c>
      <c r="CQ369" s="1603" t="s">
        <v>270</v>
      </c>
      <c r="CR369" s="1603" t="s">
        <v>270</v>
      </c>
      <c r="CS369" s="1603" t="s">
        <v>270</v>
      </c>
      <c r="CT369" s="1603" t="s">
        <v>270</v>
      </c>
      <c r="CU369" s="1603" t="s">
        <v>270</v>
      </c>
      <c r="CV369" s="1603" t="s">
        <v>270</v>
      </c>
      <c r="CW369" s="1603" t="s">
        <v>270</v>
      </c>
      <c r="CX369" s="1603" t="s">
        <v>270</v>
      </c>
      <c r="CY369" s="1603" t="s">
        <v>270</v>
      </c>
      <c r="CZ369" s="1603" t="s">
        <v>270</v>
      </c>
      <c r="DA369" s="1603" t="s">
        <v>270</v>
      </c>
      <c r="DB369" s="1603" t="s">
        <v>270</v>
      </c>
      <c r="DC369" s="1603" t="s">
        <v>270</v>
      </c>
      <c r="DD369" s="1603" t="s">
        <v>270</v>
      </c>
      <c r="DE369" s="1603" t="s">
        <v>270</v>
      </c>
      <c r="DF369" s="1603" t="s">
        <v>270</v>
      </c>
      <c r="DG369" s="1603" t="s">
        <v>270</v>
      </c>
      <c r="DH369" s="1619" t="s">
        <v>270</v>
      </c>
      <c r="DI369" s="1603" t="s">
        <v>270</v>
      </c>
      <c r="DJ369" s="1603" t="s">
        <v>270</v>
      </c>
      <c r="DK369" s="1603" t="s">
        <v>270</v>
      </c>
      <c r="DL369" s="1603" t="s">
        <v>270</v>
      </c>
      <c r="DM369" s="1603" t="s">
        <v>270</v>
      </c>
      <c r="DN369" s="1603" t="s">
        <v>270</v>
      </c>
      <c r="DO369" s="1603" t="s">
        <v>270</v>
      </c>
      <c r="DP369" s="1603" t="s">
        <v>270</v>
      </c>
      <c r="DQ369" s="1603" t="s">
        <v>270</v>
      </c>
      <c r="DR369" s="1603" t="s">
        <v>270</v>
      </c>
      <c r="DS369" s="1603" t="s">
        <v>270</v>
      </c>
      <c r="DT369" s="1603" t="s">
        <v>270</v>
      </c>
      <c r="DU369" s="1603" t="s">
        <v>270</v>
      </c>
      <c r="DV369" s="1603" t="s">
        <v>270</v>
      </c>
      <c r="DW369" s="1618" t="s">
        <v>986</v>
      </c>
      <c r="DX369" s="1605" t="s">
        <v>986</v>
      </c>
      <c r="DY369" s="1605" t="s">
        <v>986</v>
      </c>
      <c r="DZ369" s="1605" t="s">
        <v>986</v>
      </c>
      <c r="EA369" s="1605" t="s">
        <v>986</v>
      </c>
      <c r="EB369" s="1605" t="s">
        <v>986</v>
      </c>
      <c r="EC369" s="1605" t="s">
        <v>986</v>
      </c>
      <c r="ED369" s="1605" t="s">
        <v>986</v>
      </c>
      <c r="EE369" s="1605" t="s">
        <v>986</v>
      </c>
      <c r="EF369" s="1605" t="s">
        <v>986</v>
      </c>
      <c r="EG369" s="1605" t="s">
        <v>986</v>
      </c>
      <c r="EH369" s="1605" t="s">
        <v>986</v>
      </c>
      <c r="EI369" s="1605" t="s">
        <v>986</v>
      </c>
      <c r="EJ369" s="1605" t="s">
        <v>986</v>
      </c>
      <c r="EK369" s="1605" t="s">
        <v>986</v>
      </c>
      <c r="EL369" s="1605" t="s">
        <v>986</v>
      </c>
      <c r="EM369" s="1605" t="s">
        <v>986</v>
      </c>
      <c r="EN369" s="1605" t="s">
        <v>986</v>
      </c>
      <c r="EO369" s="1605" t="s">
        <v>986</v>
      </c>
      <c r="EP369" s="1605" t="s">
        <v>986</v>
      </c>
      <c r="EQ369" s="1605" t="s">
        <v>986</v>
      </c>
      <c r="ER369" s="1605" t="s">
        <v>986</v>
      </c>
      <c r="ES369" s="1605" t="s">
        <v>986</v>
      </c>
      <c r="ET369" s="1605" t="s">
        <v>986</v>
      </c>
      <c r="EU369" s="1605" t="s">
        <v>986</v>
      </c>
      <c r="EV369" s="1605" t="s">
        <v>986</v>
      </c>
      <c r="EW369" s="1605" t="s">
        <v>986</v>
      </c>
      <c r="EX369" s="1605" t="s">
        <v>986</v>
      </c>
      <c r="EY369" s="1605" t="s">
        <v>986</v>
      </c>
      <c r="EZ369" s="1605" t="s">
        <v>986</v>
      </c>
      <c r="FA369" s="1605" t="s">
        <v>986</v>
      </c>
      <c r="FB369" s="1605" t="s">
        <v>986</v>
      </c>
      <c r="FC369" s="1605" t="s">
        <v>986</v>
      </c>
      <c r="FD369" s="1605" t="s">
        <v>986</v>
      </c>
      <c r="FE369" s="1605" t="s">
        <v>986</v>
      </c>
      <c r="FF369" s="1605" t="s">
        <v>986</v>
      </c>
      <c r="FG369" s="1605" t="s">
        <v>986</v>
      </c>
      <c r="FH369" s="1605" t="s">
        <v>986</v>
      </c>
      <c r="FI369" s="1605" t="s">
        <v>986</v>
      </c>
      <c r="FJ369" s="1605" t="s">
        <v>986</v>
      </c>
      <c r="FK369" s="1605" t="s">
        <v>986</v>
      </c>
      <c r="FL369" s="1605" t="s">
        <v>986</v>
      </c>
      <c r="FM369" s="1605" t="s">
        <v>986</v>
      </c>
      <c r="FN369" s="1605" t="s">
        <v>986</v>
      </c>
      <c r="FO369" s="1605" t="s">
        <v>986</v>
      </c>
      <c r="FP369" s="1605" t="s">
        <v>986</v>
      </c>
      <c r="FQ369" s="1605" t="s">
        <v>986</v>
      </c>
      <c r="FR369" s="1605" t="s">
        <v>986</v>
      </c>
      <c r="FS369" s="1605" t="s">
        <v>986</v>
      </c>
      <c r="FT369" s="1605" t="s">
        <v>986</v>
      </c>
      <c r="FU369" s="1605" t="s">
        <v>986</v>
      </c>
      <c r="FV369" s="1605" t="s">
        <v>986</v>
      </c>
      <c r="FW369" s="1605" t="s">
        <v>986</v>
      </c>
      <c r="FX369" s="1605" t="s">
        <v>986</v>
      </c>
      <c r="FY369" s="1605" t="s">
        <v>986</v>
      </c>
      <c r="FZ369" s="1605" t="s">
        <v>986</v>
      </c>
      <c r="GA369" s="1605" t="s">
        <v>986</v>
      </c>
      <c r="GB369" s="1605" t="s">
        <v>986</v>
      </c>
      <c r="GC369" s="1605" t="s">
        <v>986</v>
      </c>
      <c r="GD369" s="1605" t="s">
        <v>986</v>
      </c>
      <c r="GE369" s="1605" t="s">
        <v>986</v>
      </c>
      <c r="GF369" s="1605" t="s">
        <v>986</v>
      </c>
      <c r="GG369" s="1605" t="s">
        <v>986</v>
      </c>
      <c r="GH369" s="1605" t="s">
        <v>986</v>
      </c>
      <c r="GI369" s="1605" t="s">
        <v>986</v>
      </c>
      <c r="GJ369" s="1605" t="s">
        <v>986</v>
      </c>
      <c r="GK369" s="1605" t="s">
        <v>986</v>
      </c>
      <c r="GL369" s="1605" t="s">
        <v>986</v>
      </c>
      <c r="GM369" s="1605" t="s">
        <v>986</v>
      </c>
      <c r="GN369" s="1605" t="s">
        <v>986</v>
      </c>
      <c r="GO369" s="1605" t="s">
        <v>986</v>
      </c>
      <c r="GP369" s="1605" t="s">
        <v>986</v>
      </c>
      <c r="GQ369" s="1605" t="s">
        <v>986</v>
      </c>
      <c r="GR369" s="1605" t="s">
        <v>986</v>
      </c>
      <c r="GS369" s="1605" t="s">
        <v>986</v>
      </c>
      <c r="GT369" s="1605" t="s">
        <v>986</v>
      </c>
      <c r="GU369" s="1605" t="s">
        <v>986</v>
      </c>
      <c r="GV369" s="1605" t="s">
        <v>986</v>
      </c>
      <c r="GW369" s="1605" t="s">
        <v>986</v>
      </c>
      <c r="GX369" s="1605" t="s">
        <v>986</v>
      </c>
      <c r="GY369" s="1605" t="s">
        <v>986</v>
      </c>
      <c r="GZ369" s="1605" t="s">
        <v>986</v>
      </c>
      <c r="HA369" s="1605" t="s">
        <v>986</v>
      </c>
      <c r="HB369" s="1605" t="s">
        <v>986</v>
      </c>
      <c r="HC369" s="1605" t="s">
        <v>986</v>
      </c>
      <c r="HD369" s="1605" t="s">
        <v>986</v>
      </c>
      <c r="HE369" s="1605" t="s">
        <v>986</v>
      </c>
      <c r="HF369" s="1605" t="s">
        <v>986</v>
      </c>
      <c r="HG369" s="1605" t="s">
        <v>986</v>
      </c>
      <c r="HH369" s="1605" t="s">
        <v>986</v>
      </c>
      <c r="HI369" s="1605" t="s">
        <v>986</v>
      </c>
      <c r="HJ369" s="1605" t="s">
        <v>986</v>
      </c>
      <c r="HK369" s="1605" t="s">
        <v>986</v>
      </c>
      <c r="HL369" s="1605" t="s">
        <v>986</v>
      </c>
      <c r="HM369" s="1605" t="s">
        <v>986</v>
      </c>
      <c r="HN369" s="1605" t="s">
        <v>986</v>
      </c>
      <c r="HO369" s="1605" t="s">
        <v>986</v>
      </c>
      <c r="HP369" s="1605" t="s">
        <v>986</v>
      </c>
      <c r="HQ369" s="1605" t="s">
        <v>986</v>
      </c>
      <c r="HR369" s="1605" t="s">
        <v>986</v>
      </c>
      <c r="HS369" s="1605" t="s">
        <v>986</v>
      </c>
      <c r="HT369" s="1605" t="s">
        <v>986</v>
      </c>
      <c r="HU369" s="1605" t="s">
        <v>986</v>
      </c>
      <c r="HV369" s="1617"/>
      <c r="HW369" s="1617" t="s">
        <v>986</v>
      </c>
      <c r="HX369" s="1617" t="s">
        <v>986</v>
      </c>
      <c r="HY369" s="1617" t="s">
        <v>986</v>
      </c>
      <c r="HZ369" s="1603"/>
      <c r="IA369" s="1603"/>
      <c r="IB369" s="1603"/>
      <c r="IC369" s="1603" t="s">
        <v>270</v>
      </c>
      <c r="ID369" s="1603" t="s">
        <v>270</v>
      </c>
      <c r="IE369" s="1603" t="s">
        <v>270</v>
      </c>
      <c r="IF369" s="1603" t="s">
        <v>270</v>
      </c>
      <c r="IG369" s="1611" t="s">
        <v>270</v>
      </c>
      <c r="IH369" s="1616" t="s">
        <v>270</v>
      </c>
      <c r="II369" s="1615" t="s">
        <v>270</v>
      </c>
      <c r="IJ369" s="1613" t="s">
        <v>270</v>
      </c>
      <c r="IK369" s="1613" t="s">
        <v>270</v>
      </c>
      <c r="IL369" s="1614" t="s">
        <v>270</v>
      </c>
      <c r="IM369" s="1614" t="s">
        <v>270</v>
      </c>
      <c r="IN369" s="1612" t="s">
        <v>270</v>
      </c>
      <c r="IO369" s="1613" t="s">
        <v>270</v>
      </c>
      <c r="IP369" s="1607" t="s">
        <v>270</v>
      </c>
      <c r="IQ369" s="1612" t="s">
        <v>270</v>
      </c>
      <c r="IR369" s="1612" t="s">
        <v>270</v>
      </c>
      <c r="IS369" s="1607" t="s">
        <v>270</v>
      </c>
      <c r="IT369" s="1607" t="s">
        <v>270</v>
      </c>
      <c r="IU369" s="1611" t="s">
        <v>270</v>
      </c>
      <c r="IV369" s="1611" t="s">
        <v>270</v>
      </c>
      <c r="IW369" s="1611" t="s">
        <v>270</v>
      </c>
      <c r="IX369" s="1611" t="s">
        <v>270</v>
      </c>
      <c r="IY369" s="1611" t="s">
        <v>270</v>
      </c>
      <c r="IZ369" s="1611" t="s">
        <v>270</v>
      </c>
      <c r="JA369" s="1611" t="s">
        <v>270</v>
      </c>
      <c r="JB369" s="1611" t="s">
        <v>270</v>
      </c>
      <c r="JC369" s="1611" t="s">
        <v>270</v>
      </c>
      <c r="JD369" s="1611" t="s">
        <v>270</v>
      </c>
      <c r="JE369" s="1611" t="s">
        <v>270</v>
      </c>
      <c r="JF369" s="1611" t="s">
        <v>270</v>
      </c>
      <c r="JG369" s="1611" t="s">
        <v>270</v>
      </c>
      <c r="JH369" s="1611" t="s">
        <v>270</v>
      </c>
      <c r="JI369" s="1611" t="s">
        <v>270</v>
      </c>
      <c r="JJ369" s="1611" t="s">
        <v>270</v>
      </c>
      <c r="JK369" s="1607" t="str">
        <f t="shared" si="14"/>
        <v/>
      </c>
      <c r="JL369" s="1608" t="s">
        <v>270</v>
      </c>
      <c r="JM369" s="1610" t="s">
        <v>270</v>
      </c>
      <c r="JN369" s="1608" t="s">
        <v>270</v>
      </c>
      <c r="JO369" s="1609" t="s">
        <v>270</v>
      </c>
      <c r="JP369" s="1608" t="s">
        <v>270</v>
      </c>
      <c r="JQ369" s="1607" t="s">
        <v>270</v>
      </c>
      <c r="JR369" s="1606" t="s">
        <v>270</v>
      </c>
      <c r="JS369" s="1606" t="s">
        <v>270</v>
      </c>
      <c r="JT369" s="1606" t="s">
        <v>270</v>
      </c>
    </row>
    <row r="370" spans="1:280" ht="15" customHeight="1" x14ac:dyDescent="0.2">
      <c r="A370" s="1626" t="s">
        <v>270</v>
      </c>
      <c r="B370" s="1625" t="s">
        <v>270</v>
      </c>
      <c r="C370" s="1624" t="s">
        <v>270</v>
      </c>
      <c r="D370" s="1623" t="s">
        <v>270</v>
      </c>
      <c r="E370" s="1622" t="s">
        <v>270</v>
      </c>
      <c r="F370" s="1620" t="s">
        <v>270</v>
      </c>
      <c r="G370" s="1620" t="s">
        <v>270</v>
      </c>
      <c r="H370" s="1621" t="s">
        <v>270</v>
      </c>
      <c r="I370" s="1621" t="s">
        <v>270</v>
      </c>
      <c r="J370" s="1621" t="s">
        <v>270</v>
      </c>
      <c r="K370" s="1620" t="s">
        <v>270</v>
      </c>
      <c r="L370" s="1620" t="s">
        <v>270</v>
      </c>
      <c r="M370" s="1620" t="s">
        <v>270</v>
      </c>
      <c r="N370" s="1620" t="s">
        <v>270</v>
      </c>
      <c r="O370" s="1620" t="s">
        <v>270</v>
      </c>
      <c r="P370" s="1620" t="s">
        <v>270</v>
      </c>
      <c r="Q370" s="1603"/>
      <c r="R370" s="1620" t="s">
        <v>270</v>
      </c>
      <c r="S370" s="1620" t="s">
        <v>270</v>
      </c>
      <c r="T370" s="1620" t="s">
        <v>270</v>
      </c>
      <c r="U370" s="1620" t="s">
        <v>270</v>
      </c>
      <c r="V370" s="1620" t="s">
        <v>270</v>
      </c>
      <c r="W370" s="1620" t="s">
        <v>270</v>
      </c>
      <c r="X370" s="1620"/>
      <c r="Y370" s="1620" t="s">
        <v>270</v>
      </c>
      <c r="Z370" s="1620" t="s">
        <v>270</v>
      </c>
      <c r="AA370" s="1620" t="s">
        <v>270</v>
      </c>
      <c r="AB370" s="1620" t="s">
        <v>270</v>
      </c>
      <c r="AC370" s="1620" t="s">
        <v>270</v>
      </c>
      <c r="AD370" s="1620" t="s">
        <v>270</v>
      </c>
      <c r="AE370" s="1620" t="s">
        <v>270</v>
      </c>
      <c r="AF370" s="1620" t="s">
        <v>270</v>
      </c>
      <c r="AG370" s="1620" t="s">
        <v>270</v>
      </c>
      <c r="AH370" s="1620" t="s">
        <v>270</v>
      </c>
      <c r="AI370" s="1620" t="s">
        <v>270</v>
      </c>
      <c r="AJ370" s="1620" t="s">
        <v>270</v>
      </c>
      <c r="AK370" s="1620" t="s">
        <v>270</v>
      </c>
      <c r="AL370" s="1620"/>
      <c r="AM370" s="1620" t="s">
        <v>270</v>
      </c>
      <c r="AN370" s="1620" t="s">
        <v>270</v>
      </c>
      <c r="AO370" s="1620" t="s">
        <v>270</v>
      </c>
      <c r="AP370" s="1620" t="s">
        <v>270</v>
      </c>
      <c r="AQ370" s="1620" t="s">
        <v>270</v>
      </c>
      <c r="AR370" s="1620" t="s">
        <v>270</v>
      </c>
      <c r="AS370" s="1620" t="s">
        <v>270</v>
      </c>
      <c r="AT370" s="1620" t="s">
        <v>270</v>
      </c>
      <c r="AU370" s="1620" t="s">
        <v>270</v>
      </c>
      <c r="AV370" s="1620" t="s">
        <v>270</v>
      </c>
      <c r="AW370" s="1620" t="s">
        <v>270</v>
      </c>
      <c r="AX370" s="1620"/>
      <c r="AY370" s="1620" t="s">
        <v>986</v>
      </c>
      <c r="AZ370" s="1620" t="s">
        <v>986</v>
      </c>
      <c r="BA370" s="1620" t="s">
        <v>986</v>
      </c>
      <c r="BB370" s="1620" t="s">
        <v>986</v>
      </c>
      <c r="BC370" s="1620" t="s">
        <v>986</v>
      </c>
      <c r="BD370" s="1620" t="s">
        <v>986</v>
      </c>
      <c r="BE370" s="1620" t="s">
        <v>986</v>
      </c>
      <c r="BF370" s="1620" t="s">
        <v>986</v>
      </c>
      <c r="BG370" s="1620" t="s">
        <v>986</v>
      </c>
      <c r="BH370" s="1620" t="s">
        <v>986</v>
      </c>
      <c r="BI370" s="1620" t="s">
        <v>986</v>
      </c>
      <c r="BJ370" s="1603"/>
      <c r="BK370" s="1620" t="s">
        <v>270</v>
      </c>
      <c r="BL370" s="1620" t="s">
        <v>270</v>
      </c>
      <c r="BM370" s="1620" t="s">
        <v>270</v>
      </c>
      <c r="BN370" s="1620" t="s">
        <v>270</v>
      </c>
      <c r="BO370" s="1620"/>
      <c r="BP370" s="1620" t="s">
        <v>270</v>
      </c>
      <c r="BQ370" s="1620" t="s">
        <v>270</v>
      </c>
      <c r="BR370" s="1620" t="s">
        <v>270</v>
      </c>
      <c r="BS370" s="1620" t="s">
        <v>270</v>
      </c>
      <c r="BT370" s="1603"/>
      <c r="BU370" s="1620" t="s">
        <v>270</v>
      </c>
      <c r="BV370" s="1620" t="s">
        <v>270</v>
      </c>
      <c r="BW370" s="1620" t="s">
        <v>270</v>
      </c>
      <c r="BX370" s="1620" t="s">
        <v>270</v>
      </c>
      <c r="BY370" s="1620" t="s">
        <v>270</v>
      </c>
      <c r="BZ370" s="1620" t="s">
        <v>270</v>
      </c>
      <c r="CA370" s="1620" t="s">
        <v>270</v>
      </c>
      <c r="CB370" s="1603"/>
      <c r="CC370" s="1603" t="s">
        <v>270</v>
      </c>
      <c r="CD370" s="1603" t="s">
        <v>270</v>
      </c>
      <c r="CE370" s="1603" t="s">
        <v>270</v>
      </c>
      <c r="CF370" s="1603" t="s">
        <v>270</v>
      </c>
      <c r="CG370" s="1603" t="s">
        <v>270</v>
      </c>
      <c r="CH370" s="1603" t="s">
        <v>270</v>
      </c>
      <c r="CI370" s="1603" t="s">
        <v>270</v>
      </c>
      <c r="CJ370" s="1603"/>
      <c r="CK370" s="1603" t="s">
        <v>270</v>
      </c>
      <c r="CL370" s="1603" t="s">
        <v>270</v>
      </c>
      <c r="CM370" s="1603" t="s">
        <v>270</v>
      </c>
      <c r="CN370" s="1603" t="s">
        <v>270</v>
      </c>
      <c r="CO370" s="1603" t="s">
        <v>270</v>
      </c>
      <c r="CP370" s="1603" t="s">
        <v>270</v>
      </c>
      <c r="CQ370" s="1603" t="s">
        <v>270</v>
      </c>
      <c r="CR370" s="1603" t="s">
        <v>270</v>
      </c>
      <c r="CS370" s="1603" t="s">
        <v>270</v>
      </c>
      <c r="CT370" s="1603" t="s">
        <v>270</v>
      </c>
      <c r="CU370" s="1603" t="s">
        <v>270</v>
      </c>
      <c r="CV370" s="1603" t="s">
        <v>270</v>
      </c>
      <c r="CW370" s="1603" t="s">
        <v>270</v>
      </c>
      <c r="CX370" s="1603" t="s">
        <v>270</v>
      </c>
      <c r="CY370" s="1603" t="s">
        <v>270</v>
      </c>
      <c r="CZ370" s="1603" t="s">
        <v>270</v>
      </c>
      <c r="DA370" s="1603" t="s">
        <v>270</v>
      </c>
      <c r="DB370" s="1603" t="s">
        <v>270</v>
      </c>
      <c r="DC370" s="1603" t="s">
        <v>270</v>
      </c>
      <c r="DD370" s="1603" t="s">
        <v>270</v>
      </c>
      <c r="DE370" s="1603" t="s">
        <v>270</v>
      </c>
      <c r="DF370" s="1603" t="s">
        <v>270</v>
      </c>
      <c r="DG370" s="1603" t="s">
        <v>270</v>
      </c>
      <c r="DH370" s="1619" t="s">
        <v>270</v>
      </c>
      <c r="DI370" s="1603" t="s">
        <v>270</v>
      </c>
      <c r="DJ370" s="1603" t="s">
        <v>270</v>
      </c>
      <c r="DK370" s="1603" t="s">
        <v>270</v>
      </c>
      <c r="DL370" s="1603" t="s">
        <v>270</v>
      </c>
      <c r="DM370" s="1603" t="s">
        <v>270</v>
      </c>
      <c r="DN370" s="1603" t="s">
        <v>270</v>
      </c>
      <c r="DO370" s="1603" t="s">
        <v>270</v>
      </c>
      <c r="DP370" s="1603" t="s">
        <v>270</v>
      </c>
      <c r="DQ370" s="1603" t="s">
        <v>270</v>
      </c>
      <c r="DR370" s="1603" t="s">
        <v>270</v>
      </c>
      <c r="DS370" s="1603" t="s">
        <v>270</v>
      </c>
      <c r="DT370" s="1603" t="s">
        <v>270</v>
      </c>
      <c r="DU370" s="1603" t="s">
        <v>270</v>
      </c>
      <c r="DV370" s="1603" t="s">
        <v>270</v>
      </c>
      <c r="DW370" s="1618" t="s">
        <v>986</v>
      </c>
      <c r="DX370" s="1605" t="s">
        <v>986</v>
      </c>
      <c r="DY370" s="1605" t="s">
        <v>986</v>
      </c>
      <c r="DZ370" s="1605" t="s">
        <v>986</v>
      </c>
      <c r="EA370" s="1605" t="s">
        <v>986</v>
      </c>
      <c r="EB370" s="1605" t="s">
        <v>986</v>
      </c>
      <c r="EC370" s="1605" t="s">
        <v>986</v>
      </c>
      <c r="ED370" s="1605" t="s">
        <v>986</v>
      </c>
      <c r="EE370" s="1605" t="s">
        <v>986</v>
      </c>
      <c r="EF370" s="1605" t="s">
        <v>986</v>
      </c>
      <c r="EG370" s="1605" t="s">
        <v>986</v>
      </c>
      <c r="EH370" s="1605" t="s">
        <v>986</v>
      </c>
      <c r="EI370" s="1605" t="s">
        <v>986</v>
      </c>
      <c r="EJ370" s="1605" t="s">
        <v>986</v>
      </c>
      <c r="EK370" s="1605" t="s">
        <v>986</v>
      </c>
      <c r="EL370" s="1605" t="s">
        <v>986</v>
      </c>
      <c r="EM370" s="1605" t="s">
        <v>986</v>
      </c>
      <c r="EN370" s="1605" t="s">
        <v>986</v>
      </c>
      <c r="EO370" s="1605" t="s">
        <v>986</v>
      </c>
      <c r="EP370" s="1605" t="s">
        <v>986</v>
      </c>
      <c r="EQ370" s="1605" t="s">
        <v>986</v>
      </c>
      <c r="ER370" s="1605" t="s">
        <v>986</v>
      </c>
      <c r="ES370" s="1605" t="s">
        <v>986</v>
      </c>
      <c r="ET370" s="1605" t="s">
        <v>986</v>
      </c>
      <c r="EU370" s="1605" t="s">
        <v>986</v>
      </c>
      <c r="EV370" s="1605" t="s">
        <v>986</v>
      </c>
      <c r="EW370" s="1605" t="s">
        <v>986</v>
      </c>
      <c r="EX370" s="1605" t="s">
        <v>986</v>
      </c>
      <c r="EY370" s="1605" t="s">
        <v>986</v>
      </c>
      <c r="EZ370" s="1605" t="s">
        <v>986</v>
      </c>
      <c r="FA370" s="1605" t="s">
        <v>986</v>
      </c>
      <c r="FB370" s="1605" t="s">
        <v>986</v>
      </c>
      <c r="FC370" s="1605" t="s">
        <v>986</v>
      </c>
      <c r="FD370" s="1605" t="s">
        <v>986</v>
      </c>
      <c r="FE370" s="1605" t="s">
        <v>986</v>
      </c>
      <c r="FF370" s="1605" t="s">
        <v>986</v>
      </c>
      <c r="FG370" s="1605" t="s">
        <v>986</v>
      </c>
      <c r="FH370" s="1605" t="s">
        <v>986</v>
      </c>
      <c r="FI370" s="1605" t="s">
        <v>986</v>
      </c>
      <c r="FJ370" s="1605" t="s">
        <v>986</v>
      </c>
      <c r="FK370" s="1605" t="s">
        <v>986</v>
      </c>
      <c r="FL370" s="1605" t="s">
        <v>986</v>
      </c>
      <c r="FM370" s="1605" t="s">
        <v>986</v>
      </c>
      <c r="FN370" s="1605" t="s">
        <v>986</v>
      </c>
      <c r="FO370" s="1605" t="s">
        <v>986</v>
      </c>
      <c r="FP370" s="1605" t="s">
        <v>986</v>
      </c>
      <c r="FQ370" s="1605" t="s">
        <v>986</v>
      </c>
      <c r="FR370" s="1605" t="s">
        <v>986</v>
      </c>
      <c r="FS370" s="1605" t="s">
        <v>986</v>
      </c>
      <c r="FT370" s="1605" t="s">
        <v>986</v>
      </c>
      <c r="FU370" s="1605" t="s">
        <v>986</v>
      </c>
      <c r="FV370" s="1605" t="s">
        <v>986</v>
      </c>
      <c r="FW370" s="1605" t="s">
        <v>986</v>
      </c>
      <c r="FX370" s="1605" t="s">
        <v>986</v>
      </c>
      <c r="FY370" s="1605" t="s">
        <v>986</v>
      </c>
      <c r="FZ370" s="1605" t="s">
        <v>986</v>
      </c>
      <c r="GA370" s="1605" t="s">
        <v>986</v>
      </c>
      <c r="GB370" s="1605" t="s">
        <v>986</v>
      </c>
      <c r="GC370" s="1605" t="s">
        <v>986</v>
      </c>
      <c r="GD370" s="1605" t="s">
        <v>986</v>
      </c>
      <c r="GE370" s="1605" t="s">
        <v>986</v>
      </c>
      <c r="GF370" s="1605" t="s">
        <v>986</v>
      </c>
      <c r="GG370" s="1605" t="s">
        <v>986</v>
      </c>
      <c r="GH370" s="1605" t="s">
        <v>986</v>
      </c>
      <c r="GI370" s="1605" t="s">
        <v>986</v>
      </c>
      <c r="GJ370" s="1605" t="s">
        <v>986</v>
      </c>
      <c r="GK370" s="1605" t="s">
        <v>986</v>
      </c>
      <c r="GL370" s="1605" t="s">
        <v>986</v>
      </c>
      <c r="GM370" s="1605" t="s">
        <v>986</v>
      </c>
      <c r="GN370" s="1605" t="s">
        <v>986</v>
      </c>
      <c r="GO370" s="1605" t="s">
        <v>986</v>
      </c>
      <c r="GP370" s="1605" t="s">
        <v>986</v>
      </c>
      <c r="GQ370" s="1605" t="s">
        <v>986</v>
      </c>
      <c r="GR370" s="1605" t="s">
        <v>986</v>
      </c>
      <c r="GS370" s="1605" t="s">
        <v>986</v>
      </c>
      <c r="GT370" s="1605" t="s">
        <v>986</v>
      </c>
      <c r="GU370" s="1605" t="s">
        <v>986</v>
      </c>
      <c r="GV370" s="1605" t="s">
        <v>986</v>
      </c>
      <c r="GW370" s="1605" t="s">
        <v>986</v>
      </c>
      <c r="GX370" s="1605" t="s">
        <v>986</v>
      </c>
      <c r="GY370" s="1605" t="s">
        <v>986</v>
      </c>
      <c r="GZ370" s="1605" t="s">
        <v>986</v>
      </c>
      <c r="HA370" s="1605" t="s">
        <v>986</v>
      </c>
      <c r="HB370" s="1605" t="s">
        <v>986</v>
      </c>
      <c r="HC370" s="1605" t="s">
        <v>986</v>
      </c>
      <c r="HD370" s="1605" t="s">
        <v>986</v>
      </c>
      <c r="HE370" s="1605" t="s">
        <v>986</v>
      </c>
      <c r="HF370" s="1605" t="s">
        <v>986</v>
      </c>
      <c r="HG370" s="1605" t="s">
        <v>986</v>
      </c>
      <c r="HH370" s="1605" t="s">
        <v>986</v>
      </c>
      <c r="HI370" s="1605" t="s">
        <v>986</v>
      </c>
      <c r="HJ370" s="1605" t="s">
        <v>986</v>
      </c>
      <c r="HK370" s="1605" t="s">
        <v>986</v>
      </c>
      <c r="HL370" s="1605" t="s">
        <v>986</v>
      </c>
      <c r="HM370" s="1605" t="s">
        <v>986</v>
      </c>
      <c r="HN370" s="1605" t="s">
        <v>986</v>
      </c>
      <c r="HO370" s="1605" t="s">
        <v>986</v>
      </c>
      <c r="HP370" s="1605" t="s">
        <v>986</v>
      </c>
      <c r="HQ370" s="1605" t="s">
        <v>986</v>
      </c>
      <c r="HR370" s="1605" t="s">
        <v>986</v>
      </c>
      <c r="HS370" s="1605" t="s">
        <v>986</v>
      </c>
      <c r="HT370" s="1605" t="s">
        <v>986</v>
      </c>
      <c r="HU370" s="1605" t="s">
        <v>986</v>
      </c>
      <c r="HV370" s="1617"/>
      <c r="HW370" s="1617" t="s">
        <v>986</v>
      </c>
      <c r="HX370" s="1617" t="s">
        <v>986</v>
      </c>
      <c r="HY370" s="1617" t="s">
        <v>986</v>
      </c>
      <c r="HZ370" s="1603"/>
      <c r="IA370" s="1603"/>
      <c r="IB370" s="1603"/>
      <c r="IC370" s="1603" t="s">
        <v>270</v>
      </c>
      <c r="ID370" s="1603" t="s">
        <v>270</v>
      </c>
      <c r="IE370" s="1603" t="s">
        <v>270</v>
      </c>
      <c r="IF370" s="1603" t="s">
        <v>270</v>
      </c>
      <c r="IG370" s="1611" t="s">
        <v>270</v>
      </c>
      <c r="IH370" s="1616" t="s">
        <v>270</v>
      </c>
      <c r="II370" s="1615" t="s">
        <v>270</v>
      </c>
      <c r="IJ370" s="1613" t="s">
        <v>270</v>
      </c>
      <c r="IK370" s="1613" t="s">
        <v>270</v>
      </c>
      <c r="IL370" s="1614" t="s">
        <v>270</v>
      </c>
      <c r="IM370" s="1614" t="s">
        <v>270</v>
      </c>
      <c r="IN370" s="1612" t="s">
        <v>270</v>
      </c>
      <c r="IO370" s="1613" t="s">
        <v>270</v>
      </c>
      <c r="IP370" s="1607" t="s">
        <v>270</v>
      </c>
      <c r="IQ370" s="1612" t="s">
        <v>270</v>
      </c>
      <c r="IR370" s="1612" t="s">
        <v>270</v>
      </c>
      <c r="IS370" s="1607" t="s">
        <v>270</v>
      </c>
      <c r="IT370" s="1607" t="s">
        <v>270</v>
      </c>
      <c r="IU370" s="1611" t="s">
        <v>270</v>
      </c>
      <c r="IV370" s="1611" t="s">
        <v>270</v>
      </c>
      <c r="IW370" s="1611" t="s">
        <v>270</v>
      </c>
      <c r="IX370" s="1611" t="s">
        <v>270</v>
      </c>
      <c r="IY370" s="1611" t="s">
        <v>270</v>
      </c>
      <c r="IZ370" s="1611" t="s">
        <v>270</v>
      </c>
      <c r="JA370" s="1611" t="s">
        <v>270</v>
      </c>
      <c r="JB370" s="1611" t="s">
        <v>270</v>
      </c>
      <c r="JC370" s="1611" t="s">
        <v>270</v>
      </c>
      <c r="JD370" s="1611" t="s">
        <v>270</v>
      </c>
      <c r="JE370" s="1611" t="s">
        <v>270</v>
      </c>
      <c r="JF370" s="1611" t="s">
        <v>270</v>
      </c>
      <c r="JG370" s="1611" t="s">
        <v>270</v>
      </c>
      <c r="JH370" s="1611" t="s">
        <v>270</v>
      </c>
      <c r="JI370" s="1611" t="s">
        <v>270</v>
      </c>
      <c r="JJ370" s="1611" t="s">
        <v>270</v>
      </c>
      <c r="JK370" s="1607" t="str">
        <f t="shared" si="14"/>
        <v/>
      </c>
      <c r="JL370" s="1608" t="s">
        <v>270</v>
      </c>
      <c r="JM370" s="1610" t="s">
        <v>270</v>
      </c>
      <c r="JN370" s="1608" t="s">
        <v>270</v>
      </c>
      <c r="JO370" s="1609" t="s">
        <v>270</v>
      </c>
      <c r="JP370" s="1608" t="s">
        <v>270</v>
      </c>
      <c r="JQ370" s="1607" t="s">
        <v>270</v>
      </c>
      <c r="JR370" s="1606" t="s">
        <v>270</v>
      </c>
      <c r="JS370" s="1606" t="s">
        <v>270</v>
      </c>
      <c r="JT370" s="1606" t="s">
        <v>270</v>
      </c>
    </row>
    <row r="371" spans="1:280" x14ac:dyDescent="0.2">
      <c r="DX371" s="1605" t="s">
        <v>986</v>
      </c>
      <c r="DY371" s="1605" t="s">
        <v>986</v>
      </c>
      <c r="DZ371" s="1605" t="s">
        <v>986</v>
      </c>
      <c r="EA371" s="1605" t="s">
        <v>986</v>
      </c>
      <c r="EB371" s="1605" t="s">
        <v>986</v>
      </c>
      <c r="EC371" s="1605" t="s">
        <v>986</v>
      </c>
      <c r="ED371" s="1605" t="s">
        <v>986</v>
      </c>
      <c r="EE371" s="1605" t="s">
        <v>986</v>
      </c>
      <c r="EF371" s="1605" t="s">
        <v>986</v>
      </c>
      <c r="EG371" s="1605" t="s">
        <v>986</v>
      </c>
      <c r="EH371" s="1605" t="s">
        <v>986</v>
      </c>
      <c r="EI371" s="1605" t="s">
        <v>986</v>
      </c>
      <c r="EJ371" s="1605" t="s">
        <v>986</v>
      </c>
      <c r="EK371" s="1605" t="s">
        <v>986</v>
      </c>
      <c r="EL371" s="1605" t="s">
        <v>986</v>
      </c>
      <c r="EM371" s="1605" t="s">
        <v>986</v>
      </c>
      <c r="EN371" s="1605" t="s">
        <v>986</v>
      </c>
      <c r="EO371" s="1605" t="s">
        <v>986</v>
      </c>
      <c r="EP371" s="1605" t="s">
        <v>986</v>
      </c>
      <c r="EQ371" s="1605" t="s">
        <v>986</v>
      </c>
      <c r="ER371" s="1605" t="s">
        <v>986</v>
      </c>
      <c r="ES371" s="1605" t="s">
        <v>986</v>
      </c>
      <c r="ET371" s="1605" t="s">
        <v>986</v>
      </c>
      <c r="EU371" s="1605" t="s">
        <v>986</v>
      </c>
      <c r="EV371" s="1605" t="s">
        <v>986</v>
      </c>
      <c r="EW371" s="1605" t="s">
        <v>986</v>
      </c>
      <c r="EX371" s="1605" t="s">
        <v>986</v>
      </c>
      <c r="EY371" s="1605" t="s">
        <v>986</v>
      </c>
      <c r="EZ371" s="1605" t="s">
        <v>986</v>
      </c>
      <c r="FA371" s="1605" t="s">
        <v>986</v>
      </c>
      <c r="FB371" s="1605" t="s">
        <v>986</v>
      </c>
      <c r="FC371" s="1605" t="s">
        <v>986</v>
      </c>
      <c r="FD371" s="1605" t="s">
        <v>986</v>
      </c>
      <c r="FE371" s="1605" t="s">
        <v>986</v>
      </c>
      <c r="FF371" s="1605" t="s">
        <v>986</v>
      </c>
      <c r="FG371" s="1605" t="s">
        <v>986</v>
      </c>
      <c r="FH371" s="1605" t="s">
        <v>986</v>
      </c>
      <c r="FI371" s="1605" t="s">
        <v>986</v>
      </c>
      <c r="FJ371" s="1605" t="s">
        <v>986</v>
      </c>
      <c r="FK371" s="1605" t="s">
        <v>986</v>
      </c>
      <c r="FL371" s="1605" t="s">
        <v>986</v>
      </c>
      <c r="FM371" s="1605" t="s">
        <v>986</v>
      </c>
      <c r="FN371" s="1605" t="s">
        <v>986</v>
      </c>
      <c r="FO371" s="1605" t="s">
        <v>986</v>
      </c>
      <c r="FP371" s="1605" t="s">
        <v>986</v>
      </c>
      <c r="FQ371" s="1605" t="s">
        <v>986</v>
      </c>
      <c r="FR371" s="1605" t="s">
        <v>986</v>
      </c>
      <c r="FS371" s="1605" t="s">
        <v>986</v>
      </c>
      <c r="FT371" s="1605" t="s">
        <v>986</v>
      </c>
      <c r="FU371" s="1605" t="s">
        <v>986</v>
      </c>
      <c r="FV371" s="1605" t="s">
        <v>986</v>
      </c>
      <c r="FW371" s="1605" t="s">
        <v>986</v>
      </c>
      <c r="FX371" s="1605" t="s">
        <v>986</v>
      </c>
      <c r="FY371" s="1605" t="s">
        <v>986</v>
      </c>
      <c r="FZ371" s="1605" t="s">
        <v>986</v>
      </c>
      <c r="GA371" s="1605" t="s">
        <v>986</v>
      </c>
      <c r="GB371" s="1605" t="s">
        <v>986</v>
      </c>
      <c r="GC371" s="1605" t="s">
        <v>986</v>
      </c>
      <c r="GD371" s="1605" t="s">
        <v>986</v>
      </c>
      <c r="GE371" s="1605" t="s">
        <v>986</v>
      </c>
      <c r="GF371" s="1605" t="s">
        <v>986</v>
      </c>
      <c r="GG371" s="1605" t="s">
        <v>986</v>
      </c>
      <c r="GH371" s="1605" t="s">
        <v>986</v>
      </c>
      <c r="GI371" s="1605" t="s">
        <v>986</v>
      </c>
      <c r="GJ371" s="1605" t="s">
        <v>986</v>
      </c>
      <c r="GK371" s="1605" t="s">
        <v>986</v>
      </c>
      <c r="GL371" s="1605" t="s">
        <v>986</v>
      </c>
      <c r="GM371" s="1605" t="s">
        <v>986</v>
      </c>
      <c r="GN371" s="1605" t="s">
        <v>986</v>
      </c>
      <c r="GO371" s="1605" t="s">
        <v>986</v>
      </c>
      <c r="GP371" s="1605" t="s">
        <v>986</v>
      </c>
      <c r="GQ371" s="1605" t="s">
        <v>986</v>
      </c>
      <c r="GR371" s="1605" t="s">
        <v>986</v>
      </c>
      <c r="GS371" s="1605" t="s">
        <v>986</v>
      </c>
      <c r="GT371" s="1605" t="s">
        <v>986</v>
      </c>
      <c r="GU371" s="1605" t="s">
        <v>986</v>
      </c>
      <c r="GV371" s="1605" t="s">
        <v>986</v>
      </c>
      <c r="GW371" s="1605" t="s">
        <v>986</v>
      </c>
      <c r="GX371" s="1605" t="s">
        <v>986</v>
      </c>
      <c r="GY371" s="1605" t="s">
        <v>986</v>
      </c>
      <c r="GZ371" s="1605" t="s">
        <v>986</v>
      </c>
      <c r="HA371" s="1605" t="s">
        <v>986</v>
      </c>
      <c r="HB371" s="1605" t="s">
        <v>986</v>
      </c>
      <c r="HC371" s="1605" t="s">
        <v>986</v>
      </c>
      <c r="HD371" s="1605" t="s">
        <v>986</v>
      </c>
      <c r="HE371" s="1605" t="s">
        <v>986</v>
      </c>
      <c r="HF371" s="1605" t="s">
        <v>986</v>
      </c>
      <c r="HG371" s="1605" t="s">
        <v>986</v>
      </c>
      <c r="HH371" s="1605" t="s">
        <v>986</v>
      </c>
      <c r="HI371" s="1605" t="s">
        <v>986</v>
      </c>
      <c r="HJ371" s="1605" t="s">
        <v>986</v>
      </c>
      <c r="HK371" s="1605" t="s">
        <v>986</v>
      </c>
      <c r="HL371" s="1605" t="s">
        <v>986</v>
      </c>
      <c r="HM371" s="1605" t="s">
        <v>986</v>
      </c>
      <c r="HN371" s="1605" t="s">
        <v>986</v>
      </c>
      <c r="HO371" s="1605" t="s">
        <v>986</v>
      </c>
      <c r="HP371" s="1605" t="s">
        <v>986</v>
      </c>
      <c r="HQ371" s="1605" t="s">
        <v>986</v>
      </c>
      <c r="HR371" s="1605" t="s">
        <v>986</v>
      </c>
      <c r="HS371" s="1605" t="s">
        <v>986</v>
      </c>
      <c r="HT371" s="1605" t="s">
        <v>986</v>
      </c>
      <c r="HU371" s="1605" t="s">
        <v>986</v>
      </c>
    </row>
    <row r="372" spans="1:280" x14ac:dyDescent="0.2">
      <c r="DX372" s="1605" t="s">
        <v>986</v>
      </c>
      <c r="DY372" s="1605" t="s">
        <v>986</v>
      </c>
      <c r="DZ372" s="1605" t="s">
        <v>986</v>
      </c>
      <c r="EA372" s="1605" t="s">
        <v>986</v>
      </c>
      <c r="EB372" s="1605" t="s">
        <v>986</v>
      </c>
      <c r="EC372" s="1605" t="s">
        <v>986</v>
      </c>
      <c r="ED372" s="1605" t="s">
        <v>986</v>
      </c>
      <c r="EE372" s="1605" t="s">
        <v>986</v>
      </c>
      <c r="EF372" s="1605" t="s">
        <v>986</v>
      </c>
      <c r="EG372" s="1605" t="s">
        <v>986</v>
      </c>
      <c r="EH372" s="1605" t="s">
        <v>986</v>
      </c>
      <c r="EI372" s="1605" t="s">
        <v>986</v>
      </c>
      <c r="EJ372" s="1605" t="s">
        <v>986</v>
      </c>
      <c r="EK372" s="1605" t="s">
        <v>986</v>
      </c>
      <c r="EL372" s="1605" t="s">
        <v>986</v>
      </c>
      <c r="EM372" s="1605" t="s">
        <v>986</v>
      </c>
      <c r="EN372" s="1605" t="s">
        <v>986</v>
      </c>
      <c r="EO372" s="1605" t="s">
        <v>986</v>
      </c>
      <c r="EP372" s="1605" t="s">
        <v>986</v>
      </c>
      <c r="EQ372" s="1605" t="s">
        <v>986</v>
      </c>
      <c r="ER372" s="1605" t="s">
        <v>986</v>
      </c>
      <c r="ES372" s="1605" t="s">
        <v>986</v>
      </c>
      <c r="ET372" s="1605" t="s">
        <v>986</v>
      </c>
      <c r="EU372" s="1605" t="s">
        <v>986</v>
      </c>
      <c r="EV372" s="1605" t="s">
        <v>986</v>
      </c>
      <c r="EW372" s="1605" t="s">
        <v>986</v>
      </c>
      <c r="EX372" s="1605" t="s">
        <v>986</v>
      </c>
      <c r="EY372" s="1605" t="s">
        <v>986</v>
      </c>
      <c r="EZ372" s="1605" t="s">
        <v>986</v>
      </c>
      <c r="FA372" s="1605" t="s">
        <v>986</v>
      </c>
      <c r="FB372" s="1605" t="s">
        <v>986</v>
      </c>
      <c r="FC372" s="1605" t="s">
        <v>986</v>
      </c>
      <c r="FD372" s="1605" t="s">
        <v>986</v>
      </c>
      <c r="FE372" s="1605" t="s">
        <v>986</v>
      </c>
      <c r="FF372" s="1605" t="s">
        <v>986</v>
      </c>
      <c r="FG372" s="1605" t="s">
        <v>986</v>
      </c>
      <c r="FH372" s="1605" t="s">
        <v>986</v>
      </c>
      <c r="FI372" s="1605" t="s">
        <v>986</v>
      </c>
      <c r="FJ372" s="1605" t="s">
        <v>986</v>
      </c>
      <c r="FK372" s="1605" t="s">
        <v>986</v>
      </c>
      <c r="FL372" s="1605" t="s">
        <v>986</v>
      </c>
      <c r="FM372" s="1605" t="s">
        <v>986</v>
      </c>
      <c r="FN372" s="1605" t="s">
        <v>986</v>
      </c>
      <c r="FO372" s="1605" t="s">
        <v>986</v>
      </c>
      <c r="FP372" s="1605" t="s">
        <v>986</v>
      </c>
      <c r="FQ372" s="1605" t="s">
        <v>986</v>
      </c>
      <c r="FR372" s="1605" t="s">
        <v>986</v>
      </c>
      <c r="FS372" s="1605" t="s">
        <v>986</v>
      </c>
      <c r="FT372" s="1605" t="s">
        <v>986</v>
      </c>
      <c r="FU372" s="1605" t="s">
        <v>986</v>
      </c>
      <c r="FV372" s="1605" t="s">
        <v>986</v>
      </c>
      <c r="FW372" s="1605" t="s">
        <v>986</v>
      </c>
      <c r="FX372" s="1605" t="s">
        <v>986</v>
      </c>
      <c r="FY372" s="1605" t="s">
        <v>986</v>
      </c>
      <c r="FZ372" s="1605" t="s">
        <v>986</v>
      </c>
      <c r="GA372" s="1605" t="s">
        <v>986</v>
      </c>
      <c r="GB372" s="1605" t="s">
        <v>986</v>
      </c>
      <c r="GC372" s="1605" t="s">
        <v>986</v>
      </c>
      <c r="GD372" s="1605" t="s">
        <v>986</v>
      </c>
      <c r="GE372" s="1605" t="s">
        <v>986</v>
      </c>
      <c r="GF372" s="1605" t="s">
        <v>986</v>
      </c>
      <c r="GG372" s="1605" t="s">
        <v>986</v>
      </c>
      <c r="GH372" s="1605" t="s">
        <v>986</v>
      </c>
      <c r="GI372" s="1605" t="s">
        <v>986</v>
      </c>
      <c r="GJ372" s="1605" t="s">
        <v>986</v>
      </c>
      <c r="GK372" s="1605" t="s">
        <v>986</v>
      </c>
      <c r="GL372" s="1605" t="s">
        <v>986</v>
      </c>
      <c r="GM372" s="1605" t="s">
        <v>986</v>
      </c>
      <c r="GN372" s="1605" t="s">
        <v>986</v>
      </c>
      <c r="GO372" s="1605" t="s">
        <v>986</v>
      </c>
      <c r="GP372" s="1605" t="s">
        <v>986</v>
      </c>
      <c r="GQ372" s="1605" t="s">
        <v>986</v>
      </c>
      <c r="GR372" s="1605" t="s">
        <v>986</v>
      </c>
      <c r="GS372" s="1605" t="s">
        <v>986</v>
      </c>
      <c r="GT372" s="1605" t="s">
        <v>986</v>
      </c>
      <c r="GU372" s="1605" t="s">
        <v>986</v>
      </c>
      <c r="GV372" s="1605" t="s">
        <v>986</v>
      </c>
      <c r="GW372" s="1605" t="s">
        <v>986</v>
      </c>
      <c r="GX372" s="1605" t="s">
        <v>986</v>
      </c>
      <c r="GY372" s="1605" t="s">
        <v>986</v>
      </c>
      <c r="GZ372" s="1605" t="s">
        <v>986</v>
      </c>
      <c r="HA372" s="1605" t="s">
        <v>986</v>
      </c>
      <c r="HB372" s="1605" t="s">
        <v>986</v>
      </c>
      <c r="HC372" s="1605" t="s">
        <v>986</v>
      </c>
      <c r="HD372" s="1605" t="s">
        <v>986</v>
      </c>
      <c r="HE372" s="1605" t="s">
        <v>986</v>
      </c>
      <c r="HF372" s="1605" t="s">
        <v>986</v>
      </c>
      <c r="HG372" s="1605" t="s">
        <v>986</v>
      </c>
      <c r="HH372" s="1605" t="s">
        <v>986</v>
      </c>
      <c r="HI372" s="1605" t="s">
        <v>986</v>
      </c>
      <c r="HJ372" s="1605" t="s">
        <v>986</v>
      </c>
      <c r="HK372" s="1605" t="s">
        <v>986</v>
      </c>
      <c r="HL372" s="1605" t="s">
        <v>986</v>
      </c>
      <c r="HM372" s="1605" t="s">
        <v>986</v>
      </c>
      <c r="HN372" s="1605" t="s">
        <v>986</v>
      </c>
      <c r="HO372" s="1605" t="s">
        <v>986</v>
      </c>
      <c r="HP372" s="1605" t="s">
        <v>986</v>
      </c>
      <c r="HQ372" s="1605" t="s">
        <v>986</v>
      </c>
      <c r="HR372" s="1605" t="s">
        <v>986</v>
      </c>
      <c r="HS372" s="1605" t="s">
        <v>986</v>
      </c>
      <c r="HT372" s="1605" t="s">
        <v>986</v>
      </c>
      <c r="HU372" s="1605" t="s">
        <v>986</v>
      </c>
    </row>
    <row r="373" spans="1:280" x14ac:dyDescent="0.2">
      <c r="DX373" s="1605" t="s">
        <v>986</v>
      </c>
      <c r="DY373" s="1605" t="s">
        <v>986</v>
      </c>
      <c r="DZ373" s="1605" t="s">
        <v>986</v>
      </c>
      <c r="EA373" s="1605" t="s">
        <v>986</v>
      </c>
      <c r="EB373" s="1605" t="s">
        <v>986</v>
      </c>
      <c r="EC373" s="1605" t="s">
        <v>986</v>
      </c>
      <c r="ED373" s="1605" t="s">
        <v>986</v>
      </c>
      <c r="EE373" s="1605" t="s">
        <v>986</v>
      </c>
      <c r="EF373" s="1605" t="s">
        <v>986</v>
      </c>
      <c r="EG373" s="1605" t="s">
        <v>986</v>
      </c>
      <c r="EH373" s="1605" t="s">
        <v>986</v>
      </c>
      <c r="EI373" s="1605" t="s">
        <v>986</v>
      </c>
      <c r="EJ373" s="1605" t="s">
        <v>986</v>
      </c>
      <c r="EK373" s="1605" t="s">
        <v>986</v>
      </c>
      <c r="EL373" s="1605" t="s">
        <v>986</v>
      </c>
      <c r="EM373" s="1605" t="s">
        <v>986</v>
      </c>
      <c r="EN373" s="1605" t="s">
        <v>986</v>
      </c>
      <c r="EO373" s="1605" t="s">
        <v>986</v>
      </c>
      <c r="EP373" s="1605" t="s">
        <v>986</v>
      </c>
      <c r="EQ373" s="1605" t="s">
        <v>986</v>
      </c>
      <c r="ER373" s="1605" t="s">
        <v>986</v>
      </c>
      <c r="ES373" s="1605" t="s">
        <v>986</v>
      </c>
      <c r="ET373" s="1605" t="s">
        <v>986</v>
      </c>
      <c r="EU373" s="1605" t="s">
        <v>986</v>
      </c>
      <c r="EV373" s="1605" t="s">
        <v>986</v>
      </c>
      <c r="EW373" s="1605" t="s">
        <v>986</v>
      </c>
      <c r="EX373" s="1605" t="s">
        <v>986</v>
      </c>
      <c r="EY373" s="1605" t="s">
        <v>986</v>
      </c>
      <c r="EZ373" s="1605" t="s">
        <v>986</v>
      </c>
      <c r="FA373" s="1605" t="s">
        <v>986</v>
      </c>
      <c r="FB373" s="1605" t="s">
        <v>986</v>
      </c>
      <c r="FC373" s="1605" t="s">
        <v>986</v>
      </c>
      <c r="FD373" s="1605" t="s">
        <v>986</v>
      </c>
      <c r="FE373" s="1605" t="s">
        <v>986</v>
      </c>
      <c r="FF373" s="1605" t="s">
        <v>986</v>
      </c>
      <c r="FG373" s="1605" t="s">
        <v>986</v>
      </c>
      <c r="FH373" s="1605" t="s">
        <v>986</v>
      </c>
      <c r="FI373" s="1605" t="s">
        <v>986</v>
      </c>
      <c r="FJ373" s="1605" t="s">
        <v>986</v>
      </c>
      <c r="FK373" s="1605" t="s">
        <v>986</v>
      </c>
      <c r="FL373" s="1605" t="s">
        <v>986</v>
      </c>
      <c r="FM373" s="1605" t="s">
        <v>986</v>
      </c>
      <c r="FN373" s="1605" t="s">
        <v>986</v>
      </c>
      <c r="FO373" s="1605" t="s">
        <v>986</v>
      </c>
      <c r="FP373" s="1605" t="s">
        <v>986</v>
      </c>
      <c r="FQ373" s="1605" t="s">
        <v>986</v>
      </c>
      <c r="FR373" s="1605" t="s">
        <v>986</v>
      </c>
      <c r="FS373" s="1605" t="s">
        <v>986</v>
      </c>
      <c r="FT373" s="1605" t="s">
        <v>986</v>
      </c>
      <c r="FU373" s="1605" t="s">
        <v>986</v>
      </c>
      <c r="FV373" s="1605" t="s">
        <v>986</v>
      </c>
      <c r="FW373" s="1605" t="s">
        <v>986</v>
      </c>
      <c r="FX373" s="1605" t="s">
        <v>986</v>
      </c>
      <c r="FY373" s="1605" t="s">
        <v>986</v>
      </c>
      <c r="FZ373" s="1605" t="s">
        <v>986</v>
      </c>
      <c r="GA373" s="1605" t="s">
        <v>986</v>
      </c>
      <c r="GB373" s="1605" t="s">
        <v>986</v>
      </c>
      <c r="GC373" s="1605" t="s">
        <v>986</v>
      </c>
      <c r="GD373" s="1605" t="s">
        <v>986</v>
      </c>
      <c r="GE373" s="1605" t="s">
        <v>986</v>
      </c>
      <c r="GF373" s="1605" t="s">
        <v>986</v>
      </c>
      <c r="GG373" s="1605" t="s">
        <v>986</v>
      </c>
      <c r="GH373" s="1605" t="s">
        <v>986</v>
      </c>
      <c r="GI373" s="1605" t="s">
        <v>986</v>
      </c>
      <c r="GJ373" s="1605" t="s">
        <v>986</v>
      </c>
      <c r="GK373" s="1605" t="s">
        <v>986</v>
      </c>
      <c r="GL373" s="1605" t="s">
        <v>986</v>
      </c>
      <c r="GM373" s="1605" t="s">
        <v>986</v>
      </c>
      <c r="GN373" s="1605" t="s">
        <v>986</v>
      </c>
      <c r="GO373" s="1605" t="s">
        <v>986</v>
      </c>
      <c r="GP373" s="1605" t="s">
        <v>986</v>
      </c>
      <c r="GQ373" s="1605" t="s">
        <v>986</v>
      </c>
      <c r="GR373" s="1605" t="s">
        <v>986</v>
      </c>
      <c r="GS373" s="1605" t="s">
        <v>986</v>
      </c>
      <c r="GT373" s="1605" t="s">
        <v>986</v>
      </c>
      <c r="GU373" s="1605" t="s">
        <v>986</v>
      </c>
      <c r="GV373" s="1605" t="s">
        <v>986</v>
      </c>
      <c r="GW373" s="1605" t="s">
        <v>986</v>
      </c>
      <c r="GX373" s="1605" t="s">
        <v>986</v>
      </c>
      <c r="GY373" s="1605" t="s">
        <v>986</v>
      </c>
      <c r="GZ373" s="1605" t="s">
        <v>986</v>
      </c>
      <c r="HA373" s="1605" t="s">
        <v>986</v>
      </c>
      <c r="HB373" s="1605" t="s">
        <v>986</v>
      </c>
      <c r="HC373" s="1605" t="s">
        <v>986</v>
      </c>
      <c r="HD373" s="1605" t="s">
        <v>986</v>
      </c>
      <c r="HE373" s="1605" t="s">
        <v>986</v>
      </c>
      <c r="HF373" s="1605" t="s">
        <v>986</v>
      </c>
      <c r="HG373" s="1605" t="s">
        <v>986</v>
      </c>
      <c r="HH373" s="1605" t="s">
        <v>986</v>
      </c>
      <c r="HI373" s="1605" t="s">
        <v>986</v>
      </c>
      <c r="HJ373" s="1605" t="s">
        <v>986</v>
      </c>
      <c r="HK373" s="1605" t="s">
        <v>986</v>
      </c>
      <c r="HL373" s="1605" t="s">
        <v>986</v>
      </c>
      <c r="HM373" s="1605" t="s">
        <v>986</v>
      </c>
      <c r="HN373" s="1605" t="s">
        <v>986</v>
      </c>
      <c r="HO373" s="1605" t="s">
        <v>986</v>
      </c>
      <c r="HP373" s="1605" t="s">
        <v>986</v>
      </c>
      <c r="HQ373" s="1605" t="s">
        <v>986</v>
      </c>
      <c r="HR373" s="1605" t="s">
        <v>986</v>
      </c>
      <c r="HS373" s="1605" t="s">
        <v>986</v>
      </c>
      <c r="HT373" s="1605" t="s">
        <v>986</v>
      </c>
      <c r="HU373" s="1605" t="s">
        <v>986</v>
      </c>
    </row>
    <row r="374" spans="1:280" x14ac:dyDescent="0.2">
      <c r="DX374" s="1605" t="s">
        <v>986</v>
      </c>
      <c r="DY374" s="1605" t="s">
        <v>986</v>
      </c>
      <c r="DZ374" s="1605" t="s">
        <v>986</v>
      </c>
      <c r="EA374" s="1605" t="s">
        <v>986</v>
      </c>
      <c r="EB374" s="1605" t="s">
        <v>986</v>
      </c>
      <c r="EC374" s="1605" t="s">
        <v>986</v>
      </c>
      <c r="ED374" s="1605" t="s">
        <v>986</v>
      </c>
      <c r="EE374" s="1605" t="s">
        <v>986</v>
      </c>
      <c r="EF374" s="1605" t="s">
        <v>986</v>
      </c>
      <c r="EG374" s="1605" t="s">
        <v>986</v>
      </c>
      <c r="EH374" s="1605" t="s">
        <v>986</v>
      </c>
      <c r="EI374" s="1605" t="s">
        <v>986</v>
      </c>
      <c r="EJ374" s="1605" t="s">
        <v>986</v>
      </c>
      <c r="EK374" s="1605" t="s">
        <v>986</v>
      </c>
      <c r="EL374" s="1605" t="s">
        <v>986</v>
      </c>
      <c r="EM374" s="1605" t="s">
        <v>986</v>
      </c>
      <c r="EN374" s="1605" t="s">
        <v>986</v>
      </c>
      <c r="EO374" s="1605" t="s">
        <v>986</v>
      </c>
      <c r="EP374" s="1605" t="s">
        <v>986</v>
      </c>
      <c r="EQ374" s="1605" t="s">
        <v>986</v>
      </c>
      <c r="ER374" s="1605" t="s">
        <v>986</v>
      </c>
      <c r="ES374" s="1605" t="s">
        <v>986</v>
      </c>
      <c r="ET374" s="1605" t="s">
        <v>986</v>
      </c>
      <c r="EU374" s="1605" t="s">
        <v>986</v>
      </c>
      <c r="EV374" s="1605" t="s">
        <v>986</v>
      </c>
      <c r="EW374" s="1605" t="s">
        <v>986</v>
      </c>
      <c r="EX374" s="1605" t="s">
        <v>986</v>
      </c>
      <c r="EY374" s="1605" t="s">
        <v>986</v>
      </c>
      <c r="EZ374" s="1605" t="s">
        <v>986</v>
      </c>
      <c r="FA374" s="1605" t="s">
        <v>986</v>
      </c>
      <c r="FB374" s="1605" t="s">
        <v>986</v>
      </c>
      <c r="FC374" s="1605" t="s">
        <v>986</v>
      </c>
      <c r="FD374" s="1605" t="s">
        <v>986</v>
      </c>
      <c r="FE374" s="1605" t="s">
        <v>986</v>
      </c>
      <c r="FF374" s="1605" t="s">
        <v>986</v>
      </c>
      <c r="FG374" s="1605" t="s">
        <v>986</v>
      </c>
      <c r="FH374" s="1605" t="s">
        <v>986</v>
      </c>
      <c r="FI374" s="1605" t="s">
        <v>986</v>
      </c>
      <c r="FJ374" s="1605" t="s">
        <v>986</v>
      </c>
      <c r="FK374" s="1605" t="s">
        <v>986</v>
      </c>
      <c r="FL374" s="1605" t="s">
        <v>986</v>
      </c>
      <c r="FM374" s="1605" t="s">
        <v>986</v>
      </c>
      <c r="FN374" s="1605" t="s">
        <v>986</v>
      </c>
      <c r="FO374" s="1605" t="s">
        <v>986</v>
      </c>
      <c r="FP374" s="1605" t="s">
        <v>986</v>
      </c>
      <c r="FQ374" s="1605" t="s">
        <v>986</v>
      </c>
      <c r="FR374" s="1605" t="s">
        <v>986</v>
      </c>
      <c r="FS374" s="1605" t="s">
        <v>986</v>
      </c>
      <c r="FT374" s="1605" t="s">
        <v>986</v>
      </c>
      <c r="FU374" s="1605" t="s">
        <v>986</v>
      </c>
      <c r="FV374" s="1605" t="s">
        <v>986</v>
      </c>
      <c r="FW374" s="1605" t="s">
        <v>986</v>
      </c>
      <c r="FX374" s="1605" t="s">
        <v>986</v>
      </c>
      <c r="FY374" s="1605" t="s">
        <v>986</v>
      </c>
      <c r="FZ374" s="1605" t="s">
        <v>986</v>
      </c>
      <c r="GA374" s="1605" t="s">
        <v>986</v>
      </c>
      <c r="GB374" s="1605" t="s">
        <v>986</v>
      </c>
      <c r="GC374" s="1605" t="s">
        <v>986</v>
      </c>
      <c r="GD374" s="1605" t="s">
        <v>986</v>
      </c>
      <c r="GE374" s="1605" t="s">
        <v>986</v>
      </c>
      <c r="GF374" s="1605" t="s">
        <v>986</v>
      </c>
      <c r="GG374" s="1605" t="s">
        <v>986</v>
      </c>
      <c r="GH374" s="1605" t="s">
        <v>986</v>
      </c>
      <c r="GI374" s="1605" t="s">
        <v>986</v>
      </c>
      <c r="GJ374" s="1605" t="s">
        <v>986</v>
      </c>
      <c r="GK374" s="1605" t="s">
        <v>986</v>
      </c>
      <c r="GL374" s="1605" t="s">
        <v>986</v>
      </c>
      <c r="GM374" s="1605" t="s">
        <v>986</v>
      </c>
      <c r="GN374" s="1605" t="s">
        <v>986</v>
      </c>
      <c r="GO374" s="1605" t="s">
        <v>986</v>
      </c>
      <c r="GP374" s="1605" t="s">
        <v>986</v>
      </c>
      <c r="GQ374" s="1605" t="s">
        <v>986</v>
      </c>
      <c r="GR374" s="1605" t="s">
        <v>986</v>
      </c>
      <c r="GS374" s="1605" t="s">
        <v>986</v>
      </c>
      <c r="GT374" s="1605" t="s">
        <v>986</v>
      </c>
      <c r="GU374" s="1605" t="s">
        <v>986</v>
      </c>
      <c r="GV374" s="1605" t="s">
        <v>986</v>
      </c>
      <c r="GW374" s="1605" t="s">
        <v>986</v>
      </c>
      <c r="GX374" s="1605" t="s">
        <v>986</v>
      </c>
      <c r="GY374" s="1605" t="s">
        <v>986</v>
      </c>
      <c r="GZ374" s="1605" t="s">
        <v>986</v>
      </c>
      <c r="HA374" s="1605" t="s">
        <v>986</v>
      </c>
      <c r="HB374" s="1605" t="s">
        <v>986</v>
      </c>
      <c r="HC374" s="1605" t="s">
        <v>986</v>
      </c>
      <c r="HD374" s="1605" t="s">
        <v>986</v>
      </c>
      <c r="HE374" s="1605" t="s">
        <v>986</v>
      </c>
      <c r="HF374" s="1605" t="s">
        <v>986</v>
      </c>
      <c r="HG374" s="1605" t="s">
        <v>986</v>
      </c>
      <c r="HH374" s="1605" t="s">
        <v>986</v>
      </c>
      <c r="HI374" s="1605" t="s">
        <v>986</v>
      </c>
      <c r="HJ374" s="1605" t="s">
        <v>986</v>
      </c>
      <c r="HK374" s="1605" t="s">
        <v>986</v>
      </c>
      <c r="HL374" s="1605" t="s">
        <v>986</v>
      </c>
      <c r="HM374" s="1605" t="s">
        <v>986</v>
      </c>
      <c r="HN374" s="1605" t="s">
        <v>986</v>
      </c>
      <c r="HO374" s="1605" t="s">
        <v>986</v>
      </c>
      <c r="HP374" s="1605" t="s">
        <v>986</v>
      </c>
      <c r="HQ374" s="1605" t="s">
        <v>986</v>
      </c>
      <c r="HR374" s="1605" t="s">
        <v>986</v>
      </c>
      <c r="HS374" s="1605" t="s">
        <v>986</v>
      </c>
      <c r="HT374" s="1605" t="s">
        <v>986</v>
      </c>
      <c r="HU374" s="1605" t="s">
        <v>986</v>
      </c>
    </row>
    <row r="375" spans="1:280" x14ac:dyDescent="0.2">
      <c r="DX375" s="1605" t="s">
        <v>986</v>
      </c>
      <c r="DY375" s="1605" t="s">
        <v>986</v>
      </c>
      <c r="DZ375" s="1605" t="s">
        <v>986</v>
      </c>
      <c r="EA375" s="1605" t="s">
        <v>986</v>
      </c>
      <c r="EB375" s="1605" t="s">
        <v>986</v>
      </c>
      <c r="EC375" s="1605" t="s">
        <v>986</v>
      </c>
      <c r="ED375" s="1605" t="s">
        <v>986</v>
      </c>
      <c r="EE375" s="1605" t="s">
        <v>986</v>
      </c>
      <c r="EF375" s="1605" t="s">
        <v>986</v>
      </c>
      <c r="EG375" s="1605" t="s">
        <v>986</v>
      </c>
      <c r="EH375" s="1605" t="s">
        <v>986</v>
      </c>
      <c r="EI375" s="1605" t="s">
        <v>986</v>
      </c>
      <c r="EJ375" s="1605" t="s">
        <v>986</v>
      </c>
      <c r="EK375" s="1605" t="s">
        <v>986</v>
      </c>
      <c r="EL375" s="1605" t="s">
        <v>986</v>
      </c>
      <c r="EM375" s="1605" t="s">
        <v>986</v>
      </c>
      <c r="EN375" s="1605" t="s">
        <v>986</v>
      </c>
      <c r="EO375" s="1605" t="s">
        <v>986</v>
      </c>
      <c r="EP375" s="1605" t="s">
        <v>986</v>
      </c>
      <c r="EQ375" s="1605" t="s">
        <v>986</v>
      </c>
      <c r="ER375" s="1605" t="s">
        <v>986</v>
      </c>
      <c r="ES375" s="1605" t="s">
        <v>986</v>
      </c>
      <c r="ET375" s="1605" t="s">
        <v>986</v>
      </c>
      <c r="EU375" s="1605" t="s">
        <v>986</v>
      </c>
      <c r="EV375" s="1605" t="s">
        <v>986</v>
      </c>
      <c r="EW375" s="1605" t="s">
        <v>986</v>
      </c>
      <c r="EX375" s="1605" t="s">
        <v>986</v>
      </c>
      <c r="EY375" s="1605" t="s">
        <v>986</v>
      </c>
      <c r="EZ375" s="1605" t="s">
        <v>986</v>
      </c>
      <c r="FA375" s="1605" t="s">
        <v>986</v>
      </c>
      <c r="FB375" s="1605" t="s">
        <v>986</v>
      </c>
      <c r="FC375" s="1605" t="s">
        <v>986</v>
      </c>
      <c r="FD375" s="1605" t="s">
        <v>986</v>
      </c>
      <c r="FE375" s="1605" t="s">
        <v>986</v>
      </c>
      <c r="FF375" s="1605" t="s">
        <v>986</v>
      </c>
      <c r="FG375" s="1605" t="s">
        <v>986</v>
      </c>
      <c r="FH375" s="1605" t="s">
        <v>986</v>
      </c>
      <c r="FI375" s="1605" t="s">
        <v>986</v>
      </c>
      <c r="FJ375" s="1605" t="s">
        <v>986</v>
      </c>
      <c r="FK375" s="1605" t="s">
        <v>986</v>
      </c>
      <c r="FL375" s="1605" t="s">
        <v>986</v>
      </c>
      <c r="FM375" s="1605" t="s">
        <v>986</v>
      </c>
      <c r="FN375" s="1605" t="s">
        <v>986</v>
      </c>
      <c r="FO375" s="1605" t="s">
        <v>986</v>
      </c>
      <c r="FP375" s="1605" t="s">
        <v>986</v>
      </c>
      <c r="FQ375" s="1605" t="s">
        <v>986</v>
      </c>
      <c r="FR375" s="1605" t="s">
        <v>986</v>
      </c>
      <c r="FS375" s="1605" t="s">
        <v>986</v>
      </c>
      <c r="FT375" s="1605" t="s">
        <v>986</v>
      </c>
      <c r="FU375" s="1605" t="s">
        <v>986</v>
      </c>
      <c r="FV375" s="1605" t="s">
        <v>986</v>
      </c>
      <c r="FW375" s="1605" t="s">
        <v>986</v>
      </c>
      <c r="FX375" s="1605" t="s">
        <v>986</v>
      </c>
      <c r="FY375" s="1605" t="s">
        <v>986</v>
      </c>
      <c r="FZ375" s="1605" t="s">
        <v>986</v>
      </c>
      <c r="GA375" s="1605" t="s">
        <v>986</v>
      </c>
      <c r="GB375" s="1605" t="s">
        <v>986</v>
      </c>
      <c r="GC375" s="1605" t="s">
        <v>986</v>
      </c>
      <c r="GD375" s="1605" t="s">
        <v>986</v>
      </c>
      <c r="GE375" s="1605" t="s">
        <v>986</v>
      </c>
      <c r="GF375" s="1605" t="s">
        <v>986</v>
      </c>
      <c r="GG375" s="1605" t="s">
        <v>986</v>
      </c>
      <c r="GH375" s="1605" t="s">
        <v>986</v>
      </c>
      <c r="GI375" s="1605" t="s">
        <v>986</v>
      </c>
      <c r="GJ375" s="1605" t="s">
        <v>986</v>
      </c>
      <c r="GK375" s="1605" t="s">
        <v>986</v>
      </c>
      <c r="GL375" s="1605" t="s">
        <v>986</v>
      </c>
      <c r="GM375" s="1605" t="s">
        <v>986</v>
      </c>
      <c r="GN375" s="1605" t="s">
        <v>986</v>
      </c>
      <c r="GO375" s="1605" t="s">
        <v>986</v>
      </c>
      <c r="GP375" s="1605" t="s">
        <v>986</v>
      </c>
      <c r="GQ375" s="1605" t="s">
        <v>986</v>
      </c>
      <c r="GR375" s="1605" t="s">
        <v>986</v>
      </c>
      <c r="GS375" s="1605" t="s">
        <v>986</v>
      </c>
      <c r="GT375" s="1605" t="s">
        <v>986</v>
      </c>
      <c r="GU375" s="1605" t="s">
        <v>986</v>
      </c>
      <c r="GV375" s="1605" t="s">
        <v>986</v>
      </c>
      <c r="GW375" s="1605" t="s">
        <v>986</v>
      </c>
      <c r="GX375" s="1605" t="s">
        <v>986</v>
      </c>
      <c r="GY375" s="1605" t="s">
        <v>986</v>
      </c>
      <c r="GZ375" s="1605" t="s">
        <v>986</v>
      </c>
      <c r="HA375" s="1605" t="s">
        <v>986</v>
      </c>
      <c r="HB375" s="1605" t="s">
        <v>986</v>
      </c>
      <c r="HC375" s="1605" t="s">
        <v>986</v>
      </c>
      <c r="HD375" s="1605" t="s">
        <v>986</v>
      </c>
      <c r="HE375" s="1605" t="s">
        <v>986</v>
      </c>
      <c r="HF375" s="1605" t="s">
        <v>986</v>
      </c>
      <c r="HG375" s="1605" t="s">
        <v>986</v>
      </c>
      <c r="HH375" s="1605" t="s">
        <v>986</v>
      </c>
      <c r="HI375" s="1605" t="s">
        <v>986</v>
      </c>
      <c r="HJ375" s="1605" t="s">
        <v>986</v>
      </c>
      <c r="HK375" s="1605" t="s">
        <v>986</v>
      </c>
      <c r="HL375" s="1605" t="s">
        <v>986</v>
      </c>
      <c r="HM375" s="1605" t="s">
        <v>986</v>
      </c>
      <c r="HN375" s="1605" t="s">
        <v>986</v>
      </c>
      <c r="HO375" s="1605" t="s">
        <v>986</v>
      </c>
      <c r="HP375" s="1605" t="s">
        <v>986</v>
      </c>
      <c r="HQ375" s="1605" t="s">
        <v>986</v>
      </c>
      <c r="HR375" s="1605" t="s">
        <v>986</v>
      </c>
      <c r="HS375" s="1605" t="s">
        <v>986</v>
      </c>
      <c r="HT375" s="1605" t="s">
        <v>986</v>
      </c>
      <c r="HU375" s="1605" t="s">
        <v>986</v>
      </c>
    </row>
    <row r="376" spans="1:280" x14ac:dyDescent="0.2">
      <c r="DX376" s="1605" t="s">
        <v>986</v>
      </c>
      <c r="DY376" s="1605" t="s">
        <v>986</v>
      </c>
      <c r="DZ376" s="1605" t="s">
        <v>986</v>
      </c>
      <c r="EA376" s="1605" t="s">
        <v>986</v>
      </c>
      <c r="EB376" s="1605" t="s">
        <v>986</v>
      </c>
      <c r="EC376" s="1605" t="s">
        <v>986</v>
      </c>
      <c r="ED376" s="1605" t="s">
        <v>986</v>
      </c>
      <c r="EE376" s="1605" t="s">
        <v>986</v>
      </c>
      <c r="EF376" s="1605" t="s">
        <v>986</v>
      </c>
      <c r="EG376" s="1605" t="s">
        <v>986</v>
      </c>
      <c r="EH376" s="1605" t="s">
        <v>986</v>
      </c>
      <c r="EI376" s="1605" t="s">
        <v>986</v>
      </c>
      <c r="EJ376" s="1605" t="s">
        <v>986</v>
      </c>
      <c r="EK376" s="1605" t="s">
        <v>986</v>
      </c>
      <c r="EL376" s="1605" t="s">
        <v>986</v>
      </c>
      <c r="EM376" s="1605" t="s">
        <v>986</v>
      </c>
      <c r="EN376" s="1605" t="s">
        <v>986</v>
      </c>
      <c r="EO376" s="1605" t="s">
        <v>986</v>
      </c>
      <c r="EP376" s="1605" t="s">
        <v>986</v>
      </c>
      <c r="EQ376" s="1605" t="s">
        <v>986</v>
      </c>
      <c r="ER376" s="1605" t="s">
        <v>986</v>
      </c>
      <c r="ES376" s="1605" t="s">
        <v>986</v>
      </c>
      <c r="ET376" s="1605" t="s">
        <v>986</v>
      </c>
      <c r="EU376" s="1605" t="s">
        <v>986</v>
      </c>
      <c r="EV376" s="1605" t="s">
        <v>986</v>
      </c>
      <c r="EW376" s="1605" t="s">
        <v>986</v>
      </c>
      <c r="EX376" s="1605" t="s">
        <v>986</v>
      </c>
      <c r="EY376" s="1605" t="s">
        <v>986</v>
      </c>
      <c r="EZ376" s="1605" t="s">
        <v>986</v>
      </c>
      <c r="FA376" s="1605" t="s">
        <v>986</v>
      </c>
      <c r="FB376" s="1605" t="s">
        <v>986</v>
      </c>
      <c r="FC376" s="1605" t="s">
        <v>986</v>
      </c>
      <c r="FD376" s="1605" t="s">
        <v>986</v>
      </c>
      <c r="FE376" s="1605" t="s">
        <v>986</v>
      </c>
      <c r="FF376" s="1605" t="s">
        <v>986</v>
      </c>
      <c r="FG376" s="1605" t="s">
        <v>986</v>
      </c>
      <c r="FH376" s="1605" t="s">
        <v>986</v>
      </c>
      <c r="FI376" s="1605" t="s">
        <v>986</v>
      </c>
      <c r="FJ376" s="1605" t="s">
        <v>986</v>
      </c>
      <c r="FK376" s="1605" t="s">
        <v>986</v>
      </c>
      <c r="FL376" s="1605" t="s">
        <v>986</v>
      </c>
      <c r="FM376" s="1605" t="s">
        <v>986</v>
      </c>
      <c r="FN376" s="1605" t="s">
        <v>986</v>
      </c>
      <c r="FO376" s="1605" t="s">
        <v>986</v>
      </c>
      <c r="FP376" s="1605" t="s">
        <v>986</v>
      </c>
      <c r="FQ376" s="1605" t="s">
        <v>986</v>
      </c>
      <c r="FR376" s="1605" t="s">
        <v>986</v>
      </c>
      <c r="FS376" s="1605" t="s">
        <v>986</v>
      </c>
      <c r="FT376" s="1605" t="s">
        <v>986</v>
      </c>
      <c r="FU376" s="1605" t="s">
        <v>986</v>
      </c>
      <c r="FV376" s="1605" t="s">
        <v>986</v>
      </c>
      <c r="FW376" s="1605" t="s">
        <v>986</v>
      </c>
      <c r="FX376" s="1605" t="s">
        <v>986</v>
      </c>
      <c r="FY376" s="1605" t="s">
        <v>986</v>
      </c>
      <c r="FZ376" s="1605" t="s">
        <v>986</v>
      </c>
      <c r="GA376" s="1605" t="s">
        <v>986</v>
      </c>
      <c r="GB376" s="1605" t="s">
        <v>986</v>
      </c>
      <c r="GC376" s="1605" t="s">
        <v>986</v>
      </c>
      <c r="GD376" s="1605" t="s">
        <v>986</v>
      </c>
      <c r="GE376" s="1605" t="s">
        <v>986</v>
      </c>
      <c r="GF376" s="1605" t="s">
        <v>986</v>
      </c>
      <c r="GG376" s="1605" t="s">
        <v>986</v>
      </c>
      <c r="GH376" s="1605" t="s">
        <v>986</v>
      </c>
      <c r="GI376" s="1605" t="s">
        <v>986</v>
      </c>
      <c r="GJ376" s="1605" t="s">
        <v>986</v>
      </c>
      <c r="GK376" s="1605" t="s">
        <v>986</v>
      </c>
      <c r="GL376" s="1605" t="s">
        <v>986</v>
      </c>
      <c r="GM376" s="1605" t="s">
        <v>986</v>
      </c>
      <c r="GN376" s="1605" t="s">
        <v>986</v>
      </c>
      <c r="GO376" s="1605" t="s">
        <v>986</v>
      </c>
      <c r="GP376" s="1605" t="s">
        <v>986</v>
      </c>
      <c r="GQ376" s="1605" t="s">
        <v>986</v>
      </c>
      <c r="GR376" s="1605" t="s">
        <v>986</v>
      </c>
      <c r="GS376" s="1605" t="s">
        <v>986</v>
      </c>
      <c r="GT376" s="1605" t="s">
        <v>986</v>
      </c>
      <c r="GU376" s="1605" t="s">
        <v>986</v>
      </c>
      <c r="GV376" s="1605" t="s">
        <v>986</v>
      </c>
      <c r="GW376" s="1605" t="s">
        <v>986</v>
      </c>
      <c r="GX376" s="1605" t="s">
        <v>986</v>
      </c>
      <c r="GY376" s="1605" t="s">
        <v>986</v>
      </c>
      <c r="GZ376" s="1605" t="s">
        <v>986</v>
      </c>
      <c r="HA376" s="1605" t="s">
        <v>986</v>
      </c>
      <c r="HB376" s="1605" t="s">
        <v>986</v>
      </c>
      <c r="HC376" s="1605" t="s">
        <v>986</v>
      </c>
      <c r="HD376" s="1605" t="s">
        <v>986</v>
      </c>
      <c r="HE376" s="1605" t="s">
        <v>986</v>
      </c>
      <c r="HF376" s="1605" t="s">
        <v>986</v>
      </c>
      <c r="HG376" s="1605" t="s">
        <v>986</v>
      </c>
      <c r="HH376" s="1605" t="s">
        <v>986</v>
      </c>
      <c r="HI376" s="1605" t="s">
        <v>986</v>
      </c>
      <c r="HJ376" s="1605" t="s">
        <v>986</v>
      </c>
      <c r="HK376" s="1605" t="s">
        <v>986</v>
      </c>
      <c r="HL376" s="1605" t="s">
        <v>986</v>
      </c>
      <c r="HM376" s="1605" t="s">
        <v>986</v>
      </c>
      <c r="HN376" s="1605" t="s">
        <v>986</v>
      </c>
      <c r="HO376" s="1605" t="s">
        <v>986</v>
      </c>
      <c r="HP376" s="1605" t="s">
        <v>986</v>
      </c>
      <c r="HQ376" s="1605" t="s">
        <v>986</v>
      </c>
      <c r="HR376" s="1605" t="s">
        <v>986</v>
      </c>
      <c r="HS376" s="1605" t="s">
        <v>986</v>
      </c>
      <c r="HT376" s="1605" t="s">
        <v>986</v>
      </c>
      <c r="HU376" s="1605" t="s">
        <v>986</v>
      </c>
    </row>
    <row r="377" spans="1:280" x14ac:dyDescent="0.2">
      <c r="DX377" s="1605" t="s">
        <v>986</v>
      </c>
      <c r="DY377" s="1605" t="s">
        <v>986</v>
      </c>
      <c r="DZ377" s="1605" t="s">
        <v>986</v>
      </c>
      <c r="EA377" s="1605" t="s">
        <v>986</v>
      </c>
      <c r="EB377" s="1605" t="s">
        <v>986</v>
      </c>
      <c r="EC377" s="1605" t="s">
        <v>986</v>
      </c>
      <c r="ED377" s="1605" t="s">
        <v>986</v>
      </c>
      <c r="EE377" s="1605" t="s">
        <v>986</v>
      </c>
      <c r="EF377" s="1605" t="s">
        <v>986</v>
      </c>
      <c r="EG377" s="1605" t="s">
        <v>986</v>
      </c>
      <c r="EH377" s="1605" t="s">
        <v>986</v>
      </c>
      <c r="EI377" s="1605" t="s">
        <v>986</v>
      </c>
      <c r="EJ377" s="1605" t="s">
        <v>986</v>
      </c>
      <c r="EK377" s="1605" t="s">
        <v>986</v>
      </c>
      <c r="EL377" s="1605" t="s">
        <v>986</v>
      </c>
      <c r="EM377" s="1605" t="s">
        <v>986</v>
      </c>
      <c r="EN377" s="1605" t="s">
        <v>986</v>
      </c>
      <c r="EO377" s="1605" t="s">
        <v>986</v>
      </c>
      <c r="EP377" s="1605" t="s">
        <v>986</v>
      </c>
      <c r="EQ377" s="1605" t="s">
        <v>986</v>
      </c>
      <c r="ER377" s="1605" t="s">
        <v>986</v>
      </c>
      <c r="ES377" s="1605" t="s">
        <v>986</v>
      </c>
      <c r="ET377" s="1605" t="s">
        <v>986</v>
      </c>
      <c r="EU377" s="1605" t="s">
        <v>986</v>
      </c>
      <c r="EV377" s="1605" t="s">
        <v>986</v>
      </c>
      <c r="EW377" s="1605" t="s">
        <v>986</v>
      </c>
      <c r="EX377" s="1605" t="s">
        <v>986</v>
      </c>
      <c r="EY377" s="1605" t="s">
        <v>986</v>
      </c>
      <c r="EZ377" s="1605" t="s">
        <v>986</v>
      </c>
      <c r="FA377" s="1605" t="s">
        <v>986</v>
      </c>
      <c r="FB377" s="1605" t="s">
        <v>986</v>
      </c>
      <c r="FC377" s="1605" t="s">
        <v>986</v>
      </c>
      <c r="FD377" s="1605" t="s">
        <v>986</v>
      </c>
      <c r="FE377" s="1605" t="s">
        <v>986</v>
      </c>
      <c r="FF377" s="1605" t="s">
        <v>986</v>
      </c>
      <c r="FG377" s="1605" t="s">
        <v>986</v>
      </c>
      <c r="FH377" s="1605" t="s">
        <v>986</v>
      </c>
      <c r="FI377" s="1605" t="s">
        <v>986</v>
      </c>
      <c r="FJ377" s="1605" t="s">
        <v>986</v>
      </c>
      <c r="FK377" s="1605" t="s">
        <v>986</v>
      </c>
      <c r="FL377" s="1605" t="s">
        <v>986</v>
      </c>
      <c r="FM377" s="1605" t="s">
        <v>986</v>
      </c>
      <c r="FN377" s="1605" t="s">
        <v>986</v>
      </c>
      <c r="FO377" s="1605" t="s">
        <v>986</v>
      </c>
      <c r="FP377" s="1605" t="s">
        <v>986</v>
      </c>
      <c r="FQ377" s="1605" t="s">
        <v>986</v>
      </c>
      <c r="FR377" s="1605" t="s">
        <v>986</v>
      </c>
      <c r="FS377" s="1605" t="s">
        <v>986</v>
      </c>
      <c r="FT377" s="1605" t="s">
        <v>986</v>
      </c>
      <c r="FU377" s="1605" t="s">
        <v>986</v>
      </c>
      <c r="FV377" s="1605" t="s">
        <v>986</v>
      </c>
      <c r="FW377" s="1605" t="s">
        <v>986</v>
      </c>
      <c r="FX377" s="1605" t="s">
        <v>986</v>
      </c>
      <c r="FY377" s="1605" t="s">
        <v>986</v>
      </c>
      <c r="FZ377" s="1605" t="s">
        <v>986</v>
      </c>
      <c r="GA377" s="1605" t="s">
        <v>986</v>
      </c>
      <c r="GB377" s="1605" t="s">
        <v>986</v>
      </c>
      <c r="GC377" s="1605" t="s">
        <v>986</v>
      </c>
      <c r="GD377" s="1605" t="s">
        <v>986</v>
      </c>
      <c r="GE377" s="1605" t="s">
        <v>986</v>
      </c>
      <c r="GF377" s="1605" t="s">
        <v>986</v>
      </c>
      <c r="GG377" s="1605" t="s">
        <v>986</v>
      </c>
      <c r="GH377" s="1605" t="s">
        <v>986</v>
      </c>
      <c r="GI377" s="1605" t="s">
        <v>986</v>
      </c>
      <c r="GJ377" s="1605" t="s">
        <v>986</v>
      </c>
      <c r="GK377" s="1605" t="s">
        <v>986</v>
      </c>
      <c r="GL377" s="1605" t="s">
        <v>986</v>
      </c>
      <c r="GM377" s="1605" t="s">
        <v>986</v>
      </c>
      <c r="GN377" s="1605" t="s">
        <v>986</v>
      </c>
      <c r="GO377" s="1605" t="s">
        <v>986</v>
      </c>
      <c r="GP377" s="1605" t="s">
        <v>986</v>
      </c>
      <c r="GQ377" s="1605" t="s">
        <v>986</v>
      </c>
      <c r="GR377" s="1605" t="s">
        <v>986</v>
      </c>
      <c r="GS377" s="1605" t="s">
        <v>986</v>
      </c>
      <c r="GT377" s="1605" t="s">
        <v>986</v>
      </c>
      <c r="GU377" s="1605" t="s">
        <v>986</v>
      </c>
      <c r="GV377" s="1605" t="s">
        <v>986</v>
      </c>
      <c r="GW377" s="1605" t="s">
        <v>986</v>
      </c>
      <c r="GX377" s="1605" t="s">
        <v>986</v>
      </c>
      <c r="GY377" s="1605" t="s">
        <v>986</v>
      </c>
      <c r="GZ377" s="1605" t="s">
        <v>986</v>
      </c>
      <c r="HA377" s="1605" t="s">
        <v>986</v>
      </c>
      <c r="HB377" s="1605" t="s">
        <v>986</v>
      </c>
      <c r="HC377" s="1605" t="s">
        <v>986</v>
      </c>
      <c r="HD377" s="1605" t="s">
        <v>986</v>
      </c>
      <c r="HE377" s="1605" t="s">
        <v>986</v>
      </c>
      <c r="HF377" s="1605" t="s">
        <v>986</v>
      </c>
      <c r="HG377" s="1605" t="s">
        <v>986</v>
      </c>
      <c r="HH377" s="1605" t="s">
        <v>986</v>
      </c>
      <c r="HI377" s="1605" t="s">
        <v>986</v>
      </c>
      <c r="HJ377" s="1605" t="s">
        <v>986</v>
      </c>
      <c r="HK377" s="1605" t="s">
        <v>986</v>
      </c>
      <c r="HL377" s="1605" t="s">
        <v>986</v>
      </c>
      <c r="HM377" s="1605" t="s">
        <v>986</v>
      </c>
      <c r="HN377" s="1605" t="s">
        <v>986</v>
      </c>
      <c r="HO377" s="1605" t="s">
        <v>986</v>
      </c>
      <c r="HP377" s="1605" t="s">
        <v>986</v>
      </c>
      <c r="HQ377" s="1605" t="s">
        <v>986</v>
      </c>
      <c r="HR377" s="1605" t="s">
        <v>986</v>
      </c>
      <c r="HS377" s="1605" t="s">
        <v>986</v>
      </c>
      <c r="HT377" s="1605" t="s">
        <v>986</v>
      </c>
      <c r="HU377" s="1605" t="s">
        <v>986</v>
      </c>
    </row>
    <row r="378" spans="1:280" x14ac:dyDescent="0.2">
      <c r="DX378" s="1605" t="s">
        <v>986</v>
      </c>
      <c r="DY378" s="1605" t="s">
        <v>986</v>
      </c>
      <c r="DZ378" s="1605" t="s">
        <v>986</v>
      </c>
      <c r="EA378" s="1605" t="s">
        <v>986</v>
      </c>
      <c r="EB378" s="1605" t="s">
        <v>986</v>
      </c>
      <c r="EC378" s="1605" t="s">
        <v>986</v>
      </c>
      <c r="ED378" s="1605" t="s">
        <v>986</v>
      </c>
      <c r="EE378" s="1605" t="s">
        <v>986</v>
      </c>
      <c r="EF378" s="1605" t="s">
        <v>986</v>
      </c>
      <c r="EG378" s="1605" t="s">
        <v>986</v>
      </c>
      <c r="EH378" s="1605" t="s">
        <v>986</v>
      </c>
      <c r="EI378" s="1605" t="s">
        <v>986</v>
      </c>
      <c r="EJ378" s="1605" t="s">
        <v>986</v>
      </c>
      <c r="EK378" s="1605" t="s">
        <v>986</v>
      </c>
      <c r="EL378" s="1605" t="s">
        <v>986</v>
      </c>
      <c r="EM378" s="1605" t="s">
        <v>986</v>
      </c>
      <c r="EN378" s="1605" t="s">
        <v>986</v>
      </c>
      <c r="EO378" s="1605" t="s">
        <v>986</v>
      </c>
      <c r="EP378" s="1605" t="s">
        <v>986</v>
      </c>
      <c r="EQ378" s="1605" t="s">
        <v>986</v>
      </c>
      <c r="ER378" s="1605" t="s">
        <v>986</v>
      </c>
      <c r="ES378" s="1605" t="s">
        <v>986</v>
      </c>
      <c r="ET378" s="1605" t="s">
        <v>986</v>
      </c>
      <c r="EU378" s="1605" t="s">
        <v>986</v>
      </c>
      <c r="EV378" s="1605" t="s">
        <v>986</v>
      </c>
      <c r="EW378" s="1605" t="s">
        <v>986</v>
      </c>
      <c r="EX378" s="1605" t="s">
        <v>986</v>
      </c>
      <c r="EY378" s="1605" t="s">
        <v>986</v>
      </c>
      <c r="EZ378" s="1605" t="s">
        <v>986</v>
      </c>
      <c r="FA378" s="1605" t="s">
        <v>986</v>
      </c>
      <c r="FB378" s="1605" t="s">
        <v>986</v>
      </c>
      <c r="FC378" s="1605" t="s">
        <v>986</v>
      </c>
      <c r="FD378" s="1605" t="s">
        <v>986</v>
      </c>
      <c r="FE378" s="1605" t="s">
        <v>986</v>
      </c>
      <c r="FF378" s="1605" t="s">
        <v>986</v>
      </c>
      <c r="FG378" s="1605" t="s">
        <v>986</v>
      </c>
      <c r="FH378" s="1605" t="s">
        <v>986</v>
      </c>
      <c r="FI378" s="1605" t="s">
        <v>986</v>
      </c>
      <c r="FJ378" s="1605" t="s">
        <v>986</v>
      </c>
      <c r="FK378" s="1605" t="s">
        <v>986</v>
      </c>
      <c r="FL378" s="1605" t="s">
        <v>986</v>
      </c>
      <c r="FM378" s="1605" t="s">
        <v>986</v>
      </c>
      <c r="FN378" s="1605" t="s">
        <v>986</v>
      </c>
      <c r="FO378" s="1605" t="s">
        <v>986</v>
      </c>
      <c r="FP378" s="1605" t="s">
        <v>986</v>
      </c>
      <c r="FQ378" s="1605" t="s">
        <v>986</v>
      </c>
      <c r="FR378" s="1605" t="s">
        <v>986</v>
      </c>
      <c r="FS378" s="1605" t="s">
        <v>986</v>
      </c>
      <c r="FT378" s="1605" t="s">
        <v>986</v>
      </c>
      <c r="FU378" s="1605" t="s">
        <v>986</v>
      </c>
      <c r="FV378" s="1605" t="s">
        <v>986</v>
      </c>
      <c r="FW378" s="1605" t="s">
        <v>986</v>
      </c>
      <c r="FX378" s="1605" t="s">
        <v>986</v>
      </c>
      <c r="FY378" s="1605" t="s">
        <v>986</v>
      </c>
      <c r="FZ378" s="1605" t="s">
        <v>986</v>
      </c>
      <c r="GA378" s="1605" t="s">
        <v>986</v>
      </c>
      <c r="GB378" s="1605" t="s">
        <v>986</v>
      </c>
      <c r="GC378" s="1605" t="s">
        <v>986</v>
      </c>
      <c r="GD378" s="1605" t="s">
        <v>986</v>
      </c>
      <c r="GE378" s="1605" t="s">
        <v>986</v>
      </c>
      <c r="GF378" s="1605" t="s">
        <v>986</v>
      </c>
      <c r="GG378" s="1605" t="s">
        <v>986</v>
      </c>
      <c r="GH378" s="1605" t="s">
        <v>986</v>
      </c>
      <c r="GI378" s="1605" t="s">
        <v>986</v>
      </c>
      <c r="GJ378" s="1605" t="s">
        <v>986</v>
      </c>
      <c r="GK378" s="1605" t="s">
        <v>986</v>
      </c>
      <c r="GL378" s="1605" t="s">
        <v>986</v>
      </c>
      <c r="GM378" s="1605" t="s">
        <v>986</v>
      </c>
      <c r="GN378" s="1605" t="s">
        <v>986</v>
      </c>
      <c r="GO378" s="1605" t="s">
        <v>986</v>
      </c>
      <c r="GP378" s="1605" t="s">
        <v>986</v>
      </c>
      <c r="GQ378" s="1605" t="s">
        <v>986</v>
      </c>
      <c r="GR378" s="1605" t="s">
        <v>986</v>
      </c>
      <c r="GS378" s="1605" t="s">
        <v>986</v>
      </c>
      <c r="GT378" s="1605" t="s">
        <v>986</v>
      </c>
      <c r="GU378" s="1605" t="s">
        <v>986</v>
      </c>
      <c r="GV378" s="1605" t="s">
        <v>986</v>
      </c>
      <c r="GW378" s="1605" t="s">
        <v>986</v>
      </c>
      <c r="GX378" s="1605" t="s">
        <v>986</v>
      </c>
      <c r="GY378" s="1605" t="s">
        <v>986</v>
      </c>
      <c r="GZ378" s="1605" t="s">
        <v>986</v>
      </c>
      <c r="HA378" s="1605" t="s">
        <v>986</v>
      </c>
      <c r="HB378" s="1605" t="s">
        <v>986</v>
      </c>
      <c r="HC378" s="1605" t="s">
        <v>986</v>
      </c>
      <c r="HD378" s="1605" t="s">
        <v>986</v>
      </c>
      <c r="HE378" s="1605" t="s">
        <v>986</v>
      </c>
      <c r="HF378" s="1605" t="s">
        <v>986</v>
      </c>
      <c r="HG378" s="1605" t="s">
        <v>986</v>
      </c>
      <c r="HH378" s="1605" t="s">
        <v>986</v>
      </c>
      <c r="HI378" s="1605" t="s">
        <v>986</v>
      </c>
      <c r="HJ378" s="1605" t="s">
        <v>986</v>
      </c>
      <c r="HK378" s="1605" t="s">
        <v>986</v>
      </c>
      <c r="HL378" s="1605" t="s">
        <v>986</v>
      </c>
      <c r="HM378" s="1605" t="s">
        <v>986</v>
      </c>
      <c r="HN378" s="1605" t="s">
        <v>986</v>
      </c>
      <c r="HO378" s="1605" t="s">
        <v>986</v>
      </c>
      <c r="HP378" s="1605" t="s">
        <v>986</v>
      </c>
      <c r="HQ378" s="1605" t="s">
        <v>986</v>
      </c>
      <c r="HR378" s="1605" t="s">
        <v>986</v>
      </c>
      <c r="HS378" s="1605" t="s">
        <v>986</v>
      </c>
      <c r="HT378" s="1605" t="s">
        <v>986</v>
      </c>
      <c r="HU378" s="1605" t="s">
        <v>986</v>
      </c>
    </row>
    <row r="379" spans="1:280" x14ac:dyDescent="0.2">
      <c r="DX379" s="1605" t="s">
        <v>986</v>
      </c>
      <c r="DY379" s="1605" t="s">
        <v>986</v>
      </c>
      <c r="DZ379" s="1605" t="s">
        <v>986</v>
      </c>
      <c r="EA379" s="1605" t="s">
        <v>986</v>
      </c>
      <c r="EB379" s="1605" t="s">
        <v>986</v>
      </c>
      <c r="EC379" s="1605" t="s">
        <v>986</v>
      </c>
      <c r="ED379" s="1605" t="s">
        <v>986</v>
      </c>
      <c r="EE379" s="1605" t="s">
        <v>986</v>
      </c>
      <c r="EF379" s="1605" t="s">
        <v>986</v>
      </c>
      <c r="EG379" s="1605" t="s">
        <v>986</v>
      </c>
      <c r="EH379" s="1605" t="s">
        <v>986</v>
      </c>
      <c r="EI379" s="1605" t="s">
        <v>986</v>
      </c>
      <c r="EJ379" s="1605" t="s">
        <v>986</v>
      </c>
      <c r="EK379" s="1605" t="s">
        <v>986</v>
      </c>
      <c r="EL379" s="1605" t="s">
        <v>986</v>
      </c>
      <c r="EM379" s="1605" t="s">
        <v>986</v>
      </c>
      <c r="EN379" s="1605" t="s">
        <v>986</v>
      </c>
      <c r="EO379" s="1605" t="s">
        <v>986</v>
      </c>
      <c r="EP379" s="1605" t="s">
        <v>986</v>
      </c>
      <c r="EQ379" s="1605" t="s">
        <v>986</v>
      </c>
      <c r="ER379" s="1605" t="s">
        <v>986</v>
      </c>
      <c r="ES379" s="1605" t="s">
        <v>986</v>
      </c>
      <c r="ET379" s="1605" t="s">
        <v>986</v>
      </c>
      <c r="EU379" s="1605" t="s">
        <v>986</v>
      </c>
      <c r="EV379" s="1605" t="s">
        <v>986</v>
      </c>
      <c r="EW379" s="1605" t="s">
        <v>986</v>
      </c>
      <c r="EX379" s="1605" t="s">
        <v>986</v>
      </c>
      <c r="EY379" s="1605" t="s">
        <v>986</v>
      </c>
      <c r="EZ379" s="1605" t="s">
        <v>986</v>
      </c>
      <c r="FA379" s="1605" t="s">
        <v>986</v>
      </c>
      <c r="FB379" s="1605" t="s">
        <v>986</v>
      </c>
      <c r="FC379" s="1605" t="s">
        <v>986</v>
      </c>
      <c r="FD379" s="1605" t="s">
        <v>986</v>
      </c>
      <c r="FE379" s="1605" t="s">
        <v>986</v>
      </c>
      <c r="FF379" s="1605" t="s">
        <v>986</v>
      </c>
      <c r="FG379" s="1605" t="s">
        <v>986</v>
      </c>
      <c r="FH379" s="1605" t="s">
        <v>986</v>
      </c>
      <c r="FI379" s="1605" t="s">
        <v>986</v>
      </c>
      <c r="FJ379" s="1605" t="s">
        <v>986</v>
      </c>
      <c r="FK379" s="1605" t="s">
        <v>986</v>
      </c>
      <c r="FL379" s="1605" t="s">
        <v>986</v>
      </c>
      <c r="FM379" s="1605" t="s">
        <v>986</v>
      </c>
      <c r="FN379" s="1605" t="s">
        <v>986</v>
      </c>
      <c r="FO379" s="1605" t="s">
        <v>986</v>
      </c>
      <c r="FP379" s="1605" t="s">
        <v>986</v>
      </c>
      <c r="FQ379" s="1605" t="s">
        <v>986</v>
      </c>
      <c r="FR379" s="1605" t="s">
        <v>986</v>
      </c>
      <c r="FS379" s="1605" t="s">
        <v>986</v>
      </c>
      <c r="FT379" s="1605" t="s">
        <v>986</v>
      </c>
      <c r="FU379" s="1605" t="s">
        <v>986</v>
      </c>
      <c r="FV379" s="1605" t="s">
        <v>986</v>
      </c>
      <c r="FW379" s="1605" t="s">
        <v>986</v>
      </c>
      <c r="FX379" s="1605" t="s">
        <v>986</v>
      </c>
      <c r="FY379" s="1605" t="s">
        <v>986</v>
      </c>
      <c r="FZ379" s="1605" t="s">
        <v>986</v>
      </c>
      <c r="GA379" s="1605" t="s">
        <v>986</v>
      </c>
      <c r="GB379" s="1605" t="s">
        <v>986</v>
      </c>
      <c r="GC379" s="1605" t="s">
        <v>986</v>
      </c>
      <c r="GD379" s="1605" t="s">
        <v>986</v>
      </c>
      <c r="GE379" s="1605" t="s">
        <v>986</v>
      </c>
      <c r="GF379" s="1605" t="s">
        <v>986</v>
      </c>
      <c r="GG379" s="1605" t="s">
        <v>986</v>
      </c>
      <c r="GH379" s="1605" t="s">
        <v>986</v>
      </c>
      <c r="GI379" s="1605" t="s">
        <v>986</v>
      </c>
      <c r="GJ379" s="1605" t="s">
        <v>986</v>
      </c>
      <c r="GK379" s="1605" t="s">
        <v>986</v>
      </c>
      <c r="GL379" s="1605" t="s">
        <v>986</v>
      </c>
      <c r="GM379" s="1605" t="s">
        <v>986</v>
      </c>
      <c r="GN379" s="1605" t="s">
        <v>986</v>
      </c>
      <c r="GO379" s="1605" t="s">
        <v>986</v>
      </c>
      <c r="GP379" s="1605" t="s">
        <v>986</v>
      </c>
      <c r="GQ379" s="1605" t="s">
        <v>986</v>
      </c>
      <c r="GR379" s="1605" t="s">
        <v>986</v>
      </c>
      <c r="GS379" s="1605" t="s">
        <v>986</v>
      </c>
      <c r="GT379" s="1605" t="s">
        <v>986</v>
      </c>
      <c r="GU379" s="1605" t="s">
        <v>986</v>
      </c>
      <c r="GV379" s="1605" t="s">
        <v>986</v>
      </c>
      <c r="GW379" s="1605" t="s">
        <v>986</v>
      </c>
      <c r="GX379" s="1605" t="s">
        <v>986</v>
      </c>
      <c r="GY379" s="1605" t="s">
        <v>986</v>
      </c>
      <c r="GZ379" s="1605" t="s">
        <v>986</v>
      </c>
      <c r="HA379" s="1605" t="s">
        <v>986</v>
      </c>
      <c r="HB379" s="1605" t="s">
        <v>986</v>
      </c>
      <c r="HC379" s="1605" t="s">
        <v>986</v>
      </c>
      <c r="HD379" s="1605" t="s">
        <v>986</v>
      </c>
      <c r="HE379" s="1605" t="s">
        <v>986</v>
      </c>
      <c r="HF379" s="1605" t="s">
        <v>986</v>
      </c>
      <c r="HG379" s="1605" t="s">
        <v>986</v>
      </c>
      <c r="HH379" s="1605" t="s">
        <v>986</v>
      </c>
      <c r="HI379" s="1605" t="s">
        <v>986</v>
      </c>
      <c r="HJ379" s="1605" t="s">
        <v>986</v>
      </c>
      <c r="HK379" s="1605" t="s">
        <v>986</v>
      </c>
      <c r="HL379" s="1605" t="s">
        <v>986</v>
      </c>
      <c r="HM379" s="1605" t="s">
        <v>986</v>
      </c>
      <c r="HN379" s="1605" t="s">
        <v>986</v>
      </c>
      <c r="HO379" s="1605" t="s">
        <v>986</v>
      </c>
      <c r="HP379" s="1605" t="s">
        <v>986</v>
      </c>
      <c r="HQ379" s="1605" t="s">
        <v>986</v>
      </c>
      <c r="HR379" s="1605" t="s">
        <v>986</v>
      </c>
      <c r="HS379" s="1605" t="s">
        <v>986</v>
      </c>
      <c r="HT379" s="1605" t="s">
        <v>986</v>
      </c>
      <c r="HU379" s="1605" t="s">
        <v>986</v>
      </c>
    </row>
    <row r="380" spans="1:280" x14ac:dyDescent="0.2">
      <c r="DX380" s="1605" t="s">
        <v>986</v>
      </c>
      <c r="DY380" s="1605" t="s">
        <v>986</v>
      </c>
      <c r="DZ380" s="1605" t="s">
        <v>986</v>
      </c>
      <c r="EA380" s="1605" t="s">
        <v>986</v>
      </c>
      <c r="EB380" s="1605" t="s">
        <v>986</v>
      </c>
      <c r="EC380" s="1605" t="s">
        <v>986</v>
      </c>
      <c r="ED380" s="1605" t="s">
        <v>986</v>
      </c>
      <c r="EE380" s="1605" t="s">
        <v>986</v>
      </c>
      <c r="EF380" s="1605" t="s">
        <v>986</v>
      </c>
      <c r="EG380" s="1605" t="s">
        <v>986</v>
      </c>
      <c r="EH380" s="1605" t="s">
        <v>986</v>
      </c>
      <c r="EI380" s="1605" t="s">
        <v>986</v>
      </c>
      <c r="EJ380" s="1605" t="s">
        <v>986</v>
      </c>
      <c r="EK380" s="1605" t="s">
        <v>986</v>
      </c>
      <c r="EL380" s="1605" t="s">
        <v>986</v>
      </c>
      <c r="EM380" s="1605" t="s">
        <v>986</v>
      </c>
      <c r="EN380" s="1605" t="s">
        <v>986</v>
      </c>
      <c r="EO380" s="1605" t="s">
        <v>986</v>
      </c>
      <c r="EP380" s="1605" t="s">
        <v>986</v>
      </c>
      <c r="EQ380" s="1605" t="s">
        <v>986</v>
      </c>
      <c r="ER380" s="1605" t="s">
        <v>986</v>
      </c>
      <c r="ES380" s="1605" t="s">
        <v>986</v>
      </c>
      <c r="ET380" s="1605" t="s">
        <v>986</v>
      </c>
      <c r="EU380" s="1605" t="s">
        <v>986</v>
      </c>
      <c r="EV380" s="1605" t="s">
        <v>986</v>
      </c>
      <c r="EW380" s="1605" t="s">
        <v>986</v>
      </c>
      <c r="EX380" s="1605" t="s">
        <v>986</v>
      </c>
      <c r="EY380" s="1605" t="s">
        <v>986</v>
      </c>
      <c r="EZ380" s="1605" t="s">
        <v>986</v>
      </c>
      <c r="FA380" s="1605" t="s">
        <v>986</v>
      </c>
      <c r="FB380" s="1605" t="s">
        <v>986</v>
      </c>
      <c r="FC380" s="1605" t="s">
        <v>986</v>
      </c>
      <c r="FD380" s="1605" t="s">
        <v>986</v>
      </c>
      <c r="FE380" s="1605" t="s">
        <v>986</v>
      </c>
      <c r="FF380" s="1605" t="s">
        <v>986</v>
      </c>
      <c r="FG380" s="1605" t="s">
        <v>986</v>
      </c>
      <c r="FH380" s="1605" t="s">
        <v>986</v>
      </c>
      <c r="FI380" s="1605" t="s">
        <v>986</v>
      </c>
      <c r="FJ380" s="1605" t="s">
        <v>986</v>
      </c>
      <c r="FK380" s="1605" t="s">
        <v>986</v>
      </c>
      <c r="FL380" s="1605" t="s">
        <v>986</v>
      </c>
      <c r="FM380" s="1605" t="s">
        <v>986</v>
      </c>
      <c r="FN380" s="1605" t="s">
        <v>986</v>
      </c>
      <c r="FO380" s="1605" t="s">
        <v>986</v>
      </c>
      <c r="FP380" s="1605" t="s">
        <v>986</v>
      </c>
      <c r="FQ380" s="1605" t="s">
        <v>986</v>
      </c>
      <c r="FR380" s="1605" t="s">
        <v>986</v>
      </c>
      <c r="FS380" s="1605" t="s">
        <v>986</v>
      </c>
      <c r="FT380" s="1605" t="s">
        <v>986</v>
      </c>
      <c r="FU380" s="1605" t="s">
        <v>986</v>
      </c>
      <c r="FV380" s="1605" t="s">
        <v>986</v>
      </c>
      <c r="FW380" s="1605" t="s">
        <v>986</v>
      </c>
      <c r="FX380" s="1605" t="s">
        <v>986</v>
      </c>
      <c r="FY380" s="1605" t="s">
        <v>986</v>
      </c>
      <c r="FZ380" s="1605" t="s">
        <v>986</v>
      </c>
      <c r="GA380" s="1605" t="s">
        <v>986</v>
      </c>
      <c r="GB380" s="1605" t="s">
        <v>986</v>
      </c>
      <c r="GC380" s="1605" t="s">
        <v>986</v>
      </c>
      <c r="GD380" s="1605" t="s">
        <v>986</v>
      </c>
      <c r="GE380" s="1605" t="s">
        <v>986</v>
      </c>
      <c r="GF380" s="1605" t="s">
        <v>986</v>
      </c>
      <c r="GG380" s="1605" t="s">
        <v>986</v>
      </c>
      <c r="GH380" s="1605" t="s">
        <v>986</v>
      </c>
      <c r="GI380" s="1605" t="s">
        <v>986</v>
      </c>
      <c r="GJ380" s="1605" t="s">
        <v>986</v>
      </c>
      <c r="GK380" s="1605" t="s">
        <v>986</v>
      </c>
      <c r="GL380" s="1605" t="s">
        <v>986</v>
      </c>
      <c r="GM380" s="1605" t="s">
        <v>986</v>
      </c>
      <c r="GN380" s="1605" t="s">
        <v>986</v>
      </c>
      <c r="GO380" s="1605" t="s">
        <v>986</v>
      </c>
      <c r="GP380" s="1605" t="s">
        <v>986</v>
      </c>
      <c r="GQ380" s="1605" t="s">
        <v>986</v>
      </c>
      <c r="GR380" s="1605" t="s">
        <v>986</v>
      </c>
      <c r="GS380" s="1605" t="s">
        <v>986</v>
      </c>
      <c r="GT380" s="1605" t="s">
        <v>986</v>
      </c>
      <c r="GU380" s="1605" t="s">
        <v>986</v>
      </c>
      <c r="GV380" s="1605" t="s">
        <v>986</v>
      </c>
      <c r="GW380" s="1605" t="s">
        <v>986</v>
      </c>
      <c r="GX380" s="1605" t="s">
        <v>986</v>
      </c>
      <c r="GY380" s="1605" t="s">
        <v>986</v>
      </c>
      <c r="GZ380" s="1605" t="s">
        <v>986</v>
      </c>
      <c r="HA380" s="1605" t="s">
        <v>986</v>
      </c>
      <c r="HB380" s="1605" t="s">
        <v>986</v>
      </c>
      <c r="HC380" s="1605" t="s">
        <v>986</v>
      </c>
      <c r="HD380" s="1605" t="s">
        <v>986</v>
      </c>
      <c r="HE380" s="1605" t="s">
        <v>986</v>
      </c>
      <c r="HF380" s="1605" t="s">
        <v>986</v>
      </c>
      <c r="HG380" s="1605" t="s">
        <v>986</v>
      </c>
      <c r="HH380" s="1605" t="s">
        <v>986</v>
      </c>
      <c r="HI380" s="1605" t="s">
        <v>986</v>
      </c>
      <c r="HJ380" s="1605" t="s">
        <v>986</v>
      </c>
      <c r="HK380" s="1605" t="s">
        <v>986</v>
      </c>
      <c r="HL380" s="1605" t="s">
        <v>986</v>
      </c>
      <c r="HM380" s="1605" t="s">
        <v>986</v>
      </c>
      <c r="HN380" s="1605" t="s">
        <v>986</v>
      </c>
      <c r="HO380" s="1605" t="s">
        <v>986</v>
      </c>
      <c r="HP380" s="1605" t="s">
        <v>986</v>
      </c>
      <c r="HQ380" s="1605" t="s">
        <v>986</v>
      </c>
      <c r="HR380" s="1605" t="s">
        <v>986</v>
      </c>
      <c r="HS380" s="1605" t="s">
        <v>986</v>
      </c>
      <c r="HT380" s="1605" t="s">
        <v>986</v>
      </c>
      <c r="HU380" s="1605" t="s">
        <v>986</v>
      </c>
    </row>
    <row r="381" spans="1:280" x14ac:dyDescent="0.2">
      <c r="DX381" s="1605" t="s">
        <v>986</v>
      </c>
      <c r="DY381" s="1605" t="s">
        <v>986</v>
      </c>
      <c r="DZ381" s="1605" t="s">
        <v>986</v>
      </c>
      <c r="EA381" s="1605" t="s">
        <v>986</v>
      </c>
      <c r="EB381" s="1605" t="s">
        <v>986</v>
      </c>
      <c r="EC381" s="1605" t="s">
        <v>986</v>
      </c>
      <c r="ED381" s="1605" t="s">
        <v>986</v>
      </c>
      <c r="EE381" s="1605" t="s">
        <v>986</v>
      </c>
      <c r="EF381" s="1605" t="s">
        <v>986</v>
      </c>
      <c r="EG381" s="1605" t="s">
        <v>986</v>
      </c>
      <c r="EH381" s="1605" t="s">
        <v>986</v>
      </c>
      <c r="EI381" s="1605" t="s">
        <v>986</v>
      </c>
      <c r="EJ381" s="1605" t="s">
        <v>986</v>
      </c>
      <c r="EK381" s="1605" t="s">
        <v>986</v>
      </c>
      <c r="EL381" s="1605" t="s">
        <v>986</v>
      </c>
      <c r="EM381" s="1605" t="s">
        <v>986</v>
      </c>
      <c r="EN381" s="1605" t="s">
        <v>986</v>
      </c>
      <c r="EO381" s="1605" t="s">
        <v>986</v>
      </c>
      <c r="EP381" s="1605" t="s">
        <v>986</v>
      </c>
      <c r="EQ381" s="1605" t="s">
        <v>986</v>
      </c>
      <c r="ER381" s="1605" t="s">
        <v>986</v>
      </c>
      <c r="ES381" s="1605" t="s">
        <v>986</v>
      </c>
      <c r="ET381" s="1605" t="s">
        <v>986</v>
      </c>
      <c r="EU381" s="1605" t="s">
        <v>986</v>
      </c>
      <c r="EV381" s="1605" t="s">
        <v>986</v>
      </c>
      <c r="EW381" s="1605" t="s">
        <v>986</v>
      </c>
      <c r="EX381" s="1605" t="s">
        <v>986</v>
      </c>
      <c r="EY381" s="1605" t="s">
        <v>986</v>
      </c>
      <c r="EZ381" s="1605" t="s">
        <v>986</v>
      </c>
      <c r="FA381" s="1605" t="s">
        <v>986</v>
      </c>
      <c r="FB381" s="1605" t="s">
        <v>986</v>
      </c>
      <c r="FC381" s="1605" t="s">
        <v>986</v>
      </c>
      <c r="FD381" s="1605" t="s">
        <v>986</v>
      </c>
      <c r="FE381" s="1605" t="s">
        <v>986</v>
      </c>
      <c r="FF381" s="1605" t="s">
        <v>986</v>
      </c>
      <c r="FG381" s="1605" t="s">
        <v>986</v>
      </c>
      <c r="FH381" s="1605" t="s">
        <v>986</v>
      </c>
      <c r="FI381" s="1605" t="s">
        <v>986</v>
      </c>
      <c r="FJ381" s="1605" t="s">
        <v>986</v>
      </c>
      <c r="FK381" s="1605" t="s">
        <v>986</v>
      </c>
      <c r="FL381" s="1605" t="s">
        <v>986</v>
      </c>
      <c r="FM381" s="1605" t="s">
        <v>986</v>
      </c>
      <c r="FN381" s="1605" t="s">
        <v>986</v>
      </c>
      <c r="FO381" s="1605" t="s">
        <v>986</v>
      </c>
      <c r="FP381" s="1605" t="s">
        <v>986</v>
      </c>
      <c r="FQ381" s="1605" t="s">
        <v>986</v>
      </c>
      <c r="FR381" s="1605" t="s">
        <v>986</v>
      </c>
      <c r="FS381" s="1605" t="s">
        <v>986</v>
      </c>
      <c r="FT381" s="1605" t="s">
        <v>986</v>
      </c>
      <c r="FU381" s="1605" t="s">
        <v>986</v>
      </c>
      <c r="FV381" s="1605" t="s">
        <v>986</v>
      </c>
      <c r="FW381" s="1605" t="s">
        <v>986</v>
      </c>
      <c r="FX381" s="1605" t="s">
        <v>986</v>
      </c>
      <c r="FY381" s="1605" t="s">
        <v>986</v>
      </c>
      <c r="FZ381" s="1605" t="s">
        <v>986</v>
      </c>
      <c r="GA381" s="1605" t="s">
        <v>986</v>
      </c>
      <c r="GB381" s="1605" t="s">
        <v>986</v>
      </c>
      <c r="GC381" s="1605" t="s">
        <v>986</v>
      </c>
      <c r="GD381" s="1605" t="s">
        <v>986</v>
      </c>
      <c r="GE381" s="1605" t="s">
        <v>986</v>
      </c>
      <c r="GF381" s="1605" t="s">
        <v>986</v>
      </c>
      <c r="GG381" s="1605" t="s">
        <v>986</v>
      </c>
      <c r="GH381" s="1605" t="s">
        <v>986</v>
      </c>
      <c r="GI381" s="1605" t="s">
        <v>986</v>
      </c>
      <c r="GJ381" s="1605" t="s">
        <v>986</v>
      </c>
      <c r="GK381" s="1605" t="s">
        <v>986</v>
      </c>
      <c r="GL381" s="1605" t="s">
        <v>986</v>
      </c>
      <c r="GM381" s="1605" t="s">
        <v>986</v>
      </c>
      <c r="GN381" s="1605" t="s">
        <v>986</v>
      </c>
      <c r="GO381" s="1605" t="s">
        <v>986</v>
      </c>
      <c r="GP381" s="1605" t="s">
        <v>986</v>
      </c>
      <c r="GQ381" s="1605" t="s">
        <v>986</v>
      </c>
      <c r="GR381" s="1605" t="s">
        <v>986</v>
      </c>
      <c r="GS381" s="1605" t="s">
        <v>986</v>
      </c>
      <c r="GT381" s="1605" t="s">
        <v>986</v>
      </c>
      <c r="GU381" s="1605" t="s">
        <v>986</v>
      </c>
      <c r="GV381" s="1605" t="s">
        <v>986</v>
      </c>
      <c r="GW381" s="1605" t="s">
        <v>986</v>
      </c>
      <c r="GX381" s="1605" t="s">
        <v>986</v>
      </c>
      <c r="GY381" s="1605" t="s">
        <v>986</v>
      </c>
      <c r="GZ381" s="1605" t="s">
        <v>986</v>
      </c>
      <c r="HA381" s="1605" t="s">
        <v>986</v>
      </c>
      <c r="HB381" s="1605" t="s">
        <v>986</v>
      </c>
      <c r="HC381" s="1605" t="s">
        <v>986</v>
      </c>
      <c r="HD381" s="1605" t="s">
        <v>986</v>
      </c>
      <c r="HE381" s="1605" t="s">
        <v>986</v>
      </c>
      <c r="HF381" s="1605" t="s">
        <v>986</v>
      </c>
      <c r="HG381" s="1605" t="s">
        <v>986</v>
      </c>
      <c r="HH381" s="1605" t="s">
        <v>986</v>
      </c>
      <c r="HI381" s="1605" t="s">
        <v>986</v>
      </c>
      <c r="HJ381" s="1605" t="s">
        <v>986</v>
      </c>
      <c r="HK381" s="1605" t="s">
        <v>986</v>
      </c>
      <c r="HL381" s="1605" t="s">
        <v>986</v>
      </c>
      <c r="HM381" s="1605" t="s">
        <v>986</v>
      </c>
      <c r="HN381" s="1605" t="s">
        <v>986</v>
      </c>
      <c r="HO381" s="1605" t="s">
        <v>986</v>
      </c>
      <c r="HP381" s="1605" t="s">
        <v>986</v>
      </c>
      <c r="HQ381" s="1605" t="s">
        <v>986</v>
      </c>
      <c r="HR381" s="1605" t="s">
        <v>986</v>
      </c>
      <c r="HS381" s="1605" t="s">
        <v>986</v>
      </c>
      <c r="HT381" s="1605" t="s">
        <v>986</v>
      </c>
      <c r="HU381" s="1605" t="s">
        <v>986</v>
      </c>
    </row>
    <row r="382" spans="1:280" x14ac:dyDescent="0.2">
      <c r="DX382" s="1605" t="s">
        <v>986</v>
      </c>
      <c r="DY382" s="1605" t="s">
        <v>986</v>
      </c>
      <c r="DZ382" s="1605" t="s">
        <v>986</v>
      </c>
      <c r="EA382" s="1605" t="s">
        <v>986</v>
      </c>
      <c r="EB382" s="1605" t="s">
        <v>986</v>
      </c>
      <c r="EC382" s="1605" t="s">
        <v>986</v>
      </c>
      <c r="ED382" s="1605" t="s">
        <v>986</v>
      </c>
      <c r="EE382" s="1605" t="s">
        <v>986</v>
      </c>
      <c r="EF382" s="1605" t="s">
        <v>986</v>
      </c>
      <c r="EG382" s="1605" t="s">
        <v>986</v>
      </c>
      <c r="EH382" s="1605" t="s">
        <v>986</v>
      </c>
      <c r="EI382" s="1605" t="s">
        <v>986</v>
      </c>
      <c r="EJ382" s="1605" t="s">
        <v>986</v>
      </c>
      <c r="EK382" s="1605" t="s">
        <v>986</v>
      </c>
      <c r="EL382" s="1605" t="s">
        <v>986</v>
      </c>
      <c r="EM382" s="1605" t="s">
        <v>986</v>
      </c>
      <c r="EN382" s="1605" t="s">
        <v>986</v>
      </c>
      <c r="EO382" s="1605" t="s">
        <v>986</v>
      </c>
      <c r="EP382" s="1605" t="s">
        <v>986</v>
      </c>
      <c r="EQ382" s="1605" t="s">
        <v>986</v>
      </c>
      <c r="ER382" s="1605" t="s">
        <v>986</v>
      </c>
      <c r="ES382" s="1605" t="s">
        <v>986</v>
      </c>
      <c r="ET382" s="1605" t="s">
        <v>986</v>
      </c>
      <c r="EU382" s="1605" t="s">
        <v>986</v>
      </c>
      <c r="EV382" s="1605" t="s">
        <v>986</v>
      </c>
      <c r="EW382" s="1605" t="s">
        <v>986</v>
      </c>
      <c r="EX382" s="1605" t="s">
        <v>986</v>
      </c>
      <c r="EY382" s="1605" t="s">
        <v>986</v>
      </c>
      <c r="EZ382" s="1605" t="s">
        <v>986</v>
      </c>
      <c r="FA382" s="1605" t="s">
        <v>986</v>
      </c>
      <c r="FB382" s="1605" t="s">
        <v>986</v>
      </c>
      <c r="FC382" s="1605" t="s">
        <v>986</v>
      </c>
      <c r="FD382" s="1605" t="s">
        <v>986</v>
      </c>
      <c r="FE382" s="1605" t="s">
        <v>986</v>
      </c>
      <c r="FF382" s="1605" t="s">
        <v>986</v>
      </c>
      <c r="FG382" s="1605" t="s">
        <v>986</v>
      </c>
      <c r="FH382" s="1605" t="s">
        <v>986</v>
      </c>
      <c r="FI382" s="1605" t="s">
        <v>986</v>
      </c>
      <c r="FJ382" s="1605" t="s">
        <v>986</v>
      </c>
      <c r="FK382" s="1605" t="s">
        <v>986</v>
      </c>
      <c r="FL382" s="1605" t="s">
        <v>986</v>
      </c>
      <c r="FM382" s="1605" t="s">
        <v>986</v>
      </c>
      <c r="FN382" s="1605" t="s">
        <v>986</v>
      </c>
      <c r="FO382" s="1605" t="s">
        <v>986</v>
      </c>
      <c r="FP382" s="1605" t="s">
        <v>986</v>
      </c>
      <c r="FQ382" s="1605" t="s">
        <v>986</v>
      </c>
      <c r="FR382" s="1605" t="s">
        <v>986</v>
      </c>
      <c r="FS382" s="1605" t="s">
        <v>986</v>
      </c>
      <c r="FT382" s="1605" t="s">
        <v>986</v>
      </c>
      <c r="FU382" s="1605" t="s">
        <v>986</v>
      </c>
      <c r="FV382" s="1605" t="s">
        <v>986</v>
      </c>
      <c r="FW382" s="1605" t="s">
        <v>986</v>
      </c>
      <c r="FX382" s="1605" t="s">
        <v>986</v>
      </c>
      <c r="FY382" s="1605" t="s">
        <v>986</v>
      </c>
      <c r="FZ382" s="1605" t="s">
        <v>986</v>
      </c>
      <c r="GA382" s="1605" t="s">
        <v>986</v>
      </c>
      <c r="GB382" s="1605" t="s">
        <v>986</v>
      </c>
      <c r="GC382" s="1605" t="s">
        <v>986</v>
      </c>
      <c r="GD382" s="1605" t="s">
        <v>986</v>
      </c>
      <c r="GE382" s="1605" t="s">
        <v>986</v>
      </c>
      <c r="GF382" s="1605" t="s">
        <v>986</v>
      </c>
      <c r="GG382" s="1605" t="s">
        <v>986</v>
      </c>
      <c r="GH382" s="1605" t="s">
        <v>986</v>
      </c>
      <c r="GI382" s="1605" t="s">
        <v>986</v>
      </c>
      <c r="GJ382" s="1605" t="s">
        <v>986</v>
      </c>
      <c r="GK382" s="1605" t="s">
        <v>986</v>
      </c>
      <c r="GL382" s="1605" t="s">
        <v>986</v>
      </c>
      <c r="GM382" s="1605" t="s">
        <v>986</v>
      </c>
      <c r="GN382" s="1605" t="s">
        <v>986</v>
      </c>
      <c r="GO382" s="1605" t="s">
        <v>986</v>
      </c>
      <c r="GP382" s="1605" t="s">
        <v>986</v>
      </c>
      <c r="GQ382" s="1605" t="s">
        <v>986</v>
      </c>
      <c r="GR382" s="1605" t="s">
        <v>986</v>
      </c>
      <c r="GS382" s="1605" t="s">
        <v>986</v>
      </c>
      <c r="GT382" s="1605" t="s">
        <v>986</v>
      </c>
      <c r="GU382" s="1605" t="s">
        <v>986</v>
      </c>
      <c r="GV382" s="1605" t="s">
        <v>986</v>
      </c>
      <c r="GW382" s="1605" t="s">
        <v>986</v>
      </c>
      <c r="GX382" s="1605" t="s">
        <v>986</v>
      </c>
      <c r="GY382" s="1605" t="s">
        <v>986</v>
      </c>
      <c r="GZ382" s="1605" t="s">
        <v>986</v>
      </c>
      <c r="HA382" s="1605" t="s">
        <v>986</v>
      </c>
      <c r="HB382" s="1605" t="s">
        <v>986</v>
      </c>
      <c r="HC382" s="1605" t="s">
        <v>986</v>
      </c>
      <c r="HD382" s="1605" t="s">
        <v>986</v>
      </c>
      <c r="HE382" s="1605" t="s">
        <v>986</v>
      </c>
      <c r="HF382" s="1605" t="s">
        <v>986</v>
      </c>
      <c r="HG382" s="1605" t="s">
        <v>986</v>
      </c>
      <c r="HH382" s="1605" t="s">
        <v>986</v>
      </c>
      <c r="HI382" s="1605" t="s">
        <v>986</v>
      </c>
      <c r="HJ382" s="1605" t="s">
        <v>986</v>
      </c>
      <c r="HK382" s="1605" t="s">
        <v>986</v>
      </c>
      <c r="HL382" s="1605" t="s">
        <v>986</v>
      </c>
      <c r="HM382" s="1605" t="s">
        <v>986</v>
      </c>
      <c r="HN382" s="1605" t="s">
        <v>986</v>
      </c>
      <c r="HO382" s="1605" t="s">
        <v>986</v>
      </c>
      <c r="HP382" s="1605" t="s">
        <v>986</v>
      </c>
      <c r="HQ382" s="1605" t="s">
        <v>986</v>
      </c>
      <c r="HR382" s="1605" t="s">
        <v>986</v>
      </c>
      <c r="HS382" s="1605" t="s">
        <v>986</v>
      </c>
      <c r="HT382" s="1605" t="s">
        <v>986</v>
      </c>
      <c r="HU382" s="1605" t="s">
        <v>986</v>
      </c>
    </row>
    <row r="383" spans="1:280" x14ac:dyDescent="0.2">
      <c r="DX383" s="1605" t="s">
        <v>986</v>
      </c>
      <c r="DY383" s="1605" t="s">
        <v>986</v>
      </c>
      <c r="DZ383" s="1605" t="s">
        <v>986</v>
      </c>
      <c r="EA383" s="1605" t="s">
        <v>986</v>
      </c>
      <c r="EB383" s="1605" t="s">
        <v>986</v>
      </c>
      <c r="EC383" s="1605" t="s">
        <v>986</v>
      </c>
      <c r="ED383" s="1605" t="s">
        <v>986</v>
      </c>
      <c r="EE383" s="1605" t="s">
        <v>986</v>
      </c>
      <c r="EF383" s="1605" t="s">
        <v>986</v>
      </c>
      <c r="EG383" s="1605" t="s">
        <v>986</v>
      </c>
      <c r="EH383" s="1605" t="s">
        <v>986</v>
      </c>
      <c r="EI383" s="1605" t="s">
        <v>986</v>
      </c>
      <c r="EJ383" s="1605" t="s">
        <v>986</v>
      </c>
      <c r="EK383" s="1605" t="s">
        <v>986</v>
      </c>
      <c r="EL383" s="1605" t="s">
        <v>986</v>
      </c>
      <c r="EM383" s="1605" t="s">
        <v>986</v>
      </c>
      <c r="EN383" s="1605" t="s">
        <v>986</v>
      </c>
      <c r="EO383" s="1605" t="s">
        <v>986</v>
      </c>
      <c r="EP383" s="1605" t="s">
        <v>986</v>
      </c>
      <c r="EQ383" s="1605" t="s">
        <v>986</v>
      </c>
      <c r="ER383" s="1605" t="s">
        <v>986</v>
      </c>
      <c r="ES383" s="1605" t="s">
        <v>986</v>
      </c>
      <c r="ET383" s="1605" t="s">
        <v>986</v>
      </c>
      <c r="EU383" s="1605" t="s">
        <v>986</v>
      </c>
      <c r="EV383" s="1605" t="s">
        <v>986</v>
      </c>
      <c r="EW383" s="1605" t="s">
        <v>986</v>
      </c>
      <c r="EX383" s="1605" t="s">
        <v>986</v>
      </c>
      <c r="EY383" s="1605" t="s">
        <v>986</v>
      </c>
      <c r="EZ383" s="1605" t="s">
        <v>986</v>
      </c>
      <c r="FA383" s="1605" t="s">
        <v>986</v>
      </c>
      <c r="FB383" s="1605" t="s">
        <v>986</v>
      </c>
      <c r="FC383" s="1605" t="s">
        <v>986</v>
      </c>
      <c r="FD383" s="1605" t="s">
        <v>986</v>
      </c>
      <c r="FE383" s="1605" t="s">
        <v>986</v>
      </c>
      <c r="FF383" s="1605" t="s">
        <v>986</v>
      </c>
      <c r="FG383" s="1605" t="s">
        <v>986</v>
      </c>
      <c r="FH383" s="1605" t="s">
        <v>986</v>
      </c>
      <c r="FI383" s="1605" t="s">
        <v>986</v>
      </c>
      <c r="FJ383" s="1605" t="s">
        <v>986</v>
      </c>
      <c r="FK383" s="1605" t="s">
        <v>986</v>
      </c>
      <c r="FL383" s="1605" t="s">
        <v>986</v>
      </c>
      <c r="FM383" s="1605" t="s">
        <v>986</v>
      </c>
      <c r="FN383" s="1605" t="s">
        <v>986</v>
      </c>
      <c r="FO383" s="1605" t="s">
        <v>986</v>
      </c>
      <c r="FP383" s="1605" t="s">
        <v>986</v>
      </c>
      <c r="FQ383" s="1605" t="s">
        <v>986</v>
      </c>
      <c r="FR383" s="1605" t="s">
        <v>986</v>
      </c>
      <c r="FS383" s="1605" t="s">
        <v>986</v>
      </c>
      <c r="FT383" s="1605" t="s">
        <v>986</v>
      </c>
      <c r="FU383" s="1605" t="s">
        <v>986</v>
      </c>
      <c r="FV383" s="1605" t="s">
        <v>986</v>
      </c>
      <c r="FW383" s="1605" t="s">
        <v>986</v>
      </c>
      <c r="FX383" s="1605" t="s">
        <v>986</v>
      </c>
      <c r="FY383" s="1605" t="s">
        <v>986</v>
      </c>
      <c r="FZ383" s="1605" t="s">
        <v>986</v>
      </c>
      <c r="GA383" s="1605" t="s">
        <v>986</v>
      </c>
      <c r="GB383" s="1605" t="s">
        <v>986</v>
      </c>
      <c r="GC383" s="1605" t="s">
        <v>986</v>
      </c>
      <c r="GD383" s="1605" t="s">
        <v>986</v>
      </c>
      <c r="GE383" s="1605" t="s">
        <v>986</v>
      </c>
      <c r="GF383" s="1605" t="s">
        <v>986</v>
      </c>
      <c r="GG383" s="1605" t="s">
        <v>986</v>
      </c>
      <c r="GH383" s="1605" t="s">
        <v>986</v>
      </c>
      <c r="GI383" s="1605" t="s">
        <v>986</v>
      </c>
      <c r="GJ383" s="1605" t="s">
        <v>986</v>
      </c>
      <c r="GK383" s="1605" t="s">
        <v>986</v>
      </c>
      <c r="GL383" s="1605" t="s">
        <v>986</v>
      </c>
      <c r="GM383" s="1605" t="s">
        <v>986</v>
      </c>
      <c r="GN383" s="1605" t="s">
        <v>986</v>
      </c>
      <c r="GO383" s="1605" t="s">
        <v>986</v>
      </c>
      <c r="GP383" s="1605" t="s">
        <v>986</v>
      </c>
      <c r="GQ383" s="1605" t="s">
        <v>986</v>
      </c>
      <c r="GR383" s="1605" t="s">
        <v>986</v>
      </c>
      <c r="GS383" s="1605" t="s">
        <v>986</v>
      </c>
      <c r="GT383" s="1605" t="s">
        <v>986</v>
      </c>
      <c r="GU383" s="1605" t="s">
        <v>986</v>
      </c>
      <c r="GV383" s="1605" t="s">
        <v>986</v>
      </c>
      <c r="GW383" s="1605" t="s">
        <v>986</v>
      </c>
      <c r="GX383" s="1605" t="s">
        <v>986</v>
      </c>
      <c r="GY383" s="1605" t="s">
        <v>986</v>
      </c>
      <c r="GZ383" s="1605" t="s">
        <v>986</v>
      </c>
      <c r="HA383" s="1605" t="s">
        <v>986</v>
      </c>
      <c r="HB383" s="1605" t="s">
        <v>986</v>
      </c>
      <c r="HC383" s="1605" t="s">
        <v>986</v>
      </c>
      <c r="HD383" s="1605" t="s">
        <v>986</v>
      </c>
      <c r="HE383" s="1605" t="s">
        <v>986</v>
      </c>
      <c r="HF383" s="1605" t="s">
        <v>986</v>
      </c>
      <c r="HG383" s="1605" t="s">
        <v>986</v>
      </c>
      <c r="HH383" s="1605" t="s">
        <v>986</v>
      </c>
      <c r="HI383" s="1605" t="s">
        <v>986</v>
      </c>
      <c r="HJ383" s="1605" t="s">
        <v>986</v>
      </c>
      <c r="HK383" s="1605" t="s">
        <v>986</v>
      </c>
      <c r="HL383" s="1605" t="s">
        <v>986</v>
      </c>
      <c r="HM383" s="1605" t="s">
        <v>986</v>
      </c>
      <c r="HN383" s="1605" t="s">
        <v>986</v>
      </c>
      <c r="HO383" s="1605" t="s">
        <v>986</v>
      </c>
      <c r="HP383" s="1605" t="s">
        <v>986</v>
      </c>
      <c r="HQ383" s="1605" t="s">
        <v>986</v>
      </c>
      <c r="HR383" s="1605" t="s">
        <v>986</v>
      </c>
      <c r="HS383" s="1605" t="s">
        <v>986</v>
      </c>
      <c r="HT383" s="1605" t="s">
        <v>986</v>
      </c>
      <c r="HU383" s="1605" t="s">
        <v>986</v>
      </c>
    </row>
    <row r="384" spans="1:280" x14ac:dyDescent="0.2">
      <c r="DX384" s="1605" t="s">
        <v>986</v>
      </c>
      <c r="DY384" s="1605" t="s">
        <v>986</v>
      </c>
      <c r="DZ384" s="1605" t="s">
        <v>986</v>
      </c>
      <c r="EA384" s="1605" t="s">
        <v>986</v>
      </c>
      <c r="EB384" s="1605" t="s">
        <v>986</v>
      </c>
      <c r="EC384" s="1605" t="s">
        <v>986</v>
      </c>
      <c r="ED384" s="1605" t="s">
        <v>986</v>
      </c>
      <c r="EE384" s="1605" t="s">
        <v>986</v>
      </c>
      <c r="EF384" s="1605" t="s">
        <v>986</v>
      </c>
      <c r="EG384" s="1605" t="s">
        <v>986</v>
      </c>
      <c r="EH384" s="1605" t="s">
        <v>986</v>
      </c>
      <c r="EI384" s="1605" t="s">
        <v>986</v>
      </c>
      <c r="EJ384" s="1605" t="s">
        <v>986</v>
      </c>
      <c r="EK384" s="1605" t="s">
        <v>986</v>
      </c>
      <c r="EL384" s="1605" t="s">
        <v>986</v>
      </c>
      <c r="EM384" s="1605" t="s">
        <v>986</v>
      </c>
      <c r="EN384" s="1605" t="s">
        <v>986</v>
      </c>
      <c r="EO384" s="1605" t="s">
        <v>986</v>
      </c>
      <c r="EP384" s="1605" t="s">
        <v>986</v>
      </c>
      <c r="EQ384" s="1605" t="s">
        <v>986</v>
      </c>
      <c r="ER384" s="1605" t="s">
        <v>986</v>
      </c>
      <c r="ES384" s="1605" t="s">
        <v>986</v>
      </c>
      <c r="ET384" s="1605" t="s">
        <v>986</v>
      </c>
      <c r="EU384" s="1605" t="s">
        <v>986</v>
      </c>
      <c r="EV384" s="1605" t="s">
        <v>986</v>
      </c>
      <c r="EW384" s="1605" t="s">
        <v>986</v>
      </c>
      <c r="EX384" s="1605" t="s">
        <v>986</v>
      </c>
      <c r="EY384" s="1605" t="s">
        <v>986</v>
      </c>
      <c r="EZ384" s="1605" t="s">
        <v>986</v>
      </c>
      <c r="FA384" s="1605" t="s">
        <v>986</v>
      </c>
      <c r="FB384" s="1605" t="s">
        <v>986</v>
      </c>
      <c r="FC384" s="1605" t="s">
        <v>986</v>
      </c>
      <c r="FD384" s="1605" t="s">
        <v>986</v>
      </c>
      <c r="FE384" s="1605" t="s">
        <v>986</v>
      </c>
      <c r="FF384" s="1605" t="s">
        <v>986</v>
      </c>
      <c r="FG384" s="1605" t="s">
        <v>986</v>
      </c>
      <c r="FH384" s="1605" t="s">
        <v>986</v>
      </c>
      <c r="FI384" s="1605" t="s">
        <v>986</v>
      </c>
      <c r="FJ384" s="1605" t="s">
        <v>986</v>
      </c>
      <c r="FK384" s="1605" t="s">
        <v>986</v>
      </c>
      <c r="FL384" s="1605" t="s">
        <v>986</v>
      </c>
      <c r="FM384" s="1605" t="s">
        <v>986</v>
      </c>
      <c r="FN384" s="1605" t="s">
        <v>986</v>
      </c>
      <c r="FO384" s="1605" t="s">
        <v>986</v>
      </c>
      <c r="FP384" s="1605" t="s">
        <v>986</v>
      </c>
      <c r="FQ384" s="1605" t="s">
        <v>986</v>
      </c>
      <c r="FR384" s="1605" t="s">
        <v>986</v>
      </c>
      <c r="FS384" s="1605" t="s">
        <v>986</v>
      </c>
      <c r="FT384" s="1605" t="s">
        <v>986</v>
      </c>
      <c r="FU384" s="1605" t="s">
        <v>986</v>
      </c>
      <c r="FV384" s="1605" t="s">
        <v>986</v>
      </c>
      <c r="FW384" s="1605" t="s">
        <v>986</v>
      </c>
      <c r="FX384" s="1605" t="s">
        <v>986</v>
      </c>
      <c r="FY384" s="1605" t="s">
        <v>986</v>
      </c>
      <c r="FZ384" s="1605" t="s">
        <v>986</v>
      </c>
      <c r="GA384" s="1605" t="s">
        <v>986</v>
      </c>
      <c r="GB384" s="1605" t="s">
        <v>986</v>
      </c>
      <c r="GC384" s="1605" t="s">
        <v>986</v>
      </c>
      <c r="GD384" s="1605" t="s">
        <v>986</v>
      </c>
      <c r="GE384" s="1605" t="s">
        <v>986</v>
      </c>
      <c r="GF384" s="1605" t="s">
        <v>986</v>
      </c>
      <c r="GG384" s="1605" t="s">
        <v>986</v>
      </c>
      <c r="GH384" s="1605" t="s">
        <v>986</v>
      </c>
      <c r="GI384" s="1605" t="s">
        <v>986</v>
      </c>
      <c r="GJ384" s="1605" t="s">
        <v>986</v>
      </c>
      <c r="GK384" s="1605" t="s">
        <v>986</v>
      </c>
      <c r="GL384" s="1605" t="s">
        <v>986</v>
      </c>
      <c r="GM384" s="1605" t="s">
        <v>986</v>
      </c>
      <c r="GN384" s="1605" t="s">
        <v>986</v>
      </c>
      <c r="GO384" s="1605" t="s">
        <v>986</v>
      </c>
      <c r="GP384" s="1605" t="s">
        <v>986</v>
      </c>
      <c r="GQ384" s="1605" t="s">
        <v>986</v>
      </c>
      <c r="GR384" s="1605" t="s">
        <v>986</v>
      </c>
      <c r="GS384" s="1605" t="s">
        <v>986</v>
      </c>
      <c r="GT384" s="1605" t="s">
        <v>986</v>
      </c>
      <c r="GU384" s="1605" t="s">
        <v>986</v>
      </c>
      <c r="GV384" s="1605" t="s">
        <v>986</v>
      </c>
      <c r="GW384" s="1605" t="s">
        <v>986</v>
      </c>
      <c r="GX384" s="1605" t="s">
        <v>986</v>
      </c>
      <c r="GY384" s="1605" t="s">
        <v>986</v>
      </c>
      <c r="GZ384" s="1605" t="s">
        <v>986</v>
      </c>
      <c r="HA384" s="1605" t="s">
        <v>986</v>
      </c>
      <c r="HB384" s="1605" t="s">
        <v>986</v>
      </c>
      <c r="HC384" s="1605" t="s">
        <v>986</v>
      </c>
      <c r="HD384" s="1605" t="s">
        <v>986</v>
      </c>
      <c r="HE384" s="1605" t="s">
        <v>986</v>
      </c>
      <c r="HF384" s="1605" t="s">
        <v>986</v>
      </c>
      <c r="HG384" s="1605" t="s">
        <v>986</v>
      </c>
      <c r="HH384" s="1605" t="s">
        <v>986</v>
      </c>
      <c r="HI384" s="1605" t="s">
        <v>986</v>
      </c>
      <c r="HJ384" s="1605" t="s">
        <v>986</v>
      </c>
      <c r="HK384" s="1605" t="s">
        <v>986</v>
      </c>
      <c r="HL384" s="1605" t="s">
        <v>986</v>
      </c>
      <c r="HM384" s="1605" t="s">
        <v>986</v>
      </c>
      <c r="HN384" s="1605" t="s">
        <v>986</v>
      </c>
      <c r="HO384" s="1605" t="s">
        <v>986</v>
      </c>
      <c r="HP384" s="1605" t="s">
        <v>986</v>
      </c>
      <c r="HQ384" s="1605" t="s">
        <v>986</v>
      </c>
      <c r="HR384" s="1605" t="s">
        <v>986</v>
      </c>
      <c r="HS384" s="1605" t="s">
        <v>986</v>
      </c>
      <c r="HT384" s="1605" t="s">
        <v>986</v>
      </c>
      <c r="HU384" s="1605" t="s">
        <v>986</v>
      </c>
    </row>
    <row r="385" spans="128:229" x14ac:dyDescent="0.2">
      <c r="DX385" s="1605" t="s">
        <v>986</v>
      </c>
      <c r="DY385" s="1605" t="s">
        <v>986</v>
      </c>
      <c r="DZ385" s="1605" t="s">
        <v>986</v>
      </c>
      <c r="EA385" s="1605" t="s">
        <v>986</v>
      </c>
      <c r="EB385" s="1605" t="s">
        <v>986</v>
      </c>
      <c r="EC385" s="1605" t="s">
        <v>986</v>
      </c>
      <c r="ED385" s="1605" t="s">
        <v>986</v>
      </c>
      <c r="EE385" s="1605" t="s">
        <v>986</v>
      </c>
      <c r="EF385" s="1605" t="s">
        <v>986</v>
      </c>
      <c r="EG385" s="1605" t="s">
        <v>986</v>
      </c>
      <c r="EH385" s="1605" t="s">
        <v>986</v>
      </c>
      <c r="EI385" s="1605" t="s">
        <v>986</v>
      </c>
      <c r="EJ385" s="1605" t="s">
        <v>986</v>
      </c>
      <c r="EK385" s="1605" t="s">
        <v>986</v>
      </c>
      <c r="EL385" s="1605" t="s">
        <v>986</v>
      </c>
      <c r="EM385" s="1605" t="s">
        <v>986</v>
      </c>
      <c r="EN385" s="1605" t="s">
        <v>986</v>
      </c>
      <c r="EO385" s="1605" t="s">
        <v>986</v>
      </c>
      <c r="EP385" s="1605" t="s">
        <v>986</v>
      </c>
      <c r="EQ385" s="1605" t="s">
        <v>986</v>
      </c>
      <c r="ER385" s="1605" t="s">
        <v>986</v>
      </c>
      <c r="ES385" s="1605" t="s">
        <v>986</v>
      </c>
      <c r="ET385" s="1605" t="s">
        <v>986</v>
      </c>
      <c r="EU385" s="1605" t="s">
        <v>986</v>
      </c>
      <c r="EV385" s="1605" t="s">
        <v>986</v>
      </c>
      <c r="EW385" s="1605" t="s">
        <v>986</v>
      </c>
      <c r="EX385" s="1605" t="s">
        <v>986</v>
      </c>
      <c r="EY385" s="1605" t="s">
        <v>986</v>
      </c>
      <c r="EZ385" s="1605" t="s">
        <v>986</v>
      </c>
      <c r="FA385" s="1605" t="s">
        <v>986</v>
      </c>
      <c r="FB385" s="1605" t="s">
        <v>986</v>
      </c>
      <c r="FC385" s="1605" t="s">
        <v>986</v>
      </c>
      <c r="FD385" s="1605" t="s">
        <v>986</v>
      </c>
      <c r="FE385" s="1605" t="s">
        <v>986</v>
      </c>
      <c r="FF385" s="1605" t="s">
        <v>986</v>
      </c>
      <c r="FG385" s="1605" t="s">
        <v>986</v>
      </c>
      <c r="FH385" s="1605" t="s">
        <v>986</v>
      </c>
      <c r="FI385" s="1605" t="s">
        <v>986</v>
      </c>
      <c r="FJ385" s="1605" t="s">
        <v>986</v>
      </c>
      <c r="FK385" s="1605" t="s">
        <v>986</v>
      </c>
      <c r="FL385" s="1605" t="s">
        <v>986</v>
      </c>
      <c r="FM385" s="1605" t="s">
        <v>986</v>
      </c>
      <c r="FN385" s="1605" t="s">
        <v>986</v>
      </c>
      <c r="FO385" s="1605" t="s">
        <v>986</v>
      </c>
      <c r="FP385" s="1605" t="s">
        <v>986</v>
      </c>
      <c r="FQ385" s="1605" t="s">
        <v>986</v>
      </c>
      <c r="FR385" s="1605" t="s">
        <v>986</v>
      </c>
      <c r="FS385" s="1605" t="s">
        <v>986</v>
      </c>
      <c r="FT385" s="1605" t="s">
        <v>986</v>
      </c>
      <c r="FU385" s="1605" t="s">
        <v>986</v>
      </c>
      <c r="FV385" s="1605" t="s">
        <v>986</v>
      </c>
      <c r="FW385" s="1605" t="s">
        <v>986</v>
      </c>
      <c r="FX385" s="1605" t="s">
        <v>986</v>
      </c>
      <c r="FY385" s="1605" t="s">
        <v>986</v>
      </c>
      <c r="FZ385" s="1605" t="s">
        <v>986</v>
      </c>
      <c r="GA385" s="1605" t="s">
        <v>986</v>
      </c>
      <c r="GB385" s="1605" t="s">
        <v>986</v>
      </c>
      <c r="GC385" s="1605" t="s">
        <v>986</v>
      </c>
      <c r="GD385" s="1605" t="s">
        <v>986</v>
      </c>
      <c r="GE385" s="1605" t="s">
        <v>986</v>
      </c>
      <c r="GF385" s="1605" t="s">
        <v>986</v>
      </c>
      <c r="GG385" s="1605" t="s">
        <v>986</v>
      </c>
      <c r="GH385" s="1605" t="s">
        <v>986</v>
      </c>
      <c r="GI385" s="1605" t="s">
        <v>986</v>
      </c>
      <c r="GJ385" s="1605" t="s">
        <v>986</v>
      </c>
      <c r="GK385" s="1605" t="s">
        <v>986</v>
      </c>
      <c r="GL385" s="1605" t="s">
        <v>986</v>
      </c>
      <c r="GM385" s="1605" t="s">
        <v>986</v>
      </c>
      <c r="GN385" s="1605" t="s">
        <v>986</v>
      </c>
      <c r="GO385" s="1605" t="s">
        <v>986</v>
      </c>
      <c r="GP385" s="1605" t="s">
        <v>986</v>
      </c>
      <c r="GQ385" s="1605" t="s">
        <v>986</v>
      </c>
      <c r="GR385" s="1605" t="s">
        <v>986</v>
      </c>
      <c r="GS385" s="1605" t="s">
        <v>986</v>
      </c>
      <c r="GT385" s="1605" t="s">
        <v>986</v>
      </c>
      <c r="GU385" s="1605" t="s">
        <v>986</v>
      </c>
      <c r="GV385" s="1605" t="s">
        <v>986</v>
      </c>
      <c r="GW385" s="1605" t="s">
        <v>986</v>
      </c>
      <c r="GX385" s="1605" t="s">
        <v>986</v>
      </c>
      <c r="GY385" s="1605" t="s">
        <v>986</v>
      </c>
      <c r="GZ385" s="1605" t="s">
        <v>986</v>
      </c>
      <c r="HA385" s="1605" t="s">
        <v>986</v>
      </c>
      <c r="HB385" s="1605" t="s">
        <v>986</v>
      </c>
      <c r="HC385" s="1605" t="s">
        <v>986</v>
      </c>
      <c r="HD385" s="1605" t="s">
        <v>986</v>
      </c>
      <c r="HE385" s="1605" t="s">
        <v>986</v>
      </c>
      <c r="HF385" s="1605" t="s">
        <v>986</v>
      </c>
      <c r="HG385" s="1605" t="s">
        <v>986</v>
      </c>
      <c r="HH385" s="1605" t="s">
        <v>986</v>
      </c>
      <c r="HI385" s="1605" t="s">
        <v>986</v>
      </c>
      <c r="HJ385" s="1605" t="s">
        <v>986</v>
      </c>
      <c r="HK385" s="1605" t="s">
        <v>986</v>
      </c>
      <c r="HL385" s="1605" t="s">
        <v>986</v>
      </c>
      <c r="HM385" s="1605" t="s">
        <v>986</v>
      </c>
      <c r="HN385" s="1605" t="s">
        <v>986</v>
      </c>
      <c r="HO385" s="1605" t="s">
        <v>986</v>
      </c>
      <c r="HP385" s="1605" t="s">
        <v>986</v>
      </c>
      <c r="HQ385" s="1605" t="s">
        <v>986</v>
      </c>
      <c r="HR385" s="1605" t="s">
        <v>986</v>
      </c>
      <c r="HS385" s="1605" t="s">
        <v>986</v>
      </c>
      <c r="HT385" s="1605" t="s">
        <v>986</v>
      </c>
      <c r="HU385" s="1605" t="s">
        <v>986</v>
      </c>
    </row>
    <row r="386" spans="128:229" x14ac:dyDescent="0.2">
      <c r="DX386" s="1605" t="s">
        <v>986</v>
      </c>
      <c r="DY386" s="1605" t="s">
        <v>986</v>
      </c>
      <c r="DZ386" s="1605" t="s">
        <v>986</v>
      </c>
      <c r="EA386" s="1605" t="s">
        <v>986</v>
      </c>
      <c r="EB386" s="1605" t="s">
        <v>986</v>
      </c>
      <c r="EC386" s="1605" t="s">
        <v>986</v>
      </c>
      <c r="ED386" s="1605" t="s">
        <v>986</v>
      </c>
      <c r="EE386" s="1605" t="s">
        <v>986</v>
      </c>
      <c r="EF386" s="1605" t="s">
        <v>986</v>
      </c>
      <c r="EG386" s="1605" t="s">
        <v>986</v>
      </c>
      <c r="EH386" s="1605" t="s">
        <v>986</v>
      </c>
      <c r="EI386" s="1605" t="s">
        <v>986</v>
      </c>
      <c r="EJ386" s="1605" t="s">
        <v>986</v>
      </c>
      <c r="EK386" s="1605" t="s">
        <v>986</v>
      </c>
      <c r="EL386" s="1605" t="s">
        <v>986</v>
      </c>
      <c r="EM386" s="1605" t="s">
        <v>986</v>
      </c>
      <c r="EN386" s="1605" t="s">
        <v>986</v>
      </c>
      <c r="EO386" s="1605" t="s">
        <v>986</v>
      </c>
      <c r="EP386" s="1605" t="s">
        <v>986</v>
      </c>
      <c r="EQ386" s="1605" t="s">
        <v>986</v>
      </c>
      <c r="ER386" s="1605" t="s">
        <v>986</v>
      </c>
      <c r="ES386" s="1605" t="s">
        <v>986</v>
      </c>
      <c r="ET386" s="1605" t="s">
        <v>986</v>
      </c>
      <c r="EU386" s="1605" t="s">
        <v>986</v>
      </c>
      <c r="EV386" s="1605" t="s">
        <v>986</v>
      </c>
      <c r="EW386" s="1605" t="s">
        <v>986</v>
      </c>
      <c r="EX386" s="1605" t="s">
        <v>986</v>
      </c>
      <c r="EY386" s="1605" t="s">
        <v>986</v>
      </c>
      <c r="EZ386" s="1605" t="s">
        <v>986</v>
      </c>
      <c r="FA386" s="1605" t="s">
        <v>986</v>
      </c>
      <c r="FB386" s="1605" t="s">
        <v>986</v>
      </c>
      <c r="FC386" s="1605" t="s">
        <v>986</v>
      </c>
      <c r="FD386" s="1605" t="s">
        <v>986</v>
      </c>
      <c r="FE386" s="1605" t="s">
        <v>986</v>
      </c>
      <c r="FF386" s="1605" t="s">
        <v>986</v>
      </c>
      <c r="FG386" s="1605" t="s">
        <v>986</v>
      </c>
      <c r="FH386" s="1605" t="s">
        <v>986</v>
      </c>
      <c r="FI386" s="1605" t="s">
        <v>986</v>
      </c>
      <c r="FJ386" s="1605" t="s">
        <v>986</v>
      </c>
      <c r="FK386" s="1605" t="s">
        <v>986</v>
      </c>
      <c r="FL386" s="1605" t="s">
        <v>986</v>
      </c>
      <c r="FM386" s="1605" t="s">
        <v>986</v>
      </c>
      <c r="FN386" s="1605" t="s">
        <v>986</v>
      </c>
      <c r="FO386" s="1605" t="s">
        <v>986</v>
      </c>
      <c r="FP386" s="1605" t="s">
        <v>986</v>
      </c>
      <c r="FQ386" s="1605" t="s">
        <v>986</v>
      </c>
      <c r="FR386" s="1605" t="s">
        <v>986</v>
      </c>
      <c r="FS386" s="1605" t="s">
        <v>986</v>
      </c>
      <c r="FT386" s="1605" t="s">
        <v>986</v>
      </c>
      <c r="FU386" s="1605" t="s">
        <v>986</v>
      </c>
      <c r="FV386" s="1605" t="s">
        <v>986</v>
      </c>
      <c r="FW386" s="1605" t="s">
        <v>986</v>
      </c>
      <c r="FX386" s="1605" t="s">
        <v>986</v>
      </c>
      <c r="FY386" s="1605" t="s">
        <v>986</v>
      </c>
      <c r="FZ386" s="1605" t="s">
        <v>986</v>
      </c>
      <c r="GA386" s="1605" t="s">
        <v>986</v>
      </c>
      <c r="GB386" s="1605" t="s">
        <v>986</v>
      </c>
      <c r="GC386" s="1605" t="s">
        <v>986</v>
      </c>
      <c r="GD386" s="1605" t="s">
        <v>986</v>
      </c>
      <c r="GE386" s="1605" t="s">
        <v>986</v>
      </c>
      <c r="GF386" s="1605" t="s">
        <v>986</v>
      </c>
      <c r="GG386" s="1605" t="s">
        <v>986</v>
      </c>
      <c r="GH386" s="1605" t="s">
        <v>986</v>
      </c>
      <c r="GI386" s="1605" t="s">
        <v>986</v>
      </c>
      <c r="GJ386" s="1605" t="s">
        <v>986</v>
      </c>
      <c r="GK386" s="1605" t="s">
        <v>986</v>
      </c>
      <c r="GL386" s="1605" t="s">
        <v>986</v>
      </c>
      <c r="GM386" s="1605" t="s">
        <v>986</v>
      </c>
      <c r="GN386" s="1605" t="s">
        <v>986</v>
      </c>
      <c r="GO386" s="1605" t="s">
        <v>986</v>
      </c>
      <c r="GP386" s="1605" t="s">
        <v>986</v>
      </c>
      <c r="GQ386" s="1605" t="s">
        <v>986</v>
      </c>
      <c r="GR386" s="1605" t="s">
        <v>986</v>
      </c>
      <c r="GS386" s="1605" t="s">
        <v>986</v>
      </c>
      <c r="GT386" s="1605" t="s">
        <v>986</v>
      </c>
      <c r="GU386" s="1605" t="s">
        <v>986</v>
      </c>
      <c r="GV386" s="1605" t="s">
        <v>986</v>
      </c>
      <c r="GW386" s="1605" t="s">
        <v>986</v>
      </c>
      <c r="GX386" s="1605" t="s">
        <v>986</v>
      </c>
      <c r="GY386" s="1605" t="s">
        <v>986</v>
      </c>
      <c r="GZ386" s="1605" t="s">
        <v>986</v>
      </c>
      <c r="HA386" s="1605" t="s">
        <v>986</v>
      </c>
      <c r="HB386" s="1605" t="s">
        <v>986</v>
      </c>
      <c r="HC386" s="1605" t="s">
        <v>986</v>
      </c>
      <c r="HD386" s="1605" t="s">
        <v>986</v>
      </c>
      <c r="HE386" s="1605" t="s">
        <v>986</v>
      </c>
      <c r="HF386" s="1605" t="s">
        <v>986</v>
      </c>
      <c r="HG386" s="1605" t="s">
        <v>986</v>
      </c>
      <c r="HH386" s="1605" t="s">
        <v>986</v>
      </c>
      <c r="HI386" s="1605" t="s">
        <v>986</v>
      </c>
      <c r="HJ386" s="1605" t="s">
        <v>986</v>
      </c>
      <c r="HK386" s="1605" t="s">
        <v>986</v>
      </c>
      <c r="HL386" s="1605" t="s">
        <v>986</v>
      </c>
      <c r="HM386" s="1605" t="s">
        <v>986</v>
      </c>
      <c r="HN386" s="1605" t="s">
        <v>986</v>
      </c>
      <c r="HO386" s="1605" t="s">
        <v>986</v>
      </c>
      <c r="HP386" s="1605" t="s">
        <v>986</v>
      </c>
      <c r="HQ386" s="1605" t="s">
        <v>986</v>
      </c>
      <c r="HR386" s="1605" t="s">
        <v>986</v>
      </c>
      <c r="HS386" s="1605" t="s">
        <v>986</v>
      </c>
      <c r="HT386" s="1605" t="s">
        <v>986</v>
      </c>
      <c r="HU386" s="1605" t="s">
        <v>986</v>
      </c>
    </row>
    <row r="387" spans="128:229" x14ac:dyDescent="0.2">
      <c r="DX387" s="1605" t="s">
        <v>986</v>
      </c>
      <c r="DY387" s="1605" t="s">
        <v>986</v>
      </c>
      <c r="DZ387" s="1605" t="s">
        <v>986</v>
      </c>
      <c r="EA387" s="1605" t="s">
        <v>986</v>
      </c>
      <c r="EB387" s="1605" t="s">
        <v>986</v>
      </c>
      <c r="EC387" s="1605" t="s">
        <v>986</v>
      </c>
      <c r="ED387" s="1605" t="s">
        <v>986</v>
      </c>
      <c r="EE387" s="1605" t="s">
        <v>986</v>
      </c>
      <c r="EF387" s="1605" t="s">
        <v>986</v>
      </c>
      <c r="EG387" s="1605" t="s">
        <v>986</v>
      </c>
      <c r="EH387" s="1605" t="s">
        <v>986</v>
      </c>
      <c r="EI387" s="1605" t="s">
        <v>986</v>
      </c>
      <c r="EJ387" s="1605" t="s">
        <v>986</v>
      </c>
      <c r="EK387" s="1605" t="s">
        <v>986</v>
      </c>
      <c r="EL387" s="1605" t="s">
        <v>986</v>
      </c>
      <c r="EM387" s="1605" t="s">
        <v>986</v>
      </c>
      <c r="EN387" s="1605" t="s">
        <v>986</v>
      </c>
      <c r="EO387" s="1605" t="s">
        <v>986</v>
      </c>
      <c r="EP387" s="1605" t="s">
        <v>986</v>
      </c>
      <c r="EQ387" s="1605" t="s">
        <v>986</v>
      </c>
      <c r="ER387" s="1605" t="s">
        <v>986</v>
      </c>
      <c r="ES387" s="1605" t="s">
        <v>986</v>
      </c>
      <c r="ET387" s="1605" t="s">
        <v>986</v>
      </c>
      <c r="EU387" s="1605" t="s">
        <v>986</v>
      </c>
      <c r="EV387" s="1605" t="s">
        <v>986</v>
      </c>
      <c r="EW387" s="1605" t="s">
        <v>986</v>
      </c>
      <c r="EX387" s="1605" t="s">
        <v>986</v>
      </c>
      <c r="EY387" s="1605" t="s">
        <v>986</v>
      </c>
      <c r="EZ387" s="1605" t="s">
        <v>986</v>
      </c>
      <c r="FA387" s="1605" t="s">
        <v>986</v>
      </c>
      <c r="FB387" s="1605" t="s">
        <v>986</v>
      </c>
      <c r="FC387" s="1605" t="s">
        <v>986</v>
      </c>
      <c r="FD387" s="1605" t="s">
        <v>986</v>
      </c>
      <c r="FE387" s="1605" t="s">
        <v>986</v>
      </c>
      <c r="FF387" s="1605" t="s">
        <v>986</v>
      </c>
      <c r="FG387" s="1605" t="s">
        <v>986</v>
      </c>
      <c r="FH387" s="1605" t="s">
        <v>986</v>
      </c>
      <c r="FI387" s="1605" t="s">
        <v>986</v>
      </c>
      <c r="FJ387" s="1605" t="s">
        <v>986</v>
      </c>
      <c r="FK387" s="1605" t="s">
        <v>986</v>
      </c>
      <c r="FL387" s="1605" t="s">
        <v>986</v>
      </c>
      <c r="FM387" s="1605" t="s">
        <v>986</v>
      </c>
      <c r="FN387" s="1605" t="s">
        <v>986</v>
      </c>
      <c r="FO387" s="1605" t="s">
        <v>986</v>
      </c>
      <c r="FP387" s="1605" t="s">
        <v>986</v>
      </c>
      <c r="FQ387" s="1605" t="s">
        <v>986</v>
      </c>
      <c r="FR387" s="1605" t="s">
        <v>986</v>
      </c>
      <c r="FS387" s="1605" t="s">
        <v>986</v>
      </c>
      <c r="FT387" s="1605" t="s">
        <v>986</v>
      </c>
      <c r="FU387" s="1605" t="s">
        <v>986</v>
      </c>
      <c r="FV387" s="1605" t="s">
        <v>986</v>
      </c>
      <c r="FW387" s="1605" t="s">
        <v>986</v>
      </c>
      <c r="FX387" s="1605" t="s">
        <v>986</v>
      </c>
      <c r="FY387" s="1605" t="s">
        <v>986</v>
      </c>
      <c r="FZ387" s="1605" t="s">
        <v>986</v>
      </c>
      <c r="GA387" s="1605" t="s">
        <v>986</v>
      </c>
      <c r="GB387" s="1605" t="s">
        <v>986</v>
      </c>
      <c r="GC387" s="1605" t="s">
        <v>986</v>
      </c>
      <c r="GD387" s="1605" t="s">
        <v>986</v>
      </c>
      <c r="GE387" s="1605" t="s">
        <v>986</v>
      </c>
      <c r="GF387" s="1605" t="s">
        <v>986</v>
      </c>
      <c r="GG387" s="1605" t="s">
        <v>986</v>
      </c>
      <c r="GH387" s="1605" t="s">
        <v>986</v>
      </c>
      <c r="GI387" s="1605" t="s">
        <v>986</v>
      </c>
      <c r="GJ387" s="1605" t="s">
        <v>986</v>
      </c>
      <c r="GK387" s="1605" t="s">
        <v>986</v>
      </c>
      <c r="GL387" s="1605" t="s">
        <v>986</v>
      </c>
      <c r="GM387" s="1605" t="s">
        <v>986</v>
      </c>
      <c r="GN387" s="1605" t="s">
        <v>986</v>
      </c>
      <c r="GO387" s="1605" t="s">
        <v>986</v>
      </c>
      <c r="GP387" s="1605" t="s">
        <v>986</v>
      </c>
      <c r="GQ387" s="1605" t="s">
        <v>986</v>
      </c>
      <c r="GR387" s="1605" t="s">
        <v>986</v>
      </c>
      <c r="GS387" s="1605" t="s">
        <v>986</v>
      </c>
      <c r="GT387" s="1605" t="s">
        <v>986</v>
      </c>
      <c r="GU387" s="1605" t="s">
        <v>986</v>
      </c>
      <c r="GV387" s="1605" t="s">
        <v>986</v>
      </c>
      <c r="GW387" s="1605" t="s">
        <v>986</v>
      </c>
      <c r="GX387" s="1605" t="s">
        <v>986</v>
      </c>
      <c r="GY387" s="1605" t="s">
        <v>986</v>
      </c>
      <c r="GZ387" s="1605" t="s">
        <v>986</v>
      </c>
      <c r="HA387" s="1605" t="s">
        <v>986</v>
      </c>
      <c r="HB387" s="1605" t="s">
        <v>986</v>
      </c>
      <c r="HC387" s="1605" t="s">
        <v>986</v>
      </c>
      <c r="HD387" s="1605" t="s">
        <v>986</v>
      </c>
      <c r="HE387" s="1605" t="s">
        <v>986</v>
      </c>
      <c r="HF387" s="1605" t="s">
        <v>986</v>
      </c>
      <c r="HG387" s="1605" t="s">
        <v>986</v>
      </c>
      <c r="HH387" s="1605" t="s">
        <v>986</v>
      </c>
      <c r="HI387" s="1605" t="s">
        <v>986</v>
      </c>
      <c r="HJ387" s="1605" t="s">
        <v>986</v>
      </c>
      <c r="HK387" s="1605" t="s">
        <v>986</v>
      </c>
      <c r="HL387" s="1605" t="s">
        <v>986</v>
      </c>
      <c r="HM387" s="1605" t="s">
        <v>986</v>
      </c>
      <c r="HN387" s="1605" t="s">
        <v>986</v>
      </c>
      <c r="HO387" s="1605" t="s">
        <v>986</v>
      </c>
      <c r="HP387" s="1605" t="s">
        <v>986</v>
      </c>
      <c r="HQ387" s="1605" t="s">
        <v>986</v>
      </c>
      <c r="HR387" s="1605" t="s">
        <v>986</v>
      </c>
      <c r="HS387" s="1605" t="s">
        <v>986</v>
      </c>
      <c r="HT387" s="1605" t="s">
        <v>986</v>
      </c>
      <c r="HU387" s="1605" t="s">
        <v>986</v>
      </c>
    </row>
    <row r="388" spans="128:229" x14ac:dyDescent="0.2">
      <c r="DX388" s="1605" t="s">
        <v>986</v>
      </c>
      <c r="DY388" s="1605" t="s">
        <v>986</v>
      </c>
      <c r="DZ388" s="1605" t="s">
        <v>986</v>
      </c>
      <c r="EA388" s="1605" t="s">
        <v>986</v>
      </c>
      <c r="EB388" s="1605" t="s">
        <v>986</v>
      </c>
      <c r="EC388" s="1605" t="s">
        <v>986</v>
      </c>
      <c r="ED388" s="1605" t="s">
        <v>986</v>
      </c>
      <c r="EE388" s="1605" t="s">
        <v>986</v>
      </c>
      <c r="EF388" s="1605" t="s">
        <v>986</v>
      </c>
      <c r="EG388" s="1605" t="s">
        <v>986</v>
      </c>
      <c r="EH388" s="1605" t="s">
        <v>986</v>
      </c>
      <c r="EI388" s="1605" t="s">
        <v>986</v>
      </c>
      <c r="EJ388" s="1605" t="s">
        <v>986</v>
      </c>
      <c r="EK388" s="1605" t="s">
        <v>986</v>
      </c>
      <c r="EL388" s="1605" t="s">
        <v>986</v>
      </c>
      <c r="EM388" s="1605" t="s">
        <v>986</v>
      </c>
      <c r="EN388" s="1605" t="s">
        <v>986</v>
      </c>
      <c r="EO388" s="1605" t="s">
        <v>986</v>
      </c>
      <c r="EP388" s="1605" t="s">
        <v>986</v>
      </c>
      <c r="EQ388" s="1605" t="s">
        <v>986</v>
      </c>
      <c r="ER388" s="1605" t="s">
        <v>986</v>
      </c>
      <c r="ES388" s="1605" t="s">
        <v>986</v>
      </c>
      <c r="ET388" s="1605" t="s">
        <v>986</v>
      </c>
      <c r="EU388" s="1605" t="s">
        <v>986</v>
      </c>
      <c r="EV388" s="1605" t="s">
        <v>986</v>
      </c>
      <c r="EW388" s="1605" t="s">
        <v>986</v>
      </c>
      <c r="EX388" s="1605" t="s">
        <v>986</v>
      </c>
      <c r="EY388" s="1605" t="s">
        <v>986</v>
      </c>
      <c r="EZ388" s="1605" t="s">
        <v>986</v>
      </c>
      <c r="FA388" s="1605" t="s">
        <v>986</v>
      </c>
      <c r="FB388" s="1605" t="s">
        <v>986</v>
      </c>
      <c r="FC388" s="1605" t="s">
        <v>986</v>
      </c>
      <c r="FD388" s="1605" t="s">
        <v>986</v>
      </c>
      <c r="FE388" s="1605" t="s">
        <v>986</v>
      </c>
      <c r="FF388" s="1605" t="s">
        <v>986</v>
      </c>
      <c r="FG388" s="1605" t="s">
        <v>986</v>
      </c>
      <c r="FH388" s="1605" t="s">
        <v>986</v>
      </c>
      <c r="FI388" s="1605" t="s">
        <v>986</v>
      </c>
      <c r="FJ388" s="1605" t="s">
        <v>986</v>
      </c>
      <c r="FK388" s="1605" t="s">
        <v>986</v>
      </c>
      <c r="FL388" s="1605" t="s">
        <v>986</v>
      </c>
      <c r="FM388" s="1605" t="s">
        <v>986</v>
      </c>
      <c r="FN388" s="1605" t="s">
        <v>986</v>
      </c>
      <c r="FO388" s="1605" t="s">
        <v>986</v>
      </c>
      <c r="FP388" s="1605" t="s">
        <v>986</v>
      </c>
      <c r="FQ388" s="1605" t="s">
        <v>986</v>
      </c>
      <c r="FR388" s="1605" t="s">
        <v>986</v>
      </c>
      <c r="FS388" s="1605" t="s">
        <v>986</v>
      </c>
      <c r="FT388" s="1605" t="s">
        <v>986</v>
      </c>
      <c r="FU388" s="1605" t="s">
        <v>986</v>
      </c>
      <c r="FV388" s="1605" t="s">
        <v>986</v>
      </c>
      <c r="FW388" s="1605" t="s">
        <v>986</v>
      </c>
      <c r="FX388" s="1605" t="s">
        <v>986</v>
      </c>
      <c r="FY388" s="1605" t="s">
        <v>986</v>
      </c>
      <c r="FZ388" s="1605" t="s">
        <v>986</v>
      </c>
      <c r="GA388" s="1605" t="s">
        <v>986</v>
      </c>
      <c r="GB388" s="1605" t="s">
        <v>986</v>
      </c>
      <c r="GC388" s="1605" t="s">
        <v>986</v>
      </c>
      <c r="GD388" s="1605" t="s">
        <v>986</v>
      </c>
      <c r="GE388" s="1605" t="s">
        <v>986</v>
      </c>
      <c r="GF388" s="1605" t="s">
        <v>986</v>
      </c>
      <c r="GG388" s="1605" t="s">
        <v>986</v>
      </c>
      <c r="GH388" s="1605" t="s">
        <v>986</v>
      </c>
      <c r="GI388" s="1605" t="s">
        <v>986</v>
      </c>
      <c r="GJ388" s="1605" t="s">
        <v>986</v>
      </c>
      <c r="GK388" s="1605" t="s">
        <v>986</v>
      </c>
      <c r="GL388" s="1605" t="s">
        <v>986</v>
      </c>
      <c r="GM388" s="1605" t="s">
        <v>986</v>
      </c>
      <c r="GN388" s="1605" t="s">
        <v>986</v>
      </c>
      <c r="GO388" s="1605" t="s">
        <v>986</v>
      </c>
      <c r="GP388" s="1605" t="s">
        <v>986</v>
      </c>
      <c r="GQ388" s="1605" t="s">
        <v>986</v>
      </c>
      <c r="GR388" s="1605" t="s">
        <v>986</v>
      </c>
      <c r="GS388" s="1605" t="s">
        <v>986</v>
      </c>
      <c r="GT388" s="1605" t="s">
        <v>986</v>
      </c>
      <c r="GU388" s="1605" t="s">
        <v>986</v>
      </c>
      <c r="GV388" s="1605" t="s">
        <v>986</v>
      </c>
      <c r="GW388" s="1605" t="s">
        <v>986</v>
      </c>
      <c r="GX388" s="1605" t="s">
        <v>986</v>
      </c>
      <c r="GY388" s="1605" t="s">
        <v>986</v>
      </c>
      <c r="GZ388" s="1605" t="s">
        <v>986</v>
      </c>
      <c r="HA388" s="1605" t="s">
        <v>986</v>
      </c>
      <c r="HB388" s="1605" t="s">
        <v>986</v>
      </c>
      <c r="HC388" s="1605" t="s">
        <v>986</v>
      </c>
      <c r="HD388" s="1605" t="s">
        <v>986</v>
      </c>
      <c r="HE388" s="1605" t="s">
        <v>986</v>
      </c>
      <c r="HF388" s="1605" t="s">
        <v>986</v>
      </c>
      <c r="HG388" s="1605" t="s">
        <v>986</v>
      </c>
      <c r="HH388" s="1605" t="s">
        <v>986</v>
      </c>
      <c r="HI388" s="1605" t="s">
        <v>986</v>
      </c>
      <c r="HJ388" s="1605" t="s">
        <v>986</v>
      </c>
      <c r="HK388" s="1605" t="s">
        <v>986</v>
      </c>
      <c r="HL388" s="1605" t="s">
        <v>986</v>
      </c>
      <c r="HM388" s="1605" t="s">
        <v>986</v>
      </c>
      <c r="HN388" s="1605" t="s">
        <v>986</v>
      </c>
      <c r="HO388" s="1605" t="s">
        <v>986</v>
      </c>
      <c r="HP388" s="1605" t="s">
        <v>986</v>
      </c>
      <c r="HQ388" s="1605" t="s">
        <v>986</v>
      </c>
      <c r="HR388" s="1605" t="s">
        <v>986</v>
      </c>
      <c r="HS388" s="1605" t="s">
        <v>986</v>
      </c>
      <c r="HT388" s="1605" t="s">
        <v>986</v>
      </c>
      <c r="HU388" s="1605" t="s">
        <v>986</v>
      </c>
    </row>
    <row r="389" spans="128:229" x14ac:dyDescent="0.2">
      <c r="DX389" s="1605" t="s">
        <v>986</v>
      </c>
      <c r="DY389" s="1605" t="s">
        <v>986</v>
      </c>
      <c r="DZ389" s="1605" t="s">
        <v>986</v>
      </c>
      <c r="EA389" s="1605" t="s">
        <v>986</v>
      </c>
      <c r="EB389" s="1605" t="s">
        <v>986</v>
      </c>
      <c r="EC389" s="1605" t="s">
        <v>986</v>
      </c>
      <c r="ED389" s="1605" t="s">
        <v>986</v>
      </c>
      <c r="EE389" s="1605" t="s">
        <v>986</v>
      </c>
      <c r="EF389" s="1605" t="s">
        <v>986</v>
      </c>
      <c r="EG389" s="1605" t="s">
        <v>986</v>
      </c>
      <c r="EH389" s="1605" t="s">
        <v>986</v>
      </c>
      <c r="EI389" s="1605" t="s">
        <v>986</v>
      </c>
      <c r="EJ389" s="1605" t="s">
        <v>986</v>
      </c>
      <c r="EK389" s="1605" t="s">
        <v>986</v>
      </c>
      <c r="EL389" s="1605" t="s">
        <v>986</v>
      </c>
      <c r="EM389" s="1605" t="s">
        <v>986</v>
      </c>
      <c r="EN389" s="1605" t="s">
        <v>986</v>
      </c>
      <c r="EO389" s="1605" t="s">
        <v>986</v>
      </c>
      <c r="EP389" s="1605" t="s">
        <v>986</v>
      </c>
      <c r="EQ389" s="1605" t="s">
        <v>986</v>
      </c>
      <c r="ER389" s="1605" t="s">
        <v>986</v>
      </c>
      <c r="ES389" s="1605" t="s">
        <v>986</v>
      </c>
      <c r="ET389" s="1605" t="s">
        <v>986</v>
      </c>
      <c r="EU389" s="1605" t="s">
        <v>986</v>
      </c>
      <c r="EV389" s="1605" t="s">
        <v>986</v>
      </c>
      <c r="EW389" s="1605" t="s">
        <v>986</v>
      </c>
      <c r="EX389" s="1605" t="s">
        <v>986</v>
      </c>
      <c r="EY389" s="1605" t="s">
        <v>986</v>
      </c>
      <c r="EZ389" s="1605" t="s">
        <v>986</v>
      </c>
      <c r="FA389" s="1605" t="s">
        <v>986</v>
      </c>
      <c r="FB389" s="1605" t="s">
        <v>986</v>
      </c>
      <c r="FC389" s="1605" t="s">
        <v>986</v>
      </c>
      <c r="FD389" s="1605" t="s">
        <v>986</v>
      </c>
      <c r="FE389" s="1605" t="s">
        <v>986</v>
      </c>
      <c r="FF389" s="1605" t="s">
        <v>986</v>
      </c>
      <c r="FG389" s="1605" t="s">
        <v>986</v>
      </c>
      <c r="FH389" s="1605" t="s">
        <v>986</v>
      </c>
      <c r="FI389" s="1605" t="s">
        <v>986</v>
      </c>
      <c r="FJ389" s="1605" t="s">
        <v>986</v>
      </c>
      <c r="FK389" s="1605" t="s">
        <v>986</v>
      </c>
      <c r="FL389" s="1605" t="s">
        <v>986</v>
      </c>
      <c r="FM389" s="1605" t="s">
        <v>986</v>
      </c>
      <c r="FN389" s="1605" t="s">
        <v>986</v>
      </c>
      <c r="FO389" s="1605" t="s">
        <v>986</v>
      </c>
      <c r="FP389" s="1605" t="s">
        <v>986</v>
      </c>
      <c r="FQ389" s="1605" t="s">
        <v>986</v>
      </c>
      <c r="FR389" s="1605" t="s">
        <v>986</v>
      </c>
      <c r="FS389" s="1605" t="s">
        <v>986</v>
      </c>
      <c r="FT389" s="1605" t="s">
        <v>986</v>
      </c>
      <c r="FU389" s="1605" t="s">
        <v>986</v>
      </c>
      <c r="FV389" s="1605" t="s">
        <v>986</v>
      </c>
      <c r="FW389" s="1605" t="s">
        <v>986</v>
      </c>
      <c r="FX389" s="1605" t="s">
        <v>986</v>
      </c>
      <c r="FY389" s="1605" t="s">
        <v>986</v>
      </c>
      <c r="FZ389" s="1605" t="s">
        <v>986</v>
      </c>
      <c r="GA389" s="1605" t="s">
        <v>986</v>
      </c>
      <c r="GB389" s="1605" t="s">
        <v>986</v>
      </c>
      <c r="GC389" s="1605" t="s">
        <v>986</v>
      </c>
      <c r="GD389" s="1605" t="s">
        <v>986</v>
      </c>
      <c r="GE389" s="1605" t="s">
        <v>986</v>
      </c>
      <c r="GF389" s="1605" t="s">
        <v>986</v>
      </c>
      <c r="GG389" s="1605" t="s">
        <v>986</v>
      </c>
      <c r="GH389" s="1605" t="s">
        <v>986</v>
      </c>
      <c r="GI389" s="1605" t="s">
        <v>986</v>
      </c>
      <c r="GJ389" s="1605" t="s">
        <v>986</v>
      </c>
      <c r="GK389" s="1605" t="s">
        <v>986</v>
      </c>
      <c r="GL389" s="1605" t="s">
        <v>986</v>
      </c>
      <c r="GM389" s="1605" t="s">
        <v>986</v>
      </c>
      <c r="GN389" s="1605" t="s">
        <v>986</v>
      </c>
      <c r="GO389" s="1605" t="s">
        <v>986</v>
      </c>
      <c r="GP389" s="1605" t="s">
        <v>986</v>
      </c>
      <c r="GQ389" s="1605" t="s">
        <v>986</v>
      </c>
      <c r="GR389" s="1605" t="s">
        <v>986</v>
      </c>
      <c r="GS389" s="1605" t="s">
        <v>986</v>
      </c>
      <c r="GT389" s="1605" t="s">
        <v>986</v>
      </c>
      <c r="GU389" s="1605" t="s">
        <v>986</v>
      </c>
      <c r="GV389" s="1605" t="s">
        <v>986</v>
      </c>
      <c r="GW389" s="1605" t="s">
        <v>986</v>
      </c>
      <c r="GX389" s="1605" t="s">
        <v>986</v>
      </c>
      <c r="GY389" s="1605" t="s">
        <v>986</v>
      </c>
      <c r="GZ389" s="1605" t="s">
        <v>986</v>
      </c>
      <c r="HA389" s="1605" t="s">
        <v>986</v>
      </c>
      <c r="HB389" s="1605" t="s">
        <v>986</v>
      </c>
      <c r="HC389" s="1605" t="s">
        <v>986</v>
      </c>
      <c r="HD389" s="1605" t="s">
        <v>986</v>
      </c>
      <c r="HE389" s="1605" t="s">
        <v>986</v>
      </c>
      <c r="HF389" s="1605" t="s">
        <v>986</v>
      </c>
      <c r="HG389" s="1605" t="s">
        <v>986</v>
      </c>
      <c r="HH389" s="1605" t="s">
        <v>986</v>
      </c>
      <c r="HI389" s="1605" t="s">
        <v>986</v>
      </c>
      <c r="HJ389" s="1605" t="s">
        <v>986</v>
      </c>
      <c r="HK389" s="1605" t="s">
        <v>986</v>
      </c>
      <c r="HL389" s="1605" t="s">
        <v>986</v>
      </c>
      <c r="HM389" s="1605" t="s">
        <v>986</v>
      </c>
      <c r="HN389" s="1605" t="s">
        <v>986</v>
      </c>
      <c r="HO389" s="1605" t="s">
        <v>986</v>
      </c>
      <c r="HP389" s="1605" t="s">
        <v>986</v>
      </c>
      <c r="HQ389" s="1605" t="s">
        <v>986</v>
      </c>
      <c r="HR389" s="1605" t="s">
        <v>986</v>
      </c>
      <c r="HS389" s="1605" t="s">
        <v>986</v>
      </c>
      <c r="HT389" s="1605" t="s">
        <v>986</v>
      </c>
      <c r="HU389" s="1605" t="s">
        <v>986</v>
      </c>
    </row>
    <row r="390" spans="128:229" x14ac:dyDescent="0.2">
      <c r="DX390" s="1605" t="s">
        <v>986</v>
      </c>
      <c r="DY390" s="1605" t="s">
        <v>986</v>
      </c>
      <c r="DZ390" s="1605" t="s">
        <v>986</v>
      </c>
      <c r="EA390" s="1605" t="s">
        <v>986</v>
      </c>
      <c r="EB390" s="1605" t="s">
        <v>986</v>
      </c>
      <c r="EC390" s="1605" t="s">
        <v>986</v>
      </c>
      <c r="ED390" s="1605" t="s">
        <v>986</v>
      </c>
      <c r="EE390" s="1605" t="s">
        <v>986</v>
      </c>
      <c r="EF390" s="1605" t="s">
        <v>986</v>
      </c>
      <c r="EG390" s="1605" t="s">
        <v>986</v>
      </c>
      <c r="EH390" s="1605" t="s">
        <v>986</v>
      </c>
      <c r="EI390" s="1605" t="s">
        <v>986</v>
      </c>
      <c r="EJ390" s="1605" t="s">
        <v>986</v>
      </c>
      <c r="EK390" s="1605" t="s">
        <v>986</v>
      </c>
      <c r="EL390" s="1605" t="s">
        <v>986</v>
      </c>
      <c r="EM390" s="1605" t="s">
        <v>986</v>
      </c>
      <c r="EN390" s="1605" t="s">
        <v>986</v>
      </c>
      <c r="EO390" s="1605" t="s">
        <v>986</v>
      </c>
      <c r="EP390" s="1605" t="s">
        <v>986</v>
      </c>
      <c r="EQ390" s="1605" t="s">
        <v>986</v>
      </c>
      <c r="ER390" s="1605" t="s">
        <v>986</v>
      </c>
      <c r="ES390" s="1605" t="s">
        <v>986</v>
      </c>
      <c r="ET390" s="1605" t="s">
        <v>986</v>
      </c>
      <c r="EU390" s="1605" t="s">
        <v>986</v>
      </c>
      <c r="EV390" s="1605" t="s">
        <v>986</v>
      </c>
      <c r="EW390" s="1605" t="s">
        <v>986</v>
      </c>
      <c r="EX390" s="1605" t="s">
        <v>986</v>
      </c>
      <c r="EY390" s="1605" t="s">
        <v>986</v>
      </c>
      <c r="EZ390" s="1605" t="s">
        <v>986</v>
      </c>
      <c r="FA390" s="1605" t="s">
        <v>986</v>
      </c>
      <c r="FB390" s="1605" t="s">
        <v>986</v>
      </c>
      <c r="FC390" s="1605" t="s">
        <v>986</v>
      </c>
      <c r="FD390" s="1605" t="s">
        <v>986</v>
      </c>
      <c r="FE390" s="1605" t="s">
        <v>986</v>
      </c>
      <c r="FF390" s="1605" t="s">
        <v>986</v>
      </c>
      <c r="FG390" s="1605" t="s">
        <v>986</v>
      </c>
      <c r="FH390" s="1605" t="s">
        <v>986</v>
      </c>
      <c r="FI390" s="1605" t="s">
        <v>986</v>
      </c>
      <c r="FJ390" s="1605" t="s">
        <v>986</v>
      </c>
      <c r="FK390" s="1605" t="s">
        <v>986</v>
      </c>
      <c r="FL390" s="1605" t="s">
        <v>986</v>
      </c>
      <c r="FM390" s="1605" t="s">
        <v>986</v>
      </c>
      <c r="FN390" s="1605" t="s">
        <v>986</v>
      </c>
      <c r="FO390" s="1605" t="s">
        <v>986</v>
      </c>
      <c r="FP390" s="1605" t="s">
        <v>986</v>
      </c>
      <c r="FQ390" s="1605" t="s">
        <v>986</v>
      </c>
      <c r="FR390" s="1605" t="s">
        <v>986</v>
      </c>
      <c r="FS390" s="1605" t="s">
        <v>986</v>
      </c>
      <c r="FT390" s="1605" t="s">
        <v>986</v>
      </c>
      <c r="FU390" s="1605" t="s">
        <v>986</v>
      </c>
      <c r="FV390" s="1605" t="s">
        <v>986</v>
      </c>
      <c r="FW390" s="1605" t="s">
        <v>986</v>
      </c>
      <c r="FX390" s="1605" t="s">
        <v>986</v>
      </c>
      <c r="FY390" s="1605" t="s">
        <v>986</v>
      </c>
      <c r="FZ390" s="1605" t="s">
        <v>986</v>
      </c>
      <c r="GA390" s="1605" t="s">
        <v>986</v>
      </c>
      <c r="GB390" s="1605" t="s">
        <v>986</v>
      </c>
      <c r="GC390" s="1605" t="s">
        <v>986</v>
      </c>
      <c r="GD390" s="1605" t="s">
        <v>986</v>
      </c>
      <c r="GE390" s="1605" t="s">
        <v>986</v>
      </c>
      <c r="GF390" s="1605" t="s">
        <v>986</v>
      </c>
      <c r="GG390" s="1605" t="s">
        <v>986</v>
      </c>
      <c r="GH390" s="1605" t="s">
        <v>986</v>
      </c>
      <c r="GI390" s="1605" t="s">
        <v>986</v>
      </c>
      <c r="GJ390" s="1605" t="s">
        <v>986</v>
      </c>
      <c r="GK390" s="1605" t="s">
        <v>986</v>
      </c>
      <c r="GL390" s="1605" t="s">
        <v>986</v>
      </c>
      <c r="GM390" s="1605" t="s">
        <v>986</v>
      </c>
      <c r="GN390" s="1605" t="s">
        <v>986</v>
      </c>
      <c r="GO390" s="1605" t="s">
        <v>986</v>
      </c>
      <c r="GP390" s="1605" t="s">
        <v>986</v>
      </c>
      <c r="GQ390" s="1605" t="s">
        <v>986</v>
      </c>
      <c r="GR390" s="1605" t="s">
        <v>986</v>
      </c>
      <c r="GS390" s="1605" t="s">
        <v>986</v>
      </c>
      <c r="GT390" s="1605" t="s">
        <v>986</v>
      </c>
      <c r="GU390" s="1605" t="s">
        <v>986</v>
      </c>
      <c r="GV390" s="1605" t="s">
        <v>986</v>
      </c>
      <c r="GW390" s="1605" t="s">
        <v>986</v>
      </c>
      <c r="GX390" s="1605" t="s">
        <v>986</v>
      </c>
      <c r="GY390" s="1605" t="s">
        <v>986</v>
      </c>
      <c r="GZ390" s="1605" t="s">
        <v>986</v>
      </c>
      <c r="HA390" s="1605" t="s">
        <v>986</v>
      </c>
      <c r="HB390" s="1605" t="s">
        <v>986</v>
      </c>
      <c r="HC390" s="1605" t="s">
        <v>986</v>
      </c>
      <c r="HD390" s="1605" t="s">
        <v>986</v>
      </c>
      <c r="HE390" s="1605" t="s">
        <v>986</v>
      </c>
      <c r="HF390" s="1605" t="s">
        <v>986</v>
      </c>
      <c r="HG390" s="1605" t="s">
        <v>986</v>
      </c>
      <c r="HH390" s="1605" t="s">
        <v>986</v>
      </c>
      <c r="HI390" s="1605" t="s">
        <v>986</v>
      </c>
      <c r="HJ390" s="1605" t="s">
        <v>986</v>
      </c>
      <c r="HK390" s="1605" t="s">
        <v>986</v>
      </c>
      <c r="HL390" s="1605" t="s">
        <v>986</v>
      </c>
      <c r="HM390" s="1605" t="s">
        <v>986</v>
      </c>
      <c r="HN390" s="1605" t="s">
        <v>986</v>
      </c>
      <c r="HO390" s="1605" t="s">
        <v>986</v>
      </c>
      <c r="HP390" s="1605" t="s">
        <v>986</v>
      </c>
      <c r="HQ390" s="1605" t="s">
        <v>986</v>
      </c>
      <c r="HR390" s="1605" t="s">
        <v>986</v>
      </c>
      <c r="HS390" s="1605" t="s">
        <v>986</v>
      </c>
      <c r="HT390" s="1605" t="s">
        <v>986</v>
      </c>
      <c r="HU390" s="1605" t="s">
        <v>986</v>
      </c>
    </row>
    <row r="391" spans="128:229" x14ac:dyDescent="0.2">
      <c r="DX391" s="1605" t="s">
        <v>986</v>
      </c>
      <c r="DY391" s="1605" t="s">
        <v>986</v>
      </c>
      <c r="DZ391" s="1605" t="s">
        <v>986</v>
      </c>
      <c r="EA391" s="1605" t="s">
        <v>986</v>
      </c>
      <c r="EB391" s="1605" t="s">
        <v>986</v>
      </c>
      <c r="EC391" s="1605" t="s">
        <v>986</v>
      </c>
      <c r="ED391" s="1605" t="s">
        <v>986</v>
      </c>
      <c r="EE391" s="1605" t="s">
        <v>986</v>
      </c>
      <c r="EF391" s="1605" t="s">
        <v>986</v>
      </c>
      <c r="EG391" s="1605" t="s">
        <v>986</v>
      </c>
      <c r="EH391" s="1605" t="s">
        <v>986</v>
      </c>
      <c r="EI391" s="1605" t="s">
        <v>986</v>
      </c>
      <c r="EJ391" s="1605" t="s">
        <v>986</v>
      </c>
      <c r="EK391" s="1605" t="s">
        <v>986</v>
      </c>
      <c r="EL391" s="1605" t="s">
        <v>986</v>
      </c>
      <c r="EM391" s="1605" t="s">
        <v>986</v>
      </c>
      <c r="EN391" s="1605" t="s">
        <v>986</v>
      </c>
      <c r="EO391" s="1605" t="s">
        <v>986</v>
      </c>
      <c r="EP391" s="1605" t="s">
        <v>986</v>
      </c>
      <c r="EQ391" s="1605" t="s">
        <v>986</v>
      </c>
      <c r="ER391" s="1605" t="s">
        <v>986</v>
      </c>
      <c r="ES391" s="1605" t="s">
        <v>986</v>
      </c>
      <c r="ET391" s="1605" t="s">
        <v>986</v>
      </c>
      <c r="EU391" s="1605" t="s">
        <v>986</v>
      </c>
      <c r="EV391" s="1605" t="s">
        <v>986</v>
      </c>
      <c r="EW391" s="1605" t="s">
        <v>986</v>
      </c>
      <c r="EX391" s="1605" t="s">
        <v>986</v>
      </c>
      <c r="EY391" s="1605" t="s">
        <v>986</v>
      </c>
      <c r="EZ391" s="1605" t="s">
        <v>986</v>
      </c>
      <c r="FA391" s="1605" t="s">
        <v>986</v>
      </c>
      <c r="FB391" s="1605" t="s">
        <v>986</v>
      </c>
      <c r="FC391" s="1605" t="s">
        <v>986</v>
      </c>
      <c r="FD391" s="1605" t="s">
        <v>986</v>
      </c>
      <c r="FE391" s="1605" t="s">
        <v>986</v>
      </c>
      <c r="FF391" s="1605" t="s">
        <v>986</v>
      </c>
      <c r="FG391" s="1605" t="s">
        <v>986</v>
      </c>
      <c r="FH391" s="1605" t="s">
        <v>986</v>
      </c>
      <c r="FI391" s="1605" t="s">
        <v>986</v>
      </c>
      <c r="FJ391" s="1605" t="s">
        <v>986</v>
      </c>
      <c r="FK391" s="1605" t="s">
        <v>986</v>
      </c>
      <c r="FL391" s="1605" t="s">
        <v>986</v>
      </c>
      <c r="FM391" s="1605" t="s">
        <v>986</v>
      </c>
      <c r="FN391" s="1605" t="s">
        <v>986</v>
      </c>
      <c r="FO391" s="1605" t="s">
        <v>986</v>
      </c>
      <c r="FP391" s="1605" t="s">
        <v>986</v>
      </c>
      <c r="FQ391" s="1605" t="s">
        <v>986</v>
      </c>
      <c r="FR391" s="1605" t="s">
        <v>986</v>
      </c>
      <c r="FS391" s="1605" t="s">
        <v>986</v>
      </c>
      <c r="FT391" s="1605" t="s">
        <v>986</v>
      </c>
      <c r="FU391" s="1605" t="s">
        <v>986</v>
      </c>
      <c r="FV391" s="1605" t="s">
        <v>986</v>
      </c>
      <c r="FW391" s="1605" t="s">
        <v>986</v>
      </c>
      <c r="FX391" s="1605" t="s">
        <v>986</v>
      </c>
      <c r="FY391" s="1605" t="s">
        <v>986</v>
      </c>
      <c r="FZ391" s="1605" t="s">
        <v>986</v>
      </c>
      <c r="GA391" s="1605" t="s">
        <v>986</v>
      </c>
      <c r="GB391" s="1605" t="s">
        <v>986</v>
      </c>
      <c r="GC391" s="1605" t="s">
        <v>986</v>
      </c>
      <c r="GD391" s="1605" t="s">
        <v>986</v>
      </c>
      <c r="GE391" s="1605" t="s">
        <v>986</v>
      </c>
      <c r="GF391" s="1605" t="s">
        <v>986</v>
      </c>
      <c r="GG391" s="1605" t="s">
        <v>986</v>
      </c>
      <c r="GH391" s="1605" t="s">
        <v>986</v>
      </c>
      <c r="GI391" s="1605" t="s">
        <v>986</v>
      </c>
      <c r="GJ391" s="1605" t="s">
        <v>986</v>
      </c>
      <c r="GK391" s="1605" t="s">
        <v>986</v>
      </c>
      <c r="GL391" s="1605" t="s">
        <v>986</v>
      </c>
      <c r="GM391" s="1605" t="s">
        <v>986</v>
      </c>
      <c r="GN391" s="1605" t="s">
        <v>986</v>
      </c>
      <c r="GO391" s="1605" t="s">
        <v>986</v>
      </c>
      <c r="GP391" s="1605" t="s">
        <v>986</v>
      </c>
      <c r="GQ391" s="1605" t="s">
        <v>986</v>
      </c>
      <c r="GR391" s="1605" t="s">
        <v>986</v>
      </c>
      <c r="GS391" s="1605" t="s">
        <v>986</v>
      </c>
      <c r="GT391" s="1605" t="s">
        <v>986</v>
      </c>
      <c r="GU391" s="1605" t="s">
        <v>986</v>
      </c>
      <c r="GV391" s="1605" t="s">
        <v>986</v>
      </c>
      <c r="GW391" s="1605" t="s">
        <v>986</v>
      </c>
      <c r="GX391" s="1605" t="s">
        <v>986</v>
      </c>
      <c r="GY391" s="1605" t="s">
        <v>986</v>
      </c>
      <c r="GZ391" s="1605" t="s">
        <v>986</v>
      </c>
      <c r="HA391" s="1605" t="s">
        <v>986</v>
      </c>
      <c r="HB391" s="1605" t="s">
        <v>986</v>
      </c>
      <c r="HC391" s="1605" t="s">
        <v>986</v>
      </c>
      <c r="HD391" s="1605" t="s">
        <v>986</v>
      </c>
      <c r="HE391" s="1605" t="s">
        <v>986</v>
      </c>
      <c r="HF391" s="1605" t="s">
        <v>986</v>
      </c>
      <c r="HG391" s="1605" t="s">
        <v>986</v>
      </c>
      <c r="HH391" s="1605" t="s">
        <v>986</v>
      </c>
      <c r="HI391" s="1605" t="s">
        <v>986</v>
      </c>
      <c r="HJ391" s="1605" t="s">
        <v>986</v>
      </c>
      <c r="HK391" s="1605" t="s">
        <v>986</v>
      </c>
      <c r="HL391" s="1605" t="s">
        <v>986</v>
      </c>
      <c r="HM391" s="1605" t="s">
        <v>986</v>
      </c>
      <c r="HN391" s="1605" t="s">
        <v>986</v>
      </c>
      <c r="HO391" s="1605" t="s">
        <v>986</v>
      </c>
      <c r="HP391" s="1605" t="s">
        <v>986</v>
      </c>
      <c r="HQ391" s="1605" t="s">
        <v>986</v>
      </c>
      <c r="HR391" s="1605" t="s">
        <v>986</v>
      </c>
      <c r="HS391" s="1605" t="s">
        <v>986</v>
      </c>
      <c r="HT391" s="1605" t="s">
        <v>986</v>
      </c>
      <c r="HU391" s="1605" t="s">
        <v>986</v>
      </c>
    </row>
    <row r="392" spans="128:229" x14ac:dyDescent="0.2">
      <c r="DX392" s="1605" t="s">
        <v>986</v>
      </c>
      <c r="DY392" s="1605" t="s">
        <v>986</v>
      </c>
      <c r="DZ392" s="1605" t="s">
        <v>986</v>
      </c>
      <c r="EA392" s="1605" t="s">
        <v>986</v>
      </c>
      <c r="EB392" s="1605" t="s">
        <v>986</v>
      </c>
      <c r="EC392" s="1605" t="s">
        <v>986</v>
      </c>
      <c r="ED392" s="1605" t="s">
        <v>986</v>
      </c>
      <c r="EE392" s="1605" t="s">
        <v>986</v>
      </c>
      <c r="EF392" s="1605" t="s">
        <v>986</v>
      </c>
      <c r="EG392" s="1605" t="s">
        <v>986</v>
      </c>
      <c r="EH392" s="1605" t="s">
        <v>986</v>
      </c>
      <c r="EI392" s="1605" t="s">
        <v>986</v>
      </c>
      <c r="EJ392" s="1605" t="s">
        <v>986</v>
      </c>
      <c r="EK392" s="1605" t="s">
        <v>986</v>
      </c>
      <c r="EL392" s="1605" t="s">
        <v>986</v>
      </c>
      <c r="EM392" s="1605" t="s">
        <v>986</v>
      </c>
      <c r="EN392" s="1605" t="s">
        <v>986</v>
      </c>
      <c r="EO392" s="1605" t="s">
        <v>986</v>
      </c>
      <c r="EP392" s="1605" t="s">
        <v>986</v>
      </c>
      <c r="EQ392" s="1605" t="s">
        <v>986</v>
      </c>
      <c r="ER392" s="1605" t="s">
        <v>986</v>
      </c>
      <c r="ES392" s="1605" t="s">
        <v>986</v>
      </c>
      <c r="ET392" s="1605" t="s">
        <v>986</v>
      </c>
      <c r="EU392" s="1605" t="s">
        <v>986</v>
      </c>
      <c r="EV392" s="1605" t="s">
        <v>986</v>
      </c>
      <c r="EW392" s="1605" t="s">
        <v>986</v>
      </c>
      <c r="EX392" s="1605" t="s">
        <v>986</v>
      </c>
      <c r="EY392" s="1605" t="s">
        <v>986</v>
      </c>
      <c r="EZ392" s="1605" t="s">
        <v>986</v>
      </c>
      <c r="FA392" s="1605" t="s">
        <v>986</v>
      </c>
      <c r="FB392" s="1605" t="s">
        <v>986</v>
      </c>
      <c r="FC392" s="1605" t="s">
        <v>986</v>
      </c>
      <c r="FD392" s="1605" t="s">
        <v>986</v>
      </c>
      <c r="FE392" s="1605" t="s">
        <v>986</v>
      </c>
      <c r="FF392" s="1605" t="s">
        <v>986</v>
      </c>
      <c r="FG392" s="1605" t="s">
        <v>986</v>
      </c>
      <c r="FH392" s="1605" t="s">
        <v>986</v>
      </c>
      <c r="FI392" s="1605" t="s">
        <v>986</v>
      </c>
      <c r="FJ392" s="1605" t="s">
        <v>986</v>
      </c>
      <c r="FK392" s="1605" t="s">
        <v>986</v>
      </c>
      <c r="FL392" s="1605" t="s">
        <v>986</v>
      </c>
      <c r="FM392" s="1605" t="s">
        <v>986</v>
      </c>
      <c r="FN392" s="1605" t="s">
        <v>986</v>
      </c>
      <c r="FO392" s="1605" t="s">
        <v>986</v>
      </c>
      <c r="FP392" s="1605" t="s">
        <v>986</v>
      </c>
      <c r="FQ392" s="1605" t="s">
        <v>986</v>
      </c>
      <c r="FR392" s="1605" t="s">
        <v>986</v>
      </c>
      <c r="FS392" s="1605" t="s">
        <v>986</v>
      </c>
      <c r="FT392" s="1605" t="s">
        <v>986</v>
      </c>
      <c r="FU392" s="1605" t="s">
        <v>986</v>
      </c>
      <c r="FV392" s="1605" t="s">
        <v>986</v>
      </c>
      <c r="FW392" s="1605" t="s">
        <v>986</v>
      </c>
      <c r="FX392" s="1605" t="s">
        <v>986</v>
      </c>
      <c r="FY392" s="1605" t="s">
        <v>986</v>
      </c>
      <c r="FZ392" s="1605" t="s">
        <v>986</v>
      </c>
      <c r="GA392" s="1605" t="s">
        <v>986</v>
      </c>
      <c r="GB392" s="1605" t="s">
        <v>986</v>
      </c>
      <c r="GC392" s="1605" t="s">
        <v>986</v>
      </c>
      <c r="GD392" s="1605" t="s">
        <v>986</v>
      </c>
      <c r="GE392" s="1605" t="s">
        <v>986</v>
      </c>
      <c r="GF392" s="1605" t="s">
        <v>986</v>
      </c>
      <c r="GG392" s="1605" t="s">
        <v>986</v>
      </c>
      <c r="GH392" s="1605" t="s">
        <v>986</v>
      </c>
      <c r="GI392" s="1605" t="s">
        <v>986</v>
      </c>
      <c r="GJ392" s="1605" t="s">
        <v>986</v>
      </c>
      <c r="GK392" s="1605" t="s">
        <v>986</v>
      </c>
      <c r="GL392" s="1605" t="s">
        <v>986</v>
      </c>
      <c r="GM392" s="1605" t="s">
        <v>986</v>
      </c>
      <c r="GN392" s="1605" t="s">
        <v>986</v>
      </c>
      <c r="GO392" s="1605" t="s">
        <v>986</v>
      </c>
      <c r="GP392" s="1605" t="s">
        <v>986</v>
      </c>
      <c r="GQ392" s="1605" t="s">
        <v>986</v>
      </c>
      <c r="GR392" s="1605" t="s">
        <v>986</v>
      </c>
      <c r="GS392" s="1605" t="s">
        <v>986</v>
      </c>
      <c r="GT392" s="1605" t="s">
        <v>986</v>
      </c>
      <c r="GU392" s="1605" t="s">
        <v>986</v>
      </c>
      <c r="GV392" s="1605" t="s">
        <v>986</v>
      </c>
      <c r="GW392" s="1605" t="s">
        <v>986</v>
      </c>
      <c r="GX392" s="1605" t="s">
        <v>986</v>
      </c>
      <c r="GY392" s="1605" t="s">
        <v>986</v>
      </c>
      <c r="GZ392" s="1605" t="s">
        <v>986</v>
      </c>
      <c r="HA392" s="1605" t="s">
        <v>986</v>
      </c>
      <c r="HB392" s="1605" t="s">
        <v>986</v>
      </c>
      <c r="HC392" s="1605" t="s">
        <v>986</v>
      </c>
      <c r="HD392" s="1605" t="s">
        <v>986</v>
      </c>
      <c r="HE392" s="1605" t="s">
        <v>986</v>
      </c>
      <c r="HF392" s="1605" t="s">
        <v>986</v>
      </c>
      <c r="HG392" s="1605" t="s">
        <v>986</v>
      </c>
      <c r="HH392" s="1605" t="s">
        <v>986</v>
      </c>
      <c r="HI392" s="1605" t="s">
        <v>986</v>
      </c>
      <c r="HJ392" s="1605" t="s">
        <v>986</v>
      </c>
      <c r="HK392" s="1605" t="s">
        <v>986</v>
      </c>
      <c r="HL392" s="1605" t="s">
        <v>986</v>
      </c>
      <c r="HM392" s="1605" t="s">
        <v>986</v>
      </c>
      <c r="HN392" s="1605" t="s">
        <v>986</v>
      </c>
      <c r="HO392" s="1605" t="s">
        <v>986</v>
      </c>
      <c r="HP392" s="1605" t="s">
        <v>986</v>
      </c>
      <c r="HQ392" s="1605" t="s">
        <v>986</v>
      </c>
      <c r="HR392" s="1605" t="s">
        <v>986</v>
      </c>
      <c r="HS392" s="1605" t="s">
        <v>986</v>
      </c>
      <c r="HT392" s="1605" t="s">
        <v>986</v>
      </c>
      <c r="HU392" s="1605" t="s">
        <v>986</v>
      </c>
    </row>
    <row r="393" spans="128:229" x14ac:dyDescent="0.2">
      <c r="DX393" s="1605" t="s">
        <v>986</v>
      </c>
      <c r="DY393" s="1605" t="s">
        <v>986</v>
      </c>
      <c r="DZ393" s="1605" t="s">
        <v>986</v>
      </c>
      <c r="EA393" s="1605" t="s">
        <v>986</v>
      </c>
      <c r="EB393" s="1605" t="s">
        <v>986</v>
      </c>
      <c r="EC393" s="1605" t="s">
        <v>986</v>
      </c>
      <c r="ED393" s="1605" t="s">
        <v>986</v>
      </c>
      <c r="EE393" s="1605" t="s">
        <v>986</v>
      </c>
      <c r="EF393" s="1605" t="s">
        <v>986</v>
      </c>
      <c r="EG393" s="1605" t="s">
        <v>986</v>
      </c>
      <c r="EH393" s="1605" t="s">
        <v>986</v>
      </c>
      <c r="EI393" s="1605" t="s">
        <v>986</v>
      </c>
      <c r="EJ393" s="1605" t="s">
        <v>986</v>
      </c>
      <c r="EK393" s="1605" t="s">
        <v>986</v>
      </c>
      <c r="EL393" s="1605" t="s">
        <v>986</v>
      </c>
      <c r="EM393" s="1605" t="s">
        <v>986</v>
      </c>
      <c r="EN393" s="1605" t="s">
        <v>986</v>
      </c>
      <c r="EO393" s="1605" t="s">
        <v>986</v>
      </c>
      <c r="EP393" s="1605" t="s">
        <v>986</v>
      </c>
      <c r="EQ393" s="1605" t="s">
        <v>986</v>
      </c>
      <c r="ER393" s="1605" t="s">
        <v>986</v>
      </c>
      <c r="ES393" s="1605" t="s">
        <v>986</v>
      </c>
      <c r="ET393" s="1605" t="s">
        <v>986</v>
      </c>
      <c r="EU393" s="1605" t="s">
        <v>986</v>
      </c>
      <c r="EV393" s="1605" t="s">
        <v>986</v>
      </c>
      <c r="EW393" s="1605" t="s">
        <v>986</v>
      </c>
      <c r="EX393" s="1605" t="s">
        <v>986</v>
      </c>
      <c r="EY393" s="1605" t="s">
        <v>986</v>
      </c>
      <c r="EZ393" s="1605" t="s">
        <v>986</v>
      </c>
      <c r="FA393" s="1605" t="s">
        <v>986</v>
      </c>
      <c r="FB393" s="1605" t="s">
        <v>986</v>
      </c>
      <c r="FC393" s="1605" t="s">
        <v>986</v>
      </c>
      <c r="FD393" s="1605" t="s">
        <v>986</v>
      </c>
      <c r="FE393" s="1605" t="s">
        <v>986</v>
      </c>
      <c r="FF393" s="1605" t="s">
        <v>986</v>
      </c>
      <c r="FG393" s="1605" t="s">
        <v>986</v>
      </c>
      <c r="FH393" s="1605" t="s">
        <v>986</v>
      </c>
      <c r="FI393" s="1605" t="s">
        <v>986</v>
      </c>
      <c r="FJ393" s="1605" t="s">
        <v>986</v>
      </c>
      <c r="FK393" s="1605" t="s">
        <v>986</v>
      </c>
      <c r="FL393" s="1605" t="s">
        <v>986</v>
      </c>
      <c r="FM393" s="1605" t="s">
        <v>986</v>
      </c>
      <c r="FN393" s="1605" t="s">
        <v>986</v>
      </c>
      <c r="FO393" s="1605" t="s">
        <v>986</v>
      </c>
      <c r="FP393" s="1605" t="s">
        <v>986</v>
      </c>
      <c r="FQ393" s="1605" t="s">
        <v>986</v>
      </c>
      <c r="FR393" s="1605" t="s">
        <v>986</v>
      </c>
      <c r="FS393" s="1605" t="s">
        <v>986</v>
      </c>
      <c r="FT393" s="1605" t="s">
        <v>986</v>
      </c>
      <c r="FU393" s="1605" t="s">
        <v>986</v>
      </c>
      <c r="FV393" s="1605" t="s">
        <v>986</v>
      </c>
      <c r="FW393" s="1605" t="s">
        <v>986</v>
      </c>
      <c r="FX393" s="1605" t="s">
        <v>986</v>
      </c>
      <c r="FY393" s="1605" t="s">
        <v>986</v>
      </c>
      <c r="FZ393" s="1605" t="s">
        <v>986</v>
      </c>
      <c r="GA393" s="1605" t="s">
        <v>986</v>
      </c>
      <c r="GB393" s="1605" t="s">
        <v>986</v>
      </c>
      <c r="GC393" s="1605" t="s">
        <v>986</v>
      </c>
      <c r="GD393" s="1605" t="s">
        <v>986</v>
      </c>
      <c r="GE393" s="1605" t="s">
        <v>986</v>
      </c>
      <c r="GF393" s="1605" t="s">
        <v>986</v>
      </c>
      <c r="GG393" s="1605" t="s">
        <v>986</v>
      </c>
      <c r="GH393" s="1605" t="s">
        <v>986</v>
      </c>
      <c r="GI393" s="1605" t="s">
        <v>986</v>
      </c>
      <c r="GJ393" s="1605" t="s">
        <v>986</v>
      </c>
      <c r="GK393" s="1605" t="s">
        <v>986</v>
      </c>
      <c r="GL393" s="1605" t="s">
        <v>986</v>
      </c>
      <c r="GM393" s="1605" t="s">
        <v>986</v>
      </c>
      <c r="GN393" s="1605" t="s">
        <v>986</v>
      </c>
      <c r="GO393" s="1605" t="s">
        <v>986</v>
      </c>
      <c r="GP393" s="1605" t="s">
        <v>986</v>
      </c>
      <c r="GQ393" s="1605" t="s">
        <v>986</v>
      </c>
      <c r="GR393" s="1605" t="s">
        <v>986</v>
      </c>
      <c r="GS393" s="1605" t="s">
        <v>986</v>
      </c>
      <c r="GT393" s="1605" t="s">
        <v>986</v>
      </c>
      <c r="GU393" s="1605" t="s">
        <v>986</v>
      </c>
      <c r="GV393" s="1605" t="s">
        <v>986</v>
      </c>
      <c r="GW393" s="1605" t="s">
        <v>986</v>
      </c>
      <c r="GX393" s="1605" t="s">
        <v>986</v>
      </c>
      <c r="GY393" s="1605" t="s">
        <v>986</v>
      </c>
      <c r="GZ393" s="1605" t="s">
        <v>986</v>
      </c>
      <c r="HA393" s="1605" t="s">
        <v>986</v>
      </c>
      <c r="HB393" s="1605" t="s">
        <v>986</v>
      </c>
      <c r="HC393" s="1605" t="s">
        <v>986</v>
      </c>
      <c r="HD393" s="1605" t="s">
        <v>986</v>
      </c>
      <c r="HE393" s="1605" t="s">
        <v>986</v>
      </c>
      <c r="HF393" s="1605" t="s">
        <v>986</v>
      </c>
      <c r="HG393" s="1605" t="s">
        <v>986</v>
      </c>
      <c r="HH393" s="1605" t="s">
        <v>986</v>
      </c>
      <c r="HI393" s="1605" t="s">
        <v>986</v>
      </c>
      <c r="HJ393" s="1605" t="s">
        <v>986</v>
      </c>
      <c r="HK393" s="1605" t="s">
        <v>986</v>
      </c>
      <c r="HL393" s="1605" t="s">
        <v>986</v>
      </c>
      <c r="HM393" s="1605" t="s">
        <v>986</v>
      </c>
      <c r="HN393" s="1605" t="s">
        <v>986</v>
      </c>
      <c r="HO393" s="1605" t="s">
        <v>986</v>
      </c>
      <c r="HP393" s="1605" t="s">
        <v>986</v>
      </c>
      <c r="HQ393" s="1605" t="s">
        <v>986</v>
      </c>
      <c r="HR393" s="1605" t="s">
        <v>986</v>
      </c>
      <c r="HS393" s="1605" t="s">
        <v>986</v>
      </c>
      <c r="HT393" s="1605" t="s">
        <v>986</v>
      </c>
      <c r="HU393" s="1605" t="s">
        <v>986</v>
      </c>
    </row>
    <row r="394" spans="128:229" x14ac:dyDescent="0.2">
      <c r="DX394" s="1605" t="s">
        <v>986</v>
      </c>
      <c r="DY394" s="1605" t="s">
        <v>986</v>
      </c>
      <c r="DZ394" s="1605" t="s">
        <v>986</v>
      </c>
      <c r="EA394" s="1605" t="s">
        <v>986</v>
      </c>
      <c r="EB394" s="1605" t="s">
        <v>986</v>
      </c>
      <c r="EC394" s="1605" t="s">
        <v>986</v>
      </c>
      <c r="ED394" s="1605" t="s">
        <v>986</v>
      </c>
      <c r="EE394" s="1605" t="s">
        <v>986</v>
      </c>
      <c r="EF394" s="1605" t="s">
        <v>986</v>
      </c>
      <c r="EG394" s="1605" t="s">
        <v>986</v>
      </c>
      <c r="EH394" s="1605" t="s">
        <v>986</v>
      </c>
      <c r="EI394" s="1605" t="s">
        <v>986</v>
      </c>
      <c r="EJ394" s="1605" t="s">
        <v>986</v>
      </c>
      <c r="EK394" s="1605" t="s">
        <v>986</v>
      </c>
      <c r="EL394" s="1605" t="s">
        <v>986</v>
      </c>
      <c r="EM394" s="1605" t="s">
        <v>986</v>
      </c>
      <c r="EN394" s="1605" t="s">
        <v>986</v>
      </c>
      <c r="EO394" s="1605" t="s">
        <v>986</v>
      </c>
      <c r="EP394" s="1605" t="s">
        <v>986</v>
      </c>
      <c r="EQ394" s="1605" t="s">
        <v>986</v>
      </c>
      <c r="ER394" s="1605" t="s">
        <v>986</v>
      </c>
      <c r="ES394" s="1605" t="s">
        <v>986</v>
      </c>
      <c r="ET394" s="1605" t="s">
        <v>986</v>
      </c>
      <c r="EU394" s="1605" t="s">
        <v>986</v>
      </c>
      <c r="EV394" s="1605" t="s">
        <v>986</v>
      </c>
      <c r="EW394" s="1605" t="s">
        <v>986</v>
      </c>
      <c r="EX394" s="1605" t="s">
        <v>986</v>
      </c>
      <c r="EY394" s="1605" t="s">
        <v>986</v>
      </c>
      <c r="EZ394" s="1605" t="s">
        <v>986</v>
      </c>
      <c r="FA394" s="1605" t="s">
        <v>986</v>
      </c>
      <c r="FB394" s="1605" t="s">
        <v>986</v>
      </c>
      <c r="FC394" s="1605" t="s">
        <v>986</v>
      </c>
      <c r="FD394" s="1605" t="s">
        <v>986</v>
      </c>
      <c r="FE394" s="1605" t="s">
        <v>986</v>
      </c>
      <c r="FF394" s="1605" t="s">
        <v>986</v>
      </c>
      <c r="FG394" s="1605" t="s">
        <v>986</v>
      </c>
      <c r="FH394" s="1605" t="s">
        <v>986</v>
      </c>
      <c r="FI394" s="1605" t="s">
        <v>986</v>
      </c>
      <c r="FJ394" s="1605" t="s">
        <v>986</v>
      </c>
      <c r="FK394" s="1605" t="s">
        <v>986</v>
      </c>
      <c r="FL394" s="1605" t="s">
        <v>986</v>
      </c>
      <c r="FM394" s="1605" t="s">
        <v>986</v>
      </c>
      <c r="FN394" s="1605" t="s">
        <v>986</v>
      </c>
      <c r="FO394" s="1605" t="s">
        <v>986</v>
      </c>
      <c r="FP394" s="1605" t="s">
        <v>986</v>
      </c>
      <c r="FQ394" s="1605" t="s">
        <v>986</v>
      </c>
      <c r="FR394" s="1605" t="s">
        <v>986</v>
      </c>
      <c r="FS394" s="1605" t="s">
        <v>986</v>
      </c>
      <c r="FT394" s="1605" t="s">
        <v>986</v>
      </c>
      <c r="FU394" s="1605" t="s">
        <v>986</v>
      </c>
      <c r="FV394" s="1605" t="s">
        <v>986</v>
      </c>
      <c r="FW394" s="1605" t="s">
        <v>986</v>
      </c>
      <c r="FX394" s="1605" t="s">
        <v>986</v>
      </c>
      <c r="FY394" s="1605" t="s">
        <v>986</v>
      </c>
      <c r="FZ394" s="1605" t="s">
        <v>986</v>
      </c>
      <c r="GA394" s="1605" t="s">
        <v>986</v>
      </c>
      <c r="GB394" s="1605" t="s">
        <v>986</v>
      </c>
      <c r="GC394" s="1605" t="s">
        <v>986</v>
      </c>
      <c r="GD394" s="1605" t="s">
        <v>986</v>
      </c>
      <c r="GE394" s="1605" t="s">
        <v>986</v>
      </c>
      <c r="GF394" s="1605" t="s">
        <v>986</v>
      </c>
      <c r="GG394" s="1605" t="s">
        <v>986</v>
      </c>
      <c r="GH394" s="1605" t="s">
        <v>986</v>
      </c>
      <c r="GI394" s="1605" t="s">
        <v>986</v>
      </c>
      <c r="GJ394" s="1605" t="s">
        <v>986</v>
      </c>
      <c r="GK394" s="1605" t="s">
        <v>986</v>
      </c>
      <c r="GL394" s="1605" t="s">
        <v>986</v>
      </c>
      <c r="GM394" s="1605" t="s">
        <v>986</v>
      </c>
      <c r="GN394" s="1605" t="s">
        <v>986</v>
      </c>
      <c r="GO394" s="1605" t="s">
        <v>986</v>
      </c>
      <c r="GP394" s="1605" t="s">
        <v>986</v>
      </c>
      <c r="GQ394" s="1605" t="s">
        <v>986</v>
      </c>
      <c r="GR394" s="1605" t="s">
        <v>986</v>
      </c>
      <c r="GS394" s="1605" t="s">
        <v>986</v>
      </c>
      <c r="GT394" s="1605" t="s">
        <v>986</v>
      </c>
      <c r="GU394" s="1605" t="s">
        <v>986</v>
      </c>
      <c r="GV394" s="1605" t="s">
        <v>986</v>
      </c>
      <c r="GW394" s="1605" t="s">
        <v>986</v>
      </c>
      <c r="GX394" s="1605" t="s">
        <v>986</v>
      </c>
      <c r="GY394" s="1605" t="s">
        <v>986</v>
      </c>
      <c r="GZ394" s="1605" t="s">
        <v>986</v>
      </c>
      <c r="HA394" s="1605" t="s">
        <v>986</v>
      </c>
      <c r="HB394" s="1605" t="s">
        <v>986</v>
      </c>
      <c r="HC394" s="1605" t="s">
        <v>986</v>
      </c>
      <c r="HD394" s="1605" t="s">
        <v>986</v>
      </c>
      <c r="HE394" s="1605" t="s">
        <v>986</v>
      </c>
      <c r="HF394" s="1605" t="s">
        <v>986</v>
      </c>
      <c r="HG394" s="1605" t="s">
        <v>986</v>
      </c>
      <c r="HH394" s="1605" t="s">
        <v>986</v>
      </c>
      <c r="HI394" s="1605" t="s">
        <v>986</v>
      </c>
      <c r="HJ394" s="1605" t="s">
        <v>986</v>
      </c>
      <c r="HK394" s="1605" t="s">
        <v>986</v>
      </c>
      <c r="HL394" s="1605" t="s">
        <v>986</v>
      </c>
      <c r="HM394" s="1605" t="s">
        <v>986</v>
      </c>
      <c r="HN394" s="1605" t="s">
        <v>986</v>
      </c>
      <c r="HO394" s="1605" t="s">
        <v>986</v>
      </c>
      <c r="HP394" s="1605" t="s">
        <v>986</v>
      </c>
      <c r="HQ394" s="1605" t="s">
        <v>986</v>
      </c>
      <c r="HR394" s="1605" t="s">
        <v>986</v>
      </c>
      <c r="HS394" s="1605" t="s">
        <v>986</v>
      </c>
      <c r="HT394" s="1605" t="s">
        <v>986</v>
      </c>
      <c r="HU394" s="1605" t="s">
        <v>986</v>
      </c>
    </row>
    <row r="395" spans="128:229" x14ac:dyDescent="0.2">
      <c r="DX395" s="1605" t="s">
        <v>986</v>
      </c>
      <c r="DY395" s="1605" t="s">
        <v>986</v>
      </c>
      <c r="DZ395" s="1605" t="s">
        <v>986</v>
      </c>
      <c r="EA395" s="1605" t="s">
        <v>986</v>
      </c>
      <c r="EB395" s="1605" t="s">
        <v>986</v>
      </c>
      <c r="EC395" s="1605" t="s">
        <v>986</v>
      </c>
      <c r="ED395" s="1605" t="s">
        <v>986</v>
      </c>
      <c r="EE395" s="1605" t="s">
        <v>986</v>
      </c>
      <c r="EF395" s="1605" t="s">
        <v>986</v>
      </c>
      <c r="EG395" s="1605" t="s">
        <v>986</v>
      </c>
      <c r="EH395" s="1605" t="s">
        <v>986</v>
      </c>
      <c r="EI395" s="1605" t="s">
        <v>986</v>
      </c>
      <c r="EJ395" s="1605" t="s">
        <v>986</v>
      </c>
      <c r="EK395" s="1605" t="s">
        <v>986</v>
      </c>
      <c r="EL395" s="1605" t="s">
        <v>986</v>
      </c>
      <c r="EM395" s="1605" t="s">
        <v>986</v>
      </c>
      <c r="EN395" s="1605" t="s">
        <v>986</v>
      </c>
      <c r="EO395" s="1605" t="s">
        <v>986</v>
      </c>
      <c r="EP395" s="1605" t="s">
        <v>986</v>
      </c>
      <c r="EQ395" s="1605" t="s">
        <v>986</v>
      </c>
      <c r="ER395" s="1605" t="s">
        <v>986</v>
      </c>
      <c r="ES395" s="1605" t="s">
        <v>986</v>
      </c>
      <c r="ET395" s="1605" t="s">
        <v>986</v>
      </c>
      <c r="EU395" s="1605" t="s">
        <v>986</v>
      </c>
      <c r="EV395" s="1605" t="s">
        <v>986</v>
      </c>
      <c r="EW395" s="1605" t="s">
        <v>986</v>
      </c>
      <c r="EX395" s="1605" t="s">
        <v>986</v>
      </c>
      <c r="EY395" s="1605" t="s">
        <v>986</v>
      </c>
      <c r="EZ395" s="1605" t="s">
        <v>986</v>
      </c>
      <c r="FA395" s="1605" t="s">
        <v>986</v>
      </c>
      <c r="FB395" s="1605" t="s">
        <v>986</v>
      </c>
      <c r="FC395" s="1605" t="s">
        <v>986</v>
      </c>
      <c r="FD395" s="1605" t="s">
        <v>986</v>
      </c>
      <c r="FE395" s="1605" t="s">
        <v>986</v>
      </c>
      <c r="FF395" s="1605" t="s">
        <v>986</v>
      </c>
      <c r="FG395" s="1605" t="s">
        <v>986</v>
      </c>
      <c r="FH395" s="1605" t="s">
        <v>986</v>
      </c>
      <c r="FI395" s="1605" t="s">
        <v>986</v>
      </c>
      <c r="FJ395" s="1605" t="s">
        <v>986</v>
      </c>
      <c r="FK395" s="1605" t="s">
        <v>986</v>
      </c>
      <c r="FL395" s="1605" t="s">
        <v>986</v>
      </c>
      <c r="FM395" s="1605" t="s">
        <v>986</v>
      </c>
      <c r="FN395" s="1605" t="s">
        <v>986</v>
      </c>
      <c r="FO395" s="1605" t="s">
        <v>986</v>
      </c>
      <c r="FP395" s="1605" t="s">
        <v>986</v>
      </c>
      <c r="FQ395" s="1605" t="s">
        <v>986</v>
      </c>
      <c r="FR395" s="1605" t="s">
        <v>986</v>
      </c>
      <c r="FS395" s="1605" t="s">
        <v>986</v>
      </c>
      <c r="FT395" s="1605" t="s">
        <v>986</v>
      </c>
      <c r="FU395" s="1605" t="s">
        <v>986</v>
      </c>
      <c r="FV395" s="1605" t="s">
        <v>986</v>
      </c>
      <c r="FW395" s="1605" t="s">
        <v>986</v>
      </c>
      <c r="FX395" s="1605" t="s">
        <v>986</v>
      </c>
      <c r="FY395" s="1605" t="s">
        <v>986</v>
      </c>
      <c r="FZ395" s="1605" t="s">
        <v>986</v>
      </c>
      <c r="GA395" s="1605" t="s">
        <v>986</v>
      </c>
      <c r="GB395" s="1605" t="s">
        <v>986</v>
      </c>
      <c r="GC395" s="1605" t="s">
        <v>986</v>
      </c>
      <c r="GD395" s="1605" t="s">
        <v>986</v>
      </c>
      <c r="GE395" s="1605" t="s">
        <v>986</v>
      </c>
      <c r="GF395" s="1605" t="s">
        <v>986</v>
      </c>
      <c r="GG395" s="1605" t="s">
        <v>986</v>
      </c>
      <c r="GH395" s="1605" t="s">
        <v>986</v>
      </c>
      <c r="GI395" s="1605" t="s">
        <v>986</v>
      </c>
      <c r="GJ395" s="1605" t="s">
        <v>986</v>
      </c>
      <c r="GK395" s="1605" t="s">
        <v>986</v>
      </c>
      <c r="GL395" s="1605" t="s">
        <v>986</v>
      </c>
      <c r="GM395" s="1605" t="s">
        <v>986</v>
      </c>
      <c r="GN395" s="1605" t="s">
        <v>986</v>
      </c>
      <c r="GO395" s="1605" t="s">
        <v>986</v>
      </c>
      <c r="GP395" s="1605" t="s">
        <v>986</v>
      </c>
      <c r="GQ395" s="1605" t="s">
        <v>986</v>
      </c>
      <c r="GR395" s="1605" t="s">
        <v>986</v>
      </c>
      <c r="GS395" s="1605" t="s">
        <v>986</v>
      </c>
      <c r="GT395" s="1605" t="s">
        <v>986</v>
      </c>
      <c r="GU395" s="1605" t="s">
        <v>986</v>
      </c>
      <c r="GV395" s="1605" t="s">
        <v>986</v>
      </c>
      <c r="GW395" s="1605" t="s">
        <v>986</v>
      </c>
      <c r="GX395" s="1605" t="s">
        <v>986</v>
      </c>
      <c r="GY395" s="1605" t="s">
        <v>986</v>
      </c>
      <c r="GZ395" s="1605" t="s">
        <v>986</v>
      </c>
      <c r="HA395" s="1605" t="s">
        <v>986</v>
      </c>
      <c r="HB395" s="1605" t="s">
        <v>986</v>
      </c>
      <c r="HC395" s="1605" t="s">
        <v>986</v>
      </c>
      <c r="HD395" s="1605" t="s">
        <v>986</v>
      </c>
      <c r="HE395" s="1605" t="s">
        <v>986</v>
      </c>
      <c r="HF395" s="1605" t="s">
        <v>986</v>
      </c>
      <c r="HG395" s="1605" t="s">
        <v>986</v>
      </c>
      <c r="HH395" s="1605" t="s">
        <v>986</v>
      </c>
      <c r="HI395" s="1605" t="s">
        <v>986</v>
      </c>
      <c r="HJ395" s="1605" t="s">
        <v>986</v>
      </c>
      <c r="HK395" s="1605" t="s">
        <v>986</v>
      </c>
      <c r="HL395" s="1605" t="s">
        <v>986</v>
      </c>
      <c r="HM395" s="1605" t="s">
        <v>986</v>
      </c>
      <c r="HN395" s="1605" t="s">
        <v>986</v>
      </c>
      <c r="HO395" s="1605" t="s">
        <v>986</v>
      </c>
      <c r="HP395" s="1605" t="s">
        <v>986</v>
      </c>
      <c r="HQ395" s="1605" t="s">
        <v>986</v>
      </c>
      <c r="HR395" s="1605" t="s">
        <v>986</v>
      </c>
      <c r="HS395" s="1605" t="s">
        <v>986</v>
      </c>
      <c r="HT395" s="1605" t="s">
        <v>986</v>
      </c>
      <c r="HU395" s="1605" t="s">
        <v>986</v>
      </c>
    </row>
    <row r="396" spans="128:229" x14ac:dyDescent="0.2">
      <c r="DX396" s="1605" t="s">
        <v>986</v>
      </c>
      <c r="DY396" s="1605" t="s">
        <v>986</v>
      </c>
      <c r="DZ396" s="1605" t="s">
        <v>986</v>
      </c>
      <c r="EA396" s="1605" t="s">
        <v>986</v>
      </c>
      <c r="EB396" s="1605" t="s">
        <v>986</v>
      </c>
      <c r="EC396" s="1605" t="s">
        <v>986</v>
      </c>
      <c r="ED396" s="1605" t="s">
        <v>986</v>
      </c>
      <c r="EE396" s="1605" t="s">
        <v>986</v>
      </c>
      <c r="EF396" s="1605" t="s">
        <v>986</v>
      </c>
      <c r="EG396" s="1605" t="s">
        <v>986</v>
      </c>
      <c r="EH396" s="1605" t="s">
        <v>986</v>
      </c>
      <c r="EI396" s="1605" t="s">
        <v>986</v>
      </c>
      <c r="EJ396" s="1605" t="s">
        <v>986</v>
      </c>
      <c r="EK396" s="1605" t="s">
        <v>986</v>
      </c>
      <c r="EL396" s="1605" t="s">
        <v>986</v>
      </c>
      <c r="EM396" s="1605" t="s">
        <v>986</v>
      </c>
      <c r="EN396" s="1605" t="s">
        <v>986</v>
      </c>
      <c r="EO396" s="1605" t="s">
        <v>986</v>
      </c>
      <c r="EP396" s="1605" t="s">
        <v>986</v>
      </c>
      <c r="EQ396" s="1605" t="s">
        <v>986</v>
      </c>
      <c r="ER396" s="1605" t="s">
        <v>986</v>
      </c>
      <c r="ES396" s="1605" t="s">
        <v>986</v>
      </c>
      <c r="ET396" s="1605" t="s">
        <v>986</v>
      </c>
      <c r="EU396" s="1605" t="s">
        <v>986</v>
      </c>
      <c r="EV396" s="1605" t="s">
        <v>986</v>
      </c>
      <c r="EW396" s="1605" t="s">
        <v>986</v>
      </c>
      <c r="EX396" s="1605" t="s">
        <v>986</v>
      </c>
      <c r="EY396" s="1605" t="s">
        <v>986</v>
      </c>
      <c r="EZ396" s="1605" t="s">
        <v>986</v>
      </c>
      <c r="FA396" s="1605" t="s">
        <v>986</v>
      </c>
      <c r="FB396" s="1605" t="s">
        <v>986</v>
      </c>
      <c r="FC396" s="1605" t="s">
        <v>986</v>
      </c>
      <c r="FD396" s="1605" t="s">
        <v>986</v>
      </c>
      <c r="FE396" s="1605" t="s">
        <v>986</v>
      </c>
      <c r="FF396" s="1605" t="s">
        <v>986</v>
      </c>
      <c r="FG396" s="1605" t="s">
        <v>986</v>
      </c>
      <c r="FH396" s="1605" t="s">
        <v>986</v>
      </c>
      <c r="FI396" s="1605" t="s">
        <v>986</v>
      </c>
      <c r="FJ396" s="1605" t="s">
        <v>986</v>
      </c>
      <c r="FK396" s="1605" t="s">
        <v>986</v>
      </c>
      <c r="FL396" s="1605" t="s">
        <v>986</v>
      </c>
      <c r="FM396" s="1605" t="s">
        <v>986</v>
      </c>
      <c r="FN396" s="1605" t="s">
        <v>986</v>
      </c>
      <c r="FO396" s="1605" t="s">
        <v>986</v>
      </c>
      <c r="FP396" s="1605" t="s">
        <v>986</v>
      </c>
      <c r="FQ396" s="1605" t="s">
        <v>986</v>
      </c>
      <c r="FR396" s="1605" t="s">
        <v>986</v>
      </c>
      <c r="FS396" s="1605" t="s">
        <v>986</v>
      </c>
      <c r="FT396" s="1605" t="s">
        <v>986</v>
      </c>
      <c r="FU396" s="1605" t="s">
        <v>986</v>
      </c>
      <c r="FV396" s="1605" t="s">
        <v>986</v>
      </c>
      <c r="FW396" s="1605" t="s">
        <v>986</v>
      </c>
      <c r="FX396" s="1605" t="s">
        <v>986</v>
      </c>
      <c r="FY396" s="1605" t="s">
        <v>986</v>
      </c>
      <c r="FZ396" s="1605" t="s">
        <v>986</v>
      </c>
      <c r="GA396" s="1605" t="s">
        <v>986</v>
      </c>
      <c r="GB396" s="1605" t="s">
        <v>986</v>
      </c>
      <c r="GC396" s="1605" t="s">
        <v>986</v>
      </c>
      <c r="GD396" s="1605" t="s">
        <v>986</v>
      </c>
      <c r="GE396" s="1605" t="s">
        <v>986</v>
      </c>
      <c r="GF396" s="1605" t="s">
        <v>986</v>
      </c>
      <c r="GG396" s="1605" t="s">
        <v>986</v>
      </c>
      <c r="GH396" s="1605" t="s">
        <v>986</v>
      </c>
      <c r="GI396" s="1605" t="s">
        <v>986</v>
      </c>
      <c r="GJ396" s="1605" t="s">
        <v>986</v>
      </c>
      <c r="GK396" s="1605" t="s">
        <v>986</v>
      </c>
      <c r="GL396" s="1605" t="s">
        <v>986</v>
      </c>
      <c r="GM396" s="1605" t="s">
        <v>986</v>
      </c>
      <c r="GN396" s="1605" t="s">
        <v>986</v>
      </c>
      <c r="GO396" s="1605" t="s">
        <v>986</v>
      </c>
      <c r="GP396" s="1605" t="s">
        <v>986</v>
      </c>
      <c r="GQ396" s="1605" t="s">
        <v>986</v>
      </c>
      <c r="GR396" s="1605" t="s">
        <v>986</v>
      </c>
      <c r="GS396" s="1605" t="s">
        <v>986</v>
      </c>
      <c r="GT396" s="1605" t="s">
        <v>986</v>
      </c>
      <c r="GU396" s="1605" t="s">
        <v>986</v>
      </c>
      <c r="GV396" s="1605" t="s">
        <v>986</v>
      </c>
      <c r="GW396" s="1605" t="s">
        <v>986</v>
      </c>
      <c r="GX396" s="1605" t="s">
        <v>986</v>
      </c>
      <c r="GY396" s="1605" t="s">
        <v>986</v>
      </c>
      <c r="GZ396" s="1605" t="s">
        <v>986</v>
      </c>
      <c r="HA396" s="1605" t="s">
        <v>986</v>
      </c>
      <c r="HB396" s="1605" t="s">
        <v>986</v>
      </c>
      <c r="HC396" s="1605" t="s">
        <v>986</v>
      </c>
      <c r="HD396" s="1605" t="s">
        <v>986</v>
      </c>
      <c r="HE396" s="1605" t="s">
        <v>986</v>
      </c>
      <c r="HF396" s="1605" t="s">
        <v>986</v>
      </c>
      <c r="HG396" s="1605" t="s">
        <v>986</v>
      </c>
      <c r="HH396" s="1605" t="s">
        <v>986</v>
      </c>
      <c r="HI396" s="1605" t="s">
        <v>986</v>
      </c>
      <c r="HJ396" s="1605" t="s">
        <v>986</v>
      </c>
      <c r="HK396" s="1605" t="s">
        <v>986</v>
      </c>
      <c r="HL396" s="1605" t="s">
        <v>986</v>
      </c>
      <c r="HM396" s="1605" t="s">
        <v>986</v>
      </c>
      <c r="HN396" s="1605" t="s">
        <v>986</v>
      </c>
      <c r="HO396" s="1605" t="s">
        <v>986</v>
      </c>
      <c r="HP396" s="1605" t="s">
        <v>986</v>
      </c>
      <c r="HQ396" s="1605" t="s">
        <v>986</v>
      </c>
      <c r="HR396" s="1605" t="s">
        <v>986</v>
      </c>
      <c r="HS396" s="1605" t="s">
        <v>986</v>
      </c>
      <c r="HT396" s="1605" t="s">
        <v>986</v>
      </c>
      <c r="HU396" s="1605" t="s">
        <v>986</v>
      </c>
    </row>
    <row r="397" spans="128:229" x14ac:dyDescent="0.2">
      <c r="DX397" s="1605" t="s">
        <v>986</v>
      </c>
      <c r="DY397" s="1605" t="s">
        <v>986</v>
      </c>
      <c r="DZ397" s="1605" t="s">
        <v>986</v>
      </c>
      <c r="EA397" s="1605" t="s">
        <v>986</v>
      </c>
      <c r="EB397" s="1605" t="s">
        <v>986</v>
      </c>
      <c r="EC397" s="1605" t="s">
        <v>986</v>
      </c>
      <c r="ED397" s="1605" t="s">
        <v>986</v>
      </c>
      <c r="EE397" s="1605" t="s">
        <v>986</v>
      </c>
      <c r="EF397" s="1605" t="s">
        <v>986</v>
      </c>
      <c r="EG397" s="1605" t="s">
        <v>986</v>
      </c>
      <c r="EH397" s="1605" t="s">
        <v>986</v>
      </c>
      <c r="EI397" s="1605" t="s">
        <v>986</v>
      </c>
      <c r="EJ397" s="1605" t="s">
        <v>986</v>
      </c>
      <c r="EK397" s="1605" t="s">
        <v>986</v>
      </c>
      <c r="EL397" s="1605" t="s">
        <v>986</v>
      </c>
      <c r="EM397" s="1605" t="s">
        <v>986</v>
      </c>
      <c r="EN397" s="1605" t="s">
        <v>986</v>
      </c>
      <c r="EO397" s="1605" t="s">
        <v>986</v>
      </c>
      <c r="EP397" s="1605" t="s">
        <v>986</v>
      </c>
      <c r="EQ397" s="1605" t="s">
        <v>986</v>
      </c>
      <c r="ER397" s="1605" t="s">
        <v>986</v>
      </c>
      <c r="ES397" s="1605" t="s">
        <v>986</v>
      </c>
      <c r="ET397" s="1605" t="s">
        <v>986</v>
      </c>
      <c r="EU397" s="1605" t="s">
        <v>986</v>
      </c>
      <c r="EV397" s="1605" t="s">
        <v>986</v>
      </c>
      <c r="EW397" s="1605" t="s">
        <v>986</v>
      </c>
      <c r="EX397" s="1605" t="s">
        <v>986</v>
      </c>
      <c r="EY397" s="1605" t="s">
        <v>986</v>
      </c>
      <c r="EZ397" s="1605" t="s">
        <v>986</v>
      </c>
      <c r="FA397" s="1605" t="s">
        <v>986</v>
      </c>
      <c r="FB397" s="1605" t="s">
        <v>986</v>
      </c>
      <c r="FC397" s="1605" t="s">
        <v>986</v>
      </c>
      <c r="FD397" s="1605" t="s">
        <v>986</v>
      </c>
      <c r="FE397" s="1605" t="s">
        <v>986</v>
      </c>
      <c r="FF397" s="1605" t="s">
        <v>986</v>
      </c>
      <c r="FG397" s="1605" t="s">
        <v>986</v>
      </c>
      <c r="FH397" s="1605" t="s">
        <v>986</v>
      </c>
      <c r="FI397" s="1605" t="s">
        <v>986</v>
      </c>
      <c r="FJ397" s="1605" t="s">
        <v>986</v>
      </c>
      <c r="FK397" s="1605" t="s">
        <v>986</v>
      </c>
      <c r="FL397" s="1605" t="s">
        <v>986</v>
      </c>
      <c r="FM397" s="1605" t="s">
        <v>986</v>
      </c>
      <c r="FN397" s="1605" t="s">
        <v>986</v>
      </c>
      <c r="FO397" s="1605" t="s">
        <v>986</v>
      </c>
      <c r="FP397" s="1605" t="s">
        <v>986</v>
      </c>
      <c r="FQ397" s="1605" t="s">
        <v>986</v>
      </c>
      <c r="FR397" s="1605" t="s">
        <v>986</v>
      </c>
      <c r="FS397" s="1605" t="s">
        <v>986</v>
      </c>
      <c r="FT397" s="1605" t="s">
        <v>986</v>
      </c>
      <c r="FU397" s="1605" t="s">
        <v>986</v>
      </c>
      <c r="FV397" s="1605" t="s">
        <v>986</v>
      </c>
      <c r="FW397" s="1605" t="s">
        <v>986</v>
      </c>
      <c r="FX397" s="1605" t="s">
        <v>986</v>
      </c>
      <c r="FY397" s="1605" t="s">
        <v>986</v>
      </c>
      <c r="FZ397" s="1605" t="s">
        <v>986</v>
      </c>
      <c r="GA397" s="1605" t="s">
        <v>986</v>
      </c>
      <c r="GB397" s="1605" t="s">
        <v>986</v>
      </c>
      <c r="GC397" s="1605" t="s">
        <v>986</v>
      </c>
      <c r="GD397" s="1605" t="s">
        <v>986</v>
      </c>
      <c r="GE397" s="1605" t="s">
        <v>986</v>
      </c>
      <c r="GF397" s="1605" t="s">
        <v>986</v>
      </c>
      <c r="GG397" s="1605" t="s">
        <v>986</v>
      </c>
      <c r="GH397" s="1605" t="s">
        <v>986</v>
      </c>
      <c r="GI397" s="1605" t="s">
        <v>986</v>
      </c>
      <c r="GJ397" s="1605" t="s">
        <v>986</v>
      </c>
      <c r="GK397" s="1605" t="s">
        <v>986</v>
      </c>
      <c r="GL397" s="1605" t="s">
        <v>986</v>
      </c>
      <c r="GM397" s="1605" t="s">
        <v>986</v>
      </c>
      <c r="GN397" s="1605" t="s">
        <v>986</v>
      </c>
      <c r="GO397" s="1605" t="s">
        <v>986</v>
      </c>
      <c r="GP397" s="1605" t="s">
        <v>986</v>
      </c>
      <c r="GQ397" s="1605" t="s">
        <v>986</v>
      </c>
      <c r="GR397" s="1605" t="s">
        <v>986</v>
      </c>
      <c r="GS397" s="1605" t="s">
        <v>986</v>
      </c>
      <c r="GT397" s="1605" t="s">
        <v>986</v>
      </c>
      <c r="GU397" s="1605" t="s">
        <v>986</v>
      </c>
      <c r="GV397" s="1605" t="s">
        <v>986</v>
      </c>
      <c r="GW397" s="1605" t="s">
        <v>986</v>
      </c>
      <c r="GX397" s="1605" t="s">
        <v>986</v>
      </c>
      <c r="GY397" s="1605" t="s">
        <v>986</v>
      </c>
      <c r="GZ397" s="1605" t="s">
        <v>986</v>
      </c>
      <c r="HA397" s="1605" t="s">
        <v>986</v>
      </c>
      <c r="HB397" s="1605" t="s">
        <v>986</v>
      </c>
      <c r="HC397" s="1605" t="s">
        <v>986</v>
      </c>
      <c r="HD397" s="1605" t="s">
        <v>986</v>
      </c>
      <c r="HE397" s="1605" t="s">
        <v>986</v>
      </c>
      <c r="HF397" s="1605" t="s">
        <v>986</v>
      </c>
      <c r="HG397" s="1605" t="s">
        <v>986</v>
      </c>
      <c r="HH397" s="1605" t="s">
        <v>986</v>
      </c>
      <c r="HI397" s="1605" t="s">
        <v>986</v>
      </c>
      <c r="HJ397" s="1605" t="s">
        <v>986</v>
      </c>
      <c r="HK397" s="1605" t="s">
        <v>986</v>
      </c>
      <c r="HL397" s="1605" t="s">
        <v>986</v>
      </c>
      <c r="HM397" s="1605" t="s">
        <v>986</v>
      </c>
      <c r="HN397" s="1605" t="s">
        <v>986</v>
      </c>
      <c r="HO397" s="1605" t="s">
        <v>986</v>
      </c>
      <c r="HP397" s="1605" t="s">
        <v>986</v>
      </c>
      <c r="HQ397" s="1605" t="s">
        <v>986</v>
      </c>
      <c r="HR397" s="1605" t="s">
        <v>986</v>
      </c>
      <c r="HS397" s="1605" t="s">
        <v>986</v>
      </c>
      <c r="HT397" s="1605" t="s">
        <v>986</v>
      </c>
      <c r="HU397" s="1605" t="s">
        <v>986</v>
      </c>
    </row>
    <row r="398" spans="128:229" x14ac:dyDescent="0.2">
      <c r="DX398" s="1605" t="s">
        <v>986</v>
      </c>
      <c r="DY398" s="1605" t="s">
        <v>986</v>
      </c>
      <c r="DZ398" s="1605" t="s">
        <v>986</v>
      </c>
      <c r="EA398" s="1605" t="s">
        <v>986</v>
      </c>
      <c r="EB398" s="1605" t="s">
        <v>986</v>
      </c>
      <c r="EC398" s="1605" t="s">
        <v>986</v>
      </c>
      <c r="ED398" s="1605" t="s">
        <v>986</v>
      </c>
      <c r="EE398" s="1605" t="s">
        <v>986</v>
      </c>
      <c r="EF398" s="1605" t="s">
        <v>986</v>
      </c>
      <c r="EG398" s="1605" t="s">
        <v>986</v>
      </c>
      <c r="EH398" s="1605" t="s">
        <v>986</v>
      </c>
      <c r="EI398" s="1605" t="s">
        <v>986</v>
      </c>
      <c r="EJ398" s="1605" t="s">
        <v>986</v>
      </c>
      <c r="EK398" s="1605" t="s">
        <v>986</v>
      </c>
      <c r="EL398" s="1605" t="s">
        <v>986</v>
      </c>
      <c r="EM398" s="1605" t="s">
        <v>986</v>
      </c>
      <c r="EN398" s="1605" t="s">
        <v>986</v>
      </c>
      <c r="EO398" s="1605" t="s">
        <v>986</v>
      </c>
      <c r="EP398" s="1605" t="s">
        <v>986</v>
      </c>
      <c r="EQ398" s="1605" t="s">
        <v>986</v>
      </c>
      <c r="ER398" s="1605" t="s">
        <v>986</v>
      </c>
      <c r="ES398" s="1605" t="s">
        <v>986</v>
      </c>
      <c r="ET398" s="1605" t="s">
        <v>986</v>
      </c>
      <c r="EU398" s="1605" t="s">
        <v>986</v>
      </c>
      <c r="EV398" s="1605" t="s">
        <v>986</v>
      </c>
      <c r="EW398" s="1605" t="s">
        <v>986</v>
      </c>
      <c r="EX398" s="1605" t="s">
        <v>986</v>
      </c>
      <c r="EY398" s="1605" t="s">
        <v>986</v>
      </c>
      <c r="EZ398" s="1605" t="s">
        <v>986</v>
      </c>
      <c r="FA398" s="1605" t="s">
        <v>986</v>
      </c>
      <c r="FB398" s="1605" t="s">
        <v>986</v>
      </c>
      <c r="FC398" s="1605" t="s">
        <v>986</v>
      </c>
      <c r="FD398" s="1605" t="s">
        <v>986</v>
      </c>
      <c r="FE398" s="1605" t="s">
        <v>986</v>
      </c>
      <c r="FF398" s="1605" t="s">
        <v>986</v>
      </c>
      <c r="FG398" s="1605" t="s">
        <v>986</v>
      </c>
      <c r="FH398" s="1605" t="s">
        <v>986</v>
      </c>
      <c r="FI398" s="1605" t="s">
        <v>986</v>
      </c>
      <c r="FJ398" s="1605" t="s">
        <v>986</v>
      </c>
      <c r="FK398" s="1605" t="s">
        <v>986</v>
      </c>
      <c r="FL398" s="1605" t="s">
        <v>986</v>
      </c>
      <c r="FM398" s="1605" t="s">
        <v>986</v>
      </c>
      <c r="FN398" s="1605" t="s">
        <v>986</v>
      </c>
      <c r="FO398" s="1605" t="s">
        <v>986</v>
      </c>
      <c r="FP398" s="1605" t="s">
        <v>986</v>
      </c>
      <c r="FQ398" s="1605" t="s">
        <v>986</v>
      </c>
      <c r="FR398" s="1605" t="s">
        <v>986</v>
      </c>
      <c r="FS398" s="1605" t="s">
        <v>986</v>
      </c>
      <c r="FT398" s="1605" t="s">
        <v>986</v>
      </c>
      <c r="FU398" s="1605" t="s">
        <v>986</v>
      </c>
      <c r="FV398" s="1605" t="s">
        <v>986</v>
      </c>
      <c r="FW398" s="1605" t="s">
        <v>986</v>
      </c>
      <c r="FX398" s="1605" t="s">
        <v>986</v>
      </c>
      <c r="FY398" s="1605" t="s">
        <v>986</v>
      </c>
      <c r="FZ398" s="1605" t="s">
        <v>986</v>
      </c>
      <c r="GA398" s="1605" t="s">
        <v>986</v>
      </c>
      <c r="GB398" s="1605" t="s">
        <v>986</v>
      </c>
      <c r="GC398" s="1605" t="s">
        <v>986</v>
      </c>
      <c r="GD398" s="1605" t="s">
        <v>986</v>
      </c>
      <c r="GE398" s="1605" t="s">
        <v>986</v>
      </c>
      <c r="GF398" s="1605" t="s">
        <v>986</v>
      </c>
      <c r="GG398" s="1605" t="s">
        <v>986</v>
      </c>
      <c r="GH398" s="1605" t="s">
        <v>986</v>
      </c>
      <c r="GI398" s="1605" t="s">
        <v>986</v>
      </c>
      <c r="GJ398" s="1605" t="s">
        <v>986</v>
      </c>
      <c r="GK398" s="1605" t="s">
        <v>986</v>
      </c>
      <c r="GL398" s="1605" t="s">
        <v>986</v>
      </c>
      <c r="GM398" s="1605" t="s">
        <v>986</v>
      </c>
      <c r="GN398" s="1605" t="s">
        <v>986</v>
      </c>
      <c r="GO398" s="1605" t="s">
        <v>986</v>
      </c>
      <c r="GP398" s="1605" t="s">
        <v>986</v>
      </c>
      <c r="GQ398" s="1605" t="s">
        <v>986</v>
      </c>
      <c r="GR398" s="1605" t="s">
        <v>986</v>
      </c>
      <c r="GS398" s="1605" t="s">
        <v>986</v>
      </c>
      <c r="GT398" s="1605" t="s">
        <v>986</v>
      </c>
      <c r="GU398" s="1605" t="s">
        <v>986</v>
      </c>
      <c r="GV398" s="1605" t="s">
        <v>986</v>
      </c>
      <c r="GW398" s="1605" t="s">
        <v>986</v>
      </c>
      <c r="GX398" s="1605" t="s">
        <v>986</v>
      </c>
      <c r="GY398" s="1605" t="s">
        <v>986</v>
      </c>
      <c r="GZ398" s="1605" t="s">
        <v>986</v>
      </c>
      <c r="HA398" s="1605" t="s">
        <v>986</v>
      </c>
      <c r="HB398" s="1605" t="s">
        <v>986</v>
      </c>
      <c r="HC398" s="1605" t="s">
        <v>986</v>
      </c>
      <c r="HD398" s="1605" t="s">
        <v>986</v>
      </c>
      <c r="HE398" s="1605" t="s">
        <v>986</v>
      </c>
      <c r="HF398" s="1605" t="s">
        <v>986</v>
      </c>
      <c r="HG398" s="1605" t="s">
        <v>986</v>
      </c>
      <c r="HH398" s="1605" t="s">
        <v>986</v>
      </c>
      <c r="HI398" s="1605" t="s">
        <v>986</v>
      </c>
      <c r="HJ398" s="1605" t="s">
        <v>986</v>
      </c>
      <c r="HK398" s="1605" t="s">
        <v>986</v>
      </c>
      <c r="HL398" s="1605" t="s">
        <v>986</v>
      </c>
      <c r="HM398" s="1605" t="s">
        <v>986</v>
      </c>
      <c r="HN398" s="1605" t="s">
        <v>986</v>
      </c>
      <c r="HO398" s="1605" t="s">
        <v>986</v>
      </c>
      <c r="HP398" s="1605" t="s">
        <v>986</v>
      </c>
      <c r="HQ398" s="1605" t="s">
        <v>986</v>
      </c>
      <c r="HR398" s="1605" t="s">
        <v>986</v>
      </c>
      <c r="HS398" s="1605" t="s">
        <v>986</v>
      </c>
      <c r="HT398" s="1605" t="s">
        <v>986</v>
      </c>
      <c r="HU398" s="1605" t="s">
        <v>986</v>
      </c>
    </row>
    <row r="399" spans="128:229" x14ac:dyDescent="0.2">
      <c r="DX399" s="1605" t="s">
        <v>986</v>
      </c>
      <c r="DY399" s="1605" t="s">
        <v>986</v>
      </c>
      <c r="DZ399" s="1605" t="s">
        <v>986</v>
      </c>
      <c r="EA399" s="1605" t="s">
        <v>986</v>
      </c>
      <c r="EB399" s="1605" t="s">
        <v>986</v>
      </c>
      <c r="EC399" s="1605" t="s">
        <v>986</v>
      </c>
      <c r="ED399" s="1605" t="s">
        <v>986</v>
      </c>
      <c r="EE399" s="1605" t="s">
        <v>986</v>
      </c>
      <c r="EF399" s="1605" t="s">
        <v>986</v>
      </c>
      <c r="EG399" s="1605" t="s">
        <v>986</v>
      </c>
      <c r="EH399" s="1605" t="s">
        <v>986</v>
      </c>
      <c r="EI399" s="1605" t="s">
        <v>986</v>
      </c>
      <c r="EJ399" s="1605" t="s">
        <v>986</v>
      </c>
      <c r="EK399" s="1605" t="s">
        <v>986</v>
      </c>
      <c r="EL399" s="1605" t="s">
        <v>986</v>
      </c>
      <c r="EM399" s="1605" t="s">
        <v>986</v>
      </c>
      <c r="EN399" s="1605" t="s">
        <v>986</v>
      </c>
      <c r="EO399" s="1605" t="s">
        <v>986</v>
      </c>
      <c r="EP399" s="1605" t="s">
        <v>986</v>
      </c>
      <c r="EQ399" s="1605" t="s">
        <v>986</v>
      </c>
      <c r="ER399" s="1605" t="s">
        <v>986</v>
      </c>
      <c r="ES399" s="1605" t="s">
        <v>986</v>
      </c>
      <c r="ET399" s="1605" t="s">
        <v>986</v>
      </c>
      <c r="EU399" s="1605" t="s">
        <v>986</v>
      </c>
      <c r="EV399" s="1605" t="s">
        <v>986</v>
      </c>
      <c r="EW399" s="1605" t="s">
        <v>986</v>
      </c>
      <c r="EX399" s="1605" t="s">
        <v>986</v>
      </c>
      <c r="EY399" s="1605" t="s">
        <v>986</v>
      </c>
      <c r="EZ399" s="1605" t="s">
        <v>986</v>
      </c>
      <c r="FA399" s="1605" t="s">
        <v>986</v>
      </c>
      <c r="FB399" s="1605" t="s">
        <v>986</v>
      </c>
      <c r="FC399" s="1605" t="s">
        <v>986</v>
      </c>
      <c r="FD399" s="1605" t="s">
        <v>986</v>
      </c>
      <c r="FE399" s="1605" t="s">
        <v>986</v>
      </c>
      <c r="FF399" s="1605" t="s">
        <v>986</v>
      </c>
      <c r="FG399" s="1605" t="s">
        <v>986</v>
      </c>
      <c r="FH399" s="1605" t="s">
        <v>986</v>
      </c>
      <c r="FI399" s="1605" t="s">
        <v>986</v>
      </c>
      <c r="FJ399" s="1605" t="s">
        <v>986</v>
      </c>
      <c r="FK399" s="1605" t="s">
        <v>986</v>
      </c>
      <c r="FL399" s="1605" t="s">
        <v>986</v>
      </c>
      <c r="FM399" s="1605" t="s">
        <v>986</v>
      </c>
      <c r="FN399" s="1605" t="s">
        <v>986</v>
      </c>
      <c r="FO399" s="1605" t="s">
        <v>986</v>
      </c>
      <c r="FP399" s="1605" t="s">
        <v>986</v>
      </c>
      <c r="FQ399" s="1605" t="s">
        <v>986</v>
      </c>
      <c r="FR399" s="1605" t="s">
        <v>986</v>
      </c>
      <c r="FS399" s="1605" t="s">
        <v>986</v>
      </c>
      <c r="FT399" s="1605" t="s">
        <v>986</v>
      </c>
      <c r="FU399" s="1605" t="s">
        <v>986</v>
      </c>
      <c r="FV399" s="1605" t="s">
        <v>986</v>
      </c>
      <c r="FW399" s="1605" t="s">
        <v>986</v>
      </c>
      <c r="FX399" s="1605" t="s">
        <v>986</v>
      </c>
      <c r="FY399" s="1605" t="s">
        <v>986</v>
      </c>
      <c r="FZ399" s="1605" t="s">
        <v>986</v>
      </c>
      <c r="GA399" s="1605" t="s">
        <v>986</v>
      </c>
      <c r="GB399" s="1605" t="s">
        <v>986</v>
      </c>
      <c r="GC399" s="1605" t="s">
        <v>986</v>
      </c>
      <c r="GD399" s="1605" t="s">
        <v>986</v>
      </c>
      <c r="GE399" s="1605" t="s">
        <v>986</v>
      </c>
      <c r="GF399" s="1605" t="s">
        <v>986</v>
      </c>
      <c r="GG399" s="1605" t="s">
        <v>986</v>
      </c>
      <c r="GH399" s="1605" t="s">
        <v>986</v>
      </c>
      <c r="GI399" s="1605" t="s">
        <v>986</v>
      </c>
      <c r="GJ399" s="1605" t="s">
        <v>986</v>
      </c>
      <c r="GK399" s="1605" t="s">
        <v>986</v>
      </c>
      <c r="GL399" s="1605" t="s">
        <v>986</v>
      </c>
      <c r="GM399" s="1605" t="s">
        <v>986</v>
      </c>
      <c r="GN399" s="1605" t="s">
        <v>986</v>
      </c>
      <c r="GO399" s="1605" t="s">
        <v>986</v>
      </c>
      <c r="GP399" s="1605" t="s">
        <v>986</v>
      </c>
      <c r="GQ399" s="1605" t="s">
        <v>986</v>
      </c>
      <c r="GR399" s="1605" t="s">
        <v>986</v>
      </c>
      <c r="GS399" s="1605" t="s">
        <v>986</v>
      </c>
      <c r="GT399" s="1605" t="s">
        <v>986</v>
      </c>
      <c r="GU399" s="1605" t="s">
        <v>986</v>
      </c>
      <c r="GV399" s="1605" t="s">
        <v>986</v>
      </c>
      <c r="GW399" s="1605" t="s">
        <v>986</v>
      </c>
      <c r="GX399" s="1605" t="s">
        <v>986</v>
      </c>
      <c r="GY399" s="1605" t="s">
        <v>986</v>
      </c>
      <c r="GZ399" s="1605" t="s">
        <v>986</v>
      </c>
      <c r="HA399" s="1605" t="s">
        <v>986</v>
      </c>
      <c r="HB399" s="1605" t="s">
        <v>986</v>
      </c>
      <c r="HC399" s="1605" t="s">
        <v>986</v>
      </c>
      <c r="HD399" s="1605" t="s">
        <v>986</v>
      </c>
      <c r="HE399" s="1605" t="s">
        <v>986</v>
      </c>
      <c r="HF399" s="1605" t="s">
        <v>986</v>
      </c>
      <c r="HG399" s="1605" t="s">
        <v>986</v>
      </c>
      <c r="HH399" s="1605" t="s">
        <v>986</v>
      </c>
      <c r="HI399" s="1605" t="s">
        <v>986</v>
      </c>
      <c r="HJ399" s="1605" t="s">
        <v>986</v>
      </c>
      <c r="HK399" s="1605" t="s">
        <v>986</v>
      </c>
      <c r="HL399" s="1605" t="s">
        <v>986</v>
      </c>
      <c r="HM399" s="1605" t="s">
        <v>986</v>
      </c>
      <c r="HN399" s="1605" t="s">
        <v>986</v>
      </c>
      <c r="HO399" s="1605" t="s">
        <v>986</v>
      </c>
      <c r="HP399" s="1605" t="s">
        <v>986</v>
      </c>
      <c r="HQ399" s="1605" t="s">
        <v>986</v>
      </c>
      <c r="HR399" s="1605" t="s">
        <v>986</v>
      </c>
      <c r="HS399" s="1605" t="s">
        <v>986</v>
      </c>
      <c r="HT399" s="1605" t="s">
        <v>986</v>
      </c>
      <c r="HU399" s="1605" t="s">
        <v>986</v>
      </c>
    </row>
    <row r="400" spans="128:229" x14ac:dyDescent="0.2">
      <c r="DX400" s="1605" t="s">
        <v>986</v>
      </c>
      <c r="DY400" s="1605" t="s">
        <v>986</v>
      </c>
      <c r="DZ400" s="1605" t="s">
        <v>986</v>
      </c>
      <c r="EA400" s="1605" t="s">
        <v>986</v>
      </c>
      <c r="EB400" s="1605" t="s">
        <v>986</v>
      </c>
      <c r="EC400" s="1605" t="s">
        <v>986</v>
      </c>
      <c r="ED400" s="1605" t="s">
        <v>986</v>
      </c>
      <c r="EE400" s="1605" t="s">
        <v>986</v>
      </c>
      <c r="EF400" s="1605" t="s">
        <v>986</v>
      </c>
      <c r="EG400" s="1605" t="s">
        <v>986</v>
      </c>
      <c r="EH400" s="1605" t="s">
        <v>986</v>
      </c>
      <c r="EI400" s="1605" t="s">
        <v>986</v>
      </c>
      <c r="EJ400" s="1605" t="s">
        <v>986</v>
      </c>
      <c r="EK400" s="1605" t="s">
        <v>986</v>
      </c>
      <c r="EL400" s="1605" t="s">
        <v>986</v>
      </c>
      <c r="EM400" s="1605" t="s">
        <v>986</v>
      </c>
      <c r="EN400" s="1605" t="s">
        <v>986</v>
      </c>
      <c r="EO400" s="1605" t="s">
        <v>986</v>
      </c>
      <c r="EP400" s="1605" t="s">
        <v>986</v>
      </c>
      <c r="EQ400" s="1605" t="s">
        <v>986</v>
      </c>
      <c r="ER400" s="1605" t="s">
        <v>986</v>
      </c>
      <c r="ES400" s="1605" t="s">
        <v>986</v>
      </c>
      <c r="ET400" s="1605" t="s">
        <v>986</v>
      </c>
      <c r="EU400" s="1605" t="s">
        <v>986</v>
      </c>
      <c r="EV400" s="1605" t="s">
        <v>986</v>
      </c>
      <c r="EW400" s="1605" t="s">
        <v>986</v>
      </c>
      <c r="EX400" s="1605" t="s">
        <v>986</v>
      </c>
      <c r="EY400" s="1605" t="s">
        <v>986</v>
      </c>
      <c r="EZ400" s="1605" t="s">
        <v>986</v>
      </c>
      <c r="FA400" s="1605" t="s">
        <v>986</v>
      </c>
      <c r="FB400" s="1605" t="s">
        <v>986</v>
      </c>
      <c r="FC400" s="1605" t="s">
        <v>986</v>
      </c>
      <c r="FD400" s="1605" t="s">
        <v>986</v>
      </c>
      <c r="FE400" s="1605" t="s">
        <v>986</v>
      </c>
      <c r="FF400" s="1605" t="s">
        <v>986</v>
      </c>
      <c r="FG400" s="1605" t="s">
        <v>986</v>
      </c>
      <c r="FH400" s="1605" t="s">
        <v>986</v>
      </c>
      <c r="FI400" s="1605" t="s">
        <v>986</v>
      </c>
      <c r="FJ400" s="1605" t="s">
        <v>986</v>
      </c>
      <c r="FK400" s="1605" t="s">
        <v>986</v>
      </c>
      <c r="FL400" s="1605" t="s">
        <v>986</v>
      </c>
      <c r="FM400" s="1605" t="s">
        <v>986</v>
      </c>
      <c r="FN400" s="1605" t="s">
        <v>986</v>
      </c>
      <c r="FO400" s="1605" t="s">
        <v>986</v>
      </c>
      <c r="FP400" s="1605" t="s">
        <v>986</v>
      </c>
      <c r="FQ400" s="1605" t="s">
        <v>986</v>
      </c>
      <c r="FR400" s="1605" t="s">
        <v>986</v>
      </c>
      <c r="FS400" s="1605" t="s">
        <v>986</v>
      </c>
      <c r="FT400" s="1605" t="s">
        <v>986</v>
      </c>
      <c r="FU400" s="1605" t="s">
        <v>986</v>
      </c>
      <c r="FV400" s="1605" t="s">
        <v>986</v>
      </c>
      <c r="FW400" s="1605" t="s">
        <v>986</v>
      </c>
      <c r="FX400" s="1605" t="s">
        <v>986</v>
      </c>
      <c r="FY400" s="1605" t="s">
        <v>986</v>
      </c>
      <c r="FZ400" s="1605" t="s">
        <v>986</v>
      </c>
      <c r="GA400" s="1605" t="s">
        <v>986</v>
      </c>
      <c r="GB400" s="1605" t="s">
        <v>986</v>
      </c>
      <c r="GC400" s="1605" t="s">
        <v>986</v>
      </c>
      <c r="GD400" s="1605" t="s">
        <v>986</v>
      </c>
      <c r="GE400" s="1605" t="s">
        <v>986</v>
      </c>
      <c r="GF400" s="1605" t="s">
        <v>986</v>
      </c>
      <c r="GG400" s="1605" t="s">
        <v>986</v>
      </c>
      <c r="GH400" s="1605" t="s">
        <v>986</v>
      </c>
      <c r="GI400" s="1605" t="s">
        <v>986</v>
      </c>
      <c r="GJ400" s="1605" t="s">
        <v>986</v>
      </c>
      <c r="GK400" s="1605" t="s">
        <v>986</v>
      </c>
      <c r="GL400" s="1605" t="s">
        <v>986</v>
      </c>
      <c r="GM400" s="1605" t="s">
        <v>986</v>
      </c>
      <c r="GN400" s="1605" t="s">
        <v>986</v>
      </c>
      <c r="GO400" s="1605" t="s">
        <v>986</v>
      </c>
      <c r="GP400" s="1605" t="s">
        <v>986</v>
      </c>
      <c r="GQ400" s="1605" t="s">
        <v>986</v>
      </c>
      <c r="GR400" s="1605" t="s">
        <v>986</v>
      </c>
      <c r="GS400" s="1605" t="s">
        <v>986</v>
      </c>
      <c r="GT400" s="1605" t="s">
        <v>986</v>
      </c>
      <c r="GU400" s="1605" t="s">
        <v>986</v>
      </c>
      <c r="GV400" s="1605" t="s">
        <v>986</v>
      </c>
      <c r="GW400" s="1605" t="s">
        <v>986</v>
      </c>
      <c r="GX400" s="1605" t="s">
        <v>986</v>
      </c>
      <c r="GY400" s="1605" t="s">
        <v>986</v>
      </c>
      <c r="GZ400" s="1605" t="s">
        <v>986</v>
      </c>
      <c r="HA400" s="1605" t="s">
        <v>986</v>
      </c>
      <c r="HB400" s="1605" t="s">
        <v>986</v>
      </c>
      <c r="HC400" s="1605" t="s">
        <v>986</v>
      </c>
      <c r="HD400" s="1605" t="s">
        <v>986</v>
      </c>
      <c r="HE400" s="1605" t="s">
        <v>986</v>
      </c>
      <c r="HF400" s="1605" t="s">
        <v>986</v>
      </c>
      <c r="HG400" s="1605" t="s">
        <v>986</v>
      </c>
      <c r="HH400" s="1605" t="s">
        <v>986</v>
      </c>
      <c r="HI400" s="1605" t="s">
        <v>986</v>
      </c>
      <c r="HJ400" s="1605" t="s">
        <v>986</v>
      </c>
      <c r="HK400" s="1605" t="s">
        <v>986</v>
      </c>
      <c r="HL400" s="1605" t="s">
        <v>986</v>
      </c>
      <c r="HM400" s="1605" t="s">
        <v>986</v>
      </c>
      <c r="HN400" s="1605" t="s">
        <v>986</v>
      </c>
      <c r="HO400" s="1605" t="s">
        <v>986</v>
      </c>
      <c r="HP400" s="1605" t="s">
        <v>986</v>
      </c>
      <c r="HQ400" s="1605" t="s">
        <v>986</v>
      </c>
      <c r="HR400" s="1605" t="s">
        <v>986</v>
      </c>
      <c r="HS400" s="1605" t="s">
        <v>986</v>
      </c>
      <c r="HT400" s="1605" t="s">
        <v>986</v>
      </c>
      <c r="HU400" s="1605" t="s">
        <v>986</v>
      </c>
    </row>
  </sheetData>
  <sheetProtection algorithmName="SHA-512" hashValue="qqqziU2wk63APsW70r+E/5knRsEIMy/6cLG7lYQT/XUEM6Bte0OR2bnueLOlq6kWJ7LjRNUiYP9fsWEZ7avU3A==" saltValue="nYzdQ4jpdp2413LmMOZiLQ==" spinCount="100000" sheet="1" sort="0"/>
  <mergeCells count="7">
    <mergeCell ref="IN2:IN4"/>
    <mergeCell ref="IO2:IO4"/>
    <mergeCell ref="B4:C4"/>
    <mergeCell ref="U2:AA2"/>
    <mergeCell ref="IL2:IM4"/>
    <mergeCell ref="IJ2:IK4"/>
    <mergeCell ref="IC2:IF2"/>
  </mergeCells>
  <conditionalFormatting sqref="L7:X370">
    <cfRule type="cellIs" dxfId="70" priority="21" stopIfTrue="1" operator="greaterThan">
      <formula>999.9</formula>
    </cfRule>
    <cfRule type="cellIs" dxfId="69" priority="22" stopIfTrue="1" operator="greaterThan">
      <formula>99.9</formula>
    </cfRule>
  </conditionalFormatting>
  <conditionalFormatting sqref="L6:AX6">
    <cfRule type="cellIs" dxfId="68" priority="34" stopIfTrue="1" operator="greaterThan">
      <formula>99.9</formula>
    </cfRule>
    <cfRule type="cellIs" dxfId="67" priority="33" stopIfTrue="1" operator="greaterThan">
      <formula>999.9</formula>
    </cfRule>
  </conditionalFormatting>
  <conditionalFormatting sqref="Y7:AX39 Y40:CB370 BJ7:CB39 CC6:CP370">
    <cfRule type="cellIs" dxfId="66" priority="32" stopIfTrue="1" operator="greaterThan">
      <formula>99.9</formula>
    </cfRule>
    <cfRule type="cellIs" dxfId="65" priority="31" stopIfTrue="1" operator="greaterThan">
      <formula>999.9</formula>
    </cfRule>
  </conditionalFormatting>
  <conditionalFormatting sqref="AY6:BI39">
    <cfRule type="cellIs" dxfId="64" priority="19" stopIfTrue="1" operator="greaterThan">
      <formula>999.9</formula>
    </cfRule>
    <cfRule type="cellIs" dxfId="63" priority="20" stopIfTrue="1" operator="greaterThan">
      <formula>99.9</formula>
    </cfRule>
  </conditionalFormatting>
  <conditionalFormatting sqref="BJ6:IB6 DW13:HZ13 DW7:IB12 DW14:IB370 DX371:HU400 IG6:IP370 IS6:JJ370">
    <cfRule type="cellIs" dxfId="62" priority="43" stopIfTrue="1" operator="greaterThan">
      <formula>999.9</formula>
    </cfRule>
    <cfRule type="cellIs" dxfId="61" priority="44" stopIfTrue="1" operator="greaterThan">
      <formula>99.9</formula>
    </cfRule>
  </conditionalFormatting>
  <conditionalFormatting sqref="CQ5:DE5">
    <cfRule type="cellIs" dxfId="60" priority="13" stopIfTrue="1" operator="greaterThan">
      <formula>999.9</formula>
    </cfRule>
    <cfRule type="cellIs" dxfId="59" priority="14" stopIfTrue="1" operator="greaterThan">
      <formula>99.9</formula>
    </cfRule>
  </conditionalFormatting>
  <conditionalFormatting sqref="CQ7:DV370">
    <cfRule type="cellIs" dxfId="58" priority="15" stopIfTrue="1" operator="greaterThan">
      <formula>999.9</formula>
    </cfRule>
    <cfRule type="cellIs" dxfId="57" priority="16" stopIfTrue="1" operator="greaterThan">
      <formula>99.9</formula>
    </cfRule>
  </conditionalFormatting>
  <conditionalFormatting sqref="IA13:IF13 IC6:IF12">
    <cfRule type="cellIs" dxfId="56" priority="11" stopIfTrue="1" operator="greaterThan">
      <formula>999.9</formula>
    </cfRule>
    <cfRule type="cellIs" dxfId="55" priority="12" stopIfTrue="1" operator="greaterThan">
      <formula>99.9</formula>
    </cfRule>
  </conditionalFormatting>
  <conditionalFormatting sqref="IC14:IF370">
    <cfRule type="cellIs" dxfId="54" priority="9" stopIfTrue="1" operator="greaterThan">
      <formula>999.9</formula>
    </cfRule>
    <cfRule type="cellIs" dxfId="53" priority="10" stopIfTrue="1" operator="greaterThan">
      <formula>99.9</formula>
    </cfRule>
  </conditionalFormatting>
  <conditionalFormatting sqref="IQ6:IR370">
    <cfRule type="cellIs" dxfId="52" priority="7" stopIfTrue="1" operator="greaterThan">
      <formula>999.9</formula>
    </cfRule>
    <cfRule type="cellIs" dxfId="51" priority="8" stopIfTrue="1" operator="greaterThan">
      <formula>99.9</formula>
    </cfRule>
  </conditionalFormatting>
  <conditionalFormatting sqref="JK6:JQ370">
    <cfRule type="cellIs" dxfId="50" priority="2" stopIfTrue="1" operator="greaterThan">
      <formula>99.9</formula>
    </cfRule>
    <cfRule type="cellIs" dxfId="49" priority="1" stopIfTrue="1" operator="greaterThan">
      <formula>999.9</formula>
    </cfRule>
  </conditionalFormatting>
  <hyperlinks>
    <hyperlink ref="D2" location="'1_Indholdsfortegnelse'!A1" display="(Link: Retur til Indholdsfortegnelsen)" xr:uid="{C62126B9-215A-4AFD-BAEB-B9657C225B45}"/>
    <hyperlink ref="U2" location="'3a_Fodermiddeltabel'!IF5" display="hop til søjle IC-IF (FK-fosfor fra 250-400 % fytase)" xr:uid="{3DF706E4-6130-48D6-A669-FF8D89E269C9}"/>
    <hyperlink ref="IC2" location="'3a_Fodermiddeltabel'!D5" display="Hop tilbage til FK-fosfor op til og med 200 % fytase" xr:uid="{E243D43C-3C69-46D9-8326-ADB262C20519}"/>
    <hyperlink ref="D4" location="'3_Et fodermiddel pr. side'!A1" display="Genvej til faneblad 3: &quot;Et fodermiddel pr. side&quot;" xr:uid="{0D5C980A-74A8-4641-A8BE-96C04471D5FD}"/>
  </hyperlinks>
  <pageMargins left="0.35433070866141736" right="0.35433070866141736" top="0.78740157480314965" bottom="0.39370078740157483" header="0.31496062992125984" footer="0.31496062992125984"/>
  <pageSetup paperSize="9" scale="80" orientation="landscape" r:id="rId1"/>
  <headerFooter alignWithMargins="0">
    <oddHeader>&amp;C&amp;A&amp;R&amp;G</oddHeader>
    <oddFooter>&amp;RSide &amp;P</oddFooter>
  </headerFooter>
  <colBreaks count="3" manualBreakCount="3">
    <brk id="38" max="1048575" man="1"/>
    <brk id="80" max="1048575" man="1"/>
    <brk id="94" max="1048575" man="1"/>
  </colBreaks>
  <legacyDrawing r:id="rId2"/>
  <legacyDrawingHF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2E68D-4A6B-429A-859F-19F1289451A5}">
  <sheetPr codeName="Ark113">
    <tabColor theme="3" tint="0.79998168889431442"/>
  </sheetPr>
  <dimension ref="A1:K116"/>
  <sheetViews>
    <sheetView topLeftCell="A92" workbookViewId="0">
      <selection activeCell="A106" sqref="A106"/>
    </sheetView>
  </sheetViews>
  <sheetFormatPr defaultColWidth="8.7109375" defaultRowHeight="15" x14ac:dyDescent="0.25"/>
  <cols>
    <col min="1" max="1" width="23.140625" style="1706" customWidth="1"/>
    <col min="2" max="5" width="9.5703125" style="1706" bestFit="1" customWidth="1"/>
    <col min="6" max="6" width="8.7109375" style="1706"/>
    <col min="7" max="7" width="45.140625" style="1706" customWidth="1"/>
    <col min="8" max="11" width="9.140625" style="1706" bestFit="1" customWidth="1"/>
    <col min="12" max="16384" width="8.7109375" style="1706"/>
  </cols>
  <sheetData>
    <row r="1" spans="1:11" ht="26.25" x14ac:dyDescent="0.4">
      <c r="A1" s="1715" t="s">
        <v>4128</v>
      </c>
    </row>
    <row r="3" spans="1:11" ht="26.25" x14ac:dyDescent="0.4">
      <c r="A3" s="1715" t="s">
        <v>4127</v>
      </c>
    </row>
    <row r="4" spans="1:11" x14ac:dyDescent="0.25">
      <c r="A4" s="1706" t="s">
        <v>4126</v>
      </c>
    </row>
    <row r="6" spans="1:11" x14ac:dyDescent="0.25">
      <c r="G6" s="1706" t="s">
        <v>4125</v>
      </c>
    </row>
    <row r="7" spans="1:11" x14ac:dyDescent="0.25">
      <c r="A7" s="1711" t="s">
        <v>4115</v>
      </c>
      <c r="B7" s="1711" t="s">
        <v>1579</v>
      </c>
      <c r="C7" s="1711" t="s">
        <v>1578</v>
      </c>
      <c r="D7" s="1711" t="s">
        <v>1764</v>
      </c>
      <c r="E7" s="1711" t="s">
        <v>1763</v>
      </c>
      <c r="G7" s="1706" t="s">
        <v>2650</v>
      </c>
      <c r="H7" s="1714" t="s">
        <v>1579</v>
      </c>
      <c r="I7" s="1714" t="s">
        <v>1578</v>
      </c>
      <c r="J7" s="1714" t="s">
        <v>1764</v>
      </c>
      <c r="K7" s="1714" t="s">
        <v>1763</v>
      </c>
    </row>
    <row r="8" spans="1:11" x14ac:dyDescent="0.25">
      <c r="A8" s="1710" t="s">
        <v>4124</v>
      </c>
      <c r="B8" s="1709">
        <v>893972.83672300004</v>
      </c>
      <c r="C8" s="1709">
        <v>921870.82607900002</v>
      </c>
      <c r="D8" s="1709">
        <v>947703.80983400007</v>
      </c>
      <c r="E8" s="1709">
        <v>949918.4371287938</v>
      </c>
      <c r="G8" s="1713" t="s">
        <v>2589</v>
      </c>
      <c r="H8" s="1712">
        <v>893973</v>
      </c>
      <c r="I8" s="1712">
        <v>923423</v>
      </c>
      <c r="J8" s="1712">
        <v>945739</v>
      </c>
      <c r="K8" s="1712">
        <v>960868</v>
      </c>
    </row>
    <row r="9" spans="1:11" x14ac:dyDescent="0.25">
      <c r="A9" s="1710" t="s">
        <v>4123</v>
      </c>
      <c r="B9" s="1709">
        <v>217017.89094499999</v>
      </c>
      <c r="C9" s="1709">
        <v>222088.919238</v>
      </c>
      <c r="D9" s="1709">
        <v>230774.36441200005</v>
      </c>
      <c r="E9" s="1709">
        <v>231805.80019818721</v>
      </c>
      <c r="G9" s="1713" t="s">
        <v>2190</v>
      </c>
      <c r="H9" s="1712">
        <v>217018</v>
      </c>
      <c r="I9" s="1712">
        <v>223196</v>
      </c>
      <c r="J9" s="1712">
        <v>234175</v>
      </c>
      <c r="K9" s="1712">
        <v>235065</v>
      </c>
    </row>
    <row r="10" spans="1:11" x14ac:dyDescent="0.25">
      <c r="A10" s="1710" t="s">
        <v>4122</v>
      </c>
      <c r="B10" s="1709">
        <v>412437.80305100005</v>
      </c>
      <c r="C10" s="1709">
        <v>421666.68037799996</v>
      </c>
      <c r="D10" s="1709">
        <v>437996.23919699999</v>
      </c>
      <c r="E10" s="1709">
        <v>438324.82538648596</v>
      </c>
      <c r="G10" s="1713" t="s">
        <v>4121</v>
      </c>
      <c r="H10" s="1712">
        <v>412438</v>
      </c>
      <c r="I10" s="1712">
        <v>420692</v>
      </c>
      <c r="J10" s="1712">
        <v>434670</v>
      </c>
      <c r="K10" s="1712">
        <v>432434</v>
      </c>
    </row>
    <row r="11" spans="1:11" x14ac:dyDescent="0.25">
      <c r="A11" s="1710" t="s">
        <v>4120</v>
      </c>
      <c r="B11" s="1709">
        <v>454819.53805600002</v>
      </c>
      <c r="C11" s="1709">
        <v>465468.795132</v>
      </c>
      <c r="D11" s="1709">
        <v>490545.58736800007</v>
      </c>
      <c r="E11" s="1709">
        <v>495526.16357338702</v>
      </c>
      <c r="G11" s="1713" t="s">
        <v>4119</v>
      </c>
      <c r="H11" s="1712">
        <v>454820</v>
      </c>
      <c r="I11" s="1712">
        <v>464701</v>
      </c>
      <c r="J11" s="1712">
        <v>482994</v>
      </c>
      <c r="K11" s="1712">
        <v>486982</v>
      </c>
    </row>
    <row r="12" spans="1:11" x14ac:dyDescent="0.25">
      <c r="A12" s="1710" t="s">
        <v>4118</v>
      </c>
      <c r="B12" s="1709">
        <v>189359.95779499999</v>
      </c>
      <c r="C12" s="1709">
        <v>192405.56478700001</v>
      </c>
      <c r="D12" s="1709">
        <v>198295.35334100001</v>
      </c>
      <c r="E12" s="1709">
        <v>198993.13114912578</v>
      </c>
      <c r="G12" s="1713" t="s">
        <v>2918</v>
      </c>
      <c r="H12" s="1712">
        <v>189360</v>
      </c>
      <c r="I12" s="1712">
        <v>191505</v>
      </c>
      <c r="J12" s="1712">
        <v>195674</v>
      </c>
      <c r="K12" s="1712">
        <v>196232</v>
      </c>
    </row>
    <row r="13" spans="1:11" x14ac:dyDescent="0.25">
      <c r="A13" s="1710" t="s">
        <v>4117</v>
      </c>
      <c r="B13" s="1709">
        <v>25351.975429999999</v>
      </c>
      <c r="C13" s="1709">
        <v>30057.208386999999</v>
      </c>
      <c r="D13" s="1709">
        <v>29686.768849</v>
      </c>
      <c r="E13" s="1709">
        <v>18628.115882610298</v>
      </c>
      <c r="G13" s="1713" t="s">
        <v>4116</v>
      </c>
      <c r="H13" s="1712">
        <v>25352</v>
      </c>
      <c r="I13" s="1712">
        <v>29799</v>
      </c>
      <c r="J13" s="1712">
        <v>24789</v>
      </c>
      <c r="K13" s="1712">
        <v>17981</v>
      </c>
    </row>
    <row r="14" spans="1:11" x14ac:dyDescent="0.25">
      <c r="A14" s="1708" t="s">
        <v>4015</v>
      </c>
      <c r="B14" s="1707">
        <v>2192960.0020000008</v>
      </c>
      <c r="C14" s="1707">
        <v>2253557.9940009997</v>
      </c>
      <c r="D14" s="1707">
        <v>2335002.1230009999</v>
      </c>
      <c r="E14" s="1707">
        <v>2333196.4733185903</v>
      </c>
      <c r="G14" s="1713" t="s">
        <v>2216</v>
      </c>
      <c r="H14" s="1712">
        <v>2192960</v>
      </c>
      <c r="I14" s="1712">
        <v>2253316</v>
      </c>
      <c r="J14" s="1712">
        <v>2318042</v>
      </c>
      <c r="K14" s="1712">
        <v>2329561</v>
      </c>
    </row>
    <row r="16" spans="1:11" x14ac:dyDescent="0.25">
      <c r="A16" s="1711" t="s">
        <v>4115</v>
      </c>
      <c r="B16" s="1711" t="s">
        <v>1579</v>
      </c>
      <c r="C16" s="1711" t="s">
        <v>1578</v>
      </c>
      <c r="D16" s="1711" t="s">
        <v>1764</v>
      </c>
      <c r="E16" s="1711" t="s">
        <v>1763</v>
      </c>
    </row>
    <row r="17" spans="1:7" x14ac:dyDescent="0.25">
      <c r="A17" s="1710" t="s">
        <v>4114</v>
      </c>
      <c r="B17" s="1709">
        <v>364725.98337199999</v>
      </c>
      <c r="C17" s="1709">
        <v>376540.01401500002</v>
      </c>
      <c r="D17" s="1709">
        <v>381970.120979</v>
      </c>
      <c r="E17" s="1709">
        <v>383679.67255475698</v>
      </c>
    </row>
    <row r="18" spans="1:7" x14ac:dyDescent="0.25">
      <c r="A18" s="1710" t="s">
        <v>4113</v>
      </c>
      <c r="B18" s="1709">
        <v>28012.175365999999</v>
      </c>
      <c r="C18" s="1709">
        <v>29351.616558000002</v>
      </c>
      <c r="D18" s="1709">
        <v>30359.724565</v>
      </c>
      <c r="E18" s="1709">
        <v>30190.138689777901</v>
      </c>
      <c r="G18" s="1730"/>
    </row>
    <row r="19" spans="1:7" x14ac:dyDescent="0.25">
      <c r="A19" s="1710" t="s">
        <v>4112</v>
      </c>
      <c r="B19" s="1709">
        <v>12751.672893000001</v>
      </c>
      <c r="C19" s="1709">
        <v>13085.086219000001</v>
      </c>
      <c r="D19" s="1709">
        <v>13701.101151999999</v>
      </c>
      <c r="E19" s="1709">
        <v>13516.9240085361</v>
      </c>
    </row>
    <row r="20" spans="1:7" x14ac:dyDescent="0.25">
      <c r="A20" s="1710" t="s">
        <v>4111</v>
      </c>
      <c r="B20" s="1709">
        <v>12402.548149</v>
      </c>
      <c r="C20" s="1709">
        <v>12539.695914</v>
      </c>
      <c r="D20" s="1709">
        <v>12804.426847999999</v>
      </c>
      <c r="E20" s="1709">
        <v>12830.734672357799</v>
      </c>
    </row>
    <row r="21" spans="1:7" x14ac:dyDescent="0.25">
      <c r="A21" s="1710" t="s">
        <v>4110</v>
      </c>
      <c r="B21" s="1709">
        <v>57889.932542000002</v>
      </c>
      <c r="C21" s="1709">
        <v>58015.711852</v>
      </c>
      <c r="D21" s="1709">
        <v>61704.889186</v>
      </c>
      <c r="E21" s="1709">
        <v>62269.633501072203</v>
      </c>
    </row>
    <row r="22" spans="1:7" x14ac:dyDescent="0.25">
      <c r="A22" s="1710" t="s">
        <v>4109</v>
      </c>
      <c r="B22" s="1709">
        <v>10627.906094</v>
      </c>
      <c r="C22" s="1709">
        <v>10820.095459</v>
      </c>
      <c r="D22" s="1709">
        <v>11218.020841</v>
      </c>
      <c r="E22" s="1709">
        <v>11258.063370891899</v>
      </c>
    </row>
    <row r="23" spans="1:7" x14ac:dyDescent="0.25">
      <c r="A23" s="1710" t="s">
        <v>4108</v>
      </c>
      <c r="B23" s="1709">
        <v>22610.575703999999</v>
      </c>
      <c r="C23" s="1709">
        <v>19496.994444</v>
      </c>
      <c r="D23" s="1709">
        <v>20628.121915</v>
      </c>
      <c r="E23" s="1709">
        <v>20495.984635442899</v>
      </c>
    </row>
    <row r="24" spans="1:7" x14ac:dyDescent="0.25">
      <c r="A24" s="1710" t="s">
        <v>4107</v>
      </c>
      <c r="B24" s="1709">
        <v>2276.757427</v>
      </c>
      <c r="C24" s="1709">
        <v>2076.7942899999998</v>
      </c>
      <c r="D24" s="1709">
        <v>2080.5691200000001</v>
      </c>
      <c r="E24" s="1709">
        <v>2070.3738779180699</v>
      </c>
    </row>
    <row r="25" spans="1:7" x14ac:dyDescent="0.25">
      <c r="A25" s="1710" t="s">
        <v>4106</v>
      </c>
      <c r="B25" s="1709">
        <v>9568.554204</v>
      </c>
      <c r="C25" s="1709">
        <v>9759.9643780000006</v>
      </c>
      <c r="D25" s="1709">
        <v>9923.4720170000001</v>
      </c>
      <c r="E25" s="1709">
        <v>10057.785658998</v>
      </c>
    </row>
    <row r="26" spans="1:7" x14ac:dyDescent="0.25">
      <c r="A26" s="1710" t="s">
        <v>4105</v>
      </c>
      <c r="B26" s="1709">
        <v>13300.245778</v>
      </c>
      <c r="C26" s="1709">
        <v>13974.002087999999</v>
      </c>
      <c r="D26" s="1709">
        <v>14237.27591</v>
      </c>
      <c r="E26" s="1709">
        <v>14259.7045097019</v>
      </c>
    </row>
    <row r="27" spans="1:7" x14ac:dyDescent="0.25">
      <c r="A27" s="1710" t="s">
        <v>4104</v>
      </c>
      <c r="B27" s="1709">
        <v>10690.556173000001</v>
      </c>
      <c r="C27" s="1709">
        <v>11790.039381000001</v>
      </c>
      <c r="D27" s="1709">
        <v>12290.603165</v>
      </c>
      <c r="E27" s="1709">
        <v>12384.8869051238</v>
      </c>
    </row>
    <row r="28" spans="1:7" x14ac:dyDescent="0.25">
      <c r="A28" s="1710" t="s">
        <v>4103</v>
      </c>
      <c r="B28" s="1709">
        <v>9665.8220550000005</v>
      </c>
      <c r="C28" s="1709">
        <v>10106.654823999999</v>
      </c>
      <c r="D28" s="1709">
        <v>10556.385899000001</v>
      </c>
      <c r="E28" s="1709">
        <v>10506.897601820499</v>
      </c>
    </row>
    <row r="29" spans="1:7" x14ac:dyDescent="0.25">
      <c r="A29" s="1710" t="s">
        <v>4102</v>
      </c>
      <c r="B29" s="1709">
        <v>37281.281314</v>
      </c>
      <c r="C29" s="1709">
        <v>38971.464832999998</v>
      </c>
      <c r="D29" s="1709">
        <v>39397.013229999997</v>
      </c>
      <c r="E29" s="1709">
        <v>38518.1450424957</v>
      </c>
    </row>
    <row r="30" spans="1:7" x14ac:dyDescent="0.25">
      <c r="A30" s="1710" t="s">
        <v>4101</v>
      </c>
      <c r="B30" s="1709">
        <v>62890.260537000002</v>
      </c>
      <c r="C30" s="1709">
        <v>69712.661579000007</v>
      </c>
      <c r="D30" s="1709">
        <v>73086.850590999995</v>
      </c>
      <c r="E30" s="1709">
        <v>75075.960402324694</v>
      </c>
    </row>
    <row r="31" spans="1:7" x14ac:dyDescent="0.25">
      <c r="A31" s="1710" t="s">
        <v>4100</v>
      </c>
      <c r="B31" s="1709">
        <v>16825.339458999999</v>
      </c>
      <c r="C31" s="1709">
        <v>15918.874962</v>
      </c>
      <c r="D31" s="1709">
        <v>16340.815599</v>
      </c>
      <c r="E31" s="1709">
        <v>16201.1909030513</v>
      </c>
    </row>
    <row r="32" spans="1:7" x14ac:dyDescent="0.25">
      <c r="A32" s="1710" t="s">
        <v>4099</v>
      </c>
      <c r="B32" s="1709">
        <v>7412.3746819999997</v>
      </c>
      <c r="C32" s="1709">
        <v>7447.424884</v>
      </c>
      <c r="D32" s="1709">
        <v>7862.3072570000004</v>
      </c>
      <c r="E32" s="1709">
        <v>7810.95629022103</v>
      </c>
    </row>
    <row r="33" spans="1:5" x14ac:dyDescent="0.25">
      <c r="A33" s="1710" t="s">
        <v>4098</v>
      </c>
      <c r="B33" s="1709">
        <v>5983.1825580000004</v>
      </c>
      <c r="C33" s="1709">
        <v>6045.1194050000004</v>
      </c>
      <c r="D33" s="1709">
        <v>6203.791655</v>
      </c>
      <c r="E33" s="1709">
        <v>6287.5141024150298</v>
      </c>
    </row>
    <row r="34" spans="1:5" x14ac:dyDescent="0.25">
      <c r="A34" s="1710" t="s">
        <v>4097</v>
      </c>
      <c r="B34" s="1709">
        <v>15868.101008</v>
      </c>
      <c r="C34" s="1709">
        <v>15369.739419</v>
      </c>
      <c r="D34" s="1709">
        <v>16052.869713</v>
      </c>
      <c r="E34" s="1709">
        <v>16279.705659439</v>
      </c>
    </row>
    <row r="35" spans="1:5" x14ac:dyDescent="0.25">
      <c r="A35" s="1710" t="s">
        <v>4096</v>
      </c>
      <c r="B35" s="1709">
        <v>14782.816589</v>
      </c>
      <c r="C35" s="1709">
        <v>15930.091189999999</v>
      </c>
      <c r="D35" s="1709">
        <v>16200.698376</v>
      </c>
      <c r="E35" s="1709">
        <v>16283.662045602399</v>
      </c>
    </row>
    <row r="36" spans="1:5" x14ac:dyDescent="0.25">
      <c r="A36" s="1710" t="s">
        <v>4095</v>
      </c>
      <c r="B36" s="1709">
        <v>25051.361036999999</v>
      </c>
      <c r="C36" s="1709">
        <v>26439.266278999999</v>
      </c>
      <c r="D36" s="1709">
        <v>27343.533058000001</v>
      </c>
      <c r="E36" s="1709">
        <v>27814.9205920204</v>
      </c>
    </row>
    <row r="37" spans="1:5" x14ac:dyDescent="0.25">
      <c r="A37" s="1710" t="s">
        <v>4094</v>
      </c>
      <c r="B37" s="1709">
        <v>21914.509249999999</v>
      </c>
      <c r="C37" s="1709">
        <v>22526.144153000001</v>
      </c>
      <c r="D37" s="1709">
        <v>23111.932399000001</v>
      </c>
      <c r="E37" s="1709">
        <v>22875.170948639901</v>
      </c>
    </row>
    <row r="38" spans="1:5" x14ac:dyDescent="0.25">
      <c r="A38" s="1710" t="s">
        <v>4093</v>
      </c>
      <c r="B38" s="1709">
        <v>32215.481898999999</v>
      </c>
      <c r="C38" s="1709">
        <v>33614.293325999999</v>
      </c>
      <c r="D38" s="1709">
        <v>34287.181061000003</v>
      </c>
      <c r="E38" s="1709">
        <v>34030.107121412198</v>
      </c>
    </row>
    <row r="39" spans="1:5" x14ac:dyDescent="0.25">
      <c r="A39" s="1710" t="s">
        <v>4092</v>
      </c>
      <c r="B39" s="1709">
        <v>7331.4525860000003</v>
      </c>
      <c r="C39" s="1709">
        <v>7154.778859</v>
      </c>
      <c r="D39" s="1709">
        <v>7422.683489</v>
      </c>
      <c r="E39" s="1709">
        <v>7415.1090719702597</v>
      </c>
    </row>
    <row r="40" spans="1:5" x14ac:dyDescent="0.25">
      <c r="A40" s="1710" t="s">
        <v>4091</v>
      </c>
      <c r="B40" s="1709">
        <v>5812.2375039999997</v>
      </c>
      <c r="C40" s="1709">
        <v>5701.5858440000002</v>
      </c>
      <c r="D40" s="1709">
        <v>6089.9111320000002</v>
      </c>
      <c r="E40" s="1709">
        <v>6074.66235907808</v>
      </c>
    </row>
    <row r="41" spans="1:5" x14ac:dyDescent="0.25">
      <c r="A41" s="1710" t="s">
        <v>4090</v>
      </c>
      <c r="B41" s="1709">
        <v>27570.637985000001</v>
      </c>
      <c r="C41" s="1709">
        <v>28153.861884999998</v>
      </c>
      <c r="D41" s="1709">
        <v>28903.400550999999</v>
      </c>
      <c r="E41" s="1709">
        <v>29047.8630277718</v>
      </c>
    </row>
    <row r="42" spans="1:5" x14ac:dyDescent="0.25">
      <c r="A42" s="1710" t="s">
        <v>4089</v>
      </c>
      <c r="B42" s="1709">
        <v>23054.799328000001</v>
      </c>
      <c r="C42" s="1709">
        <v>25768.672153</v>
      </c>
      <c r="D42" s="1709">
        <v>26949.116264</v>
      </c>
      <c r="E42" s="1709">
        <v>27148.6128055097</v>
      </c>
    </row>
    <row r="43" spans="1:5" x14ac:dyDescent="0.25">
      <c r="A43" s="1710" t="s">
        <v>4088</v>
      </c>
      <c r="B43" s="1709">
        <v>9116.1000629999999</v>
      </c>
      <c r="C43" s="1709">
        <v>9698.4807089999995</v>
      </c>
      <c r="D43" s="1709">
        <v>9825.9254199999996</v>
      </c>
      <c r="E43" s="1709">
        <v>9800.3286125160394</v>
      </c>
    </row>
    <row r="44" spans="1:5" x14ac:dyDescent="0.25">
      <c r="A44" s="1710" t="s">
        <v>4087</v>
      </c>
      <c r="B44" s="1709">
        <v>22303.699487999998</v>
      </c>
      <c r="C44" s="1709">
        <v>22029.064446</v>
      </c>
      <c r="D44" s="1709">
        <v>23273.433590000001</v>
      </c>
      <c r="E44" s="1709">
        <v>21864.352133045701</v>
      </c>
    </row>
    <row r="45" spans="1:5" x14ac:dyDescent="0.25">
      <c r="A45" s="1710" t="s">
        <v>4086</v>
      </c>
      <c r="B45" s="1709">
        <v>4036.4716790000002</v>
      </c>
      <c r="C45" s="1709">
        <v>3832.6327310000001</v>
      </c>
      <c r="D45" s="1709">
        <v>3877.6348520000001</v>
      </c>
      <c r="E45" s="1709">
        <v>3869.3760248824601</v>
      </c>
    </row>
    <row r="46" spans="1:5" x14ac:dyDescent="0.25">
      <c r="A46" s="1710" t="s">
        <v>4085</v>
      </c>
      <c r="B46" s="1709">
        <v>8634.3013109999993</v>
      </c>
      <c r="C46" s="1709">
        <v>8535.6613720000005</v>
      </c>
      <c r="D46" s="1709">
        <v>8598.3261509999993</v>
      </c>
      <c r="E46" s="1709">
        <v>8625.6099788494394</v>
      </c>
    </row>
    <row r="47" spans="1:5" x14ac:dyDescent="0.25">
      <c r="A47" s="1710" t="s">
        <v>4084</v>
      </c>
      <c r="B47" s="1709">
        <v>11327.645055999999</v>
      </c>
      <c r="C47" s="1709">
        <v>11507.265875999999</v>
      </c>
      <c r="D47" s="1709">
        <v>11842.053754</v>
      </c>
      <c r="E47" s="1709">
        <v>11817.366320598599</v>
      </c>
    </row>
    <row r="48" spans="1:5" x14ac:dyDescent="0.25">
      <c r="A48" s="1710" t="s">
        <v>4083</v>
      </c>
      <c r="B48" s="1709">
        <v>14180.090496999999</v>
      </c>
      <c r="C48" s="1709">
        <v>14839.100129</v>
      </c>
      <c r="D48" s="1709">
        <v>15736.001688</v>
      </c>
      <c r="E48" s="1709">
        <v>14940.6583937088</v>
      </c>
    </row>
    <row r="49" spans="1:5" x14ac:dyDescent="0.25">
      <c r="A49" s="1710" t="s">
        <v>4082</v>
      </c>
      <c r="B49" s="1709">
        <v>16564.068909000001</v>
      </c>
      <c r="C49" s="1709">
        <v>16772.419731000002</v>
      </c>
      <c r="D49" s="1709">
        <v>17846.908374999999</v>
      </c>
      <c r="E49" s="1709">
        <v>18041.167547036999</v>
      </c>
    </row>
    <row r="50" spans="1:5" x14ac:dyDescent="0.25">
      <c r="A50" s="1710" t="s">
        <v>4081</v>
      </c>
      <c r="B50" s="1709">
        <v>25589.724202000001</v>
      </c>
      <c r="C50" s="1709">
        <v>25209.856486000001</v>
      </c>
      <c r="D50" s="1709">
        <v>26427.083268999999</v>
      </c>
      <c r="E50" s="1709">
        <v>26920.785662958599</v>
      </c>
    </row>
    <row r="51" spans="1:5" x14ac:dyDescent="0.25">
      <c r="A51" s="1710" t="s">
        <v>4080</v>
      </c>
      <c r="B51" s="1709">
        <v>18200.059646000002</v>
      </c>
      <c r="C51" s="1709">
        <v>18882.574294999999</v>
      </c>
      <c r="D51" s="1709">
        <v>19259.139242000001</v>
      </c>
      <c r="E51" s="1709">
        <v>19419.037899499199</v>
      </c>
    </row>
    <row r="52" spans="1:5" x14ac:dyDescent="0.25">
      <c r="A52" s="1710" t="s">
        <v>4079</v>
      </c>
      <c r="B52" s="1709">
        <v>5769.4550840000002</v>
      </c>
      <c r="C52" s="1709">
        <v>6826.2905410000003</v>
      </c>
      <c r="D52" s="1709">
        <v>6885.8976819999998</v>
      </c>
      <c r="E52" s="1709">
        <v>6991.0933757620996</v>
      </c>
    </row>
    <row r="53" spans="1:5" x14ac:dyDescent="0.25">
      <c r="A53" s="1710" t="s">
        <v>4078</v>
      </c>
      <c r="B53" s="1709">
        <v>10929.467500000001</v>
      </c>
      <c r="C53" s="1709">
        <v>10852.134061000001</v>
      </c>
      <c r="D53" s="1709">
        <v>11485.931511999999</v>
      </c>
      <c r="E53" s="1709">
        <v>11765.609839398399</v>
      </c>
    </row>
    <row r="54" spans="1:5" x14ac:dyDescent="0.25">
      <c r="A54" s="1710" t="s">
        <v>4077</v>
      </c>
      <c r="B54" s="1709">
        <v>18333.264985999998</v>
      </c>
      <c r="C54" s="1709">
        <v>18856.480015000001</v>
      </c>
      <c r="D54" s="1709">
        <v>19833.353038000001</v>
      </c>
      <c r="E54" s="1709">
        <v>19951.8160079316</v>
      </c>
    </row>
    <row r="55" spans="1:5" x14ac:dyDescent="0.25">
      <c r="A55" s="1710" t="s">
        <v>4076</v>
      </c>
      <c r="B55" s="1709">
        <v>7613.7726919999996</v>
      </c>
      <c r="C55" s="1709">
        <v>8260.4436060000007</v>
      </c>
      <c r="D55" s="1709">
        <v>8552.7512659999993</v>
      </c>
      <c r="E55" s="1709">
        <v>8585.8085551894801</v>
      </c>
    </row>
    <row r="56" spans="1:5" x14ac:dyDescent="0.25">
      <c r="A56" s="1710" t="s">
        <v>4075</v>
      </c>
      <c r="B56" s="1709">
        <v>9222.3713690000004</v>
      </c>
      <c r="C56" s="1709">
        <v>9556.358193</v>
      </c>
      <c r="D56" s="1709">
        <v>9913.3042189999996</v>
      </c>
      <c r="E56" s="1709">
        <v>9927.7176333029493</v>
      </c>
    </row>
    <row r="57" spans="1:5" x14ac:dyDescent="0.25">
      <c r="A57" s="1710" t="s">
        <v>4074</v>
      </c>
      <c r="B57" s="1709">
        <v>25661.106098</v>
      </c>
      <c r="C57" s="1709">
        <v>26652.958929</v>
      </c>
      <c r="D57" s="1709">
        <v>28164.664445999999</v>
      </c>
      <c r="E57" s="1709">
        <v>28324.521500761501</v>
      </c>
    </row>
    <row r="58" spans="1:5" x14ac:dyDescent="0.25">
      <c r="A58" s="1710" t="s">
        <v>4073</v>
      </c>
      <c r="B58" s="1709">
        <v>19808.147786000001</v>
      </c>
      <c r="C58" s="1709">
        <v>20542.758411999999</v>
      </c>
      <c r="D58" s="1709">
        <v>20255.401131999999</v>
      </c>
      <c r="E58" s="1709">
        <v>20413.0646679335</v>
      </c>
    </row>
    <row r="59" spans="1:5" x14ac:dyDescent="0.25">
      <c r="A59" s="1710" t="s">
        <v>4072</v>
      </c>
      <c r="B59" s="1709">
        <v>4133.3639080000003</v>
      </c>
      <c r="C59" s="1709">
        <v>4326.6347150000001</v>
      </c>
      <c r="D59" s="1709">
        <v>4331.3149890000004</v>
      </c>
      <c r="E59" s="1709">
        <v>4376.3107162345304</v>
      </c>
    </row>
    <row r="60" spans="1:5" x14ac:dyDescent="0.25">
      <c r="A60" s="1710" t="s">
        <v>4071</v>
      </c>
      <c r="B60" s="1709">
        <v>6812.1593220000004</v>
      </c>
      <c r="C60" s="1709">
        <v>6701.3613459999997</v>
      </c>
      <c r="D60" s="1709">
        <v>6966.0812779999997</v>
      </c>
      <c r="E60" s="1709">
        <v>7026.3865681356501</v>
      </c>
    </row>
    <row r="61" spans="1:5" x14ac:dyDescent="0.25">
      <c r="A61" s="1710" t="s">
        <v>4070</v>
      </c>
      <c r="B61" s="1709">
        <v>3809.4622199999999</v>
      </c>
      <c r="C61" s="1709">
        <v>3955.546699</v>
      </c>
      <c r="D61" s="1709">
        <v>4149.2299709999998</v>
      </c>
      <c r="E61" s="1709">
        <v>4170.40561577887</v>
      </c>
    </row>
    <row r="62" spans="1:5" x14ac:dyDescent="0.25">
      <c r="A62" s="1710" t="s">
        <v>4069</v>
      </c>
      <c r="B62" s="1709">
        <v>10429.430359</v>
      </c>
      <c r="C62" s="1709">
        <v>9811.0748320000002</v>
      </c>
      <c r="D62" s="1709">
        <v>10526.922399999999</v>
      </c>
      <c r="E62" s="1709">
        <v>10508.439915106999</v>
      </c>
    </row>
    <row r="63" spans="1:5" x14ac:dyDescent="0.25">
      <c r="A63" s="1710" t="s">
        <v>4068</v>
      </c>
      <c r="B63" s="1709">
        <v>10455.07545</v>
      </c>
      <c r="C63" s="1709">
        <v>10566.326593</v>
      </c>
      <c r="D63" s="1709">
        <v>10979.938479</v>
      </c>
      <c r="E63" s="1709">
        <v>11141.430658327399</v>
      </c>
    </row>
    <row r="64" spans="1:5" x14ac:dyDescent="0.25">
      <c r="A64" s="1710" t="s">
        <v>4067</v>
      </c>
      <c r="B64" s="1709">
        <v>27277.849074999998</v>
      </c>
      <c r="C64" s="1709">
        <v>28753.144075</v>
      </c>
      <c r="D64" s="1709">
        <v>29657.182837</v>
      </c>
      <c r="E64" s="1709">
        <v>29908.2606102791</v>
      </c>
    </row>
    <row r="65" spans="1:5" x14ac:dyDescent="0.25">
      <c r="A65" s="1710" t="s">
        <v>4066</v>
      </c>
      <c r="B65" s="1709">
        <v>38902.925631999999</v>
      </c>
      <c r="C65" s="1709">
        <v>40228.469931</v>
      </c>
      <c r="D65" s="1709">
        <v>41723.652359</v>
      </c>
      <c r="E65" s="1709">
        <v>41390.4937416471</v>
      </c>
    </row>
    <row r="66" spans="1:5" x14ac:dyDescent="0.25">
      <c r="A66" s="1710" t="s">
        <v>4065</v>
      </c>
      <c r="B66" s="1709">
        <v>725.86071300000003</v>
      </c>
      <c r="C66" s="1709">
        <v>791.86742700000002</v>
      </c>
      <c r="D66" s="1709">
        <v>858.54906300000005</v>
      </c>
      <c r="E66" s="1709">
        <v>764.96477739906197</v>
      </c>
    </row>
    <row r="67" spans="1:5" x14ac:dyDescent="0.25">
      <c r="A67" s="1710" t="s">
        <v>4064</v>
      </c>
      <c r="B67" s="1709">
        <v>24219.968809999998</v>
      </c>
      <c r="C67" s="1709">
        <v>24671.792465999999</v>
      </c>
      <c r="D67" s="1709">
        <v>25492.890421</v>
      </c>
      <c r="E67" s="1709">
        <v>24885.2769211181</v>
      </c>
    </row>
    <row r="68" spans="1:5" x14ac:dyDescent="0.25">
      <c r="A68" s="1710" t="s">
        <v>4063</v>
      </c>
      <c r="B68" s="1709">
        <v>11984.989561</v>
      </c>
      <c r="C68" s="1709">
        <v>12606.601223</v>
      </c>
      <c r="D68" s="1709">
        <v>12655.648834</v>
      </c>
      <c r="E68" s="1709">
        <v>12803.014266425</v>
      </c>
    </row>
    <row r="69" spans="1:5" x14ac:dyDescent="0.25">
      <c r="A69" s="1710" t="s">
        <v>4062</v>
      </c>
      <c r="B69" s="1709">
        <v>13871.164633</v>
      </c>
      <c r="C69" s="1709">
        <v>14261.820098</v>
      </c>
      <c r="D69" s="1709">
        <v>14866.110771</v>
      </c>
      <c r="E69" s="1709">
        <v>14910.415091500199</v>
      </c>
    </row>
    <row r="70" spans="1:5" x14ac:dyDescent="0.25">
      <c r="A70" s="1710" t="s">
        <v>4061</v>
      </c>
      <c r="B70" s="1709">
        <v>7962.0154259999999</v>
      </c>
      <c r="C70" s="1709">
        <v>7948.642742</v>
      </c>
      <c r="D70" s="1709">
        <v>8566.7654569999995</v>
      </c>
      <c r="E70" s="1709">
        <v>8677.3801557758507</v>
      </c>
    </row>
    <row r="71" spans="1:5" x14ac:dyDescent="0.25">
      <c r="A71" s="1710" t="s">
        <v>4060</v>
      </c>
      <c r="B71" s="1709">
        <v>37224.652268999998</v>
      </c>
      <c r="C71" s="1709">
        <v>37566.592686999997</v>
      </c>
      <c r="D71" s="1709">
        <v>39652.531683000001</v>
      </c>
      <c r="E71" s="1709">
        <v>39713.858628315698</v>
      </c>
    </row>
    <row r="72" spans="1:5" x14ac:dyDescent="0.25">
      <c r="A72" s="1710" t="s">
        <v>4059</v>
      </c>
      <c r="B72" s="1709">
        <v>3589.8413599999999</v>
      </c>
      <c r="C72" s="1709">
        <v>3761.2771130000001</v>
      </c>
      <c r="D72" s="1709">
        <v>3882.2132449999999</v>
      </c>
      <c r="E72" s="1709">
        <v>3888.97695396365</v>
      </c>
    </row>
    <row r="73" spans="1:5" x14ac:dyDescent="0.25">
      <c r="A73" s="1710" t="s">
        <v>4058</v>
      </c>
      <c r="B73" s="1709">
        <v>12643.851850999999</v>
      </c>
      <c r="C73" s="1709">
        <v>12926.894559</v>
      </c>
      <c r="D73" s="1709">
        <v>13152.05423</v>
      </c>
      <c r="E73" s="1709">
        <v>13273.8273644818</v>
      </c>
    </row>
    <row r="74" spans="1:5" x14ac:dyDescent="0.25">
      <c r="A74" s="1710" t="s">
        <v>4057</v>
      </c>
      <c r="B74" s="1709">
        <v>7067.2159300000003</v>
      </c>
      <c r="C74" s="1709">
        <v>6589.2378120000003</v>
      </c>
      <c r="D74" s="1709">
        <v>6925.3756880000001</v>
      </c>
      <c r="E74" s="1709">
        <v>7052.6783805326204</v>
      </c>
    </row>
    <row r="75" spans="1:5" x14ac:dyDescent="0.25">
      <c r="A75" s="1710" t="s">
        <v>4056</v>
      </c>
      <c r="B75" s="1709">
        <v>7413.5575820000004</v>
      </c>
      <c r="C75" s="1709">
        <v>7769.8925740000004</v>
      </c>
      <c r="D75" s="1709">
        <v>7896.2419149999996</v>
      </c>
      <c r="E75" s="1709">
        <v>7960.8217146349198</v>
      </c>
    </row>
    <row r="76" spans="1:5" x14ac:dyDescent="0.25">
      <c r="A76" s="1710" t="s">
        <v>4055</v>
      </c>
      <c r="B76" s="1709">
        <v>69198.288297000006</v>
      </c>
      <c r="C76" s="1709">
        <v>70567.271651000003</v>
      </c>
      <c r="D76" s="1709">
        <v>74141.053390000001</v>
      </c>
      <c r="E76" s="1709">
        <v>74657.312429749407</v>
      </c>
    </row>
    <row r="77" spans="1:5" x14ac:dyDescent="0.25">
      <c r="A77" s="1710" t="s">
        <v>4054</v>
      </c>
      <c r="B77" s="1709">
        <v>14426.723894999999</v>
      </c>
      <c r="C77" s="1709">
        <v>14599.44175</v>
      </c>
      <c r="D77" s="1709">
        <v>15118.624610000001</v>
      </c>
      <c r="E77" s="1709">
        <v>15164.972313660001</v>
      </c>
    </row>
    <row r="78" spans="1:5" x14ac:dyDescent="0.25">
      <c r="A78" s="1710" t="s">
        <v>4053</v>
      </c>
      <c r="B78" s="1709">
        <v>25133.720487999999</v>
      </c>
      <c r="C78" s="1709">
        <v>25882.817414000001</v>
      </c>
      <c r="D78" s="1709">
        <v>26898.681499999999</v>
      </c>
      <c r="E78" s="1709">
        <v>27049.980107221902</v>
      </c>
    </row>
    <row r="79" spans="1:5" x14ac:dyDescent="0.25">
      <c r="A79" s="1710" t="s">
        <v>4052</v>
      </c>
      <c r="B79" s="1709">
        <v>11896.722954000001</v>
      </c>
      <c r="C79" s="1709">
        <v>12152.117668000001</v>
      </c>
      <c r="D79" s="1709">
        <v>12559.041975</v>
      </c>
      <c r="E79" s="1709">
        <v>12504.7373544073</v>
      </c>
    </row>
    <row r="80" spans="1:5" x14ac:dyDescent="0.25">
      <c r="A80" s="1710" t="s">
        <v>4051</v>
      </c>
      <c r="B80" s="1709">
        <v>13927.079234999999</v>
      </c>
      <c r="C80" s="1709">
        <v>14171.362606000001</v>
      </c>
      <c r="D80" s="1709">
        <v>14744.770119000001</v>
      </c>
      <c r="E80" s="1709">
        <v>14374.892103891299</v>
      </c>
    </row>
    <row r="81" spans="1:5" x14ac:dyDescent="0.25">
      <c r="A81" s="1710" t="s">
        <v>4050</v>
      </c>
      <c r="B81" s="1709">
        <v>12704.326633999999</v>
      </c>
      <c r="C81" s="1709">
        <v>13019.268867000001</v>
      </c>
      <c r="D81" s="1709">
        <v>13423.33872</v>
      </c>
      <c r="E81" s="1709">
        <v>13580.1330425959</v>
      </c>
    </row>
    <row r="82" spans="1:5" x14ac:dyDescent="0.25">
      <c r="A82" s="1710" t="s">
        <v>4049</v>
      </c>
      <c r="B82" s="1709">
        <v>37428.389166000001</v>
      </c>
      <c r="C82" s="1709">
        <v>38053.231854999998</v>
      </c>
      <c r="D82" s="1709">
        <v>39445.343509999999</v>
      </c>
      <c r="E82" s="1709">
        <v>39657.9439019442</v>
      </c>
    </row>
    <row r="83" spans="1:5" x14ac:dyDescent="0.25">
      <c r="A83" s="1710" t="s">
        <v>4048</v>
      </c>
      <c r="B83" s="1709">
        <v>1409.7258790000001</v>
      </c>
      <c r="C83" s="1709">
        <v>1384.1933879999999</v>
      </c>
      <c r="D83" s="1709">
        <v>1404.0150189999999</v>
      </c>
      <c r="E83" s="1709">
        <v>1365.72271684577</v>
      </c>
    </row>
    <row r="84" spans="1:5" x14ac:dyDescent="0.25">
      <c r="A84" s="1710" t="s">
        <v>4047</v>
      </c>
      <c r="B84" s="1709">
        <v>22973.858210999999</v>
      </c>
      <c r="C84" s="1709">
        <v>23394.415879</v>
      </c>
      <c r="D84" s="1709">
        <v>23952.215371999999</v>
      </c>
      <c r="E84" s="1709">
        <v>23597.732151769698</v>
      </c>
    </row>
    <row r="85" spans="1:5" x14ac:dyDescent="0.25">
      <c r="A85" s="1710" t="s">
        <v>4046</v>
      </c>
      <c r="B85" s="1709">
        <v>13174.135437000001</v>
      </c>
      <c r="C85" s="1709">
        <v>13799.047329999999</v>
      </c>
      <c r="D85" s="1709">
        <v>14756.605143999999</v>
      </c>
      <c r="E85" s="1709">
        <v>14994.098140715199</v>
      </c>
    </row>
    <row r="86" spans="1:5" x14ac:dyDescent="0.25">
      <c r="A86" s="1710" t="s">
        <v>4045</v>
      </c>
      <c r="B86" s="1709">
        <v>15229.737319</v>
      </c>
      <c r="C86" s="1709">
        <v>15048.468846</v>
      </c>
      <c r="D86" s="1709">
        <v>15606.047074</v>
      </c>
      <c r="E86" s="1709">
        <v>15745.352860823699</v>
      </c>
    </row>
    <row r="87" spans="1:5" x14ac:dyDescent="0.25">
      <c r="A87" s="1710" t="s">
        <v>4044</v>
      </c>
      <c r="B87" s="1709">
        <v>30264.944769000002</v>
      </c>
      <c r="C87" s="1709">
        <v>30384.427577999999</v>
      </c>
      <c r="D87" s="1709">
        <v>32387.576188999999</v>
      </c>
      <c r="E87" s="1709">
        <v>32617.3673308691</v>
      </c>
    </row>
    <row r="88" spans="1:5" x14ac:dyDescent="0.25">
      <c r="A88" s="1710" t="s">
        <v>4043</v>
      </c>
      <c r="B88" s="1709">
        <v>20628.141109</v>
      </c>
      <c r="C88" s="1709">
        <v>20512.411083999999</v>
      </c>
      <c r="D88" s="1709">
        <v>21211.589983000002</v>
      </c>
      <c r="E88" s="1709">
        <v>21449.580721804301</v>
      </c>
    </row>
    <row r="89" spans="1:5" x14ac:dyDescent="0.25">
      <c r="A89" s="1710" t="s">
        <v>4042</v>
      </c>
      <c r="B89" s="1709">
        <v>29884.831792000001</v>
      </c>
      <c r="C89" s="1709">
        <v>30213.807309</v>
      </c>
      <c r="D89" s="1709">
        <v>31696.638051999998</v>
      </c>
      <c r="E89" s="1709">
        <v>32154.651520355299</v>
      </c>
    </row>
    <row r="90" spans="1:5" x14ac:dyDescent="0.25">
      <c r="A90" s="1710" t="s">
        <v>4041</v>
      </c>
      <c r="B90" s="1709">
        <v>21400.281083000002</v>
      </c>
      <c r="C90" s="1709">
        <v>21808.869290999999</v>
      </c>
      <c r="D90" s="1709">
        <v>23218.465934</v>
      </c>
      <c r="E90" s="1709">
        <v>23524.317828866599</v>
      </c>
    </row>
    <row r="91" spans="1:5" x14ac:dyDescent="0.25">
      <c r="A91" s="1710" t="s">
        <v>4040</v>
      </c>
      <c r="B91" s="1709">
        <v>7179.9189379999998</v>
      </c>
      <c r="C91" s="1709">
        <v>8123.659893</v>
      </c>
      <c r="D91" s="1709">
        <v>8428.6728550000007</v>
      </c>
      <c r="E91" s="1709">
        <v>8549.6670265790399</v>
      </c>
    </row>
    <row r="92" spans="1:5" x14ac:dyDescent="0.25">
      <c r="A92" s="1710" t="s">
        <v>4039</v>
      </c>
      <c r="B92" s="1709">
        <v>10009.146255</v>
      </c>
      <c r="C92" s="1709">
        <v>9991.4452239999991</v>
      </c>
      <c r="D92" s="1709">
        <v>10464.966050000001</v>
      </c>
      <c r="E92" s="1709">
        <v>10414.202960197999</v>
      </c>
    </row>
    <row r="93" spans="1:5" x14ac:dyDescent="0.25">
      <c r="A93" s="1710" t="s">
        <v>4038</v>
      </c>
      <c r="B93" s="1709">
        <v>4754.7768189999997</v>
      </c>
      <c r="C93" s="1709">
        <v>4611.0702149999997</v>
      </c>
      <c r="D93" s="1709">
        <v>5000.4110149999997</v>
      </c>
      <c r="E93" s="1709">
        <v>5054.5208254334102</v>
      </c>
    </row>
    <row r="94" spans="1:5" x14ac:dyDescent="0.25">
      <c r="A94" s="1710" t="s">
        <v>4037</v>
      </c>
      <c r="B94" s="1709">
        <v>27155.267899999999</v>
      </c>
      <c r="C94" s="1709">
        <v>27560.388809</v>
      </c>
      <c r="D94" s="1709">
        <v>28521.238161000001</v>
      </c>
      <c r="E94" s="1709">
        <v>28821.631047087401</v>
      </c>
    </row>
    <row r="95" spans="1:5" x14ac:dyDescent="0.25">
      <c r="A95" s="1710" t="s">
        <v>4036</v>
      </c>
      <c r="B95" s="1709">
        <v>27364.070621999999</v>
      </c>
      <c r="C95" s="1709">
        <v>26444.077842999999</v>
      </c>
      <c r="D95" s="1709">
        <v>28584.974322999999</v>
      </c>
      <c r="E95" s="1709">
        <v>28811.278155658099</v>
      </c>
    </row>
    <row r="96" spans="1:5" x14ac:dyDescent="0.25">
      <c r="A96" s="1710" t="s">
        <v>4035</v>
      </c>
      <c r="B96" s="1709">
        <v>1104.441041</v>
      </c>
      <c r="C96" s="1709">
        <v>1086.3517939999999</v>
      </c>
      <c r="D96" s="1709">
        <v>1164.0652689999999</v>
      </c>
      <c r="E96" s="1709">
        <v>1142.61107458109</v>
      </c>
    </row>
    <row r="97" spans="1:5" x14ac:dyDescent="0.25">
      <c r="A97" s="1710" t="s">
        <v>4034</v>
      </c>
      <c r="B97" s="1709">
        <v>26783.014963000001</v>
      </c>
      <c r="C97" s="1709">
        <v>28730.063097999999</v>
      </c>
      <c r="D97" s="1709">
        <v>29458.993198</v>
      </c>
      <c r="E97" s="1709">
        <v>29773.148905409598</v>
      </c>
    </row>
    <row r="98" spans="1:5" x14ac:dyDescent="0.25">
      <c r="A98" s="1710" t="s">
        <v>4033</v>
      </c>
      <c r="B98" s="1709">
        <v>20130.080153999999</v>
      </c>
      <c r="C98" s="1709">
        <v>21044.777318</v>
      </c>
      <c r="D98" s="1709">
        <v>22156.010963000001</v>
      </c>
      <c r="E98" s="1709">
        <v>22505.634085492999</v>
      </c>
    </row>
    <row r="99" spans="1:5" x14ac:dyDescent="0.25">
      <c r="A99" s="1710" t="s">
        <v>4032</v>
      </c>
      <c r="B99" s="1709">
        <v>14525.829718000001</v>
      </c>
      <c r="C99" s="1709">
        <v>14330.82504</v>
      </c>
      <c r="D99" s="1709">
        <v>15407.546347</v>
      </c>
      <c r="E99" s="1709">
        <v>15521.4901299664</v>
      </c>
    </row>
    <row r="100" spans="1:5" x14ac:dyDescent="0.25">
      <c r="A100" s="1710" t="s">
        <v>4031</v>
      </c>
      <c r="B100" s="1709">
        <v>5015.0100190000003</v>
      </c>
      <c r="C100" s="1709">
        <v>5474.647226</v>
      </c>
      <c r="D100" s="1709">
        <v>5968.3728300000002</v>
      </c>
      <c r="E100" s="1709">
        <v>6006.5011420174797</v>
      </c>
    </row>
    <row r="101" spans="1:5" x14ac:dyDescent="0.25">
      <c r="A101" s="1710" t="s">
        <v>4030</v>
      </c>
      <c r="B101" s="1709">
        <v>10191.965781000001</v>
      </c>
      <c r="C101" s="1709">
        <v>10396.128336</v>
      </c>
      <c r="D101" s="1709">
        <v>10947.690854</v>
      </c>
      <c r="E101" s="1709">
        <v>10961.633938893299</v>
      </c>
    </row>
    <row r="102" spans="1:5" x14ac:dyDescent="0.25">
      <c r="A102" s="1710" t="s">
        <v>4029</v>
      </c>
      <c r="B102" s="1709">
        <v>32805.894773</v>
      </c>
      <c r="C102" s="1709">
        <v>33122.730126000002</v>
      </c>
      <c r="D102" s="1709">
        <v>34943.795977000002</v>
      </c>
      <c r="E102" s="1709">
        <v>35642.8447386931</v>
      </c>
    </row>
    <row r="103" spans="1:5" x14ac:dyDescent="0.25">
      <c r="A103" s="1710" t="s">
        <v>4028</v>
      </c>
      <c r="B103" s="1709">
        <v>137218.04956399999</v>
      </c>
      <c r="C103" s="1709">
        <v>142785.598772</v>
      </c>
      <c r="D103" s="1709">
        <v>150621.92715</v>
      </c>
      <c r="E103" s="1709">
        <v>151835.631139943</v>
      </c>
    </row>
    <row r="104" spans="1:5" x14ac:dyDescent="0.25">
      <c r="A104" s="1710" t="s">
        <v>4027</v>
      </c>
      <c r="B104" s="1709">
        <v>7412.3020569999999</v>
      </c>
      <c r="C104" s="1709">
        <v>8754.0222429999994</v>
      </c>
      <c r="D104" s="1709">
        <v>8880.1799890000002</v>
      </c>
      <c r="E104" s="1709">
        <v>8979.6792478060797</v>
      </c>
    </row>
    <row r="105" spans="1:5" x14ac:dyDescent="0.25">
      <c r="A105" s="1710" t="s">
        <v>4026</v>
      </c>
      <c r="B105" s="1709">
        <v>18380.370457000001</v>
      </c>
      <c r="C105" s="1709">
        <v>18151.742690999999</v>
      </c>
      <c r="D105" s="1709">
        <v>18572.792785000001</v>
      </c>
      <c r="E105" s="1709">
        <v>18513.293431927901</v>
      </c>
    </row>
    <row r="106" spans="1:5" x14ac:dyDescent="0.25">
      <c r="A106" s="1710" t="s">
        <v>4025</v>
      </c>
      <c r="B106" s="1709">
        <v>21195.131339</v>
      </c>
      <c r="C106" s="1709">
        <v>21470.930804</v>
      </c>
      <c r="D106" s="1709">
        <v>21960.384277000001</v>
      </c>
      <c r="E106" s="1709">
        <v>22041.819830689201</v>
      </c>
    </row>
    <row r="107" spans="1:5" x14ac:dyDescent="0.25">
      <c r="A107" s="1710" t="s">
        <v>4024</v>
      </c>
      <c r="B107" s="1709">
        <v>9429.9081540000006</v>
      </c>
      <c r="C107" s="1709">
        <v>9306.5771609999993</v>
      </c>
      <c r="D107" s="1709">
        <v>9588.6708899999994</v>
      </c>
      <c r="E107" s="1709">
        <v>9502.4611428747794</v>
      </c>
    </row>
    <row r="108" spans="1:5" x14ac:dyDescent="0.25">
      <c r="A108" s="1710" t="s">
        <v>4023</v>
      </c>
      <c r="B108" s="1709">
        <v>611.57036100000005</v>
      </c>
      <c r="C108" s="1709">
        <v>614.78917200000001</v>
      </c>
      <c r="D108" s="1709">
        <v>603.70453899999995</v>
      </c>
      <c r="E108" s="1709">
        <v>603.262663942259</v>
      </c>
    </row>
    <row r="109" spans="1:5" x14ac:dyDescent="0.25">
      <c r="A109" s="1710" t="s">
        <v>4022</v>
      </c>
      <c r="B109" s="1709">
        <v>15998.017376</v>
      </c>
      <c r="C109" s="1709">
        <v>15169.714760000001</v>
      </c>
      <c r="D109" s="1709">
        <v>15552.712619</v>
      </c>
      <c r="E109" s="1709">
        <v>15613.002824072701</v>
      </c>
    </row>
    <row r="110" spans="1:5" x14ac:dyDescent="0.25">
      <c r="A110" s="1710" t="s">
        <v>4021</v>
      </c>
      <c r="B110" s="1709">
        <v>6172.9314910000003</v>
      </c>
      <c r="C110" s="1709">
        <v>6146.7592130000003</v>
      </c>
      <c r="D110" s="1709">
        <v>6321.1778789999998</v>
      </c>
      <c r="E110" s="1709">
        <v>6371.5718495620404</v>
      </c>
    </row>
    <row r="111" spans="1:5" x14ac:dyDescent="0.25">
      <c r="A111" s="1710" t="s">
        <v>4020</v>
      </c>
      <c r="B111" s="1709">
        <v>8109.600144</v>
      </c>
      <c r="C111" s="1709">
        <v>7950.1160529999997</v>
      </c>
      <c r="D111" s="1709">
        <v>8422.7398560000001</v>
      </c>
      <c r="E111" s="1709">
        <v>8582.4596840234299</v>
      </c>
    </row>
    <row r="112" spans="1:5" x14ac:dyDescent="0.25">
      <c r="A112" s="1710" t="s">
        <v>4019</v>
      </c>
      <c r="B112" s="1709">
        <v>15158.994307999999</v>
      </c>
      <c r="C112" s="1709">
        <v>14564.282789000001</v>
      </c>
      <c r="D112" s="1709">
        <v>15099.992978</v>
      </c>
      <c r="E112" s="1709">
        <v>15217.7462249502</v>
      </c>
    </row>
    <row r="113" spans="1:7" x14ac:dyDescent="0.25">
      <c r="A113" s="1710" t="s">
        <v>4018</v>
      </c>
      <c r="B113" s="1709">
        <v>11275.746590999999</v>
      </c>
      <c r="C113" s="1709">
        <v>11254.010007000001</v>
      </c>
      <c r="D113" s="1709">
        <v>11572.91401</v>
      </c>
      <c r="E113" s="1709">
        <v>11681.888064357499</v>
      </c>
    </row>
    <row r="114" spans="1:7" x14ac:dyDescent="0.25">
      <c r="A114" s="1710" t="s">
        <v>4017</v>
      </c>
      <c r="B114" s="1709">
        <v>75615.385517000002</v>
      </c>
      <c r="C114" s="1709">
        <v>79022.619894000003</v>
      </c>
      <c r="D114" s="1709">
        <v>81720.083519000007</v>
      </c>
      <c r="E114" s="1709">
        <v>81885.946184919696</v>
      </c>
    </row>
    <row r="115" spans="1:7" x14ac:dyDescent="0.25">
      <c r="A115" s="1710" t="s">
        <v>4016</v>
      </c>
      <c r="B115" s="1709">
        <v>25351.975429999999</v>
      </c>
      <c r="C115" s="1709">
        <v>30057.208386999999</v>
      </c>
      <c r="D115" s="1709">
        <v>29686.768849</v>
      </c>
      <c r="E115" s="1709">
        <v>18628.115882610298</v>
      </c>
    </row>
    <row r="116" spans="1:7" x14ac:dyDescent="0.25">
      <c r="A116" s="1708" t="s">
        <v>4015</v>
      </c>
      <c r="B116" s="1707">
        <v>2192960.0020000008</v>
      </c>
      <c r="C116" s="1707">
        <v>2253557.9940009997</v>
      </c>
      <c r="D116" s="1707">
        <v>2335002.1230009999</v>
      </c>
      <c r="E116" s="1707">
        <v>2333196.4733185903</v>
      </c>
      <c r="G116" s="1729"/>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228C1-534D-42A9-B0DF-C47AA9BD8F56}">
  <sheetPr codeName="Ark158">
    <tabColor rgb="FF7030A0"/>
    <pageSetUpPr fitToPage="1"/>
  </sheetPr>
  <dimension ref="A1:AY95"/>
  <sheetViews>
    <sheetView topLeftCell="A31" zoomScale="85" zoomScaleNormal="85" workbookViewId="0">
      <selection activeCell="U38" sqref="U38"/>
    </sheetView>
  </sheetViews>
  <sheetFormatPr defaultColWidth="9.140625" defaultRowHeight="12.75" x14ac:dyDescent="0.2"/>
  <cols>
    <col min="1" max="3" width="7.140625" style="12" customWidth="1"/>
    <col min="4" max="4" width="9" style="12" customWidth="1"/>
    <col min="5" max="9" width="7.140625" style="12" customWidth="1"/>
    <col min="10" max="12" width="7.140625" style="32" customWidth="1"/>
    <col min="13" max="26" width="7.140625" style="12" customWidth="1"/>
    <col min="27" max="27" width="8.7109375" style="12" customWidth="1"/>
    <col min="28" max="28" width="52.140625" style="12" bestFit="1" customWidth="1"/>
    <col min="29" max="32" width="5.7109375" style="12" customWidth="1"/>
    <col min="33" max="37" width="8.7109375" style="12" customWidth="1"/>
    <col min="38" max="46" width="7.140625" style="12" customWidth="1"/>
    <col min="47" max="16384" width="9.140625" style="12"/>
  </cols>
  <sheetData>
    <row r="1" spans="1:51" ht="15" customHeight="1" x14ac:dyDescent="0.25">
      <c r="A1" s="112" t="s">
        <v>17</v>
      </c>
      <c r="B1" s="9"/>
      <c r="C1" s="9"/>
      <c r="D1" s="2686">
        <f>'E-Tiltag'!I27</f>
        <v>1786</v>
      </c>
      <c r="E1" s="2687"/>
      <c r="F1" s="10"/>
      <c r="G1" s="10"/>
      <c r="H1" s="10"/>
      <c r="I1" s="10"/>
      <c r="J1" s="10"/>
      <c r="K1" s="10"/>
      <c r="L1" s="10"/>
      <c r="N1" s="10"/>
      <c r="O1" s="10"/>
      <c r="P1" s="10"/>
      <c r="Q1" s="10"/>
      <c r="R1" s="10"/>
      <c r="S1" s="10"/>
      <c r="T1" s="10"/>
      <c r="U1" s="10"/>
      <c r="V1" s="10"/>
      <c r="W1" s="10"/>
      <c r="X1" s="10"/>
      <c r="Y1" s="11"/>
      <c r="Z1" s="11"/>
      <c r="AA1" s="11"/>
      <c r="AB1" s="2276" t="s">
        <v>30</v>
      </c>
      <c r="AC1" s="11"/>
      <c r="AD1" s="11"/>
      <c r="AE1" s="11"/>
      <c r="AF1" s="11"/>
      <c r="AG1" s="10"/>
      <c r="AH1" s="10"/>
      <c r="AI1" s="10"/>
      <c r="AJ1" s="10"/>
      <c r="AK1" s="10"/>
      <c r="AL1" s="10"/>
      <c r="AM1" s="10"/>
      <c r="AN1" s="10"/>
      <c r="AO1" s="10"/>
      <c r="AP1" s="10"/>
      <c r="AQ1" s="10"/>
      <c r="AR1" s="10"/>
      <c r="AS1" s="10"/>
      <c r="AT1" s="10"/>
    </row>
    <row r="2" spans="1:51" ht="15" customHeight="1" x14ac:dyDescent="0.25">
      <c r="A2" s="113" t="s">
        <v>19</v>
      </c>
      <c r="B2" s="10"/>
      <c r="C2" s="10"/>
      <c r="D2" s="296">
        <v>92.09</v>
      </c>
      <c r="E2" s="114" t="s">
        <v>18</v>
      </c>
      <c r="F2" s="10"/>
      <c r="G2" s="10"/>
      <c r="H2" s="115"/>
      <c r="I2" s="10"/>
      <c r="J2" s="10"/>
      <c r="K2" s="10"/>
      <c r="L2" s="10"/>
      <c r="M2" s="10"/>
      <c r="N2" s="10"/>
      <c r="O2" s="10"/>
      <c r="P2" s="10"/>
      <c r="Q2" s="10"/>
      <c r="R2" s="10"/>
      <c r="S2" s="10"/>
      <c r="T2" s="10"/>
      <c r="U2" s="10"/>
      <c r="V2" s="10"/>
      <c r="W2" s="10"/>
      <c r="X2" s="10"/>
      <c r="Y2" s="11"/>
      <c r="Z2" s="11"/>
      <c r="AA2" s="11"/>
      <c r="AB2" s="2276"/>
      <c r="AC2" s="11"/>
      <c r="AD2" s="11"/>
      <c r="AE2" s="11"/>
      <c r="AF2" s="11"/>
      <c r="AG2" s="10"/>
      <c r="AH2" s="10"/>
      <c r="AI2" s="10"/>
      <c r="AJ2" s="10"/>
      <c r="AK2" s="10"/>
      <c r="AL2" s="10"/>
      <c r="AM2" s="10"/>
      <c r="AN2" s="10"/>
      <c r="AO2" s="10"/>
      <c r="AP2" s="10"/>
      <c r="AQ2" s="10"/>
      <c r="AR2" s="10"/>
      <c r="AS2" s="10"/>
      <c r="AT2" s="10"/>
    </row>
    <row r="3" spans="1:51" ht="27" thickBot="1" x14ac:dyDescent="0.25">
      <c r="A3" s="116" t="s">
        <v>15</v>
      </c>
      <c r="B3" s="13"/>
      <c r="C3" s="13"/>
      <c r="D3" s="13" t="s">
        <v>16</v>
      </c>
      <c r="E3" s="14"/>
      <c r="F3" s="10"/>
      <c r="G3" s="10"/>
      <c r="H3" s="10"/>
      <c r="I3" s="10"/>
      <c r="J3" s="10"/>
      <c r="K3" s="10"/>
      <c r="L3" s="10"/>
      <c r="M3" s="10"/>
      <c r="N3" s="10"/>
      <c r="O3" s="10"/>
      <c r="P3" s="10"/>
      <c r="Q3" s="10"/>
      <c r="R3" s="10"/>
      <c r="S3" s="10"/>
      <c r="T3" s="10"/>
      <c r="U3" s="10"/>
      <c r="V3" s="10"/>
      <c r="W3" s="10"/>
      <c r="X3" s="10"/>
      <c r="Y3" s="11"/>
      <c r="Z3" s="11"/>
      <c r="AA3" s="11"/>
      <c r="AB3" s="2670" t="str">
        <f>'E-Tiltag'!J24</f>
        <v>STI2050</v>
      </c>
      <c r="AC3" s="11"/>
      <c r="AD3" s="11"/>
      <c r="AE3" s="11"/>
      <c r="AF3" s="11"/>
      <c r="AG3" s="10"/>
      <c r="AH3" s="10"/>
      <c r="AI3" s="10"/>
      <c r="AJ3" s="10"/>
      <c r="AK3" s="10"/>
      <c r="AL3" s="10"/>
      <c r="AM3" s="10"/>
      <c r="AN3" s="10"/>
      <c r="AO3" s="10"/>
      <c r="AP3" s="10"/>
      <c r="AQ3" s="10"/>
      <c r="AR3" s="10"/>
      <c r="AS3" s="10"/>
      <c r="AT3" s="10"/>
    </row>
    <row r="4" spans="1:51" ht="15" customHeight="1" x14ac:dyDescent="0.2">
      <c r="A4" s="10"/>
      <c r="B4" s="10"/>
      <c r="C4" s="10"/>
      <c r="D4" s="10"/>
      <c r="E4" s="10"/>
      <c r="F4" s="10"/>
      <c r="G4" s="10"/>
      <c r="H4" s="10"/>
      <c r="I4" s="10"/>
      <c r="J4" s="10"/>
      <c r="K4" s="10"/>
      <c r="L4" s="10"/>
      <c r="M4" s="10"/>
      <c r="N4" s="10"/>
      <c r="O4" s="10"/>
      <c r="P4" s="10"/>
      <c r="Q4" s="10"/>
      <c r="R4" s="10"/>
      <c r="S4" s="10"/>
      <c r="T4" s="10"/>
      <c r="U4" s="10"/>
      <c r="V4" s="10"/>
      <c r="W4" s="10"/>
      <c r="X4" s="10"/>
      <c r="Y4" s="11"/>
      <c r="Z4" s="11"/>
      <c r="AA4" s="11"/>
      <c r="AB4" s="2669"/>
      <c r="AC4" s="11"/>
      <c r="AD4" s="11"/>
      <c r="AE4" s="11"/>
      <c r="AF4" s="11"/>
      <c r="AG4" s="10"/>
      <c r="AH4" s="10"/>
      <c r="AI4" s="10"/>
      <c r="AJ4" s="10"/>
      <c r="AK4" s="10"/>
      <c r="AL4" s="10"/>
      <c r="AM4" s="10"/>
      <c r="AN4" s="10"/>
      <c r="AO4" s="10"/>
      <c r="AP4" s="10"/>
      <c r="AQ4" s="10"/>
      <c r="AR4" s="10"/>
      <c r="AS4" s="10"/>
      <c r="AT4" s="10"/>
    </row>
    <row r="5" spans="1:51" ht="15" customHeight="1" x14ac:dyDescent="0.2">
      <c r="A5" s="10"/>
      <c r="B5" s="10"/>
      <c r="C5" s="10"/>
      <c r="D5" s="10"/>
      <c r="E5" s="10"/>
      <c r="F5" s="10"/>
      <c r="G5" s="10"/>
      <c r="H5" s="10"/>
      <c r="I5" s="10"/>
      <c r="J5" s="10"/>
      <c r="K5" s="10"/>
      <c r="L5" s="10"/>
      <c r="M5" s="10"/>
      <c r="N5" s="10"/>
      <c r="O5" s="10"/>
      <c r="P5" s="10"/>
      <c r="Q5" s="10"/>
      <c r="R5" s="10"/>
      <c r="S5" s="10"/>
      <c r="T5" s="10"/>
      <c r="U5" s="10"/>
      <c r="V5" s="10"/>
      <c r="W5" s="10"/>
      <c r="X5" s="10"/>
      <c r="Y5" s="10"/>
      <c r="Z5" s="10"/>
      <c r="AA5" s="10"/>
      <c r="AC5" s="10"/>
      <c r="AD5" s="10"/>
      <c r="AE5" s="10"/>
      <c r="AF5" s="10"/>
      <c r="AG5" s="10"/>
      <c r="AH5" s="10"/>
      <c r="AI5" s="10"/>
      <c r="AJ5" s="10"/>
      <c r="AK5" s="10"/>
      <c r="AL5" s="10"/>
      <c r="AM5" s="10"/>
      <c r="AN5" s="10"/>
      <c r="AO5" s="10"/>
      <c r="AP5" s="10"/>
      <c r="AQ5" s="10"/>
      <c r="AR5" s="10"/>
      <c r="AS5" s="10"/>
      <c r="AT5" s="10"/>
    </row>
    <row r="6" spans="1:51" ht="15" customHeight="1" x14ac:dyDescent="0.25">
      <c r="A6" s="304" t="s">
        <v>0</v>
      </c>
      <c r="B6" s="304"/>
      <c r="C6" s="304"/>
      <c r="D6" s="304"/>
      <c r="E6" s="304"/>
      <c r="F6" s="304"/>
      <c r="G6" s="304"/>
      <c r="H6" s="304"/>
      <c r="I6" s="304"/>
      <c r="J6" s="304"/>
      <c r="K6" s="304"/>
      <c r="L6" s="304"/>
      <c r="M6" s="304"/>
      <c r="N6" s="304"/>
      <c r="O6" s="304"/>
      <c r="P6" s="304"/>
      <c r="Q6" s="304"/>
      <c r="R6" s="304"/>
      <c r="S6" s="304"/>
      <c r="T6" s="304"/>
      <c r="U6" s="304"/>
      <c r="V6" s="304"/>
      <c r="W6" s="304"/>
      <c r="X6" s="304"/>
      <c r="Y6" s="304"/>
      <c r="Z6" s="304"/>
      <c r="AA6" s="304"/>
      <c r="AB6" s="304" t="s">
        <v>20</v>
      </c>
      <c r="AC6" s="304" t="s">
        <v>61</v>
      </c>
      <c r="AD6" s="304"/>
      <c r="AE6" s="304"/>
      <c r="AF6" s="304"/>
      <c r="AG6" s="304" t="s">
        <v>22</v>
      </c>
      <c r="AH6" s="304"/>
      <c r="AI6" s="304" t="s">
        <v>21</v>
      </c>
      <c r="AJ6" s="304"/>
      <c r="AK6" s="117"/>
      <c r="AL6" s="304" t="s">
        <v>507</v>
      </c>
      <c r="AM6" s="304"/>
      <c r="AN6" s="304"/>
      <c r="AO6" s="304"/>
      <c r="AP6" s="304"/>
      <c r="AQ6" s="304"/>
      <c r="AR6" s="304"/>
      <c r="AS6" s="304"/>
      <c r="AT6" s="304"/>
    </row>
    <row r="7" spans="1:51" s="18" customFormat="1" ht="159.94999999999999" customHeight="1" thickBot="1" x14ac:dyDescent="0.65">
      <c r="A7" s="15" t="s">
        <v>31</v>
      </c>
      <c r="B7" s="16" t="s">
        <v>32</v>
      </c>
      <c r="C7" s="16" t="s">
        <v>33</v>
      </c>
      <c r="D7" s="16" t="s">
        <v>34</v>
      </c>
      <c r="E7" s="16" t="s">
        <v>35</v>
      </c>
      <c r="F7" s="16" t="s">
        <v>36</v>
      </c>
      <c r="G7" s="16" t="s">
        <v>37</v>
      </c>
      <c r="H7" s="16" t="s">
        <v>38</v>
      </c>
      <c r="I7" s="16" t="s">
        <v>39</v>
      </c>
      <c r="J7" s="287" t="s">
        <v>175</v>
      </c>
      <c r="K7" s="287" t="s">
        <v>176</v>
      </c>
      <c r="L7" s="287" t="s">
        <v>177</v>
      </c>
      <c r="M7" s="16" t="s">
        <v>40</v>
      </c>
      <c r="N7" s="16" t="s">
        <v>41</v>
      </c>
      <c r="O7" s="16" t="s">
        <v>42</v>
      </c>
      <c r="P7" s="16" t="s">
        <v>43</v>
      </c>
      <c r="Q7" s="16" t="s">
        <v>44</v>
      </c>
      <c r="R7" s="16" t="s">
        <v>45</v>
      </c>
      <c r="S7" s="16" t="s">
        <v>46</v>
      </c>
      <c r="T7" s="16" t="s">
        <v>47</v>
      </c>
      <c r="U7" s="16" t="s">
        <v>48</v>
      </c>
      <c r="V7" s="16" t="s">
        <v>49</v>
      </c>
      <c r="W7" s="16" t="s">
        <v>50</v>
      </c>
      <c r="X7" s="16" t="s">
        <v>51</v>
      </c>
      <c r="Y7" s="16" t="s">
        <v>52</v>
      </c>
      <c r="Z7" s="16" t="s">
        <v>53</v>
      </c>
      <c r="AA7" s="118" t="s">
        <v>54</v>
      </c>
      <c r="AB7" s="103"/>
      <c r="AC7" s="119" t="s">
        <v>55</v>
      </c>
      <c r="AD7" s="16" t="s">
        <v>56</v>
      </c>
      <c r="AE7" s="16" t="s">
        <v>57</v>
      </c>
      <c r="AF7" s="118" t="s">
        <v>58</v>
      </c>
      <c r="AG7" s="15" t="s">
        <v>59</v>
      </c>
      <c r="AH7" s="118" t="s">
        <v>60</v>
      </c>
      <c r="AI7" s="15" t="s">
        <v>59</v>
      </c>
      <c r="AJ7" s="118" t="s">
        <v>60</v>
      </c>
      <c r="AK7" s="17" t="s">
        <v>62</v>
      </c>
      <c r="AL7" s="120" t="s">
        <v>63</v>
      </c>
      <c r="AM7" s="16" t="s">
        <v>64</v>
      </c>
      <c r="AN7" s="16" t="s">
        <v>65</v>
      </c>
      <c r="AO7" s="16" t="s">
        <v>66</v>
      </c>
      <c r="AP7" s="16" t="s">
        <v>67</v>
      </c>
      <c r="AQ7" s="16" t="s">
        <v>68</v>
      </c>
      <c r="AR7" s="121" t="s">
        <v>69</v>
      </c>
      <c r="AS7" s="121" t="s">
        <v>70</v>
      </c>
      <c r="AT7" s="118" t="s">
        <v>71</v>
      </c>
    </row>
    <row r="8" spans="1:51" ht="15" customHeight="1" x14ac:dyDescent="0.2">
      <c r="A8" s="2633"/>
      <c r="B8" s="2339"/>
      <c r="C8" s="2339"/>
      <c r="D8" s="2339"/>
      <c r="E8" s="2339"/>
      <c r="F8" s="2339"/>
      <c r="G8" s="2339"/>
      <c r="H8" s="2339"/>
      <c r="I8" s="2339"/>
      <c r="J8" s="2531"/>
      <c r="K8" s="2531"/>
      <c r="L8" s="2531"/>
      <c r="M8" s="2339"/>
      <c r="N8" s="2339"/>
      <c r="O8" s="2339"/>
      <c r="P8" s="2339"/>
      <c r="Q8" s="2339"/>
      <c r="R8" s="2339"/>
      <c r="S8" s="2339"/>
      <c r="T8" s="2339"/>
      <c r="U8" s="2339"/>
      <c r="V8" s="2339"/>
      <c r="W8" s="2339"/>
      <c r="X8" s="2339"/>
      <c r="Y8" s="2339"/>
      <c r="Z8" s="2339"/>
      <c r="AA8" s="2348">
        <f t="shared" ref="AA8:AA27" si="0">SUM(A8:Z8)</f>
        <v>0</v>
      </c>
      <c r="AB8" s="2653" t="s">
        <v>178</v>
      </c>
      <c r="AC8" s="2633"/>
      <c r="AD8" s="2632">
        <v>84.9</v>
      </c>
      <c r="AE8" s="2339"/>
      <c r="AF8" s="2348"/>
      <c r="AG8" s="2633">
        <f>-AH8/$D$2%</f>
        <v>-48.539088547192456</v>
      </c>
      <c r="AH8" s="2648">
        <f>AK8/AD8%</f>
        <v>44.699646643109539</v>
      </c>
      <c r="AI8" s="2646"/>
      <c r="AJ8" s="2648"/>
      <c r="AK8" s="2664">
        <f t="shared" ref="AK8:AK39" si="1">SUM(AL8:AT8)</f>
        <v>37.950000000000003</v>
      </c>
      <c r="AL8" s="2668">
        <f>'E2020'!AL8*(1+'E-Tiltag'!J26)</f>
        <v>22.19</v>
      </c>
      <c r="AM8" s="298">
        <f>'E2020'!AM8</f>
        <v>3.03</v>
      </c>
      <c r="AN8" s="298">
        <f>'E2020'!AN8</f>
        <v>3.43</v>
      </c>
      <c r="AO8" s="298">
        <f>'E2020'!AO8</f>
        <v>3.93</v>
      </c>
      <c r="AP8" s="2667">
        <f>'E2020'!AP8+'E-Tiltag'!J121/AD8%</f>
        <v>0</v>
      </c>
      <c r="AQ8" s="298">
        <f>'E2020'!AQ8</f>
        <v>0</v>
      </c>
      <c r="AR8" s="298">
        <f>'E2020'!AR8</f>
        <v>0</v>
      </c>
      <c r="AS8" s="298">
        <f>'E2020'!AS8</f>
        <v>5.37</v>
      </c>
      <c r="AT8" s="299">
        <f>'E2020'!AT8</f>
        <v>0</v>
      </c>
    </row>
    <row r="9" spans="1:51" ht="15" customHeight="1" x14ac:dyDescent="0.2">
      <c r="A9" s="2633"/>
      <c r="B9" s="2339"/>
      <c r="C9" s="2339"/>
      <c r="D9" s="2339"/>
      <c r="E9" s="2339"/>
      <c r="F9" s="2339"/>
      <c r="G9" s="2339"/>
      <c r="H9" s="2339"/>
      <c r="I9" s="2339"/>
      <c r="J9" s="2531"/>
      <c r="K9" s="2531"/>
      <c r="L9" s="2531"/>
      <c r="M9" s="2339"/>
      <c r="N9" s="2339"/>
      <c r="O9" s="2339"/>
      <c r="P9" s="2339"/>
      <c r="Q9" s="2339"/>
      <c r="R9" s="2339"/>
      <c r="S9" s="2339"/>
      <c r="T9" s="2339"/>
      <c r="U9" s="2339"/>
      <c r="V9" s="2339"/>
      <c r="W9" s="2339"/>
      <c r="X9" s="2339"/>
      <c r="Y9" s="2339"/>
      <c r="Z9" s="2339"/>
      <c r="AA9" s="2348">
        <f t="shared" si="0"/>
        <v>0</v>
      </c>
      <c r="AB9" s="2653" t="s">
        <v>2</v>
      </c>
      <c r="AC9" s="2633"/>
      <c r="AD9" s="2339"/>
      <c r="AE9" s="2339">
        <v>90</v>
      </c>
      <c r="AF9" s="2348"/>
      <c r="AG9" s="2633">
        <f>-AH9/$D$2%</f>
        <v>-1.0641763492235856</v>
      </c>
      <c r="AH9" s="2648">
        <f>AK9/AE9%</f>
        <v>0.98</v>
      </c>
      <c r="AI9" s="2646"/>
      <c r="AJ9" s="2648"/>
      <c r="AK9" s="2664">
        <f t="shared" si="1"/>
        <v>0.88200000000000001</v>
      </c>
      <c r="AL9" s="2665">
        <f>'E2020'!AL9</f>
        <v>0.88200000000000001</v>
      </c>
      <c r="AM9" s="2531"/>
      <c r="AN9" s="2531"/>
      <c r="AO9" s="2531"/>
      <c r="AP9" s="2531"/>
      <c r="AQ9" s="2531"/>
      <c r="AR9" s="2531"/>
      <c r="AS9" s="2531"/>
      <c r="AT9" s="2648"/>
    </row>
    <row r="10" spans="1:51" ht="15" customHeight="1" x14ac:dyDescent="0.2">
      <c r="A10" s="2633"/>
      <c r="B10" s="2339"/>
      <c r="C10" s="2339"/>
      <c r="D10" s="2339"/>
      <c r="E10" s="2339"/>
      <c r="F10" s="2339"/>
      <c r="G10" s="2339"/>
      <c r="H10" s="2339"/>
      <c r="I10" s="2339"/>
      <c r="J10" s="2531"/>
      <c r="K10" s="2531"/>
      <c r="L10" s="2531"/>
      <c r="M10" s="2339"/>
      <c r="N10" s="2339"/>
      <c r="O10" s="2339"/>
      <c r="P10" s="2339"/>
      <c r="Q10" s="2339"/>
      <c r="R10" s="2339"/>
      <c r="S10" s="2339"/>
      <c r="T10" s="2339"/>
      <c r="U10" s="2339"/>
      <c r="V10" s="2339"/>
      <c r="W10" s="2339"/>
      <c r="X10" s="2339"/>
      <c r="Y10" s="2339"/>
      <c r="Z10" s="2339"/>
      <c r="AA10" s="2348">
        <f t="shared" si="0"/>
        <v>0</v>
      </c>
      <c r="AB10" s="2653" t="s">
        <v>3</v>
      </c>
      <c r="AC10" s="2633"/>
      <c r="AD10" s="2339"/>
      <c r="AE10" s="2339">
        <v>100</v>
      </c>
      <c r="AF10" s="2348"/>
      <c r="AG10" s="2633">
        <f>-AH10/$D$2%</f>
        <v>-5.0276903029644906</v>
      </c>
      <c r="AH10" s="2648">
        <f>AK10/AE10%</f>
        <v>4.63</v>
      </c>
      <c r="AI10" s="2646"/>
      <c r="AJ10" s="2648"/>
      <c r="AK10" s="2664">
        <f t="shared" si="1"/>
        <v>4.63</v>
      </c>
      <c r="AL10" s="2665">
        <f>'E2020'!AL10</f>
        <v>4.63</v>
      </c>
      <c r="AM10" s="2531"/>
      <c r="AN10" s="2531"/>
      <c r="AO10" s="2531"/>
      <c r="AP10" s="2531"/>
      <c r="AQ10" s="2531"/>
      <c r="AR10" s="2531"/>
      <c r="AS10" s="2531"/>
      <c r="AT10" s="2648"/>
    </row>
    <row r="11" spans="1:51" ht="15" customHeight="1" x14ac:dyDescent="0.2">
      <c r="A11" s="2633"/>
      <c r="B11" s="2531"/>
      <c r="C11" s="2339"/>
      <c r="D11" s="2339"/>
      <c r="E11" s="2339"/>
      <c r="F11" s="2339"/>
      <c r="G11" s="2339"/>
      <c r="H11" s="2339"/>
      <c r="I11" s="2339"/>
      <c r="J11" s="2531"/>
      <c r="K11" s="2531"/>
      <c r="L11" s="2531"/>
      <c r="M11" s="2339"/>
      <c r="N11" s="2339"/>
      <c r="O11" s="2339"/>
      <c r="P11" s="2339"/>
      <c r="Q11" s="2651">
        <f>AK11-AH11</f>
        <v>16.000533333333337</v>
      </c>
      <c r="R11" s="2339"/>
      <c r="S11" s="2339"/>
      <c r="T11" s="2339"/>
      <c r="U11" s="2339"/>
      <c r="V11" s="2339"/>
      <c r="W11" s="2339"/>
      <c r="X11" s="2339"/>
      <c r="Y11" s="2339"/>
      <c r="Z11" s="2339"/>
      <c r="AA11" s="2348">
        <f t="shared" si="0"/>
        <v>16.000533333333337</v>
      </c>
      <c r="AB11" s="2653" t="s">
        <v>23</v>
      </c>
      <c r="AC11" s="2633"/>
      <c r="AD11" s="2339"/>
      <c r="AE11" s="2339">
        <v>300</v>
      </c>
      <c r="AF11" s="2348"/>
      <c r="AG11" s="2633">
        <f>-AH11/$D$2%</f>
        <v>-8.687443443008652</v>
      </c>
      <c r="AH11" s="2647">
        <f>'E2020'!AH11*(1+'E-Tiltag'!$J$47)+(('E-Tiltag'!J59+'E-Tiltag'!J78)/AE11%)</f>
        <v>8.0002666666666684</v>
      </c>
      <c r="AI11" s="2646"/>
      <c r="AJ11" s="2648"/>
      <c r="AK11" s="2664">
        <f t="shared" si="1"/>
        <v>24.000800000000005</v>
      </c>
      <c r="AL11" s="2666">
        <f>AH11*AE11%</f>
        <v>24.000800000000005</v>
      </c>
      <c r="AM11" s="2531"/>
      <c r="AN11" s="2531"/>
      <c r="AO11" s="2531"/>
      <c r="AP11" s="2531"/>
      <c r="AQ11" s="2531"/>
      <c r="AR11" s="2531"/>
      <c r="AS11" s="2531"/>
      <c r="AT11" s="2648"/>
    </row>
    <row r="12" spans="1:51" ht="15" customHeight="1" x14ac:dyDescent="0.2">
      <c r="A12" s="2665">
        <f>AC12%*AG12</f>
        <v>80.205529773035337</v>
      </c>
      <c r="B12" s="2531"/>
      <c r="C12" s="2339"/>
      <c r="D12" s="2339"/>
      <c r="E12" s="2339"/>
      <c r="F12" s="2339"/>
      <c r="G12" s="2339"/>
      <c r="H12" s="2339"/>
      <c r="I12" s="2339"/>
      <c r="J12" s="2531"/>
      <c r="K12" s="2531"/>
      <c r="L12" s="2531"/>
      <c r="M12" s="2339"/>
      <c r="N12" s="2339"/>
      <c r="O12" s="2339"/>
      <c r="P12" s="2339"/>
      <c r="Q12" s="2339"/>
      <c r="R12" s="2339"/>
      <c r="S12" s="2339"/>
      <c r="T12" s="2339"/>
      <c r="U12" s="2339"/>
      <c r="V12" s="2339"/>
      <c r="W12" s="2339"/>
      <c r="X12" s="2339"/>
      <c r="Y12" s="2339"/>
      <c r="Z12" s="2339"/>
      <c r="AA12" s="2348">
        <f t="shared" si="0"/>
        <v>80.205529773035337</v>
      </c>
      <c r="AB12" s="2653" t="s">
        <v>10</v>
      </c>
      <c r="AC12" s="2633">
        <v>100</v>
      </c>
      <c r="AD12" s="2339"/>
      <c r="AE12" s="2339"/>
      <c r="AF12" s="2348"/>
      <c r="AG12" s="2633">
        <f>-SUM(AG13:AG80,AG8:AG11)</f>
        <v>80.205529773035337</v>
      </c>
      <c r="AH12" s="2648"/>
      <c r="AI12" s="2646"/>
      <c r="AJ12" s="2648"/>
      <c r="AK12" s="2664">
        <f t="shared" si="1"/>
        <v>0</v>
      </c>
      <c r="AL12" s="2646"/>
      <c r="AM12" s="2531"/>
      <c r="AN12" s="2531"/>
      <c r="AO12" s="2531"/>
      <c r="AP12" s="2531"/>
      <c r="AQ12" s="2531"/>
      <c r="AR12" s="2531"/>
      <c r="AS12" s="2531"/>
      <c r="AT12" s="2648"/>
    </row>
    <row r="13" spans="1:51" ht="15" customHeight="1" x14ac:dyDescent="0.2">
      <c r="A13" s="122"/>
      <c r="B13" s="1679">
        <f>'E2020'!B13</f>
        <v>0.81</v>
      </c>
      <c r="C13" s="1679"/>
      <c r="D13" s="1679"/>
      <c r="E13" s="26"/>
      <c r="F13" s="26"/>
      <c r="G13" s="26"/>
      <c r="H13" s="26"/>
      <c r="I13" s="26"/>
      <c r="J13" s="2531"/>
      <c r="K13" s="2531"/>
      <c r="L13" s="2531"/>
      <c r="M13" s="1679"/>
      <c r="N13" s="1679"/>
      <c r="O13" s="1679"/>
      <c r="P13" s="1679"/>
      <c r="Q13" s="1679"/>
      <c r="R13" s="1679"/>
      <c r="S13" s="1679"/>
      <c r="T13" s="1679"/>
      <c r="U13" s="1679"/>
      <c r="V13" s="1679"/>
      <c r="W13" s="1679"/>
      <c r="X13" s="1679"/>
      <c r="Y13" s="1679"/>
      <c r="Z13" s="1679"/>
      <c r="AA13" s="2348">
        <f t="shared" si="0"/>
        <v>0.81</v>
      </c>
      <c r="AB13" s="123" t="s">
        <v>29</v>
      </c>
      <c r="AC13" s="513"/>
      <c r="AD13" s="1679"/>
      <c r="AE13" s="26">
        <v>38</v>
      </c>
      <c r="AF13" s="27"/>
      <c r="AG13" s="513"/>
      <c r="AH13" s="27"/>
      <c r="AI13" s="513"/>
      <c r="AJ13" s="27"/>
      <c r="AK13" s="2631">
        <f t="shared" si="1"/>
        <v>0.30780000000000002</v>
      </c>
      <c r="AL13" s="2663">
        <f>AA13*AE13%*20%</f>
        <v>6.1560000000000004E-2</v>
      </c>
      <c r="AM13" s="26"/>
      <c r="AN13" s="26"/>
      <c r="AO13" s="26"/>
      <c r="AP13" s="26"/>
      <c r="AQ13" s="26">
        <f>AA13*AE13%*60%</f>
        <v>0.18468000000000001</v>
      </c>
      <c r="AR13" s="26"/>
      <c r="AS13" s="26"/>
      <c r="AT13" s="300">
        <f>AA13*AE13%*20%</f>
        <v>6.1560000000000004E-2</v>
      </c>
    </row>
    <row r="14" spans="1:51" ht="15" customHeight="1" x14ac:dyDescent="0.2">
      <c r="A14" s="2633"/>
      <c r="B14" s="2531"/>
      <c r="C14" s="2339"/>
      <c r="D14" s="2339"/>
      <c r="E14" s="2652">
        <f>'E-Tiltag'!J52*(1+'E-Tiltag'!$J$47)</f>
        <v>0</v>
      </c>
      <c r="F14" s="2531"/>
      <c r="G14" s="2531"/>
      <c r="H14" s="2531"/>
      <c r="I14" s="2531"/>
      <c r="J14" s="2531"/>
      <c r="K14" s="2531"/>
      <c r="L14" s="2531"/>
      <c r="M14" s="2339"/>
      <c r="N14" s="2339"/>
      <c r="O14" s="2339"/>
      <c r="P14" s="2339"/>
      <c r="Q14" s="2531"/>
      <c r="R14" s="2531"/>
      <c r="S14" s="2531"/>
      <c r="T14" s="2531"/>
      <c r="U14" s="2531"/>
      <c r="V14" s="2531"/>
      <c r="W14" s="2531"/>
      <c r="X14" s="2531"/>
      <c r="Y14" s="2531"/>
      <c r="Z14" s="2531"/>
      <c r="AA14" s="2348">
        <f t="shared" si="0"/>
        <v>0</v>
      </c>
      <c r="AB14" s="2653" t="s">
        <v>209</v>
      </c>
      <c r="AC14" s="2633"/>
      <c r="AD14" s="2339"/>
      <c r="AE14" s="2531">
        <v>80</v>
      </c>
      <c r="AF14" s="2348"/>
      <c r="AG14" s="2633"/>
      <c r="AH14" s="2348"/>
      <c r="AI14" s="2633"/>
      <c r="AJ14" s="2348"/>
      <c r="AK14" s="2631">
        <f t="shared" si="1"/>
        <v>0</v>
      </c>
      <c r="AL14" s="2346">
        <f t="shared" ref="AL14:AL19" si="2">AA14*AE14%</f>
        <v>0</v>
      </c>
      <c r="AM14" s="2339"/>
      <c r="AN14" s="2339"/>
      <c r="AO14" s="2339"/>
      <c r="AP14" s="2339"/>
      <c r="AQ14" s="2339"/>
      <c r="AR14" s="2339"/>
      <c r="AS14" s="2339"/>
      <c r="AT14" s="2348"/>
      <c r="AY14" s="23"/>
    </row>
    <row r="15" spans="1:51" ht="15" customHeight="1" x14ac:dyDescent="0.2">
      <c r="A15" s="2633"/>
      <c r="B15" s="2531"/>
      <c r="C15" s="2339"/>
      <c r="D15" s="2339"/>
      <c r="E15" s="2531"/>
      <c r="F15" s="2531"/>
      <c r="G15" s="2531"/>
      <c r="H15" s="2531"/>
      <c r="I15" s="2652">
        <f>'E-Tiltag'!J66*(1+'E-Tiltag'!$J$47)</f>
        <v>0</v>
      </c>
      <c r="J15" s="2632"/>
      <c r="K15" s="2632"/>
      <c r="L15" s="2632"/>
      <c r="M15" s="2339"/>
      <c r="N15" s="2339"/>
      <c r="O15" s="2339"/>
      <c r="P15" s="2339"/>
      <c r="Q15" s="2531"/>
      <c r="R15" s="2531"/>
      <c r="S15" s="2531"/>
      <c r="T15" s="2531"/>
      <c r="U15" s="2531"/>
      <c r="V15" s="2531"/>
      <c r="W15" s="2531"/>
      <c r="X15" s="2531"/>
      <c r="Y15" s="2531"/>
      <c r="Z15" s="2531"/>
      <c r="AA15" s="2348">
        <f t="shared" si="0"/>
        <v>0</v>
      </c>
      <c r="AB15" s="2653" t="s">
        <v>210</v>
      </c>
      <c r="AC15" s="2633"/>
      <c r="AD15" s="2339"/>
      <c r="AE15" s="2531">
        <v>85</v>
      </c>
      <c r="AF15" s="2348"/>
      <c r="AG15" s="2633"/>
      <c r="AH15" s="2348"/>
      <c r="AI15" s="2633"/>
      <c r="AJ15" s="2348"/>
      <c r="AK15" s="2631">
        <f t="shared" si="1"/>
        <v>0</v>
      </c>
      <c r="AL15" s="2346">
        <f t="shared" si="2"/>
        <v>0</v>
      </c>
      <c r="AM15" s="2339"/>
      <c r="AN15" s="2339"/>
      <c r="AO15" s="2339"/>
      <c r="AP15" s="2339"/>
      <c r="AQ15" s="2339"/>
      <c r="AR15" s="2339"/>
      <c r="AS15" s="2339"/>
      <c r="AT15" s="2348"/>
      <c r="AY15" s="23"/>
    </row>
    <row r="16" spans="1:51" ht="15" customHeight="1" x14ac:dyDescent="0.2">
      <c r="A16" s="2633"/>
      <c r="B16" s="2339"/>
      <c r="C16" s="2339"/>
      <c r="D16" s="2339"/>
      <c r="E16" s="2339"/>
      <c r="F16" s="2339"/>
      <c r="G16" s="2339"/>
      <c r="H16" s="2339"/>
      <c r="I16" s="2531"/>
      <c r="J16" s="2531"/>
      <c r="K16" s="2531"/>
      <c r="L16" s="2531"/>
      <c r="M16" s="2339"/>
      <c r="N16" s="2339"/>
      <c r="O16" s="2339"/>
      <c r="P16" s="2339"/>
      <c r="Q16" s="2531"/>
      <c r="R16" s="2531"/>
      <c r="S16" s="2531"/>
      <c r="T16" s="2531"/>
      <c r="U16" s="2531"/>
      <c r="V16" s="2651">
        <f>'E2020'!V16*(1+'E-Tiltag'!$J$47)+('E-Tiltag'!$J$60)/AE16%</f>
        <v>16.938499999999998</v>
      </c>
      <c r="W16" s="2531"/>
      <c r="X16" s="2531"/>
      <c r="Y16" s="2531"/>
      <c r="Z16" s="2531"/>
      <c r="AA16" s="2348">
        <f t="shared" si="0"/>
        <v>16.938499999999998</v>
      </c>
      <c r="AB16" s="2653" t="s">
        <v>211</v>
      </c>
      <c r="AC16" s="2633"/>
      <c r="AD16" s="2339"/>
      <c r="AE16" s="2531">
        <v>75</v>
      </c>
      <c r="AF16" s="2348"/>
      <c r="AG16" s="2633"/>
      <c r="AH16" s="2348"/>
      <c r="AI16" s="2633"/>
      <c r="AJ16" s="2348"/>
      <c r="AK16" s="2631">
        <f t="shared" si="1"/>
        <v>12.703874999999998</v>
      </c>
      <c r="AL16" s="2346">
        <f t="shared" si="2"/>
        <v>12.703874999999998</v>
      </c>
      <c r="AM16" s="2339"/>
      <c r="AN16" s="2339"/>
      <c r="AO16" s="2339"/>
      <c r="AP16" s="2339"/>
      <c r="AQ16" s="2339"/>
      <c r="AR16" s="2339"/>
      <c r="AS16" s="2339"/>
      <c r="AT16" s="2348"/>
      <c r="AY16" s="23"/>
    </row>
    <row r="17" spans="1:51" ht="15" customHeight="1" x14ac:dyDescent="0.2">
      <c r="A17" s="2633"/>
      <c r="B17" s="2339"/>
      <c r="C17" s="2339"/>
      <c r="D17" s="2339"/>
      <c r="E17" s="2339"/>
      <c r="F17" s="2339"/>
      <c r="G17" s="2339"/>
      <c r="H17" s="2339"/>
      <c r="I17" s="2531"/>
      <c r="J17" s="2531"/>
      <c r="K17" s="2531"/>
      <c r="L17" s="2531"/>
      <c r="M17" s="2339"/>
      <c r="N17" s="2339"/>
      <c r="O17" s="2339"/>
      <c r="P17" s="2339"/>
      <c r="Q17" s="2531"/>
      <c r="R17" s="2531"/>
      <c r="S17" s="2531"/>
      <c r="T17" s="2531"/>
      <c r="U17" s="2635">
        <f>'E2020'!U17*(1+'E-Tiltag'!$J$47)</f>
        <v>47.253</v>
      </c>
      <c r="V17" s="2531"/>
      <c r="W17" s="2531"/>
      <c r="X17" s="2531"/>
      <c r="Y17" s="2531"/>
      <c r="Z17" s="2531"/>
      <c r="AA17" s="2348">
        <f t="shared" si="0"/>
        <v>47.253</v>
      </c>
      <c r="AB17" s="2653" t="s">
        <v>212</v>
      </c>
      <c r="AC17" s="2633"/>
      <c r="AD17" s="2339"/>
      <c r="AE17" s="2531">
        <v>65</v>
      </c>
      <c r="AF17" s="2348"/>
      <c r="AG17" s="2633"/>
      <c r="AH17" s="2348"/>
      <c r="AI17" s="2633"/>
      <c r="AJ17" s="2348"/>
      <c r="AK17" s="2631">
        <f t="shared" si="1"/>
        <v>30.714449999999999</v>
      </c>
      <c r="AL17" s="2346">
        <f t="shared" si="2"/>
        <v>30.714449999999999</v>
      </c>
      <c r="AM17" s="2339"/>
      <c r="AN17" s="2339"/>
      <c r="AO17" s="2339"/>
      <c r="AP17" s="2339"/>
      <c r="AQ17" s="2339"/>
      <c r="AR17" s="2339"/>
      <c r="AS17" s="2339"/>
      <c r="AT17" s="2348"/>
      <c r="AV17" s="23"/>
    </row>
    <row r="18" spans="1:51" ht="15" customHeight="1" x14ac:dyDescent="0.2">
      <c r="A18" s="2633"/>
      <c r="B18" s="2339"/>
      <c r="C18" s="2339"/>
      <c r="D18" s="2339"/>
      <c r="E18" s="2339"/>
      <c r="F18" s="2339"/>
      <c r="G18" s="2339"/>
      <c r="H18" s="2339"/>
      <c r="I18" s="2531"/>
      <c r="J18" s="2531"/>
      <c r="K18" s="2531"/>
      <c r="L18" s="2531"/>
      <c r="M18" s="2339"/>
      <c r="N18" s="2339"/>
      <c r="O18" s="2339"/>
      <c r="P18" s="2339"/>
      <c r="Q18" s="2531"/>
      <c r="R18" s="2531"/>
      <c r="S18" s="2531"/>
      <c r="T18" s="2635">
        <f>'E2020'!T18*(1+'E-Tiltag'!$J$47)</f>
        <v>8.6544999999999987</v>
      </c>
      <c r="U18" s="2531"/>
      <c r="V18" s="2531"/>
      <c r="W18" s="2531"/>
      <c r="X18" s="2531"/>
      <c r="Y18" s="2531"/>
      <c r="Z18" s="2531"/>
      <c r="AA18" s="2348">
        <f t="shared" si="0"/>
        <v>8.6544999999999987</v>
      </c>
      <c r="AB18" s="2653" t="s">
        <v>213</v>
      </c>
      <c r="AC18" s="2633"/>
      <c r="AD18" s="2339"/>
      <c r="AE18" s="2531">
        <v>65</v>
      </c>
      <c r="AF18" s="2348"/>
      <c r="AG18" s="2633"/>
      <c r="AH18" s="2348"/>
      <c r="AI18" s="2633"/>
      <c r="AJ18" s="2348"/>
      <c r="AK18" s="2631">
        <f t="shared" si="1"/>
        <v>5.625424999999999</v>
      </c>
      <c r="AL18" s="2346">
        <f t="shared" si="2"/>
        <v>5.625424999999999</v>
      </c>
      <c r="AM18" s="2339"/>
      <c r="AN18" s="2339"/>
      <c r="AO18" s="2339"/>
      <c r="AP18" s="2339"/>
      <c r="AQ18" s="2339"/>
      <c r="AR18" s="2339"/>
      <c r="AS18" s="2339"/>
      <c r="AT18" s="2348"/>
      <c r="AV18" s="23"/>
    </row>
    <row r="19" spans="1:51" ht="15" customHeight="1" x14ac:dyDescent="0.2">
      <c r="A19" s="2633"/>
      <c r="B19" s="2339"/>
      <c r="C19" s="2339"/>
      <c r="D19" s="2339"/>
      <c r="E19" s="2339"/>
      <c r="F19" s="2339"/>
      <c r="G19" s="2339"/>
      <c r="H19" s="2339"/>
      <c r="I19" s="2531"/>
      <c r="J19" s="2531"/>
      <c r="K19" s="2531"/>
      <c r="L19" s="2531"/>
      <c r="M19" s="2339"/>
      <c r="N19" s="2339"/>
      <c r="O19" s="2635">
        <f>'E2020'!O19*(1+'E-Tiltag'!$J$47)</f>
        <v>0.8929999999999999</v>
      </c>
      <c r="P19" s="2339"/>
      <c r="Q19" s="2531"/>
      <c r="R19" s="2531"/>
      <c r="S19" s="2531"/>
      <c r="T19" s="2531"/>
      <c r="U19" s="2531"/>
      <c r="V19" s="2531"/>
      <c r="W19" s="2531"/>
      <c r="X19" s="2531"/>
      <c r="Y19" s="2531"/>
      <c r="Z19" s="2531"/>
      <c r="AA19" s="2348">
        <f t="shared" si="0"/>
        <v>0.8929999999999999</v>
      </c>
      <c r="AB19" s="2653" t="s">
        <v>214</v>
      </c>
      <c r="AC19" s="2633"/>
      <c r="AD19" s="2339"/>
      <c r="AE19" s="2339">
        <v>100</v>
      </c>
      <c r="AF19" s="2348"/>
      <c r="AG19" s="2633"/>
      <c r="AH19" s="2348"/>
      <c r="AI19" s="2633"/>
      <c r="AJ19" s="2348"/>
      <c r="AK19" s="2631">
        <f t="shared" si="1"/>
        <v>0.8929999999999999</v>
      </c>
      <c r="AL19" s="2346">
        <f t="shared" si="2"/>
        <v>0.8929999999999999</v>
      </c>
      <c r="AM19" s="2339"/>
      <c r="AN19" s="2339"/>
      <c r="AO19" s="2339"/>
      <c r="AP19" s="2339"/>
      <c r="AQ19" s="2339"/>
      <c r="AR19" s="2339"/>
      <c r="AS19" s="2339"/>
      <c r="AT19" s="2348"/>
      <c r="AY19" s="23"/>
    </row>
    <row r="20" spans="1:51" ht="15" customHeight="1" x14ac:dyDescent="0.2">
      <c r="A20" s="2633"/>
      <c r="B20" s="2339"/>
      <c r="C20" s="2531"/>
      <c r="D20" s="2339"/>
      <c r="E20" s="2651">
        <f>'E2020'!E20*(1-'E-Tiltag'!$J$112)</f>
        <v>0</v>
      </c>
      <c r="F20" s="2339"/>
      <c r="G20" s="2339"/>
      <c r="H20" s="2531"/>
      <c r="I20" s="2531"/>
      <c r="J20" s="2531"/>
      <c r="K20" s="2531"/>
      <c r="L20" s="2531"/>
      <c r="M20" s="2531"/>
      <c r="N20" s="1679"/>
      <c r="O20" s="2531"/>
      <c r="P20" s="2531"/>
      <c r="Q20" s="2531"/>
      <c r="R20" s="2531"/>
      <c r="S20" s="2531"/>
      <c r="T20" s="2531"/>
      <c r="U20" s="2531"/>
      <c r="V20" s="2531"/>
      <c r="W20" s="2531"/>
      <c r="X20" s="2531"/>
      <c r="Y20" s="2531"/>
      <c r="Z20" s="2531"/>
      <c r="AA20" s="2348">
        <f t="shared" si="0"/>
        <v>0</v>
      </c>
      <c r="AB20" s="2653" t="s">
        <v>24</v>
      </c>
      <c r="AC20" s="2633"/>
      <c r="AD20" s="2339">
        <v>90</v>
      </c>
      <c r="AE20" s="2339"/>
      <c r="AF20" s="2348"/>
      <c r="AG20" s="2633"/>
      <c r="AH20" s="2348"/>
      <c r="AI20" s="2633"/>
      <c r="AJ20" s="2348"/>
      <c r="AK20" s="2631">
        <f t="shared" si="1"/>
        <v>0</v>
      </c>
      <c r="AL20" s="2346"/>
      <c r="AM20" s="2339"/>
      <c r="AN20" s="2339"/>
      <c r="AO20" s="2339"/>
      <c r="AP20" s="2339"/>
      <c r="AQ20" s="2339">
        <f>AA20*AD20%</f>
        <v>0</v>
      </c>
      <c r="AR20" s="2339"/>
      <c r="AS20" s="2339"/>
      <c r="AT20" s="2348"/>
      <c r="AV20" s="23"/>
    </row>
    <row r="21" spans="1:51" ht="15" customHeight="1" x14ac:dyDescent="0.2">
      <c r="A21" s="2633"/>
      <c r="B21" s="2339"/>
      <c r="C21" s="2531"/>
      <c r="D21" s="2339"/>
      <c r="E21" s="2339"/>
      <c r="F21" s="2339"/>
      <c r="G21" s="2339"/>
      <c r="H21" s="2339"/>
      <c r="I21" s="2652">
        <f>'E-Tiltag'!J89</f>
        <v>0</v>
      </c>
      <c r="J21" s="2531"/>
      <c r="K21" s="2531"/>
      <c r="L21" s="2531"/>
      <c r="M21" s="2531"/>
      <c r="N21" s="2531"/>
      <c r="O21" s="2531"/>
      <c r="P21" s="2531"/>
      <c r="Q21" s="2531"/>
      <c r="R21" s="2531"/>
      <c r="S21" s="2531"/>
      <c r="T21" s="2531"/>
      <c r="U21" s="2531"/>
      <c r="V21" s="2531"/>
      <c r="W21" s="2531"/>
      <c r="X21" s="2531"/>
      <c r="Y21" s="2531"/>
      <c r="Z21" s="2531"/>
      <c r="AA21" s="2348">
        <f t="shared" si="0"/>
        <v>0</v>
      </c>
      <c r="AB21" s="2653" t="s">
        <v>25</v>
      </c>
      <c r="AC21" s="2633"/>
      <c r="AD21" s="2339">
        <v>90</v>
      </c>
      <c r="AE21" s="2339"/>
      <c r="AF21" s="2348"/>
      <c r="AG21" s="2633"/>
      <c r="AH21" s="2348"/>
      <c r="AI21" s="2633"/>
      <c r="AJ21" s="2348"/>
      <c r="AK21" s="2631">
        <f t="shared" si="1"/>
        <v>0</v>
      </c>
      <c r="AL21" s="2346"/>
      <c r="AM21" s="2339"/>
      <c r="AN21" s="2339"/>
      <c r="AO21" s="2339"/>
      <c r="AP21" s="2339"/>
      <c r="AQ21" s="2339">
        <f>AA21*AD21%</f>
        <v>0</v>
      </c>
      <c r="AR21" s="2339"/>
      <c r="AS21" s="2339"/>
      <c r="AT21" s="2348"/>
      <c r="AV21" s="23"/>
    </row>
    <row r="22" spans="1:51" ht="15" customHeight="1" x14ac:dyDescent="0.2">
      <c r="A22" s="2633"/>
      <c r="B22" s="2652">
        <f>'E2020'!B22*(1-'E-Tiltag'!$J$113)</f>
        <v>0</v>
      </c>
      <c r="C22" s="2652">
        <f>'E2020'!C22*(1-'E-Tiltag'!$J$113)</f>
        <v>0</v>
      </c>
      <c r="D22" s="2652">
        <f>'E2020'!D22*(1-'E-Tiltag'!$J$113)</f>
        <v>0</v>
      </c>
      <c r="E22" s="2652">
        <f>'E2020'!E22*(1-'E-Tiltag'!$J$113)</f>
        <v>0</v>
      </c>
      <c r="F22" s="2652">
        <f>'E2020'!F22*(1-'E-Tiltag'!$J$113)</f>
        <v>0</v>
      </c>
      <c r="G22" s="2652">
        <f>'E2020'!G22*(1-'E-Tiltag'!$J$113)</f>
        <v>0</v>
      </c>
      <c r="H22" s="2652">
        <f>'E2020'!H22*(1-'E-Tiltag'!$J$113)</f>
        <v>0</v>
      </c>
      <c r="I22" s="2652">
        <f>'E2020'!I22*(1-'E-Tiltag'!$J$113)+'E-Tiltag'!$J$123</f>
        <v>0</v>
      </c>
      <c r="J22" s="2531"/>
      <c r="K22" s="2531"/>
      <c r="L22" s="2531"/>
      <c r="M22" s="2531"/>
      <c r="N22" s="2531"/>
      <c r="O22" s="2531"/>
      <c r="P22" s="2531"/>
      <c r="Q22" s="2531"/>
      <c r="R22" s="2531">
        <v>0</v>
      </c>
      <c r="S22" s="2531">
        <v>0</v>
      </c>
      <c r="T22" s="2531">
        <v>0</v>
      </c>
      <c r="U22" s="2635">
        <f>'E2020'!U22+'E-Tiltag'!$J$122</f>
        <v>0</v>
      </c>
      <c r="V22" s="2531">
        <f>'E2020'!V22</f>
        <v>10</v>
      </c>
      <c r="W22" s="2632">
        <v>0</v>
      </c>
      <c r="X22" s="2632">
        <v>0</v>
      </c>
      <c r="Y22" s="2632">
        <v>0</v>
      </c>
      <c r="Z22" s="2632">
        <v>0</v>
      </c>
      <c r="AA22" s="2348">
        <f t="shared" si="0"/>
        <v>10</v>
      </c>
      <c r="AB22" s="2653" t="s">
        <v>512</v>
      </c>
      <c r="AC22" s="2633"/>
      <c r="AD22" s="2339">
        <v>90</v>
      </c>
      <c r="AE22" s="2339"/>
      <c r="AF22" s="2348"/>
      <c r="AG22" s="2633"/>
      <c r="AH22" s="2348"/>
      <c r="AI22" s="2633"/>
      <c r="AJ22" s="2348"/>
      <c r="AK22" s="2631">
        <f t="shared" si="1"/>
        <v>9</v>
      </c>
      <c r="AL22" s="2655"/>
      <c r="AM22" s="2531"/>
      <c r="AN22" s="2531"/>
      <c r="AO22" s="2531"/>
      <c r="AP22" s="2531"/>
      <c r="AQ22" s="2531">
        <f>AA22*AD22%</f>
        <v>9</v>
      </c>
      <c r="AR22" s="2531"/>
      <c r="AS22" s="2531"/>
      <c r="AT22" s="2348"/>
      <c r="AY22" s="23"/>
    </row>
    <row r="23" spans="1:51" ht="15" customHeight="1" x14ac:dyDescent="0.2">
      <c r="A23" s="2633"/>
      <c r="B23" s="2339"/>
      <c r="C23" s="2339"/>
      <c r="D23" s="2339"/>
      <c r="E23" s="2339"/>
      <c r="F23" s="2339"/>
      <c r="G23" s="2339"/>
      <c r="H23" s="2531"/>
      <c r="I23" s="2531"/>
      <c r="J23" s="2531"/>
      <c r="K23" s="2531"/>
      <c r="L23" s="2531"/>
      <c r="M23" s="2531"/>
      <c r="N23" s="2531"/>
      <c r="O23" s="2652">
        <f>'E2020'!O23+'E-Tiltag'!V40</f>
        <v>26.16</v>
      </c>
      <c r="P23" s="2531"/>
      <c r="Q23" s="2531"/>
      <c r="R23" s="2531"/>
      <c r="S23" s="2531"/>
      <c r="T23" s="2531"/>
      <c r="U23" s="2531"/>
      <c r="V23" s="2531"/>
      <c r="W23" s="2531"/>
      <c r="X23" s="2531"/>
      <c r="Y23" s="2531"/>
      <c r="Z23" s="2531"/>
      <c r="AA23" s="2348">
        <f t="shared" si="0"/>
        <v>26.16</v>
      </c>
      <c r="AB23" s="2653" t="s">
        <v>14</v>
      </c>
      <c r="AC23" s="2339">
        <v>100</v>
      </c>
      <c r="AD23" s="2339"/>
      <c r="AE23" s="2339"/>
      <c r="AF23" s="2348"/>
      <c r="AG23" s="2633">
        <f>AA23*AC23/100</f>
        <v>26.16</v>
      </c>
      <c r="AH23" s="2348"/>
      <c r="AI23" s="2633"/>
      <c r="AJ23" s="2348"/>
      <c r="AK23" s="2631">
        <f t="shared" si="1"/>
        <v>0</v>
      </c>
      <c r="AL23" s="2655"/>
      <c r="AM23" s="2531"/>
      <c r="AN23" s="2531"/>
      <c r="AO23" s="2531"/>
      <c r="AP23" s="2531"/>
      <c r="AQ23" s="2531"/>
      <c r="AR23" s="2531"/>
      <c r="AS23" s="2531"/>
      <c r="AT23" s="2348"/>
      <c r="AV23" s="23"/>
    </row>
    <row r="24" spans="1:51" ht="15" customHeight="1" x14ac:dyDescent="0.2">
      <c r="A24" s="2633"/>
      <c r="B24" s="2339"/>
      <c r="C24" s="2339"/>
      <c r="D24" s="2339"/>
      <c r="E24" s="2339"/>
      <c r="F24" s="2339"/>
      <c r="G24" s="2339"/>
      <c r="H24" s="2531"/>
      <c r="I24" s="2531"/>
      <c r="J24" s="2658"/>
      <c r="K24" s="2531"/>
      <c r="L24" s="2531"/>
      <c r="M24" s="2635">
        <f>'E-Tiltag'!V12+'E-Tiltag'!V21</f>
        <v>0</v>
      </c>
      <c r="N24" s="2531"/>
      <c r="O24" s="2531"/>
      <c r="P24" s="2531"/>
      <c r="Q24" s="2531"/>
      <c r="R24" s="2531"/>
      <c r="S24" s="2531"/>
      <c r="T24" s="2531"/>
      <c r="U24" s="2531"/>
      <c r="V24" s="2531"/>
      <c r="W24" s="2531"/>
      <c r="X24" s="2531"/>
      <c r="Y24" s="2531"/>
      <c r="Z24" s="2531"/>
      <c r="AA24" s="2348">
        <f t="shared" si="0"/>
        <v>0</v>
      </c>
      <c r="AB24" s="2653" t="s">
        <v>26</v>
      </c>
      <c r="AC24" s="2339">
        <v>100</v>
      </c>
      <c r="AD24" s="2339"/>
      <c r="AE24" s="2339"/>
      <c r="AF24" s="2348"/>
      <c r="AG24" s="2633">
        <f>AC24*AA24/100</f>
        <v>0</v>
      </c>
      <c r="AH24" s="2348"/>
      <c r="AI24" s="2633"/>
      <c r="AJ24" s="2348"/>
      <c r="AK24" s="2631">
        <f t="shared" si="1"/>
        <v>0</v>
      </c>
      <c r="AL24" s="2655"/>
      <c r="AM24" s="2531"/>
      <c r="AN24" s="2531"/>
      <c r="AO24" s="2531"/>
      <c r="AP24" s="2531"/>
      <c r="AQ24" s="2531"/>
      <c r="AR24" s="2531"/>
      <c r="AS24" s="2531"/>
      <c r="AT24" s="2348"/>
      <c r="AU24" s="29"/>
      <c r="AV24" s="23"/>
    </row>
    <row r="25" spans="1:51" ht="15" customHeight="1" x14ac:dyDescent="0.2">
      <c r="A25" s="2633"/>
      <c r="B25" s="2339"/>
      <c r="C25" s="2339"/>
      <c r="D25" s="2339"/>
      <c r="E25" s="2339"/>
      <c r="F25" s="2339"/>
      <c r="G25" s="2339"/>
      <c r="H25" s="2531"/>
      <c r="I25" s="2531"/>
      <c r="J25" s="2531"/>
      <c r="K25" s="2531"/>
      <c r="L25" s="2531"/>
      <c r="M25" s="2635">
        <f>+'E-Tiltag'!V28*50%</f>
        <v>0</v>
      </c>
      <c r="N25" s="2531"/>
      <c r="O25" s="2531"/>
      <c r="P25" s="2531"/>
      <c r="Q25" s="2531"/>
      <c r="R25" s="2531"/>
      <c r="S25" s="2531"/>
      <c r="T25" s="2531"/>
      <c r="U25" s="2531"/>
      <c r="V25" s="2531"/>
      <c r="W25" s="2531"/>
      <c r="X25" s="2531"/>
      <c r="Y25" s="2531"/>
      <c r="Z25" s="2531"/>
      <c r="AA25" s="2348">
        <f t="shared" si="0"/>
        <v>0</v>
      </c>
      <c r="AB25" s="2653" t="s">
        <v>74</v>
      </c>
      <c r="AC25" s="2646">
        <v>100</v>
      </c>
      <c r="AD25" s="2531"/>
      <c r="AE25" s="2531"/>
      <c r="AF25" s="2648"/>
      <c r="AG25" s="2646">
        <f>AC25*AA25/100</f>
        <v>0</v>
      </c>
      <c r="AH25" s="2648"/>
      <c r="AI25" s="2633"/>
      <c r="AJ25" s="2348"/>
      <c r="AK25" s="2631">
        <f t="shared" si="1"/>
        <v>0</v>
      </c>
      <c r="AL25" s="2655"/>
      <c r="AM25" s="2531"/>
      <c r="AN25" s="2531"/>
      <c r="AO25" s="2531"/>
      <c r="AP25" s="2531"/>
      <c r="AQ25" s="2531"/>
      <c r="AR25" s="2531"/>
      <c r="AS25" s="2531"/>
      <c r="AT25" s="2348"/>
      <c r="AY25" s="23"/>
    </row>
    <row r="26" spans="1:51" ht="15" customHeight="1" x14ac:dyDescent="0.2">
      <c r="A26" s="2633"/>
      <c r="B26" s="2339"/>
      <c r="C26" s="2339"/>
      <c r="D26" s="2339"/>
      <c r="E26" s="2339"/>
      <c r="F26" s="2339"/>
      <c r="G26" s="2339"/>
      <c r="H26" s="2531"/>
      <c r="I26" s="2531"/>
      <c r="J26" s="2531"/>
      <c r="K26" s="2531"/>
      <c r="L26" s="2531"/>
      <c r="M26" s="2531"/>
      <c r="N26" s="1679">
        <f>'E2020'!N26</f>
        <v>0</v>
      </c>
      <c r="O26" s="2531"/>
      <c r="P26" s="2531"/>
      <c r="Q26" s="2531"/>
      <c r="R26" s="2531"/>
      <c r="S26" s="2531"/>
      <c r="T26" s="2531"/>
      <c r="U26" s="2531"/>
      <c r="V26" s="2531"/>
      <c r="W26" s="2531"/>
      <c r="X26" s="2531"/>
      <c r="Y26" s="2531"/>
      <c r="Z26" s="2531"/>
      <c r="AA26" s="2348">
        <f t="shared" si="0"/>
        <v>0</v>
      </c>
      <c r="AB26" s="2653" t="s">
        <v>513</v>
      </c>
      <c r="AC26" s="2632">
        <v>100</v>
      </c>
      <c r="AD26" s="2531"/>
      <c r="AE26" s="2531"/>
      <c r="AF26" s="2648"/>
      <c r="AG26" s="2646">
        <f>AC26*AA26/100</f>
        <v>0</v>
      </c>
      <c r="AH26" s="2648"/>
      <c r="AI26" s="2633"/>
      <c r="AJ26" s="2348"/>
      <c r="AK26" s="2631">
        <f t="shared" si="1"/>
        <v>0</v>
      </c>
      <c r="AL26" s="2655"/>
      <c r="AM26" s="2531"/>
      <c r="AN26" s="2531"/>
      <c r="AO26" s="2531"/>
      <c r="AP26" s="2531"/>
      <c r="AQ26" s="2531"/>
      <c r="AR26" s="2531"/>
      <c r="AS26" s="2531"/>
      <c r="AT26" s="2348"/>
      <c r="AY26" s="23"/>
    </row>
    <row r="27" spans="1:51" ht="15" customHeight="1" x14ac:dyDescent="0.2">
      <c r="A27" s="2346"/>
      <c r="B27" s="2339"/>
      <c r="C27" s="2339"/>
      <c r="D27" s="2339"/>
      <c r="E27" s="2339"/>
      <c r="F27" s="2339"/>
      <c r="G27" s="2339"/>
      <c r="H27" s="2531"/>
      <c r="I27" s="2635">
        <f>'E2020'!I27-'E-Tiltag'!V51</f>
        <v>0</v>
      </c>
      <c r="J27" s="2632"/>
      <c r="K27" s="2632"/>
      <c r="L27" s="2632"/>
      <c r="M27" s="2531"/>
      <c r="N27" s="2531"/>
      <c r="O27" s="2531"/>
      <c r="P27" s="2531"/>
      <c r="Q27" s="2531"/>
      <c r="R27" s="2531">
        <f>-(I27*33.3%)/AD27%</f>
        <v>0</v>
      </c>
      <c r="S27" s="2531">
        <f>-(I27*10.5%)/AD27%</f>
        <v>0</v>
      </c>
      <c r="T27" s="2531">
        <f>-(I27*6.6%)/AD27%</f>
        <v>0</v>
      </c>
      <c r="U27" s="2531"/>
      <c r="V27" s="2531"/>
      <c r="W27" s="2531">
        <f>-(I27*49.6%)/AD27%</f>
        <v>0</v>
      </c>
      <c r="X27" s="2531"/>
      <c r="Y27" s="2531"/>
      <c r="Z27" s="2531"/>
      <c r="AA27" s="2348">
        <f t="shared" si="0"/>
        <v>0</v>
      </c>
      <c r="AB27" s="2653" t="s">
        <v>170</v>
      </c>
      <c r="AC27" s="2655"/>
      <c r="AD27" s="2531">
        <v>100</v>
      </c>
      <c r="AE27" s="2531"/>
      <c r="AF27" s="2648"/>
      <c r="AG27" s="2646"/>
      <c r="AH27" s="2648"/>
      <c r="AI27" s="2633"/>
      <c r="AJ27" s="2348"/>
      <c r="AK27" s="2631">
        <f t="shared" si="1"/>
        <v>0</v>
      </c>
      <c r="AL27" s="2655"/>
      <c r="AM27" s="2531"/>
      <c r="AN27" s="2531"/>
      <c r="AO27" s="2531"/>
      <c r="AP27" s="2531"/>
      <c r="AQ27" s="2531"/>
      <c r="AR27" s="2531"/>
      <c r="AS27" s="2531"/>
      <c r="AT27" s="2348"/>
    </row>
    <row r="28" spans="1:51" ht="15" customHeight="1" x14ac:dyDescent="0.2">
      <c r="A28" s="2339"/>
      <c r="B28" s="2339"/>
      <c r="C28" s="2339"/>
      <c r="D28" s="2339"/>
      <c r="E28" s="2339"/>
      <c r="F28" s="2339"/>
      <c r="G28" s="2339"/>
      <c r="H28" s="2531"/>
      <c r="I28" s="2632"/>
      <c r="J28" s="2632"/>
      <c r="K28" s="2632"/>
      <c r="L28" s="2632"/>
      <c r="M28" s="2531"/>
      <c r="N28" s="2531"/>
      <c r="O28" s="2531"/>
      <c r="P28" s="2531"/>
      <c r="Q28" s="2531"/>
      <c r="R28" s="2632">
        <f>AA28*33.3%</f>
        <v>0</v>
      </c>
      <c r="S28" s="2531">
        <f>AA28*10.5%</f>
        <v>0</v>
      </c>
      <c r="T28" s="2531">
        <f>AA28*6.6%</f>
        <v>0</v>
      </c>
      <c r="U28" s="2531"/>
      <c r="V28" s="2531"/>
      <c r="W28" s="2632">
        <f>AA28*49.6%</f>
        <v>0</v>
      </c>
      <c r="X28" s="2531"/>
      <c r="Y28" s="2531"/>
      <c r="Z28" s="2531"/>
      <c r="AA28" s="2348">
        <f>'E2020'!AA28</f>
        <v>0</v>
      </c>
      <c r="AB28" s="2653" t="s">
        <v>169</v>
      </c>
      <c r="AC28" s="2632">
        <v>34.200000000000003</v>
      </c>
      <c r="AD28" s="2531"/>
      <c r="AE28" s="2531"/>
      <c r="AF28" s="2648"/>
      <c r="AG28" s="2646">
        <f>AA28*AC28/100</f>
        <v>0</v>
      </c>
      <c r="AH28" s="2648"/>
      <c r="AI28" s="2646">
        <f>AA28*AE28/100</f>
        <v>0</v>
      </c>
      <c r="AJ28" s="2648"/>
      <c r="AK28" s="2631">
        <f t="shared" si="1"/>
        <v>0</v>
      </c>
      <c r="AL28" s="2655"/>
      <c r="AM28" s="2531"/>
      <c r="AN28" s="2531"/>
      <c r="AO28" s="2531"/>
      <c r="AP28" s="2531"/>
      <c r="AQ28" s="2531"/>
      <c r="AR28" s="2531"/>
      <c r="AS28" s="2531"/>
      <c r="AT28" s="2348"/>
    </row>
    <row r="29" spans="1:51" ht="15" customHeight="1" x14ac:dyDescent="0.2">
      <c r="A29" s="2339"/>
      <c r="B29" s="2632">
        <v>0</v>
      </c>
      <c r="C29" s="2632">
        <v>0</v>
      </c>
      <c r="D29" s="2632">
        <v>0</v>
      </c>
      <c r="E29" s="2632">
        <v>0</v>
      </c>
      <c r="F29" s="2632">
        <v>0</v>
      </c>
      <c r="G29" s="2632">
        <v>0</v>
      </c>
      <c r="H29" s="2632">
        <v>0</v>
      </c>
      <c r="I29" s="2632">
        <v>0</v>
      </c>
      <c r="J29" s="2658"/>
      <c r="K29" s="2632"/>
      <c r="L29" s="2632"/>
      <c r="M29" s="2632">
        <v>0</v>
      </c>
      <c r="N29" s="2632">
        <v>0</v>
      </c>
      <c r="O29" s="2632">
        <v>0</v>
      </c>
      <c r="P29" s="2632">
        <v>0</v>
      </c>
      <c r="Q29" s="2632">
        <v>0</v>
      </c>
      <c r="R29" s="2632">
        <v>0</v>
      </c>
      <c r="S29" s="2632">
        <v>0</v>
      </c>
      <c r="T29" s="2632">
        <v>0</v>
      </c>
      <c r="U29" s="2632">
        <v>0</v>
      </c>
      <c r="V29" s="2632">
        <v>0</v>
      </c>
      <c r="W29" s="2632">
        <v>0</v>
      </c>
      <c r="X29" s="2632">
        <v>0</v>
      </c>
      <c r="Y29" s="2632">
        <v>0</v>
      </c>
      <c r="Z29" s="2632">
        <v>0</v>
      </c>
      <c r="AA29" s="2348">
        <f t="shared" ref="AA29:AA60" si="3">SUM(A29:Z29)</f>
        <v>0</v>
      </c>
      <c r="AB29" s="2653" t="s">
        <v>179</v>
      </c>
      <c r="AC29" s="2632">
        <v>0</v>
      </c>
      <c r="AD29" s="2531"/>
      <c r="AE29" s="2632">
        <v>0</v>
      </c>
      <c r="AF29" s="2648"/>
      <c r="AG29" s="2646">
        <f>AA29*AC29/100</f>
        <v>0</v>
      </c>
      <c r="AH29" s="2648"/>
      <c r="AI29" s="2633">
        <f>AA29*AE29/100</f>
        <v>0</v>
      </c>
      <c r="AJ29" s="2348"/>
      <c r="AK29" s="2631">
        <f t="shared" si="1"/>
        <v>0</v>
      </c>
      <c r="AL29" s="2655"/>
      <c r="AM29" s="2531"/>
      <c r="AN29" s="2531"/>
      <c r="AO29" s="2531"/>
      <c r="AP29" s="2531"/>
      <c r="AQ29" s="2531"/>
      <c r="AR29" s="2531"/>
      <c r="AS29" s="2531"/>
      <c r="AT29" s="2348"/>
    </row>
    <row r="30" spans="1:51" ht="15" customHeight="1" x14ac:dyDescent="0.2">
      <c r="A30" s="2339"/>
      <c r="B30" s="2632">
        <v>0</v>
      </c>
      <c r="C30" s="2632">
        <v>0</v>
      </c>
      <c r="D30" s="2632">
        <v>0</v>
      </c>
      <c r="E30" s="2632">
        <v>0</v>
      </c>
      <c r="F30" s="2632">
        <v>0</v>
      </c>
      <c r="G30" s="2632">
        <v>0</v>
      </c>
      <c r="H30" s="2632">
        <v>0</v>
      </c>
      <c r="I30" s="2632">
        <v>0</v>
      </c>
      <c r="J30" s="2658"/>
      <c r="K30" s="2531"/>
      <c r="L30" s="2531"/>
      <c r="M30" s="2632">
        <v>0</v>
      </c>
      <c r="N30" s="2632">
        <v>0</v>
      </c>
      <c r="O30" s="2632">
        <v>0</v>
      </c>
      <c r="P30" s="2632">
        <v>0</v>
      </c>
      <c r="Q30" s="2632">
        <v>0</v>
      </c>
      <c r="R30" s="2632">
        <v>0</v>
      </c>
      <c r="S30" s="2632">
        <v>0</v>
      </c>
      <c r="T30" s="2632">
        <v>0</v>
      </c>
      <c r="U30" s="2632">
        <v>0</v>
      </c>
      <c r="V30" s="2632">
        <v>0</v>
      </c>
      <c r="W30" s="2632">
        <v>0</v>
      </c>
      <c r="X30" s="2632">
        <v>0</v>
      </c>
      <c r="Y30" s="2632">
        <v>0</v>
      </c>
      <c r="Z30" s="2632">
        <v>0</v>
      </c>
      <c r="AA30" s="2348">
        <f t="shared" si="3"/>
        <v>0</v>
      </c>
      <c r="AB30" s="2653" t="s">
        <v>13</v>
      </c>
      <c r="AC30" s="2646"/>
      <c r="AD30" s="2531"/>
      <c r="AE30" s="2632">
        <v>0</v>
      </c>
      <c r="AF30" s="2648"/>
      <c r="AG30" s="2646"/>
      <c r="AH30" s="2648"/>
      <c r="AI30" s="2633">
        <f>AA30*AE30/100</f>
        <v>0</v>
      </c>
      <c r="AJ30" s="2348"/>
      <c r="AK30" s="2631">
        <f t="shared" si="1"/>
        <v>0</v>
      </c>
      <c r="AL30" s="2655"/>
      <c r="AM30" s="2531"/>
      <c r="AN30" s="2531"/>
      <c r="AO30" s="2531"/>
      <c r="AP30" s="2531"/>
      <c r="AQ30" s="2531"/>
      <c r="AR30" s="2531"/>
      <c r="AS30" s="2531"/>
      <c r="AT30" s="2348"/>
    </row>
    <row r="31" spans="1:51" ht="15" customHeight="1" x14ac:dyDescent="0.2">
      <c r="A31" s="2339"/>
      <c r="B31" s="2339"/>
      <c r="C31" s="2339"/>
      <c r="D31" s="2531"/>
      <c r="E31" s="2531"/>
      <c r="F31" s="2531"/>
      <c r="G31" s="2531"/>
      <c r="H31" s="2531"/>
      <c r="I31" s="2531"/>
      <c r="J31" s="2531"/>
      <c r="K31" s="2531"/>
      <c r="L31" s="2531"/>
      <c r="M31" s="2531"/>
      <c r="N31" s="2531"/>
      <c r="O31" s="2531"/>
      <c r="P31" s="2531"/>
      <c r="Q31" s="2632">
        <f>AI31-AH31</f>
        <v>0</v>
      </c>
      <c r="R31" s="2531"/>
      <c r="S31" s="2531"/>
      <c r="T31" s="2531"/>
      <c r="U31" s="2531"/>
      <c r="V31" s="2531"/>
      <c r="W31" s="2531"/>
      <c r="X31" s="2531"/>
      <c r="Y31" s="2531"/>
      <c r="Z31" s="2531"/>
      <c r="AA31" s="2348">
        <f t="shared" si="3"/>
        <v>0</v>
      </c>
      <c r="AB31" s="2653" t="s">
        <v>167</v>
      </c>
      <c r="AC31" s="2646"/>
      <c r="AD31" s="2531"/>
      <c r="AE31" s="2635">
        <f>'E-Tiltag'!J137</f>
        <v>600</v>
      </c>
      <c r="AF31" s="2648"/>
      <c r="AG31" s="2646">
        <f>-AH31/$D$2%</f>
        <v>0</v>
      </c>
      <c r="AH31" s="2632">
        <v>0</v>
      </c>
      <c r="AI31" s="2659">
        <f>AH31*AE31%</f>
        <v>0</v>
      </c>
      <c r="AJ31" s="2348"/>
      <c r="AK31" s="2631">
        <f t="shared" si="1"/>
        <v>0</v>
      </c>
      <c r="AL31" s="2655"/>
      <c r="AM31" s="2655"/>
      <c r="AN31" s="2531"/>
      <c r="AO31" s="2531"/>
      <c r="AP31" s="2531"/>
      <c r="AQ31" s="2531"/>
      <c r="AR31" s="2531"/>
      <c r="AS31" s="2531"/>
      <c r="AT31" s="2348"/>
    </row>
    <row r="32" spans="1:51" ht="15" customHeight="1" x14ac:dyDescent="0.2">
      <c r="A32" s="2339"/>
      <c r="B32" s="2339"/>
      <c r="C32" s="2339"/>
      <c r="D32" s="2531"/>
      <c r="E32" s="2531"/>
      <c r="F32" s="2531"/>
      <c r="G32" s="2662"/>
      <c r="H32" s="2531"/>
      <c r="I32" s="2531"/>
      <c r="J32" s="2531"/>
      <c r="K32" s="2531"/>
      <c r="L32" s="2531"/>
      <c r="M32" s="2531"/>
      <c r="N32" s="2531"/>
      <c r="O32" s="2531"/>
      <c r="P32" s="2531"/>
      <c r="Q32" s="2531"/>
      <c r="R32" s="2531"/>
      <c r="S32" s="2531"/>
      <c r="T32" s="2531"/>
      <c r="U32" s="2531"/>
      <c r="V32" s="2531"/>
      <c r="W32" s="2531"/>
      <c r="X32" s="2531"/>
      <c r="Y32" s="2531"/>
      <c r="Z32" s="2531"/>
      <c r="AA32" s="2348">
        <f t="shared" si="3"/>
        <v>0</v>
      </c>
      <c r="AB32" s="2653" t="s">
        <v>168</v>
      </c>
      <c r="AC32" s="2646"/>
      <c r="AD32" s="2531"/>
      <c r="AE32" s="2632">
        <v>100</v>
      </c>
      <c r="AF32" s="2648"/>
      <c r="AG32" s="2646">
        <f>-AH32/$D$2%</f>
        <v>0</v>
      </c>
      <c r="AH32" s="2632">
        <v>0</v>
      </c>
      <c r="AI32" s="2646">
        <f>AH32*AE32%</f>
        <v>0</v>
      </c>
      <c r="AJ32" s="2348"/>
      <c r="AK32" s="2631">
        <f t="shared" si="1"/>
        <v>0</v>
      </c>
      <c r="AL32" s="2655"/>
      <c r="AM32" s="2655"/>
      <c r="AN32" s="2531"/>
      <c r="AO32" s="2531"/>
      <c r="AP32" s="2531"/>
      <c r="AQ32" s="2531"/>
      <c r="AR32" s="2531"/>
      <c r="AS32" s="2531"/>
      <c r="AT32" s="2348"/>
    </row>
    <row r="33" spans="1:47" ht="15" customHeight="1" x14ac:dyDescent="0.2">
      <c r="A33" s="2339"/>
      <c r="B33" s="2339"/>
      <c r="C33" s="2531"/>
      <c r="D33" s="2531"/>
      <c r="E33" s="2531"/>
      <c r="F33" s="2531"/>
      <c r="G33" s="2531"/>
      <c r="H33" s="2531"/>
      <c r="I33" s="2531"/>
      <c r="J33" s="2531"/>
      <c r="K33" s="2531"/>
      <c r="L33" s="2531"/>
      <c r="M33" s="2531"/>
      <c r="N33" s="2531"/>
      <c r="O33" s="2531"/>
      <c r="P33" s="2531"/>
      <c r="Q33" s="2531"/>
      <c r="R33" s="2531"/>
      <c r="S33" s="2531"/>
      <c r="T33" s="2531"/>
      <c r="U33" s="2531"/>
      <c r="V33" s="2531"/>
      <c r="W33" s="2531"/>
      <c r="X33" s="2531"/>
      <c r="Y33" s="2531"/>
      <c r="Z33" s="2531"/>
      <c r="AA33" s="2348">
        <f t="shared" si="3"/>
        <v>0</v>
      </c>
      <c r="AB33" s="2653" t="s">
        <v>27</v>
      </c>
      <c r="AC33" s="2646"/>
      <c r="AD33" s="2531"/>
      <c r="AE33" s="2531"/>
      <c r="AF33" s="2632">
        <f>100-'E-Tiltag'!$J$19</f>
        <v>99.75</v>
      </c>
      <c r="AG33" s="2646"/>
      <c r="AH33" s="2648"/>
      <c r="AI33" s="2633">
        <f>-SUM(AI29:AI32)</f>
        <v>0</v>
      </c>
      <c r="AJ33" s="2348">
        <f>-AI33*AF33%</f>
        <v>0</v>
      </c>
      <c r="AK33" s="2631">
        <f t="shared" si="1"/>
        <v>0</v>
      </c>
      <c r="AL33" s="2654">
        <f>AJ33*64.9%</f>
        <v>0</v>
      </c>
      <c r="AM33" s="2654">
        <f>AJ33*9.8%</f>
        <v>0</v>
      </c>
      <c r="AN33" s="2632">
        <f>AJ33*13.2%</f>
        <v>0</v>
      </c>
      <c r="AO33" s="2632">
        <f>AJ33*7%</f>
        <v>0</v>
      </c>
      <c r="AP33" s="2632"/>
      <c r="AQ33" s="2632">
        <f>AJ33*3.6%</f>
        <v>0</v>
      </c>
      <c r="AR33" s="2632">
        <f>AJ33*1.5%</f>
        <v>0</v>
      </c>
      <c r="AS33" s="2632"/>
      <c r="AT33" s="2348"/>
    </row>
    <row r="34" spans="1:47" ht="15" customHeight="1" x14ac:dyDescent="0.2">
      <c r="A34" s="2339"/>
      <c r="B34" s="2632">
        <v>0</v>
      </c>
      <c r="C34" s="2632">
        <v>0</v>
      </c>
      <c r="D34" s="2632">
        <v>0</v>
      </c>
      <c r="E34" s="2632">
        <v>0</v>
      </c>
      <c r="F34" s="2632">
        <v>0</v>
      </c>
      <c r="G34" s="2632">
        <v>0</v>
      </c>
      <c r="H34" s="2632">
        <v>0</v>
      </c>
      <c r="I34" s="2632">
        <v>0</v>
      </c>
      <c r="J34" s="2658"/>
      <c r="K34" s="2632"/>
      <c r="L34" s="2632"/>
      <c r="M34" s="2632">
        <v>0</v>
      </c>
      <c r="N34" s="2632">
        <v>0</v>
      </c>
      <c r="O34" s="2632">
        <v>0</v>
      </c>
      <c r="P34" s="2632">
        <v>0</v>
      </c>
      <c r="Q34" s="2632">
        <v>0</v>
      </c>
      <c r="R34" s="2632">
        <v>0</v>
      </c>
      <c r="S34" s="2632">
        <v>0</v>
      </c>
      <c r="T34" s="2632">
        <v>0</v>
      </c>
      <c r="U34" s="2632">
        <v>0</v>
      </c>
      <c r="V34" s="2632">
        <v>0</v>
      </c>
      <c r="W34" s="2632">
        <v>0</v>
      </c>
      <c r="X34" s="2632">
        <v>0</v>
      </c>
      <c r="Y34" s="2632">
        <v>0</v>
      </c>
      <c r="Z34" s="2632">
        <v>0</v>
      </c>
      <c r="AA34" s="2348">
        <f t="shared" si="3"/>
        <v>0</v>
      </c>
      <c r="AB34" s="2653" t="s">
        <v>180</v>
      </c>
      <c r="AC34" s="2632">
        <v>0</v>
      </c>
      <c r="AD34" s="2531"/>
      <c r="AE34" s="2632">
        <v>0</v>
      </c>
      <c r="AF34" s="2648"/>
      <c r="AG34" s="2646">
        <f>AA34*AC34/100</f>
        <v>0</v>
      </c>
      <c r="AH34" s="2648"/>
      <c r="AI34" s="2633">
        <f>AA34*AE34/100</f>
        <v>0</v>
      </c>
      <c r="AJ34" s="2348"/>
      <c r="AK34" s="2631">
        <f t="shared" si="1"/>
        <v>0</v>
      </c>
      <c r="AL34" s="2655"/>
      <c r="AM34" s="2531"/>
      <c r="AN34" s="2531"/>
      <c r="AO34" s="2531"/>
      <c r="AP34" s="2531"/>
      <c r="AQ34" s="2531"/>
      <c r="AR34" s="2531"/>
      <c r="AS34" s="2531"/>
      <c r="AT34" s="2348"/>
    </row>
    <row r="35" spans="1:47" ht="15" customHeight="1" x14ac:dyDescent="0.2">
      <c r="A35" s="2339"/>
      <c r="B35" s="2632">
        <v>0</v>
      </c>
      <c r="C35" s="2632">
        <v>0</v>
      </c>
      <c r="D35" s="2632">
        <v>0</v>
      </c>
      <c r="E35" s="2632">
        <v>0</v>
      </c>
      <c r="F35" s="2632">
        <v>0</v>
      </c>
      <c r="G35" s="2632">
        <v>0</v>
      </c>
      <c r="H35" s="2632">
        <v>0</v>
      </c>
      <c r="I35" s="2632">
        <v>0</v>
      </c>
      <c r="J35" s="2658"/>
      <c r="K35" s="2531"/>
      <c r="L35" s="2531"/>
      <c r="M35" s="2632">
        <v>0</v>
      </c>
      <c r="N35" s="2632">
        <v>0</v>
      </c>
      <c r="O35" s="2632">
        <v>0</v>
      </c>
      <c r="P35" s="2632">
        <v>0</v>
      </c>
      <c r="Q35" s="2632">
        <v>0</v>
      </c>
      <c r="R35" s="2632">
        <v>0</v>
      </c>
      <c r="S35" s="2632">
        <v>0</v>
      </c>
      <c r="T35" s="2632">
        <v>0</v>
      </c>
      <c r="U35" s="2632">
        <v>0</v>
      </c>
      <c r="V35" s="2632">
        <v>0</v>
      </c>
      <c r="W35" s="2632">
        <v>0</v>
      </c>
      <c r="X35" s="2632">
        <v>0</v>
      </c>
      <c r="Y35" s="2632">
        <v>0</v>
      </c>
      <c r="Z35" s="2632">
        <v>0</v>
      </c>
      <c r="AA35" s="2348">
        <f t="shared" si="3"/>
        <v>0</v>
      </c>
      <c r="AB35" s="2653" t="s">
        <v>7</v>
      </c>
      <c r="AC35" s="2646"/>
      <c r="AD35" s="2531"/>
      <c r="AE35" s="2632">
        <v>0</v>
      </c>
      <c r="AF35" s="2648"/>
      <c r="AG35" s="2646">
        <f>AA35*AC35/100</f>
        <v>0</v>
      </c>
      <c r="AH35" s="2648"/>
      <c r="AI35" s="2633">
        <f>AA35*AE35/100</f>
        <v>0</v>
      </c>
      <c r="AJ35" s="2348"/>
      <c r="AK35" s="2631">
        <f t="shared" si="1"/>
        <v>0</v>
      </c>
      <c r="AL35" s="2655"/>
      <c r="AM35" s="2531"/>
      <c r="AN35" s="2531"/>
      <c r="AO35" s="2531"/>
      <c r="AP35" s="2531"/>
      <c r="AQ35" s="2531"/>
      <c r="AR35" s="2531"/>
      <c r="AS35" s="2531"/>
      <c r="AT35" s="2348"/>
    </row>
    <row r="36" spans="1:47" ht="15" customHeight="1" x14ac:dyDescent="0.2">
      <c r="A36" s="2339"/>
      <c r="B36" s="2339"/>
      <c r="C36" s="2531"/>
      <c r="D36" s="2531"/>
      <c r="E36" s="2531"/>
      <c r="F36" s="2531"/>
      <c r="G36" s="2531"/>
      <c r="H36" s="2531"/>
      <c r="I36" s="2531"/>
      <c r="J36" s="2531"/>
      <c r="K36" s="2531"/>
      <c r="L36" s="2531"/>
      <c r="M36" s="2531"/>
      <c r="N36" s="2531"/>
      <c r="O36" s="2531"/>
      <c r="P36" s="2531"/>
      <c r="Q36" s="2531"/>
      <c r="R36" s="2531"/>
      <c r="S36" s="2531"/>
      <c r="T36" s="2531"/>
      <c r="U36" s="2531"/>
      <c r="V36" s="2531"/>
      <c r="W36" s="2531"/>
      <c r="X36" s="2531"/>
      <c r="Y36" s="2531"/>
      <c r="Z36" s="2531"/>
      <c r="AA36" s="2348">
        <f t="shared" si="3"/>
        <v>0</v>
      </c>
      <c r="AB36" s="2653" t="s">
        <v>28</v>
      </c>
      <c r="AC36" s="2646"/>
      <c r="AD36" s="2531"/>
      <c r="AE36" s="2531"/>
      <c r="AF36" s="2632">
        <f>100-'E-Tiltag'!$J$19</f>
        <v>99.75</v>
      </c>
      <c r="AG36" s="2646"/>
      <c r="AH36" s="2648"/>
      <c r="AI36" s="2633">
        <f>-SUM(AI34:AI35)</f>
        <v>0</v>
      </c>
      <c r="AJ36" s="2348">
        <f>-AI36*AF36%</f>
        <v>0</v>
      </c>
      <c r="AK36" s="2631">
        <f t="shared" si="1"/>
        <v>0</v>
      </c>
      <c r="AL36" s="2654">
        <f>AJ36*64.9%</f>
        <v>0</v>
      </c>
      <c r="AM36" s="2654">
        <f>AJ36*9.8%</f>
        <v>0</v>
      </c>
      <c r="AN36" s="2632">
        <f>AJ36*13.2%</f>
        <v>0</v>
      </c>
      <c r="AO36" s="2632">
        <f>AJ36*7%</f>
        <v>0</v>
      </c>
      <c r="AP36" s="2632"/>
      <c r="AQ36" s="2632">
        <f>AJ36*3.6%</f>
        <v>0</v>
      </c>
      <c r="AR36" s="2632">
        <f>AJ36*1.5%</f>
        <v>0</v>
      </c>
      <c r="AS36" s="2632"/>
      <c r="AT36" s="2348"/>
    </row>
    <row r="37" spans="1:47" ht="15" customHeight="1" x14ac:dyDescent="0.2">
      <c r="A37" s="2339"/>
      <c r="B37" s="2632">
        <v>0</v>
      </c>
      <c r="C37" s="2632">
        <v>0</v>
      </c>
      <c r="D37" s="2632">
        <v>0</v>
      </c>
      <c r="E37" s="2635"/>
      <c r="F37" s="2632">
        <v>0</v>
      </c>
      <c r="G37" s="2632">
        <v>0</v>
      </c>
      <c r="H37" s="2632">
        <v>0</v>
      </c>
      <c r="I37" s="2635">
        <f>AI37/AC37%</f>
        <v>0</v>
      </c>
      <c r="J37" s="2658"/>
      <c r="K37" s="2632"/>
      <c r="L37" s="2632"/>
      <c r="M37" s="2632">
        <v>0</v>
      </c>
      <c r="N37" s="2632">
        <v>0</v>
      </c>
      <c r="O37" s="2632">
        <v>0</v>
      </c>
      <c r="P37" s="2632">
        <v>0</v>
      </c>
      <c r="Q37" s="2632">
        <v>0</v>
      </c>
      <c r="R37" s="2632">
        <v>0</v>
      </c>
      <c r="S37" s="2632">
        <v>0</v>
      </c>
      <c r="T37" s="2632">
        <v>0</v>
      </c>
      <c r="U37" s="2632">
        <v>0</v>
      </c>
      <c r="V37" s="2632">
        <v>0</v>
      </c>
      <c r="W37" s="2632">
        <v>0</v>
      </c>
      <c r="X37" s="2632">
        <v>0</v>
      </c>
      <c r="Y37" s="2632">
        <v>0</v>
      </c>
      <c r="Z37" s="2632">
        <v>0</v>
      </c>
      <c r="AA37" s="2348">
        <f t="shared" si="3"/>
        <v>0</v>
      </c>
      <c r="AB37" s="2653" t="s">
        <v>181</v>
      </c>
      <c r="AC37" s="2632">
        <v>45.1</v>
      </c>
      <c r="AD37" s="2531"/>
      <c r="AE37" s="2632">
        <v>50.9</v>
      </c>
      <c r="AF37" s="2648"/>
      <c r="AG37" s="2633">
        <f>AA37*AC37/100</f>
        <v>0</v>
      </c>
      <c r="AH37" s="2348"/>
      <c r="AI37" s="2660">
        <f>SUMPRODUCT('E-Tiltag'!$D$172:$D$176,'E-Tiltag'!$K$172:$K$176)</f>
        <v>0</v>
      </c>
      <c r="AJ37" s="2348"/>
      <c r="AK37" s="2631">
        <f t="shared" si="1"/>
        <v>0</v>
      </c>
      <c r="AL37" s="2655"/>
      <c r="AM37" s="2531"/>
      <c r="AN37" s="2531"/>
      <c r="AO37" s="2531"/>
      <c r="AP37" s="2531"/>
      <c r="AQ37" s="2531"/>
      <c r="AR37" s="2531"/>
      <c r="AS37" s="2531"/>
      <c r="AT37" s="2348"/>
    </row>
    <row r="38" spans="1:47" ht="15" customHeight="1" x14ac:dyDescent="0.2">
      <c r="A38" s="2339"/>
      <c r="B38" s="2632">
        <v>0</v>
      </c>
      <c r="C38" s="2632">
        <v>0</v>
      </c>
      <c r="D38" s="2632">
        <v>0</v>
      </c>
      <c r="E38" s="2632">
        <v>0</v>
      </c>
      <c r="F38" s="2632">
        <v>0</v>
      </c>
      <c r="G38" s="2632">
        <v>0</v>
      </c>
      <c r="H38" s="2632">
        <v>0</v>
      </c>
      <c r="I38" s="2635">
        <f>SUMPRODUCT('E-Tiltag'!$D$172:$D$176,'E-Tiltag'!$L$172:$L$176)/$AE$38%</f>
        <v>0</v>
      </c>
      <c r="J38" s="2658"/>
      <c r="K38" s="2531"/>
      <c r="L38" s="2531"/>
      <c r="M38" s="2632">
        <v>0</v>
      </c>
      <c r="N38" s="2632">
        <v>0</v>
      </c>
      <c r="O38" s="2632">
        <v>0</v>
      </c>
      <c r="P38" s="2632">
        <v>0</v>
      </c>
      <c r="Q38" s="2632">
        <v>0</v>
      </c>
      <c r="R38" s="2632">
        <v>0</v>
      </c>
      <c r="S38" s="2632">
        <v>0</v>
      </c>
      <c r="T38" s="2632">
        <v>0</v>
      </c>
      <c r="U38" s="2635">
        <f>SUMPRODUCT('E-Tiltag'!$D$172:$D$176,'E-Tiltag'!$H$172:$H$176)/$AE$38%</f>
        <v>18.874659190588233</v>
      </c>
      <c r="V38" s="2632">
        <v>0</v>
      </c>
      <c r="W38" s="2632">
        <v>0</v>
      </c>
      <c r="X38" s="2635">
        <f>SUMPRODUCT('E-Tiltag'!$D$172:$D$176,'E-Tiltag'!$I$172:$I$176)/$AE$38%*(1-'E-Tiltag'!$I$140)</f>
        <v>0</v>
      </c>
      <c r="Y38" s="2632">
        <v>0</v>
      </c>
      <c r="Z38" s="2635">
        <f>SUMPRODUCT('E-Tiltag'!$D$172:$D$176,'E-Tiltag'!$I$172:$I$176)/$AE$38%*'E-Tiltag'!$I$140</f>
        <v>0</v>
      </c>
      <c r="AA38" s="2348">
        <f t="shared" si="3"/>
        <v>18.874659190588233</v>
      </c>
      <c r="AB38" s="2653" t="s">
        <v>203</v>
      </c>
      <c r="AC38" s="2646"/>
      <c r="AD38" s="2531"/>
      <c r="AE38" s="2635">
        <f>'E-Tiltag'!S176</f>
        <v>102</v>
      </c>
      <c r="AF38" s="2648"/>
      <c r="AG38" s="2633">
        <f>AA38*AC38/100</f>
        <v>0</v>
      </c>
      <c r="AH38" s="2348"/>
      <c r="AI38" s="2633">
        <f>AA38*AE38/100</f>
        <v>19.252152374399998</v>
      </c>
      <c r="AJ38" s="2348"/>
      <c r="AK38" s="2631">
        <f t="shared" si="1"/>
        <v>0</v>
      </c>
      <c r="AL38" s="2655"/>
      <c r="AM38" s="2531"/>
      <c r="AN38" s="2531"/>
      <c r="AO38" s="2531"/>
      <c r="AP38" s="2531"/>
      <c r="AQ38" s="2531"/>
      <c r="AR38" s="2531"/>
      <c r="AS38" s="2531"/>
      <c r="AT38" s="2348"/>
      <c r="AU38" s="33"/>
    </row>
    <row r="39" spans="1:47" ht="15" customHeight="1" x14ac:dyDescent="0.2">
      <c r="A39" s="2339"/>
      <c r="B39" s="2531"/>
      <c r="C39" s="2531"/>
      <c r="D39" s="2531"/>
      <c r="E39" s="2531"/>
      <c r="F39" s="2531"/>
      <c r="G39" s="2531"/>
      <c r="H39" s="2531"/>
      <c r="I39" s="2632">
        <v>0</v>
      </c>
      <c r="J39" s="2531"/>
      <c r="K39" s="2531"/>
      <c r="L39" s="2531"/>
      <c r="M39" s="2531"/>
      <c r="N39" s="2531"/>
      <c r="O39" s="2531"/>
      <c r="P39" s="2531"/>
      <c r="Q39" s="2632">
        <f>AI39-AH39</f>
        <v>0</v>
      </c>
      <c r="R39" s="2531"/>
      <c r="S39" s="2531"/>
      <c r="T39" s="2531"/>
      <c r="U39" s="2531"/>
      <c r="V39" s="2531"/>
      <c r="W39" s="2531"/>
      <c r="X39" s="2531"/>
      <c r="Y39" s="2531"/>
      <c r="Z39" s="2531"/>
      <c r="AA39" s="2348">
        <f t="shared" si="3"/>
        <v>0</v>
      </c>
      <c r="AB39" s="2653" t="s">
        <v>204</v>
      </c>
      <c r="AC39" s="2646"/>
      <c r="AD39" s="2531"/>
      <c r="AE39" s="2635">
        <f>'E-Tiltag'!J136</f>
        <v>333</v>
      </c>
      <c r="AF39" s="2648"/>
      <c r="AG39" s="2646">
        <f>-AH39/$D$2%</f>
        <v>0</v>
      </c>
      <c r="AH39" s="2635">
        <f>SUMPRODUCT('E-Tiltag'!$D$172:$D$176,'E-Tiltag'!$E$172:$E$176)/AE39%+SUMPRODUCT('E-Tiltag'!$D$172:$D$176,'E-Tiltag'!$F$172:$F$176)/AE31%</f>
        <v>0</v>
      </c>
      <c r="AI39" s="2660">
        <f>SUMPRODUCT('E-Tiltag'!$D$172:$D$176,'E-Tiltag'!$E$172:$E$176)+SUMPRODUCT('E-Tiltag'!$D$172:$D$176,'E-Tiltag'!$F$172:$F$176)</f>
        <v>0</v>
      </c>
      <c r="AJ39" s="2648"/>
      <c r="AK39" s="2631">
        <f t="shared" si="1"/>
        <v>0</v>
      </c>
      <c r="AL39" s="2655"/>
      <c r="AM39" s="2531"/>
      <c r="AN39" s="2531"/>
      <c r="AO39" s="2531"/>
      <c r="AP39" s="2531"/>
      <c r="AQ39" s="2531"/>
      <c r="AR39" s="2531"/>
      <c r="AS39" s="2531"/>
      <c r="AT39" s="2348"/>
    </row>
    <row r="40" spans="1:47" ht="15" customHeight="1" x14ac:dyDescent="0.2">
      <c r="A40" s="2339"/>
      <c r="B40" s="2531"/>
      <c r="C40" s="2531"/>
      <c r="D40" s="2531"/>
      <c r="E40" s="2531"/>
      <c r="F40" s="2531"/>
      <c r="G40" s="2531"/>
      <c r="H40" s="2531"/>
      <c r="I40" s="2531"/>
      <c r="J40" s="2531"/>
      <c r="K40" s="2531"/>
      <c r="L40" s="2531"/>
      <c r="M40" s="2531"/>
      <c r="N40" s="2531"/>
      <c r="O40" s="2531"/>
      <c r="P40" s="2531"/>
      <c r="Q40" s="2531"/>
      <c r="R40" s="2531"/>
      <c r="S40" s="2531"/>
      <c r="T40" s="2531"/>
      <c r="U40" s="2531"/>
      <c r="V40" s="2531"/>
      <c r="W40" s="2531"/>
      <c r="X40" s="2531"/>
      <c r="Y40" s="2531"/>
      <c r="Z40" s="2531"/>
      <c r="AA40" s="2348">
        <f t="shared" si="3"/>
        <v>0</v>
      </c>
      <c r="AB40" s="2653" t="s">
        <v>205</v>
      </c>
      <c r="AC40" s="2646"/>
      <c r="AD40" s="2531"/>
      <c r="AE40" s="2632">
        <v>99.690829694323099</v>
      </c>
      <c r="AF40" s="2648"/>
      <c r="AG40" s="2646">
        <f>-AH40/$D$2%</f>
        <v>0</v>
      </c>
      <c r="AH40" s="2635">
        <f>AI40/AE40%</f>
        <v>0</v>
      </c>
      <c r="AI40" s="2660">
        <f>SUMPRODUCT('E-Tiltag'!$D$172:$D$176,'E-Tiltag'!$G$172:$G$176)</f>
        <v>0</v>
      </c>
      <c r="AJ40" s="2648"/>
      <c r="AK40" s="2631">
        <f t="shared" ref="AK40:AK71" si="4">SUM(AL40:AT40)</f>
        <v>0</v>
      </c>
      <c r="AL40" s="2655"/>
      <c r="AM40" s="2531"/>
      <c r="AN40" s="2531"/>
      <c r="AO40" s="2531"/>
      <c r="AP40" s="2531"/>
      <c r="AQ40" s="2531"/>
      <c r="AR40" s="2531"/>
      <c r="AS40" s="2531"/>
      <c r="AT40" s="2348"/>
    </row>
    <row r="41" spans="1:47" ht="15" customHeight="1" x14ac:dyDescent="0.2">
      <c r="A41" s="2339"/>
      <c r="B41" s="2531"/>
      <c r="C41" s="2531"/>
      <c r="D41" s="2531"/>
      <c r="E41" s="2531"/>
      <c r="F41" s="2531"/>
      <c r="G41" s="2531"/>
      <c r="H41" s="2531"/>
      <c r="I41" s="2531"/>
      <c r="J41" s="2531"/>
      <c r="K41" s="2531"/>
      <c r="L41" s="2531"/>
      <c r="M41" s="2531"/>
      <c r="N41" s="2531"/>
      <c r="O41" s="2635">
        <f>AI41</f>
        <v>0</v>
      </c>
      <c r="P41" s="2531"/>
      <c r="Q41" s="2531"/>
      <c r="R41" s="2531"/>
      <c r="S41" s="2531"/>
      <c r="T41" s="2531"/>
      <c r="U41" s="2531"/>
      <c r="V41" s="2531"/>
      <c r="W41" s="2531"/>
      <c r="X41" s="2531"/>
      <c r="Y41" s="2531"/>
      <c r="Z41" s="2531"/>
      <c r="AA41" s="2348">
        <f t="shared" si="3"/>
        <v>0</v>
      </c>
      <c r="AB41" s="2653" t="s">
        <v>206</v>
      </c>
      <c r="AC41" s="2646"/>
      <c r="AD41" s="2531"/>
      <c r="AE41" s="2632">
        <v>100</v>
      </c>
      <c r="AF41" s="2648"/>
      <c r="AG41" s="2633"/>
      <c r="AH41" s="2348"/>
      <c r="AI41" s="2660">
        <f>SUMPRODUCT('E-Tiltag'!$D$172:$D$176,'E-Tiltag'!$J$172:$J$176)</f>
        <v>0</v>
      </c>
      <c r="AJ41" s="2348"/>
      <c r="AK41" s="2631">
        <f t="shared" si="4"/>
        <v>0</v>
      </c>
      <c r="AL41" s="2655"/>
      <c r="AM41" s="2531"/>
      <c r="AN41" s="2531"/>
      <c r="AO41" s="2531"/>
      <c r="AP41" s="2531"/>
      <c r="AQ41" s="2531"/>
      <c r="AR41" s="2531"/>
      <c r="AS41" s="2531"/>
      <c r="AT41" s="2348"/>
    </row>
    <row r="42" spans="1:47" ht="15" customHeight="1" x14ac:dyDescent="0.2">
      <c r="A42" s="2339"/>
      <c r="B42" s="2531"/>
      <c r="C42" s="2531"/>
      <c r="D42" s="2531"/>
      <c r="E42" s="2531"/>
      <c r="F42" s="2531"/>
      <c r="G42" s="2531"/>
      <c r="H42" s="2531"/>
      <c r="I42" s="2531"/>
      <c r="J42" s="2531"/>
      <c r="K42" s="2531"/>
      <c r="L42" s="2531"/>
      <c r="M42" s="2531"/>
      <c r="N42" s="2531"/>
      <c r="O42" s="2632"/>
      <c r="P42" s="2632">
        <v>0</v>
      </c>
      <c r="Q42" s="2531"/>
      <c r="R42" s="2531"/>
      <c r="S42" s="2531"/>
      <c r="T42" s="2531"/>
      <c r="U42" s="2531"/>
      <c r="V42" s="2531"/>
      <c r="W42" s="2531"/>
      <c r="X42" s="2531"/>
      <c r="Y42" s="2531"/>
      <c r="Z42" s="2531"/>
      <c r="AA42" s="2348">
        <f t="shared" si="3"/>
        <v>0</v>
      </c>
      <c r="AB42" s="2661" t="s">
        <v>4722</v>
      </c>
      <c r="AC42" s="2646"/>
      <c r="AD42" s="2531"/>
      <c r="AE42" s="2632">
        <v>100</v>
      </c>
      <c r="AF42" s="2648"/>
      <c r="AG42" s="2633">
        <f>AA42*AC42/100</f>
        <v>0</v>
      </c>
      <c r="AH42" s="2348"/>
      <c r="AI42" s="2660">
        <f>SUMPRODUCT('E-Tiltag'!$D$172:$D$176,'E-Tiltag'!$M$172:$M$176)+SUMPRODUCT('E-Tiltag'!$D$172:$D$176,'E-Tiltag'!$N$172:$N$176)</f>
        <v>0</v>
      </c>
      <c r="AJ42" s="2348"/>
      <c r="AK42" s="2631">
        <f t="shared" si="4"/>
        <v>0</v>
      </c>
      <c r="AL42" s="2655"/>
      <c r="AM42" s="2655"/>
      <c r="AN42" s="2531"/>
      <c r="AO42" s="2531"/>
      <c r="AP42" s="2531"/>
      <c r="AQ42" s="2531"/>
      <c r="AR42" s="2531"/>
      <c r="AS42" s="2531"/>
      <c r="AT42" s="2348"/>
    </row>
    <row r="43" spans="1:47" ht="15" customHeight="1" x14ac:dyDescent="0.2">
      <c r="A43" s="2339"/>
      <c r="B43" s="2339"/>
      <c r="C43" s="2339"/>
      <c r="D43" s="2339"/>
      <c r="E43" s="2339"/>
      <c r="F43" s="2339"/>
      <c r="G43" s="2339"/>
      <c r="H43" s="2339"/>
      <c r="I43" s="2339"/>
      <c r="J43" s="2531"/>
      <c r="K43" s="2531"/>
      <c r="L43" s="2531"/>
      <c r="M43" s="2339"/>
      <c r="N43" s="2339"/>
      <c r="O43" s="2339"/>
      <c r="P43" s="2339"/>
      <c r="Q43" s="2531"/>
      <c r="R43" s="2531"/>
      <c r="S43" s="2531"/>
      <c r="T43" s="2531"/>
      <c r="U43" s="2531"/>
      <c r="V43" s="2531"/>
      <c r="W43" s="2531"/>
      <c r="X43" s="2531"/>
      <c r="Y43" s="2531"/>
      <c r="Z43" s="2531"/>
      <c r="AA43" s="2348">
        <f t="shared" si="3"/>
        <v>0</v>
      </c>
      <c r="AB43" s="2653" t="s">
        <v>208</v>
      </c>
      <c r="AC43" s="2646"/>
      <c r="AD43" s="2531"/>
      <c r="AE43" s="2531"/>
      <c r="AF43" s="2632">
        <f>100-'E-Tiltag'!$J$19</f>
        <v>99.75</v>
      </c>
      <c r="AG43" s="2646"/>
      <c r="AH43" s="2648"/>
      <c r="AI43" s="2646">
        <f>-SUM(AI37:AI42)</f>
        <v>-19.252152374399998</v>
      </c>
      <c r="AJ43" s="2648">
        <f>-AI43*AF43%</f>
        <v>19.204021993464</v>
      </c>
      <c r="AK43" s="2631">
        <f t="shared" si="4"/>
        <v>19.204021993463996</v>
      </c>
      <c r="AL43" s="2654">
        <f>AJ43*64.9%</f>
        <v>12.463410273758136</v>
      </c>
      <c r="AM43" s="2654">
        <f>AJ43*9.8%</f>
        <v>1.8819941553594721</v>
      </c>
      <c r="AN43" s="2632">
        <f>AJ43*13.2%</f>
        <v>2.5349309031372482</v>
      </c>
      <c r="AO43" s="2632">
        <f>AJ43*7%</f>
        <v>1.3442815395424801</v>
      </c>
      <c r="AP43" s="2632"/>
      <c r="AQ43" s="2632">
        <f>AJ43*3.6%</f>
        <v>0.69134479176470409</v>
      </c>
      <c r="AR43" s="2632">
        <f>AJ43*1.5%</f>
        <v>0.28806032990196001</v>
      </c>
      <c r="AS43" s="2632"/>
      <c r="AT43" s="2348"/>
    </row>
    <row r="44" spans="1:47" ht="15" customHeight="1" x14ac:dyDescent="0.2">
      <c r="A44" s="2339"/>
      <c r="B44" s="2632">
        <v>0</v>
      </c>
      <c r="C44" s="2632">
        <v>0</v>
      </c>
      <c r="D44" s="2632">
        <v>0</v>
      </c>
      <c r="E44" s="2632">
        <v>0</v>
      </c>
      <c r="F44" s="2632">
        <v>0</v>
      </c>
      <c r="G44" s="2632">
        <v>0</v>
      </c>
      <c r="H44" s="2632">
        <v>0</v>
      </c>
      <c r="I44" s="2339"/>
      <c r="J44" s="2658"/>
      <c r="K44" s="2632"/>
      <c r="L44" s="2632"/>
      <c r="M44" s="2632">
        <v>0</v>
      </c>
      <c r="N44" s="2632">
        <v>0</v>
      </c>
      <c r="O44" s="2632">
        <v>0</v>
      </c>
      <c r="P44" s="2632">
        <v>0</v>
      </c>
      <c r="Q44" s="2632">
        <v>0</v>
      </c>
      <c r="R44" s="2632">
        <v>0</v>
      </c>
      <c r="S44" s="2632">
        <v>0</v>
      </c>
      <c r="T44" s="2632">
        <v>0</v>
      </c>
      <c r="U44" s="2632">
        <v>0</v>
      </c>
      <c r="V44" s="2632">
        <v>0</v>
      </c>
      <c r="W44" s="2632">
        <v>0</v>
      </c>
      <c r="X44" s="2632">
        <v>0</v>
      </c>
      <c r="Y44" s="2632">
        <v>0</v>
      </c>
      <c r="Z44" s="2632">
        <v>0</v>
      </c>
      <c r="AA44" s="2348">
        <f t="shared" si="3"/>
        <v>0</v>
      </c>
      <c r="AB44" s="2653" t="s">
        <v>182</v>
      </c>
      <c r="AC44" s="2632">
        <v>21.3</v>
      </c>
      <c r="AD44" s="2531"/>
      <c r="AE44" s="2632">
        <v>60.1</v>
      </c>
      <c r="AF44" s="2657"/>
      <c r="AG44" s="2633">
        <f>AA44*AC44/100</f>
        <v>0</v>
      </c>
      <c r="AH44" s="2648"/>
      <c r="AI44" s="2633">
        <f>AA44*AE44/100</f>
        <v>0</v>
      </c>
      <c r="AJ44" s="2648"/>
      <c r="AK44" s="2631">
        <f t="shared" si="4"/>
        <v>0</v>
      </c>
      <c r="AL44" s="2654"/>
      <c r="AM44" s="2654"/>
      <c r="AN44" s="2632"/>
      <c r="AO44" s="2632"/>
      <c r="AP44" s="2632"/>
      <c r="AQ44" s="2632"/>
      <c r="AR44" s="2632"/>
      <c r="AS44" s="2632"/>
      <c r="AT44" s="2348"/>
    </row>
    <row r="45" spans="1:47" ht="15" customHeight="1" x14ac:dyDescent="0.2">
      <c r="A45" s="2339"/>
      <c r="B45" s="2632">
        <v>0</v>
      </c>
      <c r="C45" s="2632">
        <v>0</v>
      </c>
      <c r="D45" s="2632">
        <v>0</v>
      </c>
      <c r="E45" s="2632">
        <v>0</v>
      </c>
      <c r="F45" s="2632">
        <v>0</v>
      </c>
      <c r="G45" s="2632">
        <v>0</v>
      </c>
      <c r="H45" s="2632">
        <v>0</v>
      </c>
      <c r="I45" s="2339"/>
      <c r="J45" s="2658"/>
      <c r="K45" s="2632"/>
      <c r="L45" s="2632"/>
      <c r="M45" s="2632">
        <v>0</v>
      </c>
      <c r="N45" s="2632">
        <v>0</v>
      </c>
      <c r="O45" s="2632">
        <v>0</v>
      </c>
      <c r="P45" s="2632">
        <v>0</v>
      </c>
      <c r="Q45" s="2632">
        <v>0</v>
      </c>
      <c r="R45" s="2632">
        <v>0</v>
      </c>
      <c r="S45" s="2632">
        <v>0</v>
      </c>
      <c r="T45" s="2632">
        <v>0</v>
      </c>
      <c r="U45" s="2632">
        <v>0</v>
      </c>
      <c r="V45" s="2632">
        <v>0</v>
      </c>
      <c r="W45" s="2632">
        <v>0</v>
      </c>
      <c r="X45" s="2632">
        <v>0</v>
      </c>
      <c r="Y45" s="2632">
        <v>0</v>
      </c>
      <c r="Z45" s="2632">
        <v>0</v>
      </c>
      <c r="AA45" s="27">
        <f t="shared" si="3"/>
        <v>0</v>
      </c>
      <c r="AB45" s="2653" t="s">
        <v>183</v>
      </c>
      <c r="AC45" s="2646"/>
      <c r="AD45" s="2531"/>
      <c r="AE45" s="2632">
        <v>109.6</v>
      </c>
      <c r="AF45" s="2648"/>
      <c r="AG45" s="2646">
        <f>-AH45/$D$2%</f>
        <v>0</v>
      </c>
      <c r="AH45" s="2648"/>
      <c r="AI45" s="2633">
        <f>AA45*AE45/100</f>
        <v>0</v>
      </c>
      <c r="AJ45" s="2648"/>
      <c r="AK45" s="2631">
        <f t="shared" si="4"/>
        <v>0</v>
      </c>
      <c r="AL45" s="2655"/>
      <c r="AM45" s="2531"/>
      <c r="AN45" s="2531"/>
      <c r="AO45" s="2531"/>
      <c r="AP45" s="2531"/>
      <c r="AQ45" s="2531"/>
      <c r="AR45" s="2531"/>
      <c r="AS45" s="2531"/>
      <c r="AT45" s="2348"/>
    </row>
    <row r="46" spans="1:47" ht="15" customHeight="1" x14ac:dyDescent="0.2">
      <c r="A46" s="2339"/>
      <c r="B46" s="2531"/>
      <c r="C46" s="2531"/>
      <c r="D46" s="2531"/>
      <c r="E46" s="2531"/>
      <c r="F46" s="2531"/>
      <c r="G46" s="2531"/>
      <c r="H46" s="2531"/>
      <c r="I46" s="2632">
        <v>0</v>
      </c>
      <c r="J46" s="2531"/>
      <c r="K46" s="2531"/>
      <c r="L46" s="2531"/>
      <c r="M46" s="2531"/>
      <c r="N46" s="2531"/>
      <c r="O46" s="2531"/>
      <c r="P46" s="2531"/>
      <c r="Q46" s="2632">
        <f>AI46-AH46</f>
        <v>0</v>
      </c>
      <c r="R46" s="2531"/>
      <c r="S46" s="2531"/>
      <c r="T46" s="2531"/>
      <c r="U46" s="2531"/>
      <c r="V46" s="2531"/>
      <c r="W46" s="2531"/>
      <c r="X46" s="2531"/>
      <c r="Y46" s="2531"/>
      <c r="Z46" s="2531"/>
      <c r="AA46" s="27">
        <f t="shared" si="3"/>
        <v>0</v>
      </c>
      <c r="AB46" s="2653" t="s">
        <v>184</v>
      </c>
      <c r="AC46" s="2646"/>
      <c r="AD46" s="2531"/>
      <c r="AE46" s="2632">
        <v>332.5</v>
      </c>
      <c r="AF46" s="2648"/>
      <c r="AG46" s="2646">
        <f>-AH46/$D$2%</f>
        <v>0</v>
      </c>
      <c r="AH46" s="2648"/>
      <c r="AI46" s="2659">
        <f>AH46*AE46%</f>
        <v>0</v>
      </c>
      <c r="AJ46" s="2348"/>
      <c r="AK46" s="2631">
        <f t="shared" si="4"/>
        <v>0</v>
      </c>
      <c r="AL46" s="2655"/>
      <c r="AM46" s="2531"/>
      <c r="AN46" s="2531"/>
      <c r="AO46" s="2531"/>
      <c r="AP46" s="2531"/>
      <c r="AQ46" s="2531"/>
      <c r="AR46" s="2531"/>
      <c r="AS46" s="2531"/>
      <c r="AT46" s="2348"/>
    </row>
    <row r="47" spans="1:47" ht="15" customHeight="1" x14ac:dyDescent="0.2">
      <c r="A47" s="2531"/>
      <c r="B47" s="2531"/>
      <c r="C47" s="2531"/>
      <c r="D47" s="2531"/>
      <c r="E47" s="2531"/>
      <c r="F47" s="2531"/>
      <c r="G47" s="2531"/>
      <c r="H47" s="2531"/>
      <c r="I47" s="2531"/>
      <c r="J47" s="2531"/>
      <c r="K47" s="2531"/>
      <c r="L47" s="2531"/>
      <c r="M47" s="2531"/>
      <c r="N47" s="2531"/>
      <c r="O47" s="2531"/>
      <c r="P47" s="2531"/>
      <c r="Q47" s="2531"/>
      <c r="R47" s="2531"/>
      <c r="S47" s="2531"/>
      <c r="T47" s="2531"/>
      <c r="U47" s="2531"/>
      <c r="V47" s="2531"/>
      <c r="W47" s="2531"/>
      <c r="X47" s="2531"/>
      <c r="Y47" s="2531"/>
      <c r="Z47" s="2531"/>
      <c r="AA47" s="27">
        <f t="shared" si="3"/>
        <v>0</v>
      </c>
      <c r="AB47" s="2653" t="s">
        <v>185</v>
      </c>
      <c r="AC47" s="2646"/>
      <c r="AD47" s="2531"/>
      <c r="AE47" s="2632">
        <v>100</v>
      </c>
      <c r="AF47" s="2648"/>
      <c r="AG47" s="2646">
        <f>-AH47/$D$2%</f>
        <v>0</v>
      </c>
      <c r="AH47" s="2648"/>
      <c r="AI47" s="2633">
        <f t="shared" ref="AI47:AI53" si="5">AA47*AE47/100</f>
        <v>0</v>
      </c>
      <c r="AJ47" s="2648"/>
      <c r="AK47" s="2631">
        <f t="shared" si="4"/>
        <v>0</v>
      </c>
      <c r="AL47" s="2655"/>
      <c r="AM47" s="2531"/>
      <c r="AN47" s="2531"/>
      <c r="AO47" s="2531"/>
      <c r="AP47" s="2531"/>
      <c r="AQ47" s="2531"/>
      <c r="AR47" s="2531"/>
      <c r="AS47" s="2531"/>
      <c r="AT47" s="2348"/>
    </row>
    <row r="48" spans="1:47" ht="15" customHeight="1" x14ac:dyDescent="0.2">
      <c r="A48" s="2339"/>
      <c r="B48" s="2531"/>
      <c r="C48" s="2531"/>
      <c r="D48" s="2531"/>
      <c r="E48" s="2531"/>
      <c r="F48" s="2531"/>
      <c r="G48" s="2531"/>
      <c r="H48" s="2531"/>
      <c r="I48" s="2531"/>
      <c r="J48" s="2531"/>
      <c r="K48" s="2531"/>
      <c r="L48" s="2531"/>
      <c r="M48" s="2531"/>
      <c r="N48" s="2531"/>
      <c r="O48" s="2632">
        <v>0</v>
      </c>
      <c r="P48" s="2531"/>
      <c r="Q48" s="2531"/>
      <c r="R48" s="2531"/>
      <c r="S48" s="2531"/>
      <c r="T48" s="2531"/>
      <c r="U48" s="2531"/>
      <c r="V48" s="2531"/>
      <c r="W48" s="2531"/>
      <c r="X48" s="2531"/>
      <c r="Y48" s="2531"/>
      <c r="Z48" s="2531"/>
      <c r="AA48" s="27">
        <f t="shared" si="3"/>
        <v>0</v>
      </c>
      <c r="AB48" s="2653" t="s">
        <v>186</v>
      </c>
      <c r="AC48" s="2646"/>
      <c r="AD48" s="2531"/>
      <c r="AE48" s="2632">
        <v>100</v>
      </c>
      <c r="AF48" s="2648"/>
      <c r="AG48" s="2646"/>
      <c r="AH48" s="2648"/>
      <c r="AI48" s="2633">
        <f t="shared" si="5"/>
        <v>0</v>
      </c>
      <c r="AJ48" s="2648"/>
      <c r="AK48" s="2631">
        <f t="shared" si="4"/>
        <v>0</v>
      </c>
      <c r="AL48" s="2655"/>
      <c r="AM48" s="2531"/>
      <c r="AN48" s="2531"/>
      <c r="AO48" s="2531"/>
      <c r="AP48" s="2531"/>
      <c r="AQ48" s="2531"/>
      <c r="AR48" s="2531"/>
      <c r="AS48" s="2531"/>
      <c r="AT48" s="2348"/>
    </row>
    <row r="49" spans="1:46" ht="15" customHeight="1" x14ac:dyDescent="0.2">
      <c r="A49" s="2339"/>
      <c r="B49" s="2531"/>
      <c r="C49" s="2531"/>
      <c r="D49" s="2531"/>
      <c r="E49" s="2531"/>
      <c r="F49" s="2531"/>
      <c r="G49" s="2531"/>
      <c r="H49" s="2531"/>
      <c r="I49" s="2531"/>
      <c r="J49" s="2531"/>
      <c r="K49" s="2531"/>
      <c r="L49" s="2531"/>
      <c r="M49" s="2531"/>
      <c r="N49" s="2531"/>
      <c r="O49" s="2632"/>
      <c r="P49" s="2632">
        <v>0</v>
      </c>
      <c r="Q49" s="2531"/>
      <c r="R49" s="2531"/>
      <c r="S49" s="2531"/>
      <c r="T49" s="2531"/>
      <c r="U49" s="2531"/>
      <c r="V49" s="2531"/>
      <c r="W49" s="2531"/>
      <c r="X49" s="2531"/>
      <c r="Y49" s="2531"/>
      <c r="Z49" s="2531"/>
      <c r="AA49" s="27">
        <f t="shared" si="3"/>
        <v>0</v>
      </c>
      <c r="AB49" s="2653" t="s">
        <v>187</v>
      </c>
      <c r="AC49" s="2646"/>
      <c r="AD49" s="2531"/>
      <c r="AE49" s="2632">
        <v>100</v>
      </c>
      <c r="AF49" s="2648"/>
      <c r="AG49" s="2646">
        <f>AA49*AC49%</f>
        <v>0</v>
      </c>
      <c r="AH49" s="2648"/>
      <c r="AI49" s="2633">
        <f t="shared" si="5"/>
        <v>0</v>
      </c>
      <c r="AJ49" s="2648"/>
      <c r="AK49" s="2631">
        <f t="shared" si="4"/>
        <v>0</v>
      </c>
      <c r="AL49" s="2655"/>
      <c r="AM49" s="2531"/>
      <c r="AN49" s="2531"/>
      <c r="AO49" s="2531"/>
      <c r="AP49" s="2531"/>
      <c r="AQ49" s="2531"/>
      <c r="AR49" s="2531"/>
      <c r="AS49" s="2531"/>
      <c r="AT49" s="2348"/>
    </row>
    <row r="50" spans="1:46" ht="15" customHeight="1" x14ac:dyDescent="0.2">
      <c r="A50" s="2633"/>
      <c r="B50" s="2339"/>
      <c r="C50" s="2339"/>
      <c r="D50" s="2339"/>
      <c r="E50" s="2339"/>
      <c r="F50" s="2339"/>
      <c r="G50" s="2339"/>
      <c r="H50" s="2339"/>
      <c r="I50" s="2632"/>
      <c r="J50" s="2632"/>
      <c r="K50" s="2632"/>
      <c r="L50" s="2632"/>
      <c r="M50" s="2339"/>
      <c r="N50" s="2339"/>
      <c r="O50" s="2339"/>
      <c r="P50" s="2339"/>
      <c r="Q50" s="2531"/>
      <c r="R50" s="2531"/>
      <c r="S50" s="2531"/>
      <c r="T50" s="2531"/>
      <c r="U50" s="2531"/>
      <c r="V50" s="2531"/>
      <c r="W50" s="2531"/>
      <c r="X50" s="2531"/>
      <c r="Y50" s="2531"/>
      <c r="Z50" s="2531"/>
      <c r="AA50" s="27">
        <f t="shared" si="3"/>
        <v>0</v>
      </c>
      <c r="AB50" s="2653" t="s">
        <v>188</v>
      </c>
      <c r="AC50" s="2646"/>
      <c r="AD50" s="2531"/>
      <c r="AE50" s="2632">
        <v>100</v>
      </c>
      <c r="AF50" s="2648"/>
      <c r="AG50" s="2646"/>
      <c r="AH50" s="2648"/>
      <c r="AI50" s="2633">
        <f t="shared" si="5"/>
        <v>0</v>
      </c>
      <c r="AJ50" s="2648"/>
      <c r="AK50" s="2631">
        <f t="shared" si="4"/>
        <v>0</v>
      </c>
      <c r="AL50" s="2655"/>
      <c r="AM50" s="2531"/>
      <c r="AN50" s="2531"/>
      <c r="AO50" s="2531"/>
      <c r="AP50" s="2531"/>
      <c r="AQ50" s="2531"/>
      <c r="AR50" s="2531"/>
      <c r="AS50" s="2531"/>
      <c r="AT50" s="2348"/>
    </row>
    <row r="51" spans="1:46" ht="15" customHeight="1" x14ac:dyDescent="0.2">
      <c r="A51" s="2339"/>
      <c r="B51" s="2339"/>
      <c r="C51" s="2339"/>
      <c r="D51" s="2339"/>
      <c r="E51" s="2339"/>
      <c r="F51" s="2339"/>
      <c r="G51" s="2339"/>
      <c r="H51" s="2339"/>
      <c r="I51" s="2339"/>
      <c r="J51" s="2531"/>
      <c r="K51" s="2531"/>
      <c r="L51" s="2531"/>
      <c r="M51" s="2339"/>
      <c r="N51" s="2339"/>
      <c r="O51" s="2339"/>
      <c r="P51" s="2339"/>
      <c r="Q51" s="2531"/>
      <c r="R51" s="2339"/>
      <c r="S51" s="2339"/>
      <c r="T51" s="2339"/>
      <c r="U51" s="2339"/>
      <c r="V51" s="2339"/>
      <c r="W51" s="2339"/>
      <c r="X51" s="2339"/>
      <c r="Y51" s="2339"/>
      <c r="Z51" s="2339"/>
      <c r="AA51" s="27">
        <f t="shared" si="3"/>
        <v>0</v>
      </c>
      <c r="AB51" s="2653" t="s">
        <v>189</v>
      </c>
      <c r="AC51" s="2646"/>
      <c r="AD51" s="2531"/>
      <c r="AE51" s="2531"/>
      <c r="AF51" s="2632">
        <f>100-'E-Tiltag'!$J$19</f>
        <v>99.75</v>
      </c>
      <c r="AG51" s="2646"/>
      <c r="AH51" s="2648"/>
      <c r="AI51" s="2633">
        <f t="shared" si="5"/>
        <v>0</v>
      </c>
      <c r="AJ51" s="2648">
        <f>-AI51*AF51/100</f>
        <v>0</v>
      </c>
      <c r="AK51" s="2631">
        <f t="shared" si="4"/>
        <v>0</v>
      </c>
      <c r="AL51" s="2654">
        <f>AJ51*64.9%</f>
        <v>0</v>
      </c>
      <c r="AM51" s="2654">
        <f>AJ51*9.8%</f>
        <v>0</v>
      </c>
      <c r="AN51" s="2632">
        <f>AJ51*13.2%</f>
        <v>0</v>
      </c>
      <c r="AO51" s="2632">
        <f>AJ51*7%</f>
        <v>0</v>
      </c>
      <c r="AP51" s="2632"/>
      <c r="AQ51" s="2632">
        <f>AJ51*3.6%</f>
        <v>0</v>
      </c>
      <c r="AR51" s="2632">
        <f>AJ51*1.5%</f>
        <v>0</v>
      </c>
      <c r="AS51" s="2632"/>
      <c r="AT51" s="2348"/>
    </row>
    <row r="52" spans="1:46" ht="15" customHeight="1" x14ac:dyDescent="0.2">
      <c r="A52" s="2339"/>
      <c r="B52" s="2632">
        <v>0</v>
      </c>
      <c r="C52" s="2632">
        <v>0</v>
      </c>
      <c r="D52" s="2632">
        <v>0</v>
      </c>
      <c r="E52" s="2632">
        <v>0</v>
      </c>
      <c r="F52" s="2632">
        <v>0</v>
      </c>
      <c r="G52" s="2632">
        <v>0</v>
      </c>
      <c r="H52" s="2632">
        <v>0</v>
      </c>
      <c r="I52" s="2632">
        <v>0</v>
      </c>
      <c r="J52" s="2658"/>
      <c r="K52" s="2531"/>
      <c r="L52" s="2531"/>
      <c r="M52" s="2632">
        <v>0</v>
      </c>
      <c r="N52" s="2632">
        <v>0</v>
      </c>
      <c r="O52" s="2632">
        <v>0</v>
      </c>
      <c r="P52" s="2632">
        <v>0</v>
      </c>
      <c r="Q52" s="2632">
        <v>0</v>
      </c>
      <c r="R52" s="2632">
        <v>0</v>
      </c>
      <c r="S52" s="2632">
        <v>0</v>
      </c>
      <c r="T52" s="2632">
        <v>0</v>
      </c>
      <c r="U52" s="2632">
        <v>0</v>
      </c>
      <c r="V52" s="2632">
        <v>0</v>
      </c>
      <c r="W52" s="2632">
        <v>0</v>
      </c>
      <c r="X52" s="2632">
        <v>0</v>
      </c>
      <c r="Y52" s="2632">
        <v>0</v>
      </c>
      <c r="Z52" s="2632">
        <v>0</v>
      </c>
      <c r="AA52" s="27">
        <f t="shared" si="3"/>
        <v>0</v>
      </c>
      <c r="AB52" s="2653" t="s">
        <v>190</v>
      </c>
      <c r="AC52" s="2632">
        <v>0</v>
      </c>
      <c r="AD52" s="2531"/>
      <c r="AE52" s="2632">
        <v>0</v>
      </c>
      <c r="AF52" s="2648"/>
      <c r="AG52" s="2633">
        <f>AC52/100*AA52</f>
        <v>0</v>
      </c>
      <c r="AH52" s="2348"/>
      <c r="AI52" s="2633">
        <f t="shared" si="5"/>
        <v>0</v>
      </c>
      <c r="AJ52" s="2348"/>
      <c r="AK52" s="2631">
        <f t="shared" si="4"/>
        <v>0</v>
      </c>
      <c r="AL52" s="2655"/>
      <c r="AM52" s="2531"/>
      <c r="AN52" s="2531"/>
      <c r="AO52" s="2531"/>
      <c r="AP52" s="2531"/>
      <c r="AQ52" s="2531"/>
      <c r="AR52" s="2531"/>
      <c r="AS52" s="2531"/>
      <c r="AT52" s="2348"/>
    </row>
    <row r="53" spans="1:46" ht="15" customHeight="1" x14ac:dyDescent="0.2">
      <c r="A53" s="2339"/>
      <c r="B53" s="2632">
        <v>0</v>
      </c>
      <c r="C53" s="2632">
        <v>0</v>
      </c>
      <c r="D53" s="2632">
        <v>0</v>
      </c>
      <c r="E53" s="2632">
        <v>0</v>
      </c>
      <c r="F53" s="2632">
        <v>0</v>
      </c>
      <c r="G53" s="2632">
        <v>0</v>
      </c>
      <c r="H53" s="2632">
        <v>0</v>
      </c>
      <c r="I53" s="2632">
        <v>0</v>
      </c>
      <c r="J53" s="2658"/>
      <c r="K53" s="2632"/>
      <c r="L53" s="2632"/>
      <c r="M53" s="2632">
        <v>0</v>
      </c>
      <c r="N53" s="2632">
        <v>0</v>
      </c>
      <c r="O53" s="2632">
        <v>0</v>
      </c>
      <c r="P53" s="2632">
        <v>0</v>
      </c>
      <c r="Q53" s="2632">
        <v>0</v>
      </c>
      <c r="R53" s="2632">
        <v>0</v>
      </c>
      <c r="S53" s="2632">
        <v>0</v>
      </c>
      <c r="T53" s="2632">
        <v>0</v>
      </c>
      <c r="U53" s="2632">
        <v>0</v>
      </c>
      <c r="V53" s="2632">
        <v>0</v>
      </c>
      <c r="W53" s="2632">
        <v>0</v>
      </c>
      <c r="X53" s="2632">
        <v>0</v>
      </c>
      <c r="Y53" s="2632">
        <v>0</v>
      </c>
      <c r="Z53" s="2632">
        <v>0</v>
      </c>
      <c r="AA53" s="27">
        <f t="shared" si="3"/>
        <v>0</v>
      </c>
      <c r="AB53" s="2653" t="s">
        <v>191</v>
      </c>
      <c r="AC53" s="2646"/>
      <c r="AD53" s="2531"/>
      <c r="AE53" s="2632">
        <v>0</v>
      </c>
      <c r="AF53" s="2648"/>
      <c r="AG53" s="2633">
        <f>AC53/100*AA53</f>
        <v>0</v>
      </c>
      <c r="AH53" s="2348"/>
      <c r="AI53" s="2633">
        <f t="shared" si="5"/>
        <v>0</v>
      </c>
      <c r="AJ53" s="2348"/>
      <c r="AK53" s="2631">
        <f t="shared" si="4"/>
        <v>0</v>
      </c>
      <c r="AL53" s="2655"/>
      <c r="AM53" s="2531"/>
      <c r="AN53" s="2531"/>
      <c r="AO53" s="2531"/>
      <c r="AP53" s="2531"/>
      <c r="AQ53" s="2531"/>
      <c r="AR53" s="2531"/>
      <c r="AS53" s="2531"/>
      <c r="AT53" s="2348"/>
    </row>
    <row r="54" spans="1:46" ht="15" customHeight="1" x14ac:dyDescent="0.2">
      <c r="A54" s="2339"/>
      <c r="B54" s="2339"/>
      <c r="C54" s="2531"/>
      <c r="D54" s="2531"/>
      <c r="E54" s="2531"/>
      <c r="F54" s="2531"/>
      <c r="G54" s="2531"/>
      <c r="H54" s="2531"/>
      <c r="I54" s="2531"/>
      <c r="J54" s="2531"/>
      <c r="K54" s="2531"/>
      <c r="L54" s="2531"/>
      <c r="M54" s="2339"/>
      <c r="N54" s="2339"/>
      <c r="O54" s="2339"/>
      <c r="P54" s="2339"/>
      <c r="Q54" s="2531"/>
      <c r="R54" s="2339"/>
      <c r="S54" s="2531"/>
      <c r="T54" s="2339"/>
      <c r="U54" s="2632"/>
      <c r="V54" s="2531"/>
      <c r="W54" s="2339"/>
      <c r="X54" s="2339"/>
      <c r="Y54" s="2531"/>
      <c r="Z54" s="2339"/>
      <c r="AA54" s="27">
        <f t="shared" si="3"/>
        <v>0</v>
      </c>
      <c r="AB54" s="2653" t="s">
        <v>192</v>
      </c>
      <c r="AC54" s="2646"/>
      <c r="AD54" s="2531"/>
      <c r="AE54" s="2632">
        <v>100</v>
      </c>
      <c r="AF54" s="2648"/>
      <c r="AG54" s="2633">
        <f>AC54/100*AA54</f>
        <v>0</v>
      </c>
      <c r="AH54" s="2657"/>
      <c r="AI54" s="2632">
        <v>0</v>
      </c>
      <c r="AJ54" s="2348"/>
      <c r="AK54" s="2631">
        <f t="shared" si="4"/>
        <v>0</v>
      </c>
      <c r="AL54" s="2655"/>
      <c r="AM54" s="2531"/>
      <c r="AN54" s="2531"/>
      <c r="AO54" s="2531"/>
      <c r="AP54" s="2531"/>
      <c r="AQ54" s="2531"/>
      <c r="AR54" s="2531"/>
      <c r="AS54" s="2531"/>
      <c r="AT54" s="2348"/>
    </row>
    <row r="55" spans="1:46" ht="15" customHeight="1" x14ac:dyDescent="0.2">
      <c r="A55" s="2339"/>
      <c r="B55" s="2339"/>
      <c r="C55" s="2339"/>
      <c r="D55" s="2339"/>
      <c r="E55" s="2339"/>
      <c r="F55" s="2339"/>
      <c r="G55" s="2339"/>
      <c r="H55" s="2339"/>
      <c r="I55" s="2339"/>
      <c r="J55" s="2531"/>
      <c r="K55" s="2531"/>
      <c r="L55" s="2531"/>
      <c r="M55" s="2339"/>
      <c r="N55" s="2339"/>
      <c r="O55" s="2339"/>
      <c r="P55" s="2339"/>
      <c r="Q55" s="2339"/>
      <c r="R55" s="2339"/>
      <c r="S55" s="2339"/>
      <c r="T55" s="2339"/>
      <c r="U55" s="2339"/>
      <c r="V55" s="2339"/>
      <c r="W55" s="2339"/>
      <c r="X55" s="2339"/>
      <c r="Y55" s="2531"/>
      <c r="Z55" s="2339"/>
      <c r="AA55" s="27">
        <f t="shared" si="3"/>
        <v>0</v>
      </c>
      <c r="AB55" s="2656" t="s">
        <v>193</v>
      </c>
      <c r="AC55" s="2633"/>
      <c r="AD55" s="2339"/>
      <c r="AE55" s="2339"/>
      <c r="AF55" s="64"/>
      <c r="AG55" s="2633">
        <f>-AH55</f>
        <v>0</v>
      </c>
      <c r="AH55" s="2632">
        <v>0</v>
      </c>
      <c r="AI55" s="2646"/>
      <c r="AJ55" s="2348"/>
      <c r="AK55" s="2631">
        <f t="shared" si="4"/>
        <v>0</v>
      </c>
      <c r="AL55" s="2655"/>
      <c r="AM55" s="2531"/>
      <c r="AN55" s="2531"/>
      <c r="AO55" s="2531"/>
      <c r="AP55" s="2531"/>
      <c r="AQ55" s="2531">
        <f>AH55</f>
        <v>0</v>
      </c>
      <c r="AR55" s="2531"/>
      <c r="AS55" s="2531"/>
      <c r="AT55" s="2348"/>
    </row>
    <row r="56" spans="1:46" ht="15" customHeight="1" x14ac:dyDescent="0.2">
      <c r="A56" s="2339"/>
      <c r="B56" s="2339"/>
      <c r="C56" s="2339"/>
      <c r="D56" s="2339"/>
      <c r="E56" s="2339"/>
      <c r="F56" s="2339"/>
      <c r="G56" s="2339"/>
      <c r="H56" s="2339"/>
      <c r="I56" s="2339"/>
      <c r="J56" s="2531"/>
      <c r="K56" s="2531"/>
      <c r="L56" s="2531"/>
      <c r="M56" s="2339"/>
      <c r="N56" s="2339"/>
      <c r="O56" s="2339"/>
      <c r="P56" s="2339"/>
      <c r="Q56" s="2339"/>
      <c r="R56" s="2339"/>
      <c r="S56" s="2339"/>
      <c r="T56" s="2339"/>
      <c r="U56" s="2339"/>
      <c r="V56" s="2339"/>
      <c r="W56" s="2339"/>
      <c r="X56" s="2339"/>
      <c r="Y56" s="2339"/>
      <c r="Z56" s="2339"/>
      <c r="AA56" s="27">
        <f t="shared" si="3"/>
        <v>0</v>
      </c>
      <c r="AB56" s="2656" t="s">
        <v>530</v>
      </c>
      <c r="AC56" s="2633"/>
      <c r="AD56" s="2339"/>
      <c r="AE56" s="2339"/>
      <c r="AF56" s="2648"/>
      <c r="AG56" s="2633"/>
      <c r="AH56" s="2648"/>
      <c r="AI56" s="2632">
        <v>0</v>
      </c>
      <c r="AJ56" s="2348"/>
      <c r="AK56" s="2631">
        <f t="shared" si="4"/>
        <v>0</v>
      </c>
      <c r="AL56" s="2655"/>
      <c r="AM56" s="2531"/>
      <c r="AN56" s="2531"/>
      <c r="AO56" s="2531"/>
      <c r="AP56" s="2531"/>
      <c r="AQ56" s="2531">
        <f>-AI56</f>
        <v>0</v>
      </c>
      <c r="AR56" s="2531"/>
      <c r="AS56" s="2531"/>
      <c r="AT56" s="2348"/>
    </row>
    <row r="57" spans="1:46" ht="15" customHeight="1" x14ac:dyDescent="0.2">
      <c r="A57" s="2339"/>
      <c r="B57" s="2339"/>
      <c r="C57" s="2339"/>
      <c r="D57" s="2339"/>
      <c r="E57" s="2339"/>
      <c r="F57" s="2339"/>
      <c r="G57" s="2339"/>
      <c r="H57" s="2339"/>
      <c r="I57" s="2339"/>
      <c r="J57" s="2650">
        <f>-'E-Tiltag'!V53</f>
        <v>0</v>
      </c>
      <c r="K57" s="2531"/>
      <c r="L57" s="2531"/>
      <c r="M57" s="2339"/>
      <c r="N57" s="2339"/>
      <c r="O57" s="2339"/>
      <c r="P57" s="2339"/>
      <c r="Q57" s="2339"/>
      <c r="R57" s="2531"/>
      <c r="S57" s="2531"/>
      <c r="T57" s="2531"/>
      <c r="U57" s="2339"/>
      <c r="V57" s="2339"/>
      <c r="W57" s="2339"/>
      <c r="X57" s="2339"/>
      <c r="Y57" s="2339"/>
      <c r="Z57" s="2339"/>
      <c r="AA57" s="27">
        <f t="shared" si="3"/>
        <v>0</v>
      </c>
      <c r="AB57" s="2653" t="s">
        <v>194</v>
      </c>
      <c r="AC57" s="2633">
        <v>65</v>
      </c>
      <c r="AD57" s="2339"/>
      <c r="AE57" s="2339">
        <v>15</v>
      </c>
      <c r="AF57" s="2648"/>
      <c r="AG57" s="2633">
        <f>-AH57/$D$2%</f>
        <v>0</v>
      </c>
      <c r="AH57" s="2648"/>
      <c r="AI57" s="2646">
        <f>AH57*AE57%</f>
        <v>0</v>
      </c>
      <c r="AJ57" s="2348">
        <f>AI57*AF60%</f>
        <v>0</v>
      </c>
      <c r="AK57" s="2631">
        <f t="shared" si="4"/>
        <v>0</v>
      </c>
      <c r="AL57" s="2655"/>
      <c r="AM57" s="2655"/>
      <c r="AN57" s="2531"/>
      <c r="AO57" s="2531"/>
      <c r="AP57" s="2531"/>
      <c r="AQ57" s="2531"/>
      <c r="AR57" s="2531"/>
      <c r="AS57" s="2531"/>
      <c r="AT57" s="2348"/>
    </row>
    <row r="58" spans="1:46" ht="15" customHeight="1" x14ac:dyDescent="0.2">
      <c r="A58" s="2339"/>
      <c r="B58" s="2339"/>
      <c r="C58" s="2339"/>
      <c r="D58" s="2339"/>
      <c r="E58" s="2339"/>
      <c r="F58" s="2531"/>
      <c r="G58" s="2531"/>
      <c r="H58" s="2531"/>
      <c r="I58" s="2339"/>
      <c r="J58" s="2531"/>
      <c r="K58" s="2531"/>
      <c r="L58" s="2531"/>
      <c r="M58" s="2339"/>
      <c r="N58" s="2339"/>
      <c r="O58" s="2339"/>
      <c r="P58" s="2339"/>
      <c r="Q58" s="2339"/>
      <c r="R58" s="2531"/>
      <c r="S58" s="2531"/>
      <c r="T58" s="2531"/>
      <c r="U58" s="2339"/>
      <c r="V58" s="2339"/>
      <c r="W58" s="2339"/>
      <c r="X58" s="2339"/>
      <c r="Y58" s="2339"/>
      <c r="Z58" s="2339"/>
      <c r="AA58" s="27">
        <f t="shared" si="3"/>
        <v>0</v>
      </c>
      <c r="AB58" s="2653" t="s">
        <v>195</v>
      </c>
      <c r="AC58" s="2633">
        <v>630</v>
      </c>
      <c r="AD58" s="2339"/>
      <c r="AE58" s="2339"/>
      <c r="AF58" s="2648"/>
      <c r="AG58" s="2633">
        <f>-AH58/$D$2%</f>
        <v>0</v>
      </c>
      <c r="AH58" s="2647">
        <f>'E-Tiltag'!$V$50</f>
        <v>0</v>
      </c>
      <c r="AI58" s="2646">
        <f>AH58*AE58%</f>
        <v>0</v>
      </c>
      <c r="AJ58" s="2348">
        <f>AI58*AF61%</f>
        <v>0</v>
      </c>
      <c r="AK58" s="2631">
        <f t="shared" si="4"/>
        <v>0</v>
      </c>
      <c r="AL58" s="2655"/>
      <c r="AM58" s="2655"/>
      <c r="AN58" s="2531"/>
      <c r="AO58" s="2531"/>
      <c r="AP58" s="2531"/>
      <c r="AQ58" s="2531"/>
      <c r="AR58" s="2531"/>
      <c r="AS58" s="2531"/>
      <c r="AT58" s="2348"/>
    </row>
    <row r="59" spans="1:46" ht="15" customHeight="1" x14ac:dyDescent="0.2">
      <c r="A59" s="2339"/>
      <c r="B59" s="2339"/>
      <c r="C59" s="2339"/>
      <c r="D59" s="2339"/>
      <c r="E59" s="2339"/>
      <c r="F59" s="2531"/>
      <c r="G59" s="2531"/>
      <c r="H59" s="2531"/>
      <c r="I59" s="2339"/>
      <c r="J59" s="2531"/>
      <c r="K59" s="2531"/>
      <c r="L59" s="2531"/>
      <c r="M59" s="2339"/>
      <c r="N59" s="2339"/>
      <c r="O59" s="2339"/>
      <c r="P59" s="2339"/>
      <c r="Q59" s="2339"/>
      <c r="R59" s="2531"/>
      <c r="S59" s="2531"/>
      <c r="T59" s="2531"/>
      <c r="U59" s="2339"/>
      <c r="V59" s="2339"/>
      <c r="W59" s="2339"/>
      <c r="X59" s="2339"/>
      <c r="Y59" s="2339"/>
      <c r="Z59" s="2339"/>
      <c r="AA59" s="27">
        <f t="shared" si="3"/>
        <v>0</v>
      </c>
      <c r="AB59" s="2653" t="s">
        <v>196</v>
      </c>
      <c r="AC59" s="2633"/>
      <c r="AD59" s="2339"/>
      <c r="AE59" s="2339"/>
      <c r="AF59" s="2648"/>
      <c r="AG59" s="2633">
        <f>-AH59/$D$2%</f>
        <v>0</v>
      </c>
      <c r="AH59" s="2648"/>
      <c r="AI59" s="2646">
        <f>AH59*AE59%</f>
        <v>0</v>
      </c>
      <c r="AJ59" s="2348">
        <f>AI59*AF62%</f>
        <v>0</v>
      </c>
      <c r="AK59" s="2631">
        <f t="shared" si="4"/>
        <v>0</v>
      </c>
      <c r="AL59" s="2655"/>
      <c r="AM59" s="2655"/>
      <c r="AN59" s="2531"/>
      <c r="AO59" s="2531"/>
      <c r="AP59" s="2531"/>
      <c r="AQ59" s="2531"/>
      <c r="AR59" s="2531"/>
      <c r="AS59" s="2531"/>
      <c r="AT59" s="2348"/>
    </row>
    <row r="60" spans="1:46" ht="15" customHeight="1" x14ac:dyDescent="0.2">
      <c r="A60" s="2339"/>
      <c r="B60" s="2339"/>
      <c r="C60" s="2339"/>
      <c r="D60" s="2339"/>
      <c r="E60" s="2339"/>
      <c r="F60" s="2531"/>
      <c r="G60" s="2531"/>
      <c r="H60" s="2531"/>
      <c r="I60" s="2339"/>
      <c r="J60" s="2531"/>
      <c r="K60" s="2531"/>
      <c r="L60" s="2531"/>
      <c r="M60" s="2339"/>
      <c r="N60" s="2339"/>
      <c r="O60" s="2339"/>
      <c r="P60" s="2339"/>
      <c r="Q60" s="2339"/>
      <c r="R60" s="2531"/>
      <c r="S60" s="2531"/>
      <c r="T60" s="2531"/>
      <c r="U60" s="2339"/>
      <c r="V60" s="2339"/>
      <c r="W60" s="2339"/>
      <c r="X60" s="2339"/>
      <c r="Y60" s="2339"/>
      <c r="Z60" s="2339"/>
      <c r="AA60" s="27">
        <f t="shared" si="3"/>
        <v>0</v>
      </c>
      <c r="AB60" s="2653" t="s">
        <v>197</v>
      </c>
      <c r="AC60" s="2633"/>
      <c r="AD60" s="2339"/>
      <c r="AE60" s="2339"/>
      <c r="AF60" s="2632">
        <f>100-'E-Tiltag'!$J$19</f>
        <v>99.75</v>
      </c>
      <c r="AG60" s="2633"/>
      <c r="AH60" s="2348"/>
      <c r="AI60" s="2633">
        <f>-SUM(AI52:AI59)</f>
        <v>0</v>
      </c>
      <c r="AJ60" s="2348">
        <f>-AI60*AF60/100</f>
        <v>0</v>
      </c>
      <c r="AK60" s="2631">
        <f t="shared" si="4"/>
        <v>0</v>
      </c>
      <c r="AL60" s="2654">
        <f>AJ60*64.9%</f>
        <v>0</v>
      </c>
      <c r="AM60" s="2654">
        <f>AJ60*9.8%</f>
        <v>0</v>
      </c>
      <c r="AN60" s="2632">
        <f>AJ60*13.2%</f>
        <v>0</v>
      </c>
      <c r="AO60" s="2632">
        <f>AJ60*7%</f>
        <v>0</v>
      </c>
      <c r="AP60" s="2632"/>
      <c r="AQ60" s="2632">
        <f>AJ60*3.6%</f>
        <v>0</v>
      </c>
      <c r="AR60" s="2632">
        <f>AJ60*1.5%</f>
        <v>0</v>
      </c>
      <c r="AS60" s="2632"/>
      <c r="AT60" s="2348"/>
    </row>
    <row r="61" spans="1:46" ht="15" customHeight="1" x14ac:dyDescent="0.2">
      <c r="A61" s="2633"/>
      <c r="B61" s="2339"/>
      <c r="C61" s="2339"/>
      <c r="D61" s="2339"/>
      <c r="E61" s="2339"/>
      <c r="F61" s="2531"/>
      <c r="G61" s="2531"/>
      <c r="H61" s="2635">
        <f>AA61-S61</f>
        <v>0.91018390909090918</v>
      </c>
      <c r="I61" s="2531"/>
      <c r="J61" s="2531"/>
      <c r="K61" s="2531"/>
      <c r="L61" s="2531"/>
      <c r="M61" s="2531"/>
      <c r="N61" s="2531"/>
      <c r="O61" s="2531"/>
      <c r="P61" s="2531"/>
      <c r="Q61" s="2531"/>
      <c r="R61" s="2531"/>
      <c r="S61" s="2635">
        <f>AA61*'E-Tiltag'!$AG$4</f>
        <v>6.5361545454545464E-2</v>
      </c>
      <c r="T61" s="2531"/>
      <c r="U61" s="2339"/>
      <c r="V61" s="2339"/>
      <c r="W61" s="2339"/>
      <c r="X61" s="2339"/>
      <c r="Y61" s="2339"/>
      <c r="Z61" s="2339"/>
      <c r="AA61" s="2647">
        <f>'E-Tiltag'!AH44</f>
        <v>0.9755454545454546</v>
      </c>
      <c r="AB61" s="2653" t="s">
        <v>198</v>
      </c>
      <c r="AC61" s="2646"/>
      <c r="AD61" s="2531">
        <v>19</v>
      </c>
      <c r="AE61" s="2531"/>
      <c r="AF61" s="2348"/>
      <c r="AG61" s="2633"/>
      <c r="AH61" s="2348"/>
      <c r="AI61" s="2633"/>
      <c r="AJ61" s="2348"/>
      <c r="AK61" s="2631">
        <f t="shared" si="4"/>
        <v>0.18535363636363639</v>
      </c>
      <c r="AL61" s="2346"/>
      <c r="AM61" s="2339"/>
      <c r="AN61" s="2339"/>
      <c r="AO61" s="2339"/>
      <c r="AP61" s="2339"/>
      <c r="AQ61" s="2339"/>
      <c r="AR61" s="2339"/>
      <c r="AS61" s="2339"/>
      <c r="AT61" s="2348">
        <f>AA61*AD61/100</f>
        <v>0.18535363636363639</v>
      </c>
    </row>
    <row r="62" spans="1:46" ht="15" customHeight="1" x14ac:dyDescent="0.2">
      <c r="A62" s="2633"/>
      <c r="B62" s="2339"/>
      <c r="C62" s="2339"/>
      <c r="D62" s="2339"/>
      <c r="E62" s="2339"/>
      <c r="F62" s="2650">
        <f>AA62-S62-K62</f>
        <v>0</v>
      </c>
      <c r="G62" s="2531"/>
      <c r="H62" s="2531"/>
      <c r="I62" s="2531"/>
      <c r="J62" s="2531"/>
      <c r="K62" s="2650">
        <f>'E-Tiltag'!$V$52*('E2020'!F62/SUM('E2020'!$F$62:$F$75))</f>
        <v>0</v>
      </c>
      <c r="L62" s="2531"/>
      <c r="M62" s="2531"/>
      <c r="N62" s="2531"/>
      <c r="O62" s="2531"/>
      <c r="P62" s="2531"/>
      <c r="Q62" s="2531"/>
      <c r="R62" s="2531"/>
      <c r="S62" s="2635">
        <f>AA62*'E-Tiltag'!$AG$5</f>
        <v>0</v>
      </c>
      <c r="T62" s="2531"/>
      <c r="U62" s="2339"/>
      <c r="V62" s="2339"/>
      <c r="W62" s="2339"/>
      <c r="X62" s="2339"/>
      <c r="Y62" s="2339"/>
      <c r="Z62" s="2339"/>
      <c r="AA62" s="2647">
        <f>'E-Tiltag'!AH45</f>
        <v>0</v>
      </c>
      <c r="AB62" s="2653" t="s">
        <v>199</v>
      </c>
      <c r="AC62" s="2646"/>
      <c r="AD62" s="2531">
        <v>24.3</v>
      </c>
      <c r="AE62" s="2531"/>
      <c r="AF62" s="2348"/>
      <c r="AG62" s="2633"/>
      <c r="AH62" s="2348"/>
      <c r="AI62" s="2633"/>
      <c r="AJ62" s="2348"/>
      <c r="AK62" s="2631">
        <f t="shared" si="4"/>
        <v>0</v>
      </c>
      <c r="AL62" s="2346"/>
      <c r="AM62" s="2339"/>
      <c r="AN62" s="2339"/>
      <c r="AO62" s="2339"/>
      <c r="AP62" s="2339"/>
      <c r="AQ62" s="2339"/>
      <c r="AR62" s="2339"/>
      <c r="AS62" s="2339"/>
      <c r="AT62" s="2348">
        <f>AA62*AD62/100</f>
        <v>0</v>
      </c>
    </row>
    <row r="63" spans="1:46" ht="15" customHeight="1" x14ac:dyDescent="0.2">
      <c r="A63" s="2633"/>
      <c r="B63" s="2339"/>
      <c r="C63" s="2339"/>
      <c r="D63" s="2339"/>
      <c r="E63" s="2339"/>
      <c r="F63" s="2531"/>
      <c r="G63" s="2531"/>
      <c r="H63" s="2531"/>
      <c r="I63" s="26">
        <f>'E2020'!I63</f>
        <v>0</v>
      </c>
      <c r="J63" s="2531"/>
      <c r="K63" s="2531"/>
      <c r="L63" s="2531"/>
      <c r="M63" s="2531"/>
      <c r="N63" s="2531"/>
      <c r="O63" s="2531"/>
      <c r="P63" s="2531"/>
      <c r="Q63" s="2531"/>
      <c r="R63" s="2531"/>
      <c r="S63" s="2632"/>
      <c r="T63" s="2531"/>
      <c r="U63" s="2339"/>
      <c r="V63" s="2339"/>
      <c r="W63" s="2339"/>
      <c r="X63" s="2339"/>
      <c r="Y63" s="2339"/>
      <c r="Z63" s="2339"/>
      <c r="AA63" s="2348">
        <f>SUM(A63:Z63)</f>
        <v>0</v>
      </c>
      <c r="AB63" s="2653" t="s">
        <v>524</v>
      </c>
      <c r="AC63" s="2646"/>
      <c r="AD63" s="2531">
        <v>22.6</v>
      </c>
      <c r="AE63" s="2531"/>
      <c r="AF63" s="2348"/>
      <c r="AG63" s="2633"/>
      <c r="AH63" s="2348"/>
      <c r="AI63" s="2633"/>
      <c r="AJ63" s="2348"/>
      <c r="AK63" s="2631">
        <f t="shared" si="4"/>
        <v>0</v>
      </c>
      <c r="AL63" s="2346"/>
      <c r="AM63" s="2339"/>
      <c r="AN63" s="2339"/>
      <c r="AO63" s="2339"/>
      <c r="AP63" s="2339"/>
      <c r="AQ63" s="2339"/>
      <c r="AR63" s="2339"/>
      <c r="AS63" s="2339"/>
      <c r="AT63" s="2348">
        <f>AA63*AD63/100</f>
        <v>0</v>
      </c>
    </row>
    <row r="64" spans="1:46" ht="15" customHeight="1" x14ac:dyDescent="0.2">
      <c r="A64" s="2633"/>
      <c r="B64" s="2339"/>
      <c r="C64" s="2339"/>
      <c r="D64" s="2339"/>
      <c r="E64" s="2339"/>
      <c r="F64" s="2531"/>
      <c r="G64" s="2531"/>
      <c r="H64" s="2531"/>
      <c r="I64" s="2531"/>
      <c r="J64" s="2531"/>
      <c r="K64" s="2531"/>
      <c r="L64" s="2531"/>
      <c r="M64" s="2531"/>
      <c r="N64" s="2531"/>
      <c r="O64" s="2531"/>
      <c r="P64" s="2531"/>
      <c r="Q64" s="2531"/>
      <c r="R64" s="2531"/>
      <c r="S64" s="2632"/>
      <c r="T64" s="2531"/>
      <c r="U64" s="2339"/>
      <c r="V64" s="2339"/>
      <c r="W64" s="2339"/>
      <c r="X64" s="2339"/>
      <c r="Y64" s="2339"/>
      <c r="Z64" s="2339"/>
      <c r="AA64" s="2348">
        <f>SUM(A64:Z64)</f>
        <v>0</v>
      </c>
      <c r="AB64" s="2653" t="s">
        <v>525</v>
      </c>
      <c r="AC64" s="2646">
        <v>70</v>
      </c>
      <c r="AD64" s="2531"/>
      <c r="AE64" s="2531"/>
      <c r="AF64" s="2348"/>
      <c r="AG64" s="2633">
        <f>-AH64/$D$2%</f>
        <v>-17.325986249430706</v>
      </c>
      <c r="AH64" s="2647">
        <f>'E-Tiltag'!AH43</f>
        <v>15.955500737100738</v>
      </c>
      <c r="AI64" s="2633"/>
      <c r="AJ64" s="2348"/>
      <c r="AK64" s="2631">
        <f t="shared" si="4"/>
        <v>11.168850515970517</v>
      </c>
      <c r="AL64" s="2346"/>
      <c r="AM64" s="2339"/>
      <c r="AN64" s="2339"/>
      <c r="AO64" s="2339"/>
      <c r="AP64" s="2339"/>
      <c r="AQ64" s="2339"/>
      <c r="AR64" s="2339"/>
      <c r="AS64" s="2339"/>
      <c r="AT64" s="2348">
        <f>AH64*AC64%</f>
        <v>11.168850515970517</v>
      </c>
    </row>
    <row r="65" spans="1:46" ht="15" customHeight="1" x14ac:dyDescent="0.2">
      <c r="A65" s="2633"/>
      <c r="B65" s="2339"/>
      <c r="C65" s="2339"/>
      <c r="D65" s="2339"/>
      <c r="E65" s="2339"/>
      <c r="F65" s="2531"/>
      <c r="G65" s="2531"/>
      <c r="H65" s="2651">
        <f>AA65-S65</f>
        <v>0</v>
      </c>
      <c r="I65" s="2531"/>
      <c r="J65" s="2531"/>
      <c r="K65" s="2531"/>
      <c r="L65" s="2531"/>
      <c r="M65" s="2531"/>
      <c r="N65" s="2531"/>
      <c r="O65" s="2531"/>
      <c r="P65" s="2531"/>
      <c r="Q65" s="2531"/>
      <c r="R65" s="2531"/>
      <c r="S65" s="2635">
        <f>AA65*'E-Tiltag'!$AH$4</f>
        <v>0</v>
      </c>
      <c r="T65" s="2531"/>
      <c r="U65" s="2339"/>
      <c r="V65" s="2339"/>
      <c r="W65" s="2339"/>
      <c r="X65" s="2339"/>
      <c r="Y65" s="2339"/>
      <c r="Z65" s="2339"/>
      <c r="AA65" s="2647">
        <v>0</v>
      </c>
      <c r="AB65" s="2653" t="s">
        <v>520</v>
      </c>
      <c r="AC65" s="2646">
        <v>70</v>
      </c>
      <c r="AD65" s="2531">
        <v>19</v>
      </c>
      <c r="AE65" s="2531"/>
      <c r="AF65" s="2348"/>
      <c r="AG65" s="2633">
        <f>-AH65/$D$2%</f>
        <v>0</v>
      </c>
      <c r="AH65" s="2632">
        <f>AA65*AD65%/AC65%</f>
        <v>0</v>
      </c>
      <c r="AI65" s="2633"/>
      <c r="AJ65" s="2348"/>
      <c r="AK65" s="2631">
        <f t="shared" si="4"/>
        <v>0</v>
      </c>
      <c r="AL65" s="2346"/>
      <c r="AM65" s="2339"/>
      <c r="AN65" s="2339"/>
      <c r="AO65" s="2339"/>
      <c r="AP65" s="2339"/>
      <c r="AQ65" s="2339"/>
      <c r="AR65" s="2339"/>
      <c r="AS65" s="2339"/>
      <c r="AT65" s="2348">
        <f>AH65*AC65%+AA65*AD65%</f>
        <v>0</v>
      </c>
    </row>
    <row r="66" spans="1:46" ht="15" customHeight="1" x14ac:dyDescent="0.2">
      <c r="A66" s="2633"/>
      <c r="B66" s="2339"/>
      <c r="C66" s="2339"/>
      <c r="D66" s="2339"/>
      <c r="E66" s="2339"/>
      <c r="F66" s="2531"/>
      <c r="G66" s="2531"/>
      <c r="H66" s="2531"/>
      <c r="I66" s="2531"/>
      <c r="J66" s="2531"/>
      <c r="K66" s="2531"/>
      <c r="L66" s="2531"/>
      <c r="M66" s="2531"/>
      <c r="N66" s="2531"/>
      <c r="O66" s="2531"/>
      <c r="P66" s="2531"/>
      <c r="Q66" s="2531"/>
      <c r="R66" s="2531"/>
      <c r="S66" s="2632"/>
      <c r="T66" s="2531"/>
      <c r="U66" s="2339"/>
      <c r="V66" s="2339"/>
      <c r="W66" s="2339"/>
      <c r="X66" s="2339"/>
      <c r="Y66" s="2339"/>
      <c r="Z66" s="2339"/>
      <c r="AA66" s="2348">
        <f>SUM(A66:Z66)</f>
        <v>0</v>
      </c>
      <c r="AB66" s="2653" t="s">
        <v>519</v>
      </c>
      <c r="AC66" s="2646"/>
      <c r="AD66" s="2531">
        <v>40</v>
      </c>
      <c r="AE66" s="2531"/>
      <c r="AF66" s="2348"/>
      <c r="AG66" s="2633"/>
      <c r="AH66" s="2348"/>
      <c r="AI66" s="2633"/>
      <c r="AJ66" s="2348"/>
      <c r="AK66" s="2631">
        <f t="shared" si="4"/>
        <v>0</v>
      </c>
      <c r="AL66" s="2346"/>
      <c r="AM66" s="2339"/>
      <c r="AN66" s="2339"/>
      <c r="AO66" s="2339"/>
      <c r="AP66" s="2339"/>
      <c r="AQ66" s="2339"/>
      <c r="AR66" s="2339"/>
      <c r="AS66" s="2339"/>
      <c r="AT66" s="2348">
        <f>AA66*AD66%</f>
        <v>0</v>
      </c>
    </row>
    <row r="67" spans="1:46" ht="15" customHeight="1" x14ac:dyDescent="0.2">
      <c r="A67" s="2633"/>
      <c r="B67" s="2339"/>
      <c r="C67" s="2339"/>
      <c r="D67" s="2339"/>
      <c r="E67" s="2339"/>
      <c r="F67" s="2650">
        <f>AA67-S67-K67</f>
        <v>0</v>
      </c>
      <c r="G67" s="2531"/>
      <c r="H67" s="2531"/>
      <c r="I67" s="2531"/>
      <c r="J67" s="2531"/>
      <c r="K67" s="2650">
        <f>'E-Tiltag'!$V$52*('E2020'!F67/SUM('E2020'!$F$62:$F$75))</f>
        <v>0</v>
      </c>
      <c r="L67" s="2531"/>
      <c r="M67" s="2531"/>
      <c r="N67" s="2531"/>
      <c r="O67" s="2531"/>
      <c r="P67" s="2531"/>
      <c r="Q67" s="2531"/>
      <c r="R67" s="2531"/>
      <c r="S67" s="2635">
        <f>AA67*'E-Tiltag'!$AH$5</f>
        <v>0</v>
      </c>
      <c r="T67" s="2531"/>
      <c r="U67" s="2339"/>
      <c r="V67" s="2339"/>
      <c r="W67" s="2339"/>
      <c r="X67" s="2339"/>
      <c r="Y67" s="2339"/>
      <c r="Z67" s="2339"/>
      <c r="AA67" s="2647">
        <f>+'E-Tiltag'!$AH$85</f>
        <v>0</v>
      </c>
      <c r="AB67" s="2644" t="s">
        <v>200</v>
      </c>
      <c r="AC67" s="2646"/>
      <c r="AD67" s="2531">
        <v>29.6</v>
      </c>
      <c r="AE67" s="2531"/>
      <c r="AF67" s="2348"/>
      <c r="AG67" s="2633">
        <f>-AH67/$D$2%</f>
        <v>0</v>
      </c>
      <c r="AH67" s="2348"/>
      <c r="AI67" s="2633"/>
      <c r="AJ67" s="2348"/>
      <c r="AK67" s="2631">
        <f t="shared" si="4"/>
        <v>0</v>
      </c>
      <c r="AL67" s="2346"/>
      <c r="AM67" s="2339"/>
      <c r="AN67" s="2339"/>
      <c r="AO67" s="2339"/>
      <c r="AP67" s="2339"/>
      <c r="AQ67" s="2339"/>
      <c r="AR67" s="2339"/>
      <c r="AS67" s="2339"/>
      <c r="AT67" s="2348">
        <f>AA67*AD67%</f>
        <v>0</v>
      </c>
    </row>
    <row r="68" spans="1:46" ht="15" customHeight="1" x14ac:dyDescent="0.2">
      <c r="A68" s="2633"/>
      <c r="B68" s="2339"/>
      <c r="C68" s="2339"/>
      <c r="D68" s="2339"/>
      <c r="E68" s="2339"/>
      <c r="F68" s="2531"/>
      <c r="G68" s="2531"/>
      <c r="H68" s="2531"/>
      <c r="I68" s="2635">
        <f>+'E-Tiltag'!$AH$87</f>
        <v>0</v>
      </c>
      <c r="J68" s="2531"/>
      <c r="K68" s="2531"/>
      <c r="L68" s="2531"/>
      <c r="M68" s="2531"/>
      <c r="N68" s="2531"/>
      <c r="O68" s="2531"/>
      <c r="P68" s="2531"/>
      <c r="Q68" s="2531"/>
      <c r="R68" s="2531"/>
      <c r="S68" s="2632"/>
      <c r="T68" s="2531"/>
      <c r="U68" s="2339"/>
      <c r="V68" s="2339"/>
      <c r="W68" s="2339"/>
      <c r="X68" s="2339"/>
      <c r="Y68" s="2339"/>
      <c r="Z68" s="2339"/>
      <c r="AA68" s="27">
        <f>SUM(A68:Z68)</f>
        <v>0</v>
      </c>
      <c r="AB68" s="2644" t="s">
        <v>515</v>
      </c>
      <c r="AC68" s="2646"/>
      <c r="AD68" s="2531">
        <v>26.1</v>
      </c>
      <c r="AE68" s="2531"/>
      <c r="AF68" s="2348"/>
      <c r="AG68" s="2633"/>
      <c r="AH68" s="2348"/>
      <c r="AI68" s="2633"/>
      <c r="AJ68" s="2348"/>
      <c r="AK68" s="2631">
        <f t="shared" si="4"/>
        <v>0</v>
      </c>
      <c r="AL68" s="2346"/>
      <c r="AM68" s="2339"/>
      <c r="AN68" s="2339"/>
      <c r="AO68" s="2339"/>
      <c r="AP68" s="2339"/>
      <c r="AQ68" s="2339"/>
      <c r="AR68" s="2339"/>
      <c r="AS68" s="2339"/>
      <c r="AT68" s="2348">
        <f>AA68*AD68%</f>
        <v>0</v>
      </c>
    </row>
    <row r="69" spans="1:46" ht="15" customHeight="1" x14ac:dyDescent="0.2">
      <c r="A69" s="2633"/>
      <c r="B69" s="2339"/>
      <c r="C69" s="2339"/>
      <c r="D69" s="2339"/>
      <c r="E69" s="2339"/>
      <c r="F69" s="2531"/>
      <c r="G69" s="2531"/>
      <c r="H69" s="2531"/>
      <c r="I69" s="2531"/>
      <c r="J69" s="2651">
        <f>+'E-Tiltag'!$AH$88</f>
        <v>0</v>
      </c>
      <c r="K69" s="2531"/>
      <c r="L69" s="2531"/>
      <c r="M69" s="2531"/>
      <c r="N69" s="2531"/>
      <c r="O69" s="2531"/>
      <c r="P69" s="2531"/>
      <c r="Q69" s="2531"/>
      <c r="R69" s="2531"/>
      <c r="S69" s="2632"/>
      <c r="T69" s="2531"/>
      <c r="U69" s="2339"/>
      <c r="V69" s="2339"/>
      <c r="W69" s="2339"/>
      <c r="X69" s="2339"/>
      <c r="Y69" s="2339"/>
      <c r="Z69" s="2339"/>
      <c r="AA69" s="27">
        <f>SUM(A69:Z69)</f>
        <v>0</v>
      </c>
      <c r="AB69" s="2644" t="s">
        <v>516</v>
      </c>
      <c r="AC69" s="2646"/>
      <c r="AD69" s="2531">
        <v>40</v>
      </c>
      <c r="AE69" s="2531"/>
      <c r="AF69" s="2348"/>
      <c r="AG69" s="2633"/>
      <c r="AH69" s="2348"/>
      <c r="AI69" s="2633"/>
      <c r="AJ69" s="2348"/>
      <c r="AK69" s="2631">
        <f t="shared" si="4"/>
        <v>0</v>
      </c>
      <c r="AL69" s="2346"/>
      <c r="AM69" s="2339"/>
      <c r="AN69" s="2339"/>
      <c r="AO69" s="2339"/>
      <c r="AP69" s="2339"/>
      <c r="AQ69" s="2339"/>
      <c r="AR69" s="2339"/>
      <c r="AS69" s="2339"/>
      <c r="AT69" s="2348">
        <f>AA69*AD69%</f>
        <v>0</v>
      </c>
    </row>
    <row r="70" spans="1:46" ht="15" customHeight="1" x14ac:dyDescent="0.2">
      <c r="A70" s="2633"/>
      <c r="B70" s="2339"/>
      <c r="C70" s="2339"/>
      <c r="D70" s="2339"/>
      <c r="E70" s="2339"/>
      <c r="F70" s="2531"/>
      <c r="G70" s="2531"/>
      <c r="H70" s="2531"/>
      <c r="I70" s="2531"/>
      <c r="J70" s="2531"/>
      <c r="K70" s="2531"/>
      <c r="L70" s="2531"/>
      <c r="M70" s="2531"/>
      <c r="N70" s="2531"/>
      <c r="O70" s="2531"/>
      <c r="P70" s="2531"/>
      <c r="Q70" s="2531"/>
      <c r="R70" s="2531"/>
      <c r="S70" s="2632"/>
      <c r="T70" s="2531"/>
      <c r="U70" s="2339"/>
      <c r="V70" s="2339"/>
      <c r="W70" s="2339"/>
      <c r="X70" s="2339"/>
      <c r="Y70" s="2339"/>
      <c r="Z70" s="2339"/>
      <c r="AA70" s="27">
        <f>SUM(A70:Z70)</f>
        <v>0</v>
      </c>
      <c r="AB70" s="2644" t="s">
        <v>526</v>
      </c>
      <c r="AC70" s="2646">
        <v>70</v>
      </c>
      <c r="AD70" s="2531"/>
      <c r="AE70" s="2531"/>
      <c r="AF70" s="2348"/>
      <c r="AG70" s="2633">
        <f>-AH70/$D$2%</f>
        <v>-0.37749751775710005</v>
      </c>
      <c r="AH70" s="2647">
        <f>+'E-Tiltag'!$AH$86</f>
        <v>0.34763746410251345</v>
      </c>
      <c r="AI70" s="2633"/>
      <c r="AJ70" s="2348"/>
      <c r="AK70" s="2631">
        <f t="shared" si="4"/>
        <v>0.24334622487175939</v>
      </c>
      <c r="AL70" s="2346"/>
      <c r="AM70" s="2339"/>
      <c r="AN70" s="2339"/>
      <c r="AO70" s="2339"/>
      <c r="AP70" s="2339"/>
      <c r="AQ70" s="2339"/>
      <c r="AR70" s="2339"/>
      <c r="AS70" s="2339"/>
      <c r="AT70" s="2348">
        <f>AH70*AC70%</f>
        <v>0.24334622487175939</v>
      </c>
    </row>
    <row r="71" spans="1:46" ht="15" customHeight="1" x14ac:dyDescent="0.2">
      <c r="A71" s="2633"/>
      <c r="B71" s="2339"/>
      <c r="C71" s="2339"/>
      <c r="D71" s="2339"/>
      <c r="E71" s="2339"/>
      <c r="F71" s="2650">
        <f>AA71-S71-K71</f>
        <v>22.72912247319552</v>
      </c>
      <c r="G71" s="2531"/>
      <c r="H71" s="2531"/>
      <c r="I71" s="2531"/>
      <c r="J71" s="2531"/>
      <c r="K71" s="2650">
        <f>'E-Tiltag'!$V$52*('E2020'!F71/SUM('E2020'!$F$62:$F$75))</f>
        <v>0</v>
      </c>
      <c r="L71" s="2531"/>
      <c r="M71" s="2531"/>
      <c r="N71" s="2531"/>
      <c r="O71" s="2531"/>
      <c r="P71" s="2531"/>
      <c r="Q71" s="2531"/>
      <c r="R71" s="2531"/>
      <c r="S71" s="2635">
        <f>AA71*'E-Tiltag'!$AH$5</f>
        <v>2.7234222896214115</v>
      </c>
      <c r="T71" s="2531"/>
      <c r="U71" s="2339"/>
      <c r="V71" s="2339"/>
      <c r="W71" s="2339"/>
      <c r="X71" s="2339"/>
      <c r="Y71" s="2339"/>
      <c r="Z71" s="2339"/>
      <c r="AA71" s="2647">
        <f>+'E-Tiltag'!$AH$64</f>
        <v>25.452544762816931</v>
      </c>
      <c r="AB71" s="2644" t="s">
        <v>201</v>
      </c>
      <c r="AC71" s="2646"/>
      <c r="AD71" s="2531">
        <v>36.5</v>
      </c>
      <c r="AE71" s="2531"/>
      <c r="AF71" s="2348"/>
      <c r="AG71" s="2633"/>
      <c r="AH71" s="2648"/>
      <c r="AI71" s="2633"/>
      <c r="AJ71" s="2348"/>
      <c r="AK71" s="2631">
        <f t="shared" si="4"/>
        <v>9.2901788384281794</v>
      </c>
      <c r="AL71" s="2346"/>
      <c r="AM71" s="2339"/>
      <c r="AN71" s="2339"/>
      <c r="AO71" s="2339"/>
      <c r="AP71" s="2339"/>
      <c r="AQ71" s="2339"/>
      <c r="AR71" s="2339"/>
      <c r="AS71" s="2339"/>
      <c r="AT71" s="2348">
        <f>AA71*AD71%</f>
        <v>9.2901788384281794</v>
      </c>
    </row>
    <row r="72" spans="1:46" ht="15" customHeight="1" x14ac:dyDescent="0.2">
      <c r="A72" s="2633"/>
      <c r="B72" s="2339"/>
      <c r="C72" s="2339"/>
      <c r="D72" s="2339"/>
      <c r="E72" s="2339"/>
      <c r="F72" s="2531"/>
      <c r="G72" s="2531"/>
      <c r="H72" s="2531"/>
      <c r="I72" s="2652">
        <f>+'E-Tiltag'!$AH$66</f>
        <v>0.90160897112074712</v>
      </c>
      <c r="J72" s="2531"/>
      <c r="K72" s="2531"/>
      <c r="L72" s="2531"/>
      <c r="M72" s="2531"/>
      <c r="N72" s="2531"/>
      <c r="O72" s="2531"/>
      <c r="P72" s="2531"/>
      <c r="Q72" s="2531"/>
      <c r="R72" s="2531"/>
      <c r="S72" s="2632"/>
      <c r="T72" s="2531"/>
      <c r="U72" s="2339"/>
      <c r="V72" s="2339"/>
      <c r="W72" s="2339"/>
      <c r="X72" s="2339"/>
      <c r="Y72" s="2339"/>
      <c r="Z72" s="2339"/>
      <c r="AA72" s="27">
        <f>SUM(A72:Z72)</f>
        <v>0.90160897112074712</v>
      </c>
      <c r="AB72" s="2644" t="s">
        <v>517</v>
      </c>
      <c r="AC72" s="2646"/>
      <c r="AD72" s="2531">
        <v>32.200000000000003</v>
      </c>
      <c r="AE72" s="2531"/>
      <c r="AF72" s="2348"/>
      <c r="AG72" s="2633"/>
      <c r="AH72" s="2648"/>
      <c r="AI72" s="2633"/>
      <c r="AJ72" s="2348"/>
      <c r="AK72" s="2631">
        <f t="shared" ref="AK72:AK80" si="6">SUM(AL72:AT72)</f>
        <v>0.29031808870088061</v>
      </c>
      <c r="AL72" s="2346"/>
      <c r="AM72" s="2339"/>
      <c r="AN72" s="2339"/>
      <c r="AO72" s="2339"/>
      <c r="AP72" s="2339"/>
      <c r="AQ72" s="2339"/>
      <c r="AR72" s="2339"/>
      <c r="AS72" s="2339"/>
      <c r="AT72" s="2348">
        <f>AA72*AD72%</f>
        <v>0.29031808870088061</v>
      </c>
    </row>
    <row r="73" spans="1:46" ht="15" customHeight="1" x14ac:dyDescent="0.2">
      <c r="A73" s="2633"/>
      <c r="B73" s="2339"/>
      <c r="C73" s="2339"/>
      <c r="D73" s="2339"/>
      <c r="E73" s="2339"/>
      <c r="F73" s="2531"/>
      <c r="G73" s="2531"/>
      <c r="H73" s="2531"/>
      <c r="I73" s="2531"/>
      <c r="J73" s="2651">
        <f>+'E-Tiltag'!$AH$67</f>
        <v>0</v>
      </c>
      <c r="K73" s="2531"/>
      <c r="L73" s="2531"/>
      <c r="M73" s="2531"/>
      <c r="N73" s="2531"/>
      <c r="O73" s="2531"/>
      <c r="P73" s="2531"/>
      <c r="Q73" s="2531"/>
      <c r="R73" s="2531"/>
      <c r="S73" s="2632"/>
      <c r="T73" s="2531"/>
      <c r="U73" s="2339"/>
      <c r="V73" s="2339"/>
      <c r="W73" s="2339"/>
      <c r="X73" s="2339"/>
      <c r="Y73" s="2339"/>
      <c r="Z73" s="2339"/>
      <c r="AA73" s="27">
        <f>SUM(A73:Z73)</f>
        <v>0</v>
      </c>
      <c r="AB73" s="2644" t="s">
        <v>518</v>
      </c>
      <c r="AC73" s="2646"/>
      <c r="AD73" s="2531">
        <v>40</v>
      </c>
      <c r="AE73" s="2531"/>
      <c r="AF73" s="2348"/>
      <c r="AG73" s="2633"/>
      <c r="AH73" s="2648"/>
      <c r="AI73" s="2633"/>
      <c r="AJ73" s="2348"/>
      <c r="AK73" s="2631">
        <f t="shared" si="6"/>
        <v>0</v>
      </c>
      <c r="AL73" s="2346"/>
      <c r="AM73" s="2339"/>
      <c r="AN73" s="2339"/>
      <c r="AO73" s="2339"/>
      <c r="AP73" s="2339"/>
      <c r="AQ73" s="2339"/>
      <c r="AR73" s="2339"/>
      <c r="AS73" s="2339"/>
      <c r="AT73" s="2348">
        <f>AA73*AD73%</f>
        <v>0</v>
      </c>
    </row>
    <row r="74" spans="1:46" ht="15" customHeight="1" x14ac:dyDescent="0.2">
      <c r="A74" s="2633"/>
      <c r="B74" s="2339"/>
      <c r="C74" s="2339"/>
      <c r="D74" s="2339"/>
      <c r="E74" s="2339"/>
      <c r="F74" s="2531"/>
      <c r="G74" s="2531"/>
      <c r="H74" s="2531"/>
      <c r="I74" s="2531"/>
      <c r="J74" s="2531"/>
      <c r="K74" s="2531"/>
      <c r="L74" s="2531"/>
      <c r="M74" s="2531"/>
      <c r="N74" s="2531"/>
      <c r="O74" s="2531"/>
      <c r="P74" s="2531"/>
      <c r="Q74" s="2531"/>
      <c r="R74" s="2531"/>
      <c r="S74" s="2632"/>
      <c r="T74" s="2531"/>
      <c r="U74" s="2339"/>
      <c r="V74" s="2339"/>
      <c r="W74" s="2339"/>
      <c r="X74" s="2339"/>
      <c r="Y74" s="2339"/>
      <c r="Z74" s="2339"/>
      <c r="AA74" s="27">
        <f>SUM(A74:Z74)</f>
        <v>0</v>
      </c>
      <c r="AB74" s="2644" t="s">
        <v>527</v>
      </c>
      <c r="AC74" s="2646">
        <v>70</v>
      </c>
      <c r="AD74" s="2531"/>
      <c r="AE74" s="2531"/>
      <c r="AF74" s="2348"/>
      <c r="AG74" s="2633">
        <f>-AH74/$D$2%</f>
        <v>-3.1525473851762467</v>
      </c>
      <c r="AH74" s="2647">
        <f>+'E-Tiltag'!$AH$65</f>
        <v>2.9031808870088058</v>
      </c>
      <c r="AI74" s="2633"/>
      <c r="AJ74" s="2348"/>
      <c r="AK74" s="2631">
        <f t="shared" si="6"/>
        <v>2.0322266209061639</v>
      </c>
      <c r="AL74" s="2346"/>
      <c r="AM74" s="2339"/>
      <c r="AN74" s="2339"/>
      <c r="AO74" s="2339"/>
      <c r="AP74" s="2339"/>
      <c r="AQ74" s="2339"/>
      <c r="AR74" s="2339"/>
      <c r="AS74" s="2339"/>
      <c r="AT74" s="2348">
        <f>AH74*AC74%</f>
        <v>2.0322266209061639</v>
      </c>
    </row>
    <row r="75" spans="1:46" ht="15" customHeight="1" x14ac:dyDescent="0.2">
      <c r="A75" s="2633"/>
      <c r="B75" s="2339"/>
      <c r="C75" s="2339"/>
      <c r="D75" s="2339"/>
      <c r="E75" s="2339"/>
      <c r="F75" s="2650">
        <f>AA75-S75-K75</f>
        <v>7.1</v>
      </c>
      <c r="G75" s="2639"/>
      <c r="H75" s="2639"/>
      <c r="I75" s="2639"/>
      <c r="J75" s="2639"/>
      <c r="K75" s="2650">
        <f>'E-Tiltag'!$V$52*('E2020'!F75/SUM('E2020'!$F$62:$F$75))</f>
        <v>0</v>
      </c>
      <c r="L75" s="2531"/>
      <c r="M75" s="2531"/>
      <c r="N75" s="2531"/>
      <c r="O75" s="2531"/>
      <c r="P75" s="2531"/>
      <c r="Q75" s="2531"/>
      <c r="R75" s="2531"/>
      <c r="S75" s="2632"/>
      <c r="T75" s="2531"/>
      <c r="U75" s="2339"/>
      <c r="V75" s="2339"/>
      <c r="W75" s="2339"/>
      <c r="X75" s="2339"/>
      <c r="Y75" s="2339"/>
      <c r="Z75" s="2339"/>
      <c r="AA75" s="2649">
        <f>'E2020'!AA75</f>
        <v>7.1</v>
      </c>
      <c r="AB75" s="2644" t="s">
        <v>202</v>
      </c>
      <c r="AC75" s="2646"/>
      <c r="AD75" s="2531">
        <v>36.5</v>
      </c>
      <c r="AE75" s="2531"/>
      <c r="AF75" s="2348"/>
      <c r="AG75" s="2633"/>
      <c r="AH75" s="2348"/>
      <c r="AI75" s="2633"/>
      <c r="AJ75" s="2348"/>
      <c r="AK75" s="2631">
        <f t="shared" si="6"/>
        <v>2.5914999999999999</v>
      </c>
      <c r="AL75" s="2346"/>
      <c r="AM75" s="2339"/>
      <c r="AN75" s="2339"/>
      <c r="AO75" s="2339"/>
      <c r="AP75" s="2339"/>
      <c r="AQ75" s="2339"/>
      <c r="AR75" s="2339"/>
      <c r="AS75" s="2339">
        <f>AA75*AD75%</f>
        <v>2.5914999999999999</v>
      </c>
      <c r="AT75" s="2348"/>
    </row>
    <row r="76" spans="1:46" ht="15" customHeight="1" x14ac:dyDescent="0.2">
      <c r="A76" s="2633"/>
      <c r="B76" s="2339"/>
      <c r="C76" s="2339"/>
      <c r="D76" s="2339"/>
      <c r="E76" s="2531"/>
      <c r="F76" s="2632">
        <f>AA76-S76</f>
        <v>0</v>
      </c>
      <c r="G76" s="2531"/>
      <c r="H76" s="2531"/>
      <c r="I76" s="2531"/>
      <c r="J76" s="2531"/>
      <c r="K76" s="2531"/>
      <c r="L76" s="2531"/>
      <c r="M76" s="2531"/>
      <c r="N76" s="2531"/>
      <c r="O76" s="2531"/>
      <c r="P76" s="2531"/>
      <c r="Q76" s="2531"/>
      <c r="R76" s="2531"/>
      <c r="S76" s="2635">
        <f>AA76*'E-Tiltag'!$AH$5</f>
        <v>0</v>
      </c>
      <c r="T76" s="2531"/>
      <c r="U76" s="2339"/>
      <c r="V76" s="2339"/>
      <c r="W76" s="2339"/>
      <c r="X76" s="2339"/>
      <c r="Y76" s="2339"/>
      <c r="Z76" s="2339"/>
      <c r="AA76" s="2648"/>
      <c r="AB76" s="2644" t="s">
        <v>4259</v>
      </c>
      <c r="AC76" s="2646"/>
      <c r="AD76" s="2531">
        <v>12</v>
      </c>
      <c r="AE76" s="2531"/>
      <c r="AF76" s="2348"/>
      <c r="AG76" s="2633"/>
      <c r="AH76" s="2348"/>
      <c r="AI76" s="2633"/>
      <c r="AJ76" s="2348"/>
      <c r="AK76" s="2631">
        <f t="shared" si="6"/>
        <v>0</v>
      </c>
      <c r="AL76" s="2346"/>
      <c r="AM76" s="2339"/>
      <c r="AN76" s="2339"/>
      <c r="AO76" s="2339"/>
      <c r="AP76" s="2339"/>
      <c r="AQ76" s="2339"/>
      <c r="AR76" s="2339"/>
      <c r="AS76" s="2339"/>
      <c r="AT76" s="2348">
        <f>AA76*AD76%</f>
        <v>0</v>
      </c>
    </row>
    <row r="77" spans="1:46" ht="15" customHeight="1" x14ac:dyDescent="0.2">
      <c r="A77" s="2633"/>
      <c r="B77" s="2339"/>
      <c r="C77" s="2339"/>
      <c r="D77" s="2339"/>
      <c r="E77" s="2531"/>
      <c r="F77" s="2635">
        <f>AA77-S77</f>
        <v>0.13395164016149103</v>
      </c>
      <c r="G77" s="2531"/>
      <c r="H77" s="2531"/>
      <c r="I77" s="2531"/>
      <c r="J77" s="2531"/>
      <c r="K77" s="2531"/>
      <c r="L77" s="2531"/>
      <c r="M77" s="2531"/>
      <c r="N77" s="2531"/>
      <c r="O77" s="2531"/>
      <c r="P77" s="2531"/>
      <c r="Q77" s="2531"/>
      <c r="R77" s="2531"/>
      <c r="S77" s="2635">
        <f>AA77*'E-Tiltag'!$AH$5</f>
        <v>1.6050196525509E-2</v>
      </c>
      <c r="T77" s="2531"/>
      <c r="U77" s="2339"/>
      <c r="V77" s="2339"/>
      <c r="W77" s="2339"/>
      <c r="X77" s="2339"/>
      <c r="Y77" s="2339"/>
      <c r="Z77" s="2339"/>
      <c r="AA77" s="2647">
        <f>'E-Tiltag'!AH96</f>
        <v>0.15000183668700001</v>
      </c>
      <c r="AB77" s="2644" t="s">
        <v>4260</v>
      </c>
      <c r="AC77" s="2646"/>
      <c r="AD77" s="2531">
        <v>25</v>
      </c>
      <c r="AE77" s="2531"/>
      <c r="AF77" s="2348"/>
      <c r="AG77" s="2633"/>
      <c r="AH77" s="2348"/>
      <c r="AI77" s="2633"/>
      <c r="AJ77" s="2348"/>
      <c r="AK77" s="2631">
        <f t="shared" si="6"/>
        <v>3.7500459171750003E-2</v>
      </c>
      <c r="AL77" s="2346"/>
      <c r="AM77" s="2339"/>
      <c r="AN77" s="2339"/>
      <c r="AO77" s="2339"/>
      <c r="AP77" s="2339"/>
      <c r="AQ77" s="2339"/>
      <c r="AR77" s="2339"/>
      <c r="AS77" s="2339"/>
      <c r="AT77" s="2348">
        <f>AA77*AD77%</f>
        <v>3.7500459171750003E-2</v>
      </c>
    </row>
    <row r="78" spans="1:46" ht="15" customHeight="1" x14ac:dyDescent="0.2">
      <c r="A78" s="2641"/>
      <c r="B78" s="2639"/>
      <c r="C78" s="2639"/>
      <c r="D78" s="2640"/>
      <c r="E78" s="2640"/>
      <c r="F78" s="2645"/>
      <c r="G78" s="2640"/>
      <c r="H78" s="2640"/>
      <c r="I78" s="2640"/>
      <c r="J78" s="2640"/>
      <c r="K78" s="2640"/>
      <c r="L78" s="2640"/>
      <c r="M78" s="2640"/>
      <c r="N78" s="2639"/>
      <c r="O78" s="2639"/>
      <c r="P78" s="2639"/>
      <c r="Q78" s="2639"/>
      <c r="R78" s="2640"/>
      <c r="S78" s="2640"/>
      <c r="T78" s="2640"/>
      <c r="U78" s="2639"/>
      <c r="V78" s="2639"/>
      <c r="W78" s="2639"/>
      <c r="X78" s="2639"/>
      <c r="Y78" s="2639"/>
      <c r="Z78" s="2639"/>
      <c r="AA78" s="2348">
        <f>SUM(A78:Z78)</f>
        <v>0</v>
      </c>
      <c r="AB78" s="2644" t="s">
        <v>4261</v>
      </c>
      <c r="AC78" s="2643">
        <v>67</v>
      </c>
      <c r="AD78" s="2531"/>
      <c r="AE78" s="2640"/>
      <c r="AF78" s="2638"/>
      <c r="AG78" s="2633">
        <f>-AH78/$D$2%</f>
        <v>-0.53692471495276362</v>
      </c>
      <c r="AH78" s="2635">
        <f>'E-Tiltag'!AH97</f>
        <v>0.49445397000000008</v>
      </c>
      <c r="AI78" s="2641"/>
      <c r="AJ78" s="2638"/>
      <c r="AK78" s="2631">
        <f t="shared" si="6"/>
        <v>0.3312841599000001</v>
      </c>
      <c r="AL78" s="2642"/>
      <c r="AM78" s="2639"/>
      <c r="AN78" s="2639"/>
      <c r="AO78" s="2639"/>
      <c r="AP78" s="2639"/>
      <c r="AQ78" s="2639"/>
      <c r="AR78" s="2639"/>
      <c r="AS78" s="2639"/>
      <c r="AT78" s="2348">
        <f>AC78*AH78%</f>
        <v>0.3312841599000001</v>
      </c>
    </row>
    <row r="79" spans="1:46" ht="15" customHeight="1" x14ac:dyDescent="0.2">
      <c r="A79" s="2641"/>
      <c r="B79" s="2639"/>
      <c r="C79" s="2639"/>
      <c r="D79" s="2640"/>
      <c r="E79" s="2640"/>
      <c r="F79" s="2640"/>
      <c r="G79" s="2635">
        <f>'E2020'!G79*(1+'E-Tiltag'!$AH$101)</f>
        <v>5.4450000000000003</v>
      </c>
      <c r="H79" s="2635">
        <f>'E2020'!H79*(1+'E-Tiltag'!$AH$101)</f>
        <v>1.1000000000000001E-2</v>
      </c>
      <c r="I79" s="2640"/>
      <c r="J79" s="2640"/>
      <c r="K79" s="2640"/>
      <c r="L79" s="2640"/>
      <c r="M79" s="2640"/>
      <c r="N79" s="2639"/>
      <c r="O79" s="2639"/>
      <c r="P79" s="2639"/>
      <c r="Q79" s="2639"/>
      <c r="R79" s="2639"/>
      <c r="S79" s="2639"/>
      <c r="T79" s="2639"/>
      <c r="U79" s="2639"/>
      <c r="V79" s="2639"/>
      <c r="W79" s="2639"/>
      <c r="X79" s="2639"/>
      <c r="Y79" s="2639"/>
      <c r="Z79" s="2639"/>
      <c r="AA79" s="2348">
        <f>SUM(A79:Z79)</f>
        <v>5.4560000000000004</v>
      </c>
      <c r="AB79" s="2644" t="s">
        <v>9</v>
      </c>
      <c r="AC79" s="2643"/>
      <c r="AD79" s="2531">
        <v>13.5</v>
      </c>
      <c r="AE79" s="2640"/>
      <c r="AF79" s="2638"/>
      <c r="AG79" s="2641"/>
      <c r="AH79" s="2638"/>
      <c r="AI79" s="2641"/>
      <c r="AJ79" s="2638"/>
      <c r="AK79" s="2631">
        <f t="shared" si="6"/>
        <v>0.7365600000000001</v>
      </c>
      <c r="AL79" s="2642"/>
      <c r="AM79" s="2639"/>
      <c r="AN79" s="2639"/>
      <c r="AO79" s="2639"/>
      <c r="AP79" s="2639"/>
      <c r="AQ79" s="2639"/>
      <c r="AR79" s="2639"/>
      <c r="AS79" s="2639"/>
      <c r="AT79" s="2348">
        <f>AD79*AA79%</f>
        <v>0.7365600000000001</v>
      </c>
    </row>
    <row r="80" spans="1:46" ht="15" customHeight="1" thickBot="1" x14ac:dyDescent="0.25">
      <c r="A80" s="2641"/>
      <c r="B80" s="2639"/>
      <c r="C80" s="2639"/>
      <c r="D80" s="2635">
        <f>'E2020'!D80*(1+'E-Tiltag'!$AH$100)</f>
        <v>0.128024</v>
      </c>
      <c r="E80" s="2640"/>
      <c r="F80" s="2635">
        <f>'E2020'!F80*(1+'E-Tiltag'!$AH$100)</f>
        <v>1.3491760000000002</v>
      </c>
      <c r="G80" s="2640"/>
      <c r="H80" s="2640"/>
      <c r="I80" s="2640"/>
      <c r="J80" s="2640"/>
      <c r="K80" s="2640"/>
      <c r="L80" s="2640"/>
      <c r="M80" s="2640"/>
      <c r="N80" s="2639"/>
      <c r="O80" s="2639"/>
      <c r="P80" s="2639"/>
      <c r="Q80" s="2639"/>
      <c r="R80" s="2639"/>
      <c r="S80" s="2639"/>
      <c r="T80" s="2639"/>
      <c r="U80" s="2639"/>
      <c r="V80" s="2639"/>
      <c r="W80" s="2639"/>
      <c r="X80" s="2639"/>
      <c r="Y80" s="2639"/>
      <c r="Z80" s="2639"/>
      <c r="AA80" s="2638">
        <f>SUM(A80:Z80)</f>
        <v>1.4772000000000001</v>
      </c>
      <c r="AB80" s="2637" t="s">
        <v>5</v>
      </c>
      <c r="AC80" s="2636"/>
      <c r="AD80" s="2531">
        <v>20</v>
      </c>
      <c r="AE80" s="2627"/>
      <c r="AF80" s="2350"/>
      <c r="AG80" s="2633">
        <f>-AH80/$D$2%</f>
        <v>-21.65417526332935</v>
      </c>
      <c r="AH80" s="2635">
        <f>'E2020'!AA80*'E-Tiltag'!$AH$105+'E-Tiltag'!AH114</f>
        <v>19.941330000000001</v>
      </c>
      <c r="AI80" s="2628"/>
      <c r="AJ80" s="2350"/>
      <c r="AK80" s="2626">
        <f t="shared" si="6"/>
        <v>0.29544000000000004</v>
      </c>
      <c r="AL80" s="2634"/>
      <c r="AM80" s="2349"/>
      <c r="AN80" s="2349"/>
      <c r="AO80" s="2349"/>
      <c r="AP80" s="2349"/>
      <c r="AQ80" s="2349"/>
      <c r="AR80" s="2349"/>
      <c r="AS80" s="2349"/>
      <c r="AT80" s="2348">
        <f>AA80*AD80%</f>
        <v>0.29544000000000004</v>
      </c>
    </row>
    <row r="81" spans="1:47" ht="15" customHeight="1" thickBot="1" x14ac:dyDescent="0.25">
      <c r="A81" s="1676">
        <f t="shared" ref="A81:AA81" si="7">SUM(A8:A80)</f>
        <v>80.205529773035337</v>
      </c>
      <c r="B81" s="1678">
        <f t="shared" si="7"/>
        <v>0.81</v>
      </c>
      <c r="C81" s="1678">
        <f t="shared" si="7"/>
        <v>0</v>
      </c>
      <c r="D81" s="1678">
        <f t="shared" si="7"/>
        <v>0.128024</v>
      </c>
      <c r="E81" s="1678">
        <f t="shared" si="7"/>
        <v>0</v>
      </c>
      <c r="F81" s="1678">
        <f t="shared" si="7"/>
        <v>31.31225011335701</v>
      </c>
      <c r="G81" s="1678">
        <f t="shared" si="7"/>
        <v>5.4450000000000003</v>
      </c>
      <c r="H81" s="1678">
        <f t="shared" si="7"/>
        <v>0.92118390909090919</v>
      </c>
      <c r="I81" s="1678">
        <f t="shared" si="7"/>
        <v>0.90160897112074712</v>
      </c>
      <c r="J81" s="1678">
        <f t="shared" si="7"/>
        <v>0</v>
      </c>
      <c r="K81" s="1678">
        <f t="shared" si="7"/>
        <v>0</v>
      </c>
      <c r="L81" s="1678">
        <f t="shared" si="7"/>
        <v>0</v>
      </c>
      <c r="M81" s="1678">
        <f t="shared" si="7"/>
        <v>0</v>
      </c>
      <c r="N81" s="1678">
        <f t="shared" si="7"/>
        <v>0</v>
      </c>
      <c r="O81" s="1678">
        <f t="shared" si="7"/>
        <v>27.053000000000001</v>
      </c>
      <c r="P81" s="1678">
        <f t="shared" si="7"/>
        <v>0</v>
      </c>
      <c r="Q81" s="1678">
        <f t="shared" si="7"/>
        <v>16.000533333333337</v>
      </c>
      <c r="R81" s="1678">
        <f t="shared" si="7"/>
        <v>0</v>
      </c>
      <c r="S81" s="1678">
        <f t="shared" si="7"/>
        <v>2.8048340316014659</v>
      </c>
      <c r="T81" s="1678">
        <f t="shared" si="7"/>
        <v>8.6544999999999987</v>
      </c>
      <c r="U81" s="1678">
        <f t="shared" si="7"/>
        <v>66.127659190588233</v>
      </c>
      <c r="V81" s="1678">
        <f t="shared" si="7"/>
        <v>26.938499999999998</v>
      </c>
      <c r="W81" s="1678">
        <f t="shared" si="7"/>
        <v>0</v>
      </c>
      <c r="X81" s="1678">
        <f t="shared" si="7"/>
        <v>0</v>
      </c>
      <c r="Y81" s="1678">
        <f t="shared" si="7"/>
        <v>0</v>
      </c>
      <c r="Z81" s="1678">
        <f t="shared" si="7"/>
        <v>0</v>
      </c>
      <c r="AA81" s="41">
        <f t="shared" si="7"/>
        <v>267.30262332212703</v>
      </c>
      <c r="AB81" s="42" t="s">
        <v>1</v>
      </c>
      <c r="AC81" s="43"/>
      <c r="AD81" s="43"/>
      <c r="AE81" s="43"/>
      <c r="AF81" s="43"/>
      <c r="AG81" s="1676">
        <f t="shared" ref="AG81:AT81" si="8">SUM(AG8:AG80)</f>
        <v>0</v>
      </c>
      <c r="AH81" s="41">
        <f t="shared" si="8"/>
        <v>97.95201636798825</v>
      </c>
      <c r="AI81" s="1676">
        <f t="shared" si="8"/>
        <v>0</v>
      </c>
      <c r="AJ81" s="41">
        <f t="shared" si="8"/>
        <v>19.204021993464</v>
      </c>
      <c r="AK81" s="42">
        <f t="shared" si="8"/>
        <v>173.11393053777689</v>
      </c>
      <c r="AL81" s="1677">
        <f t="shared" si="8"/>
        <v>114.16452027375814</v>
      </c>
      <c r="AM81" s="1678">
        <f t="shared" si="8"/>
        <v>4.9119941553594719</v>
      </c>
      <c r="AN81" s="1678">
        <f t="shared" si="8"/>
        <v>5.9649309031372484</v>
      </c>
      <c r="AO81" s="1678">
        <f t="shared" si="8"/>
        <v>5.2742815395424802</v>
      </c>
      <c r="AP81" s="1678">
        <f t="shared" si="8"/>
        <v>0</v>
      </c>
      <c r="AQ81" s="1678">
        <f t="shared" si="8"/>
        <v>9.8760247917647046</v>
      </c>
      <c r="AR81" s="1678">
        <f t="shared" si="8"/>
        <v>0.28806032990196001</v>
      </c>
      <c r="AS81" s="1678">
        <f t="shared" si="8"/>
        <v>7.9615</v>
      </c>
      <c r="AT81" s="41">
        <f t="shared" si="8"/>
        <v>24.67261854431289</v>
      </c>
    </row>
    <row r="82" spans="1:47" ht="15" customHeight="1" x14ac:dyDescent="0.2">
      <c r="A82" s="513">
        <f t="shared" ref="A82:I82" si="9">A81*A89/1000</f>
        <v>0</v>
      </c>
      <c r="B82" s="1679">
        <f t="shared" si="9"/>
        <v>5.2488E-2</v>
      </c>
      <c r="C82" s="1679">
        <f t="shared" si="9"/>
        <v>0</v>
      </c>
      <c r="D82" s="1679">
        <f t="shared" si="9"/>
        <v>1.0117736719999999E-2</v>
      </c>
      <c r="E82" s="1679">
        <f t="shared" si="9"/>
        <v>0</v>
      </c>
      <c r="F82" s="1679">
        <f t="shared" si="9"/>
        <v>2.3202377333997544</v>
      </c>
      <c r="G82" s="1679">
        <f t="shared" si="9"/>
        <v>0.39204</v>
      </c>
      <c r="H82" s="1679">
        <f t="shared" si="9"/>
        <v>6.724642536363637E-2</v>
      </c>
      <c r="I82" s="1679">
        <f t="shared" si="9"/>
        <v>5.0057330076623885E-2</v>
      </c>
      <c r="J82" s="26"/>
      <c r="K82" s="26"/>
      <c r="L82" s="26"/>
      <c r="M82" s="1679">
        <f>M81*M89/1000</f>
        <v>0</v>
      </c>
      <c r="N82" s="1679">
        <f>N81*N89/1000</f>
        <v>0</v>
      </c>
      <c r="O82" s="1679">
        <f>O81*O89/1000</f>
        <v>0</v>
      </c>
      <c r="P82" s="1679">
        <f>P81*P89/1000</f>
        <v>0</v>
      </c>
      <c r="Q82" s="1679">
        <v>0</v>
      </c>
      <c r="R82" s="1679">
        <f t="shared" ref="R82:Z82" si="10">R81*R89/1000</f>
        <v>0</v>
      </c>
      <c r="S82" s="1679">
        <f t="shared" si="10"/>
        <v>0</v>
      </c>
      <c r="T82" s="1679">
        <f t="shared" si="10"/>
        <v>0</v>
      </c>
      <c r="U82" s="1679">
        <f t="shared" si="10"/>
        <v>0</v>
      </c>
      <c r="V82" s="1679">
        <f t="shared" si="10"/>
        <v>0</v>
      </c>
      <c r="W82" s="1679">
        <f t="shared" si="10"/>
        <v>0</v>
      </c>
      <c r="X82" s="1679">
        <f t="shared" si="10"/>
        <v>0</v>
      </c>
      <c r="Y82" s="1679">
        <f t="shared" si="10"/>
        <v>0</v>
      </c>
      <c r="Z82" s="1679">
        <f t="shared" si="10"/>
        <v>0</v>
      </c>
      <c r="AA82" s="27">
        <f>SUM(A82:Z82)</f>
        <v>2.892187225560015</v>
      </c>
      <c r="AB82" s="44" t="s">
        <v>4723</v>
      </c>
      <c r="AC82" s="45">
        <f>AA82*1000/D1</f>
        <v>1.6193657477939614</v>
      </c>
      <c r="AD82" s="46" t="s">
        <v>6</v>
      </c>
      <c r="AE82" s="46"/>
      <c r="AF82" s="47"/>
      <c r="AG82" s="33"/>
      <c r="AH82" s="33"/>
      <c r="AI82" s="33"/>
      <c r="AJ82" s="33"/>
      <c r="AK82" s="33"/>
      <c r="AL82" s="33"/>
      <c r="AM82" s="33"/>
      <c r="AN82" s="33"/>
      <c r="AO82" s="33"/>
      <c r="AP82" s="33"/>
      <c r="AQ82" s="33"/>
      <c r="AR82" s="33"/>
      <c r="AS82" s="33"/>
      <c r="AT82" s="33"/>
    </row>
    <row r="83" spans="1:47" ht="15" customHeight="1" x14ac:dyDescent="0.2">
      <c r="A83" s="2633"/>
      <c r="B83" s="2339"/>
      <c r="C83" s="2339"/>
      <c r="D83" s="2339"/>
      <c r="E83" s="2339"/>
      <c r="F83" s="2339"/>
      <c r="G83" s="2339"/>
      <c r="H83" s="2339"/>
      <c r="I83" s="2339"/>
      <c r="J83" s="2531"/>
      <c r="K83" s="2531"/>
      <c r="L83" s="2531"/>
      <c r="M83" s="2339"/>
      <c r="N83" s="2339"/>
      <c r="O83" s="2339"/>
      <c r="P83" s="2339"/>
      <c r="Q83" s="2339"/>
      <c r="R83" s="2632">
        <f>'E2020'!R83</f>
        <v>17.62</v>
      </c>
      <c r="S83" s="2632">
        <f>'E2020'!S83</f>
        <v>28.26</v>
      </c>
      <c r="T83" s="2632">
        <f>'E2020'!T83</f>
        <v>3.58</v>
      </c>
      <c r="U83" s="2632">
        <f>'E2020'!U83</f>
        <v>129.81</v>
      </c>
      <c r="V83" s="2339"/>
      <c r="W83" s="2339"/>
      <c r="X83" s="2339"/>
      <c r="Y83" s="2339"/>
      <c r="Z83" s="2339"/>
      <c r="AA83" s="2348">
        <f>SUM(A83:Z83)</f>
        <v>179.27</v>
      </c>
      <c r="AB83" s="2631" t="s">
        <v>528</v>
      </c>
      <c r="AC83" s="2630">
        <f>(SUM(M11:Y11)+AG12*A87%+SUM(M16:Y16)+SUM(M17:Y17)+SUM(M18:Y18)+SUM(M19:Y19)+SUM(M22:Y22)+SUM(J61:Y61)+SUM(J62:Y62)+SUM(J63:Y63)+SUM(J65:Y65)+SUM(J66:Y66)+SUM(J67:Y67)+SUM(J68:Y68)+SUM(J69:Y69)+SUM(J71:Y71)+SUM(J72:Y72)+SUM(J73:Y73)+SUM(J75:Y75)+SUM(J76:Y76)+SUM(J77:Y77)+SUM(J79:Y79)+SUM(J80:Y80)+SUM(M23:Y23)*(AC23%+AE23%)+SUM(M24:Y24)*(AC24%+AE24%)+SUM(M25:Y25)*(AC25%+AE25%)+SUM(M26:Y26)*(AC26%+AE26%)+SUM(M28:Y28)*(AC28%+AD28%+AE28%)+SUM(M27:Y27)*(AD27%)+SUM(M29:Y29)*(AC29%+AE29%)+SUM(M30:Y30)*(AC30%+AE30%)+SUM(M31:Y31)*(AC31%+AE31%)+SUM(M34:Y34)*(AC34%+AE34%)+SUM(M35:Y35)*(AC35%+AE35%)+SUM(M37:Y37)*(AC37%+AE37%)+SUM(M38:Y38)*(AC38%+AE38%)+SUM(M39:Y39)*(AC39%+AE39%)+SUM(M41:Y41)*(AC41%+AE41%)+SUM(M42:Y42)*(AC42%+AE42%)+SUM(M44:Y44)*(AC44%+AE44%)+SUM(M45:Y45)*(AC45%+AE45%)+SUM(M46:Y46)*(AC47%+AE47%)+SUM(M48:Y48)*(AC48%+AE48%)+SUM(M49:Y49)*(AC49%+AE49%)+SUM(M50:Y50)*(AC50%+AE50%)+SUM(M52:Y52)*(AC52%+AE52%)+SUM(M53:Y53)*(AC53%+AE53%)+SUM(M54:Y54)*(AC54%+AE54%))/(SUM(AA8:AA11)+SUM(AA13:AA22)+SUM(AA61:AA80)+(AJ33/AF33%+AJ36/AF36%+AJ43/AF43%+AJ51/AF51%+AJ60/AF60%)+AH81+SUM(AH8:AH11)*(1-D2%)+(-AI56))*100</f>
        <v>86.464675501779482</v>
      </c>
      <c r="AD83" s="2345" t="s">
        <v>163</v>
      </c>
      <c r="AE83" s="2345"/>
      <c r="AF83" s="2629"/>
      <c r="AG83" s="33"/>
      <c r="AH83" s="33"/>
      <c r="AI83" s="33"/>
      <c r="AJ83" s="33"/>
      <c r="AK83" s="33"/>
      <c r="AL83" s="33"/>
      <c r="AM83" s="33"/>
      <c r="AN83" s="33"/>
      <c r="AO83" s="33"/>
      <c r="AP83" s="33"/>
      <c r="AQ83" s="33"/>
      <c r="AR83" s="33"/>
      <c r="AS83" s="33"/>
      <c r="AT83" s="33"/>
    </row>
    <row r="84" spans="1:47" ht="15" customHeight="1" thickBot="1" x14ac:dyDescent="0.25">
      <c r="A84" s="2628"/>
      <c r="B84" s="2349"/>
      <c r="C84" s="2349"/>
      <c r="D84" s="2349"/>
      <c r="E84" s="2349"/>
      <c r="F84" s="2349"/>
      <c r="G84" s="2349"/>
      <c r="H84" s="2349"/>
      <c r="I84" s="2349"/>
      <c r="J84" s="2627"/>
      <c r="K84" s="2627"/>
      <c r="L84" s="2627"/>
      <c r="M84" s="2349" t="str">
        <f t="shared" ref="M84:Z84" si="11">IF(M83&gt;0,M81/M83*100,"")</f>
        <v/>
      </c>
      <c r="N84" s="2349" t="str">
        <f t="shared" si="11"/>
        <v/>
      </c>
      <c r="O84" s="2349" t="str">
        <f t="shared" si="11"/>
        <v/>
      </c>
      <c r="P84" s="2349" t="str">
        <f t="shared" si="11"/>
        <v/>
      </c>
      <c r="Q84" s="2349" t="str">
        <f t="shared" si="11"/>
        <v/>
      </c>
      <c r="R84" s="2349">
        <f t="shared" si="11"/>
        <v>0</v>
      </c>
      <c r="S84" s="2349">
        <f t="shared" si="11"/>
        <v>9.9251027303661221</v>
      </c>
      <c r="T84" s="2349">
        <f t="shared" si="11"/>
        <v>241.74581005586586</v>
      </c>
      <c r="U84" s="2349">
        <f t="shared" si="11"/>
        <v>50.941883668891627</v>
      </c>
      <c r="V84" s="2349" t="str">
        <f t="shared" si="11"/>
        <v/>
      </c>
      <c r="W84" s="2349" t="str">
        <f t="shared" si="11"/>
        <v/>
      </c>
      <c r="X84" s="2349" t="str">
        <f t="shared" si="11"/>
        <v/>
      </c>
      <c r="Y84" s="2349" t="str">
        <f t="shared" si="11"/>
        <v/>
      </c>
      <c r="Z84" s="2349" t="str">
        <f t="shared" si="11"/>
        <v/>
      </c>
      <c r="AA84" s="2350">
        <f>SUMIF(M83:Z83,"&gt;0",M81:Z81)/SUM(M83:Z83)%</f>
        <v>43.279407163602215</v>
      </c>
      <c r="AB84" s="2626" t="s">
        <v>12</v>
      </c>
      <c r="AC84" s="2625">
        <f>SUM(J81:Y81)/AA81*100</f>
        <v>55.210466968621994</v>
      </c>
      <c r="AD84" s="2624" t="s">
        <v>164</v>
      </c>
      <c r="AE84" s="2624"/>
      <c r="AF84" s="2623"/>
      <c r="AG84" s="33"/>
      <c r="AH84" s="33"/>
      <c r="AI84" s="33"/>
      <c r="AJ84" s="33"/>
      <c r="AK84" s="33"/>
      <c r="AL84" s="33"/>
      <c r="AM84" s="33"/>
      <c r="AN84" s="33"/>
      <c r="AO84" s="33"/>
      <c r="AP84" s="33"/>
      <c r="AQ84" s="33"/>
      <c r="AR84" s="33"/>
      <c r="AS84" s="33"/>
      <c r="AT84" s="33"/>
    </row>
    <row r="85" spans="1:47" ht="15" customHeight="1" thickBot="1" x14ac:dyDescent="0.25">
      <c r="A85" s="10"/>
      <c r="B85" s="10"/>
      <c r="C85" s="10"/>
      <c r="D85" s="10"/>
      <c r="E85" s="10"/>
      <c r="F85" s="10"/>
      <c r="G85" s="10"/>
      <c r="H85" s="10"/>
      <c r="I85" s="10"/>
      <c r="J85" s="31"/>
      <c r="K85" s="31"/>
      <c r="L85" s="31"/>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row>
    <row r="86" spans="1:47" ht="17.25" customHeight="1" x14ac:dyDescent="0.2">
      <c r="A86" s="2622" t="s">
        <v>72</v>
      </c>
      <c r="B86" s="2277" t="str">
        <f t="shared" ref="B86:I86" si="12">B7</f>
        <v xml:space="preserve">  LPG og petroleum</v>
      </c>
      <c r="C86" s="2277" t="str">
        <f t="shared" si="12"/>
        <v xml:space="preserve">  Kul</v>
      </c>
      <c r="D86" s="2277" t="str">
        <f t="shared" si="12"/>
        <v xml:space="preserve">  Fuelolie</v>
      </c>
      <c r="E86" s="2277" t="str">
        <f t="shared" si="12"/>
        <v xml:space="preserve">  Brændselsolie</v>
      </c>
      <c r="F86" s="2277" t="str">
        <f t="shared" si="12"/>
        <v xml:space="preserve">  Dieselolie</v>
      </c>
      <c r="G86" s="2277" t="str">
        <f t="shared" si="12"/>
        <v xml:space="preserve">  JP1</v>
      </c>
      <c r="H86" s="2277" t="str">
        <f t="shared" si="12"/>
        <v xml:space="preserve">  Benzin</v>
      </c>
      <c r="I86" s="2277" t="str">
        <f t="shared" si="12"/>
        <v xml:space="preserve">  Naturgas</v>
      </c>
      <c r="J86" s="289"/>
      <c r="K86" s="289"/>
      <c r="L86" s="289"/>
      <c r="M86" s="2277" t="str">
        <f t="shared" ref="M86:Z86" si="13">M7</f>
        <v xml:space="preserve">  Vindenergi</v>
      </c>
      <c r="N86" s="2277" t="str">
        <f t="shared" si="13"/>
        <v xml:space="preserve">  Vandenergi</v>
      </c>
      <c r="O86" s="2277" t="str">
        <f t="shared" si="13"/>
        <v xml:space="preserve">  Solenergi</v>
      </c>
      <c r="P86" s="2277" t="str">
        <f t="shared" si="13"/>
        <v xml:space="preserve">  Geotermi</v>
      </c>
      <c r="Q86" s="2277" t="str">
        <f t="shared" si="13"/>
        <v xml:space="preserve">  Varmekilder til varmepumper</v>
      </c>
      <c r="R86" s="2277" t="str">
        <f t="shared" si="13"/>
        <v xml:space="preserve">  Husdyrsgødning</v>
      </c>
      <c r="S86" s="2277" t="str">
        <f t="shared" si="13"/>
        <v xml:space="preserve">  Biobrændstof og energiafgrøder</v>
      </c>
      <c r="T86" s="2277" t="str">
        <f t="shared" si="13"/>
        <v xml:space="preserve">  Halm</v>
      </c>
      <c r="U86" s="2277" t="str">
        <f t="shared" si="13"/>
        <v xml:space="preserve">  Brænde og træflis</v>
      </c>
      <c r="V86" s="2277" t="str">
        <f t="shared" si="13"/>
        <v xml:space="preserve">  Træpiller og træaffald</v>
      </c>
      <c r="W86" s="2277" t="str">
        <f t="shared" si="13"/>
        <v xml:space="preserve">  Organisk affald, industri</v>
      </c>
      <c r="X86" s="2277" t="str">
        <f t="shared" si="13"/>
        <v xml:space="preserve">  Organisk affald, husholdninger</v>
      </c>
      <c r="Y86" s="2277" t="str">
        <f t="shared" si="13"/>
        <v xml:space="preserve">  Deponi, slam, renseanlæg</v>
      </c>
      <c r="Z86" s="2280" t="str">
        <f t="shared" si="13"/>
        <v xml:space="preserve">  Affald, ikke bionedbrydeligt</v>
      </c>
      <c r="AA86" s="10"/>
      <c r="AB86" s="10"/>
      <c r="AC86" s="10"/>
      <c r="AD86" s="10"/>
      <c r="AE86" s="10"/>
      <c r="AF86" s="10"/>
      <c r="AG86" s="10"/>
      <c r="AH86" s="10"/>
      <c r="AI86" s="10"/>
      <c r="AJ86" s="10"/>
      <c r="AK86" s="10"/>
      <c r="AL86" s="10"/>
      <c r="AM86" s="10"/>
      <c r="AN86" s="10"/>
      <c r="AO86" s="10"/>
      <c r="AP86" s="10"/>
      <c r="AQ86" s="10"/>
      <c r="AR86" s="10"/>
      <c r="AS86" s="10"/>
      <c r="AT86" s="10"/>
    </row>
    <row r="87" spans="1:47" ht="29.25" customHeight="1" x14ac:dyDescent="0.2">
      <c r="A87" s="428">
        <f>'E-Tiltag'!V4</f>
        <v>100</v>
      </c>
      <c r="B87" s="2278"/>
      <c r="C87" s="2278"/>
      <c r="D87" s="2278"/>
      <c r="E87" s="2278"/>
      <c r="F87" s="2278"/>
      <c r="G87" s="2278"/>
      <c r="H87" s="2278"/>
      <c r="I87" s="2278"/>
      <c r="J87" s="290"/>
      <c r="K87" s="290"/>
      <c r="L87" s="290"/>
      <c r="M87" s="2278"/>
      <c r="N87" s="2278"/>
      <c r="O87" s="2278"/>
      <c r="P87" s="2278"/>
      <c r="Q87" s="2278"/>
      <c r="R87" s="2278"/>
      <c r="S87" s="2278"/>
      <c r="T87" s="2278"/>
      <c r="U87" s="2278"/>
      <c r="V87" s="2278"/>
      <c r="W87" s="2278"/>
      <c r="X87" s="2278"/>
      <c r="Y87" s="2278"/>
      <c r="Z87" s="2281"/>
      <c r="AA87" s="10"/>
      <c r="AB87" s="10"/>
      <c r="AC87" s="10"/>
      <c r="AD87" s="10"/>
      <c r="AE87" s="10"/>
      <c r="AF87" s="10"/>
      <c r="AG87" s="10"/>
      <c r="AH87" s="10"/>
      <c r="AI87" s="10"/>
      <c r="AJ87" s="10"/>
      <c r="AK87" s="10"/>
      <c r="AL87" s="10"/>
      <c r="AM87" s="10"/>
      <c r="AN87" s="10"/>
      <c r="AO87" s="10"/>
      <c r="AP87" s="10"/>
      <c r="AQ87" s="10"/>
      <c r="AR87" s="10"/>
      <c r="AS87" s="10"/>
      <c r="AT87" s="10"/>
    </row>
    <row r="88" spans="1:47" ht="123" customHeight="1" thickBot="1" x14ac:dyDescent="0.25">
      <c r="A88" s="2621" t="s">
        <v>73</v>
      </c>
      <c r="B88" s="2279"/>
      <c r="C88" s="2279"/>
      <c r="D88" s="2279"/>
      <c r="E88" s="2279"/>
      <c r="F88" s="2279"/>
      <c r="G88" s="2279"/>
      <c r="H88" s="2279"/>
      <c r="I88" s="2279"/>
      <c r="J88" s="287" t="s">
        <v>175</v>
      </c>
      <c r="K88" s="287" t="s">
        <v>176</v>
      </c>
      <c r="L88" s="287" t="s">
        <v>177</v>
      </c>
      <c r="M88" s="2279"/>
      <c r="N88" s="2279"/>
      <c r="O88" s="2279"/>
      <c r="P88" s="2279"/>
      <c r="Q88" s="2279"/>
      <c r="R88" s="2279"/>
      <c r="S88" s="2279"/>
      <c r="T88" s="2279"/>
      <c r="U88" s="2279"/>
      <c r="V88" s="2279"/>
      <c r="W88" s="2279"/>
      <c r="X88" s="2279"/>
      <c r="Y88" s="2279"/>
      <c r="Z88" s="2282"/>
      <c r="AA88" s="10"/>
      <c r="AB88" s="10"/>
      <c r="AC88" s="10"/>
      <c r="AD88" s="10"/>
      <c r="AE88" s="10"/>
      <c r="AF88" s="10"/>
      <c r="AG88" s="10"/>
      <c r="AH88" s="10"/>
      <c r="AI88" s="10"/>
      <c r="AJ88" s="10"/>
      <c r="AK88" s="10"/>
      <c r="AL88" s="10"/>
      <c r="AM88" s="10"/>
      <c r="AN88" s="10"/>
      <c r="AO88" s="10"/>
      <c r="AP88" s="10"/>
      <c r="AQ88" s="10"/>
      <c r="AR88" s="10"/>
      <c r="AS88" s="10"/>
      <c r="AT88" s="10"/>
    </row>
    <row r="89" spans="1:47" s="52" customFormat="1" ht="15" customHeight="1" thickBot="1" x14ac:dyDescent="0.25">
      <c r="A89" s="429">
        <f>'E-Tiltag'!V5</f>
        <v>0</v>
      </c>
      <c r="B89" s="49">
        <v>64.8</v>
      </c>
      <c r="C89" s="49">
        <v>94.2</v>
      </c>
      <c r="D89" s="49">
        <v>79.03</v>
      </c>
      <c r="E89" s="49">
        <v>74.099999999999994</v>
      </c>
      <c r="F89" s="49">
        <v>74.099999999999994</v>
      </c>
      <c r="G89" s="49">
        <v>72</v>
      </c>
      <c r="H89" s="49">
        <v>73</v>
      </c>
      <c r="I89" s="49">
        <v>55.52</v>
      </c>
      <c r="J89" s="49"/>
      <c r="K89" s="49"/>
      <c r="L89" s="49"/>
      <c r="M89" s="49"/>
      <c r="N89" s="49"/>
      <c r="O89" s="49"/>
      <c r="P89" s="49"/>
      <c r="Q89" s="295"/>
      <c r="R89" s="49"/>
      <c r="S89" s="49"/>
      <c r="T89" s="49"/>
      <c r="U89" s="49"/>
      <c r="V89" s="49"/>
      <c r="W89" s="49"/>
      <c r="X89" s="49"/>
      <c r="Y89" s="295"/>
      <c r="Z89" s="295">
        <v>94.44</v>
      </c>
      <c r="AA89" s="125" t="s">
        <v>174</v>
      </c>
      <c r="AB89" s="50"/>
      <c r="AC89" s="51"/>
      <c r="AD89" s="51"/>
      <c r="AE89" s="51"/>
      <c r="AF89" s="51"/>
      <c r="AG89" s="51"/>
      <c r="AH89" s="51"/>
      <c r="AI89" s="51"/>
      <c r="AJ89" s="51"/>
      <c r="AK89" s="51"/>
      <c r="AL89" s="51"/>
      <c r="AM89" s="51"/>
      <c r="AN89" s="51"/>
      <c r="AO89" s="51"/>
      <c r="AP89" s="51"/>
      <c r="AQ89" s="51"/>
      <c r="AR89" s="51"/>
      <c r="AS89" s="51"/>
      <c r="AT89" s="51"/>
    </row>
    <row r="90" spans="1:47" x14ac:dyDescent="0.2">
      <c r="A90" s="29"/>
      <c r="B90" s="29"/>
      <c r="C90" s="29"/>
      <c r="D90" s="29"/>
      <c r="E90" s="29"/>
      <c r="F90" s="29"/>
      <c r="G90" s="29"/>
      <c r="H90" s="29"/>
      <c r="I90" s="29"/>
      <c r="J90" s="73"/>
      <c r="K90" s="73"/>
      <c r="L90" s="73"/>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row>
    <row r="91" spans="1:47" x14ac:dyDescent="0.2">
      <c r="AB91" s="10"/>
    </row>
    <row r="92" spans="1:47" ht="12.75" customHeight="1" x14ac:dyDescent="0.3">
      <c r="A92" s="48"/>
      <c r="AB92" s="29"/>
    </row>
    <row r="94" spans="1:47" x14ac:dyDescent="0.2">
      <c r="AB94" s="29"/>
    </row>
    <row r="95" spans="1:47" x14ac:dyDescent="0.2">
      <c r="AB95" s="29"/>
    </row>
  </sheetData>
  <conditionalFormatting sqref="AA57:AA59">
    <cfRule type="cellIs" dxfId="616" priority="1" operator="notEqual">
      <formula>0</formula>
    </cfRule>
  </conditionalFormatting>
  <printOptions horizontalCentered="1" verticalCentered="1" gridLines="1"/>
  <pageMargins left="0.19685039370078741" right="0.19685039370078741" top="0.98425196850393704" bottom="0.55118110236220474" header="0" footer="0"/>
  <pageSetup paperSize="8" scale="48" orientation="landscape" r:id="rId1"/>
  <headerFooter alignWithMargins="0">
    <oddFooter>&amp;R&amp;F &amp;T &amp;D</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8B64-9134-4E74-9AEB-B9965E867EEB}">
  <sheetPr codeName="Ark106">
    <tabColor theme="3" tint="0.79998168889431442"/>
  </sheetPr>
  <dimension ref="A1:N23"/>
  <sheetViews>
    <sheetView zoomScale="80" zoomScaleNormal="80" workbookViewId="0">
      <selection activeCell="D25" sqref="D25"/>
    </sheetView>
  </sheetViews>
  <sheetFormatPr defaultColWidth="9.140625" defaultRowHeight="15" x14ac:dyDescent="0.25"/>
  <cols>
    <col min="1" max="1" width="16.5703125" style="1197" customWidth="1"/>
    <col min="2" max="2" width="31.140625" style="1008" customWidth="1"/>
    <col min="3" max="3" width="19.42578125" style="1008" customWidth="1"/>
    <col min="4" max="4" width="17.5703125" style="1008" customWidth="1"/>
    <col min="5" max="5" width="20.42578125" style="1008" customWidth="1"/>
    <col min="6" max="6" width="16.140625" style="1008" customWidth="1"/>
    <col min="7" max="7" width="18" style="1008" customWidth="1"/>
    <col min="8" max="8" width="20.42578125" style="1008" customWidth="1"/>
    <col min="9" max="9" width="16.5703125" style="1008" customWidth="1"/>
    <col min="10" max="10" width="82.85546875" style="1008" bestFit="1" customWidth="1"/>
    <col min="11" max="11" width="14.5703125" style="1008" customWidth="1"/>
    <col min="12" max="12" width="9.140625" style="1008"/>
    <col min="13" max="13" width="15.5703125" style="1008" bestFit="1" customWidth="1"/>
    <col min="14" max="16384" width="9.140625" style="1008"/>
  </cols>
  <sheetData>
    <row r="1" spans="1:14" s="1209" customFormat="1" ht="41.45" customHeight="1" x14ac:dyDescent="0.2">
      <c r="A1" s="1212" t="s">
        <v>539</v>
      </c>
      <c r="B1" s="1211" t="s">
        <v>2486</v>
      </c>
      <c r="C1" s="1210" t="s">
        <v>2485</v>
      </c>
      <c r="D1" s="1210" t="s">
        <v>2484</v>
      </c>
      <c r="E1" s="1210" t="s">
        <v>2483</v>
      </c>
      <c r="F1" s="1210" t="s">
        <v>2482</v>
      </c>
      <c r="G1" s="1210" t="s">
        <v>2481</v>
      </c>
      <c r="H1" s="1210" t="s">
        <v>2480</v>
      </c>
      <c r="I1" s="1210" t="s">
        <v>2479</v>
      </c>
      <c r="J1" s="1210" t="s">
        <v>2478</v>
      </c>
    </row>
    <row r="2" spans="1:14" x14ac:dyDescent="0.25">
      <c r="A2" s="1199" t="s">
        <v>2477</v>
      </c>
      <c r="B2" s="1199" t="s">
        <v>2476</v>
      </c>
      <c r="C2" s="1198" t="s">
        <v>2430</v>
      </c>
      <c r="D2" s="1198">
        <v>0</v>
      </c>
      <c r="E2" s="1198">
        <v>5.7</v>
      </c>
      <c r="F2" s="1198">
        <v>5.7</v>
      </c>
      <c r="G2" s="1198">
        <v>0</v>
      </c>
      <c r="H2" s="1198">
        <v>0</v>
      </c>
      <c r="I2" s="1198">
        <v>0</v>
      </c>
      <c r="J2" s="1198" t="s">
        <v>2475</v>
      </c>
    </row>
    <row r="3" spans="1:14" x14ac:dyDescent="0.25">
      <c r="A3" s="1199" t="s">
        <v>2474</v>
      </c>
      <c r="B3" s="1199" t="s">
        <v>2473</v>
      </c>
      <c r="C3" s="1198" t="s">
        <v>2430</v>
      </c>
      <c r="D3" s="1198">
        <v>0</v>
      </c>
      <c r="E3" s="1198">
        <v>0.5</v>
      </c>
      <c r="F3" s="1198">
        <v>0.5</v>
      </c>
      <c r="G3" s="1198">
        <v>0</v>
      </c>
      <c r="H3" s="1198">
        <v>2.2999999999999998</v>
      </c>
      <c r="I3" s="1198">
        <v>2.2999999999999998</v>
      </c>
      <c r="J3" s="1198" t="s">
        <v>2472</v>
      </c>
    </row>
    <row r="4" spans="1:14" ht="15.75" thickBot="1" x14ac:dyDescent="0.3">
      <c r="A4" s="1199" t="s">
        <v>2474</v>
      </c>
      <c r="B4" s="1199" t="s">
        <v>2473</v>
      </c>
      <c r="C4" s="1198" t="s">
        <v>2451</v>
      </c>
      <c r="D4" s="1198">
        <v>0</v>
      </c>
      <c r="E4" s="1198">
        <v>0</v>
      </c>
      <c r="F4" s="1198">
        <v>0</v>
      </c>
      <c r="G4" s="1198">
        <v>0</v>
      </c>
      <c r="H4" s="1198">
        <v>0.5</v>
      </c>
      <c r="I4" s="1198">
        <v>0.5</v>
      </c>
      <c r="J4" s="1198" t="s">
        <v>2472</v>
      </c>
    </row>
    <row r="5" spans="1:14" ht="16.5" thickBot="1" x14ac:dyDescent="0.3">
      <c r="A5" s="1199" t="s">
        <v>2468</v>
      </c>
      <c r="B5" s="1199" t="s">
        <v>2467</v>
      </c>
      <c r="C5" s="1198" t="s">
        <v>2430</v>
      </c>
      <c r="D5" s="1198">
        <v>0</v>
      </c>
      <c r="E5" s="1198">
        <v>8</v>
      </c>
      <c r="F5" s="1198">
        <v>8</v>
      </c>
      <c r="G5" s="1198">
        <v>0</v>
      </c>
      <c r="H5" s="1198">
        <v>0</v>
      </c>
      <c r="I5" s="1198">
        <v>0</v>
      </c>
      <c r="J5" s="1198" t="s">
        <v>2471</v>
      </c>
      <c r="M5" s="1208" t="s">
        <v>2470</v>
      </c>
      <c r="N5" s="1207" t="s">
        <v>2469</v>
      </c>
    </row>
    <row r="6" spans="1:14" x14ac:dyDescent="0.25">
      <c r="A6" s="1199" t="s">
        <v>2468</v>
      </c>
      <c r="B6" s="1199" t="s">
        <v>2467</v>
      </c>
      <c r="C6" s="1200" t="s">
        <v>2466</v>
      </c>
      <c r="D6" s="1198">
        <v>0</v>
      </c>
      <c r="E6" s="1198">
        <v>1</v>
      </c>
      <c r="F6" s="1198">
        <v>1</v>
      </c>
      <c r="G6" s="1198">
        <v>0</v>
      </c>
      <c r="H6" s="1198">
        <v>0</v>
      </c>
      <c r="I6" s="1198">
        <v>0</v>
      </c>
      <c r="J6" s="1198"/>
      <c r="M6" s="1206" t="s">
        <v>2465</v>
      </c>
      <c r="N6" s="1205">
        <f>D23</f>
        <v>37.6</v>
      </c>
    </row>
    <row r="7" spans="1:14" x14ac:dyDescent="0.25">
      <c r="A7" s="1199" t="s">
        <v>2464</v>
      </c>
      <c r="B7" s="1199" t="s">
        <v>2463</v>
      </c>
      <c r="C7" s="1198" t="s">
        <v>2433</v>
      </c>
      <c r="D7" s="1198">
        <v>0</v>
      </c>
      <c r="E7" s="1198">
        <v>2</v>
      </c>
      <c r="F7" s="1198">
        <v>2</v>
      </c>
      <c r="G7" s="1198">
        <v>0</v>
      </c>
      <c r="H7" s="1198">
        <v>7</v>
      </c>
      <c r="I7" s="1198">
        <v>7</v>
      </c>
      <c r="J7" s="1198" t="s">
        <v>2462</v>
      </c>
      <c r="M7" s="1204" t="s">
        <v>2461</v>
      </c>
      <c r="N7" s="1203">
        <f>E23</f>
        <v>199.55</v>
      </c>
    </row>
    <row r="8" spans="1:14" x14ac:dyDescent="0.25">
      <c r="A8" s="1199" t="s">
        <v>2458</v>
      </c>
      <c r="B8" s="1199" t="s">
        <v>2460</v>
      </c>
      <c r="C8" s="1198" t="s">
        <v>2451</v>
      </c>
      <c r="D8" s="1198">
        <v>0</v>
      </c>
      <c r="E8" s="1198">
        <v>1.6</v>
      </c>
      <c r="F8" s="1198">
        <v>1.6</v>
      </c>
      <c r="G8" s="1198">
        <v>0</v>
      </c>
      <c r="H8" s="1198">
        <v>0.5</v>
      </c>
      <c r="I8" s="1198">
        <v>0.5</v>
      </c>
      <c r="J8" s="1198"/>
      <c r="M8" s="1204" t="s">
        <v>2459</v>
      </c>
      <c r="N8" s="1203">
        <f>G23</f>
        <v>1.7</v>
      </c>
    </row>
    <row r="9" spans="1:14" ht="15.75" thickBot="1" x14ac:dyDescent="0.3">
      <c r="A9" s="1199" t="s">
        <v>2458</v>
      </c>
      <c r="B9" s="1198" t="s">
        <v>2457</v>
      </c>
      <c r="C9" s="1198" t="s">
        <v>2456</v>
      </c>
      <c r="D9" s="1198">
        <v>0</v>
      </c>
      <c r="E9" s="1198">
        <v>3</v>
      </c>
      <c r="F9" s="1198">
        <v>3</v>
      </c>
      <c r="G9" s="1198">
        <v>0</v>
      </c>
      <c r="H9" s="1198">
        <v>0</v>
      </c>
      <c r="I9" s="1198">
        <v>0</v>
      </c>
      <c r="J9" s="1198"/>
      <c r="M9" s="1202" t="s">
        <v>2455</v>
      </c>
      <c r="N9" s="1201">
        <f>H23</f>
        <v>26</v>
      </c>
    </row>
    <row r="10" spans="1:14" x14ac:dyDescent="0.25">
      <c r="A10" s="1199" t="s">
        <v>2450</v>
      </c>
      <c r="B10" s="1199" t="s">
        <v>2454</v>
      </c>
      <c r="C10" s="1198" t="s">
        <v>2430</v>
      </c>
      <c r="D10" s="1198">
        <v>0</v>
      </c>
      <c r="E10" s="1198">
        <v>2.2999999999999998</v>
      </c>
      <c r="F10" s="1198">
        <v>2.2999999999999998</v>
      </c>
      <c r="G10" s="1198">
        <v>0</v>
      </c>
      <c r="H10" s="1198">
        <v>3.3</v>
      </c>
      <c r="I10" s="1198">
        <v>3.3</v>
      </c>
      <c r="J10" s="1198" t="s">
        <v>2453</v>
      </c>
      <c r="M10" s="1204">
        <v>2019</v>
      </c>
      <c r="N10" s="1203">
        <f>F23</f>
        <v>233.95000000000002</v>
      </c>
    </row>
    <row r="11" spans="1:14" ht="15.75" thickBot="1" x14ac:dyDescent="0.3">
      <c r="A11" s="1199" t="s">
        <v>2450</v>
      </c>
      <c r="B11" s="1198" t="s">
        <v>2452</v>
      </c>
      <c r="C11" s="1198" t="s">
        <v>2451</v>
      </c>
      <c r="D11" s="1198">
        <v>0</v>
      </c>
      <c r="E11" s="1198">
        <v>3.05</v>
      </c>
      <c r="F11" s="1198">
        <v>3.05</v>
      </c>
      <c r="G11" s="1198">
        <v>1.5</v>
      </c>
      <c r="H11" s="1198">
        <v>4.4000000000000004</v>
      </c>
      <c r="I11" s="1198">
        <v>5.9</v>
      </c>
      <c r="J11" s="1198"/>
      <c r="M11" s="1202">
        <v>2020</v>
      </c>
      <c r="N11" s="1201">
        <f>I23</f>
        <v>29.7</v>
      </c>
    </row>
    <row r="12" spans="1:14" x14ac:dyDescent="0.25">
      <c r="A12" s="1199" t="s">
        <v>2450</v>
      </c>
      <c r="B12" s="1198" t="s">
        <v>2449</v>
      </c>
      <c r="C12" s="1198" t="s">
        <v>2448</v>
      </c>
      <c r="D12" s="1198">
        <v>0</v>
      </c>
      <c r="E12" s="1198">
        <v>2.4</v>
      </c>
      <c r="F12" s="1198">
        <v>2.4</v>
      </c>
      <c r="G12" s="1198">
        <v>0</v>
      </c>
      <c r="H12" s="1198">
        <v>1</v>
      </c>
      <c r="I12" s="1198">
        <v>1</v>
      </c>
      <c r="J12" s="1198" t="s">
        <v>2447</v>
      </c>
    </row>
    <row r="13" spans="1:14" x14ac:dyDescent="0.25">
      <c r="A13" s="1199" t="s">
        <v>2444</v>
      </c>
      <c r="B13" s="1199" t="s">
        <v>2446</v>
      </c>
      <c r="C13" s="1198" t="s">
        <v>2430</v>
      </c>
      <c r="D13" s="1198">
        <v>0</v>
      </c>
      <c r="E13" s="1198">
        <v>147</v>
      </c>
      <c r="F13" s="1198">
        <v>147</v>
      </c>
      <c r="G13" s="1198">
        <v>0</v>
      </c>
      <c r="H13" s="1198">
        <v>0</v>
      </c>
      <c r="I13" s="1198">
        <v>0</v>
      </c>
      <c r="J13" s="1198" t="s">
        <v>2445</v>
      </c>
    </row>
    <row r="14" spans="1:14" x14ac:dyDescent="0.25">
      <c r="A14" s="1199" t="s">
        <v>2444</v>
      </c>
      <c r="B14" s="1199" t="s">
        <v>2443</v>
      </c>
      <c r="C14" s="1198" t="s">
        <v>2430</v>
      </c>
      <c r="D14" s="1198">
        <v>0</v>
      </c>
      <c r="E14" s="1198">
        <v>2</v>
      </c>
      <c r="F14" s="1198">
        <v>2</v>
      </c>
      <c r="G14" s="1198">
        <v>0</v>
      </c>
      <c r="H14" s="1198">
        <v>0</v>
      </c>
      <c r="I14" s="1198">
        <v>0</v>
      </c>
      <c r="J14" s="1198" t="s">
        <v>2442</v>
      </c>
    </row>
    <row r="15" spans="1:14" x14ac:dyDescent="0.25">
      <c r="A15" s="1199" t="s">
        <v>2438</v>
      </c>
      <c r="B15" s="1199" t="s">
        <v>2440</v>
      </c>
      <c r="C15" s="1198" t="s">
        <v>2430</v>
      </c>
      <c r="D15" s="1198">
        <v>0</v>
      </c>
      <c r="E15" s="1198">
        <v>0</v>
      </c>
      <c r="F15" s="1198">
        <v>0</v>
      </c>
      <c r="G15" s="1198">
        <v>0</v>
      </c>
      <c r="H15" s="1198">
        <v>5</v>
      </c>
      <c r="I15" s="1198">
        <v>7</v>
      </c>
      <c r="J15" s="1198" t="s">
        <v>2441</v>
      </c>
    </row>
    <row r="16" spans="1:14" x14ac:dyDescent="0.25">
      <c r="A16" s="1199" t="s">
        <v>2438</v>
      </c>
      <c r="B16" s="1198" t="s">
        <v>2440</v>
      </c>
      <c r="C16" s="1200" t="s">
        <v>243</v>
      </c>
      <c r="D16" s="1198">
        <v>27</v>
      </c>
      <c r="E16" s="1198">
        <v>0</v>
      </c>
      <c r="F16" s="1198">
        <v>27</v>
      </c>
      <c r="G16" s="1198">
        <v>0</v>
      </c>
      <c r="H16" s="1198">
        <v>0</v>
      </c>
      <c r="I16" s="1198">
        <v>0</v>
      </c>
      <c r="J16" s="1198" t="s">
        <v>2439</v>
      </c>
    </row>
    <row r="17" spans="1:10" x14ac:dyDescent="0.25">
      <c r="A17" s="1199" t="s">
        <v>2438</v>
      </c>
      <c r="B17" s="1198" t="s">
        <v>2427</v>
      </c>
      <c r="C17" s="1200" t="s">
        <v>2430</v>
      </c>
      <c r="D17" s="1198">
        <v>0</v>
      </c>
      <c r="E17" s="1198">
        <v>0</v>
      </c>
      <c r="F17" s="1198">
        <v>0</v>
      </c>
      <c r="G17" s="1198">
        <v>0</v>
      </c>
      <c r="H17" s="1198">
        <v>2</v>
      </c>
      <c r="I17" s="1198">
        <v>2</v>
      </c>
      <c r="J17" s="1198"/>
    </row>
    <row r="18" spans="1:10" x14ac:dyDescent="0.25">
      <c r="A18" s="1199" t="s">
        <v>2435</v>
      </c>
      <c r="B18" s="1199" t="s">
        <v>2436</v>
      </c>
      <c r="C18" s="1198" t="s">
        <v>2430</v>
      </c>
      <c r="D18" s="1198">
        <v>0</v>
      </c>
      <c r="E18" s="1198">
        <v>8</v>
      </c>
      <c r="F18" s="1198">
        <v>4.8</v>
      </c>
      <c r="G18" s="1198">
        <v>0</v>
      </c>
      <c r="H18" s="1198">
        <v>0</v>
      </c>
      <c r="I18" s="1198">
        <v>0</v>
      </c>
      <c r="J18" s="1198" t="s">
        <v>2437</v>
      </c>
    </row>
    <row r="19" spans="1:10" x14ac:dyDescent="0.25">
      <c r="A19" s="1199" t="s">
        <v>2435</v>
      </c>
      <c r="B19" s="1199" t="s">
        <v>2436</v>
      </c>
      <c r="C19" s="1198" t="s">
        <v>2433</v>
      </c>
      <c r="D19" s="1198">
        <v>0</v>
      </c>
      <c r="E19" s="1198">
        <v>8</v>
      </c>
      <c r="F19" s="1198">
        <v>8</v>
      </c>
      <c r="G19" s="1198">
        <v>0</v>
      </c>
      <c r="H19" s="1198">
        <v>0</v>
      </c>
      <c r="I19" s="1198">
        <v>0</v>
      </c>
      <c r="J19" s="1198"/>
    </row>
    <row r="20" spans="1:10" x14ac:dyDescent="0.25">
      <c r="A20" s="1199" t="s">
        <v>2435</v>
      </c>
      <c r="B20" s="1198" t="s">
        <v>2434</v>
      </c>
      <c r="C20" s="1198" t="s">
        <v>2433</v>
      </c>
      <c r="D20" s="1198">
        <v>0</v>
      </c>
      <c r="E20" s="1198">
        <v>5</v>
      </c>
      <c r="F20" s="1198">
        <v>5</v>
      </c>
      <c r="G20" s="1198">
        <v>0</v>
      </c>
      <c r="H20" s="1198">
        <v>0</v>
      </c>
      <c r="I20" s="1198">
        <v>0</v>
      </c>
      <c r="J20" s="1198" t="s">
        <v>2432</v>
      </c>
    </row>
    <row r="21" spans="1:10" x14ac:dyDescent="0.25">
      <c r="A21" s="1199" t="s">
        <v>2428</v>
      </c>
      <c r="B21" s="1199" t="s">
        <v>2431</v>
      </c>
      <c r="C21" s="1198" t="s">
        <v>2430</v>
      </c>
      <c r="D21" s="1198">
        <v>1</v>
      </c>
      <c r="E21" s="1198">
        <v>0</v>
      </c>
      <c r="F21" s="1198">
        <v>1</v>
      </c>
      <c r="G21" s="1198">
        <v>0</v>
      </c>
      <c r="H21" s="1198">
        <v>0</v>
      </c>
      <c r="I21" s="1198">
        <v>0</v>
      </c>
      <c r="J21" s="1198" t="s">
        <v>2429</v>
      </c>
    </row>
    <row r="22" spans="1:10" x14ac:dyDescent="0.25">
      <c r="A22" s="1199" t="s">
        <v>2428</v>
      </c>
      <c r="B22" s="1199" t="s">
        <v>2427</v>
      </c>
      <c r="C22" s="1198" t="s">
        <v>2426</v>
      </c>
      <c r="D22" s="1198">
        <v>9.6</v>
      </c>
      <c r="E22" s="1198">
        <v>0</v>
      </c>
      <c r="F22" s="1198">
        <v>9.6</v>
      </c>
      <c r="G22" s="1198">
        <v>0.2</v>
      </c>
      <c r="H22" s="1198">
        <v>0</v>
      </c>
      <c r="I22" s="1198">
        <v>0.2</v>
      </c>
      <c r="J22" s="1198"/>
    </row>
    <row r="23" spans="1:10" s="1177" customFormat="1" x14ac:dyDescent="0.25">
      <c r="A23" s="1197"/>
      <c r="B23" s="1008"/>
      <c r="D23" s="1177">
        <f t="shared" ref="D23:I23" si="0">SUM(D2:D22)</f>
        <v>37.6</v>
      </c>
      <c r="E23" s="1177">
        <f t="shared" si="0"/>
        <v>199.55</v>
      </c>
      <c r="F23" s="1177">
        <f t="shared" si="0"/>
        <v>233.95000000000002</v>
      </c>
      <c r="G23" s="1177">
        <f t="shared" si="0"/>
        <v>1.7</v>
      </c>
      <c r="H23" s="1177">
        <f t="shared" si="0"/>
        <v>26</v>
      </c>
      <c r="I23" s="1177">
        <f t="shared" si="0"/>
        <v>29.7</v>
      </c>
    </row>
  </sheetData>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16253-1F6A-4FB2-992B-472986069E78}">
  <sheetPr codeName="Ark168">
    <tabColor theme="3" tint="0.59999389629810485"/>
  </sheetPr>
  <dimension ref="A1:O37"/>
  <sheetViews>
    <sheetView workbookViewId="0">
      <selection activeCell="C42" sqref="C42"/>
    </sheetView>
  </sheetViews>
  <sheetFormatPr defaultColWidth="9.140625" defaultRowHeight="15" x14ac:dyDescent="0.25"/>
  <cols>
    <col min="1" max="1" width="5.85546875" style="1008" customWidth="1"/>
    <col min="2" max="2" width="18.85546875" style="1008" customWidth="1"/>
    <col min="3" max="3" width="18" style="1008" customWidth="1"/>
    <col min="4" max="4" width="39.5703125" style="1008" bestFit="1" customWidth="1"/>
    <col min="5" max="5" width="22.5703125" style="1008" bestFit="1" customWidth="1"/>
    <col min="6" max="6" width="42.42578125" style="1008" bestFit="1" customWidth="1"/>
    <col min="7" max="7" width="47.42578125" style="1008" customWidth="1"/>
    <col min="8" max="8" width="18.42578125" style="1008" bestFit="1" customWidth="1"/>
    <col min="9" max="9" width="16.7109375" style="1008" customWidth="1"/>
    <col min="10" max="10" width="9.140625" style="1008"/>
    <col min="11" max="11" width="21.140625" style="1008" customWidth="1"/>
    <col min="12" max="12" width="43" style="1008" customWidth="1"/>
    <col min="13" max="13" width="20.85546875" style="1008" customWidth="1"/>
    <col min="14" max="14" width="17.7109375" style="1008" customWidth="1"/>
    <col min="15" max="15" width="18.5703125" style="1008" bestFit="1" customWidth="1"/>
    <col min="16" max="16384" width="9.140625" style="1008"/>
  </cols>
  <sheetData>
    <row r="1" spans="1:15" ht="15.75" thickBot="1" x14ac:dyDescent="0.3">
      <c r="A1" s="1444" t="s">
        <v>2653</v>
      </c>
      <c r="B1" s="1443" t="s">
        <v>2652</v>
      </c>
      <c r="C1" s="1443" t="s">
        <v>2651</v>
      </c>
      <c r="D1" s="1443" t="s">
        <v>2650</v>
      </c>
      <c r="E1" s="1443" t="s">
        <v>2649</v>
      </c>
      <c r="F1" s="2313" t="s">
        <v>2575</v>
      </c>
      <c r="G1" s="1443" t="s">
        <v>2648</v>
      </c>
      <c r="H1" s="1443" t="s">
        <v>4793</v>
      </c>
      <c r="I1" s="1443" t="s">
        <v>2647</v>
      </c>
      <c r="K1" s="1720" t="s">
        <v>4129</v>
      </c>
      <c r="L1" s="1721"/>
      <c r="M1" s="1720" t="s">
        <v>4134</v>
      </c>
      <c r="N1" s="1723"/>
      <c r="O1" s="1721"/>
    </row>
    <row r="2" spans="1:15" hidden="1" x14ac:dyDescent="0.25">
      <c r="A2" s="1718">
        <v>2018</v>
      </c>
      <c r="B2" s="1719">
        <v>101</v>
      </c>
      <c r="C2" s="1442" t="str">
        <f>VLOOKUP(Tabel13[[#This Row],[Kommunenummer]],$M$2:$N$27,2,FALSE)</f>
        <v>København</v>
      </c>
      <c r="D2" s="1442" t="str">
        <f>VLOOKUP(Tabel13[[#This Row],[Kommunenavn]],$N$2:$O$27,2,FALSE)</f>
        <v>Region Hovedstaden</v>
      </c>
      <c r="E2">
        <v>351100</v>
      </c>
      <c r="F2" s="2314" t="str">
        <f>VLOOKUP(Tabel13[[#This Row],[Branchekode (DB07)]],$K$2:$L$14,2,FALSE)</f>
        <v xml:space="preserve">Produktion af elektricitet </v>
      </c>
      <c r="G2" t="s">
        <v>2606</v>
      </c>
      <c r="H2" s="2292">
        <v>1807.08</v>
      </c>
      <c r="I2"/>
      <c r="K2" s="2289">
        <v>108100</v>
      </c>
      <c r="L2" s="1722" t="s">
        <v>2645</v>
      </c>
      <c r="M2" s="1724">
        <v>101</v>
      </c>
      <c r="N2" s="1716" t="s">
        <v>2607</v>
      </c>
      <c r="O2" s="1754" t="s">
        <v>2589</v>
      </c>
    </row>
    <row r="3" spans="1:15" hidden="1" x14ac:dyDescent="0.25">
      <c r="A3" s="1718">
        <v>2018</v>
      </c>
      <c r="B3" s="1719">
        <v>370</v>
      </c>
      <c r="C3" s="1442" t="str">
        <f>VLOOKUP(Tabel13[[#This Row],[Kommunenummer]],$M$2:$N$27,2,FALSE)</f>
        <v>Næstved</v>
      </c>
      <c r="D3" s="1442" t="str">
        <f>VLOOKUP(Tabel13[[#This Row],[Kommunenavn]],$N$2:$O$27,2,FALSE)</f>
        <v>Region Sjælland</v>
      </c>
      <c r="E3">
        <v>231300</v>
      </c>
      <c r="F3" s="2314" t="str">
        <f>VLOOKUP(Tabel13[[#This Row],[Branchekode (DB07)]],$K$2:$L$14,2,FALSE)</f>
        <v>Fremstilling af flasker og glas</v>
      </c>
      <c r="G3" t="s">
        <v>2639</v>
      </c>
      <c r="H3" s="2292">
        <v>8483.2000000000007</v>
      </c>
      <c r="I3"/>
      <c r="K3" s="2304">
        <v>192000</v>
      </c>
      <c r="L3" s="2305" t="s">
        <v>2642</v>
      </c>
      <c r="M3" s="1725">
        <v>161</v>
      </c>
      <c r="N3" s="1717" t="s">
        <v>2592</v>
      </c>
      <c r="O3" s="1755" t="s">
        <v>2589</v>
      </c>
    </row>
    <row r="4" spans="1:15" hidden="1" x14ac:dyDescent="0.25">
      <c r="A4" s="1718">
        <v>2018</v>
      </c>
      <c r="B4" s="1719">
        <v>326</v>
      </c>
      <c r="C4" s="1442" t="str">
        <f>VLOOKUP(Tabel13[[#This Row],[Kommunenummer]],$M$2:$N$27,2,FALSE)</f>
        <v>Kalundborg</v>
      </c>
      <c r="D4" s="1442" t="str">
        <f>VLOOKUP(Tabel13[[#This Row],[Kommunenavn]],$N$2:$O$27,2,FALSE)</f>
        <v>Region Sjælland</v>
      </c>
      <c r="E4">
        <v>351100</v>
      </c>
      <c r="F4" s="2314" t="str">
        <f>VLOOKUP(Tabel13[[#This Row],[Branchekode (DB07)]],$K$2:$L$14,2,FALSE)</f>
        <v xml:space="preserve">Produktion af elektricitet </v>
      </c>
      <c r="G4" t="s">
        <v>4273</v>
      </c>
      <c r="H4" s="2292">
        <v>3412.99</v>
      </c>
      <c r="I4"/>
      <c r="K4" s="2304">
        <v>231300</v>
      </c>
      <c r="L4" s="2306" t="s">
        <v>2640</v>
      </c>
      <c r="M4" s="1725">
        <v>167</v>
      </c>
      <c r="N4" s="1717" t="s">
        <v>2605</v>
      </c>
      <c r="O4" s="1756" t="s">
        <v>2589</v>
      </c>
    </row>
    <row r="5" spans="1:15" hidden="1" x14ac:dyDescent="0.25">
      <c r="A5" s="1718">
        <v>2018</v>
      </c>
      <c r="B5" s="1719">
        <v>167</v>
      </c>
      <c r="C5" s="1442" t="str">
        <f>VLOOKUP(Tabel13[[#This Row],[Kommunenummer]],$M$2:$N$27,2,FALSE)</f>
        <v>Hvidovre</v>
      </c>
      <c r="D5" s="1442" t="str">
        <f>VLOOKUP(Tabel13[[#This Row],[Kommunenavn]],$N$2:$O$27,2,FALSE)</f>
        <v>Region Hovedstaden</v>
      </c>
      <c r="E5">
        <v>351100</v>
      </c>
      <c r="F5" s="2314" t="str">
        <f>VLOOKUP(Tabel13[[#This Row],[Branchekode (DB07)]],$K$2:$L$14,2,FALSE)</f>
        <v xml:space="preserve">Produktion af elektricitet </v>
      </c>
      <c r="G5" t="s">
        <v>2604</v>
      </c>
      <c r="H5" s="2292">
        <v>559.24</v>
      </c>
      <c r="I5"/>
      <c r="K5" s="2304">
        <v>231400</v>
      </c>
      <c r="L5" s="2309" t="str">
        <f>L6</f>
        <v>Fremstilling af glasfiber</v>
      </c>
      <c r="M5" s="1725">
        <v>223</v>
      </c>
      <c r="N5" s="1717" t="s">
        <v>2590</v>
      </c>
      <c r="O5" s="1755" t="s">
        <v>2589</v>
      </c>
    </row>
    <row r="6" spans="1:15" hidden="1" x14ac:dyDescent="0.25">
      <c r="A6" s="1718">
        <v>2018</v>
      </c>
      <c r="B6" s="1719">
        <v>540</v>
      </c>
      <c r="C6" s="1442" t="str">
        <f>VLOOKUP(Tabel13[[#This Row],[Kommunenummer]],$M$2:$N$27,2,FALSE)</f>
        <v>Sønderborg</v>
      </c>
      <c r="D6" s="1442" t="str">
        <f>VLOOKUP(Tabel13[[#This Row],[Kommunenavn]],$N$2:$O$27,2,FALSE)</f>
        <v>Region Syd</v>
      </c>
      <c r="E6">
        <v>233200</v>
      </c>
      <c r="F6" s="2314" t="str">
        <f>VLOOKUP(Tabel13[[#This Row],[Branchekode (DB07)]],$K$2:$L$14,2,FALSE)</f>
        <v>Fremstilling af mursten</v>
      </c>
      <c r="G6" t="s">
        <v>2631</v>
      </c>
      <c r="H6" s="2292">
        <v>697.4</v>
      </c>
      <c r="I6"/>
      <c r="K6" s="2304">
        <f>236400</f>
        <v>236400</v>
      </c>
      <c r="L6" s="2309" t="s">
        <v>2638</v>
      </c>
      <c r="M6" s="1725">
        <v>270</v>
      </c>
      <c r="N6" s="1717" t="s">
        <v>2636</v>
      </c>
      <c r="O6" s="1756" t="s">
        <v>2589</v>
      </c>
    </row>
    <row r="7" spans="1:15" hidden="1" x14ac:dyDescent="0.25">
      <c r="A7" s="1718">
        <v>2018</v>
      </c>
      <c r="B7" s="1719">
        <v>561</v>
      </c>
      <c r="C7" s="1442" t="str">
        <f>VLOOKUP(Tabel13[[#This Row],[Kommunenummer]],$M$2:$N$27,2,FALSE)</f>
        <v>Esbjerg</v>
      </c>
      <c r="D7" s="1442" t="str">
        <f>VLOOKUP(Tabel13[[#This Row],[Kommunenavn]],$N$2:$O$27,2,FALSE)</f>
        <v>Region Syd</v>
      </c>
      <c r="E7">
        <v>351100</v>
      </c>
      <c r="F7" s="2314" t="str">
        <f>VLOOKUP(Tabel13[[#This Row],[Branchekode (DB07)]],$K$2:$L$14,2,FALSE)</f>
        <v xml:space="preserve">Produktion af elektricitet </v>
      </c>
      <c r="G7" t="s">
        <v>2598</v>
      </c>
      <c r="H7" s="2292">
        <v>3471.14</v>
      </c>
      <c r="I7"/>
      <c r="K7" s="2304">
        <v>233200</v>
      </c>
      <c r="L7" s="2305" t="s">
        <v>2621</v>
      </c>
      <c r="M7" s="1725">
        <v>320</v>
      </c>
      <c r="N7" s="1717" t="s">
        <v>2617</v>
      </c>
      <c r="O7" s="1755" t="s">
        <v>2190</v>
      </c>
    </row>
    <row r="8" spans="1:15" hidden="1" x14ac:dyDescent="0.25">
      <c r="A8" s="1718">
        <v>2018</v>
      </c>
      <c r="B8" s="1719">
        <v>320</v>
      </c>
      <c r="C8" s="1442" t="str">
        <f>VLOOKUP(Tabel13[[#This Row],[Kommunenummer]],$M$2:$N$27,2,FALSE)</f>
        <v>Faxe</v>
      </c>
      <c r="D8" s="1442" t="str">
        <f>VLOOKUP(Tabel13[[#This Row],[Kommunenavn]],$N$2:$O$27,2,FALSE)</f>
        <v>Region Sjælland</v>
      </c>
      <c r="E8">
        <v>235200</v>
      </c>
      <c r="F8" s="2314" t="str">
        <f>VLOOKUP(Tabel13[[#This Row],[Branchekode (DB07)]],$K$2:$L$14,2,FALSE)</f>
        <v>Fremstilling af kalk og gips</v>
      </c>
      <c r="G8" t="s">
        <v>2615</v>
      </c>
      <c r="H8" s="2292">
        <v>23329.05</v>
      </c>
      <c r="I8"/>
      <c r="K8" s="2304">
        <v>235100</v>
      </c>
      <c r="L8" s="2305" t="s">
        <v>2619</v>
      </c>
      <c r="M8" s="1725">
        <v>326</v>
      </c>
      <c r="N8" s="1717" t="s">
        <v>2299</v>
      </c>
      <c r="O8" s="1756" t="s">
        <v>2190</v>
      </c>
    </row>
    <row r="9" spans="1:15" hidden="1" x14ac:dyDescent="0.25">
      <c r="A9" s="1718">
        <v>2018</v>
      </c>
      <c r="B9" s="1719">
        <v>461</v>
      </c>
      <c r="C9" s="1442" t="str">
        <f>VLOOKUP(Tabel13[[#This Row],[Kommunenummer]],$M$2:$N$27,2,FALSE)</f>
        <v>Odense</v>
      </c>
      <c r="D9" s="1442" t="str">
        <f>VLOOKUP(Tabel13[[#This Row],[Kommunenavn]],$N$2:$O$27,2,FALSE)</f>
        <v>Region Syd</v>
      </c>
      <c r="E9">
        <v>351100</v>
      </c>
      <c r="F9" s="2314" t="str">
        <f>VLOOKUP(Tabel13[[#This Row],[Branchekode (DB07)]],$K$2:$L$14,2,FALSE)</f>
        <v xml:space="preserve">Produktion af elektricitet </v>
      </c>
      <c r="G9" t="s">
        <v>2602</v>
      </c>
      <c r="H9" s="2292">
        <v>-784.62</v>
      </c>
      <c r="I9" t="s">
        <v>4279</v>
      </c>
      <c r="K9" s="2304">
        <v>235200</v>
      </c>
      <c r="L9" s="2306" t="s">
        <v>2616</v>
      </c>
      <c r="M9" s="1725">
        <v>360</v>
      </c>
      <c r="N9" s="1717" t="s">
        <v>2646</v>
      </c>
      <c r="O9" s="1755" t="s">
        <v>2190</v>
      </c>
    </row>
    <row r="10" spans="1:15" x14ac:dyDescent="0.25">
      <c r="A10" s="1718">
        <v>2018</v>
      </c>
      <c r="B10" s="1719">
        <v>851</v>
      </c>
      <c r="C10" s="1442" t="str">
        <f>VLOOKUP(Tabel13[[#This Row],[Kommunenummer]],$M$2:$N$27,2,FALSE)</f>
        <v>Aalborg</v>
      </c>
      <c r="D10" s="1442" t="str">
        <f>VLOOKUP(Tabel13[[#This Row],[Kommunenavn]],$N$2:$O$27,2,FALSE)</f>
        <v>Region Nord</v>
      </c>
      <c r="E10">
        <v>233200</v>
      </c>
      <c r="F10" s="2314" t="str">
        <f>VLOOKUP(Tabel13[[#This Row],[Branchekode (DB07)]],$K$2:$L$14,2,FALSE)</f>
        <v>Fremstilling af mursten</v>
      </c>
      <c r="G10" t="s">
        <v>2620</v>
      </c>
      <c r="H10" s="2292">
        <v>3561.65</v>
      </c>
      <c r="I10"/>
      <c r="K10" s="2304">
        <v>239990</v>
      </c>
      <c r="L10" s="2306" t="s">
        <v>2609</v>
      </c>
      <c r="M10" s="1725">
        <v>370</v>
      </c>
      <c r="N10" s="1717" t="s">
        <v>2641</v>
      </c>
      <c r="O10" s="1756" t="s">
        <v>2190</v>
      </c>
    </row>
    <row r="11" spans="1:15" hidden="1" x14ac:dyDescent="0.25">
      <c r="A11" s="1718">
        <v>2018</v>
      </c>
      <c r="B11" s="1719">
        <v>540</v>
      </c>
      <c r="C11" s="1442" t="str">
        <f>VLOOKUP(Tabel13[[#This Row],[Kommunenummer]],$M$2:$N$27,2,FALSE)</f>
        <v>Sønderborg</v>
      </c>
      <c r="D11" s="1442" t="str">
        <f>VLOOKUP(Tabel13[[#This Row],[Kommunenavn]],$N$2:$O$27,2,FALSE)</f>
        <v>Region Syd</v>
      </c>
      <c r="E11">
        <v>233200</v>
      </c>
      <c r="F11" s="2314" t="str">
        <f>VLOOKUP(Tabel13[[#This Row],[Branchekode (DB07)]],$K$2:$L$14,2,FALSE)</f>
        <v>Fremstilling af mursten</v>
      </c>
      <c r="G11" t="s">
        <v>2630</v>
      </c>
      <c r="H11" s="2292">
        <v>742.28</v>
      </c>
      <c r="I11"/>
      <c r="K11" s="2304">
        <v>351100</v>
      </c>
      <c r="L11" s="2306" t="s">
        <v>2594</v>
      </c>
      <c r="M11" s="1725">
        <v>420</v>
      </c>
      <c r="N11" s="1717" t="s">
        <v>2634</v>
      </c>
      <c r="O11" s="1755" t="s">
        <v>2599</v>
      </c>
    </row>
    <row r="12" spans="1:15" x14ac:dyDescent="0.25">
      <c r="A12" s="1718">
        <v>2018</v>
      </c>
      <c r="B12" s="1719">
        <v>791</v>
      </c>
      <c r="C12" s="1442" t="str">
        <f>VLOOKUP(Tabel13[[#This Row],[Kommunenummer]],$M$2:$N$27,2,FALSE)</f>
        <v>Viborg</v>
      </c>
      <c r="D12" s="1442" t="str">
        <f>VLOOKUP(Tabel13[[#This Row],[Kommunenavn]],$N$2:$O$27,2,FALSE)</f>
        <v>Region Nord</v>
      </c>
      <c r="E12">
        <v>233200</v>
      </c>
      <c r="F12" s="2314" t="str">
        <f>VLOOKUP(Tabel13[[#This Row],[Branchekode (DB07)]],$K$2:$L$14,2,FALSE)</f>
        <v>Fremstilling af mursten</v>
      </c>
      <c r="G12" t="s">
        <v>2625</v>
      </c>
      <c r="H12" s="2292">
        <v>2509.7600000000002</v>
      </c>
      <c r="I12"/>
      <c r="K12" s="2304">
        <v>382110</v>
      </c>
      <c r="L12" s="2306" t="s">
        <v>2586</v>
      </c>
      <c r="M12" s="1725">
        <v>461</v>
      </c>
      <c r="N12" s="1717" t="s">
        <v>2603</v>
      </c>
      <c r="O12" s="1756" t="s">
        <v>2599</v>
      </c>
    </row>
    <row r="13" spans="1:15" x14ac:dyDescent="0.25">
      <c r="A13" s="1718">
        <v>2018</v>
      </c>
      <c r="B13" s="1719">
        <v>787</v>
      </c>
      <c r="C13" s="1442" t="str">
        <f>VLOOKUP(Tabel13[[#This Row],[Kommunenummer]],$M$2:$N$27,2,FALSE)</f>
        <v>Thisted</v>
      </c>
      <c r="D13" s="1442" t="str">
        <f>VLOOKUP(Tabel13[[#This Row],[Kommunenavn]],$N$2:$O$27,2,FALSE)</f>
        <v>Region Nord</v>
      </c>
      <c r="E13">
        <v>233200</v>
      </c>
      <c r="F13" s="2314" t="str">
        <f>VLOOKUP(Tabel13[[#This Row],[Branchekode (DB07)]],$K$2:$L$14,2,FALSE)</f>
        <v>Fremstilling af mursten</v>
      </c>
      <c r="G13" t="s">
        <v>4274</v>
      </c>
      <c r="H13" s="2292">
        <v>1246.08</v>
      </c>
      <c r="I13"/>
      <c r="K13" s="2304">
        <v>382120</v>
      </c>
      <c r="L13" s="2305" t="s">
        <v>2588</v>
      </c>
      <c r="M13" s="1725">
        <v>479</v>
      </c>
      <c r="N13" s="1717" t="s">
        <v>2633</v>
      </c>
      <c r="O13" s="1755" t="s">
        <v>2599</v>
      </c>
    </row>
    <row r="14" spans="1:15" ht="15.75" hidden="1" thickBot="1" x14ac:dyDescent="0.3">
      <c r="A14" s="1718">
        <v>2018</v>
      </c>
      <c r="B14" s="1719">
        <v>779</v>
      </c>
      <c r="C14" s="1442" t="str">
        <f>VLOOKUP(Tabel13[[#This Row],[Kommunenummer]],$M$2:$N$27,2,FALSE)</f>
        <v>Skive</v>
      </c>
      <c r="D14" s="1442" t="str">
        <f>VLOOKUP(Tabel13[[#This Row],[Kommunenavn]],$N$2:$O$27,2,FALSE)</f>
        <v>Region Midt</v>
      </c>
      <c r="E14">
        <v>233200</v>
      </c>
      <c r="F14" s="2314" t="str">
        <f>VLOOKUP(Tabel13[[#This Row],[Branchekode (DB07)]],$K$2:$L$14,2,FALSE)</f>
        <v>Fremstilling af mursten</v>
      </c>
      <c r="G14" t="s">
        <v>2627</v>
      </c>
      <c r="H14" s="2292">
        <v>137.76</v>
      </c>
      <c r="I14"/>
      <c r="K14" s="2307">
        <v>89900</v>
      </c>
      <c r="L14" s="2308" t="s">
        <v>2580</v>
      </c>
      <c r="M14" s="1725">
        <v>540</v>
      </c>
      <c r="N14" s="1717" t="s">
        <v>2601</v>
      </c>
      <c r="O14" s="1756" t="s">
        <v>2599</v>
      </c>
    </row>
    <row r="15" spans="1:15" hidden="1" x14ac:dyDescent="0.25">
      <c r="A15" s="1718">
        <v>2018</v>
      </c>
      <c r="B15" s="1719">
        <v>223</v>
      </c>
      <c r="C15" s="1442" t="str">
        <f>VLOOKUP(Tabel13[[#This Row],[Kommunenummer]],$M$2:$N$27,2,FALSE)</f>
        <v>Hørsholm</v>
      </c>
      <c r="D15" s="1442" t="str">
        <f>VLOOKUP(Tabel13[[#This Row],[Kommunenavn]],$N$2:$O$27,2,FALSE)</f>
        <v>Region Hovedstaden</v>
      </c>
      <c r="E15">
        <v>382120</v>
      </c>
      <c r="F15" s="2314" t="str">
        <f>VLOOKUP(Tabel13[[#This Row],[Branchekode (DB07)]],$K$2:$L$14,2,FALSE)</f>
        <v>Bortskaffelse af affald</v>
      </c>
      <c r="G15" t="s">
        <v>4275</v>
      </c>
      <c r="H15" s="2292">
        <v>296.10000000000002</v>
      </c>
      <c r="I15"/>
      <c r="M15" s="1725">
        <v>561</v>
      </c>
      <c r="N15" s="1717" t="s">
        <v>2600</v>
      </c>
      <c r="O15" s="1755" t="s">
        <v>2599</v>
      </c>
    </row>
    <row r="16" spans="1:15" hidden="1" x14ac:dyDescent="0.25">
      <c r="A16" s="1718">
        <v>2018</v>
      </c>
      <c r="B16" s="1719">
        <v>746</v>
      </c>
      <c r="C16" s="1442" t="str">
        <f>VLOOKUP(Tabel13[[#This Row],[Kommunenummer]],$M$2:$N$27,2,FALSE)</f>
        <v>Skanderborg</v>
      </c>
      <c r="D16" s="1442" t="str">
        <f>VLOOKUP(Tabel13[[#This Row],[Kommunenavn]],$N$2:$O$27,2,FALSE)</f>
        <v>Region Midt</v>
      </c>
      <c r="E16">
        <v>382120</v>
      </c>
      <c r="F16" s="2314" t="str">
        <f>VLOOKUP(Tabel13[[#This Row],[Branchekode (DB07)]],$K$2:$L$14,2,FALSE)</f>
        <v>Bortskaffelse af affald</v>
      </c>
      <c r="G16" t="s">
        <v>2585</v>
      </c>
      <c r="H16" s="2292">
        <v>274.98</v>
      </c>
      <c r="I16"/>
      <c r="M16" s="1725">
        <v>607</v>
      </c>
      <c r="N16" s="1717" t="s">
        <v>2643</v>
      </c>
      <c r="O16" s="1756" t="s">
        <v>2599</v>
      </c>
    </row>
    <row r="17" spans="1:15" hidden="1" x14ac:dyDescent="0.25">
      <c r="A17" s="1718">
        <v>2018</v>
      </c>
      <c r="B17" s="1719">
        <v>161</v>
      </c>
      <c r="C17" s="1442" t="str">
        <f>VLOOKUP(Tabel13[[#This Row],[Kommunenummer]],$M$2:$N$27,2,FALSE)</f>
        <v>Glostrup</v>
      </c>
      <c r="D17" s="1442" t="str">
        <f>VLOOKUP(Tabel13[[#This Row],[Kommunenavn]],$N$2:$O$27,2,FALSE)</f>
        <v>Region Hovedstaden</v>
      </c>
      <c r="E17">
        <v>382120</v>
      </c>
      <c r="F17" s="2314" t="str">
        <f>VLOOKUP(Tabel13[[#This Row],[Branchekode (DB07)]],$K$2:$L$14,2,FALSE)</f>
        <v>Bortskaffelse af affald</v>
      </c>
      <c r="G17" t="s">
        <v>2591</v>
      </c>
      <c r="H17" s="2292">
        <v>800.36</v>
      </c>
      <c r="I17"/>
      <c r="M17" s="1725">
        <v>621</v>
      </c>
      <c r="N17" s="1717" t="s">
        <v>2614</v>
      </c>
      <c r="O17" s="1755" t="s">
        <v>2599</v>
      </c>
    </row>
    <row r="18" spans="1:15" hidden="1" x14ac:dyDescent="0.25">
      <c r="A18" s="1718">
        <v>2018</v>
      </c>
      <c r="B18" s="1719">
        <v>779</v>
      </c>
      <c r="C18" s="1442" t="str">
        <f>VLOOKUP(Tabel13[[#This Row],[Kommunenummer]],$M$2:$N$27,2,FALSE)</f>
        <v>Skive</v>
      </c>
      <c r="D18" s="1442" t="str">
        <f>VLOOKUP(Tabel13[[#This Row],[Kommunenavn]],$N$2:$O$27,2,FALSE)</f>
        <v>Region Midt</v>
      </c>
      <c r="E18">
        <v>89900</v>
      </c>
      <c r="F18" s="2314" t="str">
        <f>VLOOKUP(Tabel13[[#This Row],[Branchekode (DB07)]],$K$2:$L$14,2,FALSE)</f>
        <v>Anden råstofindvinding</v>
      </c>
      <c r="G18" t="s">
        <v>2579</v>
      </c>
      <c r="H18" s="2292">
        <v>999.18</v>
      </c>
      <c r="I18"/>
      <c r="M18" s="1725">
        <v>710</v>
      </c>
      <c r="N18" s="1717" t="s">
        <v>2612</v>
      </c>
      <c r="O18" s="1756" t="s">
        <v>2581</v>
      </c>
    </row>
    <row r="19" spans="1:15" hidden="1" x14ac:dyDescent="0.25">
      <c r="A19" s="1718">
        <v>2018</v>
      </c>
      <c r="B19" s="1719">
        <v>773</v>
      </c>
      <c r="C19" s="1442" t="str">
        <f>VLOOKUP(Tabel13[[#This Row],[Kommunenummer]],$M$2:$N$27,2,FALSE)</f>
        <v>Ikast-Brande</v>
      </c>
      <c r="D19" s="1442" t="str">
        <f>VLOOKUP(Tabel13[[#This Row],[Kommunenavn]],$N$2:$O$27,2,FALSE)</f>
        <v>Region Midt</v>
      </c>
      <c r="E19">
        <v>89900</v>
      </c>
      <c r="F19" s="2314" t="str">
        <f>VLOOKUP(Tabel13[[#This Row],[Branchekode (DB07)]],$K$2:$L$14,2,FALSE)</f>
        <v>Anden råstofindvinding</v>
      </c>
      <c r="G19" t="s">
        <v>2583</v>
      </c>
      <c r="H19" s="2292">
        <v>968.73</v>
      </c>
      <c r="I19"/>
      <c r="M19" s="1725">
        <v>746</v>
      </c>
      <c r="N19" s="1717" t="s">
        <v>2587</v>
      </c>
      <c r="O19" s="1756" t="s">
        <v>2581</v>
      </c>
    </row>
    <row r="20" spans="1:15" hidden="1" x14ac:dyDescent="0.25">
      <c r="A20" s="1718">
        <v>2018</v>
      </c>
      <c r="B20" s="1719">
        <v>621</v>
      </c>
      <c r="C20" s="1442" t="str">
        <f>VLOOKUP(Tabel13[[#This Row],[Kommunenummer]],$M$2:$N$27,2,FALSE)</f>
        <v>Kolding</v>
      </c>
      <c r="D20" s="1442" t="str">
        <f>VLOOKUP(Tabel13[[#This Row],[Kommunenavn]],$N$2:$O$27,2,FALSE)</f>
        <v>Region Syd</v>
      </c>
      <c r="E20">
        <v>231400</v>
      </c>
      <c r="F20" s="2314" t="str">
        <f>VLOOKUP(Tabel13[[#This Row],[Branchekode (DB07)]],$K$2:$L$14,2,FALSE)</f>
        <v>Fremstilling af glasfiber</v>
      </c>
      <c r="G20" t="s">
        <v>2637</v>
      </c>
      <c r="H20" s="2292">
        <v>1869.36</v>
      </c>
      <c r="I20"/>
      <c r="M20" s="1725">
        <v>751</v>
      </c>
      <c r="N20" s="1717" t="s">
        <v>2597</v>
      </c>
      <c r="O20" s="1756" t="s">
        <v>2581</v>
      </c>
    </row>
    <row r="21" spans="1:15" hidden="1" x14ac:dyDescent="0.25">
      <c r="A21" s="1718">
        <v>2018</v>
      </c>
      <c r="B21" s="1719">
        <v>710</v>
      </c>
      <c r="C21" s="1442" t="str">
        <f>VLOOKUP(Tabel13[[#This Row],[Kommunenummer]],$M$2:$N$27,2,FALSE)</f>
        <v>Favrskov</v>
      </c>
      <c r="D21" s="1442" t="str">
        <f>VLOOKUP(Tabel13[[#This Row],[Kommunenavn]],$N$2:$O$27,2,FALSE)</f>
        <v>Region Midt</v>
      </c>
      <c r="E21">
        <v>239990</v>
      </c>
      <c r="F21" s="2314" t="str">
        <f>VLOOKUP(Tabel13[[#This Row],[Branchekode (DB07)]],$K$2:$L$14,2,FALSE)</f>
        <v>Fremstilling af andre ikke metalholdige produkter</v>
      </c>
      <c r="G21" t="s">
        <v>2611</v>
      </c>
      <c r="H21" s="2292">
        <v>15637.78</v>
      </c>
      <c r="I21"/>
      <c r="M21" s="1725">
        <v>773</v>
      </c>
      <c r="N21" s="1717" t="s">
        <v>2584</v>
      </c>
      <c r="O21" s="1756" t="s">
        <v>2581</v>
      </c>
    </row>
    <row r="22" spans="1:15" x14ac:dyDescent="0.25">
      <c r="A22" s="1718">
        <v>2018</v>
      </c>
      <c r="B22" s="1719">
        <v>813</v>
      </c>
      <c r="C22" s="1442" t="str">
        <f>VLOOKUP(Tabel13[[#This Row],[Kommunenummer]],$M$2:$N$27,2,FALSE)</f>
        <v>Fredrikshavn</v>
      </c>
      <c r="D22" s="1442" t="str">
        <f>VLOOKUP(Tabel13[[#This Row],[Kommunenavn]],$N$2:$O$27,2,FALSE)</f>
        <v>Region Nord</v>
      </c>
      <c r="E22">
        <v>233200</v>
      </c>
      <c r="F22" s="2314" t="str">
        <f>VLOOKUP(Tabel13[[#This Row],[Branchekode (DB07)]],$K$2:$L$14,2,FALSE)</f>
        <v>Fremstilling af mursten</v>
      </c>
      <c r="G22" t="s">
        <v>2623</v>
      </c>
      <c r="H22" s="2292">
        <v>36.979999999999997</v>
      </c>
      <c r="I22"/>
      <c r="M22" s="1725">
        <v>779</v>
      </c>
      <c r="N22" s="1717" t="s">
        <v>2582</v>
      </c>
      <c r="O22" s="1756" t="s">
        <v>2581</v>
      </c>
    </row>
    <row r="23" spans="1:15" hidden="1" x14ac:dyDescent="0.25">
      <c r="A23" s="1718">
        <v>2018</v>
      </c>
      <c r="B23" s="1719">
        <v>360</v>
      </c>
      <c r="C23" s="1442" t="str">
        <f>VLOOKUP(Tabel13[[#This Row],[Kommunenummer]],$M$2:$N$27,2,FALSE)</f>
        <v>Lolland</v>
      </c>
      <c r="D23" s="1442" t="str">
        <f>VLOOKUP(Tabel13[[#This Row],[Kommunenavn]],$N$2:$O$27,2,FALSE)</f>
        <v>Region Sjælland</v>
      </c>
      <c r="E23">
        <v>108100</v>
      </c>
      <c r="F23" s="2314" t="str">
        <f>VLOOKUP(Tabel13[[#This Row],[Branchekode (DB07)]],$K$2:$L$14,2,FALSE)</f>
        <v>Fremstilling af sukker</v>
      </c>
      <c r="G23" t="s">
        <v>2644</v>
      </c>
      <c r="H23" s="2292">
        <v>992.33</v>
      </c>
      <c r="I23"/>
      <c r="M23" s="1725">
        <v>787</v>
      </c>
      <c r="N23" s="1717" t="s">
        <v>2440</v>
      </c>
      <c r="O23" s="1755" t="s">
        <v>4221</v>
      </c>
    </row>
    <row r="24" spans="1:15" x14ac:dyDescent="0.25">
      <c r="A24" s="1718">
        <v>2018</v>
      </c>
      <c r="B24" s="1719">
        <v>851</v>
      </c>
      <c r="C24" s="1442" t="str">
        <f>VLOOKUP(Tabel13[[#This Row],[Kommunenummer]],$M$2:$N$27,2,FALSE)</f>
        <v>Aalborg</v>
      </c>
      <c r="D24" s="1442" t="str">
        <f>VLOOKUP(Tabel13[[#This Row],[Kommunenavn]],$N$2:$O$27,2,FALSE)</f>
        <v>Region Nord</v>
      </c>
      <c r="E24">
        <v>351100</v>
      </c>
      <c r="F24" s="2314" t="str">
        <f>VLOOKUP(Tabel13[[#This Row],[Branchekode (DB07)]],$K$2:$L$14,2,FALSE)</f>
        <v xml:space="preserve">Produktion af elektricitet </v>
      </c>
      <c r="G24" t="s">
        <v>2593</v>
      </c>
      <c r="H24" s="2292">
        <v>3257.17</v>
      </c>
      <c r="I24"/>
      <c r="M24" s="1725">
        <v>791</v>
      </c>
      <c r="N24" s="1717" t="s">
        <v>2626</v>
      </c>
      <c r="O24" s="1755" t="s">
        <v>4221</v>
      </c>
    </row>
    <row r="25" spans="1:15" hidden="1" x14ac:dyDescent="0.25">
      <c r="A25" s="1718">
        <v>2018</v>
      </c>
      <c r="B25" s="1719">
        <v>270</v>
      </c>
      <c r="C25" s="1442" t="str">
        <f>VLOOKUP(Tabel13[[#This Row],[Kommunenummer]],$M$2:$N$27,2,FALSE)</f>
        <v>Gribskov</v>
      </c>
      <c r="D25" s="1442" t="str">
        <f>VLOOKUP(Tabel13[[#This Row],[Kommunenavn]],$N$2:$O$27,2,FALSE)</f>
        <v>Region Hovedstaden</v>
      </c>
      <c r="E25">
        <v>233200</v>
      </c>
      <c r="F25" s="2314" t="str">
        <f>VLOOKUP(Tabel13[[#This Row],[Branchekode (DB07)]],$K$2:$L$14,2,FALSE)</f>
        <v>Fremstilling af mursten</v>
      </c>
      <c r="G25" t="s">
        <v>2635</v>
      </c>
      <c r="H25" s="2292">
        <v>2678.72</v>
      </c>
      <c r="I25"/>
      <c r="M25" s="1725">
        <v>813</v>
      </c>
      <c r="N25" s="1717" t="s">
        <v>2624</v>
      </c>
      <c r="O25" s="1755" t="s">
        <v>4221</v>
      </c>
    </row>
    <row r="26" spans="1:15" hidden="1" x14ac:dyDescent="0.25">
      <c r="A26" s="1718">
        <v>2018</v>
      </c>
      <c r="B26" s="1719">
        <v>540</v>
      </c>
      <c r="C26" s="1442" t="str">
        <f>VLOOKUP(Tabel13[[#This Row],[Kommunenummer]],$M$2:$N$27,2,FALSE)</f>
        <v>Sønderborg</v>
      </c>
      <c r="D26" s="1442" t="str">
        <f>VLOOKUP(Tabel13[[#This Row],[Kommunenavn]],$N$2:$O$27,2,FALSE)</f>
        <v>Region Syd</v>
      </c>
      <c r="E26">
        <v>233200</v>
      </c>
      <c r="F26" s="2314" t="str">
        <f>VLOOKUP(Tabel13[[#This Row],[Branchekode (DB07)]],$K$2:$L$14,2,FALSE)</f>
        <v>Fremstilling af mursten</v>
      </c>
      <c r="G26" t="s">
        <v>2629</v>
      </c>
      <c r="H26" s="2292">
        <v>1525.04</v>
      </c>
      <c r="I26"/>
      <c r="M26" s="1725">
        <v>846</v>
      </c>
      <c r="N26" s="1717" t="s">
        <v>2610</v>
      </c>
      <c r="O26" s="1755" t="s">
        <v>4221</v>
      </c>
    </row>
    <row r="27" spans="1:15" ht="15.75" thickBot="1" x14ac:dyDescent="0.3">
      <c r="A27" s="1718">
        <v>2018</v>
      </c>
      <c r="B27" s="1719">
        <v>846</v>
      </c>
      <c r="C27" s="1442" t="str">
        <f>VLOOKUP(Tabel13[[#This Row],[Kommunenummer]],$M$2:$N$27,2,FALSE)</f>
        <v>Mariagerfjord</v>
      </c>
      <c r="D27" s="1442" t="str">
        <f>VLOOKUP(Tabel13[[#This Row],[Kommunenavn]],$N$2:$O$27,2,FALSE)</f>
        <v>Region Nord</v>
      </c>
      <c r="E27">
        <v>239990</v>
      </c>
      <c r="F27" s="2314" t="str">
        <f>VLOOKUP(Tabel13[[#This Row],[Branchekode (DB07)]],$K$2:$L$14,2,FALSE)</f>
        <v>Fremstilling af andre ikke metalholdige produkter</v>
      </c>
      <c r="G27" t="s">
        <v>2608</v>
      </c>
      <c r="H27" s="2292">
        <v>8655.2999999999993</v>
      </c>
      <c r="I27"/>
      <c r="M27" s="1726">
        <v>851</v>
      </c>
      <c r="N27" s="1727" t="s">
        <v>2595</v>
      </c>
      <c r="O27" s="1755" t="s">
        <v>4221</v>
      </c>
    </row>
    <row r="28" spans="1:15" hidden="1" x14ac:dyDescent="0.25">
      <c r="A28" s="1718">
        <v>2018</v>
      </c>
      <c r="B28" s="1719">
        <v>621</v>
      </c>
      <c r="C28" s="1442" t="str">
        <f>VLOOKUP(Tabel13[[#This Row],[Kommunenummer]],$M$2:$N$27,2,FALSE)</f>
        <v>Kolding</v>
      </c>
      <c r="D28" s="1442" t="str">
        <f>VLOOKUP(Tabel13[[#This Row],[Kommunenavn]],$N$2:$O$27,2,FALSE)</f>
        <v>Region Syd</v>
      </c>
      <c r="E28">
        <v>239990</v>
      </c>
      <c r="F28" s="2314" t="str">
        <f>VLOOKUP(Tabel13[[#This Row],[Branchekode (DB07)]],$K$2:$L$14,2,FALSE)</f>
        <v>Fremstilling af andre ikke metalholdige produkter</v>
      </c>
      <c r="G28" t="s">
        <v>2613</v>
      </c>
      <c r="H28" s="2292">
        <v>2318.9499999999998</v>
      </c>
      <c r="I28"/>
    </row>
    <row r="29" spans="1:15" hidden="1" x14ac:dyDescent="0.25">
      <c r="A29" s="1718">
        <v>2018</v>
      </c>
      <c r="B29" s="1719">
        <v>607</v>
      </c>
      <c r="C29" s="1442" t="str">
        <f>VLOOKUP(Tabel13[[#This Row],[Kommunenummer]],$M$2:$N$27,2,FALSE)</f>
        <v>Fredericia</v>
      </c>
      <c r="D29" s="1442" t="str">
        <f>VLOOKUP(Tabel13[[#This Row],[Kommunenavn]],$N$2:$O$27,2,FALSE)</f>
        <v>Region Syd</v>
      </c>
      <c r="E29">
        <v>192000</v>
      </c>
      <c r="F29" s="2314" t="str">
        <f>VLOOKUP(Tabel13[[#This Row],[Branchekode (DB07)]],$K$2:$L$14,2,FALSE)</f>
        <v>Fremstilling af raffinerede mineralolieprodukter</v>
      </c>
      <c r="G29" t="s">
        <v>4276</v>
      </c>
      <c r="H29" s="2292">
        <v>38.96</v>
      </c>
      <c r="I29"/>
    </row>
    <row r="30" spans="1:15" hidden="1" x14ac:dyDescent="0.25">
      <c r="A30" s="1718">
        <v>2018</v>
      </c>
      <c r="B30" s="1719">
        <v>751</v>
      </c>
      <c r="C30" s="1442" t="str">
        <f>VLOOKUP(Tabel13[[#This Row],[Kommunenummer]],$M$2:$N$27,2,FALSE)</f>
        <v>Aarhus</v>
      </c>
      <c r="D30" s="1442" t="str">
        <f>VLOOKUP(Tabel13[[#This Row],[Kommunenavn]],$N$2:$O$27,2,FALSE)</f>
        <v>Region Midt</v>
      </c>
      <c r="E30">
        <v>351100</v>
      </c>
      <c r="F30" s="2314" t="str">
        <f>VLOOKUP(Tabel13[[#This Row],[Branchekode (DB07)]],$K$2:$L$14,2,FALSE)</f>
        <v xml:space="preserve">Produktion af elektricitet </v>
      </c>
      <c r="G30" t="s">
        <v>2596</v>
      </c>
      <c r="H30" s="2292">
        <v>-603.73</v>
      </c>
      <c r="I30" t="s">
        <v>4279</v>
      </c>
    </row>
    <row r="31" spans="1:15" hidden="1" x14ac:dyDescent="0.25">
      <c r="A31" s="1718">
        <v>2018</v>
      </c>
      <c r="B31" s="1719">
        <v>540</v>
      </c>
      <c r="C31" s="1442" t="str">
        <f>VLOOKUP(Tabel13[[#This Row],[Kommunenummer]],$M$2:$N$27,2,FALSE)</f>
        <v>Sønderborg</v>
      </c>
      <c r="D31" s="1442" t="str">
        <f>VLOOKUP(Tabel13[[#This Row],[Kommunenavn]],$N$2:$O$27,2,FALSE)</f>
        <v>Region Syd</v>
      </c>
      <c r="E31">
        <v>351100</v>
      </c>
      <c r="F31" s="2314" t="str">
        <f>VLOOKUP(Tabel13[[#This Row],[Branchekode (DB07)]],$K$2:$L$14,2,FALSE)</f>
        <v xml:space="preserve">Produktion af elektricitet </v>
      </c>
      <c r="G31" t="s">
        <v>4277</v>
      </c>
      <c r="H31" s="2292">
        <v>156.19999999999999</v>
      </c>
      <c r="I31"/>
    </row>
    <row r="32" spans="1:15" hidden="1" x14ac:dyDescent="0.25">
      <c r="A32" s="1718">
        <v>2018</v>
      </c>
      <c r="B32" s="1719">
        <v>420</v>
      </c>
      <c r="C32" s="1442" t="str">
        <f>VLOOKUP(Tabel13[[#This Row],[Kommunenummer]],$M$2:$N$27,2,FALSE)</f>
        <v>Assens</v>
      </c>
      <c r="D32" s="1442" t="str">
        <f>VLOOKUP(Tabel13[[#This Row],[Kommunenavn]],$N$2:$O$27,2,FALSE)</f>
        <v>Region Syd</v>
      </c>
      <c r="E32">
        <v>233200</v>
      </c>
      <c r="F32" s="2314" t="str">
        <f>VLOOKUP(Tabel13[[#This Row],[Branchekode (DB07)]],$K$2:$L$14,2,FALSE)</f>
        <v>Fremstilling af mursten</v>
      </c>
      <c r="G32" t="s">
        <v>4278</v>
      </c>
      <c r="H32" s="2292">
        <v>4860.24</v>
      </c>
      <c r="I32"/>
    </row>
    <row r="33" spans="1:9" hidden="1" x14ac:dyDescent="0.25">
      <c r="A33" s="1718">
        <v>2018</v>
      </c>
      <c r="B33" s="1719">
        <v>540</v>
      </c>
      <c r="C33" s="1442" t="str">
        <f>VLOOKUP(Tabel13[[#This Row],[Kommunenummer]],$M$2:$N$27,2,FALSE)</f>
        <v>Sønderborg</v>
      </c>
      <c r="D33" s="1442" t="str">
        <f>VLOOKUP(Tabel13[[#This Row],[Kommunenavn]],$N$2:$O$27,2,FALSE)</f>
        <v>Region Syd</v>
      </c>
      <c r="E33">
        <v>233200</v>
      </c>
      <c r="F33" s="2314" t="str">
        <f>VLOOKUP(Tabel13[[#This Row],[Branchekode (DB07)]],$K$2:$L$14,2,FALSE)</f>
        <v>Fremstilling af mursten</v>
      </c>
      <c r="G33" t="s">
        <v>2628</v>
      </c>
      <c r="H33" s="2292">
        <v>6829</v>
      </c>
      <c r="I33"/>
    </row>
    <row r="34" spans="1:9" x14ac:dyDescent="0.25">
      <c r="A34" s="1718">
        <v>2018</v>
      </c>
      <c r="B34" s="1719">
        <v>846</v>
      </c>
      <c r="C34" s="2310" t="str">
        <f>VLOOKUP(Tabel13[[#This Row],[Kommunenummer]],$M$2:$N$27,2,FALSE)</f>
        <v>Mariagerfjord</v>
      </c>
      <c r="D34" s="2311" t="str">
        <f>VLOOKUP(Tabel13[[#This Row],[Kommunenavn]],$N$2:$O$27,2,FALSE)</f>
        <v>Region Nord</v>
      </c>
      <c r="E34">
        <v>233200</v>
      </c>
      <c r="F34" s="2312" t="str">
        <f>VLOOKUP(Tabel13[[#This Row],[Branchekode (DB07)]],$K$2:$L$14,2,FALSE)</f>
        <v>Fremstilling af mursten</v>
      </c>
      <c r="G34" t="s">
        <v>2622</v>
      </c>
      <c r="H34" s="2292">
        <v>2285.4899999999998</v>
      </c>
      <c r="I34"/>
    </row>
    <row r="35" spans="1:9" hidden="1" x14ac:dyDescent="0.25">
      <c r="A35" s="1718">
        <v>2018</v>
      </c>
      <c r="B35" s="1719">
        <v>479</v>
      </c>
      <c r="C35" s="2310" t="str">
        <f>VLOOKUP(Tabel13[[#This Row],[Kommunenummer]],$M$2:$N$27,2,FALSE)</f>
        <v>Svendborg</v>
      </c>
      <c r="D35" s="2311" t="str">
        <f>VLOOKUP(Tabel13[[#This Row],[Kommunenavn]],$N$2:$O$27,2,FALSE)</f>
        <v>Region Syd</v>
      </c>
      <c r="E35">
        <v>233200</v>
      </c>
      <c r="F35" s="2312" t="str">
        <f>VLOOKUP(Tabel13[[#This Row],[Branchekode (DB07)]],$K$2:$L$14,2,FALSE)</f>
        <v>Fremstilling af mursten</v>
      </c>
      <c r="G35" t="s">
        <v>2632</v>
      </c>
      <c r="H35" s="2292">
        <v>2365.88</v>
      </c>
      <c r="I35"/>
    </row>
    <row r="36" spans="1:9" x14ac:dyDescent="0.25">
      <c r="A36" s="1718">
        <v>2018</v>
      </c>
      <c r="B36" s="1719">
        <v>851</v>
      </c>
      <c r="C36" s="2310" t="str">
        <f>VLOOKUP(Tabel13[[#This Row],[Kommunenummer]],$M$2:$N$27,2,FALSE)</f>
        <v>Aalborg</v>
      </c>
      <c r="D36" s="2311" t="str">
        <f>VLOOKUP(Tabel13[[#This Row],[Kommunenavn]],$N$2:$O$27,2,FALSE)</f>
        <v>Region Nord</v>
      </c>
      <c r="E36">
        <v>235100</v>
      </c>
      <c r="F36" s="2312" t="str">
        <f>VLOOKUP(Tabel13[[#This Row],[Branchekode (DB07)]],$K$2:$L$14,2,FALSE)</f>
        <v>Fremstilling af cement</v>
      </c>
      <c r="G36" t="s">
        <v>2618</v>
      </c>
      <c r="H36" s="2292">
        <v>1159742.27</v>
      </c>
      <c r="I36"/>
    </row>
    <row r="37" spans="1:9" x14ac:dyDescent="0.25">
      <c r="A37" s="2294"/>
      <c r="B37" s="2295"/>
      <c r="C37" s="2294"/>
      <c r="D37" s="2296"/>
      <c r="E37" s="2297"/>
      <c r="F37" s="2298"/>
      <c r="G37" s="2299"/>
      <c r="H37" s="2315">
        <f>SUM(Tabel13[tonCO2Process])</f>
        <v>1265158.3</v>
      </c>
      <c r="I37" s="2300"/>
    </row>
  </sheetData>
  <pageMargins left="0.7" right="0.7" top="0.75" bottom="0.75" header="0.3" footer="0.3"/>
  <pageSetup paperSize="9" orientation="portrait" r:id="rId1"/>
  <tableParts count="1">
    <tablePart r:id="rId2"/>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17432-F0AC-4025-9110-BC8949E491B0}">
  <sheetPr codeName="Ark115">
    <tabColor theme="3" tint="-0.249977111117893"/>
  </sheetPr>
  <dimension ref="A1:O34"/>
  <sheetViews>
    <sheetView workbookViewId="0">
      <selection activeCell="F40" sqref="F40"/>
    </sheetView>
  </sheetViews>
  <sheetFormatPr defaultColWidth="9.140625" defaultRowHeight="15" x14ac:dyDescent="0.25"/>
  <cols>
    <col min="1" max="1" width="5.85546875" style="1008" customWidth="1"/>
    <col min="2" max="2" width="18.85546875" style="1008" customWidth="1"/>
    <col min="3" max="3" width="18" style="1008" customWidth="1"/>
    <col min="4" max="4" width="39.5703125" style="1008" bestFit="1" customWidth="1"/>
    <col min="5" max="5" width="22.5703125" style="1008" bestFit="1" customWidth="1"/>
    <col min="6" max="6" width="42.42578125" style="1008" bestFit="1" customWidth="1"/>
    <col min="7" max="7" width="47.42578125" style="1008" customWidth="1"/>
    <col min="8" max="8" width="18.42578125" style="1008" bestFit="1" customWidth="1"/>
    <col min="9" max="9" width="16.7109375" style="1008" customWidth="1"/>
    <col min="10" max="11" width="9.140625" style="1008"/>
    <col min="12" max="12" width="44.140625" style="1008" bestFit="1" customWidth="1"/>
    <col min="13" max="13" width="43" style="1008" customWidth="1"/>
    <col min="14" max="14" width="20.85546875" style="1008" customWidth="1"/>
    <col min="15" max="15" width="18.5703125" style="1008" bestFit="1" customWidth="1"/>
    <col min="16" max="16384" width="9.140625" style="1008"/>
  </cols>
  <sheetData>
    <row r="1" spans="1:15" ht="15.75" thickBot="1" x14ac:dyDescent="0.3">
      <c r="A1" s="1444" t="s">
        <v>2653</v>
      </c>
      <c r="B1" s="1443" t="s">
        <v>2652</v>
      </c>
      <c r="C1" s="1443" t="s">
        <v>2651</v>
      </c>
      <c r="D1" s="1443" t="s">
        <v>2650</v>
      </c>
      <c r="E1" s="1443" t="s">
        <v>2649</v>
      </c>
      <c r="F1" s="2313" t="s">
        <v>2575</v>
      </c>
      <c r="G1" s="1443" t="s">
        <v>2648</v>
      </c>
      <c r="H1" s="1443" t="s">
        <v>4793</v>
      </c>
      <c r="I1" s="1443" t="s">
        <v>2647</v>
      </c>
      <c r="K1" s="1720" t="s">
        <v>4129</v>
      </c>
      <c r="L1" s="1721"/>
      <c r="M1" s="1720" t="s">
        <v>4134</v>
      </c>
      <c r="N1" s="1723"/>
      <c r="O1" s="1721"/>
    </row>
    <row r="2" spans="1:15" hidden="1" x14ac:dyDescent="0.25">
      <c r="A2" s="1718">
        <v>2020</v>
      </c>
      <c r="B2" s="1719">
        <v>101</v>
      </c>
      <c r="C2" s="1442" t="str">
        <f>VLOOKUP(Tabel1[[#This Row],[Kommunenummer]],$M$2:$N$27,2,FALSE)</f>
        <v>København</v>
      </c>
      <c r="D2" s="1442" t="str">
        <f>VLOOKUP(Tabel1[[#This Row],[Kommunenavn]],$N$2:$O$27,2,FALSE)</f>
        <v>Region Hovedstaden</v>
      </c>
      <c r="E2" s="2290">
        <v>351100</v>
      </c>
      <c r="F2" s="2314" t="str">
        <f>VLOOKUP(Tabel1[[#This Row],[Branchekode (DB07)]],$K$2:$L$13,2,FALSE)</f>
        <v xml:space="preserve">Produktion af elektricitet </v>
      </c>
      <c r="G2" t="s">
        <v>2606</v>
      </c>
      <c r="H2" s="2292">
        <v>259.16000000000003</v>
      </c>
      <c r="I2" s="2292"/>
      <c r="K2" s="2288">
        <v>108100</v>
      </c>
      <c r="L2" s="1722" t="s">
        <v>2645</v>
      </c>
      <c r="M2" s="1724">
        <v>101</v>
      </c>
      <c r="N2" s="1716" t="s">
        <v>2607</v>
      </c>
      <c r="O2" s="1754" t="s">
        <v>2589</v>
      </c>
    </row>
    <row r="3" spans="1:15" hidden="1" x14ac:dyDescent="0.25">
      <c r="A3" s="1718">
        <v>2020</v>
      </c>
      <c r="B3" s="1719">
        <v>370</v>
      </c>
      <c r="C3" s="1442" t="str">
        <f>VLOOKUP(Tabel1[[#This Row],[Kommunenummer]],$M$2:$N$27,2,FALSE)</f>
        <v>Næstved</v>
      </c>
      <c r="D3" s="1442" t="str">
        <f>VLOOKUP(Tabel1[[#This Row],[Kommunenavn]],$N$2:$O$27,2,FALSE)</f>
        <v>Region Sjælland</v>
      </c>
      <c r="E3" s="2291">
        <v>231300</v>
      </c>
      <c r="F3" s="2314" t="str">
        <f>VLOOKUP(Tabel1[[#This Row],[Branchekode (DB07)]],$K$2:$L$13,2,FALSE)</f>
        <v>Fremstilling af flasker og glas</v>
      </c>
      <c r="G3" t="s">
        <v>2639</v>
      </c>
      <c r="H3" s="2292">
        <v>8147.44</v>
      </c>
      <c r="I3" s="2292"/>
      <c r="K3" s="2304">
        <v>192000</v>
      </c>
      <c r="L3" s="2305" t="s">
        <v>2642</v>
      </c>
      <c r="M3" s="1725">
        <v>161</v>
      </c>
      <c r="N3" s="1717" t="s">
        <v>2592</v>
      </c>
      <c r="O3" s="1755" t="s">
        <v>2589</v>
      </c>
    </row>
    <row r="4" spans="1:15" hidden="1" x14ac:dyDescent="0.25">
      <c r="A4" s="1718">
        <v>2020</v>
      </c>
      <c r="B4" s="1719">
        <v>167</v>
      </c>
      <c r="C4" s="1442" t="str">
        <f>VLOOKUP(Tabel1[[#This Row],[Kommunenummer]],$M$2:$N$27,2,FALSE)</f>
        <v>Hvidovre</v>
      </c>
      <c r="D4" s="1442" t="str">
        <f>VLOOKUP(Tabel1[[#This Row],[Kommunenavn]],$N$2:$O$27,2,FALSE)</f>
        <v>Region Hovedstaden</v>
      </c>
      <c r="E4" s="2291">
        <v>351100</v>
      </c>
      <c r="F4" s="2314" t="str">
        <f>VLOOKUP(Tabel1[[#This Row],[Branchekode (DB07)]],$K$2:$L$13,2,FALSE)</f>
        <v xml:space="preserve">Produktion af elektricitet </v>
      </c>
      <c r="G4" t="s">
        <v>2604</v>
      </c>
      <c r="H4" s="2292">
        <v>62.34</v>
      </c>
      <c r="I4" s="2292"/>
      <c r="K4" s="2304">
        <v>231300</v>
      </c>
      <c r="L4" s="2306" t="s">
        <v>2640</v>
      </c>
      <c r="M4" s="1725">
        <v>167</v>
      </c>
      <c r="N4" s="1717" t="s">
        <v>2605</v>
      </c>
      <c r="O4" s="1756" t="s">
        <v>2589</v>
      </c>
    </row>
    <row r="5" spans="1:15" hidden="1" x14ac:dyDescent="0.25">
      <c r="A5" s="1718">
        <v>2020</v>
      </c>
      <c r="B5" s="1719">
        <v>540</v>
      </c>
      <c r="C5" s="1442" t="str">
        <f>VLOOKUP(Tabel1[[#This Row],[Kommunenummer]],$M$2:$N$27,2,FALSE)</f>
        <v>Sønderborg</v>
      </c>
      <c r="D5" s="1442" t="str">
        <f>VLOOKUP(Tabel1[[#This Row],[Kommunenavn]],$N$2:$O$27,2,FALSE)</f>
        <v>Region Syd</v>
      </c>
      <c r="E5" s="2291">
        <v>233200</v>
      </c>
      <c r="F5" s="2314" t="str">
        <f>VLOOKUP(Tabel1[[#This Row],[Branchekode (DB07)]],$K$2:$L$13,2,FALSE)</f>
        <v>Fremstilling af mursten</v>
      </c>
      <c r="G5" t="s">
        <v>2631</v>
      </c>
      <c r="H5" s="2292">
        <v>762.96</v>
      </c>
      <c r="I5" s="2292"/>
      <c r="K5" s="2304">
        <v>236400</v>
      </c>
      <c r="L5" s="2305" t="s">
        <v>2638</v>
      </c>
      <c r="M5" s="1725">
        <v>223</v>
      </c>
      <c r="N5" s="1717" t="s">
        <v>2590</v>
      </c>
      <c r="O5" s="1755" t="s">
        <v>2589</v>
      </c>
    </row>
    <row r="6" spans="1:15" hidden="1" x14ac:dyDescent="0.25">
      <c r="A6" s="1718">
        <v>2020</v>
      </c>
      <c r="B6" s="1719">
        <v>561</v>
      </c>
      <c r="C6" s="1442" t="str">
        <f>VLOOKUP(Tabel1[[#This Row],[Kommunenummer]],$M$2:$N$27,2,FALSE)</f>
        <v>Esbjerg</v>
      </c>
      <c r="D6" s="1442" t="str">
        <f>VLOOKUP(Tabel1[[#This Row],[Kommunenavn]],$N$2:$O$27,2,FALSE)</f>
        <v>Region Syd</v>
      </c>
      <c r="E6" s="2291">
        <v>351100</v>
      </c>
      <c r="F6" s="2314" t="str">
        <f>VLOOKUP(Tabel1[[#This Row],[Branchekode (DB07)]],$K$2:$L$13,2,FALSE)</f>
        <v xml:space="preserve">Produktion af elektricitet </v>
      </c>
      <c r="G6" t="s">
        <v>2598</v>
      </c>
      <c r="H6" s="2292">
        <v>2594.0100000000002</v>
      </c>
      <c r="I6" s="2292"/>
      <c r="K6" s="2304">
        <v>233200</v>
      </c>
      <c r="L6" s="2305" t="s">
        <v>2621</v>
      </c>
      <c r="M6" s="1725">
        <v>270</v>
      </c>
      <c r="N6" s="1717" t="s">
        <v>2636</v>
      </c>
      <c r="O6" s="1756" t="s">
        <v>2589</v>
      </c>
    </row>
    <row r="7" spans="1:15" hidden="1" x14ac:dyDescent="0.25">
      <c r="A7" s="1718">
        <v>2020</v>
      </c>
      <c r="B7" s="1719">
        <v>320</v>
      </c>
      <c r="C7" s="1442" t="str">
        <f>VLOOKUP(Tabel1[[#This Row],[Kommunenummer]],$M$2:$N$27,2,FALSE)</f>
        <v>Faxe</v>
      </c>
      <c r="D7" s="1442" t="str">
        <f>VLOOKUP(Tabel1[[#This Row],[Kommunenavn]],$N$2:$O$27,2,FALSE)</f>
        <v>Region Sjælland</v>
      </c>
      <c r="E7" s="2291">
        <v>235200</v>
      </c>
      <c r="F7" s="2314" t="str">
        <f>VLOOKUP(Tabel1[[#This Row],[Branchekode (DB07)]],$K$2:$L$13,2,FALSE)</f>
        <v>Fremstilling af kalk og gips</v>
      </c>
      <c r="G7" t="s">
        <v>2615</v>
      </c>
      <c r="H7" s="2292">
        <v>8760.7999999999993</v>
      </c>
      <c r="I7" s="2292"/>
      <c r="K7" s="2304">
        <v>235100</v>
      </c>
      <c r="L7" s="2305" t="s">
        <v>2619</v>
      </c>
      <c r="M7" s="1725">
        <v>320</v>
      </c>
      <c r="N7" s="1717" t="s">
        <v>2617</v>
      </c>
      <c r="O7" s="1755" t="s">
        <v>2190</v>
      </c>
    </row>
    <row r="8" spans="1:15" hidden="1" x14ac:dyDescent="0.25">
      <c r="A8" s="1718">
        <v>2020</v>
      </c>
      <c r="B8" s="1719">
        <v>461</v>
      </c>
      <c r="C8" s="1442" t="str">
        <f>VLOOKUP(Tabel1[[#This Row],[Kommunenummer]],$M$2:$N$27,2,FALSE)</f>
        <v>Odense</v>
      </c>
      <c r="D8" s="1442" t="str">
        <f>VLOOKUP(Tabel1[[#This Row],[Kommunenavn]],$N$2:$O$27,2,FALSE)</f>
        <v>Region Syd</v>
      </c>
      <c r="E8" s="2291">
        <v>351100</v>
      </c>
      <c r="F8" s="2314" t="str">
        <f>VLOOKUP(Tabel1[[#This Row],[Branchekode (DB07)]],$K$2:$L$13,2,FALSE)</f>
        <v xml:space="preserve">Produktion af elektricitet </v>
      </c>
      <c r="G8" t="s">
        <v>2602</v>
      </c>
      <c r="H8" s="2292">
        <v>-501.21</v>
      </c>
      <c r="I8" s="2292" t="s">
        <v>4133</v>
      </c>
      <c r="K8" s="2304">
        <v>235200</v>
      </c>
      <c r="L8" s="2306" t="s">
        <v>2616</v>
      </c>
      <c r="M8" s="1725">
        <v>326</v>
      </c>
      <c r="N8" s="1717" t="s">
        <v>2299</v>
      </c>
      <c r="O8" s="1756" t="s">
        <v>2190</v>
      </c>
    </row>
    <row r="9" spans="1:15" hidden="1" x14ac:dyDescent="0.25">
      <c r="A9" s="1718">
        <v>2020</v>
      </c>
      <c r="B9" s="1719">
        <v>851</v>
      </c>
      <c r="C9" s="1442" t="str">
        <f>VLOOKUP(Tabel1[[#This Row],[Kommunenummer]],$M$2:$N$27,2,FALSE)</f>
        <v>Aalborg</v>
      </c>
      <c r="D9" s="1442" t="str">
        <f>VLOOKUP(Tabel1[[#This Row],[Kommunenavn]],$N$2:$O$27,2,FALSE)</f>
        <v>Region Nord</v>
      </c>
      <c r="E9" s="2291">
        <v>233200</v>
      </c>
      <c r="F9" s="2314" t="str">
        <f>VLOOKUP(Tabel1[[#This Row],[Branchekode (DB07)]],$K$2:$L$13,2,FALSE)</f>
        <v>Fremstilling af mursten</v>
      </c>
      <c r="G9" t="s">
        <v>2620</v>
      </c>
      <c r="H9" s="2292">
        <v>3559.6</v>
      </c>
      <c r="I9" s="2292"/>
      <c r="K9" s="2304">
        <v>239990</v>
      </c>
      <c r="L9" s="2306" t="s">
        <v>2609</v>
      </c>
      <c r="M9" s="1725">
        <v>360</v>
      </c>
      <c r="N9" s="1717" t="s">
        <v>2646</v>
      </c>
      <c r="O9" s="1755" t="s">
        <v>2190</v>
      </c>
    </row>
    <row r="10" spans="1:15" hidden="1" x14ac:dyDescent="0.25">
      <c r="A10" s="1718">
        <v>2020</v>
      </c>
      <c r="B10" s="1719">
        <v>540</v>
      </c>
      <c r="C10" s="1442" t="str">
        <f>VLOOKUP(Tabel1[[#This Row],[Kommunenummer]],$M$2:$N$27,2,FALSE)</f>
        <v>Sønderborg</v>
      </c>
      <c r="D10" s="1442" t="str">
        <f>VLOOKUP(Tabel1[[#This Row],[Kommunenavn]],$N$2:$O$27,2,FALSE)</f>
        <v>Region Syd</v>
      </c>
      <c r="E10" s="2291">
        <v>233200</v>
      </c>
      <c r="F10" s="2314" t="str">
        <f>VLOOKUP(Tabel1[[#This Row],[Branchekode (DB07)]],$K$2:$L$13,2,FALSE)</f>
        <v>Fremstilling af mursten</v>
      </c>
      <c r="G10" t="s">
        <v>2630</v>
      </c>
      <c r="H10" s="2292">
        <v>501.16</v>
      </c>
      <c r="I10" s="2292"/>
      <c r="K10" s="2304">
        <v>351100</v>
      </c>
      <c r="L10" s="2306" t="s">
        <v>2594</v>
      </c>
      <c r="M10" s="1725">
        <v>370</v>
      </c>
      <c r="N10" s="1717" t="s">
        <v>2641</v>
      </c>
      <c r="O10" s="1756" t="s">
        <v>2190</v>
      </c>
    </row>
    <row r="11" spans="1:15" hidden="1" x14ac:dyDescent="0.25">
      <c r="A11" s="1718">
        <v>2020</v>
      </c>
      <c r="B11" s="1719">
        <v>791</v>
      </c>
      <c r="C11" s="1442" t="str">
        <f>VLOOKUP(Tabel1[[#This Row],[Kommunenummer]],$M$2:$N$27,2,FALSE)</f>
        <v>Viborg</v>
      </c>
      <c r="D11" s="1442" t="str">
        <f>VLOOKUP(Tabel1[[#This Row],[Kommunenavn]],$N$2:$O$27,2,FALSE)</f>
        <v>Region Nord</v>
      </c>
      <c r="E11" s="2291">
        <v>233200</v>
      </c>
      <c r="F11" s="2314" t="str">
        <f>VLOOKUP(Tabel1[[#This Row],[Branchekode (DB07)]],$K$2:$L$13,2,FALSE)</f>
        <v>Fremstilling af mursten</v>
      </c>
      <c r="G11" t="s">
        <v>2625</v>
      </c>
      <c r="H11" s="2292">
        <v>2277.88</v>
      </c>
      <c r="I11" s="2292"/>
      <c r="K11" s="2304">
        <v>382110</v>
      </c>
      <c r="L11" s="2306" t="s">
        <v>2586</v>
      </c>
      <c r="M11" s="1725">
        <v>420</v>
      </c>
      <c r="N11" s="1717" t="s">
        <v>2634</v>
      </c>
      <c r="O11" s="1755" t="s">
        <v>2599</v>
      </c>
    </row>
    <row r="12" spans="1:15" hidden="1" x14ac:dyDescent="0.25">
      <c r="A12" s="1718">
        <v>2020</v>
      </c>
      <c r="B12" s="1719">
        <v>787</v>
      </c>
      <c r="C12" s="1442" t="str">
        <f>VLOOKUP(Tabel1[[#This Row],[Kommunenummer]],$M$2:$N$27,2,FALSE)</f>
        <v>Thisted</v>
      </c>
      <c r="D12" s="1442" t="str">
        <f>VLOOKUP(Tabel1[[#This Row],[Kommunenavn]],$N$2:$O$27,2,FALSE)</f>
        <v>Region Nord</v>
      </c>
      <c r="E12" s="2291">
        <v>233200</v>
      </c>
      <c r="F12" s="2314" t="str">
        <f>VLOOKUP(Tabel1[[#This Row],[Branchekode (DB07)]],$K$2:$L$13,2,FALSE)</f>
        <v>Fremstilling af mursten</v>
      </c>
      <c r="G12" t="s">
        <v>4130</v>
      </c>
      <c r="H12" s="2292">
        <v>1175.24</v>
      </c>
      <c r="I12" s="2292"/>
      <c r="K12" s="2304">
        <v>382120</v>
      </c>
      <c r="L12" s="2305" t="s">
        <v>2588</v>
      </c>
      <c r="M12" s="1725">
        <v>461</v>
      </c>
      <c r="N12" s="1717" t="s">
        <v>2603</v>
      </c>
      <c r="O12" s="1756" t="s">
        <v>2599</v>
      </c>
    </row>
    <row r="13" spans="1:15" ht="15.75" thickBot="1" x14ac:dyDescent="0.3">
      <c r="A13" s="1718">
        <v>2020</v>
      </c>
      <c r="B13" s="1719">
        <v>779</v>
      </c>
      <c r="C13" s="1442" t="str">
        <f>VLOOKUP(Tabel1[[#This Row],[Kommunenummer]],$M$2:$N$27,2,FALSE)</f>
        <v>Skive</v>
      </c>
      <c r="D13" s="1442" t="str">
        <f>VLOOKUP(Tabel1[[#This Row],[Kommunenavn]],$N$2:$O$27,2,FALSE)</f>
        <v>Region Midt</v>
      </c>
      <c r="E13" s="4098">
        <v>233200</v>
      </c>
      <c r="F13" s="2314" t="str">
        <f>VLOOKUP(Tabel1[[#This Row],[Branchekode (DB07)]],$K$2:$L$13,2,FALSE)</f>
        <v>Fremstilling af mursten</v>
      </c>
      <c r="G13" t="s">
        <v>2627</v>
      </c>
      <c r="H13" s="2292">
        <v>120.89999999999999</v>
      </c>
      <c r="I13" s="2292"/>
      <c r="K13" s="2307">
        <v>89900</v>
      </c>
      <c r="L13" s="2308" t="s">
        <v>2580</v>
      </c>
      <c r="M13" s="1725">
        <v>479</v>
      </c>
      <c r="N13" s="1717" t="s">
        <v>2633</v>
      </c>
      <c r="O13" s="1755" t="s">
        <v>2599</v>
      </c>
    </row>
    <row r="14" spans="1:15" x14ac:dyDescent="0.25">
      <c r="A14" s="1718">
        <v>2020</v>
      </c>
      <c r="B14" s="1719">
        <v>746</v>
      </c>
      <c r="C14" s="1442" t="str">
        <f>VLOOKUP(Tabel1[[#This Row],[Kommunenummer]],$M$2:$N$27,2,FALSE)</f>
        <v>Skanderborg</v>
      </c>
      <c r="D14" s="1442" t="str">
        <f>VLOOKUP(Tabel1[[#This Row],[Kommunenavn]],$N$2:$O$27,2,FALSE)</f>
        <v>Region Midt</v>
      </c>
      <c r="E14" s="4098">
        <v>382110</v>
      </c>
      <c r="F14" s="2314" t="str">
        <f>VLOOKUP(Tabel1[[#This Row],[Branchekode (DB07)]],$K$2:$L$13,2,FALSE)</f>
        <v xml:space="preserve">Bortskaffelse af affald med energiproduktion  </v>
      </c>
      <c r="G14" t="s">
        <v>2585</v>
      </c>
      <c r="H14" s="2292">
        <v>310.14999999999998</v>
      </c>
      <c r="I14" s="2292"/>
      <c r="M14" s="1725">
        <v>540</v>
      </c>
      <c r="N14" s="1717" t="s">
        <v>2601</v>
      </c>
      <c r="O14" s="1756" t="s">
        <v>2599</v>
      </c>
    </row>
    <row r="15" spans="1:15" hidden="1" x14ac:dyDescent="0.25">
      <c r="A15" s="1718">
        <v>2020</v>
      </c>
      <c r="B15" s="1719">
        <v>161</v>
      </c>
      <c r="C15" s="1442" t="str">
        <f>VLOOKUP(Tabel1[[#This Row],[Kommunenummer]],$M$2:$N$27,2,FALSE)</f>
        <v>Glostrup</v>
      </c>
      <c r="D15" s="1442" t="str">
        <f>VLOOKUP(Tabel1[[#This Row],[Kommunenavn]],$N$2:$O$27,2,FALSE)</f>
        <v>Region Hovedstaden</v>
      </c>
      <c r="E15" s="2291">
        <v>382120</v>
      </c>
      <c r="F15" s="2314" t="str">
        <f>VLOOKUP(Tabel1[[#This Row],[Branchekode (DB07)]],$K$2:$L$13,2,FALSE)</f>
        <v>Bortskaffelse af affald</v>
      </c>
      <c r="G15" t="s">
        <v>2591</v>
      </c>
      <c r="H15" s="2292">
        <v>992.2</v>
      </c>
      <c r="I15" s="2292"/>
      <c r="M15" s="1725">
        <v>561</v>
      </c>
      <c r="N15" s="1717" t="s">
        <v>2600</v>
      </c>
      <c r="O15" s="1755" t="s">
        <v>2599</v>
      </c>
    </row>
    <row r="16" spans="1:15" x14ac:dyDescent="0.25">
      <c r="A16" s="1718">
        <v>2020</v>
      </c>
      <c r="B16" s="1719">
        <v>779</v>
      </c>
      <c r="C16" s="1442" t="str">
        <f>VLOOKUP(Tabel1[[#This Row],[Kommunenummer]],$M$2:$N$27,2,FALSE)</f>
        <v>Skive</v>
      </c>
      <c r="D16" s="1442" t="str">
        <f>VLOOKUP(Tabel1[[#This Row],[Kommunenavn]],$N$2:$O$27,2,FALSE)</f>
        <v>Region Midt</v>
      </c>
      <c r="E16" s="4098">
        <v>89900</v>
      </c>
      <c r="F16" s="2314" t="str">
        <f>VLOOKUP(Tabel1[[#This Row],[Branchekode (DB07)]],$K$2:$L$13,2,FALSE)</f>
        <v>Anden råstofindvinding</v>
      </c>
      <c r="G16" t="s">
        <v>2579</v>
      </c>
      <c r="H16" s="2292">
        <v>76</v>
      </c>
      <c r="I16" s="2292"/>
      <c r="M16" s="1725">
        <v>607</v>
      </c>
      <c r="N16" s="1717" t="s">
        <v>2643</v>
      </c>
      <c r="O16" s="1756" t="s">
        <v>2599</v>
      </c>
    </row>
    <row r="17" spans="1:15" x14ac:dyDescent="0.25">
      <c r="A17" s="1718">
        <v>2020</v>
      </c>
      <c r="B17" s="1719">
        <v>773</v>
      </c>
      <c r="C17" s="1442" t="str">
        <f>VLOOKUP(Tabel1[[#This Row],[Kommunenummer]],$M$2:$N$27,2,FALSE)</f>
        <v>Ikast-Brande</v>
      </c>
      <c r="D17" s="1442" t="str">
        <f>VLOOKUP(Tabel1[[#This Row],[Kommunenavn]],$N$2:$O$27,2,FALSE)</f>
        <v>Region Midt</v>
      </c>
      <c r="E17" s="4098">
        <v>89900</v>
      </c>
      <c r="F17" s="2314" t="str">
        <f>VLOOKUP(Tabel1[[#This Row],[Branchekode (DB07)]],$K$2:$L$13,2,FALSE)</f>
        <v>Anden råstofindvinding</v>
      </c>
      <c r="G17" t="s">
        <v>2583</v>
      </c>
      <c r="H17" s="2292">
        <v>808.02</v>
      </c>
      <c r="I17" s="2292"/>
      <c r="M17" s="1725">
        <v>621</v>
      </c>
      <c r="N17" s="1717" t="s">
        <v>2614</v>
      </c>
      <c r="O17" s="1755" t="s">
        <v>2599</v>
      </c>
    </row>
    <row r="18" spans="1:15" hidden="1" x14ac:dyDescent="0.25">
      <c r="A18" s="1718">
        <v>2020</v>
      </c>
      <c r="B18" s="1719">
        <v>621</v>
      </c>
      <c r="C18" s="1442" t="str">
        <f>VLOOKUP(Tabel1[[#This Row],[Kommunenummer]],$M$2:$N$27,2,FALSE)</f>
        <v>Kolding</v>
      </c>
      <c r="D18" s="1442" t="str">
        <f>VLOOKUP(Tabel1[[#This Row],[Kommunenavn]],$N$2:$O$27,2,FALSE)</f>
        <v>Region Syd</v>
      </c>
      <c r="E18" s="2291">
        <v>236400</v>
      </c>
      <c r="F18" s="2314" t="str">
        <f>VLOOKUP(Tabel1[[#This Row],[Branchekode (DB07)]],$K$2:$L$13,2,FALSE)</f>
        <v>Fremstilling af glasfiber</v>
      </c>
      <c r="G18" t="s">
        <v>2637</v>
      </c>
      <c r="H18" s="2292">
        <v>1609.42</v>
      </c>
      <c r="I18" s="2292"/>
      <c r="M18" s="1725">
        <v>710</v>
      </c>
      <c r="N18" s="1717" t="s">
        <v>2612</v>
      </c>
      <c r="O18" s="1756" t="s">
        <v>2581</v>
      </c>
    </row>
    <row r="19" spans="1:15" x14ac:dyDescent="0.25">
      <c r="A19" s="1718">
        <v>2020</v>
      </c>
      <c r="B19" s="1719">
        <v>710</v>
      </c>
      <c r="C19" s="1442" t="str">
        <f>VLOOKUP(Tabel1[[#This Row],[Kommunenummer]],$M$2:$N$27,2,FALSE)</f>
        <v>Favrskov</v>
      </c>
      <c r="D19" s="1442" t="str">
        <f>VLOOKUP(Tabel1[[#This Row],[Kommunenavn]],$N$2:$O$27,2,FALSE)</f>
        <v>Region Midt</v>
      </c>
      <c r="E19" s="4098">
        <v>239990</v>
      </c>
      <c r="F19" s="2314" t="str">
        <f>VLOOKUP(Tabel1[[#This Row],[Branchekode (DB07)]],$K$2:$L$13,2,FALSE)</f>
        <v>Fremstilling af andre ikke metalholdige produkter</v>
      </c>
      <c r="G19" t="s">
        <v>2611</v>
      </c>
      <c r="H19" s="2292">
        <v>15625.650000000001</v>
      </c>
      <c r="I19" s="2292"/>
      <c r="M19" s="1725">
        <v>746</v>
      </c>
      <c r="N19" s="1717" t="s">
        <v>2587</v>
      </c>
      <c r="O19" s="1756" t="s">
        <v>2581</v>
      </c>
    </row>
    <row r="20" spans="1:15" hidden="1" x14ac:dyDescent="0.25">
      <c r="A20" s="1718">
        <v>2020</v>
      </c>
      <c r="B20" s="1719">
        <v>813</v>
      </c>
      <c r="C20" s="1442" t="str">
        <f>VLOOKUP(Tabel1[[#This Row],[Kommunenummer]],$M$2:$N$27,2,FALSE)</f>
        <v>Fredrikshavn</v>
      </c>
      <c r="D20" s="1442" t="str">
        <f>VLOOKUP(Tabel1[[#This Row],[Kommunenavn]],$N$2:$O$27,2,FALSE)</f>
        <v>Region Nord</v>
      </c>
      <c r="E20" s="2291">
        <v>233200</v>
      </c>
      <c r="F20" s="2314" t="str">
        <f>VLOOKUP(Tabel1[[#This Row],[Branchekode (DB07)]],$K$2:$L$13,2,FALSE)</f>
        <v>Fremstilling af mursten</v>
      </c>
      <c r="G20" t="s">
        <v>2623</v>
      </c>
      <c r="H20" s="2292">
        <v>22.72</v>
      </c>
      <c r="I20" s="2292"/>
      <c r="M20" s="1725">
        <v>751</v>
      </c>
      <c r="N20" s="1717" t="s">
        <v>2597</v>
      </c>
      <c r="O20" s="1756" t="s">
        <v>2581</v>
      </c>
    </row>
    <row r="21" spans="1:15" hidden="1" x14ac:dyDescent="0.25">
      <c r="A21" s="1718">
        <v>2020</v>
      </c>
      <c r="B21" s="1719">
        <v>360</v>
      </c>
      <c r="C21" s="1442" t="str">
        <f>VLOOKUP(Tabel1[[#This Row],[Kommunenummer]],$M$2:$N$27,2,FALSE)</f>
        <v>Lolland</v>
      </c>
      <c r="D21" s="1442" t="str">
        <f>VLOOKUP(Tabel1[[#This Row],[Kommunenavn]],$N$2:$O$27,2,FALSE)</f>
        <v>Region Sjælland</v>
      </c>
      <c r="E21" s="2291">
        <v>108100</v>
      </c>
      <c r="F21" s="2314" t="str">
        <f>VLOOKUP(Tabel1[[#This Row],[Branchekode (DB07)]],$K$2:$L$13,2,FALSE)</f>
        <v>Fremstilling af sukker</v>
      </c>
      <c r="G21" t="s">
        <v>2644</v>
      </c>
      <c r="H21" s="2292">
        <v>1137.44</v>
      </c>
      <c r="I21" s="2292"/>
      <c r="M21" s="1725">
        <v>773</v>
      </c>
      <c r="N21" s="1717" t="s">
        <v>2584</v>
      </c>
      <c r="O21" s="1756" t="s">
        <v>2581</v>
      </c>
    </row>
    <row r="22" spans="1:15" hidden="1" x14ac:dyDescent="0.25">
      <c r="A22" s="1718">
        <v>2020</v>
      </c>
      <c r="B22" s="1719">
        <v>851</v>
      </c>
      <c r="C22" s="1442" t="str">
        <f>VLOOKUP(Tabel1[[#This Row],[Kommunenummer]],$M$2:$N$27,2,FALSE)</f>
        <v>Aalborg</v>
      </c>
      <c r="D22" s="1442" t="str">
        <f>VLOOKUP(Tabel1[[#This Row],[Kommunenavn]],$N$2:$O$27,2,FALSE)</f>
        <v>Region Nord</v>
      </c>
      <c r="E22" s="2291">
        <v>351100</v>
      </c>
      <c r="F22" s="2314" t="str">
        <f>VLOOKUP(Tabel1[[#This Row],[Branchekode (DB07)]],$K$2:$L$13,2,FALSE)</f>
        <v xml:space="preserve">Produktion af elektricitet </v>
      </c>
      <c r="G22" t="s">
        <v>2593</v>
      </c>
      <c r="H22" s="2292">
        <v>2483.4899999999998</v>
      </c>
      <c r="I22" s="2292"/>
      <c r="M22" s="1725">
        <v>779</v>
      </c>
      <c r="N22" s="1717" t="s">
        <v>2582</v>
      </c>
      <c r="O22" s="1756" t="s">
        <v>2581</v>
      </c>
    </row>
    <row r="23" spans="1:15" hidden="1" x14ac:dyDescent="0.25">
      <c r="A23" s="1718">
        <v>2020</v>
      </c>
      <c r="B23" s="1719">
        <v>270</v>
      </c>
      <c r="C23" s="1442" t="str">
        <f>VLOOKUP(Tabel1[[#This Row],[Kommunenummer]],$M$2:$N$27,2,FALSE)</f>
        <v>Gribskov</v>
      </c>
      <c r="D23" s="1442" t="str">
        <f>VLOOKUP(Tabel1[[#This Row],[Kommunenavn]],$N$2:$O$27,2,FALSE)</f>
        <v>Region Hovedstaden</v>
      </c>
      <c r="E23" s="2291">
        <v>233200</v>
      </c>
      <c r="F23" s="2314" t="str">
        <f>VLOOKUP(Tabel1[[#This Row],[Branchekode (DB07)]],$K$2:$L$13,2,FALSE)</f>
        <v>Fremstilling af mursten</v>
      </c>
      <c r="G23" t="s">
        <v>2635</v>
      </c>
      <c r="H23" s="2292">
        <v>1184.04</v>
      </c>
      <c r="I23" s="2292"/>
      <c r="M23" s="1725">
        <v>787</v>
      </c>
      <c r="N23" s="1717" t="s">
        <v>2440</v>
      </c>
      <c r="O23" s="1755" t="s">
        <v>4221</v>
      </c>
    </row>
    <row r="24" spans="1:15" hidden="1" x14ac:dyDescent="0.25">
      <c r="A24" s="1718">
        <v>2020</v>
      </c>
      <c r="B24" s="1719">
        <v>540</v>
      </c>
      <c r="C24" s="1442" t="str">
        <f>VLOOKUP(Tabel1[[#This Row],[Kommunenummer]],$M$2:$N$27,2,FALSE)</f>
        <v>Sønderborg</v>
      </c>
      <c r="D24" s="1442" t="str">
        <f>VLOOKUP(Tabel1[[#This Row],[Kommunenavn]],$N$2:$O$27,2,FALSE)</f>
        <v>Region Syd</v>
      </c>
      <c r="E24" s="2291">
        <v>233200</v>
      </c>
      <c r="F24" s="2314" t="str">
        <f>VLOOKUP(Tabel1[[#This Row],[Branchekode (DB07)]],$K$2:$L$13,2,FALSE)</f>
        <v>Fremstilling af mursten</v>
      </c>
      <c r="G24" t="s">
        <v>2629</v>
      </c>
      <c r="H24" s="2292">
        <v>1522.16</v>
      </c>
      <c r="I24" s="2292"/>
      <c r="M24" s="1725">
        <v>791</v>
      </c>
      <c r="N24" s="1717" t="s">
        <v>2626</v>
      </c>
      <c r="O24" s="1755" t="s">
        <v>4221</v>
      </c>
    </row>
    <row r="25" spans="1:15" hidden="1" x14ac:dyDescent="0.25">
      <c r="A25" s="1718">
        <v>2020</v>
      </c>
      <c r="B25" s="1719">
        <v>846</v>
      </c>
      <c r="C25" s="1442" t="str">
        <f>VLOOKUP(Tabel1[[#This Row],[Kommunenummer]],$M$2:$N$27,2,FALSE)</f>
        <v>Mariagerfjord</v>
      </c>
      <c r="D25" s="1442" t="str">
        <f>VLOOKUP(Tabel1[[#This Row],[Kommunenavn]],$N$2:$O$27,2,FALSE)</f>
        <v>Region Nord</v>
      </c>
      <c r="E25" s="2291">
        <v>239990</v>
      </c>
      <c r="F25" s="2314" t="str">
        <f>VLOOKUP(Tabel1[[#This Row],[Branchekode (DB07)]],$K$2:$L$13,2,FALSE)</f>
        <v>Fremstilling af andre ikke metalholdige produkter</v>
      </c>
      <c r="G25" t="s">
        <v>2608</v>
      </c>
      <c r="H25" s="2292">
        <v>4565.34</v>
      </c>
      <c r="I25" s="2292"/>
      <c r="M25" s="1725">
        <v>813</v>
      </c>
      <c r="N25" s="1717" t="s">
        <v>2624</v>
      </c>
      <c r="O25" s="1755" t="s">
        <v>4221</v>
      </c>
    </row>
    <row r="26" spans="1:15" hidden="1" x14ac:dyDescent="0.25">
      <c r="A26" s="1718">
        <v>2020</v>
      </c>
      <c r="B26" s="1719">
        <v>621</v>
      </c>
      <c r="C26" s="1442" t="str">
        <f>VLOOKUP(Tabel1[[#This Row],[Kommunenummer]],$M$2:$N$27,2,FALSE)</f>
        <v>Kolding</v>
      </c>
      <c r="D26" s="1442" t="str">
        <f>VLOOKUP(Tabel1[[#This Row],[Kommunenavn]],$N$2:$O$27,2,FALSE)</f>
        <v>Region Syd</v>
      </c>
      <c r="E26" s="2291">
        <v>239990</v>
      </c>
      <c r="F26" s="2314" t="str">
        <f>VLOOKUP(Tabel1[[#This Row],[Branchekode (DB07)]],$K$2:$L$13,2,FALSE)</f>
        <v>Fremstilling af andre ikke metalholdige produkter</v>
      </c>
      <c r="G26" t="s">
        <v>2613</v>
      </c>
      <c r="H26" s="2292">
        <v>692.95</v>
      </c>
      <c r="I26" s="2292"/>
      <c r="M26" s="1725">
        <v>846</v>
      </c>
      <c r="N26" s="1717" t="s">
        <v>2610</v>
      </c>
      <c r="O26" s="1755" t="s">
        <v>4221</v>
      </c>
    </row>
    <row r="27" spans="1:15" ht="15.75" hidden="1" thickBot="1" x14ac:dyDescent="0.3">
      <c r="A27" s="1718">
        <v>2020</v>
      </c>
      <c r="B27" s="1719">
        <v>420</v>
      </c>
      <c r="C27" s="1442" t="str">
        <f>VLOOKUP(Tabel1[[#This Row],[Kommunenummer]],$M$2:$N$27,2,FALSE)</f>
        <v>Assens</v>
      </c>
      <c r="D27" s="1442" t="str">
        <f>VLOOKUP(Tabel1[[#This Row],[Kommunenavn]],$N$2:$O$27,2,FALSE)</f>
        <v>Region Syd</v>
      </c>
      <c r="E27" s="2291">
        <v>233200</v>
      </c>
      <c r="F27" s="2314" t="str">
        <f>VLOOKUP(Tabel1[[#This Row],[Branchekode (DB07)]],$K$2:$L$13,2,FALSE)</f>
        <v>Fremstilling af mursten</v>
      </c>
      <c r="G27" t="s">
        <v>4131</v>
      </c>
      <c r="H27" s="2292">
        <v>5707.51</v>
      </c>
      <c r="I27" s="2292"/>
      <c r="M27" s="1726">
        <v>851</v>
      </c>
      <c r="N27" s="1727" t="s">
        <v>2595</v>
      </c>
      <c r="O27" s="1755" t="s">
        <v>4221</v>
      </c>
    </row>
    <row r="28" spans="1:15" x14ac:dyDescent="0.25">
      <c r="A28" s="1718">
        <v>2020</v>
      </c>
      <c r="B28" s="1719">
        <v>751</v>
      </c>
      <c r="C28" s="1442" t="str">
        <f>VLOOKUP(Tabel1[[#This Row],[Kommunenummer]],$M$2:$N$27,2,FALSE)</f>
        <v>Aarhus</v>
      </c>
      <c r="D28" s="1442" t="str">
        <f>VLOOKUP(Tabel1[[#This Row],[Kommunenavn]],$N$2:$O$27,2,FALSE)</f>
        <v>Region Midt</v>
      </c>
      <c r="E28" s="4098">
        <v>351100</v>
      </c>
      <c r="F28" s="2314" t="str">
        <f>VLOOKUP(Tabel1[[#This Row],[Branchekode (DB07)]],$K$2:$L$13,2,FALSE)</f>
        <v xml:space="preserve">Produktion af elektricitet </v>
      </c>
      <c r="G28" t="s">
        <v>2596</v>
      </c>
      <c r="H28" s="2292">
        <v>-313.20999999999998</v>
      </c>
      <c r="I28" s="2292" t="s">
        <v>4133</v>
      </c>
    </row>
    <row r="29" spans="1:15" hidden="1" x14ac:dyDescent="0.25">
      <c r="A29" s="1718">
        <v>2020</v>
      </c>
      <c r="B29" s="1719">
        <v>540</v>
      </c>
      <c r="C29" s="1442" t="str">
        <f>VLOOKUP(Tabel1[[#This Row],[Kommunenummer]],$M$2:$N$27,2,FALSE)</f>
        <v>Sønderborg</v>
      </c>
      <c r="D29" s="1442" t="str">
        <f>VLOOKUP(Tabel1[[#This Row],[Kommunenavn]],$N$2:$O$27,2,FALSE)</f>
        <v>Region Syd</v>
      </c>
      <c r="E29" s="2291">
        <v>351100</v>
      </c>
      <c r="F29" s="2314" t="str">
        <f>VLOOKUP(Tabel1[[#This Row],[Branchekode (DB07)]],$K$2:$L$13,2,FALSE)</f>
        <v xml:space="preserve">Produktion af elektricitet </v>
      </c>
      <c r="G29" t="s">
        <v>4132</v>
      </c>
      <c r="H29" s="2292">
        <v>155.76</v>
      </c>
      <c r="I29" s="2292"/>
    </row>
    <row r="30" spans="1:15" hidden="1" x14ac:dyDescent="0.25">
      <c r="A30" s="1718">
        <v>2020</v>
      </c>
      <c r="B30" s="1719">
        <v>540</v>
      </c>
      <c r="C30" s="1442" t="str">
        <f>VLOOKUP(Tabel1[[#This Row],[Kommunenummer]],$M$2:$N$27,2,FALSE)</f>
        <v>Sønderborg</v>
      </c>
      <c r="D30" s="1442" t="str">
        <f>VLOOKUP(Tabel1[[#This Row],[Kommunenavn]],$N$2:$O$27,2,FALSE)</f>
        <v>Region Syd</v>
      </c>
      <c r="E30" s="2291">
        <v>233200</v>
      </c>
      <c r="F30" s="2314" t="str">
        <f>VLOOKUP(Tabel1[[#This Row],[Branchekode (DB07)]],$K$2:$L$13,2,FALSE)</f>
        <v>Fremstilling af mursten</v>
      </c>
      <c r="G30" t="s">
        <v>2628</v>
      </c>
      <c r="H30" s="2292">
        <v>6825</v>
      </c>
      <c r="I30" s="2292"/>
    </row>
    <row r="31" spans="1:15" hidden="1" x14ac:dyDescent="0.25">
      <c r="A31" s="1718">
        <v>2020</v>
      </c>
      <c r="B31" s="1719">
        <v>846</v>
      </c>
      <c r="C31" s="1442" t="str">
        <f>VLOOKUP(Tabel1[[#This Row],[Kommunenummer]],$M$2:$N$27,2,FALSE)</f>
        <v>Mariagerfjord</v>
      </c>
      <c r="D31" s="1442" t="str">
        <f>VLOOKUP(Tabel1[[#This Row],[Kommunenavn]],$N$2:$O$27,2,FALSE)</f>
        <v>Region Nord</v>
      </c>
      <c r="E31" s="2291">
        <v>233200</v>
      </c>
      <c r="F31" s="2314" t="str">
        <f>VLOOKUP(Tabel1[[#This Row],[Branchekode (DB07)]],$K$2:$L$13,2,FALSE)</f>
        <v>Fremstilling af mursten</v>
      </c>
      <c r="G31" t="s">
        <v>2622</v>
      </c>
      <c r="H31" s="2292">
        <v>1705.48</v>
      </c>
      <c r="I31" s="2292"/>
    </row>
    <row r="32" spans="1:15" hidden="1" x14ac:dyDescent="0.25">
      <c r="A32" s="1718">
        <v>2020</v>
      </c>
      <c r="B32" s="1719">
        <v>479</v>
      </c>
      <c r="C32" s="1442" t="str">
        <f>VLOOKUP(Tabel1[[#This Row],[Kommunenummer]],$M$2:$N$27,2,FALSE)</f>
        <v>Svendborg</v>
      </c>
      <c r="D32" s="1442" t="str">
        <f>VLOOKUP(Tabel1[[#This Row],[Kommunenavn]],$N$2:$O$27,2,FALSE)</f>
        <v>Region Syd</v>
      </c>
      <c r="E32" s="2291">
        <v>233200</v>
      </c>
      <c r="F32" s="2314" t="str">
        <f>VLOOKUP(Tabel1[[#This Row],[Branchekode (DB07)]],$K$2:$L$13,2,FALSE)</f>
        <v>Fremstilling af mursten</v>
      </c>
      <c r="G32" t="s">
        <v>2632</v>
      </c>
      <c r="H32" s="2292">
        <v>1522.84</v>
      </c>
      <c r="I32" s="2292"/>
    </row>
    <row r="33" spans="1:9" hidden="1" x14ac:dyDescent="0.25">
      <c r="A33" s="1718">
        <v>2020</v>
      </c>
      <c r="B33" s="1719">
        <v>851</v>
      </c>
      <c r="C33" s="1442" t="str">
        <f>VLOOKUP(Tabel1[[#This Row],[Kommunenummer]],$M$2:$N$27,2,FALSE)</f>
        <v>Aalborg</v>
      </c>
      <c r="D33" s="1442" t="str">
        <f>VLOOKUP(Tabel1[[#This Row],[Kommunenavn]],$N$2:$O$27,2,FALSE)</f>
        <v>Region Nord</v>
      </c>
      <c r="E33" s="2293">
        <v>235100</v>
      </c>
      <c r="F33" s="2312" t="str">
        <f>VLOOKUP(Tabel1[[#This Row],[Branchekode (DB07)]],$K$2:$L$13,2,FALSE)</f>
        <v>Fremstilling af cement</v>
      </c>
      <c r="G33" t="s">
        <v>2618</v>
      </c>
      <c r="H33" s="2292">
        <v>1226953.6800000004</v>
      </c>
      <c r="I33" s="2292"/>
    </row>
    <row r="34" spans="1:9" x14ac:dyDescent="0.25">
      <c r="A34" s="2294"/>
      <c r="B34" s="2295"/>
      <c r="C34" s="2301"/>
      <c r="D34" s="2302"/>
      <c r="E34" s="4099"/>
      <c r="F34" s="2302"/>
      <c r="G34" s="2299"/>
      <c r="H34" s="2315">
        <f>SUM(Tabel1[tonCO2Process])</f>
        <v>1301306.9200000004</v>
      </c>
      <c r="I34" s="2303"/>
    </row>
  </sheetData>
  <pageMargins left="0.7" right="0.7" top="0.75" bottom="0.75" header="0.3" footer="0.3"/>
  <pageSetup paperSize="9" orientation="portrait" r:id="rId1"/>
  <tableParts count="1">
    <tablePart r:id="rId2"/>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AAEED-C7FA-4B60-A430-65B66B781ED4}">
  <sheetPr codeName="Ark10">
    <tabColor theme="0" tint="-0.14999847407452621"/>
  </sheetPr>
  <dimension ref="A1:N37"/>
  <sheetViews>
    <sheetView showGridLines="0" zoomScale="70" zoomScaleNormal="70" workbookViewId="0">
      <selection sqref="A1:E1"/>
    </sheetView>
  </sheetViews>
  <sheetFormatPr defaultColWidth="8" defaultRowHeight="12" customHeight="1" x14ac:dyDescent="0.2"/>
  <cols>
    <col min="1" max="1" width="54.5703125" style="659" customWidth="1"/>
    <col min="2" max="13" width="10.28515625" style="659" customWidth="1"/>
    <col min="14" max="14" width="1.28515625" style="659" customWidth="1"/>
    <col min="15" max="16384" width="8" style="659"/>
  </cols>
  <sheetData>
    <row r="1" spans="1:14" ht="15.75" customHeight="1" x14ac:dyDescent="0.25">
      <c r="A1" s="5430" t="s">
        <v>1029</v>
      </c>
      <c r="B1" s="5430"/>
      <c r="C1" s="5430"/>
      <c r="D1" s="5430"/>
      <c r="E1" s="5430"/>
      <c r="F1" s="660"/>
      <c r="G1" s="660"/>
      <c r="H1" s="660"/>
      <c r="I1" s="660"/>
      <c r="J1" s="660"/>
      <c r="K1" s="660"/>
      <c r="L1" s="660"/>
      <c r="M1" s="668" t="s">
        <v>1028</v>
      </c>
      <c r="N1" s="660"/>
    </row>
    <row r="2" spans="1:14" ht="15.75" customHeight="1" x14ac:dyDescent="0.25">
      <c r="A2" s="671" t="s">
        <v>1027</v>
      </c>
      <c r="B2" s="670"/>
      <c r="C2" s="670"/>
      <c r="D2" s="670"/>
      <c r="E2" s="670"/>
      <c r="F2" s="660" t="s">
        <v>1026</v>
      </c>
      <c r="G2" s="660"/>
      <c r="H2" s="660"/>
      <c r="I2" s="660"/>
      <c r="J2" s="660"/>
      <c r="K2" s="660"/>
      <c r="L2" s="660"/>
      <c r="M2" s="668" t="s">
        <v>5183</v>
      </c>
      <c r="N2" s="660"/>
    </row>
    <row r="3" spans="1:14" ht="15.75" customHeight="1" x14ac:dyDescent="0.2">
      <c r="A3" s="669"/>
      <c r="B3" s="660"/>
      <c r="C3" s="660"/>
      <c r="D3" s="660"/>
      <c r="E3" s="660"/>
      <c r="F3" s="660"/>
      <c r="G3" s="660"/>
      <c r="H3" s="660"/>
      <c r="I3" s="660"/>
      <c r="J3" s="660"/>
      <c r="K3" s="660"/>
      <c r="L3" s="668"/>
      <c r="M3" s="668" t="s">
        <v>1789</v>
      </c>
      <c r="N3" s="660"/>
    </row>
    <row r="4" spans="1:14" ht="12.75" customHeight="1" x14ac:dyDescent="0.2">
      <c r="A4" s="660"/>
      <c r="B4" s="660"/>
      <c r="C4" s="660"/>
      <c r="D4" s="660"/>
      <c r="E4" s="660"/>
      <c r="F4" s="660"/>
      <c r="G4" s="660"/>
      <c r="H4" s="660"/>
      <c r="I4" s="660"/>
      <c r="J4" s="660"/>
      <c r="K4" s="660"/>
      <c r="L4" s="660"/>
      <c r="M4" s="667"/>
      <c r="N4" s="660"/>
    </row>
    <row r="5" spans="1:14" ht="50.25" x14ac:dyDescent="0.2">
      <c r="A5" s="3339" t="s">
        <v>1025</v>
      </c>
      <c r="B5" s="3336" t="s">
        <v>1024</v>
      </c>
      <c r="C5" s="3336" t="s">
        <v>1023</v>
      </c>
      <c r="D5" s="3336" t="s">
        <v>1022</v>
      </c>
      <c r="E5" s="3335" t="s">
        <v>1021</v>
      </c>
      <c r="F5" s="3335" t="s">
        <v>1020</v>
      </c>
      <c r="G5" s="3338" t="s">
        <v>1019</v>
      </c>
      <c r="H5" s="3336" t="s">
        <v>1018</v>
      </c>
      <c r="I5" s="3337" t="s">
        <v>1017</v>
      </c>
      <c r="J5" s="3336" t="s">
        <v>1016</v>
      </c>
      <c r="K5" s="3335" t="s">
        <v>1015</v>
      </c>
      <c r="L5" s="3335" t="s">
        <v>1014</v>
      </c>
      <c r="M5" s="3334" t="s">
        <v>1013</v>
      </c>
      <c r="N5" s="660"/>
    </row>
    <row r="6" spans="1:14" ht="14.25" customHeight="1" thickBot="1" x14ac:dyDescent="0.25">
      <c r="A6" s="666"/>
      <c r="B6" s="5431" t="s">
        <v>1011</v>
      </c>
      <c r="C6" s="5432"/>
      <c r="D6" s="5433"/>
      <c r="E6" s="5431" t="s">
        <v>1012</v>
      </c>
      <c r="F6" s="5432"/>
      <c r="G6" s="5433"/>
      <c r="H6" s="5431" t="s">
        <v>1011</v>
      </c>
      <c r="I6" s="5432"/>
      <c r="J6" s="5432"/>
      <c r="K6" s="5432"/>
      <c r="L6" s="5432"/>
      <c r="M6" s="5433"/>
      <c r="N6" s="660"/>
    </row>
    <row r="7" spans="1:14" ht="14.25" customHeight="1" thickTop="1" x14ac:dyDescent="0.2">
      <c r="A7" s="664" t="s">
        <v>1010</v>
      </c>
      <c r="B7" s="3328">
        <v>160.80104976747583</v>
      </c>
      <c r="C7" s="3328">
        <v>2.0425004600000001E-2</v>
      </c>
      <c r="D7" s="3328">
        <v>4.8256800000000001E-4</v>
      </c>
      <c r="E7" s="3330" t="s">
        <v>986</v>
      </c>
      <c r="F7" s="3330" t="s">
        <v>986</v>
      </c>
      <c r="G7" s="3330" t="s">
        <v>986</v>
      </c>
      <c r="H7" s="3330" t="s">
        <v>986</v>
      </c>
      <c r="I7" s="3330" t="s">
        <v>986</v>
      </c>
      <c r="J7" s="3328" t="s">
        <v>799</v>
      </c>
      <c r="K7" s="3328">
        <v>0.69313879629999997</v>
      </c>
      <c r="L7" s="3328">
        <v>27.284587979000001</v>
      </c>
      <c r="M7" s="3328" t="s">
        <v>799</v>
      </c>
      <c r="N7" s="660"/>
    </row>
    <row r="8" spans="1:14" ht="14.25" customHeight="1" x14ac:dyDescent="0.2">
      <c r="A8" s="3329" t="s">
        <v>1009</v>
      </c>
      <c r="B8" s="3328">
        <v>31.673164400000001</v>
      </c>
      <c r="C8" s="3328" t="s">
        <v>799</v>
      </c>
      <c r="D8" s="3328" t="s">
        <v>799</v>
      </c>
      <c r="E8" s="3330" t="s">
        <v>986</v>
      </c>
      <c r="F8" s="3330" t="s">
        <v>986</v>
      </c>
      <c r="G8" s="3330" t="s">
        <v>986</v>
      </c>
      <c r="H8" s="3330" t="s">
        <v>986</v>
      </c>
      <c r="I8" s="3330" t="s">
        <v>986</v>
      </c>
      <c r="J8" s="3333" t="s">
        <v>799</v>
      </c>
      <c r="K8" s="3333" t="s">
        <v>799</v>
      </c>
      <c r="L8" s="3333" t="s">
        <v>799</v>
      </c>
      <c r="M8" s="3333" t="s">
        <v>799</v>
      </c>
      <c r="N8" s="660"/>
    </row>
    <row r="9" spans="1:14" ht="14.25" customHeight="1" x14ac:dyDescent="0.2">
      <c r="A9" s="3329" t="s">
        <v>1008</v>
      </c>
      <c r="B9" s="3328">
        <v>58.511369999999999</v>
      </c>
      <c r="C9" s="3328">
        <v>2.432947E-3</v>
      </c>
      <c r="D9" s="3328">
        <v>4.8256800000000001E-4</v>
      </c>
      <c r="E9" s="3330" t="s">
        <v>986</v>
      </c>
      <c r="F9" s="3330" t="s">
        <v>986</v>
      </c>
      <c r="G9" s="3330" t="s">
        <v>986</v>
      </c>
      <c r="H9" s="3330" t="s">
        <v>986</v>
      </c>
      <c r="I9" s="3330" t="s">
        <v>986</v>
      </c>
      <c r="J9" s="3333" t="s">
        <v>799</v>
      </c>
      <c r="K9" s="3333">
        <v>0.20107</v>
      </c>
      <c r="L9" s="3333" t="s">
        <v>799</v>
      </c>
      <c r="M9" s="3333" t="s">
        <v>799</v>
      </c>
      <c r="N9" s="660"/>
    </row>
    <row r="10" spans="1:14" ht="13.5" customHeight="1" x14ac:dyDescent="0.2">
      <c r="A10" s="3332" t="s">
        <v>1007</v>
      </c>
      <c r="B10" s="3328">
        <v>70.616515367475813</v>
      </c>
      <c r="C10" s="3328">
        <v>1.79920576E-2</v>
      </c>
      <c r="D10" s="3328" t="s">
        <v>799</v>
      </c>
      <c r="E10" s="3330" t="s">
        <v>986</v>
      </c>
      <c r="F10" s="3330" t="s">
        <v>986</v>
      </c>
      <c r="G10" s="3330" t="s">
        <v>986</v>
      </c>
      <c r="H10" s="3330" t="s">
        <v>986</v>
      </c>
      <c r="I10" s="3330" t="s">
        <v>986</v>
      </c>
      <c r="J10" s="3328" t="s">
        <v>799</v>
      </c>
      <c r="K10" s="3328">
        <v>0.4920687963</v>
      </c>
      <c r="L10" s="3328">
        <v>27.284587979000001</v>
      </c>
      <c r="M10" s="3328" t="s">
        <v>799</v>
      </c>
      <c r="N10" s="660"/>
    </row>
    <row r="11" spans="1:14" ht="12" customHeight="1" x14ac:dyDescent="0.2">
      <c r="A11" s="3331" t="s">
        <v>1005</v>
      </c>
      <c r="B11" s="3330" t="s">
        <v>986</v>
      </c>
      <c r="C11" s="3330" t="s">
        <v>986</v>
      </c>
      <c r="D11" s="3330" t="s">
        <v>986</v>
      </c>
      <c r="E11" s="3328" t="s">
        <v>259</v>
      </c>
      <c r="F11" s="3328" t="s">
        <v>259</v>
      </c>
      <c r="G11" s="3328" t="s">
        <v>259</v>
      </c>
      <c r="H11" s="3328" t="s">
        <v>259</v>
      </c>
      <c r="I11" s="3328" t="s">
        <v>259</v>
      </c>
      <c r="J11" s="3330" t="s">
        <v>986</v>
      </c>
      <c r="K11" s="3330" t="s">
        <v>986</v>
      </c>
      <c r="L11" s="3330" t="s">
        <v>986</v>
      </c>
      <c r="M11" s="3330" t="s">
        <v>986</v>
      </c>
      <c r="N11" s="660"/>
    </row>
    <row r="12" spans="1:14" ht="12" customHeight="1" x14ac:dyDescent="0.2">
      <c r="A12" s="3329" t="s">
        <v>1004</v>
      </c>
      <c r="B12" s="3330" t="s">
        <v>986</v>
      </c>
      <c r="C12" s="3330" t="s">
        <v>986</v>
      </c>
      <c r="D12" s="3330" t="s">
        <v>986</v>
      </c>
      <c r="E12" s="3328" t="s">
        <v>259</v>
      </c>
      <c r="F12" s="3328" t="s">
        <v>259</v>
      </c>
      <c r="G12" s="3328" t="s">
        <v>259</v>
      </c>
      <c r="H12" s="3328" t="s">
        <v>259</v>
      </c>
      <c r="I12" s="3328" t="s">
        <v>259</v>
      </c>
      <c r="J12" s="3330" t="s">
        <v>986</v>
      </c>
      <c r="K12" s="3330" t="s">
        <v>986</v>
      </c>
      <c r="L12" s="3330" t="s">
        <v>986</v>
      </c>
      <c r="M12" s="3330" t="s">
        <v>986</v>
      </c>
      <c r="N12" s="660"/>
    </row>
    <row r="13" spans="1:14" ht="12" customHeight="1" x14ac:dyDescent="0.2">
      <c r="A13" s="3329" t="s">
        <v>1003</v>
      </c>
      <c r="B13" s="3330" t="s">
        <v>986</v>
      </c>
      <c r="C13" s="3330" t="s">
        <v>986</v>
      </c>
      <c r="D13" s="3330" t="s">
        <v>986</v>
      </c>
      <c r="E13" s="3328" t="s">
        <v>259</v>
      </c>
      <c r="F13" s="3328" t="s">
        <v>259</v>
      </c>
      <c r="G13" s="3328" t="s">
        <v>259</v>
      </c>
      <c r="H13" s="3328" t="s">
        <v>259</v>
      </c>
      <c r="I13" s="3328" t="s">
        <v>259</v>
      </c>
      <c r="J13" s="3330" t="s">
        <v>986</v>
      </c>
      <c r="K13" s="3330" t="s">
        <v>986</v>
      </c>
      <c r="L13" s="3330" t="s">
        <v>986</v>
      </c>
      <c r="M13" s="3330" t="s">
        <v>986</v>
      </c>
      <c r="N13" s="660"/>
    </row>
    <row r="14" spans="1:14" ht="12" customHeight="1" x14ac:dyDescent="0.2">
      <c r="A14" s="3329" t="s">
        <v>1002</v>
      </c>
      <c r="B14" s="3330" t="s">
        <v>986</v>
      </c>
      <c r="C14" s="3330" t="s">
        <v>986</v>
      </c>
      <c r="D14" s="3330" t="s">
        <v>986</v>
      </c>
      <c r="E14" s="3328" t="s">
        <v>259</v>
      </c>
      <c r="F14" s="3328" t="s">
        <v>259</v>
      </c>
      <c r="G14" s="3328" t="s">
        <v>259</v>
      </c>
      <c r="H14" s="3328" t="s">
        <v>259</v>
      </c>
      <c r="I14" s="3328" t="s">
        <v>259</v>
      </c>
      <c r="J14" s="3330" t="s">
        <v>986</v>
      </c>
      <c r="K14" s="3330" t="s">
        <v>986</v>
      </c>
      <c r="L14" s="3330" t="s">
        <v>986</v>
      </c>
      <c r="M14" s="3330" t="s">
        <v>986</v>
      </c>
      <c r="N14" s="660"/>
    </row>
    <row r="15" spans="1:14" ht="12" customHeight="1" x14ac:dyDescent="0.2">
      <c r="A15" s="3329" t="s">
        <v>1001</v>
      </c>
      <c r="B15" s="3330" t="s">
        <v>986</v>
      </c>
      <c r="C15" s="3330" t="s">
        <v>986</v>
      </c>
      <c r="D15" s="3330" t="s">
        <v>986</v>
      </c>
      <c r="E15" s="3328" t="s">
        <v>259</v>
      </c>
      <c r="F15" s="3328" t="s">
        <v>259</v>
      </c>
      <c r="G15" s="3328" t="s">
        <v>259</v>
      </c>
      <c r="H15" s="3328" t="s">
        <v>259</v>
      </c>
      <c r="I15" s="3328" t="s">
        <v>259</v>
      </c>
      <c r="J15" s="3330" t="s">
        <v>986</v>
      </c>
      <c r="K15" s="3330" t="s">
        <v>986</v>
      </c>
      <c r="L15" s="3330" t="s">
        <v>986</v>
      </c>
      <c r="M15" s="3330" t="s">
        <v>986</v>
      </c>
      <c r="N15" s="660"/>
    </row>
    <row r="16" spans="1:14" ht="12.75" customHeight="1" x14ac:dyDescent="0.2">
      <c r="A16" s="3329" t="s">
        <v>1000</v>
      </c>
      <c r="B16" s="3330" t="s">
        <v>986</v>
      </c>
      <c r="C16" s="3330" t="s">
        <v>986</v>
      </c>
      <c r="D16" s="3330" t="s">
        <v>986</v>
      </c>
      <c r="E16" s="3328" t="s">
        <v>259</v>
      </c>
      <c r="F16" s="3328" t="s">
        <v>259</v>
      </c>
      <c r="G16" s="3328" t="s">
        <v>259</v>
      </c>
      <c r="H16" s="3328" t="s">
        <v>259</v>
      </c>
      <c r="I16" s="3328" t="s">
        <v>259</v>
      </c>
      <c r="J16" s="3330" t="s">
        <v>986</v>
      </c>
      <c r="K16" s="3330" t="s">
        <v>986</v>
      </c>
      <c r="L16" s="3330" t="s">
        <v>986</v>
      </c>
      <c r="M16" s="3330" t="s">
        <v>986</v>
      </c>
      <c r="N16" s="660"/>
    </row>
    <row r="17" spans="1:14" ht="14.25" x14ac:dyDescent="0.2">
      <c r="A17" s="665" t="s">
        <v>999</v>
      </c>
      <c r="B17" s="3330" t="s">
        <v>986</v>
      </c>
      <c r="C17" s="3330" t="s">
        <v>986</v>
      </c>
      <c r="D17" s="3330" t="s">
        <v>986</v>
      </c>
      <c r="E17" s="3328">
        <v>487.34625221380878</v>
      </c>
      <c r="F17" s="3328">
        <v>7.3734648750000001E-3</v>
      </c>
      <c r="G17" s="3328" t="s">
        <v>259</v>
      </c>
      <c r="H17" s="3328" t="s">
        <v>259</v>
      </c>
      <c r="I17" s="3328" t="s">
        <v>259</v>
      </c>
      <c r="J17" s="3330" t="s">
        <v>986</v>
      </c>
      <c r="K17" s="3330" t="s">
        <v>986</v>
      </c>
      <c r="L17" s="3330" t="s">
        <v>986</v>
      </c>
      <c r="M17" s="3330" t="s">
        <v>986</v>
      </c>
      <c r="N17" s="660"/>
    </row>
    <row r="18" spans="1:14" ht="12" customHeight="1" x14ac:dyDescent="0.2">
      <c r="A18" s="3329" t="s">
        <v>998</v>
      </c>
      <c r="B18" s="3330" t="s">
        <v>986</v>
      </c>
      <c r="C18" s="3330" t="s">
        <v>986</v>
      </c>
      <c r="D18" s="3330" t="s">
        <v>986</v>
      </c>
      <c r="E18" s="3328">
        <v>473.78842601266876</v>
      </c>
      <c r="F18" s="3328">
        <v>7.3734648750000001E-3</v>
      </c>
      <c r="G18" s="3328" t="s">
        <v>259</v>
      </c>
      <c r="H18" s="3328" t="s">
        <v>259</v>
      </c>
      <c r="I18" s="3328" t="s">
        <v>259</v>
      </c>
      <c r="J18" s="3330" t="s">
        <v>986</v>
      </c>
      <c r="K18" s="3330" t="s">
        <v>986</v>
      </c>
      <c r="L18" s="3330" t="s">
        <v>986</v>
      </c>
      <c r="M18" s="3330" t="s">
        <v>986</v>
      </c>
      <c r="N18" s="660"/>
    </row>
    <row r="19" spans="1:14" ht="12" customHeight="1" x14ac:dyDescent="0.2">
      <c r="A19" s="3329" t="s">
        <v>997</v>
      </c>
      <c r="B19" s="3330" t="s">
        <v>986</v>
      </c>
      <c r="C19" s="3330" t="s">
        <v>986</v>
      </c>
      <c r="D19" s="3330" t="s">
        <v>986</v>
      </c>
      <c r="E19" s="3328">
        <v>0.78412698000000003</v>
      </c>
      <c r="F19" s="3328" t="s">
        <v>259</v>
      </c>
      <c r="G19" s="3328" t="s">
        <v>259</v>
      </c>
      <c r="H19" s="3328" t="s">
        <v>259</v>
      </c>
      <c r="I19" s="3328" t="s">
        <v>259</v>
      </c>
      <c r="J19" s="3330" t="s">
        <v>986</v>
      </c>
      <c r="K19" s="3330" t="s">
        <v>986</v>
      </c>
      <c r="L19" s="3330" t="s">
        <v>986</v>
      </c>
      <c r="M19" s="3330" t="s">
        <v>986</v>
      </c>
      <c r="N19" s="660"/>
    </row>
    <row r="20" spans="1:14" ht="12" customHeight="1" x14ac:dyDescent="0.2">
      <c r="A20" s="3329" t="s">
        <v>996</v>
      </c>
      <c r="B20" s="3330" t="s">
        <v>986</v>
      </c>
      <c r="C20" s="3330" t="s">
        <v>986</v>
      </c>
      <c r="D20" s="3330" t="s">
        <v>986</v>
      </c>
      <c r="E20" s="3328" t="s">
        <v>259</v>
      </c>
      <c r="F20" s="3328" t="s">
        <v>259</v>
      </c>
      <c r="G20" s="3328" t="s">
        <v>259</v>
      </c>
      <c r="H20" s="3328" t="s">
        <v>259</v>
      </c>
      <c r="I20" s="3328" t="s">
        <v>259</v>
      </c>
      <c r="J20" s="3330" t="s">
        <v>986</v>
      </c>
      <c r="K20" s="3330" t="s">
        <v>986</v>
      </c>
      <c r="L20" s="3330" t="s">
        <v>986</v>
      </c>
      <c r="M20" s="3330" t="s">
        <v>986</v>
      </c>
      <c r="N20" s="660"/>
    </row>
    <row r="21" spans="1:14" ht="12" customHeight="1" x14ac:dyDescent="0.2">
      <c r="A21" s="3329" t="s">
        <v>995</v>
      </c>
      <c r="B21" s="3330" t="s">
        <v>986</v>
      </c>
      <c r="C21" s="3330" t="s">
        <v>986</v>
      </c>
      <c r="D21" s="3330" t="s">
        <v>986</v>
      </c>
      <c r="E21" s="3328">
        <v>12.773699221139999</v>
      </c>
      <c r="F21" s="3328" t="s">
        <v>259</v>
      </c>
      <c r="G21" s="3328" t="s">
        <v>259</v>
      </c>
      <c r="H21" s="3328" t="s">
        <v>259</v>
      </c>
      <c r="I21" s="3328" t="s">
        <v>259</v>
      </c>
      <c r="J21" s="3330" t="s">
        <v>986</v>
      </c>
      <c r="K21" s="3330" t="s">
        <v>986</v>
      </c>
      <c r="L21" s="3330" t="s">
        <v>986</v>
      </c>
      <c r="M21" s="3330" t="s">
        <v>986</v>
      </c>
      <c r="N21" s="660"/>
    </row>
    <row r="22" spans="1:14" ht="12" customHeight="1" x14ac:dyDescent="0.2">
      <c r="A22" s="3329" t="s">
        <v>994</v>
      </c>
      <c r="B22" s="3330" t="s">
        <v>986</v>
      </c>
      <c r="C22" s="3330" t="s">
        <v>986</v>
      </c>
      <c r="D22" s="3330" t="s">
        <v>986</v>
      </c>
      <c r="E22" s="3328" t="s">
        <v>259</v>
      </c>
      <c r="F22" s="3328" t="s">
        <v>259</v>
      </c>
      <c r="G22" s="3328" t="s">
        <v>259</v>
      </c>
      <c r="H22" s="3328" t="s">
        <v>259</v>
      </c>
      <c r="I22" s="3328" t="s">
        <v>259</v>
      </c>
      <c r="J22" s="3330" t="s">
        <v>986</v>
      </c>
      <c r="K22" s="3330" t="s">
        <v>986</v>
      </c>
      <c r="L22" s="3330" t="s">
        <v>986</v>
      </c>
      <c r="M22" s="3330" t="s">
        <v>986</v>
      </c>
      <c r="N22" s="660"/>
    </row>
    <row r="23" spans="1:14" ht="13.5" customHeight="1" x14ac:dyDescent="0.2">
      <c r="A23" s="3332" t="s">
        <v>993</v>
      </c>
      <c r="B23" s="3330" t="s">
        <v>986</v>
      </c>
      <c r="C23" s="3330" t="s">
        <v>986</v>
      </c>
      <c r="D23" s="3330" t="s">
        <v>986</v>
      </c>
      <c r="E23" s="3328" t="s">
        <v>259</v>
      </c>
      <c r="F23" s="3328" t="s">
        <v>259</v>
      </c>
      <c r="G23" s="3328" t="s">
        <v>259</v>
      </c>
      <c r="H23" s="3328" t="s">
        <v>259</v>
      </c>
      <c r="I23" s="3328" t="s">
        <v>259</v>
      </c>
      <c r="J23" s="3330" t="s">
        <v>986</v>
      </c>
      <c r="K23" s="3330" t="s">
        <v>986</v>
      </c>
      <c r="L23" s="3330" t="s">
        <v>986</v>
      </c>
      <c r="M23" s="3330" t="s">
        <v>986</v>
      </c>
      <c r="N23" s="660"/>
    </row>
    <row r="24" spans="1:14" ht="12.75" customHeight="1" x14ac:dyDescent="0.2">
      <c r="A24" s="3331" t="s">
        <v>992</v>
      </c>
      <c r="B24" s="3328">
        <v>0.26961617500000001</v>
      </c>
      <c r="C24" s="3328">
        <v>7.2177677499999995E-2</v>
      </c>
      <c r="D24" s="3328">
        <v>6.7179522739999997E-2</v>
      </c>
      <c r="E24" s="3328" t="s">
        <v>1006</v>
      </c>
      <c r="F24" s="3328" t="s">
        <v>1006</v>
      </c>
      <c r="G24" s="3328" t="s">
        <v>1006</v>
      </c>
      <c r="H24" s="3328">
        <v>3.2098043204599998E-3</v>
      </c>
      <c r="I24" s="3328" t="s">
        <v>1006</v>
      </c>
      <c r="J24" s="3328">
        <v>3.6430063999999998E-2</v>
      </c>
      <c r="K24" s="3328">
        <v>2.0378084159999998</v>
      </c>
      <c r="L24" s="3328">
        <v>5.3711386E-2</v>
      </c>
      <c r="M24" s="3328">
        <v>3.9367706500000002E-2</v>
      </c>
      <c r="N24" s="660"/>
    </row>
    <row r="25" spans="1:14" ht="12.75" customHeight="1" x14ac:dyDescent="0.2">
      <c r="A25" s="3329" t="s">
        <v>991</v>
      </c>
      <c r="B25" s="3330" t="s">
        <v>986</v>
      </c>
      <c r="C25" s="3330" t="s">
        <v>986</v>
      </c>
      <c r="D25" s="3330" t="s">
        <v>986</v>
      </c>
      <c r="E25" s="3328" t="s">
        <v>259</v>
      </c>
      <c r="F25" s="3328" t="s">
        <v>259</v>
      </c>
      <c r="G25" s="3328" t="s">
        <v>259</v>
      </c>
      <c r="H25" s="3328">
        <v>5.8016225795999999E-4</v>
      </c>
      <c r="I25" s="3328" t="s">
        <v>259</v>
      </c>
      <c r="J25" s="3330" t="s">
        <v>986</v>
      </c>
      <c r="K25" s="3330" t="s">
        <v>986</v>
      </c>
      <c r="L25" s="3330" t="s">
        <v>986</v>
      </c>
      <c r="M25" s="3330" t="s">
        <v>986</v>
      </c>
      <c r="N25" s="660"/>
    </row>
    <row r="26" spans="1:14" ht="12.75" customHeight="1" x14ac:dyDescent="0.2">
      <c r="A26" s="3329" t="s">
        <v>990</v>
      </c>
      <c r="B26" s="3330" t="s">
        <v>986</v>
      </c>
      <c r="C26" s="3330" t="s">
        <v>986</v>
      </c>
      <c r="D26" s="3330" t="s">
        <v>986</v>
      </c>
      <c r="E26" s="3330" t="s">
        <v>986</v>
      </c>
      <c r="F26" s="3328" t="s">
        <v>259</v>
      </c>
      <c r="G26" s="3328" t="s">
        <v>986</v>
      </c>
      <c r="H26" s="3328">
        <v>2.6296420625000001E-3</v>
      </c>
      <c r="I26" s="3330" t="s">
        <v>986</v>
      </c>
      <c r="J26" s="3330" t="s">
        <v>986</v>
      </c>
      <c r="K26" s="3330" t="s">
        <v>986</v>
      </c>
      <c r="L26" s="3330" t="s">
        <v>986</v>
      </c>
      <c r="M26" s="3330" t="s">
        <v>986</v>
      </c>
      <c r="N26" s="660"/>
    </row>
    <row r="27" spans="1:14" ht="12.75" customHeight="1" x14ac:dyDescent="0.2">
      <c r="A27" s="3329" t="s">
        <v>989</v>
      </c>
      <c r="B27" s="3330" t="s">
        <v>986</v>
      </c>
      <c r="C27" s="3330" t="s">
        <v>986</v>
      </c>
      <c r="D27" s="3328">
        <v>5.4482500000000003E-2</v>
      </c>
      <c r="E27" s="3330" t="s">
        <v>986</v>
      </c>
      <c r="F27" s="3330" t="s">
        <v>986</v>
      </c>
      <c r="G27" s="3330" t="s">
        <v>986</v>
      </c>
      <c r="H27" s="3330" t="s">
        <v>986</v>
      </c>
      <c r="I27" s="3330" t="s">
        <v>986</v>
      </c>
      <c r="J27" s="3330" t="s">
        <v>986</v>
      </c>
      <c r="K27" s="3330" t="s">
        <v>986</v>
      </c>
      <c r="L27" s="3330" t="s">
        <v>986</v>
      </c>
      <c r="M27" s="3330" t="s">
        <v>986</v>
      </c>
      <c r="N27" s="660"/>
    </row>
    <row r="28" spans="1:14" ht="12.75" customHeight="1" x14ac:dyDescent="0.2">
      <c r="A28" s="3329" t="s">
        <v>988</v>
      </c>
      <c r="B28" s="3328">
        <v>0.26961617500000001</v>
      </c>
      <c r="C28" s="3328">
        <v>7.2177677499999995E-2</v>
      </c>
      <c r="D28" s="3328">
        <v>1.2697022739999999E-2</v>
      </c>
      <c r="E28" s="3328" t="s">
        <v>799</v>
      </c>
      <c r="F28" s="3328" t="s">
        <v>799</v>
      </c>
      <c r="G28" s="3328" t="s">
        <v>799</v>
      </c>
      <c r="H28" s="3328" t="s">
        <v>799</v>
      </c>
      <c r="I28" s="3328" t="s">
        <v>799</v>
      </c>
      <c r="J28" s="3328">
        <v>3.6430063999999998E-2</v>
      </c>
      <c r="K28" s="3328">
        <v>2.0378084159999998</v>
      </c>
      <c r="L28" s="3328">
        <v>5.3711386E-2</v>
      </c>
      <c r="M28" s="3328">
        <v>3.9367706500000002E-2</v>
      </c>
      <c r="N28" s="660"/>
    </row>
    <row r="29" spans="1:14" ht="14.25" x14ac:dyDescent="0.2">
      <c r="A29" s="664" t="s">
        <v>987</v>
      </c>
      <c r="B29" s="3328" t="s">
        <v>986</v>
      </c>
      <c r="C29" s="3328" t="s">
        <v>986</v>
      </c>
      <c r="D29" s="3328" t="s">
        <v>986</v>
      </c>
      <c r="E29" s="3328" t="s">
        <v>799</v>
      </c>
      <c r="F29" s="3328" t="s">
        <v>799</v>
      </c>
      <c r="G29" s="3328" t="s">
        <v>799</v>
      </c>
      <c r="H29" s="3328" t="s">
        <v>799</v>
      </c>
      <c r="I29" s="3328" t="s">
        <v>799</v>
      </c>
      <c r="J29" s="3328" t="s">
        <v>986</v>
      </c>
      <c r="K29" s="3328" t="s">
        <v>986</v>
      </c>
      <c r="L29" s="3328">
        <v>2.433019995</v>
      </c>
      <c r="M29" s="3328" t="s">
        <v>986</v>
      </c>
      <c r="N29" s="660"/>
    </row>
    <row r="30" spans="1:14" ht="12" customHeight="1" x14ac:dyDescent="0.2">
      <c r="A30" s="663"/>
      <c r="B30" s="663"/>
      <c r="C30" s="663"/>
      <c r="D30" s="663"/>
      <c r="E30" s="663"/>
      <c r="F30" s="663"/>
      <c r="G30" s="663"/>
      <c r="H30" s="663"/>
      <c r="I30" s="663"/>
      <c r="J30" s="663"/>
      <c r="K30" s="663"/>
      <c r="L30" s="663"/>
      <c r="M30" s="663"/>
      <c r="N30" s="660"/>
    </row>
    <row r="31" spans="1:14" x14ac:dyDescent="0.2">
      <c r="A31" s="5434" t="s">
        <v>985</v>
      </c>
      <c r="B31" s="5435"/>
      <c r="C31" s="5435"/>
      <c r="D31" s="5435"/>
      <c r="E31" s="5435"/>
      <c r="F31" s="5435"/>
      <c r="G31" s="5435"/>
      <c r="H31" s="5435"/>
      <c r="I31" s="5435"/>
      <c r="J31" s="5435"/>
      <c r="K31" s="5435"/>
      <c r="L31" s="5435"/>
      <c r="M31" s="5435"/>
      <c r="N31" s="660"/>
    </row>
    <row r="32" spans="1:14" ht="13.5" customHeight="1" x14ac:dyDescent="0.2">
      <c r="A32" s="662" t="s">
        <v>984</v>
      </c>
      <c r="B32" s="661"/>
      <c r="C32" s="661"/>
      <c r="D32" s="661"/>
      <c r="E32" s="661"/>
      <c r="F32" s="661"/>
      <c r="G32" s="661"/>
      <c r="H32" s="661"/>
      <c r="I32" s="661"/>
      <c r="J32" s="661"/>
      <c r="K32" s="661"/>
      <c r="L32" s="661"/>
      <c r="M32" s="661"/>
      <c r="N32" s="660"/>
    </row>
    <row r="33" spans="1:14" ht="13.5" customHeight="1" x14ac:dyDescent="0.2">
      <c r="A33" s="662" t="s">
        <v>983</v>
      </c>
      <c r="B33" s="662"/>
      <c r="C33" s="662"/>
      <c r="D33" s="662"/>
      <c r="E33" s="662"/>
      <c r="F33" s="662"/>
      <c r="G33" s="662"/>
      <c r="H33" s="662"/>
      <c r="I33" s="661"/>
      <c r="J33" s="661"/>
      <c r="K33" s="661"/>
      <c r="L33" s="661"/>
      <c r="M33" s="661"/>
      <c r="N33" s="660"/>
    </row>
    <row r="34" spans="1:14" ht="12.75" customHeight="1" x14ac:dyDescent="0.2">
      <c r="A34" s="660"/>
      <c r="B34" s="660"/>
      <c r="C34" s="660"/>
      <c r="D34" s="660"/>
      <c r="E34" s="660"/>
      <c r="F34" s="660"/>
      <c r="G34" s="660"/>
      <c r="H34" s="660"/>
      <c r="I34" s="660"/>
      <c r="J34" s="660"/>
      <c r="K34" s="660"/>
      <c r="L34" s="660"/>
      <c r="M34" s="660"/>
      <c r="N34" s="660"/>
    </row>
    <row r="35" spans="1:14" ht="12" customHeight="1" x14ac:dyDescent="0.2">
      <c r="A35" s="5436" t="s">
        <v>982</v>
      </c>
      <c r="B35" s="5437"/>
      <c r="C35" s="5437"/>
      <c r="D35" s="5437"/>
      <c r="E35" s="5437"/>
      <c r="F35" s="5437"/>
      <c r="G35" s="5437"/>
      <c r="H35" s="5437"/>
      <c r="I35" s="5437"/>
      <c r="J35" s="5437"/>
      <c r="K35" s="5437"/>
      <c r="L35" s="5437"/>
      <c r="M35" s="5438"/>
      <c r="N35" s="660"/>
    </row>
    <row r="36" spans="1:14" ht="26.25" customHeight="1" x14ac:dyDescent="0.2">
      <c r="A36" s="5427" t="s">
        <v>981</v>
      </c>
      <c r="B36" s="5428"/>
      <c r="C36" s="5428"/>
      <c r="D36" s="5428"/>
      <c r="E36" s="5428"/>
      <c r="F36" s="5428"/>
      <c r="G36" s="5428"/>
      <c r="H36" s="5428"/>
      <c r="I36" s="5428"/>
      <c r="J36" s="5428"/>
      <c r="K36" s="5428"/>
      <c r="L36" s="5428"/>
      <c r="M36" s="5429"/>
      <c r="N36" s="660"/>
    </row>
    <row r="37" spans="1:14" ht="12" customHeight="1" x14ac:dyDescent="0.2">
      <c r="A37" s="3327" t="s">
        <v>980</v>
      </c>
      <c r="B37" s="5425" t="s">
        <v>5182</v>
      </c>
      <c r="C37" s="5426"/>
      <c r="D37" s="5426"/>
      <c r="E37" s="5426"/>
      <c r="F37" s="5426"/>
      <c r="G37" s="5426"/>
      <c r="H37" s="5426"/>
      <c r="I37" s="5426"/>
      <c r="J37" s="5426"/>
      <c r="K37" s="5426"/>
      <c r="L37" s="5426"/>
      <c r="M37" s="5426"/>
      <c r="N37" s="660"/>
    </row>
  </sheetData>
  <sheetProtection password="A754" sheet="1" objects="1" scenarios="1"/>
  <mergeCells count="8">
    <mergeCell ref="B37:M37"/>
    <mergeCell ref="A36:M36"/>
    <mergeCell ref="A1:E1"/>
    <mergeCell ref="B6:D6"/>
    <mergeCell ref="E6:G6"/>
    <mergeCell ref="H6:M6"/>
    <mergeCell ref="A31:M31"/>
    <mergeCell ref="A35:M35"/>
  </mergeCells>
  <dataValidations count="1">
    <dataValidation allowBlank="1" showInputMessage="1" showErrorMessage="1" sqref="I38:N65533 O1:IV65533" xr:uid="{00000000-0002-0000-0F00-000000000000}"/>
  </dataValidations>
  <printOptions horizontalCentered="1" verticalCentered="1"/>
  <pageMargins left="0.39370078740157483" right="0.39370078740157483" top="0.39370078740157483" bottom="0.39370078740157483" header="0.19685039370078741" footer="0.19685039370078741"/>
  <pageSetup paperSize="9" scale="74"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0F764-711A-43B8-88A3-D2AD7EFCEF6F}">
  <sheetPr codeName="Ark17">
    <tabColor theme="0" tint="-0.14999847407452621"/>
    <pageSetUpPr fitToPage="1"/>
  </sheetPr>
  <dimension ref="A1:N53"/>
  <sheetViews>
    <sheetView showGridLines="0" workbookViewId="0">
      <selection sqref="A1:G1"/>
    </sheetView>
  </sheetViews>
  <sheetFormatPr defaultColWidth="9.140625" defaultRowHeight="12" customHeight="1" x14ac:dyDescent="0.2"/>
  <cols>
    <col min="1" max="1" width="44.85546875" style="659" customWidth="1"/>
    <col min="2" max="2" width="31.5703125" style="659" customWidth="1"/>
    <col min="3" max="3" width="10.42578125" style="659" customWidth="1"/>
    <col min="4" max="4" width="13.140625" style="659" customWidth="1"/>
    <col min="5" max="6" width="12.140625" style="659" customWidth="1"/>
    <col min="7" max="7" width="13" style="659" customWidth="1"/>
    <col min="8" max="8" width="12" style="659" customWidth="1"/>
    <col min="9" max="9" width="14.7109375" style="659" customWidth="1"/>
    <col min="10" max="10" width="12.42578125" style="659" customWidth="1"/>
    <col min="11" max="11" width="13.85546875" style="659" customWidth="1"/>
    <col min="12" max="12" width="13" style="659" customWidth="1"/>
    <col min="13" max="13" width="1.28515625" style="659" customWidth="1"/>
    <col min="14" max="16384" width="9.140625" style="659"/>
  </cols>
  <sheetData>
    <row r="1" spans="1:14" ht="15.75" customHeight="1" x14ac:dyDescent="0.25">
      <c r="A1" s="5430" t="s">
        <v>1087</v>
      </c>
      <c r="B1" s="5430"/>
      <c r="C1" s="5430"/>
      <c r="D1" s="5430"/>
      <c r="E1" s="5430"/>
      <c r="F1" s="5430"/>
      <c r="G1" s="5430"/>
      <c r="H1" s="660"/>
      <c r="I1" s="660"/>
      <c r="J1" s="660"/>
      <c r="K1" s="660"/>
      <c r="L1" s="668" t="s">
        <v>1028</v>
      </c>
      <c r="M1" s="660"/>
      <c r="N1" s="660"/>
    </row>
    <row r="2" spans="1:14" ht="17.25" customHeight="1" x14ac:dyDescent="0.3">
      <c r="A2" s="671" t="s">
        <v>1086</v>
      </c>
      <c r="B2" s="670"/>
      <c r="C2" s="670"/>
      <c r="D2" s="670"/>
      <c r="E2" s="670"/>
      <c r="F2" s="670"/>
      <c r="G2" s="670"/>
      <c r="H2" s="660"/>
      <c r="I2" s="660"/>
      <c r="J2" s="660"/>
      <c r="K2" s="660"/>
      <c r="L2" s="668" t="s">
        <v>5183</v>
      </c>
      <c r="M2" s="660"/>
      <c r="N2" s="660"/>
    </row>
    <row r="3" spans="1:14" ht="15.75" customHeight="1" x14ac:dyDescent="0.25">
      <c r="A3" s="671" t="s">
        <v>1085</v>
      </c>
      <c r="B3" s="670"/>
      <c r="C3" s="670"/>
      <c r="D3" s="670"/>
      <c r="E3" s="670"/>
      <c r="F3" s="670"/>
      <c r="G3" s="670"/>
      <c r="H3" s="660"/>
      <c r="I3" s="660"/>
      <c r="J3" s="660"/>
      <c r="K3" s="668"/>
      <c r="L3" s="668" t="s">
        <v>1789</v>
      </c>
      <c r="M3" s="660"/>
      <c r="N3" s="660"/>
    </row>
    <row r="4" spans="1:14" ht="12.75" customHeight="1" x14ac:dyDescent="0.2">
      <c r="A4" s="677"/>
      <c r="B4" s="677"/>
      <c r="C4" s="661"/>
      <c r="D4" s="661"/>
      <c r="E4" s="661"/>
      <c r="F4" s="661"/>
      <c r="G4" s="661"/>
      <c r="H4" s="661"/>
      <c r="I4" s="661"/>
      <c r="J4" s="661"/>
      <c r="K4" s="661"/>
      <c r="L4" s="661"/>
      <c r="M4" s="660"/>
      <c r="N4" s="660"/>
    </row>
    <row r="5" spans="1:14" ht="14.25" customHeight="1" x14ac:dyDescent="0.2">
      <c r="A5" s="3351" t="s">
        <v>1084</v>
      </c>
      <c r="B5" s="5441" t="s">
        <v>1083</v>
      </c>
      <c r="C5" s="5442"/>
      <c r="D5" s="5441" t="s">
        <v>1082</v>
      </c>
      <c r="E5" s="5443"/>
      <c r="F5" s="5442"/>
      <c r="G5" s="5441" t="s">
        <v>1081</v>
      </c>
      <c r="H5" s="5443"/>
      <c r="I5" s="5443"/>
      <c r="J5" s="5443"/>
      <c r="K5" s="5443"/>
      <c r="L5" s="5442"/>
      <c r="M5" s="660"/>
      <c r="N5" s="660"/>
    </row>
    <row r="6" spans="1:14" ht="13.5" customHeight="1" x14ac:dyDescent="0.2">
      <c r="A6" s="676" t="s">
        <v>1080</v>
      </c>
      <c r="B6" s="5444" t="s">
        <v>1079</v>
      </c>
      <c r="C6" s="5445"/>
      <c r="D6" s="5448" t="s">
        <v>1024</v>
      </c>
      <c r="E6" s="5448" t="s">
        <v>1023</v>
      </c>
      <c r="F6" s="5448" t="s">
        <v>1022</v>
      </c>
      <c r="G6" s="5439" t="s">
        <v>1024</v>
      </c>
      <c r="H6" s="5440"/>
      <c r="I6" s="5439" t="s">
        <v>1023</v>
      </c>
      <c r="J6" s="5440"/>
      <c r="K6" s="5439" t="s">
        <v>1022</v>
      </c>
      <c r="L6" s="5440"/>
      <c r="M6" s="660"/>
      <c r="N6" s="660"/>
    </row>
    <row r="7" spans="1:14" ht="14.25" x14ac:dyDescent="0.2">
      <c r="A7" s="676"/>
      <c r="B7" s="5446"/>
      <c r="C7" s="5447"/>
      <c r="D7" s="5449"/>
      <c r="E7" s="5449"/>
      <c r="F7" s="5449"/>
      <c r="G7" s="3349" t="s">
        <v>1078</v>
      </c>
      <c r="H7" s="3350" t="s">
        <v>1077</v>
      </c>
      <c r="I7" s="3349" t="s">
        <v>1078</v>
      </c>
      <c r="J7" s="3350" t="s">
        <v>1077</v>
      </c>
      <c r="K7" s="3349" t="s">
        <v>1078</v>
      </c>
      <c r="L7" s="3348" t="s">
        <v>1077</v>
      </c>
      <c r="M7" s="660"/>
      <c r="N7" s="660"/>
    </row>
    <row r="8" spans="1:14" ht="15" customHeight="1" thickBot="1" x14ac:dyDescent="0.25">
      <c r="A8" s="675"/>
      <c r="B8" s="674" t="s">
        <v>1076</v>
      </c>
      <c r="C8" s="673" t="s">
        <v>1011</v>
      </c>
      <c r="D8" s="5450" t="s">
        <v>1075</v>
      </c>
      <c r="E8" s="5451"/>
      <c r="F8" s="5452"/>
      <c r="G8" s="5453" t="s">
        <v>1011</v>
      </c>
      <c r="H8" s="5454"/>
      <c r="I8" s="5454"/>
      <c r="J8" s="5454"/>
      <c r="K8" s="5454"/>
      <c r="L8" s="5455"/>
      <c r="M8" s="660"/>
      <c r="N8" s="660"/>
    </row>
    <row r="9" spans="1:14" ht="12.75" customHeight="1" thickTop="1" x14ac:dyDescent="0.2">
      <c r="A9" s="672" t="s">
        <v>1074</v>
      </c>
      <c r="B9" s="3330" t="s">
        <v>986</v>
      </c>
      <c r="C9" s="3330" t="s">
        <v>986</v>
      </c>
      <c r="D9" s="3330" t="s">
        <v>986</v>
      </c>
      <c r="E9" s="3330" t="s">
        <v>986</v>
      </c>
      <c r="F9" s="3330" t="s">
        <v>986</v>
      </c>
      <c r="G9" s="3340">
        <v>1297.9768458811</v>
      </c>
      <c r="H9" s="3340" t="s">
        <v>259</v>
      </c>
      <c r="I9" s="3330" t="s">
        <v>986</v>
      </c>
      <c r="J9" s="3330" t="s">
        <v>986</v>
      </c>
      <c r="K9" s="3330" t="s">
        <v>986</v>
      </c>
      <c r="L9" s="3330" t="s">
        <v>986</v>
      </c>
      <c r="M9" s="660"/>
      <c r="N9" s="660"/>
    </row>
    <row r="10" spans="1:14" x14ac:dyDescent="0.2">
      <c r="A10" s="3342" t="s">
        <v>1073</v>
      </c>
      <c r="B10" s="3333" t="s">
        <v>1072</v>
      </c>
      <c r="C10" s="3333">
        <v>2140.5709999999999</v>
      </c>
      <c r="D10" s="3340">
        <v>0.54179095204036998</v>
      </c>
      <c r="E10" s="3330" t="s">
        <v>986</v>
      </c>
      <c r="F10" s="3330" t="s">
        <v>986</v>
      </c>
      <c r="G10" s="3333">
        <v>1159.742</v>
      </c>
      <c r="H10" s="3333" t="s">
        <v>259</v>
      </c>
      <c r="I10" s="3330" t="s">
        <v>986</v>
      </c>
      <c r="J10" s="3330" t="s">
        <v>986</v>
      </c>
      <c r="K10" s="3330" t="s">
        <v>986</v>
      </c>
      <c r="L10" s="3330" t="s">
        <v>986</v>
      </c>
      <c r="M10" s="660"/>
      <c r="N10" s="660"/>
    </row>
    <row r="11" spans="1:14" ht="12" customHeight="1" x14ac:dyDescent="0.2">
      <c r="A11" s="3342" t="s">
        <v>1071</v>
      </c>
      <c r="B11" s="3333" t="s">
        <v>1070</v>
      </c>
      <c r="C11" s="3333">
        <v>46.378999999999998</v>
      </c>
      <c r="D11" s="3340">
        <v>0.79318700273831</v>
      </c>
      <c r="E11" s="3330" t="s">
        <v>986</v>
      </c>
      <c r="F11" s="3330" t="s">
        <v>986</v>
      </c>
      <c r="G11" s="3333">
        <v>36.787219999999998</v>
      </c>
      <c r="H11" s="3333" t="s">
        <v>259</v>
      </c>
      <c r="I11" s="3330" t="s">
        <v>986</v>
      </c>
      <c r="J11" s="3330" t="s">
        <v>986</v>
      </c>
      <c r="K11" s="3330" t="s">
        <v>986</v>
      </c>
      <c r="L11" s="3330" t="s">
        <v>986</v>
      </c>
      <c r="M11" s="660"/>
      <c r="N11" s="660"/>
    </row>
    <row r="12" spans="1:14" x14ac:dyDescent="0.2">
      <c r="A12" s="3342" t="s">
        <v>1069</v>
      </c>
      <c r="B12" s="3333" t="s">
        <v>1068</v>
      </c>
      <c r="C12" s="3333">
        <v>199.66200000000001</v>
      </c>
      <c r="D12" s="3340">
        <v>5.1848624174859997E-2</v>
      </c>
      <c r="E12" s="3330" t="s">
        <v>986</v>
      </c>
      <c r="F12" s="3330" t="s">
        <v>986</v>
      </c>
      <c r="G12" s="3333">
        <v>10.3522</v>
      </c>
      <c r="H12" s="3333" t="s">
        <v>259</v>
      </c>
      <c r="I12" s="3330" t="s">
        <v>986</v>
      </c>
      <c r="J12" s="3330" t="s">
        <v>986</v>
      </c>
      <c r="K12" s="3330" t="s">
        <v>986</v>
      </c>
      <c r="L12" s="3330" t="s">
        <v>986</v>
      </c>
      <c r="M12" s="660"/>
      <c r="N12" s="660"/>
    </row>
    <row r="13" spans="1:14" x14ac:dyDescent="0.2">
      <c r="A13" s="3342" t="s">
        <v>1067</v>
      </c>
      <c r="B13" s="3330" t="s">
        <v>986</v>
      </c>
      <c r="C13" s="3330" t="s">
        <v>986</v>
      </c>
      <c r="D13" s="3330" t="s">
        <v>986</v>
      </c>
      <c r="E13" s="3330" t="s">
        <v>986</v>
      </c>
      <c r="F13" s="3330" t="s">
        <v>986</v>
      </c>
      <c r="G13" s="3340">
        <v>91.095425881099999</v>
      </c>
      <c r="H13" s="3340" t="s">
        <v>259</v>
      </c>
      <c r="I13" s="3330" t="s">
        <v>986</v>
      </c>
      <c r="J13" s="3330" t="s">
        <v>986</v>
      </c>
      <c r="K13" s="3330" t="s">
        <v>986</v>
      </c>
      <c r="L13" s="3330" t="s">
        <v>986</v>
      </c>
      <c r="M13" s="660"/>
      <c r="N13" s="660"/>
    </row>
    <row r="14" spans="1:14" x14ac:dyDescent="0.2">
      <c r="A14" s="3343" t="s">
        <v>1066</v>
      </c>
      <c r="B14" s="3333" t="s">
        <v>1061</v>
      </c>
      <c r="C14" s="3333">
        <v>105.4141</v>
      </c>
      <c r="D14" s="3340">
        <v>0.43970999999999999</v>
      </c>
      <c r="E14" s="3330" t="s">
        <v>986</v>
      </c>
      <c r="F14" s="3330" t="s">
        <v>986</v>
      </c>
      <c r="G14" s="3333">
        <v>46.351633911</v>
      </c>
      <c r="H14" s="3333" t="s">
        <v>259</v>
      </c>
      <c r="I14" s="3330" t="s">
        <v>986</v>
      </c>
      <c r="J14" s="3330" t="s">
        <v>986</v>
      </c>
      <c r="K14" s="3330" t="s">
        <v>986</v>
      </c>
      <c r="L14" s="3330" t="s">
        <v>986</v>
      </c>
      <c r="M14" s="660"/>
      <c r="N14" s="660"/>
    </row>
    <row r="15" spans="1:14" x14ac:dyDescent="0.2">
      <c r="A15" s="3343" t="s">
        <v>1065</v>
      </c>
      <c r="B15" s="3333" t="s">
        <v>1064</v>
      </c>
      <c r="C15" s="3333">
        <v>44.914000000000001</v>
      </c>
      <c r="D15" s="3340">
        <v>0.41492000000000001</v>
      </c>
      <c r="E15" s="3330" t="s">
        <v>986</v>
      </c>
      <c r="F15" s="3330" t="s">
        <v>986</v>
      </c>
      <c r="G15" s="3333">
        <v>18.63571688</v>
      </c>
      <c r="H15" s="3333" t="s">
        <v>259</v>
      </c>
      <c r="I15" s="3330" t="s">
        <v>986</v>
      </c>
      <c r="J15" s="3330" t="s">
        <v>986</v>
      </c>
      <c r="K15" s="3330" t="s">
        <v>986</v>
      </c>
      <c r="L15" s="3330" t="s">
        <v>986</v>
      </c>
      <c r="M15" s="660"/>
      <c r="N15" s="660"/>
    </row>
    <row r="16" spans="1:14" x14ac:dyDescent="0.2">
      <c r="A16" s="3344" t="s">
        <v>1063</v>
      </c>
      <c r="B16" s="3333" t="s">
        <v>1036</v>
      </c>
      <c r="C16" s="3333" t="s">
        <v>259</v>
      </c>
      <c r="D16" s="3340" t="s">
        <v>259</v>
      </c>
      <c r="E16" s="3330" t="s">
        <v>986</v>
      </c>
      <c r="F16" s="3330" t="s">
        <v>986</v>
      </c>
      <c r="G16" s="3333" t="s">
        <v>259</v>
      </c>
      <c r="H16" s="3333" t="s">
        <v>259</v>
      </c>
      <c r="I16" s="3330" t="s">
        <v>986</v>
      </c>
      <c r="J16" s="3330" t="s">
        <v>986</v>
      </c>
      <c r="K16" s="3330" t="s">
        <v>986</v>
      </c>
      <c r="L16" s="3330" t="s">
        <v>986</v>
      </c>
      <c r="M16" s="660"/>
      <c r="N16" s="660"/>
    </row>
    <row r="17" spans="1:14" x14ac:dyDescent="0.2">
      <c r="A17" s="3347" t="s">
        <v>1062</v>
      </c>
      <c r="B17" s="3333" t="s">
        <v>1061</v>
      </c>
      <c r="C17" s="3333">
        <v>59.375309999999999</v>
      </c>
      <c r="D17" s="3340">
        <v>0.43971265312299002</v>
      </c>
      <c r="E17" s="3330" t="s">
        <v>986</v>
      </c>
      <c r="F17" s="3330" t="s">
        <v>986</v>
      </c>
      <c r="G17" s="3333">
        <v>26.108075090100002</v>
      </c>
      <c r="H17" s="3333" t="s">
        <v>259</v>
      </c>
      <c r="I17" s="3330" t="s">
        <v>986</v>
      </c>
      <c r="J17" s="3330" t="s">
        <v>986</v>
      </c>
      <c r="K17" s="3330" t="s">
        <v>986</v>
      </c>
      <c r="L17" s="3330" t="s">
        <v>986</v>
      </c>
      <c r="M17" s="660"/>
      <c r="N17" s="660"/>
    </row>
    <row r="18" spans="1:14" x14ac:dyDescent="0.2">
      <c r="A18" s="3346" t="s">
        <v>1060</v>
      </c>
      <c r="B18" s="3330" t="s">
        <v>986</v>
      </c>
      <c r="C18" s="3330" t="s">
        <v>986</v>
      </c>
      <c r="D18" s="3330" t="s">
        <v>986</v>
      </c>
      <c r="E18" s="3330" t="s">
        <v>986</v>
      </c>
      <c r="F18" s="3330" t="s">
        <v>986</v>
      </c>
      <c r="G18" s="3340">
        <v>1.4292023</v>
      </c>
      <c r="H18" s="3340" t="s">
        <v>1006</v>
      </c>
      <c r="I18" s="3340" t="s">
        <v>1006</v>
      </c>
      <c r="J18" s="3340" t="s">
        <v>1006</v>
      </c>
      <c r="K18" s="3340" t="s">
        <v>1006</v>
      </c>
      <c r="L18" s="3340" t="s">
        <v>1006</v>
      </c>
      <c r="M18" s="660"/>
      <c r="N18" s="660"/>
    </row>
    <row r="19" spans="1:14" ht="12" customHeight="1" x14ac:dyDescent="0.2">
      <c r="A19" s="3342" t="s">
        <v>1059</v>
      </c>
      <c r="B19" s="3333" t="s">
        <v>1047</v>
      </c>
      <c r="C19" s="3333" t="s">
        <v>259</v>
      </c>
      <c r="D19" s="3340" t="s">
        <v>259</v>
      </c>
      <c r="E19" s="3340" t="s">
        <v>259</v>
      </c>
      <c r="F19" s="3340" t="s">
        <v>259</v>
      </c>
      <c r="G19" s="3333" t="s">
        <v>259</v>
      </c>
      <c r="H19" s="3333" t="s">
        <v>259</v>
      </c>
      <c r="I19" s="3333" t="s">
        <v>259</v>
      </c>
      <c r="J19" s="3333" t="s">
        <v>259</v>
      </c>
      <c r="K19" s="3333" t="s">
        <v>259</v>
      </c>
      <c r="L19" s="3333" t="s">
        <v>259</v>
      </c>
      <c r="M19" s="660"/>
      <c r="N19" s="660"/>
    </row>
    <row r="20" spans="1:14" ht="13.5" customHeight="1" x14ac:dyDescent="0.2">
      <c r="A20" s="3342" t="s">
        <v>1058</v>
      </c>
      <c r="B20" s="3333" t="s">
        <v>1036</v>
      </c>
      <c r="C20" s="3333" t="s">
        <v>259</v>
      </c>
      <c r="D20" s="3330" t="s">
        <v>986</v>
      </c>
      <c r="E20" s="3330" t="s">
        <v>986</v>
      </c>
      <c r="F20" s="3340" t="s">
        <v>259</v>
      </c>
      <c r="G20" s="3330" t="s">
        <v>986</v>
      </c>
      <c r="H20" s="3330" t="s">
        <v>986</v>
      </c>
      <c r="I20" s="3330" t="s">
        <v>986</v>
      </c>
      <c r="J20" s="3330" t="s">
        <v>986</v>
      </c>
      <c r="K20" s="3333" t="s">
        <v>259</v>
      </c>
      <c r="L20" s="3333" t="s">
        <v>259</v>
      </c>
      <c r="M20" s="660"/>
      <c r="N20" s="660"/>
    </row>
    <row r="21" spans="1:14" ht="12" customHeight="1" x14ac:dyDescent="0.2">
      <c r="A21" s="3342" t="s">
        <v>1057</v>
      </c>
      <c r="B21" s="3333" t="s">
        <v>1036</v>
      </c>
      <c r="C21" s="3333" t="s">
        <v>259</v>
      </c>
      <c r="D21" s="3340" t="s">
        <v>259</v>
      </c>
      <c r="E21" s="3330" t="s">
        <v>986</v>
      </c>
      <c r="F21" s="3340" t="s">
        <v>259</v>
      </c>
      <c r="G21" s="3333" t="s">
        <v>259</v>
      </c>
      <c r="H21" s="3333" t="s">
        <v>259</v>
      </c>
      <c r="I21" s="3330" t="s">
        <v>986</v>
      </c>
      <c r="J21" s="3330" t="s">
        <v>986</v>
      </c>
      <c r="K21" s="3333" t="s">
        <v>259</v>
      </c>
      <c r="L21" s="3333" t="s">
        <v>259</v>
      </c>
      <c r="M21" s="660"/>
      <c r="N21" s="660"/>
    </row>
    <row r="22" spans="1:14" ht="11.25" customHeight="1" x14ac:dyDescent="0.2">
      <c r="A22" s="3345" t="s">
        <v>1056</v>
      </c>
      <c r="B22" s="3330" t="s">
        <v>986</v>
      </c>
      <c r="C22" s="3330" t="s">
        <v>986</v>
      </c>
      <c r="D22" s="3330" t="s">
        <v>986</v>
      </c>
      <c r="E22" s="3330" t="s">
        <v>986</v>
      </c>
      <c r="F22" s="3330" t="s">
        <v>986</v>
      </c>
      <c r="G22" s="3340" t="s">
        <v>259</v>
      </c>
      <c r="H22" s="3340" t="s">
        <v>259</v>
      </c>
      <c r="I22" s="3330" t="s">
        <v>986</v>
      </c>
      <c r="J22" s="3330" t="s">
        <v>986</v>
      </c>
      <c r="K22" s="3340" t="s">
        <v>259</v>
      </c>
      <c r="L22" s="3340" t="s">
        <v>259</v>
      </c>
      <c r="M22" s="660"/>
      <c r="N22" s="660"/>
    </row>
    <row r="23" spans="1:14" ht="12" customHeight="1" x14ac:dyDescent="0.2">
      <c r="A23" s="3343" t="s">
        <v>1055</v>
      </c>
      <c r="B23" s="3333" t="s">
        <v>1036</v>
      </c>
      <c r="C23" s="3333" t="s">
        <v>259</v>
      </c>
      <c r="D23" s="3340" t="s">
        <v>259</v>
      </c>
      <c r="E23" s="3330" t="s">
        <v>986</v>
      </c>
      <c r="F23" s="3340" t="s">
        <v>259</v>
      </c>
      <c r="G23" s="3333" t="s">
        <v>259</v>
      </c>
      <c r="H23" s="3333" t="s">
        <v>259</v>
      </c>
      <c r="I23" s="3330" t="s">
        <v>986</v>
      </c>
      <c r="J23" s="3330" t="s">
        <v>986</v>
      </c>
      <c r="K23" s="3333" t="s">
        <v>259</v>
      </c>
      <c r="L23" s="3333" t="s">
        <v>259</v>
      </c>
      <c r="M23" s="660"/>
      <c r="N23" s="660"/>
    </row>
    <row r="24" spans="1:14" ht="12" customHeight="1" x14ac:dyDescent="0.2">
      <c r="A24" s="3343" t="s">
        <v>1054</v>
      </c>
      <c r="B24" s="3333" t="s">
        <v>1036</v>
      </c>
      <c r="C24" s="3333" t="s">
        <v>259</v>
      </c>
      <c r="D24" s="3340" t="s">
        <v>259</v>
      </c>
      <c r="E24" s="3330" t="s">
        <v>986</v>
      </c>
      <c r="F24" s="3340" t="s">
        <v>259</v>
      </c>
      <c r="G24" s="3333" t="s">
        <v>259</v>
      </c>
      <c r="H24" s="3333" t="s">
        <v>259</v>
      </c>
      <c r="I24" s="3330" t="s">
        <v>986</v>
      </c>
      <c r="J24" s="3330" t="s">
        <v>986</v>
      </c>
      <c r="K24" s="3333" t="s">
        <v>259</v>
      </c>
      <c r="L24" s="3333" t="s">
        <v>259</v>
      </c>
      <c r="M24" s="660"/>
      <c r="N24" s="660"/>
    </row>
    <row r="25" spans="1:14" ht="12" customHeight="1" x14ac:dyDescent="0.2">
      <c r="A25" s="3343" t="s">
        <v>1053</v>
      </c>
      <c r="B25" s="3333" t="s">
        <v>1036</v>
      </c>
      <c r="C25" s="3333" t="s">
        <v>259</v>
      </c>
      <c r="D25" s="3340" t="s">
        <v>259</v>
      </c>
      <c r="E25" s="3330" t="s">
        <v>986</v>
      </c>
      <c r="F25" s="3340" t="s">
        <v>259</v>
      </c>
      <c r="G25" s="3333" t="s">
        <v>259</v>
      </c>
      <c r="H25" s="3333" t="s">
        <v>259</v>
      </c>
      <c r="I25" s="3330" t="s">
        <v>986</v>
      </c>
      <c r="J25" s="3330" t="s">
        <v>986</v>
      </c>
      <c r="K25" s="3333" t="s">
        <v>259</v>
      </c>
      <c r="L25" s="3333" t="s">
        <v>259</v>
      </c>
      <c r="M25" s="660"/>
      <c r="N25" s="660"/>
    </row>
    <row r="26" spans="1:14" ht="12" customHeight="1" x14ac:dyDescent="0.2">
      <c r="A26" s="3342" t="s">
        <v>1052</v>
      </c>
      <c r="B26" s="3333" t="s">
        <v>1036</v>
      </c>
      <c r="C26" s="3333" t="s">
        <v>259</v>
      </c>
      <c r="D26" s="3340" t="s">
        <v>259</v>
      </c>
      <c r="E26" s="3340" t="s">
        <v>259</v>
      </c>
      <c r="F26" s="3330" t="s">
        <v>986</v>
      </c>
      <c r="G26" s="3340" t="s">
        <v>259</v>
      </c>
      <c r="H26" s="3340" t="s">
        <v>259</v>
      </c>
      <c r="I26" s="3340" t="s">
        <v>259</v>
      </c>
      <c r="J26" s="3340" t="s">
        <v>259</v>
      </c>
      <c r="K26" s="3330" t="s">
        <v>986</v>
      </c>
      <c r="L26" s="3330" t="s">
        <v>986</v>
      </c>
      <c r="M26" s="660"/>
      <c r="N26" s="660"/>
    </row>
    <row r="27" spans="1:14" ht="12" customHeight="1" x14ac:dyDescent="0.2">
      <c r="A27" s="3343" t="s">
        <v>1051</v>
      </c>
      <c r="B27" s="3333" t="s">
        <v>1036</v>
      </c>
      <c r="C27" s="3333" t="s">
        <v>259</v>
      </c>
      <c r="D27" s="3340" t="s">
        <v>259</v>
      </c>
      <c r="E27" s="3340" t="s">
        <v>259</v>
      </c>
      <c r="F27" s="3330" t="s">
        <v>986</v>
      </c>
      <c r="G27" s="3333" t="s">
        <v>259</v>
      </c>
      <c r="H27" s="3333" t="s">
        <v>259</v>
      </c>
      <c r="I27" s="3333" t="s">
        <v>259</v>
      </c>
      <c r="J27" s="3333" t="s">
        <v>259</v>
      </c>
      <c r="K27" s="3330" t="s">
        <v>986</v>
      </c>
      <c r="L27" s="3330" t="s">
        <v>986</v>
      </c>
      <c r="M27" s="660"/>
      <c r="N27" s="660"/>
    </row>
    <row r="28" spans="1:14" ht="12" customHeight="1" x14ac:dyDescent="0.2">
      <c r="A28" s="3343" t="s">
        <v>1050</v>
      </c>
      <c r="B28" s="3333" t="s">
        <v>1036</v>
      </c>
      <c r="C28" s="3333" t="s">
        <v>259</v>
      </c>
      <c r="D28" s="3340" t="s">
        <v>259</v>
      </c>
      <c r="E28" s="3340" t="s">
        <v>259</v>
      </c>
      <c r="F28" s="3330" t="s">
        <v>986</v>
      </c>
      <c r="G28" s="3333" t="s">
        <v>259</v>
      </c>
      <c r="H28" s="3333" t="s">
        <v>259</v>
      </c>
      <c r="I28" s="3333" t="s">
        <v>259</v>
      </c>
      <c r="J28" s="3333" t="s">
        <v>259</v>
      </c>
      <c r="K28" s="3330" t="s">
        <v>986</v>
      </c>
      <c r="L28" s="3330" t="s">
        <v>986</v>
      </c>
      <c r="M28" s="660"/>
      <c r="N28" s="660"/>
    </row>
    <row r="29" spans="1:14" ht="12" customHeight="1" x14ac:dyDescent="0.2">
      <c r="A29" s="3342" t="s">
        <v>1049</v>
      </c>
      <c r="B29" s="3333" t="s">
        <v>1036</v>
      </c>
      <c r="C29" s="3333" t="s">
        <v>259</v>
      </c>
      <c r="D29" s="3340" t="s">
        <v>259</v>
      </c>
      <c r="E29" s="3330" t="s">
        <v>986</v>
      </c>
      <c r="F29" s="3330" t="s">
        <v>986</v>
      </c>
      <c r="G29" s="3333" t="s">
        <v>259</v>
      </c>
      <c r="H29" s="3333" t="s">
        <v>259</v>
      </c>
      <c r="I29" s="3330" t="s">
        <v>986</v>
      </c>
      <c r="J29" s="3330" t="s">
        <v>986</v>
      </c>
      <c r="K29" s="3330" t="s">
        <v>986</v>
      </c>
      <c r="L29" s="3330" t="s">
        <v>986</v>
      </c>
      <c r="M29" s="660"/>
      <c r="N29" s="660"/>
    </row>
    <row r="30" spans="1:14" ht="12" customHeight="1" x14ac:dyDescent="0.2">
      <c r="A30" s="3342" t="s">
        <v>1048</v>
      </c>
      <c r="B30" s="3333" t="s">
        <v>1047</v>
      </c>
      <c r="C30" s="3333" t="s">
        <v>259</v>
      </c>
      <c r="D30" s="3340" t="s">
        <v>259</v>
      </c>
      <c r="E30" s="3330" t="s">
        <v>986</v>
      </c>
      <c r="F30" s="3330" t="s">
        <v>986</v>
      </c>
      <c r="G30" s="3333" t="s">
        <v>259</v>
      </c>
      <c r="H30" s="3333" t="s">
        <v>259</v>
      </c>
      <c r="I30" s="3330" t="s">
        <v>986</v>
      </c>
      <c r="J30" s="3330" t="s">
        <v>986</v>
      </c>
      <c r="K30" s="3330" t="s">
        <v>986</v>
      </c>
      <c r="L30" s="3330" t="s">
        <v>986</v>
      </c>
      <c r="M30" s="660"/>
      <c r="N30" s="660"/>
    </row>
    <row r="31" spans="1:14" ht="12" customHeight="1" x14ac:dyDescent="0.2">
      <c r="A31" s="3342" t="s">
        <v>1046</v>
      </c>
      <c r="B31" s="3330" t="s">
        <v>986</v>
      </c>
      <c r="C31" s="3330" t="s">
        <v>986</v>
      </c>
      <c r="D31" s="3330" t="s">
        <v>986</v>
      </c>
      <c r="E31" s="3330" t="s">
        <v>986</v>
      </c>
      <c r="F31" s="3330" t="s">
        <v>986</v>
      </c>
      <c r="G31" s="3340" t="s">
        <v>259</v>
      </c>
      <c r="H31" s="3340" t="s">
        <v>259</v>
      </c>
      <c r="I31" s="3340" t="s">
        <v>259</v>
      </c>
      <c r="J31" s="3340" t="s">
        <v>259</v>
      </c>
      <c r="K31" s="3330" t="s">
        <v>986</v>
      </c>
      <c r="L31" s="3330" t="s">
        <v>986</v>
      </c>
      <c r="M31" s="660"/>
      <c r="N31" s="660"/>
    </row>
    <row r="32" spans="1:14" ht="12" customHeight="1" x14ac:dyDescent="0.2">
      <c r="A32" s="3343" t="s">
        <v>1045</v>
      </c>
      <c r="B32" s="3333" t="s">
        <v>1036</v>
      </c>
      <c r="C32" s="3333" t="s">
        <v>259</v>
      </c>
      <c r="D32" s="3340" t="s">
        <v>259</v>
      </c>
      <c r="E32" s="3340" t="s">
        <v>259</v>
      </c>
      <c r="F32" s="3330" t="s">
        <v>986</v>
      </c>
      <c r="G32" s="3333" t="s">
        <v>259</v>
      </c>
      <c r="H32" s="3333" t="s">
        <v>259</v>
      </c>
      <c r="I32" s="3333" t="s">
        <v>259</v>
      </c>
      <c r="J32" s="3333" t="s">
        <v>259</v>
      </c>
      <c r="K32" s="3330" t="s">
        <v>986</v>
      </c>
      <c r="L32" s="3330" t="s">
        <v>986</v>
      </c>
      <c r="M32" s="660"/>
      <c r="N32" s="660"/>
    </row>
    <row r="33" spans="1:14" ht="12" customHeight="1" x14ac:dyDescent="0.2">
      <c r="A33" s="3343" t="s">
        <v>1044</v>
      </c>
      <c r="B33" s="3333" t="s">
        <v>1036</v>
      </c>
      <c r="C33" s="3333" t="s">
        <v>259</v>
      </c>
      <c r="D33" s="3340" t="s">
        <v>259</v>
      </c>
      <c r="E33" s="3340" t="s">
        <v>259</v>
      </c>
      <c r="F33" s="3330" t="s">
        <v>986</v>
      </c>
      <c r="G33" s="3333" t="s">
        <v>259</v>
      </c>
      <c r="H33" s="3333" t="s">
        <v>259</v>
      </c>
      <c r="I33" s="3333" t="s">
        <v>259</v>
      </c>
      <c r="J33" s="3333" t="s">
        <v>259</v>
      </c>
      <c r="K33" s="3330" t="s">
        <v>986</v>
      </c>
      <c r="L33" s="3330" t="s">
        <v>986</v>
      </c>
      <c r="M33" s="660"/>
      <c r="N33" s="660"/>
    </row>
    <row r="34" spans="1:14" ht="17.25" customHeight="1" x14ac:dyDescent="0.2">
      <c r="A34" s="3344" t="s">
        <v>1043</v>
      </c>
      <c r="B34" s="3333" t="s">
        <v>1036</v>
      </c>
      <c r="C34" s="3333" t="s">
        <v>259</v>
      </c>
      <c r="D34" s="3340" t="s">
        <v>259</v>
      </c>
      <c r="E34" s="3340" t="s">
        <v>259</v>
      </c>
      <c r="F34" s="3330" t="s">
        <v>986</v>
      </c>
      <c r="G34" s="3333" t="s">
        <v>259</v>
      </c>
      <c r="H34" s="3333" t="s">
        <v>259</v>
      </c>
      <c r="I34" s="3333" t="s">
        <v>259</v>
      </c>
      <c r="J34" s="3333" t="s">
        <v>259</v>
      </c>
      <c r="K34" s="3330" t="s">
        <v>986</v>
      </c>
      <c r="L34" s="3330" t="s">
        <v>986</v>
      </c>
      <c r="M34" s="660"/>
      <c r="N34" s="660"/>
    </row>
    <row r="35" spans="1:14" ht="12" customHeight="1" x14ac:dyDescent="0.2">
      <c r="A35" s="3343" t="s">
        <v>1042</v>
      </c>
      <c r="B35" s="3333" t="s">
        <v>1036</v>
      </c>
      <c r="C35" s="3333" t="s">
        <v>259</v>
      </c>
      <c r="D35" s="3340" t="s">
        <v>259</v>
      </c>
      <c r="E35" s="3340" t="s">
        <v>259</v>
      </c>
      <c r="F35" s="3330" t="s">
        <v>986</v>
      </c>
      <c r="G35" s="3333" t="s">
        <v>259</v>
      </c>
      <c r="H35" s="3333" t="s">
        <v>259</v>
      </c>
      <c r="I35" s="3333" t="s">
        <v>259</v>
      </c>
      <c r="J35" s="3333" t="s">
        <v>259</v>
      </c>
      <c r="K35" s="3330" t="s">
        <v>986</v>
      </c>
      <c r="L35" s="3330" t="s">
        <v>986</v>
      </c>
      <c r="M35" s="660"/>
      <c r="N35" s="660"/>
    </row>
    <row r="36" spans="1:14" ht="12" customHeight="1" x14ac:dyDescent="0.2">
      <c r="A36" s="3343" t="s">
        <v>1041</v>
      </c>
      <c r="B36" s="3333" t="s">
        <v>1036</v>
      </c>
      <c r="C36" s="3333" t="s">
        <v>259</v>
      </c>
      <c r="D36" s="3340" t="s">
        <v>259</v>
      </c>
      <c r="E36" s="3340" t="s">
        <v>259</v>
      </c>
      <c r="F36" s="3330" t="s">
        <v>986</v>
      </c>
      <c r="G36" s="3333" t="s">
        <v>259</v>
      </c>
      <c r="H36" s="3333" t="s">
        <v>259</v>
      </c>
      <c r="I36" s="3333" t="s">
        <v>259</v>
      </c>
      <c r="J36" s="3333" t="s">
        <v>259</v>
      </c>
      <c r="K36" s="3330" t="s">
        <v>986</v>
      </c>
      <c r="L36" s="3330" t="s">
        <v>986</v>
      </c>
      <c r="M36" s="660"/>
      <c r="N36" s="660"/>
    </row>
    <row r="37" spans="1:14" ht="12" customHeight="1" x14ac:dyDescent="0.2">
      <c r="A37" s="3343" t="s">
        <v>1040</v>
      </c>
      <c r="B37" s="3333" t="s">
        <v>1036</v>
      </c>
      <c r="C37" s="3333" t="s">
        <v>259</v>
      </c>
      <c r="D37" s="3340" t="s">
        <v>259</v>
      </c>
      <c r="E37" s="3340" t="s">
        <v>259</v>
      </c>
      <c r="F37" s="3330" t="s">
        <v>986</v>
      </c>
      <c r="G37" s="3333" t="s">
        <v>259</v>
      </c>
      <c r="H37" s="3333" t="s">
        <v>259</v>
      </c>
      <c r="I37" s="3333" t="s">
        <v>259</v>
      </c>
      <c r="J37" s="3333" t="s">
        <v>259</v>
      </c>
      <c r="K37" s="3330" t="s">
        <v>986</v>
      </c>
      <c r="L37" s="3330" t="s">
        <v>986</v>
      </c>
      <c r="M37" s="660"/>
      <c r="N37" s="660"/>
    </row>
    <row r="38" spans="1:14" ht="12" customHeight="1" x14ac:dyDescent="0.2">
      <c r="A38" s="3343" t="s">
        <v>1039</v>
      </c>
      <c r="B38" s="3330" t="s">
        <v>986</v>
      </c>
      <c r="C38" s="3330" t="s">
        <v>986</v>
      </c>
      <c r="D38" s="3330" t="s">
        <v>986</v>
      </c>
      <c r="E38" s="3330" t="s">
        <v>986</v>
      </c>
      <c r="F38" s="3330" t="s">
        <v>986</v>
      </c>
      <c r="G38" s="3340" t="s">
        <v>259</v>
      </c>
      <c r="H38" s="3340" t="s">
        <v>259</v>
      </c>
      <c r="I38" s="3340" t="s">
        <v>259</v>
      </c>
      <c r="J38" s="3340" t="s">
        <v>259</v>
      </c>
      <c r="K38" s="3330" t="s">
        <v>986</v>
      </c>
      <c r="L38" s="3330" t="s">
        <v>986</v>
      </c>
      <c r="M38" s="660"/>
      <c r="N38" s="660"/>
    </row>
    <row r="39" spans="1:14" ht="12" customHeight="1" x14ac:dyDescent="0.2">
      <c r="A39" s="3342" t="s">
        <v>1038</v>
      </c>
      <c r="B39" s="3330" t="s">
        <v>986</v>
      </c>
      <c r="C39" s="3330" t="s">
        <v>986</v>
      </c>
      <c r="D39" s="3330" t="s">
        <v>986</v>
      </c>
      <c r="E39" s="3330" t="s">
        <v>986</v>
      </c>
      <c r="F39" s="3330" t="s">
        <v>986</v>
      </c>
      <c r="G39" s="3340">
        <v>1.4292023</v>
      </c>
      <c r="H39" s="3340" t="s">
        <v>799</v>
      </c>
      <c r="I39" s="3340" t="s">
        <v>799</v>
      </c>
      <c r="J39" s="3340" t="s">
        <v>799</v>
      </c>
      <c r="K39" s="3340" t="s">
        <v>799</v>
      </c>
      <c r="L39" s="3340" t="s">
        <v>799</v>
      </c>
      <c r="M39" s="660"/>
      <c r="N39" s="660"/>
    </row>
    <row r="40" spans="1:14" ht="12" customHeight="1" x14ac:dyDescent="0.2">
      <c r="A40" s="3341" t="s">
        <v>1037</v>
      </c>
      <c r="B40" s="3333" t="s">
        <v>1036</v>
      </c>
      <c r="C40" s="3333">
        <v>59.302999999999997</v>
      </c>
      <c r="D40" s="3340">
        <v>2.41E-2</v>
      </c>
      <c r="E40" s="3340" t="s">
        <v>799</v>
      </c>
      <c r="F40" s="3340" t="s">
        <v>799</v>
      </c>
      <c r="G40" s="3333">
        <v>1.4292023</v>
      </c>
      <c r="H40" s="3333" t="s">
        <v>799</v>
      </c>
      <c r="I40" s="3333" t="s">
        <v>799</v>
      </c>
      <c r="J40" s="3333" t="s">
        <v>799</v>
      </c>
      <c r="K40" s="3333" t="s">
        <v>799</v>
      </c>
      <c r="L40" s="3333" t="s">
        <v>799</v>
      </c>
      <c r="M40" s="660"/>
      <c r="N40" s="660"/>
    </row>
    <row r="41" spans="1:14" ht="12" customHeight="1" x14ac:dyDescent="0.2">
      <c r="A41" s="663"/>
      <c r="B41" s="663"/>
      <c r="C41" s="663"/>
      <c r="D41" s="663"/>
      <c r="E41" s="663"/>
      <c r="F41" s="663"/>
      <c r="G41" s="663"/>
      <c r="H41" s="663"/>
      <c r="I41" s="663"/>
      <c r="J41" s="663"/>
      <c r="K41" s="663"/>
      <c r="L41" s="663"/>
      <c r="M41" s="660"/>
      <c r="N41" s="660"/>
    </row>
    <row r="42" spans="1:14" ht="13.5" x14ac:dyDescent="0.2">
      <c r="A42" s="5434" t="s">
        <v>1035</v>
      </c>
      <c r="B42" s="5434"/>
      <c r="C42" s="5434"/>
      <c r="D42" s="5434"/>
      <c r="E42" s="5434"/>
      <c r="F42" s="5434"/>
      <c r="G42" s="5434"/>
      <c r="H42" s="5434"/>
      <c r="I42" s="5434"/>
      <c r="J42" s="5434"/>
      <c r="K42" s="5434"/>
      <c r="L42" s="5434"/>
      <c r="M42" s="660"/>
      <c r="N42" s="660"/>
    </row>
    <row r="43" spans="1:14" ht="12" customHeight="1" x14ac:dyDescent="0.2">
      <c r="A43" s="5456" t="s">
        <v>1034</v>
      </c>
      <c r="B43" s="5456"/>
      <c r="C43" s="5456"/>
      <c r="D43" s="5456"/>
      <c r="E43" s="5456"/>
      <c r="F43" s="5456"/>
      <c r="G43" s="5456"/>
      <c r="H43" s="5456"/>
      <c r="I43" s="660"/>
      <c r="J43" s="660"/>
      <c r="K43" s="660"/>
      <c r="L43" s="660"/>
      <c r="M43" s="660"/>
      <c r="N43" s="660"/>
    </row>
    <row r="44" spans="1:14" ht="12" customHeight="1" x14ac:dyDescent="0.2">
      <c r="A44" s="5456" t="s">
        <v>1033</v>
      </c>
      <c r="B44" s="5456"/>
      <c r="C44" s="5456"/>
      <c r="D44" s="5456"/>
      <c r="E44" s="660"/>
      <c r="F44" s="660"/>
      <c r="G44" s="660"/>
      <c r="H44" s="660"/>
      <c r="I44" s="660"/>
      <c r="J44" s="660"/>
      <c r="K44" s="660"/>
      <c r="L44" s="660"/>
      <c r="M44" s="660"/>
      <c r="N44" s="660"/>
    </row>
    <row r="45" spans="1:14" ht="12" customHeight="1" x14ac:dyDescent="0.2">
      <c r="A45" s="5456" t="s">
        <v>1032</v>
      </c>
      <c r="B45" s="5456"/>
      <c r="C45" s="5456"/>
      <c r="D45" s="660"/>
      <c r="E45" s="660"/>
      <c r="F45" s="660"/>
      <c r="G45" s="660"/>
      <c r="H45" s="660"/>
      <c r="I45" s="660"/>
      <c r="J45" s="660"/>
      <c r="K45" s="660"/>
      <c r="L45" s="660"/>
      <c r="M45" s="660"/>
      <c r="N45" s="660"/>
    </row>
    <row r="46" spans="1:14" ht="39.75" customHeight="1" x14ac:dyDescent="0.2">
      <c r="A46" s="5457" t="s">
        <v>1031</v>
      </c>
      <c r="B46" s="5457"/>
      <c r="C46" s="5457"/>
      <c r="D46" s="5457"/>
      <c r="E46" s="5457"/>
      <c r="F46" s="5457"/>
      <c r="G46" s="5457"/>
      <c r="H46" s="5457"/>
      <c r="I46" s="5457"/>
      <c r="J46" s="5458"/>
      <c r="K46" s="5458"/>
      <c r="L46" s="5458"/>
      <c r="M46" s="660"/>
      <c r="N46" s="660"/>
    </row>
    <row r="47" spans="1:14" ht="26.25" customHeight="1" x14ac:dyDescent="0.2">
      <c r="A47" s="5459" t="s">
        <v>1030</v>
      </c>
      <c r="B47" s="5459"/>
      <c r="C47" s="5459"/>
      <c r="D47" s="5459"/>
      <c r="E47" s="5459"/>
      <c r="F47" s="5459"/>
      <c r="G47" s="5459"/>
      <c r="H47" s="5459"/>
      <c r="I47" s="5459"/>
      <c r="J47" s="5460"/>
      <c r="K47" s="5460"/>
      <c r="L47" s="5460"/>
      <c r="M47" s="660"/>
      <c r="N47" s="660"/>
    </row>
    <row r="48" spans="1:14" ht="12" customHeight="1" x14ac:dyDescent="0.2">
      <c r="A48" s="660"/>
      <c r="B48" s="660"/>
      <c r="C48" s="660"/>
      <c r="D48" s="660"/>
      <c r="E48" s="660"/>
      <c r="F48" s="660"/>
      <c r="G48" s="660"/>
      <c r="H48" s="660"/>
      <c r="I48" s="660"/>
      <c r="J48" s="660"/>
      <c r="K48" s="660"/>
      <c r="L48" s="660"/>
      <c r="M48" s="660"/>
      <c r="N48" s="660"/>
    </row>
    <row r="49" spans="1:14" ht="25.5" customHeight="1" x14ac:dyDescent="0.2">
      <c r="A49" s="660"/>
      <c r="B49" s="660"/>
      <c r="C49" s="660"/>
      <c r="D49" s="660"/>
      <c r="E49" s="660"/>
      <c r="F49" s="660"/>
      <c r="G49" s="660"/>
      <c r="H49" s="660"/>
      <c r="I49" s="660"/>
      <c r="J49" s="660"/>
      <c r="K49" s="660"/>
      <c r="L49" s="660"/>
      <c r="M49" s="660"/>
      <c r="N49" s="660"/>
    </row>
    <row r="50" spans="1:14" ht="13.5" customHeight="1" x14ac:dyDescent="0.2">
      <c r="A50" s="660"/>
      <c r="B50" s="660"/>
      <c r="C50" s="660"/>
      <c r="D50" s="660"/>
      <c r="E50" s="660"/>
      <c r="F50" s="660"/>
      <c r="G50" s="660"/>
      <c r="H50" s="660"/>
      <c r="I50" s="660"/>
      <c r="J50" s="660"/>
      <c r="K50" s="660"/>
      <c r="L50" s="660"/>
      <c r="M50" s="660"/>
      <c r="N50" s="660"/>
    </row>
    <row r="51" spans="1:14" ht="13.5" customHeight="1" x14ac:dyDescent="0.2">
      <c r="A51" s="660"/>
      <c r="B51" s="660"/>
      <c r="C51" s="660"/>
      <c r="D51" s="660"/>
      <c r="E51" s="660"/>
      <c r="F51" s="660"/>
      <c r="G51" s="660"/>
      <c r="H51" s="660"/>
      <c r="I51" s="660"/>
      <c r="J51" s="660"/>
      <c r="K51" s="660"/>
      <c r="L51" s="660"/>
      <c r="M51" s="660"/>
      <c r="N51" s="660"/>
    </row>
    <row r="52" spans="1:14" ht="13.5" customHeight="1" x14ac:dyDescent="0.2">
      <c r="A52" s="660"/>
      <c r="B52" s="660"/>
      <c r="C52" s="660"/>
      <c r="D52" s="660"/>
      <c r="E52" s="660"/>
      <c r="F52" s="660"/>
      <c r="G52" s="660"/>
      <c r="H52" s="660"/>
      <c r="I52" s="660"/>
      <c r="J52" s="660"/>
      <c r="K52" s="660"/>
      <c r="L52" s="660"/>
      <c r="M52" s="660"/>
      <c r="N52" s="660"/>
    </row>
    <row r="53" spans="1:14" ht="13.5" customHeight="1" x14ac:dyDescent="0.2">
      <c r="A53" s="660"/>
      <c r="B53" s="660"/>
      <c r="C53" s="660"/>
      <c r="D53" s="660"/>
      <c r="E53" s="660"/>
      <c r="F53" s="660"/>
      <c r="G53" s="660"/>
      <c r="H53" s="660"/>
      <c r="I53" s="660"/>
      <c r="J53" s="660"/>
      <c r="K53" s="660"/>
      <c r="L53" s="660"/>
      <c r="M53" s="660"/>
      <c r="N53" s="660"/>
    </row>
  </sheetData>
  <sheetProtection password="A754" sheet="1" objects="1" scenarios="1"/>
  <mergeCells count="19">
    <mergeCell ref="D8:F8"/>
    <mergeCell ref="G8:L8"/>
    <mergeCell ref="A45:C45"/>
    <mergeCell ref="A46:L46"/>
    <mergeCell ref="A47:L47"/>
    <mergeCell ref="A42:L42"/>
    <mergeCell ref="A43:H43"/>
    <mergeCell ref="A44:D44"/>
    <mergeCell ref="K6:L6"/>
    <mergeCell ref="A1:G1"/>
    <mergeCell ref="B5:C5"/>
    <mergeCell ref="D5:F5"/>
    <mergeCell ref="G5:L5"/>
    <mergeCell ref="B6:C7"/>
    <mergeCell ref="D6:D7"/>
    <mergeCell ref="E6:E7"/>
    <mergeCell ref="F6:F7"/>
    <mergeCell ref="G6:H6"/>
    <mergeCell ref="I6:J6"/>
  </mergeCells>
  <printOptions horizontalCentered="1" verticalCentered="1"/>
  <pageMargins left="0.39370078740157483" right="0.39370078740157483" top="0.39370078740157483" bottom="0.39370078740157483" header="0.19685039370078741" footer="0.19685039370078741"/>
  <pageSetup paperSize="9" scale="31" fitToHeight="0" orientation="portrait" r:id="rId1"/>
  <headerFooter alignWithMargins="0">
    <oddFooter>&amp;L&amp;"Times New Roman,Italic"Common Reporting Format for the provision of inventory information by Annex I Parties to the UNFCCC&amp;R&amp;P+24</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A6025-70CE-4D89-8927-6DAA20FF0FB0}">
  <sheetPr codeName="Ark18">
    <tabColor theme="0" tint="-0.14999847407452621"/>
  </sheetPr>
  <dimension ref="A1:O85"/>
  <sheetViews>
    <sheetView showGridLines="0" workbookViewId="0">
      <selection sqref="A1:F1"/>
    </sheetView>
  </sheetViews>
  <sheetFormatPr defaultColWidth="9.140625" defaultRowHeight="12" customHeight="1" x14ac:dyDescent="0.2"/>
  <cols>
    <col min="1" max="1" width="45.85546875" style="659" customWidth="1"/>
    <col min="2" max="2" width="20.42578125" style="659" customWidth="1"/>
    <col min="3" max="3" width="14" style="659" customWidth="1"/>
    <col min="4" max="4" width="13.140625" style="659" customWidth="1"/>
    <col min="5" max="5" width="11.28515625" style="659" customWidth="1"/>
    <col min="6" max="6" width="12.140625" style="659" customWidth="1"/>
    <col min="7" max="7" width="16.140625" style="659" customWidth="1"/>
    <col min="8" max="8" width="11.7109375" style="659" customWidth="1"/>
    <col min="9" max="9" width="13.140625" style="659" customWidth="1"/>
    <col min="10" max="10" width="11.42578125" style="659" customWidth="1"/>
    <col min="11" max="11" width="14.140625" style="659" customWidth="1"/>
    <col min="12" max="12" width="12.5703125" style="659" customWidth="1"/>
    <col min="13" max="13" width="1.28515625" style="659" customWidth="1"/>
    <col min="14" max="16384" width="9.140625" style="659"/>
  </cols>
  <sheetData>
    <row r="1" spans="1:15" ht="15.75" customHeight="1" x14ac:dyDescent="0.2">
      <c r="A1" s="5471" t="s">
        <v>1136</v>
      </c>
      <c r="B1" s="5471"/>
      <c r="C1" s="5471"/>
      <c r="D1" s="5471"/>
      <c r="E1" s="5471"/>
      <c r="F1" s="5471"/>
      <c r="G1" s="660"/>
      <c r="H1" s="660"/>
      <c r="I1" s="660"/>
      <c r="J1" s="660"/>
      <c r="K1" s="660"/>
      <c r="L1" s="668" t="s">
        <v>1028</v>
      </c>
      <c r="M1" s="660"/>
      <c r="N1" s="660"/>
      <c r="O1" s="660"/>
    </row>
    <row r="2" spans="1:15" ht="17.25" customHeight="1" x14ac:dyDescent="0.25">
      <c r="A2" s="687" t="s">
        <v>1086</v>
      </c>
      <c r="B2" s="670"/>
      <c r="C2" s="670"/>
      <c r="D2" s="670"/>
      <c r="E2" s="670"/>
      <c r="F2" s="670"/>
      <c r="G2" s="660"/>
      <c r="H2" s="660"/>
      <c r="I2" s="660"/>
      <c r="J2" s="660"/>
      <c r="K2" s="660"/>
      <c r="L2" s="668" t="s">
        <v>5183</v>
      </c>
      <c r="M2" s="660"/>
      <c r="N2" s="660"/>
      <c r="O2" s="660"/>
    </row>
    <row r="3" spans="1:15" ht="15.75" customHeight="1" x14ac:dyDescent="0.25">
      <c r="A3" s="687" t="s">
        <v>1027</v>
      </c>
      <c r="B3" s="670"/>
      <c r="C3" s="670"/>
      <c r="D3" s="670"/>
      <c r="E3" s="670"/>
      <c r="F3" s="670"/>
      <c r="G3" s="660"/>
      <c r="H3" s="660"/>
      <c r="I3" s="660"/>
      <c r="J3" s="660"/>
      <c r="K3" s="668"/>
      <c r="L3" s="668" t="s">
        <v>1789</v>
      </c>
      <c r="M3" s="660"/>
      <c r="N3" s="660"/>
      <c r="O3" s="660"/>
    </row>
    <row r="4" spans="1:15" ht="12.75" customHeight="1" x14ac:dyDescent="0.2">
      <c r="A4" s="677"/>
      <c r="B4" s="686"/>
      <c r="C4" s="661"/>
      <c r="D4" s="685"/>
      <c r="E4" s="685"/>
      <c r="F4" s="684"/>
      <c r="G4" s="684"/>
      <c r="H4" s="684"/>
      <c r="I4" s="685"/>
      <c r="J4" s="685"/>
      <c r="K4" s="684"/>
      <c r="L4" s="684"/>
      <c r="M4" s="660"/>
      <c r="N4" s="660"/>
      <c r="O4" s="660"/>
    </row>
    <row r="5" spans="1:15" ht="14.25" customHeight="1" x14ac:dyDescent="0.2">
      <c r="A5" s="3351" t="s">
        <v>1084</v>
      </c>
      <c r="B5" s="5441" t="s">
        <v>1083</v>
      </c>
      <c r="C5" s="5442"/>
      <c r="D5" s="5441" t="s">
        <v>1135</v>
      </c>
      <c r="E5" s="5443"/>
      <c r="F5" s="5442"/>
      <c r="G5" s="5441" t="s">
        <v>1081</v>
      </c>
      <c r="H5" s="5443"/>
      <c r="I5" s="5443"/>
      <c r="J5" s="5443"/>
      <c r="K5" s="5443"/>
      <c r="L5" s="5442"/>
      <c r="M5" s="660"/>
      <c r="N5" s="660"/>
      <c r="O5" s="660"/>
    </row>
    <row r="6" spans="1:15" ht="13.5" customHeight="1" x14ac:dyDescent="0.2">
      <c r="A6" s="676" t="s">
        <v>1080</v>
      </c>
      <c r="B6" s="5444" t="s">
        <v>1079</v>
      </c>
      <c r="C6" s="5445"/>
      <c r="D6" s="5448" t="s">
        <v>1024</v>
      </c>
      <c r="E6" s="5448" t="s">
        <v>1023</v>
      </c>
      <c r="F6" s="5448" t="s">
        <v>1022</v>
      </c>
      <c r="G6" s="5439" t="s">
        <v>1024</v>
      </c>
      <c r="H6" s="5440"/>
      <c r="I6" s="5439" t="s">
        <v>1023</v>
      </c>
      <c r="J6" s="5440"/>
      <c r="K6" s="5439" t="s">
        <v>1022</v>
      </c>
      <c r="L6" s="5440"/>
      <c r="M6" s="660"/>
      <c r="N6" s="660"/>
      <c r="O6" s="660"/>
    </row>
    <row r="7" spans="1:15" ht="14.25" customHeight="1" x14ac:dyDescent="0.2">
      <c r="A7" s="676"/>
      <c r="B7" s="5446"/>
      <c r="C7" s="5447"/>
      <c r="D7" s="5449"/>
      <c r="E7" s="5449"/>
      <c r="F7" s="5449"/>
      <c r="G7" s="3349" t="s">
        <v>1078</v>
      </c>
      <c r="H7" s="3350" t="s">
        <v>1077</v>
      </c>
      <c r="I7" s="3349" t="s">
        <v>1078</v>
      </c>
      <c r="J7" s="3350" t="s">
        <v>1077</v>
      </c>
      <c r="K7" s="3349" t="s">
        <v>1078</v>
      </c>
      <c r="L7" s="3348" t="s">
        <v>1077</v>
      </c>
      <c r="M7" s="660"/>
      <c r="N7" s="660"/>
      <c r="O7" s="660"/>
    </row>
    <row r="8" spans="1:15" ht="15" customHeight="1" thickBot="1" x14ac:dyDescent="0.25">
      <c r="A8" s="675"/>
      <c r="B8" s="674" t="s">
        <v>1134</v>
      </c>
      <c r="C8" s="673" t="s">
        <v>1011</v>
      </c>
      <c r="D8" s="5450" t="s">
        <v>1075</v>
      </c>
      <c r="E8" s="5451"/>
      <c r="F8" s="5452"/>
      <c r="G8" s="5453" t="s">
        <v>1011</v>
      </c>
      <c r="H8" s="5454"/>
      <c r="I8" s="5454"/>
      <c r="J8" s="5454"/>
      <c r="K8" s="5454"/>
      <c r="L8" s="5455"/>
      <c r="M8" s="660"/>
      <c r="N8" s="660"/>
      <c r="O8" s="660"/>
    </row>
    <row r="9" spans="1:15" ht="12.75" customHeight="1" thickTop="1" x14ac:dyDescent="0.2">
      <c r="A9" s="680" t="s">
        <v>1133</v>
      </c>
      <c r="B9" s="3330" t="s">
        <v>986</v>
      </c>
      <c r="C9" s="3330" t="s">
        <v>986</v>
      </c>
      <c r="D9" s="3330" t="s">
        <v>986</v>
      </c>
      <c r="E9" s="3330" t="s">
        <v>986</v>
      </c>
      <c r="F9" s="3330" t="s">
        <v>986</v>
      </c>
      <c r="G9" s="3340">
        <v>0.1196</v>
      </c>
      <c r="H9" s="3340" t="s">
        <v>259</v>
      </c>
      <c r="I9" s="3340" t="s">
        <v>259</v>
      </c>
      <c r="J9" s="3340" t="s">
        <v>259</v>
      </c>
      <c r="K9" s="3340" t="s">
        <v>259</v>
      </c>
      <c r="L9" s="3340" t="s">
        <v>259</v>
      </c>
      <c r="M9" s="660"/>
      <c r="N9" s="660"/>
      <c r="O9" s="660"/>
    </row>
    <row r="10" spans="1:15" ht="12" customHeight="1" x14ac:dyDescent="0.2">
      <c r="A10" s="3354" t="s">
        <v>1132</v>
      </c>
      <c r="B10" s="3330" t="s">
        <v>986</v>
      </c>
      <c r="C10" s="3330" t="s">
        <v>986</v>
      </c>
      <c r="D10" s="3330" t="s">
        <v>986</v>
      </c>
      <c r="E10" s="3330" t="s">
        <v>986</v>
      </c>
      <c r="F10" s="3330" t="s">
        <v>986</v>
      </c>
      <c r="G10" s="3340" t="s">
        <v>259</v>
      </c>
      <c r="H10" s="3340" t="s">
        <v>259</v>
      </c>
      <c r="I10" s="3340" t="s">
        <v>259</v>
      </c>
      <c r="J10" s="3340" t="s">
        <v>259</v>
      </c>
      <c r="K10" s="3330" t="s">
        <v>986</v>
      </c>
      <c r="L10" s="3330" t="s">
        <v>986</v>
      </c>
      <c r="M10" s="660"/>
      <c r="N10" s="660"/>
      <c r="O10" s="660"/>
    </row>
    <row r="11" spans="1:15" ht="12" customHeight="1" x14ac:dyDescent="0.2">
      <c r="A11" s="3359" t="s">
        <v>1131</v>
      </c>
      <c r="B11" s="3333" t="s">
        <v>1047</v>
      </c>
      <c r="C11" s="3333" t="s">
        <v>259</v>
      </c>
      <c r="D11" s="3340" t="s">
        <v>259</v>
      </c>
      <c r="E11" s="3340" t="s">
        <v>259</v>
      </c>
      <c r="F11" s="3330" t="s">
        <v>986</v>
      </c>
      <c r="G11" s="3333" t="s">
        <v>259</v>
      </c>
      <c r="H11" s="3333" t="s">
        <v>259</v>
      </c>
      <c r="I11" s="3333" t="s">
        <v>259</v>
      </c>
      <c r="J11" s="3333" t="s">
        <v>259</v>
      </c>
      <c r="K11" s="3330" t="s">
        <v>986</v>
      </c>
      <c r="L11" s="3330" t="s">
        <v>986</v>
      </c>
      <c r="M11" s="660"/>
      <c r="N11" s="660"/>
      <c r="O11" s="660"/>
    </row>
    <row r="12" spans="1:15" ht="12" customHeight="1" x14ac:dyDescent="0.2">
      <c r="A12" s="3359" t="s">
        <v>1130</v>
      </c>
      <c r="B12" s="3333" t="s">
        <v>1047</v>
      </c>
      <c r="C12" s="3333" t="s">
        <v>259</v>
      </c>
      <c r="D12" s="3340" t="s">
        <v>259</v>
      </c>
      <c r="E12" s="3340" t="s">
        <v>259</v>
      </c>
      <c r="F12" s="3330" t="s">
        <v>986</v>
      </c>
      <c r="G12" s="3333" t="s">
        <v>259</v>
      </c>
      <c r="H12" s="3333" t="s">
        <v>259</v>
      </c>
      <c r="I12" s="3333" t="s">
        <v>259</v>
      </c>
      <c r="J12" s="3333" t="s">
        <v>259</v>
      </c>
      <c r="K12" s="3330" t="s">
        <v>986</v>
      </c>
      <c r="L12" s="3330" t="s">
        <v>986</v>
      </c>
      <c r="M12" s="660"/>
      <c r="N12" s="660"/>
      <c r="O12" s="660"/>
    </row>
    <row r="13" spans="1:15" ht="12" customHeight="1" x14ac:dyDescent="0.2">
      <c r="A13" s="3359" t="s">
        <v>1129</v>
      </c>
      <c r="B13" s="3333" t="s">
        <v>1047</v>
      </c>
      <c r="C13" s="3333" t="s">
        <v>259</v>
      </c>
      <c r="D13" s="3340" t="s">
        <v>259</v>
      </c>
      <c r="E13" s="3340" t="s">
        <v>259</v>
      </c>
      <c r="F13" s="3330" t="s">
        <v>986</v>
      </c>
      <c r="G13" s="3333" t="s">
        <v>259</v>
      </c>
      <c r="H13" s="3333" t="s">
        <v>259</v>
      </c>
      <c r="I13" s="3333" t="s">
        <v>259</v>
      </c>
      <c r="J13" s="3333" t="s">
        <v>259</v>
      </c>
      <c r="K13" s="3330" t="s">
        <v>986</v>
      </c>
      <c r="L13" s="3330" t="s">
        <v>986</v>
      </c>
      <c r="M13" s="660"/>
      <c r="N13" s="660"/>
      <c r="O13" s="660"/>
    </row>
    <row r="14" spans="1:15" ht="12" customHeight="1" x14ac:dyDescent="0.2">
      <c r="A14" s="3359" t="s">
        <v>1128</v>
      </c>
      <c r="B14" s="3333" t="s">
        <v>1047</v>
      </c>
      <c r="C14" s="3333" t="s">
        <v>259</v>
      </c>
      <c r="D14" s="3340" t="s">
        <v>259</v>
      </c>
      <c r="E14" s="3340" t="s">
        <v>259</v>
      </c>
      <c r="F14" s="3330" t="s">
        <v>986</v>
      </c>
      <c r="G14" s="3333" t="s">
        <v>259</v>
      </c>
      <c r="H14" s="3333" t="s">
        <v>259</v>
      </c>
      <c r="I14" s="3333" t="s">
        <v>259</v>
      </c>
      <c r="J14" s="3333" t="s">
        <v>259</v>
      </c>
      <c r="K14" s="3330" t="s">
        <v>986</v>
      </c>
      <c r="L14" s="3330" t="s">
        <v>986</v>
      </c>
      <c r="M14" s="660"/>
      <c r="N14" s="660"/>
      <c r="O14" s="660"/>
    </row>
    <row r="15" spans="1:15" ht="12" customHeight="1" x14ac:dyDescent="0.2">
      <c r="A15" s="3359" t="s">
        <v>1127</v>
      </c>
      <c r="B15" s="3333" t="s">
        <v>1047</v>
      </c>
      <c r="C15" s="3333" t="s">
        <v>259</v>
      </c>
      <c r="D15" s="3340" t="s">
        <v>259</v>
      </c>
      <c r="E15" s="3340" t="s">
        <v>259</v>
      </c>
      <c r="F15" s="3330" t="s">
        <v>986</v>
      </c>
      <c r="G15" s="3333" t="s">
        <v>259</v>
      </c>
      <c r="H15" s="3333" t="s">
        <v>259</v>
      </c>
      <c r="I15" s="3333" t="s">
        <v>259</v>
      </c>
      <c r="J15" s="3333" t="s">
        <v>259</v>
      </c>
      <c r="K15" s="3330" t="s">
        <v>986</v>
      </c>
      <c r="L15" s="3330" t="s">
        <v>986</v>
      </c>
      <c r="M15" s="660"/>
      <c r="N15" s="660"/>
      <c r="O15" s="660"/>
    </row>
    <row r="16" spans="1:15" ht="12" customHeight="1" x14ac:dyDescent="0.2">
      <c r="A16" s="3359" t="s">
        <v>1126</v>
      </c>
      <c r="B16" s="3330" t="s">
        <v>986</v>
      </c>
      <c r="C16" s="3330" t="s">
        <v>986</v>
      </c>
      <c r="D16" s="3330" t="s">
        <v>986</v>
      </c>
      <c r="E16" s="3330" t="s">
        <v>986</v>
      </c>
      <c r="F16" s="3330" t="s">
        <v>986</v>
      </c>
      <c r="G16" s="3340" t="s">
        <v>259</v>
      </c>
      <c r="H16" s="3340" t="s">
        <v>259</v>
      </c>
      <c r="I16" s="3340" t="s">
        <v>259</v>
      </c>
      <c r="J16" s="3340" t="s">
        <v>259</v>
      </c>
      <c r="K16" s="3330" t="s">
        <v>986</v>
      </c>
      <c r="L16" s="3330" t="s">
        <v>986</v>
      </c>
      <c r="M16" s="660"/>
      <c r="N16" s="660"/>
      <c r="O16" s="660"/>
    </row>
    <row r="17" spans="1:15" ht="12" customHeight="1" x14ac:dyDescent="0.2">
      <c r="A17" s="3354" t="s">
        <v>1125</v>
      </c>
      <c r="B17" s="3333" t="s">
        <v>1047</v>
      </c>
      <c r="C17" s="3333" t="s">
        <v>259</v>
      </c>
      <c r="D17" s="3340" t="s">
        <v>259</v>
      </c>
      <c r="E17" s="3340" t="s">
        <v>259</v>
      </c>
      <c r="F17" s="3330" t="s">
        <v>986</v>
      </c>
      <c r="G17" s="3333" t="s">
        <v>259</v>
      </c>
      <c r="H17" s="3333" t="s">
        <v>259</v>
      </c>
      <c r="I17" s="3333" t="s">
        <v>259</v>
      </c>
      <c r="J17" s="3333" t="s">
        <v>259</v>
      </c>
      <c r="K17" s="3330" t="s">
        <v>986</v>
      </c>
      <c r="L17" s="3330" t="s">
        <v>986</v>
      </c>
      <c r="M17" s="660"/>
      <c r="N17" s="660"/>
      <c r="O17" s="660"/>
    </row>
    <row r="18" spans="1:15" ht="12" customHeight="1" x14ac:dyDescent="0.2">
      <c r="A18" s="3354" t="s">
        <v>1124</v>
      </c>
      <c r="B18" s="3333" t="s">
        <v>1047</v>
      </c>
      <c r="C18" s="3333" t="s">
        <v>259</v>
      </c>
      <c r="D18" s="3340" t="s">
        <v>259</v>
      </c>
      <c r="E18" s="3330" t="s">
        <v>986</v>
      </c>
      <c r="F18" s="3330" t="s">
        <v>986</v>
      </c>
      <c r="G18" s="3333" t="s">
        <v>259</v>
      </c>
      <c r="H18" s="3333" t="s">
        <v>259</v>
      </c>
      <c r="I18" s="3330" t="s">
        <v>986</v>
      </c>
      <c r="J18" s="3330" t="s">
        <v>986</v>
      </c>
      <c r="K18" s="3330" t="s">
        <v>986</v>
      </c>
      <c r="L18" s="3330" t="s">
        <v>986</v>
      </c>
      <c r="M18" s="660"/>
      <c r="N18" s="660"/>
      <c r="O18" s="660"/>
    </row>
    <row r="19" spans="1:15" ht="12" customHeight="1" x14ac:dyDescent="0.2">
      <c r="A19" s="3358" t="s">
        <v>1123</v>
      </c>
      <c r="B19" s="3333" t="s">
        <v>1036</v>
      </c>
      <c r="C19" s="3333" t="s">
        <v>259</v>
      </c>
      <c r="D19" s="3340" t="s">
        <v>259</v>
      </c>
      <c r="E19" s="3330" t="s">
        <v>986</v>
      </c>
      <c r="F19" s="3330" t="s">
        <v>986</v>
      </c>
      <c r="G19" s="3333" t="s">
        <v>259</v>
      </c>
      <c r="H19" s="3333" t="s">
        <v>259</v>
      </c>
      <c r="I19" s="3330" t="s">
        <v>986</v>
      </c>
      <c r="J19" s="3330" t="s">
        <v>986</v>
      </c>
      <c r="K19" s="3330" t="s">
        <v>986</v>
      </c>
      <c r="L19" s="3330" t="s">
        <v>986</v>
      </c>
      <c r="M19" s="660"/>
      <c r="N19" s="660"/>
      <c r="O19" s="660"/>
    </row>
    <row r="20" spans="1:15" x14ac:dyDescent="0.2">
      <c r="A20" s="3357" t="s">
        <v>1122</v>
      </c>
      <c r="B20" s="3333" t="s">
        <v>1121</v>
      </c>
      <c r="C20" s="3333">
        <v>0.59799999999999998</v>
      </c>
      <c r="D20" s="3340">
        <v>0.2</v>
      </c>
      <c r="E20" s="3330" t="s">
        <v>986</v>
      </c>
      <c r="F20" s="3330" t="s">
        <v>986</v>
      </c>
      <c r="G20" s="3333">
        <v>0.1196</v>
      </c>
      <c r="H20" s="3333" t="s">
        <v>259</v>
      </c>
      <c r="I20" s="3330" t="s">
        <v>986</v>
      </c>
      <c r="J20" s="3330" t="s">
        <v>986</v>
      </c>
      <c r="K20" s="3330" t="s">
        <v>986</v>
      </c>
      <c r="L20" s="3330" t="s">
        <v>986</v>
      </c>
      <c r="M20" s="660"/>
      <c r="N20" s="660"/>
      <c r="O20" s="660" t="s">
        <v>270</v>
      </c>
    </row>
    <row r="21" spans="1:15" x14ac:dyDescent="0.2">
      <c r="A21" s="3357" t="s">
        <v>1120</v>
      </c>
      <c r="B21" s="3333" t="s">
        <v>1036</v>
      </c>
      <c r="C21" s="3333" t="s">
        <v>259</v>
      </c>
      <c r="D21" s="3340" t="s">
        <v>259</v>
      </c>
      <c r="E21" s="3330" t="s">
        <v>986</v>
      </c>
      <c r="F21" s="3330" t="s">
        <v>986</v>
      </c>
      <c r="G21" s="3333" t="s">
        <v>259</v>
      </c>
      <c r="H21" s="3333" t="s">
        <v>259</v>
      </c>
      <c r="I21" s="3330" t="s">
        <v>986</v>
      </c>
      <c r="J21" s="3330" t="s">
        <v>986</v>
      </c>
      <c r="K21" s="3330" t="s">
        <v>986</v>
      </c>
      <c r="L21" s="3330" t="s">
        <v>986</v>
      </c>
      <c r="M21" s="660"/>
      <c r="N21" s="660"/>
      <c r="O21" s="660"/>
    </row>
    <row r="22" spans="1:15" ht="12" customHeight="1" x14ac:dyDescent="0.2">
      <c r="A22" s="3354" t="s">
        <v>1119</v>
      </c>
      <c r="B22" s="3330" t="s">
        <v>986</v>
      </c>
      <c r="C22" s="3330" t="s">
        <v>986</v>
      </c>
      <c r="D22" s="3330" t="s">
        <v>986</v>
      </c>
      <c r="E22" s="3330" t="s">
        <v>986</v>
      </c>
      <c r="F22" s="3330" t="s">
        <v>986</v>
      </c>
      <c r="G22" s="3340" t="s">
        <v>259</v>
      </c>
      <c r="H22" s="3340" t="s">
        <v>259</v>
      </c>
      <c r="I22" s="3340" t="s">
        <v>259</v>
      </c>
      <c r="J22" s="3340" t="s">
        <v>259</v>
      </c>
      <c r="K22" s="3340" t="s">
        <v>259</v>
      </c>
      <c r="L22" s="3340" t="s">
        <v>259</v>
      </c>
      <c r="M22" s="660"/>
      <c r="N22" s="660"/>
      <c r="O22" s="660"/>
    </row>
    <row r="23" spans="1:15" ht="24" customHeight="1" x14ac:dyDescent="0.2">
      <c r="A23" s="683" t="s">
        <v>1118</v>
      </c>
      <c r="B23" s="3330" t="s">
        <v>986</v>
      </c>
      <c r="C23" s="3330" t="s">
        <v>986</v>
      </c>
      <c r="D23" s="3330" t="s">
        <v>986</v>
      </c>
      <c r="E23" s="3330" t="s">
        <v>986</v>
      </c>
      <c r="F23" s="3330" t="s">
        <v>986</v>
      </c>
      <c r="G23" s="3340">
        <v>160.80104976747583</v>
      </c>
      <c r="H23" s="3340" t="s">
        <v>799</v>
      </c>
      <c r="I23" s="3340">
        <v>2.0425004600000001E-2</v>
      </c>
      <c r="J23" s="3340" t="s">
        <v>799</v>
      </c>
      <c r="K23" s="3340">
        <v>4.8256800000000001E-4</v>
      </c>
      <c r="L23" s="3340" t="s">
        <v>799</v>
      </c>
      <c r="M23" s="660"/>
      <c r="N23" s="660"/>
      <c r="O23" s="660"/>
    </row>
    <row r="24" spans="1:15" ht="12" customHeight="1" x14ac:dyDescent="0.2">
      <c r="A24" s="3354" t="s">
        <v>1009</v>
      </c>
      <c r="B24" s="3333" t="s">
        <v>1117</v>
      </c>
      <c r="C24" s="3333">
        <v>51.32</v>
      </c>
      <c r="D24" s="3340">
        <v>0.61717</v>
      </c>
      <c r="E24" s="3340" t="s">
        <v>799</v>
      </c>
      <c r="F24" s="3340" t="s">
        <v>799</v>
      </c>
      <c r="G24" s="3333">
        <v>31.673164400000001</v>
      </c>
      <c r="H24" s="3333" t="s">
        <v>799</v>
      </c>
      <c r="I24" s="3333" t="s">
        <v>799</v>
      </c>
      <c r="J24" s="3333" t="s">
        <v>799</v>
      </c>
      <c r="K24" s="3333" t="s">
        <v>799</v>
      </c>
      <c r="L24" s="3333" t="s">
        <v>799</v>
      </c>
      <c r="M24" s="660"/>
      <c r="N24" s="660"/>
      <c r="O24" s="660"/>
    </row>
    <row r="25" spans="1:15" ht="12" customHeight="1" x14ac:dyDescent="0.2">
      <c r="A25" s="3354" t="s">
        <v>1008</v>
      </c>
      <c r="B25" s="3333" t="s">
        <v>1116</v>
      </c>
      <c r="C25" s="3333">
        <v>20.106999999999999</v>
      </c>
      <c r="D25" s="3340">
        <v>2.91</v>
      </c>
      <c r="E25" s="3340">
        <v>1.21E-4</v>
      </c>
      <c r="F25" s="3340">
        <v>2.4000000000000001E-5</v>
      </c>
      <c r="G25" s="3333">
        <v>58.511369999999999</v>
      </c>
      <c r="H25" s="3333" t="s">
        <v>799</v>
      </c>
      <c r="I25" s="3333">
        <v>2.432947E-3</v>
      </c>
      <c r="J25" s="3333" t="s">
        <v>799</v>
      </c>
      <c r="K25" s="3333">
        <v>4.8256800000000001E-4</v>
      </c>
      <c r="L25" s="3333" t="s">
        <v>799</v>
      </c>
      <c r="M25" s="660"/>
      <c r="N25" s="660"/>
      <c r="O25" s="660"/>
    </row>
    <row r="26" spans="1:15" ht="12" customHeight="1" x14ac:dyDescent="0.2">
      <c r="A26" s="3354" t="s">
        <v>1115</v>
      </c>
      <c r="B26" s="3330" t="s">
        <v>986</v>
      </c>
      <c r="C26" s="3330" t="s">
        <v>986</v>
      </c>
      <c r="D26" s="3330" t="s">
        <v>986</v>
      </c>
      <c r="E26" s="3330" t="s">
        <v>986</v>
      </c>
      <c r="F26" s="3330" t="s">
        <v>986</v>
      </c>
      <c r="G26" s="3340">
        <v>70.616515367475813</v>
      </c>
      <c r="H26" s="3340" t="s">
        <v>799</v>
      </c>
      <c r="I26" s="3340">
        <v>1.79920576E-2</v>
      </c>
      <c r="J26" s="3340" t="s">
        <v>799</v>
      </c>
      <c r="K26" s="3340" t="s">
        <v>799</v>
      </c>
      <c r="L26" s="3340" t="s">
        <v>799</v>
      </c>
      <c r="M26" s="660"/>
      <c r="N26" s="660"/>
      <c r="O26" s="660"/>
    </row>
    <row r="27" spans="1:15" ht="12" customHeight="1" x14ac:dyDescent="0.2">
      <c r="A27" s="3353" t="s">
        <v>1114</v>
      </c>
      <c r="B27" s="3333" t="s">
        <v>1114</v>
      </c>
      <c r="C27" s="3333">
        <v>729.20330000000001</v>
      </c>
      <c r="D27" s="3340">
        <v>8.3254977213970002E-2</v>
      </c>
      <c r="E27" s="3340" t="s">
        <v>799</v>
      </c>
      <c r="F27" s="3340" t="s">
        <v>799</v>
      </c>
      <c r="G27" s="3333">
        <v>60.709804125849999</v>
      </c>
      <c r="H27" s="3333" t="s">
        <v>799</v>
      </c>
      <c r="I27" s="3333" t="s">
        <v>799</v>
      </c>
      <c r="J27" s="3333" t="s">
        <v>799</v>
      </c>
      <c r="K27" s="3333" t="s">
        <v>799</v>
      </c>
      <c r="L27" s="3333" t="s">
        <v>799</v>
      </c>
      <c r="M27" s="660"/>
      <c r="N27" s="660"/>
      <c r="O27" s="660"/>
    </row>
    <row r="28" spans="1:15" x14ac:dyDescent="0.2">
      <c r="A28" s="3353" t="s">
        <v>1113</v>
      </c>
      <c r="B28" s="3333" t="s">
        <v>1100</v>
      </c>
      <c r="C28" s="3333">
        <v>4089.1039999999998</v>
      </c>
      <c r="D28" s="3340">
        <v>2.3000000000000001E-4</v>
      </c>
      <c r="E28" s="3340">
        <v>4.4000000000000002E-6</v>
      </c>
      <c r="F28" s="3340" t="s">
        <v>799</v>
      </c>
      <c r="G28" s="3333">
        <v>0.94049391999999998</v>
      </c>
      <c r="H28" s="3333" t="s">
        <v>799</v>
      </c>
      <c r="I28" s="3333">
        <v>1.79920576E-2</v>
      </c>
      <c r="J28" s="3333" t="s">
        <v>799</v>
      </c>
      <c r="K28" s="3333" t="s">
        <v>799</v>
      </c>
      <c r="L28" s="3333" t="s">
        <v>799</v>
      </c>
    </row>
    <row r="29" spans="1:15" x14ac:dyDescent="0.2">
      <c r="A29" s="3353" t="s">
        <v>1112</v>
      </c>
      <c r="B29" s="3333" t="s">
        <v>1100</v>
      </c>
      <c r="C29" s="3333">
        <v>58.789000000000001</v>
      </c>
      <c r="D29" s="3340">
        <v>4.0000000000000002E-4</v>
      </c>
      <c r="E29" s="3340" t="s">
        <v>799</v>
      </c>
      <c r="F29" s="3340" t="s">
        <v>799</v>
      </c>
      <c r="G29" s="3333">
        <v>2.3515600000000001E-2</v>
      </c>
      <c r="H29" s="3333" t="s">
        <v>799</v>
      </c>
      <c r="I29" s="3333" t="s">
        <v>799</v>
      </c>
      <c r="J29" s="3333" t="s">
        <v>799</v>
      </c>
      <c r="K29" s="3333" t="s">
        <v>799</v>
      </c>
      <c r="L29" s="3333" t="s">
        <v>799</v>
      </c>
    </row>
    <row r="30" spans="1:15" x14ac:dyDescent="0.2">
      <c r="A30" s="3353" t="s">
        <v>1111</v>
      </c>
      <c r="B30" s="3330" t="s">
        <v>986</v>
      </c>
      <c r="C30" s="3330" t="s">
        <v>986</v>
      </c>
      <c r="D30" s="3330" t="s">
        <v>986</v>
      </c>
      <c r="E30" s="3330" t="s">
        <v>986</v>
      </c>
      <c r="F30" s="3330" t="s">
        <v>986</v>
      </c>
      <c r="G30" s="3340">
        <v>8.94270172162582</v>
      </c>
      <c r="H30" s="3340" t="s">
        <v>799</v>
      </c>
      <c r="I30" s="3340" t="s">
        <v>799</v>
      </c>
      <c r="J30" s="3340" t="s">
        <v>799</v>
      </c>
      <c r="K30" s="3340" t="s">
        <v>799</v>
      </c>
      <c r="L30" s="3340" t="s">
        <v>799</v>
      </c>
    </row>
    <row r="31" spans="1:15" x14ac:dyDescent="0.2">
      <c r="A31" s="3355" t="s">
        <v>1110</v>
      </c>
      <c r="B31" s="3333" t="s">
        <v>1108</v>
      </c>
      <c r="C31" s="3333">
        <v>37.490557217585099</v>
      </c>
      <c r="D31" s="3340">
        <v>0.23853211009174</v>
      </c>
      <c r="E31" s="3340" t="s">
        <v>799</v>
      </c>
      <c r="F31" s="3340" t="s">
        <v>799</v>
      </c>
      <c r="G31" s="3333">
        <v>8.94270172162582</v>
      </c>
      <c r="H31" s="3333" t="s">
        <v>799</v>
      </c>
      <c r="I31" s="3333" t="s">
        <v>799</v>
      </c>
      <c r="J31" s="3333" t="s">
        <v>799</v>
      </c>
      <c r="K31" s="3333" t="s">
        <v>799</v>
      </c>
      <c r="L31" s="3333" t="s">
        <v>799</v>
      </c>
    </row>
    <row r="32" spans="1:15" ht="12" customHeight="1" x14ac:dyDescent="0.2">
      <c r="A32" s="682" t="s">
        <v>992</v>
      </c>
      <c r="B32" s="3330" t="s">
        <v>986</v>
      </c>
      <c r="C32" s="3330" t="s">
        <v>986</v>
      </c>
      <c r="D32" s="3330" t="s">
        <v>986</v>
      </c>
      <c r="E32" s="3330" t="s">
        <v>986</v>
      </c>
      <c r="F32" s="3330" t="s">
        <v>986</v>
      </c>
      <c r="G32" s="3340">
        <v>0.26961617500000001</v>
      </c>
      <c r="H32" s="3340" t="s">
        <v>1006</v>
      </c>
      <c r="I32" s="3340">
        <v>7.2177677499999995E-2</v>
      </c>
      <c r="J32" s="3340" t="s">
        <v>259</v>
      </c>
      <c r="K32" s="3340">
        <v>6.7179522739999997E-2</v>
      </c>
      <c r="L32" s="3340" t="s">
        <v>259</v>
      </c>
      <c r="M32" s="660"/>
      <c r="N32" s="660"/>
      <c r="O32" s="660"/>
    </row>
    <row r="33" spans="1:15" ht="12" customHeight="1" x14ac:dyDescent="0.2">
      <c r="A33" s="681" t="s">
        <v>989</v>
      </c>
      <c r="B33" s="3330" t="s">
        <v>986</v>
      </c>
      <c r="C33" s="3330" t="s">
        <v>986</v>
      </c>
      <c r="D33" s="3330" t="s">
        <v>986</v>
      </c>
      <c r="E33" s="3330" t="s">
        <v>986</v>
      </c>
      <c r="F33" s="3330" t="s">
        <v>986</v>
      </c>
      <c r="G33" s="3330" t="s">
        <v>986</v>
      </c>
      <c r="H33" s="3330" t="s">
        <v>986</v>
      </c>
      <c r="I33" s="3330" t="s">
        <v>986</v>
      </c>
      <c r="J33" s="3330" t="s">
        <v>986</v>
      </c>
      <c r="K33" s="3340">
        <v>5.4482500000000003E-2</v>
      </c>
      <c r="L33" s="3340" t="s">
        <v>259</v>
      </c>
      <c r="M33" s="660"/>
      <c r="N33" s="660"/>
      <c r="O33" s="660"/>
    </row>
    <row r="34" spans="1:15" ht="12" customHeight="1" x14ac:dyDescent="0.2">
      <c r="A34" s="3356" t="s">
        <v>1109</v>
      </c>
      <c r="B34" s="3333" t="s">
        <v>1108</v>
      </c>
      <c r="C34" s="3333">
        <v>3.7999999999999999E-2</v>
      </c>
      <c r="D34" s="3330" t="s">
        <v>986</v>
      </c>
      <c r="E34" s="3330" t="s">
        <v>986</v>
      </c>
      <c r="F34" s="3340">
        <v>1</v>
      </c>
      <c r="G34" s="3330" t="s">
        <v>986</v>
      </c>
      <c r="H34" s="3330" t="s">
        <v>986</v>
      </c>
      <c r="I34" s="3330" t="s">
        <v>986</v>
      </c>
      <c r="J34" s="3330" t="s">
        <v>986</v>
      </c>
      <c r="K34" s="3333">
        <v>3.7999999999999999E-2</v>
      </c>
      <c r="L34" s="3333" t="s">
        <v>259</v>
      </c>
      <c r="M34" s="660"/>
      <c r="N34" s="660"/>
      <c r="O34" s="660"/>
    </row>
    <row r="35" spans="1:15" ht="12" customHeight="1" x14ac:dyDescent="0.2">
      <c r="A35" s="3356" t="s">
        <v>1107</v>
      </c>
      <c r="B35" s="3330" t="s">
        <v>986</v>
      </c>
      <c r="C35" s="3330" t="s">
        <v>986</v>
      </c>
      <c r="D35" s="3330" t="s">
        <v>986</v>
      </c>
      <c r="E35" s="3330" t="s">
        <v>986</v>
      </c>
      <c r="F35" s="3330" t="s">
        <v>986</v>
      </c>
      <c r="G35" s="3330" t="s">
        <v>986</v>
      </c>
      <c r="H35" s="3330" t="s">
        <v>986</v>
      </c>
      <c r="I35" s="3330" t="s">
        <v>986</v>
      </c>
      <c r="J35" s="3330" t="s">
        <v>986</v>
      </c>
      <c r="K35" s="3340">
        <v>1.6482500000000001E-2</v>
      </c>
      <c r="L35" s="3340" t="s">
        <v>259</v>
      </c>
      <c r="M35" s="660"/>
      <c r="N35" s="660"/>
      <c r="O35" s="660"/>
    </row>
    <row r="36" spans="1:15" ht="12" customHeight="1" x14ac:dyDescent="0.2">
      <c r="A36" s="3355" t="s">
        <v>1106</v>
      </c>
      <c r="B36" s="3333" t="s">
        <v>1105</v>
      </c>
      <c r="C36" s="3333">
        <v>0.34699999999999998</v>
      </c>
      <c r="D36" s="3330" t="s">
        <v>986</v>
      </c>
      <c r="E36" s="3330" t="s">
        <v>986</v>
      </c>
      <c r="F36" s="3340">
        <v>4.7500000000000001E-2</v>
      </c>
      <c r="G36" s="3330" t="s">
        <v>986</v>
      </c>
      <c r="H36" s="3330" t="s">
        <v>986</v>
      </c>
      <c r="I36" s="3330" t="s">
        <v>986</v>
      </c>
      <c r="J36" s="3330" t="s">
        <v>986</v>
      </c>
      <c r="K36" s="3333">
        <v>1.6482500000000001E-2</v>
      </c>
      <c r="L36" s="3333" t="s">
        <v>259</v>
      </c>
      <c r="M36" s="660"/>
      <c r="N36" s="660"/>
      <c r="O36" s="660"/>
    </row>
    <row r="37" spans="1:15" ht="12" customHeight="1" x14ac:dyDescent="0.2">
      <c r="A37" s="3354" t="s">
        <v>988</v>
      </c>
      <c r="B37" s="3330" t="s">
        <v>986</v>
      </c>
      <c r="C37" s="3330" t="s">
        <v>986</v>
      </c>
      <c r="D37" s="3330" t="s">
        <v>986</v>
      </c>
      <c r="E37" s="3330" t="s">
        <v>986</v>
      </c>
      <c r="F37" s="3330" t="s">
        <v>986</v>
      </c>
      <c r="G37" s="3340">
        <v>0.26961617500000001</v>
      </c>
      <c r="H37" s="3340" t="s">
        <v>1006</v>
      </c>
      <c r="I37" s="3340">
        <v>7.2177677499999995E-2</v>
      </c>
      <c r="J37" s="3340" t="s">
        <v>259</v>
      </c>
      <c r="K37" s="3340">
        <v>1.2697022739999999E-2</v>
      </c>
      <c r="L37" s="3340" t="s">
        <v>259</v>
      </c>
      <c r="M37" s="660"/>
      <c r="N37" s="660"/>
      <c r="O37" s="660"/>
    </row>
    <row r="38" spans="1:15" ht="12" customHeight="1" x14ac:dyDescent="0.2">
      <c r="A38" s="3353" t="s">
        <v>1103</v>
      </c>
      <c r="B38" s="3333" t="s">
        <v>1102</v>
      </c>
      <c r="C38" s="3333">
        <v>7.9987199999999996</v>
      </c>
      <c r="D38" s="3340" t="s">
        <v>799</v>
      </c>
      <c r="E38" s="3340">
        <v>5.8999999999999999E-3</v>
      </c>
      <c r="F38" s="3340">
        <v>2.9499999999999999E-5</v>
      </c>
      <c r="G38" s="3333" t="s">
        <v>799</v>
      </c>
      <c r="H38" s="3333" t="s">
        <v>799</v>
      </c>
      <c r="I38" s="3333">
        <v>4.7192447999999998E-2</v>
      </c>
      <c r="J38" s="3333" t="s">
        <v>259</v>
      </c>
      <c r="K38" s="3333">
        <v>2.3596224E-4</v>
      </c>
      <c r="L38" s="3333" t="s">
        <v>259</v>
      </c>
      <c r="M38" s="660"/>
      <c r="N38" s="660"/>
      <c r="O38" s="660"/>
    </row>
    <row r="39" spans="1:15" x14ac:dyDescent="0.2">
      <c r="A39" s="3353" t="s">
        <v>1104</v>
      </c>
      <c r="B39" s="3333" t="s">
        <v>1102</v>
      </c>
      <c r="C39" s="3333">
        <v>6.226</v>
      </c>
      <c r="D39" s="3340" t="s">
        <v>799</v>
      </c>
      <c r="E39" s="3340">
        <v>3.1870000000000002E-3</v>
      </c>
      <c r="F39" s="3340">
        <v>6.3999999999999997E-5</v>
      </c>
      <c r="G39" s="3333" t="s">
        <v>799</v>
      </c>
      <c r="H39" s="3333" t="s">
        <v>799</v>
      </c>
      <c r="I39" s="3333">
        <v>1.9842261999999999E-2</v>
      </c>
      <c r="J39" s="3333" t="s">
        <v>259</v>
      </c>
      <c r="K39" s="3333">
        <v>3.9846400000000001E-4</v>
      </c>
      <c r="L39" s="3333" t="s">
        <v>259</v>
      </c>
    </row>
    <row r="40" spans="1:15" x14ac:dyDescent="0.2">
      <c r="A40" s="3353" t="s">
        <v>1101</v>
      </c>
      <c r="B40" s="3333" t="s">
        <v>1100</v>
      </c>
      <c r="C40" s="3333">
        <v>6.2339000000000002</v>
      </c>
      <c r="D40" s="3340">
        <v>4.3249999999999997E-2</v>
      </c>
      <c r="E40" s="3340">
        <v>8.25E-4</v>
      </c>
      <c r="F40" s="3340">
        <v>1.9350000000000001E-3</v>
      </c>
      <c r="G40" s="3333">
        <v>0.26961617500000001</v>
      </c>
      <c r="H40" s="3333" t="s">
        <v>259</v>
      </c>
      <c r="I40" s="3333">
        <v>5.1429674999999998E-3</v>
      </c>
      <c r="J40" s="3333" t="s">
        <v>259</v>
      </c>
      <c r="K40" s="3333">
        <v>1.20625965E-2</v>
      </c>
      <c r="L40" s="3333" t="s">
        <v>259</v>
      </c>
    </row>
    <row r="41" spans="1:15" ht="12" customHeight="1" x14ac:dyDescent="0.2">
      <c r="A41" s="680" t="s">
        <v>1099</v>
      </c>
      <c r="B41" s="3330" t="s">
        <v>986</v>
      </c>
      <c r="C41" s="3330" t="s">
        <v>986</v>
      </c>
      <c r="D41" s="3330" t="s">
        <v>986</v>
      </c>
      <c r="E41" s="3330" t="s">
        <v>986</v>
      </c>
      <c r="F41" s="3330" t="s">
        <v>986</v>
      </c>
      <c r="G41" s="3340" t="s">
        <v>986</v>
      </c>
      <c r="H41" s="3340" t="s">
        <v>986</v>
      </c>
      <c r="I41" s="3340" t="s">
        <v>986</v>
      </c>
      <c r="J41" s="3340" t="s">
        <v>986</v>
      </c>
      <c r="K41" s="3340" t="s">
        <v>986</v>
      </c>
      <c r="L41" s="3340" t="s">
        <v>986</v>
      </c>
      <c r="M41" s="660"/>
      <c r="N41" s="660"/>
      <c r="O41" s="660"/>
    </row>
    <row r="42" spans="1:15" ht="12.75" customHeight="1" x14ac:dyDescent="0.2">
      <c r="A42" s="3352" t="s">
        <v>1098</v>
      </c>
      <c r="B42" s="3333" t="s">
        <v>986</v>
      </c>
      <c r="C42" s="3333" t="s">
        <v>986</v>
      </c>
      <c r="D42" s="3340" t="s">
        <v>986</v>
      </c>
      <c r="E42" s="3340" t="s">
        <v>986</v>
      </c>
      <c r="F42" s="3340" t="s">
        <v>986</v>
      </c>
      <c r="G42" s="3333" t="s">
        <v>986</v>
      </c>
      <c r="H42" s="3333" t="s">
        <v>986</v>
      </c>
      <c r="I42" s="3333" t="s">
        <v>986</v>
      </c>
      <c r="J42" s="3333" t="s">
        <v>986</v>
      </c>
      <c r="K42" s="3333" t="s">
        <v>986</v>
      </c>
      <c r="L42" s="3333" t="s">
        <v>986</v>
      </c>
      <c r="M42" s="679"/>
      <c r="N42" s="660"/>
      <c r="O42" s="660"/>
    </row>
    <row r="43" spans="1:15" ht="12" customHeight="1" x14ac:dyDescent="0.2">
      <c r="A43" s="678" t="s">
        <v>564</v>
      </c>
      <c r="B43" s="663"/>
      <c r="C43" s="663"/>
      <c r="D43" s="663"/>
      <c r="E43" s="663"/>
      <c r="F43" s="663"/>
      <c r="G43" s="663"/>
      <c r="H43" s="663"/>
      <c r="I43" s="663"/>
      <c r="J43" s="663"/>
      <c r="K43" s="663"/>
      <c r="L43" s="663"/>
      <c r="M43" s="660"/>
      <c r="N43" s="660"/>
      <c r="O43" s="660"/>
    </row>
    <row r="44" spans="1:15" ht="13.5" x14ac:dyDescent="0.2">
      <c r="A44" s="5434" t="s">
        <v>1097</v>
      </c>
      <c r="B44" s="5434"/>
      <c r="C44" s="5434"/>
      <c r="D44" s="5434"/>
      <c r="E44" s="5434"/>
      <c r="F44" s="5434"/>
      <c r="G44" s="5434"/>
      <c r="H44" s="5434"/>
      <c r="I44" s="5434"/>
      <c r="J44" s="5434"/>
      <c r="K44" s="5434"/>
      <c r="L44" s="5434"/>
      <c r="M44" s="660"/>
      <c r="N44" s="660"/>
      <c r="O44" s="660"/>
    </row>
    <row r="45" spans="1:15" ht="13.5" x14ac:dyDescent="0.2">
      <c r="A45" s="5456" t="s">
        <v>1096</v>
      </c>
      <c r="B45" s="5456"/>
      <c r="C45" s="5456"/>
      <c r="D45" s="5456"/>
      <c r="E45" s="5456"/>
      <c r="F45" s="5456"/>
      <c r="G45" s="5456"/>
      <c r="H45" s="661"/>
      <c r="I45" s="661"/>
      <c r="J45" s="661"/>
      <c r="K45" s="661"/>
      <c r="L45" s="661"/>
      <c r="M45" s="660"/>
      <c r="N45" s="660"/>
      <c r="O45" s="660"/>
    </row>
    <row r="46" spans="1:15" ht="13.5" customHeight="1" x14ac:dyDescent="0.2">
      <c r="A46" s="5456" t="s">
        <v>1033</v>
      </c>
      <c r="B46" s="5456"/>
      <c r="C46" s="5456"/>
      <c r="D46" s="5456"/>
      <c r="E46" s="5456"/>
      <c r="F46" s="661"/>
      <c r="G46" s="661"/>
      <c r="H46" s="661"/>
      <c r="I46" s="661"/>
      <c r="J46" s="661"/>
      <c r="K46" s="661"/>
      <c r="L46" s="661"/>
      <c r="M46" s="660"/>
      <c r="N46" s="660"/>
      <c r="O46" s="660"/>
    </row>
    <row r="47" spans="1:15" ht="13.5" customHeight="1" x14ac:dyDescent="0.2">
      <c r="A47" s="5456" t="s">
        <v>1032</v>
      </c>
      <c r="B47" s="5456"/>
      <c r="C47" s="661"/>
      <c r="D47" s="661"/>
      <c r="E47" s="661"/>
      <c r="F47" s="661"/>
      <c r="G47" s="661"/>
      <c r="H47" s="661"/>
      <c r="I47" s="661"/>
      <c r="J47" s="661"/>
      <c r="K47" s="661"/>
      <c r="L47" s="661"/>
      <c r="M47" s="660"/>
      <c r="N47" s="660"/>
      <c r="O47" s="660"/>
    </row>
    <row r="48" spans="1:15" ht="29.25" customHeight="1" x14ac:dyDescent="0.2">
      <c r="A48" s="5459" t="s">
        <v>1095</v>
      </c>
      <c r="B48" s="5459"/>
      <c r="C48" s="5459"/>
      <c r="D48" s="5459"/>
      <c r="E48" s="5459"/>
      <c r="F48" s="5459"/>
      <c r="G48" s="5459"/>
      <c r="H48" s="5459"/>
      <c r="I48" s="5459"/>
      <c r="J48" s="5459"/>
      <c r="K48" s="5459"/>
      <c r="L48" s="5459"/>
      <c r="M48" s="660"/>
      <c r="N48" s="660"/>
      <c r="O48" s="660"/>
    </row>
    <row r="49" spans="1:15" ht="13.5" x14ac:dyDescent="0.2">
      <c r="A49" s="5459" t="s">
        <v>1094</v>
      </c>
      <c r="B49" s="5459"/>
      <c r="C49" s="5459"/>
      <c r="D49" s="5459"/>
      <c r="E49" s="5459"/>
      <c r="F49" s="5459"/>
      <c r="G49" s="5459"/>
      <c r="H49" s="5459"/>
      <c r="I49" s="5459"/>
      <c r="J49" s="5459"/>
      <c r="K49" s="5459"/>
      <c r="L49" s="5459"/>
      <c r="M49" s="660"/>
      <c r="N49" s="660"/>
      <c r="O49" s="660"/>
    </row>
    <row r="50" spans="1:15" ht="31.5" customHeight="1" x14ac:dyDescent="0.2">
      <c r="A50" s="5459" t="s">
        <v>1093</v>
      </c>
      <c r="B50" s="5459"/>
      <c r="C50" s="5459"/>
      <c r="D50" s="5459"/>
      <c r="E50" s="5459"/>
      <c r="F50" s="5459"/>
      <c r="G50" s="5459"/>
      <c r="H50" s="5459"/>
      <c r="I50" s="5459"/>
      <c r="J50" s="5459"/>
      <c r="K50" s="5459"/>
      <c r="L50" s="5459"/>
      <c r="M50" s="660"/>
      <c r="N50" s="660"/>
      <c r="O50" s="660"/>
    </row>
    <row r="51" spans="1:15" ht="30" customHeight="1" x14ac:dyDescent="0.2">
      <c r="A51" s="5434" t="s">
        <v>1092</v>
      </c>
      <c r="B51" s="5435"/>
      <c r="C51" s="5435"/>
      <c r="D51" s="5435"/>
      <c r="E51" s="5435"/>
      <c r="F51" s="5435"/>
      <c r="G51" s="5435"/>
      <c r="H51" s="5435"/>
      <c r="I51" s="5435"/>
      <c r="J51" s="5435"/>
      <c r="K51" s="5435"/>
      <c r="L51" s="5435"/>
      <c r="M51" s="660"/>
      <c r="N51" s="660"/>
      <c r="O51" s="660"/>
    </row>
    <row r="52" spans="1:15" ht="12.75" customHeight="1" x14ac:dyDescent="0.2">
      <c r="A52" s="661"/>
      <c r="B52" s="661"/>
      <c r="C52" s="661"/>
      <c r="D52" s="661"/>
      <c r="E52" s="661"/>
      <c r="F52" s="661"/>
      <c r="G52" s="661"/>
      <c r="H52" s="661"/>
      <c r="I52" s="661"/>
      <c r="J52" s="661"/>
      <c r="K52" s="661"/>
      <c r="L52" s="661"/>
      <c r="M52" s="660"/>
      <c r="N52" s="660"/>
      <c r="O52" s="660"/>
    </row>
    <row r="53" spans="1:15" ht="12" customHeight="1" x14ac:dyDescent="0.2">
      <c r="A53" s="5468" t="s">
        <v>1091</v>
      </c>
      <c r="B53" s="5469"/>
      <c r="C53" s="5469"/>
      <c r="D53" s="5469"/>
      <c r="E53" s="5469"/>
      <c r="F53" s="5469"/>
      <c r="G53" s="5469"/>
      <c r="H53" s="5469"/>
      <c r="I53" s="5469"/>
      <c r="J53" s="5469"/>
      <c r="K53" s="5469"/>
      <c r="L53" s="5470"/>
      <c r="M53" s="660"/>
      <c r="N53" s="660"/>
      <c r="O53" s="660"/>
    </row>
    <row r="54" spans="1:15" ht="27" customHeight="1" x14ac:dyDescent="0.2">
      <c r="A54" s="5462" t="s">
        <v>1090</v>
      </c>
      <c r="B54" s="5463"/>
      <c r="C54" s="5463"/>
      <c r="D54" s="5463"/>
      <c r="E54" s="5463"/>
      <c r="F54" s="5463"/>
      <c r="G54" s="5463"/>
      <c r="H54" s="5463"/>
      <c r="I54" s="5463"/>
      <c r="J54" s="5463"/>
      <c r="K54" s="5463"/>
      <c r="L54" s="5464"/>
      <c r="M54" s="660"/>
      <c r="N54" s="660"/>
      <c r="O54" s="660"/>
    </row>
    <row r="55" spans="1:15" ht="15.75" customHeight="1" x14ac:dyDescent="0.2">
      <c r="A55" s="5462" t="s">
        <v>1089</v>
      </c>
      <c r="B55" s="5463"/>
      <c r="C55" s="5463"/>
      <c r="D55" s="5463"/>
      <c r="E55" s="5463"/>
      <c r="F55" s="5463"/>
      <c r="G55" s="5463"/>
      <c r="H55" s="5463"/>
      <c r="I55" s="5463"/>
      <c r="J55" s="5463"/>
      <c r="K55" s="5463"/>
      <c r="L55" s="5464"/>
      <c r="M55" s="660"/>
      <c r="N55" s="660"/>
      <c r="O55" s="660"/>
    </row>
    <row r="56" spans="1:15" ht="12" customHeight="1" x14ac:dyDescent="0.2">
      <c r="A56" s="5465" t="s">
        <v>1088</v>
      </c>
      <c r="B56" s="5466"/>
      <c r="C56" s="5466"/>
      <c r="D56" s="5466"/>
      <c r="E56" s="5466"/>
      <c r="F56" s="5466"/>
      <c r="G56" s="5466"/>
      <c r="H56" s="5466"/>
      <c r="I56" s="5466"/>
      <c r="J56" s="5466"/>
      <c r="K56" s="5466"/>
      <c r="L56" s="5467"/>
      <c r="M56" s="660"/>
      <c r="N56" s="660"/>
      <c r="O56" s="660"/>
    </row>
    <row r="57" spans="1:15" ht="12" customHeight="1" x14ac:dyDescent="0.2">
      <c r="A57" s="3327" t="s">
        <v>980</v>
      </c>
      <c r="B57" s="5425" t="s">
        <v>986</v>
      </c>
      <c r="C57" s="5426"/>
      <c r="D57" s="5426"/>
      <c r="E57" s="5426"/>
      <c r="F57" s="5426"/>
      <c r="G57" s="5426"/>
      <c r="H57" s="5426"/>
      <c r="I57" s="5426"/>
      <c r="J57" s="5426"/>
      <c r="K57" s="5426"/>
      <c r="L57" s="5426"/>
      <c r="M57" s="660"/>
      <c r="N57" s="660"/>
      <c r="O57" s="660"/>
    </row>
    <row r="58" spans="1:15" ht="12" customHeight="1" x14ac:dyDescent="0.2">
      <c r="A58" s="3327" t="s">
        <v>980</v>
      </c>
      <c r="B58" s="5425" t="s">
        <v>986</v>
      </c>
      <c r="C58" s="5461"/>
      <c r="D58" s="5461"/>
      <c r="E58" s="5461"/>
      <c r="F58" s="5461"/>
      <c r="G58" s="5461"/>
      <c r="H58" s="5461"/>
      <c r="I58" s="5461"/>
      <c r="J58" s="5461"/>
      <c r="K58" s="5461"/>
      <c r="L58" s="5461"/>
    </row>
    <row r="59" spans="1:15" ht="12" customHeight="1" x14ac:dyDescent="0.2">
      <c r="A59" s="3327" t="s">
        <v>980</v>
      </c>
      <c r="B59" s="5425" t="s">
        <v>986</v>
      </c>
      <c r="C59" s="5461"/>
      <c r="D59" s="5461"/>
      <c r="E59" s="5461"/>
      <c r="F59" s="5461"/>
      <c r="G59" s="5461"/>
      <c r="H59" s="5461"/>
      <c r="I59" s="5461"/>
      <c r="J59" s="5461"/>
      <c r="K59" s="5461"/>
      <c r="L59" s="5461"/>
    </row>
    <row r="60" spans="1:15" ht="12" customHeight="1" x14ac:dyDescent="0.2">
      <c r="A60" s="3327" t="s">
        <v>980</v>
      </c>
      <c r="B60" s="5425" t="s">
        <v>5184</v>
      </c>
      <c r="C60" s="5461"/>
      <c r="D60" s="5461"/>
      <c r="E60" s="5461"/>
      <c r="F60" s="5461"/>
      <c r="G60" s="5461"/>
      <c r="H60" s="5461"/>
      <c r="I60" s="5461"/>
      <c r="J60" s="5461"/>
      <c r="K60" s="5461"/>
      <c r="L60" s="5461"/>
    </row>
    <row r="61" spans="1:15" ht="12" customHeight="1" x14ac:dyDescent="0.2">
      <c r="A61" s="3327" t="s">
        <v>980</v>
      </c>
      <c r="B61" s="5425" t="s">
        <v>986</v>
      </c>
      <c r="C61" s="5461"/>
      <c r="D61" s="5461"/>
      <c r="E61" s="5461"/>
      <c r="F61" s="5461"/>
      <c r="G61" s="5461"/>
      <c r="H61" s="5461"/>
      <c r="I61" s="5461"/>
      <c r="J61" s="5461"/>
      <c r="K61" s="5461"/>
      <c r="L61" s="5461"/>
    </row>
    <row r="62" spans="1:15" ht="12" customHeight="1" x14ac:dyDescent="0.2">
      <c r="A62" s="3327" t="s">
        <v>980</v>
      </c>
      <c r="B62" s="5425" t="s">
        <v>986</v>
      </c>
      <c r="C62" s="5461"/>
      <c r="D62" s="5461"/>
      <c r="E62" s="5461"/>
      <c r="F62" s="5461"/>
      <c r="G62" s="5461"/>
      <c r="H62" s="5461"/>
      <c r="I62" s="5461"/>
      <c r="J62" s="5461"/>
      <c r="K62" s="5461"/>
      <c r="L62" s="5461"/>
    </row>
    <row r="63" spans="1:15" ht="12" customHeight="1" x14ac:dyDescent="0.2">
      <c r="A63" s="3327" t="s">
        <v>980</v>
      </c>
      <c r="B63" s="5425" t="s">
        <v>986</v>
      </c>
      <c r="C63" s="5461"/>
      <c r="D63" s="5461"/>
      <c r="E63" s="5461"/>
      <c r="F63" s="5461"/>
      <c r="G63" s="5461"/>
      <c r="H63" s="5461"/>
      <c r="I63" s="5461"/>
      <c r="J63" s="5461"/>
      <c r="K63" s="5461"/>
      <c r="L63" s="5461"/>
    </row>
    <row r="64" spans="1:15" ht="12" customHeight="1" x14ac:dyDescent="0.2">
      <c r="A64" s="3327" t="s">
        <v>980</v>
      </c>
      <c r="B64" s="5425" t="s">
        <v>986</v>
      </c>
      <c r="C64" s="5461"/>
      <c r="D64" s="5461"/>
      <c r="E64" s="5461"/>
      <c r="F64" s="5461"/>
      <c r="G64" s="5461"/>
      <c r="H64" s="5461"/>
      <c r="I64" s="5461"/>
      <c r="J64" s="5461"/>
      <c r="K64" s="5461"/>
      <c r="L64" s="5461"/>
    </row>
    <row r="65" spans="1:12" ht="12" customHeight="1" x14ac:dyDescent="0.2">
      <c r="A65" s="3327" t="s">
        <v>980</v>
      </c>
      <c r="B65" s="5425" t="s">
        <v>986</v>
      </c>
      <c r="C65" s="5461"/>
      <c r="D65" s="5461"/>
      <c r="E65" s="5461"/>
      <c r="F65" s="5461"/>
      <c r="G65" s="5461"/>
      <c r="H65" s="5461"/>
      <c r="I65" s="5461"/>
      <c r="J65" s="5461"/>
      <c r="K65" s="5461"/>
      <c r="L65" s="5461"/>
    </row>
    <row r="66" spans="1:12" ht="12" customHeight="1" x14ac:dyDescent="0.2">
      <c r="A66" s="3327" t="s">
        <v>980</v>
      </c>
      <c r="B66" s="5425" t="s">
        <v>986</v>
      </c>
      <c r="C66" s="5461"/>
      <c r="D66" s="5461"/>
      <c r="E66" s="5461"/>
      <c r="F66" s="5461"/>
      <c r="G66" s="5461"/>
      <c r="H66" s="5461"/>
      <c r="I66" s="5461"/>
      <c r="J66" s="5461"/>
      <c r="K66" s="5461"/>
      <c r="L66" s="5461"/>
    </row>
    <row r="67" spans="1:12" ht="12" customHeight="1" x14ac:dyDescent="0.2">
      <c r="A67" s="3327" t="s">
        <v>980</v>
      </c>
      <c r="B67" s="5425" t="s">
        <v>986</v>
      </c>
      <c r="C67" s="5461"/>
      <c r="D67" s="5461"/>
      <c r="E67" s="5461"/>
      <c r="F67" s="5461"/>
      <c r="G67" s="5461"/>
      <c r="H67" s="5461"/>
      <c r="I67" s="5461"/>
      <c r="J67" s="5461"/>
      <c r="K67" s="5461"/>
      <c r="L67" s="5461"/>
    </row>
    <row r="68" spans="1:12" ht="12" customHeight="1" x14ac:dyDescent="0.2">
      <c r="A68" s="3327" t="s">
        <v>980</v>
      </c>
      <c r="B68" s="5425" t="s">
        <v>986</v>
      </c>
      <c r="C68" s="5461"/>
      <c r="D68" s="5461"/>
      <c r="E68" s="5461"/>
      <c r="F68" s="5461"/>
      <c r="G68" s="5461"/>
      <c r="H68" s="5461"/>
      <c r="I68" s="5461"/>
      <c r="J68" s="5461"/>
      <c r="K68" s="5461"/>
      <c r="L68" s="5461"/>
    </row>
    <row r="69" spans="1:12" ht="12" customHeight="1" x14ac:dyDescent="0.2">
      <c r="A69" s="3327" t="s">
        <v>980</v>
      </c>
      <c r="B69" s="5425" t="s">
        <v>986</v>
      </c>
      <c r="C69" s="5461"/>
      <c r="D69" s="5461"/>
      <c r="E69" s="5461"/>
      <c r="F69" s="5461"/>
      <c r="G69" s="5461"/>
      <c r="H69" s="5461"/>
      <c r="I69" s="5461"/>
      <c r="J69" s="5461"/>
      <c r="K69" s="5461"/>
      <c r="L69" s="5461"/>
    </row>
    <row r="70" spans="1:12" ht="12" customHeight="1" x14ac:dyDescent="0.2">
      <c r="A70" s="3327" t="s">
        <v>980</v>
      </c>
      <c r="B70" s="5425" t="s">
        <v>986</v>
      </c>
      <c r="C70" s="5461"/>
      <c r="D70" s="5461"/>
      <c r="E70" s="5461"/>
      <c r="F70" s="5461"/>
      <c r="G70" s="5461"/>
      <c r="H70" s="5461"/>
      <c r="I70" s="5461"/>
      <c r="J70" s="5461"/>
      <c r="K70" s="5461"/>
      <c r="L70" s="5461"/>
    </row>
    <row r="71" spans="1:12" ht="12" customHeight="1" x14ac:dyDescent="0.2">
      <c r="A71" s="3327" t="s">
        <v>980</v>
      </c>
      <c r="B71" s="5425" t="s">
        <v>986</v>
      </c>
      <c r="C71" s="5461"/>
      <c r="D71" s="5461"/>
      <c r="E71" s="5461"/>
      <c r="F71" s="5461"/>
      <c r="G71" s="5461"/>
      <c r="H71" s="5461"/>
      <c r="I71" s="5461"/>
      <c r="J71" s="5461"/>
      <c r="K71" s="5461"/>
      <c r="L71" s="5461"/>
    </row>
    <row r="72" spans="1:12" ht="12" customHeight="1" x14ac:dyDescent="0.2">
      <c r="A72" s="3327" t="s">
        <v>980</v>
      </c>
      <c r="B72" s="5425" t="s">
        <v>986</v>
      </c>
      <c r="C72" s="5461"/>
      <c r="D72" s="5461"/>
      <c r="E72" s="5461"/>
      <c r="F72" s="5461"/>
      <c r="G72" s="5461"/>
      <c r="H72" s="5461"/>
      <c r="I72" s="5461"/>
      <c r="J72" s="5461"/>
      <c r="K72" s="5461"/>
      <c r="L72" s="5461"/>
    </row>
    <row r="73" spans="1:12" ht="12" customHeight="1" x14ac:dyDescent="0.2">
      <c r="A73" s="3327" t="s">
        <v>980</v>
      </c>
      <c r="B73" s="5425" t="s">
        <v>986</v>
      </c>
      <c r="C73" s="5461"/>
      <c r="D73" s="5461"/>
      <c r="E73" s="5461"/>
      <c r="F73" s="5461"/>
      <c r="G73" s="5461"/>
      <c r="H73" s="5461"/>
      <c r="I73" s="5461"/>
      <c r="J73" s="5461"/>
      <c r="K73" s="5461"/>
      <c r="L73" s="5461"/>
    </row>
    <row r="74" spans="1:12" ht="12" customHeight="1" x14ac:dyDescent="0.2">
      <c r="A74" s="3327" t="s">
        <v>980</v>
      </c>
      <c r="B74" s="5425" t="s">
        <v>986</v>
      </c>
      <c r="C74" s="5461"/>
      <c r="D74" s="5461"/>
      <c r="E74" s="5461"/>
      <c r="F74" s="5461"/>
      <c r="G74" s="5461"/>
      <c r="H74" s="5461"/>
      <c r="I74" s="5461"/>
      <c r="J74" s="5461"/>
      <c r="K74" s="5461"/>
      <c r="L74" s="5461"/>
    </row>
    <row r="75" spans="1:12" ht="12" customHeight="1" x14ac:dyDescent="0.2">
      <c r="A75" s="3327" t="s">
        <v>980</v>
      </c>
      <c r="B75" s="5425" t="s">
        <v>986</v>
      </c>
      <c r="C75" s="5461"/>
      <c r="D75" s="5461"/>
      <c r="E75" s="5461"/>
      <c r="F75" s="5461"/>
      <c r="G75" s="5461"/>
      <c r="H75" s="5461"/>
      <c r="I75" s="5461"/>
      <c r="J75" s="5461"/>
      <c r="K75" s="5461"/>
      <c r="L75" s="5461"/>
    </row>
    <row r="76" spans="1:12" ht="12" customHeight="1" x14ac:dyDescent="0.2">
      <c r="A76" s="3327" t="s">
        <v>980</v>
      </c>
      <c r="B76" s="5425" t="s">
        <v>986</v>
      </c>
      <c r="C76" s="5461"/>
      <c r="D76" s="5461"/>
      <c r="E76" s="5461"/>
      <c r="F76" s="5461"/>
      <c r="G76" s="5461"/>
      <c r="H76" s="5461"/>
      <c r="I76" s="5461"/>
      <c r="J76" s="5461"/>
      <c r="K76" s="5461"/>
      <c r="L76" s="5461"/>
    </row>
    <row r="77" spans="1:12" ht="12" customHeight="1" x14ac:dyDescent="0.2">
      <c r="A77" s="3327" t="s">
        <v>980</v>
      </c>
      <c r="B77" s="5425" t="s">
        <v>986</v>
      </c>
      <c r="C77" s="5461"/>
      <c r="D77" s="5461"/>
      <c r="E77" s="5461"/>
      <c r="F77" s="5461"/>
      <c r="G77" s="5461"/>
      <c r="H77" s="5461"/>
      <c r="I77" s="5461"/>
      <c r="J77" s="5461"/>
      <c r="K77" s="5461"/>
      <c r="L77" s="5461"/>
    </row>
    <row r="78" spans="1:12" ht="12" customHeight="1" x14ac:dyDescent="0.2">
      <c r="A78" s="3327" t="s">
        <v>980</v>
      </c>
      <c r="B78" s="5425" t="s">
        <v>986</v>
      </c>
      <c r="C78" s="5461"/>
      <c r="D78" s="5461"/>
      <c r="E78" s="5461"/>
      <c r="F78" s="5461"/>
      <c r="G78" s="5461"/>
      <c r="H78" s="5461"/>
      <c r="I78" s="5461"/>
      <c r="J78" s="5461"/>
      <c r="K78" s="5461"/>
      <c r="L78" s="5461"/>
    </row>
    <row r="79" spans="1:12" ht="12" customHeight="1" x14ac:dyDescent="0.2">
      <c r="A79" s="3327" t="s">
        <v>980</v>
      </c>
      <c r="B79" s="5425" t="s">
        <v>986</v>
      </c>
      <c r="C79" s="5461"/>
      <c r="D79" s="5461"/>
      <c r="E79" s="5461"/>
      <c r="F79" s="5461"/>
      <c r="G79" s="5461"/>
      <c r="H79" s="5461"/>
      <c r="I79" s="5461"/>
      <c r="J79" s="5461"/>
      <c r="K79" s="5461"/>
      <c r="L79" s="5461"/>
    </row>
    <row r="80" spans="1:12" ht="12" customHeight="1" x14ac:dyDescent="0.2">
      <c r="A80" s="3327" t="s">
        <v>980</v>
      </c>
      <c r="B80" s="5425" t="s">
        <v>986</v>
      </c>
      <c r="C80" s="5461"/>
      <c r="D80" s="5461"/>
      <c r="E80" s="5461"/>
      <c r="F80" s="5461"/>
      <c r="G80" s="5461"/>
      <c r="H80" s="5461"/>
      <c r="I80" s="5461"/>
      <c r="J80" s="5461"/>
      <c r="K80" s="5461"/>
      <c r="L80" s="5461"/>
    </row>
    <row r="81" spans="1:12" ht="12" customHeight="1" x14ac:dyDescent="0.2">
      <c r="A81" s="3327" t="s">
        <v>980</v>
      </c>
      <c r="B81" s="5425" t="s">
        <v>986</v>
      </c>
      <c r="C81" s="5461"/>
      <c r="D81" s="5461"/>
      <c r="E81" s="5461"/>
      <c r="F81" s="5461"/>
      <c r="G81" s="5461"/>
      <c r="H81" s="5461"/>
      <c r="I81" s="5461"/>
      <c r="J81" s="5461"/>
      <c r="K81" s="5461"/>
      <c r="L81" s="5461"/>
    </row>
    <row r="82" spans="1:12" ht="12" customHeight="1" x14ac:dyDescent="0.2">
      <c r="A82" s="3327" t="s">
        <v>980</v>
      </c>
      <c r="B82" s="5425" t="s">
        <v>986</v>
      </c>
      <c r="C82" s="5461"/>
      <c r="D82" s="5461"/>
      <c r="E82" s="5461"/>
      <c r="F82" s="5461"/>
      <c r="G82" s="5461"/>
      <c r="H82" s="5461"/>
      <c r="I82" s="5461"/>
      <c r="J82" s="5461"/>
      <c r="K82" s="5461"/>
      <c r="L82" s="5461"/>
    </row>
    <row r="83" spans="1:12" ht="12" customHeight="1" x14ac:dyDescent="0.2">
      <c r="A83" s="3327" t="s">
        <v>980</v>
      </c>
      <c r="B83" s="5425" t="s">
        <v>986</v>
      </c>
      <c r="C83" s="5461"/>
      <c r="D83" s="5461"/>
      <c r="E83" s="5461"/>
      <c r="F83" s="5461"/>
      <c r="G83" s="5461"/>
      <c r="H83" s="5461"/>
      <c r="I83" s="5461"/>
      <c r="J83" s="5461"/>
      <c r="K83" s="5461"/>
      <c r="L83" s="5461"/>
    </row>
    <row r="84" spans="1:12" ht="12" customHeight="1" x14ac:dyDescent="0.2">
      <c r="A84" s="3327" t="s">
        <v>980</v>
      </c>
      <c r="B84" s="5425" t="s">
        <v>986</v>
      </c>
      <c r="C84" s="5472"/>
      <c r="D84" s="5472"/>
      <c r="E84" s="5472"/>
      <c r="F84" s="5472"/>
      <c r="G84" s="5472"/>
      <c r="H84" s="5472"/>
      <c r="I84" s="5472"/>
      <c r="J84" s="5472"/>
      <c r="K84" s="5472"/>
      <c r="L84" s="5472"/>
    </row>
    <row r="85" spans="1:12" ht="12" customHeight="1" x14ac:dyDescent="0.2">
      <c r="A85" s="663"/>
    </row>
  </sheetData>
  <sheetProtection password="A754" sheet="1" objects="1" scenarios="1"/>
  <mergeCells count="53">
    <mergeCell ref="B70:L70"/>
    <mergeCell ref="B71:L71"/>
    <mergeCell ref="B57:L57"/>
    <mergeCell ref="B58:L58"/>
    <mergeCell ref="B59:L59"/>
    <mergeCell ref="B60:L60"/>
    <mergeCell ref="B61:L61"/>
    <mergeCell ref="B64:L64"/>
    <mergeCell ref="B69:L69"/>
    <mergeCell ref="B65:L65"/>
    <mergeCell ref="B66:L66"/>
    <mergeCell ref="B67:L67"/>
    <mergeCell ref="B68:L68"/>
    <mergeCell ref="B83:L83"/>
    <mergeCell ref="B84:L84"/>
    <mergeCell ref="B77:L77"/>
    <mergeCell ref="B78:L78"/>
    <mergeCell ref="B79:L79"/>
    <mergeCell ref="B80:L80"/>
    <mergeCell ref="B81:L81"/>
    <mergeCell ref="B75:L75"/>
    <mergeCell ref="B76:L76"/>
    <mergeCell ref="B82:L82"/>
    <mergeCell ref="B72:L72"/>
    <mergeCell ref="B73:L73"/>
    <mergeCell ref="B74:L74"/>
    <mergeCell ref="A1:F1"/>
    <mergeCell ref="B5:C5"/>
    <mergeCell ref="D5:F5"/>
    <mergeCell ref="G5:L5"/>
    <mergeCell ref="B6:C7"/>
    <mergeCell ref="K6:L6"/>
    <mergeCell ref="D6:D7"/>
    <mergeCell ref="E6:E7"/>
    <mergeCell ref="F6:F7"/>
    <mergeCell ref="G6:H6"/>
    <mergeCell ref="I6:J6"/>
    <mergeCell ref="D8:F8"/>
    <mergeCell ref="G8:L8"/>
    <mergeCell ref="B62:L62"/>
    <mergeCell ref="B63:L63"/>
    <mergeCell ref="A54:L54"/>
    <mergeCell ref="A50:L50"/>
    <mergeCell ref="A46:E46"/>
    <mergeCell ref="A44:L44"/>
    <mergeCell ref="A45:G45"/>
    <mergeCell ref="A55:L55"/>
    <mergeCell ref="A56:L56"/>
    <mergeCell ref="A47:B47"/>
    <mergeCell ref="A48:L48"/>
    <mergeCell ref="A49:L49"/>
    <mergeCell ref="A51:L51"/>
    <mergeCell ref="A53:L53"/>
  </mergeCells>
  <printOptions horizontalCentered="1" verticalCentered="1"/>
  <pageMargins left="0.39370078740157483" right="0.39370078740157483" top="0.39370078740157483" bottom="0.39370078740157483" header="0.19685039370078741" footer="0.19685039370078741"/>
  <pageSetup paperSize="9" scale="61"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3AA05-725E-4FCD-A095-F83DCB255517}">
  <sheetPr codeName="Ark19">
    <tabColor theme="0" tint="-0.14999847407452621"/>
    <pageSetUpPr fitToPage="1"/>
  </sheetPr>
  <dimension ref="A1:AJ93"/>
  <sheetViews>
    <sheetView showGridLines="0" workbookViewId="0">
      <selection sqref="A1:Q1"/>
    </sheetView>
  </sheetViews>
  <sheetFormatPr defaultColWidth="8" defaultRowHeight="15.75" customHeight="1" x14ac:dyDescent="0.2"/>
  <cols>
    <col min="1" max="1" width="40.85546875" style="659" customWidth="1"/>
    <col min="2" max="20" width="8.42578125" style="659" customWidth="1"/>
    <col min="21" max="22" width="9.7109375" style="659" customWidth="1"/>
    <col min="23" max="31" width="8.42578125" style="659" customWidth="1"/>
    <col min="32" max="33" width="9.7109375" style="659" customWidth="1"/>
    <col min="34" max="34" width="10.5703125" style="659" customWidth="1"/>
    <col min="35" max="36" width="8.42578125" style="659" customWidth="1"/>
    <col min="37" max="16384" width="8" style="659"/>
  </cols>
  <sheetData>
    <row r="1" spans="1:36" ht="17.25" customHeight="1" x14ac:dyDescent="0.2">
      <c r="A1" s="5483" t="s">
        <v>1198</v>
      </c>
      <c r="B1" s="5483"/>
      <c r="C1" s="5483"/>
      <c r="D1" s="5483"/>
      <c r="E1" s="5483"/>
      <c r="F1" s="5483"/>
      <c r="G1" s="5483"/>
      <c r="H1" s="5483"/>
      <c r="I1" s="5483"/>
      <c r="J1" s="5483"/>
      <c r="K1" s="5483"/>
      <c r="L1" s="5483"/>
      <c r="M1" s="5483"/>
      <c r="N1" s="5483"/>
      <c r="O1" s="5483"/>
      <c r="P1" s="5483"/>
      <c r="Q1" s="5483"/>
      <c r="R1" s="661"/>
      <c r="S1" s="661"/>
      <c r="T1" s="661"/>
      <c r="U1" s="661"/>
      <c r="V1" s="661"/>
      <c r="W1" s="661"/>
      <c r="X1" s="661"/>
      <c r="Y1" s="661"/>
      <c r="Z1" s="661"/>
      <c r="AA1" s="661"/>
      <c r="AB1" s="661"/>
      <c r="AC1" s="661"/>
      <c r="AD1" s="661"/>
      <c r="AE1" s="661"/>
      <c r="AF1" s="695"/>
      <c r="AG1" s="661"/>
      <c r="AH1" s="661"/>
      <c r="AI1" s="668" t="s">
        <v>1028</v>
      </c>
      <c r="AJ1" s="668"/>
    </row>
    <row r="2" spans="1:36" ht="15.75" customHeight="1" x14ac:dyDescent="0.2">
      <c r="A2" s="687" t="s">
        <v>1197</v>
      </c>
      <c r="B2" s="697"/>
      <c r="C2" s="697"/>
      <c r="D2" s="697"/>
      <c r="E2" s="697"/>
      <c r="F2" s="697"/>
      <c r="G2" s="697"/>
      <c r="H2" s="697"/>
      <c r="I2" s="697"/>
      <c r="J2" s="697"/>
      <c r="K2" s="697"/>
      <c r="L2" s="697"/>
      <c r="M2" s="697"/>
      <c r="N2" s="697"/>
      <c r="O2" s="697"/>
      <c r="P2" s="697"/>
      <c r="Q2" s="697"/>
      <c r="R2" s="661"/>
      <c r="S2" s="661"/>
      <c r="T2" s="661"/>
      <c r="U2" s="661"/>
      <c r="V2" s="661"/>
      <c r="W2" s="661"/>
      <c r="X2" s="661"/>
      <c r="Y2" s="661"/>
      <c r="Z2" s="661"/>
      <c r="AA2" s="661"/>
      <c r="AB2" s="661"/>
      <c r="AC2" s="661"/>
      <c r="AD2" s="661"/>
      <c r="AE2" s="661"/>
      <c r="AF2" s="695"/>
      <c r="AG2" s="668"/>
      <c r="AH2" s="668"/>
      <c r="AI2" s="668" t="s">
        <v>5183</v>
      </c>
      <c r="AJ2" s="668"/>
    </row>
    <row r="3" spans="1:36" ht="15.75" customHeight="1" x14ac:dyDescent="0.2">
      <c r="A3" s="696"/>
      <c r="B3" s="661"/>
      <c r="C3" s="661"/>
      <c r="D3" s="661"/>
      <c r="E3" s="661"/>
      <c r="F3" s="661"/>
      <c r="G3" s="661"/>
      <c r="H3" s="661"/>
      <c r="I3" s="661"/>
      <c r="J3" s="661"/>
      <c r="K3" s="661"/>
      <c r="L3" s="661"/>
      <c r="M3" s="661"/>
      <c r="N3" s="661"/>
      <c r="O3" s="661"/>
      <c r="P3" s="661"/>
      <c r="Q3" s="661"/>
      <c r="R3" s="661"/>
      <c r="S3" s="661"/>
      <c r="T3" s="661"/>
      <c r="U3" s="661"/>
      <c r="V3" s="661"/>
      <c r="W3" s="661"/>
      <c r="X3" s="661"/>
      <c r="Y3" s="661"/>
      <c r="Z3" s="661"/>
      <c r="AA3" s="661"/>
      <c r="AB3" s="661"/>
      <c r="AC3" s="661"/>
      <c r="AD3" s="661"/>
      <c r="AE3" s="661"/>
      <c r="AF3" s="695"/>
      <c r="AG3" s="668"/>
      <c r="AH3" s="668"/>
      <c r="AI3" s="668" t="s">
        <v>1789</v>
      </c>
      <c r="AJ3" s="668"/>
    </row>
    <row r="4" spans="1:36" ht="16.5" customHeight="1" x14ac:dyDescent="0.2">
      <c r="A4" s="677"/>
      <c r="B4" s="661"/>
      <c r="C4" s="661"/>
      <c r="D4" s="661"/>
      <c r="E4" s="661"/>
      <c r="F4" s="661"/>
      <c r="G4" s="661"/>
      <c r="H4" s="661"/>
      <c r="I4" s="661"/>
      <c r="J4" s="661"/>
      <c r="K4" s="661"/>
      <c r="L4" s="661"/>
      <c r="M4" s="661"/>
      <c r="N4" s="661"/>
      <c r="O4" s="661"/>
      <c r="P4" s="661"/>
      <c r="Q4" s="661"/>
      <c r="R4" s="661"/>
      <c r="S4" s="661"/>
      <c r="T4" s="661"/>
      <c r="U4" s="661"/>
      <c r="V4" s="661"/>
      <c r="W4" s="661"/>
      <c r="X4" s="661"/>
      <c r="Y4" s="661"/>
      <c r="Z4" s="661"/>
      <c r="AA4" s="661"/>
      <c r="AB4" s="661"/>
      <c r="AC4" s="661"/>
      <c r="AD4" s="661"/>
      <c r="AE4" s="661"/>
      <c r="AF4" s="661"/>
      <c r="AG4" s="661"/>
      <c r="AH4" s="661"/>
      <c r="AI4" s="661"/>
      <c r="AJ4" s="661"/>
    </row>
    <row r="5" spans="1:36" ht="78" customHeight="1" x14ac:dyDescent="0.2">
      <c r="A5" s="5484" t="s">
        <v>1025</v>
      </c>
      <c r="B5" s="3381" t="s">
        <v>1196</v>
      </c>
      <c r="C5" s="3378" t="s">
        <v>1195</v>
      </c>
      <c r="D5" s="3378" t="s">
        <v>1194</v>
      </c>
      <c r="E5" s="3378" t="s">
        <v>1193</v>
      </c>
      <c r="F5" s="3378" t="s">
        <v>1192</v>
      </c>
      <c r="G5" s="3378" t="s">
        <v>1191</v>
      </c>
      <c r="H5" s="3378" t="s">
        <v>1190</v>
      </c>
      <c r="I5" s="3378" t="s">
        <v>1189</v>
      </c>
      <c r="J5" s="3378" t="s">
        <v>1188</v>
      </c>
      <c r="K5" s="3378" t="s">
        <v>1187</v>
      </c>
      <c r="L5" s="3378" t="s">
        <v>1186</v>
      </c>
      <c r="M5" s="3378" t="s">
        <v>1185</v>
      </c>
      <c r="N5" s="3378" t="s">
        <v>1184</v>
      </c>
      <c r="O5" s="3378" t="s">
        <v>1183</v>
      </c>
      <c r="P5" s="3378" t="s">
        <v>1182</v>
      </c>
      <c r="Q5" s="3378" t="s">
        <v>1181</v>
      </c>
      <c r="R5" s="3378" t="s">
        <v>1180</v>
      </c>
      <c r="S5" s="3376" t="s">
        <v>1179</v>
      </c>
      <c r="T5" s="3376" t="s">
        <v>1178</v>
      </c>
      <c r="U5" s="3377" t="s">
        <v>1177</v>
      </c>
      <c r="V5" s="3378" t="s">
        <v>1176</v>
      </c>
      <c r="W5" s="3380" t="s">
        <v>1175</v>
      </c>
      <c r="X5" s="3380" t="s">
        <v>1174</v>
      </c>
      <c r="Y5" s="3380" t="s">
        <v>1173</v>
      </c>
      <c r="Z5" s="3380" t="s">
        <v>1172</v>
      </c>
      <c r="AA5" s="3380" t="s">
        <v>1171</v>
      </c>
      <c r="AB5" s="3380" t="s">
        <v>1170</v>
      </c>
      <c r="AC5" s="3380" t="s">
        <v>1169</v>
      </c>
      <c r="AD5" s="3379" t="s">
        <v>1168</v>
      </c>
      <c r="AE5" s="3379" t="s">
        <v>1167</v>
      </c>
      <c r="AF5" s="3377" t="s">
        <v>1166</v>
      </c>
      <c r="AG5" s="3378" t="s">
        <v>1165</v>
      </c>
      <c r="AH5" s="3377" t="s">
        <v>1019</v>
      </c>
      <c r="AI5" s="3376" t="s">
        <v>1018</v>
      </c>
      <c r="AJ5" s="3375" t="s">
        <v>1164</v>
      </c>
    </row>
    <row r="6" spans="1:36" ht="40.5" customHeight="1" thickBot="1" x14ac:dyDescent="0.25">
      <c r="A6" s="5485"/>
      <c r="B6" s="5431" t="s">
        <v>1163</v>
      </c>
      <c r="C6" s="5432"/>
      <c r="D6" s="5432"/>
      <c r="E6" s="5432"/>
      <c r="F6" s="5432"/>
      <c r="G6" s="5432"/>
      <c r="H6" s="5432"/>
      <c r="I6" s="5432"/>
      <c r="J6" s="5432"/>
      <c r="K6" s="5432"/>
      <c r="L6" s="5432"/>
      <c r="M6" s="5432"/>
      <c r="N6" s="5432"/>
      <c r="O6" s="5432"/>
      <c r="P6" s="5432"/>
      <c r="Q6" s="5432"/>
      <c r="R6" s="5433"/>
      <c r="S6" s="3297"/>
      <c r="T6" s="3297"/>
      <c r="U6" s="5481" t="s">
        <v>1151</v>
      </c>
      <c r="V6" s="5482"/>
      <c r="W6" s="5431" t="s">
        <v>1163</v>
      </c>
      <c r="X6" s="5432"/>
      <c r="Y6" s="5432"/>
      <c r="Z6" s="5432"/>
      <c r="AA6" s="5432"/>
      <c r="AB6" s="5432"/>
      <c r="AC6" s="5433"/>
      <c r="AD6" s="3297"/>
      <c r="AE6" s="3297"/>
      <c r="AF6" s="5481" t="s">
        <v>1151</v>
      </c>
      <c r="AG6" s="5482"/>
      <c r="AH6" s="694" t="s">
        <v>1012</v>
      </c>
      <c r="AI6" s="3296" t="s">
        <v>1163</v>
      </c>
      <c r="AJ6" s="693" t="s">
        <v>1163</v>
      </c>
    </row>
    <row r="7" spans="1:36" ht="26.25" thickTop="1" x14ac:dyDescent="0.2">
      <c r="A7" s="690" t="s">
        <v>1162</v>
      </c>
      <c r="B7" s="3362" t="s">
        <v>1006</v>
      </c>
      <c r="C7" s="3362">
        <v>13.5704079911</v>
      </c>
      <c r="D7" s="3362" t="s">
        <v>1006</v>
      </c>
      <c r="E7" s="3362" t="s">
        <v>1006</v>
      </c>
      <c r="F7" s="3362">
        <v>43.036497141300003</v>
      </c>
      <c r="G7" s="3362" t="s">
        <v>1006</v>
      </c>
      <c r="H7" s="3362">
        <v>124.264463514523</v>
      </c>
      <c r="I7" s="3362" t="s">
        <v>1006</v>
      </c>
      <c r="J7" s="3362">
        <v>33.369211423789999</v>
      </c>
      <c r="K7" s="3362" t="s">
        <v>1006</v>
      </c>
      <c r="L7" s="3362">
        <v>5.6230200000000004</v>
      </c>
      <c r="M7" s="3362" t="s">
        <v>1006</v>
      </c>
      <c r="N7" s="3362" t="s">
        <v>1006</v>
      </c>
      <c r="O7" s="3362" t="s">
        <v>1006</v>
      </c>
      <c r="P7" s="3362" t="s">
        <v>1006</v>
      </c>
      <c r="Q7" s="3362" t="s">
        <v>1006</v>
      </c>
      <c r="R7" s="3362" t="s">
        <v>1006</v>
      </c>
      <c r="S7" s="3362" t="s">
        <v>1006</v>
      </c>
      <c r="T7" s="3362" t="s">
        <v>1006</v>
      </c>
      <c r="U7" s="3362">
        <v>2.6744551570899999E-3</v>
      </c>
      <c r="V7" s="3363" t="s">
        <v>986</v>
      </c>
      <c r="W7" s="3362">
        <v>9.9776250000000008E-4</v>
      </c>
      <c r="X7" s="3362" t="s">
        <v>1006</v>
      </c>
      <c r="Y7" s="3362" t="s">
        <v>1006</v>
      </c>
      <c r="Z7" s="3362" t="s">
        <v>1006</v>
      </c>
      <c r="AA7" s="3362" t="s">
        <v>1006</v>
      </c>
      <c r="AB7" s="3362" t="s">
        <v>1006</v>
      </c>
      <c r="AC7" s="3362" t="s">
        <v>1006</v>
      </c>
      <c r="AD7" s="3362" t="s">
        <v>1006</v>
      </c>
      <c r="AE7" s="3362" t="s">
        <v>1006</v>
      </c>
      <c r="AF7" s="3362" t="s">
        <v>1006</v>
      </c>
      <c r="AG7" s="3363" t="s">
        <v>986</v>
      </c>
      <c r="AH7" s="3362" t="s">
        <v>1006</v>
      </c>
      <c r="AI7" s="3362">
        <v>3.20980432046</v>
      </c>
      <c r="AJ7" s="3362" t="s">
        <v>1006</v>
      </c>
    </row>
    <row r="8" spans="1:36" ht="12" x14ac:dyDescent="0.2">
      <c r="A8" s="690" t="s">
        <v>1161</v>
      </c>
      <c r="B8" s="3362" t="s">
        <v>1006</v>
      </c>
      <c r="C8" s="3362" t="s">
        <v>1006</v>
      </c>
      <c r="D8" s="3362" t="s">
        <v>1006</v>
      </c>
      <c r="E8" s="3362" t="s">
        <v>1006</v>
      </c>
      <c r="F8" s="3362" t="s">
        <v>1006</v>
      </c>
      <c r="G8" s="3362" t="s">
        <v>1006</v>
      </c>
      <c r="H8" s="3362" t="s">
        <v>1006</v>
      </c>
      <c r="I8" s="3362" t="s">
        <v>1006</v>
      </c>
      <c r="J8" s="3362" t="s">
        <v>1006</v>
      </c>
      <c r="K8" s="3362" t="s">
        <v>1006</v>
      </c>
      <c r="L8" s="3362" t="s">
        <v>1006</v>
      </c>
      <c r="M8" s="3362" t="s">
        <v>1006</v>
      </c>
      <c r="N8" s="3362" t="s">
        <v>1006</v>
      </c>
      <c r="O8" s="3362" t="s">
        <v>1006</v>
      </c>
      <c r="P8" s="3362" t="s">
        <v>1006</v>
      </c>
      <c r="Q8" s="3362" t="s">
        <v>1006</v>
      </c>
      <c r="R8" s="3362" t="s">
        <v>1006</v>
      </c>
      <c r="S8" s="3362" t="s">
        <v>1006</v>
      </c>
      <c r="T8" s="3362" t="s">
        <v>1006</v>
      </c>
      <c r="U8" s="3362" t="s">
        <v>1006</v>
      </c>
      <c r="V8" s="3363" t="s">
        <v>986</v>
      </c>
      <c r="W8" s="3362" t="s">
        <v>1006</v>
      </c>
      <c r="X8" s="3362" t="s">
        <v>1006</v>
      </c>
      <c r="Y8" s="3362" t="s">
        <v>1006</v>
      </c>
      <c r="Z8" s="3362" t="s">
        <v>1006</v>
      </c>
      <c r="AA8" s="3362" t="s">
        <v>1006</v>
      </c>
      <c r="AB8" s="3362" t="s">
        <v>1006</v>
      </c>
      <c r="AC8" s="3362" t="s">
        <v>1006</v>
      </c>
      <c r="AD8" s="3362" t="s">
        <v>1006</v>
      </c>
      <c r="AE8" s="3362" t="s">
        <v>1006</v>
      </c>
      <c r="AF8" s="3362" t="s">
        <v>1006</v>
      </c>
      <c r="AG8" s="3363" t="s">
        <v>986</v>
      </c>
      <c r="AH8" s="3362" t="s">
        <v>1006</v>
      </c>
      <c r="AI8" s="3362" t="s">
        <v>1006</v>
      </c>
      <c r="AJ8" s="3362" t="s">
        <v>1006</v>
      </c>
    </row>
    <row r="9" spans="1:36" ht="12" x14ac:dyDescent="0.2">
      <c r="A9" s="3370" t="s">
        <v>1160</v>
      </c>
      <c r="B9" s="3362" t="s">
        <v>259</v>
      </c>
      <c r="C9" s="3362" t="s">
        <v>259</v>
      </c>
      <c r="D9" s="3362" t="s">
        <v>259</v>
      </c>
      <c r="E9" s="3362" t="s">
        <v>259</v>
      </c>
      <c r="F9" s="3362" t="s">
        <v>259</v>
      </c>
      <c r="G9" s="3362" t="s">
        <v>259</v>
      </c>
      <c r="H9" s="3362" t="s">
        <v>259</v>
      </c>
      <c r="I9" s="3362" t="s">
        <v>259</v>
      </c>
      <c r="J9" s="3362" t="s">
        <v>259</v>
      </c>
      <c r="K9" s="3362" t="s">
        <v>259</v>
      </c>
      <c r="L9" s="3362" t="s">
        <v>259</v>
      </c>
      <c r="M9" s="3362" t="s">
        <v>259</v>
      </c>
      <c r="N9" s="3362" t="s">
        <v>259</v>
      </c>
      <c r="O9" s="3362" t="s">
        <v>259</v>
      </c>
      <c r="P9" s="3362" t="s">
        <v>259</v>
      </c>
      <c r="Q9" s="3362" t="s">
        <v>259</v>
      </c>
      <c r="R9" s="3362" t="s">
        <v>259</v>
      </c>
      <c r="S9" s="3362" t="s">
        <v>259</v>
      </c>
      <c r="T9" s="3362" t="s">
        <v>259</v>
      </c>
      <c r="U9" s="3362" t="s">
        <v>259</v>
      </c>
      <c r="V9" s="3363" t="s">
        <v>986</v>
      </c>
      <c r="W9" s="3362" t="s">
        <v>259</v>
      </c>
      <c r="X9" s="3362" t="s">
        <v>259</v>
      </c>
      <c r="Y9" s="3362" t="s">
        <v>259</v>
      </c>
      <c r="Z9" s="3362" t="s">
        <v>259</v>
      </c>
      <c r="AA9" s="3362" t="s">
        <v>259</v>
      </c>
      <c r="AB9" s="3362" t="s">
        <v>259</v>
      </c>
      <c r="AC9" s="3362" t="s">
        <v>259</v>
      </c>
      <c r="AD9" s="3362" t="s">
        <v>259</v>
      </c>
      <c r="AE9" s="3362" t="s">
        <v>259</v>
      </c>
      <c r="AF9" s="3362" t="s">
        <v>259</v>
      </c>
      <c r="AG9" s="3363" t="s">
        <v>986</v>
      </c>
      <c r="AH9" s="3362" t="s">
        <v>259</v>
      </c>
      <c r="AI9" s="3362" t="s">
        <v>259</v>
      </c>
      <c r="AJ9" s="3362" t="s">
        <v>259</v>
      </c>
    </row>
    <row r="10" spans="1:36" ht="12" x14ac:dyDescent="0.2">
      <c r="A10" s="3374" t="s">
        <v>1159</v>
      </c>
      <c r="B10" s="3362" t="s">
        <v>259</v>
      </c>
      <c r="C10" s="3362" t="s">
        <v>259</v>
      </c>
      <c r="D10" s="3362" t="s">
        <v>259</v>
      </c>
      <c r="E10" s="3362" t="s">
        <v>259</v>
      </c>
      <c r="F10" s="3362" t="s">
        <v>259</v>
      </c>
      <c r="G10" s="3362" t="s">
        <v>259</v>
      </c>
      <c r="H10" s="3362" t="s">
        <v>259</v>
      </c>
      <c r="I10" s="3362" t="s">
        <v>259</v>
      </c>
      <c r="J10" s="3362" t="s">
        <v>259</v>
      </c>
      <c r="K10" s="3362" t="s">
        <v>259</v>
      </c>
      <c r="L10" s="3362" t="s">
        <v>259</v>
      </c>
      <c r="M10" s="3362" t="s">
        <v>259</v>
      </c>
      <c r="N10" s="3362" t="s">
        <v>259</v>
      </c>
      <c r="O10" s="3362" t="s">
        <v>259</v>
      </c>
      <c r="P10" s="3362" t="s">
        <v>259</v>
      </c>
      <c r="Q10" s="3362" t="s">
        <v>259</v>
      </c>
      <c r="R10" s="3362" t="s">
        <v>259</v>
      </c>
      <c r="S10" s="3362" t="s">
        <v>259</v>
      </c>
      <c r="T10" s="3362" t="s">
        <v>259</v>
      </c>
      <c r="U10" s="3362" t="s">
        <v>259</v>
      </c>
      <c r="V10" s="3363" t="s">
        <v>986</v>
      </c>
      <c r="W10" s="3362" t="s">
        <v>259</v>
      </c>
      <c r="X10" s="3362" t="s">
        <v>259</v>
      </c>
      <c r="Y10" s="3362" t="s">
        <v>259</v>
      </c>
      <c r="Z10" s="3362" t="s">
        <v>259</v>
      </c>
      <c r="AA10" s="3362" t="s">
        <v>259</v>
      </c>
      <c r="AB10" s="3362" t="s">
        <v>259</v>
      </c>
      <c r="AC10" s="3362" t="s">
        <v>259</v>
      </c>
      <c r="AD10" s="3362" t="s">
        <v>259</v>
      </c>
      <c r="AE10" s="3362" t="s">
        <v>259</v>
      </c>
      <c r="AF10" s="3362" t="s">
        <v>259</v>
      </c>
      <c r="AG10" s="3363" t="s">
        <v>986</v>
      </c>
      <c r="AH10" s="3362" t="s">
        <v>259</v>
      </c>
      <c r="AI10" s="3362" t="s">
        <v>259</v>
      </c>
      <c r="AJ10" s="3362" t="s">
        <v>259</v>
      </c>
    </row>
    <row r="11" spans="1:36" ht="12" x14ac:dyDescent="0.2">
      <c r="A11" s="3374" t="s">
        <v>1158</v>
      </c>
      <c r="B11" s="3362" t="s">
        <v>259</v>
      </c>
      <c r="C11" s="3362" t="s">
        <v>259</v>
      </c>
      <c r="D11" s="3362" t="s">
        <v>259</v>
      </c>
      <c r="E11" s="3362" t="s">
        <v>259</v>
      </c>
      <c r="F11" s="3362" t="s">
        <v>259</v>
      </c>
      <c r="G11" s="3362" t="s">
        <v>259</v>
      </c>
      <c r="H11" s="3362" t="s">
        <v>259</v>
      </c>
      <c r="I11" s="3362" t="s">
        <v>259</v>
      </c>
      <c r="J11" s="3362" t="s">
        <v>259</v>
      </c>
      <c r="K11" s="3362" t="s">
        <v>259</v>
      </c>
      <c r="L11" s="3362" t="s">
        <v>259</v>
      </c>
      <c r="M11" s="3362" t="s">
        <v>259</v>
      </c>
      <c r="N11" s="3362" t="s">
        <v>259</v>
      </c>
      <c r="O11" s="3362" t="s">
        <v>259</v>
      </c>
      <c r="P11" s="3362" t="s">
        <v>259</v>
      </c>
      <c r="Q11" s="3362" t="s">
        <v>259</v>
      </c>
      <c r="R11" s="3362" t="s">
        <v>259</v>
      </c>
      <c r="S11" s="3362" t="s">
        <v>259</v>
      </c>
      <c r="T11" s="3362" t="s">
        <v>259</v>
      </c>
      <c r="U11" s="3362" t="s">
        <v>259</v>
      </c>
      <c r="V11" s="3363" t="s">
        <v>986</v>
      </c>
      <c r="W11" s="3362" t="s">
        <v>259</v>
      </c>
      <c r="X11" s="3362" t="s">
        <v>259</v>
      </c>
      <c r="Y11" s="3362" t="s">
        <v>259</v>
      </c>
      <c r="Z11" s="3362" t="s">
        <v>259</v>
      </c>
      <c r="AA11" s="3362" t="s">
        <v>259</v>
      </c>
      <c r="AB11" s="3362" t="s">
        <v>259</v>
      </c>
      <c r="AC11" s="3362" t="s">
        <v>259</v>
      </c>
      <c r="AD11" s="3362" t="s">
        <v>259</v>
      </c>
      <c r="AE11" s="3362" t="s">
        <v>259</v>
      </c>
      <c r="AF11" s="3362" t="s">
        <v>259</v>
      </c>
      <c r="AG11" s="3363" t="s">
        <v>986</v>
      </c>
      <c r="AH11" s="3362" t="s">
        <v>259</v>
      </c>
      <c r="AI11" s="3362" t="s">
        <v>259</v>
      </c>
      <c r="AJ11" s="3362" t="s">
        <v>259</v>
      </c>
    </row>
    <row r="12" spans="1:36" ht="12" x14ac:dyDescent="0.2">
      <c r="A12" s="3370" t="s">
        <v>1157</v>
      </c>
      <c r="B12" s="3362" t="s">
        <v>799</v>
      </c>
      <c r="C12" s="3362" t="s">
        <v>799</v>
      </c>
      <c r="D12" s="3362" t="s">
        <v>799</v>
      </c>
      <c r="E12" s="3362" t="s">
        <v>799</v>
      </c>
      <c r="F12" s="3362" t="s">
        <v>799</v>
      </c>
      <c r="G12" s="3362" t="s">
        <v>799</v>
      </c>
      <c r="H12" s="3362" t="s">
        <v>799</v>
      </c>
      <c r="I12" s="3362" t="s">
        <v>799</v>
      </c>
      <c r="J12" s="3362" t="s">
        <v>799</v>
      </c>
      <c r="K12" s="3362" t="s">
        <v>799</v>
      </c>
      <c r="L12" s="3362" t="s">
        <v>799</v>
      </c>
      <c r="M12" s="3362" t="s">
        <v>799</v>
      </c>
      <c r="N12" s="3362" t="s">
        <v>799</v>
      </c>
      <c r="O12" s="3362" t="s">
        <v>799</v>
      </c>
      <c r="P12" s="3362" t="s">
        <v>799</v>
      </c>
      <c r="Q12" s="3362" t="s">
        <v>799</v>
      </c>
      <c r="R12" s="3362" t="s">
        <v>799</v>
      </c>
      <c r="S12" s="3362" t="s">
        <v>799</v>
      </c>
      <c r="T12" s="3362" t="s">
        <v>799</v>
      </c>
      <c r="U12" s="3362" t="s">
        <v>799</v>
      </c>
      <c r="V12" s="3363" t="s">
        <v>986</v>
      </c>
      <c r="W12" s="3362" t="s">
        <v>799</v>
      </c>
      <c r="X12" s="3362" t="s">
        <v>799</v>
      </c>
      <c r="Y12" s="3362" t="s">
        <v>799</v>
      </c>
      <c r="Z12" s="3362" t="s">
        <v>799</v>
      </c>
      <c r="AA12" s="3362" t="s">
        <v>799</v>
      </c>
      <c r="AB12" s="3362" t="s">
        <v>799</v>
      </c>
      <c r="AC12" s="3362" t="s">
        <v>799</v>
      </c>
      <c r="AD12" s="3362" t="s">
        <v>799</v>
      </c>
      <c r="AE12" s="3362" t="s">
        <v>799</v>
      </c>
      <c r="AF12" s="3362" t="s">
        <v>799</v>
      </c>
      <c r="AG12" s="3363" t="s">
        <v>986</v>
      </c>
      <c r="AH12" s="3362" t="s">
        <v>799</v>
      </c>
      <c r="AI12" s="3362" t="s">
        <v>799</v>
      </c>
      <c r="AJ12" s="3362" t="s">
        <v>799</v>
      </c>
    </row>
    <row r="13" spans="1:36" ht="12" x14ac:dyDescent="0.2">
      <c r="A13" s="690" t="s">
        <v>1156</v>
      </c>
      <c r="B13" s="3362" t="s">
        <v>259</v>
      </c>
      <c r="C13" s="3362" t="s">
        <v>259</v>
      </c>
      <c r="D13" s="3362" t="s">
        <v>259</v>
      </c>
      <c r="E13" s="3362" t="s">
        <v>259</v>
      </c>
      <c r="F13" s="3362" t="s">
        <v>259</v>
      </c>
      <c r="G13" s="3362" t="s">
        <v>259</v>
      </c>
      <c r="H13" s="3362" t="s">
        <v>259</v>
      </c>
      <c r="I13" s="3362" t="s">
        <v>259</v>
      </c>
      <c r="J13" s="3362" t="s">
        <v>259</v>
      </c>
      <c r="K13" s="3362" t="s">
        <v>259</v>
      </c>
      <c r="L13" s="3362" t="s">
        <v>259</v>
      </c>
      <c r="M13" s="3362" t="s">
        <v>259</v>
      </c>
      <c r="N13" s="3362" t="s">
        <v>259</v>
      </c>
      <c r="O13" s="3362" t="s">
        <v>259</v>
      </c>
      <c r="P13" s="3362" t="s">
        <v>259</v>
      </c>
      <c r="Q13" s="3362" t="s">
        <v>259</v>
      </c>
      <c r="R13" s="3362" t="s">
        <v>259</v>
      </c>
      <c r="S13" s="3362" t="s">
        <v>259</v>
      </c>
      <c r="T13" s="3362" t="s">
        <v>259</v>
      </c>
      <c r="U13" s="3362" t="s">
        <v>259</v>
      </c>
      <c r="V13" s="3363" t="s">
        <v>986</v>
      </c>
      <c r="W13" s="3362" t="s">
        <v>259</v>
      </c>
      <c r="X13" s="3362" t="s">
        <v>259</v>
      </c>
      <c r="Y13" s="3362" t="s">
        <v>259</v>
      </c>
      <c r="Z13" s="3362" t="s">
        <v>259</v>
      </c>
      <c r="AA13" s="3362" t="s">
        <v>259</v>
      </c>
      <c r="AB13" s="3362" t="s">
        <v>259</v>
      </c>
      <c r="AC13" s="3362" t="s">
        <v>259</v>
      </c>
      <c r="AD13" s="3362" t="s">
        <v>259</v>
      </c>
      <c r="AE13" s="3362" t="s">
        <v>259</v>
      </c>
      <c r="AF13" s="3362" t="s">
        <v>259</v>
      </c>
      <c r="AG13" s="3363" t="s">
        <v>986</v>
      </c>
      <c r="AH13" s="3362" t="s">
        <v>259</v>
      </c>
      <c r="AI13" s="3362" t="s">
        <v>259</v>
      </c>
      <c r="AJ13" s="3362" t="s">
        <v>259</v>
      </c>
    </row>
    <row r="14" spans="1:36" ht="12" x14ac:dyDescent="0.2">
      <c r="A14" s="3370" t="s">
        <v>1155</v>
      </c>
      <c r="B14" s="3363" t="s">
        <v>986</v>
      </c>
      <c r="C14" s="3363" t="s">
        <v>986</v>
      </c>
      <c r="D14" s="3363" t="s">
        <v>986</v>
      </c>
      <c r="E14" s="3363" t="s">
        <v>986</v>
      </c>
      <c r="F14" s="3363" t="s">
        <v>986</v>
      </c>
      <c r="G14" s="3363" t="s">
        <v>986</v>
      </c>
      <c r="H14" s="3363" t="s">
        <v>986</v>
      </c>
      <c r="I14" s="3363" t="s">
        <v>986</v>
      </c>
      <c r="J14" s="3363" t="s">
        <v>986</v>
      </c>
      <c r="K14" s="3363" t="s">
        <v>986</v>
      </c>
      <c r="L14" s="3363" t="s">
        <v>986</v>
      </c>
      <c r="M14" s="3363" t="s">
        <v>986</v>
      </c>
      <c r="N14" s="3363" t="s">
        <v>986</v>
      </c>
      <c r="O14" s="3363" t="s">
        <v>986</v>
      </c>
      <c r="P14" s="3363" t="s">
        <v>986</v>
      </c>
      <c r="Q14" s="3363" t="s">
        <v>986</v>
      </c>
      <c r="R14" s="3363" t="s">
        <v>986</v>
      </c>
      <c r="S14" s="3363" t="s">
        <v>986</v>
      </c>
      <c r="T14" s="3363" t="s">
        <v>986</v>
      </c>
      <c r="U14" s="3363" t="s">
        <v>986</v>
      </c>
      <c r="V14" s="3363" t="s">
        <v>986</v>
      </c>
      <c r="W14" s="3362" t="s">
        <v>259</v>
      </c>
      <c r="X14" s="3362" t="s">
        <v>259</v>
      </c>
      <c r="Y14" s="3362" t="s">
        <v>259</v>
      </c>
      <c r="Z14" s="3362" t="s">
        <v>259</v>
      </c>
      <c r="AA14" s="3362" t="s">
        <v>259</v>
      </c>
      <c r="AB14" s="3362" t="s">
        <v>259</v>
      </c>
      <c r="AC14" s="3362" t="s">
        <v>259</v>
      </c>
      <c r="AD14" s="3362" t="s">
        <v>259</v>
      </c>
      <c r="AE14" s="3362" t="s">
        <v>259</v>
      </c>
      <c r="AF14" s="3362" t="s">
        <v>259</v>
      </c>
      <c r="AG14" s="3363" t="s">
        <v>986</v>
      </c>
      <c r="AH14" s="3363" t="s">
        <v>986</v>
      </c>
      <c r="AI14" s="3362" t="s">
        <v>259</v>
      </c>
      <c r="AJ14" s="3363" t="s">
        <v>986</v>
      </c>
    </row>
    <row r="15" spans="1:36" ht="12" x14ac:dyDescent="0.2">
      <c r="A15" s="3370" t="s">
        <v>1154</v>
      </c>
      <c r="B15" s="3362" t="s">
        <v>986</v>
      </c>
      <c r="C15" s="3362" t="s">
        <v>986</v>
      </c>
      <c r="D15" s="3362" t="s">
        <v>986</v>
      </c>
      <c r="E15" s="3362" t="s">
        <v>986</v>
      </c>
      <c r="F15" s="3362" t="s">
        <v>986</v>
      </c>
      <c r="G15" s="3362" t="s">
        <v>986</v>
      </c>
      <c r="H15" s="3362" t="s">
        <v>986</v>
      </c>
      <c r="I15" s="3362" t="s">
        <v>986</v>
      </c>
      <c r="J15" s="3362" t="s">
        <v>986</v>
      </c>
      <c r="K15" s="3362" t="s">
        <v>986</v>
      </c>
      <c r="L15" s="3362" t="s">
        <v>986</v>
      </c>
      <c r="M15" s="3362" t="s">
        <v>986</v>
      </c>
      <c r="N15" s="3362" t="s">
        <v>986</v>
      </c>
      <c r="O15" s="3362" t="s">
        <v>986</v>
      </c>
      <c r="P15" s="3362" t="s">
        <v>986</v>
      </c>
      <c r="Q15" s="3362" t="s">
        <v>986</v>
      </c>
      <c r="R15" s="3362" t="s">
        <v>986</v>
      </c>
      <c r="S15" s="3362" t="s">
        <v>986</v>
      </c>
      <c r="T15" s="3362" t="s">
        <v>986</v>
      </c>
      <c r="U15" s="3362" t="s">
        <v>986</v>
      </c>
      <c r="V15" s="3363" t="s">
        <v>986</v>
      </c>
      <c r="W15" s="3362" t="s">
        <v>986</v>
      </c>
      <c r="X15" s="3362" t="s">
        <v>986</v>
      </c>
      <c r="Y15" s="3362" t="s">
        <v>986</v>
      </c>
      <c r="Z15" s="3362" t="s">
        <v>986</v>
      </c>
      <c r="AA15" s="3362" t="s">
        <v>986</v>
      </c>
      <c r="AB15" s="3362" t="s">
        <v>986</v>
      </c>
      <c r="AC15" s="3362" t="s">
        <v>986</v>
      </c>
      <c r="AD15" s="3362" t="s">
        <v>986</v>
      </c>
      <c r="AE15" s="3362" t="s">
        <v>986</v>
      </c>
      <c r="AF15" s="3362" t="s">
        <v>986</v>
      </c>
      <c r="AG15" s="3363" t="s">
        <v>986</v>
      </c>
      <c r="AH15" s="3362" t="s">
        <v>259</v>
      </c>
      <c r="AI15" s="3362" t="s">
        <v>259</v>
      </c>
      <c r="AJ15" s="3363" t="s">
        <v>986</v>
      </c>
    </row>
    <row r="16" spans="1:36" ht="12" x14ac:dyDescent="0.2">
      <c r="A16" s="3372" t="s">
        <v>1153</v>
      </c>
      <c r="B16" s="3362" t="s">
        <v>259</v>
      </c>
      <c r="C16" s="3362" t="s">
        <v>259</v>
      </c>
      <c r="D16" s="3362" t="s">
        <v>259</v>
      </c>
      <c r="E16" s="3362" t="s">
        <v>259</v>
      </c>
      <c r="F16" s="3362" t="s">
        <v>259</v>
      </c>
      <c r="G16" s="3362" t="s">
        <v>259</v>
      </c>
      <c r="H16" s="3362" t="s">
        <v>259</v>
      </c>
      <c r="I16" s="3362" t="s">
        <v>259</v>
      </c>
      <c r="J16" s="3362" t="s">
        <v>259</v>
      </c>
      <c r="K16" s="3362" t="s">
        <v>259</v>
      </c>
      <c r="L16" s="3362" t="s">
        <v>259</v>
      </c>
      <c r="M16" s="3362" t="s">
        <v>259</v>
      </c>
      <c r="N16" s="3362" t="s">
        <v>259</v>
      </c>
      <c r="O16" s="3362" t="s">
        <v>259</v>
      </c>
      <c r="P16" s="3362" t="s">
        <v>259</v>
      </c>
      <c r="Q16" s="3362" t="s">
        <v>259</v>
      </c>
      <c r="R16" s="3362" t="s">
        <v>259</v>
      </c>
      <c r="S16" s="3362" t="s">
        <v>259</v>
      </c>
      <c r="T16" s="3362" t="s">
        <v>259</v>
      </c>
      <c r="U16" s="3362" t="s">
        <v>259</v>
      </c>
      <c r="V16" s="3363" t="s">
        <v>986</v>
      </c>
      <c r="W16" s="3362" t="s">
        <v>259</v>
      </c>
      <c r="X16" s="3362" t="s">
        <v>259</v>
      </c>
      <c r="Y16" s="3362" t="s">
        <v>259</v>
      </c>
      <c r="Z16" s="3362" t="s">
        <v>259</v>
      </c>
      <c r="AA16" s="3362" t="s">
        <v>259</v>
      </c>
      <c r="AB16" s="3362" t="s">
        <v>259</v>
      </c>
      <c r="AC16" s="3362" t="s">
        <v>259</v>
      </c>
      <c r="AD16" s="3362" t="s">
        <v>259</v>
      </c>
      <c r="AE16" s="3362" t="s">
        <v>259</v>
      </c>
      <c r="AF16" s="3362" t="s">
        <v>259</v>
      </c>
      <c r="AG16" s="3363" t="s">
        <v>986</v>
      </c>
      <c r="AH16" s="3362" t="s">
        <v>259</v>
      </c>
      <c r="AI16" s="3362" t="s">
        <v>259</v>
      </c>
      <c r="AJ16" s="3362" t="s">
        <v>259</v>
      </c>
    </row>
    <row r="17" spans="1:36" ht="12" x14ac:dyDescent="0.2">
      <c r="A17" s="3373" t="s">
        <v>1005</v>
      </c>
      <c r="B17" s="3362" t="s">
        <v>259</v>
      </c>
      <c r="C17" s="3362" t="s">
        <v>259</v>
      </c>
      <c r="D17" s="3362" t="s">
        <v>259</v>
      </c>
      <c r="E17" s="3362" t="s">
        <v>259</v>
      </c>
      <c r="F17" s="3362" t="s">
        <v>259</v>
      </c>
      <c r="G17" s="3362" t="s">
        <v>259</v>
      </c>
      <c r="H17" s="3362" t="s">
        <v>259</v>
      </c>
      <c r="I17" s="3362" t="s">
        <v>259</v>
      </c>
      <c r="J17" s="3362" t="s">
        <v>259</v>
      </c>
      <c r="K17" s="3362" t="s">
        <v>259</v>
      </c>
      <c r="L17" s="3362" t="s">
        <v>259</v>
      </c>
      <c r="M17" s="3362" t="s">
        <v>259</v>
      </c>
      <c r="N17" s="3362" t="s">
        <v>259</v>
      </c>
      <c r="O17" s="3362" t="s">
        <v>259</v>
      </c>
      <c r="P17" s="3362" t="s">
        <v>259</v>
      </c>
      <c r="Q17" s="3362" t="s">
        <v>259</v>
      </c>
      <c r="R17" s="3362" t="s">
        <v>259</v>
      </c>
      <c r="S17" s="3362" t="s">
        <v>259</v>
      </c>
      <c r="T17" s="3362" t="s">
        <v>259</v>
      </c>
      <c r="U17" s="3362" t="s">
        <v>259</v>
      </c>
      <c r="V17" s="3363" t="s">
        <v>986</v>
      </c>
      <c r="W17" s="3362" t="s">
        <v>259</v>
      </c>
      <c r="X17" s="3362" t="s">
        <v>259</v>
      </c>
      <c r="Y17" s="3362" t="s">
        <v>259</v>
      </c>
      <c r="Z17" s="3362" t="s">
        <v>259</v>
      </c>
      <c r="AA17" s="3362" t="s">
        <v>259</v>
      </c>
      <c r="AB17" s="3362" t="s">
        <v>259</v>
      </c>
      <c r="AC17" s="3362" t="s">
        <v>259</v>
      </c>
      <c r="AD17" s="3362" t="s">
        <v>259</v>
      </c>
      <c r="AE17" s="3362" t="s">
        <v>259</v>
      </c>
      <c r="AF17" s="3362" t="s">
        <v>259</v>
      </c>
      <c r="AG17" s="3363" t="s">
        <v>986</v>
      </c>
      <c r="AH17" s="3362" t="s">
        <v>259</v>
      </c>
      <c r="AI17" s="3362" t="s">
        <v>259</v>
      </c>
      <c r="AJ17" s="3362" t="s">
        <v>259</v>
      </c>
    </row>
    <row r="18" spans="1:36" ht="12" x14ac:dyDescent="0.2">
      <c r="A18" s="3370" t="s">
        <v>1004</v>
      </c>
      <c r="B18" s="3362" t="s">
        <v>259</v>
      </c>
      <c r="C18" s="3362" t="s">
        <v>259</v>
      </c>
      <c r="D18" s="3362" t="s">
        <v>259</v>
      </c>
      <c r="E18" s="3362" t="s">
        <v>259</v>
      </c>
      <c r="F18" s="3362" t="s">
        <v>259</v>
      </c>
      <c r="G18" s="3362" t="s">
        <v>259</v>
      </c>
      <c r="H18" s="3362" t="s">
        <v>259</v>
      </c>
      <c r="I18" s="3362" t="s">
        <v>259</v>
      </c>
      <c r="J18" s="3362" t="s">
        <v>259</v>
      </c>
      <c r="K18" s="3362" t="s">
        <v>259</v>
      </c>
      <c r="L18" s="3362" t="s">
        <v>259</v>
      </c>
      <c r="M18" s="3362" t="s">
        <v>259</v>
      </c>
      <c r="N18" s="3362" t="s">
        <v>259</v>
      </c>
      <c r="O18" s="3362" t="s">
        <v>259</v>
      </c>
      <c r="P18" s="3362" t="s">
        <v>259</v>
      </c>
      <c r="Q18" s="3362" t="s">
        <v>259</v>
      </c>
      <c r="R18" s="3362" t="s">
        <v>259</v>
      </c>
      <c r="S18" s="3362" t="s">
        <v>259</v>
      </c>
      <c r="T18" s="3362" t="s">
        <v>259</v>
      </c>
      <c r="U18" s="3362" t="s">
        <v>259</v>
      </c>
      <c r="V18" s="3363" t="s">
        <v>986</v>
      </c>
      <c r="W18" s="3362" t="s">
        <v>259</v>
      </c>
      <c r="X18" s="3362" t="s">
        <v>259</v>
      </c>
      <c r="Y18" s="3362" t="s">
        <v>259</v>
      </c>
      <c r="Z18" s="3362" t="s">
        <v>259</v>
      </c>
      <c r="AA18" s="3362" t="s">
        <v>259</v>
      </c>
      <c r="AB18" s="3362" t="s">
        <v>259</v>
      </c>
      <c r="AC18" s="3362" t="s">
        <v>259</v>
      </c>
      <c r="AD18" s="3362" t="s">
        <v>259</v>
      </c>
      <c r="AE18" s="3362" t="s">
        <v>259</v>
      </c>
      <c r="AF18" s="3362" t="s">
        <v>259</v>
      </c>
      <c r="AG18" s="3363" t="s">
        <v>986</v>
      </c>
      <c r="AH18" s="3362" t="s">
        <v>259</v>
      </c>
      <c r="AI18" s="3362" t="s">
        <v>259</v>
      </c>
      <c r="AJ18" s="3362" t="s">
        <v>259</v>
      </c>
    </row>
    <row r="19" spans="1:36" ht="12" x14ac:dyDescent="0.2">
      <c r="A19" s="3370" t="s">
        <v>1003</v>
      </c>
      <c r="B19" s="3362" t="s">
        <v>259</v>
      </c>
      <c r="C19" s="3362" t="s">
        <v>259</v>
      </c>
      <c r="D19" s="3362" t="s">
        <v>259</v>
      </c>
      <c r="E19" s="3362" t="s">
        <v>259</v>
      </c>
      <c r="F19" s="3362" t="s">
        <v>259</v>
      </c>
      <c r="G19" s="3362" t="s">
        <v>259</v>
      </c>
      <c r="H19" s="3362" t="s">
        <v>259</v>
      </c>
      <c r="I19" s="3362" t="s">
        <v>259</v>
      </c>
      <c r="J19" s="3362" t="s">
        <v>259</v>
      </c>
      <c r="K19" s="3362" t="s">
        <v>259</v>
      </c>
      <c r="L19" s="3362" t="s">
        <v>259</v>
      </c>
      <c r="M19" s="3362" t="s">
        <v>259</v>
      </c>
      <c r="N19" s="3362" t="s">
        <v>259</v>
      </c>
      <c r="O19" s="3362" t="s">
        <v>259</v>
      </c>
      <c r="P19" s="3362" t="s">
        <v>259</v>
      </c>
      <c r="Q19" s="3362" t="s">
        <v>259</v>
      </c>
      <c r="R19" s="3362" t="s">
        <v>259</v>
      </c>
      <c r="S19" s="3362" t="s">
        <v>259</v>
      </c>
      <c r="T19" s="3362" t="s">
        <v>259</v>
      </c>
      <c r="U19" s="3362" t="s">
        <v>259</v>
      </c>
      <c r="V19" s="3363" t="s">
        <v>986</v>
      </c>
      <c r="W19" s="3362" t="s">
        <v>259</v>
      </c>
      <c r="X19" s="3362" t="s">
        <v>259</v>
      </c>
      <c r="Y19" s="3362" t="s">
        <v>259</v>
      </c>
      <c r="Z19" s="3362" t="s">
        <v>259</v>
      </c>
      <c r="AA19" s="3362" t="s">
        <v>259</v>
      </c>
      <c r="AB19" s="3362" t="s">
        <v>259</v>
      </c>
      <c r="AC19" s="3362" t="s">
        <v>259</v>
      </c>
      <c r="AD19" s="3362" t="s">
        <v>259</v>
      </c>
      <c r="AE19" s="3362" t="s">
        <v>259</v>
      </c>
      <c r="AF19" s="3362" t="s">
        <v>259</v>
      </c>
      <c r="AG19" s="3363" t="s">
        <v>986</v>
      </c>
      <c r="AH19" s="3362" t="s">
        <v>259</v>
      </c>
      <c r="AI19" s="3362" t="s">
        <v>259</v>
      </c>
      <c r="AJ19" s="3362" t="s">
        <v>259</v>
      </c>
    </row>
    <row r="20" spans="1:36" ht="12" x14ac:dyDescent="0.2">
      <c r="A20" s="3370" t="s">
        <v>1002</v>
      </c>
      <c r="B20" s="3362" t="s">
        <v>259</v>
      </c>
      <c r="C20" s="3362" t="s">
        <v>259</v>
      </c>
      <c r="D20" s="3362" t="s">
        <v>259</v>
      </c>
      <c r="E20" s="3362" t="s">
        <v>259</v>
      </c>
      <c r="F20" s="3362" t="s">
        <v>259</v>
      </c>
      <c r="G20" s="3362" t="s">
        <v>259</v>
      </c>
      <c r="H20" s="3362" t="s">
        <v>259</v>
      </c>
      <c r="I20" s="3362" t="s">
        <v>259</v>
      </c>
      <c r="J20" s="3362" t="s">
        <v>259</v>
      </c>
      <c r="K20" s="3362" t="s">
        <v>259</v>
      </c>
      <c r="L20" s="3362" t="s">
        <v>259</v>
      </c>
      <c r="M20" s="3362" t="s">
        <v>259</v>
      </c>
      <c r="N20" s="3362" t="s">
        <v>259</v>
      </c>
      <c r="O20" s="3362" t="s">
        <v>259</v>
      </c>
      <c r="P20" s="3362" t="s">
        <v>259</v>
      </c>
      <c r="Q20" s="3362" t="s">
        <v>259</v>
      </c>
      <c r="R20" s="3362" t="s">
        <v>259</v>
      </c>
      <c r="S20" s="3362" t="s">
        <v>259</v>
      </c>
      <c r="T20" s="3362" t="s">
        <v>259</v>
      </c>
      <c r="U20" s="3362" t="s">
        <v>259</v>
      </c>
      <c r="V20" s="3363" t="s">
        <v>986</v>
      </c>
      <c r="W20" s="3362" t="s">
        <v>259</v>
      </c>
      <c r="X20" s="3362" t="s">
        <v>259</v>
      </c>
      <c r="Y20" s="3362" t="s">
        <v>259</v>
      </c>
      <c r="Z20" s="3362" t="s">
        <v>259</v>
      </c>
      <c r="AA20" s="3362" t="s">
        <v>259</v>
      </c>
      <c r="AB20" s="3362" t="s">
        <v>259</v>
      </c>
      <c r="AC20" s="3362" t="s">
        <v>259</v>
      </c>
      <c r="AD20" s="3362" t="s">
        <v>259</v>
      </c>
      <c r="AE20" s="3362" t="s">
        <v>259</v>
      </c>
      <c r="AF20" s="3362" t="s">
        <v>259</v>
      </c>
      <c r="AG20" s="3363" t="s">
        <v>986</v>
      </c>
      <c r="AH20" s="3362" t="s">
        <v>259</v>
      </c>
      <c r="AI20" s="3362" t="s">
        <v>259</v>
      </c>
      <c r="AJ20" s="3362" t="s">
        <v>259</v>
      </c>
    </row>
    <row r="21" spans="1:36" ht="12" x14ac:dyDescent="0.2">
      <c r="A21" s="3370" t="s">
        <v>1001</v>
      </c>
      <c r="B21" s="3362" t="s">
        <v>259</v>
      </c>
      <c r="C21" s="3362" t="s">
        <v>259</v>
      </c>
      <c r="D21" s="3362" t="s">
        <v>259</v>
      </c>
      <c r="E21" s="3362" t="s">
        <v>259</v>
      </c>
      <c r="F21" s="3362" t="s">
        <v>259</v>
      </c>
      <c r="G21" s="3362" t="s">
        <v>259</v>
      </c>
      <c r="H21" s="3362" t="s">
        <v>259</v>
      </c>
      <c r="I21" s="3362" t="s">
        <v>259</v>
      </c>
      <c r="J21" s="3362" t="s">
        <v>259</v>
      </c>
      <c r="K21" s="3362" t="s">
        <v>259</v>
      </c>
      <c r="L21" s="3362" t="s">
        <v>259</v>
      </c>
      <c r="M21" s="3362" t="s">
        <v>259</v>
      </c>
      <c r="N21" s="3362" t="s">
        <v>259</v>
      </c>
      <c r="O21" s="3362" t="s">
        <v>259</v>
      </c>
      <c r="P21" s="3362" t="s">
        <v>259</v>
      </c>
      <c r="Q21" s="3362" t="s">
        <v>259</v>
      </c>
      <c r="R21" s="3362" t="s">
        <v>259</v>
      </c>
      <c r="S21" s="3362" t="s">
        <v>259</v>
      </c>
      <c r="T21" s="3362" t="s">
        <v>259</v>
      </c>
      <c r="U21" s="3362" t="s">
        <v>259</v>
      </c>
      <c r="V21" s="3363" t="s">
        <v>986</v>
      </c>
      <c r="W21" s="3362" t="s">
        <v>259</v>
      </c>
      <c r="X21" s="3362" t="s">
        <v>259</v>
      </c>
      <c r="Y21" s="3362" t="s">
        <v>259</v>
      </c>
      <c r="Z21" s="3362" t="s">
        <v>259</v>
      </c>
      <c r="AA21" s="3362" t="s">
        <v>259</v>
      </c>
      <c r="AB21" s="3362" t="s">
        <v>259</v>
      </c>
      <c r="AC21" s="3362" t="s">
        <v>259</v>
      </c>
      <c r="AD21" s="3362" t="s">
        <v>259</v>
      </c>
      <c r="AE21" s="3362" t="s">
        <v>259</v>
      </c>
      <c r="AF21" s="3362" t="s">
        <v>259</v>
      </c>
      <c r="AG21" s="3363" t="s">
        <v>986</v>
      </c>
      <c r="AH21" s="3362" t="s">
        <v>259</v>
      </c>
      <c r="AI21" s="3362" t="s">
        <v>259</v>
      </c>
      <c r="AJ21" s="3362" t="s">
        <v>259</v>
      </c>
    </row>
    <row r="22" spans="1:36" ht="12" x14ac:dyDescent="0.2">
      <c r="A22" s="3370" t="s">
        <v>1000</v>
      </c>
      <c r="B22" s="3362" t="s">
        <v>259</v>
      </c>
      <c r="C22" s="3362" t="s">
        <v>259</v>
      </c>
      <c r="D22" s="3362" t="s">
        <v>259</v>
      </c>
      <c r="E22" s="3362" t="s">
        <v>259</v>
      </c>
      <c r="F22" s="3362" t="s">
        <v>259</v>
      </c>
      <c r="G22" s="3362" t="s">
        <v>259</v>
      </c>
      <c r="H22" s="3362" t="s">
        <v>259</v>
      </c>
      <c r="I22" s="3362" t="s">
        <v>259</v>
      </c>
      <c r="J22" s="3362" t="s">
        <v>259</v>
      </c>
      <c r="K22" s="3362" t="s">
        <v>259</v>
      </c>
      <c r="L22" s="3362" t="s">
        <v>259</v>
      </c>
      <c r="M22" s="3362" t="s">
        <v>259</v>
      </c>
      <c r="N22" s="3362" t="s">
        <v>259</v>
      </c>
      <c r="O22" s="3362" t="s">
        <v>259</v>
      </c>
      <c r="P22" s="3362" t="s">
        <v>259</v>
      </c>
      <c r="Q22" s="3362" t="s">
        <v>259</v>
      </c>
      <c r="R22" s="3362" t="s">
        <v>259</v>
      </c>
      <c r="S22" s="3362" t="s">
        <v>259</v>
      </c>
      <c r="T22" s="3362" t="s">
        <v>259</v>
      </c>
      <c r="U22" s="3362" t="s">
        <v>259</v>
      </c>
      <c r="V22" s="3363" t="s">
        <v>986</v>
      </c>
      <c r="W22" s="3362" t="s">
        <v>259</v>
      </c>
      <c r="X22" s="3362" t="s">
        <v>259</v>
      </c>
      <c r="Y22" s="3362" t="s">
        <v>259</v>
      </c>
      <c r="Z22" s="3362" t="s">
        <v>259</v>
      </c>
      <c r="AA22" s="3362" t="s">
        <v>259</v>
      </c>
      <c r="AB22" s="3362" t="s">
        <v>259</v>
      </c>
      <c r="AC22" s="3362" t="s">
        <v>259</v>
      </c>
      <c r="AD22" s="3362" t="s">
        <v>259</v>
      </c>
      <c r="AE22" s="3362" t="s">
        <v>259</v>
      </c>
      <c r="AF22" s="3362" t="s">
        <v>259</v>
      </c>
      <c r="AG22" s="3363" t="s">
        <v>986</v>
      </c>
      <c r="AH22" s="3362" t="s">
        <v>259</v>
      </c>
      <c r="AI22" s="3362" t="s">
        <v>259</v>
      </c>
      <c r="AJ22" s="3362" t="s">
        <v>259</v>
      </c>
    </row>
    <row r="23" spans="1:36" ht="14.25" x14ac:dyDescent="0.2">
      <c r="A23" s="665" t="s">
        <v>999</v>
      </c>
      <c r="B23" s="3362" t="s">
        <v>259</v>
      </c>
      <c r="C23" s="3362">
        <v>13.5704079911</v>
      </c>
      <c r="D23" s="3362" t="s">
        <v>259</v>
      </c>
      <c r="E23" s="3362" t="s">
        <v>259</v>
      </c>
      <c r="F23" s="3362">
        <v>43.036497141300003</v>
      </c>
      <c r="G23" s="3362" t="s">
        <v>259</v>
      </c>
      <c r="H23" s="3362">
        <v>124.264463514523</v>
      </c>
      <c r="I23" s="3362" t="s">
        <v>259</v>
      </c>
      <c r="J23" s="3362">
        <v>33.369211423789999</v>
      </c>
      <c r="K23" s="3362" t="s">
        <v>259</v>
      </c>
      <c r="L23" s="3362">
        <v>5.6230200000000004</v>
      </c>
      <c r="M23" s="3362" t="s">
        <v>259</v>
      </c>
      <c r="N23" s="3362" t="s">
        <v>259</v>
      </c>
      <c r="O23" s="3362" t="s">
        <v>259</v>
      </c>
      <c r="P23" s="3362" t="s">
        <v>259</v>
      </c>
      <c r="Q23" s="3362" t="s">
        <v>259</v>
      </c>
      <c r="R23" s="3362" t="s">
        <v>259</v>
      </c>
      <c r="S23" s="3362" t="s">
        <v>259</v>
      </c>
      <c r="T23" s="3362" t="s">
        <v>259</v>
      </c>
      <c r="U23" s="3362">
        <v>2.6744551570899999E-3</v>
      </c>
      <c r="V23" s="3363" t="s">
        <v>986</v>
      </c>
      <c r="W23" s="3362">
        <v>9.9776250000000008E-4</v>
      </c>
      <c r="X23" s="3362" t="s">
        <v>259</v>
      </c>
      <c r="Y23" s="3362" t="s">
        <v>259</v>
      </c>
      <c r="Z23" s="3362" t="s">
        <v>259</v>
      </c>
      <c r="AA23" s="3362" t="s">
        <v>259</v>
      </c>
      <c r="AB23" s="3362" t="s">
        <v>259</v>
      </c>
      <c r="AC23" s="3362" t="s">
        <v>259</v>
      </c>
      <c r="AD23" s="3362" t="s">
        <v>259</v>
      </c>
      <c r="AE23" s="3362" t="s">
        <v>259</v>
      </c>
      <c r="AF23" s="3362" t="s">
        <v>259</v>
      </c>
      <c r="AG23" s="3363" t="s">
        <v>986</v>
      </c>
      <c r="AH23" s="3362" t="s">
        <v>259</v>
      </c>
      <c r="AI23" s="3362" t="s">
        <v>259</v>
      </c>
      <c r="AJ23" s="3362" t="s">
        <v>259</v>
      </c>
    </row>
    <row r="24" spans="1:36" ht="12" x14ac:dyDescent="0.2">
      <c r="A24" s="3370" t="s">
        <v>998</v>
      </c>
      <c r="B24" s="3362" t="s">
        <v>259</v>
      </c>
      <c r="C24" s="3362">
        <v>13.5704079911</v>
      </c>
      <c r="D24" s="3362" t="s">
        <v>259</v>
      </c>
      <c r="E24" s="3362" t="s">
        <v>259</v>
      </c>
      <c r="F24" s="3362">
        <v>43.036497141300003</v>
      </c>
      <c r="G24" s="3362" t="s">
        <v>259</v>
      </c>
      <c r="H24" s="3362">
        <v>115.27105671652301</v>
      </c>
      <c r="I24" s="3362" t="s">
        <v>259</v>
      </c>
      <c r="J24" s="3362">
        <v>33.369211423789999</v>
      </c>
      <c r="K24" s="3362" t="s">
        <v>259</v>
      </c>
      <c r="L24" s="3362" t="s">
        <v>259</v>
      </c>
      <c r="M24" s="3362" t="s">
        <v>259</v>
      </c>
      <c r="N24" s="3362" t="s">
        <v>259</v>
      </c>
      <c r="O24" s="3362" t="s">
        <v>259</v>
      </c>
      <c r="P24" s="3362" t="s">
        <v>259</v>
      </c>
      <c r="Q24" s="3362" t="s">
        <v>259</v>
      </c>
      <c r="R24" s="3362" t="s">
        <v>259</v>
      </c>
      <c r="S24" s="3362" t="s">
        <v>259</v>
      </c>
      <c r="T24" s="3362" t="s">
        <v>259</v>
      </c>
      <c r="U24" s="3362">
        <v>2.6744551570899999E-3</v>
      </c>
      <c r="V24" s="3363" t="s">
        <v>986</v>
      </c>
      <c r="W24" s="3362">
        <v>9.9776250000000008E-4</v>
      </c>
      <c r="X24" s="3362" t="s">
        <v>259</v>
      </c>
      <c r="Y24" s="3362" t="s">
        <v>259</v>
      </c>
      <c r="Z24" s="3362" t="s">
        <v>259</v>
      </c>
      <c r="AA24" s="3362" t="s">
        <v>259</v>
      </c>
      <c r="AB24" s="3362" t="s">
        <v>259</v>
      </c>
      <c r="AC24" s="3362" t="s">
        <v>259</v>
      </c>
      <c r="AD24" s="3362" t="s">
        <v>259</v>
      </c>
      <c r="AE24" s="3362" t="s">
        <v>259</v>
      </c>
      <c r="AF24" s="3362" t="s">
        <v>259</v>
      </c>
      <c r="AG24" s="3363" t="s">
        <v>986</v>
      </c>
      <c r="AH24" s="3362" t="s">
        <v>259</v>
      </c>
      <c r="AI24" s="3362" t="s">
        <v>259</v>
      </c>
      <c r="AJ24" s="3362" t="s">
        <v>259</v>
      </c>
    </row>
    <row r="25" spans="1:36" ht="12" x14ac:dyDescent="0.2">
      <c r="A25" s="3370" t="s">
        <v>997</v>
      </c>
      <c r="B25" s="3362" t="s">
        <v>259</v>
      </c>
      <c r="C25" s="3362" t="s">
        <v>259</v>
      </c>
      <c r="D25" s="3362" t="s">
        <v>259</v>
      </c>
      <c r="E25" s="3362" t="s">
        <v>259</v>
      </c>
      <c r="F25" s="3362" t="s">
        <v>259</v>
      </c>
      <c r="G25" s="3362" t="s">
        <v>259</v>
      </c>
      <c r="H25" s="3362">
        <v>6.0749999999999998E-2</v>
      </c>
      <c r="I25" s="3362" t="s">
        <v>259</v>
      </c>
      <c r="J25" s="3362" t="s">
        <v>259</v>
      </c>
      <c r="K25" s="3362" t="s">
        <v>259</v>
      </c>
      <c r="L25" s="3362">
        <v>5.6230200000000004</v>
      </c>
      <c r="M25" s="3362" t="s">
        <v>259</v>
      </c>
      <c r="N25" s="3362" t="s">
        <v>259</v>
      </c>
      <c r="O25" s="3362" t="s">
        <v>259</v>
      </c>
      <c r="P25" s="3362" t="s">
        <v>259</v>
      </c>
      <c r="Q25" s="3362" t="s">
        <v>259</v>
      </c>
      <c r="R25" s="3362" t="s">
        <v>259</v>
      </c>
      <c r="S25" s="3362" t="s">
        <v>259</v>
      </c>
      <c r="T25" s="3362" t="s">
        <v>259</v>
      </c>
      <c r="U25" s="3362" t="s">
        <v>259</v>
      </c>
      <c r="V25" s="3363" t="s">
        <v>986</v>
      </c>
      <c r="W25" s="3362" t="s">
        <v>259</v>
      </c>
      <c r="X25" s="3362" t="s">
        <v>259</v>
      </c>
      <c r="Y25" s="3362" t="s">
        <v>259</v>
      </c>
      <c r="Z25" s="3362" t="s">
        <v>259</v>
      </c>
      <c r="AA25" s="3362" t="s">
        <v>259</v>
      </c>
      <c r="AB25" s="3362" t="s">
        <v>259</v>
      </c>
      <c r="AC25" s="3362" t="s">
        <v>259</v>
      </c>
      <c r="AD25" s="3362" t="s">
        <v>259</v>
      </c>
      <c r="AE25" s="3362" t="s">
        <v>259</v>
      </c>
      <c r="AF25" s="3362" t="s">
        <v>259</v>
      </c>
      <c r="AG25" s="3363" t="s">
        <v>986</v>
      </c>
      <c r="AH25" s="3362" t="s">
        <v>259</v>
      </c>
      <c r="AI25" s="3362" t="s">
        <v>259</v>
      </c>
      <c r="AJ25" s="3362" t="s">
        <v>259</v>
      </c>
    </row>
    <row r="26" spans="1:36" ht="12" x14ac:dyDescent="0.2">
      <c r="A26" s="3370" t="s">
        <v>996</v>
      </c>
      <c r="B26" s="3362" t="s">
        <v>259</v>
      </c>
      <c r="C26" s="3362" t="s">
        <v>986</v>
      </c>
      <c r="D26" s="3362" t="s">
        <v>259</v>
      </c>
      <c r="E26" s="3362" t="s">
        <v>259</v>
      </c>
      <c r="F26" s="3362" t="s">
        <v>259</v>
      </c>
      <c r="G26" s="3362" t="s">
        <v>259</v>
      </c>
      <c r="H26" s="3362" t="s">
        <v>259</v>
      </c>
      <c r="I26" s="3362" t="s">
        <v>259</v>
      </c>
      <c r="J26" s="3362" t="s">
        <v>259</v>
      </c>
      <c r="K26" s="3362" t="s">
        <v>259</v>
      </c>
      <c r="L26" s="3362" t="s">
        <v>259</v>
      </c>
      <c r="M26" s="3362" t="s">
        <v>259</v>
      </c>
      <c r="N26" s="3362" t="s">
        <v>259</v>
      </c>
      <c r="O26" s="3362" t="s">
        <v>259</v>
      </c>
      <c r="P26" s="3362" t="s">
        <v>259</v>
      </c>
      <c r="Q26" s="3362" t="s">
        <v>259</v>
      </c>
      <c r="R26" s="3362" t="s">
        <v>259</v>
      </c>
      <c r="S26" s="3362" t="s">
        <v>259</v>
      </c>
      <c r="T26" s="3362" t="s">
        <v>259</v>
      </c>
      <c r="U26" s="3362" t="s">
        <v>259</v>
      </c>
      <c r="V26" s="3363" t="s">
        <v>986</v>
      </c>
      <c r="W26" s="3362" t="s">
        <v>259</v>
      </c>
      <c r="X26" s="3362" t="s">
        <v>259</v>
      </c>
      <c r="Y26" s="3362" t="s">
        <v>259</v>
      </c>
      <c r="Z26" s="3362" t="s">
        <v>259</v>
      </c>
      <c r="AA26" s="3362" t="s">
        <v>259</v>
      </c>
      <c r="AB26" s="3362" t="s">
        <v>259</v>
      </c>
      <c r="AC26" s="3362" t="s">
        <v>259</v>
      </c>
      <c r="AD26" s="3362" t="s">
        <v>259</v>
      </c>
      <c r="AE26" s="3362" t="s">
        <v>259</v>
      </c>
      <c r="AF26" s="3362" t="s">
        <v>259</v>
      </c>
      <c r="AG26" s="3363" t="s">
        <v>986</v>
      </c>
      <c r="AH26" s="3362" t="s">
        <v>259</v>
      </c>
      <c r="AI26" s="3362" t="s">
        <v>259</v>
      </c>
      <c r="AJ26" s="3362" t="s">
        <v>259</v>
      </c>
    </row>
    <row r="27" spans="1:36" ht="12" x14ac:dyDescent="0.2">
      <c r="A27" s="3370" t="s">
        <v>995</v>
      </c>
      <c r="B27" s="3362" t="s">
        <v>259</v>
      </c>
      <c r="C27" s="3362" t="s">
        <v>259</v>
      </c>
      <c r="D27" s="3362" t="s">
        <v>259</v>
      </c>
      <c r="E27" s="3362" t="s">
        <v>259</v>
      </c>
      <c r="F27" s="3362" t="s">
        <v>259</v>
      </c>
      <c r="G27" s="3362" t="s">
        <v>259</v>
      </c>
      <c r="H27" s="3362">
        <v>8.932656798</v>
      </c>
      <c r="I27" s="3362" t="s">
        <v>259</v>
      </c>
      <c r="J27" s="3362" t="s">
        <v>259</v>
      </c>
      <c r="K27" s="3362" t="s">
        <v>259</v>
      </c>
      <c r="L27" s="3362" t="s">
        <v>259</v>
      </c>
      <c r="M27" s="3362" t="s">
        <v>259</v>
      </c>
      <c r="N27" s="3362" t="s">
        <v>259</v>
      </c>
      <c r="O27" s="3362" t="s">
        <v>259</v>
      </c>
      <c r="P27" s="3362" t="s">
        <v>259</v>
      </c>
      <c r="Q27" s="3362" t="s">
        <v>259</v>
      </c>
      <c r="R27" s="3362" t="s">
        <v>259</v>
      </c>
      <c r="S27" s="3362" t="s">
        <v>259</v>
      </c>
      <c r="T27" s="3362" t="s">
        <v>259</v>
      </c>
      <c r="U27" s="3362" t="s">
        <v>259</v>
      </c>
      <c r="V27" s="3363" t="s">
        <v>986</v>
      </c>
      <c r="W27" s="3362" t="s">
        <v>259</v>
      </c>
      <c r="X27" s="3362" t="s">
        <v>259</v>
      </c>
      <c r="Y27" s="3362" t="s">
        <v>259</v>
      </c>
      <c r="Z27" s="3362" t="s">
        <v>259</v>
      </c>
      <c r="AA27" s="3362" t="s">
        <v>259</v>
      </c>
      <c r="AB27" s="3362" t="s">
        <v>259</v>
      </c>
      <c r="AC27" s="3362" t="s">
        <v>259</v>
      </c>
      <c r="AD27" s="3362" t="s">
        <v>259</v>
      </c>
      <c r="AE27" s="3362" t="s">
        <v>259</v>
      </c>
      <c r="AF27" s="3362" t="s">
        <v>259</v>
      </c>
      <c r="AG27" s="3363" t="s">
        <v>986</v>
      </c>
      <c r="AH27" s="3362" t="s">
        <v>259</v>
      </c>
      <c r="AI27" s="3362" t="s">
        <v>259</v>
      </c>
      <c r="AJ27" s="3362" t="s">
        <v>259</v>
      </c>
    </row>
    <row r="28" spans="1:36" ht="12" x14ac:dyDescent="0.2">
      <c r="A28" s="3370" t="s">
        <v>994</v>
      </c>
      <c r="B28" s="3362" t="s">
        <v>259</v>
      </c>
      <c r="C28" s="3362" t="s">
        <v>259</v>
      </c>
      <c r="D28" s="3362" t="s">
        <v>259</v>
      </c>
      <c r="E28" s="3362" t="s">
        <v>259</v>
      </c>
      <c r="F28" s="3362" t="s">
        <v>259</v>
      </c>
      <c r="G28" s="3362" t="s">
        <v>259</v>
      </c>
      <c r="H28" s="3362" t="s">
        <v>259</v>
      </c>
      <c r="I28" s="3362" t="s">
        <v>259</v>
      </c>
      <c r="J28" s="3362" t="s">
        <v>259</v>
      </c>
      <c r="K28" s="3362" t="s">
        <v>259</v>
      </c>
      <c r="L28" s="3362" t="s">
        <v>259</v>
      </c>
      <c r="M28" s="3362" t="s">
        <v>259</v>
      </c>
      <c r="N28" s="3362" t="s">
        <v>259</v>
      </c>
      <c r="O28" s="3362" t="s">
        <v>259</v>
      </c>
      <c r="P28" s="3362" t="s">
        <v>259</v>
      </c>
      <c r="Q28" s="3362" t="s">
        <v>259</v>
      </c>
      <c r="R28" s="3362" t="s">
        <v>259</v>
      </c>
      <c r="S28" s="3362" t="s">
        <v>259</v>
      </c>
      <c r="T28" s="3362" t="s">
        <v>259</v>
      </c>
      <c r="U28" s="3362" t="s">
        <v>259</v>
      </c>
      <c r="V28" s="3363" t="s">
        <v>986</v>
      </c>
      <c r="W28" s="3362" t="s">
        <v>259</v>
      </c>
      <c r="X28" s="3362" t="s">
        <v>259</v>
      </c>
      <c r="Y28" s="3362" t="s">
        <v>259</v>
      </c>
      <c r="Z28" s="3362" t="s">
        <v>259</v>
      </c>
      <c r="AA28" s="3362" t="s">
        <v>259</v>
      </c>
      <c r="AB28" s="3362" t="s">
        <v>259</v>
      </c>
      <c r="AC28" s="3362" t="s">
        <v>259</v>
      </c>
      <c r="AD28" s="3362" t="s">
        <v>259</v>
      </c>
      <c r="AE28" s="3362" t="s">
        <v>259</v>
      </c>
      <c r="AF28" s="3362" t="s">
        <v>259</v>
      </c>
      <c r="AG28" s="3363" t="s">
        <v>986</v>
      </c>
      <c r="AH28" s="3362" t="s">
        <v>259</v>
      </c>
      <c r="AI28" s="3362" t="s">
        <v>259</v>
      </c>
      <c r="AJ28" s="3362" t="s">
        <v>259</v>
      </c>
    </row>
    <row r="29" spans="1:36" ht="12" x14ac:dyDescent="0.2">
      <c r="A29" s="3372" t="s">
        <v>993</v>
      </c>
      <c r="B29" s="3362" t="s">
        <v>259</v>
      </c>
      <c r="C29" s="3362" t="s">
        <v>259</v>
      </c>
      <c r="D29" s="3362" t="s">
        <v>259</v>
      </c>
      <c r="E29" s="3362" t="s">
        <v>259</v>
      </c>
      <c r="F29" s="3362" t="s">
        <v>259</v>
      </c>
      <c r="G29" s="3362" t="s">
        <v>259</v>
      </c>
      <c r="H29" s="3362" t="s">
        <v>259</v>
      </c>
      <c r="I29" s="3362" t="s">
        <v>259</v>
      </c>
      <c r="J29" s="3362" t="s">
        <v>259</v>
      </c>
      <c r="K29" s="3362" t="s">
        <v>259</v>
      </c>
      <c r="L29" s="3362" t="s">
        <v>259</v>
      </c>
      <c r="M29" s="3362" t="s">
        <v>259</v>
      </c>
      <c r="N29" s="3362" t="s">
        <v>259</v>
      </c>
      <c r="O29" s="3362" t="s">
        <v>259</v>
      </c>
      <c r="P29" s="3362" t="s">
        <v>259</v>
      </c>
      <c r="Q29" s="3362" t="s">
        <v>259</v>
      </c>
      <c r="R29" s="3362" t="s">
        <v>259</v>
      </c>
      <c r="S29" s="3362" t="s">
        <v>259</v>
      </c>
      <c r="T29" s="3362" t="s">
        <v>259</v>
      </c>
      <c r="U29" s="3362" t="s">
        <v>259</v>
      </c>
      <c r="V29" s="3363" t="s">
        <v>986</v>
      </c>
      <c r="W29" s="3362" t="s">
        <v>259</v>
      </c>
      <c r="X29" s="3362" t="s">
        <v>259</v>
      </c>
      <c r="Y29" s="3362" t="s">
        <v>259</v>
      </c>
      <c r="Z29" s="3362" t="s">
        <v>259</v>
      </c>
      <c r="AA29" s="3362" t="s">
        <v>259</v>
      </c>
      <c r="AB29" s="3362" t="s">
        <v>259</v>
      </c>
      <c r="AC29" s="3362" t="s">
        <v>259</v>
      </c>
      <c r="AD29" s="3362" t="s">
        <v>259</v>
      </c>
      <c r="AE29" s="3362" t="s">
        <v>259</v>
      </c>
      <c r="AF29" s="3362" t="s">
        <v>259</v>
      </c>
      <c r="AG29" s="3363" t="s">
        <v>986</v>
      </c>
      <c r="AH29" s="3362" t="s">
        <v>259</v>
      </c>
      <c r="AI29" s="3362" t="s">
        <v>259</v>
      </c>
      <c r="AJ29" s="3362" t="s">
        <v>259</v>
      </c>
    </row>
    <row r="30" spans="1:36" ht="12" x14ac:dyDescent="0.2">
      <c r="A30" s="3371" t="s">
        <v>992</v>
      </c>
      <c r="B30" s="3362" t="s">
        <v>1006</v>
      </c>
      <c r="C30" s="3362" t="s">
        <v>1006</v>
      </c>
      <c r="D30" s="3362" t="s">
        <v>1006</v>
      </c>
      <c r="E30" s="3362" t="s">
        <v>1006</v>
      </c>
      <c r="F30" s="3362" t="s">
        <v>1006</v>
      </c>
      <c r="G30" s="3362" t="s">
        <v>1006</v>
      </c>
      <c r="H30" s="3362" t="s">
        <v>1006</v>
      </c>
      <c r="I30" s="3362" t="s">
        <v>1006</v>
      </c>
      <c r="J30" s="3362" t="s">
        <v>1006</v>
      </c>
      <c r="K30" s="3362" t="s">
        <v>1006</v>
      </c>
      <c r="L30" s="3362" t="s">
        <v>1006</v>
      </c>
      <c r="M30" s="3362" t="s">
        <v>1006</v>
      </c>
      <c r="N30" s="3362" t="s">
        <v>1006</v>
      </c>
      <c r="O30" s="3362" t="s">
        <v>1006</v>
      </c>
      <c r="P30" s="3362" t="s">
        <v>1006</v>
      </c>
      <c r="Q30" s="3362" t="s">
        <v>1006</v>
      </c>
      <c r="R30" s="3362" t="s">
        <v>1006</v>
      </c>
      <c r="S30" s="3362" t="s">
        <v>1006</v>
      </c>
      <c r="T30" s="3362" t="s">
        <v>1006</v>
      </c>
      <c r="U30" s="3362" t="s">
        <v>1006</v>
      </c>
      <c r="V30" s="3363" t="s">
        <v>986</v>
      </c>
      <c r="W30" s="3362" t="s">
        <v>1006</v>
      </c>
      <c r="X30" s="3362" t="s">
        <v>1006</v>
      </c>
      <c r="Y30" s="3362" t="s">
        <v>1006</v>
      </c>
      <c r="Z30" s="3362" t="s">
        <v>1006</v>
      </c>
      <c r="AA30" s="3362" t="s">
        <v>1006</v>
      </c>
      <c r="AB30" s="3362" t="s">
        <v>1006</v>
      </c>
      <c r="AC30" s="3362" t="s">
        <v>1006</v>
      </c>
      <c r="AD30" s="3362" t="s">
        <v>1006</v>
      </c>
      <c r="AE30" s="3362" t="s">
        <v>1006</v>
      </c>
      <c r="AF30" s="3362" t="s">
        <v>1006</v>
      </c>
      <c r="AG30" s="3363" t="s">
        <v>986</v>
      </c>
      <c r="AH30" s="3362" t="s">
        <v>1006</v>
      </c>
      <c r="AI30" s="3362">
        <v>3.20980432046</v>
      </c>
      <c r="AJ30" s="3362" t="s">
        <v>1006</v>
      </c>
    </row>
    <row r="31" spans="1:36" ht="12" x14ac:dyDescent="0.2">
      <c r="A31" s="3370" t="s">
        <v>991</v>
      </c>
      <c r="B31" s="3362" t="s">
        <v>259</v>
      </c>
      <c r="C31" s="3362" t="s">
        <v>259</v>
      </c>
      <c r="D31" s="3362" t="s">
        <v>259</v>
      </c>
      <c r="E31" s="3362" t="s">
        <v>259</v>
      </c>
      <c r="F31" s="3362" t="s">
        <v>259</v>
      </c>
      <c r="G31" s="3362" t="s">
        <v>259</v>
      </c>
      <c r="H31" s="3362" t="s">
        <v>259</v>
      </c>
      <c r="I31" s="3362" t="s">
        <v>259</v>
      </c>
      <c r="J31" s="3362" t="s">
        <v>259</v>
      </c>
      <c r="K31" s="3362" t="s">
        <v>259</v>
      </c>
      <c r="L31" s="3362" t="s">
        <v>259</v>
      </c>
      <c r="M31" s="3362" t="s">
        <v>259</v>
      </c>
      <c r="N31" s="3362" t="s">
        <v>259</v>
      </c>
      <c r="O31" s="3362" t="s">
        <v>259</v>
      </c>
      <c r="P31" s="3362" t="s">
        <v>259</v>
      </c>
      <c r="Q31" s="3362" t="s">
        <v>259</v>
      </c>
      <c r="R31" s="3362" t="s">
        <v>259</v>
      </c>
      <c r="S31" s="3362" t="s">
        <v>259</v>
      </c>
      <c r="T31" s="3362" t="s">
        <v>259</v>
      </c>
      <c r="U31" s="3362" t="s">
        <v>259</v>
      </c>
      <c r="V31" s="3363" t="s">
        <v>986</v>
      </c>
      <c r="W31" s="3362" t="s">
        <v>259</v>
      </c>
      <c r="X31" s="3362" t="s">
        <v>259</v>
      </c>
      <c r="Y31" s="3362" t="s">
        <v>259</v>
      </c>
      <c r="Z31" s="3362" t="s">
        <v>259</v>
      </c>
      <c r="AA31" s="3362" t="s">
        <v>259</v>
      </c>
      <c r="AB31" s="3362" t="s">
        <v>259</v>
      </c>
      <c r="AC31" s="3362" t="s">
        <v>259</v>
      </c>
      <c r="AD31" s="3362" t="s">
        <v>259</v>
      </c>
      <c r="AE31" s="3362" t="s">
        <v>259</v>
      </c>
      <c r="AF31" s="3362" t="s">
        <v>259</v>
      </c>
      <c r="AG31" s="3363" t="s">
        <v>986</v>
      </c>
      <c r="AH31" s="3362" t="s">
        <v>259</v>
      </c>
      <c r="AI31" s="3362">
        <v>0.58016225795999998</v>
      </c>
      <c r="AJ31" s="3362" t="s">
        <v>259</v>
      </c>
    </row>
    <row r="32" spans="1:36" ht="13.5" x14ac:dyDescent="0.2">
      <c r="A32" s="3370" t="s">
        <v>990</v>
      </c>
      <c r="B32" s="3363" t="s">
        <v>986</v>
      </c>
      <c r="C32" s="3363" t="s">
        <v>986</v>
      </c>
      <c r="D32" s="3363" t="s">
        <v>986</v>
      </c>
      <c r="E32" s="3363" t="s">
        <v>986</v>
      </c>
      <c r="F32" s="3363" t="s">
        <v>986</v>
      </c>
      <c r="G32" s="3363" t="s">
        <v>986</v>
      </c>
      <c r="H32" s="3363" t="s">
        <v>986</v>
      </c>
      <c r="I32" s="3363" t="s">
        <v>986</v>
      </c>
      <c r="J32" s="3363" t="s">
        <v>986</v>
      </c>
      <c r="K32" s="3363" t="s">
        <v>986</v>
      </c>
      <c r="L32" s="3363" t="s">
        <v>986</v>
      </c>
      <c r="M32" s="3363" t="s">
        <v>986</v>
      </c>
      <c r="N32" s="3363" t="s">
        <v>986</v>
      </c>
      <c r="O32" s="3363" t="s">
        <v>986</v>
      </c>
      <c r="P32" s="3363" t="s">
        <v>986</v>
      </c>
      <c r="Q32" s="3363" t="s">
        <v>986</v>
      </c>
      <c r="R32" s="3363" t="s">
        <v>986</v>
      </c>
      <c r="S32" s="3363" t="s">
        <v>986</v>
      </c>
      <c r="T32" s="3363" t="s">
        <v>986</v>
      </c>
      <c r="U32" s="3363" t="s">
        <v>986</v>
      </c>
      <c r="V32" s="3363" t="s">
        <v>986</v>
      </c>
      <c r="W32" s="3362" t="s">
        <v>259</v>
      </c>
      <c r="X32" s="3362" t="s">
        <v>259</v>
      </c>
      <c r="Y32" s="3362" t="s">
        <v>259</v>
      </c>
      <c r="Z32" s="3362" t="s">
        <v>259</v>
      </c>
      <c r="AA32" s="3362" t="s">
        <v>259</v>
      </c>
      <c r="AB32" s="3362" t="s">
        <v>259</v>
      </c>
      <c r="AC32" s="3362" t="s">
        <v>259</v>
      </c>
      <c r="AD32" s="3362" t="s">
        <v>259</v>
      </c>
      <c r="AE32" s="3362" t="s">
        <v>259</v>
      </c>
      <c r="AF32" s="3362" t="s">
        <v>259</v>
      </c>
      <c r="AG32" s="3363" t="s">
        <v>986</v>
      </c>
      <c r="AH32" s="3363" t="s">
        <v>986</v>
      </c>
      <c r="AI32" s="3362">
        <v>2.6296420624999999</v>
      </c>
      <c r="AJ32" s="3363" t="s">
        <v>986</v>
      </c>
    </row>
    <row r="33" spans="1:36" ht="12" x14ac:dyDescent="0.2">
      <c r="A33" s="3370" t="s">
        <v>988</v>
      </c>
      <c r="B33" s="3362" t="s">
        <v>799</v>
      </c>
      <c r="C33" s="3362" t="s">
        <v>799</v>
      </c>
      <c r="D33" s="3362" t="s">
        <v>799</v>
      </c>
      <c r="E33" s="3362" t="s">
        <v>799</v>
      </c>
      <c r="F33" s="3362" t="s">
        <v>799</v>
      </c>
      <c r="G33" s="3362" t="s">
        <v>799</v>
      </c>
      <c r="H33" s="3362" t="s">
        <v>799</v>
      </c>
      <c r="I33" s="3362" t="s">
        <v>799</v>
      </c>
      <c r="J33" s="3362" t="s">
        <v>799</v>
      </c>
      <c r="K33" s="3362" t="s">
        <v>799</v>
      </c>
      <c r="L33" s="3362" t="s">
        <v>799</v>
      </c>
      <c r="M33" s="3362" t="s">
        <v>799</v>
      </c>
      <c r="N33" s="3362" t="s">
        <v>799</v>
      </c>
      <c r="O33" s="3362" t="s">
        <v>799</v>
      </c>
      <c r="P33" s="3362" t="s">
        <v>799</v>
      </c>
      <c r="Q33" s="3362" t="s">
        <v>799</v>
      </c>
      <c r="R33" s="3362" t="s">
        <v>799</v>
      </c>
      <c r="S33" s="3362" t="s">
        <v>799</v>
      </c>
      <c r="T33" s="3362" t="s">
        <v>799</v>
      </c>
      <c r="U33" s="3362" t="s">
        <v>799</v>
      </c>
      <c r="V33" s="3363" t="s">
        <v>986</v>
      </c>
      <c r="W33" s="3362" t="s">
        <v>799</v>
      </c>
      <c r="X33" s="3362" t="s">
        <v>799</v>
      </c>
      <c r="Y33" s="3362" t="s">
        <v>799</v>
      </c>
      <c r="Z33" s="3362" t="s">
        <v>799</v>
      </c>
      <c r="AA33" s="3362" t="s">
        <v>799</v>
      </c>
      <c r="AB33" s="3362" t="s">
        <v>799</v>
      </c>
      <c r="AC33" s="3362" t="s">
        <v>799</v>
      </c>
      <c r="AD33" s="3362" t="s">
        <v>799</v>
      </c>
      <c r="AE33" s="3362" t="s">
        <v>799</v>
      </c>
      <c r="AF33" s="3362" t="s">
        <v>799</v>
      </c>
      <c r="AG33" s="3363" t="s">
        <v>986</v>
      </c>
      <c r="AH33" s="3362" t="s">
        <v>799</v>
      </c>
      <c r="AI33" s="3362" t="s">
        <v>799</v>
      </c>
      <c r="AJ33" s="3362" t="s">
        <v>799</v>
      </c>
    </row>
    <row r="34" spans="1:36" ht="12" x14ac:dyDescent="0.2">
      <c r="A34" s="692" t="s">
        <v>1152</v>
      </c>
      <c r="B34" s="3362" t="s">
        <v>799</v>
      </c>
      <c r="C34" s="3362" t="s">
        <v>799</v>
      </c>
      <c r="D34" s="3362" t="s">
        <v>799</v>
      </c>
      <c r="E34" s="3362" t="s">
        <v>799</v>
      </c>
      <c r="F34" s="3362" t="s">
        <v>799</v>
      </c>
      <c r="G34" s="3362" t="s">
        <v>799</v>
      </c>
      <c r="H34" s="3362" t="s">
        <v>799</v>
      </c>
      <c r="I34" s="3362" t="s">
        <v>799</v>
      </c>
      <c r="J34" s="3362" t="s">
        <v>799</v>
      </c>
      <c r="K34" s="3362" t="s">
        <v>799</v>
      </c>
      <c r="L34" s="3362" t="s">
        <v>799</v>
      </c>
      <c r="M34" s="3362" t="s">
        <v>799</v>
      </c>
      <c r="N34" s="3362" t="s">
        <v>799</v>
      </c>
      <c r="O34" s="3362" t="s">
        <v>799</v>
      </c>
      <c r="P34" s="3362" t="s">
        <v>799</v>
      </c>
      <c r="Q34" s="3362" t="s">
        <v>799</v>
      </c>
      <c r="R34" s="3362" t="s">
        <v>799</v>
      </c>
      <c r="S34" s="3362" t="s">
        <v>799</v>
      </c>
      <c r="T34" s="3362" t="s">
        <v>799</v>
      </c>
      <c r="U34" s="3362" t="s">
        <v>799</v>
      </c>
      <c r="V34" s="3363" t="s">
        <v>986</v>
      </c>
      <c r="W34" s="3362" t="s">
        <v>799</v>
      </c>
      <c r="X34" s="3362" t="s">
        <v>799</v>
      </c>
      <c r="Y34" s="3362" t="s">
        <v>799</v>
      </c>
      <c r="Z34" s="3362" t="s">
        <v>799</v>
      </c>
      <c r="AA34" s="3362" t="s">
        <v>799</v>
      </c>
      <c r="AB34" s="3362" t="s">
        <v>799</v>
      </c>
      <c r="AC34" s="3362" t="s">
        <v>799</v>
      </c>
      <c r="AD34" s="3362" t="s">
        <v>799</v>
      </c>
      <c r="AE34" s="3362" t="s">
        <v>799</v>
      </c>
      <c r="AF34" s="3362" t="s">
        <v>799</v>
      </c>
      <c r="AG34" s="3363" t="s">
        <v>986</v>
      </c>
      <c r="AH34" s="3362" t="s">
        <v>799</v>
      </c>
      <c r="AI34" s="3362" t="s">
        <v>799</v>
      </c>
      <c r="AJ34" s="3362" t="s">
        <v>799</v>
      </c>
    </row>
    <row r="35" spans="1:36" ht="12" x14ac:dyDescent="0.2">
      <c r="A35" s="3369" t="s">
        <v>1098</v>
      </c>
      <c r="B35" s="3362" t="s">
        <v>799</v>
      </c>
      <c r="C35" s="3362" t="s">
        <v>799</v>
      </c>
      <c r="D35" s="3362" t="s">
        <v>799</v>
      </c>
      <c r="E35" s="3362" t="s">
        <v>799</v>
      </c>
      <c r="F35" s="3362" t="s">
        <v>799</v>
      </c>
      <c r="G35" s="3362" t="s">
        <v>799</v>
      </c>
      <c r="H35" s="3362" t="s">
        <v>799</v>
      </c>
      <c r="I35" s="3362" t="s">
        <v>799</v>
      </c>
      <c r="J35" s="3362" t="s">
        <v>799</v>
      </c>
      <c r="K35" s="3362" t="s">
        <v>799</v>
      </c>
      <c r="L35" s="3362" t="s">
        <v>799</v>
      </c>
      <c r="M35" s="3362" t="s">
        <v>799</v>
      </c>
      <c r="N35" s="3362" t="s">
        <v>799</v>
      </c>
      <c r="O35" s="3362" t="s">
        <v>799</v>
      </c>
      <c r="P35" s="3362" t="s">
        <v>799</v>
      </c>
      <c r="Q35" s="3362" t="s">
        <v>799</v>
      </c>
      <c r="R35" s="3362" t="s">
        <v>799</v>
      </c>
      <c r="S35" s="3362" t="s">
        <v>799</v>
      </c>
      <c r="T35" s="3362" t="s">
        <v>799</v>
      </c>
      <c r="U35" s="3362" t="s">
        <v>799</v>
      </c>
      <c r="V35" s="3363" t="s">
        <v>986</v>
      </c>
      <c r="W35" s="3362" t="s">
        <v>799</v>
      </c>
      <c r="X35" s="3362" t="s">
        <v>799</v>
      </c>
      <c r="Y35" s="3362" t="s">
        <v>799</v>
      </c>
      <c r="Z35" s="3362" t="s">
        <v>799</v>
      </c>
      <c r="AA35" s="3362" t="s">
        <v>799</v>
      </c>
      <c r="AB35" s="3362" t="s">
        <v>799</v>
      </c>
      <c r="AC35" s="3362" t="s">
        <v>799</v>
      </c>
      <c r="AD35" s="3362" t="s">
        <v>799</v>
      </c>
      <c r="AE35" s="3362" t="s">
        <v>799</v>
      </c>
      <c r="AF35" s="3362" t="s">
        <v>799</v>
      </c>
      <c r="AG35" s="3363" t="s">
        <v>986</v>
      </c>
      <c r="AH35" s="3362" t="s">
        <v>799</v>
      </c>
      <c r="AI35" s="3362" t="s">
        <v>799</v>
      </c>
      <c r="AJ35" s="3362" t="s">
        <v>799</v>
      </c>
    </row>
    <row r="36" spans="1:36" ht="13.5" customHeight="1" thickBot="1" x14ac:dyDescent="0.25">
      <c r="A36" s="691" t="s">
        <v>564</v>
      </c>
      <c r="B36" s="5481" t="s">
        <v>1151</v>
      </c>
      <c r="C36" s="5486"/>
      <c r="D36" s="5486"/>
      <c r="E36" s="5486"/>
      <c r="F36" s="5486"/>
      <c r="G36" s="5486"/>
      <c r="H36" s="5486"/>
      <c r="I36" s="5486"/>
      <c r="J36" s="5486"/>
      <c r="K36" s="5486"/>
      <c r="L36" s="5486"/>
      <c r="M36" s="5486"/>
      <c r="N36" s="5486"/>
      <c r="O36" s="5486"/>
      <c r="P36" s="5486"/>
      <c r="Q36" s="5486"/>
      <c r="R36" s="5486"/>
      <c r="S36" s="5486"/>
      <c r="T36" s="5486"/>
      <c r="U36" s="5486"/>
      <c r="V36" s="5486"/>
      <c r="W36" s="5486"/>
      <c r="X36" s="5486"/>
      <c r="Y36" s="5486"/>
      <c r="Z36" s="5486"/>
      <c r="AA36" s="5486"/>
      <c r="AB36" s="5486"/>
      <c r="AC36" s="5486"/>
      <c r="AD36" s="5486"/>
      <c r="AE36" s="5486"/>
      <c r="AF36" s="5486"/>
      <c r="AG36" s="5486"/>
      <c r="AH36" s="5486"/>
      <c r="AI36" s="5486"/>
      <c r="AJ36" s="5487"/>
    </row>
    <row r="37" spans="1:36" ht="15" thickTop="1" x14ac:dyDescent="0.2">
      <c r="A37" s="690" t="s">
        <v>1150</v>
      </c>
      <c r="B37" s="3362" t="s">
        <v>1006</v>
      </c>
      <c r="C37" s="3362">
        <v>9.1600253939925</v>
      </c>
      <c r="D37" s="3362" t="s">
        <v>1006</v>
      </c>
      <c r="E37" s="3362" t="s">
        <v>1006</v>
      </c>
      <c r="F37" s="3362">
        <v>150.62773999455001</v>
      </c>
      <c r="G37" s="3362" t="s">
        <v>1006</v>
      </c>
      <c r="H37" s="3362">
        <v>177.6981828257679</v>
      </c>
      <c r="I37" s="3362" t="s">
        <v>1006</v>
      </c>
      <c r="J37" s="3362">
        <v>149.16037506434131</v>
      </c>
      <c r="K37" s="3362" t="s">
        <v>1006</v>
      </c>
      <c r="L37" s="3362">
        <v>0.69725448000000001</v>
      </c>
      <c r="M37" s="3362" t="s">
        <v>1006</v>
      </c>
      <c r="N37" s="3362" t="s">
        <v>1006</v>
      </c>
      <c r="O37" s="3362" t="s">
        <v>1006</v>
      </c>
      <c r="P37" s="3362" t="s">
        <v>1006</v>
      </c>
      <c r="Q37" s="3362" t="s">
        <v>1006</v>
      </c>
      <c r="R37" s="3362" t="s">
        <v>1006</v>
      </c>
      <c r="S37" s="3362" t="s">
        <v>1006</v>
      </c>
      <c r="T37" s="3362" t="s">
        <v>1006</v>
      </c>
      <c r="U37" s="3362">
        <v>2.6744551570899999E-3</v>
      </c>
      <c r="V37" s="3363" t="s">
        <v>986</v>
      </c>
      <c r="W37" s="3362">
        <v>7.3734648750000001E-3</v>
      </c>
      <c r="X37" s="3362" t="s">
        <v>1006</v>
      </c>
      <c r="Y37" s="3362" t="s">
        <v>1006</v>
      </c>
      <c r="Z37" s="3362" t="s">
        <v>1006</v>
      </c>
      <c r="AA37" s="3362" t="s">
        <v>1006</v>
      </c>
      <c r="AB37" s="3362" t="s">
        <v>1006</v>
      </c>
      <c r="AC37" s="3362" t="s">
        <v>1006</v>
      </c>
      <c r="AD37" s="3362" t="s">
        <v>1006</v>
      </c>
      <c r="AE37" s="3362" t="s">
        <v>1006</v>
      </c>
      <c r="AF37" s="3362" t="s">
        <v>1006</v>
      </c>
      <c r="AG37" s="3363" t="s">
        <v>986</v>
      </c>
      <c r="AH37" s="3362" t="s">
        <v>1006</v>
      </c>
      <c r="AI37" s="3362">
        <v>73.183538506488006</v>
      </c>
      <c r="AJ37" s="3362" t="s">
        <v>1006</v>
      </c>
    </row>
    <row r="38" spans="1:36" ht="12" x14ac:dyDescent="0.2">
      <c r="A38" s="3368" t="s">
        <v>1149</v>
      </c>
      <c r="B38" s="3362" t="s">
        <v>1006</v>
      </c>
      <c r="C38" s="3362" t="s">
        <v>1006</v>
      </c>
      <c r="D38" s="3362" t="s">
        <v>1006</v>
      </c>
      <c r="E38" s="3362" t="s">
        <v>1006</v>
      </c>
      <c r="F38" s="3362" t="s">
        <v>1006</v>
      </c>
      <c r="G38" s="3362" t="s">
        <v>1006</v>
      </c>
      <c r="H38" s="3362" t="s">
        <v>1006</v>
      </c>
      <c r="I38" s="3362" t="s">
        <v>1006</v>
      </c>
      <c r="J38" s="3362" t="s">
        <v>1006</v>
      </c>
      <c r="K38" s="3362" t="s">
        <v>1006</v>
      </c>
      <c r="L38" s="3362" t="s">
        <v>1006</v>
      </c>
      <c r="M38" s="3362" t="s">
        <v>1006</v>
      </c>
      <c r="N38" s="3362" t="s">
        <v>1006</v>
      </c>
      <c r="O38" s="3362" t="s">
        <v>1006</v>
      </c>
      <c r="P38" s="3362" t="s">
        <v>1006</v>
      </c>
      <c r="Q38" s="3362" t="s">
        <v>1006</v>
      </c>
      <c r="R38" s="3362" t="s">
        <v>1006</v>
      </c>
      <c r="S38" s="3362" t="s">
        <v>1006</v>
      </c>
      <c r="T38" s="3362" t="s">
        <v>1006</v>
      </c>
      <c r="U38" s="3362" t="s">
        <v>1006</v>
      </c>
      <c r="V38" s="3363" t="s">
        <v>986</v>
      </c>
      <c r="W38" s="3362" t="s">
        <v>1006</v>
      </c>
      <c r="X38" s="3362" t="s">
        <v>1006</v>
      </c>
      <c r="Y38" s="3362" t="s">
        <v>1006</v>
      </c>
      <c r="Z38" s="3362" t="s">
        <v>1006</v>
      </c>
      <c r="AA38" s="3362" t="s">
        <v>1006</v>
      </c>
      <c r="AB38" s="3362" t="s">
        <v>1006</v>
      </c>
      <c r="AC38" s="3362" t="s">
        <v>1006</v>
      </c>
      <c r="AD38" s="3362" t="s">
        <v>1006</v>
      </c>
      <c r="AE38" s="3362" t="s">
        <v>1006</v>
      </c>
      <c r="AF38" s="3362" t="s">
        <v>1006</v>
      </c>
      <c r="AG38" s="3363" t="s">
        <v>986</v>
      </c>
      <c r="AH38" s="3362" t="s">
        <v>1006</v>
      </c>
      <c r="AI38" s="3362" t="s">
        <v>1006</v>
      </c>
      <c r="AJ38" s="3362" t="s">
        <v>1006</v>
      </c>
    </row>
    <row r="39" spans="1:36" ht="12" x14ac:dyDescent="0.2">
      <c r="A39" s="3367" t="s">
        <v>1148</v>
      </c>
      <c r="B39" s="3362" t="s">
        <v>259</v>
      </c>
      <c r="C39" s="3362" t="s">
        <v>259</v>
      </c>
      <c r="D39" s="3362" t="s">
        <v>259</v>
      </c>
      <c r="E39" s="3362" t="s">
        <v>259</v>
      </c>
      <c r="F39" s="3362" t="s">
        <v>259</v>
      </c>
      <c r="G39" s="3362" t="s">
        <v>259</v>
      </c>
      <c r="H39" s="3362" t="s">
        <v>259</v>
      </c>
      <c r="I39" s="3362" t="s">
        <v>259</v>
      </c>
      <c r="J39" s="3362" t="s">
        <v>259</v>
      </c>
      <c r="K39" s="3362" t="s">
        <v>259</v>
      </c>
      <c r="L39" s="3362" t="s">
        <v>259</v>
      </c>
      <c r="M39" s="3362" t="s">
        <v>259</v>
      </c>
      <c r="N39" s="3362" t="s">
        <v>259</v>
      </c>
      <c r="O39" s="3362" t="s">
        <v>259</v>
      </c>
      <c r="P39" s="3362" t="s">
        <v>259</v>
      </c>
      <c r="Q39" s="3362" t="s">
        <v>259</v>
      </c>
      <c r="R39" s="3362" t="s">
        <v>259</v>
      </c>
      <c r="S39" s="3362" t="s">
        <v>259</v>
      </c>
      <c r="T39" s="3362" t="s">
        <v>259</v>
      </c>
      <c r="U39" s="3362" t="s">
        <v>259</v>
      </c>
      <c r="V39" s="3363" t="s">
        <v>986</v>
      </c>
      <c r="W39" s="3362" t="s">
        <v>259</v>
      </c>
      <c r="X39" s="3362" t="s">
        <v>259</v>
      </c>
      <c r="Y39" s="3362" t="s">
        <v>259</v>
      </c>
      <c r="Z39" s="3362" t="s">
        <v>259</v>
      </c>
      <c r="AA39" s="3362" t="s">
        <v>259</v>
      </c>
      <c r="AB39" s="3362" t="s">
        <v>259</v>
      </c>
      <c r="AC39" s="3362" t="s">
        <v>259</v>
      </c>
      <c r="AD39" s="3362" t="s">
        <v>259</v>
      </c>
      <c r="AE39" s="3362" t="s">
        <v>259</v>
      </c>
      <c r="AF39" s="3362" t="s">
        <v>259</v>
      </c>
      <c r="AG39" s="3363" t="s">
        <v>986</v>
      </c>
      <c r="AH39" s="3362" t="s">
        <v>259</v>
      </c>
      <c r="AI39" s="3362" t="s">
        <v>259</v>
      </c>
      <c r="AJ39" s="3362" t="s">
        <v>259</v>
      </c>
    </row>
    <row r="40" spans="1:36" ht="12" x14ac:dyDescent="0.2">
      <c r="A40" s="3365" t="s">
        <v>1147</v>
      </c>
      <c r="B40" s="3362" t="s">
        <v>259</v>
      </c>
      <c r="C40" s="3362" t="s">
        <v>259</v>
      </c>
      <c r="D40" s="3362" t="s">
        <v>259</v>
      </c>
      <c r="E40" s="3362" t="s">
        <v>259</v>
      </c>
      <c r="F40" s="3362" t="s">
        <v>259</v>
      </c>
      <c r="G40" s="3362" t="s">
        <v>259</v>
      </c>
      <c r="H40" s="3362" t="s">
        <v>259</v>
      </c>
      <c r="I40" s="3362" t="s">
        <v>259</v>
      </c>
      <c r="J40" s="3362" t="s">
        <v>259</v>
      </c>
      <c r="K40" s="3362" t="s">
        <v>259</v>
      </c>
      <c r="L40" s="3362" t="s">
        <v>259</v>
      </c>
      <c r="M40" s="3362" t="s">
        <v>259</v>
      </c>
      <c r="N40" s="3362" t="s">
        <v>259</v>
      </c>
      <c r="O40" s="3362" t="s">
        <v>259</v>
      </c>
      <c r="P40" s="3362" t="s">
        <v>259</v>
      </c>
      <c r="Q40" s="3362" t="s">
        <v>259</v>
      </c>
      <c r="R40" s="3362" t="s">
        <v>259</v>
      </c>
      <c r="S40" s="3362" t="s">
        <v>259</v>
      </c>
      <c r="T40" s="3362" t="s">
        <v>259</v>
      </c>
      <c r="U40" s="3362" t="s">
        <v>259</v>
      </c>
      <c r="V40" s="3363" t="s">
        <v>986</v>
      </c>
      <c r="W40" s="3362" t="s">
        <v>259</v>
      </c>
      <c r="X40" s="3362" t="s">
        <v>259</v>
      </c>
      <c r="Y40" s="3362" t="s">
        <v>259</v>
      </c>
      <c r="Z40" s="3362" t="s">
        <v>259</v>
      </c>
      <c r="AA40" s="3362" t="s">
        <v>259</v>
      </c>
      <c r="AB40" s="3362" t="s">
        <v>259</v>
      </c>
      <c r="AC40" s="3362" t="s">
        <v>259</v>
      </c>
      <c r="AD40" s="3362" t="s">
        <v>259</v>
      </c>
      <c r="AE40" s="3362" t="s">
        <v>259</v>
      </c>
      <c r="AF40" s="3362" t="s">
        <v>259</v>
      </c>
      <c r="AG40" s="3363" t="s">
        <v>986</v>
      </c>
      <c r="AH40" s="3362" t="s">
        <v>259</v>
      </c>
      <c r="AI40" s="3362" t="s">
        <v>259</v>
      </c>
      <c r="AJ40" s="3362" t="s">
        <v>259</v>
      </c>
    </row>
    <row r="41" spans="1:36" ht="12" x14ac:dyDescent="0.2">
      <c r="A41" s="3366" t="s">
        <v>1146</v>
      </c>
      <c r="B41" s="3362" t="s">
        <v>259</v>
      </c>
      <c r="C41" s="3362">
        <v>9.1600253939925</v>
      </c>
      <c r="D41" s="3362" t="s">
        <v>259</v>
      </c>
      <c r="E41" s="3362" t="s">
        <v>259</v>
      </c>
      <c r="F41" s="3362">
        <v>150.62773999455001</v>
      </c>
      <c r="G41" s="3362" t="s">
        <v>259</v>
      </c>
      <c r="H41" s="3362">
        <v>177.6981828257679</v>
      </c>
      <c r="I41" s="3362" t="s">
        <v>259</v>
      </c>
      <c r="J41" s="3362">
        <v>149.16037506434131</v>
      </c>
      <c r="K41" s="3362" t="s">
        <v>259</v>
      </c>
      <c r="L41" s="3362">
        <v>0.69725448000000001</v>
      </c>
      <c r="M41" s="3362" t="s">
        <v>259</v>
      </c>
      <c r="N41" s="3362" t="s">
        <v>259</v>
      </c>
      <c r="O41" s="3362" t="s">
        <v>259</v>
      </c>
      <c r="P41" s="3362" t="s">
        <v>259</v>
      </c>
      <c r="Q41" s="3362" t="s">
        <v>259</v>
      </c>
      <c r="R41" s="3362" t="s">
        <v>259</v>
      </c>
      <c r="S41" s="3362" t="s">
        <v>259</v>
      </c>
      <c r="T41" s="3362" t="s">
        <v>259</v>
      </c>
      <c r="U41" s="3362">
        <v>2.6744551570899999E-3</v>
      </c>
      <c r="V41" s="3363" t="s">
        <v>986</v>
      </c>
      <c r="W41" s="3362">
        <v>7.3734648750000001E-3</v>
      </c>
      <c r="X41" s="3362" t="s">
        <v>259</v>
      </c>
      <c r="Y41" s="3362" t="s">
        <v>259</v>
      </c>
      <c r="Z41" s="3362" t="s">
        <v>259</v>
      </c>
      <c r="AA41" s="3362" t="s">
        <v>259</v>
      </c>
      <c r="AB41" s="3362" t="s">
        <v>259</v>
      </c>
      <c r="AC41" s="3362" t="s">
        <v>259</v>
      </c>
      <c r="AD41" s="3362" t="s">
        <v>259</v>
      </c>
      <c r="AE41" s="3362" t="s">
        <v>259</v>
      </c>
      <c r="AF41" s="3362" t="s">
        <v>259</v>
      </c>
      <c r="AG41" s="3363" t="s">
        <v>986</v>
      </c>
      <c r="AH41" s="3362" t="s">
        <v>259</v>
      </c>
      <c r="AI41" s="3362" t="s">
        <v>259</v>
      </c>
      <c r="AJ41" s="3362" t="s">
        <v>259</v>
      </c>
    </row>
    <row r="42" spans="1:36" ht="12" x14ac:dyDescent="0.2">
      <c r="A42" s="3365" t="s">
        <v>1145</v>
      </c>
      <c r="B42" s="3362" t="s">
        <v>1006</v>
      </c>
      <c r="C42" s="3362" t="s">
        <v>1006</v>
      </c>
      <c r="D42" s="3362" t="s">
        <v>1006</v>
      </c>
      <c r="E42" s="3362" t="s">
        <v>1006</v>
      </c>
      <c r="F42" s="3362" t="s">
        <v>1006</v>
      </c>
      <c r="G42" s="3362" t="s">
        <v>1006</v>
      </c>
      <c r="H42" s="3362" t="s">
        <v>1006</v>
      </c>
      <c r="I42" s="3362" t="s">
        <v>1006</v>
      </c>
      <c r="J42" s="3362" t="s">
        <v>1006</v>
      </c>
      <c r="K42" s="3362" t="s">
        <v>1006</v>
      </c>
      <c r="L42" s="3362" t="s">
        <v>1006</v>
      </c>
      <c r="M42" s="3362" t="s">
        <v>1006</v>
      </c>
      <c r="N42" s="3362" t="s">
        <v>1006</v>
      </c>
      <c r="O42" s="3362" t="s">
        <v>1006</v>
      </c>
      <c r="P42" s="3362" t="s">
        <v>1006</v>
      </c>
      <c r="Q42" s="3362" t="s">
        <v>1006</v>
      </c>
      <c r="R42" s="3362" t="s">
        <v>1006</v>
      </c>
      <c r="S42" s="3362" t="s">
        <v>1006</v>
      </c>
      <c r="T42" s="3362" t="s">
        <v>1006</v>
      </c>
      <c r="U42" s="3362" t="s">
        <v>1006</v>
      </c>
      <c r="V42" s="3363" t="s">
        <v>986</v>
      </c>
      <c r="W42" s="3362" t="s">
        <v>1006</v>
      </c>
      <c r="X42" s="3362" t="s">
        <v>1006</v>
      </c>
      <c r="Y42" s="3362" t="s">
        <v>1006</v>
      </c>
      <c r="Z42" s="3362" t="s">
        <v>1006</v>
      </c>
      <c r="AA42" s="3362" t="s">
        <v>1006</v>
      </c>
      <c r="AB42" s="3362" t="s">
        <v>1006</v>
      </c>
      <c r="AC42" s="3362" t="s">
        <v>1006</v>
      </c>
      <c r="AD42" s="3362" t="s">
        <v>1006</v>
      </c>
      <c r="AE42" s="3362" t="s">
        <v>1006</v>
      </c>
      <c r="AF42" s="3362" t="s">
        <v>1006</v>
      </c>
      <c r="AG42" s="3363" t="s">
        <v>986</v>
      </c>
      <c r="AH42" s="3362" t="s">
        <v>1006</v>
      </c>
      <c r="AI42" s="3362">
        <v>73.183538506488006</v>
      </c>
      <c r="AJ42" s="3362" t="s">
        <v>1006</v>
      </c>
    </row>
    <row r="43" spans="1:36" ht="14.25" customHeight="1" x14ac:dyDescent="0.2">
      <c r="A43" s="3364" t="s">
        <v>1144</v>
      </c>
      <c r="B43" s="3362" t="s">
        <v>799</v>
      </c>
      <c r="C43" s="3362" t="s">
        <v>799</v>
      </c>
      <c r="D43" s="3362" t="s">
        <v>799</v>
      </c>
      <c r="E43" s="3362" t="s">
        <v>799</v>
      </c>
      <c r="F43" s="3362" t="s">
        <v>799</v>
      </c>
      <c r="G43" s="3362" t="s">
        <v>799</v>
      </c>
      <c r="H43" s="3362" t="s">
        <v>799</v>
      </c>
      <c r="I43" s="3362" t="s">
        <v>799</v>
      </c>
      <c r="J43" s="3362" t="s">
        <v>799</v>
      </c>
      <c r="K43" s="3362" t="s">
        <v>799</v>
      </c>
      <c r="L43" s="3362" t="s">
        <v>799</v>
      </c>
      <c r="M43" s="3362" t="s">
        <v>799</v>
      </c>
      <c r="N43" s="3362" t="s">
        <v>799</v>
      </c>
      <c r="O43" s="3362" t="s">
        <v>799</v>
      </c>
      <c r="P43" s="3362" t="s">
        <v>799</v>
      </c>
      <c r="Q43" s="3362" t="s">
        <v>799</v>
      </c>
      <c r="R43" s="3362" t="s">
        <v>799</v>
      </c>
      <c r="S43" s="3362" t="s">
        <v>799</v>
      </c>
      <c r="T43" s="3362" t="s">
        <v>799</v>
      </c>
      <c r="U43" s="3362" t="s">
        <v>799</v>
      </c>
      <c r="V43" s="3363" t="s">
        <v>986</v>
      </c>
      <c r="W43" s="3362" t="s">
        <v>799</v>
      </c>
      <c r="X43" s="3362" t="s">
        <v>799</v>
      </c>
      <c r="Y43" s="3362" t="s">
        <v>799</v>
      </c>
      <c r="Z43" s="3362" t="s">
        <v>799</v>
      </c>
      <c r="AA43" s="3362" t="s">
        <v>799</v>
      </c>
      <c r="AB43" s="3362" t="s">
        <v>799</v>
      </c>
      <c r="AC43" s="3362" t="s">
        <v>799</v>
      </c>
      <c r="AD43" s="3362" t="s">
        <v>799</v>
      </c>
      <c r="AE43" s="3362" t="s">
        <v>799</v>
      </c>
      <c r="AF43" s="3362" t="s">
        <v>799</v>
      </c>
      <c r="AG43" s="3363" t="s">
        <v>986</v>
      </c>
      <c r="AH43" s="3362" t="s">
        <v>799</v>
      </c>
      <c r="AI43" s="3362" t="s">
        <v>799</v>
      </c>
      <c r="AJ43" s="3362" t="s">
        <v>799</v>
      </c>
    </row>
    <row r="44" spans="1:36" ht="15.75" customHeight="1" x14ac:dyDescent="0.2">
      <c r="A44" s="663"/>
      <c r="B44" s="663"/>
      <c r="C44" s="663"/>
      <c r="D44" s="663"/>
      <c r="E44" s="663"/>
      <c r="F44" s="663"/>
      <c r="G44" s="663"/>
      <c r="H44" s="663"/>
      <c r="I44" s="663"/>
      <c r="J44" s="663"/>
      <c r="K44" s="663"/>
      <c r="L44" s="663"/>
      <c r="M44" s="663"/>
      <c r="N44" s="663"/>
      <c r="O44" s="663"/>
      <c r="P44" s="663"/>
      <c r="Q44" s="663"/>
      <c r="R44" s="663"/>
      <c r="S44" s="663"/>
      <c r="T44" s="663"/>
      <c r="U44" s="663"/>
      <c r="V44" s="663"/>
      <c r="W44" s="663"/>
      <c r="X44" s="663"/>
      <c r="Y44" s="663"/>
      <c r="Z44" s="663"/>
      <c r="AA44" s="663"/>
      <c r="AB44" s="663"/>
      <c r="AC44" s="663"/>
      <c r="AD44" s="663"/>
      <c r="AE44" s="663"/>
      <c r="AF44" s="663"/>
      <c r="AG44" s="663"/>
      <c r="AH44" s="663"/>
      <c r="AI44" s="663"/>
      <c r="AJ44" s="660"/>
    </row>
    <row r="45" spans="1:36" ht="27.75" customHeight="1" x14ac:dyDescent="0.2">
      <c r="A45" s="5459" t="s">
        <v>1143</v>
      </c>
      <c r="B45" s="5459"/>
      <c r="C45" s="5459"/>
      <c r="D45" s="5459"/>
      <c r="E45" s="5459"/>
      <c r="F45" s="5459"/>
      <c r="G45" s="5459"/>
      <c r="H45" s="5459"/>
      <c r="I45" s="5459"/>
      <c r="J45" s="5459"/>
      <c r="K45" s="5459"/>
      <c r="L45" s="5459"/>
      <c r="M45" s="5459"/>
      <c r="N45" s="5459"/>
      <c r="O45" s="5459"/>
      <c r="P45" s="5459"/>
      <c r="Q45" s="5459"/>
      <c r="R45" s="5459"/>
      <c r="S45" s="5459"/>
      <c r="T45" s="5459"/>
      <c r="U45" s="5459"/>
      <c r="V45" s="5459"/>
      <c r="W45" s="5459"/>
      <c r="X45" s="5459"/>
      <c r="Y45" s="5459"/>
      <c r="Z45" s="5459"/>
      <c r="AA45" s="5459"/>
      <c r="AB45" s="5459"/>
      <c r="AC45" s="5459"/>
      <c r="AD45" s="5459"/>
      <c r="AE45" s="5459"/>
      <c r="AF45" s="5459"/>
      <c r="AG45" s="5459"/>
      <c r="AH45" s="5459"/>
      <c r="AI45" s="5459"/>
      <c r="AJ45" s="660"/>
    </row>
    <row r="46" spans="1:36" ht="13.5" x14ac:dyDescent="0.2">
      <c r="A46" s="5456" t="s">
        <v>1142</v>
      </c>
      <c r="B46" s="5456"/>
      <c r="C46" s="5456"/>
      <c r="D46" s="5456"/>
      <c r="E46" s="5456"/>
      <c r="F46" s="5456"/>
      <c r="G46" s="5456"/>
      <c r="H46" s="661"/>
      <c r="I46" s="661"/>
      <c r="J46" s="661"/>
      <c r="K46" s="661"/>
      <c r="L46" s="661"/>
      <c r="M46" s="661"/>
      <c r="N46" s="661"/>
      <c r="O46" s="661"/>
      <c r="P46" s="661"/>
      <c r="Q46" s="661"/>
      <c r="R46" s="661"/>
      <c r="S46" s="661"/>
      <c r="T46" s="661"/>
      <c r="U46" s="661"/>
      <c r="V46" s="661"/>
      <c r="W46" s="661"/>
      <c r="X46" s="661"/>
      <c r="Y46" s="661"/>
      <c r="Z46" s="661"/>
      <c r="AA46" s="661"/>
      <c r="AB46" s="661"/>
      <c r="AC46" s="661"/>
      <c r="AD46" s="661"/>
      <c r="AE46" s="661"/>
      <c r="AF46" s="661"/>
      <c r="AG46" s="661"/>
      <c r="AH46" s="661"/>
      <c r="AI46" s="661"/>
      <c r="AJ46" s="660"/>
    </row>
    <row r="47" spans="1:36" ht="13.5" x14ac:dyDescent="0.2">
      <c r="A47" s="5489" t="s">
        <v>1141</v>
      </c>
      <c r="B47" s="5489"/>
      <c r="C47" s="5489"/>
      <c r="D47" s="5489"/>
      <c r="E47" s="5489"/>
      <c r="F47" s="5489"/>
      <c r="G47" s="5489"/>
      <c r="H47" s="5489"/>
      <c r="I47" s="5489"/>
      <c r="J47" s="5489"/>
      <c r="K47" s="5489"/>
      <c r="L47" s="5489"/>
      <c r="M47" s="5489"/>
      <c r="N47" s="5489"/>
      <c r="O47" s="5489"/>
      <c r="P47" s="5489"/>
      <c r="Q47" s="5489"/>
      <c r="R47" s="5489"/>
      <c r="S47" s="5489"/>
      <c r="T47" s="5489"/>
      <c r="U47" s="5489"/>
      <c r="V47" s="5489"/>
      <c r="W47" s="5489"/>
      <c r="X47" s="661"/>
      <c r="Y47" s="661"/>
      <c r="Z47" s="661"/>
      <c r="AA47" s="661"/>
      <c r="AB47" s="661"/>
      <c r="AC47" s="661"/>
      <c r="AD47" s="661"/>
      <c r="AE47" s="661"/>
      <c r="AF47" s="661"/>
      <c r="AG47" s="661"/>
      <c r="AH47" s="661"/>
      <c r="AI47" s="661"/>
      <c r="AJ47" s="660"/>
    </row>
    <row r="48" spans="1:36" ht="15" customHeight="1" x14ac:dyDescent="0.2">
      <c r="A48" s="3302"/>
      <c r="B48" s="3300"/>
      <c r="C48" s="3300"/>
      <c r="D48" s="3300"/>
      <c r="E48" s="3300"/>
      <c r="F48" s="3300"/>
      <c r="G48" s="3300"/>
      <c r="H48" s="3300"/>
      <c r="I48" s="3300"/>
      <c r="J48" s="3300"/>
      <c r="K48" s="661"/>
      <c r="L48" s="661"/>
      <c r="M48" s="661"/>
      <c r="N48" s="661"/>
      <c r="O48" s="661"/>
      <c r="P48" s="661"/>
      <c r="Q48" s="661"/>
      <c r="R48" s="661"/>
      <c r="S48" s="661"/>
      <c r="T48" s="661"/>
      <c r="U48" s="661"/>
      <c r="V48" s="661"/>
      <c r="W48" s="661"/>
      <c r="X48" s="661"/>
      <c r="Y48" s="661"/>
      <c r="Z48" s="661"/>
      <c r="AA48" s="661"/>
      <c r="AB48" s="661"/>
      <c r="AC48" s="661"/>
      <c r="AD48" s="661"/>
      <c r="AE48" s="661"/>
      <c r="AF48" s="661"/>
      <c r="AG48" s="661"/>
      <c r="AH48" s="661"/>
      <c r="AI48" s="661"/>
      <c r="AJ48" s="660"/>
    </row>
    <row r="49" spans="1:36" ht="12" x14ac:dyDescent="0.2">
      <c r="A49" s="5490" t="s">
        <v>1140</v>
      </c>
      <c r="B49" s="5490"/>
      <c r="C49" s="5490"/>
      <c r="D49" s="5490"/>
      <c r="E49" s="5490"/>
      <c r="F49" s="5490"/>
      <c r="G49" s="5490"/>
      <c r="H49" s="5490"/>
      <c r="I49" s="5490"/>
      <c r="J49" s="5490"/>
      <c r="K49" s="5490"/>
      <c r="L49" s="5490"/>
      <c r="M49" s="5490"/>
      <c r="N49" s="5490"/>
      <c r="O49" s="5490"/>
      <c r="P49" s="5490"/>
      <c r="Q49" s="5490"/>
      <c r="R49" s="5490"/>
      <c r="S49" s="5490"/>
      <c r="T49" s="5490"/>
      <c r="U49" s="5490"/>
      <c r="V49" s="5490"/>
      <c r="W49" s="5490"/>
      <c r="X49" s="5490"/>
      <c r="Y49" s="5490"/>
      <c r="Z49" s="5490"/>
      <c r="AA49" s="5490"/>
      <c r="AB49" s="5490"/>
      <c r="AC49" s="5490"/>
      <c r="AD49" s="5490"/>
      <c r="AE49" s="5490"/>
      <c r="AF49" s="5490"/>
      <c r="AG49" s="5490"/>
      <c r="AH49" s="5490"/>
      <c r="AI49" s="5490"/>
      <c r="AJ49" s="660"/>
    </row>
    <row r="50" spans="1:36" ht="5.25" customHeight="1" x14ac:dyDescent="0.2">
      <c r="A50" s="5490"/>
      <c r="B50" s="5490"/>
      <c r="C50" s="5490"/>
      <c r="D50" s="5490"/>
      <c r="E50" s="5490"/>
      <c r="F50" s="5490"/>
      <c r="G50" s="5490"/>
      <c r="H50" s="5490"/>
      <c r="I50" s="5490"/>
      <c r="J50" s="5490"/>
      <c r="K50" s="5490"/>
      <c r="L50" s="5490"/>
      <c r="M50" s="5490"/>
      <c r="N50" s="5490"/>
      <c r="O50" s="5490"/>
      <c r="P50" s="5490"/>
      <c r="Q50" s="5490"/>
      <c r="R50" s="5490"/>
      <c r="S50" s="5490"/>
      <c r="T50" s="5490"/>
      <c r="U50" s="5490"/>
      <c r="V50" s="5490"/>
      <c r="W50" s="5490"/>
      <c r="X50" s="5490"/>
      <c r="Y50" s="5490"/>
      <c r="Z50" s="5490"/>
      <c r="AA50" s="5490"/>
      <c r="AB50" s="5490"/>
      <c r="AC50" s="5490"/>
      <c r="AD50" s="5490"/>
      <c r="AE50" s="5490"/>
      <c r="AF50" s="5490"/>
      <c r="AG50" s="5490"/>
      <c r="AH50" s="5490"/>
      <c r="AI50" s="5490"/>
      <c r="AJ50" s="660"/>
    </row>
    <row r="51" spans="1:36" ht="8.25" customHeight="1" x14ac:dyDescent="0.2">
      <c r="A51" s="661"/>
      <c r="B51" s="689"/>
      <c r="C51" s="689"/>
      <c r="D51" s="689"/>
      <c r="E51" s="689"/>
      <c r="F51" s="689"/>
      <c r="G51" s="689"/>
      <c r="H51" s="689"/>
      <c r="I51" s="689"/>
      <c r="J51" s="689"/>
      <c r="K51" s="689"/>
      <c r="L51" s="689"/>
      <c r="M51" s="689"/>
      <c r="N51" s="689"/>
      <c r="O51" s="689"/>
      <c r="P51" s="689"/>
      <c r="Q51" s="689"/>
      <c r="R51" s="689"/>
      <c r="S51" s="689"/>
      <c r="T51" s="689"/>
      <c r="U51" s="689"/>
      <c r="V51" s="689"/>
      <c r="W51" s="689"/>
      <c r="X51" s="689"/>
      <c r="Y51" s="689"/>
      <c r="Z51" s="689"/>
      <c r="AA51" s="689"/>
      <c r="AB51" s="689"/>
      <c r="AC51" s="689"/>
      <c r="AD51" s="689"/>
      <c r="AE51" s="689"/>
      <c r="AF51" s="689"/>
      <c r="AG51" s="689"/>
      <c r="AH51" s="689"/>
      <c r="AI51" s="689"/>
      <c r="AJ51" s="660"/>
    </row>
    <row r="52" spans="1:36" ht="12" x14ac:dyDescent="0.2">
      <c r="A52" s="5491" t="s">
        <v>982</v>
      </c>
      <c r="B52" s="5492"/>
      <c r="C52" s="5492"/>
      <c r="D52" s="5492"/>
      <c r="E52" s="5492"/>
      <c r="F52" s="5492"/>
      <c r="G52" s="5492"/>
      <c r="H52" s="5492"/>
      <c r="I52" s="5492"/>
      <c r="J52" s="5492"/>
      <c r="K52" s="5492"/>
      <c r="L52" s="5492"/>
      <c r="M52" s="5492"/>
      <c r="N52" s="5492"/>
      <c r="O52" s="5492"/>
      <c r="P52" s="5492"/>
      <c r="Q52" s="5492"/>
      <c r="R52" s="5492"/>
      <c r="S52" s="5492"/>
      <c r="T52" s="5492"/>
      <c r="U52" s="5492"/>
      <c r="V52" s="5492"/>
      <c r="W52" s="5492"/>
      <c r="X52" s="5492"/>
      <c r="Y52" s="5492"/>
      <c r="Z52" s="5492"/>
      <c r="AA52" s="5492"/>
      <c r="AB52" s="5492"/>
      <c r="AC52" s="5492"/>
      <c r="AD52" s="5492"/>
      <c r="AE52" s="5492"/>
      <c r="AF52" s="5492"/>
      <c r="AG52" s="5492"/>
      <c r="AH52" s="5492"/>
      <c r="AI52" s="5493"/>
      <c r="AJ52" s="660"/>
    </row>
    <row r="53" spans="1:36" ht="12.75" customHeight="1" x14ac:dyDescent="0.2">
      <c r="A53" s="5476" t="s">
        <v>1139</v>
      </c>
      <c r="B53" s="5435"/>
      <c r="C53" s="5435"/>
      <c r="D53" s="5435"/>
      <c r="E53" s="5435"/>
      <c r="F53" s="5435"/>
      <c r="G53" s="5435"/>
      <c r="H53" s="5435"/>
      <c r="I53" s="5435"/>
      <c r="J53" s="5435"/>
      <c r="K53" s="5435"/>
      <c r="L53" s="5435"/>
      <c r="M53" s="5435"/>
      <c r="N53" s="5435"/>
      <c r="O53" s="5435"/>
      <c r="P53" s="5435"/>
      <c r="Q53" s="5435"/>
      <c r="R53" s="5435"/>
      <c r="S53" s="5435"/>
      <c r="T53" s="5435"/>
      <c r="U53" s="5435"/>
      <c r="V53" s="5435"/>
      <c r="W53" s="5435"/>
      <c r="X53" s="5435"/>
      <c r="Y53" s="5435"/>
      <c r="Z53" s="5435"/>
      <c r="AA53" s="5435"/>
      <c r="AB53" s="5435"/>
      <c r="AC53" s="5435"/>
      <c r="AD53" s="5435"/>
      <c r="AE53" s="5435"/>
      <c r="AF53" s="5435"/>
      <c r="AG53" s="5435"/>
      <c r="AH53" s="5435"/>
      <c r="AI53" s="5477"/>
      <c r="AJ53" s="660"/>
    </row>
    <row r="54" spans="1:36" ht="12" x14ac:dyDescent="0.2">
      <c r="A54" s="5478" t="s">
        <v>1138</v>
      </c>
      <c r="B54" s="5479"/>
      <c r="C54" s="5479"/>
      <c r="D54" s="5479"/>
      <c r="E54" s="5479"/>
      <c r="F54" s="5479"/>
      <c r="G54" s="5479"/>
      <c r="H54" s="5479"/>
      <c r="I54" s="5479"/>
      <c r="J54" s="5479"/>
      <c r="K54" s="5479"/>
      <c r="L54" s="5479"/>
      <c r="M54" s="5479"/>
      <c r="N54" s="5479"/>
      <c r="O54" s="5479"/>
      <c r="P54" s="5479"/>
      <c r="Q54" s="5479"/>
      <c r="R54" s="5479"/>
      <c r="S54" s="5479"/>
      <c r="T54" s="5479"/>
      <c r="U54" s="5479"/>
      <c r="V54" s="5479"/>
      <c r="W54" s="5479"/>
      <c r="X54" s="5479"/>
      <c r="Y54" s="5479"/>
      <c r="Z54" s="5479"/>
      <c r="AA54" s="5479"/>
      <c r="AB54" s="5479"/>
      <c r="AC54" s="5479"/>
      <c r="AD54" s="5479"/>
      <c r="AE54" s="5479"/>
      <c r="AF54" s="5479"/>
      <c r="AG54" s="5479"/>
      <c r="AH54" s="5479"/>
      <c r="AI54" s="5480"/>
      <c r="AJ54" s="660"/>
    </row>
    <row r="55" spans="1:36" ht="15.75" customHeight="1" x14ac:dyDescent="0.2">
      <c r="A55" s="3361" t="s">
        <v>980</v>
      </c>
      <c r="B55" s="5473" t="s">
        <v>986</v>
      </c>
      <c r="C55" s="5488"/>
      <c r="D55" s="5488"/>
      <c r="E55" s="5488"/>
      <c r="F55" s="5488"/>
      <c r="G55" s="5488"/>
      <c r="H55" s="5488"/>
      <c r="I55" s="5488"/>
      <c r="J55" s="5488"/>
      <c r="K55" s="5488"/>
      <c r="L55" s="5488"/>
      <c r="M55" s="5488"/>
      <c r="N55" s="5488"/>
      <c r="O55" s="5488"/>
      <c r="P55" s="5488"/>
      <c r="Q55" s="5488"/>
      <c r="R55" s="5488"/>
      <c r="S55" s="5488"/>
      <c r="T55" s="5488"/>
      <c r="U55" s="5488"/>
      <c r="V55" s="5488"/>
      <c r="W55" s="5488"/>
      <c r="X55" s="5488"/>
      <c r="Y55" s="5488"/>
      <c r="Z55" s="5488"/>
      <c r="AA55" s="5488"/>
      <c r="AB55" s="5488"/>
      <c r="AC55" s="5488"/>
      <c r="AD55" s="5488"/>
      <c r="AE55" s="5488"/>
      <c r="AF55" s="5488"/>
      <c r="AG55" s="5488"/>
      <c r="AH55" s="5488"/>
      <c r="AI55" s="5488"/>
    </row>
    <row r="56" spans="1:36" ht="15.75" customHeight="1" x14ac:dyDescent="0.2">
      <c r="A56" s="3361" t="s">
        <v>980</v>
      </c>
      <c r="B56" s="5473" t="s">
        <v>986</v>
      </c>
      <c r="C56" s="5488"/>
      <c r="D56" s="5488"/>
      <c r="E56" s="5488"/>
      <c r="F56" s="5488"/>
      <c r="G56" s="5488"/>
      <c r="H56" s="5488"/>
      <c r="I56" s="5488"/>
      <c r="J56" s="5488"/>
      <c r="K56" s="5488"/>
      <c r="L56" s="5488"/>
      <c r="M56" s="5488"/>
      <c r="N56" s="5488"/>
      <c r="O56" s="5488"/>
      <c r="P56" s="5488"/>
      <c r="Q56" s="5488"/>
      <c r="R56" s="5488"/>
      <c r="S56" s="5488"/>
      <c r="T56" s="5488"/>
      <c r="U56" s="5488"/>
      <c r="V56" s="5488"/>
      <c r="W56" s="5488"/>
      <c r="X56" s="5488"/>
      <c r="Y56" s="5488"/>
      <c r="Z56" s="5488"/>
      <c r="AA56" s="5488"/>
      <c r="AB56" s="5488"/>
      <c r="AC56" s="5488"/>
      <c r="AD56" s="5488"/>
      <c r="AE56" s="5488"/>
      <c r="AF56" s="5488"/>
      <c r="AG56" s="5488"/>
      <c r="AH56" s="5488"/>
      <c r="AI56" s="5488"/>
    </row>
    <row r="57" spans="1:36" ht="15.75" customHeight="1" x14ac:dyDescent="0.2">
      <c r="A57" s="3361" t="s">
        <v>980</v>
      </c>
      <c r="B57" s="5473" t="s">
        <v>986</v>
      </c>
      <c r="C57" s="5488"/>
      <c r="D57" s="5488"/>
      <c r="E57" s="5488"/>
      <c r="F57" s="5488"/>
      <c r="G57" s="5488"/>
      <c r="H57" s="5488"/>
      <c r="I57" s="5488"/>
      <c r="J57" s="5488"/>
      <c r="K57" s="5488"/>
      <c r="L57" s="5488"/>
      <c r="M57" s="5488"/>
      <c r="N57" s="5488"/>
      <c r="O57" s="5488"/>
      <c r="P57" s="5488"/>
      <c r="Q57" s="5488"/>
      <c r="R57" s="5488"/>
      <c r="S57" s="5488"/>
      <c r="T57" s="5488"/>
      <c r="U57" s="5488"/>
      <c r="V57" s="5488"/>
      <c r="W57" s="5488"/>
      <c r="X57" s="5488"/>
      <c r="Y57" s="5488"/>
      <c r="Z57" s="5488"/>
      <c r="AA57" s="5488"/>
      <c r="AB57" s="5488"/>
      <c r="AC57" s="5488"/>
      <c r="AD57" s="5488"/>
      <c r="AE57" s="5488"/>
      <c r="AF57" s="5488"/>
      <c r="AG57" s="5488"/>
      <c r="AH57" s="5488"/>
      <c r="AI57" s="5488"/>
    </row>
    <row r="58" spans="1:36" ht="15.75" customHeight="1" x14ac:dyDescent="0.2">
      <c r="A58" s="3361" t="s">
        <v>980</v>
      </c>
      <c r="B58" s="5473" t="s">
        <v>986</v>
      </c>
      <c r="C58" s="5488"/>
      <c r="D58" s="5488"/>
      <c r="E58" s="5488"/>
      <c r="F58" s="5488"/>
      <c r="G58" s="5488"/>
      <c r="H58" s="5488"/>
      <c r="I58" s="5488"/>
      <c r="J58" s="5488"/>
      <c r="K58" s="5488"/>
      <c r="L58" s="5488"/>
      <c r="M58" s="5488"/>
      <c r="N58" s="5488"/>
      <c r="O58" s="5488"/>
      <c r="P58" s="5488"/>
      <c r="Q58" s="5488"/>
      <c r="R58" s="5488"/>
      <c r="S58" s="5488"/>
      <c r="T58" s="5488"/>
      <c r="U58" s="5488"/>
      <c r="V58" s="5488"/>
      <c r="W58" s="5488"/>
      <c r="X58" s="5488"/>
      <c r="Y58" s="5488"/>
      <c r="Z58" s="5488"/>
      <c r="AA58" s="5488"/>
      <c r="AB58" s="5488"/>
      <c r="AC58" s="5488"/>
      <c r="AD58" s="5488"/>
      <c r="AE58" s="5488"/>
      <c r="AF58" s="5488"/>
      <c r="AG58" s="5488"/>
      <c r="AH58" s="5488"/>
      <c r="AI58" s="5488"/>
    </row>
    <row r="59" spans="1:36" ht="15.75" customHeight="1" x14ac:dyDescent="0.2">
      <c r="A59" s="3361" t="s">
        <v>980</v>
      </c>
      <c r="B59" s="5473" t="s">
        <v>986</v>
      </c>
      <c r="C59" s="5488"/>
      <c r="D59" s="5488"/>
      <c r="E59" s="5488"/>
      <c r="F59" s="5488"/>
      <c r="G59" s="5488"/>
      <c r="H59" s="5488"/>
      <c r="I59" s="5488"/>
      <c r="J59" s="5488"/>
      <c r="K59" s="5488"/>
      <c r="L59" s="5488"/>
      <c r="M59" s="5488"/>
      <c r="N59" s="5488"/>
      <c r="O59" s="5488"/>
      <c r="P59" s="5488"/>
      <c r="Q59" s="5488"/>
      <c r="R59" s="5488"/>
      <c r="S59" s="5488"/>
      <c r="T59" s="5488"/>
      <c r="U59" s="5488"/>
      <c r="V59" s="5488"/>
      <c r="W59" s="5488"/>
      <c r="X59" s="5488"/>
      <c r="Y59" s="5488"/>
      <c r="Z59" s="5488"/>
      <c r="AA59" s="5488"/>
      <c r="AB59" s="5488"/>
      <c r="AC59" s="5488"/>
      <c r="AD59" s="5488"/>
      <c r="AE59" s="5488"/>
      <c r="AF59" s="5488"/>
      <c r="AG59" s="5488"/>
      <c r="AH59" s="5488"/>
      <c r="AI59" s="5488"/>
    </row>
    <row r="60" spans="1:36" ht="15.75" customHeight="1" x14ac:dyDescent="0.2">
      <c r="A60" s="3361" t="s">
        <v>980</v>
      </c>
      <c r="B60" s="5473" t="s">
        <v>986</v>
      </c>
      <c r="C60" s="5474"/>
      <c r="D60" s="5474"/>
      <c r="E60" s="5474"/>
      <c r="F60" s="5474"/>
      <c r="G60" s="5474"/>
      <c r="H60" s="5474"/>
      <c r="I60" s="5474"/>
      <c r="J60" s="5474"/>
      <c r="K60" s="5474"/>
      <c r="L60" s="5474"/>
      <c r="M60" s="5474"/>
      <c r="N60" s="5474"/>
      <c r="O60" s="5474"/>
      <c r="P60" s="5474"/>
      <c r="Q60" s="5474"/>
      <c r="R60" s="5474"/>
      <c r="S60" s="5474"/>
      <c r="T60" s="5474"/>
      <c r="U60" s="5474"/>
      <c r="V60" s="5474"/>
      <c r="W60" s="5474"/>
      <c r="X60" s="5474"/>
      <c r="Y60" s="5474"/>
      <c r="Z60" s="5474"/>
      <c r="AA60" s="5474"/>
      <c r="AB60" s="5474"/>
      <c r="AC60" s="5474"/>
      <c r="AD60" s="5474"/>
      <c r="AE60" s="5474"/>
      <c r="AF60" s="5474"/>
      <c r="AG60" s="5474"/>
      <c r="AH60" s="5474"/>
      <c r="AI60" s="5475"/>
    </row>
    <row r="61" spans="1:36" ht="15" x14ac:dyDescent="0.25">
      <c r="A61" s="3360" t="s">
        <v>1137</v>
      </c>
      <c r="B61" s="5473" t="s">
        <v>986</v>
      </c>
      <c r="C61" s="5494"/>
      <c r="D61" s="5494"/>
      <c r="E61" s="5494"/>
      <c r="F61" s="5494"/>
      <c r="G61" s="5494"/>
      <c r="H61" s="5494"/>
      <c r="I61" s="5494"/>
      <c r="J61" s="5494"/>
      <c r="K61" s="5494"/>
      <c r="L61" s="5494"/>
      <c r="M61" s="5494"/>
      <c r="N61" s="5494"/>
      <c r="O61" s="5494"/>
      <c r="P61" s="5494"/>
      <c r="Q61" s="5494"/>
      <c r="R61" s="5494"/>
      <c r="S61" s="5494"/>
      <c r="T61" s="5494"/>
      <c r="U61" s="5494"/>
      <c r="V61" s="5494"/>
      <c r="W61" s="5494"/>
      <c r="X61" s="5494"/>
      <c r="Y61" s="5494"/>
      <c r="Z61" s="5494"/>
      <c r="AA61" s="5494"/>
      <c r="AB61" s="5494"/>
      <c r="AC61" s="5494"/>
      <c r="AD61" s="5494"/>
      <c r="AE61" s="5494"/>
      <c r="AF61" s="5494"/>
      <c r="AG61" s="5494"/>
      <c r="AH61" s="5494"/>
      <c r="AI61" s="5495"/>
    </row>
    <row r="62" spans="1:36" ht="15" x14ac:dyDescent="0.25">
      <c r="A62" s="3360" t="s">
        <v>1137</v>
      </c>
      <c r="B62" s="5473" t="s">
        <v>986</v>
      </c>
      <c r="C62" s="5494"/>
      <c r="D62" s="5494"/>
      <c r="E62" s="5494"/>
      <c r="F62" s="5494"/>
      <c r="G62" s="5494"/>
      <c r="H62" s="5494"/>
      <c r="I62" s="5494"/>
      <c r="J62" s="5494"/>
      <c r="K62" s="5494"/>
      <c r="L62" s="5494"/>
      <c r="M62" s="5494"/>
      <c r="N62" s="5494"/>
      <c r="O62" s="5494"/>
      <c r="P62" s="5494"/>
      <c r="Q62" s="5494"/>
      <c r="R62" s="5494"/>
      <c r="S62" s="5494"/>
      <c r="T62" s="5494"/>
      <c r="U62" s="5494"/>
      <c r="V62" s="5494"/>
      <c r="W62" s="5494"/>
      <c r="X62" s="5494"/>
      <c r="Y62" s="5494"/>
      <c r="Z62" s="5494"/>
      <c r="AA62" s="5494"/>
      <c r="AB62" s="5494"/>
      <c r="AC62" s="5494"/>
      <c r="AD62" s="5494"/>
      <c r="AE62" s="5494"/>
      <c r="AF62" s="5494"/>
      <c r="AG62" s="5494"/>
      <c r="AH62" s="5494"/>
      <c r="AI62" s="5495"/>
    </row>
    <row r="63" spans="1:36" ht="15" x14ac:dyDescent="0.25">
      <c r="A63" s="3360" t="s">
        <v>1137</v>
      </c>
      <c r="B63" s="5473" t="s">
        <v>986</v>
      </c>
      <c r="C63" s="5494"/>
      <c r="D63" s="5494"/>
      <c r="E63" s="5494"/>
      <c r="F63" s="5494"/>
      <c r="G63" s="5494"/>
      <c r="H63" s="5494"/>
      <c r="I63" s="5494"/>
      <c r="J63" s="5494"/>
      <c r="K63" s="5494"/>
      <c r="L63" s="5494"/>
      <c r="M63" s="5494"/>
      <c r="N63" s="5494"/>
      <c r="O63" s="5494"/>
      <c r="P63" s="5494"/>
      <c r="Q63" s="5494"/>
      <c r="R63" s="5494"/>
      <c r="S63" s="5494"/>
      <c r="T63" s="5494"/>
      <c r="U63" s="5494"/>
      <c r="V63" s="5494"/>
      <c r="W63" s="5494"/>
      <c r="X63" s="5494"/>
      <c r="Y63" s="5494"/>
      <c r="Z63" s="5494"/>
      <c r="AA63" s="5494"/>
      <c r="AB63" s="5494"/>
      <c r="AC63" s="5494"/>
      <c r="AD63" s="5494"/>
      <c r="AE63" s="5494"/>
      <c r="AF63" s="5494"/>
      <c r="AG63" s="5494"/>
      <c r="AH63" s="5494"/>
      <c r="AI63" s="5495"/>
    </row>
    <row r="64" spans="1:36" ht="15" x14ac:dyDescent="0.25">
      <c r="A64" s="3360" t="s">
        <v>1137</v>
      </c>
      <c r="B64" s="5473" t="s">
        <v>986</v>
      </c>
      <c r="C64" s="5494"/>
      <c r="D64" s="5494"/>
      <c r="E64" s="5494"/>
      <c r="F64" s="5494"/>
      <c r="G64" s="5494"/>
      <c r="H64" s="5494"/>
      <c r="I64" s="5494"/>
      <c r="J64" s="5494"/>
      <c r="K64" s="5494"/>
      <c r="L64" s="5494"/>
      <c r="M64" s="5494"/>
      <c r="N64" s="5494"/>
      <c r="O64" s="5494"/>
      <c r="P64" s="5494"/>
      <c r="Q64" s="5494"/>
      <c r="R64" s="5494"/>
      <c r="S64" s="5494"/>
      <c r="T64" s="5494"/>
      <c r="U64" s="5494"/>
      <c r="V64" s="5494"/>
      <c r="W64" s="5494"/>
      <c r="X64" s="5494"/>
      <c r="Y64" s="5494"/>
      <c r="Z64" s="5494"/>
      <c r="AA64" s="5494"/>
      <c r="AB64" s="5494"/>
      <c r="AC64" s="5494"/>
      <c r="AD64" s="5494"/>
      <c r="AE64" s="5494"/>
      <c r="AF64" s="5494"/>
      <c r="AG64" s="5494"/>
      <c r="AH64" s="5494"/>
      <c r="AI64" s="5495"/>
    </row>
    <row r="65" spans="1:35" ht="15" x14ac:dyDescent="0.25">
      <c r="A65" s="3360" t="s">
        <v>1137</v>
      </c>
      <c r="B65" s="5473" t="s">
        <v>986</v>
      </c>
      <c r="C65" s="5494"/>
      <c r="D65" s="5494"/>
      <c r="E65" s="5494"/>
      <c r="F65" s="5494"/>
      <c r="G65" s="5494"/>
      <c r="H65" s="5494"/>
      <c r="I65" s="5494"/>
      <c r="J65" s="5494"/>
      <c r="K65" s="5494"/>
      <c r="L65" s="5494"/>
      <c r="M65" s="5494"/>
      <c r="N65" s="5494"/>
      <c r="O65" s="5494"/>
      <c r="P65" s="5494"/>
      <c r="Q65" s="5494"/>
      <c r="R65" s="5494"/>
      <c r="S65" s="5494"/>
      <c r="T65" s="5494"/>
      <c r="U65" s="5494"/>
      <c r="V65" s="5494"/>
      <c r="W65" s="5494"/>
      <c r="X65" s="5494"/>
      <c r="Y65" s="5494"/>
      <c r="Z65" s="5494"/>
      <c r="AA65" s="5494"/>
      <c r="AB65" s="5494"/>
      <c r="AC65" s="5494"/>
      <c r="AD65" s="5494"/>
      <c r="AE65" s="5494"/>
      <c r="AF65" s="5494"/>
      <c r="AG65" s="5494"/>
      <c r="AH65" s="5494"/>
      <c r="AI65" s="5495"/>
    </row>
    <row r="66" spans="1:35" ht="15" x14ac:dyDescent="0.25">
      <c r="A66" s="3360" t="s">
        <v>1137</v>
      </c>
      <c r="B66" s="5473" t="s">
        <v>986</v>
      </c>
      <c r="C66" s="5494"/>
      <c r="D66" s="5494"/>
      <c r="E66" s="5494"/>
      <c r="F66" s="5494"/>
      <c r="G66" s="5494"/>
      <c r="H66" s="5494"/>
      <c r="I66" s="5494"/>
      <c r="J66" s="5494"/>
      <c r="K66" s="5494"/>
      <c r="L66" s="5494"/>
      <c r="M66" s="5494"/>
      <c r="N66" s="5494"/>
      <c r="O66" s="5494"/>
      <c r="P66" s="5494"/>
      <c r="Q66" s="5494"/>
      <c r="R66" s="5494"/>
      <c r="S66" s="5494"/>
      <c r="T66" s="5494"/>
      <c r="U66" s="5494"/>
      <c r="V66" s="5494"/>
      <c r="W66" s="5494"/>
      <c r="X66" s="5494"/>
      <c r="Y66" s="5494"/>
      <c r="Z66" s="5494"/>
      <c r="AA66" s="5494"/>
      <c r="AB66" s="5494"/>
      <c r="AC66" s="5494"/>
      <c r="AD66" s="5494"/>
      <c r="AE66" s="5494"/>
      <c r="AF66" s="5494"/>
      <c r="AG66" s="5494"/>
      <c r="AH66" s="5494"/>
      <c r="AI66" s="5495"/>
    </row>
    <row r="67" spans="1:35" ht="15" x14ac:dyDescent="0.25">
      <c r="A67" s="3360" t="s">
        <v>1137</v>
      </c>
      <c r="B67" s="5473" t="s">
        <v>986</v>
      </c>
      <c r="C67" s="5494"/>
      <c r="D67" s="5494"/>
      <c r="E67" s="5494"/>
      <c r="F67" s="5494"/>
      <c r="G67" s="5494"/>
      <c r="H67" s="5494"/>
      <c r="I67" s="5494"/>
      <c r="J67" s="5494"/>
      <c r="K67" s="5494"/>
      <c r="L67" s="5494"/>
      <c r="M67" s="5494"/>
      <c r="N67" s="5494"/>
      <c r="O67" s="5494"/>
      <c r="P67" s="5494"/>
      <c r="Q67" s="5494"/>
      <c r="R67" s="5494"/>
      <c r="S67" s="5494"/>
      <c r="T67" s="5494"/>
      <c r="U67" s="5494"/>
      <c r="V67" s="5494"/>
      <c r="W67" s="5494"/>
      <c r="X67" s="5494"/>
      <c r="Y67" s="5494"/>
      <c r="Z67" s="5494"/>
      <c r="AA67" s="5494"/>
      <c r="AB67" s="5494"/>
      <c r="AC67" s="5494"/>
      <c r="AD67" s="5494"/>
      <c r="AE67" s="5494"/>
      <c r="AF67" s="5494"/>
      <c r="AG67" s="5494"/>
      <c r="AH67" s="5494"/>
      <c r="AI67" s="5495"/>
    </row>
    <row r="68" spans="1:35" ht="15" x14ac:dyDescent="0.25">
      <c r="A68" s="3360" t="s">
        <v>1137</v>
      </c>
      <c r="B68" s="5473" t="s">
        <v>986</v>
      </c>
      <c r="C68" s="5494"/>
      <c r="D68" s="5494"/>
      <c r="E68" s="5494"/>
      <c r="F68" s="5494"/>
      <c r="G68" s="5494"/>
      <c r="H68" s="5494"/>
      <c r="I68" s="5494"/>
      <c r="J68" s="5494"/>
      <c r="K68" s="5494"/>
      <c r="L68" s="5494"/>
      <c r="M68" s="5494"/>
      <c r="N68" s="5494"/>
      <c r="O68" s="5494"/>
      <c r="P68" s="5494"/>
      <c r="Q68" s="5494"/>
      <c r="R68" s="5494"/>
      <c r="S68" s="5494"/>
      <c r="T68" s="5494"/>
      <c r="U68" s="5494"/>
      <c r="V68" s="5494"/>
      <c r="W68" s="5494"/>
      <c r="X68" s="5494"/>
      <c r="Y68" s="5494"/>
      <c r="Z68" s="5494"/>
      <c r="AA68" s="5494"/>
      <c r="AB68" s="5494"/>
      <c r="AC68" s="5494"/>
      <c r="AD68" s="5494"/>
      <c r="AE68" s="5494"/>
      <c r="AF68" s="5494"/>
      <c r="AG68" s="5494"/>
      <c r="AH68" s="5494"/>
      <c r="AI68" s="5495"/>
    </row>
    <row r="69" spans="1:35" ht="15" x14ac:dyDescent="0.25">
      <c r="A69" s="3360" t="s">
        <v>1137</v>
      </c>
      <c r="B69" s="5473" t="s">
        <v>986</v>
      </c>
      <c r="C69" s="5494"/>
      <c r="D69" s="5494"/>
      <c r="E69" s="5494"/>
      <c r="F69" s="5494"/>
      <c r="G69" s="5494"/>
      <c r="H69" s="5494"/>
      <c r="I69" s="5494"/>
      <c r="J69" s="5494"/>
      <c r="K69" s="5494"/>
      <c r="L69" s="5494"/>
      <c r="M69" s="5494"/>
      <c r="N69" s="5494"/>
      <c r="O69" s="5494"/>
      <c r="P69" s="5494"/>
      <c r="Q69" s="5494"/>
      <c r="R69" s="5494"/>
      <c r="S69" s="5494"/>
      <c r="T69" s="5494"/>
      <c r="U69" s="5494"/>
      <c r="V69" s="5494"/>
      <c r="W69" s="5494"/>
      <c r="X69" s="5494"/>
      <c r="Y69" s="5494"/>
      <c r="Z69" s="5494"/>
      <c r="AA69" s="5494"/>
      <c r="AB69" s="5494"/>
      <c r="AC69" s="5494"/>
      <c r="AD69" s="5494"/>
      <c r="AE69" s="5494"/>
      <c r="AF69" s="5494"/>
      <c r="AG69" s="5494"/>
      <c r="AH69" s="5494"/>
      <c r="AI69" s="5495"/>
    </row>
    <row r="70" spans="1:35" ht="15" x14ac:dyDescent="0.25">
      <c r="A70" s="3360" t="s">
        <v>1137</v>
      </c>
      <c r="B70" s="5473" t="s">
        <v>986</v>
      </c>
      <c r="C70" s="5494"/>
      <c r="D70" s="5494"/>
      <c r="E70" s="5494"/>
      <c r="F70" s="5494"/>
      <c r="G70" s="5494"/>
      <c r="H70" s="5494"/>
      <c r="I70" s="5494"/>
      <c r="J70" s="5494"/>
      <c r="K70" s="5494"/>
      <c r="L70" s="5494"/>
      <c r="M70" s="5494"/>
      <c r="N70" s="5494"/>
      <c r="O70" s="5494"/>
      <c r="P70" s="5494"/>
      <c r="Q70" s="5494"/>
      <c r="R70" s="5494"/>
      <c r="S70" s="5494"/>
      <c r="T70" s="5494"/>
      <c r="U70" s="5494"/>
      <c r="V70" s="5494"/>
      <c r="W70" s="5494"/>
      <c r="X70" s="5494"/>
      <c r="Y70" s="5494"/>
      <c r="Z70" s="5494"/>
      <c r="AA70" s="5494"/>
      <c r="AB70" s="5494"/>
      <c r="AC70" s="5494"/>
      <c r="AD70" s="5494"/>
      <c r="AE70" s="5494"/>
      <c r="AF70" s="5494"/>
      <c r="AG70" s="5494"/>
      <c r="AH70" s="5494"/>
      <c r="AI70" s="5495"/>
    </row>
    <row r="71" spans="1:35" ht="15" x14ac:dyDescent="0.25">
      <c r="A71" s="3360" t="s">
        <v>1137</v>
      </c>
      <c r="B71" s="5473" t="s">
        <v>986</v>
      </c>
      <c r="C71" s="5494"/>
      <c r="D71" s="5494"/>
      <c r="E71" s="5494"/>
      <c r="F71" s="5494"/>
      <c r="G71" s="5494"/>
      <c r="H71" s="5494"/>
      <c r="I71" s="5494"/>
      <c r="J71" s="5494"/>
      <c r="K71" s="5494"/>
      <c r="L71" s="5494"/>
      <c r="M71" s="5494"/>
      <c r="N71" s="5494"/>
      <c r="O71" s="5494"/>
      <c r="P71" s="5494"/>
      <c r="Q71" s="5494"/>
      <c r="R71" s="5494"/>
      <c r="S71" s="5494"/>
      <c r="T71" s="5494"/>
      <c r="U71" s="5494"/>
      <c r="V71" s="5494"/>
      <c r="W71" s="5494"/>
      <c r="X71" s="5494"/>
      <c r="Y71" s="5494"/>
      <c r="Z71" s="5494"/>
      <c r="AA71" s="5494"/>
      <c r="AB71" s="5494"/>
      <c r="AC71" s="5494"/>
      <c r="AD71" s="5494"/>
      <c r="AE71" s="5494"/>
      <c r="AF71" s="5494"/>
      <c r="AG71" s="5494"/>
      <c r="AH71" s="5494"/>
      <c r="AI71" s="5495"/>
    </row>
    <row r="72" spans="1:35" ht="15" x14ac:dyDescent="0.25">
      <c r="A72" s="3360" t="s">
        <v>1137</v>
      </c>
      <c r="B72" s="5473" t="s">
        <v>986</v>
      </c>
      <c r="C72" s="5494"/>
      <c r="D72" s="5494"/>
      <c r="E72" s="5494"/>
      <c r="F72" s="5494"/>
      <c r="G72" s="5494"/>
      <c r="H72" s="5494"/>
      <c r="I72" s="5494"/>
      <c r="J72" s="5494"/>
      <c r="K72" s="5494"/>
      <c r="L72" s="5494"/>
      <c r="M72" s="5494"/>
      <c r="N72" s="5494"/>
      <c r="O72" s="5494"/>
      <c r="P72" s="5494"/>
      <c r="Q72" s="5494"/>
      <c r="R72" s="5494"/>
      <c r="S72" s="5494"/>
      <c r="T72" s="5494"/>
      <c r="U72" s="5494"/>
      <c r="V72" s="5494"/>
      <c r="W72" s="5494"/>
      <c r="X72" s="5494"/>
      <c r="Y72" s="5494"/>
      <c r="Z72" s="5494"/>
      <c r="AA72" s="5494"/>
      <c r="AB72" s="5494"/>
      <c r="AC72" s="5494"/>
      <c r="AD72" s="5494"/>
      <c r="AE72" s="5494"/>
      <c r="AF72" s="5494"/>
      <c r="AG72" s="5494"/>
      <c r="AH72" s="5494"/>
      <c r="AI72" s="5495"/>
    </row>
    <row r="73" spans="1:35" ht="15" x14ac:dyDescent="0.25">
      <c r="A73" s="3360" t="s">
        <v>1137</v>
      </c>
      <c r="B73" s="5473" t="s">
        <v>986</v>
      </c>
      <c r="C73" s="5494"/>
      <c r="D73" s="5494"/>
      <c r="E73" s="5494"/>
      <c r="F73" s="5494"/>
      <c r="G73" s="5494"/>
      <c r="H73" s="5494"/>
      <c r="I73" s="5494"/>
      <c r="J73" s="5494"/>
      <c r="K73" s="5494"/>
      <c r="L73" s="5494"/>
      <c r="M73" s="5494"/>
      <c r="N73" s="5494"/>
      <c r="O73" s="5494"/>
      <c r="P73" s="5494"/>
      <c r="Q73" s="5494"/>
      <c r="R73" s="5494"/>
      <c r="S73" s="5494"/>
      <c r="T73" s="5494"/>
      <c r="U73" s="5494"/>
      <c r="V73" s="5494"/>
      <c r="W73" s="5494"/>
      <c r="X73" s="5494"/>
      <c r="Y73" s="5494"/>
      <c r="Z73" s="5494"/>
      <c r="AA73" s="5494"/>
      <c r="AB73" s="5494"/>
      <c r="AC73" s="5494"/>
      <c r="AD73" s="5494"/>
      <c r="AE73" s="5494"/>
      <c r="AF73" s="5494"/>
      <c r="AG73" s="5494"/>
      <c r="AH73" s="5494"/>
      <c r="AI73" s="5495"/>
    </row>
    <row r="74" spans="1:35" ht="15" x14ac:dyDescent="0.25">
      <c r="A74" s="3360" t="s">
        <v>1137</v>
      </c>
      <c r="B74" s="5473" t="s">
        <v>986</v>
      </c>
      <c r="C74" s="5494"/>
      <c r="D74" s="5494"/>
      <c r="E74" s="5494"/>
      <c r="F74" s="5494"/>
      <c r="G74" s="5494"/>
      <c r="H74" s="5494"/>
      <c r="I74" s="5494"/>
      <c r="J74" s="5494"/>
      <c r="K74" s="5494"/>
      <c r="L74" s="5494"/>
      <c r="M74" s="5494"/>
      <c r="N74" s="5494"/>
      <c r="O74" s="5494"/>
      <c r="P74" s="5494"/>
      <c r="Q74" s="5494"/>
      <c r="R74" s="5494"/>
      <c r="S74" s="5494"/>
      <c r="T74" s="5494"/>
      <c r="U74" s="5494"/>
      <c r="V74" s="5494"/>
      <c r="W74" s="5494"/>
      <c r="X74" s="5494"/>
      <c r="Y74" s="5494"/>
      <c r="Z74" s="5494"/>
      <c r="AA74" s="5494"/>
      <c r="AB74" s="5494"/>
      <c r="AC74" s="5494"/>
      <c r="AD74" s="5494"/>
      <c r="AE74" s="5494"/>
      <c r="AF74" s="5494"/>
      <c r="AG74" s="5494"/>
      <c r="AH74" s="5494"/>
      <c r="AI74" s="5495"/>
    </row>
    <row r="75" spans="1:35" ht="15" x14ac:dyDescent="0.25">
      <c r="A75" s="3360" t="s">
        <v>1137</v>
      </c>
      <c r="B75" s="5473" t="s">
        <v>986</v>
      </c>
      <c r="C75" s="5494"/>
      <c r="D75" s="5494"/>
      <c r="E75" s="5494"/>
      <c r="F75" s="5494"/>
      <c r="G75" s="5494"/>
      <c r="H75" s="5494"/>
      <c r="I75" s="5494"/>
      <c r="J75" s="5494"/>
      <c r="K75" s="5494"/>
      <c r="L75" s="5494"/>
      <c r="M75" s="5494"/>
      <c r="N75" s="5494"/>
      <c r="O75" s="5494"/>
      <c r="P75" s="5494"/>
      <c r="Q75" s="5494"/>
      <c r="R75" s="5494"/>
      <c r="S75" s="5494"/>
      <c r="T75" s="5494"/>
      <c r="U75" s="5494"/>
      <c r="V75" s="5494"/>
      <c r="W75" s="5494"/>
      <c r="X75" s="5494"/>
      <c r="Y75" s="5494"/>
      <c r="Z75" s="5494"/>
      <c r="AA75" s="5494"/>
      <c r="AB75" s="5494"/>
      <c r="AC75" s="5494"/>
      <c r="AD75" s="5494"/>
      <c r="AE75" s="5494"/>
      <c r="AF75" s="5494"/>
      <c r="AG75" s="5494"/>
      <c r="AH75" s="5494"/>
      <c r="AI75" s="5495"/>
    </row>
    <row r="76" spans="1:35" ht="15" x14ac:dyDescent="0.25">
      <c r="A76" s="3360" t="s">
        <v>1137</v>
      </c>
      <c r="B76" s="5473" t="s">
        <v>986</v>
      </c>
      <c r="C76" s="5494"/>
      <c r="D76" s="5494"/>
      <c r="E76" s="5494"/>
      <c r="F76" s="5494"/>
      <c r="G76" s="5494"/>
      <c r="H76" s="5494"/>
      <c r="I76" s="5494"/>
      <c r="J76" s="5494"/>
      <c r="K76" s="5494"/>
      <c r="L76" s="5494"/>
      <c r="M76" s="5494"/>
      <c r="N76" s="5494"/>
      <c r="O76" s="5494"/>
      <c r="P76" s="5494"/>
      <c r="Q76" s="5494"/>
      <c r="R76" s="5494"/>
      <c r="S76" s="5494"/>
      <c r="T76" s="5494"/>
      <c r="U76" s="5494"/>
      <c r="V76" s="5494"/>
      <c r="W76" s="5494"/>
      <c r="X76" s="5494"/>
      <c r="Y76" s="5494"/>
      <c r="Z76" s="5494"/>
      <c r="AA76" s="5494"/>
      <c r="AB76" s="5494"/>
      <c r="AC76" s="5494"/>
      <c r="AD76" s="5494"/>
      <c r="AE76" s="5494"/>
      <c r="AF76" s="5494"/>
      <c r="AG76" s="5494"/>
      <c r="AH76" s="5494"/>
      <c r="AI76" s="5495"/>
    </row>
    <row r="77" spans="1:35" ht="15.75" customHeight="1" x14ac:dyDescent="0.2">
      <c r="A77" s="3327" t="s">
        <v>980</v>
      </c>
      <c r="B77" s="5461"/>
      <c r="C77" s="5461"/>
      <c r="D77" s="5461"/>
      <c r="E77" s="5461"/>
      <c r="F77" s="5461"/>
      <c r="G77" s="5461"/>
      <c r="H77" s="5461"/>
      <c r="I77" s="5461"/>
      <c r="J77" s="5461"/>
      <c r="K77" s="5461"/>
      <c r="L77" s="5461"/>
      <c r="M77" s="5461"/>
      <c r="N77" s="5461"/>
      <c r="O77" s="5461"/>
      <c r="P77" s="5461"/>
      <c r="Q77" s="5461"/>
      <c r="R77" s="5461"/>
      <c r="S77" s="5461"/>
      <c r="T77" s="5461"/>
      <c r="U77" s="5461"/>
      <c r="V77" s="5461"/>
      <c r="W77" s="5461"/>
      <c r="X77" s="5461"/>
      <c r="Y77" s="5461"/>
      <c r="Z77" s="5461"/>
      <c r="AA77" s="5461"/>
      <c r="AB77" s="5461"/>
      <c r="AC77" s="5461"/>
      <c r="AD77" s="5461"/>
      <c r="AE77" s="5461"/>
      <c r="AF77" s="5461"/>
      <c r="AG77" s="5461"/>
      <c r="AH77" s="5461"/>
      <c r="AI77" s="5461"/>
    </row>
    <row r="78" spans="1:35" ht="15.75" customHeight="1" x14ac:dyDescent="0.2">
      <c r="A78" s="3327" t="s">
        <v>980</v>
      </c>
      <c r="B78" s="5461"/>
      <c r="C78" s="5461"/>
      <c r="D78" s="5461"/>
      <c r="E78" s="5461"/>
      <c r="F78" s="5461"/>
      <c r="G78" s="5461"/>
      <c r="H78" s="5461"/>
      <c r="I78" s="5461"/>
      <c r="J78" s="5461"/>
      <c r="K78" s="5461"/>
      <c r="L78" s="5461"/>
      <c r="M78" s="5461"/>
      <c r="N78" s="5461"/>
      <c r="O78" s="5461"/>
      <c r="P78" s="5461"/>
      <c r="Q78" s="5461"/>
      <c r="R78" s="5461"/>
      <c r="S78" s="5461"/>
      <c r="T78" s="5461"/>
      <c r="U78" s="5461"/>
      <c r="V78" s="5461"/>
      <c r="W78" s="5461"/>
      <c r="X78" s="5461"/>
      <c r="Y78" s="5461"/>
      <c r="Z78" s="5461"/>
      <c r="AA78" s="5461"/>
      <c r="AB78" s="5461"/>
      <c r="AC78" s="5461"/>
      <c r="AD78" s="5461"/>
      <c r="AE78" s="5461"/>
      <c r="AF78" s="5461"/>
      <c r="AG78" s="5461"/>
      <c r="AH78" s="5461"/>
      <c r="AI78" s="5461"/>
    </row>
    <row r="79" spans="1:35" ht="15.75" customHeight="1" x14ac:dyDescent="0.2">
      <c r="A79" s="3327" t="s">
        <v>980</v>
      </c>
      <c r="B79" s="5461"/>
      <c r="C79" s="5461"/>
      <c r="D79" s="5461"/>
      <c r="E79" s="5461"/>
      <c r="F79" s="5461"/>
      <c r="G79" s="5461"/>
      <c r="H79" s="5461"/>
      <c r="I79" s="5461"/>
      <c r="J79" s="5461"/>
      <c r="K79" s="5461"/>
      <c r="L79" s="5461"/>
      <c r="M79" s="5461"/>
      <c r="N79" s="5461"/>
      <c r="O79" s="5461"/>
      <c r="P79" s="5461"/>
      <c r="Q79" s="5461"/>
      <c r="R79" s="5461"/>
      <c r="S79" s="5461"/>
      <c r="T79" s="5461"/>
      <c r="U79" s="5461"/>
      <c r="V79" s="5461"/>
      <c r="W79" s="5461"/>
      <c r="X79" s="5461"/>
      <c r="Y79" s="5461"/>
      <c r="Z79" s="5461"/>
      <c r="AA79" s="5461"/>
      <c r="AB79" s="5461"/>
      <c r="AC79" s="5461"/>
      <c r="AD79" s="5461"/>
      <c r="AE79" s="5461"/>
      <c r="AF79" s="5461"/>
      <c r="AG79" s="5461"/>
      <c r="AH79" s="5461"/>
      <c r="AI79" s="5461"/>
    </row>
    <row r="80" spans="1:35" ht="15.75" customHeight="1" x14ac:dyDescent="0.2">
      <c r="A80" s="3327" t="s">
        <v>980</v>
      </c>
      <c r="B80" s="5461"/>
      <c r="C80" s="5461"/>
      <c r="D80" s="5461"/>
      <c r="E80" s="5461"/>
      <c r="F80" s="5461"/>
      <c r="G80" s="5461"/>
      <c r="H80" s="5461"/>
      <c r="I80" s="5461"/>
      <c r="J80" s="5461"/>
      <c r="K80" s="5461"/>
      <c r="L80" s="5461"/>
      <c r="M80" s="5461"/>
      <c r="N80" s="5461"/>
      <c r="O80" s="5461"/>
      <c r="P80" s="5461"/>
      <c r="Q80" s="5461"/>
      <c r="R80" s="5461"/>
      <c r="S80" s="5461"/>
      <c r="T80" s="5461"/>
      <c r="U80" s="5461"/>
      <c r="V80" s="5461"/>
      <c r="W80" s="5461"/>
      <c r="X80" s="5461"/>
      <c r="Y80" s="5461"/>
      <c r="Z80" s="5461"/>
      <c r="AA80" s="5461"/>
      <c r="AB80" s="5461"/>
      <c r="AC80" s="5461"/>
      <c r="AD80" s="5461"/>
      <c r="AE80" s="5461"/>
      <c r="AF80" s="5461"/>
      <c r="AG80" s="5461"/>
      <c r="AH80" s="5461"/>
      <c r="AI80" s="5461"/>
    </row>
    <row r="81" spans="1:35" ht="15.75" customHeight="1" x14ac:dyDescent="0.2">
      <c r="A81" s="3327" t="s">
        <v>980</v>
      </c>
      <c r="B81" s="5461"/>
      <c r="C81" s="5461"/>
      <c r="D81" s="5461"/>
      <c r="E81" s="5461"/>
      <c r="F81" s="5461"/>
      <c r="G81" s="5461"/>
      <c r="H81" s="5461"/>
      <c r="I81" s="5461"/>
      <c r="J81" s="5461"/>
      <c r="K81" s="5461"/>
      <c r="L81" s="5461"/>
      <c r="M81" s="5461"/>
      <c r="N81" s="5461"/>
      <c r="O81" s="5461"/>
      <c r="P81" s="5461"/>
      <c r="Q81" s="5461"/>
      <c r="R81" s="5461"/>
      <c r="S81" s="5461"/>
      <c r="T81" s="5461"/>
      <c r="U81" s="5461"/>
      <c r="V81" s="5461"/>
      <c r="W81" s="5461"/>
      <c r="X81" s="5461"/>
      <c r="Y81" s="5461"/>
      <c r="Z81" s="5461"/>
      <c r="AA81" s="5461"/>
      <c r="AB81" s="5461"/>
      <c r="AC81" s="5461"/>
      <c r="AD81" s="5461"/>
      <c r="AE81" s="5461"/>
      <c r="AF81" s="5461"/>
      <c r="AG81" s="5461"/>
      <c r="AH81" s="5461"/>
      <c r="AI81" s="5461"/>
    </row>
    <row r="82" spans="1:35" ht="15.75" customHeight="1" x14ac:dyDescent="0.2">
      <c r="A82" s="3327" t="s">
        <v>980</v>
      </c>
      <c r="B82" s="5461"/>
      <c r="C82" s="5461"/>
      <c r="D82" s="5461"/>
      <c r="E82" s="5461"/>
      <c r="F82" s="5461"/>
      <c r="G82" s="5461"/>
      <c r="H82" s="5461"/>
      <c r="I82" s="5461"/>
      <c r="J82" s="5461"/>
      <c r="K82" s="5461"/>
      <c r="L82" s="5461"/>
      <c r="M82" s="5461"/>
      <c r="N82" s="5461"/>
      <c r="O82" s="5461"/>
      <c r="P82" s="5461"/>
      <c r="Q82" s="5461"/>
      <c r="R82" s="5461"/>
      <c r="S82" s="5461"/>
      <c r="T82" s="5461"/>
      <c r="U82" s="5461"/>
      <c r="V82" s="5461"/>
      <c r="W82" s="5461"/>
      <c r="X82" s="5461"/>
      <c r="Y82" s="5461"/>
      <c r="Z82" s="5461"/>
      <c r="AA82" s="5461"/>
      <c r="AB82" s="5461"/>
      <c r="AC82" s="5461"/>
      <c r="AD82" s="5461"/>
      <c r="AE82" s="5461"/>
      <c r="AF82" s="5461"/>
      <c r="AG82" s="5461"/>
      <c r="AH82" s="5461"/>
      <c r="AI82" s="5461"/>
    </row>
    <row r="83" spans="1:35" ht="15.75" customHeight="1" x14ac:dyDescent="0.2">
      <c r="A83" s="3327" t="s">
        <v>980</v>
      </c>
      <c r="B83" s="5461"/>
      <c r="C83" s="5461"/>
      <c r="D83" s="5461"/>
      <c r="E83" s="5461"/>
      <c r="F83" s="5461"/>
      <c r="G83" s="5461"/>
      <c r="H83" s="5461"/>
      <c r="I83" s="5461"/>
      <c r="J83" s="5461"/>
      <c r="K83" s="5461"/>
      <c r="L83" s="5461"/>
      <c r="M83" s="5461"/>
      <c r="N83" s="5461"/>
      <c r="O83" s="5461"/>
      <c r="P83" s="5461"/>
      <c r="Q83" s="5461"/>
      <c r="R83" s="5461"/>
      <c r="S83" s="5461"/>
      <c r="T83" s="5461"/>
      <c r="U83" s="5461"/>
      <c r="V83" s="5461"/>
      <c r="W83" s="5461"/>
      <c r="X83" s="5461"/>
      <c r="Y83" s="5461"/>
      <c r="Z83" s="5461"/>
      <c r="AA83" s="5461"/>
      <c r="AB83" s="5461"/>
      <c r="AC83" s="5461"/>
      <c r="AD83" s="5461"/>
      <c r="AE83" s="5461"/>
      <c r="AF83" s="5461"/>
      <c r="AG83" s="5461"/>
      <c r="AH83" s="5461"/>
      <c r="AI83" s="5461"/>
    </row>
    <row r="84" spans="1:35" ht="15.75" customHeight="1" x14ac:dyDescent="0.2">
      <c r="A84" s="3327" t="s">
        <v>980</v>
      </c>
      <c r="B84" s="5461"/>
      <c r="C84" s="5461"/>
      <c r="D84" s="5461"/>
      <c r="E84" s="5461"/>
      <c r="F84" s="5461"/>
      <c r="G84" s="5461"/>
      <c r="H84" s="5461"/>
      <c r="I84" s="5461"/>
      <c r="J84" s="5461"/>
      <c r="K84" s="5461"/>
      <c r="L84" s="5461"/>
      <c r="M84" s="5461"/>
      <c r="N84" s="5461"/>
      <c r="O84" s="5461"/>
      <c r="P84" s="5461"/>
      <c r="Q84" s="5461"/>
      <c r="R84" s="5461"/>
      <c r="S84" s="5461"/>
      <c r="T84" s="5461"/>
      <c r="U84" s="5461"/>
      <c r="V84" s="5461"/>
      <c r="W84" s="5461"/>
      <c r="X84" s="5461"/>
      <c r="Y84" s="5461"/>
      <c r="Z84" s="5461"/>
      <c r="AA84" s="5461"/>
      <c r="AB84" s="5461"/>
      <c r="AC84" s="5461"/>
      <c r="AD84" s="5461"/>
      <c r="AE84" s="5461"/>
      <c r="AF84" s="5461"/>
      <c r="AG84" s="5461"/>
      <c r="AH84" s="5461"/>
      <c r="AI84" s="5461"/>
    </row>
    <row r="85" spans="1:35" ht="15.75" customHeight="1" x14ac:dyDescent="0.2">
      <c r="A85" s="3327" t="s">
        <v>980</v>
      </c>
      <c r="B85" s="5461"/>
      <c r="C85" s="5461"/>
      <c r="D85" s="5461"/>
      <c r="E85" s="5461"/>
      <c r="F85" s="5461"/>
      <c r="G85" s="5461"/>
      <c r="H85" s="5461"/>
      <c r="I85" s="5461"/>
      <c r="J85" s="5461"/>
      <c r="K85" s="5461"/>
      <c r="L85" s="5461"/>
      <c r="M85" s="5461"/>
      <c r="N85" s="5461"/>
      <c r="O85" s="5461"/>
      <c r="P85" s="5461"/>
      <c r="Q85" s="5461"/>
      <c r="R85" s="5461"/>
      <c r="S85" s="5461"/>
      <c r="T85" s="5461"/>
      <c r="U85" s="5461"/>
      <c r="V85" s="5461"/>
      <c r="W85" s="5461"/>
      <c r="X85" s="5461"/>
      <c r="Y85" s="5461"/>
      <c r="Z85" s="5461"/>
      <c r="AA85" s="5461"/>
      <c r="AB85" s="5461"/>
      <c r="AC85" s="5461"/>
      <c r="AD85" s="5461"/>
      <c r="AE85" s="5461"/>
      <c r="AF85" s="5461"/>
      <c r="AG85" s="5461"/>
      <c r="AH85" s="5461"/>
      <c r="AI85" s="5461"/>
    </row>
    <row r="86" spans="1:35" ht="15.75" customHeight="1" x14ac:dyDescent="0.2">
      <c r="A86" s="3327" t="s">
        <v>980</v>
      </c>
      <c r="B86" s="5461"/>
      <c r="C86" s="5461"/>
      <c r="D86" s="5461"/>
      <c r="E86" s="5461"/>
      <c r="F86" s="5461"/>
      <c r="G86" s="5461"/>
      <c r="H86" s="5461"/>
      <c r="I86" s="5461"/>
      <c r="J86" s="5461"/>
      <c r="K86" s="5461"/>
      <c r="L86" s="5461"/>
      <c r="M86" s="5461"/>
      <c r="N86" s="5461"/>
      <c r="O86" s="5461"/>
      <c r="P86" s="5461"/>
      <c r="Q86" s="5461"/>
      <c r="R86" s="5461"/>
      <c r="S86" s="5461"/>
      <c r="T86" s="5461"/>
      <c r="U86" s="5461"/>
      <c r="V86" s="5461"/>
      <c r="W86" s="5461"/>
      <c r="X86" s="5461"/>
      <c r="Y86" s="5461"/>
      <c r="Z86" s="5461"/>
      <c r="AA86" s="5461"/>
      <c r="AB86" s="5461"/>
      <c r="AC86" s="5461"/>
      <c r="AD86" s="5461"/>
      <c r="AE86" s="5461"/>
      <c r="AF86" s="5461"/>
      <c r="AG86" s="5461"/>
      <c r="AH86" s="5461"/>
      <c r="AI86" s="5461"/>
    </row>
    <row r="87" spans="1:35" ht="15.75" customHeight="1" x14ac:dyDescent="0.2">
      <c r="A87" s="3327" t="s">
        <v>980</v>
      </c>
      <c r="B87" s="5461"/>
      <c r="C87" s="5461"/>
      <c r="D87" s="5461"/>
      <c r="E87" s="5461"/>
      <c r="F87" s="5461"/>
      <c r="G87" s="5461"/>
      <c r="H87" s="5461"/>
      <c r="I87" s="5461"/>
      <c r="J87" s="5461"/>
      <c r="K87" s="5461"/>
      <c r="L87" s="5461"/>
      <c r="M87" s="5461"/>
      <c r="N87" s="5461"/>
      <c r="O87" s="5461"/>
      <c r="P87" s="5461"/>
      <c r="Q87" s="5461"/>
      <c r="R87" s="5461"/>
      <c r="S87" s="5461"/>
      <c r="T87" s="5461"/>
      <c r="U87" s="5461"/>
      <c r="V87" s="5461"/>
      <c r="W87" s="5461"/>
      <c r="X87" s="5461"/>
      <c r="Y87" s="5461"/>
      <c r="Z87" s="5461"/>
      <c r="AA87" s="5461"/>
      <c r="AB87" s="5461"/>
      <c r="AC87" s="5461"/>
      <c r="AD87" s="5461"/>
      <c r="AE87" s="5461"/>
      <c r="AF87" s="5461"/>
      <c r="AG87" s="5461"/>
      <c r="AH87" s="5461"/>
      <c r="AI87" s="5461"/>
    </row>
    <row r="88" spans="1:35" ht="15.75" customHeight="1" x14ac:dyDescent="0.2">
      <c r="A88" s="3327" t="s">
        <v>980</v>
      </c>
      <c r="B88" s="5461"/>
      <c r="C88" s="5461"/>
      <c r="D88" s="5461"/>
      <c r="E88" s="5461"/>
      <c r="F88" s="5461"/>
      <c r="G88" s="5461"/>
      <c r="H88" s="5461"/>
      <c r="I88" s="5461"/>
      <c r="J88" s="5461"/>
      <c r="K88" s="5461"/>
      <c r="L88" s="5461"/>
      <c r="M88" s="5461"/>
      <c r="N88" s="5461"/>
      <c r="O88" s="5461"/>
      <c r="P88" s="5461"/>
      <c r="Q88" s="5461"/>
      <c r="R88" s="5461"/>
      <c r="S88" s="5461"/>
      <c r="T88" s="5461"/>
      <c r="U88" s="5461"/>
      <c r="V88" s="5461"/>
      <c r="W88" s="5461"/>
      <c r="X88" s="5461"/>
      <c r="Y88" s="5461"/>
      <c r="Z88" s="5461"/>
      <c r="AA88" s="5461"/>
      <c r="AB88" s="5461"/>
      <c r="AC88" s="5461"/>
      <c r="AD88" s="5461"/>
      <c r="AE88" s="5461"/>
      <c r="AF88" s="5461"/>
      <c r="AG88" s="5461"/>
      <c r="AH88" s="5461"/>
      <c r="AI88" s="5461"/>
    </row>
    <row r="89" spans="1:35" ht="15.75" customHeight="1" x14ac:dyDescent="0.2">
      <c r="A89" s="3327" t="s">
        <v>980</v>
      </c>
      <c r="B89" s="5461"/>
      <c r="C89" s="5461"/>
      <c r="D89" s="5461"/>
      <c r="E89" s="5461"/>
      <c r="F89" s="5461"/>
      <c r="G89" s="5461"/>
      <c r="H89" s="5461"/>
      <c r="I89" s="5461"/>
      <c r="J89" s="5461"/>
      <c r="K89" s="5461"/>
      <c r="L89" s="5461"/>
      <c r="M89" s="5461"/>
      <c r="N89" s="5461"/>
      <c r="O89" s="5461"/>
      <c r="P89" s="5461"/>
      <c r="Q89" s="5461"/>
      <c r="R89" s="5461"/>
      <c r="S89" s="5461"/>
      <c r="T89" s="5461"/>
      <c r="U89" s="5461"/>
      <c r="V89" s="5461"/>
      <c r="W89" s="5461"/>
      <c r="X89" s="5461"/>
      <c r="Y89" s="5461"/>
      <c r="Z89" s="5461"/>
      <c r="AA89" s="5461"/>
      <c r="AB89" s="5461"/>
      <c r="AC89" s="5461"/>
      <c r="AD89" s="5461"/>
      <c r="AE89" s="5461"/>
      <c r="AF89" s="5461"/>
      <c r="AG89" s="5461"/>
      <c r="AH89" s="5461"/>
      <c r="AI89" s="5461"/>
    </row>
    <row r="90" spans="1:35" ht="15.75" customHeight="1" x14ac:dyDescent="0.2">
      <c r="A90" s="3327" t="s">
        <v>980</v>
      </c>
      <c r="B90" s="5461"/>
      <c r="C90" s="5461"/>
      <c r="D90" s="5461"/>
      <c r="E90" s="5461"/>
      <c r="F90" s="5461"/>
      <c r="G90" s="5461"/>
      <c r="H90" s="5461"/>
      <c r="I90" s="5461"/>
      <c r="J90" s="5461"/>
      <c r="K90" s="5461"/>
      <c r="L90" s="5461"/>
      <c r="M90" s="5461"/>
      <c r="N90" s="5461"/>
      <c r="O90" s="5461"/>
      <c r="P90" s="5461"/>
      <c r="Q90" s="5461"/>
      <c r="R90" s="5461"/>
      <c r="S90" s="5461"/>
      <c r="T90" s="5461"/>
      <c r="U90" s="5461"/>
      <c r="V90" s="5461"/>
      <c r="W90" s="5461"/>
      <c r="X90" s="5461"/>
      <c r="Y90" s="5461"/>
      <c r="Z90" s="5461"/>
      <c r="AA90" s="5461"/>
      <c r="AB90" s="5461"/>
      <c r="AC90" s="5461"/>
      <c r="AD90" s="5461"/>
      <c r="AE90" s="5461"/>
      <c r="AF90" s="5461"/>
      <c r="AG90" s="5461"/>
      <c r="AH90" s="5461"/>
      <c r="AI90" s="5461"/>
    </row>
    <row r="91" spans="1:35" ht="15.75" customHeight="1" x14ac:dyDescent="0.2">
      <c r="A91" s="3327" t="s">
        <v>980</v>
      </c>
      <c r="B91" s="5461"/>
      <c r="C91" s="5461"/>
      <c r="D91" s="5461"/>
      <c r="E91" s="5461"/>
      <c r="F91" s="5461"/>
      <c r="G91" s="5461"/>
      <c r="H91" s="5461"/>
      <c r="I91" s="5461"/>
      <c r="J91" s="5461"/>
      <c r="K91" s="5461"/>
      <c r="L91" s="5461"/>
      <c r="M91" s="5461"/>
      <c r="N91" s="5461"/>
      <c r="O91" s="5461"/>
      <c r="P91" s="5461"/>
      <c r="Q91" s="5461"/>
      <c r="R91" s="5461"/>
      <c r="S91" s="5461"/>
      <c r="T91" s="5461"/>
      <c r="U91" s="5461"/>
      <c r="V91" s="5461"/>
      <c r="W91" s="5461"/>
      <c r="X91" s="5461"/>
      <c r="Y91" s="5461"/>
      <c r="Z91" s="5461"/>
      <c r="AA91" s="5461"/>
      <c r="AB91" s="5461"/>
      <c r="AC91" s="5461"/>
      <c r="AD91" s="5461"/>
      <c r="AE91" s="5461"/>
      <c r="AF91" s="5461"/>
      <c r="AG91" s="5461"/>
      <c r="AH91" s="5461"/>
      <c r="AI91" s="5461"/>
    </row>
    <row r="92" spans="1:35" ht="15.75" customHeight="1" x14ac:dyDescent="0.2">
      <c r="A92" s="3327" t="s">
        <v>980</v>
      </c>
      <c r="B92" s="5461"/>
      <c r="C92" s="5461"/>
      <c r="D92" s="5461"/>
      <c r="E92" s="5461"/>
      <c r="F92" s="5461"/>
      <c r="G92" s="5461"/>
      <c r="H92" s="5461"/>
      <c r="I92" s="5461"/>
      <c r="J92" s="5461"/>
      <c r="K92" s="5461"/>
      <c r="L92" s="5461"/>
      <c r="M92" s="5461"/>
      <c r="N92" s="5461"/>
      <c r="O92" s="5461"/>
      <c r="P92" s="5461"/>
      <c r="Q92" s="5461"/>
      <c r="R92" s="5461"/>
      <c r="S92" s="5461"/>
      <c r="T92" s="5461"/>
      <c r="U92" s="5461"/>
      <c r="V92" s="5461"/>
      <c r="W92" s="5461"/>
      <c r="X92" s="5461"/>
      <c r="Y92" s="5461"/>
      <c r="Z92" s="5461"/>
      <c r="AA92" s="5461"/>
      <c r="AB92" s="5461"/>
      <c r="AC92" s="5461"/>
      <c r="AD92" s="5461"/>
      <c r="AE92" s="5461"/>
      <c r="AF92" s="5461"/>
      <c r="AG92" s="5461"/>
      <c r="AH92" s="5461"/>
      <c r="AI92" s="5461"/>
    </row>
    <row r="93" spans="1:35" ht="15.75" customHeight="1" x14ac:dyDescent="0.2">
      <c r="B93" s="688"/>
      <c r="C93" s="688"/>
      <c r="D93" s="688"/>
      <c r="E93" s="688"/>
      <c r="F93" s="688"/>
      <c r="G93" s="688"/>
      <c r="H93" s="688"/>
      <c r="I93" s="688"/>
      <c r="J93" s="688"/>
      <c r="K93" s="688"/>
      <c r="L93" s="688"/>
      <c r="M93" s="688"/>
      <c r="N93" s="688"/>
      <c r="O93" s="688"/>
      <c r="P93" s="688"/>
      <c r="Q93" s="688"/>
      <c r="R93" s="688"/>
      <c r="S93" s="688"/>
      <c r="T93" s="688"/>
      <c r="U93" s="688"/>
      <c r="V93" s="688"/>
      <c r="W93" s="688"/>
      <c r="X93" s="688"/>
      <c r="Y93" s="688"/>
      <c r="Z93" s="688"/>
      <c r="AA93" s="688"/>
      <c r="AB93" s="688"/>
      <c r="AC93" s="688"/>
      <c r="AD93" s="688"/>
      <c r="AE93" s="688"/>
      <c r="AF93" s="688"/>
      <c r="AG93" s="688"/>
      <c r="AH93" s="688"/>
      <c r="AI93" s="688"/>
    </row>
  </sheetData>
  <sheetProtection password="A754" sheet="1" objects="1" scenarios="1"/>
  <mergeCells count="52">
    <mergeCell ref="B91:AI91"/>
    <mergeCell ref="B92:AI92"/>
    <mergeCell ref="B77:AI77"/>
    <mergeCell ref="B78:AI78"/>
    <mergeCell ref="B79:AI79"/>
    <mergeCell ref="B80:AI80"/>
    <mergeCell ref="B81:AI81"/>
    <mergeCell ref="B82:AI82"/>
    <mergeCell ref="B89:AI89"/>
    <mergeCell ref="B83:AI83"/>
    <mergeCell ref="B84:AI84"/>
    <mergeCell ref="B85:AI85"/>
    <mergeCell ref="B86:AI86"/>
    <mergeCell ref="B87:AI87"/>
    <mergeCell ref="B88:AI88"/>
    <mergeCell ref="B72:AI72"/>
    <mergeCell ref="B73:AI73"/>
    <mergeCell ref="B74:AI74"/>
    <mergeCell ref="B75:AI75"/>
    <mergeCell ref="B90:AI90"/>
    <mergeCell ref="A47:W47"/>
    <mergeCell ref="A49:AI50"/>
    <mergeCell ref="A52:AI52"/>
    <mergeCell ref="B58:AI58"/>
    <mergeCell ref="B76:AI76"/>
    <mergeCell ref="B61:AI61"/>
    <mergeCell ref="B62:AI62"/>
    <mergeCell ref="B63:AI63"/>
    <mergeCell ref="B64:AI64"/>
    <mergeCell ref="B65:AI65"/>
    <mergeCell ref="B66:AI66"/>
    <mergeCell ref="B67:AI67"/>
    <mergeCell ref="B68:AI68"/>
    <mergeCell ref="B69:AI69"/>
    <mergeCell ref="B70:AI70"/>
    <mergeCell ref="B71:AI71"/>
    <mergeCell ref="B60:AI60"/>
    <mergeCell ref="A53:AI53"/>
    <mergeCell ref="A54:AI54"/>
    <mergeCell ref="AF6:AG6"/>
    <mergeCell ref="A1:Q1"/>
    <mergeCell ref="A5:A6"/>
    <mergeCell ref="B6:R6"/>
    <mergeCell ref="U6:V6"/>
    <mergeCell ref="W6:AC6"/>
    <mergeCell ref="B36:AJ36"/>
    <mergeCell ref="B59:AI59"/>
    <mergeCell ref="B55:AI55"/>
    <mergeCell ref="B56:AI56"/>
    <mergeCell ref="B57:AI57"/>
    <mergeCell ref="A45:AI45"/>
    <mergeCell ref="A46:G46"/>
  </mergeCells>
  <dataValidations count="1">
    <dataValidation allowBlank="1" showInputMessage="1" showErrorMessage="1" sqref="V77:V65535 AK1:IV44 AJ55:IV65535 AI77:AI65535" xr:uid="{00000000-0002-0000-1200-000000000000}"/>
  </dataValidations>
  <printOptions horizontalCentered="1" verticalCentered="1"/>
  <pageMargins left="0.39370078740157483" right="0.39370078740157483" top="0.39370078740157483" bottom="0.39370078740157483" header="0.19685039370078741" footer="0.19685039370078741"/>
  <pageSetup paperSize="9" scale="30"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21E6B-FEA9-4A18-8765-8D3FC588025F}">
  <sheetPr codeName="Ark20">
    <tabColor theme="0" tint="-0.14999847407452621"/>
    <pageSetUpPr fitToPage="1"/>
  </sheetPr>
  <dimension ref="A1:F46"/>
  <sheetViews>
    <sheetView showGridLines="0" workbookViewId="0"/>
  </sheetViews>
  <sheetFormatPr defaultColWidth="8" defaultRowHeight="12" customHeight="1" x14ac:dyDescent="0.2"/>
  <cols>
    <col min="1" max="1" width="39" style="659" customWidth="1"/>
    <col min="2" max="2" width="24.85546875" style="659" customWidth="1"/>
    <col min="3" max="3" width="26.28515625" style="659" customWidth="1"/>
    <col min="4" max="4" width="28.42578125" style="659" customWidth="1"/>
    <col min="5" max="6" width="27.5703125" style="659" customWidth="1"/>
    <col min="7" max="16384" width="8" style="659"/>
  </cols>
  <sheetData>
    <row r="1" spans="1:6" ht="15.75" customHeight="1" x14ac:dyDescent="0.2">
      <c r="A1" s="687" t="s">
        <v>1241</v>
      </c>
      <c r="B1" s="660"/>
      <c r="C1" s="660"/>
      <c r="D1" s="660"/>
      <c r="E1" s="660"/>
      <c r="F1" s="668" t="s">
        <v>1028</v>
      </c>
    </row>
    <row r="2" spans="1:6" ht="15.75" customHeight="1" x14ac:dyDescent="0.2">
      <c r="A2" s="687" t="s">
        <v>1240</v>
      </c>
      <c r="B2" s="660"/>
      <c r="C2" s="660"/>
      <c r="D2" s="660"/>
      <c r="E2" s="660"/>
      <c r="F2" s="668" t="s">
        <v>5183</v>
      </c>
    </row>
    <row r="3" spans="1:6" ht="15.75" customHeight="1" x14ac:dyDescent="0.2">
      <c r="A3" s="687" t="s">
        <v>1085</v>
      </c>
      <c r="B3" s="660"/>
      <c r="C3" s="660"/>
      <c r="D3" s="660"/>
      <c r="E3" s="660"/>
      <c r="F3" s="668" t="s">
        <v>1789</v>
      </c>
    </row>
    <row r="4" spans="1:6" x14ac:dyDescent="0.2">
      <c r="A4" s="696"/>
      <c r="B4" s="660"/>
      <c r="C4" s="660"/>
      <c r="D4" s="660"/>
      <c r="E4" s="660"/>
      <c r="F4" s="660"/>
    </row>
    <row r="5" spans="1:6" ht="12.75" customHeight="1" x14ac:dyDescent="0.2">
      <c r="A5" s="677"/>
      <c r="B5" s="661"/>
      <c r="C5" s="661"/>
      <c r="D5" s="661"/>
      <c r="E5" s="661"/>
      <c r="F5" s="661"/>
    </row>
    <row r="6" spans="1:6" ht="40.5" customHeight="1" x14ac:dyDescent="0.2">
      <c r="A6" s="3397" t="s">
        <v>1025</v>
      </c>
      <c r="B6" s="5496" t="s">
        <v>1239</v>
      </c>
      <c r="C6" s="5497"/>
      <c r="D6" s="5498"/>
      <c r="E6" s="3396" t="s">
        <v>1238</v>
      </c>
      <c r="F6" s="3395" t="s">
        <v>1081</v>
      </c>
    </row>
    <row r="7" spans="1:6" ht="24" x14ac:dyDescent="0.2">
      <c r="A7" s="676"/>
      <c r="B7" s="711" t="s">
        <v>1237</v>
      </c>
      <c r="C7" s="712" t="s">
        <v>1236</v>
      </c>
      <c r="D7" s="3326" t="s">
        <v>1235</v>
      </c>
      <c r="E7" s="711" t="s">
        <v>1023</v>
      </c>
      <c r="F7" s="3325" t="s">
        <v>1023</v>
      </c>
    </row>
    <row r="8" spans="1:6" ht="14.25" thickBot="1" x14ac:dyDescent="0.25">
      <c r="A8" s="710"/>
      <c r="B8" s="674" t="s">
        <v>1234</v>
      </c>
      <c r="C8" s="673" t="s">
        <v>1233</v>
      </c>
      <c r="D8" s="709" t="s">
        <v>1232</v>
      </c>
      <c r="E8" s="709" t="s">
        <v>1231</v>
      </c>
      <c r="F8" s="673" t="s">
        <v>1011</v>
      </c>
    </row>
    <row r="9" spans="1:6" ht="12.75" customHeight="1" thickTop="1" x14ac:dyDescent="0.2">
      <c r="A9" s="708" t="s">
        <v>1230</v>
      </c>
      <c r="B9" s="3388">
        <v>1540.4459999999999</v>
      </c>
      <c r="C9" s="3363" t="s">
        <v>986</v>
      </c>
      <c r="D9" s="3363" t="s">
        <v>986</v>
      </c>
      <c r="E9" s="3388">
        <v>85.342718915681559</v>
      </c>
      <c r="F9" s="3388">
        <v>131.46584998278601</v>
      </c>
    </row>
    <row r="10" spans="1:6" ht="13.5" customHeight="1" x14ac:dyDescent="0.2">
      <c r="A10" s="3394" t="s">
        <v>1229</v>
      </c>
      <c r="B10" s="3363" t="s">
        <v>986</v>
      </c>
      <c r="C10" s="3363" t="s">
        <v>986</v>
      </c>
      <c r="D10" s="3363" t="s">
        <v>986</v>
      </c>
      <c r="E10" s="3363" t="s">
        <v>986</v>
      </c>
      <c r="F10" s="3363" t="s">
        <v>986</v>
      </c>
    </row>
    <row r="11" spans="1:6" ht="13.5" customHeight="1" x14ac:dyDescent="0.2">
      <c r="A11" s="3393" t="s">
        <v>1228</v>
      </c>
      <c r="B11" s="3387">
        <v>575.423</v>
      </c>
      <c r="C11" s="3387">
        <v>408.07533696819797</v>
      </c>
      <c r="D11" s="3387">
        <v>6</v>
      </c>
      <c r="E11" s="3388">
        <v>160.59029405341619</v>
      </c>
      <c r="F11" s="3387">
        <v>92.407348775098896</v>
      </c>
    </row>
    <row r="12" spans="1:6" ht="12" customHeight="1" x14ac:dyDescent="0.2">
      <c r="A12" s="3393" t="s">
        <v>1227</v>
      </c>
      <c r="B12" s="3387">
        <v>965.02300000000002</v>
      </c>
      <c r="C12" s="3387">
        <v>130.20564084850099</v>
      </c>
      <c r="D12" s="3387">
        <v>6.5</v>
      </c>
      <c r="E12" s="3388">
        <v>40.474166115923758</v>
      </c>
      <c r="F12" s="3387">
        <v>39.058501207687101</v>
      </c>
    </row>
    <row r="13" spans="1:6" ht="12" customHeight="1" x14ac:dyDescent="0.2">
      <c r="A13" s="3394" t="s">
        <v>1226</v>
      </c>
      <c r="B13" s="3363" t="s">
        <v>986</v>
      </c>
      <c r="C13" s="3363" t="s">
        <v>986</v>
      </c>
      <c r="D13" s="3363" t="s">
        <v>986</v>
      </c>
      <c r="E13" s="3363" t="s">
        <v>986</v>
      </c>
      <c r="F13" s="3363" t="s">
        <v>986</v>
      </c>
    </row>
    <row r="14" spans="1:6" ht="12" customHeight="1" x14ac:dyDescent="0.2">
      <c r="A14" s="3393" t="s">
        <v>1225</v>
      </c>
      <c r="B14" s="3387" t="s">
        <v>986</v>
      </c>
      <c r="C14" s="3387" t="s">
        <v>986</v>
      </c>
      <c r="D14" s="3387" t="s">
        <v>986</v>
      </c>
      <c r="E14" s="3388" t="s">
        <v>986</v>
      </c>
      <c r="F14" s="3387" t="s">
        <v>986</v>
      </c>
    </row>
    <row r="15" spans="1:6" ht="12.75" customHeight="1" x14ac:dyDescent="0.2">
      <c r="A15" s="3393" t="s">
        <v>1224</v>
      </c>
      <c r="B15" s="3387" t="s">
        <v>986</v>
      </c>
      <c r="C15" s="3387" t="s">
        <v>986</v>
      </c>
      <c r="D15" s="3387" t="s">
        <v>986</v>
      </c>
      <c r="E15" s="3388" t="s">
        <v>986</v>
      </c>
      <c r="F15" s="3387" t="s">
        <v>986</v>
      </c>
    </row>
    <row r="16" spans="1:6" ht="13.5" customHeight="1" x14ac:dyDescent="0.2">
      <c r="A16" s="3393" t="s">
        <v>1223</v>
      </c>
      <c r="B16" s="3387" t="s">
        <v>986</v>
      </c>
      <c r="C16" s="3387" t="s">
        <v>986</v>
      </c>
      <c r="D16" s="3387" t="s">
        <v>986</v>
      </c>
      <c r="E16" s="3388" t="s">
        <v>986</v>
      </c>
      <c r="F16" s="3387" t="s">
        <v>986</v>
      </c>
    </row>
    <row r="17" spans="1:6" ht="29.25" customHeight="1" x14ac:dyDescent="0.2">
      <c r="A17" s="3394" t="s">
        <v>1222</v>
      </c>
      <c r="B17" s="3363" t="s">
        <v>986</v>
      </c>
      <c r="C17" s="3363" t="s">
        <v>986</v>
      </c>
      <c r="D17" s="3363" t="s">
        <v>986</v>
      </c>
      <c r="E17" s="3363" t="s">
        <v>986</v>
      </c>
      <c r="F17" s="3363" t="s">
        <v>986</v>
      </c>
    </row>
    <row r="18" spans="1:6" ht="13.5" customHeight="1" x14ac:dyDescent="0.2">
      <c r="A18" s="3392" t="s">
        <v>1218</v>
      </c>
      <c r="B18" s="3363" t="s">
        <v>986</v>
      </c>
      <c r="C18" s="3363" t="s">
        <v>986</v>
      </c>
      <c r="D18" s="3363" t="s">
        <v>986</v>
      </c>
      <c r="E18" s="3363" t="s">
        <v>986</v>
      </c>
      <c r="F18" s="3388" t="s">
        <v>986</v>
      </c>
    </row>
    <row r="19" spans="1:6" ht="12.75" customHeight="1" x14ac:dyDescent="0.2">
      <c r="A19" s="3392" t="s">
        <v>1221</v>
      </c>
      <c r="B19" s="3388">
        <v>204.93</v>
      </c>
      <c r="C19" s="3363" t="s">
        <v>986</v>
      </c>
      <c r="D19" s="3363" t="s">
        <v>986</v>
      </c>
      <c r="E19" s="3388">
        <v>6.7139268692537897</v>
      </c>
      <c r="F19" s="3388">
        <v>1.3758850333161801</v>
      </c>
    </row>
    <row r="20" spans="1:6" ht="12.75" customHeight="1" x14ac:dyDescent="0.2">
      <c r="A20" s="3393" t="s">
        <v>1218</v>
      </c>
      <c r="B20" s="3388">
        <v>204.93</v>
      </c>
      <c r="C20" s="3363" t="s">
        <v>986</v>
      </c>
      <c r="D20" s="3363" t="s">
        <v>986</v>
      </c>
      <c r="E20" s="3388">
        <v>6.7139268692537897</v>
      </c>
      <c r="F20" s="3388">
        <v>1.3758850333161801</v>
      </c>
    </row>
    <row r="21" spans="1:6" ht="12.75" customHeight="1" x14ac:dyDescent="0.2">
      <c r="A21" s="3391" t="s">
        <v>1220</v>
      </c>
      <c r="B21" s="3387">
        <v>204.93</v>
      </c>
      <c r="C21" s="3387">
        <v>20.192378720210201</v>
      </c>
      <c r="D21" s="3387">
        <v>6.5</v>
      </c>
      <c r="E21" s="3388">
        <v>6.7139268692537897</v>
      </c>
      <c r="F21" s="3387">
        <v>1.3758850333161801</v>
      </c>
    </row>
    <row r="22" spans="1:6" ht="13.5" customHeight="1" x14ac:dyDescent="0.2">
      <c r="A22" s="3392" t="s">
        <v>1219</v>
      </c>
      <c r="B22" s="3388">
        <v>12781.246999999999</v>
      </c>
      <c r="C22" s="3363" t="s">
        <v>986</v>
      </c>
      <c r="D22" s="3363" t="s">
        <v>986</v>
      </c>
      <c r="E22" s="3388">
        <v>1.07565542995116</v>
      </c>
      <c r="F22" s="3388">
        <v>13.748217737097001</v>
      </c>
    </row>
    <row r="23" spans="1:6" ht="13.5" customHeight="1" x14ac:dyDescent="0.2">
      <c r="A23" s="3393" t="s">
        <v>1218</v>
      </c>
      <c r="B23" s="3388">
        <v>12781.246999999999</v>
      </c>
      <c r="C23" s="3363" t="s">
        <v>986</v>
      </c>
      <c r="D23" s="3363" t="s">
        <v>986</v>
      </c>
      <c r="E23" s="3388">
        <v>1.07565542995116</v>
      </c>
      <c r="F23" s="3388">
        <v>13.748217737097001</v>
      </c>
    </row>
    <row r="24" spans="1:6" ht="12.75" customHeight="1" x14ac:dyDescent="0.2">
      <c r="A24" s="3391" t="s">
        <v>1217</v>
      </c>
      <c r="B24" s="3387">
        <v>12781.246999999999</v>
      </c>
      <c r="C24" s="3387">
        <v>38.837442082191799</v>
      </c>
      <c r="D24" s="3387">
        <v>0.6</v>
      </c>
      <c r="E24" s="3388">
        <v>1.07565542995116</v>
      </c>
      <c r="F24" s="3387">
        <v>13.748217737097001</v>
      </c>
    </row>
    <row r="25" spans="1:6" ht="13.5" customHeight="1" x14ac:dyDescent="0.2">
      <c r="A25" s="3392" t="s">
        <v>1216</v>
      </c>
      <c r="B25" s="3388">
        <v>22501.772000000001</v>
      </c>
      <c r="C25" s="3363" t="s">
        <v>986</v>
      </c>
      <c r="D25" s="3363" t="s">
        <v>986</v>
      </c>
      <c r="E25" s="3388">
        <v>0.18239690635413999</v>
      </c>
      <c r="F25" s="3388">
        <v>4.1042536002863104</v>
      </c>
    </row>
    <row r="26" spans="1:6" ht="12" customHeight="1" x14ac:dyDescent="0.2">
      <c r="A26" s="3391" t="s">
        <v>1215</v>
      </c>
      <c r="B26" s="3387">
        <v>7.6619999999999999</v>
      </c>
      <c r="C26" s="3387">
        <v>34.461479452054803</v>
      </c>
      <c r="D26" s="3387">
        <v>5</v>
      </c>
      <c r="E26" s="3388">
        <v>11.301383647798231</v>
      </c>
      <c r="F26" s="3387">
        <v>8.6591201509430005E-2</v>
      </c>
    </row>
    <row r="27" spans="1:6" x14ac:dyDescent="0.2">
      <c r="A27" s="3391" t="s">
        <v>1214</v>
      </c>
      <c r="B27" s="3387">
        <v>10.315</v>
      </c>
      <c r="C27" s="3387">
        <v>39.932841336085602</v>
      </c>
      <c r="D27" s="3387">
        <v>5</v>
      </c>
      <c r="E27" s="3388">
        <v>13.095675730162871</v>
      </c>
      <c r="F27" s="3387">
        <v>0.13508189515662999</v>
      </c>
    </row>
    <row r="28" spans="1:6" x14ac:dyDescent="0.2">
      <c r="A28" s="3391" t="s">
        <v>1213</v>
      </c>
      <c r="B28" s="3387">
        <v>175</v>
      </c>
      <c r="C28" s="3387">
        <v>133.01211000000001</v>
      </c>
      <c r="D28" s="3387">
        <v>2.5</v>
      </c>
      <c r="E28" s="3388">
        <v>21.81016179245286</v>
      </c>
      <c r="F28" s="3387">
        <v>3.8167783136792499</v>
      </c>
    </row>
    <row r="29" spans="1:6" x14ac:dyDescent="0.2">
      <c r="A29" s="3391" t="s">
        <v>1212</v>
      </c>
      <c r="B29" s="3387">
        <v>21246.197</v>
      </c>
      <c r="C29" s="3387">
        <v>1.62866782510328</v>
      </c>
      <c r="D29" s="3387" t="s">
        <v>1209</v>
      </c>
      <c r="E29" s="3388">
        <v>3.0829959351300002E-3</v>
      </c>
      <c r="F29" s="3387">
        <v>6.5501938987999997E-2</v>
      </c>
    </row>
    <row r="30" spans="1:6" x14ac:dyDescent="0.2">
      <c r="A30" s="3390" t="s">
        <v>1111</v>
      </c>
      <c r="B30" s="3388">
        <v>1062.598</v>
      </c>
      <c r="C30" s="3363" t="s">
        <v>986</v>
      </c>
      <c r="D30" s="3363" t="s">
        <v>986</v>
      </c>
      <c r="E30" s="3388">
        <v>2.8256306995E-4</v>
      </c>
      <c r="F30" s="3388">
        <v>3.0025095299999999E-4</v>
      </c>
    </row>
    <row r="31" spans="1:6" x14ac:dyDescent="0.2">
      <c r="A31" s="3389" t="s">
        <v>1211</v>
      </c>
      <c r="B31" s="3387">
        <v>9.8000000000000004E-2</v>
      </c>
      <c r="C31" s="3387" t="s">
        <v>1209</v>
      </c>
      <c r="D31" s="3387" t="s">
        <v>1209</v>
      </c>
      <c r="E31" s="3388">
        <v>2.2968908163270001E-2</v>
      </c>
      <c r="F31" s="3387">
        <v>2.2509529999999999E-6</v>
      </c>
    </row>
    <row r="32" spans="1:6" x14ac:dyDescent="0.2">
      <c r="A32" s="3389" t="s">
        <v>1210</v>
      </c>
      <c r="B32" s="3387">
        <v>1062.5</v>
      </c>
      <c r="C32" s="3387" t="s">
        <v>1209</v>
      </c>
      <c r="D32" s="3387" t="s">
        <v>1209</v>
      </c>
      <c r="E32" s="3388">
        <v>2.8047058824000001E-4</v>
      </c>
      <c r="F32" s="3387">
        <v>2.9799999999999998E-4</v>
      </c>
    </row>
    <row r="33" spans="1:6" x14ac:dyDescent="0.2">
      <c r="A33" s="678" t="s">
        <v>564</v>
      </c>
      <c r="B33" s="663"/>
      <c r="C33" s="663"/>
      <c r="D33" s="663"/>
      <c r="E33" s="663"/>
      <c r="F33" s="663"/>
    </row>
    <row r="34" spans="1:6" ht="13.5" x14ac:dyDescent="0.2">
      <c r="A34" s="5459" t="s">
        <v>1208</v>
      </c>
      <c r="B34" s="5459"/>
      <c r="C34" s="5459"/>
      <c r="D34" s="5459"/>
      <c r="E34" s="5459"/>
      <c r="F34" s="5459"/>
    </row>
    <row r="35" spans="1:6" ht="13.5" x14ac:dyDescent="0.2">
      <c r="A35" s="5459" t="s">
        <v>1207</v>
      </c>
      <c r="B35" s="5459"/>
      <c r="C35" s="5459"/>
      <c r="D35" s="5459"/>
      <c r="E35" s="5459"/>
      <c r="F35" s="5459"/>
    </row>
    <row r="36" spans="1:6" ht="13.5" x14ac:dyDescent="0.2">
      <c r="A36" s="5459" t="s">
        <v>1206</v>
      </c>
      <c r="B36" s="5459"/>
      <c r="C36" s="5459"/>
      <c r="D36" s="5459"/>
      <c r="E36" s="5459"/>
      <c r="F36" s="5459"/>
    </row>
    <row r="37" spans="1:6" ht="13.5" x14ac:dyDescent="0.2">
      <c r="A37" s="5459" t="s">
        <v>1205</v>
      </c>
      <c r="B37" s="5459"/>
      <c r="C37" s="5459"/>
      <c r="D37" s="5459"/>
      <c r="E37" s="5459"/>
      <c r="F37" s="5459"/>
    </row>
    <row r="38" spans="1:6" ht="36.75" customHeight="1" x14ac:dyDescent="0.2">
      <c r="A38" s="5459" t="s">
        <v>1204</v>
      </c>
      <c r="B38" s="5459"/>
      <c r="C38" s="5459"/>
      <c r="D38" s="5459"/>
      <c r="E38" s="5459"/>
      <c r="F38" s="5459"/>
    </row>
    <row r="39" spans="1:6" ht="13.5" x14ac:dyDescent="0.2">
      <c r="A39" s="5459" t="s">
        <v>1203</v>
      </c>
      <c r="B39" s="5459"/>
      <c r="C39" s="5459"/>
      <c r="D39" s="5459"/>
      <c r="E39" s="5459"/>
      <c r="F39" s="5459"/>
    </row>
    <row r="40" spans="1:6" ht="13.5" x14ac:dyDescent="0.2">
      <c r="A40" s="662"/>
      <c r="B40" s="661"/>
      <c r="C40" s="661"/>
      <c r="D40" s="661"/>
      <c r="E40" s="661"/>
      <c r="F40" s="661"/>
    </row>
    <row r="41" spans="1:6" ht="17.25" customHeight="1" x14ac:dyDescent="0.2">
      <c r="A41" s="3386" t="s">
        <v>982</v>
      </c>
      <c r="B41" s="3385"/>
      <c r="C41" s="3385"/>
      <c r="D41" s="3385"/>
      <c r="E41" s="3384"/>
      <c r="F41" s="661"/>
    </row>
    <row r="42" spans="1:6" ht="24.75" customHeight="1" x14ac:dyDescent="0.2">
      <c r="A42" s="5500" t="s">
        <v>1202</v>
      </c>
      <c r="B42" s="5435"/>
      <c r="C42" s="5435"/>
      <c r="D42" s="5435"/>
      <c r="E42" s="5477"/>
      <c r="F42" s="707"/>
    </row>
    <row r="43" spans="1:6" ht="12" customHeight="1" x14ac:dyDescent="0.2">
      <c r="A43" s="706" t="s">
        <v>1201</v>
      </c>
      <c r="B43" s="705"/>
      <c r="C43" s="705"/>
      <c r="D43" s="705"/>
      <c r="E43" s="704"/>
      <c r="F43" s="703"/>
    </row>
    <row r="44" spans="1:6" x14ac:dyDescent="0.2">
      <c r="A44" s="5501" t="s">
        <v>1200</v>
      </c>
      <c r="B44" s="5502"/>
      <c r="C44" s="5502"/>
      <c r="D44" s="5502"/>
      <c r="E44" s="5503"/>
      <c r="F44" s="702"/>
    </row>
    <row r="45" spans="1:6" ht="12" customHeight="1" x14ac:dyDescent="0.2">
      <c r="A45" s="701" t="s">
        <v>1199</v>
      </c>
      <c r="B45" s="700"/>
      <c r="C45" s="700"/>
      <c r="D45" s="700"/>
      <c r="E45" s="699"/>
      <c r="F45" s="698"/>
    </row>
    <row r="46" spans="1:6" ht="12" customHeight="1" x14ac:dyDescent="0.2">
      <c r="A46" s="3383" t="s">
        <v>980</v>
      </c>
      <c r="B46" s="5473" t="s">
        <v>986</v>
      </c>
      <c r="C46" s="5499"/>
      <c r="D46" s="5499"/>
      <c r="E46" s="5499"/>
      <c r="F46" s="3382"/>
    </row>
  </sheetData>
  <sheetProtection password="A754" sheet="1" objects="1" scenarios="1"/>
  <mergeCells count="10">
    <mergeCell ref="B6:D6"/>
    <mergeCell ref="B46:E46"/>
    <mergeCell ref="A34:F34"/>
    <mergeCell ref="A35:F35"/>
    <mergeCell ref="A36:F36"/>
    <mergeCell ref="A37:F37"/>
    <mergeCell ref="A38:F38"/>
    <mergeCell ref="A39:F39"/>
    <mergeCell ref="A42:E42"/>
    <mergeCell ref="A44:E44"/>
  </mergeCells>
  <dataValidations count="1">
    <dataValidation allowBlank="1" showInputMessage="1" showErrorMessage="1" sqref="A44:A65522 A42 B42:F65522 G1:IL65522" xr:uid="{00000000-0002-0000-1700-000000000000}"/>
  </dataValidations>
  <printOptions horizontalCentered="1" verticalCentered="1"/>
  <pageMargins left="0.39370078740157483" right="0.39370078740157483" top="0.39370078740157483" bottom="0.39370078740157483" header="0.19685039370078741" footer="0.19685039370078741"/>
  <pageSetup paperSize="9" scale="40"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B30B3-29C4-42BB-A970-146E9560B73B}">
  <sheetPr codeName="Ark21">
    <tabColor theme="0" tint="-0.14999847407452621"/>
    <pageSetUpPr fitToPage="1"/>
  </sheetPr>
  <dimension ref="A1:E43"/>
  <sheetViews>
    <sheetView showGridLines="0" workbookViewId="0">
      <selection sqref="A1:B1"/>
    </sheetView>
  </sheetViews>
  <sheetFormatPr defaultColWidth="8" defaultRowHeight="12" customHeight="1" x14ac:dyDescent="0.2"/>
  <cols>
    <col min="1" max="1" width="44.28515625" style="659" customWidth="1"/>
    <col min="2" max="2" width="61" style="659" customWidth="1"/>
    <col min="3" max="3" width="16.5703125" style="659" customWidth="1"/>
    <col min="4" max="4" width="22.28515625" style="659" customWidth="1"/>
    <col min="5" max="5" width="16.7109375" style="659" customWidth="1"/>
    <col min="6" max="16384" width="8" style="659"/>
  </cols>
  <sheetData>
    <row r="1" spans="1:5" ht="15.75" x14ac:dyDescent="0.2">
      <c r="A1" s="5471" t="s">
        <v>1293</v>
      </c>
      <c r="B1" s="5471"/>
      <c r="C1" s="660"/>
      <c r="D1" s="660"/>
      <c r="E1" s="668" t="s">
        <v>1028</v>
      </c>
    </row>
    <row r="2" spans="1:5" ht="17.25" x14ac:dyDescent="0.2">
      <c r="A2" s="5471" t="s">
        <v>1292</v>
      </c>
      <c r="B2" s="5471"/>
      <c r="C2" s="660"/>
      <c r="D2" s="660"/>
      <c r="E2" s="668" t="s">
        <v>5183</v>
      </c>
    </row>
    <row r="3" spans="1:5" ht="15.75" x14ac:dyDescent="0.25">
      <c r="A3" s="687" t="s">
        <v>1197</v>
      </c>
      <c r="B3" s="670"/>
      <c r="C3" s="660"/>
      <c r="D3" s="660"/>
      <c r="E3" s="668" t="s">
        <v>1789</v>
      </c>
    </row>
    <row r="4" spans="1:5" ht="12" customHeight="1" x14ac:dyDescent="0.2">
      <c r="A4" s="660"/>
      <c r="B4" s="660"/>
      <c r="C4" s="660"/>
      <c r="D4" s="660"/>
      <c r="E4" s="660"/>
    </row>
    <row r="5" spans="1:5" ht="27" customHeight="1" x14ac:dyDescent="0.2">
      <c r="A5" s="3397" t="s">
        <v>1025</v>
      </c>
      <c r="B5" s="5496" t="s">
        <v>1291</v>
      </c>
      <c r="C5" s="5498"/>
      <c r="D5" s="3405" t="s">
        <v>1238</v>
      </c>
      <c r="E5" s="3406" t="s">
        <v>1081</v>
      </c>
    </row>
    <row r="6" spans="1:5" ht="12" customHeight="1" x14ac:dyDescent="0.2">
      <c r="A6" s="676"/>
      <c r="B6" s="3326" t="s">
        <v>1254</v>
      </c>
      <c r="C6" s="3405" t="s">
        <v>1253</v>
      </c>
      <c r="D6" s="3326"/>
      <c r="E6" s="726" t="s">
        <v>1022</v>
      </c>
    </row>
    <row r="7" spans="1:5" ht="29.25" customHeight="1" thickBot="1" x14ac:dyDescent="0.25">
      <c r="A7" s="675"/>
      <c r="B7" s="674"/>
      <c r="C7" s="725" t="s">
        <v>1290</v>
      </c>
      <c r="D7" s="725" t="s">
        <v>1289</v>
      </c>
      <c r="E7" s="724" t="s">
        <v>1011</v>
      </c>
    </row>
    <row r="8" spans="1:5" ht="29.25" customHeight="1" thickTop="1" x14ac:dyDescent="0.2">
      <c r="A8" s="723" t="s">
        <v>1288</v>
      </c>
      <c r="B8" s="3363" t="s">
        <v>986</v>
      </c>
      <c r="C8" s="3363" t="s">
        <v>986</v>
      </c>
      <c r="D8" s="3363" t="s">
        <v>986</v>
      </c>
      <c r="E8" s="3388">
        <v>11.890195862160139</v>
      </c>
    </row>
    <row r="9" spans="1:5" ht="29.25" customHeight="1" x14ac:dyDescent="0.2">
      <c r="A9" s="3404" t="s">
        <v>1287</v>
      </c>
      <c r="B9" s="3388" t="s">
        <v>1286</v>
      </c>
      <c r="C9" s="3387">
        <v>224184000</v>
      </c>
      <c r="D9" s="3388">
        <v>0.01</v>
      </c>
      <c r="E9" s="3387">
        <v>3.5228914285714299</v>
      </c>
    </row>
    <row r="10" spans="1:5" ht="29.25" customHeight="1" x14ac:dyDescent="0.2">
      <c r="A10" s="3404" t="s">
        <v>1285</v>
      </c>
      <c r="B10" s="3388" t="s">
        <v>1284</v>
      </c>
      <c r="C10" s="3388">
        <v>225857837.374066</v>
      </c>
      <c r="D10" s="3388">
        <v>0.01</v>
      </c>
      <c r="E10" s="3388">
        <v>3.5491945873067601</v>
      </c>
    </row>
    <row r="11" spans="1:5" ht="25.5" customHeight="1" x14ac:dyDescent="0.2">
      <c r="A11" s="3404" t="s">
        <v>1283</v>
      </c>
      <c r="B11" s="3388" t="s">
        <v>1282</v>
      </c>
      <c r="C11" s="3387">
        <v>217016837.374066</v>
      </c>
      <c r="D11" s="3388">
        <v>0.01</v>
      </c>
      <c r="E11" s="3387">
        <v>3.4102645873067599</v>
      </c>
    </row>
    <row r="12" spans="1:5" ht="22.5" customHeight="1" x14ac:dyDescent="0.2">
      <c r="A12" s="3404" t="s">
        <v>1281</v>
      </c>
      <c r="B12" s="3388" t="s">
        <v>1280</v>
      </c>
      <c r="C12" s="3387">
        <v>4053000</v>
      </c>
      <c r="D12" s="3388">
        <v>0.01</v>
      </c>
      <c r="E12" s="3387">
        <v>6.3689999999999997E-2</v>
      </c>
    </row>
    <row r="13" spans="1:5" ht="20.25" customHeight="1" x14ac:dyDescent="0.2">
      <c r="A13" s="722" t="s">
        <v>1279</v>
      </c>
      <c r="B13" s="3388" t="s">
        <v>1278</v>
      </c>
      <c r="C13" s="3387">
        <v>4788000</v>
      </c>
      <c r="D13" s="3388">
        <v>0.01</v>
      </c>
      <c r="E13" s="3387">
        <v>7.5240000000000001E-2</v>
      </c>
    </row>
    <row r="14" spans="1:5" ht="14.25" customHeight="1" x14ac:dyDescent="0.2">
      <c r="A14" s="3404" t="s">
        <v>1277</v>
      </c>
      <c r="B14" s="3388" t="s">
        <v>1276</v>
      </c>
      <c r="C14" s="3387">
        <v>21064707.921314299</v>
      </c>
      <c r="D14" s="3388">
        <v>1.7770868899240001E-2</v>
      </c>
      <c r="E14" s="3387">
        <v>0.58824568451084003</v>
      </c>
    </row>
    <row r="15" spans="1:5" ht="14.25" customHeight="1" x14ac:dyDescent="0.2">
      <c r="A15" s="3404" t="s">
        <v>1275</v>
      </c>
      <c r="B15" s="3388" t="s">
        <v>1274</v>
      </c>
      <c r="C15" s="3387">
        <v>101086000</v>
      </c>
      <c r="D15" s="3388">
        <v>0.01</v>
      </c>
      <c r="E15" s="3387">
        <v>1.5884942857142901</v>
      </c>
    </row>
    <row r="16" spans="1:5" ht="25.5" customHeight="1" x14ac:dyDescent="0.2">
      <c r="A16" s="3404" t="s">
        <v>1273</v>
      </c>
      <c r="B16" s="3388" t="s">
        <v>1272</v>
      </c>
      <c r="C16" s="3387">
        <v>28857783.930888601</v>
      </c>
      <c r="D16" s="3388">
        <v>0.01</v>
      </c>
      <c r="E16" s="3387">
        <v>0.45347946177110998</v>
      </c>
    </row>
    <row r="17" spans="1:5" ht="14.25" customHeight="1" x14ac:dyDescent="0.2">
      <c r="A17" s="3404" t="s">
        <v>1271</v>
      </c>
      <c r="B17" s="3388" t="s">
        <v>1270</v>
      </c>
      <c r="C17" s="3387">
        <v>178734</v>
      </c>
      <c r="D17" s="3388">
        <v>7.7897540479147702</v>
      </c>
      <c r="E17" s="3387">
        <v>2.1878904142857101</v>
      </c>
    </row>
    <row r="18" spans="1:5" ht="14.25" customHeight="1" x14ac:dyDescent="0.2">
      <c r="A18" s="3404" t="s">
        <v>1269</v>
      </c>
      <c r="B18" s="3388" t="s">
        <v>1268</v>
      </c>
      <c r="C18" s="3387" t="s">
        <v>259</v>
      </c>
      <c r="D18" s="3388" t="s">
        <v>259</v>
      </c>
      <c r="E18" s="3387" t="s">
        <v>259</v>
      </c>
    </row>
    <row r="19" spans="1:5" ht="27" customHeight="1" x14ac:dyDescent="0.2">
      <c r="A19" s="721" t="s">
        <v>1267</v>
      </c>
      <c r="B19" s="3363" t="s">
        <v>986</v>
      </c>
      <c r="C19" s="3363" t="s">
        <v>986</v>
      </c>
      <c r="D19" s="3363" t="s">
        <v>986</v>
      </c>
      <c r="E19" s="3388">
        <v>1.7770700659558101</v>
      </c>
    </row>
    <row r="20" spans="1:5" ht="24" customHeight="1" x14ac:dyDescent="0.2">
      <c r="A20" s="3403" t="s">
        <v>1266</v>
      </c>
      <c r="B20" s="3388" t="s">
        <v>1265</v>
      </c>
      <c r="C20" s="3387">
        <v>42724276.924460702</v>
      </c>
      <c r="D20" s="3388">
        <v>0.01</v>
      </c>
      <c r="E20" s="3387">
        <v>0.67138149452724005</v>
      </c>
    </row>
    <row r="21" spans="1:5" x14ac:dyDescent="0.2">
      <c r="A21" s="3403" t="s">
        <v>1264</v>
      </c>
      <c r="B21" s="3388" t="s">
        <v>1263</v>
      </c>
      <c r="C21" s="3387">
        <v>153137000</v>
      </c>
      <c r="D21" s="3388">
        <v>4.5947093125799999E-3</v>
      </c>
      <c r="E21" s="3387">
        <v>1.10568857142857</v>
      </c>
    </row>
    <row r="22" spans="1:5" ht="12" customHeight="1" x14ac:dyDescent="0.2">
      <c r="A22" s="660"/>
      <c r="B22" s="660"/>
      <c r="C22" s="660"/>
      <c r="D22" s="660"/>
      <c r="E22" s="660"/>
    </row>
    <row r="23" spans="1:5" ht="11.25" customHeight="1" x14ac:dyDescent="0.2">
      <c r="A23" s="5434" t="s">
        <v>1262</v>
      </c>
      <c r="B23" s="5434"/>
      <c r="C23" s="5434"/>
      <c r="D23" s="5434"/>
      <c r="E23" s="5434"/>
    </row>
    <row r="24" spans="1:5" ht="13.5" x14ac:dyDescent="0.2">
      <c r="A24" s="5504" t="s">
        <v>1261</v>
      </c>
      <c r="B24" s="5504"/>
      <c r="C24" s="5504"/>
      <c r="D24" s="5504"/>
      <c r="E24" s="5504"/>
    </row>
    <row r="25" spans="1:5" x14ac:dyDescent="0.2">
      <c r="A25" s="5505" t="s">
        <v>1260</v>
      </c>
      <c r="B25" s="5506"/>
      <c r="C25" s="5506"/>
      <c r="D25" s="5506"/>
      <c r="E25" s="5506"/>
    </row>
    <row r="26" spans="1:5" ht="14.25" customHeight="1" x14ac:dyDescent="0.2">
      <c r="A26" s="5507" t="s">
        <v>1259</v>
      </c>
      <c r="B26" s="5507"/>
      <c r="C26" s="5507"/>
      <c r="D26" s="5507"/>
      <c r="E26" s="5507"/>
    </row>
    <row r="27" spans="1:5" ht="14.25" customHeight="1" x14ac:dyDescent="0.2">
      <c r="A27" s="5507" t="s">
        <v>1258</v>
      </c>
      <c r="B27" s="5507"/>
      <c r="C27" s="5507"/>
      <c r="D27" s="5507"/>
      <c r="E27" s="5507"/>
    </row>
    <row r="28" spans="1:5" ht="13.5" x14ac:dyDescent="0.2">
      <c r="A28" s="5507" t="s">
        <v>1257</v>
      </c>
      <c r="B28" s="5507"/>
      <c r="C28" s="5507"/>
      <c r="D28" s="5507"/>
      <c r="E28" s="5507"/>
    </row>
    <row r="29" spans="1:5" ht="13.5" x14ac:dyDescent="0.2">
      <c r="A29" s="3303"/>
      <c r="B29" s="3303"/>
      <c r="C29" s="3303"/>
      <c r="D29" s="3303"/>
      <c r="E29" s="3303"/>
    </row>
    <row r="30" spans="1:5" ht="13.5" x14ac:dyDescent="0.2">
      <c r="A30" s="720" t="s">
        <v>1256</v>
      </c>
      <c r="B30" s="3303"/>
      <c r="C30" s="3303"/>
      <c r="D30" s="3303"/>
      <c r="E30" s="3303"/>
    </row>
    <row r="31" spans="1:5" ht="14.25" x14ac:dyDescent="0.2">
      <c r="A31" s="3402" t="s">
        <v>1255</v>
      </c>
      <c r="B31" s="3402" t="s">
        <v>1254</v>
      </c>
      <c r="C31" s="3401" t="s">
        <v>1253</v>
      </c>
      <c r="D31" s="3303"/>
      <c r="E31" s="3303"/>
    </row>
    <row r="32" spans="1:5" ht="13.5" x14ac:dyDescent="0.2">
      <c r="A32" s="3400" t="s">
        <v>1252</v>
      </c>
      <c r="B32" s="3400" t="s">
        <v>1251</v>
      </c>
      <c r="C32" s="3387">
        <v>5.183311592651E-2</v>
      </c>
      <c r="D32" s="3303"/>
      <c r="E32" s="3303"/>
    </row>
    <row r="33" spans="1:5" ht="13.5" x14ac:dyDescent="0.2">
      <c r="A33" s="3400" t="s">
        <v>1250</v>
      </c>
      <c r="B33" s="3400" t="s">
        <v>1249</v>
      </c>
      <c r="C33" s="3387">
        <v>9.2872287052539998E-2</v>
      </c>
      <c r="D33" s="3303"/>
      <c r="E33" s="3303"/>
    </row>
    <row r="34" spans="1:5" ht="13.5" x14ac:dyDescent="0.2">
      <c r="A34" s="3400" t="s">
        <v>1248</v>
      </c>
      <c r="B34" s="3400" t="s">
        <v>1247</v>
      </c>
      <c r="C34" s="3387">
        <v>0.2547823244638</v>
      </c>
      <c r="D34" s="3303"/>
      <c r="E34" s="3303"/>
    </row>
    <row r="35" spans="1:5" ht="13.5" x14ac:dyDescent="0.2">
      <c r="A35" s="3399" t="s">
        <v>1246</v>
      </c>
      <c r="B35" s="719"/>
      <c r="C35" s="3363" t="s">
        <v>986</v>
      </c>
      <c r="D35" s="3303"/>
      <c r="E35" s="3303"/>
    </row>
    <row r="36" spans="1:5" ht="13.5" x14ac:dyDescent="0.2">
      <c r="A36" s="3314" t="s">
        <v>1245</v>
      </c>
      <c r="B36" s="3303"/>
      <c r="C36" s="3303"/>
      <c r="D36" s="3303"/>
      <c r="E36" s="3303"/>
    </row>
    <row r="37" spans="1:5" ht="13.5" x14ac:dyDescent="0.2">
      <c r="A37" s="3321"/>
      <c r="B37" s="3303"/>
      <c r="C37" s="3303"/>
      <c r="D37" s="3303"/>
      <c r="E37" s="3303"/>
    </row>
    <row r="38" spans="1:5" ht="12" customHeight="1" x14ac:dyDescent="0.2">
      <c r="A38" s="5509" t="s">
        <v>982</v>
      </c>
      <c r="B38" s="5510"/>
      <c r="C38" s="5510"/>
      <c r="D38" s="5510"/>
      <c r="E38" s="5511"/>
    </row>
    <row r="39" spans="1:5" ht="27" customHeight="1" x14ac:dyDescent="0.2">
      <c r="A39" s="5512" t="s">
        <v>1244</v>
      </c>
      <c r="B39" s="5513"/>
      <c r="C39" s="5513"/>
      <c r="D39" s="5513"/>
      <c r="E39" s="5514"/>
    </row>
    <row r="40" spans="1:5" ht="12" customHeight="1" x14ac:dyDescent="0.2">
      <c r="A40" s="5515" t="s">
        <v>1201</v>
      </c>
      <c r="B40" s="5516"/>
      <c r="C40" s="5516"/>
      <c r="D40" s="5516"/>
      <c r="E40" s="5517"/>
    </row>
    <row r="41" spans="1:5" ht="12" customHeight="1" x14ac:dyDescent="0.25">
      <c r="A41" s="718" t="s">
        <v>1243</v>
      </c>
      <c r="B41" s="717"/>
      <c r="C41" s="717"/>
      <c r="D41" s="717"/>
      <c r="E41" s="716"/>
    </row>
    <row r="42" spans="1:5" ht="12" customHeight="1" x14ac:dyDescent="0.2">
      <c r="A42" s="715" t="s">
        <v>1242</v>
      </c>
      <c r="B42" s="714"/>
      <c r="C42" s="714"/>
      <c r="D42" s="714"/>
      <c r="E42" s="713"/>
    </row>
    <row r="43" spans="1:5" ht="12" customHeight="1" x14ac:dyDescent="0.2">
      <c r="A43" s="3398" t="s">
        <v>980</v>
      </c>
      <c r="B43" s="5473" t="s">
        <v>5185</v>
      </c>
      <c r="C43" s="5508"/>
      <c r="D43" s="5508"/>
      <c r="E43" s="5508"/>
    </row>
  </sheetData>
  <sheetProtection password="A754" sheet="1" objects="1" scenarios="1"/>
  <mergeCells count="13">
    <mergeCell ref="A25:E25"/>
    <mergeCell ref="A26:E26"/>
    <mergeCell ref="A27:E27"/>
    <mergeCell ref="A28:E28"/>
    <mergeCell ref="B43:E43"/>
    <mergeCell ref="A38:E38"/>
    <mergeCell ref="A39:E39"/>
    <mergeCell ref="A40:E40"/>
    <mergeCell ref="A1:B1"/>
    <mergeCell ref="A2:B2"/>
    <mergeCell ref="B5:C5"/>
    <mergeCell ref="A23:E23"/>
    <mergeCell ref="A24:E24"/>
  </mergeCells>
  <dataValidations count="1">
    <dataValidation allowBlank="1" showInputMessage="1" showErrorMessage="1" sqref="A45:E65509 F1:IN65509" xr:uid="{00000000-0002-0000-1D00-000000000000}"/>
  </dataValidations>
  <printOptions horizontalCentered="1" verticalCentered="1"/>
  <pageMargins left="0.39370078740157483" right="0.39370078740157483" top="0.39370078740157483" bottom="0.39370078740157483" header="0.19685039370078741" footer="0.19685039370078741"/>
  <pageSetup paperSize="9" scale="28"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5941E-7EA0-48F3-A706-2A1FF8F18A98}">
  <sheetPr codeName="Ark22">
    <tabColor theme="0" tint="-0.14999847407452621"/>
  </sheetPr>
  <dimension ref="A1:D22"/>
  <sheetViews>
    <sheetView showGridLines="0" workbookViewId="0"/>
  </sheetViews>
  <sheetFormatPr defaultColWidth="9.140625" defaultRowHeight="12" x14ac:dyDescent="0.2"/>
  <cols>
    <col min="1" max="1" width="52" style="659" customWidth="1"/>
    <col min="2" max="2" width="27.7109375" style="659" customWidth="1"/>
    <col min="3" max="3" width="27.42578125" style="659" customWidth="1"/>
    <col min="4" max="4" width="20.85546875" style="659" customWidth="1"/>
    <col min="5" max="16384" width="9.140625" style="659"/>
  </cols>
  <sheetData>
    <row r="1" spans="1:4" ht="15.75" x14ac:dyDescent="0.25">
      <c r="A1" s="671" t="s">
        <v>1309</v>
      </c>
      <c r="B1" s="670"/>
      <c r="C1" s="660"/>
      <c r="D1" s="668" t="s">
        <v>1028</v>
      </c>
    </row>
    <row r="2" spans="1:4" ht="17.25" x14ac:dyDescent="0.3">
      <c r="A2" s="5430" t="s">
        <v>1308</v>
      </c>
      <c r="B2" s="5430"/>
      <c r="C2" s="660"/>
      <c r="D2" s="668" t="s">
        <v>5183</v>
      </c>
    </row>
    <row r="3" spans="1:4" ht="15.75" x14ac:dyDescent="0.25">
      <c r="A3" s="671" t="s">
        <v>1197</v>
      </c>
      <c r="B3" s="670"/>
      <c r="C3" s="660"/>
      <c r="D3" s="668" t="s">
        <v>1789</v>
      </c>
    </row>
    <row r="4" spans="1:4" x14ac:dyDescent="0.2">
      <c r="A4" s="660"/>
      <c r="B4" s="660"/>
      <c r="C4" s="660"/>
      <c r="D4" s="660"/>
    </row>
    <row r="5" spans="1:4" ht="24" customHeight="1" x14ac:dyDescent="0.2">
      <c r="A5" s="5519" t="s">
        <v>1025</v>
      </c>
      <c r="B5" s="3411" t="s">
        <v>1083</v>
      </c>
      <c r="C5" s="3411" t="s">
        <v>1238</v>
      </c>
      <c r="D5" s="3411" t="s">
        <v>1307</v>
      </c>
    </row>
    <row r="6" spans="1:4" ht="25.5" customHeight="1" x14ac:dyDescent="0.2">
      <c r="A6" s="5520"/>
      <c r="B6" s="3411" t="s">
        <v>1306</v>
      </c>
      <c r="C6" s="3411" t="s">
        <v>1305</v>
      </c>
      <c r="D6" s="3411" t="s">
        <v>1024</v>
      </c>
    </row>
    <row r="7" spans="1:4" ht="14.25" thickBot="1" x14ac:dyDescent="0.25">
      <c r="A7" s="3308"/>
      <c r="B7" s="3308" t="s">
        <v>1304</v>
      </c>
      <c r="C7" s="3308" t="s">
        <v>1303</v>
      </c>
      <c r="D7" s="3308" t="s">
        <v>1011</v>
      </c>
    </row>
    <row r="8" spans="1:4" ht="15" thickTop="1" x14ac:dyDescent="0.2">
      <c r="A8" s="730" t="s">
        <v>1302</v>
      </c>
      <c r="B8" s="3363" t="s">
        <v>986</v>
      </c>
      <c r="C8" s="3363" t="s">
        <v>986</v>
      </c>
      <c r="D8" s="3388">
        <v>239.91601891630901</v>
      </c>
    </row>
    <row r="9" spans="1:4" ht="13.5" x14ac:dyDescent="0.2">
      <c r="A9" s="3410" t="s">
        <v>1301</v>
      </c>
      <c r="B9" s="3387">
        <v>545300</v>
      </c>
      <c r="C9" s="3388">
        <v>0.11999200719353</v>
      </c>
      <c r="D9" s="3387">
        <v>239.91601891630901</v>
      </c>
    </row>
    <row r="10" spans="1:4" ht="13.5" x14ac:dyDescent="0.2">
      <c r="A10" s="3410" t="s">
        <v>1300</v>
      </c>
      <c r="B10" s="3387" t="s">
        <v>455</v>
      </c>
      <c r="C10" s="3388" t="s">
        <v>455</v>
      </c>
      <c r="D10" s="3387" t="s">
        <v>455</v>
      </c>
    </row>
    <row r="11" spans="1:4" x14ac:dyDescent="0.2">
      <c r="A11" s="3409" t="s">
        <v>1299</v>
      </c>
      <c r="B11" s="3387">
        <v>1900</v>
      </c>
      <c r="C11" s="3388">
        <v>0.2</v>
      </c>
      <c r="D11" s="3387">
        <v>1.39333333333333</v>
      </c>
    </row>
    <row r="12" spans="1:4" x14ac:dyDescent="0.2">
      <c r="A12" s="3409" t="s">
        <v>1298</v>
      </c>
      <c r="B12" s="3387">
        <v>26100</v>
      </c>
      <c r="C12" s="3388">
        <v>0.03</v>
      </c>
      <c r="D12" s="3387">
        <v>2.871</v>
      </c>
    </row>
    <row r="13" spans="1:4" x14ac:dyDescent="0.2">
      <c r="A13" s="3409" t="s">
        <v>1297</v>
      </c>
      <c r="B13" s="3388" t="s">
        <v>799</v>
      </c>
      <c r="C13" s="3388" t="s">
        <v>799</v>
      </c>
      <c r="D13" s="3388" t="s">
        <v>799</v>
      </c>
    </row>
    <row r="14" spans="1:4" x14ac:dyDescent="0.2">
      <c r="A14" s="3391" t="s">
        <v>1296</v>
      </c>
      <c r="B14" s="3387" t="s">
        <v>799</v>
      </c>
      <c r="C14" s="3388" t="s">
        <v>799</v>
      </c>
      <c r="D14" s="3387" t="s">
        <v>799</v>
      </c>
    </row>
    <row r="15" spans="1:4" x14ac:dyDescent="0.2">
      <c r="A15" s="729" t="s">
        <v>564</v>
      </c>
      <c r="B15" s="3408"/>
      <c r="C15" s="728"/>
      <c r="D15" s="728"/>
    </row>
    <row r="16" spans="1:4" ht="13.5" x14ac:dyDescent="0.2">
      <c r="A16" s="727" t="s">
        <v>1295</v>
      </c>
      <c r="B16" s="660"/>
      <c r="C16" s="660"/>
      <c r="D16" s="660"/>
    </row>
    <row r="17" spans="1:4" x14ac:dyDescent="0.2">
      <c r="A17" s="5521" t="s">
        <v>982</v>
      </c>
      <c r="B17" s="5522"/>
      <c r="C17" s="5522"/>
      <c r="D17" s="5523"/>
    </row>
    <row r="18" spans="1:4" ht="36" customHeight="1" x14ac:dyDescent="0.2">
      <c r="A18" s="5524" t="s">
        <v>1294</v>
      </c>
      <c r="B18" s="5525"/>
      <c r="C18" s="5525"/>
      <c r="D18" s="5526"/>
    </row>
    <row r="19" spans="1:4" x14ac:dyDescent="0.2">
      <c r="A19" s="3407" t="s">
        <v>980</v>
      </c>
      <c r="B19" s="5473" t="s">
        <v>986</v>
      </c>
      <c r="C19" s="5518"/>
      <c r="D19" s="5518"/>
    </row>
    <row r="20" spans="1:4" x14ac:dyDescent="0.2">
      <c r="A20" s="3407" t="s">
        <v>980</v>
      </c>
      <c r="B20" s="5473" t="s">
        <v>986</v>
      </c>
      <c r="C20" s="5518"/>
      <c r="D20" s="5518"/>
    </row>
    <row r="21" spans="1:4" x14ac:dyDescent="0.2">
      <c r="A21" s="3407" t="s">
        <v>980</v>
      </c>
      <c r="B21" s="5473" t="s">
        <v>986</v>
      </c>
      <c r="C21" s="5518"/>
      <c r="D21" s="5518"/>
    </row>
    <row r="22" spans="1:4" x14ac:dyDescent="0.2">
      <c r="A22" s="3407" t="s">
        <v>980</v>
      </c>
      <c r="B22" s="5473" t="s">
        <v>986</v>
      </c>
      <c r="C22" s="5518"/>
      <c r="D22" s="5518"/>
    </row>
  </sheetData>
  <sheetProtection password="A754" sheet="1" objects="1" scenarios="1"/>
  <mergeCells count="8">
    <mergeCell ref="B19:D19"/>
    <mergeCell ref="B20:D20"/>
    <mergeCell ref="B21:D21"/>
    <mergeCell ref="B22:D22"/>
    <mergeCell ref="A2:B2"/>
    <mergeCell ref="A5:A6"/>
    <mergeCell ref="A17:D17"/>
    <mergeCell ref="A18:D18"/>
  </mergeCells>
  <pageMargins left="0.7" right="0.7" top="0.75" bottom="0.75" header="0.3" footer="0.3"/>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168</vt:i4>
      </vt:variant>
      <vt:variant>
        <vt:lpstr>Navngivne områder</vt:lpstr>
      </vt:variant>
      <vt:variant>
        <vt:i4>137</vt:i4>
      </vt:variant>
    </vt:vector>
  </HeadingPairs>
  <TitlesOfParts>
    <vt:vector size="305" baseType="lpstr">
      <vt:lpstr>Index</vt:lpstr>
      <vt:lpstr>Grafer-energi</vt:lpstr>
      <vt:lpstr>Grafer-klima-&gt;VÆLG GWP og NIR&lt;-</vt:lpstr>
      <vt:lpstr>NIR faktorer</vt:lpstr>
      <vt:lpstr>Sammenfatning</vt:lpstr>
      <vt:lpstr>Reduktionsstiberegner</vt:lpstr>
      <vt:lpstr>K-tiltag</vt:lpstr>
      <vt:lpstr>E-Tiltag</vt:lpstr>
      <vt:lpstr>ESTI2050</vt:lpstr>
      <vt:lpstr>ESTI2030</vt:lpstr>
      <vt:lpstr>EBAU2050</vt:lpstr>
      <vt:lpstr>EBAU2030</vt:lpstr>
      <vt:lpstr>E1990</vt:lpstr>
      <vt:lpstr>E2018</vt:lpstr>
      <vt:lpstr>E2020</vt:lpstr>
      <vt:lpstr>Dyrehold 2018</vt:lpstr>
      <vt:lpstr>Dyrehold 2018G</vt:lpstr>
      <vt:lpstr>Planteavl 2018</vt:lpstr>
      <vt:lpstr>Planteavl 2018G</vt:lpstr>
      <vt:lpstr>Arealanvendelse 2018</vt:lpstr>
      <vt:lpstr>Arealanvendelse 2018G</vt:lpstr>
      <vt:lpstr>Affald og spildevand 2018</vt:lpstr>
      <vt:lpstr>Affald og spildevand 2018G</vt:lpstr>
      <vt:lpstr>Industrielle processer 2018</vt:lpstr>
      <vt:lpstr>Industrielle processer 2018G</vt:lpstr>
      <vt:lpstr>K1 2018</vt:lpstr>
      <vt:lpstr>K1 2018G</vt:lpstr>
      <vt:lpstr>K2 2018</vt:lpstr>
      <vt:lpstr>K2 2018G</vt:lpstr>
      <vt:lpstr>K2a 2018</vt:lpstr>
      <vt:lpstr>K2a 2018G</vt:lpstr>
      <vt:lpstr>K3 2018</vt:lpstr>
      <vt:lpstr>K3 2018G</vt:lpstr>
      <vt:lpstr>K4 2018</vt:lpstr>
      <vt:lpstr>K4 2018G</vt:lpstr>
      <vt:lpstr>K5 2018</vt:lpstr>
      <vt:lpstr>K5 2018G</vt:lpstr>
      <vt:lpstr>K5a 2018</vt:lpstr>
      <vt:lpstr>K5a 2018G</vt:lpstr>
      <vt:lpstr>K6 2018</vt:lpstr>
      <vt:lpstr>K6 2018G</vt:lpstr>
      <vt:lpstr>K7 2018</vt:lpstr>
      <vt:lpstr>K7 2018G</vt:lpstr>
      <vt:lpstr>K8 2018</vt:lpstr>
      <vt:lpstr>K8 2018G</vt:lpstr>
      <vt:lpstr>K9 2018</vt:lpstr>
      <vt:lpstr>K9 2018G</vt:lpstr>
      <vt:lpstr>K10 2018</vt:lpstr>
      <vt:lpstr>K10 2018G</vt:lpstr>
      <vt:lpstr>K11 2018</vt:lpstr>
      <vt:lpstr>K11 2018G</vt:lpstr>
      <vt:lpstr>K12 2018</vt:lpstr>
      <vt:lpstr>K12 2018G</vt:lpstr>
      <vt:lpstr>K13 2018</vt:lpstr>
      <vt:lpstr>K13 2018G</vt:lpstr>
      <vt:lpstr>K14 2018</vt:lpstr>
      <vt:lpstr>K14 2018G</vt:lpstr>
      <vt:lpstr>K15 2018</vt:lpstr>
      <vt:lpstr>K15 2018G</vt:lpstr>
      <vt:lpstr>Dataark til bilag 2_18</vt:lpstr>
      <vt:lpstr>Dataark til bilag 3_18</vt:lpstr>
      <vt:lpstr>biogas_18</vt:lpstr>
      <vt:lpstr>staldtype_total_18</vt:lpstr>
      <vt:lpstr>planteavl_18</vt:lpstr>
      <vt:lpstr>Planteavl_EA_18</vt:lpstr>
      <vt:lpstr>gødning_mv_18</vt:lpstr>
      <vt:lpstr>1990-2018 ha_18</vt:lpstr>
      <vt:lpstr>2005-2018 ha_18</vt:lpstr>
      <vt:lpstr>draeninfo_18</vt:lpstr>
      <vt:lpstr>rewetinfo_18</vt:lpstr>
      <vt:lpstr>ArealFordelingPaaKulstof_Ha 18</vt:lpstr>
      <vt:lpstr>Dataark til bilag 2_18G</vt:lpstr>
      <vt:lpstr>Dataark til bilag 3_18G</vt:lpstr>
      <vt:lpstr>biogas_18G</vt:lpstr>
      <vt:lpstr>staldtype_total_18G</vt:lpstr>
      <vt:lpstr>planteavl_18G</vt:lpstr>
      <vt:lpstr>Planteavl_EA_18G</vt:lpstr>
      <vt:lpstr>gødning_mv_18G</vt:lpstr>
      <vt:lpstr>1990-2018 ha_18G</vt:lpstr>
      <vt:lpstr>2005-2018 ha_18G</vt:lpstr>
      <vt:lpstr>draeninfo_18G</vt:lpstr>
      <vt:lpstr>rewetinfo_18G</vt:lpstr>
      <vt:lpstr>ArealFordelingPaaKulstof_Ha 18G</vt:lpstr>
      <vt:lpstr>BYGB34</vt:lpstr>
      <vt:lpstr>FOLK1A</vt:lpstr>
      <vt:lpstr>ARE207</vt:lpstr>
      <vt:lpstr>HST77</vt:lpstr>
      <vt:lpstr>Fodermiddeltabel</vt:lpstr>
      <vt:lpstr>BNP</vt:lpstr>
      <vt:lpstr>NST</vt:lpstr>
      <vt:lpstr>PUNKTKILDELISTE pr værk 18</vt:lpstr>
      <vt:lpstr>PUNKTKILDELISTE pr værk 20</vt:lpstr>
      <vt:lpstr>Table2(I)s2_2018</vt:lpstr>
      <vt:lpstr>Table2(I).A-Hs1_2018</vt:lpstr>
      <vt:lpstr>Table2(I).A-Hs2_2018</vt:lpstr>
      <vt:lpstr>Table2(II)_2018</vt:lpstr>
      <vt:lpstr>Table3.As1_2018</vt:lpstr>
      <vt:lpstr>Table3.D_2018</vt:lpstr>
      <vt:lpstr>Table3.G-I_2018</vt:lpstr>
      <vt:lpstr>Table4.A_2018</vt:lpstr>
      <vt:lpstr>Table4.B_2018</vt:lpstr>
      <vt:lpstr>Table4.C_2018</vt:lpstr>
      <vt:lpstr>Table4.D_2018</vt:lpstr>
      <vt:lpstr>Table4.E_2018</vt:lpstr>
      <vt:lpstr>Table4.F_2018</vt:lpstr>
      <vt:lpstr>Table4(II)_2018</vt:lpstr>
      <vt:lpstr>Table4(III)_2018</vt:lpstr>
      <vt:lpstr>Table4(V)_2018</vt:lpstr>
      <vt:lpstr>Table4.Gs2_2018</vt:lpstr>
      <vt:lpstr>Table5.A_2018</vt:lpstr>
      <vt:lpstr>Table5.B_2018</vt:lpstr>
      <vt:lpstr>Table5.C_2018</vt:lpstr>
      <vt:lpstr>Table5.D_2018</vt:lpstr>
      <vt:lpstr>Table2(I)s2_2019</vt:lpstr>
      <vt:lpstr>Table2(I).A-Hs1_2019</vt:lpstr>
      <vt:lpstr>Table2(I).A-Hs2_2019</vt:lpstr>
      <vt:lpstr>Table2(II)_2019</vt:lpstr>
      <vt:lpstr>Table3.As1_2019</vt:lpstr>
      <vt:lpstr>Table3.D_2019</vt:lpstr>
      <vt:lpstr>Table3.G-I_2019</vt:lpstr>
      <vt:lpstr>Table4.A_2019</vt:lpstr>
      <vt:lpstr>Table4.B_2019</vt:lpstr>
      <vt:lpstr>Table4.C_2019</vt:lpstr>
      <vt:lpstr>Table4.D_2019</vt:lpstr>
      <vt:lpstr>Table4.E_2019</vt:lpstr>
      <vt:lpstr>Table4.F_2019</vt:lpstr>
      <vt:lpstr>Table4(II)_2019</vt:lpstr>
      <vt:lpstr>Table4(III)_2019</vt:lpstr>
      <vt:lpstr>Table4(V)_2019</vt:lpstr>
      <vt:lpstr>Table4.Gs2_2019</vt:lpstr>
      <vt:lpstr>Table5.A_2019</vt:lpstr>
      <vt:lpstr>Table5.B_2019</vt:lpstr>
      <vt:lpstr>Table5.C_2019</vt:lpstr>
      <vt:lpstr>Table5.D_2019</vt:lpstr>
      <vt:lpstr>Table2(I)s2_2020</vt:lpstr>
      <vt:lpstr>Table2(I).A-Hs1_2020</vt:lpstr>
      <vt:lpstr>Table2(I).A-Hs2_2020</vt:lpstr>
      <vt:lpstr>Table2(II)_2020</vt:lpstr>
      <vt:lpstr>Table3.As1_2020</vt:lpstr>
      <vt:lpstr>Table3.D_2020</vt:lpstr>
      <vt:lpstr>Table3.G-I_2020</vt:lpstr>
      <vt:lpstr>Table4.A_2020</vt:lpstr>
      <vt:lpstr>Table4.B_2020</vt:lpstr>
      <vt:lpstr>Table4.C_2020</vt:lpstr>
      <vt:lpstr>Table4.D_2020</vt:lpstr>
      <vt:lpstr>Table4.E_2020</vt:lpstr>
      <vt:lpstr>Table4.F_2020</vt:lpstr>
      <vt:lpstr>Table4(II)_2020</vt:lpstr>
      <vt:lpstr>Table4(III)_2020</vt:lpstr>
      <vt:lpstr>Table4(V)_2020</vt:lpstr>
      <vt:lpstr>Table4.Gs2_2020</vt:lpstr>
      <vt:lpstr>Table5.A_2020</vt:lpstr>
      <vt:lpstr>Table5.B_2020</vt:lpstr>
      <vt:lpstr>Table5.C_2020</vt:lpstr>
      <vt:lpstr>Table5.D_2020</vt:lpstr>
      <vt:lpstr>Summary2_1990</vt:lpstr>
      <vt:lpstr>Summary2_2018</vt:lpstr>
      <vt:lpstr>Summary2_2020</vt:lpstr>
      <vt:lpstr>Annex 3F-6.2 20</vt:lpstr>
      <vt:lpstr>Annex 3F-6.1 20</vt:lpstr>
      <vt:lpstr>Annex 3D-9 20</vt:lpstr>
      <vt:lpstr>Annex 3D-11 20</vt:lpstr>
      <vt:lpstr>Annex 3D-20 20</vt:lpstr>
      <vt:lpstr>Table LULUCF_arealer</vt:lpstr>
      <vt:lpstr>Table 6 Gødningsmængder</vt:lpstr>
      <vt:lpstr>Table 7 Miljøteknologi</vt:lpstr>
      <vt:lpstr>Table 9 Gylle afsat til biogas</vt:lpstr>
      <vt:lpstr>Table 12 Handelsgødning</vt:lpstr>
      <vt:lpstr>Summary2_1990!CRF_Summary2_Main1</vt:lpstr>
      <vt:lpstr>Summary2_2018!CRF_Summary2_Main1</vt:lpstr>
      <vt:lpstr>Summary2_2020!CRF_Summary2_Main1</vt:lpstr>
      <vt:lpstr>Summary2_1990!CRF_Summary2_Main2</vt:lpstr>
      <vt:lpstr>Summary2_2018!CRF_Summary2_Main2</vt:lpstr>
      <vt:lpstr>Summary2_2020!CRF_Summary2_Main2</vt:lpstr>
      <vt:lpstr>Summary2_1990!CRF_Summary2_Main3</vt:lpstr>
      <vt:lpstr>Summary2_2018!CRF_Summary2_Main3</vt:lpstr>
      <vt:lpstr>Summary2_2020!CRF_Summary2_Main3</vt:lpstr>
      <vt:lpstr>Summary2_1990!CRF_Summary2_Main4</vt:lpstr>
      <vt:lpstr>Summary2_2018!CRF_Summary2_Main4</vt:lpstr>
      <vt:lpstr>Summary2_2020!CRF_Summary2_Main4</vt:lpstr>
      <vt:lpstr>Summary2_2020!CRF_Table2_I_.A_Hs1_Main</vt:lpstr>
      <vt:lpstr>'Table2(I).A-Hs1_2018'!CRF_Table2_I_.A_Hs1_Main</vt:lpstr>
      <vt:lpstr>'Table2(I).A-Hs2_2018'!CRF_Table2_I_.A_Hs1_Main</vt:lpstr>
      <vt:lpstr>'Table2(II)_2018'!CRF_Table2_I_.A_Hs1_Main</vt:lpstr>
      <vt:lpstr>Table3.As1_2018!CRF_Table2_I_.A_Hs1_Main</vt:lpstr>
      <vt:lpstr>Table3.D_2018!CRF_Table2_I_.A_Hs1_Main</vt:lpstr>
      <vt:lpstr>'Table3.G-I_2018'!CRF_Table2_I_.A_Hs1_Main</vt:lpstr>
      <vt:lpstr>Table4.A_2018!CRF_Table2_I_.A_Hs1_Main</vt:lpstr>
      <vt:lpstr>Summary2_2020!CRF_Table2_I_.A_Hs2_Doc</vt:lpstr>
      <vt:lpstr>'Table2(I).A-Hs2_2018'!CRF_Table2_I_.A_Hs2_Doc</vt:lpstr>
      <vt:lpstr>'Table2(II)_2018'!CRF_Table2_I_.A_Hs2_Doc</vt:lpstr>
      <vt:lpstr>Table3.As1_2018!CRF_Table2_I_.A_Hs2_Doc</vt:lpstr>
      <vt:lpstr>Table3.D_2018!CRF_Table2_I_.A_Hs2_Doc</vt:lpstr>
      <vt:lpstr>'Table3.G-I_2018'!CRF_Table2_I_.A_Hs2_Doc</vt:lpstr>
      <vt:lpstr>Table4.A_2018!CRF_Table2_I_.A_Hs2_Doc</vt:lpstr>
      <vt:lpstr>Summary2_2020!CRF_Table2_I_.A_Hs2_Main</vt:lpstr>
      <vt:lpstr>'Table2(I).A-Hs2_2018'!CRF_Table2_I_.A_Hs2_Main</vt:lpstr>
      <vt:lpstr>'Table2(II)_2018'!CRF_Table2_I_.A_Hs2_Main</vt:lpstr>
      <vt:lpstr>Table3.As1_2018!CRF_Table2_I_.A_Hs2_Main</vt:lpstr>
      <vt:lpstr>Table3.D_2018!CRF_Table2_I_.A_Hs2_Main</vt:lpstr>
      <vt:lpstr>'Table3.G-I_2018'!CRF_Table2_I_.A_Hs2_Main</vt:lpstr>
      <vt:lpstr>Table4.A_2018!CRF_Table2_I_.A_Hs2_Main</vt:lpstr>
      <vt:lpstr>Summary2_2020!CRF_Table2_I_s2_Doc</vt:lpstr>
      <vt:lpstr>'Table2(I).A-Hs1_2018'!CRF_Table2_I_s2_Doc</vt:lpstr>
      <vt:lpstr>'Table2(I).A-Hs2_2018'!CRF_Table2_I_s2_Doc</vt:lpstr>
      <vt:lpstr>'Table2(I)s2_2018'!CRF_Table2_I_s2_Doc</vt:lpstr>
      <vt:lpstr>'Table2(II)_2018'!CRF_Table2_I_s2_Doc</vt:lpstr>
      <vt:lpstr>Table3.As1_2018!CRF_Table2_I_s2_Doc</vt:lpstr>
      <vt:lpstr>Table3.D_2018!CRF_Table2_I_s2_Doc</vt:lpstr>
      <vt:lpstr>'Table3.G-I_2018'!CRF_Table2_I_s2_Doc</vt:lpstr>
      <vt:lpstr>Table4.A_2018!CRF_Table2_I_s2_Doc</vt:lpstr>
      <vt:lpstr>Summary2_2020!CRF_Table2_I_s2_Main</vt:lpstr>
      <vt:lpstr>'Table2(I).A-Hs1_2018'!CRF_Table2_I_s2_Main</vt:lpstr>
      <vt:lpstr>'Table2(I).A-Hs2_2018'!CRF_Table2_I_s2_Main</vt:lpstr>
      <vt:lpstr>'Table2(I)s2_2018'!CRF_Table2_I_s2_Main</vt:lpstr>
      <vt:lpstr>'Table2(II)_2018'!CRF_Table2_I_s2_Main</vt:lpstr>
      <vt:lpstr>Table3.As1_2018!CRF_Table2_I_s2_Main</vt:lpstr>
      <vt:lpstr>Table3.D_2018!CRF_Table2_I_s2_Main</vt:lpstr>
      <vt:lpstr>'Table3.G-I_2018'!CRF_Table2_I_s2_Main</vt:lpstr>
      <vt:lpstr>Table4.A_2018!CRF_Table2_I_s2_Main</vt:lpstr>
      <vt:lpstr>Summary2_2020!CRF_Table2_II__Doc</vt:lpstr>
      <vt:lpstr>'Table2(II)_2018'!CRF_Table2_II__Doc</vt:lpstr>
      <vt:lpstr>Table3.As1_2018!CRF_Table2_II__Doc</vt:lpstr>
      <vt:lpstr>Table3.D_2018!CRF_Table2_II__Doc</vt:lpstr>
      <vt:lpstr>'Table3.G-I_2018'!CRF_Table2_II__Doc</vt:lpstr>
      <vt:lpstr>Table4.A_2018!CRF_Table2_II__Doc</vt:lpstr>
      <vt:lpstr>Summary2_2020!CRF_Table2_II__Main</vt:lpstr>
      <vt:lpstr>'Table2(II)_2018'!CRF_Table2_II__Main</vt:lpstr>
      <vt:lpstr>Table3.As1_2018!CRF_Table2_II__Main</vt:lpstr>
      <vt:lpstr>Table3.D_2018!CRF_Table2_II__Main</vt:lpstr>
      <vt:lpstr>'Table3.G-I_2018'!CRF_Table2_II__Main</vt:lpstr>
      <vt:lpstr>Table4.A_2018!CRF_Table2_II__Main</vt:lpstr>
      <vt:lpstr>Summary2_2020!CRF_Table3.As1_Doc</vt:lpstr>
      <vt:lpstr>Table3.As1_2018!CRF_Table3.As1_Doc</vt:lpstr>
      <vt:lpstr>Table3.D_2018!CRF_Table3.As1_Doc</vt:lpstr>
      <vt:lpstr>'Table3.G-I_2018'!CRF_Table3.As1_Doc</vt:lpstr>
      <vt:lpstr>Table4.A_2018!CRF_Table3.As1_Doc</vt:lpstr>
      <vt:lpstr>Summary2_2020!CRF_Table3.As1_Main</vt:lpstr>
      <vt:lpstr>Table3.As1_2018!CRF_Table3.As1_Main</vt:lpstr>
      <vt:lpstr>Table3.D_2018!CRF_Table3.As1_Main</vt:lpstr>
      <vt:lpstr>'Table3.G-I_2018'!CRF_Table3.As1_Main</vt:lpstr>
      <vt:lpstr>Table4.A_2018!CRF_Table3.As1_Main</vt:lpstr>
      <vt:lpstr>Summary2_2020!CRF_Table3.D_Add</vt:lpstr>
      <vt:lpstr>Table3.D_2018!CRF_Table3.D_Add</vt:lpstr>
      <vt:lpstr>'Table3.G-I_2018'!CRF_Table3.D_Add</vt:lpstr>
      <vt:lpstr>Table4.A_2018!CRF_Table3.D_Add</vt:lpstr>
      <vt:lpstr>Summary2_2020!CRF_Table3.D_Doc</vt:lpstr>
      <vt:lpstr>Table3.D_2018!CRF_Table3.D_Doc</vt:lpstr>
      <vt:lpstr>'Table3.G-I_2018'!CRF_Table3.D_Doc</vt:lpstr>
      <vt:lpstr>Table4.A_2018!CRF_Table3.D_Doc</vt:lpstr>
      <vt:lpstr>Summary2_2020!CRF_Table3.D_Main</vt:lpstr>
      <vt:lpstr>Table3.D_2018!CRF_Table3.D_Main</vt:lpstr>
      <vt:lpstr>'Table3.G-I_2018'!CRF_Table3.D_Main</vt:lpstr>
      <vt:lpstr>Table4.A_2018!CRF_Table3.D_Main</vt:lpstr>
      <vt:lpstr>Summary2_2020!CRF_Table3.G_I_Doc</vt:lpstr>
      <vt:lpstr>'Table3.G-I_2018'!CRF_Table3.G_I_Doc</vt:lpstr>
      <vt:lpstr>Table4.A_2018!CRF_Table3.G_I_Doc</vt:lpstr>
      <vt:lpstr>Summary2_2020!CRF_Table3.G_I_Main</vt:lpstr>
      <vt:lpstr>'Table3.G-I_2018'!CRF_Table3.G_I_Main</vt:lpstr>
      <vt:lpstr>Table4.A_2018!CRF_Table3.G_I_Main</vt:lpstr>
      <vt:lpstr>Summary2_2020!CRF_Table4.A_Doc</vt:lpstr>
      <vt:lpstr>Table4.A_2018!CRF_Table4.A_Doc</vt:lpstr>
      <vt:lpstr>Summary2_2020!CRF_Table4.A_Main</vt:lpstr>
      <vt:lpstr>Table4.A_2018!CRF_Table4.A_Main</vt:lpstr>
      <vt:lpstr>Summary2_2020!CRF_Table4.B_Doc</vt:lpstr>
      <vt:lpstr>Summary2_2020!CRF_Table4.B_Main</vt:lpstr>
      <vt:lpstr>Summary2_2020!CRF_Table4.C_Doc</vt:lpstr>
      <vt:lpstr>Summary2_2020!CRF_Table4.C_Main</vt:lpstr>
      <vt:lpstr>Summary2_2020!CRF_Table4.D_Doc</vt:lpstr>
      <vt:lpstr>Summary2_2020!CRF_Table4.D_Main</vt:lpstr>
      <vt:lpstr>Summary2_2020!CRF_Table4.E_Doc</vt:lpstr>
      <vt:lpstr>Summary2_2020!CRF_Table4.E_Main</vt:lpstr>
      <vt:lpstr>Summary2_2020!CRF_Table4.F_Doc</vt:lpstr>
      <vt:lpstr>Summary2_2020!CRF_Table4.F_Main</vt:lpstr>
      <vt:lpstr>Summary2_2020!CRF_Table4.Gs2_Add</vt:lpstr>
      <vt:lpstr>Summary2_2020!CRF_Table4.Gs2_Doc</vt:lpstr>
      <vt:lpstr>Summary2_2020!CRF_Table4.Gs2_Main</vt:lpstr>
      <vt:lpstr>Summary2_2020!CRF_Table4_II__Doc</vt:lpstr>
      <vt:lpstr>Summary2_2020!CRF_Table4_II__Main</vt:lpstr>
      <vt:lpstr>Summary2_2020!CRF_Table4_III__Doc</vt:lpstr>
      <vt:lpstr>Summary2_2020!CRF_Table4_III__Main</vt:lpstr>
      <vt:lpstr>Summary2_2020!CRF_Table4_V__Doc</vt:lpstr>
      <vt:lpstr>Summary2_2020!CRF_Table4_V__Main</vt:lpstr>
      <vt:lpstr>Summary2_2020!CRF_Table5.A_Doc</vt:lpstr>
      <vt:lpstr>Summary2_2020!CRF_Table5.A_Main</vt:lpstr>
      <vt:lpstr>Summary2_2020!CRF_Table5.B_Doc</vt:lpstr>
      <vt:lpstr>Summary2_2020!CRF_Table5.B_Main</vt:lpstr>
      <vt:lpstr>Summary2_2020!CRF_Table5.C_Doc</vt:lpstr>
      <vt:lpstr>Summary2_2020!CRF_Table5.C_Main</vt:lpstr>
      <vt:lpstr>Summary2_2020!CRF_Table5.D_Add</vt:lpstr>
      <vt:lpstr>Summary2_2020!CRF_Table5.D_Doc</vt:lpstr>
      <vt:lpstr>Summary2_2020!CRF_Table5.D_Main</vt:lpstr>
      <vt:lpstr>INFOSVIN</vt:lpstr>
      <vt:lpstr>'K-tiltag'!Kriterium</vt:lpstr>
      <vt:lpstr>'PUNKTKILDELISTE pr værk 18'!procesemission_pr_kommune_og_værk_2018</vt:lpstr>
      <vt:lpstr>procesemission_pr_kommune_og_værk_2018</vt:lpstr>
      <vt:lpstr>'E1990'!Udskriftsområde</vt:lpstr>
      <vt:lpstr>'E2018'!Udskriftsområde</vt:lpstr>
      <vt:lpstr>'E2020'!Udskriftsområde</vt:lpstr>
      <vt:lpstr>EBAU2030!Udskriftsområde</vt:lpstr>
      <vt:lpstr>EBAU2050!Udskriftsområde</vt:lpstr>
      <vt:lpstr>ESTI2030!Udskriftsområde</vt:lpstr>
      <vt:lpstr>ESTI2050!Udskriftsområde</vt:lpstr>
      <vt:lpstr>'Grafer-energi'!Udskriftsområde</vt:lpstr>
      <vt:lpstr>Fodermiddeltabel!Udskriftstitler</vt:lpstr>
    </vt:vector>
  </TitlesOfParts>
  <Company>PlanEnergi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Kristina Espersen</dc:creator>
  <cp:lastModifiedBy>Stine Pagel Hansen</cp:lastModifiedBy>
  <cp:lastPrinted>2018-07-12T06:57:45Z</cp:lastPrinted>
  <dcterms:created xsi:type="dcterms:W3CDTF">2007-01-15T14:25:48Z</dcterms:created>
  <dcterms:modified xsi:type="dcterms:W3CDTF">2023-04-13T12:56:02Z</dcterms:modified>
</cp:coreProperties>
</file>